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macrosheets/sheet1.xml" ContentType="application/vnd.ms-excel.macro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omments5.xml" ContentType="application/vnd.openxmlformats-officedocument.spreadsheetml.comments+xml"/>
  <Override PartName="/xl/drawings/drawing3.xml" ContentType="application/vnd.openxmlformats-officedocument.drawing+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omments6.xml" ContentType="application/vnd.openxmlformats-officedocument.spreadsheetml.comments+xml"/>
  <Override PartName="/xl/drawings/drawing4.xml" ContentType="application/vnd.openxmlformats-officedocument.drawing+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drawings/drawing5.xml" ContentType="application/vnd.openxmlformats-officedocument.drawing+xml"/>
  <Override PartName="/xl/comments7.xml" ContentType="application/vnd.openxmlformats-officedocument.spreadsheetml.comments+xml"/>
  <Override PartName="/xl/drawings/drawing6.xml" ContentType="application/vnd.openxmlformats-officedocument.drawing+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8.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aveExternalLinkValues="0" codeName="ThisWorkbook"/>
  <bookViews>
    <workbookView xWindow="525" yWindow="-15" windowWidth="19440" windowHeight="11760" tabRatio="829" activeTab="20"/>
  </bookViews>
  <sheets>
    <sheet name="T" sheetId="9" r:id="rId1"/>
    <sheet name="Manual" sheetId="10" r:id="rId2"/>
    <sheet name="InputY" sheetId="1" r:id="rId3"/>
    <sheet name="InputQ" sheetId="16" r:id="rId4"/>
    <sheet name="VVP1" sheetId="11" r:id="rId5"/>
    <sheet name="VVP2" sheetId="12" r:id="rId6"/>
    <sheet name="VVP3" sheetId="14" r:id="rId7"/>
    <sheet name="Q1" sheetId="17" r:id="rId8"/>
    <sheet name="Q2" sheetId="18" r:id="rId9"/>
    <sheet name="CarryOver" sheetId="26" r:id="rId10"/>
    <sheet name="IIPdev" sheetId="21" r:id="rId11"/>
    <sheet name="Labour1" sheetId="8" r:id="rId12"/>
    <sheet name="Labour2" sheetId="19" r:id="rId13"/>
    <sheet name="Sector1" sheetId="7" r:id="rId14"/>
    <sheet name="Sector2" sheetId="6" r:id="rId15"/>
    <sheet name="Sector3" sheetId="15" r:id="rId16"/>
    <sheet name="Macro1" sheetId="25" r:id="rId17"/>
    <sheet name="Transfer" sheetId="2" r:id="rId18"/>
    <sheet name="InputDFM" sheetId="27" r:id="rId19"/>
    <sheet name="Tables" sheetId="20" r:id="rId20"/>
    <sheet name="Transfer FDMS+ A" sheetId="23" r:id="rId21"/>
    <sheet name="Transfer FDMS+ Q" sheetId="24" r:id="rId22"/>
    <sheet name="Sheet1" sheetId="28" r:id="rId23"/>
  </sheets>
  <externalReferences>
    <externalReference r:id="rId24"/>
  </externalReferences>
  <definedNames>
    <definedName name="_xlnm._FilterDatabase" localSheetId="2" hidden="1">InputY!$D$3:$E$503</definedName>
    <definedName name="_xlnm._FilterDatabase" localSheetId="20" hidden="1">'Transfer FDMS+ A'!$A$11:$AI$11</definedName>
    <definedName name="_MatMult_A" hidden="1">#REF!</definedName>
    <definedName name="_MatMult_AxB" localSheetId="20" hidden="1">#REF!</definedName>
    <definedName name="_MatMult_AxB" localSheetId="21" hidden="1">#REF!</definedName>
    <definedName name="_MatMult_AxB" hidden="1">#REF!</definedName>
    <definedName name="_MatMult_B" hidden="1">#REF!</definedName>
    <definedName name="Country">Transfer!$E$94</definedName>
    <definedName name="Currency">Transfer!$H$94</definedName>
    <definedName name="dfgsdfg" hidden="1">{"'15.01L'!$A$1:$I$62"}</definedName>
    <definedName name="dsfsdf" hidden="1">{"'15.01L'!$A$1:$I$62"}</definedName>
    <definedName name="fdms_web_query.cfm?cty_LT" localSheetId="18">InputDFM!$A$16:$N$55</definedName>
    <definedName name="HMTL_Ctl" localSheetId="17" hidden="1">{"'15.01L'!$A$1:$I$62"}</definedName>
    <definedName name="HMTL_Ctl" localSheetId="20" hidden="1">{"'15.01L'!$A$1:$I$62"}</definedName>
    <definedName name="HMTL_Ctl" localSheetId="21" hidden="1">{"'15.01L'!$A$1:$I$62"}</definedName>
    <definedName name="HMTL_Ctl" hidden="1">{"'15.01L'!$A$1:$I$62"}</definedName>
    <definedName name="HMTL_Ctl2" localSheetId="17" hidden="1">{"'15.01L'!$A$1:$I$62"}</definedName>
    <definedName name="HMTL_Ctl2" localSheetId="20" hidden="1">{"'15.01L'!$A$1:$I$62"}</definedName>
    <definedName name="HMTL_Ctl2" localSheetId="21" hidden="1">{"'15.01L'!$A$1:$I$62"}</definedName>
    <definedName name="HMTL_Ctl2" hidden="1">{"'15.01L'!$A$1:$I$62"}</definedName>
    <definedName name="HTML_CodePage" hidden="1">1252</definedName>
    <definedName name="HTML_Control" localSheetId="17" hidden="1">{"'15.01L'!$A$1:$I$62"}</definedName>
    <definedName name="HTML_Control" localSheetId="20" hidden="1">{"'15.01L'!$A$1:$I$62"}</definedName>
    <definedName name="HTML_Control" localSheetId="21" hidden="1">{"'15.01L'!$A$1:$I$62"}</definedName>
    <definedName name="HTML_Control" hidden="1">{"'15.01L'!$A$1:$I$62"}</definedName>
    <definedName name="HTML_Control1" localSheetId="17" hidden="1">{"'15.01L'!$A$1:$I$62"}</definedName>
    <definedName name="HTML_Control1" localSheetId="20" hidden="1">{"'15.01L'!$A$1:$I$62"}</definedName>
    <definedName name="HTML_Control1" localSheetId="21" hidden="1">{"'15.01L'!$A$1:$I$62"}</definedName>
    <definedName name="HTML_Control1" hidden="1">{"'15.01L'!$A$1:$I$62"}</definedName>
    <definedName name="HTML_Control2" localSheetId="17" hidden="1">{"'15.01L'!$A$1:$I$62"}</definedName>
    <definedName name="HTML_Control2" localSheetId="20" hidden="1">{"'15.01L'!$A$1:$I$62"}</definedName>
    <definedName name="HTML_Control2" localSheetId="21" hidden="1">{"'15.01L'!$A$1:$I$62"}</definedName>
    <definedName name="HTML_Control2" hidden="1">{"'15.01L'!$A$1:$I$62"}</definedName>
    <definedName name="HTML_Control22" localSheetId="17" hidden="1">{"'15.01L'!$A$1:$I$62"}</definedName>
    <definedName name="HTML_Control22" localSheetId="20" hidden="1">{"'15.01L'!$A$1:$I$62"}</definedName>
    <definedName name="HTML_Control22" localSheetId="21" hidden="1">{"'15.01L'!$A$1:$I$62"}</definedName>
    <definedName name="HTML_Control22" hidden="1">{"'15.01L'!$A$1:$I$62"}</definedName>
    <definedName name="HTML_Control3" localSheetId="17" hidden="1">{"'15.01L'!$A$1:$I$62"}</definedName>
    <definedName name="HTML_Control3" localSheetId="20" hidden="1">{"'15.01L'!$A$1:$I$62"}</definedName>
    <definedName name="HTML_Control3" localSheetId="21" hidden="1">{"'15.01L'!$A$1:$I$62"}</definedName>
    <definedName name="HTML_Control3" hidden="1">{"'15.01L'!$A$1:$I$62"}</definedName>
    <definedName name="HTML_Control33" localSheetId="17" hidden="1">{"'15.01L'!$A$1:$I$62"}</definedName>
    <definedName name="HTML_Control33" localSheetId="20" hidden="1">{"'15.01L'!$A$1:$I$62"}</definedName>
    <definedName name="HTML_Control33" localSheetId="21" hidden="1">{"'15.01L'!$A$1:$I$62"}</definedName>
    <definedName name="HTML_Control33" hidden="1">{"'15.01L'!$A$1:$I$62"}</definedName>
    <definedName name="HTML_Description" hidden="1">""</definedName>
    <definedName name="HTML_Email" hidden="1">""</definedName>
    <definedName name="HTML_Header" hidden="1">"15.01L"</definedName>
    <definedName name="HTML_LastUpdate" hidden="1">"19.11.98"</definedName>
    <definedName name="HTML_LineAfter" hidden="1">FALSE</definedName>
    <definedName name="HTML_LineBefore" hidden="1">FALSE</definedName>
    <definedName name="HTML_Name" hidden="1">"Weitzer &amp; Partner"</definedName>
    <definedName name="HTML_OBDlg2" hidden="1">TRUE</definedName>
    <definedName name="HTML_OBDlg4" hidden="1">TRUE</definedName>
    <definedName name="HTML_OS" hidden="1">0</definedName>
    <definedName name="HTML_PathFile" hidden="1">"C:\jb98\3d\daten\Kap15.ok\j-1501l.htm"</definedName>
    <definedName name="HTML_Title" hidden="1">"j-1501L"</definedName>
    <definedName name="Last_forecast_year">Transfer!$H$95</definedName>
    <definedName name="limcount" hidden="1">1</definedName>
    <definedName name="_xlnm.Print_Area" localSheetId="15">Sector3!$A$1:$N$489</definedName>
    <definedName name="_xlnm.Print_Area" localSheetId="19">Tables!$B$527:$N$543</definedName>
    <definedName name="qy_additional_impact.cfm?cty_LT" localSheetId="18">InputDFM!$A$10:$N$49</definedName>
    <definedName name="qy_additional_impact.cfm?cty_LT_1" localSheetId="18">InputDFM!$A$10:$N$49</definedName>
    <definedName name="qy_transfer_matrix.cfm?cty_LT" localSheetId="18">InputDFM!#REF!</definedName>
    <definedName name="qy_transfer_matrix.cfm?cty_LT_1" localSheetId="18">InputDFM!$A$8:$N$15</definedName>
    <definedName name="qy_transfer_matrix.cfm?cty_LT_2" localSheetId="18">InputDFM!$A$1:$N$8</definedName>
    <definedName name="reyherhefgf" hidden="1">{"'15.01L'!$A$1:$I$62"}</definedName>
    <definedName name="rtyertyerther" hidden="1">{"'15.01L'!$A$1:$I$62"}</definedName>
    <definedName name="rtyertyertyerthdfg" hidden="1">{"'15.01L'!$A$1:$I$62"}</definedName>
    <definedName name="sdfgsdfgdfg" hidden="1">{"'15.01L'!$A$1:$I$62"}</definedName>
    <definedName name="sfghertyertyerty" hidden="1">{"'15.01L'!$A$1:$I$62"}</definedName>
    <definedName name="Table_0">Tables!$B$9:$I$46</definedName>
    <definedName name="Table_1">Tables!$B$51:$K$78</definedName>
    <definedName name="Table_10">Tables!$B$400:$N$441</definedName>
    <definedName name="Table_10a">Tables!$B$446:$M$468</definedName>
    <definedName name="Table_10b">Tables!$B$473:$N$489</definedName>
    <definedName name="Table_11">Tables!$B$493:$M$519</definedName>
    <definedName name="Table_12">Tables!$B$527:$N$543</definedName>
    <definedName name="Table_2">Tables!$B$92:$Q$124</definedName>
    <definedName name="Table_3">Tables!$B$136:$K$156</definedName>
    <definedName name="Table_4">Tables!$B$166:$N$203</definedName>
    <definedName name="Table_5">Tables!$B$214:$I$261</definedName>
    <definedName name="Table_6">Tables!$B$269:$N$285</definedName>
    <definedName name="Table_7">Tables!$B$296:$M$318</definedName>
    <definedName name="Table_8">Tables!$B$329:$N$355</definedName>
    <definedName name="Table_9">Tables!$B$366:$N$390</definedName>
    <definedName name="wrtyer5y3e5rthgf" hidden="1">{"'15.01L'!$A$1:$I$62"}</definedName>
  </definedNames>
  <calcPr calcId="145621"/>
</workbook>
</file>

<file path=xl/calcChain.xml><?xml version="1.0" encoding="utf-8"?>
<calcChain xmlns="http://schemas.openxmlformats.org/spreadsheetml/2006/main">
  <c r="DM15" i="11" l="1"/>
  <c r="DM14" i="11"/>
  <c r="DM13" i="11"/>
  <c r="DM11" i="11"/>
  <c r="DM9" i="11"/>
  <c r="DM8" i="11"/>
  <c r="DM7" i="11"/>
  <c r="DH7" i="11"/>
  <c r="AC368" i="12" l="1"/>
  <c r="AC114" i="7"/>
  <c r="AC216" i="8" l="1"/>
  <c r="CT8" i="16" l="1"/>
  <c r="CT124" i="17" s="1"/>
  <c r="CS8" i="16"/>
  <c r="CS124" i="17" s="1"/>
  <c r="CR8" i="16"/>
  <c r="CR124" i="17" s="1"/>
  <c r="CQ8" i="16"/>
  <c r="CQ124" i="17" s="1"/>
  <c r="CQ7" i="16"/>
  <c r="CU307" i="17" l="1"/>
  <c r="CY4" i="17"/>
  <c r="DR105" i="11" l="1"/>
  <c r="DO11" i="11" l="1"/>
  <c r="AC124" i="12"/>
  <c r="AD87" i="12"/>
  <c r="DR8" i="11" l="1"/>
  <c r="CS307" i="17" l="1"/>
  <c r="CT307" i="17"/>
  <c r="CS306" i="17"/>
  <c r="CT306" i="17"/>
  <c r="CS305" i="17"/>
  <c r="CT305" i="17" s="1"/>
  <c r="CS304" i="17"/>
  <c r="CT304" i="17" s="1"/>
  <c r="CS303" i="17"/>
  <c r="CT303" i="17" s="1"/>
  <c r="AB130" i="12" l="1"/>
  <c r="AB124" i="12"/>
  <c r="U18" i="21" l="1"/>
  <c r="DQ32" i="11" l="1"/>
  <c r="AE122" i="7" l="1"/>
  <c r="G7" i="7" l="1"/>
  <c r="H7" i="7"/>
  <c r="I7" i="7" s="1"/>
  <c r="J7" i="7" s="1"/>
  <c r="K7" i="7" s="1"/>
  <c r="F8" i="7"/>
  <c r="F9" i="7"/>
  <c r="F10" i="7"/>
  <c r="F12" i="7"/>
  <c r="F13" i="7"/>
  <c r="F31" i="7" s="1"/>
  <c r="G16" i="7"/>
  <c r="H16" i="7"/>
  <c r="I16" i="7"/>
  <c r="J16" i="7" s="1"/>
  <c r="K16" i="7" s="1"/>
  <c r="F17" i="7"/>
  <c r="F18" i="7"/>
  <c r="F21" i="7"/>
  <c r="F22" i="7"/>
  <c r="G25" i="7"/>
  <c r="H25" i="7" s="1"/>
  <c r="I25" i="7" s="1"/>
  <c r="J25" i="7"/>
  <c r="K25" i="7"/>
  <c r="F27" i="7"/>
  <c r="F30" i="7"/>
  <c r="G33" i="7"/>
  <c r="H33" i="7" s="1"/>
  <c r="I33" i="7" s="1"/>
  <c r="J33" i="7"/>
  <c r="K33" i="7" s="1"/>
  <c r="G44" i="7"/>
  <c r="H44" i="7"/>
  <c r="I44" i="7"/>
  <c r="J44" i="7" s="1"/>
  <c r="K44" i="7" s="1"/>
  <c r="F45" i="7"/>
  <c r="F46" i="7"/>
  <c r="F47" i="7"/>
  <c r="F56" i="7" s="1"/>
  <c r="F49" i="7"/>
  <c r="F50" i="7"/>
  <c r="F59" i="7" s="1"/>
  <c r="G53" i="7"/>
  <c r="H53" i="7" s="1"/>
  <c r="I53" i="7" s="1"/>
  <c r="J53" i="7" s="1"/>
  <c r="K53" i="7" s="1"/>
  <c r="F54" i="7"/>
  <c r="F55" i="7"/>
  <c r="F58" i="7"/>
  <c r="G61" i="7"/>
  <c r="H61" i="7" s="1"/>
  <c r="I61" i="7"/>
  <c r="J61" i="7"/>
  <c r="K61" i="7" s="1"/>
  <c r="F63" i="7"/>
  <c r="F66" i="7"/>
  <c r="F67" i="7"/>
  <c r="G72" i="7"/>
  <c r="H72" i="7" s="1"/>
  <c r="I72" i="7"/>
  <c r="J72" i="7"/>
  <c r="K72" i="7" s="1"/>
  <c r="F73" i="7"/>
  <c r="F78" i="7"/>
  <c r="F83" i="7"/>
  <c r="G91" i="7"/>
  <c r="H91" i="7" s="1"/>
  <c r="I91" i="7" s="1"/>
  <c r="J91" i="7" s="1"/>
  <c r="K91" i="7" s="1"/>
  <c r="G97" i="7"/>
  <c r="H97" i="7"/>
  <c r="I97" i="7" s="1"/>
  <c r="J97" i="7" s="1"/>
  <c r="K97" i="7" s="1"/>
  <c r="G106" i="7"/>
  <c r="H106" i="7" s="1"/>
  <c r="I106" i="7" s="1"/>
  <c r="J106" i="7" s="1"/>
  <c r="K106" i="7"/>
  <c r="G117" i="7"/>
  <c r="H117" i="7" s="1"/>
  <c r="I117" i="7" s="1"/>
  <c r="J117" i="7" s="1"/>
  <c r="K117" i="7"/>
  <c r="G126" i="7"/>
  <c r="H126" i="7"/>
  <c r="I126" i="7"/>
  <c r="J126" i="7" s="1"/>
  <c r="K126" i="7" s="1"/>
  <c r="G135" i="7"/>
  <c r="H135" i="7" s="1"/>
  <c r="I135" i="7" s="1"/>
  <c r="J135" i="7" s="1"/>
  <c r="K135" i="7" s="1"/>
  <c r="F136" i="7"/>
  <c r="F137" i="7"/>
  <c r="F139" i="7"/>
  <c r="F142" i="7"/>
  <c r="F143" i="7"/>
  <c r="G146" i="7"/>
  <c r="H146" i="7" s="1"/>
  <c r="I146" i="7" s="1"/>
  <c r="J146" i="7"/>
  <c r="K146" i="7" s="1"/>
  <c r="G154" i="7"/>
  <c r="H154" i="7" s="1"/>
  <c r="I154" i="7"/>
  <c r="J154" i="7" s="1"/>
  <c r="K154" i="7" s="1"/>
  <c r="G162" i="7"/>
  <c r="H162" i="7" s="1"/>
  <c r="I162" i="7" s="1"/>
  <c r="J162" i="7"/>
  <c r="K162" i="7"/>
  <c r="G167" i="7"/>
  <c r="H167" i="7" s="1"/>
  <c r="I167" i="7" s="1"/>
  <c r="J167" i="7" s="1"/>
  <c r="K167" i="7" s="1"/>
  <c r="G172" i="7"/>
  <c r="H172" i="7" s="1"/>
  <c r="I172" i="7" s="1"/>
  <c r="J172" i="7"/>
  <c r="K172" i="7" s="1"/>
  <c r="G179" i="7"/>
  <c r="H179" i="7"/>
  <c r="I179" i="7" s="1"/>
  <c r="J179" i="7" s="1"/>
  <c r="K179" i="7" s="1"/>
  <c r="G185" i="7"/>
  <c r="H185" i="7"/>
  <c r="I185" i="7" s="1"/>
  <c r="J185" i="7" s="1"/>
  <c r="K185" i="7"/>
  <c r="G191" i="7"/>
  <c r="H191" i="7" s="1"/>
  <c r="I191" i="7" s="1"/>
  <c r="J191" i="7" s="1"/>
  <c r="K191" i="7" s="1"/>
  <c r="G200" i="7"/>
  <c r="H200" i="7" s="1"/>
  <c r="I200" i="7"/>
  <c r="J200" i="7"/>
  <c r="K200" i="7" s="1"/>
  <c r="F201" i="7"/>
  <c r="F202" i="7"/>
  <c r="F203" i="7"/>
  <c r="F205" i="7"/>
  <c r="G208" i="7"/>
  <c r="H208" i="7" s="1"/>
  <c r="I208" i="7" s="1"/>
  <c r="J208" i="7" s="1"/>
  <c r="K208" i="7"/>
  <c r="G215" i="7"/>
  <c r="H215" i="7" s="1"/>
  <c r="I215" i="7"/>
  <c r="J215" i="7" s="1"/>
  <c r="K215" i="7" s="1"/>
  <c r="G220" i="7"/>
  <c r="H220" i="7"/>
  <c r="I220" i="7"/>
  <c r="J220" i="7" s="1"/>
  <c r="K220" i="7" s="1"/>
  <c r="G227" i="7"/>
  <c r="H227" i="7" s="1"/>
  <c r="I227" i="7" s="1"/>
  <c r="J227" i="7" s="1"/>
  <c r="K227" i="7"/>
  <c r="G235" i="7"/>
  <c r="H235" i="7"/>
  <c r="I235" i="7" s="1"/>
  <c r="J235" i="7" s="1"/>
  <c r="K235" i="7" s="1"/>
  <c r="G243" i="7"/>
  <c r="H243" i="7" s="1"/>
  <c r="I243" i="7" s="1"/>
  <c r="J243" i="7" s="1"/>
  <c r="K243" i="7"/>
  <c r="G252" i="7"/>
  <c r="H252" i="7" s="1"/>
  <c r="I252" i="7" s="1"/>
  <c r="J252" i="7" s="1"/>
  <c r="K252" i="7" s="1"/>
  <c r="F253" i="7"/>
  <c r="F254" i="7"/>
  <c r="F256" i="7"/>
  <c r="F257" i="7"/>
  <c r="F259" i="7"/>
  <c r="G264" i="7"/>
  <c r="H264" i="7" s="1"/>
  <c r="I264" i="7" s="1"/>
  <c r="J264" i="7" s="1"/>
  <c r="K264" i="7" s="1"/>
  <c r="E273" i="7"/>
  <c r="G275" i="7"/>
  <c r="H275" i="7" s="1"/>
  <c r="I275" i="7" s="1"/>
  <c r="J275" i="7" s="1"/>
  <c r="K275" i="7" s="1"/>
  <c r="G278" i="7"/>
  <c r="H278" i="7"/>
  <c r="I278" i="7" s="1"/>
  <c r="J278" i="7" s="1"/>
  <c r="K278" i="7" s="1"/>
  <c r="G288" i="7"/>
  <c r="H288" i="7"/>
  <c r="I288" i="7" s="1"/>
  <c r="J288" i="7"/>
  <c r="K288" i="7" s="1"/>
  <c r="G297" i="7"/>
  <c r="H297" i="7" s="1"/>
  <c r="I297" i="7"/>
  <c r="J297" i="7" s="1"/>
  <c r="K297" i="7" s="1"/>
  <c r="F298" i="7"/>
  <c r="F299" i="7"/>
  <c r="F300" i="7"/>
  <c r="F302" i="7"/>
  <c r="G305" i="7"/>
  <c r="H305" i="7" s="1"/>
  <c r="I305" i="7" s="1"/>
  <c r="J305" i="7" s="1"/>
  <c r="K305" i="7"/>
  <c r="G312" i="7"/>
  <c r="H312" i="7" s="1"/>
  <c r="I312" i="7"/>
  <c r="J312" i="7" s="1"/>
  <c r="K312" i="7" s="1"/>
  <c r="G322" i="7"/>
  <c r="H322" i="7" s="1"/>
  <c r="I322" i="7" s="1"/>
  <c r="J322" i="7" s="1"/>
  <c r="K322" i="7" s="1"/>
  <c r="F323" i="7"/>
  <c r="F324" i="7"/>
  <c r="F325" i="7"/>
  <c r="F326" i="7"/>
  <c r="F327" i="7"/>
  <c r="F328" i="7"/>
  <c r="G332" i="7"/>
  <c r="H332" i="7"/>
  <c r="I332" i="7" s="1"/>
  <c r="J332" i="7"/>
  <c r="K332" i="7" s="1"/>
  <c r="G341" i="7"/>
  <c r="H341" i="7" s="1"/>
  <c r="I341" i="7"/>
  <c r="J341" i="7" s="1"/>
  <c r="K341" i="7"/>
  <c r="G353" i="7"/>
  <c r="H353" i="7" s="1"/>
  <c r="I353" i="7" s="1"/>
  <c r="J353" i="7" s="1"/>
  <c r="K353" i="7" s="1"/>
  <c r="G359" i="7"/>
  <c r="H359" i="7"/>
  <c r="I359" i="7" s="1"/>
  <c r="J359" i="7" s="1"/>
  <c r="K359" i="7" s="1"/>
  <c r="G365" i="7"/>
  <c r="H365" i="7" s="1"/>
  <c r="I365" i="7" s="1"/>
  <c r="J365" i="7"/>
  <c r="K365" i="7"/>
  <c r="G374" i="7"/>
  <c r="H374" i="7" s="1"/>
  <c r="I374" i="7"/>
  <c r="J374" i="7" s="1"/>
  <c r="K374" i="7" s="1"/>
  <c r="G380" i="7"/>
  <c r="H380" i="7"/>
  <c r="I380" i="7"/>
  <c r="J380" i="7" s="1"/>
  <c r="K380" i="7" s="1"/>
  <c r="G386" i="7"/>
  <c r="H386" i="7"/>
  <c r="I386" i="7" s="1"/>
  <c r="J386" i="7" s="1"/>
  <c r="K386" i="7" s="1"/>
  <c r="G395" i="7"/>
  <c r="H395" i="7" s="1"/>
  <c r="I395" i="7" s="1"/>
  <c r="J395" i="7" s="1"/>
  <c r="K395" i="7" s="1"/>
  <c r="F396" i="7"/>
  <c r="F397" i="7"/>
  <c r="F398" i="7"/>
  <c r="E399" i="7"/>
  <c r="G401" i="7"/>
  <c r="H401" i="7" s="1"/>
  <c r="I401" i="7"/>
  <c r="J401" i="7"/>
  <c r="K401" i="7" s="1"/>
  <c r="G407" i="7"/>
  <c r="H407" i="7"/>
  <c r="I407" i="7"/>
  <c r="J407" i="7" s="1"/>
  <c r="K407" i="7" s="1"/>
  <c r="G417" i="7"/>
  <c r="H417" i="7" s="1"/>
  <c r="I417" i="7" s="1"/>
  <c r="J417" i="7" s="1"/>
  <c r="K417" i="7" s="1"/>
  <c r="E418" i="7"/>
  <c r="E422" i="7"/>
  <c r="E436" i="7" s="1"/>
  <c r="E423" i="7"/>
  <c r="E437" i="7" s="1"/>
  <c r="E424" i="7"/>
  <c r="F424" i="7"/>
  <c r="E425" i="7"/>
  <c r="E439" i="7" s="1"/>
  <c r="F425" i="7"/>
  <c r="G431" i="7"/>
  <c r="H431" i="7"/>
  <c r="I431" i="7" s="1"/>
  <c r="J431" i="7" s="1"/>
  <c r="K431" i="7" s="1"/>
  <c r="E432" i="7"/>
  <c r="E433" i="7"/>
  <c r="E434" i="7"/>
  <c r="E438" i="7"/>
  <c r="E440" i="7"/>
  <c r="E441" i="7"/>
  <c r="G443" i="7"/>
  <c r="H443" i="7" s="1"/>
  <c r="I443" i="7" s="1"/>
  <c r="J443" i="7"/>
  <c r="K443" i="7"/>
  <c r="G457" i="7"/>
  <c r="H457" i="7"/>
  <c r="I457" i="7" s="1"/>
  <c r="J457" i="7" s="1"/>
  <c r="K457" i="7" s="1"/>
  <c r="G463" i="7"/>
  <c r="H463" i="7"/>
  <c r="I463" i="7" s="1"/>
  <c r="J463" i="7" s="1"/>
  <c r="K463" i="7" s="1"/>
  <c r="G469" i="7"/>
  <c r="H469" i="7" s="1"/>
  <c r="I469" i="7" s="1"/>
  <c r="J469" i="7"/>
  <c r="K469" i="7"/>
  <c r="G475" i="7"/>
  <c r="H475" i="7" s="1"/>
  <c r="I475" i="7"/>
  <c r="J475" i="7" s="1"/>
  <c r="K475" i="7" s="1"/>
  <c r="G481" i="7"/>
  <c r="H481" i="7" s="1"/>
  <c r="I481" i="7" s="1"/>
  <c r="J481" i="7" s="1"/>
  <c r="K481" i="7" s="1"/>
  <c r="F482" i="7"/>
  <c r="F484" i="7"/>
  <c r="F486" i="7"/>
  <c r="G493" i="7"/>
  <c r="H493" i="7" s="1"/>
  <c r="I493" i="7"/>
  <c r="J493" i="7"/>
  <c r="K493" i="7" s="1"/>
  <c r="G504" i="7"/>
  <c r="H504" i="7"/>
  <c r="I504" i="7"/>
  <c r="J504" i="7" s="1"/>
  <c r="K504" i="7" s="1"/>
  <c r="G518" i="7"/>
  <c r="H518" i="7" s="1"/>
  <c r="I518" i="7" s="1"/>
  <c r="J518" i="7"/>
  <c r="K518" i="7"/>
  <c r="F519" i="7"/>
  <c r="F520" i="7"/>
  <c r="F521" i="7"/>
  <c r="F761" i="7" s="1"/>
  <c r="G525" i="7"/>
  <c r="H525" i="7" s="1"/>
  <c r="I525" i="7"/>
  <c r="J525" i="7" s="1"/>
  <c r="K525" i="7" s="1"/>
  <c r="G531" i="7"/>
  <c r="H531" i="7"/>
  <c r="I531" i="7" s="1"/>
  <c r="J531" i="7" s="1"/>
  <c r="K531" i="7" s="1"/>
  <c r="G540" i="7"/>
  <c r="H540" i="7" s="1"/>
  <c r="I540" i="7" s="1"/>
  <c r="J540" i="7" s="1"/>
  <c r="K540" i="7" s="1"/>
  <c r="G547" i="7"/>
  <c r="H547" i="7" s="1"/>
  <c r="I547" i="7" s="1"/>
  <c r="J547" i="7" s="1"/>
  <c r="K547" i="7" s="1"/>
  <c r="G553" i="7"/>
  <c r="H553" i="7"/>
  <c r="I553" i="7" s="1"/>
  <c r="J553" i="7" s="1"/>
  <c r="K553" i="7" s="1"/>
  <c r="G562" i="7"/>
  <c r="H562" i="7"/>
  <c r="I562" i="7" s="1"/>
  <c r="J562" i="7" s="1"/>
  <c r="K562" i="7" s="1"/>
  <c r="G571" i="7"/>
  <c r="H571" i="7"/>
  <c r="I571" i="7"/>
  <c r="J571" i="7" s="1"/>
  <c r="K571" i="7"/>
  <c r="G577" i="7"/>
  <c r="H577" i="7"/>
  <c r="I577" i="7" s="1"/>
  <c r="J577" i="7"/>
  <c r="K577" i="7"/>
  <c r="G586" i="7"/>
  <c r="H586" i="7" s="1"/>
  <c r="I586" i="7" s="1"/>
  <c r="J586" i="7" s="1"/>
  <c r="K586" i="7"/>
  <c r="G591" i="7"/>
  <c r="H591" i="7" s="1"/>
  <c r="I591" i="7"/>
  <c r="J591" i="7" s="1"/>
  <c r="K591" i="7" s="1"/>
  <c r="G596" i="7"/>
  <c r="H596" i="7"/>
  <c r="I596" i="7"/>
  <c r="J596" i="7"/>
  <c r="K596" i="7" s="1"/>
  <c r="G601" i="7"/>
  <c r="H601" i="7"/>
  <c r="I601" i="7"/>
  <c r="J601" i="7"/>
  <c r="K601" i="7" s="1"/>
  <c r="E603" i="7"/>
  <c r="G609" i="7"/>
  <c r="H609" i="7"/>
  <c r="I609" i="7"/>
  <c r="J609" i="7" s="1"/>
  <c r="K609" i="7" s="1"/>
  <c r="G615" i="7"/>
  <c r="H615" i="7"/>
  <c r="I615" i="7" s="1"/>
  <c r="J615" i="7" s="1"/>
  <c r="K615" i="7" s="1"/>
  <c r="G623" i="7"/>
  <c r="H623" i="7" s="1"/>
  <c r="I623" i="7"/>
  <c r="J623" i="7"/>
  <c r="K623" i="7" s="1"/>
  <c r="G634" i="7"/>
  <c r="H634" i="7"/>
  <c r="I634" i="7"/>
  <c r="J634" i="7" s="1"/>
  <c r="K634" i="7" s="1"/>
  <c r="G644" i="7"/>
  <c r="H644" i="7" s="1"/>
  <c r="I644" i="7" s="1"/>
  <c r="J644" i="7" s="1"/>
  <c r="K644" i="7" s="1"/>
  <c r="G649" i="7"/>
  <c r="H649" i="7" s="1"/>
  <c r="I649" i="7" s="1"/>
  <c r="J649" i="7"/>
  <c r="K649" i="7" s="1"/>
  <c r="G653" i="7"/>
  <c r="H653" i="7"/>
  <c r="I653" i="7"/>
  <c r="J653" i="7" s="1"/>
  <c r="K653" i="7" s="1"/>
  <c r="F654" i="7"/>
  <c r="E662" i="7"/>
  <c r="F662" i="7"/>
  <c r="G667" i="7"/>
  <c r="H667" i="7"/>
  <c r="I667" i="7" s="1"/>
  <c r="J667" i="7" s="1"/>
  <c r="K667" i="7" s="1"/>
  <c r="E676" i="7"/>
  <c r="G680" i="7"/>
  <c r="H680" i="7"/>
  <c r="I680" i="7" s="1"/>
  <c r="J680" i="7" s="1"/>
  <c r="K680" i="7" s="1"/>
  <c r="G685" i="7"/>
  <c r="H685" i="7"/>
  <c r="I685" i="7" s="1"/>
  <c r="J685" i="7" s="1"/>
  <c r="K685" i="7"/>
  <c r="G690" i="7"/>
  <c r="H690" i="7" s="1"/>
  <c r="I690" i="7"/>
  <c r="J690" i="7" s="1"/>
  <c r="K690" i="7"/>
  <c r="E691" i="7"/>
  <c r="F691" i="7"/>
  <c r="E692" i="7"/>
  <c r="F692" i="7"/>
  <c r="G692" i="7"/>
  <c r="H692" i="7"/>
  <c r="I692" i="7"/>
  <c r="J692" i="7"/>
  <c r="K692" i="7"/>
  <c r="E693" i="7"/>
  <c r="F693" i="7"/>
  <c r="E694" i="7"/>
  <c r="F694" i="7"/>
  <c r="E695" i="7"/>
  <c r="F695" i="7"/>
  <c r="E696" i="7"/>
  <c r="E698" i="7"/>
  <c r="F698" i="7"/>
  <c r="G705" i="7"/>
  <c r="H705" i="7"/>
  <c r="I705" i="7" s="1"/>
  <c r="J705" i="7" s="1"/>
  <c r="K705" i="7" s="1"/>
  <c r="E706" i="7"/>
  <c r="F706" i="7"/>
  <c r="E707" i="7"/>
  <c r="F707" i="7"/>
  <c r="E708" i="7"/>
  <c r="F708" i="7"/>
  <c r="G711" i="7"/>
  <c r="H711" i="7"/>
  <c r="I711" i="7"/>
  <c r="J711" i="7" s="1"/>
  <c r="K711" i="7"/>
  <c r="E712" i="7"/>
  <c r="F712" i="7"/>
  <c r="E713" i="7"/>
  <c r="F713" i="7"/>
  <c r="E714" i="7"/>
  <c r="F714" i="7"/>
  <c r="G717" i="7"/>
  <c r="H717" i="7"/>
  <c r="I717" i="7" s="1"/>
  <c r="J717" i="7" s="1"/>
  <c r="K717" i="7" s="1"/>
  <c r="G722" i="7"/>
  <c r="H722" i="7" s="1"/>
  <c r="I722" i="7"/>
  <c r="J722" i="7" s="1"/>
  <c r="K722" i="7" s="1"/>
  <c r="G727" i="7"/>
  <c r="H727" i="7" s="1"/>
  <c r="I727" i="7" s="1"/>
  <c r="J727" i="7" s="1"/>
  <c r="K727" i="7" s="1"/>
  <c r="E728" i="7"/>
  <c r="F728" i="7"/>
  <c r="E729" i="7"/>
  <c r="F729" i="7"/>
  <c r="E730" i="7"/>
  <c r="F730" i="7"/>
  <c r="E731" i="7"/>
  <c r="F731" i="7"/>
  <c r="G734" i="7"/>
  <c r="H734" i="7"/>
  <c r="I734" i="7" s="1"/>
  <c r="J734" i="7" s="1"/>
  <c r="K734" i="7" s="1"/>
  <c r="G739" i="7"/>
  <c r="H739" i="7" s="1"/>
  <c r="I739" i="7" s="1"/>
  <c r="J739" i="7" s="1"/>
  <c r="K739" i="7" s="1"/>
  <c r="G744" i="7"/>
  <c r="H744" i="7"/>
  <c r="I744" i="7" s="1"/>
  <c r="J744" i="7" s="1"/>
  <c r="K744" i="7" s="1"/>
  <c r="G750" i="7"/>
  <c r="H750" i="7"/>
  <c r="I750" i="7" s="1"/>
  <c r="J750" i="7"/>
  <c r="K750" i="7"/>
  <c r="F752" i="7"/>
  <c r="G758" i="7"/>
  <c r="H758" i="7"/>
  <c r="I758" i="7" s="1"/>
  <c r="J758" i="7" s="1"/>
  <c r="K758" i="7" s="1"/>
  <c r="E759" i="7"/>
  <c r="F759" i="7"/>
  <c r="E760" i="7"/>
  <c r="F760" i="7"/>
  <c r="E761" i="7"/>
  <c r="F763" i="7"/>
  <c r="G767" i="7"/>
  <c r="H767" i="7"/>
  <c r="I767" i="7" s="1"/>
  <c r="J767" i="7" s="1"/>
  <c r="K767" i="7" s="1"/>
  <c r="E768" i="7"/>
  <c r="G770" i="7"/>
  <c r="H770" i="7"/>
  <c r="I770" i="7"/>
  <c r="J770" i="7"/>
  <c r="K770" i="7"/>
  <c r="E771" i="7"/>
  <c r="G776" i="7"/>
  <c r="H776" i="7" s="1"/>
  <c r="I776" i="7" s="1"/>
  <c r="J776" i="7" s="1"/>
  <c r="K776" i="7" s="1"/>
  <c r="G786" i="7"/>
  <c r="H786" i="7"/>
  <c r="I786" i="7" s="1"/>
  <c r="J786" i="7" s="1"/>
  <c r="K786" i="7" s="1"/>
  <c r="G794" i="7"/>
  <c r="H794" i="7"/>
  <c r="I794" i="7" s="1"/>
  <c r="J794" i="7" s="1"/>
  <c r="K794" i="7" s="1"/>
  <c r="F19" i="7" l="1"/>
  <c r="F28" i="7"/>
  <c r="F64" i="7"/>
  <c r="F26" i="7"/>
  <c r="F62" i="7"/>
  <c r="AE151" i="8" l="1"/>
  <c r="CW240" i="17" l="1"/>
  <c r="CR304" i="17" l="1"/>
  <c r="CR305" i="17"/>
  <c r="CR306" i="17"/>
  <c r="CR303" i="17"/>
  <c r="CR307" i="17" l="1"/>
  <c r="AB278" i="1" l="1"/>
  <c r="AB31" i="8" s="1"/>
  <c r="AC31" i="8" s="1"/>
  <c r="F278" i="1"/>
  <c r="EW96" i="6" l="1"/>
  <c r="EW95" i="6"/>
  <c r="EW93" i="6"/>
  <c r="EU93" i="6"/>
  <c r="ET93" i="6"/>
  <c r="ES93" i="6"/>
  <c r="EW92" i="6"/>
  <c r="EU92" i="6"/>
  <c r="ET92" i="6"/>
  <c r="ES92" i="6"/>
  <c r="EW90" i="6"/>
  <c r="EU90" i="6"/>
  <c r="ET90" i="6"/>
  <c r="ES90" i="6"/>
  <c r="EW88" i="6"/>
  <c r="EW87" i="6"/>
  <c r="EU87" i="6"/>
  <c r="ET87" i="6"/>
  <c r="ES87" i="6"/>
  <c r="EW86" i="6"/>
  <c r="EU86" i="6"/>
  <c r="ET86" i="6"/>
  <c r="ES86" i="6"/>
  <c r="EW85" i="6"/>
  <c r="EU85" i="6"/>
  <c r="EW83" i="6"/>
  <c r="EW82" i="6"/>
  <c r="EW80" i="6"/>
  <c r="EV80" i="6"/>
  <c r="EU80" i="6"/>
  <c r="EW78" i="6"/>
  <c r="EW76" i="6"/>
  <c r="EV76" i="6"/>
  <c r="EU76" i="6"/>
  <c r="EW75" i="6"/>
  <c r="EU75" i="6"/>
  <c r="ET75" i="6"/>
  <c r="ES75" i="6"/>
  <c r="EW74" i="6"/>
  <c r="EU74" i="6"/>
  <c r="ET74" i="6"/>
  <c r="ES74" i="6"/>
  <c r="EW72" i="6"/>
  <c r="EU72" i="6"/>
  <c r="ET72" i="6"/>
  <c r="EW71" i="6"/>
  <c r="EW70" i="6"/>
  <c r="EU70" i="6"/>
  <c r="ET70" i="6"/>
  <c r="ES70" i="6"/>
  <c r="EW68" i="6"/>
  <c r="EU68" i="6"/>
  <c r="ET68" i="6"/>
  <c r="ES68" i="6"/>
  <c r="EU66" i="6"/>
  <c r="ET66" i="6"/>
  <c r="EU65" i="6"/>
  <c r="ET65" i="6"/>
  <c r="EW64" i="6"/>
  <c r="EV64" i="6"/>
  <c r="EU64" i="6"/>
  <c r="ES64" i="6"/>
  <c r="EW63" i="6"/>
  <c r="EV63" i="6"/>
  <c r="EU63" i="6"/>
  <c r="ES63" i="6"/>
  <c r="EV62" i="6"/>
  <c r="EU62" i="6"/>
  <c r="EW61" i="6"/>
  <c r="EW59" i="6"/>
  <c r="EW58" i="6"/>
  <c r="EW57" i="6"/>
  <c r="EW56" i="6"/>
  <c r="EV56" i="6"/>
  <c r="EU56" i="6"/>
  <c r="ET56" i="6"/>
  <c r="EW55" i="6"/>
  <c r="EV55" i="6"/>
  <c r="EU55" i="6"/>
  <c r="ET55" i="6"/>
  <c r="EW54" i="6"/>
  <c r="EV54" i="6"/>
  <c r="EU54" i="6"/>
  <c r="ET54" i="6"/>
  <c r="ES2" i="6"/>
  <c r="DW114" i="11"/>
  <c r="DW107" i="11"/>
  <c r="DW105" i="11"/>
  <c r="DW99" i="11"/>
  <c r="DW92" i="11"/>
  <c r="DW90" i="11"/>
  <c r="DW84" i="11"/>
  <c r="DW79" i="11"/>
  <c r="DW69" i="11"/>
  <c r="DW54" i="11"/>
  <c r="DY50" i="11"/>
  <c r="DY8" i="11" s="1"/>
  <c r="DW50" i="11"/>
  <c r="AE16" i="12" s="1"/>
  <c r="DW45" i="11"/>
  <c r="DW39" i="11"/>
  <c r="DY7" i="11"/>
  <c r="DW33" i="11"/>
  <c r="EA32" i="11"/>
  <c r="DW20" i="11"/>
  <c r="DY11" i="11"/>
  <c r="DW11" i="11"/>
  <c r="DW8" i="11"/>
  <c r="DW7" i="11"/>
  <c r="DW5" i="11"/>
  <c r="CY275" i="17"/>
  <c r="DB262" i="17"/>
  <c r="DB267" i="17" s="1"/>
  <c r="DA262" i="17"/>
  <c r="DA267" i="17" s="1"/>
  <c r="CZ262" i="17"/>
  <c r="CZ267" i="17" s="1"/>
  <c r="CY262" i="17"/>
  <c r="CY267" i="17" s="1"/>
  <c r="CY253" i="17"/>
  <c r="CZ245" i="17"/>
  <c r="CY240" i="17"/>
  <c r="CY14" i="17" s="1"/>
  <c r="DB232" i="17"/>
  <c r="DB245" i="17" s="1"/>
  <c r="DA232" i="17"/>
  <c r="DA245" i="17" s="1"/>
  <c r="CZ232" i="17"/>
  <c r="CY232" i="17"/>
  <c r="CY245" i="17" s="1"/>
  <c r="CY218" i="17"/>
  <c r="DB205" i="17"/>
  <c r="DB210" i="17" s="1"/>
  <c r="DA205" i="17"/>
  <c r="DA210" i="17" s="1"/>
  <c r="CZ205" i="17"/>
  <c r="CZ210" i="17" s="1"/>
  <c r="CY205" i="17"/>
  <c r="CY210" i="17" s="1"/>
  <c r="CY196" i="17"/>
  <c r="DB183" i="17"/>
  <c r="DA183" i="17"/>
  <c r="CY183" i="17"/>
  <c r="CY12" i="17" s="1"/>
  <c r="DB175" i="17"/>
  <c r="DB188" i="17" s="1"/>
  <c r="DA175" i="17"/>
  <c r="DA188" i="17" s="1"/>
  <c r="CZ175" i="17"/>
  <c r="CZ188" i="17" s="1"/>
  <c r="CY175" i="17"/>
  <c r="CY188" i="17" s="1"/>
  <c r="CY161" i="17"/>
  <c r="DB148" i="17"/>
  <c r="DB153" i="17" s="1"/>
  <c r="DA148" i="17"/>
  <c r="DA153" i="17" s="1"/>
  <c r="CZ148" i="17"/>
  <c r="CZ153" i="17" s="1"/>
  <c r="CY148" i="17"/>
  <c r="CY153" i="17" s="1"/>
  <c r="CY139" i="17"/>
  <c r="DB128" i="17"/>
  <c r="DB133" i="17" s="1"/>
  <c r="DA128" i="17"/>
  <c r="DA133" i="17" s="1"/>
  <c r="CZ128" i="17"/>
  <c r="CZ133" i="17" s="1"/>
  <c r="CY128" i="17"/>
  <c r="CY133" i="17" s="1"/>
  <c r="CY122" i="17"/>
  <c r="DB114" i="17"/>
  <c r="DA114" i="17"/>
  <c r="CZ114" i="17"/>
  <c r="CY114" i="17"/>
  <c r="CY99" i="17"/>
  <c r="DB86" i="17"/>
  <c r="DB8" i="17" s="1"/>
  <c r="DA86" i="17"/>
  <c r="DA8" i="17" s="1"/>
  <c r="CZ86" i="17"/>
  <c r="CZ8" i="17" s="1"/>
  <c r="CY86" i="17"/>
  <c r="DB75" i="17"/>
  <c r="DB91" i="17" s="1"/>
  <c r="DA75" i="17"/>
  <c r="DA91" i="17" s="1"/>
  <c r="CZ75" i="17"/>
  <c r="CZ91" i="17" s="1"/>
  <c r="CY75" i="17"/>
  <c r="CY91" i="17" s="1"/>
  <c r="CY58" i="17"/>
  <c r="DB45" i="17"/>
  <c r="DB50" i="17" s="1"/>
  <c r="DA45" i="17"/>
  <c r="DA50" i="17" s="1"/>
  <c r="CZ45" i="17"/>
  <c r="CZ50" i="17" s="1"/>
  <c r="CY45" i="17"/>
  <c r="CY50" i="17" s="1"/>
  <c r="CY39" i="17"/>
  <c r="DB26" i="17"/>
  <c r="DB31" i="17" s="1"/>
  <c r="DA26" i="17"/>
  <c r="DA31" i="17" s="1"/>
  <c r="CZ26" i="17"/>
  <c r="CZ31" i="17" s="1"/>
  <c r="CY26" i="17"/>
  <c r="CY31" i="17" s="1"/>
  <c r="CY20" i="17"/>
  <c r="DB7" i="17"/>
  <c r="DA7" i="17"/>
  <c r="CZ7" i="17"/>
  <c r="CY7" i="17"/>
  <c r="DB6" i="17"/>
  <c r="DA6" i="17"/>
  <c r="CZ6" i="17"/>
  <c r="CY6" i="17"/>
  <c r="AE620" i="7"/>
  <c r="AE266" i="7"/>
  <c r="AE250" i="7"/>
  <c r="AE20" i="7"/>
  <c r="AE216" i="8"/>
  <c r="EW11" i="6" s="1"/>
  <c r="AE181" i="8"/>
  <c r="AE174" i="8"/>
  <c r="AE458" i="12"/>
  <c r="AE455" i="12"/>
  <c r="AE450" i="12"/>
  <c r="AE445" i="12"/>
  <c r="AE440" i="12"/>
  <c r="AE435" i="12"/>
  <c r="AE432" i="12"/>
  <c r="AE429" i="12"/>
  <c r="AE426" i="12"/>
  <c r="AE423" i="12"/>
  <c r="AE411" i="12"/>
  <c r="AE399" i="12"/>
  <c r="AE396" i="12"/>
  <c r="AE393" i="12"/>
  <c r="AE390" i="12"/>
  <c r="AE387" i="12"/>
  <c r="AE370" i="12"/>
  <c r="AE366" i="12"/>
  <c r="AE365" i="12"/>
  <c r="AE360" i="12"/>
  <c r="AE354" i="12"/>
  <c r="AE351" i="12"/>
  <c r="AE344" i="12"/>
  <c r="AE337" i="12"/>
  <c r="AE333" i="12"/>
  <c r="AE329" i="12"/>
  <c r="AE326" i="12"/>
  <c r="AE324" i="12"/>
  <c r="AE319" i="12"/>
  <c r="AE314" i="12"/>
  <c r="AE308" i="12"/>
  <c r="AE303" i="12"/>
  <c r="AE297" i="12"/>
  <c r="AE294" i="12"/>
  <c r="AE292" i="12"/>
  <c r="AE287" i="12"/>
  <c r="AE282" i="12"/>
  <c r="AE276" i="12"/>
  <c r="AE271" i="12"/>
  <c r="AE265" i="12"/>
  <c r="AE262" i="12"/>
  <c r="AE259" i="12"/>
  <c r="AE253" i="12"/>
  <c r="AE246" i="12"/>
  <c r="AE240" i="12"/>
  <c r="AE235" i="12"/>
  <c r="AE234" i="12"/>
  <c r="AE227" i="12"/>
  <c r="AE215" i="12"/>
  <c r="AE201" i="12"/>
  <c r="AE198" i="12"/>
  <c r="AE196" i="12"/>
  <c r="AE190" i="12"/>
  <c r="AE187" i="12"/>
  <c r="AE184" i="12"/>
  <c r="AE164" i="12"/>
  <c r="AE161" i="12"/>
  <c r="AE158" i="12"/>
  <c r="AE146" i="12"/>
  <c r="AE133" i="12"/>
  <c r="AE130" i="12"/>
  <c r="AE127" i="12"/>
  <c r="AE124" i="12"/>
  <c r="AE121" i="12"/>
  <c r="AE117" i="12"/>
  <c r="AE113" i="12"/>
  <c r="AE110" i="12"/>
  <c r="AE109" i="12"/>
  <c r="AE108" i="12"/>
  <c r="AE102" i="12"/>
  <c r="AE97" i="12"/>
  <c r="AE91" i="12"/>
  <c r="AE88" i="12"/>
  <c r="AE87" i="12"/>
  <c r="AE86" i="12"/>
  <c r="AE80" i="12"/>
  <c r="AE75" i="12"/>
  <c r="AE69" i="12"/>
  <c r="AE67" i="12"/>
  <c r="AE66" i="12"/>
  <c r="AE63" i="12"/>
  <c r="AE57" i="12"/>
  <c r="AE50" i="12"/>
  <c r="AE48" i="12"/>
  <c r="AE47" i="12"/>
  <c r="AE44" i="12"/>
  <c r="AE41" i="12"/>
  <c r="AE40" i="12"/>
  <c r="AE36" i="12"/>
  <c r="AE35" i="12"/>
  <c r="AE32" i="12"/>
  <c r="AE18" i="12"/>
  <c r="AE15" i="12"/>
  <c r="AE12" i="12"/>
  <c r="AE10" i="12"/>
  <c r="AE9" i="12"/>
  <c r="AE6" i="12"/>
  <c r="AE768" i="7" l="1"/>
  <c r="DA12" i="17"/>
  <c r="CY8" i="17"/>
  <c r="DB12" i="17"/>
  <c r="CZ183" i="17"/>
  <c r="CZ240" i="17"/>
  <c r="CZ14" i="17" s="1"/>
  <c r="DC70" i="16"/>
  <c r="DB70" i="16"/>
  <c r="DA70" i="16"/>
  <c r="CZ70" i="16"/>
  <c r="CY70" i="16"/>
  <c r="CX70" i="16"/>
  <c r="CW70" i="16"/>
  <c r="CV70" i="16"/>
  <c r="CU70" i="16"/>
  <c r="CT70" i="16"/>
  <c r="CS70" i="16"/>
  <c r="CR70" i="16"/>
  <c r="CQ70" i="16"/>
  <c r="CP70" i="16"/>
  <c r="CO70" i="16"/>
  <c r="CN70" i="16"/>
  <c r="CM70" i="16"/>
  <c r="CL70" i="16"/>
  <c r="CK70" i="16"/>
  <c r="CJ70" i="16"/>
  <c r="CI70" i="16"/>
  <c r="CH70" i="16"/>
  <c r="CG70" i="16"/>
  <c r="CF70" i="16"/>
  <c r="CE70" i="16"/>
  <c r="CD70" i="16"/>
  <c r="CC70" i="16"/>
  <c r="CB70" i="16"/>
  <c r="CA70" i="16"/>
  <c r="BZ70" i="16"/>
  <c r="BY70" i="16"/>
  <c r="BX70" i="16"/>
  <c r="BW70" i="16"/>
  <c r="BV70" i="16"/>
  <c r="BU70" i="16"/>
  <c r="BT70" i="16"/>
  <c r="BS70" i="16"/>
  <c r="BR70" i="16"/>
  <c r="BQ70" i="16"/>
  <c r="BP70" i="16"/>
  <c r="BO70" i="16"/>
  <c r="BN70" i="16"/>
  <c r="BM70" i="16"/>
  <c r="BL70" i="16"/>
  <c r="BK70" i="16"/>
  <c r="BJ70" i="16"/>
  <c r="BI70" i="16"/>
  <c r="BH70" i="16"/>
  <c r="BG70" i="16"/>
  <c r="BF70" i="16"/>
  <c r="BE70" i="16"/>
  <c r="BD70" i="16"/>
  <c r="BC70" i="16"/>
  <c r="BB70" i="16"/>
  <c r="BA70" i="16"/>
  <c r="AZ70" i="16"/>
  <c r="AY70" i="16"/>
  <c r="AX70" i="16"/>
  <c r="AW70" i="16"/>
  <c r="AV70" i="16"/>
  <c r="AU70" i="16"/>
  <c r="AT70" i="16"/>
  <c r="AS70" i="16"/>
  <c r="AR70" i="16"/>
  <c r="AQ70" i="16"/>
  <c r="AP70" i="16"/>
  <c r="AO70" i="16"/>
  <c r="AN70" i="16"/>
  <c r="AM70" i="16"/>
  <c r="AL70" i="16"/>
  <c r="AK70" i="16"/>
  <c r="AJ70" i="16"/>
  <c r="AI70" i="16"/>
  <c r="AH70" i="16"/>
  <c r="AG70" i="16"/>
  <c r="AF70" i="16"/>
  <c r="AE70" i="16"/>
  <c r="AD70" i="16"/>
  <c r="AC70" i="16"/>
  <c r="AB70" i="16"/>
  <c r="AA70" i="16"/>
  <c r="Z70" i="16"/>
  <c r="Y70" i="16"/>
  <c r="X70" i="16"/>
  <c r="W70" i="16"/>
  <c r="V70" i="16"/>
  <c r="U70" i="16"/>
  <c r="T70" i="16"/>
  <c r="S70" i="16"/>
  <c r="R70" i="16"/>
  <c r="Q70" i="16"/>
  <c r="P70" i="16"/>
  <c r="O70" i="16"/>
  <c r="N70" i="16"/>
  <c r="M70" i="16"/>
  <c r="L70" i="16"/>
  <c r="K70" i="16"/>
  <c r="J70" i="16"/>
  <c r="I70" i="16"/>
  <c r="H70" i="16"/>
  <c r="G70" i="16"/>
  <c r="F70" i="16"/>
  <c r="DC69" i="16"/>
  <c r="DB69" i="16"/>
  <c r="DA69" i="16"/>
  <c r="CZ69" i="16"/>
  <c r="CY69" i="16"/>
  <c r="CX69" i="16"/>
  <c r="CW69" i="16"/>
  <c r="CV69" i="16"/>
  <c r="CU69" i="16"/>
  <c r="CT69" i="16"/>
  <c r="CS69" i="16"/>
  <c r="CR69" i="16"/>
  <c r="CQ69" i="16"/>
  <c r="CP69" i="16"/>
  <c r="CO69" i="16"/>
  <c r="CN69" i="16"/>
  <c r="CM69" i="16"/>
  <c r="CL69" i="16"/>
  <c r="CK69" i="16"/>
  <c r="CJ69" i="16"/>
  <c r="CI69" i="16"/>
  <c r="CH69" i="16"/>
  <c r="CG69" i="16"/>
  <c r="CF69" i="16"/>
  <c r="CE69" i="16"/>
  <c r="CD69" i="16"/>
  <c r="CC69" i="16"/>
  <c r="CB69" i="16"/>
  <c r="CA69" i="16"/>
  <c r="BZ69" i="16"/>
  <c r="BY69" i="16"/>
  <c r="BX69" i="16"/>
  <c r="BW69" i="16"/>
  <c r="BV69" i="16"/>
  <c r="BU69" i="16"/>
  <c r="BT69" i="16"/>
  <c r="BS69" i="16"/>
  <c r="BR69" i="16"/>
  <c r="BQ69" i="16"/>
  <c r="BP69" i="16"/>
  <c r="BO69" i="16"/>
  <c r="BN69" i="16"/>
  <c r="BM69" i="16"/>
  <c r="BL69" i="16"/>
  <c r="BK69" i="16"/>
  <c r="BJ69" i="16"/>
  <c r="BI69" i="16"/>
  <c r="BH69" i="16"/>
  <c r="BG69" i="16"/>
  <c r="BF69" i="16"/>
  <c r="BE69" i="16"/>
  <c r="BD69" i="16"/>
  <c r="BC69" i="16"/>
  <c r="BB69" i="16"/>
  <c r="BA69" i="16"/>
  <c r="AZ69" i="16"/>
  <c r="AY69" i="16"/>
  <c r="AX69" i="16"/>
  <c r="AW69" i="16"/>
  <c r="AV69" i="16"/>
  <c r="AU69" i="16"/>
  <c r="AT69" i="16"/>
  <c r="AS69" i="16"/>
  <c r="AR69" i="16"/>
  <c r="AQ69" i="16"/>
  <c r="AP69" i="16"/>
  <c r="AO69" i="16"/>
  <c r="AN69" i="16"/>
  <c r="AM69" i="16"/>
  <c r="AL69" i="16"/>
  <c r="AK69" i="16"/>
  <c r="AJ69" i="16"/>
  <c r="AI69" i="16"/>
  <c r="AH69" i="16"/>
  <c r="AG69" i="16"/>
  <c r="AF69" i="16"/>
  <c r="AE69" i="16"/>
  <c r="AD69" i="16"/>
  <c r="AC69" i="16"/>
  <c r="AB69" i="16"/>
  <c r="AA69" i="16"/>
  <c r="Z69" i="16"/>
  <c r="Y69" i="16"/>
  <c r="X69" i="16"/>
  <c r="W69" i="16"/>
  <c r="V69" i="16"/>
  <c r="U69" i="16"/>
  <c r="T69" i="16"/>
  <c r="S69" i="16"/>
  <c r="R69" i="16"/>
  <c r="Q69" i="16"/>
  <c r="P69" i="16"/>
  <c r="O69" i="16"/>
  <c r="N69" i="16"/>
  <c r="M69" i="16"/>
  <c r="L69" i="16"/>
  <c r="K69" i="16"/>
  <c r="J69" i="16"/>
  <c r="I69" i="16"/>
  <c r="H69" i="16"/>
  <c r="G69" i="16"/>
  <c r="F69" i="16"/>
  <c r="DC68" i="16"/>
  <c r="DB68" i="16"/>
  <c r="DA68" i="16"/>
  <c r="CZ68" i="16"/>
  <c r="CY68" i="16"/>
  <c r="CX68" i="16"/>
  <c r="CW68" i="16"/>
  <c r="CV68" i="16"/>
  <c r="CU68" i="16"/>
  <c r="CT68" i="16"/>
  <c r="CS68" i="16"/>
  <c r="CR68" i="16"/>
  <c r="CQ68" i="16"/>
  <c r="CP68" i="16"/>
  <c r="CO68" i="16"/>
  <c r="CN68" i="16"/>
  <c r="CM68" i="16"/>
  <c r="CL68" i="16"/>
  <c r="CK68" i="16"/>
  <c r="CJ68" i="16"/>
  <c r="CI68" i="16"/>
  <c r="CH68" i="16"/>
  <c r="CG68" i="16"/>
  <c r="CF68" i="16"/>
  <c r="CE68" i="16"/>
  <c r="CD68" i="16"/>
  <c r="CC68" i="16"/>
  <c r="CB68" i="16"/>
  <c r="CA68" i="16"/>
  <c r="BZ68" i="16"/>
  <c r="BY68" i="16"/>
  <c r="BX68" i="16"/>
  <c r="BW68" i="16"/>
  <c r="BV68" i="16"/>
  <c r="BU68" i="16"/>
  <c r="BT68" i="16"/>
  <c r="BS68" i="16"/>
  <c r="BR68" i="16"/>
  <c r="BQ68" i="16"/>
  <c r="BP68" i="16"/>
  <c r="BO68" i="16"/>
  <c r="BN68" i="16"/>
  <c r="BM68" i="16"/>
  <c r="BL68" i="16"/>
  <c r="BK68" i="16"/>
  <c r="BJ68" i="16"/>
  <c r="BI68" i="16"/>
  <c r="BH68" i="16"/>
  <c r="BG68" i="16"/>
  <c r="BF68" i="16"/>
  <c r="BE68" i="16"/>
  <c r="BD68" i="16"/>
  <c r="BC68" i="16"/>
  <c r="BB68" i="16"/>
  <c r="BA68" i="16"/>
  <c r="AZ68" i="16"/>
  <c r="AY68" i="16"/>
  <c r="AX68" i="16"/>
  <c r="AW68" i="16"/>
  <c r="AV68" i="16"/>
  <c r="AU68" i="16"/>
  <c r="AT68" i="16"/>
  <c r="AS68" i="16"/>
  <c r="AR68" i="16"/>
  <c r="AQ68" i="16"/>
  <c r="AP68" i="16"/>
  <c r="AO68" i="16"/>
  <c r="AN68" i="16"/>
  <c r="AM68" i="16"/>
  <c r="AL68" i="16"/>
  <c r="AK68" i="16"/>
  <c r="AJ68" i="16"/>
  <c r="AI68" i="16"/>
  <c r="AH68" i="16"/>
  <c r="AG68" i="16"/>
  <c r="AF68" i="16"/>
  <c r="AE68" i="16"/>
  <c r="AD68" i="16"/>
  <c r="AC68" i="16"/>
  <c r="AB68" i="16"/>
  <c r="AA68" i="16"/>
  <c r="Z68" i="16"/>
  <c r="Y68" i="16"/>
  <c r="X68" i="16"/>
  <c r="W68" i="16"/>
  <c r="V68" i="16"/>
  <c r="U68" i="16"/>
  <c r="T68" i="16"/>
  <c r="S68" i="16"/>
  <c r="R68" i="16"/>
  <c r="Q68" i="16"/>
  <c r="P68" i="16"/>
  <c r="O68" i="16"/>
  <c r="N68" i="16"/>
  <c r="M68" i="16"/>
  <c r="L68" i="16"/>
  <c r="K68" i="16"/>
  <c r="J68" i="16"/>
  <c r="I68" i="16"/>
  <c r="H68" i="16"/>
  <c r="G68" i="16"/>
  <c r="F68" i="16"/>
  <c r="DC67" i="16"/>
  <c r="DB67" i="16"/>
  <c r="DA67" i="16"/>
  <c r="CZ67" i="16"/>
  <c r="CY67" i="16"/>
  <c r="CX67" i="16"/>
  <c r="CW67" i="16"/>
  <c r="CV67" i="16"/>
  <c r="CU67" i="16"/>
  <c r="CT67" i="16"/>
  <c r="CS67" i="16"/>
  <c r="CR67" i="16"/>
  <c r="CQ67" i="16"/>
  <c r="CP67" i="16"/>
  <c r="CO67" i="16"/>
  <c r="CN67" i="16"/>
  <c r="CM67" i="16"/>
  <c r="CL67" i="16"/>
  <c r="CK67" i="16"/>
  <c r="CJ67" i="16"/>
  <c r="CI67" i="16"/>
  <c r="CH67" i="16"/>
  <c r="CG67" i="16"/>
  <c r="CF67" i="16"/>
  <c r="CE67" i="16"/>
  <c r="CD67" i="16"/>
  <c r="CC67" i="16"/>
  <c r="CB67" i="16"/>
  <c r="CA67" i="16"/>
  <c r="BZ67" i="16"/>
  <c r="BY67" i="16"/>
  <c r="BX67" i="16"/>
  <c r="BW67" i="16"/>
  <c r="BV67" i="16"/>
  <c r="BU67" i="16"/>
  <c r="BT67" i="16"/>
  <c r="BS67" i="16"/>
  <c r="BR67" i="16"/>
  <c r="BQ67" i="16"/>
  <c r="BP67" i="16"/>
  <c r="BO67" i="16"/>
  <c r="BN67" i="16"/>
  <c r="BM67" i="16"/>
  <c r="BL67" i="16"/>
  <c r="BK67" i="16"/>
  <c r="BJ67" i="16"/>
  <c r="BI67" i="16"/>
  <c r="BH67" i="16"/>
  <c r="BG67" i="16"/>
  <c r="BF67" i="16"/>
  <c r="BE67" i="16"/>
  <c r="BD67" i="16"/>
  <c r="BC67" i="16"/>
  <c r="BB67" i="16"/>
  <c r="BA67" i="16"/>
  <c r="AZ67" i="16"/>
  <c r="AY67" i="16"/>
  <c r="AX67" i="16"/>
  <c r="AW67" i="16"/>
  <c r="AV67" i="16"/>
  <c r="AU67" i="16"/>
  <c r="AT67" i="16"/>
  <c r="AS67" i="16"/>
  <c r="AR67" i="16"/>
  <c r="AQ67" i="16"/>
  <c r="AP67" i="16"/>
  <c r="AO67" i="16"/>
  <c r="AN67" i="16"/>
  <c r="AM67" i="16"/>
  <c r="AL67" i="16"/>
  <c r="AK67" i="16"/>
  <c r="AJ67" i="16"/>
  <c r="AI67" i="16"/>
  <c r="AH67" i="16"/>
  <c r="AG67" i="16"/>
  <c r="AF67" i="16"/>
  <c r="AE67" i="16"/>
  <c r="AD67" i="16"/>
  <c r="AC67" i="16"/>
  <c r="AB67" i="16"/>
  <c r="AA67" i="16"/>
  <c r="Z67" i="16"/>
  <c r="Y67" i="16"/>
  <c r="X67" i="16"/>
  <c r="W67" i="16"/>
  <c r="V67" i="16"/>
  <c r="U67" i="16"/>
  <c r="T67" i="16"/>
  <c r="S67" i="16"/>
  <c r="R67" i="16"/>
  <c r="Q67" i="16"/>
  <c r="P67" i="16"/>
  <c r="O67" i="16"/>
  <c r="N67" i="16"/>
  <c r="M67" i="16"/>
  <c r="L67" i="16"/>
  <c r="K67" i="16"/>
  <c r="J67" i="16"/>
  <c r="I67" i="16"/>
  <c r="H67" i="16"/>
  <c r="G67" i="16"/>
  <c r="F67" i="16"/>
  <c r="DC66" i="16"/>
  <c r="DB66" i="16"/>
  <c r="DA66" i="16"/>
  <c r="CZ66" i="16"/>
  <c r="CY66" i="16"/>
  <c r="CX66" i="16"/>
  <c r="CW66" i="16"/>
  <c r="CV66" i="16"/>
  <c r="CU66" i="16"/>
  <c r="CT66" i="16"/>
  <c r="CS66" i="16"/>
  <c r="CR66" i="16"/>
  <c r="CQ66" i="16"/>
  <c r="CP66" i="16"/>
  <c r="CO66" i="16"/>
  <c r="CN66" i="16"/>
  <c r="CM66" i="16"/>
  <c r="CL66" i="16"/>
  <c r="CK66" i="16"/>
  <c r="CJ66" i="16"/>
  <c r="CI66" i="16"/>
  <c r="CH66" i="16"/>
  <c r="CG66" i="16"/>
  <c r="CF66" i="16"/>
  <c r="CE66" i="16"/>
  <c r="CD66" i="16"/>
  <c r="CC66" i="16"/>
  <c r="CB66" i="16"/>
  <c r="CA66" i="16"/>
  <c r="BZ66" i="16"/>
  <c r="BY66" i="16"/>
  <c r="BX66" i="16"/>
  <c r="BW66" i="16"/>
  <c r="BV66" i="16"/>
  <c r="BU66" i="16"/>
  <c r="BT66" i="16"/>
  <c r="BS66" i="16"/>
  <c r="BR66" i="16"/>
  <c r="BQ66" i="16"/>
  <c r="BP66" i="16"/>
  <c r="BO66" i="16"/>
  <c r="BN66" i="16"/>
  <c r="BM66" i="16"/>
  <c r="BL66" i="16"/>
  <c r="BK66" i="16"/>
  <c r="BJ66" i="16"/>
  <c r="BI66" i="16"/>
  <c r="BH66" i="16"/>
  <c r="BG66" i="16"/>
  <c r="BF66" i="16"/>
  <c r="BE66" i="16"/>
  <c r="BD66" i="16"/>
  <c r="BC66" i="16"/>
  <c r="BB66" i="16"/>
  <c r="BA66" i="16"/>
  <c r="AZ66" i="16"/>
  <c r="AY66" i="16"/>
  <c r="AX66" i="16"/>
  <c r="AW66" i="16"/>
  <c r="AV66" i="16"/>
  <c r="AU66" i="16"/>
  <c r="AT66" i="16"/>
  <c r="AS66" i="16"/>
  <c r="AR66" i="16"/>
  <c r="AQ66" i="16"/>
  <c r="AP66" i="16"/>
  <c r="AO66" i="16"/>
  <c r="AN66" i="16"/>
  <c r="AM66" i="16"/>
  <c r="AL66" i="16"/>
  <c r="AK66" i="16"/>
  <c r="AJ66" i="16"/>
  <c r="AI66" i="16"/>
  <c r="AH66" i="16"/>
  <c r="AG66" i="16"/>
  <c r="AF66" i="16"/>
  <c r="AE66" i="16"/>
  <c r="AD66" i="16"/>
  <c r="AC66" i="16"/>
  <c r="AB66" i="16"/>
  <c r="AA66" i="16"/>
  <c r="Z66" i="16"/>
  <c r="Y66" i="16"/>
  <c r="X66" i="16"/>
  <c r="W66" i="16"/>
  <c r="V66" i="16"/>
  <c r="U66" i="16"/>
  <c r="T66" i="16"/>
  <c r="S66" i="16"/>
  <c r="R66" i="16"/>
  <c r="Q66" i="16"/>
  <c r="P66" i="16"/>
  <c r="O66" i="16"/>
  <c r="N66" i="16"/>
  <c r="M66" i="16"/>
  <c r="L66" i="16"/>
  <c r="K66" i="16"/>
  <c r="J66" i="16"/>
  <c r="I66" i="16"/>
  <c r="H66" i="16"/>
  <c r="G66" i="16"/>
  <c r="F66" i="16"/>
  <c r="DC65" i="16"/>
  <c r="DB65" i="16"/>
  <c r="DA65" i="16"/>
  <c r="CZ65" i="16"/>
  <c r="CY65" i="16"/>
  <c r="CX65" i="16"/>
  <c r="CW65" i="16"/>
  <c r="CV65" i="16"/>
  <c r="CU65" i="16"/>
  <c r="CT65" i="16"/>
  <c r="CS65" i="16"/>
  <c r="CR65" i="16"/>
  <c r="CQ65" i="16"/>
  <c r="CP65" i="16"/>
  <c r="CO65" i="16"/>
  <c r="CN65" i="16"/>
  <c r="CM65" i="16"/>
  <c r="CL65" i="16"/>
  <c r="CK65" i="16"/>
  <c r="CJ65" i="16"/>
  <c r="CI65" i="16"/>
  <c r="CH65" i="16"/>
  <c r="CG65" i="16"/>
  <c r="CF65" i="16"/>
  <c r="CE65" i="16"/>
  <c r="CD65" i="16"/>
  <c r="CC65" i="16"/>
  <c r="CB65" i="16"/>
  <c r="CA65" i="16"/>
  <c r="BZ65" i="16"/>
  <c r="BY65" i="16"/>
  <c r="BX65" i="16"/>
  <c r="BW65" i="16"/>
  <c r="BV65" i="16"/>
  <c r="BU65" i="16"/>
  <c r="BT65" i="16"/>
  <c r="BS65" i="16"/>
  <c r="BR65" i="16"/>
  <c r="BQ65" i="16"/>
  <c r="BP65" i="16"/>
  <c r="BO65" i="16"/>
  <c r="BN65" i="16"/>
  <c r="BM65" i="16"/>
  <c r="BL65" i="16"/>
  <c r="BK65" i="16"/>
  <c r="BJ65" i="16"/>
  <c r="BI65" i="16"/>
  <c r="BH65" i="16"/>
  <c r="BG65" i="16"/>
  <c r="BF65" i="16"/>
  <c r="BE65" i="16"/>
  <c r="BD65" i="16"/>
  <c r="BC65" i="16"/>
  <c r="BB65" i="16"/>
  <c r="BA65" i="16"/>
  <c r="AZ65" i="16"/>
  <c r="AY65" i="16"/>
  <c r="AX65" i="16"/>
  <c r="AW65" i="16"/>
  <c r="AV65" i="16"/>
  <c r="AU65" i="16"/>
  <c r="AT65" i="16"/>
  <c r="AS65" i="16"/>
  <c r="AR65" i="16"/>
  <c r="AQ65" i="16"/>
  <c r="AP65" i="16"/>
  <c r="AO65" i="16"/>
  <c r="AN65" i="16"/>
  <c r="AM65" i="16"/>
  <c r="AL65" i="16"/>
  <c r="AK65" i="16"/>
  <c r="AJ65" i="16"/>
  <c r="AI65" i="16"/>
  <c r="AH65" i="16"/>
  <c r="AG65" i="16"/>
  <c r="AF65" i="16"/>
  <c r="AE65" i="16"/>
  <c r="AD65" i="16"/>
  <c r="AC65" i="16"/>
  <c r="AB65" i="16"/>
  <c r="AA65" i="16"/>
  <c r="Z65" i="16"/>
  <c r="Y65" i="16"/>
  <c r="X65" i="16"/>
  <c r="W65" i="16"/>
  <c r="V65" i="16"/>
  <c r="U65" i="16"/>
  <c r="T65" i="16"/>
  <c r="S65" i="16"/>
  <c r="R65" i="16"/>
  <c r="Q65" i="16"/>
  <c r="P65" i="16"/>
  <c r="O65" i="16"/>
  <c r="N65" i="16"/>
  <c r="M65" i="16"/>
  <c r="L65" i="16"/>
  <c r="K65" i="16"/>
  <c r="J65" i="16"/>
  <c r="I65" i="16"/>
  <c r="H65" i="16"/>
  <c r="G65" i="16"/>
  <c r="F65" i="16"/>
  <c r="DC64" i="16"/>
  <c r="DB64" i="16"/>
  <c r="DA64" i="16"/>
  <c r="CZ64" i="16"/>
  <c r="CY64" i="16"/>
  <c r="CX64" i="16"/>
  <c r="CW64" i="16"/>
  <c r="CV64" i="16"/>
  <c r="CU64" i="16"/>
  <c r="CT64" i="16"/>
  <c r="CS64" i="16"/>
  <c r="CR64" i="16"/>
  <c r="CQ64" i="16"/>
  <c r="CP64" i="16"/>
  <c r="CO64" i="16"/>
  <c r="CN64" i="16"/>
  <c r="CM64" i="16"/>
  <c r="CL64" i="16"/>
  <c r="CK64" i="16"/>
  <c r="CJ64" i="16"/>
  <c r="CI64" i="16"/>
  <c r="CH64" i="16"/>
  <c r="CG64" i="16"/>
  <c r="CF64" i="16"/>
  <c r="CE64" i="16"/>
  <c r="CD64" i="16"/>
  <c r="CC64" i="16"/>
  <c r="CB64" i="16"/>
  <c r="CA64" i="16"/>
  <c r="BZ64" i="16"/>
  <c r="BY64" i="16"/>
  <c r="BX64" i="16"/>
  <c r="BW64" i="16"/>
  <c r="BV64" i="16"/>
  <c r="BU64" i="16"/>
  <c r="BT64" i="16"/>
  <c r="BS64" i="16"/>
  <c r="BR64" i="16"/>
  <c r="BQ64" i="16"/>
  <c r="BP64" i="16"/>
  <c r="BO64" i="16"/>
  <c r="BN64" i="16"/>
  <c r="BM64" i="16"/>
  <c r="BL64" i="16"/>
  <c r="BK64" i="16"/>
  <c r="BJ64" i="16"/>
  <c r="BI64" i="16"/>
  <c r="BH64" i="16"/>
  <c r="BG64" i="16"/>
  <c r="BF64" i="16"/>
  <c r="BE64" i="16"/>
  <c r="BD64" i="16"/>
  <c r="BC64" i="16"/>
  <c r="BB64" i="16"/>
  <c r="BA64" i="16"/>
  <c r="AZ64" i="16"/>
  <c r="AY64" i="16"/>
  <c r="AX64" i="16"/>
  <c r="AW64" i="16"/>
  <c r="AV64" i="16"/>
  <c r="AU64" i="16"/>
  <c r="AT64" i="16"/>
  <c r="AS64" i="16"/>
  <c r="AR64" i="16"/>
  <c r="AQ64" i="16"/>
  <c r="AP64" i="16"/>
  <c r="AO64" i="16"/>
  <c r="AN64" i="16"/>
  <c r="AM64" i="16"/>
  <c r="AL64" i="16"/>
  <c r="AK64" i="16"/>
  <c r="AJ64" i="16"/>
  <c r="AI64" i="16"/>
  <c r="AH64" i="16"/>
  <c r="AG64" i="16"/>
  <c r="AF64" i="16"/>
  <c r="AE64" i="16"/>
  <c r="AD64" i="16"/>
  <c r="AC64" i="16"/>
  <c r="AB64" i="16"/>
  <c r="AA64" i="16"/>
  <c r="Z64" i="16"/>
  <c r="Y64" i="16"/>
  <c r="X64" i="16"/>
  <c r="W64" i="16"/>
  <c r="V64" i="16"/>
  <c r="U64" i="16"/>
  <c r="T64" i="16"/>
  <c r="S64" i="16"/>
  <c r="R64" i="16"/>
  <c r="Q64" i="16"/>
  <c r="P64" i="16"/>
  <c r="O64" i="16"/>
  <c r="N64" i="16"/>
  <c r="M64" i="16"/>
  <c r="L64" i="16"/>
  <c r="K64" i="16"/>
  <c r="J64" i="16"/>
  <c r="I64" i="16"/>
  <c r="H64" i="16"/>
  <c r="G64" i="16"/>
  <c r="F64" i="16"/>
  <c r="DC63" i="16"/>
  <c r="DB63" i="16"/>
  <c r="DA63" i="16"/>
  <c r="CZ63" i="16"/>
  <c r="CY63" i="16"/>
  <c r="CX63" i="16"/>
  <c r="CW63" i="16"/>
  <c r="CV63" i="16"/>
  <c r="CU63" i="16"/>
  <c r="CT63" i="16"/>
  <c r="CS63" i="16"/>
  <c r="CR63" i="16"/>
  <c r="CQ63" i="16"/>
  <c r="CP63" i="16"/>
  <c r="CO63" i="16"/>
  <c r="CN63" i="16"/>
  <c r="CM63" i="16"/>
  <c r="CL63" i="16"/>
  <c r="CK63" i="16"/>
  <c r="CJ63" i="16"/>
  <c r="CI63" i="16"/>
  <c r="CH63" i="16"/>
  <c r="CG63" i="16"/>
  <c r="CF63" i="16"/>
  <c r="CE63" i="16"/>
  <c r="CD63" i="16"/>
  <c r="CC63" i="16"/>
  <c r="CB63" i="16"/>
  <c r="CA63" i="16"/>
  <c r="BZ63" i="16"/>
  <c r="BY63" i="16"/>
  <c r="BX63" i="16"/>
  <c r="BW63" i="16"/>
  <c r="BV63" i="16"/>
  <c r="BU63" i="16"/>
  <c r="BT63" i="16"/>
  <c r="BS63" i="16"/>
  <c r="BR63" i="16"/>
  <c r="BQ63" i="16"/>
  <c r="BP63" i="16"/>
  <c r="BO63" i="16"/>
  <c r="BN63" i="16"/>
  <c r="BM63" i="16"/>
  <c r="BL63" i="16"/>
  <c r="BK63" i="16"/>
  <c r="BJ63" i="16"/>
  <c r="BI63" i="16"/>
  <c r="BH63" i="16"/>
  <c r="BG63" i="16"/>
  <c r="BF63" i="16"/>
  <c r="BE63" i="16"/>
  <c r="BD63" i="16"/>
  <c r="BC63" i="16"/>
  <c r="BB63" i="16"/>
  <c r="BA63" i="16"/>
  <c r="AZ63" i="16"/>
  <c r="AY63" i="16"/>
  <c r="AX63" i="16"/>
  <c r="AW63" i="16"/>
  <c r="AV63" i="16"/>
  <c r="AU63" i="16"/>
  <c r="AT63" i="16"/>
  <c r="AS63" i="16"/>
  <c r="AR63" i="16"/>
  <c r="AQ63" i="16"/>
  <c r="AP63" i="16"/>
  <c r="AO63" i="16"/>
  <c r="AN63" i="16"/>
  <c r="AM63" i="16"/>
  <c r="AL63" i="16"/>
  <c r="AK63" i="16"/>
  <c r="AJ63" i="16"/>
  <c r="AI63" i="16"/>
  <c r="AH63" i="16"/>
  <c r="AG63" i="16"/>
  <c r="AF63" i="16"/>
  <c r="AE63" i="16"/>
  <c r="AD63" i="16"/>
  <c r="AC63" i="16"/>
  <c r="AB63" i="16"/>
  <c r="AA63" i="16"/>
  <c r="Z63" i="16"/>
  <c r="Y63" i="16"/>
  <c r="X63" i="16"/>
  <c r="W63" i="16"/>
  <c r="V63" i="16"/>
  <c r="U63" i="16"/>
  <c r="T63" i="16"/>
  <c r="S63" i="16"/>
  <c r="R63" i="16"/>
  <c r="Q63" i="16"/>
  <c r="P63" i="16"/>
  <c r="O63" i="16"/>
  <c r="N63" i="16"/>
  <c r="M63" i="16"/>
  <c r="L63" i="16"/>
  <c r="K63" i="16"/>
  <c r="J63" i="16"/>
  <c r="I63" i="16"/>
  <c r="H63" i="16"/>
  <c r="G63" i="16"/>
  <c r="F63" i="16"/>
  <c r="DC62" i="16"/>
  <c r="DB62" i="16"/>
  <c r="DA62" i="16"/>
  <c r="CZ62" i="16"/>
  <c r="CY62" i="16"/>
  <c r="CX62" i="16"/>
  <c r="CW62" i="16"/>
  <c r="CV62" i="16"/>
  <c r="CU62" i="16"/>
  <c r="CT62" i="16"/>
  <c r="CS62" i="16"/>
  <c r="CR62" i="16"/>
  <c r="CQ62" i="16"/>
  <c r="CP62" i="16"/>
  <c r="CO62" i="16"/>
  <c r="CN62" i="16"/>
  <c r="CM62" i="16"/>
  <c r="CL62" i="16"/>
  <c r="CK62" i="16"/>
  <c r="CJ62" i="16"/>
  <c r="CI62" i="16"/>
  <c r="CH62" i="16"/>
  <c r="CG62" i="16"/>
  <c r="CF62" i="16"/>
  <c r="CE62" i="16"/>
  <c r="CD62" i="16"/>
  <c r="CC62" i="16"/>
  <c r="CB62" i="16"/>
  <c r="CA62" i="16"/>
  <c r="BZ62" i="16"/>
  <c r="BY62" i="16"/>
  <c r="BX62" i="16"/>
  <c r="BW62" i="16"/>
  <c r="BV62" i="16"/>
  <c r="BU62" i="16"/>
  <c r="BT62" i="16"/>
  <c r="BS62" i="16"/>
  <c r="BR62" i="16"/>
  <c r="BQ62" i="16"/>
  <c r="BP62" i="16"/>
  <c r="BO62" i="16"/>
  <c r="BN62" i="16"/>
  <c r="BM62" i="16"/>
  <c r="BL62" i="16"/>
  <c r="BK62" i="16"/>
  <c r="BJ62" i="16"/>
  <c r="BI62" i="16"/>
  <c r="BH62" i="16"/>
  <c r="BG62" i="16"/>
  <c r="BF62" i="16"/>
  <c r="BE62" i="16"/>
  <c r="BD62" i="16"/>
  <c r="BC62" i="16"/>
  <c r="BB62" i="16"/>
  <c r="BA62" i="16"/>
  <c r="AZ62" i="16"/>
  <c r="AY62" i="16"/>
  <c r="AX62" i="16"/>
  <c r="AW62" i="16"/>
  <c r="AV62" i="16"/>
  <c r="AU62" i="16"/>
  <c r="AT62" i="16"/>
  <c r="AS62" i="16"/>
  <c r="AR62" i="16"/>
  <c r="AQ62" i="16"/>
  <c r="AP62" i="16"/>
  <c r="AO62" i="16"/>
  <c r="AN62" i="16"/>
  <c r="AM62" i="16"/>
  <c r="AL62" i="16"/>
  <c r="AK62" i="16"/>
  <c r="AJ62" i="16"/>
  <c r="AI62" i="16"/>
  <c r="AH62" i="16"/>
  <c r="AG62" i="16"/>
  <c r="AF62" i="16"/>
  <c r="AE62" i="16"/>
  <c r="AD62" i="16"/>
  <c r="AC62" i="16"/>
  <c r="AB62" i="16"/>
  <c r="AA62" i="16"/>
  <c r="Z62" i="16"/>
  <c r="Y62" i="16"/>
  <c r="X62" i="16"/>
  <c r="W62" i="16"/>
  <c r="V62" i="16"/>
  <c r="U62" i="16"/>
  <c r="T62" i="16"/>
  <c r="S62" i="16"/>
  <c r="R62" i="16"/>
  <c r="Q62" i="16"/>
  <c r="P62" i="16"/>
  <c r="O62" i="16"/>
  <c r="N62" i="16"/>
  <c r="M62" i="16"/>
  <c r="L62" i="16"/>
  <c r="K62" i="16"/>
  <c r="J62" i="16"/>
  <c r="I62" i="16"/>
  <c r="H62" i="16"/>
  <c r="G62" i="16"/>
  <c r="F62" i="16"/>
  <c r="DC61" i="16"/>
  <c r="DB61" i="16"/>
  <c r="DA61" i="16"/>
  <c r="CZ61" i="16"/>
  <c r="CY61" i="16"/>
  <c r="CX61" i="16"/>
  <c r="CW61" i="16"/>
  <c r="CV61" i="16"/>
  <c r="CU61" i="16"/>
  <c r="CT61" i="16"/>
  <c r="CS61" i="16"/>
  <c r="CR61" i="16"/>
  <c r="CQ61" i="16"/>
  <c r="CP61" i="16"/>
  <c r="CO61" i="16"/>
  <c r="CN61" i="16"/>
  <c r="CM61" i="16"/>
  <c r="CL61" i="16"/>
  <c r="CK61" i="16"/>
  <c r="CJ61" i="16"/>
  <c r="CI61" i="16"/>
  <c r="CH61" i="16"/>
  <c r="CG61" i="16"/>
  <c r="CF61" i="16"/>
  <c r="CE61" i="16"/>
  <c r="CD61" i="16"/>
  <c r="CC61" i="16"/>
  <c r="CB61" i="16"/>
  <c r="CA61" i="16"/>
  <c r="BZ61" i="16"/>
  <c r="BY61" i="16"/>
  <c r="BX61" i="16"/>
  <c r="BW61" i="16"/>
  <c r="BV61" i="16"/>
  <c r="BU61" i="16"/>
  <c r="BT61" i="16"/>
  <c r="BS61" i="16"/>
  <c r="BR61" i="16"/>
  <c r="BQ61" i="16"/>
  <c r="BP61" i="16"/>
  <c r="BO61" i="16"/>
  <c r="BN61" i="16"/>
  <c r="BM61" i="16"/>
  <c r="BL61" i="16"/>
  <c r="BK61" i="16"/>
  <c r="BJ61" i="16"/>
  <c r="BI61" i="16"/>
  <c r="BH61" i="16"/>
  <c r="BG61" i="16"/>
  <c r="BF61" i="16"/>
  <c r="BE61" i="16"/>
  <c r="BD61" i="16"/>
  <c r="BC61" i="16"/>
  <c r="BB61" i="16"/>
  <c r="BA61" i="16"/>
  <c r="AZ61" i="16"/>
  <c r="AY61" i="16"/>
  <c r="AX61" i="16"/>
  <c r="AW61" i="16"/>
  <c r="AV61" i="16"/>
  <c r="AU61" i="16"/>
  <c r="AT61" i="16"/>
  <c r="AS61" i="16"/>
  <c r="AR61" i="16"/>
  <c r="AQ61" i="16"/>
  <c r="AP61" i="16"/>
  <c r="AO61" i="16"/>
  <c r="AN61" i="16"/>
  <c r="AM61" i="16"/>
  <c r="AL61" i="16"/>
  <c r="AK61" i="16"/>
  <c r="AJ61" i="16"/>
  <c r="AI61" i="16"/>
  <c r="AH61" i="16"/>
  <c r="AG61" i="16"/>
  <c r="AF61" i="16"/>
  <c r="AE61" i="16"/>
  <c r="AD61" i="16"/>
  <c r="AC61" i="16"/>
  <c r="AB61" i="16"/>
  <c r="AA61" i="16"/>
  <c r="Z61" i="16"/>
  <c r="Y61" i="16"/>
  <c r="X61" i="16"/>
  <c r="W61" i="16"/>
  <c r="V61" i="16"/>
  <c r="U61" i="16"/>
  <c r="T61" i="16"/>
  <c r="S61" i="16"/>
  <c r="R61" i="16"/>
  <c r="Q61" i="16"/>
  <c r="P61" i="16"/>
  <c r="O61" i="16"/>
  <c r="N61" i="16"/>
  <c r="M61" i="16"/>
  <c r="L61" i="16"/>
  <c r="K61" i="16"/>
  <c r="J61" i="16"/>
  <c r="I61" i="16"/>
  <c r="H61" i="16"/>
  <c r="G61" i="16"/>
  <c r="F61" i="16"/>
  <c r="DC60" i="16"/>
  <c r="DB60" i="16"/>
  <c r="DA60" i="16"/>
  <c r="CZ60" i="16"/>
  <c r="CY60" i="16"/>
  <c r="CX60" i="16"/>
  <c r="CW60" i="16"/>
  <c r="CV60" i="16"/>
  <c r="CU60" i="16"/>
  <c r="CT60" i="16"/>
  <c r="CS60" i="16"/>
  <c r="CR60" i="16"/>
  <c r="CQ60" i="16"/>
  <c r="CP60" i="16"/>
  <c r="CO60" i="16"/>
  <c r="CN60" i="16"/>
  <c r="CM60" i="16"/>
  <c r="CL60" i="16"/>
  <c r="CK60" i="16"/>
  <c r="CJ60" i="16"/>
  <c r="CI60" i="16"/>
  <c r="CH60" i="16"/>
  <c r="CG60" i="16"/>
  <c r="CF60" i="16"/>
  <c r="CE60" i="16"/>
  <c r="CD60" i="16"/>
  <c r="CC60" i="16"/>
  <c r="CB60" i="16"/>
  <c r="CA60" i="16"/>
  <c r="BZ60" i="16"/>
  <c r="BY60" i="16"/>
  <c r="BX60" i="16"/>
  <c r="BW60" i="16"/>
  <c r="BV60" i="16"/>
  <c r="BU60" i="16"/>
  <c r="BT60" i="16"/>
  <c r="BS60" i="16"/>
  <c r="BR60" i="16"/>
  <c r="BQ60" i="16"/>
  <c r="BP60" i="16"/>
  <c r="BO60" i="16"/>
  <c r="BN60" i="16"/>
  <c r="BM60" i="16"/>
  <c r="BL60" i="16"/>
  <c r="BK60" i="16"/>
  <c r="BJ60" i="16"/>
  <c r="BI60" i="16"/>
  <c r="BH60" i="16"/>
  <c r="BG60" i="16"/>
  <c r="BF60" i="16"/>
  <c r="BE60" i="16"/>
  <c r="BD60" i="16"/>
  <c r="BC60" i="16"/>
  <c r="BB60" i="16"/>
  <c r="BA60" i="16"/>
  <c r="AZ60" i="16"/>
  <c r="AY60" i="16"/>
  <c r="AX60" i="16"/>
  <c r="AW60" i="16"/>
  <c r="AV60" i="16"/>
  <c r="AU60" i="16"/>
  <c r="AT60" i="16"/>
  <c r="AS60" i="16"/>
  <c r="AR60" i="16"/>
  <c r="AQ60" i="16"/>
  <c r="AP60" i="16"/>
  <c r="AO60" i="16"/>
  <c r="AN60" i="16"/>
  <c r="AM60" i="16"/>
  <c r="AL60" i="16"/>
  <c r="AK60" i="16"/>
  <c r="AJ60" i="16"/>
  <c r="AI60" i="16"/>
  <c r="AH60" i="16"/>
  <c r="AG60" i="16"/>
  <c r="AF60" i="16"/>
  <c r="AE60" i="16"/>
  <c r="AD60" i="16"/>
  <c r="AC60" i="16"/>
  <c r="AB60" i="16"/>
  <c r="AA60" i="16"/>
  <c r="Z60" i="16"/>
  <c r="Y60" i="16"/>
  <c r="X60" i="16"/>
  <c r="W60" i="16"/>
  <c r="V60" i="16"/>
  <c r="U60" i="16"/>
  <c r="T60" i="16"/>
  <c r="S60" i="16"/>
  <c r="R60" i="16"/>
  <c r="Q60" i="16"/>
  <c r="P60" i="16"/>
  <c r="O60" i="16"/>
  <c r="N60" i="16"/>
  <c r="M60" i="16"/>
  <c r="L60" i="16"/>
  <c r="K60" i="16"/>
  <c r="J60" i="16"/>
  <c r="I60" i="16"/>
  <c r="H60" i="16"/>
  <c r="G60" i="16"/>
  <c r="F60" i="16"/>
  <c r="DC59" i="16"/>
  <c r="DB59" i="16"/>
  <c r="DA59" i="16"/>
  <c r="CZ59" i="16"/>
  <c r="CY59" i="16"/>
  <c r="CX59" i="16"/>
  <c r="CW59" i="16"/>
  <c r="CV59" i="16"/>
  <c r="CU59" i="16"/>
  <c r="CT59" i="16"/>
  <c r="CS59" i="16"/>
  <c r="CR59" i="16"/>
  <c r="CQ59" i="16"/>
  <c r="CP59" i="16"/>
  <c r="CO59" i="16"/>
  <c r="CN59" i="16"/>
  <c r="CM59" i="16"/>
  <c r="CL59" i="16"/>
  <c r="CK59" i="16"/>
  <c r="CJ59" i="16"/>
  <c r="CI59" i="16"/>
  <c r="CH59" i="16"/>
  <c r="CG59" i="16"/>
  <c r="CF59" i="16"/>
  <c r="CE59" i="16"/>
  <c r="CD59" i="16"/>
  <c r="CC59" i="16"/>
  <c r="CB59" i="16"/>
  <c r="CA59" i="16"/>
  <c r="BZ59" i="16"/>
  <c r="BY59" i="16"/>
  <c r="BX59" i="16"/>
  <c r="BW59" i="16"/>
  <c r="BV59" i="16"/>
  <c r="BU59" i="16"/>
  <c r="BT59" i="16"/>
  <c r="BS59" i="16"/>
  <c r="BR59" i="16"/>
  <c r="BQ59" i="16"/>
  <c r="BP59" i="16"/>
  <c r="BO59" i="16"/>
  <c r="BN59" i="16"/>
  <c r="BM59" i="16"/>
  <c r="BL59" i="16"/>
  <c r="BK59" i="16"/>
  <c r="BJ59" i="16"/>
  <c r="BI59" i="16"/>
  <c r="BH59" i="16"/>
  <c r="BG59" i="16"/>
  <c r="BF59" i="16"/>
  <c r="BE59" i="16"/>
  <c r="BD59" i="16"/>
  <c r="BC59" i="16"/>
  <c r="BB59" i="16"/>
  <c r="BA59" i="16"/>
  <c r="AZ59" i="16"/>
  <c r="AY59" i="16"/>
  <c r="AX59" i="16"/>
  <c r="AW59" i="16"/>
  <c r="AV59" i="16"/>
  <c r="AU59" i="16"/>
  <c r="AT59" i="16"/>
  <c r="AS59" i="16"/>
  <c r="AR59" i="16"/>
  <c r="AQ59" i="16"/>
  <c r="AP59" i="16"/>
  <c r="AO59" i="16"/>
  <c r="AN59" i="16"/>
  <c r="AM59" i="16"/>
  <c r="AL59" i="16"/>
  <c r="AK59" i="16"/>
  <c r="AJ59" i="16"/>
  <c r="AI59" i="16"/>
  <c r="AH59" i="16"/>
  <c r="AG59" i="16"/>
  <c r="AF59" i="16"/>
  <c r="AE59" i="16"/>
  <c r="AD59" i="16"/>
  <c r="AC59" i="16"/>
  <c r="AB59" i="16"/>
  <c r="AA59" i="16"/>
  <c r="Z59" i="16"/>
  <c r="Y59" i="16"/>
  <c r="X59" i="16"/>
  <c r="W59" i="16"/>
  <c r="V59" i="16"/>
  <c r="U59" i="16"/>
  <c r="T59" i="16"/>
  <c r="S59" i="16"/>
  <c r="R59" i="16"/>
  <c r="Q59" i="16"/>
  <c r="P59" i="16"/>
  <c r="O59" i="16"/>
  <c r="N59" i="16"/>
  <c r="M59" i="16"/>
  <c r="L59" i="16"/>
  <c r="K59" i="16"/>
  <c r="J59" i="16"/>
  <c r="I59" i="16"/>
  <c r="H59" i="16"/>
  <c r="G59" i="16"/>
  <c r="F59" i="16"/>
  <c r="DC58" i="16"/>
  <c r="DB58" i="16"/>
  <c r="DA58" i="16"/>
  <c r="CZ58" i="16"/>
  <c r="CY58" i="16"/>
  <c r="CX58" i="16"/>
  <c r="CW58" i="16"/>
  <c r="CV58" i="16"/>
  <c r="CU58" i="16"/>
  <c r="CT58" i="16"/>
  <c r="CS58" i="16"/>
  <c r="CR58" i="16"/>
  <c r="CQ58" i="16"/>
  <c r="CP58" i="16"/>
  <c r="CO58" i="16"/>
  <c r="CN58" i="16"/>
  <c r="CM58" i="16"/>
  <c r="CL58" i="16"/>
  <c r="CK58" i="16"/>
  <c r="CJ58" i="16"/>
  <c r="CI58" i="16"/>
  <c r="CH58" i="16"/>
  <c r="CG58" i="16"/>
  <c r="CF58" i="16"/>
  <c r="CE58" i="16"/>
  <c r="CD58" i="16"/>
  <c r="CC58" i="16"/>
  <c r="CB58" i="16"/>
  <c r="CA58" i="16"/>
  <c r="BZ58" i="16"/>
  <c r="BY58" i="16"/>
  <c r="BX58" i="16"/>
  <c r="BW58" i="16"/>
  <c r="BV58" i="16"/>
  <c r="BU58" i="16"/>
  <c r="BT58" i="16"/>
  <c r="BS58" i="16"/>
  <c r="BR58" i="16"/>
  <c r="BQ58" i="16"/>
  <c r="BP58" i="16"/>
  <c r="BO58" i="16"/>
  <c r="BN58" i="16"/>
  <c r="BM58" i="16"/>
  <c r="BL58" i="16"/>
  <c r="BK58" i="16"/>
  <c r="BJ58" i="16"/>
  <c r="BI58" i="16"/>
  <c r="BH58" i="16"/>
  <c r="BG58" i="16"/>
  <c r="BF58" i="16"/>
  <c r="BE58" i="16"/>
  <c r="BD58" i="16"/>
  <c r="BC58" i="16"/>
  <c r="BB58" i="16"/>
  <c r="BA58" i="16"/>
  <c r="AZ58" i="16"/>
  <c r="AY58" i="16"/>
  <c r="AX58" i="16"/>
  <c r="AW58" i="16"/>
  <c r="AV58" i="16"/>
  <c r="AU58" i="16"/>
  <c r="AT58" i="16"/>
  <c r="AS58" i="16"/>
  <c r="AR58" i="16"/>
  <c r="AQ58" i="16"/>
  <c r="AP58" i="16"/>
  <c r="AO58" i="16"/>
  <c r="AN58" i="16"/>
  <c r="AM58" i="16"/>
  <c r="AL58" i="16"/>
  <c r="AK58" i="16"/>
  <c r="AJ58" i="16"/>
  <c r="AI58" i="16"/>
  <c r="AH58" i="16"/>
  <c r="AG58" i="16"/>
  <c r="AF58" i="16"/>
  <c r="AE58" i="16"/>
  <c r="AD58" i="16"/>
  <c r="AC58" i="16"/>
  <c r="AB58" i="16"/>
  <c r="AA58" i="16"/>
  <c r="Z58" i="16"/>
  <c r="Y58" i="16"/>
  <c r="X58" i="16"/>
  <c r="W58" i="16"/>
  <c r="V58" i="16"/>
  <c r="U58" i="16"/>
  <c r="T58" i="16"/>
  <c r="S58" i="16"/>
  <c r="R58" i="16"/>
  <c r="Q58" i="16"/>
  <c r="P58" i="16"/>
  <c r="O58" i="16"/>
  <c r="N58" i="16"/>
  <c r="M58" i="16"/>
  <c r="L58" i="16"/>
  <c r="K58" i="16"/>
  <c r="J58" i="16"/>
  <c r="I58" i="16"/>
  <c r="H58" i="16"/>
  <c r="G58" i="16"/>
  <c r="F58" i="16"/>
  <c r="DC57" i="16"/>
  <c r="DB57" i="16"/>
  <c r="DA57" i="16"/>
  <c r="CZ57" i="16"/>
  <c r="CY57" i="16"/>
  <c r="CX57" i="16"/>
  <c r="CW57" i="16"/>
  <c r="CV57" i="16"/>
  <c r="CU57" i="16"/>
  <c r="CT57" i="16"/>
  <c r="CS57" i="16"/>
  <c r="CR57" i="16"/>
  <c r="CQ57" i="16"/>
  <c r="CP57" i="16"/>
  <c r="CO57" i="16"/>
  <c r="CN57" i="16"/>
  <c r="CM57" i="16"/>
  <c r="CL57" i="16"/>
  <c r="CK57" i="16"/>
  <c r="CJ57" i="16"/>
  <c r="CI57" i="16"/>
  <c r="CH57" i="16"/>
  <c r="CG57" i="16"/>
  <c r="CF57" i="16"/>
  <c r="CE57" i="16"/>
  <c r="CD57" i="16"/>
  <c r="CC57" i="16"/>
  <c r="CB57" i="16"/>
  <c r="CA57" i="16"/>
  <c r="BZ57" i="16"/>
  <c r="BY57" i="16"/>
  <c r="BX57" i="16"/>
  <c r="BW57" i="16"/>
  <c r="BV57" i="16"/>
  <c r="BU57" i="16"/>
  <c r="BT57" i="16"/>
  <c r="BS57" i="16"/>
  <c r="BR57" i="16"/>
  <c r="BQ57" i="16"/>
  <c r="BP57" i="16"/>
  <c r="BO57" i="16"/>
  <c r="BN57" i="16"/>
  <c r="BM57" i="16"/>
  <c r="BL57" i="16"/>
  <c r="BK57" i="16"/>
  <c r="BJ57" i="16"/>
  <c r="BI57" i="16"/>
  <c r="BH57" i="16"/>
  <c r="BG57" i="16"/>
  <c r="BF57" i="16"/>
  <c r="BE57" i="16"/>
  <c r="BD57" i="16"/>
  <c r="BC57" i="16"/>
  <c r="BB57" i="16"/>
  <c r="BA57" i="16"/>
  <c r="AZ57" i="16"/>
  <c r="AY57" i="16"/>
  <c r="AX57" i="16"/>
  <c r="AW57" i="16"/>
  <c r="AV57" i="16"/>
  <c r="AU57" i="16"/>
  <c r="AT57" i="16"/>
  <c r="AS57" i="16"/>
  <c r="AR57" i="16"/>
  <c r="AQ57" i="16"/>
  <c r="AP57" i="16"/>
  <c r="AO57" i="16"/>
  <c r="AN57" i="16"/>
  <c r="AM57" i="16"/>
  <c r="AL57" i="16"/>
  <c r="AK57" i="16"/>
  <c r="AJ57" i="16"/>
  <c r="AI57" i="16"/>
  <c r="AH57" i="16"/>
  <c r="AG57" i="16"/>
  <c r="AF57" i="16"/>
  <c r="AE57" i="16"/>
  <c r="AD57" i="16"/>
  <c r="AC57" i="16"/>
  <c r="AB57" i="16"/>
  <c r="AA57" i="16"/>
  <c r="Z57" i="16"/>
  <c r="Y57" i="16"/>
  <c r="X57" i="16"/>
  <c r="W57" i="16"/>
  <c r="V57" i="16"/>
  <c r="U57" i="16"/>
  <c r="T57" i="16"/>
  <c r="S57" i="16"/>
  <c r="R57" i="16"/>
  <c r="Q57" i="16"/>
  <c r="P57" i="16"/>
  <c r="O57" i="16"/>
  <c r="N57" i="16"/>
  <c r="M57" i="16"/>
  <c r="L57" i="16"/>
  <c r="K57" i="16"/>
  <c r="J57" i="16"/>
  <c r="I57" i="16"/>
  <c r="H57" i="16"/>
  <c r="G57" i="16"/>
  <c r="F57" i="16"/>
  <c r="DC56" i="16"/>
  <c r="DB56" i="16"/>
  <c r="DA56" i="16"/>
  <c r="CZ56" i="16"/>
  <c r="CY56" i="16"/>
  <c r="CX56" i="16"/>
  <c r="CW56" i="16"/>
  <c r="CV56" i="16"/>
  <c r="CU56" i="16"/>
  <c r="CT56" i="16"/>
  <c r="CS56" i="16"/>
  <c r="CR56" i="16"/>
  <c r="CQ56" i="16"/>
  <c r="CP56" i="16"/>
  <c r="CO56" i="16"/>
  <c r="CN56" i="16"/>
  <c r="CM56" i="16"/>
  <c r="CL56" i="16"/>
  <c r="CK56" i="16"/>
  <c r="CJ56" i="16"/>
  <c r="CI56" i="16"/>
  <c r="CH56" i="16"/>
  <c r="CG56" i="16"/>
  <c r="CF56" i="16"/>
  <c r="CE56" i="16"/>
  <c r="CD56" i="16"/>
  <c r="CC56" i="16"/>
  <c r="CB56" i="16"/>
  <c r="CA56" i="16"/>
  <c r="BZ56" i="16"/>
  <c r="BY56" i="16"/>
  <c r="BX56" i="16"/>
  <c r="BW56" i="16"/>
  <c r="BV56" i="16"/>
  <c r="BU56" i="16"/>
  <c r="BT56" i="16"/>
  <c r="BS56" i="16"/>
  <c r="BR56" i="16"/>
  <c r="BQ56" i="16"/>
  <c r="BP56" i="16"/>
  <c r="BO56" i="16"/>
  <c r="BN56" i="16"/>
  <c r="BM56" i="16"/>
  <c r="BL56" i="16"/>
  <c r="BK56" i="16"/>
  <c r="BJ56" i="16"/>
  <c r="BI56" i="16"/>
  <c r="BH56" i="16"/>
  <c r="BG56" i="16"/>
  <c r="BF56" i="16"/>
  <c r="BE56" i="16"/>
  <c r="BD56" i="16"/>
  <c r="BC56" i="16"/>
  <c r="BB56" i="16"/>
  <c r="BA56" i="16"/>
  <c r="AZ56" i="16"/>
  <c r="AY56" i="16"/>
  <c r="AX56" i="16"/>
  <c r="AW56" i="16"/>
  <c r="AV56" i="16"/>
  <c r="AU56" i="16"/>
  <c r="AT56" i="16"/>
  <c r="AS56" i="16"/>
  <c r="AR56" i="16"/>
  <c r="AQ56" i="16"/>
  <c r="AP56" i="16"/>
  <c r="AO56" i="16"/>
  <c r="AN56" i="16"/>
  <c r="AM56" i="16"/>
  <c r="AL56" i="16"/>
  <c r="AK56" i="16"/>
  <c r="AJ56" i="16"/>
  <c r="AI56" i="16"/>
  <c r="AH56" i="16"/>
  <c r="AG56" i="16"/>
  <c r="AF56" i="16"/>
  <c r="AE56" i="16"/>
  <c r="AD56" i="16"/>
  <c r="AC56" i="16"/>
  <c r="AB56" i="16"/>
  <c r="AA56" i="16"/>
  <c r="Z56" i="16"/>
  <c r="Y56" i="16"/>
  <c r="X56" i="16"/>
  <c r="W56" i="16"/>
  <c r="V56" i="16"/>
  <c r="U56" i="16"/>
  <c r="T56" i="16"/>
  <c r="S56" i="16"/>
  <c r="R56" i="16"/>
  <c r="Q56" i="16"/>
  <c r="P56" i="16"/>
  <c r="O56" i="16"/>
  <c r="N56" i="16"/>
  <c r="M56" i="16"/>
  <c r="L56" i="16"/>
  <c r="K56" i="16"/>
  <c r="J56" i="16"/>
  <c r="I56" i="16"/>
  <c r="H56" i="16"/>
  <c r="G56" i="16"/>
  <c r="F56" i="16"/>
  <c r="DC55" i="16"/>
  <c r="DB55" i="16"/>
  <c r="DA55" i="16"/>
  <c r="CZ55" i="16"/>
  <c r="CY55" i="16"/>
  <c r="CX55" i="16"/>
  <c r="CW55" i="16"/>
  <c r="CV55" i="16"/>
  <c r="CU55" i="16"/>
  <c r="CT55" i="16"/>
  <c r="CS55" i="16"/>
  <c r="CR55" i="16"/>
  <c r="CQ55" i="16"/>
  <c r="CP55" i="16"/>
  <c r="CO55" i="16"/>
  <c r="CN55" i="16"/>
  <c r="CM55" i="16"/>
  <c r="CL55" i="16"/>
  <c r="CK55" i="16"/>
  <c r="CJ55" i="16"/>
  <c r="CI55" i="16"/>
  <c r="CH55" i="16"/>
  <c r="CG55" i="16"/>
  <c r="CF55" i="16"/>
  <c r="CE55" i="16"/>
  <c r="CD55" i="16"/>
  <c r="CC55" i="16"/>
  <c r="CB55" i="16"/>
  <c r="CA55" i="16"/>
  <c r="BZ55" i="16"/>
  <c r="BY55" i="16"/>
  <c r="BX55" i="16"/>
  <c r="BW55" i="16"/>
  <c r="BV55" i="16"/>
  <c r="BU55" i="16"/>
  <c r="BT55" i="16"/>
  <c r="BS55" i="16"/>
  <c r="BR55" i="16"/>
  <c r="BQ55" i="16"/>
  <c r="BP55" i="16"/>
  <c r="BO55" i="16"/>
  <c r="BN55" i="16"/>
  <c r="BM55" i="16"/>
  <c r="BL55" i="16"/>
  <c r="BK55" i="16"/>
  <c r="BJ55" i="16"/>
  <c r="BI55" i="16"/>
  <c r="BH55" i="16"/>
  <c r="BG55" i="16"/>
  <c r="BF55" i="16"/>
  <c r="BE55" i="16"/>
  <c r="BD55" i="16"/>
  <c r="BC55" i="16"/>
  <c r="BB55" i="16"/>
  <c r="BA55" i="16"/>
  <c r="AZ55" i="16"/>
  <c r="AY55" i="16"/>
  <c r="AX55" i="16"/>
  <c r="AW55" i="16"/>
  <c r="AV55" i="16"/>
  <c r="AU55" i="16"/>
  <c r="AT55" i="16"/>
  <c r="AS55" i="16"/>
  <c r="AR55" i="16"/>
  <c r="AQ55" i="16"/>
  <c r="AP55" i="16"/>
  <c r="AO55" i="16"/>
  <c r="AN55" i="16"/>
  <c r="AM55" i="16"/>
  <c r="AL55" i="16"/>
  <c r="AK55" i="16"/>
  <c r="AJ55" i="16"/>
  <c r="AI55" i="16"/>
  <c r="AH55" i="16"/>
  <c r="AG55" i="16"/>
  <c r="AF55" i="16"/>
  <c r="AE55" i="16"/>
  <c r="AD55" i="16"/>
  <c r="AC55" i="16"/>
  <c r="AB55" i="16"/>
  <c r="AA55" i="16"/>
  <c r="Z55" i="16"/>
  <c r="Y55" i="16"/>
  <c r="X55" i="16"/>
  <c r="W55" i="16"/>
  <c r="V55" i="16"/>
  <c r="U55" i="16"/>
  <c r="T55" i="16"/>
  <c r="S55" i="16"/>
  <c r="R55" i="16"/>
  <c r="Q55" i="16"/>
  <c r="P55" i="16"/>
  <c r="O55" i="16"/>
  <c r="N55" i="16"/>
  <c r="M55" i="16"/>
  <c r="L55" i="16"/>
  <c r="K55" i="16"/>
  <c r="J55" i="16"/>
  <c r="I55" i="16"/>
  <c r="H55" i="16"/>
  <c r="G55" i="16"/>
  <c r="F55" i="16"/>
  <c r="DC54" i="16"/>
  <c r="DB54" i="16"/>
  <c r="DA54" i="16"/>
  <c r="CZ54" i="16"/>
  <c r="CY54" i="16"/>
  <c r="CX54" i="16"/>
  <c r="CW54" i="16"/>
  <c r="CV54" i="16"/>
  <c r="CU54" i="16"/>
  <c r="CT54" i="16"/>
  <c r="CS54" i="16"/>
  <c r="CR54" i="16"/>
  <c r="CQ54" i="16"/>
  <c r="CP54" i="16"/>
  <c r="CO54" i="16"/>
  <c r="CN54" i="16"/>
  <c r="CM54" i="16"/>
  <c r="CL54" i="16"/>
  <c r="CK54" i="16"/>
  <c r="CJ54" i="16"/>
  <c r="CI54" i="16"/>
  <c r="CH54" i="16"/>
  <c r="CG54" i="16"/>
  <c r="CF54" i="16"/>
  <c r="CE54" i="16"/>
  <c r="CD54" i="16"/>
  <c r="CC54" i="16"/>
  <c r="CB54" i="16"/>
  <c r="CA54" i="16"/>
  <c r="BZ54" i="16"/>
  <c r="BY54" i="16"/>
  <c r="BX54" i="16"/>
  <c r="BW54" i="16"/>
  <c r="BV54" i="16"/>
  <c r="BU54" i="16"/>
  <c r="BT54" i="16"/>
  <c r="BS54" i="16"/>
  <c r="BR54" i="16"/>
  <c r="BQ54" i="16"/>
  <c r="BP54" i="16"/>
  <c r="BO54" i="16"/>
  <c r="BN54" i="16"/>
  <c r="BM54" i="16"/>
  <c r="BL54" i="16"/>
  <c r="BK54" i="16"/>
  <c r="BJ54" i="16"/>
  <c r="BI54" i="16"/>
  <c r="BH54" i="16"/>
  <c r="BG54" i="16"/>
  <c r="BF54" i="16"/>
  <c r="BE54" i="16"/>
  <c r="BD54" i="16"/>
  <c r="BC54" i="16"/>
  <c r="BB54" i="16"/>
  <c r="BA54" i="16"/>
  <c r="AZ54" i="16"/>
  <c r="AY54" i="16"/>
  <c r="AX54" i="16"/>
  <c r="AW54" i="16"/>
  <c r="AV54" i="16"/>
  <c r="AU54" i="16"/>
  <c r="AT54" i="16"/>
  <c r="AS54" i="16"/>
  <c r="AR54" i="16"/>
  <c r="AQ54" i="16"/>
  <c r="AP54" i="16"/>
  <c r="AO54" i="16"/>
  <c r="AN54" i="16"/>
  <c r="AM54" i="16"/>
  <c r="AL54" i="16"/>
  <c r="AK54" i="16"/>
  <c r="AJ54" i="16"/>
  <c r="AI54" i="16"/>
  <c r="AH54" i="16"/>
  <c r="AG54" i="16"/>
  <c r="AF54" i="16"/>
  <c r="AE54" i="16"/>
  <c r="AD54" i="16"/>
  <c r="AC54" i="16"/>
  <c r="AB54" i="16"/>
  <c r="AA54" i="16"/>
  <c r="Z54" i="16"/>
  <c r="Y54" i="16"/>
  <c r="X54" i="16"/>
  <c r="W54" i="16"/>
  <c r="V54" i="16"/>
  <c r="U54" i="16"/>
  <c r="T54" i="16"/>
  <c r="S54" i="16"/>
  <c r="R54" i="16"/>
  <c r="Q54" i="16"/>
  <c r="P54" i="16"/>
  <c r="O54" i="16"/>
  <c r="N54" i="16"/>
  <c r="M54" i="16"/>
  <c r="L54" i="16"/>
  <c r="K54" i="16"/>
  <c r="J54" i="16"/>
  <c r="I54" i="16"/>
  <c r="H54" i="16"/>
  <c r="G54" i="16"/>
  <c r="F54" i="16"/>
  <c r="DC53" i="16"/>
  <c r="DB53" i="16"/>
  <c r="DA53" i="16"/>
  <c r="CZ53" i="16"/>
  <c r="CY53" i="16"/>
  <c r="CX53" i="16"/>
  <c r="CW53" i="16"/>
  <c r="CV53" i="16"/>
  <c r="CU53" i="16"/>
  <c r="CT53" i="16"/>
  <c r="CS53" i="16"/>
  <c r="CR53" i="16"/>
  <c r="CQ53" i="16"/>
  <c r="CP53" i="16"/>
  <c r="CO53" i="16"/>
  <c r="CN53" i="16"/>
  <c r="CM53" i="16"/>
  <c r="CL53" i="16"/>
  <c r="CK53" i="16"/>
  <c r="CJ53" i="16"/>
  <c r="CI53" i="16"/>
  <c r="CH53" i="16"/>
  <c r="CG53" i="16"/>
  <c r="CF53" i="16"/>
  <c r="CE53" i="16"/>
  <c r="CD53" i="16"/>
  <c r="CC53" i="16"/>
  <c r="CB53" i="16"/>
  <c r="CA53" i="16"/>
  <c r="BZ53" i="16"/>
  <c r="BY53" i="16"/>
  <c r="BX53" i="16"/>
  <c r="BW53" i="16"/>
  <c r="BV53" i="16"/>
  <c r="BU53" i="16"/>
  <c r="BT53" i="16"/>
  <c r="BS53" i="16"/>
  <c r="BR53" i="16"/>
  <c r="BQ53" i="16"/>
  <c r="BP53" i="16"/>
  <c r="BO53" i="16"/>
  <c r="BN53" i="16"/>
  <c r="BM53" i="16"/>
  <c r="BL53" i="16"/>
  <c r="BK53" i="16"/>
  <c r="BJ53" i="16"/>
  <c r="BI53" i="16"/>
  <c r="BH53" i="16"/>
  <c r="BG53" i="16"/>
  <c r="BF53" i="16"/>
  <c r="BE53" i="16"/>
  <c r="BD53" i="16"/>
  <c r="BC53" i="16"/>
  <c r="BB53" i="16"/>
  <c r="BA53" i="16"/>
  <c r="AZ53" i="16"/>
  <c r="AY53" i="16"/>
  <c r="AX53" i="16"/>
  <c r="AW53" i="16"/>
  <c r="AV53" i="16"/>
  <c r="AU53" i="16"/>
  <c r="AT53" i="16"/>
  <c r="AS53" i="16"/>
  <c r="AR53" i="16"/>
  <c r="AQ53" i="16"/>
  <c r="AP53" i="16"/>
  <c r="AO53" i="16"/>
  <c r="AN53" i="16"/>
  <c r="AM53" i="16"/>
  <c r="AL53" i="16"/>
  <c r="AK53" i="16"/>
  <c r="AJ53" i="16"/>
  <c r="AI53" i="16"/>
  <c r="AH53" i="16"/>
  <c r="AG53" i="16"/>
  <c r="AF53" i="16"/>
  <c r="AE53" i="16"/>
  <c r="AD53" i="16"/>
  <c r="AC53" i="16"/>
  <c r="AB53" i="16"/>
  <c r="AA53" i="16"/>
  <c r="Z53" i="16"/>
  <c r="Y53" i="16"/>
  <c r="X53" i="16"/>
  <c r="W53" i="16"/>
  <c r="V53" i="16"/>
  <c r="U53" i="16"/>
  <c r="T53" i="16"/>
  <c r="S53" i="16"/>
  <c r="R53" i="16"/>
  <c r="Q53" i="16"/>
  <c r="P53" i="16"/>
  <c r="O53" i="16"/>
  <c r="N53" i="16"/>
  <c r="M53" i="16"/>
  <c r="L53" i="16"/>
  <c r="K53" i="16"/>
  <c r="J53" i="16"/>
  <c r="I53" i="16"/>
  <c r="H53" i="16"/>
  <c r="G53" i="16"/>
  <c r="F53" i="16"/>
  <c r="DC51" i="16"/>
  <c r="DB51" i="16"/>
  <c r="DA51" i="16"/>
  <c r="CZ51" i="16"/>
  <c r="CY51" i="16"/>
  <c r="CX51" i="16"/>
  <c r="CW51" i="16"/>
  <c r="CV51" i="16"/>
  <c r="CU51" i="16"/>
  <c r="CT51" i="16"/>
  <c r="CS51" i="16"/>
  <c r="CR51" i="16"/>
  <c r="CQ51" i="16"/>
  <c r="CP51" i="16"/>
  <c r="CO51" i="16"/>
  <c r="CN51" i="16"/>
  <c r="CM51" i="16"/>
  <c r="CL51" i="16"/>
  <c r="CK51" i="16"/>
  <c r="CJ51" i="16"/>
  <c r="CI51" i="16"/>
  <c r="CH51" i="16"/>
  <c r="CG51" i="16"/>
  <c r="CF51" i="16"/>
  <c r="CE51" i="16"/>
  <c r="CD51" i="16"/>
  <c r="CC51" i="16"/>
  <c r="CB51" i="16"/>
  <c r="CA51" i="16"/>
  <c r="BZ51" i="16"/>
  <c r="BY51" i="16"/>
  <c r="BX51" i="16"/>
  <c r="BW51" i="16"/>
  <c r="BV51" i="16"/>
  <c r="BU51" i="16"/>
  <c r="BT51" i="16"/>
  <c r="BS51" i="16"/>
  <c r="BR51" i="16"/>
  <c r="BQ51" i="16"/>
  <c r="BP51" i="16"/>
  <c r="BO51" i="16"/>
  <c r="BN51" i="16"/>
  <c r="BM51" i="16"/>
  <c r="BL51" i="16"/>
  <c r="BK51" i="16"/>
  <c r="BJ51" i="16"/>
  <c r="BI51" i="16"/>
  <c r="BH51" i="16"/>
  <c r="BG51" i="16"/>
  <c r="BF51" i="16"/>
  <c r="BE51" i="16"/>
  <c r="BD51" i="16"/>
  <c r="BC51" i="16"/>
  <c r="BB51" i="16"/>
  <c r="BA51" i="16"/>
  <c r="AZ51" i="16"/>
  <c r="AY51" i="16"/>
  <c r="AX51" i="16"/>
  <c r="AW51" i="16"/>
  <c r="AV51" i="16"/>
  <c r="AU51" i="16"/>
  <c r="AT51" i="16"/>
  <c r="AS51" i="16"/>
  <c r="AR51" i="16"/>
  <c r="AQ51" i="16"/>
  <c r="AP51" i="16"/>
  <c r="AO51" i="16"/>
  <c r="AN51" i="16"/>
  <c r="AM51" i="16"/>
  <c r="AL51" i="16"/>
  <c r="AK51" i="16"/>
  <c r="AJ51" i="16"/>
  <c r="AI51" i="16"/>
  <c r="AH51" i="16"/>
  <c r="AG51" i="16"/>
  <c r="AF51" i="16"/>
  <c r="AE51" i="16"/>
  <c r="AD51" i="16"/>
  <c r="AC51" i="16"/>
  <c r="AB51" i="16"/>
  <c r="AA51" i="16"/>
  <c r="Z51" i="16"/>
  <c r="Y51" i="16"/>
  <c r="X51" i="16"/>
  <c r="W51" i="16"/>
  <c r="V51" i="16"/>
  <c r="U51" i="16"/>
  <c r="T51" i="16"/>
  <c r="S51" i="16"/>
  <c r="R51" i="16"/>
  <c r="Q51" i="16"/>
  <c r="P51" i="16"/>
  <c r="O51" i="16"/>
  <c r="N51" i="16"/>
  <c r="M51" i="16"/>
  <c r="L51" i="16"/>
  <c r="K51" i="16"/>
  <c r="J51" i="16"/>
  <c r="I51" i="16"/>
  <c r="H51" i="16"/>
  <c r="G51" i="16"/>
  <c r="F51" i="16"/>
  <c r="DC50" i="16"/>
  <c r="DB50" i="16"/>
  <c r="DA50" i="16"/>
  <c r="CZ50" i="16"/>
  <c r="CY50" i="16"/>
  <c r="CX50" i="16"/>
  <c r="CW50" i="16"/>
  <c r="CV50" i="16"/>
  <c r="CU50" i="16"/>
  <c r="CT50" i="16"/>
  <c r="CS50" i="16"/>
  <c r="CR50" i="16"/>
  <c r="CQ50" i="16"/>
  <c r="CP50" i="16"/>
  <c r="CO50" i="16"/>
  <c r="CN50" i="16"/>
  <c r="CM50" i="16"/>
  <c r="CL50" i="16"/>
  <c r="CK50" i="16"/>
  <c r="CJ50" i="16"/>
  <c r="CI50" i="16"/>
  <c r="CH50" i="16"/>
  <c r="CG50" i="16"/>
  <c r="CF50" i="16"/>
  <c r="CE50" i="16"/>
  <c r="CD50" i="16"/>
  <c r="CC50" i="16"/>
  <c r="CB50" i="16"/>
  <c r="CA50" i="16"/>
  <c r="BZ50" i="16"/>
  <c r="BY50" i="16"/>
  <c r="BX50" i="16"/>
  <c r="BW50" i="16"/>
  <c r="BV50" i="16"/>
  <c r="BU50" i="16"/>
  <c r="BT50" i="16"/>
  <c r="BS50" i="16"/>
  <c r="BR50" i="16"/>
  <c r="BQ50" i="16"/>
  <c r="BP50" i="16"/>
  <c r="BO50" i="16"/>
  <c r="BN50" i="16"/>
  <c r="BM50" i="16"/>
  <c r="BL50" i="16"/>
  <c r="BK50" i="16"/>
  <c r="BJ50" i="16"/>
  <c r="BI50" i="16"/>
  <c r="BH50" i="16"/>
  <c r="BG50" i="16"/>
  <c r="BF50" i="16"/>
  <c r="BE50" i="16"/>
  <c r="BD50" i="16"/>
  <c r="BC50" i="16"/>
  <c r="BB50" i="16"/>
  <c r="BA50" i="16"/>
  <c r="AZ50" i="16"/>
  <c r="AY50" i="16"/>
  <c r="AX50" i="16"/>
  <c r="AW50" i="16"/>
  <c r="AV50" i="16"/>
  <c r="AU50" i="16"/>
  <c r="AT50" i="16"/>
  <c r="AS50" i="16"/>
  <c r="AR50" i="16"/>
  <c r="AQ50" i="16"/>
  <c r="AP50" i="16"/>
  <c r="AO50" i="16"/>
  <c r="AN50" i="16"/>
  <c r="AM50" i="16"/>
  <c r="AL50" i="16"/>
  <c r="AK50" i="16"/>
  <c r="AJ50" i="16"/>
  <c r="AI50" i="16"/>
  <c r="AH50" i="16"/>
  <c r="AG50" i="16"/>
  <c r="AF50" i="16"/>
  <c r="AE50" i="16"/>
  <c r="AD50" i="16"/>
  <c r="AC50" i="16"/>
  <c r="AB50" i="16"/>
  <c r="AA50" i="16"/>
  <c r="Z50" i="16"/>
  <c r="Y50" i="16"/>
  <c r="X50" i="16"/>
  <c r="W50" i="16"/>
  <c r="V50" i="16"/>
  <c r="U50" i="16"/>
  <c r="T50" i="16"/>
  <c r="S50" i="16"/>
  <c r="R50" i="16"/>
  <c r="Q50" i="16"/>
  <c r="P50" i="16"/>
  <c r="O50" i="16"/>
  <c r="N50" i="16"/>
  <c r="M50" i="16"/>
  <c r="L50" i="16"/>
  <c r="K50" i="16"/>
  <c r="J50" i="16"/>
  <c r="I50" i="16"/>
  <c r="H50" i="16"/>
  <c r="G50" i="16"/>
  <c r="F50" i="16"/>
  <c r="DC49" i="16"/>
  <c r="DB49" i="16"/>
  <c r="DA49" i="16"/>
  <c r="CZ49" i="16"/>
  <c r="CY49" i="16"/>
  <c r="CX49" i="16"/>
  <c r="CW49" i="16"/>
  <c r="CV49" i="16"/>
  <c r="CU49" i="16"/>
  <c r="CT49" i="16"/>
  <c r="CS49" i="16"/>
  <c r="CR49" i="16"/>
  <c r="CQ49" i="16"/>
  <c r="CP49" i="16"/>
  <c r="CO49" i="16"/>
  <c r="CN49" i="16"/>
  <c r="CM49" i="16"/>
  <c r="CL49" i="16"/>
  <c r="CK49" i="16"/>
  <c r="CJ49" i="16"/>
  <c r="CI49" i="16"/>
  <c r="CH49" i="16"/>
  <c r="CG49" i="16"/>
  <c r="CF49" i="16"/>
  <c r="CE49" i="16"/>
  <c r="CD49" i="16"/>
  <c r="CC49" i="16"/>
  <c r="CB49" i="16"/>
  <c r="CA49" i="16"/>
  <c r="BZ49" i="16"/>
  <c r="BY49" i="16"/>
  <c r="BX49" i="16"/>
  <c r="BW49" i="16"/>
  <c r="BV49" i="16"/>
  <c r="BU49" i="16"/>
  <c r="BT49" i="16"/>
  <c r="BS49" i="16"/>
  <c r="BR49" i="16"/>
  <c r="BQ49" i="16"/>
  <c r="BP49" i="16"/>
  <c r="BO49" i="16"/>
  <c r="BN49" i="16"/>
  <c r="BM49" i="16"/>
  <c r="BL49" i="16"/>
  <c r="BK49" i="16"/>
  <c r="BJ49" i="16"/>
  <c r="BI49" i="16"/>
  <c r="BH49" i="16"/>
  <c r="BG49" i="16"/>
  <c r="BF49" i="16"/>
  <c r="BE49" i="16"/>
  <c r="BD49" i="16"/>
  <c r="BC49" i="16"/>
  <c r="BB49" i="16"/>
  <c r="BA49" i="16"/>
  <c r="AZ49" i="16"/>
  <c r="AY49" i="16"/>
  <c r="AX49" i="16"/>
  <c r="AW49" i="16"/>
  <c r="AV49" i="16"/>
  <c r="AU49" i="16"/>
  <c r="AT49" i="16"/>
  <c r="AS49" i="16"/>
  <c r="AR49" i="16"/>
  <c r="AQ49" i="16"/>
  <c r="AP49" i="16"/>
  <c r="AO49" i="16"/>
  <c r="AN49" i="16"/>
  <c r="AM49" i="16"/>
  <c r="AL49" i="16"/>
  <c r="AK49" i="16"/>
  <c r="AJ49" i="16"/>
  <c r="AI49" i="16"/>
  <c r="AH49" i="16"/>
  <c r="AG49" i="16"/>
  <c r="AF49" i="16"/>
  <c r="AE49" i="16"/>
  <c r="AD49" i="16"/>
  <c r="AC49" i="16"/>
  <c r="AB49" i="16"/>
  <c r="AA49" i="16"/>
  <c r="Z49" i="16"/>
  <c r="Y49" i="16"/>
  <c r="X49" i="16"/>
  <c r="W49" i="16"/>
  <c r="V49" i="16"/>
  <c r="U49" i="16"/>
  <c r="T49" i="16"/>
  <c r="S49" i="16"/>
  <c r="R49" i="16"/>
  <c r="Q49" i="16"/>
  <c r="P49" i="16"/>
  <c r="O49" i="16"/>
  <c r="N49" i="16"/>
  <c r="M49" i="16"/>
  <c r="L49" i="16"/>
  <c r="K49" i="16"/>
  <c r="J49" i="16"/>
  <c r="I49" i="16"/>
  <c r="H49" i="16"/>
  <c r="G49" i="16"/>
  <c r="F49" i="16"/>
  <c r="DC48" i="16"/>
  <c r="DB48" i="16"/>
  <c r="DA48" i="16"/>
  <c r="CZ48" i="16"/>
  <c r="CY48" i="16"/>
  <c r="CX48" i="16"/>
  <c r="CW48" i="16"/>
  <c r="CV48" i="16"/>
  <c r="CU48" i="16"/>
  <c r="CT48" i="16"/>
  <c r="CS48" i="16"/>
  <c r="CR48" i="16"/>
  <c r="CQ48" i="16"/>
  <c r="CP48" i="16"/>
  <c r="CO48" i="16"/>
  <c r="CN48" i="16"/>
  <c r="CM48" i="16"/>
  <c r="CL48" i="16"/>
  <c r="CK48" i="16"/>
  <c r="CJ48" i="16"/>
  <c r="CI48" i="16"/>
  <c r="CH48" i="16"/>
  <c r="CG48" i="16"/>
  <c r="CF48" i="16"/>
  <c r="CE48" i="16"/>
  <c r="CD48" i="16"/>
  <c r="CC48" i="16"/>
  <c r="CB48" i="16"/>
  <c r="CA48" i="16"/>
  <c r="BZ48" i="16"/>
  <c r="BY48" i="16"/>
  <c r="BX48" i="16"/>
  <c r="BW48" i="16"/>
  <c r="BV48" i="16"/>
  <c r="BU48" i="16"/>
  <c r="BT48" i="16"/>
  <c r="BS48" i="16"/>
  <c r="BR48" i="16"/>
  <c r="BQ48" i="16"/>
  <c r="BP48" i="16"/>
  <c r="BO48" i="16"/>
  <c r="BN48" i="16"/>
  <c r="BM48" i="16"/>
  <c r="BL48" i="16"/>
  <c r="BK48" i="16"/>
  <c r="BJ48" i="16"/>
  <c r="BI48" i="16"/>
  <c r="BH48" i="16"/>
  <c r="BG48" i="16"/>
  <c r="BF48" i="16"/>
  <c r="BE48" i="16"/>
  <c r="BD48" i="16"/>
  <c r="BC48" i="16"/>
  <c r="BB48" i="16"/>
  <c r="BA48" i="16"/>
  <c r="AZ48" i="16"/>
  <c r="AY48" i="16"/>
  <c r="AX48" i="16"/>
  <c r="AW48" i="16"/>
  <c r="AV48" i="16"/>
  <c r="AU48" i="16"/>
  <c r="AT48" i="16"/>
  <c r="AS48" i="16"/>
  <c r="AR48" i="16"/>
  <c r="AQ48" i="16"/>
  <c r="AP48" i="16"/>
  <c r="AO48" i="16"/>
  <c r="AN48" i="16"/>
  <c r="AM48" i="16"/>
  <c r="AL48" i="16"/>
  <c r="AK48" i="16"/>
  <c r="AJ48" i="16"/>
  <c r="AI48" i="16"/>
  <c r="AH48" i="16"/>
  <c r="AG48" i="16"/>
  <c r="AF48" i="16"/>
  <c r="AE48" i="16"/>
  <c r="AD48" i="16"/>
  <c r="AC48" i="16"/>
  <c r="AB48" i="16"/>
  <c r="AA48" i="16"/>
  <c r="Z48" i="16"/>
  <c r="Y48" i="16"/>
  <c r="X48" i="16"/>
  <c r="W48" i="16"/>
  <c r="V48" i="16"/>
  <c r="U48" i="16"/>
  <c r="T48" i="16"/>
  <c r="S48" i="16"/>
  <c r="R48" i="16"/>
  <c r="Q48" i="16"/>
  <c r="P48" i="16"/>
  <c r="O48" i="16"/>
  <c r="N48" i="16"/>
  <c r="M48" i="16"/>
  <c r="L48" i="16"/>
  <c r="K48" i="16"/>
  <c r="J48" i="16"/>
  <c r="I48" i="16"/>
  <c r="H48" i="16"/>
  <c r="G48" i="16"/>
  <c r="F48" i="16"/>
  <c r="DC47" i="16"/>
  <c r="DB47" i="16"/>
  <c r="DA47" i="16"/>
  <c r="CZ47" i="16"/>
  <c r="CY47" i="16"/>
  <c r="CX47" i="16"/>
  <c r="CW47" i="16"/>
  <c r="CV47" i="16"/>
  <c r="CU47" i="16"/>
  <c r="CT47" i="16"/>
  <c r="CS47" i="16"/>
  <c r="CR47" i="16"/>
  <c r="CQ47" i="16"/>
  <c r="CP47" i="16"/>
  <c r="CO47" i="16"/>
  <c r="CN47" i="16"/>
  <c r="CM47" i="16"/>
  <c r="CL47" i="16"/>
  <c r="CK47" i="16"/>
  <c r="CJ47" i="16"/>
  <c r="CI47" i="16"/>
  <c r="CH47" i="16"/>
  <c r="CG47" i="16"/>
  <c r="CF47" i="16"/>
  <c r="CE47" i="16"/>
  <c r="CD47" i="16"/>
  <c r="CC47" i="16"/>
  <c r="CB47" i="16"/>
  <c r="CA47" i="16"/>
  <c r="BZ47" i="16"/>
  <c r="BY47" i="16"/>
  <c r="BX47" i="16"/>
  <c r="BW47" i="16"/>
  <c r="BV47" i="16"/>
  <c r="BU47" i="16"/>
  <c r="BT47" i="16"/>
  <c r="BS47" i="16"/>
  <c r="BR47" i="16"/>
  <c r="BQ47" i="16"/>
  <c r="BP47" i="16"/>
  <c r="BO47" i="16"/>
  <c r="BN47" i="16"/>
  <c r="BM47" i="16"/>
  <c r="BL47" i="16"/>
  <c r="BK47" i="16"/>
  <c r="BJ47" i="16"/>
  <c r="BI47" i="16"/>
  <c r="BH47" i="16"/>
  <c r="BG47" i="16"/>
  <c r="BF47" i="16"/>
  <c r="BE47" i="16"/>
  <c r="BD47" i="16"/>
  <c r="BC47" i="16"/>
  <c r="BB47" i="16"/>
  <c r="BA47" i="16"/>
  <c r="AZ47" i="16"/>
  <c r="AY47" i="16"/>
  <c r="AX47" i="16"/>
  <c r="AW47" i="16"/>
  <c r="AV47" i="16"/>
  <c r="AU47" i="16"/>
  <c r="AT47" i="16"/>
  <c r="AS47" i="16"/>
  <c r="AR47" i="16"/>
  <c r="AQ47" i="16"/>
  <c r="AP47" i="16"/>
  <c r="AO47" i="16"/>
  <c r="AN47" i="16"/>
  <c r="AM47" i="16"/>
  <c r="AL47" i="16"/>
  <c r="AK47" i="16"/>
  <c r="AJ47" i="16"/>
  <c r="AI47" i="16"/>
  <c r="AH47" i="16"/>
  <c r="AG47" i="16"/>
  <c r="AF47" i="16"/>
  <c r="AE47" i="16"/>
  <c r="AD47" i="16"/>
  <c r="AC47" i="16"/>
  <c r="AB47" i="16"/>
  <c r="AA47" i="16"/>
  <c r="Z47" i="16"/>
  <c r="Y47" i="16"/>
  <c r="X47" i="16"/>
  <c r="W47" i="16"/>
  <c r="V47" i="16"/>
  <c r="U47" i="16"/>
  <c r="T47" i="16"/>
  <c r="S47" i="16"/>
  <c r="R47" i="16"/>
  <c r="Q47" i="16"/>
  <c r="P47" i="16"/>
  <c r="O47" i="16"/>
  <c r="N47" i="16"/>
  <c r="M47" i="16"/>
  <c r="L47" i="16"/>
  <c r="K47" i="16"/>
  <c r="J47" i="16"/>
  <c r="I47" i="16"/>
  <c r="H47" i="16"/>
  <c r="G47" i="16"/>
  <c r="F47" i="16"/>
  <c r="DC46" i="16"/>
  <c r="DB46" i="16"/>
  <c r="DA46" i="16"/>
  <c r="CZ46" i="16"/>
  <c r="CY46" i="16"/>
  <c r="CX46" i="16"/>
  <c r="CW46" i="16"/>
  <c r="CV46" i="16"/>
  <c r="CU46" i="16"/>
  <c r="CT46" i="16"/>
  <c r="CS46" i="16"/>
  <c r="CR46" i="16"/>
  <c r="CQ46" i="16"/>
  <c r="CP46" i="16"/>
  <c r="CO46" i="16"/>
  <c r="CN46" i="16"/>
  <c r="CM46" i="16"/>
  <c r="CL46" i="16"/>
  <c r="CK46" i="16"/>
  <c r="CJ46" i="16"/>
  <c r="CI46" i="16"/>
  <c r="CH46" i="16"/>
  <c r="CG46" i="16"/>
  <c r="CF46" i="16"/>
  <c r="CE46" i="16"/>
  <c r="CD46" i="16"/>
  <c r="CC46" i="16"/>
  <c r="CB46" i="16"/>
  <c r="CA46" i="16"/>
  <c r="BZ46" i="16"/>
  <c r="BY46" i="16"/>
  <c r="BX46" i="16"/>
  <c r="BW46" i="16"/>
  <c r="BV46" i="16"/>
  <c r="BU46" i="16"/>
  <c r="BT46" i="16"/>
  <c r="BS46" i="16"/>
  <c r="BR46" i="16"/>
  <c r="BQ46" i="16"/>
  <c r="BP46" i="16"/>
  <c r="BO46" i="16"/>
  <c r="BN46" i="16"/>
  <c r="BM46" i="16"/>
  <c r="BL46" i="16"/>
  <c r="BK46" i="16"/>
  <c r="BJ46" i="16"/>
  <c r="BI46" i="16"/>
  <c r="BH46" i="16"/>
  <c r="BG46" i="16"/>
  <c r="BF46" i="16"/>
  <c r="BE46" i="16"/>
  <c r="BD46" i="16"/>
  <c r="BC46" i="16"/>
  <c r="BB46" i="16"/>
  <c r="BA46" i="16"/>
  <c r="AZ46" i="16"/>
  <c r="AY46" i="16"/>
  <c r="AX46" i="16"/>
  <c r="AW46" i="16"/>
  <c r="AV46" i="16"/>
  <c r="AU46" i="16"/>
  <c r="AT46" i="16"/>
  <c r="AS46" i="16"/>
  <c r="AR46" i="16"/>
  <c r="AQ46" i="16"/>
  <c r="AP46" i="16"/>
  <c r="AO46" i="16"/>
  <c r="AN46" i="16"/>
  <c r="AM46" i="16"/>
  <c r="AL46" i="16"/>
  <c r="AK46" i="16"/>
  <c r="AJ46" i="16"/>
  <c r="AI46" i="16"/>
  <c r="AH46" i="16"/>
  <c r="AG46" i="16"/>
  <c r="AF46" i="16"/>
  <c r="AE46" i="16"/>
  <c r="AD46" i="16"/>
  <c r="AC46" i="16"/>
  <c r="AB46" i="16"/>
  <c r="AA46" i="16"/>
  <c r="Z46" i="16"/>
  <c r="Y46" i="16"/>
  <c r="X46" i="16"/>
  <c r="W46" i="16"/>
  <c r="V46" i="16"/>
  <c r="U46" i="16"/>
  <c r="T46" i="16"/>
  <c r="S46" i="16"/>
  <c r="R46" i="16"/>
  <c r="Q46" i="16"/>
  <c r="P46" i="16"/>
  <c r="O46" i="16"/>
  <c r="N46" i="16"/>
  <c r="M46" i="16"/>
  <c r="L46" i="16"/>
  <c r="K46" i="16"/>
  <c r="J46" i="16"/>
  <c r="I46" i="16"/>
  <c r="H46" i="16"/>
  <c r="G46" i="16"/>
  <c r="F46" i="16"/>
  <c r="DC45" i="16"/>
  <c r="DB45" i="16"/>
  <c r="DA45" i="16"/>
  <c r="CZ45" i="16"/>
  <c r="CY45" i="16"/>
  <c r="CX45" i="16"/>
  <c r="CW45" i="16"/>
  <c r="CV45" i="16"/>
  <c r="CU45" i="16"/>
  <c r="CT45" i="16"/>
  <c r="CS45" i="16"/>
  <c r="CR45" i="16"/>
  <c r="CQ45" i="16"/>
  <c r="CP45" i="16"/>
  <c r="CO45" i="16"/>
  <c r="CN45" i="16"/>
  <c r="CM45" i="16"/>
  <c r="CL45" i="16"/>
  <c r="CK45" i="16"/>
  <c r="CJ45" i="16"/>
  <c r="CI45" i="16"/>
  <c r="CH45" i="16"/>
  <c r="CG45" i="16"/>
  <c r="CF45" i="16"/>
  <c r="CE45" i="16"/>
  <c r="CD45" i="16"/>
  <c r="CC45" i="16"/>
  <c r="CB45" i="16"/>
  <c r="CA45" i="16"/>
  <c r="BZ45" i="16"/>
  <c r="BY45" i="16"/>
  <c r="BX45" i="16"/>
  <c r="BW45" i="16"/>
  <c r="BV45" i="16"/>
  <c r="BU45" i="16"/>
  <c r="BT45" i="16"/>
  <c r="BS45" i="16"/>
  <c r="BR45" i="16"/>
  <c r="BQ45" i="16"/>
  <c r="BP45" i="16"/>
  <c r="BO45" i="16"/>
  <c r="BN45" i="16"/>
  <c r="BM45" i="16"/>
  <c r="BL45" i="16"/>
  <c r="BK45" i="16"/>
  <c r="BJ45" i="16"/>
  <c r="BI45" i="16"/>
  <c r="BH45" i="16"/>
  <c r="BG45" i="16"/>
  <c r="BF45" i="16"/>
  <c r="BE45" i="16"/>
  <c r="BD45" i="16"/>
  <c r="BC45" i="16"/>
  <c r="BB45" i="16"/>
  <c r="BA45" i="16"/>
  <c r="AZ45" i="16"/>
  <c r="AY45" i="16"/>
  <c r="AX45" i="16"/>
  <c r="AW45" i="16"/>
  <c r="AV45" i="16"/>
  <c r="AU45" i="16"/>
  <c r="AT45" i="16"/>
  <c r="AS45" i="16"/>
  <c r="AR45" i="16"/>
  <c r="AQ45" i="16"/>
  <c r="AP45" i="16"/>
  <c r="AO45" i="16"/>
  <c r="AN45" i="16"/>
  <c r="AM45" i="16"/>
  <c r="AL45" i="16"/>
  <c r="AK45" i="16"/>
  <c r="AJ45" i="16"/>
  <c r="AI45" i="16"/>
  <c r="AH45" i="16"/>
  <c r="AG45" i="16"/>
  <c r="AF45" i="16"/>
  <c r="AE45" i="16"/>
  <c r="AD45" i="16"/>
  <c r="AC45" i="16"/>
  <c r="AB45" i="16"/>
  <c r="AA45" i="16"/>
  <c r="Z45" i="16"/>
  <c r="Y45" i="16"/>
  <c r="X45" i="16"/>
  <c r="W45" i="16"/>
  <c r="V45" i="16"/>
  <c r="U45" i="16"/>
  <c r="T45" i="16"/>
  <c r="S45" i="16"/>
  <c r="R45" i="16"/>
  <c r="Q45" i="16"/>
  <c r="P45" i="16"/>
  <c r="O45" i="16"/>
  <c r="N45" i="16"/>
  <c r="M45" i="16"/>
  <c r="L45" i="16"/>
  <c r="K45" i="16"/>
  <c r="J45" i="16"/>
  <c r="I45" i="16"/>
  <c r="H45" i="16"/>
  <c r="G45" i="16"/>
  <c r="F45" i="16"/>
  <c r="DC44" i="16"/>
  <c r="DB44" i="16"/>
  <c r="DA44" i="16"/>
  <c r="CZ44" i="16"/>
  <c r="CY44" i="16"/>
  <c r="CX44" i="16"/>
  <c r="CW44" i="16"/>
  <c r="CV44" i="16"/>
  <c r="CU44" i="16"/>
  <c r="CT44" i="16"/>
  <c r="CS44" i="16"/>
  <c r="CR44" i="16"/>
  <c r="CQ44" i="16"/>
  <c r="CP44" i="16"/>
  <c r="CO44" i="16"/>
  <c r="CN44" i="16"/>
  <c r="CM44" i="16"/>
  <c r="CL44" i="16"/>
  <c r="CK44" i="16"/>
  <c r="CJ44" i="16"/>
  <c r="CI44" i="16"/>
  <c r="CH44" i="16"/>
  <c r="CG44" i="16"/>
  <c r="CF44" i="16"/>
  <c r="CE44" i="16"/>
  <c r="CD44" i="16"/>
  <c r="CC44" i="16"/>
  <c r="CB44" i="16"/>
  <c r="CA44" i="16"/>
  <c r="BZ44" i="16"/>
  <c r="BY44" i="16"/>
  <c r="BX44" i="16"/>
  <c r="BW44" i="16"/>
  <c r="BV44" i="16"/>
  <c r="BU44" i="16"/>
  <c r="BT44" i="16"/>
  <c r="BS44" i="16"/>
  <c r="BR44" i="16"/>
  <c r="BQ44" i="16"/>
  <c r="BP44" i="16"/>
  <c r="BO44" i="16"/>
  <c r="BN44" i="16"/>
  <c r="BM44" i="16"/>
  <c r="BL44" i="16"/>
  <c r="BK44" i="16"/>
  <c r="BJ44" i="16"/>
  <c r="BI44" i="16"/>
  <c r="BH44" i="16"/>
  <c r="BG44" i="16"/>
  <c r="BF44" i="16"/>
  <c r="BE44" i="16"/>
  <c r="BD44" i="16"/>
  <c r="BC44" i="16"/>
  <c r="BB44" i="16"/>
  <c r="BA44" i="16"/>
  <c r="AZ44" i="16"/>
  <c r="AY44" i="16"/>
  <c r="AX44" i="16"/>
  <c r="AW44" i="16"/>
  <c r="AV44" i="16"/>
  <c r="AU44" i="16"/>
  <c r="AT44" i="16"/>
  <c r="AS44" i="16"/>
  <c r="AR44" i="16"/>
  <c r="AQ44" i="16"/>
  <c r="AP44" i="16"/>
  <c r="AO44" i="16"/>
  <c r="AN44" i="16"/>
  <c r="AM44" i="16"/>
  <c r="AL44" i="16"/>
  <c r="AK44" i="16"/>
  <c r="AJ44" i="16"/>
  <c r="AI44" i="16"/>
  <c r="AH44" i="16"/>
  <c r="AG44" i="16"/>
  <c r="AF44" i="16"/>
  <c r="AE44" i="16"/>
  <c r="AD44" i="16"/>
  <c r="AC44" i="16"/>
  <c r="AB44" i="16"/>
  <c r="AA44" i="16"/>
  <c r="Z44" i="16"/>
  <c r="Y44" i="16"/>
  <c r="X44" i="16"/>
  <c r="W44" i="16"/>
  <c r="V44" i="16"/>
  <c r="U44" i="16"/>
  <c r="T44" i="16"/>
  <c r="S44" i="16"/>
  <c r="R44" i="16"/>
  <c r="Q44" i="16"/>
  <c r="P44" i="16"/>
  <c r="O44" i="16"/>
  <c r="N44" i="16"/>
  <c r="M44" i="16"/>
  <c r="L44" i="16"/>
  <c r="K44" i="16"/>
  <c r="J44" i="16"/>
  <c r="I44" i="16"/>
  <c r="H44" i="16"/>
  <c r="G44" i="16"/>
  <c r="F44" i="16"/>
  <c r="DC43" i="16"/>
  <c r="DB43" i="16"/>
  <c r="DA43" i="16"/>
  <c r="CZ43" i="16"/>
  <c r="CY43" i="16"/>
  <c r="CX43" i="16"/>
  <c r="CW43" i="16"/>
  <c r="CV43" i="16"/>
  <c r="CU43" i="16"/>
  <c r="CT43" i="16"/>
  <c r="CS43" i="16"/>
  <c r="CR43" i="16"/>
  <c r="CQ43" i="16"/>
  <c r="CP43" i="16"/>
  <c r="CO43" i="16"/>
  <c r="CN43" i="16"/>
  <c r="CM43" i="16"/>
  <c r="CL43" i="16"/>
  <c r="CK43" i="16"/>
  <c r="CJ43" i="16"/>
  <c r="CI43" i="16"/>
  <c r="CH43" i="16"/>
  <c r="CG43" i="16"/>
  <c r="CF43" i="16"/>
  <c r="CE43" i="16"/>
  <c r="CD43" i="16"/>
  <c r="CC43" i="16"/>
  <c r="CB43" i="16"/>
  <c r="CA43" i="16"/>
  <c r="BZ43" i="16"/>
  <c r="BY43" i="16"/>
  <c r="BX43" i="16"/>
  <c r="BW43" i="16"/>
  <c r="BV43" i="16"/>
  <c r="BU43" i="16"/>
  <c r="BT43" i="16"/>
  <c r="BS43" i="16"/>
  <c r="BR43" i="16"/>
  <c r="BQ43" i="16"/>
  <c r="BP43" i="16"/>
  <c r="BO43" i="16"/>
  <c r="BN43" i="16"/>
  <c r="BM43" i="16"/>
  <c r="BL43" i="16"/>
  <c r="BK43" i="16"/>
  <c r="BJ43" i="16"/>
  <c r="BI43" i="16"/>
  <c r="BH43" i="16"/>
  <c r="BG43" i="16"/>
  <c r="BF43" i="16"/>
  <c r="BE43" i="16"/>
  <c r="BD43" i="16"/>
  <c r="BC43" i="16"/>
  <c r="BB43" i="16"/>
  <c r="BA43" i="16"/>
  <c r="AZ43" i="16"/>
  <c r="AY43" i="16"/>
  <c r="AX43" i="16"/>
  <c r="AW43" i="16"/>
  <c r="AV43" i="16"/>
  <c r="AU43" i="16"/>
  <c r="AT43" i="16"/>
  <c r="AS43" i="16"/>
  <c r="AR43" i="16"/>
  <c r="AQ43" i="16"/>
  <c r="AP43" i="16"/>
  <c r="AO43" i="16"/>
  <c r="AN43" i="16"/>
  <c r="AM43" i="16"/>
  <c r="AL43" i="16"/>
  <c r="AK43" i="16"/>
  <c r="AJ43" i="16"/>
  <c r="AI43" i="16"/>
  <c r="AH43" i="16"/>
  <c r="AG43" i="16"/>
  <c r="AF43" i="16"/>
  <c r="AE43" i="16"/>
  <c r="AD43" i="16"/>
  <c r="AC43" i="16"/>
  <c r="AB43" i="16"/>
  <c r="AA43" i="16"/>
  <c r="Z43" i="16"/>
  <c r="Y43" i="16"/>
  <c r="X43" i="16"/>
  <c r="W43" i="16"/>
  <c r="V43" i="16"/>
  <c r="U43" i="16"/>
  <c r="T43" i="16"/>
  <c r="S43" i="16"/>
  <c r="R43" i="16"/>
  <c r="Q43" i="16"/>
  <c r="P43" i="16"/>
  <c r="O43" i="16"/>
  <c r="N43" i="16"/>
  <c r="M43" i="16"/>
  <c r="L43" i="16"/>
  <c r="K43" i="16"/>
  <c r="J43" i="16"/>
  <c r="I43" i="16"/>
  <c r="H43" i="16"/>
  <c r="G43" i="16"/>
  <c r="F43" i="16"/>
  <c r="DC42" i="16"/>
  <c r="DB42" i="16"/>
  <c r="DA42" i="16"/>
  <c r="CZ42" i="16"/>
  <c r="CY42" i="16"/>
  <c r="CX42" i="16"/>
  <c r="CW42" i="16"/>
  <c r="CV42" i="16"/>
  <c r="CU42" i="16"/>
  <c r="CT42" i="16"/>
  <c r="CS42" i="16"/>
  <c r="CR42" i="16"/>
  <c r="CQ42" i="16"/>
  <c r="CP42" i="16"/>
  <c r="CO42" i="16"/>
  <c r="CN42" i="16"/>
  <c r="CM42" i="16"/>
  <c r="CL42" i="16"/>
  <c r="CK42" i="16"/>
  <c r="CJ42" i="16"/>
  <c r="CI42" i="16"/>
  <c r="CH42" i="16"/>
  <c r="CG42" i="16"/>
  <c r="CF42" i="16"/>
  <c r="CE42" i="16"/>
  <c r="CD42" i="16"/>
  <c r="CC42" i="16"/>
  <c r="CB42" i="16"/>
  <c r="CA42" i="16"/>
  <c r="BZ42" i="16"/>
  <c r="BY42" i="16"/>
  <c r="BX42" i="16"/>
  <c r="BW42" i="16"/>
  <c r="BV42" i="16"/>
  <c r="BU42" i="16"/>
  <c r="BT42" i="16"/>
  <c r="BS42" i="16"/>
  <c r="BR42" i="16"/>
  <c r="BQ42" i="16"/>
  <c r="BP42" i="16"/>
  <c r="BO42" i="16"/>
  <c r="BN42" i="16"/>
  <c r="BM42" i="16"/>
  <c r="BL42" i="16"/>
  <c r="BK42" i="16"/>
  <c r="BJ42" i="16"/>
  <c r="BI42" i="16"/>
  <c r="BH42" i="16"/>
  <c r="BG42" i="16"/>
  <c r="BF42" i="16"/>
  <c r="BE42" i="16"/>
  <c r="BD42" i="16"/>
  <c r="BC42" i="16"/>
  <c r="BB42" i="16"/>
  <c r="BA42" i="16"/>
  <c r="AZ42" i="16"/>
  <c r="AY42" i="16"/>
  <c r="AX42" i="16"/>
  <c r="AW42" i="16"/>
  <c r="AV42" i="16"/>
  <c r="AU42" i="16"/>
  <c r="AT42" i="16"/>
  <c r="AS42" i="16"/>
  <c r="AR42" i="16"/>
  <c r="AQ42" i="16"/>
  <c r="AP42" i="16"/>
  <c r="AO42" i="16"/>
  <c r="AN42" i="16"/>
  <c r="AM42" i="16"/>
  <c r="AL42" i="16"/>
  <c r="AK42" i="16"/>
  <c r="AJ42" i="16"/>
  <c r="AI42" i="16"/>
  <c r="AH42" i="16"/>
  <c r="AG42" i="16"/>
  <c r="AF42" i="16"/>
  <c r="AE42" i="16"/>
  <c r="AD42" i="16"/>
  <c r="AC42" i="16"/>
  <c r="AB42" i="16"/>
  <c r="AA42" i="16"/>
  <c r="Z42" i="16"/>
  <c r="Y42" i="16"/>
  <c r="X42" i="16"/>
  <c r="W42" i="16"/>
  <c r="V42" i="16"/>
  <c r="U42" i="16"/>
  <c r="T42" i="16"/>
  <c r="S42" i="16"/>
  <c r="R42" i="16"/>
  <c r="Q42" i="16"/>
  <c r="P42" i="16"/>
  <c r="O42" i="16"/>
  <c r="N42" i="16"/>
  <c r="M42" i="16"/>
  <c r="L42" i="16"/>
  <c r="K42" i="16"/>
  <c r="J42" i="16"/>
  <c r="I42" i="16"/>
  <c r="H42" i="16"/>
  <c r="G42" i="16"/>
  <c r="F42" i="16"/>
  <c r="DC41" i="16"/>
  <c r="DB41" i="16"/>
  <c r="DA41" i="16"/>
  <c r="CZ41" i="16"/>
  <c r="CY41" i="16"/>
  <c r="CX41" i="16"/>
  <c r="CW41" i="16"/>
  <c r="CV41" i="16"/>
  <c r="CU41" i="16"/>
  <c r="CT41" i="16"/>
  <c r="CS41" i="16"/>
  <c r="CR41" i="16"/>
  <c r="CQ41" i="16"/>
  <c r="CP41" i="16"/>
  <c r="CO41" i="16"/>
  <c r="CN41" i="16"/>
  <c r="CM41" i="16"/>
  <c r="CL41" i="16"/>
  <c r="CK41" i="16"/>
  <c r="CJ41" i="16"/>
  <c r="CI41" i="16"/>
  <c r="CH41" i="16"/>
  <c r="CG41" i="16"/>
  <c r="CF41" i="16"/>
  <c r="CE41" i="16"/>
  <c r="CD41" i="16"/>
  <c r="CC41" i="16"/>
  <c r="CB41" i="16"/>
  <c r="CA41" i="16"/>
  <c r="BZ41" i="16"/>
  <c r="BY41" i="16"/>
  <c r="BX41" i="16"/>
  <c r="BW41" i="16"/>
  <c r="BV41" i="16"/>
  <c r="BU41" i="16"/>
  <c r="BT41" i="16"/>
  <c r="BS41" i="16"/>
  <c r="BR41" i="16"/>
  <c r="BQ41" i="16"/>
  <c r="BP41" i="16"/>
  <c r="BO41" i="16"/>
  <c r="BN41" i="16"/>
  <c r="BM41" i="16"/>
  <c r="BL41" i="16"/>
  <c r="BK41" i="16"/>
  <c r="BJ41" i="16"/>
  <c r="BI41" i="16"/>
  <c r="BH41" i="16"/>
  <c r="BG41" i="16"/>
  <c r="BF41" i="16"/>
  <c r="BE41" i="16"/>
  <c r="BD41" i="16"/>
  <c r="BC41" i="16"/>
  <c r="BB41" i="16"/>
  <c r="BA41" i="16"/>
  <c r="AZ41" i="16"/>
  <c r="AY41" i="16"/>
  <c r="AX41" i="16"/>
  <c r="AW41" i="16"/>
  <c r="AV41" i="16"/>
  <c r="AU41" i="16"/>
  <c r="AT41" i="16"/>
  <c r="AS41" i="16"/>
  <c r="AR41" i="16"/>
  <c r="AQ41" i="16"/>
  <c r="AP41" i="16"/>
  <c r="AO41" i="16"/>
  <c r="AN41" i="16"/>
  <c r="AM41" i="16"/>
  <c r="AL41" i="16"/>
  <c r="AK41" i="16"/>
  <c r="AJ41" i="16"/>
  <c r="AI41" i="16"/>
  <c r="AH41" i="16"/>
  <c r="AG41" i="16"/>
  <c r="AF41" i="16"/>
  <c r="AE41" i="16"/>
  <c r="AD41" i="16"/>
  <c r="AC41" i="16"/>
  <c r="AB41" i="16"/>
  <c r="AA41" i="16"/>
  <c r="Z41" i="16"/>
  <c r="Y41" i="16"/>
  <c r="X41" i="16"/>
  <c r="W41" i="16"/>
  <c r="V41" i="16"/>
  <c r="U41" i="16"/>
  <c r="T41" i="16"/>
  <c r="S41" i="16"/>
  <c r="R41" i="16"/>
  <c r="Q41" i="16"/>
  <c r="P41" i="16"/>
  <c r="O41" i="16"/>
  <c r="N41" i="16"/>
  <c r="M41" i="16"/>
  <c r="L41" i="16"/>
  <c r="K41" i="16"/>
  <c r="J41" i="16"/>
  <c r="I41" i="16"/>
  <c r="H41" i="16"/>
  <c r="G41" i="16"/>
  <c r="F41" i="16"/>
  <c r="DC40" i="16"/>
  <c r="DB40" i="16"/>
  <c r="DA40" i="16"/>
  <c r="CZ40" i="16"/>
  <c r="CY40" i="16"/>
  <c r="CX40" i="16"/>
  <c r="CW40" i="16"/>
  <c r="CV40" i="16"/>
  <c r="CU40" i="16"/>
  <c r="CT40" i="16"/>
  <c r="CS40" i="16"/>
  <c r="CR40" i="16"/>
  <c r="CQ40" i="16"/>
  <c r="CP40" i="16"/>
  <c r="CO40" i="16"/>
  <c r="CN40" i="16"/>
  <c r="CM40" i="16"/>
  <c r="CL40" i="16"/>
  <c r="CK40" i="16"/>
  <c r="CJ40" i="16"/>
  <c r="CI40" i="16"/>
  <c r="CH40" i="16"/>
  <c r="CG40" i="16"/>
  <c r="CF40" i="16"/>
  <c r="CE40" i="16"/>
  <c r="CD40" i="16"/>
  <c r="CC40" i="16"/>
  <c r="CB40" i="16"/>
  <c r="CA40" i="16"/>
  <c r="BZ40" i="16"/>
  <c r="BY40" i="16"/>
  <c r="BX40" i="16"/>
  <c r="BW40" i="16"/>
  <c r="BV40" i="16"/>
  <c r="BU40" i="16"/>
  <c r="BT40" i="16"/>
  <c r="BS40" i="16"/>
  <c r="BR40" i="16"/>
  <c r="BQ40" i="16"/>
  <c r="BP40" i="16"/>
  <c r="BO40" i="16"/>
  <c r="BN40" i="16"/>
  <c r="BM40" i="16"/>
  <c r="BL40" i="16"/>
  <c r="BK40" i="16"/>
  <c r="BJ40" i="16"/>
  <c r="BI40" i="16"/>
  <c r="BH40" i="16"/>
  <c r="BG40" i="16"/>
  <c r="BF40" i="16"/>
  <c r="BE40" i="16"/>
  <c r="BD40" i="16"/>
  <c r="BC40" i="16"/>
  <c r="BB40" i="16"/>
  <c r="BA40" i="16"/>
  <c r="AZ40" i="16"/>
  <c r="AY40" i="16"/>
  <c r="AX40" i="16"/>
  <c r="AW40" i="16"/>
  <c r="AV40" i="16"/>
  <c r="AU40" i="16"/>
  <c r="AT40" i="16"/>
  <c r="AS40" i="16"/>
  <c r="AR40" i="16"/>
  <c r="AQ40" i="16"/>
  <c r="AP40" i="16"/>
  <c r="AO40" i="16"/>
  <c r="AN40" i="16"/>
  <c r="AM40" i="16"/>
  <c r="AL40" i="16"/>
  <c r="AK40" i="16"/>
  <c r="AJ40" i="16"/>
  <c r="AI40" i="16"/>
  <c r="AH40" i="16"/>
  <c r="AG40" i="16"/>
  <c r="AF40" i="16"/>
  <c r="AE40" i="16"/>
  <c r="AD40" i="16"/>
  <c r="AC40" i="16"/>
  <c r="AB40" i="16"/>
  <c r="AA40" i="16"/>
  <c r="Z40" i="16"/>
  <c r="Y40" i="16"/>
  <c r="X40" i="16"/>
  <c r="W40" i="16"/>
  <c r="V40" i="16"/>
  <c r="U40" i="16"/>
  <c r="T40" i="16"/>
  <c r="S40" i="16"/>
  <c r="R40" i="16"/>
  <c r="Q40" i="16"/>
  <c r="P40" i="16"/>
  <c r="O40" i="16"/>
  <c r="N40" i="16"/>
  <c r="M40" i="16"/>
  <c r="L40" i="16"/>
  <c r="K40" i="16"/>
  <c r="J40" i="16"/>
  <c r="I40" i="16"/>
  <c r="H40" i="16"/>
  <c r="G40" i="16"/>
  <c r="F40" i="16"/>
  <c r="DC39" i="16"/>
  <c r="DB39" i="16"/>
  <c r="DA39" i="16"/>
  <c r="CZ39" i="16"/>
  <c r="CY39" i="16"/>
  <c r="CX39" i="16"/>
  <c r="CW39" i="16"/>
  <c r="CV39" i="16"/>
  <c r="CU39" i="16"/>
  <c r="CT39" i="16"/>
  <c r="CS39" i="16"/>
  <c r="CR39" i="16"/>
  <c r="CQ39" i="16"/>
  <c r="CP39" i="16"/>
  <c r="CO39" i="16"/>
  <c r="CN39" i="16"/>
  <c r="CM39" i="16"/>
  <c r="CL39" i="16"/>
  <c r="CK39" i="16"/>
  <c r="CJ39" i="16"/>
  <c r="CI39" i="16"/>
  <c r="CH39" i="16"/>
  <c r="CG39" i="16"/>
  <c r="CF39" i="16"/>
  <c r="CE39" i="16"/>
  <c r="CD39" i="16"/>
  <c r="CC39" i="16"/>
  <c r="CB39" i="16"/>
  <c r="CA39" i="16"/>
  <c r="BZ39" i="16"/>
  <c r="BY39" i="16"/>
  <c r="BX39" i="16"/>
  <c r="BW39" i="16"/>
  <c r="BV39" i="16"/>
  <c r="BU39" i="16"/>
  <c r="BT39" i="16"/>
  <c r="BS39" i="16"/>
  <c r="BR39" i="16"/>
  <c r="BQ39" i="16"/>
  <c r="BP39" i="16"/>
  <c r="BO39" i="16"/>
  <c r="BN39" i="16"/>
  <c r="BM39" i="16"/>
  <c r="BL39" i="16"/>
  <c r="BK39" i="16"/>
  <c r="BJ39" i="16"/>
  <c r="BI39" i="16"/>
  <c r="BH39" i="16"/>
  <c r="BG39" i="16"/>
  <c r="BF39" i="16"/>
  <c r="BE39" i="16"/>
  <c r="BD39" i="16"/>
  <c r="BC39" i="16"/>
  <c r="BB39" i="16"/>
  <c r="BA39" i="16"/>
  <c r="AZ39" i="16"/>
  <c r="AY39" i="16"/>
  <c r="AX39" i="16"/>
  <c r="AW39" i="16"/>
  <c r="AV39" i="16"/>
  <c r="AU39" i="16"/>
  <c r="AT39" i="16"/>
  <c r="AS39" i="16"/>
  <c r="AR39" i="16"/>
  <c r="AQ39" i="16"/>
  <c r="AP39" i="16"/>
  <c r="AO39" i="16"/>
  <c r="AN39" i="16"/>
  <c r="AM39" i="16"/>
  <c r="AL39" i="16"/>
  <c r="AK39" i="16"/>
  <c r="AJ39" i="16"/>
  <c r="AI39" i="16"/>
  <c r="AH39" i="16"/>
  <c r="AG39" i="16"/>
  <c r="AF39" i="16"/>
  <c r="AE39" i="16"/>
  <c r="AD39" i="16"/>
  <c r="AC39" i="16"/>
  <c r="AB39" i="16"/>
  <c r="AA39" i="16"/>
  <c r="Z39" i="16"/>
  <c r="Y39" i="16"/>
  <c r="X39" i="16"/>
  <c r="W39" i="16"/>
  <c r="V39" i="16"/>
  <c r="U39" i="16"/>
  <c r="T39" i="16"/>
  <c r="S39" i="16"/>
  <c r="R39" i="16"/>
  <c r="Q39" i="16"/>
  <c r="P39" i="16"/>
  <c r="O39" i="16"/>
  <c r="N39" i="16"/>
  <c r="M39" i="16"/>
  <c r="L39" i="16"/>
  <c r="K39" i="16"/>
  <c r="J39" i="16"/>
  <c r="I39" i="16"/>
  <c r="H39" i="16"/>
  <c r="G39" i="16"/>
  <c r="F39" i="16"/>
  <c r="DC38" i="16"/>
  <c r="DB38" i="16"/>
  <c r="DA38" i="16"/>
  <c r="CZ38" i="16"/>
  <c r="CY38" i="16"/>
  <c r="CX38" i="16"/>
  <c r="CW38" i="16"/>
  <c r="CV38" i="16"/>
  <c r="CU38" i="16"/>
  <c r="CT38" i="16"/>
  <c r="CS38" i="16"/>
  <c r="CR38" i="16"/>
  <c r="CQ38" i="16"/>
  <c r="CP38" i="16"/>
  <c r="CO38" i="16"/>
  <c r="CN38" i="16"/>
  <c r="CM38" i="16"/>
  <c r="CL38" i="16"/>
  <c r="CK38" i="16"/>
  <c r="CJ38" i="16"/>
  <c r="CI38" i="16"/>
  <c r="CH38" i="16"/>
  <c r="CG38" i="16"/>
  <c r="CF38" i="16"/>
  <c r="CE38" i="16"/>
  <c r="CD38" i="16"/>
  <c r="CC38" i="16"/>
  <c r="CB38" i="16"/>
  <c r="CA38" i="16"/>
  <c r="BZ38" i="16"/>
  <c r="BY38" i="16"/>
  <c r="BX38" i="16"/>
  <c r="BW38" i="16"/>
  <c r="BV38" i="16"/>
  <c r="BU38" i="16"/>
  <c r="BT38" i="16"/>
  <c r="BS38" i="16"/>
  <c r="BR38" i="16"/>
  <c r="BQ38" i="16"/>
  <c r="BP38" i="16"/>
  <c r="BO38" i="16"/>
  <c r="BN38" i="16"/>
  <c r="BM38" i="16"/>
  <c r="BL38" i="16"/>
  <c r="BK38" i="16"/>
  <c r="BJ38" i="16"/>
  <c r="BI38" i="16"/>
  <c r="BH38" i="16"/>
  <c r="BG38" i="16"/>
  <c r="BF38" i="16"/>
  <c r="BE38" i="16"/>
  <c r="BD38" i="16"/>
  <c r="BC38" i="16"/>
  <c r="BB38" i="16"/>
  <c r="BA38" i="16"/>
  <c r="AZ38" i="16"/>
  <c r="AY38" i="16"/>
  <c r="AX38" i="16"/>
  <c r="AW38" i="16"/>
  <c r="AV38" i="16"/>
  <c r="AU38" i="16"/>
  <c r="AT38" i="16"/>
  <c r="AS38" i="16"/>
  <c r="AR38" i="16"/>
  <c r="AQ38" i="16"/>
  <c r="AP38" i="16"/>
  <c r="AO38" i="16"/>
  <c r="AN38" i="16"/>
  <c r="AM38" i="16"/>
  <c r="AL38" i="16"/>
  <c r="AK38" i="16"/>
  <c r="AJ38" i="16"/>
  <c r="AI38" i="16"/>
  <c r="AH38" i="16"/>
  <c r="AG38" i="16"/>
  <c r="AF38" i="16"/>
  <c r="AE38" i="16"/>
  <c r="AD38" i="16"/>
  <c r="AC38" i="16"/>
  <c r="AB38" i="16"/>
  <c r="AA38" i="16"/>
  <c r="Z38" i="16"/>
  <c r="Y38" i="16"/>
  <c r="X38" i="16"/>
  <c r="W38" i="16"/>
  <c r="V38" i="16"/>
  <c r="U38" i="16"/>
  <c r="T38" i="16"/>
  <c r="S38" i="16"/>
  <c r="R38" i="16"/>
  <c r="Q38" i="16"/>
  <c r="P38" i="16"/>
  <c r="O38" i="16"/>
  <c r="N38" i="16"/>
  <c r="M38" i="16"/>
  <c r="L38" i="16"/>
  <c r="K38" i="16"/>
  <c r="J38" i="16"/>
  <c r="I38" i="16"/>
  <c r="H38" i="16"/>
  <c r="G38" i="16"/>
  <c r="F38" i="16"/>
  <c r="DC37" i="16"/>
  <c r="DB37" i="16"/>
  <c r="DA37" i="16"/>
  <c r="CZ37" i="16"/>
  <c r="CY37" i="16"/>
  <c r="CX37" i="16"/>
  <c r="CW37" i="16"/>
  <c r="CV37" i="16"/>
  <c r="CU37" i="16"/>
  <c r="CT37" i="16"/>
  <c r="CS37" i="16"/>
  <c r="CR37" i="16"/>
  <c r="CQ37" i="16"/>
  <c r="CP37" i="16"/>
  <c r="CO37" i="16"/>
  <c r="CN37" i="16"/>
  <c r="CM37" i="16"/>
  <c r="CL37" i="16"/>
  <c r="CK37" i="16"/>
  <c r="CJ37" i="16"/>
  <c r="CI37" i="16"/>
  <c r="CH37" i="16"/>
  <c r="CG37" i="16"/>
  <c r="CF37" i="16"/>
  <c r="CE37" i="16"/>
  <c r="CD37" i="16"/>
  <c r="CC37" i="16"/>
  <c r="CB37" i="16"/>
  <c r="CA37" i="16"/>
  <c r="BZ37" i="16"/>
  <c r="BY37" i="16"/>
  <c r="BX37" i="16"/>
  <c r="BW37" i="16"/>
  <c r="BV37" i="16"/>
  <c r="BU37" i="16"/>
  <c r="BT37" i="16"/>
  <c r="BS37" i="16"/>
  <c r="BR37" i="16"/>
  <c r="BQ37" i="16"/>
  <c r="BP37" i="16"/>
  <c r="BO37" i="16"/>
  <c r="BN37" i="16"/>
  <c r="BM37" i="16"/>
  <c r="BL37" i="16"/>
  <c r="BK37" i="16"/>
  <c r="BJ37" i="16"/>
  <c r="BI37" i="16"/>
  <c r="BH37" i="16"/>
  <c r="BG37" i="16"/>
  <c r="BF37" i="16"/>
  <c r="BE37" i="16"/>
  <c r="BD37" i="16"/>
  <c r="BC37" i="16"/>
  <c r="BB37" i="16"/>
  <c r="BA37" i="16"/>
  <c r="AZ37" i="16"/>
  <c r="AY37" i="16"/>
  <c r="AX37" i="16"/>
  <c r="AW37" i="16"/>
  <c r="AV37" i="16"/>
  <c r="AU37" i="16"/>
  <c r="AT37" i="16"/>
  <c r="AS37" i="16"/>
  <c r="AR37" i="16"/>
  <c r="AQ37" i="16"/>
  <c r="AP37" i="16"/>
  <c r="AO37" i="16"/>
  <c r="AN37" i="16"/>
  <c r="AM37" i="16"/>
  <c r="AL37" i="16"/>
  <c r="AK37" i="16"/>
  <c r="AJ37" i="16"/>
  <c r="AI37" i="16"/>
  <c r="AH37" i="16"/>
  <c r="AG37" i="16"/>
  <c r="AF37" i="16"/>
  <c r="AE37" i="16"/>
  <c r="AD37" i="16"/>
  <c r="AC37" i="16"/>
  <c r="AB37" i="16"/>
  <c r="AA37" i="16"/>
  <c r="Z37" i="16"/>
  <c r="Y37" i="16"/>
  <c r="X37" i="16"/>
  <c r="W37" i="16"/>
  <c r="V37" i="16"/>
  <c r="U37" i="16"/>
  <c r="T37" i="16"/>
  <c r="S37" i="16"/>
  <c r="R37" i="16"/>
  <c r="Q37" i="16"/>
  <c r="P37" i="16"/>
  <c r="O37" i="16"/>
  <c r="N37" i="16"/>
  <c r="M37" i="16"/>
  <c r="L37" i="16"/>
  <c r="K37" i="16"/>
  <c r="J37" i="16"/>
  <c r="I37" i="16"/>
  <c r="H37" i="16"/>
  <c r="G37" i="16"/>
  <c r="F37" i="16"/>
  <c r="DC36" i="16"/>
  <c r="DB36" i="16"/>
  <c r="DA36" i="16"/>
  <c r="CZ36" i="16"/>
  <c r="CY36" i="16"/>
  <c r="CX36" i="16"/>
  <c r="CW36" i="16"/>
  <c r="CV36" i="16"/>
  <c r="CU36" i="16"/>
  <c r="CT36" i="16"/>
  <c r="CS36" i="16"/>
  <c r="CR36" i="16"/>
  <c r="CQ36" i="16"/>
  <c r="CP36" i="16"/>
  <c r="CO36" i="16"/>
  <c r="CN36" i="16"/>
  <c r="CM36" i="16"/>
  <c r="CL36" i="16"/>
  <c r="CK36" i="16"/>
  <c r="CJ36" i="16"/>
  <c r="CI36" i="16"/>
  <c r="CH36" i="16"/>
  <c r="CG36" i="16"/>
  <c r="CF36" i="16"/>
  <c r="CE36" i="16"/>
  <c r="CD36" i="16"/>
  <c r="CC36" i="16"/>
  <c r="CB36" i="16"/>
  <c r="CA36" i="16"/>
  <c r="BZ36" i="16"/>
  <c r="BY36" i="16"/>
  <c r="BX36" i="16"/>
  <c r="BW36" i="16"/>
  <c r="BV36" i="16"/>
  <c r="BU36" i="16"/>
  <c r="BT36" i="16"/>
  <c r="BS36" i="16"/>
  <c r="BR36" i="16"/>
  <c r="BQ36" i="16"/>
  <c r="BP36" i="16"/>
  <c r="BO36" i="16"/>
  <c r="BN36" i="16"/>
  <c r="BM36" i="16"/>
  <c r="BL36" i="16"/>
  <c r="BK36" i="16"/>
  <c r="BJ36" i="16"/>
  <c r="BI36" i="16"/>
  <c r="BH36" i="16"/>
  <c r="BG36" i="16"/>
  <c r="BF36" i="16"/>
  <c r="BE36" i="16"/>
  <c r="BD36" i="16"/>
  <c r="BC36" i="16"/>
  <c r="BB36" i="16"/>
  <c r="BA36" i="16"/>
  <c r="AZ36" i="16"/>
  <c r="AY36" i="16"/>
  <c r="AX36" i="16"/>
  <c r="AW36" i="16"/>
  <c r="AV36" i="16"/>
  <c r="AU36" i="16"/>
  <c r="AT36" i="16"/>
  <c r="AS36" i="16"/>
  <c r="AR36" i="16"/>
  <c r="AQ36" i="16"/>
  <c r="AP36" i="16"/>
  <c r="AO36" i="16"/>
  <c r="AN36" i="16"/>
  <c r="AM36" i="16"/>
  <c r="AL36" i="16"/>
  <c r="AK36" i="16"/>
  <c r="AJ36" i="16"/>
  <c r="AI36" i="16"/>
  <c r="AH36" i="16"/>
  <c r="AG36" i="16"/>
  <c r="AF36" i="16"/>
  <c r="AE36" i="16"/>
  <c r="AD36" i="16"/>
  <c r="AC36" i="16"/>
  <c r="AB36" i="16"/>
  <c r="AA36" i="16"/>
  <c r="Z36" i="16"/>
  <c r="Y36" i="16"/>
  <c r="X36" i="16"/>
  <c r="W36" i="16"/>
  <c r="V36" i="16"/>
  <c r="U36" i="16"/>
  <c r="T36" i="16"/>
  <c r="S36" i="16"/>
  <c r="R36" i="16"/>
  <c r="Q36" i="16"/>
  <c r="P36" i="16"/>
  <c r="O36" i="16"/>
  <c r="N36" i="16"/>
  <c r="M36" i="16"/>
  <c r="L36" i="16"/>
  <c r="K36" i="16"/>
  <c r="J36" i="16"/>
  <c r="I36" i="16"/>
  <c r="H36" i="16"/>
  <c r="G36" i="16"/>
  <c r="F36" i="16"/>
  <c r="DC35" i="16"/>
  <c r="DB35" i="16"/>
  <c r="DA35" i="16"/>
  <c r="CZ35" i="16"/>
  <c r="CY35" i="16"/>
  <c r="CX35" i="16"/>
  <c r="CW35" i="16"/>
  <c r="CV35" i="16"/>
  <c r="CU35" i="16"/>
  <c r="CT35" i="16"/>
  <c r="CS35" i="16"/>
  <c r="CR35" i="16"/>
  <c r="CQ35" i="16"/>
  <c r="CP35" i="16"/>
  <c r="CO35" i="16"/>
  <c r="CN35" i="16"/>
  <c r="CM35" i="16"/>
  <c r="CL35" i="16"/>
  <c r="CK35" i="16"/>
  <c r="CJ35" i="16"/>
  <c r="CI35" i="16"/>
  <c r="CH35" i="16"/>
  <c r="CG35" i="16"/>
  <c r="CF35" i="16"/>
  <c r="CE35" i="16"/>
  <c r="CD35" i="16"/>
  <c r="CC35" i="16"/>
  <c r="CB35" i="16"/>
  <c r="CA35" i="16"/>
  <c r="BZ35" i="16"/>
  <c r="BY35" i="16"/>
  <c r="BX35" i="16"/>
  <c r="BW35" i="16"/>
  <c r="BV35" i="16"/>
  <c r="BU35" i="16"/>
  <c r="BT35" i="16"/>
  <c r="BS35" i="16"/>
  <c r="BR35" i="16"/>
  <c r="BQ35" i="16"/>
  <c r="BP35" i="16"/>
  <c r="BO35" i="16"/>
  <c r="BN35" i="16"/>
  <c r="BM35" i="16"/>
  <c r="BL35" i="16"/>
  <c r="BK35" i="16"/>
  <c r="BJ35" i="16"/>
  <c r="BI35" i="16"/>
  <c r="BH35" i="16"/>
  <c r="BG35" i="16"/>
  <c r="BF35" i="16"/>
  <c r="BE35" i="16"/>
  <c r="BD35" i="16"/>
  <c r="BC35" i="16"/>
  <c r="BB35" i="16"/>
  <c r="BA35" i="16"/>
  <c r="AZ35" i="16"/>
  <c r="AY35" i="16"/>
  <c r="AX35" i="16"/>
  <c r="AW35" i="16"/>
  <c r="AV35" i="16"/>
  <c r="AU35" i="16"/>
  <c r="AT35" i="16"/>
  <c r="AS35" i="16"/>
  <c r="AR35" i="16"/>
  <c r="AQ35" i="16"/>
  <c r="AP35" i="16"/>
  <c r="AO35" i="16"/>
  <c r="AN35" i="16"/>
  <c r="AM35" i="16"/>
  <c r="AL35" i="16"/>
  <c r="AK35" i="16"/>
  <c r="AJ35" i="16"/>
  <c r="AI35" i="16"/>
  <c r="AH35" i="16"/>
  <c r="AG35" i="16"/>
  <c r="AF35" i="16"/>
  <c r="AE35" i="16"/>
  <c r="AD35" i="16"/>
  <c r="AC35" i="16"/>
  <c r="AB35" i="16"/>
  <c r="AA35" i="16"/>
  <c r="Z35" i="16"/>
  <c r="Y35" i="16"/>
  <c r="X35" i="16"/>
  <c r="W35" i="16"/>
  <c r="V35" i="16"/>
  <c r="U35" i="16"/>
  <c r="T35" i="16"/>
  <c r="S35" i="16"/>
  <c r="R35" i="16"/>
  <c r="Q35" i="16"/>
  <c r="P35" i="16"/>
  <c r="O35" i="16"/>
  <c r="N35" i="16"/>
  <c r="M35" i="16"/>
  <c r="L35" i="16"/>
  <c r="K35" i="16"/>
  <c r="J35" i="16"/>
  <c r="I35" i="16"/>
  <c r="H35" i="16"/>
  <c r="G35" i="16"/>
  <c r="F35" i="16"/>
  <c r="DC34" i="16"/>
  <c r="DB34" i="16"/>
  <c r="DA34" i="16"/>
  <c r="CZ34" i="16"/>
  <c r="CY34" i="16"/>
  <c r="CX34" i="16"/>
  <c r="CW34" i="16"/>
  <c r="CV34" i="16"/>
  <c r="CU34" i="16"/>
  <c r="CT34" i="16"/>
  <c r="CS34" i="16"/>
  <c r="CR34" i="16"/>
  <c r="CQ34" i="16"/>
  <c r="CP34" i="16"/>
  <c r="CO34" i="16"/>
  <c r="CN34" i="16"/>
  <c r="CM34" i="16"/>
  <c r="CL34" i="16"/>
  <c r="CK34" i="16"/>
  <c r="CJ34" i="16"/>
  <c r="CI34" i="16"/>
  <c r="CH34" i="16"/>
  <c r="CG34" i="16"/>
  <c r="CF34" i="16"/>
  <c r="CE34" i="16"/>
  <c r="CD34" i="16"/>
  <c r="CC34" i="16"/>
  <c r="CB34" i="16"/>
  <c r="CA34" i="16"/>
  <c r="BZ34" i="16"/>
  <c r="BY34" i="16"/>
  <c r="BX34" i="16"/>
  <c r="BW34" i="16"/>
  <c r="BV34" i="16"/>
  <c r="BU34" i="16"/>
  <c r="BT34" i="16"/>
  <c r="BS34" i="16"/>
  <c r="BR34" i="16"/>
  <c r="BQ34" i="16"/>
  <c r="BP34" i="16"/>
  <c r="BO34" i="16"/>
  <c r="BN34" i="16"/>
  <c r="BM34" i="16"/>
  <c r="BL34" i="16"/>
  <c r="BK34" i="16"/>
  <c r="BJ34" i="16"/>
  <c r="BI34" i="16"/>
  <c r="BH34" i="16"/>
  <c r="BG34" i="16"/>
  <c r="BF34" i="16"/>
  <c r="BE34" i="16"/>
  <c r="BD34" i="16"/>
  <c r="BC34" i="16"/>
  <c r="BB34" i="16"/>
  <c r="BA34" i="16"/>
  <c r="AZ34" i="16"/>
  <c r="AY34" i="16"/>
  <c r="AX34" i="16"/>
  <c r="AW34" i="16"/>
  <c r="AV34" i="16"/>
  <c r="AU34" i="16"/>
  <c r="AT34" i="16"/>
  <c r="AS34" i="16"/>
  <c r="AR34" i="16"/>
  <c r="AQ34" i="16"/>
  <c r="AP34" i="16"/>
  <c r="AO34" i="16"/>
  <c r="AN34" i="16"/>
  <c r="AM34" i="16"/>
  <c r="AL34" i="16"/>
  <c r="AK34" i="16"/>
  <c r="AJ34" i="16"/>
  <c r="AI34" i="16"/>
  <c r="AH34" i="16"/>
  <c r="AG34" i="16"/>
  <c r="AF34" i="16"/>
  <c r="AE34" i="16"/>
  <c r="AD34" i="16"/>
  <c r="AC34" i="16"/>
  <c r="AB34" i="16"/>
  <c r="AA34" i="16"/>
  <c r="Z34" i="16"/>
  <c r="Y34" i="16"/>
  <c r="X34" i="16"/>
  <c r="W34" i="16"/>
  <c r="V34" i="16"/>
  <c r="U34" i="16"/>
  <c r="T34" i="16"/>
  <c r="S34" i="16"/>
  <c r="R34" i="16"/>
  <c r="Q34" i="16"/>
  <c r="P34" i="16"/>
  <c r="O34" i="16"/>
  <c r="N34" i="16"/>
  <c r="M34" i="16"/>
  <c r="L34" i="16"/>
  <c r="K34" i="16"/>
  <c r="J34" i="16"/>
  <c r="I34" i="16"/>
  <c r="H34" i="16"/>
  <c r="G34" i="16"/>
  <c r="F34" i="16"/>
  <c r="DC32" i="16"/>
  <c r="DB32" i="16"/>
  <c r="DA32" i="16"/>
  <c r="CZ32" i="16"/>
  <c r="CY32" i="16"/>
  <c r="CX32" i="16"/>
  <c r="CW32" i="16"/>
  <c r="CV32" i="16"/>
  <c r="CU32" i="16"/>
  <c r="CT32" i="16"/>
  <c r="CS32" i="16"/>
  <c r="CR32" i="16"/>
  <c r="CQ32" i="16"/>
  <c r="CP32" i="16"/>
  <c r="CO32" i="16"/>
  <c r="CN32" i="16"/>
  <c r="CM32" i="16"/>
  <c r="CL32" i="16"/>
  <c r="CK32" i="16"/>
  <c r="CJ32" i="16"/>
  <c r="CI32" i="16"/>
  <c r="CH32" i="16"/>
  <c r="CG32" i="16"/>
  <c r="CF32" i="16"/>
  <c r="CE32" i="16"/>
  <c r="CD32" i="16"/>
  <c r="CC32" i="16"/>
  <c r="CB32" i="16"/>
  <c r="CA32" i="16"/>
  <c r="BZ32" i="16"/>
  <c r="BY32" i="16"/>
  <c r="BX32" i="16"/>
  <c r="BW32" i="16"/>
  <c r="BV32" i="16"/>
  <c r="BU32" i="16"/>
  <c r="BT32" i="16"/>
  <c r="BS32" i="16"/>
  <c r="BR32" i="16"/>
  <c r="BQ32" i="16"/>
  <c r="BP32" i="16"/>
  <c r="BO32" i="16"/>
  <c r="BN32" i="16"/>
  <c r="BM32" i="16"/>
  <c r="BL32" i="16"/>
  <c r="BK32" i="16"/>
  <c r="BJ32" i="16"/>
  <c r="BI32" i="16"/>
  <c r="BH32" i="16"/>
  <c r="BG32" i="16"/>
  <c r="BF32" i="16"/>
  <c r="BE32" i="16"/>
  <c r="BD32" i="16"/>
  <c r="BC32" i="16"/>
  <c r="BB32" i="16"/>
  <c r="BA32" i="16"/>
  <c r="AZ32" i="16"/>
  <c r="AY32" i="16"/>
  <c r="AX32" i="16"/>
  <c r="AW32" i="16"/>
  <c r="AV32" i="16"/>
  <c r="AU32" i="16"/>
  <c r="AT32" i="16"/>
  <c r="AS32" i="16"/>
  <c r="AR32" i="16"/>
  <c r="AQ32" i="16"/>
  <c r="AP32" i="16"/>
  <c r="AO32" i="16"/>
  <c r="AN32" i="16"/>
  <c r="AM32" i="16"/>
  <c r="AL32" i="16"/>
  <c r="AK32" i="16"/>
  <c r="AJ32" i="16"/>
  <c r="AI32" i="16"/>
  <c r="AH32" i="16"/>
  <c r="AG32" i="16"/>
  <c r="AF32" i="16"/>
  <c r="AE32" i="16"/>
  <c r="AD32" i="16"/>
  <c r="AC32" i="16"/>
  <c r="AB32" i="16"/>
  <c r="AA32" i="16"/>
  <c r="Z32" i="16"/>
  <c r="Y32" i="16"/>
  <c r="X32" i="16"/>
  <c r="W32" i="16"/>
  <c r="V32" i="16"/>
  <c r="U32" i="16"/>
  <c r="T32" i="16"/>
  <c r="S32" i="16"/>
  <c r="R32" i="16"/>
  <c r="Q32" i="16"/>
  <c r="P32" i="16"/>
  <c r="O32" i="16"/>
  <c r="N32" i="16"/>
  <c r="M32" i="16"/>
  <c r="L32" i="16"/>
  <c r="K32" i="16"/>
  <c r="J32" i="16"/>
  <c r="I32" i="16"/>
  <c r="H32" i="16"/>
  <c r="G32" i="16"/>
  <c r="F32" i="16"/>
  <c r="DC31" i="16"/>
  <c r="DB31" i="16"/>
  <c r="DA31" i="16"/>
  <c r="CZ31" i="16"/>
  <c r="CY31" i="16"/>
  <c r="CX31" i="16"/>
  <c r="CW31" i="16"/>
  <c r="CV31" i="16"/>
  <c r="CU31" i="16"/>
  <c r="CT31" i="16"/>
  <c r="CS31" i="16"/>
  <c r="CR31" i="16"/>
  <c r="CQ31" i="16"/>
  <c r="CP31" i="16"/>
  <c r="CO31" i="16"/>
  <c r="CN31" i="16"/>
  <c r="CM31" i="16"/>
  <c r="CL31" i="16"/>
  <c r="CK31" i="16"/>
  <c r="CJ31" i="16"/>
  <c r="CI31" i="16"/>
  <c r="CH31" i="16"/>
  <c r="CG31" i="16"/>
  <c r="CF31" i="16"/>
  <c r="CE31" i="16"/>
  <c r="CD31" i="16"/>
  <c r="CC31" i="16"/>
  <c r="CB31" i="16"/>
  <c r="CA31" i="16"/>
  <c r="BZ31" i="16"/>
  <c r="BY31" i="16"/>
  <c r="BX31" i="16"/>
  <c r="BW31" i="16"/>
  <c r="BV31" i="16"/>
  <c r="BU31" i="16"/>
  <c r="BT31" i="16"/>
  <c r="BS31" i="16"/>
  <c r="BR31" i="16"/>
  <c r="BQ31" i="16"/>
  <c r="BP31" i="16"/>
  <c r="BO31" i="16"/>
  <c r="BN31" i="16"/>
  <c r="BM31" i="16"/>
  <c r="BL31" i="16"/>
  <c r="BK31" i="16"/>
  <c r="BJ31" i="16"/>
  <c r="BI31" i="16"/>
  <c r="BH31" i="16"/>
  <c r="BG31" i="16"/>
  <c r="BF31" i="16"/>
  <c r="BE31" i="16"/>
  <c r="BD31" i="16"/>
  <c r="BC31" i="16"/>
  <c r="BB31" i="16"/>
  <c r="BA31" i="16"/>
  <c r="AZ31" i="16"/>
  <c r="AY31" i="16"/>
  <c r="AX31" i="16"/>
  <c r="AW31" i="16"/>
  <c r="AV31" i="16"/>
  <c r="AU31" i="16"/>
  <c r="AT31" i="16"/>
  <c r="AS31" i="16"/>
  <c r="AR31" i="16"/>
  <c r="AQ31" i="16"/>
  <c r="AP31" i="16"/>
  <c r="AO31" i="16"/>
  <c r="AN31" i="16"/>
  <c r="AM31" i="16"/>
  <c r="AL31" i="16"/>
  <c r="AK31" i="16"/>
  <c r="AJ31" i="16"/>
  <c r="AI31" i="16"/>
  <c r="AH31" i="16"/>
  <c r="AG31" i="16"/>
  <c r="AF31" i="16"/>
  <c r="AE31" i="16"/>
  <c r="AD31" i="16"/>
  <c r="AC31" i="16"/>
  <c r="AB31" i="16"/>
  <c r="AA31" i="16"/>
  <c r="Z31" i="16"/>
  <c r="Y31" i="16"/>
  <c r="X31" i="16"/>
  <c r="W31" i="16"/>
  <c r="V31" i="16"/>
  <c r="U31" i="16"/>
  <c r="T31" i="16"/>
  <c r="S31" i="16"/>
  <c r="R31" i="16"/>
  <c r="Q31" i="16"/>
  <c r="P31" i="16"/>
  <c r="O31" i="16"/>
  <c r="N31" i="16"/>
  <c r="M31" i="16"/>
  <c r="L31" i="16"/>
  <c r="K31" i="16"/>
  <c r="J31" i="16"/>
  <c r="I31" i="16"/>
  <c r="H31" i="16"/>
  <c r="G31" i="16"/>
  <c r="F31" i="16"/>
  <c r="DC30" i="16"/>
  <c r="DB30" i="16"/>
  <c r="DA30" i="16"/>
  <c r="CZ30" i="16"/>
  <c r="CY30" i="16"/>
  <c r="CX30" i="16"/>
  <c r="CW30" i="16"/>
  <c r="CV30" i="16"/>
  <c r="CU30" i="16"/>
  <c r="CT30" i="16"/>
  <c r="CS30" i="16"/>
  <c r="CR30" i="16"/>
  <c r="CQ30" i="16"/>
  <c r="CP30" i="16"/>
  <c r="CO30" i="16"/>
  <c r="CN30" i="16"/>
  <c r="CM30" i="16"/>
  <c r="CL30" i="16"/>
  <c r="CK30" i="16"/>
  <c r="CJ30" i="16"/>
  <c r="CI30" i="16"/>
  <c r="CH30" i="16"/>
  <c r="CG30" i="16"/>
  <c r="CF30" i="16"/>
  <c r="CE30" i="16"/>
  <c r="CD30" i="16"/>
  <c r="CC30" i="16"/>
  <c r="CB30" i="16"/>
  <c r="CA30" i="16"/>
  <c r="BZ30" i="16"/>
  <c r="BY30" i="16"/>
  <c r="BX30" i="16"/>
  <c r="BW30" i="16"/>
  <c r="BV30" i="16"/>
  <c r="BU30" i="16"/>
  <c r="BT30" i="16"/>
  <c r="BS30" i="16"/>
  <c r="BR30" i="16"/>
  <c r="BQ30" i="16"/>
  <c r="BP30" i="16"/>
  <c r="BO30" i="16"/>
  <c r="BN30" i="16"/>
  <c r="BM30" i="16"/>
  <c r="BL30" i="16"/>
  <c r="BK30" i="16"/>
  <c r="BJ30" i="16"/>
  <c r="BI30" i="16"/>
  <c r="BH30" i="16"/>
  <c r="BG30" i="16"/>
  <c r="BF30" i="16"/>
  <c r="BE30" i="16"/>
  <c r="BD30" i="16"/>
  <c r="BC30" i="16"/>
  <c r="BB30" i="16"/>
  <c r="BA30" i="16"/>
  <c r="AZ30" i="16"/>
  <c r="AY30" i="16"/>
  <c r="AX30" i="16"/>
  <c r="AW30" i="16"/>
  <c r="AV30" i="16"/>
  <c r="AU30" i="16"/>
  <c r="AT30" i="16"/>
  <c r="AS30" i="16"/>
  <c r="AR30" i="16"/>
  <c r="AQ30" i="16"/>
  <c r="AP30" i="16"/>
  <c r="AO30" i="16"/>
  <c r="AN30" i="16"/>
  <c r="AM30" i="16"/>
  <c r="AL30" i="16"/>
  <c r="AK30" i="16"/>
  <c r="AJ30" i="16"/>
  <c r="AI30" i="16"/>
  <c r="AH30" i="16"/>
  <c r="AG30" i="16"/>
  <c r="AF30" i="16"/>
  <c r="AE30" i="16"/>
  <c r="AD30" i="16"/>
  <c r="AC30" i="16"/>
  <c r="AB30" i="16"/>
  <c r="AA30" i="16"/>
  <c r="Z30" i="16"/>
  <c r="Y30" i="16"/>
  <c r="X30" i="16"/>
  <c r="W30" i="16"/>
  <c r="V30" i="16"/>
  <c r="U30" i="16"/>
  <c r="T30" i="16"/>
  <c r="S30" i="16"/>
  <c r="R30" i="16"/>
  <c r="Q30" i="16"/>
  <c r="P30" i="16"/>
  <c r="O30" i="16"/>
  <c r="N30" i="16"/>
  <c r="M30" i="16"/>
  <c r="L30" i="16"/>
  <c r="K30" i="16"/>
  <c r="J30" i="16"/>
  <c r="I30" i="16"/>
  <c r="H30" i="16"/>
  <c r="G30" i="16"/>
  <c r="F30" i="16"/>
  <c r="DC29" i="16"/>
  <c r="DB29" i="16"/>
  <c r="DA29" i="16"/>
  <c r="CZ29" i="16"/>
  <c r="CY29" i="16"/>
  <c r="CX29" i="16"/>
  <c r="CW29" i="16"/>
  <c r="CV29" i="16"/>
  <c r="CU29" i="16"/>
  <c r="CT29" i="16"/>
  <c r="CS29" i="16"/>
  <c r="CR29" i="16"/>
  <c r="CQ29" i="16"/>
  <c r="CP29" i="16"/>
  <c r="CO29" i="16"/>
  <c r="CN29" i="16"/>
  <c r="CM29" i="16"/>
  <c r="CL29" i="16"/>
  <c r="CK29" i="16"/>
  <c r="CJ29" i="16"/>
  <c r="CI29" i="16"/>
  <c r="CH29" i="16"/>
  <c r="CG29" i="16"/>
  <c r="CF29" i="16"/>
  <c r="CE29" i="16"/>
  <c r="CD29" i="16"/>
  <c r="CC29" i="16"/>
  <c r="CB29" i="16"/>
  <c r="CA29" i="16"/>
  <c r="BZ29" i="16"/>
  <c r="BY29" i="16"/>
  <c r="BX29" i="16"/>
  <c r="BW29" i="16"/>
  <c r="BV29" i="16"/>
  <c r="BU29" i="16"/>
  <c r="BT29" i="16"/>
  <c r="BS29" i="16"/>
  <c r="BR29" i="16"/>
  <c r="BQ29" i="16"/>
  <c r="BP29" i="16"/>
  <c r="BO29" i="16"/>
  <c r="BN29" i="16"/>
  <c r="BM29" i="16"/>
  <c r="BL29" i="16"/>
  <c r="BK29" i="16"/>
  <c r="BJ29" i="16"/>
  <c r="BI29" i="16"/>
  <c r="BH29" i="16"/>
  <c r="BG29" i="16"/>
  <c r="BF29" i="16"/>
  <c r="BE29" i="16"/>
  <c r="BD29" i="16"/>
  <c r="BC29" i="16"/>
  <c r="BB29" i="16"/>
  <c r="BA29" i="16"/>
  <c r="AZ29" i="16"/>
  <c r="AY29" i="16"/>
  <c r="AX29" i="16"/>
  <c r="AW29" i="16"/>
  <c r="AV29" i="16"/>
  <c r="AU29" i="16"/>
  <c r="AT29" i="16"/>
  <c r="AS29" i="16"/>
  <c r="AR29" i="16"/>
  <c r="AQ29" i="16"/>
  <c r="AP29" i="16"/>
  <c r="AO29" i="16"/>
  <c r="AN29" i="16"/>
  <c r="AM29" i="16"/>
  <c r="AL29" i="16"/>
  <c r="AK29" i="16"/>
  <c r="AJ29" i="16"/>
  <c r="AI29" i="16"/>
  <c r="AH29" i="16"/>
  <c r="AG29" i="16"/>
  <c r="AF29" i="16"/>
  <c r="AE29" i="16"/>
  <c r="AD29" i="16"/>
  <c r="AC29" i="16"/>
  <c r="AB29" i="16"/>
  <c r="AA29" i="16"/>
  <c r="Z29" i="16"/>
  <c r="Y29" i="16"/>
  <c r="X29" i="16"/>
  <c r="W29" i="16"/>
  <c r="V29" i="16"/>
  <c r="U29" i="16"/>
  <c r="T29" i="16"/>
  <c r="S29" i="16"/>
  <c r="R29" i="16"/>
  <c r="Q29" i="16"/>
  <c r="P29" i="16"/>
  <c r="O29" i="16"/>
  <c r="N29" i="16"/>
  <c r="M29" i="16"/>
  <c r="L29" i="16"/>
  <c r="K29" i="16"/>
  <c r="J29" i="16"/>
  <c r="I29" i="16"/>
  <c r="H29" i="16"/>
  <c r="G29" i="16"/>
  <c r="F29" i="16"/>
  <c r="DC28" i="16"/>
  <c r="DB28" i="16"/>
  <c r="DA28" i="16"/>
  <c r="CZ28" i="16"/>
  <c r="CY28" i="16"/>
  <c r="CX28" i="16"/>
  <c r="CW28" i="16"/>
  <c r="CV28" i="16"/>
  <c r="CU28" i="16"/>
  <c r="CT28" i="16"/>
  <c r="CS28" i="16"/>
  <c r="CR28" i="16"/>
  <c r="CQ28" i="16"/>
  <c r="CP28" i="16"/>
  <c r="CO28" i="16"/>
  <c r="CN28" i="16"/>
  <c r="CM28" i="16"/>
  <c r="CL28" i="16"/>
  <c r="CK28" i="16"/>
  <c r="CJ28" i="16"/>
  <c r="CI28" i="16"/>
  <c r="CH28" i="16"/>
  <c r="CG28" i="16"/>
  <c r="CF28" i="16"/>
  <c r="CE28" i="16"/>
  <c r="CD28" i="16"/>
  <c r="CC28" i="16"/>
  <c r="CB28" i="16"/>
  <c r="CA28" i="16"/>
  <c r="BZ28" i="16"/>
  <c r="BY28" i="16"/>
  <c r="BX28" i="16"/>
  <c r="BW28" i="16"/>
  <c r="BV28" i="16"/>
  <c r="BU28" i="16"/>
  <c r="BT28" i="16"/>
  <c r="BS28" i="16"/>
  <c r="BR28" i="16"/>
  <c r="BQ28" i="16"/>
  <c r="BP28" i="16"/>
  <c r="BO28" i="16"/>
  <c r="BN28" i="16"/>
  <c r="BM28" i="16"/>
  <c r="BL28" i="16"/>
  <c r="BK28" i="16"/>
  <c r="BJ28" i="16"/>
  <c r="BI28" i="16"/>
  <c r="BH28" i="16"/>
  <c r="BG28" i="16"/>
  <c r="BF28" i="16"/>
  <c r="BE28" i="16"/>
  <c r="BD28" i="16"/>
  <c r="BC28" i="16"/>
  <c r="BB28" i="16"/>
  <c r="BA28" i="16"/>
  <c r="AZ28" i="16"/>
  <c r="AY28" i="16"/>
  <c r="AX28" i="16"/>
  <c r="AW28" i="16"/>
  <c r="AV28" i="16"/>
  <c r="AU28" i="16"/>
  <c r="AT28" i="16"/>
  <c r="AS28" i="16"/>
  <c r="AR28" i="16"/>
  <c r="AQ28" i="16"/>
  <c r="AP28" i="16"/>
  <c r="AO28" i="16"/>
  <c r="AN28" i="16"/>
  <c r="AM28" i="16"/>
  <c r="AL28" i="16"/>
  <c r="AK28" i="16"/>
  <c r="AJ28" i="16"/>
  <c r="AI28" i="16"/>
  <c r="AH28" i="16"/>
  <c r="AG28" i="16"/>
  <c r="AF28" i="16"/>
  <c r="AE28" i="16"/>
  <c r="AD28" i="16"/>
  <c r="AC28" i="16"/>
  <c r="AB28" i="16"/>
  <c r="AA28" i="16"/>
  <c r="Z28" i="16"/>
  <c r="Y28" i="16"/>
  <c r="X28" i="16"/>
  <c r="W28" i="16"/>
  <c r="V28" i="16"/>
  <c r="U28" i="16"/>
  <c r="T28" i="16"/>
  <c r="S28" i="16"/>
  <c r="R28" i="16"/>
  <c r="Q28" i="16"/>
  <c r="P28" i="16"/>
  <c r="O28" i="16"/>
  <c r="N28" i="16"/>
  <c r="M28" i="16"/>
  <c r="L28" i="16"/>
  <c r="K28" i="16"/>
  <c r="J28" i="16"/>
  <c r="I28" i="16"/>
  <c r="H28" i="16"/>
  <c r="G28" i="16"/>
  <c r="F28" i="16"/>
  <c r="DC27" i="16"/>
  <c r="DB27" i="16"/>
  <c r="DA27" i="16"/>
  <c r="CZ27" i="16"/>
  <c r="CY27" i="16"/>
  <c r="CX27" i="16"/>
  <c r="CW27" i="16"/>
  <c r="CV27" i="16"/>
  <c r="CU27" i="16"/>
  <c r="CT27" i="16"/>
  <c r="CS27" i="16"/>
  <c r="CR27" i="16"/>
  <c r="CQ27" i="16"/>
  <c r="CP27" i="16"/>
  <c r="CO27" i="16"/>
  <c r="CN27" i="16"/>
  <c r="CM27" i="16"/>
  <c r="CL27" i="16"/>
  <c r="CK27" i="16"/>
  <c r="CJ27" i="16"/>
  <c r="CI27" i="16"/>
  <c r="CH27" i="16"/>
  <c r="CG27" i="16"/>
  <c r="CF27" i="16"/>
  <c r="CE27" i="16"/>
  <c r="CD27" i="16"/>
  <c r="CC27" i="16"/>
  <c r="CB27" i="16"/>
  <c r="CA27" i="16"/>
  <c r="BZ27" i="16"/>
  <c r="BY27" i="16"/>
  <c r="BX27" i="16"/>
  <c r="BW27" i="16"/>
  <c r="BV27" i="16"/>
  <c r="BU27" i="16"/>
  <c r="BT27" i="16"/>
  <c r="BS27" i="16"/>
  <c r="BR27" i="16"/>
  <c r="BQ27" i="16"/>
  <c r="BP27" i="16"/>
  <c r="BO27" i="16"/>
  <c r="BN27" i="16"/>
  <c r="BM27" i="16"/>
  <c r="BL27" i="16"/>
  <c r="BK27" i="16"/>
  <c r="BJ27" i="16"/>
  <c r="BI27" i="16"/>
  <c r="BH27" i="16"/>
  <c r="BG27" i="16"/>
  <c r="BF27" i="16"/>
  <c r="BE27" i="16"/>
  <c r="BD27" i="16"/>
  <c r="BC27" i="16"/>
  <c r="BB27" i="16"/>
  <c r="BA27" i="16"/>
  <c r="AZ27" i="16"/>
  <c r="AY27" i="16"/>
  <c r="AX27" i="16"/>
  <c r="AW27" i="16"/>
  <c r="AV27" i="16"/>
  <c r="AU27" i="16"/>
  <c r="AT27" i="16"/>
  <c r="AS27" i="16"/>
  <c r="AR27" i="16"/>
  <c r="AQ27" i="16"/>
  <c r="AP27" i="16"/>
  <c r="AO27" i="16"/>
  <c r="AN27" i="16"/>
  <c r="AM27" i="16"/>
  <c r="AL27" i="16"/>
  <c r="AK27" i="16"/>
  <c r="AJ27" i="16"/>
  <c r="AI27" i="16"/>
  <c r="AH27" i="16"/>
  <c r="AG27" i="16"/>
  <c r="AF27" i="16"/>
  <c r="AE27" i="16"/>
  <c r="AD27" i="16"/>
  <c r="AC27" i="16"/>
  <c r="AB27" i="16"/>
  <c r="AA27" i="16"/>
  <c r="Z27" i="16"/>
  <c r="Y27" i="16"/>
  <c r="X27" i="16"/>
  <c r="W27" i="16"/>
  <c r="V27" i="16"/>
  <c r="U27" i="16"/>
  <c r="T27" i="16"/>
  <c r="S27" i="16"/>
  <c r="R27" i="16"/>
  <c r="Q27" i="16"/>
  <c r="P27" i="16"/>
  <c r="O27" i="16"/>
  <c r="N27" i="16"/>
  <c r="M27" i="16"/>
  <c r="L27" i="16"/>
  <c r="K27" i="16"/>
  <c r="J27" i="16"/>
  <c r="I27" i="16"/>
  <c r="H27" i="16"/>
  <c r="G27" i="16"/>
  <c r="F27" i="16"/>
  <c r="DC26" i="16"/>
  <c r="DB26" i="16"/>
  <c r="DA26" i="16"/>
  <c r="CZ26" i="16"/>
  <c r="CY26" i="16"/>
  <c r="CX26" i="16"/>
  <c r="CW26" i="16"/>
  <c r="CV26" i="16"/>
  <c r="CU26" i="16"/>
  <c r="CT26" i="16"/>
  <c r="CS26" i="16"/>
  <c r="CR26" i="16"/>
  <c r="CQ26" i="16"/>
  <c r="CP26" i="16"/>
  <c r="CO26" i="16"/>
  <c r="CN26" i="16"/>
  <c r="CM26" i="16"/>
  <c r="CL26" i="16"/>
  <c r="CK26" i="16"/>
  <c r="CJ26" i="16"/>
  <c r="CI26" i="16"/>
  <c r="CH26" i="16"/>
  <c r="CG26" i="16"/>
  <c r="CF26" i="16"/>
  <c r="CE26" i="16"/>
  <c r="CD26" i="16"/>
  <c r="CC26" i="16"/>
  <c r="CB26" i="16"/>
  <c r="CA26" i="16"/>
  <c r="BZ26" i="16"/>
  <c r="BY26" i="16"/>
  <c r="BX26" i="16"/>
  <c r="BW26" i="16"/>
  <c r="BV26" i="16"/>
  <c r="BU26" i="16"/>
  <c r="BT26" i="16"/>
  <c r="BS26" i="16"/>
  <c r="BR26" i="16"/>
  <c r="BQ26" i="16"/>
  <c r="BP26" i="16"/>
  <c r="BO26" i="16"/>
  <c r="BN26" i="16"/>
  <c r="BM26" i="16"/>
  <c r="BL26" i="16"/>
  <c r="BK26" i="16"/>
  <c r="BJ26" i="16"/>
  <c r="BI26" i="16"/>
  <c r="BH26" i="16"/>
  <c r="BG26" i="16"/>
  <c r="BF26" i="16"/>
  <c r="BE26" i="16"/>
  <c r="BD26" i="16"/>
  <c r="BC26" i="16"/>
  <c r="BB26" i="16"/>
  <c r="BA26" i="16"/>
  <c r="AZ26" i="16"/>
  <c r="AY26" i="16"/>
  <c r="AX26" i="16"/>
  <c r="AW26" i="16"/>
  <c r="AV26" i="16"/>
  <c r="AU26" i="16"/>
  <c r="AT26" i="16"/>
  <c r="AS26" i="16"/>
  <c r="AR26" i="16"/>
  <c r="AQ26" i="16"/>
  <c r="AP26" i="16"/>
  <c r="AO26" i="16"/>
  <c r="AN26" i="16"/>
  <c r="AM26" i="16"/>
  <c r="AL26" i="16"/>
  <c r="AK26" i="16"/>
  <c r="AJ26" i="16"/>
  <c r="AI26" i="16"/>
  <c r="AH26" i="16"/>
  <c r="AG26" i="16"/>
  <c r="AF26" i="16"/>
  <c r="AE26" i="16"/>
  <c r="AD26" i="16"/>
  <c r="AC26" i="16"/>
  <c r="AB26" i="16"/>
  <c r="AA26" i="16"/>
  <c r="Z26" i="16"/>
  <c r="Y26" i="16"/>
  <c r="X26" i="16"/>
  <c r="W26" i="16"/>
  <c r="V26" i="16"/>
  <c r="U26" i="16"/>
  <c r="T26" i="16"/>
  <c r="S26" i="16"/>
  <c r="R26" i="16"/>
  <c r="Q26" i="16"/>
  <c r="P26" i="16"/>
  <c r="O26" i="16"/>
  <c r="N26" i="16"/>
  <c r="M26" i="16"/>
  <c r="L26" i="16"/>
  <c r="K26" i="16"/>
  <c r="J26" i="16"/>
  <c r="I26" i="16"/>
  <c r="H26" i="16"/>
  <c r="G26" i="16"/>
  <c r="F26" i="16"/>
  <c r="DC23" i="16"/>
  <c r="DB23" i="16"/>
  <c r="DA23" i="16"/>
  <c r="CZ23" i="16"/>
  <c r="CY23" i="16"/>
  <c r="CX23" i="16"/>
  <c r="CW23" i="16"/>
  <c r="CV23" i="16"/>
  <c r="CU23" i="16"/>
  <c r="CT23" i="16"/>
  <c r="CS23" i="16"/>
  <c r="CR23" i="16"/>
  <c r="CQ23" i="16"/>
  <c r="CP23" i="16"/>
  <c r="CO23" i="16"/>
  <c r="CN23" i="16"/>
  <c r="CM23" i="16"/>
  <c r="CL23" i="16"/>
  <c r="CK23" i="16"/>
  <c r="CJ23" i="16"/>
  <c r="CI23" i="16"/>
  <c r="CH23" i="16"/>
  <c r="CG23" i="16"/>
  <c r="CF23" i="16"/>
  <c r="CE23" i="16"/>
  <c r="CD23" i="16"/>
  <c r="CC23" i="16"/>
  <c r="CB23" i="16"/>
  <c r="CA23" i="16"/>
  <c r="BZ23" i="16"/>
  <c r="BY23" i="16"/>
  <c r="BX23" i="16"/>
  <c r="BW23" i="16"/>
  <c r="BV23" i="16"/>
  <c r="BU23" i="16"/>
  <c r="BT23" i="16"/>
  <c r="BS23" i="16"/>
  <c r="BR23" i="16"/>
  <c r="BQ23" i="16"/>
  <c r="BP23" i="16"/>
  <c r="BO23" i="16"/>
  <c r="BN23" i="16"/>
  <c r="BM23" i="16"/>
  <c r="BL23" i="16"/>
  <c r="BK23" i="16"/>
  <c r="BJ23" i="16"/>
  <c r="BI23" i="16"/>
  <c r="BH23" i="16"/>
  <c r="BG23" i="16"/>
  <c r="BF23" i="16"/>
  <c r="BE23" i="16"/>
  <c r="BD23" i="16"/>
  <c r="BC23" i="16"/>
  <c r="BB23" i="16"/>
  <c r="BA23" i="16"/>
  <c r="AZ23" i="16"/>
  <c r="AY23" i="16"/>
  <c r="AX23" i="16"/>
  <c r="AW23" i="16"/>
  <c r="AV23" i="16"/>
  <c r="AU23" i="16"/>
  <c r="AT23" i="16"/>
  <c r="AS23" i="16"/>
  <c r="AR23" i="16"/>
  <c r="AQ23" i="16"/>
  <c r="AP23" i="16"/>
  <c r="AO23" i="16"/>
  <c r="AN23" i="16"/>
  <c r="AM23" i="16"/>
  <c r="AL23" i="16"/>
  <c r="AK23" i="16"/>
  <c r="AJ23" i="16"/>
  <c r="AI23" i="16"/>
  <c r="AH23" i="16"/>
  <c r="AG23" i="16"/>
  <c r="AF23" i="16"/>
  <c r="AE23" i="16"/>
  <c r="AD23" i="16"/>
  <c r="AC23" i="16"/>
  <c r="AB23" i="16"/>
  <c r="AA23" i="16"/>
  <c r="Z23" i="16"/>
  <c r="Y23" i="16"/>
  <c r="X23" i="16"/>
  <c r="W23" i="16"/>
  <c r="V23" i="16"/>
  <c r="U23" i="16"/>
  <c r="T23" i="16"/>
  <c r="S23" i="16"/>
  <c r="R23" i="16"/>
  <c r="Q23" i="16"/>
  <c r="P23" i="16"/>
  <c r="O23" i="16"/>
  <c r="N23" i="16"/>
  <c r="M23" i="16"/>
  <c r="L23" i="16"/>
  <c r="K23" i="16"/>
  <c r="J23" i="16"/>
  <c r="I23" i="16"/>
  <c r="H23" i="16"/>
  <c r="G23" i="16"/>
  <c r="F23" i="16"/>
  <c r="DC22" i="16"/>
  <c r="DB22" i="16"/>
  <c r="DA22" i="16"/>
  <c r="CZ22" i="16"/>
  <c r="CY22" i="16"/>
  <c r="CX22" i="16"/>
  <c r="CW22" i="16"/>
  <c r="CV22" i="16"/>
  <c r="CU22" i="16"/>
  <c r="CT22" i="16"/>
  <c r="CT281" i="17" s="1"/>
  <c r="CS22" i="16"/>
  <c r="CS281" i="17" s="1"/>
  <c r="CR22" i="16"/>
  <c r="CR281" i="17" s="1"/>
  <c r="CQ22" i="16"/>
  <c r="CQ281" i="17" s="1"/>
  <c r="CP22" i="16"/>
  <c r="CO22" i="16"/>
  <c r="CN22" i="16"/>
  <c r="CM22" i="16"/>
  <c r="CL22" i="16"/>
  <c r="CK22" i="16"/>
  <c r="CJ22" i="16"/>
  <c r="CI22" i="16"/>
  <c r="CH22" i="16"/>
  <c r="CG22" i="16"/>
  <c r="CF22" i="16"/>
  <c r="CE22" i="16"/>
  <c r="CD22" i="16"/>
  <c r="CC22" i="16"/>
  <c r="CB22" i="16"/>
  <c r="CA22" i="16"/>
  <c r="BZ22" i="16"/>
  <c r="BY22" i="16"/>
  <c r="BX22" i="16"/>
  <c r="BW22" i="16"/>
  <c r="BV22" i="16"/>
  <c r="BU22" i="16"/>
  <c r="BT22" i="16"/>
  <c r="BS22" i="16"/>
  <c r="BR22" i="16"/>
  <c r="BQ22" i="16"/>
  <c r="BP22" i="16"/>
  <c r="BO22" i="16"/>
  <c r="BN22" i="16"/>
  <c r="BM22" i="16"/>
  <c r="BL22" i="16"/>
  <c r="BK22" i="16"/>
  <c r="BJ22" i="16"/>
  <c r="BI22" i="16"/>
  <c r="BH22" i="16"/>
  <c r="BG22" i="16"/>
  <c r="BF22" i="16"/>
  <c r="BE22" i="16"/>
  <c r="BD22" i="16"/>
  <c r="BC22" i="16"/>
  <c r="BB22" i="16"/>
  <c r="BA22" i="16"/>
  <c r="AZ22" i="16"/>
  <c r="AY22" i="16"/>
  <c r="AX22" i="16"/>
  <c r="AW22" i="16"/>
  <c r="AV22" i="16"/>
  <c r="AU22" i="16"/>
  <c r="AT22" i="16"/>
  <c r="AS22" i="16"/>
  <c r="AR22" i="16"/>
  <c r="AQ22" i="16"/>
  <c r="AP22" i="16"/>
  <c r="AO22" i="16"/>
  <c r="AN22" i="16"/>
  <c r="AM22" i="16"/>
  <c r="AL22" i="16"/>
  <c r="AK22" i="16"/>
  <c r="AJ22" i="16"/>
  <c r="AI22" i="16"/>
  <c r="AH22" i="16"/>
  <c r="AG22" i="16"/>
  <c r="AF22" i="16"/>
  <c r="AE22" i="16"/>
  <c r="AD22" i="16"/>
  <c r="AC22" i="16"/>
  <c r="AB22" i="16"/>
  <c r="AA22" i="16"/>
  <c r="Z22" i="16"/>
  <c r="Y22" i="16"/>
  <c r="X22" i="16"/>
  <c r="W22" i="16"/>
  <c r="V22" i="16"/>
  <c r="U22" i="16"/>
  <c r="T22" i="16"/>
  <c r="S22" i="16"/>
  <c r="R22" i="16"/>
  <c r="Q22" i="16"/>
  <c r="P22" i="16"/>
  <c r="O22" i="16"/>
  <c r="N22" i="16"/>
  <c r="M22" i="16"/>
  <c r="L22" i="16"/>
  <c r="K22" i="16"/>
  <c r="J22" i="16"/>
  <c r="I22" i="16"/>
  <c r="H22" i="16"/>
  <c r="G22" i="16"/>
  <c r="F22" i="16"/>
  <c r="DC21" i="16"/>
  <c r="DB21" i="16"/>
  <c r="DA21" i="16"/>
  <c r="CZ21" i="16"/>
  <c r="CY21" i="16"/>
  <c r="CX21" i="16"/>
  <c r="CW21" i="16"/>
  <c r="CV21" i="16"/>
  <c r="CU21" i="16"/>
  <c r="CT21" i="16"/>
  <c r="CT280" i="17" s="1"/>
  <c r="CS21" i="16"/>
  <c r="CS280" i="17" s="1"/>
  <c r="CR21" i="16"/>
  <c r="CR280" i="17" s="1"/>
  <c r="CQ21" i="16"/>
  <c r="CQ280" i="17" s="1"/>
  <c r="CP21" i="16"/>
  <c r="CO21" i="16"/>
  <c r="CN21" i="16"/>
  <c r="CM21" i="16"/>
  <c r="CL21" i="16"/>
  <c r="CK21" i="16"/>
  <c r="CJ21" i="16"/>
  <c r="CI21" i="16"/>
  <c r="CH21" i="16"/>
  <c r="CG21" i="16"/>
  <c r="CF21" i="16"/>
  <c r="CE21" i="16"/>
  <c r="CD21" i="16"/>
  <c r="CC21" i="16"/>
  <c r="CB21" i="16"/>
  <c r="CA21" i="16"/>
  <c r="BZ21" i="16"/>
  <c r="BY21" i="16"/>
  <c r="BX21" i="16"/>
  <c r="BW21" i="16"/>
  <c r="BV21" i="16"/>
  <c r="BU21" i="16"/>
  <c r="BT21" i="16"/>
  <c r="BS21" i="16"/>
  <c r="BR21" i="16"/>
  <c r="BQ21" i="16"/>
  <c r="BP21" i="16"/>
  <c r="BO21" i="16"/>
  <c r="BN21" i="16"/>
  <c r="BM21" i="16"/>
  <c r="BL21" i="16"/>
  <c r="BK21" i="16"/>
  <c r="BJ21" i="16"/>
  <c r="BI21" i="16"/>
  <c r="BH21" i="16"/>
  <c r="BG21" i="16"/>
  <c r="BF21" i="16"/>
  <c r="BE21" i="16"/>
  <c r="BD21" i="16"/>
  <c r="BC21" i="16"/>
  <c r="BB21" i="16"/>
  <c r="BA21" i="16"/>
  <c r="AZ21" i="16"/>
  <c r="AY21" i="16"/>
  <c r="AX21" i="16"/>
  <c r="AW21" i="16"/>
  <c r="AV21" i="16"/>
  <c r="AU21" i="16"/>
  <c r="AT21" i="16"/>
  <c r="AS21" i="16"/>
  <c r="AR21" i="16"/>
  <c r="AQ21" i="16"/>
  <c r="AP21" i="16"/>
  <c r="AO21" i="16"/>
  <c r="AN21" i="16"/>
  <c r="AM21" i="16"/>
  <c r="AL21" i="16"/>
  <c r="AK21" i="16"/>
  <c r="AJ21" i="16"/>
  <c r="AI21" i="16"/>
  <c r="AH21" i="16"/>
  <c r="AG21" i="16"/>
  <c r="AF21" i="16"/>
  <c r="AE21" i="16"/>
  <c r="AD21" i="16"/>
  <c r="AC21" i="16"/>
  <c r="AB21" i="16"/>
  <c r="AA21" i="16"/>
  <c r="Z21" i="16"/>
  <c r="Y21" i="16"/>
  <c r="X21" i="16"/>
  <c r="W21" i="16"/>
  <c r="V21" i="16"/>
  <c r="U21" i="16"/>
  <c r="T21" i="16"/>
  <c r="S21" i="16"/>
  <c r="R21" i="16"/>
  <c r="Q21" i="16"/>
  <c r="P21" i="16"/>
  <c r="O21" i="16"/>
  <c r="N21" i="16"/>
  <c r="M21" i="16"/>
  <c r="L21" i="16"/>
  <c r="K21" i="16"/>
  <c r="J21" i="16"/>
  <c r="I21" i="16"/>
  <c r="H21" i="16"/>
  <c r="G21" i="16"/>
  <c r="F21" i="16"/>
  <c r="DC20" i="16"/>
  <c r="DB20" i="16"/>
  <c r="DA20" i="16"/>
  <c r="CZ20" i="16"/>
  <c r="CY20" i="16"/>
  <c r="CX20" i="16"/>
  <c r="CW20" i="16"/>
  <c r="CV20" i="16"/>
  <c r="CU20" i="16"/>
  <c r="CT20" i="16"/>
  <c r="CT279" i="17" s="1"/>
  <c r="CS20" i="16"/>
  <c r="CS279" i="17" s="1"/>
  <c r="CR20" i="16"/>
  <c r="CR279" i="17" s="1"/>
  <c r="CQ20" i="16"/>
  <c r="CQ279" i="17" s="1"/>
  <c r="CP20" i="16"/>
  <c r="CO20" i="16"/>
  <c r="CN20" i="16"/>
  <c r="CM20" i="16"/>
  <c r="CL20" i="16"/>
  <c r="CK20" i="16"/>
  <c r="CJ20" i="16"/>
  <c r="CI20" i="16"/>
  <c r="CH20" i="16"/>
  <c r="CG20" i="16"/>
  <c r="CF20" i="16"/>
  <c r="CE20" i="16"/>
  <c r="CD20" i="16"/>
  <c r="CC20" i="16"/>
  <c r="CB20" i="16"/>
  <c r="CA20" i="16"/>
  <c r="BZ20" i="16"/>
  <c r="BY20" i="16"/>
  <c r="BX20" i="16"/>
  <c r="BW20" i="16"/>
  <c r="BV20" i="16"/>
  <c r="BU20" i="16"/>
  <c r="BT20" i="16"/>
  <c r="BS20" i="16"/>
  <c r="BR20" i="16"/>
  <c r="BQ20" i="16"/>
  <c r="BP20" i="16"/>
  <c r="BO20" i="16"/>
  <c r="BN20" i="16"/>
  <c r="BM20" i="16"/>
  <c r="BL20" i="16"/>
  <c r="BK20" i="16"/>
  <c r="BJ20" i="16"/>
  <c r="BI20" i="16"/>
  <c r="BH20" i="16"/>
  <c r="BG20" i="16"/>
  <c r="BF20" i="16"/>
  <c r="BE20" i="16"/>
  <c r="BD20" i="16"/>
  <c r="BC20" i="16"/>
  <c r="BB20" i="16"/>
  <c r="BA20" i="16"/>
  <c r="AZ20" i="16"/>
  <c r="AY20" i="16"/>
  <c r="AX20" i="16"/>
  <c r="AW20" i="16"/>
  <c r="AV20" i="16"/>
  <c r="AU20" i="16"/>
  <c r="AT20" i="16"/>
  <c r="AS20" i="16"/>
  <c r="AR20" i="16"/>
  <c r="AQ20" i="16"/>
  <c r="AP20" i="16"/>
  <c r="AO20" i="16"/>
  <c r="AN20" i="16"/>
  <c r="AM20" i="16"/>
  <c r="AL20" i="16"/>
  <c r="AK20" i="16"/>
  <c r="AJ20" i="16"/>
  <c r="AI20" i="16"/>
  <c r="AH20" i="16"/>
  <c r="AG20" i="16"/>
  <c r="AF20" i="16"/>
  <c r="AE20" i="16"/>
  <c r="AD20" i="16"/>
  <c r="AC20" i="16"/>
  <c r="AB20" i="16"/>
  <c r="AA20" i="16"/>
  <c r="Z20" i="16"/>
  <c r="Y20" i="16"/>
  <c r="X20" i="16"/>
  <c r="W20" i="16"/>
  <c r="V20" i="16"/>
  <c r="U20" i="16"/>
  <c r="T20" i="16"/>
  <c r="S20" i="16"/>
  <c r="R20" i="16"/>
  <c r="Q20" i="16"/>
  <c r="P20" i="16"/>
  <c r="O20" i="16"/>
  <c r="N20" i="16"/>
  <c r="M20" i="16"/>
  <c r="L20" i="16"/>
  <c r="K20" i="16"/>
  <c r="J20" i="16"/>
  <c r="I20" i="16"/>
  <c r="H20" i="16"/>
  <c r="G20" i="16"/>
  <c r="F20" i="16"/>
  <c r="DC19" i="16"/>
  <c r="DB19" i="16"/>
  <c r="DA19" i="16"/>
  <c r="CZ19" i="16"/>
  <c r="CY19" i="16"/>
  <c r="CX19" i="16"/>
  <c r="CW19" i="16"/>
  <c r="CV19" i="16"/>
  <c r="CU19" i="16"/>
  <c r="CT19" i="16"/>
  <c r="CT278" i="17" s="1"/>
  <c r="CS19" i="16"/>
  <c r="CS278" i="17" s="1"/>
  <c r="CR19" i="16"/>
  <c r="CR278" i="17" s="1"/>
  <c r="CQ19" i="16"/>
  <c r="CQ278" i="17" s="1"/>
  <c r="CP19" i="16"/>
  <c r="CO19" i="16"/>
  <c r="CN19" i="16"/>
  <c r="CM19" i="16"/>
  <c r="CL19" i="16"/>
  <c r="CK19" i="16"/>
  <c r="CJ19" i="16"/>
  <c r="CI19" i="16"/>
  <c r="CH19" i="16"/>
  <c r="CG19" i="16"/>
  <c r="CF19" i="16"/>
  <c r="CE19" i="16"/>
  <c r="CD19" i="16"/>
  <c r="CC19" i="16"/>
  <c r="CB19" i="16"/>
  <c r="CA19" i="16"/>
  <c r="BZ19" i="16"/>
  <c r="BY19" i="16"/>
  <c r="BX19" i="16"/>
  <c r="BW19" i="16"/>
  <c r="BV19" i="16"/>
  <c r="BU19" i="16"/>
  <c r="BT19" i="16"/>
  <c r="BS19" i="16"/>
  <c r="BR19" i="16"/>
  <c r="BQ19" i="16"/>
  <c r="BP19" i="16"/>
  <c r="BO19" i="16"/>
  <c r="BN19" i="16"/>
  <c r="BM19" i="16"/>
  <c r="BL19" i="16"/>
  <c r="BK19" i="16"/>
  <c r="BJ19" i="16"/>
  <c r="BI19" i="16"/>
  <c r="BH19" i="16"/>
  <c r="BG19" i="16"/>
  <c r="BF19" i="16"/>
  <c r="BE19" i="16"/>
  <c r="BD19" i="16"/>
  <c r="BC19" i="16"/>
  <c r="BB19" i="16"/>
  <c r="BA19" i="16"/>
  <c r="AZ19" i="16"/>
  <c r="AY19" i="16"/>
  <c r="AX19" i="16"/>
  <c r="AW19" i="16"/>
  <c r="AV19" i="16"/>
  <c r="AU19" i="16"/>
  <c r="AT19" i="16"/>
  <c r="AS19" i="16"/>
  <c r="AR19" i="16"/>
  <c r="AQ19" i="16"/>
  <c r="AP19" i="16"/>
  <c r="AO19" i="16"/>
  <c r="AN19" i="16"/>
  <c r="AM19" i="16"/>
  <c r="AL19" i="16"/>
  <c r="AK19" i="16"/>
  <c r="AJ19" i="16"/>
  <c r="AI19" i="16"/>
  <c r="AH19" i="16"/>
  <c r="AG19" i="16"/>
  <c r="AF19" i="16"/>
  <c r="AE19" i="16"/>
  <c r="AD19" i="16"/>
  <c r="AC19" i="16"/>
  <c r="AB19" i="16"/>
  <c r="AA19" i="16"/>
  <c r="Z19" i="16"/>
  <c r="Y19" i="16"/>
  <c r="X19" i="16"/>
  <c r="W19" i="16"/>
  <c r="V19" i="16"/>
  <c r="U19" i="16"/>
  <c r="T19" i="16"/>
  <c r="S19" i="16"/>
  <c r="R19" i="16"/>
  <c r="Q19" i="16"/>
  <c r="P19" i="16"/>
  <c r="O19" i="16"/>
  <c r="N19" i="16"/>
  <c r="M19" i="16"/>
  <c r="L19" i="16"/>
  <c r="K19" i="16"/>
  <c r="J19" i="16"/>
  <c r="I19" i="16"/>
  <c r="H19" i="16"/>
  <c r="G19" i="16"/>
  <c r="F19" i="16"/>
  <c r="DC18" i="16"/>
  <c r="DB18" i="16"/>
  <c r="DA18" i="16"/>
  <c r="CZ18" i="16"/>
  <c r="CY18" i="16"/>
  <c r="CX18" i="16"/>
  <c r="CW18" i="16"/>
  <c r="CV18" i="16"/>
  <c r="CU18" i="16"/>
  <c r="CT18" i="16"/>
  <c r="CT277" i="17" s="1"/>
  <c r="CS18" i="16"/>
  <c r="CS277" i="17" s="1"/>
  <c r="CR18" i="16"/>
  <c r="CR277" i="17" s="1"/>
  <c r="CQ18" i="16"/>
  <c r="CQ277" i="17" s="1"/>
  <c r="CU277" i="17" s="1"/>
  <c r="CP18" i="16"/>
  <c r="CO18" i="16"/>
  <c r="CN18" i="16"/>
  <c r="CM18" i="16"/>
  <c r="CL18" i="16"/>
  <c r="CK18" i="16"/>
  <c r="CJ18" i="16"/>
  <c r="CI18" i="16"/>
  <c r="CH18" i="16"/>
  <c r="CG18" i="16"/>
  <c r="CF18" i="16"/>
  <c r="CE18" i="16"/>
  <c r="CD18" i="16"/>
  <c r="CC18" i="16"/>
  <c r="CB18" i="16"/>
  <c r="CA18" i="16"/>
  <c r="BZ18" i="16"/>
  <c r="BY18" i="16"/>
  <c r="BX18" i="16"/>
  <c r="BW18" i="16"/>
  <c r="BV18" i="16"/>
  <c r="BU18" i="16"/>
  <c r="BT18" i="16"/>
  <c r="BS18" i="16"/>
  <c r="BR18" i="16"/>
  <c r="BQ18" i="16"/>
  <c r="BP18" i="16"/>
  <c r="BO18" i="16"/>
  <c r="BN18" i="16"/>
  <c r="BM18" i="16"/>
  <c r="BL18" i="16"/>
  <c r="BK18" i="16"/>
  <c r="BJ18" i="16"/>
  <c r="BI18" i="16"/>
  <c r="BH18" i="16"/>
  <c r="BG18" i="16"/>
  <c r="BF18" i="16"/>
  <c r="BE18" i="16"/>
  <c r="BD18" i="16"/>
  <c r="BC18" i="16"/>
  <c r="BB18" i="16"/>
  <c r="BA18" i="16"/>
  <c r="AZ18" i="16"/>
  <c r="AY18" i="16"/>
  <c r="AX18" i="16"/>
  <c r="AW18" i="16"/>
  <c r="AV18" i="16"/>
  <c r="AU18" i="16"/>
  <c r="AT18" i="16"/>
  <c r="AS18" i="16"/>
  <c r="AR18" i="16"/>
  <c r="AQ18" i="16"/>
  <c r="AP18" i="16"/>
  <c r="AO18" i="16"/>
  <c r="AN18" i="16"/>
  <c r="AM18" i="16"/>
  <c r="AL18" i="16"/>
  <c r="AK18" i="16"/>
  <c r="AJ18" i="16"/>
  <c r="AI18" i="16"/>
  <c r="AH18" i="16"/>
  <c r="AG18" i="16"/>
  <c r="AF18" i="16"/>
  <c r="AE18" i="16"/>
  <c r="AD18" i="16"/>
  <c r="AC18" i="16"/>
  <c r="AB18" i="16"/>
  <c r="AA18" i="16"/>
  <c r="Z18" i="16"/>
  <c r="Y18" i="16"/>
  <c r="X18" i="16"/>
  <c r="W18" i="16"/>
  <c r="V18" i="16"/>
  <c r="U18" i="16"/>
  <c r="T18" i="16"/>
  <c r="S18" i="16"/>
  <c r="R18" i="16"/>
  <c r="Q18" i="16"/>
  <c r="P18" i="16"/>
  <c r="O18" i="16"/>
  <c r="N18" i="16"/>
  <c r="M18" i="16"/>
  <c r="L18" i="16"/>
  <c r="K18" i="16"/>
  <c r="J18" i="16"/>
  <c r="I18" i="16"/>
  <c r="H18" i="16"/>
  <c r="G18" i="16"/>
  <c r="F18" i="16"/>
  <c r="DC17" i="16"/>
  <c r="DB17" i="16"/>
  <c r="DA17" i="16"/>
  <c r="CZ17" i="16"/>
  <c r="CY17" i="16"/>
  <c r="CX17" i="16"/>
  <c r="CW17" i="16"/>
  <c r="CV17" i="16"/>
  <c r="CU17" i="16"/>
  <c r="CT17" i="16"/>
  <c r="CS17" i="16"/>
  <c r="CR17" i="16"/>
  <c r="CQ17" i="16"/>
  <c r="CP17" i="16"/>
  <c r="CO17" i="16"/>
  <c r="CN17" i="16"/>
  <c r="CM17" i="16"/>
  <c r="CL17" i="16"/>
  <c r="CK17" i="16"/>
  <c r="CJ17" i="16"/>
  <c r="CI17" i="16"/>
  <c r="CH17" i="16"/>
  <c r="CG17" i="16"/>
  <c r="CF17" i="16"/>
  <c r="CE17" i="16"/>
  <c r="CD17" i="16"/>
  <c r="CC17" i="16"/>
  <c r="CB17" i="16"/>
  <c r="CA17" i="16"/>
  <c r="BZ17" i="16"/>
  <c r="BY17" i="16"/>
  <c r="BX17" i="16"/>
  <c r="BW17" i="16"/>
  <c r="BV17" i="16"/>
  <c r="BU17" i="16"/>
  <c r="BT17" i="16"/>
  <c r="BS17" i="16"/>
  <c r="BR17" i="16"/>
  <c r="BQ17" i="16"/>
  <c r="BP17" i="16"/>
  <c r="BO17" i="16"/>
  <c r="BN17" i="16"/>
  <c r="BM17" i="16"/>
  <c r="BL17" i="16"/>
  <c r="BK17" i="16"/>
  <c r="BJ17" i="16"/>
  <c r="BI17" i="16"/>
  <c r="BH17" i="16"/>
  <c r="BG17" i="16"/>
  <c r="BF17" i="16"/>
  <c r="BE17" i="16"/>
  <c r="BD17" i="16"/>
  <c r="BC17" i="16"/>
  <c r="BB17" i="16"/>
  <c r="BA17" i="16"/>
  <c r="AZ17" i="16"/>
  <c r="AY17" i="16"/>
  <c r="AX17" i="16"/>
  <c r="AW17" i="16"/>
  <c r="AV17" i="16"/>
  <c r="AU17" i="16"/>
  <c r="AT17" i="16"/>
  <c r="AS17" i="16"/>
  <c r="AR17" i="16"/>
  <c r="AQ17" i="16"/>
  <c r="AP17" i="16"/>
  <c r="AO17" i="16"/>
  <c r="AN17" i="16"/>
  <c r="AM17" i="16"/>
  <c r="AL17" i="16"/>
  <c r="AK17" i="16"/>
  <c r="AJ17" i="16"/>
  <c r="AI17" i="16"/>
  <c r="AH17" i="16"/>
  <c r="AG17" i="16"/>
  <c r="AF17" i="16"/>
  <c r="AE17" i="16"/>
  <c r="AD17" i="16"/>
  <c r="AC17" i="16"/>
  <c r="AB17" i="16"/>
  <c r="AA17" i="16"/>
  <c r="Z17" i="16"/>
  <c r="Y17" i="16"/>
  <c r="X17" i="16"/>
  <c r="W17" i="16"/>
  <c r="V17" i="16"/>
  <c r="U17" i="16"/>
  <c r="T17" i="16"/>
  <c r="S17" i="16"/>
  <c r="R17" i="16"/>
  <c r="Q17" i="16"/>
  <c r="P17" i="16"/>
  <c r="O17" i="16"/>
  <c r="N17" i="16"/>
  <c r="M17" i="16"/>
  <c r="L17" i="16"/>
  <c r="K17" i="16"/>
  <c r="J17" i="16"/>
  <c r="I17" i="16"/>
  <c r="H17" i="16"/>
  <c r="G17" i="16"/>
  <c r="F17" i="16"/>
  <c r="DC15" i="16"/>
  <c r="DB15" i="16"/>
  <c r="DA15" i="16"/>
  <c r="CZ15" i="16"/>
  <c r="CY15" i="16"/>
  <c r="CX15" i="16"/>
  <c r="CW15" i="16"/>
  <c r="CV15" i="16"/>
  <c r="CU15" i="16"/>
  <c r="CT15" i="16"/>
  <c r="CT258" i="17" s="1"/>
  <c r="CS15" i="16"/>
  <c r="CS258" i="17" s="1"/>
  <c r="CR15" i="16"/>
  <c r="CR258" i="17" s="1"/>
  <c r="CQ15" i="16"/>
  <c r="CQ258" i="17" s="1"/>
  <c r="CP15" i="16"/>
  <c r="CO15" i="16"/>
  <c r="CN15" i="16"/>
  <c r="CM15" i="16"/>
  <c r="CL15" i="16"/>
  <c r="CK15" i="16"/>
  <c r="CJ15" i="16"/>
  <c r="CI15" i="16"/>
  <c r="CH15" i="16"/>
  <c r="CG15" i="16"/>
  <c r="CF15" i="16"/>
  <c r="CE15" i="16"/>
  <c r="CD15" i="16"/>
  <c r="CC15" i="16"/>
  <c r="CB15" i="16"/>
  <c r="CA15" i="16"/>
  <c r="BZ15" i="16"/>
  <c r="BY15" i="16"/>
  <c r="BX15" i="16"/>
  <c r="BW15" i="16"/>
  <c r="BV15" i="16"/>
  <c r="BU15" i="16"/>
  <c r="BT15" i="16"/>
  <c r="BS15" i="16"/>
  <c r="BR15" i="16"/>
  <c r="BQ15" i="16"/>
  <c r="BP15" i="16"/>
  <c r="BO15" i="16"/>
  <c r="BN15" i="16"/>
  <c r="BM15" i="16"/>
  <c r="BL15" i="16"/>
  <c r="BK15" i="16"/>
  <c r="BJ15" i="16"/>
  <c r="BI15" i="16"/>
  <c r="BH15" i="16"/>
  <c r="BG15" i="16"/>
  <c r="BF15" i="16"/>
  <c r="BE15" i="16"/>
  <c r="BD15" i="16"/>
  <c r="BC15" i="16"/>
  <c r="BB15" i="16"/>
  <c r="BA15" i="16"/>
  <c r="AZ15" i="16"/>
  <c r="AY15" i="16"/>
  <c r="AX15" i="16"/>
  <c r="AW15" i="16"/>
  <c r="AV15" i="16"/>
  <c r="AU15" i="16"/>
  <c r="AT15" i="16"/>
  <c r="AS15" i="16"/>
  <c r="AR15" i="16"/>
  <c r="AQ15" i="16"/>
  <c r="AP15" i="16"/>
  <c r="AO15" i="16"/>
  <c r="AN15" i="16"/>
  <c r="AM15" i="16"/>
  <c r="AL15" i="16"/>
  <c r="AK15" i="16"/>
  <c r="AJ15" i="16"/>
  <c r="AI15" i="16"/>
  <c r="AH15" i="16"/>
  <c r="AG15" i="16"/>
  <c r="AF15" i="16"/>
  <c r="AE15" i="16"/>
  <c r="AD15" i="16"/>
  <c r="AC15" i="16"/>
  <c r="AB15" i="16"/>
  <c r="AA15" i="16"/>
  <c r="Z15" i="16"/>
  <c r="Y15" i="16"/>
  <c r="X15" i="16"/>
  <c r="W15" i="16"/>
  <c r="V15" i="16"/>
  <c r="U15" i="16"/>
  <c r="T15" i="16"/>
  <c r="S15" i="16"/>
  <c r="R15" i="16"/>
  <c r="Q15" i="16"/>
  <c r="P15" i="16"/>
  <c r="O15" i="16"/>
  <c r="N15" i="16"/>
  <c r="M15" i="16"/>
  <c r="L15" i="16"/>
  <c r="K15" i="16"/>
  <c r="J15" i="16"/>
  <c r="I15" i="16"/>
  <c r="H15" i="16"/>
  <c r="G15" i="16"/>
  <c r="F15" i="16"/>
  <c r="DC13" i="16"/>
  <c r="DB13" i="16"/>
  <c r="DA13" i="16"/>
  <c r="CZ13" i="16"/>
  <c r="CY13" i="16"/>
  <c r="CX13" i="16"/>
  <c r="CW13" i="16"/>
  <c r="CV13" i="16"/>
  <c r="CU13" i="16"/>
  <c r="CT13" i="16"/>
  <c r="CT201" i="17" s="1"/>
  <c r="CS13" i="16"/>
  <c r="CS201" i="17" s="1"/>
  <c r="CR13" i="16"/>
  <c r="CR201" i="17" s="1"/>
  <c r="CQ13" i="16"/>
  <c r="CQ201" i="17" s="1"/>
  <c r="CP13" i="16"/>
  <c r="CO13" i="16"/>
  <c r="CN13" i="16"/>
  <c r="CM13" i="16"/>
  <c r="CL13" i="16"/>
  <c r="CK13" i="16"/>
  <c r="CJ13" i="16"/>
  <c r="CI13" i="16"/>
  <c r="CH13" i="16"/>
  <c r="CG13" i="16"/>
  <c r="CF13" i="16"/>
  <c r="CE13" i="16"/>
  <c r="CD13" i="16"/>
  <c r="CC13" i="16"/>
  <c r="CB13" i="16"/>
  <c r="CA13" i="16"/>
  <c r="BZ13" i="16"/>
  <c r="BY13" i="16"/>
  <c r="BX13" i="16"/>
  <c r="BW13" i="16"/>
  <c r="BV13" i="16"/>
  <c r="BU13" i="16"/>
  <c r="BT13" i="16"/>
  <c r="BS13" i="16"/>
  <c r="BR13" i="16"/>
  <c r="BQ13" i="16"/>
  <c r="BP13" i="16"/>
  <c r="BO13" i="16"/>
  <c r="BN13" i="16"/>
  <c r="BM13" i="16"/>
  <c r="BL13" i="16"/>
  <c r="BK13" i="16"/>
  <c r="BJ13" i="16"/>
  <c r="BI13" i="16"/>
  <c r="BH13" i="16"/>
  <c r="BG13" i="16"/>
  <c r="BF13" i="16"/>
  <c r="BE13" i="16"/>
  <c r="BD13" i="16"/>
  <c r="BC13" i="16"/>
  <c r="BB13" i="16"/>
  <c r="BA13" i="16"/>
  <c r="AZ13" i="16"/>
  <c r="AY13" i="16"/>
  <c r="AX13" i="16"/>
  <c r="AW13" i="16"/>
  <c r="AV13" i="16"/>
  <c r="AU13" i="16"/>
  <c r="AT13" i="16"/>
  <c r="AS13" i="16"/>
  <c r="AR13" i="16"/>
  <c r="AQ13" i="16"/>
  <c r="AP13" i="16"/>
  <c r="AO13" i="16"/>
  <c r="AN13" i="16"/>
  <c r="AM13" i="16"/>
  <c r="AL13" i="16"/>
  <c r="AK13" i="16"/>
  <c r="AJ13" i="16"/>
  <c r="AI13" i="16"/>
  <c r="AH13" i="16"/>
  <c r="AG13" i="16"/>
  <c r="AF13" i="16"/>
  <c r="AE13" i="16"/>
  <c r="AD13" i="16"/>
  <c r="AC13" i="16"/>
  <c r="AB13" i="16"/>
  <c r="AA13" i="16"/>
  <c r="Z13" i="16"/>
  <c r="Y13" i="16"/>
  <c r="X13" i="16"/>
  <c r="W13" i="16"/>
  <c r="V13" i="16"/>
  <c r="U13" i="16"/>
  <c r="T13" i="16"/>
  <c r="S13" i="16"/>
  <c r="R13" i="16"/>
  <c r="Q13" i="16"/>
  <c r="P13" i="16"/>
  <c r="O13" i="16"/>
  <c r="N13" i="16"/>
  <c r="M13" i="16"/>
  <c r="L13" i="16"/>
  <c r="K13" i="16"/>
  <c r="J13" i="16"/>
  <c r="I13" i="16"/>
  <c r="H13" i="16"/>
  <c r="G13" i="16"/>
  <c r="F13" i="16"/>
  <c r="DC12" i="16"/>
  <c r="DB12" i="16"/>
  <c r="DA12" i="16"/>
  <c r="CZ12" i="16"/>
  <c r="CY12" i="16"/>
  <c r="CX12" i="16"/>
  <c r="CW12" i="16"/>
  <c r="CV12" i="16"/>
  <c r="CU12" i="16"/>
  <c r="CT12" i="16"/>
  <c r="CT144" i="17" s="1"/>
  <c r="CS12" i="16"/>
  <c r="CS144" i="17" s="1"/>
  <c r="CR12" i="16"/>
  <c r="CR144" i="17" s="1"/>
  <c r="CQ12" i="16"/>
  <c r="CQ144" i="17" s="1"/>
  <c r="CP12" i="16"/>
  <c r="CO12" i="16"/>
  <c r="CN12" i="16"/>
  <c r="CM12" i="16"/>
  <c r="CL12" i="16"/>
  <c r="CK12" i="16"/>
  <c r="CJ12" i="16"/>
  <c r="CI12" i="16"/>
  <c r="CH12" i="16"/>
  <c r="CG12" i="16"/>
  <c r="CF12" i="16"/>
  <c r="CE12" i="16"/>
  <c r="CD12" i="16"/>
  <c r="CC12" i="16"/>
  <c r="CB12" i="16"/>
  <c r="CA12" i="16"/>
  <c r="BZ12" i="16"/>
  <c r="BY12" i="16"/>
  <c r="BX12" i="16"/>
  <c r="BW12" i="16"/>
  <c r="BV12" i="16"/>
  <c r="BU12" i="16"/>
  <c r="BT12" i="16"/>
  <c r="BS12" i="16"/>
  <c r="BR12" i="16"/>
  <c r="BQ12" i="16"/>
  <c r="BP12" i="16"/>
  <c r="BO12" i="16"/>
  <c r="BN12" i="16"/>
  <c r="BM12" i="16"/>
  <c r="BL12" i="16"/>
  <c r="BK12" i="16"/>
  <c r="BJ12" i="16"/>
  <c r="BI12" i="16"/>
  <c r="BH12" i="16"/>
  <c r="BG12" i="16"/>
  <c r="BF12" i="16"/>
  <c r="BE12" i="16"/>
  <c r="BD12" i="16"/>
  <c r="BC12" i="16"/>
  <c r="BB12" i="16"/>
  <c r="BA12" i="16"/>
  <c r="AZ12" i="16"/>
  <c r="AY12" i="16"/>
  <c r="AX12" i="16"/>
  <c r="AW12" i="16"/>
  <c r="AV12" i="16"/>
  <c r="AU12" i="16"/>
  <c r="AT12" i="16"/>
  <c r="AS12" i="16"/>
  <c r="AR12" i="16"/>
  <c r="AQ12" i="16"/>
  <c r="AP12" i="16"/>
  <c r="AO12" i="16"/>
  <c r="AN12" i="16"/>
  <c r="AM12" i="16"/>
  <c r="AL12" i="16"/>
  <c r="AK12" i="16"/>
  <c r="AJ12" i="16"/>
  <c r="AI12" i="16"/>
  <c r="AH12" i="16"/>
  <c r="AG12" i="16"/>
  <c r="AF12" i="16"/>
  <c r="AE12" i="16"/>
  <c r="AD12" i="16"/>
  <c r="AC12" i="16"/>
  <c r="AB12" i="16"/>
  <c r="AA12" i="16"/>
  <c r="Z12" i="16"/>
  <c r="Y12" i="16"/>
  <c r="X12" i="16"/>
  <c r="W12" i="16"/>
  <c r="V12" i="16"/>
  <c r="U12" i="16"/>
  <c r="T12" i="16"/>
  <c r="S12" i="16"/>
  <c r="R12" i="16"/>
  <c r="Q12" i="16"/>
  <c r="P12" i="16"/>
  <c r="O12" i="16"/>
  <c r="N12" i="16"/>
  <c r="M12" i="16"/>
  <c r="L12" i="16"/>
  <c r="K12" i="16"/>
  <c r="J12" i="16"/>
  <c r="I12" i="16"/>
  <c r="H12" i="16"/>
  <c r="G12" i="16"/>
  <c r="F12" i="16"/>
  <c r="DC11" i="16"/>
  <c r="DB11" i="16"/>
  <c r="DA11" i="16"/>
  <c r="CZ11" i="16"/>
  <c r="CY11" i="16"/>
  <c r="CX11" i="16"/>
  <c r="CW11" i="16"/>
  <c r="CV11" i="16"/>
  <c r="CU11" i="16"/>
  <c r="CT11" i="16"/>
  <c r="CT105" i="17" s="1"/>
  <c r="CS11" i="16"/>
  <c r="CS105" i="17" s="1"/>
  <c r="CR11" i="16"/>
  <c r="CR105" i="17" s="1"/>
  <c r="CQ11" i="16"/>
  <c r="CQ105" i="17" s="1"/>
  <c r="CP11" i="16"/>
  <c r="CO11" i="16"/>
  <c r="CN11" i="16"/>
  <c r="CM11" i="16"/>
  <c r="CL11" i="16"/>
  <c r="CK11" i="16"/>
  <c r="CJ11" i="16"/>
  <c r="CI11" i="16"/>
  <c r="CH11" i="16"/>
  <c r="CG11" i="16"/>
  <c r="CF11" i="16"/>
  <c r="CE11" i="16"/>
  <c r="CD11" i="16"/>
  <c r="CC11" i="16"/>
  <c r="CB11" i="16"/>
  <c r="CA11" i="16"/>
  <c r="BZ11" i="16"/>
  <c r="BY11" i="16"/>
  <c r="BX11" i="16"/>
  <c r="BW11" i="16"/>
  <c r="BV11" i="16"/>
  <c r="BU11" i="16"/>
  <c r="BT11" i="16"/>
  <c r="BS11" i="16"/>
  <c r="BR11" i="16"/>
  <c r="BQ11" i="16"/>
  <c r="BP11" i="16"/>
  <c r="BO11" i="16"/>
  <c r="BN11" i="16"/>
  <c r="BM11" i="16"/>
  <c r="BL11" i="16"/>
  <c r="BK11" i="16"/>
  <c r="BJ11" i="16"/>
  <c r="BI11" i="16"/>
  <c r="BH11" i="16"/>
  <c r="BG11" i="16"/>
  <c r="BF11" i="16"/>
  <c r="BE11" i="16"/>
  <c r="BD11" i="16"/>
  <c r="BC11" i="16"/>
  <c r="BB11" i="16"/>
  <c r="BA11" i="16"/>
  <c r="AZ11" i="16"/>
  <c r="AY11" i="16"/>
  <c r="AX11" i="16"/>
  <c r="AW11" i="16"/>
  <c r="AV11" i="16"/>
  <c r="AU11" i="16"/>
  <c r="AT11" i="16"/>
  <c r="AS11" i="16"/>
  <c r="AR11" i="16"/>
  <c r="AQ11" i="16"/>
  <c r="AP11" i="16"/>
  <c r="AO11" i="16"/>
  <c r="AN11" i="16"/>
  <c r="AM11" i="16"/>
  <c r="AL11" i="16"/>
  <c r="AK11" i="16"/>
  <c r="AJ11" i="16"/>
  <c r="AI11" i="16"/>
  <c r="AH11" i="16"/>
  <c r="AG11" i="16"/>
  <c r="AF11" i="16"/>
  <c r="AE11" i="16"/>
  <c r="AD11" i="16"/>
  <c r="AC11" i="16"/>
  <c r="AB11" i="16"/>
  <c r="AA11" i="16"/>
  <c r="Z11" i="16"/>
  <c r="Y11" i="16"/>
  <c r="X11" i="16"/>
  <c r="W11" i="16"/>
  <c r="V11" i="16"/>
  <c r="U11" i="16"/>
  <c r="T11" i="16"/>
  <c r="S11" i="16"/>
  <c r="R11" i="16"/>
  <c r="Q11" i="16"/>
  <c r="P11" i="16"/>
  <c r="O11" i="16"/>
  <c r="N11" i="16"/>
  <c r="M11" i="16"/>
  <c r="L11" i="16"/>
  <c r="K11" i="16"/>
  <c r="J11" i="16"/>
  <c r="I11" i="16"/>
  <c r="H11" i="16"/>
  <c r="G11" i="16"/>
  <c r="F11" i="16"/>
  <c r="DC10" i="16"/>
  <c r="DB10" i="16"/>
  <c r="DA10" i="16"/>
  <c r="CZ10" i="16"/>
  <c r="CY10" i="16"/>
  <c r="CX10" i="16"/>
  <c r="CW10" i="16"/>
  <c r="CV10" i="16"/>
  <c r="CU10" i="16"/>
  <c r="CT10" i="16"/>
  <c r="CT228" i="17" s="1"/>
  <c r="CS10" i="16"/>
  <c r="CS228" i="17" s="1"/>
  <c r="CR10" i="16"/>
  <c r="CR228" i="17" s="1"/>
  <c r="CQ10" i="16"/>
  <c r="CQ228" i="17" s="1"/>
  <c r="CP10" i="16"/>
  <c r="CO10" i="16"/>
  <c r="CN10" i="16"/>
  <c r="CM10" i="16"/>
  <c r="CL10" i="16"/>
  <c r="CK10" i="16"/>
  <c r="CJ10" i="16"/>
  <c r="CI10" i="16"/>
  <c r="CH10" i="16"/>
  <c r="CG10" i="16"/>
  <c r="CF10" i="16"/>
  <c r="CE10" i="16"/>
  <c r="CD10" i="16"/>
  <c r="CC10" i="16"/>
  <c r="CB10" i="16"/>
  <c r="CA10" i="16"/>
  <c r="BZ10" i="16"/>
  <c r="BY10" i="16"/>
  <c r="BX10" i="16"/>
  <c r="BW10" i="16"/>
  <c r="BV10" i="16"/>
  <c r="BU10" i="16"/>
  <c r="BT10" i="16"/>
  <c r="BS10" i="16"/>
  <c r="BR10" i="16"/>
  <c r="BQ10" i="16"/>
  <c r="BP10" i="16"/>
  <c r="BO10" i="16"/>
  <c r="BN10" i="16"/>
  <c r="BM10" i="16"/>
  <c r="BL10" i="16"/>
  <c r="BK10" i="16"/>
  <c r="BJ10" i="16"/>
  <c r="BI10" i="16"/>
  <c r="BH10" i="16"/>
  <c r="BG10" i="16"/>
  <c r="BF10" i="16"/>
  <c r="BE10" i="16"/>
  <c r="BD10" i="16"/>
  <c r="BC10" i="16"/>
  <c r="BB10" i="16"/>
  <c r="BA10" i="16"/>
  <c r="AZ10" i="16"/>
  <c r="AY10" i="16"/>
  <c r="AX10" i="16"/>
  <c r="AW10" i="16"/>
  <c r="AV10" i="16"/>
  <c r="AU10" i="16"/>
  <c r="AT10" i="16"/>
  <c r="AS10" i="16"/>
  <c r="AR10" i="16"/>
  <c r="AQ10" i="16"/>
  <c r="AP10" i="16"/>
  <c r="AO10" i="16"/>
  <c r="AN10" i="16"/>
  <c r="AM10" i="16"/>
  <c r="AL10" i="16"/>
  <c r="AK10" i="16"/>
  <c r="AJ10" i="16"/>
  <c r="AI10" i="16"/>
  <c r="AH10" i="16"/>
  <c r="AG10" i="16"/>
  <c r="AF10" i="16"/>
  <c r="AE10" i="16"/>
  <c r="AD10" i="16"/>
  <c r="AC10" i="16"/>
  <c r="AB10" i="16"/>
  <c r="AA10" i="16"/>
  <c r="Z10" i="16"/>
  <c r="Y10" i="16"/>
  <c r="X10" i="16"/>
  <c r="W10" i="16"/>
  <c r="V10" i="16"/>
  <c r="U10" i="16"/>
  <c r="T10" i="16"/>
  <c r="S10" i="16"/>
  <c r="R10" i="16"/>
  <c r="Q10" i="16"/>
  <c r="P10" i="16"/>
  <c r="O10" i="16"/>
  <c r="N10" i="16"/>
  <c r="M10" i="16"/>
  <c r="L10" i="16"/>
  <c r="K10" i="16"/>
  <c r="J10" i="16"/>
  <c r="I10" i="16"/>
  <c r="H10" i="16"/>
  <c r="G10" i="16"/>
  <c r="F10" i="16"/>
  <c r="DC9" i="16"/>
  <c r="DB9" i="16"/>
  <c r="DA9" i="16"/>
  <c r="CZ9" i="16"/>
  <c r="CY9" i="16"/>
  <c r="CX9" i="16"/>
  <c r="CW9" i="16"/>
  <c r="CV9" i="16"/>
  <c r="CU9" i="16"/>
  <c r="CT9" i="16"/>
  <c r="CT171" i="17" s="1"/>
  <c r="CS9" i="16"/>
  <c r="CS171" i="17" s="1"/>
  <c r="CR9" i="16"/>
  <c r="CR171" i="17" s="1"/>
  <c r="CQ9" i="16"/>
  <c r="CQ171" i="17" s="1"/>
  <c r="CP9" i="16"/>
  <c r="CO9" i="16"/>
  <c r="CN9" i="16"/>
  <c r="CM9" i="16"/>
  <c r="CL9" i="16"/>
  <c r="CK9" i="16"/>
  <c r="CJ9" i="16"/>
  <c r="CI9" i="16"/>
  <c r="CH9" i="16"/>
  <c r="CG9" i="16"/>
  <c r="CF9" i="16"/>
  <c r="CE9" i="16"/>
  <c r="CD9" i="16"/>
  <c r="CC9" i="16"/>
  <c r="CB9" i="16"/>
  <c r="CA9" i="16"/>
  <c r="BZ9" i="16"/>
  <c r="BY9" i="16"/>
  <c r="BX9" i="16"/>
  <c r="BW9" i="16"/>
  <c r="BV9" i="16"/>
  <c r="BU9" i="16"/>
  <c r="BT9" i="16"/>
  <c r="BS9" i="16"/>
  <c r="BR9" i="16"/>
  <c r="BQ9" i="16"/>
  <c r="BP9" i="16"/>
  <c r="BO9" i="16"/>
  <c r="BN9" i="16"/>
  <c r="BM9" i="16"/>
  <c r="BL9" i="16"/>
  <c r="BK9" i="16"/>
  <c r="BJ9" i="16"/>
  <c r="BI9" i="16"/>
  <c r="BH9" i="16"/>
  <c r="BG9" i="16"/>
  <c r="BF9" i="16"/>
  <c r="BE9" i="16"/>
  <c r="BD9" i="16"/>
  <c r="BC9" i="16"/>
  <c r="BB9" i="16"/>
  <c r="BA9" i="16"/>
  <c r="AZ9" i="16"/>
  <c r="AY9" i="16"/>
  <c r="AX9" i="16"/>
  <c r="AW9" i="16"/>
  <c r="AV9" i="16"/>
  <c r="AU9" i="16"/>
  <c r="AT9" i="16"/>
  <c r="AS9" i="16"/>
  <c r="AR9" i="16"/>
  <c r="AQ9" i="16"/>
  <c r="AP9" i="16"/>
  <c r="AO9" i="16"/>
  <c r="AN9" i="16"/>
  <c r="AM9" i="16"/>
  <c r="AL9" i="16"/>
  <c r="AK9" i="16"/>
  <c r="AJ9" i="16"/>
  <c r="AI9" i="16"/>
  <c r="AH9" i="16"/>
  <c r="AG9" i="16"/>
  <c r="AF9" i="16"/>
  <c r="AE9" i="16"/>
  <c r="AD9" i="16"/>
  <c r="AC9" i="16"/>
  <c r="AB9" i="16"/>
  <c r="AA9" i="16"/>
  <c r="Z9" i="16"/>
  <c r="Y9" i="16"/>
  <c r="X9" i="16"/>
  <c r="W9" i="16"/>
  <c r="V9" i="16"/>
  <c r="U9" i="16"/>
  <c r="T9" i="16"/>
  <c r="S9" i="16"/>
  <c r="R9" i="16"/>
  <c r="Q9" i="16"/>
  <c r="P9" i="16"/>
  <c r="O9" i="16"/>
  <c r="N9" i="16"/>
  <c r="M9" i="16"/>
  <c r="L9" i="16"/>
  <c r="K9" i="16"/>
  <c r="J9" i="16"/>
  <c r="I9" i="16"/>
  <c r="H9" i="16"/>
  <c r="G9" i="16"/>
  <c r="F9" i="16"/>
  <c r="CP8" i="16"/>
  <c r="CO8" i="16"/>
  <c r="CN8" i="16"/>
  <c r="CM8" i="16"/>
  <c r="CL8" i="16"/>
  <c r="CK8" i="16"/>
  <c r="CJ8" i="16"/>
  <c r="CI8" i="16"/>
  <c r="CH8" i="16"/>
  <c r="CG8" i="16"/>
  <c r="CF8" i="16"/>
  <c r="CE8" i="16"/>
  <c r="CD8" i="16"/>
  <c r="CC8" i="16"/>
  <c r="CB8" i="16"/>
  <c r="CA8" i="16"/>
  <c r="BZ8" i="16"/>
  <c r="BY8" i="16"/>
  <c r="BX8" i="16"/>
  <c r="BW8" i="16"/>
  <c r="BV8" i="16"/>
  <c r="BU8" i="16"/>
  <c r="BT8" i="16"/>
  <c r="BS8" i="16"/>
  <c r="BR8" i="16"/>
  <c r="BQ8" i="16"/>
  <c r="BP8" i="16"/>
  <c r="BO8" i="16"/>
  <c r="BN8" i="16"/>
  <c r="BM8" i="16"/>
  <c r="BL8" i="16"/>
  <c r="BK8" i="16"/>
  <c r="BJ8" i="16"/>
  <c r="BI8" i="16"/>
  <c r="BH8" i="16"/>
  <c r="BG8" i="16"/>
  <c r="BF8" i="16"/>
  <c r="BE8" i="16"/>
  <c r="BD8" i="16"/>
  <c r="BC8" i="16"/>
  <c r="BB8" i="16"/>
  <c r="BA8" i="16"/>
  <c r="AZ8" i="16"/>
  <c r="AY8" i="16"/>
  <c r="AX8" i="16"/>
  <c r="AW8" i="16"/>
  <c r="AV8" i="16"/>
  <c r="AU8" i="16"/>
  <c r="AT8" i="16"/>
  <c r="AS8" i="16"/>
  <c r="AR8" i="16"/>
  <c r="AQ8" i="16"/>
  <c r="AP8" i="16"/>
  <c r="AO8" i="16"/>
  <c r="AN8" i="16"/>
  <c r="AM8" i="16"/>
  <c r="AL8" i="16"/>
  <c r="AK8" i="16"/>
  <c r="AJ8" i="16"/>
  <c r="AI8" i="16"/>
  <c r="AH8" i="16"/>
  <c r="AG8" i="16"/>
  <c r="AF8" i="16"/>
  <c r="AE8" i="16"/>
  <c r="AD8" i="16"/>
  <c r="AC8" i="16"/>
  <c r="AB8" i="16"/>
  <c r="AA8" i="16"/>
  <c r="Z8" i="16"/>
  <c r="Y8" i="16"/>
  <c r="X8" i="16"/>
  <c r="W8" i="16"/>
  <c r="V8" i="16"/>
  <c r="U8" i="16"/>
  <c r="T8" i="16"/>
  <c r="S8" i="16"/>
  <c r="R8" i="16"/>
  <c r="Q8" i="16"/>
  <c r="P8" i="16"/>
  <c r="O8" i="16"/>
  <c r="N8" i="16"/>
  <c r="M8" i="16"/>
  <c r="L8" i="16"/>
  <c r="K8" i="16"/>
  <c r="J8" i="16"/>
  <c r="I8" i="16"/>
  <c r="H8" i="16"/>
  <c r="G8" i="16"/>
  <c r="F8" i="16"/>
  <c r="DC7" i="16"/>
  <c r="DB7" i="16"/>
  <c r="DA7" i="16"/>
  <c r="CZ7" i="16"/>
  <c r="CY7" i="16"/>
  <c r="CX7" i="16"/>
  <c r="CW7" i="16"/>
  <c r="CV7" i="16"/>
  <c r="CU7" i="16"/>
  <c r="CT7" i="16"/>
  <c r="CT71" i="17" s="1"/>
  <c r="CS7" i="16"/>
  <c r="CS71" i="17" s="1"/>
  <c r="CR7" i="16"/>
  <c r="CR71" i="17" s="1"/>
  <c r="CQ71" i="17"/>
  <c r="CP7" i="16"/>
  <c r="CO7" i="16"/>
  <c r="CN7" i="16"/>
  <c r="CM7" i="16"/>
  <c r="CL7" i="16"/>
  <c r="CK7" i="16"/>
  <c r="CJ7" i="16"/>
  <c r="CI7" i="16"/>
  <c r="CH7" i="16"/>
  <c r="CG7" i="16"/>
  <c r="CF7" i="16"/>
  <c r="CE7" i="16"/>
  <c r="CD7" i="16"/>
  <c r="CC7" i="16"/>
  <c r="CB7" i="16"/>
  <c r="CA7" i="16"/>
  <c r="BZ7" i="16"/>
  <c r="BY7" i="16"/>
  <c r="BX7" i="16"/>
  <c r="BW7" i="16"/>
  <c r="BV7" i="16"/>
  <c r="BU7" i="16"/>
  <c r="BT7" i="16"/>
  <c r="BS7" i="16"/>
  <c r="BR7" i="16"/>
  <c r="BQ7" i="16"/>
  <c r="BP7" i="16"/>
  <c r="BO7" i="16"/>
  <c r="BN7" i="16"/>
  <c r="BM7" i="16"/>
  <c r="BL7" i="16"/>
  <c r="BK7" i="16"/>
  <c r="BJ7" i="16"/>
  <c r="BI7" i="16"/>
  <c r="BH7" i="16"/>
  <c r="BG7" i="16"/>
  <c r="BF7" i="16"/>
  <c r="BE7" i="16"/>
  <c r="BD7" i="16"/>
  <c r="BC7" i="16"/>
  <c r="BB7" i="16"/>
  <c r="BA7" i="16"/>
  <c r="AZ7" i="16"/>
  <c r="AY7" i="16"/>
  <c r="AX7" i="16"/>
  <c r="AW7" i="16"/>
  <c r="AV7" i="16"/>
  <c r="AU7" i="16"/>
  <c r="AT7" i="16"/>
  <c r="AS7" i="16"/>
  <c r="AR7" i="16"/>
  <c r="AQ7" i="16"/>
  <c r="AP7" i="16"/>
  <c r="AO7" i="16"/>
  <c r="AN7" i="16"/>
  <c r="AM7" i="16"/>
  <c r="AL7" i="16"/>
  <c r="AK7" i="16"/>
  <c r="AJ7" i="16"/>
  <c r="AI7" i="16"/>
  <c r="AH7" i="16"/>
  <c r="AG7" i="16"/>
  <c r="AF7" i="16"/>
  <c r="AE7" i="16"/>
  <c r="AD7" i="16"/>
  <c r="AC7" i="16"/>
  <c r="AB7" i="16"/>
  <c r="AA7" i="16"/>
  <c r="Z7" i="16"/>
  <c r="Y7" i="16"/>
  <c r="X7" i="16"/>
  <c r="W7" i="16"/>
  <c r="V7" i="16"/>
  <c r="U7" i="16"/>
  <c r="T7" i="16"/>
  <c r="S7" i="16"/>
  <c r="R7" i="16"/>
  <c r="Q7" i="16"/>
  <c r="P7" i="16"/>
  <c r="O7" i="16"/>
  <c r="N7" i="16"/>
  <c r="M7" i="16"/>
  <c r="L7" i="16"/>
  <c r="K7" i="16"/>
  <c r="J7" i="16"/>
  <c r="I7" i="16"/>
  <c r="H7" i="16"/>
  <c r="G7" i="16"/>
  <c r="F7" i="16"/>
  <c r="DC6" i="16"/>
  <c r="DB6" i="16"/>
  <c r="DA6" i="16"/>
  <c r="CZ6" i="16"/>
  <c r="CY6" i="16"/>
  <c r="CX6" i="16"/>
  <c r="CW6" i="16"/>
  <c r="CV6" i="16"/>
  <c r="CU6" i="16"/>
  <c r="CT6" i="16"/>
  <c r="CT41" i="17" s="1"/>
  <c r="CS6" i="16"/>
  <c r="CS41" i="17" s="1"/>
  <c r="CR6" i="16"/>
  <c r="CR41" i="17" s="1"/>
  <c r="CQ6" i="16"/>
  <c r="CQ41" i="17" s="1"/>
  <c r="CP6" i="16"/>
  <c r="CO6" i="16"/>
  <c r="CN6" i="16"/>
  <c r="CM6" i="16"/>
  <c r="CL6" i="16"/>
  <c r="CK6" i="16"/>
  <c r="CJ6" i="16"/>
  <c r="CI6" i="16"/>
  <c r="CH6" i="16"/>
  <c r="CG6" i="16"/>
  <c r="CF6" i="16"/>
  <c r="CE6" i="16"/>
  <c r="CD6" i="16"/>
  <c r="CC6" i="16"/>
  <c r="CB6" i="16"/>
  <c r="CA6" i="16"/>
  <c r="BZ6" i="16"/>
  <c r="BY6" i="16"/>
  <c r="BX6" i="16"/>
  <c r="BW6" i="16"/>
  <c r="BV6" i="16"/>
  <c r="BU6" i="16"/>
  <c r="BT6" i="16"/>
  <c r="BS6" i="16"/>
  <c r="BR6" i="16"/>
  <c r="BQ6" i="16"/>
  <c r="BP6" i="16"/>
  <c r="BO6" i="16"/>
  <c r="BN6" i="16"/>
  <c r="BM6" i="16"/>
  <c r="BL6" i="16"/>
  <c r="BK6" i="16"/>
  <c r="BJ6" i="16"/>
  <c r="BI6" i="16"/>
  <c r="BH6" i="16"/>
  <c r="BG6" i="16"/>
  <c r="BF6" i="16"/>
  <c r="BE6" i="16"/>
  <c r="BD6" i="16"/>
  <c r="BC6" i="16"/>
  <c r="BB6" i="16"/>
  <c r="BA6" i="16"/>
  <c r="AZ6" i="16"/>
  <c r="AY6" i="16"/>
  <c r="AX6" i="16"/>
  <c r="AW6" i="16"/>
  <c r="AV6" i="16"/>
  <c r="AU6" i="16"/>
  <c r="AT6" i="16"/>
  <c r="AS6" i="16"/>
  <c r="AR6" i="16"/>
  <c r="AQ6" i="16"/>
  <c r="AP6" i="16"/>
  <c r="AO6" i="16"/>
  <c r="AN6" i="16"/>
  <c r="AM6" i="16"/>
  <c r="AL6" i="16"/>
  <c r="AK6" i="16"/>
  <c r="AJ6" i="16"/>
  <c r="AI6" i="16"/>
  <c r="AH6" i="16"/>
  <c r="AG6" i="16"/>
  <c r="AF6" i="16"/>
  <c r="AE6" i="16"/>
  <c r="AD6" i="16"/>
  <c r="AC6" i="16"/>
  <c r="AB6" i="16"/>
  <c r="AA6" i="16"/>
  <c r="Z6" i="16"/>
  <c r="Y6" i="16"/>
  <c r="X6" i="16"/>
  <c r="W6" i="16"/>
  <c r="V6" i="16"/>
  <c r="U6" i="16"/>
  <c r="T6" i="16"/>
  <c r="S6" i="16"/>
  <c r="R6" i="16"/>
  <c r="Q6" i="16"/>
  <c r="P6" i="16"/>
  <c r="O6" i="16"/>
  <c r="N6" i="16"/>
  <c r="M6" i="16"/>
  <c r="L6" i="16"/>
  <c r="K6" i="16"/>
  <c r="J6" i="16"/>
  <c r="I6" i="16"/>
  <c r="H6" i="16"/>
  <c r="G6" i="16"/>
  <c r="F6" i="16"/>
  <c r="DC5" i="16"/>
  <c r="DB5" i="16"/>
  <c r="DA5" i="16"/>
  <c r="CZ5" i="16"/>
  <c r="CY5" i="16"/>
  <c r="CX5" i="16"/>
  <c r="CW5" i="16"/>
  <c r="CV5" i="16"/>
  <c r="CU5" i="16"/>
  <c r="CT5" i="16"/>
  <c r="CT22" i="17" s="1"/>
  <c r="CS5" i="16"/>
  <c r="CS22" i="17" s="1"/>
  <c r="CR5" i="16"/>
  <c r="CR22" i="17" s="1"/>
  <c r="CQ5" i="16"/>
  <c r="CQ22" i="17" s="1"/>
  <c r="CP5" i="16"/>
  <c r="CO5" i="16"/>
  <c r="CN5" i="16"/>
  <c r="CM5" i="16"/>
  <c r="CL5" i="16"/>
  <c r="CK5" i="16"/>
  <c r="CJ5" i="16"/>
  <c r="CI5" i="16"/>
  <c r="CH5" i="16"/>
  <c r="CG5" i="16"/>
  <c r="CF5" i="16"/>
  <c r="CE5" i="16"/>
  <c r="CD5" i="16"/>
  <c r="CC5" i="16"/>
  <c r="CB5" i="16"/>
  <c r="CA5" i="16"/>
  <c r="BZ5" i="16"/>
  <c r="BY5" i="16"/>
  <c r="BX5" i="16"/>
  <c r="BW5" i="16"/>
  <c r="BV5" i="16"/>
  <c r="BU5" i="16"/>
  <c r="BT5" i="16"/>
  <c r="BS5" i="16"/>
  <c r="BR5" i="16"/>
  <c r="BQ5" i="16"/>
  <c r="BP5" i="16"/>
  <c r="BO5" i="16"/>
  <c r="BN5" i="16"/>
  <c r="BM5" i="16"/>
  <c r="BL5" i="16"/>
  <c r="BK5" i="16"/>
  <c r="BJ5" i="16"/>
  <c r="BI5" i="16"/>
  <c r="BH5" i="16"/>
  <c r="BG5" i="16"/>
  <c r="BF5" i="16"/>
  <c r="BE5" i="16"/>
  <c r="BD5" i="16"/>
  <c r="BC5" i="16"/>
  <c r="BB5" i="16"/>
  <c r="BA5" i="16"/>
  <c r="AZ5" i="16"/>
  <c r="AY5" i="16"/>
  <c r="AX5" i="16"/>
  <c r="AW5" i="16"/>
  <c r="AV5" i="16"/>
  <c r="AU5" i="16"/>
  <c r="AT5" i="16"/>
  <c r="AS5" i="16"/>
  <c r="AR5" i="16"/>
  <c r="AQ5" i="16"/>
  <c r="AP5" i="16"/>
  <c r="AO5" i="16"/>
  <c r="AN5" i="16"/>
  <c r="AM5" i="16"/>
  <c r="AL5" i="16"/>
  <c r="AK5" i="16"/>
  <c r="AJ5" i="16"/>
  <c r="AI5" i="16"/>
  <c r="AH5" i="16"/>
  <c r="AG5" i="16"/>
  <c r="AF5" i="16"/>
  <c r="AE5" i="16"/>
  <c r="AD5" i="16"/>
  <c r="AC5" i="16"/>
  <c r="AB5" i="16"/>
  <c r="AA5" i="16"/>
  <c r="Z5" i="16"/>
  <c r="Y5" i="16"/>
  <c r="X5" i="16"/>
  <c r="W5" i="16"/>
  <c r="V5" i="16"/>
  <c r="U5" i="16"/>
  <c r="T5" i="16"/>
  <c r="S5" i="16"/>
  <c r="R5" i="16"/>
  <c r="Q5" i="16"/>
  <c r="P5" i="16"/>
  <c r="O5" i="16"/>
  <c r="N5" i="16"/>
  <c r="M5" i="16"/>
  <c r="L5" i="16"/>
  <c r="K5" i="16"/>
  <c r="J5" i="16"/>
  <c r="I5" i="16"/>
  <c r="H5" i="16"/>
  <c r="G5" i="16"/>
  <c r="F5" i="16"/>
  <c r="AF286" i="1"/>
  <c r="AE286" i="1"/>
  <c r="AD286" i="1"/>
  <c r="AC286" i="1"/>
  <c r="AB286" i="1"/>
  <c r="AB141" i="7" s="1"/>
  <c r="AA286" i="1"/>
  <c r="Z286" i="1"/>
  <c r="Y286" i="1"/>
  <c r="X286" i="1"/>
  <c r="W286" i="1"/>
  <c r="V286" i="1"/>
  <c r="U286" i="1"/>
  <c r="T286" i="1"/>
  <c r="S286" i="1"/>
  <c r="R286" i="1"/>
  <c r="Q286" i="1"/>
  <c r="P286" i="1"/>
  <c r="O286" i="1"/>
  <c r="N286" i="1"/>
  <c r="M286" i="1"/>
  <c r="L286" i="1"/>
  <c r="K286" i="1"/>
  <c r="J286" i="1"/>
  <c r="I286" i="1"/>
  <c r="H286" i="1"/>
  <c r="G286" i="1"/>
  <c r="F286" i="1"/>
  <c r="AF285" i="1"/>
  <c r="AE285" i="1"/>
  <c r="AD285" i="1"/>
  <c r="AC285" i="1"/>
  <c r="AB285" i="1"/>
  <c r="AB140" i="7" s="1"/>
  <c r="AA285" i="1"/>
  <c r="Z285" i="1"/>
  <c r="Y285" i="1"/>
  <c r="X285" i="1"/>
  <c r="W285" i="1"/>
  <c r="V285" i="1"/>
  <c r="U285" i="1"/>
  <c r="T285" i="1"/>
  <c r="S285" i="1"/>
  <c r="R285" i="1"/>
  <c r="Q285" i="1"/>
  <c r="P285" i="1"/>
  <c r="O285" i="1"/>
  <c r="N285" i="1"/>
  <c r="M285" i="1"/>
  <c r="L285" i="1"/>
  <c r="K285" i="1"/>
  <c r="J285" i="1"/>
  <c r="I285" i="1"/>
  <c r="H285" i="1"/>
  <c r="G285" i="1"/>
  <c r="F285" i="1"/>
  <c r="AF279" i="1"/>
  <c r="AE279" i="1"/>
  <c r="AD279" i="1"/>
  <c r="AC279" i="1"/>
  <c r="AB279" i="1"/>
  <c r="AB134" i="8" s="1"/>
  <c r="AB113" i="8" s="1"/>
  <c r="AA279" i="1"/>
  <c r="Z279" i="1"/>
  <c r="Y279" i="1"/>
  <c r="X279" i="1"/>
  <c r="W279" i="1"/>
  <c r="V279" i="1"/>
  <c r="U279" i="1"/>
  <c r="T279" i="1"/>
  <c r="S279" i="1"/>
  <c r="R279" i="1"/>
  <c r="Q279" i="1"/>
  <c r="P279" i="1"/>
  <c r="O279" i="1"/>
  <c r="N279" i="1"/>
  <c r="M279" i="1"/>
  <c r="L279" i="1"/>
  <c r="K279" i="1"/>
  <c r="J279" i="1"/>
  <c r="I279" i="1"/>
  <c r="H279" i="1"/>
  <c r="G279" i="1"/>
  <c r="F279" i="1"/>
  <c r="AF278" i="1"/>
  <c r="AE278" i="1"/>
  <c r="AD278" i="1"/>
  <c r="AC278" i="1"/>
  <c r="AA278" i="1"/>
  <c r="Z278" i="1"/>
  <c r="Y278" i="1"/>
  <c r="X278" i="1"/>
  <c r="W278" i="1"/>
  <c r="V278" i="1"/>
  <c r="U278" i="1"/>
  <c r="T278" i="1"/>
  <c r="S278" i="1"/>
  <c r="R278" i="1"/>
  <c r="Q278" i="1"/>
  <c r="P278" i="1"/>
  <c r="O278" i="1"/>
  <c r="N278" i="1"/>
  <c r="M278" i="1"/>
  <c r="L278" i="1"/>
  <c r="K278" i="1"/>
  <c r="J278" i="1"/>
  <c r="I278" i="1"/>
  <c r="H278" i="1"/>
  <c r="G278" i="1"/>
  <c r="AF277" i="1"/>
  <c r="AE277" i="1"/>
  <c r="AD277" i="1"/>
  <c r="AC277" i="1"/>
  <c r="AB277" i="1"/>
  <c r="AA277" i="1"/>
  <c r="Z277" i="1"/>
  <c r="Y277" i="1"/>
  <c r="X277" i="1"/>
  <c r="W277" i="1"/>
  <c r="V277" i="1"/>
  <c r="U277" i="1"/>
  <c r="T277" i="1"/>
  <c r="S277" i="1"/>
  <c r="R277" i="1"/>
  <c r="Q277" i="1"/>
  <c r="P277" i="1"/>
  <c r="O277" i="1"/>
  <c r="N277" i="1"/>
  <c r="M277" i="1"/>
  <c r="L277" i="1"/>
  <c r="K277" i="1"/>
  <c r="J277" i="1"/>
  <c r="I277" i="1"/>
  <c r="H277" i="1"/>
  <c r="G277" i="1"/>
  <c r="F277" i="1"/>
  <c r="AF276" i="1"/>
  <c r="AE276" i="1"/>
  <c r="AD276" i="1"/>
  <c r="AC276" i="1"/>
  <c r="AB276" i="1"/>
  <c r="AA276" i="1"/>
  <c r="Z276" i="1"/>
  <c r="Y276" i="1"/>
  <c r="X276" i="1"/>
  <c r="W276" i="1"/>
  <c r="V276" i="1"/>
  <c r="U276" i="1"/>
  <c r="T276" i="1"/>
  <c r="S276" i="1"/>
  <c r="R276" i="1"/>
  <c r="Q276" i="1"/>
  <c r="P276" i="1"/>
  <c r="O276" i="1"/>
  <c r="N276" i="1"/>
  <c r="M276" i="1"/>
  <c r="L276" i="1"/>
  <c r="K276" i="1"/>
  <c r="J276" i="1"/>
  <c r="I276" i="1"/>
  <c r="H276" i="1"/>
  <c r="G276" i="1"/>
  <c r="F276" i="1"/>
  <c r="AF274" i="1"/>
  <c r="AE274" i="1"/>
  <c r="AD274" i="1"/>
  <c r="AC274" i="1"/>
  <c r="AB274" i="1"/>
  <c r="AA274" i="1"/>
  <c r="Z274" i="1"/>
  <c r="Y274" i="1"/>
  <c r="X274" i="1"/>
  <c r="W274" i="1"/>
  <c r="V274" i="1"/>
  <c r="U274" i="1"/>
  <c r="T274" i="1"/>
  <c r="S274" i="1"/>
  <c r="R274" i="1"/>
  <c r="Q274" i="1"/>
  <c r="P274" i="1"/>
  <c r="O274" i="1"/>
  <c r="N274" i="1"/>
  <c r="M274" i="1"/>
  <c r="L274" i="1"/>
  <c r="K274" i="1"/>
  <c r="J274" i="1"/>
  <c r="I274" i="1"/>
  <c r="H274" i="1"/>
  <c r="G274" i="1"/>
  <c r="F274" i="1"/>
  <c r="AF273" i="1"/>
  <c r="AE273" i="1"/>
  <c r="AD273" i="1"/>
  <c r="AC273" i="1"/>
  <c r="AB273" i="1"/>
  <c r="AA273" i="1"/>
  <c r="Z273" i="1"/>
  <c r="Y273" i="1"/>
  <c r="X273" i="1"/>
  <c r="W273" i="1"/>
  <c r="V273" i="1"/>
  <c r="U273" i="1"/>
  <c r="T273" i="1"/>
  <c r="S273" i="1"/>
  <c r="R273" i="1"/>
  <c r="Q273" i="1"/>
  <c r="P273" i="1"/>
  <c r="O273" i="1"/>
  <c r="N273" i="1"/>
  <c r="M273" i="1"/>
  <c r="L273" i="1"/>
  <c r="K273" i="1"/>
  <c r="J273" i="1"/>
  <c r="I273" i="1"/>
  <c r="H273" i="1"/>
  <c r="G273" i="1"/>
  <c r="F273" i="1"/>
  <c r="AF272" i="1"/>
  <c r="AE272" i="1"/>
  <c r="AD272" i="1"/>
  <c r="AC272" i="1"/>
  <c r="AB272" i="1"/>
  <c r="AA272" i="1"/>
  <c r="Z272" i="1"/>
  <c r="Y272" i="1"/>
  <c r="X272" i="1"/>
  <c r="W272" i="1"/>
  <c r="V272" i="1"/>
  <c r="U272" i="1"/>
  <c r="T272" i="1"/>
  <c r="S272" i="1"/>
  <c r="R272" i="1"/>
  <c r="Q272" i="1"/>
  <c r="P272" i="1"/>
  <c r="O272" i="1"/>
  <c r="N272" i="1"/>
  <c r="M272" i="1"/>
  <c r="L272" i="1"/>
  <c r="K272" i="1"/>
  <c r="J272" i="1"/>
  <c r="I272" i="1"/>
  <c r="H272" i="1"/>
  <c r="G272" i="1"/>
  <c r="F272" i="1"/>
  <c r="AF271" i="1"/>
  <c r="AE271" i="1"/>
  <c r="AD271" i="1"/>
  <c r="AC271" i="1"/>
  <c r="AB271" i="1"/>
  <c r="AA271" i="1"/>
  <c r="Z271" i="1"/>
  <c r="Y271" i="1"/>
  <c r="X271" i="1"/>
  <c r="W271" i="1"/>
  <c r="V271" i="1"/>
  <c r="U271" i="1"/>
  <c r="T271" i="1"/>
  <c r="S271" i="1"/>
  <c r="R271" i="1"/>
  <c r="Q271" i="1"/>
  <c r="P271" i="1"/>
  <c r="O271" i="1"/>
  <c r="N271" i="1"/>
  <c r="M271" i="1"/>
  <c r="L271" i="1"/>
  <c r="K271" i="1"/>
  <c r="J271" i="1"/>
  <c r="I271" i="1"/>
  <c r="H271" i="1"/>
  <c r="G271" i="1"/>
  <c r="F271" i="1"/>
  <c r="AF270" i="1"/>
  <c r="AE270" i="1"/>
  <c r="AD270" i="1"/>
  <c r="AC270" i="1"/>
  <c r="AB270" i="1"/>
  <c r="AA270" i="1"/>
  <c r="Z270" i="1"/>
  <c r="Y270" i="1"/>
  <c r="X270" i="1"/>
  <c r="W270" i="1"/>
  <c r="V270" i="1"/>
  <c r="U270" i="1"/>
  <c r="T270" i="1"/>
  <c r="S270" i="1"/>
  <c r="R270" i="1"/>
  <c r="Q270" i="1"/>
  <c r="P270" i="1"/>
  <c r="O270" i="1"/>
  <c r="N270" i="1"/>
  <c r="M270" i="1"/>
  <c r="L270" i="1"/>
  <c r="K270" i="1"/>
  <c r="J270" i="1"/>
  <c r="I270" i="1"/>
  <c r="H270" i="1"/>
  <c r="G270" i="1"/>
  <c r="F270" i="1"/>
  <c r="AF268" i="1"/>
  <c r="AE268" i="1"/>
  <c r="AD268" i="1"/>
  <c r="AC268" i="1"/>
  <c r="AB268" i="1"/>
  <c r="AB342" i="12" s="1"/>
  <c r="AA268" i="1"/>
  <c r="Z268" i="1"/>
  <c r="Y268" i="1"/>
  <c r="X268" i="1"/>
  <c r="W268" i="1"/>
  <c r="V268" i="1"/>
  <c r="U268" i="1"/>
  <c r="T268" i="1"/>
  <c r="S268" i="1"/>
  <c r="R268" i="1"/>
  <c r="Q268" i="1"/>
  <c r="P268" i="1"/>
  <c r="O268" i="1"/>
  <c r="N268" i="1"/>
  <c r="M268" i="1"/>
  <c r="L268" i="1"/>
  <c r="K268" i="1"/>
  <c r="J268" i="1"/>
  <c r="I268" i="1"/>
  <c r="H268" i="1"/>
  <c r="G268" i="1"/>
  <c r="F268" i="1"/>
  <c r="AF267" i="1"/>
  <c r="AE267" i="1"/>
  <c r="AD267" i="1"/>
  <c r="AC267" i="1"/>
  <c r="AC363" i="12" s="1"/>
  <c r="AB267" i="1"/>
  <c r="AA267" i="1"/>
  <c r="Z267" i="1"/>
  <c r="Y267" i="1"/>
  <c r="X267" i="1"/>
  <c r="W267" i="1"/>
  <c r="V267" i="1"/>
  <c r="U267" i="1"/>
  <c r="T267" i="1"/>
  <c r="S267" i="1"/>
  <c r="R267" i="1"/>
  <c r="Q267" i="1"/>
  <c r="P267" i="1"/>
  <c r="O267" i="1"/>
  <c r="N267" i="1"/>
  <c r="M267" i="1"/>
  <c r="L267" i="1"/>
  <c r="K267" i="1"/>
  <c r="J267" i="1"/>
  <c r="I267" i="1"/>
  <c r="H267" i="1"/>
  <c r="G267" i="1"/>
  <c r="F267" i="1"/>
  <c r="AF266" i="1"/>
  <c r="AE266" i="1"/>
  <c r="AD266" i="1"/>
  <c r="AC266" i="1"/>
  <c r="AB266" i="1"/>
  <c r="AB362" i="12" s="1"/>
  <c r="AA266" i="1"/>
  <c r="Z266" i="1"/>
  <c r="Y266" i="1"/>
  <c r="X266" i="1"/>
  <c r="W266" i="1"/>
  <c r="V266" i="1"/>
  <c r="U266" i="1"/>
  <c r="T266" i="1"/>
  <c r="S266" i="1"/>
  <c r="R266" i="1"/>
  <c r="Q266" i="1"/>
  <c r="P266" i="1"/>
  <c r="O266" i="1"/>
  <c r="N266" i="1"/>
  <c r="M266" i="1"/>
  <c r="L266" i="1"/>
  <c r="K266" i="1"/>
  <c r="J266" i="1"/>
  <c r="I266" i="1"/>
  <c r="H266" i="1"/>
  <c r="G266" i="1"/>
  <c r="F266" i="1"/>
  <c r="AF262" i="1"/>
  <c r="AE262" i="1"/>
  <c r="AD262" i="1"/>
  <c r="AC262" i="1"/>
  <c r="AC321" i="12" s="1"/>
  <c r="AB262" i="1"/>
  <c r="AB321" i="12" s="1"/>
  <c r="AA262" i="1"/>
  <c r="Z262" i="1"/>
  <c r="Y262" i="1"/>
  <c r="X262" i="1"/>
  <c r="W262" i="1"/>
  <c r="V262" i="1"/>
  <c r="U262" i="1"/>
  <c r="T262" i="1"/>
  <c r="S262" i="1"/>
  <c r="R262" i="1"/>
  <c r="Q262" i="1"/>
  <c r="P262" i="1"/>
  <c r="O262" i="1"/>
  <c r="N262" i="1"/>
  <c r="M262" i="1"/>
  <c r="L262" i="1"/>
  <c r="K262" i="1"/>
  <c r="J262" i="1"/>
  <c r="I262" i="1"/>
  <c r="H262" i="1"/>
  <c r="G262" i="1"/>
  <c r="F262" i="1"/>
  <c r="AF261" i="1"/>
  <c r="AE261" i="1"/>
  <c r="AD261" i="1"/>
  <c r="AC261" i="1"/>
  <c r="AC320" i="12" s="1"/>
  <c r="AB261" i="1"/>
  <c r="AB320" i="12" s="1"/>
  <c r="AA261" i="1"/>
  <c r="Z261" i="1"/>
  <c r="Y261" i="1"/>
  <c r="X261" i="1"/>
  <c r="W261" i="1"/>
  <c r="V261" i="1"/>
  <c r="U261" i="1"/>
  <c r="T261" i="1"/>
  <c r="S261" i="1"/>
  <c r="R261" i="1"/>
  <c r="Q261" i="1"/>
  <c r="P261" i="1"/>
  <c r="O261" i="1"/>
  <c r="N261" i="1"/>
  <c r="M261" i="1"/>
  <c r="L261" i="1"/>
  <c r="K261" i="1"/>
  <c r="J261" i="1"/>
  <c r="I261" i="1"/>
  <c r="H261" i="1"/>
  <c r="G261" i="1"/>
  <c r="F261" i="1"/>
  <c r="AF260" i="1"/>
  <c r="AE260" i="1"/>
  <c r="AD260" i="1"/>
  <c r="AC260" i="1"/>
  <c r="AC289" i="12" s="1"/>
  <c r="AB260" i="1"/>
  <c r="AB289" i="12" s="1"/>
  <c r="DK95" i="11" s="1"/>
  <c r="AA260" i="1"/>
  <c r="Z260" i="1"/>
  <c r="Y260" i="1"/>
  <c r="X260" i="1"/>
  <c r="W260" i="1"/>
  <c r="V260" i="1"/>
  <c r="U260" i="1"/>
  <c r="T260" i="1"/>
  <c r="S260" i="1"/>
  <c r="R260" i="1"/>
  <c r="Q260" i="1"/>
  <c r="P260" i="1"/>
  <c r="O260" i="1"/>
  <c r="N260" i="1"/>
  <c r="M260" i="1"/>
  <c r="L260" i="1"/>
  <c r="K260" i="1"/>
  <c r="J260" i="1"/>
  <c r="I260" i="1"/>
  <c r="H260" i="1"/>
  <c r="G260" i="1"/>
  <c r="F260" i="1"/>
  <c r="AF259" i="1"/>
  <c r="AE259" i="1"/>
  <c r="AD259" i="1"/>
  <c r="AC259" i="1"/>
  <c r="AC288" i="12" s="1"/>
  <c r="AB259" i="1"/>
  <c r="AB288" i="12" s="1"/>
  <c r="DK94" i="11" s="1"/>
  <c r="AA259" i="1"/>
  <c r="Z259" i="1"/>
  <c r="Y259" i="1"/>
  <c r="X259" i="1"/>
  <c r="W259" i="1"/>
  <c r="V259" i="1"/>
  <c r="U259" i="1"/>
  <c r="T259" i="1"/>
  <c r="S259" i="1"/>
  <c r="R259" i="1"/>
  <c r="Q259" i="1"/>
  <c r="P259" i="1"/>
  <c r="O259" i="1"/>
  <c r="N259" i="1"/>
  <c r="M259" i="1"/>
  <c r="L259" i="1"/>
  <c r="K259" i="1"/>
  <c r="J259" i="1"/>
  <c r="I259" i="1"/>
  <c r="H259" i="1"/>
  <c r="G259" i="1"/>
  <c r="F259" i="1"/>
  <c r="AF257" i="1"/>
  <c r="AE257" i="1"/>
  <c r="AD257" i="1"/>
  <c r="AC257" i="1"/>
  <c r="AB257" i="1"/>
  <c r="AA257" i="1"/>
  <c r="Z257" i="1"/>
  <c r="Y257" i="1"/>
  <c r="X257" i="1"/>
  <c r="W257" i="1"/>
  <c r="V257" i="1"/>
  <c r="U257" i="1"/>
  <c r="T257" i="1"/>
  <c r="S257" i="1"/>
  <c r="R257" i="1"/>
  <c r="Q257" i="1"/>
  <c r="P257" i="1"/>
  <c r="O257" i="1"/>
  <c r="N257" i="1"/>
  <c r="M257" i="1"/>
  <c r="L257" i="1"/>
  <c r="K257" i="1"/>
  <c r="K522" i="7" s="1"/>
  <c r="J257" i="1"/>
  <c r="J522" i="7" s="1"/>
  <c r="I257" i="1"/>
  <c r="I522" i="7" s="1"/>
  <c r="H257" i="1"/>
  <c r="H522" i="7" s="1"/>
  <c r="G257" i="1"/>
  <c r="G522" i="7" s="1"/>
  <c r="F257" i="1"/>
  <c r="AF256" i="1"/>
  <c r="AE256" i="1"/>
  <c r="AD256" i="1"/>
  <c r="AC256" i="1"/>
  <c r="AB256" i="1"/>
  <c r="AA256" i="1"/>
  <c r="Z256" i="1"/>
  <c r="Y256" i="1"/>
  <c r="X256" i="1"/>
  <c r="W256" i="1"/>
  <c r="V256" i="1"/>
  <c r="U256" i="1"/>
  <c r="T256" i="1"/>
  <c r="S256" i="1"/>
  <c r="R256" i="1"/>
  <c r="Q256" i="1"/>
  <c r="P256" i="1"/>
  <c r="O256" i="1"/>
  <c r="N256" i="1"/>
  <c r="M256" i="1"/>
  <c r="L256" i="1"/>
  <c r="K256" i="1"/>
  <c r="K490" i="7" s="1"/>
  <c r="J256" i="1"/>
  <c r="J490" i="7" s="1"/>
  <c r="I256" i="1"/>
  <c r="I490" i="7" s="1"/>
  <c r="H256" i="1"/>
  <c r="H490" i="7" s="1"/>
  <c r="G256" i="1"/>
  <c r="G490" i="7" s="1"/>
  <c r="F256" i="1"/>
  <c r="AF253" i="1"/>
  <c r="AE253" i="1"/>
  <c r="AD253" i="1"/>
  <c r="AC253" i="1"/>
  <c r="AB253" i="1"/>
  <c r="AA253" i="1"/>
  <c r="Z253" i="1"/>
  <c r="Y253" i="1"/>
  <c r="X253" i="1"/>
  <c r="W253" i="1"/>
  <c r="V253" i="1"/>
  <c r="U253" i="1"/>
  <c r="T253" i="1"/>
  <c r="S253" i="1"/>
  <c r="R253" i="1"/>
  <c r="Q253" i="1"/>
  <c r="P253" i="1"/>
  <c r="O253" i="1"/>
  <c r="N253" i="1"/>
  <c r="M253" i="1"/>
  <c r="L253" i="1"/>
  <c r="K253" i="1"/>
  <c r="J253" i="1"/>
  <c r="I253" i="1"/>
  <c r="H253" i="1"/>
  <c r="G253" i="1"/>
  <c r="F253" i="1"/>
  <c r="AF252" i="1"/>
  <c r="AE252" i="1"/>
  <c r="AD252" i="1"/>
  <c r="AC252" i="1"/>
  <c r="AB252" i="1"/>
  <c r="AA252" i="1"/>
  <c r="Z252" i="1"/>
  <c r="Y252" i="1"/>
  <c r="X252" i="1"/>
  <c r="W252" i="1"/>
  <c r="V252" i="1"/>
  <c r="U252" i="1"/>
  <c r="T252" i="1"/>
  <c r="S252" i="1"/>
  <c r="R252" i="1"/>
  <c r="Q252" i="1"/>
  <c r="P252" i="1"/>
  <c r="O252" i="1"/>
  <c r="N252" i="1"/>
  <c r="M252" i="1"/>
  <c r="L252" i="1"/>
  <c r="K252" i="1"/>
  <c r="J252" i="1"/>
  <c r="I252" i="1"/>
  <c r="H252" i="1"/>
  <c r="G252" i="1"/>
  <c r="F252" i="1"/>
  <c r="AF249" i="1"/>
  <c r="AE249" i="1"/>
  <c r="AD249" i="1"/>
  <c r="AC249" i="1"/>
  <c r="AB249" i="1"/>
  <c r="AA249" i="1"/>
  <c r="Z249" i="1"/>
  <c r="Y249" i="1"/>
  <c r="X249" i="1"/>
  <c r="W249" i="1"/>
  <c r="V249" i="1"/>
  <c r="U249" i="1"/>
  <c r="T249" i="1"/>
  <c r="S249" i="1"/>
  <c r="R249" i="1"/>
  <c r="Q249" i="1"/>
  <c r="P249" i="1"/>
  <c r="O249" i="1"/>
  <c r="N249" i="1"/>
  <c r="M249" i="1"/>
  <c r="L249" i="1"/>
  <c r="K249" i="1"/>
  <c r="J249" i="1"/>
  <c r="I249" i="1"/>
  <c r="H249" i="1"/>
  <c r="G249" i="1"/>
  <c r="F249" i="1"/>
  <c r="AF248" i="1"/>
  <c r="AE248" i="1"/>
  <c r="AD248" i="1"/>
  <c r="AC248" i="1"/>
  <c r="AB248" i="1"/>
  <c r="AA248" i="1"/>
  <c r="Z248" i="1"/>
  <c r="Y248" i="1"/>
  <c r="X248" i="1"/>
  <c r="W248" i="1"/>
  <c r="V248" i="1"/>
  <c r="U248" i="1"/>
  <c r="T248" i="1"/>
  <c r="S248" i="1"/>
  <c r="R248" i="1"/>
  <c r="Q248" i="1"/>
  <c r="P248" i="1"/>
  <c r="O248" i="1"/>
  <c r="N248" i="1"/>
  <c r="M248" i="1"/>
  <c r="L248" i="1"/>
  <c r="K248" i="1"/>
  <c r="J248" i="1"/>
  <c r="I248" i="1"/>
  <c r="H248" i="1"/>
  <c r="G248" i="1"/>
  <c r="F248" i="1"/>
  <c r="AF245" i="1"/>
  <c r="AE245" i="1"/>
  <c r="AD245" i="1"/>
  <c r="AC245" i="1"/>
  <c r="AB245" i="1"/>
  <c r="AA245" i="1"/>
  <c r="Z245" i="1"/>
  <c r="Y245" i="1"/>
  <c r="X245" i="1"/>
  <c r="W245" i="1"/>
  <c r="V245" i="1"/>
  <c r="U245" i="1"/>
  <c r="T245" i="1"/>
  <c r="S245" i="1"/>
  <c r="R245" i="1"/>
  <c r="Q245" i="1"/>
  <c r="P245" i="1"/>
  <c r="O245" i="1"/>
  <c r="N245" i="1"/>
  <c r="M245" i="1"/>
  <c r="L245" i="1"/>
  <c r="K245" i="1"/>
  <c r="J245" i="1"/>
  <c r="I245" i="1"/>
  <c r="H245" i="1"/>
  <c r="G245" i="1"/>
  <c r="F245" i="1"/>
  <c r="AF244" i="1"/>
  <c r="AE244" i="1"/>
  <c r="AD244" i="1"/>
  <c r="AC244" i="1"/>
  <c r="AB244" i="1"/>
  <c r="AA244" i="1"/>
  <c r="Z244" i="1"/>
  <c r="Y244" i="1"/>
  <c r="X244" i="1"/>
  <c r="W244" i="1"/>
  <c r="V244" i="1"/>
  <c r="U244" i="1"/>
  <c r="T244" i="1"/>
  <c r="S244" i="1"/>
  <c r="R244" i="1"/>
  <c r="Q244" i="1"/>
  <c r="P244" i="1"/>
  <c r="O244" i="1"/>
  <c r="N244" i="1"/>
  <c r="M244" i="1"/>
  <c r="L244" i="1"/>
  <c r="K244" i="1"/>
  <c r="J244" i="1"/>
  <c r="I244" i="1"/>
  <c r="H244" i="1"/>
  <c r="G244" i="1"/>
  <c r="F244" i="1"/>
  <c r="AF241" i="1"/>
  <c r="AE241" i="1"/>
  <c r="AD241" i="1"/>
  <c r="AC241" i="1"/>
  <c r="AB241" i="1"/>
  <c r="AA241" i="1"/>
  <c r="Z241" i="1"/>
  <c r="Y241" i="1"/>
  <c r="X241" i="1"/>
  <c r="W241" i="1"/>
  <c r="V241" i="1"/>
  <c r="U241" i="1"/>
  <c r="T241" i="1"/>
  <c r="S241" i="1"/>
  <c r="R241" i="1"/>
  <c r="Q241" i="1"/>
  <c r="P241" i="1"/>
  <c r="O241" i="1"/>
  <c r="N241" i="1"/>
  <c r="M241" i="1"/>
  <c r="L241" i="1"/>
  <c r="K241" i="1"/>
  <c r="J241" i="1"/>
  <c r="I241" i="1"/>
  <c r="H241" i="1"/>
  <c r="G241" i="1"/>
  <c r="F241" i="1"/>
  <c r="AF240" i="1"/>
  <c r="AE240" i="1"/>
  <c r="AD240" i="1"/>
  <c r="AC240" i="1"/>
  <c r="AB240" i="1"/>
  <c r="AA240" i="1"/>
  <c r="Z240" i="1"/>
  <c r="Y240" i="1"/>
  <c r="X240" i="1"/>
  <c r="W240" i="1"/>
  <c r="V240" i="1"/>
  <c r="U240" i="1"/>
  <c r="T240" i="1"/>
  <c r="S240" i="1"/>
  <c r="R240" i="1"/>
  <c r="Q240" i="1"/>
  <c r="P240" i="1"/>
  <c r="O240" i="1"/>
  <c r="N240" i="1"/>
  <c r="M240" i="1"/>
  <c r="L240" i="1"/>
  <c r="K240" i="1"/>
  <c r="J240" i="1"/>
  <c r="I240" i="1"/>
  <c r="H240" i="1"/>
  <c r="G240" i="1"/>
  <c r="F240" i="1"/>
  <c r="AF238" i="1"/>
  <c r="AE238" i="1"/>
  <c r="AD238" i="1"/>
  <c r="AC238" i="1"/>
  <c r="AB238" i="1"/>
  <c r="AB142" i="7" s="1"/>
  <c r="AA238" i="1"/>
  <c r="Z238" i="1"/>
  <c r="Y238" i="1"/>
  <c r="X238" i="1"/>
  <c r="W238" i="1"/>
  <c r="V238" i="1"/>
  <c r="U238" i="1"/>
  <c r="T238" i="1"/>
  <c r="S238" i="1"/>
  <c r="R238" i="1"/>
  <c r="Q238" i="1"/>
  <c r="P238" i="1"/>
  <c r="O238" i="1"/>
  <c r="N238" i="1"/>
  <c r="M238" i="1"/>
  <c r="L238" i="1"/>
  <c r="K238" i="1"/>
  <c r="K142" i="7" s="1"/>
  <c r="J238" i="1"/>
  <c r="J142" i="7" s="1"/>
  <c r="I238" i="1"/>
  <c r="I142" i="7" s="1"/>
  <c r="H238" i="1"/>
  <c r="H142" i="7" s="1"/>
  <c r="G238" i="1"/>
  <c r="G142" i="7" s="1"/>
  <c r="F238" i="1"/>
  <c r="AF235" i="1"/>
  <c r="AE235" i="1"/>
  <c r="AD235" i="1"/>
  <c r="AC235" i="1"/>
  <c r="AB235" i="1"/>
  <c r="AB49" i="7" s="1"/>
  <c r="AC49" i="7" s="1"/>
  <c r="AA235" i="1"/>
  <c r="Z235" i="1"/>
  <c r="Y235" i="1"/>
  <c r="X235" i="1"/>
  <c r="W235" i="1"/>
  <c r="V235" i="1"/>
  <c r="U235" i="1"/>
  <c r="T235" i="1"/>
  <c r="S235" i="1"/>
  <c r="R235" i="1"/>
  <c r="Q235" i="1"/>
  <c r="P235" i="1"/>
  <c r="O235" i="1"/>
  <c r="N235" i="1"/>
  <c r="M235" i="1"/>
  <c r="L235" i="1"/>
  <c r="K235" i="1"/>
  <c r="K49" i="7" s="1"/>
  <c r="J235" i="1"/>
  <c r="J49" i="7" s="1"/>
  <c r="I235" i="1"/>
  <c r="I49" i="7" s="1"/>
  <c r="H235" i="1"/>
  <c r="H49" i="7" s="1"/>
  <c r="G235" i="1"/>
  <c r="G49" i="7" s="1"/>
  <c r="F235" i="1"/>
  <c r="AF233" i="1"/>
  <c r="AE233" i="1"/>
  <c r="AD233" i="1"/>
  <c r="AC233" i="1"/>
  <c r="AB233" i="1"/>
  <c r="AB12" i="7" s="1"/>
  <c r="AC12" i="7" s="1"/>
  <c r="AA233" i="1"/>
  <c r="Z233" i="1"/>
  <c r="Y233" i="1"/>
  <c r="X233" i="1"/>
  <c r="W233" i="1"/>
  <c r="V233" i="1"/>
  <c r="U233" i="1"/>
  <c r="T233" i="1"/>
  <c r="S233" i="1"/>
  <c r="R233" i="1"/>
  <c r="Q233" i="1"/>
  <c r="P233" i="1"/>
  <c r="O233" i="1"/>
  <c r="N233" i="1"/>
  <c r="M233" i="1"/>
  <c r="L233" i="1"/>
  <c r="K233" i="1"/>
  <c r="J233" i="1"/>
  <c r="I233" i="1"/>
  <c r="H233" i="1"/>
  <c r="G233" i="1"/>
  <c r="F233" i="1"/>
  <c r="AF230" i="1"/>
  <c r="AE230" i="1"/>
  <c r="AD230" i="1"/>
  <c r="AC230" i="1"/>
  <c r="AB230" i="1"/>
  <c r="AA230" i="1"/>
  <c r="Z230" i="1"/>
  <c r="Y230" i="1"/>
  <c r="X230" i="1"/>
  <c r="W230" i="1"/>
  <c r="V230" i="1"/>
  <c r="U230" i="1"/>
  <c r="T230" i="1"/>
  <c r="S230" i="1"/>
  <c r="R230" i="1"/>
  <c r="Q230" i="1"/>
  <c r="P230" i="1"/>
  <c r="O230" i="1"/>
  <c r="N230" i="1"/>
  <c r="M230" i="1"/>
  <c r="L230" i="1"/>
  <c r="K230" i="1"/>
  <c r="J230" i="1"/>
  <c r="I230" i="1"/>
  <c r="H230" i="1"/>
  <c r="G230" i="1"/>
  <c r="F230" i="1"/>
  <c r="AF229" i="1"/>
  <c r="AE229" i="1"/>
  <c r="AD229" i="1"/>
  <c r="AC229" i="1"/>
  <c r="AB229" i="1"/>
  <c r="AA229" i="1"/>
  <c r="Z229" i="1"/>
  <c r="Y229" i="1"/>
  <c r="X229" i="1"/>
  <c r="W229" i="1"/>
  <c r="V229" i="1"/>
  <c r="U229" i="1"/>
  <c r="T229" i="1"/>
  <c r="S229" i="1"/>
  <c r="R229" i="1"/>
  <c r="Q229" i="1"/>
  <c r="P229" i="1"/>
  <c r="O229" i="1"/>
  <c r="N229" i="1"/>
  <c r="M229" i="1"/>
  <c r="L229" i="1"/>
  <c r="K229" i="1"/>
  <c r="J229" i="1"/>
  <c r="I229" i="1"/>
  <c r="H229" i="1"/>
  <c r="G229" i="1"/>
  <c r="F229" i="1"/>
  <c r="AF228" i="1"/>
  <c r="AE228" i="1"/>
  <c r="AD228" i="1"/>
  <c r="AC228" i="1"/>
  <c r="AB228" i="1"/>
  <c r="AB135" i="8" s="1"/>
  <c r="AA228" i="1"/>
  <c r="Z228" i="1"/>
  <c r="Y228" i="1"/>
  <c r="X228" i="1"/>
  <c r="W228" i="1"/>
  <c r="V228" i="1"/>
  <c r="U228" i="1"/>
  <c r="T228" i="1"/>
  <c r="S228" i="1"/>
  <c r="R228" i="1"/>
  <c r="Q228" i="1"/>
  <c r="P228" i="1"/>
  <c r="O228" i="1"/>
  <c r="N228" i="1"/>
  <c r="M228" i="1"/>
  <c r="L228" i="1"/>
  <c r="K228" i="1"/>
  <c r="J228" i="1"/>
  <c r="I228" i="1"/>
  <c r="H228" i="1"/>
  <c r="G228" i="1"/>
  <c r="F228" i="1"/>
  <c r="AF224" i="1"/>
  <c r="AE224" i="1"/>
  <c r="AD224" i="1"/>
  <c r="AC224" i="1"/>
  <c r="AC90" i="8" s="1"/>
  <c r="AB224" i="1"/>
  <c r="AA224" i="1"/>
  <c r="Z224" i="1"/>
  <c r="Y224" i="1"/>
  <c r="X224" i="1"/>
  <c r="W224" i="1"/>
  <c r="V224" i="1"/>
  <c r="U224" i="1"/>
  <c r="T224" i="1"/>
  <c r="S224" i="1"/>
  <c r="R224" i="1"/>
  <c r="Q224" i="1"/>
  <c r="P224" i="1"/>
  <c r="O224" i="1"/>
  <c r="N224" i="1"/>
  <c r="M224" i="1"/>
  <c r="L224" i="1"/>
  <c r="K224" i="1"/>
  <c r="J224" i="1"/>
  <c r="I224" i="1"/>
  <c r="H224" i="1"/>
  <c r="G224" i="1"/>
  <c r="F224" i="1"/>
  <c r="AF223" i="1"/>
  <c r="AE223" i="1"/>
  <c r="AD223" i="1"/>
  <c r="AC223" i="1"/>
  <c r="AB223" i="1"/>
  <c r="AA223" i="1"/>
  <c r="Z223" i="1"/>
  <c r="Y223" i="1"/>
  <c r="X223" i="1"/>
  <c r="W223" i="1"/>
  <c r="V223" i="1"/>
  <c r="U223" i="1"/>
  <c r="T223" i="1"/>
  <c r="S223" i="1"/>
  <c r="R223" i="1"/>
  <c r="Q223" i="1"/>
  <c r="P223" i="1"/>
  <c r="O223" i="1"/>
  <c r="N223" i="1"/>
  <c r="M223" i="1"/>
  <c r="L223" i="1"/>
  <c r="K223" i="1"/>
  <c r="J223" i="1"/>
  <c r="I223" i="1"/>
  <c r="H223" i="1"/>
  <c r="G223" i="1"/>
  <c r="F223" i="1"/>
  <c r="F218" i="1"/>
  <c r="F217" i="1"/>
  <c r="AF216" i="1"/>
  <c r="AE216" i="1"/>
  <c r="AD216" i="1"/>
  <c r="AC216" i="1"/>
  <c r="AB216" i="1"/>
  <c r="AB45" i="12" s="1"/>
  <c r="AA216" i="1"/>
  <c r="Z216" i="1"/>
  <c r="Y216" i="1"/>
  <c r="X216" i="1"/>
  <c r="W216" i="1"/>
  <c r="V216" i="1"/>
  <c r="U216" i="1"/>
  <c r="T216" i="1"/>
  <c r="S216" i="1"/>
  <c r="R216" i="1"/>
  <c r="Q216" i="1"/>
  <c r="P216" i="1"/>
  <c r="O216" i="1"/>
  <c r="N216" i="1"/>
  <c r="M216" i="1"/>
  <c r="L216" i="1"/>
  <c r="K216" i="1"/>
  <c r="J216" i="1"/>
  <c r="I216" i="1"/>
  <c r="H216" i="1"/>
  <c r="G216" i="1"/>
  <c r="F216" i="1"/>
  <c r="AF208" i="1"/>
  <c r="AE208" i="1"/>
  <c r="AD208" i="1"/>
  <c r="AC208" i="1"/>
  <c r="AB208" i="1"/>
  <c r="AA208" i="1"/>
  <c r="Z208" i="1"/>
  <c r="Y208" i="1"/>
  <c r="X208" i="1"/>
  <c r="W208" i="1"/>
  <c r="V208" i="1"/>
  <c r="U208" i="1"/>
  <c r="T208" i="1"/>
  <c r="S208" i="1"/>
  <c r="R208" i="1"/>
  <c r="Q208" i="1"/>
  <c r="P208" i="1"/>
  <c r="O208" i="1"/>
  <c r="N208" i="1"/>
  <c r="M208" i="1"/>
  <c r="L208" i="1"/>
  <c r="K208" i="1"/>
  <c r="J208" i="1"/>
  <c r="I208" i="1"/>
  <c r="H208" i="1"/>
  <c r="G208" i="1"/>
  <c r="F208" i="1"/>
  <c r="AF207" i="1"/>
  <c r="AE207" i="1"/>
  <c r="AD207" i="1"/>
  <c r="AC207" i="1"/>
  <c r="AB207" i="1"/>
  <c r="AA207" i="1"/>
  <c r="Z207" i="1"/>
  <c r="Y207" i="1"/>
  <c r="X207" i="1"/>
  <c r="W207" i="1"/>
  <c r="V207" i="1"/>
  <c r="U207" i="1"/>
  <c r="T207" i="1"/>
  <c r="S207" i="1"/>
  <c r="R207" i="1"/>
  <c r="Q207" i="1"/>
  <c r="P207" i="1"/>
  <c r="O207" i="1"/>
  <c r="N207" i="1"/>
  <c r="M207" i="1"/>
  <c r="L207" i="1"/>
  <c r="K207" i="1"/>
  <c r="J207" i="1"/>
  <c r="I207" i="1"/>
  <c r="H207" i="1"/>
  <c r="G207" i="1"/>
  <c r="F207" i="1"/>
  <c r="AF206" i="1"/>
  <c r="AE206" i="1"/>
  <c r="AD206" i="1"/>
  <c r="AC206" i="1"/>
  <c r="AB206" i="1"/>
  <c r="AB228" i="12" s="1"/>
  <c r="DK72" i="11" s="1"/>
  <c r="DP72" i="11" s="1"/>
  <c r="AA206" i="1"/>
  <c r="Z206" i="1"/>
  <c r="Y206" i="1"/>
  <c r="X206" i="1"/>
  <c r="W206" i="1"/>
  <c r="V206" i="1"/>
  <c r="U206" i="1"/>
  <c r="T206" i="1"/>
  <c r="S206" i="1"/>
  <c r="R206" i="1"/>
  <c r="Q206" i="1"/>
  <c r="P206" i="1"/>
  <c r="O206" i="1"/>
  <c r="N206" i="1"/>
  <c r="M206" i="1"/>
  <c r="L206" i="1"/>
  <c r="K206" i="1"/>
  <c r="J206" i="1"/>
  <c r="I206" i="1"/>
  <c r="H206" i="1"/>
  <c r="G206" i="1"/>
  <c r="F206" i="1"/>
  <c r="AF205" i="1"/>
  <c r="AE205" i="1"/>
  <c r="AD205" i="1"/>
  <c r="AC205" i="1"/>
  <c r="AB205" i="1"/>
  <c r="AB519" i="7" s="1"/>
  <c r="AA205" i="1"/>
  <c r="Z205" i="1"/>
  <c r="Y205" i="1"/>
  <c r="X205" i="1"/>
  <c r="W205" i="1"/>
  <c r="V205" i="1"/>
  <c r="U205" i="1"/>
  <c r="T205" i="1"/>
  <c r="S205" i="1"/>
  <c r="R205" i="1"/>
  <c r="Q205" i="1"/>
  <c r="P205" i="1"/>
  <c r="O205" i="1"/>
  <c r="N205" i="1"/>
  <c r="M205" i="1"/>
  <c r="L205" i="1"/>
  <c r="K205" i="1"/>
  <c r="K519" i="7" s="1"/>
  <c r="J205" i="1"/>
  <c r="J519" i="7" s="1"/>
  <c r="I205" i="1"/>
  <c r="I519" i="7" s="1"/>
  <c r="H205" i="1"/>
  <c r="H519" i="7" s="1"/>
  <c r="G205" i="1"/>
  <c r="G519" i="7" s="1"/>
  <c r="F205" i="1"/>
  <c r="AF202" i="1"/>
  <c r="AE202" i="1"/>
  <c r="AD202" i="1"/>
  <c r="AC202" i="1"/>
  <c r="AB202" i="1"/>
  <c r="AA202" i="1"/>
  <c r="Z202" i="1"/>
  <c r="Y202" i="1"/>
  <c r="X202" i="1"/>
  <c r="W202" i="1"/>
  <c r="V202" i="1"/>
  <c r="U202" i="1"/>
  <c r="T202" i="1"/>
  <c r="S202" i="1"/>
  <c r="R202" i="1"/>
  <c r="Q202" i="1"/>
  <c r="P202" i="1"/>
  <c r="O202" i="1"/>
  <c r="N202" i="1"/>
  <c r="M202" i="1"/>
  <c r="L202" i="1"/>
  <c r="K202" i="1"/>
  <c r="J202" i="1"/>
  <c r="I202" i="1"/>
  <c r="H202" i="1"/>
  <c r="G202" i="1"/>
  <c r="F202" i="1"/>
  <c r="AF201" i="1"/>
  <c r="AE201" i="1"/>
  <c r="AD201" i="1"/>
  <c r="AC201" i="1"/>
  <c r="AB201" i="1"/>
  <c r="AA201" i="1"/>
  <c r="Z201" i="1"/>
  <c r="Y201" i="1"/>
  <c r="X201" i="1"/>
  <c r="W201" i="1"/>
  <c r="V201" i="1"/>
  <c r="U201" i="1"/>
  <c r="T201" i="1"/>
  <c r="S201" i="1"/>
  <c r="R201" i="1"/>
  <c r="Q201" i="1"/>
  <c r="P201" i="1"/>
  <c r="O201" i="1"/>
  <c r="N201" i="1"/>
  <c r="M201" i="1"/>
  <c r="L201" i="1"/>
  <c r="K201" i="1"/>
  <c r="J201" i="1"/>
  <c r="I201" i="1"/>
  <c r="H201" i="1"/>
  <c r="G201" i="1"/>
  <c r="F201" i="1"/>
  <c r="AF200" i="1"/>
  <c r="AE200" i="1"/>
  <c r="AD200" i="1"/>
  <c r="AC200" i="1"/>
  <c r="AB200" i="1"/>
  <c r="AB396" i="7" s="1"/>
  <c r="AA200" i="1"/>
  <c r="Z200" i="1"/>
  <c r="Y200" i="1"/>
  <c r="X200" i="1"/>
  <c r="W200" i="1"/>
  <c r="V200" i="1"/>
  <c r="U200" i="1"/>
  <c r="T200" i="1"/>
  <c r="S200" i="1"/>
  <c r="R200" i="1"/>
  <c r="Q200" i="1"/>
  <c r="P200" i="1"/>
  <c r="O200" i="1"/>
  <c r="N200" i="1"/>
  <c r="M200" i="1"/>
  <c r="L200" i="1"/>
  <c r="K200" i="1"/>
  <c r="K396" i="7" s="1"/>
  <c r="J200" i="1"/>
  <c r="J396" i="7" s="1"/>
  <c r="I200" i="1"/>
  <c r="I396" i="7" s="1"/>
  <c r="H200" i="1"/>
  <c r="H396" i="7" s="1"/>
  <c r="G200" i="1"/>
  <c r="G396" i="7" s="1"/>
  <c r="F200" i="1"/>
  <c r="AF198" i="1"/>
  <c r="AE198" i="1"/>
  <c r="AD198" i="1"/>
  <c r="AC198" i="1"/>
  <c r="AB198" i="1"/>
  <c r="AB323" i="7" s="1"/>
  <c r="AA198" i="1"/>
  <c r="Z198" i="1"/>
  <c r="Y198" i="1"/>
  <c r="X198" i="1"/>
  <c r="W198" i="1"/>
  <c r="V198" i="1"/>
  <c r="U198" i="1"/>
  <c r="T198" i="1"/>
  <c r="S198" i="1"/>
  <c r="R198" i="1"/>
  <c r="Q198" i="1"/>
  <c r="P198" i="1"/>
  <c r="O198" i="1"/>
  <c r="N198" i="1"/>
  <c r="M198" i="1"/>
  <c r="L198" i="1"/>
  <c r="K198" i="1"/>
  <c r="K323" i="7" s="1"/>
  <c r="J198" i="1"/>
  <c r="J323" i="7" s="1"/>
  <c r="I198" i="1"/>
  <c r="I323" i="7" s="1"/>
  <c r="H198" i="1"/>
  <c r="H323" i="7" s="1"/>
  <c r="G198" i="1"/>
  <c r="G323" i="7" s="1"/>
  <c r="F198" i="1"/>
  <c r="AF197" i="1"/>
  <c r="AE197" i="1"/>
  <c r="AD197" i="1"/>
  <c r="AC197" i="1"/>
  <c r="AB197" i="1"/>
  <c r="AB324" i="7" s="1"/>
  <c r="AA197" i="1"/>
  <c r="Z197" i="1"/>
  <c r="Y197" i="1"/>
  <c r="X197" i="1"/>
  <c r="W197" i="1"/>
  <c r="V197" i="1"/>
  <c r="U197" i="1"/>
  <c r="T197" i="1"/>
  <c r="S197" i="1"/>
  <c r="R197" i="1"/>
  <c r="Q197" i="1"/>
  <c r="P197" i="1"/>
  <c r="O197" i="1"/>
  <c r="N197" i="1"/>
  <c r="M197" i="1"/>
  <c r="L197" i="1"/>
  <c r="K197" i="1"/>
  <c r="K324" i="7" s="1"/>
  <c r="J197" i="1"/>
  <c r="J324" i="7" s="1"/>
  <c r="I197" i="1"/>
  <c r="I324" i="7" s="1"/>
  <c r="H197" i="1"/>
  <c r="H324" i="7" s="1"/>
  <c r="G197" i="1"/>
  <c r="G324" i="7" s="1"/>
  <c r="F197" i="1"/>
  <c r="AF195" i="1"/>
  <c r="AE195" i="1"/>
  <c r="AD195" i="1"/>
  <c r="AC195" i="1"/>
  <c r="AB195" i="1"/>
  <c r="AB298" i="7" s="1"/>
  <c r="AA195" i="1"/>
  <c r="Z195" i="1"/>
  <c r="Y195" i="1"/>
  <c r="X195" i="1"/>
  <c r="W195" i="1"/>
  <c r="V195" i="1"/>
  <c r="U195" i="1"/>
  <c r="T195" i="1"/>
  <c r="S195" i="1"/>
  <c r="R195" i="1"/>
  <c r="Q195" i="1"/>
  <c r="P195" i="1"/>
  <c r="O195" i="1"/>
  <c r="N195" i="1"/>
  <c r="M195" i="1"/>
  <c r="L195" i="1"/>
  <c r="K195" i="1"/>
  <c r="K298" i="7" s="1"/>
  <c r="J195" i="1"/>
  <c r="J298" i="7" s="1"/>
  <c r="I195" i="1"/>
  <c r="I298" i="7" s="1"/>
  <c r="H195" i="1"/>
  <c r="H298" i="7" s="1"/>
  <c r="G195" i="1"/>
  <c r="G298" i="7" s="1"/>
  <c r="F195" i="1"/>
  <c r="AF194" i="1"/>
  <c r="AE194" i="1"/>
  <c r="AD194" i="1"/>
  <c r="AC194" i="1"/>
  <c r="AB194" i="1"/>
  <c r="AB259" i="7" s="1"/>
  <c r="AA194" i="1"/>
  <c r="Z194" i="1"/>
  <c r="Y194" i="1"/>
  <c r="X194" i="1"/>
  <c r="W194" i="1"/>
  <c r="V194" i="1"/>
  <c r="U194" i="1"/>
  <c r="T194" i="1"/>
  <c r="S194" i="1"/>
  <c r="R194" i="1"/>
  <c r="Q194" i="1"/>
  <c r="P194" i="1"/>
  <c r="O194" i="1"/>
  <c r="N194" i="1"/>
  <c r="M194" i="1"/>
  <c r="L194" i="1"/>
  <c r="K194" i="1"/>
  <c r="K259" i="7" s="1"/>
  <c r="J194" i="1"/>
  <c r="J259" i="7" s="1"/>
  <c r="I194" i="1"/>
  <c r="I259" i="7" s="1"/>
  <c r="H194" i="1"/>
  <c r="H259" i="7" s="1"/>
  <c r="G194" i="1"/>
  <c r="G259" i="7" s="1"/>
  <c r="F194" i="1"/>
  <c r="AF193" i="1"/>
  <c r="AE193" i="1"/>
  <c r="AD193" i="1"/>
  <c r="AC193" i="1"/>
  <c r="AB193" i="1"/>
  <c r="AB302" i="7" s="1"/>
  <c r="AA193" i="1"/>
  <c r="Z193" i="1"/>
  <c r="Y193" i="1"/>
  <c r="X193" i="1"/>
  <c r="W193" i="1"/>
  <c r="V193" i="1"/>
  <c r="U193" i="1"/>
  <c r="T193" i="1"/>
  <c r="S193" i="1"/>
  <c r="R193" i="1"/>
  <c r="Q193" i="1"/>
  <c r="P193" i="1"/>
  <c r="O193" i="1"/>
  <c r="N193" i="1"/>
  <c r="M193" i="1"/>
  <c r="L193" i="1"/>
  <c r="K193" i="1"/>
  <c r="K302" i="7" s="1"/>
  <c r="J193" i="1"/>
  <c r="J302" i="7" s="1"/>
  <c r="I193" i="1"/>
  <c r="I302" i="7" s="1"/>
  <c r="H193" i="1"/>
  <c r="H302" i="7" s="1"/>
  <c r="G193" i="1"/>
  <c r="G302" i="7" s="1"/>
  <c r="F193" i="1"/>
  <c r="AF192" i="1"/>
  <c r="AE192" i="1"/>
  <c r="AD192" i="1"/>
  <c r="AC192" i="1"/>
  <c r="AB192" i="1"/>
  <c r="AB256" i="7" s="1"/>
  <c r="AA192" i="1"/>
  <c r="Z192" i="1"/>
  <c r="Y192" i="1"/>
  <c r="X192" i="1"/>
  <c r="W192" i="1"/>
  <c r="V192" i="1"/>
  <c r="U192" i="1"/>
  <c r="T192" i="1"/>
  <c r="S192" i="1"/>
  <c r="R192" i="1"/>
  <c r="Q192" i="1"/>
  <c r="P192" i="1"/>
  <c r="O192" i="1"/>
  <c r="N192" i="1"/>
  <c r="M192" i="1"/>
  <c r="L192" i="1"/>
  <c r="K192" i="1"/>
  <c r="K256" i="7" s="1"/>
  <c r="J192" i="1"/>
  <c r="J256" i="7" s="1"/>
  <c r="I192" i="1"/>
  <c r="I256" i="7" s="1"/>
  <c r="H192" i="1"/>
  <c r="H256" i="7" s="1"/>
  <c r="G192" i="1"/>
  <c r="G256" i="7" s="1"/>
  <c r="F192" i="1"/>
  <c r="AF191" i="1"/>
  <c r="AE191" i="1"/>
  <c r="AD191" i="1"/>
  <c r="AC191" i="1"/>
  <c r="AB191" i="1"/>
  <c r="AB201" i="7" s="1"/>
  <c r="AA191" i="1"/>
  <c r="Z191" i="1"/>
  <c r="Y191" i="1"/>
  <c r="X191" i="1"/>
  <c r="W191" i="1"/>
  <c r="V191" i="1"/>
  <c r="U191" i="1"/>
  <c r="T191" i="1"/>
  <c r="S191" i="1"/>
  <c r="R191" i="1"/>
  <c r="Q191" i="1"/>
  <c r="P191" i="1"/>
  <c r="O191" i="1"/>
  <c r="N191" i="1"/>
  <c r="M191" i="1"/>
  <c r="L191" i="1"/>
  <c r="K191" i="1"/>
  <c r="K201" i="7" s="1"/>
  <c r="J191" i="1"/>
  <c r="J201" i="7" s="1"/>
  <c r="I191" i="1"/>
  <c r="I201" i="7" s="1"/>
  <c r="H191" i="1"/>
  <c r="H201" i="7" s="1"/>
  <c r="G191" i="1"/>
  <c r="G201" i="7" s="1"/>
  <c r="F191" i="1"/>
  <c r="AF188" i="1"/>
  <c r="AE188" i="1"/>
  <c r="AD188" i="1"/>
  <c r="AC188" i="1"/>
  <c r="AB188" i="1"/>
  <c r="AA188" i="1"/>
  <c r="Z188" i="1"/>
  <c r="Y188" i="1"/>
  <c r="X188" i="1"/>
  <c r="W188" i="1"/>
  <c r="V188" i="1"/>
  <c r="U188" i="1"/>
  <c r="T188" i="1"/>
  <c r="S188" i="1"/>
  <c r="R188" i="1"/>
  <c r="Q188" i="1"/>
  <c r="P188" i="1"/>
  <c r="O188" i="1"/>
  <c r="N188" i="1"/>
  <c r="M188" i="1"/>
  <c r="L188" i="1"/>
  <c r="K188" i="1"/>
  <c r="J188" i="1"/>
  <c r="I188" i="1"/>
  <c r="H188" i="1"/>
  <c r="G188" i="1"/>
  <c r="F188" i="1"/>
  <c r="AF187" i="1"/>
  <c r="AE187" i="1"/>
  <c r="AD187" i="1"/>
  <c r="AC187" i="1"/>
  <c r="AB187" i="1"/>
  <c r="AA187" i="1"/>
  <c r="Z187" i="1"/>
  <c r="Y187" i="1"/>
  <c r="X187" i="1"/>
  <c r="W187" i="1"/>
  <c r="V187" i="1"/>
  <c r="U187" i="1"/>
  <c r="T187" i="1"/>
  <c r="S187" i="1"/>
  <c r="R187" i="1"/>
  <c r="Q187" i="1"/>
  <c r="P187" i="1"/>
  <c r="O187" i="1"/>
  <c r="N187" i="1"/>
  <c r="M187" i="1"/>
  <c r="L187" i="1"/>
  <c r="K187" i="1"/>
  <c r="J187" i="1"/>
  <c r="I187" i="1"/>
  <c r="H187" i="1"/>
  <c r="G187" i="1"/>
  <c r="F187" i="1"/>
  <c r="AF186" i="1"/>
  <c r="AE186" i="1"/>
  <c r="AD186" i="1"/>
  <c r="AC186" i="1"/>
  <c r="AB186" i="1"/>
  <c r="AB209" i="8" s="1"/>
  <c r="AC209" i="8" s="1"/>
  <c r="AA186" i="1"/>
  <c r="Z186" i="1"/>
  <c r="Y186" i="1"/>
  <c r="X186" i="1"/>
  <c r="W186" i="1"/>
  <c r="V186" i="1"/>
  <c r="U186" i="1"/>
  <c r="T186" i="1"/>
  <c r="S186" i="1"/>
  <c r="R186" i="1"/>
  <c r="Q186" i="1"/>
  <c r="P186" i="1"/>
  <c r="O186" i="1"/>
  <c r="N186" i="1"/>
  <c r="M186" i="1"/>
  <c r="L186" i="1"/>
  <c r="K186" i="1"/>
  <c r="J186" i="1"/>
  <c r="I186" i="1"/>
  <c r="H186" i="1"/>
  <c r="G186" i="1"/>
  <c r="F186" i="1"/>
  <c r="AF185" i="1"/>
  <c r="AE185" i="1"/>
  <c r="AD185" i="1"/>
  <c r="AC185" i="1"/>
  <c r="AB185" i="1"/>
  <c r="AB137" i="8" s="1"/>
  <c r="AA185" i="1"/>
  <c r="Z185" i="1"/>
  <c r="Y185" i="1"/>
  <c r="X185" i="1"/>
  <c r="W185" i="1"/>
  <c r="V185" i="1"/>
  <c r="V137" i="8" s="1"/>
  <c r="U185" i="1"/>
  <c r="T185" i="1"/>
  <c r="S185" i="1"/>
  <c r="R185" i="1"/>
  <c r="Q185" i="1"/>
  <c r="P185" i="1"/>
  <c r="O185" i="1"/>
  <c r="N185" i="1"/>
  <c r="M185" i="1"/>
  <c r="L185" i="1"/>
  <c r="K185" i="1"/>
  <c r="J185" i="1"/>
  <c r="I185" i="1"/>
  <c r="H185" i="1"/>
  <c r="G185" i="1"/>
  <c r="F185" i="1"/>
  <c r="AF184" i="1"/>
  <c r="AE184" i="1"/>
  <c r="AD184" i="1"/>
  <c r="AC184" i="1"/>
  <c r="AB184" i="1"/>
  <c r="AB217" i="8" s="1"/>
  <c r="AA184" i="1"/>
  <c r="Z184" i="1"/>
  <c r="Y184" i="1"/>
  <c r="X184" i="1"/>
  <c r="W184" i="1"/>
  <c r="V184" i="1"/>
  <c r="U184" i="1"/>
  <c r="T184" i="1"/>
  <c r="S184" i="1"/>
  <c r="R184" i="1"/>
  <c r="Q184" i="1"/>
  <c r="P184" i="1"/>
  <c r="O184" i="1"/>
  <c r="N184" i="1"/>
  <c r="M184" i="1"/>
  <c r="L184" i="1"/>
  <c r="K184" i="1"/>
  <c r="J184" i="1"/>
  <c r="I184" i="1"/>
  <c r="H184" i="1"/>
  <c r="G184" i="1"/>
  <c r="F184" i="1"/>
  <c r="AF182" i="1"/>
  <c r="AE182" i="1"/>
  <c r="AD182" i="1"/>
  <c r="AC182" i="1"/>
  <c r="AB182" i="1"/>
  <c r="AB46" i="7" s="1"/>
  <c r="AC46" i="7" s="1"/>
  <c r="AA182" i="1"/>
  <c r="Z182" i="1"/>
  <c r="Y182" i="1"/>
  <c r="X182" i="1"/>
  <c r="W182" i="1"/>
  <c r="V182" i="1"/>
  <c r="U182" i="1"/>
  <c r="T182" i="1"/>
  <c r="S182" i="1"/>
  <c r="R182" i="1"/>
  <c r="Q182" i="1"/>
  <c r="P182" i="1"/>
  <c r="O182" i="1"/>
  <c r="N182" i="1"/>
  <c r="M182" i="1"/>
  <c r="L182" i="1"/>
  <c r="K182" i="1"/>
  <c r="K46" i="7" s="1"/>
  <c r="J182" i="1"/>
  <c r="J46" i="7" s="1"/>
  <c r="I182" i="1"/>
  <c r="I46" i="7" s="1"/>
  <c r="H182" i="1"/>
  <c r="H46" i="7" s="1"/>
  <c r="G182" i="1"/>
  <c r="G46" i="7" s="1"/>
  <c r="F182" i="1"/>
  <c r="AF181" i="1"/>
  <c r="AE181" i="1"/>
  <c r="AD181" i="1"/>
  <c r="AC181" i="1"/>
  <c r="AB181" i="1"/>
  <c r="AB9" i="7" s="1"/>
  <c r="AA181" i="1"/>
  <c r="Z181" i="1"/>
  <c r="Y181" i="1"/>
  <c r="X181" i="1"/>
  <c r="W181" i="1"/>
  <c r="V181" i="1"/>
  <c r="U181" i="1"/>
  <c r="T181" i="1"/>
  <c r="S181" i="1"/>
  <c r="R181" i="1"/>
  <c r="Q181" i="1"/>
  <c r="P181" i="1"/>
  <c r="O181" i="1"/>
  <c r="N181" i="1"/>
  <c r="M181" i="1"/>
  <c r="L181" i="1"/>
  <c r="K181" i="1"/>
  <c r="K9" i="7" s="1"/>
  <c r="J181" i="1"/>
  <c r="J9" i="7" s="1"/>
  <c r="I181" i="1"/>
  <c r="I9" i="7" s="1"/>
  <c r="H181" i="1"/>
  <c r="H9" i="7" s="1"/>
  <c r="G181" i="1"/>
  <c r="G9" i="7" s="1"/>
  <c r="F181" i="1"/>
  <c r="AF180" i="1"/>
  <c r="AE180" i="1"/>
  <c r="AD180" i="1"/>
  <c r="AC180" i="1"/>
  <c r="AB180" i="1"/>
  <c r="AB73" i="7" s="1"/>
  <c r="AA180" i="1"/>
  <c r="Z180" i="1"/>
  <c r="Y180" i="1"/>
  <c r="X180" i="1"/>
  <c r="W180" i="1"/>
  <c r="V180" i="1"/>
  <c r="U180" i="1"/>
  <c r="T180" i="1"/>
  <c r="S180" i="1"/>
  <c r="R180" i="1"/>
  <c r="Q180" i="1"/>
  <c r="P180" i="1"/>
  <c r="O180" i="1"/>
  <c r="N180" i="1"/>
  <c r="M180" i="1"/>
  <c r="L180" i="1"/>
  <c r="K180" i="1"/>
  <c r="K73" i="7" s="1"/>
  <c r="J180" i="1"/>
  <c r="J73" i="7" s="1"/>
  <c r="I180" i="1"/>
  <c r="I73" i="7" s="1"/>
  <c r="H180" i="1"/>
  <c r="H73" i="7" s="1"/>
  <c r="G180" i="1"/>
  <c r="G73" i="7" s="1"/>
  <c r="F180" i="1"/>
  <c r="AF135" i="1"/>
  <c r="AE135" i="1"/>
  <c r="AD135" i="1"/>
  <c r="AC135" i="1"/>
  <c r="AB135" i="1"/>
  <c r="AA135" i="1"/>
  <c r="Z135" i="1"/>
  <c r="Y135" i="1"/>
  <c r="X135" i="1"/>
  <c r="W135" i="1"/>
  <c r="V135" i="1"/>
  <c r="U135" i="1"/>
  <c r="T135" i="1"/>
  <c r="S135" i="1"/>
  <c r="R135" i="1"/>
  <c r="Q135" i="1"/>
  <c r="P135" i="1"/>
  <c r="O135" i="1"/>
  <c r="N135" i="1"/>
  <c r="M135" i="1"/>
  <c r="L135" i="1"/>
  <c r="K135" i="1"/>
  <c r="J135" i="1"/>
  <c r="I135" i="1"/>
  <c r="H135" i="1"/>
  <c r="G135" i="1"/>
  <c r="F135" i="1"/>
  <c r="AF134" i="1"/>
  <c r="AE134" i="1"/>
  <c r="AD134" i="1"/>
  <c r="AC134" i="1"/>
  <c r="AB134" i="1"/>
  <c r="AA134" i="1"/>
  <c r="Z134" i="1"/>
  <c r="Y134" i="1"/>
  <c r="X134" i="1"/>
  <c r="W134" i="1"/>
  <c r="V134" i="1"/>
  <c r="U134" i="1"/>
  <c r="T134" i="1"/>
  <c r="S134" i="1"/>
  <c r="R134" i="1"/>
  <c r="Q134" i="1"/>
  <c r="P134" i="1"/>
  <c r="O134" i="1"/>
  <c r="N134" i="1"/>
  <c r="M134" i="1"/>
  <c r="L134" i="1"/>
  <c r="K134" i="1"/>
  <c r="J134" i="1"/>
  <c r="I134" i="1"/>
  <c r="H134" i="1"/>
  <c r="G134" i="1"/>
  <c r="F134" i="1"/>
  <c r="AF133" i="1"/>
  <c r="AE133" i="1"/>
  <c r="AD133" i="1"/>
  <c r="AC133" i="1"/>
  <c r="AB133" i="1"/>
  <c r="AB230" i="12" s="1"/>
  <c r="AA133" i="1"/>
  <c r="AA230" i="12" s="1"/>
  <c r="Z133" i="1"/>
  <c r="Z230" i="12" s="1"/>
  <c r="Y133" i="1"/>
  <c r="Y230" i="12" s="1"/>
  <c r="X133" i="1"/>
  <c r="W133" i="1"/>
  <c r="V133" i="1"/>
  <c r="U133" i="1"/>
  <c r="T133" i="1"/>
  <c r="S133" i="1"/>
  <c r="R133" i="1"/>
  <c r="Q133" i="1"/>
  <c r="P133" i="1"/>
  <c r="O133" i="1"/>
  <c r="N133" i="1"/>
  <c r="M133" i="1"/>
  <c r="L133" i="1"/>
  <c r="K133" i="1"/>
  <c r="J133" i="1"/>
  <c r="I133" i="1"/>
  <c r="H133" i="1"/>
  <c r="G133" i="1"/>
  <c r="F133" i="1"/>
  <c r="AF132" i="1"/>
  <c r="AE132" i="1"/>
  <c r="AD132" i="1"/>
  <c r="AC132" i="1"/>
  <c r="AB132" i="1"/>
  <c r="AB520" i="7" s="1"/>
  <c r="AA132" i="1"/>
  <c r="Z132" i="1"/>
  <c r="Y132" i="1"/>
  <c r="X132" i="1"/>
  <c r="W132" i="1"/>
  <c r="V132" i="1"/>
  <c r="U132" i="1"/>
  <c r="T132" i="1"/>
  <c r="S132" i="1"/>
  <c r="R132" i="1"/>
  <c r="Q132" i="1"/>
  <c r="P132" i="1"/>
  <c r="O132" i="1"/>
  <c r="N132" i="1"/>
  <c r="M132" i="1"/>
  <c r="L132" i="1"/>
  <c r="K132" i="1"/>
  <c r="K520" i="7" s="1"/>
  <c r="J132" i="1"/>
  <c r="J520" i="7" s="1"/>
  <c r="I132" i="1"/>
  <c r="I520" i="7" s="1"/>
  <c r="H132" i="1"/>
  <c r="H520" i="7" s="1"/>
  <c r="G132" i="1"/>
  <c r="G520" i="7" s="1"/>
  <c r="F132" i="1"/>
  <c r="AF129" i="1"/>
  <c r="AE129" i="1"/>
  <c r="AD129" i="1"/>
  <c r="AC129" i="1"/>
  <c r="AB129" i="1"/>
  <c r="AA129" i="1"/>
  <c r="Z129" i="1"/>
  <c r="Y129" i="1"/>
  <c r="X129" i="1"/>
  <c r="W129" i="1"/>
  <c r="V129" i="1"/>
  <c r="U129" i="1"/>
  <c r="T129" i="1"/>
  <c r="S129" i="1"/>
  <c r="R129" i="1"/>
  <c r="Q129" i="1"/>
  <c r="P129" i="1"/>
  <c r="O129" i="1"/>
  <c r="N129" i="1"/>
  <c r="M129" i="1"/>
  <c r="L129" i="1"/>
  <c r="K129" i="1"/>
  <c r="J129" i="1"/>
  <c r="I129" i="1"/>
  <c r="H129" i="1"/>
  <c r="G129" i="1"/>
  <c r="F129" i="1"/>
  <c r="AF128" i="1"/>
  <c r="AE128" i="1"/>
  <c r="AD128" i="1"/>
  <c r="AC128" i="1"/>
  <c r="AB128" i="1"/>
  <c r="AA128" i="1"/>
  <c r="Z128" i="1"/>
  <c r="Y128" i="1"/>
  <c r="X128" i="1"/>
  <c r="W128" i="1"/>
  <c r="V128" i="1"/>
  <c r="U128" i="1"/>
  <c r="T128" i="1"/>
  <c r="S128" i="1"/>
  <c r="R128" i="1"/>
  <c r="Q128" i="1"/>
  <c r="P128" i="1"/>
  <c r="O128" i="1"/>
  <c r="N128" i="1"/>
  <c r="M128" i="1"/>
  <c r="L128" i="1"/>
  <c r="K128" i="1"/>
  <c r="J128" i="1"/>
  <c r="I128" i="1"/>
  <c r="H128" i="1"/>
  <c r="G128" i="1"/>
  <c r="F128" i="1"/>
  <c r="AF127" i="1"/>
  <c r="AE127" i="1"/>
  <c r="AD127" i="1"/>
  <c r="AC127" i="1"/>
  <c r="AB127" i="1"/>
  <c r="AB397" i="7" s="1"/>
  <c r="AA127" i="1"/>
  <c r="Z127" i="1"/>
  <c r="Y127" i="1"/>
  <c r="X127" i="1"/>
  <c r="W127" i="1"/>
  <c r="V127" i="1"/>
  <c r="U127" i="1"/>
  <c r="T127" i="1"/>
  <c r="S127" i="1"/>
  <c r="R127" i="1"/>
  <c r="Q127" i="1"/>
  <c r="P127" i="1"/>
  <c r="O127" i="1"/>
  <c r="N127" i="1"/>
  <c r="M127" i="1"/>
  <c r="L127" i="1"/>
  <c r="K127" i="1"/>
  <c r="K397" i="7" s="1"/>
  <c r="J127" i="1"/>
  <c r="J397" i="7" s="1"/>
  <c r="I127" i="1"/>
  <c r="I397" i="7" s="1"/>
  <c r="H127" i="1"/>
  <c r="H397" i="7" s="1"/>
  <c r="G127" i="1"/>
  <c r="G397" i="7" s="1"/>
  <c r="F127" i="1"/>
  <c r="AF125" i="1"/>
  <c r="AE125" i="1"/>
  <c r="AD125" i="1"/>
  <c r="AC125" i="1"/>
  <c r="AB125" i="1"/>
  <c r="AB325" i="7" s="1"/>
  <c r="AA125" i="1"/>
  <c r="Z125" i="1"/>
  <c r="Y125" i="1"/>
  <c r="X125" i="1"/>
  <c r="W125" i="1"/>
  <c r="V125" i="1"/>
  <c r="U125" i="1"/>
  <c r="T125" i="1"/>
  <c r="S125" i="1"/>
  <c r="R125" i="1"/>
  <c r="Q125" i="1"/>
  <c r="P125" i="1"/>
  <c r="O125" i="1"/>
  <c r="N125" i="1"/>
  <c r="M125" i="1"/>
  <c r="L125" i="1"/>
  <c r="K125" i="1"/>
  <c r="K325" i="7" s="1"/>
  <c r="J125" i="1"/>
  <c r="J325" i="7" s="1"/>
  <c r="I125" i="1"/>
  <c r="I325" i="7" s="1"/>
  <c r="H125" i="1"/>
  <c r="H325" i="7" s="1"/>
  <c r="G125" i="1"/>
  <c r="G325" i="7" s="1"/>
  <c r="F125" i="1"/>
  <c r="AF124" i="1"/>
  <c r="AE124" i="1"/>
  <c r="AD124" i="1"/>
  <c r="AC124" i="1"/>
  <c r="AB124" i="1"/>
  <c r="AB326" i="7" s="1"/>
  <c r="AA124" i="1"/>
  <c r="Z124" i="1"/>
  <c r="Y124" i="1"/>
  <c r="X124" i="1"/>
  <c r="W124" i="1"/>
  <c r="V124" i="1"/>
  <c r="U124" i="1"/>
  <c r="T124" i="1"/>
  <c r="S124" i="1"/>
  <c r="R124" i="1"/>
  <c r="Q124" i="1"/>
  <c r="P124" i="1"/>
  <c r="O124" i="1"/>
  <c r="N124" i="1"/>
  <c r="M124" i="1"/>
  <c r="L124" i="1"/>
  <c r="K124" i="1"/>
  <c r="K326" i="7" s="1"/>
  <c r="J124" i="1"/>
  <c r="J326" i="7" s="1"/>
  <c r="I124" i="1"/>
  <c r="I326" i="7" s="1"/>
  <c r="H124" i="1"/>
  <c r="H326" i="7" s="1"/>
  <c r="G124" i="1"/>
  <c r="G326" i="7" s="1"/>
  <c r="F124" i="1"/>
  <c r="AF123" i="1"/>
  <c r="AE123" i="1"/>
  <c r="AD123" i="1"/>
  <c r="AC123" i="1"/>
  <c r="AB123" i="1"/>
  <c r="AB299" i="7" s="1"/>
  <c r="AA123" i="1"/>
  <c r="Z123" i="1"/>
  <c r="Y123" i="1"/>
  <c r="X123" i="1"/>
  <c r="W123" i="1"/>
  <c r="V123" i="1"/>
  <c r="U123" i="1"/>
  <c r="T123" i="1"/>
  <c r="S123" i="1"/>
  <c r="R123" i="1"/>
  <c r="Q123" i="1"/>
  <c r="P123" i="1"/>
  <c r="O123" i="1"/>
  <c r="N123" i="1"/>
  <c r="M123" i="1"/>
  <c r="L123" i="1"/>
  <c r="K123" i="1"/>
  <c r="K299" i="7" s="1"/>
  <c r="J123" i="1"/>
  <c r="J299" i="7" s="1"/>
  <c r="I123" i="1"/>
  <c r="I299" i="7" s="1"/>
  <c r="H123" i="1"/>
  <c r="H299" i="7" s="1"/>
  <c r="G123" i="1"/>
  <c r="G299" i="7" s="1"/>
  <c r="F123" i="1"/>
  <c r="AF122" i="1"/>
  <c r="AE122" i="1"/>
  <c r="AD122" i="1"/>
  <c r="AC122" i="1"/>
  <c r="AB122" i="1"/>
  <c r="AB257" i="7" s="1"/>
  <c r="AA122" i="1"/>
  <c r="Z122" i="1"/>
  <c r="Y122" i="1"/>
  <c r="X122" i="1"/>
  <c r="W122" i="1"/>
  <c r="V122" i="1"/>
  <c r="U122" i="1"/>
  <c r="T122" i="1"/>
  <c r="S122" i="1"/>
  <c r="R122" i="1"/>
  <c r="Q122" i="1"/>
  <c r="P122" i="1"/>
  <c r="O122" i="1"/>
  <c r="N122" i="1"/>
  <c r="M122" i="1"/>
  <c r="L122" i="1"/>
  <c r="K122" i="1"/>
  <c r="K257" i="7" s="1"/>
  <c r="J122" i="1"/>
  <c r="J257" i="7" s="1"/>
  <c r="I122" i="1"/>
  <c r="I257" i="7" s="1"/>
  <c r="H122" i="1"/>
  <c r="H257" i="7" s="1"/>
  <c r="G122" i="1"/>
  <c r="G257" i="7" s="1"/>
  <c r="F122" i="1"/>
  <c r="AF121" i="1"/>
  <c r="AE121" i="1"/>
  <c r="AD121" i="1"/>
  <c r="AC121" i="1"/>
  <c r="AB121" i="1"/>
  <c r="AB202" i="7" s="1"/>
  <c r="AA121" i="1"/>
  <c r="Z121" i="1"/>
  <c r="Y121" i="1"/>
  <c r="X121" i="1"/>
  <c r="W121" i="1"/>
  <c r="V121" i="1"/>
  <c r="U121" i="1"/>
  <c r="T121" i="1"/>
  <c r="S121" i="1"/>
  <c r="R121" i="1"/>
  <c r="Q121" i="1"/>
  <c r="P121" i="1"/>
  <c r="O121" i="1"/>
  <c r="N121" i="1"/>
  <c r="M121" i="1"/>
  <c r="L121" i="1"/>
  <c r="K121" i="1"/>
  <c r="K202" i="7" s="1"/>
  <c r="J121" i="1"/>
  <c r="J202" i="7" s="1"/>
  <c r="I121" i="1"/>
  <c r="I202" i="7" s="1"/>
  <c r="H121" i="1"/>
  <c r="H202" i="7" s="1"/>
  <c r="G121" i="1"/>
  <c r="G202" i="7" s="1"/>
  <c r="F121" i="1"/>
  <c r="AF118" i="1"/>
  <c r="AE118" i="1"/>
  <c r="AD118" i="1"/>
  <c r="AC118" i="1"/>
  <c r="AB118" i="1"/>
  <c r="AA118" i="1"/>
  <c r="Z118" i="1"/>
  <c r="Y118" i="1"/>
  <c r="X118" i="1"/>
  <c r="W118" i="1"/>
  <c r="V118" i="1"/>
  <c r="U118" i="1"/>
  <c r="T118" i="1"/>
  <c r="S118" i="1"/>
  <c r="R118" i="1"/>
  <c r="Q118" i="1"/>
  <c r="P118" i="1"/>
  <c r="O118" i="1"/>
  <c r="N118" i="1"/>
  <c r="M118" i="1"/>
  <c r="L118" i="1"/>
  <c r="K118" i="1"/>
  <c r="J118" i="1"/>
  <c r="I118" i="1"/>
  <c r="H118" i="1"/>
  <c r="G118" i="1"/>
  <c r="F118" i="1"/>
  <c r="AF117" i="1"/>
  <c r="AE117" i="1"/>
  <c r="AD117" i="1"/>
  <c r="AC117" i="1"/>
  <c r="AB117" i="1"/>
  <c r="AA117" i="1"/>
  <c r="Z117" i="1"/>
  <c r="Y117" i="1"/>
  <c r="X117" i="1"/>
  <c r="W117" i="1"/>
  <c r="V117" i="1"/>
  <c r="U117" i="1"/>
  <c r="T117" i="1"/>
  <c r="S117" i="1"/>
  <c r="R117" i="1"/>
  <c r="Q117" i="1"/>
  <c r="P117" i="1"/>
  <c r="O117" i="1"/>
  <c r="N117" i="1"/>
  <c r="M117" i="1"/>
  <c r="L117" i="1"/>
  <c r="K117" i="1"/>
  <c r="J117" i="1"/>
  <c r="I117" i="1"/>
  <c r="H117" i="1"/>
  <c r="G117" i="1"/>
  <c r="F117" i="1"/>
  <c r="AF116" i="1"/>
  <c r="AE116" i="1"/>
  <c r="AD116" i="1"/>
  <c r="AC116" i="1"/>
  <c r="AB116" i="1"/>
  <c r="AB210" i="8" s="1"/>
  <c r="AA116" i="1"/>
  <c r="Z116" i="1"/>
  <c r="Y116" i="1"/>
  <c r="X116" i="1"/>
  <c r="W116" i="1"/>
  <c r="V116" i="1"/>
  <c r="U116" i="1"/>
  <c r="T116" i="1"/>
  <c r="S116" i="1"/>
  <c r="R116" i="1"/>
  <c r="Q116" i="1"/>
  <c r="P116" i="1"/>
  <c r="O116" i="1"/>
  <c r="N116" i="1"/>
  <c r="M116" i="1"/>
  <c r="L116" i="1"/>
  <c r="K116" i="1"/>
  <c r="J116" i="1"/>
  <c r="I116" i="1"/>
  <c r="H116" i="1"/>
  <c r="G116" i="1"/>
  <c r="F116" i="1"/>
  <c r="AF115" i="1"/>
  <c r="AE115" i="1"/>
  <c r="AD115" i="1"/>
  <c r="AC115" i="1"/>
  <c r="AB115" i="1"/>
  <c r="AB47" i="7" s="1"/>
  <c r="AA115" i="1"/>
  <c r="Z115" i="1"/>
  <c r="Y115" i="1"/>
  <c r="X115" i="1"/>
  <c r="W115" i="1"/>
  <c r="V115" i="1"/>
  <c r="U115" i="1"/>
  <c r="T115" i="1"/>
  <c r="S115" i="1"/>
  <c r="R115" i="1"/>
  <c r="Q115" i="1"/>
  <c r="P115" i="1"/>
  <c r="O115" i="1"/>
  <c r="N115" i="1"/>
  <c r="M115" i="1"/>
  <c r="L115" i="1"/>
  <c r="K115" i="1"/>
  <c r="K47" i="7" s="1"/>
  <c r="J115" i="1"/>
  <c r="J47" i="7" s="1"/>
  <c r="I115" i="1"/>
  <c r="I47" i="7" s="1"/>
  <c r="H115" i="1"/>
  <c r="H47" i="7" s="1"/>
  <c r="G115" i="1"/>
  <c r="G47" i="7" s="1"/>
  <c r="F115" i="1"/>
  <c r="AF114" i="1"/>
  <c r="AE114" i="1"/>
  <c r="AD114" i="1"/>
  <c r="AC114" i="1"/>
  <c r="AB114" i="1"/>
  <c r="AB10" i="7" s="1"/>
  <c r="AC10" i="7" s="1"/>
  <c r="AA114" i="1"/>
  <c r="Z114" i="1"/>
  <c r="Y114" i="1"/>
  <c r="X114" i="1"/>
  <c r="W114" i="1"/>
  <c r="V114" i="1"/>
  <c r="U114" i="1"/>
  <c r="T114" i="1"/>
  <c r="S114" i="1"/>
  <c r="R114" i="1"/>
  <c r="Q114" i="1"/>
  <c r="P114" i="1"/>
  <c r="O114" i="1"/>
  <c r="N114" i="1"/>
  <c r="M114" i="1"/>
  <c r="L114" i="1"/>
  <c r="K114" i="1"/>
  <c r="K10" i="7" s="1"/>
  <c r="J114" i="1"/>
  <c r="J10" i="7" s="1"/>
  <c r="I114" i="1"/>
  <c r="I10" i="7" s="1"/>
  <c r="H114" i="1"/>
  <c r="H10" i="7" s="1"/>
  <c r="G114" i="1"/>
  <c r="G10" i="7" s="1"/>
  <c r="F114" i="1"/>
  <c r="AF113" i="1"/>
  <c r="AE113" i="1"/>
  <c r="AD113" i="1"/>
  <c r="AC113" i="1"/>
  <c r="AB113" i="1"/>
  <c r="AB78" i="7" s="1"/>
  <c r="AA113" i="1"/>
  <c r="Z113" i="1"/>
  <c r="Y113" i="1"/>
  <c r="X113" i="1"/>
  <c r="W113" i="1"/>
  <c r="V113" i="1"/>
  <c r="U113" i="1"/>
  <c r="T113" i="1"/>
  <c r="S113" i="1"/>
  <c r="R113" i="1"/>
  <c r="Q113" i="1"/>
  <c r="P113" i="1"/>
  <c r="O113" i="1"/>
  <c r="N113" i="1"/>
  <c r="M113" i="1"/>
  <c r="L113" i="1"/>
  <c r="K113" i="1"/>
  <c r="K78" i="7" s="1"/>
  <c r="J113" i="1"/>
  <c r="J78" i="7" s="1"/>
  <c r="I113" i="1"/>
  <c r="I78" i="7" s="1"/>
  <c r="H113" i="1"/>
  <c r="H78" i="7" s="1"/>
  <c r="G113" i="1"/>
  <c r="G78" i="7" s="1"/>
  <c r="F113" i="1"/>
  <c r="AF178" i="1"/>
  <c r="AE178" i="1"/>
  <c r="AD178" i="1"/>
  <c r="AC178" i="1"/>
  <c r="AB178" i="1"/>
  <c r="AA178" i="1"/>
  <c r="Z178" i="1"/>
  <c r="Y178" i="1"/>
  <c r="X178" i="1"/>
  <c r="W178" i="1"/>
  <c r="V178" i="1"/>
  <c r="U178" i="1"/>
  <c r="T178" i="1"/>
  <c r="S178" i="1"/>
  <c r="R178" i="1"/>
  <c r="Q178" i="1"/>
  <c r="P178" i="1"/>
  <c r="O178" i="1"/>
  <c r="N178" i="1"/>
  <c r="M178" i="1"/>
  <c r="L178" i="1"/>
  <c r="K178" i="1"/>
  <c r="K165" i="7" s="1"/>
  <c r="J178" i="1"/>
  <c r="J165" i="7" s="1"/>
  <c r="I178" i="1"/>
  <c r="I165" i="7" s="1"/>
  <c r="H178" i="1"/>
  <c r="H165" i="7" s="1"/>
  <c r="G178" i="1"/>
  <c r="G165" i="7" s="1"/>
  <c r="F178" i="1"/>
  <c r="AF177" i="1"/>
  <c r="AE177" i="1"/>
  <c r="AD177" i="1"/>
  <c r="AC177" i="1"/>
  <c r="AB177" i="1"/>
  <c r="AB631" i="7" s="1"/>
  <c r="AA177" i="1"/>
  <c r="AA631" i="7" s="1"/>
  <c r="Z177" i="1"/>
  <c r="Z631" i="7" s="1"/>
  <c r="Y177" i="1"/>
  <c r="Y631" i="7" s="1"/>
  <c r="X177" i="1"/>
  <c r="X631" i="7" s="1"/>
  <c r="W177" i="1"/>
  <c r="V177" i="1"/>
  <c r="U177" i="1"/>
  <c r="T177" i="1"/>
  <c r="S177" i="1"/>
  <c r="R177" i="1"/>
  <c r="Q177" i="1"/>
  <c r="P177" i="1"/>
  <c r="O177" i="1"/>
  <c r="N177" i="1"/>
  <c r="M177" i="1"/>
  <c r="L177" i="1"/>
  <c r="K177" i="1"/>
  <c r="K631" i="7" s="1"/>
  <c r="J177" i="1"/>
  <c r="J631" i="7" s="1"/>
  <c r="I177" i="1"/>
  <c r="I631" i="7" s="1"/>
  <c r="H177" i="1"/>
  <c r="H631" i="7" s="1"/>
  <c r="G177" i="1"/>
  <c r="G631" i="7" s="1"/>
  <c r="F177" i="1"/>
  <c r="AF176" i="1"/>
  <c r="AE176" i="1"/>
  <c r="AD176" i="1"/>
  <c r="AC176" i="1"/>
  <c r="AB176" i="1"/>
  <c r="AB664" i="7" s="1"/>
  <c r="AA176" i="1"/>
  <c r="Z176" i="1"/>
  <c r="Y176" i="1"/>
  <c r="X176" i="1"/>
  <c r="W176" i="1"/>
  <c r="V176" i="1"/>
  <c r="U176" i="1"/>
  <c r="T176" i="1"/>
  <c r="S176" i="1"/>
  <c r="R176" i="1"/>
  <c r="Q176" i="1"/>
  <c r="P176" i="1"/>
  <c r="O176" i="1"/>
  <c r="N176" i="1"/>
  <c r="M176" i="1"/>
  <c r="L176" i="1"/>
  <c r="K176" i="1"/>
  <c r="K664" i="7" s="1"/>
  <c r="J176" i="1"/>
  <c r="J664" i="7" s="1"/>
  <c r="I176" i="1"/>
  <c r="I664" i="7" s="1"/>
  <c r="H176" i="1"/>
  <c r="H664" i="7" s="1"/>
  <c r="G176" i="1"/>
  <c r="G664" i="7" s="1"/>
  <c r="F176" i="1"/>
  <c r="AF175" i="1"/>
  <c r="AE175" i="1"/>
  <c r="AD175" i="1"/>
  <c r="AC175" i="1"/>
  <c r="AB175" i="1"/>
  <c r="AB605" i="7" s="1"/>
  <c r="AA175" i="1"/>
  <c r="Z175" i="1"/>
  <c r="Y175" i="1"/>
  <c r="X175" i="1"/>
  <c r="W175" i="1"/>
  <c r="V175" i="1"/>
  <c r="U175" i="1"/>
  <c r="T175" i="1"/>
  <c r="S175" i="1"/>
  <c r="R175" i="1"/>
  <c r="Q175" i="1"/>
  <c r="P175" i="1"/>
  <c r="O175" i="1"/>
  <c r="N175" i="1"/>
  <c r="M175" i="1"/>
  <c r="L175" i="1"/>
  <c r="K175" i="1"/>
  <c r="K605" i="7" s="1"/>
  <c r="J175" i="1"/>
  <c r="J605" i="7" s="1"/>
  <c r="I175" i="1"/>
  <c r="I605" i="7" s="1"/>
  <c r="H175" i="1"/>
  <c r="H605" i="7" s="1"/>
  <c r="G175" i="1"/>
  <c r="G605" i="7" s="1"/>
  <c r="F175" i="1"/>
  <c r="AF174" i="1"/>
  <c r="AE174" i="1"/>
  <c r="AD174" i="1"/>
  <c r="AC174" i="1"/>
  <c r="AB174" i="1"/>
  <c r="AB801" i="7" s="1"/>
  <c r="AA174" i="1"/>
  <c r="Z174" i="1"/>
  <c r="Y174" i="1"/>
  <c r="X174" i="1"/>
  <c r="W174" i="1"/>
  <c r="V174" i="1"/>
  <c r="U174" i="1"/>
  <c r="T174" i="1"/>
  <c r="S174" i="1"/>
  <c r="R174" i="1"/>
  <c r="Q174" i="1"/>
  <c r="P174" i="1"/>
  <c r="O174" i="1"/>
  <c r="N174" i="1"/>
  <c r="M174" i="1"/>
  <c r="L174" i="1"/>
  <c r="K174" i="1"/>
  <c r="K801" i="7" s="1"/>
  <c r="J174" i="1"/>
  <c r="J801" i="7" s="1"/>
  <c r="I174" i="1"/>
  <c r="I801" i="7" s="1"/>
  <c r="H174" i="1"/>
  <c r="H801" i="7" s="1"/>
  <c r="G174" i="1"/>
  <c r="G801" i="7" s="1"/>
  <c r="AF173" i="1"/>
  <c r="AE173" i="1"/>
  <c r="AD173" i="1"/>
  <c r="AC173" i="1"/>
  <c r="AB173" i="1"/>
  <c r="AB521" i="7" s="1"/>
  <c r="AA173" i="1"/>
  <c r="Z173" i="1"/>
  <c r="Y173" i="1"/>
  <c r="X173" i="1"/>
  <c r="W173" i="1"/>
  <c r="V173" i="1"/>
  <c r="U173" i="1"/>
  <c r="T173" i="1"/>
  <c r="S173" i="1"/>
  <c r="R173" i="1"/>
  <c r="Q173" i="1"/>
  <c r="P173" i="1"/>
  <c r="O173" i="1"/>
  <c r="N173" i="1"/>
  <c r="M173" i="1"/>
  <c r="L173" i="1"/>
  <c r="K173" i="1"/>
  <c r="K521" i="7" s="1"/>
  <c r="J173" i="1"/>
  <c r="J521" i="7" s="1"/>
  <c r="I173" i="1"/>
  <c r="I521" i="7" s="1"/>
  <c r="H173" i="1"/>
  <c r="H521" i="7" s="1"/>
  <c r="G173" i="1"/>
  <c r="G521" i="7" s="1"/>
  <c r="F173" i="1"/>
  <c r="AF172" i="1"/>
  <c r="AE172" i="1"/>
  <c r="AD172" i="1"/>
  <c r="AC172" i="1"/>
  <c r="AB172" i="1"/>
  <c r="AB543" i="7" s="1"/>
  <c r="AA172" i="1"/>
  <c r="Z172" i="1"/>
  <c r="Y172" i="1"/>
  <c r="X172" i="1"/>
  <c r="W172" i="1"/>
  <c r="V172" i="1"/>
  <c r="U172" i="1"/>
  <c r="T172" i="1"/>
  <c r="S172" i="1"/>
  <c r="R172" i="1"/>
  <c r="Q172" i="1"/>
  <c r="P172" i="1"/>
  <c r="O172" i="1"/>
  <c r="N172" i="1"/>
  <c r="M172" i="1"/>
  <c r="L172" i="1"/>
  <c r="K172" i="1"/>
  <c r="K543" i="7" s="1"/>
  <c r="J172" i="1"/>
  <c r="J543" i="7" s="1"/>
  <c r="I172" i="1"/>
  <c r="I543" i="7" s="1"/>
  <c r="H172" i="1"/>
  <c r="H543" i="7" s="1"/>
  <c r="G172" i="1"/>
  <c r="G543" i="7" s="1"/>
  <c r="F172" i="1"/>
  <c r="AF171" i="1"/>
  <c r="AE171" i="1"/>
  <c r="AD171" i="1"/>
  <c r="AC171" i="1"/>
  <c r="AB171" i="1"/>
  <c r="AB229" i="12" s="1"/>
  <c r="AA171" i="1"/>
  <c r="AA229" i="12" s="1"/>
  <c r="DF71" i="11" s="1"/>
  <c r="Z171" i="1"/>
  <c r="Y171" i="1"/>
  <c r="Y229" i="12" s="1"/>
  <c r="X171" i="1"/>
  <c r="W171" i="1"/>
  <c r="V171" i="1"/>
  <c r="U171" i="1"/>
  <c r="T171" i="1"/>
  <c r="S171" i="1"/>
  <c r="R171" i="1"/>
  <c r="Q171" i="1"/>
  <c r="P171" i="1"/>
  <c r="O171" i="1"/>
  <c r="N171" i="1"/>
  <c r="M171" i="1"/>
  <c r="L171" i="1"/>
  <c r="K171" i="1"/>
  <c r="J171" i="1"/>
  <c r="I171" i="1"/>
  <c r="H171" i="1"/>
  <c r="G171" i="1"/>
  <c r="F171" i="1"/>
  <c r="AF170" i="1"/>
  <c r="AE170" i="1"/>
  <c r="AD170" i="1"/>
  <c r="AC170" i="1"/>
  <c r="AB170" i="1"/>
  <c r="AB800" i="7" s="1"/>
  <c r="AA170" i="1"/>
  <c r="Z170" i="1"/>
  <c r="Y170" i="1"/>
  <c r="X170" i="1"/>
  <c r="W170" i="1"/>
  <c r="V170" i="1"/>
  <c r="U170" i="1"/>
  <c r="T170" i="1"/>
  <c r="S170" i="1"/>
  <c r="R170" i="1"/>
  <c r="Q170" i="1"/>
  <c r="P170" i="1"/>
  <c r="O170" i="1"/>
  <c r="N170" i="1"/>
  <c r="M170" i="1"/>
  <c r="L170" i="1"/>
  <c r="K170" i="1"/>
  <c r="K800" i="7" s="1"/>
  <c r="J170" i="1"/>
  <c r="J800" i="7" s="1"/>
  <c r="I170" i="1"/>
  <c r="I800" i="7" s="1"/>
  <c r="H170" i="1"/>
  <c r="H800" i="7" s="1"/>
  <c r="G170" i="1"/>
  <c r="G800" i="7" s="1"/>
  <c r="AF169" i="1"/>
  <c r="AE169" i="1"/>
  <c r="AD169" i="1"/>
  <c r="AC169" i="1"/>
  <c r="AB169" i="1"/>
  <c r="AA169" i="1"/>
  <c r="Z169" i="1"/>
  <c r="Y169" i="1"/>
  <c r="X169" i="1"/>
  <c r="W169" i="1"/>
  <c r="V169" i="1"/>
  <c r="U169" i="1"/>
  <c r="T169" i="1"/>
  <c r="S169" i="1"/>
  <c r="R169" i="1"/>
  <c r="Q169" i="1"/>
  <c r="P169" i="1"/>
  <c r="O169" i="1"/>
  <c r="N169" i="1"/>
  <c r="M169" i="1"/>
  <c r="L169" i="1"/>
  <c r="K169" i="1"/>
  <c r="K483" i="7" s="1"/>
  <c r="J169" i="1"/>
  <c r="J483" i="7" s="1"/>
  <c r="I169" i="1"/>
  <c r="I483" i="7" s="1"/>
  <c r="H169" i="1"/>
  <c r="H483" i="7" s="1"/>
  <c r="G169" i="1"/>
  <c r="G483" i="7" s="1"/>
  <c r="F169" i="1"/>
  <c r="AF168" i="1"/>
  <c r="AE168" i="1"/>
  <c r="AD168" i="1"/>
  <c r="AC168" i="1"/>
  <c r="AB168" i="1"/>
  <c r="AB486" i="7" s="1"/>
  <c r="AA168" i="1"/>
  <c r="Z168" i="1"/>
  <c r="Y168" i="1"/>
  <c r="X168" i="1"/>
  <c r="W168" i="1"/>
  <c r="V168" i="1"/>
  <c r="U168" i="1"/>
  <c r="T168" i="1"/>
  <c r="S168" i="1"/>
  <c r="R168" i="1"/>
  <c r="Q168" i="1"/>
  <c r="P168" i="1"/>
  <c r="O168" i="1"/>
  <c r="N168" i="1"/>
  <c r="M168" i="1"/>
  <c r="L168" i="1"/>
  <c r="K168" i="1"/>
  <c r="K486" i="7" s="1"/>
  <c r="J168" i="1"/>
  <c r="J486" i="7" s="1"/>
  <c r="I168" i="1"/>
  <c r="I486" i="7" s="1"/>
  <c r="H168" i="1"/>
  <c r="H486" i="7" s="1"/>
  <c r="G168" i="1"/>
  <c r="G486" i="7" s="1"/>
  <c r="F168" i="1"/>
  <c r="AF167" i="1"/>
  <c r="AE167" i="1"/>
  <c r="AD167" i="1"/>
  <c r="AC167" i="1"/>
  <c r="AB167" i="1"/>
  <c r="AA167" i="1"/>
  <c r="Z167" i="1"/>
  <c r="Y167" i="1"/>
  <c r="X167" i="1"/>
  <c r="W167" i="1"/>
  <c r="V167" i="1"/>
  <c r="U167" i="1"/>
  <c r="T167" i="1"/>
  <c r="S167" i="1"/>
  <c r="R167" i="1"/>
  <c r="Q167" i="1"/>
  <c r="P167" i="1"/>
  <c r="O167" i="1"/>
  <c r="N167" i="1"/>
  <c r="M167" i="1"/>
  <c r="L167" i="1"/>
  <c r="K167" i="1"/>
  <c r="K482" i="7" s="1"/>
  <c r="J167" i="1"/>
  <c r="J482" i="7" s="1"/>
  <c r="I167" i="1"/>
  <c r="I482" i="7" s="1"/>
  <c r="H167" i="1"/>
  <c r="H482" i="7" s="1"/>
  <c r="G167" i="1"/>
  <c r="G482" i="7" s="1"/>
  <c r="F167" i="1"/>
  <c r="AF166" i="1"/>
  <c r="AE166" i="1"/>
  <c r="AD166" i="1"/>
  <c r="AC166" i="1"/>
  <c r="AB166" i="1"/>
  <c r="AA166" i="1"/>
  <c r="Z166" i="1"/>
  <c r="Y166" i="1"/>
  <c r="X166" i="1"/>
  <c r="W166" i="1"/>
  <c r="V166" i="1"/>
  <c r="U166" i="1"/>
  <c r="T166" i="1"/>
  <c r="S166" i="1"/>
  <c r="R166" i="1"/>
  <c r="Q166" i="1"/>
  <c r="P166" i="1"/>
  <c r="O166" i="1"/>
  <c r="N166" i="1"/>
  <c r="M166" i="1"/>
  <c r="L166" i="1"/>
  <c r="K166" i="1"/>
  <c r="K485" i="7" s="1"/>
  <c r="J166" i="1"/>
  <c r="J485" i="7" s="1"/>
  <c r="I166" i="1"/>
  <c r="I485" i="7" s="1"/>
  <c r="H166" i="1"/>
  <c r="H485" i="7" s="1"/>
  <c r="G166" i="1"/>
  <c r="G485" i="7" s="1"/>
  <c r="F166" i="1"/>
  <c r="AF165" i="1"/>
  <c r="AE165" i="1"/>
  <c r="AD165" i="1"/>
  <c r="AC165" i="1"/>
  <c r="AB165" i="1"/>
  <c r="AA165" i="1"/>
  <c r="Z165" i="1"/>
  <c r="Y165" i="1"/>
  <c r="X165" i="1"/>
  <c r="W165" i="1"/>
  <c r="V165" i="1"/>
  <c r="U165" i="1"/>
  <c r="T165" i="1"/>
  <c r="S165" i="1"/>
  <c r="R165" i="1"/>
  <c r="Q165" i="1"/>
  <c r="P165" i="1"/>
  <c r="O165" i="1"/>
  <c r="N165" i="1"/>
  <c r="M165" i="1"/>
  <c r="L165" i="1"/>
  <c r="K165" i="1"/>
  <c r="K398" i="7" s="1"/>
  <c r="J165" i="1"/>
  <c r="J398" i="7" s="1"/>
  <c r="I165" i="1"/>
  <c r="I398" i="7" s="1"/>
  <c r="H165" i="1"/>
  <c r="H398" i="7" s="1"/>
  <c r="G165" i="1"/>
  <c r="G398" i="7" s="1"/>
  <c r="F165" i="1"/>
  <c r="AF163" i="1"/>
  <c r="AE163" i="1"/>
  <c r="AD163" i="1"/>
  <c r="AC163" i="1"/>
  <c r="AB163" i="1"/>
  <c r="AA163" i="1"/>
  <c r="Z163" i="1"/>
  <c r="Y163" i="1"/>
  <c r="X163" i="1"/>
  <c r="W163" i="1"/>
  <c r="V163" i="1"/>
  <c r="U163" i="1"/>
  <c r="T163" i="1"/>
  <c r="S163" i="1"/>
  <c r="R163" i="1"/>
  <c r="Q163" i="1"/>
  <c r="P163" i="1"/>
  <c r="O163" i="1"/>
  <c r="N163" i="1"/>
  <c r="M163" i="1"/>
  <c r="L163" i="1"/>
  <c r="K163" i="1"/>
  <c r="K327" i="7" s="1"/>
  <c r="J163" i="1"/>
  <c r="J327" i="7" s="1"/>
  <c r="I163" i="1"/>
  <c r="I327" i="7" s="1"/>
  <c r="H163" i="1"/>
  <c r="H327" i="7" s="1"/>
  <c r="G163" i="1"/>
  <c r="G327" i="7" s="1"/>
  <c r="F163" i="1"/>
  <c r="AF162" i="1"/>
  <c r="AE162" i="1"/>
  <c r="AD162" i="1"/>
  <c r="AC162" i="1"/>
  <c r="AB162" i="1"/>
  <c r="AA162" i="1"/>
  <c r="Z162" i="1"/>
  <c r="Y162" i="1"/>
  <c r="X162" i="1"/>
  <c r="W162" i="1"/>
  <c r="V162" i="1"/>
  <c r="U162" i="1"/>
  <c r="T162" i="1"/>
  <c r="S162" i="1"/>
  <c r="R162" i="1"/>
  <c r="Q162" i="1"/>
  <c r="P162" i="1"/>
  <c r="O162" i="1"/>
  <c r="N162" i="1"/>
  <c r="M162" i="1"/>
  <c r="L162" i="1"/>
  <c r="K162" i="1"/>
  <c r="K420" i="7" s="1"/>
  <c r="J162" i="1"/>
  <c r="J420" i="7" s="1"/>
  <c r="I162" i="1"/>
  <c r="I420" i="7" s="1"/>
  <c r="H162" i="1"/>
  <c r="H420" i="7" s="1"/>
  <c r="G162" i="1"/>
  <c r="G420" i="7" s="1"/>
  <c r="F162" i="1"/>
  <c r="AF161" i="1"/>
  <c r="AE161" i="1"/>
  <c r="AD161" i="1"/>
  <c r="AC161" i="1"/>
  <c r="AB161" i="1"/>
  <c r="AA161" i="1"/>
  <c r="Z161" i="1"/>
  <c r="Y161" i="1"/>
  <c r="X161" i="1"/>
  <c r="W161" i="1"/>
  <c r="V161" i="1"/>
  <c r="U161" i="1"/>
  <c r="T161" i="1"/>
  <c r="S161" i="1"/>
  <c r="R161" i="1"/>
  <c r="Q161" i="1"/>
  <c r="P161" i="1"/>
  <c r="O161" i="1"/>
  <c r="N161" i="1"/>
  <c r="M161" i="1"/>
  <c r="L161" i="1"/>
  <c r="K161" i="1"/>
  <c r="K328" i="7" s="1"/>
  <c r="J161" i="1"/>
  <c r="J328" i="7" s="1"/>
  <c r="I161" i="1"/>
  <c r="I328" i="7" s="1"/>
  <c r="H161" i="1"/>
  <c r="H328" i="7" s="1"/>
  <c r="G161" i="1"/>
  <c r="G328" i="7" s="1"/>
  <c r="F161" i="1"/>
  <c r="AF160" i="1"/>
  <c r="AE160" i="1"/>
  <c r="AD160" i="1"/>
  <c r="AC160" i="1"/>
  <c r="AB160" i="1"/>
  <c r="AB300" i="7" s="1"/>
  <c r="AC300" i="7" s="1"/>
  <c r="AA160" i="1"/>
  <c r="Z160" i="1"/>
  <c r="Y160" i="1"/>
  <c r="X160" i="1"/>
  <c r="W160" i="1"/>
  <c r="V160" i="1"/>
  <c r="U160" i="1"/>
  <c r="T160" i="1"/>
  <c r="S160" i="1"/>
  <c r="R160" i="1"/>
  <c r="Q160" i="1"/>
  <c r="P160" i="1"/>
  <c r="O160" i="1"/>
  <c r="N160" i="1"/>
  <c r="M160" i="1"/>
  <c r="L160" i="1"/>
  <c r="K160" i="1"/>
  <c r="K300" i="7" s="1"/>
  <c r="J160" i="1"/>
  <c r="J300" i="7" s="1"/>
  <c r="I160" i="1"/>
  <c r="I300" i="7" s="1"/>
  <c r="H160" i="1"/>
  <c r="H300" i="7" s="1"/>
  <c r="G160" i="1"/>
  <c r="G300" i="7" s="1"/>
  <c r="F160" i="1"/>
  <c r="AF159" i="1"/>
  <c r="AE159" i="1"/>
  <c r="AD159" i="1"/>
  <c r="AC159" i="1"/>
  <c r="AB159" i="1"/>
  <c r="AA159" i="1"/>
  <c r="Z159" i="1"/>
  <c r="Y159" i="1"/>
  <c r="X159" i="1"/>
  <c r="W159" i="1"/>
  <c r="V159" i="1"/>
  <c r="U159" i="1"/>
  <c r="T159" i="1"/>
  <c r="S159" i="1"/>
  <c r="R159" i="1"/>
  <c r="Q159" i="1"/>
  <c r="P159" i="1"/>
  <c r="O159" i="1"/>
  <c r="N159" i="1"/>
  <c r="M159" i="1"/>
  <c r="L159" i="1"/>
  <c r="K159" i="1"/>
  <c r="K253" i="7" s="1"/>
  <c r="J159" i="1"/>
  <c r="J253" i="7" s="1"/>
  <c r="I159" i="1"/>
  <c r="I253" i="7" s="1"/>
  <c r="H159" i="1"/>
  <c r="H253" i="7" s="1"/>
  <c r="G159" i="1"/>
  <c r="G253" i="7" s="1"/>
  <c r="F159" i="1"/>
  <c r="AF158" i="1"/>
  <c r="AE158" i="1"/>
  <c r="AD158" i="1"/>
  <c r="AC158" i="1"/>
  <c r="AB158" i="1"/>
  <c r="AA158" i="1"/>
  <c r="Z158" i="1"/>
  <c r="Y158" i="1"/>
  <c r="X158" i="1"/>
  <c r="W158" i="1"/>
  <c r="V158" i="1"/>
  <c r="U158" i="1"/>
  <c r="T158" i="1"/>
  <c r="S158" i="1"/>
  <c r="R158" i="1"/>
  <c r="Q158" i="1"/>
  <c r="P158" i="1"/>
  <c r="O158" i="1"/>
  <c r="N158" i="1"/>
  <c r="M158" i="1"/>
  <c r="L158" i="1"/>
  <c r="K158" i="1"/>
  <c r="K254" i="7" s="1"/>
  <c r="J158" i="1"/>
  <c r="J254" i="7" s="1"/>
  <c r="I158" i="1"/>
  <c r="I254" i="7" s="1"/>
  <c r="H158" i="1"/>
  <c r="H254" i="7" s="1"/>
  <c r="G158" i="1"/>
  <c r="G254" i="7" s="1"/>
  <c r="F158" i="1"/>
  <c r="AF157" i="1"/>
  <c r="AE157" i="1"/>
  <c r="AD157" i="1"/>
  <c r="AC157" i="1"/>
  <c r="AB157" i="1"/>
  <c r="AA157" i="1"/>
  <c r="Z157" i="1"/>
  <c r="Y157" i="1"/>
  <c r="X157" i="1"/>
  <c r="W157" i="1"/>
  <c r="V157" i="1"/>
  <c r="U157" i="1"/>
  <c r="T157" i="1"/>
  <c r="S157" i="1"/>
  <c r="R157" i="1"/>
  <c r="Q157" i="1"/>
  <c r="P157" i="1"/>
  <c r="O157" i="1"/>
  <c r="N157" i="1"/>
  <c r="M157" i="1"/>
  <c r="L157" i="1"/>
  <c r="K157" i="1"/>
  <c r="K203" i="7" s="1"/>
  <c r="J157" i="1"/>
  <c r="J203" i="7" s="1"/>
  <c r="I157" i="1"/>
  <c r="I203" i="7" s="1"/>
  <c r="H157" i="1"/>
  <c r="H203" i="7" s="1"/>
  <c r="G157" i="1"/>
  <c r="G203" i="7" s="1"/>
  <c r="F157" i="1"/>
  <c r="AF156" i="1"/>
  <c r="AE156" i="1"/>
  <c r="AD156" i="1"/>
  <c r="AC156" i="1"/>
  <c r="AB156" i="1"/>
  <c r="AA156" i="1"/>
  <c r="Z156" i="1"/>
  <c r="Y156" i="1"/>
  <c r="X156" i="1"/>
  <c r="W156" i="1"/>
  <c r="V156" i="1"/>
  <c r="U156" i="1"/>
  <c r="T156" i="1"/>
  <c r="S156" i="1"/>
  <c r="R156" i="1"/>
  <c r="Q156" i="1"/>
  <c r="P156" i="1"/>
  <c r="O156" i="1"/>
  <c r="N156" i="1"/>
  <c r="M156" i="1"/>
  <c r="L156" i="1"/>
  <c r="K156" i="1"/>
  <c r="K205" i="7" s="1"/>
  <c r="J156" i="1"/>
  <c r="J205" i="7" s="1"/>
  <c r="I156" i="1"/>
  <c r="I205" i="7" s="1"/>
  <c r="H156" i="1"/>
  <c r="H205" i="7" s="1"/>
  <c r="G156" i="1"/>
  <c r="G205" i="7" s="1"/>
  <c r="F156" i="1"/>
  <c r="AF153" i="1"/>
  <c r="AE153" i="1"/>
  <c r="AD153" i="1"/>
  <c r="AC153" i="1"/>
  <c r="AB153" i="1"/>
  <c r="AA153" i="1"/>
  <c r="Z153" i="1"/>
  <c r="Y153" i="1"/>
  <c r="X153" i="1"/>
  <c r="W153" i="1"/>
  <c r="V153" i="1"/>
  <c r="U153" i="1"/>
  <c r="T153" i="1"/>
  <c r="S153" i="1"/>
  <c r="R153" i="1"/>
  <c r="Q153" i="1"/>
  <c r="P153" i="1"/>
  <c r="O153" i="1"/>
  <c r="N153" i="1"/>
  <c r="M153" i="1"/>
  <c r="L153" i="1"/>
  <c r="K153" i="1"/>
  <c r="K139" i="7" s="1"/>
  <c r="J153" i="1"/>
  <c r="J139" i="7" s="1"/>
  <c r="I153" i="1"/>
  <c r="I139" i="7" s="1"/>
  <c r="H153" i="1"/>
  <c r="H139" i="7" s="1"/>
  <c r="G153" i="1"/>
  <c r="G139" i="7" s="1"/>
  <c r="F153" i="1"/>
  <c r="AF152" i="1"/>
  <c r="AE152" i="1"/>
  <c r="AD152" i="1"/>
  <c r="AC152" i="1"/>
  <c r="AB152" i="1"/>
  <c r="AA152" i="1"/>
  <c r="Z152" i="1"/>
  <c r="Y152" i="1"/>
  <c r="X152" i="1"/>
  <c r="W152" i="1"/>
  <c r="V152" i="1"/>
  <c r="U152" i="1"/>
  <c r="T152" i="1"/>
  <c r="S152" i="1"/>
  <c r="R152" i="1"/>
  <c r="Q152" i="1"/>
  <c r="P152" i="1"/>
  <c r="O152" i="1"/>
  <c r="N152" i="1"/>
  <c r="M152" i="1"/>
  <c r="L152" i="1"/>
  <c r="K152" i="1"/>
  <c r="J152" i="1"/>
  <c r="I152" i="1"/>
  <c r="H152" i="1"/>
  <c r="G152" i="1"/>
  <c r="F152" i="1"/>
  <c r="AF151" i="1"/>
  <c r="AE151" i="1"/>
  <c r="AD151" i="1"/>
  <c r="AC151" i="1"/>
  <c r="AB151" i="1"/>
  <c r="AA151" i="1"/>
  <c r="Z151" i="1"/>
  <c r="Y151" i="1"/>
  <c r="X151" i="1"/>
  <c r="W151" i="1"/>
  <c r="V151" i="1"/>
  <c r="U151" i="1"/>
  <c r="T151" i="1"/>
  <c r="S151" i="1"/>
  <c r="R151" i="1"/>
  <c r="Q151" i="1"/>
  <c r="P151" i="1"/>
  <c r="O151" i="1"/>
  <c r="N151" i="1"/>
  <c r="M151" i="1"/>
  <c r="L151" i="1"/>
  <c r="K151" i="1"/>
  <c r="K137" i="7" s="1"/>
  <c r="J151" i="1"/>
  <c r="J137" i="7" s="1"/>
  <c r="I151" i="1"/>
  <c r="I137" i="7" s="1"/>
  <c r="H151" i="1"/>
  <c r="H137" i="7" s="1"/>
  <c r="G151" i="1"/>
  <c r="G137" i="7" s="1"/>
  <c r="F151" i="1"/>
  <c r="AF149" i="1"/>
  <c r="AE149" i="1"/>
  <c r="AD149" i="1"/>
  <c r="AC149" i="1"/>
  <c r="AB149" i="1"/>
  <c r="AB48" i="7" s="1"/>
  <c r="AA149" i="1"/>
  <c r="Z149" i="1"/>
  <c r="Y149" i="1"/>
  <c r="X149" i="1"/>
  <c r="W149" i="1"/>
  <c r="V149" i="1"/>
  <c r="U149" i="1"/>
  <c r="T149" i="1"/>
  <c r="S149" i="1"/>
  <c r="R149" i="1"/>
  <c r="Q149" i="1"/>
  <c r="P149" i="1"/>
  <c r="O149" i="1"/>
  <c r="N149" i="1"/>
  <c r="M149" i="1"/>
  <c r="L149" i="1"/>
  <c r="K149" i="1"/>
  <c r="K48" i="7" s="1"/>
  <c r="J149" i="1"/>
  <c r="J48" i="7" s="1"/>
  <c r="I149" i="1"/>
  <c r="I48" i="7" s="1"/>
  <c r="H149" i="1"/>
  <c r="H48" i="7" s="1"/>
  <c r="G149" i="1"/>
  <c r="G48" i="7" s="1"/>
  <c r="F149" i="1"/>
  <c r="AF148" i="1"/>
  <c r="AE148" i="1"/>
  <c r="AD148" i="1"/>
  <c r="AC148" i="1"/>
  <c r="AB148" i="1"/>
  <c r="AB11" i="7" s="1"/>
  <c r="AC11" i="7" s="1"/>
  <c r="AA148" i="1"/>
  <c r="Z148" i="1"/>
  <c r="Y148" i="1"/>
  <c r="X148" i="1"/>
  <c r="W148" i="1"/>
  <c r="V148" i="1"/>
  <c r="U148" i="1"/>
  <c r="T148" i="1"/>
  <c r="S148" i="1"/>
  <c r="R148" i="1"/>
  <c r="Q148" i="1"/>
  <c r="P148" i="1"/>
  <c r="O148" i="1"/>
  <c r="N148" i="1"/>
  <c r="M148" i="1"/>
  <c r="L148" i="1"/>
  <c r="K148" i="1"/>
  <c r="K11" i="7" s="1"/>
  <c r="J148" i="1"/>
  <c r="J11" i="7" s="1"/>
  <c r="I148" i="1"/>
  <c r="I11" i="7" s="1"/>
  <c r="H148" i="1"/>
  <c r="H11" i="7" s="1"/>
  <c r="G148" i="1"/>
  <c r="G11" i="7" s="1"/>
  <c r="F148" i="1"/>
  <c r="AF147" i="1"/>
  <c r="AE147" i="1"/>
  <c r="AD147" i="1"/>
  <c r="AC147" i="1"/>
  <c r="AB147" i="1"/>
  <c r="AB50" i="7" s="1"/>
  <c r="AA147" i="1"/>
  <c r="Z147" i="1"/>
  <c r="Y147" i="1"/>
  <c r="X147" i="1"/>
  <c r="W147" i="1"/>
  <c r="V147" i="1"/>
  <c r="U147" i="1"/>
  <c r="T147" i="1"/>
  <c r="S147" i="1"/>
  <c r="R147" i="1"/>
  <c r="Q147" i="1"/>
  <c r="P147" i="1"/>
  <c r="O147" i="1"/>
  <c r="N147" i="1"/>
  <c r="M147" i="1"/>
  <c r="L147" i="1"/>
  <c r="K147" i="1"/>
  <c r="K50" i="7" s="1"/>
  <c r="J147" i="1"/>
  <c r="J50" i="7" s="1"/>
  <c r="I147" i="1"/>
  <c r="I50" i="7" s="1"/>
  <c r="H147" i="1"/>
  <c r="H50" i="7" s="1"/>
  <c r="G147" i="1"/>
  <c r="G50" i="7" s="1"/>
  <c r="F147" i="1"/>
  <c r="AF146" i="1"/>
  <c r="AE146" i="1"/>
  <c r="AD146" i="1"/>
  <c r="AC146" i="1"/>
  <c r="AB146" i="1"/>
  <c r="AB13" i="7" s="1"/>
  <c r="AA146" i="1"/>
  <c r="Z146" i="1"/>
  <c r="Y146" i="1"/>
  <c r="X146" i="1"/>
  <c r="W146" i="1"/>
  <c r="V146" i="1"/>
  <c r="U146" i="1"/>
  <c r="T146" i="1"/>
  <c r="S146" i="1"/>
  <c r="R146" i="1"/>
  <c r="Q146" i="1"/>
  <c r="P146" i="1"/>
  <c r="O146" i="1"/>
  <c r="N146" i="1"/>
  <c r="M146" i="1"/>
  <c r="L146" i="1"/>
  <c r="K146" i="1"/>
  <c r="K13" i="7" s="1"/>
  <c r="J146" i="1"/>
  <c r="J13" i="7" s="1"/>
  <c r="I146" i="1"/>
  <c r="I13" i="7" s="1"/>
  <c r="H146" i="1"/>
  <c r="H13" i="7" s="1"/>
  <c r="G146" i="1"/>
  <c r="G13" i="7" s="1"/>
  <c r="F146" i="1"/>
  <c r="AF145" i="1"/>
  <c r="AE145" i="1"/>
  <c r="AD145" i="1"/>
  <c r="AC145" i="1"/>
  <c r="AB145" i="1"/>
  <c r="AA145" i="1"/>
  <c r="Z145" i="1"/>
  <c r="Y145" i="1"/>
  <c r="X145" i="1"/>
  <c r="W145" i="1"/>
  <c r="V145" i="1"/>
  <c r="U145" i="1"/>
  <c r="T145" i="1"/>
  <c r="S145" i="1"/>
  <c r="R145" i="1"/>
  <c r="Q145" i="1"/>
  <c r="P145" i="1"/>
  <c r="O145" i="1"/>
  <c r="N145" i="1"/>
  <c r="M145" i="1"/>
  <c r="L145" i="1"/>
  <c r="K145" i="1"/>
  <c r="J145" i="1"/>
  <c r="I145" i="1"/>
  <c r="H145" i="1"/>
  <c r="G145" i="1"/>
  <c r="F145" i="1"/>
  <c r="AF144" i="1"/>
  <c r="AE144" i="1"/>
  <c r="AD144" i="1"/>
  <c r="AC144" i="1"/>
  <c r="AB144" i="1"/>
  <c r="AA144" i="1"/>
  <c r="Z144" i="1"/>
  <c r="Y144" i="1"/>
  <c r="X144" i="1"/>
  <c r="W144" i="1"/>
  <c r="V144" i="1"/>
  <c r="U144" i="1"/>
  <c r="T144" i="1"/>
  <c r="S144" i="1"/>
  <c r="R144" i="1"/>
  <c r="Q144" i="1"/>
  <c r="P144" i="1"/>
  <c r="O144" i="1"/>
  <c r="N144" i="1"/>
  <c r="M144" i="1"/>
  <c r="L144" i="1"/>
  <c r="K144" i="1"/>
  <c r="K422" i="7" s="1"/>
  <c r="J144" i="1"/>
  <c r="J422" i="7" s="1"/>
  <c r="I144" i="1"/>
  <c r="I422" i="7" s="1"/>
  <c r="H144" i="1"/>
  <c r="H422" i="7" s="1"/>
  <c r="G144" i="1"/>
  <c r="G422" i="7" s="1"/>
  <c r="F144" i="1"/>
  <c r="AF143" i="1"/>
  <c r="AE143" i="1"/>
  <c r="AD143" i="1"/>
  <c r="AC143" i="1"/>
  <c r="AB143" i="1"/>
  <c r="AB83" i="7" s="1"/>
  <c r="AA143" i="1"/>
  <c r="Z143" i="1"/>
  <c r="Y143" i="1"/>
  <c r="X143" i="1"/>
  <c r="W143" i="1"/>
  <c r="V143" i="1"/>
  <c r="U143" i="1"/>
  <c r="T143" i="1"/>
  <c r="S143" i="1"/>
  <c r="R143" i="1"/>
  <c r="Q143" i="1"/>
  <c r="P143" i="1"/>
  <c r="O143" i="1"/>
  <c r="N143" i="1"/>
  <c r="M143" i="1"/>
  <c r="L143" i="1"/>
  <c r="K143" i="1"/>
  <c r="K83" i="7" s="1"/>
  <c r="J143" i="1"/>
  <c r="J83" i="7" s="1"/>
  <c r="I143" i="1"/>
  <c r="I83" i="7" s="1"/>
  <c r="H143" i="1"/>
  <c r="H83" i="7" s="1"/>
  <c r="G143" i="1"/>
  <c r="G83" i="7" s="1"/>
  <c r="F143" i="1"/>
  <c r="AF142" i="1"/>
  <c r="AE142" i="1"/>
  <c r="AD142" i="1"/>
  <c r="AC142" i="1"/>
  <c r="AB142" i="1"/>
  <c r="AA142" i="1"/>
  <c r="Z142" i="1"/>
  <c r="Y142" i="1"/>
  <c r="X142" i="1"/>
  <c r="W142" i="1"/>
  <c r="V142" i="1"/>
  <c r="U142" i="1"/>
  <c r="T142" i="1"/>
  <c r="S142" i="1"/>
  <c r="R142" i="1"/>
  <c r="Q142" i="1"/>
  <c r="P142" i="1"/>
  <c r="O142" i="1"/>
  <c r="N142" i="1"/>
  <c r="M142" i="1"/>
  <c r="L142" i="1"/>
  <c r="K142" i="1"/>
  <c r="K419" i="7" s="1"/>
  <c r="J142" i="1"/>
  <c r="J419" i="7" s="1"/>
  <c r="I142" i="1"/>
  <c r="I419" i="7" s="1"/>
  <c r="H142" i="1"/>
  <c r="H419" i="7" s="1"/>
  <c r="G142" i="1"/>
  <c r="G419" i="7" s="1"/>
  <c r="F142" i="1"/>
  <c r="AF139" i="1"/>
  <c r="AE139" i="1"/>
  <c r="AD139" i="1"/>
  <c r="AC139" i="1"/>
  <c r="AB139" i="1"/>
  <c r="AA139" i="1"/>
  <c r="Z139" i="1"/>
  <c r="Y139" i="1"/>
  <c r="X139" i="1"/>
  <c r="W139" i="1"/>
  <c r="V139" i="1"/>
  <c r="U139" i="1"/>
  <c r="T139" i="1"/>
  <c r="S139" i="1"/>
  <c r="R139" i="1"/>
  <c r="Q139" i="1"/>
  <c r="P139" i="1"/>
  <c r="O139" i="1"/>
  <c r="N139" i="1"/>
  <c r="M139" i="1"/>
  <c r="L139" i="1"/>
  <c r="K139" i="1"/>
  <c r="J139" i="1"/>
  <c r="I139" i="1"/>
  <c r="H139" i="1"/>
  <c r="G139" i="1"/>
  <c r="F139" i="1"/>
  <c r="AF138" i="1"/>
  <c r="AE138" i="1"/>
  <c r="AD138" i="1"/>
  <c r="AC138" i="1"/>
  <c r="AB138" i="1"/>
  <c r="AA138" i="1"/>
  <c r="Z138" i="1"/>
  <c r="Y138" i="1"/>
  <c r="X138" i="1"/>
  <c r="W138" i="1"/>
  <c r="V138" i="1"/>
  <c r="U138" i="1"/>
  <c r="T138" i="1"/>
  <c r="S138" i="1"/>
  <c r="R138" i="1"/>
  <c r="Q138" i="1"/>
  <c r="P138" i="1"/>
  <c r="O138" i="1"/>
  <c r="N138" i="1"/>
  <c r="M138" i="1"/>
  <c r="L138" i="1"/>
  <c r="K138" i="1"/>
  <c r="J138" i="1"/>
  <c r="I138" i="1"/>
  <c r="H138" i="1"/>
  <c r="G138" i="1"/>
  <c r="F138" i="1"/>
  <c r="AF64" i="1"/>
  <c r="AE64" i="1"/>
  <c r="AD64" i="1"/>
  <c r="AC64" i="1"/>
  <c r="AB64" i="1"/>
  <c r="AA64" i="1"/>
  <c r="Z64" i="1"/>
  <c r="Y64" i="1"/>
  <c r="X64" i="1"/>
  <c r="W64" i="1"/>
  <c r="V64" i="1"/>
  <c r="U64" i="1"/>
  <c r="T64" i="1"/>
  <c r="S64" i="1"/>
  <c r="R64" i="1"/>
  <c r="Q64" i="1"/>
  <c r="P64" i="1"/>
  <c r="O64" i="1"/>
  <c r="N64" i="1"/>
  <c r="M64" i="1"/>
  <c r="L64" i="1"/>
  <c r="K64" i="1"/>
  <c r="K427" i="7" s="1"/>
  <c r="J64" i="1"/>
  <c r="J427" i="7" s="1"/>
  <c r="I64" i="1"/>
  <c r="I427" i="7" s="1"/>
  <c r="H64" i="1"/>
  <c r="H427" i="7" s="1"/>
  <c r="G64" i="1"/>
  <c r="G427" i="7" s="1"/>
  <c r="F64" i="1"/>
  <c r="AF61" i="1"/>
  <c r="AE61" i="1"/>
  <c r="AD61" i="1"/>
  <c r="AC61" i="1"/>
  <c r="AB61" i="1"/>
  <c r="AA61" i="1"/>
  <c r="Z61" i="1"/>
  <c r="Y61" i="1"/>
  <c r="X61" i="1"/>
  <c r="W61" i="1"/>
  <c r="V61" i="1"/>
  <c r="U61" i="1"/>
  <c r="T61" i="1"/>
  <c r="S61" i="1"/>
  <c r="R61" i="1"/>
  <c r="Q61" i="1"/>
  <c r="P61" i="1"/>
  <c r="O61" i="1"/>
  <c r="N61" i="1"/>
  <c r="M61" i="1"/>
  <c r="L61" i="1"/>
  <c r="K61" i="1"/>
  <c r="J61" i="1"/>
  <c r="I61" i="1"/>
  <c r="H61" i="1"/>
  <c r="F61" i="1"/>
  <c r="AF106" i="1"/>
  <c r="AE106" i="1"/>
  <c r="AD106" i="1"/>
  <c r="AC106" i="1"/>
  <c r="AB106" i="1"/>
  <c r="AA106" i="1"/>
  <c r="Z106" i="1"/>
  <c r="Y106" i="1"/>
  <c r="X106" i="1"/>
  <c r="W106" i="1"/>
  <c r="V106" i="1"/>
  <c r="U106" i="1"/>
  <c r="T106" i="1"/>
  <c r="S106" i="1"/>
  <c r="R106" i="1"/>
  <c r="Q106" i="1"/>
  <c r="P106" i="1"/>
  <c r="O106" i="1"/>
  <c r="N106" i="1"/>
  <c r="M106" i="1"/>
  <c r="L106" i="1"/>
  <c r="K106" i="1"/>
  <c r="K114" i="7" s="1"/>
  <c r="J106" i="1"/>
  <c r="J114" i="7" s="1"/>
  <c r="I106" i="1"/>
  <c r="I114" i="7" s="1"/>
  <c r="H106" i="1"/>
  <c r="H114" i="7" s="1"/>
  <c r="G106" i="1"/>
  <c r="G114" i="7" s="1"/>
  <c r="F106" i="1"/>
  <c r="AF104" i="1"/>
  <c r="AE104" i="1"/>
  <c r="AD104" i="1"/>
  <c r="AC104" i="1"/>
  <c r="AC45" i="7" s="1"/>
  <c r="AB104" i="1"/>
  <c r="AA104" i="1"/>
  <c r="Z104" i="1"/>
  <c r="Y104" i="1"/>
  <c r="X104" i="1"/>
  <c r="W104" i="1"/>
  <c r="V104" i="1"/>
  <c r="U104" i="1"/>
  <c r="T104" i="1"/>
  <c r="S104" i="1"/>
  <c r="R104" i="1"/>
  <c r="Q104" i="1"/>
  <c r="P104" i="1"/>
  <c r="O104" i="1"/>
  <c r="N104" i="1"/>
  <c r="M104" i="1"/>
  <c r="L104" i="1"/>
  <c r="K104" i="1"/>
  <c r="K45" i="7" s="1"/>
  <c r="J104" i="1"/>
  <c r="J45" i="7" s="1"/>
  <c r="I104" i="1"/>
  <c r="I45" i="7" s="1"/>
  <c r="H104" i="1"/>
  <c r="H45" i="7" s="1"/>
  <c r="G104" i="1"/>
  <c r="G45" i="7" s="1"/>
  <c r="F104" i="1"/>
  <c r="AF103" i="1"/>
  <c r="AE103" i="1"/>
  <c r="AD103" i="1"/>
  <c r="AC103" i="1"/>
  <c r="AC8" i="7" s="1"/>
  <c r="AB103" i="1"/>
  <c r="AB8" i="7" s="1"/>
  <c r="AA103" i="1"/>
  <c r="Z103" i="1"/>
  <c r="Y103" i="1"/>
  <c r="X103" i="1"/>
  <c r="W103" i="1"/>
  <c r="V103" i="1"/>
  <c r="U103" i="1"/>
  <c r="T103" i="1"/>
  <c r="S103" i="1"/>
  <c r="R103" i="1"/>
  <c r="Q103" i="1"/>
  <c r="P103" i="1"/>
  <c r="O103" i="1"/>
  <c r="N103" i="1"/>
  <c r="M103" i="1"/>
  <c r="L103" i="1"/>
  <c r="K103" i="1"/>
  <c r="K8" i="7" s="1"/>
  <c r="J103" i="1"/>
  <c r="J8" i="7" s="1"/>
  <c r="I103" i="1"/>
  <c r="I8" i="7" s="1"/>
  <c r="H103" i="1"/>
  <c r="H8" i="7" s="1"/>
  <c r="G103" i="1"/>
  <c r="G8" i="7" s="1"/>
  <c r="F103" i="1"/>
  <c r="AF101" i="1"/>
  <c r="AE101" i="1"/>
  <c r="AD101" i="1"/>
  <c r="AC101" i="1"/>
  <c r="AC214" i="8" s="1"/>
  <c r="AC217" i="8" s="1"/>
  <c r="AB101" i="1"/>
  <c r="AB214" i="8" s="1"/>
  <c r="AA101" i="1"/>
  <c r="Z101" i="1"/>
  <c r="Y101" i="1"/>
  <c r="X101" i="1"/>
  <c r="W101" i="1"/>
  <c r="V101" i="1"/>
  <c r="U101" i="1"/>
  <c r="T101" i="1"/>
  <c r="S101" i="1"/>
  <c r="R101" i="1"/>
  <c r="Q101" i="1"/>
  <c r="P101" i="1"/>
  <c r="O101" i="1"/>
  <c r="N101" i="1"/>
  <c r="M101" i="1"/>
  <c r="L101" i="1"/>
  <c r="K101" i="1"/>
  <c r="J101" i="1"/>
  <c r="I101" i="1"/>
  <c r="H101" i="1"/>
  <c r="G101" i="1"/>
  <c r="F101" i="1"/>
  <c r="AF100" i="1"/>
  <c r="AE100" i="1"/>
  <c r="AD100" i="1"/>
  <c r="AC100" i="1"/>
  <c r="AC88" i="7" s="1"/>
  <c r="DP119" i="11" s="1"/>
  <c r="AB100" i="1"/>
  <c r="AB88" i="7" s="1"/>
  <c r="AA100" i="1"/>
  <c r="Z100" i="1"/>
  <c r="Y100" i="1"/>
  <c r="X100" i="1"/>
  <c r="W100" i="1"/>
  <c r="V100" i="1"/>
  <c r="U100" i="1"/>
  <c r="T100" i="1"/>
  <c r="S100" i="1"/>
  <c r="R100" i="1"/>
  <c r="Q100" i="1"/>
  <c r="P100" i="1"/>
  <c r="O100" i="1"/>
  <c r="N100" i="1"/>
  <c r="M100" i="1"/>
  <c r="L100" i="1"/>
  <c r="K100" i="1"/>
  <c r="K88" i="7" s="1"/>
  <c r="J100" i="1"/>
  <c r="J88" i="7" s="1"/>
  <c r="I100" i="1"/>
  <c r="I88" i="7" s="1"/>
  <c r="H100" i="1"/>
  <c r="H88" i="7" s="1"/>
  <c r="G100" i="1"/>
  <c r="G88" i="7" s="1"/>
  <c r="G101" i="7" s="1"/>
  <c r="F100" i="1"/>
  <c r="AF98" i="1"/>
  <c r="AE98" i="1"/>
  <c r="AD98" i="1"/>
  <c r="AC98" i="1"/>
  <c r="AB98" i="1"/>
  <c r="AB341" i="12" s="1"/>
  <c r="AA98" i="1"/>
  <c r="Z98" i="1"/>
  <c r="Y98" i="1"/>
  <c r="X98" i="1"/>
  <c r="W98" i="1"/>
  <c r="V98" i="1"/>
  <c r="U98" i="1"/>
  <c r="T98" i="1"/>
  <c r="S98" i="1"/>
  <c r="R98" i="1"/>
  <c r="Q98" i="1"/>
  <c r="P98" i="1"/>
  <c r="O98" i="1"/>
  <c r="N98" i="1"/>
  <c r="M98" i="1"/>
  <c r="L98" i="1"/>
  <c r="K98" i="1"/>
  <c r="J98" i="1"/>
  <c r="I98" i="1"/>
  <c r="H98" i="1"/>
  <c r="G98" i="1"/>
  <c r="F98" i="1"/>
  <c r="AF96" i="1"/>
  <c r="AE96" i="1"/>
  <c r="AD96" i="1"/>
  <c r="AC96" i="1"/>
  <c r="AB96" i="1"/>
  <c r="AA96" i="1"/>
  <c r="Z96" i="1"/>
  <c r="Y96" i="1"/>
  <c r="X96" i="1"/>
  <c r="W96" i="1"/>
  <c r="V96" i="1"/>
  <c r="U96" i="1"/>
  <c r="T96" i="1"/>
  <c r="S96" i="1"/>
  <c r="R96" i="1"/>
  <c r="Q96" i="1"/>
  <c r="P96" i="1"/>
  <c r="O96" i="1"/>
  <c r="N96" i="1"/>
  <c r="M96" i="1"/>
  <c r="L96" i="1"/>
  <c r="K96" i="1"/>
  <c r="J96" i="1"/>
  <c r="I96" i="1"/>
  <c r="H96" i="1"/>
  <c r="G96" i="1"/>
  <c r="F96" i="1"/>
  <c r="AF95" i="1"/>
  <c r="AE95" i="1"/>
  <c r="AD95" i="1"/>
  <c r="AC95" i="1"/>
  <c r="AB95" i="1"/>
  <c r="AA95" i="1"/>
  <c r="Z95" i="1"/>
  <c r="Y95" i="1"/>
  <c r="X95" i="1"/>
  <c r="W95" i="1"/>
  <c r="V95" i="1"/>
  <c r="U95" i="1"/>
  <c r="T95" i="1"/>
  <c r="S95" i="1"/>
  <c r="R95" i="1"/>
  <c r="Q95" i="1"/>
  <c r="P95" i="1"/>
  <c r="O95" i="1"/>
  <c r="N95" i="1"/>
  <c r="M95" i="1"/>
  <c r="L95" i="1"/>
  <c r="K95" i="1"/>
  <c r="J95" i="1"/>
  <c r="I95" i="1"/>
  <c r="H95" i="1"/>
  <c r="G95" i="1"/>
  <c r="F95" i="1"/>
  <c r="AF94" i="1"/>
  <c r="AE94" i="1"/>
  <c r="AD94" i="1"/>
  <c r="AC94" i="1"/>
  <c r="AB94" i="1"/>
  <c r="AA94" i="1"/>
  <c r="Z94" i="1"/>
  <c r="Y94" i="1"/>
  <c r="X94" i="1"/>
  <c r="W94" i="1"/>
  <c r="V94" i="1"/>
  <c r="U94" i="1"/>
  <c r="T94" i="1"/>
  <c r="S94" i="1"/>
  <c r="R94" i="1"/>
  <c r="Q94" i="1"/>
  <c r="P94" i="1"/>
  <c r="O94" i="1"/>
  <c r="N94" i="1"/>
  <c r="M94" i="1"/>
  <c r="L94" i="1"/>
  <c r="K94" i="1"/>
  <c r="J94" i="1"/>
  <c r="I94" i="1"/>
  <c r="H94" i="1"/>
  <c r="G94" i="1"/>
  <c r="F94" i="1"/>
  <c r="AF93" i="1"/>
  <c r="AE93" i="1"/>
  <c r="AD93" i="1"/>
  <c r="AC93" i="1"/>
  <c r="AC311" i="12" s="1"/>
  <c r="AB93" i="1"/>
  <c r="AA93" i="1"/>
  <c r="Z93" i="1"/>
  <c r="Y93" i="1"/>
  <c r="X93" i="1"/>
  <c r="W93" i="1"/>
  <c r="V93" i="1"/>
  <c r="U93" i="1"/>
  <c r="T93" i="1"/>
  <c r="S93" i="1"/>
  <c r="R93" i="1"/>
  <c r="Q93" i="1"/>
  <c r="P93" i="1"/>
  <c r="O93" i="1"/>
  <c r="N93" i="1"/>
  <c r="M93" i="1"/>
  <c r="L93" i="1"/>
  <c r="K93" i="1"/>
  <c r="J93" i="1"/>
  <c r="I93" i="1"/>
  <c r="H93" i="1"/>
  <c r="G93" i="1"/>
  <c r="F93" i="1"/>
  <c r="AF92" i="1"/>
  <c r="AE92" i="1"/>
  <c r="AD92" i="1"/>
  <c r="AC92" i="1"/>
  <c r="AC309" i="12" s="1"/>
  <c r="AB92" i="1"/>
  <c r="AA92" i="1"/>
  <c r="Z92" i="1"/>
  <c r="Y92" i="1"/>
  <c r="X92" i="1"/>
  <c r="W92" i="1"/>
  <c r="V92" i="1"/>
  <c r="U92" i="1"/>
  <c r="T92" i="1"/>
  <c r="S92" i="1"/>
  <c r="R92" i="1"/>
  <c r="Q92" i="1"/>
  <c r="P92" i="1"/>
  <c r="O92" i="1"/>
  <c r="N92" i="1"/>
  <c r="M92" i="1"/>
  <c r="L92" i="1"/>
  <c r="K92" i="1"/>
  <c r="J92" i="1"/>
  <c r="I92" i="1"/>
  <c r="H92" i="1"/>
  <c r="G92" i="1"/>
  <c r="F92" i="1"/>
  <c r="AF91" i="1"/>
  <c r="AE91" i="1"/>
  <c r="AD91" i="1"/>
  <c r="AC91" i="1"/>
  <c r="AC310" i="12" s="1"/>
  <c r="AB91" i="1"/>
  <c r="AA91" i="1"/>
  <c r="Z91" i="1"/>
  <c r="Y91" i="1"/>
  <c r="X91" i="1"/>
  <c r="W91" i="1"/>
  <c r="V91" i="1"/>
  <c r="U91" i="1"/>
  <c r="T91" i="1"/>
  <c r="S91" i="1"/>
  <c r="R91" i="1"/>
  <c r="Q91" i="1"/>
  <c r="P91" i="1"/>
  <c r="O91" i="1"/>
  <c r="N91" i="1"/>
  <c r="M91" i="1"/>
  <c r="L91" i="1"/>
  <c r="K91" i="1"/>
  <c r="J91" i="1"/>
  <c r="I91" i="1"/>
  <c r="H91" i="1"/>
  <c r="G91" i="1"/>
  <c r="F91" i="1"/>
  <c r="AF89" i="1"/>
  <c r="AE89" i="1"/>
  <c r="AD89" i="1"/>
  <c r="AC89" i="1"/>
  <c r="AC279" i="12" s="1"/>
  <c r="AB89" i="1"/>
  <c r="AB279" i="12" s="1"/>
  <c r="AA89" i="1"/>
  <c r="Z89" i="1"/>
  <c r="Y89" i="1"/>
  <c r="X89" i="1"/>
  <c r="W89" i="1"/>
  <c r="V89" i="1"/>
  <c r="U89" i="1"/>
  <c r="T89" i="1"/>
  <c r="S89" i="1"/>
  <c r="R89" i="1"/>
  <c r="Q89" i="1"/>
  <c r="P89" i="1"/>
  <c r="O89" i="1"/>
  <c r="N89" i="1"/>
  <c r="M89" i="1"/>
  <c r="L89" i="1"/>
  <c r="K89" i="1"/>
  <c r="J89" i="1"/>
  <c r="I89" i="1"/>
  <c r="H89" i="1"/>
  <c r="G89" i="1"/>
  <c r="F89" i="1"/>
  <c r="AF88" i="1"/>
  <c r="AE88" i="1"/>
  <c r="AD88" i="1"/>
  <c r="AC88" i="1"/>
  <c r="AC277" i="12" s="1"/>
  <c r="AB88" i="1"/>
  <c r="AB277" i="12" s="1"/>
  <c r="AA88" i="1"/>
  <c r="Z88" i="1"/>
  <c r="Y88" i="1"/>
  <c r="X88" i="1"/>
  <c r="W88" i="1"/>
  <c r="V88" i="1"/>
  <c r="U88" i="1"/>
  <c r="T88" i="1"/>
  <c r="S88" i="1"/>
  <c r="R88" i="1"/>
  <c r="Q88" i="1"/>
  <c r="P88" i="1"/>
  <c r="O88" i="1"/>
  <c r="N88" i="1"/>
  <c r="M88" i="1"/>
  <c r="L88" i="1"/>
  <c r="K88" i="1"/>
  <c r="J88" i="1"/>
  <c r="I88" i="1"/>
  <c r="H88" i="1"/>
  <c r="G88" i="1"/>
  <c r="F88" i="1"/>
  <c r="AF87" i="1"/>
  <c r="AE87" i="1"/>
  <c r="AD87" i="1"/>
  <c r="AC87" i="1"/>
  <c r="AC278" i="12" s="1"/>
  <c r="AB87" i="1"/>
  <c r="AB278" i="12" s="1"/>
  <c r="AA87" i="1"/>
  <c r="Z87" i="1"/>
  <c r="Y87" i="1"/>
  <c r="X87" i="1"/>
  <c r="W87" i="1"/>
  <c r="V87" i="1"/>
  <c r="U87" i="1"/>
  <c r="T87" i="1"/>
  <c r="S87" i="1"/>
  <c r="R87" i="1"/>
  <c r="Q87" i="1"/>
  <c r="P87" i="1"/>
  <c r="O87" i="1"/>
  <c r="N87" i="1"/>
  <c r="M87" i="1"/>
  <c r="L87" i="1"/>
  <c r="K87" i="1"/>
  <c r="J87" i="1"/>
  <c r="I87" i="1"/>
  <c r="H87" i="1"/>
  <c r="G87" i="1"/>
  <c r="F87" i="1"/>
  <c r="AF86" i="1"/>
  <c r="AE86" i="1"/>
  <c r="AD86" i="1"/>
  <c r="AC86" i="1"/>
  <c r="AB86" i="1"/>
  <c r="AB797" i="7" s="1"/>
  <c r="AA86" i="1"/>
  <c r="Z86" i="1"/>
  <c r="Y86" i="1"/>
  <c r="X86" i="1"/>
  <c r="W86" i="1"/>
  <c r="V86" i="1"/>
  <c r="U86" i="1"/>
  <c r="T86" i="1"/>
  <c r="S86" i="1"/>
  <c r="R86" i="1"/>
  <c r="Q86" i="1"/>
  <c r="P86" i="1"/>
  <c r="O86" i="1"/>
  <c r="N86" i="1"/>
  <c r="M86" i="1"/>
  <c r="L86" i="1"/>
  <c r="K86" i="1"/>
  <c r="K797" i="7" s="1"/>
  <c r="J86" i="1"/>
  <c r="J797" i="7" s="1"/>
  <c r="I86" i="1"/>
  <c r="I797" i="7" s="1"/>
  <c r="H86" i="1"/>
  <c r="H797" i="7" s="1"/>
  <c r="G86" i="1"/>
  <c r="G797" i="7" s="1"/>
  <c r="F86" i="1"/>
  <c r="AF85" i="1"/>
  <c r="AE85" i="1"/>
  <c r="AD85" i="1"/>
  <c r="AC85" i="1"/>
  <c r="AB85" i="1"/>
  <c r="AB566" i="7" s="1"/>
  <c r="AA85" i="1"/>
  <c r="AA566" i="7" s="1"/>
  <c r="Z85" i="1"/>
  <c r="Y85" i="1"/>
  <c r="X85" i="1"/>
  <c r="W85" i="1"/>
  <c r="V85" i="1"/>
  <c r="U85" i="1"/>
  <c r="T85" i="1"/>
  <c r="S85" i="1"/>
  <c r="R85" i="1"/>
  <c r="Q85" i="1"/>
  <c r="P85" i="1"/>
  <c r="O85" i="1"/>
  <c r="N85" i="1"/>
  <c r="M85" i="1"/>
  <c r="L85" i="1"/>
  <c r="K85" i="1"/>
  <c r="K566" i="7" s="1"/>
  <c r="J85" i="1"/>
  <c r="J566" i="7" s="1"/>
  <c r="I85" i="1"/>
  <c r="I566" i="7" s="1"/>
  <c r="H85" i="1"/>
  <c r="H566" i="7" s="1"/>
  <c r="G85" i="1"/>
  <c r="G566" i="7" s="1"/>
  <c r="F85" i="1"/>
  <c r="AF83" i="1"/>
  <c r="AE83" i="1"/>
  <c r="AD83" i="1"/>
  <c r="AC83" i="1"/>
  <c r="AB83" i="1"/>
  <c r="AA83" i="1"/>
  <c r="Z83" i="1"/>
  <c r="Y83" i="1"/>
  <c r="X83" i="1"/>
  <c r="W83" i="1"/>
  <c r="V83" i="1"/>
  <c r="U83" i="1"/>
  <c r="T83" i="1"/>
  <c r="S83" i="1"/>
  <c r="R83" i="1"/>
  <c r="Q83" i="1"/>
  <c r="P83" i="1"/>
  <c r="O83" i="1"/>
  <c r="N83" i="1"/>
  <c r="M83" i="1"/>
  <c r="L83" i="1"/>
  <c r="K83" i="1"/>
  <c r="J83" i="1"/>
  <c r="I83" i="1"/>
  <c r="H83" i="1"/>
  <c r="G83" i="1"/>
  <c r="F83" i="1"/>
  <c r="AF82" i="1"/>
  <c r="AE82" i="1"/>
  <c r="AD82" i="1"/>
  <c r="AC82" i="1"/>
  <c r="AB82" i="1"/>
  <c r="AA82" i="1"/>
  <c r="Z82" i="1"/>
  <c r="Y82" i="1"/>
  <c r="X82" i="1"/>
  <c r="W82" i="1"/>
  <c r="V82" i="1"/>
  <c r="U82" i="1"/>
  <c r="T82" i="1"/>
  <c r="S82" i="1"/>
  <c r="R82" i="1"/>
  <c r="Q82" i="1"/>
  <c r="P82" i="1"/>
  <c r="O82" i="1"/>
  <c r="N82" i="1"/>
  <c r="M82" i="1"/>
  <c r="L82" i="1"/>
  <c r="K82" i="1"/>
  <c r="J82" i="1"/>
  <c r="I82" i="1"/>
  <c r="H82" i="1"/>
  <c r="G82" i="1"/>
  <c r="F82" i="1"/>
  <c r="AF81" i="1"/>
  <c r="AE81" i="1"/>
  <c r="AD81" i="1"/>
  <c r="AC81" i="1"/>
  <c r="AB81" i="1"/>
  <c r="AA81" i="1"/>
  <c r="Z81" i="1"/>
  <c r="Y81" i="1"/>
  <c r="X81" i="1"/>
  <c r="W81" i="1"/>
  <c r="V81" i="1"/>
  <c r="U81" i="1"/>
  <c r="T81" i="1"/>
  <c r="S81" i="1"/>
  <c r="R81" i="1"/>
  <c r="Q81" i="1"/>
  <c r="P81" i="1"/>
  <c r="O81" i="1"/>
  <c r="N81" i="1"/>
  <c r="M81" i="1"/>
  <c r="L81" i="1"/>
  <c r="K81" i="1"/>
  <c r="J81" i="1"/>
  <c r="I81" i="1"/>
  <c r="H81" i="1"/>
  <c r="G81" i="1"/>
  <c r="F81" i="1"/>
  <c r="AF79" i="1"/>
  <c r="AE79" i="1"/>
  <c r="AD79" i="1"/>
  <c r="AC79" i="1"/>
  <c r="AB79" i="1"/>
  <c r="AA79" i="1"/>
  <c r="Z79" i="1"/>
  <c r="Y79" i="1"/>
  <c r="X79" i="1"/>
  <c r="W79" i="1"/>
  <c r="V79" i="1"/>
  <c r="U79" i="1"/>
  <c r="T79" i="1"/>
  <c r="S79" i="1"/>
  <c r="R79" i="1"/>
  <c r="Q79" i="1"/>
  <c r="P79" i="1"/>
  <c r="O79" i="1"/>
  <c r="N79" i="1"/>
  <c r="M79" i="1"/>
  <c r="L79" i="1"/>
  <c r="K79" i="1"/>
  <c r="K544" i="7" s="1"/>
  <c r="J79" i="1"/>
  <c r="J544" i="7" s="1"/>
  <c r="I79" i="1"/>
  <c r="I544" i="7" s="1"/>
  <c r="H79" i="1"/>
  <c r="H544" i="7" s="1"/>
  <c r="G79" i="1"/>
  <c r="G544" i="7" s="1"/>
  <c r="F79" i="1"/>
  <c r="AF78" i="1"/>
  <c r="AE78" i="1"/>
  <c r="AD78" i="1"/>
  <c r="AC78" i="1"/>
  <c r="AC212" i="12" s="1"/>
  <c r="AB78" i="1"/>
  <c r="AA78" i="1"/>
  <c r="Z78" i="1"/>
  <c r="Y78" i="1"/>
  <c r="X78" i="1"/>
  <c r="W78" i="1"/>
  <c r="V78" i="1"/>
  <c r="U78" i="1"/>
  <c r="T78" i="1"/>
  <c r="S78" i="1"/>
  <c r="R78" i="1"/>
  <c r="Q78" i="1"/>
  <c r="P78" i="1"/>
  <c r="O78" i="1"/>
  <c r="N78" i="1"/>
  <c r="M78" i="1"/>
  <c r="L78" i="1"/>
  <c r="K78" i="1"/>
  <c r="J78" i="1"/>
  <c r="I78" i="1"/>
  <c r="H78" i="1"/>
  <c r="G78" i="1"/>
  <c r="F78" i="1"/>
  <c r="AF76" i="1"/>
  <c r="AE76" i="1"/>
  <c r="AD76" i="1"/>
  <c r="AC76" i="1"/>
  <c r="AB76" i="1"/>
  <c r="AA76" i="1"/>
  <c r="Z76" i="1"/>
  <c r="Y76" i="1"/>
  <c r="X76" i="1"/>
  <c r="W76" i="1"/>
  <c r="V76" i="1"/>
  <c r="U76" i="1"/>
  <c r="T76" i="1"/>
  <c r="S76" i="1"/>
  <c r="R76" i="1"/>
  <c r="Q76" i="1"/>
  <c r="P76" i="1"/>
  <c r="O76" i="1"/>
  <c r="N76" i="1"/>
  <c r="M76" i="1"/>
  <c r="L76" i="1"/>
  <c r="K76" i="1"/>
  <c r="J76" i="1"/>
  <c r="I76" i="1"/>
  <c r="H76" i="1"/>
  <c r="G76" i="1"/>
  <c r="F76" i="1"/>
  <c r="AF75" i="1"/>
  <c r="AE75" i="1"/>
  <c r="AD75" i="1"/>
  <c r="AC75" i="1"/>
  <c r="AB75" i="1"/>
  <c r="AA75" i="1"/>
  <c r="Z75" i="1"/>
  <c r="Y75" i="1"/>
  <c r="X75" i="1"/>
  <c r="W75" i="1"/>
  <c r="V75" i="1"/>
  <c r="U75" i="1"/>
  <c r="T75" i="1"/>
  <c r="S75" i="1"/>
  <c r="R75" i="1"/>
  <c r="Q75" i="1"/>
  <c r="P75" i="1"/>
  <c r="O75" i="1"/>
  <c r="N75" i="1"/>
  <c r="M75" i="1"/>
  <c r="L75" i="1"/>
  <c r="K75" i="1"/>
  <c r="J75" i="1"/>
  <c r="I75" i="1"/>
  <c r="H75" i="1"/>
  <c r="G75" i="1"/>
  <c r="F75" i="1"/>
  <c r="AF74" i="1"/>
  <c r="AE74" i="1"/>
  <c r="AD74" i="1"/>
  <c r="AC74" i="1"/>
  <c r="AC206" i="12" s="1"/>
  <c r="AB74" i="1"/>
  <c r="AA74" i="1"/>
  <c r="Z74" i="1"/>
  <c r="Y74" i="1"/>
  <c r="X74" i="1"/>
  <c r="W74" i="1"/>
  <c r="V74" i="1"/>
  <c r="U74" i="1"/>
  <c r="T74" i="1"/>
  <c r="S74" i="1"/>
  <c r="R74" i="1"/>
  <c r="Q74" i="1"/>
  <c r="P74" i="1"/>
  <c r="O74" i="1"/>
  <c r="N74" i="1"/>
  <c r="M74" i="1"/>
  <c r="L74" i="1"/>
  <c r="K74" i="1"/>
  <c r="J74" i="1"/>
  <c r="I74" i="1"/>
  <c r="H74" i="1"/>
  <c r="G74" i="1"/>
  <c r="F74" i="1"/>
  <c r="AF73" i="1"/>
  <c r="AE73" i="1"/>
  <c r="AD73" i="1"/>
  <c r="AC73" i="1"/>
  <c r="AC210" i="12" s="1"/>
  <c r="AB73" i="1"/>
  <c r="AA73" i="1"/>
  <c r="Z73" i="1"/>
  <c r="Y73" i="1"/>
  <c r="X73" i="1"/>
  <c r="W73" i="1"/>
  <c r="V73" i="1"/>
  <c r="U73" i="1"/>
  <c r="T73" i="1"/>
  <c r="S73" i="1"/>
  <c r="R73" i="1"/>
  <c r="Q73" i="1"/>
  <c r="P73" i="1"/>
  <c r="O73" i="1"/>
  <c r="N73" i="1"/>
  <c r="M73" i="1"/>
  <c r="L73" i="1"/>
  <c r="K73" i="1"/>
  <c r="J73" i="1"/>
  <c r="I73" i="1"/>
  <c r="H73" i="1"/>
  <c r="G73" i="1"/>
  <c r="F73" i="1"/>
  <c r="AF70" i="1"/>
  <c r="AE70" i="1"/>
  <c r="AD70" i="1"/>
  <c r="AC70" i="1"/>
  <c r="AC205" i="12" s="1"/>
  <c r="AB70" i="1"/>
  <c r="AA70" i="1"/>
  <c r="Z70" i="1"/>
  <c r="Y70" i="1"/>
  <c r="X70" i="1"/>
  <c r="W70" i="1"/>
  <c r="V70" i="1"/>
  <c r="U70" i="1"/>
  <c r="T70" i="1"/>
  <c r="S70" i="1"/>
  <c r="R70" i="1"/>
  <c r="Q70" i="1"/>
  <c r="P70" i="1"/>
  <c r="O70" i="1"/>
  <c r="N70" i="1"/>
  <c r="M70" i="1"/>
  <c r="L70" i="1"/>
  <c r="K70" i="1"/>
  <c r="J70" i="1"/>
  <c r="I70" i="1"/>
  <c r="H70" i="1"/>
  <c r="G70" i="1"/>
  <c r="F70" i="1"/>
  <c r="AF68" i="1"/>
  <c r="AE68" i="1"/>
  <c r="AD68" i="1"/>
  <c r="AC68" i="1"/>
  <c r="AC204" i="12" s="1"/>
  <c r="AB68" i="1"/>
  <c r="AA68" i="1"/>
  <c r="Z68" i="1"/>
  <c r="Y68" i="1"/>
  <c r="X68" i="1"/>
  <c r="W68" i="1"/>
  <c r="V68" i="1"/>
  <c r="U68" i="1"/>
  <c r="T68" i="1"/>
  <c r="S68" i="1"/>
  <c r="R68" i="1"/>
  <c r="Q68" i="1"/>
  <c r="P68" i="1"/>
  <c r="O68" i="1"/>
  <c r="N68" i="1"/>
  <c r="M68" i="1"/>
  <c r="L68" i="1"/>
  <c r="K68" i="1"/>
  <c r="J68" i="1"/>
  <c r="I68" i="1"/>
  <c r="H68" i="1"/>
  <c r="G68" i="1"/>
  <c r="F68" i="1"/>
  <c r="AF65" i="1"/>
  <c r="AE65" i="1"/>
  <c r="AD65" i="1"/>
  <c r="AC65" i="1"/>
  <c r="AC191" i="12" s="1"/>
  <c r="AB65" i="1"/>
  <c r="AA65" i="1"/>
  <c r="Z65" i="1"/>
  <c r="Y65" i="1"/>
  <c r="X65" i="1"/>
  <c r="W65" i="1"/>
  <c r="V65" i="1"/>
  <c r="U65" i="1"/>
  <c r="T65" i="1"/>
  <c r="S65" i="1"/>
  <c r="R65" i="1"/>
  <c r="Q65" i="1"/>
  <c r="P65" i="1"/>
  <c r="O65" i="1"/>
  <c r="N65" i="1"/>
  <c r="M65" i="1"/>
  <c r="L65" i="1"/>
  <c r="K65" i="1"/>
  <c r="J65" i="1"/>
  <c r="I65" i="1"/>
  <c r="H65" i="1"/>
  <c r="G65" i="1"/>
  <c r="F65" i="1"/>
  <c r="AF63" i="1"/>
  <c r="AE63" i="1"/>
  <c r="AD63" i="1"/>
  <c r="AC63" i="1"/>
  <c r="AC193" i="12" s="1"/>
  <c r="AB63" i="1"/>
  <c r="AA63" i="1"/>
  <c r="Z63" i="1"/>
  <c r="Y63" i="1"/>
  <c r="X63" i="1"/>
  <c r="W63" i="1"/>
  <c r="V63" i="1"/>
  <c r="U63" i="1"/>
  <c r="T63" i="1"/>
  <c r="S63" i="1"/>
  <c r="R63" i="1"/>
  <c r="Q63" i="1"/>
  <c r="P63" i="1"/>
  <c r="O63" i="1"/>
  <c r="N63" i="1"/>
  <c r="M63" i="1"/>
  <c r="L63" i="1"/>
  <c r="K63" i="1"/>
  <c r="J63" i="1"/>
  <c r="I63" i="1"/>
  <c r="H63" i="1"/>
  <c r="G63" i="1"/>
  <c r="F63" i="1"/>
  <c r="AF62" i="1"/>
  <c r="AE62" i="1"/>
  <c r="AD62" i="1"/>
  <c r="AC62" i="1"/>
  <c r="AC192" i="12" s="1"/>
  <c r="AB62" i="1"/>
  <c r="AA62" i="1"/>
  <c r="Z62" i="1"/>
  <c r="Y62" i="1"/>
  <c r="X62" i="1"/>
  <c r="W62" i="1"/>
  <c r="V62" i="1"/>
  <c r="U62" i="1"/>
  <c r="T62" i="1"/>
  <c r="S62" i="1"/>
  <c r="R62" i="1"/>
  <c r="Q62" i="1"/>
  <c r="P62" i="1"/>
  <c r="O62" i="1"/>
  <c r="N62" i="1"/>
  <c r="M62" i="1"/>
  <c r="L62" i="1"/>
  <c r="K62" i="1"/>
  <c r="J62" i="1"/>
  <c r="I62" i="1"/>
  <c r="H62" i="1"/>
  <c r="G62" i="1"/>
  <c r="F62" i="1"/>
  <c r="G61" i="1"/>
  <c r="AF60" i="1"/>
  <c r="AE60" i="1"/>
  <c r="AD60" i="1"/>
  <c r="AC60" i="1"/>
  <c r="AC185" i="12" s="1"/>
  <c r="AB60" i="1"/>
  <c r="AA60" i="1"/>
  <c r="Z60" i="1"/>
  <c r="Y60" i="1"/>
  <c r="X60" i="1"/>
  <c r="W60" i="1"/>
  <c r="V60" i="1"/>
  <c r="U60" i="1"/>
  <c r="T60" i="1"/>
  <c r="S60" i="1"/>
  <c r="R60" i="1"/>
  <c r="Q60" i="1"/>
  <c r="P60" i="1"/>
  <c r="O60" i="1"/>
  <c r="N60" i="1"/>
  <c r="M60" i="1"/>
  <c r="L60" i="1"/>
  <c r="K60" i="1"/>
  <c r="J60" i="1"/>
  <c r="I60" i="1"/>
  <c r="H60" i="1"/>
  <c r="G60" i="1"/>
  <c r="F60" i="1"/>
  <c r="AF55" i="1"/>
  <c r="AE55" i="1"/>
  <c r="AD55" i="1"/>
  <c r="AC55" i="1"/>
  <c r="AC125" i="12" s="1"/>
  <c r="AB55" i="1"/>
  <c r="AA55" i="1"/>
  <c r="Z55" i="1"/>
  <c r="Y55" i="1"/>
  <c r="X55" i="1"/>
  <c r="W55" i="1"/>
  <c r="V55" i="1"/>
  <c r="U55" i="1"/>
  <c r="T55" i="1"/>
  <c r="S55" i="1"/>
  <c r="R55" i="1"/>
  <c r="Q55" i="1"/>
  <c r="P55" i="1"/>
  <c r="O55" i="1"/>
  <c r="N55" i="1"/>
  <c r="M55" i="1"/>
  <c r="L55" i="1"/>
  <c r="K55" i="1"/>
  <c r="J55" i="1"/>
  <c r="I55" i="1"/>
  <c r="H55" i="1"/>
  <c r="G55" i="1"/>
  <c r="F55" i="1"/>
  <c r="AF53" i="1"/>
  <c r="AE53" i="1"/>
  <c r="AD53" i="1"/>
  <c r="AC53" i="1"/>
  <c r="AC159" i="12" s="1"/>
  <c r="AB53" i="1"/>
  <c r="AA53" i="1"/>
  <c r="Z53" i="1"/>
  <c r="Y53" i="1"/>
  <c r="X53" i="1"/>
  <c r="W53" i="1"/>
  <c r="V53" i="1"/>
  <c r="U53" i="1"/>
  <c r="T53" i="1"/>
  <c r="S53" i="1"/>
  <c r="R53" i="1"/>
  <c r="Q53" i="1"/>
  <c r="P53" i="1"/>
  <c r="O53" i="1"/>
  <c r="N53" i="1"/>
  <c r="M53" i="1"/>
  <c r="L53" i="1"/>
  <c r="K53" i="1"/>
  <c r="J53" i="1"/>
  <c r="I53" i="1"/>
  <c r="H53" i="1"/>
  <c r="G53" i="1"/>
  <c r="F53" i="1"/>
  <c r="AF51" i="1"/>
  <c r="AE51" i="1"/>
  <c r="AD51" i="1"/>
  <c r="AC51" i="1"/>
  <c r="AC105" i="12" s="1"/>
  <c r="AB51" i="1"/>
  <c r="AA51" i="1"/>
  <c r="Z51" i="1"/>
  <c r="Y51" i="1"/>
  <c r="X51" i="1"/>
  <c r="W51" i="1"/>
  <c r="V51" i="1"/>
  <c r="U51" i="1"/>
  <c r="T51" i="1"/>
  <c r="S51" i="1"/>
  <c r="R51" i="1"/>
  <c r="Q51" i="1"/>
  <c r="P51" i="1"/>
  <c r="O51" i="1"/>
  <c r="N51" i="1"/>
  <c r="M51" i="1"/>
  <c r="L51" i="1"/>
  <c r="K51" i="1"/>
  <c r="J51" i="1"/>
  <c r="I51" i="1"/>
  <c r="H51" i="1"/>
  <c r="G51" i="1"/>
  <c r="F51" i="1"/>
  <c r="AF50" i="1"/>
  <c r="AE50" i="1"/>
  <c r="AD50" i="1"/>
  <c r="AC50" i="1"/>
  <c r="AC103" i="12" s="1"/>
  <c r="AB50" i="1"/>
  <c r="AA50" i="1"/>
  <c r="Z50" i="1"/>
  <c r="Y50" i="1"/>
  <c r="X50" i="1"/>
  <c r="W50" i="1"/>
  <c r="V50" i="1"/>
  <c r="U50" i="1"/>
  <c r="T50" i="1"/>
  <c r="S50" i="1"/>
  <c r="R50" i="1"/>
  <c r="Q50" i="1"/>
  <c r="P50" i="1"/>
  <c r="O50" i="1"/>
  <c r="N50" i="1"/>
  <c r="M50" i="1"/>
  <c r="L50" i="1"/>
  <c r="K50" i="1"/>
  <c r="J50" i="1"/>
  <c r="I50" i="1"/>
  <c r="H50" i="1"/>
  <c r="G50" i="1"/>
  <c r="F50" i="1"/>
  <c r="AF49" i="1"/>
  <c r="AE49" i="1"/>
  <c r="AD49" i="1"/>
  <c r="AC49" i="1"/>
  <c r="AC104" i="12" s="1"/>
  <c r="AB49" i="1"/>
  <c r="AA49" i="1"/>
  <c r="Z49" i="1"/>
  <c r="Y49" i="1"/>
  <c r="X49" i="1"/>
  <c r="W49" i="1"/>
  <c r="V49" i="1"/>
  <c r="U49" i="1"/>
  <c r="T49" i="1"/>
  <c r="S49" i="1"/>
  <c r="R49" i="1"/>
  <c r="Q49" i="1"/>
  <c r="P49" i="1"/>
  <c r="O49" i="1"/>
  <c r="N49" i="1"/>
  <c r="M49" i="1"/>
  <c r="L49" i="1"/>
  <c r="K49" i="1"/>
  <c r="J49" i="1"/>
  <c r="I49" i="1"/>
  <c r="H49" i="1"/>
  <c r="G49" i="1"/>
  <c r="F49" i="1"/>
  <c r="AF47" i="1"/>
  <c r="AE47" i="1"/>
  <c r="AD47" i="1"/>
  <c r="AC47" i="1"/>
  <c r="AC83" i="12" s="1"/>
  <c r="AB47" i="1"/>
  <c r="AA47" i="1"/>
  <c r="Z47" i="1"/>
  <c r="Y47" i="1"/>
  <c r="X47" i="1"/>
  <c r="W47" i="1"/>
  <c r="V47" i="1"/>
  <c r="U47" i="1"/>
  <c r="T47" i="1"/>
  <c r="S47" i="1"/>
  <c r="R47" i="1"/>
  <c r="Q47" i="1"/>
  <c r="P47" i="1"/>
  <c r="O47" i="1"/>
  <c r="N47" i="1"/>
  <c r="M47" i="1"/>
  <c r="L47" i="1"/>
  <c r="K47" i="1"/>
  <c r="J47" i="1"/>
  <c r="I47" i="1"/>
  <c r="H47" i="1"/>
  <c r="G47" i="1"/>
  <c r="F47" i="1"/>
  <c r="AF46" i="1"/>
  <c r="AE46" i="1"/>
  <c r="AD46" i="1"/>
  <c r="AC46" i="1"/>
  <c r="AC81" i="12" s="1"/>
  <c r="AB46" i="1"/>
  <c r="AA46" i="1"/>
  <c r="Z46" i="1"/>
  <c r="Y46" i="1"/>
  <c r="X46" i="1"/>
  <c r="W46" i="1"/>
  <c r="V46" i="1"/>
  <c r="U46" i="1"/>
  <c r="T46" i="1"/>
  <c r="S46" i="1"/>
  <c r="R46" i="1"/>
  <c r="Q46" i="1"/>
  <c r="P46" i="1"/>
  <c r="O46" i="1"/>
  <c r="N46" i="1"/>
  <c r="M46" i="1"/>
  <c r="L46" i="1"/>
  <c r="K46" i="1"/>
  <c r="J46" i="1"/>
  <c r="I46" i="1"/>
  <c r="H46" i="1"/>
  <c r="G46" i="1"/>
  <c r="F46" i="1"/>
  <c r="AF45" i="1"/>
  <c r="AE45" i="1"/>
  <c r="AD45" i="1"/>
  <c r="AC45" i="1"/>
  <c r="AC82" i="12" s="1"/>
  <c r="AB45" i="1"/>
  <c r="AA45" i="1"/>
  <c r="Z45" i="1"/>
  <c r="Y45" i="1"/>
  <c r="X45" i="1"/>
  <c r="W45" i="1"/>
  <c r="V45" i="1"/>
  <c r="U45" i="1"/>
  <c r="T45" i="1"/>
  <c r="S45" i="1"/>
  <c r="R45" i="1"/>
  <c r="Q45" i="1"/>
  <c r="P45" i="1"/>
  <c r="O45" i="1"/>
  <c r="N45" i="1"/>
  <c r="M45" i="1"/>
  <c r="L45" i="1"/>
  <c r="K45" i="1"/>
  <c r="J45" i="1"/>
  <c r="I45" i="1"/>
  <c r="H45" i="1"/>
  <c r="G45" i="1"/>
  <c r="F45" i="1"/>
  <c r="AF43" i="1"/>
  <c r="AE43" i="1"/>
  <c r="AD43" i="1"/>
  <c r="AC43" i="1"/>
  <c r="AC94" i="12" s="1"/>
  <c r="AB43" i="1"/>
  <c r="AA43" i="1"/>
  <c r="Z43" i="1"/>
  <c r="Y43" i="1"/>
  <c r="X43" i="1"/>
  <c r="W43" i="1"/>
  <c r="V43" i="1"/>
  <c r="U43" i="1"/>
  <c r="T43" i="1"/>
  <c r="S43" i="1"/>
  <c r="R43" i="1"/>
  <c r="Q43" i="1"/>
  <c r="P43" i="1"/>
  <c r="O43" i="1"/>
  <c r="N43" i="1"/>
  <c r="M43" i="1"/>
  <c r="L43" i="1"/>
  <c r="K43" i="1"/>
  <c r="J43" i="1"/>
  <c r="I43" i="1"/>
  <c r="H43" i="1"/>
  <c r="G43" i="1"/>
  <c r="F43" i="1"/>
  <c r="AF42" i="1"/>
  <c r="AE42" i="1"/>
  <c r="AD42" i="1"/>
  <c r="AC42" i="1"/>
  <c r="AB42" i="1"/>
  <c r="AA42" i="1"/>
  <c r="Z42" i="1"/>
  <c r="Y42" i="1"/>
  <c r="X42" i="1"/>
  <c r="W42" i="1"/>
  <c r="V42" i="1"/>
  <c r="U42" i="1"/>
  <c r="T42" i="1"/>
  <c r="S42" i="1"/>
  <c r="R42" i="1"/>
  <c r="Q42" i="1"/>
  <c r="P42" i="1"/>
  <c r="O42" i="1"/>
  <c r="N42" i="1"/>
  <c r="M42" i="1"/>
  <c r="L42" i="1"/>
  <c r="K42" i="1"/>
  <c r="J42" i="1"/>
  <c r="I42" i="1"/>
  <c r="H42" i="1"/>
  <c r="G42" i="1"/>
  <c r="F42" i="1"/>
  <c r="AF41" i="1"/>
  <c r="AE41" i="1"/>
  <c r="AD41" i="1"/>
  <c r="AC41" i="1"/>
  <c r="AC54" i="12" s="1"/>
  <c r="AB41" i="1"/>
  <c r="AA41" i="1"/>
  <c r="Z41" i="1"/>
  <c r="Y41" i="1"/>
  <c r="X41" i="1"/>
  <c r="W41" i="1"/>
  <c r="V41" i="1"/>
  <c r="U41" i="1"/>
  <c r="T41" i="1"/>
  <c r="S41" i="1"/>
  <c r="R41" i="1"/>
  <c r="Q41" i="1"/>
  <c r="P41" i="1"/>
  <c r="O41" i="1"/>
  <c r="N41" i="1"/>
  <c r="M41" i="1"/>
  <c r="L41" i="1"/>
  <c r="K41" i="1"/>
  <c r="J41" i="1"/>
  <c r="I41" i="1"/>
  <c r="H41" i="1"/>
  <c r="G41" i="1"/>
  <c r="F41" i="1"/>
  <c r="AF39" i="1"/>
  <c r="AE39" i="1"/>
  <c r="AD39" i="1"/>
  <c r="AC39" i="1"/>
  <c r="AC64" i="12" s="1"/>
  <c r="AB39" i="1"/>
  <c r="AA39" i="1"/>
  <c r="Z39" i="1"/>
  <c r="Y39" i="1"/>
  <c r="X39" i="1"/>
  <c r="W39" i="1"/>
  <c r="V39" i="1"/>
  <c r="U39" i="1"/>
  <c r="T39" i="1"/>
  <c r="S39" i="1"/>
  <c r="R39" i="1"/>
  <c r="Q39" i="1"/>
  <c r="P39" i="1"/>
  <c r="O39" i="1"/>
  <c r="N39" i="1"/>
  <c r="M39" i="1"/>
  <c r="L39" i="1"/>
  <c r="K39" i="1"/>
  <c r="J39" i="1"/>
  <c r="I39" i="1"/>
  <c r="H39" i="1"/>
  <c r="G39" i="1"/>
  <c r="F39" i="1"/>
  <c r="AF38" i="1"/>
  <c r="AE38" i="1"/>
  <c r="AD38" i="1"/>
  <c r="AC38" i="1"/>
  <c r="AC29" i="12" s="1"/>
  <c r="AB38" i="1"/>
  <c r="AA38" i="1"/>
  <c r="Z38" i="1"/>
  <c r="Y38" i="1"/>
  <c r="X38" i="1"/>
  <c r="W38" i="1"/>
  <c r="V38" i="1"/>
  <c r="U38" i="1"/>
  <c r="T38" i="1"/>
  <c r="S38" i="1"/>
  <c r="R38" i="1"/>
  <c r="Q38" i="1"/>
  <c r="P38" i="1"/>
  <c r="O38" i="1"/>
  <c r="N38" i="1"/>
  <c r="M38" i="1"/>
  <c r="L38" i="1"/>
  <c r="K38" i="1"/>
  <c r="J38" i="1"/>
  <c r="I38" i="1"/>
  <c r="H38" i="1"/>
  <c r="G38" i="1"/>
  <c r="F38" i="1"/>
  <c r="AF35" i="1"/>
  <c r="AE35" i="1"/>
  <c r="AD35" i="1"/>
  <c r="AC35" i="1"/>
  <c r="AB35" i="1"/>
  <c r="AA35" i="1"/>
  <c r="Z35" i="1"/>
  <c r="Y35" i="1"/>
  <c r="X35" i="1"/>
  <c r="W35" i="1"/>
  <c r="V35" i="1"/>
  <c r="U35" i="1"/>
  <c r="T35" i="1"/>
  <c r="S35" i="1"/>
  <c r="R35" i="1"/>
  <c r="Q35" i="1"/>
  <c r="P35" i="1"/>
  <c r="O35" i="1"/>
  <c r="N35" i="1"/>
  <c r="M35" i="1"/>
  <c r="L35" i="1"/>
  <c r="K35" i="1"/>
  <c r="J35" i="1"/>
  <c r="I35" i="1"/>
  <c r="H35" i="1"/>
  <c r="G35" i="1"/>
  <c r="F35" i="1"/>
  <c r="AF34" i="1"/>
  <c r="AE34" i="1"/>
  <c r="AD34" i="1"/>
  <c r="AC34" i="1"/>
  <c r="AB34" i="1"/>
  <c r="AA34" i="1"/>
  <c r="Z34" i="1"/>
  <c r="Y34" i="1"/>
  <c r="X34" i="1"/>
  <c r="W34" i="1"/>
  <c r="V34" i="1"/>
  <c r="U34" i="1"/>
  <c r="T34" i="1"/>
  <c r="S34" i="1"/>
  <c r="R34" i="1"/>
  <c r="Q34" i="1"/>
  <c r="P34" i="1"/>
  <c r="O34" i="1"/>
  <c r="N34" i="1"/>
  <c r="M34" i="1"/>
  <c r="L34" i="1"/>
  <c r="K34" i="1"/>
  <c r="J34" i="1"/>
  <c r="I34" i="1"/>
  <c r="H34" i="1"/>
  <c r="G34" i="1"/>
  <c r="F34" i="1"/>
  <c r="AF32" i="1"/>
  <c r="AE32" i="1"/>
  <c r="AD32" i="1"/>
  <c r="AC32" i="1"/>
  <c r="AC27" i="12" s="1"/>
  <c r="AB32" i="1"/>
  <c r="AA32" i="1"/>
  <c r="Z32" i="1"/>
  <c r="Y32" i="1"/>
  <c r="X32" i="1"/>
  <c r="W32" i="1"/>
  <c r="V32" i="1"/>
  <c r="U32" i="1"/>
  <c r="T32" i="1"/>
  <c r="S32" i="1"/>
  <c r="R32" i="1"/>
  <c r="Q32" i="1"/>
  <c r="P32" i="1"/>
  <c r="O32" i="1"/>
  <c r="N32" i="1"/>
  <c r="M32" i="1"/>
  <c r="L32" i="1"/>
  <c r="K32" i="1"/>
  <c r="J32" i="1"/>
  <c r="I32" i="1"/>
  <c r="H32" i="1"/>
  <c r="G32" i="1"/>
  <c r="F32" i="1"/>
  <c r="AF28" i="1"/>
  <c r="AE28" i="1"/>
  <c r="AD28" i="1"/>
  <c r="AC28" i="1"/>
  <c r="AC23" i="12" s="1"/>
  <c r="AB28" i="1"/>
  <c r="AA28" i="1"/>
  <c r="Z28" i="1"/>
  <c r="Y28" i="1"/>
  <c r="X28" i="1"/>
  <c r="W28" i="1"/>
  <c r="V28" i="1"/>
  <c r="U28" i="1"/>
  <c r="T28" i="1"/>
  <c r="S28" i="1"/>
  <c r="R28" i="1"/>
  <c r="Q28" i="1"/>
  <c r="P28" i="1"/>
  <c r="O28" i="1"/>
  <c r="N28" i="1"/>
  <c r="M28" i="1"/>
  <c r="L28" i="1"/>
  <c r="K28" i="1"/>
  <c r="J28" i="1"/>
  <c r="I28" i="1"/>
  <c r="H28" i="1"/>
  <c r="G28" i="1"/>
  <c r="F28" i="1"/>
  <c r="AF27" i="1"/>
  <c r="AE27" i="1"/>
  <c r="AD27" i="1"/>
  <c r="AC27" i="1"/>
  <c r="AC22" i="12" s="1"/>
  <c r="AB27" i="1"/>
  <c r="AA27" i="1"/>
  <c r="Z27" i="1"/>
  <c r="Y27" i="1"/>
  <c r="X27" i="1"/>
  <c r="W27" i="1"/>
  <c r="V27" i="1"/>
  <c r="U27" i="1"/>
  <c r="T27" i="1"/>
  <c r="S27" i="1"/>
  <c r="R27" i="1"/>
  <c r="Q27" i="1"/>
  <c r="P27" i="1"/>
  <c r="O27" i="1"/>
  <c r="N27" i="1"/>
  <c r="M27" i="1"/>
  <c r="L27" i="1"/>
  <c r="K27" i="1"/>
  <c r="J27" i="1"/>
  <c r="I27" i="1"/>
  <c r="H27" i="1"/>
  <c r="G27" i="1"/>
  <c r="F27" i="1"/>
  <c r="AF26" i="1"/>
  <c r="AE26" i="1"/>
  <c r="AD26" i="1"/>
  <c r="AC26" i="1"/>
  <c r="AC21" i="12" s="1"/>
  <c r="AB26" i="1"/>
  <c r="AA26" i="1"/>
  <c r="Z26" i="1"/>
  <c r="Y26" i="1"/>
  <c r="X26" i="1"/>
  <c r="W26" i="1"/>
  <c r="V26" i="1"/>
  <c r="U26" i="1"/>
  <c r="T26" i="1"/>
  <c r="S26" i="1"/>
  <c r="R26" i="1"/>
  <c r="Q26" i="1"/>
  <c r="P26" i="1"/>
  <c r="O26" i="1"/>
  <c r="N26" i="1"/>
  <c r="M26" i="1"/>
  <c r="L26" i="1"/>
  <c r="K26" i="1"/>
  <c r="J26" i="1"/>
  <c r="I26" i="1"/>
  <c r="H26" i="1"/>
  <c r="G26" i="1"/>
  <c r="F26" i="1"/>
  <c r="AF22" i="1"/>
  <c r="AE22" i="1"/>
  <c r="AD22" i="1"/>
  <c r="AC22" i="1"/>
  <c r="AC13" i="12" s="1"/>
  <c r="AB22" i="1"/>
  <c r="AA22" i="1"/>
  <c r="Z22" i="1"/>
  <c r="Y22" i="1"/>
  <c r="X22" i="1"/>
  <c r="W22" i="1"/>
  <c r="V22" i="1"/>
  <c r="U22" i="1"/>
  <c r="T22" i="1"/>
  <c r="S22" i="1"/>
  <c r="R22" i="1"/>
  <c r="Q22" i="1"/>
  <c r="P22" i="1"/>
  <c r="O22" i="1"/>
  <c r="N22" i="1"/>
  <c r="M22" i="1"/>
  <c r="L22" i="1"/>
  <c r="K22" i="1"/>
  <c r="J22" i="1"/>
  <c r="I22" i="1"/>
  <c r="H22" i="1"/>
  <c r="G22" i="1"/>
  <c r="F22" i="1"/>
  <c r="AF19" i="1"/>
  <c r="AE19" i="1"/>
  <c r="AD19" i="1"/>
  <c r="AC19" i="1"/>
  <c r="AC7" i="12" s="1"/>
  <c r="AB19" i="1"/>
  <c r="AA19" i="1"/>
  <c r="Z19" i="1"/>
  <c r="Y19" i="1"/>
  <c r="X19" i="1"/>
  <c r="W19" i="1"/>
  <c r="V19" i="1"/>
  <c r="U19" i="1"/>
  <c r="T19" i="1"/>
  <c r="S19" i="1"/>
  <c r="R19" i="1"/>
  <c r="Q19" i="1"/>
  <c r="P19" i="1"/>
  <c r="O19" i="1"/>
  <c r="N19" i="1"/>
  <c r="M19" i="1"/>
  <c r="L19" i="1"/>
  <c r="K19" i="1"/>
  <c r="J19" i="1"/>
  <c r="I19" i="1"/>
  <c r="H19" i="1"/>
  <c r="G19" i="1"/>
  <c r="F19" i="1"/>
  <c r="AF222" i="1"/>
  <c r="AE222" i="1"/>
  <c r="AD222" i="1"/>
  <c r="AC222" i="1"/>
  <c r="AC36" i="8" s="1"/>
  <c r="AB222" i="1"/>
  <c r="AB36" i="8" s="1"/>
  <c r="AA222" i="1"/>
  <c r="Z222" i="1"/>
  <c r="Y222" i="1"/>
  <c r="X222" i="1"/>
  <c r="W222" i="1"/>
  <c r="V222" i="1"/>
  <c r="U222" i="1"/>
  <c r="T222" i="1"/>
  <c r="S222" i="1"/>
  <c r="R222" i="1"/>
  <c r="Q222" i="1"/>
  <c r="P222" i="1"/>
  <c r="O222" i="1"/>
  <c r="N222" i="1"/>
  <c r="M222" i="1"/>
  <c r="L222" i="1"/>
  <c r="K222" i="1"/>
  <c r="J222" i="1"/>
  <c r="I222" i="1"/>
  <c r="H222" i="1"/>
  <c r="G222" i="1"/>
  <c r="F222" i="1"/>
  <c r="AF17" i="1"/>
  <c r="AE17" i="1"/>
  <c r="AD17" i="1"/>
  <c r="AC17" i="1"/>
  <c r="AC38" i="8" s="1"/>
  <c r="AB17" i="1"/>
  <c r="AA17" i="1"/>
  <c r="Z17" i="1"/>
  <c r="Y17" i="1"/>
  <c r="X17" i="1"/>
  <c r="W17" i="1"/>
  <c r="V17" i="1"/>
  <c r="U17" i="1"/>
  <c r="T17" i="1"/>
  <c r="S17" i="1"/>
  <c r="R17" i="1"/>
  <c r="Q17" i="1"/>
  <c r="P17" i="1"/>
  <c r="O17" i="1"/>
  <c r="N17" i="1"/>
  <c r="M17" i="1"/>
  <c r="L17" i="1"/>
  <c r="K17" i="1"/>
  <c r="J17" i="1"/>
  <c r="I17" i="1"/>
  <c r="H17" i="1"/>
  <c r="G17" i="1"/>
  <c r="F17" i="1"/>
  <c r="AF8" i="1"/>
  <c r="AE8" i="1"/>
  <c r="AD8" i="1"/>
  <c r="AC8" i="1"/>
  <c r="AC32" i="8" s="1"/>
  <c r="AB8" i="1"/>
  <c r="AA8" i="1"/>
  <c r="Z8" i="1"/>
  <c r="Y8" i="1"/>
  <c r="X8" i="1"/>
  <c r="W8" i="1"/>
  <c r="V8" i="1"/>
  <c r="U8" i="1"/>
  <c r="T8" i="1"/>
  <c r="S8" i="1"/>
  <c r="R8" i="1"/>
  <c r="Q8" i="1"/>
  <c r="P8" i="1"/>
  <c r="O8" i="1"/>
  <c r="N8" i="1"/>
  <c r="M8" i="1"/>
  <c r="L8" i="1"/>
  <c r="K8" i="1"/>
  <c r="J8" i="1"/>
  <c r="I8" i="1"/>
  <c r="H8" i="1"/>
  <c r="G8" i="1"/>
  <c r="F8" i="1"/>
  <c r="AF7" i="1"/>
  <c r="AE7" i="1"/>
  <c r="AD7" i="1"/>
  <c r="AC7" i="1"/>
  <c r="AC34" i="8" s="1"/>
  <c r="AB7" i="1"/>
  <c r="AA7" i="1"/>
  <c r="Z7" i="1"/>
  <c r="Y7" i="1"/>
  <c r="X7" i="1"/>
  <c r="W7" i="1"/>
  <c r="V7" i="1"/>
  <c r="U7" i="1"/>
  <c r="T7" i="1"/>
  <c r="S7" i="1"/>
  <c r="R7" i="1"/>
  <c r="Q7" i="1"/>
  <c r="P7" i="1"/>
  <c r="O7" i="1"/>
  <c r="N7" i="1"/>
  <c r="M7" i="1"/>
  <c r="L7" i="1"/>
  <c r="K7" i="1"/>
  <c r="J7" i="1"/>
  <c r="I7" i="1"/>
  <c r="H7" i="1"/>
  <c r="G7" i="1"/>
  <c r="F7" i="1"/>
  <c r="AF6" i="1"/>
  <c r="AE6" i="1"/>
  <c r="AD6" i="1"/>
  <c r="AC6" i="1"/>
  <c r="AB6" i="1"/>
  <c r="AB10" i="8" s="1"/>
  <c r="AC10" i="8" s="1"/>
  <c r="AA6" i="1"/>
  <c r="Z6" i="1"/>
  <c r="Y6" i="1"/>
  <c r="X6" i="1"/>
  <c r="W6" i="1"/>
  <c r="V6" i="1"/>
  <c r="U6" i="1"/>
  <c r="T6" i="1"/>
  <c r="S6" i="1"/>
  <c r="R6" i="1"/>
  <c r="Q6" i="1"/>
  <c r="P6" i="1"/>
  <c r="O6" i="1"/>
  <c r="N6" i="1"/>
  <c r="M6" i="1"/>
  <c r="L6" i="1"/>
  <c r="K6" i="1"/>
  <c r="J6" i="1"/>
  <c r="I6" i="1"/>
  <c r="H6" i="1"/>
  <c r="G6" i="1"/>
  <c r="F6" i="1"/>
  <c r="AF5" i="1"/>
  <c r="AE5" i="1"/>
  <c r="AD5" i="1"/>
  <c r="AC5" i="1"/>
  <c r="AB5" i="1"/>
  <c r="AB7" i="8" s="1"/>
  <c r="AC7" i="8" s="1"/>
  <c r="AA5" i="1"/>
  <c r="Z5" i="1"/>
  <c r="Y5" i="1"/>
  <c r="X5" i="1"/>
  <c r="W5" i="1"/>
  <c r="V5" i="1"/>
  <c r="U5" i="1"/>
  <c r="T5" i="1"/>
  <c r="S5" i="1"/>
  <c r="R5" i="1"/>
  <c r="Q5" i="1"/>
  <c r="P5" i="1"/>
  <c r="O5" i="1"/>
  <c r="N5" i="1"/>
  <c r="M5" i="1"/>
  <c r="L5" i="1"/>
  <c r="K5" i="1"/>
  <c r="J5" i="1"/>
  <c r="I5" i="1"/>
  <c r="H5" i="1"/>
  <c r="G5" i="1"/>
  <c r="F5" i="1"/>
  <c r="AF4" i="1"/>
  <c r="AE4" i="1"/>
  <c r="AD4" i="1"/>
  <c r="AC4" i="1"/>
  <c r="AB4" i="1"/>
  <c r="AB5" i="8" s="1"/>
  <c r="AC5" i="8" s="1"/>
  <c r="AA4" i="1"/>
  <c r="Z4" i="1"/>
  <c r="Y4" i="1"/>
  <c r="X4" i="1"/>
  <c r="W4" i="1"/>
  <c r="V4" i="1"/>
  <c r="U4" i="1"/>
  <c r="T4" i="1"/>
  <c r="S4" i="1"/>
  <c r="R4" i="1"/>
  <c r="Q4" i="1"/>
  <c r="P4" i="1"/>
  <c r="O4" i="1"/>
  <c r="N4" i="1"/>
  <c r="M4" i="1"/>
  <c r="L4" i="1"/>
  <c r="K4" i="1"/>
  <c r="J4" i="1"/>
  <c r="I4" i="1"/>
  <c r="H4" i="1"/>
  <c r="G4" i="1"/>
  <c r="F4" i="1"/>
  <c r="CS149" i="17" l="1"/>
  <c r="AC33" i="8"/>
  <c r="AD27" i="8"/>
  <c r="AG31" i="8"/>
  <c r="DP117" i="11"/>
  <c r="AC17" i="7"/>
  <c r="AC35" i="8"/>
  <c r="CU71" i="17"/>
  <c r="CT87" i="17"/>
  <c r="CT149" i="17"/>
  <c r="CU171" i="17"/>
  <c r="CT184" i="17"/>
  <c r="CT110" i="17"/>
  <c r="CT23" i="17"/>
  <c r="CT46" i="17"/>
  <c r="CU22" i="17"/>
  <c r="CT27" i="17"/>
  <c r="AC388" i="12"/>
  <c r="CT263" i="17"/>
  <c r="CU228" i="17"/>
  <c r="CT241" i="17"/>
  <c r="CT240" i="17" s="1"/>
  <c r="AC326" i="12"/>
  <c r="DP63" i="11"/>
  <c r="AC294" i="12"/>
  <c r="DP95" i="11"/>
  <c r="DQ95" i="11" s="1"/>
  <c r="DP58" i="11"/>
  <c r="DP102" i="11"/>
  <c r="AD81" i="12"/>
  <c r="AC231" i="12"/>
  <c r="AC249" i="12"/>
  <c r="DP118" i="11"/>
  <c r="DP60" i="11"/>
  <c r="AC299" i="12"/>
  <c r="AC285" i="12"/>
  <c r="AC322" i="12"/>
  <c r="AC325" i="12"/>
  <c r="AC248" i="12"/>
  <c r="DP50" i="11"/>
  <c r="AC283" i="12"/>
  <c r="DP86" i="11"/>
  <c r="DP35" i="11"/>
  <c r="AC361" i="12"/>
  <c r="AC247" i="12"/>
  <c r="DP48" i="11"/>
  <c r="DP59" i="11"/>
  <c r="AC284" i="12"/>
  <c r="DP87" i="11"/>
  <c r="DP101" i="11"/>
  <c r="AC290" i="12"/>
  <c r="DP94" i="11"/>
  <c r="DQ94" i="11" s="1"/>
  <c r="AC293" i="12"/>
  <c r="CS263" i="17"/>
  <c r="AB136" i="8"/>
  <c r="AB133" i="8"/>
  <c r="AB166" i="8"/>
  <c r="AB108" i="7"/>
  <c r="CR149" i="17"/>
  <c r="CS241" i="17"/>
  <c r="CS46" i="17"/>
  <c r="CS184" i="17"/>
  <c r="CS110" i="17"/>
  <c r="CS27" i="17"/>
  <c r="CS87" i="17"/>
  <c r="CQ250" i="17"/>
  <c r="CR250" i="17"/>
  <c r="CR263" i="17"/>
  <c r="AB107" i="7"/>
  <c r="AC107" i="7" s="1"/>
  <c r="DK71" i="11"/>
  <c r="AB236" i="12"/>
  <c r="AB168" i="8"/>
  <c r="AB522" i="7"/>
  <c r="H575" i="7"/>
  <c r="G51" i="7"/>
  <c r="G85" i="7"/>
  <c r="G100" i="7"/>
  <c r="I425" i="7"/>
  <c r="I745" i="7"/>
  <c r="J211" i="7"/>
  <c r="J753" i="7"/>
  <c r="I657" i="7"/>
  <c r="I308" i="7"/>
  <c r="H754" i="7"/>
  <c r="H337" i="7"/>
  <c r="J761" i="7"/>
  <c r="J528" i="7"/>
  <c r="I93" i="7"/>
  <c r="I99" i="7"/>
  <c r="K210" i="7"/>
  <c r="I730" i="7"/>
  <c r="I307" i="7"/>
  <c r="H403" i="7"/>
  <c r="K523" i="7"/>
  <c r="K741" i="7"/>
  <c r="K527" i="7"/>
  <c r="K92" i="7"/>
  <c r="K98" i="7"/>
  <c r="K89" i="7"/>
  <c r="H18" i="7"/>
  <c r="H75" i="7"/>
  <c r="K209" i="7"/>
  <c r="J712" i="7"/>
  <c r="J271" i="7"/>
  <c r="I333" i="7"/>
  <c r="I714" i="7"/>
  <c r="I526" i="7"/>
  <c r="I724" i="7"/>
  <c r="I523" i="7"/>
  <c r="K151" i="7"/>
  <c r="K771" i="7"/>
  <c r="I529" i="7"/>
  <c r="I788" i="7"/>
  <c r="J17" i="7"/>
  <c r="J14" i="7"/>
  <c r="H124" i="7"/>
  <c r="K441" i="7"/>
  <c r="K85" i="7"/>
  <c r="K100" i="7"/>
  <c r="K94" i="7"/>
  <c r="J34" i="7"/>
  <c r="J624" i="7"/>
  <c r="J691" i="7"/>
  <c r="J22" i="7"/>
  <c r="K659" i="7"/>
  <c r="K59" i="7"/>
  <c r="I693" i="7"/>
  <c r="I625" i="7"/>
  <c r="I213" i="7"/>
  <c r="K266" i="7"/>
  <c r="G656" i="7"/>
  <c r="J487" i="7"/>
  <c r="J484" i="7"/>
  <c r="J630" i="7"/>
  <c r="J497" i="7"/>
  <c r="K695" i="7"/>
  <c r="K494" i="7"/>
  <c r="I495" i="7"/>
  <c r="I696" i="7"/>
  <c r="I550" i="7"/>
  <c r="I760" i="7"/>
  <c r="G731" i="7"/>
  <c r="G741" i="7"/>
  <c r="G98" i="7"/>
  <c r="G89" i="7"/>
  <c r="G713" i="7"/>
  <c r="G771" i="7"/>
  <c r="I575" i="7"/>
  <c r="G14" i="7"/>
  <c r="I124" i="7"/>
  <c r="K433" i="7"/>
  <c r="K655" i="7"/>
  <c r="G691" i="7"/>
  <c r="G34" i="7"/>
  <c r="G624" i="7"/>
  <c r="I20" i="7"/>
  <c r="I751" i="7"/>
  <c r="I424" i="7"/>
  <c r="I85" i="7"/>
  <c r="K148" i="7"/>
  <c r="K746" i="7"/>
  <c r="I658" i="7"/>
  <c r="I150" i="7"/>
  <c r="I163" i="7"/>
  <c r="J625" i="7"/>
  <c r="J693" i="7"/>
  <c r="J213" i="7"/>
  <c r="K211" i="7"/>
  <c r="K753" i="7"/>
  <c r="I255" i="7"/>
  <c r="I265" i="7"/>
  <c r="I694" i="7"/>
  <c r="K338" i="7"/>
  <c r="K747" i="7"/>
  <c r="I337" i="7"/>
  <c r="I754" i="7"/>
  <c r="K484" i="7"/>
  <c r="K630" i="7"/>
  <c r="K497" i="7"/>
  <c r="K487" i="7"/>
  <c r="I759" i="7"/>
  <c r="I498" i="7"/>
  <c r="J760" i="7"/>
  <c r="J550" i="7"/>
  <c r="G761" i="7"/>
  <c r="J606" i="7"/>
  <c r="K602" i="7"/>
  <c r="H210" i="7"/>
  <c r="G729" i="7"/>
  <c r="H89" i="7"/>
  <c r="H98" i="7"/>
  <c r="H92" i="7"/>
  <c r="I18" i="7"/>
  <c r="I75" i="7"/>
  <c r="H209" i="7"/>
  <c r="K399" i="7"/>
  <c r="K402" i="7"/>
  <c r="J526" i="7"/>
  <c r="J523" i="7"/>
  <c r="J724" i="7"/>
  <c r="I502" i="7"/>
  <c r="I787" i="7"/>
  <c r="J101" i="7"/>
  <c r="J95" i="7"/>
  <c r="H17" i="7"/>
  <c r="H14" i="7"/>
  <c r="I54" i="7"/>
  <c r="I51" i="7"/>
  <c r="J124" i="7"/>
  <c r="I441" i="7"/>
  <c r="H655" i="7"/>
  <c r="H433" i="7"/>
  <c r="I94" i="7"/>
  <c r="I100" i="7"/>
  <c r="J112" i="7"/>
  <c r="J436" i="7"/>
  <c r="H34" i="7"/>
  <c r="H624" i="7"/>
  <c r="H691" i="7"/>
  <c r="H22" i="7"/>
  <c r="I659" i="7"/>
  <c r="I59" i="7"/>
  <c r="J751" i="7"/>
  <c r="J20" i="7"/>
  <c r="J424" i="7"/>
  <c r="J85" i="7"/>
  <c r="G745" i="7"/>
  <c r="G425" i="7"/>
  <c r="K425" i="7"/>
  <c r="K745" i="7"/>
  <c r="H148" i="7"/>
  <c r="H746" i="7"/>
  <c r="J163" i="7"/>
  <c r="J658" i="7"/>
  <c r="J150" i="7"/>
  <c r="G625" i="7"/>
  <c r="G693" i="7"/>
  <c r="K213" i="7"/>
  <c r="K693" i="7"/>
  <c r="K625" i="7"/>
  <c r="H753" i="7"/>
  <c r="H211" i="7"/>
  <c r="J266" i="7"/>
  <c r="I266" i="7"/>
  <c r="J265" i="7"/>
  <c r="J694" i="7"/>
  <c r="J255" i="7"/>
  <c r="G657" i="7"/>
  <c r="K308" i="7"/>
  <c r="K657" i="7"/>
  <c r="H747" i="7"/>
  <c r="H338" i="7"/>
  <c r="I656" i="7"/>
  <c r="I434" i="7"/>
  <c r="J337" i="7"/>
  <c r="J754" i="7"/>
  <c r="G755" i="7"/>
  <c r="K404" i="7"/>
  <c r="K755" i="7"/>
  <c r="H630" i="7"/>
  <c r="H484" i="7"/>
  <c r="H487" i="7"/>
  <c r="I695" i="7"/>
  <c r="I494" i="7"/>
  <c r="J498" i="7"/>
  <c r="J759" i="7"/>
  <c r="G696" i="7"/>
  <c r="K495" i="7"/>
  <c r="K696" i="7"/>
  <c r="G760" i="7"/>
  <c r="K550" i="7"/>
  <c r="K760" i="7"/>
  <c r="H761" i="7"/>
  <c r="H528" i="7"/>
  <c r="H602" i="7"/>
  <c r="K606" i="7"/>
  <c r="J174" i="7"/>
  <c r="J170" i="7"/>
  <c r="G99" i="7"/>
  <c r="K99" i="7"/>
  <c r="K93" i="7"/>
  <c r="H19" i="7"/>
  <c r="I56" i="7"/>
  <c r="I210" i="7"/>
  <c r="J728" i="7"/>
  <c r="J269" i="7"/>
  <c r="G730" i="7"/>
  <c r="K307" i="7"/>
  <c r="K730" i="7"/>
  <c r="H729" i="7"/>
  <c r="H336" i="7"/>
  <c r="I335" i="7"/>
  <c r="I731" i="7"/>
  <c r="J403" i="7"/>
  <c r="I741" i="7"/>
  <c r="I527" i="7"/>
  <c r="I98" i="7"/>
  <c r="I89" i="7"/>
  <c r="I92" i="7"/>
  <c r="J75" i="7"/>
  <c r="J18" i="7"/>
  <c r="I209" i="7"/>
  <c r="J268" i="7"/>
  <c r="J706" i="7"/>
  <c r="G707" i="7"/>
  <c r="K310" i="7"/>
  <c r="K707" i="7"/>
  <c r="H712" i="7"/>
  <c r="I713" i="7"/>
  <c r="I306" i="7"/>
  <c r="J708" i="7"/>
  <c r="J334" i="7"/>
  <c r="G714" i="7"/>
  <c r="K333" i="7"/>
  <c r="K714" i="7"/>
  <c r="H399" i="7"/>
  <c r="H402" i="7"/>
  <c r="G523" i="7"/>
  <c r="G724" i="7"/>
  <c r="K724" i="7"/>
  <c r="K526" i="7"/>
  <c r="H769" i="7"/>
  <c r="H58" i="7"/>
  <c r="I771" i="7"/>
  <c r="J502" i="7"/>
  <c r="J787" i="7"/>
  <c r="G788" i="7"/>
  <c r="K529" i="7"/>
  <c r="K788" i="7"/>
  <c r="H551" i="7"/>
  <c r="H95" i="7"/>
  <c r="H101" i="7"/>
  <c r="K54" i="7"/>
  <c r="K51" i="7"/>
  <c r="J655" i="7"/>
  <c r="J433" i="7"/>
  <c r="H436" i="7"/>
  <c r="H112" i="7"/>
  <c r="G659" i="7"/>
  <c r="H20" i="7"/>
  <c r="H85" i="7"/>
  <c r="H424" i="7"/>
  <c r="H751" i="7"/>
  <c r="J148" i="7"/>
  <c r="J746" i="7"/>
  <c r="H658" i="7"/>
  <c r="H150" i="7"/>
  <c r="H163" i="7"/>
  <c r="H266" i="7"/>
  <c r="H255" i="7"/>
  <c r="H694" i="7"/>
  <c r="H265" i="7"/>
  <c r="J747" i="7"/>
  <c r="J338" i="7"/>
  <c r="K434" i="7"/>
  <c r="K656" i="7"/>
  <c r="I404" i="7"/>
  <c r="I755" i="7"/>
  <c r="H494" i="7"/>
  <c r="G695" i="7"/>
  <c r="H759" i="7"/>
  <c r="H498" i="7"/>
  <c r="J602" i="7"/>
  <c r="I606" i="7"/>
  <c r="H170" i="7"/>
  <c r="H174" i="7"/>
  <c r="J19" i="7"/>
  <c r="J80" i="7"/>
  <c r="K56" i="7"/>
  <c r="H728" i="7"/>
  <c r="H269" i="7"/>
  <c r="J729" i="7"/>
  <c r="J336" i="7"/>
  <c r="K335" i="7"/>
  <c r="K731" i="7"/>
  <c r="H268" i="7"/>
  <c r="H706" i="7"/>
  <c r="I707" i="7"/>
  <c r="I310" i="7"/>
  <c r="K713" i="7"/>
  <c r="K306" i="7"/>
  <c r="H334" i="7"/>
  <c r="H708" i="7"/>
  <c r="J399" i="7"/>
  <c r="J402" i="7"/>
  <c r="J769" i="7"/>
  <c r="H787" i="7"/>
  <c r="H502" i="7"/>
  <c r="J551" i="7"/>
  <c r="I551" i="7"/>
  <c r="I101" i="7"/>
  <c r="I95" i="7"/>
  <c r="K17" i="7"/>
  <c r="K14" i="7"/>
  <c r="H54" i="7"/>
  <c r="H51" i="7"/>
  <c r="H441" i="7"/>
  <c r="G655" i="7"/>
  <c r="H94" i="7"/>
  <c r="H100" i="7"/>
  <c r="I112" i="7"/>
  <c r="I436" i="7"/>
  <c r="K34" i="7"/>
  <c r="K691" i="7"/>
  <c r="K22" i="7"/>
  <c r="K624" i="7"/>
  <c r="H59" i="7"/>
  <c r="H659" i="7"/>
  <c r="J745" i="7"/>
  <c r="J425" i="7"/>
  <c r="G746" i="7"/>
  <c r="G753" i="7"/>
  <c r="J308" i="7"/>
  <c r="J657" i="7"/>
  <c r="G747" i="7"/>
  <c r="H434" i="7"/>
  <c r="H656" i="7"/>
  <c r="J404" i="7"/>
  <c r="J755" i="7"/>
  <c r="H497" i="7"/>
  <c r="G484" i="7"/>
  <c r="G630" i="7"/>
  <c r="G487" i="7"/>
  <c r="H695" i="7"/>
  <c r="J495" i="7"/>
  <c r="J696" i="7"/>
  <c r="K761" i="7"/>
  <c r="K528" i="7"/>
  <c r="I170" i="7"/>
  <c r="J93" i="7"/>
  <c r="J99" i="7"/>
  <c r="G80" i="7"/>
  <c r="K80" i="7"/>
  <c r="K19" i="7"/>
  <c r="H56" i="7"/>
  <c r="I269" i="7"/>
  <c r="I728" i="7"/>
  <c r="J307" i="7"/>
  <c r="J730" i="7"/>
  <c r="K336" i="7"/>
  <c r="K729" i="7"/>
  <c r="H731" i="7"/>
  <c r="H335" i="7"/>
  <c r="I403" i="7"/>
  <c r="H527" i="7"/>
  <c r="H741" i="7"/>
  <c r="I268" i="7"/>
  <c r="I706" i="7"/>
  <c r="J310" i="7"/>
  <c r="J707" i="7"/>
  <c r="H271" i="7"/>
  <c r="G712" i="7"/>
  <c r="K712" i="7"/>
  <c r="K271" i="7"/>
  <c r="H713" i="7"/>
  <c r="H306" i="7"/>
  <c r="I334" i="7"/>
  <c r="I708" i="7"/>
  <c r="J714" i="7"/>
  <c r="J333" i="7"/>
  <c r="G399" i="7"/>
  <c r="G769" i="7"/>
  <c r="K58" i="7"/>
  <c r="K769" i="7"/>
  <c r="I151" i="7"/>
  <c r="H771" i="7"/>
  <c r="H151" i="7"/>
  <c r="J788" i="7"/>
  <c r="J529" i="7"/>
  <c r="J575" i="7"/>
  <c r="K551" i="7"/>
  <c r="K575" i="7"/>
  <c r="K101" i="7"/>
  <c r="K95" i="7"/>
  <c r="I17" i="7"/>
  <c r="I14" i="7"/>
  <c r="J54" i="7"/>
  <c r="J51" i="7"/>
  <c r="K124" i="7"/>
  <c r="J441" i="7"/>
  <c r="I433" i="7"/>
  <c r="I655" i="7"/>
  <c r="J94" i="7"/>
  <c r="J100" i="7"/>
  <c r="G112" i="7"/>
  <c r="K112" i="7"/>
  <c r="K436" i="7"/>
  <c r="I22" i="7"/>
  <c r="I34" i="7"/>
  <c r="I624" i="7"/>
  <c r="I691" i="7"/>
  <c r="J59" i="7"/>
  <c r="J659" i="7"/>
  <c r="G424" i="7"/>
  <c r="G751" i="7"/>
  <c r="K424" i="7"/>
  <c r="K751" i="7"/>
  <c r="K20" i="7"/>
  <c r="H425" i="7"/>
  <c r="H745" i="7"/>
  <c r="I746" i="7"/>
  <c r="I148" i="7"/>
  <c r="G163" i="7"/>
  <c r="G164" i="7" s="1"/>
  <c r="G588" i="7" s="1"/>
  <c r="G658" i="7"/>
  <c r="K150" i="7"/>
  <c r="K163" i="7"/>
  <c r="K658" i="7"/>
  <c r="H213" i="7"/>
  <c r="H625" i="7"/>
  <c r="H693" i="7"/>
  <c r="I211" i="7"/>
  <c r="I753" i="7"/>
  <c r="G255" i="7"/>
  <c r="G694" i="7"/>
  <c r="K694" i="7"/>
  <c r="K265" i="7"/>
  <c r="K255" i="7"/>
  <c r="H308" i="7"/>
  <c r="H657" i="7"/>
  <c r="I747" i="7"/>
  <c r="I338" i="7"/>
  <c r="J656" i="7"/>
  <c r="J434" i="7"/>
  <c r="G754" i="7"/>
  <c r="K337" i="7"/>
  <c r="K754" i="7"/>
  <c r="H755" i="7"/>
  <c r="H404" i="7"/>
  <c r="I487" i="7"/>
  <c r="I630" i="7"/>
  <c r="I484" i="7"/>
  <c r="I497" i="7"/>
  <c r="J695" i="7"/>
  <c r="J494" i="7"/>
  <c r="G759" i="7"/>
  <c r="K759" i="7"/>
  <c r="K498" i="7"/>
  <c r="H696" i="7"/>
  <c r="H495" i="7"/>
  <c r="H760" i="7"/>
  <c r="H550" i="7"/>
  <c r="I761" i="7"/>
  <c r="I528" i="7"/>
  <c r="I174" i="7"/>
  <c r="I602" i="7"/>
  <c r="H606" i="7"/>
  <c r="K174" i="7"/>
  <c r="K170" i="7"/>
  <c r="H80" i="7"/>
  <c r="H99" i="7"/>
  <c r="H93" i="7"/>
  <c r="I80" i="7"/>
  <c r="I19" i="7"/>
  <c r="J56" i="7"/>
  <c r="J210" i="7"/>
  <c r="G728" i="7"/>
  <c r="K269" i="7"/>
  <c r="K728" i="7"/>
  <c r="H307" i="7"/>
  <c r="H730" i="7"/>
  <c r="I729" i="7"/>
  <c r="I336" i="7"/>
  <c r="J335" i="7"/>
  <c r="J731" i="7"/>
  <c r="K403" i="7"/>
  <c r="J527" i="7"/>
  <c r="J741" i="7"/>
  <c r="J92" i="7"/>
  <c r="J89" i="7"/>
  <c r="J98" i="7"/>
  <c r="G75" i="7"/>
  <c r="K75" i="7"/>
  <c r="K18" i="7"/>
  <c r="J209" i="7"/>
  <c r="G706" i="7"/>
  <c r="K706" i="7"/>
  <c r="K268" i="7"/>
  <c r="H310" i="7"/>
  <c r="H707" i="7"/>
  <c r="I271" i="7"/>
  <c r="I712" i="7"/>
  <c r="J306" i="7"/>
  <c r="J713" i="7"/>
  <c r="G708" i="7"/>
  <c r="K334" i="7"/>
  <c r="K708" i="7"/>
  <c r="H714" i="7"/>
  <c r="H333" i="7"/>
  <c r="I402" i="7"/>
  <c r="I399" i="7"/>
  <c r="H526" i="7"/>
  <c r="H523" i="7"/>
  <c r="H724" i="7"/>
  <c r="J58" i="7"/>
  <c r="I769" i="7"/>
  <c r="I58" i="7"/>
  <c r="J771" i="7"/>
  <c r="J151" i="7"/>
  <c r="G787" i="7"/>
  <c r="K502" i="7"/>
  <c r="K787" i="7"/>
  <c r="H529" i="7"/>
  <c r="H788" i="7"/>
  <c r="AB322" i="12"/>
  <c r="AB290" i="12"/>
  <c r="CR110" i="17"/>
  <c r="CR87" i="17"/>
  <c r="CR241" i="17"/>
  <c r="CR184" i="17"/>
  <c r="CR27" i="17"/>
  <c r="CR46" i="17"/>
  <c r="CZ12" i="17"/>
  <c r="DA240" i="17"/>
  <c r="DA14" i="17" s="1"/>
  <c r="DP103" i="11" l="1"/>
  <c r="DP47" i="11"/>
  <c r="DP49" i="11" s="1"/>
  <c r="AC327" i="12"/>
  <c r="AC295" i="12"/>
  <c r="AC250" i="12"/>
  <c r="DP88" i="11"/>
  <c r="DI71" i="11"/>
  <c r="DH71" i="11" s="1"/>
  <c r="AB48" i="12" s="1"/>
  <c r="J697" i="7"/>
  <c r="I122" i="7"/>
  <c r="K709" i="7"/>
  <c r="H789" i="7"/>
  <c r="H790" i="7" s="1"/>
  <c r="H791" i="7" s="1"/>
  <c r="G789" i="7"/>
  <c r="G790" i="7" s="1"/>
  <c r="G791" i="7" s="1"/>
  <c r="K762" i="7"/>
  <c r="G709" i="7"/>
  <c r="K732" i="7"/>
  <c r="G748" i="7"/>
  <c r="G628" i="7" s="1"/>
  <c r="K789" i="7"/>
  <c r="K790" i="7" s="1"/>
  <c r="K791" i="7" s="1"/>
  <c r="K122" i="7"/>
  <c r="H122" i="7"/>
  <c r="J789" i="7"/>
  <c r="J790" i="7" s="1"/>
  <c r="J791" i="7" s="1"/>
  <c r="K663" i="7"/>
  <c r="H168" i="7"/>
  <c r="H173" i="7"/>
  <c r="H164" i="7"/>
  <c r="J626" i="7"/>
  <c r="J267" i="7"/>
  <c r="K781" i="7"/>
  <c r="K405" i="7"/>
  <c r="K499" i="7"/>
  <c r="J496" i="7"/>
  <c r="I499" i="7"/>
  <c r="H499" i="7"/>
  <c r="G732" i="7"/>
  <c r="I781" i="7"/>
  <c r="I405" i="7"/>
  <c r="I35" i="7"/>
  <c r="H438" i="7"/>
  <c r="I789" i="7"/>
  <c r="I790" i="7" s="1"/>
  <c r="I791" i="7" s="1"/>
  <c r="K168" i="7"/>
  <c r="K173" i="7"/>
  <c r="K164" i="7"/>
  <c r="G626" i="7"/>
  <c r="G781" i="7"/>
  <c r="J715" i="7"/>
  <c r="H626" i="7"/>
  <c r="H267" i="7"/>
  <c r="H496" i="7"/>
  <c r="K438" i="7"/>
  <c r="J438" i="7"/>
  <c r="H697" i="7"/>
  <c r="J499" i="7"/>
  <c r="I439" i="7"/>
  <c r="J439" i="7"/>
  <c r="I732" i="7"/>
  <c r="I496" i="7"/>
  <c r="H439" i="7"/>
  <c r="J748" i="7"/>
  <c r="J628" i="7" s="1"/>
  <c r="K697" i="7"/>
  <c r="H732" i="7"/>
  <c r="K715" i="7"/>
  <c r="G715" i="7"/>
  <c r="I715" i="7"/>
  <c r="J762" i="7"/>
  <c r="J173" i="7"/>
  <c r="J164" i="7"/>
  <c r="J168" i="7"/>
  <c r="K748" i="7"/>
  <c r="K628" i="7" s="1"/>
  <c r="I762" i="7"/>
  <c r="I267" i="7"/>
  <c r="I626" i="7"/>
  <c r="G697" i="7"/>
  <c r="G762" i="7"/>
  <c r="I748" i="7"/>
  <c r="I628" i="7" s="1"/>
  <c r="K626" i="7"/>
  <c r="K267" i="7"/>
  <c r="I709" i="7"/>
  <c r="J732" i="7"/>
  <c r="K35" i="7"/>
  <c r="J781" i="7"/>
  <c r="J405" i="7"/>
  <c r="H709" i="7"/>
  <c r="H781" i="7"/>
  <c r="H405" i="7"/>
  <c r="H715" i="7"/>
  <c r="J709" i="7"/>
  <c r="H762" i="7"/>
  <c r="I697" i="7"/>
  <c r="H748" i="7"/>
  <c r="H628" i="7" s="1"/>
  <c r="K439" i="7"/>
  <c r="H35" i="7"/>
  <c r="J122" i="7"/>
  <c r="K496" i="7"/>
  <c r="I173" i="7"/>
  <c r="I168" i="7"/>
  <c r="I164" i="7"/>
  <c r="I438" i="7"/>
  <c r="J35" i="7"/>
  <c r="DB240" i="17"/>
  <c r="DB14" i="17" s="1"/>
  <c r="AD250" i="7"/>
  <c r="I663" i="7" l="1"/>
  <c r="J663" i="7"/>
  <c r="G663" i="7"/>
  <c r="J588" i="7"/>
  <c r="J169" i="7"/>
  <c r="H663" i="7"/>
  <c r="H588" i="7"/>
  <c r="H169" i="7"/>
  <c r="K588" i="7"/>
  <c r="K169" i="7"/>
  <c r="I169" i="7"/>
  <c r="I588" i="7"/>
  <c r="T10" i="24"/>
  <c r="S10" i="24"/>
  <c r="R10" i="24"/>
  <c r="Q10" i="24"/>
  <c r="P10" i="24"/>
  <c r="O10" i="24"/>
  <c r="N10" i="24"/>
  <c r="M10" i="24"/>
  <c r="L10" i="24"/>
  <c r="K10" i="24"/>
  <c r="J10" i="24"/>
  <c r="I10" i="24"/>
  <c r="Q9" i="24"/>
  <c r="P9" i="24"/>
  <c r="O9" i="24"/>
  <c r="N9" i="24"/>
  <c r="M9" i="24"/>
  <c r="L9" i="24"/>
  <c r="K9" i="24"/>
  <c r="J9" i="24"/>
  <c r="I9" i="24"/>
  <c r="H9" i="24"/>
  <c r="G9" i="24"/>
  <c r="F9" i="24"/>
  <c r="G7" i="24"/>
  <c r="B28" i="24" s="1"/>
  <c r="B159" i="23"/>
  <c r="A159" i="23"/>
  <c r="B158" i="23"/>
  <c r="A158" i="23"/>
  <c r="B157" i="23"/>
  <c r="A157" i="23"/>
  <c r="B156" i="23"/>
  <c r="A156" i="23"/>
  <c r="B155" i="23"/>
  <c r="A155" i="23"/>
  <c r="B154" i="23"/>
  <c r="A154" i="23"/>
  <c r="B153" i="23"/>
  <c r="A153" i="23"/>
  <c r="B152" i="23"/>
  <c r="A152" i="23"/>
  <c r="B151" i="23"/>
  <c r="A151" i="23"/>
  <c r="B150" i="23"/>
  <c r="A150" i="23"/>
  <c r="B149" i="23"/>
  <c r="A149" i="23"/>
  <c r="B148" i="23"/>
  <c r="A148" i="23"/>
  <c r="B147" i="23"/>
  <c r="A147" i="23"/>
  <c r="B146" i="23"/>
  <c r="A146" i="23"/>
  <c r="B145" i="23"/>
  <c r="A145" i="23"/>
  <c r="B144" i="23"/>
  <c r="A144" i="23"/>
  <c r="B143" i="23"/>
  <c r="A143" i="23"/>
  <c r="B142" i="23"/>
  <c r="A142" i="23"/>
  <c r="B141" i="23"/>
  <c r="A141" i="23"/>
  <c r="B140" i="23"/>
  <c r="A140" i="23"/>
  <c r="B139" i="23"/>
  <c r="A139" i="23"/>
  <c r="B138" i="23"/>
  <c r="A138" i="23"/>
  <c r="B137" i="23"/>
  <c r="A137" i="23"/>
  <c r="B136" i="23"/>
  <c r="A136" i="23"/>
  <c r="B135" i="23"/>
  <c r="A135" i="23"/>
  <c r="B134" i="23"/>
  <c r="A134" i="23"/>
  <c r="B133" i="23"/>
  <c r="A133" i="23"/>
  <c r="B132" i="23"/>
  <c r="A132" i="23"/>
  <c r="B131" i="23"/>
  <c r="A131" i="23"/>
  <c r="B130" i="23"/>
  <c r="A130" i="23"/>
  <c r="B129" i="23"/>
  <c r="A129" i="23"/>
  <c r="B128" i="23"/>
  <c r="A128" i="23"/>
  <c r="B127" i="23"/>
  <c r="A127" i="23"/>
  <c r="B126" i="23"/>
  <c r="A126" i="23"/>
  <c r="B125" i="23"/>
  <c r="A125" i="23"/>
  <c r="B124" i="23"/>
  <c r="A124" i="23"/>
  <c r="B123" i="23"/>
  <c r="A123" i="23"/>
  <c r="B122" i="23"/>
  <c r="A122" i="23"/>
  <c r="B121" i="23"/>
  <c r="A121" i="23"/>
  <c r="B120" i="23"/>
  <c r="A120" i="23"/>
  <c r="B119" i="23"/>
  <c r="A119" i="23"/>
  <c r="B118" i="23"/>
  <c r="A118" i="23"/>
  <c r="B117" i="23"/>
  <c r="A117" i="23"/>
  <c r="B116" i="23"/>
  <c r="A116" i="23"/>
  <c r="B115" i="23"/>
  <c r="A115" i="23"/>
  <c r="B114" i="23"/>
  <c r="A114" i="23"/>
  <c r="B113" i="23"/>
  <c r="A113" i="23"/>
  <c r="B112" i="23"/>
  <c r="A112" i="23"/>
  <c r="B111" i="23"/>
  <c r="A111" i="23"/>
  <c r="B110" i="23"/>
  <c r="A110" i="23"/>
  <c r="B109" i="23"/>
  <c r="A109" i="23"/>
  <c r="B108" i="23"/>
  <c r="A108" i="23"/>
  <c r="B107" i="23"/>
  <c r="A107" i="23"/>
  <c r="B106" i="23"/>
  <c r="A106" i="23"/>
  <c r="B105" i="23"/>
  <c r="A105" i="23"/>
  <c r="B104" i="23"/>
  <c r="A104" i="23"/>
  <c r="B103" i="23"/>
  <c r="A103" i="23"/>
  <c r="B102" i="23"/>
  <c r="A102" i="23"/>
  <c r="B101" i="23"/>
  <c r="A101" i="23"/>
  <c r="B100" i="23"/>
  <c r="A100" i="23"/>
  <c r="B99" i="23"/>
  <c r="A99" i="23"/>
  <c r="B98" i="23"/>
  <c r="A98" i="23"/>
  <c r="B97" i="23"/>
  <c r="A97" i="23"/>
  <c r="B96" i="23"/>
  <c r="A96" i="23"/>
  <c r="B95" i="23"/>
  <c r="A95" i="23"/>
  <c r="B94" i="23"/>
  <c r="A94" i="23"/>
  <c r="B93" i="23"/>
  <c r="A93" i="23"/>
  <c r="B92" i="23"/>
  <c r="A92" i="23"/>
  <c r="B91" i="23"/>
  <c r="A91" i="23"/>
  <c r="B90" i="23"/>
  <c r="A90" i="23"/>
  <c r="B89" i="23"/>
  <c r="A89" i="23"/>
  <c r="B88" i="23"/>
  <c r="A88" i="23"/>
  <c r="B87" i="23"/>
  <c r="A87" i="23"/>
  <c r="B86" i="23"/>
  <c r="A86" i="23"/>
  <c r="B85" i="23"/>
  <c r="A85" i="23"/>
  <c r="B84" i="23"/>
  <c r="A84" i="23"/>
  <c r="B83" i="23"/>
  <c r="A83" i="23"/>
  <c r="B82" i="23"/>
  <c r="A82" i="23"/>
  <c r="B81" i="23"/>
  <c r="A81" i="23"/>
  <c r="B80" i="23"/>
  <c r="A80" i="23"/>
  <c r="B79" i="23"/>
  <c r="A79" i="23"/>
  <c r="B78" i="23"/>
  <c r="A78" i="23"/>
  <c r="B77" i="23"/>
  <c r="A77" i="23"/>
  <c r="B76" i="23"/>
  <c r="A76" i="23"/>
  <c r="B75" i="23"/>
  <c r="A75" i="23"/>
  <c r="B74" i="23"/>
  <c r="A74" i="23"/>
  <c r="B73" i="23"/>
  <c r="A73" i="23"/>
  <c r="B72" i="23"/>
  <c r="A72" i="23"/>
  <c r="B71" i="23"/>
  <c r="A71" i="23"/>
  <c r="B70" i="23"/>
  <c r="A70" i="23"/>
  <c r="B69" i="23"/>
  <c r="A69" i="23"/>
  <c r="B68" i="23"/>
  <c r="A68" i="23"/>
  <c r="B67" i="23"/>
  <c r="A67" i="23"/>
  <c r="B66" i="23"/>
  <c r="A66" i="23"/>
  <c r="B65" i="23"/>
  <c r="A65" i="23"/>
  <c r="B64" i="23"/>
  <c r="A64" i="23"/>
  <c r="B63" i="23"/>
  <c r="A63" i="23"/>
  <c r="B62" i="23"/>
  <c r="A62" i="23"/>
  <c r="B61" i="23"/>
  <c r="A61" i="23"/>
  <c r="B60" i="23"/>
  <c r="A60" i="23"/>
  <c r="B59" i="23"/>
  <c r="A59" i="23"/>
  <c r="B58" i="23"/>
  <c r="A58" i="23"/>
  <c r="B57" i="23"/>
  <c r="A57" i="23"/>
  <c r="B56" i="23"/>
  <c r="A56" i="23"/>
  <c r="B55" i="23"/>
  <c r="A55" i="23"/>
  <c r="B54" i="23"/>
  <c r="A54" i="23"/>
  <c r="B53" i="23"/>
  <c r="A53" i="23"/>
  <c r="B52" i="23"/>
  <c r="A52" i="23"/>
  <c r="B51" i="23"/>
  <c r="A51" i="23"/>
  <c r="B50" i="23"/>
  <c r="A50" i="23"/>
  <c r="B49" i="23"/>
  <c r="A49" i="23"/>
  <c r="B48" i="23"/>
  <c r="A48" i="23"/>
  <c r="B47" i="23"/>
  <c r="A47" i="23"/>
  <c r="B46" i="23"/>
  <c r="A46" i="23"/>
  <c r="B45" i="23"/>
  <c r="A45" i="23"/>
  <c r="B44" i="23"/>
  <c r="A44" i="23"/>
  <c r="B43" i="23"/>
  <c r="A43" i="23"/>
  <c r="B42" i="23"/>
  <c r="A42" i="23"/>
  <c r="B41" i="23"/>
  <c r="A41" i="23"/>
  <c r="B40" i="23"/>
  <c r="A40" i="23"/>
  <c r="B39" i="23"/>
  <c r="A39" i="23"/>
  <c r="B38" i="23"/>
  <c r="A38" i="23"/>
  <c r="B37" i="23"/>
  <c r="A37" i="23"/>
  <c r="B36" i="23"/>
  <c r="A36" i="23"/>
  <c r="B35" i="23"/>
  <c r="A35" i="23"/>
  <c r="B34" i="23"/>
  <c r="A34" i="23"/>
  <c r="B33" i="23"/>
  <c r="A33" i="23"/>
  <c r="B32" i="23"/>
  <c r="A32" i="23"/>
  <c r="B31" i="23"/>
  <c r="A31" i="23"/>
  <c r="B30" i="23"/>
  <c r="A30" i="23"/>
  <c r="B29" i="23"/>
  <c r="A29" i="23"/>
  <c r="B28" i="23"/>
  <c r="A28" i="23"/>
  <c r="B27" i="23"/>
  <c r="A27" i="23"/>
  <c r="B26" i="23"/>
  <c r="A26" i="23"/>
  <c r="B25" i="23"/>
  <c r="A25" i="23"/>
  <c r="B24" i="23"/>
  <c r="A24" i="23"/>
  <c r="B23" i="23"/>
  <c r="A23" i="23"/>
  <c r="B22" i="23"/>
  <c r="A22" i="23"/>
  <c r="B21" i="23"/>
  <c r="A21" i="23"/>
  <c r="B20" i="23"/>
  <c r="A20" i="23"/>
  <c r="B19" i="23"/>
  <c r="A19" i="23"/>
  <c r="B18" i="23"/>
  <c r="A18" i="23"/>
  <c r="B17" i="23"/>
  <c r="A17" i="23"/>
  <c r="B16" i="23"/>
  <c r="A16" i="23"/>
  <c r="B15" i="23"/>
  <c r="A15" i="23"/>
  <c r="B14" i="23"/>
  <c r="A14" i="23"/>
  <c r="B13" i="23"/>
  <c r="A13" i="23"/>
  <c r="B12" i="23"/>
  <c r="A12" i="23"/>
  <c r="I11" i="23"/>
  <c r="J11" i="23" s="1"/>
  <c r="I9" i="23"/>
  <c r="J9" i="23" s="1"/>
  <c r="K9" i="23" s="1"/>
  <c r="L9" i="23" s="1"/>
  <c r="M9" i="23" s="1"/>
  <c r="N9" i="23" s="1"/>
  <c r="O9" i="23" s="1"/>
  <c r="P9" i="23" s="1"/>
  <c r="Q9" i="23" s="1"/>
  <c r="R9" i="23" s="1"/>
  <c r="S9" i="23" s="1"/>
  <c r="T9" i="23" s="1"/>
  <c r="U9" i="23" s="1"/>
  <c r="V9" i="23" s="1"/>
  <c r="W9" i="23" s="1"/>
  <c r="X9" i="23" s="1"/>
  <c r="Y9" i="23" s="1"/>
  <c r="Z9" i="23" s="1"/>
  <c r="AA9" i="23" s="1"/>
  <c r="AB9" i="23" s="1"/>
  <c r="AC9" i="23" s="1"/>
  <c r="AD9" i="23" s="1"/>
  <c r="AE9" i="23" s="1"/>
  <c r="J6" i="23"/>
  <c r="G6" i="24" s="1"/>
  <c r="J5" i="23"/>
  <c r="G5" i="24" s="1"/>
  <c r="AU543" i="20"/>
  <c r="AD543" i="20"/>
  <c r="M543" i="20"/>
  <c r="AT542" i="20"/>
  <c r="AR542" i="20"/>
  <c r="AP542" i="20"/>
  <c r="AN542" i="20"/>
  <c r="AU541" i="20"/>
  <c r="AT541" i="20"/>
  <c r="AS541" i="20"/>
  <c r="AR541" i="20"/>
  <c r="AQ541" i="20"/>
  <c r="AP541" i="20"/>
  <c r="AO541" i="20"/>
  <c r="AN541" i="20"/>
  <c r="AM541" i="20"/>
  <c r="AU540" i="20"/>
  <c r="AT540" i="20"/>
  <c r="AS540" i="20"/>
  <c r="AR540" i="20"/>
  <c r="AQ540" i="20"/>
  <c r="AP540" i="20"/>
  <c r="AO540" i="20"/>
  <c r="AN540" i="20"/>
  <c r="AM540" i="20"/>
  <c r="AU539" i="20"/>
  <c r="AT539" i="20"/>
  <c r="AS539" i="20"/>
  <c r="AR539" i="20"/>
  <c r="AQ539" i="20"/>
  <c r="AP539" i="20"/>
  <c r="AO539" i="20"/>
  <c r="AN539" i="20"/>
  <c r="AM539" i="20"/>
  <c r="AU537" i="20"/>
  <c r="AT537" i="20"/>
  <c r="AS537" i="20"/>
  <c r="AR537" i="20"/>
  <c r="AQ537" i="20"/>
  <c r="AP537" i="20"/>
  <c r="AO537" i="20"/>
  <c r="AN537" i="20"/>
  <c r="AM537" i="20"/>
  <c r="AU536" i="20"/>
  <c r="AT536" i="20"/>
  <c r="AS536" i="20"/>
  <c r="AR536" i="20"/>
  <c r="AQ536" i="20"/>
  <c r="AP536" i="20"/>
  <c r="AO536" i="20"/>
  <c r="AN536" i="20"/>
  <c r="AM536" i="20"/>
  <c r="AU535" i="20"/>
  <c r="AT535" i="20"/>
  <c r="AS535" i="20"/>
  <c r="AR535" i="20"/>
  <c r="AQ535" i="20"/>
  <c r="AP535" i="20"/>
  <c r="AO535" i="20"/>
  <c r="AN535" i="20"/>
  <c r="AM535" i="20"/>
  <c r="AM532" i="20"/>
  <c r="AP532" i="20" s="1"/>
  <c r="AR532" i="20" s="1"/>
  <c r="AT532" i="20" s="1"/>
  <c r="V532" i="20"/>
  <c r="Y532" i="20" s="1"/>
  <c r="AA532" i="20" s="1"/>
  <c r="AC532" i="20" s="1"/>
  <c r="AT531" i="20"/>
  <c r="AK531" i="20"/>
  <c r="AC531" i="20"/>
  <c r="T531" i="20"/>
  <c r="L531" i="20"/>
  <c r="C531" i="20"/>
  <c r="AK530" i="20"/>
  <c r="W530" i="20"/>
  <c r="T530" i="20"/>
  <c r="C530" i="20"/>
  <c r="AT519" i="20"/>
  <c r="AC519" i="20"/>
  <c r="L519" i="20"/>
  <c r="AS518" i="20"/>
  <c r="AQ518" i="20"/>
  <c r="AO518" i="20"/>
  <c r="AM518" i="20"/>
  <c r="AS517" i="20"/>
  <c r="AQ517" i="20"/>
  <c r="AO517" i="20"/>
  <c r="AM517" i="20"/>
  <c r="AS516" i="20"/>
  <c r="AQ516" i="20"/>
  <c r="AO516" i="20"/>
  <c r="AM516" i="20"/>
  <c r="AS515" i="20"/>
  <c r="AQ515" i="20"/>
  <c r="AO515" i="20"/>
  <c r="AM515" i="20"/>
  <c r="AS514" i="20"/>
  <c r="AQ514" i="20"/>
  <c r="AO514" i="20"/>
  <c r="AM514" i="20"/>
  <c r="AS513" i="20"/>
  <c r="AQ513" i="20"/>
  <c r="AO513" i="20"/>
  <c r="AM513" i="20"/>
  <c r="AS512" i="20"/>
  <c r="AQ512" i="20"/>
  <c r="AO512" i="20"/>
  <c r="AM512" i="20"/>
  <c r="AS511" i="20"/>
  <c r="AQ511" i="20"/>
  <c r="AO511" i="20"/>
  <c r="AM511" i="20"/>
  <c r="AS510" i="20"/>
  <c r="AQ510" i="20"/>
  <c r="AO510" i="20"/>
  <c r="AM510" i="20"/>
  <c r="AS509" i="20"/>
  <c r="AQ509" i="20"/>
  <c r="AO509" i="20"/>
  <c r="AM509" i="20"/>
  <c r="AS508" i="20"/>
  <c r="AQ508" i="20"/>
  <c r="AO508" i="20"/>
  <c r="AM508" i="20"/>
  <c r="AS507" i="20"/>
  <c r="AQ507" i="20"/>
  <c r="AO507" i="20"/>
  <c r="AM507" i="20"/>
  <c r="AS506" i="20"/>
  <c r="AQ506" i="20"/>
  <c r="AO506" i="20"/>
  <c r="AM506" i="20"/>
  <c r="AT505" i="20"/>
  <c r="AS505" i="20"/>
  <c r="AR505" i="20"/>
  <c r="AQ505" i="20"/>
  <c r="AP505" i="20"/>
  <c r="AO505" i="20"/>
  <c r="AN505" i="20"/>
  <c r="AM505" i="20"/>
  <c r="AT504" i="20"/>
  <c r="AS504" i="20"/>
  <c r="AR504" i="20"/>
  <c r="AQ504" i="20"/>
  <c r="AP504" i="20"/>
  <c r="AO504" i="20"/>
  <c r="AN504" i="20"/>
  <c r="AM504" i="20"/>
  <c r="AS503" i="20"/>
  <c r="AQ503" i="20"/>
  <c r="AO503" i="20"/>
  <c r="AM503" i="20"/>
  <c r="AS502" i="20"/>
  <c r="AQ502" i="20"/>
  <c r="AO502" i="20"/>
  <c r="AM502" i="20"/>
  <c r="AT501" i="20"/>
  <c r="AS501" i="20"/>
  <c r="AR501" i="20"/>
  <c r="AQ501" i="20"/>
  <c r="AP501" i="20"/>
  <c r="AO501" i="20"/>
  <c r="AN501" i="20"/>
  <c r="AM501" i="20"/>
  <c r="AT500" i="20"/>
  <c r="AS500" i="20"/>
  <c r="AR500" i="20"/>
  <c r="AQ500" i="20"/>
  <c r="AP500" i="20"/>
  <c r="AO500" i="20"/>
  <c r="AN500" i="20"/>
  <c r="AM500" i="20"/>
  <c r="AM498" i="20"/>
  <c r="AO498" i="20" s="1"/>
  <c r="AQ498" i="20" s="1"/>
  <c r="AS498" i="20" s="1"/>
  <c r="V498" i="20"/>
  <c r="X498" i="20" s="1"/>
  <c r="Z498" i="20" s="1"/>
  <c r="AB498" i="20" s="1"/>
  <c r="AS497" i="20"/>
  <c r="AB497" i="20"/>
  <c r="K497" i="20"/>
  <c r="AK496" i="20"/>
  <c r="W496" i="20"/>
  <c r="T496" i="20"/>
  <c r="C496" i="20"/>
  <c r="AK495" i="20"/>
  <c r="T495" i="20"/>
  <c r="C495" i="20"/>
  <c r="AU489" i="20"/>
  <c r="AD489" i="20"/>
  <c r="M489" i="20"/>
  <c r="AU488" i="20"/>
  <c r="AT488" i="20"/>
  <c r="AS488" i="20"/>
  <c r="AR488" i="20"/>
  <c r="AQ488" i="20"/>
  <c r="AP488" i="20"/>
  <c r="AO488" i="20"/>
  <c r="AN488" i="20"/>
  <c r="AU487" i="20"/>
  <c r="AT487" i="20"/>
  <c r="AS487" i="20"/>
  <c r="AR487" i="20"/>
  <c r="AQ487" i="20"/>
  <c r="AP487" i="20"/>
  <c r="AO487" i="20"/>
  <c r="AN487" i="20"/>
  <c r="AU486" i="20"/>
  <c r="AT486" i="20"/>
  <c r="AS486" i="20"/>
  <c r="AR486" i="20"/>
  <c r="AQ486" i="20"/>
  <c r="AP486" i="20"/>
  <c r="AO486" i="20"/>
  <c r="AN486" i="20"/>
  <c r="AU485" i="20"/>
  <c r="AT485" i="20"/>
  <c r="AS485" i="20"/>
  <c r="AR485" i="20"/>
  <c r="AQ485" i="20"/>
  <c r="AP485" i="20"/>
  <c r="AO485" i="20"/>
  <c r="AN485" i="20"/>
  <c r="AU484" i="20"/>
  <c r="AT484" i="20"/>
  <c r="AS484" i="20"/>
  <c r="AR484" i="20"/>
  <c r="AQ484" i="20"/>
  <c r="AP484" i="20"/>
  <c r="AO484" i="20"/>
  <c r="AN484" i="20"/>
  <c r="AU483" i="20"/>
  <c r="AT483" i="20"/>
  <c r="AS483" i="20"/>
  <c r="AR483" i="20"/>
  <c r="AQ483" i="20"/>
  <c r="AP483" i="20"/>
  <c r="AO483" i="20"/>
  <c r="AN483" i="20"/>
  <c r="AU482" i="20"/>
  <c r="AT482" i="20"/>
  <c r="AS482" i="20"/>
  <c r="AR482" i="20"/>
  <c r="AQ482" i="20"/>
  <c r="AP482" i="20"/>
  <c r="AO482" i="20"/>
  <c r="AN482" i="20"/>
  <c r="AU481" i="20"/>
  <c r="AT481" i="20"/>
  <c r="AS481" i="20"/>
  <c r="AR481" i="20"/>
  <c r="AQ481" i="20"/>
  <c r="AP481" i="20"/>
  <c r="AO481" i="20"/>
  <c r="AN481" i="20"/>
  <c r="AU480" i="20"/>
  <c r="AT480" i="20"/>
  <c r="AS480" i="20"/>
  <c r="AR480" i="20"/>
  <c r="AQ480" i="20"/>
  <c r="AP480" i="20"/>
  <c r="AO480" i="20"/>
  <c r="AN480" i="20"/>
  <c r="AT478" i="20"/>
  <c r="AR478" i="20"/>
  <c r="AP478" i="20"/>
  <c r="AC478" i="20"/>
  <c r="AA478" i="20"/>
  <c r="Y478" i="20"/>
  <c r="AT477" i="20"/>
  <c r="AC477" i="20"/>
  <c r="L477" i="20"/>
  <c r="AK476" i="20"/>
  <c r="W476" i="20"/>
  <c r="T476" i="20"/>
  <c r="C476" i="20"/>
  <c r="AK475" i="20"/>
  <c r="T475" i="20"/>
  <c r="C475" i="20"/>
  <c r="AT468" i="20"/>
  <c r="AC468" i="20"/>
  <c r="L468" i="20"/>
  <c r="AS467" i="20"/>
  <c r="AQ467" i="20"/>
  <c r="AO467" i="20"/>
  <c r="AC467" i="20"/>
  <c r="AA467" i="20"/>
  <c r="Y467" i="20"/>
  <c r="AS466" i="20"/>
  <c r="AQ466" i="20"/>
  <c r="AO466" i="20"/>
  <c r="AC466" i="20"/>
  <c r="AA466" i="20"/>
  <c r="Y466" i="20"/>
  <c r="AO465" i="20"/>
  <c r="AC465" i="20"/>
  <c r="AB465" i="20"/>
  <c r="AA465" i="20"/>
  <c r="Z465" i="20"/>
  <c r="Y465" i="20"/>
  <c r="AS464" i="20"/>
  <c r="AQ464" i="20"/>
  <c r="AO464" i="20"/>
  <c r="AC464" i="20"/>
  <c r="AA464" i="20"/>
  <c r="Y464" i="20"/>
  <c r="AO463" i="20"/>
  <c r="AC463" i="20"/>
  <c r="AB463" i="20"/>
  <c r="AA463" i="20"/>
  <c r="Z463" i="20"/>
  <c r="Y463" i="20"/>
  <c r="G463" i="20"/>
  <c r="X463" i="20" s="1"/>
  <c r="AS461" i="20"/>
  <c r="AQ461" i="20"/>
  <c r="AO461" i="20"/>
  <c r="AC461" i="20"/>
  <c r="AA461" i="20"/>
  <c r="Y461" i="20"/>
  <c r="AS460" i="20"/>
  <c r="AQ460" i="20"/>
  <c r="AO460" i="20"/>
  <c r="AC460" i="20"/>
  <c r="AA460" i="20"/>
  <c r="Y460" i="20"/>
  <c r="AO459" i="20"/>
  <c r="AC459" i="20"/>
  <c r="AB459" i="20"/>
  <c r="AA459" i="20"/>
  <c r="Z459" i="20"/>
  <c r="Y459" i="20"/>
  <c r="AS458" i="20"/>
  <c r="AQ458" i="20"/>
  <c r="AO458" i="20"/>
  <c r="AC458" i="20"/>
  <c r="AA458" i="20"/>
  <c r="Y458" i="20"/>
  <c r="AO457" i="20"/>
  <c r="AC457" i="20"/>
  <c r="AB457" i="20"/>
  <c r="AA457" i="20"/>
  <c r="Z457" i="20"/>
  <c r="Y457" i="20"/>
  <c r="G457" i="20"/>
  <c r="AS455" i="20"/>
  <c r="AQ455" i="20"/>
  <c r="AO455" i="20"/>
  <c r="AC455" i="20"/>
  <c r="AA455" i="20"/>
  <c r="Y455" i="20"/>
  <c r="AS454" i="20"/>
  <c r="AQ454" i="20"/>
  <c r="AO454" i="20"/>
  <c r="AC454" i="20"/>
  <c r="AA454" i="20"/>
  <c r="Y454" i="20"/>
  <c r="AO453" i="20"/>
  <c r="AC453" i="20"/>
  <c r="AB453" i="20"/>
  <c r="AA453" i="20"/>
  <c r="Z453" i="20"/>
  <c r="Y453" i="20"/>
  <c r="AS452" i="20"/>
  <c r="AQ452" i="20"/>
  <c r="AO452" i="20"/>
  <c r="AC452" i="20"/>
  <c r="AA452" i="20"/>
  <c r="Y452" i="20"/>
  <c r="AO451" i="20"/>
  <c r="AC451" i="20"/>
  <c r="AB451" i="20"/>
  <c r="AA451" i="20"/>
  <c r="Z451" i="20"/>
  <c r="Y451" i="20"/>
  <c r="G451" i="20"/>
  <c r="AO450" i="20"/>
  <c r="X450" i="20"/>
  <c r="X456" i="20" s="1"/>
  <c r="X462" i="20" s="1"/>
  <c r="AS449" i="20"/>
  <c r="AB449" i="20"/>
  <c r="W449" i="20"/>
  <c r="K449" i="20"/>
  <c r="AK448" i="20"/>
  <c r="T448" i="20"/>
  <c r="C448" i="20"/>
  <c r="AU441" i="20"/>
  <c r="AD441" i="20"/>
  <c r="M441" i="20"/>
  <c r="AU440" i="20"/>
  <c r="AT440" i="20"/>
  <c r="AS440" i="20"/>
  <c r="AR440" i="20"/>
  <c r="AQ440" i="20"/>
  <c r="AP440" i="20"/>
  <c r="AO440" i="20"/>
  <c r="AN440" i="20"/>
  <c r="AU439" i="20"/>
  <c r="AT439" i="20"/>
  <c r="AS439" i="20"/>
  <c r="AR439" i="20"/>
  <c r="AQ439" i="20"/>
  <c r="AP439" i="20"/>
  <c r="AO439" i="20"/>
  <c r="AN439" i="20"/>
  <c r="AU438" i="20"/>
  <c r="AT438" i="20"/>
  <c r="AS438" i="20"/>
  <c r="AR438" i="20"/>
  <c r="AQ438" i="20"/>
  <c r="AP438" i="20"/>
  <c r="AO438" i="20"/>
  <c r="AN438" i="20"/>
  <c r="AU436" i="20"/>
  <c r="AS436" i="20"/>
  <c r="AQ436" i="20"/>
  <c r="AO436" i="20"/>
  <c r="AC436" i="20"/>
  <c r="AA436" i="20"/>
  <c r="Y436" i="20"/>
  <c r="W436" i="20"/>
  <c r="AU435" i="20"/>
  <c r="AT435" i="20"/>
  <c r="AS435" i="20"/>
  <c r="AR435" i="20"/>
  <c r="AQ435" i="20"/>
  <c r="AP435" i="20"/>
  <c r="AO435" i="20"/>
  <c r="AN435" i="20"/>
  <c r="AU433" i="20"/>
  <c r="AT433" i="20"/>
  <c r="AS433" i="20"/>
  <c r="AR433" i="20"/>
  <c r="AQ433" i="20"/>
  <c r="AP433" i="20"/>
  <c r="AO433" i="20"/>
  <c r="AN433" i="20"/>
  <c r="AU432" i="20"/>
  <c r="AT432" i="20"/>
  <c r="AS432" i="20"/>
  <c r="AR432" i="20"/>
  <c r="AQ432" i="20"/>
  <c r="AP432" i="20"/>
  <c r="AO432" i="20"/>
  <c r="AN432" i="20"/>
  <c r="AU431" i="20"/>
  <c r="AT431" i="20"/>
  <c r="AS431" i="20"/>
  <c r="AR431" i="20"/>
  <c r="AQ431" i="20"/>
  <c r="AP431" i="20"/>
  <c r="AO431" i="20"/>
  <c r="AN431" i="20"/>
  <c r="AU430" i="20"/>
  <c r="AT430" i="20"/>
  <c r="AS430" i="20"/>
  <c r="AR430" i="20"/>
  <c r="AQ430" i="20"/>
  <c r="AP430" i="20"/>
  <c r="AO430" i="20"/>
  <c r="AN430" i="20"/>
  <c r="AU429" i="20"/>
  <c r="AT429" i="20"/>
  <c r="AS429" i="20"/>
  <c r="AR429" i="20"/>
  <c r="AQ429" i="20"/>
  <c r="AP429" i="20"/>
  <c r="AO429" i="20"/>
  <c r="AN429" i="20"/>
  <c r="AU427" i="20"/>
  <c r="AT427" i="20"/>
  <c r="AS427" i="20"/>
  <c r="AR427" i="20"/>
  <c r="AQ427" i="20"/>
  <c r="AP427" i="20"/>
  <c r="AO427" i="20"/>
  <c r="AN427" i="20"/>
  <c r="AU426" i="20"/>
  <c r="AT426" i="20"/>
  <c r="AS426" i="20"/>
  <c r="AR426" i="20"/>
  <c r="AQ426" i="20"/>
  <c r="AP426" i="20"/>
  <c r="AO426" i="20"/>
  <c r="AN426" i="20"/>
  <c r="AU425" i="20"/>
  <c r="AT425" i="20"/>
  <c r="AS425" i="20"/>
  <c r="AR425" i="20"/>
  <c r="AQ425" i="20"/>
  <c r="AP425" i="20"/>
  <c r="AO425" i="20"/>
  <c r="AN425" i="20"/>
  <c r="AT424" i="20"/>
  <c r="AR424" i="20"/>
  <c r="AP424" i="20"/>
  <c r="AN424" i="20"/>
  <c r="AD424" i="20"/>
  <c r="AB424" i="20"/>
  <c r="Z424" i="20"/>
  <c r="X424" i="20"/>
  <c r="AU423" i="20"/>
  <c r="AT423" i="20"/>
  <c r="AS423" i="20"/>
  <c r="AR423" i="20"/>
  <c r="AQ423" i="20"/>
  <c r="AP423" i="20"/>
  <c r="AO423" i="20"/>
  <c r="AN423" i="20"/>
  <c r="AU422" i="20"/>
  <c r="AT422" i="20"/>
  <c r="AS422" i="20"/>
  <c r="AR422" i="20"/>
  <c r="AQ422" i="20"/>
  <c r="AP422" i="20"/>
  <c r="AO422" i="20"/>
  <c r="AN422" i="20"/>
  <c r="AU421" i="20"/>
  <c r="AT421" i="20"/>
  <c r="AS421" i="20"/>
  <c r="AR421" i="20"/>
  <c r="AQ421" i="20"/>
  <c r="AP421" i="20"/>
  <c r="AO421" i="20"/>
  <c r="AN421" i="20"/>
  <c r="AU420" i="20"/>
  <c r="AT420" i="20"/>
  <c r="AS420" i="20"/>
  <c r="AR420" i="20"/>
  <c r="AQ420" i="20"/>
  <c r="AP420" i="20"/>
  <c r="AO420" i="20"/>
  <c r="AN420" i="20"/>
  <c r="AU419" i="20"/>
  <c r="AT419" i="20"/>
  <c r="AS419" i="20"/>
  <c r="AR419" i="20"/>
  <c r="AQ419" i="20"/>
  <c r="AP419" i="20"/>
  <c r="AO419" i="20"/>
  <c r="AN419" i="20"/>
  <c r="AU418" i="20"/>
  <c r="AT418" i="20"/>
  <c r="AS418" i="20"/>
  <c r="AR418" i="20"/>
  <c r="AQ418" i="20"/>
  <c r="AP418" i="20"/>
  <c r="AO418" i="20"/>
  <c r="AN418" i="20"/>
  <c r="AU417" i="20"/>
  <c r="AT417" i="20"/>
  <c r="AS417" i="20"/>
  <c r="AR417" i="20"/>
  <c r="AQ417" i="20"/>
  <c r="AP417" i="20"/>
  <c r="AO417" i="20"/>
  <c r="AN417" i="20"/>
  <c r="AU416" i="20"/>
  <c r="AT416" i="20"/>
  <c r="AS416" i="20"/>
  <c r="AR416" i="20"/>
  <c r="AQ416" i="20"/>
  <c r="AP416" i="20"/>
  <c r="AO416" i="20"/>
  <c r="AN416" i="20"/>
  <c r="AU415" i="20"/>
  <c r="AT415" i="20"/>
  <c r="AS415" i="20"/>
  <c r="AR415" i="20"/>
  <c r="AQ415" i="20"/>
  <c r="AP415" i="20"/>
  <c r="AO415" i="20"/>
  <c r="AN415" i="20"/>
  <c r="AU414" i="20"/>
  <c r="AT414" i="20"/>
  <c r="AS414" i="20"/>
  <c r="AR414" i="20"/>
  <c r="AQ414" i="20"/>
  <c r="AP414" i="20"/>
  <c r="AO414" i="20"/>
  <c r="AN414" i="20"/>
  <c r="AU413" i="20"/>
  <c r="AT413" i="20"/>
  <c r="AS413" i="20"/>
  <c r="AR413" i="20"/>
  <c r="AQ413" i="20"/>
  <c r="AP413" i="20"/>
  <c r="AO413" i="20"/>
  <c r="AN413" i="20"/>
  <c r="AU412" i="20"/>
  <c r="AT412" i="20"/>
  <c r="AS412" i="20"/>
  <c r="AR412" i="20"/>
  <c r="AQ412" i="20"/>
  <c r="AP412" i="20"/>
  <c r="AO412" i="20"/>
  <c r="AN412" i="20"/>
  <c r="AU411" i="20"/>
  <c r="AT411" i="20"/>
  <c r="AS411" i="20"/>
  <c r="AR411" i="20"/>
  <c r="AQ411" i="20"/>
  <c r="AP411" i="20"/>
  <c r="AO411" i="20"/>
  <c r="AN411" i="20"/>
  <c r="AU410" i="20"/>
  <c r="AT410" i="20"/>
  <c r="AS410" i="20"/>
  <c r="AR410" i="20"/>
  <c r="AQ410" i="20"/>
  <c r="AP410" i="20"/>
  <c r="AO410" i="20"/>
  <c r="AN410" i="20"/>
  <c r="AU409" i="20"/>
  <c r="AT409" i="20"/>
  <c r="AS409" i="20"/>
  <c r="AR409" i="20"/>
  <c r="AQ409" i="20"/>
  <c r="AP409" i="20"/>
  <c r="AO409" i="20"/>
  <c r="AN409" i="20"/>
  <c r="AU408" i="20"/>
  <c r="AT408" i="20"/>
  <c r="AS408" i="20"/>
  <c r="AR408" i="20"/>
  <c r="AQ408" i="20"/>
  <c r="AP408" i="20"/>
  <c r="AO408" i="20"/>
  <c r="AN408" i="20"/>
  <c r="AU407" i="20"/>
  <c r="AT407" i="20"/>
  <c r="AS407" i="20"/>
  <c r="AR407" i="20"/>
  <c r="AQ407" i="20"/>
  <c r="AP407" i="20"/>
  <c r="AO407" i="20"/>
  <c r="AN407" i="20"/>
  <c r="W405" i="20"/>
  <c r="Y405" i="20" s="1"/>
  <c r="AA405" i="20" s="1"/>
  <c r="AC405" i="20" s="1"/>
  <c r="AT404" i="20"/>
  <c r="AC404" i="20"/>
  <c r="L404" i="20"/>
  <c r="AK403" i="20"/>
  <c r="W403" i="20"/>
  <c r="T403" i="20"/>
  <c r="C403" i="20"/>
  <c r="AK402" i="20"/>
  <c r="T402" i="20"/>
  <c r="C402" i="20"/>
  <c r="AU390" i="20"/>
  <c r="AD390" i="20"/>
  <c r="M390" i="20"/>
  <c r="AT389" i="20"/>
  <c r="AR389" i="20"/>
  <c r="AP389" i="20"/>
  <c r="AN389" i="20"/>
  <c r="AT388" i="20"/>
  <c r="AR388" i="20"/>
  <c r="AP388" i="20"/>
  <c r="AN388" i="20"/>
  <c r="AU387" i="20"/>
  <c r="AT387" i="20"/>
  <c r="AS387" i="20"/>
  <c r="AR387" i="20"/>
  <c r="AQ387" i="20"/>
  <c r="AP387" i="20"/>
  <c r="AO387" i="20"/>
  <c r="AN387" i="20"/>
  <c r="AU386" i="20"/>
  <c r="AT386" i="20"/>
  <c r="AS386" i="20"/>
  <c r="AR386" i="20"/>
  <c r="AQ386" i="20"/>
  <c r="AP386" i="20"/>
  <c r="AO386" i="20"/>
  <c r="AN386" i="20"/>
  <c r="AT385" i="20"/>
  <c r="AR385" i="20"/>
  <c r="AP385" i="20"/>
  <c r="AN385" i="20"/>
  <c r="AU384" i="20"/>
  <c r="AT384" i="20"/>
  <c r="AS384" i="20"/>
  <c r="AR384" i="20"/>
  <c r="AQ384" i="20"/>
  <c r="AP384" i="20"/>
  <c r="AO384" i="20"/>
  <c r="AN384" i="20"/>
  <c r="AT383" i="20"/>
  <c r="AR383" i="20"/>
  <c r="AP383" i="20"/>
  <c r="AN383" i="20"/>
  <c r="AU382" i="20"/>
  <c r="AT382" i="20"/>
  <c r="AS382" i="20"/>
  <c r="AR382" i="20"/>
  <c r="AQ382" i="20"/>
  <c r="AP382" i="20"/>
  <c r="AO382" i="20"/>
  <c r="AN382" i="20"/>
  <c r="AU381" i="20"/>
  <c r="AT381" i="20"/>
  <c r="AS381" i="20"/>
  <c r="AR381" i="20"/>
  <c r="AQ381" i="20"/>
  <c r="AP381" i="20"/>
  <c r="AO381" i="20"/>
  <c r="AN381" i="20"/>
  <c r="AU380" i="20"/>
  <c r="AT380" i="20"/>
  <c r="AS380" i="20"/>
  <c r="AR380" i="20"/>
  <c r="AQ380" i="20"/>
  <c r="AP380" i="20"/>
  <c r="AO380" i="20"/>
  <c r="AN380" i="20"/>
  <c r="AU379" i="20"/>
  <c r="AT379" i="20"/>
  <c r="AS379" i="20"/>
  <c r="AR379" i="20"/>
  <c r="AQ379" i="20"/>
  <c r="AP379" i="20"/>
  <c r="AO379" i="20"/>
  <c r="AN379" i="20"/>
  <c r="AU378" i="20"/>
  <c r="AT378" i="20"/>
  <c r="AS378" i="20"/>
  <c r="AR378" i="20"/>
  <c r="AQ378" i="20"/>
  <c r="AP378" i="20"/>
  <c r="AO378" i="20"/>
  <c r="AN378" i="20"/>
  <c r="AU377" i="20"/>
  <c r="AT377" i="20"/>
  <c r="AS377" i="20"/>
  <c r="AR377" i="20"/>
  <c r="AQ377" i="20"/>
  <c r="AP377" i="20"/>
  <c r="AO377" i="20"/>
  <c r="AN377" i="20"/>
  <c r="AU376" i="20"/>
  <c r="AT376" i="20"/>
  <c r="AS376" i="20"/>
  <c r="AR376" i="20"/>
  <c r="AQ376" i="20"/>
  <c r="AP376" i="20"/>
  <c r="AO376" i="20"/>
  <c r="AN376" i="20"/>
  <c r="AU375" i="20"/>
  <c r="AT375" i="20"/>
  <c r="AS375" i="20"/>
  <c r="AR375" i="20"/>
  <c r="AQ375" i="20"/>
  <c r="AP375" i="20"/>
  <c r="AO375" i="20"/>
  <c r="AN375" i="20"/>
  <c r="AN373" i="20"/>
  <c r="AP373" i="20" s="1"/>
  <c r="AR373" i="20" s="1"/>
  <c r="AT373" i="20" s="1"/>
  <c r="W373" i="20"/>
  <c r="Y373" i="20" s="1"/>
  <c r="AA373" i="20" s="1"/>
  <c r="AC373" i="20" s="1"/>
  <c r="AT372" i="20"/>
  <c r="AC372" i="20"/>
  <c r="L372" i="20"/>
  <c r="AK371" i="20"/>
  <c r="W371" i="20"/>
  <c r="T371" i="20"/>
  <c r="C371" i="20"/>
  <c r="AK370" i="20"/>
  <c r="T370" i="20"/>
  <c r="C370" i="20"/>
  <c r="AU355" i="20"/>
  <c r="AD355" i="20"/>
  <c r="M355" i="20"/>
  <c r="AT354" i="20"/>
  <c r="AR354" i="20"/>
  <c r="AP354" i="20"/>
  <c r="AN354" i="20"/>
  <c r="AU353" i="20"/>
  <c r="AT353" i="20"/>
  <c r="AS353" i="20"/>
  <c r="AR353" i="20"/>
  <c r="AQ353" i="20"/>
  <c r="AP353" i="20"/>
  <c r="AO353" i="20"/>
  <c r="AN353" i="20"/>
  <c r="AU352" i="20"/>
  <c r="AT352" i="20"/>
  <c r="AS352" i="20"/>
  <c r="AR352" i="20"/>
  <c r="AQ352" i="20"/>
  <c r="AP352" i="20"/>
  <c r="AO352" i="20"/>
  <c r="AN352" i="20"/>
  <c r="AU351" i="20"/>
  <c r="AT351" i="20"/>
  <c r="AS351" i="20"/>
  <c r="AR351" i="20"/>
  <c r="AQ351" i="20"/>
  <c r="AP351" i="20"/>
  <c r="AO351" i="20"/>
  <c r="AN351" i="20"/>
  <c r="AT350" i="20"/>
  <c r="AR350" i="20"/>
  <c r="AP350" i="20"/>
  <c r="AN350" i="20"/>
  <c r="AU349" i="20"/>
  <c r="AT349" i="20"/>
  <c r="AS349" i="20"/>
  <c r="AR349" i="20"/>
  <c r="AQ349" i="20"/>
  <c r="AP349" i="20"/>
  <c r="AO349" i="20"/>
  <c r="AN349" i="20"/>
  <c r="AU348" i="20"/>
  <c r="AT348" i="20"/>
  <c r="AS348" i="20"/>
  <c r="AR348" i="20"/>
  <c r="AQ348" i="20"/>
  <c r="AP348" i="20"/>
  <c r="AO348" i="20"/>
  <c r="AN348" i="20"/>
  <c r="AU347" i="20"/>
  <c r="AT347" i="20"/>
  <c r="AS347" i="20"/>
  <c r="AR347" i="20"/>
  <c r="AQ347" i="20"/>
  <c r="AP347" i="20"/>
  <c r="AO347" i="20"/>
  <c r="AN347" i="20"/>
  <c r="AU346" i="20"/>
  <c r="AT346" i="20"/>
  <c r="AS346" i="20"/>
  <c r="AR346" i="20"/>
  <c r="AQ346" i="20"/>
  <c r="AP346" i="20"/>
  <c r="AO346" i="20"/>
  <c r="AN346" i="20"/>
  <c r="AU345" i="20"/>
  <c r="AT345" i="20"/>
  <c r="AS345" i="20"/>
  <c r="AR345" i="20"/>
  <c r="AQ345" i="20"/>
  <c r="AP345" i="20"/>
  <c r="AO345" i="20"/>
  <c r="AN345" i="20"/>
  <c r="AU344" i="20"/>
  <c r="AT344" i="20"/>
  <c r="AS344" i="20"/>
  <c r="AR344" i="20"/>
  <c r="AQ344" i="20"/>
  <c r="AP344" i="20"/>
  <c r="AO344" i="20"/>
  <c r="AN344" i="20"/>
  <c r="AU343" i="20"/>
  <c r="AT343" i="20"/>
  <c r="AS343" i="20"/>
  <c r="AR343" i="20"/>
  <c r="AQ343" i="20"/>
  <c r="AP343" i="20"/>
  <c r="AO343" i="20"/>
  <c r="AN343" i="20"/>
  <c r="AU342" i="20"/>
  <c r="AT342" i="20"/>
  <c r="AS342" i="20"/>
  <c r="AR342" i="20"/>
  <c r="AQ342" i="20"/>
  <c r="AP342" i="20"/>
  <c r="AO342" i="20"/>
  <c r="AN342" i="20"/>
  <c r="AU341" i="20"/>
  <c r="AT341" i="20"/>
  <c r="AS341" i="20"/>
  <c r="AR341" i="20"/>
  <c r="AQ341" i="20"/>
  <c r="AP341" i="20"/>
  <c r="AO341" i="20"/>
  <c r="AN341" i="20"/>
  <c r="AU340" i="20"/>
  <c r="AT340" i="20"/>
  <c r="AS340" i="20"/>
  <c r="AR340" i="20"/>
  <c r="AQ340" i="20"/>
  <c r="AP340" i="20"/>
  <c r="AO340" i="20"/>
  <c r="AN340" i="20"/>
  <c r="AU339" i="20"/>
  <c r="AT339" i="20"/>
  <c r="AS339" i="20"/>
  <c r="AR339" i="20"/>
  <c r="AQ339" i="20"/>
  <c r="AP339" i="20"/>
  <c r="AO339" i="20"/>
  <c r="AN339" i="20"/>
  <c r="AU338" i="20"/>
  <c r="AT338" i="20"/>
  <c r="AS338" i="20"/>
  <c r="AR338" i="20"/>
  <c r="AQ338" i="20"/>
  <c r="AP338" i="20"/>
  <c r="AO338" i="20"/>
  <c r="AN338" i="20"/>
  <c r="AN336" i="20"/>
  <c r="AP336" i="20" s="1"/>
  <c r="AR336" i="20" s="1"/>
  <c r="AT336" i="20" s="1"/>
  <c r="W336" i="20"/>
  <c r="Y336" i="20" s="1"/>
  <c r="AA336" i="20" s="1"/>
  <c r="AC336" i="20" s="1"/>
  <c r="AT335" i="20"/>
  <c r="AC335" i="20"/>
  <c r="L335" i="20"/>
  <c r="AK334" i="20"/>
  <c r="W334" i="20"/>
  <c r="T334" i="20"/>
  <c r="C334" i="20"/>
  <c r="AK333" i="20"/>
  <c r="T333" i="20"/>
  <c r="C333" i="20"/>
  <c r="AT318" i="20"/>
  <c r="AC318" i="20"/>
  <c r="L318" i="20"/>
  <c r="AS312" i="20"/>
  <c r="AQ312" i="20"/>
  <c r="AO312" i="20"/>
  <c r="AM312" i="20"/>
  <c r="AT311" i="20"/>
  <c r="AS311" i="20"/>
  <c r="AR311" i="20"/>
  <c r="AQ311" i="20"/>
  <c r="AP311" i="20"/>
  <c r="AO311" i="20"/>
  <c r="AN311" i="20"/>
  <c r="AM311" i="20"/>
  <c r="AS310" i="20"/>
  <c r="AQ310" i="20"/>
  <c r="AO310" i="20"/>
  <c r="AM310" i="20"/>
  <c r="AT309" i="20"/>
  <c r="AS309" i="20"/>
  <c r="AR309" i="20"/>
  <c r="AQ309" i="20"/>
  <c r="AP309" i="20"/>
  <c r="AO309" i="20"/>
  <c r="AN309" i="20"/>
  <c r="AM309" i="20"/>
  <c r="AT308" i="20"/>
  <c r="AS308" i="20"/>
  <c r="AR308" i="20"/>
  <c r="AQ308" i="20"/>
  <c r="AP308" i="20"/>
  <c r="AO308" i="20"/>
  <c r="AN308" i="20"/>
  <c r="AM308" i="20"/>
  <c r="AT307" i="20"/>
  <c r="AS307" i="20"/>
  <c r="AR307" i="20"/>
  <c r="AQ307" i="20"/>
  <c r="AP307" i="20"/>
  <c r="AO307" i="20"/>
  <c r="AN307" i="20"/>
  <c r="AM307" i="20"/>
  <c r="AS306" i="20"/>
  <c r="AQ306" i="20"/>
  <c r="AO306" i="20"/>
  <c r="AM306" i="20"/>
  <c r="AT305" i="20"/>
  <c r="AS305" i="20"/>
  <c r="AR305" i="20"/>
  <c r="AQ305" i="20"/>
  <c r="AP305" i="20"/>
  <c r="AO305" i="20"/>
  <c r="AN305" i="20"/>
  <c r="AM305" i="20"/>
  <c r="AT304" i="20"/>
  <c r="AS304" i="20"/>
  <c r="AR304" i="20"/>
  <c r="AQ304" i="20"/>
  <c r="AP304" i="20"/>
  <c r="AO304" i="20"/>
  <c r="AN304" i="20"/>
  <c r="AM304" i="20"/>
  <c r="AT303" i="20"/>
  <c r="AS303" i="20"/>
  <c r="AR303" i="20"/>
  <c r="AQ303" i="20"/>
  <c r="AP303" i="20"/>
  <c r="AO303" i="20"/>
  <c r="AN303" i="20"/>
  <c r="AM303" i="20"/>
  <c r="Y303" i="20"/>
  <c r="AM301" i="20"/>
  <c r="AO301" i="20" s="1"/>
  <c r="AQ301" i="20" s="1"/>
  <c r="AS301" i="20" s="1"/>
  <c r="V301" i="20"/>
  <c r="X301" i="20" s="1"/>
  <c r="Z301" i="20" s="1"/>
  <c r="AB301" i="20" s="1"/>
  <c r="AS300" i="20"/>
  <c r="AB300" i="20"/>
  <c r="K300" i="20"/>
  <c r="AK299" i="20"/>
  <c r="W299" i="20"/>
  <c r="T299" i="20"/>
  <c r="C299" i="20"/>
  <c r="AU285" i="20"/>
  <c r="AD285" i="20"/>
  <c r="M285" i="20"/>
  <c r="AU284" i="20"/>
  <c r="AT284" i="20"/>
  <c r="AS284" i="20"/>
  <c r="AR284" i="20"/>
  <c r="AQ284" i="20"/>
  <c r="AP284" i="20"/>
  <c r="AO284" i="20"/>
  <c r="AN284" i="20"/>
  <c r="AU283" i="20"/>
  <c r="AT283" i="20"/>
  <c r="AS283" i="20"/>
  <c r="AR283" i="20"/>
  <c r="AQ283" i="20"/>
  <c r="AP283" i="20"/>
  <c r="AO283" i="20"/>
  <c r="AN283" i="20"/>
  <c r="AK283" i="20"/>
  <c r="T283" i="20"/>
  <c r="C283" i="20"/>
  <c r="AU282" i="20"/>
  <c r="AT282" i="20"/>
  <c r="AS282" i="20"/>
  <c r="AR282" i="20"/>
  <c r="AQ282" i="20"/>
  <c r="AP282" i="20"/>
  <c r="AO282" i="20"/>
  <c r="AN282" i="20"/>
  <c r="AK282" i="20"/>
  <c r="T282" i="20"/>
  <c r="C282" i="20"/>
  <c r="AU281" i="20"/>
  <c r="AT281" i="20"/>
  <c r="AS281" i="20"/>
  <c r="AR281" i="20"/>
  <c r="AQ281" i="20"/>
  <c r="AP281" i="20"/>
  <c r="AO281" i="20"/>
  <c r="AN281" i="20"/>
  <c r="AK281" i="20"/>
  <c r="T281" i="20"/>
  <c r="C281" i="20"/>
  <c r="AU280" i="20"/>
  <c r="AT280" i="20"/>
  <c r="AS280" i="20"/>
  <c r="AR280" i="20"/>
  <c r="AQ280" i="20"/>
  <c r="AP280" i="20"/>
  <c r="AO280" i="20"/>
  <c r="AN280" i="20"/>
  <c r="AK280" i="20"/>
  <c r="T280" i="20"/>
  <c r="C280" i="20"/>
  <c r="AU279" i="20"/>
  <c r="AT279" i="20"/>
  <c r="AS279" i="20"/>
  <c r="AR279" i="20"/>
  <c r="AQ279" i="20"/>
  <c r="AP279" i="20"/>
  <c r="AO279" i="20"/>
  <c r="AN279" i="20"/>
  <c r="AK279" i="20"/>
  <c r="T279" i="20"/>
  <c r="C279" i="20"/>
  <c r="AU278" i="20"/>
  <c r="AT278" i="20"/>
  <c r="AS278" i="20"/>
  <c r="AR278" i="20"/>
  <c r="AQ278" i="20"/>
  <c r="AP278" i="20"/>
  <c r="AO278" i="20"/>
  <c r="AN278" i="20"/>
  <c r="AN275" i="20"/>
  <c r="AP275" i="20" s="1"/>
  <c r="AR275" i="20" s="1"/>
  <c r="AT275" i="20" s="1"/>
  <c r="W275" i="20"/>
  <c r="Y275" i="20" s="1"/>
  <c r="AA275" i="20" s="1"/>
  <c r="AC275" i="20" s="1"/>
  <c r="AT274" i="20"/>
  <c r="AC274" i="20"/>
  <c r="L274" i="20"/>
  <c r="AK273" i="20"/>
  <c r="W273" i="20"/>
  <c r="T273" i="20"/>
  <c r="C273" i="20"/>
  <c r="AK272" i="20"/>
  <c r="T272" i="20"/>
  <c r="C272" i="20"/>
  <c r="AP261" i="20"/>
  <c r="Y261" i="20"/>
  <c r="H261" i="20"/>
  <c r="AP259" i="20"/>
  <c r="AO259" i="20"/>
  <c r="AN259" i="20"/>
  <c r="AM259" i="20"/>
  <c r="AP258" i="20"/>
  <c r="AO258" i="20"/>
  <c r="AN258" i="20"/>
  <c r="AM258" i="20"/>
  <c r="AP257" i="20"/>
  <c r="AO257" i="20"/>
  <c r="AN257" i="20"/>
  <c r="AM257" i="20"/>
  <c r="AP256" i="20"/>
  <c r="AO256" i="20"/>
  <c r="AN256" i="20"/>
  <c r="AM256" i="20"/>
  <c r="AP255" i="20"/>
  <c r="AO255" i="20"/>
  <c r="AN255" i="20"/>
  <c r="AM255" i="20"/>
  <c r="AP254" i="20"/>
  <c r="AO254" i="20"/>
  <c r="AN254" i="20"/>
  <c r="AM254" i="20"/>
  <c r="AP253" i="20"/>
  <c r="AO253" i="20"/>
  <c r="AN253" i="20"/>
  <c r="AM253" i="20"/>
  <c r="Y249" i="20"/>
  <c r="X249" i="20"/>
  <c r="W249" i="20"/>
  <c r="V249" i="20"/>
  <c r="AP248" i="20"/>
  <c r="AO248" i="20"/>
  <c r="AN248" i="20"/>
  <c r="AM248" i="20"/>
  <c r="AP247" i="20"/>
  <c r="AO247" i="20"/>
  <c r="AN247" i="20"/>
  <c r="AM247" i="20"/>
  <c r="AP246" i="20"/>
  <c r="AO246" i="20"/>
  <c r="AN246" i="20"/>
  <c r="AM246" i="20"/>
  <c r="AP245" i="20"/>
  <c r="AO245" i="20"/>
  <c r="AN245" i="20"/>
  <c r="AM245" i="20"/>
  <c r="AP244" i="20"/>
  <c r="AO244" i="20"/>
  <c r="AN244" i="20"/>
  <c r="AM244" i="20"/>
  <c r="AP243" i="20"/>
  <c r="AO243" i="20"/>
  <c r="AN243" i="20"/>
  <c r="AM243" i="20"/>
  <c r="AP242" i="20"/>
  <c r="AO242" i="20"/>
  <c r="AN242" i="20"/>
  <c r="AM242" i="20"/>
  <c r="AP239" i="20"/>
  <c r="AO239" i="20"/>
  <c r="AN239" i="20"/>
  <c r="AM239" i="20"/>
  <c r="AP238" i="20"/>
  <c r="AO238" i="20"/>
  <c r="AN238" i="20"/>
  <c r="AM238" i="20"/>
  <c r="AP237" i="20"/>
  <c r="AO237" i="20"/>
  <c r="AN237" i="20"/>
  <c r="AM237" i="20"/>
  <c r="AP236" i="20"/>
  <c r="AO236" i="20"/>
  <c r="AN236" i="20"/>
  <c r="AM236" i="20"/>
  <c r="AP235" i="20"/>
  <c r="AO235" i="20"/>
  <c r="AN235" i="20"/>
  <c r="AM235" i="20"/>
  <c r="AP234" i="20"/>
  <c r="AO234" i="20"/>
  <c r="AN234" i="20"/>
  <c r="AM234" i="20"/>
  <c r="AP233" i="20"/>
  <c r="AO233" i="20"/>
  <c r="AN233" i="20"/>
  <c r="AM233" i="20"/>
  <c r="AP232" i="20"/>
  <c r="AO232" i="20"/>
  <c r="AN232" i="20"/>
  <c r="AM232" i="20"/>
  <c r="AP231" i="20"/>
  <c r="AO231" i="20"/>
  <c r="AN231" i="20"/>
  <c r="AM231" i="20"/>
  <c r="AP230" i="20"/>
  <c r="AO230" i="20"/>
  <c r="AN230" i="20"/>
  <c r="AM230" i="20"/>
  <c r="AP229" i="20"/>
  <c r="AO229" i="20"/>
  <c r="AN229" i="20"/>
  <c r="AM229" i="20"/>
  <c r="AP228" i="20"/>
  <c r="AO228" i="20"/>
  <c r="AN228" i="20"/>
  <c r="AM228" i="20"/>
  <c r="AP226" i="20"/>
  <c r="AO226" i="20"/>
  <c r="AN226" i="20"/>
  <c r="AM226" i="20"/>
  <c r="AP225" i="20"/>
  <c r="AO225" i="20"/>
  <c r="AN225" i="20"/>
  <c r="AM225" i="20"/>
  <c r="AP224" i="20"/>
  <c r="AO224" i="20"/>
  <c r="AN224" i="20"/>
  <c r="AM224" i="20"/>
  <c r="AP223" i="20"/>
  <c r="AO223" i="20"/>
  <c r="AN223" i="20"/>
  <c r="AM223" i="20"/>
  <c r="AP222" i="20"/>
  <c r="AO222" i="20"/>
  <c r="AN222" i="20"/>
  <c r="AM222" i="20"/>
  <c r="AP221" i="20"/>
  <c r="AO221" i="20"/>
  <c r="AN221" i="20"/>
  <c r="AM221" i="20"/>
  <c r="V219" i="20"/>
  <c r="W219" i="20" s="1"/>
  <c r="X219" i="20" s="1"/>
  <c r="Y219" i="20" s="1"/>
  <c r="AO218" i="20"/>
  <c r="X218" i="20"/>
  <c r="G218" i="20"/>
  <c r="AK217" i="20"/>
  <c r="V217" i="20"/>
  <c r="T217" i="20"/>
  <c r="C217" i="20"/>
  <c r="AK216" i="20"/>
  <c r="T216" i="20"/>
  <c r="C216" i="20"/>
  <c r="AU203" i="20"/>
  <c r="AD203" i="20"/>
  <c r="M203" i="20"/>
  <c r="AU201" i="20"/>
  <c r="AT201" i="20"/>
  <c r="AS201" i="20"/>
  <c r="AR201" i="20"/>
  <c r="AQ201" i="20"/>
  <c r="AP201" i="20"/>
  <c r="AO201" i="20"/>
  <c r="AN201" i="20"/>
  <c r="AU200" i="20"/>
  <c r="AT200" i="20"/>
  <c r="AS200" i="20"/>
  <c r="AR200" i="20"/>
  <c r="AQ200" i="20"/>
  <c r="AP200" i="20"/>
  <c r="AO200" i="20"/>
  <c r="AN200" i="20"/>
  <c r="AU199" i="20"/>
  <c r="AT199" i="20"/>
  <c r="AS199" i="20"/>
  <c r="AR199" i="20"/>
  <c r="AQ199" i="20"/>
  <c r="AP199" i="20"/>
  <c r="AO199" i="20"/>
  <c r="AN199" i="20"/>
  <c r="AU198" i="20"/>
  <c r="AT198" i="20"/>
  <c r="AS198" i="20"/>
  <c r="AR198" i="20"/>
  <c r="AQ198" i="20"/>
  <c r="AP198" i="20"/>
  <c r="AO198" i="20"/>
  <c r="AN198" i="20"/>
  <c r="AU197" i="20"/>
  <c r="AT197" i="20"/>
  <c r="AS197" i="20"/>
  <c r="AR197" i="20"/>
  <c r="AQ197" i="20"/>
  <c r="AP197" i="20"/>
  <c r="AO197" i="20"/>
  <c r="AN197" i="20"/>
  <c r="AU196" i="20"/>
  <c r="AT196" i="20"/>
  <c r="AS196" i="20"/>
  <c r="AR196" i="20"/>
  <c r="AQ196" i="20"/>
  <c r="AP196" i="20"/>
  <c r="AO196" i="20"/>
  <c r="AN196" i="20"/>
  <c r="AU195" i="20"/>
  <c r="AT195" i="20"/>
  <c r="AS195" i="20"/>
  <c r="AR195" i="20"/>
  <c r="AQ195" i="20"/>
  <c r="AP195" i="20"/>
  <c r="AO195" i="20"/>
  <c r="AN195" i="20"/>
  <c r="AU194" i="20"/>
  <c r="AT194" i="20"/>
  <c r="AS194" i="20"/>
  <c r="AR194" i="20"/>
  <c r="AQ194" i="20"/>
  <c r="AP194" i="20"/>
  <c r="AO194" i="20"/>
  <c r="AN194" i="20"/>
  <c r="AU192" i="20"/>
  <c r="AT192" i="20"/>
  <c r="AS192" i="20"/>
  <c r="AR192" i="20"/>
  <c r="AQ192" i="20"/>
  <c r="AP192" i="20"/>
  <c r="AO192" i="20"/>
  <c r="AN192" i="20"/>
  <c r="AT191" i="20"/>
  <c r="AR191" i="20"/>
  <c r="AP191" i="20"/>
  <c r="AN191" i="20"/>
  <c r="AD191" i="20"/>
  <c r="AB191" i="20"/>
  <c r="Z191" i="20"/>
  <c r="X191" i="20"/>
  <c r="AT190" i="20"/>
  <c r="AR190" i="20"/>
  <c r="AP190" i="20"/>
  <c r="AN190" i="20"/>
  <c r="AD190" i="20"/>
  <c r="AB190" i="20"/>
  <c r="Z190" i="20"/>
  <c r="X190" i="20"/>
  <c r="AT189" i="20"/>
  <c r="AR189" i="20"/>
  <c r="AP189" i="20"/>
  <c r="AN189" i="20"/>
  <c r="AD189" i="20"/>
  <c r="AB189" i="20"/>
  <c r="Z189" i="20"/>
  <c r="X189" i="20"/>
  <c r="AT188" i="20"/>
  <c r="AR188" i="20"/>
  <c r="AP188" i="20"/>
  <c r="AN188" i="20"/>
  <c r="AD188" i="20"/>
  <c r="AB188" i="20"/>
  <c r="Z188" i="20"/>
  <c r="X188" i="20"/>
  <c r="AU187" i="20"/>
  <c r="AT187" i="20"/>
  <c r="AS187" i="20"/>
  <c r="AR187" i="20"/>
  <c r="AQ187" i="20"/>
  <c r="AP187" i="20"/>
  <c r="AO187" i="20"/>
  <c r="AN187" i="20"/>
  <c r="AU186" i="20"/>
  <c r="AT186" i="20"/>
  <c r="AS186" i="20"/>
  <c r="AR186" i="20"/>
  <c r="AQ186" i="20"/>
  <c r="AP186" i="20"/>
  <c r="AO186" i="20"/>
  <c r="AN186" i="20"/>
  <c r="AU185" i="20"/>
  <c r="AT185" i="20"/>
  <c r="AS185" i="20"/>
  <c r="AR185" i="20"/>
  <c r="AQ185" i="20"/>
  <c r="AP185" i="20"/>
  <c r="AO185" i="20"/>
  <c r="AN185" i="20"/>
  <c r="AU184" i="20"/>
  <c r="AT184" i="20"/>
  <c r="AS184" i="20"/>
  <c r="AR184" i="20"/>
  <c r="AQ184" i="20"/>
  <c r="AP184" i="20"/>
  <c r="AO184" i="20"/>
  <c r="AN184" i="20"/>
  <c r="AU183" i="20"/>
  <c r="AT183" i="20"/>
  <c r="AS183" i="20"/>
  <c r="AR183" i="20"/>
  <c r="AQ183" i="20"/>
  <c r="AP183" i="20"/>
  <c r="AO183" i="20"/>
  <c r="AN183" i="20"/>
  <c r="AU182" i="20"/>
  <c r="AT182" i="20"/>
  <c r="AS182" i="20"/>
  <c r="AR182" i="20"/>
  <c r="AQ182" i="20"/>
  <c r="AP182" i="20"/>
  <c r="AO182" i="20"/>
  <c r="AN182" i="20"/>
  <c r="AU181" i="20"/>
  <c r="AT181" i="20"/>
  <c r="AS181" i="20"/>
  <c r="AR181" i="20"/>
  <c r="AQ181" i="20"/>
  <c r="AP181" i="20"/>
  <c r="AO181" i="20"/>
  <c r="AN181" i="20"/>
  <c r="AU180" i="20"/>
  <c r="AT180" i="20"/>
  <c r="AS180" i="20"/>
  <c r="AR180" i="20"/>
  <c r="AQ180" i="20"/>
  <c r="AP180" i="20"/>
  <c r="AO180" i="20"/>
  <c r="AN180" i="20"/>
  <c r="AU179" i="20"/>
  <c r="AT179" i="20"/>
  <c r="AS179" i="20"/>
  <c r="AR179" i="20"/>
  <c r="AQ179" i="20"/>
  <c r="AP179" i="20"/>
  <c r="AO179" i="20"/>
  <c r="AN179" i="20"/>
  <c r="AT178" i="20"/>
  <c r="AR178" i="20"/>
  <c r="AP178" i="20"/>
  <c r="AN178" i="20"/>
  <c r="AD178" i="20"/>
  <c r="AB178" i="20"/>
  <c r="Z178" i="20"/>
  <c r="X178" i="20"/>
  <c r="AU177" i="20"/>
  <c r="AT177" i="20"/>
  <c r="AS177" i="20"/>
  <c r="AR177" i="20"/>
  <c r="AQ177" i="20"/>
  <c r="AP177" i="20"/>
  <c r="AO177" i="20"/>
  <c r="AN177" i="20"/>
  <c r="AU176" i="20"/>
  <c r="AT176" i="20"/>
  <c r="AS176" i="20"/>
  <c r="AR176" i="20"/>
  <c r="AQ176" i="20"/>
  <c r="AP176" i="20"/>
  <c r="AO176" i="20"/>
  <c r="AN176" i="20"/>
  <c r="AU175" i="20"/>
  <c r="AT175" i="20"/>
  <c r="AS175" i="20"/>
  <c r="AR175" i="20"/>
  <c r="AQ175" i="20"/>
  <c r="AP175" i="20"/>
  <c r="AO175" i="20"/>
  <c r="AN175" i="20"/>
  <c r="AU174" i="20"/>
  <c r="AT174" i="20"/>
  <c r="AS174" i="20"/>
  <c r="AR174" i="20"/>
  <c r="AQ174" i="20"/>
  <c r="AP174" i="20"/>
  <c r="AO174" i="20"/>
  <c r="AN174" i="20"/>
  <c r="AN172" i="20"/>
  <c r="AP172" i="20" s="1"/>
  <c r="AR172" i="20" s="1"/>
  <c r="AT172" i="20" s="1"/>
  <c r="W172" i="20"/>
  <c r="Y172" i="20" s="1"/>
  <c r="AA172" i="20" s="1"/>
  <c r="AC172" i="20" s="1"/>
  <c r="AT170" i="20"/>
  <c r="AC170" i="20"/>
  <c r="L170" i="20"/>
  <c r="AK169" i="20"/>
  <c r="X169" i="20"/>
  <c r="T169" i="20"/>
  <c r="C169" i="20"/>
  <c r="AK168" i="20"/>
  <c r="T168" i="20"/>
  <c r="C168" i="20"/>
  <c r="AR156" i="20"/>
  <c r="AA156" i="20"/>
  <c r="J156" i="20"/>
  <c r="AR154" i="20"/>
  <c r="AQ154" i="20"/>
  <c r="AP154" i="20"/>
  <c r="AO154" i="20"/>
  <c r="W154" i="20"/>
  <c r="AR153" i="20"/>
  <c r="AQ153" i="20"/>
  <c r="AP153" i="20"/>
  <c r="AO153" i="20"/>
  <c r="W153" i="20"/>
  <c r="AR152" i="20"/>
  <c r="AQ152" i="20"/>
  <c r="AP152" i="20"/>
  <c r="AO152" i="20"/>
  <c r="W152" i="20"/>
  <c r="AR151" i="20"/>
  <c r="AQ151" i="20"/>
  <c r="AP151" i="20"/>
  <c r="AO151" i="20"/>
  <c r="W151" i="20"/>
  <c r="AR150" i="20"/>
  <c r="AQ150" i="20"/>
  <c r="AP150" i="20"/>
  <c r="AO150" i="20"/>
  <c r="W150" i="20"/>
  <c r="AR149" i="20"/>
  <c r="AQ149" i="20"/>
  <c r="AP149" i="20"/>
  <c r="AO149" i="20"/>
  <c r="W149" i="20"/>
  <c r="AR147" i="20"/>
  <c r="AQ147" i="20"/>
  <c r="AP147" i="20"/>
  <c r="AO147" i="20"/>
  <c r="W147" i="20"/>
  <c r="AR146" i="20"/>
  <c r="AQ146" i="20"/>
  <c r="AP146" i="20"/>
  <c r="AO146" i="20"/>
  <c r="W146" i="20"/>
  <c r="AN143" i="20"/>
  <c r="AP143" i="20" s="1"/>
  <c r="AQ143" i="20" s="1"/>
  <c r="AR143" i="20" s="1"/>
  <c r="W143" i="20"/>
  <c r="Y143" i="20" s="1"/>
  <c r="Z143" i="20" s="1"/>
  <c r="AA143" i="20" s="1"/>
  <c r="AQ142" i="20"/>
  <c r="Z142" i="20"/>
  <c r="I142" i="20"/>
  <c r="AK140" i="20"/>
  <c r="X140" i="20"/>
  <c r="T140" i="20"/>
  <c r="C140" i="20"/>
  <c r="AK139" i="20"/>
  <c r="T139" i="20"/>
  <c r="C139" i="20"/>
  <c r="AX124" i="20"/>
  <c r="AG124" i="20"/>
  <c r="P124" i="20"/>
  <c r="AX123" i="20"/>
  <c r="AW123" i="20"/>
  <c r="AV123" i="20"/>
  <c r="AU123" i="20"/>
  <c r="AT123" i="20"/>
  <c r="AS123" i="20"/>
  <c r="AR123" i="20"/>
  <c r="AQ123" i="20"/>
  <c r="AP123" i="20"/>
  <c r="AO123" i="20"/>
  <c r="AN123" i="20"/>
  <c r="AM123" i="20"/>
  <c r="AX122" i="20"/>
  <c r="AW122" i="20"/>
  <c r="AV122" i="20"/>
  <c r="AU122" i="20"/>
  <c r="AT122" i="20"/>
  <c r="AS122" i="20"/>
  <c r="AR122" i="20"/>
  <c r="AQ122" i="20"/>
  <c r="AP122" i="20"/>
  <c r="AO122" i="20"/>
  <c r="AN122" i="20"/>
  <c r="AM122" i="20"/>
  <c r="AX121" i="20"/>
  <c r="AW121" i="20"/>
  <c r="AV121" i="20"/>
  <c r="AU121" i="20"/>
  <c r="AT121" i="20"/>
  <c r="AS121" i="20"/>
  <c r="AR121" i="20"/>
  <c r="AQ121" i="20"/>
  <c r="AP121" i="20"/>
  <c r="AO121" i="20"/>
  <c r="AN121" i="20"/>
  <c r="AM121" i="20"/>
  <c r="AX120" i="20"/>
  <c r="AW120" i="20"/>
  <c r="AV120" i="20"/>
  <c r="AU120" i="20"/>
  <c r="AT120" i="20"/>
  <c r="AS120" i="20"/>
  <c r="AR120" i="20"/>
  <c r="AQ120" i="20"/>
  <c r="AP120" i="20"/>
  <c r="AO120" i="20"/>
  <c r="AN120" i="20"/>
  <c r="AM120" i="20"/>
  <c r="AX119" i="20"/>
  <c r="AW119" i="20"/>
  <c r="AV119" i="20"/>
  <c r="AU119" i="20"/>
  <c r="AT119" i="20"/>
  <c r="AS119" i="20"/>
  <c r="AR119" i="20"/>
  <c r="AQ119" i="20"/>
  <c r="AP119" i="20"/>
  <c r="AO119" i="20"/>
  <c r="AN119" i="20"/>
  <c r="AM119" i="20"/>
  <c r="AX118" i="20"/>
  <c r="AW118" i="20"/>
  <c r="AV118" i="20"/>
  <c r="AU118" i="20"/>
  <c r="AT118" i="20"/>
  <c r="AS118" i="20"/>
  <c r="AR118" i="20"/>
  <c r="AQ118" i="20"/>
  <c r="AP118" i="20"/>
  <c r="AO118" i="20"/>
  <c r="AN118" i="20"/>
  <c r="AM118" i="20"/>
  <c r="AX117" i="20"/>
  <c r="AW117" i="20"/>
  <c r="AV117" i="20"/>
  <c r="AU117" i="20"/>
  <c r="AT117" i="20"/>
  <c r="AS117" i="20"/>
  <c r="AR117" i="20"/>
  <c r="AQ117" i="20"/>
  <c r="AP117" i="20"/>
  <c r="AO117" i="20"/>
  <c r="AN117" i="20"/>
  <c r="AM117" i="20"/>
  <c r="AX113" i="20"/>
  <c r="AW113" i="20"/>
  <c r="AV113" i="20"/>
  <c r="AU113" i="20"/>
  <c r="AT113" i="20"/>
  <c r="AS113" i="20"/>
  <c r="AR113" i="20"/>
  <c r="AQ113" i="20"/>
  <c r="AP113" i="20"/>
  <c r="AO113" i="20"/>
  <c r="AN113" i="20"/>
  <c r="AM113" i="20"/>
  <c r="AX112" i="20"/>
  <c r="AW112" i="20"/>
  <c r="AV112" i="20"/>
  <c r="AU112" i="20"/>
  <c r="AT112" i="20"/>
  <c r="AS112" i="20"/>
  <c r="AR112" i="20"/>
  <c r="AQ112" i="20"/>
  <c r="AP112" i="20"/>
  <c r="AO112" i="20"/>
  <c r="AN112" i="20"/>
  <c r="AM112" i="20"/>
  <c r="AX111" i="20"/>
  <c r="AW111" i="20"/>
  <c r="AV111" i="20"/>
  <c r="AU111" i="20"/>
  <c r="AT111" i="20"/>
  <c r="AS111" i="20"/>
  <c r="AR111" i="20"/>
  <c r="AQ111" i="20"/>
  <c r="AP111" i="20"/>
  <c r="AO111" i="20"/>
  <c r="AN111" i="20"/>
  <c r="AM111" i="20"/>
  <c r="AX110" i="20"/>
  <c r="AW110" i="20"/>
  <c r="AV110" i="20"/>
  <c r="AU110" i="20"/>
  <c r="AT110" i="20"/>
  <c r="AS110" i="20"/>
  <c r="AR110" i="20"/>
  <c r="AQ110" i="20"/>
  <c r="AP110" i="20"/>
  <c r="AO110" i="20"/>
  <c r="AN110" i="20"/>
  <c r="AM110" i="20"/>
  <c r="AX109" i="20"/>
  <c r="AW109" i="20"/>
  <c r="AV109" i="20"/>
  <c r="AU109" i="20"/>
  <c r="AT109" i="20"/>
  <c r="AS109" i="20"/>
  <c r="AR109" i="20"/>
  <c r="AQ109" i="20"/>
  <c r="AP109" i="20"/>
  <c r="AO109" i="20"/>
  <c r="AN109" i="20"/>
  <c r="AM109" i="20"/>
  <c r="AX107" i="20"/>
  <c r="AW107" i="20"/>
  <c r="AV107" i="20"/>
  <c r="AU107" i="20"/>
  <c r="AT107" i="20"/>
  <c r="AS107" i="20"/>
  <c r="AR107" i="20"/>
  <c r="AQ107" i="20"/>
  <c r="AP107" i="20"/>
  <c r="AO107" i="20"/>
  <c r="AN107" i="20"/>
  <c r="AM107" i="20"/>
  <c r="AX106" i="20"/>
  <c r="AW106" i="20"/>
  <c r="AV106" i="20"/>
  <c r="AU106" i="20"/>
  <c r="AT106" i="20"/>
  <c r="AS106" i="20"/>
  <c r="AR106" i="20"/>
  <c r="AQ106" i="20"/>
  <c r="AP106" i="20"/>
  <c r="AO106" i="20"/>
  <c r="AN106" i="20"/>
  <c r="AM106" i="20"/>
  <c r="AX105" i="20"/>
  <c r="AW105" i="20"/>
  <c r="AV105" i="20"/>
  <c r="AU105" i="20"/>
  <c r="AT105" i="20"/>
  <c r="AS105" i="20"/>
  <c r="AR105" i="20"/>
  <c r="AQ105" i="20"/>
  <c r="AP105" i="20"/>
  <c r="AO105" i="20"/>
  <c r="AN105" i="20"/>
  <c r="AM105" i="20"/>
  <c r="AX104" i="20"/>
  <c r="AW104" i="20"/>
  <c r="AV104" i="20"/>
  <c r="AU104" i="20"/>
  <c r="AT104" i="20"/>
  <c r="AS104" i="20"/>
  <c r="AR104" i="20"/>
  <c r="AQ104" i="20"/>
  <c r="AP104" i="20"/>
  <c r="AO104" i="20"/>
  <c r="AN104" i="20"/>
  <c r="AM104" i="20"/>
  <c r="AX103" i="20"/>
  <c r="AW103" i="20"/>
  <c r="AV103" i="20"/>
  <c r="AU103" i="20"/>
  <c r="AT103" i="20"/>
  <c r="AS103" i="20"/>
  <c r="AR103" i="20"/>
  <c r="AQ103" i="20"/>
  <c r="AP103" i="20"/>
  <c r="AO103" i="20"/>
  <c r="AN103" i="20"/>
  <c r="AM103" i="20"/>
  <c r="AM99" i="20"/>
  <c r="AQ99" i="20" s="1"/>
  <c r="AU99" i="20" s="1"/>
  <c r="V99" i="20"/>
  <c r="Z99" i="20" s="1"/>
  <c r="AD99" i="20" s="1"/>
  <c r="AW98" i="20"/>
  <c r="AF98" i="20"/>
  <c r="O98" i="20"/>
  <c r="AK96" i="20"/>
  <c r="X96" i="20"/>
  <c r="T96" i="20"/>
  <c r="C96" i="20"/>
  <c r="AK95" i="20"/>
  <c r="T95" i="20"/>
  <c r="C95" i="20"/>
  <c r="AR78" i="20"/>
  <c r="AA78" i="20"/>
  <c r="J78" i="20"/>
  <c r="AR77" i="20"/>
  <c r="AQ77" i="20"/>
  <c r="AP77" i="20"/>
  <c r="AO77" i="20"/>
  <c r="W77" i="20"/>
  <c r="AR76" i="20"/>
  <c r="AQ76" i="20"/>
  <c r="AP76" i="20"/>
  <c r="AO76" i="20"/>
  <c r="W76" i="20"/>
  <c r="AR75" i="20"/>
  <c r="AQ75" i="20"/>
  <c r="AP75" i="20"/>
  <c r="AO75" i="20"/>
  <c r="W75" i="20"/>
  <c r="AR73" i="20"/>
  <c r="AQ73" i="20"/>
  <c r="AP73" i="20"/>
  <c r="AO73" i="20"/>
  <c r="W73" i="20"/>
  <c r="AR72" i="20"/>
  <c r="AQ72" i="20"/>
  <c r="AP72" i="20"/>
  <c r="AO72" i="20"/>
  <c r="W72" i="20"/>
  <c r="AR71" i="20"/>
  <c r="AQ71" i="20"/>
  <c r="AP71" i="20"/>
  <c r="AO71" i="20"/>
  <c r="W71" i="20"/>
  <c r="AR70" i="20"/>
  <c r="AQ70" i="20"/>
  <c r="AP70" i="20"/>
  <c r="AO70" i="20"/>
  <c r="W70" i="20"/>
  <c r="AR69" i="20"/>
  <c r="AQ69" i="20"/>
  <c r="AP69" i="20"/>
  <c r="AO69" i="20"/>
  <c r="W69" i="20"/>
  <c r="AR68" i="20"/>
  <c r="AQ68" i="20"/>
  <c r="AP68" i="20"/>
  <c r="AO68" i="20"/>
  <c r="W68" i="20"/>
  <c r="AR67" i="20"/>
  <c r="AQ67" i="20"/>
  <c r="AP67" i="20"/>
  <c r="AO67" i="20"/>
  <c r="W67" i="20"/>
  <c r="AR66" i="20"/>
  <c r="AQ66" i="20"/>
  <c r="AP66" i="20"/>
  <c r="AO66" i="20"/>
  <c r="W66" i="20"/>
  <c r="AR65" i="20"/>
  <c r="AQ65" i="20"/>
  <c r="AP65" i="20"/>
  <c r="AO65" i="20"/>
  <c r="W65" i="20"/>
  <c r="AR63" i="20"/>
  <c r="AQ63" i="20"/>
  <c r="AP63" i="20"/>
  <c r="AO63" i="20"/>
  <c r="W63" i="20"/>
  <c r="AR62" i="20"/>
  <c r="AQ62" i="20"/>
  <c r="AP62" i="20"/>
  <c r="AO62" i="20"/>
  <c r="W62" i="20"/>
  <c r="AR61" i="20"/>
  <c r="AQ61" i="20"/>
  <c r="AP61" i="20"/>
  <c r="AO61" i="20"/>
  <c r="W61" i="20"/>
  <c r="AR60" i="20"/>
  <c r="AQ60" i="20"/>
  <c r="AP60" i="20"/>
  <c r="AO60" i="20"/>
  <c r="W60" i="20"/>
  <c r="AN58" i="20"/>
  <c r="AP58" i="20" s="1"/>
  <c r="AQ58" i="20" s="1"/>
  <c r="AR58" i="20" s="1"/>
  <c r="W58" i="20"/>
  <c r="Y58" i="20" s="1"/>
  <c r="Z58" i="20" s="1"/>
  <c r="AA58" i="20" s="1"/>
  <c r="AQ57" i="20"/>
  <c r="Z57" i="20"/>
  <c r="I57" i="20"/>
  <c r="AK55" i="20"/>
  <c r="X55" i="20"/>
  <c r="T55" i="20"/>
  <c r="C55" i="20"/>
  <c r="AK54" i="20"/>
  <c r="T54" i="20"/>
  <c r="C54" i="20"/>
  <c r="AP46" i="20"/>
  <c r="Y46" i="20"/>
  <c r="H46" i="20"/>
  <c r="AP45" i="20"/>
  <c r="AO45" i="20"/>
  <c r="AN45" i="20"/>
  <c r="AM45" i="20"/>
  <c r="AP43" i="20"/>
  <c r="AO43" i="20"/>
  <c r="AN43" i="20"/>
  <c r="AM43" i="20"/>
  <c r="AP41" i="20"/>
  <c r="AO41" i="20"/>
  <c r="AN41" i="20"/>
  <c r="AM41" i="20"/>
  <c r="AP40" i="20"/>
  <c r="AO40" i="20"/>
  <c r="AN40" i="20"/>
  <c r="AM40" i="20"/>
  <c r="AP38" i="20"/>
  <c r="AO38" i="20"/>
  <c r="AN38" i="20"/>
  <c r="AM38" i="20"/>
  <c r="AP37" i="20"/>
  <c r="AO37" i="20"/>
  <c r="AN37" i="20"/>
  <c r="AM37" i="20"/>
  <c r="AP35" i="20"/>
  <c r="AO35" i="20"/>
  <c r="AN35" i="20"/>
  <c r="AM35" i="20"/>
  <c r="AP34" i="20"/>
  <c r="AO34" i="20"/>
  <c r="AN34" i="20"/>
  <c r="AM34" i="20"/>
  <c r="AP33" i="20"/>
  <c r="AO33" i="20"/>
  <c r="AN33" i="20"/>
  <c r="AM33" i="20"/>
  <c r="AP31" i="20"/>
  <c r="AO31" i="20"/>
  <c r="AN31" i="20"/>
  <c r="AM31" i="20"/>
  <c r="AP29" i="20"/>
  <c r="AO29" i="20"/>
  <c r="AN29" i="20"/>
  <c r="AM29" i="20"/>
  <c r="AP28" i="20"/>
  <c r="AO28" i="20"/>
  <c r="AN28" i="20"/>
  <c r="AM28" i="20"/>
  <c r="AP27" i="20"/>
  <c r="AO27" i="20"/>
  <c r="AN27" i="20"/>
  <c r="AM27" i="20"/>
  <c r="AM16" i="20"/>
  <c r="AN16" i="20" s="1"/>
  <c r="AO16" i="20" s="1"/>
  <c r="AP16" i="20" s="1"/>
  <c r="V16" i="20"/>
  <c r="W16" i="20" s="1"/>
  <c r="X16" i="20" s="1"/>
  <c r="Y16" i="20" s="1"/>
  <c r="E16" i="20"/>
  <c r="E498" i="20" s="1"/>
  <c r="G498" i="20" s="1"/>
  <c r="I498" i="20" s="1"/>
  <c r="K498" i="20" s="1"/>
  <c r="AO15" i="20"/>
  <c r="X15" i="20"/>
  <c r="G15" i="20"/>
  <c r="AK13" i="20"/>
  <c r="V13" i="20"/>
  <c r="T13" i="20"/>
  <c r="C13" i="20"/>
  <c r="AK12" i="20"/>
  <c r="T12" i="20"/>
  <c r="C12" i="20"/>
  <c r="AK10" i="20"/>
  <c r="T10" i="20"/>
  <c r="C10" i="20"/>
  <c r="W6" i="20"/>
  <c r="W5" i="20"/>
  <c r="W4" i="20"/>
  <c r="T4" i="20"/>
  <c r="W3" i="20"/>
  <c r="W2" i="20"/>
  <c r="AG323" i="2"/>
  <c r="AF323" i="2"/>
  <c r="AE323" i="2"/>
  <c r="AD323" i="2"/>
  <c r="AC323" i="2"/>
  <c r="AG322" i="2"/>
  <c r="AF322" i="2"/>
  <c r="AE322" i="2"/>
  <c r="AD322" i="2"/>
  <c r="AC322" i="2"/>
  <c r="AG321" i="2"/>
  <c r="AF321" i="2"/>
  <c r="AE321" i="2"/>
  <c r="AD321" i="2"/>
  <c r="AC321" i="2"/>
  <c r="AG320" i="2"/>
  <c r="AF320" i="2"/>
  <c r="AE320" i="2"/>
  <c r="AD320" i="2"/>
  <c r="AC320" i="2"/>
  <c r="AG319" i="2"/>
  <c r="AF319" i="2"/>
  <c r="AE319" i="2"/>
  <c r="AD319" i="2"/>
  <c r="AC319" i="2"/>
  <c r="AG318" i="2"/>
  <c r="AF318" i="2"/>
  <c r="AE318" i="2"/>
  <c r="AD318" i="2"/>
  <c r="AC318" i="2"/>
  <c r="AG317" i="2"/>
  <c r="AF317" i="2"/>
  <c r="AE317" i="2"/>
  <c r="AD317" i="2"/>
  <c r="AC317" i="2"/>
  <c r="AG316" i="2"/>
  <c r="AF316" i="2"/>
  <c r="AE316" i="2"/>
  <c r="AD316" i="2"/>
  <c r="AC316" i="2"/>
  <c r="AG315" i="2"/>
  <c r="AF315" i="2"/>
  <c r="AE315" i="2"/>
  <c r="AD315" i="2"/>
  <c r="AC315" i="2"/>
  <c r="AG314" i="2"/>
  <c r="AF314" i="2"/>
  <c r="AE314" i="2"/>
  <c r="AD314" i="2"/>
  <c r="AC314" i="2"/>
  <c r="AG313" i="2"/>
  <c r="AF313" i="2"/>
  <c r="AE313" i="2"/>
  <c r="AD313" i="2"/>
  <c r="AC313" i="2"/>
  <c r="AG312" i="2"/>
  <c r="AF312" i="2"/>
  <c r="AE312" i="2"/>
  <c r="AD312" i="2"/>
  <c r="AC312" i="2"/>
  <c r="AG311" i="2"/>
  <c r="AF311" i="2"/>
  <c r="AE311" i="2"/>
  <c r="AD311" i="2"/>
  <c r="AC311" i="2"/>
  <c r="AG310" i="2"/>
  <c r="AF310" i="2"/>
  <c r="AE310" i="2"/>
  <c r="AD310" i="2"/>
  <c r="AC310" i="2"/>
  <c r="AG309" i="2"/>
  <c r="AF309" i="2"/>
  <c r="AE309" i="2"/>
  <c r="AD309" i="2"/>
  <c r="AC309" i="2"/>
  <c r="AG308" i="2"/>
  <c r="AF308" i="2"/>
  <c r="AE308" i="2"/>
  <c r="AD308" i="2"/>
  <c r="AC308" i="2"/>
  <c r="AG307" i="2"/>
  <c r="AF307" i="2"/>
  <c r="AE307" i="2"/>
  <c r="AD307" i="2"/>
  <c r="AC307" i="2"/>
  <c r="AG306" i="2"/>
  <c r="AF306" i="2"/>
  <c r="AE306" i="2"/>
  <c r="AD306" i="2"/>
  <c r="AC306" i="2"/>
  <c r="AG305" i="2"/>
  <c r="AF305" i="2"/>
  <c r="AE305" i="2"/>
  <c r="AD305" i="2"/>
  <c r="AC305" i="2"/>
  <c r="AG302" i="2"/>
  <c r="AF302" i="2"/>
  <c r="AE302" i="2"/>
  <c r="AD302" i="2"/>
  <c r="AC302" i="2"/>
  <c r="AB302" i="2"/>
  <c r="G302" i="2"/>
  <c r="F302" i="2"/>
  <c r="E302" i="2"/>
  <c r="D302" i="2"/>
  <c r="C302" i="2"/>
  <c r="B302" i="2"/>
  <c r="AG301" i="2"/>
  <c r="AF301" i="2"/>
  <c r="AE301" i="2"/>
  <c r="AD301" i="2"/>
  <c r="AC301" i="2"/>
  <c r="AB301" i="2"/>
  <c r="B301" i="2"/>
  <c r="AG300" i="2"/>
  <c r="AF300" i="2"/>
  <c r="AE300" i="2"/>
  <c r="AD300" i="2"/>
  <c r="AC300" i="2"/>
  <c r="AB300" i="2"/>
  <c r="G300" i="2"/>
  <c r="F300" i="2"/>
  <c r="E300" i="2"/>
  <c r="D300" i="2"/>
  <c r="C300" i="2"/>
  <c r="B300" i="2"/>
  <c r="AG299" i="2"/>
  <c r="AF299" i="2"/>
  <c r="AE299" i="2"/>
  <c r="AD299" i="2"/>
  <c r="AC299" i="2"/>
  <c r="AB299" i="2"/>
  <c r="B299" i="2"/>
  <c r="AG298" i="2"/>
  <c r="AF298" i="2"/>
  <c r="AE298" i="2"/>
  <c r="AD298" i="2"/>
  <c r="AC298" i="2"/>
  <c r="AB298" i="2"/>
  <c r="G298" i="2"/>
  <c r="F298" i="2"/>
  <c r="E298" i="2"/>
  <c r="D298" i="2"/>
  <c r="C298" i="2"/>
  <c r="B298" i="2"/>
  <c r="AG297" i="2"/>
  <c r="AF297" i="2"/>
  <c r="AE297" i="2"/>
  <c r="AD297" i="2"/>
  <c r="AC297" i="2"/>
  <c r="AB297" i="2"/>
  <c r="G297" i="2"/>
  <c r="F297" i="2"/>
  <c r="E297" i="2"/>
  <c r="D297" i="2"/>
  <c r="C297" i="2"/>
  <c r="B297" i="2"/>
  <c r="AG296" i="2"/>
  <c r="AF296" i="2"/>
  <c r="AE296" i="2"/>
  <c r="AD296" i="2"/>
  <c r="AC296" i="2"/>
  <c r="AB296" i="2"/>
  <c r="B296" i="2"/>
  <c r="AG295" i="2"/>
  <c r="AF295" i="2"/>
  <c r="AE295" i="2"/>
  <c r="AD295" i="2"/>
  <c r="AC295" i="2"/>
  <c r="AB295" i="2"/>
  <c r="B295" i="2"/>
  <c r="AG294" i="2"/>
  <c r="AF294" i="2"/>
  <c r="AE294" i="2"/>
  <c r="AD294" i="2"/>
  <c r="AC294" i="2"/>
  <c r="AB294" i="2"/>
  <c r="B294" i="2"/>
  <c r="AG293" i="2"/>
  <c r="AF293" i="2"/>
  <c r="AE293" i="2"/>
  <c r="AD293" i="2"/>
  <c r="AC293" i="2"/>
  <c r="AB293" i="2"/>
  <c r="B293" i="2"/>
  <c r="AG292" i="2"/>
  <c r="AF292" i="2"/>
  <c r="AE292" i="2"/>
  <c r="AD292" i="2"/>
  <c r="AC292" i="2"/>
  <c r="AB292" i="2"/>
  <c r="B292" i="2"/>
  <c r="AG291" i="2"/>
  <c r="AF291" i="2"/>
  <c r="AE291" i="2"/>
  <c r="AD291" i="2"/>
  <c r="AC291" i="2"/>
  <c r="AB291" i="2"/>
  <c r="B291" i="2"/>
  <c r="AG290" i="2"/>
  <c r="AF290" i="2"/>
  <c r="AE290" i="2"/>
  <c r="AD290" i="2"/>
  <c r="AC290" i="2"/>
  <c r="AB290" i="2"/>
  <c r="B290" i="2"/>
  <c r="AG289" i="2"/>
  <c r="AF289" i="2"/>
  <c r="AE289" i="2"/>
  <c r="AD289" i="2"/>
  <c r="AC289" i="2"/>
  <c r="AB289" i="2"/>
  <c r="B289" i="2"/>
  <c r="AG288" i="2"/>
  <c r="AF288" i="2"/>
  <c r="AE288" i="2"/>
  <c r="AD288" i="2"/>
  <c r="AC288" i="2"/>
  <c r="AB288" i="2"/>
  <c r="B288" i="2"/>
  <c r="AG287" i="2"/>
  <c r="AF287" i="2"/>
  <c r="AE287" i="2"/>
  <c r="AD287" i="2"/>
  <c r="AC287" i="2"/>
  <c r="AB287" i="2"/>
  <c r="B287" i="2"/>
  <c r="AG286" i="2"/>
  <c r="AF286" i="2"/>
  <c r="AE286" i="2"/>
  <c r="AD286" i="2"/>
  <c r="AC286" i="2"/>
  <c r="AB286" i="2"/>
  <c r="B286" i="2"/>
  <c r="AG285" i="2"/>
  <c r="AF285" i="2"/>
  <c r="AE285" i="2"/>
  <c r="AD285" i="2"/>
  <c r="AC285" i="2"/>
  <c r="AB285" i="2"/>
  <c r="B285" i="2"/>
  <c r="AG284" i="2"/>
  <c r="AF284" i="2"/>
  <c r="AE284" i="2"/>
  <c r="AD284" i="2"/>
  <c r="AC284" i="2"/>
  <c r="AB284" i="2"/>
  <c r="B284" i="2"/>
  <c r="BF280" i="2"/>
  <c r="BE280" i="2"/>
  <c r="BD280" i="2"/>
  <c r="BC280" i="2"/>
  <c r="BB280" i="2"/>
  <c r="BA280" i="2"/>
  <c r="AZ280" i="2"/>
  <c r="AY280" i="2"/>
  <c r="AX280" i="2"/>
  <c r="AW280" i="2"/>
  <c r="AV280" i="2"/>
  <c r="AU280" i="2"/>
  <c r="AT280" i="2"/>
  <c r="AO280" i="2"/>
  <c r="AN280" i="2"/>
  <c r="AM280" i="2"/>
  <c r="AL280" i="2"/>
  <c r="AK280" i="2"/>
  <c r="AJ280" i="2"/>
  <c r="AI280" i="2"/>
  <c r="AH280" i="2"/>
  <c r="AG280" i="2"/>
  <c r="AF280" i="2"/>
  <c r="AE280" i="2"/>
  <c r="AD280" i="2"/>
  <c r="AC280" i="2"/>
  <c r="AB280" i="2"/>
  <c r="C280" i="2"/>
  <c r="BF279" i="2"/>
  <c r="BE279" i="2"/>
  <c r="BD279" i="2"/>
  <c r="BC279" i="2"/>
  <c r="BB279" i="2"/>
  <c r="BA279" i="2"/>
  <c r="AZ279" i="2"/>
  <c r="AY279" i="2"/>
  <c r="AX279" i="2"/>
  <c r="AW279" i="2"/>
  <c r="AV279" i="2"/>
  <c r="AU279" i="2"/>
  <c r="AT279" i="2"/>
  <c r="AO279" i="2"/>
  <c r="AN279" i="2"/>
  <c r="AM279" i="2"/>
  <c r="AL279" i="2"/>
  <c r="AK279" i="2"/>
  <c r="AJ279" i="2"/>
  <c r="AI279" i="2"/>
  <c r="AH279" i="2"/>
  <c r="AG279" i="2"/>
  <c r="AF279" i="2"/>
  <c r="AE279" i="2"/>
  <c r="AD279" i="2"/>
  <c r="AC279" i="2"/>
  <c r="AB279" i="2"/>
  <c r="BF278" i="2"/>
  <c r="BE278" i="2"/>
  <c r="BD278" i="2"/>
  <c r="BC278" i="2"/>
  <c r="BB278" i="2"/>
  <c r="BA278" i="2"/>
  <c r="AZ278" i="2"/>
  <c r="AY278" i="2"/>
  <c r="AX278" i="2"/>
  <c r="AW278" i="2"/>
  <c r="AV278" i="2"/>
  <c r="AU278" i="2"/>
  <c r="AT278" i="2"/>
  <c r="AO278" i="2"/>
  <c r="AN278" i="2"/>
  <c r="AM278" i="2"/>
  <c r="AL278" i="2"/>
  <c r="AK278" i="2"/>
  <c r="AJ278" i="2"/>
  <c r="AI278" i="2"/>
  <c r="AH278" i="2"/>
  <c r="AG278" i="2"/>
  <c r="AF278" i="2"/>
  <c r="AE278" i="2"/>
  <c r="AD278" i="2"/>
  <c r="AC278" i="2"/>
  <c r="AB278" i="2"/>
  <c r="BF277" i="2"/>
  <c r="BE277" i="2"/>
  <c r="BD277" i="2"/>
  <c r="BC277" i="2"/>
  <c r="BB277" i="2"/>
  <c r="BA277" i="2"/>
  <c r="AZ277" i="2"/>
  <c r="AY277" i="2"/>
  <c r="AO277" i="2"/>
  <c r="AN277" i="2"/>
  <c r="AM277" i="2"/>
  <c r="AL277" i="2"/>
  <c r="AK277" i="2"/>
  <c r="AJ277" i="2"/>
  <c r="AI277" i="2"/>
  <c r="AH277" i="2"/>
  <c r="AG277" i="2"/>
  <c r="AF277" i="2"/>
  <c r="AE277" i="2"/>
  <c r="AD277" i="2"/>
  <c r="AC277" i="2"/>
  <c r="AB277" i="2"/>
  <c r="BF276" i="2"/>
  <c r="BE276" i="2"/>
  <c r="BD276" i="2"/>
  <c r="BC276" i="2"/>
  <c r="BB276" i="2"/>
  <c r="BA276" i="2"/>
  <c r="AZ276" i="2"/>
  <c r="AY276" i="2"/>
  <c r="AO276" i="2"/>
  <c r="AN276" i="2"/>
  <c r="AM276" i="2"/>
  <c r="AL276" i="2"/>
  <c r="AK276" i="2"/>
  <c r="AJ276" i="2"/>
  <c r="AI276" i="2"/>
  <c r="AH276" i="2"/>
  <c r="AG276" i="2"/>
  <c r="AF276" i="2"/>
  <c r="AE276" i="2"/>
  <c r="AD276" i="2"/>
  <c r="AC276" i="2"/>
  <c r="AB276" i="2"/>
  <c r="BF275" i="2"/>
  <c r="BE275" i="2"/>
  <c r="BD275" i="2"/>
  <c r="BC275" i="2"/>
  <c r="BB275" i="2"/>
  <c r="BA275" i="2"/>
  <c r="AZ275" i="2"/>
  <c r="AY275" i="2"/>
  <c r="AO275" i="2"/>
  <c r="AN275" i="2"/>
  <c r="AM275" i="2"/>
  <c r="AL275" i="2"/>
  <c r="AK275" i="2"/>
  <c r="AJ275" i="2"/>
  <c r="AI275" i="2"/>
  <c r="AH275" i="2"/>
  <c r="AG275" i="2"/>
  <c r="AF275" i="2"/>
  <c r="AE275" i="2"/>
  <c r="AD275" i="2"/>
  <c r="AC275" i="2"/>
  <c r="AB275" i="2"/>
  <c r="BF274" i="2"/>
  <c r="BE274" i="2"/>
  <c r="BD274" i="2"/>
  <c r="BC274" i="2"/>
  <c r="BB274" i="2"/>
  <c r="BA274" i="2"/>
  <c r="AZ274" i="2"/>
  <c r="AY274" i="2"/>
  <c r="AO274" i="2"/>
  <c r="AN274" i="2"/>
  <c r="AM274" i="2"/>
  <c r="AL274" i="2"/>
  <c r="AK274" i="2"/>
  <c r="AJ274" i="2"/>
  <c r="AI274" i="2"/>
  <c r="AH274" i="2"/>
  <c r="AG274" i="2"/>
  <c r="AF274" i="2"/>
  <c r="AE274" i="2"/>
  <c r="AD274" i="2"/>
  <c r="AC274" i="2"/>
  <c r="AB274" i="2"/>
  <c r="BF273" i="2"/>
  <c r="BE273" i="2"/>
  <c r="BD273" i="2"/>
  <c r="BC273" i="2"/>
  <c r="BB273" i="2"/>
  <c r="BA273" i="2"/>
  <c r="AZ273" i="2"/>
  <c r="AY273" i="2"/>
  <c r="AO273" i="2"/>
  <c r="AN273" i="2"/>
  <c r="AM273" i="2"/>
  <c r="AL273" i="2"/>
  <c r="AK273" i="2"/>
  <c r="AJ273" i="2"/>
  <c r="AI273" i="2"/>
  <c r="AH273" i="2"/>
  <c r="AG273" i="2"/>
  <c r="AF273" i="2"/>
  <c r="AE273" i="2"/>
  <c r="AD273" i="2"/>
  <c r="AC273" i="2"/>
  <c r="AB273" i="2"/>
  <c r="BF272" i="2"/>
  <c r="BE272" i="2"/>
  <c r="BD272" i="2"/>
  <c r="BC272" i="2"/>
  <c r="BB272" i="2"/>
  <c r="BA272" i="2"/>
  <c r="AZ272" i="2"/>
  <c r="AY272" i="2"/>
  <c r="AO272" i="2"/>
  <c r="AN272" i="2"/>
  <c r="AM272" i="2"/>
  <c r="AL272" i="2"/>
  <c r="AK272" i="2"/>
  <c r="AJ272" i="2"/>
  <c r="AI272" i="2"/>
  <c r="AH272" i="2"/>
  <c r="AG272" i="2"/>
  <c r="AF272" i="2"/>
  <c r="AE272" i="2"/>
  <c r="AD272" i="2"/>
  <c r="AC272" i="2"/>
  <c r="AB272" i="2"/>
  <c r="AT271" i="2"/>
  <c r="AO271" i="2"/>
  <c r="AN271" i="2"/>
  <c r="AM271" i="2"/>
  <c r="AL271" i="2"/>
  <c r="AK271" i="2"/>
  <c r="AJ271" i="2"/>
  <c r="AI271" i="2"/>
  <c r="AH271" i="2"/>
  <c r="AG271" i="2"/>
  <c r="AF271" i="2"/>
  <c r="AE271" i="2"/>
  <c r="AD271" i="2"/>
  <c r="AC271" i="2"/>
  <c r="AB271" i="2"/>
  <c r="O271" i="2"/>
  <c r="P122" i="20" s="1"/>
  <c r="AG122" i="20" s="1"/>
  <c r="N271" i="2"/>
  <c r="O122" i="20" s="1"/>
  <c r="AF122" i="20" s="1"/>
  <c r="M271" i="2"/>
  <c r="N122" i="20" s="1"/>
  <c r="AE122" i="20" s="1"/>
  <c r="L271" i="2"/>
  <c r="M122" i="20" s="1"/>
  <c r="AD122" i="20" s="1"/>
  <c r="K271" i="2"/>
  <c r="L122" i="20" s="1"/>
  <c r="AC122" i="20" s="1"/>
  <c r="J271" i="2"/>
  <c r="K122" i="20" s="1"/>
  <c r="AB122" i="20" s="1"/>
  <c r="I271" i="2"/>
  <c r="J122" i="20" s="1"/>
  <c r="AA122" i="20" s="1"/>
  <c r="H271" i="2"/>
  <c r="I122" i="20" s="1"/>
  <c r="Z122" i="20" s="1"/>
  <c r="AT270" i="2"/>
  <c r="AO270" i="2"/>
  <c r="AN270" i="2"/>
  <c r="AM270" i="2"/>
  <c r="AL270" i="2"/>
  <c r="AK270" i="2"/>
  <c r="AJ270" i="2"/>
  <c r="AI270" i="2"/>
  <c r="AH270" i="2"/>
  <c r="AG270" i="2"/>
  <c r="AF270" i="2"/>
  <c r="AE270" i="2"/>
  <c r="AD270" i="2"/>
  <c r="AC270" i="2"/>
  <c r="AB270" i="2"/>
  <c r="O270" i="2"/>
  <c r="P121" i="20" s="1"/>
  <c r="AG121" i="20" s="1"/>
  <c r="N270" i="2"/>
  <c r="O121" i="20" s="1"/>
  <c r="AF121" i="20" s="1"/>
  <c r="M270" i="2"/>
  <c r="N121" i="20" s="1"/>
  <c r="AE121" i="20" s="1"/>
  <c r="L270" i="2"/>
  <c r="M121" i="20" s="1"/>
  <c r="AD121" i="20" s="1"/>
  <c r="K270" i="2"/>
  <c r="L121" i="20" s="1"/>
  <c r="AC121" i="20" s="1"/>
  <c r="J270" i="2"/>
  <c r="K121" i="20" s="1"/>
  <c r="AB121" i="20" s="1"/>
  <c r="I270" i="2"/>
  <c r="J121" i="20" s="1"/>
  <c r="AA121" i="20" s="1"/>
  <c r="H270" i="2"/>
  <c r="I121" i="20" s="1"/>
  <c r="Z121" i="20" s="1"/>
  <c r="AT269" i="2"/>
  <c r="AO269" i="2"/>
  <c r="AN269" i="2"/>
  <c r="AM269" i="2"/>
  <c r="AL269" i="2"/>
  <c r="AK269" i="2"/>
  <c r="AJ269" i="2"/>
  <c r="AI269" i="2"/>
  <c r="AH269" i="2"/>
  <c r="AG269" i="2"/>
  <c r="AF269" i="2"/>
  <c r="AE269" i="2"/>
  <c r="AD269" i="2"/>
  <c r="AC269" i="2"/>
  <c r="AB269" i="2"/>
  <c r="O269" i="2"/>
  <c r="P120" i="20" s="1"/>
  <c r="AG120" i="20" s="1"/>
  <c r="N269" i="2"/>
  <c r="O120" i="20" s="1"/>
  <c r="AF120" i="20" s="1"/>
  <c r="M269" i="2"/>
  <c r="N120" i="20" s="1"/>
  <c r="AE120" i="20" s="1"/>
  <c r="L269" i="2"/>
  <c r="M120" i="20" s="1"/>
  <c r="AD120" i="20" s="1"/>
  <c r="K269" i="2"/>
  <c r="L120" i="20" s="1"/>
  <c r="AC120" i="20" s="1"/>
  <c r="J269" i="2"/>
  <c r="K120" i="20" s="1"/>
  <c r="AB120" i="20" s="1"/>
  <c r="I269" i="2"/>
  <c r="J120" i="20" s="1"/>
  <c r="AA120" i="20" s="1"/>
  <c r="H269" i="2"/>
  <c r="I120" i="20" s="1"/>
  <c r="Z120" i="20" s="1"/>
  <c r="AT268" i="2"/>
  <c r="AO268" i="2"/>
  <c r="AN268" i="2"/>
  <c r="AM268" i="2"/>
  <c r="AL268" i="2"/>
  <c r="AK268" i="2"/>
  <c r="AJ268" i="2"/>
  <c r="AI268" i="2"/>
  <c r="AH268" i="2"/>
  <c r="AG268" i="2"/>
  <c r="AF268" i="2"/>
  <c r="AE268" i="2"/>
  <c r="AD268" i="2"/>
  <c r="AC268" i="2"/>
  <c r="AB268" i="2"/>
  <c r="O268" i="2"/>
  <c r="P119" i="20" s="1"/>
  <c r="AG119" i="20" s="1"/>
  <c r="N268" i="2"/>
  <c r="O119" i="20" s="1"/>
  <c r="AF119" i="20" s="1"/>
  <c r="M268" i="2"/>
  <c r="N119" i="20" s="1"/>
  <c r="AE119" i="20" s="1"/>
  <c r="L268" i="2"/>
  <c r="M119" i="20" s="1"/>
  <c r="AD119" i="20" s="1"/>
  <c r="K268" i="2"/>
  <c r="L119" i="20" s="1"/>
  <c r="AC119" i="20" s="1"/>
  <c r="J268" i="2"/>
  <c r="K119" i="20" s="1"/>
  <c r="AB119" i="20" s="1"/>
  <c r="I268" i="2"/>
  <c r="J119" i="20" s="1"/>
  <c r="AA119" i="20" s="1"/>
  <c r="H268" i="2"/>
  <c r="I119" i="20" s="1"/>
  <c r="Z119" i="20" s="1"/>
  <c r="AT267" i="2"/>
  <c r="AO267" i="2"/>
  <c r="AN267" i="2"/>
  <c r="AM267" i="2"/>
  <c r="AL267" i="2"/>
  <c r="AK267" i="2"/>
  <c r="AJ267" i="2"/>
  <c r="AI267" i="2"/>
  <c r="AH267" i="2"/>
  <c r="AG267" i="2"/>
  <c r="AF267" i="2"/>
  <c r="AE267" i="2"/>
  <c r="AD267" i="2"/>
  <c r="AC267" i="2"/>
  <c r="AB267" i="2"/>
  <c r="O267" i="2"/>
  <c r="P118" i="20" s="1"/>
  <c r="AG118" i="20" s="1"/>
  <c r="N267" i="2"/>
  <c r="O118" i="20" s="1"/>
  <c r="AF118" i="20" s="1"/>
  <c r="M267" i="2"/>
  <c r="N118" i="20" s="1"/>
  <c r="AE118" i="20" s="1"/>
  <c r="L267" i="2"/>
  <c r="M118" i="20" s="1"/>
  <c r="AD118" i="20" s="1"/>
  <c r="K267" i="2"/>
  <c r="L118" i="20" s="1"/>
  <c r="AC118" i="20" s="1"/>
  <c r="J267" i="2"/>
  <c r="K118" i="20" s="1"/>
  <c r="AB118" i="20" s="1"/>
  <c r="I267" i="2"/>
  <c r="J118" i="20" s="1"/>
  <c r="AA118" i="20" s="1"/>
  <c r="H267" i="2"/>
  <c r="I118" i="20" s="1"/>
  <c r="Z118" i="20" s="1"/>
  <c r="AT266" i="2"/>
  <c r="AO266" i="2"/>
  <c r="AN266" i="2"/>
  <c r="AM266" i="2"/>
  <c r="AL266" i="2"/>
  <c r="AK266" i="2"/>
  <c r="AJ266" i="2"/>
  <c r="AI266" i="2"/>
  <c r="AH266" i="2"/>
  <c r="AG266" i="2"/>
  <c r="AF266" i="2"/>
  <c r="AE266" i="2"/>
  <c r="AD266" i="2"/>
  <c r="AC266" i="2"/>
  <c r="AB266" i="2"/>
  <c r="BF265" i="2"/>
  <c r="BE265" i="2"/>
  <c r="BD265" i="2"/>
  <c r="BC265" i="2"/>
  <c r="BB265" i="2"/>
  <c r="BA265" i="2"/>
  <c r="AZ265" i="2"/>
  <c r="AY265" i="2"/>
  <c r="AO265" i="2"/>
  <c r="AN265" i="2"/>
  <c r="AM265" i="2"/>
  <c r="AL265" i="2"/>
  <c r="AK265" i="2"/>
  <c r="AJ265" i="2"/>
  <c r="AI265" i="2"/>
  <c r="AH265" i="2"/>
  <c r="AG265" i="2"/>
  <c r="AF265" i="2"/>
  <c r="AE265" i="2"/>
  <c r="AD265" i="2"/>
  <c r="AC265" i="2"/>
  <c r="AB265" i="2"/>
  <c r="BF264" i="2"/>
  <c r="BE264" i="2"/>
  <c r="BD264" i="2"/>
  <c r="BC264" i="2"/>
  <c r="BB264" i="2"/>
  <c r="BA264" i="2"/>
  <c r="AZ264" i="2"/>
  <c r="AY264" i="2"/>
  <c r="AO264" i="2"/>
  <c r="AN264" i="2"/>
  <c r="AM264" i="2"/>
  <c r="AL264" i="2"/>
  <c r="AK264" i="2"/>
  <c r="AJ264" i="2"/>
  <c r="AI264" i="2"/>
  <c r="AH264" i="2"/>
  <c r="AG264" i="2"/>
  <c r="AF264" i="2"/>
  <c r="AE264" i="2"/>
  <c r="AD264" i="2"/>
  <c r="AC264" i="2"/>
  <c r="AB264" i="2"/>
  <c r="BF263" i="2"/>
  <c r="BE263" i="2"/>
  <c r="BD263" i="2"/>
  <c r="BC263" i="2"/>
  <c r="BB263" i="2"/>
  <c r="BA263" i="2"/>
  <c r="AZ263" i="2"/>
  <c r="AY263" i="2"/>
  <c r="AO263" i="2"/>
  <c r="AN263" i="2"/>
  <c r="AM263" i="2"/>
  <c r="AL263" i="2"/>
  <c r="AK263" i="2"/>
  <c r="AJ263" i="2"/>
  <c r="AI263" i="2"/>
  <c r="AH263" i="2"/>
  <c r="AG263" i="2"/>
  <c r="AF263" i="2"/>
  <c r="AE263" i="2"/>
  <c r="AD263" i="2"/>
  <c r="AC263" i="2"/>
  <c r="AB263" i="2"/>
  <c r="BF262" i="2"/>
  <c r="BE262" i="2"/>
  <c r="BD262" i="2"/>
  <c r="BC262" i="2"/>
  <c r="BB262" i="2"/>
  <c r="BA262" i="2"/>
  <c r="AZ262" i="2"/>
  <c r="AY262" i="2"/>
  <c r="AO262" i="2"/>
  <c r="AN262" i="2"/>
  <c r="AM262" i="2"/>
  <c r="AL262" i="2"/>
  <c r="AK262" i="2"/>
  <c r="AJ262" i="2"/>
  <c r="AI262" i="2"/>
  <c r="AH262" i="2"/>
  <c r="AG262" i="2"/>
  <c r="AF262" i="2"/>
  <c r="AE262" i="2"/>
  <c r="AD262" i="2"/>
  <c r="AC262" i="2"/>
  <c r="AB262" i="2"/>
  <c r="BF261" i="2"/>
  <c r="BE261" i="2"/>
  <c r="BD261" i="2"/>
  <c r="BC261" i="2"/>
  <c r="BB261" i="2"/>
  <c r="BA261" i="2"/>
  <c r="AZ261" i="2"/>
  <c r="AY261" i="2"/>
  <c r="AO261" i="2"/>
  <c r="AN261" i="2"/>
  <c r="AM261" i="2"/>
  <c r="AL261" i="2"/>
  <c r="AK261" i="2"/>
  <c r="AJ261" i="2"/>
  <c r="AI261" i="2"/>
  <c r="AH261" i="2"/>
  <c r="AG261" i="2"/>
  <c r="AF261" i="2"/>
  <c r="AE261" i="2"/>
  <c r="AD261" i="2"/>
  <c r="AC261" i="2"/>
  <c r="AB261" i="2"/>
  <c r="BF260" i="2"/>
  <c r="BE260" i="2"/>
  <c r="BD260" i="2"/>
  <c r="BC260" i="2"/>
  <c r="BB260" i="2"/>
  <c r="BA260" i="2"/>
  <c r="AZ260" i="2"/>
  <c r="AY260" i="2"/>
  <c r="AX260" i="2"/>
  <c r="AW260" i="2"/>
  <c r="AV260" i="2"/>
  <c r="AU260" i="2"/>
  <c r="AO260" i="2"/>
  <c r="AN260" i="2"/>
  <c r="AM260" i="2"/>
  <c r="AL260" i="2"/>
  <c r="AK260" i="2"/>
  <c r="AJ260" i="2"/>
  <c r="AI260" i="2"/>
  <c r="AH260" i="2"/>
  <c r="AG260" i="2"/>
  <c r="AF260" i="2"/>
  <c r="AE260" i="2"/>
  <c r="AD260" i="2"/>
  <c r="AC260" i="2"/>
  <c r="AB260" i="2"/>
  <c r="BF259" i="2"/>
  <c r="BE259" i="2"/>
  <c r="BD259" i="2"/>
  <c r="BC259" i="2"/>
  <c r="BB259" i="2"/>
  <c r="BA259" i="2"/>
  <c r="AZ259" i="2"/>
  <c r="AY259" i="2"/>
  <c r="AX259" i="2"/>
  <c r="AW259" i="2"/>
  <c r="AV259" i="2"/>
  <c r="AU259" i="2"/>
  <c r="AO259" i="2"/>
  <c r="AN259" i="2"/>
  <c r="AM259" i="2"/>
  <c r="AL259" i="2"/>
  <c r="AK259" i="2"/>
  <c r="AJ259" i="2"/>
  <c r="AI259" i="2"/>
  <c r="AH259" i="2"/>
  <c r="AG259" i="2"/>
  <c r="AF259" i="2"/>
  <c r="AE259" i="2"/>
  <c r="AD259" i="2"/>
  <c r="AC259" i="2"/>
  <c r="AB259" i="2"/>
  <c r="BF258" i="2"/>
  <c r="BE258" i="2"/>
  <c r="BD258" i="2"/>
  <c r="BC258" i="2"/>
  <c r="BB258" i="2"/>
  <c r="BA258" i="2"/>
  <c r="AZ258" i="2"/>
  <c r="AY258" i="2"/>
  <c r="AX258" i="2"/>
  <c r="AW258" i="2"/>
  <c r="AV258" i="2"/>
  <c r="AU258" i="2"/>
  <c r="AO258" i="2"/>
  <c r="AN258" i="2"/>
  <c r="AM258" i="2"/>
  <c r="AL258" i="2"/>
  <c r="AK258" i="2"/>
  <c r="AJ258" i="2"/>
  <c r="AI258" i="2"/>
  <c r="AH258" i="2"/>
  <c r="AG258" i="2"/>
  <c r="AF258" i="2"/>
  <c r="AE258" i="2"/>
  <c r="AD258" i="2"/>
  <c r="AC258" i="2"/>
  <c r="AB258" i="2"/>
  <c r="BF257" i="2"/>
  <c r="BE257" i="2"/>
  <c r="BD257" i="2"/>
  <c r="BC257" i="2"/>
  <c r="BB257" i="2"/>
  <c r="BA257" i="2"/>
  <c r="AZ257" i="2"/>
  <c r="AY257" i="2"/>
  <c r="AX257" i="2"/>
  <c r="AW257" i="2"/>
  <c r="AV257" i="2"/>
  <c r="AU257" i="2"/>
  <c r="AT257" i="2"/>
  <c r="AO257" i="2"/>
  <c r="AN257" i="2"/>
  <c r="AM257" i="2"/>
  <c r="AL257" i="2"/>
  <c r="AK257" i="2"/>
  <c r="AJ257" i="2"/>
  <c r="AI257" i="2"/>
  <c r="AH257" i="2"/>
  <c r="AG257" i="2"/>
  <c r="AF257" i="2"/>
  <c r="AE257" i="2"/>
  <c r="AD257" i="2"/>
  <c r="AC257" i="2"/>
  <c r="AB257" i="2"/>
  <c r="BF256" i="2"/>
  <c r="BE256" i="2"/>
  <c r="BD256" i="2"/>
  <c r="BC256" i="2"/>
  <c r="BB256" i="2"/>
  <c r="BA256" i="2"/>
  <c r="AZ256" i="2"/>
  <c r="AY256" i="2"/>
  <c r="AO256" i="2"/>
  <c r="AN256" i="2"/>
  <c r="AM256" i="2"/>
  <c r="AL256" i="2"/>
  <c r="AK256" i="2"/>
  <c r="AJ256" i="2"/>
  <c r="AI256" i="2"/>
  <c r="AH256" i="2"/>
  <c r="AG256" i="2"/>
  <c r="AF256" i="2"/>
  <c r="AE256" i="2"/>
  <c r="AD256" i="2"/>
  <c r="AC256" i="2"/>
  <c r="AB256" i="2"/>
  <c r="BF255" i="2"/>
  <c r="BE255" i="2"/>
  <c r="BD255" i="2"/>
  <c r="BC255" i="2"/>
  <c r="BB255" i="2"/>
  <c r="BA255" i="2"/>
  <c r="AZ255" i="2"/>
  <c r="AY255" i="2"/>
  <c r="AO255" i="2"/>
  <c r="AN255" i="2"/>
  <c r="AM255" i="2"/>
  <c r="AL255" i="2"/>
  <c r="AK255" i="2"/>
  <c r="AJ255" i="2"/>
  <c r="AI255" i="2"/>
  <c r="AH255" i="2"/>
  <c r="AG255" i="2"/>
  <c r="AF255" i="2"/>
  <c r="AE255" i="2"/>
  <c r="AD255" i="2"/>
  <c r="AC255" i="2"/>
  <c r="AB255" i="2"/>
  <c r="BF254" i="2"/>
  <c r="BE254" i="2"/>
  <c r="BD254" i="2"/>
  <c r="BC254" i="2"/>
  <c r="BB254" i="2"/>
  <c r="BA254" i="2"/>
  <c r="AZ254" i="2"/>
  <c r="AY254" i="2"/>
  <c r="AO254" i="2"/>
  <c r="AN254" i="2"/>
  <c r="AM254" i="2"/>
  <c r="AL254" i="2"/>
  <c r="AK254" i="2"/>
  <c r="AJ254" i="2"/>
  <c r="AI254" i="2"/>
  <c r="AH254" i="2"/>
  <c r="AG254" i="2"/>
  <c r="AF254" i="2"/>
  <c r="AE254" i="2"/>
  <c r="AD254" i="2"/>
  <c r="AC254" i="2"/>
  <c r="AB254" i="2"/>
  <c r="BF253" i="2"/>
  <c r="BE253" i="2"/>
  <c r="BD253" i="2"/>
  <c r="BC253" i="2"/>
  <c r="BB253" i="2"/>
  <c r="BA253" i="2"/>
  <c r="AZ253" i="2"/>
  <c r="AY253" i="2"/>
  <c r="AO253" i="2"/>
  <c r="AN253" i="2"/>
  <c r="AM253" i="2"/>
  <c r="AL253" i="2"/>
  <c r="AK253" i="2"/>
  <c r="AJ253" i="2"/>
  <c r="AI253" i="2"/>
  <c r="AH253" i="2"/>
  <c r="AG253" i="2"/>
  <c r="AF253" i="2"/>
  <c r="AE253" i="2"/>
  <c r="AD253" i="2"/>
  <c r="AC253" i="2"/>
  <c r="AB253" i="2"/>
  <c r="BF252" i="2"/>
  <c r="BE252" i="2"/>
  <c r="BD252" i="2"/>
  <c r="BC252" i="2"/>
  <c r="BB252" i="2"/>
  <c r="BA252" i="2"/>
  <c r="AZ252" i="2"/>
  <c r="AY252" i="2"/>
  <c r="AO252" i="2"/>
  <c r="AN252" i="2"/>
  <c r="AM252" i="2"/>
  <c r="AL252" i="2"/>
  <c r="AK252" i="2"/>
  <c r="AJ252" i="2"/>
  <c r="AI252" i="2"/>
  <c r="AH252" i="2"/>
  <c r="AG252" i="2"/>
  <c r="AF252" i="2"/>
  <c r="AE252" i="2"/>
  <c r="AD252" i="2"/>
  <c r="AC252" i="2"/>
  <c r="AB252" i="2"/>
  <c r="BF251" i="2"/>
  <c r="BE251" i="2"/>
  <c r="BD251" i="2"/>
  <c r="BC251" i="2"/>
  <c r="BB251" i="2"/>
  <c r="BA251" i="2"/>
  <c r="AZ251" i="2"/>
  <c r="AY251" i="2"/>
  <c r="AX251" i="2"/>
  <c r="AW251" i="2"/>
  <c r="AV251" i="2"/>
  <c r="AU251" i="2"/>
  <c r="AT251" i="2"/>
  <c r="AO251" i="2"/>
  <c r="AN251" i="2"/>
  <c r="AM251" i="2"/>
  <c r="AL251" i="2"/>
  <c r="AK251" i="2"/>
  <c r="AJ251" i="2"/>
  <c r="AI251" i="2"/>
  <c r="AH251" i="2"/>
  <c r="AG251" i="2"/>
  <c r="AF251" i="2"/>
  <c r="AE251" i="2"/>
  <c r="AD251" i="2"/>
  <c r="AC251" i="2"/>
  <c r="AB251" i="2"/>
  <c r="BF250" i="2"/>
  <c r="BE250" i="2"/>
  <c r="BD250" i="2"/>
  <c r="BC250" i="2"/>
  <c r="BB250" i="2"/>
  <c r="BA250" i="2"/>
  <c r="AZ250" i="2"/>
  <c r="AY250" i="2"/>
  <c r="AO250" i="2"/>
  <c r="AN250" i="2"/>
  <c r="AM250" i="2"/>
  <c r="AL250" i="2"/>
  <c r="AK250" i="2"/>
  <c r="AJ250" i="2"/>
  <c r="AI250" i="2"/>
  <c r="AH250" i="2"/>
  <c r="AG250" i="2"/>
  <c r="AF250" i="2"/>
  <c r="AE250" i="2"/>
  <c r="AD250" i="2"/>
  <c r="AC250" i="2"/>
  <c r="AB250" i="2"/>
  <c r="BF249" i="2"/>
  <c r="BE249" i="2"/>
  <c r="BD249" i="2"/>
  <c r="BC249" i="2"/>
  <c r="BB249" i="2"/>
  <c r="BA249" i="2"/>
  <c r="AZ249" i="2"/>
  <c r="AY249" i="2"/>
  <c r="AO249" i="2"/>
  <c r="AN249" i="2"/>
  <c r="AM249" i="2"/>
  <c r="AL249" i="2"/>
  <c r="AK249" i="2"/>
  <c r="AJ249" i="2"/>
  <c r="AI249" i="2"/>
  <c r="AH249" i="2"/>
  <c r="AG249" i="2"/>
  <c r="AF249" i="2"/>
  <c r="AE249" i="2"/>
  <c r="AD249" i="2"/>
  <c r="AC249" i="2"/>
  <c r="AB249" i="2"/>
  <c r="BF248" i="2"/>
  <c r="BE248" i="2"/>
  <c r="BD248" i="2"/>
  <c r="BC248" i="2"/>
  <c r="BB248" i="2"/>
  <c r="BA248" i="2"/>
  <c r="AZ248" i="2"/>
  <c r="AY248" i="2"/>
  <c r="AO248" i="2"/>
  <c r="AN248" i="2"/>
  <c r="AM248" i="2"/>
  <c r="AL248" i="2"/>
  <c r="AK248" i="2"/>
  <c r="AJ248" i="2"/>
  <c r="AI248" i="2"/>
  <c r="AH248" i="2"/>
  <c r="AG248" i="2"/>
  <c r="AF248" i="2"/>
  <c r="AE248" i="2"/>
  <c r="AD248" i="2"/>
  <c r="AC248" i="2"/>
  <c r="AB248" i="2"/>
  <c r="BF247" i="2"/>
  <c r="BE247" i="2"/>
  <c r="BD247" i="2"/>
  <c r="BC247" i="2"/>
  <c r="BB247" i="2"/>
  <c r="BA247" i="2"/>
  <c r="AZ247" i="2"/>
  <c r="AY247" i="2"/>
  <c r="AO247" i="2"/>
  <c r="AN247" i="2"/>
  <c r="AM247" i="2"/>
  <c r="AL247" i="2"/>
  <c r="AK247" i="2"/>
  <c r="AJ247" i="2"/>
  <c r="AI247" i="2"/>
  <c r="AH247" i="2"/>
  <c r="AG247" i="2"/>
  <c r="AF247" i="2"/>
  <c r="AE247" i="2"/>
  <c r="AD247" i="2"/>
  <c r="AC247" i="2"/>
  <c r="AB247" i="2"/>
  <c r="BF246" i="2"/>
  <c r="BE246" i="2"/>
  <c r="BD246" i="2"/>
  <c r="BC246" i="2"/>
  <c r="BB246" i="2"/>
  <c r="BA246" i="2"/>
  <c r="AZ246" i="2"/>
  <c r="AY246" i="2"/>
  <c r="AO246" i="2"/>
  <c r="AN246" i="2"/>
  <c r="AM246" i="2"/>
  <c r="AL246" i="2"/>
  <c r="AK246" i="2"/>
  <c r="AJ246" i="2"/>
  <c r="AI246" i="2"/>
  <c r="AH246" i="2"/>
  <c r="AG246" i="2"/>
  <c r="AF246" i="2"/>
  <c r="AE246" i="2"/>
  <c r="AD246" i="2"/>
  <c r="AC246" i="2"/>
  <c r="AB246" i="2"/>
  <c r="BF245" i="2"/>
  <c r="BE245" i="2"/>
  <c r="BD245" i="2"/>
  <c r="BC245" i="2"/>
  <c r="BB245" i="2"/>
  <c r="BA245" i="2"/>
  <c r="AZ245" i="2"/>
  <c r="AY245" i="2"/>
  <c r="AO245" i="2"/>
  <c r="AN245" i="2"/>
  <c r="AM245" i="2"/>
  <c r="AL245" i="2"/>
  <c r="AK245" i="2"/>
  <c r="AJ245" i="2"/>
  <c r="AI245" i="2"/>
  <c r="AH245" i="2"/>
  <c r="AG245" i="2"/>
  <c r="AF245" i="2"/>
  <c r="AE245" i="2"/>
  <c r="AD245" i="2"/>
  <c r="AC245" i="2"/>
  <c r="AB245" i="2"/>
  <c r="BF244" i="2"/>
  <c r="BE244" i="2"/>
  <c r="BD244" i="2"/>
  <c r="BC244" i="2"/>
  <c r="BB244" i="2"/>
  <c r="BA244" i="2"/>
  <c r="AZ244" i="2"/>
  <c r="AY244" i="2"/>
  <c r="AO244" i="2"/>
  <c r="AN244" i="2"/>
  <c r="AM244" i="2"/>
  <c r="AL244" i="2"/>
  <c r="AK244" i="2"/>
  <c r="AJ244" i="2"/>
  <c r="AI244" i="2"/>
  <c r="AH244" i="2"/>
  <c r="AG244" i="2"/>
  <c r="AF244" i="2"/>
  <c r="AE244" i="2"/>
  <c r="AD244" i="2"/>
  <c r="AC244" i="2"/>
  <c r="AB244" i="2"/>
  <c r="BF243" i="2"/>
  <c r="BE243" i="2"/>
  <c r="BD243" i="2"/>
  <c r="BC243" i="2"/>
  <c r="BB243" i="2"/>
  <c r="BA243" i="2"/>
  <c r="AZ243" i="2"/>
  <c r="AY243" i="2"/>
  <c r="AO243" i="2"/>
  <c r="AN243" i="2"/>
  <c r="AM243" i="2"/>
  <c r="AL243" i="2"/>
  <c r="AK243" i="2"/>
  <c r="AJ243" i="2"/>
  <c r="AI243" i="2"/>
  <c r="AH243" i="2"/>
  <c r="AG243" i="2"/>
  <c r="AF243" i="2"/>
  <c r="AE243" i="2"/>
  <c r="AD243" i="2"/>
  <c r="AC243" i="2"/>
  <c r="AB243" i="2"/>
  <c r="BF242" i="2"/>
  <c r="BE242" i="2"/>
  <c r="BD242" i="2"/>
  <c r="BC242" i="2"/>
  <c r="BB242" i="2"/>
  <c r="BA242" i="2"/>
  <c r="AZ242" i="2"/>
  <c r="AY242" i="2"/>
  <c r="AO242" i="2"/>
  <c r="AN242" i="2"/>
  <c r="AM242" i="2"/>
  <c r="AL242" i="2"/>
  <c r="AK242" i="2"/>
  <c r="AJ242" i="2"/>
  <c r="AI242" i="2"/>
  <c r="AH242" i="2"/>
  <c r="AG242" i="2"/>
  <c r="AF242" i="2"/>
  <c r="AE242" i="2"/>
  <c r="AD242" i="2"/>
  <c r="AC242" i="2"/>
  <c r="AB242" i="2"/>
  <c r="BF241" i="2"/>
  <c r="BE241" i="2"/>
  <c r="BD241" i="2"/>
  <c r="BC241" i="2"/>
  <c r="BB241" i="2"/>
  <c r="BA241" i="2"/>
  <c r="AZ241" i="2"/>
  <c r="AY241" i="2"/>
  <c r="AO241" i="2"/>
  <c r="AN241" i="2"/>
  <c r="AM241" i="2"/>
  <c r="AL241" i="2"/>
  <c r="AK241" i="2"/>
  <c r="AJ241" i="2"/>
  <c r="AI241" i="2"/>
  <c r="AH241" i="2"/>
  <c r="AG241" i="2"/>
  <c r="AF241" i="2"/>
  <c r="AE241" i="2"/>
  <c r="AD241" i="2"/>
  <c r="AC241" i="2"/>
  <c r="AB241" i="2"/>
  <c r="BF240" i="2"/>
  <c r="BE240" i="2"/>
  <c r="BD240" i="2"/>
  <c r="BC240" i="2"/>
  <c r="BB240" i="2"/>
  <c r="BA240" i="2"/>
  <c r="AZ240" i="2"/>
  <c r="AY240" i="2"/>
  <c r="AO240" i="2"/>
  <c r="AN240" i="2"/>
  <c r="AM240" i="2"/>
  <c r="AL240" i="2"/>
  <c r="AK240" i="2"/>
  <c r="AJ240" i="2"/>
  <c r="AI240" i="2"/>
  <c r="AH240" i="2"/>
  <c r="AG240" i="2"/>
  <c r="AF240" i="2"/>
  <c r="AE240" i="2"/>
  <c r="AD240" i="2"/>
  <c r="AC240" i="2"/>
  <c r="AB240" i="2"/>
  <c r="BF239" i="2"/>
  <c r="BE239" i="2"/>
  <c r="BD239" i="2"/>
  <c r="BC239" i="2"/>
  <c r="BB239" i="2"/>
  <c r="BA239" i="2"/>
  <c r="AZ239" i="2"/>
  <c r="AY239" i="2"/>
  <c r="AX239" i="2"/>
  <c r="AW239" i="2"/>
  <c r="AV239" i="2"/>
  <c r="AU239" i="2"/>
  <c r="AT239" i="2"/>
  <c r="AO239" i="2"/>
  <c r="AN239" i="2"/>
  <c r="AM239" i="2"/>
  <c r="AL239" i="2"/>
  <c r="AK239" i="2"/>
  <c r="AJ239" i="2"/>
  <c r="AI239" i="2"/>
  <c r="AH239" i="2"/>
  <c r="AG239" i="2"/>
  <c r="AF239" i="2"/>
  <c r="AE239" i="2"/>
  <c r="AD239" i="2"/>
  <c r="AC239" i="2"/>
  <c r="AB239" i="2"/>
  <c r="BF238" i="2"/>
  <c r="BE238" i="2"/>
  <c r="BD238" i="2"/>
  <c r="BC238" i="2"/>
  <c r="BB238" i="2"/>
  <c r="BA238" i="2"/>
  <c r="AZ238" i="2"/>
  <c r="AY238" i="2"/>
  <c r="AX238" i="2"/>
  <c r="AW238" i="2"/>
  <c r="AV238" i="2"/>
  <c r="AU238" i="2"/>
  <c r="AT238" i="2"/>
  <c r="AO238" i="2"/>
  <c r="AN238" i="2"/>
  <c r="AM238" i="2"/>
  <c r="AL238" i="2"/>
  <c r="AK238" i="2"/>
  <c r="AJ238" i="2"/>
  <c r="AI238" i="2"/>
  <c r="AH238" i="2"/>
  <c r="AG238" i="2"/>
  <c r="AF238" i="2"/>
  <c r="AE238" i="2"/>
  <c r="AD238" i="2"/>
  <c r="AC238" i="2"/>
  <c r="AB238" i="2"/>
  <c r="BF237" i="2"/>
  <c r="BE237" i="2"/>
  <c r="BD237" i="2"/>
  <c r="BC237" i="2"/>
  <c r="BB237" i="2"/>
  <c r="BA237" i="2"/>
  <c r="AZ237" i="2"/>
  <c r="AY237" i="2"/>
  <c r="AO237" i="2"/>
  <c r="AN237" i="2"/>
  <c r="AM237" i="2"/>
  <c r="AL237" i="2"/>
  <c r="AK237" i="2"/>
  <c r="AJ237" i="2"/>
  <c r="AI237" i="2"/>
  <c r="AH237" i="2"/>
  <c r="AG237" i="2"/>
  <c r="AF237" i="2"/>
  <c r="AE237" i="2"/>
  <c r="AD237" i="2"/>
  <c r="AC237" i="2"/>
  <c r="AB237" i="2"/>
  <c r="BF236" i="2"/>
  <c r="BE236" i="2"/>
  <c r="BD236" i="2"/>
  <c r="BC236" i="2"/>
  <c r="BB236" i="2"/>
  <c r="BA236" i="2"/>
  <c r="AZ236" i="2"/>
  <c r="AY236" i="2"/>
  <c r="AO236" i="2"/>
  <c r="AN236" i="2"/>
  <c r="AM236" i="2"/>
  <c r="AL236" i="2"/>
  <c r="AK236" i="2"/>
  <c r="AJ236" i="2"/>
  <c r="AI236" i="2"/>
  <c r="AH236" i="2"/>
  <c r="AG236" i="2"/>
  <c r="AF236" i="2"/>
  <c r="AE236" i="2"/>
  <c r="AD236" i="2"/>
  <c r="AC236" i="2"/>
  <c r="AB236" i="2"/>
  <c r="BF235" i="2"/>
  <c r="BE235" i="2"/>
  <c r="BD235" i="2"/>
  <c r="BC235" i="2"/>
  <c r="BB235" i="2"/>
  <c r="BA235" i="2"/>
  <c r="AZ235" i="2"/>
  <c r="AY235" i="2"/>
  <c r="AO235" i="2"/>
  <c r="AN235" i="2"/>
  <c r="AM235" i="2"/>
  <c r="AL235" i="2"/>
  <c r="AK235" i="2"/>
  <c r="AJ235" i="2"/>
  <c r="AI235" i="2"/>
  <c r="AH235" i="2"/>
  <c r="AG235" i="2"/>
  <c r="AF235" i="2"/>
  <c r="AE235" i="2"/>
  <c r="AD235" i="2"/>
  <c r="AC235" i="2"/>
  <c r="AB235" i="2"/>
  <c r="BF234" i="2"/>
  <c r="BE234" i="2"/>
  <c r="BD234" i="2"/>
  <c r="BC234" i="2"/>
  <c r="BB234" i="2"/>
  <c r="BA234" i="2"/>
  <c r="AZ234" i="2"/>
  <c r="AY234" i="2"/>
  <c r="AO234" i="2"/>
  <c r="AN234" i="2"/>
  <c r="AM234" i="2"/>
  <c r="AL234" i="2"/>
  <c r="AK234" i="2"/>
  <c r="AJ234" i="2"/>
  <c r="AI234" i="2"/>
  <c r="AH234" i="2"/>
  <c r="AG234" i="2"/>
  <c r="AF234" i="2"/>
  <c r="AE234" i="2"/>
  <c r="AD234" i="2"/>
  <c r="AC234" i="2"/>
  <c r="AB234" i="2"/>
  <c r="BF233" i="2"/>
  <c r="BE233" i="2"/>
  <c r="BD233" i="2"/>
  <c r="BC233" i="2"/>
  <c r="BB233" i="2"/>
  <c r="BA233" i="2"/>
  <c r="AZ233" i="2"/>
  <c r="AY233" i="2"/>
  <c r="AO233" i="2"/>
  <c r="AN233" i="2"/>
  <c r="AM233" i="2"/>
  <c r="AL233" i="2"/>
  <c r="AK233" i="2"/>
  <c r="AJ233" i="2"/>
  <c r="AI233" i="2"/>
  <c r="AH233" i="2"/>
  <c r="AG233" i="2"/>
  <c r="AF233" i="2"/>
  <c r="AE233" i="2"/>
  <c r="AD233" i="2"/>
  <c r="AC233" i="2"/>
  <c r="AB233" i="2"/>
  <c r="BF232" i="2"/>
  <c r="BE232" i="2"/>
  <c r="BD232" i="2"/>
  <c r="BC232" i="2"/>
  <c r="BB232" i="2"/>
  <c r="BA232" i="2"/>
  <c r="AZ232" i="2"/>
  <c r="AY232" i="2"/>
  <c r="AO232" i="2"/>
  <c r="AN232" i="2"/>
  <c r="AM232" i="2"/>
  <c r="AL232" i="2"/>
  <c r="AK232" i="2"/>
  <c r="AJ232" i="2"/>
  <c r="AI232" i="2"/>
  <c r="AH232" i="2"/>
  <c r="AG232" i="2"/>
  <c r="AF232" i="2"/>
  <c r="AE232" i="2"/>
  <c r="AD232" i="2"/>
  <c r="AC232" i="2"/>
  <c r="AB232" i="2"/>
  <c r="BF231" i="2"/>
  <c r="BE231" i="2"/>
  <c r="BD231" i="2"/>
  <c r="BC231" i="2"/>
  <c r="BB231" i="2"/>
  <c r="BA231" i="2"/>
  <c r="AZ231" i="2"/>
  <c r="AY231" i="2"/>
  <c r="AO231" i="2"/>
  <c r="AN231" i="2"/>
  <c r="AM231" i="2"/>
  <c r="AL231" i="2"/>
  <c r="AK231" i="2"/>
  <c r="AJ231" i="2"/>
  <c r="AI231" i="2"/>
  <c r="AH231" i="2"/>
  <c r="AG231" i="2"/>
  <c r="AF231" i="2"/>
  <c r="AE231" i="2"/>
  <c r="AD231" i="2"/>
  <c r="AC231" i="2"/>
  <c r="AB231" i="2"/>
  <c r="BF230" i="2"/>
  <c r="BE230" i="2"/>
  <c r="BD230" i="2"/>
  <c r="BC230" i="2"/>
  <c r="BB230" i="2"/>
  <c r="BA230" i="2"/>
  <c r="AZ230" i="2"/>
  <c r="AY230" i="2"/>
  <c r="AO230" i="2"/>
  <c r="AN230" i="2"/>
  <c r="AM230" i="2"/>
  <c r="AL230" i="2"/>
  <c r="AK230" i="2"/>
  <c r="AJ230" i="2"/>
  <c r="AI230" i="2"/>
  <c r="AH230" i="2"/>
  <c r="AG230" i="2"/>
  <c r="AF230" i="2"/>
  <c r="AE230" i="2"/>
  <c r="AD230" i="2"/>
  <c r="AC230" i="2"/>
  <c r="AB230" i="2"/>
  <c r="BF229" i="2"/>
  <c r="BE229" i="2"/>
  <c r="BD229" i="2"/>
  <c r="BC229" i="2"/>
  <c r="BB229" i="2"/>
  <c r="BA229" i="2"/>
  <c r="AZ229" i="2"/>
  <c r="AY229" i="2"/>
  <c r="AO229" i="2"/>
  <c r="AN229" i="2"/>
  <c r="AM229" i="2"/>
  <c r="AL229" i="2"/>
  <c r="AK229" i="2"/>
  <c r="AJ229" i="2"/>
  <c r="AI229" i="2"/>
  <c r="AH229" i="2"/>
  <c r="AG229" i="2"/>
  <c r="AF229" i="2"/>
  <c r="AE229" i="2"/>
  <c r="AD229" i="2"/>
  <c r="AC229" i="2"/>
  <c r="AB229" i="2"/>
  <c r="BF228" i="2"/>
  <c r="BE228" i="2"/>
  <c r="BD228" i="2"/>
  <c r="BC228" i="2"/>
  <c r="BB228" i="2"/>
  <c r="BA228" i="2"/>
  <c r="AZ228" i="2"/>
  <c r="AY228" i="2"/>
  <c r="AO228" i="2"/>
  <c r="AN228" i="2"/>
  <c r="AM228" i="2"/>
  <c r="AL228" i="2"/>
  <c r="AK228" i="2"/>
  <c r="AJ228" i="2"/>
  <c r="AI228" i="2"/>
  <c r="AH228" i="2"/>
  <c r="AG228" i="2"/>
  <c r="AF228" i="2"/>
  <c r="AE228" i="2"/>
  <c r="AD228" i="2"/>
  <c r="AC228" i="2"/>
  <c r="AB228" i="2"/>
  <c r="BF227" i="2"/>
  <c r="BE227" i="2"/>
  <c r="BD227" i="2"/>
  <c r="BC227" i="2"/>
  <c r="BB227" i="2"/>
  <c r="BA227" i="2"/>
  <c r="AZ227" i="2"/>
  <c r="AY227" i="2"/>
  <c r="AO227" i="2"/>
  <c r="AN227" i="2"/>
  <c r="AM227" i="2"/>
  <c r="AL227" i="2"/>
  <c r="AK227" i="2"/>
  <c r="AJ227" i="2"/>
  <c r="AI227" i="2"/>
  <c r="AH227" i="2"/>
  <c r="AG227" i="2"/>
  <c r="AF227" i="2"/>
  <c r="AE227" i="2"/>
  <c r="AD227" i="2"/>
  <c r="AC227" i="2"/>
  <c r="AB227" i="2"/>
  <c r="BF226" i="2"/>
  <c r="BE226" i="2"/>
  <c r="BD226" i="2"/>
  <c r="BC226" i="2"/>
  <c r="BB226" i="2"/>
  <c r="BA226" i="2"/>
  <c r="AZ226" i="2"/>
  <c r="AY226" i="2"/>
  <c r="AO226" i="2"/>
  <c r="AN226" i="2"/>
  <c r="AM226" i="2"/>
  <c r="AL226" i="2"/>
  <c r="AK226" i="2"/>
  <c r="AJ226" i="2"/>
  <c r="AI226" i="2"/>
  <c r="AH226" i="2"/>
  <c r="AG226" i="2"/>
  <c r="AF226" i="2"/>
  <c r="AE226" i="2"/>
  <c r="AD226" i="2"/>
  <c r="AC226" i="2"/>
  <c r="AB226" i="2"/>
  <c r="BF225" i="2"/>
  <c r="BE225" i="2"/>
  <c r="BD225" i="2"/>
  <c r="BC225" i="2"/>
  <c r="BB225" i="2"/>
  <c r="BA225" i="2"/>
  <c r="AZ225" i="2"/>
  <c r="AY225" i="2"/>
  <c r="AO225" i="2"/>
  <c r="AN225" i="2"/>
  <c r="AM225" i="2"/>
  <c r="AL225" i="2"/>
  <c r="AK225" i="2"/>
  <c r="AJ225" i="2"/>
  <c r="AI225" i="2"/>
  <c r="AH225" i="2"/>
  <c r="AG225" i="2"/>
  <c r="AF225" i="2"/>
  <c r="AE225" i="2"/>
  <c r="AD225" i="2"/>
  <c r="AC225" i="2"/>
  <c r="AB225" i="2"/>
  <c r="BF224" i="2"/>
  <c r="BE224" i="2"/>
  <c r="BD224" i="2"/>
  <c r="BC224" i="2"/>
  <c r="BB224" i="2"/>
  <c r="BA224" i="2"/>
  <c r="AZ224" i="2"/>
  <c r="AY224" i="2"/>
  <c r="AO224" i="2"/>
  <c r="AN224" i="2"/>
  <c r="AM224" i="2"/>
  <c r="AL224" i="2"/>
  <c r="AK224" i="2"/>
  <c r="AJ224" i="2"/>
  <c r="AI224" i="2"/>
  <c r="AH224" i="2"/>
  <c r="AG224" i="2"/>
  <c r="AF224" i="2"/>
  <c r="AE224" i="2"/>
  <c r="AD224" i="2"/>
  <c r="AC224" i="2"/>
  <c r="AB224" i="2"/>
  <c r="BF223" i="2"/>
  <c r="BE223" i="2"/>
  <c r="BD223" i="2"/>
  <c r="BC223" i="2"/>
  <c r="BB223" i="2"/>
  <c r="BA223" i="2"/>
  <c r="AZ223" i="2"/>
  <c r="AY223" i="2"/>
  <c r="AO223" i="2"/>
  <c r="AN223" i="2"/>
  <c r="AM223" i="2"/>
  <c r="AL223" i="2"/>
  <c r="AK223" i="2"/>
  <c r="AJ223" i="2"/>
  <c r="AI223" i="2"/>
  <c r="AH223" i="2"/>
  <c r="AG223" i="2"/>
  <c r="AF223" i="2"/>
  <c r="AE223" i="2"/>
  <c r="AD223" i="2"/>
  <c r="AC223" i="2"/>
  <c r="AB223" i="2"/>
  <c r="BF222" i="2"/>
  <c r="BE222" i="2"/>
  <c r="BD222" i="2"/>
  <c r="BC222" i="2"/>
  <c r="BB222" i="2"/>
  <c r="BA222" i="2"/>
  <c r="AZ222" i="2"/>
  <c r="AY222" i="2"/>
  <c r="AO222" i="2"/>
  <c r="AN222" i="2"/>
  <c r="AM222" i="2"/>
  <c r="AL222" i="2"/>
  <c r="AK222" i="2"/>
  <c r="AJ222" i="2"/>
  <c r="AI222" i="2"/>
  <c r="AH222" i="2"/>
  <c r="AG222" i="2"/>
  <c r="AF222" i="2"/>
  <c r="AE222" i="2"/>
  <c r="AD222" i="2"/>
  <c r="AC222" i="2"/>
  <c r="AB222" i="2"/>
  <c r="BF221" i="2"/>
  <c r="BE221" i="2"/>
  <c r="BD221" i="2"/>
  <c r="BC221" i="2"/>
  <c r="BB221" i="2"/>
  <c r="BA221" i="2"/>
  <c r="AZ221" i="2"/>
  <c r="AY221" i="2"/>
  <c r="AO221" i="2"/>
  <c r="AN221" i="2"/>
  <c r="AM221" i="2"/>
  <c r="AL221" i="2"/>
  <c r="AK221" i="2"/>
  <c r="AJ221" i="2"/>
  <c r="AI221" i="2"/>
  <c r="AH221" i="2"/>
  <c r="AG221" i="2"/>
  <c r="AF221" i="2"/>
  <c r="AE221" i="2"/>
  <c r="AD221" i="2"/>
  <c r="AC221" i="2"/>
  <c r="AB221" i="2"/>
  <c r="BF220" i="2"/>
  <c r="BE220" i="2"/>
  <c r="BD220" i="2"/>
  <c r="BC220" i="2"/>
  <c r="BB220" i="2"/>
  <c r="BA220" i="2"/>
  <c r="AZ220" i="2"/>
  <c r="AY220" i="2"/>
  <c r="AO220" i="2"/>
  <c r="AN220" i="2"/>
  <c r="AM220" i="2"/>
  <c r="AL220" i="2"/>
  <c r="AK220" i="2"/>
  <c r="AJ220" i="2"/>
  <c r="AI220" i="2"/>
  <c r="AH220" i="2"/>
  <c r="AG220" i="2"/>
  <c r="AF220" i="2"/>
  <c r="AE220" i="2"/>
  <c r="AD220" i="2"/>
  <c r="AC220" i="2"/>
  <c r="AB220" i="2"/>
  <c r="BF219" i="2"/>
  <c r="BE219" i="2"/>
  <c r="BD219" i="2"/>
  <c r="BC219" i="2"/>
  <c r="BB219" i="2"/>
  <c r="BA219" i="2"/>
  <c r="AZ219" i="2"/>
  <c r="AY219" i="2"/>
  <c r="AO219" i="2"/>
  <c r="AN219" i="2"/>
  <c r="AM219" i="2"/>
  <c r="AL219" i="2"/>
  <c r="AK219" i="2"/>
  <c r="AJ219" i="2"/>
  <c r="AI219" i="2"/>
  <c r="AH219" i="2"/>
  <c r="AG219" i="2"/>
  <c r="AF219" i="2"/>
  <c r="AE219" i="2"/>
  <c r="AD219" i="2"/>
  <c r="AC219" i="2"/>
  <c r="AB219" i="2"/>
  <c r="BF218" i="2"/>
  <c r="BE218" i="2"/>
  <c r="BD218" i="2"/>
  <c r="BC218" i="2"/>
  <c r="BB218" i="2"/>
  <c r="BA218" i="2"/>
  <c r="AZ218" i="2"/>
  <c r="AY218" i="2"/>
  <c r="AO218" i="2"/>
  <c r="AN218" i="2"/>
  <c r="AM218" i="2"/>
  <c r="AL218" i="2"/>
  <c r="AK218" i="2"/>
  <c r="AJ218" i="2"/>
  <c r="AI218" i="2"/>
  <c r="AH218" i="2"/>
  <c r="AG218" i="2"/>
  <c r="AF218" i="2"/>
  <c r="AE218" i="2"/>
  <c r="AD218" i="2"/>
  <c r="AC218" i="2"/>
  <c r="AB218" i="2"/>
  <c r="BF217" i="2"/>
  <c r="BE217" i="2"/>
  <c r="BD217" i="2"/>
  <c r="BC217" i="2"/>
  <c r="BB217" i="2"/>
  <c r="BA217" i="2"/>
  <c r="AZ217" i="2"/>
  <c r="AY217" i="2"/>
  <c r="AO217" i="2"/>
  <c r="AN217" i="2"/>
  <c r="AM217" i="2"/>
  <c r="AL217" i="2"/>
  <c r="AK217" i="2"/>
  <c r="AJ217" i="2"/>
  <c r="AI217" i="2"/>
  <c r="AH217" i="2"/>
  <c r="AG217" i="2"/>
  <c r="AF217" i="2"/>
  <c r="AE217" i="2"/>
  <c r="AD217" i="2"/>
  <c r="AC217" i="2"/>
  <c r="AB217" i="2"/>
  <c r="BF216" i="2"/>
  <c r="BE216" i="2"/>
  <c r="BD216" i="2"/>
  <c r="BC216" i="2"/>
  <c r="BB216" i="2"/>
  <c r="BA216" i="2"/>
  <c r="AZ216" i="2"/>
  <c r="AY216" i="2"/>
  <c r="AO216" i="2"/>
  <c r="AN216" i="2"/>
  <c r="AM216" i="2"/>
  <c r="AL216" i="2"/>
  <c r="AK216" i="2"/>
  <c r="AJ216" i="2"/>
  <c r="AI216" i="2"/>
  <c r="AH216" i="2"/>
  <c r="AG216" i="2"/>
  <c r="AF216" i="2"/>
  <c r="AE216" i="2"/>
  <c r="AD216" i="2"/>
  <c r="AC216" i="2"/>
  <c r="AB216" i="2"/>
  <c r="BF215" i="2"/>
  <c r="BE215" i="2"/>
  <c r="BD215" i="2"/>
  <c r="BC215" i="2"/>
  <c r="BB215" i="2"/>
  <c r="BA215" i="2"/>
  <c r="AZ215" i="2"/>
  <c r="AY215" i="2"/>
  <c r="AO215" i="2"/>
  <c r="AN215" i="2"/>
  <c r="AM215" i="2"/>
  <c r="AL215" i="2"/>
  <c r="AK215" i="2"/>
  <c r="AJ215" i="2"/>
  <c r="AI215" i="2"/>
  <c r="AH215" i="2"/>
  <c r="AG215" i="2"/>
  <c r="AF215" i="2"/>
  <c r="AE215" i="2"/>
  <c r="AD215" i="2"/>
  <c r="AC215" i="2"/>
  <c r="AB215" i="2"/>
  <c r="BF214" i="2"/>
  <c r="BE214" i="2"/>
  <c r="BD214" i="2"/>
  <c r="BC214" i="2"/>
  <c r="BB214" i="2"/>
  <c r="BA214" i="2"/>
  <c r="AZ214" i="2"/>
  <c r="AY214" i="2"/>
  <c r="AO214" i="2"/>
  <c r="AN214" i="2"/>
  <c r="AM214" i="2"/>
  <c r="AL214" i="2"/>
  <c r="AK214" i="2"/>
  <c r="AJ214" i="2"/>
  <c r="AI214" i="2"/>
  <c r="AH214" i="2"/>
  <c r="AG214" i="2"/>
  <c r="AF214" i="2"/>
  <c r="AE214" i="2"/>
  <c r="AD214" i="2"/>
  <c r="AC214" i="2"/>
  <c r="AB214" i="2"/>
  <c r="BF213" i="2"/>
  <c r="BE213" i="2"/>
  <c r="BD213" i="2"/>
  <c r="BC213" i="2"/>
  <c r="BB213" i="2"/>
  <c r="BA213" i="2"/>
  <c r="AZ213" i="2"/>
  <c r="AY213" i="2"/>
  <c r="AO213" i="2"/>
  <c r="AN213" i="2"/>
  <c r="AM213" i="2"/>
  <c r="AL213" i="2"/>
  <c r="AK213" i="2"/>
  <c r="AJ213" i="2"/>
  <c r="AI213" i="2"/>
  <c r="AH213" i="2"/>
  <c r="AG213" i="2"/>
  <c r="AF213" i="2"/>
  <c r="AE213" i="2"/>
  <c r="AD213" i="2"/>
  <c r="AC213" i="2"/>
  <c r="AB213" i="2"/>
  <c r="BF212" i="2"/>
  <c r="BE212" i="2"/>
  <c r="BD212" i="2"/>
  <c r="BC212" i="2"/>
  <c r="BB212" i="2"/>
  <c r="BA212" i="2"/>
  <c r="AZ212" i="2"/>
  <c r="AY212" i="2"/>
  <c r="AX212" i="2"/>
  <c r="AW212" i="2"/>
  <c r="AV212" i="2"/>
  <c r="AU212" i="2"/>
  <c r="AT212" i="2"/>
  <c r="AO212" i="2"/>
  <c r="AN212" i="2"/>
  <c r="AM212" i="2"/>
  <c r="AL212" i="2"/>
  <c r="AK212" i="2"/>
  <c r="AJ212" i="2"/>
  <c r="AI212" i="2"/>
  <c r="AH212" i="2"/>
  <c r="AG212" i="2"/>
  <c r="AF212" i="2"/>
  <c r="AE212" i="2"/>
  <c r="AD212" i="2"/>
  <c r="AC212" i="2"/>
  <c r="AB212" i="2"/>
  <c r="BF211" i="2"/>
  <c r="BE211" i="2"/>
  <c r="BD211" i="2"/>
  <c r="BC211" i="2"/>
  <c r="BB211" i="2"/>
  <c r="BA211" i="2"/>
  <c r="AZ211" i="2"/>
  <c r="AY211" i="2"/>
  <c r="AX211" i="2"/>
  <c r="AW211" i="2"/>
  <c r="AV211" i="2"/>
  <c r="AU211" i="2"/>
  <c r="AT211" i="2"/>
  <c r="AO211" i="2"/>
  <c r="AN211" i="2"/>
  <c r="AM211" i="2"/>
  <c r="AL211" i="2"/>
  <c r="AK211" i="2"/>
  <c r="AJ211" i="2"/>
  <c r="AI211" i="2"/>
  <c r="AH211" i="2"/>
  <c r="AG211" i="2"/>
  <c r="AF211" i="2"/>
  <c r="AE211" i="2"/>
  <c r="AD211" i="2"/>
  <c r="AC211" i="2"/>
  <c r="AB211" i="2"/>
  <c r="BF210" i="2"/>
  <c r="BE210" i="2"/>
  <c r="BD210" i="2"/>
  <c r="BC210" i="2"/>
  <c r="BB210" i="2"/>
  <c r="BA210" i="2"/>
  <c r="AZ210" i="2"/>
  <c r="AY210" i="2"/>
  <c r="AO210" i="2"/>
  <c r="AN210" i="2"/>
  <c r="AM210" i="2"/>
  <c r="AL210" i="2"/>
  <c r="AK210" i="2"/>
  <c r="AJ210" i="2"/>
  <c r="AI210" i="2"/>
  <c r="AH210" i="2"/>
  <c r="AG210" i="2"/>
  <c r="AF210" i="2"/>
  <c r="AE210" i="2"/>
  <c r="AD210" i="2"/>
  <c r="AC210" i="2"/>
  <c r="AB210" i="2"/>
  <c r="BF209" i="2"/>
  <c r="BE209" i="2"/>
  <c r="BD209" i="2"/>
  <c r="BC209" i="2"/>
  <c r="BB209" i="2"/>
  <c r="BA209" i="2"/>
  <c r="AZ209" i="2"/>
  <c r="AY209" i="2"/>
  <c r="AO209" i="2"/>
  <c r="AN209" i="2"/>
  <c r="AM209" i="2"/>
  <c r="AL209" i="2"/>
  <c r="AK209" i="2"/>
  <c r="AJ209" i="2"/>
  <c r="AI209" i="2"/>
  <c r="AH209" i="2"/>
  <c r="AG209" i="2"/>
  <c r="AF209" i="2"/>
  <c r="AE209" i="2"/>
  <c r="AD209" i="2"/>
  <c r="AC209" i="2"/>
  <c r="AB209" i="2"/>
  <c r="BF208" i="2"/>
  <c r="BE208" i="2"/>
  <c r="BD208" i="2"/>
  <c r="BC208" i="2"/>
  <c r="BB208" i="2"/>
  <c r="BA208" i="2"/>
  <c r="AZ208" i="2"/>
  <c r="AY208" i="2"/>
  <c r="AO208" i="2"/>
  <c r="AN208" i="2"/>
  <c r="AM208" i="2"/>
  <c r="AL208" i="2"/>
  <c r="AK208" i="2"/>
  <c r="AJ208" i="2"/>
  <c r="AI208" i="2"/>
  <c r="AH208" i="2"/>
  <c r="AG208" i="2"/>
  <c r="AF208" i="2"/>
  <c r="AE208" i="2"/>
  <c r="AD208" i="2"/>
  <c r="AC208" i="2"/>
  <c r="AB208" i="2"/>
  <c r="BF207" i="2"/>
  <c r="BE207" i="2"/>
  <c r="BD207" i="2"/>
  <c r="BC207" i="2"/>
  <c r="BB207" i="2"/>
  <c r="BA207" i="2"/>
  <c r="AZ207" i="2"/>
  <c r="AY207" i="2"/>
  <c r="AO207" i="2"/>
  <c r="AN207" i="2"/>
  <c r="AM207" i="2"/>
  <c r="AL207" i="2"/>
  <c r="AK207" i="2"/>
  <c r="AJ207" i="2"/>
  <c r="AI207" i="2"/>
  <c r="AH207" i="2"/>
  <c r="AG207" i="2"/>
  <c r="AF207" i="2"/>
  <c r="AE207" i="2"/>
  <c r="AD207" i="2"/>
  <c r="AC207" i="2"/>
  <c r="AB207" i="2"/>
  <c r="BF206" i="2"/>
  <c r="BE206" i="2"/>
  <c r="BD206" i="2"/>
  <c r="BC206" i="2"/>
  <c r="BB206" i="2"/>
  <c r="BA206" i="2"/>
  <c r="AZ206" i="2"/>
  <c r="AY206" i="2"/>
  <c r="AO206" i="2"/>
  <c r="AN206" i="2"/>
  <c r="AM206" i="2"/>
  <c r="AL206" i="2"/>
  <c r="AK206" i="2"/>
  <c r="AJ206" i="2"/>
  <c r="AI206" i="2"/>
  <c r="AH206" i="2"/>
  <c r="AG206" i="2"/>
  <c r="AF206" i="2"/>
  <c r="AE206" i="2"/>
  <c r="AD206" i="2"/>
  <c r="AC206" i="2"/>
  <c r="AB206" i="2"/>
  <c r="BF205" i="2"/>
  <c r="BE205" i="2"/>
  <c r="BD205" i="2"/>
  <c r="BC205" i="2"/>
  <c r="BB205" i="2"/>
  <c r="BA205" i="2"/>
  <c r="AZ205" i="2"/>
  <c r="AY205" i="2"/>
  <c r="AO205" i="2"/>
  <c r="AN205" i="2"/>
  <c r="AM205" i="2"/>
  <c r="AL205" i="2"/>
  <c r="AK205" i="2"/>
  <c r="AJ205" i="2"/>
  <c r="AI205" i="2"/>
  <c r="AH205" i="2"/>
  <c r="AG205" i="2"/>
  <c r="AF205" i="2"/>
  <c r="AE205" i="2"/>
  <c r="AD205" i="2"/>
  <c r="AC205" i="2"/>
  <c r="AB205" i="2"/>
  <c r="BF204" i="2"/>
  <c r="BE204" i="2"/>
  <c r="BD204" i="2"/>
  <c r="BC204" i="2"/>
  <c r="BB204" i="2"/>
  <c r="BA204" i="2"/>
  <c r="AZ204" i="2"/>
  <c r="AY204" i="2"/>
  <c r="AO204" i="2"/>
  <c r="AN204" i="2"/>
  <c r="AM204" i="2"/>
  <c r="AL204" i="2"/>
  <c r="AK204" i="2"/>
  <c r="AJ204" i="2"/>
  <c r="AI204" i="2"/>
  <c r="AH204" i="2"/>
  <c r="AG204" i="2"/>
  <c r="AF204" i="2"/>
  <c r="AE204" i="2"/>
  <c r="AD204" i="2"/>
  <c r="AC204" i="2"/>
  <c r="AB204" i="2"/>
  <c r="BF203" i="2"/>
  <c r="BE203" i="2"/>
  <c r="BD203" i="2"/>
  <c r="BC203" i="2"/>
  <c r="BB203" i="2"/>
  <c r="BA203" i="2"/>
  <c r="AZ203" i="2"/>
  <c r="AY203" i="2"/>
  <c r="AO203" i="2"/>
  <c r="AN203" i="2"/>
  <c r="AM203" i="2"/>
  <c r="AL203" i="2"/>
  <c r="AK203" i="2"/>
  <c r="AJ203" i="2"/>
  <c r="AI203" i="2"/>
  <c r="AH203" i="2"/>
  <c r="AG203" i="2"/>
  <c r="AF203" i="2"/>
  <c r="AE203" i="2"/>
  <c r="AD203" i="2"/>
  <c r="AC203" i="2"/>
  <c r="AB203" i="2"/>
  <c r="BF202" i="2"/>
  <c r="BE202" i="2"/>
  <c r="BD202" i="2"/>
  <c r="BC202" i="2"/>
  <c r="BB202" i="2"/>
  <c r="BA202" i="2"/>
  <c r="AZ202" i="2"/>
  <c r="AY202" i="2"/>
  <c r="AO202" i="2"/>
  <c r="AN202" i="2"/>
  <c r="AM202" i="2"/>
  <c r="AL202" i="2"/>
  <c r="AK202" i="2"/>
  <c r="AJ202" i="2"/>
  <c r="AI202" i="2"/>
  <c r="AH202" i="2"/>
  <c r="AG202" i="2"/>
  <c r="AF202" i="2"/>
  <c r="AE202" i="2"/>
  <c r="AD202" i="2"/>
  <c r="AC202" i="2"/>
  <c r="AB202" i="2"/>
  <c r="BF201" i="2"/>
  <c r="BE201" i="2"/>
  <c r="BD201" i="2"/>
  <c r="BC201" i="2"/>
  <c r="BB201" i="2"/>
  <c r="BA201" i="2"/>
  <c r="AZ201" i="2"/>
  <c r="AY201" i="2"/>
  <c r="AO201" i="2"/>
  <c r="AN201" i="2"/>
  <c r="AM201" i="2"/>
  <c r="AL201" i="2"/>
  <c r="AK201" i="2"/>
  <c r="AJ201" i="2"/>
  <c r="AI201" i="2"/>
  <c r="AH201" i="2"/>
  <c r="AG201" i="2"/>
  <c r="AF201" i="2"/>
  <c r="AE201" i="2"/>
  <c r="AD201" i="2"/>
  <c r="AC201" i="2"/>
  <c r="AB201" i="2"/>
  <c r="BF200" i="2"/>
  <c r="BE200" i="2"/>
  <c r="BD200" i="2"/>
  <c r="BC200" i="2"/>
  <c r="BB200" i="2"/>
  <c r="BA200" i="2"/>
  <c r="AZ200" i="2"/>
  <c r="AY200" i="2"/>
  <c r="AO200" i="2"/>
  <c r="AN200" i="2"/>
  <c r="AM200" i="2"/>
  <c r="AL200" i="2"/>
  <c r="AK200" i="2"/>
  <c r="AJ200" i="2"/>
  <c r="AI200" i="2"/>
  <c r="AH200" i="2"/>
  <c r="AG200" i="2"/>
  <c r="AF200" i="2"/>
  <c r="AE200" i="2"/>
  <c r="AD200" i="2"/>
  <c r="AC200" i="2"/>
  <c r="AB200" i="2"/>
  <c r="BF199" i="2"/>
  <c r="BE199" i="2"/>
  <c r="BD199" i="2"/>
  <c r="BC199" i="2"/>
  <c r="BB199" i="2"/>
  <c r="BA199" i="2"/>
  <c r="AZ199" i="2"/>
  <c r="AY199" i="2"/>
  <c r="AX199" i="2"/>
  <c r="AW199" i="2"/>
  <c r="AV199" i="2"/>
  <c r="AU199" i="2"/>
  <c r="AT199" i="2"/>
  <c r="AO199" i="2"/>
  <c r="AN199" i="2"/>
  <c r="AM199" i="2"/>
  <c r="AL199" i="2"/>
  <c r="AK199" i="2"/>
  <c r="AJ199" i="2"/>
  <c r="AI199" i="2"/>
  <c r="AH199" i="2"/>
  <c r="AG199" i="2"/>
  <c r="AF199" i="2"/>
  <c r="AE199" i="2"/>
  <c r="AD199" i="2"/>
  <c r="AC199" i="2"/>
  <c r="AB199" i="2"/>
  <c r="BF198" i="2"/>
  <c r="BE198" i="2"/>
  <c r="BD198" i="2"/>
  <c r="BC198" i="2"/>
  <c r="BB198" i="2"/>
  <c r="BA198" i="2"/>
  <c r="AZ198" i="2"/>
  <c r="AY198" i="2"/>
  <c r="AX198" i="2"/>
  <c r="AW198" i="2"/>
  <c r="AV198" i="2"/>
  <c r="AU198" i="2"/>
  <c r="AT198" i="2"/>
  <c r="AO198" i="2"/>
  <c r="AN198" i="2"/>
  <c r="AM198" i="2"/>
  <c r="AL198" i="2"/>
  <c r="AK198" i="2"/>
  <c r="AJ198" i="2"/>
  <c r="AI198" i="2"/>
  <c r="AH198" i="2"/>
  <c r="AG198" i="2"/>
  <c r="AF198" i="2"/>
  <c r="AE198" i="2"/>
  <c r="AD198" i="2"/>
  <c r="AC198" i="2"/>
  <c r="AB198" i="2"/>
  <c r="BF197" i="2"/>
  <c r="BE197" i="2"/>
  <c r="BD197" i="2"/>
  <c r="BC197" i="2"/>
  <c r="BB197" i="2"/>
  <c r="BA197" i="2"/>
  <c r="AZ197" i="2"/>
  <c r="AY197" i="2"/>
  <c r="AO197" i="2"/>
  <c r="AN197" i="2"/>
  <c r="AM197" i="2"/>
  <c r="AL197" i="2"/>
  <c r="AK197" i="2"/>
  <c r="AJ197" i="2"/>
  <c r="AI197" i="2"/>
  <c r="AH197" i="2"/>
  <c r="AG197" i="2"/>
  <c r="AF197" i="2"/>
  <c r="AE197" i="2"/>
  <c r="AD197" i="2"/>
  <c r="AC197" i="2"/>
  <c r="AB197" i="2"/>
  <c r="BF196" i="2"/>
  <c r="BE196" i="2"/>
  <c r="BD196" i="2"/>
  <c r="BC196" i="2"/>
  <c r="BB196" i="2"/>
  <c r="BA196" i="2"/>
  <c r="AZ196" i="2"/>
  <c r="AY196" i="2"/>
  <c r="AO196" i="2"/>
  <c r="AN196" i="2"/>
  <c r="AM196" i="2"/>
  <c r="AL196" i="2"/>
  <c r="AK196" i="2"/>
  <c r="AJ196" i="2"/>
  <c r="AI196" i="2"/>
  <c r="AH196" i="2"/>
  <c r="AG196" i="2"/>
  <c r="AF196" i="2"/>
  <c r="AE196" i="2"/>
  <c r="AD196" i="2"/>
  <c r="AC196" i="2"/>
  <c r="AB196" i="2"/>
  <c r="BF195" i="2"/>
  <c r="BE195" i="2"/>
  <c r="BD195" i="2"/>
  <c r="BC195" i="2"/>
  <c r="BB195" i="2"/>
  <c r="BA195" i="2"/>
  <c r="AZ195" i="2"/>
  <c r="AY195" i="2"/>
  <c r="AO195" i="2"/>
  <c r="AN195" i="2"/>
  <c r="AM195" i="2"/>
  <c r="AL195" i="2"/>
  <c r="AK195" i="2"/>
  <c r="AJ195" i="2"/>
  <c r="AI195" i="2"/>
  <c r="AH195" i="2"/>
  <c r="AG195" i="2"/>
  <c r="AF195" i="2"/>
  <c r="AE195" i="2"/>
  <c r="AD195" i="2"/>
  <c r="AC195" i="2"/>
  <c r="AB195" i="2"/>
  <c r="BF194" i="2"/>
  <c r="BE194" i="2"/>
  <c r="BD194" i="2"/>
  <c r="BC194" i="2"/>
  <c r="BB194" i="2"/>
  <c r="BA194" i="2"/>
  <c r="AZ194" i="2"/>
  <c r="AY194" i="2"/>
  <c r="AO194" i="2"/>
  <c r="AN194" i="2"/>
  <c r="AM194" i="2"/>
  <c r="AL194" i="2"/>
  <c r="AK194" i="2"/>
  <c r="AJ194" i="2"/>
  <c r="AI194" i="2"/>
  <c r="AH194" i="2"/>
  <c r="AG194" i="2"/>
  <c r="AF194" i="2"/>
  <c r="AE194" i="2"/>
  <c r="AD194" i="2"/>
  <c r="AC194" i="2"/>
  <c r="AB194" i="2"/>
  <c r="BF193" i="2"/>
  <c r="BE193" i="2"/>
  <c r="BD193" i="2"/>
  <c r="BC193" i="2"/>
  <c r="BB193" i="2"/>
  <c r="BA193" i="2"/>
  <c r="AZ193" i="2"/>
  <c r="AY193" i="2"/>
  <c r="AO193" i="2"/>
  <c r="AN193" i="2"/>
  <c r="AM193" i="2"/>
  <c r="AL193" i="2"/>
  <c r="AK193" i="2"/>
  <c r="AJ193" i="2"/>
  <c r="AI193" i="2"/>
  <c r="AH193" i="2"/>
  <c r="AG193" i="2"/>
  <c r="AF193" i="2"/>
  <c r="AE193" i="2"/>
  <c r="AD193" i="2"/>
  <c r="AC193" i="2"/>
  <c r="AB193" i="2"/>
  <c r="BF192" i="2"/>
  <c r="BE192" i="2"/>
  <c r="BD192" i="2"/>
  <c r="BC192" i="2"/>
  <c r="BB192" i="2"/>
  <c r="BA192" i="2"/>
  <c r="AZ192" i="2"/>
  <c r="AY192" i="2"/>
  <c r="AO192" i="2"/>
  <c r="AN192" i="2"/>
  <c r="AM192" i="2"/>
  <c r="AL192" i="2"/>
  <c r="AK192" i="2"/>
  <c r="AJ192" i="2"/>
  <c r="AI192" i="2"/>
  <c r="AH192" i="2"/>
  <c r="AG192" i="2"/>
  <c r="AF192" i="2"/>
  <c r="AE192" i="2"/>
  <c r="AD192" i="2"/>
  <c r="AC192" i="2"/>
  <c r="AB192" i="2"/>
  <c r="BF191" i="2"/>
  <c r="BE191" i="2"/>
  <c r="BD191" i="2"/>
  <c r="BC191" i="2"/>
  <c r="BB191" i="2"/>
  <c r="BA191" i="2"/>
  <c r="AZ191" i="2"/>
  <c r="AY191" i="2"/>
  <c r="AO191" i="2"/>
  <c r="AN191" i="2"/>
  <c r="AM191" i="2"/>
  <c r="AL191" i="2"/>
  <c r="AK191" i="2"/>
  <c r="AJ191" i="2"/>
  <c r="AI191" i="2"/>
  <c r="AH191" i="2"/>
  <c r="AG191" i="2"/>
  <c r="AF191" i="2"/>
  <c r="AE191" i="2"/>
  <c r="AD191" i="2"/>
  <c r="AC191" i="2"/>
  <c r="AB191" i="2"/>
  <c r="BF190" i="2"/>
  <c r="BE190" i="2"/>
  <c r="BD190" i="2"/>
  <c r="BC190" i="2"/>
  <c r="BB190" i="2"/>
  <c r="BA190" i="2"/>
  <c r="AZ190" i="2"/>
  <c r="AY190" i="2"/>
  <c r="AO190" i="2"/>
  <c r="AN190" i="2"/>
  <c r="AM190" i="2"/>
  <c r="AL190" i="2"/>
  <c r="AK190" i="2"/>
  <c r="AJ190" i="2"/>
  <c r="AI190" i="2"/>
  <c r="AH190" i="2"/>
  <c r="AG190" i="2"/>
  <c r="AF190" i="2"/>
  <c r="AE190" i="2"/>
  <c r="AD190" i="2"/>
  <c r="AC190" i="2"/>
  <c r="AB190" i="2"/>
  <c r="BF189" i="2"/>
  <c r="BE189" i="2"/>
  <c r="BD189" i="2"/>
  <c r="BC189" i="2"/>
  <c r="BB189" i="2"/>
  <c r="BA189" i="2"/>
  <c r="AZ189" i="2"/>
  <c r="AY189" i="2"/>
  <c r="AO189" i="2"/>
  <c r="AN189" i="2"/>
  <c r="AM189" i="2"/>
  <c r="AL189" i="2"/>
  <c r="AK189" i="2"/>
  <c r="AJ189" i="2"/>
  <c r="AI189" i="2"/>
  <c r="AH189" i="2"/>
  <c r="AG189" i="2"/>
  <c r="AF189" i="2"/>
  <c r="AE189" i="2"/>
  <c r="AD189" i="2"/>
  <c r="AC189" i="2"/>
  <c r="AB189" i="2"/>
  <c r="BF188" i="2"/>
  <c r="BE188" i="2"/>
  <c r="BD188" i="2"/>
  <c r="BC188" i="2"/>
  <c r="BB188" i="2"/>
  <c r="BA188" i="2"/>
  <c r="AZ188" i="2"/>
  <c r="AY188" i="2"/>
  <c r="AO188" i="2"/>
  <c r="AN188" i="2"/>
  <c r="AM188" i="2"/>
  <c r="AL188" i="2"/>
  <c r="AK188" i="2"/>
  <c r="AJ188" i="2"/>
  <c r="AI188" i="2"/>
  <c r="AH188" i="2"/>
  <c r="AG188" i="2"/>
  <c r="AF188" i="2"/>
  <c r="AE188" i="2"/>
  <c r="AD188" i="2"/>
  <c r="AC188" i="2"/>
  <c r="AB188" i="2"/>
  <c r="BF187" i="2"/>
  <c r="BE187" i="2"/>
  <c r="BD187" i="2"/>
  <c r="BC187" i="2"/>
  <c r="BB187" i="2"/>
  <c r="BA187" i="2"/>
  <c r="AZ187" i="2"/>
  <c r="AY187" i="2"/>
  <c r="AO187" i="2"/>
  <c r="AN187" i="2"/>
  <c r="AM187" i="2"/>
  <c r="AL187" i="2"/>
  <c r="AK187" i="2"/>
  <c r="AJ187" i="2"/>
  <c r="AI187" i="2"/>
  <c r="AH187" i="2"/>
  <c r="AG187" i="2"/>
  <c r="AF187" i="2"/>
  <c r="AE187" i="2"/>
  <c r="AD187" i="2"/>
  <c r="AC187" i="2"/>
  <c r="AB187" i="2"/>
  <c r="BF186" i="2"/>
  <c r="BE186" i="2"/>
  <c r="BD186" i="2"/>
  <c r="BC186" i="2"/>
  <c r="BB186" i="2"/>
  <c r="BA186" i="2"/>
  <c r="AZ186" i="2"/>
  <c r="AY186" i="2"/>
  <c r="AX186" i="2"/>
  <c r="AW186" i="2"/>
  <c r="AV186" i="2"/>
  <c r="AU186" i="2"/>
  <c r="AT186" i="2"/>
  <c r="AO186" i="2"/>
  <c r="AN186" i="2"/>
  <c r="AM186" i="2"/>
  <c r="AL186" i="2"/>
  <c r="AK186" i="2"/>
  <c r="AJ186" i="2"/>
  <c r="AI186" i="2"/>
  <c r="AH186" i="2"/>
  <c r="AG186" i="2"/>
  <c r="AF186" i="2"/>
  <c r="AE186" i="2"/>
  <c r="AD186" i="2"/>
  <c r="AC186" i="2"/>
  <c r="AB186" i="2"/>
  <c r="BF185" i="2"/>
  <c r="BE185" i="2"/>
  <c r="BD185" i="2"/>
  <c r="BC185" i="2"/>
  <c r="BB185" i="2"/>
  <c r="BA185" i="2"/>
  <c r="AZ185" i="2"/>
  <c r="AY185" i="2"/>
  <c r="AO185" i="2"/>
  <c r="AN185" i="2"/>
  <c r="AM185" i="2"/>
  <c r="AL185" i="2"/>
  <c r="AK185" i="2"/>
  <c r="AJ185" i="2"/>
  <c r="AI185" i="2"/>
  <c r="AH185" i="2"/>
  <c r="AG185" i="2"/>
  <c r="AF185" i="2"/>
  <c r="AE185" i="2"/>
  <c r="AD185" i="2"/>
  <c r="AC185" i="2"/>
  <c r="AB185" i="2"/>
  <c r="BF184" i="2"/>
  <c r="BE184" i="2"/>
  <c r="BD184" i="2"/>
  <c r="BC184" i="2"/>
  <c r="BB184" i="2"/>
  <c r="BA184" i="2"/>
  <c r="AZ184" i="2"/>
  <c r="AY184" i="2"/>
  <c r="AX184" i="2"/>
  <c r="AW184" i="2"/>
  <c r="AV184" i="2"/>
  <c r="AU184" i="2"/>
  <c r="AT184" i="2"/>
  <c r="AO184" i="2"/>
  <c r="AN184" i="2"/>
  <c r="AM184" i="2"/>
  <c r="AL184" i="2"/>
  <c r="AK184" i="2"/>
  <c r="AJ184" i="2"/>
  <c r="AI184" i="2"/>
  <c r="AH184" i="2"/>
  <c r="AG184" i="2"/>
  <c r="AF184" i="2"/>
  <c r="AE184" i="2"/>
  <c r="AD184" i="2"/>
  <c r="AC184" i="2"/>
  <c r="AB184" i="2"/>
  <c r="BF183" i="2"/>
  <c r="BE183" i="2"/>
  <c r="BD183" i="2"/>
  <c r="BC183" i="2"/>
  <c r="BB183" i="2"/>
  <c r="BA183" i="2"/>
  <c r="AZ183" i="2"/>
  <c r="AY183" i="2"/>
  <c r="AO183" i="2"/>
  <c r="AN183" i="2"/>
  <c r="AM183" i="2"/>
  <c r="AL183" i="2"/>
  <c r="AK183" i="2"/>
  <c r="AJ183" i="2"/>
  <c r="AI183" i="2"/>
  <c r="AH183" i="2"/>
  <c r="AG183" i="2"/>
  <c r="AF183" i="2"/>
  <c r="AE183" i="2"/>
  <c r="AD183" i="2"/>
  <c r="AC183" i="2"/>
  <c r="AB183" i="2"/>
  <c r="BF182" i="2"/>
  <c r="BE182" i="2"/>
  <c r="BD182" i="2"/>
  <c r="BC182" i="2"/>
  <c r="BB182" i="2"/>
  <c r="BA182" i="2"/>
  <c r="AZ182" i="2"/>
  <c r="AY182" i="2"/>
  <c r="AX182" i="2"/>
  <c r="AW182" i="2"/>
  <c r="AV182" i="2"/>
  <c r="AU182" i="2"/>
  <c r="AT182" i="2"/>
  <c r="AO182" i="2"/>
  <c r="AN182" i="2"/>
  <c r="AM182" i="2"/>
  <c r="AL182" i="2"/>
  <c r="AK182" i="2"/>
  <c r="AJ182" i="2"/>
  <c r="AI182" i="2"/>
  <c r="AH182" i="2"/>
  <c r="AG182" i="2"/>
  <c r="AF182" i="2"/>
  <c r="AE182" i="2"/>
  <c r="AD182" i="2"/>
  <c r="AC182" i="2"/>
  <c r="AB182" i="2"/>
  <c r="BF181" i="2"/>
  <c r="BE181" i="2"/>
  <c r="BD181" i="2"/>
  <c r="BC181" i="2"/>
  <c r="BB181" i="2"/>
  <c r="BA181" i="2"/>
  <c r="AZ181" i="2"/>
  <c r="AY181" i="2"/>
  <c r="AX181" i="2"/>
  <c r="AW181" i="2"/>
  <c r="AV181" i="2"/>
  <c r="AU181" i="2"/>
  <c r="AT181" i="2"/>
  <c r="AO181" i="2"/>
  <c r="AN181" i="2"/>
  <c r="AM181" i="2"/>
  <c r="AL181" i="2"/>
  <c r="AK181" i="2"/>
  <c r="AJ181" i="2"/>
  <c r="AI181" i="2"/>
  <c r="AH181" i="2"/>
  <c r="AG181" i="2"/>
  <c r="AF181" i="2"/>
  <c r="AE181" i="2"/>
  <c r="AD181" i="2"/>
  <c r="AC181" i="2"/>
  <c r="AB181" i="2"/>
  <c r="BF180" i="2"/>
  <c r="BE180" i="2"/>
  <c r="BD180" i="2"/>
  <c r="BC180" i="2"/>
  <c r="BB180" i="2"/>
  <c r="BA180" i="2"/>
  <c r="AZ180" i="2"/>
  <c r="AY180" i="2"/>
  <c r="AX180" i="2"/>
  <c r="AW180" i="2"/>
  <c r="AV180" i="2"/>
  <c r="AU180" i="2"/>
  <c r="AT180" i="2"/>
  <c r="AO180" i="2"/>
  <c r="AN180" i="2"/>
  <c r="AM180" i="2"/>
  <c r="AL180" i="2"/>
  <c r="AK180" i="2"/>
  <c r="AJ180" i="2"/>
  <c r="AI180" i="2"/>
  <c r="AH180" i="2"/>
  <c r="AG180" i="2"/>
  <c r="AF180" i="2"/>
  <c r="AE180" i="2"/>
  <c r="AD180" i="2"/>
  <c r="AC180" i="2"/>
  <c r="AB180" i="2"/>
  <c r="BF179" i="2"/>
  <c r="BE179" i="2"/>
  <c r="BD179" i="2"/>
  <c r="BC179" i="2"/>
  <c r="BB179" i="2"/>
  <c r="BA179" i="2"/>
  <c r="AZ179" i="2"/>
  <c r="AY179" i="2"/>
  <c r="AO179" i="2"/>
  <c r="AN179" i="2"/>
  <c r="AM179" i="2"/>
  <c r="AL179" i="2"/>
  <c r="AK179" i="2"/>
  <c r="AJ179" i="2"/>
  <c r="AI179" i="2"/>
  <c r="AH179" i="2"/>
  <c r="AG179" i="2"/>
  <c r="AF179" i="2"/>
  <c r="AE179" i="2"/>
  <c r="AD179" i="2"/>
  <c r="AC179" i="2"/>
  <c r="AB179" i="2"/>
  <c r="BF178" i="2"/>
  <c r="BE178" i="2"/>
  <c r="BD178" i="2"/>
  <c r="BC178" i="2"/>
  <c r="BB178" i="2"/>
  <c r="BA178" i="2"/>
  <c r="AZ178" i="2"/>
  <c r="AY178" i="2"/>
  <c r="AO178" i="2"/>
  <c r="AN178" i="2"/>
  <c r="AM178" i="2"/>
  <c r="AL178" i="2"/>
  <c r="AK178" i="2"/>
  <c r="AJ178" i="2"/>
  <c r="AI178" i="2"/>
  <c r="AH178" i="2"/>
  <c r="AG178" i="2"/>
  <c r="AF178" i="2"/>
  <c r="AE178" i="2"/>
  <c r="AD178" i="2"/>
  <c r="AC178" i="2"/>
  <c r="AB178" i="2"/>
  <c r="BF177" i="2"/>
  <c r="BE177" i="2"/>
  <c r="BD177" i="2"/>
  <c r="BC177" i="2"/>
  <c r="BB177" i="2"/>
  <c r="BA177" i="2"/>
  <c r="AZ177" i="2"/>
  <c r="AY177" i="2"/>
  <c r="AO177" i="2"/>
  <c r="AN177" i="2"/>
  <c r="AM177" i="2"/>
  <c r="AL177" i="2"/>
  <c r="AK177" i="2"/>
  <c r="AJ177" i="2"/>
  <c r="AI177" i="2"/>
  <c r="AH177" i="2"/>
  <c r="AG177" i="2"/>
  <c r="AF177" i="2"/>
  <c r="AE177" i="2"/>
  <c r="AD177" i="2"/>
  <c r="AC177" i="2"/>
  <c r="AB177" i="2"/>
  <c r="BF176" i="2"/>
  <c r="BE176" i="2"/>
  <c r="BD176" i="2"/>
  <c r="BC176" i="2"/>
  <c r="BB176" i="2"/>
  <c r="BA176" i="2"/>
  <c r="AZ176" i="2"/>
  <c r="AY176" i="2"/>
  <c r="AO176" i="2"/>
  <c r="AN176" i="2"/>
  <c r="AM176" i="2"/>
  <c r="AL176" i="2"/>
  <c r="AK176" i="2"/>
  <c r="AJ176" i="2"/>
  <c r="AI176" i="2"/>
  <c r="AH176" i="2"/>
  <c r="AG176" i="2"/>
  <c r="AF176" i="2"/>
  <c r="AE176" i="2"/>
  <c r="AD176" i="2"/>
  <c r="AC176" i="2"/>
  <c r="AB176" i="2"/>
  <c r="BF175" i="2"/>
  <c r="BE175" i="2"/>
  <c r="BD175" i="2"/>
  <c r="BC175" i="2"/>
  <c r="BB175" i="2"/>
  <c r="BA175" i="2"/>
  <c r="AZ175" i="2"/>
  <c r="AY175" i="2"/>
  <c r="AO175" i="2"/>
  <c r="AN175" i="2"/>
  <c r="AM175" i="2"/>
  <c r="AL175" i="2"/>
  <c r="AK175" i="2"/>
  <c r="AJ175" i="2"/>
  <c r="AI175" i="2"/>
  <c r="AH175" i="2"/>
  <c r="AG175" i="2"/>
  <c r="AF175" i="2"/>
  <c r="AE175" i="2"/>
  <c r="AD175" i="2"/>
  <c r="AC175" i="2"/>
  <c r="AB175" i="2"/>
  <c r="BF174" i="2"/>
  <c r="BE174" i="2"/>
  <c r="BD174" i="2"/>
  <c r="BC174" i="2"/>
  <c r="BB174" i="2"/>
  <c r="BA174" i="2"/>
  <c r="AZ174" i="2"/>
  <c r="AY174" i="2"/>
  <c r="AX174" i="2"/>
  <c r="AW174" i="2"/>
  <c r="AV174" i="2"/>
  <c r="AU174" i="2"/>
  <c r="AT174" i="2"/>
  <c r="AO174" i="2"/>
  <c r="AN174" i="2"/>
  <c r="AM174" i="2"/>
  <c r="AL174" i="2"/>
  <c r="AK174" i="2"/>
  <c r="AJ174" i="2"/>
  <c r="AI174" i="2"/>
  <c r="AH174" i="2"/>
  <c r="AG174" i="2"/>
  <c r="AF174" i="2"/>
  <c r="AE174" i="2"/>
  <c r="AD174" i="2"/>
  <c r="AC174" i="2"/>
  <c r="AB174" i="2"/>
  <c r="BF173" i="2"/>
  <c r="BE173" i="2"/>
  <c r="BD173" i="2"/>
  <c r="BC173" i="2"/>
  <c r="BB173" i="2"/>
  <c r="BA173" i="2"/>
  <c r="AZ173" i="2"/>
  <c r="AY173" i="2"/>
  <c r="AX173" i="2"/>
  <c r="AW173" i="2"/>
  <c r="AV173" i="2"/>
  <c r="AU173" i="2"/>
  <c r="AT173" i="2"/>
  <c r="AO173" i="2"/>
  <c r="AN173" i="2"/>
  <c r="AM173" i="2"/>
  <c r="AL173" i="2"/>
  <c r="AK173" i="2"/>
  <c r="AJ173" i="2"/>
  <c r="AI173" i="2"/>
  <c r="AH173" i="2"/>
  <c r="AG173" i="2"/>
  <c r="AF173" i="2"/>
  <c r="AE173" i="2"/>
  <c r="AD173" i="2"/>
  <c r="AC173" i="2"/>
  <c r="AB173" i="2"/>
  <c r="BF172" i="2"/>
  <c r="BE172" i="2"/>
  <c r="BD172" i="2"/>
  <c r="BC172" i="2"/>
  <c r="BB172" i="2"/>
  <c r="BA172" i="2"/>
  <c r="AZ172" i="2"/>
  <c r="AY172" i="2"/>
  <c r="AX172" i="2"/>
  <c r="AW172" i="2"/>
  <c r="AV172" i="2"/>
  <c r="AU172" i="2"/>
  <c r="AT172" i="2"/>
  <c r="AO172" i="2"/>
  <c r="AN172" i="2"/>
  <c r="AM172" i="2"/>
  <c r="AL172" i="2"/>
  <c r="AK172" i="2"/>
  <c r="AJ172" i="2"/>
  <c r="AI172" i="2"/>
  <c r="AH172" i="2"/>
  <c r="AG172" i="2"/>
  <c r="AF172" i="2"/>
  <c r="AE172" i="2"/>
  <c r="AD172" i="2"/>
  <c r="AC172" i="2"/>
  <c r="AB172" i="2"/>
  <c r="BF171" i="2"/>
  <c r="BE171" i="2"/>
  <c r="BD171" i="2"/>
  <c r="BC171" i="2"/>
  <c r="BB171" i="2"/>
  <c r="BA171" i="2"/>
  <c r="AZ171" i="2"/>
  <c r="AY171" i="2"/>
  <c r="AX171" i="2"/>
  <c r="AW171" i="2"/>
  <c r="AV171" i="2"/>
  <c r="AU171" i="2"/>
  <c r="AT171" i="2"/>
  <c r="AO171" i="2"/>
  <c r="AN171" i="2"/>
  <c r="AM171" i="2"/>
  <c r="AL171" i="2"/>
  <c r="AK171" i="2"/>
  <c r="AJ171" i="2"/>
  <c r="AI171" i="2"/>
  <c r="AH171" i="2"/>
  <c r="AG171" i="2"/>
  <c r="AF171" i="2"/>
  <c r="AE171" i="2"/>
  <c r="AD171" i="2"/>
  <c r="AC171" i="2"/>
  <c r="AB171" i="2"/>
  <c r="BF170" i="2"/>
  <c r="BE170" i="2"/>
  <c r="BD170" i="2"/>
  <c r="BC170" i="2"/>
  <c r="BB170" i="2"/>
  <c r="BA170" i="2"/>
  <c r="AZ170" i="2"/>
  <c r="AY170" i="2"/>
  <c r="AX170" i="2"/>
  <c r="AW170" i="2"/>
  <c r="AV170" i="2"/>
  <c r="AU170" i="2"/>
  <c r="AT170" i="2"/>
  <c r="AO170" i="2"/>
  <c r="AN170" i="2"/>
  <c r="AM170" i="2"/>
  <c r="AL170" i="2"/>
  <c r="AK170" i="2"/>
  <c r="AJ170" i="2"/>
  <c r="AI170" i="2"/>
  <c r="AH170" i="2"/>
  <c r="AG170" i="2"/>
  <c r="AF170" i="2"/>
  <c r="AE170" i="2"/>
  <c r="AD170" i="2"/>
  <c r="AC170" i="2"/>
  <c r="AB170" i="2"/>
  <c r="BF169" i="2"/>
  <c r="BE169" i="2"/>
  <c r="BD169" i="2"/>
  <c r="BC169" i="2"/>
  <c r="BB169" i="2"/>
  <c r="BA169" i="2"/>
  <c r="AZ169" i="2"/>
  <c r="AY169" i="2"/>
  <c r="AX169" i="2"/>
  <c r="AW169" i="2"/>
  <c r="AV169" i="2"/>
  <c r="AU169" i="2"/>
  <c r="AT169" i="2"/>
  <c r="AO169" i="2"/>
  <c r="AN169" i="2"/>
  <c r="AM169" i="2"/>
  <c r="AL169" i="2"/>
  <c r="AK169" i="2"/>
  <c r="AJ169" i="2"/>
  <c r="AI169" i="2"/>
  <c r="AH169" i="2"/>
  <c r="AG169" i="2"/>
  <c r="AF169" i="2"/>
  <c r="AE169" i="2"/>
  <c r="AD169" i="2"/>
  <c r="AC169" i="2"/>
  <c r="AB169" i="2"/>
  <c r="BF168" i="2"/>
  <c r="BE168" i="2"/>
  <c r="BD168" i="2"/>
  <c r="BC168" i="2"/>
  <c r="BB168" i="2"/>
  <c r="BA168" i="2"/>
  <c r="AZ168" i="2"/>
  <c r="AY168" i="2"/>
  <c r="AX168" i="2"/>
  <c r="AW168" i="2"/>
  <c r="AV168" i="2"/>
  <c r="AU168" i="2"/>
  <c r="AT168" i="2"/>
  <c r="AO168" i="2"/>
  <c r="AN168" i="2"/>
  <c r="AM168" i="2"/>
  <c r="AL168" i="2"/>
  <c r="AK168" i="2"/>
  <c r="AJ168" i="2"/>
  <c r="AI168" i="2"/>
  <c r="AH168" i="2"/>
  <c r="AG168" i="2"/>
  <c r="AF168" i="2"/>
  <c r="AE168" i="2"/>
  <c r="AD168" i="2"/>
  <c r="AC168" i="2"/>
  <c r="AB168" i="2"/>
  <c r="BF167" i="2"/>
  <c r="BE167" i="2"/>
  <c r="BD167" i="2"/>
  <c r="BC167" i="2"/>
  <c r="BB167" i="2"/>
  <c r="BA167" i="2"/>
  <c r="AZ167" i="2"/>
  <c r="AY167" i="2"/>
  <c r="AX167" i="2"/>
  <c r="AW167" i="2"/>
  <c r="AV167" i="2"/>
  <c r="AU167" i="2"/>
  <c r="AT167" i="2"/>
  <c r="AO167" i="2"/>
  <c r="AN167" i="2"/>
  <c r="AM167" i="2"/>
  <c r="AL167" i="2"/>
  <c r="AK167" i="2"/>
  <c r="AJ167" i="2"/>
  <c r="AI167" i="2"/>
  <c r="AH167" i="2"/>
  <c r="AG167" i="2"/>
  <c r="AF167" i="2"/>
  <c r="AE167" i="2"/>
  <c r="AD167" i="2"/>
  <c r="AC167" i="2"/>
  <c r="AB167" i="2"/>
  <c r="BF166" i="2"/>
  <c r="BE166" i="2"/>
  <c r="BD166" i="2"/>
  <c r="BC166" i="2"/>
  <c r="BB166" i="2"/>
  <c r="BA166" i="2"/>
  <c r="AZ166" i="2"/>
  <c r="AY166" i="2"/>
  <c r="AX166" i="2"/>
  <c r="AW166" i="2"/>
  <c r="AV166" i="2"/>
  <c r="AU166" i="2"/>
  <c r="AT166" i="2"/>
  <c r="AO166" i="2"/>
  <c r="AN166" i="2"/>
  <c r="AM166" i="2"/>
  <c r="AL166" i="2"/>
  <c r="AK166" i="2"/>
  <c r="AJ166" i="2"/>
  <c r="AI166" i="2"/>
  <c r="AH166" i="2"/>
  <c r="AG166" i="2"/>
  <c r="AF166" i="2"/>
  <c r="AE166" i="2"/>
  <c r="AD166" i="2"/>
  <c r="AC166" i="2"/>
  <c r="AB166" i="2"/>
  <c r="BF165" i="2"/>
  <c r="BE165" i="2"/>
  <c r="BD165" i="2"/>
  <c r="BC165" i="2"/>
  <c r="BB165" i="2"/>
  <c r="BA165" i="2"/>
  <c r="AZ165" i="2"/>
  <c r="AY165" i="2"/>
  <c r="AX165" i="2"/>
  <c r="AW165" i="2"/>
  <c r="AV165" i="2"/>
  <c r="AU165" i="2"/>
  <c r="AT165" i="2"/>
  <c r="AO165" i="2"/>
  <c r="AN165" i="2"/>
  <c r="AM165" i="2"/>
  <c r="AL165" i="2"/>
  <c r="AK165" i="2"/>
  <c r="AJ165" i="2"/>
  <c r="AI165" i="2"/>
  <c r="AH165" i="2"/>
  <c r="AG165" i="2"/>
  <c r="AF165" i="2"/>
  <c r="AE165" i="2"/>
  <c r="AD165" i="2"/>
  <c r="AC165" i="2"/>
  <c r="AB165" i="2"/>
  <c r="BF164" i="2"/>
  <c r="BE164" i="2"/>
  <c r="BD164" i="2"/>
  <c r="BC164" i="2"/>
  <c r="BB164" i="2"/>
  <c r="BA164" i="2"/>
  <c r="AZ164" i="2"/>
  <c r="AY164" i="2"/>
  <c r="AX164" i="2"/>
  <c r="AW164" i="2"/>
  <c r="AV164" i="2"/>
  <c r="AU164" i="2"/>
  <c r="AT164" i="2"/>
  <c r="AO164" i="2"/>
  <c r="AN164" i="2"/>
  <c r="AM164" i="2"/>
  <c r="AL164" i="2"/>
  <c r="AK164" i="2"/>
  <c r="AJ164" i="2"/>
  <c r="AI164" i="2"/>
  <c r="AH164" i="2"/>
  <c r="AG164" i="2"/>
  <c r="AF164" i="2"/>
  <c r="AE164" i="2"/>
  <c r="AD164" i="2"/>
  <c r="AC164" i="2"/>
  <c r="AB164" i="2"/>
  <c r="BF163" i="2"/>
  <c r="BE163" i="2"/>
  <c r="BD163" i="2"/>
  <c r="BC163" i="2"/>
  <c r="BB163" i="2"/>
  <c r="BA163" i="2"/>
  <c r="AZ163" i="2"/>
  <c r="AY163" i="2"/>
  <c r="AO163" i="2"/>
  <c r="AN163" i="2"/>
  <c r="AM163" i="2"/>
  <c r="AL163" i="2"/>
  <c r="AK163" i="2"/>
  <c r="AJ163" i="2"/>
  <c r="AI163" i="2"/>
  <c r="AH163" i="2"/>
  <c r="AG163" i="2"/>
  <c r="AF163" i="2"/>
  <c r="AE163" i="2"/>
  <c r="AD163" i="2"/>
  <c r="AC163" i="2"/>
  <c r="AB163" i="2"/>
  <c r="BF162" i="2"/>
  <c r="BE162" i="2"/>
  <c r="BD162" i="2"/>
  <c r="BC162" i="2"/>
  <c r="BB162" i="2"/>
  <c r="BA162" i="2"/>
  <c r="AZ162" i="2"/>
  <c r="AY162" i="2"/>
  <c r="AO162" i="2"/>
  <c r="AN162" i="2"/>
  <c r="AM162" i="2"/>
  <c r="AL162" i="2"/>
  <c r="AK162" i="2"/>
  <c r="AJ162" i="2"/>
  <c r="AI162" i="2"/>
  <c r="AH162" i="2"/>
  <c r="AG162" i="2"/>
  <c r="AF162" i="2"/>
  <c r="AE162" i="2"/>
  <c r="AD162" i="2"/>
  <c r="AC162" i="2"/>
  <c r="AB162" i="2"/>
  <c r="BF161" i="2"/>
  <c r="BE161" i="2"/>
  <c r="BD161" i="2"/>
  <c r="BC161" i="2"/>
  <c r="BB161" i="2"/>
  <c r="BA161" i="2"/>
  <c r="AZ161" i="2"/>
  <c r="AY161" i="2"/>
  <c r="AO161" i="2"/>
  <c r="AN161" i="2"/>
  <c r="AM161" i="2"/>
  <c r="AL161" i="2"/>
  <c r="AK161" i="2"/>
  <c r="AJ161" i="2"/>
  <c r="AI161" i="2"/>
  <c r="AH161" i="2"/>
  <c r="AG161" i="2"/>
  <c r="AF161" i="2"/>
  <c r="AE161" i="2"/>
  <c r="AD161" i="2"/>
  <c r="AC161" i="2"/>
  <c r="AB161" i="2"/>
  <c r="BF160" i="2"/>
  <c r="BE160" i="2"/>
  <c r="BD160" i="2"/>
  <c r="BC160" i="2"/>
  <c r="BB160" i="2"/>
  <c r="BA160" i="2"/>
  <c r="AZ160" i="2"/>
  <c r="AY160" i="2"/>
  <c r="AX160" i="2"/>
  <c r="AW160" i="2"/>
  <c r="AV160" i="2"/>
  <c r="AU160" i="2"/>
  <c r="AT160" i="2"/>
  <c r="AO160" i="2"/>
  <c r="AN160" i="2"/>
  <c r="AM160" i="2"/>
  <c r="AL160" i="2"/>
  <c r="AK160" i="2"/>
  <c r="AJ160" i="2"/>
  <c r="AI160" i="2"/>
  <c r="AH160" i="2"/>
  <c r="AG160" i="2"/>
  <c r="AF160" i="2"/>
  <c r="AE160" i="2"/>
  <c r="AD160" i="2"/>
  <c r="AC160" i="2"/>
  <c r="AB160" i="2"/>
  <c r="BF159" i="2"/>
  <c r="BE159" i="2"/>
  <c r="BD159" i="2"/>
  <c r="BC159" i="2"/>
  <c r="BB159" i="2"/>
  <c r="BA159" i="2"/>
  <c r="AZ159" i="2"/>
  <c r="AY159" i="2"/>
  <c r="AO159" i="2"/>
  <c r="AN159" i="2"/>
  <c r="AM159" i="2"/>
  <c r="AL159" i="2"/>
  <c r="AK159" i="2"/>
  <c r="AJ159" i="2"/>
  <c r="AI159" i="2"/>
  <c r="AH159" i="2"/>
  <c r="AG159" i="2"/>
  <c r="AF159" i="2"/>
  <c r="AE159" i="2"/>
  <c r="AD159" i="2"/>
  <c r="AC159" i="2"/>
  <c r="AB159" i="2"/>
  <c r="BF158" i="2"/>
  <c r="BE158" i="2"/>
  <c r="BD158" i="2"/>
  <c r="BC158" i="2"/>
  <c r="BB158" i="2"/>
  <c r="BA158" i="2"/>
  <c r="AZ158" i="2"/>
  <c r="AY158" i="2"/>
  <c r="AO158" i="2"/>
  <c r="AN158" i="2"/>
  <c r="AM158" i="2"/>
  <c r="AL158" i="2"/>
  <c r="AK158" i="2"/>
  <c r="AJ158" i="2"/>
  <c r="AI158" i="2"/>
  <c r="AH158" i="2"/>
  <c r="AG158" i="2"/>
  <c r="AF158" i="2"/>
  <c r="AE158" i="2"/>
  <c r="AD158" i="2"/>
  <c r="AC158" i="2"/>
  <c r="AB158" i="2"/>
  <c r="BF157" i="2"/>
  <c r="BE157" i="2"/>
  <c r="BD157" i="2"/>
  <c r="BC157" i="2"/>
  <c r="BB157" i="2"/>
  <c r="BA157" i="2"/>
  <c r="AZ157" i="2"/>
  <c r="AY157" i="2"/>
  <c r="AO157" i="2"/>
  <c r="AN157" i="2"/>
  <c r="AM157" i="2"/>
  <c r="AL157" i="2"/>
  <c r="AK157" i="2"/>
  <c r="AJ157" i="2"/>
  <c r="AI157" i="2"/>
  <c r="AH157" i="2"/>
  <c r="AG157" i="2"/>
  <c r="AF157" i="2"/>
  <c r="AE157" i="2"/>
  <c r="AD157" i="2"/>
  <c r="AC157" i="2"/>
  <c r="AB157" i="2"/>
  <c r="BF156" i="2"/>
  <c r="BE156" i="2"/>
  <c r="BD156" i="2"/>
  <c r="BC156" i="2"/>
  <c r="BB156" i="2"/>
  <c r="BA156" i="2"/>
  <c r="AZ156" i="2"/>
  <c r="AY156" i="2"/>
  <c r="AX156" i="2"/>
  <c r="AW156" i="2"/>
  <c r="AV156" i="2"/>
  <c r="AU156" i="2"/>
  <c r="AT156" i="2"/>
  <c r="AO156" i="2"/>
  <c r="AN156" i="2"/>
  <c r="AM156" i="2"/>
  <c r="AL156" i="2"/>
  <c r="AK156" i="2"/>
  <c r="AJ156" i="2"/>
  <c r="AI156" i="2"/>
  <c r="AH156" i="2"/>
  <c r="AG156" i="2"/>
  <c r="AF156" i="2"/>
  <c r="AE156" i="2"/>
  <c r="AD156" i="2"/>
  <c r="AC156" i="2"/>
  <c r="AB156" i="2"/>
  <c r="BF155" i="2"/>
  <c r="BE155" i="2"/>
  <c r="BD155" i="2"/>
  <c r="BC155" i="2"/>
  <c r="BB155" i="2"/>
  <c r="BA155" i="2"/>
  <c r="AZ155" i="2"/>
  <c r="AY155" i="2"/>
  <c r="AO155" i="2"/>
  <c r="AN155" i="2"/>
  <c r="AM155" i="2"/>
  <c r="AL155" i="2"/>
  <c r="AK155" i="2"/>
  <c r="AJ155" i="2"/>
  <c r="AI155" i="2"/>
  <c r="AH155" i="2"/>
  <c r="AG155" i="2"/>
  <c r="AF155" i="2"/>
  <c r="AE155" i="2"/>
  <c r="AD155" i="2"/>
  <c r="AC155" i="2"/>
  <c r="AB155" i="2"/>
  <c r="BF154" i="2"/>
  <c r="BE154" i="2"/>
  <c r="BD154" i="2"/>
  <c r="BC154" i="2"/>
  <c r="BB154" i="2"/>
  <c r="BA154" i="2"/>
  <c r="AZ154" i="2"/>
  <c r="AY154" i="2"/>
  <c r="AO154" i="2"/>
  <c r="AN154" i="2"/>
  <c r="AM154" i="2"/>
  <c r="AL154" i="2"/>
  <c r="AK154" i="2"/>
  <c r="AJ154" i="2"/>
  <c r="AI154" i="2"/>
  <c r="AH154" i="2"/>
  <c r="AG154" i="2"/>
  <c r="AF154" i="2"/>
  <c r="AE154" i="2"/>
  <c r="AD154" i="2"/>
  <c r="AC154" i="2"/>
  <c r="AB154" i="2"/>
  <c r="BF153" i="2"/>
  <c r="BE153" i="2"/>
  <c r="BD153" i="2"/>
  <c r="BC153" i="2"/>
  <c r="BB153" i="2"/>
  <c r="BA153" i="2"/>
  <c r="AZ153" i="2"/>
  <c r="AY153" i="2"/>
  <c r="AX153" i="2"/>
  <c r="AW153" i="2"/>
  <c r="AV153" i="2"/>
  <c r="AU153" i="2"/>
  <c r="AT153" i="2"/>
  <c r="AO153" i="2"/>
  <c r="AN153" i="2"/>
  <c r="AM153" i="2"/>
  <c r="AL153" i="2"/>
  <c r="AK153" i="2"/>
  <c r="AJ153" i="2"/>
  <c r="AI153" i="2"/>
  <c r="AH153" i="2"/>
  <c r="AG153" i="2"/>
  <c r="AF153" i="2"/>
  <c r="AE153" i="2"/>
  <c r="AD153" i="2"/>
  <c r="AC153" i="2"/>
  <c r="AB153" i="2"/>
  <c r="BF152" i="2"/>
  <c r="BE152" i="2"/>
  <c r="BD152" i="2"/>
  <c r="BC152" i="2"/>
  <c r="BB152" i="2"/>
  <c r="BA152" i="2"/>
  <c r="AZ152" i="2"/>
  <c r="AY152" i="2"/>
  <c r="AX152" i="2"/>
  <c r="AW152" i="2"/>
  <c r="AV152" i="2"/>
  <c r="AU152" i="2"/>
  <c r="AT152" i="2"/>
  <c r="AO152" i="2"/>
  <c r="AN152" i="2"/>
  <c r="AM152" i="2"/>
  <c r="AL152" i="2"/>
  <c r="AK152" i="2"/>
  <c r="AJ152" i="2"/>
  <c r="AI152" i="2"/>
  <c r="AH152" i="2"/>
  <c r="AG152" i="2"/>
  <c r="AF152" i="2"/>
  <c r="AE152" i="2"/>
  <c r="AD152" i="2"/>
  <c r="AC152" i="2"/>
  <c r="AB152" i="2"/>
  <c r="BF151" i="2"/>
  <c r="BE151" i="2"/>
  <c r="BD151" i="2"/>
  <c r="BC151" i="2"/>
  <c r="BB151" i="2"/>
  <c r="BA151" i="2"/>
  <c r="AZ151" i="2"/>
  <c r="AY151" i="2"/>
  <c r="AO151" i="2"/>
  <c r="AN151" i="2"/>
  <c r="AM151" i="2"/>
  <c r="AL151" i="2"/>
  <c r="AK151" i="2"/>
  <c r="AJ151" i="2"/>
  <c r="AI151" i="2"/>
  <c r="AH151" i="2"/>
  <c r="AG151" i="2"/>
  <c r="AF151" i="2"/>
  <c r="AE151" i="2"/>
  <c r="AD151" i="2"/>
  <c r="AC151" i="2"/>
  <c r="AB151" i="2"/>
  <c r="BF150" i="2"/>
  <c r="BE150" i="2"/>
  <c r="BD150" i="2"/>
  <c r="BC150" i="2"/>
  <c r="BB150" i="2"/>
  <c r="BA150" i="2"/>
  <c r="AZ150" i="2"/>
  <c r="AY150" i="2"/>
  <c r="AO150" i="2"/>
  <c r="AN150" i="2"/>
  <c r="AM150" i="2"/>
  <c r="AL150" i="2"/>
  <c r="AK150" i="2"/>
  <c r="AJ150" i="2"/>
  <c r="AI150" i="2"/>
  <c r="AH150" i="2"/>
  <c r="AG150" i="2"/>
  <c r="AF150" i="2"/>
  <c r="AE150" i="2"/>
  <c r="AD150" i="2"/>
  <c r="AC150" i="2"/>
  <c r="AB150" i="2"/>
  <c r="BF149" i="2"/>
  <c r="BE149" i="2"/>
  <c r="BD149" i="2"/>
  <c r="BC149" i="2"/>
  <c r="BB149" i="2"/>
  <c r="BA149" i="2"/>
  <c r="AZ149" i="2"/>
  <c r="AY149" i="2"/>
  <c r="AX149" i="2"/>
  <c r="AW149" i="2"/>
  <c r="AV149" i="2"/>
  <c r="AU149" i="2"/>
  <c r="AT149" i="2"/>
  <c r="AO149" i="2"/>
  <c r="AN149" i="2"/>
  <c r="AM149" i="2"/>
  <c r="AL149" i="2"/>
  <c r="AK149" i="2"/>
  <c r="AJ149" i="2"/>
  <c r="AI149" i="2"/>
  <c r="AH149" i="2"/>
  <c r="AG149" i="2"/>
  <c r="AF149" i="2"/>
  <c r="AE149" i="2"/>
  <c r="AD149" i="2"/>
  <c r="AC149" i="2"/>
  <c r="AB149" i="2"/>
  <c r="BF148" i="2"/>
  <c r="BE148" i="2"/>
  <c r="BD148" i="2"/>
  <c r="BC148" i="2"/>
  <c r="BB148" i="2"/>
  <c r="BA148" i="2"/>
  <c r="AZ148" i="2"/>
  <c r="AY148" i="2"/>
  <c r="AX148" i="2"/>
  <c r="AW148" i="2"/>
  <c r="AV148" i="2"/>
  <c r="AU148" i="2"/>
  <c r="AT148" i="2"/>
  <c r="AO148" i="2"/>
  <c r="AN148" i="2"/>
  <c r="AM148" i="2"/>
  <c r="AL148" i="2"/>
  <c r="AK148" i="2"/>
  <c r="AJ148" i="2"/>
  <c r="AI148" i="2"/>
  <c r="AH148" i="2"/>
  <c r="AG148" i="2"/>
  <c r="AF148" i="2"/>
  <c r="AE148" i="2"/>
  <c r="AD148" i="2"/>
  <c r="AC148" i="2"/>
  <c r="AB148" i="2"/>
  <c r="BF147" i="2"/>
  <c r="BE147" i="2"/>
  <c r="BD147" i="2"/>
  <c r="BC147" i="2"/>
  <c r="BB147" i="2"/>
  <c r="BA147" i="2"/>
  <c r="AZ147" i="2"/>
  <c r="AY147" i="2"/>
  <c r="AO147" i="2"/>
  <c r="AN147" i="2"/>
  <c r="AM147" i="2"/>
  <c r="AL147" i="2"/>
  <c r="AK147" i="2"/>
  <c r="AJ147" i="2"/>
  <c r="AI147" i="2"/>
  <c r="AH147" i="2"/>
  <c r="AG147" i="2"/>
  <c r="AF147" i="2"/>
  <c r="AE147" i="2"/>
  <c r="AD147" i="2"/>
  <c r="AC147" i="2"/>
  <c r="AB147" i="2"/>
  <c r="BF146" i="2"/>
  <c r="BE146" i="2"/>
  <c r="BD146" i="2"/>
  <c r="BC146" i="2"/>
  <c r="BB146" i="2"/>
  <c r="BA146" i="2"/>
  <c r="AZ146" i="2"/>
  <c r="AY146" i="2"/>
  <c r="AO146" i="2"/>
  <c r="AN146" i="2"/>
  <c r="AM146" i="2"/>
  <c r="AL146" i="2"/>
  <c r="AK146" i="2"/>
  <c r="AJ146" i="2"/>
  <c r="AI146" i="2"/>
  <c r="AH146" i="2"/>
  <c r="AG146" i="2"/>
  <c r="AF146" i="2"/>
  <c r="AE146" i="2"/>
  <c r="AD146" i="2"/>
  <c r="AC146" i="2"/>
  <c r="AB146" i="2"/>
  <c r="BF145" i="2"/>
  <c r="BE145" i="2"/>
  <c r="BD145" i="2"/>
  <c r="BC145" i="2"/>
  <c r="BB145" i="2"/>
  <c r="BA145" i="2"/>
  <c r="AZ145" i="2"/>
  <c r="AY145" i="2"/>
  <c r="AO145" i="2"/>
  <c r="AN145" i="2"/>
  <c r="AM145" i="2"/>
  <c r="AL145" i="2"/>
  <c r="AK145" i="2"/>
  <c r="AJ145" i="2"/>
  <c r="AI145" i="2"/>
  <c r="AH145" i="2"/>
  <c r="AG145" i="2"/>
  <c r="AF145" i="2"/>
  <c r="AE145" i="2"/>
  <c r="AD145" i="2"/>
  <c r="AC145" i="2"/>
  <c r="AB145" i="2"/>
  <c r="BF144" i="2"/>
  <c r="BE144" i="2"/>
  <c r="BD144" i="2"/>
  <c r="BC144" i="2"/>
  <c r="BB144" i="2"/>
  <c r="BA144" i="2"/>
  <c r="AZ144" i="2"/>
  <c r="AY144" i="2"/>
  <c r="AO144" i="2"/>
  <c r="AN144" i="2"/>
  <c r="AM144" i="2"/>
  <c r="AL144" i="2"/>
  <c r="AK144" i="2"/>
  <c r="AJ144" i="2"/>
  <c r="AI144" i="2"/>
  <c r="AH144" i="2"/>
  <c r="AG144" i="2"/>
  <c r="AF144" i="2"/>
  <c r="AE144" i="2"/>
  <c r="AD144" i="2"/>
  <c r="AC144" i="2"/>
  <c r="AB144" i="2"/>
  <c r="BF143" i="2"/>
  <c r="BE143" i="2"/>
  <c r="BD143" i="2"/>
  <c r="BC143" i="2"/>
  <c r="BB143" i="2"/>
  <c r="BA143" i="2"/>
  <c r="AZ143" i="2"/>
  <c r="AY143" i="2"/>
  <c r="AO143" i="2"/>
  <c r="AN143" i="2"/>
  <c r="AM143" i="2"/>
  <c r="AL143" i="2"/>
  <c r="AK143" i="2"/>
  <c r="AJ143" i="2"/>
  <c r="AI143" i="2"/>
  <c r="AH143" i="2"/>
  <c r="AG143" i="2"/>
  <c r="AF143" i="2"/>
  <c r="AE143" i="2"/>
  <c r="AD143" i="2"/>
  <c r="AC143" i="2"/>
  <c r="AB143" i="2"/>
  <c r="BF142" i="2"/>
  <c r="BE142" i="2"/>
  <c r="BD142" i="2"/>
  <c r="BC142" i="2"/>
  <c r="BB142" i="2"/>
  <c r="BA142" i="2"/>
  <c r="AZ142" i="2"/>
  <c r="AY142" i="2"/>
  <c r="AO142" i="2"/>
  <c r="AN142" i="2"/>
  <c r="AM142" i="2"/>
  <c r="AL142" i="2"/>
  <c r="AK142" i="2"/>
  <c r="AJ142" i="2"/>
  <c r="AI142" i="2"/>
  <c r="AH142" i="2"/>
  <c r="AG142" i="2"/>
  <c r="AF142" i="2"/>
  <c r="AE142" i="2"/>
  <c r="AD142" i="2"/>
  <c r="AC142" i="2"/>
  <c r="AB142" i="2"/>
  <c r="BF141" i="2"/>
  <c r="BE141" i="2"/>
  <c r="BD141" i="2"/>
  <c r="BC141" i="2"/>
  <c r="BB141" i="2"/>
  <c r="BA141" i="2"/>
  <c r="AZ141" i="2"/>
  <c r="AY141" i="2"/>
  <c r="AO141" i="2"/>
  <c r="AN141" i="2"/>
  <c r="AM141" i="2"/>
  <c r="AL141" i="2"/>
  <c r="AK141" i="2"/>
  <c r="AJ141" i="2"/>
  <c r="AI141" i="2"/>
  <c r="AH141" i="2"/>
  <c r="AG141" i="2"/>
  <c r="AF141" i="2"/>
  <c r="AE141" i="2"/>
  <c r="AD141" i="2"/>
  <c r="AC141" i="2"/>
  <c r="AB141" i="2"/>
  <c r="BF140" i="2"/>
  <c r="BE140" i="2"/>
  <c r="BD140" i="2"/>
  <c r="BC140" i="2"/>
  <c r="BB140" i="2"/>
  <c r="BA140" i="2"/>
  <c r="AZ140" i="2"/>
  <c r="AY140" i="2"/>
  <c r="AO140" i="2"/>
  <c r="AN140" i="2"/>
  <c r="AM140" i="2"/>
  <c r="AL140" i="2"/>
  <c r="AK140" i="2"/>
  <c r="AJ140" i="2"/>
  <c r="AI140" i="2"/>
  <c r="AH140" i="2"/>
  <c r="AG140" i="2"/>
  <c r="AF140" i="2"/>
  <c r="AE140" i="2"/>
  <c r="AD140" i="2"/>
  <c r="AC140" i="2"/>
  <c r="AB140" i="2"/>
  <c r="BF139" i="2"/>
  <c r="BE139" i="2"/>
  <c r="BD139" i="2"/>
  <c r="BC139" i="2"/>
  <c r="BB139" i="2"/>
  <c r="BA139" i="2"/>
  <c r="AZ139" i="2"/>
  <c r="AY139" i="2"/>
  <c r="AO139" i="2"/>
  <c r="AN139" i="2"/>
  <c r="AM139" i="2"/>
  <c r="AL139" i="2"/>
  <c r="AK139" i="2"/>
  <c r="AJ139" i="2"/>
  <c r="AI139" i="2"/>
  <c r="AH139" i="2"/>
  <c r="AG139" i="2"/>
  <c r="AF139" i="2"/>
  <c r="AE139" i="2"/>
  <c r="AD139" i="2"/>
  <c r="AC139" i="2"/>
  <c r="AB139" i="2"/>
  <c r="BF138" i="2"/>
  <c r="BE138" i="2"/>
  <c r="BD138" i="2"/>
  <c r="BC138" i="2"/>
  <c r="BB138" i="2"/>
  <c r="BA138" i="2"/>
  <c r="AZ138" i="2"/>
  <c r="AY138" i="2"/>
  <c r="AO138" i="2"/>
  <c r="AN138" i="2"/>
  <c r="AM138" i="2"/>
  <c r="AL138" i="2"/>
  <c r="AK138" i="2"/>
  <c r="AJ138" i="2"/>
  <c r="AI138" i="2"/>
  <c r="AH138" i="2"/>
  <c r="AG138" i="2"/>
  <c r="AF138" i="2"/>
  <c r="AE138" i="2"/>
  <c r="AD138" i="2"/>
  <c r="AC138" i="2"/>
  <c r="AB138" i="2"/>
  <c r="BF137" i="2"/>
  <c r="BE137" i="2"/>
  <c r="BD137" i="2"/>
  <c r="BC137" i="2"/>
  <c r="BB137" i="2"/>
  <c r="BA137" i="2"/>
  <c r="AZ137" i="2"/>
  <c r="AY137" i="2"/>
  <c r="AO137" i="2"/>
  <c r="AN137" i="2"/>
  <c r="AM137" i="2"/>
  <c r="AL137" i="2"/>
  <c r="AK137" i="2"/>
  <c r="AJ137" i="2"/>
  <c r="AI137" i="2"/>
  <c r="AH137" i="2"/>
  <c r="AG137" i="2"/>
  <c r="AF137" i="2"/>
  <c r="AE137" i="2"/>
  <c r="AD137" i="2"/>
  <c r="AC137" i="2"/>
  <c r="AB137" i="2"/>
  <c r="BF136" i="2"/>
  <c r="BE136" i="2"/>
  <c r="BD136" i="2"/>
  <c r="BC136" i="2"/>
  <c r="BB136" i="2"/>
  <c r="BA136" i="2"/>
  <c r="AZ136" i="2"/>
  <c r="AY136" i="2"/>
  <c r="AO136" i="2"/>
  <c r="AN136" i="2"/>
  <c r="AM136" i="2"/>
  <c r="AL136" i="2"/>
  <c r="AK136" i="2"/>
  <c r="AJ136" i="2"/>
  <c r="AI136" i="2"/>
  <c r="AH136" i="2"/>
  <c r="AG136" i="2"/>
  <c r="AF136" i="2"/>
  <c r="AE136" i="2"/>
  <c r="AD136" i="2"/>
  <c r="AC136" i="2"/>
  <c r="AB136" i="2"/>
  <c r="BF135" i="2"/>
  <c r="BE135" i="2"/>
  <c r="BD135" i="2"/>
  <c r="BC135" i="2"/>
  <c r="BB135" i="2"/>
  <c r="BA135" i="2"/>
  <c r="AZ135" i="2"/>
  <c r="AY135" i="2"/>
  <c r="AX135" i="2"/>
  <c r="AW135" i="2"/>
  <c r="AV135" i="2"/>
  <c r="AU135" i="2"/>
  <c r="AT135" i="2"/>
  <c r="AO135" i="2"/>
  <c r="AN135" i="2"/>
  <c r="AM135" i="2"/>
  <c r="AL135" i="2"/>
  <c r="AK135" i="2"/>
  <c r="AJ135" i="2"/>
  <c r="AI135" i="2"/>
  <c r="AH135" i="2"/>
  <c r="AG135" i="2"/>
  <c r="AF135" i="2"/>
  <c r="AE135" i="2"/>
  <c r="AD135" i="2"/>
  <c r="AC135" i="2"/>
  <c r="AB135" i="2"/>
  <c r="BF134" i="2"/>
  <c r="BE134" i="2"/>
  <c r="BD134" i="2"/>
  <c r="BC134" i="2"/>
  <c r="BB134" i="2"/>
  <c r="BA134" i="2"/>
  <c r="AZ134" i="2"/>
  <c r="AY134" i="2"/>
  <c r="AX134" i="2"/>
  <c r="AW134" i="2"/>
  <c r="AV134" i="2"/>
  <c r="AU134" i="2"/>
  <c r="AT134" i="2"/>
  <c r="AO134" i="2"/>
  <c r="AN134" i="2"/>
  <c r="AM134" i="2"/>
  <c r="AL134" i="2"/>
  <c r="AK134" i="2"/>
  <c r="AJ134" i="2"/>
  <c r="AI134" i="2"/>
  <c r="AH134" i="2"/>
  <c r="AG134" i="2"/>
  <c r="AF134" i="2"/>
  <c r="AE134" i="2"/>
  <c r="AD134" i="2"/>
  <c r="AC134" i="2"/>
  <c r="AB134" i="2"/>
  <c r="BF133" i="2"/>
  <c r="BE133" i="2"/>
  <c r="BD133" i="2"/>
  <c r="BC133" i="2"/>
  <c r="BB133" i="2"/>
  <c r="BA133" i="2"/>
  <c r="AZ133" i="2"/>
  <c r="AY133" i="2"/>
  <c r="AO133" i="2"/>
  <c r="AN133" i="2"/>
  <c r="AM133" i="2"/>
  <c r="AL133" i="2"/>
  <c r="AK133" i="2"/>
  <c r="AJ133" i="2"/>
  <c r="AI133" i="2"/>
  <c r="AH133" i="2"/>
  <c r="AG133" i="2"/>
  <c r="AF133" i="2"/>
  <c r="AE133" i="2"/>
  <c r="AD133" i="2"/>
  <c r="AC133" i="2"/>
  <c r="AB133" i="2"/>
  <c r="BF132" i="2"/>
  <c r="BE132" i="2"/>
  <c r="BD132" i="2"/>
  <c r="BC132" i="2"/>
  <c r="BB132" i="2"/>
  <c r="BA132" i="2"/>
  <c r="AZ132" i="2"/>
  <c r="AY132" i="2"/>
  <c r="AX132" i="2"/>
  <c r="AW132" i="2"/>
  <c r="AV132" i="2"/>
  <c r="AU132" i="2"/>
  <c r="AT132" i="2"/>
  <c r="AO132" i="2"/>
  <c r="AN132" i="2"/>
  <c r="AM132" i="2"/>
  <c r="AL132" i="2"/>
  <c r="AK132" i="2"/>
  <c r="AJ132" i="2"/>
  <c r="AI132" i="2"/>
  <c r="AH132" i="2"/>
  <c r="AG132" i="2"/>
  <c r="AF132" i="2"/>
  <c r="AE132" i="2"/>
  <c r="AD132" i="2"/>
  <c r="AC132" i="2"/>
  <c r="AB132" i="2"/>
  <c r="BF131" i="2"/>
  <c r="BE131" i="2"/>
  <c r="BD131" i="2"/>
  <c r="BC131" i="2"/>
  <c r="BB131" i="2"/>
  <c r="BA131" i="2"/>
  <c r="AZ131" i="2"/>
  <c r="AY131" i="2"/>
  <c r="AO131" i="2"/>
  <c r="AN131" i="2"/>
  <c r="AM131" i="2"/>
  <c r="AL131" i="2"/>
  <c r="AK131" i="2"/>
  <c r="AJ131" i="2"/>
  <c r="AI131" i="2"/>
  <c r="AH131" i="2"/>
  <c r="AG131" i="2"/>
  <c r="AF131" i="2"/>
  <c r="AE131" i="2"/>
  <c r="AD131" i="2"/>
  <c r="AC131" i="2"/>
  <c r="AB131" i="2"/>
  <c r="BF130" i="2"/>
  <c r="BE130" i="2"/>
  <c r="BD130" i="2"/>
  <c r="BC130" i="2"/>
  <c r="BB130" i="2"/>
  <c r="BA130" i="2"/>
  <c r="AZ130" i="2"/>
  <c r="AY130" i="2"/>
  <c r="AX130" i="2"/>
  <c r="AW130" i="2"/>
  <c r="AV130" i="2"/>
  <c r="AU130" i="2"/>
  <c r="AT130" i="2"/>
  <c r="AO130" i="2"/>
  <c r="AN130" i="2"/>
  <c r="AM130" i="2"/>
  <c r="AL130" i="2"/>
  <c r="AK130" i="2"/>
  <c r="AJ130" i="2"/>
  <c r="AI130" i="2"/>
  <c r="AH130" i="2"/>
  <c r="AG130" i="2"/>
  <c r="AF130" i="2"/>
  <c r="AE130" i="2"/>
  <c r="AD130" i="2"/>
  <c r="AC130" i="2"/>
  <c r="AB130" i="2"/>
  <c r="BF129" i="2"/>
  <c r="BE129" i="2"/>
  <c r="BD129" i="2"/>
  <c r="BC129" i="2"/>
  <c r="BB129" i="2"/>
  <c r="BA129" i="2"/>
  <c r="AZ129" i="2"/>
  <c r="AY129" i="2"/>
  <c r="AX129" i="2"/>
  <c r="AW129" i="2"/>
  <c r="AV129" i="2"/>
  <c r="AU129" i="2"/>
  <c r="AT129" i="2"/>
  <c r="AO129" i="2"/>
  <c r="AN129" i="2"/>
  <c r="AM129" i="2"/>
  <c r="AL129" i="2"/>
  <c r="AK129" i="2"/>
  <c r="AJ129" i="2"/>
  <c r="AI129" i="2"/>
  <c r="AH129" i="2"/>
  <c r="AG129" i="2"/>
  <c r="AF129" i="2"/>
  <c r="AE129" i="2"/>
  <c r="AD129" i="2"/>
  <c r="AC129" i="2"/>
  <c r="AB129" i="2"/>
  <c r="BF128" i="2"/>
  <c r="BE128" i="2"/>
  <c r="BD128" i="2"/>
  <c r="BC128" i="2"/>
  <c r="BB128" i="2"/>
  <c r="BA128" i="2"/>
  <c r="AZ128" i="2"/>
  <c r="AY128" i="2"/>
  <c r="AO128" i="2"/>
  <c r="AN128" i="2"/>
  <c r="AM128" i="2"/>
  <c r="AL128" i="2"/>
  <c r="AK128" i="2"/>
  <c r="AJ128" i="2"/>
  <c r="AI128" i="2"/>
  <c r="AH128" i="2"/>
  <c r="AG128" i="2"/>
  <c r="AF128" i="2"/>
  <c r="AE128" i="2"/>
  <c r="AD128" i="2"/>
  <c r="AC128" i="2"/>
  <c r="AB128" i="2"/>
  <c r="BF127" i="2"/>
  <c r="BE127" i="2"/>
  <c r="BD127" i="2"/>
  <c r="BC127" i="2"/>
  <c r="BB127" i="2"/>
  <c r="BA127" i="2"/>
  <c r="AZ127" i="2"/>
  <c r="AY127" i="2"/>
  <c r="AX127" i="2"/>
  <c r="AW127" i="2"/>
  <c r="AV127" i="2"/>
  <c r="AU127" i="2"/>
  <c r="AT127" i="2"/>
  <c r="AO127" i="2"/>
  <c r="AN127" i="2"/>
  <c r="AM127" i="2"/>
  <c r="AL127" i="2"/>
  <c r="AK127" i="2"/>
  <c r="AJ127" i="2"/>
  <c r="AI127" i="2"/>
  <c r="AH127" i="2"/>
  <c r="AG127" i="2"/>
  <c r="AF127" i="2"/>
  <c r="AE127" i="2"/>
  <c r="AD127" i="2"/>
  <c r="AC127" i="2"/>
  <c r="AB127" i="2"/>
  <c r="BF126" i="2"/>
  <c r="BE126" i="2"/>
  <c r="BD126" i="2"/>
  <c r="BC126" i="2"/>
  <c r="BB126" i="2"/>
  <c r="BA126" i="2"/>
  <c r="AZ126" i="2"/>
  <c r="AY126" i="2"/>
  <c r="AX126" i="2"/>
  <c r="AW126" i="2"/>
  <c r="AV126" i="2"/>
  <c r="AU126" i="2"/>
  <c r="AT126" i="2"/>
  <c r="AO126" i="2"/>
  <c r="AN126" i="2"/>
  <c r="AM126" i="2"/>
  <c r="AL126" i="2"/>
  <c r="AK126" i="2"/>
  <c r="AJ126" i="2"/>
  <c r="AI126" i="2"/>
  <c r="AH126" i="2"/>
  <c r="AG126" i="2"/>
  <c r="AF126" i="2"/>
  <c r="AE126" i="2"/>
  <c r="AD126" i="2"/>
  <c r="AC126" i="2"/>
  <c r="AB126" i="2"/>
  <c r="AT125" i="2"/>
  <c r="AO125" i="2"/>
  <c r="AN125" i="2"/>
  <c r="AM125" i="2"/>
  <c r="AL125" i="2"/>
  <c r="AK125" i="2"/>
  <c r="AJ125" i="2"/>
  <c r="AI125" i="2"/>
  <c r="AH125" i="2"/>
  <c r="AG125" i="2"/>
  <c r="AF125" i="2"/>
  <c r="AE125" i="2"/>
  <c r="AD125" i="2"/>
  <c r="AC125" i="2"/>
  <c r="AB125" i="2"/>
  <c r="AT124" i="2"/>
  <c r="AO124" i="2"/>
  <c r="AN124" i="2"/>
  <c r="AM124" i="2"/>
  <c r="AL124" i="2"/>
  <c r="AK124" i="2"/>
  <c r="AJ124" i="2"/>
  <c r="AI124" i="2"/>
  <c r="AH124" i="2"/>
  <c r="AG124" i="2"/>
  <c r="AF124" i="2"/>
  <c r="AE124" i="2"/>
  <c r="AD124" i="2"/>
  <c r="AC124" i="2"/>
  <c r="AB124" i="2"/>
  <c r="AT123" i="2"/>
  <c r="AO123" i="2"/>
  <c r="AN123" i="2"/>
  <c r="AM123" i="2"/>
  <c r="AL123" i="2"/>
  <c r="AK123" i="2"/>
  <c r="AJ123" i="2"/>
  <c r="AI123" i="2"/>
  <c r="AH123" i="2"/>
  <c r="AG123" i="2"/>
  <c r="AF123" i="2"/>
  <c r="AE123" i="2"/>
  <c r="AD123" i="2"/>
  <c r="AC123" i="2"/>
  <c r="AB123" i="2"/>
  <c r="AT122" i="2"/>
  <c r="AO122" i="2"/>
  <c r="AN122" i="2"/>
  <c r="AM122" i="2"/>
  <c r="AL122" i="2"/>
  <c r="AK122" i="2"/>
  <c r="AJ122" i="2"/>
  <c r="AI122" i="2"/>
  <c r="AH122" i="2"/>
  <c r="AG122" i="2"/>
  <c r="AF122" i="2"/>
  <c r="AE122" i="2"/>
  <c r="AD122" i="2"/>
  <c r="AC122" i="2"/>
  <c r="AB122" i="2"/>
  <c r="AT121" i="2"/>
  <c r="AO121" i="2"/>
  <c r="AN121" i="2"/>
  <c r="AM121" i="2"/>
  <c r="AL121" i="2"/>
  <c r="AK121" i="2"/>
  <c r="AJ121" i="2"/>
  <c r="AI121" i="2"/>
  <c r="AH121" i="2"/>
  <c r="AG121" i="2"/>
  <c r="AF121" i="2"/>
  <c r="AE121" i="2"/>
  <c r="AD121" i="2"/>
  <c r="AC121" i="2"/>
  <c r="AB121" i="2"/>
  <c r="AT120" i="2"/>
  <c r="AO120" i="2"/>
  <c r="AN120" i="2"/>
  <c r="AM120" i="2"/>
  <c r="AL120" i="2"/>
  <c r="AK120" i="2"/>
  <c r="AJ120" i="2"/>
  <c r="AI120" i="2"/>
  <c r="AH120" i="2"/>
  <c r="AG120" i="2"/>
  <c r="AF120" i="2"/>
  <c r="AE120" i="2"/>
  <c r="AD120" i="2"/>
  <c r="AC120" i="2"/>
  <c r="AB120" i="2"/>
  <c r="AT119" i="2"/>
  <c r="AO119" i="2"/>
  <c r="AN119" i="2"/>
  <c r="AM119" i="2"/>
  <c r="AL119" i="2"/>
  <c r="AK119" i="2"/>
  <c r="AJ119" i="2"/>
  <c r="AI119" i="2"/>
  <c r="AH119" i="2"/>
  <c r="AG119" i="2"/>
  <c r="AF119" i="2"/>
  <c r="AE119" i="2"/>
  <c r="AD119" i="2"/>
  <c r="AC119" i="2"/>
  <c r="AB119" i="2"/>
  <c r="AT118" i="2"/>
  <c r="AO118" i="2"/>
  <c r="AN118" i="2"/>
  <c r="AM118" i="2"/>
  <c r="AL118" i="2"/>
  <c r="AK118" i="2"/>
  <c r="AJ118" i="2"/>
  <c r="AI118" i="2"/>
  <c r="AH118" i="2"/>
  <c r="AG118" i="2"/>
  <c r="AF118" i="2"/>
  <c r="AE118" i="2"/>
  <c r="AD118" i="2"/>
  <c r="AC118" i="2"/>
  <c r="AB118" i="2"/>
  <c r="AT117" i="2"/>
  <c r="AO117" i="2"/>
  <c r="AN117" i="2"/>
  <c r="AM117" i="2"/>
  <c r="AL117" i="2"/>
  <c r="AK117" i="2"/>
  <c r="AJ117" i="2"/>
  <c r="AI117" i="2"/>
  <c r="AH117" i="2"/>
  <c r="AG117" i="2"/>
  <c r="AF117" i="2"/>
  <c r="AE117" i="2"/>
  <c r="AD117" i="2"/>
  <c r="AC117" i="2"/>
  <c r="AB117" i="2"/>
  <c r="AT116" i="2"/>
  <c r="AO116" i="2"/>
  <c r="AN116" i="2"/>
  <c r="AM116" i="2"/>
  <c r="AL116" i="2"/>
  <c r="AK116" i="2"/>
  <c r="AJ116" i="2"/>
  <c r="AI116" i="2"/>
  <c r="AH116" i="2"/>
  <c r="AG116" i="2"/>
  <c r="AF116" i="2"/>
  <c r="AE116" i="2"/>
  <c r="AD116" i="2"/>
  <c r="AC116" i="2"/>
  <c r="AB116" i="2"/>
  <c r="AT115" i="2"/>
  <c r="AO115" i="2"/>
  <c r="AN115" i="2"/>
  <c r="AM115" i="2"/>
  <c r="AL115" i="2"/>
  <c r="AK115" i="2"/>
  <c r="AJ115" i="2"/>
  <c r="AI115" i="2"/>
  <c r="AH115" i="2"/>
  <c r="AG115" i="2"/>
  <c r="AF115" i="2"/>
  <c r="AE115" i="2"/>
  <c r="AD115" i="2"/>
  <c r="AC115" i="2"/>
  <c r="AB115" i="2"/>
  <c r="BF114" i="2"/>
  <c r="BE114" i="2"/>
  <c r="BD114" i="2"/>
  <c r="BC114" i="2"/>
  <c r="BB114" i="2"/>
  <c r="BA114" i="2"/>
  <c r="AZ114" i="2"/>
  <c r="AY114" i="2"/>
  <c r="AX114" i="2"/>
  <c r="AW114" i="2"/>
  <c r="AV114" i="2"/>
  <c r="AU114" i="2"/>
  <c r="AT114" i="2"/>
  <c r="AO114" i="2"/>
  <c r="AN114" i="2"/>
  <c r="AM114" i="2"/>
  <c r="AL114" i="2"/>
  <c r="AK114" i="2"/>
  <c r="AJ114" i="2"/>
  <c r="AI114" i="2"/>
  <c r="AH114" i="2"/>
  <c r="AG114" i="2"/>
  <c r="AF114" i="2"/>
  <c r="AE114" i="2"/>
  <c r="AD114" i="2"/>
  <c r="AC114" i="2"/>
  <c r="AB114" i="2"/>
  <c r="BF113" i="2"/>
  <c r="BE113" i="2"/>
  <c r="BD113" i="2"/>
  <c r="BC113" i="2"/>
  <c r="BB113" i="2"/>
  <c r="BA113" i="2"/>
  <c r="AZ113" i="2"/>
  <c r="AY113" i="2"/>
  <c r="AX113" i="2"/>
  <c r="AW113" i="2"/>
  <c r="AV113" i="2"/>
  <c r="AU113" i="2"/>
  <c r="AT113" i="2"/>
  <c r="AO113" i="2"/>
  <c r="AN113" i="2"/>
  <c r="AM113" i="2"/>
  <c r="AL113" i="2"/>
  <c r="AK113" i="2"/>
  <c r="AJ113" i="2"/>
  <c r="AI113" i="2"/>
  <c r="AH113" i="2"/>
  <c r="AG113" i="2"/>
  <c r="AF113" i="2"/>
  <c r="AE113" i="2"/>
  <c r="AD113" i="2"/>
  <c r="AC113" i="2"/>
  <c r="AB113" i="2"/>
  <c r="BF112" i="2"/>
  <c r="BE112" i="2"/>
  <c r="BD112" i="2"/>
  <c r="BC112" i="2"/>
  <c r="BB112" i="2"/>
  <c r="BA112" i="2"/>
  <c r="AZ112" i="2"/>
  <c r="AY112" i="2"/>
  <c r="AO112" i="2"/>
  <c r="AN112" i="2"/>
  <c r="AM112" i="2"/>
  <c r="AL112" i="2"/>
  <c r="AK112" i="2"/>
  <c r="AJ112" i="2"/>
  <c r="AI112" i="2"/>
  <c r="AH112" i="2"/>
  <c r="AG112" i="2"/>
  <c r="AF112" i="2"/>
  <c r="AE112" i="2"/>
  <c r="AD112" i="2"/>
  <c r="AC112" i="2"/>
  <c r="AB112" i="2"/>
  <c r="BF111" i="2"/>
  <c r="BE111" i="2"/>
  <c r="BD111" i="2"/>
  <c r="BC111" i="2"/>
  <c r="BB111" i="2"/>
  <c r="BA111" i="2"/>
  <c r="AZ111" i="2"/>
  <c r="AY111" i="2"/>
  <c r="AO111" i="2"/>
  <c r="AN111" i="2"/>
  <c r="AM111" i="2"/>
  <c r="AL111" i="2"/>
  <c r="AK111" i="2"/>
  <c r="AJ111" i="2"/>
  <c r="AI111" i="2"/>
  <c r="AH111" i="2"/>
  <c r="AG111" i="2"/>
  <c r="AF111" i="2"/>
  <c r="AE111" i="2"/>
  <c r="AD111" i="2"/>
  <c r="AC111" i="2"/>
  <c r="AB111" i="2"/>
  <c r="BF110" i="2"/>
  <c r="BE110" i="2"/>
  <c r="BD110" i="2"/>
  <c r="BC110" i="2"/>
  <c r="BB110" i="2"/>
  <c r="BA110" i="2"/>
  <c r="AZ110" i="2"/>
  <c r="AY110" i="2"/>
  <c r="AO110" i="2"/>
  <c r="AN110" i="2"/>
  <c r="AM110" i="2"/>
  <c r="AL110" i="2"/>
  <c r="AK110" i="2"/>
  <c r="AJ110" i="2"/>
  <c r="AI110" i="2"/>
  <c r="AH110" i="2"/>
  <c r="AG110" i="2"/>
  <c r="AF110" i="2"/>
  <c r="AE110" i="2"/>
  <c r="AD110" i="2"/>
  <c r="AC110" i="2"/>
  <c r="AB110" i="2"/>
  <c r="BF109" i="2"/>
  <c r="BE109" i="2"/>
  <c r="BD109" i="2"/>
  <c r="BC109" i="2"/>
  <c r="BB109" i="2"/>
  <c r="BA109" i="2"/>
  <c r="AZ109" i="2"/>
  <c r="AY109" i="2"/>
  <c r="AO109" i="2"/>
  <c r="AN109" i="2"/>
  <c r="AM109" i="2"/>
  <c r="AL109" i="2"/>
  <c r="AK109" i="2"/>
  <c r="AJ109" i="2"/>
  <c r="AI109" i="2"/>
  <c r="AH109" i="2"/>
  <c r="AG109" i="2"/>
  <c r="AF109" i="2"/>
  <c r="AE109" i="2"/>
  <c r="AD109" i="2"/>
  <c r="AC109" i="2"/>
  <c r="AB109" i="2"/>
  <c r="BF108" i="2"/>
  <c r="BE108" i="2"/>
  <c r="BD108" i="2"/>
  <c r="BC108" i="2"/>
  <c r="BB108" i="2"/>
  <c r="BA108" i="2"/>
  <c r="AZ108" i="2"/>
  <c r="AY108" i="2"/>
  <c r="AO108" i="2"/>
  <c r="AN108" i="2"/>
  <c r="AM108" i="2"/>
  <c r="AL108" i="2"/>
  <c r="AK108" i="2"/>
  <c r="AJ108" i="2"/>
  <c r="AI108" i="2"/>
  <c r="AH108" i="2"/>
  <c r="AG108" i="2"/>
  <c r="AF108" i="2"/>
  <c r="AE108" i="2"/>
  <c r="AD108" i="2"/>
  <c r="AC108" i="2"/>
  <c r="AB108" i="2"/>
  <c r="BF107" i="2"/>
  <c r="BE107" i="2"/>
  <c r="BD107" i="2"/>
  <c r="BC107" i="2"/>
  <c r="BB107" i="2"/>
  <c r="BA107" i="2"/>
  <c r="AZ107" i="2"/>
  <c r="AY107" i="2"/>
  <c r="AO107" i="2"/>
  <c r="AN107" i="2"/>
  <c r="AM107" i="2"/>
  <c r="AL107" i="2"/>
  <c r="AK107" i="2"/>
  <c r="AJ107" i="2"/>
  <c r="AI107" i="2"/>
  <c r="AH107" i="2"/>
  <c r="AG107" i="2"/>
  <c r="AF107" i="2"/>
  <c r="AE107" i="2"/>
  <c r="AD107" i="2"/>
  <c r="AC107" i="2"/>
  <c r="AB107" i="2"/>
  <c r="BF106" i="2"/>
  <c r="BE106" i="2"/>
  <c r="BD106" i="2"/>
  <c r="BC106" i="2"/>
  <c r="BB106" i="2"/>
  <c r="BA106" i="2"/>
  <c r="AZ106" i="2"/>
  <c r="AY106" i="2"/>
  <c r="AO106" i="2"/>
  <c r="AN106" i="2"/>
  <c r="AM106" i="2"/>
  <c r="AL106" i="2"/>
  <c r="AK106" i="2"/>
  <c r="AJ106" i="2"/>
  <c r="AI106" i="2"/>
  <c r="AH106" i="2"/>
  <c r="AG106" i="2"/>
  <c r="AF106" i="2"/>
  <c r="AE106" i="2"/>
  <c r="AD106" i="2"/>
  <c r="AC106" i="2"/>
  <c r="AB106" i="2"/>
  <c r="BF105" i="2"/>
  <c r="BE105" i="2"/>
  <c r="BD105" i="2"/>
  <c r="BC105" i="2"/>
  <c r="BB105" i="2"/>
  <c r="BA105" i="2"/>
  <c r="AZ105" i="2"/>
  <c r="AY105" i="2"/>
  <c r="AO105" i="2"/>
  <c r="AN105" i="2"/>
  <c r="AM105" i="2"/>
  <c r="AL105" i="2"/>
  <c r="AK105" i="2"/>
  <c r="AJ105" i="2"/>
  <c r="AI105" i="2"/>
  <c r="AH105" i="2"/>
  <c r="AG105" i="2"/>
  <c r="AF105" i="2"/>
  <c r="AE105" i="2"/>
  <c r="AD105" i="2"/>
  <c r="AC105" i="2"/>
  <c r="AB105" i="2"/>
  <c r="BF104" i="2"/>
  <c r="BE104" i="2"/>
  <c r="BD104" i="2"/>
  <c r="BC104" i="2"/>
  <c r="BB104" i="2"/>
  <c r="BA104" i="2"/>
  <c r="AZ104" i="2"/>
  <c r="AY104" i="2"/>
  <c r="AO104" i="2"/>
  <c r="AN104" i="2"/>
  <c r="AM104" i="2"/>
  <c r="AL104" i="2"/>
  <c r="AK104" i="2"/>
  <c r="AJ104" i="2"/>
  <c r="AI104" i="2"/>
  <c r="AH104" i="2"/>
  <c r="AG104" i="2"/>
  <c r="AF104" i="2"/>
  <c r="AE104" i="2"/>
  <c r="AD104" i="2"/>
  <c r="AC104" i="2"/>
  <c r="AB104" i="2"/>
  <c r="BF103" i="2"/>
  <c r="BE103" i="2"/>
  <c r="BD103" i="2"/>
  <c r="BC103" i="2"/>
  <c r="BB103" i="2"/>
  <c r="BA103" i="2"/>
  <c r="AZ103" i="2"/>
  <c r="AY103" i="2"/>
  <c r="AO103" i="2"/>
  <c r="AN103" i="2"/>
  <c r="AM103" i="2"/>
  <c r="AL103" i="2"/>
  <c r="AK103" i="2"/>
  <c r="AJ103" i="2"/>
  <c r="AI103" i="2"/>
  <c r="AH103" i="2"/>
  <c r="AG103" i="2"/>
  <c r="AF103" i="2"/>
  <c r="AE103" i="2"/>
  <c r="AD103" i="2"/>
  <c r="AC103" i="2"/>
  <c r="AB103" i="2"/>
  <c r="BF102" i="2"/>
  <c r="BE102" i="2"/>
  <c r="BD102" i="2"/>
  <c r="BC102" i="2"/>
  <c r="BB102" i="2"/>
  <c r="BA102" i="2"/>
  <c r="AZ102" i="2"/>
  <c r="AY102" i="2"/>
  <c r="AO102" i="2"/>
  <c r="AN102" i="2"/>
  <c r="AM102" i="2"/>
  <c r="AL102" i="2"/>
  <c r="AK102" i="2"/>
  <c r="AJ102" i="2"/>
  <c r="AI102" i="2"/>
  <c r="AH102" i="2"/>
  <c r="AG102" i="2"/>
  <c r="AF102" i="2"/>
  <c r="AE102" i="2"/>
  <c r="AD102" i="2"/>
  <c r="AC102" i="2"/>
  <c r="AB102" i="2"/>
  <c r="BF101" i="2"/>
  <c r="BE101" i="2"/>
  <c r="BD101" i="2"/>
  <c r="BC101" i="2"/>
  <c r="BB101" i="2"/>
  <c r="BA101" i="2"/>
  <c r="AZ101" i="2"/>
  <c r="AY101" i="2"/>
  <c r="AO101" i="2"/>
  <c r="AN101" i="2"/>
  <c r="AM101" i="2"/>
  <c r="AL101" i="2"/>
  <c r="AK101" i="2"/>
  <c r="AJ101" i="2"/>
  <c r="AI101" i="2"/>
  <c r="AH101" i="2"/>
  <c r="AG101" i="2"/>
  <c r="AF101" i="2"/>
  <c r="AE101" i="2"/>
  <c r="AD101" i="2"/>
  <c r="AC101" i="2"/>
  <c r="AB101" i="2"/>
  <c r="AC100" i="2"/>
  <c r="AD100" i="2" s="1"/>
  <c r="AE100" i="2" s="1"/>
  <c r="AF100" i="2" s="1"/>
  <c r="AG100" i="2" s="1"/>
  <c r="C100" i="2"/>
  <c r="C256" i="2" s="1"/>
  <c r="AT256" i="2" s="1"/>
  <c r="AO99" i="2"/>
  <c r="AN99" i="2"/>
  <c r="AM99" i="2"/>
  <c r="AL99" i="2"/>
  <c r="AK99" i="2"/>
  <c r="AJ99" i="2"/>
  <c r="AI99" i="2"/>
  <c r="AH99" i="2"/>
  <c r="AG99" i="2"/>
  <c r="AF99" i="2"/>
  <c r="AE99" i="2"/>
  <c r="AD99" i="2"/>
  <c r="O99" i="2"/>
  <c r="N99" i="2"/>
  <c r="M99" i="2"/>
  <c r="L99" i="2"/>
  <c r="K99" i="2"/>
  <c r="J99" i="2"/>
  <c r="I99" i="2"/>
  <c r="H99" i="2"/>
  <c r="G99" i="2"/>
  <c r="F99" i="2"/>
  <c r="E99" i="2"/>
  <c r="D99" i="2"/>
  <c r="AO98" i="2"/>
  <c r="AN98" i="2"/>
  <c r="AM98" i="2"/>
  <c r="AL98" i="2"/>
  <c r="AK98" i="2"/>
  <c r="AJ98" i="2"/>
  <c r="AI98" i="2"/>
  <c r="AH98" i="2"/>
  <c r="AG98" i="2"/>
  <c r="AF98" i="2"/>
  <c r="AE98" i="2"/>
  <c r="AD98" i="2"/>
  <c r="O98" i="2"/>
  <c r="N98" i="2"/>
  <c r="M98" i="2"/>
  <c r="L98" i="2"/>
  <c r="K98" i="2"/>
  <c r="J98" i="2"/>
  <c r="I98" i="2"/>
  <c r="H98" i="2"/>
  <c r="G98" i="2"/>
  <c r="F98" i="2"/>
  <c r="E98" i="2"/>
  <c r="D98" i="2"/>
  <c r="EQ96" i="6"/>
  <c r="EK96" i="6"/>
  <c r="EE96" i="6"/>
  <c r="DY96" i="6"/>
  <c r="DS96" i="6"/>
  <c r="DM96" i="6"/>
  <c r="DG96" i="6"/>
  <c r="DA96" i="6"/>
  <c r="CU96" i="6"/>
  <c r="CO96" i="6"/>
  <c r="CI96" i="6"/>
  <c r="CC96" i="6"/>
  <c r="BW96" i="6"/>
  <c r="BQ96" i="6"/>
  <c r="BK96" i="6"/>
  <c r="BE96" i="6"/>
  <c r="AY96" i="6"/>
  <c r="AS96" i="6"/>
  <c r="AM96" i="6"/>
  <c r="AG96" i="6"/>
  <c r="AA96" i="6"/>
  <c r="U96" i="6"/>
  <c r="O96" i="6"/>
  <c r="EQ95" i="6"/>
  <c r="EK95" i="6"/>
  <c r="EE95" i="6"/>
  <c r="DY95" i="6"/>
  <c r="DS95" i="6"/>
  <c r="DM95" i="6"/>
  <c r="DG95" i="6"/>
  <c r="DA95" i="6"/>
  <c r="CU95" i="6"/>
  <c r="CO95" i="6"/>
  <c r="CI95" i="6"/>
  <c r="CC95" i="6"/>
  <c r="BW95" i="6"/>
  <c r="BQ95" i="6"/>
  <c r="BK95" i="6"/>
  <c r="BE95" i="6"/>
  <c r="AY95" i="6"/>
  <c r="AS95" i="6"/>
  <c r="AM95" i="6"/>
  <c r="AG95" i="6"/>
  <c r="AA95" i="6"/>
  <c r="U95" i="6"/>
  <c r="O95" i="6"/>
  <c r="EQ93" i="6"/>
  <c r="EO93" i="6"/>
  <c r="EN93" i="6"/>
  <c r="EM93" i="6"/>
  <c r="EK93" i="6"/>
  <c r="EI93" i="6"/>
  <c r="EH93" i="6"/>
  <c r="EG93" i="6"/>
  <c r="EE93" i="6"/>
  <c r="EC93" i="6"/>
  <c r="EB93" i="6"/>
  <c r="EA93" i="6"/>
  <c r="DY93" i="6"/>
  <c r="DW93" i="6"/>
  <c r="DV93" i="6"/>
  <c r="DU93" i="6"/>
  <c r="DS93" i="6"/>
  <c r="DQ93" i="6"/>
  <c r="DP93" i="6"/>
  <c r="DO93" i="6"/>
  <c r="DM93" i="6"/>
  <c r="DK93" i="6"/>
  <c r="DJ93" i="6"/>
  <c r="DI93" i="6"/>
  <c r="DG93" i="6"/>
  <c r="DE93" i="6"/>
  <c r="DD93" i="6"/>
  <c r="DC93" i="6"/>
  <c r="DA93" i="6"/>
  <c r="CY93" i="6"/>
  <c r="CX93" i="6"/>
  <c r="CW93" i="6"/>
  <c r="CU93" i="6"/>
  <c r="CS93" i="6"/>
  <c r="CR93" i="6"/>
  <c r="CQ93" i="6"/>
  <c r="CO93" i="6"/>
  <c r="CM93" i="6"/>
  <c r="CL93" i="6"/>
  <c r="CK93" i="6"/>
  <c r="CI93" i="6"/>
  <c r="CG93" i="6"/>
  <c r="CF93" i="6"/>
  <c r="CE93" i="6"/>
  <c r="CC93" i="6"/>
  <c r="CA93" i="6"/>
  <c r="BZ93" i="6"/>
  <c r="BY93" i="6"/>
  <c r="BW93" i="6"/>
  <c r="BU93" i="6"/>
  <c r="BT93" i="6"/>
  <c r="BS93" i="6"/>
  <c r="BQ93" i="6"/>
  <c r="BO93" i="6"/>
  <c r="BN93" i="6"/>
  <c r="BM93" i="6"/>
  <c r="BK93" i="6"/>
  <c r="BI93" i="6"/>
  <c r="BH93" i="6"/>
  <c r="BG93" i="6"/>
  <c r="BE93" i="6"/>
  <c r="BC93" i="6"/>
  <c r="BB93" i="6"/>
  <c r="BA93" i="6"/>
  <c r="AY93" i="6"/>
  <c r="AW93" i="6"/>
  <c r="AV93" i="6"/>
  <c r="AU93" i="6"/>
  <c r="AS93" i="6"/>
  <c r="AQ93" i="6"/>
  <c r="AP93" i="6"/>
  <c r="AO93" i="6"/>
  <c r="AM93" i="6"/>
  <c r="AK93" i="6"/>
  <c r="AJ93" i="6"/>
  <c r="AI93" i="6"/>
  <c r="AG93" i="6"/>
  <c r="AE93" i="6"/>
  <c r="AD93" i="6"/>
  <c r="AC93" i="6"/>
  <c r="AA93" i="6"/>
  <c r="Y93" i="6"/>
  <c r="X93" i="6"/>
  <c r="W93" i="6"/>
  <c r="U93" i="6"/>
  <c r="S93" i="6"/>
  <c r="R93" i="6"/>
  <c r="Q93" i="6"/>
  <c r="O93" i="6"/>
  <c r="M93" i="6"/>
  <c r="L93" i="6"/>
  <c r="K93" i="6"/>
  <c r="EQ92" i="6"/>
  <c r="EO92" i="6"/>
  <c r="EN92" i="6"/>
  <c r="EM92" i="6"/>
  <c r="EK92" i="6"/>
  <c r="EI92" i="6"/>
  <c r="EH92" i="6"/>
  <c r="EG92" i="6"/>
  <c r="EE92" i="6"/>
  <c r="EC92" i="6"/>
  <c r="EB92" i="6"/>
  <c r="EA92" i="6"/>
  <c r="DY92" i="6"/>
  <c r="DW92" i="6"/>
  <c r="DV92" i="6"/>
  <c r="DU92" i="6"/>
  <c r="DS92" i="6"/>
  <c r="DQ92" i="6"/>
  <c r="DP92" i="6"/>
  <c r="DO92" i="6"/>
  <c r="DM92" i="6"/>
  <c r="DK92" i="6"/>
  <c r="DJ92" i="6"/>
  <c r="DI92" i="6"/>
  <c r="DG92" i="6"/>
  <c r="DE92" i="6"/>
  <c r="DD92" i="6"/>
  <c r="DC92" i="6"/>
  <c r="DA92" i="6"/>
  <c r="CY92" i="6"/>
  <c r="CX92" i="6"/>
  <c r="CW92" i="6"/>
  <c r="CU92" i="6"/>
  <c r="CS92" i="6"/>
  <c r="CR92" i="6"/>
  <c r="CQ92" i="6"/>
  <c r="CO92" i="6"/>
  <c r="CM92" i="6"/>
  <c r="CL92" i="6"/>
  <c r="CK92" i="6"/>
  <c r="CI92" i="6"/>
  <c r="CG92" i="6"/>
  <c r="CF92" i="6"/>
  <c r="CE92" i="6"/>
  <c r="CC92" i="6"/>
  <c r="CA92" i="6"/>
  <c r="BZ92" i="6"/>
  <c r="BY92" i="6"/>
  <c r="BW92" i="6"/>
  <c r="BU92" i="6"/>
  <c r="BT92" i="6"/>
  <c r="BS92" i="6"/>
  <c r="BQ92" i="6"/>
  <c r="BO92" i="6"/>
  <c r="BN92" i="6"/>
  <c r="BM92" i="6"/>
  <c r="BK92" i="6"/>
  <c r="BI92" i="6"/>
  <c r="BH92" i="6"/>
  <c r="BG92" i="6"/>
  <c r="BE92" i="6"/>
  <c r="BC92" i="6"/>
  <c r="BB92" i="6"/>
  <c r="BA92" i="6"/>
  <c r="AY92" i="6"/>
  <c r="AW92" i="6"/>
  <c r="AV92" i="6"/>
  <c r="AU92" i="6"/>
  <c r="AS92" i="6"/>
  <c r="AQ92" i="6"/>
  <c r="AP92" i="6"/>
  <c r="AO92" i="6"/>
  <c r="AM92" i="6"/>
  <c r="AK92" i="6"/>
  <c r="AJ92" i="6"/>
  <c r="AI92" i="6"/>
  <c r="AG92" i="6"/>
  <c r="AE92" i="6"/>
  <c r="AD92" i="6"/>
  <c r="AC92" i="6"/>
  <c r="AA92" i="6"/>
  <c r="Y92" i="6"/>
  <c r="X92" i="6"/>
  <c r="W92" i="6"/>
  <c r="U92" i="6"/>
  <c r="S92" i="6"/>
  <c r="R92" i="6"/>
  <c r="Q92" i="6"/>
  <c r="O92" i="6"/>
  <c r="M92" i="6"/>
  <c r="L92" i="6"/>
  <c r="K92" i="6"/>
  <c r="EQ90" i="6"/>
  <c r="EO90" i="6"/>
  <c r="EN90" i="6"/>
  <c r="EM90" i="6"/>
  <c r="EK90" i="6"/>
  <c r="EI90" i="6"/>
  <c r="EH90" i="6"/>
  <c r="EG90" i="6"/>
  <c r="EE90" i="6"/>
  <c r="EC90" i="6"/>
  <c r="EB90" i="6"/>
  <c r="EA90" i="6"/>
  <c r="DY90" i="6"/>
  <c r="DW90" i="6"/>
  <c r="DV90" i="6"/>
  <c r="DU90" i="6"/>
  <c r="DS90" i="6"/>
  <c r="DQ90" i="6"/>
  <c r="DP90" i="6"/>
  <c r="DO90" i="6"/>
  <c r="DM90" i="6"/>
  <c r="DK90" i="6"/>
  <c r="DJ90" i="6"/>
  <c r="DI90" i="6"/>
  <c r="DG90" i="6"/>
  <c r="DE90" i="6"/>
  <c r="DD90" i="6"/>
  <c r="DC90" i="6"/>
  <c r="DA90" i="6"/>
  <c r="CY90" i="6"/>
  <c r="CX90" i="6"/>
  <c r="CW90" i="6"/>
  <c r="CU90" i="6"/>
  <c r="CS90" i="6"/>
  <c r="CR90" i="6"/>
  <c r="CQ90" i="6"/>
  <c r="CO90" i="6"/>
  <c r="CM90" i="6"/>
  <c r="CL90" i="6"/>
  <c r="CK90" i="6"/>
  <c r="CI90" i="6"/>
  <c r="CG90" i="6"/>
  <c r="CF90" i="6"/>
  <c r="CE90" i="6"/>
  <c r="CC90" i="6"/>
  <c r="CA90" i="6"/>
  <c r="BZ90" i="6"/>
  <c r="BY90" i="6"/>
  <c r="BW90" i="6"/>
  <c r="BU90" i="6"/>
  <c r="BT90" i="6"/>
  <c r="BS90" i="6"/>
  <c r="BQ90" i="6"/>
  <c r="BO90" i="6"/>
  <c r="BN90" i="6"/>
  <c r="BM90" i="6"/>
  <c r="BK90" i="6"/>
  <c r="BI90" i="6"/>
  <c r="BH90" i="6"/>
  <c r="BG90" i="6"/>
  <c r="BE90" i="6"/>
  <c r="BC90" i="6"/>
  <c r="BB90" i="6"/>
  <c r="BA90" i="6"/>
  <c r="AY90" i="6"/>
  <c r="AW90" i="6"/>
  <c r="AV90" i="6"/>
  <c r="AU90" i="6"/>
  <c r="AS90" i="6"/>
  <c r="AQ90" i="6"/>
  <c r="AP90" i="6"/>
  <c r="AO90" i="6"/>
  <c r="AM90" i="6"/>
  <c r="AK90" i="6"/>
  <c r="AJ90" i="6"/>
  <c r="AI90" i="6"/>
  <c r="AG90" i="6"/>
  <c r="AE90" i="6"/>
  <c r="AD90" i="6"/>
  <c r="AC90" i="6"/>
  <c r="AA90" i="6"/>
  <c r="Y90" i="6"/>
  <c r="X90" i="6"/>
  <c r="W90" i="6"/>
  <c r="U90" i="6"/>
  <c r="S90" i="6"/>
  <c r="R90" i="6"/>
  <c r="Q90" i="6"/>
  <c r="O90" i="6"/>
  <c r="M90" i="6"/>
  <c r="L90" i="6"/>
  <c r="K90" i="6"/>
  <c r="EQ88" i="6"/>
  <c r="EK88" i="6"/>
  <c r="EE88" i="6"/>
  <c r="DY88" i="6"/>
  <c r="DS88" i="6"/>
  <c r="DM88" i="6"/>
  <c r="DG88" i="6"/>
  <c r="DA88" i="6"/>
  <c r="CU88" i="6"/>
  <c r="CO88" i="6"/>
  <c r="CI88" i="6"/>
  <c r="CC88" i="6"/>
  <c r="BW88" i="6"/>
  <c r="BQ88" i="6"/>
  <c r="BK88" i="6"/>
  <c r="BE88" i="6"/>
  <c r="AY88" i="6"/>
  <c r="AS88" i="6"/>
  <c r="AM88" i="6"/>
  <c r="AG88" i="6"/>
  <c r="AA88" i="6"/>
  <c r="U88" i="6"/>
  <c r="O88" i="6"/>
  <c r="EQ87" i="6"/>
  <c r="EO87" i="6"/>
  <c r="EN87" i="6"/>
  <c r="EM87" i="6"/>
  <c r="EK87" i="6"/>
  <c r="EI87" i="6"/>
  <c r="EH87" i="6"/>
  <c r="EG87" i="6"/>
  <c r="EE87" i="6"/>
  <c r="EC87" i="6"/>
  <c r="EB87" i="6"/>
  <c r="EA87" i="6"/>
  <c r="DY87" i="6"/>
  <c r="DW87" i="6"/>
  <c r="DV87" i="6"/>
  <c r="DU87" i="6"/>
  <c r="DS87" i="6"/>
  <c r="DQ87" i="6"/>
  <c r="DP87" i="6"/>
  <c r="DO87" i="6"/>
  <c r="DM87" i="6"/>
  <c r="DK87" i="6"/>
  <c r="DJ87" i="6"/>
  <c r="DI87" i="6"/>
  <c r="DG87" i="6"/>
  <c r="DE87" i="6"/>
  <c r="DD87" i="6"/>
  <c r="DC87" i="6"/>
  <c r="DA87" i="6"/>
  <c r="CY87" i="6"/>
  <c r="CX87" i="6"/>
  <c r="CW87" i="6"/>
  <c r="CU87" i="6"/>
  <c r="CS87" i="6"/>
  <c r="CR87" i="6"/>
  <c r="CQ87" i="6"/>
  <c r="CO87" i="6"/>
  <c r="CM87" i="6"/>
  <c r="CL87" i="6"/>
  <c r="CK87" i="6"/>
  <c r="CI87" i="6"/>
  <c r="CG87" i="6"/>
  <c r="CF87" i="6"/>
  <c r="CE87" i="6"/>
  <c r="CC87" i="6"/>
  <c r="CA87" i="6"/>
  <c r="BZ87" i="6"/>
  <c r="BY87" i="6"/>
  <c r="BW87" i="6"/>
  <c r="BU87" i="6"/>
  <c r="BT87" i="6"/>
  <c r="BS87" i="6"/>
  <c r="BQ87" i="6"/>
  <c r="BO87" i="6"/>
  <c r="BN87" i="6"/>
  <c r="BM87" i="6"/>
  <c r="BK87" i="6"/>
  <c r="BI87" i="6"/>
  <c r="BH87" i="6"/>
  <c r="BG87" i="6"/>
  <c r="BE87" i="6"/>
  <c r="BC87" i="6"/>
  <c r="BB87" i="6"/>
  <c r="BA87" i="6"/>
  <c r="AY87" i="6"/>
  <c r="AW87" i="6"/>
  <c r="AV87" i="6"/>
  <c r="AU87" i="6"/>
  <c r="AS87" i="6"/>
  <c r="AQ87" i="6"/>
  <c r="AP87" i="6"/>
  <c r="AO87" i="6"/>
  <c r="AM87" i="6"/>
  <c r="AK87" i="6"/>
  <c r="AJ87" i="6"/>
  <c r="AI87" i="6"/>
  <c r="AG87" i="6"/>
  <c r="AE87" i="6"/>
  <c r="AD87" i="6"/>
  <c r="AC87" i="6"/>
  <c r="AA87" i="6"/>
  <c r="Y87" i="6"/>
  <c r="X87" i="6"/>
  <c r="W87" i="6"/>
  <c r="U87" i="6"/>
  <c r="S87" i="6"/>
  <c r="R87" i="6"/>
  <c r="Q87" i="6"/>
  <c r="O87" i="6"/>
  <c r="M87" i="6"/>
  <c r="L87" i="6"/>
  <c r="K87" i="6"/>
  <c r="EQ86" i="6"/>
  <c r="EO86" i="6"/>
  <c r="EN86" i="6"/>
  <c r="EM86" i="6"/>
  <c r="EK86" i="6"/>
  <c r="EI86" i="6"/>
  <c r="EH86" i="6"/>
  <c r="EG86" i="6"/>
  <c r="EE86" i="6"/>
  <c r="EC86" i="6"/>
  <c r="EB86" i="6"/>
  <c r="EA86" i="6"/>
  <c r="DY86" i="6"/>
  <c r="DW86" i="6"/>
  <c r="DV86" i="6"/>
  <c r="DU86" i="6"/>
  <c r="DS86" i="6"/>
  <c r="DQ86" i="6"/>
  <c r="DP86" i="6"/>
  <c r="DO86" i="6"/>
  <c r="DM86" i="6"/>
  <c r="DK86" i="6"/>
  <c r="DJ86" i="6"/>
  <c r="DI86" i="6"/>
  <c r="DG86" i="6"/>
  <c r="DE86" i="6"/>
  <c r="DD86" i="6"/>
  <c r="DC86" i="6"/>
  <c r="DA86" i="6"/>
  <c r="CY86" i="6"/>
  <c r="CX86" i="6"/>
  <c r="CW86" i="6"/>
  <c r="CU86" i="6"/>
  <c r="CS86" i="6"/>
  <c r="CR86" i="6"/>
  <c r="CQ86" i="6"/>
  <c r="CO86" i="6"/>
  <c r="CM86" i="6"/>
  <c r="CL86" i="6"/>
  <c r="CK86" i="6"/>
  <c r="CI86" i="6"/>
  <c r="CG86" i="6"/>
  <c r="CF86" i="6"/>
  <c r="CE86" i="6"/>
  <c r="CC86" i="6"/>
  <c r="CA86" i="6"/>
  <c r="BZ86" i="6"/>
  <c r="BY86" i="6"/>
  <c r="BW86" i="6"/>
  <c r="BU86" i="6"/>
  <c r="BT86" i="6"/>
  <c r="BS86" i="6"/>
  <c r="BQ86" i="6"/>
  <c r="BO86" i="6"/>
  <c r="BN86" i="6"/>
  <c r="BM86" i="6"/>
  <c r="BK86" i="6"/>
  <c r="BI86" i="6"/>
  <c r="BH86" i="6"/>
  <c r="BG86" i="6"/>
  <c r="BE86" i="6"/>
  <c r="BC86" i="6"/>
  <c r="BB86" i="6"/>
  <c r="BA86" i="6"/>
  <c r="AY86" i="6"/>
  <c r="AW86" i="6"/>
  <c r="AV86" i="6"/>
  <c r="AU86" i="6"/>
  <c r="AS86" i="6"/>
  <c r="AQ86" i="6"/>
  <c r="AP86" i="6"/>
  <c r="AO86" i="6"/>
  <c r="AM86" i="6"/>
  <c r="AK86" i="6"/>
  <c r="AJ86" i="6"/>
  <c r="AI86" i="6"/>
  <c r="AG86" i="6"/>
  <c r="AE86" i="6"/>
  <c r="AD86" i="6"/>
  <c r="AC86" i="6"/>
  <c r="AA86" i="6"/>
  <c r="Y86" i="6"/>
  <c r="X86" i="6"/>
  <c r="W86" i="6"/>
  <c r="U86" i="6"/>
  <c r="S86" i="6"/>
  <c r="R86" i="6"/>
  <c r="Q86" i="6"/>
  <c r="O86" i="6"/>
  <c r="M86" i="6"/>
  <c r="L86" i="6"/>
  <c r="K86" i="6"/>
  <c r="EQ85" i="6"/>
  <c r="EO85" i="6"/>
  <c r="EK85" i="6"/>
  <c r="EI85" i="6"/>
  <c r="EE85" i="6"/>
  <c r="EC85" i="6"/>
  <c r="DY85" i="6"/>
  <c r="DW85" i="6"/>
  <c r="DS85" i="6"/>
  <c r="DQ85" i="6"/>
  <c r="DM85" i="6"/>
  <c r="DK85" i="6"/>
  <c r="DG85" i="6"/>
  <c r="DE85" i="6"/>
  <c r="DA85" i="6"/>
  <c r="CY85" i="6"/>
  <c r="CU85" i="6"/>
  <c r="CS85" i="6"/>
  <c r="CO85" i="6"/>
  <c r="CM85" i="6"/>
  <c r="CI85" i="6"/>
  <c r="CG85" i="6"/>
  <c r="CC85" i="6"/>
  <c r="CA85" i="6"/>
  <c r="BW85" i="6"/>
  <c r="BU85" i="6"/>
  <c r="BQ85" i="6"/>
  <c r="BO85" i="6"/>
  <c r="BK85" i="6"/>
  <c r="BI85" i="6"/>
  <c r="BE85" i="6"/>
  <c r="BC85" i="6"/>
  <c r="AY85" i="6"/>
  <c r="AW85" i="6"/>
  <c r="AS85" i="6"/>
  <c r="AQ85" i="6"/>
  <c r="AM85" i="6"/>
  <c r="AK85" i="6"/>
  <c r="AG85" i="6"/>
  <c r="AE85" i="6"/>
  <c r="AA85" i="6"/>
  <c r="Y85" i="6"/>
  <c r="U85" i="6"/>
  <c r="S85" i="6"/>
  <c r="O85" i="6"/>
  <c r="M85" i="6"/>
  <c r="EQ83" i="6"/>
  <c r="EK83" i="6"/>
  <c r="EE83" i="6"/>
  <c r="DY83" i="6"/>
  <c r="DS83" i="6"/>
  <c r="DM83" i="6"/>
  <c r="DG83" i="6"/>
  <c r="DA83" i="6"/>
  <c r="CU83" i="6"/>
  <c r="CO83" i="6"/>
  <c r="CI83" i="6"/>
  <c r="CC83" i="6"/>
  <c r="BW83" i="6"/>
  <c r="BQ83" i="6"/>
  <c r="BK83" i="6"/>
  <c r="BE83" i="6"/>
  <c r="AY83" i="6"/>
  <c r="AS83" i="6"/>
  <c r="AM83" i="6"/>
  <c r="AG83" i="6"/>
  <c r="AA83" i="6"/>
  <c r="U83" i="6"/>
  <c r="O83" i="6"/>
  <c r="EQ82" i="6"/>
  <c r="EK82" i="6"/>
  <c r="EE82" i="6"/>
  <c r="DY82" i="6"/>
  <c r="DS82" i="6"/>
  <c r="DM82" i="6"/>
  <c r="DG82" i="6"/>
  <c r="DA82" i="6"/>
  <c r="CU82" i="6"/>
  <c r="CO82" i="6"/>
  <c r="CI82" i="6"/>
  <c r="CC82" i="6"/>
  <c r="BW82" i="6"/>
  <c r="BQ82" i="6"/>
  <c r="BK82" i="6"/>
  <c r="BE82" i="6"/>
  <c r="AY82" i="6"/>
  <c r="AS82" i="6"/>
  <c r="AM82" i="6"/>
  <c r="AG82" i="6"/>
  <c r="AA82" i="6"/>
  <c r="U82" i="6"/>
  <c r="O82" i="6"/>
  <c r="EQ80" i="6"/>
  <c r="EP80" i="6"/>
  <c r="EO80" i="6"/>
  <c r="EK80" i="6"/>
  <c r="EJ80" i="6"/>
  <c r="EI80" i="6"/>
  <c r="EE80" i="6"/>
  <c r="ED80" i="6"/>
  <c r="EC80" i="6"/>
  <c r="DY80" i="6"/>
  <c r="DX80" i="6"/>
  <c r="DW80" i="6"/>
  <c r="DS80" i="6"/>
  <c r="DR80" i="6"/>
  <c r="DQ80" i="6"/>
  <c r="DM80" i="6"/>
  <c r="DL80" i="6"/>
  <c r="DK80" i="6"/>
  <c r="DG80" i="6"/>
  <c r="DF80" i="6"/>
  <c r="DE80" i="6"/>
  <c r="DA80" i="6"/>
  <c r="CZ80" i="6"/>
  <c r="CY80" i="6"/>
  <c r="CU80" i="6"/>
  <c r="CT80" i="6"/>
  <c r="CS80" i="6"/>
  <c r="CO80" i="6"/>
  <c r="CN80" i="6"/>
  <c r="CM80" i="6"/>
  <c r="CI80" i="6"/>
  <c r="CH80" i="6"/>
  <c r="CG80" i="6"/>
  <c r="CC80" i="6"/>
  <c r="CB80" i="6"/>
  <c r="CA80" i="6"/>
  <c r="BW80" i="6"/>
  <c r="BV80" i="6"/>
  <c r="BU80" i="6"/>
  <c r="BQ80" i="6"/>
  <c r="BP80" i="6"/>
  <c r="BO80" i="6"/>
  <c r="BK80" i="6"/>
  <c r="BJ80" i="6"/>
  <c r="BI80" i="6"/>
  <c r="BE80" i="6"/>
  <c r="BD80" i="6"/>
  <c r="BC80" i="6"/>
  <c r="AY80" i="6"/>
  <c r="AX80" i="6"/>
  <c r="AW80" i="6"/>
  <c r="AS80" i="6"/>
  <c r="AR80" i="6"/>
  <c r="AQ80" i="6"/>
  <c r="AM80" i="6"/>
  <c r="AL80" i="6"/>
  <c r="AK80" i="6"/>
  <c r="AG80" i="6"/>
  <c r="AF80" i="6"/>
  <c r="AE80" i="6"/>
  <c r="AA80" i="6"/>
  <c r="Z80" i="6"/>
  <c r="Y80" i="6"/>
  <c r="U80" i="6"/>
  <c r="T80" i="6"/>
  <c r="S80" i="6"/>
  <c r="O80" i="6"/>
  <c r="N80" i="6"/>
  <c r="M80" i="6"/>
  <c r="EQ78" i="6"/>
  <c r="EK78" i="6"/>
  <c r="EE78" i="6"/>
  <c r="DY78" i="6"/>
  <c r="DS78" i="6"/>
  <c r="DM78" i="6"/>
  <c r="DG78" i="6"/>
  <c r="DA78" i="6"/>
  <c r="CU78" i="6"/>
  <c r="CO78" i="6"/>
  <c r="CI78" i="6"/>
  <c r="CC78" i="6"/>
  <c r="BW78" i="6"/>
  <c r="BQ78" i="6"/>
  <c r="BK78" i="6"/>
  <c r="BE78" i="6"/>
  <c r="AY78" i="6"/>
  <c r="AS78" i="6"/>
  <c r="AM78" i="6"/>
  <c r="AG78" i="6"/>
  <c r="AA78" i="6"/>
  <c r="U78" i="6"/>
  <c r="O78" i="6"/>
  <c r="EQ76" i="6"/>
  <c r="EP76" i="6"/>
  <c r="EO76" i="6"/>
  <c r="EK76" i="6"/>
  <c r="EJ76" i="6"/>
  <c r="EI76" i="6"/>
  <c r="EE76" i="6"/>
  <c r="ED76" i="6"/>
  <c r="EC76" i="6"/>
  <c r="DY76" i="6"/>
  <c r="DX76" i="6"/>
  <c r="DW76" i="6"/>
  <c r="DS76" i="6"/>
  <c r="DR76" i="6"/>
  <c r="DQ76" i="6"/>
  <c r="DM76" i="6"/>
  <c r="DL76" i="6"/>
  <c r="DK76" i="6"/>
  <c r="DG76" i="6"/>
  <c r="DF76" i="6"/>
  <c r="DE76" i="6"/>
  <c r="DA76" i="6"/>
  <c r="CZ76" i="6"/>
  <c r="CY76" i="6"/>
  <c r="CU76" i="6"/>
  <c r="CT76" i="6"/>
  <c r="CS76" i="6"/>
  <c r="CO76" i="6"/>
  <c r="CN76" i="6"/>
  <c r="CM76" i="6"/>
  <c r="CI76" i="6"/>
  <c r="CH76" i="6"/>
  <c r="CG76" i="6"/>
  <c r="CC76" i="6"/>
  <c r="CB76" i="6"/>
  <c r="CA76" i="6"/>
  <c r="BW76" i="6"/>
  <c r="BV76" i="6"/>
  <c r="BU76" i="6"/>
  <c r="BQ76" i="6"/>
  <c r="BP76" i="6"/>
  <c r="BO76" i="6"/>
  <c r="BK76" i="6"/>
  <c r="BJ76" i="6"/>
  <c r="BI76" i="6"/>
  <c r="BE76" i="6"/>
  <c r="BD76" i="6"/>
  <c r="BC76" i="6"/>
  <c r="AY76" i="6"/>
  <c r="AX76" i="6"/>
  <c r="AW76" i="6"/>
  <c r="AS76" i="6"/>
  <c r="AR76" i="6"/>
  <c r="AQ76" i="6"/>
  <c r="AM76" i="6"/>
  <c r="AL76" i="6"/>
  <c r="AK76" i="6"/>
  <c r="AG76" i="6"/>
  <c r="AF76" i="6"/>
  <c r="AE76" i="6"/>
  <c r="AA76" i="6"/>
  <c r="Z76" i="6"/>
  <c r="Y76" i="6"/>
  <c r="U76" i="6"/>
  <c r="T76" i="6"/>
  <c r="S76" i="6"/>
  <c r="O76" i="6"/>
  <c r="N76" i="6"/>
  <c r="M76" i="6"/>
  <c r="EQ75" i="6"/>
  <c r="EO75" i="6"/>
  <c r="EN75" i="6"/>
  <c r="EM75" i="6"/>
  <c r="EK75" i="6"/>
  <c r="EI75" i="6"/>
  <c r="EH75" i="6"/>
  <c r="EG75" i="6"/>
  <c r="EE75" i="6"/>
  <c r="EC75" i="6"/>
  <c r="EB75" i="6"/>
  <c r="EA75" i="6"/>
  <c r="DY75" i="6"/>
  <c r="DW75" i="6"/>
  <c r="DV75" i="6"/>
  <c r="DU75" i="6"/>
  <c r="DS75" i="6"/>
  <c r="DQ75" i="6"/>
  <c r="DP75" i="6"/>
  <c r="DO75" i="6"/>
  <c r="DM75" i="6"/>
  <c r="DK75" i="6"/>
  <c r="DJ75" i="6"/>
  <c r="DI75" i="6"/>
  <c r="DG75" i="6"/>
  <c r="DE75" i="6"/>
  <c r="DD75" i="6"/>
  <c r="DC75" i="6"/>
  <c r="DA75" i="6"/>
  <c r="CY75" i="6"/>
  <c r="CX75" i="6"/>
  <c r="CW75" i="6"/>
  <c r="CU75" i="6"/>
  <c r="CS75" i="6"/>
  <c r="CR75" i="6"/>
  <c r="CQ75" i="6"/>
  <c r="CO75" i="6"/>
  <c r="CM75" i="6"/>
  <c r="CL75" i="6"/>
  <c r="CK75" i="6"/>
  <c r="CI75" i="6"/>
  <c r="CG75" i="6"/>
  <c r="CF75" i="6"/>
  <c r="CE75" i="6"/>
  <c r="CC75" i="6"/>
  <c r="CA75" i="6"/>
  <c r="BZ75" i="6"/>
  <c r="BY75" i="6"/>
  <c r="BW75" i="6"/>
  <c r="BU75" i="6"/>
  <c r="BT75" i="6"/>
  <c r="BS75" i="6"/>
  <c r="BQ75" i="6"/>
  <c r="BO75" i="6"/>
  <c r="BN75" i="6"/>
  <c r="BM75" i="6"/>
  <c r="BK75" i="6"/>
  <c r="BI75" i="6"/>
  <c r="BH75" i="6"/>
  <c r="BG75" i="6"/>
  <c r="BE75" i="6"/>
  <c r="BC75" i="6"/>
  <c r="BB75" i="6"/>
  <c r="BA75" i="6"/>
  <c r="AY75" i="6"/>
  <c r="AW75" i="6"/>
  <c r="AV75" i="6"/>
  <c r="AU75" i="6"/>
  <c r="AS75" i="6"/>
  <c r="AQ75" i="6"/>
  <c r="AP75" i="6"/>
  <c r="AO75" i="6"/>
  <c r="AM75" i="6"/>
  <c r="AK75" i="6"/>
  <c r="AJ75" i="6"/>
  <c r="AI75" i="6"/>
  <c r="AG75" i="6"/>
  <c r="AE75" i="6"/>
  <c r="AD75" i="6"/>
  <c r="AC75" i="6"/>
  <c r="AA75" i="6"/>
  <c r="Y75" i="6"/>
  <c r="X75" i="6"/>
  <c r="W75" i="6"/>
  <c r="U75" i="6"/>
  <c r="S75" i="6"/>
  <c r="R75" i="6"/>
  <c r="Q75" i="6"/>
  <c r="O75" i="6"/>
  <c r="M75" i="6"/>
  <c r="L75" i="6"/>
  <c r="K75" i="6"/>
  <c r="EQ74" i="6"/>
  <c r="EO74" i="6"/>
  <c r="EN74" i="6"/>
  <c r="EM74" i="6"/>
  <c r="EK74" i="6"/>
  <c r="EI74" i="6"/>
  <c r="EH74" i="6"/>
  <c r="EG74" i="6"/>
  <c r="EE74" i="6"/>
  <c r="EC74" i="6"/>
  <c r="EB74" i="6"/>
  <c r="EA74" i="6"/>
  <c r="DY74" i="6"/>
  <c r="DW74" i="6"/>
  <c r="DV74" i="6"/>
  <c r="DU74" i="6"/>
  <c r="DS74" i="6"/>
  <c r="DQ74" i="6"/>
  <c r="DP74" i="6"/>
  <c r="DO74" i="6"/>
  <c r="DM74" i="6"/>
  <c r="DK74" i="6"/>
  <c r="DJ74" i="6"/>
  <c r="DI74" i="6"/>
  <c r="DG74" i="6"/>
  <c r="DE74" i="6"/>
  <c r="DD74" i="6"/>
  <c r="DC74" i="6"/>
  <c r="DA74" i="6"/>
  <c r="CY74" i="6"/>
  <c r="CX74" i="6"/>
  <c r="CW74" i="6"/>
  <c r="CU74" i="6"/>
  <c r="CS74" i="6"/>
  <c r="CR74" i="6"/>
  <c r="CQ74" i="6"/>
  <c r="CO74" i="6"/>
  <c r="CM74" i="6"/>
  <c r="CL74" i="6"/>
  <c r="CK74" i="6"/>
  <c r="CI74" i="6"/>
  <c r="CG74" i="6"/>
  <c r="CF74" i="6"/>
  <c r="CE74" i="6"/>
  <c r="CC74" i="6"/>
  <c r="CA74" i="6"/>
  <c r="BZ74" i="6"/>
  <c r="BY74" i="6"/>
  <c r="BW74" i="6"/>
  <c r="BU74" i="6"/>
  <c r="BT74" i="6"/>
  <c r="BS74" i="6"/>
  <c r="BQ74" i="6"/>
  <c r="BO74" i="6"/>
  <c r="BN74" i="6"/>
  <c r="BM74" i="6"/>
  <c r="BK74" i="6"/>
  <c r="BI74" i="6"/>
  <c r="BH74" i="6"/>
  <c r="BG74" i="6"/>
  <c r="BE74" i="6"/>
  <c r="BC74" i="6"/>
  <c r="BB74" i="6"/>
  <c r="BA74" i="6"/>
  <c r="AY74" i="6"/>
  <c r="AW74" i="6"/>
  <c r="AV74" i="6"/>
  <c r="AU74" i="6"/>
  <c r="AS74" i="6"/>
  <c r="AQ74" i="6"/>
  <c r="AP74" i="6"/>
  <c r="AO74" i="6"/>
  <c r="AM74" i="6"/>
  <c r="AK74" i="6"/>
  <c r="AJ74" i="6"/>
  <c r="AI74" i="6"/>
  <c r="AG74" i="6"/>
  <c r="AE74" i="6"/>
  <c r="AD74" i="6"/>
  <c r="AC74" i="6"/>
  <c r="AA74" i="6"/>
  <c r="Y74" i="6"/>
  <c r="X74" i="6"/>
  <c r="W74" i="6"/>
  <c r="U74" i="6"/>
  <c r="S74" i="6"/>
  <c r="R74" i="6"/>
  <c r="Q74" i="6"/>
  <c r="O74" i="6"/>
  <c r="M74" i="6"/>
  <c r="L74" i="6"/>
  <c r="K74" i="6"/>
  <c r="EQ72" i="6"/>
  <c r="EO72" i="6"/>
  <c r="EN72" i="6"/>
  <c r="EK72" i="6"/>
  <c r="EI72" i="6"/>
  <c r="EH72" i="6"/>
  <c r="EE72" i="6"/>
  <c r="EC72" i="6"/>
  <c r="EB72" i="6"/>
  <c r="DY72" i="6"/>
  <c r="DW72" i="6"/>
  <c r="DV72" i="6"/>
  <c r="DS72" i="6"/>
  <c r="DQ72" i="6"/>
  <c r="DP72" i="6"/>
  <c r="DM72" i="6"/>
  <c r="DK72" i="6"/>
  <c r="DJ72" i="6"/>
  <c r="DG72" i="6"/>
  <c r="DE72" i="6"/>
  <c r="DD72" i="6"/>
  <c r="DA72" i="6"/>
  <c r="CY72" i="6"/>
  <c r="CX72" i="6"/>
  <c r="CU72" i="6"/>
  <c r="CS72" i="6"/>
  <c r="CR72" i="6"/>
  <c r="CO72" i="6"/>
  <c r="CM72" i="6"/>
  <c r="CL72" i="6"/>
  <c r="CI72" i="6"/>
  <c r="CG72" i="6"/>
  <c r="CF72" i="6"/>
  <c r="CC72" i="6"/>
  <c r="CA72" i="6"/>
  <c r="BZ72" i="6"/>
  <c r="BW72" i="6"/>
  <c r="BU72" i="6"/>
  <c r="BT72" i="6"/>
  <c r="BQ72" i="6"/>
  <c r="BO72" i="6"/>
  <c r="BN72" i="6"/>
  <c r="BK72" i="6"/>
  <c r="BI72" i="6"/>
  <c r="BH72" i="6"/>
  <c r="BE72" i="6"/>
  <c r="BC72" i="6"/>
  <c r="BB72" i="6"/>
  <c r="AY72" i="6"/>
  <c r="AW72" i="6"/>
  <c r="AV72" i="6"/>
  <c r="AS72" i="6"/>
  <c r="AQ72" i="6"/>
  <c r="AP72" i="6"/>
  <c r="AM72" i="6"/>
  <c r="AK72" i="6"/>
  <c r="AJ72" i="6"/>
  <c r="AG72" i="6"/>
  <c r="AE72" i="6"/>
  <c r="AD72" i="6"/>
  <c r="AA72" i="6"/>
  <c r="Y72" i="6"/>
  <c r="X72" i="6"/>
  <c r="U72" i="6"/>
  <c r="S72" i="6"/>
  <c r="R72" i="6"/>
  <c r="O72" i="6"/>
  <c r="M72" i="6"/>
  <c r="L72" i="6"/>
  <c r="EQ71" i="6"/>
  <c r="EK71" i="6"/>
  <c r="EE71" i="6"/>
  <c r="DY71" i="6"/>
  <c r="DS71" i="6"/>
  <c r="DM71" i="6"/>
  <c r="DG71" i="6"/>
  <c r="DA71" i="6"/>
  <c r="CU71" i="6"/>
  <c r="CO71" i="6"/>
  <c r="CI71" i="6"/>
  <c r="CC71" i="6"/>
  <c r="BW71" i="6"/>
  <c r="BQ71" i="6"/>
  <c r="BK71" i="6"/>
  <c r="BE71" i="6"/>
  <c r="AY71" i="6"/>
  <c r="AS71" i="6"/>
  <c r="AM71" i="6"/>
  <c r="AG71" i="6"/>
  <c r="AA71" i="6"/>
  <c r="U71" i="6"/>
  <c r="O71" i="6"/>
  <c r="EQ70" i="6"/>
  <c r="EO70" i="6"/>
  <c r="EN70" i="6"/>
  <c r="EM70" i="6"/>
  <c r="EK70" i="6"/>
  <c r="EI70" i="6"/>
  <c r="EH70" i="6"/>
  <c r="EG70" i="6"/>
  <c r="EE70" i="6"/>
  <c r="EC70" i="6"/>
  <c r="EB70" i="6"/>
  <c r="EA70" i="6"/>
  <c r="DY70" i="6"/>
  <c r="DW70" i="6"/>
  <c r="DV70" i="6"/>
  <c r="DU70" i="6"/>
  <c r="DS70" i="6"/>
  <c r="DQ70" i="6"/>
  <c r="DP70" i="6"/>
  <c r="DO70" i="6"/>
  <c r="DM70" i="6"/>
  <c r="DK70" i="6"/>
  <c r="DJ70" i="6"/>
  <c r="DI70" i="6"/>
  <c r="DG70" i="6"/>
  <c r="DE70" i="6"/>
  <c r="DD70" i="6"/>
  <c r="DC70" i="6"/>
  <c r="DA70" i="6"/>
  <c r="CY70" i="6"/>
  <c r="CX70" i="6"/>
  <c r="CW70" i="6"/>
  <c r="CU70" i="6"/>
  <c r="CS70" i="6"/>
  <c r="CR70" i="6"/>
  <c r="CQ70" i="6"/>
  <c r="CO70" i="6"/>
  <c r="CM70" i="6"/>
  <c r="CL70" i="6"/>
  <c r="CK70" i="6"/>
  <c r="CI70" i="6"/>
  <c r="CG70" i="6"/>
  <c r="CF70" i="6"/>
  <c r="CE70" i="6"/>
  <c r="CC70" i="6"/>
  <c r="CA70" i="6"/>
  <c r="BZ70" i="6"/>
  <c r="BY70" i="6"/>
  <c r="BW70" i="6"/>
  <c r="BU70" i="6"/>
  <c r="BT70" i="6"/>
  <c r="BS70" i="6"/>
  <c r="BQ70" i="6"/>
  <c r="BO70" i="6"/>
  <c r="BN70" i="6"/>
  <c r="BM70" i="6"/>
  <c r="BK70" i="6"/>
  <c r="BI70" i="6"/>
  <c r="BH70" i="6"/>
  <c r="BG70" i="6"/>
  <c r="BE70" i="6"/>
  <c r="BC70" i="6"/>
  <c r="BB70" i="6"/>
  <c r="BA70" i="6"/>
  <c r="AY70" i="6"/>
  <c r="AW70" i="6"/>
  <c r="AV70" i="6"/>
  <c r="AU70" i="6"/>
  <c r="AS70" i="6"/>
  <c r="AQ70" i="6"/>
  <c r="AP70" i="6"/>
  <c r="AO70" i="6"/>
  <c r="AM70" i="6"/>
  <c r="AK70" i="6"/>
  <c r="AJ70" i="6"/>
  <c r="AI70" i="6"/>
  <c r="AG70" i="6"/>
  <c r="AE70" i="6"/>
  <c r="AD70" i="6"/>
  <c r="AC70" i="6"/>
  <c r="AA70" i="6"/>
  <c r="Y70" i="6"/>
  <c r="X70" i="6"/>
  <c r="W70" i="6"/>
  <c r="U70" i="6"/>
  <c r="S70" i="6"/>
  <c r="R70" i="6"/>
  <c r="Q70" i="6"/>
  <c r="O70" i="6"/>
  <c r="M70" i="6"/>
  <c r="L70" i="6"/>
  <c r="K70" i="6"/>
  <c r="EQ68" i="6"/>
  <c r="EO68" i="6"/>
  <c r="EN68" i="6"/>
  <c r="EM68" i="6"/>
  <c r="EK68" i="6"/>
  <c r="EI68" i="6"/>
  <c r="EH68" i="6"/>
  <c r="EG68" i="6"/>
  <c r="EE68" i="6"/>
  <c r="EC68" i="6"/>
  <c r="EB68" i="6"/>
  <c r="EA68" i="6"/>
  <c r="DY68" i="6"/>
  <c r="DW68" i="6"/>
  <c r="DV68" i="6"/>
  <c r="DU68" i="6"/>
  <c r="DS68" i="6"/>
  <c r="DQ68" i="6"/>
  <c r="DP68" i="6"/>
  <c r="DO68" i="6"/>
  <c r="DM68" i="6"/>
  <c r="DK68" i="6"/>
  <c r="DJ68" i="6"/>
  <c r="DI68" i="6"/>
  <c r="DG68" i="6"/>
  <c r="DE68" i="6"/>
  <c r="DD68" i="6"/>
  <c r="DC68" i="6"/>
  <c r="DA68" i="6"/>
  <c r="CY68" i="6"/>
  <c r="CX68" i="6"/>
  <c r="CW68" i="6"/>
  <c r="CU68" i="6"/>
  <c r="CS68" i="6"/>
  <c r="CR68" i="6"/>
  <c r="CQ68" i="6"/>
  <c r="CO68" i="6"/>
  <c r="CM68" i="6"/>
  <c r="CL68" i="6"/>
  <c r="CK68" i="6"/>
  <c r="CI68" i="6"/>
  <c r="CG68" i="6"/>
  <c r="CF68" i="6"/>
  <c r="CE68" i="6"/>
  <c r="CC68" i="6"/>
  <c r="CA68" i="6"/>
  <c r="BZ68" i="6"/>
  <c r="BY68" i="6"/>
  <c r="BW68" i="6"/>
  <c r="BU68" i="6"/>
  <c r="BT68" i="6"/>
  <c r="BS68" i="6"/>
  <c r="BQ68" i="6"/>
  <c r="BO68" i="6"/>
  <c r="BN68" i="6"/>
  <c r="BM68" i="6"/>
  <c r="BK68" i="6"/>
  <c r="BI68" i="6"/>
  <c r="BH68" i="6"/>
  <c r="BG68" i="6"/>
  <c r="BE68" i="6"/>
  <c r="BC68" i="6"/>
  <c r="BB68" i="6"/>
  <c r="BA68" i="6"/>
  <c r="AY68" i="6"/>
  <c r="AW68" i="6"/>
  <c r="AV68" i="6"/>
  <c r="AU68" i="6"/>
  <c r="AS68" i="6"/>
  <c r="AQ68" i="6"/>
  <c r="AP68" i="6"/>
  <c r="AO68" i="6"/>
  <c r="AM68" i="6"/>
  <c r="AK68" i="6"/>
  <c r="AJ68" i="6"/>
  <c r="AI68" i="6"/>
  <c r="AG68" i="6"/>
  <c r="AE68" i="6"/>
  <c r="AD68" i="6"/>
  <c r="AC68" i="6"/>
  <c r="AA68" i="6"/>
  <c r="Y68" i="6"/>
  <c r="X68" i="6"/>
  <c r="W68" i="6"/>
  <c r="U68" i="6"/>
  <c r="S68" i="6"/>
  <c r="R68" i="6"/>
  <c r="Q68" i="6"/>
  <c r="O68" i="6"/>
  <c r="M68" i="6"/>
  <c r="L68" i="6"/>
  <c r="K68" i="6"/>
  <c r="EO66" i="6"/>
  <c r="EN66" i="6"/>
  <c r="EI66" i="6"/>
  <c r="EH66" i="6"/>
  <c r="EC66" i="6"/>
  <c r="EB66" i="6"/>
  <c r="DW66" i="6"/>
  <c r="DV66" i="6"/>
  <c r="DQ66" i="6"/>
  <c r="DP66" i="6"/>
  <c r="DK66" i="6"/>
  <c r="DJ66" i="6"/>
  <c r="DE66" i="6"/>
  <c r="DD66" i="6"/>
  <c r="CY66" i="6"/>
  <c r="CX66" i="6"/>
  <c r="CS66" i="6"/>
  <c r="CR66" i="6"/>
  <c r="CM66" i="6"/>
  <c r="CL66" i="6"/>
  <c r="CG66" i="6"/>
  <c r="CF66" i="6"/>
  <c r="CA66" i="6"/>
  <c r="BZ66" i="6"/>
  <c r="BU66" i="6"/>
  <c r="BT66" i="6"/>
  <c r="BO66" i="6"/>
  <c r="BN66" i="6"/>
  <c r="BI66" i="6"/>
  <c r="BH66" i="6"/>
  <c r="BC66" i="6"/>
  <c r="BB66" i="6"/>
  <c r="AW66" i="6"/>
  <c r="AV66" i="6"/>
  <c r="AQ66" i="6"/>
  <c r="AP66" i="6"/>
  <c r="AK66" i="6"/>
  <c r="AJ66" i="6"/>
  <c r="AE66" i="6"/>
  <c r="AD66" i="6"/>
  <c r="Y66" i="6"/>
  <c r="X66" i="6"/>
  <c r="S66" i="6"/>
  <c r="R66" i="6"/>
  <c r="M66" i="6"/>
  <c r="L66" i="6"/>
  <c r="EO65" i="6"/>
  <c r="EN65" i="6"/>
  <c r="EI65" i="6"/>
  <c r="EH65" i="6"/>
  <c r="EC65" i="6"/>
  <c r="EB65" i="6"/>
  <c r="DW65" i="6"/>
  <c r="DV65" i="6"/>
  <c r="DQ65" i="6"/>
  <c r="DP65" i="6"/>
  <c r="DK65" i="6"/>
  <c r="DJ65" i="6"/>
  <c r="DE65" i="6"/>
  <c r="DD65" i="6"/>
  <c r="CY65" i="6"/>
  <c r="CX65" i="6"/>
  <c r="CS65" i="6"/>
  <c r="CR65" i="6"/>
  <c r="CM65" i="6"/>
  <c r="CL65" i="6"/>
  <c r="CG65" i="6"/>
  <c r="CF65" i="6"/>
  <c r="CA65" i="6"/>
  <c r="BZ65" i="6"/>
  <c r="BU65" i="6"/>
  <c r="BT65" i="6"/>
  <c r="BO65" i="6"/>
  <c r="BN65" i="6"/>
  <c r="BI65" i="6"/>
  <c r="BH65" i="6"/>
  <c r="BC65" i="6"/>
  <c r="BB65" i="6"/>
  <c r="AW65" i="6"/>
  <c r="AV65" i="6"/>
  <c r="AQ65" i="6"/>
  <c r="AP65" i="6"/>
  <c r="AK65" i="6"/>
  <c r="AJ65" i="6"/>
  <c r="AE65" i="6"/>
  <c r="AD65" i="6"/>
  <c r="Y65" i="6"/>
  <c r="X65" i="6"/>
  <c r="S65" i="6"/>
  <c r="R65" i="6"/>
  <c r="M65" i="6"/>
  <c r="L65" i="6"/>
  <c r="EQ64" i="6"/>
  <c r="EP64" i="6"/>
  <c r="EO64" i="6"/>
  <c r="EM64" i="6"/>
  <c r="EK64" i="6"/>
  <c r="EJ64" i="6"/>
  <c r="EI64" i="6"/>
  <c r="EG64" i="6"/>
  <c r="EE64" i="6"/>
  <c r="ED64" i="6"/>
  <c r="EC64" i="6"/>
  <c r="EA64" i="6"/>
  <c r="DY64" i="6"/>
  <c r="DX64" i="6"/>
  <c r="DW64" i="6"/>
  <c r="DU64" i="6"/>
  <c r="DS64" i="6"/>
  <c r="DR64" i="6"/>
  <c r="DQ64" i="6"/>
  <c r="DO64" i="6"/>
  <c r="DM64" i="6"/>
  <c r="DL64" i="6"/>
  <c r="DK64" i="6"/>
  <c r="DI64" i="6"/>
  <c r="DG64" i="6"/>
  <c r="DF64" i="6"/>
  <c r="DE64" i="6"/>
  <c r="DC64" i="6"/>
  <c r="DA64" i="6"/>
  <c r="CZ64" i="6"/>
  <c r="CY64" i="6"/>
  <c r="CW64" i="6"/>
  <c r="CU64" i="6"/>
  <c r="CT64" i="6"/>
  <c r="CS64" i="6"/>
  <c r="CQ64" i="6"/>
  <c r="CO64" i="6"/>
  <c r="CN64" i="6"/>
  <c r="CM64" i="6"/>
  <c r="CK64" i="6"/>
  <c r="CI64" i="6"/>
  <c r="CH64" i="6"/>
  <c r="CG64" i="6"/>
  <c r="CE64" i="6"/>
  <c r="CC64" i="6"/>
  <c r="CB64" i="6"/>
  <c r="CA64" i="6"/>
  <c r="BY64" i="6"/>
  <c r="BW64" i="6"/>
  <c r="BV64" i="6"/>
  <c r="BU64" i="6"/>
  <c r="BS64" i="6"/>
  <c r="BQ64" i="6"/>
  <c r="BP64" i="6"/>
  <c r="BO64" i="6"/>
  <c r="BM64" i="6"/>
  <c r="BK64" i="6"/>
  <c r="BJ64" i="6"/>
  <c r="BI64" i="6"/>
  <c r="BG64" i="6"/>
  <c r="BE64" i="6"/>
  <c r="BD64" i="6"/>
  <c r="BC64" i="6"/>
  <c r="BA64" i="6"/>
  <c r="AY64" i="6"/>
  <c r="AX64" i="6"/>
  <c r="AW64" i="6"/>
  <c r="AU64" i="6"/>
  <c r="AS64" i="6"/>
  <c r="AR64" i="6"/>
  <c r="AQ64" i="6"/>
  <c r="AO64" i="6"/>
  <c r="AM64" i="6"/>
  <c r="AL64" i="6"/>
  <c r="AK64" i="6"/>
  <c r="AI64" i="6"/>
  <c r="AG64" i="6"/>
  <c r="AF64" i="6"/>
  <c r="AE64" i="6"/>
  <c r="AC64" i="6"/>
  <c r="AA64" i="6"/>
  <c r="Z64" i="6"/>
  <c r="Y64" i="6"/>
  <c r="W64" i="6"/>
  <c r="U64" i="6"/>
  <c r="T64" i="6"/>
  <c r="S64" i="6"/>
  <c r="Q64" i="6"/>
  <c r="O64" i="6"/>
  <c r="N64" i="6"/>
  <c r="M64" i="6"/>
  <c r="K64" i="6"/>
  <c r="EQ63" i="6"/>
  <c r="EP63" i="6"/>
  <c r="EO63" i="6"/>
  <c r="EM63" i="6"/>
  <c r="EK63" i="6"/>
  <c r="EJ63" i="6"/>
  <c r="EI63" i="6"/>
  <c r="EG63" i="6"/>
  <c r="EE63" i="6"/>
  <c r="ED63" i="6"/>
  <c r="EC63" i="6"/>
  <c r="EA63" i="6"/>
  <c r="DY63" i="6"/>
  <c r="DX63" i="6"/>
  <c r="DW63" i="6"/>
  <c r="DU63" i="6"/>
  <c r="DS63" i="6"/>
  <c r="DR63" i="6"/>
  <c r="DQ63" i="6"/>
  <c r="DO63" i="6"/>
  <c r="DM63" i="6"/>
  <c r="DL63" i="6"/>
  <c r="DK63" i="6"/>
  <c r="DI63" i="6"/>
  <c r="DG63" i="6"/>
  <c r="DF63" i="6"/>
  <c r="DE63" i="6"/>
  <c r="DC63" i="6"/>
  <c r="DA63" i="6"/>
  <c r="CZ63" i="6"/>
  <c r="CY63" i="6"/>
  <c r="CW63" i="6"/>
  <c r="CU63" i="6"/>
  <c r="CT63" i="6"/>
  <c r="CS63" i="6"/>
  <c r="CQ63" i="6"/>
  <c r="CO63" i="6"/>
  <c r="CN63" i="6"/>
  <c r="CM63" i="6"/>
  <c r="CK63" i="6"/>
  <c r="CI63" i="6"/>
  <c r="CH63" i="6"/>
  <c r="CG63" i="6"/>
  <c r="CE63" i="6"/>
  <c r="CC63" i="6"/>
  <c r="CB63" i="6"/>
  <c r="CA63" i="6"/>
  <c r="BY63" i="6"/>
  <c r="BW63" i="6"/>
  <c r="BV63" i="6"/>
  <c r="BU63" i="6"/>
  <c r="BS63" i="6"/>
  <c r="BQ63" i="6"/>
  <c r="BP63" i="6"/>
  <c r="BO63" i="6"/>
  <c r="BM63" i="6"/>
  <c r="BK63" i="6"/>
  <c r="BJ63" i="6"/>
  <c r="BI63" i="6"/>
  <c r="BG63" i="6"/>
  <c r="BE63" i="6"/>
  <c r="BD63" i="6"/>
  <c r="BC63" i="6"/>
  <c r="BA63" i="6"/>
  <c r="AY63" i="6"/>
  <c r="AX63" i="6"/>
  <c r="AW63" i="6"/>
  <c r="AU63" i="6"/>
  <c r="AS63" i="6"/>
  <c r="AR63" i="6"/>
  <c r="AQ63" i="6"/>
  <c r="AO63" i="6"/>
  <c r="AM63" i="6"/>
  <c r="AL63" i="6"/>
  <c r="AK63" i="6"/>
  <c r="AI63" i="6"/>
  <c r="AG63" i="6"/>
  <c r="AF63" i="6"/>
  <c r="AE63" i="6"/>
  <c r="AC63" i="6"/>
  <c r="AA63" i="6"/>
  <c r="Z63" i="6"/>
  <c r="Y63" i="6"/>
  <c r="W63" i="6"/>
  <c r="U63" i="6"/>
  <c r="T63" i="6"/>
  <c r="S63" i="6"/>
  <c r="Q63" i="6"/>
  <c r="O63" i="6"/>
  <c r="N63" i="6"/>
  <c r="M63" i="6"/>
  <c r="K63" i="6"/>
  <c r="EP62" i="6"/>
  <c r="EO62" i="6"/>
  <c r="EJ62" i="6"/>
  <c r="EI62" i="6"/>
  <c r="ED62" i="6"/>
  <c r="EC62" i="6"/>
  <c r="DX62" i="6"/>
  <c r="DW62" i="6"/>
  <c r="DR62" i="6"/>
  <c r="DQ62" i="6"/>
  <c r="DL62" i="6"/>
  <c r="DK62" i="6"/>
  <c r="DF62" i="6"/>
  <c r="DE62" i="6"/>
  <c r="CZ62" i="6"/>
  <c r="CY62" i="6"/>
  <c r="CT62" i="6"/>
  <c r="CS62" i="6"/>
  <c r="CN62" i="6"/>
  <c r="CM62" i="6"/>
  <c r="CH62" i="6"/>
  <c r="CG62" i="6"/>
  <c r="CB62" i="6"/>
  <c r="CA62" i="6"/>
  <c r="BV62" i="6"/>
  <c r="BU62" i="6"/>
  <c r="BP62" i="6"/>
  <c r="BO62" i="6"/>
  <c r="BJ62" i="6"/>
  <c r="BI62" i="6"/>
  <c r="BD62" i="6"/>
  <c r="BC62" i="6"/>
  <c r="AX62" i="6"/>
  <c r="AW62" i="6"/>
  <c r="AR62" i="6"/>
  <c r="AQ62" i="6"/>
  <c r="AL62" i="6"/>
  <c r="AK62" i="6"/>
  <c r="AF62" i="6"/>
  <c r="AE62" i="6"/>
  <c r="Z62" i="6"/>
  <c r="Y62" i="6"/>
  <c r="T62" i="6"/>
  <c r="S62" i="6"/>
  <c r="N62" i="6"/>
  <c r="M62" i="6"/>
  <c r="EQ61" i="6"/>
  <c r="EK61" i="6"/>
  <c r="EE61" i="6"/>
  <c r="DY61" i="6"/>
  <c r="DM61" i="6"/>
  <c r="DG61" i="6"/>
  <c r="DA61" i="6"/>
  <c r="CU61" i="6"/>
  <c r="CO61" i="6"/>
  <c r="CI61" i="6"/>
  <c r="CC61" i="6"/>
  <c r="BW61" i="6"/>
  <c r="BQ61" i="6"/>
  <c r="BK61" i="6"/>
  <c r="BE61" i="6"/>
  <c r="AY61" i="6"/>
  <c r="AS61" i="6"/>
  <c r="AM61" i="6"/>
  <c r="AG61" i="6"/>
  <c r="AA61" i="6"/>
  <c r="U61" i="6"/>
  <c r="O61" i="6"/>
  <c r="EQ59" i="6"/>
  <c r="EK59" i="6"/>
  <c r="EE59" i="6"/>
  <c r="DY59" i="6"/>
  <c r="DS59" i="6"/>
  <c r="DM59" i="6"/>
  <c r="DG59" i="6"/>
  <c r="DA59" i="6"/>
  <c r="CU59" i="6"/>
  <c r="CO59" i="6"/>
  <c r="CI59" i="6"/>
  <c r="CC59" i="6"/>
  <c r="BW59" i="6"/>
  <c r="BQ59" i="6"/>
  <c r="BK59" i="6"/>
  <c r="BE59" i="6"/>
  <c r="AY59" i="6"/>
  <c r="AS59" i="6"/>
  <c r="AM59" i="6"/>
  <c r="AG59" i="6"/>
  <c r="AA59" i="6"/>
  <c r="U59" i="6"/>
  <c r="O59" i="6"/>
  <c r="EQ58" i="6"/>
  <c r="EK58" i="6"/>
  <c r="EE58" i="6"/>
  <c r="DY58" i="6"/>
  <c r="DS58" i="6"/>
  <c r="DM58" i="6"/>
  <c r="DG58" i="6"/>
  <c r="DA58" i="6"/>
  <c r="CU58" i="6"/>
  <c r="CO58" i="6"/>
  <c r="CI58" i="6"/>
  <c r="CC58" i="6"/>
  <c r="BW58" i="6"/>
  <c r="BQ58" i="6"/>
  <c r="BK58" i="6"/>
  <c r="BE58" i="6"/>
  <c r="AY58" i="6"/>
  <c r="AS58" i="6"/>
  <c r="AM58" i="6"/>
  <c r="AG58" i="6"/>
  <c r="AA58" i="6"/>
  <c r="U58" i="6"/>
  <c r="O58" i="6"/>
  <c r="EQ57" i="6"/>
  <c r="EK57" i="6"/>
  <c r="EE57" i="6"/>
  <c r="DY57" i="6"/>
  <c r="DS57" i="6"/>
  <c r="DM57" i="6"/>
  <c r="DG57" i="6"/>
  <c r="DA57" i="6"/>
  <c r="CU57" i="6"/>
  <c r="CO57" i="6"/>
  <c r="CI57" i="6"/>
  <c r="CC57" i="6"/>
  <c r="BW57" i="6"/>
  <c r="BQ57" i="6"/>
  <c r="BK57" i="6"/>
  <c r="BE57" i="6"/>
  <c r="AY57" i="6"/>
  <c r="AS57" i="6"/>
  <c r="AM57" i="6"/>
  <c r="AG57" i="6"/>
  <c r="AA57" i="6"/>
  <c r="U57" i="6"/>
  <c r="O57" i="6"/>
  <c r="EQ56" i="6"/>
  <c r="EP56" i="6"/>
  <c r="EO56" i="6"/>
  <c r="EN56" i="6"/>
  <c r="EK56" i="6"/>
  <c r="EJ56" i="6"/>
  <c r="EI56" i="6"/>
  <c r="EH56" i="6"/>
  <c r="EE56" i="6"/>
  <c r="ED56" i="6"/>
  <c r="EC56" i="6"/>
  <c r="EB56" i="6"/>
  <c r="DY56" i="6"/>
  <c r="DX56" i="6"/>
  <c r="DW56" i="6"/>
  <c r="DV56" i="6"/>
  <c r="DS56" i="6"/>
  <c r="DR56" i="6"/>
  <c r="DQ56" i="6"/>
  <c r="DP56" i="6"/>
  <c r="DM56" i="6"/>
  <c r="DL56" i="6"/>
  <c r="DK56" i="6"/>
  <c r="DJ56" i="6"/>
  <c r="DG56" i="6"/>
  <c r="DF56" i="6"/>
  <c r="DE56" i="6"/>
  <c r="DD56" i="6"/>
  <c r="DA56" i="6"/>
  <c r="CZ56" i="6"/>
  <c r="CY56" i="6"/>
  <c r="CX56" i="6"/>
  <c r="CU56" i="6"/>
  <c r="CT56" i="6"/>
  <c r="CS56" i="6"/>
  <c r="CR56" i="6"/>
  <c r="CO56" i="6"/>
  <c r="CN56" i="6"/>
  <c r="CM56" i="6"/>
  <c r="CL56" i="6"/>
  <c r="CI56" i="6"/>
  <c r="CH56" i="6"/>
  <c r="CG56" i="6"/>
  <c r="CF56" i="6"/>
  <c r="CC56" i="6"/>
  <c r="CB56" i="6"/>
  <c r="CA56" i="6"/>
  <c r="BZ56" i="6"/>
  <c r="BW56" i="6"/>
  <c r="BV56" i="6"/>
  <c r="BU56" i="6"/>
  <c r="BT56" i="6"/>
  <c r="BQ56" i="6"/>
  <c r="BP56" i="6"/>
  <c r="BO56" i="6"/>
  <c r="BN56" i="6"/>
  <c r="BK56" i="6"/>
  <c r="BJ56" i="6"/>
  <c r="BI56" i="6"/>
  <c r="BH56" i="6"/>
  <c r="BE56" i="6"/>
  <c r="BD56" i="6"/>
  <c r="BC56" i="6"/>
  <c r="BB56" i="6"/>
  <c r="AY56" i="6"/>
  <c r="AX56" i="6"/>
  <c r="AW56" i="6"/>
  <c r="AV56" i="6"/>
  <c r="AS56" i="6"/>
  <c r="AR56" i="6"/>
  <c r="AQ56" i="6"/>
  <c r="AP56" i="6"/>
  <c r="AM56" i="6"/>
  <c r="AL56" i="6"/>
  <c r="AK56" i="6"/>
  <c r="AJ56" i="6"/>
  <c r="AG56" i="6"/>
  <c r="AF56" i="6"/>
  <c r="AE56" i="6"/>
  <c r="AD56" i="6"/>
  <c r="AA56" i="6"/>
  <c r="Z56" i="6"/>
  <c r="Y56" i="6"/>
  <c r="X56" i="6"/>
  <c r="U56" i="6"/>
  <c r="T56" i="6"/>
  <c r="S56" i="6"/>
  <c r="R56" i="6"/>
  <c r="O56" i="6"/>
  <c r="N56" i="6"/>
  <c r="M56" i="6"/>
  <c r="L56" i="6"/>
  <c r="EQ55" i="6"/>
  <c r="EP55" i="6"/>
  <c r="EO55" i="6"/>
  <c r="EN55" i="6"/>
  <c r="EK55" i="6"/>
  <c r="EJ55" i="6"/>
  <c r="EI55" i="6"/>
  <c r="EH55" i="6"/>
  <c r="EE55" i="6"/>
  <c r="ED55" i="6"/>
  <c r="EC55" i="6"/>
  <c r="EB55" i="6"/>
  <c r="DY55" i="6"/>
  <c r="DX55" i="6"/>
  <c r="DW55" i="6"/>
  <c r="DV55" i="6"/>
  <c r="DS55" i="6"/>
  <c r="DR55" i="6"/>
  <c r="DQ55" i="6"/>
  <c r="DP55" i="6"/>
  <c r="DM55" i="6"/>
  <c r="DL55" i="6"/>
  <c r="DK55" i="6"/>
  <c r="DJ55" i="6"/>
  <c r="DG55" i="6"/>
  <c r="DF55" i="6"/>
  <c r="DE55" i="6"/>
  <c r="DD55" i="6"/>
  <c r="DA55" i="6"/>
  <c r="CZ55" i="6"/>
  <c r="CY55" i="6"/>
  <c r="CX55" i="6"/>
  <c r="CU55" i="6"/>
  <c r="CT55" i="6"/>
  <c r="CS55" i="6"/>
  <c r="CR55" i="6"/>
  <c r="CO55" i="6"/>
  <c r="CN55" i="6"/>
  <c r="CM55" i="6"/>
  <c r="CL55" i="6"/>
  <c r="CI55" i="6"/>
  <c r="CH55" i="6"/>
  <c r="CG55" i="6"/>
  <c r="CF55" i="6"/>
  <c r="CC55" i="6"/>
  <c r="CB55" i="6"/>
  <c r="CA55" i="6"/>
  <c r="BZ55" i="6"/>
  <c r="BW55" i="6"/>
  <c r="BV55" i="6"/>
  <c r="BU55" i="6"/>
  <c r="BT55" i="6"/>
  <c r="BQ55" i="6"/>
  <c r="BP55" i="6"/>
  <c r="BO55" i="6"/>
  <c r="BN55" i="6"/>
  <c r="BK55" i="6"/>
  <c r="BJ55" i="6"/>
  <c r="BI55" i="6"/>
  <c r="BH55" i="6"/>
  <c r="BE55" i="6"/>
  <c r="BD55" i="6"/>
  <c r="BC55" i="6"/>
  <c r="BB55" i="6"/>
  <c r="AY55" i="6"/>
  <c r="AX55" i="6"/>
  <c r="AW55" i="6"/>
  <c r="AV55" i="6"/>
  <c r="AS55" i="6"/>
  <c r="AR55" i="6"/>
  <c r="AQ55" i="6"/>
  <c r="AP55" i="6"/>
  <c r="AM55" i="6"/>
  <c r="AL55" i="6"/>
  <c r="AK55" i="6"/>
  <c r="AJ55" i="6"/>
  <c r="AG55" i="6"/>
  <c r="AF55" i="6"/>
  <c r="AE55" i="6"/>
  <c r="AD55" i="6"/>
  <c r="AA55" i="6"/>
  <c r="Z55" i="6"/>
  <c r="Y55" i="6"/>
  <c r="X55" i="6"/>
  <c r="U55" i="6"/>
  <c r="T55" i="6"/>
  <c r="S55" i="6"/>
  <c r="R55" i="6"/>
  <c r="O55" i="6"/>
  <c r="N55" i="6"/>
  <c r="M55" i="6"/>
  <c r="L55" i="6"/>
  <c r="EQ54" i="6"/>
  <c r="EP54" i="6"/>
  <c r="EO54" i="6"/>
  <c r="EN54" i="6"/>
  <c r="EK54" i="6"/>
  <c r="EJ54" i="6"/>
  <c r="EI54" i="6"/>
  <c r="EH54" i="6"/>
  <c r="EE54" i="6"/>
  <c r="ED54" i="6"/>
  <c r="EC54" i="6"/>
  <c r="EB54" i="6"/>
  <c r="DY54" i="6"/>
  <c r="DX54" i="6"/>
  <c r="DW54" i="6"/>
  <c r="DV54" i="6"/>
  <c r="DS54" i="6"/>
  <c r="DR54" i="6"/>
  <c r="DQ54" i="6"/>
  <c r="DP54" i="6"/>
  <c r="DM54" i="6"/>
  <c r="DL54" i="6"/>
  <c r="DK54" i="6"/>
  <c r="DJ54" i="6"/>
  <c r="DG54" i="6"/>
  <c r="DF54" i="6"/>
  <c r="DE54" i="6"/>
  <c r="DD54" i="6"/>
  <c r="DA54" i="6"/>
  <c r="CZ54" i="6"/>
  <c r="CY54" i="6"/>
  <c r="CX54" i="6"/>
  <c r="CU54" i="6"/>
  <c r="CT54" i="6"/>
  <c r="CS54" i="6"/>
  <c r="CR54" i="6"/>
  <c r="CO54" i="6"/>
  <c r="CN54" i="6"/>
  <c r="CM54" i="6"/>
  <c r="CL54" i="6"/>
  <c r="CI54" i="6"/>
  <c r="CH54" i="6"/>
  <c r="CG54" i="6"/>
  <c r="CF54" i="6"/>
  <c r="CC54" i="6"/>
  <c r="CB54" i="6"/>
  <c r="CA54" i="6"/>
  <c r="BZ54" i="6"/>
  <c r="BW54" i="6"/>
  <c r="BV54" i="6"/>
  <c r="BU54" i="6"/>
  <c r="BT54" i="6"/>
  <c r="BQ54" i="6"/>
  <c r="BP54" i="6"/>
  <c r="BO54" i="6"/>
  <c r="BN54" i="6"/>
  <c r="BK54" i="6"/>
  <c r="BJ54" i="6"/>
  <c r="BI54" i="6"/>
  <c r="BH54" i="6"/>
  <c r="BE54" i="6"/>
  <c r="BD54" i="6"/>
  <c r="BC54" i="6"/>
  <c r="BB54" i="6"/>
  <c r="AY54" i="6"/>
  <c r="AX54" i="6"/>
  <c r="AW54" i="6"/>
  <c r="AV54" i="6"/>
  <c r="AS54" i="6"/>
  <c r="AR54" i="6"/>
  <c r="AQ54" i="6"/>
  <c r="AP54" i="6"/>
  <c r="AM54" i="6"/>
  <c r="AL54" i="6"/>
  <c r="AK54" i="6"/>
  <c r="AJ54" i="6"/>
  <c r="AG54" i="6"/>
  <c r="AF54" i="6"/>
  <c r="AE54" i="6"/>
  <c r="AD54" i="6"/>
  <c r="AA54" i="6"/>
  <c r="Z54" i="6"/>
  <c r="Y54" i="6"/>
  <c r="X54" i="6"/>
  <c r="U54" i="6"/>
  <c r="T54" i="6"/>
  <c r="S54" i="6"/>
  <c r="R54" i="6"/>
  <c r="O54" i="6"/>
  <c r="N54" i="6"/>
  <c r="M54" i="6"/>
  <c r="L54" i="6"/>
  <c r="BE16" i="6"/>
  <c r="AY16" i="6"/>
  <c r="AS16" i="6"/>
  <c r="AM16" i="6"/>
  <c r="AG16" i="6"/>
  <c r="AA16" i="6"/>
  <c r="U16" i="6"/>
  <c r="O16" i="6"/>
  <c r="I16" i="6"/>
  <c r="EM2" i="6"/>
  <c r="EG2" i="6"/>
  <c r="EA2" i="6"/>
  <c r="DU2" i="6"/>
  <c r="DO2" i="6"/>
  <c r="DI2" i="6"/>
  <c r="DC2" i="6"/>
  <c r="CW2" i="6"/>
  <c r="CQ2" i="6"/>
  <c r="CK2" i="6"/>
  <c r="CE2" i="6"/>
  <c r="BY2" i="6"/>
  <c r="BS2" i="6"/>
  <c r="BM2" i="6"/>
  <c r="BG2" i="6"/>
  <c r="BA2" i="6"/>
  <c r="AU2" i="6"/>
  <c r="AO2" i="6"/>
  <c r="AI2" i="6"/>
  <c r="AC2" i="6"/>
  <c r="W2" i="6"/>
  <c r="Q2" i="6"/>
  <c r="K2" i="6"/>
  <c r="E2" i="6"/>
  <c r="E51" i="6" s="1"/>
  <c r="K51" i="6" s="1"/>
  <c r="Q51" i="6" s="1"/>
  <c r="W51" i="6" s="1"/>
  <c r="AC51" i="6" s="1"/>
  <c r="AI51" i="6" s="1"/>
  <c r="AO51" i="6" s="1"/>
  <c r="AU51" i="6" s="1"/>
  <c r="BA51" i="6" s="1"/>
  <c r="BG51" i="6" s="1"/>
  <c r="BM51" i="6" s="1"/>
  <c r="BS51" i="6" s="1"/>
  <c r="BY51" i="6" s="1"/>
  <c r="CE51" i="6" s="1"/>
  <c r="CK51" i="6" s="1"/>
  <c r="CQ51" i="6" s="1"/>
  <c r="CW51" i="6" s="1"/>
  <c r="DC51" i="6" s="1"/>
  <c r="DI51" i="6" s="1"/>
  <c r="DO51" i="6" s="1"/>
  <c r="DU51" i="6" s="1"/>
  <c r="EA51" i="6" s="1"/>
  <c r="EG51" i="6" s="1"/>
  <c r="EM51" i="6" s="1"/>
  <c r="ES51" i="6" s="1"/>
  <c r="Q794" i="7"/>
  <c r="R794" i="7" s="1"/>
  <c r="S794" i="7" s="1"/>
  <c r="T794" i="7" s="1"/>
  <c r="U794" i="7" s="1"/>
  <c r="V794" i="7" s="1"/>
  <c r="W794" i="7" s="1"/>
  <c r="X794" i="7" s="1"/>
  <c r="Y794" i="7" s="1"/>
  <c r="Z794" i="7" s="1"/>
  <c r="AA794" i="7" s="1"/>
  <c r="AB794" i="7" s="1"/>
  <c r="AC794" i="7" s="1"/>
  <c r="AD794" i="7" s="1"/>
  <c r="AE794" i="7" s="1"/>
  <c r="M794" i="7"/>
  <c r="N794" i="7" s="1"/>
  <c r="O794" i="7" s="1"/>
  <c r="P794" i="7" s="1"/>
  <c r="L794" i="7"/>
  <c r="A790" i="7"/>
  <c r="M786" i="7"/>
  <c r="N786" i="7" s="1"/>
  <c r="O786" i="7" s="1"/>
  <c r="P786" i="7" s="1"/>
  <c r="Q786" i="7" s="1"/>
  <c r="R786" i="7" s="1"/>
  <c r="S786" i="7" s="1"/>
  <c r="T786" i="7" s="1"/>
  <c r="U786" i="7" s="1"/>
  <c r="V786" i="7" s="1"/>
  <c r="W786" i="7" s="1"/>
  <c r="X786" i="7" s="1"/>
  <c r="Y786" i="7" s="1"/>
  <c r="Z786" i="7" s="1"/>
  <c r="AA786" i="7" s="1"/>
  <c r="AB786" i="7" s="1"/>
  <c r="AC786" i="7" s="1"/>
  <c r="AD786" i="7" s="1"/>
  <c r="AE786" i="7" s="1"/>
  <c r="L786" i="7"/>
  <c r="A783" i="7"/>
  <c r="Q776" i="7"/>
  <c r="R776" i="7" s="1"/>
  <c r="S776" i="7" s="1"/>
  <c r="T776" i="7" s="1"/>
  <c r="U776" i="7" s="1"/>
  <c r="V776" i="7" s="1"/>
  <c r="W776" i="7" s="1"/>
  <c r="X776" i="7" s="1"/>
  <c r="Y776" i="7" s="1"/>
  <c r="Z776" i="7" s="1"/>
  <c r="AA776" i="7" s="1"/>
  <c r="AB776" i="7" s="1"/>
  <c r="AC776" i="7" s="1"/>
  <c r="AD776" i="7" s="1"/>
  <c r="AE776" i="7" s="1"/>
  <c r="M776" i="7"/>
  <c r="N776" i="7" s="1"/>
  <c r="O776" i="7" s="1"/>
  <c r="P776" i="7" s="1"/>
  <c r="L776" i="7"/>
  <c r="A773" i="7"/>
  <c r="O770" i="7"/>
  <c r="N770" i="7"/>
  <c r="M770" i="7"/>
  <c r="L770" i="7"/>
  <c r="M767" i="7"/>
  <c r="N767" i="7" s="1"/>
  <c r="O767" i="7" s="1"/>
  <c r="P767" i="7" s="1"/>
  <c r="Q767" i="7" s="1"/>
  <c r="R767" i="7" s="1"/>
  <c r="S767" i="7" s="1"/>
  <c r="T767" i="7" s="1"/>
  <c r="U767" i="7" s="1"/>
  <c r="V767" i="7" s="1"/>
  <c r="W767" i="7" s="1"/>
  <c r="X767" i="7" s="1"/>
  <c r="Y767" i="7" s="1"/>
  <c r="Z767" i="7" s="1"/>
  <c r="AA767" i="7" s="1"/>
  <c r="AB767" i="7" s="1"/>
  <c r="AC767" i="7" s="1"/>
  <c r="AD767" i="7" s="1"/>
  <c r="AE767" i="7" s="1"/>
  <c r="L767" i="7"/>
  <c r="M758" i="7"/>
  <c r="N758" i="7" s="1"/>
  <c r="O758" i="7" s="1"/>
  <c r="P758" i="7" s="1"/>
  <c r="Q758" i="7" s="1"/>
  <c r="R758" i="7" s="1"/>
  <c r="S758" i="7" s="1"/>
  <c r="T758" i="7" s="1"/>
  <c r="U758" i="7" s="1"/>
  <c r="V758" i="7" s="1"/>
  <c r="W758" i="7" s="1"/>
  <c r="X758" i="7" s="1"/>
  <c r="Y758" i="7" s="1"/>
  <c r="Z758" i="7" s="1"/>
  <c r="AA758" i="7" s="1"/>
  <c r="AB758" i="7" s="1"/>
  <c r="AC758" i="7" s="1"/>
  <c r="AD758" i="7" s="1"/>
  <c r="AE758" i="7" s="1"/>
  <c r="L758" i="7"/>
  <c r="L750" i="7"/>
  <c r="M750" i="7" s="1"/>
  <c r="N750" i="7" s="1"/>
  <c r="O750" i="7" s="1"/>
  <c r="P750" i="7" s="1"/>
  <c r="Q750" i="7" s="1"/>
  <c r="R750" i="7" s="1"/>
  <c r="S750" i="7" s="1"/>
  <c r="T750" i="7" s="1"/>
  <c r="U750" i="7" s="1"/>
  <c r="V750" i="7" s="1"/>
  <c r="W750" i="7" s="1"/>
  <c r="X750" i="7" s="1"/>
  <c r="Y750" i="7" s="1"/>
  <c r="Z750" i="7" s="1"/>
  <c r="AA750" i="7" s="1"/>
  <c r="AB750" i="7" s="1"/>
  <c r="AC750" i="7" s="1"/>
  <c r="AD750" i="7" s="1"/>
  <c r="AE750" i="7" s="1"/>
  <c r="O744" i="7"/>
  <c r="P744" i="7" s="1"/>
  <c r="Q744" i="7" s="1"/>
  <c r="R744" i="7" s="1"/>
  <c r="S744" i="7" s="1"/>
  <c r="T744" i="7" s="1"/>
  <c r="U744" i="7" s="1"/>
  <c r="V744" i="7" s="1"/>
  <c r="W744" i="7" s="1"/>
  <c r="X744" i="7" s="1"/>
  <c r="Y744" i="7" s="1"/>
  <c r="Z744" i="7" s="1"/>
  <c r="AA744" i="7" s="1"/>
  <c r="AB744" i="7" s="1"/>
  <c r="AC744" i="7" s="1"/>
  <c r="AD744" i="7" s="1"/>
  <c r="AE744" i="7" s="1"/>
  <c r="L744" i="7"/>
  <c r="M744" i="7" s="1"/>
  <c r="N744" i="7" s="1"/>
  <c r="M739" i="7"/>
  <c r="N739" i="7" s="1"/>
  <c r="O739" i="7" s="1"/>
  <c r="P739" i="7" s="1"/>
  <c r="Q739" i="7" s="1"/>
  <c r="R739" i="7" s="1"/>
  <c r="S739" i="7" s="1"/>
  <c r="T739" i="7" s="1"/>
  <c r="U739" i="7" s="1"/>
  <c r="V739" i="7" s="1"/>
  <c r="W739" i="7" s="1"/>
  <c r="X739" i="7" s="1"/>
  <c r="Y739" i="7" s="1"/>
  <c r="Z739" i="7" s="1"/>
  <c r="AA739" i="7" s="1"/>
  <c r="AB739" i="7" s="1"/>
  <c r="AC739" i="7" s="1"/>
  <c r="AD739" i="7" s="1"/>
  <c r="AE739" i="7" s="1"/>
  <c r="L739" i="7"/>
  <c r="M734" i="7"/>
  <c r="N734" i="7" s="1"/>
  <c r="O734" i="7" s="1"/>
  <c r="P734" i="7" s="1"/>
  <c r="Q734" i="7" s="1"/>
  <c r="R734" i="7" s="1"/>
  <c r="S734" i="7" s="1"/>
  <c r="T734" i="7" s="1"/>
  <c r="U734" i="7" s="1"/>
  <c r="V734" i="7" s="1"/>
  <c r="W734" i="7" s="1"/>
  <c r="X734" i="7" s="1"/>
  <c r="Y734" i="7" s="1"/>
  <c r="Z734" i="7" s="1"/>
  <c r="AA734" i="7" s="1"/>
  <c r="AB734" i="7" s="1"/>
  <c r="AC734" i="7" s="1"/>
  <c r="AD734" i="7" s="1"/>
  <c r="AE734" i="7" s="1"/>
  <c r="L734" i="7"/>
  <c r="L727" i="7"/>
  <c r="M727" i="7" s="1"/>
  <c r="N727" i="7" s="1"/>
  <c r="O727" i="7" s="1"/>
  <c r="P727" i="7" s="1"/>
  <c r="Q727" i="7" s="1"/>
  <c r="R727" i="7" s="1"/>
  <c r="S727" i="7" s="1"/>
  <c r="T727" i="7" s="1"/>
  <c r="U727" i="7" s="1"/>
  <c r="V727" i="7" s="1"/>
  <c r="W727" i="7" s="1"/>
  <c r="X727" i="7" s="1"/>
  <c r="Y727" i="7" s="1"/>
  <c r="Z727" i="7" s="1"/>
  <c r="AA727" i="7" s="1"/>
  <c r="AB727" i="7" s="1"/>
  <c r="AC727" i="7" s="1"/>
  <c r="AD727" i="7" s="1"/>
  <c r="AE727" i="7" s="1"/>
  <c r="O722" i="7"/>
  <c r="P722" i="7" s="1"/>
  <c r="Q722" i="7" s="1"/>
  <c r="R722" i="7" s="1"/>
  <c r="S722" i="7" s="1"/>
  <c r="T722" i="7" s="1"/>
  <c r="U722" i="7" s="1"/>
  <c r="V722" i="7" s="1"/>
  <c r="W722" i="7" s="1"/>
  <c r="X722" i="7" s="1"/>
  <c r="Y722" i="7" s="1"/>
  <c r="Z722" i="7" s="1"/>
  <c r="AA722" i="7" s="1"/>
  <c r="AB722" i="7" s="1"/>
  <c r="AC722" i="7" s="1"/>
  <c r="AD722" i="7" s="1"/>
  <c r="AE722" i="7" s="1"/>
  <c r="L722" i="7"/>
  <c r="M722" i="7" s="1"/>
  <c r="N722" i="7" s="1"/>
  <c r="M717" i="7"/>
  <c r="N717" i="7" s="1"/>
  <c r="O717" i="7" s="1"/>
  <c r="P717" i="7" s="1"/>
  <c r="Q717" i="7" s="1"/>
  <c r="R717" i="7" s="1"/>
  <c r="S717" i="7" s="1"/>
  <c r="T717" i="7" s="1"/>
  <c r="U717" i="7" s="1"/>
  <c r="V717" i="7" s="1"/>
  <c r="W717" i="7" s="1"/>
  <c r="X717" i="7" s="1"/>
  <c r="Y717" i="7" s="1"/>
  <c r="Z717" i="7" s="1"/>
  <c r="AA717" i="7" s="1"/>
  <c r="AB717" i="7" s="1"/>
  <c r="AC717" i="7" s="1"/>
  <c r="AD717" i="7" s="1"/>
  <c r="AE717" i="7" s="1"/>
  <c r="L717" i="7"/>
  <c r="M711" i="7"/>
  <c r="N711" i="7" s="1"/>
  <c r="O711" i="7" s="1"/>
  <c r="P711" i="7" s="1"/>
  <c r="Q711" i="7" s="1"/>
  <c r="R711" i="7" s="1"/>
  <c r="S711" i="7" s="1"/>
  <c r="T711" i="7" s="1"/>
  <c r="U711" i="7" s="1"/>
  <c r="V711" i="7" s="1"/>
  <c r="W711" i="7" s="1"/>
  <c r="X711" i="7" s="1"/>
  <c r="Y711" i="7" s="1"/>
  <c r="Z711" i="7" s="1"/>
  <c r="AA711" i="7" s="1"/>
  <c r="AB711" i="7" s="1"/>
  <c r="AC711" i="7" s="1"/>
  <c r="AD711" i="7" s="1"/>
  <c r="AE711" i="7" s="1"/>
  <c r="L711" i="7"/>
  <c r="L705" i="7"/>
  <c r="M705" i="7" s="1"/>
  <c r="N705" i="7" s="1"/>
  <c r="O705" i="7" s="1"/>
  <c r="P705" i="7" s="1"/>
  <c r="Q705" i="7" s="1"/>
  <c r="R705" i="7" s="1"/>
  <c r="S705" i="7" s="1"/>
  <c r="T705" i="7" s="1"/>
  <c r="U705" i="7" s="1"/>
  <c r="V705" i="7" s="1"/>
  <c r="W705" i="7" s="1"/>
  <c r="X705" i="7" s="1"/>
  <c r="Y705" i="7" s="1"/>
  <c r="Z705" i="7" s="1"/>
  <c r="AA705" i="7" s="1"/>
  <c r="AB705" i="7" s="1"/>
  <c r="AC705" i="7" s="1"/>
  <c r="AD705" i="7" s="1"/>
  <c r="AE705" i="7" s="1"/>
  <c r="O692" i="7"/>
  <c r="N692" i="7"/>
  <c r="M692" i="7"/>
  <c r="L692" i="7"/>
  <c r="O690" i="7"/>
  <c r="P690" i="7" s="1"/>
  <c r="Q690" i="7" s="1"/>
  <c r="R690" i="7" s="1"/>
  <c r="S690" i="7" s="1"/>
  <c r="T690" i="7" s="1"/>
  <c r="U690" i="7" s="1"/>
  <c r="V690" i="7" s="1"/>
  <c r="W690" i="7" s="1"/>
  <c r="X690" i="7" s="1"/>
  <c r="Y690" i="7" s="1"/>
  <c r="Z690" i="7" s="1"/>
  <c r="AA690" i="7" s="1"/>
  <c r="AB690" i="7" s="1"/>
  <c r="AC690" i="7" s="1"/>
  <c r="AD690" i="7" s="1"/>
  <c r="AE690" i="7" s="1"/>
  <c r="L690" i="7"/>
  <c r="M690" i="7" s="1"/>
  <c r="N690" i="7" s="1"/>
  <c r="M685" i="7"/>
  <c r="N685" i="7" s="1"/>
  <c r="O685" i="7" s="1"/>
  <c r="P685" i="7" s="1"/>
  <c r="Q685" i="7" s="1"/>
  <c r="R685" i="7" s="1"/>
  <c r="S685" i="7" s="1"/>
  <c r="T685" i="7" s="1"/>
  <c r="U685" i="7" s="1"/>
  <c r="V685" i="7" s="1"/>
  <c r="W685" i="7" s="1"/>
  <c r="X685" i="7" s="1"/>
  <c r="Y685" i="7" s="1"/>
  <c r="Z685" i="7" s="1"/>
  <c r="AA685" i="7" s="1"/>
  <c r="AB685" i="7" s="1"/>
  <c r="AC685" i="7" s="1"/>
  <c r="AD685" i="7" s="1"/>
  <c r="AE685" i="7" s="1"/>
  <c r="L685" i="7"/>
  <c r="M680" i="7"/>
  <c r="N680" i="7" s="1"/>
  <c r="O680" i="7" s="1"/>
  <c r="P680" i="7" s="1"/>
  <c r="Q680" i="7" s="1"/>
  <c r="R680" i="7" s="1"/>
  <c r="S680" i="7" s="1"/>
  <c r="T680" i="7" s="1"/>
  <c r="U680" i="7" s="1"/>
  <c r="V680" i="7" s="1"/>
  <c r="W680" i="7" s="1"/>
  <c r="X680" i="7" s="1"/>
  <c r="Y680" i="7" s="1"/>
  <c r="Z680" i="7" s="1"/>
  <c r="AA680" i="7" s="1"/>
  <c r="AB680" i="7" s="1"/>
  <c r="AC680" i="7" s="1"/>
  <c r="AD680" i="7" s="1"/>
  <c r="AE680" i="7" s="1"/>
  <c r="L680" i="7"/>
  <c r="AF676" i="7"/>
  <c r="P667" i="7"/>
  <c r="Q667" i="7" s="1"/>
  <c r="R667" i="7" s="1"/>
  <c r="S667" i="7" s="1"/>
  <c r="T667" i="7" s="1"/>
  <c r="U667" i="7" s="1"/>
  <c r="V667" i="7" s="1"/>
  <c r="W667" i="7" s="1"/>
  <c r="X667" i="7" s="1"/>
  <c r="Y667" i="7" s="1"/>
  <c r="Z667" i="7" s="1"/>
  <c r="AA667" i="7" s="1"/>
  <c r="AB667" i="7" s="1"/>
  <c r="AC667" i="7" s="1"/>
  <c r="AD667" i="7" s="1"/>
  <c r="AE667" i="7" s="1"/>
  <c r="L667" i="7"/>
  <c r="M667" i="7" s="1"/>
  <c r="N667" i="7" s="1"/>
  <c r="O667" i="7" s="1"/>
  <c r="A664" i="7"/>
  <c r="Q653" i="7"/>
  <c r="R653" i="7" s="1"/>
  <c r="S653" i="7" s="1"/>
  <c r="T653" i="7" s="1"/>
  <c r="U653" i="7" s="1"/>
  <c r="V653" i="7" s="1"/>
  <c r="W653" i="7" s="1"/>
  <c r="X653" i="7" s="1"/>
  <c r="Y653" i="7" s="1"/>
  <c r="Z653" i="7" s="1"/>
  <c r="AA653" i="7" s="1"/>
  <c r="AB653" i="7" s="1"/>
  <c r="AC653" i="7" s="1"/>
  <c r="AD653" i="7" s="1"/>
  <c r="AE653" i="7" s="1"/>
  <c r="M653" i="7"/>
  <c r="N653" i="7" s="1"/>
  <c r="O653" i="7" s="1"/>
  <c r="P653" i="7" s="1"/>
  <c r="L653" i="7"/>
  <c r="P649" i="7"/>
  <c r="Q649" i="7" s="1"/>
  <c r="R649" i="7" s="1"/>
  <c r="S649" i="7" s="1"/>
  <c r="T649" i="7" s="1"/>
  <c r="U649" i="7" s="1"/>
  <c r="V649" i="7" s="1"/>
  <c r="W649" i="7" s="1"/>
  <c r="X649" i="7" s="1"/>
  <c r="Y649" i="7" s="1"/>
  <c r="Z649" i="7" s="1"/>
  <c r="AA649" i="7" s="1"/>
  <c r="AB649" i="7" s="1"/>
  <c r="AC649" i="7" s="1"/>
  <c r="AD649" i="7" s="1"/>
  <c r="AE649" i="7" s="1"/>
  <c r="L649" i="7"/>
  <c r="M649" i="7" s="1"/>
  <c r="N649" i="7" s="1"/>
  <c r="O649" i="7" s="1"/>
  <c r="L644" i="7"/>
  <c r="M644" i="7" s="1"/>
  <c r="N644" i="7" s="1"/>
  <c r="O644" i="7" s="1"/>
  <c r="P644" i="7" s="1"/>
  <c r="Q644" i="7" s="1"/>
  <c r="R644" i="7" s="1"/>
  <c r="S644" i="7" s="1"/>
  <c r="T644" i="7" s="1"/>
  <c r="U644" i="7" s="1"/>
  <c r="V644" i="7" s="1"/>
  <c r="W644" i="7" s="1"/>
  <c r="X644" i="7" s="1"/>
  <c r="Y644" i="7" s="1"/>
  <c r="Z644" i="7" s="1"/>
  <c r="AA644" i="7" s="1"/>
  <c r="AB644" i="7" s="1"/>
  <c r="AC644" i="7" s="1"/>
  <c r="AD644" i="7" s="1"/>
  <c r="AE644" i="7" s="1"/>
  <c r="Q634" i="7"/>
  <c r="R634" i="7" s="1"/>
  <c r="S634" i="7" s="1"/>
  <c r="T634" i="7" s="1"/>
  <c r="U634" i="7" s="1"/>
  <c r="V634" i="7" s="1"/>
  <c r="W634" i="7" s="1"/>
  <c r="X634" i="7" s="1"/>
  <c r="Y634" i="7" s="1"/>
  <c r="Z634" i="7" s="1"/>
  <c r="AA634" i="7" s="1"/>
  <c r="AB634" i="7" s="1"/>
  <c r="AC634" i="7" s="1"/>
  <c r="AD634" i="7" s="1"/>
  <c r="AE634" i="7" s="1"/>
  <c r="M634" i="7"/>
  <c r="N634" i="7" s="1"/>
  <c r="O634" i="7" s="1"/>
  <c r="P634" i="7" s="1"/>
  <c r="L634" i="7"/>
  <c r="A631" i="7"/>
  <c r="M623" i="7"/>
  <c r="N623" i="7" s="1"/>
  <c r="O623" i="7" s="1"/>
  <c r="P623" i="7" s="1"/>
  <c r="Q623" i="7" s="1"/>
  <c r="R623" i="7" s="1"/>
  <c r="S623" i="7" s="1"/>
  <c r="T623" i="7" s="1"/>
  <c r="U623" i="7" s="1"/>
  <c r="V623" i="7" s="1"/>
  <c r="W623" i="7" s="1"/>
  <c r="X623" i="7" s="1"/>
  <c r="Y623" i="7" s="1"/>
  <c r="Z623" i="7" s="1"/>
  <c r="AA623" i="7" s="1"/>
  <c r="AB623" i="7" s="1"/>
  <c r="AC623" i="7" s="1"/>
  <c r="AD623" i="7" s="1"/>
  <c r="AE623" i="7" s="1"/>
  <c r="L623" i="7"/>
  <c r="AD620" i="7"/>
  <c r="AC620" i="7"/>
  <c r="AB620" i="7"/>
  <c r="AA620" i="7"/>
  <c r="Z620" i="7"/>
  <c r="Y620" i="7"/>
  <c r="X620" i="7"/>
  <c r="W620" i="7"/>
  <c r="V620" i="7"/>
  <c r="U620" i="7"/>
  <c r="T620" i="7"/>
  <c r="A618" i="7"/>
  <c r="A616" i="7"/>
  <c r="Q615" i="7"/>
  <c r="R615" i="7" s="1"/>
  <c r="S615" i="7" s="1"/>
  <c r="T615" i="7" s="1"/>
  <c r="U615" i="7" s="1"/>
  <c r="V615" i="7" s="1"/>
  <c r="W615" i="7" s="1"/>
  <c r="X615" i="7" s="1"/>
  <c r="Y615" i="7" s="1"/>
  <c r="Z615" i="7" s="1"/>
  <c r="AA615" i="7" s="1"/>
  <c r="AB615" i="7" s="1"/>
  <c r="AC615" i="7" s="1"/>
  <c r="AD615" i="7" s="1"/>
  <c r="AE615" i="7" s="1"/>
  <c r="M615" i="7"/>
  <c r="N615" i="7" s="1"/>
  <c r="O615" i="7" s="1"/>
  <c r="P615" i="7" s="1"/>
  <c r="L615" i="7"/>
  <c r="AF614" i="7"/>
  <c r="M609" i="7"/>
  <c r="N609" i="7" s="1"/>
  <c r="O609" i="7" s="1"/>
  <c r="P609" i="7" s="1"/>
  <c r="Q609" i="7" s="1"/>
  <c r="R609" i="7" s="1"/>
  <c r="S609" i="7" s="1"/>
  <c r="T609" i="7" s="1"/>
  <c r="U609" i="7" s="1"/>
  <c r="V609" i="7" s="1"/>
  <c r="W609" i="7" s="1"/>
  <c r="X609" i="7" s="1"/>
  <c r="Y609" i="7" s="1"/>
  <c r="Z609" i="7" s="1"/>
  <c r="AA609" i="7" s="1"/>
  <c r="AB609" i="7" s="1"/>
  <c r="AC609" i="7" s="1"/>
  <c r="AD609" i="7" s="1"/>
  <c r="AE609" i="7" s="1"/>
  <c r="L609" i="7"/>
  <c r="A605" i="7"/>
  <c r="Q601" i="7"/>
  <c r="R601" i="7" s="1"/>
  <c r="S601" i="7" s="1"/>
  <c r="T601" i="7" s="1"/>
  <c r="U601" i="7" s="1"/>
  <c r="V601" i="7" s="1"/>
  <c r="W601" i="7" s="1"/>
  <c r="X601" i="7" s="1"/>
  <c r="Y601" i="7" s="1"/>
  <c r="Z601" i="7" s="1"/>
  <c r="AA601" i="7" s="1"/>
  <c r="AB601" i="7" s="1"/>
  <c r="AC601" i="7" s="1"/>
  <c r="AD601" i="7" s="1"/>
  <c r="AE601" i="7" s="1"/>
  <c r="M601" i="7"/>
  <c r="N601" i="7" s="1"/>
  <c r="O601" i="7" s="1"/>
  <c r="P601" i="7" s="1"/>
  <c r="L601" i="7"/>
  <c r="Q596" i="7"/>
  <c r="R596" i="7" s="1"/>
  <c r="S596" i="7" s="1"/>
  <c r="T596" i="7" s="1"/>
  <c r="U596" i="7" s="1"/>
  <c r="V596" i="7" s="1"/>
  <c r="W596" i="7" s="1"/>
  <c r="X596" i="7" s="1"/>
  <c r="Y596" i="7" s="1"/>
  <c r="Z596" i="7" s="1"/>
  <c r="AA596" i="7" s="1"/>
  <c r="AB596" i="7" s="1"/>
  <c r="AC596" i="7" s="1"/>
  <c r="AD596" i="7" s="1"/>
  <c r="AE596" i="7" s="1"/>
  <c r="M596" i="7"/>
  <c r="N596" i="7" s="1"/>
  <c r="O596" i="7" s="1"/>
  <c r="P596" i="7" s="1"/>
  <c r="L596" i="7"/>
  <c r="P591" i="7"/>
  <c r="Q591" i="7" s="1"/>
  <c r="R591" i="7" s="1"/>
  <c r="S591" i="7" s="1"/>
  <c r="T591" i="7" s="1"/>
  <c r="U591" i="7" s="1"/>
  <c r="V591" i="7" s="1"/>
  <c r="W591" i="7" s="1"/>
  <c r="X591" i="7" s="1"/>
  <c r="Y591" i="7" s="1"/>
  <c r="Z591" i="7" s="1"/>
  <c r="AA591" i="7" s="1"/>
  <c r="AB591" i="7" s="1"/>
  <c r="AC591" i="7" s="1"/>
  <c r="AD591" i="7" s="1"/>
  <c r="AE591" i="7" s="1"/>
  <c r="L591" i="7"/>
  <c r="M591" i="7" s="1"/>
  <c r="N591" i="7" s="1"/>
  <c r="O591" i="7" s="1"/>
  <c r="L586" i="7"/>
  <c r="M586" i="7" s="1"/>
  <c r="N586" i="7" s="1"/>
  <c r="O586" i="7" s="1"/>
  <c r="P586" i="7" s="1"/>
  <c r="Q586" i="7" s="1"/>
  <c r="R586" i="7" s="1"/>
  <c r="S586" i="7" s="1"/>
  <c r="T586" i="7" s="1"/>
  <c r="U586" i="7" s="1"/>
  <c r="V586" i="7" s="1"/>
  <c r="W586" i="7" s="1"/>
  <c r="X586" i="7" s="1"/>
  <c r="Y586" i="7" s="1"/>
  <c r="Z586" i="7" s="1"/>
  <c r="AA586" i="7" s="1"/>
  <c r="AB586" i="7" s="1"/>
  <c r="AC586" i="7" s="1"/>
  <c r="AD586" i="7" s="1"/>
  <c r="AE586" i="7" s="1"/>
  <c r="Q577" i="7"/>
  <c r="R577" i="7" s="1"/>
  <c r="S577" i="7" s="1"/>
  <c r="T577" i="7" s="1"/>
  <c r="U577" i="7" s="1"/>
  <c r="V577" i="7" s="1"/>
  <c r="W577" i="7" s="1"/>
  <c r="X577" i="7" s="1"/>
  <c r="Y577" i="7" s="1"/>
  <c r="Z577" i="7" s="1"/>
  <c r="AA577" i="7" s="1"/>
  <c r="AB577" i="7" s="1"/>
  <c r="AC577" i="7" s="1"/>
  <c r="AD577" i="7" s="1"/>
  <c r="AE577" i="7" s="1"/>
  <c r="M577" i="7"/>
  <c r="N577" i="7" s="1"/>
  <c r="O577" i="7" s="1"/>
  <c r="P577" i="7" s="1"/>
  <c r="L577" i="7"/>
  <c r="Q571" i="7"/>
  <c r="R571" i="7" s="1"/>
  <c r="S571" i="7" s="1"/>
  <c r="T571" i="7" s="1"/>
  <c r="U571" i="7" s="1"/>
  <c r="V571" i="7" s="1"/>
  <c r="W571" i="7" s="1"/>
  <c r="X571" i="7" s="1"/>
  <c r="Y571" i="7" s="1"/>
  <c r="Z571" i="7" s="1"/>
  <c r="AA571" i="7" s="1"/>
  <c r="AB571" i="7" s="1"/>
  <c r="AC571" i="7" s="1"/>
  <c r="AD571" i="7" s="1"/>
  <c r="AE571" i="7" s="1"/>
  <c r="M571" i="7"/>
  <c r="N571" i="7" s="1"/>
  <c r="O571" i="7" s="1"/>
  <c r="P571" i="7" s="1"/>
  <c r="L571" i="7"/>
  <c r="A566" i="7"/>
  <c r="L562" i="7"/>
  <c r="M562" i="7" s="1"/>
  <c r="N562" i="7" s="1"/>
  <c r="O562" i="7" s="1"/>
  <c r="P562" i="7" s="1"/>
  <c r="Q562" i="7" s="1"/>
  <c r="R562" i="7" s="1"/>
  <c r="S562" i="7" s="1"/>
  <c r="T562" i="7" s="1"/>
  <c r="U562" i="7" s="1"/>
  <c r="V562" i="7" s="1"/>
  <c r="W562" i="7" s="1"/>
  <c r="X562" i="7" s="1"/>
  <c r="Y562" i="7" s="1"/>
  <c r="Z562" i="7" s="1"/>
  <c r="AA562" i="7" s="1"/>
  <c r="AB562" i="7" s="1"/>
  <c r="AC562" i="7" s="1"/>
  <c r="AD562" i="7" s="1"/>
  <c r="AE562" i="7" s="1"/>
  <c r="O553" i="7"/>
  <c r="P553" i="7" s="1"/>
  <c r="Q553" i="7" s="1"/>
  <c r="R553" i="7" s="1"/>
  <c r="S553" i="7" s="1"/>
  <c r="T553" i="7" s="1"/>
  <c r="U553" i="7" s="1"/>
  <c r="V553" i="7" s="1"/>
  <c r="W553" i="7" s="1"/>
  <c r="X553" i="7" s="1"/>
  <c r="Y553" i="7" s="1"/>
  <c r="Z553" i="7" s="1"/>
  <c r="AA553" i="7" s="1"/>
  <c r="AB553" i="7" s="1"/>
  <c r="AC553" i="7" s="1"/>
  <c r="AD553" i="7" s="1"/>
  <c r="AE553" i="7" s="1"/>
  <c r="L553" i="7"/>
  <c r="M553" i="7" s="1"/>
  <c r="N553" i="7" s="1"/>
  <c r="N547" i="7"/>
  <c r="O547" i="7" s="1"/>
  <c r="P547" i="7" s="1"/>
  <c r="Q547" i="7" s="1"/>
  <c r="R547" i="7" s="1"/>
  <c r="S547" i="7" s="1"/>
  <c r="T547" i="7" s="1"/>
  <c r="U547" i="7" s="1"/>
  <c r="V547" i="7" s="1"/>
  <c r="W547" i="7" s="1"/>
  <c r="X547" i="7" s="1"/>
  <c r="Y547" i="7" s="1"/>
  <c r="Z547" i="7" s="1"/>
  <c r="AA547" i="7" s="1"/>
  <c r="AB547" i="7" s="1"/>
  <c r="AC547" i="7" s="1"/>
  <c r="AD547" i="7" s="1"/>
  <c r="AE547" i="7" s="1"/>
  <c r="L547" i="7"/>
  <c r="M547" i="7" s="1"/>
  <c r="A544" i="7"/>
  <c r="A543" i="7"/>
  <c r="A542" i="7"/>
  <c r="A541" i="7"/>
  <c r="N540" i="7"/>
  <c r="O540" i="7" s="1"/>
  <c r="P540" i="7" s="1"/>
  <c r="Q540" i="7" s="1"/>
  <c r="R540" i="7" s="1"/>
  <c r="S540" i="7" s="1"/>
  <c r="T540" i="7" s="1"/>
  <c r="U540" i="7" s="1"/>
  <c r="V540" i="7" s="1"/>
  <c r="W540" i="7" s="1"/>
  <c r="X540" i="7" s="1"/>
  <c r="Y540" i="7" s="1"/>
  <c r="Z540" i="7" s="1"/>
  <c r="AA540" i="7" s="1"/>
  <c r="AB540" i="7" s="1"/>
  <c r="AC540" i="7" s="1"/>
  <c r="AD540" i="7" s="1"/>
  <c r="AE540" i="7" s="1"/>
  <c r="M540" i="7"/>
  <c r="L540" i="7"/>
  <c r="P531" i="7"/>
  <c r="Q531" i="7" s="1"/>
  <c r="R531" i="7" s="1"/>
  <c r="S531" i="7" s="1"/>
  <c r="T531" i="7" s="1"/>
  <c r="U531" i="7" s="1"/>
  <c r="V531" i="7" s="1"/>
  <c r="W531" i="7" s="1"/>
  <c r="X531" i="7" s="1"/>
  <c r="Y531" i="7" s="1"/>
  <c r="Z531" i="7" s="1"/>
  <c r="AA531" i="7" s="1"/>
  <c r="AB531" i="7" s="1"/>
  <c r="AC531" i="7" s="1"/>
  <c r="AD531" i="7" s="1"/>
  <c r="AE531" i="7" s="1"/>
  <c r="L531" i="7"/>
  <c r="M531" i="7" s="1"/>
  <c r="N531" i="7" s="1"/>
  <c r="O531" i="7" s="1"/>
  <c r="L525" i="7"/>
  <c r="M525" i="7" s="1"/>
  <c r="N525" i="7" s="1"/>
  <c r="O525" i="7" s="1"/>
  <c r="P525" i="7" s="1"/>
  <c r="Q525" i="7" s="1"/>
  <c r="R525" i="7" s="1"/>
  <c r="S525" i="7" s="1"/>
  <c r="T525" i="7" s="1"/>
  <c r="U525" i="7" s="1"/>
  <c r="V525" i="7" s="1"/>
  <c r="W525" i="7" s="1"/>
  <c r="X525" i="7" s="1"/>
  <c r="Y525" i="7" s="1"/>
  <c r="Z525" i="7" s="1"/>
  <c r="AA525" i="7" s="1"/>
  <c r="AB525" i="7" s="1"/>
  <c r="AC525" i="7" s="1"/>
  <c r="AD525" i="7" s="1"/>
  <c r="AE525" i="7" s="1"/>
  <c r="A522" i="7"/>
  <c r="A521" i="7"/>
  <c r="A520" i="7"/>
  <c r="A519" i="7"/>
  <c r="O518" i="7"/>
  <c r="P518" i="7" s="1"/>
  <c r="Q518" i="7" s="1"/>
  <c r="R518" i="7" s="1"/>
  <c r="S518" i="7" s="1"/>
  <c r="T518" i="7" s="1"/>
  <c r="U518" i="7" s="1"/>
  <c r="V518" i="7" s="1"/>
  <c r="W518" i="7" s="1"/>
  <c r="X518" i="7" s="1"/>
  <c r="Y518" i="7" s="1"/>
  <c r="Z518" i="7" s="1"/>
  <c r="AA518" i="7" s="1"/>
  <c r="AB518" i="7" s="1"/>
  <c r="AC518" i="7" s="1"/>
  <c r="AD518" i="7" s="1"/>
  <c r="AE518" i="7" s="1"/>
  <c r="L518" i="7"/>
  <c r="M518" i="7" s="1"/>
  <c r="N518" i="7" s="1"/>
  <c r="M504" i="7"/>
  <c r="N504" i="7" s="1"/>
  <c r="O504" i="7" s="1"/>
  <c r="P504" i="7" s="1"/>
  <c r="Q504" i="7" s="1"/>
  <c r="R504" i="7" s="1"/>
  <c r="S504" i="7" s="1"/>
  <c r="T504" i="7" s="1"/>
  <c r="U504" i="7" s="1"/>
  <c r="V504" i="7" s="1"/>
  <c r="W504" i="7" s="1"/>
  <c r="X504" i="7" s="1"/>
  <c r="Y504" i="7" s="1"/>
  <c r="Z504" i="7" s="1"/>
  <c r="AA504" i="7" s="1"/>
  <c r="AB504" i="7" s="1"/>
  <c r="AC504" i="7" s="1"/>
  <c r="AD504" i="7" s="1"/>
  <c r="AE504" i="7" s="1"/>
  <c r="L504" i="7"/>
  <c r="M493" i="7"/>
  <c r="N493" i="7" s="1"/>
  <c r="O493" i="7" s="1"/>
  <c r="P493" i="7" s="1"/>
  <c r="Q493" i="7" s="1"/>
  <c r="R493" i="7" s="1"/>
  <c r="S493" i="7" s="1"/>
  <c r="T493" i="7" s="1"/>
  <c r="U493" i="7" s="1"/>
  <c r="V493" i="7" s="1"/>
  <c r="W493" i="7" s="1"/>
  <c r="X493" i="7" s="1"/>
  <c r="Y493" i="7" s="1"/>
  <c r="Z493" i="7" s="1"/>
  <c r="AA493" i="7" s="1"/>
  <c r="AB493" i="7" s="1"/>
  <c r="AC493" i="7" s="1"/>
  <c r="AD493" i="7" s="1"/>
  <c r="AE493" i="7" s="1"/>
  <c r="L493" i="7"/>
  <c r="A490" i="7"/>
  <c r="A489" i="7"/>
  <c r="A488" i="7"/>
  <c r="A486" i="7"/>
  <c r="A485" i="7"/>
  <c r="A483" i="7"/>
  <c r="A482" i="7"/>
  <c r="O481" i="7"/>
  <c r="P481" i="7" s="1"/>
  <c r="Q481" i="7" s="1"/>
  <c r="R481" i="7" s="1"/>
  <c r="S481" i="7" s="1"/>
  <c r="T481" i="7" s="1"/>
  <c r="U481" i="7" s="1"/>
  <c r="V481" i="7" s="1"/>
  <c r="W481" i="7" s="1"/>
  <c r="X481" i="7" s="1"/>
  <c r="Y481" i="7" s="1"/>
  <c r="Z481" i="7" s="1"/>
  <c r="AA481" i="7" s="1"/>
  <c r="AB481" i="7" s="1"/>
  <c r="AC481" i="7" s="1"/>
  <c r="AD481" i="7" s="1"/>
  <c r="AE481" i="7" s="1"/>
  <c r="L481" i="7"/>
  <c r="M481" i="7" s="1"/>
  <c r="N481" i="7" s="1"/>
  <c r="AB479" i="7"/>
  <c r="R475" i="7"/>
  <c r="S475" i="7" s="1"/>
  <c r="T475" i="7" s="1"/>
  <c r="U475" i="7" s="1"/>
  <c r="V475" i="7" s="1"/>
  <c r="W475" i="7" s="1"/>
  <c r="X475" i="7" s="1"/>
  <c r="Y475" i="7" s="1"/>
  <c r="Z475" i="7" s="1"/>
  <c r="AA475" i="7" s="1"/>
  <c r="AB475" i="7" s="1"/>
  <c r="AC475" i="7" s="1"/>
  <c r="AD475" i="7" s="1"/>
  <c r="AE475" i="7" s="1"/>
  <c r="N475" i="7"/>
  <c r="O475" i="7" s="1"/>
  <c r="P475" i="7" s="1"/>
  <c r="Q475" i="7" s="1"/>
  <c r="L475" i="7"/>
  <c r="M475" i="7" s="1"/>
  <c r="R469" i="7"/>
  <c r="S469" i="7" s="1"/>
  <c r="T469" i="7" s="1"/>
  <c r="U469" i="7" s="1"/>
  <c r="V469" i="7" s="1"/>
  <c r="W469" i="7" s="1"/>
  <c r="X469" i="7" s="1"/>
  <c r="Y469" i="7" s="1"/>
  <c r="Z469" i="7" s="1"/>
  <c r="AA469" i="7" s="1"/>
  <c r="AB469" i="7" s="1"/>
  <c r="AC469" i="7" s="1"/>
  <c r="AD469" i="7" s="1"/>
  <c r="AE469" i="7" s="1"/>
  <c r="N469" i="7"/>
  <c r="O469" i="7" s="1"/>
  <c r="P469" i="7" s="1"/>
  <c r="Q469" i="7" s="1"/>
  <c r="M469" i="7"/>
  <c r="L469" i="7"/>
  <c r="L463" i="7"/>
  <c r="M463" i="7" s="1"/>
  <c r="N463" i="7" s="1"/>
  <c r="O463" i="7" s="1"/>
  <c r="P463" i="7" s="1"/>
  <c r="Q463" i="7" s="1"/>
  <c r="R463" i="7" s="1"/>
  <c r="S463" i="7" s="1"/>
  <c r="T463" i="7" s="1"/>
  <c r="U463" i="7" s="1"/>
  <c r="V463" i="7" s="1"/>
  <c r="W463" i="7" s="1"/>
  <c r="X463" i="7" s="1"/>
  <c r="Y463" i="7" s="1"/>
  <c r="Z463" i="7" s="1"/>
  <c r="AA463" i="7" s="1"/>
  <c r="AB463" i="7" s="1"/>
  <c r="AC463" i="7" s="1"/>
  <c r="AD463" i="7" s="1"/>
  <c r="AE463" i="7" s="1"/>
  <c r="O457" i="7"/>
  <c r="P457" i="7" s="1"/>
  <c r="Q457" i="7" s="1"/>
  <c r="R457" i="7" s="1"/>
  <c r="S457" i="7" s="1"/>
  <c r="T457" i="7" s="1"/>
  <c r="U457" i="7" s="1"/>
  <c r="V457" i="7" s="1"/>
  <c r="W457" i="7" s="1"/>
  <c r="X457" i="7" s="1"/>
  <c r="Y457" i="7" s="1"/>
  <c r="Z457" i="7" s="1"/>
  <c r="AA457" i="7" s="1"/>
  <c r="AB457" i="7" s="1"/>
  <c r="AC457" i="7" s="1"/>
  <c r="AD457" i="7" s="1"/>
  <c r="AE457" i="7" s="1"/>
  <c r="L457" i="7"/>
  <c r="M457" i="7" s="1"/>
  <c r="N457" i="7" s="1"/>
  <c r="N443" i="7"/>
  <c r="O443" i="7" s="1"/>
  <c r="P443" i="7" s="1"/>
  <c r="Q443" i="7" s="1"/>
  <c r="R443" i="7" s="1"/>
  <c r="S443" i="7" s="1"/>
  <c r="T443" i="7" s="1"/>
  <c r="U443" i="7" s="1"/>
  <c r="V443" i="7" s="1"/>
  <c r="W443" i="7" s="1"/>
  <c r="X443" i="7" s="1"/>
  <c r="Y443" i="7" s="1"/>
  <c r="Z443" i="7" s="1"/>
  <c r="AA443" i="7" s="1"/>
  <c r="AB443" i="7" s="1"/>
  <c r="AC443" i="7" s="1"/>
  <c r="AD443" i="7" s="1"/>
  <c r="AE443" i="7" s="1"/>
  <c r="L443" i="7"/>
  <c r="M443" i="7" s="1"/>
  <c r="N431" i="7"/>
  <c r="O431" i="7" s="1"/>
  <c r="P431" i="7" s="1"/>
  <c r="Q431" i="7" s="1"/>
  <c r="R431" i="7" s="1"/>
  <c r="S431" i="7" s="1"/>
  <c r="T431" i="7" s="1"/>
  <c r="U431" i="7" s="1"/>
  <c r="V431" i="7" s="1"/>
  <c r="W431" i="7" s="1"/>
  <c r="X431" i="7" s="1"/>
  <c r="Y431" i="7" s="1"/>
  <c r="Z431" i="7" s="1"/>
  <c r="AA431" i="7" s="1"/>
  <c r="AB431" i="7" s="1"/>
  <c r="AC431" i="7" s="1"/>
  <c r="AD431" i="7" s="1"/>
  <c r="AE431" i="7" s="1"/>
  <c r="M431" i="7"/>
  <c r="L431" i="7"/>
  <c r="A426" i="7"/>
  <c r="A422" i="7"/>
  <c r="A420" i="7"/>
  <c r="A419" i="7"/>
  <c r="P417" i="7"/>
  <c r="Q417" i="7" s="1"/>
  <c r="R417" i="7" s="1"/>
  <c r="S417" i="7" s="1"/>
  <c r="T417" i="7" s="1"/>
  <c r="U417" i="7" s="1"/>
  <c r="V417" i="7" s="1"/>
  <c r="W417" i="7" s="1"/>
  <c r="X417" i="7" s="1"/>
  <c r="Y417" i="7" s="1"/>
  <c r="Z417" i="7" s="1"/>
  <c r="AA417" i="7" s="1"/>
  <c r="AB417" i="7" s="1"/>
  <c r="AC417" i="7" s="1"/>
  <c r="AD417" i="7" s="1"/>
  <c r="AE417" i="7" s="1"/>
  <c r="L417" i="7"/>
  <c r="M417" i="7" s="1"/>
  <c r="N417" i="7" s="1"/>
  <c r="O417" i="7" s="1"/>
  <c r="S407" i="7"/>
  <c r="T407" i="7" s="1"/>
  <c r="U407" i="7" s="1"/>
  <c r="V407" i="7" s="1"/>
  <c r="W407" i="7" s="1"/>
  <c r="X407" i="7" s="1"/>
  <c r="Y407" i="7" s="1"/>
  <c r="Z407" i="7" s="1"/>
  <c r="AA407" i="7" s="1"/>
  <c r="AB407" i="7" s="1"/>
  <c r="AC407" i="7" s="1"/>
  <c r="AD407" i="7" s="1"/>
  <c r="AE407" i="7" s="1"/>
  <c r="O407" i="7"/>
  <c r="P407" i="7" s="1"/>
  <c r="Q407" i="7" s="1"/>
  <c r="R407" i="7" s="1"/>
  <c r="L407" i="7"/>
  <c r="M407" i="7" s="1"/>
  <c r="N407" i="7" s="1"/>
  <c r="R401" i="7"/>
  <c r="S401" i="7" s="1"/>
  <c r="T401" i="7" s="1"/>
  <c r="U401" i="7" s="1"/>
  <c r="V401" i="7" s="1"/>
  <c r="W401" i="7" s="1"/>
  <c r="X401" i="7" s="1"/>
  <c r="Y401" i="7" s="1"/>
  <c r="Z401" i="7" s="1"/>
  <c r="AA401" i="7" s="1"/>
  <c r="AB401" i="7" s="1"/>
  <c r="AC401" i="7" s="1"/>
  <c r="AD401" i="7" s="1"/>
  <c r="AE401" i="7" s="1"/>
  <c r="N401" i="7"/>
  <c r="O401" i="7" s="1"/>
  <c r="P401" i="7" s="1"/>
  <c r="Q401" i="7" s="1"/>
  <c r="L401" i="7"/>
  <c r="M401" i="7" s="1"/>
  <c r="A398" i="7"/>
  <c r="A397" i="7"/>
  <c r="A396" i="7"/>
  <c r="L395" i="7"/>
  <c r="M395" i="7" s="1"/>
  <c r="N395" i="7" s="1"/>
  <c r="O395" i="7" s="1"/>
  <c r="P395" i="7" s="1"/>
  <c r="Q395" i="7" s="1"/>
  <c r="R395" i="7" s="1"/>
  <c r="S395" i="7" s="1"/>
  <c r="T395" i="7" s="1"/>
  <c r="U395" i="7" s="1"/>
  <c r="V395" i="7" s="1"/>
  <c r="W395" i="7" s="1"/>
  <c r="X395" i="7" s="1"/>
  <c r="Y395" i="7" s="1"/>
  <c r="Z395" i="7" s="1"/>
  <c r="AA395" i="7" s="1"/>
  <c r="AB395" i="7" s="1"/>
  <c r="AC395" i="7" s="1"/>
  <c r="AD395" i="7" s="1"/>
  <c r="AE395" i="7" s="1"/>
  <c r="O386" i="7"/>
  <c r="P386" i="7" s="1"/>
  <c r="Q386" i="7" s="1"/>
  <c r="R386" i="7" s="1"/>
  <c r="S386" i="7" s="1"/>
  <c r="T386" i="7" s="1"/>
  <c r="U386" i="7" s="1"/>
  <c r="V386" i="7" s="1"/>
  <c r="W386" i="7" s="1"/>
  <c r="X386" i="7" s="1"/>
  <c r="Y386" i="7" s="1"/>
  <c r="Z386" i="7" s="1"/>
  <c r="AA386" i="7" s="1"/>
  <c r="AB386" i="7" s="1"/>
  <c r="AC386" i="7" s="1"/>
  <c r="AD386" i="7" s="1"/>
  <c r="AE386" i="7" s="1"/>
  <c r="L386" i="7"/>
  <c r="M386" i="7" s="1"/>
  <c r="N386" i="7" s="1"/>
  <c r="N380" i="7"/>
  <c r="O380" i="7" s="1"/>
  <c r="P380" i="7" s="1"/>
  <c r="Q380" i="7" s="1"/>
  <c r="R380" i="7" s="1"/>
  <c r="S380" i="7" s="1"/>
  <c r="T380" i="7" s="1"/>
  <c r="U380" i="7" s="1"/>
  <c r="V380" i="7" s="1"/>
  <c r="W380" i="7" s="1"/>
  <c r="X380" i="7" s="1"/>
  <c r="Y380" i="7" s="1"/>
  <c r="Z380" i="7" s="1"/>
  <c r="AA380" i="7" s="1"/>
  <c r="AB380" i="7" s="1"/>
  <c r="AC380" i="7" s="1"/>
  <c r="AD380" i="7" s="1"/>
  <c r="AE380" i="7" s="1"/>
  <c r="L380" i="7"/>
  <c r="M380" i="7" s="1"/>
  <c r="N374" i="7"/>
  <c r="O374" i="7" s="1"/>
  <c r="P374" i="7" s="1"/>
  <c r="Q374" i="7" s="1"/>
  <c r="R374" i="7" s="1"/>
  <c r="S374" i="7" s="1"/>
  <c r="T374" i="7" s="1"/>
  <c r="U374" i="7" s="1"/>
  <c r="V374" i="7" s="1"/>
  <c r="W374" i="7" s="1"/>
  <c r="X374" i="7" s="1"/>
  <c r="Y374" i="7" s="1"/>
  <c r="Z374" i="7" s="1"/>
  <c r="AA374" i="7" s="1"/>
  <c r="AB374" i="7" s="1"/>
  <c r="AC374" i="7" s="1"/>
  <c r="AD374" i="7" s="1"/>
  <c r="AE374" i="7" s="1"/>
  <c r="M374" i="7"/>
  <c r="L374" i="7"/>
  <c r="P365" i="7"/>
  <c r="Q365" i="7" s="1"/>
  <c r="R365" i="7" s="1"/>
  <c r="S365" i="7" s="1"/>
  <c r="T365" i="7" s="1"/>
  <c r="U365" i="7" s="1"/>
  <c r="V365" i="7" s="1"/>
  <c r="W365" i="7" s="1"/>
  <c r="X365" i="7" s="1"/>
  <c r="Y365" i="7" s="1"/>
  <c r="Z365" i="7" s="1"/>
  <c r="AA365" i="7" s="1"/>
  <c r="AB365" i="7" s="1"/>
  <c r="AC365" i="7" s="1"/>
  <c r="AD365" i="7" s="1"/>
  <c r="AE365" i="7" s="1"/>
  <c r="L365" i="7"/>
  <c r="M365" i="7" s="1"/>
  <c r="N365" i="7" s="1"/>
  <c r="O365" i="7" s="1"/>
  <c r="S359" i="7"/>
  <c r="T359" i="7" s="1"/>
  <c r="U359" i="7" s="1"/>
  <c r="V359" i="7" s="1"/>
  <c r="W359" i="7" s="1"/>
  <c r="X359" i="7" s="1"/>
  <c r="Y359" i="7" s="1"/>
  <c r="Z359" i="7" s="1"/>
  <c r="AA359" i="7" s="1"/>
  <c r="AB359" i="7" s="1"/>
  <c r="AC359" i="7" s="1"/>
  <c r="AD359" i="7" s="1"/>
  <c r="AE359" i="7" s="1"/>
  <c r="O359" i="7"/>
  <c r="P359" i="7" s="1"/>
  <c r="Q359" i="7" s="1"/>
  <c r="R359" i="7" s="1"/>
  <c r="L359" i="7"/>
  <c r="M359" i="7" s="1"/>
  <c r="N359" i="7" s="1"/>
  <c r="R353" i="7"/>
  <c r="S353" i="7" s="1"/>
  <c r="T353" i="7" s="1"/>
  <c r="U353" i="7" s="1"/>
  <c r="V353" i="7" s="1"/>
  <c r="W353" i="7" s="1"/>
  <c r="X353" i="7" s="1"/>
  <c r="Y353" i="7" s="1"/>
  <c r="Z353" i="7" s="1"/>
  <c r="AA353" i="7" s="1"/>
  <c r="AB353" i="7" s="1"/>
  <c r="AC353" i="7" s="1"/>
  <c r="AD353" i="7" s="1"/>
  <c r="AE353" i="7" s="1"/>
  <c r="N353" i="7"/>
  <c r="O353" i="7" s="1"/>
  <c r="P353" i="7" s="1"/>
  <c r="Q353" i="7" s="1"/>
  <c r="L353" i="7"/>
  <c r="M353" i="7" s="1"/>
  <c r="R341" i="7"/>
  <c r="S341" i="7" s="1"/>
  <c r="T341" i="7" s="1"/>
  <c r="U341" i="7" s="1"/>
  <c r="V341" i="7" s="1"/>
  <c r="W341" i="7" s="1"/>
  <c r="X341" i="7" s="1"/>
  <c r="Y341" i="7" s="1"/>
  <c r="Z341" i="7" s="1"/>
  <c r="AA341" i="7" s="1"/>
  <c r="AB341" i="7" s="1"/>
  <c r="AC341" i="7" s="1"/>
  <c r="AD341" i="7" s="1"/>
  <c r="AE341" i="7" s="1"/>
  <c r="N341" i="7"/>
  <c r="O341" i="7" s="1"/>
  <c r="P341" i="7" s="1"/>
  <c r="Q341" i="7" s="1"/>
  <c r="M341" i="7"/>
  <c r="L341" i="7"/>
  <c r="L332" i="7"/>
  <c r="M332" i="7" s="1"/>
  <c r="N332" i="7" s="1"/>
  <c r="O332" i="7" s="1"/>
  <c r="P332" i="7" s="1"/>
  <c r="Q332" i="7" s="1"/>
  <c r="R332" i="7" s="1"/>
  <c r="S332" i="7" s="1"/>
  <c r="T332" i="7" s="1"/>
  <c r="U332" i="7" s="1"/>
  <c r="V332" i="7" s="1"/>
  <c r="W332" i="7" s="1"/>
  <c r="X332" i="7" s="1"/>
  <c r="Y332" i="7" s="1"/>
  <c r="Z332" i="7" s="1"/>
  <c r="AA332" i="7" s="1"/>
  <c r="AB332" i="7" s="1"/>
  <c r="AC332" i="7" s="1"/>
  <c r="AD332" i="7" s="1"/>
  <c r="AE332" i="7" s="1"/>
  <c r="A329" i="7"/>
  <c r="A328" i="7"/>
  <c r="A327" i="7"/>
  <c r="A326" i="7"/>
  <c r="A325" i="7"/>
  <c r="A324" i="7"/>
  <c r="A323" i="7"/>
  <c r="N322" i="7"/>
  <c r="O322" i="7" s="1"/>
  <c r="P322" i="7" s="1"/>
  <c r="Q322" i="7" s="1"/>
  <c r="R322" i="7" s="1"/>
  <c r="S322" i="7" s="1"/>
  <c r="T322" i="7" s="1"/>
  <c r="U322" i="7" s="1"/>
  <c r="V322" i="7" s="1"/>
  <c r="W322" i="7" s="1"/>
  <c r="X322" i="7" s="1"/>
  <c r="Y322" i="7" s="1"/>
  <c r="Z322" i="7" s="1"/>
  <c r="AA322" i="7" s="1"/>
  <c r="AB322" i="7" s="1"/>
  <c r="AC322" i="7" s="1"/>
  <c r="AD322" i="7" s="1"/>
  <c r="AE322" i="7" s="1"/>
  <c r="L322" i="7"/>
  <c r="M322" i="7" s="1"/>
  <c r="N312" i="7"/>
  <c r="O312" i="7" s="1"/>
  <c r="P312" i="7" s="1"/>
  <c r="Q312" i="7" s="1"/>
  <c r="R312" i="7" s="1"/>
  <c r="S312" i="7" s="1"/>
  <c r="T312" i="7" s="1"/>
  <c r="U312" i="7" s="1"/>
  <c r="V312" i="7" s="1"/>
  <c r="W312" i="7" s="1"/>
  <c r="X312" i="7" s="1"/>
  <c r="Y312" i="7" s="1"/>
  <c r="Z312" i="7" s="1"/>
  <c r="AA312" i="7" s="1"/>
  <c r="AB312" i="7" s="1"/>
  <c r="AC312" i="7" s="1"/>
  <c r="AD312" i="7" s="1"/>
  <c r="AE312" i="7" s="1"/>
  <c r="M312" i="7"/>
  <c r="L312" i="7"/>
  <c r="P305" i="7"/>
  <c r="Q305" i="7" s="1"/>
  <c r="R305" i="7" s="1"/>
  <c r="S305" i="7" s="1"/>
  <c r="T305" i="7" s="1"/>
  <c r="U305" i="7" s="1"/>
  <c r="V305" i="7" s="1"/>
  <c r="W305" i="7" s="1"/>
  <c r="X305" i="7" s="1"/>
  <c r="Y305" i="7" s="1"/>
  <c r="Z305" i="7" s="1"/>
  <c r="AA305" i="7" s="1"/>
  <c r="AB305" i="7" s="1"/>
  <c r="AC305" i="7" s="1"/>
  <c r="AD305" i="7" s="1"/>
  <c r="AE305" i="7" s="1"/>
  <c r="L305" i="7"/>
  <c r="M305" i="7" s="1"/>
  <c r="N305" i="7" s="1"/>
  <c r="O305" i="7" s="1"/>
  <c r="A302" i="7"/>
  <c r="A301" i="7"/>
  <c r="A300" i="7"/>
  <c r="A299" i="7"/>
  <c r="A298" i="7"/>
  <c r="Q297" i="7"/>
  <c r="R297" i="7" s="1"/>
  <c r="S297" i="7" s="1"/>
  <c r="T297" i="7" s="1"/>
  <c r="U297" i="7" s="1"/>
  <c r="V297" i="7" s="1"/>
  <c r="W297" i="7" s="1"/>
  <c r="X297" i="7" s="1"/>
  <c r="Y297" i="7" s="1"/>
  <c r="Z297" i="7" s="1"/>
  <c r="AA297" i="7" s="1"/>
  <c r="AB297" i="7" s="1"/>
  <c r="AC297" i="7" s="1"/>
  <c r="AD297" i="7" s="1"/>
  <c r="AE297" i="7" s="1"/>
  <c r="M297" i="7"/>
  <c r="N297" i="7" s="1"/>
  <c r="O297" i="7" s="1"/>
  <c r="P297" i="7" s="1"/>
  <c r="L297" i="7"/>
  <c r="P288" i="7"/>
  <c r="Q288" i="7" s="1"/>
  <c r="R288" i="7" s="1"/>
  <c r="S288" i="7" s="1"/>
  <c r="T288" i="7" s="1"/>
  <c r="U288" i="7" s="1"/>
  <c r="V288" i="7" s="1"/>
  <c r="W288" i="7" s="1"/>
  <c r="X288" i="7" s="1"/>
  <c r="Y288" i="7" s="1"/>
  <c r="Z288" i="7" s="1"/>
  <c r="AA288" i="7" s="1"/>
  <c r="AB288" i="7" s="1"/>
  <c r="AC288" i="7" s="1"/>
  <c r="AD288" i="7" s="1"/>
  <c r="AE288" i="7" s="1"/>
  <c r="L288" i="7"/>
  <c r="M288" i="7" s="1"/>
  <c r="N288" i="7" s="1"/>
  <c r="O288" i="7" s="1"/>
  <c r="L278" i="7"/>
  <c r="M278" i="7" s="1"/>
  <c r="N278" i="7" s="1"/>
  <c r="O278" i="7" s="1"/>
  <c r="P278" i="7" s="1"/>
  <c r="Q278" i="7" s="1"/>
  <c r="R278" i="7" s="1"/>
  <c r="S278" i="7" s="1"/>
  <c r="T278" i="7" s="1"/>
  <c r="U278" i="7" s="1"/>
  <c r="V278" i="7" s="1"/>
  <c r="W278" i="7" s="1"/>
  <c r="X278" i="7" s="1"/>
  <c r="Y278" i="7" s="1"/>
  <c r="Z278" i="7" s="1"/>
  <c r="AA278" i="7" s="1"/>
  <c r="AB278" i="7" s="1"/>
  <c r="AC278" i="7" s="1"/>
  <c r="AD278" i="7" s="1"/>
  <c r="AE278" i="7" s="1"/>
  <c r="Q275" i="7"/>
  <c r="R275" i="7" s="1"/>
  <c r="S275" i="7" s="1"/>
  <c r="T275" i="7" s="1"/>
  <c r="U275" i="7" s="1"/>
  <c r="V275" i="7" s="1"/>
  <c r="W275" i="7" s="1"/>
  <c r="X275" i="7" s="1"/>
  <c r="Y275" i="7" s="1"/>
  <c r="Z275" i="7" s="1"/>
  <c r="AA275" i="7" s="1"/>
  <c r="AB275" i="7" s="1"/>
  <c r="AC275" i="7" s="1"/>
  <c r="AD275" i="7" s="1"/>
  <c r="AE275" i="7" s="1"/>
  <c r="M275" i="7"/>
  <c r="N275" i="7" s="1"/>
  <c r="O275" i="7" s="1"/>
  <c r="P275" i="7" s="1"/>
  <c r="L275" i="7"/>
  <c r="AD266" i="7"/>
  <c r="AC266" i="7"/>
  <c r="R264" i="7"/>
  <c r="S264" i="7" s="1"/>
  <c r="T264" i="7" s="1"/>
  <c r="U264" i="7" s="1"/>
  <c r="V264" i="7" s="1"/>
  <c r="W264" i="7" s="1"/>
  <c r="X264" i="7" s="1"/>
  <c r="Y264" i="7" s="1"/>
  <c r="Z264" i="7" s="1"/>
  <c r="AA264" i="7" s="1"/>
  <c r="AB264" i="7" s="1"/>
  <c r="AC264" i="7" s="1"/>
  <c r="AD264" i="7" s="1"/>
  <c r="AE264" i="7" s="1"/>
  <c r="N264" i="7"/>
  <c r="O264" i="7" s="1"/>
  <c r="P264" i="7" s="1"/>
  <c r="Q264" i="7" s="1"/>
  <c r="L264" i="7"/>
  <c r="M264" i="7" s="1"/>
  <c r="A259" i="7"/>
  <c r="A258" i="7"/>
  <c r="A257" i="7"/>
  <c r="A256" i="7"/>
  <c r="A254" i="7"/>
  <c r="A253" i="7"/>
  <c r="P252" i="7"/>
  <c r="Q252" i="7" s="1"/>
  <c r="R252" i="7" s="1"/>
  <c r="S252" i="7" s="1"/>
  <c r="T252" i="7" s="1"/>
  <c r="U252" i="7" s="1"/>
  <c r="V252" i="7" s="1"/>
  <c r="W252" i="7" s="1"/>
  <c r="X252" i="7" s="1"/>
  <c r="Y252" i="7" s="1"/>
  <c r="Z252" i="7" s="1"/>
  <c r="AA252" i="7" s="1"/>
  <c r="AB252" i="7" s="1"/>
  <c r="AC252" i="7" s="1"/>
  <c r="AD252" i="7" s="1"/>
  <c r="AE252" i="7" s="1"/>
  <c r="L252" i="7"/>
  <c r="M252" i="7" s="1"/>
  <c r="N252" i="7" s="1"/>
  <c r="O252" i="7" s="1"/>
  <c r="L243" i="7"/>
  <c r="M243" i="7" s="1"/>
  <c r="N243" i="7" s="1"/>
  <c r="O243" i="7" s="1"/>
  <c r="P243" i="7" s="1"/>
  <c r="Q243" i="7" s="1"/>
  <c r="R243" i="7" s="1"/>
  <c r="S243" i="7" s="1"/>
  <c r="T243" i="7" s="1"/>
  <c r="U243" i="7" s="1"/>
  <c r="V243" i="7" s="1"/>
  <c r="W243" i="7" s="1"/>
  <c r="X243" i="7" s="1"/>
  <c r="Y243" i="7" s="1"/>
  <c r="Z243" i="7" s="1"/>
  <c r="AA243" i="7" s="1"/>
  <c r="AB243" i="7" s="1"/>
  <c r="AC243" i="7" s="1"/>
  <c r="AD243" i="7" s="1"/>
  <c r="AE243" i="7" s="1"/>
  <c r="Q235" i="7"/>
  <c r="R235" i="7" s="1"/>
  <c r="S235" i="7" s="1"/>
  <c r="T235" i="7" s="1"/>
  <c r="U235" i="7" s="1"/>
  <c r="V235" i="7" s="1"/>
  <c r="W235" i="7" s="1"/>
  <c r="X235" i="7" s="1"/>
  <c r="Y235" i="7" s="1"/>
  <c r="Z235" i="7" s="1"/>
  <c r="AA235" i="7" s="1"/>
  <c r="AB235" i="7" s="1"/>
  <c r="AC235" i="7" s="1"/>
  <c r="AD235" i="7" s="1"/>
  <c r="AE235" i="7" s="1"/>
  <c r="M235" i="7"/>
  <c r="N235" i="7" s="1"/>
  <c r="O235" i="7" s="1"/>
  <c r="P235" i="7" s="1"/>
  <c r="L235" i="7"/>
  <c r="Q227" i="7"/>
  <c r="R227" i="7" s="1"/>
  <c r="S227" i="7" s="1"/>
  <c r="T227" i="7" s="1"/>
  <c r="U227" i="7" s="1"/>
  <c r="V227" i="7" s="1"/>
  <c r="W227" i="7" s="1"/>
  <c r="X227" i="7" s="1"/>
  <c r="Y227" i="7" s="1"/>
  <c r="Z227" i="7" s="1"/>
  <c r="AA227" i="7" s="1"/>
  <c r="AB227" i="7" s="1"/>
  <c r="AC227" i="7" s="1"/>
  <c r="AD227" i="7" s="1"/>
  <c r="AE227" i="7" s="1"/>
  <c r="M227" i="7"/>
  <c r="N227" i="7" s="1"/>
  <c r="O227" i="7" s="1"/>
  <c r="P227" i="7" s="1"/>
  <c r="L227" i="7"/>
  <c r="P220" i="7"/>
  <c r="Q220" i="7" s="1"/>
  <c r="R220" i="7" s="1"/>
  <c r="S220" i="7" s="1"/>
  <c r="T220" i="7" s="1"/>
  <c r="U220" i="7" s="1"/>
  <c r="V220" i="7" s="1"/>
  <c r="W220" i="7" s="1"/>
  <c r="X220" i="7" s="1"/>
  <c r="Y220" i="7" s="1"/>
  <c r="Z220" i="7" s="1"/>
  <c r="AA220" i="7" s="1"/>
  <c r="AB220" i="7" s="1"/>
  <c r="AC220" i="7" s="1"/>
  <c r="AD220" i="7" s="1"/>
  <c r="AE220" i="7" s="1"/>
  <c r="L220" i="7"/>
  <c r="M220" i="7" s="1"/>
  <c r="N220" i="7" s="1"/>
  <c r="O220" i="7" s="1"/>
  <c r="L215" i="7"/>
  <c r="M215" i="7" s="1"/>
  <c r="N215" i="7" s="1"/>
  <c r="O215" i="7" s="1"/>
  <c r="P215" i="7" s="1"/>
  <c r="Q215" i="7" s="1"/>
  <c r="R215" i="7" s="1"/>
  <c r="S215" i="7" s="1"/>
  <c r="T215" i="7" s="1"/>
  <c r="U215" i="7" s="1"/>
  <c r="V215" i="7" s="1"/>
  <c r="W215" i="7" s="1"/>
  <c r="X215" i="7" s="1"/>
  <c r="Y215" i="7" s="1"/>
  <c r="Z215" i="7" s="1"/>
  <c r="AA215" i="7" s="1"/>
  <c r="AB215" i="7" s="1"/>
  <c r="AC215" i="7" s="1"/>
  <c r="AD215" i="7" s="1"/>
  <c r="AE215" i="7" s="1"/>
  <c r="Q208" i="7"/>
  <c r="R208" i="7" s="1"/>
  <c r="S208" i="7" s="1"/>
  <c r="T208" i="7" s="1"/>
  <c r="U208" i="7" s="1"/>
  <c r="V208" i="7" s="1"/>
  <c r="W208" i="7" s="1"/>
  <c r="X208" i="7" s="1"/>
  <c r="Y208" i="7" s="1"/>
  <c r="Z208" i="7" s="1"/>
  <c r="AA208" i="7" s="1"/>
  <c r="AB208" i="7" s="1"/>
  <c r="AC208" i="7" s="1"/>
  <c r="AD208" i="7" s="1"/>
  <c r="AE208" i="7" s="1"/>
  <c r="M208" i="7"/>
  <c r="N208" i="7" s="1"/>
  <c r="O208" i="7" s="1"/>
  <c r="P208" i="7" s="1"/>
  <c r="L208" i="7"/>
  <c r="A205" i="7"/>
  <c r="A204" i="7"/>
  <c r="A203" i="7"/>
  <c r="A202" i="7"/>
  <c r="A201" i="7"/>
  <c r="M200" i="7"/>
  <c r="N200" i="7" s="1"/>
  <c r="O200" i="7" s="1"/>
  <c r="P200" i="7" s="1"/>
  <c r="Q200" i="7" s="1"/>
  <c r="R200" i="7" s="1"/>
  <c r="S200" i="7" s="1"/>
  <c r="T200" i="7" s="1"/>
  <c r="U200" i="7" s="1"/>
  <c r="V200" i="7" s="1"/>
  <c r="W200" i="7" s="1"/>
  <c r="X200" i="7" s="1"/>
  <c r="Y200" i="7" s="1"/>
  <c r="Z200" i="7" s="1"/>
  <c r="AA200" i="7" s="1"/>
  <c r="AB200" i="7" s="1"/>
  <c r="AC200" i="7" s="1"/>
  <c r="AD200" i="7" s="1"/>
  <c r="AE200" i="7" s="1"/>
  <c r="L200" i="7"/>
  <c r="M191" i="7"/>
  <c r="N191" i="7" s="1"/>
  <c r="O191" i="7" s="1"/>
  <c r="P191" i="7" s="1"/>
  <c r="Q191" i="7" s="1"/>
  <c r="R191" i="7" s="1"/>
  <c r="S191" i="7" s="1"/>
  <c r="T191" i="7" s="1"/>
  <c r="U191" i="7" s="1"/>
  <c r="V191" i="7" s="1"/>
  <c r="W191" i="7" s="1"/>
  <c r="X191" i="7" s="1"/>
  <c r="Y191" i="7" s="1"/>
  <c r="Z191" i="7" s="1"/>
  <c r="AA191" i="7" s="1"/>
  <c r="AB191" i="7" s="1"/>
  <c r="AC191" i="7" s="1"/>
  <c r="AD191" i="7" s="1"/>
  <c r="AE191" i="7" s="1"/>
  <c r="L191" i="7"/>
  <c r="M185" i="7"/>
  <c r="N185" i="7" s="1"/>
  <c r="O185" i="7" s="1"/>
  <c r="P185" i="7" s="1"/>
  <c r="Q185" i="7" s="1"/>
  <c r="R185" i="7" s="1"/>
  <c r="S185" i="7" s="1"/>
  <c r="T185" i="7" s="1"/>
  <c r="U185" i="7" s="1"/>
  <c r="V185" i="7" s="1"/>
  <c r="W185" i="7" s="1"/>
  <c r="X185" i="7" s="1"/>
  <c r="Y185" i="7" s="1"/>
  <c r="Z185" i="7" s="1"/>
  <c r="AA185" i="7" s="1"/>
  <c r="AB185" i="7" s="1"/>
  <c r="AC185" i="7" s="1"/>
  <c r="AD185" i="7" s="1"/>
  <c r="AE185" i="7" s="1"/>
  <c r="L185" i="7"/>
  <c r="N179" i="7"/>
  <c r="O179" i="7" s="1"/>
  <c r="P179" i="7" s="1"/>
  <c r="Q179" i="7" s="1"/>
  <c r="R179" i="7" s="1"/>
  <c r="S179" i="7" s="1"/>
  <c r="T179" i="7" s="1"/>
  <c r="U179" i="7" s="1"/>
  <c r="V179" i="7" s="1"/>
  <c r="W179" i="7" s="1"/>
  <c r="X179" i="7" s="1"/>
  <c r="Y179" i="7" s="1"/>
  <c r="Z179" i="7" s="1"/>
  <c r="AA179" i="7" s="1"/>
  <c r="AB179" i="7" s="1"/>
  <c r="AC179" i="7" s="1"/>
  <c r="AD179" i="7" s="1"/>
  <c r="AE179" i="7" s="1"/>
  <c r="L179" i="7"/>
  <c r="M179" i="7" s="1"/>
  <c r="M172" i="7"/>
  <c r="N172" i="7" s="1"/>
  <c r="O172" i="7" s="1"/>
  <c r="P172" i="7" s="1"/>
  <c r="Q172" i="7" s="1"/>
  <c r="R172" i="7" s="1"/>
  <c r="S172" i="7" s="1"/>
  <c r="T172" i="7" s="1"/>
  <c r="U172" i="7" s="1"/>
  <c r="V172" i="7" s="1"/>
  <c r="W172" i="7" s="1"/>
  <c r="X172" i="7" s="1"/>
  <c r="Y172" i="7" s="1"/>
  <c r="Z172" i="7" s="1"/>
  <c r="AA172" i="7" s="1"/>
  <c r="AB172" i="7" s="1"/>
  <c r="AC172" i="7" s="1"/>
  <c r="AD172" i="7" s="1"/>
  <c r="AE172" i="7" s="1"/>
  <c r="L172" i="7"/>
  <c r="N167" i="7"/>
  <c r="O167" i="7" s="1"/>
  <c r="P167" i="7" s="1"/>
  <c r="Q167" i="7" s="1"/>
  <c r="R167" i="7" s="1"/>
  <c r="S167" i="7" s="1"/>
  <c r="T167" i="7" s="1"/>
  <c r="U167" i="7" s="1"/>
  <c r="V167" i="7" s="1"/>
  <c r="W167" i="7" s="1"/>
  <c r="X167" i="7" s="1"/>
  <c r="Y167" i="7" s="1"/>
  <c r="Z167" i="7" s="1"/>
  <c r="AA167" i="7" s="1"/>
  <c r="AB167" i="7" s="1"/>
  <c r="AC167" i="7" s="1"/>
  <c r="AD167" i="7" s="1"/>
  <c r="AE167" i="7" s="1"/>
  <c r="L167" i="7"/>
  <c r="M167" i="7" s="1"/>
  <c r="A165" i="7"/>
  <c r="L162" i="7"/>
  <c r="M162" i="7" s="1"/>
  <c r="N162" i="7" s="1"/>
  <c r="O162" i="7" s="1"/>
  <c r="P162" i="7" s="1"/>
  <c r="Q162" i="7" s="1"/>
  <c r="R162" i="7" s="1"/>
  <c r="S162" i="7" s="1"/>
  <c r="T162" i="7" s="1"/>
  <c r="U162" i="7" s="1"/>
  <c r="V162" i="7" s="1"/>
  <c r="W162" i="7" s="1"/>
  <c r="X162" i="7" s="1"/>
  <c r="Y162" i="7" s="1"/>
  <c r="Z162" i="7" s="1"/>
  <c r="AA162" i="7" s="1"/>
  <c r="AB162" i="7" s="1"/>
  <c r="AC162" i="7" s="1"/>
  <c r="AD162" i="7" s="1"/>
  <c r="AE162" i="7" s="1"/>
  <c r="O154" i="7"/>
  <c r="P154" i="7" s="1"/>
  <c r="Q154" i="7" s="1"/>
  <c r="R154" i="7" s="1"/>
  <c r="S154" i="7" s="1"/>
  <c r="T154" i="7" s="1"/>
  <c r="U154" i="7" s="1"/>
  <c r="V154" i="7" s="1"/>
  <c r="W154" i="7" s="1"/>
  <c r="X154" i="7" s="1"/>
  <c r="Y154" i="7" s="1"/>
  <c r="Z154" i="7" s="1"/>
  <c r="AA154" i="7" s="1"/>
  <c r="AB154" i="7" s="1"/>
  <c r="AC154" i="7" s="1"/>
  <c r="AD154" i="7" s="1"/>
  <c r="AE154" i="7" s="1"/>
  <c r="M154" i="7"/>
  <c r="N154" i="7" s="1"/>
  <c r="L154" i="7"/>
  <c r="L146" i="7"/>
  <c r="M146" i="7" s="1"/>
  <c r="N146" i="7" s="1"/>
  <c r="O146" i="7" s="1"/>
  <c r="P146" i="7" s="1"/>
  <c r="Q146" i="7" s="1"/>
  <c r="R146" i="7" s="1"/>
  <c r="S146" i="7" s="1"/>
  <c r="T146" i="7" s="1"/>
  <c r="U146" i="7" s="1"/>
  <c r="V146" i="7" s="1"/>
  <c r="W146" i="7" s="1"/>
  <c r="X146" i="7" s="1"/>
  <c r="Y146" i="7" s="1"/>
  <c r="Z146" i="7" s="1"/>
  <c r="AA146" i="7" s="1"/>
  <c r="AB146" i="7" s="1"/>
  <c r="AC146" i="7" s="1"/>
  <c r="AD146" i="7" s="1"/>
  <c r="AE146" i="7" s="1"/>
  <c r="A143" i="7"/>
  <c r="A142" i="7"/>
  <c r="A139" i="7"/>
  <c r="A138" i="7"/>
  <c r="A137" i="7"/>
  <c r="A136" i="7"/>
  <c r="O135" i="7"/>
  <c r="P135" i="7" s="1"/>
  <c r="Q135" i="7" s="1"/>
  <c r="R135" i="7" s="1"/>
  <c r="S135" i="7" s="1"/>
  <c r="T135" i="7" s="1"/>
  <c r="U135" i="7" s="1"/>
  <c r="V135" i="7" s="1"/>
  <c r="W135" i="7" s="1"/>
  <c r="X135" i="7" s="1"/>
  <c r="Y135" i="7" s="1"/>
  <c r="Z135" i="7" s="1"/>
  <c r="AA135" i="7" s="1"/>
  <c r="AB135" i="7" s="1"/>
  <c r="AC135" i="7" s="1"/>
  <c r="AD135" i="7" s="1"/>
  <c r="AE135" i="7" s="1"/>
  <c r="M135" i="7"/>
  <c r="N135" i="7" s="1"/>
  <c r="L135" i="7"/>
  <c r="L126" i="7"/>
  <c r="M126" i="7" s="1"/>
  <c r="N126" i="7" s="1"/>
  <c r="O126" i="7" s="1"/>
  <c r="P126" i="7" s="1"/>
  <c r="Q126" i="7" s="1"/>
  <c r="R126" i="7" s="1"/>
  <c r="S126" i="7" s="1"/>
  <c r="T126" i="7" s="1"/>
  <c r="U126" i="7" s="1"/>
  <c r="V126" i="7" s="1"/>
  <c r="W126" i="7" s="1"/>
  <c r="X126" i="7" s="1"/>
  <c r="Y126" i="7" s="1"/>
  <c r="Z126" i="7" s="1"/>
  <c r="AA126" i="7" s="1"/>
  <c r="AB126" i="7" s="1"/>
  <c r="AC126" i="7" s="1"/>
  <c r="AD126" i="7" s="1"/>
  <c r="AE126" i="7" s="1"/>
  <c r="AD122" i="7"/>
  <c r="AC122" i="7"/>
  <c r="O117" i="7"/>
  <c r="P117" i="7" s="1"/>
  <c r="Q117" i="7" s="1"/>
  <c r="R117" i="7" s="1"/>
  <c r="S117" i="7" s="1"/>
  <c r="T117" i="7" s="1"/>
  <c r="U117" i="7" s="1"/>
  <c r="V117" i="7" s="1"/>
  <c r="W117" i="7" s="1"/>
  <c r="X117" i="7" s="1"/>
  <c r="Y117" i="7" s="1"/>
  <c r="Z117" i="7" s="1"/>
  <c r="AA117" i="7" s="1"/>
  <c r="AB117" i="7" s="1"/>
  <c r="AC117" i="7" s="1"/>
  <c r="AD117" i="7" s="1"/>
  <c r="AE117" i="7" s="1"/>
  <c r="M117" i="7"/>
  <c r="N117" i="7" s="1"/>
  <c r="L117" i="7"/>
  <c r="A114" i="7"/>
  <c r="M106" i="7"/>
  <c r="N106" i="7" s="1"/>
  <c r="O106" i="7" s="1"/>
  <c r="P106" i="7" s="1"/>
  <c r="Q106" i="7" s="1"/>
  <c r="R106" i="7" s="1"/>
  <c r="S106" i="7" s="1"/>
  <c r="T106" i="7" s="1"/>
  <c r="U106" i="7" s="1"/>
  <c r="V106" i="7" s="1"/>
  <c r="W106" i="7" s="1"/>
  <c r="X106" i="7" s="1"/>
  <c r="Y106" i="7" s="1"/>
  <c r="Z106" i="7" s="1"/>
  <c r="AA106" i="7" s="1"/>
  <c r="AB106" i="7" s="1"/>
  <c r="AC106" i="7" s="1"/>
  <c r="AD106" i="7" s="1"/>
  <c r="AE106" i="7" s="1"/>
  <c r="L106" i="7"/>
  <c r="L97" i="7"/>
  <c r="M97" i="7" s="1"/>
  <c r="N97" i="7" s="1"/>
  <c r="O97" i="7" s="1"/>
  <c r="P97" i="7" s="1"/>
  <c r="Q97" i="7" s="1"/>
  <c r="R97" i="7" s="1"/>
  <c r="S97" i="7" s="1"/>
  <c r="T97" i="7" s="1"/>
  <c r="U97" i="7" s="1"/>
  <c r="V97" i="7" s="1"/>
  <c r="W97" i="7" s="1"/>
  <c r="X97" i="7" s="1"/>
  <c r="Y97" i="7" s="1"/>
  <c r="Z97" i="7" s="1"/>
  <c r="AA97" i="7" s="1"/>
  <c r="AB97" i="7" s="1"/>
  <c r="AC97" i="7" s="1"/>
  <c r="AD97" i="7" s="1"/>
  <c r="AE97" i="7" s="1"/>
  <c r="M91" i="7"/>
  <c r="N91" i="7" s="1"/>
  <c r="O91" i="7" s="1"/>
  <c r="P91" i="7" s="1"/>
  <c r="Q91" i="7" s="1"/>
  <c r="R91" i="7" s="1"/>
  <c r="S91" i="7" s="1"/>
  <c r="T91" i="7" s="1"/>
  <c r="U91" i="7" s="1"/>
  <c r="V91" i="7" s="1"/>
  <c r="W91" i="7" s="1"/>
  <c r="X91" i="7" s="1"/>
  <c r="Y91" i="7" s="1"/>
  <c r="Z91" i="7" s="1"/>
  <c r="AA91" i="7" s="1"/>
  <c r="AB91" i="7" s="1"/>
  <c r="AC91" i="7" s="1"/>
  <c r="AD91" i="7" s="1"/>
  <c r="AE91" i="7" s="1"/>
  <c r="L91" i="7"/>
  <c r="A88" i="7"/>
  <c r="A83" i="7"/>
  <c r="A78" i="7"/>
  <c r="A73" i="7"/>
  <c r="L72" i="7"/>
  <c r="M72" i="7" s="1"/>
  <c r="N72" i="7" s="1"/>
  <c r="O72" i="7" s="1"/>
  <c r="P72" i="7" s="1"/>
  <c r="Q72" i="7" s="1"/>
  <c r="R72" i="7" s="1"/>
  <c r="S72" i="7" s="1"/>
  <c r="T72" i="7" s="1"/>
  <c r="U72" i="7" s="1"/>
  <c r="V72" i="7" s="1"/>
  <c r="W72" i="7" s="1"/>
  <c r="X72" i="7" s="1"/>
  <c r="Y72" i="7" s="1"/>
  <c r="Z72" i="7" s="1"/>
  <c r="AA72" i="7" s="1"/>
  <c r="AB72" i="7" s="1"/>
  <c r="AC72" i="7" s="1"/>
  <c r="AD72" i="7" s="1"/>
  <c r="AE72" i="7" s="1"/>
  <c r="M61" i="7"/>
  <c r="N61" i="7" s="1"/>
  <c r="O61" i="7" s="1"/>
  <c r="P61" i="7" s="1"/>
  <c r="Q61" i="7" s="1"/>
  <c r="R61" i="7" s="1"/>
  <c r="S61" i="7" s="1"/>
  <c r="T61" i="7" s="1"/>
  <c r="U61" i="7" s="1"/>
  <c r="V61" i="7" s="1"/>
  <c r="W61" i="7" s="1"/>
  <c r="X61" i="7" s="1"/>
  <c r="Y61" i="7" s="1"/>
  <c r="Z61" i="7" s="1"/>
  <c r="AA61" i="7" s="1"/>
  <c r="AB61" i="7" s="1"/>
  <c r="AC61" i="7" s="1"/>
  <c r="AD61" i="7" s="1"/>
  <c r="AE61" i="7" s="1"/>
  <c r="L61" i="7"/>
  <c r="L53" i="7"/>
  <c r="M53" i="7" s="1"/>
  <c r="N53" i="7" s="1"/>
  <c r="O53" i="7" s="1"/>
  <c r="P53" i="7" s="1"/>
  <c r="Q53" i="7" s="1"/>
  <c r="R53" i="7" s="1"/>
  <c r="S53" i="7" s="1"/>
  <c r="T53" i="7" s="1"/>
  <c r="U53" i="7" s="1"/>
  <c r="V53" i="7" s="1"/>
  <c r="W53" i="7" s="1"/>
  <c r="X53" i="7" s="1"/>
  <c r="Y53" i="7" s="1"/>
  <c r="Z53" i="7" s="1"/>
  <c r="AA53" i="7" s="1"/>
  <c r="AB53" i="7" s="1"/>
  <c r="AC53" i="7" s="1"/>
  <c r="AD53" i="7" s="1"/>
  <c r="AE53" i="7" s="1"/>
  <c r="A50" i="7"/>
  <c r="A49" i="7"/>
  <c r="A48" i="7"/>
  <c r="A47" i="7"/>
  <c r="A46" i="7"/>
  <c r="A45" i="7"/>
  <c r="M44" i="7"/>
  <c r="N44" i="7" s="1"/>
  <c r="O44" i="7" s="1"/>
  <c r="P44" i="7" s="1"/>
  <c r="Q44" i="7" s="1"/>
  <c r="R44" i="7" s="1"/>
  <c r="S44" i="7" s="1"/>
  <c r="T44" i="7" s="1"/>
  <c r="U44" i="7" s="1"/>
  <c r="V44" i="7" s="1"/>
  <c r="W44" i="7" s="1"/>
  <c r="X44" i="7" s="1"/>
  <c r="Y44" i="7" s="1"/>
  <c r="Z44" i="7" s="1"/>
  <c r="AA44" i="7" s="1"/>
  <c r="AB44" i="7" s="1"/>
  <c r="AC44" i="7" s="1"/>
  <c r="AD44" i="7" s="1"/>
  <c r="AE44" i="7" s="1"/>
  <c r="L44" i="7"/>
  <c r="L33" i="7"/>
  <c r="M33" i="7" s="1"/>
  <c r="N33" i="7" s="1"/>
  <c r="O33" i="7" s="1"/>
  <c r="P33" i="7" s="1"/>
  <c r="Q33" i="7" s="1"/>
  <c r="R33" i="7" s="1"/>
  <c r="S33" i="7" s="1"/>
  <c r="T33" i="7" s="1"/>
  <c r="U33" i="7" s="1"/>
  <c r="V33" i="7" s="1"/>
  <c r="W33" i="7" s="1"/>
  <c r="X33" i="7" s="1"/>
  <c r="Y33" i="7" s="1"/>
  <c r="Z33" i="7" s="1"/>
  <c r="AA33" i="7" s="1"/>
  <c r="AB33" i="7" s="1"/>
  <c r="AC33" i="7" s="1"/>
  <c r="AD33" i="7" s="1"/>
  <c r="AE33" i="7" s="1"/>
  <c r="M25" i="7"/>
  <c r="N25" i="7" s="1"/>
  <c r="O25" i="7" s="1"/>
  <c r="P25" i="7" s="1"/>
  <c r="Q25" i="7" s="1"/>
  <c r="R25" i="7" s="1"/>
  <c r="S25" i="7" s="1"/>
  <c r="T25" i="7" s="1"/>
  <c r="U25" i="7" s="1"/>
  <c r="V25" i="7" s="1"/>
  <c r="W25" i="7" s="1"/>
  <c r="X25" i="7" s="1"/>
  <c r="Y25" i="7" s="1"/>
  <c r="Z25" i="7" s="1"/>
  <c r="AA25" i="7" s="1"/>
  <c r="AB25" i="7" s="1"/>
  <c r="AC25" i="7" s="1"/>
  <c r="AD25" i="7" s="1"/>
  <c r="AE25" i="7" s="1"/>
  <c r="L25" i="7"/>
  <c r="AD20" i="7"/>
  <c r="AC20" i="7"/>
  <c r="L16" i="7"/>
  <c r="M16" i="7" s="1"/>
  <c r="N16" i="7" s="1"/>
  <c r="O16" i="7" s="1"/>
  <c r="P16" i="7" s="1"/>
  <c r="Q16" i="7" s="1"/>
  <c r="R16" i="7" s="1"/>
  <c r="S16" i="7" s="1"/>
  <c r="T16" i="7" s="1"/>
  <c r="U16" i="7" s="1"/>
  <c r="V16" i="7" s="1"/>
  <c r="W16" i="7" s="1"/>
  <c r="X16" i="7" s="1"/>
  <c r="Y16" i="7" s="1"/>
  <c r="Z16" i="7" s="1"/>
  <c r="AA16" i="7" s="1"/>
  <c r="AB16" i="7" s="1"/>
  <c r="AC16" i="7" s="1"/>
  <c r="AD16" i="7" s="1"/>
  <c r="AE16" i="7" s="1"/>
  <c r="A13" i="7"/>
  <c r="A12" i="7"/>
  <c r="A11" i="7"/>
  <c r="A10" i="7"/>
  <c r="A9" i="7"/>
  <c r="A8" i="7"/>
  <c r="M7" i="7"/>
  <c r="N7" i="7" s="1"/>
  <c r="O7" i="7" s="1"/>
  <c r="P7" i="7" s="1"/>
  <c r="Q7" i="7" s="1"/>
  <c r="R7" i="7" s="1"/>
  <c r="S7" i="7" s="1"/>
  <c r="T7" i="7" s="1"/>
  <c r="U7" i="7" s="1"/>
  <c r="V7" i="7" s="1"/>
  <c r="W7" i="7" s="1"/>
  <c r="X7" i="7" s="1"/>
  <c r="Y7" i="7" s="1"/>
  <c r="Z7" i="7" s="1"/>
  <c r="AA7" i="7" s="1"/>
  <c r="AB7" i="7" s="1"/>
  <c r="AC7" i="7" s="1"/>
  <c r="AD7" i="7" s="1"/>
  <c r="AE7" i="7" s="1"/>
  <c r="L7" i="7"/>
  <c r="F254" i="8"/>
  <c r="E254" i="8"/>
  <c r="E253" i="8"/>
  <c r="G252" i="8"/>
  <c r="H252" i="8" s="1"/>
  <c r="I252" i="8" s="1"/>
  <c r="J252" i="8" s="1"/>
  <c r="K252" i="8" s="1"/>
  <c r="L252" i="8" s="1"/>
  <c r="M252" i="8" s="1"/>
  <c r="N252" i="8" s="1"/>
  <c r="O252" i="8" s="1"/>
  <c r="P252" i="8" s="1"/>
  <c r="Q252" i="8" s="1"/>
  <c r="R252" i="8" s="1"/>
  <c r="S252" i="8" s="1"/>
  <c r="T252" i="8" s="1"/>
  <c r="U252" i="8" s="1"/>
  <c r="V252" i="8" s="1"/>
  <c r="W252" i="8" s="1"/>
  <c r="X252" i="8" s="1"/>
  <c r="Y252" i="8" s="1"/>
  <c r="Z252" i="8" s="1"/>
  <c r="AA252" i="8" s="1"/>
  <c r="AB252" i="8" s="1"/>
  <c r="AC252" i="8" s="1"/>
  <c r="AD252" i="8" s="1"/>
  <c r="AE252" i="8" s="1"/>
  <c r="F249" i="8"/>
  <c r="E249" i="8"/>
  <c r="F248" i="8"/>
  <c r="E248" i="8"/>
  <c r="G247" i="8"/>
  <c r="H247" i="8" s="1"/>
  <c r="I247" i="8" s="1"/>
  <c r="J247" i="8" s="1"/>
  <c r="K247" i="8" s="1"/>
  <c r="L247" i="8" s="1"/>
  <c r="M247" i="8" s="1"/>
  <c r="N247" i="8" s="1"/>
  <c r="O247" i="8" s="1"/>
  <c r="P247" i="8" s="1"/>
  <c r="Q247" i="8" s="1"/>
  <c r="R247" i="8" s="1"/>
  <c r="S247" i="8" s="1"/>
  <c r="T247" i="8" s="1"/>
  <c r="U247" i="8" s="1"/>
  <c r="V247" i="8" s="1"/>
  <c r="W247" i="8" s="1"/>
  <c r="X247" i="8" s="1"/>
  <c r="Y247" i="8" s="1"/>
  <c r="Z247" i="8" s="1"/>
  <c r="AA247" i="8" s="1"/>
  <c r="AB247" i="8" s="1"/>
  <c r="AC247" i="8" s="1"/>
  <c r="AD247" i="8" s="1"/>
  <c r="AE247" i="8" s="1"/>
  <c r="F243" i="8"/>
  <c r="I242" i="8"/>
  <c r="J242" i="8" s="1"/>
  <c r="K242" i="8" s="1"/>
  <c r="L242" i="8" s="1"/>
  <c r="M242" i="8" s="1"/>
  <c r="N242" i="8" s="1"/>
  <c r="O242" i="8" s="1"/>
  <c r="P242" i="8" s="1"/>
  <c r="Q242" i="8" s="1"/>
  <c r="R242" i="8" s="1"/>
  <c r="S242" i="8" s="1"/>
  <c r="T242" i="8" s="1"/>
  <c r="U242" i="8" s="1"/>
  <c r="V242" i="8" s="1"/>
  <c r="W242" i="8" s="1"/>
  <c r="X242" i="8" s="1"/>
  <c r="Y242" i="8" s="1"/>
  <c r="Z242" i="8" s="1"/>
  <c r="AA242" i="8" s="1"/>
  <c r="AB242" i="8" s="1"/>
  <c r="AC242" i="8" s="1"/>
  <c r="AD242" i="8" s="1"/>
  <c r="AE242" i="8" s="1"/>
  <c r="H242" i="8"/>
  <c r="G242" i="8"/>
  <c r="G236" i="8"/>
  <c r="H236" i="8" s="1"/>
  <c r="I236" i="8" s="1"/>
  <c r="J236" i="8" s="1"/>
  <c r="K236" i="8" s="1"/>
  <c r="L236" i="8" s="1"/>
  <c r="M236" i="8" s="1"/>
  <c r="N236" i="8" s="1"/>
  <c r="O236" i="8" s="1"/>
  <c r="P236" i="8" s="1"/>
  <c r="Q236" i="8" s="1"/>
  <c r="R236" i="8" s="1"/>
  <c r="S236" i="8" s="1"/>
  <c r="T236" i="8" s="1"/>
  <c r="U236" i="8" s="1"/>
  <c r="V236" i="8" s="1"/>
  <c r="W236" i="8" s="1"/>
  <c r="X236" i="8" s="1"/>
  <c r="Y236" i="8" s="1"/>
  <c r="Z236" i="8" s="1"/>
  <c r="AA236" i="8" s="1"/>
  <c r="AB236" i="8" s="1"/>
  <c r="AC236" i="8" s="1"/>
  <c r="AD236" i="8" s="1"/>
  <c r="AE236" i="8" s="1"/>
  <c r="H228" i="8"/>
  <c r="I228" i="8" s="1"/>
  <c r="J228" i="8" s="1"/>
  <c r="K228" i="8" s="1"/>
  <c r="L228" i="8" s="1"/>
  <c r="M228" i="8" s="1"/>
  <c r="N228" i="8" s="1"/>
  <c r="O228" i="8" s="1"/>
  <c r="P228" i="8" s="1"/>
  <c r="Q228" i="8" s="1"/>
  <c r="R228" i="8" s="1"/>
  <c r="S228" i="8" s="1"/>
  <c r="T228" i="8" s="1"/>
  <c r="U228" i="8" s="1"/>
  <c r="V228" i="8" s="1"/>
  <c r="W228" i="8" s="1"/>
  <c r="X228" i="8" s="1"/>
  <c r="Y228" i="8" s="1"/>
  <c r="Z228" i="8" s="1"/>
  <c r="AA228" i="8" s="1"/>
  <c r="AB228" i="8" s="1"/>
  <c r="AC228" i="8" s="1"/>
  <c r="AD228" i="8" s="1"/>
  <c r="AE228" i="8" s="1"/>
  <c r="G228" i="8"/>
  <c r="I220" i="8"/>
  <c r="J220" i="8" s="1"/>
  <c r="K220" i="8" s="1"/>
  <c r="L220" i="8" s="1"/>
  <c r="M220" i="8" s="1"/>
  <c r="N220" i="8" s="1"/>
  <c r="O220" i="8" s="1"/>
  <c r="P220" i="8" s="1"/>
  <c r="Q220" i="8" s="1"/>
  <c r="R220" i="8" s="1"/>
  <c r="S220" i="8" s="1"/>
  <c r="T220" i="8" s="1"/>
  <c r="U220" i="8" s="1"/>
  <c r="V220" i="8" s="1"/>
  <c r="W220" i="8" s="1"/>
  <c r="X220" i="8" s="1"/>
  <c r="Y220" i="8" s="1"/>
  <c r="Z220" i="8" s="1"/>
  <c r="AA220" i="8" s="1"/>
  <c r="AB220" i="8" s="1"/>
  <c r="AC220" i="8" s="1"/>
  <c r="AD220" i="8" s="1"/>
  <c r="AE220" i="8" s="1"/>
  <c r="H220" i="8"/>
  <c r="G220" i="8"/>
  <c r="F217" i="8"/>
  <c r="A217" i="8"/>
  <c r="AD216" i="8"/>
  <c r="EK11" i="6"/>
  <c r="A216" i="8"/>
  <c r="A214" i="8"/>
  <c r="F211" i="8"/>
  <c r="A211" i="8"/>
  <c r="F210" i="8"/>
  <c r="A210" i="8"/>
  <c r="F209" i="8"/>
  <c r="A209" i="8"/>
  <c r="L208" i="8"/>
  <c r="M208" i="8" s="1"/>
  <c r="N208" i="8" s="1"/>
  <c r="O208" i="8" s="1"/>
  <c r="P208" i="8" s="1"/>
  <c r="Q208" i="8" s="1"/>
  <c r="R208" i="8" s="1"/>
  <c r="S208" i="8" s="1"/>
  <c r="T208" i="8" s="1"/>
  <c r="U208" i="8" s="1"/>
  <c r="V208" i="8" s="1"/>
  <c r="W208" i="8" s="1"/>
  <c r="X208" i="8" s="1"/>
  <c r="Y208" i="8" s="1"/>
  <c r="Z208" i="8" s="1"/>
  <c r="AA208" i="8" s="1"/>
  <c r="AB208" i="8" s="1"/>
  <c r="AC208" i="8" s="1"/>
  <c r="AD208" i="8" s="1"/>
  <c r="AE208" i="8" s="1"/>
  <c r="I208" i="8"/>
  <c r="J208" i="8" s="1"/>
  <c r="K208" i="8" s="1"/>
  <c r="H208" i="8"/>
  <c r="G208" i="8"/>
  <c r="M201" i="8"/>
  <c r="N201" i="8" s="1"/>
  <c r="O201" i="8" s="1"/>
  <c r="P201" i="8" s="1"/>
  <c r="Q201" i="8" s="1"/>
  <c r="R201" i="8" s="1"/>
  <c r="S201" i="8" s="1"/>
  <c r="T201" i="8" s="1"/>
  <c r="U201" i="8" s="1"/>
  <c r="V201" i="8" s="1"/>
  <c r="W201" i="8" s="1"/>
  <c r="X201" i="8" s="1"/>
  <c r="Y201" i="8" s="1"/>
  <c r="Z201" i="8" s="1"/>
  <c r="AA201" i="8" s="1"/>
  <c r="AB201" i="8" s="1"/>
  <c r="AC201" i="8" s="1"/>
  <c r="AD201" i="8" s="1"/>
  <c r="AE201" i="8" s="1"/>
  <c r="L201" i="8"/>
  <c r="H201" i="8"/>
  <c r="I201" i="8" s="1"/>
  <c r="J201" i="8" s="1"/>
  <c r="K201" i="8" s="1"/>
  <c r="G201" i="8"/>
  <c r="M194" i="8"/>
  <c r="N194" i="8" s="1"/>
  <c r="O194" i="8" s="1"/>
  <c r="P194" i="8" s="1"/>
  <c r="Q194" i="8" s="1"/>
  <c r="R194" i="8" s="1"/>
  <c r="S194" i="8" s="1"/>
  <c r="T194" i="8" s="1"/>
  <c r="U194" i="8" s="1"/>
  <c r="V194" i="8" s="1"/>
  <c r="W194" i="8" s="1"/>
  <c r="X194" i="8" s="1"/>
  <c r="Y194" i="8" s="1"/>
  <c r="Z194" i="8" s="1"/>
  <c r="AA194" i="8" s="1"/>
  <c r="AB194" i="8" s="1"/>
  <c r="AC194" i="8" s="1"/>
  <c r="AD194" i="8" s="1"/>
  <c r="AE194" i="8" s="1"/>
  <c r="H194" i="8"/>
  <c r="I194" i="8" s="1"/>
  <c r="J194" i="8" s="1"/>
  <c r="K194" i="8" s="1"/>
  <c r="L194" i="8" s="1"/>
  <c r="G194" i="8"/>
  <c r="G187" i="8"/>
  <c r="H187" i="8" s="1"/>
  <c r="I187" i="8" s="1"/>
  <c r="J187" i="8" s="1"/>
  <c r="K187" i="8" s="1"/>
  <c r="L187" i="8" s="1"/>
  <c r="M187" i="8" s="1"/>
  <c r="N187" i="8" s="1"/>
  <c r="O187" i="8" s="1"/>
  <c r="P187" i="8" s="1"/>
  <c r="Q187" i="8" s="1"/>
  <c r="R187" i="8" s="1"/>
  <c r="S187" i="8" s="1"/>
  <c r="T187" i="8" s="1"/>
  <c r="U187" i="8" s="1"/>
  <c r="V187" i="8" s="1"/>
  <c r="W187" i="8" s="1"/>
  <c r="X187" i="8" s="1"/>
  <c r="Y187" i="8" s="1"/>
  <c r="Z187" i="8" s="1"/>
  <c r="AA187" i="8" s="1"/>
  <c r="AB187" i="8" s="1"/>
  <c r="AC187" i="8" s="1"/>
  <c r="AD187" i="8" s="1"/>
  <c r="AE187" i="8" s="1"/>
  <c r="AC181" i="8"/>
  <c r="G177" i="8"/>
  <c r="H177" i="8" s="1"/>
  <c r="I177" i="8" s="1"/>
  <c r="J177" i="8" s="1"/>
  <c r="K177" i="8" s="1"/>
  <c r="L177" i="8" s="1"/>
  <c r="M177" i="8" s="1"/>
  <c r="N177" i="8" s="1"/>
  <c r="O177" i="8" s="1"/>
  <c r="P177" i="8" s="1"/>
  <c r="Q177" i="8" s="1"/>
  <c r="R177" i="8" s="1"/>
  <c r="S177" i="8" s="1"/>
  <c r="T177" i="8" s="1"/>
  <c r="U177" i="8" s="1"/>
  <c r="V177" i="8" s="1"/>
  <c r="W177" i="8" s="1"/>
  <c r="X177" i="8" s="1"/>
  <c r="Y177" i="8" s="1"/>
  <c r="Z177" i="8" s="1"/>
  <c r="AA177" i="8" s="1"/>
  <c r="AB177" i="8" s="1"/>
  <c r="AC177" i="8" s="1"/>
  <c r="AD177" i="8" s="1"/>
  <c r="AE177" i="8" s="1"/>
  <c r="AD174" i="8"/>
  <c r="AA174" i="8"/>
  <c r="Z174" i="8"/>
  <c r="Y174" i="8"/>
  <c r="X174" i="8"/>
  <c r="W174" i="8"/>
  <c r="G170" i="8"/>
  <c r="H170" i="8" s="1"/>
  <c r="I170" i="8" s="1"/>
  <c r="J170" i="8" s="1"/>
  <c r="K170" i="8" s="1"/>
  <c r="L170" i="8" s="1"/>
  <c r="M170" i="8" s="1"/>
  <c r="N170" i="8" s="1"/>
  <c r="O170" i="8" s="1"/>
  <c r="P170" i="8" s="1"/>
  <c r="Q170" i="8" s="1"/>
  <c r="R170" i="8" s="1"/>
  <c r="S170" i="8" s="1"/>
  <c r="T170" i="8" s="1"/>
  <c r="U170" i="8" s="1"/>
  <c r="V170" i="8" s="1"/>
  <c r="W170" i="8" s="1"/>
  <c r="X170" i="8" s="1"/>
  <c r="Y170" i="8" s="1"/>
  <c r="Z170" i="8" s="1"/>
  <c r="AA170" i="8" s="1"/>
  <c r="AB170" i="8" s="1"/>
  <c r="AC170" i="8" s="1"/>
  <c r="AD170" i="8" s="1"/>
  <c r="AE170" i="8" s="1"/>
  <c r="L163" i="8"/>
  <c r="M163" i="8" s="1"/>
  <c r="N163" i="8" s="1"/>
  <c r="O163" i="8" s="1"/>
  <c r="P163" i="8" s="1"/>
  <c r="Q163" i="8" s="1"/>
  <c r="R163" i="8" s="1"/>
  <c r="S163" i="8" s="1"/>
  <c r="T163" i="8" s="1"/>
  <c r="U163" i="8" s="1"/>
  <c r="V163" i="8" s="1"/>
  <c r="W163" i="8" s="1"/>
  <c r="X163" i="8" s="1"/>
  <c r="Y163" i="8" s="1"/>
  <c r="Z163" i="8" s="1"/>
  <c r="AA163" i="8" s="1"/>
  <c r="AB163" i="8" s="1"/>
  <c r="AC163" i="8" s="1"/>
  <c r="AD163" i="8" s="1"/>
  <c r="AE163" i="8" s="1"/>
  <c r="G163" i="8"/>
  <c r="H163" i="8" s="1"/>
  <c r="I163" i="8" s="1"/>
  <c r="J163" i="8" s="1"/>
  <c r="K163" i="8" s="1"/>
  <c r="G156" i="8"/>
  <c r="H156" i="8" s="1"/>
  <c r="I156" i="8" s="1"/>
  <c r="J156" i="8" s="1"/>
  <c r="K156" i="8" s="1"/>
  <c r="L156" i="8" s="1"/>
  <c r="M156" i="8" s="1"/>
  <c r="N156" i="8" s="1"/>
  <c r="O156" i="8" s="1"/>
  <c r="P156" i="8" s="1"/>
  <c r="Q156" i="8" s="1"/>
  <c r="R156" i="8" s="1"/>
  <c r="S156" i="8" s="1"/>
  <c r="T156" i="8" s="1"/>
  <c r="U156" i="8" s="1"/>
  <c r="V156" i="8" s="1"/>
  <c r="W156" i="8" s="1"/>
  <c r="X156" i="8" s="1"/>
  <c r="Y156" i="8" s="1"/>
  <c r="Z156" i="8" s="1"/>
  <c r="AA156" i="8" s="1"/>
  <c r="AB156" i="8" s="1"/>
  <c r="AC156" i="8" s="1"/>
  <c r="AD156" i="8" s="1"/>
  <c r="AE156" i="8" s="1"/>
  <c r="Q149" i="8"/>
  <c r="R149" i="8" s="1"/>
  <c r="S149" i="8" s="1"/>
  <c r="T149" i="8" s="1"/>
  <c r="U149" i="8" s="1"/>
  <c r="V149" i="8" s="1"/>
  <c r="W149" i="8" s="1"/>
  <c r="X149" i="8" s="1"/>
  <c r="Y149" i="8" s="1"/>
  <c r="Z149" i="8" s="1"/>
  <c r="AA149" i="8" s="1"/>
  <c r="AB149" i="8" s="1"/>
  <c r="AC149" i="8" s="1"/>
  <c r="AD149" i="8" s="1"/>
  <c r="AE149" i="8" s="1"/>
  <c r="I149" i="8"/>
  <c r="J149" i="8" s="1"/>
  <c r="K149" i="8" s="1"/>
  <c r="L149" i="8" s="1"/>
  <c r="M149" i="8" s="1"/>
  <c r="N149" i="8" s="1"/>
  <c r="O149" i="8" s="1"/>
  <c r="P149" i="8" s="1"/>
  <c r="H149" i="8"/>
  <c r="G149" i="8"/>
  <c r="H142" i="8"/>
  <c r="I142" i="8" s="1"/>
  <c r="J142" i="8" s="1"/>
  <c r="K142" i="8" s="1"/>
  <c r="L142" i="8" s="1"/>
  <c r="M142" i="8" s="1"/>
  <c r="N142" i="8" s="1"/>
  <c r="O142" i="8" s="1"/>
  <c r="P142" i="8" s="1"/>
  <c r="Q142" i="8" s="1"/>
  <c r="R142" i="8" s="1"/>
  <c r="S142" i="8" s="1"/>
  <c r="T142" i="8" s="1"/>
  <c r="U142" i="8" s="1"/>
  <c r="V142" i="8" s="1"/>
  <c r="W142" i="8" s="1"/>
  <c r="X142" i="8" s="1"/>
  <c r="Y142" i="8" s="1"/>
  <c r="Z142" i="8" s="1"/>
  <c r="AA142" i="8" s="1"/>
  <c r="AB142" i="8" s="1"/>
  <c r="AC142" i="8" s="1"/>
  <c r="AD142" i="8" s="1"/>
  <c r="AE142" i="8" s="1"/>
  <c r="G142" i="8"/>
  <c r="A137" i="8"/>
  <c r="A135" i="8"/>
  <c r="Z132" i="8"/>
  <c r="AA132" i="8" s="1"/>
  <c r="AB132" i="8" s="1"/>
  <c r="AC132" i="8" s="1"/>
  <c r="AD132" i="8" s="1"/>
  <c r="AE132" i="8" s="1"/>
  <c r="R132" i="8"/>
  <c r="S132" i="8" s="1"/>
  <c r="T132" i="8" s="1"/>
  <c r="U132" i="8" s="1"/>
  <c r="V132" i="8" s="1"/>
  <c r="W132" i="8" s="1"/>
  <c r="X132" i="8" s="1"/>
  <c r="Y132" i="8" s="1"/>
  <c r="J132" i="8"/>
  <c r="K132" i="8" s="1"/>
  <c r="L132" i="8" s="1"/>
  <c r="M132" i="8" s="1"/>
  <c r="N132" i="8" s="1"/>
  <c r="O132" i="8" s="1"/>
  <c r="P132" i="8" s="1"/>
  <c r="Q132" i="8" s="1"/>
  <c r="G132" i="8"/>
  <c r="H132" i="8" s="1"/>
  <c r="I132" i="8" s="1"/>
  <c r="I118" i="8"/>
  <c r="J118" i="8" s="1"/>
  <c r="G118" i="8"/>
  <c r="H118" i="8" s="1"/>
  <c r="I111" i="8"/>
  <c r="J111" i="8" s="1"/>
  <c r="K111" i="8" s="1"/>
  <c r="L111" i="8" s="1"/>
  <c r="M111" i="8" s="1"/>
  <c r="N111" i="8" s="1"/>
  <c r="O111" i="8" s="1"/>
  <c r="P111" i="8" s="1"/>
  <c r="Q111" i="8" s="1"/>
  <c r="R111" i="8" s="1"/>
  <c r="S111" i="8" s="1"/>
  <c r="T111" i="8" s="1"/>
  <c r="U111" i="8" s="1"/>
  <c r="V111" i="8" s="1"/>
  <c r="W111" i="8" s="1"/>
  <c r="X111" i="8" s="1"/>
  <c r="Y111" i="8" s="1"/>
  <c r="Z111" i="8" s="1"/>
  <c r="AA111" i="8" s="1"/>
  <c r="AB111" i="8" s="1"/>
  <c r="AC111" i="8" s="1"/>
  <c r="AD111" i="8" s="1"/>
  <c r="AE111" i="8" s="1"/>
  <c r="G111" i="8"/>
  <c r="H111" i="8" s="1"/>
  <c r="E106" i="8"/>
  <c r="E105" i="8"/>
  <c r="H104" i="8"/>
  <c r="I104" i="8" s="1"/>
  <c r="J104" i="8" s="1"/>
  <c r="K104" i="8" s="1"/>
  <c r="L104" i="8" s="1"/>
  <c r="M104" i="8" s="1"/>
  <c r="N104" i="8" s="1"/>
  <c r="O104" i="8" s="1"/>
  <c r="P104" i="8" s="1"/>
  <c r="Q104" i="8" s="1"/>
  <c r="R104" i="8" s="1"/>
  <c r="S104" i="8" s="1"/>
  <c r="T104" i="8" s="1"/>
  <c r="U104" i="8" s="1"/>
  <c r="V104" i="8" s="1"/>
  <c r="W104" i="8" s="1"/>
  <c r="X104" i="8" s="1"/>
  <c r="Y104" i="8" s="1"/>
  <c r="Z104" i="8" s="1"/>
  <c r="AA104" i="8" s="1"/>
  <c r="AB104" i="8" s="1"/>
  <c r="AC104" i="8" s="1"/>
  <c r="AD104" i="8" s="1"/>
  <c r="AE104" i="8" s="1"/>
  <c r="G104" i="8"/>
  <c r="S101" i="8"/>
  <c r="S106" i="8" s="1"/>
  <c r="R101" i="8"/>
  <c r="R106" i="8" s="1"/>
  <c r="Q101" i="8"/>
  <c r="P101" i="8"/>
  <c r="O101" i="8"/>
  <c r="O106" i="8" s="1"/>
  <c r="N101" i="8"/>
  <c r="N106" i="8" s="1"/>
  <c r="M101" i="8"/>
  <c r="L101" i="8"/>
  <c r="K101" i="8"/>
  <c r="K106" i="8" s="1"/>
  <c r="J101" i="8"/>
  <c r="J106" i="8" s="1"/>
  <c r="I101" i="8"/>
  <c r="H101" i="8"/>
  <c r="G101" i="8"/>
  <c r="F101" i="8"/>
  <c r="F106" i="8" s="1"/>
  <c r="A101" i="8"/>
  <c r="V99" i="8"/>
  <c r="W99" i="8" s="1"/>
  <c r="X99" i="8" s="1"/>
  <c r="Y99" i="8" s="1"/>
  <c r="Z99" i="8" s="1"/>
  <c r="AA99" i="8" s="1"/>
  <c r="AB99" i="8" s="1"/>
  <c r="AC99" i="8" s="1"/>
  <c r="AD99" i="8" s="1"/>
  <c r="AE99" i="8" s="1"/>
  <c r="S99" i="8"/>
  <c r="T99" i="8" s="1"/>
  <c r="U99" i="8" s="1"/>
  <c r="R99" i="8"/>
  <c r="R105" i="8" s="1"/>
  <c r="Q99" i="8"/>
  <c r="P99" i="8"/>
  <c r="P105" i="8" s="1"/>
  <c r="O99" i="8"/>
  <c r="N99" i="8"/>
  <c r="N105" i="8" s="1"/>
  <c r="M99" i="8"/>
  <c r="L99" i="8"/>
  <c r="L105" i="8" s="1"/>
  <c r="K99" i="8"/>
  <c r="J99" i="8"/>
  <c r="J105" i="8" s="1"/>
  <c r="I99" i="8"/>
  <c r="H99" i="8"/>
  <c r="I105" i="8" s="1"/>
  <c r="G99" i="8"/>
  <c r="F99" i="8"/>
  <c r="F105" i="8" s="1"/>
  <c r="A99" i="8"/>
  <c r="P98" i="8"/>
  <c r="Q98" i="8" s="1"/>
  <c r="R98" i="8" s="1"/>
  <c r="S98" i="8" s="1"/>
  <c r="T98" i="8" s="1"/>
  <c r="U98" i="8" s="1"/>
  <c r="V98" i="8" s="1"/>
  <c r="W98" i="8" s="1"/>
  <c r="X98" i="8" s="1"/>
  <c r="Y98" i="8" s="1"/>
  <c r="Z98" i="8" s="1"/>
  <c r="AA98" i="8" s="1"/>
  <c r="AB98" i="8" s="1"/>
  <c r="AC98" i="8" s="1"/>
  <c r="AD98" i="8" s="1"/>
  <c r="AE98" i="8" s="1"/>
  <c r="L98" i="8"/>
  <c r="M98" i="8" s="1"/>
  <c r="N98" i="8" s="1"/>
  <c r="O98" i="8" s="1"/>
  <c r="H98" i="8"/>
  <c r="I98" i="8" s="1"/>
  <c r="J98" i="8" s="1"/>
  <c r="K98" i="8" s="1"/>
  <c r="G98" i="8"/>
  <c r="E93" i="8"/>
  <c r="G92" i="8"/>
  <c r="H92" i="8" s="1"/>
  <c r="I92" i="8" s="1"/>
  <c r="J92" i="8" s="1"/>
  <c r="K92" i="8" s="1"/>
  <c r="L92" i="8" s="1"/>
  <c r="M92" i="8" s="1"/>
  <c r="N92" i="8" s="1"/>
  <c r="O92" i="8" s="1"/>
  <c r="P92" i="8" s="1"/>
  <c r="Q92" i="8" s="1"/>
  <c r="R92" i="8" s="1"/>
  <c r="S92" i="8" s="1"/>
  <c r="T92" i="8" s="1"/>
  <c r="U92" i="8" s="1"/>
  <c r="V92" i="8" s="1"/>
  <c r="W92" i="8" s="1"/>
  <c r="X92" i="8" s="1"/>
  <c r="Y92" i="8" s="1"/>
  <c r="Z92" i="8" s="1"/>
  <c r="AA92" i="8" s="1"/>
  <c r="AB92" i="8" s="1"/>
  <c r="AC92" i="8" s="1"/>
  <c r="AD92" i="8" s="1"/>
  <c r="AE92" i="8" s="1"/>
  <c r="F90" i="8"/>
  <c r="F93" i="8" s="1"/>
  <c r="A90" i="8"/>
  <c r="H89" i="8"/>
  <c r="I89" i="8" s="1"/>
  <c r="J89" i="8" s="1"/>
  <c r="K89" i="8" s="1"/>
  <c r="L89" i="8" s="1"/>
  <c r="M89" i="8" s="1"/>
  <c r="N89" i="8" s="1"/>
  <c r="O89" i="8" s="1"/>
  <c r="P89" i="8" s="1"/>
  <c r="Q89" i="8" s="1"/>
  <c r="R89" i="8" s="1"/>
  <c r="S89" i="8" s="1"/>
  <c r="T89" i="8" s="1"/>
  <c r="U89" i="8" s="1"/>
  <c r="V89" i="8" s="1"/>
  <c r="W89" i="8" s="1"/>
  <c r="X89" i="8" s="1"/>
  <c r="Y89" i="8" s="1"/>
  <c r="Z89" i="8" s="1"/>
  <c r="AA89" i="8" s="1"/>
  <c r="AB89" i="8" s="1"/>
  <c r="AC89" i="8" s="1"/>
  <c r="AD89" i="8" s="1"/>
  <c r="AE89" i="8" s="1"/>
  <c r="G89" i="8"/>
  <c r="H81" i="8"/>
  <c r="I81" i="8" s="1"/>
  <c r="J81" i="8" s="1"/>
  <c r="K81" i="8" s="1"/>
  <c r="L81" i="8" s="1"/>
  <c r="M81" i="8" s="1"/>
  <c r="N81" i="8" s="1"/>
  <c r="O81" i="8" s="1"/>
  <c r="P81" i="8" s="1"/>
  <c r="Q81" i="8" s="1"/>
  <c r="R81" i="8" s="1"/>
  <c r="S81" i="8" s="1"/>
  <c r="T81" i="8" s="1"/>
  <c r="U81" i="8" s="1"/>
  <c r="V81" i="8" s="1"/>
  <c r="W81" i="8" s="1"/>
  <c r="X81" i="8" s="1"/>
  <c r="Y81" i="8" s="1"/>
  <c r="Z81" i="8" s="1"/>
  <c r="AA81" i="8" s="1"/>
  <c r="AB81" i="8" s="1"/>
  <c r="AC81" i="8" s="1"/>
  <c r="AD81" i="8" s="1"/>
  <c r="AE81" i="8" s="1"/>
  <c r="G81" i="8"/>
  <c r="E78" i="8"/>
  <c r="M76" i="8"/>
  <c r="N76" i="8" s="1"/>
  <c r="O76" i="8" s="1"/>
  <c r="P76" i="8" s="1"/>
  <c r="Q76" i="8" s="1"/>
  <c r="R76" i="8" s="1"/>
  <c r="S76" i="8" s="1"/>
  <c r="T76" i="8" s="1"/>
  <c r="U76" i="8" s="1"/>
  <c r="V76" i="8" s="1"/>
  <c r="W76" i="8" s="1"/>
  <c r="X76" i="8" s="1"/>
  <c r="Y76" i="8" s="1"/>
  <c r="Z76" i="8" s="1"/>
  <c r="AA76" i="8" s="1"/>
  <c r="AB76" i="8" s="1"/>
  <c r="AC76" i="8" s="1"/>
  <c r="AD76" i="8" s="1"/>
  <c r="AE76" i="8" s="1"/>
  <c r="I76" i="8"/>
  <c r="J76" i="8" s="1"/>
  <c r="K76" i="8" s="1"/>
  <c r="L76" i="8" s="1"/>
  <c r="H76" i="8"/>
  <c r="G76" i="8"/>
  <c r="G68" i="8"/>
  <c r="H68" i="8" s="1"/>
  <c r="I68" i="8" s="1"/>
  <c r="J68" i="8" s="1"/>
  <c r="K68" i="8" s="1"/>
  <c r="L68" i="8" s="1"/>
  <c r="M68" i="8" s="1"/>
  <c r="N68" i="8" s="1"/>
  <c r="O68" i="8" s="1"/>
  <c r="P68" i="8" s="1"/>
  <c r="Q68" i="8" s="1"/>
  <c r="R68" i="8" s="1"/>
  <c r="S68" i="8" s="1"/>
  <c r="T68" i="8" s="1"/>
  <c r="U68" i="8" s="1"/>
  <c r="V68" i="8" s="1"/>
  <c r="W68" i="8" s="1"/>
  <c r="X68" i="8" s="1"/>
  <c r="Y68" i="8" s="1"/>
  <c r="Z68" i="8" s="1"/>
  <c r="AA68" i="8" s="1"/>
  <c r="AB68" i="8" s="1"/>
  <c r="AC68" i="8" s="1"/>
  <c r="AD68" i="8" s="1"/>
  <c r="AE68" i="8" s="1"/>
  <c r="H57" i="8"/>
  <c r="I57" i="8" s="1"/>
  <c r="J57" i="8" s="1"/>
  <c r="K57" i="8" s="1"/>
  <c r="L57" i="8" s="1"/>
  <c r="M57" i="8" s="1"/>
  <c r="N57" i="8" s="1"/>
  <c r="O57" i="8" s="1"/>
  <c r="P57" i="8" s="1"/>
  <c r="Q57" i="8" s="1"/>
  <c r="R57" i="8" s="1"/>
  <c r="S57" i="8" s="1"/>
  <c r="T57" i="8" s="1"/>
  <c r="U57" i="8" s="1"/>
  <c r="V57" i="8" s="1"/>
  <c r="W57" i="8" s="1"/>
  <c r="X57" i="8" s="1"/>
  <c r="Y57" i="8" s="1"/>
  <c r="Z57" i="8" s="1"/>
  <c r="AA57" i="8" s="1"/>
  <c r="AB57" i="8" s="1"/>
  <c r="AC57" i="8" s="1"/>
  <c r="AD57" i="8" s="1"/>
  <c r="AE57" i="8" s="1"/>
  <c r="G57" i="8"/>
  <c r="E57" i="8"/>
  <c r="G46" i="8"/>
  <c r="H46" i="8" s="1"/>
  <c r="I46" i="8" s="1"/>
  <c r="J46" i="8" s="1"/>
  <c r="K46" i="8" s="1"/>
  <c r="L46" i="8" s="1"/>
  <c r="M46" i="8" s="1"/>
  <c r="N46" i="8" s="1"/>
  <c r="O46" i="8" s="1"/>
  <c r="P46" i="8" s="1"/>
  <c r="Q46" i="8" s="1"/>
  <c r="R46" i="8" s="1"/>
  <c r="S46" i="8" s="1"/>
  <c r="T46" i="8" s="1"/>
  <c r="U46" i="8" s="1"/>
  <c r="V46" i="8" s="1"/>
  <c r="W46" i="8" s="1"/>
  <c r="X46" i="8" s="1"/>
  <c r="Y46" i="8" s="1"/>
  <c r="Z46" i="8" s="1"/>
  <c r="AA46" i="8" s="1"/>
  <c r="AB46" i="8" s="1"/>
  <c r="AC46" i="8" s="1"/>
  <c r="AD46" i="8" s="1"/>
  <c r="AE46" i="8" s="1"/>
  <c r="F40" i="8"/>
  <c r="A40" i="8"/>
  <c r="A38" i="8"/>
  <c r="F36" i="8"/>
  <c r="A36" i="8"/>
  <c r="F34" i="8"/>
  <c r="A34" i="8"/>
  <c r="F32" i="8"/>
  <c r="A32" i="8"/>
  <c r="A31" i="8"/>
  <c r="H29" i="8"/>
  <c r="I29" i="8" s="1"/>
  <c r="J29" i="8" s="1"/>
  <c r="K29" i="8" s="1"/>
  <c r="L29" i="8" s="1"/>
  <c r="M29" i="8" s="1"/>
  <c r="N29" i="8" s="1"/>
  <c r="O29" i="8" s="1"/>
  <c r="P29" i="8" s="1"/>
  <c r="Q29" i="8" s="1"/>
  <c r="R29" i="8" s="1"/>
  <c r="S29" i="8" s="1"/>
  <c r="T29" i="8" s="1"/>
  <c r="U29" i="8" s="1"/>
  <c r="V29" i="8" s="1"/>
  <c r="W29" i="8" s="1"/>
  <c r="X29" i="8" s="1"/>
  <c r="Y29" i="8" s="1"/>
  <c r="Z29" i="8" s="1"/>
  <c r="AA29" i="8" s="1"/>
  <c r="AB29" i="8" s="1"/>
  <c r="AC29" i="8" s="1"/>
  <c r="AD29" i="8" s="1"/>
  <c r="AE29" i="8" s="1"/>
  <c r="G29" i="8"/>
  <c r="F24" i="8"/>
  <c r="K20" i="8"/>
  <c r="L20" i="8" s="1"/>
  <c r="M20" i="8" s="1"/>
  <c r="N20" i="8" s="1"/>
  <c r="O20" i="8" s="1"/>
  <c r="P20" i="8" s="1"/>
  <c r="Q20" i="8" s="1"/>
  <c r="R20" i="8" s="1"/>
  <c r="S20" i="8" s="1"/>
  <c r="T20" i="8" s="1"/>
  <c r="U20" i="8" s="1"/>
  <c r="V20" i="8" s="1"/>
  <c r="W20" i="8" s="1"/>
  <c r="X20" i="8" s="1"/>
  <c r="Y20" i="8" s="1"/>
  <c r="Z20" i="8" s="1"/>
  <c r="AA20" i="8" s="1"/>
  <c r="AB20" i="8" s="1"/>
  <c r="AC20" i="8" s="1"/>
  <c r="AD20" i="8" s="1"/>
  <c r="AE20" i="8" s="1"/>
  <c r="H20" i="8"/>
  <c r="I20" i="8" s="1"/>
  <c r="J20" i="8" s="1"/>
  <c r="G20" i="8"/>
  <c r="F18" i="8"/>
  <c r="F15" i="8"/>
  <c r="G14" i="8"/>
  <c r="H14" i="8" s="1"/>
  <c r="I14" i="8" s="1"/>
  <c r="J14" i="8" s="1"/>
  <c r="K14" i="8" s="1"/>
  <c r="L14" i="8" s="1"/>
  <c r="M14" i="8" s="1"/>
  <c r="N14" i="8" s="1"/>
  <c r="O14" i="8" s="1"/>
  <c r="P14" i="8" s="1"/>
  <c r="Q14" i="8" s="1"/>
  <c r="R14" i="8" s="1"/>
  <c r="S14" i="8" s="1"/>
  <c r="T14" i="8" s="1"/>
  <c r="U14" i="8" s="1"/>
  <c r="V14" i="8" s="1"/>
  <c r="W14" i="8" s="1"/>
  <c r="X14" i="8" s="1"/>
  <c r="Y14" i="8" s="1"/>
  <c r="Z14" i="8" s="1"/>
  <c r="AA14" i="8" s="1"/>
  <c r="AB14" i="8" s="1"/>
  <c r="AC14" i="8" s="1"/>
  <c r="AD14" i="8" s="1"/>
  <c r="AE14" i="8" s="1"/>
  <c r="F10" i="8"/>
  <c r="A10" i="8"/>
  <c r="F7" i="8"/>
  <c r="F16" i="8" s="1"/>
  <c r="A7" i="8"/>
  <c r="F5" i="8"/>
  <c r="F21" i="8" s="1"/>
  <c r="A5" i="8"/>
  <c r="L4" i="8"/>
  <c r="M4" i="8" s="1"/>
  <c r="N4" i="8" s="1"/>
  <c r="O4" i="8" s="1"/>
  <c r="P4" i="8" s="1"/>
  <c r="Q4" i="8" s="1"/>
  <c r="R4" i="8" s="1"/>
  <c r="S4" i="8" s="1"/>
  <c r="T4" i="8" s="1"/>
  <c r="U4" i="8" s="1"/>
  <c r="V4" i="8" s="1"/>
  <c r="W4" i="8" s="1"/>
  <c r="X4" i="8" s="1"/>
  <c r="Y4" i="8" s="1"/>
  <c r="Z4" i="8" s="1"/>
  <c r="AA4" i="8" s="1"/>
  <c r="AB4" i="8" s="1"/>
  <c r="AC4" i="8" s="1"/>
  <c r="AD4" i="8" s="1"/>
  <c r="AE4" i="8" s="1"/>
  <c r="I4" i="8"/>
  <c r="J4" i="8" s="1"/>
  <c r="K4" i="8" s="1"/>
  <c r="H4" i="8"/>
  <c r="G4" i="8"/>
  <c r="O66" i="21"/>
  <c r="N66" i="21"/>
  <c r="M66" i="21"/>
  <c r="L66" i="21"/>
  <c r="K66" i="21"/>
  <c r="J66" i="21"/>
  <c r="I66" i="21"/>
  <c r="T56" i="21"/>
  <c r="S56" i="21"/>
  <c r="R56" i="21"/>
  <c r="Q56" i="21"/>
  <c r="P56" i="21"/>
  <c r="O56" i="21"/>
  <c r="N56" i="21"/>
  <c r="M56" i="21"/>
  <c r="L56" i="21"/>
  <c r="K56" i="21"/>
  <c r="J56" i="21"/>
  <c r="I56" i="21"/>
  <c r="H56" i="21"/>
  <c r="G56" i="21"/>
  <c r="F56" i="21"/>
  <c r="E56" i="21"/>
  <c r="D56" i="21"/>
  <c r="T55" i="21"/>
  <c r="S55" i="21"/>
  <c r="R55" i="21"/>
  <c r="Q55" i="21"/>
  <c r="P55" i="21"/>
  <c r="O44" i="21"/>
  <c r="N44" i="21"/>
  <c r="M44" i="21"/>
  <c r="L44" i="21"/>
  <c r="K44" i="21"/>
  <c r="J44" i="21"/>
  <c r="I44" i="21"/>
  <c r="H44" i="21"/>
  <c r="T43" i="21"/>
  <c r="S43" i="21"/>
  <c r="R43" i="21"/>
  <c r="Q43" i="21"/>
  <c r="P43" i="21"/>
  <c r="O43" i="21"/>
  <c r="N43" i="21"/>
  <c r="M43" i="21"/>
  <c r="L43" i="21"/>
  <c r="K43" i="21"/>
  <c r="J43" i="21"/>
  <c r="I43" i="21"/>
  <c r="H43" i="21"/>
  <c r="T42" i="21"/>
  <c r="S42" i="21"/>
  <c r="R42" i="21"/>
  <c r="Q42" i="21"/>
  <c r="P42" i="21"/>
  <c r="O42" i="21"/>
  <c r="N42" i="21"/>
  <c r="M42" i="21"/>
  <c r="L42" i="21"/>
  <c r="K42" i="21"/>
  <c r="J42" i="21"/>
  <c r="I42" i="21"/>
  <c r="H42" i="21"/>
  <c r="T41" i="21"/>
  <c r="S41" i="21"/>
  <c r="R41" i="21"/>
  <c r="Q41" i="21"/>
  <c r="P41" i="21"/>
  <c r="O41" i="21"/>
  <c r="N41" i="21"/>
  <c r="M41" i="21"/>
  <c r="L41" i="21"/>
  <c r="K41" i="21"/>
  <c r="J41" i="21"/>
  <c r="I41" i="21"/>
  <c r="H41" i="21"/>
  <c r="O40" i="21"/>
  <c r="N40" i="21"/>
  <c r="M40" i="21"/>
  <c r="L40" i="21"/>
  <c r="K40" i="21"/>
  <c r="J40" i="21"/>
  <c r="I40" i="21"/>
  <c r="H40" i="21"/>
  <c r="T39" i="21"/>
  <c r="S39" i="21"/>
  <c r="R39" i="21"/>
  <c r="Q39" i="21"/>
  <c r="P39" i="21"/>
  <c r="O39" i="21"/>
  <c r="N39" i="21"/>
  <c r="M39" i="21"/>
  <c r="L39" i="21"/>
  <c r="K39" i="21"/>
  <c r="J39" i="21"/>
  <c r="I39" i="21"/>
  <c r="H39" i="21"/>
  <c r="T38" i="21"/>
  <c r="S38" i="21"/>
  <c r="R38" i="21"/>
  <c r="Q38" i="21"/>
  <c r="P38" i="21"/>
  <c r="O38" i="21"/>
  <c r="N38" i="21"/>
  <c r="M38" i="21"/>
  <c r="L38" i="21"/>
  <c r="K38" i="21"/>
  <c r="J38" i="21"/>
  <c r="I38" i="21"/>
  <c r="H38" i="21"/>
  <c r="T37" i="21"/>
  <c r="S37" i="21"/>
  <c r="R37" i="21"/>
  <c r="Q37" i="21"/>
  <c r="P37" i="21"/>
  <c r="O37" i="21"/>
  <c r="N37" i="21"/>
  <c r="M37" i="21"/>
  <c r="L37" i="21"/>
  <c r="K37" i="21"/>
  <c r="J37" i="21"/>
  <c r="I37" i="21"/>
  <c r="H37" i="21"/>
  <c r="G37" i="21"/>
  <c r="F37" i="21"/>
  <c r="E37" i="21"/>
  <c r="D37" i="21"/>
  <c r="T34" i="21"/>
  <c r="S34" i="21"/>
  <c r="R34" i="21"/>
  <c r="Q34" i="21"/>
  <c r="P34" i="21"/>
  <c r="O34" i="21"/>
  <c r="N34" i="21"/>
  <c r="M34" i="21"/>
  <c r="L34" i="21"/>
  <c r="K34" i="21"/>
  <c r="J34" i="21"/>
  <c r="I34" i="21"/>
  <c r="H34" i="21"/>
  <c r="T32" i="21"/>
  <c r="S32" i="21"/>
  <c r="R32" i="21"/>
  <c r="Q32" i="21"/>
  <c r="P32" i="21"/>
  <c r="O32" i="21"/>
  <c r="N32" i="21"/>
  <c r="M32" i="21"/>
  <c r="L32" i="21"/>
  <c r="K32" i="21"/>
  <c r="J32" i="21"/>
  <c r="I32" i="21"/>
  <c r="H32" i="21"/>
  <c r="G32" i="21"/>
  <c r="F32" i="21"/>
  <c r="E32" i="21"/>
  <c r="D32" i="21"/>
  <c r="T18" i="21"/>
  <c r="CJ42" i="26"/>
  <c r="CI42" i="26"/>
  <c r="CH42" i="26"/>
  <c r="CE42" i="26"/>
  <c r="CD42" i="26"/>
  <c r="CC42" i="26"/>
  <c r="CB42" i="26"/>
  <c r="CA42" i="26"/>
  <c r="BZ42" i="26"/>
  <c r="BY42" i="26"/>
  <c r="BX42" i="26"/>
  <c r="CJ41" i="26"/>
  <c r="CI41" i="26"/>
  <c r="CH41" i="26"/>
  <c r="CE41" i="26"/>
  <c r="CD41" i="26"/>
  <c r="CC41" i="26"/>
  <c r="CB41" i="26"/>
  <c r="CA41" i="26"/>
  <c r="BZ41" i="26"/>
  <c r="BY41" i="26"/>
  <c r="BX41" i="26"/>
  <c r="CJ40" i="26"/>
  <c r="CI40" i="26"/>
  <c r="CH40" i="26"/>
  <c r="CE40" i="26"/>
  <c r="CD40" i="26"/>
  <c r="CC40" i="26"/>
  <c r="CB40" i="26"/>
  <c r="CA40" i="26"/>
  <c r="BZ40" i="26"/>
  <c r="BY40" i="26"/>
  <c r="BX40" i="26"/>
  <c r="CJ39" i="26"/>
  <c r="CI39" i="26"/>
  <c r="CH39" i="26"/>
  <c r="CE39" i="26"/>
  <c r="CD39" i="26"/>
  <c r="CC39" i="26"/>
  <c r="CB39" i="26"/>
  <c r="CA39" i="26"/>
  <c r="BZ39" i="26"/>
  <c r="BY39" i="26"/>
  <c r="BX39" i="26"/>
  <c r="CJ38" i="26"/>
  <c r="CI38" i="26"/>
  <c r="CH38" i="26"/>
  <c r="CE38" i="26"/>
  <c r="CD38" i="26"/>
  <c r="CC38" i="26"/>
  <c r="CB38" i="26"/>
  <c r="CA38" i="26"/>
  <c r="BZ38" i="26"/>
  <c r="BY38" i="26"/>
  <c r="BX38" i="26"/>
  <c r="CJ37" i="26"/>
  <c r="CI37" i="26"/>
  <c r="CH37" i="26"/>
  <c r="CE37" i="26"/>
  <c r="CD37" i="26"/>
  <c r="CC37" i="26"/>
  <c r="CB37" i="26"/>
  <c r="CA37" i="26"/>
  <c r="BZ37" i="26"/>
  <c r="BY37" i="26"/>
  <c r="BX37" i="26"/>
  <c r="CJ36" i="26"/>
  <c r="CI36" i="26"/>
  <c r="CH36" i="26"/>
  <c r="CE36" i="26"/>
  <c r="CD36" i="26"/>
  <c r="CC36" i="26"/>
  <c r="CB36" i="26"/>
  <c r="CA36" i="26"/>
  <c r="BZ36" i="26"/>
  <c r="BY36" i="26"/>
  <c r="BX36" i="26"/>
  <c r="CJ35" i="26"/>
  <c r="CI35" i="26"/>
  <c r="CH35" i="26"/>
  <c r="CE35" i="26"/>
  <c r="CD35" i="26"/>
  <c r="CC35" i="26"/>
  <c r="CB35" i="26"/>
  <c r="CA35" i="26"/>
  <c r="BZ35" i="26"/>
  <c r="BY35" i="26"/>
  <c r="BX35" i="26"/>
  <c r="CJ34" i="26"/>
  <c r="CI34" i="26"/>
  <c r="CH34" i="26"/>
  <c r="CE34" i="26"/>
  <c r="CD34" i="26"/>
  <c r="CC34" i="26"/>
  <c r="CB34" i="26"/>
  <c r="CA34" i="26"/>
  <c r="BZ34" i="26"/>
  <c r="BY34" i="26"/>
  <c r="BX34" i="26"/>
  <c r="CJ33" i="26"/>
  <c r="CI33" i="26"/>
  <c r="CH33" i="26"/>
  <c r="CE33" i="26"/>
  <c r="CD33" i="26"/>
  <c r="CC33" i="26"/>
  <c r="CB33" i="26"/>
  <c r="CA33" i="26"/>
  <c r="BZ33" i="26"/>
  <c r="BY33" i="26"/>
  <c r="BX33" i="26"/>
  <c r="CJ27" i="26"/>
  <c r="CI27" i="26"/>
  <c r="CH27" i="26"/>
  <c r="CJ26" i="26"/>
  <c r="CI26" i="26"/>
  <c r="CH26" i="26"/>
  <c r="CJ25" i="26"/>
  <c r="CI25" i="26"/>
  <c r="CH25" i="26"/>
  <c r="CJ24" i="26"/>
  <c r="CI24" i="26"/>
  <c r="CH24" i="26"/>
  <c r="CJ23" i="26"/>
  <c r="CI23" i="26"/>
  <c r="CH23" i="26"/>
  <c r="CJ22" i="26"/>
  <c r="CI22" i="26"/>
  <c r="CH22" i="26"/>
  <c r="CJ21" i="26"/>
  <c r="CI21" i="26"/>
  <c r="CH21" i="26"/>
  <c r="CJ20" i="26"/>
  <c r="CI20" i="26"/>
  <c r="CH20" i="26"/>
  <c r="CJ19" i="26"/>
  <c r="CI19" i="26"/>
  <c r="CH19" i="26"/>
  <c r="CJ18" i="26"/>
  <c r="CI18" i="26"/>
  <c r="CH18" i="26"/>
  <c r="CJ13" i="26"/>
  <c r="CI13" i="26"/>
  <c r="CH13" i="26"/>
  <c r="CJ12" i="26"/>
  <c r="CI12" i="26"/>
  <c r="CH12" i="26"/>
  <c r="CJ11" i="26"/>
  <c r="CI11" i="26"/>
  <c r="CH11" i="26"/>
  <c r="CJ10" i="26"/>
  <c r="CI10" i="26"/>
  <c r="CH10" i="26"/>
  <c r="CJ9" i="26"/>
  <c r="CI9" i="26"/>
  <c r="CH9" i="26"/>
  <c r="CJ8" i="26"/>
  <c r="CI8" i="26"/>
  <c r="CH8" i="26"/>
  <c r="CJ7" i="26"/>
  <c r="CI7" i="26"/>
  <c r="CH7" i="26"/>
  <c r="CJ6" i="26"/>
  <c r="CI6" i="26"/>
  <c r="CH6" i="26"/>
  <c r="CJ5" i="26"/>
  <c r="CI5" i="26"/>
  <c r="CH5" i="26"/>
  <c r="CJ4" i="26"/>
  <c r="CI4" i="26"/>
  <c r="CH4" i="26"/>
  <c r="E336" i="17"/>
  <c r="E335" i="17"/>
  <c r="E327" i="17"/>
  <c r="E326" i="17"/>
  <c r="CM308" i="17"/>
  <c r="CI308" i="17"/>
  <c r="CE308" i="17"/>
  <c r="E308" i="17"/>
  <c r="E317" i="17" s="1"/>
  <c r="CQ308" i="17"/>
  <c r="E307" i="17"/>
  <c r="E315" i="17" s="1"/>
  <c r="A307" i="17"/>
  <c r="CO306" i="17"/>
  <c r="CP306" i="17" s="1"/>
  <c r="CN306" i="17"/>
  <c r="CJ306" i="17"/>
  <c r="CK306" i="17" s="1"/>
  <c r="CL306" i="17" s="1"/>
  <c r="CG306" i="17"/>
  <c r="CH306" i="17" s="1"/>
  <c r="CF306" i="17"/>
  <c r="A306" i="17"/>
  <c r="CN305" i="17"/>
  <c r="CO305" i="17" s="1"/>
  <c r="CP305" i="17" s="1"/>
  <c r="CK305" i="17"/>
  <c r="CL305" i="17" s="1"/>
  <c r="CJ305" i="17"/>
  <c r="CF305" i="17"/>
  <c r="CG305" i="17" s="1"/>
  <c r="CH305" i="17" s="1"/>
  <c r="A305" i="17"/>
  <c r="CO304" i="17"/>
  <c r="CP304" i="17" s="1"/>
  <c r="CN304" i="17"/>
  <c r="CJ304" i="17"/>
  <c r="CK304" i="17" s="1"/>
  <c r="CL304" i="17" s="1"/>
  <c r="CG304" i="17"/>
  <c r="CH304" i="17" s="1"/>
  <c r="CF304" i="17"/>
  <c r="E304" i="17"/>
  <c r="E312" i="17" s="1"/>
  <c r="A304" i="17"/>
  <c r="CN303" i="17"/>
  <c r="CO303" i="17" s="1"/>
  <c r="CK303" i="17"/>
  <c r="CJ303" i="17"/>
  <c r="CJ307" i="17" s="1"/>
  <c r="CF303" i="17"/>
  <c r="CG303" i="17" s="1"/>
  <c r="E303" i="17"/>
  <c r="E311" i="17" s="1"/>
  <c r="A303" i="17"/>
  <c r="AP298" i="17"/>
  <c r="AP295" i="17"/>
  <c r="A286" i="17"/>
  <c r="A283" i="17"/>
  <c r="A281" i="17"/>
  <c r="A280" i="17"/>
  <c r="A279" i="17"/>
  <c r="A278" i="17"/>
  <c r="A277" i="17"/>
  <c r="CU275" i="17"/>
  <c r="CQ275" i="17"/>
  <c r="CM275" i="17"/>
  <c r="CI275" i="17"/>
  <c r="CE275" i="17"/>
  <c r="CA275" i="17"/>
  <c r="BW275" i="17"/>
  <c r="BS275" i="17"/>
  <c r="BO275" i="17"/>
  <c r="BK275" i="17"/>
  <c r="BG275" i="17"/>
  <c r="BC275" i="17"/>
  <c r="AY275" i="17"/>
  <c r="AU275" i="17"/>
  <c r="AQ275" i="17"/>
  <c r="AM275" i="17"/>
  <c r="AI275" i="17"/>
  <c r="AE275" i="17"/>
  <c r="AA275" i="17"/>
  <c r="W275" i="17"/>
  <c r="S275" i="17"/>
  <c r="O275" i="17"/>
  <c r="K275" i="17"/>
  <c r="G275" i="17"/>
  <c r="E263" i="17"/>
  <c r="CX262" i="17"/>
  <c r="CX267" i="17" s="1"/>
  <c r="CW262" i="17"/>
  <c r="CW267" i="17" s="1"/>
  <c r="CV262" i="17"/>
  <c r="CV267" i="17" s="1"/>
  <c r="CU262" i="17"/>
  <c r="CU267" i="17" s="1"/>
  <c r="CT262" i="17"/>
  <c r="CT267" i="17" s="1"/>
  <c r="CS262" i="17"/>
  <c r="CS267" i="17" s="1"/>
  <c r="CR262" i="17"/>
  <c r="CR267" i="17" s="1"/>
  <c r="CQ262" i="17"/>
  <c r="CQ267" i="17" s="1"/>
  <c r="CP262" i="17"/>
  <c r="CP267" i="17" s="1"/>
  <c r="CO262" i="17"/>
  <c r="CO267" i="17" s="1"/>
  <c r="CN262" i="17"/>
  <c r="CN267" i="17" s="1"/>
  <c r="CM262" i="17"/>
  <c r="CM267" i="17" s="1"/>
  <c r="CL262" i="17"/>
  <c r="CL267" i="17" s="1"/>
  <c r="CK262" i="17"/>
  <c r="CK267" i="17" s="1"/>
  <c r="CJ262" i="17"/>
  <c r="CJ267" i="17" s="1"/>
  <c r="CI262" i="17"/>
  <c r="CI267" i="17" s="1"/>
  <c r="CH262" i="17"/>
  <c r="CH267" i="17" s="1"/>
  <c r="CG262" i="17"/>
  <c r="CG267" i="17" s="1"/>
  <c r="CF262" i="17"/>
  <c r="CF267" i="17" s="1"/>
  <c r="CE262" i="17"/>
  <c r="CE267" i="17" s="1"/>
  <c r="CD262" i="17"/>
  <c r="CD267" i="17" s="1"/>
  <c r="CC262" i="17"/>
  <c r="CC267" i="17" s="1"/>
  <c r="CB262" i="17"/>
  <c r="CB267" i="17" s="1"/>
  <c r="CA262" i="17"/>
  <c r="CA267" i="17" s="1"/>
  <c r="BZ262" i="17"/>
  <c r="BZ267" i="17" s="1"/>
  <c r="BY262" i="17"/>
  <c r="BY267" i="17" s="1"/>
  <c r="BX262" i="17"/>
  <c r="BX267" i="17" s="1"/>
  <c r="BW262" i="17"/>
  <c r="BW267" i="17" s="1"/>
  <c r="BV262" i="17"/>
  <c r="BV267" i="17" s="1"/>
  <c r="BU262" i="17"/>
  <c r="BU267" i="17" s="1"/>
  <c r="BT262" i="17"/>
  <c r="BT267" i="17" s="1"/>
  <c r="BS262" i="17"/>
  <c r="BS267" i="17" s="1"/>
  <c r="BR262" i="17"/>
  <c r="BR267" i="17" s="1"/>
  <c r="BQ262" i="17"/>
  <c r="BQ267" i="17" s="1"/>
  <c r="BP262" i="17"/>
  <c r="BP267" i="17" s="1"/>
  <c r="BO262" i="17"/>
  <c r="BO267" i="17" s="1"/>
  <c r="BN262" i="17"/>
  <c r="BN267" i="17" s="1"/>
  <c r="BM262" i="17"/>
  <c r="BM267" i="17" s="1"/>
  <c r="BL262" i="17"/>
  <c r="BL267" i="17" s="1"/>
  <c r="BK262" i="17"/>
  <c r="BK267" i="17" s="1"/>
  <c r="BJ262" i="17"/>
  <c r="BJ267" i="17" s="1"/>
  <c r="BI262" i="17"/>
  <c r="BI267" i="17" s="1"/>
  <c r="BH262" i="17"/>
  <c r="BH267" i="17" s="1"/>
  <c r="BG262" i="17"/>
  <c r="BG267" i="17" s="1"/>
  <c r="BF262" i="17"/>
  <c r="BF267" i="17" s="1"/>
  <c r="BE262" i="17"/>
  <c r="BE267" i="17" s="1"/>
  <c r="BD262" i="17"/>
  <c r="BD267" i="17" s="1"/>
  <c r="BC262" i="17"/>
  <c r="BC267" i="17" s="1"/>
  <c r="BB262" i="17"/>
  <c r="BB267" i="17" s="1"/>
  <c r="BA262" i="17"/>
  <c r="BA267" i="17" s="1"/>
  <c r="AZ262" i="17"/>
  <c r="AZ267" i="17" s="1"/>
  <c r="AY262" i="17"/>
  <c r="AY267" i="17" s="1"/>
  <c r="AX262" i="17"/>
  <c r="AX267" i="17" s="1"/>
  <c r="AW262" i="17"/>
  <c r="AW267" i="17" s="1"/>
  <c r="AV262" i="17"/>
  <c r="AV267" i="17" s="1"/>
  <c r="AU262" i="17"/>
  <c r="AU267" i="17" s="1"/>
  <c r="AT262" i="17"/>
  <c r="AT267" i="17" s="1"/>
  <c r="AS262" i="17"/>
  <c r="AS267" i="17" s="1"/>
  <c r="AR262" i="17"/>
  <c r="AR267" i="17" s="1"/>
  <c r="AQ262" i="17"/>
  <c r="AQ267" i="17" s="1"/>
  <c r="AP262" i="17"/>
  <c r="AP267" i="17" s="1"/>
  <c r="AO262" i="17"/>
  <c r="AO267" i="17" s="1"/>
  <c r="AN262" i="17"/>
  <c r="AN267" i="17" s="1"/>
  <c r="AM262" i="17"/>
  <c r="AM267" i="17" s="1"/>
  <c r="AL262" i="17"/>
  <c r="AL267" i="17" s="1"/>
  <c r="AK262" i="17"/>
  <c r="AK267" i="17" s="1"/>
  <c r="AJ262" i="17"/>
  <c r="AJ267" i="17" s="1"/>
  <c r="AI262" i="17"/>
  <c r="AI267" i="17" s="1"/>
  <c r="AH262" i="17"/>
  <c r="AH267" i="17" s="1"/>
  <c r="AG262" i="17"/>
  <c r="AG267" i="17" s="1"/>
  <c r="AF262" i="17"/>
  <c r="AF267" i="17" s="1"/>
  <c r="AE262" i="17"/>
  <c r="AE267" i="17" s="1"/>
  <c r="AD262" i="17"/>
  <c r="AD267" i="17" s="1"/>
  <c r="AC262" i="17"/>
  <c r="AC267" i="17" s="1"/>
  <c r="AB262" i="17"/>
  <c r="AB267" i="17" s="1"/>
  <c r="AA262" i="17"/>
  <c r="AA267" i="17" s="1"/>
  <c r="Z262" i="17"/>
  <c r="Z267" i="17" s="1"/>
  <c r="Y262" i="17"/>
  <c r="Y267" i="17" s="1"/>
  <c r="X262" i="17"/>
  <c r="X267" i="17" s="1"/>
  <c r="W262" i="17"/>
  <c r="W267" i="17" s="1"/>
  <c r="V262" i="17"/>
  <c r="V267" i="17" s="1"/>
  <c r="U262" i="17"/>
  <c r="U267" i="17" s="1"/>
  <c r="T262" i="17"/>
  <c r="T267" i="17" s="1"/>
  <c r="S262" i="17"/>
  <c r="S267" i="17" s="1"/>
  <c r="R262" i="17"/>
  <c r="R267" i="17" s="1"/>
  <c r="Q262" i="17"/>
  <c r="Q267" i="17" s="1"/>
  <c r="P262" i="17"/>
  <c r="P267" i="17" s="1"/>
  <c r="O262" i="17"/>
  <c r="O267" i="17" s="1"/>
  <c r="N262" i="17"/>
  <c r="N267" i="17" s="1"/>
  <c r="M262" i="17"/>
  <c r="M267" i="17" s="1"/>
  <c r="L262" i="17"/>
  <c r="L267" i="17" s="1"/>
  <c r="K262" i="17"/>
  <c r="K267" i="17" s="1"/>
  <c r="J262" i="17"/>
  <c r="J267" i="17" s="1"/>
  <c r="I262" i="17"/>
  <c r="I267" i="17" s="1"/>
  <c r="H262" i="17"/>
  <c r="H267" i="17" s="1"/>
  <c r="G262" i="17"/>
  <c r="G267" i="17" s="1"/>
  <c r="A258" i="17"/>
  <c r="E255" i="17"/>
  <c r="CU253" i="17"/>
  <c r="CQ253" i="17"/>
  <c r="CM253" i="17"/>
  <c r="CI253" i="17"/>
  <c r="CE253" i="17"/>
  <c r="CA253" i="17"/>
  <c r="BW253" i="17"/>
  <c r="BS253" i="17"/>
  <c r="BO253" i="17"/>
  <c r="BK253" i="17"/>
  <c r="BG253" i="17"/>
  <c r="BC253" i="17"/>
  <c r="AY253" i="17"/>
  <c r="AU253" i="17"/>
  <c r="AQ253" i="17"/>
  <c r="AM253" i="17"/>
  <c r="AI253" i="17"/>
  <c r="AE253" i="17"/>
  <c r="AA253" i="17"/>
  <c r="W253" i="17"/>
  <c r="S253" i="17"/>
  <c r="O253" i="17"/>
  <c r="K253" i="17"/>
  <c r="G253" i="17"/>
  <c r="CU240" i="17"/>
  <c r="CU14" i="17" s="1"/>
  <c r="L123" i="2" s="1"/>
  <c r="M112" i="20" s="1"/>
  <c r="AD112" i="20" s="1"/>
  <c r="CT14" i="17"/>
  <c r="CS240" i="17"/>
  <c r="CS14" i="17" s="1"/>
  <c r="CR240" i="17"/>
  <c r="CR14" i="17" s="1"/>
  <c r="CX232" i="17"/>
  <c r="CX245" i="17" s="1"/>
  <c r="CW232" i="17"/>
  <c r="CW245" i="17" s="1"/>
  <c r="CV232" i="17"/>
  <c r="CV245" i="17" s="1"/>
  <c r="CU232" i="17"/>
  <c r="CU245" i="17" s="1"/>
  <c r="CT232" i="17"/>
  <c r="CT245" i="17" s="1"/>
  <c r="CS232" i="17"/>
  <c r="CS245" i="17" s="1"/>
  <c r="CR232" i="17"/>
  <c r="CR245" i="17" s="1"/>
  <c r="CQ232" i="17"/>
  <c r="CQ245" i="17" s="1"/>
  <c r="CP232" i="17"/>
  <c r="CP245" i="17" s="1"/>
  <c r="CO232" i="17"/>
  <c r="CO245" i="17" s="1"/>
  <c r="CN232" i="17"/>
  <c r="CN245" i="17" s="1"/>
  <c r="CM232" i="17"/>
  <c r="CM245" i="17" s="1"/>
  <c r="CL232" i="17"/>
  <c r="CL245" i="17" s="1"/>
  <c r="CK232" i="17"/>
  <c r="CK245" i="17" s="1"/>
  <c r="CJ232" i="17"/>
  <c r="CJ245" i="17" s="1"/>
  <c r="CI232" i="17"/>
  <c r="CI245" i="17" s="1"/>
  <c r="CH232" i="17"/>
  <c r="CH245" i="17" s="1"/>
  <c r="CG232" i="17"/>
  <c r="CG245" i="17" s="1"/>
  <c r="CF232" i="17"/>
  <c r="CF245" i="17" s="1"/>
  <c r="CE232" i="17"/>
  <c r="CE245" i="17" s="1"/>
  <c r="CD232" i="17"/>
  <c r="CD245" i="17" s="1"/>
  <c r="CC232" i="17"/>
  <c r="CC245" i="17" s="1"/>
  <c r="CB232" i="17"/>
  <c r="CB245" i="17" s="1"/>
  <c r="CA232" i="17"/>
  <c r="CA245" i="17" s="1"/>
  <c r="BZ232" i="17"/>
  <c r="BZ245" i="17" s="1"/>
  <c r="BY232" i="17"/>
  <c r="BY245" i="17" s="1"/>
  <c r="BX232" i="17"/>
  <c r="BX245" i="17" s="1"/>
  <c r="BW232" i="17"/>
  <c r="BW245" i="17" s="1"/>
  <c r="BV232" i="17"/>
  <c r="BV245" i="17" s="1"/>
  <c r="BU232" i="17"/>
  <c r="BU245" i="17" s="1"/>
  <c r="BT232" i="17"/>
  <c r="BT245" i="17" s="1"/>
  <c r="BS232" i="17"/>
  <c r="BS245" i="17" s="1"/>
  <c r="BR232" i="17"/>
  <c r="BR245" i="17" s="1"/>
  <c r="BQ232" i="17"/>
  <c r="BQ245" i="17" s="1"/>
  <c r="BP232" i="17"/>
  <c r="BP245" i="17" s="1"/>
  <c r="BO232" i="17"/>
  <c r="BO245" i="17" s="1"/>
  <c r="BN232" i="17"/>
  <c r="BN245" i="17" s="1"/>
  <c r="BM232" i="17"/>
  <c r="BM245" i="17" s="1"/>
  <c r="BL232" i="17"/>
  <c r="BL245" i="17" s="1"/>
  <c r="BK232" i="17"/>
  <c r="BK245" i="17" s="1"/>
  <c r="BJ232" i="17"/>
  <c r="BJ245" i="17" s="1"/>
  <c r="BI232" i="17"/>
  <c r="BI245" i="17" s="1"/>
  <c r="BH232" i="17"/>
  <c r="BH245" i="17" s="1"/>
  <c r="BG232" i="17"/>
  <c r="BG245" i="17" s="1"/>
  <c r="BF232" i="17"/>
  <c r="BF245" i="17" s="1"/>
  <c r="BE232" i="17"/>
  <c r="BE245" i="17" s="1"/>
  <c r="BD232" i="17"/>
  <c r="BD245" i="17" s="1"/>
  <c r="BC232" i="17"/>
  <c r="BC245" i="17" s="1"/>
  <c r="BB232" i="17"/>
  <c r="BB245" i="17" s="1"/>
  <c r="BA232" i="17"/>
  <c r="BA245" i="17" s="1"/>
  <c r="AZ232" i="17"/>
  <c r="AZ245" i="17" s="1"/>
  <c r="AY232" i="17"/>
  <c r="AY245" i="17" s="1"/>
  <c r="AX232" i="17"/>
  <c r="AX245" i="17" s="1"/>
  <c r="AW232" i="17"/>
  <c r="AW245" i="17" s="1"/>
  <c r="AV232" i="17"/>
  <c r="AV245" i="17" s="1"/>
  <c r="AU232" i="17"/>
  <c r="AU245" i="17" s="1"/>
  <c r="AT232" i="17"/>
  <c r="AT245" i="17" s="1"/>
  <c r="AS232" i="17"/>
  <c r="AS245" i="17" s="1"/>
  <c r="AR232" i="17"/>
  <c r="AR245" i="17" s="1"/>
  <c r="AQ232" i="17"/>
  <c r="AQ245" i="17" s="1"/>
  <c r="AP232" i="17"/>
  <c r="AP245" i="17" s="1"/>
  <c r="AO232" i="17"/>
  <c r="AO245" i="17" s="1"/>
  <c r="AN232" i="17"/>
  <c r="AN245" i="17" s="1"/>
  <c r="AM232" i="17"/>
  <c r="AM245" i="17" s="1"/>
  <c r="AL232" i="17"/>
  <c r="AL245" i="17" s="1"/>
  <c r="AK232" i="17"/>
  <c r="AK245" i="17" s="1"/>
  <c r="AJ232" i="17"/>
  <c r="AJ245" i="17" s="1"/>
  <c r="AI232" i="17"/>
  <c r="AI245" i="17" s="1"/>
  <c r="AH232" i="17"/>
  <c r="AH245" i="17" s="1"/>
  <c r="AG232" i="17"/>
  <c r="AG245" i="17" s="1"/>
  <c r="AF232" i="17"/>
  <c r="AF245" i="17" s="1"/>
  <c r="AE232" i="17"/>
  <c r="AE245" i="17" s="1"/>
  <c r="AD232" i="17"/>
  <c r="AD245" i="17" s="1"/>
  <c r="AC232" i="17"/>
  <c r="AC245" i="17" s="1"/>
  <c r="AB232" i="17"/>
  <c r="AB245" i="17" s="1"/>
  <c r="AA232" i="17"/>
  <c r="AA245" i="17" s="1"/>
  <c r="Z232" i="17"/>
  <c r="Z245" i="17" s="1"/>
  <c r="Y232" i="17"/>
  <c r="Y245" i="17" s="1"/>
  <c r="X232" i="17"/>
  <c r="X245" i="17" s="1"/>
  <c r="W232" i="17"/>
  <c r="W245" i="17" s="1"/>
  <c r="V232" i="17"/>
  <c r="V245" i="17" s="1"/>
  <c r="U232" i="17"/>
  <c r="U245" i="17" s="1"/>
  <c r="T232" i="17"/>
  <c r="T245" i="17" s="1"/>
  <c r="S232" i="17"/>
  <c r="S245" i="17" s="1"/>
  <c r="R232" i="17"/>
  <c r="R245" i="17" s="1"/>
  <c r="Q232" i="17"/>
  <c r="Q245" i="17" s="1"/>
  <c r="P232" i="17"/>
  <c r="P245" i="17" s="1"/>
  <c r="O232" i="17"/>
  <c r="O245" i="17" s="1"/>
  <c r="N232" i="17"/>
  <c r="N245" i="17" s="1"/>
  <c r="M232" i="17"/>
  <c r="M245" i="17" s="1"/>
  <c r="L232" i="17"/>
  <c r="L245" i="17" s="1"/>
  <c r="K232" i="17"/>
  <c r="K245" i="17" s="1"/>
  <c r="J232" i="17"/>
  <c r="J245" i="17" s="1"/>
  <c r="I232" i="17"/>
  <c r="I245" i="17" s="1"/>
  <c r="H232" i="17"/>
  <c r="H245" i="17" s="1"/>
  <c r="G232" i="17"/>
  <c r="G245" i="17" s="1"/>
  <c r="A228" i="17"/>
  <c r="A227" i="17"/>
  <c r="A223" i="17"/>
  <c r="A220" i="17"/>
  <c r="CU218" i="17"/>
  <c r="CQ218" i="17"/>
  <c r="CM218" i="17"/>
  <c r="CI218" i="17"/>
  <c r="CE218" i="17"/>
  <c r="CA218" i="17"/>
  <c r="BW218" i="17"/>
  <c r="BS218" i="17"/>
  <c r="BO218" i="17"/>
  <c r="BK218" i="17"/>
  <c r="BG218" i="17"/>
  <c r="BC218" i="17"/>
  <c r="AY218" i="17"/>
  <c r="AU218" i="17"/>
  <c r="AQ218" i="17"/>
  <c r="AM218" i="17"/>
  <c r="AI218" i="17"/>
  <c r="AE218" i="17"/>
  <c r="AA218" i="17"/>
  <c r="W218" i="17"/>
  <c r="S218" i="17"/>
  <c r="O218" i="17"/>
  <c r="K218" i="17"/>
  <c r="G218" i="17"/>
  <c r="E206" i="17"/>
  <c r="CX205" i="17"/>
  <c r="CX210" i="17" s="1"/>
  <c r="CW205" i="17"/>
  <c r="CW210" i="17" s="1"/>
  <c r="CV205" i="17"/>
  <c r="CV210" i="17" s="1"/>
  <c r="CU205" i="17"/>
  <c r="CU210" i="17" s="1"/>
  <c r="CT205" i="17"/>
  <c r="CT210" i="17" s="1"/>
  <c r="CS205" i="17"/>
  <c r="CS210" i="17" s="1"/>
  <c r="CR205" i="17"/>
  <c r="CR210" i="17" s="1"/>
  <c r="CQ205" i="17"/>
  <c r="CQ210" i="17" s="1"/>
  <c r="CP205" i="17"/>
  <c r="CP210" i="17" s="1"/>
  <c r="CO205" i="17"/>
  <c r="CO210" i="17" s="1"/>
  <c r="CN205" i="17"/>
  <c r="CN210" i="17" s="1"/>
  <c r="CM205" i="17"/>
  <c r="CM210" i="17" s="1"/>
  <c r="CL205" i="17"/>
  <c r="CL210" i="17" s="1"/>
  <c r="CK205" i="17"/>
  <c r="CK210" i="17" s="1"/>
  <c r="CJ205" i="17"/>
  <c r="CJ210" i="17" s="1"/>
  <c r="CI205" i="17"/>
  <c r="CI210" i="17" s="1"/>
  <c r="CH205" i="17"/>
  <c r="CH210" i="17" s="1"/>
  <c r="CG205" i="17"/>
  <c r="CG210" i="17" s="1"/>
  <c r="CF205" i="17"/>
  <c r="CF210" i="17" s="1"/>
  <c r="CE205" i="17"/>
  <c r="CE210" i="17" s="1"/>
  <c r="CD205" i="17"/>
  <c r="CD210" i="17" s="1"/>
  <c r="CC205" i="17"/>
  <c r="CC210" i="17" s="1"/>
  <c r="CB205" i="17"/>
  <c r="CB210" i="17" s="1"/>
  <c r="CA205" i="17"/>
  <c r="CA210" i="17" s="1"/>
  <c r="BZ205" i="17"/>
  <c r="BZ210" i="17" s="1"/>
  <c r="BY205" i="17"/>
  <c r="BY210" i="17" s="1"/>
  <c r="BX205" i="17"/>
  <c r="BX210" i="17" s="1"/>
  <c r="BW205" i="17"/>
  <c r="BW210" i="17" s="1"/>
  <c r="BV205" i="17"/>
  <c r="BV210" i="17" s="1"/>
  <c r="BU205" i="17"/>
  <c r="BU210" i="17" s="1"/>
  <c r="BT205" i="17"/>
  <c r="BT210" i="17" s="1"/>
  <c r="BS205" i="17"/>
  <c r="BS210" i="17" s="1"/>
  <c r="BR205" i="17"/>
  <c r="BR210" i="17" s="1"/>
  <c r="BQ205" i="17"/>
  <c r="BQ210" i="17" s="1"/>
  <c r="BP205" i="17"/>
  <c r="BP210" i="17" s="1"/>
  <c r="BO205" i="17"/>
  <c r="BO210" i="17" s="1"/>
  <c r="BN205" i="17"/>
  <c r="BN210" i="17" s="1"/>
  <c r="BM205" i="17"/>
  <c r="BM210" i="17" s="1"/>
  <c r="BL205" i="17"/>
  <c r="BL210" i="17" s="1"/>
  <c r="BK205" i="17"/>
  <c r="BK210" i="17" s="1"/>
  <c r="BJ205" i="17"/>
  <c r="BJ210" i="17" s="1"/>
  <c r="BI205" i="17"/>
  <c r="BI210" i="17" s="1"/>
  <c r="BH205" i="17"/>
  <c r="BH210" i="17" s="1"/>
  <c r="BG205" i="17"/>
  <c r="BG210" i="17" s="1"/>
  <c r="BF205" i="17"/>
  <c r="BF210" i="17" s="1"/>
  <c r="BE205" i="17"/>
  <c r="BE210" i="17" s="1"/>
  <c r="BD205" i="17"/>
  <c r="BD210" i="17" s="1"/>
  <c r="BC205" i="17"/>
  <c r="BC210" i="17" s="1"/>
  <c r="BB205" i="17"/>
  <c r="BB210" i="17" s="1"/>
  <c r="BA205" i="17"/>
  <c r="BA210" i="17" s="1"/>
  <c r="AZ205" i="17"/>
  <c r="AZ210" i="17" s="1"/>
  <c r="AY205" i="17"/>
  <c r="AY210" i="17" s="1"/>
  <c r="AX205" i="17"/>
  <c r="AX210" i="17" s="1"/>
  <c r="AW205" i="17"/>
  <c r="AW210" i="17" s="1"/>
  <c r="AV205" i="17"/>
  <c r="AV210" i="17" s="1"/>
  <c r="AU205" i="17"/>
  <c r="AU210" i="17" s="1"/>
  <c r="AT205" i="17"/>
  <c r="AT210" i="17" s="1"/>
  <c r="AS205" i="17"/>
  <c r="AS210" i="17" s="1"/>
  <c r="AR205" i="17"/>
  <c r="AR210" i="17" s="1"/>
  <c r="AQ205" i="17"/>
  <c r="AQ210" i="17" s="1"/>
  <c r="AP205" i="17"/>
  <c r="AP210" i="17" s="1"/>
  <c r="AO205" i="17"/>
  <c r="AO210" i="17" s="1"/>
  <c r="AN205" i="17"/>
  <c r="AN210" i="17" s="1"/>
  <c r="AM205" i="17"/>
  <c r="AM210" i="17" s="1"/>
  <c r="AL205" i="17"/>
  <c r="AL210" i="17" s="1"/>
  <c r="AK205" i="17"/>
  <c r="AK210" i="17" s="1"/>
  <c r="AJ205" i="17"/>
  <c r="AJ210" i="17" s="1"/>
  <c r="AI205" i="17"/>
  <c r="AI210" i="17" s="1"/>
  <c r="AH205" i="17"/>
  <c r="AH210" i="17" s="1"/>
  <c r="AG205" i="17"/>
  <c r="AG210" i="17" s="1"/>
  <c r="AF205" i="17"/>
  <c r="AF210" i="17" s="1"/>
  <c r="AE205" i="17"/>
  <c r="AE210" i="17" s="1"/>
  <c r="AD205" i="17"/>
  <c r="AD210" i="17" s="1"/>
  <c r="AC205" i="17"/>
  <c r="AC210" i="17" s="1"/>
  <c r="AB205" i="17"/>
  <c r="AB210" i="17" s="1"/>
  <c r="AA205" i="17"/>
  <c r="AA210" i="17" s="1"/>
  <c r="Z205" i="17"/>
  <c r="Z210" i="17" s="1"/>
  <c r="Y205" i="17"/>
  <c r="Y210" i="17" s="1"/>
  <c r="X205" i="17"/>
  <c r="X210" i="17" s="1"/>
  <c r="W205" i="17"/>
  <c r="W210" i="17" s="1"/>
  <c r="V205" i="17"/>
  <c r="V210" i="17" s="1"/>
  <c r="U205" i="17"/>
  <c r="U210" i="17" s="1"/>
  <c r="T205" i="17"/>
  <c r="T210" i="17" s="1"/>
  <c r="S205" i="17"/>
  <c r="S210" i="17" s="1"/>
  <c r="R205" i="17"/>
  <c r="R210" i="17" s="1"/>
  <c r="Q205" i="17"/>
  <c r="Q210" i="17" s="1"/>
  <c r="P205" i="17"/>
  <c r="P210" i="17" s="1"/>
  <c r="O205" i="17"/>
  <c r="O210" i="17" s="1"/>
  <c r="N205" i="17"/>
  <c r="N210" i="17" s="1"/>
  <c r="M205" i="17"/>
  <c r="M210" i="17" s="1"/>
  <c r="L205" i="17"/>
  <c r="L210" i="17" s="1"/>
  <c r="K205" i="17"/>
  <c r="K210" i="17" s="1"/>
  <c r="J205" i="17"/>
  <c r="J210" i="17" s="1"/>
  <c r="I205" i="17"/>
  <c r="I210" i="17" s="1"/>
  <c r="H205" i="17"/>
  <c r="H210" i="17" s="1"/>
  <c r="G205" i="17"/>
  <c r="G210" i="17" s="1"/>
  <c r="A201" i="17"/>
  <c r="E199" i="17"/>
  <c r="E198" i="17"/>
  <c r="CU196" i="17"/>
  <c r="CQ196" i="17"/>
  <c r="CM196" i="17"/>
  <c r="CI196" i="17"/>
  <c r="CE196" i="17"/>
  <c r="CA196" i="17"/>
  <c r="BW196" i="17"/>
  <c r="BS196" i="17"/>
  <c r="BO196" i="17"/>
  <c r="BK196" i="17"/>
  <c r="BG196" i="17"/>
  <c r="BC196" i="17"/>
  <c r="AY196" i="17"/>
  <c r="AU196" i="17"/>
  <c r="AQ196" i="17"/>
  <c r="AM196" i="17"/>
  <c r="AI196" i="17"/>
  <c r="AE196" i="17"/>
  <c r="AA196" i="17"/>
  <c r="W196" i="17"/>
  <c r="S196" i="17"/>
  <c r="O196" i="17"/>
  <c r="K196" i="17"/>
  <c r="G196" i="17"/>
  <c r="CV183" i="17"/>
  <c r="CU183" i="17"/>
  <c r="CT183" i="17"/>
  <c r="CR183" i="17"/>
  <c r="CX175" i="17"/>
  <c r="CX188" i="17" s="1"/>
  <c r="CW175" i="17"/>
  <c r="CW188" i="17" s="1"/>
  <c r="CV175" i="17"/>
  <c r="CV188" i="17" s="1"/>
  <c r="CU175" i="17"/>
  <c r="CU188" i="17" s="1"/>
  <c r="CT175" i="17"/>
  <c r="CT188" i="17" s="1"/>
  <c r="CS175" i="17"/>
  <c r="CS188" i="17" s="1"/>
  <c r="CR175" i="17"/>
  <c r="CR188" i="17" s="1"/>
  <c r="CQ175" i="17"/>
  <c r="CQ188" i="17" s="1"/>
  <c r="CP175" i="17"/>
  <c r="CP188" i="17" s="1"/>
  <c r="CO175" i="17"/>
  <c r="CO188" i="17" s="1"/>
  <c r="CN175" i="17"/>
  <c r="CN188" i="17" s="1"/>
  <c r="CM175" i="17"/>
  <c r="CM188" i="17" s="1"/>
  <c r="CL175" i="17"/>
  <c r="CL188" i="17" s="1"/>
  <c r="CK175" i="17"/>
  <c r="CK188" i="17" s="1"/>
  <c r="CJ175" i="17"/>
  <c r="CJ188" i="17" s="1"/>
  <c r="CI175" i="17"/>
  <c r="CI188" i="17" s="1"/>
  <c r="CH175" i="17"/>
  <c r="CH188" i="17" s="1"/>
  <c r="CG175" i="17"/>
  <c r="CG188" i="17" s="1"/>
  <c r="CF175" i="17"/>
  <c r="CF188" i="17" s="1"/>
  <c r="CE175" i="17"/>
  <c r="CE188" i="17" s="1"/>
  <c r="CD175" i="17"/>
  <c r="CD188" i="17" s="1"/>
  <c r="CC175" i="17"/>
  <c r="CC188" i="17" s="1"/>
  <c r="CB175" i="17"/>
  <c r="CB188" i="17" s="1"/>
  <c r="CA175" i="17"/>
  <c r="CA188" i="17" s="1"/>
  <c r="BZ175" i="17"/>
  <c r="BZ188" i="17" s="1"/>
  <c r="BY175" i="17"/>
  <c r="BY188" i="17" s="1"/>
  <c r="BX175" i="17"/>
  <c r="BX188" i="17" s="1"/>
  <c r="BW175" i="17"/>
  <c r="BW188" i="17" s="1"/>
  <c r="BV175" i="17"/>
  <c r="BV188" i="17" s="1"/>
  <c r="BU175" i="17"/>
  <c r="BU188" i="17" s="1"/>
  <c r="BT175" i="17"/>
  <c r="BT188" i="17" s="1"/>
  <c r="BS175" i="17"/>
  <c r="BS188" i="17" s="1"/>
  <c r="BR175" i="17"/>
  <c r="BR188" i="17" s="1"/>
  <c r="BQ175" i="17"/>
  <c r="BQ188" i="17" s="1"/>
  <c r="BP175" i="17"/>
  <c r="BP188" i="17" s="1"/>
  <c r="BO175" i="17"/>
  <c r="BO188" i="17" s="1"/>
  <c r="BN175" i="17"/>
  <c r="BN188" i="17" s="1"/>
  <c r="BM175" i="17"/>
  <c r="BM188" i="17" s="1"/>
  <c r="BL175" i="17"/>
  <c r="BL188" i="17" s="1"/>
  <c r="BK175" i="17"/>
  <c r="BK188" i="17" s="1"/>
  <c r="BJ175" i="17"/>
  <c r="BJ188" i="17" s="1"/>
  <c r="BI175" i="17"/>
  <c r="BI188" i="17" s="1"/>
  <c r="BH175" i="17"/>
  <c r="BH188" i="17" s="1"/>
  <c r="BG175" i="17"/>
  <c r="BG188" i="17" s="1"/>
  <c r="BF175" i="17"/>
  <c r="BF188" i="17" s="1"/>
  <c r="BE175" i="17"/>
  <c r="BE188" i="17" s="1"/>
  <c r="BD175" i="17"/>
  <c r="BD188" i="17" s="1"/>
  <c r="BC175" i="17"/>
  <c r="BC188" i="17" s="1"/>
  <c r="BB175" i="17"/>
  <c r="BB188" i="17" s="1"/>
  <c r="BA175" i="17"/>
  <c r="BA188" i="17" s="1"/>
  <c r="AZ175" i="17"/>
  <c r="AZ188" i="17" s="1"/>
  <c r="AY175" i="17"/>
  <c r="AY188" i="17" s="1"/>
  <c r="AX175" i="17"/>
  <c r="AX188" i="17" s="1"/>
  <c r="AW175" i="17"/>
  <c r="AW188" i="17" s="1"/>
  <c r="AV175" i="17"/>
  <c r="AV188" i="17" s="1"/>
  <c r="AU175" i="17"/>
  <c r="AU188" i="17" s="1"/>
  <c r="AT175" i="17"/>
  <c r="AT188" i="17" s="1"/>
  <c r="AS175" i="17"/>
  <c r="AS188" i="17" s="1"/>
  <c r="AR175" i="17"/>
  <c r="AR188" i="17" s="1"/>
  <c r="AQ175" i="17"/>
  <c r="AQ188" i="17" s="1"/>
  <c r="AP175" i="17"/>
  <c r="AP188" i="17" s="1"/>
  <c r="AO175" i="17"/>
  <c r="AO188" i="17" s="1"/>
  <c r="AN175" i="17"/>
  <c r="AN188" i="17" s="1"/>
  <c r="AM175" i="17"/>
  <c r="AM188" i="17" s="1"/>
  <c r="AL175" i="17"/>
  <c r="AL188" i="17" s="1"/>
  <c r="AK175" i="17"/>
  <c r="AK188" i="17" s="1"/>
  <c r="AJ175" i="17"/>
  <c r="AJ188" i="17" s="1"/>
  <c r="AI175" i="17"/>
  <c r="AI188" i="17" s="1"/>
  <c r="AH175" i="17"/>
  <c r="AH188" i="17" s="1"/>
  <c r="AG175" i="17"/>
  <c r="AG188" i="17" s="1"/>
  <c r="AF175" i="17"/>
  <c r="AF188" i="17" s="1"/>
  <c r="AE175" i="17"/>
  <c r="AE188" i="17" s="1"/>
  <c r="AD175" i="17"/>
  <c r="AD188" i="17" s="1"/>
  <c r="AC175" i="17"/>
  <c r="AC188" i="17" s="1"/>
  <c r="AB175" i="17"/>
  <c r="AB188" i="17" s="1"/>
  <c r="AA175" i="17"/>
  <c r="AA188" i="17" s="1"/>
  <c r="Z175" i="17"/>
  <c r="Z188" i="17" s="1"/>
  <c r="Y175" i="17"/>
  <c r="Y188" i="17" s="1"/>
  <c r="X175" i="17"/>
  <c r="X188" i="17" s="1"/>
  <c r="W175" i="17"/>
  <c r="W188" i="17" s="1"/>
  <c r="V175" i="17"/>
  <c r="V188" i="17" s="1"/>
  <c r="U175" i="17"/>
  <c r="U188" i="17" s="1"/>
  <c r="T175" i="17"/>
  <c r="T188" i="17" s="1"/>
  <c r="S175" i="17"/>
  <c r="S188" i="17" s="1"/>
  <c r="R175" i="17"/>
  <c r="R188" i="17" s="1"/>
  <c r="Q175" i="17"/>
  <c r="Q188" i="17" s="1"/>
  <c r="P175" i="17"/>
  <c r="P188" i="17" s="1"/>
  <c r="O175" i="17"/>
  <c r="O188" i="17" s="1"/>
  <c r="N175" i="17"/>
  <c r="N188" i="17" s="1"/>
  <c r="M175" i="17"/>
  <c r="M188" i="17" s="1"/>
  <c r="L175" i="17"/>
  <c r="L188" i="17" s="1"/>
  <c r="K175" i="17"/>
  <c r="K188" i="17" s="1"/>
  <c r="J175" i="17"/>
  <c r="J188" i="17" s="1"/>
  <c r="I175" i="17"/>
  <c r="I188" i="17" s="1"/>
  <c r="H175" i="17"/>
  <c r="H188" i="17" s="1"/>
  <c r="G175" i="17"/>
  <c r="G188" i="17" s="1"/>
  <c r="A171" i="17"/>
  <c r="A170" i="17"/>
  <c r="A166" i="17"/>
  <c r="A163" i="17"/>
  <c r="CU161" i="17"/>
  <c r="CQ161" i="17"/>
  <c r="CM161" i="17"/>
  <c r="CI161" i="17"/>
  <c r="CE161" i="17"/>
  <c r="CA161" i="17"/>
  <c r="BW161" i="17"/>
  <c r="BS161" i="17"/>
  <c r="BO161" i="17"/>
  <c r="BK161" i="17"/>
  <c r="BG161" i="17"/>
  <c r="BC161" i="17"/>
  <c r="AY161" i="17"/>
  <c r="AU161" i="17"/>
  <c r="AQ161" i="17"/>
  <c r="AM161" i="17"/>
  <c r="AI161" i="17"/>
  <c r="AE161" i="17"/>
  <c r="AA161" i="17"/>
  <c r="W161" i="17"/>
  <c r="S161" i="17"/>
  <c r="O161" i="17"/>
  <c r="K161" i="17"/>
  <c r="G161" i="17"/>
  <c r="CX148" i="17"/>
  <c r="CX153" i="17" s="1"/>
  <c r="CW148" i="17"/>
  <c r="CW153" i="17" s="1"/>
  <c r="CV148" i="17"/>
  <c r="CV153" i="17" s="1"/>
  <c r="CU148" i="17"/>
  <c r="CU153" i="17" s="1"/>
  <c r="CT148" i="17"/>
  <c r="CT153" i="17" s="1"/>
  <c r="CS148" i="17"/>
  <c r="CS153" i="17" s="1"/>
  <c r="CR148" i="17"/>
  <c r="CR153" i="17" s="1"/>
  <c r="CQ148" i="17"/>
  <c r="CQ153" i="17" s="1"/>
  <c r="CP148" i="17"/>
  <c r="CP153" i="17" s="1"/>
  <c r="CO148" i="17"/>
  <c r="CO153" i="17" s="1"/>
  <c r="CN148" i="17"/>
  <c r="CN153" i="17" s="1"/>
  <c r="CM148" i="17"/>
  <c r="CM153" i="17" s="1"/>
  <c r="CL148" i="17"/>
  <c r="CL153" i="17" s="1"/>
  <c r="CK148" i="17"/>
  <c r="CK153" i="17" s="1"/>
  <c r="CJ148" i="17"/>
  <c r="CJ153" i="17" s="1"/>
  <c r="CI148" i="17"/>
  <c r="CI153" i="17" s="1"/>
  <c r="CH148" i="17"/>
  <c r="CH153" i="17" s="1"/>
  <c r="CG148" i="17"/>
  <c r="CG153" i="17" s="1"/>
  <c r="CF148" i="17"/>
  <c r="CF153" i="17" s="1"/>
  <c r="CE148" i="17"/>
  <c r="CE153" i="17" s="1"/>
  <c r="CD148" i="17"/>
  <c r="CD153" i="17" s="1"/>
  <c r="CC148" i="17"/>
  <c r="CC153" i="17" s="1"/>
  <c r="CB148" i="17"/>
  <c r="CB153" i="17" s="1"/>
  <c r="CA148" i="17"/>
  <c r="CA153" i="17" s="1"/>
  <c r="BZ148" i="17"/>
  <c r="BZ153" i="17" s="1"/>
  <c r="BY148" i="17"/>
  <c r="BY153" i="17" s="1"/>
  <c r="BX148" i="17"/>
  <c r="BX153" i="17" s="1"/>
  <c r="BW148" i="17"/>
  <c r="BW153" i="17" s="1"/>
  <c r="BV148" i="17"/>
  <c r="BV153" i="17" s="1"/>
  <c r="BU148" i="17"/>
  <c r="BU153" i="17" s="1"/>
  <c r="BT148" i="17"/>
  <c r="BT153" i="17" s="1"/>
  <c r="BS148" i="17"/>
  <c r="BS153" i="17" s="1"/>
  <c r="BR148" i="17"/>
  <c r="BR153" i="17" s="1"/>
  <c r="BQ148" i="17"/>
  <c r="BQ153" i="17" s="1"/>
  <c r="BP148" i="17"/>
  <c r="BP153" i="17" s="1"/>
  <c r="BO148" i="17"/>
  <c r="BO153" i="17" s="1"/>
  <c r="BN148" i="17"/>
  <c r="BN153" i="17" s="1"/>
  <c r="BM148" i="17"/>
  <c r="BM153" i="17" s="1"/>
  <c r="BL148" i="17"/>
  <c r="BL153" i="17" s="1"/>
  <c r="BK148" i="17"/>
  <c r="BK153" i="17" s="1"/>
  <c r="BJ148" i="17"/>
  <c r="BJ153" i="17" s="1"/>
  <c r="BI148" i="17"/>
  <c r="BI153" i="17" s="1"/>
  <c r="BH148" i="17"/>
  <c r="BH153" i="17" s="1"/>
  <c r="BG148" i="17"/>
  <c r="BG153" i="17" s="1"/>
  <c r="BF148" i="17"/>
  <c r="BF153" i="17" s="1"/>
  <c r="BE148" i="17"/>
  <c r="BE153" i="17" s="1"/>
  <c r="BD148" i="17"/>
  <c r="BD153" i="17" s="1"/>
  <c r="BC148" i="17"/>
  <c r="BC153" i="17" s="1"/>
  <c r="BB148" i="17"/>
  <c r="BB153" i="17" s="1"/>
  <c r="BA148" i="17"/>
  <c r="BA153" i="17" s="1"/>
  <c r="AZ148" i="17"/>
  <c r="AZ153" i="17" s="1"/>
  <c r="AY148" i="17"/>
  <c r="AY153" i="17" s="1"/>
  <c r="AX148" i="17"/>
  <c r="AX153" i="17" s="1"/>
  <c r="AW148" i="17"/>
  <c r="AW153" i="17" s="1"/>
  <c r="AV148" i="17"/>
  <c r="AV153" i="17" s="1"/>
  <c r="AU148" i="17"/>
  <c r="AU153" i="17" s="1"/>
  <c r="AT148" i="17"/>
  <c r="AT153" i="17" s="1"/>
  <c r="AS148" i="17"/>
  <c r="AS153" i="17" s="1"/>
  <c r="AR148" i="17"/>
  <c r="AR153" i="17" s="1"/>
  <c r="AQ148" i="17"/>
  <c r="AQ153" i="17" s="1"/>
  <c r="AP148" i="17"/>
  <c r="AP153" i="17" s="1"/>
  <c r="AO148" i="17"/>
  <c r="AO153" i="17" s="1"/>
  <c r="AN148" i="17"/>
  <c r="AN153" i="17" s="1"/>
  <c r="AM148" i="17"/>
  <c r="AM153" i="17" s="1"/>
  <c r="AL148" i="17"/>
  <c r="AL153" i="17" s="1"/>
  <c r="AK148" i="17"/>
  <c r="AK153" i="17" s="1"/>
  <c r="AJ148" i="17"/>
  <c r="AJ153" i="17" s="1"/>
  <c r="AI148" i="17"/>
  <c r="AI153" i="17" s="1"/>
  <c r="AH148" i="17"/>
  <c r="AH153" i="17" s="1"/>
  <c r="AG148" i="17"/>
  <c r="AG153" i="17" s="1"/>
  <c r="AF148" i="17"/>
  <c r="AF153" i="17" s="1"/>
  <c r="AE148" i="17"/>
  <c r="AE153" i="17" s="1"/>
  <c r="AD148" i="17"/>
  <c r="AD153" i="17" s="1"/>
  <c r="AC148" i="17"/>
  <c r="AC153" i="17" s="1"/>
  <c r="AB148" i="17"/>
  <c r="AB153" i="17" s="1"/>
  <c r="AA148" i="17"/>
  <c r="AA153" i="17" s="1"/>
  <c r="Z148" i="17"/>
  <c r="Z153" i="17" s="1"/>
  <c r="Y148" i="17"/>
  <c r="Y153" i="17" s="1"/>
  <c r="X148" i="17"/>
  <c r="X153" i="17" s="1"/>
  <c r="W148" i="17"/>
  <c r="W153" i="17" s="1"/>
  <c r="V148" i="17"/>
  <c r="V153" i="17" s="1"/>
  <c r="U148" i="17"/>
  <c r="U153" i="17" s="1"/>
  <c r="T148" i="17"/>
  <c r="T153" i="17" s="1"/>
  <c r="S148" i="17"/>
  <c r="S153" i="17" s="1"/>
  <c r="R148" i="17"/>
  <c r="R153" i="17" s="1"/>
  <c r="Q148" i="17"/>
  <c r="Q153" i="17" s="1"/>
  <c r="P148" i="17"/>
  <c r="P153" i="17" s="1"/>
  <c r="O148" i="17"/>
  <c r="O153" i="17" s="1"/>
  <c r="N148" i="17"/>
  <c r="N153" i="17" s="1"/>
  <c r="M148" i="17"/>
  <c r="M153" i="17" s="1"/>
  <c r="L148" i="17"/>
  <c r="L153" i="17" s="1"/>
  <c r="K148" i="17"/>
  <c r="K153" i="17" s="1"/>
  <c r="J148" i="17"/>
  <c r="J153" i="17" s="1"/>
  <c r="I148" i="17"/>
  <c r="I153" i="17" s="1"/>
  <c r="H148" i="17"/>
  <c r="H153" i="17" s="1"/>
  <c r="G148" i="17"/>
  <c r="G153" i="17" s="1"/>
  <c r="A144" i="17"/>
  <c r="E142" i="17"/>
  <c r="CU139" i="17"/>
  <c r="CQ139" i="17"/>
  <c r="CM139" i="17"/>
  <c r="CI139" i="17"/>
  <c r="CE139" i="17"/>
  <c r="CA139" i="17"/>
  <c r="BW139" i="17"/>
  <c r="BS139" i="17"/>
  <c r="BO139" i="17"/>
  <c r="BK139" i="17"/>
  <c r="BG139" i="17"/>
  <c r="BC139" i="17"/>
  <c r="AY139" i="17"/>
  <c r="AU139" i="17"/>
  <c r="AQ139" i="17"/>
  <c r="AM139" i="17"/>
  <c r="AI139" i="17"/>
  <c r="AE139" i="17"/>
  <c r="AA139" i="17"/>
  <c r="W139" i="17"/>
  <c r="S139" i="17"/>
  <c r="O139" i="17"/>
  <c r="K139" i="17"/>
  <c r="G139" i="17"/>
  <c r="E129" i="17"/>
  <c r="CX128" i="17"/>
  <c r="CX133" i="17" s="1"/>
  <c r="CW128" i="17"/>
  <c r="CW133" i="17" s="1"/>
  <c r="CV128" i="17"/>
  <c r="CV133" i="17" s="1"/>
  <c r="CU128" i="17"/>
  <c r="CU133" i="17" s="1"/>
  <c r="CT128" i="17"/>
  <c r="CT133" i="17" s="1"/>
  <c r="CS128" i="17"/>
  <c r="CS133" i="17" s="1"/>
  <c r="CR128" i="17"/>
  <c r="CR133" i="17" s="1"/>
  <c r="CQ128" i="17"/>
  <c r="CQ133" i="17" s="1"/>
  <c r="CP128" i="17"/>
  <c r="CP133" i="17" s="1"/>
  <c r="CO128" i="17"/>
  <c r="CO133" i="17" s="1"/>
  <c r="CN128" i="17"/>
  <c r="CN133" i="17" s="1"/>
  <c r="CM128" i="17"/>
  <c r="CM133" i="17" s="1"/>
  <c r="CL128" i="17"/>
  <c r="CL133" i="17" s="1"/>
  <c r="CK128" i="17"/>
  <c r="CK133" i="17" s="1"/>
  <c r="CJ128" i="17"/>
  <c r="CJ133" i="17" s="1"/>
  <c r="CI128" i="17"/>
  <c r="CI133" i="17" s="1"/>
  <c r="CH128" i="17"/>
  <c r="CH133" i="17" s="1"/>
  <c r="CG128" i="17"/>
  <c r="CG133" i="17" s="1"/>
  <c r="CF128" i="17"/>
  <c r="CF133" i="17" s="1"/>
  <c r="CE128" i="17"/>
  <c r="CE133" i="17" s="1"/>
  <c r="CD128" i="17"/>
  <c r="CD133" i="17" s="1"/>
  <c r="CC128" i="17"/>
  <c r="CC133" i="17" s="1"/>
  <c r="CB128" i="17"/>
  <c r="CB133" i="17" s="1"/>
  <c r="CA128" i="17"/>
  <c r="CA133" i="17" s="1"/>
  <c r="BZ128" i="17"/>
  <c r="BZ133" i="17" s="1"/>
  <c r="BY128" i="17"/>
  <c r="BY133" i="17" s="1"/>
  <c r="BX128" i="17"/>
  <c r="BX133" i="17" s="1"/>
  <c r="BW128" i="17"/>
  <c r="BW133" i="17" s="1"/>
  <c r="BV128" i="17"/>
  <c r="BV133" i="17" s="1"/>
  <c r="BU128" i="17"/>
  <c r="BU133" i="17" s="1"/>
  <c r="BT128" i="17"/>
  <c r="BT133" i="17" s="1"/>
  <c r="BS128" i="17"/>
  <c r="BS133" i="17" s="1"/>
  <c r="BR128" i="17"/>
  <c r="BR133" i="17" s="1"/>
  <c r="BQ128" i="17"/>
  <c r="BQ133" i="17" s="1"/>
  <c r="BP128" i="17"/>
  <c r="BP133" i="17" s="1"/>
  <c r="BO128" i="17"/>
  <c r="BO133" i="17" s="1"/>
  <c r="BN128" i="17"/>
  <c r="BN133" i="17" s="1"/>
  <c r="BM128" i="17"/>
  <c r="BM133" i="17" s="1"/>
  <c r="BL128" i="17"/>
  <c r="BL133" i="17" s="1"/>
  <c r="BK128" i="17"/>
  <c r="BK133" i="17" s="1"/>
  <c r="BJ128" i="17"/>
  <c r="BJ133" i="17" s="1"/>
  <c r="BI128" i="17"/>
  <c r="BI133" i="17" s="1"/>
  <c r="BH128" i="17"/>
  <c r="BH133" i="17" s="1"/>
  <c r="BG128" i="17"/>
  <c r="BG133" i="17" s="1"/>
  <c r="BF128" i="17"/>
  <c r="BF133" i="17" s="1"/>
  <c r="BE128" i="17"/>
  <c r="BE133" i="17" s="1"/>
  <c r="BD128" i="17"/>
  <c r="BD133" i="17" s="1"/>
  <c r="BC128" i="17"/>
  <c r="BC133" i="17" s="1"/>
  <c r="BB128" i="17"/>
  <c r="BB133" i="17" s="1"/>
  <c r="BA128" i="17"/>
  <c r="BA133" i="17" s="1"/>
  <c r="AZ128" i="17"/>
  <c r="AZ133" i="17" s="1"/>
  <c r="AY128" i="17"/>
  <c r="AY133" i="17" s="1"/>
  <c r="AX128" i="17"/>
  <c r="AX133" i="17" s="1"/>
  <c r="AW128" i="17"/>
  <c r="AW133" i="17" s="1"/>
  <c r="AV128" i="17"/>
  <c r="AV133" i="17" s="1"/>
  <c r="AU128" i="17"/>
  <c r="AU133" i="17" s="1"/>
  <c r="AT128" i="17"/>
  <c r="AT133" i="17" s="1"/>
  <c r="AS128" i="17"/>
  <c r="AS133" i="17" s="1"/>
  <c r="AR128" i="17"/>
  <c r="AR133" i="17" s="1"/>
  <c r="AQ128" i="17"/>
  <c r="AQ133" i="17" s="1"/>
  <c r="AP128" i="17"/>
  <c r="AP133" i="17" s="1"/>
  <c r="AO128" i="17"/>
  <c r="AO133" i="17" s="1"/>
  <c r="AN128" i="17"/>
  <c r="AN133" i="17" s="1"/>
  <c r="AM128" i="17"/>
  <c r="AM133" i="17" s="1"/>
  <c r="AL128" i="17"/>
  <c r="AL133" i="17" s="1"/>
  <c r="AK128" i="17"/>
  <c r="AK133" i="17" s="1"/>
  <c r="AJ128" i="17"/>
  <c r="AJ133" i="17" s="1"/>
  <c r="AI128" i="17"/>
  <c r="AI133" i="17" s="1"/>
  <c r="AH128" i="17"/>
  <c r="AH133" i="17" s="1"/>
  <c r="AG128" i="17"/>
  <c r="AG133" i="17" s="1"/>
  <c r="AF128" i="17"/>
  <c r="AF133" i="17" s="1"/>
  <c r="AE128" i="17"/>
  <c r="AE133" i="17" s="1"/>
  <c r="AD128" i="17"/>
  <c r="AD133" i="17" s="1"/>
  <c r="AC128" i="17"/>
  <c r="AC133" i="17" s="1"/>
  <c r="AB128" i="17"/>
  <c r="AB133" i="17" s="1"/>
  <c r="AA128" i="17"/>
  <c r="AA133" i="17" s="1"/>
  <c r="Z128" i="17"/>
  <c r="Z133" i="17" s="1"/>
  <c r="Y128" i="17"/>
  <c r="Y133" i="17" s="1"/>
  <c r="X128" i="17"/>
  <c r="X133" i="17" s="1"/>
  <c r="W128" i="17"/>
  <c r="W133" i="17" s="1"/>
  <c r="V128" i="17"/>
  <c r="V133" i="17" s="1"/>
  <c r="U128" i="17"/>
  <c r="U133" i="17" s="1"/>
  <c r="T128" i="17"/>
  <c r="T133" i="17" s="1"/>
  <c r="S128" i="17"/>
  <c r="S133" i="17" s="1"/>
  <c r="R128" i="17"/>
  <c r="R133" i="17" s="1"/>
  <c r="Q128" i="17"/>
  <c r="Q133" i="17" s="1"/>
  <c r="P128" i="17"/>
  <c r="P133" i="17" s="1"/>
  <c r="O128" i="17"/>
  <c r="O133" i="17" s="1"/>
  <c r="N128" i="17"/>
  <c r="N133" i="17" s="1"/>
  <c r="M128" i="17"/>
  <c r="M133" i="17" s="1"/>
  <c r="L128" i="17"/>
  <c r="L133" i="17" s="1"/>
  <c r="K128" i="17"/>
  <c r="K133" i="17" s="1"/>
  <c r="J128" i="17"/>
  <c r="J133" i="17" s="1"/>
  <c r="I128" i="17"/>
  <c r="I133" i="17" s="1"/>
  <c r="H128" i="17"/>
  <c r="H133" i="17" s="1"/>
  <c r="G128" i="17"/>
  <c r="G133" i="17" s="1"/>
  <c r="A124" i="17"/>
  <c r="CU122" i="17"/>
  <c r="CQ122" i="17"/>
  <c r="CM122" i="17"/>
  <c r="CI122" i="17"/>
  <c r="CE122" i="17"/>
  <c r="CA122" i="17"/>
  <c r="BW122" i="17"/>
  <c r="BS122" i="17"/>
  <c r="BO122" i="17"/>
  <c r="BK122" i="17"/>
  <c r="BG122" i="17"/>
  <c r="BC122" i="17"/>
  <c r="AY122" i="17"/>
  <c r="AU122" i="17"/>
  <c r="AQ122" i="17"/>
  <c r="AM122" i="17"/>
  <c r="AI122" i="17"/>
  <c r="AE122" i="17"/>
  <c r="AA122" i="17"/>
  <c r="W122" i="17"/>
  <c r="S122" i="17"/>
  <c r="O122" i="17"/>
  <c r="K122" i="17"/>
  <c r="G122" i="17"/>
  <c r="CX114" i="17"/>
  <c r="CW114" i="17"/>
  <c r="CV114" i="17"/>
  <c r="CU114" i="17"/>
  <c r="CT114" i="17"/>
  <c r="CS114" i="17"/>
  <c r="CR114" i="17"/>
  <c r="CQ114" i="17"/>
  <c r="CP114" i="17"/>
  <c r="CO114" i="17"/>
  <c r="CN114" i="17"/>
  <c r="CM114" i="17"/>
  <c r="CL114" i="17"/>
  <c r="CK114" i="17"/>
  <c r="CJ114" i="17"/>
  <c r="CI114" i="17"/>
  <c r="CH114" i="17"/>
  <c r="CG114" i="17"/>
  <c r="CF114" i="17"/>
  <c r="CE114" i="17"/>
  <c r="CD114" i="17"/>
  <c r="CC114" i="17"/>
  <c r="CB114" i="17"/>
  <c r="CA114" i="17"/>
  <c r="BZ114" i="17"/>
  <c r="BY114" i="17"/>
  <c r="BX114" i="17"/>
  <c r="BW114" i="17"/>
  <c r="BV114" i="17"/>
  <c r="BU114" i="17"/>
  <c r="BT114" i="17"/>
  <c r="BS114" i="17"/>
  <c r="BR114" i="17"/>
  <c r="BQ114" i="17"/>
  <c r="BP114" i="17"/>
  <c r="BO114" i="17"/>
  <c r="BN114" i="17"/>
  <c r="BM114" i="17"/>
  <c r="BL114" i="17"/>
  <c r="BK114" i="17"/>
  <c r="BJ114" i="17"/>
  <c r="BI114" i="17"/>
  <c r="BH114" i="17"/>
  <c r="BG114" i="17"/>
  <c r="BF114" i="17"/>
  <c r="BE114" i="17"/>
  <c r="BD114" i="17"/>
  <c r="BC114" i="17"/>
  <c r="BB114" i="17"/>
  <c r="BA114" i="17"/>
  <c r="AZ114" i="17"/>
  <c r="AY114" i="17"/>
  <c r="AX114" i="17"/>
  <c r="AW114" i="17"/>
  <c r="AV114" i="17"/>
  <c r="AU114" i="17"/>
  <c r="AT114" i="17"/>
  <c r="AS114" i="17"/>
  <c r="AR114" i="17"/>
  <c r="AQ114" i="17"/>
  <c r="AP114" i="17"/>
  <c r="AO114" i="17"/>
  <c r="AN114" i="17"/>
  <c r="AM114" i="17"/>
  <c r="AL114" i="17"/>
  <c r="AK114" i="17"/>
  <c r="AJ114" i="17"/>
  <c r="AI114" i="17"/>
  <c r="AH114" i="17"/>
  <c r="AG114" i="17"/>
  <c r="AF114" i="17"/>
  <c r="AE114" i="17"/>
  <c r="AD114" i="17"/>
  <c r="AC114" i="17"/>
  <c r="AB114" i="17"/>
  <c r="AA114" i="17"/>
  <c r="Z114" i="17"/>
  <c r="Y114" i="17"/>
  <c r="X114" i="17"/>
  <c r="W114" i="17"/>
  <c r="V114" i="17"/>
  <c r="U114" i="17"/>
  <c r="T114" i="17"/>
  <c r="S114" i="17"/>
  <c r="R114" i="17"/>
  <c r="Q114" i="17"/>
  <c r="P114" i="17"/>
  <c r="O114" i="17"/>
  <c r="N114" i="17"/>
  <c r="M114" i="17"/>
  <c r="L114" i="17"/>
  <c r="K114" i="17"/>
  <c r="J114" i="17"/>
  <c r="I114" i="17"/>
  <c r="H114" i="17"/>
  <c r="G114" i="17"/>
  <c r="E105" i="17"/>
  <c r="E141" i="17" s="1"/>
  <c r="A105" i="17"/>
  <c r="E103" i="17"/>
  <c r="E102" i="17"/>
  <c r="E101" i="17"/>
  <c r="CU99" i="17"/>
  <c r="CQ99" i="17"/>
  <c r="CM99" i="17"/>
  <c r="CI99" i="17"/>
  <c r="CE99" i="17"/>
  <c r="CA99" i="17"/>
  <c r="BW99" i="17"/>
  <c r="BS99" i="17"/>
  <c r="BO99" i="17"/>
  <c r="BK99" i="17"/>
  <c r="BG99" i="17"/>
  <c r="BC99" i="17"/>
  <c r="AY99" i="17"/>
  <c r="AU99" i="17"/>
  <c r="AQ99" i="17"/>
  <c r="AM99" i="17"/>
  <c r="AI99" i="17"/>
  <c r="AE99" i="17"/>
  <c r="AA99" i="17"/>
  <c r="W99" i="17"/>
  <c r="S99" i="17"/>
  <c r="O99" i="17"/>
  <c r="K99" i="17"/>
  <c r="G99" i="17"/>
  <c r="CP95" i="17"/>
  <c r="CX86" i="17"/>
  <c r="CX8" i="17" s="1"/>
  <c r="O117" i="2" s="1"/>
  <c r="P105" i="20" s="1"/>
  <c r="AG105" i="20" s="1"/>
  <c r="CW86" i="17"/>
  <c r="CW8" i="17" s="1"/>
  <c r="N117" i="2" s="1"/>
  <c r="CV86" i="17"/>
  <c r="CV8" i="17" s="1"/>
  <c r="M117" i="2" s="1"/>
  <c r="N105" i="20" s="1"/>
  <c r="AE105" i="20" s="1"/>
  <c r="CU86" i="17"/>
  <c r="CS86" i="17"/>
  <c r="CS8" i="17" s="1"/>
  <c r="CR86" i="17"/>
  <c r="CR8" i="17" s="1"/>
  <c r="CX75" i="17"/>
  <c r="CX91" i="17" s="1"/>
  <c r="CW75" i="17"/>
  <c r="CW91" i="17" s="1"/>
  <c r="CV75" i="17"/>
  <c r="CV91" i="17" s="1"/>
  <c r="CU75" i="17"/>
  <c r="CU91" i="17" s="1"/>
  <c r="CT75" i="17"/>
  <c r="CT91" i="17" s="1"/>
  <c r="CS75" i="17"/>
  <c r="CS91" i="17" s="1"/>
  <c r="CR75" i="17"/>
  <c r="CR91" i="17" s="1"/>
  <c r="CQ75" i="17"/>
  <c r="CQ91" i="17" s="1"/>
  <c r="CP75" i="17"/>
  <c r="CP91" i="17" s="1"/>
  <c r="CO75" i="17"/>
  <c r="CO91" i="17" s="1"/>
  <c r="CN75" i="17"/>
  <c r="CN91" i="17" s="1"/>
  <c r="CM75" i="17"/>
  <c r="CM91" i="17" s="1"/>
  <c r="CL75" i="17"/>
  <c r="CL91" i="17" s="1"/>
  <c r="CK75" i="17"/>
  <c r="CK91" i="17" s="1"/>
  <c r="CJ75" i="17"/>
  <c r="CJ91" i="17" s="1"/>
  <c r="CI75" i="17"/>
  <c r="CI91" i="17" s="1"/>
  <c r="CH75" i="17"/>
  <c r="CH91" i="17" s="1"/>
  <c r="CG75" i="17"/>
  <c r="CG91" i="17" s="1"/>
  <c r="CF75" i="17"/>
  <c r="CF91" i="17" s="1"/>
  <c r="CE75" i="17"/>
  <c r="CE91" i="17" s="1"/>
  <c r="CD75" i="17"/>
  <c r="CD91" i="17" s="1"/>
  <c r="CC75" i="17"/>
  <c r="CC91" i="17" s="1"/>
  <c r="CB75" i="17"/>
  <c r="CB91" i="17" s="1"/>
  <c r="CA75" i="17"/>
  <c r="CA91" i="17" s="1"/>
  <c r="BZ75" i="17"/>
  <c r="BZ91" i="17" s="1"/>
  <c r="BY75" i="17"/>
  <c r="BY91" i="17" s="1"/>
  <c r="BX75" i="17"/>
  <c r="BX91" i="17" s="1"/>
  <c r="BW75" i="17"/>
  <c r="BW91" i="17" s="1"/>
  <c r="BV75" i="17"/>
  <c r="BV91" i="17" s="1"/>
  <c r="BU75" i="17"/>
  <c r="BU91" i="17" s="1"/>
  <c r="BT75" i="17"/>
  <c r="BT91" i="17" s="1"/>
  <c r="BS75" i="17"/>
  <c r="BS91" i="17" s="1"/>
  <c r="BR75" i="17"/>
  <c r="BR91" i="17" s="1"/>
  <c r="BQ75" i="17"/>
  <c r="BQ91" i="17" s="1"/>
  <c r="BP75" i="17"/>
  <c r="BP91" i="17" s="1"/>
  <c r="BO75" i="17"/>
  <c r="BO91" i="17" s="1"/>
  <c r="BN75" i="17"/>
  <c r="BN91" i="17" s="1"/>
  <c r="BM75" i="17"/>
  <c r="BM91" i="17" s="1"/>
  <c r="BL75" i="17"/>
  <c r="BL91" i="17" s="1"/>
  <c r="BK75" i="17"/>
  <c r="BK91" i="17" s="1"/>
  <c r="BJ75" i="17"/>
  <c r="BJ91" i="17" s="1"/>
  <c r="BI75" i="17"/>
  <c r="BI91" i="17" s="1"/>
  <c r="BH75" i="17"/>
  <c r="BH91" i="17" s="1"/>
  <c r="BG75" i="17"/>
  <c r="BG91" i="17" s="1"/>
  <c r="BF75" i="17"/>
  <c r="BF91" i="17" s="1"/>
  <c r="BE75" i="17"/>
  <c r="BE91" i="17" s="1"/>
  <c r="BD75" i="17"/>
  <c r="BD91" i="17" s="1"/>
  <c r="BC75" i="17"/>
  <c r="BC91" i="17" s="1"/>
  <c r="BB75" i="17"/>
  <c r="BB91" i="17" s="1"/>
  <c r="BA75" i="17"/>
  <c r="BA91" i="17" s="1"/>
  <c r="AZ75" i="17"/>
  <c r="AZ91" i="17" s="1"/>
  <c r="AY75" i="17"/>
  <c r="AY91" i="17" s="1"/>
  <c r="AX75" i="17"/>
  <c r="AX91" i="17" s="1"/>
  <c r="AW75" i="17"/>
  <c r="AW91" i="17" s="1"/>
  <c r="AV75" i="17"/>
  <c r="AV91" i="17" s="1"/>
  <c r="AU75" i="17"/>
  <c r="AU91" i="17" s="1"/>
  <c r="AT75" i="17"/>
  <c r="AT91" i="17" s="1"/>
  <c r="AS75" i="17"/>
  <c r="AS91" i="17" s="1"/>
  <c r="AR75" i="17"/>
  <c r="AR91" i="17" s="1"/>
  <c r="AQ75" i="17"/>
  <c r="AQ91" i="17" s="1"/>
  <c r="AP75" i="17"/>
  <c r="AP91" i="17" s="1"/>
  <c r="AO75" i="17"/>
  <c r="AO91" i="17" s="1"/>
  <c r="AN75" i="17"/>
  <c r="AN91" i="17" s="1"/>
  <c r="AM75" i="17"/>
  <c r="AM91" i="17" s="1"/>
  <c r="AL75" i="17"/>
  <c r="AL91" i="17" s="1"/>
  <c r="AK75" i="17"/>
  <c r="AK91" i="17" s="1"/>
  <c r="AJ75" i="17"/>
  <c r="AJ91" i="17" s="1"/>
  <c r="AI75" i="17"/>
  <c r="AI91" i="17" s="1"/>
  <c r="AH75" i="17"/>
  <c r="AH91" i="17" s="1"/>
  <c r="AG75" i="17"/>
  <c r="AG91" i="17" s="1"/>
  <c r="AF75" i="17"/>
  <c r="AF91" i="17" s="1"/>
  <c r="AE75" i="17"/>
  <c r="AE91" i="17" s="1"/>
  <c r="AD75" i="17"/>
  <c r="AD91" i="17" s="1"/>
  <c r="AC75" i="17"/>
  <c r="AC91" i="17" s="1"/>
  <c r="AB75" i="17"/>
  <c r="AB91" i="17" s="1"/>
  <c r="AA75" i="17"/>
  <c r="AA91" i="17" s="1"/>
  <c r="Z75" i="17"/>
  <c r="Z91" i="17" s="1"/>
  <c r="Y75" i="17"/>
  <c r="Y91" i="17" s="1"/>
  <c r="X75" i="17"/>
  <c r="X91" i="17" s="1"/>
  <c r="W75" i="17"/>
  <c r="W91" i="17" s="1"/>
  <c r="V75" i="17"/>
  <c r="V91" i="17" s="1"/>
  <c r="U75" i="17"/>
  <c r="U91" i="17" s="1"/>
  <c r="T75" i="17"/>
  <c r="T91" i="17" s="1"/>
  <c r="S75" i="17"/>
  <c r="S91" i="17" s="1"/>
  <c r="R75" i="17"/>
  <c r="R91" i="17" s="1"/>
  <c r="Q75" i="17"/>
  <c r="Q91" i="17" s="1"/>
  <c r="P75" i="17"/>
  <c r="P91" i="17" s="1"/>
  <c r="O75" i="17"/>
  <c r="O91" i="17" s="1"/>
  <c r="N75" i="17"/>
  <c r="N91" i="17" s="1"/>
  <c r="M75" i="17"/>
  <c r="M91" i="17" s="1"/>
  <c r="L75" i="17"/>
  <c r="L91" i="17" s="1"/>
  <c r="K75" i="17"/>
  <c r="K91" i="17" s="1"/>
  <c r="J75" i="17"/>
  <c r="J91" i="17" s="1"/>
  <c r="I75" i="17"/>
  <c r="I91" i="17" s="1"/>
  <c r="H75" i="17"/>
  <c r="H91" i="17" s="1"/>
  <c r="G75" i="17"/>
  <c r="G91" i="17" s="1"/>
  <c r="A71" i="17"/>
  <c r="A70" i="17"/>
  <c r="A66" i="17"/>
  <c r="A63" i="17"/>
  <c r="A60" i="17"/>
  <c r="CU58" i="17"/>
  <c r="CQ58" i="17"/>
  <c r="CM58" i="17"/>
  <c r="CI58" i="17"/>
  <c r="CE58" i="17"/>
  <c r="CA58" i="17"/>
  <c r="BW58" i="17"/>
  <c r="BS58" i="17"/>
  <c r="BO58" i="17"/>
  <c r="BK58" i="17"/>
  <c r="BG58" i="17"/>
  <c r="BC58" i="17"/>
  <c r="AY58" i="17"/>
  <c r="AU58" i="17"/>
  <c r="AQ58" i="17"/>
  <c r="AM58" i="17"/>
  <c r="AI58" i="17"/>
  <c r="AE58" i="17"/>
  <c r="AA58" i="17"/>
  <c r="W58" i="17"/>
  <c r="S58" i="17"/>
  <c r="O58" i="17"/>
  <c r="K58" i="17"/>
  <c r="G58" i="17"/>
  <c r="E46" i="17"/>
  <c r="CX45" i="17"/>
  <c r="CX50" i="17" s="1"/>
  <c r="CW45" i="17"/>
  <c r="CW50" i="17" s="1"/>
  <c r="CV45" i="17"/>
  <c r="CV50" i="17" s="1"/>
  <c r="CU45" i="17"/>
  <c r="CU50" i="17" s="1"/>
  <c r="CT45" i="17"/>
  <c r="CT50" i="17" s="1"/>
  <c r="CS45" i="17"/>
  <c r="CS50" i="17" s="1"/>
  <c r="CR45" i="17"/>
  <c r="CR50" i="17" s="1"/>
  <c r="CQ45" i="17"/>
  <c r="CQ50" i="17" s="1"/>
  <c r="CP45" i="17"/>
  <c r="CP50" i="17" s="1"/>
  <c r="CO45" i="17"/>
  <c r="CO50" i="17" s="1"/>
  <c r="CN45" i="17"/>
  <c r="CN50" i="17" s="1"/>
  <c r="CM45" i="17"/>
  <c r="CM50" i="17" s="1"/>
  <c r="CL45" i="17"/>
  <c r="CL50" i="17" s="1"/>
  <c r="CK45" i="17"/>
  <c r="CK50" i="17" s="1"/>
  <c r="CJ45" i="17"/>
  <c r="CJ50" i="17" s="1"/>
  <c r="CI45" i="17"/>
  <c r="CI50" i="17" s="1"/>
  <c r="CH45" i="17"/>
  <c r="CH50" i="17" s="1"/>
  <c r="CG45" i="17"/>
  <c r="CG50" i="17" s="1"/>
  <c r="CF45" i="17"/>
  <c r="CF50" i="17" s="1"/>
  <c r="CE45" i="17"/>
  <c r="CE50" i="17" s="1"/>
  <c r="CD45" i="17"/>
  <c r="CD50" i="17" s="1"/>
  <c r="CC45" i="17"/>
  <c r="CC50" i="17" s="1"/>
  <c r="CB45" i="17"/>
  <c r="CB50" i="17" s="1"/>
  <c r="CA45" i="17"/>
  <c r="CA50" i="17" s="1"/>
  <c r="BZ45" i="17"/>
  <c r="BZ50" i="17" s="1"/>
  <c r="BY45" i="17"/>
  <c r="BY50" i="17" s="1"/>
  <c r="BX45" i="17"/>
  <c r="BX50" i="17" s="1"/>
  <c r="BW45" i="17"/>
  <c r="BW50" i="17" s="1"/>
  <c r="BV45" i="17"/>
  <c r="BV50" i="17" s="1"/>
  <c r="BU45" i="17"/>
  <c r="BU50" i="17" s="1"/>
  <c r="BT45" i="17"/>
  <c r="BT50" i="17" s="1"/>
  <c r="BS45" i="17"/>
  <c r="BS50" i="17" s="1"/>
  <c r="BR45" i="17"/>
  <c r="BR50" i="17" s="1"/>
  <c r="BQ45" i="17"/>
  <c r="BQ50" i="17" s="1"/>
  <c r="BP45" i="17"/>
  <c r="BP50" i="17" s="1"/>
  <c r="BO45" i="17"/>
  <c r="BO50" i="17" s="1"/>
  <c r="BN45" i="17"/>
  <c r="BN50" i="17" s="1"/>
  <c r="BM45" i="17"/>
  <c r="BM50" i="17" s="1"/>
  <c r="BL45" i="17"/>
  <c r="BL50" i="17" s="1"/>
  <c r="BK45" i="17"/>
  <c r="BK50" i="17" s="1"/>
  <c r="BJ45" i="17"/>
  <c r="BJ50" i="17" s="1"/>
  <c r="BI45" i="17"/>
  <c r="BI50" i="17" s="1"/>
  <c r="BH45" i="17"/>
  <c r="BH50" i="17" s="1"/>
  <c r="BG45" i="17"/>
  <c r="BG50" i="17" s="1"/>
  <c r="BF45" i="17"/>
  <c r="BF50" i="17" s="1"/>
  <c r="BE45" i="17"/>
  <c r="BE50" i="17" s="1"/>
  <c r="BD45" i="17"/>
  <c r="BD50" i="17" s="1"/>
  <c r="BC45" i="17"/>
  <c r="BC50" i="17" s="1"/>
  <c r="BB45" i="17"/>
  <c r="BB50" i="17" s="1"/>
  <c r="BA45" i="17"/>
  <c r="BA50" i="17" s="1"/>
  <c r="AZ45" i="17"/>
  <c r="AZ50" i="17" s="1"/>
  <c r="AY45" i="17"/>
  <c r="AY50" i="17" s="1"/>
  <c r="AX45" i="17"/>
  <c r="AX50" i="17" s="1"/>
  <c r="AW45" i="17"/>
  <c r="AW50" i="17" s="1"/>
  <c r="AV45" i="17"/>
  <c r="AV50" i="17" s="1"/>
  <c r="AU45" i="17"/>
  <c r="AU50" i="17" s="1"/>
  <c r="AT45" i="17"/>
  <c r="AT50" i="17" s="1"/>
  <c r="AS45" i="17"/>
  <c r="AS50" i="17" s="1"/>
  <c r="AR45" i="17"/>
  <c r="AR50" i="17" s="1"/>
  <c r="AQ45" i="17"/>
  <c r="AQ50" i="17" s="1"/>
  <c r="AP45" i="17"/>
  <c r="AP50" i="17" s="1"/>
  <c r="AO45" i="17"/>
  <c r="AO50" i="17" s="1"/>
  <c r="AN45" i="17"/>
  <c r="AN50" i="17" s="1"/>
  <c r="AM45" i="17"/>
  <c r="AM50" i="17" s="1"/>
  <c r="AL45" i="17"/>
  <c r="AL50" i="17" s="1"/>
  <c r="AK45" i="17"/>
  <c r="AK50" i="17" s="1"/>
  <c r="AJ45" i="17"/>
  <c r="AJ50" i="17" s="1"/>
  <c r="AI45" i="17"/>
  <c r="AI50" i="17" s="1"/>
  <c r="AH45" i="17"/>
  <c r="AH50" i="17" s="1"/>
  <c r="AG45" i="17"/>
  <c r="AG50" i="17" s="1"/>
  <c r="AF45" i="17"/>
  <c r="AF50" i="17" s="1"/>
  <c r="AE45" i="17"/>
  <c r="AE50" i="17" s="1"/>
  <c r="AD45" i="17"/>
  <c r="AD50" i="17" s="1"/>
  <c r="AC45" i="17"/>
  <c r="AC50" i="17" s="1"/>
  <c r="AB45" i="17"/>
  <c r="AB50" i="17" s="1"/>
  <c r="AA45" i="17"/>
  <c r="AA50" i="17" s="1"/>
  <c r="Z45" i="17"/>
  <c r="Z50" i="17" s="1"/>
  <c r="Y45" i="17"/>
  <c r="Y50" i="17" s="1"/>
  <c r="X45" i="17"/>
  <c r="X50" i="17" s="1"/>
  <c r="W45" i="17"/>
  <c r="W50" i="17" s="1"/>
  <c r="V45" i="17"/>
  <c r="V50" i="17" s="1"/>
  <c r="U45" i="17"/>
  <c r="U50" i="17" s="1"/>
  <c r="T45" i="17"/>
  <c r="T50" i="17" s="1"/>
  <c r="S45" i="17"/>
  <c r="S50" i="17" s="1"/>
  <c r="R45" i="17"/>
  <c r="R50" i="17" s="1"/>
  <c r="Q45" i="17"/>
  <c r="Q50" i="17" s="1"/>
  <c r="P45" i="17"/>
  <c r="P50" i="17" s="1"/>
  <c r="O45" i="17"/>
  <c r="O50" i="17" s="1"/>
  <c r="N45" i="17"/>
  <c r="N50" i="17" s="1"/>
  <c r="M45" i="17"/>
  <c r="M50" i="17" s="1"/>
  <c r="L45" i="17"/>
  <c r="L50" i="17" s="1"/>
  <c r="K45" i="17"/>
  <c r="K50" i="17" s="1"/>
  <c r="J45" i="17"/>
  <c r="J50" i="17" s="1"/>
  <c r="I45" i="17"/>
  <c r="I50" i="17" s="1"/>
  <c r="H45" i="17"/>
  <c r="H50" i="17" s="1"/>
  <c r="G45" i="17"/>
  <c r="G50" i="17" s="1"/>
  <c r="A41" i="17"/>
  <c r="CU39" i="17"/>
  <c r="CQ39" i="17"/>
  <c r="CM39" i="17"/>
  <c r="CI39" i="17"/>
  <c r="CE39" i="17"/>
  <c r="CA39" i="17"/>
  <c r="BW39" i="17"/>
  <c r="BS39" i="17"/>
  <c r="BO39" i="17"/>
  <c r="BK39" i="17"/>
  <c r="BG39" i="17"/>
  <c r="BC39" i="17"/>
  <c r="AY39" i="17"/>
  <c r="AU39" i="17"/>
  <c r="AQ39" i="17"/>
  <c r="AM39" i="17"/>
  <c r="AI39" i="17"/>
  <c r="AE39" i="17"/>
  <c r="AA39" i="17"/>
  <c r="W39" i="17"/>
  <c r="S39" i="17"/>
  <c r="O39" i="17"/>
  <c r="K39" i="17"/>
  <c r="G39" i="17"/>
  <c r="E27" i="17"/>
  <c r="CX26" i="17"/>
  <c r="CX31" i="17" s="1"/>
  <c r="CW26" i="17"/>
  <c r="CW31" i="17" s="1"/>
  <c r="CV26" i="17"/>
  <c r="CV31" i="17" s="1"/>
  <c r="CU26" i="17"/>
  <c r="CU31" i="17" s="1"/>
  <c r="CT26" i="17"/>
  <c r="CT31" i="17" s="1"/>
  <c r="CS26" i="17"/>
  <c r="CS31" i="17" s="1"/>
  <c r="CR26" i="17"/>
  <c r="CR31" i="17" s="1"/>
  <c r="CQ26" i="17"/>
  <c r="CQ31" i="17" s="1"/>
  <c r="CP26" i="17"/>
  <c r="CP31" i="17" s="1"/>
  <c r="CO26" i="17"/>
  <c r="CO31" i="17" s="1"/>
  <c r="CN26" i="17"/>
  <c r="CN31" i="17" s="1"/>
  <c r="CM26" i="17"/>
  <c r="CM31" i="17" s="1"/>
  <c r="CL26" i="17"/>
  <c r="CL31" i="17" s="1"/>
  <c r="CK26" i="17"/>
  <c r="CK31" i="17" s="1"/>
  <c r="CJ26" i="17"/>
  <c r="CJ31" i="17" s="1"/>
  <c r="CI26" i="17"/>
  <c r="CI31" i="17" s="1"/>
  <c r="CH26" i="17"/>
  <c r="CH31" i="17" s="1"/>
  <c r="CG26" i="17"/>
  <c r="CG31" i="17" s="1"/>
  <c r="CF26" i="17"/>
  <c r="CF31" i="17" s="1"/>
  <c r="CE26" i="17"/>
  <c r="CE31" i="17" s="1"/>
  <c r="CD26" i="17"/>
  <c r="CD31" i="17" s="1"/>
  <c r="CC26" i="17"/>
  <c r="CC31" i="17" s="1"/>
  <c r="CB26" i="17"/>
  <c r="CB31" i="17" s="1"/>
  <c r="CA26" i="17"/>
  <c r="CA31" i="17" s="1"/>
  <c r="BZ26" i="17"/>
  <c r="BZ31" i="17" s="1"/>
  <c r="BY26" i="17"/>
  <c r="BY31" i="17" s="1"/>
  <c r="BX26" i="17"/>
  <c r="BX31" i="17" s="1"/>
  <c r="BW26" i="17"/>
  <c r="BW31" i="17" s="1"/>
  <c r="BV26" i="17"/>
  <c r="BV31" i="17" s="1"/>
  <c r="BU26" i="17"/>
  <c r="BU31" i="17" s="1"/>
  <c r="BT26" i="17"/>
  <c r="BT31" i="17" s="1"/>
  <c r="BS26" i="17"/>
  <c r="BS31" i="17" s="1"/>
  <c r="BR26" i="17"/>
  <c r="BR31" i="17" s="1"/>
  <c r="BQ26" i="17"/>
  <c r="BQ31" i="17" s="1"/>
  <c r="BP26" i="17"/>
  <c r="BP31" i="17" s="1"/>
  <c r="BO26" i="17"/>
  <c r="BO31" i="17" s="1"/>
  <c r="BN26" i="17"/>
  <c r="BN31" i="17" s="1"/>
  <c r="BM26" i="17"/>
  <c r="BM31" i="17" s="1"/>
  <c r="BL26" i="17"/>
  <c r="BL31" i="17" s="1"/>
  <c r="BK26" i="17"/>
  <c r="BK31" i="17" s="1"/>
  <c r="BJ26" i="17"/>
  <c r="BJ31" i="17" s="1"/>
  <c r="BI26" i="17"/>
  <c r="BI31" i="17" s="1"/>
  <c r="BH26" i="17"/>
  <c r="BH31" i="17" s="1"/>
  <c r="BG26" i="17"/>
  <c r="BG31" i="17" s="1"/>
  <c r="BF26" i="17"/>
  <c r="BF31" i="17" s="1"/>
  <c r="BE26" i="17"/>
  <c r="BE31" i="17" s="1"/>
  <c r="BD26" i="17"/>
  <c r="BD31" i="17" s="1"/>
  <c r="BC26" i="17"/>
  <c r="BC31" i="17" s="1"/>
  <c r="BB26" i="17"/>
  <c r="BB31" i="17" s="1"/>
  <c r="BA26" i="17"/>
  <c r="BA31" i="17" s="1"/>
  <c r="AZ26" i="17"/>
  <c r="AZ31" i="17" s="1"/>
  <c r="AY26" i="17"/>
  <c r="AY31" i="17" s="1"/>
  <c r="AX26" i="17"/>
  <c r="AX31" i="17" s="1"/>
  <c r="AW26" i="17"/>
  <c r="AW31" i="17" s="1"/>
  <c r="AV26" i="17"/>
  <c r="AV31" i="17" s="1"/>
  <c r="AU26" i="17"/>
  <c r="AU31" i="17" s="1"/>
  <c r="AT26" i="17"/>
  <c r="AT31" i="17" s="1"/>
  <c r="AS26" i="17"/>
  <c r="AS31" i="17" s="1"/>
  <c r="AR26" i="17"/>
  <c r="AR31" i="17" s="1"/>
  <c r="AQ26" i="17"/>
  <c r="AQ31" i="17" s="1"/>
  <c r="AP26" i="17"/>
  <c r="AP31" i="17" s="1"/>
  <c r="AO26" i="17"/>
  <c r="AO31" i="17" s="1"/>
  <c r="AN26" i="17"/>
  <c r="AN31" i="17" s="1"/>
  <c r="AM26" i="17"/>
  <c r="AM31" i="17" s="1"/>
  <c r="AL26" i="17"/>
  <c r="AL31" i="17" s="1"/>
  <c r="AK26" i="17"/>
  <c r="AK31" i="17" s="1"/>
  <c r="AJ26" i="17"/>
  <c r="AJ31" i="17" s="1"/>
  <c r="AI26" i="17"/>
  <c r="AI31" i="17" s="1"/>
  <c r="AH26" i="17"/>
  <c r="AH31" i="17" s="1"/>
  <c r="AG26" i="17"/>
  <c r="AG31" i="17" s="1"/>
  <c r="AF26" i="17"/>
  <c r="AF31" i="17" s="1"/>
  <c r="AE26" i="17"/>
  <c r="AE31" i="17" s="1"/>
  <c r="AD26" i="17"/>
  <c r="AD31" i="17" s="1"/>
  <c r="AC26" i="17"/>
  <c r="AC31" i="17" s="1"/>
  <c r="AB26" i="17"/>
  <c r="AB31" i="17" s="1"/>
  <c r="AA26" i="17"/>
  <c r="AA31" i="17" s="1"/>
  <c r="Z26" i="17"/>
  <c r="Z31" i="17" s="1"/>
  <c r="Y26" i="17"/>
  <c r="Y31" i="17" s="1"/>
  <c r="X26" i="17"/>
  <c r="X31" i="17" s="1"/>
  <c r="W26" i="17"/>
  <c r="W31" i="17" s="1"/>
  <c r="V26" i="17"/>
  <c r="V31" i="17" s="1"/>
  <c r="U26" i="17"/>
  <c r="U31" i="17" s="1"/>
  <c r="T26" i="17"/>
  <c r="T31" i="17" s="1"/>
  <c r="S26" i="17"/>
  <c r="S31" i="17" s="1"/>
  <c r="R26" i="17"/>
  <c r="R31" i="17" s="1"/>
  <c r="Q26" i="17"/>
  <c r="Q31" i="17" s="1"/>
  <c r="P26" i="17"/>
  <c r="P31" i="17" s="1"/>
  <c r="O26" i="17"/>
  <c r="O31" i="17" s="1"/>
  <c r="N26" i="17"/>
  <c r="N31" i="17" s="1"/>
  <c r="M26" i="17"/>
  <c r="M31" i="17" s="1"/>
  <c r="L26" i="17"/>
  <c r="L31" i="17" s="1"/>
  <c r="K26" i="17"/>
  <c r="K31" i="17" s="1"/>
  <c r="J26" i="17"/>
  <c r="J31" i="17" s="1"/>
  <c r="I26" i="17"/>
  <c r="I31" i="17" s="1"/>
  <c r="H26" i="17"/>
  <c r="H31" i="17" s="1"/>
  <c r="G26" i="17"/>
  <c r="G31" i="17" s="1"/>
  <c r="A22" i="17"/>
  <c r="CU20" i="17"/>
  <c r="CQ20" i="17"/>
  <c r="CM20" i="17"/>
  <c r="CI20" i="17"/>
  <c r="CE20" i="17"/>
  <c r="CA20" i="17"/>
  <c r="BW20" i="17"/>
  <c r="BS20" i="17"/>
  <c r="BO20" i="17"/>
  <c r="BK20" i="17"/>
  <c r="BG20" i="17"/>
  <c r="BC20" i="17"/>
  <c r="AY20" i="17"/>
  <c r="AU20" i="17"/>
  <c r="AQ20" i="17"/>
  <c r="AM20" i="17"/>
  <c r="AI20" i="17"/>
  <c r="AE20" i="17"/>
  <c r="AA20" i="17"/>
  <c r="W20" i="17"/>
  <c r="S20" i="17"/>
  <c r="O20" i="17"/>
  <c r="K20" i="17"/>
  <c r="G20" i="17"/>
  <c r="CV7" i="17"/>
  <c r="M116" i="2" s="1"/>
  <c r="CU7" i="17"/>
  <c r="L116" i="2" s="1"/>
  <c r="M104" i="20" s="1"/>
  <c r="AD104" i="20" s="1"/>
  <c r="CR7" i="17"/>
  <c r="CX6" i="17"/>
  <c r="O115" i="2" s="1"/>
  <c r="P103" i="20" s="1"/>
  <c r="AG103" i="20" s="1"/>
  <c r="CW6" i="17"/>
  <c r="N115" i="2" s="1"/>
  <c r="CV6" i="17"/>
  <c r="M115" i="2" s="1"/>
  <c r="N103" i="20" s="1"/>
  <c r="AE103" i="20" s="1"/>
  <c r="CU6" i="17"/>
  <c r="L115" i="2" s="1"/>
  <c r="CT6" i="17"/>
  <c r="CR6" i="17"/>
  <c r="CU4" i="17"/>
  <c r="CQ4" i="17"/>
  <c r="CM4" i="17"/>
  <c r="CI4" i="17"/>
  <c r="CE4" i="17"/>
  <c r="CA4" i="17"/>
  <c r="BW4" i="17"/>
  <c r="BS4" i="17"/>
  <c r="BO4" i="17"/>
  <c r="BK4" i="17"/>
  <c r="BG4" i="17"/>
  <c r="BC4" i="17"/>
  <c r="AY4" i="17"/>
  <c r="AU4" i="17"/>
  <c r="AQ4" i="17"/>
  <c r="AM4" i="17"/>
  <c r="AI4" i="17"/>
  <c r="AE4" i="17"/>
  <c r="AA4" i="17"/>
  <c r="W4" i="17"/>
  <c r="S4" i="17"/>
  <c r="O4" i="17"/>
  <c r="K4" i="17"/>
  <c r="G4" i="17"/>
  <c r="AD458" i="12"/>
  <c r="AC458" i="12"/>
  <c r="AB458" i="12"/>
  <c r="AA458" i="12"/>
  <c r="Z458" i="12"/>
  <c r="Y458" i="12"/>
  <c r="X458" i="12"/>
  <c r="W458" i="12"/>
  <c r="V458" i="12"/>
  <c r="U458" i="12"/>
  <c r="T458" i="12"/>
  <c r="S458" i="12"/>
  <c r="R458" i="12"/>
  <c r="Q458" i="12"/>
  <c r="P458" i="12"/>
  <c r="O458" i="12"/>
  <c r="N458" i="12"/>
  <c r="M458" i="12"/>
  <c r="L458" i="12"/>
  <c r="K458" i="12"/>
  <c r="J458" i="12"/>
  <c r="I458" i="12"/>
  <c r="H458" i="12"/>
  <c r="G458" i="12"/>
  <c r="AD455" i="12"/>
  <c r="AC455" i="12"/>
  <c r="AB455" i="12"/>
  <c r="AA455" i="12"/>
  <c r="Z455" i="12"/>
  <c r="Y455" i="12"/>
  <c r="X455" i="12"/>
  <c r="W455" i="12"/>
  <c r="V455" i="12"/>
  <c r="U455" i="12"/>
  <c r="T455" i="12"/>
  <c r="S455" i="12"/>
  <c r="R455" i="12"/>
  <c r="Q455" i="12"/>
  <c r="P455" i="12"/>
  <c r="O455" i="12"/>
  <c r="N455" i="12"/>
  <c r="M455" i="12"/>
  <c r="L455" i="12"/>
  <c r="K455" i="12"/>
  <c r="J455" i="12"/>
  <c r="I455" i="12"/>
  <c r="H455" i="12"/>
  <c r="G455" i="12"/>
  <c r="AD450" i="12"/>
  <c r="AC450" i="12"/>
  <c r="AB450" i="12"/>
  <c r="AA450" i="12"/>
  <c r="Z450" i="12"/>
  <c r="Y450" i="12"/>
  <c r="X450" i="12"/>
  <c r="W450" i="12"/>
  <c r="V450" i="12"/>
  <c r="U450" i="12"/>
  <c r="T450" i="12"/>
  <c r="S450" i="12"/>
  <c r="R450" i="12"/>
  <c r="Q450" i="12"/>
  <c r="P450" i="12"/>
  <c r="O450" i="12"/>
  <c r="N450" i="12"/>
  <c r="M450" i="12"/>
  <c r="L450" i="12"/>
  <c r="K450" i="12"/>
  <c r="J450" i="12"/>
  <c r="I450" i="12"/>
  <c r="H450" i="12"/>
  <c r="G450" i="12"/>
  <c r="AD445" i="12"/>
  <c r="AC445" i="12"/>
  <c r="AB445" i="12"/>
  <c r="AA445" i="12"/>
  <c r="Z445" i="12"/>
  <c r="Y445" i="12"/>
  <c r="X445" i="12"/>
  <c r="W445" i="12"/>
  <c r="V445" i="12"/>
  <c r="U445" i="12"/>
  <c r="T445" i="12"/>
  <c r="S445" i="12"/>
  <c r="R445" i="12"/>
  <c r="Q445" i="12"/>
  <c r="P445" i="12"/>
  <c r="O445" i="12"/>
  <c r="N445" i="12"/>
  <c r="M445" i="12"/>
  <c r="L445" i="12"/>
  <c r="K445" i="12"/>
  <c r="J445" i="12"/>
  <c r="I445" i="12"/>
  <c r="H445" i="12"/>
  <c r="G445" i="12"/>
  <c r="AD440" i="12"/>
  <c r="AC440" i="12"/>
  <c r="AB440" i="12"/>
  <c r="AA440" i="12"/>
  <c r="Z440" i="12"/>
  <c r="Y440" i="12"/>
  <c r="X440" i="12"/>
  <c r="W440" i="12"/>
  <c r="V440" i="12"/>
  <c r="U440" i="12"/>
  <c r="T440" i="12"/>
  <c r="S440" i="12"/>
  <c r="R440" i="12"/>
  <c r="Q440" i="12"/>
  <c r="P440" i="12"/>
  <c r="O440" i="12"/>
  <c r="N440" i="12"/>
  <c r="M440" i="12"/>
  <c r="L440" i="12"/>
  <c r="K440" i="12"/>
  <c r="J440" i="12"/>
  <c r="I440" i="12"/>
  <c r="H440" i="12"/>
  <c r="G440" i="12"/>
  <c r="AD435" i="12"/>
  <c r="AC435" i="12"/>
  <c r="AB435" i="12"/>
  <c r="AA435" i="12"/>
  <c r="Z435" i="12"/>
  <c r="Y435" i="12"/>
  <c r="X435" i="12"/>
  <c r="W435" i="12"/>
  <c r="V435" i="12"/>
  <c r="U435" i="12"/>
  <c r="T435" i="12"/>
  <c r="S435" i="12"/>
  <c r="R435" i="12"/>
  <c r="Q435" i="12"/>
  <c r="P435" i="12"/>
  <c r="O435" i="12"/>
  <c r="N435" i="12"/>
  <c r="M435" i="12"/>
  <c r="L435" i="12"/>
  <c r="K435" i="12"/>
  <c r="J435" i="12"/>
  <c r="I435" i="12"/>
  <c r="H435" i="12"/>
  <c r="G435" i="12"/>
  <c r="AD432" i="12"/>
  <c r="AC432" i="12"/>
  <c r="AB432" i="12"/>
  <c r="AA432" i="12"/>
  <c r="Z432" i="12"/>
  <c r="Y432" i="12"/>
  <c r="X432" i="12"/>
  <c r="W432" i="12"/>
  <c r="V432" i="12"/>
  <c r="U432" i="12"/>
  <c r="T432" i="12"/>
  <c r="S432" i="12"/>
  <c r="R432" i="12"/>
  <c r="Q432" i="12"/>
  <c r="P432" i="12"/>
  <c r="O432" i="12"/>
  <c r="N432" i="12"/>
  <c r="M432" i="12"/>
  <c r="L432" i="12"/>
  <c r="K432" i="12"/>
  <c r="J432" i="12"/>
  <c r="I432" i="12"/>
  <c r="H432" i="12"/>
  <c r="G432" i="12"/>
  <c r="AD429" i="12"/>
  <c r="AC429" i="12"/>
  <c r="AB429" i="12"/>
  <c r="AA429" i="12"/>
  <c r="Z429" i="12"/>
  <c r="Y429" i="12"/>
  <c r="X429" i="12"/>
  <c r="W429" i="12"/>
  <c r="V429" i="12"/>
  <c r="U429" i="12"/>
  <c r="T429" i="12"/>
  <c r="S429" i="12"/>
  <c r="R429" i="12"/>
  <c r="Q429" i="12"/>
  <c r="P429" i="12"/>
  <c r="O429" i="12"/>
  <c r="N429" i="12"/>
  <c r="M429" i="12"/>
  <c r="L429" i="12"/>
  <c r="K429" i="12"/>
  <c r="J429" i="12"/>
  <c r="I429" i="12"/>
  <c r="H429" i="12"/>
  <c r="G429" i="12"/>
  <c r="AD426" i="12"/>
  <c r="AC426" i="12"/>
  <c r="AB426" i="12"/>
  <c r="AA426" i="12"/>
  <c r="Z426" i="12"/>
  <c r="Y426" i="12"/>
  <c r="X426" i="12"/>
  <c r="W426" i="12"/>
  <c r="V426" i="12"/>
  <c r="U426" i="12"/>
  <c r="T426" i="12"/>
  <c r="S426" i="12"/>
  <c r="R426" i="12"/>
  <c r="Q426" i="12"/>
  <c r="P426" i="12"/>
  <c r="O426" i="12"/>
  <c r="N426" i="12"/>
  <c r="M426" i="12"/>
  <c r="L426" i="12"/>
  <c r="K426" i="12"/>
  <c r="J426" i="12"/>
  <c r="I426" i="12"/>
  <c r="H426" i="12"/>
  <c r="G426" i="12"/>
  <c r="AD423" i="12"/>
  <c r="AC423" i="12"/>
  <c r="AB423" i="12"/>
  <c r="AA423" i="12"/>
  <c r="Z423" i="12"/>
  <c r="Y423" i="12"/>
  <c r="X423" i="12"/>
  <c r="W423" i="12"/>
  <c r="V423" i="12"/>
  <c r="U423" i="12"/>
  <c r="T423" i="12"/>
  <c r="S423" i="12"/>
  <c r="R423" i="12"/>
  <c r="Q423" i="12"/>
  <c r="P423" i="12"/>
  <c r="O423" i="12"/>
  <c r="N423" i="12"/>
  <c r="M423" i="12"/>
  <c r="L423" i="12"/>
  <c r="K423" i="12"/>
  <c r="J423" i="12"/>
  <c r="I423" i="12"/>
  <c r="H423" i="12"/>
  <c r="G423" i="12"/>
  <c r="AD411" i="12"/>
  <c r="AC411" i="12"/>
  <c r="AB411" i="12"/>
  <c r="AA411" i="12"/>
  <c r="Z411" i="12"/>
  <c r="Y411" i="12"/>
  <c r="X411" i="12"/>
  <c r="W411" i="12"/>
  <c r="V411" i="12"/>
  <c r="U411" i="12"/>
  <c r="T411" i="12"/>
  <c r="S411" i="12"/>
  <c r="R411" i="12"/>
  <c r="Q411" i="12"/>
  <c r="P411" i="12"/>
  <c r="O411" i="12"/>
  <c r="N411" i="12"/>
  <c r="M411" i="12"/>
  <c r="L411" i="12"/>
  <c r="K411" i="12"/>
  <c r="J411" i="12"/>
  <c r="I411" i="12"/>
  <c r="H411" i="12"/>
  <c r="G411" i="12"/>
  <c r="AD399" i="12"/>
  <c r="AC399" i="12"/>
  <c r="AB399" i="12"/>
  <c r="AA399" i="12"/>
  <c r="Z399" i="12"/>
  <c r="Y399" i="12"/>
  <c r="X399" i="12"/>
  <c r="W399" i="12"/>
  <c r="V399" i="12"/>
  <c r="U399" i="12"/>
  <c r="T399" i="12"/>
  <c r="S399" i="12"/>
  <c r="R399" i="12"/>
  <c r="Q399" i="12"/>
  <c r="P399" i="12"/>
  <c r="O399" i="12"/>
  <c r="N399" i="12"/>
  <c r="M399" i="12"/>
  <c r="L399" i="12"/>
  <c r="K399" i="12"/>
  <c r="J399" i="12"/>
  <c r="I399" i="12"/>
  <c r="H399" i="12"/>
  <c r="G399" i="12"/>
  <c r="AD396" i="12"/>
  <c r="AC396" i="12"/>
  <c r="AB396" i="12"/>
  <c r="AA396" i="12"/>
  <c r="Z396" i="12"/>
  <c r="Y396" i="12"/>
  <c r="X396" i="12"/>
  <c r="W396" i="12"/>
  <c r="V396" i="12"/>
  <c r="U396" i="12"/>
  <c r="T396" i="12"/>
  <c r="S396" i="12"/>
  <c r="R396" i="12"/>
  <c r="Q396" i="12"/>
  <c r="P396" i="12"/>
  <c r="O396" i="12"/>
  <c r="N396" i="12"/>
  <c r="M396" i="12"/>
  <c r="L396" i="12"/>
  <c r="K396" i="12"/>
  <c r="J396" i="12"/>
  <c r="I396" i="12"/>
  <c r="H396" i="12"/>
  <c r="G396" i="12"/>
  <c r="AD393" i="12"/>
  <c r="AC393" i="12"/>
  <c r="AB393" i="12"/>
  <c r="AA393" i="12"/>
  <c r="Z393" i="12"/>
  <c r="Y393" i="12"/>
  <c r="X393" i="12"/>
  <c r="W393" i="12"/>
  <c r="V393" i="12"/>
  <c r="U393" i="12"/>
  <c r="T393" i="12"/>
  <c r="S393" i="12"/>
  <c r="R393" i="12"/>
  <c r="Q393" i="12"/>
  <c r="P393" i="12"/>
  <c r="O393" i="12"/>
  <c r="N393" i="12"/>
  <c r="M393" i="12"/>
  <c r="L393" i="12"/>
  <c r="K393" i="12"/>
  <c r="J393" i="12"/>
  <c r="I393" i="12"/>
  <c r="H393" i="12"/>
  <c r="G393" i="12"/>
  <c r="AD390" i="12"/>
  <c r="AC390" i="12"/>
  <c r="AB390" i="12"/>
  <c r="AA390" i="12"/>
  <c r="Z390" i="12"/>
  <c r="Y390" i="12"/>
  <c r="X390" i="12"/>
  <c r="W390" i="12"/>
  <c r="V390" i="12"/>
  <c r="U390" i="12"/>
  <c r="T390" i="12"/>
  <c r="S390" i="12"/>
  <c r="R390" i="12"/>
  <c r="Q390" i="12"/>
  <c r="P390" i="12"/>
  <c r="O390" i="12"/>
  <c r="N390" i="12"/>
  <c r="M390" i="12"/>
  <c r="L390" i="12"/>
  <c r="K390" i="12"/>
  <c r="J390" i="12"/>
  <c r="I390" i="12"/>
  <c r="H390" i="12"/>
  <c r="G390" i="12"/>
  <c r="AD387" i="12"/>
  <c r="AC387" i="12"/>
  <c r="AB387" i="12"/>
  <c r="AA387" i="12"/>
  <c r="Z387" i="12"/>
  <c r="Y387" i="12"/>
  <c r="X387" i="12"/>
  <c r="W387" i="12"/>
  <c r="V387" i="12"/>
  <c r="U387" i="12"/>
  <c r="T387" i="12"/>
  <c r="S387" i="12"/>
  <c r="R387" i="12"/>
  <c r="Q387" i="12"/>
  <c r="P387" i="12"/>
  <c r="O387" i="12"/>
  <c r="N387" i="12"/>
  <c r="M387" i="12"/>
  <c r="L387" i="12"/>
  <c r="K387" i="12"/>
  <c r="J387" i="12"/>
  <c r="I387" i="12"/>
  <c r="H387" i="12"/>
  <c r="G387" i="12"/>
  <c r="H377" i="12"/>
  <c r="I377" i="12" s="1"/>
  <c r="J377" i="12" s="1"/>
  <c r="K377" i="12" s="1"/>
  <c r="L377" i="12" s="1"/>
  <c r="M377" i="12" s="1"/>
  <c r="N377" i="12" s="1"/>
  <c r="O377" i="12" s="1"/>
  <c r="P377" i="12" s="1"/>
  <c r="Q377" i="12" s="1"/>
  <c r="R377" i="12" s="1"/>
  <c r="S377" i="12" s="1"/>
  <c r="T377" i="12" s="1"/>
  <c r="U377" i="12" s="1"/>
  <c r="V377" i="12" s="1"/>
  <c r="W377" i="12" s="1"/>
  <c r="X377" i="12" s="1"/>
  <c r="Y377" i="12" s="1"/>
  <c r="Z377" i="12" s="1"/>
  <c r="AA377" i="12" s="1"/>
  <c r="AB377" i="12" s="1"/>
  <c r="AC377" i="12" s="1"/>
  <c r="AD377" i="12" s="1"/>
  <c r="AE377" i="12" s="1"/>
  <c r="G377" i="12"/>
  <c r="AB374" i="12"/>
  <c r="AA374" i="12"/>
  <c r="Z374" i="12"/>
  <c r="AB373" i="12"/>
  <c r="AA373" i="12"/>
  <c r="Z373" i="12"/>
  <c r="AB372" i="12"/>
  <c r="AA372" i="12"/>
  <c r="Z372" i="12"/>
  <c r="AD370" i="12"/>
  <c r="AC370" i="12"/>
  <c r="AB370" i="12"/>
  <c r="AA370" i="12"/>
  <c r="Z370" i="12"/>
  <c r="Y370" i="12"/>
  <c r="X370" i="12"/>
  <c r="W370" i="12"/>
  <c r="V370" i="12"/>
  <c r="U370" i="12"/>
  <c r="T370" i="12"/>
  <c r="S370" i="12"/>
  <c r="R370" i="12"/>
  <c r="Q370" i="12"/>
  <c r="P370" i="12"/>
  <c r="O370" i="12"/>
  <c r="N370" i="12"/>
  <c r="M370" i="12"/>
  <c r="L370" i="12"/>
  <c r="K370" i="12"/>
  <c r="J370" i="12"/>
  <c r="I370" i="12"/>
  <c r="H370" i="12"/>
  <c r="G370" i="12"/>
  <c r="AD365" i="12"/>
  <c r="AC365" i="12"/>
  <c r="AB365" i="12"/>
  <c r="AA365" i="12"/>
  <c r="Z365" i="12"/>
  <c r="Y365" i="12"/>
  <c r="X365" i="12"/>
  <c r="W365" i="12"/>
  <c r="V365" i="12"/>
  <c r="U365" i="12"/>
  <c r="T365" i="12"/>
  <c r="S365" i="12"/>
  <c r="R365" i="12"/>
  <c r="Q365" i="12"/>
  <c r="P365" i="12"/>
  <c r="O365" i="12"/>
  <c r="N365" i="12"/>
  <c r="M365" i="12"/>
  <c r="L365" i="12"/>
  <c r="K365" i="12"/>
  <c r="J365" i="12"/>
  <c r="I365" i="12"/>
  <c r="H365" i="12"/>
  <c r="G365" i="12"/>
  <c r="A363" i="12"/>
  <c r="A362" i="12"/>
  <c r="AD360" i="12"/>
  <c r="AC360" i="12"/>
  <c r="AB360" i="12"/>
  <c r="AA360" i="12"/>
  <c r="Z360" i="12"/>
  <c r="Y360" i="12"/>
  <c r="X360" i="12"/>
  <c r="W360" i="12"/>
  <c r="V360" i="12"/>
  <c r="U360" i="12"/>
  <c r="T360" i="12"/>
  <c r="S360" i="12"/>
  <c r="R360" i="12"/>
  <c r="Q360" i="12"/>
  <c r="P360" i="12"/>
  <c r="O360" i="12"/>
  <c r="N360" i="12"/>
  <c r="M360" i="12"/>
  <c r="L360" i="12"/>
  <c r="K360" i="12"/>
  <c r="J360" i="12"/>
  <c r="I360" i="12"/>
  <c r="H360" i="12"/>
  <c r="G360" i="12"/>
  <c r="AD354" i="12"/>
  <c r="AC354" i="12"/>
  <c r="AB354" i="12"/>
  <c r="AA354" i="12"/>
  <c r="Z354" i="12"/>
  <c r="Y354" i="12"/>
  <c r="X354" i="12"/>
  <c r="W354" i="12"/>
  <c r="V354" i="12"/>
  <c r="U354" i="12"/>
  <c r="T354" i="12"/>
  <c r="S354" i="12"/>
  <c r="R354" i="12"/>
  <c r="Q354" i="12"/>
  <c r="P354" i="12"/>
  <c r="O354" i="12"/>
  <c r="N354" i="12"/>
  <c r="M354" i="12"/>
  <c r="L354" i="12"/>
  <c r="K354" i="12"/>
  <c r="J354" i="12"/>
  <c r="I354" i="12"/>
  <c r="H354" i="12"/>
  <c r="G354" i="12"/>
  <c r="AD351" i="12"/>
  <c r="AC351" i="12"/>
  <c r="AB351" i="12"/>
  <c r="AA351" i="12"/>
  <c r="Z351" i="12"/>
  <c r="Y351" i="12"/>
  <c r="X351" i="12"/>
  <c r="W351" i="12"/>
  <c r="V351" i="12"/>
  <c r="U351" i="12"/>
  <c r="T351" i="12"/>
  <c r="S351" i="12"/>
  <c r="R351" i="12"/>
  <c r="Q351" i="12"/>
  <c r="P351" i="12"/>
  <c r="O351" i="12"/>
  <c r="N351" i="12"/>
  <c r="M351" i="12"/>
  <c r="L351" i="12"/>
  <c r="K351" i="12"/>
  <c r="J351" i="12"/>
  <c r="I351" i="12"/>
  <c r="H351" i="12"/>
  <c r="G351" i="12"/>
  <c r="AD344" i="12"/>
  <c r="AC344" i="12"/>
  <c r="AB344" i="12"/>
  <c r="AA344" i="12"/>
  <c r="Z344" i="12"/>
  <c r="Y344" i="12"/>
  <c r="X344" i="12"/>
  <c r="W344" i="12"/>
  <c r="V344" i="12"/>
  <c r="U344" i="12"/>
  <c r="T344" i="12"/>
  <c r="S344" i="12"/>
  <c r="R344" i="12"/>
  <c r="Q344" i="12"/>
  <c r="P344" i="12"/>
  <c r="O344" i="12"/>
  <c r="N344" i="12"/>
  <c r="M344" i="12"/>
  <c r="L344" i="12"/>
  <c r="K344" i="12"/>
  <c r="J344" i="12"/>
  <c r="I344" i="12"/>
  <c r="H344" i="12"/>
  <c r="G344" i="12"/>
  <c r="A342" i="12"/>
  <c r="A341" i="12"/>
  <c r="AD337" i="12"/>
  <c r="AC337" i="12"/>
  <c r="AB337" i="12"/>
  <c r="AA337" i="12"/>
  <c r="Z337" i="12"/>
  <c r="Y337" i="12"/>
  <c r="X337" i="12"/>
  <c r="W337" i="12"/>
  <c r="V337" i="12"/>
  <c r="U337" i="12"/>
  <c r="T337" i="12"/>
  <c r="S337" i="12"/>
  <c r="R337" i="12"/>
  <c r="Q337" i="12"/>
  <c r="P337" i="12"/>
  <c r="O337" i="12"/>
  <c r="N337" i="12"/>
  <c r="M337" i="12"/>
  <c r="L337" i="12"/>
  <c r="K337" i="12"/>
  <c r="J337" i="12"/>
  <c r="I337" i="12"/>
  <c r="H337" i="12"/>
  <c r="G337" i="12"/>
  <c r="AD333" i="12"/>
  <c r="AC333" i="12"/>
  <c r="AB333" i="12"/>
  <c r="AA333" i="12"/>
  <c r="Z333" i="12"/>
  <c r="Y333" i="12"/>
  <c r="X333" i="12"/>
  <c r="W333" i="12"/>
  <c r="V333" i="12"/>
  <c r="U333" i="12"/>
  <c r="T333" i="12"/>
  <c r="S333" i="12"/>
  <c r="R333" i="12"/>
  <c r="Q333" i="12"/>
  <c r="P333" i="12"/>
  <c r="O333" i="12"/>
  <c r="N333" i="12"/>
  <c r="M333" i="12"/>
  <c r="L333" i="12"/>
  <c r="K333" i="12"/>
  <c r="J333" i="12"/>
  <c r="I333" i="12"/>
  <c r="H333" i="12"/>
  <c r="G333" i="12"/>
  <c r="AD329" i="12"/>
  <c r="AC329" i="12"/>
  <c r="AB329" i="12"/>
  <c r="AA329" i="12"/>
  <c r="Z329" i="12"/>
  <c r="Y329" i="12"/>
  <c r="X329" i="12"/>
  <c r="W329" i="12"/>
  <c r="V329" i="12"/>
  <c r="U329" i="12"/>
  <c r="T329" i="12"/>
  <c r="S329" i="12"/>
  <c r="R329" i="12"/>
  <c r="Q329" i="12"/>
  <c r="P329" i="12"/>
  <c r="O329" i="12"/>
  <c r="N329" i="12"/>
  <c r="M329" i="12"/>
  <c r="L329" i="12"/>
  <c r="K329" i="12"/>
  <c r="J329" i="12"/>
  <c r="I329" i="12"/>
  <c r="H329" i="12"/>
  <c r="G329" i="12"/>
  <c r="AD326" i="12"/>
  <c r="AD324" i="12"/>
  <c r="AC324" i="12"/>
  <c r="AB324" i="12"/>
  <c r="AA324" i="12"/>
  <c r="Z324" i="12"/>
  <c r="Y324" i="12"/>
  <c r="X324" i="12"/>
  <c r="W324" i="12"/>
  <c r="V324" i="12"/>
  <c r="U324" i="12"/>
  <c r="T324" i="12"/>
  <c r="S324" i="12"/>
  <c r="R324" i="12"/>
  <c r="Q324" i="12"/>
  <c r="P324" i="12"/>
  <c r="O324" i="12"/>
  <c r="N324" i="12"/>
  <c r="M324" i="12"/>
  <c r="L324" i="12"/>
  <c r="K324" i="12"/>
  <c r="J324" i="12"/>
  <c r="I324" i="12"/>
  <c r="H324" i="12"/>
  <c r="G324" i="12"/>
  <c r="A321" i="12"/>
  <c r="A320" i="12"/>
  <c r="AD319" i="12"/>
  <c r="AC319" i="12"/>
  <c r="AB319" i="12"/>
  <c r="AA319" i="12"/>
  <c r="Z319" i="12"/>
  <c r="Y319" i="12"/>
  <c r="X319" i="12"/>
  <c r="W319" i="12"/>
  <c r="V319" i="12"/>
  <c r="U319" i="12"/>
  <c r="T319" i="12"/>
  <c r="S319" i="12"/>
  <c r="R319" i="12"/>
  <c r="Q319" i="12"/>
  <c r="P319" i="12"/>
  <c r="O319" i="12"/>
  <c r="N319" i="12"/>
  <c r="M319" i="12"/>
  <c r="L319" i="12"/>
  <c r="K319" i="12"/>
  <c r="J319" i="12"/>
  <c r="I319" i="12"/>
  <c r="H319" i="12"/>
  <c r="G319" i="12"/>
  <c r="AD314" i="12"/>
  <c r="AC314" i="12"/>
  <c r="AB314" i="12"/>
  <c r="AA314" i="12"/>
  <c r="Z314" i="12"/>
  <c r="Y314" i="12"/>
  <c r="X314" i="12"/>
  <c r="W314" i="12"/>
  <c r="V314" i="12"/>
  <c r="U314" i="12"/>
  <c r="T314" i="12"/>
  <c r="S314" i="12"/>
  <c r="R314" i="12"/>
  <c r="Q314" i="12"/>
  <c r="P314" i="12"/>
  <c r="O314" i="12"/>
  <c r="N314" i="12"/>
  <c r="M314" i="12"/>
  <c r="L314" i="12"/>
  <c r="K314" i="12"/>
  <c r="J314" i="12"/>
  <c r="I314" i="12"/>
  <c r="H314" i="12"/>
  <c r="G314" i="12"/>
  <c r="A311" i="12"/>
  <c r="A310" i="12"/>
  <c r="A309" i="12"/>
  <c r="AD308" i="12"/>
  <c r="AC308" i="12"/>
  <c r="AB308" i="12"/>
  <c r="AA308" i="12"/>
  <c r="Z308" i="12"/>
  <c r="Y308" i="12"/>
  <c r="X308" i="12"/>
  <c r="W308" i="12"/>
  <c r="V308" i="12"/>
  <c r="U308" i="12"/>
  <c r="T308" i="12"/>
  <c r="S308" i="12"/>
  <c r="R308" i="12"/>
  <c r="Q308" i="12"/>
  <c r="P308" i="12"/>
  <c r="O308" i="12"/>
  <c r="N308" i="12"/>
  <c r="M308" i="12"/>
  <c r="L308" i="12"/>
  <c r="K308" i="12"/>
  <c r="J308" i="12"/>
  <c r="I308" i="12"/>
  <c r="H308" i="12"/>
  <c r="G308" i="12"/>
  <c r="AD303" i="12"/>
  <c r="AC303" i="12"/>
  <c r="AB303" i="12"/>
  <c r="AA303" i="12"/>
  <c r="Z303" i="12"/>
  <c r="Y303" i="12"/>
  <c r="X303" i="12"/>
  <c r="W303" i="12"/>
  <c r="V303" i="12"/>
  <c r="U303" i="12"/>
  <c r="T303" i="12"/>
  <c r="S303" i="12"/>
  <c r="R303" i="12"/>
  <c r="Q303" i="12"/>
  <c r="P303" i="12"/>
  <c r="O303" i="12"/>
  <c r="N303" i="12"/>
  <c r="M303" i="12"/>
  <c r="L303" i="12"/>
  <c r="K303" i="12"/>
  <c r="J303" i="12"/>
  <c r="I303" i="12"/>
  <c r="H303" i="12"/>
  <c r="G303" i="12"/>
  <c r="A300" i="12"/>
  <c r="AD297" i="12"/>
  <c r="AC297" i="12"/>
  <c r="AB297" i="12"/>
  <c r="AA297" i="12"/>
  <c r="Z297" i="12"/>
  <c r="Y297" i="12"/>
  <c r="X297" i="12"/>
  <c r="W297" i="12"/>
  <c r="V297" i="12"/>
  <c r="U297" i="12"/>
  <c r="T297" i="12"/>
  <c r="S297" i="12"/>
  <c r="R297" i="12"/>
  <c r="Q297" i="12"/>
  <c r="P297" i="12"/>
  <c r="O297" i="12"/>
  <c r="N297" i="12"/>
  <c r="M297" i="12"/>
  <c r="L297" i="12"/>
  <c r="K297" i="12"/>
  <c r="J297" i="12"/>
  <c r="I297" i="12"/>
  <c r="H297" i="12"/>
  <c r="G297" i="12"/>
  <c r="AD294" i="12"/>
  <c r="AD292" i="12"/>
  <c r="AC292" i="12"/>
  <c r="AB292" i="12"/>
  <c r="AA292" i="12"/>
  <c r="Z292" i="12"/>
  <c r="Y292" i="12"/>
  <c r="X292" i="12"/>
  <c r="W292" i="12"/>
  <c r="V292" i="12"/>
  <c r="U292" i="12"/>
  <c r="T292" i="12"/>
  <c r="S292" i="12"/>
  <c r="R292" i="12"/>
  <c r="Q292" i="12"/>
  <c r="P292" i="12"/>
  <c r="O292" i="12"/>
  <c r="N292" i="12"/>
  <c r="M292" i="12"/>
  <c r="L292" i="12"/>
  <c r="K292" i="12"/>
  <c r="J292" i="12"/>
  <c r="I292" i="12"/>
  <c r="H292" i="12"/>
  <c r="G292" i="12"/>
  <c r="A289" i="12"/>
  <c r="A288" i="12"/>
  <c r="AD287" i="12"/>
  <c r="AC287" i="12"/>
  <c r="AB287" i="12"/>
  <c r="AA287" i="12"/>
  <c r="Z287" i="12"/>
  <c r="Y287" i="12"/>
  <c r="X287" i="12"/>
  <c r="W287" i="12"/>
  <c r="V287" i="12"/>
  <c r="U287" i="12"/>
  <c r="T287" i="12"/>
  <c r="S287" i="12"/>
  <c r="R287" i="12"/>
  <c r="Q287" i="12"/>
  <c r="P287" i="12"/>
  <c r="O287" i="12"/>
  <c r="N287" i="12"/>
  <c r="M287" i="12"/>
  <c r="L287" i="12"/>
  <c r="K287" i="12"/>
  <c r="J287" i="12"/>
  <c r="I287" i="12"/>
  <c r="H287" i="12"/>
  <c r="G287" i="12"/>
  <c r="AD282" i="12"/>
  <c r="AC282" i="12"/>
  <c r="AB282" i="12"/>
  <c r="AA282" i="12"/>
  <c r="Z282" i="12"/>
  <c r="Y282" i="12"/>
  <c r="X282" i="12"/>
  <c r="W282" i="12"/>
  <c r="V282" i="12"/>
  <c r="U282" i="12"/>
  <c r="T282" i="12"/>
  <c r="S282" i="12"/>
  <c r="R282" i="12"/>
  <c r="Q282" i="12"/>
  <c r="P282" i="12"/>
  <c r="O282" i="12"/>
  <c r="N282" i="12"/>
  <c r="M282" i="12"/>
  <c r="L282" i="12"/>
  <c r="K282" i="12"/>
  <c r="J282" i="12"/>
  <c r="I282" i="12"/>
  <c r="H282" i="12"/>
  <c r="G282" i="12"/>
  <c r="A279" i="12"/>
  <c r="A278" i="12"/>
  <c r="A277" i="12"/>
  <c r="AD276" i="12"/>
  <c r="AC276" i="12"/>
  <c r="AB276" i="12"/>
  <c r="AA276" i="12"/>
  <c r="Z276" i="12"/>
  <c r="Y276" i="12"/>
  <c r="X276" i="12"/>
  <c r="W276" i="12"/>
  <c r="V276" i="12"/>
  <c r="U276" i="12"/>
  <c r="T276" i="12"/>
  <c r="S276" i="12"/>
  <c r="R276" i="12"/>
  <c r="Q276" i="12"/>
  <c r="P276" i="12"/>
  <c r="O276" i="12"/>
  <c r="N276" i="12"/>
  <c r="M276" i="12"/>
  <c r="L276" i="12"/>
  <c r="K276" i="12"/>
  <c r="J276" i="12"/>
  <c r="I276" i="12"/>
  <c r="H276" i="12"/>
  <c r="G276" i="12"/>
  <c r="AD271" i="12"/>
  <c r="AC271" i="12"/>
  <c r="AB271" i="12"/>
  <c r="AA271" i="12"/>
  <c r="Z271" i="12"/>
  <c r="Y271" i="12"/>
  <c r="X271" i="12"/>
  <c r="W271" i="12"/>
  <c r="V271" i="12"/>
  <c r="U271" i="12"/>
  <c r="T271" i="12"/>
  <c r="S271" i="12"/>
  <c r="R271" i="12"/>
  <c r="Q271" i="12"/>
  <c r="P271" i="12"/>
  <c r="O271" i="12"/>
  <c r="N271" i="12"/>
  <c r="M271" i="12"/>
  <c r="L271" i="12"/>
  <c r="K271" i="12"/>
  <c r="J271" i="12"/>
  <c r="I271" i="12"/>
  <c r="H271" i="12"/>
  <c r="G271" i="12"/>
  <c r="A268" i="12"/>
  <c r="AD265" i="12"/>
  <c r="AC265" i="12"/>
  <c r="AB265" i="12"/>
  <c r="AA265" i="12"/>
  <c r="Z265" i="12"/>
  <c r="Y265" i="12"/>
  <c r="X265" i="12"/>
  <c r="W265" i="12"/>
  <c r="V265" i="12"/>
  <c r="U265" i="12"/>
  <c r="T265" i="12"/>
  <c r="S265" i="12"/>
  <c r="R265" i="12"/>
  <c r="Q265" i="12"/>
  <c r="P265" i="12"/>
  <c r="O265" i="12"/>
  <c r="N265" i="12"/>
  <c r="M265" i="12"/>
  <c r="L265" i="12"/>
  <c r="K265" i="12"/>
  <c r="J265" i="12"/>
  <c r="I265" i="12"/>
  <c r="H265" i="12"/>
  <c r="G265" i="12"/>
  <c r="AD262" i="12"/>
  <c r="AC262" i="12"/>
  <c r="AB262" i="12"/>
  <c r="AA262" i="12"/>
  <c r="Z262" i="12"/>
  <c r="Y262" i="12"/>
  <c r="X262" i="12"/>
  <c r="W262" i="12"/>
  <c r="V262" i="12"/>
  <c r="U262" i="12"/>
  <c r="T262" i="12"/>
  <c r="S262" i="12"/>
  <c r="R262" i="12"/>
  <c r="Q262" i="12"/>
  <c r="P262" i="12"/>
  <c r="O262" i="12"/>
  <c r="N262" i="12"/>
  <c r="M262" i="12"/>
  <c r="L262" i="12"/>
  <c r="K262" i="12"/>
  <c r="J262" i="12"/>
  <c r="I262" i="12"/>
  <c r="H262" i="12"/>
  <c r="G262" i="12"/>
  <c r="A260" i="12"/>
  <c r="AD259" i="12"/>
  <c r="AC259" i="12"/>
  <c r="AB259" i="12"/>
  <c r="AA259" i="12"/>
  <c r="Z259" i="12"/>
  <c r="Y259" i="12"/>
  <c r="X259" i="12"/>
  <c r="W259" i="12"/>
  <c r="V259" i="12"/>
  <c r="U259" i="12"/>
  <c r="T259" i="12"/>
  <c r="S259" i="12"/>
  <c r="R259" i="12"/>
  <c r="Q259" i="12"/>
  <c r="P259" i="12"/>
  <c r="O259" i="12"/>
  <c r="N259" i="12"/>
  <c r="M259" i="12"/>
  <c r="L259" i="12"/>
  <c r="K259" i="12"/>
  <c r="J259" i="12"/>
  <c r="I259" i="12"/>
  <c r="H259" i="12"/>
  <c r="G259" i="12"/>
  <c r="AD253" i="12"/>
  <c r="AC253" i="12"/>
  <c r="AB253" i="12"/>
  <c r="AA253" i="12"/>
  <c r="Z253" i="12"/>
  <c r="Y253" i="12"/>
  <c r="X253" i="12"/>
  <c r="W253" i="12"/>
  <c r="V253" i="12"/>
  <c r="U253" i="12"/>
  <c r="T253" i="12"/>
  <c r="S253" i="12"/>
  <c r="R253" i="12"/>
  <c r="Q253" i="12"/>
  <c r="P253" i="12"/>
  <c r="O253" i="12"/>
  <c r="N253" i="12"/>
  <c r="M253" i="12"/>
  <c r="L253" i="12"/>
  <c r="K253" i="12"/>
  <c r="J253" i="12"/>
  <c r="I253" i="12"/>
  <c r="H253" i="12"/>
  <c r="G253" i="12"/>
  <c r="A250" i="12"/>
  <c r="AD246" i="12"/>
  <c r="AC246" i="12"/>
  <c r="AB246" i="12"/>
  <c r="AA246" i="12"/>
  <c r="Z246" i="12"/>
  <c r="Y246" i="12"/>
  <c r="X246" i="12"/>
  <c r="W246" i="12"/>
  <c r="V246" i="12"/>
  <c r="U246" i="12"/>
  <c r="T246" i="12"/>
  <c r="S246" i="12"/>
  <c r="R246" i="12"/>
  <c r="Q246" i="12"/>
  <c r="P246" i="12"/>
  <c r="O246" i="12"/>
  <c r="N246" i="12"/>
  <c r="M246" i="12"/>
  <c r="L246" i="12"/>
  <c r="K246" i="12"/>
  <c r="J246" i="12"/>
  <c r="I246" i="12"/>
  <c r="H246" i="12"/>
  <c r="G246" i="12"/>
  <c r="AD240" i="12"/>
  <c r="AC240" i="12"/>
  <c r="AB240" i="12"/>
  <c r="AA240" i="12"/>
  <c r="Z240" i="12"/>
  <c r="Y240" i="12"/>
  <c r="X240" i="12"/>
  <c r="W240" i="12"/>
  <c r="V240" i="12"/>
  <c r="U240" i="12"/>
  <c r="T240" i="12"/>
  <c r="S240" i="12"/>
  <c r="R240" i="12"/>
  <c r="Q240" i="12"/>
  <c r="P240" i="12"/>
  <c r="O240" i="12"/>
  <c r="N240" i="12"/>
  <c r="M240" i="12"/>
  <c r="L240" i="12"/>
  <c r="K240" i="12"/>
  <c r="J240" i="12"/>
  <c r="I240" i="12"/>
  <c r="H240" i="12"/>
  <c r="G240" i="12"/>
  <c r="AD235" i="12"/>
  <c r="AD234" i="12"/>
  <c r="AC234" i="12"/>
  <c r="AB234" i="12"/>
  <c r="AA234" i="12"/>
  <c r="Z234" i="12"/>
  <c r="Y234" i="12"/>
  <c r="X234" i="12"/>
  <c r="W234" i="12"/>
  <c r="V234" i="12"/>
  <c r="U234" i="12"/>
  <c r="T234" i="12"/>
  <c r="S234" i="12"/>
  <c r="R234" i="12"/>
  <c r="Q234" i="12"/>
  <c r="P234" i="12"/>
  <c r="O234" i="12"/>
  <c r="N234" i="12"/>
  <c r="M234" i="12"/>
  <c r="L234" i="12"/>
  <c r="K234" i="12"/>
  <c r="J234" i="12"/>
  <c r="I234" i="12"/>
  <c r="H234" i="12"/>
  <c r="G234" i="12"/>
  <c r="A230" i="12"/>
  <c r="A229" i="12"/>
  <c r="A228" i="12"/>
  <c r="AD227" i="12"/>
  <c r="AC227" i="12"/>
  <c r="AB227" i="12"/>
  <c r="AA227" i="12"/>
  <c r="Z227" i="12"/>
  <c r="Y227" i="12"/>
  <c r="X227" i="12"/>
  <c r="W227" i="12"/>
  <c r="V227" i="12"/>
  <c r="U227" i="12"/>
  <c r="T227" i="12"/>
  <c r="S227" i="12"/>
  <c r="R227" i="12"/>
  <c r="Q227" i="12"/>
  <c r="P227" i="12"/>
  <c r="O227" i="12"/>
  <c r="N227" i="12"/>
  <c r="M227" i="12"/>
  <c r="L227" i="12"/>
  <c r="K227" i="12"/>
  <c r="J227" i="12"/>
  <c r="I227" i="12"/>
  <c r="H227" i="12"/>
  <c r="G227" i="12"/>
  <c r="AD215" i="12"/>
  <c r="AC215" i="12"/>
  <c r="AB215" i="12"/>
  <c r="AA215" i="12"/>
  <c r="Z215" i="12"/>
  <c r="Y215" i="12"/>
  <c r="X215" i="12"/>
  <c r="W215" i="12"/>
  <c r="V215" i="12"/>
  <c r="U215" i="12"/>
  <c r="T215" i="12"/>
  <c r="S215" i="12"/>
  <c r="R215" i="12"/>
  <c r="Q215" i="12"/>
  <c r="P215" i="12"/>
  <c r="O215" i="12"/>
  <c r="N215" i="12"/>
  <c r="M215" i="12"/>
  <c r="L215" i="12"/>
  <c r="K215" i="12"/>
  <c r="J215" i="12"/>
  <c r="I215" i="12"/>
  <c r="H215" i="12"/>
  <c r="G215" i="12"/>
  <c r="A212" i="12"/>
  <c r="A211" i="12"/>
  <c r="A210" i="12"/>
  <c r="A206" i="12"/>
  <c r="A205" i="12"/>
  <c r="A204" i="12"/>
  <c r="AD201" i="12"/>
  <c r="AC201" i="12"/>
  <c r="AB201" i="12"/>
  <c r="AA201" i="12"/>
  <c r="Z201" i="12"/>
  <c r="Y201" i="12"/>
  <c r="X201" i="12"/>
  <c r="W201" i="12"/>
  <c r="V201" i="12"/>
  <c r="U201" i="12"/>
  <c r="T201" i="12"/>
  <c r="S201" i="12"/>
  <c r="R201" i="12"/>
  <c r="Q201" i="12"/>
  <c r="P201" i="12"/>
  <c r="O201" i="12"/>
  <c r="N201" i="12"/>
  <c r="M201" i="12"/>
  <c r="L201" i="12"/>
  <c r="K201" i="12"/>
  <c r="J201" i="12"/>
  <c r="I201" i="12"/>
  <c r="H201" i="12"/>
  <c r="G201" i="12"/>
  <c r="AD198" i="12"/>
  <c r="AD196" i="12"/>
  <c r="AC196" i="12"/>
  <c r="AB196" i="12"/>
  <c r="AA196" i="12"/>
  <c r="Z196" i="12"/>
  <c r="Y196" i="12"/>
  <c r="X196" i="12"/>
  <c r="W196" i="12"/>
  <c r="V196" i="12"/>
  <c r="U196" i="12"/>
  <c r="T196" i="12"/>
  <c r="S196" i="12"/>
  <c r="R196" i="12"/>
  <c r="Q196" i="12"/>
  <c r="P196" i="12"/>
  <c r="O196" i="12"/>
  <c r="N196" i="12"/>
  <c r="M196" i="12"/>
  <c r="L196" i="12"/>
  <c r="K196" i="12"/>
  <c r="J196" i="12"/>
  <c r="I196" i="12"/>
  <c r="H196" i="12"/>
  <c r="G196" i="12"/>
  <c r="A193" i="12"/>
  <c r="A192" i="12"/>
  <c r="A191" i="12"/>
  <c r="AD190" i="12"/>
  <c r="AC190" i="12"/>
  <c r="AB190" i="12"/>
  <c r="AA190" i="12"/>
  <c r="Z190" i="12"/>
  <c r="Y190" i="12"/>
  <c r="X190" i="12"/>
  <c r="W190" i="12"/>
  <c r="V190" i="12"/>
  <c r="U190" i="12"/>
  <c r="T190" i="12"/>
  <c r="S190" i="12"/>
  <c r="R190" i="12"/>
  <c r="Q190" i="12"/>
  <c r="P190" i="12"/>
  <c r="O190" i="12"/>
  <c r="N190" i="12"/>
  <c r="M190" i="12"/>
  <c r="L190" i="12"/>
  <c r="K190" i="12"/>
  <c r="J190" i="12"/>
  <c r="I190" i="12"/>
  <c r="H190" i="12"/>
  <c r="G190" i="12"/>
  <c r="AD187" i="12"/>
  <c r="AC187" i="12"/>
  <c r="AB187" i="12"/>
  <c r="AA187" i="12"/>
  <c r="Z187" i="12"/>
  <c r="Y187" i="12"/>
  <c r="X187" i="12"/>
  <c r="W187" i="12"/>
  <c r="V187" i="12"/>
  <c r="U187" i="12"/>
  <c r="T187" i="12"/>
  <c r="S187" i="12"/>
  <c r="R187" i="12"/>
  <c r="Q187" i="12"/>
  <c r="P187" i="12"/>
  <c r="O187" i="12"/>
  <c r="N187" i="12"/>
  <c r="M187" i="12"/>
  <c r="L187" i="12"/>
  <c r="K187" i="12"/>
  <c r="J187" i="12"/>
  <c r="I187" i="12"/>
  <c r="H187" i="12"/>
  <c r="G187" i="12"/>
  <c r="A185" i="12"/>
  <c r="AD184" i="12"/>
  <c r="AC184" i="12"/>
  <c r="AB184" i="12"/>
  <c r="AA184" i="12"/>
  <c r="Z184" i="12"/>
  <c r="Y184" i="12"/>
  <c r="X184" i="12"/>
  <c r="W184" i="12"/>
  <c r="V184" i="12"/>
  <c r="U184" i="12"/>
  <c r="T184" i="12"/>
  <c r="S184" i="12"/>
  <c r="R184" i="12"/>
  <c r="Q184" i="12"/>
  <c r="P184" i="12"/>
  <c r="O184" i="12"/>
  <c r="N184" i="12"/>
  <c r="M184" i="12"/>
  <c r="L184" i="12"/>
  <c r="K184" i="12"/>
  <c r="J184" i="12"/>
  <c r="I184" i="12"/>
  <c r="H184" i="12"/>
  <c r="G184" i="12"/>
  <c r="E179" i="12"/>
  <c r="E178" i="12"/>
  <c r="K177" i="12"/>
  <c r="J177" i="12"/>
  <c r="I177" i="12"/>
  <c r="H177" i="12"/>
  <c r="E177" i="12"/>
  <c r="E176" i="12"/>
  <c r="E175" i="12"/>
  <c r="E174" i="12"/>
  <c r="E173" i="12"/>
  <c r="E172" i="12"/>
  <c r="E171" i="12"/>
  <c r="E170" i="12"/>
  <c r="E169" i="12"/>
  <c r="E168" i="12"/>
  <c r="E167" i="12"/>
  <c r="E166" i="12"/>
  <c r="E165" i="12"/>
  <c r="AD164" i="12"/>
  <c r="AC164" i="12"/>
  <c r="AB164" i="12"/>
  <c r="AA164" i="12"/>
  <c r="Z164" i="12"/>
  <c r="Y164" i="12"/>
  <c r="X164" i="12"/>
  <c r="W164" i="12"/>
  <c r="V164" i="12"/>
  <c r="U164" i="12"/>
  <c r="T164" i="12"/>
  <c r="S164" i="12"/>
  <c r="R164" i="12"/>
  <c r="Q164" i="12"/>
  <c r="P164" i="12"/>
  <c r="O164" i="12"/>
  <c r="N164" i="12"/>
  <c r="M164" i="12"/>
  <c r="L164" i="12"/>
  <c r="K164" i="12"/>
  <c r="J164" i="12"/>
  <c r="I164" i="12"/>
  <c r="H164" i="12"/>
  <c r="G164" i="12"/>
  <c r="AD161" i="12"/>
  <c r="AC161" i="12"/>
  <c r="AB161" i="12"/>
  <c r="AA161" i="12"/>
  <c r="Z161" i="12"/>
  <c r="Y161" i="12"/>
  <c r="X161" i="12"/>
  <c r="W161" i="12"/>
  <c r="V161" i="12"/>
  <c r="U161" i="12"/>
  <c r="T161" i="12"/>
  <c r="S161" i="12"/>
  <c r="R161" i="12"/>
  <c r="Q161" i="12"/>
  <c r="P161" i="12"/>
  <c r="O161" i="12"/>
  <c r="N161" i="12"/>
  <c r="M161" i="12"/>
  <c r="L161" i="12"/>
  <c r="K161" i="12"/>
  <c r="J161" i="12"/>
  <c r="I161" i="12"/>
  <c r="H161" i="12"/>
  <c r="G161" i="12"/>
  <c r="A159" i="12"/>
  <c r="AD158" i="12"/>
  <c r="AC158" i="12"/>
  <c r="AB158" i="12"/>
  <c r="AA158" i="12"/>
  <c r="Z158" i="12"/>
  <c r="Y158" i="12"/>
  <c r="X158" i="12"/>
  <c r="W158" i="12"/>
  <c r="V158" i="12"/>
  <c r="U158" i="12"/>
  <c r="T158" i="12"/>
  <c r="S158" i="12"/>
  <c r="R158" i="12"/>
  <c r="Q158" i="12"/>
  <c r="P158" i="12"/>
  <c r="O158" i="12"/>
  <c r="N158" i="12"/>
  <c r="M158" i="12"/>
  <c r="L158" i="12"/>
  <c r="K158" i="12"/>
  <c r="J158" i="12"/>
  <c r="I158" i="12"/>
  <c r="H158" i="12"/>
  <c r="G158" i="12"/>
  <c r="AD146" i="12"/>
  <c r="AC146" i="12"/>
  <c r="AB146" i="12"/>
  <c r="AA146" i="12"/>
  <c r="Z146" i="12"/>
  <c r="Y146" i="12"/>
  <c r="X146" i="12"/>
  <c r="W146" i="12"/>
  <c r="V146" i="12"/>
  <c r="U146" i="12"/>
  <c r="T146" i="12"/>
  <c r="S146" i="12"/>
  <c r="R146" i="12"/>
  <c r="Q146" i="12"/>
  <c r="P146" i="12"/>
  <c r="O146" i="12"/>
  <c r="N146" i="12"/>
  <c r="M146" i="12"/>
  <c r="L146" i="12"/>
  <c r="K146" i="12"/>
  <c r="J146" i="12"/>
  <c r="I146" i="12"/>
  <c r="H146" i="12"/>
  <c r="G146" i="12"/>
  <c r="AD133" i="12"/>
  <c r="AC133" i="12"/>
  <c r="AB133" i="12"/>
  <c r="AA133" i="12"/>
  <c r="Z133" i="12"/>
  <c r="Y133" i="12"/>
  <c r="X133" i="12"/>
  <c r="W133" i="12"/>
  <c r="V133" i="12"/>
  <c r="U133" i="12"/>
  <c r="T133" i="12"/>
  <c r="S133" i="12"/>
  <c r="R133" i="12"/>
  <c r="Q133" i="12"/>
  <c r="P133" i="12"/>
  <c r="O133" i="12"/>
  <c r="N133" i="12"/>
  <c r="M133" i="12"/>
  <c r="L133" i="12"/>
  <c r="K133" i="12"/>
  <c r="J133" i="12"/>
  <c r="I133" i="12"/>
  <c r="H133" i="12"/>
  <c r="G133" i="12"/>
  <c r="AD130" i="12"/>
  <c r="AA130" i="12"/>
  <c r="Z130" i="12"/>
  <c r="Y130" i="12"/>
  <c r="X130" i="12"/>
  <c r="W130" i="12"/>
  <c r="V130" i="12"/>
  <c r="U130" i="12"/>
  <c r="T130" i="12"/>
  <c r="S130" i="12"/>
  <c r="R130" i="12"/>
  <c r="Q130" i="12"/>
  <c r="P130" i="12"/>
  <c r="O130" i="12"/>
  <c r="N130" i="12"/>
  <c r="M130" i="12"/>
  <c r="L130" i="12"/>
  <c r="K130" i="12"/>
  <c r="J130" i="12"/>
  <c r="I130" i="12"/>
  <c r="H130" i="12"/>
  <c r="AD127" i="12"/>
  <c r="AC127" i="12"/>
  <c r="AB127" i="12"/>
  <c r="AA127" i="12"/>
  <c r="Z127" i="12"/>
  <c r="Y127" i="12"/>
  <c r="X127" i="12"/>
  <c r="W127" i="12"/>
  <c r="V127" i="12"/>
  <c r="U127" i="12"/>
  <c r="T127" i="12"/>
  <c r="S127" i="12"/>
  <c r="R127" i="12"/>
  <c r="Q127" i="12"/>
  <c r="P127" i="12"/>
  <c r="O127" i="12"/>
  <c r="N127" i="12"/>
  <c r="M127" i="12"/>
  <c r="L127" i="12"/>
  <c r="K127" i="12"/>
  <c r="J127" i="12"/>
  <c r="I127" i="12"/>
  <c r="H127" i="12"/>
  <c r="G127" i="12"/>
  <c r="A125" i="12"/>
  <c r="AD124" i="12"/>
  <c r="AA124" i="12"/>
  <c r="Z124" i="12"/>
  <c r="Y124" i="12"/>
  <c r="X124" i="12"/>
  <c r="W124" i="12"/>
  <c r="V124" i="12"/>
  <c r="U124" i="12"/>
  <c r="T124" i="12"/>
  <c r="S124" i="12"/>
  <c r="R124" i="12"/>
  <c r="Q124" i="12"/>
  <c r="P124" i="12"/>
  <c r="O124" i="12"/>
  <c r="N124" i="12"/>
  <c r="M124" i="12"/>
  <c r="L124" i="12"/>
  <c r="K124" i="12"/>
  <c r="J124" i="12"/>
  <c r="I124" i="12"/>
  <c r="H124" i="12"/>
  <c r="G124" i="12"/>
  <c r="AD121" i="12"/>
  <c r="AC121" i="12"/>
  <c r="AB121" i="12"/>
  <c r="AA121" i="12"/>
  <c r="Z121" i="12"/>
  <c r="Y121" i="12"/>
  <c r="X121" i="12"/>
  <c r="W121" i="12"/>
  <c r="V121" i="12"/>
  <c r="U121" i="12"/>
  <c r="T121" i="12"/>
  <c r="S121" i="12"/>
  <c r="R121" i="12"/>
  <c r="Q121" i="12"/>
  <c r="P121" i="12"/>
  <c r="O121" i="12"/>
  <c r="N121" i="12"/>
  <c r="M121" i="12"/>
  <c r="L121" i="12"/>
  <c r="K121" i="12"/>
  <c r="J121" i="12"/>
  <c r="I121" i="12"/>
  <c r="H121" i="12"/>
  <c r="G121" i="12"/>
  <c r="AD117" i="12"/>
  <c r="AC117" i="12"/>
  <c r="AB117" i="12"/>
  <c r="AA117" i="12"/>
  <c r="Z117" i="12"/>
  <c r="Y117" i="12"/>
  <c r="X117" i="12"/>
  <c r="W117" i="12"/>
  <c r="V117" i="12"/>
  <c r="U117" i="12"/>
  <c r="T117" i="12"/>
  <c r="S117" i="12"/>
  <c r="R117" i="12"/>
  <c r="Q117" i="12"/>
  <c r="P117" i="12"/>
  <c r="O117" i="12"/>
  <c r="N117" i="12"/>
  <c r="M117" i="12"/>
  <c r="L117" i="12"/>
  <c r="K117" i="12"/>
  <c r="J117" i="12"/>
  <c r="I117" i="12"/>
  <c r="H117" i="12"/>
  <c r="G117" i="12"/>
  <c r="AD113" i="12"/>
  <c r="AC113" i="12"/>
  <c r="AB113" i="12"/>
  <c r="AA113" i="12"/>
  <c r="Z113" i="12"/>
  <c r="Y113" i="12"/>
  <c r="X113" i="12"/>
  <c r="W113" i="12"/>
  <c r="V113" i="12"/>
  <c r="U113" i="12"/>
  <c r="T113" i="12"/>
  <c r="S113" i="12"/>
  <c r="R113" i="12"/>
  <c r="Q113" i="12"/>
  <c r="P113" i="12"/>
  <c r="O113" i="12"/>
  <c r="N113" i="12"/>
  <c r="M113" i="12"/>
  <c r="L113" i="12"/>
  <c r="K113" i="12"/>
  <c r="J113" i="12"/>
  <c r="I113" i="12"/>
  <c r="H113" i="12"/>
  <c r="G113" i="12"/>
  <c r="AD110" i="12"/>
  <c r="AD109" i="12"/>
  <c r="AD103" i="12" s="1"/>
  <c r="AD108" i="12"/>
  <c r="AC108" i="12"/>
  <c r="AB108" i="12"/>
  <c r="AA108" i="12"/>
  <c r="Z108" i="12"/>
  <c r="Y108" i="12"/>
  <c r="X108" i="12"/>
  <c r="W108" i="12"/>
  <c r="V108" i="12"/>
  <c r="U108" i="12"/>
  <c r="T108" i="12"/>
  <c r="S108" i="12"/>
  <c r="R108" i="12"/>
  <c r="Q108" i="12"/>
  <c r="P108" i="12"/>
  <c r="O108" i="12"/>
  <c r="N108" i="12"/>
  <c r="M108" i="12"/>
  <c r="L108" i="12"/>
  <c r="K108" i="12"/>
  <c r="J108" i="12"/>
  <c r="I108" i="12"/>
  <c r="H108" i="12"/>
  <c r="G108" i="12"/>
  <c r="A105" i="12"/>
  <c r="A104" i="12"/>
  <c r="A103" i="12"/>
  <c r="AD102" i="12"/>
  <c r="AC102" i="12"/>
  <c r="AB102" i="12"/>
  <c r="AA102" i="12"/>
  <c r="Z102" i="12"/>
  <c r="Y102" i="12"/>
  <c r="X102" i="12"/>
  <c r="W102" i="12"/>
  <c r="V102" i="12"/>
  <c r="U102" i="12"/>
  <c r="T102" i="12"/>
  <c r="S102" i="12"/>
  <c r="R102" i="12"/>
  <c r="Q102" i="12"/>
  <c r="P102" i="12"/>
  <c r="O102" i="12"/>
  <c r="N102" i="12"/>
  <c r="M102" i="12"/>
  <c r="L102" i="12"/>
  <c r="K102" i="12"/>
  <c r="J102" i="12"/>
  <c r="I102" i="12"/>
  <c r="H102" i="12"/>
  <c r="G102" i="12"/>
  <c r="AD97" i="12"/>
  <c r="AC97" i="12"/>
  <c r="AB97" i="12"/>
  <c r="AA97" i="12"/>
  <c r="Z97" i="12"/>
  <c r="Y97" i="12"/>
  <c r="X97" i="12"/>
  <c r="W97" i="12"/>
  <c r="V97" i="12"/>
  <c r="U97" i="12"/>
  <c r="T97" i="12"/>
  <c r="S97" i="12"/>
  <c r="R97" i="12"/>
  <c r="Q97" i="12"/>
  <c r="P97" i="12"/>
  <c r="O97" i="12"/>
  <c r="N97" i="12"/>
  <c r="M97" i="12"/>
  <c r="L97" i="12"/>
  <c r="K97" i="12"/>
  <c r="J97" i="12"/>
  <c r="I97" i="12"/>
  <c r="H97" i="12"/>
  <c r="G97" i="12"/>
  <c r="A94" i="12"/>
  <c r="AD91" i="12"/>
  <c r="AC91" i="12"/>
  <c r="AB91" i="12"/>
  <c r="AA91" i="12"/>
  <c r="Z91" i="12"/>
  <c r="Y91" i="12"/>
  <c r="X91" i="12"/>
  <c r="W91" i="12"/>
  <c r="V91" i="12"/>
  <c r="U91" i="12"/>
  <c r="T91" i="12"/>
  <c r="S91" i="12"/>
  <c r="R91" i="12"/>
  <c r="Q91" i="12"/>
  <c r="P91" i="12"/>
  <c r="O91" i="12"/>
  <c r="N91" i="12"/>
  <c r="M91" i="12"/>
  <c r="L91" i="12"/>
  <c r="K91" i="12"/>
  <c r="J91" i="12"/>
  <c r="I91" i="12"/>
  <c r="H91" i="12"/>
  <c r="G91" i="12"/>
  <c r="AD88" i="12"/>
  <c r="AD86" i="12"/>
  <c r="AC86" i="12"/>
  <c r="AB86" i="12"/>
  <c r="AA86" i="12"/>
  <c r="Z86" i="12"/>
  <c r="Y86" i="12"/>
  <c r="X86" i="12"/>
  <c r="W86" i="12"/>
  <c r="V86" i="12"/>
  <c r="U86" i="12"/>
  <c r="T86" i="12"/>
  <c r="S86" i="12"/>
  <c r="R86" i="12"/>
  <c r="Q86" i="12"/>
  <c r="P86" i="12"/>
  <c r="O86" i="12"/>
  <c r="N86" i="12"/>
  <c r="M86" i="12"/>
  <c r="L86" i="12"/>
  <c r="K86" i="12"/>
  <c r="J86" i="12"/>
  <c r="I86" i="12"/>
  <c r="H86" i="12"/>
  <c r="G86" i="12"/>
  <c r="A83" i="12"/>
  <c r="A82" i="12"/>
  <c r="A81" i="12"/>
  <c r="AD80" i="12"/>
  <c r="AC80" i="12"/>
  <c r="AB80" i="12"/>
  <c r="AA80" i="12"/>
  <c r="Z80" i="12"/>
  <c r="Y80" i="12"/>
  <c r="X80" i="12"/>
  <c r="W80" i="12"/>
  <c r="V80" i="12"/>
  <c r="U80" i="12"/>
  <c r="T80" i="12"/>
  <c r="S80" i="12"/>
  <c r="R80" i="12"/>
  <c r="Q80" i="12"/>
  <c r="P80" i="12"/>
  <c r="O80" i="12"/>
  <c r="N80" i="12"/>
  <c r="M80" i="12"/>
  <c r="L80" i="12"/>
  <c r="K80" i="12"/>
  <c r="J80" i="12"/>
  <c r="I80" i="12"/>
  <c r="H80" i="12"/>
  <c r="G80" i="12"/>
  <c r="AD75" i="12"/>
  <c r="AC75" i="12"/>
  <c r="AB75" i="12"/>
  <c r="AA75" i="12"/>
  <c r="Z75" i="12"/>
  <c r="Y75" i="12"/>
  <c r="X75" i="12"/>
  <c r="W75" i="12"/>
  <c r="V75" i="12"/>
  <c r="U75" i="12"/>
  <c r="T75" i="12"/>
  <c r="S75" i="12"/>
  <c r="R75" i="12"/>
  <c r="Q75" i="12"/>
  <c r="P75" i="12"/>
  <c r="O75" i="12"/>
  <c r="N75" i="12"/>
  <c r="M75" i="12"/>
  <c r="L75" i="12"/>
  <c r="K75" i="12"/>
  <c r="J75" i="12"/>
  <c r="I75" i="12"/>
  <c r="H75" i="12"/>
  <c r="G75" i="12"/>
  <c r="A72" i="12"/>
  <c r="AD69" i="12"/>
  <c r="AC69" i="12"/>
  <c r="AB69" i="12"/>
  <c r="AA69" i="12"/>
  <c r="Z69" i="12"/>
  <c r="Y69" i="12"/>
  <c r="X69" i="12"/>
  <c r="W69" i="12"/>
  <c r="V69" i="12"/>
  <c r="U69" i="12"/>
  <c r="T69" i="12"/>
  <c r="S69" i="12"/>
  <c r="R69" i="12"/>
  <c r="Q69" i="12"/>
  <c r="P69" i="12"/>
  <c r="O69" i="12"/>
  <c r="N69" i="12"/>
  <c r="M69" i="12"/>
  <c r="L69" i="12"/>
  <c r="K69" i="12"/>
  <c r="J69" i="12"/>
  <c r="I69" i="12"/>
  <c r="H69" i="12"/>
  <c r="G69" i="12"/>
  <c r="AD67" i="12"/>
  <c r="AD66" i="12"/>
  <c r="AC66" i="12"/>
  <c r="AB66" i="12"/>
  <c r="AA66" i="12"/>
  <c r="Z66" i="12"/>
  <c r="Y66" i="12"/>
  <c r="X66" i="12"/>
  <c r="W66" i="12"/>
  <c r="V66" i="12"/>
  <c r="U66" i="12"/>
  <c r="T66" i="12"/>
  <c r="S66" i="12"/>
  <c r="R66" i="12"/>
  <c r="Q66" i="12"/>
  <c r="P66" i="12"/>
  <c r="O66" i="12"/>
  <c r="N66" i="12"/>
  <c r="M66" i="12"/>
  <c r="L66" i="12"/>
  <c r="K66" i="12"/>
  <c r="J66" i="12"/>
  <c r="I66" i="12"/>
  <c r="H66" i="12"/>
  <c r="G66" i="12"/>
  <c r="A64" i="12"/>
  <c r="AD63" i="12"/>
  <c r="AC63" i="12"/>
  <c r="AB63" i="12"/>
  <c r="AA63" i="12"/>
  <c r="Z63" i="12"/>
  <c r="Y63" i="12"/>
  <c r="X63" i="12"/>
  <c r="W63" i="12"/>
  <c r="V63" i="12"/>
  <c r="U63" i="12"/>
  <c r="T63" i="12"/>
  <c r="S63" i="12"/>
  <c r="R63" i="12"/>
  <c r="Q63" i="12"/>
  <c r="P63" i="12"/>
  <c r="O63" i="12"/>
  <c r="N63" i="12"/>
  <c r="M63" i="12"/>
  <c r="L63" i="12"/>
  <c r="K63" i="12"/>
  <c r="J63" i="12"/>
  <c r="I63" i="12"/>
  <c r="H63" i="12"/>
  <c r="G63" i="12"/>
  <c r="AD57" i="12"/>
  <c r="AC57" i="12"/>
  <c r="AB57" i="12"/>
  <c r="AA57" i="12"/>
  <c r="Z57" i="12"/>
  <c r="Y57" i="12"/>
  <c r="X57" i="12"/>
  <c r="W57" i="12"/>
  <c r="V57" i="12"/>
  <c r="U57" i="12"/>
  <c r="T57" i="12"/>
  <c r="S57" i="12"/>
  <c r="R57" i="12"/>
  <c r="Q57" i="12"/>
  <c r="P57" i="12"/>
  <c r="O57" i="12"/>
  <c r="N57" i="12"/>
  <c r="M57" i="12"/>
  <c r="L57" i="12"/>
  <c r="K57" i="12"/>
  <c r="J57" i="12"/>
  <c r="I57" i="12"/>
  <c r="H57" i="12"/>
  <c r="G57" i="12"/>
  <c r="A54" i="12"/>
  <c r="AD50" i="12"/>
  <c r="AC50" i="12"/>
  <c r="AB50" i="12"/>
  <c r="AA50" i="12"/>
  <c r="Z50" i="12"/>
  <c r="Y50" i="12"/>
  <c r="X50" i="12"/>
  <c r="W50" i="12"/>
  <c r="V50" i="12"/>
  <c r="U50" i="12"/>
  <c r="T50" i="12"/>
  <c r="S50" i="12"/>
  <c r="R50" i="12"/>
  <c r="Q50" i="12"/>
  <c r="P50" i="12"/>
  <c r="O50" i="12"/>
  <c r="N50" i="12"/>
  <c r="M50" i="12"/>
  <c r="L50" i="12"/>
  <c r="K50" i="12"/>
  <c r="J50" i="12"/>
  <c r="I50" i="12"/>
  <c r="H50" i="12"/>
  <c r="G50" i="12"/>
  <c r="AD48" i="12"/>
  <c r="K48" i="12"/>
  <c r="J48" i="12"/>
  <c r="I48" i="12"/>
  <c r="H48" i="12"/>
  <c r="G48" i="12"/>
  <c r="AD47" i="12"/>
  <c r="AC47" i="12"/>
  <c r="AB47" i="12"/>
  <c r="AA47" i="12"/>
  <c r="Z47" i="12"/>
  <c r="Y47" i="12"/>
  <c r="X47" i="12"/>
  <c r="W47" i="12"/>
  <c r="V47" i="12"/>
  <c r="U47" i="12"/>
  <c r="T47" i="12"/>
  <c r="S47" i="12"/>
  <c r="R47" i="12"/>
  <c r="Q47" i="12"/>
  <c r="P47" i="12"/>
  <c r="O47" i="12"/>
  <c r="N47" i="12"/>
  <c r="M47" i="12"/>
  <c r="L47" i="12"/>
  <c r="K47" i="12"/>
  <c r="J47" i="12"/>
  <c r="I47" i="12"/>
  <c r="H47" i="12"/>
  <c r="G47" i="12"/>
  <c r="A45" i="12"/>
  <c r="AD44" i="12"/>
  <c r="AC44" i="12"/>
  <c r="AB44" i="12"/>
  <c r="AA44" i="12"/>
  <c r="Z44" i="12"/>
  <c r="Y44" i="12"/>
  <c r="X44" i="12"/>
  <c r="W44" i="12"/>
  <c r="V44" i="12"/>
  <c r="U44" i="12"/>
  <c r="T44" i="12"/>
  <c r="S44" i="12"/>
  <c r="R44" i="12"/>
  <c r="Q44" i="12"/>
  <c r="P44" i="12"/>
  <c r="O44" i="12"/>
  <c r="N44" i="12"/>
  <c r="M44" i="12"/>
  <c r="L44" i="12"/>
  <c r="K44" i="12"/>
  <c r="J44" i="12"/>
  <c r="I44" i="12"/>
  <c r="H44" i="12"/>
  <c r="G44" i="12"/>
  <c r="AD41" i="12"/>
  <c r="AD40" i="12"/>
  <c r="AD36" i="12"/>
  <c r="AD35" i="12"/>
  <c r="AD32" i="12"/>
  <c r="AC32" i="12"/>
  <c r="AB32" i="12"/>
  <c r="AA32" i="12"/>
  <c r="Z32" i="12"/>
  <c r="Y32" i="12"/>
  <c r="X32" i="12"/>
  <c r="W32" i="12"/>
  <c r="V32" i="12"/>
  <c r="U32" i="12"/>
  <c r="T32" i="12"/>
  <c r="S32" i="12"/>
  <c r="R32" i="12"/>
  <c r="Q32" i="12"/>
  <c r="P32" i="12"/>
  <c r="O32" i="12"/>
  <c r="N32" i="12"/>
  <c r="M32" i="12"/>
  <c r="L32" i="12"/>
  <c r="K32" i="12"/>
  <c r="J32" i="12"/>
  <c r="I32" i="12"/>
  <c r="H32" i="12"/>
  <c r="G32" i="12"/>
  <c r="A29" i="12"/>
  <c r="A28" i="12"/>
  <c r="A27" i="12"/>
  <c r="A23" i="12"/>
  <c r="A22" i="12"/>
  <c r="A21" i="12"/>
  <c r="AD18" i="12"/>
  <c r="AC18" i="12"/>
  <c r="AB18" i="12"/>
  <c r="AA18" i="12"/>
  <c r="Z18" i="12"/>
  <c r="Y18" i="12"/>
  <c r="X18" i="12"/>
  <c r="W18" i="12"/>
  <c r="V18" i="12"/>
  <c r="U18" i="12"/>
  <c r="T18" i="12"/>
  <c r="S18" i="12"/>
  <c r="R18" i="12"/>
  <c r="Q18" i="12"/>
  <c r="P18" i="12"/>
  <c r="O18" i="12"/>
  <c r="N18" i="12"/>
  <c r="M18" i="12"/>
  <c r="L18" i="12"/>
  <c r="K18" i="12"/>
  <c r="J18" i="12"/>
  <c r="I18" i="12"/>
  <c r="H18" i="12"/>
  <c r="G18" i="12"/>
  <c r="AD15" i="12"/>
  <c r="AC15" i="12"/>
  <c r="AB15" i="12"/>
  <c r="AA15" i="12"/>
  <c r="Z15" i="12"/>
  <c r="Y15" i="12"/>
  <c r="X15" i="12"/>
  <c r="W15" i="12"/>
  <c r="V15" i="12"/>
  <c r="U15" i="12"/>
  <c r="T15" i="12"/>
  <c r="S15" i="12"/>
  <c r="R15" i="12"/>
  <c r="Q15" i="12"/>
  <c r="P15" i="12"/>
  <c r="O15" i="12"/>
  <c r="N15" i="12"/>
  <c r="M15" i="12"/>
  <c r="L15" i="12"/>
  <c r="K15" i="12"/>
  <c r="J15" i="12"/>
  <c r="I15" i="12"/>
  <c r="H15" i="12"/>
  <c r="G15" i="12"/>
  <c r="A13" i="12"/>
  <c r="AD12" i="12"/>
  <c r="AC12" i="12"/>
  <c r="AB12" i="12"/>
  <c r="AA12" i="12"/>
  <c r="Z12" i="12"/>
  <c r="Y12" i="12"/>
  <c r="X12" i="12"/>
  <c r="W12" i="12"/>
  <c r="V12" i="12"/>
  <c r="U12" i="12"/>
  <c r="T12" i="12"/>
  <c r="S12" i="12"/>
  <c r="R12" i="12"/>
  <c r="Q12" i="12"/>
  <c r="P12" i="12"/>
  <c r="O12" i="12"/>
  <c r="N12" i="12"/>
  <c r="M12" i="12"/>
  <c r="L12" i="12"/>
  <c r="K12" i="12"/>
  <c r="J12" i="12"/>
  <c r="I12" i="12"/>
  <c r="H12" i="12"/>
  <c r="G12" i="12"/>
  <c r="AD10" i="12"/>
  <c r="AD9" i="12"/>
  <c r="AC9" i="12"/>
  <c r="AB9" i="12"/>
  <c r="AA9" i="12"/>
  <c r="Z9" i="12"/>
  <c r="Y9" i="12"/>
  <c r="X9" i="12"/>
  <c r="W9" i="12"/>
  <c r="V9" i="12"/>
  <c r="U9" i="12"/>
  <c r="T9" i="12"/>
  <c r="S9" i="12"/>
  <c r="R9" i="12"/>
  <c r="Q9" i="12"/>
  <c r="P9" i="12"/>
  <c r="O9" i="12"/>
  <c r="N9" i="12"/>
  <c r="M9" i="12"/>
  <c r="L9" i="12"/>
  <c r="K9" i="12"/>
  <c r="J9" i="12"/>
  <c r="I9" i="12"/>
  <c r="H9" i="12"/>
  <c r="G9" i="12"/>
  <c r="A7" i="12"/>
  <c r="AD6" i="12"/>
  <c r="AC6" i="12"/>
  <c r="AB6" i="12"/>
  <c r="AA6" i="12"/>
  <c r="Z6" i="12"/>
  <c r="Y6" i="12"/>
  <c r="X6" i="12"/>
  <c r="W6" i="12"/>
  <c r="V6" i="12"/>
  <c r="U6" i="12"/>
  <c r="T6" i="12"/>
  <c r="S6" i="12"/>
  <c r="R6" i="12"/>
  <c r="Q6" i="12"/>
  <c r="P6" i="12"/>
  <c r="O6" i="12"/>
  <c r="N6" i="12"/>
  <c r="M6" i="12"/>
  <c r="L6" i="12"/>
  <c r="K6" i="12"/>
  <c r="J6" i="12"/>
  <c r="I6" i="12"/>
  <c r="H6" i="12"/>
  <c r="G6" i="12"/>
  <c r="DR114" i="11"/>
  <c r="DM114" i="11"/>
  <c r="DH114" i="11"/>
  <c r="DC114" i="11"/>
  <c r="CX114" i="11"/>
  <c r="CS114" i="11"/>
  <c r="CN114" i="11"/>
  <c r="CI114" i="11"/>
  <c r="CD114" i="11"/>
  <c r="BY114" i="11"/>
  <c r="BT114" i="11"/>
  <c r="BO114" i="11"/>
  <c r="BJ114" i="11"/>
  <c r="BE114" i="11"/>
  <c r="AZ114" i="11"/>
  <c r="AU114" i="11"/>
  <c r="AP114" i="11"/>
  <c r="AK114" i="11"/>
  <c r="AF114" i="11"/>
  <c r="AA114" i="11"/>
  <c r="V114" i="11"/>
  <c r="Q114" i="11"/>
  <c r="L114" i="11"/>
  <c r="G114" i="11"/>
  <c r="DR107" i="11"/>
  <c r="DM107" i="11"/>
  <c r="DH107" i="11"/>
  <c r="DC107" i="11"/>
  <c r="CX107" i="11"/>
  <c r="CS107" i="11"/>
  <c r="CN107" i="11"/>
  <c r="CI107" i="11"/>
  <c r="CD107" i="11"/>
  <c r="BY107" i="11"/>
  <c r="BT107" i="11"/>
  <c r="BO107" i="11"/>
  <c r="BJ107" i="11"/>
  <c r="BE107" i="11"/>
  <c r="AZ107" i="11"/>
  <c r="AU107" i="11"/>
  <c r="AP107" i="11"/>
  <c r="AK107" i="11"/>
  <c r="AF107" i="11"/>
  <c r="AA107" i="11"/>
  <c r="V107" i="11"/>
  <c r="Q107" i="11"/>
  <c r="L107" i="11"/>
  <c r="G107" i="11"/>
  <c r="DR99" i="11"/>
  <c r="DM99" i="11"/>
  <c r="DH99" i="11"/>
  <c r="DC99" i="11"/>
  <c r="CX99" i="11"/>
  <c r="CS99" i="11"/>
  <c r="CN99" i="11"/>
  <c r="CI99" i="11"/>
  <c r="CD99" i="11"/>
  <c r="BY99" i="11"/>
  <c r="BT99" i="11"/>
  <c r="BO99" i="11"/>
  <c r="BJ99" i="11"/>
  <c r="BE99" i="11"/>
  <c r="AZ99" i="11"/>
  <c r="AU99" i="11"/>
  <c r="AP99" i="11"/>
  <c r="AK99" i="11"/>
  <c r="AF99" i="11"/>
  <c r="AA99" i="11"/>
  <c r="V99" i="11"/>
  <c r="Q99" i="11"/>
  <c r="L99" i="11"/>
  <c r="G99" i="11"/>
  <c r="DR92" i="11"/>
  <c r="DM92" i="11"/>
  <c r="DH92" i="11"/>
  <c r="DC92" i="11"/>
  <c r="CX92" i="11"/>
  <c r="CS92" i="11"/>
  <c r="CN92" i="11"/>
  <c r="CI92" i="11"/>
  <c r="CD92" i="11"/>
  <c r="BY92" i="11"/>
  <c r="BT92" i="11"/>
  <c r="BO92" i="11"/>
  <c r="BJ92" i="11"/>
  <c r="BE92" i="11"/>
  <c r="AZ92" i="11"/>
  <c r="AU92" i="11"/>
  <c r="AP92" i="11"/>
  <c r="AK92" i="11"/>
  <c r="AF92" i="11"/>
  <c r="AA92" i="11"/>
  <c r="V92" i="11"/>
  <c r="Q92" i="11"/>
  <c r="L92" i="11"/>
  <c r="G92" i="11"/>
  <c r="DR90" i="11"/>
  <c r="DR84" i="11"/>
  <c r="DM84" i="11"/>
  <c r="DH84" i="11"/>
  <c r="DC84" i="11"/>
  <c r="CX84" i="11"/>
  <c r="CS84" i="11"/>
  <c r="CN84" i="11"/>
  <c r="CI84" i="11"/>
  <c r="CD84" i="11"/>
  <c r="BY84" i="11"/>
  <c r="BT84" i="11"/>
  <c r="BO84" i="11"/>
  <c r="BJ84" i="11"/>
  <c r="BE84" i="11"/>
  <c r="AZ84" i="11"/>
  <c r="AU84" i="11"/>
  <c r="AP84" i="11"/>
  <c r="AK84" i="11"/>
  <c r="AF84" i="11"/>
  <c r="AA84" i="11"/>
  <c r="V84" i="11"/>
  <c r="Q84" i="11"/>
  <c r="L84" i="11"/>
  <c r="G84" i="11"/>
  <c r="DR79" i="11"/>
  <c r="DM79" i="11"/>
  <c r="DH79" i="11"/>
  <c r="DC79" i="11"/>
  <c r="CX79" i="11"/>
  <c r="CS79" i="11"/>
  <c r="CN79" i="11"/>
  <c r="CI79" i="11"/>
  <c r="CD79" i="11"/>
  <c r="BY79" i="11"/>
  <c r="BT79" i="11"/>
  <c r="BO79" i="11"/>
  <c r="BJ79" i="11"/>
  <c r="BE79" i="11"/>
  <c r="AZ79" i="11"/>
  <c r="AU79" i="11"/>
  <c r="AP79" i="11"/>
  <c r="AK79" i="11"/>
  <c r="AF79" i="11"/>
  <c r="AA79" i="11"/>
  <c r="V79" i="11"/>
  <c r="Q79" i="11"/>
  <c r="L79" i="11"/>
  <c r="G79" i="11"/>
  <c r="Y76" i="11"/>
  <c r="T76" i="11"/>
  <c r="O76" i="11"/>
  <c r="Z74" i="11"/>
  <c r="Y74" i="11"/>
  <c r="U74" i="11"/>
  <c r="T74" i="11"/>
  <c r="P74" i="11"/>
  <c r="O74" i="11"/>
  <c r="K74" i="11"/>
  <c r="J74" i="11"/>
  <c r="I74" i="11"/>
  <c r="Z73" i="11"/>
  <c r="U73" i="11"/>
  <c r="P73" i="11"/>
  <c r="Z72" i="11"/>
  <c r="U72" i="11"/>
  <c r="P72" i="11"/>
  <c r="AB71" i="11"/>
  <c r="Z71" i="11"/>
  <c r="X71" i="11"/>
  <c r="W71" i="11"/>
  <c r="U71" i="11"/>
  <c r="S71" i="11"/>
  <c r="R71" i="11"/>
  <c r="P71" i="11"/>
  <c r="N71" i="11"/>
  <c r="M71" i="11"/>
  <c r="DR69" i="11"/>
  <c r="DM69" i="11"/>
  <c r="DH69" i="11"/>
  <c r="DC69" i="11"/>
  <c r="CX69" i="11"/>
  <c r="CS69" i="11"/>
  <c r="CN69" i="11"/>
  <c r="CI69" i="11"/>
  <c r="CD69" i="11"/>
  <c r="BY69" i="11"/>
  <c r="BT69" i="11"/>
  <c r="BO69" i="11"/>
  <c r="BJ69" i="11"/>
  <c r="BE69" i="11"/>
  <c r="AZ69" i="11"/>
  <c r="AU69" i="11"/>
  <c r="AP69" i="11"/>
  <c r="AK69" i="11"/>
  <c r="AF69" i="11"/>
  <c r="AA69" i="11"/>
  <c r="V69" i="11"/>
  <c r="Q69" i="11"/>
  <c r="L69" i="11"/>
  <c r="G69" i="11"/>
  <c r="DR54" i="11"/>
  <c r="DM54" i="11"/>
  <c r="DH54" i="11"/>
  <c r="DC54" i="11"/>
  <c r="CX54" i="11"/>
  <c r="CS54" i="11"/>
  <c r="CN54" i="11"/>
  <c r="CI54" i="11"/>
  <c r="CD54" i="11"/>
  <c r="BY54" i="11"/>
  <c r="BT54" i="11"/>
  <c r="BO54" i="11"/>
  <c r="BJ54" i="11"/>
  <c r="BE54" i="11"/>
  <c r="AZ54" i="11"/>
  <c r="AU54" i="11"/>
  <c r="AP54" i="11"/>
  <c r="AK54" i="11"/>
  <c r="AF54" i="11"/>
  <c r="AA54" i="11"/>
  <c r="V54" i="11"/>
  <c r="Q54" i="11"/>
  <c r="L54" i="11"/>
  <c r="G54" i="11"/>
  <c r="DT50" i="11"/>
  <c r="DR50" i="11"/>
  <c r="AD16" i="12" s="1"/>
  <c r="DR45" i="11"/>
  <c r="DM45" i="11"/>
  <c r="DH45" i="11"/>
  <c r="DC45" i="11"/>
  <c r="CX45" i="11"/>
  <c r="CS45" i="11"/>
  <c r="CN45" i="11"/>
  <c r="CI45" i="11"/>
  <c r="CD45" i="11"/>
  <c r="BY45" i="11"/>
  <c r="BT45" i="11"/>
  <c r="BO45" i="11"/>
  <c r="BJ45" i="11"/>
  <c r="BE45" i="11"/>
  <c r="AZ45" i="11"/>
  <c r="AU45" i="11"/>
  <c r="AP45" i="11"/>
  <c r="AK45" i="11"/>
  <c r="AF45" i="11"/>
  <c r="AA45" i="11"/>
  <c r="V45" i="11"/>
  <c r="Q45" i="11"/>
  <c r="L45" i="11"/>
  <c r="G45" i="11"/>
  <c r="DR39" i="11"/>
  <c r="DM39" i="11"/>
  <c r="DH39" i="11"/>
  <c r="DC39" i="11"/>
  <c r="CX39" i="11"/>
  <c r="CS39" i="11"/>
  <c r="CN39" i="11"/>
  <c r="CI39" i="11"/>
  <c r="CD39" i="11"/>
  <c r="BY39" i="11"/>
  <c r="BT39" i="11"/>
  <c r="BO39" i="11"/>
  <c r="BJ39" i="11"/>
  <c r="BE39" i="11"/>
  <c r="AZ39" i="11"/>
  <c r="AU39" i="11"/>
  <c r="AP39" i="11"/>
  <c r="AK39" i="11"/>
  <c r="AF39" i="11"/>
  <c r="AA39" i="11"/>
  <c r="V39" i="11"/>
  <c r="Q39" i="11"/>
  <c r="L39" i="11"/>
  <c r="G39" i="11"/>
  <c r="DR33" i="11"/>
  <c r="DM33" i="11"/>
  <c r="DH33" i="11"/>
  <c r="DC33" i="11"/>
  <c r="CX33" i="11"/>
  <c r="CS33" i="11"/>
  <c r="CN33" i="11"/>
  <c r="CI33" i="11"/>
  <c r="CD33" i="11"/>
  <c r="BY33" i="11"/>
  <c r="BT33" i="11"/>
  <c r="BO33" i="11"/>
  <c r="BJ33" i="11"/>
  <c r="BE33" i="11"/>
  <c r="AZ33" i="11"/>
  <c r="AU33" i="11"/>
  <c r="AP33" i="11"/>
  <c r="AK33" i="11"/>
  <c r="AF33" i="11"/>
  <c r="AA33" i="11"/>
  <c r="V33" i="11"/>
  <c r="Q33" i="11"/>
  <c r="L33" i="11"/>
  <c r="G33" i="11"/>
  <c r="DV32" i="11"/>
  <c r="DR20" i="11"/>
  <c r="DM20" i="11"/>
  <c r="DH20" i="11"/>
  <c r="DC20" i="11"/>
  <c r="CX20" i="11"/>
  <c r="CS20" i="11"/>
  <c r="CN20" i="11"/>
  <c r="CI20" i="11"/>
  <c r="CD20" i="11"/>
  <c r="BY20" i="11"/>
  <c r="BT20" i="11"/>
  <c r="BO20" i="11"/>
  <c r="BJ20" i="11"/>
  <c r="BE20" i="11"/>
  <c r="AZ20" i="11"/>
  <c r="AU20" i="11"/>
  <c r="AP20" i="11"/>
  <c r="AK20" i="11"/>
  <c r="AF20" i="11"/>
  <c r="AA20" i="11"/>
  <c r="V20" i="11"/>
  <c r="Q20" i="11"/>
  <c r="L20" i="11"/>
  <c r="G20" i="11"/>
  <c r="DT11" i="11"/>
  <c r="DR11" i="11"/>
  <c r="DT8" i="11"/>
  <c r="DR7" i="11"/>
  <c r="DR5" i="11"/>
  <c r="DM5" i="11"/>
  <c r="DH5" i="11"/>
  <c r="DC5" i="11"/>
  <c r="CX5" i="11"/>
  <c r="CS5" i="11"/>
  <c r="CN5" i="11"/>
  <c r="CI5" i="11"/>
  <c r="CD5" i="11"/>
  <c r="BY5" i="11"/>
  <c r="BT5" i="11"/>
  <c r="BO5" i="11"/>
  <c r="BJ5" i="11"/>
  <c r="BE5" i="11"/>
  <c r="AZ5" i="11"/>
  <c r="AU5" i="11"/>
  <c r="AP5" i="11"/>
  <c r="AK5" i="11"/>
  <c r="AF5" i="11"/>
  <c r="AA5" i="11"/>
  <c r="V5" i="11"/>
  <c r="Q5" i="11"/>
  <c r="L5" i="11"/>
  <c r="G5" i="11"/>
  <c r="D4" i="11"/>
  <c r="BJ223" i="17"/>
  <c r="BI223" i="17"/>
  <c r="BH223" i="17"/>
  <c r="BG223" i="17"/>
  <c r="BF223" i="17"/>
  <c r="BE223" i="17"/>
  <c r="BD223" i="17"/>
  <c r="BC223" i="17"/>
  <c r="BB223" i="17"/>
  <c r="BA223" i="17"/>
  <c r="AZ223" i="17"/>
  <c r="AY223" i="17"/>
  <c r="AX223" i="17"/>
  <c r="AW223" i="17"/>
  <c r="AV223" i="17"/>
  <c r="AU223" i="17"/>
  <c r="AT223" i="17"/>
  <c r="AS223" i="17"/>
  <c r="AR223" i="17"/>
  <c r="AQ223" i="17"/>
  <c r="AP223" i="17"/>
  <c r="AO223" i="17"/>
  <c r="AN223" i="17"/>
  <c r="AM223" i="17"/>
  <c r="AL223" i="17"/>
  <c r="AK223" i="17"/>
  <c r="AJ223" i="17"/>
  <c r="AI223" i="17"/>
  <c r="AH223" i="17"/>
  <c r="AG223" i="17"/>
  <c r="AF223" i="17"/>
  <c r="AE223" i="17"/>
  <c r="AD223" i="17"/>
  <c r="AC223" i="17"/>
  <c r="AB223" i="17"/>
  <c r="AA223" i="17"/>
  <c r="Z223" i="17"/>
  <c r="Y223" i="17"/>
  <c r="X223" i="17"/>
  <c r="W223" i="17"/>
  <c r="V223" i="17"/>
  <c r="U223" i="17"/>
  <c r="T223" i="17"/>
  <c r="S223" i="17"/>
  <c r="R223" i="17"/>
  <c r="Q223" i="17"/>
  <c r="P223" i="17"/>
  <c r="O223" i="17"/>
  <c r="N223" i="17"/>
  <c r="M223" i="17"/>
  <c r="L223" i="17"/>
  <c r="K223" i="17"/>
  <c r="J223" i="17"/>
  <c r="I223" i="17"/>
  <c r="H223" i="17"/>
  <c r="G223" i="17"/>
  <c r="J224" i="17" s="1"/>
  <c r="BJ220" i="17"/>
  <c r="BI220" i="17"/>
  <c r="BH220" i="17"/>
  <c r="BG220" i="17"/>
  <c r="BF220" i="17"/>
  <c r="BE220" i="17"/>
  <c r="BD220" i="17"/>
  <c r="BC220" i="17"/>
  <c r="BB220" i="17"/>
  <c r="BA220" i="17"/>
  <c r="AZ220" i="17"/>
  <c r="AY220" i="17"/>
  <c r="AX220" i="17"/>
  <c r="AW220" i="17"/>
  <c r="AV220" i="17"/>
  <c r="AU220" i="17"/>
  <c r="AT220" i="17"/>
  <c r="AS220" i="17"/>
  <c r="AR220" i="17"/>
  <c r="AQ220" i="17"/>
  <c r="AP220" i="17"/>
  <c r="AO220" i="17"/>
  <c r="AN220" i="17"/>
  <c r="AM220" i="17"/>
  <c r="AL220" i="17"/>
  <c r="AK220" i="17"/>
  <c r="AJ220" i="17"/>
  <c r="AI220" i="17"/>
  <c r="AH220" i="17"/>
  <c r="AG220" i="17"/>
  <c r="AF220" i="17"/>
  <c r="AE220" i="17"/>
  <c r="AD220" i="17"/>
  <c r="AC220" i="17"/>
  <c r="AB220" i="17"/>
  <c r="AA220" i="17"/>
  <c r="Z220" i="17"/>
  <c r="Y220" i="17"/>
  <c r="X220" i="17"/>
  <c r="W220" i="17"/>
  <c r="V220" i="17"/>
  <c r="U220" i="17"/>
  <c r="T220" i="17"/>
  <c r="S220" i="17"/>
  <c r="R220" i="17"/>
  <c r="Q220" i="17"/>
  <c r="P220" i="17"/>
  <c r="O220" i="17"/>
  <c r="N220" i="17"/>
  <c r="M220" i="17"/>
  <c r="L220" i="17"/>
  <c r="K220" i="17"/>
  <c r="J220" i="17"/>
  <c r="I220" i="17"/>
  <c r="H220" i="17"/>
  <c r="G220" i="17"/>
  <c r="J221" i="17" s="1"/>
  <c r="BJ66" i="17"/>
  <c r="BI66" i="17"/>
  <c r="BH66" i="17"/>
  <c r="BG66" i="17"/>
  <c r="BF66" i="17"/>
  <c r="BE66" i="17"/>
  <c r="BD66" i="17"/>
  <c r="BC66" i="17"/>
  <c r="BB66" i="17"/>
  <c r="BA66" i="17"/>
  <c r="AZ66" i="17"/>
  <c r="AY66" i="17"/>
  <c r="AX66" i="17"/>
  <c r="AW66" i="17"/>
  <c r="AV66" i="17"/>
  <c r="AU66" i="17"/>
  <c r="AT66" i="17"/>
  <c r="AS66" i="17"/>
  <c r="AR66" i="17"/>
  <c r="AQ66" i="17"/>
  <c r="AP66" i="17"/>
  <c r="AO66" i="17"/>
  <c r="AN66" i="17"/>
  <c r="AM66" i="17"/>
  <c r="AL66" i="17"/>
  <c r="AK66" i="17"/>
  <c r="AJ66" i="17"/>
  <c r="AI66" i="17"/>
  <c r="AH66" i="17"/>
  <c r="AG66" i="17"/>
  <c r="AF66" i="17"/>
  <c r="AE66" i="17"/>
  <c r="AD66" i="17"/>
  <c r="AC66" i="17"/>
  <c r="AB66" i="17"/>
  <c r="AA66" i="17"/>
  <c r="Z66" i="17"/>
  <c r="Y66" i="17"/>
  <c r="X66" i="17"/>
  <c r="W66" i="17"/>
  <c r="V66" i="17"/>
  <c r="U66" i="17"/>
  <c r="T66" i="17"/>
  <c r="S66" i="17"/>
  <c r="R66" i="17"/>
  <c r="Q66" i="17"/>
  <c r="P66" i="17"/>
  <c r="O66" i="17"/>
  <c r="N66" i="17"/>
  <c r="M66" i="17"/>
  <c r="L66" i="17"/>
  <c r="K66" i="17"/>
  <c r="J66" i="17"/>
  <c r="I66" i="17"/>
  <c r="H66" i="17"/>
  <c r="G66" i="17"/>
  <c r="J67" i="17" s="1"/>
  <c r="BJ63" i="17"/>
  <c r="BI63" i="17"/>
  <c r="BH63" i="17"/>
  <c r="BG63" i="17"/>
  <c r="BF63" i="17"/>
  <c r="BE63" i="17"/>
  <c r="BD63" i="17"/>
  <c r="BC63" i="17"/>
  <c r="BB63" i="17"/>
  <c r="BA63" i="17"/>
  <c r="AZ63" i="17"/>
  <c r="AY63" i="17"/>
  <c r="AX63" i="17"/>
  <c r="AW63" i="17"/>
  <c r="AV63" i="17"/>
  <c r="AU63" i="17"/>
  <c r="AT63" i="17"/>
  <c r="AS63" i="17"/>
  <c r="AR63" i="17"/>
  <c r="AQ63" i="17"/>
  <c r="AP63" i="17"/>
  <c r="AO63" i="17"/>
  <c r="AN63" i="17"/>
  <c r="AM63" i="17"/>
  <c r="AL63" i="17"/>
  <c r="AK63" i="17"/>
  <c r="AJ63" i="17"/>
  <c r="AI63" i="17"/>
  <c r="AH63" i="17"/>
  <c r="AG63" i="17"/>
  <c r="AF63" i="17"/>
  <c r="AE63" i="17"/>
  <c r="AD63" i="17"/>
  <c r="AC63" i="17"/>
  <c r="AB63" i="17"/>
  <c r="AA63" i="17"/>
  <c r="Z63" i="17"/>
  <c r="Y63" i="17"/>
  <c r="X63" i="17"/>
  <c r="W63" i="17"/>
  <c r="V63" i="17"/>
  <c r="U63" i="17"/>
  <c r="T63" i="17"/>
  <c r="S63" i="17"/>
  <c r="R63" i="17"/>
  <c r="Q63" i="17"/>
  <c r="P63" i="17"/>
  <c r="O63" i="17"/>
  <c r="N63" i="17"/>
  <c r="M63" i="17"/>
  <c r="L63" i="17"/>
  <c r="K63" i="17"/>
  <c r="J63" i="17"/>
  <c r="I63" i="17"/>
  <c r="H63" i="17"/>
  <c r="G63" i="17"/>
  <c r="J64" i="17" s="1"/>
  <c r="BJ60" i="17"/>
  <c r="BI60" i="17"/>
  <c r="BH60" i="17"/>
  <c r="BG60" i="17"/>
  <c r="BF60" i="17"/>
  <c r="BE60" i="17"/>
  <c r="BD60" i="17"/>
  <c r="BC60" i="17"/>
  <c r="BB60" i="17"/>
  <c r="BA60" i="17"/>
  <c r="AZ60" i="17"/>
  <c r="AY60" i="17"/>
  <c r="AX60" i="17"/>
  <c r="AW60" i="17"/>
  <c r="AV60" i="17"/>
  <c r="AU60" i="17"/>
  <c r="AT60" i="17"/>
  <c r="AS60" i="17"/>
  <c r="AR60" i="17"/>
  <c r="AQ60" i="17"/>
  <c r="AP60" i="17"/>
  <c r="AO60" i="17"/>
  <c r="AN60" i="17"/>
  <c r="AM60" i="17"/>
  <c r="AL60" i="17"/>
  <c r="AK60" i="17"/>
  <c r="AJ60" i="17"/>
  <c r="AI60" i="17"/>
  <c r="AH60" i="17"/>
  <c r="AG60" i="17"/>
  <c r="AF60" i="17"/>
  <c r="AE60" i="17"/>
  <c r="AD60" i="17"/>
  <c r="AC60" i="17"/>
  <c r="AB60" i="17"/>
  <c r="AA60" i="17"/>
  <c r="Z60" i="17"/>
  <c r="Y60" i="17"/>
  <c r="X60" i="17"/>
  <c r="W60" i="17"/>
  <c r="V60" i="17"/>
  <c r="U60" i="17"/>
  <c r="T60" i="17"/>
  <c r="S60" i="17"/>
  <c r="R60" i="17"/>
  <c r="Q60" i="17"/>
  <c r="P60" i="17"/>
  <c r="O60" i="17"/>
  <c r="N60" i="17"/>
  <c r="M60" i="17"/>
  <c r="L60" i="17"/>
  <c r="K60" i="17"/>
  <c r="J60" i="17"/>
  <c r="I60" i="17"/>
  <c r="H60" i="17"/>
  <c r="G60" i="17"/>
  <c r="J61" i="17" s="1"/>
  <c r="CF166" i="17"/>
  <c r="CE166" i="17"/>
  <c r="CD166" i="17"/>
  <c r="CC166" i="17"/>
  <c r="CB166" i="17"/>
  <c r="CA166" i="17"/>
  <c r="BZ166" i="17"/>
  <c r="BY166" i="17"/>
  <c r="BX166" i="17"/>
  <c r="BW166" i="17"/>
  <c r="BV166" i="17"/>
  <c r="BU166" i="17"/>
  <c r="BT166" i="17"/>
  <c r="BS166" i="17"/>
  <c r="BR166" i="17"/>
  <c r="BQ166" i="17"/>
  <c r="BP166" i="17"/>
  <c r="BO166" i="17"/>
  <c r="BN166" i="17"/>
  <c r="BM166" i="17"/>
  <c r="BL166" i="17"/>
  <c r="BK166" i="17"/>
  <c r="BJ166" i="17"/>
  <c r="BI166" i="17"/>
  <c r="BH166" i="17"/>
  <c r="BG166" i="17"/>
  <c r="BF166" i="17"/>
  <c r="BE166" i="17"/>
  <c r="BD166" i="17"/>
  <c r="BC166" i="17"/>
  <c r="BB166" i="17"/>
  <c r="BA166" i="17"/>
  <c r="AZ166" i="17"/>
  <c r="AY166" i="17"/>
  <c r="AX166" i="17"/>
  <c r="AW166" i="17"/>
  <c r="AV166" i="17"/>
  <c r="AU166" i="17"/>
  <c r="AT166" i="17"/>
  <c r="AS166" i="17"/>
  <c r="AR166" i="17"/>
  <c r="AQ166" i="17"/>
  <c r="AP166" i="17"/>
  <c r="AO166" i="17"/>
  <c r="AN166" i="17"/>
  <c r="AM166" i="17"/>
  <c r="AL166" i="17"/>
  <c r="AK166" i="17"/>
  <c r="AJ166" i="17"/>
  <c r="AI166" i="17"/>
  <c r="AH166" i="17"/>
  <c r="AG166" i="17"/>
  <c r="AF166" i="17"/>
  <c r="AE166" i="17"/>
  <c r="AD166" i="17"/>
  <c r="AC166" i="17"/>
  <c r="AB166" i="17"/>
  <c r="AA166" i="17"/>
  <c r="Z166" i="17"/>
  <c r="Y166" i="17"/>
  <c r="X166" i="17"/>
  <c r="W166" i="17"/>
  <c r="V166" i="17"/>
  <c r="U166" i="17"/>
  <c r="T166" i="17"/>
  <c r="S166" i="17"/>
  <c r="R166" i="17"/>
  <c r="Q166" i="17"/>
  <c r="P166" i="17"/>
  <c r="O166" i="17"/>
  <c r="N166" i="17"/>
  <c r="M166" i="17"/>
  <c r="L166" i="17"/>
  <c r="K166" i="17"/>
  <c r="J166" i="17"/>
  <c r="I166" i="17"/>
  <c r="H166" i="17"/>
  <c r="G166" i="17"/>
  <c r="CF163" i="17"/>
  <c r="CE163" i="17"/>
  <c r="CD163" i="17"/>
  <c r="CC163" i="17"/>
  <c r="CB163" i="17"/>
  <c r="CA163" i="17"/>
  <c r="BZ163" i="17"/>
  <c r="BY163" i="17"/>
  <c r="BX163" i="17"/>
  <c r="BW163" i="17"/>
  <c r="BV163" i="17"/>
  <c r="BU163" i="17"/>
  <c r="BT163" i="17"/>
  <c r="BS163" i="17"/>
  <c r="BR163" i="17"/>
  <c r="BQ163" i="17"/>
  <c r="BP163" i="17"/>
  <c r="BO163" i="17"/>
  <c r="BN163" i="17"/>
  <c r="BM163" i="17"/>
  <c r="BL163" i="17"/>
  <c r="BK163" i="17"/>
  <c r="BJ163" i="17"/>
  <c r="BI163" i="17"/>
  <c r="BH163" i="17"/>
  <c r="BG163" i="17"/>
  <c r="BF163" i="17"/>
  <c r="BE163" i="17"/>
  <c r="BD163" i="17"/>
  <c r="BC163" i="17"/>
  <c r="BB163" i="17"/>
  <c r="BA163" i="17"/>
  <c r="AZ163" i="17"/>
  <c r="AY163" i="17"/>
  <c r="AX163" i="17"/>
  <c r="AW163" i="17"/>
  <c r="AV163" i="17"/>
  <c r="AU163" i="17"/>
  <c r="AT163" i="17"/>
  <c r="AS163" i="17"/>
  <c r="AR163" i="17"/>
  <c r="AQ163" i="17"/>
  <c r="AP163" i="17"/>
  <c r="AO163" i="17"/>
  <c r="AN163" i="17"/>
  <c r="AM163" i="17"/>
  <c r="AL163" i="17"/>
  <c r="AK163" i="17"/>
  <c r="AJ163" i="17"/>
  <c r="AI163" i="17"/>
  <c r="AH163" i="17"/>
  <c r="AG163" i="17"/>
  <c r="AF163" i="17"/>
  <c r="AE163" i="17"/>
  <c r="AD163" i="17"/>
  <c r="AC163" i="17"/>
  <c r="AB163" i="17"/>
  <c r="AA163" i="17"/>
  <c r="Z163" i="17"/>
  <c r="Y163" i="17"/>
  <c r="X163" i="17"/>
  <c r="W163" i="17"/>
  <c r="V163" i="17"/>
  <c r="U163" i="17"/>
  <c r="T163" i="17"/>
  <c r="S163" i="17"/>
  <c r="R163" i="17"/>
  <c r="Q163" i="17"/>
  <c r="P163" i="17"/>
  <c r="O163" i="17"/>
  <c r="N163" i="17"/>
  <c r="M163" i="17"/>
  <c r="L163" i="17"/>
  <c r="K163" i="17"/>
  <c r="J163" i="17"/>
  <c r="I163" i="17"/>
  <c r="H163" i="17"/>
  <c r="G163" i="17"/>
  <c r="BI286" i="17"/>
  <c r="BH286" i="17"/>
  <c r="BG286" i="17"/>
  <c r="BF286" i="17"/>
  <c r="BE286" i="17"/>
  <c r="BD286" i="17"/>
  <c r="BC286" i="17"/>
  <c r="BB286" i="17"/>
  <c r="BA286" i="17"/>
  <c r="AZ286" i="17"/>
  <c r="AY286" i="17"/>
  <c r="AX286" i="17"/>
  <c r="AW286" i="17"/>
  <c r="AV286" i="17"/>
  <c r="AU286" i="17"/>
  <c r="AT286" i="17"/>
  <c r="AS286" i="17"/>
  <c r="AR286" i="17"/>
  <c r="AQ286" i="17"/>
  <c r="AP286" i="17"/>
  <c r="AO286" i="17"/>
  <c r="AN286" i="17"/>
  <c r="AM286" i="17"/>
  <c r="AL286" i="17"/>
  <c r="AK286" i="17"/>
  <c r="AJ286" i="17"/>
  <c r="AI286" i="17"/>
  <c r="AH286" i="17"/>
  <c r="AG286" i="17"/>
  <c r="AF286" i="17"/>
  <c r="AE286" i="17"/>
  <c r="AD286" i="17"/>
  <c r="AC286" i="17"/>
  <c r="AB286" i="17"/>
  <c r="AA286" i="17"/>
  <c r="Z286" i="17"/>
  <c r="Y286" i="17"/>
  <c r="X286" i="17"/>
  <c r="W286" i="17"/>
  <c r="V286" i="17"/>
  <c r="U286" i="17"/>
  <c r="T286" i="17"/>
  <c r="S286" i="17"/>
  <c r="R286" i="17"/>
  <c r="Q286" i="17"/>
  <c r="P286" i="17"/>
  <c r="O286" i="17"/>
  <c r="N286" i="17"/>
  <c r="M286" i="17"/>
  <c r="L286" i="17"/>
  <c r="K286" i="17"/>
  <c r="J286" i="17"/>
  <c r="I286" i="17"/>
  <c r="H286" i="17"/>
  <c r="G286" i="17"/>
  <c r="CP281" i="17"/>
  <c r="CT315" i="17" s="1"/>
  <c r="CO281" i="17"/>
  <c r="CS315" i="17" s="1"/>
  <c r="CN281" i="17"/>
  <c r="CR315" i="17" s="1"/>
  <c r="CM281" i="17"/>
  <c r="CQ315" i="17" s="1"/>
  <c r="CL281" i="17"/>
  <c r="CK281" i="17"/>
  <c r="CJ281" i="17"/>
  <c r="CI281" i="17"/>
  <c r="CH281" i="17"/>
  <c r="CG281" i="17"/>
  <c r="CF281" i="17"/>
  <c r="CE281" i="17"/>
  <c r="CD281" i="17"/>
  <c r="CC281" i="17"/>
  <c r="CB281" i="17"/>
  <c r="CA281" i="17"/>
  <c r="BZ281" i="17"/>
  <c r="BY281" i="17"/>
  <c r="BX281" i="17"/>
  <c r="BW281" i="17"/>
  <c r="BV281" i="17"/>
  <c r="BU281" i="17"/>
  <c r="BT281" i="17"/>
  <c r="BS281" i="17"/>
  <c r="BR281" i="17"/>
  <c r="BQ281" i="17"/>
  <c r="BP281" i="17"/>
  <c r="BO281" i="17"/>
  <c r="BN281" i="17"/>
  <c r="BM281" i="17"/>
  <c r="BL281" i="17"/>
  <c r="BK281" i="17"/>
  <c r="BJ281" i="17"/>
  <c r="BI281" i="17"/>
  <c r="BH281" i="17"/>
  <c r="BG281" i="17"/>
  <c r="BF281" i="17"/>
  <c r="BE281" i="17"/>
  <c r="BD281" i="17"/>
  <c r="BC281" i="17"/>
  <c r="BB281" i="17"/>
  <c r="BA281" i="17"/>
  <c r="AZ281" i="17"/>
  <c r="AY281" i="17"/>
  <c r="AX281" i="17"/>
  <c r="AW281" i="17"/>
  <c r="AV281" i="17"/>
  <c r="AU281" i="17"/>
  <c r="AT281" i="17"/>
  <c r="AS281" i="17"/>
  <c r="AR281" i="17"/>
  <c r="AQ281" i="17"/>
  <c r="AP281" i="17"/>
  <c r="AO281" i="17"/>
  <c r="AN281" i="17"/>
  <c r="AM281" i="17"/>
  <c r="AL281" i="17"/>
  <c r="AK281" i="17"/>
  <c r="AJ281" i="17"/>
  <c r="AI281" i="17"/>
  <c r="AH281" i="17"/>
  <c r="AG281" i="17"/>
  <c r="AF281" i="17"/>
  <c r="AE281" i="17"/>
  <c r="AD281" i="17"/>
  <c r="AC281" i="17"/>
  <c r="AB281" i="17"/>
  <c r="AA281" i="17"/>
  <c r="Z281" i="17"/>
  <c r="Y281" i="17"/>
  <c r="X281" i="17"/>
  <c r="W281" i="17"/>
  <c r="V281" i="17"/>
  <c r="U281" i="17"/>
  <c r="T281" i="17"/>
  <c r="S281" i="17"/>
  <c r="R281" i="17"/>
  <c r="Q281" i="17"/>
  <c r="P281" i="17"/>
  <c r="O281" i="17"/>
  <c r="N281" i="17"/>
  <c r="M281" i="17"/>
  <c r="L281" i="17"/>
  <c r="K281" i="17"/>
  <c r="J281" i="17"/>
  <c r="I281" i="17"/>
  <c r="H281" i="17"/>
  <c r="G281" i="17"/>
  <c r="CP280" i="17"/>
  <c r="CT314" i="17" s="1"/>
  <c r="CO280" i="17"/>
  <c r="CS314" i="17" s="1"/>
  <c r="CN280" i="17"/>
  <c r="CR314" i="17" s="1"/>
  <c r="CM280" i="17"/>
  <c r="CQ314" i="17" s="1"/>
  <c r="CL280" i="17"/>
  <c r="CK280" i="17"/>
  <c r="CJ280" i="17"/>
  <c r="CI280" i="17"/>
  <c r="CH280" i="17"/>
  <c r="CG280" i="17"/>
  <c r="CF280" i="17"/>
  <c r="CE280" i="17"/>
  <c r="CD280" i="17"/>
  <c r="CC280" i="17"/>
  <c r="CB280" i="17"/>
  <c r="CA280" i="17"/>
  <c r="BZ280" i="17"/>
  <c r="BY280" i="17"/>
  <c r="BX280" i="17"/>
  <c r="BW280" i="17"/>
  <c r="BV280" i="17"/>
  <c r="BU280" i="17"/>
  <c r="BT280" i="17"/>
  <c r="BS280" i="17"/>
  <c r="BR280" i="17"/>
  <c r="BQ280" i="17"/>
  <c r="BP280" i="17"/>
  <c r="BO280" i="17"/>
  <c r="BN280" i="17"/>
  <c r="BM280" i="17"/>
  <c r="BL280" i="17"/>
  <c r="BK280" i="17"/>
  <c r="BJ280" i="17"/>
  <c r="BI280" i="17"/>
  <c r="BH280" i="17"/>
  <c r="BG280" i="17"/>
  <c r="BF280" i="17"/>
  <c r="BE280" i="17"/>
  <c r="BD280" i="17"/>
  <c r="BC280" i="17"/>
  <c r="BB280" i="17"/>
  <c r="BA280" i="17"/>
  <c r="AZ280" i="17"/>
  <c r="AY280" i="17"/>
  <c r="AX280" i="17"/>
  <c r="AW280" i="17"/>
  <c r="AV280" i="17"/>
  <c r="AU280" i="17"/>
  <c r="AT280" i="17"/>
  <c r="AS280" i="17"/>
  <c r="AR280" i="17"/>
  <c r="AQ280" i="17"/>
  <c r="AP280" i="17"/>
  <c r="AO280" i="17"/>
  <c r="AN280" i="17"/>
  <c r="AM280" i="17"/>
  <c r="AL280" i="17"/>
  <c r="AK280" i="17"/>
  <c r="AJ280" i="17"/>
  <c r="AI280" i="17"/>
  <c r="AH280" i="17"/>
  <c r="AG280" i="17"/>
  <c r="AF280" i="17"/>
  <c r="AE280" i="17"/>
  <c r="AD280" i="17"/>
  <c r="AC280" i="17"/>
  <c r="AB280" i="17"/>
  <c r="AA280" i="17"/>
  <c r="Z280" i="17"/>
  <c r="Y280" i="17"/>
  <c r="X280" i="17"/>
  <c r="W280" i="17"/>
  <c r="V280" i="17"/>
  <c r="U280" i="17"/>
  <c r="T280" i="17"/>
  <c r="S280" i="17"/>
  <c r="R280" i="17"/>
  <c r="Q280" i="17"/>
  <c r="P280" i="17"/>
  <c r="O280" i="17"/>
  <c r="N280" i="17"/>
  <c r="M280" i="17"/>
  <c r="L280" i="17"/>
  <c r="K280" i="17"/>
  <c r="J280" i="17"/>
  <c r="I280" i="17"/>
  <c r="H280" i="17"/>
  <c r="G280" i="17"/>
  <c r="CP279" i="17"/>
  <c r="CT313" i="17" s="1"/>
  <c r="CO279" i="17"/>
  <c r="CS313" i="17" s="1"/>
  <c r="CN279" i="17"/>
  <c r="CR313" i="17" s="1"/>
  <c r="CM279" i="17"/>
  <c r="CQ313" i="17" s="1"/>
  <c r="CL279" i="17"/>
  <c r="CK279" i="17"/>
  <c r="CJ279" i="17"/>
  <c r="CI279" i="17"/>
  <c r="CH279" i="17"/>
  <c r="CG279" i="17"/>
  <c r="CF279" i="17"/>
  <c r="CE279" i="17"/>
  <c r="CD279" i="17"/>
  <c r="CC279" i="17"/>
  <c r="CB279" i="17"/>
  <c r="CA279" i="17"/>
  <c r="BZ279" i="17"/>
  <c r="BY279" i="17"/>
  <c r="BX279" i="17"/>
  <c r="BW279" i="17"/>
  <c r="BV279" i="17"/>
  <c r="BU279" i="17"/>
  <c r="BT279" i="17"/>
  <c r="BS279" i="17"/>
  <c r="BR279" i="17"/>
  <c r="BQ279" i="17"/>
  <c r="BP279" i="17"/>
  <c r="BO279" i="17"/>
  <c r="BN279" i="17"/>
  <c r="BM279" i="17"/>
  <c r="BL279" i="17"/>
  <c r="BK279" i="17"/>
  <c r="BJ279" i="17"/>
  <c r="BI279" i="17"/>
  <c r="BH279" i="17"/>
  <c r="BG279" i="17"/>
  <c r="BF279" i="17"/>
  <c r="BE279" i="17"/>
  <c r="BD279" i="17"/>
  <c r="BC279" i="17"/>
  <c r="BB279" i="17"/>
  <c r="BA279" i="17"/>
  <c r="AZ279" i="17"/>
  <c r="AY279" i="17"/>
  <c r="AX279" i="17"/>
  <c r="AW279" i="17"/>
  <c r="AV279" i="17"/>
  <c r="AU279" i="17"/>
  <c r="AT279" i="17"/>
  <c r="AS279" i="17"/>
  <c r="AR279" i="17"/>
  <c r="AQ279" i="17"/>
  <c r="AP279" i="17"/>
  <c r="AO279" i="17"/>
  <c r="AN279" i="17"/>
  <c r="AM279" i="17"/>
  <c r="AL279" i="17"/>
  <c r="AK279" i="17"/>
  <c r="AJ279" i="17"/>
  <c r="AI279" i="17"/>
  <c r="AH279" i="17"/>
  <c r="AG279" i="17"/>
  <c r="AF279" i="17"/>
  <c r="AE279" i="17"/>
  <c r="AD279" i="17"/>
  <c r="AC279" i="17"/>
  <c r="AB279" i="17"/>
  <c r="AA279" i="17"/>
  <c r="Z279" i="17"/>
  <c r="Y279" i="17"/>
  <c r="X279" i="17"/>
  <c r="W279" i="17"/>
  <c r="V279" i="17"/>
  <c r="U279" i="17"/>
  <c r="T279" i="17"/>
  <c r="S279" i="17"/>
  <c r="R279" i="17"/>
  <c r="Q279" i="17"/>
  <c r="P279" i="17"/>
  <c r="O279" i="17"/>
  <c r="N279" i="17"/>
  <c r="M279" i="17"/>
  <c r="L279" i="17"/>
  <c r="K279" i="17"/>
  <c r="J279" i="17"/>
  <c r="I279" i="17"/>
  <c r="H279" i="17"/>
  <c r="G279" i="17"/>
  <c r="CP278" i="17"/>
  <c r="CT312" i="17" s="1"/>
  <c r="CO278" i="17"/>
  <c r="CS312" i="17" s="1"/>
  <c r="CN278" i="17"/>
  <c r="CR312" i="17" s="1"/>
  <c r="CM278" i="17"/>
  <c r="CQ312" i="17" s="1"/>
  <c r="CL278" i="17"/>
  <c r="CK278" i="17"/>
  <c r="CJ278" i="17"/>
  <c r="CI278" i="17"/>
  <c r="CH278" i="17"/>
  <c r="CG278" i="17"/>
  <c r="CF278" i="17"/>
  <c r="CE278" i="17"/>
  <c r="CD278" i="17"/>
  <c r="CC278" i="17"/>
  <c r="CB278" i="17"/>
  <c r="CA278" i="17"/>
  <c r="BZ278" i="17"/>
  <c r="BY278" i="17"/>
  <c r="BX278" i="17"/>
  <c r="BW278" i="17"/>
  <c r="BV278" i="17"/>
  <c r="BU278" i="17"/>
  <c r="BT278" i="17"/>
  <c r="BS278" i="17"/>
  <c r="BR278" i="17"/>
  <c r="BQ278" i="17"/>
  <c r="BP278" i="17"/>
  <c r="BO278" i="17"/>
  <c r="BN278" i="17"/>
  <c r="BM278" i="17"/>
  <c r="BL278" i="17"/>
  <c r="BK278" i="17"/>
  <c r="BJ278" i="17"/>
  <c r="BI278" i="17"/>
  <c r="BH278" i="17"/>
  <c r="BG278" i="17"/>
  <c r="BF278" i="17"/>
  <c r="BE278" i="17"/>
  <c r="BD278" i="17"/>
  <c r="BC278" i="17"/>
  <c r="BB278" i="17"/>
  <c r="BA278" i="17"/>
  <c r="AZ278" i="17"/>
  <c r="AY278" i="17"/>
  <c r="AX278" i="17"/>
  <c r="AW278" i="17"/>
  <c r="AV278" i="17"/>
  <c r="AU278" i="17"/>
  <c r="AT278" i="17"/>
  <c r="AS278" i="17"/>
  <c r="AR278" i="17"/>
  <c r="AQ278" i="17"/>
  <c r="AP278" i="17"/>
  <c r="AO278" i="17"/>
  <c r="AN278" i="17"/>
  <c r="AM278" i="17"/>
  <c r="AL278" i="17"/>
  <c r="AK278" i="17"/>
  <c r="AJ278" i="17"/>
  <c r="AI278" i="17"/>
  <c r="AH278" i="17"/>
  <c r="AG278" i="17"/>
  <c r="AF278" i="17"/>
  <c r="AE278" i="17"/>
  <c r="AD278" i="17"/>
  <c r="AC278" i="17"/>
  <c r="AB278" i="17"/>
  <c r="AA278" i="17"/>
  <c r="Z278" i="17"/>
  <c r="Y278" i="17"/>
  <c r="X278" i="17"/>
  <c r="W278" i="17"/>
  <c r="V278" i="17"/>
  <c r="U278" i="17"/>
  <c r="T278" i="17"/>
  <c r="S278" i="17"/>
  <c r="R278" i="17"/>
  <c r="Q278" i="17"/>
  <c r="P278" i="17"/>
  <c r="O278" i="17"/>
  <c r="N278" i="17"/>
  <c r="M278" i="17"/>
  <c r="L278" i="17"/>
  <c r="K278" i="17"/>
  <c r="CP277" i="17"/>
  <c r="CT311" i="17" s="1"/>
  <c r="CO277" i="17"/>
  <c r="CS311" i="17" s="1"/>
  <c r="CN277" i="17"/>
  <c r="CR311" i="17" s="1"/>
  <c r="CM277" i="17"/>
  <c r="CQ311" i="17" s="1"/>
  <c r="CL277" i="17"/>
  <c r="CK277" i="17"/>
  <c r="CJ277" i="17"/>
  <c r="CI277" i="17"/>
  <c r="CH277" i="17"/>
  <c r="CG277" i="17"/>
  <c r="CF277" i="17"/>
  <c r="CE277" i="17"/>
  <c r="CD277" i="17"/>
  <c r="CC277" i="17"/>
  <c r="CB277" i="17"/>
  <c r="CA277" i="17"/>
  <c r="BZ277" i="17"/>
  <c r="BY277" i="17"/>
  <c r="BX277" i="17"/>
  <c r="BW277" i="17"/>
  <c r="BV277" i="17"/>
  <c r="BU277" i="17"/>
  <c r="BT277" i="17"/>
  <c r="BS277" i="17"/>
  <c r="BR277" i="17"/>
  <c r="BQ277" i="17"/>
  <c r="BP277" i="17"/>
  <c r="BO277" i="17"/>
  <c r="BN277" i="17"/>
  <c r="BM277" i="17"/>
  <c r="BL277" i="17"/>
  <c r="BK277" i="17"/>
  <c r="BJ277" i="17"/>
  <c r="BI277" i="17"/>
  <c r="BH277" i="17"/>
  <c r="BG277" i="17"/>
  <c r="BF277" i="17"/>
  <c r="BE277" i="17"/>
  <c r="BD277" i="17"/>
  <c r="BC277" i="17"/>
  <c r="BB277" i="17"/>
  <c r="BA277" i="17"/>
  <c r="AZ277" i="17"/>
  <c r="AY277" i="17"/>
  <c r="AX277" i="17"/>
  <c r="AW277" i="17"/>
  <c r="AV277" i="17"/>
  <c r="AU277" i="17"/>
  <c r="AT277" i="17"/>
  <c r="AS277" i="17"/>
  <c r="AR277" i="17"/>
  <c r="AQ277" i="17"/>
  <c r="AP277" i="17"/>
  <c r="AO277" i="17"/>
  <c r="AN277" i="17"/>
  <c r="AM277" i="17"/>
  <c r="AL277" i="17"/>
  <c r="AK277" i="17"/>
  <c r="AJ277" i="17"/>
  <c r="AI277" i="17"/>
  <c r="AH277" i="17"/>
  <c r="AG277" i="17"/>
  <c r="AF277" i="17"/>
  <c r="AE277" i="17"/>
  <c r="AD277" i="17"/>
  <c r="AC277" i="17"/>
  <c r="AB277" i="17"/>
  <c r="AA277" i="17"/>
  <c r="Z277" i="17"/>
  <c r="Y277" i="17"/>
  <c r="X277" i="17"/>
  <c r="W277" i="17"/>
  <c r="V277" i="17"/>
  <c r="U277" i="17"/>
  <c r="T277" i="17"/>
  <c r="S277" i="17"/>
  <c r="R277" i="17"/>
  <c r="Q277" i="17"/>
  <c r="P277" i="17"/>
  <c r="O277" i="17"/>
  <c r="N277" i="17"/>
  <c r="M277" i="17"/>
  <c r="L277" i="17"/>
  <c r="K277" i="17"/>
  <c r="J277" i="17"/>
  <c r="I277" i="17"/>
  <c r="H277" i="17"/>
  <c r="G277" i="17"/>
  <c r="BI283" i="17"/>
  <c r="BH283" i="17"/>
  <c r="BG283" i="17"/>
  <c r="BF283" i="17"/>
  <c r="BE283" i="17"/>
  <c r="BD283" i="17"/>
  <c r="BC283" i="17"/>
  <c r="BB283" i="17"/>
  <c r="BA283" i="17"/>
  <c r="AZ283" i="17"/>
  <c r="AY283" i="17"/>
  <c r="AX283" i="17"/>
  <c r="AW283" i="17"/>
  <c r="AV283" i="17"/>
  <c r="AU283" i="17"/>
  <c r="AT283" i="17"/>
  <c r="AS283" i="17"/>
  <c r="AR283" i="17"/>
  <c r="AQ283" i="17"/>
  <c r="AP283" i="17"/>
  <c r="AO283" i="17"/>
  <c r="AN283" i="17"/>
  <c r="AM283" i="17"/>
  <c r="AL283" i="17"/>
  <c r="AK283" i="17"/>
  <c r="AJ283" i="17"/>
  <c r="AI283" i="17"/>
  <c r="AH283" i="17"/>
  <c r="AG283" i="17"/>
  <c r="AF283" i="17"/>
  <c r="AE283" i="17"/>
  <c r="AD283" i="17"/>
  <c r="AC283" i="17"/>
  <c r="AB283" i="17"/>
  <c r="AA283" i="17"/>
  <c r="Z283" i="17"/>
  <c r="Y283" i="17"/>
  <c r="X283" i="17"/>
  <c r="W283" i="17"/>
  <c r="V283" i="17"/>
  <c r="U283" i="17"/>
  <c r="T283" i="17"/>
  <c r="S283" i="17"/>
  <c r="R283" i="17"/>
  <c r="Q283" i="17"/>
  <c r="P283" i="17"/>
  <c r="O283" i="17"/>
  <c r="N283" i="17"/>
  <c r="M283" i="17"/>
  <c r="L283" i="17"/>
  <c r="K283" i="17"/>
  <c r="J283" i="17"/>
  <c r="I283" i="17"/>
  <c r="H283" i="17"/>
  <c r="G283" i="17"/>
  <c r="CP258" i="17"/>
  <c r="CQ263" i="17" s="1"/>
  <c r="CO258" i="17"/>
  <c r="CN258" i="17"/>
  <c r="CM258" i="17"/>
  <c r="CL258" i="17"/>
  <c r="CK258" i="17"/>
  <c r="CJ258" i="17"/>
  <c r="CI258" i="17"/>
  <c r="CH258" i="17"/>
  <c r="CG258" i="17"/>
  <c r="CF258" i="17"/>
  <c r="CE258" i="17"/>
  <c r="CD258" i="17"/>
  <c r="CC258" i="17"/>
  <c r="CB258" i="17"/>
  <c r="CA258" i="17"/>
  <c r="BZ258" i="17"/>
  <c r="BY258" i="17"/>
  <c r="BX258" i="17"/>
  <c r="BW258" i="17"/>
  <c r="BV258" i="17"/>
  <c r="BU258" i="17"/>
  <c r="BT258" i="17"/>
  <c r="BS258" i="17"/>
  <c r="BR258" i="17"/>
  <c r="BQ258" i="17"/>
  <c r="BP258" i="17"/>
  <c r="BO258" i="17"/>
  <c r="BN258" i="17"/>
  <c r="BM258" i="17"/>
  <c r="BL258" i="17"/>
  <c r="BK258" i="17"/>
  <c r="BJ258" i="17"/>
  <c r="BI258" i="17"/>
  <c r="BH258" i="17"/>
  <c r="BG258" i="17"/>
  <c r="BF258" i="17"/>
  <c r="BE258" i="17"/>
  <c r="BD258" i="17"/>
  <c r="BC258" i="17"/>
  <c r="BB258" i="17"/>
  <c r="BA258" i="17"/>
  <c r="AZ258" i="17"/>
  <c r="AY258" i="17"/>
  <c r="AX258" i="17"/>
  <c r="AW258" i="17"/>
  <c r="AV258" i="17"/>
  <c r="AU258" i="17"/>
  <c r="AT258" i="17"/>
  <c r="AS258" i="17"/>
  <c r="AR258" i="17"/>
  <c r="AQ258" i="17"/>
  <c r="AP258" i="17"/>
  <c r="AO258" i="17"/>
  <c r="AN258" i="17"/>
  <c r="AM258" i="17"/>
  <c r="AL258" i="17"/>
  <c r="AK258" i="17"/>
  <c r="AJ258" i="17"/>
  <c r="AI258" i="17"/>
  <c r="AH258" i="17"/>
  <c r="AG258" i="17"/>
  <c r="AF258" i="17"/>
  <c r="AE258" i="17"/>
  <c r="AD258" i="17"/>
  <c r="AC258" i="17"/>
  <c r="AB258" i="17"/>
  <c r="AA258" i="17"/>
  <c r="Z258" i="17"/>
  <c r="Y258" i="17"/>
  <c r="X258" i="17"/>
  <c r="W258" i="17"/>
  <c r="V258" i="17"/>
  <c r="U258" i="17"/>
  <c r="T258" i="17"/>
  <c r="S258" i="17"/>
  <c r="R258" i="17"/>
  <c r="Q258" i="17"/>
  <c r="P258" i="17"/>
  <c r="O258" i="17"/>
  <c r="N258" i="17"/>
  <c r="M258" i="17"/>
  <c r="L258" i="17"/>
  <c r="K258" i="17"/>
  <c r="J258" i="17"/>
  <c r="I258" i="17"/>
  <c r="H258" i="17"/>
  <c r="G258" i="17"/>
  <c r="CP201" i="17"/>
  <c r="CO201" i="17"/>
  <c r="CN201" i="17"/>
  <c r="CM201" i="17"/>
  <c r="CL201" i="17"/>
  <c r="CK201" i="17"/>
  <c r="CJ201" i="17"/>
  <c r="CI201" i="17"/>
  <c r="CH201" i="17"/>
  <c r="CG201" i="17"/>
  <c r="CF201" i="17"/>
  <c r="CE201" i="17"/>
  <c r="CD201" i="17"/>
  <c r="CC201" i="17"/>
  <c r="CB201" i="17"/>
  <c r="CA201" i="17"/>
  <c r="BZ201" i="17"/>
  <c r="BY201" i="17"/>
  <c r="BX201" i="17"/>
  <c r="BW201" i="17"/>
  <c r="BV201" i="17"/>
  <c r="BU201" i="17"/>
  <c r="BT201" i="17"/>
  <c r="BS201" i="17"/>
  <c r="BR201" i="17"/>
  <c r="BQ201" i="17"/>
  <c r="BP201" i="17"/>
  <c r="BO201" i="17"/>
  <c r="BN201" i="17"/>
  <c r="BM201" i="17"/>
  <c r="BL201" i="17"/>
  <c r="BK201" i="17"/>
  <c r="BJ201" i="17"/>
  <c r="BI201" i="17"/>
  <c r="BH201" i="17"/>
  <c r="BG201" i="17"/>
  <c r="BF201" i="17"/>
  <c r="BE201" i="17"/>
  <c r="BD201" i="17"/>
  <c r="BC201" i="17"/>
  <c r="BB201" i="17"/>
  <c r="BA201" i="17"/>
  <c r="AZ201" i="17"/>
  <c r="AY201" i="17"/>
  <c r="AX201" i="17"/>
  <c r="AW201" i="17"/>
  <c r="AV201" i="17"/>
  <c r="AU201" i="17"/>
  <c r="AT201" i="17"/>
  <c r="AS201" i="17"/>
  <c r="AR201" i="17"/>
  <c r="AQ201" i="17"/>
  <c r="AP201" i="17"/>
  <c r="AO201" i="17"/>
  <c r="AN201" i="17"/>
  <c r="AM201" i="17"/>
  <c r="AL201" i="17"/>
  <c r="AK201" i="17"/>
  <c r="AJ201" i="17"/>
  <c r="AI201" i="17"/>
  <c r="AH201" i="17"/>
  <c r="AG201" i="17"/>
  <c r="AF201" i="17"/>
  <c r="AE201" i="17"/>
  <c r="AD201" i="17"/>
  <c r="AC201" i="17"/>
  <c r="AB201" i="17"/>
  <c r="AA201" i="17"/>
  <c r="Z201" i="17"/>
  <c r="Y201" i="17"/>
  <c r="X201" i="17"/>
  <c r="W201" i="17"/>
  <c r="V201" i="17"/>
  <c r="U201" i="17"/>
  <c r="T201" i="17"/>
  <c r="S201" i="17"/>
  <c r="R201" i="17"/>
  <c r="Q201" i="17"/>
  <c r="P201" i="17"/>
  <c r="O201" i="17"/>
  <c r="N201" i="17"/>
  <c r="M201" i="17"/>
  <c r="L201" i="17"/>
  <c r="K201" i="17"/>
  <c r="J201" i="17"/>
  <c r="I201" i="17"/>
  <c r="H201" i="17"/>
  <c r="G201" i="17"/>
  <c r="CP144" i="17"/>
  <c r="CQ149" i="17" s="1"/>
  <c r="CO144" i="17"/>
  <c r="CN144" i="17"/>
  <c r="CM144" i="17"/>
  <c r="CL144" i="17"/>
  <c r="CK144" i="17"/>
  <c r="CJ144" i="17"/>
  <c r="CI144" i="17"/>
  <c r="CH144" i="17"/>
  <c r="CG144" i="17"/>
  <c r="CF144" i="17"/>
  <c r="CE144" i="17"/>
  <c r="CD144" i="17"/>
  <c r="CC144" i="17"/>
  <c r="CB144" i="17"/>
  <c r="CA144" i="17"/>
  <c r="BZ144" i="17"/>
  <c r="BY144" i="17"/>
  <c r="BX144" i="17"/>
  <c r="BW144" i="17"/>
  <c r="BV144" i="17"/>
  <c r="BU144" i="17"/>
  <c r="BT144" i="17"/>
  <c r="BS144" i="17"/>
  <c r="BR144" i="17"/>
  <c r="BQ144" i="17"/>
  <c r="BP144" i="17"/>
  <c r="BO144" i="17"/>
  <c r="BN144" i="17"/>
  <c r="BM144" i="17"/>
  <c r="BL144" i="17"/>
  <c r="BK144" i="17"/>
  <c r="BJ144" i="17"/>
  <c r="BI144" i="17"/>
  <c r="BH144" i="17"/>
  <c r="BG144" i="17"/>
  <c r="BF144" i="17"/>
  <c r="BE144" i="17"/>
  <c r="BD144" i="17"/>
  <c r="BC144" i="17"/>
  <c r="BB144" i="17"/>
  <c r="BA144" i="17"/>
  <c r="AZ144" i="17"/>
  <c r="AY144" i="17"/>
  <c r="AX144" i="17"/>
  <c r="AW144" i="17"/>
  <c r="AV144" i="17"/>
  <c r="AU144" i="17"/>
  <c r="AT144" i="17"/>
  <c r="AS144" i="17"/>
  <c r="AR144" i="17"/>
  <c r="AQ144" i="17"/>
  <c r="AP144" i="17"/>
  <c r="AO144" i="17"/>
  <c r="AN144" i="17"/>
  <c r="AM144" i="17"/>
  <c r="AL144" i="17"/>
  <c r="AK144" i="17"/>
  <c r="AJ144" i="17"/>
  <c r="AI144" i="17"/>
  <c r="AH144" i="17"/>
  <c r="AG144" i="17"/>
  <c r="AF144" i="17"/>
  <c r="AE144" i="17"/>
  <c r="AD144" i="17"/>
  <c r="AC144" i="17"/>
  <c r="AB144" i="17"/>
  <c r="AA144" i="17"/>
  <c r="Z144" i="17"/>
  <c r="Y144" i="17"/>
  <c r="X144" i="17"/>
  <c r="W144" i="17"/>
  <c r="V144" i="17"/>
  <c r="U144" i="17"/>
  <c r="T144" i="17"/>
  <c r="S144" i="17"/>
  <c r="R144" i="17"/>
  <c r="Q144" i="17"/>
  <c r="P144" i="17"/>
  <c r="O144" i="17"/>
  <c r="N144" i="17"/>
  <c r="M144" i="17"/>
  <c r="L144" i="17"/>
  <c r="K144" i="17"/>
  <c r="J144" i="17"/>
  <c r="I144" i="17"/>
  <c r="H144" i="17"/>
  <c r="G144" i="17"/>
  <c r="CP105" i="17"/>
  <c r="CQ110" i="17" s="1"/>
  <c r="CO105" i="17"/>
  <c r="CN105" i="17"/>
  <c r="CM105" i="17"/>
  <c r="CL105" i="17"/>
  <c r="CK105" i="17"/>
  <c r="CJ105" i="17"/>
  <c r="CI105" i="17"/>
  <c r="CH105" i="17"/>
  <c r="CG105" i="17"/>
  <c r="CF105" i="17"/>
  <c r="CE105" i="17"/>
  <c r="CD105" i="17"/>
  <c r="CC105" i="17"/>
  <c r="CB105" i="17"/>
  <c r="CA105" i="17"/>
  <c r="BZ105" i="17"/>
  <c r="BY105" i="17"/>
  <c r="BX105" i="17"/>
  <c r="BW105" i="17"/>
  <c r="BV105" i="17"/>
  <c r="BU105" i="17"/>
  <c r="BT105" i="17"/>
  <c r="BS105" i="17"/>
  <c r="BR105" i="17"/>
  <c r="BQ105" i="17"/>
  <c r="BP105" i="17"/>
  <c r="BO105" i="17"/>
  <c r="BN105" i="17"/>
  <c r="BM105" i="17"/>
  <c r="BL105" i="17"/>
  <c r="BK105" i="17"/>
  <c r="BJ105" i="17"/>
  <c r="BI105" i="17"/>
  <c r="BH105" i="17"/>
  <c r="BG105" i="17"/>
  <c r="BF105" i="17"/>
  <c r="BE105" i="17"/>
  <c r="BD105" i="17"/>
  <c r="BC105" i="17"/>
  <c r="BB105" i="17"/>
  <c r="BA105" i="17"/>
  <c r="AZ105" i="17"/>
  <c r="AY105" i="17"/>
  <c r="AX105" i="17"/>
  <c r="AW105" i="17"/>
  <c r="AV105" i="17"/>
  <c r="AU105" i="17"/>
  <c r="AT105" i="17"/>
  <c r="AS105" i="17"/>
  <c r="AR105" i="17"/>
  <c r="AQ105" i="17"/>
  <c r="AP105" i="17"/>
  <c r="AO105" i="17"/>
  <c r="AN105" i="17"/>
  <c r="AM105" i="17"/>
  <c r="AL105" i="17"/>
  <c r="AK105" i="17"/>
  <c r="AJ105" i="17"/>
  <c r="AI105" i="17"/>
  <c r="AH105" i="17"/>
  <c r="AG105" i="17"/>
  <c r="AF105" i="17"/>
  <c r="AE105" i="17"/>
  <c r="AD105" i="17"/>
  <c r="AC105" i="17"/>
  <c r="AB105" i="17"/>
  <c r="AA105" i="17"/>
  <c r="Z105" i="17"/>
  <c r="Y105" i="17"/>
  <c r="X105" i="17"/>
  <c r="W105" i="17"/>
  <c r="V105" i="17"/>
  <c r="U105" i="17"/>
  <c r="T105" i="17"/>
  <c r="S105" i="17"/>
  <c r="R105" i="17"/>
  <c r="Q105" i="17"/>
  <c r="P105" i="17"/>
  <c r="O105" i="17"/>
  <c r="N105" i="17"/>
  <c r="M105" i="17"/>
  <c r="L105" i="17"/>
  <c r="K105" i="17"/>
  <c r="J105" i="17"/>
  <c r="I105" i="17"/>
  <c r="H105" i="17"/>
  <c r="G105" i="17"/>
  <c r="CP228" i="17"/>
  <c r="CQ241" i="17" s="1"/>
  <c r="CO228" i="17"/>
  <c r="CN228" i="17"/>
  <c r="CM228" i="17"/>
  <c r="CL228" i="17"/>
  <c r="CK228" i="17"/>
  <c r="CJ228" i="17"/>
  <c r="CI228" i="17"/>
  <c r="CH228" i="17"/>
  <c r="CG228" i="17"/>
  <c r="CF228" i="17"/>
  <c r="CE228" i="17"/>
  <c r="CD228" i="17"/>
  <c r="CC228" i="17"/>
  <c r="CB228" i="17"/>
  <c r="CA228" i="17"/>
  <c r="BZ228" i="17"/>
  <c r="BY228" i="17"/>
  <c r="BX228" i="17"/>
  <c r="BW228" i="17"/>
  <c r="BV228" i="17"/>
  <c r="BU228" i="17"/>
  <c r="BT228" i="17"/>
  <c r="BS228" i="17"/>
  <c r="BR228" i="17"/>
  <c r="BQ228" i="17"/>
  <c r="BP228" i="17"/>
  <c r="BO228" i="17"/>
  <c r="BN228" i="17"/>
  <c r="BM228" i="17"/>
  <c r="BL228" i="17"/>
  <c r="BK228" i="17"/>
  <c r="CP171" i="17"/>
  <c r="CQ184" i="17" s="1"/>
  <c r="CQ183" i="17" s="1"/>
  <c r="CO171" i="17"/>
  <c r="CN171" i="17"/>
  <c r="CM171" i="17"/>
  <c r="CL171" i="17"/>
  <c r="CK171" i="17"/>
  <c r="CJ171" i="17"/>
  <c r="CI171" i="17"/>
  <c r="CH171" i="17"/>
  <c r="CG171" i="17"/>
  <c r="CF171" i="17"/>
  <c r="CE171" i="17"/>
  <c r="CD171" i="17"/>
  <c r="CC171" i="17"/>
  <c r="CB171" i="17"/>
  <c r="CA171" i="17"/>
  <c r="BZ171" i="17"/>
  <c r="BY171" i="17"/>
  <c r="BX171" i="17"/>
  <c r="BW171" i="17"/>
  <c r="BV171" i="17"/>
  <c r="BU171" i="17"/>
  <c r="BT171" i="17"/>
  <c r="BS171" i="17"/>
  <c r="BR171" i="17"/>
  <c r="BQ171" i="17"/>
  <c r="BP171" i="17"/>
  <c r="BO171" i="17"/>
  <c r="BN171" i="17"/>
  <c r="BM171" i="17"/>
  <c r="BL171" i="17"/>
  <c r="BK171" i="17"/>
  <c r="CP124" i="17"/>
  <c r="CO124" i="17"/>
  <c r="CN124" i="17"/>
  <c r="CM124" i="17"/>
  <c r="CL124" i="17"/>
  <c r="CK124" i="17"/>
  <c r="CJ124" i="17"/>
  <c r="CI124" i="17"/>
  <c r="CH124" i="17"/>
  <c r="CG124" i="17"/>
  <c r="CF124" i="17"/>
  <c r="CE124" i="17"/>
  <c r="CD124" i="17"/>
  <c r="CC124" i="17"/>
  <c r="CB124" i="17"/>
  <c r="CA124" i="17"/>
  <c r="BZ124" i="17"/>
  <c r="BY124" i="17"/>
  <c r="BX124" i="17"/>
  <c r="BW124" i="17"/>
  <c r="BV124" i="17"/>
  <c r="BU124" i="17"/>
  <c r="BT124" i="17"/>
  <c r="BS124" i="17"/>
  <c r="BR124" i="17"/>
  <c r="BQ124" i="17"/>
  <c r="BP124" i="17"/>
  <c r="BO124" i="17"/>
  <c r="BN124" i="17"/>
  <c r="BM124" i="17"/>
  <c r="BL124" i="17"/>
  <c r="BK124" i="17"/>
  <c r="BJ124" i="17"/>
  <c r="BI124" i="17"/>
  <c r="BH124" i="17"/>
  <c r="BG124" i="17"/>
  <c r="BF124" i="17"/>
  <c r="BE124" i="17"/>
  <c r="BD124" i="17"/>
  <c r="BC124" i="17"/>
  <c r="BB124" i="17"/>
  <c r="BA124" i="17"/>
  <c r="AZ124" i="17"/>
  <c r="AY124" i="17"/>
  <c r="AX124" i="17"/>
  <c r="AW124" i="17"/>
  <c r="AV124" i="17"/>
  <c r="AU124" i="17"/>
  <c r="AT124" i="17"/>
  <c r="AS124" i="17"/>
  <c r="AR124" i="17"/>
  <c r="AQ124" i="17"/>
  <c r="AP124" i="17"/>
  <c r="AO124" i="17"/>
  <c r="AN124" i="17"/>
  <c r="AM124" i="17"/>
  <c r="AL124" i="17"/>
  <c r="AK124" i="17"/>
  <c r="AJ124" i="17"/>
  <c r="AI124" i="17"/>
  <c r="AH124" i="17"/>
  <c r="AG124" i="17"/>
  <c r="AF124" i="17"/>
  <c r="AE124" i="17"/>
  <c r="AD124" i="17"/>
  <c r="AC124" i="17"/>
  <c r="AB124" i="17"/>
  <c r="AA124" i="17"/>
  <c r="Z124" i="17"/>
  <c r="Y124" i="17"/>
  <c r="X124" i="17"/>
  <c r="W124" i="17"/>
  <c r="V124" i="17"/>
  <c r="U124" i="17"/>
  <c r="T124" i="17"/>
  <c r="S124" i="17"/>
  <c r="R124" i="17"/>
  <c r="Q124" i="17"/>
  <c r="P124" i="17"/>
  <c r="O124" i="17"/>
  <c r="N124" i="17"/>
  <c r="M124" i="17"/>
  <c r="L124" i="17"/>
  <c r="K124" i="17"/>
  <c r="J124" i="17"/>
  <c r="I124" i="17"/>
  <c r="H124" i="17"/>
  <c r="G124" i="17"/>
  <c r="CP71" i="17"/>
  <c r="CQ87" i="17" s="1"/>
  <c r="CQ86" i="17" s="1"/>
  <c r="CQ8" i="17" s="1"/>
  <c r="CO71" i="17"/>
  <c r="CN71" i="17"/>
  <c r="CM71" i="17"/>
  <c r="CL71" i="17"/>
  <c r="CK71" i="17"/>
  <c r="CJ71" i="17"/>
  <c r="CI71" i="17"/>
  <c r="CH71" i="17"/>
  <c r="CG71" i="17"/>
  <c r="CF71" i="17"/>
  <c r="CE71" i="17"/>
  <c r="CD71" i="17"/>
  <c r="CC71" i="17"/>
  <c r="CB71" i="17"/>
  <c r="CA71" i="17"/>
  <c r="BZ71" i="17"/>
  <c r="BY71" i="17"/>
  <c r="BX71" i="17"/>
  <c r="BW71" i="17"/>
  <c r="BV71" i="17"/>
  <c r="BU71" i="17"/>
  <c r="BT71" i="17"/>
  <c r="BS71" i="17"/>
  <c r="BR71" i="17"/>
  <c r="BQ71" i="17"/>
  <c r="BP71" i="17"/>
  <c r="BO71" i="17"/>
  <c r="BN71" i="17"/>
  <c r="BM71" i="17"/>
  <c r="BL71" i="17"/>
  <c r="BK71" i="17"/>
  <c r="CP41" i="17"/>
  <c r="CQ46" i="17" s="1"/>
  <c r="CQ7" i="17" s="1"/>
  <c r="CO41" i="17"/>
  <c r="CN41" i="17"/>
  <c r="CM41" i="17"/>
  <c r="CL41" i="17"/>
  <c r="CK41" i="17"/>
  <c r="CJ41" i="17"/>
  <c r="CI41" i="17"/>
  <c r="CH41" i="17"/>
  <c r="CG41" i="17"/>
  <c r="CF41" i="17"/>
  <c r="CE41" i="17"/>
  <c r="CD41" i="17"/>
  <c r="CC41" i="17"/>
  <c r="CB41" i="17"/>
  <c r="CA41" i="17"/>
  <c r="BZ41" i="17"/>
  <c r="BY41" i="17"/>
  <c r="BX41" i="17"/>
  <c r="BW41" i="17"/>
  <c r="BV41" i="17"/>
  <c r="BU41" i="17"/>
  <c r="BT41" i="17"/>
  <c r="BS41" i="17"/>
  <c r="BR41" i="17"/>
  <c r="BQ41" i="17"/>
  <c r="BP41" i="17"/>
  <c r="BO41" i="17"/>
  <c r="BN41" i="17"/>
  <c r="BM41" i="17"/>
  <c r="BL41" i="17"/>
  <c r="BK41" i="17"/>
  <c r="BJ41" i="17"/>
  <c r="BI41" i="17"/>
  <c r="BH41" i="17"/>
  <c r="BG41" i="17"/>
  <c r="BF41" i="17"/>
  <c r="BE41" i="17"/>
  <c r="BD41" i="17"/>
  <c r="BC41" i="17"/>
  <c r="BB41" i="17"/>
  <c r="BA41" i="17"/>
  <c r="AZ41" i="17"/>
  <c r="AY41" i="17"/>
  <c r="AX41" i="17"/>
  <c r="AW41" i="17"/>
  <c r="AV41" i="17"/>
  <c r="AU41" i="17"/>
  <c r="AT41" i="17"/>
  <c r="AS41" i="17"/>
  <c r="AR41" i="17"/>
  <c r="AQ41" i="17"/>
  <c r="AP41" i="17"/>
  <c r="AO41" i="17"/>
  <c r="AN41" i="17"/>
  <c r="AM41" i="17"/>
  <c r="AL41" i="17"/>
  <c r="AK41" i="17"/>
  <c r="AJ41" i="17"/>
  <c r="AI41" i="17"/>
  <c r="AH41" i="17"/>
  <c r="AG41" i="17"/>
  <c r="AF41" i="17"/>
  <c r="AE41" i="17"/>
  <c r="AD41" i="17"/>
  <c r="AC41" i="17"/>
  <c r="AB41" i="17"/>
  <c r="AA41" i="17"/>
  <c r="Z41" i="17"/>
  <c r="Y41" i="17"/>
  <c r="X41" i="17"/>
  <c r="W41" i="17"/>
  <c r="V41" i="17"/>
  <c r="U41" i="17"/>
  <c r="T41" i="17"/>
  <c r="S41" i="17"/>
  <c r="R41" i="17"/>
  <c r="Q41" i="17"/>
  <c r="P41" i="17"/>
  <c r="O41" i="17"/>
  <c r="N41" i="17"/>
  <c r="M41" i="17"/>
  <c r="L41" i="17"/>
  <c r="K41" i="17"/>
  <c r="J41" i="17"/>
  <c r="I41" i="17"/>
  <c r="H41" i="17"/>
  <c r="G41" i="17"/>
  <c r="CP22" i="17"/>
  <c r="CQ27" i="17" s="1"/>
  <c r="CQ6" i="17" s="1"/>
  <c r="CO22" i="17"/>
  <c r="CN22" i="17"/>
  <c r="CM22" i="17"/>
  <c r="CL22" i="17"/>
  <c r="CK22" i="17"/>
  <c r="CJ22" i="17"/>
  <c r="CI22" i="17"/>
  <c r="CH22" i="17"/>
  <c r="CG22" i="17"/>
  <c r="CF22" i="17"/>
  <c r="CE22" i="17"/>
  <c r="CD22" i="17"/>
  <c r="CC22" i="17"/>
  <c r="CB22" i="17"/>
  <c r="CA22" i="17"/>
  <c r="BZ22" i="17"/>
  <c r="BY22" i="17"/>
  <c r="BX22" i="17"/>
  <c r="BW22" i="17"/>
  <c r="BV22" i="17"/>
  <c r="BU22" i="17"/>
  <c r="BT22" i="17"/>
  <c r="BS22" i="17"/>
  <c r="BR22" i="17"/>
  <c r="BQ22" i="17"/>
  <c r="BP22" i="17"/>
  <c r="BO22" i="17"/>
  <c r="BN22" i="17"/>
  <c r="BM22" i="17"/>
  <c r="BL22" i="17"/>
  <c r="BK22" i="17"/>
  <c r="BJ22" i="17"/>
  <c r="BI22" i="17"/>
  <c r="BH22" i="17"/>
  <c r="BG22" i="17"/>
  <c r="BF22" i="17"/>
  <c r="BE22" i="17"/>
  <c r="BD22" i="17"/>
  <c r="BC22" i="17"/>
  <c r="BB22" i="17"/>
  <c r="BA22" i="17"/>
  <c r="AZ22" i="17"/>
  <c r="AY22" i="17"/>
  <c r="AX22" i="17"/>
  <c r="AW22" i="17"/>
  <c r="AV22" i="17"/>
  <c r="AU22" i="17"/>
  <c r="AT22" i="17"/>
  <c r="AS22" i="17"/>
  <c r="AR22" i="17"/>
  <c r="AQ22" i="17"/>
  <c r="AP22" i="17"/>
  <c r="AO22" i="17"/>
  <c r="AN22" i="17"/>
  <c r="AM22" i="17"/>
  <c r="AL22" i="17"/>
  <c r="AK22" i="17"/>
  <c r="AJ22" i="17"/>
  <c r="AI22" i="17"/>
  <c r="AH22" i="17"/>
  <c r="AG22" i="17"/>
  <c r="AF22" i="17"/>
  <c r="AE22" i="17"/>
  <c r="AD22" i="17"/>
  <c r="AC22" i="17"/>
  <c r="AB22" i="17"/>
  <c r="AA22" i="17"/>
  <c r="Z22" i="17"/>
  <c r="Y22" i="17"/>
  <c r="X22" i="17"/>
  <c r="W22" i="17"/>
  <c r="V22" i="17"/>
  <c r="U22" i="17"/>
  <c r="T22" i="17"/>
  <c r="S22" i="17"/>
  <c r="R22" i="17"/>
  <c r="Q22" i="17"/>
  <c r="P22" i="17"/>
  <c r="O22" i="17"/>
  <c r="N22" i="17"/>
  <c r="M22" i="17"/>
  <c r="L22" i="17"/>
  <c r="K22" i="17"/>
  <c r="J22" i="17"/>
  <c r="I22" i="17"/>
  <c r="H22" i="17"/>
  <c r="G22" i="17"/>
  <c r="DC3" i="16"/>
  <c r="DB3" i="16"/>
  <c r="DA3" i="16"/>
  <c r="CZ3" i="16"/>
  <c r="CY3" i="16"/>
  <c r="CX3" i="16"/>
  <c r="CW3" i="16"/>
  <c r="CV3" i="16"/>
  <c r="CU3" i="16"/>
  <c r="CT3" i="16"/>
  <c r="CS3" i="16"/>
  <c r="CR3" i="16"/>
  <c r="CQ3" i="16"/>
  <c r="CP3" i="16"/>
  <c r="CO3" i="16"/>
  <c r="CN3" i="16"/>
  <c r="CM3" i="16"/>
  <c r="CL3" i="16"/>
  <c r="CK3" i="16"/>
  <c r="CJ3" i="16"/>
  <c r="CI3" i="16"/>
  <c r="CH3" i="16"/>
  <c r="CG3" i="16"/>
  <c r="CF3" i="16"/>
  <c r="CE3" i="16"/>
  <c r="CD3" i="16"/>
  <c r="CC3" i="16"/>
  <c r="CB3" i="16"/>
  <c r="CA3" i="16"/>
  <c r="BZ3" i="16"/>
  <c r="BY3" i="16"/>
  <c r="BX3" i="16"/>
  <c r="BW3" i="16"/>
  <c r="BV3" i="16"/>
  <c r="BU3" i="16"/>
  <c r="BT3" i="16"/>
  <c r="BS3" i="16"/>
  <c r="BR3" i="16"/>
  <c r="BQ3" i="16"/>
  <c r="BP3" i="16"/>
  <c r="BO3" i="16"/>
  <c r="BN3" i="16"/>
  <c r="BM3" i="16"/>
  <c r="BL3" i="16"/>
  <c r="BK3" i="16"/>
  <c r="BJ3" i="16"/>
  <c r="BI3" i="16"/>
  <c r="BH3" i="16"/>
  <c r="BG3" i="16"/>
  <c r="BF3" i="16"/>
  <c r="BE3" i="16"/>
  <c r="BD3" i="16"/>
  <c r="BC3" i="16"/>
  <c r="BB3" i="16"/>
  <c r="BA3" i="16"/>
  <c r="AZ3" i="16"/>
  <c r="AY3" i="16"/>
  <c r="AX3" i="16"/>
  <c r="AW3" i="16"/>
  <c r="AV3" i="16"/>
  <c r="AU3" i="16"/>
  <c r="AT3" i="16"/>
  <c r="AS3" i="16"/>
  <c r="AR3" i="16"/>
  <c r="AQ3" i="16"/>
  <c r="AP3" i="16"/>
  <c r="AO3" i="16"/>
  <c r="AN3" i="16"/>
  <c r="AM3" i="16"/>
  <c r="AL3" i="16"/>
  <c r="AK3" i="16"/>
  <c r="AJ3" i="16"/>
  <c r="AI3" i="16"/>
  <c r="AH3" i="16"/>
  <c r="AG3" i="16"/>
  <c r="AF3" i="16"/>
  <c r="AE3" i="16"/>
  <c r="AD3" i="16"/>
  <c r="AC3" i="16"/>
  <c r="AB3" i="16"/>
  <c r="AA3" i="16"/>
  <c r="Z3" i="16"/>
  <c r="Y3" i="16"/>
  <c r="X3" i="16"/>
  <c r="W3" i="16"/>
  <c r="V3" i="16"/>
  <c r="U3" i="16"/>
  <c r="T3" i="16"/>
  <c r="S3" i="16"/>
  <c r="R3" i="16"/>
  <c r="Q3" i="16"/>
  <c r="P3" i="16"/>
  <c r="O3" i="16"/>
  <c r="N3" i="16"/>
  <c r="M3" i="16"/>
  <c r="L3" i="16"/>
  <c r="K3" i="16"/>
  <c r="J3" i="16"/>
  <c r="I3" i="16"/>
  <c r="H3" i="16"/>
  <c r="G3" i="16"/>
  <c r="DC2" i="16"/>
  <c r="CY2" i="16"/>
  <c r="CU2" i="16"/>
  <c r="CQ2" i="16"/>
  <c r="CM2" i="16"/>
  <c r="CI2" i="16"/>
  <c r="CE2" i="16"/>
  <c r="CA2" i="16"/>
  <c r="BW2" i="16"/>
  <c r="BS2" i="16"/>
  <c r="BO2" i="16"/>
  <c r="BK2" i="16"/>
  <c r="BG2" i="16"/>
  <c r="BC2" i="16"/>
  <c r="AY2" i="16"/>
  <c r="AU2" i="16"/>
  <c r="AQ2" i="16"/>
  <c r="AM2" i="16"/>
  <c r="AI2" i="16"/>
  <c r="AE2" i="16"/>
  <c r="AA2" i="16"/>
  <c r="W2" i="16"/>
  <c r="S2" i="16"/>
  <c r="O2" i="16"/>
  <c r="K2" i="16"/>
  <c r="G2" i="16"/>
  <c r="AA141" i="7"/>
  <c r="S18" i="21" s="1"/>
  <c r="Z141" i="7"/>
  <c r="R18" i="21" s="1"/>
  <c r="Y141" i="7"/>
  <c r="Q18" i="21" s="1"/>
  <c r="X141" i="7"/>
  <c r="P18" i="21" s="1"/>
  <c r="W141" i="7"/>
  <c r="O18" i="21" s="1"/>
  <c r="V141" i="7"/>
  <c r="N18" i="21" s="1"/>
  <c r="N50" i="21" s="1"/>
  <c r="U141" i="7"/>
  <c r="M18" i="21" s="1"/>
  <c r="M50" i="21" s="1"/>
  <c r="T141" i="7"/>
  <c r="L18" i="21" s="1"/>
  <c r="L50" i="21" s="1"/>
  <c r="S141" i="7"/>
  <c r="K18" i="21" s="1"/>
  <c r="K50" i="21" s="1"/>
  <c r="R141" i="7"/>
  <c r="J18" i="21" s="1"/>
  <c r="J50" i="21" s="1"/>
  <c r="Q141" i="7"/>
  <c r="I18" i="21" s="1"/>
  <c r="I50" i="21" s="1"/>
  <c r="P141" i="7"/>
  <c r="H18" i="21" s="1"/>
  <c r="O141" i="7"/>
  <c r="G18" i="21" s="1"/>
  <c r="N141" i="7"/>
  <c r="F18" i="21" s="1"/>
  <c r="M141" i="7"/>
  <c r="E18" i="21" s="1"/>
  <c r="L141" i="7"/>
  <c r="D18" i="21" s="1"/>
  <c r="AA140" i="7"/>
  <c r="S17" i="21" s="1"/>
  <c r="Z140" i="7"/>
  <c r="R17" i="21" s="1"/>
  <c r="Y140" i="7"/>
  <c r="Q17" i="21" s="1"/>
  <c r="X140" i="7"/>
  <c r="P17" i="21" s="1"/>
  <c r="W140" i="7"/>
  <c r="O17" i="21" s="1"/>
  <c r="O49" i="21" s="1"/>
  <c r="V140" i="7"/>
  <c r="N17" i="21" s="1"/>
  <c r="N49" i="21" s="1"/>
  <c r="U140" i="7"/>
  <c r="M17" i="21" s="1"/>
  <c r="M49" i="21" s="1"/>
  <c r="T140" i="7"/>
  <c r="L17" i="21" s="1"/>
  <c r="L49" i="21" s="1"/>
  <c r="S140" i="7"/>
  <c r="K17" i="21" s="1"/>
  <c r="K49" i="21" s="1"/>
  <c r="R140" i="7"/>
  <c r="J17" i="21" s="1"/>
  <c r="J49" i="21" s="1"/>
  <c r="Q140" i="7"/>
  <c r="I17" i="21" s="1"/>
  <c r="I49" i="21" s="1"/>
  <c r="P140" i="7"/>
  <c r="H17" i="21" s="1"/>
  <c r="O140" i="7"/>
  <c r="G17" i="21" s="1"/>
  <c r="N140" i="7"/>
  <c r="F17" i="21" s="1"/>
  <c r="M140" i="7"/>
  <c r="E17" i="21" s="1"/>
  <c r="L140" i="7"/>
  <c r="D17" i="21" s="1"/>
  <c r="AA134" i="8"/>
  <c r="Z134" i="8"/>
  <c r="Y134" i="8"/>
  <c r="X134" i="8"/>
  <c r="W134" i="8"/>
  <c r="V134" i="8"/>
  <c r="U134" i="8"/>
  <c r="T134" i="8"/>
  <c r="S134" i="8"/>
  <c r="R134" i="8"/>
  <c r="Q134" i="8"/>
  <c r="P134" i="8"/>
  <c r="O134" i="8"/>
  <c r="N134" i="8"/>
  <c r="M134" i="8"/>
  <c r="L134" i="8"/>
  <c r="K134" i="8"/>
  <c r="J134" i="8"/>
  <c r="I134" i="8"/>
  <c r="H134" i="8"/>
  <c r="G134" i="8"/>
  <c r="AA31" i="8"/>
  <c r="AB48" i="8" s="1"/>
  <c r="Z31" i="8"/>
  <c r="Y31" i="8"/>
  <c r="X31" i="8"/>
  <c r="W31" i="8"/>
  <c r="V31" i="8"/>
  <c r="U31" i="8"/>
  <c r="T31" i="8"/>
  <c r="S31" i="8"/>
  <c r="R31" i="8"/>
  <c r="Q31" i="8"/>
  <c r="P31" i="8"/>
  <c r="O31" i="8"/>
  <c r="N31" i="8"/>
  <c r="M31" i="8"/>
  <c r="L31" i="8"/>
  <c r="K31" i="8"/>
  <c r="J31" i="8"/>
  <c r="I31" i="8"/>
  <c r="H31" i="8"/>
  <c r="G31" i="8"/>
  <c r="S618" i="7"/>
  <c r="R618" i="7"/>
  <c r="Q618" i="7"/>
  <c r="P618" i="7"/>
  <c r="O618" i="7"/>
  <c r="S616" i="7"/>
  <c r="R616" i="7"/>
  <c r="Q616" i="7"/>
  <c r="P616" i="7"/>
  <c r="O616" i="7"/>
  <c r="CA307" i="17"/>
  <c r="CB307" i="17" s="1"/>
  <c r="CC307" i="17" s="1"/>
  <c r="CD307" i="17" s="1"/>
  <c r="Y375" i="12" s="1"/>
  <c r="BW307" i="17"/>
  <c r="BX307" i="17" s="1"/>
  <c r="BY307" i="17" s="1"/>
  <c r="BZ307" i="17" s="1"/>
  <c r="BS307" i="17"/>
  <c r="BT307" i="17" s="1"/>
  <c r="BU307" i="17" s="1"/>
  <c r="BV307" i="17" s="1"/>
  <c r="W375" i="12" s="1"/>
  <c r="BO307" i="17"/>
  <c r="BP307" i="17" s="1"/>
  <c r="BQ307" i="17" s="1"/>
  <c r="BR307" i="17" s="1"/>
  <c r="BK307" i="17"/>
  <c r="BL307" i="17" s="1"/>
  <c r="BM307" i="17" s="1"/>
  <c r="BN307" i="17" s="1"/>
  <c r="U375" i="12" s="1"/>
  <c r="BG307" i="17"/>
  <c r="BH307" i="17" s="1"/>
  <c r="BI307" i="17" s="1"/>
  <c r="BJ307" i="17" s="1"/>
  <c r="BC307" i="17"/>
  <c r="BD307" i="17" s="1"/>
  <c r="BE307" i="17" s="1"/>
  <c r="BF307" i="17" s="1"/>
  <c r="S375" i="12" s="1"/>
  <c r="AY307" i="17"/>
  <c r="AZ307" i="17" s="1"/>
  <c r="BA307" i="17" s="1"/>
  <c r="BB307" i="17" s="1"/>
  <c r="AU307" i="17"/>
  <c r="AV307" i="17" s="1"/>
  <c r="AW307" i="17" s="1"/>
  <c r="AX307" i="17" s="1"/>
  <c r="Q375" i="12" s="1"/>
  <c r="AQ307" i="17"/>
  <c r="AR307" i="17" s="1"/>
  <c r="AS307" i="17" s="1"/>
  <c r="AT307" i="17" s="1"/>
  <c r="AM307" i="17"/>
  <c r="AN307" i="17" s="1"/>
  <c r="AO307" i="17" s="1"/>
  <c r="AP307" i="17" s="1"/>
  <c r="O375" i="12" s="1"/>
  <c r="AI307" i="17"/>
  <c r="AJ307" i="17" s="1"/>
  <c r="AK307" i="17" s="1"/>
  <c r="AL307" i="17" s="1"/>
  <c r="AE307" i="17"/>
  <c r="AF307" i="17" s="1"/>
  <c r="AG307" i="17" s="1"/>
  <c r="AH307" i="17" s="1"/>
  <c r="M375" i="12" s="1"/>
  <c r="AA307" i="17"/>
  <c r="AB307" i="17" s="1"/>
  <c r="AC307" i="17" s="1"/>
  <c r="AD307" i="17" s="1"/>
  <c r="W307" i="17"/>
  <c r="X307" i="17" s="1"/>
  <c r="Y307" i="17" s="1"/>
  <c r="Z307" i="17" s="1"/>
  <c r="K375" i="12" s="1"/>
  <c r="S307" i="17"/>
  <c r="T307" i="17" s="1"/>
  <c r="U307" i="17" s="1"/>
  <c r="V307" i="17" s="1"/>
  <c r="O307" i="17"/>
  <c r="P307" i="17" s="1"/>
  <c r="Q307" i="17" s="1"/>
  <c r="R307" i="17" s="1"/>
  <c r="I375" i="12" s="1"/>
  <c r="K307" i="17"/>
  <c r="L307" i="17" s="1"/>
  <c r="M307" i="17" s="1"/>
  <c r="N307" i="17" s="1"/>
  <c r="H375" i="12" s="1"/>
  <c r="J307" i="17"/>
  <c r="CA306" i="17"/>
  <c r="CB306" i="17" s="1"/>
  <c r="CC306" i="17" s="1"/>
  <c r="CD306" i="17" s="1"/>
  <c r="BW306" i="17"/>
  <c r="BX306" i="17" s="1"/>
  <c r="BY306" i="17" s="1"/>
  <c r="BZ306" i="17" s="1"/>
  <c r="X374" i="12" s="1"/>
  <c r="BS306" i="17"/>
  <c r="BT306" i="17" s="1"/>
  <c r="BU306" i="17" s="1"/>
  <c r="BV306" i="17" s="1"/>
  <c r="BO306" i="17"/>
  <c r="BP306" i="17" s="1"/>
  <c r="BQ306" i="17" s="1"/>
  <c r="BR306" i="17" s="1"/>
  <c r="V374" i="12" s="1"/>
  <c r="BK306" i="17"/>
  <c r="BL306" i="17" s="1"/>
  <c r="BM306" i="17" s="1"/>
  <c r="BN306" i="17" s="1"/>
  <c r="BG306" i="17"/>
  <c r="BC306" i="17"/>
  <c r="BD306" i="17" s="1"/>
  <c r="BE306" i="17" s="1"/>
  <c r="BF306" i="17" s="1"/>
  <c r="AY306" i="17"/>
  <c r="AU306" i="17"/>
  <c r="AV306" i="17" s="1"/>
  <c r="AW306" i="17" s="1"/>
  <c r="AX306" i="17" s="1"/>
  <c r="AQ306" i="17"/>
  <c r="AM306" i="17"/>
  <c r="AN306" i="17" s="1"/>
  <c r="AO306" i="17" s="1"/>
  <c r="AP306" i="17" s="1"/>
  <c r="AI306" i="17"/>
  <c r="AE306" i="17"/>
  <c r="AF306" i="17" s="1"/>
  <c r="AG306" i="17" s="1"/>
  <c r="AH306" i="17" s="1"/>
  <c r="AA306" i="17"/>
  <c r="W306" i="17"/>
  <c r="X306" i="17" s="1"/>
  <c r="Y306" i="17" s="1"/>
  <c r="Z306" i="17" s="1"/>
  <c r="S306" i="17"/>
  <c r="O306" i="17"/>
  <c r="P306" i="17" s="1"/>
  <c r="Q306" i="17" s="1"/>
  <c r="R306" i="17" s="1"/>
  <c r="K306" i="17"/>
  <c r="L306" i="17" s="1"/>
  <c r="M306" i="17" s="1"/>
  <c r="N306" i="17" s="1"/>
  <c r="H374" i="12" s="1"/>
  <c r="J306" i="17"/>
  <c r="CA305" i="17"/>
  <c r="CB305" i="17" s="1"/>
  <c r="BW305" i="17"/>
  <c r="BX305" i="17" s="1"/>
  <c r="BS305" i="17"/>
  <c r="BT305" i="17" s="1"/>
  <c r="BO305" i="17"/>
  <c r="BP305" i="17" s="1"/>
  <c r="BK305" i="17"/>
  <c r="BL305" i="17" s="1"/>
  <c r="BG305" i="17"/>
  <c r="BC305" i="17"/>
  <c r="AY305" i="17"/>
  <c r="AZ305" i="17" s="1"/>
  <c r="AU305" i="17"/>
  <c r="AQ305" i="17"/>
  <c r="AM305" i="17"/>
  <c r="AN305" i="17" s="1"/>
  <c r="AO305" i="17" s="1"/>
  <c r="AP305" i="17" s="1"/>
  <c r="O373" i="12" s="1"/>
  <c r="AI305" i="17"/>
  <c r="AJ305" i="17" s="1"/>
  <c r="AE305" i="17"/>
  <c r="AF305" i="17" s="1"/>
  <c r="AA305" i="17"/>
  <c r="AB305" i="17" s="1"/>
  <c r="W305" i="17"/>
  <c r="X305" i="17" s="1"/>
  <c r="S305" i="17"/>
  <c r="T305" i="17" s="1"/>
  <c r="O305" i="17"/>
  <c r="P305" i="17" s="1"/>
  <c r="K305" i="17"/>
  <c r="L305" i="17" s="1"/>
  <c r="M305" i="17" s="1"/>
  <c r="N305" i="17" s="1"/>
  <c r="H373" i="12" s="1"/>
  <c r="J305" i="17"/>
  <c r="CA304" i="17"/>
  <c r="CB304" i="17" s="1"/>
  <c r="CC304" i="17" s="1"/>
  <c r="CD304" i="17" s="1"/>
  <c r="BW304" i="17"/>
  <c r="BX304" i="17" s="1"/>
  <c r="BY304" i="17" s="1"/>
  <c r="BZ304" i="17" s="1"/>
  <c r="X372" i="12" s="1"/>
  <c r="BS304" i="17"/>
  <c r="BT304" i="17" s="1"/>
  <c r="BU304" i="17" s="1"/>
  <c r="BV304" i="17" s="1"/>
  <c r="BO304" i="17"/>
  <c r="BP304" i="17" s="1"/>
  <c r="BQ304" i="17" s="1"/>
  <c r="BR304" i="17" s="1"/>
  <c r="V372" i="12" s="1"/>
  <c r="BK304" i="17"/>
  <c r="BL304" i="17" s="1"/>
  <c r="BM304" i="17" s="1"/>
  <c r="BN304" i="17" s="1"/>
  <c r="BG304" i="17"/>
  <c r="BH304" i="17" s="1"/>
  <c r="BI304" i="17" s="1"/>
  <c r="BJ304" i="17" s="1"/>
  <c r="T372" i="12" s="1"/>
  <c r="BC304" i="17"/>
  <c r="BD304" i="17" s="1"/>
  <c r="BE304" i="17" s="1"/>
  <c r="BF304" i="17" s="1"/>
  <c r="AY304" i="17"/>
  <c r="AZ304" i="17" s="1"/>
  <c r="BA304" i="17" s="1"/>
  <c r="BB304" i="17" s="1"/>
  <c r="R372" i="12" s="1"/>
  <c r="AU304" i="17"/>
  <c r="AV304" i="17" s="1"/>
  <c r="AW304" i="17" s="1"/>
  <c r="AX304" i="17" s="1"/>
  <c r="AQ304" i="17"/>
  <c r="AR304" i="17" s="1"/>
  <c r="AS304" i="17" s="1"/>
  <c r="AT304" i="17" s="1"/>
  <c r="P372" i="12" s="1"/>
  <c r="AM304" i="17"/>
  <c r="AN304" i="17" s="1"/>
  <c r="AO304" i="17" s="1"/>
  <c r="AP304" i="17" s="1"/>
  <c r="AI304" i="17"/>
  <c r="AJ304" i="17" s="1"/>
  <c r="AK304" i="17" s="1"/>
  <c r="AL304" i="17" s="1"/>
  <c r="N372" i="12" s="1"/>
  <c r="AE304" i="17"/>
  <c r="AF304" i="17" s="1"/>
  <c r="AG304" i="17" s="1"/>
  <c r="AH304" i="17" s="1"/>
  <c r="AA304" i="17"/>
  <c r="AB304" i="17" s="1"/>
  <c r="AC304" i="17" s="1"/>
  <c r="AD304" i="17" s="1"/>
  <c r="L372" i="12" s="1"/>
  <c r="W304" i="17"/>
  <c r="X304" i="17" s="1"/>
  <c r="Y304" i="17" s="1"/>
  <c r="Z304" i="17" s="1"/>
  <c r="S304" i="17"/>
  <c r="T304" i="17" s="1"/>
  <c r="U304" i="17" s="1"/>
  <c r="V304" i="17" s="1"/>
  <c r="J372" i="12" s="1"/>
  <c r="O304" i="17"/>
  <c r="P304" i="17" s="1"/>
  <c r="Q304" i="17" s="1"/>
  <c r="R304" i="17" s="1"/>
  <c r="K304" i="17"/>
  <c r="L304" i="17" s="1"/>
  <c r="M304" i="17" s="1"/>
  <c r="N304" i="17" s="1"/>
  <c r="H372" i="12" s="1"/>
  <c r="J304" i="17"/>
  <c r="CA303" i="17"/>
  <c r="CB303" i="17" s="1"/>
  <c r="BW303" i="17"/>
  <c r="BX303" i="17" s="1"/>
  <c r="BS303" i="17"/>
  <c r="BT303" i="17" s="1"/>
  <c r="BO303" i="17"/>
  <c r="BP303" i="17" s="1"/>
  <c r="BK303" i="17"/>
  <c r="BL303" i="17" s="1"/>
  <c r="BG303" i="17"/>
  <c r="BH303" i="17" s="1"/>
  <c r="BC303" i="17"/>
  <c r="BD303" i="17" s="1"/>
  <c r="AY303" i="17"/>
  <c r="AZ303" i="17" s="1"/>
  <c r="AU303" i="17"/>
  <c r="AQ303" i="17"/>
  <c r="AR303" i="17" s="1"/>
  <c r="AM303" i="17"/>
  <c r="AN303" i="17" s="1"/>
  <c r="AI303" i="17"/>
  <c r="AJ303" i="17" s="1"/>
  <c r="AE303" i="17"/>
  <c r="AF303" i="17" s="1"/>
  <c r="AA303" i="17"/>
  <c r="AB303" i="17" s="1"/>
  <c r="W303" i="17"/>
  <c r="S303" i="17"/>
  <c r="T303" i="17" s="1"/>
  <c r="O303" i="17"/>
  <c r="P303" i="17" s="1"/>
  <c r="K303" i="17"/>
  <c r="L303" i="17" s="1"/>
  <c r="J303" i="17"/>
  <c r="AA342" i="12"/>
  <c r="AB349" i="12" s="1"/>
  <c r="Z342" i="12"/>
  <c r="Y342" i="12"/>
  <c r="X342" i="12"/>
  <c r="W342" i="12"/>
  <c r="V342" i="12"/>
  <c r="U342" i="12"/>
  <c r="T342" i="12"/>
  <c r="S342" i="12"/>
  <c r="R342" i="12"/>
  <c r="Q342" i="12"/>
  <c r="P342" i="12"/>
  <c r="O342" i="12"/>
  <c r="N342" i="12"/>
  <c r="M342" i="12"/>
  <c r="L342" i="12"/>
  <c r="K342" i="12"/>
  <c r="J342" i="12"/>
  <c r="I342" i="12"/>
  <c r="H342" i="12"/>
  <c r="G342" i="12"/>
  <c r="AB363" i="12"/>
  <c r="AA363" i="12"/>
  <c r="Z363" i="12"/>
  <c r="Y363" i="12"/>
  <c r="CV41" i="11" s="1"/>
  <c r="X363" i="12"/>
  <c r="W363" i="12"/>
  <c r="CL41" i="11" s="1"/>
  <c r="V363" i="12"/>
  <c r="U363" i="12"/>
  <c r="CB41" i="11" s="1"/>
  <c r="T363" i="12"/>
  <c r="S363" i="12"/>
  <c r="BR41" i="11" s="1"/>
  <c r="R363" i="12"/>
  <c r="Q363" i="12"/>
  <c r="BH41" i="11" s="1"/>
  <c r="P363" i="12"/>
  <c r="O363" i="12"/>
  <c r="AX41" i="11" s="1"/>
  <c r="N363" i="12"/>
  <c r="M363" i="12"/>
  <c r="AN41" i="11" s="1"/>
  <c r="L363" i="12"/>
  <c r="K363" i="12"/>
  <c r="AD41" i="11" s="1"/>
  <c r="J363" i="12"/>
  <c r="I363" i="12"/>
  <c r="T41" i="11" s="1"/>
  <c r="H363" i="12"/>
  <c r="G363" i="12"/>
  <c r="J41" i="11" s="1"/>
  <c r="AA362" i="12"/>
  <c r="AB367" i="12" s="1"/>
  <c r="Z362" i="12"/>
  <c r="Y362" i="12"/>
  <c r="X362" i="12"/>
  <c r="CQ42" i="11" s="1"/>
  <c r="W362" i="12"/>
  <c r="V362" i="12"/>
  <c r="CG42" i="11" s="1"/>
  <c r="U362" i="12"/>
  <c r="T362" i="12"/>
  <c r="BW42" i="11" s="1"/>
  <c r="S362" i="12"/>
  <c r="R362" i="12"/>
  <c r="BM42" i="11" s="1"/>
  <c r="Q362" i="12"/>
  <c r="P362" i="12"/>
  <c r="BC42" i="11" s="1"/>
  <c r="O362" i="12"/>
  <c r="N362" i="12"/>
  <c r="AS42" i="11" s="1"/>
  <c r="M362" i="12"/>
  <c r="L362" i="12"/>
  <c r="AI42" i="11" s="1"/>
  <c r="K362" i="12"/>
  <c r="J362" i="12"/>
  <c r="Y42" i="11" s="1"/>
  <c r="I362" i="12"/>
  <c r="H362" i="12"/>
  <c r="O42" i="11" s="1"/>
  <c r="G362" i="12"/>
  <c r="J42" i="11" s="1"/>
  <c r="AA321" i="12"/>
  <c r="AB326" i="12" s="1"/>
  <c r="Z321" i="12"/>
  <c r="Y321" i="12"/>
  <c r="X321" i="12"/>
  <c r="W321" i="12"/>
  <c r="V321" i="12"/>
  <c r="U321" i="12"/>
  <c r="T321" i="12"/>
  <c r="S321" i="12"/>
  <c r="R321" i="12"/>
  <c r="Q321" i="12"/>
  <c r="P321" i="12"/>
  <c r="O321" i="12"/>
  <c r="N321" i="12"/>
  <c r="M321" i="12"/>
  <c r="L321" i="12"/>
  <c r="K321" i="12"/>
  <c r="J321" i="12"/>
  <c r="I321" i="12"/>
  <c r="H321" i="12"/>
  <c r="G321" i="12"/>
  <c r="J110" i="11" s="1"/>
  <c r="AA320" i="12"/>
  <c r="AB325" i="12" s="1"/>
  <c r="Z320" i="12"/>
  <c r="Y320" i="12"/>
  <c r="X320" i="12"/>
  <c r="W320" i="12"/>
  <c r="V320" i="12"/>
  <c r="U320" i="12"/>
  <c r="T320" i="12"/>
  <c r="S320" i="12"/>
  <c r="R320" i="12"/>
  <c r="Q320" i="12"/>
  <c r="P320" i="12"/>
  <c r="O320" i="12"/>
  <c r="N320" i="12"/>
  <c r="M320" i="12"/>
  <c r="L320" i="12"/>
  <c r="K320" i="12"/>
  <c r="J320" i="12"/>
  <c r="I320" i="12"/>
  <c r="H320" i="12"/>
  <c r="G320" i="12"/>
  <c r="AA289" i="12"/>
  <c r="AB294" i="12" s="1"/>
  <c r="Z289" i="12"/>
  <c r="Y289" i="12"/>
  <c r="X289" i="12"/>
  <c r="W289" i="12"/>
  <c r="V289" i="12"/>
  <c r="U289" i="12"/>
  <c r="T289" i="12"/>
  <c r="S289" i="12"/>
  <c r="R289" i="12"/>
  <c r="Q289" i="12"/>
  <c r="P289" i="12"/>
  <c r="O289" i="12"/>
  <c r="N289" i="12"/>
  <c r="M289" i="12"/>
  <c r="L289" i="12"/>
  <c r="K289" i="12"/>
  <c r="J289" i="12"/>
  <c r="I289" i="12"/>
  <c r="H289" i="12"/>
  <c r="G289" i="12"/>
  <c r="J95" i="11" s="1"/>
  <c r="AA288" i="12"/>
  <c r="AB293" i="12" s="1"/>
  <c r="Z288" i="12"/>
  <c r="Y288" i="12"/>
  <c r="X288" i="12"/>
  <c r="W288" i="12"/>
  <c r="V288" i="12"/>
  <c r="U288" i="12"/>
  <c r="T288" i="12"/>
  <c r="S288" i="12"/>
  <c r="R288" i="12"/>
  <c r="Q288" i="12"/>
  <c r="P288" i="12"/>
  <c r="O288" i="12"/>
  <c r="N288" i="12"/>
  <c r="M288" i="12"/>
  <c r="L288" i="12"/>
  <c r="K288" i="12"/>
  <c r="J288" i="12"/>
  <c r="I288" i="12"/>
  <c r="H288" i="12"/>
  <c r="G288" i="12"/>
  <c r="S522" i="7"/>
  <c r="R522" i="7"/>
  <c r="Q522" i="7"/>
  <c r="P522" i="7"/>
  <c r="O522" i="7"/>
  <c r="N522" i="7"/>
  <c r="M522" i="7"/>
  <c r="L522" i="7"/>
  <c r="V490" i="7"/>
  <c r="U490" i="7"/>
  <c r="T490" i="7"/>
  <c r="S490" i="7"/>
  <c r="R490" i="7"/>
  <c r="Q490" i="7"/>
  <c r="P490" i="7"/>
  <c r="O490" i="7"/>
  <c r="N490" i="7"/>
  <c r="M490" i="7"/>
  <c r="L490" i="7"/>
  <c r="AA142" i="7"/>
  <c r="AB151" i="7" s="1"/>
  <c r="Z142" i="7"/>
  <c r="Y142" i="7"/>
  <c r="X142" i="7"/>
  <c r="W142" i="7"/>
  <c r="V142" i="7"/>
  <c r="U142" i="7"/>
  <c r="T142" i="7"/>
  <c r="S142" i="7"/>
  <c r="R142" i="7"/>
  <c r="Q142" i="7"/>
  <c r="P142" i="7"/>
  <c r="O142" i="7"/>
  <c r="N142" i="7"/>
  <c r="M142" i="7"/>
  <c r="L142" i="7"/>
  <c r="AA49" i="7"/>
  <c r="AB58" i="7" s="1"/>
  <c r="Z49" i="7"/>
  <c r="Y49" i="7"/>
  <c r="X49" i="7"/>
  <c r="W49" i="7"/>
  <c r="V49" i="7"/>
  <c r="U49" i="7"/>
  <c r="T49" i="7"/>
  <c r="S49" i="7"/>
  <c r="R49" i="7"/>
  <c r="Q49" i="7"/>
  <c r="P49" i="7"/>
  <c r="O49" i="7"/>
  <c r="N49" i="7"/>
  <c r="M49" i="7"/>
  <c r="L49" i="7"/>
  <c r="AA12" i="7"/>
  <c r="Z12" i="7"/>
  <c r="Y12" i="7"/>
  <c r="X12" i="7"/>
  <c r="W12" i="7"/>
  <c r="V12" i="7"/>
  <c r="U12" i="7"/>
  <c r="T12" i="7"/>
  <c r="S12" i="7"/>
  <c r="R12" i="7"/>
  <c r="Q12" i="7"/>
  <c r="P12" i="7"/>
  <c r="AA135" i="8"/>
  <c r="Z135" i="8"/>
  <c r="Y135" i="8"/>
  <c r="X135" i="8"/>
  <c r="W135" i="8"/>
  <c r="V135" i="8"/>
  <c r="U135" i="8"/>
  <c r="T135" i="8"/>
  <c r="S135" i="8"/>
  <c r="R135" i="8"/>
  <c r="Q135" i="8"/>
  <c r="P135" i="8"/>
  <c r="O135" i="8"/>
  <c r="N135" i="8"/>
  <c r="M135" i="8"/>
  <c r="L135" i="8"/>
  <c r="K135" i="8"/>
  <c r="J135" i="8"/>
  <c r="I135" i="8"/>
  <c r="H135" i="8"/>
  <c r="G135" i="8"/>
  <c r="AB90" i="8"/>
  <c r="AC93" i="8" s="1"/>
  <c r="AA90" i="8"/>
  <c r="Z90" i="8"/>
  <c r="Y90" i="8"/>
  <c r="X90" i="8"/>
  <c r="W90" i="8"/>
  <c r="V90" i="8"/>
  <c r="U90" i="8"/>
  <c r="T90" i="8"/>
  <c r="S90" i="8"/>
  <c r="R90" i="8"/>
  <c r="Q90" i="8"/>
  <c r="P90" i="8"/>
  <c r="O90" i="8"/>
  <c r="N90" i="8"/>
  <c r="M90" i="8"/>
  <c r="L90" i="8"/>
  <c r="K90" i="8"/>
  <c r="J90" i="8"/>
  <c r="I90" i="8"/>
  <c r="H90" i="8"/>
  <c r="G90" i="8"/>
  <c r="S40" i="8"/>
  <c r="R40" i="8"/>
  <c r="Q40" i="8"/>
  <c r="P40" i="8"/>
  <c r="O40" i="8"/>
  <c r="N40" i="8"/>
  <c r="M40" i="8"/>
  <c r="L40" i="8"/>
  <c r="K40" i="8"/>
  <c r="J40" i="8"/>
  <c r="I40" i="8"/>
  <c r="H40" i="8"/>
  <c r="G40" i="8"/>
  <c r="AA36" i="8"/>
  <c r="Z36" i="8"/>
  <c r="Y36" i="8"/>
  <c r="X36" i="8"/>
  <c r="W36" i="8"/>
  <c r="V36" i="8"/>
  <c r="U36" i="8"/>
  <c r="T36" i="8"/>
  <c r="S36" i="8"/>
  <c r="R36" i="8"/>
  <c r="Q36" i="8"/>
  <c r="P36" i="8"/>
  <c r="O36" i="8"/>
  <c r="N36" i="8"/>
  <c r="M36" i="8"/>
  <c r="L36" i="8"/>
  <c r="K36" i="8"/>
  <c r="J36" i="8"/>
  <c r="I36" i="8"/>
  <c r="H36" i="8"/>
  <c r="G36" i="8"/>
  <c r="AA45" i="12"/>
  <c r="Z45" i="12"/>
  <c r="Y45" i="12"/>
  <c r="X45" i="12"/>
  <c r="W45" i="12"/>
  <c r="V45" i="12"/>
  <c r="U45" i="12"/>
  <c r="T45" i="12"/>
  <c r="S45" i="12"/>
  <c r="R45" i="12"/>
  <c r="Q45" i="12"/>
  <c r="P45" i="12"/>
  <c r="O45" i="12"/>
  <c r="N45" i="12"/>
  <c r="M45" i="12"/>
  <c r="L45" i="12"/>
  <c r="K45" i="12"/>
  <c r="J45" i="12"/>
  <c r="I45" i="12"/>
  <c r="H45" i="12"/>
  <c r="G45" i="12"/>
  <c r="AA228" i="12"/>
  <c r="AB235" i="12" s="1"/>
  <c r="Z228" i="12"/>
  <c r="Y228" i="12"/>
  <c r="X228" i="12"/>
  <c r="W228" i="12"/>
  <c r="V228" i="12"/>
  <c r="U228" i="12"/>
  <c r="T228" i="12"/>
  <c r="S228" i="12"/>
  <c r="R228" i="12"/>
  <c r="Q228" i="12"/>
  <c r="P228" i="12"/>
  <c r="O228" i="12"/>
  <c r="N228" i="12"/>
  <c r="M228" i="12"/>
  <c r="L228" i="12"/>
  <c r="K228" i="12"/>
  <c r="K718" i="7" s="1"/>
  <c r="J228" i="12"/>
  <c r="J718" i="7" s="1"/>
  <c r="I228" i="12"/>
  <c r="I718" i="7" s="1"/>
  <c r="H228" i="12"/>
  <c r="H718" i="7" s="1"/>
  <c r="G228" i="12"/>
  <c r="G718" i="7" s="1"/>
  <c r="AA519" i="7"/>
  <c r="AB526" i="7" s="1"/>
  <c r="Z519" i="7"/>
  <c r="Y519" i="7"/>
  <c r="X519" i="7"/>
  <c r="W519" i="7"/>
  <c r="V519" i="7"/>
  <c r="U519" i="7"/>
  <c r="T519" i="7"/>
  <c r="S519" i="7"/>
  <c r="R519" i="7"/>
  <c r="Q519" i="7"/>
  <c r="P519" i="7"/>
  <c r="O519" i="7"/>
  <c r="N519" i="7"/>
  <c r="M519" i="7"/>
  <c r="L519" i="7"/>
  <c r="AA396" i="7"/>
  <c r="Z396" i="7"/>
  <c r="Y396" i="7"/>
  <c r="X396" i="7"/>
  <c r="W396" i="7"/>
  <c r="V396" i="7"/>
  <c r="U396" i="7"/>
  <c r="T396" i="7"/>
  <c r="S396" i="7"/>
  <c r="R396" i="7"/>
  <c r="Q396" i="7"/>
  <c r="P396" i="7"/>
  <c r="O396" i="7"/>
  <c r="N396" i="7"/>
  <c r="M396" i="7"/>
  <c r="L396" i="7"/>
  <c r="AA323" i="7"/>
  <c r="AB333" i="7" s="1"/>
  <c r="Z323" i="7"/>
  <c r="Y323" i="7"/>
  <c r="X323" i="7"/>
  <c r="W323" i="7"/>
  <c r="V323" i="7"/>
  <c r="U323" i="7"/>
  <c r="T323" i="7"/>
  <c r="S323" i="7"/>
  <c r="R323" i="7"/>
  <c r="Q323" i="7"/>
  <c r="P323" i="7"/>
  <c r="O323" i="7"/>
  <c r="N323" i="7"/>
  <c r="M323" i="7"/>
  <c r="L323" i="7"/>
  <c r="AA324" i="7"/>
  <c r="AB334" i="7" s="1"/>
  <c r="Z324" i="7"/>
  <c r="Y324" i="7"/>
  <c r="X324" i="7"/>
  <c r="W324" i="7"/>
  <c r="V324" i="7"/>
  <c r="U324" i="7"/>
  <c r="T324" i="7"/>
  <c r="S324" i="7"/>
  <c r="R324" i="7"/>
  <c r="Q324" i="7"/>
  <c r="P324" i="7"/>
  <c r="O324" i="7"/>
  <c r="N324" i="7"/>
  <c r="M324" i="7"/>
  <c r="L324" i="7"/>
  <c r="AA298" i="7"/>
  <c r="AB306" i="7" s="1"/>
  <c r="Z298" i="7"/>
  <c r="Y298" i="7"/>
  <c r="X298" i="7"/>
  <c r="W298" i="7"/>
  <c r="V298" i="7"/>
  <c r="U298" i="7"/>
  <c r="T298" i="7"/>
  <c r="S298" i="7"/>
  <c r="R298" i="7"/>
  <c r="Q298" i="7"/>
  <c r="P298" i="7"/>
  <c r="O298" i="7"/>
  <c r="N298" i="7"/>
  <c r="M298" i="7"/>
  <c r="L298" i="7"/>
  <c r="AA259" i="7"/>
  <c r="Z259" i="7"/>
  <c r="Y259" i="7"/>
  <c r="X259" i="7"/>
  <c r="W259" i="7"/>
  <c r="V259" i="7"/>
  <c r="U259" i="7"/>
  <c r="T259" i="7"/>
  <c r="S259" i="7"/>
  <c r="R259" i="7"/>
  <c r="Q259" i="7"/>
  <c r="P259" i="7"/>
  <c r="O259" i="7"/>
  <c r="N259" i="7"/>
  <c r="M259" i="7"/>
  <c r="L259" i="7"/>
  <c r="AA302" i="7"/>
  <c r="AB310" i="7" s="1"/>
  <c r="Z302" i="7"/>
  <c r="Y302" i="7"/>
  <c r="X302" i="7"/>
  <c r="W302" i="7"/>
  <c r="V302" i="7"/>
  <c r="U302" i="7"/>
  <c r="T302" i="7"/>
  <c r="S302" i="7"/>
  <c r="R302" i="7"/>
  <c r="Q302" i="7"/>
  <c r="P302" i="7"/>
  <c r="O302" i="7"/>
  <c r="N302" i="7"/>
  <c r="M302" i="7"/>
  <c r="L302" i="7"/>
  <c r="AA256" i="7"/>
  <c r="AB268" i="7" s="1"/>
  <c r="Z256" i="7"/>
  <c r="Y256" i="7"/>
  <c r="X256" i="7"/>
  <c r="W256" i="7"/>
  <c r="V256" i="7"/>
  <c r="U256" i="7"/>
  <c r="T256" i="7"/>
  <c r="S256" i="7"/>
  <c r="R256" i="7"/>
  <c r="Q256" i="7"/>
  <c r="P256" i="7"/>
  <c r="O256" i="7"/>
  <c r="N256" i="7"/>
  <c r="M256" i="7"/>
  <c r="L256" i="7"/>
  <c r="AA201" i="7"/>
  <c r="AB209" i="7" s="1"/>
  <c r="Z201" i="7"/>
  <c r="Y201" i="7"/>
  <c r="X201" i="7"/>
  <c r="W201" i="7"/>
  <c r="V201" i="7"/>
  <c r="U201" i="7"/>
  <c r="T201" i="7"/>
  <c r="S201" i="7"/>
  <c r="R201" i="7"/>
  <c r="Q201" i="7"/>
  <c r="P201" i="7"/>
  <c r="O201" i="7"/>
  <c r="N201" i="7"/>
  <c r="M201" i="7"/>
  <c r="L201" i="7"/>
  <c r="AA209" i="8"/>
  <c r="AB221" i="8" s="1"/>
  <c r="Z209" i="8"/>
  <c r="Y209" i="8"/>
  <c r="X209" i="8"/>
  <c r="W209" i="8"/>
  <c r="V209" i="8"/>
  <c r="U209" i="8"/>
  <c r="T209" i="8"/>
  <c r="S209" i="8"/>
  <c r="R209" i="8"/>
  <c r="Q209" i="8"/>
  <c r="P209" i="8"/>
  <c r="O209" i="8"/>
  <c r="N209" i="8"/>
  <c r="M209" i="8"/>
  <c r="L209" i="8"/>
  <c r="K209" i="8"/>
  <c r="J209" i="8"/>
  <c r="I209" i="8"/>
  <c r="H209" i="8"/>
  <c r="G209" i="8"/>
  <c r="AA137" i="8"/>
  <c r="AA136" i="8" s="1"/>
  <c r="Z137" i="8"/>
  <c r="Y137" i="8"/>
  <c r="X137" i="8"/>
  <c r="W137" i="8"/>
  <c r="U137" i="8"/>
  <c r="T137" i="8"/>
  <c r="S137" i="8"/>
  <c r="R137" i="8"/>
  <c r="Q137" i="8"/>
  <c r="P137" i="8"/>
  <c r="O137" i="8"/>
  <c r="N137" i="8"/>
  <c r="M137" i="8"/>
  <c r="L137" i="8"/>
  <c r="K137" i="8"/>
  <c r="J137" i="8"/>
  <c r="I137" i="8"/>
  <c r="H137" i="8"/>
  <c r="G137" i="8"/>
  <c r="AA217" i="8"/>
  <c r="Z217" i="8"/>
  <c r="Y217" i="8"/>
  <c r="X217" i="8"/>
  <c r="W217" i="8"/>
  <c r="V217" i="8"/>
  <c r="U217" i="8"/>
  <c r="T217" i="8"/>
  <c r="S217" i="8"/>
  <c r="R217" i="8"/>
  <c r="Q217" i="8"/>
  <c r="P217" i="8"/>
  <c r="O217" i="8"/>
  <c r="N217" i="8"/>
  <c r="M217" i="8"/>
  <c r="L217" i="8"/>
  <c r="K217" i="8"/>
  <c r="J217" i="8"/>
  <c r="I217" i="8"/>
  <c r="H217" i="8"/>
  <c r="G217" i="8"/>
  <c r="AA46" i="7"/>
  <c r="AB55" i="7" s="1"/>
  <c r="Z46" i="7"/>
  <c r="Y46" i="7"/>
  <c r="X46" i="7"/>
  <c r="W46" i="7"/>
  <c r="V46" i="7"/>
  <c r="U46" i="7"/>
  <c r="T46" i="7"/>
  <c r="S46" i="7"/>
  <c r="R46" i="7"/>
  <c r="Q46" i="7"/>
  <c r="P46" i="7"/>
  <c r="O46" i="7"/>
  <c r="N46" i="7"/>
  <c r="M46" i="7"/>
  <c r="L46" i="7"/>
  <c r="AA9" i="7"/>
  <c r="AB18" i="7" s="1"/>
  <c r="Z9" i="7"/>
  <c r="Y9" i="7"/>
  <c r="X9" i="7"/>
  <c r="W9" i="7"/>
  <c r="V9" i="7"/>
  <c r="U9" i="7"/>
  <c r="T9" i="7"/>
  <c r="S9" i="7"/>
  <c r="R9" i="7"/>
  <c r="Q9" i="7"/>
  <c r="P9" i="7"/>
  <c r="O9" i="7"/>
  <c r="N9" i="7"/>
  <c r="M9" i="7"/>
  <c r="L9" i="7"/>
  <c r="AA73" i="7"/>
  <c r="Z73" i="7"/>
  <c r="Y73" i="7"/>
  <c r="X73" i="7"/>
  <c r="W73" i="7"/>
  <c r="V73" i="7"/>
  <c r="U73" i="7"/>
  <c r="T73" i="7"/>
  <c r="S73" i="7"/>
  <c r="R73" i="7"/>
  <c r="Q73" i="7"/>
  <c r="P73" i="7"/>
  <c r="O73" i="7"/>
  <c r="N73" i="7"/>
  <c r="M73" i="7"/>
  <c r="L73" i="7"/>
  <c r="AB165" i="7"/>
  <c r="AA165" i="7"/>
  <c r="Z165" i="7"/>
  <c r="Y165" i="7"/>
  <c r="X165" i="7"/>
  <c r="W165" i="7"/>
  <c r="V165" i="7"/>
  <c r="U165" i="7"/>
  <c r="T165" i="7"/>
  <c r="S165" i="7"/>
  <c r="R165" i="7"/>
  <c r="Q165" i="7"/>
  <c r="P165" i="7"/>
  <c r="O165" i="7"/>
  <c r="N165" i="7"/>
  <c r="M165" i="7"/>
  <c r="L165" i="7"/>
  <c r="W631" i="7"/>
  <c r="V631" i="7"/>
  <c r="U631" i="7"/>
  <c r="T631" i="7"/>
  <c r="S631" i="7"/>
  <c r="R631" i="7"/>
  <c r="Q631" i="7"/>
  <c r="P631" i="7"/>
  <c r="O631" i="7"/>
  <c r="N631" i="7"/>
  <c r="M631" i="7"/>
  <c r="L631" i="7"/>
  <c r="AA664" i="7"/>
  <c r="Z664" i="7"/>
  <c r="Y664" i="7"/>
  <c r="X664" i="7"/>
  <c r="W664" i="7"/>
  <c r="V664" i="7"/>
  <c r="U664" i="7"/>
  <c r="T664" i="7"/>
  <c r="S664" i="7"/>
  <c r="R664" i="7"/>
  <c r="Q664" i="7"/>
  <c r="P664" i="7"/>
  <c r="O664" i="7"/>
  <c r="N664" i="7"/>
  <c r="M664" i="7"/>
  <c r="L664" i="7"/>
  <c r="AA605" i="7"/>
  <c r="Z605" i="7"/>
  <c r="Y605" i="7"/>
  <c r="X605" i="7"/>
  <c r="W605" i="7"/>
  <c r="V605" i="7"/>
  <c r="U605" i="7"/>
  <c r="T605" i="7"/>
  <c r="S605" i="7"/>
  <c r="R605" i="7"/>
  <c r="Q605" i="7"/>
  <c r="P605" i="7"/>
  <c r="O605" i="7"/>
  <c r="N605" i="7"/>
  <c r="M605" i="7"/>
  <c r="L605" i="7"/>
  <c r="AA801" i="7"/>
  <c r="Z801" i="7"/>
  <c r="Y801" i="7"/>
  <c r="X801" i="7"/>
  <c r="W801" i="7"/>
  <c r="V801" i="7"/>
  <c r="U801" i="7"/>
  <c r="T801" i="7"/>
  <c r="S801" i="7"/>
  <c r="R801" i="7"/>
  <c r="Q801" i="7"/>
  <c r="P801" i="7"/>
  <c r="O801" i="7"/>
  <c r="N801" i="7"/>
  <c r="M801" i="7"/>
  <c r="L801" i="7"/>
  <c r="AA521" i="7"/>
  <c r="AB528" i="7" s="1"/>
  <c r="Z521" i="7"/>
  <c r="Y521" i="7"/>
  <c r="X521" i="7"/>
  <c r="W521" i="7"/>
  <c r="V521" i="7"/>
  <c r="U521" i="7"/>
  <c r="T521" i="7"/>
  <c r="S521" i="7"/>
  <c r="R521" i="7"/>
  <c r="Q521" i="7"/>
  <c r="P521" i="7"/>
  <c r="O521" i="7"/>
  <c r="N521" i="7"/>
  <c r="M521" i="7"/>
  <c r="L521" i="7"/>
  <c r="AA543" i="7"/>
  <c r="AB550" i="7" s="1"/>
  <c r="Z543" i="7"/>
  <c r="Y543" i="7"/>
  <c r="X543" i="7"/>
  <c r="W543" i="7"/>
  <c r="V543" i="7"/>
  <c r="U543" i="7"/>
  <c r="T543" i="7"/>
  <c r="S543" i="7"/>
  <c r="R543" i="7"/>
  <c r="Q543" i="7"/>
  <c r="P543" i="7"/>
  <c r="O543" i="7"/>
  <c r="N543" i="7"/>
  <c r="M543" i="7"/>
  <c r="L543" i="7"/>
  <c r="Z229" i="12"/>
  <c r="X229" i="12"/>
  <c r="W229" i="12"/>
  <c r="V229" i="12"/>
  <c r="U229" i="12"/>
  <c r="T229" i="12"/>
  <c r="S229" i="12"/>
  <c r="R229" i="12"/>
  <c r="Q229" i="12"/>
  <c r="P229" i="12"/>
  <c r="O229" i="12"/>
  <c r="N229" i="12"/>
  <c r="M229" i="12"/>
  <c r="L229" i="12"/>
  <c r="K229" i="12"/>
  <c r="J229" i="12"/>
  <c r="I229" i="12"/>
  <c r="H229" i="12"/>
  <c r="G229" i="12"/>
  <c r="AA800" i="7"/>
  <c r="Z800" i="7"/>
  <c r="Y800" i="7"/>
  <c r="X800" i="7"/>
  <c r="W800" i="7"/>
  <c r="V800" i="7"/>
  <c r="U800" i="7"/>
  <c r="T800" i="7"/>
  <c r="S800" i="7"/>
  <c r="R800" i="7"/>
  <c r="Q800" i="7"/>
  <c r="P800" i="7"/>
  <c r="O800" i="7"/>
  <c r="N800" i="7"/>
  <c r="M800" i="7"/>
  <c r="L800" i="7"/>
  <c r="AB483" i="7"/>
  <c r="AC483" i="7" s="1"/>
  <c r="AA483" i="7"/>
  <c r="Z483" i="7"/>
  <c r="Y483" i="7"/>
  <c r="X483" i="7"/>
  <c r="W483" i="7"/>
  <c r="V483" i="7"/>
  <c r="U483" i="7"/>
  <c r="T483" i="7"/>
  <c r="S483" i="7"/>
  <c r="R483" i="7"/>
  <c r="Q483" i="7"/>
  <c r="P483" i="7"/>
  <c r="O483" i="7"/>
  <c r="N483" i="7"/>
  <c r="M483" i="7"/>
  <c r="L483" i="7"/>
  <c r="AA486" i="7"/>
  <c r="Z486" i="7"/>
  <c r="Y486" i="7"/>
  <c r="X486" i="7"/>
  <c r="W486" i="7"/>
  <c r="V486" i="7"/>
  <c r="U486" i="7"/>
  <c r="T486" i="7"/>
  <c r="S486" i="7"/>
  <c r="R486" i="7"/>
  <c r="Q486" i="7"/>
  <c r="P486" i="7"/>
  <c r="O486" i="7"/>
  <c r="N486" i="7"/>
  <c r="M486" i="7"/>
  <c r="L486" i="7"/>
  <c r="AB482" i="7"/>
  <c r="AC482" i="7" s="1"/>
  <c r="AA482" i="7"/>
  <c r="Z482" i="7"/>
  <c r="Y482" i="7"/>
  <c r="X482" i="7"/>
  <c r="W482" i="7"/>
  <c r="V482" i="7"/>
  <c r="U482" i="7"/>
  <c r="T482" i="7"/>
  <c r="S482" i="7"/>
  <c r="R482" i="7"/>
  <c r="Q482" i="7"/>
  <c r="P482" i="7"/>
  <c r="O482" i="7"/>
  <c r="N482" i="7"/>
  <c r="M482" i="7"/>
  <c r="L482" i="7"/>
  <c r="AB485" i="7"/>
  <c r="AB487" i="7" s="1"/>
  <c r="AA485" i="7"/>
  <c r="Z485" i="7"/>
  <c r="Y485" i="7"/>
  <c r="X485" i="7"/>
  <c r="W485" i="7"/>
  <c r="V485" i="7"/>
  <c r="U485" i="7"/>
  <c r="T485" i="7"/>
  <c r="S485" i="7"/>
  <c r="R485" i="7"/>
  <c r="Q485" i="7"/>
  <c r="P485" i="7"/>
  <c r="O485" i="7"/>
  <c r="N485" i="7"/>
  <c r="M485" i="7"/>
  <c r="L485" i="7"/>
  <c r="AB398" i="7"/>
  <c r="AA398" i="7"/>
  <c r="Z398" i="7"/>
  <c r="Y398" i="7"/>
  <c r="X398" i="7"/>
  <c r="W398" i="7"/>
  <c r="V398" i="7"/>
  <c r="U398" i="7"/>
  <c r="T398" i="7"/>
  <c r="S398" i="7"/>
  <c r="R398" i="7"/>
  <c r="Q398" i="7"/>
  <c r="P398" i="7"/>
  <c r="O398" i="7"/>
  <c r="N398" i="7"/>
  <c r="M398" i="7"/>
  <c r="L398" i="7"/>
  <c r="AB327" i="7"/>
  <c r="AA327" i="7"/>
  <c r="Z327" i="7"/>
  <c r="Y327" i="7"/>
  <c r="X327" i="7"/>
  <c r="W327" i="7"/>
  <c r="V327" i="7"/>
  <c r="U327" i="7"/>
  <c r="T327" i="7"/>
  <c r="S327" i="7"/>
  <c r="R327" i="7"/>
  <c r="Q327" i="7"/>
  <c r="P327" i="7"/>
  <c r="O327" i="7"/>
  <c r="N327" i="7"/>
  <c r="M327" i="7"/>
  <c r="L327" i="7"/>
  <c r="AB420" i="7"/>
  <c r="AA420" i="7"/>
  <c r="Z420" i="7"/>
  <c r="Y420" i="7"/>
  <c r="X420" i="7"/>
  <c r="W420" i="7"/>
  <c r="V420" i="7"/>
  <c r="U420" i="7"/>
  <c r="T420" i="7"/>
  <c r="S420" i="7"/>
  <c r="R420" i="7"/>
  <c r="Q420" i="7"/>
  <c r="P420" i="7"/>
  <c r="O420" i="7"/>
  <c r="N420" i="7"/>
  <c r="M420" i="7"/>
  <c r="L420" i="7"/>
  <c r="AB328" i="7"/>
  <c r="AA328" i="7"/>
  <c r="Z328" i="7"/>
  <c r="Y328" i="7"/>
  <c r="X328" i="7"/>
  <c r="W328" i="7"/>
  <c r="V328" i="7"/>
  <c r="U328" i="7"/>
  <c r="T328" i="7"/>
  <c r="S328" i="7"/>
  <c r="R328" i="7"/>
  <c r="Q328" i="7"/>
  <c r="P328" i="7"/>
  <c r="O328" i="7"/>
  <c r="N328" i="7"/>
  <c r="M328" i="7"/>
  <c r="L328" i="7"/>
  <c r="AA300" i="7"/>
  <c r="AB308" i="7" s="1"/>
  <c r="Z300" i="7"/>
  <c r="Y300" i="7"/>
  <c r="X300" i="7"/>
  <c r="W300" i="7"/>
  <c r="V300" i="7"/>
  <c r="U300" i="7"/>
  <c r="T300" i="7"/>
  <c r="S300" i="7"/>
  <c r="R300" i="7"/>
  <c r="Q300" i="7"/>
  <c r="P300" i="7"/>
  <c r="O300" i="7"/>
  <c r="N300" i="7"/>
  <c r="M300" i="7"/>
  <c r="L300" i="7"/>
  <c r="AB253" i="7"/>
  <c r="AC253" i="7" s="1"/>
  <c r="AA253" i="7"/>
  <c r="Z253" i="7"/>
  <c r="Y253" i="7"/>
  <c r="X253" i="7"/>
  <c r="W253" i="7"/>
  <c r="V253" i="7"/>
  <c r="U253" i="7"/>
  <c r="T253" i="7"/>
  <c r="S253" i="7"/>
  <c r="R253" i="7"/>
  <c r="Q253" i="7"/>
  <c r="P253" i="7"/>
  <c r="O253" i="7"/>
  <c r="N253" i="7"/>
  <c r="M253" i="7"/>
  <c r="L253" i="7"/>
  <c r="AB254" i="7"/>
  <c r="AA254" i="7"/>
  <c r="Z254" i="7"/>
  <c r="Y254" i="7"/>
  <c r="X254" i="7"/>
  <c r="W254" i="7"/>
  <c r="V254" i="7"/>
  <c r="U254" i="7"/>
  <c r="T254" i="7"/>
  <c r="S254" i="7"/>
  <c r="R254" i="7"/>
  <c r="Q254" i="7"/>
  <c r="P254" i="7"/>
  <c r="O254" i="7"/>
  <c r="N254" i="7"/>
  <c r="M254" i="7"/>
  <c r="L254" i="7"/>
  <c r="AB203" i="7"/>
  <c r="AA203" i="7"/>
  <c r="Z203" i="7"/>
  <c r="Y203" i="7"/>
  <c r="X203" i="7"/>
  <c r="W203" i="7"/>
  <c r="V203" i="7"/>
  <c r="U203" i="7"/>
  <c r="T203" i="7"/>
  <c r="S203" i="7"/>
  <c r="R203" i="7"/>
  <c r="Q203" i="7"/>
  <c r="P203" i="7"/>
  <c r="O203" i="7"/>
  <c r="N203" i="7"/>
  <c r="M203" i="7"/>
  <c r="L203" i="7"/>
  <c r="AB205" i="7"/>
  <c r="AA205" i="7"/>
  <c r="Z205" i="7"/>
  <c r="Y205" i="7"/>
  <c r="X205" i="7"/>
  <c r="W205" i="7"/>
  <c r="V205" i="7"/>
  <c r="U205" i="7"/>
  <c r="T205" i="7"/>
  <c r="S205" i="7"/>
  <c r="R205" i="7"/>
  <c r="Q205" i="7"/>
  <c r="P205" i="7"/>
  <c r="O205" i="7"/>
  <c r="N205" i="7"/>
  <c r="M205" i="7"/>
  <c r="L205" i="7"/>
  <c r="AB139" i="7"/>
  <c r="AC139" i="7" s="1"/>
  <c r="AA139" i="7"/>
  <c r="Z139" i="7"/>
  <c r="Y139" i="7"/>
  <c r="X139" i="7"/>
  <c r="W139" i="7"/>
  <c r="V139" i="7"/>
  <c r="U139" i="7"/>
  <c r="T139" i="7"/>
  <c r="S139" i="7"/>
  <c r="R139" i="7"/>
  <c r="Q139" i="7"/>
  <c r="P139" i="7"/>
  <c r="O139" i="7"/>
  <c r="N139" i="7"/>
  <c r="M139" i="7"/>
  <c r="L139" i="7"/>
  <c r="AB137" i="7"/>
  <c r="AC137" i="7" s="1"/>
  <c r="AA137" i="7"/>
  <c r="Z137" i="7"/>
  <c r="Y137" i="7"/>
  <c r="X137" i="7"/>
  <c r="W137" i="7"/>
  <c r="V137" i="7"/>
  <c r="U137" i="7"/>
  <c r="T137" i="7"/>
  <c r="S137" i="7"/>
  <c r="R137" i="7"/>
  <c r="Q137" i="7"/>
  <c r="P137" i="7"/>
  <c r="O137" i="7"/>
  <c r="N137" i="7"/>
  <c r="M137" i="7"/>
  <c r="L137" i="7"/>
  <c r="AB425" i="7"/>
  <c r="AA48" i="7"/>
  <c r="Z48" i="7"/>
  <c r="Y48" i="7"/>
  <c r="X48" i="7"/>
  <c r="W48" i="7"/>
  <c r="V48" i="7"/>
  <c r="U48" i="7"/>
  <c r="T48" i="7"/>
  <c r="S48" i="7"/>
  <c r="R48" i="7"/>
  <c r="Q48" i="7"/>
  <c r="P48" i="7"/>
  <c r="O48" i="7"/>
  <c r="N48" i="7"/>
  <c r="M48" i="7"/>
  <c r="L48" i="7"/>
  <c r="AB424" i="7"/>
  <c r="AA11" i="7"/>
  <c r="Z11" i="7"/>
  <c r="Y11" i="7"/>
  <c r="X11" i="7"/>
  <c r="W11" i="7"/>
  <c r="V11" i="7"/>
  <c r="U11" i="7"/>
  <c r="T11" i="7"/>
  <c r="S11" i="7"/>
  <c r="R11" i="7"/>
  <c r="Q11" i="7"/>
  <c r="P11" i="7"/>
  <c r="O11" i="7"/>
  <c r="N11" i="7"/>
  <c r="M11" i="7"/>
  <c r="L11" i="7"/>
  <c r="AA50" i="7"/>
  <c r="Z50" i="7"/>
  <c r="Y50" i="7"/>
  <c r="X50" i="7"/>
  <c r="W50" i="7"/>
  <c r="V50" i="7"/>
  <c r="U50" i="7"/>
  <c r="T50" i="7"/>
  <c r="S50" i="7"/>
  <c r="R50" i="7"/>
  <c r="Q50" i="7"/>
  <c r="P50" i="7"/>
  <c r="O50" i="7"/>
  <c r="N50" i="7"/>
  <c r="M50" i="7"/>
  <c r="L50" i="7"/>
  <c r="AA13" i="7"/>
  <c r="AB22" i="7" s="1"/>
  <c r="Z13" i="7"/>
  <c r="Y13" i="7"/>
  <c r="X13" i="7"/>
  <c r="W13" i="7"/>
  <c r="V13" i="7"/>
  <c r="U13" i="7"/>
  <c r="T13" i="7"/>
  <c r="S13" i="7"/>
  <c r="R13" i="7"/>
  <c r="Q13" i="7"/>
  <c r="P13" i="7"/>
  <c r="O13" i="7"/>
  <c r="N13" i="7"/>
  <c r="M13" i="7"/>
  <c r="L13" i="7"/>
  <c r="AB211" i="8"/>
  <c r="AA211" i="8"/>
  <c r="Z211" i="8"/>
  <c r="Y211" i="8"/>
  <c r="X211" i="8"/>
  <c r="W211" i="8"/>
  <c r="V211" i="8"/>
  <c r="U211" i="8"/>
  <c r="T211" i="8"/>
  <c r="S211" i="8"/>
  <c r="R211" i="8"/>
  <c r="Q211" i="8"/>
  <c r="P211" i="8"/>
  <c r="O211" i="8"/>
  <c r="N211" i="8"/>
  <c r="M211" i="8"/>
  <c r="L211" i="8"/>
  <c r="K211" i="8"/>
  <c r="J211" i="8"/>
  <c r="I211" i="8"/>
  <c r="H211" i="8"/>
  <c r="G211" i="8"/>
  <c r="AB422" i="7"/>
  <c r="AA422" i="7"/>
  <c r="Z422" i="7"/>
  <c r="Y422" i="7"/>
  <c r="X422" i="7"/>
  <c r="W422" i="7"/>
  <c r="V422" i="7"/>
  <c r="U422" i="7"/>
  <c r="T422" i="7"/>
  <c r="S422" i="7"/>
  <c r="R422" i="7"/>
  <c r="Q422" i="7"/>
  <c r="P422" i="7"/>
  <c r="O422" i="7"/>
  <c r="N422" i="7"/>
  <c r="M422" i="7"/>
  <c r="L422" i="7"/>
  <c r="AA83" i="7"/>
  <c r="Z83" i="7"/>
  <c r="Y83" i="7"/>
  <c r="X83" i="7"/>
  <c r="W83" i="7"/>
  <c r="V83" i="7"/>
  <c r="U83" i="7"/>
  <c r="T83" i="7"/>
  <c r="S83" i="7"/>
  <c r="R83" i="7"/>
  <c r="Q83" i="7"/>
  <c r="P83" i="7"/>
  <c r="O83" i="7"/>
  <c r="N83" i="7"/>
  <c r="M83" i="7"/>
  <c r="L83" i="7"/>
  <c r="AB419" i="7"/>
  <c r="AA419" i="7"/>
  <c r="Z419" i="7"/>
  <c r="Y419" i="7"/>
  <c r="X419" i="7"/>
  <c r="W419" i="7"/>
  <c r="V419" i="7"/>
  <c r="U419" i="7"/>
  <c r="T419" i="7"/>
  <c r="S419" i="7"/>
  <c r="R419" i="7"/>
  <c r="Q419" i="7"/>
  <c r="P419" i="7"/>
  <c r="O419" i="7"/>
  <c r="N419" i="7"/>
  <c r="M419" i="7"/>
  <c r="L419" i="7"/>
  <c r="X230" i="12"/>
  <c r="W230" i="12"/>
  <c r="V230" i="12"/>
  <c r="U230" i="12"/>
  <c r="T230" i="12"/>
  <c r="S230" i="12"/>
  <c r="R230" i="12"/>
  <c r="Q230" i="12"/>
  <c r="P230" i="12"/>
  <c r="O230" i="12"/>
  <c r="N230" i="12"/>
  <c r="M230" i="12"/>
  <c r="L230" i="12"/>
  <c r="K230" i="12"/>
  <c r="K735" i="7" s="1"/>
  <c r="J230" i="12"/>
  <c r="J735" i="7" s="1"/>
  <c r="I230" i="12"/>
  <c r="I735" i="7" s="1"/>
  <c r="H230" i="12"/>
  <c r="H735" i="7" s="1"/>
  <c r="G230" i="12"/>
  <c r="G735" i="7" s="1"/>
  <c r="AA520" i="7"/>
  <c r="AB527" i="7" s="1"/>
  <c r="Z520" i="7"/>
  <c r="Y520" i="7"/>
  <c r="X520" i="7"/>
  <c r="W520" i="7"/>
  <c r="V520" i="7"/>
  <c r="U520" i="7"/>
  <c r="T520" i="7"/>
  <c r="S520" i="7"/>
  <c r="R520" i="7"/>
  <c r="Q520" i="7"/>
  <c r="P520" i="7"/>
  <c r="O520" i="7"/>
  <c r="N520" i="7"/>
  <c r="M520" i="7"/>
  <c r="L520" i="7"/>
  <c r="AA397" i="7"/>
  <c r="AB403" i="7" s="1"/>
  <c r="Z397" i="7"/>
  <c r="Y397" i="7"/>
  <c r="X397" i="7"/>
  <c r="W397" i="7"/>
  <c r="V397" i="7"/>
  <c r="U397" i="7"/>
  <c r="T397" i="7"/>
  <c r="S397" i="7"/>
  <c r="R397" i="7"/>
  <c r="Q397" i="7"/>
  <c r="P397" i="7"/>
  <c r="O397" i="7"/>
  <c r="N397" i="7"/>
  <c r="M397" i="7"/>
  <c r="L397" i="7"/>
  <c r="AA325" i="7"/>
  <c r="AB335" i="7" s="1"/>
  <c r="Z325" i="7"/>
  <c r="Y325" i="7"/>
  <c r="X325" i="7"/>
  <c r="W325" i="7"/>
  <c r="V325" i="7"/>
  <c r="U325" i="7"/>
  <c r="T325" i="7"/>
  <c r="S325" i="7"/>
  <c r="R325" i="7"/>
  <c r="Q325" i="7"/>
  <c r="P325" i="7"/>
  <c r="O325" i="7"/>
  <c r="N325" i="7"/>
  <c r="M325" i="7"/>
  <c r="L325" i="7"/>
  <c r="AA326" i="7"/>
  <c r="AB336" i="7" s="1"/>
  <c r="Z326" i="7"/>
  <c r="Y326" i="7"/>
  <c r="X326" i="7"/>
  <c r="W326" i="7"/>
  <c r="V326" i="7"/>
  <c r="U326" i="7"/>
  <c r="T326" i="7"/>
  <c r="S326" i="7"/>
  <c r="R326" i="7"/>
  <c r="Q326" i="7"/>
  <c r="P326" i="7"/>
  <c r="O326" i="7"/>
  <c r="N326" i="7"/>
  <c r="M326" i="7"/>
  <c r="L326" i="7"/>
  <c r="AA299" i="7"/>
  <c r="AB307" i="7" s="1"/>
  <c r="Z299" i="7"/>
  <c r="Y299" i="7"/>
  <c r="X299" i="7"/>
  <c r="W299" i="7"/>
  <c r="V299" i="7"/>
  <c r="U299" i="7"/>
  <c r="T299" i="7"/>
  <c r="S299" i="7"/>
  <c r="R299" i="7"/>
  <c r="Q299" i="7"/>
  <c r="P299" i="7"/>
  <c r="O299" i="7"/>
  <c r="N299" i="7"/>
  <c r="M299" i="7"/>
  <c r="L299" i="7"/>
  <c r="AA257" i="7"/>
  <c r="AB269" i="7" s="1"/>
  <c r="Z257" i="7"/>
  <c r="Y257" i="7"/>
  <c r="X257" i="7"/>
  <c r="W257" i="7"/>
  <c r="V257" i="7"/>
  <c r="U257" i="7"/>
  <c r="T257" i="7"/>
  <c r="S257" i="7"/>
  <c r="R257" i="7"/>
  <c r="Q257" i="7"/>
  <c r="P257" i="7"/>
  <c r="O257" i="7"/>
  <c r="N257" i="7"/>
  <c r="M257" i="7"/>
  <c r="L257" i="7"/>
  <c r="AA202" i="7"/>
  <c r="AB210" i="7" s="1"/>
  <c r="Z202" i="7"/>
  <c r="Y202" i="7"/>
  <c r="X202" i="7"/>
  <c r="W202" i="7"/>
  <c r="V202" i="7"/>
  <c r="U202" i="7"/>
  <c r="T202" i="7"/>
  <c r="S202" i="7"/>
  <c r="R202" i="7"/>
  <c r="Q202" i="7"/>
  <c r="P202" i="7"/>
  <c r="O202" i="7"/>
  <c r="N202" i="7"/>
  <c r="M202" i="7"/>
  <c r="L202" i="7"/>
  <c r="AA210" i="8"/>
  <c r="Z210" i="8"/>
  <c r="Y210" i="8"/>
  <c r="X210" i="8"/>
  <c r="W210" i="8"/>
  <c r="V210" i="8"/>
  <c r="U210" i="8"/>
  <c r="T210" i="8"/>
  <c r="S210" i="8"/>
  <c r="R210" i="8"/>
  <c r="Q210" i="8"/>
  <c r="P210" i="8"/>
  <c r="O210" i="8"/>
  <c r="N210" i="8"/>
  <c r="M210" i="8"/>
  <c r="L210" i="8"/>
  <c r="K210" i="8"/>
  <c r="J210" i="8"/>
  <c r="I210" i="8"/>
  <c r="H210" i="8"/>
  <c r="G210" i="8"/>
  <c r="AA47" i="7"/>
  <c r="AB56" i="7" s="1"/>
  <c r="Z47" i="7"/>
  <c r="Y47" i="7"/>
  <c r="X47" i="7"/>
  <c r="W47" i="7"/>
  <c r="V47" i="7"/>
  <c r="U47" i="7"/>
  <c r="T47" i="7"/>
  <c r="S47" i="7"/>
  <c r="R47" i="7"/>
  <c r="Q47" i="7"/>
  <c r="P47" i="7"/>
  <c r="O47" i="7"/>
  <c r="N47" i="7"/>
  <c r="M47" i="7"/>
  <c r="L47" i="7"/>
  <c r="AA10" i="7"/>
  <c r="AB19" i="7" s="1"/>
  <c r="Z10" i="7"/>
  <c r="Y10" i="7"/>
  <c r="X10" i="7"/>
  <c r="W10" i="7"/>
  <c r="V10" i="7"/>
  <c r="U10" i="7"/>
  <c r="T10" i="7"/>
  <c r="S10" i="7"/>
  <c r="R10" i="7"/>
  <c r="Q10" i="7"/>
  <c r="P10" i="7"/>
  <c r="O10" i="7"/>
  <c r="N10" i="7"/>
  <c r="M10" i="7"/>
  <c r="L10" i="7"/>
  <c r="AA78" i="7"/>
  <c r="Z78" i="7"/>
  <c r="Y78" i="7"/>
  <c r="X78" i="7"/>
  <c r="W78" i="7"/>
  <c r="V78" i="7"/>
  <c r="U78" i="7"/>
  <c r="T78" i="7"/>
  <c r="S78" i="7"/>
  <c r="R78" i="7"/>
  <c r="Q78" i="7"/>
  <c r="P78" i="7"/>
  <c r="O78" i="7"/>
  <c r="N78" i="7"/>
  <c r="M78" i="7"/>
  <c r="L78" i="7"/>
  <c r="AB114" i="7"/>
  <c r="AC124" i="7" s="1"/>
  <c r="AA114" i="7"/>
  <c r="Z114" i="7"/>
  <c r="Y114" i="7"/>
  <c r="X114" i="7"/>
  <c r="W114" i="7"/>
  <c r="V114" i="7"/>
  <c r="U114" i="7"/>
  <c r="T114" i="7"/>
  <c r="S114" i="7"/>
  <c r="R114" i="7"/>
  <c r="Q114" i="7"/>
  <c r="P114" i="7"/>
  <c r="O114" i="7"/>
  <c r="N114" i="7"/>
  <c r="M114" i="7"/>
  <c r="L114" i="7"/>
  <c r="AB45" i="7"/>
  <c r="AA45" i="7"/>
  <c r="DF118" i="11" s="1"/>
  <c r="Z45" i="7"/>
  <c r="Y45" i="7"/>
  <c r="CV118" i="11" s="1"/>
  <c r="X45" i="7"/>
  <c r="W45" i="7"/>
  <c r="CL118" i="11" s="1"/>
  <c r="V45" i="7"/>
  <c r="U45" i="7"/>
  <c r="CB118" i="11" s="1"/>
  <c r="T45" i="7"/>
  <c r="S45" i="7"/>
  <c r="BR118" i="11" s="1"/>
  <c r="R45" i="7"/>
  <c r="Q45" i="7"/>
  <c r="BH118" i="11" s="1"/>
  <c r="P45" i="7"/>
  <c r="O45" i="7"/>
  <c r="AX118" i="11" s="1"/>
  <c r="N45" i="7"/>
  <c r="M45" i="7"/>
  <c r="AN118" i="11" s="1"/>
  <c r="L45" i="7"/>
  <c r="AD118" i="11"/>
  <c r="T118" i="11"/>
  <c r="J118" i="11"/>
  <c r="AA8" i="7"/>
  <c r="Z8" i="7"/>
  <c r="Y8" i="7"/>
  <c r="X8" i="7"/>
  <c r="W8" i="7"/>
  <c r="V8" i="7"/>
  <c r="U8" i="7"/>
  <c r="T8" i="7"/>
  <c r="S8" i="7"/>
  <c r="R8" i="7"/>
  <c r="Q8" i="7"/>
  <c r="P8" i="7"/>
  <c r="O8" i="7"/>
  <c r="N8" i="7"/>
  <c r="M8" i="7"/>
  <c r="L8" i="7"/>
  <c r="AA214" i="8"/>
  <c r="Z214" i="8"/>
  <c r="Y214" i="8"/>
  <c r="X214" i="8"/>
  <c r="W214" i="8"/>
  <c r="V214" i="8"/>
  <c r="U214" i="8"/>
  <c r="T214" i="8"/>
  <c r="S214" i="8"/>
  <c r="R214" i="8"/>
  <c r="Q214" i="8"/>
  <c r="P214" i="8"/>
  <c r="O214" i="8"/>
  <c r="N214" i="8"/>
  <c r="M214" i="8"/>
  <c r="L214" i="8"/>
  <c r="K214" i="8"/>
  <c r="K291" i="7" s="1"/>
  <c r="J214" i="8"/>
  <c r="J291" i="7" s="1"/>
  <c r="I214" i="8"/>
  <c r="I291" i="7" s="1"/>
  <c r="H214" i="8"/>
  <c r="H291" i="7" s="1"/>
  <c r="G214" i="8"/>
  <c r="G291" i="7" s="1"/>
  <c r="AA88" i="7"/>
  <c r="Z88" i="7"/>
  <c r="DA119" i="11" s="1"/>
  <c r="Y88" i="7"/>
  <c r="X88" i="7"/>
  <c r="CQ119" i="11" s="1"/>
  <c r="W88" i="7"/>
  <c r="V88" i="7"/>
  <c r="CG119" i="11" s="1"/>
  <c r="U88" i="7"/>
  <c r="T88" i="7"/>
  <c r="BW119" i="11" s="1"/>
  <c r="S88" i="7"/>
  <c r="R88" i="7"/>
  <c r="BM119" i="11" s="1"/>
  <c r="Q88" i="7"/>
  <c r="P88" i="7"/>
  <c r="BC119" i="11" s="1"/>
  <c r="O88" i="7"/>
  <c r="N88" i="7"/>
  <c r="AS119" i="11" s="1"/>
  <c r="M88" i="7"/>
  <c r="L88" i="7"/>
  <c r="AI119" i="11" s="1"/>
  <c r="Y119" i="11"/>
  <c r="O119" i="11"/>
  <c r="AA341" i="12"/>
  <c r="DF116" i="11" s="1"/>
  <c r="Z341" i="12"/>
  <c r="Y341" i="12"/>
  <c r="CV116" i="11" s="1"/>
  <c r="X341" i="12"/>
  <c r="W341" i="12"/>
  <c r="CL116" i="11" s="1"/>
  <c r="V341" i="12"/>
  <c r="U341" i="12"/>
  <c r="CB116" i="11" s="1"/>
  <c r="T341" i="12"/>
  <c r="S341" i="12"/>
  <c r="BR116" i="11" s="1"/>
  <c r="R341" i="12"/>
  <c r="Q341" i="12"/>
  <c r="BH116" i="11" s="1"/>
  <c r="P341" i="12"/>
  <c r="O341" i="12"/>
  <c r="AX116" i="11" s="1"/>
  <c r="N341" i="12"/>
  <c r="M341" i="12"/>
  <c r="AN116" i="11" s="1"/>
  <c r="L341" i="12"/>
  <c r="K341" i="12"/>
  <c r="K677" i="7" s="1"/>
  <c r="J341" i="12"/>
  <c r="J639" i="7" s="1"/>
  <c r="I341" i="12"/>
  <c r="I637" i="7" s="1"/>
  <c r="H341" i="12"/>
  <c r="H639" i="7" s="1"/>
  <c r="G341" i="12"/>
  <c r="G637" i="7" s="1"/>
  <c r="AA783" i="7"/>
  <c r="Z783" i="7"/>
  <c r="Y783" i="7"/>
  <c r="X783" i="7"/>
  <c r="W783" i="7"/>
  <c r="V783" i="7"/>
  <c r="U783" i="7"/>
  <c r="T783" i="7"/>
  <c r="S783" i="7"/>
  <c r="R783" i="7"/>
  <c r="Q783" i="7"/>
  <c r="P783" i="7"/>
  <c r="AA773" i="7"/>
  <c r="Z773" i="7"/>
  <c r="Y773" i="7"/>
  <c r="X773" i="7"/>
  <c r="W773" i="7"/>
  <c r="V773" i="7"/>
  <c r="U773" i="7"/>
  <c r="T773" i="7"/>
  <c r="S773" i="7"/>
  <c r="R773" i="7"/>
  <c r="Q773" i="7"/>
  <c r="P773" i="7"/>
  <c r="AB311" i="12"/>
  <c r="AC317" i="12" s="1"/>
  <c r="AA311" i="12"/>
  <c r="DF103" i="11" s="1"/>
  <c r="Z311" i="12"/>
  <c r="Y311" i="12"/>
  <c r="X311" i="12"/>
  <c r="W311" i="12"/>
  <c r="CL103" i="11" s="1"/>
  <c r="V311" i="12"/>
  <c r="U311" i="12"/>
  <c r="T311" i="12"/>
  <c r="S311" i="12"/>
  <c r="BR103" i="11" s="1"/>
  <c r="R311" i="12"/>
  <c r="Q311" i="12"/>
  <c r="BH103" i="11" s="1"/>
  <c r="P311" i="12"/>
  <c r="O311" i="12"/>
  <c r="AX103" i="11" s="1"/>
  <c r="N311" i="12"/>
  <c r="M311" i="12"/>
  <c r="AN103" i="11" s="1"/>
  <c r="L311" i="12"/>
  <c r="K311" i="12"/>
  <c r="AD103" i="11" s="1"/>
  <c r="J311" i="12"/>
  <c r="I311" i="12"/>
  <c r="T103" i="11" s="1"/>
  <c r="H311" i="12"/>
  <c r="G311" i="12"/>
  <c r="J103" i="11" s="1"/>
  <c r="AB309" i="12"/>
  <c r="AC315" i="12" s="1"/>
  <c r="AA309" i="12"/>
  <c r="Z309" i="12"/>
  <c r="Y309" i="12"/>
  <c r="X309" i="12"/>
  <c r="W309" i="12"/>
  <c r="V309" i="12"/>
  <c r="U309" i="12"/>
  <c r="T309" i="12"/>
  <c r="S309" i="12"/>
  <c r="R309" i="12"/>
  <c r="Q309" i="12"/>
  <c r="P309" i="12"/>
  <c r="O309" i="12"/>
  <c r="N309" i="12"/>
  <c r="M309" i="12"/>
  <c r="L309" i="12"/>
  <c r="K309" i="12"/>
  <c r="J309" i="12"/>
  <c r="I309" i="12"/>
  <c r="H309" i="12"/>
  <c r="G309" i="12"/>
  <c r="AB310" i="12"/>
  <c r="AC316" i="12" s="1"/>
  <c r="AA310" i="12"/>
  <c r="Z310" i="12"/>
  <c r="Y310" i="12"/>
  <c r="X310" i="12"/>
  <c r="W310" i="12"/>
  <c r="V310" i="12"/>
  <c r="U310" i="12"/>
  <c r="T310" i="12"/>
  <c r="S310" i="12"/>
  <c r="R310" i="12"/>
  <c r="Q310" i="12"/>
  <c r="P310" i="12"/>
  <c r="O310" i="12"/>
  <c r="N310" i="12"/>
  <c r="M310" i="12"/>
  <c r="L310" i="12"/>
  <c r="K310" i="12"/>
  <c r="J310" i="12"/>
  <c r="I310" i="12"/>
  <c r="H310" i="12"/>
  <c r="G310" i="12"/>
  <c r="AA279" i="12"/>
  <c r="AB285" i="12" s="1"/>
  <c r="Z279" i="12"/>
  <c r="Y279" i="12"/>
  <c r="X279" i="12"/>
  <c r="W279" i="12"/>
  <c r="V279" i="12"/>
  <c r="U279" i="12"/>
  <c r="T279" i="12"/>
  <c r="S279" i="12"/>
  <c r="R279" i="12"/>
  <c r="Q279" i="12"/>
  <c r="P279" i="12"/>
  <c r="O279" i="12"/>
  <c r="N279" i="12"/>
  <c r="M279" i="12"/>
  <c r="L279" i="12"/>
  <c r="K279" i="12"/>
  <c r="J279" i="12"/>
  <c r="I279" i="12"/>
  <c r="H279" i="12"/>
  <c r="G279" i="12"/>
  <c r="AA277" i="12"/>
  <c r="Z277" i="12"/>
  <c r="Y277" i="12"/>
  <c r="X277" i="12"/>
  <c r="W277" i="12"/>
  <c r="V277" i="12"/>
  <c r="U277" i="12"/>
  <c r="T277" i="12"/>
  <c r="S277" i="12"/>
  <c r="R277" i="12"/>
  <c r="Q277" i="12"/>
  <c r="P277" i="12"/>
  <c r="O277" i="12"/>
  <c r="N277" i="12"/>
  <c r="M277" i="12"/>
  <c r="L277" i="12"/>
  <c r="K277" i="12"/>
  <c r="J277" i="12"/>
  <c r="I277" i="12"/>
  <c r="H277" i="12"/>
  <c r="G277" i="12"/>
  <c r="AA278" i="12"/>
  <c r="Z278" i="12"/>
  <c r="Y278" i="12"/>
  <c r="X278" i="12"/>
  <c r="W278" i="12"/>
  <c r="V278" i="12"/>
  <c r="U278" i="12"/>
  <c r="T278" i="12"/>
  <c r="S278" i="12"/>
  <c r="R278" i="12"/>
  <c r="Q278" i="12"/>
  <c r="P278" i="12"/>
  <c r="O278" i="12"/>
  <c r="N278" i="12"/>
  <c r="M278" i="12"/>
  <c r="L278" i="12"/>
  <c r="K278" i="12"/>
  <c r="J278" i="12"/>
  <c r="I278" i="12"/>
  <c r="H278" i="12"/>
  <c r="G278" i="12"/>
  <c r="AA797" i="7"/>
  <c r="Z797" i="7"/>
  <c r="Y797" i="7"/>
  <c r="X797" i="7"/>
  <c r="W797" i="7"/>
  <c r="V797" i="7"/>
  <c r="U797" i="7"/>
  <c r="T797" i="7"/>
  <c r="S797" i="7"/>
  <c r="R797" i="7"/>
  <c r="Q797" i="7"/>
  <c r="P797" i="7"/>
  <c r="O797" i="7"/>
  <c r="N797" i="7"/>
  <c r="M797" i="7"/>
  <c r="L797" i="7"/>
  <c r="Z566" i="7"/>
  <c r="Y566" i="7"/>
  <c r="X566" i="7"/>
  <c r="W566" i="7"/>
  <c r="V566" i="7"/>
  <c r="U566" i="7"/>
  <c r="T566" i="7"/>
  <c r="S566" i="7"/>
  <c r="R566" i="7"/>
  <c r="Q566" i="7"/>
  <c r="P566" i="7"/>
  <c r="O566" i="7"/>
  <c r="N566" i="7"/>
  <c r="M566" i="7"/>
  <c r="L566" i="7"/>
  <c r="Y300" i="12"/>
  <c r="X300" i="12"/>
  <c r="W300" i="12"/>
  <c r="V300" i="12"/>
  <c r="U300" i="12"/>
  <c r="T300" i="12"/>
  <c r="S300" i="12"/>
  <c r="R300" i="12"/>
  <c r="Q300" i="12"/>
  <c r="P300" i="12"/>
  <c r="O300" i="12"/>
  <c r="N300" i="12"/>
  <c r="M300" i="12"/>
  <c r="L300" i="12"/>
  <c r="K300" i="12"/>
  <c r="J300" i="12"/>
  <c r="I300" i="12"/>
  <c r="H300" i="12"/>
  <c r="G300" i="12"/>
  <c r="AB268" i="12"/>
  <c r="AB298" i="12" s="1"/>
  <c r="AA268" i="12"/>
  <c r="Z268" i="12"/>
  <c r="Y268" i="12"/>
  <c r="X268" i="12"/>
  <c r="W268" i="12"/>
  <c r="V268" i="12"/>
  <c r="U268" i="12"/>
  <c r="T268" i="12"/>
  <c r="S268" i="12"/>
  <c r="R268" i="12"/>
  <c r="Q268" i="12"/>
  <c r="P268" i="12"/>
  <c r="O268" i="12"/>
  <c r="N268" i="12"/>
  <c r="M268" i="12"/>
  <c r="L268" i="12"/>
  <c r="K268" i="12"/>
  <c r="J268" i="12"/>
  <c r="I268" i="12"/>
  <c r="H268" i="12"/>
  <c r="G268" i="12"/>
  <c r="AA250" i="12"/>
  <c r="Z250" i="12"/>
  <c r="Y250" i="12"/>
  <c r="X250" i="12"/>
  <c r="W250" i="12"/>
  <c r="V250" i="12"/>
  <c r="U250" i="12"/>
  <c r="T250" i="12"/>
  <c r="S250" i="12"/>
  <c r="R250" i="12"/>
  <c r="Q250" i="12"/>
  <c r="P250" i="12"/>
  <c r="O250" i="12"/>
  <c r="N250" i="12"/>
  <c r="M250" i="12"/>
  <c r="L250" i="12"/>
  <c r="K250" i="12"/>
  <c r="J250" i="12"/>
  <c r="I250" i="12"/>
  <c r="H250" i="12"/>
  <c r="G250" i="12"/>
  <c r="AB260" i="12"/>
  <c r="AA260" i="12"/>
  <c r="Z260" i="12"/>
  <c r="Y260" i="12"/>
  <c r="X260" i="12"/>
  <c r="W260" i="12"/>
  <c r="V544" i="7"/>
  <c r="U544" i="7"/>
  <c r="T544" i="7"/>
  <c r="S544" i="7"/>
  <c r="R544" i="7"/>
  <c r="Q544" i="7"/>
  <c r="P544" i="7"/>
  <c r="O544" i="7"/>
  <c r="N544" i="7"/>
  <c r="M544" i="7"/>
  <c r="L544" i="7"/>
  <c r="AB212" i="12"/>
  <c r="AC225" i="12" s="1"/>
  <c r="AA212" i="12"/>
  <c r="Z212" i="12"/>
  <c r="Y212" i="12"/>
  <c r="X212" i="12"/>
  <c r="W212" i="12"/>
  <c r="V212" i="12"/>
  <c r="U212" i="12"/>
  <c r="T212" i="12"/>
  <c r="S212" i="12"/>
  <c r="R212" i="12"/>
  <c r="Q212" i="12"/>
  <c r="P212" i="12"/>
  <c r="O212" i="12"/>
  <c r="N212" i="12"/>
  <c r="M212" i="12"/>
  <c r="L212" i="12"/>
  <c r="K212" i="12"/>
  <c r="J212" i="12"/>
  <c r="I212" i="12"/>
  <c r="H212" i="12"/>
  <c r="G212" i="12"/>
  <c r="AB206" i="12"/>
  <c r="AC220" i="12" s="1"/>
  <c r="AA206" i="12"/>
  <c r="Z206" i="12"/>
  <c r="Y206" i="12"/>
  <c r="X206" i="12"/>
  <c r="W206" i="12"/>
  <c r="V206" i="12"/>
  <c r="U206" i="12"/>
  <c r="T206" i="12"/>
  <c r="S206" i="12"/>
  <c r="R206" i="12"/>
  <c r="Q206" i="12"/>
  <c r="P206" i="12"/>
  <c r="O206" i="12"/>
  <c r="N206" i="12"/>
  <c r="M206" i="12"/>
  <c r="L206" i="12"/>
  <c r="K206" i="12"/>
  <c r="J206" i="12"/>
  <c r="I206" i="12"/>
  <c r="H206" i="12"/>
  <c r="G206" i="12"/>
  <c r="AB210" i="12"/>
  <c r="AC223" i="12" s="1"/>
  <c r="AA210" i="12"/>
  <c r="Z210" i="12"/>
  <c r="Y210" i="12"/>
  <c r="X210" i="12"/>
  <c r="W210" i="12"/>
  <c r="V210" i="12"/>
  <c r="U210" i="12"/>
  <c r="T210" i="12"/>
  <c r="S210" i="12"/>
  <c r="R210" i="12"/>
  <c r="Q210" i="12"/>
  <c r="P210" i="12"/>
  <c r="O210" i="12"/>
  <c r="N210" i="12"/>
  <c r="M210" i="12"/>
  <c r="L210" i="12"/>
  <c r="K210" i="12"/>
  <c r="J210" i="12"/>
  <c r="I210" i="12"/>
  <c r="H210" i="12"/>
  <c r="G210" i="12"/>
  <c r="AB205" i="12"/>
  <c r="AC219" i="12" s="1"/>
  <c r="AA205" i="12"/>
  <c r="Z205" i="12"/>
  <c r="Y205" i="12"/>
  <c r="X205" i="12"/>
  <c r="W205" i="12"/>
  <c r="V205" i="12"/>
  <c r="U205" i="12"/>
  <c r="T205" i="12"/>
  <c r="S205" i="12"/>
  <c r="R205" i="12"/>
  <c r="Q205" i="12"/>
  <c r="P205" i="12"/>
  <c r="O205" i="12"/>
  <c r="N205" i="12"/>
  <c r="M205" i="12"/>
  <c r="L205" i="12"/>
  <c r="K205" i="12"/>
  <c r="J205" i="12"/>
  <c r="I205" i="12"/>
  <c r="H205" i="12"/>
  <c r="G205" i="12"/>
  <c r="AB204" i="12"/>
  <c r="AC218" i="12" s="1"/>
  <c r="AA204" i="12"/>
  <c r="Z204" i="12"/>
  <c r="Y204" i="12"/>
  <c r="X204" i="12"/>
  <c r="W204" i="12"/>
  <c r="V204" i="12"/>
  <c r="U204" i="12"/>
  <c r="T204" i="12"/>
  <c r="S204" i="12"/>
  <c r="R204" i="12"/>
  <c r="Q204" i="12"/>
  <c r="P204" i="12"/>
  <c r="O204" i="12"/>
  <c r="N204" i="12"/>
  <c r="M204" i="12"/>
  <c r="L204" i="12"/>
  <c r="K204" i="12"/>
  <c r="J204" i="12"/>
  <c r="I204" i="12"/>
  <c r="H204" i="12"/>
  <c r="G204" i="12"/>
  <c r="AB191" i="12"/>
  <c r="AC197" i="12" s="1"/>
  <c r="AA191" i="12"/>
  <c r="Z191" i="12"/>
  <c r="Y191" i="12"/>
  <c r="X191" i="12"/>
  <c r="W191" i="12"/>
  <c r="V191" i="12"/>
  <c r="U191" i="12"/>
  <c r="T191" i="12"/>
  <c r="S191" i="12"/>
  <c r="R191" i="12"/>
  <c r="Q191" i="12"/>
  <c r="P191" i="12"/>
  <c r="O191" i="12"/>
  <c r="N191" i="12"/>
  <c r="M191" i="12"/>
  <c r="L191" i="12"/>
  <c r="K191" i="12"/>
  <c r="K421" i="7" s="1"/>
  <c r="J191" i="12"/>
  <c r="J421" i="7" s="1"/>
  <c r="I191" i="12"/>
  <c r="I421" i="7" s="1"/>
  <c r="H191" i="12"/>
  <c r="H421" i="7" s="1"/>
  <c r="G191" i="12"/>
  <c r="G421" i="7" s="1"/>
  <c r="AB427" i="7"/>
  <c r="AA427" i="7"/>
  <c r="Z427" i="7"/>
  <c r="Y427" i="7"/>
  <c r="X427" i="7"/>
  <c r="W427" i="7"/>
  <c r="V427" i="7"/>
  <c r="U427" i="7"/>
  <c r="T427" i="7"/>
  <c r="S427" i="7"/>
  <c r="R427" i="7"/>
  <c r="Q427" i="7"/>
  <c r="P427" i="7"/>
  <c r="O427" i="7"/>
  <c r="N427" i="7"/>
  <c r="M427" i="7"/>
  <c r="L427" i="7"/>
  <c r="AB193" i="12"/>
  <c r="AC199" i="12" s="1"/>
  <c r="AA193" i="12"/>
  <c r="Z193" i="12"/>
  <c r="Y193" i="12"/>
  <c r="X193" i="12"/>
  <c r="W193" i="12"/>
  <c r="V193" i="12"/>
  <c r="U193" i="12"/>
  <c r="T193" i="12"/>
  <c r="S193" i="12"/>
  <c r="R193" i="12"/>
  <c r="Q193" i="12"/>
  <c r="P193" i="12"/>
  <c r="O193" i="12"/>
  <c r="N193" i="12"/>
  <c r="M193" i="12"/>
  <c r="L193" i="12"/>
  <c r="K193" i="12"/>
  <c r="J193" i="12"/>
  <c r="I193" i="12"/>
  <c r="H193" i="12"/>
  <c r="G193" i="12"/>
  <c r="AB192" i="12"/>
  <c r="AC198" i="12" s="1"/>
  <c r="AA192" i="12"/>
  <c r="Z192" i="12"/>
  <c r="Y192" i="12"/>
  <c r="X192" i="12"/>
  <c r="W192" i="12"/>
  <c r="V192" i="12"/>
  <c r="U192" i="12"/>
  <c r="T192" i="12"/>
  <c r="S192" i="12"/>
  <c r="R192" i="12"/>
  <c r="Q192" i="12"/>
  <c r="P192" i="12"/>
  <c r="O192" i="12"/>
  <c r="N192" i="12"/>
  <c r="M192" i="12"/>
  <c r="L192" i="12"/>
  <c r="K192" i="12"/>
  <c r="J192" i="12"/>
  <c r="I192" i="12"/>
  <c r="H192" i="12"/>
  <c r="G192" i="12"/>
  <c r="AB185" i="12"/>
  <c r="AC188" i="12" s="1"/>
  <c r="AA185" i="12"/>
  <c r="Z185" i="12"/>
  <c r="Y185" i="12"/>
  <c r="X185" i="12"/>
  <c r="W185" i="12"/>
  <c r="V185" i="12"/>
  <c r="U185" i="12"/>
  <c r="T185" i="12"/>
  <c r="S185" i="12"/>
  <c r="R185" i="12"/>
  <c r="Q185" i="12"/>
  <c r="P185" i="12"/>
  <c r="O185" i="12"/>
  <c r="N185" i="12"/>
  <c r="M185" i="12"/>
  <c r="L185" i="12"/>
  <c r="K185" i="12"/>
  <c r="K38" i="7" s="1"/>
  <c r="J185" i="12"/>
  <c r="J38" i="7" s="1"/>
  <c r="I185" i="12"/>
  <c r="I38" i="7" s="1"/>
  <c r="H185" i="12"/>
  <c r="H38" i="7" s="1"/>
  <c r="G185" i="12"/>
  <c r="G38" i="7" s="1"/>
  <c r="AB125" i="12"/>
  <c r="AC131" i="12" s="1"/>
  <c r="AC69" i="8" s="1"/>
  <c r="AA125" i="12"/>
  <c r="Z125" i="12"/>
  <c r="Y125" i="12"/>
  <c r="X125" i="12"/>
  <c r="W125" i="12"/>
  <c r="V125" i="12"/>
  <c r="U125" i="12"/>
  <c r="T125" i="12"/>
  <c r="S125" i="12"/>
  <c r="R125" i="12"/>
  <c r="Q125" i="12"/>
  <c r="P125" i="12"/>
  <c r="O125" i="12"/>
  <c r="N125" i="12"/>
  <c r="M125" i="12"/>
  <c r="L125" i="12"/>
  <c r="K125" i="12"/>
  <c r="J125" i="12"/>
  <c r="I125" i="12"/>
  <c r="H125" i="12"/>
  <c r="G125" i="12"/>
  <c r="J260" i="17" s="1"/>
  <c r="AB159" i="12"/>
  <c r="AC162" i="12" s="1"/>
  <c r="DM119" i="11" s="1"/>
  <c r="AA159" i="12"/>
  <c r="Z159" i="12"/>
  <c r="Y159" i="12"/>
  <c r="X159" i="12"/>
  <c r="W159" i="12"/>
  <c r="V159" i="12"/>
  <c r="U159" i="12"/>
  <c r="T159" i="12"/>
  <c r="S159" i="12"/>
  <c r="R159" i="12"/>
  <c r="Q159" i="12"/>
  <c r="P159" i="12"/>
  <c r="O159" i="12"/>
  <c r="N159" i="12"/>
  <c r="M159" i="12"/>
  <c r="L159" i="12"/>
  <c r="K159" i="12"/>
  <c r="J159" i="12"/>
  <c r="I159" i="12"/>
  <c r="H159" i="12"/>
  <c r="G159" i="12"/>
  <c r="G243" i="8" s="1"/>
  <c r="AB105" i="12"/>
  <c r="AC111" i="12" s="1"/>
  <c r="AA105" i="12"/>
  <c r="Z105" i="12"/>
  <c r="Y105" i="12"/>
  <c r="X105" i="12"/>
  <c r="W105" i="12"/>
  <c r="V105" i="12"/>
  <c r="U105" i="12"/>
  <c r="T105" i="12"/>
  <c r="S105" i="12"/>
  <c r="R105" i="12"/>
  <c r="Q105" i="12"/>
  <c r="P105" i="12"/>
  <c r="O105" i="12"/>
  <c r="N105" i="12"/>
  <c r="M105" i="12"/>
  <c r="L105" i="12"/>
  <c r="K105" i="12"/>
  <c r="J105" i="12"/>
  <c r="I105" i="12"/>
  <c r="H105" i="12"/>
  <c r="G105" i="12"/>
  <c r="AB103" i="12"/>
  <c r="AC109" i="12" s="1"/>
  <c r="DM101" i="11" s="1"/>
  <c r="AA103" i="12"/>
  <c r="Z103" i="12"/>
  <c r="Y103" i="12"/>
  <c r="X103" i="12"/>
  <c r="W103" i="12"/>
  <c r="V103" i="12"/>
  <c r="U103" i="12"/>
  <c r="T103" i="12"/>
  <c r="S103" i="12"/>
  <c r="R103" i="12"/>
  <c r="Q103" i="12"/>
  <c r="P103" i="12"/>
  <c r="O103" i="12"/>
  <c r="N103" i="12"/>
  <c r="M103" i="12"/>
  <c r="L103" i="12"/>
  <c r="K103" i="12"/>
  <c r="J103" i="12"/>
  <c r="I103" i="12"/>
  <c r="H103" i="12"/>
  <c r="G103" i="12"/>
  <c r="J225" i="17" s="1"/>
  <c r="AB104" i="12"/>
  <c r="AC110" i="12" s="1"/>
  <c r="DM102" i="11" s="1"/>
  <c r="AA104" i="12"/>
  <c r="Z104" i="12"/>
  <c r="Y104" i="12"/>
  <c r="X104" i="12"/>
  <c r="W104" i="12"/>
  <c r="V104" i="12"/>
  <c r="U104" i="12"/>
  <c r="T104" i="12"/>
  <c r="S104" i="12"/>
  <c r="R104" i="12"/>
  <c r="Q104" i="12"/>
  <c r="P104" i="12"/>
  <c r="O104" i="12"/>
  <c r="N104" i="12"/>
  <c r="M104" i="12"/>
  <c r="L104" i="12"/>
  <c r="K104" i="12"/>
  <c r="J104" i="12"/>
  <c r="I104" i="12"/>
  <c r="H104" i="12"/>
  <c r="G104" i="12"/>
  <c r="J222" i="17" s="1"/>
  <c r="AB83" i="12"/>
  <c r="AA83" i="12"/>
  <c r="Z83" i="12"/>
  <c r="Y83" i="12"/>
  <c r="X83" i="12"/>
  <c r="W83" i="12"/>
  <c r="V83" i="12"/>
  <c r="U83" i="12"/>
  <c r="T83" i="12"/>
  <c r="S83" i="12"/>
  <c r="R83" i="12"/>
  <c r="Q83" i="12"/>
  <c r="P83" i="12"/>
  <c r="O83" i="12"/>
  <c r="N83" i="12"/>
  <c r="M83" i="12"/>
  <c r="L83" i="12"/>
  <c r="K83" i="12"/>
  <c r="J83" i="12"/>
  <c r="I83" i="12"/>
  <c r="H83" i="12"/>
  <c r="G83" i="12"/>
  <c r="AB81" i="12"/>
  <c r="AC87" i="12" s="1"/>
  <c r="DM86" i="11" s="1"/>
  <c r="AA81" i="12"/>
  <c r="Z81" i="12"/>
  <c r="Y81" i="12"/>
  <c r="X81" i="12"/>
  <c r="W81" i="12"/>
  <c r="V81" i="12"/>
  <c r="U81" i="12"/>
  <c r="T81" i="12"/>
  <c r="S81" i="12"/>
  <c r="R81" i="12"/>
  <c r="Q81" i="12"/>
  <c r="P81" i="12"/>
  <c r="O81" i="12"/>
  <c r="N81" i="12"/>
  <c r="M81" i="12"/>
  <c r="L81" i="12"/>
  <c r="K81" i="12"/>
  <c r="J81" i="12"/>
  <c r="I81" i="12"/>
  <c r="H81" i="12"/>
  <c r="G81" i="12"/>
  <c r="J168" i="17" s="1"/>
  <c r="AB82" i="12"/>
  <c r="AC88" i="12" s="1"/>
  <c r="DM87" i="11" s="1"/>
  <c r="AA82" i="12"/>
  <c r="Z82" i="12"/>
  <c r="Y82" i="12"/>
  <c r="X82" i="12"/>
  <c r="W82" i="12"/>
  <c r="V82" i="12"/>
  <c r="U82" i="12"/>
  <c r="T82" i="12"/>
  <c r="S82" i="12"/>
  <c r="R82" i="12"/>
  <c r="Q82" i="12"/>
  <c r="P82" i="12"/>
  <c r="O82" i="12"/>
  <c r="N82" i="12"/>
  <c r="M82" i="12"/>
  <c r="L82" i="12"/>
  <c r="K82" i="12"/>
  <c r="J82" i="12"/>
  <c r="I82" i="12"/>
  <c r="H82" i="12"/>
  <c r="G82" i="12"/>
  <c r="AB94" i="12"/>
  <c r="AC100" i="12" s="1"/>
  <c r="AA94" i="12"/>
  <c r="Z94" i="12"/>
  <c r="Y94" i="12"/>
  <c r="X94" i="12"/>
  <c r="W94" i="12"/>
  <c r="V94" i="12"/>
  <c r="U94" i="12"/>
  <c r="T94" i="12"/>
  <c r="S94" i="12"/>
  <c r="R94" i="12"/>
  <c r="Q94" i="12"/>
  <c r="P94" i="12"/>
  <c r="O94" i="12"/>
  <c r="N94" i="12"/>
  <c r="M94" i="12"/>
  <c r="L94" i="12"/>
  <c r="K94" i="12"/>
  <c r="J94" i="12"/>
  <c r="I94" i="12"/>
  <c r="H94" i="12"/>
  <c r="G94" i="12"/>
  <c r="AB72" i="12"/>
  <c r="AA72" i="12"/>
  <c r="Z72" i="12"/>
  <c r="Y72" i="12"/>
  <c r="X72" i="12"/>
  <c r="W72" i="12"/>
  <c r="V72" i="12"/>
  <c r="U72" i="12"/>
  <c r="T72" i="12"/>
  <c r="S72" i="12"/>
  <c r="R72" i="12"/>
  <c r="Q72" i="12"/>
  <c r="P72" i="12"/>
  <c r="O72" i="12"/>
  <c r="N72" i="12"/>
  <c r="M72" i="12"/>
  <c r="L72" i="12"/>
  <c r="K72" i="12"/>
  <c r="J72" i="12"/>
  <c r="I72" i="12"/>
  <c r="H72" i="12"/>
  <c r="G72" i="12"/>
  <c r="AB54" i="12"/>
  <c r="AA54" i="12"/>
  <c r="Z54" i="12"/>
  <c r="Y54" i="12"/>
  <c r="X54" i="12"/>
  <c r="W54" i="12"/>
  <c r="V54" i="12"/>
  <c r="U54" i="12"/>
  <c r="T54" i="12"/>
  <c r="S54" i="12"/>
  <c r="R54" i="12"/>
  <c r="Q54" i="12"/>
  <c r="P54" i="12"/>
  <c r="O54" i="12"/>
  <c r="N54" i="12"/>
  <c r="M54" i="12"/>
  <c r="L54" i="12"/>
  <c r="K54" i="12"/>
  <c r="J54" i="12"/>
  <c r="I54" i="12"/>
  <c r="H54" i="12"/>
  <c r="G54" i="12"/>
  <c r="AB64" i="12"/>
  <c r="AC67" i="12" s="1"/>
  <c r="AA64" i="12"/>
  <c r="Z64" i="12"/>
  <c r="Y64" i="12"/>
  <c r="X64" i="12"/>
  <c r="W64" i="12"/>
  <c r="V64" i="12"/>
  <c r="U64" i="12"/>
  <c r="T64" i="12"/>
  <c r="S64" i="12"/>
  <c r="R64" i="12"/>
  <c r="Q64" i="12"/>
  <c r="P64" i="12"/>
  <c r="O64" i="12"/>
  <c r="N64" i="12"/>
  <c r="M64" i="12"/>
  <c r="L64" i="12"/>
  <c r="K64" i="12"/>
  <c r="J64" i="12"/>
  <c r="I64" i="12"/>
  <c r="H64" i="12"/>
  <c r="G64" i="12"/>
  <c r="AB29" i="12"/>
  <c r="AC42" i="12" s="1"/>
  <c r="AA29" i="12"/>
  <c r="Z29" i="12"/>
  <c r="Y29" i="12"/>
  <c r="X29" i="12"/>
  <c r="W29" i="12"/>
  <c r="V29" i="12"/>
  <c r="U29" i="12"/>
  <c r="T29" i="12"/>
  <c r="S29" i="12"/>
  <c r="R29" i="12"/>
  <c r="Q29" i="12"/>
  <c r="P29" i="12"/>
  <c r="O29" i="12"/>
  <c r="N29" i="12"/>
  <c r="M29" i="12"/>
  <c r="L29" i="12"/>
  <c r="K29" i="12"/>
  <c r="J29" i="12"/>
  <c r="I29" i="12"/>
  <c r="H29" i="12"/>
  <c r="G29" i="12"/>
  <c r="AB27" i="12"/>
  <c r="AC40" i="12" s="1"/>
  <c r="DM63" i="11" s="1"/>
  <c r="AA27" i="12"/>
  <c r="Z27" i="12"/>
  <c r="Y27" i="12"/>
  <c r="X27" i="12"/>
  <c r="W27" i="12"/>
  <c r="V27" i="12"/>
  <c r="U27" i="12"/>
  <c r="T27" i="12"/>
  <c r="S27" i="12"/>
  <c r="R27" i="12"/>
  <c r="Q27" i="12"/>
  <c r="P27" i="12"/>
  <c r="O27" i="12"/>
  <c r="N27" i="12"/>
  <c r="M27" i="12"/>
  <c r="L27" i="12"/>
  <c r="K27" i="12"/>
  <c r="J27" i="12"/>
  <c r="I27" i="12"/>
  <c r="H27" i="12"/>
  <c r="G27" i="12"/>
  <c r="J62" i="17" s="1"/>
  <c r="AB23" i="12"/>
  <c r="AC37" i="12" s="1"/>
  <c r="AA23" i="12"/>
  <c r="Z23" i="12"/>
  <c r="Y23" i="12"/>
  <c r="X23" i="12"/>
  <c r="W23" i="12"/>
  <c r="V23" i="12"/>
  <c r="U23" i="12"/>
  <c r="T23" i="12"/>
  <c r="S23" i="12"/>
  <c r="R23" i="12"/>
  <c r="Q23" i="12"/>
  <c r="P23" i="12"/>
  <c r="O23" i="12"/>
  <c r="N23" i="12"/>
  <c r="M23" i="12"/>
  <c r="L23" i="12"/>
  <c r="K23" i="12"/>
  <c r="J23" i="12"/>
  <c r="I23" i="12"/>
  <c r="H23" i="12"/>
  <c r="G23" i="12"/>
  <c r="J65" i="17" s="1"/>
  <c r="AB22" i="12"/>
  <c r="AC36" i="12" s="1"/>
  <c r="DM59" i="11" s="1"/>
  <c r="AA22" i="12"/>
  <c r="Z22" i="12"/>
  <c r="Y22" i="12"/>
  <c r="X22" i="12"/>
  <c r="W22" i="12"/>
  <c r="V22" i="12"/>
  <c r="U22" i="12"/>
  <c r="T22" i="12"/>
  <c r="S22" i="12"/>
  <c r="R22" i="12"/>
  <c r="Q22" i="12"/>
  <c r="P22" i="12"/>
  <c r="O22" i="12"/>
  <c r="N22" i="12"/>
  <c r="M22" i="12"/>
  <c r="L22" i="12"/>
  <c r="K22" i="12"/>
  <c r="J22" i="12"/>
  <c r="I22" i="12"/>
  <c r="H22" i="12"/>
  <c r="G22" i="12"/>
  <c r="AB21" i="12"/>
  <c r="AC35" i="12" s="1"/>
  <c r="DM58" i="11" s="1"/>
  <c r="AA21" i="12"/>
  <c r="Z21" i="12"/>
  <c r="Y21" i="12"/>
  <c r="X21" i="12"/>
  <c r="W21" i="12"/>
  <c r="V21" i="12"/>
  <c r="U21" i="12"/>
  <c r="T21" i="12"/>
  <c r="S21" i="12"/>
  <c r="R21" i="12"/>
  <c r="Q21" i="12"/>
  <c r="P21" i="12"/>
  <c r="O21" i="12"/>
  <c r="N21" i="12"/>
  <c r="M21" i="12"/>
  <c r="L21" i="12"/>
  <c r="K21" i="12"/>
  <c r="J21" i="12"/>
  <c r="I21" i="12"/>
  <c r="H21" i="12"/>
  <c r="G21" i="12"/>
  <c r="AB13" i="12"/>
  <c r="AC16" i="12" s="1"/>
  <c r="DM50" i="11" s="1"/>
  <c r="AA13" i="12"/>
  <c r="Z13" i="12"/>
  <c r="Y13" i="12"/>
  <c r="X13" i="12"/>
  <c r="W13" i="12"/>
  <c r="V13" i="12"/>
  <c r="U13" i="12"/>
  <c r="T13" i="12"/>
  <c r="S13" i="12"/>
  <c r="R13" i="12"/>
  <c r="Q13" i="12"/>
  <c r="P13" i="12"/>
  <c r="O13" i="12"/>
  <c r="N13" i="12"/>
  <c r="M13" i="12"/>
  <c r="L13" i="12"/>
  <c r="K13" i="12"/>
  <c r="J13" i="12"/>
  <c r="I13" i="12"/>
  <c r="H13" i="12"/>
  <c r="G13" i="12"/>
  <c r="AB7" i="12"/>
  <c r="AA7" i="12"/>
  <c r="Z7" i="12"/>
  <c r="Y7" i="12"/>
  <c r="X7" i="12"/>
  <c r="W7" i="12"/>
  <c r="V7" i="12"/>
  <c r="U7" i="12"/>
  <c r="T7" i="12"/>
  <c r="S7" i="12"/>
  <c r="R7" i="12"/>
  <c r="Q7" i="12"/>
  <c r="P7" i="12"/>
  <c r="O7" i="12"/>
  <c r="N7" i="12"/>
  <c r="M7" i="12"/>
  <c r="L7" i="12"/>
  <c r="K7" i="12"/>
  <c r="J7" i="12"/>
  <c r="I7" i="12"/>
  <c r="H7" i="12"/>
  <c r="G7" i="12"/>
  <c r="AB38" i="8"/>
  <c r="AC65" i="8" s="1"/>
  <c r="AA38" i="8"/>
  <c r="Z38" i="8"/>
  <c r="Y38" i="8"/>
  <c r="X38" i="8"/>
  <c r="W38" i="8"/>
  <c r="V38" i="8"/>
  <c r="U38" i="8"/>
  <c r="T38" i="8"/>
  <c r="S38" i="8"/>
  <c r="R38" i="8"/>
  <c r="Q38" i="8"/>
  <c r="P38" i="8"/>
  <c r="O38" i="8"/>
  <c r="N38" i="8"/>
  <c r="M38" i="8"/>
  <c r="L38" i="8"/>
  <c r="K38" i="8"/>
  <c r="J38" i="8"/>
  <c r="I38" i="8"/>
  <c r="H38" i="8"/>
  <c r="G38" i="8"/>
  <c r="AB32" i="8"/>
  <c r="AA32" i="8"/>
  <c r="Z32" i="8"/>
  <c r="Y32" i="8"/>
  <c r="X32" i="8"/>
  <c r="W32" i="8"/>
  <c r="V32" i="8"/>
  <c r="U32" i="8"/>
  <c r="T32" i="8"/>
  <c r="S32" i="8"/>
  <c r="R32" i="8"/>
  <c r="Q32" i="8"/>
  <c r="P32" i="8"/>
  <c r="O32" i="8"/>
  <c r="N32" i="8"/>
  <c r="M32" i="8"/>
  <c r="L32" i="8"/>
  <c r="K32" i="8"/>
  <c r="J32" i="8"/>
  <c r="I32" i="8"/>
  <c r="H32" i="8"/>
  <c r="G32" i="8"/>
  <c r="AB34" i="8"/>
  <c r="AA34" i="8"/>
  <c r="Z34" i="8"/>
  <c r="Y34" i="8"/>
  <c r="X34" i="8"/>
  <c r="W34" i="8"/>
  <c r="V34" i="8"/>
  <c r="U34" i="8"/>
  <c r="T34" i="8"/>
  <c r="S34" i="8"/>
  <c r="R34" i="8"/>
  <c r="Q34" i="8"/>
  <c r="P34" i="8"/>
  <c r="O34" i="8"/>
  <c r="N34" i="8"/>
  <c r="M34" i="8"/>
  <c r="L34" i="8"/>
  <c r="K34" i="8"/>
  <c r="J34" i="8"/>
  <c r="I34" i="8"/>
  <c r="H34" i="8"/>
  <c r="G34" i="8"/>
  <c r="AA10" i="8"/>
  <c r="Z10" i="8"/>
  <c r="Y10" i="8"/>
  <c r="X10" i="8"/>
  <c r="W10" i="8"/>
  <c r="V10" i="8"/>
  <c r="U10" i="8"/>
  <c r="T10" i="8"/>
  <c r="S10" i="8"/>
  <c r="R10" i="8"/>
  <c r="Q10" i="8"/>
  <c r="P10" i="8"/>
  <c r="O10" i="8"/>
  <c r="N10" i="8"/>
  <c r="M10" i="8"/>
  <c r="L10" i="8"/>
  <c r="K10" i="8"/>
  <c r="J10" i="8"/>
  <c r="I10" i="8"/>
  <c r="H10" i="8"/>
  <c r="G10" i="8"/>
  <c r="AA7" i="8"/>
  <c r="Z7" i="8"/>
  <c r="Y7" i="8"/>
  <c r="X7" i="8"/>
  <c r="W7" i="8"/>
  <c r="V7" i="8"/>
  <c r="U7" i="8"/>
  <c r="T7" i="8"/>
  <c r="S7" i="8"/>
  <c r="R7" i="8"/>
  <c r="Q7" i="8"/>
  <c r="P7" i="8"/>
  <c r="O7" i="8"/>
  <c r="N7" i="8"/>
  <c r="M7" i="8"/>
  <c r="L7" i="8"/>
  <c r="K7" i="8"/>
  <c r="J7" i="8"/>
  <c r="I7" i="8"/>
  <c r="H7" i="8"/>
  <c r="G7" i="8"/>
  <c r="AA5" i="8"/>
  <c r="Z5" i="8"/>
  <c r="Y5" i="8"/>
  <c r="X5" i="8"/>
  <c r="W5" i="8"/>
  <c r="V5" i="8"/>
  <c r="U5" i="8"/>
  <c r="T5" i="8"/>
  <c r="S5" i="8"/>
  <c r="R5" i="8"/>
  <c r="Q5" i="8"/>
  <c r="P5" i="8"/>
  <c r="O5" i="8"/>
  <c r="N5" i="8"/>
  <c r="M5" i="8"/>
  <c r="L5" i="8"/>
  <c r="K5" i="8"/>
  <c r="J5" i="8"/>
  <c r="I5" i="8"/>
  <c r="H5" i="8"/>
  <c r="G5" i="8"/>
  <c r="AF3" i="1"/>
  <c r="AE3" i="1"/>
  <c r="AD3" i="1"/>
  <c r="AC3" i="1"/>
  <c r="AB3" i="1"/>
  <c r="AA3" i="1"/>
  <c r="Z3" i="1"/>
  <c r="Y3" i="1"/>
  <c r="X3" i="1"/>
  <c r="W3" i="1"/>
  <c r="V3" i="1"/>
  <c r="U3" i="1"/>
  <c r="T3" i="1"/>
  <c r="S3" i="1"/>
  <c r="R3" i="1"/>
  <c r="Q3" i="1"/>
  <c r="P3" i="1"/>
  <c r="O3" i="1"/>
  <c r="N3" i="1"/>
  <c r="M3" i="1"/>
  <c r="L3" i="1"/>
  <c r="K3" i="1"/>
  <c r="J3" i="1"/>
  <c r="I3" i="1"/>
  <c r="H3" i="1"/>
  <c r="CU8" i="17" l="1"/>
  <c r="L117" i="2" s="1"/>
  <c r="M105" i="20" s="1"/>
  <c r="AD105" i="20" s="1"/>
  <c r="AC10" i="12"/>
  <c r="DM35" i="11" s="1"/>
  <c r="CP23" i="17"/>
  <c r="CT28" i="17" s="1"/>
  <c r="CP259" i="17"/>
  <c r="CP270" i="17" s="1"/>
  <c r="DM90" i="11"/>
  <c r="DM105" i="11"/>
  <c r="AB89" i="12"/>
  <c r="DH13" i="11" s="1"/>
  <c r="AC89" i="12"/>
  <c r="AB54" i="7"/>
  <c r="AC54" i="7"/>
  <c r="AB544" i="7"/>
  <c r="H76" i="17"/>
  <c r="AB165" i="8"/>
  <c r="AB189" i="8"/>
  <c r="AB114" i="8"/>
  <c r="AB190" i="8"/>
  <c r="AB145" i="8"/>
  <c r="AD22" i="12"/>
  <c r="AE22" i="12" s="1"/>
  <c r="I115" i="2"/>
  <c r="J103" i="20" s="1"/>
  <c r="AA103" i="20" s="1"/>
  <c r="AB329" i="7"/>
  <c r="CO250" i="17"/>
  <c r="CL250" i="17"/>
  <c r="CQ240" i="17"/>
  <c r="CQ14" i="17" s="1"/>
  <c r="CP250" i="17"/>
  <c r="CM250" i="17"/>
  <c r="CN250" i="17"/>
  <c r="E110" i="17"/>
  <c r="CG307" i="17"/>
  <c r="CG308" i="17" s="1"/>
  <c r="CH303" i="17"/>
  <c r="CO307" i="17"/>
  <c r="CO308" i="17" s="1"/>
  <c r="CP303" i="17"/>
  <c r="CF307" i="17"/>
  <c r="CF308" i="17" s="1"/>
  <c r="CK307" i="17"/>
  <c r="CK308" i="17" s="1"/>
  <c r="CN307" i="17"/>
  <c r="CN308" i="17" s="1"/>
  <c r="CJ308" i="17"/>
  <c r="CL303" i="17"/>
  <c r="AA133" i="8"/>
  <c r="AB213" i="7"/>
  <c r="AB231" i="12"/>
  <c r="J39" i="7"/>
  <c r="J292" i="7"/>
  <c r="K39" i="7"/>
  <c r="K292" i="7"/>
  <c r="Z735" i="7"/>
  <c r="H677" i="7"/>
  <c r="J677" i="7"/>
  <c r="G418" i="7"/>
  <c r="G86" i="7"/>
  <c r="G109" i="7"/>
  <c r="K86" i="7"/>
  <c r="K418" i="7"/>
  <c r="K109" i="7"/>
  <c r="I763" i="7"/>
  <c r="I764" i="7" s="1"/>
  <c r="I765" i="7" s="1"/>
  <c r="I662" i="7"/>
  <c r="I676" i="7" s="1"/>
  <c r="J76" i="7"/>
  <c r="J107" i="7"/>
  <c r="K639" i="7"/>
  <c r="H593" i="7"/>
  <c r="H598" i="7"/>
  <c r="I677" i="7"/>
  <c r="Y735" i="7"/>
  <c r="H30" i="7"/>
  <c r="H698" i="7"/>
  <c r="H699" i="7" s="1"/>
  <c r="H27" i="7"/>
  <c r="H222" i="7"/>
  <c r="H232" i="7"/>
  <c r="H26" i="7"/>
  <c r="H223" i="7"/>
  <c r="H508" i="7"/>
  <c r="H678" i="7"/>
  <c r="H447" i="7"/>
  <c r="H29" i="7"/>
  <c r="H798" i="7"/>
  <c r="H65" i="7"/>
  <c r="H130" i="7"/>
  <c r="H221" i="7"/>
  <c r="H347" i="7"/>
  <c r="H66" i="7"/>
  <c r="H279" i="7"/>
  <c r="H513" i="7"/>
  <c r="H446" i="7"/>
  <c r="H505" i="7"/>
  <c r="H344" i="7"/>
  <c r="H313" i="7"/>
  <c r="H506" i="7"/>
  <c r="H342" i="7"/>
  <c r="H532" i="7"/>
  <c r="H535" i="7"/>
  <c r="H159" i="7"/>
  <c r="H246" i="7"/>
  <c r="H409" i="7"/>
  <c r="H445" i="7"/>
  <c r="H156" i="7"/>
  <c r="H534" i="7"/>
  <c r="H285" i="7"/>
  <c r="H557" i="7"/>
  <c r="H158" i="7"/>
  <c r="H343" i="7"/>
  <c r="H452" i="7"/>
  <c r="H64" i="7"/>
  <c r="H533" i="7"/>
  <c r="H315" i="7"/>
  <c r="H345" i="7"/>
  <c r="H314" i="7"/>
  <c r="H63" i="7"/>
  <c r="H509" i="7"/>
  <c r="H280" i="7"/>
  <c r="H410" i="7"/>
  <c r="H317" i="7"/>
  <c r="H346" i="7"/>
  <c r="H240" i="7"/>
  <c r="H31" i="7"/>
  <c r="H408" i="7"/>
  <c r="H282" i="7"/>
  <c r="H62" i="7"/>
  <c r="H556" i="7"/>
  <c r="H607" i="7"/>
  <c r="H581" i="7"/>
  <c r="H28" i="7"/>
  <c r="H283" i="7"/>
  <c r="H67" i="7"/>
  <c r="H642" i="7"/>
  <c r="H225" i="7"/>
  <c r="H510" i="7"/>
  <c r="H507" i="7"/>
  <c r="H450" i="7"/>
  <c r="H670" i="7"/>
  <c r="H281" i="7"/>
  <c r="H449" i="7"/>
  <c r="H641" i="7"/>
  <c r="H672" i="7"/>
  <c r="H671" i="7"/>
  <c r="H669" i="7"/>
  <c r="H673" i="7"/>
  <c r="H635" i="7"/>
  <c r="H411" i="7"/>
  <c r="H636" i="7"/>
  <c r="I81" i="7"/>
  <c r="I108" i="7"/>
  <c r="H86" i="7"/>
  <c r="H418" i="7"/>
  <c r="H109" i="7"/>
  <c r="J763" i="7"/>
  <c r="J764" i="7" s="1"/>
  <c r="J765" i="7" s="1"/>
  <c r="J662" i="7"/>
  <c r="J676" i="7" s="1"/>
  <c r="G76" i="7"/>
  <c r="G107" i="7"/>
  <c r="K76" i="7"/>
  <c r="K107" i="7"/>
  <c r="I639" i="7"/>
  <c r="T116" i="11"/>
  <c r="I30" i="7"/>
  <c r="I698" i="7"/>
  <c r="I699" i="7" s="1"/>
  <c r="I65" i="7"/>
  <c r="I246" i="7"/>
  <c r="I130" i="7"/>
  <c r="I346" i="7"/>
  <c r="I509" i="7"/>
  <c r="I27" i="7"/>
  <c r="I62" i="7"/>
  <c r="I452" i="7"/>
  <c r="I222" i="7"/>
  <c r="I232" i="7"/>
  <c r="I607" i="7"/>
  <c r="I409" i="7"/>
  <c r="I445" i="7"/>
  <c r="I534" i="7"/>
  <c r="I532" i="7"/>
  <c r="I29" i="7"/>
  <c r="I446" i="7"/>
  <c r="I64" i="7"/>
  <c r="I317" i="7"/>
  <c r="I557" i="7"/>
  <c r="I283" i="7"/>
  <c r="I343" i="7"/>
  <c r="I347" i="7"/>
  <c r="I285" i="7"/>
  <c r="I66" i="7"/>
  <c r="I31" i="7"/>
  <c r="I315" i="7"/>
  <c r="I342" i="7"/>
  <c r="I535" i="7"/>
  <c r="I506" i="7"/>
  <c r="I581" i="7"/>
  <c r="I513" i="7"/>
  <c r="I67" i="7"/>
  <c r="I280" i="7"/>
  <c r="I505" i="7"/>
  <c r="I642" i="7"/>
  <c r="I344" i="7"/>
  <c r="I533" i="7"/>
  <c r="I313" i="7"/>
  <c r="I410" i="7"/>
  <c r="I63" i="7"/>
  <c r="I447" i="7"/>
  <c r="I158" i="7"/>
  <c r="I159" i="7"/>
  <c r="I798" i="7"/>
  <c r="I26" i="7"/>
  <c r="I28" i="7"/>
  <c r="I345" i="7"/>
  <c r="I314" i="7"/>
  <c r="I225" i="7"/>
  <c r="I556" i="7"/>
  <c r="I279" i="7"/>
  <c r="I221" i="7"/>
  <c r="I282" i="7"/>
  <c r="I508" i="7"/>
  <c r="I240" i="7"/>
  <c r="I156" i="7"/>
  <c r="I678" i="7"/>
  <c r="I408" i="7"/>
  <c r="I223" i="7"/>
  <c r="I641" i="7"/>
  <c r="I673" i="7"/>
  <c r="I669" i="7"/>
  <c r="I670" i="7"/>
  <c r="I507" i="7"/>
  <c r="I411" i="7"/>
  <c r="I635" i="7"/>
  <c r="I449" i="7"/>
  <c r="I510" i="7"/>
  <c r="I450" i="7"/>
  <c r="I281" i="7"/>
  <c r="I636" i="7"/>
  <c r="I672" i="7"/>
  <c r="I671" i="7"/>
  <c r="I418" i="7"/>
  <c r="I86" i="7"/>
  <c r="I109" i="7"/>
  <c r="G662" i="7"/>
  <c r="G676" i="7" s="1"/>
  <c r="G763" i="7"/>
  <c r="G764" i="7" s="1"/>
  <c r="G765" i="7" s="1"/>
  <c r="K637" i="7"/>
  <c r="J598" i="7"/>
  <c r="J593" i="7"/>
  <c r="AA243" i="12"/>
  <c r="J30" i="7"/>
  <c r="J698" i="7"/>
  <c r="J699" i="7" s="1"/>
  <c r="J534" i="7"/>
  <c r="J285" i="7"/>
  <c r="J31" i="7"/>
  <c r="J798" i="7"/>
  <c r="J556" i="7"/>
  <c r="J532" i="7"/>
  <c r="J557" i="7"/>
  <c r="J29" i="7"/>
  <c r="J158" i="7"/>
  <c r="J445" i="7"/>
  <c r="J345" i="7"/>
  <c r="J65" i="7"/>
  <c r="J62" i="7"/>
  <c r="J505" i="7"/>
  <c r="J240" i="7"/>
  <c r="J221" i="7"/>
  <c r="J678" i="7"/>
  <c r="J26" i="7"/>
  <c r="J508" i="7"/>
  <c r="J225" i="7"/>
  <c r="J447" i="7"/>
  <c r="J279" i="7"/>
  <c r="J409" i="7"/>
  <c r="J343" i="7"/>
  <c r="J513" i="7"/>
  <c r="J315" i="7"/>
  <c r="J410" i="7"/>
  <c r="J506" i="7"/>
  <c r="J314" i="7"/>
  <c r="J63" i="7"/>
  <c r="J317" i="7"/>
  <c r="J342" i="7"/>
  <c r="J535" i="7"/>
  <c r="J581" i="7"/>
  <c r="J452" i="7"/>
  <c r="J280" i="7"/>
  <c r="J642" i="7"/>
  <c r="J64" i="7"/>
  <c r="J344" i="7"/>
  <c r="J313" i="7"/>
  <c r="J67" i="7"/>
  <c r="J223" i="7"/>
  <c r="J246" i="7"/>
  <c r="J607" i="7"/>
  <c r="J130" i="7"/>
  <c r="J346" i="7"/>
  <c r="J27" i="7"/>
  <c r="J156" i="7"/>
  <c r="J28" i="7"/>
  <c r="J66" i="7"/>
  <c r="J509" i="7"/>
  <c r="J283" i="7"/>
  <c r="J347" i="7"/>
  <c r="J446" i="7"/>
  <c r="J533" i="7"/>
  <c r="J232" i="7"/>
  <c r="J408" i="7"/>
  <c r="J222" i="7"/>
  <c r="J282" i="7"/>
  <c r="J159" i="7"/>
  <c r="J507" i="7"/>
  <c r="J636" i="7"/>
  <c r="J449" i="7"/>
  <c r="J281" i="7"/>
  <c r="J671" i="7"/>
  <c r="J672" i="7"/>
  <c r="J450" i="7"/>
  <c r="J670" i="7"/>
  <c r="J411" i="7"/>
  <c r="J641" i="7"/>
  <c r="J510" i="7"/>
  <c r="J669" i="7"/>
  <c r="J635" i="7"/>
  <c r="J673" i="7"/>
  <c r="G81" i="7"/>
  <c r="G108" i="7"/>
  <c r="K81" i="7"/>
  <c r="K108" i="7"/>
  <c r="J418" i="7"/>
  <c r="J86" i="7"/>
  <c r="J109" i="7"/>
  <c r="H763" i="7"/>
  <c r="H764" i="7" s="1"/>
  <c r="H765" i="7" s="1"/>
  <c r="H662" i="7"/>
  <c r="H676" i="7" s="1"/>
  <c r="I76" i="7"/>
  <c r="I107" i="7"/>
  <c r="H637" i="7"/>
  <c r="I593" i="7"/>
  <c r="I598" i="7"/>
  <c r="J637" i="7"/>
  <c r="K593" i="7"/>
  <c r="K598" i="7"/>
  <c r="G677" i="7"/>
  <c r="J81" i="7"/>
  <c r="J108" i="7"/>
  <c r="K662" i="7"/>
  <c r="K676" i="7" s="1"/>
  <c r="K763" i="7"/>
  <c r="K764" i="7" s="1"/>
  <c r="K765" i="7" s="1"/>
  <c r="H76" i="7"/>
  <c r="H107" i="7"/>
  <c r="J116" i="11"/>
  <c r="G30" i="7"/>
  <c r="G698" i="7"/>
  <c r="G699" i="7" s="1"/>
  <c r="G65" i="7"/>
  <c r="G315" i="7"/>
  <c r="G410" i="7"/>
  <c r="G607" i="7"/>
  <c r="G63" i="7"/>
  <c r="G535" i="7"/>
  <c r="G222" i="7"/>
  <c r="G221" i="7"/>
  <c r="G445" i="7"/>
  <c r="G508" i="7"/>
  <c r="G66" i="7"/>
  <c r="G557" i="7"/>
  <c r="G279" i="7"/>
  <c r="G282" i="7"/>
  <c r="G513" i="7"/>
  <c r="G533" i="7"/>
  <c r="G313" i="7"/>
  <c r="G159" i="7"/>
  <c r="G225" i="7"/>
  <c r="G314" i="7"/>
  <c r="G317" i="7"/>
  <c r="G280" i="7"/>
  <c r="G223" i="7"/>
  <c r="G678" i="7"/>
  <c r="G28" i="7"/>
  <c r="G130" i="7"/>
  <c r="G447" i="7"/>
  <c r="G283" i="7"/>
  <c r="G27" i="7"/>
  <c r="G343" i="7"/>
  <c r="G158" i="7"/>
  <c r="G62" i="7"/>
  <c r="G64" i="7"/>
  <c r="G344" i="7"/>
  <c r="G345" i="7"/>
  <c r="G246" i="7"/>
  <c r="G506" i="7"/>
  <c r="G342" i="7"/>
  <c r="G67" i="7"/>
  <c r="G505" i="7"/>
  <c r="G642" i="7"/>
  <c r="G446" i="7"/>
  <c r="G240" i="7"/>
  <c r="G232" i="7"/>
  <c r="G347" i="7"/>
  <c r="G798" i="7"/>
  <c r="G29" i="7"/>
  <c r="G31" i="7"/>
  <c r="G534" i="7"/>
  <c r="G452" i="7"/>
  <c r="G509" i="7"/>
  <c r="G26" i="7"/>
  <c r="G532" i="7"/>
  <c r="G156" i="7"/>
  <c r="G408" i="7"/>
  <c r="G581" i="7"/>
  <c r="G346" i="7"/>
  <c r="G556" i="7"/>
  <c r="G285" i="7"/>
  <c r="G409" i="7"/>
  <c r="G670" i="7"/>
  <c r="G635" i="7"/>
  <c r="G641" i="7"/>
  <c r="G636" i="7"/>
  <c r="G673" i="7"/>
  <c r="G598" i="7"/>
  <c r="G281" i="7"/>
  <c r="G507" i="7"/>
  <c r="G639" i="7"/>
  <c r="G510" i="7"/>
  <c r="G411" i="7"/>
  <c r="G450" i="7"/>
  <c r="G671" i="7"/>
  <c r="G672" i="7"/>
  <c r="G449" i="7"/>
  <c r="G669" i="7"/>
  <c r="AD116" i="11"/>
  <c r="K698" i="7"/>
  <c r="K699" i="7" s="1"/>
  <c r="K30" i="7"/>
  <c r="K533" i="7"/>
  <c r="K159" i="7"/>
  <c r="K642" i="7"/>
  <c r="K678" i="7"/>
  <c r="K344" i="7"/>
  <c r="K26" i="7"/>
  <c r="K28" i="7"/>
  <c r="K283" i="7"/>
  <c r="K240" i="7"/>
  <c r="K232" i="7"/>
  <c r="K67" i="7"/>
  <c r="K280" i="7"/>
  <c r="K798" i="7"/>
  <c r="K506" i="7"/>
  <c r="K556" i="7"/>
  <c r="K607" i="7"/>
  <c r="K613" i="7" s="1"/>
  <c r="K63" i="7"/>
  <c r="K317" i="7"/>
  <c r="K62" i="7"/>
  <c r="K557" i="7"/>
  <c r="K581" i="7"/>
  <c r="K279" i="7"/>
  <c r="K509" i="7"/>
  <c r="K409" i="7"/>
  <c r="K66" i="7"/>
  <c r="K29" i="7"/>
  <c r="K221" i="7"/>
  <c r="K452" i="7"/>
  <c r="K223" i="7"/>
  <c r="K347" i="7"/>
  <c r="K408" i="7"/>
  <c r="K225" i="7"/>
  <c r="K315" i="7"/>
  <c r="K410" i="7"/>
  <c r="K342" i="7"/>
  <c r="K532" i="7"/>
  <c r="K535" i="7"/>
  <c r="K446" i="7"/>
  <c r="K64" i="7"/>
  <c r="K313" i="7"/>
  <c r="K534" i="7"/>
  <c r="K285" i="7"/>
  <c r="K158" i="7"/>
  <c r="K156" i="7"/>
  <c r="K314" i="7"/>
  <c r="K445" i="7"/>
  <c r="K345" i="7"/>
  <c r="K27" i="7"/>
  <c r="K222" i="7"/>
  <c r="K505" i="7"/>
  <c r="K246" i="7"/>
  <c r="K130" i="7"/>
  <c r="K447" i="7"/>
  <c r="K346" i="7"/>
  <c r="K508" i="7"/>
  <c r="K65" i="7"/>
  <c r="K31" i="7"/>
  <c r="K282" i="7"/>
  <c r="K343" i="7"/>
  <c r="K513" i="7"/>
  <c r="K636" i="7"/>
  <c r="K281" i="7"/>
  <c r="K449" i="7"/>
  <c r="K671" i="7"/>
  <c r="K635" i="7"/>
  <c r="K670" i="7"/>
  <c r="K669" i="7"/>
  <c r="K510" i="7"/>
  <c r="K673" i="7"/>
  <c r="K641" i="7"/>
  <c r="K672" i="7"/>
  <c r="K450" i="7"/>
  <c r="K411" i="7"/>
  <c r="K507" i="7"/>
  <c r="H81" i="7"/>
  <c r="H108" i="7"/>
  <c r="X457" i="20"/>
  <c r="X451" i="20"/>
  <c r="AB255" i="7"/>
  <c r="F22" i="8"/>
  <c r="M105" i="8"/>
  <c r="H106" i="8"/>
  <c r="L106" i="8"/>
  <c r="P106" i="8"/>
  <c r="T101" i="8"/>
  <c r="U101" i="8" s="1"/>
  <c r="V101" i="8" s="1"/>
  <c r="W101" i="8" s="1"/>
  <c r="X101" i="8" s="1"/>
  <c r="Y101" i="8" s="1"/>
  <c r="Z101" i="8" s="1"/>
  <c r="AA101" i="8" s="1"/>
  <c r="AB101" i="8" s="1"/>
  <c r="AC101" i="8" s="1"/>
  <c r="AD101" i="8" s="1"/>
  <c r="AE101" i="8" s="1"/>
  <c r="H105" i="8"/>
  <c r="Q105" i="8"/>
  <c r="H115" i="2"/>
  <c r="AY115" i="2" s="1"/>
  <c r="I117" i="2"/>
  <c r="J105" i="20" s="1"/>
  <c r="AA105" i="20" s="1"/>
  <c r="J117" i="2"/>
  <c r="K105" i="20" s="1"/>
  <c r="AB105" i="20" s="1"/>
  <c r="K117" i="2"/>
  <c r="L105" i="20" s="1"/>
  <c r="AC105" i="20" s="1"/>
  <c r="K115" i="2"/>
  <c r="L103" i="20" s="1"/>
  <c r="AC103" i="20" s="1"/>
  <c r="H116" i="2"/>
  <c r="I104" i="20" s="1"/>
  <c r="Z104" i="20" s="1"/>
  <c r="I116" i="2"/>
  <c r="J104" i="20" s="1"/>
  <c r="AA104" i="20" s="1"/>
  <c r="H123" i="2"/>
  <c r="I112" i="20" s="1"/>
  <c r="Z112" i="20" s="1"/>
  <c r="CU304" i="17"/>
  <c r="CV304" i="17" s="1"/>
  <c r="CW304" i="17" s="1"/>
  <c r="CX304" i="17" s="1"/>
  <c r="AC372" i="12"/>
  <c r="E262" i="2" s="1"/>
  <c r="AV262" i="2" s="1"/>
  <c r="CU303" i="17"/>
  <c r="CV303" i="17" s="1"/>
  <c r="CW303" i="17" s="1"/>
  <c r="CX303" i="17" s="1"/>
  <c r="AC371" i="12"/>
  <c r="AC373" i="12"/>
  <c r="E264" i="2" s="1"/>
  <c r="AV263" i="2" s="1"/>
  <c r="CU305" i="17"/>
  <c r="CV305" i="17" s="1"/>
  <c r="CW305" i="17" s="1"/>
  <c r="CX305" i="17" s="1"/>
  <c r="CR308" i="17"/>
  <c r="I65" i="17"/>
  <c r="I222" i="17"/>
  <c r="AB399" i="7"/>
  <c r="AB12" i="8"/>
  <c r="J125" i="8"/>
  <c r="K118" i="8"/>
  <c r="K125" i="8" s="1"/>
  <c r="O105" i="8"/>
  <c r="M106" i="8"/>
  <c r="AB64" i="8"/>
  <c r="AD768" i="7"/>
  <c r="AE225" i="8"/>
  <c r="AD181" i="8"/>
  <c r="K105" i="8"/>
  <c r="S105" i="8"/>
  <c r="I106" i="8"/>
  <c r="Q106" i="8"/>
  <c r="I125" i="8"/>
  <c r="H125" i="8"/>
  <c r="Z23" i="8"/>
  <c r="AB59" i="8"/>
  <c r="AB16" i="8"/>
  <c r="AB22" i="8"/>
  <c r="AA22" i="8"/>
  <c r="I62" i="17"/>
  <c r="I225" i="17"/>
  <c r="AA21" i="8"/>
  <c r="AB21" i="8"/>
  <c r="AB15" i="8"/>
  <c r="Z22" i="8"/>
  <c r="AB62" i="8"/>
  <c r="AB65" i="8"/>
  <c r="AB23" i="8"/>
  <c r="AB17" i="8"/>
  <c r="AA23" i="8"/>
  <c r="AB30" i="8"/>
  <c r="AB60" i="8"/>
  <c r="AB51" i="7"/>
  <c r="AB77" i="8"/>
  <c r="AB192" i="8" s="1"/>
  <c r="CU12" i="17"/>
  <c r="L121" i="2" s="1"/>
  <c r="M110" i="20" s="1"/>
  <c r="AD110" i="20" s="1"/>
  <c r="CQ12" i="17"/>
  <c r="EQ11" i="6"/>
  <c r="AD225" i="8"/>
  <c r="AC768" i="7"/>
  <c r="K11" i="23"/>
  <c r="A12" i="24"/>
  <c r="A13" i="24"/>
  <c r="A14" i="24"/>
  <c r="A15" i="24"/>
  <c r="A16" i="24"/>
  <c r="A17" i="24"/>
  <c r="A18" i="24"/>
  <c r="A19" i="24"/>
  <c r="A20" i="24"/>
  <c r="A21" i="24"/>
  <c r="A22" i="24"/>
  <c r="A23" i="24"/>
  <c r="A24" i="24"/>
  <c r="A25" i="24"/>
  <c r="A26" i="24"/>
  <c r="A27" i="24"/>
  <c r="A28" i="24"/>
  <c r="B12" i="24"/>
  <c r="B13" i="24"/>
  <c r="B14" i="24"/>
  <c r="B15" i="24"/>
  <c r="B16" i="24"/>
  <c r="B17" i="24"/>
  <c r="B18" i="24"/>
  <c r="B19" i="24"/>
  <c r="B20" i="24"/>
  <c r="B21" i="24"/>
  <c r="B22" i="24"/>
  <c r="B23" i="24"/>
  <c r="B24" i="24"/>
  <c r="B25" i="24"/>
  <c r="B26" i="24"/>
  <c r="B27" i="24"/>
  <c r="CV240" i="17"/>
  <c r="CV14" i="17" s="1"/>
  <c r="M123" i="2" s="1"/>
  <c r="N112" i="20" s="1"/>
  <c r="AE112" i="20" s="1"/>
  <c r="E334" i="17"/>
  <c r="E325" i="17"/>
  <c r="E333" i="17"/>
  <c r="E324" i="17"/>
  <c r="E337" i="17"/>
  <c r="E328" i="17"/>
  <c r="E338" i="17"/>
  <c r="E329" i="17"/>
  <c r="Z450" i="20"/>
  <c r="Z456" i="20" s="1"/>
  <c r="Z462" i="20" s="1"/>
  <c r="H119" i="1"/>
  <c r="H136" i="7" s="1"/>
  <c r="J119" i="1"/>
  <c r="J136" i="7" s="1"/>
  <c r="L119" i="1"/>
  <c r="L136" i="7" s="1"/>
  <c r="AK18" i="6" s="1"/>
  <c r="N119" i="1"/>
  <c r="N136" i="7" s="1"/>
  <c r="AW18" i="6" s="1"/>
  <c r="P119" i="1"/>
  <c r="P136" i="7" s="1"/>
  <c r="BI18" i="6" s="1"/>
  <c r="R119" i="1"/>
  <c r="R136" i="7" s="1"/>
  <c r="T119" i="1"/>
  <c r="T136" i="7" s="1"/>
  <c r="CG18" i="6" s="1"/>
  <c r="V119" i="1"/>
  <c r="V136" i="7" s="1"/>
  <c r="V155" i="7" s="1"/>
  <c r="X119" i="1"/>
  <c r="X136" i="7" s="1"/>
  <c r="Z119" i="1"/>
  <c r="Z136" i="7" s="1"/>
  <c r="AB119" i="1"/>
  <c r="AB136" i="7" s="1"/>
  <c r="AC136" i="7" s="1"/>
  <c r="AD119" i="1"/>
  <c r="AF119" i="1"/>
  <c r="H130" i="1"/>
  <c r="H489" i="7" s="1"/>
  <c r="J130" i="1"/>
  <c r="J489" i="7" s="1"/>
  <c r="L130" i="1"/>
  <c r="L489" i="7" s="1"/>
  <c r="AK40" i="6" s="1"/>
  <c r="N130" i="1"/>
  <c r="N489" i="7" s="1"/>
  <c r="P130" i="1"/>
  <c r="P489" i="7" s="1"/>
  <c r="R130" i="1"/>
  <c r="R489" i="7" s="1"/>
  <c r="R740" i="7" s="1"/>
  <c r="T130" i="1"/>
  <c r="T489" i="7" s="1"/>
  <c r="CG40" i="6" s="1"/>
  <c r="V130" i="1"/>
  <c r="V489" i="7" s="1"/>
  <c r="X130" i="1"/>
  <c r="X489" i="7" s="1"/>
  <c r="Z130" i="1"/>
  <c r="Z489" i="7" s="1"/>
  <c r="DQ40" i="6" s="1"/>
  <c r="AB130" i="1"/>
  <c r="AB489" i="7" s="1"/>
  <c r="AD130" i="1"/>
  <c r="AF130" i="1"/>
  <c r="H136" i="1"/>
  <c r="J136" i="1"/>
  <c r="L136" i="1"/>
  <c r="L542" i="7" s="1"/>
  <c r="N136" i="1"/>
  <c r="N542" i="7" s="1"/>
  <c r="P136" i="1"/>
  <c r="P542" i="7" s="1"/>
  <c r="P736" i="7" s="1"/>
  <c r="R136" i="1"/>
  <c r="R542" i="7" s="1"/>
  <c r="R736" i="7" s="1"/>
  <c r="T136" i="1"/>
  <c r="T542" i="7" s="1"/>
  <c r="V136" i="1"/>
  <c r="X136" i="1"/>
  <c r="Z136" i="1"/>
  <c r="AB136" i="1"/>
  <c r="AD136" i="1"/>
  <c r="AF136" i="1"/>
  <c r="H140" i="1"/>
  <c r="J140" i="1"/>
  <c r="J426" i="7" s="1"/>
  <c r="L140" i="1"/>
  <c r="L426" i="7" s="1"/>
  <c r="N140" i="1"/>
  <c r="N426" i="7" s="1"/>
  <c r="N627" i="7" s="1"/>
  <c r="N638" i="7" s="1"/>
  <c r="P140" i="1"/>
  <c r="P426" i="7" s="1"/>
  <c r="P451" i="7" s="1"/>
  <c r="R140" i="1"/>
  <c r="R426" i="7" s="1"/>
  <c r="T140" i="1"/>
  <c r="T426" i="7" s="1"/>
  <c r="V140" i="1"/>
  <c r="V426" i="7" s="1"/>
  <c r="V627" i="7" s="1"/>
  <c r="V638" i="7" s="1"/>
  <c r="X140" i="1"/>
  <c r="X426" i="7" s="1"/>
  <c r="Z140" i="1"/>
  <c r="Z426" i="7" s="1"/>
  <c r="AB140" i="1"/>
  <c r="AB426" i="7" s="1"/>
  <c r="AD140" i="1"/>
  <c r="AF140" i="1"/>
  <c r="G154" i="1"/>
  <c r="G138" i="7" s="1"/>
  <c r="I154" i="1"/>
  <c r="I138" i="7" s="1"/>
  <c r="K154" i="1"/>
  <c r="K138" i="7" s="1"/>
  <c r="M154" i="1"/>
  <c r="M138" i="7" s="1"/>
  <c r="O154" i="1"/>
  <c r="O138" i="7" s="1"/>
  <c r="O752" i="7" s="1"/>
  <c r="Q154" i="1"/>
  <c r="Q138" i="7" s="1"/>
  <c r="S154" i="1"/>
  <c r="S138" i="7" s="1"/>
  <c r="CB20" i="6" s="1"/>
  <c r="U154" i="1"/>
  <c r="U138" i="7" s="1"/>
  <c r="W154" i="1"/>
  <c r="W138" i="7" s="1"/>
  <c r="Y154" i="1"/>
  <c r="Y138" i="7" s="1"/>
  <c r="AA154" i="1"/>
  <c r="AA138" i="7" s="1"/>
  <c r="AA752" i="7" s="1"/>
  <c r="AC154" i="1"/>
  <c r="AE154" i="1"/>
  <c r="J164" i="17"/>
  <c r="I176" i="17"/>
  <c r="M176" i="17"/>
  <c r="Q176" i="17"/>
  <c r="U176" i="17"/>
  <c r="Y176" i="17"/>
  <c r="AC176" i="17"/>
  <c r="AG176" i="17"/>
  <c r="AK176" i="17"/>
  <c r="AO176" i="17"/>
  <c r="AS176" i="17"/>
  <c r="C238" i="2"/>
  <c r="AT234" i="2" s="1"/>
  <c r="C239" i="2"/>
  <c r="AT235" i="2" s="1"/>
  <c r="C254" i="2"/>
  <c r="AT254" i="2" s="1"/>
  <c r="C255" i="2"/>
  <c r="AT255" i="2" s="1"/>
  <c r="D100" i="2"/>
  <c r="C253" i="2"/>
  <c r="AT253" i="2" s="1"/>
  <c r="F143" i="20"/>
  <c r="H143" i="20" s="1"/>
  <c r="I143" i="20" s="1"/>
  <c r="J143" i="20" s="1"/>
  <c r="E219" i="20"/>
  <c r="F219" i="20" s="1"/>
  <c r="G219" i="20" s="1"/>
  <c r="H219" i="20" s="1"/>
  <c r="AM219" i="20"/>
  <c r="AN219" i="20" s="1"/>
  <c r="AO219" i="20" s="1"/>
  <c r="AP219" i="20" s="1"/>
  <c r="E301" i="20"/>
  <c r="G301" i="20" s="1"/>
  <c r="I301" i="20" s="1"/>
  <c r="K301" i="20" s="1"/>
  <c r="F336" i="20"/>
  <c r="H336" i="20" s="1"/>
  <c r="J336" i="20" s="1"/>
  <c r="L336" i="20" s="1"/>
  <c r="F405" i="20"/>
  <c r="H405" i="20" s="1"/>
  <c r="J405" i="20" s="1"/>
  <c r="L405" i="20" s="1"/>
  <c r="AN405" i="20"/>
  <c r="AP405" i="20" s="1"/>
  <c r="AR405" i="20" s="1"/>
  <c r="AT405" i="20" s="1"/>
  <c r="F478" i="20"/>
  <c r="H478" i="20" s="1"/>
  <c r="J478" i="20" s="1"/>
  <c r="L478" i="20" s="1"/>
  <c r="E532" i="20"/>
  <c r="H532" i="20" s="1"/>
  <c r="J532" i="20" s="1"/>
  <c r="L532" i="20" s="1"/>
  <c r="F16" i="20"/>
  <c r="F58" i="20"/>
  <c r="H58" i="20" s="1"/>
  <c r="I58" i="20" s="1"/>
  <c r="J58" i="20" s="1"/>
  <c r="F172" i="20"/>
  <c r="H172" i="20" s="1"/>
  <c r="J172" i="20" s="1"/>
  <c r="L172" i="20" s="1"/>
  <c r="F275" i="20"/>
  <c r="H275" i="20" s="1"/>
  <c r="J275" i="20" s="1"/>
  <c r="L275" i="20" s="1"/>
  <c r="F373" i="20"/>
  <c r="H373" i="20" s="1"/>
  <c r="J373" i="20" s="1"/>
  <c r="L373" i="20" s="1"/>
  <c r="AB33" i="8"/>
  <c r="I35" i="12"/>
  <c r="Q58" i="11" s="1"/>
  <c r="K35" i="12"/>
  <c r="AA58" i="11" s="1"/>
  <c r="M35" i="12"/>
  <c r="AK58" i="11" s="1"/>
  <c r="O35" i="12"/>
  <c r="AU58" i="11" s="1"/>
  <c r="Q35" i="12"/>
  <c r="BE58" i="11" s="1"/>
  <c r="S35" i="12"/>
  <c r="BO58" i="11" s="1"/>
  <c r="U35" i="12"/>
  <c r="BY58" i="11" s="1"/>
  <c r="W35" i="12"/>
  <c r="CI58" i="11" s="1"/>
  <c r="Y35" i="12"/>
  <c r="CS58" i="11" s="1"/>
  <c r="AA35" i="12"/>
  <c r="DC58" i="11" s="1"/>
  <c r="H36" i="12"/>
  <c r="L59" i="11" s="1"/>
  <c r="J36" i="12"/>
  <c r="V59" i="11" s="1"/>
  <c r="L36" i="12"/>
  <c r="AF59" i="11" s="1"/>
  <c r="N36" i="12"/>
  <c r="AP59" i="11" s="1"/>
  <c r="P36" i="12"/>
  <c r="AZ59" i="11" s="1"/>
  <c r="R36" i="12"/>
  <c r="BJ59" i="11" s="1"/>
  <c r="T36" i="12"/>
  <c r="BT59" i="11" s="1"/>
  <c r="V36" i="12"/>
  <c r="CD59" i="11" s="1"/>
  <c r="X36" i="12"/>
  <c r="CN59" i="11" s="1"/>
  <c r="Z36" i="12"/>
  <c r="CX59" i="11" s="1"/>
  <c r="AB36" i="12"/>
  <c r="DH59" i="11" s="1"/>
  <c r="G36" i="1"/>
  <c r="G28" i="12" s="1"/>
  <c r="J68" i="17" s="1"/>
  <c r="I68" i="17" s="1"/>
  <c r="I36" i="1"/>
  <c r="I28" i="12" s="1"/>
  <c r="K36" i="1"/>
  <c r="K28" i="12" s="1"/>
  <c r="M36" i="1"/>
  <c r="M28" i="12" s="1"/>
  <c r="O36" i="1"/>
  <c r="O28" i="12" s="1"/>
  <c r="Q36" i="1"/>
  <c r="Q28" i="12" s="1"/>
  <c r="S36" i="1"/>
  <c r="S28" i="12" s="1"/>
  <c r="U36" i="1"/>
  <c r="U28" i="12" s="1"/>
  <c r="BN68" i="17" s="1"/>
  <c r="W36" i="1"/>
  <c r="W28" i="12" s="1"/>
  <c r="Y36" i="1"/>
  <c r="Y28" i="12" s="1"/>
  <c r="AA36" i="1"/>
  <c r="AA28" i="12" s="1"/>
  <c r="AC36" i="1"/>
  <c r="AC28" i="12" s="1"/>
  <c r="AE36" i="1"/>
  <c r="H77" i="1"/>
  <c r="H211" i="12" s="1"/>
  <c r="J77" i="1"/>
  <c r="J211" i="12" s="1"/>
  <c r="L77" i="1"/>
  <c r="L211" i="12" s="1"/>
  <c r="AI64" i="11" s="1"/>
  <c r="N77" i="1"/>
  <c r="N211" i="12" s="1"/>
  <c r="P77" i="1"/>
  <c r="P211" i="12" s="1"/>
  <c r="R77" i="1"/>
  <c r="R211" i="12" s="1"/>
  <c r="T77" i="1"/>
  <c r="T211" i="12" s="1"/>
  <c r="V77" i="1"/>
  <c r="V211" i="12" s="1"/>
  <c r="X77" i="1"/>
  <c r="X211" i="12" s="1"/>
  <c r="Z77" i="1"/>
  <c r="Z211" i="12" s="1"/>
  <c r="Z213" i="12" s="1"/>
  <c r="AB77" i="1"/>
  <c r="AB211" i="12" s="1"/>
  <c r="AD77" i="1"/>
  <c r="AF77" i="1"/>
  <c r="AW176" i="17"/>
  <c r="BA176" i="17"/>
  <c r="BE176" i="17"/>
  <c r="BI176" i="17"/>
  <c r="BM176" i="17"/>
  <c r="CR12" i="17"/>
  <c r="CT12" i="17"/>
  <c r="CV12" i="17"/>
  <c r="M121" i="2" s="1"/>
  <c r="N110" i="20" s="1"/>
  <c r="AE110" i="20" s="1"/>
  <c r="AD154" i="1"/>
  <c r="AF154" i="1"/>
  <c r="CX183" i="17"/>
  <c r="CW183" i="17"/>
  <c r="G119" i="1"/>
  <c r="I119" i="1"/>
  <c r="K119" i="1"/>
  <c r="K136" i="7" s="1"/>
  <c r="M119" i="1"/>
  <c r="M136" i="7" s="1"/>
  <c r="O119" i="1"/>
  <c r="O136" i="7" s="1"/>
  <c r="Q119" i="1"/>
  <c r="Q136" i="7" s="1"/>
  <c r="S119" i="1"/>
  <c r="S136" i="7" s="1"/>
  <c r="U119" i="1"/>
  <c r="U136" i="7" s="1"/>
  <c r="W119" i="1"/>
  <c r="W136" i="7" s="1"/>
  <c r="Y119" i="1"/>
  <c r="Y136" i="7" s="1"/>
  <c r="Y155" i="7" s="1"/>
  <c r="AA119" i="1"/>
  <c r="AA136" i="7" s="1"/>
  <c r="AC119" i="1"/>
  <c r="AE119" i="1"/>
  <c r="G130" i="1"/>
  <c r="G489" i="7" s="1"/>
  <c r="I130" i="1"/>
  <c r="I489" i="7" s="1"/>
  <c r="K130" i="1"/>
  <c r="K489" i="7" s="1"/>
  <c r="M130" i="1"/>
  <c r="M489" i="7" s="1"/>
  <c r="O130" i="1"/>
  <c r="O489" i="7" s="1"/>
  <c r="Q130" i="1"/>
  <c r="Q489" i="7" s="1"/>
  <c r="S130" i="1"/>
  <c r="S489" i="7" s="1"/>
  <c r="U130" i="1"/>
  <c r="U489" i="7" s="1"/>
  <c r="U512" i="7" s="1"/>
  <c r="W130" i="1"/>
  <c r="W489" i="7" s="1"/>
  <c r="Y130" i="1"/>
  <c r="Y489" i="7" s="1"/>
  <c r="AA130" i="1"/>
  <c r="AA489" i="7" s="1"/>
  <c r="AC130" i="1"/>
  <c r="AE130" i="1"/>
  <c r="G136" i="1"/>
  <c r="G542" i="7" s="1"/>
  <c r="I136" i="1"/>
  <c r="I542" i="7" s="1"/>
  <c r="K136" i="1"/>
  <c r="K542" i="7" s="1"/>
  <c r="M136" i="1"/>
  <c r="M542" i="7" s="1"/>
  <c r="M736" i="7" s="1"/>
  <c r="O136" i="1"/>
  <c r="O542" i="7" s="1"/>
  <c r="O555" i="7" s="1"/>
  <c r="Q136" i="1"/>
  <c r="Q542" i="7" s="1"/>
  <c r="Q736" i="7" s="1"/>
  <c r="S136" i="1"/>
  <c r="S542" i="7" s="1"/>
  <c r="S555" i="7" s="1"/>
  <c r="U136" i="1"/>
  <c r="U542" i="7" s="1"/>
  <c r="W136" i="1"/>
  <c r="Y136" i="1"/>
  <c r="AA136" i="1"/>
  <c r="AC136" i="1"/>
  <c r="AE136" i="1"/>
  <c r="G140" i="1"/>
  <c r="G426" i="7" s="1"/>
  <c r="I140" i="1"/>
  <c r="K140" i="1"/>
  <c r="K426" i="7" s="1"/>
  <c r="M140" i="1"/>
  <c r="M426" i="7" s="1"/>
  <c r="O140" i="1"/>
  <c r="O426" i="7" s="1"/>
  <c r="Q140" i="1"/>
  <c r="Q426" i="7" s="1"/>
  <c r="S140" i="1"/>
  <c r="S426" i="7" s="1"/>
  <c r="U140" i="1"/>
  <c r="U426" i="7" s="1"/>
  <c r="W140" i="1"/>
  <c r="W426" i="7" s="1"/>
  <c r="Y140" i="1"/>
  <c r="Y426" i="7" s="1"/>
  <c r="Y451" i="7" s="1"/>
  <c r="AA140" i="1"/>
  <c r="AA426" i="7" s="1"/>
  <c r="AC140" i="1"/>
  <c r="AE140" i="1"/>
  <c r="G189" i="1"/>
  <c r="G143" i="7" s="1"/>
  <c r="I189" i="1"/>
  <c r="I143" i="7" s="1"/>
  <c r="K189" i="1"/>
  <c r="M189" i="1"/>
  <c r="M143" i="7" s="1"/>
  <c r="O189" i="1"/>
  <c r="O143" i="7" s="1"/>
  <c r="BB18" i="6" s="1"/>
  <c r="Q189" i="1"/>
  <c r="Q143" i="7" s="1"/>
  <c r="S189" i="1"/>
  <c r="S143" i="7" s="1"/>
  <c r="BZ18" i="6" s="1"/>
  <c r="U189" i="1"/>
  <c r="U143" i="7" s="1"/>
  <c r="W189" i="1"/>
  <c r="W143" i="7" s="1"/>
  <c r="CX18" i="6" s="1"/>
  <c r="Y189" i="1"/>
  <c r="Y143" i="7" s="1"/>
  <c r="Y160" i="7" s="1"/>
  <c r="AA189" i="1"/>
  <c r="AA143" i="7" s="1"/>
  <c r="AC189" i="1"/>
  <c r="AE189" i="1"/>
  <c r="H189" i="1"/>
  <c r="J189" i="1"/>
  <c r="L189" i="1"/>
  <c r="L143" i="7" s="1"/>
  <c r="N189" i="1"/>
  <c r="N143" i="7" s="1"/>
  <c r="AV18" i="6" s="1"/>
  <c r="P189" i="1"/>
  <c r="P143" i="7" s="1"/>
  <c r="R189" i="1"/>
  <c r="R143" i="7" s="1"/>
  <c r="R160" i="7" s="1"/>
  <c r="T189" i="1"/>
  <c r="T143" i="7" s="1"/>
  <c r="V189" i="1"/>
  <c r="V143" i="7" s="1"/>
  <c r="CR18" i="6" s="1"/>
  <c r="X189" i="1"/>
  <c r="X143" i="7" s="1"/>
  <c r="Z189" i="1"/>
  <c r="Z143" i="7" s="1"/>
  <c r="C190" i="2" s="1"/>
  <c r="AT190" i="2" s="1"/>
  <c r="AB189" i="1"/>
  <c r="AB143" i="7" s="1"/>
  <c r="AD189" i="1"/>
  <c r="AF189" i="1"/>
  <c r="G203" i="1"/>
  <c r="G488" i="7" s="1"/>
  <c r="I203" i="1"/>
  <c r="I488" i="7" s="1"/>
  <c r="K203" i="1"/>
  <c r="K488" i="7" s="1"/>
  <c r="M203" i="1"/>
  <c r="M488" i="7" s="1"/>
  <c r="AP40" i="6" s="1"/>
  <c r="O203" i="1"/>
  <c r="O488" i="7" s="1"/>
  <c r="O723" i="7" s="1"/>
  <c r="Q203" i="1"/>
  <c r="Q488" i="7" s="1"/>
  <c r="S203" i="1"/>
  <c r="S488" i="7" s="1"/>
  <c r="S723" i="7" s="1"/>
  <c r="U203" i="1"/>
  <c r="U488" i="7" s="1"/>
  <c r="U723" i="7" s="1"/>
  <c r="W203" i="1"/>
  <c r="W488" i="7" s="1"/>
  <c r="W723" i="7" s="1"/>
  <c r="Y203" i="1"/>
  <c r="Y488" i="7" s="1"/>
  <c r="AA203" i="1"/>
  <c r="AA488" i="7" s="1"/>
  <c r="AC203" i="1"/>
  <c r="AE203" i="1"/>
  <c r="H203" i="1"/>
  <c r="J203" i="1"/>
  <c r="J488" i="7" s="1"/>
  <c r="L203" i="1"/>
  <c r="L488" i="7" s="1"/>
  <c r="L723" i="7" s="1"/>
  <c r="N203" i="1"/>
  <c r="N488" i="7" s="1"/>
  <c r="P203" i="1"/>
  <c r="P488" i="7" s="1"/>
  <c r="R203" i="1"/>
  <c r="R488" i="7" s="1"/>
  <c r="BT40" i="6" s="1"/>
  <c r="T203" i="1"/>
  <c r="T488" i="7" s="1"/>
  <c r="CF40" i="6" s="1"/>
  <c r="V203" i="1"/>
  <c r="V488" i="7" s="1"/>
  <c r="X203" i="1"/>
  <c r="X488" i="7" s="1"/>
  <c r="DD40" i="6" s="1"/>
  <c r="Z203" i="1"/>
  <c r="Z488" i="7" s="1"/>
  <c r="DP40" i="6" s="1"/>
  <c r="AB203" i="1"/>
  <c r="AB488" i="7" s="1"/>
  <c r="AD203" i="1"/>
  <c r="AF203" i="1"/>
  <c r="G209" i="1"/>
  <c r="I209" i="1"/>
  <c r="I541" i="7" s="1"/>
  <c r="K209" i="1"/>
  <c r="K541" i="7" s="1"/>
  <c r="M209" i="1"/>
  <c r="M541" i="7" s="1"/>
  <c r="O209" i="1"/>
  <c r="O541" i="7" s="1"/>
  <c r="O719" i="7" s="1"/>
  <c r="Q209" i="1"/>
  <c r="Q541" i="7" s="1"/>
  <c r="Q719" i="7" s="1"/>
  <c r="S209" i="1"/>
  <c r="S541" i="7" s="1"/>
  <c r="U209" i="1"/>
  <c r="U541" i="7" s="1"/>
  <c r="W209" i="1"/>
  <c r="W541" i="7" s="1"/>
  <c r="W719" i="7" s="1"/>
  <c r="Y209" i="1"/>
  <c r="Y541" i="7" s="1"/>
  <c r="Y719" i="7" s="1"/>
  <c r="AA209" i="1"/>
  <c r="AA541" i="7" s="1"/>
  <c r="AC209" i="1"/>
  <c r="AE209" i="1"/>
  <c r="H209" i="1"/>
  <c r="J209" i="1"/>
  <c r="J541" i="7" s="1"/>
  <c r="L209" i="1"/>
  <c r="L541" i="7" s="1"/>
  <c r="N209" i="1"/>
  <c r="N541" i="7" s="1"/>
  <c r="N554" i="7" s="1"/>
  <c r="H231" i="1"/>
  <c r="H216" i="8" s="1"/>
  <c r="J231" i="1"/>
  <c r="J216" i="8" s="1"/>
  <c r="J768" i="7" s="1"/>
  <c r="J772" i="7" s="1"/>
  <c r="J773" i="7" s="1"/>
  <c r="J774" i="7" s="1"/>
  <c r="L231" i="1"/>
  <c r="L216" i="8" s="1"/>
  <c r="N231" i="1"/>
  <c r="N216" i="8" s="1"/>
  <c r="AY11" i="6" s="1"/>
  <c r="P231" i="1"/>
  <c r="P216" i="8" s="1"/>
  <c r="P768" i="7" s="1"/>
  <c r="R231" i="1"/>
  <c r="R216" i="8" s="1"/>
  <c r="T231" i="1"/>
  <c r="T216" i="8" s="1"/>
  <c r="T218" i="8" s="1"/>
  <c r="V231" i="1"/>
  <c r="V216" i="8" s="1"/>
  <c r="V768" i="7" s="1"/>
  <c r="X231" i="1"/>
  <c r="X216" i="8" s="1"/>
  <c r="X233" i="8" s="1"/>
  <c r="Z231" i="1"/>
  <c r="Z216" i="8" s="1"/>
  <c r="AB231" i="1"/>
  <c r="AB216" i="8" s="1"/>
  <c r="AD231" i="1"/>
  <c r="AF231" i="1"/>
  <c r="G242" i="1"/>
  <c r="G204" i="7" s="1"/>
  <c r="I242" i="1"/>
  <c r="I204" i="7" s="1"/>
  <c r="K242" i="1"/>
  <c r="M242" i="1"/>
  <c r="M204" i="7" s="1"/>
  <c r="AS30" i="6" s="1"/>
  <c r="O242" i="1"/>
  <c r="O204" i="7" s="1"/>
  <c r="Q242" i="1"/>
  <c r="Q204" i="7" s="1"/>
  <c r="S242" i="1"/>
  <c r="S204" i="7" s="1"/>
  <c r="S777" i="7" s="1"/>
  <c r="U242" i="1"/>
  <c r="U204" i="7" s="1"/>
  <c r="U224" i="7" s="1"/>
  <c r="W242" i="1"/>
  <c r="W204" i="7" s="1"/>
  <c r="Y242" i="1"/>
  <c r="Y204" i="7" s="1"/>
  <c r="AA242" i="1"/>
  <c r="AA204" i="7" s="1"/>
  <c r="AC242" i="1"/>
  <c r="AE242" i="1"/>
  <c r="G246" i="1"/>
  <c r="G258" i="7" s="1"/>
  <c r="I246" i="1"/>
  <c r="I258" i="7" s="1"/>
  <c r="K246" i="1"/>
  <c r="K258" i="7" s="1"/>
  <c r="M246" i="1"/>
  <c r="M258" i="7" s="1"/>
  <c r="M284" i="7" s="1"/>
  <c r="O246" i="1"/>
  <c r="O258" i="7" s="1"/>
  <c r="Q246" i="1"/>
  <c r="Q258" i="7" s="1"/>
  <c r="Q284" i="7" s="1"/>
  <c r="S246" i="1"/>
  <c r="S258" i="7" s="1"/>
  <c r="S284" i="7" s="1"/>
  <c r="U246" i="1"/>
  <c r="U258" i="7" s="1"/>
  <c r="U284" i="7" s="1"/>
  <c r="W246" i="1"/>
  <c r="W258" i="7" s="1"/>
  <c r="Y246" i="1"/>
  <c r="Y258" i="7" s="1"/>
  <c r="Y284" i="7" s="1"/>
  <c r="AA246" i="1"/>
  <c r="AA258" i="7" s="1"/>
  <c r="AC246" i="1"/>
  <c r="AE246" i="1"/>
  <c r="G250" i="1"/>
  <c r="G301" i="7" s="1"/>
  <c r="I250" i="1"/>
  <c r="I301" i="7" s="1"/>
  <c r="K250" i="1"/>
  <c r="K301" i="7" s="1"/>
  <c r="M250" i="1"/>
  <c r="M301" i="7" s="1"/>
  <c r="O250" i="1"/>
  <c r="O301" i="7" s="1"/>
  <c r="Q250" i="1"/>
  <c r="Q301" i="7" s="1"/>
  <c r="Q780" i="7" s="1"/>
  <c r="S250" i="1"/>
  <c r="S301" i="7" s="1"/>
  <c r="S780" i="7" s="1"/>
  <c r="U250" i="1"/>
  <c r="U301" i="7" s="1"/>
  <c r="U316" i="7" s="1"/>
  <c r="W250" i="1"/>
  <c r="W301" i="7" s="1"/>
  <c r="W780" i="7" s="1"/>
  <c r="Y250" i="1"/>
  <c r="Y301" i="7" s="1"/>
  <c r="Y780" i="7" s="1"/>
  <c r="AA250" i="1"/>
  <c r="AA301" i="7" s="1"/>
  <c r="AC250" i="1"/>
  <c r="AE250" i="1"/>
  <c r="G254" i="1"/>
  <c r="G329" i="7" s="1"/>
  <c r="I254" i="1"/>
  <c r="K254" i="1"/>
  <c r="K329" i="7" s="1"/>
  <c r="M254" i="1"/>
  <c r="M329" i="7" s="1"/>
  <c r="AS28" i="6" s="1"/>
  <c r="O254" i="1"/>
  <c r="O329" i="7" s="1"/>
  <c r="BE28" i="6" s="1"/>
  <c r="Q254" i="1"/>
  <c r="Q329" i="7" s="1"/>
  <c r="S254" i="1"/>
  <c r="S329" i="7" s="1"/>
  <c r="U254" i="1"/>
  <c r="U329" i="7" s="1"/>
  <c r="CO28" i="6" s="1"/>
  <c r="W254" i="1"/>
  <c r="W329" i="7" s="1"/>
  <c r="DA28" i="6" s="1"/>
  <c r="Y254" i="1"/>
  <c r="Y329" i="7" s="1"/>
  <c r="AA254" i="1"/>
  <c r="AA329" i="7" s="1"/>
  <c r="AC254" i="1"/>
  <c r="AE254" i="1"/>
  <c r="O620" i="7"/>
  <c r="O621" i="7" s="1"/>
  <c r="Q620" i="7"/>
  <c r="Q621" i="7" s="1"/>
  <c r="S620" i="7"/>
  <c r="S621" i="7" s="1"/>
  <c r="J259" i="17"/>
  <c r="I260" i="17" s="1"/>
  <c r="I263" i="17"/>
  <c r="I15" i="17" s="1"/>
  <c r="L296" i="17"/>
  <c r="BQ176" i="17"/>
  <c r="BU176" i="17"/>
  <c r="BY176" i="17"/>
  <c r="CC176" i="17"/>
  <c r="J167" i="17"/>
  <c r="I168" i="17" s="1"/>
  <c r="I179" i="17"/>
  <c r="M179" i="17"/>
  <c r="Q179" i="17"/>
  <c r="U179" i="17"/>
  <c r="Y179" i="17"/>
  <c r="AC179" i="17"/>
  <c r="AG179" i="17"/>
  <c r="AK179" i="17"/>
  <c r="AO179" i="17"/>
  <c r="AS179" i="17"/>
  <c r="AW179" i="17"/>
  <c r="BA179" i="17"/>
  <c r="BE179" i="17"/>
  <c r="BI179" i="17"/>
  <c r="BM179" i="17"/>
  <c r="BQ179" i="17"/>
  <c r="BU179" i="17"/>
  <c r="BY179" i="17"/>
  <c r="CC179" i="17"/>
  <c r="H36" i="1"/>
  <c r="H28" i="12" s="1"/>
  <c r="N68" i="17" s="1"/>
  <c r="J36" i="1"/>
  <c r="J28" i="12" s="1"/>
  <c r="L36" i="1"/>
  <c r="L28" i="12" s="1"/>
  <c r="AD68" i="17" s="1"/>
  <c r="N36" i="1"/>
  <c r="N28" i="12" s="1"/>
  <c r="P36" i="1"/>
  <c r="P28" i="12" s="1"/>
  <c r="AT68" i="17" s="1"/>
  <c r="R36" i="1"/>
  <c r="R28" i="12" s="1"/>
  <c r="T36" i="1"/>
  <c r="T28" i="12" s="1"/>
  <c r="BJ68" i="17" s="1"/>
  <c r="V36" i="1"/>
  <c r="V28" i="12" s="1"/>
  <c r="X36" i="1"/>
  <c r="X28" i="12" s="1"/>
  <c r="BZ68" i="17" s="1"/>
  <c r="Z36" i="1"/>
  <c r="Z28" i="12" s="1"/>
  <c r="AB36" i="1"/>
  <c r="AB28" i="12" s="1"/>
  <c r="CP68" i="17" s="1"/>
  <c r="AD36" i="1"/>
  <c r="AF36" i="1"/>
  <c r="G77" i="1"/>
  <c r="G211" i="12" s="1"/>
  <c r="I77" i="1"/>
  <c r="I211" i="12" s="1"/>
  <c r="K77" i="1"/>
  <c r="K211" i="12" s="1"/>
  <c r="M77" i="1"/>
  <c r="M211" i="12" s="1"/>
  <c r="M213" i="12" s="1"/>
  <c r="O77" i="1"/>
  <c r="O211" i="12" s="1"/>
  <c r="Q77" i="1"/>
  <c r="Q211" i="12" s="1"/>
  <c r="S77" i="1"/>
  <c r="S211" i="12" s="1"/>
  <c r="U77" i="1"/>
  <c r="U211" i="12" s="1"/>
  <c r="W77" i="1"/>
  <c r="W211" i="12" s="1"/>
  <c r="Y77" i="1"/>
  <c r="Y211" i="12" s="1"/>
  <c r="AA77" i="1"/>
  <c r="AA211" i="12" s="1"/>
  <c r="C141" i="2" s="1"/>
  <c r="AT141" i="2" s="1"/>
  <c r="AC77" i="1"/>
  <c r="AC211" i="12" s="1"/>
  <c r="AE77" i="1"/>
  <c r="AB484" i="7"/>
  <c r="AC484" i="7" s="1"/>
  <c r="AB497" i="7"/>
  <c r="AB498" i="7"/>
  <c r="P209" i="1"/>
  <c r="P541" i="7" s="1"/>
  <c r="P719" i="7" s="1"/>
  <c r="R209" i="1"/>
  <c r="R541" i="7" s="1"/>
  <c r="R719" i="7" s="1"/>
  <c r="DK119" i="11"/>
  <c r="AB223" i="8"/>
  <c r="AB418" i="7"/>
  <c r="AB421" i="7"/>
  <c r="AB494" i="7"/>
  <c r="AB495" i="7"/>
  <c r="T209" i="1"/>
  <c r="T541" i="7" s="1"/>
  <c r="T554" i="7" s="1"/>
  <c r="V209" i="1"/>
  <c r="V541" i="7" s="1"/>
  <c r="CR47" i="6" s="1"/>
  <c r="X209" i="1"/>
  <c r="X541" i="7" s="1"/>
  <c r="X719" i="7" s="1"/>
  <c r="Z209" i="1"/>
  <c r="Z541" i="7" s="1"/>
  <c r="AB209" i="1"/>
  <c r="AB541" i="7" s="1"/>
  <c r="AD209" i="1"/>
  <c r="AF209" i="1"/>
  <c r="G231" i="1"/>
  <c r="G216" i="8" s="1"/>
  <c r="I231" i="1"/>
  <c r="I216" i="8" s="1"/>
  <c r="I768" i="7" s="1"/>
  <c r="I772" i="7" s="1"/>
  <c r="K231" i="1"/>
  <c r="K216" i="8" s="1"/>
  <c r="M231" i="1"/>
  <c r="M216" i="8" s="1"/>
  <c r="AS11" i="6" s="1"/>
  <c r="O231" i="1"/>
  <c r="O216" i="8" s="1"/>
  <c r="Q231" i="1"/>
  <c r="Q216" i="8" s="1"/>
  <c r="Q768" i="7" s="1"/>
  <c r="S231" i="1"/>
  <c r="S216" i="8" s="1"/>
  <c r="S233" i="8" s="1"/>
  <c r="U231" i="1"/>
  <c r="U216" i="8" s="1"/>
  <c r="CO11" i="6" s="1"/>
  <c r="W231" i="1"/>
  <c r="W216" i="8" s="1"/>
  <c r="Y231" i="1"/>
  <c r="Y216" i="8" s="1"/>
  <c r="Y768" i="7" s="1"/>
  <c r="AA231" i="1"/>
  <c r="AA216" i="8" s="1"/>
  <c r="AA768" i="7" s="1"/>
  <c r="AC231" i="1"/>
  <c r="AE231" i="1"/>
  <c r="H242" i="1"/>
  <c r="J242" i="1"/>
  <c r="J204" i="7" s="1"/>
  <c r="L242" i="1"/>
  <c r="L204" i="7" s="1"/>
  <c r="L224" i="7" s="1"/>
  <c r="N242" i="1"/>
  <c r="N204" i="7" s="1"/>
  <c r="P242" i="1"/>
  <c r="P204" i="7" s="1"/>
  <c r="P777" i="7" s="1"/>
  <c r="R242" i="1"/>
  <c r="R204" i="7" s="1"/>
  <c r="BW30" i="6" s="1"/>
  <c r="BW79" i="6" s="1"/>
  <c r="T242" i="1"/>
  <c r="T204" i="7" s="1"/>
  <c r="CI30" i="6" s="1"/>
  <c r="V242" i="1"/>
  <c r="V204" i="7" s="1"/>
  <c r="X242" i="1"/>
  <c r="X204" i="7" s="1"/>
  <c r="X224" i="7" s="1"/>
  <c r="Z242" i="1"/>
  <c r="Z204" i="7" s="1"/>
  <c r="Z224" i="7" s="1"/>
  <c r="AB242" i="1"/>
  <c r="AB204" i="7" s="1"/>
  <c r="AD242" i="1"/>
  <c r="AF242" i="1"/>
  <c r="H246" i="1"/>
  <c r="H258" i="7" s="1"/>
  <c r="J246" i="1"/>
  <c r="J258" i="7" s="1"/>
  <c r="L246" i="1"/>
  <c r="L258" i="7" s="1"/>
  <c r="N246" i="1"/>
  <c r="N258" i="7" s="1"/>
  <c r="N284" i="7" s="1"/>
  <c r="P246" i="1"/>
  <c r="P258" i="7" s="1"/>
  <c r="BK24" i="6" s="1"/>
  <c r="BK73" i="6" s="1"/>
  <c r="R246" i="1"/>
  <c r="R258" i="7" s="1"/>
  <c r="BW24" i="6" s="1"/>
  <c r="BW73" i="6" s="1"/>
  <c r="T246" i="1"/>
  <c r="T258" i="7" s="1"/>
  <c r="V246" i="1"/>
  <c r="V258" i="7" s="1"/>
  <c r="CU24" i="6" s="1"/>
  <c r="X246" i="1"/>
  <c r="X258" i="7" s="1"/>
  <c r="X284" i="7" s="1"/>
  <c r="Z246" i="1"/>
  <c r="Z258" i="7" s="1"/>
  <c r="Z779" i="7" s="1"/>
  <c r="AB246" i="1"/>
  <c r="AB258" i="7" s="1"/>
  <c r="AD246" i="1"/>
  <c r="AF246" i="1"/>
  <c r="H250" i="1"/>
  <c r="H301" i="7" s="1"/>
  <c r="J250" i="1"/>
  <c r="J301" i="7" s="1"/>
  <c r="L250" i="1"/>
  <c r="L301" i="7" s="1"/>
  <c r="L316" i="7" s="1"/>
  <c r="N250" i="1"/>
  <c r="N301" i="7" s="1"/>
  <c r="N780" i="7" s="1"/>
  <c r="P250" i="1"/>
  <c r="P301" i="7" s="1"/>
  <c r="R250" i="1"/>
  <c r="R301" i="7" s="1"/>
  <c r="T250" i="1"/>
  <c r="T301" i="7" s="1"/>
  <c r="T316" i="7" s="1"/>
  <c r="V250" i="1"/>
  <c r="V301" i="7" s="1"/>
  <c r="V303" i="7" s="1"/>
  <c r="X250" i="1"/>
  <c r="X301" i="7" s="1"/>
  <c r="X780" i="7" s="1"/>
  <c r="Z250" i="1"/>
  <c r="Z301" i="7" s="1"/>
  <c r="AB250" i="1"/>
  <c r="AB301" i="7" s="1"/>
  <c r="AD250" i="1"/>
  <c r="AF250" i="1"/>
  <c r="H254" i="1"/>
  <c r="H329" i="7" s="1"/>
  <c r="J254" i="1"/>
  <c r="L254" i="1"/>
  <c r="L329" i="7" s="1"/>
  <c r="AM28" i="6" s="1"/>
  <c r="N254" i="1"/>
  <c r="N329" i="7" s="1"/>
  <c r="AY28" i="6" s="1"/>
  <c r="P254" i="1"/>
  <c r="P329" i="7" s="1"/>
  <c r="R254" i="1"/>
  <c r="R329" i="7" s="1"/>
  <c r="R778" i="7" s="1"/>
  <c r="T254" i="1"/>
  <c r="T329" i="7" s="1"/>
  <c r="T778" i="7" s="1"/>
  <c r="V254" i="1"/>
  <c r="V329" i="7" s="1"/>
  <c r="X254" i="1"/>
  <c r="X329" i="7" s="1"/>
  <c r="Z254" i="1"/>
  <c r="Z329" i="7" s="1"/>
  <c r="Z348" i="7" s="1"/>
  <c r="AB254" i="1"/>
  <c r="AD254" i="1"/>
  <c r="AF254" i="1"/>
  <c r="G322" i="12"/>
  <c r="H113" i="8"/>
  <c r="J113" i="8"/>
  <c r="L113" i="8"/>
  <c r="N113" i="8"/>
  <c r="P113" i="8"/>
  <c r="R113" i="8"/>
  <c r="T113" i="8"/>
  <c r="V113" i="8"/>
  <c r="X113" i="8"/>
  <c r="Z113" i="8"/>
  <c r="J76" i="17"/>
  <c r="L76" i="17"/>
  <c r="N76" i="17"/>
  <c r="P76" i="17"/>
  <c r="R76" i="17"/>
  <c r="T76" i="17"/>
  <c r="V76" i="17"/>
  <c r="X76" i="17"/>
  <c r="Z76" i="17"/>
  <c r="AB76" i="17"/>
  <c r="AD76" i="17"/>
  <c r="AF76" i="17"/>
  <c r="AH76" i="17"/>
  <c r="AJ76" i="17"/>
  <c r="AL76" i="17"/>
  <c r="AN76" i="17"/>
  <c r="AP76" i="17"/>
  <c r="AR76" i="17"/>
  <c r="AT76" i="17"/>
  <c r="AV76" i="17"/>
  <c r="AX76" i="17"/>
  <c r="AZ76" i="17"/>
  <c r="BB76" i="17"/>
  <c r="BD76" i="17"/>
  <c r="BF76" i="17"/>
  <c r="BH76" i="17"/>
  <c r="H79" i="17"/>
  <c r="J79" i="17"/>
  <c r="L79" i="17"/>
  <c r="N79" i="17"/>
  <c r="P79" i="17"/>
  <c r="R79" i="17"/>
  <c r="T79" i="17"/>
  <c r="V79" i="17"/>
  <c r="X79" i="17"/>
  <c r="Z79" i="17"/>
  <c r="AB79" i="17"/>
  <c r="AD79" i="17"/>
  <c r="AF79" i="17"/>
  <c r="AH79" i="17"/>
  <c r="AJ79" i="17"/>
  <c r="AL79" i="17"/>
  <c r="AN79" i="17"/>
  <c r="AP79" i="17"/>
  <c r="AR79" i="17"/>
  <c r="AT79" i="17"/>
  <c r="AV79" i="17"/>
  <c r="AX79" i="17"/>
  <c r="AZ79" i="17"/>
  <c r="BB79" i="17"/>
  <c r="BD79" i="17"/>
  <c r="BF79" i="17"/>
  <c r="BH79" i="17"/>
  <c r="H82" i="17"/>
  <c r="J82" i="17"/>
  <c r="L82" i="17"/>
  <c r="N82" i="17"/>
  <c r="P82" i="17"/>
  <c r="R82" i="17"/>
  <c r="T82" i="17"/>
  <c r="V82" i="17"/>
  <c r="X82" i="17"/>
  <c r="Z82" i="17"/>
  <c r="AB82" i="17"/>
  <c r="AD82" i="17"/>
  <c r="AF82" i="17"/>
  <c r="AH82" i="17"/>
  <c r="AJ82" i="17"/>
  <c r="AL82" i="17"/>
  <c r="AN82" i="17"/>
  <c r="AP82" i="17"/>
  <c r="AR82" i="17"/>
  <c r="AT82" i="17"/>
  <c r="AV82" i="17"/>
  <c r="AX82" i="17"/>
  <c r="AZ82" i="17"/>
  <c r="BB82" i="17"/>
  <c r="H233" i="17"/>
  <c r="J233" i="17"/>
  <c r="L233" i="17"/>
  <c r="N233" i="17"/>
  <c r="AB35" i="8"/>
  <c r="AP43" i="17"/>
  <c r="O52" i="12"/>
  <c r="O16" i="12"/>
  <c r="AX43" i="17"/>
  <c r="Q52" i="12"/>
  <c r="Q16" i="12"/>
  <c r="BF43" i="17"/>
  <c r="S52" i="12"/>
  <c r="S16" i="12"/>
  <c r="BN43" i="17"/>
  <c r="U52" i="12"/>
  <c r="U16" i="12"/>
  <c r="BV43" i="17"/>
  <c r="W52" i="12"/>
  <c r="W16" i="12"/>
  <c r="CD43" i="17"/>
  <c r="Y52" i="12"/>
  <c r="Y16" i="12"/>
  <c r="CL43" i="17"/>
  <c r="AA52" i="12"/>
  <c r="AA16" i="12"/>
  <c r="H35" i="12"/>
  <c r="L58" i="11" s="1"/>
  <c r="J35" i="12"/>
  <c r="V58" i="11" s="1"/>
  <c r="L35" i="12"/>
  <c r="AF58" i="11" s="1"/>
  <c r="N35" i="12"/>
  <c r="AP58" i="11" s="1"/>
  <c r="P35" i="12"/>
  <c r="AZ58" i="11" s="1"/>
  <c r="R35" i="12"/>
  <c r="BJ58" i="11" s="1"/>
  <c r="T35" i="12"/>
  <c r="BT58" i="11" s="1"/>
  <c r="V35" i="12"/>
  <c r="CD58" i="11" s="1"/>
  <c r="X35" i="12"/>
  <c r="CN58" i="11" s="1"/>
  <c r="Z35" i="12"/>
  <c r="CX58" i="11" s="1"/>
  <c r="AB35" i="12"/>
  <c r="DH58" i="11" s="1"/>
  <c r="I36" i="12"/>
  <c r="Q59" i="11" s="1"/>
  <c r="K36" i="12"/>
  <c r="AA59" i="11" s="1"/>
  <c r="M36" i="12"/>
  <c r="AK59" i="11" s="1"/>
  <c r="O36" i="12"/>
  <c r="AU59" i="11" s="1"/>
  <c r="Q36" i="12"/>
  <c r="BE59" i="11" s="1"/>
  <c r="S36" i="12"/>
  <c r="BO59" i="11" s="1"/>
  <c r="U36" i="12"/>
  <c r="BY59" i="11" s="1"/>
  <c r="W36" i="12"/>
  <c r="CI59" i="11" s="1"/>
  <c r="Y36" i="12"/>
  <c r="CS59" i="11" s="1"/>
  <c r="AA36" i="12"/>
  <c r="DC59" i="11" s="1"/>
  <c r="N65" i="17"/>
  <c r="N81" i="17" s="1"/>
  <c r="H37" i="12"/>
  <c r="V65" i="17"/>
  <c r="J37" i="12"/>
  <c r="AD65" i="17"/>
  <c r="L37" i="12"/>
  <c r="AL65" i="17"/>
  <c r="N37" i="12"/>
  <c r="AT65" i="17"/>
  <c r="P37" i="12"/>
  <c r="BB65" i="17"/>
  <c r="R37" i="12"/>
  <c r="BJ65" i="17"/>
  <c r="T37" i="12"/>
  <c r="BR65" i="17"/>
  <c r="V37" i="12"/>
  <c r="BZ65" i="17"/>
  <c r="X37" i="12"/>
  <c r="CH65" i="17"/>
  <c r="Z37" i="12"/>
  <c r="CP65" i="17"/>
  <c r="AB37" i="12"/>
  <c r="R62" i="17"/>
  <c r="I40" i="12"/>
  <c r="Q63" i="11" s="1"/>
  <c r="Z62" i="17"/>
  <c r="K40" i="12"/>
  <c r="AA63" i="11" s="1"/>
  <c r="AH62" i="17"/>
  <c r="M40" i="12"/>
  <c r="AK63" i="11" s="1"/>
  <c r="AP62" i="17"/>
  <c r="O40" i="12"/>
  <c r="AU63" i="11" s="1"/>
  <c r="AX62" i="17"/>
  <c r="Q40" i="12"/>
  <c r="BE63" i="11" s="1"/>
  <c r="BF62" i="17"/>
  <c r="S40" i="12"/>
  <c r="BO63" i="11" s="1"/>
  <c r="BN62" i="17"/>
  <c r="U40" i="12"/>
  <c r="BY63" i="11" s="1"/>
  <c r="BV62" i="17"/>
  <c r="W40" i="12"/>
  <c r="CI63" i="11" s="1"/>
  <c r="CD62" i="17"/>
  <c r="Y40" i="12"/>
  <c r="CS63" i="11" s="1"/>
  <c r="CL62" i="17"/>
  <c r="AA40" i="12"/>
  <c r="DC63" i="11" s="1"/>
  <c r="N73" i="17"/>
  <c r="H42" i="12"/>
  <c r="L9" i="11" s="1"/>
  <c r="H53" i="12"/>
  <c r="V73" i="17"/>
  <c r="J42" i="12"/>
  <c r="V9" i="11" s="1"/>
  <c r="J53" i="12"/>
  <c r="AD73" i="17"/>
  <c r="L42" i="12"/>
  <c r="AF9" i="11" s="1"/>
  <c r="L53" i="12"/>
  <c r="AL73" i="17"/>
  <c r="N42" i="12"/>
  <c r="AP9" i="11" s="1"/>
  <c r="N53" i="12"/>
  <c r="AT73" i="17"/>
  <c r="P42" i="12"/>
  <c r="AZ9" i="11" s="1"/>
  <c r="P53" i="12"/>
  <c r="BB73" i="17"/>
  <c r="R42" i="12"/>
  <c r="BJ9" i="11" s="1"/>
  <c r="R53" i="12"/>
  <c r="BJ73" i="17"/>
  <c r="T42" i="12"/>
  <c r="BT9" i="11" s="1"/>
  <c r="T53" i="12"/>
  <c r="BR73" i="17"/>
  <c r="V42" i="12"/>
  <c r="CD9" i="11" s="1"/>
  <c r="V53" i="12"/>
  <c r="BZ73" i="17"/>
  <c r="X42" i="12"/>
  <c r="CN9" i="11" s="1"/>
  <c r="X53" i="12"/>
  <c r="CH73" i="17"/>
  <c r="Z42" i="12"/>
  <c r="CX9" i="11" s="1"/>
  <c r="Z53" i="12"/>
  <c r="CP73" i="17"/>
  <c r="AB42" i="12"/>
  <c r="DH9" i="11" s="1"/>
  <c r="AB53" i="12"/>
  <c r="J126" i="17"/>
  <c r="G71" i="12"/>
  <c r="R126" i="17"/>
  <c r="I71" i="12"/>
  <c r="I67" i="12"/>
  <c r="Z126" i="17"/>
  <c r="K71" i="12"/>
  <c r="K67" i="12"/>
  <c r="AH126" i="17"/>
  <c r="M71" i="12"/>
  <c r="M67" i="12"/>
  <c r="AP126" i="17"/>
  <c r="O71" i="12"/>
  <c r="O67" i="12"/>
  <c r="AX126" i="17"/>
  <c r="Q71" i="12"/>
  <c r="Q67" i="12"/>
  <c r="BF126" i="17"/>
  <c r="S71" i="12"/>
  <c r="S67" i="12"/>
  <c r="BN126" i="17"/>
  <c r="U71" i="12"/>
  <c r="U67" i="12"/>
  <c r="BV126" i="17"/>
  <c r="W71" i="12"/>
  <c r="W67" i="12"/>
  <c r="CD126" i="17"/>
  <c r="Y71" i="12"/>
  <c r="Y67" i="12"/>
  <c r="CL126" i="17"/>
  <c r="AA71" i="12"/>
  <c r="AA67" i="12"/>
  <c r="N107" i="17"/>
  <c r="H61" i="12"/>
  <c r="L10" i="11" s="1"/>
  <c r="H70" i="12"/>
  <c r="V107" i="17"/>
  <c r="J61" i="12"/>
  <c r="V10" i="11" s="1"/>
  <c r="J70" i="12"/>
  <c r="AD107" i="17"/>
  <c r="L61" i="12"/>
  <c r="AF10" i="11" s="1"/>
  <c r="L70" i="12"/>
  <c r="AL107" i="17"/>
  <c r="N61" i="12"/>
  <c r="AP10" i="11" s="1"/>
  <c r="N70" i="12"/>
  <c r="AT107" i="17"/>
  <c r="P61" i="12"/>
  <c r="AZ10" i="11" s="1"/>
  <c r="P70" i="12"/>
  <c r="BB107" i="17"/>
  <c r="R61" i="12"/>
  <c r="BJ10" i="11" s="1"/>
  <c r="R70" i="12"/>
  <c r="BJ107" i="17"/>
  <c r="T61" i="12"/>
  <c r="BT10" i="11" s="1"/>
  <c r="T70" i="12"/>
  <c r="BR107" i="17"/>
  <c r="V61" i="12"/>
  <c r="CD10" i="11" s="1"/>
  <c r="V70" i="12"/>
  <c r="BZ107" i="17"/>
  <c r="X61" i="12"/>
  <c r="CN10" i="11" s="1"/>
  <c r="X70" i="12"/>
  <c r="CH107" i="17"/>
  <c r="Z61" i="12"/>
  <c r="CX10" i="11" s="1"/>
  <c r="Z70" i="12"/>
  <c r="CP107" i="17"/>
  <c r="AB61" i="12"/>
  <c r="DH10" i="11" s="1"/>
  <c r="AB70" i="12"/>
  <c r="J146" i="17"/>
  <c r="G92" i="12"/>
  <c r="R146" i="17"/>
  <c r="I92" i="12"/>
  <c r="I78" i="12"/>
  <c r="Q12" i="11" s="1"/>
  <c r="Z146" i="17"/>
  <c r="K92" i="12"/>
  <c r="K78" i="12"/>
  <c r="AA12" i="11" s="1"/>
  <c r="AH146" i="17"/>
  <c r="M92" i="12"/>
  <c r="M78" i="12"/>
  <c r="AK12" i="11" s="1"/>
  <c r="AP146" i="17"/>
  <c r="O92" i="12"/>
  <c r="O78" i="12"/>
  <c r="AU12" i="11" s="1"/>
  <c r="AX146" i="17"/>
  <c r="Q92" i="12"/>
  <c r="Q78" i="12"/>
  <c r="BE12" i="11" s="1"/>
  <c r="BF146" i="17"/>
  <c r="S92" i="12"/>
  <c r="S78" i="12"/>
  <c r="BO12" i="11" s="1"/>
  <c r="BN146" i="17"/>
  <c r="U92" i="12"/>
  <c r="U78" i="12"/>
  <c r="BY12" i="11" s="1"/>
  <c r="BV146" i="17"/>
  <c r="W74" i="12"/>
  <c r="W92" i="12"/>
  <c r="W78" i="12"/>
  <c r="CI12" i="11" s="1"/>
  <c r="CD146" i="17"/>
  <c r="Y74" i="12"/>
  <c r="Y92" i="12"/>
  <c r="Y78" i="12"/>
  <c r="CS12" i="11" s="1"/>
  <c r="CL146" i="17"/>
  <c r="AA74" i="12"/>
  <c r="AA92" i="12"/>
  <c r="AA78" i="12"/>
  <c r="DC12" i="11" s="1"/>
  <c r="N203" i="17"/>
  <c r="H122" i="12"/>
  <c r="H100" i="12"/>
  <c r="V203" i="17"/>
  <c r="J122" i="12"/>
  <c r="J100" i="12"/>
  <c r="AD203" i="17"/>
  <c r="L122" i="12"/>
  <c r="L100" i="12"/>
  <c r="AL203" i="17"/>
  <c r="N122" i="12"/>
  <c r="N100" i="12"/>
  <c r="AT203" i="17"/>
  <c r="P122" i="12"/>
  <c r="P100" i="12"/>
  <c r="BB203" i="17"/>
  <c r="R122" i="12"/>
  <c r="R100" i="12"/>
  <c r="BJ203" i="17"/>
  <c r="T122" i="12"/>
  <c r="T100" i="12"/>
  <c r="BR203" i="17"/>
  <c r="V122" i="12"/>
  <c r="V100" i="12"/>
  <c r="BZ203" i="17"/>
  <c r="X122" i="12"/>
  <c r="X100" i="12"/>
  <c r="CH203" i="17"/>
  <c r="Z122" i="12"/>
  <c r="Z100" i="12"/>
  <c r="CP203" i="17"/>
  <c r="AB122" i="12"/>
  <c r="AB100" i="12"/>
  <c r="J165" i="17"/>
  <c r="G114" i="12"/>
  <c r="R165" i="17"/>
  <c r="I114" i="12"/>
  <c r="I88" i="12"/>
  <c r="Q87" i="11" s="1"/>
  <c r="Z165" i="17"/>
  <c r="K114" i="12"/>
  <c r="K88" i="12"/>
  <c r="AA87" i="11" s="1"/>
  <c r="AH165" i="17"/>
  <c r="M114" i="12"/>
  <c r="M88" i="12"/>
  <c r="AK87" i="11" s="1"/>
  <c r="AP165" i="17"/>
  <c r="O114" i="12"/>
  <c r="O88" i="12"/>
  <c r="AU87" i="11" s="1"/>
  <c r="AX165" i="17"/>
  <c r="Q114" i="12"/>
  <c r="Q88" i="12"/>
  <c r="BE87" i="11" s="1"/>
  <c r="BF165" i="17"/>
  <c r="S114" i="12"/>
  <c r="S88" i="12"/>
  <c r="BO87" i="11" s="1"/>
  <c r="BN165" i="17"/>
  <c r="U114" i="12"/>
  <c r="U88" i="12"/>
  <c r="BY87" i="11" s="1"/>
  <c r="BV165" i="17"/>
  <c r="W114" i="12"/>
  <c r="W88" i="12"/>
  <c r="CI87" i="11" s="1"/>
  <c r="CD165" i="17"/>
  <c r="Y114" i="12"/>
  <c r="Y88" i="12"/>
  <c r="CS87" i="11" s="1"/>
  <c r="CL165" i="17"/>
  <c r="AA114" i="12"/>
  <c r="AA88" i="12"/>
  <c r="DC87" i="11" s="1"/>
  <c r="N168" i="17"/>
  <c r="N181" i="17" s="1"/>
  <c r="H87" i="12"/>
  <c r="L86" i="11" s="1"/>
  <c r="V168" i="17"/>
  <c r="J87" i="12"/>
  <c r="V86" i="11" s="1"/>
  <c r="AD168" i="17"/>
  <c r="L87" i="12"/>
  <c r="AF86" i="11" s="1"/>
  <c r="AL168" i="17"/>
  <c r="N87" i="12"/>
  <c r="AP86" i="11" s="1"/>
  <c r="AT168" i="17"/>
  <c r="P87" i="12"/>
  <c r="AZ86" i="11" s="1"/>
  <c r="BB168" i="17"/>
  <c r="R87" i="12"/>
  <c r="BJ86" i="11" s="1"/>
  <c r="BJ168" i="17"/>
  <c r="T87" i="12"/>
  <c r="BT86" i="11" s="1"/>
  <c r="BR168" i="17"/>
  <c r="V87" i="12"/>
  <c r="CD86" i="11" s="1"/>
  <c r="BZ168" i="17"/>
  <c r="X87" i="12"/>
  <c r="CN86" i="11" s="1"/>
  <c r="CH168" i="17"/>
  <c r="Z87" i="12"/>
  <c r="CX86" i="11" s="1"/>
  <c r="CP168" i="17"/>
  <c r="AB87" i="12"/>
  <c r="DH86" i="11" s="1"/>
  <c r="J173" i="17"/>
  <c r="G115" i="12"/>
  <c r="G93" i="12"/>
  <c r="R173" i="17"/>
  <c r="I115" i="12"/>
  <c r="I93" i="12"/>
  <c r="I89" i="12"/>
  <c r="Z173" i="17"/>
  <c r="K115" i="12"/>
  <c r="K93" i="12"/>
  <c r="K89" i="12"/>
  <c r="AH173" i="17"/>
  <c r="M115" i="12"/>
  <c r="M93" i="12"/>
  <c r="M89" i="12"/>
  <c r="AP173" i="17"/>
  <c r="O115" i="12"/>
  <c r="O93" i="12"/>
  <c r="O89" i="12"/>
  <c r="AX173" i="17"/>
  <c r="Q115" i="12"/>
  <c r="Q93" i="12"/>
  <c r="Q89" i="12"/>
  <c r="BF173" i="17"/>
  <c r="S115" i="12"/>
  <c r="S93" i="12"/>
  <c r="S89" i="12"/>
  <c r="BN173" i="17"/>
  <c r="U115" i="12"/>
  <c r="U93" i="12"/>
  <c r="U89" i="12"/>
  <c r="BV173" i="17"/>
  <c r="W115" i="12"/>
  <c r="W93" i="12"/>
  <c r="W89" i="12"/>
  <c r="CD173" i="17"/>
  <c r="Y115" i="12"/>
  <c r="Y93" i="12"/>
  <c r="Y89" i="12"/>
  <c r="CL173" i="17"/>
  <c r="AA115" i="12"/>
  <c r="AA93" i="12"/>
  <c r="AA89" i="12"/>
  <c r="N222" i="17"/>
  <c r="H110" i="12"/>
  <c r="L102" i="11" s="1"/>
  <c r="V222" i="17"/>
  <c r="J110" i="12"/>
  <c r="V102" i="11" s="1"/>
  <c r="AD222" i="17"/>
  <c r="L110" i="12"/>
  <c r="AF102" i="11" s="1"/>
  <c r="AL222" i="17"/>
  <c r="N110" i="12"/>
  <c r="AP102" i="11" s="1"/>
  <c r="AT222" i="17"/>
  <c r="P110" i="12"/>
  <c r="AZ102" i="11" s="1"/>
  <c r="BB222" i="17"/>
  <c r="R110" i="12"/>
  <c r="BJ102" i="11" s="1"/>
  <c r="BJ222" i="17"/>
  <c r="T110" i="12"/>
  <c r="BT102" i="11" s="1"/>
  <c r="BR222" i="17"/>
  <c r="V110" i="12"/>
  <c r="CD102" i="11" s="1"/>
  <c r="BZ222" i="17"/>
  <c r="X110" i="12"/>
  <c r="CN102" i="11" s="1"/>
  <c r="CH222" i="17"/>
  <c r="Z110" i="12"/>
  <c r="CX102" i="11" s="1"/>
  <c r="CP222" i="17"/>
  <c r="AB110" i="12"/>
  <c r="DH102" i="11" s="1"/>
  <c r="R225" i="17"/>
  <c r="I109" i="12"/>
  <c r="Q101" i="11" s="1"/>
  <c r="Z225" i="17"/>
  <c r="K109" i="12"/>
  <c r="AA101" i="11" s="1"/>
  <c r="AH225" i="17"/>
  <c r="M109" i="12"/>
  <c r="AK101" i="11" s="1"/>
  <c r="AP225" i="17"/>
  <c r="O109" i="12"/>
  <c r="AU101" i="11" s="1"/>
  <c r="AX225" i="17"/>
  <c r="Q109" i="12"/>
  <c r="BE101" i="11" s="1"/>
  <c r="BF225" i="17"/>
  <c r="S109" i="12"/>
  <c r="BO101" i="11" s="1"/>
  <c r="BN225" i="17"/>
  <c r="U109" i="12"/>
  <c r="BY101" i="11" s="1"/>
  <c r="BV225" i="17"/>
  <c r="W109" i="12"/>
  <c r="CI101" i="11" s="1"/>
  <c r="CD225" i="17"/>
  <c r="Y109" i="12"/>
  <c r="CS101" i="11" s="1"/>
  <c r="CL225" i="17"/>
  <c r="AA109" i="12"/>
  <c r="DC101" i="11" s="1"/>
  <c r="N230" i="17"/>
  <c r="H123" i="12"/>
  <c r="H111" i="12"/>
  <c r="V230" i="17"/>
  <c r="J123" i="12"/>
  <c r="J111" i="12"/>
  <c r="AD230" i="17"/>
  <c r="L123" i="12"/>
  <c r="L111" i="12"/>
  <c r="AL230" i="17"/>
  <c r="N123" i="12"/>
  <c r="N111" i="12"/>
  <c r="AT230" i="17"/>
  <c r="P123" i="12"/>
  <c r="P111" i="12"/>
  <c r="BB230" i="17"/>
  <c r="R123" i="12"/>
  <c r="R111" i="12"/>
  <c r="BJ230" i="17"/>
  <c r="T123" i="12"/>
  <c r="T111" i="12"/>
  <c r="BR230" i="17"/>
  <c r="V123" i="12"/>
  <c r="V111" i="12"/>
  <c r="BZ230" i="17"/>
  <c r="X123" i="12"/>
  <c r="X111" i="12"/>
  <c r="CH230" i="17"/>
  <c r="Z123" i="12"/>
  <c r="Z111" i="12"/>
  <c r="CP230" i="17"/>
  <c r="AB123" i="12"/>
  <c r="AB111" i="12"/>
  <c r="DH15" i="11" s="1"/>
  <c r="I243" i="8"/>
  <c r="I162" i="12"/>
  <c r="Q119" i="11" s="1"/>
  <c r="R119" i="11" s="1"/>
  <c r="I179" i="12" s="1"/>
  <c r="K243" i="8"/>
  <c r="K162" i="12"/>
  <c r="AA119" i="11" s="1"/>
  <c r="AB119" i="11" s="1"/>
  <c r="K179" i="12" s="1"/>
  <c r="M243" i="8"/>
  <c r="M162" i="12"/>
  <c r="AK119" i="11" s="1"/>
  <c r="AL119" i="11" s="1"/>
  <c r="O243" i="8"/>
  <c r="O162" i="12"/>
  <c r="AU119" i="11" s="1"/>
  <c r="AV119" i="11" s="1"/>
  <c r="Q243" i="8"/>
  <c r="Q162" i="12"/>
  <c r="BE119" i="11" s="1"/>
  <c r="BF119" i="11" s="1"/>
  <c r="Q179" i="12" s="1"/>
  <c r="S243" i="8"/>
  <c r="S162" i="12"/>
  <c r="BO119" i="11" s="1"/>
  <c r="BP119" i="11" s="1"/>
  <c r="U243" i="8"/>
  <c r="U162" i="12"/>
  <c r="BY119" i="11" s="1"/>
  <c r="BZ119" i="11" s="1"/>
  <c r="U179" i="12" s="1"/>
  <c r="W243" i="8"/>
  <c r="W162" i="12"/>
  <c r="CI119" i="11" s="1"/>
  <c r="CJ119" i="11" s="1"/>
  <c r="W179" i="12" s="1"/>
  <c r="Y243" i="8"/>
  <c r="Y162" i="12"/>
  <c r="CS119" i="11" s="1"/>
  <c r="CT119" i="11" s="1"/>
  <c r="AA243" i="8"/>
  <c r="AA162" i="12"/>
  <c r="DC119" i="11" s="1"/>
  <c r="DD119" i="11" s="1"/>
  <c r="AA179" i="12" s="1"/>
  <c r="N260" i="17"/>
  <c r="N265" i="17" s="1"/>
  <c r="H131" i="12"/>
  <c r="L17" i="11" s="1"/>
  <c r="L116" i="11" s="1"/>
  <c r="V260" i="17"/>
  <c r="J131" i="12"/>
  <c r="V17" i="11" s="1"/>
  <c r="V116" i="11" s="1"/>
  <c r="AD260" i="17"/>
  <c r="L131" i="12"/>
  <c r="AF17" i="11" s="1"/>
  <c r="AF116" i="11" s="1"/>
  <c r="F8" i="21"/>
  <c r="AL260" i="17"/>
  <c r="N131" i="12"/>
  <c r="H8" i="21"/>
  <c r="AT260" i="17"/>
  <c r="P131" i="12"/>
  <c r="J8" i="21"/>
  <c r="BB260" i="17"/>
  <c r="R131" i="12"/>
  <c r="L8" i="21"/>
  <c r="BJ260" i="17"/>
  <c r="T131" i="12"/>
  <c r="T120" i="12"/>
  <c r="U120" i="12" s="1"/>
  <c r="N8" i="21"/>
  <c r="BR260" i="17"/>
  <c r="V131" i="12"/>
  <c r="P8" i="21"/>
  <c r="BZ260" i="17"/>
  <c r="X131" i="12"/>
  <c r="R8" i="21"/>
  <c r="CH260" i="17"/>
  <c r="Z131" i="12"/>
  <c r="T8" i="21"/>
  <c r="CP260" i="17"/>
  <c r="AB131" i="12"/>
  <c r="AB71" i="8" s="1"/>
  <c r="F36" i="6"/>
  <c r="G388" i="12"/>
  <c r="G361" i="12"/>
  <c r="J7" i="11"/>
  <c r="G247" i="12"/>
  <c r="J35" i="11"/>
  <c r="R36" i="6"/>
  <c r="I388" i="12"/>
  <c r="I361" i="12"/>
  <c r="I188" i="12"/>
  <c r="T7" i="11"/>
  <c r="I247" i="12"/>
  <c r="T35" i="11"/>
  <c r="AD36" i="6"/>
  <c r="K388" i="12"/>
  <c r="K361" i="12"/>
  <c r="K188" i="12"/>
  <c r="AD7" i="11"/>
  <c r="K247" i="12"/>
  <c r="AD35" i="11"/>
  <c r="AP36" i="6"/>
  <c r="M388" i="12"/>
  <c r="M361" i="12"/>
  <c r="M188" i="12"/>
  <c r="M23" i="7" s="1"/>
  <c r="AN7" i="11"/>
  <c r="M247" i="12"/>
  <c r="AN35" i="11"/>
  <c r="BB36" i="6"/>
  <c r="O388" i="12"/>
  <c r="O361" i="12"/>
  <c r="O188" i="12"/>
  <c r="O23" i="7" s="1"/>
  <c r="AX7" i="11"/>
  <c r="O247" i="12"/>
  <c r="AX35" i="11"/>
  <c r="BN36" i="6"/>
  <c r="Q313" i="12"/>
  <c r="Q388" i="12"/>
  <c r="Q361" i="12"/>
  <c r="Q188" i="12"/>
  <c r="Q23" i="7" s="1"/>
  <c r="BH7" i="11"/>
  <c r="Q247" i="12"/>
  <c r="BH35" i="11"/>
  <c r="BZ36" i="6"/>
  <c r="S313" i="12"/>
  <c r="S307" i="12" s="1"/>
  <c r="S388" i="12"/>
  <c r="S361" i="12"/>
  <c r="S188" i="12"/>
  <c r="S23" i="7" s="1"/>
  <c r="BR7" i="11"/>
  <c r="S247" i="12"/>
  <c r="BR35" i="11"/>
  <c r="CL36" i="6"/>
  <c r="U313" i="12"/>
  <c r="U307" i="12" s="1"/>
  <c r="U388" i="12"/>
  <c r="U361" i="12"/>
  <c r="U188" i="12"/>
  <c r="U23" i="7" s="1"/>
  <c r="CB7" i="11"/>
  <c r="U247" i="12"/>
  <c r="CB35" i="11"/>
  <c r="CX36" i="6"/>
  <c r="W313" i="12"/>
  <c r="W307" i="12" s="1"/>
  <c r="W388" i="12"/>
  <c r="W361" i="12"/>
  <c r="W188" i="12"/>
  <c r="W23" i="7" s="1"/>
  <c r="CL7" i="11"/>
  <c r="W247" i="12"/>
  <c r="CL35" i="11"/>
  <c r="DJ36" i="6"/>
  <c r="Y313" i="12"/>
  <c r="Y307" i="12" s="1"/>
  <c r="Y388" i="12"/>
  <c r="Y361" i="12"/>
  <c r="Y188" i="12"/>
  <c r="Y23" i="7" s="1"/>
  <c r="CV7" i="11"/>
  <c r="Y247" i="12"/>
  <c r="CV35" i="11"/>
  <c r="D195" i="2"/>
  <c r="AU195" i="2" s="1"/>
  <c r="D136" i="2"/>
  <c r="AU136" i="2" s="1"/>
  <c r="DV36" i="6"/>
  <c r="AA313" i="12"/>
  <c r="AA307" i="12" s="1"/>
  <c r="AA388" i="12"/>
  <c r="AA361" i="12"/>
  <c r="AA188" i="12"/>
  <c r="AA23" i="7" s="1"/>
  <c r="DF7" i="11"/>
  <c r="AA247" i="12"/>
  <c r="DF35" i="11"/>
  <c r="H38" i="6"/>
  <c r="J48" i="11"/>
  <c r="T38" i="6"/>
  <c r="I198" i="12"/>
  <c r="T48" i="11"/>
  <c r="AF38" i="6"/>
  <c r="K198" i="12"/>
  <c r="AD48" i="11"/>
  <c r="AR38" i="6"/>
  <c r="M198" i="12"/>
  <c r="AN48" i="11"/>
  <c r="BD38" i="6"/>
  <c r="O198" i="12"/>
  <c r="AX48" i="11"/>
  <c r="BP38" i="6"/>
  <c r="Q198" i="12"/>
  <c r="BH48" i="11"/>
  <c r="CB38" i="6"/>
  <c r="S198" i="12"/>
  <c r="BR48" i="11"/>
  <c r="CN38" i="6"/>
  <c r="U198" i="12"/>
  <c r="CB48" i="11"/>
  <c r="CZ38" i="6"/>
  <c r="W198" i="12"/>
  <c r="CL48" i="11"/>
  <c r="DL38" i="6"/>
  <c r="Y198" i="12"/>
  <c r="CV48" i="11"/>
  <c r="D218" i="2"/>
  <c r="AU218" i="2" s="1"/>
  <c r="DX38" i="6"/>
  <c r="AA198" i="12"/>
  <c r="DF48" i="11"/>
  <c r="H394" i="12"/>
  <c r="H248" i="12"/>
  <c r="H199" i="12"/>
  <c r="O50" i="11"/>
  <c r="H194" i="12"/>
  <c r="O8" i="11"/>
  <c r="J394" i="12"/>
  <c r="J248" i="12"/>
  <c r="J199" i="12"/>
  <c r="Y50" i="11"/>
  <c r="J194" i="12"/>
  <c r="Y8" i="11"/>
  <c r="L394" i="12"/>
  <c r="L248" i="12"/>
  <c r="L199" i="12"/>
  <c r="AI50" i="11"/>
  <c r="L194" i="12"/>
  <c r="AI8" i="11"/>
  <c r="N394" i="12"/>
  <c r="N248" i="12"/>
  <c r="N199" i="12"/>
  <c r="AS50" i="11"/>
  <c r="N194" i="12"/>
  <c r="AS8" i="11"/>
  <c r="P394" i="12"/>
  <c r="P248" i="12"/>
  <c r="P199" i="12"/>
  <c r="BC50" i="11"/>
  <c r="P194" i="12"/>
  <c r="BC8" i="11"/>
  <c r="R394" i="12"/>
  <c r="R248" i="12"/>
  <c r="R199" i="12"/>
  <c r="BM50" i="11"/>
  <c r="R194" i="12"/>
  <c r="BM8" i="11"/>
  <c r="T394" i="12"/>
  <c r="T248" i="12"/>
  <c r="T199" i="12"/>
  <c r="BW50" i="11"/>
  <c r="T194" i="12"/>
  <c r="BW8" i="11"/>
  <c r="V394" i="12"/>
  <c r="V248" i="12"/>
  <c r="V199" i="12"/>
  <c r="CG50" i="11"/>
  <c r="V194" i="12"/>
  <c r="CG8" i="11"/>
  <c r="X394" i="12"/>
  <c r="X248" i="12"/>
  <c r="X199" i="12"/>
  <c r="CQ50" i="11"/>
  <c r="X194" i="12"/>
  <c r="CQ8" i="11"/>
  <c r="C137" i="2"/>
  <c r="AT137" i="2" s="1"/>
  <c r="Z394" i="12"/>
  <c r="Z248" i="12"/>
  <c r="Z199" i="12"/>
  <c r="DA50" i="11"/>
  <c r="Z194" i="12"/>
  <c r="DA8" i="11"/>
  <c r="AB394" i="12"/>
  <c r="AB248" i="12"/>
  <c r="AB199" i="12"/>
  <c r="DK50" i="11"/>
  <c r="AB194" i="12"/>
  <c r="DK8" i="11"/>
  <c r="DN8" i="11" s="1"/>
  <c r="N37" i="6"/>
  <c r="H197" i="12"/>
  <c r="H435" i="7" s="1"/>
  <c r="O47" i="11"/>
  <c r="Z37" i="6"/>
  <c r="J197" i="12"/>
  <c r="J435" i="7" s="1"/>
  <c r="Y47" i="11"/>
  <c r="AL37" i="6"/>
  <c r="L197" i="12"/>
  <c r="L435" i="7" s="1"/>
  <c r="AI47" i="11"/>
  <c r="AX37" i="6"/>
  <c r="N197" i="12"/>
  <c r="N435" i="7" s="1"/>
  <c r="AS47" i="11"/>
  <c r="BJ37" i="6"/>
  <c r="P197" i="12"/>
  <c r="P435" i="7" s="1"/>
  <c r="BC47" i="11"/>
  <c r="BV37" i="6"/>
  <c r="R197" i="12"/>
  <c r="R435" i="7" s="1"/>
  <c r="BM47" i="11"/>
  <c r="CH37" i="6"/>
  <c r="T197" i="12"/>
  <c r="T435" i="7" s="1"/>
  <c r="BW47" i="11"/>
  <c r="CT37" i="6"/>
  <c r="V197" i="12"/>
  <c r="V435" i="7" s="1"/>
  <c r="CG47" i="11"/>
  <c r="DF37" i="6"/>
  <c r="X197" i="12"/>
  <c r="X435" i="7" s="1"/>
  <c r="C219" i="2"/>
  <c r="AT219" i="2" s="1"/>
  <c r="DR37" i="6"/>
  <c r="Z197" i="12"/>
  <c r="Z435" i="7" s="1"/>
  <c r="ED37" i="6"/>
  <c r="AB197" i="12"/>
  <c r="AB435" i="7" s="1"/>
  <c r="G402" i="12"/>
  <c r="J58" i="11"/>
  <c r="I402" i="12"/>
  <c r="I218" i="12"/>
  <c r="T58" i="11"/>
  <c r="K402" i="12"/>
  <c r="K218" i="12"/>
  <c r="AD58" i="11"/>
  <c r="M402" i="12"/>
  <c r="M218" i="12"/>
  <c r="AN58" i="11"/>
  <c r="O402" i="12"/>
  <c r="O218" i="12"/>
  <c r="AX58" i="11"/>
  <c r="Q402" i="12"/>
  <c r="Q218" i="12"/>
  <c r="BH58" i="11"/>
  <c r="S402" i="12"/>
  <c r="S218" i="12"/>
  <c r="BR58" i="11"/>
  <c r="U402" i="12"/>
  <c r="U218" i="12"/>
  <c r="CB58" i="11"/>
  <c r="W402" i="12"/>
  <c r="W218" i="12"/>
  <c r="CL58" i="11"/>
  <c r="Y402" i="12"/>
  <c r="Y218" i="12"/>
  <c r="CV58" i="11"/>
  <c r="AA402" i="12"/>
  <c r="AA218" i="12"/>
  <c r="DF58" i="11"/>
  <c r="H403" i="12"/>
  <c r="H219" i="12"/>
  <c r="O59" i="11"/>
  <c r="J403" i="12"/>
  <c r="J219" i="12"/>
  <c r="Y59" i="11"/>
  <c r="L403" i="12"/>
  <c r="L219" i="12"/>
  <c r="AI59" i="11"/>
  <c r="N403" i="12"/>
  <c r="N219" i="12"/>
  <c r="AS59" i="11"/>
  <c r="P403" i="12"/>
  <c r="P219" i="12"/>
  <c r="BC59" i="11"/>
  <c r="R403" i="12"/>
  <c r="R219" i="12"/>
  <c r="BM59" i="11"/>
  <c r="T403" i="12"/>
  <c r="T219" i="12"/>
  <c r="BW59" i="11"/>
  <c r="V403" i="12"/>
  <c r="V219" i="12"/>
  <c r="CG59" i="11"/>
  <c r="X403" i="12"/>
  <c r="X219" i="12"/>
  <c r="CQ59" i="11"/>
  <c r="C133" i="2"/>
  <c r="AT133" i="2" s="1"/>
  <c r="Z403" i="12"/>
  <c r="Z219" i="12"/>
  <c r="DA59" i="11"/>
  <c r="AB403" i="12"/>
  <c r="AB219" i="12"/>
  <c r="DK59" i="11"/>
  <c r="G407" i="12"/>
  <c r="J63" i="11"/>
  <c r="I407" i="12"/>
  <c r="I223" i="12"/>
  <c r="T63" i="11"/>
  <c r="K407" i="12"/>
  <c r="K223" i="12"/>
  <c r="AD63" i="11"/>
  <c r="M407" i="12"/>
  <c r="M223" i="12"/>
  <c r="AN63" i="11"/>
  <c r="O407" i="12"/>
  <c r="O223" i="12"/>
  <c r="AX63" i="11"/>
  <c r="Q407" i="12"/>
  <c r="Q223" i="12"/>
  <c r="BH63" i="11"/>
  <c r="S407" i="12"/>
  <c r="S223" i="12"/>
  <c r="BR63" i="11"/>
  <c r="U407" i="12"/>
  <c r="U223" i="12"/>
  <c r="CB63" i="11"/>
  <c r="W407" i="12"/>
  <c r="W223" i="12"/>
  <c r="CL63" i="11"/>
  <c r="Y407" i="12"/>
  <c r="Y223" i="12"/>
  <c r="CV63" i="11"/>
  <c r="D140" i="2"/>
  <c r="AU140" i="2" s="1"/>
  <c r="AA407" i="12"/>
  <c r="AA223" i="12"/>
  <c r="DF63" i="11"/>
  <c r="H404" i="12"/>
  <c r="O60" i="11"/>
  <c r="H220" i="12"/>
  <c r="H207" i="12"/>
  <c r="J404" i="12"/>
  <c r="Y60" i="11"/>
  <c r="J220" i="12"/>
  <c r="J207" i="12"/>
  <c r="L404" i="12"/>
  <c r="AI60" i="11"/>
  <c r="L220" i="12"/>
  <c r="L207" i="12"/>
  <c r="N404" i="12"/>
  <c r="AS60" i="11"/>
  <c r="N220" i="12"/>
  <c r="N207" i="12"/>
  <c r="P404" i="12"/>
  <c r="BC60" i="11"/>
  <c r="P220" i="12"/>
  <c r="P207" i="12"/>
  <c r="R404" i="12"/>
  <c r="BM60" i="11"/>
  <c r="R220" i="12"/>
  <c r="R207" i="12"/>
  <c r="T404" i="12"/>
  <c r="BW60" i="11"/>
  <c r="T220" i="12"/>
  <c r="T207" i="12"/>
  <c r="V404" i="12"/>
  <c r="CG60" i="11"/>
  <c r="V220" i="12"/>
  <c r="V207" i="12"/>
  <c r="X404" i="12"/>
  <c r="CQ60" i="11"/>
  <c r="X220" i="12"/>
  <c r="X207" i="12"/>
  <c r="C139" i="2"/>
  <c r="AT139" i="2" s="1"/>
  <c r="Z404" i="12"/>
  <c r="DA60" i="11"/>
  <c r="Z220" i="12"/>
  <c r="Z207" i="12"/>
  <c r="AB404" i="12"/>
  <c r="DK60" i="11"/>
  <c r="DQ60" i="11" s="1"/>
  <c r="AB220" i="12"/>
  <c r="AB207" i="12"/>
  <c r="E46" i="6"/>
  <c r="G409" i="12"/>
  <c r="J9" i="11"/>
  <c r="G249" i="12"/>
  <c r="G231" i="12"/>
  <c r="J65" i="11"/>
  <c r="J75" i="11" s="1"/>
  <c r="Q46" i="6"/>
  <c r="I409" i="12"/>
  <c r="T9" i="11"/>
  <c r="I249" i="12"/>
  <c r="I231" i="12"/>
  <c r="I225" i="12"/>
  <c r="T65" i="11"/>
  <c r="AC46" i="6"/>
  <c r="K409" i="12"/>
  <c r="AD9" i="11"/>
  <c r="K249" i="12"/>
  <c r="K231" i="12"/>
  <c r="K225" i="12"/>
  <c r="AD65" i="11"/>
  <c r="AO46" i="6"/>
  <c r="M409" i="12"/>
  <c r="AN9" i="11"/>
  <c r="M249" i="12"/>
  <c r="M231" i="12"/>
  <c r="M225" i="12"/>
  <c r="AN65" i="11"/>
  <c r="BA46" i="6"/>
  <c r="O409" i="12"/>
  <c r="AX9" i="11"/>
  <c r="O249" i="12"/>
  <c r="O231" i="12"/>
  <c r="O225" i="12"/>
  <c r="AX65" i="11"/>
  <c r="BM46" i="6"/>
  <c r="Q409" i="12"/>
  <c r="BH9" i="11"/>
  <c r="Q249" i="12"/>
  <c r="Q231" i="12"/>
  <c r="Q225" i="12"/>
  <c r="BH65" i="11"/>
  <c r="BY46" i="6"/>
  <c r="S409" i="12"/>
  <c r="BR9" i="11"/>
  <c r="S249" i="12"/>
  <c r="S231" i="12"/>
  <c r="S225" i="12"/>
  <c r="BR65" i="11"/>
  <c r="CK46" i="6"/>
  <c r="U409" i="12"/>
  <c r="CB9" i="11"/>
  <c r="U249" i="12"/>
  <c r="U231" i="12"/>
  <c r="U225" i="12"/>
  <c r="CW46" i="6"/>
  <c r="W409" i="12"/>
  <c r="CL9" i="11"/>
  <c r="W249" i="12"/>
  <c r="W231" i="12"/>
  <c r="W225" i="12"/>
  <c r="DI46" i="6"/>
  <c r="Y409" i="12"/>
  <c r="CV9" i="11"/>
  <c r="Y249" i="12"/>
  <c r="Y231" i="12"/>
  <c r="Y225" i="12"/>
  <c r="DU46" i="6"/>
  <c r="D138" i="2"/>
  <c r="AU138" i="2" s="1"/>
  <c r="AA409" i="12"/>
  <c r="DF9" i="11"/>
  <c r="AA249" i="12"/>
  <c r="AA231" i="12"/>
  <c r="AA225" i="12"/>
  <c r="DC47" i="6"/>
  <c r="X544" i="7"/>
  <c r="X430" i="12"/>
  <c r="CQ81" i="11"/>
  <c r="X267" i="12"/>
  <c r="X263" i="12"/>
  <c r="CQ11" i="11"/>
  <c r="C142" i="2"/>
  <c r="AT142" i="2" s="1"/>
  <c r="DO47" i="6"/>
  <c r="Z544" i="7"/>
  <c r="Z430" i="12"/>
  <c r="DA81" i="11"/>
  <c r="Z267" i="12"/>
  <c r="Z263" i="12"/>
  <c r="DA11" i="11"/>
  <c r="EA47" i="6"/>
  <c r="AB430" i="12"/>
  <c r="DK81" i="11"/>
  <c r="DN81" i="11" s="1"/>
  <c r="DP81" i="11" s="1"/>
  <c r="DQ81" i="11" s="1"/>
  <c r="AC263" i="12" s="1"/>
  <c r="AC260" i="12" s="1"/>
  <c r="AB267" i="12"/>
  <c r="AB263" i="12"/>
  <c r="DK11" i="11"/>
  <c r="DN11" i="11" s="1"/>
  <c r="G266" i="12"/>
  <c r="I266" i="12"/>
  <c r="I257" i="12"/>
  <c r="K266" i="12"/>
  <c r="K257" i="12"/>
  <c r="M266" i="12"/>
  <c r="M257" i="12"/>
  <c r="O266" i="12"/>
  <c r="O257" i="12"/>
  <c r="Q266" i="12"/>
  <c r="Q257" i="12"/>
  <c r="S266" i="12"/>
  <c r="S257" i="12"/>
  <c r="U266" i="12"/>
  <c r="U257" i="12"/>
  <c r="W266" i="12"/>
  <c r="W257" i="12"/>
  <c r="Y266" i="12"/>
  <c r="Y257" i="12"/>
  <c r="AA266" i="12"/>
  <c r="AA257" i="12"/>
  <c r="H298" i="12"/>
  <c r="H274" i="12"/>
  <c r="J298" i="12"/>
  <c r="J274" i="12"/>
  <c r="L298" i="12"/>
  <c r="L274" i="12"/>
  <c r="N298" i="12"/>
  <c r="N274" i="12"/>
  <c r="P298" i="12"/>
  <c r="P274" i="12"/>
  <c r="R298" i="12"/>
  <c r="R274" i="12"/>
  <c r="T298" i="12"/>
  <c r="T274" i="12"/>
  <c r="V298" i="12"/>
  <c r="V274" i="12"/>
  <c r="X298" i="12"/>
  <c r="X274" i="12"/>
  <c r="Z298" i="12"/>
  <c r="Z274" i="12"/>
  <c r="AB274" i="12"/>
  <c r="G338" i="12"/>
  <c r="I338" i="12"/>
  <c r="I306" i="12"/>
  <c r="K338" i="12"/>
  <c r="K306" i="12"/>
  <c r="M338" i="12"/>
  <c r="M306" i="12"/>
  <c r="O338" i="12"/>
  <c r="O306" i="12"/>
  <c r="Q338" i="12"/>
  <c r="Q306" i="12"/>
  <c r="S338" i="12"/>
  <c r="S306" i="12"/>
  <c r="U338" i="12"/>
  <c r="U306" i="12"/>
  <c r="W338" i="12"/>
  <c r="W306" i="12"/>
  <c r="Y338" i="12"/>
  <c r="Y306" i="12"/>
  <c r="H437" i="12"/>
  <c r="H330" i="12"/>
  <c r="H284" i="12"/>
  <c r="O87" i="11"/>
  <c r="J437" i="12"/>
  <c r="J330" i="12"/>
  <c r="J284" i="12"/>
  <c r="Y87" i="11"/>
  <c r="L437" i="12"/>
  <c r="L330" i="12"/>
  <c r="L284" i="12"/>
  <c r="AI87" i="11"/>
  <c r="N437" i="12"/>
  <c r="N330" i="12"/>
  <c r="N284" i="12"/>
  <c r="AS87" i="11"/>
  <c r="P437" i="12"/>
  <c r="P330" i="12"/>
  <c r="P284" i="12"/>
  <c r="BC87" i="11"/>
  <c r="R437" i="12"/>
  <c r="R330" i="12"/>
  <c r="R284" i="12"/>
  <c r="BM87" i="11"/>
  <c r="T437" i="12"/>
  <c r="T330" i="12"/>
  <c r="T284" i="12"/>
  <c r="BW87" i="11"/>
  <c r="V437" i="12"/>
  <c r="V330" i="12"/>
  <c r="V284" i="12"/>
  <c r="CG87" i="11"/>
  <c r="X437" i="12"/>
  <c r="X330" i="12"/>
  <c r="X284" i="12"/>
  <c r="CQ87" i="11"/>
  <c r="C143" i="2"/>
  <c r="Z437" i="12"/>
  <c r="Z330" i="12"/>
  <c r="Z284" i="12"/>
  <c r="DA87" i="11"/>
  <c r="AB437" i="12"/>
  <c r="AB330" i="12"/>
  <c r="AB284" i="12"/>
  <c r="DK87" i="11"/>
  <c r="DP122" i="11" s="1"/>
  <c r="G436" i="12"/>
  <c r="J86" i="11"/>
  <c r="I436" i="12"/>
  <c r="I283" i="12"/>
  <c r="T86" i="11"/>
  <c r="K436" i="12"/>
  <c r="K283" i="12"/>
  <c r="AD86" i="11"/>
  <c r="M436" i="12"/>
  <c r="M283" i="12"/>
  <c r="AN86" i="11"/>
  <c r="O436" i="12"/>
  <c r="O283" i="12"/>
  <c r="AX86" i="11"/>
  <c r="Q436" i="12"/>
  <c r="Q283" i="12"/>
  <c r="BH86" i="11"/>
  <c r="S436" i="12"/>
  <c r="S283" i="12"/>
  <c r="BR86" i="11"/>
  <c r="U436" i="12"/>
  <c r="U283" i="12"/>
  <c r="CB86" i="11"/>
  <c r="W436" i="12"/>
  <c r="W283" i="12"/>
  <c r="CL86" i="11"/>
  <c r="Y436" i="12"/>
  <c r="Y283" i="12"/>
  <c r="CV86" i="11"/>
  <c r="D144" i="2"/>
  <c r="AU144" i="2" s="1"/>
  <c r="AA436" i="12"/>
  <c r="AA283" i="12"/>
  <c r="DF86" i="11"/>
  <c r="H438" i="12"/>
  <c r="H331" i="12"/>
  <c r="H299" i="12"/>
  <c r="H280" i="12"/>
  <c r="H285" i="12"/>
  <c r="O88" i="11"/>
  <c r="O13" i="11"/>
  <c r="J438" i="12"/>
  <c r="J331" i="12"/>
  <c r="J299" i="12"/>
  <c r="J280" i="12"/>
  <c r="J285" i="12"/>
  <c r="Y88" i="11"/>
  <c r="Y13" i="11"/>
  <c r="L438" i="12"/>
  <c r="L331" i="12"/>
  <c r="L299" i="12"/>
  <c r="L280" i="12"/>
  <c r="L285" i="12"/>
  <c r="AI88" i="11"/>
  <c r="AI13" i="11"/>
  <c r="N438" i="12"/>
  <c r="N331" i="12"/>
  <c r="N299" i="12"/>
  <c r="N280" i="12"/>
  <c r="N285" i="12"/>
  <c r="AS88" i="11"/>
  <c r="AS13" i="11"/>
  <c r="P438" i="12"/>
  <c r="P331" i="12"/>
  <c r="P299" i="12"/>
  <c r="P280" i="12"/>
  <c r="P285" i="12"/>
  <c r="BC88" i="11"/>
  <c r="BC13" i="11"/>
  <c r="R438" i="12"/>
  <c r="R331" i="12"/>
  <c r="R280" i="12"/>
  <c r="R299" i="12"/>
  <c r="R285" i="12"/>
  <c r="BM88" i="11"/>
  <c r="BM13" i="11"/>
  <c r="T438" i="12"/>
  <c r="T331" i="12"/>
  <c r="T299" i="12"/>
  <c r="T280" i="12"/>
  <c r="T285" i="12"/>
  <c r="BW88" i="11"/>
  <c r="BW13" i="11"/>
  <c r="V438" i="12"/>
  <c r="V331" i="12"/>
  <c r="V280" i="12"/>
  <c r="V299" i="12"/>
  <c r="V285" i="12"/>
  <c r="CG88" i="11"/>
  <c r="CG13" i="11"/>
  <c r="X438" i="12"/>
  <c r="X331" i="12"/>
  <c r="X299" i="12"/>
  <c r="X280" i="12"/>
  <c r="X285" i="12"/>
  <c r="CQ88" i="11"/>
  <c r="CQ13" i="11"/>
  <c r="Z438" i="12"/>
  <c r="Z331" i="12"/>
  <c r="Z280" i="12"/>
  <c r="Z299" i="12"/>
  <c r="Z285" i="12"/>
  <c r="DA88" i="11"/>
  <c r="DA13" i="11"/>
  <c r="AB438" i="12"/>
  <c r="AB331" i="12"/>
  <c r="AB299" i="12"/>
  <c r="AB280" i="12"/>
  <c r="DK13" i="11"/>
  <c r="G447" i="12"/>
  <c r="J102" i="11"/>
  <c r="I447" i="12"/>
  <c r="I316" i="12"/>
  <c r="T102" i="11"/>
  <c r="K447" i="12"/>
  <c r="K316" i="12"/>
  <c r="AD102" i="11"/>
  <c r="M447" i="12"/>
  <c r="M316" i="12"/>
  <c r="AN102" i="11"/>
  <c r="O447" i="12"/>
  <c r="O316" i="12"/>
  <c r="AX102" i="11"/>
  <c r="Q447" i="12"/>
  <c r="Q316" i="12"/>
  <c r="BH102" i="11"/>
  <c r="S447" i="12"/>
  <c r="S316" i="12"/>
  <c r="BR102" i="11"/>
  <c r="U447" i="12"/>
  <c r="U316" i="12"/>
  <c r="CB102" i="11"/>
  <c r="W447" i="12"/>
  <c r="W316" i="12"/>
  <c r="CL102" i="11"/>
  <c r="Y447" i="12"/>
  <c r="Y316" i="12"/>
  <c r="CV102" i="11"/>
  <c r="D145" i="2"/>
  <c r="AU145" i="2" s="1"/>
  <c r="AA447" i="12"/>
  <c r="AA316" i="12"/>
  <c r="DF102" i="11"/>
  <c r="H315" i="12"/>
  <c r="H446" i="12"/>
  <c r="O101" i="11"/>
  <c r="J315" i="12"/>
  <c r="J446" i="12"/>
  <c r="Y101" i="11"/>
  <c r="L315" i="12"/>
  <c r="L446" i="12"/>
  <c r="AI101" i="11"/>
  <c r="N315" i="12"/>
  <c r="N446" i="12"/>
  <c r="AS101" i="11"/>
  <c r="P315" i="12"/>
  <c r="P446" i="12"/>
  <c r="BC101" i="11"/>
  <c r="R315" i="12"/>
  <c r="R446" i="12"/>
  <c r="BM101" i="11"/>
  <c r="T315" i="12"/>
  <c r="T446" i="12"/>
  <c r="BW101" i="11"/>
  <c r="V315" i="12"/>
  <c r="V446" i="12"/>
  <c r="CG101" i="11"/>
  <c r="X315" i="12"/>
  <c r="X446" i="12"/>
  <c r="CQ101" i="11"/>
  <c r="C146" i="2"/>
  <c r="AT146" i="2" s="1"/>
  <c r="Z315" i="12"/>
  <c r="Z446" i="12"/>
  <c r="DA101" i="11"/>
  <c r="AB315" i="12"/>
  <c r="AB446" i="12"/>
  <c r="DK101" i="11"/>
  <c r="M46" i="6"/>
  <c r="H237" i="12"/>
  <c r="H243" i="12"/>
  <c r="Y46" i="6"/>
  <c r="J237" i="12"/>
  <c r="J243" i="12"/>
  <c r="AK46" i="6"/>
  <c r="L735" i="7"/>
  <c r="L237" i="12"/>
  <c r="L243" i="12"/>
  <c r="AI73" i="11"/>
  <c r="AW46" i="6"/>
  <c r="N735" i="7"/>
  <c r="N237" i="12"/>
  <c r="N243" i="12"/>
  <c r="AS73" i="11"/>
  <c r="BI46" i="6"/>
  <c r="P735" i="7"/>
  <c r="P237" i="12"/>
  <c r="P243" i="12"/>
  <c r="BC73" i="11"/>
  <c r="BU46" i="6"/>
  <c r="R735" i="7"/>
  <c r="R237" i="12"/>
  <c r="R243" i="12"/>
  <c r="BM73" i="11"/>
  <c r="CG46" i="6"/>
  <c r="T735" i="7"/>
  <c r="T237" i="12"/>
  <c r="T243" i="12"/>
  <c r="BW73" i="11"/>
  <c r="CS46" i="6"/>
  <c r="V735" i="7"/>
  <c r="V237" i="12"/>
  <c r="V243" i="12"/>
  <c r="CG73" i="11"/>
  <c r="DE46" i="6"/>
  <c r="X735" i="7"/>
  <c r="X237" i="12"/>
  <c r="X243" i="12"/>
  <c r="CQ73" i="11"/>
  <c r="Z243" i="12"/>
  <c r="H46" i="6"/>
  <c r="G424" i="12"/>
  <c r="G242" i="12"/>
  <c r="T46" i="6"/>
  <c r="I424" i="12"/>
  <c r="I242" i="12"/>
  <c r="I236" i="12"/>
  <c r="AF46" i="6"/>
  <c r="K424" i="12"/>
  <c r="AD72" i="11"/>
  <c r="AE72" i="11" s="1"/>
  <c r="K242" i="12"/>
  <c r="K236" i="12"/>
  <c r="AR46" i="6"/>
  <c r="M763" i="7"/>
  <c r="M662" i="7"/>
  <c r="M676" i="7" s="1"/>
  <c r="M424" i="12"/>
  <c r="AN71" i="11"/>
  <c r="M242" i="12"/>
  <c r="M236" i="12"/>
  <c r="BD46" i="6"/>
  <c r="O763" i="7"/>
  <c r="O662" i="7"/>
  <c r="O676" i="7" s="1"/>
  <c r="O424" i="12"/>
  <c r="AX71" i="11"/>
  <c r="AV71" i="11" s="1"/>
  <c r="O177" i="12" s="1"/>
  <c r="O242" i="12"/>
  <c r="O236" i="12"/>
  <c r="BP46" i="6"/>
  <c r="Q763" i="7"/>
  <c r="Q662" i="7"/>
  <c r="Q676" i="7" s="1"/>
  <c r="Q424" i="12"/>
  <c r="BH71" i="11"/>
  <c r="BF71" i="11" s="1"/>
  <c r="Q177" i="12" s="1"/>
  <c r="Q242" i="12"/>
  <c r="Q236" i="12"/>
  <c r="CB46" i="6"/>
  <c r="S763" i="7"/>
  <c r="S662" i="7"/>
  <c r="S676" i="7" s="1"/>
  <c r="S424" i="12"/>
  <c r="BR71" i="11"/>
  <c r="BP71" i="11" s="1"/>
  <c r="S177" i="12" s="1"/>
  <c r="S242" i="12"/>
  <c r="S236" i="12"/>
  <c r="CN46" i="6"/>
  <c r="U763" i="7"/>
  <c r="U662" i="7"/>
  <c r="U676" i="7" s="1"/>
  <c r="U424" i="12"/>
  <c r="CB71" i="11"/>
  <c r="BZ71" i="11" s="1"/>
  <c r="U177" i="12" s="1"/>
  <c r="U242" i="12"/>
  <c r="U236" i="12"/>
  <c r="CZ46" i="6"/>
  <c r="W763" i="7"/>
  <c r="W662" i="7"/>
  <c r="W676" i="7" s="1"/>
  <c r="W424" i="12"/>
  <c r="CL71" i="11"/>
  <c r="W242" i="12"/>
  <c r="W236" i="12"/>
  <c r="DL46" i="6"/>
  <c r="Y763" i="7"/>
  <c r="Y662" i="7"/>
  <c r="Y676" i="7" s="1"/>
  <c r="Y424" i="12"/>
  <c r="CV71" i="11"/>
  <c r="CT71" i="11" s="1"/>
  <c r="Y177" i="12" s="1"/>
  <c r="Y242" i="12"/>
  <c r="Y236" i="12"/>
  <c r="D226" i="2"/>
  <c r="AU226" i="2" s="1"/>
  <c r="DX46" i="6"/>
  <c r="AA763" i="7"/>
  <c r="AA662" i="7"/>
  <c r="AA676" i="7" s="1"/>
  <c r="AA424" i="12"/>
  <c r="AA242" i="12"/>
  <c r="AA236" i="12"/>
  <c r="F46" i="6"/>
  <c r="G241" i="12"/>
  <c r="R46" i="6"/>
  <c r="I241" i="12"/>
  <c r="I235" i="12"/>
  <c r="AD46" i="6"/>
  <c r="K241" i="12"/>
  <c r="AD71" i="11"/>
  <c r="AE71" i="11" s="1"/>
  <c r="K235" i="12"/>
  <c r="AP46" i="6"/>
  <c r="M718" i="7"/>
  <c r="M241" i="12"/>
  <c r="AN72" i="11"/>
  <c r="M235" i="12"/>
  <c r="BB46" i="6"/>
  <c r="O718" i="7"/>
  <c r="O241" i="12"/>
  <c r="AX72" i="11"/>
  <c r="O235" i="12"/>
  <c r="BN46" i="6"/>
  <c r="Q718" i="7"/>
  <c r="Q241" i="12"/>
  <c r="BH72" i="11"/>
  <c r="Q235" i="12"/>
  <c r="BZ46" i="6"/>
  <c r="S718" i="7"/>
  <c r="S241" i="12"/>
  <c r="BR72" i="11"/>
  <c r="S235" i="12"/>
  <c r="CL46" i="6"/>
  <c r="U718" i="7"/>
  <c r="U241" i="12"/>
  <c r="CB72" i="11"/>
  <c r="U235" i="12"/>
  <c r="CX46" i="6"/>
  <c r="W718" i="7"/>
  <c r="W241" i="12"/>
  <c r="CL72" i="11"/>
  <c r="W235" i="12"/>
  <c r="DJ46" i="6"/>
  <c r="Y718" i="7"/>
  <c r="Y241" i="12"/>
  <c r="CV72" i="11"/>
  <c r="Y235" i="12"/>
  <c r="DV46" i="6"/>
  <c r="AA718" i="7"/>
  <c r="AA241" i="12"/>
  <c r="DF72" i="11"/>
  <c r="DL72" i="11" s="1"/>
  <c r="AA235" i="12"/>
  <c r="H293" i="12"/>
  <c r="H290" i="12"/>
  <c r="O94" i="11"/>
  <c r="J293" i="12"/>
  <c r="J290" i="12"/>
  <c r="Y94" i="11"/>
  <c r="L293" i="12"/>
  <c r="L290" i="12"/>
  <c r="AI94" i="11"/>
  <c r="N293" i="12"/>
  <c r="N290" i="12"/>
  <c r="AS94" i="11"/>
  <c r="P293" i="12"/>
  <c r="P290" i="12"/>
  <c r="BC94" i="11"/>
  <c r="R293" i="12"/>
  <c r="R290" i="12"/>
  <c r="BM94" i="11"/>
  <c r="T293" i="12"/>
  <c r="T290" i="12"/>
  <c r="BW94" i="11"/>
  <c r="V293" i="12"/>
  <c r="V290" i="12"/>
  <c r="CG94" i="11"/>
  <c r="X293" i="12"/>
  <c r="X290" i="12"/>
  <c r="CQ94" i="11"/>
  <c r="C247" i="2"/>
  <c r="AT247" i="2" s="1"/>
  <c r="Z293" i="12"/>
  <c r="Z290" i="12"/>
  <c r="DA94" i="11"/>
  <c r="T95" i="11"/>
  <c r="I294" i="12"/>
  <c r="AD95" i="11"/>
  <c r="K294" i="12"/>
  <c r="AN95" i="11"/>
  <c r="M294" i="12"/>
  <c r="AX95" i="11"/>
  <c r="O294" i="12"/>
  <c r="BH95" i="11"/>
  <c r="Q294" i="12"/>
  <c r="BR95" i="11"/>
  <c r="S294" i="12"/>
  <c r="CB95" i="11"/>
  <c r="U294" i="12"/>
  <c r="CL95" i="11"/>
  <c r="W294" i="12"/>
  <c r="CV95" i="11"/>
  <c r="Y294" i="12"/>
  <c r="DF95" i="11"/>
  <c r="DL95" i="11" s="1"/>
  <c r="AA294" i="12"/>
  <c r="N24" i="17"/>
  <c r="H10" i="12"/>
  <c r="H51" i="12"/>
  <c r="V24" i="17"/>
  <c r="J10" i="12"/>
  <c r="J51" i="12"/>
  <c r="AD24" i="17"/>
  <c r="L10" i="12"/>
  <c r="L51" i="12"/>
  <c r="AL24" i="17"/>
  <c r="N10" i="12"/>
  <c r="N51" i="12"/>
  <c r="AT24" i="17"/>
  <c r="P10" i="12"/>
  <c r="P51" i="12"/>
  <c r="BB24" i="17"/>
  <c r="R10" i="12"/>
  <c r="R51" i="12"/>
  <c r="BJ24" i="17"/>
  <c r="T10" i="12"/>
  <c r="T51" i="12"/>
  <c r="BR24" i="17"/>
  <c r="V10" i="12"/>
  <c r="V51" i="12"/>
  <c r="BZ24" i="17"/>
  <c r="X10" i="12"/>
  <c r="X51" i="12"/>
  <c r="CH24" i="17"/>
  <c r="Z10" i="12"/>
  <c r="Z51" i="12"/>
  <c r="CP24" i="17"/>
  <c r="AB10" i="12"/>
  <c r="AB51" i="12"/>
  <c r="J43" i="17"/>
  <c r="G52" i="12"/>
  <c r="R43" i="17"/>
  <c r="I52" i="12"/>
  <c r="I16" i="12"/>
  <c r="Z43" i="17"/>
  <c r="K52" i="12"/>
  <c r="K16" i="12"/>
  <c r="AH43" i="17"/>
  <c r="M52" i="12"/>
  <c r="M16" i="12"/>
  <c r="J24" i="17"/>
  <c r="G51" i="12"/>
  <c r="R24" i="17"/>
  <c r="I51" i="12"/>
  <c r="I10" i="12"/>
  <c r="Z24" i="17"/>
  <c r="K51" i="12"/>
  <c r="K10" i="12"/>
  <c r="AH24" i="17"/>
  <c r="M51" i="12"/>
  <c r="M10" i="12"/>
  <c r="AP24" i="17"/>
  <c r="O51" i="12"/>
  <c r="O10" i="12"/>
  <c r="AX24" i="17"/>
  <c r="Q51" i="12"/>
  <c r="Q10" i="12"/>
  <c r="BF24" i="17"/>
  <c r="S51" i="12"/>
  <c r="S10" i="12"/>
  <c r="BN24" i="17"/>
  <c r="U51" i="12"/>
  <c r="U10" i="12"/>
  <c r="BV24" i="17"/>
  <c r="W51" i="12"/>
  <c r="W10" i="12"/>
  <c r="CD24" i="17"/>
  <c r="Y51" i="12"/>
  <c r="Y10" i="12"/>
  <c r="CL24" i="17"/>
  <c r="AA51" i="12"/>
  <c r="AA10" i="12"/>
  <c r="N43" i="17"/>
  <c r="H16" i="12"/>
  <c r="H52" i="12"/>
  <c r="H59" i="12" s="1"/>
  <c r="V43" i="17"/>
  <c r="J16" i="12"/>
  <c r="J52" i="12"/>
  <c r="AD43" i="17"/>
  <c r="L16" i="12"/>
  <c r="L52" i="12"/>
  <c r="AL43" i="17"/>
  <c r="N16" i="12"/>
  <c r="N52" i="12"/>
  <c r="AT43" i="17"/>
  <c r="P16" i="12"/>
  <c r="P52" i="12"/>
  <c r="BB43" i="17"/>
  <c r="R16" i="12"/>
  <c r="R52" i="12"/>
  <c r="BJ43" i="17"/>
  <c r="T16" i="12"/>
  <c r="T52" i="12"/>
  <c r="BR43" i="17"/>
  <c r="V16" i="12"/>
  <c r="V52" i="12"/>
  <c r="BZ43" i="17"/>
  <c r="X16" i="12"/>
  <c r="X52" i="12"/>
  <c r="CH43" i="17"/>
  <c r="Z16" i="12"/>
  <c r="Z52" i="12"/>
  <c r="CP43" i="17"/>
  <c r="AB16" i="12"/>
  <c r="AB52" i="12"/>
  <c r="R65" i="17"/>
  <c r="I37" i="12"/>
  <c r="Z65" i="17"/>
  <c r="K37" i="12"/>
  <c r="AH65" i="17"/>
  <c r="M37" i="12"/>
  <c r="AP65" i="17"/>
  <c r="O37" i="12"/>
  <c r="AX65" i="17"/>
  <c r="Q37" i="12"/>
  <c r="BF65" i="17"/>
  <c r="S37" i="12"/>
  <c r="BN65" i="17"/>
  <c r="U37" i="12"/>
  <c r="BV65" i="17"/>
  <c r="W37" i="12"/>
  <c r="CD65" i="17"/>
  <c r="Y37" i="12"/>
  <c r="CL65" i="17"/>
  <c r="AA37" i="12"/>
  <c r="N62" i="17"/>
  <c r="H40" i="12"/>
  <c r="L63" i="11" s="1"/>
  <c r="V62" i="17"/>
  <c r="J40" i="12"/>
  <c r="V63" i="11" s="1"/>
  <c r="AD62" i="17"/>
  <c r="L40" i="12"/>
  <c r="AF63" i="11" s="1"/>
  <c r="AL62" i="17"/>
  <c r="N40" i="12"/>
  <c r="AP63" i="11" s="1"/>
  <c r="AT62" i="17"/>
  <c r="P40" i="12"/>
  <c r="AZ63" i="11" s="1"/>
  <c r="BB62" i="17"/>
  <c r="R40" i="12"/>
  <c r="BJ63" i="11" s="1"/>
  <c r="BJ62" i="17"/>
  <c r="T40" i="12"/>
  <c r="BT63" i="11" s="1"/>
  <c r="BR62" i="17"/>
  <c r="V40" i="12"/>
  <c r="CD63" i="11" s="1"/>
  <c r="BZ62" i="17"/>
  <c r="X40" i="12"/>
  <c r="CN63" i="11" s="1"/>
  <c r="CH62" i="17"/>
  <c r="Z40" i="12"/>
  <c r="CX63" i="11" s="1"/>
  <c r="CP62" i="17"/>
  <c r="AB40" i="12"/>
  <c r="DH63" i="11" s="1"/>
  <c r="J73" i="17"/>
  <c r="G53" i="12"/>
  <c r="R73" i="17"/>
  <c r="I53" i="12"/>
  <c r="I42" i="12"/>
  <c r="Q9" i="11" s="1"/>
  <c r="Z73" i="17"/>
  <c r="K53" i="12"/>
  <c r="K42" i="12"/>
  <c r="AA9" i="11" s="1"/>
  <c r="AH73" i="17"/>
  <c r="M53" i="12"/>
  <c r="M42" i="12"/>
  <c r="AK9" i="11" s="1"/>
  <c r="AP73" i="17"/>
  <c r="O53" i="12"/>
  <c r="O42" i="12"/>
  <c r="AU9" i="11" s="1"/>
  <c r="AX73" i="17"/>
  <c r="Q53" i="12"/>
  <c r="Q42" i="12"/>
  <c r="BE9" i="11" s="1"/>
  <c r="BF73" i="17"/>
  <c r="S53" i="12"/>
  <c r="S42" i="12"/>
  <c r="BO9" i="11" s="1"/>
  <c r="BN73" i="17"/>
  <c r="U53" i="12"/>
  <c r="U42" i="12"/>
  <c r="BY9" i="11" s="1"/>
  <c r="BV73" i="17"/>
  <c r="W53" i="12"/>
  <c r="W42" i="12"/>
  <c r="CI9" i="11" s="1"/>
  <c r="CD73" i="17"/>
  <c r="Y53" i="12"/>
  <c r="Y42" i="12"/>
  <c r="CS9" i="11" s="1"/>
  <c r="CL73" i="17"/>
  <c r="AA53" i="12"/>
  <c r="AA42" i="12"/>
  <c r="DC9" i="11" s="1"/>
  <c r="N126" i="17"/>
  <c r="H71" i="12"/>
  <c r="H67" i="12"/>
  <c r="V126" i="17"/>
  <c r="J71" i="12"/>
  <c r="J67" i="12"/>
  <c r="AD126" i="17"/>
  <c r="L71" i="12"/>
  <c r="L67" i="12"/>
  <c r="AL126" i="17"/>
  <c r="N71" i="12"/>
  <c r="N67" i="12"/>
  <c r="AT126" i="17"/>
  <c r="P71" i="12"/>
  <c r="P67" i="12"/>
  <c r="BB126" i="17"/>
  <c r="R71" i="12"/>
  <c r="R67" i="12"/>
  <c r="BJ126" i="17"/>
  <c r="T71" i="12"/>
  <c r="T67" i="12"/>
  <c r="BR126" i="17"/>
  <c r="V71" i="12"/>
  <c r="V67" i="12"/>
  <c r="BZ126" i="17"/>
  <c r="X71" i="12"/>
  <c r="X67" i="12"/>
  <c r="CH126" i="17"/>
  <c r="Z71" i="12"/>
  <c r="Z67" i="12"/>
  <c r="CP126" i="17"/>
  <c r="CT126" i="17"/>
  <c r="AB71" i="12"/>
  <c r="AB67" i="12"/>
  <c r="J107" i="17"/>
  <c r="G70" i="12"/>
  <c r="R107" i="17"/>
  <c r="I70" i="12"/>
  <c r="I61" i="12"/>
  <c r="Q10" i="11" s="1"/>
  <c r="Z107" i="17"/>
  <c r="K70" i="12"/>
  <c r="K61" i="12"/>
  <c r="AA10" i="11" s="1"/>
  <c r="AH107" i="17"/>
  <c r="M70" i="12"/>
  <c r="M61" i="12"/>
  <c r="AK10" i="11" s="1"/>
  <c r="AP107" i="17"/>
  <c r="O70" i="12"/>
  <c r="O61" i="12"/>
  <c r="AU10" i="11" s="1"/>
  <c r="AX107" i="17"/>
  <c r="Q70" i="12"/>
  <c r="Q61" i="12"/>
  <c r="BE10" i="11" s="1"/>
  <c r="BF107" i="17"/>
  <c r="S70" i="12"/>
  <c r="S61" i="12"/>
  <c r="BO10" i="11" s="1"/>
  <c r="BN107" i="17"/>
  <c r="U70" i="12"/>
  <c r="U61" i="12"/>
  <c r="BY10" i="11" s="1"/>
  <c r="BV107" i="17"/>
  <c r="W70" i="12"/>
  <c r="W61" i="12"/>
  <c r="CI10" i="11" s="1"/>
  <c r="CD107" i="17"/>
  <c r="Y70" i="12"/>
  <c r="Y61" i="12"/>
  <c r="CS10" i="11" s="1"/>
  <c r="CL107" i="17"/>
  <c r="AA70" i="12"/>
  <c r="AA61" i="12"/>
  <c r="DC10" i="11" s="1"/>
  <c r="N146" i="17"/>
  <c r="H92" i="12"/>
  <c r="H78" i="12"/>
  <c r="L12" i="11" s="1"/>
  <c r="V146" i="17"/>
  <c r="J92" i="12"/>
  <c r="J78" i="12"/>
  <c r="V12" i="11" s="1"/>
  <c r="AD146" i="17"/>
  <c r="L92" i="12"/>
  <c r="L78" i="12"/>
  <c r="AF12" i="11" s="1"/>
  <c r="AL146" i="17"/>
  <c r="N92" i="12"/>
  <c r="N78" i="12"/>
  <c r="AP12" i="11" s="1"/>
  <c r="AT146" i="17"/>
  <c r="P92" i="12"/>
  <c r="P78" i="12"/>
  <c r="AZ12" i="11" s="1"/>
  <c r="BB146" i="17"/>
  <c r="R92" i="12"/>
  <c r="R78" i="12"/>
  <c r="BJ12" i="11" s="1"/>
  <c r="BJ146" i="17"/>
  <c r="T92" i="12"/>
  <c r="T78" i="12"/>
  <c r="BT12" i="11" s="1"/>
  <c r="BR146" i="17"/>
  <c r="V92" i="12"/>
  <c r="V78" i="12"/>
  <c r="CD12" i="11" s="1"/>
  <c r="V74" i="12"/>
  <c r="BZ146" i="17"/>
  <c r="X92" i="12"/>
  <c r="X78" i="12"/>
  <c r="CN12" i="11" s="1"/>
  <c r="X74" i="12"/>
  <c r="CH146" i="17"/>
  <c r="Z92" i="12"/>
  <c r="Z78" i="12"/>
  <c r="CX12" i="11" s="1"/>
  <c r="Z74" i="12"/>
  <c r="CP146" i="17"/>
  <c r="AB92" i="12"/>
  <c r="AB78" i="12"/>
  <c r="DH12" i="11" s="1"/>
  <c r="AB74" i="12"/>
  <c r="J203" i="17"/>
  <c r="G122" i="12"/>
  <c r="R203" i="17"/>
  <c r="I122" i="12"/>
  <c r="I100" i="12"/>
  <c r="Z203" i="17"/>
  <c r="K122" i="12"/>
  <c r="K100" i="12"/>
  <c r="AH203" i="17"/>
  <c r="M122" i="12"/>
  <c r="M100" i="12"/>
  <c r="AP203" i="17"/>
  <c r="O122" i="12"/>
  <c r="O100" i="12"/>
  <c r="AX203" i="17"/>
  <c r="Q122" i="12"/>
  <c r="Q100" i="12"/>
  <c r="BF203" i="17"/>
  <c r="S122" i="12"/>
  <c r="S100" i="12"/>
  <c r="BN203" i="17"/>
  <c r="U122" i="12"/>
  <c r="U100" i="12"/>
  <c r="BV203" i="17"/>
  <c r="W122" i="12"/>
  <c r="W100" i="12"/>
  <c r="CD203" i="17"/>
  <c r="Y122" i="12"/>
  <c r="Y100" i="12"/>
  <c r="CL203" i="17"/>
  <c r="AA122" i="12"/>
  <c r="AA100" i="12"/>
  <c r="N165" i="17"/>
  <c r="H114" i="12"/>
  <c r="H88" i="12"/>
  <c r="L87" i="11" s="1"/>
  <c r="V165" i="17"/>
  <c r="J114" i="12"/>
  <c r="J88" i="12"/>
  <c r="V87" i="11" s="1"/>
  <c r="AD165" i="17"/>
  <c r="L114" i="12"/>
  <c r="L88" i="12"/>
  <c r="AF87" i="11" s="1"/>
  <c r="AL165" i="17"/>
  <c r="N114" i="12"/>
  <c r="N88" i="12"/>
  <c r="AP87" i="11" s="1"/>
  <c r="AT165" i="17"/>
  <c r="P114" i="12"/>
  <c r="P88" i="12"/>
  <c r="AZ87" i="11" s="1"/>
  <c r="BB165" i="17"/>
  <c r="R114" i="12"/>
  <c r="R88" i="12"/>
  <c r="BJ87" i="11" s="1"/>
  <c r="BJ165" i="17"/>
  <c r="T114" i="12"/>
  <c r="T88" i="12"/>
  <c r="BT87" i="11" s="1"/>
  <c r="BR165" i="17"/>
  <c r="V114" i="12"/>
  <c r="V88" i="12"/>
  <c r="CD87" i="11" s="1"/>
  <c r="BZ165" i="17"/>
  <c r="X114" i="12"/>
  <c r="X88" i="12"/>
  <c r="CN87" i="11" s="1"/>
  <c r="CH165" i="17"/>
  <c r="Z114" i="12"/>
  <c r="Z88" i="12"/>
  <c r="CX87" i="11" s="1"/>
  <c r="CP165" i="17"/>
  <c r="AB114" i="12"/>
  <c r="AB88" i="12"/>
  <c r="DH87" i="11" s="1"/>
  <c r="R168" i="17"/>
  <c r="I87" i="12"/>
  <c r="Q86" i="11" s="1"/>
  <c r="Z168" i="17"/>
  <c r="K87" i="12"/>
  <c r="AA86" i="11" s="1"/>
  <c r="AH168" i="17"/>
  <c r="M87" i="12"/>
  <c r="AK86" i="11" s="1"/>
  <c r="AP168" i="17"/>
  <c r="O87" i="12"/>
  <c r="AU86" i="11" s="1"/>
  <c r="AX168" i="17"/>
  <c r="Q87" i="12"/>
  <c r="BE86" i="11" s="1"/>
  <c r="BF168" i="17"/>
  <c r="S87" i="12"/>
  <c r="BO86" i="11" s="1"/>
  <c r="BN168" i="17"/>
  <c r="U87" i="12"/>
  <c r="BY86" i="11" s="1"/>
  <c r="BV168" i="17"/>
  <c r="W87" i="12"/>
  <c r="CI86" i="11" s="1"/>
  <c r="CD168" i="17"/>
  <c r="Y87" i="12"/>
  <c r="CS86" i="11" s="1"/>
  <c r="CL168" i="17"/>
  <c r="AA87" i="12"/>
  <c r="DC86" i="11" s="1"/>
  <c r="N173" i="17"/>
  <c r="H93" i="12"/>
  <c r="H89" i="12"/>
  <c r="H115" i="12"/>
  <c r="V173" i="17"/>
  <c r="J93" i="12"/>
  <c r="J89" i="12"/>
  <c r="J115" i="12"/>
  <c r="AD173" i="17"/>
  <c r="L93" i="12"/>
  <c r="L89" i="12"/>
  <c r="L115" i="12"/>
  <c r="AL173" i="17"/>
  <c r="N93" i="12"/>
  <c r="N89" i="12"/>
  <c r="N115" i="12"/>
  <c r="AT173" i="17"/>
  <c r="P93" i="12"/>
  <c r="P89" i="12"/>
  <c r="P115" i="12"/>
  <c r="BB173" i="17"/>
  <c r="R93" i="12"/>
  <c r="R89" i="12"/>
  <c r="R115" i="12"/>
  <c r="BJ173" i="17"/>
  <c r="T93" i="12"/>
  <c r="T89" i="12"/>
  <c r="T115" i="12"/>
  <c r="BR173" i="17"/>
  <c r="V93" i="12"/>
  <c r="V89" i="12"/>
  <c r="V115" i="12"/>
  <c r="BZ173" i="17"/>
  <c r="X93" i="12"/>
  <c r="X89" i="12"/>
  <c r="X115" i="12"/>
  <c r="CH173" i="17"/>
  <c r="Z93" i="12"/>
  <c r="Z89" i="12"/>
  <c r="Z115" i="12"/>
  <c r="CP173" i="17"/>
  <c r="AB93" i="12"/>
  <c r="AB115" i="12"/>
  <c r="R222" i="17"/>
  <c r="I110" i="12"/>
  <c r="Q102" i="11" s="1"/>
  <c r="Z222" i="17"/>
  <c r="K110" i="12"/>
  <c r="AA102" i="11" s="1"/>
  <c r="AH222" i="17"/>
  <c r="M110" i="12"/>
  <c r="AK102" i="11" s="1"/>
  <c r="AP222" i="17"/>
  <c r="O110" i="12"/>
  <c r="AU102" i="11" s="1"/>
  <c r="AX222" i="17"/>
  <c r="Q110" i="12"/>
  <c r="BE102" i="11" s="1"/>
  <c r="BF222" i="17"/>
  <c r="S110" i="12"/>
  <c r="BO102" i="11" s="1"/>
  <c r="BN222" i="17"/>
  <c r="U110" i="12"/>
  <c r="BY102" i="11" s="1"/>
  <c r="BV222" i="17"/>
  <c r="W110" i="12"/>
  <c r="CI102" i="11" s="1"/>
  <c r="CD222" i="17"/>
  <c r="Y110" i="12"/>
  <c r="CS102" i="11" s="1"/>
  <c r="CL222" i="17"/>
  <c r="AA110" i="12"/>
  <c r="DC102" i="11" s="1"/>
  <c r="N225" i="17"/>
  <c r="H109" i="12"/>
  <c r="L101" i="11" s="1"/>
  <c r="V225" i="17"/>
  <c r="J109" i="12"/>
  <c r="V101" i="11" s="1"/>
  <c r="AD225" i="17"/>
  <c r="L109" i="12"/>
  <c r="AF101" i="11" s="1"/>
  <c r="AL225" i="17"/>
  <c r="N109" i="12"/>
  <c r="AP101" i="11" s="1"/>
  <c r="AT225" i="17"/>
  <c r="P109" i="12"/>
  <c r="AZ101" i="11" s="1"/>
  <c r="BB225" i="17"/>
  <c r="R109" i="12"/>
  <c r="BJ101" i="11" s="1"/>
  <c r="BJ225" i="17"/>
  <c r="T109" i="12"/>
  <c r="BT101" i="11" s="1"/>
  <c r="BR225" i="17"/>
  <c r="V109" i="12"/>
  <c r="CD101" i="11" s="1"/>
  <c r="BZ225" i="17"/>
  <c r="X109" i="12"/>
  <c r="CN101" i="11" s="1"/>
  <c r="CH225" i="17"/>
  <c r="Z109" i="12"/>
  <c r="CX101" i="11" s="1"/>
  <c r="CP225" i="17"/>
  <c r="AB109" i="12"/>
  <c r="DH101" i="11" s="1"/>
  <c r="J230" i="17"/>
  <c r="G123" i="12"/>
  <c r="R230" i="17"/>
  <c r="I123" i="12"/>
  <c r="I111" i="12"/>
  <c r="Z230" i="17"/>
  <c r="K123" i="12"/>
  <c r="K111" i="12"/>
  <c r="AH230" i="17"/>
  <c r="M123" i="12"/>
  <c r="M111" i="12"/>
  <c r="AP230" i="17"/>
  <c r="O123" i="12"/>
  <c r="O111" i="12"/>
  <c r="AX230" i="17"/>
  <c r="Q123" i="12"/>
  <c r="Q111" i="12"/>
  <c r="BF230" i="17"/>
  <c r="S123" i="12"/>
  <c r="S111" i="12"/>
  <c r="BN230" i="17"/>
  <c r="U123" i="12"/>
  <c r="U111" i="12"/>
  <c r="BV230" i="17"/>
  <c r="W123" i="12"/>
  <c r="W111" i="12"/>
  <c r="CD230" i="17"/>
  <c r="Y123" i="12"/>
  <c r="Y111" i="12"/>
  <c r="CL230" i="17"/>
  <c r="AA123" i="12"/>
  <c r="AA111" i="12"/>
  <c r="H243" i="8"/>
  <c r="H162" i="12"/>
  <c r="L119" i="11" s="1"/>
  <c r="J243" i="8"/>
  <c r="J162" i="12"/>
  <c r="V119" i="11" s="1"/>
  <c r="L243" i="8"/>
  <c r="L162" i="12"/>
  <c r="AF119" i="11" s="1"/>
  <c r="N243" i="8"/>
  <c r="N162" i="12"/>
  <c r="AP119" i="11" s="1"/>
  <c r="P243" i="8"/>
  <c r="P162" i="12"/>
  <c r="AZ119" i="11" s="1"/>
  <c r="R243" i="8"/>
  <c r="R162" i="12"/>
  <c r="BJ119" i="11" s="1"/>
  <c r="T243" i="8"/>
  <c r="T162" i="12"/>
  <c r="BT119" i="11" s="1"/>
  <c r="V243" i="8"/>
  <c r="V162" i="12"/>
  <c r="CD119" i="11" s="1"/>
  <c r="X243" i="8"/>
  <c r="X162" i="12"/>
  <c r="CN119" i="11" s="1"/>
  <c r="Z243" i="8"/>
  <c r="Z162" i="12"/>
  <c r="CX119" i="11" s="1"/>
  <c r="AB243" i="8"/>
  <c r="AB162" i="12"/>
  <c r="DH119" i="11" s="1"/>
  <c r="R260" i="17"/>
  <c r="I131" i="12"/>
  <c r="Q17" i="11" s="1"/>
  <c r="Q116" i="11" s="1"/>
  <c r="Z260" i="17"/>
  <c r="K131" i="12"/>
  <c r="AA17" i="11" s="1"/>
  <c r="AA116" i="11" s="1"/>
  <c r="E8" i="21"/>
  <c r="AH260" i="17"/>
  <c r="M131" i="12"/>
  <c r="G8" i="21"/>
  <c r="AP260" i="17"/>
  <c r="O131" i="12"/>
  <c r="I8" i="21"/>
  <c r="AX260" i="17"/>
  <c r="Q131" i="12"/>
  <c r="K8" i="21"/>
  <c r="BF260" i="17"/>
  <c r="S131" i="12"/>
  <c r="M8" i="21"/>
  <c r="BN260" i="17"/>
  <c r="U131" i="12"/>
  <c r="O8" i="21"/>
  <c r="BV260" i="17"/>
  <c r="W131" i="12"/>
  <c r="Q8" i="21"/>
  <c r="CD260" i="17"/>
  <c r="Y131" i="12"/>
  <c r="S8" i="21"/>
  <c r="CL260" i="17"/>
  <c r="AA120" i="12"/>
  <c r="AA131" i="12"/>
  <c r="L36" i="6"/>
  <c r="H388" i="12"/>
  <c r="H361" i="12"/>
  <c r="H247" i="12"/>
  <c r="O7" i="11"/>
  <c r="H188" i="12"/>
  <c r="O35" i="11"/>
  <c r="X36" i="6"/>
  <c r="J388" i="12"/>
  <c r="J361" i="12"/>
  <c r="J247" i="12"/>
  <c r="Y7" i="11"/>
  <c r="J188" i="12"/>
  <c r="Y35" i="11"/>
  <c r="AJ36" i="6"/>
  <c r="L388" i="12"/>
  <c r="L361" i="12"/>
  <c r="L247" i="12"/>
  <c r="AI7" i="11"/>
  <c r="L188" i="12"/>
  <c r="L23" i="7" s="1"/>
  <c r="AI35" i="11"/>
  <c r="AV36" i="6"/>
  <c r="N388" i="12"/>
  <c r="N361" i="12"/>
  <c r="N247" i="12"/>
  <c r="AS7" i="11"/>
  <c r="N188" i="12"/>
  <c r="N23" i="7" s="1"/>
  <c r="AS35" i="11"/>
  <c r="BH36" i="6"/>
  <c r="P388" i="12"/>
  <c r="P361" i="12"/>
  <c r="P313" i="12"/>
  <c r="P247" i="12"/>
  <c r="BC7" i="11"/>
  <c r="P188" i="12"/>
  <c r="P23" i="7" s="1"/>
  <c r="BC35" i="11"/>
  <c r="BT36" i="6"/>
  <c r="R388" i="12"/>
  <c r="R361" i="12"/>
  <c r="R313" i="12"/>
  <c r="R307" i="12" s="1"/>
  <c r="R247" i="12"/>
  <c r="BM7" i="11"/>
  <c r="R188" i="12"/>
  <c r="R23" i="7" s="1"/>
  <c r="BM35" i="11"/>
  <c r="CF36" i="6"/>
  <c r="T388" i="12"/>
  <c r="T361" i="12"/>
  <c r="T313" i="12"/>
  <c r="T307" i="12" s="1"/>
  <c r="T247" i="12"/>
  <c r="BW7" i="11"/>
  <c r="T188" i="12"/>
  <c r="T23" i="7" s="1"/>
  <c r="BW35" i="11"/>
  <c r="CR36" i="6"/>
  <c r="V388" i="12"/>
  <c r="V361" i="12"/>
  <c r="V313" i="12"/>
  <c r="V307" i="12" s="1"/>
  <c r="V247" i="12"/>
  <c r="CG7" i="11"/>
  <c r="V188" i="12"/>
  <c r="V23" i="7" s="1"/>
  <c r="CG35" i="11"/>
  <c r="DD36" i="6"/>
  <c r="X388" i="12"/>
  <c r="X361" i="12"/>
  <c r="X313" i="12"/>
  <c r="X307" i="12" s="1"/>
  <c r="X247" i="12"/>
  <c r="CQ7" i="11"/>
  <c r="X188" i="12"/>
  <c r="X23" i="7" s="1"/>
  <c r="CQ35" i="11"/>
  <c r="C195" i="2"/>
  <c r="AT195" i="2" s="1"/>
  <c r="C136" i="2"/>
  <c r="DP36" i="6"/>
  <c r="Z388" i="12"/>
  <c r="Z361" i="12"/>
  <c r="Z313" i="12"/>
  <c r="Z307" i="12" s="1"/>
  <c r="Z247" i="12"/>
  <c r="DA7" i="11"/>
  <c r="Z188" i="12"/>
  <c r="Z23" i="7" s="1"/>
  <c r="DA35" i="11"/>
  <c r="EB36" i="6"/>
  <c r="AB388" i="12"/>
  <c r="AC391" i="12" s="1"/>
  <c r="AB361" i="12"/>
  <c r="AC366" i="12" s="1"/>
  <c r="AB247" i="12"/>
  <c r="DK7" i="11"/>
  <c r="AB188" i="12"/>
  <c r="AB23" i="7" s="1"/>
  <c r="DK35" i="11"/>
  <c r="N38" i="6"/>
  <c r="H198" i="12"/>
  <c r="O48" i="11"/>
  <c r="Z38" i="6"/>
  <c r="J198" i="12"/>
  <c r="Y48" i="11"/>
  <c r="AL38" i="6"/>
  <c r="L198" i="12"/>
  <c r="AI48" i="11"/>
  <c r="AX38" i="6"/>
  <c r="N198" i="12"/>
  <c r="AS48" i="11"/>
  <c r="BJ38" i="6"/>
  <c r="P198" i="12"/>
  <c r="BC48" i="11"/>
  <c r="BV38" i="6"/>
  <c r="R198" i="12"/>
  <c r="BM48" i="11"/>
  <c r="CH38" i="6"/>
  <c r="T198" i="12"/>
  <c r="BW48" i="11"/>
  <c r="CT38" i="6"/>
  <c r="V198" i="12"/>
  <c r="CG48" i="11"/>
  <c r="DF38" i="6"/>
  <c r="X198" i="12"/>
  <c r="CQ48" i="11"/>
  <c r="C218" i="2"/>
  <c r="DR38" i="6"/>
  <c r="Z198" i="12"/>
  <c r="DA48" i="11"/>
  <c r="ED38" i="6"/>
  <c r="E218" i="2"/>
  <c r="AV218" i="2" s="1"/>
  <c r="AB198" i="12"/>
  <c r="DK48" i="11"/>
  <c r="DQ48" i="11" s="1"/>
  <c r="G394" i="12"/>
  <c r="G194" i="12"/>
  <c r="J50" i="11"/>
  <c r="G248" i="12"/>
  <c r="J8" i="11"/>
  <c r="I394" i="12"/>
  <c r="I194" i="12"/>
  <c r="T50" i="11"/>
  <c r="I248" i="12"/>
  <c r="I199" i="12"/>
  <c r="T8" i="11"/>
  <c r="K394" i="12"/>
  <c r="K194" i="12"/>
  <c r="AD50" i="11"/>
  <c r="K248" i="12"/>
  <c r="K199" i="12"/>
  <c r="AD8" i="11"/>
  <c r="M394" i="12"/>
  <c r="M194" i="12"/>
  <c r="AN50" i="11"/>
  <c r="M248" i="12"/>
  <c r="M199" i="12"/>
  <c r="AN8" i="11"/>
  <c r="O394" i="12"/>
  <c r="O194" i="12"/>
  <c r="AX50" i="11"/>
  <c r="O248" i="12"/>
  <c r="O199" i="12"/>
  <c r="AX8" i="11"/>
  <c r="Q394" i="12"/>
  <c r="Q194" i="12"/>
  <c r="BH50" i="11"/>
  <c r="Q248" i="12"/>
  <c r="Q199" i="12"/>
  <c r="BH8" i="11"/>
  <c r="S394" i="12"/>
  <c r="S194" i="12"/>
  <c r="BR50" i="11"/>
  <c r="S248" i="12"/>
  <c r="S199" i="12"/>
  <c r="BR8" i="11"/>
  <c r="U394" i="12"/>
  <c r="U194" i="12"/>
  <c r="CB50" i="11"/>
  <c r="U248" i="12"/>
  <c r="U199" i="12"/>
  <c r="CB8" i="11"/>
  <c r="W394" i="12"/>
  <c r="W194" i="12"/>
  <c r="CL50" i="11"/>
  <c r="W248" i="12"/>
  <c r="W199" i="12"/>
  <c r="CL8" i="11"/>
  <c r="Y394" i="12"/>
  <c r="Y194" i="12"/>
  <c r="CV50" i="11"/>
  <c r="Y248" i="12"/>
  <c r="Y199" i="12"/>
  <c r="CV8" i="11"/>
  <c r="D137" i="2"/>
  <c r="AU137" i="2" s="1"/>
  <c r="AA394" i="12"/>
  <c r="AA194" i="12"/>
  <c r="DF50" i="11"/>
  <c r="AA248" i="12"/>
  <c r="AA199" i="12"/>
  <c r="DF8" i="11"/>
  <c r="H37" i="6"/>
  <c r="J47" i="11"/>
  <c r="T37" i="6"/>
  <c r="I197" i="12"/>
  <c r="I435" i="7" s="1"/>
  <c r="T47" i="11"/>
  <c r="AF37" i="6"/>
  <c r="K197" i="12"/>
  <c r="K435" i="7" s="1"/>
  <c r="AD47" i="11"/>
  <c r="AR37" i="6"/>
  <c r="M197" i="12"/>
  <c r="M435" i="7" s="1"/>
  <c r="AN47" i="11"/>
  <c r="BD37" i="6"/>
  <c r="O197" i="12"/>
  <c r="O435" i="7" s="1"/>
  <c r="AX47" i="11"/>
  <c r="BP37" i="6"/>
  <c r="Q197" i="12"/>
  <c r="Q435" i="7" s="1"/>
  <c r="BH47" i="11"/>
  <c r="CB37" i="6"/>
  <c r="S197" i="12"/>
  <c r="S435" i="7" s="1"/>
  <c r="BR47" i="11"/>
  <c r="CN37" i="6"/>
  <c r="U197" i="12"/>
  <c r="U435" i="7" s="1"/>
  <c r="CB47" i="11"/>
  <c r="CZ37" i="6"/>
  <c r="W197" i="12"/>
  <c r="W435" i="7" s="1"/>
  <c r="CL47" i="11"/>
  <c r="DL37" i="6"/>
  <c r="Y197" i="12"/>
  <c r="Y435" i="7" s="1"/>
  <c r="D219" i="2"/>
  <c r="DX37" i="6"/>
  <c r="AA197" i="12"/>
  <c r="AA435" i="7" s="1"/>
  <c r="H402" i="12"/>
  <c r="H218" i="12"/>
  <c r="O58" i="11"/>
  <c r="J402" i="12"/>
  <c r="J218" i="12"/>
  <c r="Y58" i="11"/>
  <c r="L402" i="12"/>
  <c r="L218" i="12"/>
  <c r="AI58" i="11"/>
  <c r="N402" i="12"/>
  <c r="N218" i="12"/>
  <c r="AS58" i="11"/>
  <c r="P402" i="12"/>
  <c r="P218" i="12"/>
  <c r="BC58" i="11"/>
  <c r="R402" i="12"/>
  <c r="R218" i="12"/>
  <c r="BM58" i="11"/>
  <c r="T402" i="12"/>
  <c r="T218" i="12"/>
  <c r="BW58" i="11"/>
  <c r="V402" i="12"/>
  <c r="V218" i="12"/>
  <c r="CG58" i="11"/>
  <c r="X402" i="12"/>
  <c r="X218" i="12"/>
  <c r="CQ58" i="11"/>
  <c r="Z402" i="12"/>
  <c r="Z218" i="12"/>
  <c r="DA58" i="11"/>
  <c r="AB402" i="12"/>
  <c r="AB218" i="12"/>
  <c r="DK58" i="11"/>
  <c r="G403" i="12"/>
  <c r="J59" i="11"/>
  <c r="I403" i="12"/>
  <c r="T59" i="11"/>
  <c r="I219" i="12"/>
  <c r="K403" i="12"/>
  <c r="AD59" i="11"/>
  <c r="K219" i="12"/>
  <c r="M403" i="12"/>
  <c r="AN59" i="11"/>
  <c r="M219" i="12"/>
  <c r="O403" i="12"/>
  <c r="AX59" i="11"/>
  <c r="O219" i="12"/>
  <c r="Q403" i="12"/>
  <c r="BH59" i="11"/>
  <c r="Q219" i="12"/>
  <c r="S403" i="12"/>
  <c r="BR59" i="11"/>
  <c r="S219" i="12"/>
  <c r="U403" i="12"/>
  <c r="CB59" i="11"/>
  <c r="U219" i="12"/>
  <c r="W403" i="12"/>
  <c r="CL59" i="11"/>
  <c r="W219" i="12"/>
  <c r="Y403" i="12"/>
  <c r="CV59" i="11"/>
  <c r="Y219" i="12"/>
  <c r="D133" i="2"/>
  <c r="AU133" i="2" s="1"/>
  <c r="AA403" i="12"/>
  <c r="DF59" i="11"/>
  <c r="AA219" i="12"/>
  <c r="H407" i="12"/>
  <c r="H223" i="12"/>
  <c r="O63" i="11"/>
  <c r="J407" i="12"/>
  <c r="J223" i="12"/>
  <c r="Y63" i="11"/>
  <c r="L407" i="12"/>
  <c r="L223" i="12"/>
  <c r="AI63" i="11"/>
  <c r="N407" i="12"/>
  <c r="N223" i="12"/>
  <c r="AS63" i="11"/>
  <c r="P407" i="12"/>
  <c r="P223" i="12"/>
  <c r="BC63" i="11"/>
  <c r="R407" i="12"/>
  <c r="R223" i="12"/>
  <c r="BM63" i="11"/>
  <c r="T407" i="12"/>
  <c r="T223" i="12"/>
  <c r="BW63" i="11"/>
  <c r="V407" i="12"/>
  <c r="V223" i="12"/>
  <c r="CG63" i="11"/>
  <c r="X407" i="12"/>
  <c r="X223" i="12"/>
  <c r="CQ63" i="11"/>
  <c r="C140" i="2"/>
  <c r="AT140" i="2" s="1"/>
  <c r="Z407" i="12"/>
  <c r="Z223" i="12"/>
  <c r="DA63" i="11"/>
  <c r="AB407" i="12"/>
  <c r="AB223" i="12"/>
  <c r="DK63" i="11"/>
  <c r="G404" i="12"/>
  <c r="G207" i="12"/>
  <c r="J60" i="11"/>
  <c r="I404" i="12"/>
  <c r="I220" i="12"/>
  <c r="I207" i="12"/>
  <c r="T60" i="11"/>
  <c r="K404" i="12"/>
  <c r="K220" i="12"/>
  <c r="K207" i="12"/>
  <c r="AD60" i="11"/>
  <c r="M404" i="12"/>
  <c r="M220" i="12"/>
  <c r="M207" i="12"/>
  <c r="AN60" i="11"/>
  <c r="O404" i="12"/>
  <c r="O220" i="12"/>
  <c r="O207" i="12"/>
  <c r="AX60" i="11"/>
  <c r="Q404" i="12"/>
  <c r="Q220" i="12"/>
  <c r="Q207" i="12"/>
  <c r="BH60" i="11"/>
  <c r="S404" i="12"/>
  <c r="S220" i="12"/>
  <c r="S207" i="12"/>
  <c r="BR60" i="11"/>
  <c r="U404" i="12"/>
  <c r="U220" i="12"/>
  <c r="U207" i="12"/>
  <c r="CB60" i="11"/>
  <c r="W404" i="12"/>
  <c r="W220" i="12"/>
  <c r="W207" i="12"/>
  <c r="CL60" i="11"/>
  <c r="Y404" i="12"/>
  <c r="Y220" i="12"/>
  <c r="Y207" i="12"/>
  <c r="CV60" i="11"/>
  <c r="D139" i="2"/>
  <c r="AU139" i="2" s="1"/>
  <c r="AA404" i="12"/>
  <c r="AA220" i="12"/>
  <c r="AA207" i="12"/>
  <c r="DF60" i="11"/>
  <c r="K46" i="6"/>
  <c r="H409" i="12"/>
  <c r="H249" i="12"/>
  <c r="H231" i="12"/>
  <c r="H225" i="12"/>
  <c r="O65" i="11"/>
  <c r="O9" i="11"/>
  <c r="W46" i="6"/>
  <c r="J409" i="12"/>
  <c r="J249" i="12"/>
  <c r="J231" i="12"/>
  <c r="J225" i="12"/>
  <c r="Y65" i="11"/>
  <c r="Y9" i="11"/>
  <c r="AI46" i="6"/>
  <c r="L409" i="12"/>
  <c r="L249" i="12"/>
  <c r="L231" i="12"/>
  <c r="L225" i="12"/>
  <c r="AI65" i="11"/>
  <c r="AI9" i="11"/>
  <c r="AU46" i="6"/>
  <c r="N409" i="12"/>
  <c r="N249" i="12"/>
  <c r="N231" i="12"/>
  <c r="N225" i="12"/>
  <c r="AS65" i="11"/>
  <c r="AS9" i="11"/>
  <c r="BG46" i="6"/>
  <c r="P409" i="12"/>
  <c r="P249" i="12"/>
  <c r="P231" i="12"/>
  <c r="P225" i="12"/>
  <c r="BC65" i="11"/>
  <c r="BC9" i="11"/>
  <c r="BS46" i="6"/>
  <c r="R409" i="12"/>
  <c r="R249" i="12"/>
  <c r="R231" i="12"/>
  <c r="R225" i="12"/>
  <c r="BM65" i="11"/>
  <c r="BM9" i="11"/>
  <c r="CE46" i="6"/>
  <c r="T409" i="12"/>
  <c r="T249" i="12"/>
  <c r="T231" i="12"/>
  <c r="T225" i="12"/>
  <c r="BW65" i="11"/>
  <c r="BW9" i="11"/>
  <c r="CQ46" i="6"/>
  <c r="V409" i="12"/>
  <c r="V249" i="12"/>
  <c r="V231" i="12"/>
  <c r="V225" i="12"/>
  <c r="CG9" i="11"/>
  <c r="DC46" i="6"/>
  <c r="X409" i="12"/>
  <c r="X249" i="12"/>
  <c r="X231" i="12"/>
  <c r="X225" i="12"/>
  <c r="CQ9" i="11"/>
  <c r="C138" i="2"/>
  <c r="AT138" i="2" s="1"/>
  <c r="DO46" i="6"/>
  <c r="Z409" i="12"/>
  <c r="Z249" i="12"/>
  <c r="Z231" i="12"/>
  <c r="Z225" i="12"/>
  <c r="DA9" i="11"/>
  <c r="CW47" i="6"/>
  <c r="W544" i="7"/>
  <c r="W430" i="12"/>
  <c r="W267" i="12"/>
  <c r="CL11" i="11"/>
  <c r="CL81" i="11"/>
  <c r="DI47" i="6"/>
  <c r="Y544" i="7"/>
  <c r="Y430" i="12"/>
  <c r="Y267" i="12"/>
  <c r="Y263" i="12"/>
  <c r="CV11" i="11"/>
  <c r="CV81" i="11"/>
  <c r="D142" i="2"/>
  <c r="AU142" i="2" s="1"/>
  <c r="DU47" i="6"/>
  <c r="AA544" i="7"/>
  <c r="AA430" i="12"/>
  <c r="AA267" i="12"/>
  <c r="AA263" i="12"/>
  <c r="DF11" i="11"/>
  <c r="DF81" i="11"/>
  <c r="H266" i="12"/>
  <c r="H257" i="12"/>
  <c r="J266" i="12"/>
  <c r="J257" i="12"/>
  <c r="L266" i="12"/>
  <c r="L257" i="12"/>
  <c r="N266" i="12"/>
  <c r="N257" i="12"/>
  <c r="P266" i="12"/>
  <c r="P257" i="12"/>
  <c r="R266" i="12"/>
  <c r="R257" i="12"/>
  <c r="T266" i="12"/>
  <c r="T257" i="12"/>
  <c r="V266" i="12"/>
  <c r="V257" i="12"/>
  <c r="X266" i="12"/>
  <c r="X257" i="12"/>
  <c r="Z266" i="12"/>
  <c r="Z257" i="12"/>
  <c r="G298" i="12"/>
  <c r="I274" i="12"/>
  <c r="I298" i="12"/>
  <c r="K274" i="12"/>
  <c r="K298" i="12"/>
  <c r="M274" i="12"/>
  <c r="M298" i="12"/>
  <c r="O274" i="12"/>
  <c r="O298" i="12"/>
  <c r="Q274" i="12"/>
  <c r="Q298" i="12"/>
  <c r="S274" i="12"/>
  <c r="S298" i="12"/>
  <c r="U274" i="12"/>
  <c r="U298" i="12"/>
  <c r="W274" i="12"/>
  <c r="W298" i="12"/>
  <c r="Y274" i="12"/>
  <c r="Y298" i="12"/>
  <c r="AA274" i="12"/>
  <c r="AA298" i="12"/>
  <c r="G330" i="12"/>
  <c r="G437" i="12"/>
  <c r="J87" i="11"/>
  <c r="I330" i="12"/>
  <c r="I437" i="12"/>
  <c r="T87" i="11"/>
  <c r="I284" i="12"/>
  <c r="K330" i="12"/>
  <c r="K437" i="12"/>
  <c r="AD87" i="11"/>
  <c r="K284" i="12"/>
  <c r="M330" i="12"/>
  <c r="M437" i="12"/>
  <c r="AN87" i="11"/>
  <c r="M284" i="12"/>
  <c r="O330" i="12"/>
  <c r="O437" i="12"/>
  <c r="AX87" i="11"/>
  <c r="O284" i="12"/>
  <c r="Q330" i="12"/>
  <c r="Q437" i="12"/>
  <c r="BH87" i="11"/>
  <c r="Q284" i="12"/>
  <c r="S330" i="12"/>
  <c r="S437" i="12"/>
  <c r="BR87" i="11"/>
  <c r="S284" i="12"/>
  <c r="U330" i="12"/>
  <c r="U437" i="12"/>
  <c r="CB87" i="11"/>
  <c r="U284" i="12"/>
  <c r="W330" i="12"/>
  <c r="W437" i="12"/>
  <c r="CL87" i="11"/>
  <c r="W284" i="12"/>
  <c r="Y330" i="12"/>
  <c r="Y437" i="12"/>
  <c r="CV87" i="11"/>
  <c r="Y284" i="12"/>
  <c r="D143" i="2"/>
  <c r="AU143" i="2" s="1"/>
  <c r="AA330" i="12"/>
  <c r="AA437" i="12"/>
  <c r="DF87" i="11"/>
  <c r="AA284" i="12"/>
  <c r="H436" i="12"/>
  <c r="H283" i="12"/>
  <c r="O86" i="11"/>
  <c r="J436" i="12"/>
  <c r="J283" i="12"/>
  <c r="Y86" i="11"/>
  <c r="L436" i="12"/>
  <c r="L283" i="12"/>
  <c r="AI86" i="11"/>
  <c r="N436" i="12"/>
  <c r="N283" i="12"/>
  <c r="AS86" i="11"/>
  <c r="P436" i="12"/>
  <c r="P283" i="12"/>
  <c r="BC86" i="11"/>
  <c r="R436" i="12"/>
  <c r="R283" i="12"/>
  <c r="BM86" i="11"/>
  <c r="T436" i="12"/>
  <c r="T283" i="12"/>
  <c r="BW86" i="11"/>
  <c r="V436" i="12"/>
  <c r="V283" i="12"/>
  <c r="CG86" i="11"/>
  <c r="X436" i="12"/>
  <c r="X283" i="12"/>
  <c r="CQ86" i="11"/>
  <c r="C144" i="2"/>
  <c r="AT144" i="2" s="1"/>
  <c r="Z436" i="12"/>
  <c r="Z283" i="12"/>
  <c r="DA86" i="11"/>
  <c r="AB436" i="12"/>
  <c r="AB283" i="12"/>
  <c r="DK86" i="11"/>
  <c r="DN86" i="11" s="1"/>
  <c r="DO86" i="11" s="1"/>
  <c r="G331" i="12"/>
  <c r="G438" i="12"/>
  <c r="G299" i="12"/>
  <c r="G280" i="12"/>
  <c r="J88" i="11"/>
  <c r="J13" i="11"/>
  <c r="I331" i="12"/>
  <c r="I438" i="12"/>
  <c r="I285" i="12"/>
  <c r="I299" i="12"/>
  <c r="I280" i="12"/>
  <c r="T88" i="11"/>
  <c r="T13" i="11"/>
  <c r="K331" i="12"/>
  <c r="K438" i="12"/>
  <c r="K285" i="12"/>
  <c r="K299" i="12"/>
  <c r="K280" i="12"/>
  <c r="AD88" i="11"/>
  <c r="AD13" i="11"/>
  <c r="M331" i="12"/>
  <c r="M438" i="12"/>
  <c r="M285" i="12"/>
  <c r="M299" i="12"/>
  <c r="M280" i="12"/>
  <c r="AN88" i="11"/>
  <c r="AN13" i="11"/>
  <c r="O331" i="12"/>
  <c r="O438" i="12"/>
  <c r="O285" i="12"/>
  <c r="O299" i="12"/>
  <c r="O280" i="12"/>
  <c r="AX88" i="11"/>
  <c r="AX13" i="11"/>
  <c r="Q331" i="12"/>
  <c r="Q438" i="12"/>
  <c r="Q299" i="12"/>
  <c r="Q285" i="12"/>
  <c r="Q280" i="12"/>
  <c r="BH88" i="11"/>
  <c r="BH13" i="11"/>
  <c r="S331" i="12"/>
  <c r="S438" i="12"/>
  <c r="S299" i="12"/>
  <c r="S285" i="12"/>
  <c r="S280" i="12"/>
  <c r="BR88" i="11"/>
  <c r="BR13" i="11"/>
  <c r="U331" i="12"/>
  <c r="U438" i="12"/>
  <c r="U299" i="12"/>
  <c r="U285" i="12"/>
  <c r="U280" i="12"/>
  <c r="CB88" i="11"/>
  <c r="CB13" i="11"/>
  <c r="W331" i="12"/>
  <c r="W438" i="12"/>
  <c r="W299" i="12"/>
  <c r="W285" i="12"/>
  <c r="W280" i="12"/>
  <c r="CL88" i="11"/>
  <c r="O12" i="21" s="1"/>
  <c r="CL13" i="11"/>
  <c r="Y331" i="12"/>
  <c r="Y438" i="12"/>
  <c r="Y299" i="12"/>
  <c r="Y285" i="12"/>
  <c r="Y280" i="12"/>
  <c r="CV88" i="11"/>
  <c r="CV13" i="11"/>
  <c r="AA331" i="12"/>
  <c r="AA438" i="12"/>
  <c r="AA299" i="12"/>
  <c r="AA285" i="12"/>
  <c r="AA280" i="12"/>
  <c r="DF88" i="11"/>
  <c r="DF13" i="11"/>
  <c r="H317" i="12"/>
  <c r="H448" i="12"/>
  <c r="H339" i="12"/>
  <c r="H312" i="12"/>
  <c r="O103" i="11"/>
  <c r="P103" i="11" s="1"/>
  <c r="O15" i="11"/>
  <c r="J317" i="12"/>
  <c r="J448" i="12"/>
  <c r="J339" i="12"/>
  <c r="J312" i="12"/>
  <c r="Y103" i="11"/>
  <c r="Y15" i="11"/>
  <c r="L317" i="12"/>
  <c r="L448" i="12"/>
  <c r="L339" i="12"/>
  <c r="L312" i="12"/>
  <c r="AI103" i="11"/>
  <c r="AJ103" i="11" s="1"/>
  <c r="AI15" i="11"/>
  <c r="N317" i="12"/>
  <c r="N312" i="12"/>
  <c r="N448" i="12"/>
  <c r="N339" i="12"/>
  <c r="AS103" i="11"/>
  <c r="AS15" i="11"/>
  <c r="P317" i="12"/>
  <c r="P312" i="12"/>
  <c r="P448" i="12"/>
  <c r="P339" i="12"/>
  <c r="BC103" i="11"/>
  <c r="BD103" i="11" s="1"/>
  <c r="BC15" i="11"/>
  <c r="R317" i="12"/>
  <c r="R312" i="12"/>
  <c r="R448" i="12"/>
  <c r="R339" i="12"/>
  <c r="BM103" i="11"/>
  <c r="BS103" i="11" s="1"/>
  <c r="BM15" i="11"/>
  <c r="T317" i="12"/>
  <c r="T312" i="12"/>
  <c r="T448" i="12"/>
  <c r="T339" i="12"/>
  <c r="BW103" i="11"/>
  <c r="BX103" i="11" s="1"/>
  <c r="BW15" i="11"/>
  <c r="V317" i="12"/>
  <c r="V312" i="12"/>
  <c r="V448" i="12"/>
  <c r="V339" i="12"/>
  <c r="CG103" i="11"/>
  <c r="CM103" i="11" s="1"/>
  <c r="CG15" i="11"/>
  <c r="X317" i="12"/>
  <c r="X312" i="12"/>
  <c r="X448" i="12"/>
  <c r="X339" i="12"/>
  <c r="CQ103" i="11"/>
  <c r="CR103" i="11" s="1"/>
  <c r="CQ15" i="11"/>
  <c r="Z317" i="12"/>
  <c r="Z312" i="12"/>
  <c r="Z448" i="12"/>
  <c r="Z339" i="12"/>
  <c r="DA103" i="11"/>
  <c r="DG103" i="11" s="1"/>
  <c r="DA15" i="11"/>
  <c r="AB317" i="12"/>
  <c r="AB312" i="12"/>
  <c r="AB448" i="12"/>
  <c r="AB339" i="12"/>
  <c r="DK15" i="11"/>
  <c r="G46" i="6"/>
  <c r="G243" i="12"/>
  <c r="S46" i="6"/>
  <c r="I243" i="12"/>
  <c r="I237" i="12"/>
  <c r="AE46" i="6"/>
  <c r="K243" i="12"/>
  <c r="AD73" i="11"/>
  <c r="AE73" i="11" s="1"/>
  <c r="K237" i="12"/>
  <c r="AQ46" i="6"/>
  <c r="M735" i="7"/>
  <c r="M243" i="12"/>
  <c r="AN73" i="11"/>
  <c r="M237" i="12"/>
  <c r="BC46" i="6"/>
  <c r="O735" i="7"/>
  <c r="O243" i="12"/>
  <c r="AX73" i="11"/>
  <c r="O237" i="12"/>
  <c r="BO46" i="6"/>
  <c r="Q735" i="7"/>
  <c r="Q243" i="12"/>
  <c r="BH73" i="11"/>
  <c r="Q237" i="12"/>
  <c r="CA46" i="6"/>
  <c r="S735" i="7"/>
  <c r="S243" i="12"/>
  <c r="BR73" i="11"/>
  <c r="S237" i="12"/>
  <c r="CM46" i="6"/>
  <c r="U735" i="7"/>
  <c r="U243" i="12"/>
  <c r="CB73" i="11"/>
  <c r="U237" i="12"/>
  <c r="CY46" i="6"/>
  <c r="W735" i="7"/>
  <c r="W243" i="12"/>
  <c r="CL73" i="11"/>
  <c r="W237" i="12"/>
  <c r="AA237" i="12"/>
  <c r="N46" i="6"/>
  <c r="H424" i="12"/>
  <c r="H242" i="12"/>
  <c r="H236" i="12"/>
  <c r="Z46" i="6"/>
  <c r="J424" i="12"/>
  <c r="J242" i="12"/>
  <c r="J236" i="12"/>
  <c r="AL46" i="6"/>
  <c r="L763" i="7"/>
  <c r="L662" i="7"/>
  <c r="L676" i="7" s="1"/>
  <c r="L424" i="12"/>
  <c r="L242" i="12"/>
  <c r="L236" i="12"/>
  <c r="AI71" i="11"/>
  <c r="AG71" i="11" s="1"/>
  <c r="L177" i="12" s="1"/>
  <c r="AX46" i="6"/>
  <c r="N763" i="7"/>
  <c r="N662" i="7"/>
  <c r="N676" i="7" s="1"/>
  <c r="N424" i="12"/>
  <c r="N242" i="12"/>
  <c r="N236" i="12"/>
  <c r="AS71" i="11"/>
  <c r="BJ46" i="6"/>
  <c r="P763" i="7"/>
  <c r="P662" i="7"/>
  <c r="P676" i="7" s="1"/>
  <c r="P424" i="12"/>
  <c r="P242" i="12"/>
  <c r="P236" i="12"/>
  <c r="BC71" i="11"/>
  <c r="BV46" i="6"/>
  <c r="R763" i="7"/>
  <c r="R662" i="7"/>
  <c r="R676" i="7" s="1"/>
  <c r="R424" i="12"/>
  <c r="R242" i="12"/>
  <c r="R236" i="12"/>
  <c r="BM71" i="11"/>
  <c r="CH46" i="6"/>
  <c r="T763" i="7"/>
  <c r="T662" i="7"/>
  <c r="T676" i="7" s="1"/>
  <c r="T424" i="12"/>
  <c r="T242" i="12"/>
  <c r="T236" i="12"/>
  <c r="BW71" i="11"/>
  <c r="CT46" i="6"/>
  <c r="V763" i="7"/>
  <c r="V662" i="7"/>
  <c r="V676" i="7" s="1"/>
  <c r="V424" i="12"/>
  <c r="V242" i="12"/>
  <c r="V236" i="12"/>
  <c r="CG71" i="11"/>
  <c r="DF46" i="6"/>
  <c r="X763" i="7"/>
  <c r="X662" i="7"/>
  <c r="X676" i="7" s="1"/>
  <c r="X424" i="12"/>
  <c r="X242" i="12"/>
  <c r="X236" i="12"/>
  <c r="CQ71" i="11"/>
  <c r="C226" i="2"/>
  <c r="DR46" i="6"/>
  <c r="Z763" i="7"/>
  <c r="Z662" i="7"/>
  <c r="Z676" i="7" s="1"/>
  <c r="Z424" i="12"/>
  <c r="Z242" i="12"/>
  <c r="Z236" i="12"/>
  <c r="DA71" i="11"/>
  <c r="L46" i="6"/>
  <c r="H235" i="12"/>
  <c r="H241" i="12"/>
  <c r="X46" i="6"/>
  <c r="J235" i="12"/>
  <c r="J241" i="12"/>
  <c r="AJ46" i="6"/>
  <c r="L718" i="7"/>
  <c r="L235" i="12"/>
  <c r="L241" i="12"/>
  <c r="AI72" i="11"/>
  <c r="AV46" i="6"/>
  <c r="N718" i="7"/>
  <c r="N235" i="12"/>
  <c r="N241" i="12"/>
  <c r="AS72" i="11"/>
  <c r="BH46" i="6"/>
  <c r="P718" i="7"/>
  <c r="P235" i="12"/>
  <c r="P241" i="12"/>
  <c r="BC72" i="11"/>
  <c r="BT46" i="6"/>
  <c r="R718" i="7"/>
  <c r="R235" i="12"/>
  <c r="R241" i="12"/>
  <c r="BM72" i="11"/>
  <c r="CF46" i="6"/>
  <c r="T718" i="7"/>
  <c r="T235" i="12"/>
  <c r="T241" i="12"/>
  <c r="BW72" i="11"/>
  <c r="CR46" i="6"/>
  <c r="V718" i="7"/>
  <c r="V235" i="12"/>
  <c r="V241" i="12"/>
  <c r="CG72" i="11"/>
  <c r="DD46" i="6"/>
  <c r="X718" i="7"/>
  <c r="X235" i="12"/>
  <c r="X241" i="12"/>
  <c r="CQ72" i="11"/>
  <c r="DP46" i="6"/>
  <c r="Z718" i="7"/>
  <c r="Z235" i="12"/>
  <c r="Z241" i="12"/>
  <c r="DA72" i="11"/>
  <c r="G290" i="12"/>
  <c r="J94" i="11"/>
  <c r="J96" i="11" s="1"/>
  <c r="I293" i="12"/>
  <c r="I290" i="12"/>
  <c r="T94" i="11"/>
  <c r="K293" i="12"/>
  <c r="K290" i="12"/>
  <c r="AD94" i="11"/>
  <c r="M293" i="12"/>
  <c r="M290" i="12"/>
  <c r="AN94" i="11"/>
  <c r="O293" i="12"/>
  <c r="O290" i="12"/>
  <c r="AX94" i="11"/>
  <c r="Q293" i="12"/>
  <c r="Q290" i="12"/>
  <c r="BH94" i="11"/>
  <c r="S293" i="12"/>
  <c r="S290" i="12"/>
  <c r="BR94" i="11"/>
  <c r="U293" i="12"/>
  <c r="U290" i="12"/>
  <c r="CB94" i="11"/>
  <c r="W293" i="12"/>
  <c r="W290" i="12"/>
  <c r="CL94" i="11"/>
  <c r="Y293" i="12"/>
  <c r="Y290" i="12"/>
  <c r="CV94" i="11"/>
  <c r="AA293" i="12"/>
  <c r="AA290" i="12"/>
  <c r="AB295" i="12" s="1"/>
  <c r="DF94" i="11"/>
  <c r="DL94" i="11" s="1"/>
  <c r="H294" i="12"/>
  <c r="O95" i="11"/>
  <c r="J294" i="12"/>
  <c r="Y95" i="11"/>
  <c r="L294" i="12"/>
  <c r="AI95" i="11"/>
  <c r="N294" i="12"/>
  <c r="AS95" i="11"/>
  <c r="P294" i="12"/>
  <c r="BC95" i="11"/>
  <c r="R294" i="12"/>
  <c r="BM95" i="11"/>
  <c r="T294" i="12"/>
  <c r="BW95" i="11"/>
  <c r="V294" i="12"/>
  <c r="CG95" i="11"/>
  <c r="X294" i="12"/>
  <c r="CQ95" i="11"/>
  <c r="C249" i="2"/>
  <c r="AT249" i="2" s="1"/>
  <c r="Z294" i="12"/>
  <c r="DA95" i="11"/>
  <c r="K15" i="8"/>
  <c r="K21" i="8"/>
  <c r="O15" i="8"/>
  <c r="O21" i="8"/>
  <c r="S15" i="8"/>
  <c r="S21" i="8"/>
  <c r="W15" i="8"/>
  <c r="W21" i="8"/>
  <c r="AA15" i="8"/>
  <c r="L22" i="8"/>
  <c r="L16" i="8"/>
  <c r="L6" i="8"/>
  <c r="P22" i="8"/>
  <c r="P16" i="8"/>
  <c r="P6" i="8"/>
  <c r="R22" i="8"/>
  <c r="R16" i="8"/>
  <c r="R6" i="8"/>
  <c r="V22" i="8"/>
  <c r="V16" i="8"/>
  <c r="V6" i="8"/>
  <c r="C176" i="2"/>
  <c r="AT176" i="2" s="1"/>
  <c r="Z16" i="8"/>
  <c r="Z6" i="8"/>
  <c r="I23" i="8"/>
  <c r="I9" i="8"/>
  <c r="I17" i="8"/>
  <c r="M23" i="8"/>
  <c r="M9" i="8"/>
  <c r="M17" i="8"/>
  <c r="Q23" i="8"/>
  <c r="Q9" i="8"/>
  <c r="Q17" i="8"/>
  <c r="U23" i="8"/>
  <c r="U9" i="8"/>
  <c r="U17" i="8"/>
  <c r="Y23" i="8"/>
  <c r="Y9" i="8"/>
  <c r="Y17" i="8"/>
  <c r="J244" i="8"/>
  <c r="J100" i="8"/>
  <c r="J62" i="8"/>
  <c r="J33" i="8"/>
  <c r="J51" i="8"/>
  <c r="N244" i="8"/>
  <c r="N100" i="8"/>
  <c r="N62" i="8"/>
  <c r="N33" i="8"/>
  <c r="N51" i="8"/>
  <c r="R244" i="8"/>
  <c r="R100" i="8"/>
  <c r="R62" i="8"/>
  <c r="R33" i="8"/>
  <c r="R51" i="8"/>
  <c r="V244" i="8"/>
  <c r="V100" i="8"/>
  <c r="V62" i="8"/>
  <c r="V33" i="8"/>
  <c r="V51" i="8"/>
  <c r="AB244" i="8"/>
  <c r="AB100" i="8"/>
  <c r="AB51" i="8"/>
  <c r="G77" i="8"/>
  <c r="G192" i="8" s="1"/>
  <c r="G30" i="8"/>
  <c r="G188" i="8" s="1"/>
  <c r="K77" i="8"/>
  <c r="K192" i="8" s="1"/>
  <c r="K30" i="8"/>
  <c r="K188" i="8" s="1"/>
  <c r="K60" i="8"/>
  <c r="K49" i="8"/>
  <c r="O77" i="8"/>
  <c r="O192" i="8" s="1"/>
  <c r="O30" i="8"/>
  <c r="O188" i="8" s="1"/>
  <c r="O60" i="8"/>
  <c r="O49" i="8"/>
  <c r="S77" i="8"/>
  <c r="S192" i="8" s="1"/>
  <c r="S30" i="8"/>
  <c r="S188" i="8" s="1"/>
  <c r="S60" i="8"/>
  <c r="S49" i="8"/>
  <c r="W77" i="8"/>
  <c r="W192" i="8" s="1"/>
  <c r="W30" i="8"/>
  <c r="W60" i="8"/>
  <c r="W49" i="8"/>
  <c r="D163" i="2"/>
  <c r="AU163" i="2" s="1"/>
  <c r="AA77" i="8"/>
  <c r="AA192" i="8" s="1"/>
  <c r="AA30" i="8"/>
  <c r="AA60" i="8"/>
  <c r="AA49" i="8"/>
  <c r="J65" i="8"/>
  <c r="J54" i="8"/>
  <c r="J12" i="8"/>
  <c r="J42" i="8" s="1"/>
  <c r="N65" i="8"/>
  <c r="N54" i="8"/>
  <c r="N12" i="8"/>
  <c r="N39" i="8" s="1"/>
  <c r="R65" i="8"/>
  <c r="R54" i="8"/>
  <c r="R12" i="8"/>
  <c r="R42" i="8" s="1"/>
  <c r="V65" i="8"/>
  <c r="V54" i="8"/>
  <c r="V12" i="8"/>
  <c r="V39" i="8" s="1"/>
  <c r="C178" i="2"/>
  <c r="AT178" i="2" s="1"/>
  <c r="Z65" i="8"/>
  <c r="Z54" i="8"/>
  <c r="Z12" i="8"/>
  <c r="Z39" i="8" s="1"/>
  <c r="L452" i="7"/>
  <c r="L441" i="7"/>
  <c r="N452" i="7"/>
  <c r="N441" i="7"/>
  <c r="P452" i="7"/>
  <c r="P441" i="7"/>
  <c r="R452" i="7"/>
  <c r="R441" i="7"/>
  <c r="T452" i="7"/>
  <c r="T441" i="7"/>
  <c r="V452" i="7"/>
  <c r="V441" i="7"/>
  <c r="X452" i="7"/>
  <c r="X441" i="7"/>
  <c r="Z452" i="7"/>
  <c r="Z441" i="7"/>
  <c r="AB441" i="7"/>
  <c r="M557" i="7"/>
  <c r="M551" i="7"/>
  <c r="O557" i="7"/>
  <c r="O551" i="7"/>
  <c r="Q557" i="7"/>
  <c r="Q551" i="7"/>
  <c r="S557" i="7"/>
  <c r="S551" i="7"/>
  <c r="U557" i="7"/>
  <c r="U551" i="7"/>
  <c r="H338" i="12"/>
  <c r="J338" i="12"/>
  <c r="L338" i="12"/>
  <c r="N338" i="12"/>
  <c r="P338" i="12"/>
  <c r="R338" i="12"/>
  <c r="T338" i="12"/>
  <c r="V338" i="12"/>
  <c r="X338" i="12"/>
  <c r="M581" i="7"/>
  <c r="M575" i="7"/>
  <c r="O581" i="7"/>
  <c r="O575" i="7"/>
  <c r="Q581" i="7"/>
  <c r="Q575" i="7"/>
  <c r="S581" i="7"/>
  <c r="S575" i="7"/>
  <c r="U581" i="7"/>
  <c r="U575" i="7"/>
  <c r="W581" i="7"/>
  <c r="W575" i="7"/>
  <c r="Y581" i="7"/>
  <c r="Y575" i="7"/>
  <c r="AA581" i="7"/>
  <c r="AA575" i="7"/>
  <c r="L798" i="7"/>
  <c r="N798" i="7"/>
  <c r="P798" i="7"/>
  <c r="R798" i="7"/>
  <c r="T798" i="7"/>
  <c r="V798" i="7"/>
  <c r="X798" i="7"/>
  <c r="Z798" i="7"/>
  <c r="H447" i="12"/>
  <c r="H316" i="12"/>
  <c r="J447" i="12"/>
  <c r="J316" i="12"/>
  <c r="L447" i="12"/>
  <c r="L316" i="12"/>
  <c r="N447" i="12"/>
  <c r="N316" i="12"/>
  <c r="P447" i="12"/>
  <c r="P316" i="12"/>
  <c r="R447" i="12"/>
  <c r="R316" i="12"/>
  <c r="T447" i="12"/>
  <c r="T316" i="12"/>
  <c r="V447" i="12"/>
  <c r="V316" i="12"/>
  <c r="X447" i="12"/>
  <c r="X316" i="12"/>
  <c r="C145" i="2"/>
  <c r="AT145" i="2" s="1"/>
  <c r="Z447" i="12"/>
  <c r="Z316" i="12"/>
  <c r="AB447" i="12"/>
  <c r="AB316" i="12"/>
  <c r="G446" i="12"/>
  <c r="I446" i="12"/>
  <c r="I315" i="12"/>
  <c r="K446" i="12"/>
  <c r="K315" i="12"/>
  <c r="M446" i="12"/>
  <c r="M315" i="12"/>
  <c r="O446" i="12"/>
  <c r="O315" i="12"/>
  <c r="Q446" i="12"/>
  <c r="Q315" i="12"/>
  <c r="S446" i="12"/>
  <c r="S315" i="12"/>
  <c r="U446" i="12"/>
  <c r="U315" i="12"/>
  <c r="W446" i="12"/>
  <c r="W315" i="12"/>
  <c r="Y446" i="12"/>
  <c r="Y315" i="12"/>
  <c r="D146" i="2"/>
  <c r="AA446" i="12"/>
  <c r="AA315" i="12"/>
  <c r="K5" i="6"/>
  <c r="H456" i="12"/>
  <c r="H348" i="12"/>
  <c r="W5" i="6"/>
  <c r="J456" i="12"/>
  <c r="J348" i="12"/>
  <c r="L698" i="7"/>
  <c r="AI5" i="6"/>
  <c r="D6" i="21"/>
  <c r="L30" i="7"/>
  <c r="L456" i="12"/>
  <c r="L348" i="12"/>
  <c r="N698" i="7"/>
  <c r="AU5" i="6"/>
  <c r="F6" i="21"/>
  <c r="N30" i="7"/>
  <c r="N456" i="12"/>
  <c r="N348" i="12"/>
  <c r="P698" i="7"/>
  <c r="BG5" i="6"/>
  <c r="H6" i="21"/>
  <c r="P456" i="12"/>
  <c r="P348" i="12"/>
  <c r="R698" i="7"/>
  <c r="BS5" i="6"/>
  <c r="J6" i="21"/>
  <c r="R456" i="12"/>
  <c r="R348" i="12"/>
  <c r="T698" i="7"/>
  <c r="CE5" i="6"/>
  <c r="T621" i="7"/>
  <c r="L6" i="21"/>
  <c r="T456" i="12"/>
  <c r="T348" i="12"/>
  <c r="V698" i="7"/>
  <c r="CQ5" i="6"/>
  <c r="V621" i="7"/>
  <c r="N6" i="21"/>
  <c r="V456" i="12"/>
  <c r="V348" i="12"/>
  <c r="X698" i="7"/>
  <c r="DC5" i="6"/>
  <c r="X621" i="7"/>
  <c r="P6" i="21"/>
  <c r="X456" i="12"/>
  <c r="X348" i="12"/>
  <c r="C147" i="2"/>
  <c r="AT147" i="2" s="1"/>
  <c r="Z698" i="7"/>
  <c r="DO5" i="6"/>
  <c r="Z621" i="7"/>
  <c r="R6" i="21"/>
  <c r="Z456" i="12"/>
  <c r="Z348" i="12"/>
  <c r="G352" i="12"/>
  <c r="I352" i="12"/>
  <c r="K352" i="12"/>
  <c r="M101" i="7"/>
  <c r="M95" i="7"/>
  <c r="M352" i="12"/>
  <c r="O101" i="7"/>
  <c r="O95" i="7"/>
  <c r="O352" i="12"/>
  <c r="Q101" i="7"/>
  <c r="Q95" i="7"/>
  <c r="Q352" i="12"/>
  <c r="S101" i="7"/>
  <c r="S95" i="7"/>
  <c r="S352" i="12"/>
  <c r="U101" i="7"/>
  <c r="U95" i="7"/>
  <c r="U352" i="12"/>
  <c r="W101" i="7"/>
  <c r="W95" i="7"/>
  <c r="W352" i="12"/>
  <c r="Y101" i="7"/>
  <c r="Y95" i="7"/>
  <c r="Y352" i="12"/>
  <c r="AA101" i="7"/>
  <c r="AA95" i="7"/>
  <c r="AA352" i="12"/>
  <c r="H232" i="8"/>
  <c r="H224" i="8"/>
  <c r="H190" i="8"/>
  <c r="H166" i="8"/>
  <c r="J232" i="8"/>
  <c r="J224" i="8"/>
  <c r="J190" i="8"/>
  <c r="J166" i="8"/>
  <c r="L232" i="8"/>
  <c r="L224" i="8"/>
  <c r="L276" i="7" s="1"/>
  <c r="L190" i="8"/>
  <c r="L166" i="8"/>
  <c r="N232" i="8"/>
  <c r="N224" i="8"/>
  <c r="N276" i="7" s="1"/>
  <c r="N190" i="8"/>
  <c r="N166" i="8"/>
  <c r="P232" i="8"/>
  <c r="P224" i="8"/>
  <c r="P276" i="7" s="1"/>
  <c r="P190" i="8"/>
  <c r="P166" i="8"/>
  <c r="R232" i="8"/>
  <c r="R224" i="8"/>
  <c r="R276" i="7" s="1"/>
  <c r="R190" i="8"/>
  <c r="R166" i="8"/>
  <c r="T232" i="8"/>
  <c r="T224" i="8"/>
  <c r="T276" i="7" s="1"/>
  <c r="T190" i="8"/>
  <c r="T166" i="8"/>
  <c r="V232" i="8"/>
  <c r="V224" i="8"/>
  <c r="V276" i="7" s="1"/>
  <c r="V190" i="8"/>
  <c r="V166" i="8"/>
  <c r="X232" i="8"/>
  <c r="X224" i="8"/>
  <c r="X276" i="7" s="1"/>
  <c r="X190" i="8"/>
  <c r="X166" i="8"/>
  <c r="C161" i="2"/>
  <c r="AT161" i="2" s="1"/>
  <c r="Z232" i="8"/>
  <c r="Z224" i="8"/>
  <c r="Z276" i="7" s="1"/>
  <c r="Z190" i="8"/>
  <c r="Z166" i="8"/>
  <c r="AB224" i="8"/>
  <c r="AB276" i="7" s="1"/>
  <c r="E6" i="6"/>
  <c r="Q6" i="6"/>
  <c r="AC6" i="6"/>
  <c r="AO6" i="6"/>
  <c r="M17" i="7"/>
  <c r="M14" i="7"/>
  <c r="M26" i="7"/>
  <c r="BA6" i="6"/>
  <c r="O17" i="7"/>
  <c r="O14" i="7"/>
  <c r="O26" i="7"/>
  <c r="BM6" i="6"/>
  <c r="Q17" i="7"/>
  <c r="Q14" i="7"/>
  <c r="Q26" i="7"/>
  <c r="BY6" i="6"/>
  <c r="S17" i="7"/>
  <c r="S14" i="7"/>
  <c r="S26" i="7"/>
  <c r="CK6" i="6"/>
  <c r="U17" i="7"/>
  <c r="U14" i="7"/>
  <c r="U26" i="7"/>
  <c r="CW6" i="6"/>
  <c r="W17" i="7"/>
  <c r="W14" i="7"/>
  <c r="W26" i="7"/>
  <c r="DI6" i="6"/>
  <c r="Y17" i="7"/>
  <c r="Y14" i="7"/>
  <c r="Y26" i="7"/>
  <c r="D150" i="2"/>
  <c r="AU150" i="2" s="1"/>
  <c r="DU6" i="6"/>
  <c r="AA17" i="7"/>
  <c r="AA14" i="7"/>
  <c r="AA26" i="7"/>
  <c r="K7" i="6"/>
  <c r="W7" i="6"/>
  <c r="AI7" i="6"/>
  <c r="L54" i="7"/>
  <c r="L51" i="7"/>
  <c r="L62" i="7"/>
  <c r="AU7" i="6"/>
  <c r="N54" i="7"/>
  <c r="N51" i="7"/>
  <c r="N62" i="7"/>
  <c r="BG7" i="6"/>
  <c r="P54" i="7"/>
  <c r="P51" i="7"/>
  <c r="P62" i="7"/>
  <c r="BS7" i="6"/>
  <c r="R54" i="7"/>
  <c r="R51" i="7"/>
  <c r="R62" i="7"/>
  <c r="CE7" i="6"/>
  <c r="T54" i="7"/>
  <c r="T51" i="7"/>
  <c r="T62" i="7"/>
  <c r="CQ7" i="6"/>
  <c r="V54" i="7"/>
  <c r="V51" i="7"/>
  <c r="V62" i="7"/>
  <c r="DC7" i="6"/>
  <c r="X54" i="7"/>
  <c r="X51" i="7"/>
  <c r="X62" i="7"/>
  <c r="C151" i="2"/>
  <c r="AT151" i="2" s="1"/>
  <c r="DO7" i="6"/>
  <c r="Z54" i="7"/>
  <c r="Z51" i="7"/>
  <c r="Z62" i="7"/>
  <c r="EA7" i="6"/>
  <c r="E151" i="2"/>
  <c r="H200" i="20" s="1"/>
  <c r="Y200" i="20" s="1"/>
  <c r="M130" i="7"/>
  <c r="M124" i="7"/>
  <c r="O130" i="7"/>
  <c r="O124" i="7"/>
  <c r="Q130" i="7"/>
  <c r="Q124" i="7"/>
  <c r="S130" i="7"/>
  <c r="S124" i="7"/>
  <c r="U130" i="7"/>
  <c r="U124" i="7"/>
  <c r="W130" i="7"/>
  <c r="W124" i="7"/>
  <c r="Y130" i="7"/>
  <c r="Y124" i="7"/>
  <c r="AA130" i="7"/>
  <c r="AA124" i="7"/>
  <c r="M8" i="6"/>
  <c r="Y8" i="6"/>
  <c r="AK8" i="6"/>
  <c r="L108" i="7"/>
  <c r="L99" i="7"/>
  <c r="L93" i="7"/>
  <c r="AW8" i="6"/>
  <c r="N108" i="7"/>
  <c r="N99" i="7"/>
  <c r="N93" i="7"/>
  <c r="BI8" i="6"/>
  <c r="P108" i="7"/>
  <c r="P99" i="7"/>
  <c r="P93" i="7"/>
  <c r="BU8" i="6"/>
  <c r="R108" i="7"/>
  <c r="R99" i="7"/>
  <c r="R93" i="7"/>
  <c r="CG8" i="6"/>
  <c r="T108" i="7"/>
  <c r="T99" i="7"/>
  <c r="T93" i="7"/>
  <c r="CS8" i="6"/>
  <c r="V108" i="7"/>
  <c r="V99" i="7"/>
  <c r="V93" i="7"/>
  <c r="DE8" i="6"/>
  <c r="X108" i="7"/>
  <c r="X99" i="7"/>
  <c r="X93" i="7"/>
  <c r="C200" i="2"/>
  <c r="AT200" i="2" s="1"/>
  <c r="DQ8" i="6"/>
  <c r="Z108" i="7"/>
  <c r="Z99" i="7"/>
  <c r="Z93" i="7"/>
  <c r="G9" i="6"/>
  <c r="S9" i="6"/>
  <c r="AE9" i="6"/>
  <c r="AQ9" i="6"/>
  <c r="M80" i="7"/>
  <c r="M28" i="7"/>
  <c r="M19" i="7"/>
  <c r="BC9" i="6"/>
  <c r="O80" i="7"/>
  <c r="O28" i="7"/>
  <c r="O19" i="7"/>
  <c r="BO9" i="6"/>
  <c r="Q80" i="7"/>
  <c r="Q28" i="7"/>
  <c r="Q19" i="7"/>
  <c r="CA9" i="6"/>
  <c r="S80" i="7"/>
  <c r="S28" i="7"/>
  <c r="S19" i="7"/>
  <c r="CM9" i="6"/>
  <c r="U80" i="7"/>
  <c r="U28" i="7"/>
  <c r="U19" i="7"/>
  <c r="CY9" i="6"/>
  <c r="W80" i="7"/>
  <c r="W28" i="7"/>
  <c r="W19" i="7"/>
  <c r="DK9" i="6"/>
  <c r="Y80" i="7"/>
  <c r="Y28" i="7"/>
  <c r="Y19" i="7"/>
  <c r="D202" i="2"/>
  <c r="AU202" i="2" s="1"/>
  <c r="DW9" i="6"/>
  <c r="AA80" i="7"/>
  <c r="AA28" i="7"/>
  <c r="AA19" i="7"/>
  <c r="M10" i="6"/>
  <c r="Y10" i="6"/>
  <c r="AK10" i="6"/>
  <c r="L56" i="7"/>
  <c r="L64" i="7"/>
  <c r="AW10" i="6"/>
  <c r="N56" i="7"/>
  <c r="N64" i="7"/>
  <c r="BI10" i="6"/>
  <c r="P56" i="7"/>
  <c r="P64" i="7"/>
  <c r="BU10" i="6"/>
  <c r="R56" i="7"/>
  <c r="R64" i="7"/>
  <c r="CG10" i="6"/>
  <c r="T56" i="7"/>
  <c r="T64" i="7"/>
  <c r="CS10" i="6"/>
  <c r="V56" i="7"/>
  <c r="V64" i="7"/>
  <c r="DE10" i="6"/>
  <c r="X56" i="7"/>
  <c r="X64" i="7"/>
  <c r="C201" i="2"/>
  <c r="AT201" i="2" s="1"/>
  <c r="DQ10" i="6"/>
  <c r="Z56" i="7"/>
  <c r="Z64" i="7"/>
  <c r="G11" i="6"/>
  <c r="G230" i="8"/>
  <c r="S11" i="6"/>
  <c r="I230" i="8"/>
  <c r="I222" i="8"/>
  <c r="AE11" i="6"/>
  <c r="K230" i="8"/>
  <c r="K222" i="8"/>
  <c r="AQ11" i="6"/>
  <c r="M81" i="7"/>
  <c r="M230" i="8"/>
  <c r="M222" i="8"/>
  <c r="BC11" i="6"/>
  <c r="O81" i="7"/>
  <c r="O230" i="8"/>
  <c r="O222" i="8"/>
  <c r="BO11" i="6"/>
  <c r="Q81" i="7"/>
  <c r="Q230" i="8"/>
  <c r="Q222" i="8"/>
  <c r="CA11" i="6"/>
  <c r="S81" i="7"/>
  <c r="S230" i="8"/>
  <c r="S222" i="8"/>
  <c r="CM11" i="6"/>
  <c r="U81" i="7"/>
  <c r="U230" i="8"/>
  <c r="U222" i="8"/>
  <c r="CY11" i="6"/>
  <c r="W81" i="7"/>
  <c r="W230" i="8"/>
  <c r="W222" i="8"/>
  <c r="DK11" i="6"/>
  <c r="Y81" i="7"/>
  <c r="Y230" i="8"/>
  <c r="Y222" i="8"/>
  <c r="DW11" i="6"/>
  <c r="AA81" i="7"/>
  <c r="AA230" i="8"/>
  <c r="AA222" i="8"/>
  <c r="M30" i="6"/>
  <c r="Y30" i="6"/>
  <c r="AK30" i="6"/>
  <c r="L240" i="7"/>
  <c r="L222" i="7"/>
  <c r="L210" i="7"/>
  <c r="AW30" i="6"/>
  <c r="N240" i="7"/>
  <c r="N222" i="7"/>
  <c r="N210" i="7"/>
  <c r="BI30" i="6"/>
  <c r="P240" i="7"/>
  <c r="P222" i="7"/>
  <c r="P210" i="7"/>
  <c r="BU30" i="6"/>
  <c r="R240" i="7"/>
  <c r="R222" i="7"/>
  <c r="R210" i="7"/>
  <c r="CG30" i="6"/>
  <c r="T240" i="7"/>
  <c r="T222" i="7"/>
  <c r="T210" i="7"/>
  <c r="CS30" i="6"/>
  <c r="V240" i="7"/>
  <c r="V222" i="7"/>
  <c r="V210" i="7"/>
  <c r="DE30" i="6"/>
  <c r="X240" i="7"/>
  <c r="X222" i="7"/>
  <c r="X210" i="7"/>
  <c r="C207" i="2"/>
  <c r="DQ30" i="6"/>
  <c r="Z240" i="7"/>
  <c r="Z222" i="7"/>
  <c r="Z210" i="7"/>
  <c r="G24" i="6"/>
  <c r="S24" i="6"/>
  <c r="AE24" i="6"/>
  <c r="AQ24" i="6"/>
  <c r="M728" i="7"/>
  <c r="M283" i="7"/>
  <c r="M269" i="7"/>
  <c r="BC24" i="6"/>
  <c r="O728" i="7"/>
  <c r="O283" i="7"/>
  <c r="O269" i="7"/>
  <c r="BO24" i="6"/>
  <c r="Q728" i="7"/>
  <c r="Q283" i="7"/>
  <c r="Q269" i="7"/>
  <c r="CA24" i="6"/>
  <c r="S728" i="7"/>
  <c r="S283" i="7"/>
  <c r="S269" i="7"/>
  <c r="CM24" i="6"/>
  <c r="U728" i="7"/>
  <c r="U283" i="7"/>
  <c r="U269" i="7"/>
  <c r="CY24" i="6"/>
  <c r="W728" i="7"/>
  <c r="W283" i="7"/>
  <c r="W269" i="7"/>
  <c r="DK24" i="6"/>
  <c r="Y728" i="7"/>
  <c r="Y283" i="7"/>
  <c r="Y269" i="7"/>
  <c r="DW24" i="6"/>
  <c r="AA728" i="7"/>
  <c r="AA283" i="7"/>
  <c r="AA269" i="7"/>
  <c r="M32" i="6"/>
  <c r="Y32" i="6"/>
  <c r="AK32" i="6"/>
  <c r="L730" i="7"/>
  <c r="L314" i="7"/>
  <c r="L307" i="7"/>
  <c r="AW32" i="6"/>
  <c r="N730" i="7"/>
  <c r="N314" i="7"/>
  <c r="N307" i="7"/>
  <c r="BI32" i="6"/>
  <c r="P730" i="7"/>
  <c r="P314" i="7"/>
  <c r="P307" i="7"/>
  <c r="BU32" i="6"/>
  <c r="R730" i="7"/>
  <c r="R314" i="7"/>
  <c r="R307" i="7"/>
  <c r="CG32" i="6"/>
  <c r="T730" i="7"/>
  <c r="T314" i="7"/>
  <c r="T307" i="7"/>
  <c r="CS32" i="6"/>
  <c r="V730" i="7"/>
  <c r="V314" i="7"/>
  <c r="V307" i="7"/>
  <c r="DE32" i="6"/>
  <c r="X730" i="7"/>
  <c r="X314" i="7"/>
  <c r="X307" i="7"/>
  <c r="DQ32" i="6"/>
  <c r="Z730" i="7"/>
  <c r="Z314" i="7"/>
  <c r="Z307" i="7"/>
  <c r="G28" i="6"/>
  <c r="S28" i="6"/>
  <c r="AE28" i="6"/>
  <c r="AQ28" i="6"/>
  <c r="M729" i="7"/>
  <c r="M345" i="7"/>
  <c r="M336" i="7"/>
  <c r="BC28" i="6"/>
  <c r="O729" i="7"/>
  <c r="O345" i="7"/>
  <c r="O336" i="7"/>
  <c r="BO28" i="6"/>
  <c r="Q729" i="7"/>
  <c r="Q345" i="7"/>
  <c r="Q336" i="7"/>
  <c r="CA28" i="6"/>
  <c r="S729" i="7"/>
  <c r="S345" i="7"/>
  <c r="S336" i="7"/>
  <c r="CM28" i="6"/>
  <c r="U729" i="7"/>
  <c r="U345" i="7"/>
  <c r="U336" i="7"/>
  <c r="CY28" i="6"/>
  <c r="W729" i="7"/>
  <c r="W345" i="7"/>
  <c r="W336" i="7"/>
  <c r="DK28" i="6"/>
  <c r="Y729" i="7"/>
  <c r="Y345" i="7"/>
  <c r="Y336" i="7"/>
  <c r="DW28" i="6"/>
  <c r="AA729" i="7"/>
  <c r="AA345" i="7"/>
  <c r="AA336" i="7"/>
  <c r="M33" i="6"/>
  <c r="Y33" i="6"/>
  <c r="AK33" i="6"/>
  <c r="L731" i="7"/>
  <c r="L344" i="7"/>
  <c r="L335" i="7"/>
  <c r="AW33" i="6"/>
  <c r="N731" i="7"/>
  <c r="N344" i="7"/>
  <c r="N335" i="7"/>
  <c r="BI33" i="6"/>
  <c r="P731" i="7"/>
  <c r="P344" i="7"/>
  <c r="P335" i="7"/>
  <c r="BU33" i="6"/>
  <c r="R731" i="7"/>
  <c r="R344" i="7"/>
  <c r="R335" i="7"/>
  <c r="CG33" i="6"/>
  <c r="T731" i="7"/>
  <c r="T344" i="7"/>
  <c r="T335" i="7"/>
  <c r="CS33" i="6"/>
  <c r="V731" i="7"/>
  <c r="V344" i="7"/>
  <c r="V335" i="7"/>
  <c r="DE33" i="6"/>
  <c r="X731" i="7"/>
  <c r="X344" i="7"/>
  <c r="X335" i="7"/>
  <c r="DQ33" i="6"/>
  <c r="Z731" i="7"/>
  <c r="Z344" i="7"/>
  <c r="Z335" i="7"/>
  <c r="G35" i="6"/>
  <c r="S35" i="6"/>
  <c r="AE35" i="6"/>
  <c r="AQ35" i="6"/>
  <c r="M409" i="7"/>
  <c r="M403" i="7"/>
  <c r="BC35" i="6"/>
  <c r="O409" i="7"/>
  <c r="O403" i="7"/>
  <c r="BO35" i="6"/>
  <c r="Q409" i="7"/>
  <c r="Q403" i="7"/>
  <c r="CA35" i="6"/>
  <c r="S409" i="7"/>
  <c r="S403" i="7"/>
  <c r="CM35" i="6"/>
  <c r="U409" i="7"/>
  <c r="U403" i="7"/>
  <c r="CY35" i="6"/>
  <c r="W409" i="7"/>
  <c r="W403" i="7"/>
  <c r="DK35" i="6"/>
  <c r="Y409" i="7"/>
  <c r="Y403" i="7"/>
  <c r="D208" i="2"/>
  <c r="DW35" i="6"/>
  <c r="AA409" i="7"/>
  <c r="AA403" i="7"/>
  <c r="M45" i="6"/>
  <c r="Y45" i="6"/>
  <c r="AK45" i="6"/>
  <c r="L741" i="7"/>
  <c r="L533" i="7"/>
  <c r="L527" i="7"/>
  <c r="AW45" i="6"/>
  <c r="N741" i="7"/>
  <c r="N533" i="7"/>
  <c r="N527" i="7"/>
  <c r="BI45" i="6"/>
  <c r="P741" i="7"/>
  <c r="P533" i="7"/>
  <c r="P527" i="7"/>
  <c r="BU45" i="6"/>
  <c r="R741" i="7"/>
  <c r="R533" i="7"/>
  <c r="R527" i="7"/>
  <c r="CG45" i="6"/>
  <c r="T741" i="7"/>
  <c r="T533" i="7"/>
  <c r="T527" i="7"/>
  <c r="CS45" i="6"/>
  <c r="V741" i="7"/>
  <c r="V533" i="7"/>
  <c r="V527" i="7"/>
  <c r="DE45" i="6"/>
  <c r="X741" i="7"/>
  <c r="X533" i="7"/>
  <c r="X527" i="7"/>
  <c r="DQ45" i="6"/>
  <c r="Z741" i="7"/>
  <c r="Z533" i="7"/>
  <c r="Z527" i="7"/>
  <c r="L655" i="7"/>
  <c r="L669" i="7" s="1"/>
  <c r="L445" i="7"/>
  <c r="L433" i="7"/>
  <c r="N655" i="7"/>
  <c r="N669" i="7" s="1"/>
  <c r="N445" i="7"/>
  <c r="N433" i="7"/>
  <c r="P655" i="7"/>
  <c r="P669" i="7" s="1"/>
  <c r="P445" i="7"/>
  <c r="P433" i="7"/>
  <c r="R655" i="7"/>
  <c r="R669" i="7" s="1"/>
  <c r="R445" i="7"/>
  <c r="R433" i="7"/>
  <c r="T655" i="7"/>
  <c r="T669" i="7" s="1"/>
  <c r="T445" i="7"/>
  <c r="T433" i="7"/>
  <c r="V655" i="7"/>
  <c r="V669" i="7" s="1"/>
  <c r="V445" i="7"/>
  <c r="V433" i="7"/>
  <c r="X655" i="7"/>
  <c r="X669" i="7" s="1"/>
  <c r="X445" i="7"/>
  <c r="X433" i="7"/>
  <c r="C245" i="2"/>
  <c r="AT245" i="2" s="1"/>
  <c r="Z655" i="7"/>
  <c r="Z669" i="7" s="1"/>
  <c r="Z445" i="7"/>
  <c r="Z433" i="7"/>
  <c r="AB655" i="7"/>
  <c r="AB433" i="7"/>
  <c r="H8" i="6"/>
  <c r="T8" i="6"/>
  <c r="AF8" i="6"/>
  <c r="AR8" i="6"/>
  <c r="M94" i="7"/>
  <c r="M109" i="7"/>
  <c r="M100" i="7"/>
  <c r="BD8" i="6"/>
  <c r="O94" i="7"/>
  <c r="O109" i="7"/>
  <c r="O100" i="7"/>
  <c r="BP8" i="6"/>
  <c r="Q94" i="7"/>
  <c r="Q109" i="7"/>
  <c r="Q100" i="7"/>
  <c r="CB8" i="6"/>
  <c r="S94" i="7"/>
  <c r="S109" i="7"/>
  <c r="S100" i="7"/>
  <c r="CN8" i="6"/>
  <c r="U94" i="7"/>
  <c r="U109" i="7"/>
  <c r="U100" i="7"/>
  <c r="CZ8" i="6"/>
  <c r="W94" i="7"/>
  <c r="W109" i="7"/>
  <c r="W100" i="7"/>
  <c r="DL8" i="6"/>
  <c r="Y94" i="7"/>
  <c r="Y109" i="7"/>
  <c r="Y100" i="7"/>
  <c r="DX8" i="6"/>
  <c r="AA94" i="7"/>
  <c r="AA109" i="7"/>
  <c r="AA100" i="7"/>
  <c r="L436" i="7"/>
  <c r="L112" i="7"/>
  <c r="L447" i="7"/>
  <c r="N436" i="7"/>
  <c r="N112" i="7"/>
  <c r="N447" i="7"/>
  <c r="P436" i="7"/>
  <c r="P112" i="7"/>
  <c r="P447" i="7"/>
  <c r="R436" i="7"/>
  <c r="R112" i="7"/>
  <c r="R447" i="7"/>
  <c r="T436" i="7"/>
  <c r="T112" i="7"/>
  <c r="T447" i="7"/>
  <c r="V436" i="7"/>
  <c r="V112" i="7"/>
  <c r="V447" i="7"/>
  <c r="X436" i="7"/>
  <c r="X112" i="7"/>
  <c r="X447" i="7"/>
  <c r="C244" i="2"/>
  <c r="AT244" i="2" s="1"/>
  <c r="Z436" i="7"/>
  <c r="Z112" i="7"/>
  <c r="Z447" i="7"/>
  <c r="AB436" i="7"/>
  <c r="AB112" i="7"/>
  <c r="AC422" i="7"/>
  <c r="E244" i="2" s="1"/>
  <c r="H11" i="6"/>
  <c r="G231" i="8"/>
  <c r="G189" i="8"/>
  <c r="G213" i="8" s="1"/>
  <c r="G165" i="8"/>
  <c r="T11" i="6"/>
  <c r="I231" i="8"/>
  <c r="I223" i="8"/>
  <c r="I189" i="8"/>
  <c r="I165" i="8"/>
  <c r="AF11" i="6"/>
  <c r="K231" i="8"/>
  <c r="K223" i="8"/>
  <c r="K189" i="8"/>
  <c r="K165" i="8"/>
  <c r="AR11" i="6"/>
  <c r="M418" i="7"/>
  <c r="M86" i="7"/>
  <c r="M231" i="8"/>
  <c r="M223" i="8"/>
  <c r="M189" i="8"/>
  <c r="M165" i="8"/>
  <c r="BD11" i="6"/>
  <c r="O418" i="7"/>
  <c r="O86" i="7"/>
  <c r="O231" i="8"/>
  <c r="O223" i="8"/>
  <c r="O189" i="8"/>
  <c r="O165" i="8"/>
  <c r="BP11" i="6"/>
  <c r="Q418" i="7"/>
  <c r="Q86" i="7"/>
  <c r="Q231" i="8"/>
  <c r="Q223" i="8"/>
  <c r="Q189" i="8"/>
  <c r="Q165" i="8"/>
  <c r="CB11" i="6"/>
  <c r="S418" i="7"/>
  <c r="S86" i="7"/>
  <c r="S231" i="8"/>
  <c r="S223" i="8"/>
  <c r="S189" i="8"/>
  <c r="S165" i="8"/>
  <c r="CN11" i="6"/>
  <c r="U418" i="7"/>
  <c r="U86" i="7"/>
  <c r="U231" i="8"/>
  <c r="U223" i="8"/>
  <c r="U189" i="8"/>
  <c r="U165" i="8"/>
  <c r="CZ11" i="6"/>
  <c r="W418" i="7"/>
  <c r="W86" i="7"/>
  <c r="W231" i="8"/>
  <c r="W223" i="8"/>
  <c r="W189" i="8"/>
  <c r="W165" i="8"/>
  <c r="DL11" i="6"/>
  <c r="Y418" i="7"/>
  <c r="Y86" i="7"/>
  <c r="Y231" i="8"/>
  <c r="Y223" i="8"/>
  <c r="Y189" i="8"/>
  <c r="Y165" i="8"/>
  <c r="D220" i="2"/>
  <c r="F480" i="20" s="1"/>
  <c r="W480" i="20" s="1"/>
  <c r="DX11" i="6"/>
  <c r="AA418" i="7"/>
  <c r="AA86" i="7"/>
  <c r="AA231" i="8"/>
  <c r="AA223" i="8"/>
  <c r="AA189" i="8"/>
  <c r="AA165" i="8"/>
  <c r="N16" i="6"/>
  <c r="K16" i="6" s="1"/>
  <c r="Z16" i="6"/>
  <c r="W16" i="6" s="1"/>
  <c r="AL16" i="6"/>
  <c r="AI16" i="6" s="1"/>
  <c r="L691" i="7"/>
  <c r="L624" i="7"/>
  <c r="L34" i="7"/>
  <c r="L31" i="7"/>
  <c r="L22" i="7"/>
  <c r="AX16" i="6"/>
  <c r="AU16" i="6" s="1"/>
  <c r="N691" i="7"/>
  <c r="N624" i="7"/>
  <c r="N34" i="7"/>
  <c r="N31" i="7"/>
  <c r="N22" i="7"/>
  <c r="BJ16" i="6"/>
  <c r="BG16" i="6" s="1"/>
  <c r="P691" i="7"/>
  <c r="P624" i="7"/>
  <c r="P34" i="7"/>
  <c r="P31" i="7"/>
  <c r="P22" i="7"/>
  <c r="BV16" i="6"/>
  <c r="BS16" i="6" s="1"/>
  <c r="R691" i="7"/>
  <c r="R624" i="7"/>
  <c r="R34" i="7"/>
  <c r="R31" i="7"/>
  <c r="R22" i="7"/>
  <c r="CH16" i="6"/>
  <c r="CE16" i="6" s="1"/>
  <c r="T691" i="7"/>
  <c r="T624" i="7"/>
  <c r="T34" i="7"/>
  <c r="T31" i="7"/>
  <c r="T22" i="7"/>
  <c r="CT16" i="6"/>
  <c r="CQ16" i="6" s="1"/>
  <c r="V691" i="7"/>
  <c r="V624" i="7"/>
  <c r="V34" i="7"/>
  <c r="V31" i="7"/>
  <c r="V22" i="7"/>
  <c r="DF16" i="6"/>
  <c r="DC16" i="6" s="1"/>
  <c r="X691" i="7"/>
  <c r="X624" i="7"/>
  <c r="X34" i="7"/>
  <c r="X31" i="7"/>
  <c r="X22" i="7"/>
  <c r="C213" i="2"/>
  <c r="AT213" i="2" s="1"/>
  <c r="DR16" i="6"/>
  <c r="DO16" i="6" s="1"/>
  <c r="Z691" i="7"/>
  <c r="Z624" i="7"/>
  <c r="Z34" i="7"/>
  <c r="Z31" i="7"/>
  <c r="Z22" i="7"/>
  <c r="ED16" i="6"/>
  <c r="EA16" i="6" s="1"/>
  <c r="AB691" i="7"/>
  <c r="AB624" i="7"/>
  <c r="H17" i="6"/>
  <c r="E17" i="6" s="1"/>
  <c r="T17" i="6"/>
  <c r="Q17" i="6" s="1"/>
  <c r="AF17" i="6"/>
  <c r="AC17" i="6" s="1"/>
  <c r="AR17" i="6"/>
  <c r="M659" i="7"/>
  <c r="M673" i="7" s="1"/>
  <c r="M67" i="7"/>
  <c r="M59" i="7"/>
  <c r="BD17" i="6"/>
  <c r="BA17" i="6" s="1"/>
  <c r="O659" i="7"/>
  <c r="O673" i="7" s="1"/>
  <c r="O67" i="7"/>
  <c r="O59" i="7"/>
  <c r="BP17" i="6"/>
  <c r="BM17" i="6" s="1"/>
  <c r="Q659" i="7"/>
  <c r="Q673" i="7" s="1"/>
  <c r="Q67" i="7"/>
  <c r="Q59" i="7"/>
  <c r="CB17" i="6"/>
  <c r="BY17" i="6" s="1"/>
  <c r="S659" i="7"/>
  <c r="S673" i="7" s="1"/>
  <c r="S67" i="7"/>
  <c r="S59" i="7"/>
  <c r="CN17" i="6"/>
  <c r="U659" i="7"/>
  <c r="U673" i="7" s="1"/>
  <c r="U67" i="7"/>
  <c r="U59" i="7"/>
  <c r="CZ17" i="6"/>
  <c r="CW17" i="6" s="1"/>
  <c r="W659" i="7"/>
  <c r="W673" i="7" s="1"/>
  <c r="W67" i="7"/>
  <c r="W59" i="7"/>
  <c r="DL17" i="6"/>
  <c r="DI17" i="6" s="1"/>
  <c r="Y659" i="7"/>
  <c r="Y673" i="7" s="1"/>
  <c r="Y67" i="7"/>
  <c r="Y59" i="7"/>
  <c r="D223" i="2"/>
  <c r="AU223" i="2" s="1"/>
  <c r="DX17" i="6"/>
  <c r="AA659" i="7"/>
  <c r="AA673" i="7" s="1"/>
  <c r="AA67" i="7"/>
  <c r="AA59" i="7"/>
  <c r="N9" i="6"/>
  <c r="Z9" i="6"/>
  <c r="L751" i="7"/>
  <c r="AL9" i="6"/>
  <c r="L424" i="7"/>
  <c r="L29" i="7"/>
  <c r="L20" i="7"/>
  <c r="L85" i="7"/>
  <c r="N751" i="7"/>
  <c r="AX9" i="6"/>
  <c r="N424" i="7"/>
  <c r="N29" i="7"/>
  <c r="N20" i="7"/>
  <c r="N85" i="7"/>
  <c r="P751" i="7"/>
  <c r="BJ9" i="6"/>
  <c r="P424" i="7"/>
  <c r="P29" i="7"/>
  <c r="P20" i="7"/>
  <c r="P85" i="7"/>
  <c r="R751" i="7"/>
  <c r="BV9" i="6"/>
  <c r="R424" i="7"/>
  <c r="R29" i="7"/>
  <c r="R20" i="7"/>
  <c r="R85" i="7"/>
  <c r="T751" i="7"/>
  <c r="CH9" i="6"/>
  <c r="T424" i="7"/>
  <c r="T29" i="7"/>
  <c r="T20" i="7"/>
  <c r="T85" i="7"/>
  <c r="V751" i="7"/>
  <c r="CT9" i="6"/>
  <c r="V424" i="7"/>
  <c r="V29" i="7"/>
  <c r="V20" i="7"/>
  <c r="V85" i="7"/>
  <c r="X751" i="7"/>
  <c r="DF9" i="6"/>
  <c r="X424" i="7"/>
  <c r="X29" i="7"/>
  <c r="X20" i="7"/>
  <c r="X85" i="7"/>
  <c r="Z751" i="7"/>
  <c r="DR9" i="6"/>
  <c r="Z424" i="7"/>
  <c r="Z29" i="7"/>
  <c r="Z20" i="7"/>
  <c r="Z85" i="7"/>
  <c r="AB751" i="7"/>
  <c r="ED9" i="6"/>
  <c r="AB20" i="7"/>
  <c r="AB85" i="7"/>
  <c r="H10" i="6"/>
  <c r="T10" i="6"/>
  <c r="AF10" i="6"/>
  <c r="AR10" i="6"/>
  <c r="M745" i="7"/>
  <c r="M425" i="7"/>
  <c r="M65" i="7"/>
  <c r="BD10" i="6"/>
  <c r="O745" i="7"/>
  <c r="O425" i="7"/>
  <c r="O65" i="7"/>
  <c r="BP10" i="6"/>
  <c r="Q745" i="7"/>
  <c r="Q425" i="7"/>
  <c r="Q65" i="7"/>
  <c r="CB10" i="6"/>
  <c r="S745" i="7"/>
  <c r="S425" i="7"/>
  <c r="S450" i="7" s="1"/>
  <c r="S65" i="7"/>
  <c r="CN10" i="6"/>
  <c r="U745" i="7"/>
  <c r="U425" i="7"/>
  <c r="U450" i="7" s="1"/>
  <c r="U65" i="7"/>
  <c r="CZ10" i="6"/>
  <c r="W745" i="7"/>
  <c r="W425" i="7"/>
  <c r="W450" i="7" s="1"/>
  <c r="W65" i="7"/>
  <c r="DL10" i="6"/>
  <c r="Y745" i="7"/>
  <c r="Y425" i="7"/>
  <c r="Y450" i="7" s="1"/>
  <c r="Y65" i="7"/>
  <c r="DX10" i="6"/>
  <c r="AA745" i="7"/>
  <c r="AA425" i="7"/>
  <c r="AA450" i="7" s="1"/>
  <c r="AA65" i="7"/>
  <c r="N19" i="6"/>
  <c r="Z19" i="6"/>
  <c r="AL19" i="6"/>
  <c r="L746" i="7"/>
  <c r="L156" i="7"/>
  <c r="L148" i="7"/>
  <c r="AX19" i="6"/>
  <c r="N746" i="7"/>
  <c r="N156" i="7"/>
  <c r="N148" i="7"/>
  <c r="BJ19" i="6"/>
  <c r="P746" i="7"/>
  <c r="P156" i="7"/>
  <c r="P148" i="7"/>
  <c r="BV19" i="6"/>
  <c r="R746" i="7"/>
  <c r="R156" i="7"/>
  <c r="R148" i="7"/>
  <c r="CH19" i="6"/>
  <c r="T746" i="7"/>
  <c r="T156" i="7"/>
  <c r="T148" i="7"/>
  <c r="CT19" i="6"/>
  <c r="V746" i="7"/>
  <c r="V156" i="7"/>
  <c r="V148" i="7"/>
  <c r="DF19" i="6"/>
  <c r="X746" i="7"/>
  <c r="X156" i="7"/>
  <c r="X148" i="7"/>
  <c r="DR19" i="6"/>
  <c r="Z746" i="7"/>
  <c r="Z156" i="7"/>
  <c r="Z148" i="7"/>
  <c r="ED19" i="6"/>
  <c r="AB746" i="7"/>
  <c r="AB148" i="7"/>
  <c r="N21" i="6"/>
  <c r="Z21" i="6"/>
  <c r="AL21" i="6"/>
  <c r="L658" i="7"/>
  <c r="L672" i="7" s="1"/>
  <c r="L163" i="7"/>
  <c r="L158" i="7"/>
  <c r="L150" i="7"/>
  <c r="AX21" i="6"/>
  <c r="N658" i="7"/>
  <c r="N672" i="7" s="1"/>
  <c r="N163" i="7"/>
  <c r="N158" i="7"/>
  <c r="N150" i="7"/>
  <c r="BJ21" i="6"/>
  <c r="P658" i="7"/>
  <c r="P672" i="7" s="1"/>
  <c r="P163" i="7"/>
  <c r="P158" i="7"/>
  <c r="P150" i="7"/>
  <c r="BV21" i="6"/>
  <c r="R658" i="7"/>
  <c r="R672" i="7" s="1"/>
  <c r="R163" i="7"/>
  <c r="R158" i="7"/>
  <c r="R150" i="7"/>
  <c r="CH21" i="6"/>
  <c r="T658" i="7"/>
  <c r="T672" i="7" s="1"/>
  <c r="T163" i="7"/>
  <c r="T158" i="7"/>
  <c r="T150" i="7"/>
  <c r="CT21" i="6"/>
  <c r="V658" i="7"/>
  <c r="V672" i="7" s="1"/>
  <c r="V163" i="7"/>
  <c r="V158" i="7"/>
  <c r="V150" i="7"/>
  <c r="DF21" i="6"/>
  <c r="X658" i="7"/>
  <c r="X672" i="7" s="1"/>
  <c r="X163" i="7"/>
  <c r="X158" i="7"/>
  <c r="X150" i="7"/>
  <c r="C222" i="2"/>
  <c r="AT222" i="2" s="1"/>
  <c r="DR21" i="6"/>
  <c r="Z658" i="7"/>
  <c r="Z672" i="7" s="1"/>
  <c r="Z163" i="7"/>
  <c r="Z158" i="7"/>
  <c r="Z150" i="7"/>
  <c r="ED21" i="6"/>
  <c r="AB658" i="7"/>
  <c r="AC163" i="7"/>
  <c r="AB163" i="7"/>
  <c r="AB150" i="7"/>
  <c r="H154" i="1"/>
  <c r="H138" i="7" s="1"/>
  <c r="J154" i="1"/>
  <c r="J138" i="7" s="1"/>
  <c r="L154" i="1"/>
  <c r="L138" i="7" s="1"/>
  <c r="N154" i="1"/>
  <c r="N138" i="7" s="1"/>
  <c r="P154" i="1"/>
  <c r="P138" i="7" s="1"/>
  <c r="R154" i="1"/>
  <c r="R138" i="7" s="1"/>
  <c r="T154" i="1"/>
  <c r="T138" i="7" s="1"/>
  <c r="V154" i="1"/>
  <c r="V138" i="7" s="1"/>
  <c r="X154" i="1"/>
  <c r="X138" i="7" s="1"/>
  <c r="Z154" i="1"/>
  <c r="Z138" i="7" s="1"/>
  <c r="AB154" i="1"/>
  <c r="AB138" i="7" s="1"/>
  <c r="H23" i="6"/>
  <c r="E23" i="6" s="1"/>
  <c r="T23" i="6"/>
  <c r="Q23" i="6" s="1"/>
  <c r="AF23" i="6"/>
  <c r="AC23" i="6" s="1"/>
  <c r="AR23" i="6"/>
  <c r="AO23" i="6" s="1"/>
  <c r="M693" i="7"/>
  <c r="M625" i="7"/>
  <c r="M636" i="7" s="1"/>
  <c r="M225" i="7"/>
  <c r="M246" i="7"/>
  <c r="M213" i="7"/>
  <c r="BD23" i="6"/>
  <c r="BA23" i="6" s="1"/>
  <c r="O693" i="7"/>
  <c r="O625" i="7"/>
  <c r="O636" i="7" s="1"/>
  <c r="O225" i="7"/>
  <c r="O246" i="7"/>
  <c r="O213" i="7"/>
  <c r="BP23" i="6"/>
  <c r="BM23" i="6" s="1"/>
  <c r="Q693" i="7"/>
  <c r="Q625" i="7"/>
  <c r="Q636" i="7" s="1"/>
  <c r="Q225" i="7"/>
  <c r="Q246" i="7"/>
  <c r="Q213" i="7"/>
  <c r="CB23" i="6"/>
  <c r="BY23" i="6" s="1"/>
  <c r="S693" i="7"/>
  <c r="S625" i="7"/>
  <c r="S636" i="7" s="1"/>
  <c r="S225" i="7"/>
  <c r="S246" i="7"/>
  <c r="S213" i="7"/>
  <c r="CN23" i="6"/>
  <c r="CK23" i="6" s="1"/>
  <c r="U693" i="7"/>
  <c r="U625" i="7"/>
  <c r="U636" i="7" s="1"/>
  <c r="U225" i="7"/>
  <c r="U246" i="7"/>
  <c r="U213" i="7"/>
  <c r="CZ23" i="6"/>
  <c r="CW23" i="6" s="1"/>
  <c r="W693" i="7"/>
  <c r="W625" i="7"/>
  <c r="W636" i="7" s="1"/>
  <c r="W225" i="7"/>
  <c r="W246" i="7"/>
  <c r="W213" i="7"/>
  <c r="DL23" i="6"/>
  <c r="Y693" i="7"/>
  <c r="Y625" i="7"/>
  <c r="Y636" i="7" s="1"/>
  <c r="Y225" i="7"/>
  <c r="Y246" i="7"/>
  <c r="Y213" i="7"/>
  <c r="D214" i="2"/>
  <c r="AU214" i="2" s="1"/>
  <c r="DX23" i="6"/>
  <c r="DU23" i="6" s="1"/>
  <c r="AA693" i="7"/>
  <c r="AA625" i="7"/>
  <c r="AA636" i="7" s="1"/>
  <c r="AA225" i="7"/>
  <c r="AA246" i="7"/>
  <c r="AA213" i="7"/>
  <c r="N30" i="6"/>
  <c r="Z30" i="6"/>
  <c r="AL30" i="6"/>
  <c r="L753" i="7"/>
  <c r="L223" i="7"/>
  <c r="L211" i="7"/>
  <c r="AX30" i="6"/>
  <c r="N753" i="7"/>
  <c r="N223" i="7"/>
  <c r="N211" i="7"/>
  <c r="BJ30" i="6"/>
  <c r="P753" i="7"/>
  <c r="P223" i="7"/>
  <c r="P211" i="7"/>
  <c r="BV30" i="6"/>
  <c r="R753" i="7"/>
  <c r="R223" i="7"/>
  <c r="R211" i="7"/>
  <c r="CH30" i="6"/>
  <c r="T753" i="7"/>
  <c r="T223" i="7"/>
  <c r="T211" i="7"/>
  <c r="CT30" i="6"/>
  <c r="V753" i="7"/>
  <c r="V223" i="7"/>
  <c r="V211" i="7"/>
  <c r="DF30" i="6"/>
  <c r="X753" i="7"/>
  <c r="X223" i="7"/>
  <c r="X211" i="7"/>
  <c r="DR30" i="6"/>
  <c r="Z753" i="7"/>
  <c r="Z223" i="7"/>
  <c r="Z211" i="7"/>
  <c r="ED30" i="6"/>
  <c r="AB753" i="7"/>
  <c r="AB211" i="7"/>
  <c r="AC203" i="7"/>
  <c r="H26" i="6"/>
  <c r="T26" i="6"/>
  <c r="AF26" i="6"/>
  <c r="AR26" i="6"/>
  <c r="M280" i="7"/>
  <c r="M266" i="7"/>
  <c r="BD26" i="6"/>
  <c r="O280" i="7"/>
  <c r="O266" i="7"/>
  <c r="BP26" i="6"/>
  <c r="Q280" i="7"/>
  <c r="Q266" i="7"/>
  <c r="CB26" i="6"/>
  <c r="S280" i="7"/>
  <c r="S266" i="7"/>
  <c r="CN26" i="6"/>
  <c r="U280" i="7"/>
  <c r="U266" i="7"/>
  <c r="CZ26" i="6"/>
  <c r="W280" i="7"/>
  <c r="W266" i="7"/>
  <c r="DL26" i="6"/>
  <c r="Y280" i="7"/>
  <c r="Y266" i="7"/>
  <c r="DX26" i="6"/>
  <c r="AA280" i="7"/>
  <c r="AA266" i="7"/>
  <c r="N25" i="6"/>
  <c r="Z25" i="6"/>
  <c r="AL25" i="6"/>
  <c r="L694" i="7"/>
  <c r="L265" i="7"/>
  <c r="L279" i="7"/>
  <c r="L255" i="7"/>
  <c r="AX25" i="6"/>
  <c r="N694" i="7"/>
  <c r="N265" i="7"/>
  <c r="N279" i="7"/>
  <c r="N255" i="7"/>
  <c r="BJ25" i="6"/>
  <c r="P694" i="7"/>
  <c r="P265" i="7"/>
  <c r="P279" i="7"/>
  <c r="P255" i="7"/>
  <c r="BV25" i="6"/>
  <c r="R694" i="7"/>
  <c r="R265" i="7"/>
  <c r="R279" i="7"/>
  <c r="R255" i="7"/>
  <c r="CH25" i="6"/>
  <c r="T694" i="7"/>
  <c r="T265" i="7"/>
  <c r="T279" i="7"/>
  <c r="T255" i="7"/>
  <c r="CT25" i="6"/>
  <c r="V694" i="7"/>
  <c r="V265" i="7"/>
  <c r="V279" i="7"/>
  <c r="V255" i="7"/>
  <c r="DF25" i="6"/>
  <c r="X694" i="7"/>
  <c r="X265" i="7"/>
  <c r="X279" i="7"/>
  <c r="X255" i="7"/>
  <c r="C216" i="2"/>
  <c r="AT216" i="2" s="1"/>
  <c r="DR25" i="6"/>
  <c r="Z694" i="7"/>
  <c r="Z265" i="7"/>
  <c r="Z279" i="7"/>
  <c r="Z255" i="7"/>
  <c r="ED25" i="6"/>
  <c r="AB694" i="7"/>
  <c r="AB265" i="7"/>
  <c r="E216" i="2"/>
  <c r="AV216" i="2" s="1"/>
  <c r="H32" i="6"/>
  <c r="T32" i="6"/>
  <c r="AF32" i="6"/>
  <c r="AR32" i="6"/>
  <c r="M657" i="7"/>
  <c r="M671" i="7" s="1"/>
  <c r="M308" i="7"/>
  <c r="M315" i="7"/>
  <c r="BD32" i="6"/>
  <c r="O657" i="7"/>
  <c r="O671" i="7" s="1"/>
  <c r="O308" i="7"/>
  <c r="O315" i="7"/>
  <c r="BP32" i="6"/>
  <c r="Q657" i="7"/>
  <c r="Q671" i="7" s="1"/>
  <c r="Q308" i="7"/>
  <c r="Q315" i="7"/>
  <c r="CB32" i="6"/>
  <c r="S657" i="7"/>
  <c r="S671" i="7" s="1"/>
  <c r="S308" i="7"/>
  <c r="S315" i="7"/>
  <c r="CN32" i="6"/>
  <c r="U657" i="7"/>
  <c r="U671" i="7" s="1"/>
  <c r="U308" i="7"/>
  <c r="U315" i="7"/>
  <c r="CZ32" i="6"/>
  <c r="W657" i="7"/>
  <c r="W671" i="7" s="1"/>
  <c r="W308" i="7"/>
  <c r="W315" i="7"/>
  <c r="DL32" i="6"/>
  <c r="Y657" i="7"/>
  <c r="Y671" i="7" s="1"/>
  <c r="Y308" i="7"/>
  <c r="Y315" i="7"/>
  <c r="D221" i="2"/>
  <c r="AU221" i="2" s="1"/>
  <c r="DX32" i="6"/>
  <c r="AA657" i="7"/>
  <c r="AA671" i="7" s="1"/>
  <c r="AA308" i="7"/>
  <c r="AA315" i="7"/>
  <c r="N28" i="6"/>
  <c r="Z28" i="6"/>
  <c r="AL28" i="6"/>
  <c r="L747" i="7"/>
  <c r="L338" i="7"/>
  <c r="L347" i="7"/>
  <c r="AX28" i="6"/>
  <c r="N747" i="7"/>
  <c r="N338" i="7"/>
  <c r="N347" i="7"/>
  <c r="BJ28" i="6"/>
  <c r="P747" i="7"/>
  <c r="P338" i="7"/>
  <c r="P347" i="7"/>
  <c r="BV28" i="6"/>
  <c r="R747" i="7"/>
  <c r="R338" i="7"/>
  <c r="R347" i="7"/>
  <c r="CH28" i="6"/>
  <c r="T747" i="7"/>
  <c r="T338" i="7"/>
  <c r="T347" i="7"/>
  <c r="CT28" i="6"/>
  <c r="V747" i="7"/>
  <c r="V338" i="7"/>
  <c r="V347" i="7"/>
  <c r="DF28" i="6"/>
  <c r="X747" i="7"/>
  <c r="X338" i="7"/>
  <c r="X347" i="7"/>
  <c r="DR28" i="6"/>
  <c r="Z747" i="7"/>
  <c r="Z338" i="7"/>
  <c r="Z347" i="7"/>
  <c r="ED28" i="6"/>
  <c r="AB747" i="7"/>
  <c r="AB338" i="7"/>
  <c r="AC328" i="7"/>
  <c r="M656" i="7"/>
  <c r="M670" i="7" s="1"/>
  <c r="M446" i="7"/>
  <c r="M434" i="7"/>
  <c r="M421" i="7"/>
  <c r="O656" i="7"/>
  <c r="O670" i="7" s="1"/>
  <c r="O446" i="7"/>
  <c r="O434" i="7"/>
  <c r="O421" i="7"/>
  <c r="Q656" i="7"/>
  <c r="Q670" i="7" s="1"/>
  <c r="Q446" i="7"/>
  <c r="Q434" i="7"/>
  <c r="Q421" i="7"/>
  <c r="S656" i="7"/>
  <c r="S670" i="7" s="1"/>
  <c r="S446" i="7"/>
  <c r="S434" i="7"/>
  <c r="S421" i="7"/>
  <c r="U656" i="7"/>
  <c r="U670" i="7" s="1"/>
  <c r="U446" i="7"/>
  <c r="U434" i="7"/>
  <c r="U421" i="7"/>
  <c r="W656" i="7"/>
  <c r="W670" i="7" s="1"/>
  <c r="W446" i="7"/>
  <c r="W434" i="7"/>
  <c r="W421" i="7"/>
  <c r="Y656" i="7"/>
  <c r="Y670" i="7" s="1"/>
  <c r="Y446" i="7"/>
  <c r="Y434" i="7"/>
  <c r="Y421" i="7"/>
  <c r="D246" i="2"/>
  <c r="F482" i="20" s="1"/>
  <c r="W482" i="20" s="1"/>
  <c r="AA656" i="7"/>
  <c r="AA670" i="7" s="1"/>
  <c r="AA446" i="7"/>
  <c r="AA434" i="7"/>
  <c r="AA421" i="7"/>
  <c r="N33" i="6"/>
  <c r="Z33" i="6"/>
  <c r="AL33" i="6"/>
  <c r="L754" i="7"/>
  <c r="L346" i="7"/>
  <c r="L337" i="7"/>
  <c r="AX33" i="6"/>
  <c r="N754" i="7"/>
  <c r="N346" i="7"/>
  <c r="N337" i="7"/>
  <c r="BJ33" i="6"/>
  <c r="P754" i="7"/>
  <c r="P346" i="7"/>
  <c r="P337" i="7"/>
  <c r="BV33" i="6"/>
  <c r="R754" i="7"/>
  <c r="R346" i="7"/>
  <c r="R337" i="7"/>
  <c r="CH33" i="6"/>
  <c r="T754" i="7"/>
  <c r="T346" i="7"/>
  <c r="T337" i="7"/>
  <c r="CT33" i="6"/>
  <c r="V754" i="7"/>
  <c r="V346" i="7"/>
  <c r="V337" i="7"/>
  <c r="DF33" i="6"/>
  <c r="X754" i="7"/>
  <c r="X346" i="7"/>
  <c r="X337" i="7"/>
  <c r="DR33" i="6"/>
  <c r="Z754" i="7"/>
  <c r="Z346" i="7"/>
  <c r="Z337" i="7"/>
  <c r="ED33" i="6"/>
  <c r="AB754" i="7"/>
  <c r="AB337" i="7"/>
  <c r="AC327" i="7"/>
  <c r="AC754" i="7" s="1"/>
  <c r="H35" i="6"/>
  <c r="T35" i="6"/>
  <c r="AF35" i="6"/>
  <c r="AR35" i="6"/>
  <c r="M755" i="7"/>
  <c r="M410" i="7"/>
  <c r="M404" i="7"/>
  <c r="BD35" i="6"/>
  <c r="O755" i="7"/>
  <c r="O410" i="7"/>
  <c r="O404" i="7"/>
  <c r="BP35" i="6"/>
  <c r="Q755" i="7"/>
  <c r="Q410" i="7"/>
  <c r="Q404" i="7"/>
  <c r="CB35" i="6"/>
  <c r="S755" i="7"/>
  <c r="S410" i="7"/>
  <c r="CN35" i="6"/>
  <c r="U755" i="7"/>
  <c r="U410" i="7"/>
  <c r="CZ35" i="6"/>
  <c r="W755" i="7"/>
  <c r="W410" i="7"/>
  <c r="DL35" i="6"/>
  <c r="Y755" i="7"/>
  <c r="Y410" i="7"/>
  <c r="DX35" i="6"/>
  <c r="AA755" i="7"/>
  <c r="AA410" i="7"/>
  <c r="L630" i="7"/>
  <c r="L641" i="7" s="1"/>
  <c r="L497" i="7"/>
  <c r="L484" i="7"/>
  <c r="L508" i="7"/>
  <c r="L487" i="7"/>
  <c r="N630" i="7"/>
  <c r="N641" i="7" s="1"/>
  <c r="N497" i="7"/>
  <c r="N484" i="7"/>
  <c r="N508" i="7"/>
  <c r="N487" i="7"/>
  <c r="P630" i="7"/>
  <c r="P641" i="7" s="1"/>
  <c r="P497" i="7"/>
  <c r="P484" i="7"/>
  <c r="P508" i="7"/>
  <c r="P487" i="7"/>
  <c r="R630" i="7"/>
  <c r="R641" i="7" s="1"/>
  <c r="R497" i="7"/>
  <c r="R484" i="7"/>
  <c r="R508" i="7"/>
  <c r="R487" i="7"/>
  <c r="T630" i="7"/>
  <c r="T641" i="7" s="1"/>
  <c r="T497" i="7"/>
  <c r="T484" i="7"/>
  <c r="T508" i="7"/>
  <c r="T487" i="7"/>
  <c r="V630" i="7"/>
  <c r="V497" i="7"/>
  <c r="V484" i="7"/>
  <c r="V508" i="7"/>
  <c r="V487" i="7"/>
  <c r="X630" i="7"/>
  <c r="X497" i="7"/>
  <c r="X484" i="7"/>
  <c r="X508" i="7"/>
  <c r="X487" i="7"/>
  <c r="C225" i="2"/>
  <c r="AT225" i="2" s="1"/>
  <c r="Z630" i="7"/>
  <c r="Z497" i="7"/>
  <c r="Z484" i="7"/>
  <c r="Z508" i="7"/>
  <c r="Z487" i="7"/>
  <c r="AB630" i="7"/>
  <c r="H41" i="6"/>
  <c r="T41" i="6"/>
  <c r="AF41" i="6"/>
  <c r="AR41" i="6"/>
  <c r="M695" i="7"/>
  <c r="M505" i="7"/>
  <c r="M494" i="7"/>
  <c r="BD41" i="6"/>
  <c r="O695" i="7"/>
  <c r="O505" i="7"/>
  <c r="O494" i="7"/>
  <c r="BP41" i="6"/>
  <c r="Q695" i="7"/>
  <c r="Q505" i="7"/>
  <c r="Q494" i="7"/>
  <c r="CB41" i="6"/>
  <c r="S695" i="7"/>
  <c r="S505" i="7"/>
  <c r="S494" i="7"/>
  <c r="CN41" i="6"/>
  <c r="U695" i="7"/>
  <c r="U505" i="7"/>
  <c r="U494" i="7"/>
  <c r="CZ41" i="6"/>
  <c r="W695" i="7"/>
  <c r="W505" i="7"/>
  <c r="W494" i="7"/>
  <c r="DL41" i="6"/>
  <c r="Y695" i="7"/>
  <c r="Y505" i="7"/>
  <c r="Y494" i="7"/>
  <c r="D230" i="2"/>
  <c r="AU230" i="2" s="1"/>
  <c r="DX41" i="6"/>
  <c r="AA695" i="7"/>
  <c r="AA505" i="7"/>
  <c r="AA494" i="7"/>
  <c r="N44" i="6"/>
  <c r="Z44" i="6"/>
  <c r="AL44" i="6"/>
  <c r="L759" i="7"/>
  <c r="L509" i="7"/>
  <c r="L498" i="7"/>
  <c r="AX44" i="6"/>
  <c r="N759" i="7"/>
  <c r="N509" i="7"/>
  <c r="N498" i="7"/>
  <c r="BJ44" i="6"/>
  <c r="P759" i="7"/>
  <c r="P509" i="7"/>
  <c r="P498" i="7"/>
  <c r="BV44" i="6"/>
  <c r="R759" i="7"/>
  <c r="R509" i="7"/>
  <c r="R498" i="7"/>
  <c r="CH44" i="6"/>
  <c r="T759" i="7"/>
  <c r="T509" i="7"/>
  <c r="T498" i="7"/>
  <c r="CT44" i="6"/>
  <c r="V759" i="7"/>
  <c r="V509" i="7"/>
  <c r="V498" i="7"/>
  <c r="DF44" i="6"/>
  <c r="X759" i="7"/>
  <c r="X509" i="7"/>
  <c r="X498" i="7"/>
  <c r="DR44" i="6"/>
  <c r="Z759" i="7"/>
  <c r="Z509" i="7"/>
  <c r="Z498" i="7"/>
  <c r="ED44" i="6"/>
  <c r="AB759" i="7"/>
  <c r="AC486" i="7"/>
  <c r="H42" i="6"/>
  <c r="T42" i="6"/>
  <c r="AF42" i="6"/>
  <c r="AR42" i="6"/>
  <c r="M696" i="7"/>
  <c r="M506" i="7"/>
  <c r="M495" i="7"/>
  <c r="BD42" i="6"/>
  <c r="O696" i="7"/>
  <c r="O506" i="7"/>
  <c r="O495" i="7"/>
  <c r="BP42" i="6"/>
  <c r="Q696" i="7"/>
  <c r="Q506" i="7"/>
  <c r="Q495" i="7"/>
  <c r="CB42" i="6"/>
  <c r="S696" i="7"/>
  <c r="S506" i="7"/>
  <c r="S495" i="7"/>
  <c r="CN42" i="6"/>
  <c r="U696" i="7"/>
  <c r="U506" i="7"/>
  <c r="U495" i="7"/>
  <c r="CZ42" i="6"/>
  <c r="W696" i="7"/>
  <c r="W506" i="7"/>
  <c r="W495" i="7"/>
  <c r="DL42" i="6"/>
  <c r="Y696" i="7"/>
  <c r="Y506" i="7"/>
  <c r="Y495" i="7"/>
  <c r="D248" i="2"/>
  <c r="AU248" i="2" s="1"/>
  <c r="DX42" i="6"/>
  <c r="AA696" i="7"/>
  <c r="AA506" i="7"/>
  <c r="AA495" i="7"/>
  <c r="H47" i="6"/>
  <c r="T47" i="6"/>
  <c r="AF47" i="6"/>
  <c r="AR47" i="6"/>
  <c r="M760" i="7"/>
  <c r="M550" i="7"/>
  <c r="M556" i="7"/>
  <c r="BD47" i="6"/>
  <c r="O760" i="7"/>
  <c r="O550" i="7"/>
  <c r="O556" i="7"/>
  <c r="BP47" i="6"/>
  <c r="Q760" i="7"/>
  <c r="Q550" i="7"/>
  <c r="Q556" i="7"/>
  <c r="CB47" i="6"/>
  <c r="S760" i="7"/>
  <c r="S550" i="7"/>
  <c r="S556" i="7"/>
  <c r="CN47" i="6"/>
  <c r="U760" i="7"/>
  <c r="U550" i="7"/>
  <c r="U556" i="7"/>
  <c r="CZ47" i="6"/>
  <c r="W760" i="7"/>
  <c r="W550" i="7"/>
  <c r="W556" i="7"/>
  <c r="DL47" i="6"/>
  <c r="Y760" i="7"/>
  <c r="Y550" i="7"/>
  <c r="Y556" i="7"/>
  <c r="DX47" i="6"/>
  <c r="AA760" i="7"/>
  <c r="AA550" i="7"/>
  <c r="AA556" i="7"/>
  <c r="N45" i="6"/>
  <c r="Z45" i="6"/>
  <c r="AL45" i="6"/>
  <c r="L761" i="7"/>
  <c r="L534" i="7"/>
  <c r="L528" i="7"/>
  <c r="AX45" i="6"/>
  <c r="N761" i="7"/>
  <c r="N534" i="7"/>
  <c r="N528" i="7"/>
  <c r="BJ45" i="6"/>
  <c r="P761" i="7"/>
  <c r="P534" i="7"/>
  <c r="P528" i="7"/>
  <c r="BV45" i="6"/>
  <c r="R761" i="7"/>
  <c r="R534" i="7"/>
  <c r="R528" i="7"/>
  <c r="CH45" i="6"/>
  <c r="T761" i="7"/>
  <c r="T534" i="7"/>
  <c r="T528" i="7"/>
  <c r="CT45" i="6"/>
  <c r="V761" i="7"/>
  <c r="V534" i="7"/>
  <c r="V528" i="7"/>
  <c r="DF45" i="6"/>
  <c r="X761" i="7"/>
  <c r="X534" i="7"/>
  <c r="X528" i="7"/>
  <c r="DR45" i="6"/>
  <c r="Z761" i="7"/>
  <c r="Z534" i="7"/>
  <c r="Z528" i="7"/>
  <c r="ED45" i="6"/>
  <c r="AB761" i="7"/>
  <c r="AC521" i="7"/>
  <c r="L602" i="7"/>
  <c r="M607" i="7"/>
  <c r="M606" i="7"/>
  <c r="N602" i="7"/>
  <c r="O607" i="7"/>
  <c r="O606" i="7"/>
  <c r="P602" i="7"/>
  <c r="Q607" i="7"/>
  <c r="Q606" i="7"/>
  <c r="R602" i="7"/>
  <c r="S607" i="7"/>
  <c r="S606" i="7"/>
  <c r="T602" i="7"/>
  <c r="U607" i="7"/>
  <c r="U606" i="7"/>
  <c r="V602" i="7"/>
  <c r="W607" i="7"/>
  <c r="W606" i="7"/>
  <c r="X602" i="7"/>
  <c r="Y607" i="7"/>
  <c r="Y606" i="7"/>
  <c r="Z602" i="7"/>
  <c r="AA607" i="7"/>
  <c r="AA606" i="7"/>
  <c r="AB602" i="7"/>
  <c r="L678" i="7"/>
  <c r="N678" i="7"/>
  <c r="P678" i="7"/>
  <c r="R678" i="7"/>
  <c r="T678" i="7"/>
  <c r="V678" i="7"/>
  <c r="V687" i="7"/>
  <c r="X678" i="7"/>
  <c r="X687" i="7"/>
  <c r="C229" i="2"/>
  <c r="AT229" i="2" s="1"/>
  <c r="Z678" i="7"/>
  <c r="Z687" i="7"/>
  <c r="M642" i="7"/>
  <c r="O642" i="7"/>
  <c r="Q642" i="7"/>
  <c r="S642" i="7"/>
  <c r="U642" i="7"/>
  <c r="W642" i="7"/>
  <c r="L174" i="7"/>
  <c r="L170" i="7"/>
  <c r="N174" i="7"/>
  <c r="N170" i="7"/>
  <c r="P174" i="7"/>
  <c r="P170" i="7"/>
  <c r="R174" i="7"/>
  <c r="R170" i="7"/>
  <c r="T174" i="7"/>
  <c r="T170" i="7"/>
  <c r="V174" i="7"/>
  <c r="V170" i="7"/>
  <c r="X174" i="7"/>
  <c r="X170" i="7"/>
  <c r="C232" i="2"/>
  <c r="AT232" i="2" s="1"/>
  <c r="Z174" i="7"/>
  <c r="Z170" i="7"/>
  <c r="AB174" i="7"/>
  <c r="AB170" i="7"/>
  <c r="F8" i="6"/>
  <c r="R8" i="6"/>
  <c r="AD8" i="6"/>
  <c r="AP8" i="6"/>
  <c r="M107" i="7"/>
  <c r="M98" i="7"/>
  <c r="M89" i="7"/>
  <c r="M92" i="7"/>
  <c r="BB8" i="6"/>
  <c r="O107" i="7"/>
  <c r="O98" i="7"/>
  <c r="O89" i="7"/>
  <c r="O92" i="7"/>
  <c r="BN8" i="6"/>
  <c r="Q107" i="7"/>
  <c r="Q98" i="7"/>
  <c r="Q89" i="7"/>
  <c r="Q92" i="7"/>
  <c r="BZ8" i="6"/>
  <c r="S107" i="7"/>
  <c r="S98" i="7"/>
  <c r="S89" i="7"/>
  <c r="S92" i="7"/>
  <c r="CL8" i="6"/>
  <c r="U107" i="7"/>
  <c r="U98" i="7"/>
  <c r="U89" i="7"/>
  <c r="U92" i="7"/>
  <c r="CX8" i="6"/>
  <c r="W107" i="7"/>
  <c r="W98" i="7"/>
  <c r="W89" i="7"/>
  <c r="W92" i="7"/>
  <c r="DJ8" i="6"/>
  <c r="Y107" i="7"/>
  <c r="Y98" i="7"/>
  <c r="Y89" i="7"/>
  <c r="Y92" i="7"/>
  <c r="DV8" i="6"/>
  <c r="AA107" i="7"/>
  <c r="AB118" i="7" s="1"/>
  <c r="AA98" i="7"/>
  <c r="AA89" i="7"/>
  <c r="AA92" i="7"/>
  <c r="L9" i="6"/>
  <c r="X9" i="6"/>
  <c r="AJ9" i="6"/>
  <c r="L75" i="7"/>
  <c r="L27" i="7"/>
  <c r="L18" i="7"/>
  <c r="AV9" i="6"/>
  <c r="N75" i="7"/>
  <c r="N27" i="7"/>
  <c r="N18" i="7"/>
  <c r="BH9" i="6"/>
  <c r="P75" i="7"/>
  <c r="P27" i="7"/>
  <c r="P18" i="7"/>
  <c r="BT9" i="6"/>
  <c r="R75" i="7"/>
  <c r="R27" i="7"/>
  <c r="R18" i="7"/>
  <c r="CF9" i="6"/>
  <c r="T75" i="7"/>
  <c r="T27" i="7"/>
  <c r="T18" i="7"/>
  <c r="CR9" i="6"/>
  <c r="V75" i="7"/>
  <c r="V27" i="7"/>
  <c r="V18" i="7"/>
  <c r="DD9" i="6"/>
  <c r="X75" i="7"/>
  <c r="X27" i="7"/>
  <c r="X18" i="7"/>
  <c r="DP9" i="6"/>
  <c r="Z75" i="7"/>
  <c r="Z27" i="7"/>
  <c r="Z18" i="7"/>
  <c r="F10" i="6"/>
  <c r="R10" i="6"/>
  <c r="AD10" i="6"/>
  <c r="AP10" i="6"/>
  <c r="M63" i="7"/>
  <c r="BB10" i="6"/>
  <c r="O63" i="7"/>
  <c r="BN10" i="6"/>
  <c r="Q55" i="7"/>
  <c r="Q63" i="7"/>
  <c r="BZ10" i="6"/>
  <c r="S55" i="7"/>
  <c r="S63" i="7"/>
  <c r="CL10" i="6"/>
  <c r="U55" i="7"/>
  <c r="U63" i="7"/>
  <c r="CX10" i="6"/>
  <c r="W55" i="7"/>
  <c r="W63" i="7"/>
  <c r="DJ10" i="6"/>
  <c r="Y55" i="7"/>
  <c r="Y63" i="7"/>
  <c r="DV10" i="6"/>
  <c r="AA55" i="7"/>
  <c r="AA63" i="7"/>
  <c r="L13" i="6"/>
  <c r="H168" i="8"/>
  <c r="H260" i="7" s="1"/>
  <c r="H234" i="8"/>
  <c r="H226" i="8"/>
  <c r="X13" i="6"/>
  <c r="J168" i="8"/>
  <c r="J260" i="7" s="1"/>
  <c r="J234" i="8"/>
  <c r="J226" i="8"/>
  <c r="AJ13" i="6"/>
  <c r="L168" i="8"/>
  <c r="L234" i="8"/>
  <c r="L226" i="8"/>
  <c r="AV13" i="6"/>
  <c r="N168" i="8"/>
  <c r="N234" i="8"/>
  <c r="N226" i="8"/>
  <c r="BH13" i="6"/>
  <c r="BG13" i="6" s="1"/>
  <c r="P168" i="8"/>
  <c r="P234" i="8"/>
  <c r="P226" i="8"/>
  <c r="BT13" i="6"/>
  <c r="BS13" i="6" s="1"/>
  <c r="R168" i="8"/>
  <c r="R234" i="8"/>
  <c r="R226" i="8"/>
  <c r="CF13" i="6"/>
  <c r="CE13" i="6" s="1"/>
  <c r="T168" i="8"/>
  <c r="T234" i="8"/>
  <c r="T226" i="8"/>
  <c r="CR13" i="6"/>
  <c r="CQ13" i="6" s="1"/>
  <c r="V168" i="8"/>
  <c r="V234" i="8"/>
  <c r="V226" i="8"/>
  <c r="DD13" i="6"/>
  <c r="DC13" i="6" s="1"/>
  <c r="X168" i="8"/>
  <c r="X234" i="8"/>
  <c r="X226" i="8"/>
  <c r="C187" i="2"/>
  <c r="AT187" i="2" s="1"/>
  <c r="DP13" i="6"/>
  <c r="DO13" i="6" s="1"/>
  <c r="Z168" i="8"/>
  <c r="Z234" i="8"/>
  <c r="Z226" i="8"/>
  <c r="F14" i="6"/>
  <c r="G136" i="8"/>
  <c r="R14" i="6"/>
  <c r="I136" i="8"/>
  <c r="AD14" i="6"/>
  <c r="K136" i="8"/>
  <c r="AP14" i="6"/>
  <c r="M136" i="8"/>
  <c r="BB14" i="6"/>
  <c r="O136" i="8"/>
  <c r="BN14" i="6"/>
  <c r="Q136" i="8"/>
  <c r="BZ14" i="6"/>
  <c r="S136" i="8"/>
  <c r="CL14" i="6"/>
  <c r="U136" i="8"/>
  <c r="CX14" i="6"/>
  <c r="W136" i="8"/>
  <c r="DJ14" i="6"/>
  <c r="Y136" i="8"/>
  <c r="DV14" i="6"/>
  <c r="L11" i="6"/>
  <c r="H221" i="8"/>
  <c r="H215" i="8"/>
  <c r="H229" i="8"/>
  <c r="X11" i="6"/>
  <c r="J221" i="8"/>
  <c r="J215" i="8"/>
  <c r="J229" i="8"/>
  <c r="AJ11" i="6"/>
  <c r="L221" i="8"/>
  <c r="L215" i="8"/>
  <c r="L76" i="7"/>
  <c r="L229" i="8"/>
  <c r="AV11" i="6"/>
  <c r="N221" i="8"/>
  <c r="N215" i="8"/>
  <c r="N76" i="7"/>
  <c r="N229" i="8"/>
  <c r="BH11" i="6"/>
  <c r="P221" i="8"/>
  <c r="P215" i="8"/>
  <c r="P76" i="7"/>
  <c r="P229" i="8"/>
  <c r="BT11" i="6"/>
  <c r="R221" i="8"/>
  <c r="R215" i="8"/>
  <c r="R76" i="7"/>
  <c r="R229" i="8"/>
  <c r="CF11" i="6"/>
  <c r="T221" i="8"/>
  <c r="T215" i="8"/>
  <c r="T76" i="7"/>
  <c r="T229" i="8"/>
  <c r="CR11" i="6"/>
  <c r="V221" i="8"/>
  <c r="V215" i="8"/>
  <c r="V76" i="7"/>
  <c r="V229" i="8"/>
  <c r="DD11" i="6"/>
  <c r="X221" i="8"/>
  <c r="X215" i="8"/>
  <c r="X76" i="7"/>
  <c r="X229" i="8"/>
  <c r="DP11" i="6"/>
  <c r="Z221" i="8"/>
  <c r="Z215" i="8"/>
  <c r="Z76" i="7"/>
  <c r="Z229" i="8"/>
  <c r="F30" i="6"/>
  <c r="R30" i="6"/>
  <c r="AD30" i="6"/>
  <c r="AP30" i="6"/>
  <c r="M232" i="7"/>
  <c r="M221" i="7"/>
  <c r="M209" i="7"/>
  <c r="BB30" i="6"/>
  <c r="O232" i="7"/>
  <c r="O221" i="7"/>
  <c r="O209" i="7"/>
  <c r="BN30" i="6"/>
  <c r="Q232" i="7"/>
  <c r="Q221" i="7"/>
  <c r="Q209" i="7"/>
  <c r="BZ30" i="6"/>
  <c r="S232" i="7"/>
  <c r="S221" i="7"/>
  <c r="S209" i="7"/>
  <c r="CL30" i="6"/>
  <c r="U232" i="7"/>
  <c r="U221" i="7"/>
  <c r="U209" i="7"/>
  <c r="CX30" i="6"/>
  <c r="W232" i="7"/>
  <c r="W221" i="7"/>
  <c r="W209" i="7"/>
  <c r="DJ30" i="6"/>
  <c r="Y232" i="7"/>
  <c r="Y221" i="7"/>
  <c r="Y209" i="7"/>
  <c r="D192" i="2"/>
  <c r="DV30" i="6"/>
  <c r="AA232" i="7"/>
  <c r="AA221" i="7"/>
  <c r="AA209" i="7"/>
  <c r="L24" i="6"/>
  <c r="X24" i="6"/>
  <c r="AJ24" i="6"/>
  <c r="L706" i="7"/>
  <c r="L282" i="7"/>
  <c r="L268" i="7"/>
  <c r="AV24" i="6"/>
  <c r="N706" i="7"/>
  <c r="N282" i="7"/>
  <c r="N268" i="7"/>
  <c r="BH24" i="6"/>
  <c r="P706" i="7"/>
  <c r="P282" i="7"/>
  <c r="P268" i="7"/>
  <c r="BT24" i="6"/>
  <c r="R706" i="7"/>
  <c r="R282" i="7"/>
  <c r="R268" i="7"/>
  <c r="CF24" i="6"/>
  <c r="T706" i="7"/>
  <c r="T282" i="7"/>
  <c r="T268" i="7"/>
  <c r="CR24" i="6"/>
  <c r="V706" i="7"/>
  <c r="V282" i="7"/>
  <c r="V268" i="7"/>
  <c r="DD24" i="6"/>
  <c r="X706" i="7"/>
  <c r="X282" i="7"/>
  <c r="X268" i="7"/>
  <c r="DP24" i="6"/>
  <c r="Z706" i="7"/>
  <c r="Z282" i="7"/>
  <c r="Z268" i="7"/>
  <c r="F27" i="6"/>
  <c r="E27" i="6" s="1"/>
  <c r="R27" i="6"/>
  <c r="AD27" i="6"/>
  <c r="AP27" i="6"/>
  <c r="M707" i="7"/>
  <c r="M317" i="7"/>
  <c r="M310" i="7"/>
  <c r="BB27" i="6"/>
  <c r="O707" i="7"/>
  <c r="O317" i="7"/>
  <c r="O310" i="7"/>
  <c r="BN27" i="6"/>
  <c r="BM27" i="6" s="1"/>
  <c r="Q707" i="7"/>
  <c r="Q317" i="7"/>
  <c r="Q310" i="7"/>
  <c r="BZ27" i="6"/>
  <c r="BY27" i="6" s="1"/>
  <c r="S707" i="7"/>
  <c r="S317" i="7"/>
  <c r="S310" i="7"/>
  <c r="CL27" i="6"/>
  <c r="CK27" i="6" s="1"/>
  <c r="U707" i="7"/>
  <c r="U317" i="7"/>
  <c r="U310" i="7"/>
  <c r="CX27" i="6"/>
  <c r="CW27" i="6" s="1"/>
  <c r="W707" i="7"/>
  <c r="W317" i="7"/>
  <c r="W310" i="7"/>
  <c r="DJ27" i="6"/>
  <c r="DI27" i="6" s="1"/>
  <c r="Y707" i="7"/>
  <c r="Y317" i="7"/>
  <c r="Y310" i="7"/>
  <c r="DV27" i="6"/>
  <c r="DU27" i="6" s="1"/>
  <c r="AA707" i="7"/>
  <c r="AA317" i="7"/>
  <c r="AA310" i="7"/>
  <c r="L31" i="6"/>
  <c r="X31" i="6"/>
  <c r="AJ31" i="6"/>
  <c r="AI31" i="6" s="1"/>
  <c r="L712" i="7"/>
  <c r="L285" i="7"/>
  <c r="L271" i="7"/>
  <c r="AV31" i="6"/>
  <c r="N712" i="7"/>
  <c r="N285" i="7"/>
  <c r="N271" i="7"/>
  <c r="BH31" i="6"/>
  <c r="BG31" i="6" s="1"/>
  <c r="P712" i="7"/>
  <c r="P285" i="7"/>
  <c r="P271" i="7"/>
  <c r="BT31" i="6"/>
  <c r="BS31" i="6" s="1"/>
  <c r="R712" i="7"/>
  <c r="R285" i="7"/>
  <c r="R271" i="7"/>
  <c r="CF31" i="6"/>
  <c r="CE31" i="6" s="1"/>
  <c r="T712" i="7"/>
  <c r="T285" i="7"/>
  <c r="T271" i="7"/>
  <c r="CR31" i="6"/>
  <c r="CQ31" i="6" s="1"/>
  <c r="V712" i="7"/>
  <c r="V285" i="7"/>
  <c r="V271" i="7"/>
  <c r="DD31" i="6"/>
  <c r="DC31" i="6" s="1"/>
  <c r="X712" i="7"/>
  <c r="X285" i="7"/>
  <c r="X271" i="7"/>
  <c r="DP31" i="6"/>
  <c r="DO31" i="6" s="1"/>
  <c r="Z712" i="7"/>
  <c r="Z285" i="7"/>
  <c r="Z271" i="7"/>
  <c r="F32" i="6"/>
  <c r="R32" i="6"/>
  <c r="AD32" i="6"/>
  <c r="AP32" i="6"/>
  <c r="M713" i="7"/>
  <c r="M306" i="7"/>
  <c r="M313" i="7"/>
  <c r="BB32" i="6"/>
  <c r="O713" i="7"/>
  <c r="O306" i="7"/>
  <c r="O313" i="7"/>
  <c r="BN32" i="6"/>
  <c r="Q713" i="7"/>
  <c r="Q306" i="7"/>
  <c r="Q313" i="7"/>
  <c r="BZ32" i="6"/>
  <c r="S713" i="7"/>
  <c r="S306" i="7"/>
  <c r="S313" i="7"/>
  <c r="CL32" i="6"/>
  <c r="U713" i="7"/>
  <c r="U306" i="7"/>
  <c r="U313" i="7"/>
  <c r="CX32" i="6"/>
  <c r="W713" i="7"/>
  <c r="W306" i="7"/>
  <c r="W313" i="7"/>
  <c r="DJ32" i="6"/>
  <c r="Y713" i="7"/>
  <c r="Y306" i="7"/>
  <c r="Y313" i="7"/>
  <c r="DV32" i="6"/>
  <c r="AA713" i="7"/>
  <c r="AA306" i="7"/>
  <c r="AA313" i="7"/>
  <c r="L28" i="6"/>
  <c r="X28" i="6"/>
  <c r="AJ28" i="6"/>
  <c r="L708" i="7"/>
  <c r="L343" i="7"/>
  <c r="L334" i="7"/>
  <c r="AV28" i="6"/>
  <c r="N708" i="7"/>
  <c r="N343" i="7"/>
  <c r="N334" i="7"/>
  <c r="BH28" i="6"/>
  <c r="P708" i="7"/>
  <c r="P343" i="7"/>
  <c r="P334" i="7"/>
  <c r="BT28" i="6"/>
  <c r="R708" i="7"/>
  <c r="R343" i="7"/>
  <c r="R334" i="7"/>
  <c r="CF28" i="6"/>
  <c r="T708" i="7"/>
  <c r="T343" i="7"/>
  <c r="T334" i="7"/>
  <c r="CR28" i="6"/>
  <c r="V708" i="7"/>
  <c r="V343" i="7"/>
  <c r="V334" i="7"/>
  <c r="DD28" i="6"/>
  <c r="X708" i="7"/>
  <c r="X343" i="7"/>
  <c r="X334" i="7"/>
  <c r="DP28" i="6"/>
  <c r="Z708" i="7"/>
  <c r="Z343" i="7"/>
  <c r="Z334" i="7"/>
  <c r="F33" i="6"/>
  <c r="R33" i="6"/>
  <c r="AD33" i="6"/>
  <c r="AP33" i="6"/>
  <c r="M714" i="7"/>
  <c r="M342" i="7"/>
  <c r="M333" i="7"/>
  <c r="BB33" i="6"/>
  <c r="O714" i="7"/>
  <c r="O342" i="7"/>
  <c r="O333" i="7"/>
  <c r="BN33" i="6"/>
  <c r="Q714" i="7"/>
  <c r="Q342" i="7"/>
  <c r="Q333" i="7"/>
  <c r="BZ33" i="6"/>
  <c r="S714" i="7"/>
  <c r="S342" i="7"/>
  <c r="S333" i="7"/>
  <c r="CL33" i="6"/>
  <c r="U714" i="7"/>
  <c r="U342" i="7"/>
  <c r="U333" i="7"/>
  <c r="CX33" i="6"/>
  <c r="W714" i="7"/>
  <c r="W342" i="7"/>
  <c r="W333" i="7"/>
  <c r="DJ33" i="6"/>
  <c r="Y714" i="7"/>
  <c r="Y342" i="7"/>
  <c r="Y333" i="7"/>
  <c r="DV33" i="6"/>
  <c r="AA714" i="7"/>
  <c r="AA342" i="7"/>
  <c r="AA333" i="7"/>
  <c r="L35" i="6"/>
  <c r="X35" i="6"/>
  <c r="AJ35" i="6"/>
  <c r="L399" i="7"/>
  <c r="L408" i="7"/>
  <c r="L402" i="7"/>
  <c r="AV35" i="6"/>
  <c r="N399" i="7"/>
  <c r="N408" i="7"/>
  <c r="N402" i="7"/>
  <c r="BH35" i="6"/>
  <c r="P399" i="7"/>
  <c r="P408" i="7"/>
  <c r="P402" i="7"/>
  <c r="BT35" i="6"/>
  <c r="R399" i="7"/>
  <c r="R408" i="7"/>
  <c r="R402" i="7"/>
  <c r="CF35" i="6"/>
  <c r="T399" i="7"/>
  <c r="T408" i="7"/>
  <c r="T402" i="7"/>
  <c r="CR35" i="6"/>
  <c r="V399" i="7"/>
  <c r="V408" i="7"/>
  <c r="V402" i="7"/>
  <c r="DD35" i="6"/>
  <c r="X399" i="7"/>
  <c r="X408" i="7"/>
  <c r="X402" i="7"/>
  <c r="C194" i="2"/>
  <c r="AT194" i="2" s="1"/>
  <c r="DP35" i="6"/>
  <c r="Z399" i="7"/>
  <c r="Z408" i="7"/>
  <c r="Z402" i="7"/>
  <c r="F45" i="6"/>
  <c r="R45" i="6"/>
  <c r="AD45" i="6"/>
  <c r="AP45" i="6"/>
  <c r="M724" i="7"/>
  <c r="M532" i="7"/>
  <c r="M526" i="7"/>
  <c r="M523" i="7"/>
  <c r="BB45" i="6"/>
  <c r="O724" i="7"/>
  <c r="O532" i="7"/>
  <c r="O526" i="7"/>
  <c r="O523" i="7"/>
  <c r="BN45" i="6"/>
  <c r="Q724" i="7"/>
  <c r="Q532" i="7"/>
  <c r="Q526" i="7"/>
  <c r="Q523" i="7"/>
  <c r="BZ45" i="6"/>
  <c r="S724" i="7"/>
  <c r="S532" i="7"/>
  <c r="S526" i="7"/>
  <c r="S523" i="7"/>
  <c r="CL45" i="6"/>
  <c r="U724" i="7"/>
  <c r="U532" i="7"/>
  <c r="U526" i="7"/>
  <c r="U522" i="7"/>
  <c r="U523" i="7" s="1"/>
  <c r="CX45" i="6"/>
  <c r="W724" i="7"/>
  <c r="W532" i="7"/>
  <c r="W526" i="7"/>
  <c r="W522" i="7"/>
  <c r="W523" i="7" s="1"/>
  <c r="DJ45" i="6"/>
  <c r="Y724" i="7"/>
  <c r="Y532" i="7"/>
  <c r="Y526" i="7"/>
  <c r="Y522" i="7"/>
  <c r="Y523" i="7" s="1"/>
  <c r="DV45" i="6"/>
  <c r="AA724" i="7"/>
  <c r="AA532" i="7"/>
  <c r="AA526" i="7"/>
  <c r="AA522" i="7"/>
  <c r="H64" i="8"/>
  <c r="H53" i="8"/>
  <c r="H37" i="8"/>
  <c r="H35" i="8"/>
  <c r="J64" i="8"/>
  <c r="J53" i="8"/>
  <c r="J37" i="8"/>
  <c r="J35" i="8"/>
  <c r="L64" i="8"/>
  <c r="L53" i="8"/>
  <c r="L37" i="8"/>
  <c r="L35" i="8"/>
  <c r="N64" i="8"/>
  <c r="N53" i="8"/>
  <c r="N37" i="8"/>
  <c r="N35" i="8"/>
  <c r="P64" i="8"/>
  <c r="P53" i="8"/>
  <c r="P37" i="8"/>
  <c r="P35" i="8"/>
  <c r="R64" i="8"/>
  <c r="R53" i="8"/>
  <c r="R37" i="8"/>
  <c r="R35" i="8"/>
  <c r="T64" i="8"/>
  <c r="T53" i="8"/>
  <c r="T37" i="8"/>
  <c r="T35" i="8"/>
  <c r="V64" i="8"/>
  <c r="V53" i="8"/>
  <c r="V37" i="8"/>
  <c r="V35" i="8"/>
  <c r="X64" i="8"/>
  <c r="X53" i="8"/>
  <c r="X37" i="8"/>
  <c r="X35" i="8"/>
  <c r="C179" i="2"/>
  <c r="AT179" i="2" s="1"/>
  <c r="Z64" i="8"/>
  <c r="Z53" i="8"/>
  <c r="Z37" i="8"/>
  <c r="Z35" i="8"/>
  <c r="AB53" i="8"/>
  <c r="G41" i="8"/>
  <c r="I41" i="8"/>
  <c r="K41" i="8"/>
  <c r="M41" i="8"/>
  <c r="O41" i="8"/>
  <c r="Q41" i="8"/>
  <c r="S41" i="8"/>
  <c r="H93" i="8"/>
  <c r="J93" i="8"/>
  <c r="L93" i="8"/>
  <c r="N93" i="8"/>
  <c r="P93" i="8"/>
  <c r="R93" i="8"/>
  <c r="T93" i="8"/>
  <c r="V93" i="8"/>
  <c r="X93" i="8"/>
  <c r="C185" i="2"/>
  <c r="AT185" i="2" s="1"/>
  <c r="Z93" i="8"/>
  <c r="AB93" i="8"/>
  <c r="E185" i="2"/>
  <c r="AV185" i="2" s="1"/>
  <c r="G133" i="8"/>
  <c r="G114" i="8"/>
  <c r="I133" i="8"/>
  <c r="I114" i="8"/>
  <c r="K133" i="8"/>
  <c r="K114" i="8"/>
  <c r="M133" i="8"/>
  <c r="M114" i="8"/>
  <c r="O133" i="8"/>
  <c r="O114" i="8"/>
  <c r="Q133" i="8"/>
  <c r="Q114" i="8"/>
  <c r="S133" i="8"/>
  <c r="S114" i="8"/>
  <c r="U133" i="8"/>
  <c r="U114" i="8"/>
  <c r="W133" i="8"/>
  <c r="W114" i="8"/>
  <c r="Y133" i="8"/>
  <c r="Y114" i="8"/>
  <c r="AA114" i="8"/>
  <c r="P770" i="7"/>
  <c r="BK16" i="6"/>
  <c r="BK65" i="6" s="1"/>
  <c r="P692" i="7"/>
  <c r="P30" i="7"/>
  <c r="R770" i="7"/>
  <c r="BW16" i="6"/>
  <c r="BW65" i="6" s="1"/>
  <c r="R692" i="7"/>
  <c r="R30" i="7"/>
  <c r="R21" i="7"/>
  <c r="T770" i="7"/>
  <c r="CI16" i="6"/>
  <c r="T692" i="7"/>
  <c r="T30" i="7"/>
  <c r="T21" i="7"/>
  <c r="V770" i="7"/>
  <c r="CU16" i="6"/>
  <c r="V692" i="7"/>
  <c r="V30" i="7"/>
  <c r="V21" i="7"/>
  <c r="X770" i="7"/>
  <c r="DG16" i="6"/>
  <c r="X692" i="7"/>
  <c r="X30" i="7"/>
  <c r="C231" i="2"/>
  <c r="AT231" i="2" s="1"/>
  <c r="Z770" i="7"/>
  <c r="DS16" i="6"/>
  <c r="Z692" i="7"/>
  <c r="Z30" i="7"/>
  <c r="I17" i="6"/>
  <c r="U17" i="6"/>
  <c r="AG17" i="6"/>
  <c r="AS17" i="6"/>
  <c r="M769" i="7"/>
  <c r="M58" i="7"/>
  <c r="M66" i="7"/>
  <c r="BE17" i="6"/>
  <c r="O769" i="7"/>
  <c r="O58" i="7"/>
  <c r="O66" i="7"/>
  <c r="BQ17" i="6"/>
  <c r="Q769" i="7"/>
  <c r="Q58" i="7"/>
  <c r="Q66" i="7"/>
  <c r="CC17" i="6"/>
  <c r="S769" i="7"/>
  <c r="S58" i="7"/>
  <c r="S66" i="7"/>
  <c r="CO17" i="6"/>
  <c r="U769" i="7"/>
  <c r="U58" i="7"/>
  <c r="U66" i="7"/>
  <c r="DA17" i="6"/>
  <c r="W769" i="7"/>
  <c r="W58" i="7"/>
  <c r="W66" i="7"/>
  <c r="DM17" i="6"/>
  <c r="Y769" i="7"/>
  <c r="Y58" i="7"/>
  <c r="Y66" i="7"/>
  <c r="D233" i="2"/>
  <c r="AU233" i="2" s="1"/>
  <c r="DY17" i="6"/>
  <c r="AA769" i="7"/>
  <c r="AA58" i="7"/>
  <c r="AA66" i="7"/>
  <c r="O18" i="6"/>
  <c r="AA18" i="6"/>
  <c r="AM18" i="6"/>
  <c r="L771" i="7"/>
  <c r="L151" i="7"/>
  <c r="L159" i="7"/>
  <c r="D16" i="21"/>
  <c r="AY18" i="6"/>
  <c r="N771" i="7"/>
  <c r="N151" i="7"/>
  <c r="N159" i="7"/>
  <c r="F16" i="21"/>
  <c r="BK18" i="6"/>
  <c r="P771" i="7"/>
  <c r="P151" i="7"/>
  <c r="P159" i="7"/>
  <c r="H16" i="21"/>
  <c r="BW18" i="6"/>
  <c r="R771" i="7"/>
  <c r="R151" i="7"/>
  <c r="R159" i="7"/>
  <c r="J16" i="21"/>
  <c r="CI18" i="6"/>
  <c r="T771" i="7"/>
  <c r="T151" i="7"/>
  <c r="T159" i="7"/>
  <c r="L16" i="21"/>
  <c r="CU18" i="6"/>
  <c r="V771" i="7"/>
  <c r="V151" i="7"/>
  <c r="V159" i="7"/>
  <c r="N16" i="21"/>
  <c r="DG18" i="6"/>
  <c r="X771" i="7"/>
  <c r="X151" i="7"/>
  <c r="X159" i="7"/>
  <c r="P16" i="21"/>
  <c r="DS18" i="6"/>
  <c r="Z771" i="7"/>
  <c r="Z151" i="7"/>
  <c r="Z159" i="7"/>
  <c r="R16" i="21"/>
  <c r="R62" i="21" s="1"/>
  <c r="I40" i="6"/>
  <c r="U40" i="6"/>
  <c r="AG40" i="6"/>
  <c r="AS40" i="6"/>
  <c r="M787" i="7"/>
  <c r="M513" i="7"/>
  <c r="M502" i="7"/>
  <c r="E20" i="21"/>
  <c r="BE40" i="6"/>
  <c r="O787" i="7"/>
  <c r="O513" i="7"/>
  <c r="O502" i="7"/>
  <c r="G20" i="21"/>
  <c r="BQ40" i="6"/>
  <c r="Q787" i="7"/>
  <c r="Q513" i="7"/>
  <c r="Q502" i="7"/>
  <c r="I20" i="21"/>
  <c r="CC40" i="6"/>
  <c r="S787" i="7"/>
  <c r="S513" i="7"/>
  <c r="S502" i="7"/>
  <c r="K20" i="21"/>
  <c r="CO40" i="6"/>
  <c r="U787" i="7"/>
  <c r="U513" i="7"/>
  <c r="U502" i="7"/>
  <c r="M20" i="21"/>
  <c r="O45" i="6"/>
  <c r="O94" i="6" s="1"/>
  <c r="AA45" i="6"/>
  <c r="AA94" i="6" s="1"/>
  <c r="AM45" i="6"/>
  <c r="AM94" i="6" s="1"/>
  <c r="L788" i="7"/>
  <c r="L529" i="7"/>
  <c r="L535" i="7"/>
  <c r="AY45" i="6"/>
  <c r="AY94" i="6" s="1"/>
  <c r="N788" i="7"/>
  <c r="N529" i="7"/>
  <c r="N535" i="7"/>
  <c r="BK45" i="6"/>
  <c r="BK94" i="6" s="1"/>
  <c r="P788" i="7"/>
  <c r="P529" i="7"/>
  <c r="P535" i="7"/>
  <c r="BW45" i="6"/>
  <c r="BW94" i="6" s="1"/>
  <c r="R788" i="7"/>
  <c r="R529" i="7"/>
  <c r="R535" i="7"/>
  <c r="I325" i="12"/>
  <c r="I322" i="12"/>
  <c r="K325" i="12"/>
  <c r="K322" i="12"/>
  <c r="M325" i="12"/>
  <c r="M322" i="12"/>
  <c r="O325" i="12"/>
  <c r="O322" i="12"/>
  <c r="Q325" i="12"/>
  <c r="Q322" i="12"/>
  <c r="S325" i="12"/>
  <c r="S322" i="12"/>
  <c r="U325" i="12"/>
  <c r="U322" i="12"/>
  <c r="W325" i="12"/>
  <c r="W322" i="12"/>
  <c r="Y325" i="12"/>
  <c r="Y322" i="12"/>
  <c r="AA325" i="12"/>
  <c r="AA322" i="12"/>
  <c r="AB327" i="12" s="1"/>
  <c r="H326" i="12"/>
  <c r="J326" i="12"/>
  <c r="L326" i="12"/>
  <c r="N326" i="12"/>
  <c r="P326" i="12"/>
  <c r="R326" i="12"/>
  <c r="T326" i="12"/>
  <c r="V326" i="12"/>
  <c r="X326" i="12"/>
  <c r="C252" i="2"/>
  <c r="AT252" i="2" s="1"/>
  <c r="Z326" i="12"/>
  <c r="I367" i="12"/>
  <c r="K367" i="12"/>
  <c r="M367" i="12"/>
  <c r="O367" i="12"/>
  <c r="Q367" i="12"/>
  <c r="S367" i="12"/>
  <c r="U367" i="12"/>
  <c r="W367" i="12"/>
  <c r="Y367" i="12"/>
  <c r="AA367" i="12"/>
  <c r="H368" i="12"/>
  <c r="J368" i="12"/>
  <c r="L368" i="12"/>
  <c r="N368" i="12"/>
  <c r="P368" i="12"/>
  <c r="R368" i="12"/>
  <c r="T368" i="12"/>
  <c r="V368" i="12"/>
  <c r="X368" i="12"/>
  <c r="C154" i="2"/>
  <c r="AT154" i="2" s="1"/>
  <c r="Z368" i="12"/>
  <c r="AB368" i="12"/>
  <c r="I349" i="12"/>
  <c r="K349" i="12"/>
  <c r="M349" i="12"/>
  <c r="O349" i="12"/>
  <c r="Q349" i="12"/>
  <c r="S349" i="12"/>
  <c r="U349" i="12"/>
  <c r="W349" i="12"/>
  <c r="Y349" i="12"/>
  <c r="AA349" i="12"/>
  <c r="I59" i="8"/>
  <c r="I48" i="8"/>
  <c r="K59" i="8"/>
  <c r="K48" i="8"/>
  <c r="M59" i="8"/>
  <c r="M48" i="8"/>
  <c r="O59" i="8"/>
  <c r="O48" i="8"/>
  <c r="Q59" i="8"/>
  <c r="Q48" i="8"/>
  <c r="S59" i="8"/>
  <c r="S48" i="8"/>
  <c r="U59" i="8"/>
  <c r="U48" i="8"/>
  <c r="W59" i="8"/>
  <c r="W48" i="8"/>
  <c r="Y59" i="8"/>
  <c r="Y48" i="8"/>
  <c r="AA59" i="8"/>
  <c r="AA48" i="8"/>
  <c r="V280" i="1"/>
  <c r="X280" i="1"/>
  <c r="Z280" i="1"/>
  <c r="H101" i="17"/>
  <c r="H27" i="17"/>
  <c r="H6" i="17" s="1"/>
  <c r="J101" i="17"/>
  <c r="J27" i="17"/>
  <c r="J6" i="17" s="1"/>
  <c r="L101" i="17"/>
  <c r="L34" i="17"/>
  <c r="L32" i="17"/>
  <c r="L27" i="17"/>
  <c r="N101" i="17"/>
  <c r="N32" i="17"/>
  <c r="N27" i="17"/>
  <c r="P101" i="17"/>
  <c r="P32" i="17"/>
  <c r="P34" i="17"/>
  <c r="P27" i="17"/>
  <c r="R101" i="17"/>
  <c r="R32" i="17"/>
  <c r="R27" i="17"/>
  <c r="T101" i="17"/>
  <c r="T34" i="17"/>
  <c r="T32" i="17"/>
  <c r="T27" i="17"/>
  <c r="V101" i="17"/>
  <c r="V32" i="17"/>
  <c r="V27" i="17"/>
  <c r="X101" i="17"/>
  <c r="X32" i="17"/>
  <c r="X34" i="17"/>
  <c r="X27" i="17"/>
  <c r="Z101" i="17"/>
  <c r="Z32" i="17"/>
  <c r="Z27" i="17"/>
  <c r="AB101" i="17"/>
  <c r="AB34" i="17"/>
  <c r="AB32" i="17"/>
  <c r="AB27" i="17"/>
  <c r="AD101" i="17"/>
  <c r="AD32" i="17"/>
  <c r="AD27" i="17"/>
  <c r="AF101" i="17"/>
  <c r="AF32" i="17"/>
  <c r="AF34" i="17"/>
  <c r="AF27" i="17"/>
  <c r="AH101" i="17"/>
  <c r="AH32" i="17"/>
  <c r="AH27" i="17"/>
  <c r="AJ101" i="17"/>
  <c r="AJ34" i="17"/>
  <c r="AJ32" i="17"/>
  <c r="AJ27" i="17"/>
  <c r="AL101" i="17"/>
  <c r="AL32" i="17"/>
  <c r="AL27" i="17"/>
  <c r="AN101" i="17"/>
  <c r="AN32" i="17"/>
  <c r="AN34" i="17"/>
  <c r="AN27" i="17"/>
  <c r="AP101" i="17"/>
  <c r="AP32" i="17"/>
  <c r="AP27" i="17"/>
  <c r="AR101" i="17"/>
  <c r="AR34" i="17"/>
  <c r="AR32" i="17"/>
  <c r="AR27" i="17"/>
  <c r="AT101" i="17"/>
  <c r="AT32" i="17"/>
  <c r="AT27" i="17"/>
  <c r="AV101" i="17"/>
  <c r="AV32" i="17"/>
  <c r="AV34" i="17"/>
  <c r="AV27" i="17"/>
  <c r="AX101" i="17"/>
  <c r="AX32" i="17"/>
  <c r="AX27" i="17"/>
  <c r="AZ101" i="17"/>
  <c r="AZ34" i="17"/>
  <c r="AZ32" i="17"/>
  <c r="AZ27" i="17"/>
  <c r="BB101" i="17"/>
  <c r="BB32" i="17"/>
  <c r="BB27" i="17"/>
  <c r="BD101" i="17"/>
  <c r="BD32" i="17"/>
  <c r="BD34" i="17"/>
  <c r="BD27" i="17"/>
  <c r="BF101" i="17"/>
  <c r="BF32" i="17"/>
  <c r="BF27" i="17"/>
  <c r="BH101" i="17"/>
  <c r="BH34" i="17"/>
  <c r="BH32" i="17"/>
  <c r="BH27" i="17"/>
  <c r="BJ101" i="17"/>
  <c r="BJ32" i="17"/>
  <c r="BJ27" i="17"/>
  <c r="BL101" i="17"/>
  <c r="BL32" i="17"/>
  <c r="BL34" i="17"/>
  <c r="BL27" i="17"/>
  <c r="BN101" i="17"/>
  <c r="BN32" i="17"/>
  <c r="BN27" i="17"/>
  <c r="BP101" i="17"/>
  <c r="BP34" i="17"/>
  <c r="BP32" i="17"/>
  <c r="BP27" i="17"/>
  <c r="BR101" i="17"/>
  <c r="BR32" i="17"/>
  <c r="BR27" i="17"/>
  <c r="BT101" i="17"/>
  <c r="BT32" i="17"/>
  <c r="BT34" i="17"/>
  <c r="BT27" i="17"/>
  <c r="BV101" i="17"/>
  <c r="BV32" i="17"/>
  <c r="BV27" i="17"/>
  <c r="BX101" i="17"/>
  <c r="BX34" i="17"/>
  <c r="BX32" i="17"/>
  <c r="BX27" i="17"/>
  <c r="BZ101" i="17"/>
  <c r="BZ32" i="17"/>
  <c r="BZ27" i="17"/>
  <c r="CB101" i="17"/>
  <c r="CB32" i="17"/>
  <c r="CB34" i="17"/>
  <c r="CB27" i="17"/>
  <c r="CD101" i="17"/>
  <c r="CD32" i="17"/>
  <c r="CD27" i="17"/>
  <c r="CF101" i="17"/>
  <c r="CF34" i="17"/>
  <c r="CF32" i="17"/>
  <c r="CF27" i="17"/>
  <c r="CH101" i="17"/>
  <c r="CH32" i="17"/>
  <c r="CH27" i="17"/>
  <c r="CJ101" i="17"/>
  <c r="CJ32" i="17"/>
  <c r="CJ34" i="17"/>
  <c r="CJ27" i="17"/>
  <c r="CL101" i="17"/>
  <c r="CL32" i="17"/>
  <c r="CL27" i="17"/>
  <c r="CN101" i="17"/>
  <c r="CN34" i="17"/>
  <c r="CN32" i="17"/>
  <c r="CN27" i="17"/>
  <c r="CP101" i="17"/>
  <c r="CP32" i="17"/>
  <c r="CP27" i="17"/>
  <c r="H102" i="17"/>
  <c r="H46" i="17"/>
  <c r="H7" i="17" s="1"/>
  <c r="J102" i="17"/>
  <c r="J46" i="17"/>
  <c r="J7" i="17" s="1"/>
  <c r="L53" i="17"/>
  <c r="L51" i="17"/>
  <c r="L102" i="17"/>
  <c r="L46" i="17"/>
  <c r="N51" i="17"/>
  <c r="N102" i="17"/>
  <c r="N46" i="17"/>
  <c r="P51" i="17"/>
  <c r="P102" i="17"/>
  <c r="P53" i="17"/>
  <c r="P46" i="17"/>
  <c r="R51" i="17"/>
  <c r="R102" i="17"/>
  <c r="R46" i="17"/>
  <c r="T53" i="17"/>
  <c r="T51" i="17"/>
  <c r="T102" i="17"/>
  <c r="T46" i="17"/>
  <c r="V51" i="17"/>
  <c r="V102" i="17"/>
  <c r="V46" i="17"/>
  <c r="X51" i="17"/>
  <c r="X102" i="17"/>
  <c r="X53" i="17"/>
  <c r="X46" i="17"/>
  <c r="Z51" i="17"/>
  <c r="Z102" i="17"/>
  <c r="Z46" i="17"/>
  <c r="AB53" i="17"/>
  <c r="AB51" i="17"/>
  <c r="AB102" i="17"/>
  <c r="AB46" i="17"/>
  <c r="AD51" i="17"/>
  <c r="AD102" i="17"/>
  <c r="AD46" i="17"/>
  <c r="AF51" i="17"/>
  <c r="AF102" i="17"/>
  <c r="AF53" i="17"/>
  <c r="AF46" i="17"/>
  <c r="AH51" i="17"/>
  <c r="AH102" i="17"/>
  <c r="AH46" i="17"/>
  <c r="AJ53" i="17"/>
  <c r="AJ51" i="17"/>
  <c r="AJ102" i="17"/>
  <c r="AJ46" i="17"/>
  <c r="AL51" i="17"/>
  <c r="AL102" i="17"/>
  <c r="AL46" i="17"/>
  <c r="AN51" i="17"/>
  <c r="AN102" i="17"/>
  <c r="AN53" i="17"/>
  <c r="AN46" i="17"/>
  <c r="AP51" i="17"/>
  <c r="AP102" i="17"/>
  <c r="AP46" i="17"/>
  <c r="AR53" i="17"/>
  <c r="AR51" i="17"/>
  <c r="AR102" i="17"/>
  <c r="AR46" i="17"/>
  <c r="AT51" i="17"/>
  <c r="AT102" i="17"/>
  <c r="AT46" i="17"/>
  <c r="AV51" i="17"/>
  <c r="AV102" i="17"/>
  <c r="AV53" i="17"/>
  <c r="AV46" i="17"/>
  <c r="AX51" i="17"/>
  <c r="AX102" i="17"/>
  <c r="AX46" i="17"/>
  <c r="AZ53" i="17"/>
  <c r="AZ51" i="17"/>
  <c r="AZ102" i="17"/>
  <c r="AZ46" i="17"/>
  <c r="BB51" i="17"/>
  <c r="BB102" i="17"/>
  <c r="BB46" i="17"/>
  <c r="BD51" i="17"/>
  <c r="BD102" i="17"/>
  <c r="BD53" i="17"/>
  <c r="BD46" i="17"/>
  <c r="BF51" i="17"/>
  <c r="BF102" i="17"/>
  <c r="BF46" i="17"/>
  <c r="BH53" i="17"/>
  <c r="BH51" i="17"/>
  <c r="BH102" i="17"/>
  <c r="BH46" i="17"/>
  <c r="BJ51" i="17"/>
  <c r="BJ102" i="17"/>
  <c r="BJ46" i="17"/>
  <c r="BL51" i="17"/>
  <c r="BL102" i="17"/>
  <c r="BL53" i="17"/>
  <c r="BL46" i="17"/>
  <c r="BN51" i="17"/>
  <c r="BN102" i="17"/>
  <c r="BN46" i="17"/>
  <c r="BP53" i="17"/>
  <c r="BP51" i="17"/>
  <c r="BP102" i="17"/>
  <c r="BP46" i="17"/>
  <c r="BR51" i="17"/>
  <c r="BR102" i="17"/>
  <c r="BR46" i="17"/>
  <c r="BT51" i="17"/>
  <c r="BT102" i="17"/>
  <c r="BT53" i="17"/>
  <c r="BT46" i="17"/>
  <c r="BV51" i="17"/>
  <c r="BV102" i="17"/>
  <c r="BV46" i="17"/>
  <c r="BX53" i="17"/>
  <c r="BX51" i="17"/>
  <c r="BX102" i="17"/>
  <c r="BX46" i="17"/>
  <c r="BZ51" i="17"/>
  <c r="BZ102" i="17"/>
  <c r="BZ46" i="17"/>
  <c r="CB51" i="17"/>
  <c r="CB102" i="17"/>
  <c r="CB53" i="17"/>
  <c r="CB46" i="17"/>
  <c r="CD51" i="17"/>
  <c r="CD102" i="17"/>
  <c r="CD46" i="17"/>
  <c r="CF53" i="17"/>
  <c r="CF51" i="17"/>
  <c r="CF102" i="17"/>
  <c r="CF46" i="17"/>
  <c r="CH51" i="17"/>
  <c r="CH102" i="17"/>
  <c r="CH46" i="17"/>
  <c r="CJ51" i="17"/>
  <c r="CJ102" i="17"/>
  <c r="CJ53" i="17"/>
  <c r="CJ46" i="17"/>
  <c r="CL51" i="17"/>
  <c r="CL102" i="17"/>
  <c r="CL46" i="17"/>
  <c r="CN53" i="17"/>
  <c r="CN51" i="17"/>
  <c r="CN102" i="17"/>
  <c r="CN46" i="17"/>
  <c r="CP51" i="17"/>
  <c r="CP102" i="17"/>
  <c r="CP46" i="17"/>
  <c r="H70" i="17"/>
  <c r="H71" i="17"/>
  <c r="J70" i="17"/>
  <c r="J71" i="17"/>
  <c r="L70" i="17"/>
  <c r="L71" i="17"/>
  <c r="N70" i="17"/>
  <c r="N71" i="17"/>
  <c r="P70" i="17"/>
  <c r="P71" i="17"/>
  <c r="R70" i="17"/>
  <c r="R71" i="17"/>
  <c r="T70" i="17"/>
  <c r="T71" i="17"/>
  <c r="V70" i="17"/>
  <c r="V71" i="17"/>
  <c r="X70" i="17"/>
  <c r="X71" i="17"/>
  <c r="Z70" i="17"/>
  <c r="Z71" i="17"/>
  <c r="AB70" i="17"/>
  <c r="AB71" i="17"/>
  <c r="AD70" i="17"/>
  <c r="AD71" i="17"/>
  <c r="AF70" i="17"/>
  <c r="AF71" i="17"/>
  <c r="AH70" i="17"/>
  <c r="AH71" i="17"/>
  <c r="AJ70" i="17"/>
  <c r="AJ71" i="17"/>
  <c r="AL70" i="17"/>
  <c r="AL71" i="17"/>
  <c r="AN70" i="17"/>
  <c r="AN71" i="17"/>
  <c r="AP70" i="17"/>
  <c r="AP71" i="17"/>
  <c r="AR70" i="17"/>
  <c r="AR71" i="17"/>
  <c r="AT70" i="17"/>
  <c r="AT71" i="17"/>
  <c r="AV70" i="17"/>
  <c r="AV71" i="17"/>
  <c r="AX70" i="17"/>
  <c r="AX71" i="17"/>
  <c r="AZ70" i="17"/>
  <c r="AZ71" i="17"/>
  <c r="BB70" i="17"/>
  <c r="BB71" i="17"/>
  <c r="BD70" i="17"/>
  <c r="BD71" i="17"/>
  <c r="BF70" i="17"/>
  <c r="BF71" i="17"/>
  <c r="BH70" i="17"/>
  <c r="BH71" i="17"/>
  <c r="BJ70" i="17"/>
  <c r="BJ71" i="17"/>
  <c r="BN92" i="17" s="1"/>
  <c r="BL94" i="17"/>
  <c r="BL87" i="17"/>
  <c r="BN87" i="17"/>
  <c r="BP94" i="17"/>
  <c r="BP92" i="17"/>
  <c r="BP87" i="17"/>
  <c r="BR92" i="17"/>
  <c r="BR87" i="17"/>
  <c r="BT92" i="17"/>
  <c r="BT94" i="17"/>
  <c r="BT87" i="17"/>
  <c r="BV92" i="17"/>
  <c r="BV87" i="17"/>
  <c r="BX94" i="17"/>
  <c r="BX92" i="17"/>
  <c r="BX87" i="17"/>
  <c r="BZ92" i="17"/>
  <c r="BZ87" i="17"/>
  <c r="CB92" i="17"/>
  <c r="CB94" i="17"/>
  <c r="CB87" i="17"/>
  <c r="CD92" i="17"/>
  <c r="CD87" i="17"/>
  <c r="CF94" i="17"/>
  <c r="CF92" i="17"/>
  <c r="CF87" i="17"/>
  <c r="CH92" i="17"/>
  <c r="CH87" i="17"/>
  <c r="CJ92" i="17"/>
  <c r="CJ94" i="17"/>
  <c r="CJ87" i="17"/>
  <c r="CL92" i="17"/>
  <c r="CL87" i="17"/>
  <c r="CN94" i="17"/>
  <c r="CN92" i="17"/>
  <c r="CN87" i="17"/>
  <c r="CP92" i="17"/>
  <c r="CQ92" i="17"/>
  <c r="CP87" i="17"/>
  <c r="H142" i="17"/>
  <c r="H129" i="17"/>
  <c r="H134" i="17"/>
  <c r="H10" i="17" s="1"/>
  <c r="J142" i="17"/>
  <c r="J129" i="17"/>
  <c r="J134" i="17"/>
  <c r="J10" i="17" s="1"/>
  <c r="L142" i="17"/>
  <c r="L129" i="17"/>
  <c r="L134" i="17"/>
  <c r="N142" i="17"/>
  <c r="N129" i="17"/>
  <c r="N134" i="17"/>
  <c r="P142" i="17"/>
  <c r="P129" i="17"/>
  <c r="P134" i="17"/>
  <c r="R142" i="17"/>
  <c r="R129" i="17"/>
  <c r="R134" i="17"/>
  <c r="T142" i="17"/>
  <c r="T129" i="17"/>
  <c r="T134" i="17"/>
  <c r="V142" i="17"/>
  <c r="V129" i="17"/>
  <c r="V134" i="17"/>
  <c r="X142" i="17"/>
  <c r="X129" i="17"/>
  <c r="X134" i="17"/>
  <c r="Z142" i="17"/>
  <c r="Z129" i="17"/>
  <c r="Z134" i="17"/>
  <c r="AB142" i="17"/>
  <c r="AB129" i="17"/>
  <c r="AB134" i="17"/>
  <c r="AD142" i="17"/>
  <c r="AD129" i="17"/>
  <c r="AD134" i="17"/>
  <c r="AF142" i="17"/>
  <c r="AF129" i="17"/>
  <c r="AF134" i="17"/>
  <c r="AH142" i="17"/>
  <c r="AH129" i="17"/>
  <c r="AH134" i="17"/>
  <c r="AJ142" i="17"/>
  <c r="AJ129" i="17"/>
  <c r="AJ134" i="17"/>
  <c r="AL142" i="17"/>
  <c r="AL129" i="17"/>
  <c r="AL134" i="17"/>
  <c r="AN142" i="17"/>
  <c r="AN129" i="17"/>
  <c r="AN134" i="17"/>
  <c r="AP142" i="17"/>
  <c r="AP129" i="17"/>
  <c r="AP134" i="17"/>
  <c r="AR142" i="17"/>
  <c r="AR129" i="17"/>
  <c r="AR134" i="17"/>
  <c r="AT142" i="17"/>
  <c r="AT129" i="17"/>
  <c r="AT134" i="17"/>
  <c r="AV142" i="17"/>
  <c r="AV129" i="17"/>
  <c r="AV134" i="17"/>
  <c r="AX142" i="17"/>
  <c r="AX129" i="17"/>
  <c r="AX134" i="17"/>
  <c r="AZ142" i="17"/>
  <c r="AZ129" i="17"/>
  <c r="AZ134" i="17"/>
  <c r="BB142" i="17"/>
  <c r="BB129" i="17"/>
  <c r="BB134" i="17"/>
  <c r="BD142" i="17"/>
  <c r="BD129" i="17"/>
  <c r="BD134" i="17"/>
  <c r="BF142" i="17"/>
  <c r="BF129" i="17"/>
  <c r="BF134" i="17"/>
  <c r="BH142" i="17"/>
  <c r="BH129" i="17"/>
  <c r="BH134" i="17"/>
  <c r="BJ142" i="17"/>
  <c r="BJ129" i="17"/>
  <c r="BJ134" i="17"/>
  <c r="BL142" i="17"/>
  <c r="BL129" i="17"/>
  <c r="BL134" i="17"/>
  <c r="BN142" i="17"/>
  <c r="BN129" i="17"/>
  <c r="BN134" i="17"/>
  <c r="BP142" i="17"/>
  <c r="BP129" i="17"/>
  <c r="BP134" i="17"/>
  <c r="BR142" i="17"/>
  <c r="BR129" i="17"/>
  <c r="BR134" i="17"/>
  <c r="BT142" i="17"/>
  <c r="BT129" i="17"/>
  <c r="BT134" i="17"/>
  <c r="BV142" i="17"/>
  <c r="BV129" i="17"/>
  <c r="BV134" i="17"/>
  <c r="BX142" i="17"/>
  <c r="BX129" i="17"/>
  <c r="BX134" i="17"/>
  <c r="BZ142" i="17"/>
  <c r="BZ129" i="17"/>
  <c r="BZ134" i="17"/>
  <c r="CB142" i="17"/>
  <c r="CB129" i="17"/>
  <c r="CB134" i="17"/>
  <c r="CD142" i="17"/>
  <c r="CD129" i="17"/>
  <c r="CD134" i="17"/>
  <c r="CF142" i="17"/>
  <c r="CF129" i="17"/>
  <c r="CF134" i="17"/>
  <c r="CH142" i="17"/>
  <c r="CH129" i="17"/>
  <c r="CH134" i="17"/>
  <c r="CJ142" i="17"/>
  <c r="CJ129" i="17"/>
  <c r="CJ134" i="17"/>
  <c r="CL142" i="17"/>
  <c r="CL129" i="17"/>
  <c r="CL134" i="17"/>
  <c r="CN142" i="17"/>
  <c r="CN129" i="17"/>
  <c r="CN134" i="17"/>
  <c r="CP142" i="17"/>
  <c r="CP129" i="17"/>
  <c r="CP134" i="17"/>
  <c r="G171" i="17"/>
  <c r="G170" i="17"/>
  <c r="G169" i="17" s="1"/>
  <c r="I171" i="17"/>
  <c r="I170" i="17"/>
  <c r="K171" i="17"/>
  <c r="K170" i="17"/>
  <c r="M171" i="17"/>
  <c r="M170" i="17"/>
  <c r="O171" i="17"/>
  <c r="O170" i="17"/>
  <c r="Q171" i="17"/>
  <c r="Q170" i="17"/>
  <c r="S171" i="17"/>
  <c r="S170" i="17"/>
  <c r="U171" i="17"/>
  <c r="U170" i="17"/>
  <c r="W171" i="17"/>
  <c r="W170" i="17"/>
  <c r="Y171" i="17"/>
  <c r="Y170" i="17"/>
  <c r="AA171" i="17"/>
  <c r="AA170" i="17"/>
  <c r="AC171" i="17"/>
  <c r="AC170" i="17"/>
  <c r="AE171" i="17"/>
  <c r="AE170" i="17"/>
  <c r="AG171" i="17"/>
  <c r="AG170" i="17"/>
  <c r="AI171" i="17"/>
  <c r="AI170" i="17"/>
  <c r="AK171" i="17"/>
  <c r="AK170" i="17"/>
  <c r="AM171" i="17"/>
  <c r="AM170" i="17"/>
  <c r="AO171" i="17"/>
  <c r="AO170" i="17"/>
  <c r="AQ171" i="17"/>
  <c r="AQ170" i="17"/>
  <c r="AS171" i="17"/>
  <c r="AS170" i="17"/>
  <c r="AU171" i="17"/>
  <c r="AU170" i="17"/>
  <c r="AW171" i="17"/>
  <c r="AW170" i="17"/>
  <c r="AY171" i="17"/>
  <c r="AY170" i="17"/>
  <c r="BA171" i="17"/>
  <c r="BA170" i="17"/>
  <c r="BC171" i="17"/>
  <c r="BC170" i="17"/>
  <c r="BE171" i="17"/>
  <c r="BE170" i="17"/>
  <c r="BG171" i="17"/>
  <c r="BK189" i="17" s="1"/>
  <c r="BG170" i="17"/>
  <c r="BI171" i="17"/>
  <c r="BM189" i="17" s="1"/>
  <c r="BI170" i="17"/>
  <c r="BK199" i="17"/>
  <c r="BN172" i="17"/>
  <c r="BM199" i="17"/>
  <c r="BM191" i="17"/>
  <c r="BM184" i="17"/>
  <c r="BM183" i="17" s="1"/>
  <c r="BO199" i="17"/>
  <c r="BO189" i="17"/>
  <c r="BO184" i="17"/>
  <c r="BO183" i="17" s="1"/>
  <c r="BR172" i="17"/>
  <c r="BR191" i="17" s="1"/>
  <c r="BQ199" i="17"/>
  <c r="BQ191" i="17"/>
  <c r="BQ189" i="17"/>
  <c r="BQ184" i="17"/>
  <c r="BQ183" i="17" s="1"/>
  <c r="BS199" i="17"/>
  <c r="BV172" i="17"/>
  <c r="BV191" i="17" s="1"/>
  <c r="BS189" i="17"/>
  <c r="BS184" i="17"/>
  <c r="BS183" i="17" s="1"/>
  <c r="BU199" i="17"/>
  <c r="BU191" i="17"/>
  <c r="BU189" i="17"/>
  <c r="BU184" i="17"/>
  <c r="BU183" i="17" s="1"/>
  <c r="BW199" i="17"/>
  <c r="BW189" i="17"/>
  <c r="BW184" i="17"/>
  <c r="BW183" i="17" s="1"/>
  <c r="BZ172" i="17"/>
  <c r="BZ191" i="17" s="1"/>
  <c r="BY199" i="17"/>
  <c r="BY191" i="17"/>
  <c r="BY189" i="17"/>
  <c r="BY184" i="17"/>
  <c r="BY183" i="17" s="1"/>
  <c r="CA199" i="17"/>
  <c r="CD172" i="17"/>
  <c r="CD191" i="17" s="1"/>
  <c r="CA189" i="17"/>
  <c r="CA184" i="17"/>
  <c r="CA183" i="17" s="1"/>
  <c r="CC199" i="17"/>
  <c r="CC191" i="17"/>
  <c r="CC189" i="17"/>
  <c r="CC184" i="17"/>
  <c r="CC183" i="17" s="1"/>
  <c r="CE199" i="17"/>
  <c r="CE189" i="17"/>
  <c r="CE184" i="17"/>
  <c r="CE183" i="17" s="1"/>
  <c r="CH172" i="17"/>
  <c r="CH191" i="17" s="1"/>
  <c r="CG199" i="17"/>
  <c r="CG191" i="17"/>
  <c r="CG189" i="17"/>
  <c r="CG184" i="17"/>
  <c r="CG183" i="17" s="1"/>
  <c r="CI199" i="17"/>
  <c r="CL172" i="17"/>
  <c r="CL191" i="17" s="1"/>
  <c r="CI189" i="17"/>
  <c r="CI184" i="17"/>
  <c r="CI183" i="17" s="1"/>
  <c r="CK199" i="17"/>
  <c r="CK191" i="17"/>
  <c r="CK189" i="17"/>
  <c r="CK184" i="17"/>
  <c r="CK183" i="17" s="1"/>
  <c r="CM199" i="17"/>
  <c r="CM189" i="17"/>
  <c r="CM184" i="17"/>
  <c r="CM183" i="17" s="1"/>
  <c r="CP172" i="17"/>
  <c r="CP191" i="17" s="1"/>
  <c r="CO199" i="17"/>
  <c r="CO191" i="17"/>
  <c r="CO189" i="17"/>
  <c r="CO184" i="17"/>
  <c r="CO183" i="17" s="1"/>
  <c r="G227" i="17"/>
  <c r="G228" i="17"/>
  <c r="I227" i="17"/>
  <c r="I228" i="17"/>
  <c r="K227" i="17"/>
  <c r="K228" i="17"/>
  <c r="M227" i="17"/>
  <c r="M228" i="17"/>
  <c r="O227" i="17"/>
  <c r="O228" i="17"/>
  <c r="Q227" i="17"/>
  <c r="Q228" i="17"/>
  <c r="S227" i="17"/>
  <c r="S228" i="17"/>
  <c r="U227" i="17"/>
  <c r="U228" i="17"/>
  <c r="W227" i="17"/>
  <c r="W228" i="17"/>
  <c r="Y227" i="17"/>
  <c r="Y228" i="17"/>
  <c r="AA227" i="17"/>
  <c r="AA228" i="17"/>
  <c r="AC227" i="17"/>
  <c r="AC228" i="17"/>
  <c r="AE227" i="17"/>
  <c r="AE228" i="17"/>
  <c r="AG227" i="17"/>
  <c r="AG228" i="17"/>
  <c r="AI227" i="17"/>
  <c r="AI228" i="17"/>
  <c r="AK227" i="17"/>
  <c r="AK228" i="17"/>
  <c r="AM227" i="17"/>
  <c r="AM228" i="17"/>
  <c r="AO227" i="17"/>
  <c r="AO228" i="17"/>
  <c r="AQ227" i="17"/>
  <c r="AQ228" i="17"/>
  <c r="AS227" i="17"/>
  <c r="AS228" i="17"/>
  <c r="AU227" i="17"/>
  <c r="AU228" i="17"/>
  <c r="AW227" i="17"/>
  <c r="AW228" i="17"/>
  <c r="AY227" i="17"/>
  <c r="AY228" i="17"/>
  <c r="BA227" i="17"/>
  <c r="BA228" i="17"/>
  <c r="BC227" i="17"/>
  <c r="BC228" i="17"/>
  <c r="BE227" i="17"/>
  <c r="BE228" i="17"/>
  <c r="BG227" i="17"/>
  <c r="BG228" i="17"/>
  <c r="BK246" i="17" s="1"/>
  <c r="BI227" i="17"/>
  <c r="BI228" i="17"/>
  <c r="BN229" i="17"/>
  <c r="BM241" i="17"/>
  <c r="BM248" i="17"/>
  <c r="BO246" i="17"/>
  <c r="BO241" i="17"/>
  <c r="BR229" i="17"/>
  <c r="BR248" i="17" s="1"/>
  <c r="BQ248" i="17"/>
  <c r="BQ246" i="17"/>
  <c r="BQ241" i="17"/>
  <c r="BS246" i="17"/>
  <c r="BS241" i="17"/>
  <c r="BV229" i="17"/>
  <c r="BU246" i="17"/>
  <c r="BU241" i="17"/>
  <c r="BU248" i="17"/>
  <c r="BW246" i="17"/>
  <c r="BW241" i="17"/>
  <c r="BZ229" i="17"/>
  <c r="BZ248" i="17" s="1"/>
  <c r="BY248" i="17"/>
  <c r="BY246" i="17"/>
  <c r="BY241" i="17"/>
  <c r="CA246" i="17"/>
  <c r="CA241" i="17"/>
  <c r="CD229" i="17"/>
  <c r="CD248" i="17" s="1"/>
  <c r="CC246" i="17"/>
  <c r="CC241" i="17"/>
  <c r="CC248" i="17"/>
  <c r="CE246" i="17"/>
  <c r="CE241" i="17"/>
  <c r="CH229" i="17"/>
  <c r="CH248" i="17" s="1"/>
  <c r="CG248" i="17"/>
  <c r="CG246" i="17"/>
  <c r="CG241" i="17"/>
  <c r="CI246" i="17"/>
  <c r="CI241" i="17"/>
  <c r="CL229" i="17"/>
  <c r="CL248" i="17" s="1"/>
  <c r="CK246" i="17"/>
  <c r="CK241" i="17"/>
  <c r="CK248" i="17"/>
  <c r="CM246" i="17"/>
  <c r="CM241" i="17"/>
  <c r="CP229" i="17"/>
  <c r="CP248" i="17" s="1"/>
  <c r="CO248" i="17"/>
  <c r="CO246" i="17"/>
  <c r="CO241" i="17"/>
  <c r="G141" i="17"/>
  <c r="I141" i="17"/>
  <c r="I110" i="17"/>
  <c r="I9" i="17" s="1"/>
  <c r="K141" i="17"/>
  <c r="K115" i="17"/>
  <c r="K110" i="17"/>
  <c r="M141" i="17"/>
  <c r="M117" i="17"/>
  <c r="M115" i="17"/>
  <c r="M110" i="17"/>
  <c r="O141" i="17"/>
  <c r="O115" i="17"/>
  <c r="O110" i="17"/>
  <c r="Q141" i="17"/>
  <c r="Q115" i="17"/>
  <c r="Q117" i="17"/>
  <c r="Q110" i="17"/>
  <c r="S141" i="17"/>
  <c r="S115" i="17"/>
  <c r="S110" i="17"/>
  <c r="U141" i="17"/>
  <c r="U117" i="17"/>
  <c r="U115" i="17"/>
  <c r="U110" i="17"/>
  <c r="W141" i="17"/>
  <c r="W115" i="17"/>
  <c r="W110" i="17"/>
  <c r="Y141" i="17"/>
  <c r="Y115" i="17"/>
  <c r="Y117" i="17"/>
  <c r="Y110" i="17"/>
  <c r="AA141" i="17"/>
  <c r="AA115" i="17"/>
  <c r="AA110" i="17"/>
  <c r="AC141" i="17"/>
  <c r="AC117" i="17"/>
  <c r="AC115" i="17"/>
  <c r="AC110" i="17"/>
  <c r="AE141" i="17"/>
  <c r="AE115" i="17"/>
  <c r="AE110" i="17"/>
  <c r="AG141" i="17"/>
  <c r="AG115" i="17"/>
  <c r="AG117" i="17"/>
  <c r="AG110" i="17"/>
  <c r="AI141" i="17"/>
  <c r="AI115" i="17"/>
  <c r="AI110" i="17"/>
  <c r="AK141" i="17"/>
  <c r="AK117" i="17"/>
  <c r="AK115" i="17"/>
  <c r="AK110" i="17"/>
  <c r="AM141" i="17"/>
  <c r="AM115" i="17"/>
  <c r="AM110" i="17"/>
  <c r="AO141" i="17"/>
  <c r="AO115" i="17"/>
  <c r="AO117" i="17"/>
  <c r="AO110" i="17"/>
  <c r="AQ141" i="17"/>
  <c r="AQ115" i="17"/>
  <c r="AQ110" i="17"/>
  <c r="AS141" i="17"/>
  <c r="AS117" i="17"/>
  <c r="AS115" i="17"/>
  <c r="AS110" i="17"/>
  <c r="AU141" i="17"/>
  <c r="AU115" i="17"/>
  <c r="AU110" i="17"/>
  <c r="AW141" i="17"/>
  <c r="AW115" i="17"/>
  <c r="AW117" i="17"/>
  <c r="AW110" i="17"/>
  <c r="AY141" i="17"/>
  <c r="AY115" i="17"/>
  <c r="AY110" i="17"/>
  <c r="BA141" i="17"/>
  <c r="BA117" i="17"/>
  <c r="BA115" i="17"/>
  <c r="BA110" i="17"/>
  <c r="BC141" i="17"/>
  <c r="BC115" i="17"/>
  <c r="BC110" i="17"/>
  <c r="BE141" i="17"/>
  <c r="BE115" i="17"/>
  <c r="BE117" i="17"/>
  <c r="BE110" i="17"/>
  <c r="BG141" i="17"/>
  <c r="BG115" i="17"/>
  <c r="BG110" i="17"/>
  <c r="BI141" i="17"/>
  <c r="BI117" i="17"/>
  <c r="BI115" i="17"/>
  <c r="BI110" i="17"/>
  <c r="BK141" i="17"/>
  <c r="BK115" i="17"/>
  <c r="BK110" i="17"/>
  <c r="BM141" i="17"/>
  <c r="BM115" i="17"/>
  <c r="BM117" i="17"/>
  <c r="BM110" i="17"/>
  <c r="BO141" i="17"/>
  <c r="BO115" i="17"/>
  <c r="BO110" i="17"/>
  <c r="BQ141" i="17"/>
  <c r="BQ117" i="17"/>
  <c r="BQ115" i="17"/>
  <c r="BQ110" i="17"/>
  <c r="BS141" i="17"/>
  <c r="BS115" i="17"/>
  <c r="BS110" i="17"/>
  <c r="BU141" i="17"/>
  <c r="BU115" i="17"/>
  <c r="BU117" i="17"/>
  <c r="BU110" i="17"/>
  <c r="BW141" i="17"/>
  <c r="BW115" i="17"/>
  <c r="BW110" i="17"/>
  <c r="BY141" i="17"/>
  <c r="BY117" i="17"/>
  <c r="BY115" i="17"/>
  <c r="BY110" i="17"/>
  <c r="CA141" i="17"/>
  <c r="CA115" i="17"/>
  <c r="CA110" i="17"/>
  <c r="CC141" i="17"/>
  <c r="CC115" i="17"/>
  <c r="CC117" i="17"/>
  <c r="CC110" i="17"/>
  <c r="CE141" i="17"/>
  <c r="CE115" i="17"/>
  <c r="CE110" i="17"/>
  <c r="CG141" i="17"/>
  <c r="CG117" i="17"/>
  <c r="CG115" i="17"/>
  <c r="CG110" i="17"/>
  <c r="CI141" i="17"/>
  <c r="CI115" i="17"/>
  <c r="CI110" i="17"/>
  <c r="CK141" i="17"/>
  <c r="CK115" i="17"/>
  <c r="CK117" i="17"/>
  <c r="CK110" i="17"/>
  <c r="CM141" i="17"/>
  <c r="CM115" i="17"/>
  <c r="CM110" i="17"/>
  <c r="CO141" i="17"/>
  <c r="CO117" i="17"/>
  <c r="CO115" i="17"/>
  <c r="CO110" i="17"/>
  <c r="G198" i="17"/>
  <c r="I198" i="17"/>
  <c r="I149" i="17"/>
  <c r="I11" i="17" s="1"/>
  <c r="K154" i="17"/>
  <c r="K198" i="17"/>
  <c r="K149" i="17"/>
  <c r="M156" i="17"/>
  <c r="M154" i="17"/>
  <c r="M198" i="17"/>
  <c r="M149" i="17"/>
  <c r="O154" i="17"/>
  <c r="O198" i="17"/>
  <c r="O149" i="17"/>
  <c r="Q154" i="17"/>
  <c r="Q198" i="17"/>
  <c r="Q156" i="17"/>
  <c r="Q149" i="17"/>
  <c r="S154" i="17"/>
  <c r="S198" i="17"/>
  <c r="S149" i="17"/>
  <c r="U156" i="17"/>
  <c r="U154" i="17"/>
  <c r="U198" i="17"/>
  <c r="U149" i="17"/>
  <c r="W154" i="17"/>
  <c r="W198" i="17"/>
  <c r="W149" i="17"/>
  <c r="Y154" i="17"/>
  <c r="Y198" i="17"/>
  <c r="Y156" i="17"/>
  <c r="Y149" i="17"/>
  <c r="AA154" i="17"/>
  <c r="AA198" i="17"/>
  <c r="AA149" i="17"/>
  <c r="AC156" i="17"/>
  <c r="AC154" i="17"/>
  <c r="AC198" i="17"/>
  <c r="AC149" i="17"/>
  <c r="AE154" i="17"/>
  <c r="AE198" i="17"/>
  <c r="AE149" i="17"/>
  <c r="AG154" i="17"/>
  <c r="AG198" i="17"/>
  <c r="AG156" i="17"/>
  <c r="AG149" i="17"/>
  <c r="AI154" i="17"/>
  <c r="AI198" i="17"/>
  <c r="AI149" i="17"/>
  <c r="AK156" i="17"/>
  <c r="AK154" i="17"/>
  <c r="AK198" i="17"/>
  <c r="AK149" i="17"/>
  <c r="AM154" i="17"/>
  <c r="AM198" i="17"/>
  <c r="AM149" i="17"/>
  <c r="AO154" i="17"/>
  <c r="AO198" i="17"/>
  <c r="AO156" i="17"/>
  <c r="AO149" i="17"/>
  <c r="AQ154" i="17"/>
  <c r="AQ198" i="17"/>
  <c r="AQ149" i="17"/>
  <c r="AS156" i="17"/>
  <c r="AS154" i="17"/>
  <c r="AS198" i="17"/>
  <c r="AS149" i="17"/>
  <c r="AU154" i="17"/>
  <c r="AU198" i="17"/>
  <c r="AU149" i="17"/>
  <c r="AW154" i="17"/>
  <c r="AW198" i="17"/>
  <c r="AW156" i="17"/>
  <c r="AW149" i="17"/>
  <c r="AY154" i="17"/>
  <c r="AY198" i="17"/>
  <c r="AY149" i="17"/>
  <c r="BA156" i="17"/>
  <c r="BA154" i="17"/>
  <c r="BA198" i="17"/>
  <c r="BA149" i="17"/>
  <c r="BC154" i="17"/>
  <c r="BC198" i="17"/>
  <c r="BC149" i="17"/>
  <c r="BE154" i="17"/>
  <c r="BE198" i="17"/>
  <c r="BE156" i="17"/>
  <c r="BE149" i="17"/>
  <c r="BG154" i="17"/>
  <c r="BG198" i="17"/>
  <c r="BG149" i="17"/>
  <c r="BI156" i="17"/>
  <c r="BI154" i="17"/>
  <c r="BI198" i="17"/>
  <c r="BI149" i="17"/>
  <c r="BK154" i="17"/>
  <c r="BK198" i="17"/>
  <c r="BK149" i="17"/>
  <c r="BM154" i="17"/>
  <c r="BM198" i="17"/>
  <c r="BM156" i="17"/>
  <c r="BM149" i="17"/>
  <c r="BO154" i="17"/>
  <c r="BO198" i="17"/>
  <c r="BO149" i="17"/>
  <c r="BQ156" i="17"/>
  <c r="BQ154" i="17"/>
  <c r="BQ198" i="17"/>
  <c r="BQ149" i="17"/>
  <c r="BS154" i="17"/>
  <c r="BS198" i="17"/>
  <c r="BS149" i="17"/>
  <c r="BU154" i="17"/>
  <c r="BU198" i="17"/>
  <c r="BU156" i="17"/>
  <c r="BU149" i="17"/>
  <c r="BW154" i="17"/>
  <c r="BW198" i="17"/>
  <c r="BW149" i="17"/>
  <c r="BY156" i="17"/>
  <c r="BY154" i="17"/>
  <c r="BY198" i="17"/>
  <c r="BY149" i="17"/>
  <c r="CA154" i="17"/>
  <c r="CA198" i="17"/>
  <c r="CA149" i="17"/>
  <c r="CC154" i="17"/>
  <c r="CC198" i="17"/>
  <c r="CC156" i="17"/>
  <c r="CC149" i="17"/>
  <c r="CE154" i="17"/>
  <c r="CE198" i="17"/>
  <c r="CE149" i="17"/>
  <c r="CG156" i="17"/>
  <c r="CG154" i="17"/>
  <c r="CG198" i="17"/>
  <c r="CG149" i="17"/>
  <c r="CI154" i="17"/>
  <c r="CI198" i="17"/>
  <c r="CI149" i="17"/>
  <c r="CK154" i="17"/>
  <c r="CK198" i="17"/>
  <c r="CK156" i="17"/>
  <c r="CK149" i="17"/>
  <c r="CM154" i="17"/>
  <c r="CM198" i="17"/>
  <c r="CM149" i="17"/>
  <c r="CO156" i="17"/>
  <c r="CO154" i="17"/>
  <c r="CO198" i="17"/>
  <c r="CO149" i="17"/>
  <c r="G255" i="17"/>
  <c r="I255" i="17"/>
  <c r="I206" i="17"/>
  <c r="I13" i="17" s="1"/>
  <c r="K255" i="17"/>
  <c r="K211" i="17"/>
  <c r="K206" i="17"/>
  <c r="M213" i="17"/>
  <c r="M211" i="17"/>
  <c r="M255" i="17"/>
  <c r="M206" i="17"/>
  <c r="O255" i="17"/>
  <c r="O211" i="17"/>
  <c r="O206" i="17"/>
  <c r="Q211" i="17"/>
  <c r="Q255" i="17"/>
  <c r="Q213" i="17"/>
  <c r="Q206" i="17"/>
  <c r="S255" i="17"/>
  <c r="S211" i="17"/>
  <c r="S206" i="17"/>
  <c r="U213" i="17"/>
  <c r="U211" i="17"/>
  <c r="U255" i="17"/>
  <c r="U206" i="17"/>
  <c r="W255" i="17"/>
  <c r="W211" i="17"/>
  <c r="W206" i="17"/>
  <c r="Y211" i="17"/>
  <c r="Y255" i="17"/>
  <c r="Y213" i="17"/>
  <c r="Y206" i="17"/>
  <c r="AA255" i="17"/>
  <c r="AA211" i="17"/>
  <c r="AA206" i="17"/>
  <c r="AC213" i="17"/>
  <c r="AC211" i="17"/>
  <c r="AC255" i="17"/>
  <c r="AC206" i="17"/>
  <c r="AE255" i="17"/>
  <c r="AE211" i="17"/>
  <c r="AE206" i="17"/>
  <c r="AG211" i="17"/>
  <c r="AG255" i="17"/>
  <c r="AG213" i="17"/>
  <c r="AG206" i="17"/>
  <c r="AI255" i="17"/>
  <c r="AI211" i="17"/>
  <c r="AI206" i="17"/>
  <c r="AK213" i="17"/>
  <c r="AK211" i="17"/>
  <c r="AK255" i="17"/>
  <c r="AK206" i="17"/>
  <c r="AM255" i="17"/>
  <c r="AM211" i="17"/>
  <c r="AM206" i="17"/>
  <c r="AO211" i="17"/>
  <c r="AO255" i="17"/>
  <c r="AO213" i="17"/>
  <c r="AO206" i="17"/>
  <c r="AQ255" i="17"/>
  <c r="AQ211" i="17"/>
  <c r="AQ206" i="17"/>
  <c r="AS213" i="17"/>
  <c r="AS211" i="17"/>
  <c r="AS255" i="17"/>
  <c r="AS206" i="17"/>
  <c r="AU255" i="17"/>
  <c r="AU211" i="17"/>
  <c r="AU206" i="17"/>
  <c r="AW211" i="17"/>
  <c r="AW255" i="17"/>
  <c r="AW213" i="17"/>
  <c r="AW206" i="17"/>
  <c r="AY255" i="17"/>
  <c r="AY211" i="17"/>
  <c r="AY206" i="17"/>
  <c r="BA213" i="17"/>
  <c r="BA211" i="17"/>
  <c r="BA255" i="17"/>
  <c r="BA206" i="17"/>
  <c r="BC255" i="17"/>
  <c r="BC211" i="17"/>
  <c r="BC206" i="17"/>
  <c r="BE211" i="17"/>
  <c r="BE255" i="17"/>
  <c r="BE213" i="17"/>
  <c r="BE206" i="17"/>
  <c r="BG255" i="17"/>
  <c r="BG211" i="17"/>
  <c r="BG206" i="17"/>
  <c r="BI213" i="17"/>
  <c r="BI211" i="17"/>
  <c r="BI255" i="17"/>
  <c r="BI206" i="17"/>
  <c r="BK255" i="17"/>
  <c r="BK211" i="17"/>
  <c r="BK206" i="17"/>
  <c r="BM211" i="17"/>
  <c r="BM255" i="17"/>
  <c r="BM213" i="17"/>
  <c r="BM206" i="17"/>
  <c r="BO255" i="17"/>
  <c r="BO211" i="17"/>
  <c r="BO206" i="17"/>
  <c r="BQ213" i="17"/>
  <c r="BQ211" i="17"/>
  <c r="BQ255" i="17"/>
  <c r="BQ206" i="17"/>
  <c r="BS255" i="17"/>
  <c r="BS211" i="17"/>
  <c r="BS206" i="17"/>
  <c r="BU211" i="17"/>
  <c r="BU255" i="17"/>
  <c r="BU213" i="17"/>
  <c r="BU206" i="17"/>
  <c r="BW255" i="17"/>
  <c r="BW211" i="17"/>
  <c r="BW206" i="17"/>
  <c r="BY213" i="17"/>
  <c r="BY211" i="17"/>
  <c r="BY255" i="17"/>
  <c r="BY206" i="17"/>
  <c r="CA255" i="17"/>
  <c r="CA211" i="17"/>
  <c r="CA206" i="17"/>
  <c r="CC211" i="17"/>
  <c r="CC255" i="17"/>
  <c r="CC213" i="17"/>
  <c r="CC206" i="17"/>
  <c r="CE255" i="17"/>
  <c r="CE211" i="17"/>
  <c r="CE206" i="17"/>
  <c r="CG213" i="17"/>
  <c r="CG211" i="17"/>
  <c r="CG255" i="17"/>
  <c r="CG206" i="17"/>
  <c r="CI255" i="17"/>
  <c r="CI211" i="17"/>
  <c r="CI206" i="17"/>
  <c r="CK211" i="17"/>
  <c r="CK255" i="17"/>
  <c r="CK213" i="17"/>
  <c r="CK206" i="17"/>
  <c r="CM255" i="17"/>
  <c r="CM211" i="17"/>
  <c r="CM206" i="17"/>
  <c r="CO213" i="17"/>
  <c r="CO211" i="17"/>
  <c r="CO255" i="17"/>
  <c r="CO206" i="17"/>
  <c r="K263" i="17"/>
  <c r="K268" i="17"/>
  <c r="N259" i="17"/>
  <c r="Q269" i="17" s="1"/>
  <c r="M263" i="17"/>
  <c r="M270" i="17"/>
  <c r="M268" i="17"/>
  <c r="O263" i="17"/>
  <c r="R259" i="17"/>
  <c r="T269" i="17" s="1"/>
  <c r="O268" i="17"/>
  <c r="Q270" i="17"/>
  <c r="Q263" i="17"/>
  <c r="Q268" i="17"/>
  <c r="S263" i="17"/>
  <c r="S268" i="17"/>
  <c r="V259" i="17"/>
  <c r="U263" i="17"/>
  <c r="U270" i="17"/>
  <c r="U268" i="17"/>
  <c r="W263" i="17"/>
  <c r="Z259" i="17"/>
  <c r="AA269" i="17" s="1"/>
  <c r="W268" i="17"/>
  <c r="Y270" i="17"/>
  <c r="Y263" i="17"/>
  <c r="Y268" i="17"/>
  <c r="AA263" i="17"/>
  <c r="AA268" i="17"/>
  <c r="AD259" i="17"/>
  <c r="AG269" i="17" s="1"/>
  <c r="AC263" i="17"/>
  <c r="AC270" i="17"/>
  <c r="AC268" i="17"/>
  <c r="AE263" i="17"/>
  <c r="AH259" i="17"/>
  <c r="AE268" i="17"/>
  <c r="AG270" i="17"/>
  <c r="AG263" i="17"/>
  <c r="AG268" i="17"/>
  <c r="AI263" i="17"/>
  <c r="AI268" i="17"/>
  <c r="AL259" i="17"/>
  <c r="AL270" i="17" s="1"/>
  <c r="AK263" i="17"/>
  <c r="AK270" i="17"/>
  <c r="AK268" i="17"/>
  <c r="AM263" i="17"/>
  <c r="AP259" i="17"/>
  <c r="AM268" i="17"/>
  <c r="AO270" i="17"/>
  <c r="AO263" i="17"/>
  <c r="AO268" i="17"/>
  <c r="AQ263" i="17"/>
  <c r="AQ268" i="17"/>
  <c r="AT259" i="17"/>
  <c r="P156" i="12" s="1"/>
  <c r="AS263" i="17"/>
  <c r="AS270" i="17"/>
  <c r="AS268" i="17"/>
  <c r="AU263" i="17"/>
  <c r="AX259" i="17"/>
  <c r="AZ269" i="17" s="1"/>
  <c r="AU268" i="17"/>
  <c r="AW270" i="17"/>
  <c r="AW263" i="17"/>
  <c r="AW268" i="17"/>
  <c r="AY263" i="17"/>
  <c r="AY268" i="17"/>
  <c r="BB259" i="17"/>
  <c r="BB270" i="17" s="1"/>
  <c r="BA263" i="17"/>
  <c r="BA270" i="17"/>
  <c r="BA268" i="17"/>
  <c r="BC263" i="17"/>
  <c r="BF259" i="17"/>
  <c r="BG269" i="17" s="1"/>
  <c r="BC268" i="17"/>
  <c r="BE270" i="17"/>
  <c r="BE263" i="17"/>
  <c r="BE268" i="17"/>
  <c r="BG263" i="17"/>
  <c r="BG268" i="17"/>
  <c r="BJ259" i="17"/>
  <c r="BJ270" i="17" s="1"/>
  <c r="BI263" i="17"/>
  <c r="BI270" i="17"/>
  <c r="BI268" i="17"/>
  <c r="BK263" i="17"/>
  <c r="BN259" i="17"/>
  <c r="BP269" i="17" s="1"/>
  <c r="BK268" i="17"/>
  <c r="BM270" i="17"/>
  <c r="BM263" i="17"/>
  <c r="BM268" i="17"/>
  <c r="BO263" i="17"/>
  <c r="BO268" i="17"/>
  <c r="BR259" i="17"/>
  <c r="BR270" i="17" s="1"/>
  <c r="BQ263" i="17"/>
  <c r="BQ270" i="17"/>
  <c r="BQ268" i="17"/>
  <c r="BS263" i="17"/>
  <c r="BV259" i="17"/>
  <c r="BS268" i="17"/>
  <c r="BU270" i="17"/>
  <c r="BU263" i="17"/>
  <c r="BU268" i="17"/>
  <c r="BW263" i="17"/>
  <c r="BW268" i="17"/>
  <c r="BZ259" i="17"/>
  <c r="CA269" i="17" s="1"/>
  <c r="BY263" i="17"/>
  <c r="BY270" i="17"/>
  <c r="BY268" i="17"/>
  <c r="CA263" i="17"/>
  <c r="CD259" i="17"/>
  <c r="CF269" i="17" s="1"/>
  <c r="CA268" i="17"/>
  <c r="CC270" i="17"/>
  <c r="CC263" i="17"/>
  <c r="CC268" i="17"/>
  <c r="CE263" i="17"/>
  <c r="CE268" i="17"/>
  <c r="CH259" i="17"/>
  <c r="CH270" i="17" s="1"/>
  <c r="CG263" i="17"/>
  <c r="CG270" i="17"/>
  <c r="CG268" i="17"/>
  <c r="CI263" i="17"/>
  <c r="CL259" i="17"/>
  <c r="CN269" i="17" s="1"/>
  <c r="CI268" i="17"/>
  <c r="CK270" i="17"/>
  <c r="CK263" i="17"/>
  <c r="CK268" i="17"/>
  <c r="CM263" i="17"/>
  <c r="CM268" i="17"/>
  <c r="CO263" i="17"/>
  <c r="CO270" i="17"/>
  <c r="CO268" i="17"/>
  <c r="K317" i="17"/>
  <c r="N296" i="17"/>
  <c r="M317" i="17"/>
  <c r="P296" i="17"/>
  <c r="I128" i="8" s="1"/>
  <c r="I129" i="8" s="1"/>
  <c r="O317" i="17"/>
  <c r="R296" i="17"/>
  <c r="Q317" i="17"/>
  <c r="T296" i="17"/>
  <c r="J128" i="8" s="1"/>
  <c r="S317" i="17"/>
  <c r="V296" i="17"/>
  <c r="U317" i="17"/>
  <c r="X296" i="17"/>
  <c r="K128" i="8" s="1"/>
  <c r="W317" i="17"/>
  <c r="Z296" i="17"/>
  <c r="Y317" i="17"/>
  <c r="AB296" i="17"/>
  <c r="L128" i="8" s="1"/>
  <c r="AA317" i="17"/>
  <c r="AD296" i="17"/>
  <c r="AC317" i="17"/>
  <c r="AF296" i="17"/>
  <c r="M128" i="8" s="1"/>
  <c r="AE317" i="17"/>
  <c r="AH296" i="17"/>
  <c r="AG317" i="17"/>
  <c r="AJ296" i="17"/>
  <c r="N128" i="8" s="1"/>
  <c r="AI317" i="17"/>
  <c r="AL296" i="17"/>
  <c r="AK317" i="17"/>
  <c r="AN296" i="17"/>
  <c r="O128" i="8" s="1"/>
  <c r="AM317" i="17"/>
  <c r="AM284" i="17"/>
  <c r="AP296" i="17"/>
  <c r="AO317" i="17"/>
  <c r="AR296" i="17"/>
  <c r="P128" i="8" s="1"/>
  <c r="AO284" i="17"/>
  <c r="AQ317" i="17"/>
  <c r="AT296" i="17"/>
  <c r="AS317" i="17"/>
  <c r="AV296" i="17"/>
  <c r="Q128" i="8" s="1"/>
  <c r="AU317" i="17"/>
  <c r="AX296" i="17"/>
  <c r="AW317" i="17"/>
  <c r="AZ296" i="17"/>
  <c r="R128" i="8" s="1"/>
  <c r="AY317" i="17"/>
  <c r="BB296" i="17"/>
  <c r="BA317" i="17"/>
  <c r="BD296" i="17"/>
  <c r="S128" i="8" s="1"/>
  <c r="BC317" i="17"/>
  <c r="BF296" i="17"/>
  <c r="BE317" i="17"/>
  <c r="BH296" i="17"/>
  <c r="T128" i="8" s="1"/>
  <c r="BG317" i="17"/>
  <c r="BI317" i="17"/>
  <c r="N290" i="17"/>
  <c r="H378" i="12" s="1"/>
  <c r="R290" i="17"/>
  <c r="O311" i="17"/>
  <c r="Q311" i="17"/>
  <c r="S311" i="17"/>
  <c r="V290" i="17"/>
  <c r="U311" i="17"/>
  <c r="Z290" i="17"/>
  <c r="W311" i="17"/>
  <c r="Y311" i="17"/>
  <c r="AA311" i="17"/>
  <c r="AD290" i="17"/>
  <c r="AC311" i="17"/>
  <c r="AH290" i="17"/>
  <c r="AE311" i="17"/>
  <c r="AG311" i="17"/>
  <c r="AI311" i="17"/>
  <c r="AL290" i="17"/>
  <c r="AK311" i="17"/>
  <c r="AP290" i="17"/>
  <c r="AM311" i="17"/>
  <c r="AO311" i="17"/>
  <c r="AQ311" i="17"/>
  <c r="AT290" i="17"/>
  <c r="AS311" i="17"/>
  <c r="AX290" i="17"/>
  <c r="AU311" i="17"/>
  <c r="AW311" i="17"/>
  <c r="AY311" i="17"/>
  <c r="BB290" i="17"/>
  <c r="BA311" i="17"/>
  <c r="BF290" i="17"/>
  <c r="BC311" i="17"/>
  <c r="BC285" i="17"/>
  <c r="BC287" i="17" s="1"/>
  <c r="BE311" i="17"/>
  <c r="BG311" i="17"/>
  <c r="BJ290" i="17"/>
  <c r="BI311" i="17"/>
  <c r="BN290" i="17"/>
  <c r="BK311" i="17"/>
  <c r="BM311" i="17"/>
  <c r="BO311" i="17"/>
  <c r="BR290" i="17"/>
  <c r="BQ311" i="17"/>
  <c r="BV290" i="17"/>
  <c r="BS311" i="17"/>
  <c r="BU311" i="17"/>
  <c r="BW311" i="17"/>
  <c r="BZ290" i="17"/>
  <c r="BY311" i="17"/>
  <c r="CD290" i="17"/>
  <c r="CA311" i="17"/>
  <c r="CC311" i="17"/>
  <c r="CE311" i="17"/>
  <c r="CH290" i="17"/>
  <c r="CG311" i="17"/>
  <c r="CL290" i="17"/>
  <c r="CI311" i="17"/>
  <c r="CK311" i="17"/>
  <c r="CM311" i="17"/>
  <c r="CP290" i="17"/>
  <c r="CO311" i="17"/>
  <c r="G285" i="17"/>
  <c r="G278" i="17"/>
  <c r="I285" i="17"/>
  <c r="I278" i="17"/>
  <c r="N291" i="17"/>
  <c r="H379" i="12" s="1"/>
  <c r="O312" i="17"/>
  <c r="R291" i="17"/>
  <c r="Q312" i="17"/>
  <c r="S312" i="17"/>
  <c r="V291" i="17"/>
  <c r="U312" i="17"/>
  <c r="W312" i="17"/>
  <c r="Z291" i="17"/>
  <c r="Y312" i="17"/>
  <c r="AA312" i="17"/>
  <c r="AD291" i="17"/>
  <c r="AC312" i="17"/>
  <c r="AE312" i="17"/>
  <c r="AH291" i="17"/>
  <c r="AG312" i="17"/>
  <c r="AI312" i="17"/>
  <c r="AL291" i="17"/>
  <c r="AK312" i="17"/>
  <c r="AM312" i="17"/>
  <c r="AP291" i="17"/>
  <c r="AO312" i="17"/>
  <c r="AQ312" i="17"/>
  <c r="AT291" i="17"/>
  <c r="AS312" i="17"/>
  <c r="AU312" i="17"/>
  <c r="AX291" i="17"/>
  <c r="AW312" i="17"/>
  <c r="AY312" i="17"/>
  <c r="BB291" i="17"/>
  <c r="BA312" i="17"/>
  <c r="BC312" i="17"/>
  <c r="BF291" i="17"/>
  <c r="BE312" i="17"/>
  <c r="BG312" i="17"/>
  <c r="BJ291" i="17"/>
  <c r="BI312" i="17"/>
  <c r="BK312" i="17"/>
  <c r="BN291" i="17"/>
  <c r="BM312" i="17"/>
  <c r="BO312" i="17"/>
  <c r="BR291" i="17"/>
  <c r="BQ312" i="17"/>
  <c r="BS312" i="17"/>
  <c r="BV291" i="17"/>
  <c r="BU312" i="17"/>
  <c r="BW312" i="17"/>
  <c r="BZ291" i="17"/>
  <c r="BY312" i="17"/>
  <c r="CA312" i="17"/>
  <c r="CD291" i="17"/>
  <c r="CC312" i="17"/>
  <c r="CE312" i="17"/>
  <c r="CH291" i="17"/>
  <c r="CG312" i="17"/>
  <c r="CI312" i="17"/>
  <c r="CL291" i="17"/>
  <c r="CK312" i="17"/>
  <c r="CM312" i="17"/>
  <c r="CP291" i="17"/>
  <c r="CO312" i="17"/>
  <c r="N292" i="17"/>
  <c r="H380" i="12" s="1"/>
  <c r="O313" i="17"/>
  <c r="R292" i="17"/>
  <c r="Q313" i="17"/>
  <c r="S313" i="17"/>
  <c r="V292" i="17"/>
  <c r="U313" i="17"/>
  <c r="W313" i="17"/>
  <c r="Z292" i="17"/>
  <c r="Y313" i="17"/>
  <c r="AA313" i="17"/>
  <c r="AD292" i="17"/>
  <c r="AC313" i="17"/>
  <c r="AE313" i="17"/>
  <c r="AH292" i="17"/>
  <c r="AG313" i="17"/>
  <c r="AI313" i="17"/>
  <c r="AL292" i="17"/>
  <c r="AK313" i="17"/>
  <c r="AM313" i="17"/>
  <c r="AP292" i="17"/>
  <c r="AO313" i="17"/>
  <c r="AQ313" i="17"/>
  <c r="AT292" i="17"/>
  <c r="AS313" i="17"/>
  <c r="AU313" i="17"/>
  <c r="AX292" i="17"/>
  <c r="AW313" i="17"/>
  <c r="AY313" i="17"/>
  <c r="BB292" i="17"/>
  <c r="BA313" i="17"/>
  <c r="BC313" i="17"/>
  <c r="BF292" i="17"/>
  <c r="BE313" i="17"/>
  <c r="BG313" i="17"/>
  <c r="BJ292" i="17"/>
  <c r="BI313" i="17"/>
  <c r="BK313" i="17"/>
  <c r="BN292" i="17"/>
  <c r="BM313" i="17"/>
  <c r="BO313" i="17"/>
  <c r="BR292" i="17"/>
  <c r="BQ313" i="17"/>
  <c r="BS313" i="17"/>
  <c r="BV292" i="17"/>
  <c r="BU313" i="17"/>
  <c r="BW313" i="17"/>
  <c r="BZ292" i="17"/>
  <c r="BY313" i="17"/>
  <c r="CA313" i="17"/>
  <c r="CD292" i="17"/>
  <c r="CC313" i="17"/>
  <c r="CE313" i="17"/>
  <c r="CH292" i="17"/>
  <c r="CG313" i="17"/>
  <c r="CI313" i="17"/>
  <c r="CL292" i="17"/>
  <c r="CK313" i="17"/>
  <c r="CM313" i="17"/>
  <c r="CU279" i="17"/>
  <c r="CY279" i="17" s="1"/>
  <c r="CP292" i="17"/>
  <c r="CO313" i="17"/>
  <c r="N293" i="17"/>
  <c r="H381" i="12" s="1"/>
  <c r="O314" i="17"/>
  <c r="R293" i="17"/>
  <c r="Q314" i="17"/>
  <c r="S314" i="17"/>
  <c r="V293" i="17"/>
  <c r="U314" i="17"/>
  <c r="W314" i="17"/>
  <c r="Z293" i="17"/>
  <c r="Y314" i="17"/>
  <c r="AA314" i="17"/>
  <c r="AD293" i="17"/>
  <c r="AC314" i="17"/>
  <c r="AE314" i="17"/>
  <c r="AH293" i="17"/>
  <c r="AG314" i="17"/>
  <c r="AI314" i="17"/>
  <c r="AL293" i="17"/>
  <c r="AK314" i="17"/>
  <c r="AM314" i="17"/>
  <c r="AP293" i="17"/>
  <c r="AO314" i="17"/>
  <c r="AQ314" i="17"/>
  <c r="AT293" i="17"/>
  <c r="AS314" i="17"/>
  <c r="AU314" i="17"/>
  <c r="AX293" i="17"/>
  <c r="AW314" i="17"/>
  <c r="AY314" i="17"/>
  <c r="BB293" i="17"/>
  <c r="BA314" i="17"/>
  <c r="BC314" i="17"/>
  <c r="BF293" i="17"/>
  <c r="BE314" i="17"/>
  <c r="BG314" i="17"/>
  <c r="BJ293" i="17"/>
  <c r="BI314" i="17"/>
  <c r="BK314" i="17"/>
  <c r="BN293" i="17"/>
  <c r="BM314" i="17"/>
  <c r="BO314" i="17"/>
  <c r="BR293" i="17"/>
  <c r="BQ314" i="17"/>
  <c r="BS314" i="17"/>
  <c r="BV293" i="17"/>
  <c r="BU314" i="17"/>
  <c r="BW314" i="17"/>
  <c r="BZ293" i="17"/>
  <c r="BY314" i="17"/>
  <c r="CA314" i="17"/>
  <c r="CD293" i="17"/>
  <c r="CC314" i="17"/>
  <c r="CE314" i="17"/>
  <c r="CH293" i="17"/>
  <c r="CG314" i="17"/>
  <c r="CI314" i="17"/>
  <c r="CL293" i="17"/>
  <c r="CK314" i="17"/>
  <c r="CM314" i="17"/>
  <c r="CP293" i="17"/>
  <c r="CO314" i="17"/>
  <c r="N294" i="17"/>
  <c r="H382" i="12" s="1"/>
  <c r="R294" i="17"/>
  <c r="O315" i="17"/>
  <c r="Q315" i="17"/>
  <c r="S315" i="17"/>
  <c r="V294" i="17"/>
  <c r="U315" i="17"/>
  <c r="Z294" i="17"/>
  <c r="W315" i="17"/>
  <c r="Y315" i="17"/>
  <c r="AA315" i="17"/>
  <c r="AD294" i="17"/>
  <c r="AC315" i="17"/>
  <c r="AH294" i="17"/>
  <c r="AE315" i="17"/>
  <c r="AG315" i="17"/>
  <c r="AI315" i="17"/>
  <c r="AL294" i="17"/>
  <c r="AK315" i="17"/>
  <c r="AP294" i="17"/>
  <c r="AM315" i="17"/>
  <c r="AO315" i="17"/>
  <c r="AQ315" i="17"/>
  <c r="AT294" i="17"/>
  <c r="AS315" i="17"/>
  <c r="AX294" i="17"/>
  <c r="AU315" i="17"/>
  <c r="AW315" i="17"/>
  <c r="AY315" i="17"/>
  <c r="BB294" i="17"/>
  <c r="BA315" i="17"/>
  <c r="BF294" i="17"/>
  <c r="BC315" i="17"/>
  <c r="BE315" i="17"/>
  <c r="BG315" i="17"/>
  <c r="BJ294" i="17"/>
  <c r="BI315" i="17"/>
  <c r="BN294" i="17"/>
  <c r="BK315" i="17"/>
  <c r="BM315" i="17"/>
  <c r="BO315" i="17"/>
  <c r="BR294" i="17"/>
  <c r="BQ315" i="17"/>
  <c r="BV294" i="17"/>
  <c r="BS315" i="17"/>
  <c r="BU315" i="17"/>
  <c r="BW315" i="17"/>
  <c r="BZ294" i="17"/>
  <c r="BY315" i="17"/>
  <c r="CD294" i="17"/>
  <c r="CA315" i="17"/>
  <c r="CC315" i="17"/>
  <c r="CE315" i="17"/>
  <c r="CH294" i="17"/>
  <c r="CG315" i="17"/>
  <c r="CL294" i="17"/>
  <c r="CI315" i="17"/>
  <c r="CK315" i="17"/>
  <c r="CM315" i="17"/>
  <c r="CP294" i="17"/>
  <c r="CU281" i="17"/>
  <c r="CY281" i="17" s="1"/>
  <c r="CO315" i="17"/>
  <c r="N299" i="17"/>
  <c r="P299" i="17"/>
  <c r="O320" i="17"/>
  <c r="R299" i="17"/>
  <c r="Q320" i="17"/>
  <c r="T299" i="17"/>
  <c r="S320" i="17"/>
  <c r="V299" i="17"/>
  <c r="U320" i="17"/>
  <c r="X299" i="17"/>
  <c r="W320" i="17"/>
  <c r="Z299" i="17"/>
  <c r="Y320" i="17"/>
  <c r="AB299" i="17"/>
  <c r="AA320" i="17"/>
  <c r="AD299" i="17"/>
  <c r="AC320" i="17"/>
  <c r="AF299" i="17"/>
  <c r="AE320" i="17"/>
  <c r="AH299" i="17"/>
  <c r="AG320" i="17"/>
  <c r="AJ299" i="17"/>
  <c r="AI320" i="17"/>
  <c r="AL299" i="17"/>
  <c r="AK320" i="17"/>
  <c r="AN299" i="17"/>
  <c r="AM320" i="17"/>
  <c r="AP299" i="17"/>
  <c r="AM287" i="17"/>
  <c r="AO320" i="17"/>
  <c r="AR299" i="17"/>
  <c r="AO287" i="17"/>
  <c r="AQ320" i="17"/>
  <c r="AT299" i="17"/>
  <c r="AS320" i="17"/>
  <c r="AV299" i="17"/>
  <c r="AU320" i="17"/>
  <c r="AX299" i="17"/>
  <c r="AW320" i="17"/>
  <c r="AZ299" i="17"/>
  <c r="AY320" i="17"/>
  <c r="BB299" i="17"/>
  <c r="BA320" i="17"/>
  <c r="BD299" i="17"/>
  <c r="BC320" i="17"/>
  <c r="BF299" i="17"/>
  <c r="BE320" i="17"/>
  <c r="BH299" i="17"/>
  <c r="BG320" i="17"/>
  <c r="BI320" i="17"/>
  <c r="N164" i="17"/>
  <c r="K176" i="17"/>
  <c r="O176" i="17"/>
  <c r="R164" i="17"/>
  <c r="V164" i="17"/>
  <c r="S176" i="17"/>
  <c r="W176" i="17"/>
  <c r="Z164" i="17"/>
  <c r="AD164" i="17"/>
  <c r="AA176" i="17"/>
  <c r="AE176" i="17"/>
  <c r="AH164" i="17"/>
  <c r="AL164" i="17"/>
  <c r="AI176" i="17"/>
  <c r="AM176" i="17"/>
  <c r="AP164" i="17"/>
  <c r="AT164" i="17"/>
  <c r="AQ176" i="17"/>
  <c r="AU176" i="17"/>
  <c r="AX164" i="17"/>
  <c r="BB164" i="17"/>
  <c r="AY176" i="17"/>
  <c r="BC176" i="17"/>
  <c r="BF164" i="17"/>
  <c r="BJ164" i="17"/>
  <c r="BG176" i="17"/>
  <c r="BK176" i="17"/>
  <c r="BN164" i="17"/>
  <c r="BR164" i="17"/>
  <c r="BO176" i="17"/>
  <c r="BS176" i="17"/>
  <c r="BV164" i="17"/>
  <c r="BZ164" i="17"/>
  <c r="BW176" i="17"/>
  <c r="CA176" i="17"/>
  <c r="CD164" i="17"/>
  <c r="CH164" i="17"/>
  <c r="CE176" i="17"/>
  <c r="K179" i="17"/>
  <c r="N167" i="17"/>
  <c r="R167" i="17"/>
  <c r="O179" i="17"/>
  <c r="S179" i="17"/>
  <c r="V167" i="17"/>
  <c r="Z167" i="17"/>
  <c r="W179" i="17"/>
  <c r="AA179" i="17"/>
  <c r="AD167" i="17"/>
  <c r="AH167" i="17"/>
  <c r="AE179" i="17"/>
  <c r="AI179" i="17"/>
  <c r="AL167" i="17"/>
  <c r="AP167" i="17"/>
  <c r="AM179" i="17"/>
  <c r="AQ179" i="17"/>
  <c r="AT167" i="17"/>
  <c r="AX167" i="17"/>
  <c r="AU179" i="17"/>
  <c r="AY179" i="17"/>
  <c r="BB167" i="17"/>
  <c r="BF167" i="17"/>
  <c r="BC179" i="17"/>
  <c r="BG179" i="17"/>
  <c r="BJ167" i="17"/>
  <c r="BN167" i="17"/>
  <c r="BK179" i="17"/>
  <c r="BO179" i="17"/>
  <c r="BR167" i="17"/>
  <c r="BV167" i="17"/>
  <c r="BS179" i="17"/>
  <c r="BW179" i="17"/>
  <c r="BZ167" i="17"/>
  <c r="CD167" i="17"/>
  <c r="CA179" i="17"/>
  <c r="CE179" i="17"/>
  <c r="CH167" i="17"/>
  <c r="I76" i="17"/>
  <c r="K76" i="17"/>
  <c r="N61" i="17"/>
  <c r="N77" i="17" s="1"/>
  <c r="M76" i="17"/>
  <c r="O76" i="17"/>
  <c r="R61" i="17"/>
  <c r="Q76" i="17"/>
  <c r="S76" i="17"/>
  <c r="V61" i="17"/>
  <c r="U76" i="17"/>
  <c r="W76" i="17"/>
  <c r="Z61" i="17"/>
  <c r="Y76" i="17"/>
  <c r="AA76" i="17"/>
  <c r="AD61" i="17"/>
  <c r="AC76" i="17"/>
  <c r="AE76" i="17"/>
  <c r="AH61" i="17"/>
  <c r="AG76" i="17"/>
  <c r="AI76" i="17"/>
  <c r="AL61" i="17"/>
  <c r="AK76" i="17"/>
  <c r="AM76" i="17"/>
  <c r="AP61" i="17"/>
  <c r="AO76" i="17"/>
  <c r="AQ76" i="17"/>
  <c r="AT61" i="17"/>
  <c r="AS76" i="17"/>
  <c r="AU76" i="17"/>
  <c r="AX61" i="17"/>
  <c r="AW76" i="17"/>
  <c r="AY76" i="17"/>
  <c r="BB61" i="17"/>
  <c r="BA76" i="17"/>
  <c r="BC76" i="17"/>
  <c r="BF61" i="17"/>
  <c r="BE76" i="17"/>
  <c r="BG76" i="17"/>
  <c r="BJ61" i="17"/>
  <c r="BI76" i="17"/>
  <c r="I79" i="17"/>
  <c r="K79" i="17"/>
  <c r="N64" i="17"/>
  <c r="N80" i="17" s="1"/>
  <c r="M79" i="17"/>
  <c r="O79" i="17"/>
  <c r="R64" i="17"/>
  <c r="Q79" i="17"/>
  <c r="S79" i="17"/>
  <c r="V64" i="17"/>
  <c r="U79" i="17"/>
  <c r="W79" i="17"/>
  <c r="Z64" i="17"/>
  <c r="Y79" i="17"/>
  <c r="AA79" i="17"/>
  <c r="AD64" i="17"/>
  <c r="AC79" i="17"/>
  <c r="AE79" i="17"/>
  <c r="AH64" i="17"/>
  <c r="AG79" i="17"/>
  <c r="AI79" i="17"/>
  <c r="AL64" i="17"/>
  <c r="AK79" i="17"/>
  <c r="AM79" i="17"/>
  <c r="AP64" i="17"/>
  <c r="AO79" i="17"/>
  <c r="AQ79" i="17"/>
  <c r="AT64" i="17"/>
  <c r="AS79" i="17"/>
  <c r="AU79" i="17"/>
  <c r="AX64" i="17"/>
  <c r="AW79" i="17"/>
  <c r="AY79" i="17"/>
  <c r="BB64" i="17"/>
  <c r="BA79" i="17"/>
  <c r="BC79" i="17"/>
  <c r="BF64" i="17"/>
  <c r="BE79" i="17"/>
  <c r="BG79" i="17"/>
  <c r="BJ64" i="17"/>
  <c r="BI79" i="17"/>
  <c r="I82" i="17"/>
  <c r="K82" i="17"/>
  <c r="N67" i="17"/>
  <c r="N83" i="17" s="1"/>
  <c r="M82" i="17"/>
  <c r="O82" i="17"/>
  <c r="R67" i="17"/>
  <c r="Q82" i="17"/>
  <c r="S82" i="17"/>
  <c r="V67" i="17"/>
  <c r="U82" i="17"/>
  <c r="W82" i="17"/>
  <c r="Z67" i="17"/>
  <c r="Y82" i="17"/>
  <c r="AA82" i="17"/>
  <c r="AD67" i="17"/>
  <c r="AC82" i="17"/>
  <c r="AE82" i="17"/>
  <c r="AH67" i="17"/>
  <c r="AG82" i="17"/>
  <c r="AI82" i="17"/>
  <c r="AL67" i="17"/>
  <c r="AK82" i="17"/>
  <c r="AM82" i="17"/>
  <c r="AP67" i="17"/>
  <c r="AO82" i="17"/>
  <c r="AQ82" i="17"/>
  <c r="AT67" i="17"/>
  <c r="AS82" i="17"/>
  <c r="AU82" i="17"/>
  <c r="AX67" i="17"/>
  <c r="AW82" i="17"/>
  <c r="AY82" i="17"/>
  <c r="BB67" i="17"/>
  <c r="BA82" i="17"/>
  <c r="BC82" i="17"/>
  <c r="BF67" i="17"/>
  <c r="BE82" i="17"/>
  <c r="BG82" i="17"/>
  <c r="BJ67" i="17"/>
  <c r="BI82" i="17"/>
  <c r="I233" i="17"/>
  <c r="K233" i="17"/>
  <c r="N221" i="17"/>
  <c r="N234" i="17" s="1"/>
  <c r="M233" i="17"/>
  <c r="O233" i="17"/>
  <c r="R221" i="17"/>
  <c r="Q233" i="17"/>
  <c r="S233" i="17"/>
  <c r="V221" i="17"/>
  <c r="U233" i="17"/>
  <c r="W233" i="17"/>
  <c r="Z221" i="17"/>
  <c r="Y233" i="17"/>
  <c r="AA233" i="17"/>
  <c r="AD221" i="17"/>
  <c r="AC233" i="17"/>
  <c r="AE233" i="17"/>
  <c r="AH221" i="17"/>
  <c r="AG233" i="17"/>
  <c r="AI233" i="17"/>
  <c r="AL221" i="17"/>
  <c r="AK233" i="17"/>
  <c r="AM233" i="17"/>
  <c r="AP221" i="17"/>
  <c r="AO233" i="17"/>
  <c r="AQ233" i="17"/>
  <c r="AT221" i="17"/>
  <c r="AS233" i="17"/>
  <c r="AU233" i="17"/>
  <c r="AX221" i="17"/>
  <c r="AW233" i="17"/>
  <c r="AY233" i="17"/>
  <c r="BB221" i="17"/>
  <c r="BA233" i="17"/>
  <c r="BC233" i="17"/>
  <c r="BF221" i="17"/>
  <c r="BE233" i="17"/>
  <c r="BG233" i="17"/>
  <c r="BJ221" i="17"/>
  <c r="BI233" i="17"/>
  <c r="I236" i="17"/>
  <c r="K236" i="17"/>
  <c r="N224" i="17"/>
  <c r="N237" i="17" s="1"/>
  <c r="M236" i="17"/>
  <c r="O236" i="17"/>
  <c r="R224" i="17"/>
  <c r="Q236" i="17"/>
  <c r="S236" i="17"/>
  <c r="V224" i="17"/>
  <c r="U236" i="17"/>
  <c r="W236" i="17"/>
  <c r="Z224" i="17"/>
  <c r="Y236" i="17"/>
  <c r="AA236" i="17"/>
  <c r="AD224" i="17"/>
  <c r="AC236" i="17"/>
  <c r="AE236" i="17"/>
  <c r="AH224" i="17"/>
  <c r="AG236" i="17"/>
  <c r="AI236" i="17"/>
  <c r="AL224" i="17"/>
  <c r="AK236" i="17"/>
  <c r="AM236" i="17"/>
  <c r="AP224" i="17"/>
  <c r="AO236" i="17"/>
  <c r="AQ236" i="17"/>
  <c r="AT224" i="17"/>
  <c r="AS236" i="17"/>
  <c r="AU236" i="17"/>
  <c r="AX224" i="17"/>
  <c r="AW236" i="17"/>
  <c r="AY236" i="17"/>
  <c r="BB224" i="17"/>
  <c r="BA236" i="17"/>
  <c r="BC236" i="17"/>
  <c r="BF224" i="17"/>
  <c r="BE236" i="17"/>
  <c r="BG236" i="17"/>
  <c r="BJ224" i="17"/>
  <c r="BI236" i="17"/>
  <c r="J15" i="11"/>
  <c r="T15" i="11"/>
  <c r="AD15" i="11"/>
  <c r="AN15" i="11"/>
  <c r="AX15" i="11"/>
  <c r="BH15" i="11"/>
  <c r="BR15" i="11"/>
  <c r="CB15" i="11"/>
  <c r="CL15" i="11"/>
  <c r="CV15" i="11"/>
  <c r="DF15" i="11"/>
  <c r="CM32" i="11"/>
  <c r="CW32" i="11"/>
  <c r="DG32" i="11"/>
  <c r="J101" i="11"/>
  <c r="T101" i="11"/>
  <c r="AD101" i="11"/>
  <c r="AN101" i="11"/>
  <c r="AX101" i="11"/>
  <c r="BH101" i="11"/>
  <c r="BR101" i="11"/>
  <c r="CB101" i="11"/>
  <c r="CL101" i="11"/>
  <c r="CV101" i="11"/>
  <c r="DF101" i="11"/>
  <c r="CB103" i="11"/>
  <c r="CV103" i="11"/>
  <c r="J109" i="11"/>
  <c r="J111" i="11" s="1"/>
  <c r="T109" i="11"/>
  <c r="AD109" i="11"/>
  <c r="AN109" i="11"/>
  <c r="AX109" i="11"/>
  <c r="BH109" i="11"/>
  <c r="BR109" i="11"/>
  <c r="CB109" i="11"/>
  <c r="CL109" i="11"/>
  <c r="CV109" i="11"/>
  <c r="DF109" i="11"/>
  <c r="O110" i="11"/>
  <c r="P110" i="11" s="1"/>
  <c r="Y110" i="11"/>
  <c r="AI110" i="11"/>
  <c r="AS110" i="11"/>
  <c r="BC110" i="11"/>
  <c r="BM110" i="11"/>
  <c r="BW110" i="11"/>
  <c r="CG110" i="11"/>
  <c r="CQ110" i="11"/>
  <c r="DA110" i="11"/>
  <c r="J117" i="11"/>
  <c r="T117" i="11"/>
  <c r="AD117" i="11"/>
  <c r="AN117" i="11"/>
  <c r="AX117" i="11"/>
  <c r="BH117" i="11"/>
  <c r="BR117" i="11"/>
  <c r="CB117" i="11"/>
  <c r="CL117" i="11"/>
  <c r="CV117" i="11"/>
  <c r="DF117" i="11"/>
  <c r="J119" i="11"/>
  <c r="P119" i="11" s="1"/>
  <c r="T119" i="11"/>
  <c r="AD119" i="11"/>
  <c r="AE119" i="11" s="1"/>
  <c r="AN119" i="11"/>
  <c r="AT119" i="11" s="1"/>
  <c r="AX119" i="11"/>
  <c r="AY119" i="11" s="1"/>
  <c r="BH119" i="11"/>
  <c r="BR119" i="11"/>
  <c r="BS119" i="11" s="1"/>
  <c r="CB119" i="11"/>
  <c r="CL119" i="11"/>
  <c r="CM119" i="11" s="1"/>
  <c r="CV119" i="11"/>
  <c r="DF119" i="11"/>
  <c r="DG119" i="11" s="1"/>
  <c r="CT168" i="17"/>
  <c r="G260" i="12"/>
  <c r="I260" i="12"/>
  <c r="K260" i="12"/>
  <c r="M260" i="12"/>
  <c r="O260" i="12"/>
  <c r="Q260" i="12"/>
  <c r="S260" i="12"/>
  <c r="U260" i="12"/>
  <c r="H306" i="12"/>
  <c r="L306" i="12"/>
  <c r="P306" i="12"/>
  <c r="T306" i="12"/>
  <c r="X306" i="12"/>
  <c r="I15" i="8"/>
  <c r="I21" i="8"/>
  <c r="M15" i="8"/>
  <c r="M21" i="8"/>
  <c r="Q15" i="8"/>
  <c r="Q21" i="8"/>
  <c r="U15" i="8"/>
  <c r="U21" i="8"/>
  <c r="Y15" i="8"/>
  <c r="Y21" i="8"/>
  <c r="H22" i="8"/>
  <c r="H16" i="8"/>
  <c r="H6" i="8"/>
  <c r="J22" i="8"/>
  <c r="J16" i="8"/>
  <c r="J6" i="8"/>
  <c r="N22" i="8"/>
  <c r="N16" i="8"/>
  <c r="N6" i="8"/>
  <c r="T22" i="8"/>
  <c r="T16" i="8"/>
  <c r="T6" i="8"/>
  <c r="X22" i="8"/>
  <c r="X16" i="8"/>
  <c r="X6" i="8"/>
  <c r="G9" i="8"/>
  <c r="K23" i="8"/>
  <c r="K9" i="8"/>
  <c r="K17" i="8"/>
  <c r="O23" i="8"/>
  <c r="O9" i="8"/>
  <c r="O17" i="8"/>
  <c r="S23" i="8"/>
  <c r="S9" i="8"/>
  <c r="S17" i="8"/>
  <c r="W23" i="8"/>
  <c r="W9" i="8"/>
  <c r="W17" i="8"/>
  <c r="D177" i="2"/>
  <c r="AU177" i="2" s="1"/>
  <c r="AA9" i="8"/>
  <c r="AA17" i="8"/>
  <c r="H244" i="8"/>
  <c r="H100" i="8"/>
  <c r="H62" i="8"/>
  <c r="H33" i="8"/>
  <c r="H51" i="8"/>
  <c r="L244" i="8"/>
  <c r="L100" i="8"/>
  <c r="L62" i="8"/>
  <c r="L33" i="8"/>
  <c r="L51" i="8"/>
  <c r="P244" i="8"/>
  <c r="P100" i="8"/>
  <c r="P62" i="8"/>
  <c r="P33" i="8"/>
  <c r="P51" i="8"/>
  <c r="T244" i="8"/>
  <c r="T100" i="8"/>
  <c r="T62" i="8"/>
  <c r="T33" i="8"/>
  <c r="T51" i="8"/>
  <c r="X244" i="8"/>
  <c r="X100" i="8"/>
  <c r="X62" i="8"/>
  <c r="X33" i="8"/>
  <c r="X51" i="8"/>
  <c r="C159" i="2"/>
  <c r="AT159" i="2" s="1"/>
  <c r="Z244" i="8"/>
  <c r="Z100" i="8"/>
  <c r="Z62" i="8"/>
  <c r="Z33" i="8"/>
  <c r="Z51" i="8"/>
  <c r="I77" i="8"/>
  <c r="I192" i="8" s="1"/>
  <c r="I30" i="8"/>
  <c r="I60" i="8"/>
  <c r="I49" i="8"/>
  <c r="M77" i="8"/>
  <c r="M192" i="8" s="1"/>
  <c r="M30" i="8"/>
  <c r="M60" i="8"/>
  <c r="M49" i="8"/>
  <c r="Q77" i="8"/>
  <c r="Q192" i="8" s="1"/>
  <c r="Q30" i="8"/>
  <c r="Q60" i="8"/>
  <c r="Q49" i="8"/>
  <c r="U77" i="8"/>
  <c r="U192" i="8" s="1"/>
  <c r="U30" i="8"/>
  <c r="U60" i="8"/>
  <c r="U49" i="8"/>
  <c r="Y77" i="8"/>
  <c r="Y192" i="8" s="1"/>
  <c r="Y30" i="8"/>
  <c r="Y27" i="8" s="1"/>
  <c r="Y60" i="8"/>
  <c r="Y49" i="8"/>
  <c r="H65" i="8"/>
  <c r="H54" i="8"/>
  <c r="H12" i="8"/>
  <c r="L65" i="8"/>
  <c r="L54" i="8"/>
  <c r="L12" i="8"/>
  <c r="L42" i="8" s="1"/>
  <c r="P65" i="8"/>
  <c r="P54" i="8"/>
  <c r="P12" i="8"/>
  <c r="T65" i="8"/>
  <c r="T40" i="8" s="1"/>
  <c r="T54" i="8"/>
  <c r="T12" i="8"/>
  <c r="X65" i="8"/>
  <c r="X54" i="8"/>
  <c r="X12" i="8"/>
  <c r="X39" i="8" s="1"/>
  <c r="AB54" i="8"/>
  <c r="H21" i="8"/>
  <c r="H15" i="8"/>
  <c r="J21" i="8"/>
  <c r="J15" i="8"/>
  <c r="L21" i="8"/>
  <c r="L15" i="8"/>
  <c r="N21" i="8"/>
  <c r="N15" i="8"/>
  <c r="P21" i="8"/>
  <c r="P15" i="8"/>
  <c r="R21" i="8"/>
  <c r="R15" i="8"/>
  <c r="T21" i="8"/>
  <c r="T15" i="8"/>
  <c r="V21" i="8"/>
  <c r="V15" i="8"/>
  <c r="X21" i="8"/>
  <c r="X15" i="8"/>
  <c r="C175" i="2"/>
  <c r="AT175" i="2" s="1"/>
  <c r="Z21" i="8"/>
  <c r="Z15" i="8"/>
  <c r="G6" i="8"/>
  <c r="I6" i="8"/>
  <c r="I22" i="8"/>
  <c r="I16" i="8"/>
  <c r="K6" i="8"/>
  <c r="K22" i="8"/>
  <c r="K16" i="8"/>
  <c r="M6" i="8"/>
  <c r="M22" i="8"/>
  <c r="M16" i="8"/>
  <c r="O6" i="8"/>
  <c r="O22" i="8"/>
  <c r="O16" i="8"/>
  <c r="Q6" i="8"/>
  <c r="Q22" i="8"/>
  <c r="Q16" i="8"/>
  <c r="S6" i="8"/>
  <c r="S22" i="8"/>
  <c r="S16" i="8"/>
  <c r="U6" i="8"/>
  <c r="U22" i="8"/>
  <c r="U16" i="8"/>
  <c r="W6" i="8"/>
  <c r="W22" i="8"/>
  <c r="W16" i="8"/>
  <c r="Y6" i="8"/>
  <c r="Y22" i="8"/>
  <c r="Y16" i="8"/>
  <c r="D176" i="2"/>
  <c r="AB37" i="8"/>
  <c r="AA6" i="8"/>
  <c r="AA16" i="8"/>
  <c r="H17" i="8"/>
  <c r="H23" i="8"/>
  <c r="H9" i="8"/>
  <c r="J17" i="8"/>
  <c r="J23" i="8"/>
  <c r="J9" i="8"/>
  <c r="L17" i="8"/>
  <c r="L23" i="8"/>
  <c r="L9" i="8"/>
  <c r="N17" i="8"/>
  <c r="N23" i="8"/>
  <c r="N9" i="8"/>
  <c r="P17" i="8"/>
  <c r="P23" i="8"/>
  <c r="P9" i="8"/>
  <c r="R17" i="8"/>
  <c r="R23" i="8"/>
  <c r="R9" i="8"/>
  <c r="T17" i="8"/>
  <c r="T23" i="8"/>
  <c r="T9" i="8"/>
  <c r="V17" i="8"/>
  <c r="V23" i="8"/>
  <c r="V9" i="8"/>
  <c r="X17" i="8"/>
  <c r="X23" i="8"/>
  <c r="X9" i="8"/>
  <c r="C177" i="2"/>
  <c r="AT177" i="2" s="1"/>
  <c r="Z17" i="8"/>
  <c r="Z9" i="8"/>
  <c r="G244" i="8"/>
  <c r="G245" i="8" s="1"/>
  <c r="G249" i="8" s="1"/>
  <c r="G100" i="8"/>
  <c r="G33" i="8"/>
  <c r="I51" i="8"/>
  <c r="I244" i="8"/>
  <c r="I100" i="8"/>
  <c r="I62" i="8"/>
  <c r="I33" i="8"/>
  <c r="K51" i="8"/>
  <c r="K244" i="8"/>
  <c r="K100" i="8"/>
  <c r="K62" i="8"/>
  <c r="K33" i="8"/>
  <c r="M51" i="8"/>
  <c r="M244" i="8"/>
  <c r="M100" i="8"/>
  <c r="M62" i="8"/>
  <c r="M33" i="8"/>
  <c r="O51" i="8"/>
  <c r="O244" i="8"/>
  <c r="O100" i="8"/>
  <c r="O62" i="8"/>
  <c r="O33" i="8"/>
  <c r="Q51" i="8"/>
  <c r="Q244" i="8"/>
  <c r="Q100" i="8"/>
  <c r="Q62" i="8"/>
  <c r="Q33" i="8"/>
  <c r="S51" i="8"/>
  <c r="S244" i="8"/>
  <c r="S100" i="8"/>
  <c r="S62" i="8"/>
  <c r="S33" i="8"/>
  <c r="U51" i="8"/>
  <c r="U244" i="8"/>
  <c r="U100" i="8"/>
  <c r="U62" i="8"/>
  <c r="U33" i="8"/>
  <c r="W51" i="8"/>
  <c r="W244" i="8"/>
  <c r="W100" i="8"/>
  <c r="W62" i="8"/>
  <c r="W33" i="8"/>
  <c r="Y51" i="8"/>
  <c r="Y244" i="8"/>
  <c r="Y100" i="8"/>
  <c r="Y62" i="8"/>
  <c r="Y33" i="8"/>
  <c r="D159" i="2"/>
  <c r="F279" i="20" s="1"/>
  <c r="W279" i="20" s="1"/>
  <c r="AA51" i="8"/>
  <c r="AA244" i="8"/>
  <c r="AA100" i="8"/>
  <c r="AA62" i="8"/>
  <c r="AA33" i="8"/>
  <c r="H60" i="8"/>
  <c r="H49" i="8"/>
  <c r="H77" i="8"/>
  <c r="H192" i="8" s="1"/>
  <c r="H30" i="8"/>
  <c r="H188" i="8" s="1"/>
  <c r="J60" i="8"/>
  <c r="J49" i="8"/>
  <c r="J77" i="8"/>
  <c r="J30" i="8"/>
  <c r="J188" i="8" s="1"/>
  <c r="L60" i="8"/>
  <c r="L49" i="8"/>
  <c r="L77" i="8"/>
  <c r="L192" i="8" s="1"/>
  <c r="L30" i="8"/>
  <c r="L188" i="8" s="1"/>
  <c r="N60" i="8"/>
  <c r="N49" i="8"/>
  <c r="N77" i="8"/>
  <c r="N30" i="8"/>
  <c r="N188" i="8" s="1"/>
  <c r="P60" i="8"/>
  <c r="P49" i="8"/>
  <c r="P77" i="8"/>
  <c r="P192" i="8" s="1"/>
  <c r="P30" i="8"/>
  <c r="P188" i="8" s="1"/>
  <c r="R60" i="8"/>
  <c r="R49" i="8"/>
  <c r="R77" i="8"/>
  <c r="R30" i="8"/>
  <c r="R188" i="8" s="1"/>
  <c r="T60" i="8"/>
  <c r="T49" i="8"/>
  <c r="T77" i="8"/>
  <c r="T192" i="8" s="1"/>
  <c r="T30" i="8"/>
  <c r="T188" i="8" s="1"/>
  <c r="V60" i="8"/>
  <c r="V49" i="8"/>
  <c r="V77" i="8"/>
  <c r="V30" i="8"/>
  <c r="V188" i="8" s="1"/>
  <c r="X60" i="8"/>
  <c r="X49" i="8"/>
  <c r="X77" i="8"/>
  <c r="X192" i="8" s="1"/>
  <c r="X30" i="8"/>
  <c r="C163" i="2"/>
  <c r="AT163" i="2" s="1"/>
  <c r="Z60" i="8"/>
  <c r="Z49" i="8"/>
  <c r="Z77" i="8"/>
  <c r="Z192" i="8" s="1"/>
  <c r="Z30" i="8"/>
  <c r="AB49" i="8"/>
  <c r="G12" i="8"/>
  <c r="G39" i="8" s="1"/>
  <c r="I65" i="8"/>
  <c r="I54" i="8"/>
  <c r="I12" i="8"/>
  <c r="K65" i="8"/>
  <c r="K54" i="8"/>
  <c r="K12" i="8"/>
  <c r="K39" i="8" s="1"/>
  <c r="M65" i="8"/>
  <c r="M54" i="8"/>
  <c r="M12" i="8"/>
  <c r="O65" i="8"/>
  <c r="O54" i="8"/>
  <c r="O12" i="8"/>
  <c r="O39" i="8" s="1"/>
  <c r="Q65" i="8"/>
  <c r="Q54" i="8"/>
  <c r="Q12" i="8"/>
  <c r="S65" i="8"/>
  <c r="S54" i="8"/>
  <c r="S12" i="8"/>
  <c r="S39" i="8" s="1"/>
  <c r="U65" i="8"/>
  <c r="U54" i="8"/>
  <c r="U12" i="8"/>
  <c r="W65" i="8"/>
  <c r="W54" i="8"/>
  <c r="W12" i="8"/>
  <c r="W39" i="8" s="1"/>
  <c r="Y65" i="8"/>
  <c r="Y54" i="8"/>
  <c r="Y12" i="8"/>
  <c r="D178" i="2"/>
  <c r="AA65" i="8"/>
  <c r="AA54" i="8"/>
  <c r="AA12" i="8"/>
  <c r="M452" i="7"/>
  <c r="M441" i="7"/>
  <c r="O452" i="7"/>
  <c r="O441" i="7"/>
  <c r="Q452" i="7"/>
  <c r="Q441" i="7"/>
  <c r="S452" i="7"/>
  <c r="S441" i="7"/>
  <c r="U452" i="7"/>
  <c r="U441" i="7"/>
  <c r="W452" i="7"/>
  <c r="W441" i="7"/>
  <c r="Y452" i="7"/>
  <c r="Y441" i="7"/>
  <c r="AA452" i="7"/>
  <c r="AA441" i="7"/>
  <c r="L557" i="7"/>
  <c r="L551" i="7"/>
  <c r="N557" i="7"/>
  <c r="N551" i="7"/>
  <c r="P557" i="7"/>
  <c r="P551" i="7"/>
  <c r="R557" i="7"/>
  <c r="R551" i="7"/>
  <c r="T557" i="7"/>
  <c r="T551" i="7"/>
  <c r="V557" i="7"/>
  <c r="V551" i="7"/>
  <c r="L581" i="7"/>
  <c r="L575" i="7"/>
  <c r="N581" i="7"/>
  <c r="N575" i="7"/>
  <c r="P581" i="7"/>
  <c r="P575" i="7"/>
  <c r="R581" i="7"/>
  <c r="R575" i="7"/>
  <c r="T581" i="7"/>
  <c r="T575" i="7"/>
  <c r="V581" i="7"/>
  <c r="V575" i="7"/>
  <c r="X581" i="7"/>
  <c r="X575" i="7"/>
  <c r="Z581" i="7"/>
  <c r="Z575" i="7"/>
  <c r="M798" i="7"/>
  <c r="O798" i="7"/>
  <c r="Q798" i="7"/>
  <c r="S798" i="7"/>
  <c r="U798" i="7"/>
  <c r="W798" i="7"/>
  <c r="Y798" i="7"/>
  <c r="AA798" i="7"/>
  <c r="G448" i="12"/>
  <c r="G339" i="12"/>
  <c r="G312" i="12"/>
  <c r="I448" i="12"/>
  <c r="I339" i="12"/>
  <c r="I317" i="12"/>
  <c r="I312" i="12"/>
  <c r="K448" i="12"/>
  <c r="K339" i="12"/>
  <c r="K317" i="12"/>
  <c r="K312" i="12"/>
  <c r="M448" i="12"/>
  <c r="M339" i="12"/>
  <c r="M317" i="12"/>
  <c r="M312" i="12"/>
  <c r="O448" i="12"/>
  <c r="O339" i="12"/>
  <c r="O317" i="12"/>
  <c r="O312" i="12"/>
  <c r="Q448" i="12"/>
  <c r="Q339" i="12"/>
  <c r="Q317" i="12"/>
  <c r="Q312" i="12"/>
  <c r="S448" i="12"/>
  <c r="S339" i="12"/>
  <c r="S317" i="12"/>
  <c r="S312" i="12"/>
  <c r="U448" i="12"/>
  <c r="U339" i="12"/>
  <c r="U317" i="12"/>
  <c r="U312" i="12"/>
  <c r="W448" i="12"/>
  <c r="W339" i="12"/>
  <c r="W317" i="12"/>
  <c r="W312" i="12"/>
  <c r="Y448" i="12"/>
  <c r="Y339" i="12"/>
  <c r="Y317" i="12"/>
  <c r="Y312" i="12"/>
  <c r="AA448" i="12"/>
  <c r="AA339" i="12"/>
  <c r="AA317" i="12"/>
  <c r="AA312" i="12"/>
  <c r="E5" i="6"/>
  <c r="G456" i="12"/>
  <c r="Q5" i="6"/>
  <c r="I456" i="12"/>
  <c r="I348" i="12"/>
  <c r="AC5" i="6"/>
  <c r="K456" i="12"/>
  <c r="K348" i="12"/>
  <c r="AO5" i="6"/>
  <c r="M698" i="7"/>
  <c r="M30" i="7"/>
  <c r="E6" i="21"/>
  <c r="M456" i="12"/>
  <c r="M348" i="12"/>
  <c r="BA5" i="6"/>
  <c r="O698" i="7"/>
  <c r="O30" i="7"/>
  <c r="G6" i="21"/>
  <c r="O456" i="12"/>
  <c r="O348" i="12"/>
  <c r="BM5" i="6"/>
  <c r="Q698" i="7"/>
  <c r="I6" i="21"/>
  <c r="Q456" i="12"/>
  <c r="Q348" i="12"/>
  <c r="BY5" i="6"/>
  <c r="S698" i="7"/>
  <c r="K6" i="21"/>
  <c r="S456" i="12"/>
  <c r="S348" i="12"/>
  <c r="CK5" i="6"/>
  <c r="U698" i="7"/>
  <c r="U621" i="7"/>
  <c r="M6" i="21"/>
  <c r="U456" i="12"/>
  <c r="U348" i="12"/>
  <c r="CW5" i="6"/>
  <c r="W698" i="7"/>
  <c r="W621" i="7"/>
  <c r="O6" i="21"/>
  <c r="W456" i="12"/>
  <c r="W348" i="12"/>
  <c r="DI5" i="6"/>
  <c r="Y698" i="7"/>
  <c r="Y621" i="7"/>
  <c r="Q6" i="21"/>
  <c r="Y456" i="12"/>
  <c r="Y348" i="12"/>
  <c r="DU5" i="6"/>
  <c r="AA698" i="7"/>
  <c r="AA621" i="7"/>
  <c r="S6" i="21"/>
  <c r="AA456" i="12"/>
  <c r="AA348" i="12"/>
  <c r="H352" i="12"/>
  <c r="J352" i="12"/>
  <c r="L101" i="7"/>
  <c r="L95" i="7"/>
  <c r="L352" i="12"/>
  <c r="N101" i="7"/>
  <c r="N95" i="7"/>
  <c r="N352" i="12"/>
  <c r="P101" i="7"/>
  <c r="P95" i="7"/>
  <c r="P352" i="12"/>
  <c r="R101" i="7"/>
  <c r="R95" i="7"/>
  <c r="R352" i="12"/>
  <c r="T101" i="7"/>
  <c r="T95" i="7"/>
  <c r="T352" i="12"/>
  <c r="V101" i="7"/>
  <c r="V95" i="7"/>
  <c r="V352" i="12"/>
  <c r="X101" i="7"/>
  <c r="X95" i="7"/>
  <c r="X352" i="12"/>
  <c r="C157" i="2"/>
  <c r="AT157" i="2" s="1"/>
  <c r="Z101" i="7"/>
  <c r="Z95" i="7"/>
  <c r="Z352" i="12"/>
  <c r="G232" i="8"/>
  <c r="G190" i="8"/>
  <c r="G248" i="8" s="1"/>
  <c r="G166" i="8"/>
  <c r="I232" i="8"/>
  <c r="I224" i="8"/>
  <c r="I190" i="8"/>
  <c r="I166" i="8"/>
  <c r="K232" i="8"/>
  <c r="K224" i="8"/>
  <c r="K190" i="8"/>
  <c r="K166" i="8"/>
  <c r="M232" i="8"/>
  <c r="M224" i="8"/>
  <c r="M276" i="7" s="1"/>
  <c r="M190" i="8"/>
  <c r="M166" i="8"/>
  <c r="O232" i="8"/>
  <c r="O224" i="8"/>
  <c r="O276" i="7" s="1"/>
  <c r="O190" i="8"/>
  <c r="O166" i="8"/>
  <c r="Q232" i="8"/>
  <c r="Q224" i="8"/>
  <c r="Q276" i="7" s="1"/>
  <c r="Q190" i="8"/>
  <c r="Q166" i="8"/>
  <c r="S232" i="8"/>
  <c r="S224" i="8"/>
  <c r="S276" i="7" s="1"/>
  <c r="S190" i="8"/>
  <c r="S166" i="8"/>
  <c r="U232" i="8"/>
  <c r="U224" i="8"/>
  <c r="U276" i="7" s="1"/>
  <c r="U190" i="8"/>
  <c r="U166" i="8"/>
  <c r="W232" i="8"/>
  <c r="W224" i="8"/>
  <c r="W276" i="7" s="1"/>
  <c r="W190" i="8"/>
  <c r="W166" i="8"/>
  <c r="Y232" i="8"/>
  <c r="Y224" i="8"/>
  <c r="Y276" i="7" s="1"/>
  <c r="Y190" i="8"/>
  <c r="Y166" i="8"/>
  <c r="D161" i="2"/>
  <c r="AA232" i="8"/>
  <c r="AA224" i="8"/>
  <c r="AA276" i="7" s="1"/>
  <c r="AA190" i="8"/>
  <c r="AA166" i="8"/>
  <c r="K6" i="6"/>
  <c r="W6" i="6"/>
  <c r="AI6" i="6"/>
  <c r="L26" i="7"/>
  <c r="L17" i="7"/>
  <c r="L14" i="7"/>
  <c r="AU6" i="6"/>
  <c r="N26" i="7"/>
  <c r="N17" i="7"/>
  <c r="N14" i="7"/>
  <c r="BG6" i="6"/>
  <c r="P26" i="7"/>
  <c r="P17" i="7"/>
  <c r="P14" i="7"/>
  <c r="BS6" i="6"/>
  <c r="R26" i="7"/>
  <c r="R17" i="7"/>
  <c r="R14" i="7"/>
  <c r="CE6" i="6"/>
  <c r="T26" i="7"/>
  <c r="T17" i="7"/>
  <c r="T14" i="7"/>
  <c r="CQ6" i="6"/>
  <c r="V26" i="7"/>
  <c r="V17" i="7"/>
  <c r="V14" i="7"/>
  <c r="DC6" i="6"/>
  <c r="X26" i="7"/>
  <c r="X17" i="7"/>
  <c r="X14" i="7"/>
  <c r="C150" i="2"/>
  <c r="AT150" i="2" s="1"/>
  <c r="DO6" i="6"/>
  <c r="Z26" i="7"/>
  <c r="Z17" i="7"/>
  <c r="Z14" i="7"/>
  <c r="EA6" i="6"/>
  <c r="E150" i="2"/>
  <c r="AB17" i="7"/>
  <c r="E7" i="6"/>
  <c r="Q7" i="6"/>
  <c r="AC7" i="6"/>
  <c r="AO7" i="6"/>
  <c r="M62" i="7"/>
  <c r="M54" i="7"/>
  <c r="M51" i="7"/>
  <c r="BA7" i="6"/>
  <c r="O62" i="7"/>
  <c r="O54" i="7"/>
  <c r="O51" i="7"/>
  <c r="BM7" i="6"/>
  <c r="Q62" i="7"/>
  <c r="Q54" i="7"/>
  <c r="Q51" i="7"/>
  <c r="BY7" i="6"/>
  <c r="S62" i="7"/>
  <c r="S54" i="7"/>
  <c r="S51" i="7"/>
  <c r="CK7" i="6"/>
  <c r="U62" i="7"/>
  <c r="U54" i="7"/>
  <c r="U51" i="7"/>
  <c r="CW7" i="6"/>
  <c r="W62" i="7"/>
  <c r="W54" i="7"/>
  <c r="W51" i="7"/>
  <c r="DI7" i="6"/>
  <c r="Y62" i="7"/>
  <c r="Y54" i="7"/>
  <c r="Y51" i="7"/>
  <c r="D151" i="2"/>
  <c r="DU7" i="6"/>
  <c r="AA62" i="7"/>
  <c r="AA54" i="7"/>
  <c r="AA51" i="7"/>
  <c r="L130" i="7"/>
  <c r="L124" i="7"/>
  <c r="N130" i="7"/>
  <c r="N124" i="7"/>
  <c r="P130" i="7"/>
  <c r="P124" i="7"/>
  <c r="R130" i="7"/>
  <c r="R124" i="7"/>
  <c r="T130" i="7"/>
  <c r="T124" i="7"/>
  <c r="V130" i="7"/>
  <c r="V124" i="7"/>
  <c r="X130" i="7"/>
  <c r="X124" i="7"/>
  <c r="Z130" i="7"/>
  <c r="Z124" i="7"/>
  <c r="AB124" i="7"/>
  <c r="G8" i="6"/>
  <c r="S8" i="6"/>
  <c r="AE8" i="6"/>
  <c r="AQ8" i="6"/>
  <c r="M108" i="7"/>
  <c r="M99" i="7"/>
  <c r="M93" i="7"/>
  <c r="BC8" i="6"/>
  <c r="O108" i="7"/>
  <c r="O99" i="7"/>
  <c r="O93" i="7"/>
  <c r="BO8" i="6"/>
  <c r="Q108" i="7"/>
  <c r="Q99" i="7"/>
  <c r="Q93" i="7"/>
  <c r="CA8" i="6"/>
  <c r="S108" i="7"/>
  <c r="S99" i="7"/>
  <c r="S93" i="7"/>
  <c r="CM8" i="6"/>
  <c r="U108" i="7"/>
  <c r="U99" i="7"/>
  <c r="U93" i="7"/>
  <c r="CY8" i="6"/>
  <c r="W108" i="7"/>
  <c r="W99" i="7"/>
  <c r="W93" i="7"/>
  <c r="DK8" i="6"/>
  <c r="Y108" i="7"/>
  <c r="Y99" i="7"/>
  <c r="Y93" i="7"/>
  <c r="DW8" i="6"/>
  <c r="AA108" i="7"/>
  <c r="AA99" i="7"/>
  <c r="AA93" i="7"/>
  <c r="M9" i="6"/>
  <c r="Y9" i="6"/>
  <c r="AK9" i="6"/>
  <c r="L28" i="7"/>
  <c r="L19" i="7"/>
  <c r="L80" i="7"/>
  <c r="AW9" i="6"/>
  <c r="N28" i="7"/>
  <c r="N19" i="7"/>
  <c r="N80" i="7"/>
  <c r="BI9" i="6"/>
  <c r="P28" i="7"/>
  <c r="P19" i="7"/>
  <c r="P80" i="7"/>
  <c r="BU9" i="6"/>
  <c r="R28" i="7"/>
  <c r="R19" i="7"/>
  <c r="R80" i="7"/>
  <c r="CG9" i="6"/>
  <c r="T28" i="7"/>
  <c r="T19" i="7"/>
  <c r="T80" i="7"/>
  <c r="CS9" i="6"/>
  <c r="V28" i="7"/>
  <c r="V19" i="7"/>
  <c r="V80" i="7"/>
  <c r="DE9" i="6"/>
  <c r="X28" i="7"/>
  <c r="X19" i="7"/>
  <c r="X80" i="7"/>
  <c r="C202" i="2"/>
  <c r="AT202" i="2" s="1"/>
  <c r="DQ9" i="6"/>
  <c r="Z28" i="7"/>
  <c r="Z19" i="7"/>
  <c r="Z80" i="7"/>
  <c r="G10" i="6"/>
  <c r="S10" i="6"/>
  <c r="AE10" i="6"/>
  <c r="AQ10" i="6"/>
  <c r="M64" i="7"/>
  <c r="M56" i="7"/>
  <c r="BC10" i="6"/>
  <c r="O64" i="7"/>
  <c r="O56" i="7"/>
  <c r="BO10" i="6"/>
  <c r="Q64" i="7"/>
  <c r="Q56" i="7"/>
  <c r="CA10" i="6"/>
  <c r="S64" i="7"/>
  <c r="S56" i="7"/>
  <c r="CM10" i="6"/>
  <c r="U64" i="7"/>
  <c r="U56" i="7"/>
  <c r="CY10" i="6"/>
  <c r="W64" i="7"/>
  <c r="W56" i="7"/>
  <c r="DK10" i="6"/>
  <c r="Y64" i="7"/>
  <c r="Y56" i="7"/>
  <c r="D201" i="2"/>
  <c r="DW10" i="6"/>
  <c r="AA64" i="7"/>
  <c r="AA56" i="7"/>
  <c r="M11" i="6"/>
  <c r="H222" i="8"/>
  <c r="H230" i="8"/>
  <c r="Y11" i="6"/>
  <c r="J222" i="8"/>
  <c r="J230" i="8"/>
  <c r="AK11" i="6"/>
  <c r="L222" i="8"/>
  <c r="L81" i="7"/>
  <c r="L230" i="8"/>
  <c r="AW11" i="6"/>
  <c r="N222" i="8"/>
  <c r="N81" i="7"/>
  <c r="N230" i="8"/>
  <c r="BI11" i="6"/>
  <c r="P222" i="8"/>
  <c r="P81" i="7"/>
  <c r="P230" i="8"/>
  <c r="BU11" i="6"/>
  <c r="R222" i="8"/>
  <c r="R81" i="7"/>
  <c r="R230" i="8"/>
  <c r="CG11" i="6"/>
  <c r="T222" i="8"/>
  <c r="T81" i="7"/>
  <c r="T230" i="8"/>
  <c r="CS11" i="6"/>
  <c r="V222" i="8"/>
  <c r="V81" i="7"/>
  <c r="V230" i="8"/>
  <c r="DE11" i="6"/>
  <c r="X222" i="8"/>
  <c r="X81" i="7"/>
  <c r="X230" i="8"/>
  <c r="C203" i="2"/>
  <c r="AT203" i="2" s="1"/>
  <c r="DQ11" i="6"/>
  <c r="Z222" i="8"/>
  <c r="Z81" i="7"/>
  <c r="Z230" i="8"/>
  <c r="G30" i="6"/>
  <c r="S30" i="6"/>
  <c r="AE30" i="6"/>
  <c r="AQ30" i="6"/>
  <c r="M222" i="7"/>
  <c r="M210" i="7"/>
  <c r="M240" i="7"/>
  <c r="BC30" i="6"/>
  <c r="O222" i="7"/>
  <c r="O210" i="7"/>
  <c r="O240" i="7"/>
  <c r="BO30" i="6"/>
  <c r="Q222" i="7"/>
  <c r="Q210" i="7"/>
  <c r="Q240" i="7"/>
  <c r="CA30" i="6"/>
  <c r="S222" i="7"/>
  <c r="S210" i="7"/>
  <c r="S240" i="7"/>
  <c r="CM30" i="6"/>
  <c r="U222" i="7"/>
  <c r="U210" i="7"/>
  <c r="U240" i="7"/>
  <c r="CY30" i="6"/>
  <c r="W222" i="7"/>
  <c r="W210" i="7"/>
  <c r="W240" i="7"/>
  <c r="DK30" i="6"/>
  <c r="Y222" i="7"/>
  <c r="Y210" i="7"/>
  <c r="Y240" i="7"/>
  <c r="D207" i="2"/>
  <c r="AU207" i="2" s="1"/>
  <c r="DW30" i="6"/>
  <c r="AA222" i="7"/>
  <c r="AA210" i="7"/>
  <c r="AA240" i="7"/>
  <c r="M24" i="6"/>
  <c r="Y24" i="6"/>
  <c r="AK24" i="6"/>
  <c r="L728" i="7"/>
  <c r="L283" i="7"/>
  <c r="L269" i="7"/>
  <c r="AW24" i="6"/>
  <c r="N728" i="7"/>
  <c r="N283" i="7"/>
  <c r="N269" i="7"/>
  <c r="BI24" i="6"/>
  <c r="P728" i="7"/>
  <c r="P283" i="7"/>
  <c r="P269" i="7"/>
  <c r="BU24" i="6"/>
  <c r="R728" i="7"/>
  <c r="R283" i="7"/>
  <c r="R269" i="7"/>
  <c r="CG24" i="6"/>
  <c r="T728" i="7"/>
  <c r="T283" i="7"/>
  <c r="T269" i="7"/>
  <c r="CS24" i="6"/>
  <c r="V728" i="7"/>
  <c r="V283" i="7"/>
  <c r="V269" i="7"/>
  <c r="DE24" i="6"/>
  <c r="X728" i="7"/>
  <c r="X283" i="7"/>
  <c r="X269" i="7"/>
  <c r="DQ24" i="6"/>
  <c r="Z728" i="7"/>
  <c r="Z283" i="7"/>
  <c r="Z269" i="7"/>
  <c r="G32" i="6"/>
  <c r="S32" i="6"/>
  <c r="AE32" i="6"/>
  <c r="AQ32" i="6"/>
  <c r="M730" i="7"/>
  <c r="M307" i="7"/>
  <c r="M314" i="7"/>
  <c r="BC32" i="6"/>
  <c r="O730" i="7"/>
  <c r="O307" i="7"/>
  <c r="O314" i="7"/>
  <c r="BO32" i="6"/>
  <c r="Q730" i="7"/>
  <c r="Q307" i="7"/>
  <c r="Q314" i="7"/>
  <c r="CA32" i="6"/>
  <c r="S730" i="7"/>
  <c r="S307" i="7"/>
  <c r="S314" i="7"/>
  <c r="CM32" i="6"/>
  <c r="U730" i="7"/>
  <c r="U307" i="7"/>
  <c r="U314" i="7"/>
  <c r="CY32" i="6"/>
  <c r="W730" i="7"/>
  <c r="W307" i="7"/>
  <c r="W314" i="7"/>
  <c r="DK32" i="6"/>
  <c r="Y730" i="7"/>
  <c r="Y307" i="7"/>
  <c r="Y314" i="7"/>
  <c r="DW32" i="6"/>
  <c r="AA730" i="7"/>
  <c r="AA307" i="7"/>
  <c r="AA314" i="7"/>
  <c r="M28" i="6"/>
  <c r="Y28" i="6"/>
  <c r="AK28" i="6"/>
  <c r="L729" i="7"/>
  <c r="L345" i="7"/>
  <c r="L336" i="7"/>
  <c r="AW28" i="6"/>
  <c r="N729" i="7"/>
  <c r="N345" i="7"/>
  <c r="N336" i="7"/>
  <c r="BI28" i="6"/>
  <c r="P729" i="7"/>
  <c r="P345" i="7"/>
  <c r="P336" i="7"/>
  <c r="BU28" i="6"/>
  <c r="R729" i="7"/>
  <c r="R345" i="7"/>
  <c r="R336" i="7"/>
  <c r="CG28" i="6"/>
  <c r="T729" i="7"/>
  <c r="T345" i="7"/>
  <c r="T336" i="7"/>
  <c r="CS28" i="6"/>
  <c r="V729" i="7"/>
  <c r="V345" i="7"/>
  <c r="V336" i="7"/>
  <c r="DE28" i="6"/>
  <c r="X729" i="7"/>
  <c r="X345" i="7"/>
  <c r="X336" i="7"/>
  <c r="DQ28" i="6"/>
  <c r="Z729" i="7"/>
  <c r="Z345" i="7"/>
  <c r="Z336" i="7"/>
  <c r="G33" i="6"/>
  <c r="S33" i="6"/>
  <c r="AE33" i="6"/>
  <c r="AQ33" i="6"/>
  <c r="M731" i="7"/>
  <c r="M344" i="7"/>
  <c r="M335" i="7"/>
  <c r="BC33" i="6"/>
  <c r="O731" i="7"/>
  <c r="O344" i="7"/>
  <c r="O335" i="7"/>
  <c r="BO33" i="6"/>
  <c r="Q731" i="7"/>
  <c r="Q344" i="7"/>
  <c r="Q335" i="7"/>
  <c r="CA33" i="6"/>
  <c r="S731" i="7"/>
  <c r="S344" i="7"/>
  <c r="S335" i="7"/>
  <c r="CM33" i="6"/>
  <c r="U731" i="7"/>
  <c r="U344" i="7"/>
  <c r="U335" i="7"/>
  <c r="CY33" i="6"/>
  <c r="W731" i="7"/>
  <c r="W344" i="7"/>
  <c r="W335" i="7"/>
  <c r="DK33" i="6"/>
  <c r="Y731" i="7"/>
  <c r="Y344" i="7"/>
  <c r="Y335" i="7"/>
  <c r="DW33" i="6"/>
  <c r="AA731" i="7"/>
  <c r="AA344" i="7"/>
  <c r="AA335" i="7"/>
  <c r="M35" i="6"/>
  <c r="Y35" i="6"/>
  <c r="AK35" i="6"/>
  <c r="L403" i="7"/>
  <c r="L409" i="7"/>
  <c r="AW35" i="6"/>
  <c r="N403" i="7"/>
  <c r="N409" i="7"/>
  <c r="BI35" i="6"/>
  <c r="P403" i="7"/>
  <c r="P409" i="7"/>
  <c r="BU35" i="6"/>
  <c r="R403" i="7"/>
  <c r="R409" i="7"/>
  <c r="CG35" i="6"/>
  <c r="T403" i="7"/>
  <c r="T409" i="7"/>
  <c r="CS35" i="6"/>
  <c r="V403" i="7"/>
  <c r="V409" i="7"/>
  <c r="DE35" i="6"/>
  <c r="X403" i="7"/>
  <c r="X409" i="7"/>
  <c r="C208" i="2"/>
  <c r="AT208" i="2" s="1"/>
  <c r="DQ35" i="6"/>
  <c r="Z403" i="7"/>
  <c r="Z409" i="7"/>
  <c r="G45" i="6"/>
  <c r="S45" i="6"/>
  <c r="AE45" i="6"/>
  <c r="AQ45" i="6"/>
  <c r="M741" i="7"/>
  <c r="M533" i="7"/>
  <c r="M527" i="7"/>
  <c r="BC45" i="6"/>
  <c r="O741" i="7"/>
  <c r="O533" i="7"/>
  <c r="O527" i="7"/>
  <c r="BO45" i="6"/>
  <c r="Q741" i="7"/>
  <c r="Q533" i="7"/>
  <c r="Q527" i="7"/>
  <c r="CA45" i="6"/>
  <c r="S741" i="7"/>
  <c r="S533" i="7"/>
  <c r="S527" i="7"/>
  <c r="CM45" i="6"/>
  <c r="U741" i="7"/>
  <c r="U533" i="7"/>
  <c r="U527" i="7"/>
  <c r="CY45" i="6"/>
  <c r="W741" i="7"/>
  <c r="W533" i="7"/>
  <c r="W527" i="7"/>
  <c r="DK45" i="6"/>
  <c r="Y741" i="7"/>
  <c r="Y533" i="7"/>
  <c r="Y527" i="7"/>
  <c r="DW45" i="6"/>
  <c r="AA741" i="7"/>
  <c r="AA533" i="7"/>
  <c r="AA527" i="7"/>
  <c r="M655" i="7"/>
  <c r="M669" i="7" s="1"/>
  <c r="M445" i="7"/>
  <c r="M433" i="7"/>
  <c r="O655" i="7"/>
  <c r="O669" i="7" s="1"/>
  <c r="O445" i="7"/>
  <c r="O433" i="7"/>
  <c r="Q655" i="7"/>
  <c r="Q669" i="7" s="1"/>
  <c r="Q445" i="7"/>
  <c r="Q433" i="7"/>
  <c r="S655" i="7"/>
  <c r="S669" i="7" s="1"/>
  <c r="S445" i="7"/>
  <c r="S433" i="7"/>
  <c r="U655" i="7"/>
  <c r="U669" i="7" s="1"/>
  <c r="U445" i="7"/>
  <c r="U433" i="7"/>
  <c r="W655" i="7"/>
  <c r="W669" i="7" s="1"/>
  <c r="W445" i="7"/>
  <c r="W433" i="7"/>
  <c r="Y655" i="7"/>
  <c r="Y669" i="7" s="1"/>
  <c r="Y445" i="7"/>
  <c r="Y433" i="7"/>
  <c r="D245" i="2"/>
  <c r="F481" i="20" s="1"/>
  <c r="W481" i="20" s="1"/>
  <c r="AA655" i="7"/>
  <c r="AA669" i="7" s="1"/>
  <c r="AA445" i="7"/>
  <c r="AA433" i="7"/>
  <c r="N8" i="6"/>
  <c r="Z8" i="6"/>
  <c r="AL8" i="6"/>
  <c r="L109" i="7"/>
  <c r="L100" i="7"/>
  <c r="L94" i="7"/>
  <c r="AX8" i="6"/>
  <c r="N109" i="7"/>
  <c r="N100" i="7"/>
  <c r="N94" i="7"/>
  <c r="BJ8" i="6"/>
  <c r="P109" i="7"/>
  <c r="P100" i="7"/>
  <c r="P94" i="7"/>
  <c r="BV8" i="6"/>
  <c r="R109" i="7"/>
  <c r="R100" i="7"/>
  <c r="R94" i="7"/>
  <c r="CH8" i="6"/>
  <c r="T109" i="7"/>
  <c r="T100" i="7"/>
  <c r="T94" i="7"/>
  <c r="CT8" i="6"/>
  <c r="V109" i="7"/>
  <c r="V100" i="7"/>
  <c r="V94" i="7"/>
  <c r="DF8" i="6"/>
  <c r="X109" i="7"/>
  <c r="X100" i="7"/>
  <c r="X94" i="7"/>
  <c r="DR8" i="6"/>
  <c r="Z109" i="7"/>
  <c r="Z100" i="7"/>
  <c r="Z94" i="7"/>
  <c r="ED8" i="6"/>
  <c r="AB94" i="7"/>
  <c r="M447" i="7"/>
  <c r="M436" i="7"/>
  <c r="M112" i="7"/>
  <c r="O447" i="7"/>
  <c r="O436" i="7"/>
  <c r="O112" i="7"/>
  <c r="Q447" i="7"/>
  <c r="Q436" i="7"/>
  <c r="Q112" i="7"/>
  <c r="S447" i="7"/>
  <c r="S436" i="7"/>
  <c r="S112" i="7"/>
  <c r="U447" i="7"/>
  <c r="U436" i="7"/>
  <c r="U112" i="7"/>
  <c r="W447" i="7"/>
  <c r="W436" i="7"/>
  <c r="W112" i="7"/>
  <c r="Y447" i="7"/>
  <c r="Y436" i="7"/>
  <c r="Y112" i="7"/>
  <c r="D244" i="2"/>
  <c r="AA447" i="7"/>
  <c r="AA436" i="7"/>
  <c r="AA112" i="7"/>
  <c r="N11" i="6"/>
  <c r="H231" i="8"/>
  <c r="H223" i="8"/>
  <c r="H189" i="8"/>
  <c r="H165" i="8"/>
  <c r="Z11" i="6"/>
  <c r="J231" i="8"/>
  <c r="J223" i="8"/>
  <c r="J189" i="8"/>
  <c r="J165" i="8"/>
  <c r="AL11" i="6"/>
  <c r="L418" i="7"/>
  <c r="L86" i="7"/>
  <c r="L231" i="8"/>
  <c r="L223" i="8"/>
  <c r="L189" i="8"/>
  <c r="L165" i="8"/>
  <c r="AX11" i="6"/>
  <c r="N418" i="7"/>
  <c r="N86" i="7"/>
  <c r="N231" i="8"/>
  <c r="N223" i="8"/>
  <c r="N189" i="8"/>
  <c r="N165" i="8"/>
  <c r="BJ11" i="6"/>
  <c r="P418" i="7"/>
  <c r="P86" i="7"/>
  <c r="P231" i="8"/>
  <c r="P223" i="8"/>
  <c r="P189" i="8"/>
  <c r="P165" i="8"/>
  <c r="BV11" i="6"/>
  <c r="R418" i="7"/>
  <c r="R86" i="7"/>
  <c r="R231" i="8"/>
  <c r="R223" i="8"/>
  <c r="R189" i="8"/>
  <c r="R165" i="8"/>
  <c r="CH11" i="6"/>
  <c r="T418" i="7"/>
  <c r="T86" i="7"/>
  <c r="T231" i="8"/>
  <c r="T223" i="8"/>
  <c r="T189" i="8"/>
  <c r="T165" i="8"/>
  <c r="CT11" i="6"/>
  <c r="V418" i="7"/>
  <c r="V86" i="7"/>
  <c r="V231" i="8"/>
  <c r="V223" i="8"/>
  <c r="V189" i="8"/>
  <c r="V165" i="8"/>
  <c r="DF11" i="6"/>
  <c r="X418" i="7"/>
  <c r="X86" i="7"/>
  <c r="X231" i="8"/>
  <c r="X223" i="8"/>
  <c r="X189" i="8"/>
  <c r="X165" i="8"/>
  <c r="C220" i="2"/>
  <c r="AT220" i="2" s="1"/>
  <c r="DR11" i="6"/>
  <c r="Z418" i="7"/>
  <c r="Z86" i="7"/>
  <c r="Z231" i="8"/>
  <c r="Z223" i="8"/>
  <c r="Z189" i="8"/>
  <c r="Z165" i="8"/>
  <c r="H16" i="6"/>
  <c r="E16" i="6" s="1"/>
  <c r="T16" i="6"/>
  <c r="AF16" i="6"/>
  <c r="AR16" i="6"/>
  <c r="M691" i="7"/>
  <c r="M624" i="7"/>
  <c r="M34" i="7"/>
  <c r="M31" i="7"/>
  <c r="M22" i="7"/>
  <c r="BD16" i="6"/>
  <c r="O691" i="7"/>
  <c r="O624" i="7"/>
  <c r="O34" i="7"/>
  <c r="O31" i="7"/>
  <c r="O22" i="7"/>
  <c r="BP16" i="6"/>
  <c r="Q691" i="7"/>
  <c r="Q624" i="7"/>
  <c r="Q34" i="7"/>
  <c r="Q31" i="7"/>
  <c r="Q22" i="7"/>
  <c r="CB16" i="6"/>
  <c r="S691" i="7"/>
  <c r="S624" i="7"/>
  <c r="S34" i="7"/>
  <c r="S31" i="7"/>
  <c r="S22" i="7"/>
  <c r="CN16" i="6"/>
  <c r="U691" i="7"/>
  <c r="U624" i="7"/>
  <c r="U34" i="7"/>
  <c r="U31" i="7"/>
  <c r="U22" i="7"/>
  <c r="CZ16" i="6"/>
  <c r="W691" i="7"/>
  <c r="W624" i="7"/>
  <c r="W34" i="7"/>
  <c r="W31" i="7"/>
  <c r="W22" i="7"/>
  <c r="DL16" i="6"/>
  <c r="Y691" i="7"/>
  <c r="Y624" i="7"/>
  <c r="Y34" i="7"/>
  <c r="Y31" i="7"/>
  <c r="Y22" i="7"/>
  <c r="D213" i="2"/>
  <c r="DX16" i="6"/>
  <c r="AA691" i="7"/>
  <c r="AA624" i="7"/>
  <c r="AA34" i="7"/>
  <c r="AA31" i="7"/>
  <c r="AA22" i="7"/>
  <c r="N17" i="6"/>
  <c r="K17" i="6" s="1"/>
  <c r="Z17" i="6"/>
  <c r="W17" i="6" s="1"/>
  <c r="AL17" i="6"/>
  <c r="L659" i="7"/>
  <c r="L673" i="7" s="1"/>
  <c r="L59" i="7"/>
  <c r="L67" i="7"/>
  <c r="AX17" i="6"/>
  <c r="AU17" i="6" s="1"/>
  <c r="N659" i="7"/>
  <c r="N673" i="7" s="1"/>
  <c r="N59" i="7"/>
  <c r="N67" i="7"/>
  <c r="BJ17" i="6"/>
  <c r="BG17" i="6" s="1"/>
  <c r="P659" i="7"/>
  <c r="P673" i="7" s="1"/>
  <c r="P59" i="7"/>
  <c r="P67" i="7"/>
  <c r="BV17" i="6"/>
  <c r="BS17" i="6" s="1"/>
  <c r="R659" i="7"/>
  <c r="R673" i="7" s="1"/>
  <c r="R59" i="7"/>
  <c r="R67" i="7"/>
  <c r="CH17" i="6"/>
  <c r="T659" i="7"/>
  <c r="T673" i="7" s="1"/>
  <c r="T59" i="7"/>
  <c r="T67" i="7"/>
  <c r="CT17" i="6"/>
  <c r="CQ17" i="6" s="1"/>
  <c r="V659" i="7"/>
  <c r="V673" i="7" s="1"/>
  <c r="V59" i="7"/>
  <c r="V67" i="7"/>
  <c r="DF17" i="6"/>
  <c r="DC17" i="6" s="1"/>
  <c r="X659" i="7"/>
  <c r="X673" i="7" s="1"/>
  <c r="X59" i="7"/>
  <c r="X67" i="7"/>
  <c r="C223" i="2"/>
  <c r="AT223" i="2" s="1"/>
  <c r="DR17" i="6"/>
  <c r="DO17" i="6" s="1"/>
  <c r="Z659" i="7"/>
  <c r="Z673" i="7" s="1"/>
  <c r="Z59" i="7"/>
  <c r="Z67" i="7"/>
  <c r="ED17" i="6"/>
  <c r="EA17" i="6" s="1"/>
  <c r="AB659" i="7"/>
  <c r="AB59" i="7"/>
  <c r="H9" i="6"/>
  <c r="T9" i="6"/>
  <c r="AF9" i="6"/>
  <c r="AR9" i="6"/>
  <c r="M751" i="7"/>
  <c r="M424" i="7"/>
  <c r="M85" i="7"/>
  <c r="M29" i="7"/>
  <c r="M20" i="7"/>
  <c r="BD9" i="6"/>
  <c r="O751" i="7"/>
  <c r="O424" i="7"/>
  <c r="O85" i="7"/>
  <c r="O29" i="7"/>
  <c r="O20" i="7"/>
  <c r="BP9" i="6"/>
  <c r="Q751" i="7"/>
  <c r="Q424" i="7"/>
  <c r="Q85" i="7"/>
  <c r="Q29" i="7"/>
  <c r="Q20" i="7"/>
  <c r="CB9" i="6"/>
  <c r="S751" i="7"/>
  <c r="S424" i="7"/>
  <c r="S85" i="7"/>
  <c r="S29" i="7"/>
  <c r="S20" i="7"/>
  <c r="CN9" i="6"/>
  <c r="U751" i="7"/>
  <c r="U424" i="7"/>
  <c r="U85" i="7"/>
  <c r="U29" i="7"/>
  <c r="U20" i="7"/>
  <c r="CZ9" i="6"/>
  <c r="W751" i="7"/>
  <c r="W424" i="7"/>
  <c r="W85" i="7"/>
  <c r="W29" i="7"/>
  <c r="W20" i="7"/>
  <c r="DL9" i="6"/>
  <c r="Y751" i="7"/>
  <c r="Y424" i="7"/>
  <c r="Y85" i="7"/>
  <c r="Y29" i="7"/>
  <c r="Y20" i="7"/>
  <c r="DX9" i="6"/>
  <c r="AA751" i="7"/>
  <c r="AA424" i="7"/>
  <c r="AA85" i="7"/>
  <c r="AA29" i="7"/>
  <c r="AA20" i="7"/>
  <c r="N10" i="6"/>
  <c r="Z10" i="6"/>
  <c r="L745" i="7"/>
  <c r="AL10" i="6"/>
  <c r="L425" i="7"/>
  <c r="L65" i="7"/>
  <c r="N745" i="7"/>
  <c r="AX10" i="6"/>
  <c r="N425" i="7"/>
  <c r="N65" i="7"/>
  <c r="P745" i="7"/>
  <c r="BJ10" i="6"/>
  <c r="P425" i="7"/>
  <c r="P65" i="7"/>
  <c r="R745" i="7"/>
  <c r="BV10" i="6"/>
  <c r="R425" i="7"/>
  <c r="R65" i="7"/>
  <c r="T745" i="7"/>
  <c r="CH10" i="6"/>
  <c r="T425" i="7"/>
  <c r="T450" i="7" s="1"/>
  <c r="T65" i="7"/>
  <c r="V745" i="7"/>
  <c r="CT10" i="6"/>
  <c r="V425" i="7"/>
  <c r="V450" i="7" s="1"/>
  <c r="V65" i="7"/>
  <c r="X745" i="7"/>
  <c r="DF10" i="6"/>
  <c r="X425" i="7"/>
  <c r="X450" i="7" s="1"/>
  <c r="X65" i="7"/>
  <c r="Z745" i="7"/>
  <c r="DR10" i="6"/>
  <c r="Z425" i="7"/>
  <c r="Z450" i="7" s="1"/>
  <c r="Z65" i="7"/>
  <c r="AB745" i="7"/>
  <c r="ED10" i="6"/>
  <c r="AC48" i="7"/>
  <c r="H19" i="6"/>
  <c r="T19" i="6"/>
  <c r="AF19" i="6"/>
  <c r="AR19" i="6"/>
  <c r="M746" i="7"/>
  <c r="M156" i="7"/>
  <c r="M148" i="7"/>
  <c r="BD19" i="6"/>
  <c r="O746" i="7"/>
  <c r="O156" i="7"/>
  <c r="O148" i="7"/>
  <c r="BP19" i="6"/>
  <c r="Q746" i="7"/>
  <c r="Q156" i="7"/>
  <c r="Q148" i="7"/>
  <c r="CB19" i="6"/>
  <c r="S746" i="7"/>
  <c r="S156" i="7"/>
  <c r="S148" i="7"/>
  <c r="CN19" i="6"/>
  <c r="U746" i="7"/>
  <c r="U156" i="7"/>
  <c r="U148" i="7"/>
  <c r="CZ19" i="6"/>
  <c r="W746" i="7"/>
  <c r="W156" i="7"/>
  <c r="W148" i="7"/>
  <c r="DL19" i="6"/>
  <c r="Y746" i="7"/>
  <c r="Y156" i="7"/>
  <c r="Y148" i="7"/>
  <c r="DX19" i="6"/>
  <c r="AA746" i="7"/>
  <c r="AA156" i="7"/>
  <c r="AA148" i="7"/>
  <c r="H21" i="6"/>
  <c r="T21" i="6"/>
  <c r="AF21" i="6"/>
  <c r="AR21" i="6"/>
  <c r="M658" i="7"/>
  <c r="M672" i="7" s="1"/>
  <c r="M163" i="7"/>
  <c r="M158" i="7"/>
  <c r="M150" i="7"/>
  <c r="BD21" i="6"/>
  <c r="O658" i="7"/>
  <c r="O672" i="7" s="1"/>
  <c r="O163" i="7"/>
  <c r="O158" i="7"/>
  <c r="O150" i="7"/>
  <c r="BP21" i="6"/>
  <c r="Q658" i="7"/>
  <c r="Q672" i="7" s="1"/>
  <c r="Q163" i="7"/>
  <c r="Q158" i="7"/>
  <c r="Q150" i="7"/>
  <c r="CB21" i="6"/>
  <c r="S658" i="7"/>
  <c r="S672" i="7" s="1"/>
  <c r="S163" i="7"/>
  <c r="S158" i="7"/>
  <c r="S150" i="7"/>
  <c r="CN21" i="6"/>
  <c r="U658" i="7"/>
  <c r="U672" i="7" s="1"/>
  <c r="U163" i="7"/>
  <c r="U158" i="7"/>
  <c r="U150" i="7"/>
  <c r="CZ21" i="6"/>
  <c r="W658" i="7"/>
  <c r="W672" i="7" s="1"/>
  <c r="W163" i="7"/>
  <c r="W158" i="7"/>
  <c r="W150" i="7"/>
  <c r="DL21" i="6"/>
  <c r="Y658" i="7"/>
  <c r="Y672" i="7" s="1"/>
  <c r="Y163" i="7"/>
  <c r="Y158" i="7"/>
  <c r="Y150" i="7"/>
  <c r="D222" i="2"/>
  <c r="DX21" i="6"/>
  <c r="AA658" i="7"/>
  <c r="AA672" i="7" s="1"/>
  <c r="AA163" i="7"/>
  <c r="AA158" i="7"/>
  <c r="AA150" i="7"/>
  <c r="N23" i="6"/>
  <c r="K23" i="6" s="1"/>
  <c r="Z23" i="6"/>
  <c r="W23" i="6" s="1"/>
  <c r="AL23" i="6"/>
  <c r="L693" i="7"/>
  <c r="L625" i="7"/>
  <c r="L636" i="7" s="1"/>
  <c r="L246" i="7"/>
  <c r="L213" i="7"/>
  <c r="L225" i="7"/>
  <c r="AX23" i="6"/>
  <c r="N693" i="7"/>
  <c r="N625" i="7"/>
  <c r="N636" i="7" s="1"/>
  <c r="N246" i="7"/>
  <c r="N213" i="7"/>
  <c r="N225" i="7"/>
  <c r="BJ23" i="6"/>
  <c r="P693" i="7"/>
  <c r="P625" i="7"/>
  <c r="P636" i="7" s="1"/>
  <c r="P246" i="7"/>
  <c r="P213" i="7"/>
  <c r="P225" i="7"/>
  <c r="BV23" i="6"/>
  <c r="BS23" i="6" s="1"/>
  <c r="R693" i="7"/>
  <c r="R625" i="7"/>
  <c r="R636" i="7" s="1"/>
  <c r="R246" i="7"/>
  <c r="R213" i="7"/>
  <c r="R225" i="7"/>
  <c r="CH23" i="6"/>
  <c r="CE23" i="6" s="1"/>
  <c r="T693" i="7"/>
  <c r="T625" i="7"/>
  <c r="T636" i="7" s="1"/>
  <c r="T246" i="7"/>
  <c r="T213" i="7"/>
  <c r="T225" i="7"/>
  <c r="CT23" i="6"/>
  <c r="V693" i="7"/>
  <c r="V625" i="7"/>
  <c r="V636" i="7" s="1"/>
  <c r="V246" i="7"/>
  <c r="V213" i="7"/>
  <c r="V225" i="7"/>
  <c r="DF23" i="6"/>
  <c r="DC23" i="6" s="1"/>
  <c r="X693" i="7"/>
  <c r="X625" i="7"/>
  <c r="X636" i="7" s="1"/>
  <c r="X246" i="7"/>
  <c r="X213" i="7"/>
  <c r="X225" i="7"/>
  <c r="C214" i="2"/>
  <c r="AT214" i="2" s="1"/>
  <c r="DR23" i="6"/>
  <c r="Z693" i="7"/>
  <c r="Z625" i="7"/>
  <c r="Z636" i="7" s="1"/>
  <c r="Z246" i="7"/>
  <c r="Z213" i="7"/>
  <c r="Z225" i="7"/>
  <c r="ED23" i="6"/>
  <c r="EA23" i="6" s="1"/>
  <c r="AB693" i="7"/>
  <c r="AB625" i="7"/>
  <c r="H30" i="6"/>
  <c r="T30" i="6"/>
  <c r="AF30" i="6"/>
  <c r="AR30" i="6"/>
  <c r="M753" i="7"/>
  <c r="M223" i="7"/>
  <c r="M211" i="7"/>
  <c r="BD30" i="6"/>
  <c r="O753" i="7"/>
  <c r="O223" i="7"/>
  <c r="O211" i="7"/>
  <c r="BP30" i="6"/>
  <c r="Q753" i="7"/>
  <c r="Q223" i="7"/>
  <c r="Q211" i="7"/>
  <c r="CB30" i="6"/>
  <c r="S753" i="7"/>
  <c r="S223" i="7"/>
  <c r="S211" i="7"/>
  <c r="CN30" i="6"/>
  <c r="U753" i="7"/>
  <c r="U223" i="7"/>
  <c r="U211" i="7"/>
  <c r="CZ30" i="6"/>
  <c r="W753" i="7"/>
  <c r="W223" i="7"/>
  <c r="W211" i="7"/>
  <c r="DL30" i="6"/>
  <c r="Y753" i="7"/>
  <c r="Y223" i="7"/>
  <c r="Y211" i="7"/>
  <c r="DX30" i="6"/>
  <c r="AA753" i="7"/>
  <c r="AA223" i="7"/>
  <c r="AA211" i="7"/>
  <c r="N26" i="6"/>
  <c r="Z26" i="6"/>
  <c r="AL26" i="6"/>
  <c r="L280" i="7"/>
  <c r="L266" i="7"/>
  <c r="AX26" i="6"/>
  <c r="N280" i="7"/>
  <c r="N266" i="7"/>
  <c r="BJ26" i="6"/>
  <c r="P280" i="7"/>
  <c r="P266" i="7"/>
  <c r="BV26" i="6"/>
  <c r="R280" i="7"/>
  <c r="R266" i="7"/>
  <c r="CH26" i="6"/>
  <c r="T280" i="7"/>
  <c r="T266" i="7"/>
  <c r="CT26" i="6"/>
  <c r="V280" i="7"/>
  <c r="V266" i="7"/>
  <c r="DF26" i="6"/>
  <c r="X280" i="7"/>
  <c r="X266" i="7"/>
  <c r="DR26" i="6"/>
  <c r="Z280" i="7"/>
  <c r="Z266" i="7"/>
  <c r="ED26" i="6"/>
  <c r="AC254" i="7"/>
  <c r="AB266" i="7"/>
  <c r="H25" i="6"/>
  <c r="T25" i="6"/>
  <c r="AF25" i="6"/>
  <c r="AR25" i="6"/>
  <c r="M694" i="7"/>
  <c r="M279" i="7"/>
  <c r="M255" i="7"/>
  <c r="M265" i="7"/>
  <c r="BD25" i="6"/>
  <c r="O694" i="7"/>
  <c r="O279" i="7"/>
  <c r="O255" i="7"/>
  <c r="O265" i="7"/>
  <c r="BP25" i="6"/>
  <c r="Q694" i="7"/>
  <c r="Q279" i="7"/>
  <c r="Q255" i="7"/>
  <c r="Q265" i="7"/>
  <c r="CB25" i="6"/>
  <c r="S694" i="7"/>
  <c r="S279" i="7"/>
  <c r="S255" i="7"/>
  <c r="S265" i="7"/>
  <c r="CN25" i="6"/>
  <c r="U694" i="7"/>
  <c r="U279" i="7"/>
  <c r="U255" i="7"/>
  <c r="U265" i="7"/>
  <c r="CZ25" i="6"/>
  <c r="W694" i="7"/>
  <c r="W279" i="7"/>
  <c r="W255" i="7"/>
  <c r="W265" i="7"/>
  <c r="DL25" i="6"/>
  <c r="Y694" i="7"/>
  <c r="Y279" i="7"/>
  <c r="Y255" i="7"/>
  <c r="Y265" i="7"/>
  <c r="D216" i="2"/>
  <c r="AU216" i="2" s="1"/>
  <c r="DX25" i="6"/>
  <c r="AA694" i="7"/>
  <c r="AA279" i="7"/>
  <c r="AA255" i="7"/>
  <c r="AA265" i="7"/>
  <c r="N32" i="6"/>
  <c r="Z32" i="6"/>
  <c r="AL32" i="6"/>
  <c r="L657" i="7"/>
  <c r="L671" i="7" s="1"/>
  <c r="L315" i="7"/>
  <c r="L308" i="7"/>
  <c r="AX32" i="6"/>
  <c r="N657" i="7"/>
  <c r="N671" i="7" s="1"/>
  <c r="N315" i="7"/>
  <c r="N308" i="7"/>
  <c r="BJ32" i="6"/>
  <c r="P657" i="7"/>
  <c r="P671" i="7" s="1"/>
  <c r="P315" i="7"/>
  <c r="P308" i="7"/>
  <c r="BV32" i="6"/>
  <c r="R657" i="7"/>
  <c r="R671" i="7" s="1"/>
  <c r="R315" i="7"/>
  <c r="R308" i="7"/>
  <c r="CH32" i="6"/>
  <c r="T657" i="7"/>
  <c r="T671" i="7" s="1"/>
  <c r="T315" i="7"/>
  <c r="T308" i="7"/>
  <c r="CT32" i="6"/>
  <c r="V657" i="7"/>
  <c r="V671" i="7" s="1"/>
  <c r="V315" i="7"/>
  <c r="V308" i="7"/>
  <c r="DF32" i="6"/>
  <c r="X657" i="7"/>
  <c r="X671" i="7" s="1"/>
  <c r="X315" i="7"/>
  <c r="X308" i="7"/>
  <c r="C221" i="2"/>
  <c r="AT221" i="2" s="1"/>
  <c r="DR32" i="6"/>
  <c r="Z657" i="7"/>
  <c r="Z671" i="7" s="1"/>
  <c r="Z315" i="7"/>
  <c r="Z308" i="7"/>
  <c r="ED32" i="6"/>
  <c r="AB657" i="7"/>
  <c r="H28" i="6"/>
  <c r="T28" i="6"/>
  <c r="AF28" i="6"/>
  <c r="AR28" i="6"/>
  <c r="M747" i="7"/>
  <c r="M347" i="7"/>
  <c r="M338" i="7"/>
  <c r="BD28" i="6"/>
  <c r="O747" i="7"/>
  <c r="O347" i="7"/>
  <c r="O338" i="7"/>
  <c r="BP28" i="6"/>
  <c r="Q747" i="7"/>
  <c r="Q347" i="7"/>
  <c r="Q338" i="7"/>
  <c r="CB28" i="6"/>
  <c r="S747" i="7"/>
  <c r="S347" i="7"/>
  <c r="S338" i="7"/>
  <c r="CN28" i="6"/>
  <c r="U747" i="7"/>
  <c r="U347" i="7"/>
  <c r="U338" i="7"/>
  <c r="CZ28" i="6"/>
  <c r="W747" i="7"/>
  <c r="W347" i="7"/>
  <c r="W338" i="7"/>
  <c r="DL28" i="6"/>
  <c r="Y747" i="7"/>
  <c r="Y347" i="7"/>
  <c r="Y338" i="7"/>
  <c r="DX28" i="6"/>
  <c r="AA747" i="7"/>
  <c r="AA347" i="7"/>
  <c r="AA338" i="7"/>
  <c r="L656" i="7"/>
  <c r="L670" i="7" s="1"/>
  <c r="L421" i="7"/>
  <c r="L446" i="7"/>
  <c r="L434" i="7"/>
  <c r="N656" i="7"/>
  <c r="N670" i="7" s="1"/>
  <c r="N421" i="7"/>
  <c r="N446" i="7"/>
  <c r="N434" i="7"/>
  <c r="P656" i="7"/>
  <c r="P670" i="7" s="1"/>
  <c r="P421" i="7"/>
  <c r="P446" i="7"/>
  <c r="P434" i="7"/>
  <c r="R656" i="7"/>
  <c r="R670" i="7" s="1"/>
  <c r="R421" i="7"/>
  <c r="R446" i="7"/>
  <c r="R434" i="7"/>
  <c r="T656" i="7"/>
  <c r="T670" i="7" s="1"/>
  <c r="T421" i="7"/>
  <c r="T446" i="7"/>
  <c r="T434" i="7"/>
  <c r="V656" i="7"/>
  <c r="V670" i="7" s="1"/>
  <c r="V421" i="7"/>
  <c r="V446" i="7"/>
  <c r="V434" i="7"/>
  <c r="X656" i="7"/>
  <c r="X670" i="7" s="1"/>
  <c r="X421" i="7"/>
  <c r="X446" i="7"/>
  <c r="X434" i="7"/>
  <c r="C246" i="2"/>
  <c r="AT246" i="2" s="1"/>
  <c r="Z656" i="7"/>
  <c r="Z670" i="7" s="1"/>
  <c r="Z421" i="7"/>
  <c r="Z446" i="7"/>
  <c r="Z434" i="7"/>
  <c r="AB656" i="7"/>
  <c r="AB434" i="7"/>
  <c r="AC420" i="7"/>
  <c r="E246" i="2" s="1"/>
  <c r="H33" i="6"/>
  <c r="T33" i="6"/>
  <c r="AF33" i="6"/>
  <c r="AR33" i="6"/>
  <c r="M754" i="7"/>
  <c r="M346" i="7"/>
  <c r="M337" i="7"/>
  <c r="BD33" i="6"/>
  <c r="O754" i="7"/>
  <c r="O346" i="7"/>
  <c r="O337" i="7"/>
  <c r="BP33" i="6"/>
  <c r="Q754" i="7"/>
  <c r="Q346" i="7"/>
  <c r="Q337" i="7"/>
  <c r="CB33" i="6"/>
  <c r="S754" i="7"/>
  <c r="S346" i="7"/>
  <c r="S337" i="7"/>
  <c r="CN33" i="6"/>
  <c r="U754" i="7"/>
  <c r="U346" i="7"/>
  <c r="U337" i="7"/>
  <c r="CZ33" i="6"/>
  <c r="W754" i="7"/>
  <c r="W346" i="7"/>
  <c r="W337" i="7"/>
  <c r="DL33" i="6"/>
  <c r="Y754" i="7"/>
  <c r="Y346" i="7"/>
  <c r="Y337" i="7"/>
  <c r="DX33" i="6"/>
  <c r="AA754" i="7"/>
  <c r="AA346" i="7"/>
  <c r="AA337" i="7"/>
  <c r="N35" i="6"/>
  <c r="Z35" i="6"/>
  <c r="AL35" i="6"/>
  <c r="L755" i="7"/>
  <c r="L404" i="7"/>
  <c r="L410" i="7"/>
  <c r="AX35" i="6"/>
  <c r="N755" i="7"/>
  <c r="N404" i="7"/>
  <c r="N410" i="7"/>
  <c r="BJ35" i="6"/>
  <c r="P755" i="7"/>
  <c r="P404" i="7"/>
  <c r="P410" i="7"/>
  <c r="BV35" i="6"/>
  <c r="R755" i="7"/>
  <c r="R404" i="7"/>
  <c r="R410" i="7"/>
  <c r="CH35" i="6"/>
  <c r="T755" i="7"/>
  <c r="T410" i="7"/>
  <c r="CT35" i="6"/>
  <c r="V755" i="7"/>
  <c r="V410" i="7"/>
  <c r="DF35" i="6"/>
  <c r="X755" i="7"/>
  <c r="X410" i="7"/>
  <c r="DR35" i="6"/>
  <c r="Z755" i="7"/>
  <c r="Z410" i="7"/>
  <c r="ED35" i="6"/>
  <c r="AB755" i="7"/>
  <c r="AC398" i="7"/>
  <c r="M508" i="7"/>
  <c r="M487" i="7"/>
  <c r="M630" i="7"/>
  <c r="M641" i="7" s="1"/>
  <c r="M497" i="7"/>
  <c r="M484" i="7"/>
  <c r="O508" i="7"/>
  <c r="O487" i="7"/>
  <c r="O630" i="7"/>
  <c r="O641" i="7" s="1"/>
  <c r="O497" i="7"/>
  <c r="O484" i="7"/>
  <c r="Q508" i="7"/>
  <c r="Q487" i="7"/>
  <c r="Q630" i="7"/>
  <c r="Q641" i="7" s="1"/>
  <c r="Q497" i="7"/>
  <c r="Q484" i="7"/>
  <c r="S508" i="7"/>
  <c r="S487" i="7"/>
  <c r="S630" i="7"/>
  <c r="S641" i="7" s="1"/>
  <c r="S497" i="7"/>
  <c r="S484" i="7"/>
  <c r="U508" i="7"/>
  <c r="U487" i="7"/>
  <c r="U630" i="7"/>
  <c r="U497" i="7"/>
  <c r="U484" i="7"/>
  <c r="W508" i="7"/>
  <c r="W487" i="7"/>
  <c r="W630" i="7"/>
  <c r="W497" i="7"/>
  <c r="W484" i="7"/>
  <c r="Y508" i="7"/>
  <c r="Y487" i="7"/>
  <c r="Y630" i="7"/>
  <c r="Y497" i="7"/>
  <c r="Y484" i="7"/>
  <c r="D225" i="2"/>
  <c r="AA508" i="7"/>
  <c r="AA487" i="7"/>
  <c r="AA630" i="7"/>
  <c r="AA497" i="7"/>
  <c r="AA484" i="7"/>
  <c r="N41" i="6"/>
  <c r="Z41" i="6"/>
  <c r="AL41" i="6"/>
  <c r="L695" i="7"/>
  <c r="L505" i="7"/>
  <c r="L494" i="7"/>
  <c r="AX41" i="6"/>
  <c r="N695" i="7"/>
  <c r="N505" i="7"/>
  <c r="N494" i="7"/>
  <c r="BJ41" i="6"/>
  <c r="P695" i="7"/>
  <c r="P505" i="7"/>
  <c r="P494" i="7"/>
  <c r="BV41" i="6"/>
  <c r="R695" i="7"/>
  <c r="R505" i="7"/>
  <c r="R494" i="7"/>
  <c r="CH41" i="6"/>
  <c r="T695" i="7"/>
  <c r="T505" i="7"/>
  <c r="T494" i="7"/>
  <c r="CT41" i="6"/>
  <c r="V695" i="7"/>
  <c r="V505" i="7"/>
  <c r="V494" i="7"/>
  <c r="DF41" i="6"/>
  <c r="X695" i="7"/>
  <c r="X505" i="7"/>
  <c r="X494" i="7"/>
  <c r="C230" i="2"/>
  <c r="AT230" i="2" s="1"/>
  <c r="DR41" i="6"/>
  <c r="Z695" i="7"/>
  <c r="Z505" i="7"/>
  <c r="Z494" i="7"/>
  <c r="ED41" i="6"/>
  <c r="AB695" i="7"/>
  <c r="H44" i="6"/>
  <c r="T44" i="6"/>
  <c r="AF44" i="6"/>
  <c r="AR44" i="6"/>
  <c r="M759" i="7"/>
  <c r="M509" i="7"/>
  <c r="M498" i="7"/>
  <c r="BD44" i="6"/>
  <c r="O759" i="7"/>
  <c r="O509" i="7"/>
  <c r="O498" i="7"/>
  <c r="BP44" i="6"/>
  <c r="Q759" i="7"/>
  <c r="Q509" i="7"/>
  <c r="Q498" i="7"/>
  <c r="CB44" i="6"/>
  <c r="S759" i="7"/>
  <c r="S509" i="7"/>
  <c r="S498" i="7"/>
  <c r="CN44" i="6"/>
  <c r="U759" i="7"/>
  <c r="U509" i="7"/>
  <c r="U498" i="7"/>
  <c r="CZ44" i="6"/>
  <c r="W759" i="7"/>
  <c r="W509" i="7"/>
  <c r="W498" i="7"/>
  <c r="DL44" i="6"/>
  <c r="Y759" i="7"/>
  <c r="Y509" i="7"/>
  <c r="Y498" i="7"/>
  <c r="DX44" i="6"/>
  <c r="AA759" i="7"/>
  <c r="AA509" i="7"/>
  <c r="AA498" i="7"/>
  <c r="N42" i="6"/>
  <c r="Z42" i="6"/>
  <c r="AL42" i="6"/>
  <c r="L696" i="7"/>
  <c r="L495" i="7"/>
  <c r="L506" i="7"/>
  <c r="AX42" i="6"/>
  <c r="N696" i="7"/>
  <c r="N495" i="7"/>
  <c r="N506" i="7"/>
  <c r="BJ42" i="6"/>
  <c r="P696" i="7"/>
  <c r="P495" i="7"/>
  <c r="P506" i="7"/>
  <c r="BV42" i="6"/>
  <c r="R696" i="7"/>
  <c r="R495" i="7"/>
  <c r="R506" i="7"/>
  <c r="CH42" i="6"/>
  <c r="T696" i="7"/>
  <c r="T495" i="7"/>
  <c r="T506" i="7"/>
  <c r="CT42" i="6"/>
  <c r="V696" i="7"/>
  <c r="V495" i="7"/>
  <c r="V506" i="7"/>
  <c r="DF42" i="6"/>
  <c r="X696" i="7"/>
  <c r="X495" i="7"/>
  <c r="X506" i="7"/>
  <c r="C248" i="2"/>
  <c r="AT248" i="2" s="1"/>
  <c r="DR42" i="6"/>
  <c r="Z696" i="7"/>
  <c r="Z495" i="7"/>
  <c r="Z506" i="7"/>
  <c r="ED42" i="6"/>
  <c r="AB696" i="7"/>
  <c r="E248" i="2"/>
  <c r="AV248" i="2" s="1"/>
  <c r="N47" i="6"/>
  <c r="Z47" i="6"/>
  <c r="AL47" i="6"/>
  <c r="L760" i="7"/>
  <c r="L556" i="7"/>
  <c r="L550" i="7"/>
  <c r="AX47" i="6"/>
  <c r="N760" i="7"/>
  <c r="N556" i="7"/>
  <c r="N550" i="7"/>
  <c r="BJ47" i="6"/>
  <c r="P760" i="7"/>
  <c r="P556" i="7"/>
  <c r="P550" i="7"/>
  <c r="BV47" i="6"/>
  <c r="R760" i="7"/>
  <c r="R556" i="7"/>
  <c r="R550" i="7"/>
  <c r="CH47" i="6"/>
  <c r="T760" i="7"/>
  <c r="T556" i="7"/>
  <c r="T550" i="7"/>
  <c r="CT47" i="6"/>
  <c r="V760" i="7"/>
  <c r="V556" i="7"/>
  <c r="V550" i="7"/>
  <c r="DF47" i="6"/>
  <c r="X760" i="7"/>
  <c r="X556" i="7"/>
  <c r="X550" i="7"/>
  <c r="DR47" i="6"/>
  <c r="Z760" i="7"/>
  <c r="Z556" i="7"/>
  <c r="Z550" i="7"/>
  <c r="ED47" i="6"/>
  <c r="AB760" i="7"/>
  <c r="H45" i="6"/>
  <c r="T45" i="6"/>
  <c r="AF45" i="6"/>
  <c r="AR45" i="6"/>
  <c r="M761" i="7"/>
  <c r="M534" i="7"/>
  <c r="M528" i="7"/>
  <c r="BD45" i="6"/>
  <c r="O761" i="7"/>
  <c r="O534" i="7"/>
  <c r="O528" i="7"/>
  <c r="BP45" i="6"/>
  <c r="Q761" i="7"/>
  <c r="Q534" i="7"/>
  <c r="Q528" i="7"/>
  <c r="CB45" i="6"/>
  <c r="S761" i="7"/>
  <c r="S534" i="7"/>
  <c r="S528" i="7"/>
  <c r="CN45" i="6"/>
  <c r="U761" i="7"/>
  <c r="U534" i="7"/>
  <c r="U528" i="7"/>
  <c r="CZ45" i="6"/>
  <c r="W761" i="7"/>
  <c r="W534" i="7"/>
  <c r="W528" i="7"/>
  <c r="DL45" i="6"/>
  <c r="Y761" i="7"/>
  <c r="Y534" i="7"/>
  <c r="Y528" i="7"/>
  <c r="DX45" i="6"/>
  <c r="AA761" i="7"/>
  <c r="AA534" i="7"/>
  <c r="AA528" i="7"/>
  <c r="L606" i="7"/>
  <c r="M602" i="7"/>
  <c r="L607" i="7"/>
  <c r="N606" i="7"/>
  <c r="O602" i="7"/>
  <c r="N607" i="7"/>
  <c r="P606" i="7"/>
  <c r="Q602" i="7"/>
  <c r="P607" i="7"/>
  <c r="R606" i="7"/>
  <c r="S602" i="7"/>
  <c r="R607" i="7"/>
  <c r="T606" i="7"/>
  <c r="U602" i="7"/>
  <c r="T607" i="7"/>
  <c r="V606" i="7"/>
  <c r="W602" i="7"/>
  <c r="V607" i="7"/>
  <c r="X606" i="7"/>
  <c r="Y602" i="7"/>
  <c r="X607" i="7"/>
  <c r="C228" i="2"/>
  <c r="AT228" i="2" s="1"/>
  <c r="Z606" i="7"/>
  <c r="AA602" i="7"/>
  <c r="Z607" i="7"/>
  <c r="M678" i="7"/>
  <c r="O678" i="7"/>
  <c r="Q678" i="7"/>
  <c r="S678" i="7"/>
  <c r="U687" i="7"/>
  <c r="U678" i="7"/>
  <c r="W687" i="7"/>
  <c r="W678" i="7"/>
  <c r="Y687" i="7"/>
  <c r="Y678" i="7"/>
  <c r="AA687" i="7"/>
  <c r="AA678" i="7"/>
  <c r="L642" i="7"/>
  <c r="N642" i="7"/>
  <c r="P642" i="7"/>
  <c r="R642" i="7"/>
  <c r="T642" i="7"/>
  <c r="V642" i="7"/>
  <c r="M174" i="7"/>
  <c r="M170" i="7"/>
  <c r="O174" i="7"/>
  <c r="O170" i="7"/>
  <c r="Q174" i="7"/>
  <c r="Q170" i="7"/>
  <c r="S174" i="7"/>
  <c r="S170" i="7"/>
  <c r="U174" i="7"/>
  <c r="U170" i="7"/>
  <c r="W174" i="7"/>
  <c r="W170" i="7"/>
  <c r="Y174" i="7"/>
  <c r="Y170" i="7"/>
  <c r="D232" i="2"/>
  <c r="AU232" i="2" s="1"/>
  <c r="AA174" i="7"/>
  <c r="AA170" i="7"/>
  <c r="L8" i="6"/>
  <c r="X8" i="6"/>
  <c r="AJ8" i="6"/>
  <c r="L107" i="7"/>
  <c r="L98" i="7"/>
  <c r="L92" i="7"/>
  <c r="L89" i="7"/>
  <c r="AV8" i="6"/>
  <c r="N107" i="7"/>
  <c r="N98" i="7"/>
  <c r="N92" i="7"/>
  <c r="N89" i="7"/>
  <c r="BH8" i="6"/>
  <c r="P107" i="7"/>
  <c r="P98" i="7"/>
  <c r="P92" i="7"/>
  <c r="P89" i="7"/>
  <c r="BT8" i="6"/>
  <c r="R107" i="7"/>
  <c r="R98" i="7"/>
  <c r="R92" i="7"/>
  <c r="R89" i="7"/>
  <c r="CF8" i="6"/>
  <c r="T107" i="7"/>
  <c r="T98" i="7"/>
  <c r="T92" i="7"/>
  <c r="T89" i="7"/>
  <c r="CR8" i="6"/>
  <c r="V107" i="7"/>
  <c r="V98" i="7"/>
  <c r="V92" i="7"/>
  <c r="V89" i="7"/>
  <c r="DD8" i="6"/>
  <c r="X107" i="7"/>
  <c r="X98" i="7"/>
  <c r="X92" i="7"/>
  <c r="X89" i="7"/>
  <c r="DP8" i="6"/>
  <c r="Z107" i="7"/>
  <c r="Z98" i="7"/>
  <c r="Z92" i="7"/>
  <c r="Z89" i="7"/>
  <c r="F9" i="6"/>
  <c r="R9" i="6"/>
  <c r="AD9" i="6"/>
  <c r="AP9" i="6"/>
  <c r="M75" i="7"/>
  <c r="M27" i="7"/>
  <c r="M18" i="7"/>
  <c r="BB9" i="6"/>
  <c r="O75" i="7"/>
  <c r="O27" i="7"/>
  <c r="O18" i="7"/>
  <c r="BN9" i="6"/>
  <c r="Q75" i="7"/>
  <c r="Q27" i="7"/>
  <c r="Q18" i="7"/>
  <c r="BZ9" i="6"/>
  <c r="S75" i="7"/>
  <c r="S27" i="7"/>
  <c r="S18" i="7"/>
  <c r="CL9" i="6"/>
  <c r="U75" i="7"/>
  <c r="U27" i="7"/>
  <c r="U18" i="7"/>
  <c r="CX9" i="6"/>
  <c r="W75" i="7"/>
  <c r="W27" i="7"/>
  <c r="W18" i="7"/>
  <c r="DJ9" i="6"/>
  <c r="Y75" i="7"/>
  <c r="Y27" i="7"/>
  <c r="Y18" i="7"/>
  <c r="DV9" i="6"/>
  <c r="AA75" i="7"/>
  <c r="AA27" i="7"/>
  <c r="AA18" i="7"/>
  <c r="L10" i="6"/>
  <c r="X10" i="6"/>
  <c r="AJ10" i="6"/>
  <c r="L63" i="7"/>
  <c r="AV10" i="6"/>
  <c r="N63" i="7"/>
  <c r="BH10" i="6"/>
  <c r="P63" i="7"/>
  <c r="BT10" i="6"/>
  <c r="R63" i="7"/>
  <c r="R55" i="7"/>
  <c r="CF10" i="6"/>
  <c r="T63" i="7"/>
  <c r="T55" i="7"/>
  <c r="CR10" i="6"/>
  <c r="V63" i="7"/>
  <c r="V55" i="7"/>
  <c r="DD10" i="6"/>
  <c r="X63" i="7"/>
  <c r="X55" i="7"/>
  <c r="DP10" i="6"/>
  <c r="Z63" i="7"/>
  <c r="Z55" i="7"/>
  <c r="F13" i="6"/>
  <c r="E13" i="6" s="1"/>
  <c r="G234" i="8"/>
  <c r="G168" i="8"/>
  <c r="G260" i="7" s="1"/>
  <c r="G261" i="7" s="1"/>
  <c r="R13" i="6"/>
  <c r="Q13" i="6" s="1"/>
  <c r="I234" i="8"/>
  <c r="I226" i="8"/>
  <c r="I168" i="8"/>
  <c r="I260" i="7" s="1"/>
  <c r="AD13" i="6"/>
  <c r="AC13" i="6" s="1"/>
  <c r="K234" i="8"/>
  <c r="K226" i="8"/>
  <c r="K168" i="8"/>
  <c r="K260" i="7" s="1"/>
  <c r="AP13" i="6"/>
  <c r="AO13" i="6" s="1"/>
  <c r="M234" i="8"/>
  <c r="M226" i="8"/>
  <c r="M168" i="8"/>
  <c r="BB13" i="6"/>
  <c r="BA13" i="6" s="1"/>
  <c r="O234" i="8"/>
  <c r="O226" i="8"/>
  <c r="O168" i="8"/>
  <c r="BN13" i="6"/>
  <c r="BM13" i="6" s="1"/>
  <c r="Q234" i="8"/>
  <c r="Q226" i="8"/>
  <c r="Q168" i="8"/>
  <c r="BZ13" i="6"/>
  <c r="BY13" i="6" s="1"/>
  <c r="S234" i="8"/>
  <c r="S226" i="8"/>
  <c r="S168" i="8"/>
  <c r="CL13" i="6"/>
  <c r="CK13" i="6" s="1"/>
  <c r="U234" i="8"/>
  <c r="U226" i="8"/>
  <c r="U168" i="8"/>
  <c r="CX13" i="6"/>
  <c r="CW13" i="6" s="1"/>
  <c r="W234" i="8"/>
  <c r="W226" i="8"/>
  <c r="W168" i="8"/>
  <c r="DJ13" i="6"/>
  <c r="DI13" i="6" s="1"/>
  <c r="Y234" i="8"/>
  <c r="Y226" i="8"/>
  <c r="Y168" i="8"/>
  <c r="DV13" i="6"/>
  <c r="AA234" i="8"/>
  <c r="AA226" i="8"/>
  <c r="AA168" i="8"/>
  <c r="L14" i="6"/>
  <c r="H136" i="8"/>
  <c r="X14" i="6"/>
  <c r="J136" i="8"/>
  <c r="AJ14" i="6"/>
  <c r="L136" i="8"/>
  <c r="AV14" i="6"/>
  <c r="N136" i="8"/>
  <c r="BH14" i="6"/>
  <c r="P136" i="8"/>
  <c r="BT14" i="6"/>
  <c r="R136" i="8"/>
  <c r="CF14" i="6"/>
  <c r="T136" i="8"/>
  <c r="CR14" i="6"/>
  <c r="V136" i="8"/>
  <c r="DD14" i="6"/>
  <c r="X136" i="8"/>
  <c r="C188" i="2"/>
  <c r="AT188" i="2" s="1"/>
  <c r="DP14" i="6"/>
  <c r="Z136" i="8"/>
  <c r="F11" i="6"/>
  <c r="G229" i="8"/>
  <c r="G215" i="8"/>
  <c r="R11" i="6"/>
  <c r="I229" i="8"/>
  <c r="I221" i="8"/>
  <c r="I215" i="8"/>
  <c r="AD11" i="6"/>
  <c r="K229" i="8"/>
  <c r="K221" i="8"/>
  <c r="K215" i="8"/>
  <c r="AP11" i="6"/>
  <c r="M76" i="7"/>
  <c r="M229" i="8"/>
  <c r="M221" i="8"/>
  <c r="M215" i="8"/>
  <c r="BB11" i="6"/>
  <c r="O76" i="7"/>
  <c r="O229" i="8"/>
  <c r="O221" i="8"/>
  <c r="O215" i="8"/>
  <c r="BN11" i="6"/>
  <c r="Q76" i="7"/>
  <c r="Q229" i="8"/>
  <c r="Q221" i="8"/>
  <c r="Q215" i="8"/>
  <c r="BZ11" i="6"/>
  <c r="S76" i="7"/>
  <c r="S229" i="8"/>
  <c r="S221" i="8"/>
  <c r="S215" i="8"/>
  <c r="CL11" i="6"/>
  <c r="U76" i="7"/>
  <c r="U229" i="8"/>
  <c r="U221" i="8"/>
  <c r="U215" i="8"/>
  <c r="CX11" i="6"/>
  <c r="W76" i="7"/>
  <c r="W229" i="8"/>
  <c r="W221" i="8"/>
  <c r="W215" i="8"/>
  <c r="DJ11" i="6"/>
  <c r="Y76" i="7"/>
  <c r="Y229" i="8"/>
  <c r="Y221" i="8"/>
  <c r="Y215" i="8"/>
  <c r="DV11" i="6"/>
  <c r="AA76" i="7"/>
  <c r="AA229" i="8"/>
  <c r="AA221" i="8"/>
  <c r="AA215" i="8"/>
  <c r="L30" i="6"/>
  <c r="U207" i="7"/>
  <c r="X30" i="6"/>
  <c r="AJ30" i="6"/>
  <c r="L232" i="7"/>
  <c r="L221" i="7"/>
  <c r="L209" i="7"/>
  <c r="AV30" i="6"/>
  <c r="N232" i="7"/>
  <c r="N221" i="7"/>
  <c r="N209" i="7"/>
  <c r="BH30" i="6"/>
  <c r="P232" i="7"/>
  <c r="P221" i="7"/>
  <c r="P209" i="7"/>
  <c r="BT30" i="6"/>
  <c r="R232" i="7"/>
  <c r="R221" i="7"/>
  <c r="R209" i="7"/>
  <c r="CF30" i="6"/>
  <c r="T232" i="7"/>
  <c r="T221" i="7"/>
  <c r="T209" i="7"/>
  <c r="CR30" i="6"/>
  <c r="V232" i="7"/>
  <c r="V221" i="7"/>
  <c r="V209" i="7"/>
  <c r="DD30" i="6"/>
  <c r="X232" i="7"/>
  <c r="X221" i="7"/>
  <c r="X209" i="7"/>
  <c r="C192" i="2"/>
  <c r="AT192" i="2" s="1"/>
  <c r="DP30" i="6"/>
  <c r="Z232" i="7"/>
  <c r="Z221" i="7"/>
  <c r="Z209" i="7"/>
  <c r="F24" i="6"/>
  <c r="R24" i="6"/>
  <c r="AD24" i="6"/>
  <c r="AP24" i="6"/>
  <c r="M706" i="7"/>
  <c r="M282" i="7"/>
  <c r="M268" i="7"/>
  <c r="BB24" i="6"/>
  <c r="O706" i="7"/>
  <c r="O282" i="7"/>
  <c r="O268" i="7"/>
  <c r="BN24" i="6"/>
  <c r="Q706" i="7"/>
  <c r="Q282" i="7"/>
  <c r="Q268" i="7"/>
  <c r="BZ24" i="6"/>
  <c r="S706" i="7"/>
  <c r="S282" i="7"/>
  <c r="S268" i="7"/>
  <c r="CL24" i="6"/>
  <c r="U706" i="7"/>
  <c r="U282" i="7"/>
  <c r="U268" i="7"/>
  <c r="CX24" i="6"/>
  <c r="W706" i="7"/>
  <c r="W282" i="7"/>
  <c r="W268" i="7"/>
  <c r="DJ24" i="6"/>
  <c r="Y706" i="7"/>
  <c r="Y282" i="7"/>
  <c r="Y268" i="7"/>
  <c r="DV24" i="6"/>
  <c r="AA706" i="7"/>
  <c r="AA282" i="7"/>
  <c r="AA268" i="7"/>
  <c r="L27" i="6"/>
  <c r="X27" i="6"/>
  <c r="AJ27" i="6"/>
  <c r="L707" i="7"/>
  <c r="L317" i="7"/>
  <c r="L310" i="7"/>
  <c r="AV27" i="6"/>
  <c r="N707" i="7"/>
  <c r="N317" i="7"/>
  <c r="N310" i="7"/>
  <c r="BH27" i="6"/>
  <c r="BG27" i="6" s="1"/>
  <c r="P707" i="7"/>
  <c r="P317" i="7"/>
  <c r="P310" i="7"/>
  <c r="BT27" i="6"/>
  <c r="BS27" i="6" s="1"/>
  <c r="R707" i="7"/>
  <c r="R317" i="7"/>
  <c r="R310" i="7"/>
  <c r="CF27" i="6"/>
  <c r="CE27" i="6" s="1"/>
  <c r="T707" i="7"/>
  <c r="T317" i="7"/>
  <c r="T310" i="7"/>
  <c r="CR27" i="6"/>
  <c r="CQ27" i="6" s="1"/>
  <c r="V707" i="7"/>
  <c r="V317" i="7"/>
  <c r="V310" i="7"/>
  <c r="DD27" i="6"/>
  <c r="DC27" i="6" s="1"/>
  <c r="X707" i="7"/>
  <c r="X317" i="7"/>
  <c r="X310" i="7"/>
  <c r="DP27" i="6"/>
  <c r="DO27" i="6" s="1"/>
  <c r="Z707" i="7"/>
  <c r="Z317" i="7"/>
  <c r="Z310" i="7"/>
  <c r="F31" i="6"/>
  <c r="E31" i="6" s="1"/>
  <c r="R31" i="6"/>
  <c r="AD31" i="6"/>
  <c r="AP31" i="6"/>
  <c r="M712" i="7"/>
  <c r="M285" i="7"/>
  <c r="M271" i="7"/>
  <c r="BB31" i="6"/>
  <c r="O712" i="7"/>
  <c r="O285" i="7"/>
  <c r="O271" i="7"/>
  <c r="BN31" i="6"/>
  <c r="BM31" i="6" s="1"/>
  <c r="Q712" i="7"/>
  <c r="Q285" i="7"/>
  <c r="Q271" i="7"/>
  <c r="BZ31" i="6"/>
  <c r="BY31" i="6" s="1"/>
  <c r="S712" i="7"/>
  <c r="S285" i="7"/>
  <c r="S271" i="7"/>
  <c r="CL31" i="6"/>
  <c r="CK31" i="6" s="1"/>
  <c r="U712" i="7"/>
  <c r="U285" i="7"/>
  <c r="U271" i="7"/>
  <c r="CX31" i="6"/>
  <c r="CW31" i="6" s="1"/>
  <c r="W712" i="7"/>
  <c r="W285" i="7"/>
  <c r="W271" i="7"/>
  <c r="DJ31" i="6"/>
  <c r="DI31" i="6" s="1"/>
  <c r="Y712" i="7"/>
  <c r="Y285" i="7"/>
  <c r="Y271" i="7"/>
  <c r="DV31" i="6"/>
  <c r="DU31" i="6" s="1"/>
  <c r="AA712" i="7"/>
  <c r="AA285" i="7"/>
  <c r="AA271" i="7"/>
  <c r="L32" i="6"/>
  <c r="X32" i="6"/>
  <c r="AJ32" i="6"/>
  <c r="L713" i="7"/>
  <c r="L313" i="7"/>
  <c r="L306" i="7"/>
  <c r="AV32" i="6"/>
  <c r="N713" i="7"/>
  <c r="N313" i="7"/>
  <c r="N306" i="7"/>
  <c r="BH32" i="6"/>
  <c r="P713" i="7"/>
  <c r="P313" i="7"/>
  <c r="P306" i="7"/>
  <c r="BT32" i="6"/>
  <c r="R713" i="7"/>
  <c r="R313" i="7"/>
  <c r="R306" i="7"/>
  <c r="CF32" i="6"/>
  <c r="T713" i="7"/>
  <c r="T313" i="7"/>
  <c r="T306" i="7"/>
  <c r="CR32" i="6"/>
  <c r="V713" i="7"/>
  <c r="V313" i="7"/>
  <c r="V306" i="7"/>
  <c r="DD32" i="6"/>
  <c r="X713" i="7"/>
  <c r="X313" i="7"/>
  <c r="X306" i="7"/>
  <c r="DP32" i="6"/>
  <c r="Z713" i="7"/>
  <c r="Z313" i="7"/>
  <c r="Z306" i="7"/>
  <c r="F28" i="6"/>
  <c r="R28" i="6"/>
  <c r="AD28" i="6"/>
  <c r="AP28" i="6"/>
  <c r="M708" i="7"/>
  <c r="M343" i="7"/>
  <c r="M334" i="7"/>
  <c r="BB28" i="6"/>
  <c r="O708" i="7"/>
  <c r="O343" i="7"/>
  <c r="O334" i="7"/>
  <c r="BN28" i="6"/>
  <c r="Q708" i="7"/>
  <c r="Q343" i="7"/>
  <c r="Q334" i="7"/>
  <c r="BZ28" i="6"/>
  <c r="S708" i="7"/>
  <c r="S343" i="7"/>
  <c r="S334" i="7"/>
  <c r="CL28" i="6"/>
  <c r="U708" i="7"/>
  <c r="U343" i="7"/>
  <c r="U334" i="7"/>
  <c r="CX28" i="6"/>
  <c r="W708" i="7"/>
  <c r="W343" i="7"/>
  <c r="W334" i="7"/>
  <c r="DJ28" i="6"/>
  <c r="Y708" i="7"/>
  <c r="Y343" i="7"/>
  <c r="Y334" i="7"/>
  <c r="DV28" i="6"/>
  <c r="AA708" i="7"/>
  <c r="AA343" i="7"/>
  <c r="AA334" i="7"/>
  <c r="L33" i="6"/>
  <c r="X33" i="6"/>
  <c r="AJ33" i="6"/>
  <c r="L714" i="7"/>
  <c r="L342" i="7"/>
  <c r="L333" i="7"/>
  <c r="AV33" i="6"/>
  <c r="N714" i="7"/>
  <c r="N342" i="7"/>
  <c r="N333" i="7"/>
  <c r="BH33" i="6"/>
  <c r="P714" i="7"/>
  <c r="P342" i="7"/>
  <c r="P333" i="7"/>
  <c r="BT33" i="6"/>
  <c r="R714" i="7"/>
  <c r="R342" i="7"/>
  <c r="R333" i="7"/>
  <c r="CF33" i="6"/>
  <c r="T714" i="7"/>
  <c r="T342" i="7"/>
  <c r="T333" i="7"/>
  <c r="CR33" i="6"/>
  <c r="V714" i="7"/>
  <c r="V342" i="7"/>
  <c r="V333" i="7"/>
  <c r="DD33" i="6"/>
  <c r="X714" i="7"/>
  <c r="X342" i="7"/>
  <c r="X333" i="7"/>
  <c r="DP33" i="6"/>
  <c r="Z714" i="7"/>
  <c r="Z342" i="7"/>
  <c r="Z333" i="7"/>
  <c r="F35" i="6"/>
  <c r="R35" i="6"/>
  <c r="AD35" i="6"/>
  <c r="AP35" i="6"/>
  <c r="M408" i="7"/>
  <c r="M402" i="7"/>
  <c r="M399" i="7"/>
  <c r="BB35" i="6"/>
  <c r="O408" i="7"/>
  <c r="O402" i="7"/>
  <c r="O399" i="7"/>
  <c r="BN35" i="6"/>
  <c r="Q408" i="7"/>
  <c r="Q402" i="7"/>
  <c r="Q399" i="7"/>
  <c r="BZ35" i="6"/>
  <c r="S408" i="7"/>
  <c r="S402" i="7"/>
  <c r="S399" i="7"/>
  <c r="CL35" i="6"/>
  <c r="U408" i="7"/>
  <c r="U402" i="7"/>
  <c r="U399" i="7"/>
  <c r="CX35" i="6"/>
  <c r="W408" i="7"/>
  <c r="W402" i="7"/>
  <c r="W399" i="7"/>
  <c r="DJ35" i="6"/>
  <c r="Y408" i="7"/>
  <c r="Y402" i="7"/>
  <c r="Y399" i="7"/>
  <c r="DV35" i="6"/>
  <c r="AA408" i="7"/>
  <c r="AA402" i="7"/>
  <c r="AA399" i="7"/>
  <c r="L45" i="6"/>
  <c r="X45" i="6"/>
  <c r="AJ45" i="6"/>
  <c r="L724" i="7"/>
  <c r="L523" i="7"/>
  <c r="L532" i="7"/>
  <c r="L526" i="7"/>
  <c r="AV45" i="6"/>
  <c r="N724" i="7"/>
  <c r="N523" i="7"/>
  <c r="N532" i="7"/>
  <c r="N526" i="7"/>
  <c r="BH45" i="6"/>
  <c r="P724" i="7"/>
  <c r="P523" i="7"/>
  <c r="P532" i="7"/>
  <c r="P526" i="7"/>
  <c r="BT45" i="6"/>
  <c r="R724" i="7"/>
  <c r="R523" i="7"/>
  <c r="R532" i="7"/>
  <c r="R526" i="7"/>
  <c r="CF45" i="6"/>
  <c r="T724" i="7"/>
  <c r="T522" i="7"/>
  <c r="T523" i="7" s="1"/>
  <c r="T532" i="7"/>
  <c r="T526" i="7"/>
  <c r="CR45" i="6"/>
  <c r="V724" i="7"/>
  <c r="V522" i="7"/>
  <c r="V523" i="7" s="1"/>
  <c r="V532" i="7"/>
  <c r="V526" i="7"/>
  <c r="DD45" i="6"/>
  <c r="X724" i="7"/>
  <c r="X522" i="7"/>
  <c r="X523" i="7" s="1"/>
  <c r="X532" i="7"/>
  <c r="X526" i="7"/>
  <c r="DP45" i="6"/>
  <c r="Z724" i="7"/>
  <c r="Z522" i="7"/>
  <c r="Z523" i="7" s="1"/>
  <c r="Z532" i="7"/>
  <c r="Z526" i="7"/>
  <c r="G37" i="8"/>
  <c r="G35" i="8"/>
  <c r="G78" i="8" s="1"/>
  <c r="I64" i="8"/>
  <c r="I53" i="8"/>
  <c r="I37" i="8"/>
  <c r="I35" i="8"/>
  <c r="K64" i="8"/>
  <c r="K53" i="8"/>
  <c r="K37" i="8"/>
  <c r="K35" i="8"/>
  <c r="M64" i="8"/>
  <c r="M53" i="8"/>
  <c r="M37" i="8"/>
  <c r="M35" i="8"/>
  <c r="O64" i="8"/>
  <c r="O53" i="8"/>
  <c r="O37" i="8"/>
  <c r="O35" i="8"/>
  <c r="Q64" i="8"/>
  <c r="Q53" i="8"/>
  <c r="Q37" i="8"/>
  <c r="Q35" i="8"/>
  <c r="S64" i="8"/>
  <c r="S53" i="8"/>
  <c r="S37" i="8"/>
  <c r="S35" i="8"/>
  <c r="U64" i="8"/>
  <c r="U53" i="8"/>
  <c r="U37" i="8"/>
  <c r="U35" i="8"/>
  <c r="W64" i="8"/>
  <c r="W53" i="8"/>
  <c r="W37" i="8"/>
  <c r="W35" i="8"/>
  <c r="Y64" i="8"/>
  <c r="Y53" i="8"/>
  <c r="Y37" i="8"/>
  <c r="Y35" i="8"/>
  <c r="D179" i="2"/>
  <c r="AU179" i="2" s="1"/>
  <c r="AA64" i="8"/>
  <c r="AA53" i="8"/>
  <c r="AA37" i="8"/>
  <c r="AA35" i="8"/>
  <c r="H41" i="8"/>
  <c r="J41" i="8"/>
  <c r="L41" i="8"/>
  <c r="N41" i="8"/>
  <c r="P41" i="8"/>
  <c r="R41" i="8"/>
  <c r="I93" i="8"/>
  <c r="K93" i="8"/>
  <c r="M93" i="8"/>
  <c r="O93" i="8"/>
  <c r="Q93" i="8"/>
  <c r="S93" i="8"/>
  <c r="U93" i="8"/>
  <c r="W93" i="8"/>
  <c r="Y93" i="8"/>
  <c r="D185" i="2"/>
  <c r="AU185" i="2" s="1"/>
  <c r="AA93" i="8"/>
  <c r="H114" i="8"/>
  <c r="H133" i="8"/>
  <c r="J114" i="8"/>
  <c r="J133" i="8"/>
  <c r="L114" i="8"/>
  <c r="L133" i="8"/>
  <c r="N114" i="8"/>
  <c r="N133" i="8"/>
  <c r="P114" i="8"/>
  <c r="P133" i="8"/>
  <c r="R114" i="8"/>
  <c r="R133" i="8"/>
  <c r="T114" i="8"/>
  <c r="T133" i="8"/>
  <c r="V114" i="8"/>
  <c r="V133" i="8"/>
  <c r="X114" i="8"/>
  <c r="X133" i="8"/>
  <c r="C162" i="2"/>
  <c r="AT162" i="2" s="1"/>
  <c r="Z114" i="8"/>
  <c r="Z133" i="8"/>
  <c r="Q692" i="7"/>
  <c r="BQ16" i="6"/>
  <c r="BQ65" i="6" s="1"/>
  <c r="Q770" i="7"/>
  <c r="Q30" i="7"/>
  <c r="Q21" i="7"/>
  <c r="S692" i="7"/>
  <c r="CC16" i="6"/>
  <c r="CC65" i="6" s="1"/>
  <c r="S770" i="7"/>
  <c r="S30" i="7"/>
  <c r="S21" i="7"/>
  <c r="U692" i="7"/>
  <c r="CO16" i="6"/>
  <c r="U770" i="7"/>
  <c r="U30" i="7"/>
  <c r="U21" i="7"/>
  <c r="W692" i="7"/>
  <c r="DA16" i="6"/>
  <c r="W770" i="7"/>
  <c r="W30" i="7"/>
  <c r="W21" i="7"/>
  <c r="Y692" i="7"/>
  <c r="DM16" i="6"/>
  <c r="Y770" i="7"/>
  <c r="Y30" i="7"/>
  <c r="D231" i="2"/>
  <c r="AU231" i="2" s="1"/>
  <c r="AA692" i="7"/>
  <c r="DY16" i="6"/>
  <c r="AA770" i="7"/>
  <c r="AA30" i="7"/>
  <c r="O17" i="6"/>
  <c r="AA17" i="6"/>
  <c r="L769" i="7"/>
  <c r="AM17" i="6"/>
  <c r="L66" i="7"/>
  <c r="L58" i="7"/>
  <c r="N769" i="7"/>
  <c r="AY17" i="6"/>
  <c r="N66" i="7"/>
  <c r="N58" i="7"/>
  <c r="P769" i="7"/>
  <c r="BK17" i="6"/>
  <c r="P66" i="7"/>
  <c r="P58" i="7"/>
  <c r="R769" i="7"/>
  <c r="BW17" i="6"/>
  <c r="R66" i="7"/>
  <c r="R58" i="7"/>
  <c r="T769" i="7"/>
  <c r="CI17" i="6"/>
  <c r="T66" i="7"/>
  <c r="T58" i="7"/>
  <c r="V769" i="7"/>
  <c r="CU17" i="6"/>
  <c r="V66" i="7"/>
  <c r="V58" i="7"/>
  <c r="X769" i="7"/>
  <c r="DG17" i="6"/>
  <c r="X66" i="7"/>
  <c r="X58" i="7"/>
  <c r="C233" i="2"/>
  <c r="AT233" i="2" s="1"/>
  <c r="Z769" i="7"/>
  <c r="DS17" i="6"/>
  <c r="Z66" i="7"/>
  <c r="Z58" i="7"/>
  <c r="I18" i="6"/>
  <c r="U18" i="6"/>
  <c r="AG18" i="6"/>
  <c r="AS18" i="6"/>
  <c r="M771" i="7"/>
  <c r="M159" i="7"/>
  <c r="M151" i="7"/>
  <c r="E16" i="21"/>
  <c r="BE18" i="6"/>
  <c r="O771" i="7"/>
  <c r="O159" i="7"/>
  <c r="O151" i="7"/>
  <c r="G16" i="21"/>
  <c r="BQ18" i="6"/>
  <c r="Q771" i="7"/>
  <c r="Q159" i="7"/>
  <c r="Q151" i="7"/>
  <c r="I16" i="21"/>
  <c r="CC18" i="6"/>
  <c r="S771" i="7"/>
  <c r="S159" i="7"/>
  <c r="S151" i="7"/>
  <c r="K16" i="21"/>
  <c r="CO18" i="6"/>
  <c r="U771" i="7"/>
  <c r="U159" i="7"/>
  <c r="U151" i="7"/>
  <c r="M16" i="21"/>
  <c r="DA18" i="6"/>
  <c r="W771" i="7"/>
  <c r="W159" i="7"/>
  <c r="W151" i="7"/>
  <c r="O16" i="21"/>
  <c r="DM18" i="6"/>
  <c r="Y771" i="7"/>
  <c r="Y159" i="7"/>
  <c r="Y151" i="7"/>
  <c r="Q16" i="21"/>
  <c r="Q62" i="21" s="1"/>
  <c r="DY18" i="6"/>
  <c r="AA771" i="7"/>
  <c r="AA159" i="7"/>
  <c r="AA151" i="7"/>
  <c r="S16" i="21"/>
  <c r="S62" i="21" s="1"/>
  <c r="O40" i="6"/>
  <c r="AA40" i="6"/>
  <c r="AM40" i="6"/>
  <c r="L787" i="7"/>
  <c r="L513" i="7"/>
  <c r="L502" i="7"/>
  <c r="D20" i="21"/>
  <c r="AY40" i="6"/>
  <c r="N787" i="7"/>
  <c r="N513" i="7"/>
  <c r="N502" i="7"/>
  <c r="F20" i="21"/>
  <c r="BK40" i="6"/>
  <c r="P787" i="7"/>
  <c r="P513" i="7"/>
  <c r="P502" i="7"/>
  <c r="H20" i="21"/>
  <c r="BW40" i="6"/>
  <c r="R787" i="7"/>
  <c r="R513" i="7"/>
  <c r="R502" i="7"/>
  <c r="J20" i="21"/>
  <c r="CI40" i="6"/>
  <c r="T787" i="7"/>
  <c r="T513" i="7"/>
  <c r="T502" i="7"/>
  <c r="L20" i="21"/>
  <c r="CU40" i="6"/>
  <c r="V787" i="7"/>
  <c r="V513" i="7"/>
  <c r="V502" i="7"/>
  <c r="N20" i="21"/>
  <c r="I45" i="6"/>
  <c r="U45" i="6"/>
  <c r="U94" i="6" s="1"/>
  <c r="AG45" i="6"/>
  <c r="AG94" i="6" s="1"/>
  <c r="AS45" i="6"/>
  <c r="AS94" i="6" s="1"/>
  <c r="M788" i="7"/>
  <c r="M535" i="7"/>
  <c r="M529" i="7"/>
  <c r="BE45" i="6"/>
  <c r="BE94" i="6" s="1"/>
  <c r="O788" i="7"/>
  <c r="O535" i="7"/>
  <c r="O529" i="7"/>
  <c r="BQ45" i="6"/>
  <c r="BQ94" i="6" s="1"/>
  <c r="Q788" i="7"/>
  <c r="Q535" i="7"/>
  <c r="Q529" i="7"/>
  <c r="CC45" i="6"/>
  <c r="CC94" i="6" s="1"/>
  <c r="S788" i="7"/>
  <c r="S535" i="7"/>
  <c r="S529" i="7"/>
  <c r="H325" i="12"/>
  <c r="H322" i="12"/>
  <c r="J325" i="12"/>
  <c r="J322" i="12"/>
  <c r="L325" i="12"/>
  <c r="L322" i="12"/>
  <c r="N325" i="12"/>
  <c r="N322" i="12"/>
  <c r="P325" i="12"/>
  <c r="P322" i="12"/>
  <c r="R325" i="12"/>
  <c r="R322" i="12"/>
  <c r="T325" i="12"/>
  <c r="T322" i="12"/>
  <c r="V325" i="12"/>
  <c r="V322" i="12"/>
  <c r="X325" i="12"/>
  <c r="X322" i="12"/>
  <c r="C250" i="2"/>
  <c r="Z325" i="12"/>
  <c r="Z322" i="12"/>
  <c r="I326" i="12"/>
  <c r="K326" i="12"/>
  <c r="M326" i="12"/>
  <c r="O326" i="12"/>
  <c r="Q326" i="12"/>
  <c r="S326" i="12"/>
  <c r="U326" i="12"/>
  <c r="W326" i="12"/>
  <c r="Y326" i="12"/>
  <c r="AA326" i="12"/>
  <c r="H367" i="12"/>
  <c r="J367" i="12"/>
  <c r="L367" i="12"/>
  <c r="N367" i="12"/>
  <c r="P367" i="12"/>
  <c r="R367" i="12"/>
  <c r="T367" i="12"/>
  <c r="V367" i="12"/>
  <c r="X367" i="12"/>
  <c r="C155" i="2"/>
  <c r="AT155" i="2" s="1"/>
  <c r="Z367" i="12"/>
  <c r="I368" i="12"/>
  <c r="K368" i="12"/>
  <c r="M368" i="12"/>
  <c r="O368" i="12"/>
  <c r="Q368" i="12"/>
  <c r="S368" i="12"/>
  <c r="U368" i="12"/>
  <c r="W368" i="12"/>
  <c r="Y368" i="12"/>
  <c r="D154" i="2"/>
  <c r="AU154" i="2" s="1"/>
  <c r="AA368" i="12"/>
  <c r="H349" i="12"/>
  <c r="J349" i="12"/>
  <c r="L349" i="12"/>
  <c r="N349" i="12"/>
  <c r="P349" i="12"/>
  <c r="R349" i="12"/>
  <c r="T349" i="12"/>
  <c r="V349" i="12"/>
  <c r="X349" i="12"/>
  <c r="C236" i="2"/>
  <c r="AT236" i="2" s="1"/>
  <c r="Z349" i="12"/>
  <c r="BD285" i="17"/>
  <c r="BD287" i="17" s="1"/>
  <c r="P620" i="7"/>
  <c r="P621" i="7" s="1"/>
  <c r="R620" i="7"/>
  <c r="R621" i="7" s="1"/>
  <c r="H48" i="8"/>
  <c r="H59" i="8"/>
  <c r="J48" i="8"/>
  <c r="J59" i="8"/>
  <c r="L48" i="8"/>
  <c r="L59" i="8"/>
  <c r="N48" i="8"/>
  <c r="N59" i="8"/>
  <c r="P48" i="8"/>
  <c r="P59" i="8"/>
  <c r="R48" i="8"/>
  <c r="R59" i="8"/>
  <c r="T48" i="8"/>
  <c r="T59" i="8"/>
  <c r="V48" i="8"/>
  <c r="V59" i="8"/>
  <c r="X48" i="8"/>
  <c r="X59" i="8"/>
  <c r="Z48" i="8"/>
  <c r="Z59" i="8"/>
  <c r="G113" i="8"/>
  <c r="I113" i="8"/>
  <c r="K113" i="8"/>
  <c r="M113" i="8"/>
  <c r="O113" i="8"/>
  <c r="Q113" i="8"/>
  <c r="S113" i="8"/>
  <c r="U113" i="8"/>
  <c r="W113" i="8"/>
  <c r="Y113" i="8"/>
  <c r="AA113" i="8"/>
  <c r="AB120" i="8" s="1"/>
  <c r="U280" i="1"/>
  <c r="W280" i="1"/>
  <c r="Y280" i="1"/>
  <c r="G101" i="17"/>
  <c r="J23" i="17"/>
  <c r="I27" i="17"/>
  <c r="I6" i="17" s="1"/>
  <c r="I101" i="17"/>
  <c r="K27" i="17"/>
  <c r="N23" i="17"/>
  <c r="O33" i="17" s="1"/>
  <c r="K101" i="17"/>
  <c r="K32" i="17"/>
  <c r="M27" i="17"/>
  <c r="M101" i="17"/>
  <c r="M34" i="17"/>
  <c r="M32" i="17"/>
  <c r="O27" i="17"/>
  <c r="O101" i="17"/>
  <c r="O32" i="17"/>
  <c r="R23" i="17"/>
  <c r="T33" i="17" s="1"/>
  <c r="Q34" i="17"/>
  <c r="Q27" i="17"/>
  <c r="Q101" i="17"/>
  <c r="Q32" i="17"/>
  <c r="S27" i="17"/>
  <c r="V23" i="17"/>
  <c r="W33" i="17" s="1"/>
  <c r="S101" i="17"/>
  <c r="S32" i="17"/>
  <c r="U27" i="17"/>
  <c r="U101" i="17"/>
  <c r="U34" i="17"/>
  <c r="U32" i="17"/>
  <c r="W27" i="17"/>
  <c r="W101" i="17"/>
  <c r="W32" i="17"/>
  <c r="Z23" i="17"/>
  <c r="AB33" i="17" s="1"/>
  <c r="Y34" i="17"/>
  <c r="Y27" i="17"/>
  <c r="Y101" i="17"/>
  <c r="Y32" i="17"/>
  <c r="AA27" i="17"/>
  <c r="AD23" i="17"/>
  <c r="AE33" i="17" s="1"/>
  <c r="AA101" i="17"/>
  <c r="AA32" i="17"/>
  <c r="AC27" i="17"/>
  <c r="AC101" i="17"/>
  <c r="AC34" i="17"/>
  <c r="AC32" i="17"/>
  <c r="AE27" i="17"/>
  <c r="AE101" i="17"/>
  <c r="AE32" i="17"/>
  <c r="AH23" i="17"/>
  <c r="AJ33" i="17" s="1"/>
  <c r="AG34" i="17"/>
  <c r="AG27" i="17"/>
  <c r="AG101" i="17"/>
  <c r="AG32" i="17"/>
  <c r="AI27" i="17"/>
  <c r="AL23" i="17"/>
  <c r="AM33" i="17" s="1"/>
  <c r="AI101" i="17"/>
  <c r="AI32" i="17"/>
  <c r="AK27" i="17"/>
  <c r="AK101" i="17"/>
  <c r="AK34" i="17"/>
  <c r="AK32" i="17"/>
  <c r="AM27" i="17"/>
  <c r="AM101" i="17"/>
  <c r="AM32" i="17"/>
  <c r="AP23" i="17"/>
  <c r="AR33" i="17" s="1"/>
  <c r="AO34" i="17"/>
  <c r="AO27" i="17"/>
  <c r="AO101" i="17"/>
  <c r="AO32" i="17"/>
  <c r="AQ27" i="17"/>
  <c r="AT23" i="17"/>
  <c r="AU33" i="17" s="1"/>
  <c r="AQ101" i="17"/>
  <c r="AQ32" i="17"/>
  <c r="AS27" i="17"/>
  <c r="AS101" i="17"/>
  <c r="AS34" i="17"/>
  <c r="AS32" i="17"/>
  <c r="AU27" i="17"/>
  <c r="AU101" i="17"/>
  <c r="AU32" i="17"/>
  <c r="AX23" i="17"/>
  <c r="AZ33" i="17" s="1"/>
  <c r="AW34" i="17"/>
  <c r="AW27" i="17"/>
  <c r="AW101" i="17"/>
  <c r="AW32" i="17"/>
  <c r="AY27" i="17"/>
  <c r="BB23" i="17"/>
  <c r="BC33" i="17" s="1"/>
  <c r="AY101" i="17"/>
  <c r="AY32" i="17"/>
  <c r="BA27" i="17"/>
  <c r="BA101" i="17"/>
  <c r="BA34" i="17"/>
  <c r="BA32" i="17"/>
  <c r="BC27" i="17"/>
  <c r="BC101" i="17"/>
  <c r="BC32" i="17"/>
  <c r="BF23" i="17"/>
  <c r="BH33" i="17" s="1"/>
  <c r="BE34" i="17"/>
  <c r="BE27" i="17"/>
  <c r="BE101" i="17"/>
  <c r="BE32" i="17"/>
  <c r="BG27" i="17"/>
  <c r="BJ23" i="17"/>
  <c r="BK33" i="17" s="1"/>
  <c r="BG101" i="17"/>
  <c r="BG32" i="17"/>
  <c r="BI27" i="17"/>
  <c r="BI101" i="17"/>
  <c r="BI34" i="17"/>
  <c r="BI32" i="17"/>
  <c r="BK27" i="17"/>
  <c r="BK101" i="17"/>
  <c r="BK32" i="17"/>
  <c r="BN23" i="17"/>
  <c r="BP33" i="17" s="1"/>
  <c r="BM34" i="17"/>
  <c r="BM27" i="17"/>
  <c r="BM101" i="17"/>
  <c r="BM32" i="17"/>
  <c r="BO27" i="17"/>
  <c r="BR23" i="17"/>
  <c r="BS33" i="17" s="1"/>
  <c r="BO101" i="17"/>
  <c r="BO32" i="17"/>
  <c r="BQ27" i="17"/>
  <c r="BQ101" i="17"/>
  <c r="BQ34" i="17"/>
  <c r="BQ32" i="17"/>
  <c r="BS27" i="17"/>
  <c r="BS101" i="17"/>
  <c r="BS32" i="17"/>
  <c r="BV23" i="17"/>
  <c r="BX33" i="17" s="1"/>
  <c r="BU34" i="17"/>
  <c r="BU27" i="17"/>
  <c r="BU101" i="17"/>
  <c r="BU32" i="17"/>
  <c r="BW27" i="17"/>
  <c r="BZ23" i="17"/>
  <c r="CA33" i="17" s="1"/>
  <c r="BW101" i="17"/>
  <c r="BW32" i="17"/>
  <c r="BY27" i="17"/>
  <c r="BY101" i="17"/>
  <c r="BY34" i="17"/>
  <c r="BY32" i="17"/>
  <c r="CA27" i="17"/>
  <c r="CA101" i="17"/>
  <c r="CA32" i="17"/>
  <c r="CD23" i="17"/>
  <c r="CF33" i="17" s="1"/>
  <c r="CC34" i="17"/>
  <c r="CC27" i="17"/>
  <c r="CC101" i="17"/>
  <c r="CC32" i="17"/>
  <c r="CE27" i="17"/>
  <c r="CH23" i="17"/>
  <c r="CI33" i="17" s="1"/>
  <c r="CE101" i="17"/>
  <c r="CE32" i="17"/>
  <c r="CG27" i="17"/>
  <c r="CG101" i="17"/>
  <c r="CG34" i="17"/>
  <c r="CG32" i="17"/>
  <c r="CI27" i="17"/>
  <c r="CI101" i="17"/>
  <c r="CI32" i="17"/>
  <c r="CL23" i="17"/>
  <c r="CN33" i="17" s="1"/>
  <c r="CK34" i="17"/>
  <c r="CK27" i="17"/>
  <c r="CK101" i="17"/>
  <c r="CK32" i="17"/>
  <c r="CM27" i="17"/>
  <c r="CM101" i="17"/>
  <c r="CM32" i="17"/>
  <c r="CO27" i="17"/>
  <c r="CO101" i="17"/>
  <c r="CO34" i="17"/>
  <c r="CO32" i="17"/>
  <c r="CO25" i="17"/>
  <c r="G102" i="17"/>
  <c r="J42" i="17"/>
  <c r="K52" i="17" s="1"/>
  <c r="I102" i="17"/>
  <c r="I46" i="17"/>
  <c r="I7" i="17" s="1"/>
  <c r="K102" i="17"/>
  <c r="K46" i="17"/>
  <c r="K51" i="17"/>
  <c r="N42" i="17"/>
  <c r="O52" i="17" s="1"/>
  <c r="M102" i="17"/>
  <c r="M46" i="17"/>
  <c r="M53" i="17"/>
  <c r="M51" i="17"/>
  <c r="O102" i="17"/>
  <c r="O46" i="17"/>
  <c r="R42" i="17"/>
  <c r="T52" i="17" s="1"/>
  <c r="O51" i="17"/>
  <c r="Q102" i="17"/>
  <c r="Q53" i="17"/>
  <c r="Q46" i="17"/>
  <c r="Q51" i="17"/>
  <c r="S102" i="17"/>
  <c r="S46" i="17"/>
  <c r="S51" i="17"/>
  <c r="V42" i="17"/>
  <c r="U102" i="17"/>
  <c r="U46" i="17"/>
  <c r="U53" i="17"/>
  <c r="U51" i="17"/>
  <c r="W102" i="17"/>
  <c r="W46" i="17"/>
  <c r="Z42" i="17"/>
  <c r="AB52" i="17" s="1"/>
  <c r="W51" i="17"/>
  <c r="Y102" i="17"/>
  <c r="Y53" i="17"/>
  <c r="Y46" i="17"/>
  <c r="Y51" i="17"/>
  <c r="AA102" i="17"/>
  <c r="AA46" i="17"/>
  <c r="AC52" i="17"/>
  <c r="AA51" i="17"/>
  <c r="AD42" i="17"/>
  <c r="AE52" i="17" s="1"/>
  <c r="AC102" i="17"/>
  <c r="AC46" i="17"/>
  <c r="AC53" i="17"/>
  <c r="AC51" i="17"/>
  <c r="AE102" i="17"/>
  <c r="AE46" i="17"/>
  <c r="AH42" i="17"/>
  <c r="AJ52" i="17" s="1"/>
  <c r="AE51" i="17"/>
  <c r="AG102" i="17"/>
  <c r="AG53" i="17"/>
  <c r="AG46" i="17"/>
  <c r="AG51" i="17"/>
  <c r="AI102" i="17"/>
  <c r="AI46" i="17"/>
  <c r="AI51" i="17"/>
  <c r="AL42" i="17"/>
  <c r="AM52" i="17" s="1"/>
  <c r="AK102" i="17"/>
  <c r="AK46" i="17"/>
  <c r="AK53" i="17"/>
  <c r="AK51" i="17"/>
  <c r="AM102" i="17"/>
  <c r="AM46" i="17"/>
  <c r="AP42" i="17"/>
  <c r="AS52" i="17" s="1"/>
  <c r="AN52" i="17"/>
  <c r="AM51" i="17"/>
  <c r="AO102" i="17"/>
  <c r="AO53" i="17"/>
  <c r="AO46" i="17"/>
  <c r="AO51" i="17"/>
  <c r="AQ102" i="17"/>
  <c r="AQ46" i="17"/>
  <c r="AQ51" i="17"/>
  <c r="AT42" i="17"/>
  <c r="AU52" i="17" s="1"/>
  <c r="AS102" i="17"/>
  <c r="AS46" i="17"/>
  <c r="AS53" i="17"/>
  <c r="AS51" i="17"/>
  <c r="AU102" i="17"/>
  <c r="AU46" i="17"/>
  <c r="AX42" i="17"/>
  <c r="AZ52" i="17" s="1"/>
  <c r="AU51" i="17"/>
  <c r="AW102" i="17"/>
  <c r="AW53" i="17"/>
  <c r="AW46" i="17"/>
  <c r="AW51" i="17"/>
  <c r="AY102" i="17"/>
  <c r="AY46" i="17"/>
  <c r="AY51" i="17"/>
  <c r="BB42" i="17"/>
  <c r="BA102" i="17"/>
  <c r="BA46" i="17"/>
  <c r="BA53" i="17"/>
  <c r="BA51" i="17"/>
  <c r="BC102" i="17"/>
  <c r="BC46" i="17"/>
  <c r="BF42" i="17"/>
  <c r="BH52" i="17" s="1"/>
  <c r="BC51" i="17"/>
  <c r="BE102" i="17"/>
  <c r="BE53" i="17"/>
  <c r="BE46" i="17"/>
  <c r="BE51" i="17"/>
  <c r="BG102" i="17"/>
  <c r="BG46" i="17"/>
  <c r="BG51" i="17"/>
  <c r="BJ42" i="17"/>
  <c r="BI102" i="17"/>
  <c r="BI46" i="17"/>
  <c r="BI53" i="17"/>
  <c r="BI51" i="17"/>
  <c r="BK102" i="17"/>
  <c r="BK46" i="17"/>
  <c r="BN42" i="17"/>
  <c r="BK51" i="17"/>
  <c r="BM102" i="17"/>
  <c r="BM53" i="17"/>
  <c r="BM46" i="17"/>
  <c r="BM51" i="17"/>
  <c r="BO102" i="17"/>
  <c r="BO46" i="17"/>
  <c r="BO51" i="17"/>
  <c r="BR42" i="17"/>
  <c r="BQ102" i="17"/>
  <c r="BQ46" i="17"/>
  <c r="BQ53" i="17"/>
  <c r="BQ51" i="17"/>
  <c r="BS102" i="17"/>
  <c r="BS46" i="17"/>
  <c r="BV42" i="17"/>
  <c r="BX52" i="17" s="1"/>
  <c r="BS51" i="17"/>
  <c r="BU102" i="17"/>
  <c r="BU53" i="17"/>
  <c r="BU46" i="17"/>
  <c r="BU51" i="17"/>
  <c r="BW102" i="17"/>
  <c r="BW46" i="17"/>
  <c r="BW51" i="17"/>
  <c r="BZ42" i="17"/>
  <c r="CA52" i="17" s="1"/>
  <c r="BY102" i="17"/>
  <c r="BY46" i="17"/>
  <c r="BY53" i="17"/>
  <c r="BY51" i="17"/>
  <c r="CA102" i="17"/>
  <c r="CA46" i="17"/>
  <c r="CD42" i="17"/>
  <c r="CF52" i="17" s="1"/>
  <c r="CA51" i="17"/>
  <c r="CC102" i="17"/>
  <c r="CC53" i="17"/>
  <c r="CC46" i="17"/>
  <c r="CC51" i="17"/>
  <c r="CE102" i="17"/>
  <c r="CE46" i="17"/>
  <c r="CE51" i="17"/>
  <c r="CH42" i="17"/>
  <c r="CI52" i="17" s="1"/>
  <c r="CG102" i="17"/>
  <c r="CG46" i="17"/>
  <c r="CG53" i="17"/>
  <c r="CG51" i="17"/>
  <c r="CI102" i="17"/>
  <c r="CI46" i="17"/>
  <c r="CL42" i="17"/>
  <c r="CN52" i="17" s="1"/>
  <c r="CI51" i="17"/>
  <c r="CK102" i="17"/>
  <c r="CK53" i="17"/>
  <c r="CK46" i="17"/>
  <c r="CK51" i="17"/>
  <c r="CM102" i="17"/>
  <c r="CM46" i="17"/>
  <c r="CM51" i="17"/>
  <c r="CP42" i="17"/>
  <c r="CO102" i="17"/>
  <c r="CO46" i="17"/>
  <c r="CO53" i="17"/>
  <c r="CO51" i="17"/>
  <c r="G71" i="17"/>
  <c r="G70" i="17"/>
  <c r="I71" i="17"/>
  <c r="I70" i="17"/>
  <c r="K71" i="17"/>
  <c r="K70" i="17"/>
  <c r="M71" i="17"/>
  <c r="M70" i="17"/>
  <c r="O71" i="17"/>
  <c r="O70" i="17"/>
  <c r="Q71" i="17"/>
  <c r="Q70" i="17"/>
  <c r="S71" i="17"/>
  <c r="S70" i="17"/>
  <c r="U71" i="17"/>
  <c r="U70" i="17"/>
  <c r="W71" i="17"/>
  <c r="W70" i="17"/>
  <c r="Y71" i="17"/>
  <c r="Y70" i="17"/>
  <c r="AA71" i="17"/>
  <c r="AA70" i="17"/>
  <c r="AC71" i="17"/>
  <c r="AC70" i="17"/>
  <c r="AE71" i="17"/>
  <c r="AE70" i="17"/>
  <c r="AG71" i="17"/>
  <c r="AG70" i="17"/>
  <c r="AI71" i="17"/>
  <c r="AI70" i="17"/>
  <c r="AK71" i="17"/>
  <c r="AK70" i="17"/>
  <c r="AM71" i="17"/>
  <c r="AM70" i="17"/>
  <c r="AO71" i="17"/>
  <c r="AO70" i="17"/>
  <c r="AQ71" i="17"/>
  <c r="AQ70" i="17"/>
  <c r="AS71" i="17"/>
  <c r="AS70" i="17"/>
  <c r="AU71" i="17"/>
  <c r="AU70" i="17"/>
  <c r="AW71" i="17"/>
  <c r="AW70" i="17"/>
  <c r="AY71" i="17"/>
  <c r="AY70" i="17"/>
  <c r="BA71" i="17"/>
  <c r="BA70" i="17"/>
  <c r="BC71" i="17"/>
  <c r="BC70" i="17"/>
  <c r="BE71" i="17"/>
  <c r="BE70" i="17"/>
  <c r="BG71" i="17"/>
  <c r="BK92" i="17" s="1"/>
  <c r="BG70" i="17"/>
  <c r="BI71" i="17"/>
  <c r="BM92" i="17" s="1"/>
  <c r="BI70" i="17"/>
  <c r="BN72" i="17"/>
  <c r="BQ93" i="17" s="1"/>
  <c r="BM94" i="17"/>
  <c r="BM87" i="17"/>
  <c r="BO87" i="17"/>
  <c r="BR72" i="17"/>
  <c r="BS93" i="17" s="1"/>
  <c r="BO92" i="17"/>
  <c r="BQ87" i="17"/>
  <c r="BQ94" i="17"/>
  <c r="BQ92" i="17"/>
  <c r="BS87" i="17"/>
  <c r="BS92" i="17"/>
  <c r="BV72" i="17"/>
  <c r="BX93" i="17" s="1"/>
  <c r="BU94" i="17"/>
  <c r="BU87" i="17"/>
  <c r="BU92" i="17"/>
  <c r="BW87" i="17"/>
  <c r="BZ72" i="17"/>
  <c r="BW92" i="17"/>
  <c r="BY87" i="17"/>
  <c r="BY94" i="17"/>
  <c r="BY92" i="17"/>
  <c r="CA87" i="17"/>
  <c r="CA92" i="17"/>
  <c r="CD72" i="17"/>
  <c r="CF93" i="17" s="1"/>
  <c r="CC94" i="17"/>
  <c r="CC87" i="17"/>
  <c r="CC92" i="17"/>
  <c r="CE87" i="17"/>
  <c r="CH72" i="17"/>
  <c r="CE92" i="17"/>
  <c r="CG87" i="17"/>
  <c r="CG94" i="17"/>
  <c r="CG92" i="17"/>
  <c r="CI87" i="17"/>
  <c r="CI92" i="17"/>
  <c r="CL72" i="17"/>
  <c r="CN93" i="17" s="1"/>
  <c r="CK94" i="17"/>
  <c r="CK87" i="17"/>
  <c r="CK92" i="17"/>
  <c r="CM87" i="17"/>
  <c r="CP72" i="17"/>
  <c r="CM92" i="17"/>
  <c r="CO87" i="17"/>
  <c r="CO94" i="17"/>
  <c r="CO92" i="17"/>
  <c r="G134" i="17"/>
  <c r="G142" i="17"/>
  <c r="J125" i="17"/>
  <c r="I134" i="17"/>
  <c r="I10" i="17" s="1"/>
  <c r="I142" i="17"/>
  <c r="I129" i="17"/>
  <c r="K134" i="17"/>
  <c r="N125" i="17"/>
  <c r="K142" i="17"/>
  <c r="K129" i="17"/>
  <c r="M134" i="17"/>
  <c r="M142" i="17"/>
  <c r="M129" i="17"/>
  <c r="O134" i="17"/>
  <c r="O142" i="17"/>
  <c r="O129" i="17"/>
  <c r="R125" i="17"/>
  <c r="Q134" i="17"/>
  <c r="Q142" i="17"/>
  <c r="Q129" i="17"/>
  <c r="S134" i="17"/>
  <c r="V125" i="17"/>
  <c r="S142" i="17"/>
  <c r="S129" i="17"/>
  <c r="U134" i="17"/>
  <c r="U142" i="17"/>
  <c r="U129" i="17"/>
  <c r="W134" i="17"/>
  <c r="W142" i="17"/>
  <c r="W129" i="17"/>
  <c r="Z125" i="17"/>
  <c r="Y134" i="17"/>
  <c r="Y142" i="17"/>
  <c r="Y129" i="17"/>
  <c r="AA134" i="17"/>
  <c r="AD125" i="17"/>
  <c r="AA142" i="17"/>
  <c r="AA129" i="17"/>
  <c r="AC134" i="17"/>
  <c r="AC142" i="17"/>
  <c r="AC129" i="17"/>
  <c r="AE134" i="17"/>
  <c r="AE142" i="17"/>
  <c r="AE129" i="17"/>
  <c r="AH125" i="17"/>
  <c r="AG134" i="17"/>
  <c r="AG142" i="17"/>
  <c r="AG129" i="17"/>
  <c r="AI134" i="17"/>
  <c r="AL125" i="17"/>
  <c r="AI142" i="17"/>
  <c r="AI129" i="17"/>
  <c r="AK134" i="17"/>
  <c r="AK142" i="17"/>
  <c r="AK129" i="17"/>
  <c r="AM134" i="17"/>
  <c r="AM142" i="17"/>
  <c r="AM129" i="17"/>
  <c r="AP125" i="17"/>
  <c r="AO134" i="17"/>
  <c r="AO142" i="17"/>
  <c r="AO129" i="17"/>
  <c r="AQ134" i="17"/>
  <c r="AT125" i="17"/>
  <c r="AQ142" i="17"/>
  <c r="AQ129" i="17"/>
  <c r="AS134" i="17"/>
  <c r="AS142" i="17"/>
  <c r="AS129" i="17"/>
  <c r="AU134" i="17"/>
  <c r="AU142" i="17"/>
  <c r="AU129" i="17"/>
  <c r="AX125" i="17"/>
  <c r="AW134" i="17"/>
  <c r="AW142" i="17"/>
  <c r="AW129" i="17"/>
  <c r="AY134" i="17"/>
  <c r="BB125" i="17"/>
  <c r="AY142" i="17"/>
  <c r="AY129" i="17"/>
  <c r="BA134" i="17"/>
  <c r="BA142" i="17"/>
  <c r="BA129" i="17"/>
  <c r="BC134" i="17"/>
  <c r="BC142" i="17"/>
  <c r="BC129" i="17"/>
  <c r="BF125" i="17"/>
  <c r="BE134" i="17"/>
  <c r="BE142" i="17"/>
  <c r="BE129" i="17"/>
  <c r="BG134" i="17"/>
  <c r="BJ125" i="17"/>
  <c r="BG142" i="17"/>
  <c r="BG129" i="17"/>
  <c r="BI134" i="17"/>
  <c r="BI142" i="17"/>
  <c r="BI129" i="17"/>
  <c r="BK134" i="17"/>
  <c r="BK142" i="17"/>
  <c r="BK129" i="17"/>
  <c r="BN125" i="17"/>
  <c r="BM134" i="17"/>
  <c r="BM142" i="17"/>
  <c r="BM129" i="17"/>
  <c r="BO134" i="17"/>
  <c r="BR125" i="17"/>
  <c r="BO142" i="17"/>
  <c r="BO129" i="17"/>
  <c r="BQ134" i="17"/>
  <c r="BQ142" i="17"/>
  <c r="BQ129" i="17"/>
  <c r="BS134" i="17"/>
  <c r="BS142" i="17"/>
  <c r="BS129" i="17"/>
  <c r="BV125" i="17"/>
  <c r="BU134" i="17"/>
  <c r="BU142" i="17"/>
  <c r="BU129" i="17"/>
  <c r="BW134" i="17"/>
  <c r="BZ125" i="17"/>
  <c r="BW142" i="17"/>
  <c r="BW129" i="17"/>
  <c r="BY134" i="17"/>
  <c r="BY142" i="17"/>
  <c r="BY129" i="17"/>
  <c r="CA134" i="17"/>
  <c r="CA142" i="17"/>
  <c r="CA129" i="17"/>
  <c r="CD125" i="17"/>
  <c r="CC134" i="17"/>
  <c r="CC142" i="17"/>
  <c r="CC129" i="17"/>
  <c r="CE134" i="17"/>
  <c r="CH125" i="17"/>
  <c r="CE142" i="17"/>
  <c r="CE129" i="17"/>
  <c r="CG134" i="17"/>
  <c r="CG142" i="17"/>
  <c r="CG129" i="17"/>
  <c r="CI134" i="17"/>
  <c r="CI142" i="17"/>
  <c r="CI129" i="17"/>
  <c r="CL125" i="17"/>
  <c r="CK134" i="17"/>
  <c r="CK142" i="17"/>
  <c r="CK129" i="17"/>
  <c r="CM134" i="17"/>
  <c r="CP125" i="17"/>
  <c r="CM142" i="17"/>
  <c r="CM129" i="17"/>
  <c r="CO134" i="17"/>
  <c r="CO142" i="17"/>
  <c r="CO129" i="17"/>
  <c r="H170" i="17"/>
  <c r="H171" i="17"/>
  <c r="J170" i="17"/>
  <c r="J171" i="17"/>
  <c r="L170" i="17"/>
  <c r="L171" i="17"/>
  <c r="N170" i="17"/>
  <c r="N171" i="17"/>
  <c r="P170" i="17"/>
  <c r="P171" i="17"/>
  <c r="R170" i="17"/>
  <c r="R171" i="17"/>
  <c r="T170" i="17"/>
  <c r="T171" i="17"/>
  <c r="V170" i="17"/>
  <c r="V171" i="17"/>
  <c r="X170" i="17"/>
  <c r="X171" i="17"/>
  <c r="Z170" i="17"/>
  <c r="Z171" i="17"/>
  <c r="AB170" i="17"/>
  <c r="AB171" i="17"/>
  <c r="AD170" i="17"/>
  <c r="AD171" i="17"/>
  <c r="AF170" i="17"/>
  <c r="AF171" i="17"/>
  <c r="AH170" i="17"/>
  <c r="AH171" i="17"/>
  <c r="AJ170" i="17"/>
  <c r="AJ171" i="17"/>
  <c r="AL170" i="17"/>
  <c r="AL171" i="17"/>
  <c r="AN170" i="17"/>
  <c r="AN171" i="17"/>
  <c r="AP170" i="17"/>
  <c r="AP171" i="17"/>
  <c r="AR170" i="17"/>
  <c r="AR171" i="17"/>
  <c r="AT170" i="17"/>
  <c r="AT171" i="17"/>
  <c r="AV170" i="17"/>
  <c r="AV171" i="17"/>
  <c r="AX170" i="17"/>
  <c r="AX171" i="17"/>
  <c r="AZ170" i="17"/>
  <c r="AZ171" i="17"/>
  <c r="BB170" i="17"/>
  <c r="BB171" i="17"/>
  <c r="BD170" i="17"/>
  <c r="BD171" i="17"/>
  <c r="BF170" i="17"/>
  <c r="BF171" i="17"/>
  <c r="BH170" i="17"/>
  <c r="BH171" i="17"/>
  <c r="BL189" i="17" s="1"/>
  <c r="BJ170" i="17"/>
  <c r="BJ171" i="17"/>
  <c r="BN189" i="17" s="1"/>
  <c r="BL184" i="17"/>
  <c r="BL183" i="17" s="1"/>
  <c r="BL199" i="17"/>
  <c r="BL191" i="17"/>
  <c r="BN184" i="17"/>
  <c r="BN183" i="17" s="1"/>
  <c r="BN199" i="17"/>
  <c r="BP191" i="17"/>
  <c r="BP189" i="17"/>
  <c r="BP184" i="17"/>
  <c r="BP183" i="17" s="1"/>
  <c r="BP199" i="17"/>
  <c r="BR189" i="17"/>
  <c r="BR184" i="17"/>
  <c r="BR183" i="17" s="1"/>
  <c r="BR199" i="17"/>
  <c r="BT189" i="17"/>
  <c r="BT184" i="17"/>
  <c r="BT183" i="17" s="1"/>
  <c r="BT199" i="17"/>
  <c r="BT191" i="17"/>
  <c r="BV189" i="17"/>
  <c r="BV184" i="17"/>
  <c r="BV183" i="17" s="1"/>
  <c r="BV199" i="17"/>
  <c r="BX191" i="17"/>
  <c r="BX189" i="17"/>
  <c r="BX184" i="17"/>
  <c r="BX183" i="17" s="1"/>
  <c r="BX199" i="17"/>
  <c r="BZ189" i="17"/>
  <c r="BZ184" i="17"/>
  <c r="BZ183" i="17" s="1"/>
  <c r="BZ199" i="17"/>
  <c r="CB189" i="17"/>
  <c r="CB184" i="17"/>
  <c r="CB183" i="17" s="1"/>
  <c r="CB199" i="17"/>
  <c r="CB191" i="17"/>
  <c r="CD189" i="17"/>
  <c r="CD184" i="17"/>
  <c r="CD183" i="17" s="1"/>
  <c r="CD199" i="17"/>
  <c r="CF191" i="17"/>
  <c r="CF189" i="17"/>
  <c r="CF184" i="17"/>
  <c r="CF183" i="17" s="1"/>
  <c r="CF199" i="17"/>
  <c r="CH189" i="17"/>
  <c r="CH184" i="17"/>
  <c r="CH183" i="17" s="1"/>
  <c r="CH199" i="17"/>
  <c r="CJ189" i="17"/>
  <c r="CJ184" i="17"/>
  <c r="CJ183" i="17" s="1"/>
  <c r="CJ199" i="17"/>
  <c r="CJ191" i="17"/>
  <c r="CL189" i="17"/>
  <c r="CL184" i="17"/>
  <c r="CL183" i="17" s="1"/>
  <c r="CL199" i="17"/>
  <c r="CN191" i="17"/>
  <c r="CN189" i="17"/>
  <c r="CN184" i="17"/>
  <c r="CN183" i="17" s="1"/>
  <c r="CN199" i="17"/>
  <c r="CP189" i="17"/>
  <c r="CP184" i="17"/>
  <c r="CP183" i="17" s="1"/>
  <c r="CP199" i="17"/>
  <c r="H228" i="17"/>
  <c r="H227" i="17"/>
  <c r="J228" i="17"/>
  <c r="J227" i="17"/>
  <c r="L228" i="17"/>
  <c r="L227" i="17"/>
  <c r="N228" i="17"/>
  <c r="N227" i="17"/>
  <c r="P228" i="17"/>
  <c r="P227" i="17"/>
  <c r="R228" i="17"/>
  <c r="R227" i="17"/>
  <c r="T228" i="17"/>
  <c r="T227" i="17"/>
  <c r="V228" i="17"/>
  <c r="V227" i="17"/>
  <c r="X228" i="17"/>
  <c r="X227" i="17"/>
  <c r="Z228" i="17"/>
  <c r="Z227" i="17"/>
  <c r="AB228" i="17"/>
  <c r="AB227" i="17"/>
  <c r="AD228" i="17"/>
  <c r="AD227" i="17"/>
  <c r="AF228" i="17"/>
  <c r="AF227" i="17"/>
  <c r="AH228" i="17"/>
  <c r="AH227" i="17"/>
  <c r="AJ228" i="17"/>
  <c r="AJ227" i="17"/>
  <c r="AL228" i="17"/>
  <c r="AL227" i="17"/>
  <c r="AN228" i="17"/>
  <c r="AN227" i="17"/>
  <c r="AP228" i="17"/>
  <c r="AP227" i="17"/>
  <c r="AR228" i="17"/>
  <c r="AR227" i="17"/>
  <c r="AT228" i="17"/>
  <c r="AT227" i="17"/>
  <c r="AV228" i="17"/>
  <c r="AV227" i="17"/>
  <c r="AX228" i="17"/>
  <c r="AX227" i="17"/>
  <c r="AZ228" i="17"/>
  <c r="AZ227" i="17"/>
  <c r="BB228" i="17"/>
  <c r="BB227" i="17"/>
  <c r="BD228" i="17"/>
  <c r="BD227" i="17"/>
  <c r="BF228" i="17"/>
  <c r="BF227" i="17"/>
  <c r="BH228" i="17"/>
  <c r="BL246" i="17" s="1"/>
  <c r="BH227" i="17"/>
  <c r="BJ228" i="17"/>
  <c r="BN246" i="17" s="1"/>
  <c r="BJ227" i="17"/>
  <c r="BL248" i="17"/>
  <c r="BL241" i="17"/>
  <c r="BN241" i="17"/>
  <c r="BP248" i="17"/>
  <c r="BP241" i="17"/>
  <c r="BP246" i="17"/>
  <c r="BR246" i="17"/>
  <c r="BR241" i="17"/>
  <c r="BT248" i="17"/>
  <c r="BT241" i="17"/>
  <c r="BT246" i="17"/>
  <c r="BV246" i="17"/>
  <c r="BV241" i="17"/>
  <c r="BX241" i="17"/>
  <c r="BX248" i="17"/>
  <c r="BX246" i="17"/>
  <c r="BZ246" i="17"/>
  <c r="BZ241" i="17"/>
  <c r="CB248" i="17"/>
  <c r="CB241" i="17"/>
  <c r="CB246" i="17"/>
  <c r="CD246" i="17"/>
  <c r="CD241" i="17"/>
  <c r="CF248" i="17"/>
  <c r="CF241" i="17"/>
  <c r="CF246" i="17"/>
  <c r="CH246" i="17"/>
  <c r="CH241" i="17"/>
  <c r="CJ248" i="17"/>
  <c r="CJ241" i="17"/>
  <c r="CJ246" i="17"/>
  <c r="CL246" i="17"/>
  <c r="CL241" i="17"/>
  <c r="CN241" i="17"/>
  <c r="CN248" i="17"/>
  <c r="CN246" i="17"/>
  <c r="CP246" i="17"/>
  <c r="CP241" i="17"/>
  <c r="H110" i="17"/>
  <c r="H9" i="17" s="1"/>
  <c r="H141" i="17"/>
  <c r="J110" i="17"/>
  <c r="J9" i="17" s="1"/>
  <c r="J141" i="17"/>
  <c r="L110" i="17"/>
  <c r="L141" i="17"/>
  <c r="L117" i="17"/>
  <c r="L115" i="17"/>
  <c r="N110" i="17"/>
  <c r="N141" i="17"/>
  <c r="N115" i="17"/>
  <c r="P117" i="17"/>
  <c r="P110" i="17"/>
  <c r="P141" i="17"/>
  <c r="P115" i="17"/>
  <c r="R110" i="17"/>
  <c r="R141" i="17"/>
  <c r="R115" i="17"/>
  <c r="T110" i="17"/>
  <c r="T141" i="17"/>
  <c r="T117" i="17"/>
  <c r="T115" i="17"/>
  <c r="V110" i="17"/>
  <c r="V141" i="17"/>
  <c r="V115" i="17"/>
  <c r="X117" i="17"/>
  <c r="X110" i="17"/>
  <c r="X141" i="17"/>
  <c r="X115" i="17"/>
  <c r="Z110" i="17"/>
  <c r="Z141" i="17"/>
  <c r="Z115" i="17"/>
  <c r="AB110" i="17"/>
  <c r="AB141" i="17"/>
  <c r="AB117" i="17"/>
  <c r="AB115" i="17"/>
  <c r="AD110" i="17"/>
  <c r="AD141" i="17"/>
  <c r="AD115" i="17"/>
  <c r="AF117" i="17"/>
  <c r="AF110" i="17"/>
  <c r="AF141" i="17"/>
  <c r="AF115" i="17"/>
  <c r="AH110" i="17"/>
  <c r="AH141" i="17"/>
  <c r="AH115" i="17"/>
  <c r="AJ110" i="17"/>
  <c r="AJ141" i="17"/>
  <c r="AJ117" i="17"/>
  <c r="AJ115" i="17"/>
  <c r="AL110" i="17"/>
  <c r="AL141" i="17"/>
  <c r="AL115" i="17"/>
  <c r="AN117" i="17"/>
  <c r="AN110" i="17"/>
  <c r="AN141" i="17"/>
  <c r="AN115" i="17"/>
  <c r="AP110" i="17"/>
  <c r="AP141" i="17"/>
  <c r="AP115" i="17"/>
  <c r="AR110" i="17"/>
  <c r="AR141" i="17"/>
  <c r="AR117" i="17"/>
  <c r="AR115" i="17"/>
  <c r="AT110" i="17"/>
  <c r="AT141" i="17"/>
  <c r="AT115" i="17"/>
  <c r="AV117" i="17"/>
  <c r="AV110" i="17"/>
  <c r="AV141" i="17"/>
  <c r="AV115" i="17"/>
  <c r="AX110" i="17"/>
  <c r="AX141" i="17"/>
  <c r="AX115" i="17"/>
  <c r="AZ110" i="17"/>
  <c r="AZ141" i="17"/>
  <c r="AZ117" i="17"/>
  <c r="AZ115" i="17"/>
  <c r="BB110" i="17"/>
  <c r="BB141" i="17"/>
  <c r="BB115" i="17"/>
  <c r="BD117" i="17"/>
  <c r="BD110" i="17"/>
  <c r="BD141" i="17"/>
  <c r="BD115" i="17"/>
  <c r="BF110" i="17"/>
  <c r="BF141" i="17"/>
  <c r="BF115" i="17"/>
  <c r="BH110" i="17"/>
  <c r="BH141" i="17"/>
  <c r="BH117" i="17"/>
  <c r="BH115" i="17"/>
  <c r="BJ110" i="17"/>
  <c r="BJ141" i="17"/>
  <c r="BJ115" i="17"/>
  <c r="BL117" i="17"/>
  <c r="BL110" i="17"/>
  <c r="BL141" i="17"/>
  <c r="BL115" i="17"/>
  <c r="BN110" i="17"/>
  <c r="BN141" i="17"/>
  <c r="BN115" i="17"/>
  <c r="BP110" i="17"/>
  <c r="BP141" i="17"/>
  <c r="BP117" i="17"/>
  <c r="BP115" i="17"/>
  <c r="BR110" i="17"/>
  <c r="BR141" i="17"/>
  <c r="BR115" i="17"/>
  <c r="BT117" i="17"/>
  <c r="BT110" i="17"/>
  <c r="BT141" i="17"/>
  <c r="BT115" i="17"/>
  <c r="BV110" i="17"/>
  <c r="BV141" i="17"/>
  <c r="BV115" i="17"/>
  <c r="BX110" i="17"/>
  <c r="BX141" i="17"/>
  <c r="BX117" i="17"/>
  <c r="BX115" i="17"/>
  <c r="BZ110" i="17"/>
  <c r="BZ141" i="17"/>
  <c r="BZ115" i="17"/>
  <c r="CB117" i="17"/>
  <c r="CB110" i="17"/>
  <c r="CB141" i="17"/>
  <c r="CB115" i="17"/>
  <c r="CD110" i="17"/>
  <c r="CD141" i="17"/>
  <c r="CD115" i="17"/>
  <c r="CF110" i="17"/>
  <c r="CF141" i="17"/>
  <c r="CF117" i="17"/>
  <c r="CF115" i="17"/>
  <c r="CH110" i="17"/>
  <c r="CH141" i="17"/>
  <c r="CH115" i="17"/>
  <c r="CJ117" i="17"/>
  <c r="CJ110" i="17"/>
  <c r="CJ141" i="17"/>
  <c r="CJ115" i="17"/>
  <c r="CL110" i="17"/>
  <c r="CL141" i="17"/>
  <c r="CL115" i="17"/>
  <c r="CN110" i="17"/>
  <c r="CN141" i="17"/>
  <c r="CN117" i="17"/>
  <c r="CN115" i="17"/>
  <c r="CP110" i="17"/>
  <c r="CP141" i="17"/>
  <c r="CP115" i="17"/>
  <c r="H198" i="17"/>
  <c r="H149" i="17"/>
  <c r="H11" i="17" s="1"/>
  <c r="J198" i="17"/>
  <c r="J149" i="17"/>
  <c r="J11" i="17" s="1"/>
  <c r="L198" i="17"/>
  <c r="L149" i="17"/>
  <c r="L156" i="17"/>
  <c r="L154" i="17"/>
  <c r="N198" i="17"/>
  <c r="N149" i="17"/>
  <c r="N154" i="17"/>
  <c r="P198" i="17"/>
  <c r="P156" i="17"/>
  <c r="P149" i="17"/>
  <c r="P154" i="17"/>
  <c r="R198" i="17"/>
  <c r="R149" i="17"/>
  <c r="R154" i="17"/>
  <c r="T198" i="17"/>
  <c r="T149" i="17"/>
  <c r="T156" i="17"/>
  <c r="T154" i="17"/>
  <c r="V198" i="17"/>
  <c r="V149" i="17"/>
  <c r="V154" i="17"/>
  <c r="X198" i="17"/>
  <c r="X156" i="17"/>
  <c r="X149" i="17"/>
  <c r="X154" i="17"/>
  <c r="Z198" i="17"/>
  <c r="Z149" i="17"/>
  <c r="Z154" i="17"/>
  <c r="AB198" i="17"/>
  <c r="AB149" i="17"/>
  <c r="AB156" i="17"/>
  <c r="AB154" i="17"/>
  <c r="AD198" i="17"/>
  <c r="AD149" i="17"/>
  <c r="AD154" i="17"/>
  <c r="AF198" i="17"/>
  <c r="AF156" i="17"/>
  <c r="AF149" i="17"/>
  <c r="AF154" i="17"/>
  <c r="AH198" i="17"/>
  <c r="AH149" i="17"/>
  <c r="AH154" i="17"/>
  <c r="AJ198" i="17"/>
  <c r="AJ149" i="17"/>
  <c r="AJ156" i="17"/>
  <c r="AJ154" i="17"/>
  <c r="AL198" i="17"/>
  <c r="AL149" i="17"/>
  <c r="AL154" i="17"/>
  <c r="AN198" i="17"/>
  <c r="AN156" i="17"/>
  <c r="AN149" i="17"/>
  <c r="AN154" i="17"/>
  <c r="AP198" i="17"/>
  <c r="AP149" i="17"/>
  <c r="AP154" i="17"/>
  <c r="AR198" i="17"/>
  <c r="AR149" i="17"/>
  <c r="AR156" i="17"/>
  <c r="AR154" i="17"/>
  <c r="AT198" i="17"/>
  <c r="AT149" i="17"/>
  <c r="AT154" i="17"/>
  <c r="AV198" i="17"/>
  <c r="AV156" i="17"/>
  <c r="AV149" i="17"/>
  <c r="AV154" i="17"/>
  <c r="AX198" i="17"/>
  <c r="AX149" i="17"/>
  <c r="AX154" i="17"/>
  <c r="AZ198" i="17"/>
  <c r="AZ149" i="17"/>
  <c r="AZ156" i="17"/>
  <c r="AZ154" i="17"/>
  <c r="BB198" i="17"/>
  <c r="BB149" i="17"/>
  <c r="BB154" i="17"/>
  <c r="BD198" i="17"/>
  <c r="BD156" i="17"/>
  <c r="BD149" i="17"/>
  <c r="BD154" i="17"/>
  <c r="BF198" i="17"/>
  <c r="BF149" i="17"/>
  <c r="BF154" i="17"/>
  <c r="BH198" i="17"/>
  <c r="BH149" i="17"/>
  <c r="BH156" i="17"/>
  <c r="BH154" i="17"/>
  <c r="BJ198" i="17"/>
  <c r="BJ149" i="17"/>
  <c r="BJ154" i="17"/>
  <c r="BL198" i="17"/>
  <c r="BL156" i="17"/>
  <c r="BL149" i="17"/>
  <c r="BL154" i="17"/>
  <c r="BN198" i="17"/>
  <c r="BN149" i="17"/>
  <c r="BN154" i="17"/>
  <c r="BP198" i="17"/>
  <c r="BP149" i="17"/>
  <c r="BP156" i="17"/>
  <c r="BP154" i="17"/>
  <c r="BR198" i="17"/>
  <c r="BR149" i="17"/>
  <c r="BR154" i="17"/>
  <c r="BT198" i="17"/>
  <c r="BT156" i="17"/>
  <c r="BT149" i="17"/>
  <c r="BT154" i="17"/>
  <c r="BV198" i="17"/>
  <c r="BV149" i="17"/>
  <c r="BV154" i="17"/>
  <c r="BX198" i="17"/>
  <c r="BX149" i="17"/>
  <c r="BX156" i="17"/>
  <c r="BX154" i="17"/>
  <c r="BZ198" i="17"/>
  <c r="BZ149" i="17"/>
  <c r="BZ154" i="17"/>
  <c r="CB198" i="17"/>
  <c r="CB156" i="17"/>
  <c r="CB149" i="17"/>
  <c r="CB154" i="17"/>
  <c r="CD198" i="17"/>
  <c r="CD149" i="17"/>
  <c r="CD154" i="17"/>
  <c r="CF198" i="17"/>
  <c r="CF149" i="17"/>
  <c r="CF156" i="17"/>
  <c r="CF154" i="17"/>
  <c r="CH198" i="17"/>
  <c r="CH149" i="17"/>
  <c r="CH154" i="17"/>
  <c r="CJ198" i="17"/>
  <c r="CJ156" i="17"/>
  <c r="CJ149" i="17"/>
  <c r="CJ154" i="17"/>
  <c r="CL198" i="17"/>
  <c r="CL149" i="17"/>
  <c r="CL154" i="17"/>
  <c r="CN198" i="17"/>
  <c r="CN149" i="17"/>
  <c r="CN156" i="17"/>
  <c r="CN154" i="17"/>
  <c r="CP198" i="17"/>
  <c r="CP149" i="17"/>
  <c r="CP154" i="17"/>
  <c r="H255" i="17"/>
  <c r="H206" i="17"/>
  <c r="H13" i="17" s="1"/>
  <c r="J255" i="17"/>
  <c r="J206" i="17"/>
  <c r="J13" i="17" s="1"/>
  <c r="L255" i="17"/>
  <c r="L206" i="17"/>
  <c r="L213" i="17"/>
  <c r="L211" i="17"/>
  <c r="N255" i="17"/>
  <c r="N206" i="17"/>
  <c r="N211" i="17"/>
  <c r="P255" i="17"/>
  <c r="P213" i="17"/>
  <c r="P206" i="17"/>
  <c r="P211" i="17"/>
  <c r="R255" i="17"/>
  <c r="R206" i="17"/>
  <c r="R211" i="17"/>
  <c r="T255" i="17"/>
  <c r="T206" i="17"/>
  <c r="T213" i="17"/>
  <c r="T211" i="17"/>
  <c r="V255" i="17"/>
  <c r="V206" i="17"/>
  <c r="V211" i="17"/>
  <c r="X255" i="17"/>
  <c r="X213" i="17"/>
  <c r="X206" i="17"/>
  <c r="X211" i="17"/>
  <c r="Z255" i="17"/>
  <c r="Z206" i="17"/>
  <c r="Z211" i="17"/>
  <c r="AB255" i="17"/>
  <c r="AB206" i="17"/>
  <c r="AB213" i="17"/>
  <c r="AB211" i="17"/>
  <c r="AD255" i="17"/>
  <c r="AD206" i="17"/>
  <c r="AD211" i="17"/>
  <c r="AF255" i="17"/>
  <c r="AF213" i="17"/>
  <c r="AF206" i="17"/>
  <c r="AF211" i="17"/>
  <c r="AH255" i="17"/>
  <c r="AH206" i="17"/>
  <c r="AH211" i="17"/>
  <c r="AJ255" i="17"/>
  <c r="AJ206" i="17"/>
  <c r="AJ213" i="17"/>
  <c r="AJ211" i="17"/>
  <c r="AL255" i="17"/>
  <c r="AL206" i="17"/>
  <c r="AL211" i="17"/>
  <c r="AN255" i="17"/>
  <c r="AN213" i="17"/>
  <c r="AN206" i="17"/>
  <c r="AN211" i="17"/>
  <c r="AP255" i="17"/>
  <c r="AP206" i="17"/>
  <c r="AP211" i="17"/>
  <c r="AR255" i="17"/>
  <c r="AR206" i="17"/>
  <c r="AR213" i="17"/>
  <c r="AR211" i="17"/>
  <c r="AT255" i="17"/>
  <c r="AT206" i="17"/>
  <c r="AT211" i="17"/>
  <c r="AV255" i="17"/>
  <c r="AV213" i="17"/>
  <c r="AV206" i="17"/>
  <c r="AV211" i="17"/>
  <c r="AX255" i="17"/>
  <c r="AX206" i="17"/>
  <c r="AX211" i="17"/>
  <c r="AZ255" i="17"/>
  <c r="AZ206" i="17"/>
  <c r="AZ213" i="17"/>
  <c r="AZ211" i="17"/>
  <c r="BB255" i="17"/>
  <c r="BB206" i="17"/>
  <c r="BB211" i="17"/>
  <c r="BD255" i="17"/>
  <c r="BD213" i="17"/>
  <c r="BD206" i="17"/>
  <c r="BD211" i="17"/>
  <c r="BF255" i="17"/>
  <c r="BF206" i="17"/>
  <c r="BF211" i="17"/>
  <c r="BH255" i="17"/>
  <c r="BH206" i="17"/>
  <c r="BH213" i="17"/>
  <c r="BH211" i="17"/>
  <c r="BJ255" i="17"/>
  <c r="BJ206" i="17"/>
  <c r="BJ211" i="17"/>
  <c r="BL255" i="17"/>
  <c r="BL213" i="17"/>
  <c r="BL206" i="17"/>
  <c r="BL211" i="17"/>
  <c r="BN255" i="17"/>
  <c r="BN206" i="17"/>
  <c r="BN211" i="17"/>
  <c r="BP255" i="17"/>
  <c r="BP206" i="17"/>
  <c r="BP213" i="17"/>
  <c r="BP211" i="17"/>
  <c r="BR255" i="17"/>
  <c r="BR206" i="17"/>
  <c r="BR211" i="17"/>
  <c r="BT255" i="17"/>
  <c r="BT213" i="17"/>
  <c r="BT206" i="17"/>
  <c r="BT211" i="17"/>
  <c r="BV255" i="17"/>
  <c r="BV206" i="17"/>
  <c r="BV211" i="17"/>
  <c r="BX255" i="17"/>
  <c r="BX206" i="17"/>
  <c r="BX213" i="17"/>
  <c r="BX211" i="17"/>
  <c r="BZ255" i="17"/>
  <c r="BZ206" i="17"/>
  <c r="BZ211" i="17"/>
  <c r="CB255" i="17"/>
  <c r="CB213" i="17"/>
  <c r="CB206" i="17"/>
  <c r="CB211" i="17"/>
  <c r="CD255" i="17"/>
  <c r="CD206" i="17"/>
  <c r="CD211" i="17"/>
  <c r="CF255" i="17"/>
  <c r="CF206" i="17"/>
  <c r="CF213" i="17"/>
  <c r="CF211" i="17"/>
  <c r="CH255" i="17"/>
  <c r="CH206" i="17"/>
  <c r="CH211" i="17"/>
  <c r="CJ255" i="17"/>
  <c r="CJ213" i="17"/>
  <c r="CJ206" i="17"/>
  <c r="CJ211" i="17"/>
  <c r="CL255" i="17"/>
  <c r="CL206" i="17"/>
  <c r="CL211" i="17"/>
  <c r="CN255" i="17"/>
  <c r="CN206" i="17"/>
  <c r="CN213" i="17"/>
  <c r="CN211" i="17"/>
  <c r="CP255" i="17"/>
  <c r="CP206" i="17"/>
  <c r="CP119" i="17" s="1"/>
  <c r="CP211" i="17"/>
  <c r="H263" i="17"/>
  <c r="H15" i="17" s="1"/>
  <c r="J263" i="17"/>
  <c r="J15" i="17" s="1"/>
  <c r="L270" i="17"/>
  <c r="L268" i="17"/>
  <c r="L263" i="17"/>
  <c r="N268" i="17"/>
  <c r="N263" i="17"/>
  <c r="P268" i="17"/>
  <c r="P263" i="17"/>
  <c r="P270" i="17"/>
  <c r="R268" i="17"/>
  <c r="R263" i="17"/>
  <c r="T270" i="17"/>
  <c r="T268" i="17"/>
  <c r="T263" i="17"/>
  <c r="V268" i="17"/>
  <c r="V263" i="17"/>
  <c r="X268" i="17"/>
  <c r="X270" i="17"/>
  <c r="X263" i="17"/>
  <c r="Z268" i="17"/>
  <c r="Z263" i="17"/>
  <c r="AB270" i="17"/>
  <c r="AB268" i="17"/>
  <c r="AB263" i="17"/>
  <c r="AD268" i="17"/>
  <c r="AD263" i="17"/>
  <c r="AF268" i="17"/>
  <c r="AF263" i="17"/>
  <c r="AF270" i="17"/>
  <c r="AH268" i="17"/>
  <c r="AH263" i="17"/>
  <c r="AJ270" i="17"/>
  <c r="AJ268" i="17"/>
  <c r="AJ263" i="17"/>
  <c r="AL268" i="17"/>
  <c r="AL263" i="17"/>
  <c r="AN268" i="17"/>
  <c r="AN270" i="17"/>
  <c r="AN263" i="17"/>
  <c r="AP268" i="17"/>
  <c r="AP263" i="17"/>
  <c r="AR270" i="17"/>
  <c r="AR268" i="17"/>
  <c r="AR263" i="17"/>
  <c r="AT268" i="17"/>
  <c r="AT263" i="17"/>
  <c r="AV268" i="17"/>
  <c r="AV263" i="17"/>
  <c r="AV270" i="17"/>
  <c r="AX268" i="17"/>
  <c r="AX263" i="17"/>
  <c r="AZ270" i="17"/>
  <c r="AZ268" i="17"/>
  <c r="AZ263" i="17"/>
  <c r="BB268" i="17"/>
  <c r="BB263" i="17"/>
  <c r="BD268" i="17"/>
  <c r="BD270" i="17"/>
  <c r="BD263" i="17"/>
  <c r="BF268" i="17"/>
  <c r="BF263" i="17"/>
  <c r="BH270" i="17"/>
  <c r="BH268" i="17"/>
  <c r="BH263" i="17"/>
  <c r="BJ268" i="17"/>
  <c r="BJ263" i="17"/>
  <c r="BL268" i="17"/>
  <c r="BL263" i="17"/>
  <c r="BL270" i="17"/>
  <c r="BN268" i="17"/>
  <c r="BN263" i="17"/>
  <c r="BP270" i="17"/>
  <c r="BP268" i="17"/>
  <c r="BP263" i="17"/>
  <c r="BR268" i="17"/>
  <c r="BR263" i="17"/>
  <c r="BT268" i="17"/>
  <c r="BT270" i="17"/>
  <c r="BT263" i="17"/>
  <c r="BV268" i="17"/>
  <c r="BV263" i="17"/>
  <c r="BX270" i="17"/>
  <c r="BX268" i="17"/>
  <c r="BX263" i="17"/>
  <c r="BZ268" i="17"/>
  <c r="BZ263" i="17"/>
  <c r="CB268" i="17"/>
  <c r="CB263" i="17"/>
  <c r="CB270" i="17"/>
  <c r="CD268" i="17"/>
  <c r="CD263" i="17"/>
  <c r="CF270" i="17"/>
  <c r="CF268" i="17"/>
  <c r="CF263" i="17"/>
  <c r="CH268" i="17"/>
  <c r="CH263" i="17"/>
  <c r="CJ268" i="17"/>
  <c r="CJ270" i="17"/>
  <c r="CJ263" i="17"/>
  <c r="CL268" i="17"/>
  <c r="CL263" i="17"/>
  <c r="CN270" i="17"/>
  <c r="CN268" i="17"/>
  <c r="CN263" i="17"/>
  <c r="CP268" i="17"/>
  <c r="CP263" i="17"/>
  <c r="L317" i="17"/>
  <c r="N282" i="17"/>
  <c r="N284" i="17" s="1"/>
  <c r="N317" i="17"/>
  <c r="P317" i="17"/>
  <c r="R317" i="17"/>
  <c r="T317" i="17"/>
  <c r="V317" i="17"/>
  <c r="X317" i="17"/>
  <c r="Z317" i="17"/>
  <c r="AB317" i="17"/>
  <c r="AD317" i="17"/>
  <c r="AF317" i="17"/>
  <c r="AH317" i="17"/>
  <c r="AJ317" i="17"/>
  <c r="AL317" i="17"/>
  <c r="AN317" i="17"/>
  <c r="AN284" i="17"/>
  <c r="AP317" i="17"/>
  <c r="AP284" i="17"/>
  <c r="AR317" i="17"/>
  <c r="AT317" i="17"/>
  <c r="AV317" i="17"/>
  <c r="AX317" i="17"/>
  <c r="AZ317" i="17"/>
  <c r="BB317" i="17"/>
  <c r="BD317" i="17"/>
  <c r="BF317" i="17"/>
  <c r="BH317" i="17"/>
  <c r="P311" i="17"/>
  <c r="R311" i="17"/>
  <c r="T311" i="17"/>
  <c r="V311" i="17"/>
  <c r="X311" i="17"/>
  <c r="Z311" i="17"/>
  <c r="AB311" i="17"/>
  <c r="AD311" i="17"/>
  <c r="AF311" i="17"/>
  <c r="AH311" i="17"/>
  <c r="AJ311" i="17"/>
  <c r="AL311" i="17"/>
  <c r="AN311" i="17"/>
  <c r="AP311" i="17"/>
  <c r="AR311" i="17"/>
  <c r="AT311" i="17"/>
  <c r="AV311" i="17"/>
  <c r="AX311" i="17"/>
  <c r="AZ311" i="17"/>
  <c r="BB311" i="17"/>
  <c r="BD311" i="17"/>
  <c r="BF311" i="17"/>
  <c r="BH311" i="17"/>
  <c r="BJ311" i="17"/>
  <c r="BL311" i="17"/>
  <c r="BN311" i="17"/>
  <c r="BP311" i="17"/>
  <c r="BR311" i="17"/>
  <c r="BT311" i="17"/>
  <c r="BV311" i="17"/>
  <c r="BX311" i="17"/>
  <c r="BZ311" i="17"/>
  <c r="CB311" i="17"/>
  <c r="CD311" i="17"/>
  <c r="CF311" i="17"/>
  <c r="CH311" i="17"/>
  <c r="CJ311" i="17"/>
  <c r="CL311" i="17"/>
  <c r="CN311" i="17"/>
  <c r="CP311" i="17"/>
  <c r="H278" i="17"/>
  <c r="H285" i="17"/>
  <c r="J278" i="17"/>
  <c r="J285" i="17"/>
  <c r="P312" i="17"/>
  <c r="R312" i="17"/>
  <c r="T312" i="17"/>
  <c r="V312" i="17"/>
  <c r="X312" i="17"/>
  <c r="Z312" i="17"/>
  <c r="AB312" i="17"/>
  <c r="AD312" i="17"/>
  <c r="AF312" i="17"/>
  <c r="AH312" i="17"/>
  <c r="AJ312" i="17"/>
  <c r="AL312" i="17"/>
  <c r="AN312" i="17"/>
  <c r="AP312" i="17"/>
  <c r="AR312" i="17"/>
  <c r="AT312" i="17"/>
  <c r="AV312" i="17"/>
  <c r="AX312" i="17"/>
  <c r="AZ312" i="17"/>
  <c r="BB312" i="17"/>
  <c r="BD312" i="17"/>
  <c r="BF312" i="17"/>
  <c r="BH312" i="17"/>
  <c r="BJ312" i="17"/>
  <c r="BL312" i="17"/>
  <c r="BN312" i="17"/>
  <c r="BP312" i="17"/>
  <c r="BR312" i="17"/>
  <c r="BT312" i="17"/>
  <c r="BV312" i="17"/>
  <c r="BX312" i="17"/>
  <c r="BZ312" i="17"/>
  <c r="CB312" i="17"/>
  <c r="CD312" i="17"/>
  <c r="CF312" i="17"/>
  <c r="CH312" i="17"/>
  <c r="CJ312" i="17"/>
  <c r="CL312" i="17"/>
  <c r="CN312" i="17"/>
  <c r="CP312" i="17"/>
  <c r="P313" i="17"/>
  <c r="R313" i="17"/>
  <c r="T313" i="17"/>
  <c r="V313" i="17"/>
  <c r="X313" i="17"/>
  <c r="Z313" i="17"/>
  <c r="AB313" i="17"/>
  <c r="AD313" i="17"/>
  <c r="AF313" i="17"/>
  <c r="AH313" i="17"/>
  <c r="AJ313" i="17"/>
  <c r="AL313" i="17"/>
  <c r="AN313" i="17"/>
  <c r="AP313" i="17"/>
  <c r="AR313" i="17"/>
  <c r="AT313" i="17"/>
  <c r="AV313" i="17"/>
  <c r="AX313" i="17"/>
  <c r="AZ313" i="17"/>
  <c r="BB313" i="17"/>
  <c r="BD313" i="17"/>
  <c r="BF313" i="17"/>
  <c r="BH313" i="17"/>
  <c r="BJ313" i="17"/>
  <c r="BL313" i="17"/>
  <c r="BN313" i="17"/>
  <c r="BP313" i="17"/>
  <c r="BR313" i="17"/>
  <c r="BT313" i="17"/>
  <c r="BV313" i="17"/>
  <c r="BX313" i="17"/>
  <c r="BZ313" i="17"/>
  <c r="CB313" i="17"/>
  <c r="CD313" i="17"/>
  <c r="CF313" i="17"/>
  <c r="CH313" i="17"/>
  <c r="CJ313" i="17"/>
  <c r="CL313" i="17"/>
  <c r="CN313" i="17"/>
  <c r="CP313" i="17"/>
  <c r="P314" i="17"/>
  <c r="R314" i="17"/>
  <c r="T314" i="17"/>
  <c r="V314" i="17"/>
  <c r="X314" i="17"/>
  <c r="Z314" i="17"/>
  <c r="AB314" i="17"/>
  <c r="AD314" i="17"/>
  <c r="AF314" i="17"/>
  <c r="AH314" i="17"/>
  <c r="AJ314" i="17"/>
  <c r="AL314" i="17"/>
  <c r="AN314" i="17"/>
  <c r="AP314" i="17"/>
  <c r="AR314" i="17"/>
  <c r="AT314" i="17"/>
  <c r="AV314" i="17"/>
  <c r="AX314" i="17"/>
  <c r="AZ314" i="17"/>
  <c r="BB314" i="17"/>
  <c r="BD314" i="17"/>
  <c r="BF314" i="17"/>
  <c r="BH314" i="17"/>
  <c r="BJ314" i="17"/>
  <c r="BL314" i="17"/>
  <c r="BN314" i="17"/>
  <c r="BP314" i="17"/>
  <c r="BR314" i="17"/>
  <c r="BT314" i="17"/>
  <c r="BV314" i="17"/>
  <c r="BX314" i="17"/>
  <c r="BZ314" i="17"/>
  <c r="CB314" i="17"/>
  <c r="CD314" i="17"/>
  <c r="CF314" i="17"/>
  <c r="CH314" i="17"/>
  <c r="CJ314" i="17"/>
  <c r="CL314" i="17"/>
  <c r="CN314" i="17"/>
  <c r="CP314" i="17"/>
  <c r="P315" i="17"/>
  <c r="R315" i="17"/>
  <c r="T315" i="17"/>
  <c r="V315" i="17"/>
  <c r="X315" i="17"/>
  <c r="Z315" i="17"/>
  <c r="AB315" i="17"/>
  <c r="AD315" i="17"/>
  <c r="AF315" i="17"/>
  <c r="AH315" i="17"/>
  <c r="AJ315" i="17"/>
  <c r="AL315" i="17"/>
  <c r="AN315" i="17"/>
  <c r="AP315" i="17"/>
  <c r="AR315" i="17"/>
  <c r="AT315" i="17"/>
  <c r="AV315" i="17"/>
  <c r="AX315" i="17"/>
  <c r="AZ315" i="17"/>
  <c r="BB315" i="17"/>
  <c r="BD315" i="17"/>
  <c r="BF315" i="17"/>
  <c r="BH315" i="17"/>
  <c r="BJ315" i="17"/>
  <c r="BL315" i="17"/>
  <c r="BN315" i="17"/>
  <c r="BP315" i="17"/>
  <c r="BR315" i="17"/>
  <c r="BT315" i="17"/>
  <c r="BV315" i="17"/>
  <c r="BX315" i="17"/>
  <c r="BZ315" i="17"/>
  <c r="CB315" i="17"/>
  <c r="CD315" i="17"/>
  <c r="CF315" i="17"/>
  <c r="CH315" i="17"/>
  <c r="CJ315" i="17"/>
  <c r="CL315" i="17"/>
  <c r="CN315" i="17"/>
  <c r="CP315" i="17"/>
  <c r="N285" i="17"/>
  <c r="N287" i="17" s="1"/>
  <c r="P320" i="17"/>
  <c r="R320" i="17"/>
  <c r="T320" i="17"/>
  <c r="V320" i="17"/>
  <c r="X320" i="17"/>
  <c r="Z320" i="17"/>
  <c r="AB320" i="17"/>
  <c r="AD320" i="17"/>
  <c r="AF320" i="17"/>
  <c r="AH320" i="17"/>
  <c r="AJ320" i="17"/>
  <c r="AL320" i="17"/>
  <c r="AN320" i="17"/>
  <c r="AN287" i="17"/>
  <c r="AP320" i="17"/>
  <c r="AP287" i="17"/>
  <c r="AR320" i="17"/>
  <c r="AT320" i="17"/>
  <c r="AV320" i="17"/>
  <c r="AX320" i="17"/>
  <c r="AZ320" i="17"/>
  <c r="BB320" i="17"/>
  <c r="BD320" i="17"/>
  <c r="BF320" i="17"/>
  <c r="BH320" i="17"/>
  <c r="H176" i="17"/>
  <c r="J176" i="17"/>
  <c r="L176" i="17"/>
  <c r="N176" i="17"/>
  <c r="P176" i="17"/>
  <c r="R176" i="17"/>
  <c r="T176" i="17"/>
  <c r="V176" i="17"/>
  <c r="X176" i="17"/>
  <c r="Z176" i="17"/>
  <c r="AB176" i="17"/>
  <c r="AD176" i="17"/>
  <c r="AF176" i="17"/>
  <c r="AH176" i="17"/>
  <c r="AJ176" i="17"/>
  <c r="AL176" i="17"/>
  <c r="AN176" i="17"/>
  <c r="AP176" i="17"/>
  <c r="AR176" i="17"/>
  <c r="AT176" i="17"/>
  <c r="AV176" i="17"/>
  <c r="AX176" i="17"/>
  <c r="AZ176" i="17"/>
  <c r="BB176" i="17"/>
  <c r="BD176" i="17"/>
  <c r="BF176" i="17"/>
  <c r="BH176" i="17"/>
  <c r="BJ176" i="17"/>
  <c r="BL176" i="17"/>
  <c r="BN176" i="17"/>
  <c r="BP176" i="17"/>
  <c r="BR176" i="17"/>
  <c r="BT176" i="17"/>
  <c r="BV176" i="17"/>
  <c r="BX176" i="17"/>
  <c r="BZ176" i="17"/>
  <c r="CB176" i="17"/>
  <c r="CD176" i="17"/>
  <c r="CF176" i="17"/>
  <c r="CG163" i="17"/>
  <c r="CH163" i="17" s="1"/>
  <c r="CI163" i="17" s="1"/>
  <c r="H179" i="17"/>
  <c r="J179" i="17"/>
  <c r="L179" i="17"/>
  <c r="N179" i="17"/>
  <c r="P179" i="17"/>
  <c r="R179" i="17"/>
  <c r="T179" i="17"/>
  <c r="V179" i="17"/>
  <c r="X179" i="17"/>
  <c r="Z179" i="17"/>
  <c r="AB179" i="17"/>
  <c r="AD179" i="17"/>
  <c r="AF179" i="17"/>
  <c r="AH179" i="17"/>
  <c r="AJ179" i="17"/>
  <c r="AL179" i="17"/>
  <c r="AN179" i="17"/>
  <c r="AP179" i="17"/>
  <c r="AR179" i="17"/>
  <c r="AT179" i="17"/>
  <c r="AV179" i="17"/>
  <c r="AX179" i="17"/>
  <c r="AZ179" i="17"/>
  <c r="BB179" i="17"/>
  <c r="BD179" i="17"/>
  <c r="BF179" i="17"/>
  <c r="BH179" i="17"/>
  <c r="BJ179" i="17"/>
  <c r="BL179" i="17"/>
  <c r="BN179" i="17"/>
  <c r="BP179" i="17"/>
  <c r="BR179" i="17"/>
  <c r="BT179" i="17"/>
  <c r="BV179" i="17"/>
  <c r="BX179" i="17"/>
  <c r="BZ179" i="17"/>
  <c r="CB179" i="17"/>
  <c r="CD179" i="17"/>
  <c r="CF179" i="17"/>
  <c r="CG166" i="17"/>
  <c r="CH166" i="17" s="1"/>
  <c r="CI166" i="17" s="1"/>
  <c r="BJ76" i="17"/>
  <c r="BK60" i="17"/>
  <c r="BK63" i="17"/>
  <c r="BJ79" i="17"/>
  <c r="BD82" i="17"/>
  <c r="BF82" i="17"/>
  <c r="BH82" i="17"/>
  <c r="BJ82" i="17"/>
  <c r="BK66" i="17"/>
  <c r="P233" i="17"/>
  <c r="R233" i="17"/>
  <c r="T233" i="17"/>
  <c r="V233" i="17"/>
  <c r="X233" i="17"/>
  <c r="Z233" i="17"/>
  <c r="AB233" i="17"/>
  <c r="AD233" i="17"/>
  <c r="AF233" i="17"/>
  <c r="AH233" i="17"/>
  <c r="AJ233" i="17"/>
  <c r="AL233" i="17"/>
  <c r="AN233" i="17"/>
  <c r="AP233" i="17"/>
  <c r="AR233" i="17"/>
  <c r="AT233" i="17"/>
  <c r="AV233" i="17"/>
  <c r="AX233" i="17"/>
  <c r="AZ233" i="17"/>
  <c r="BB233" i="17"/>
  <c r="BD233" i="17"/>
  <c r="BF233" i="17"/>
  <c r="BH233" i="17"/>
  <c r="BJ233" i="17"/>
  <c r="BK220" i="17"/>
  <c r="H236" i="17"/>
  <c r="J236" i="17"/>
  <c r="L236" i="17"/>
  <c r="N236" i="17"/>
  <c r="P236" i="17"/>
  <c r="R236" i="17"/>
  <c r="T236" i="17"/>
  <c r="V236" i="17"/>
  <c r="X236" i="17"/>
  <c r="Z236" i="17"/>
  <c r="AB236" i="17"/>
  <c r="AD236" i="17"/>
  <c r="AF236" i="17"/>
  <c r="AH236" i="17"/>
  <c r="AJ236" i="17"/>
  <c r="AL236" i="17"/>
  <c r="AN236" i="17"/>
  <c r="AP236" i="17"/>
  <c r="AR236" i="17"/>
  <c r="AT236" i="17"/>
  <c r="AV236" i="17"/>
  <c r="AX236" i="17"/>
  <c r="AZ236" i="17"/>
  <c r="BB236" i="17"/>
  <c r="BD236" i="17"/>
  <c r="BF236" i="17"/>
  <c r="BH236" i="17"/>
  <c r="BJ236" i="17"/>
  <c r="BK223" i="17"/>
  <c r="J17" i="11"/>
  <c r="O17" i="11"/>
  <c r="T17" i="11"/>
  <c r="Y17" i="11"/>
  <c r="AD17" i="11"/>
  <c r="AI17" i="11"/>
  <c r="AN17" i="11"/>
  <c r="AS17" i="11"/>
  <c r="AX17" i="11"/>
  <c r="BC17" i="11"/>
  <c r="BH17" i="11"/>
  <c r="BM17" i="11"/>
  <c r="BR17" i="11"/>
  <c r="BW17" i="11"/>
  <c r="CB17" i="11"/>
  <c r="CG17" i="11"/>
  <c r="CL17" i="11"/>
  <c r="CQ17" i="11"/>
  <c r="CV17" i="11"/>
  <c r="DA17" i="11"/>
  <c r="DF17" i="11"/>
  <c r="CR32" i="11"/>
  <c r="DB32" i="11"/>
  <c r="O41" i="11"/>
  <c r="Y41" i="11"/>
  <c r="AC41" i="11" s="1"/>
  <c r="AI41" i="11"/>
  <c r="AS41" i="11"/>
  <c r="AW41" i="11" s="1"/>
  <c r="BC41" i="11"/>
  <c r="BM41" i="11"/>
  <c r="BQ41" i="11" s="1"/>
  <c r="BW41" i="11"/>
  <c r="CG41" i="11"/>
  <c r="CK41" i="11" s="1"/>
  <c r="CQ41" i="11"/>
  <c r="T42" i="11"/>
  <c r="AD42" i="11"/>
  <c r="AN42" i="11"/>
  <c r="AX42" i="11"/>
  <c r="BB42" i="11" s="1"/>
  <c r="BH42" i="11"/>
  <c r="BR42" i="11"/>
  <c r="CB42" i="11"/>
  <c r="CL42" i="11"/>
  <c r="CK42" i="11" s="1"/>
  <c r="CV42" i="11"/>
  <c r="CU42" i="11" s="1"/>
  <c r="O102" i="11"/>
  <c r="Y102" i="11"/>
  <c r="AI102" i="11"/>
  <c r="AS102" i="11"/>
  <c r="BC102" i="11"/>
  <c r="BM102" i="11"/>
  <c r="BW102" i="11"/>
  <c r="CG102" i="11"/>
  <c r="CQ102" i="11"/>
  <c r="DA102" i="11"/>
  <c r="DK102" i="11"/>
  <c r="DP126" i="11" s="1"/>
  <c r="O109" i="11"/>
  <c r="Y109" i="11"/>
  <c r="AI109" i="11"/>
  <c r="AS109" i="11"/>
  <c r="BC109" i="11"/>
  <c r="BM109" i="11"/>
  <c r="BW109" i="11"/>
  <c r="CG109" i="11"/>
  <c r="CQ109" i="11"/>
  <c r="DA109" i="11"/>
  <c r="T110" i="11"/>
  <c r="AD110" i="11"/>
  <c r="AN110" i="11"/>
  <c r="AX110" i="11"/>
  <c r="BH110" i="11"/>
  <c r="BR110" i="11"/>
  <c r="CB110" i="11"/>
  <c r="CL110" i="11"/>
  <c r="CV110" i="11"/>
  <c r="DF110" i="11"/>
  <c r="O116" i="11"/>
  <c r="Y116" i="11"/>
  <c r="AI116" i="11"/>
  <c r="AO116" i="11" s="1"/>
  <c r="AS116" i="11"/>
  <c r="AT116" i="11" s="1"/>
  <c r="BC116" i="11"/>
  <c r="BI116" i="11" s="1"/>
  <c r="BM116" i="11"/>
  <c r="BW116" i="11"/>
  <c r="CC116" i="11" s="1"/>
  <c r="CG116" i="11"/>
  <c r="CH116" i="11" s="1"/>
  <c r="CQ116" i="11"/>
  <c r="CW116" i="11" s="1"/>
  <c r="DA116" i="11"/>
  <c r="O117" i="11"/>
  <c r="Y117" i="11"/>
  <c r="AI117" i="11"/>
  <c r="AS117" i="11"/>
  <c r="BC117" i="11"/>
  <c r="BM117" i="11"/>
  <c r="BW117" i="11"/>
  <c r="CG117" i="11"/>
  <c r="CQ117" i="11"/>
  <c r="DA117" i="11"/>
  <c r="DK117" i="11"/>
  <c r="DQ117" i="11" s="1"/>
  <c r="O118" i="11"/>
  <c r="U118" i="11" s="1"/>
  <c r="Y118" i="11"/>
  <c r="AE118" i="11" s="1"/>
  <c r="AI118" i="11"/>
  <c r="AO118" i="11" s="1"/>
  <c r="AS118" i="11"/>
  <c r="AY118" i="11" s="1"/>
  <c r="BC118" i="11"/>
  <c r="BI118" i="11" s="1"/>
  <c r="BM118" i="11"/>
  <c r="BN118" i="11" s="1"/>
  <c r="BW118" i="11"/>
  <c r="CC118" i="11" s="1"/>
  <c r="CG118" i="11"/>
  <c r="CM118" i="11" s="1"/>
  <c r="CQ118" i="11"/>
  <c r="CW118" i="11" s="1"/>
  <c r="DA118" i="11"/>
  <c r="DG118" i="11" s="1"/>
  <c r="DK118" i="11"/>
  <c r="AD21" i="12"/>
  <c r="AE21" i="12" s="1"/>
  <c r="CT165" i="17"/>
  <c r="H260" i="12"/>
  <c r="J260" i="12"/>
  <c r="L260" i="12"/>
  <c r="N260" i="12"/>
  <c r="P260" i="12"/>
  <c r="R260" i="12"/>
  <c r="T260" i="12"/>
  <c r="V260" i="12"/>
  <c r="J306" i="12"/>
  <c r="N306" i="12"/>
  <c r="R306" i="12"/>
  <c r="V306" i="12"/>
  <c r="O285" i="17"/>
  <c r="O287" i="17" s="1"/>
  <c r="AE282" i="17"/>
  <c r="AE284" i="17" s="1"/>
  <c r="AN308" i="17"/>
  <c r="BL308" i="17"/>
  <c r="BT308" i="17"/>
  <c r="CB308" i="17"/>
  <c r="X303" i="17"/>
  <c r="X282" i="17" s="1"/>
  <c r="W285" i="17"/>
  <c r="W287" i="17" s="1"/>
  <c r="W282" i="17"/>
  <c r="W284" i="17" s="1"/>
  <c r="AV303" i="17"/>
  <c r="AV285" i="17" s="1"/>
  <c r="AV287" i="17" s="1"/>
  <c r="AU285" i="17"/>
  <c r="AU287" i="17" s="1"/>
  <c r="AR305" i="17"/>
  <c r="AS305" i="17" s="1"/>
  <c r="AT305" i="17" s="1"/>
  <c r="AQ282" i="17"/>
  <c r="AQ284" i="17" s="1"/>
  <c r="BH305" i="17"/>
  <c r="BG282" i="17"/>
  <c r="BG284" i="17" s="1"/>
  <c r="O282" i="17"/>
  <c r="O284" i="17" s="1"/>
  <c r="AY282" i="17"/>
  <c r="AY284" i="17" s="1"/>
  <c r="AE285" i="17"/>
  <c r="AE287" i="17" s="1"/>
  <c r="L308" i="17"/>
  <c r="BP308" i="17"/>
  <c r="BX308" i="17"/>
  <c r="P308" i="17"/>
  <c r="P285" i="17"/>
  <c r="P287" i="17" s="1"/>
  <c r="AF308" i="17"/>
  <c r="AF285" i="17"/>
  <c r="AF287" i="17" s="1"/>
  <c r="N42" i="11"/>
  <c r="BF115" i="2"/>
  <c r="BC116" i="2"/>
  <c r="BF117" i="2"/>
  <c r="BC267" i="2"/>
  <c r="BF268" i="2"/>
  <c r="BC269" i="2"/>
  <c r="BF270" i="2"/>
  <c r="BC271" i="2"/>
  <c r="AY267" i="2"/>
  <c r="BB268" i="2"/>
  <c r="AY269" i="2"/>
  <c r="BB270" i="2"/>
  <c r="AY271" i="2"/>
  <c r="AV305" i="17"/>
  <c r="AU282" i="17"/>
  <c r="BD305" i="17"/>
  <c r="BC282" i="17"/>
  <c r="T306" i="17"/>
  <c r="T282" i="17" s="1"/>
  <c r="S285" i="17"/>
  <c r="S282" i="17"/>
  <c r="AB306" i="17"/>
  <c r="AB282" i="17" s="1"/>
  <c r="AA285" i="17"/>
  <c r="AA282" i="17"/>
  <c r="AJ306" i="17"/>
  <c r="AJ282" i="17" s="1"/>
  <c r="AI285" i="17"/>
  <c r="AM319" i="17" s="1"/>
  <c r="AI282" i="17"/>
  <c r="AR306" i="17"/>
  <c r="AQ285" i="17"/>
  <c r="AQ319" i="17" s="1"/>
  <c r="AZ306" i="17"/>
  <c r="AZ282" i="17" s="1"/>
  <c r="AY285" i="17"/>
  <c r="AY287" i="17" s="1"/>
  <c r="BH306" i="17"/>
  <c r="BG285" i="17"/>
  <c r="K308" i="17"/>
  <c r="O308" i="17"/>
  <c r="S308" i="17"/>
  <c r="W308" i="17"/>
  <c r="AA308" i="17"/>
  <c r="AE308" i="17"/>
  <c r="AI308" i="17"/>
  <c r="AM308" i="17"/>
  <c r="AQ308" i="17"/>
  <c r="AU308" i="17"/>
  <c r="AY308" i="17"/>
  <c r="BC308" i="17"/>
  <c r="BG308" i="17"/>
  <c r="BK308" i="17"/>
  <c r="BO308" i="17"/>
  <c r="BS308" i="17"/>
  <c r="BW308" i="17"/>
  <c r="CA308" i="17"/>
  <c r="O65" i="6"/>
  <c r="U65" i="6"/>
  <c r="AA65" i="6"/>
  <c r="AG65" i="6"/>
  <c r="AM65" i="6"/>
  <c r="AS65" i="6"/>
  <c r="AY65" i="6"/>
  <c r="BE65" i="6"/>
  <c r="BD115" i="2"/>
  <c r="BD117" i="2"/>
  <c r="BA267" i="2"/>
  <c r="BE267" i="2"/>
  <c r="AZ268" i="2"/>
  <c r="BD268" i="2"/>
  <c r="BA269" i="2"/>
  <c r="BE269" i="2"/>
  <c r="AZ270" i="2"/>
  <c r="BD270" i="2"/>
  <c r="BA271" i="2"/>
  <c r="BE271" i="2"/>
  <c r="D264" i="2"/>
  <c r="AU263" i="2" s="1"/>
  <c r="I372" i="12"/>
  <c r="K372" i="12"/>
  <c r="M372" i="12"/>
  <c r="O372" i="12"/>
  <c r="Q372" i="12"/>
  <c r="S372" i="12"/>
  <c r="U372" i="12"/>
  <c r="W372" i="12"/>
  <c r="Y372" i="12"/>
  <c r="U305" i="17"/>
  <c r="V305" i="17" s="1"/>
  <c r="AC305" i="17"/>
  <c r="AD305" i="17" s="1"/>
  <c r="AK305" i="17"/>
  <c r="AL305" i="17" s="1"/>
  <c r="BA305" i="17"/>
  <c r="BB305" i="17" s="1"/>
  <c r="BQ305" i="17"/>
  <c r="BR305" i="17" s="1"/>
  <c r="BY305" i="17"/>
  <c r="BZ305" i="17" s="1"/>
  <c r="I374" i="12"/>
  <c r="K374" i="12"/>
  <c r="M374" i="12"/>
  <c r="O374" i="12"/>
  <c r="Q374" i="12"/>
  <c r="S374" i="12"/>
  <c r="U374" i="12"/>
  <c r="W374" i="12"/>
  <c r="Y374" i="12"/>
  <c r="J375" i="12"/>
  <c r="L375" i="12"/>
  <c r="N375" i="12"/>
  <c r="P375" i="12"/>
  <c r="R375" i="12"/>
  <c r="T375" i="12"/>
  <c r="V375" i="12"/>
  <c r="X375" i="12"/>
  <c r="C262" i="2"/>
  <c r="AT262" i="2" s="1"/>
  <c r="C263" i="2"/>
  <c r="AT264" i="2" s="1"/>
  <c r="Q305" i="17"/>
  <c r="R305" i="17" s="1"/>
  <c r="P282" i="17"/>
  <c r="P284" i="17" s="1"/>
  <c r="Y305" i="17"/>
  <c r="Z305" i="17" s="1"/>
  <c r="AG305" i="17"/>
  <c r="AH305" i="17" s="1"/>
  <c r="AF282" i="17"/>
  <c r="BM305" i="17"/>
  <c r="BN305" i="17" s="1"/>
  <c r="BU305" i="17"/>
  <c r="BV305" i="17" s="1"/>
  <c r="CC305" i="17"/>
  <c r="CD305" i="17" s="1"/>
  <c r="D262" i="2"/>
  <c r="AU262" i="2" s="1"/>
  <c r="C264" i="2"/>
  <c r="AT263" i="2" s="1"/>
  <c r="D263" i="2"/>
  <c r="AU264" i="2" s="1"/>
  <c r="M303" i="17"/>
  <c r="Q303" i="17"/>
  <c r="U303" i="17"/>
  <c r="AC303" i="17"/>
  <c r="AG303" i="17"/>
  <c r="AK303" i="17"/>
  <c r="AO303" i="17"/>
  <c r="AS303" i="17"/>
  <c r="BA303" i="17"/>
  <c r="BE303" i="17"/>
  <c r="BI303" i="17"/>
  <c r="BM303" i="17"/>
  <c r="BQ303" i="17"/>
  <c r="BU303" i="17"/>
  <c r="BY303" i="17"/>
  <c r="CC303" i="17"/>
  <c r="M103" i="20"/>
  <c r="AD103" i="20" s="1"/>
  <c r="BC115" i="2"/>
  <c r="O103" i="20"/>
  <c r="AF103" i="20" s="1"/>
  <c r="BE115" i="2"/>
  <c r="N104" i="20"/>
  <c r="AE104" i="20" s="1"/>
  <c r="BD116" i="2"/>
  <c r="O105" i="20"/>
  <c r="AF105" i="20" s="1"/>
  <c r="BE117" i="2"/>
  <c r="BC123" i="2"/>
  <c r="AZ267" i="2"/>
  <c r="BB267" i="2"/>
  <c r="BD267" i="2"/>
  <c r="BF267" i="2"/>
  <c r="AY268" i="2"/>
  <c r="BA268" i="2"/>
  <c r="BC268" i="2"/>
  <c r="BE268" i="2"/>
  <c r="AZ269" i="2"/>
  <c r="BB269" i="2"/>
  <c r="BD269" i="2"/>
  <c r="BF269" i="2"/>
  <c r="AY270" i="2"/>
  <c r="BA270" i="2"/>
  <c r="BC270" i="2"/>
  <c r="BE270" i="2"/>
  <c r="AZ271" i="2"/>
  <c r="BB271" i="2"/>
  <c r="BD271" i="2"/>
  <c r="BF271" i="2"/>
  <c r="DN7" i="11" l="1"/>
  <c r="AB27" i="8"/>
  <c r="AC30" i="8"/>
  <c r="AC27" i="8" s="1"/>
  <c r="X188" i="8"/>
  <c r="X27" i="8"/>
  <c r="Z188" i="8"/>
  <c r="Z27" i="8"/>
  <c r="AC61" i="8"/>
  <c r="AC50" i="8"/>
  <c r="W188" i="8"/>
  <c r="W195" i="8" s="1"/>
  <c r="W27" i="8"/>
  <c r="AA188" i="8"/>
  <c r="AA27" i="8"/>
  <c r="AC63" i="8"/>
  <c r="AC52" i="8"/>
  <c r="AB551" i="7"/>
  <c r="BC117" i="2"/>
  <c r="H117" i="2"/>
  <c r="I105" i="20" s="1"/>
  <c r="Z105" i="20" s="1"/>
  <c r="AB191" i="8"/>
  <c r="AB542" i="7"/>
  <c r="AC41" i="12"/>
  <c r="DM64" i="11" s="1"/>
  <c r="AC224" i="12"/>
  <c r="DP64" i="11"/>
  <c r="DP65" i="11" s="1"/>
  <c r="DL118" i="11"/>
  <c r="DQ118" i="11"/>
  <c r="DN119" i="11"/>
  <c r="DO119" i="11" s="1"/>
  <c r="DQ119" i="11"/>
  <c r="DN102" i="11"/>
  <c r="DO102" i="11" s="1"/>
  <c r="DQ102" i="11"/>
  <c r="DQ111" i="11" s="1"/>
  <c r="DN101" i="11"/>
  <c r="AC175" i="12" s="1"/>
  <c r="DQ101" i="11"/>
  <c r="DN87" i="11"/>
  <c r="DO87" i="11" s="1"/>
  <c r="DQ87" i="11"/>
  <c r="DQ96" i="11" s="1"/>
  <c r="DQ86" i="11"/>
  <c r="DN35" i="11"/>
  <c r="DO35" i="11" s="1"/>
  <c r="DO7" i="11" s="1"/>
  <c r="DQ35" i="11"/>
  <c r="DN50" i="11"/>
  <c r="DO50" i="11" s="1"/>
  <c r="DO8" i="11" s="1"/>
  <c r="DP8" i="11" s="1"/>
  <c r="DQ8" i="11" s="1"/>
  <c r="DQ50" i="11"/>
  <c r="DS50" i="11"/>
  <c r="DU50" i="11" s="1"/>
  <c r="DX50" i="11" s="1"/>
  <c r="DZ50" i="11" s="1"/>
  <c r="EA50" i="11" s="1"/>
  <c r="AE199" i="12" s="1"/>
  <c r="DN63" i="11"/>
  <c r="DO63" i="11" s="1"/>
  <c r="DQ63" i="11"/>
  <c r="DN58" i="11"/>
  <c r="DQ58" i="11"/>
  <c r="DN59" i="11"/>
  <c r="DO59" i="11" s="1"/>
  <c r="DQ59" i="11"/>
  <c r="AB212" i="7"/>
  <c r="AB309" i="7"/>
  <c r="AB270" i="7"/>
  <c r="AB146" i="8"/>
  <c r="AB115" i="8"/>
  <c r="AB188" i="8"/>
  <c r="AB112" i="8"/>
  <c r="AB144" i="8"/>
  <c r="AB164" i="8"/>
  <c r="AB143" i="8" s="1"/>
  <c r="AZ115" i="2"/>
  <c r="O89" i="6"/>
  <c r="AY89" i="6"/>
  <c r="AM89" i="6"/>
  <c r="AA89" i="6"/>
  <c r="AA145" i="8"/>
  <c r="AA169" i="8" s="1"/>
  <c r="AA164" i="8"/>
  <c r="BE89" i="6"/>
  <c r="AG89" i="6"/>
  <c r="AS89" i="6"/>
  <c r="U89" i="6"/>
  <c r="DG72" i="11"/>
  <c r="CP307" i="17"/>
  <c r="AB375" i="12" s="1"/>
  <c r="AB371" i="12"/>
  <c r="CH307" i="17"/>
  <c r="Z375" i="12" s="1"/>
  <c r="Z371" i="12"/>
  <c r="CL307" i="17"/>
  <c r="AA375" i="12" s="1"/>
  <c r="AA371" i="12"/>
  <c r="CO190" i="17"/>
  <c r="J247" i="7"/>
  <c r="J241" i="7"/>
  <c r="E221" i="2"/>
  <c r="AV221" i="2" s="1"/>
  <c r="AC657" i="7"/>
  <c r="AB500" i="7"/>
  <c r="AT143" i="2"/>
  <c r="L241" i="7"/>
  <c r="AV95" i="6"/>
  <c r="BM269" i="17"/>
  <c r="DQ46" i="6"/>
  <c r="DT46" i="6" s="1"/>
  <c r="L95" i="6"/>
  <c r="O233" i="7"/>
  <c r="Y243" i="12"/>
  <c r="J233" i="7"/>
  <c r="O247" i="7"/>
  <c r="AB147" i="7"/>
  <c r="AB238" i="12"/>
  <c r="AA523" i="7"/>
  <c r="AB529" i="7"/>
  <c r="AB545" i="7"/>
  <c r="AB548" i="7"/>
  <c r="AB501" i="7"/>
  <c r="AW84" i="6"/>
  <c r="AK84" i="6"/>
  <c r="AW77" i="6"/>
  <c r="AK60" i="6"/>
  <c r="AW58" i="6"/>
  <c r="M58" i="6"/>
  <c r="AW73" i="6"/>
  <c r="S79" i="6"/>
  <c r="BC59" i="6"/>
  <c r="AQ59" i="6"/>
  <c r="AE59" i="6"/>
  <c r="Y58" i="6"/>
  <c r="AV59" i="6"/>
  <c r="AU55" i="6"/>
  <c r="AO54" i="6"/>
  <c r="R241" i="7"/>
  <c r="AA112" i="8"/>
  <c r="S95" i="6"/>
  <c r="AI95" i="6"/>
  <c r="N87" i="6"/>
  <c r="AE95" i="6"/>
  <c r="X85" i="6"/>
  <c r="AJ94" i="6"/>
  <c r="L94" i="6"/>
  <c r="AV81" i="6"/>
  <c r="AJ79" i="6"/>
  <c r="L79" i="6"/>
  <c r="AD60" i="6"/>
  <c r="AV94" i="6"/>
  <c r="X94" i="6"/>
  <c r="AV76" i="6"/>
  <c r="BB60" i="6"/>
  <c r="R84" i="6"/>
  <c r="AD77" i="6"/>
  <c r="AJ81" i="6"/>
  <c r="L81" i="6"/>
  <c r="BB80" i="6"/>
  <c r="AP80" i="6"/>
  <c r="R80" i="6"/>
  <c r="X76" i="6"/>
  <c r="AD73" i="6"/>
  <c r="X79" i="6"/>
  <c r="X63" i="6"/>
  <c r="L63" i="6"/>
  <c r="AJ59" i="6"/>
  <c r="L59" i="6"/>
  <c r="AV57" i="6"/>
  <c r="X57" i="6"/>
  <c r="AQ94" i="6"/>
  <c r="S94" i="6"/>
  <c r="M84" i="6"/>
  <c r="BC82" i="6"/>
  <c r="AQ82" i="6"/>
  <c r="S82" i="6"/>
  <c r="Y77" i="6"/>
  <c r="AE81" i="6"/>
  <c r="AK73" i="6"/>
  <c r="M73" i="6"/>
  <c r="AQ79" i="6"/>
  <c r="AE79" i="6"/>
  <c r="AW60" i="6"/>
  <c r="AK58" i="6"/>
  <c r="AQ57" i="6"/>
  <c r="AO56" i="6"/>
  <c r="Q56" i="6"/>
  <c r="AJ95" i="6"/>
  <c r="BC95" i="6"/>
  <c r="K95" i="6"/>
  <c r="AX87" i="6"/>
  <c r="Z87" i="6"/>
  <c r="AJ85" i="6"/>
  <c r="AP84" i="6"/>
  <c r="AD84" i="6"/>
  <c r="AJ82" i="6"/>
  <c r="L82" i="6"/>
  <c r="BB77" i="6"/>
  <c r="X81" i="6"/>
  <c r="AJ76" i="6"/>
  <c r="L76" i="6"/>
  <c r="AP73" i="6"/>
  <c r="R73" i="6"/>
  <c r="AV79" i="6"/>
  <c r="AJ63" i="6"/>
  <c r="X59" i="6"/>
  <c r="L57" i="6"/>
  <c r="AE94" i="6"/>
  <c r="Y84" i="6"/>
  <c r="AE82" i="6"/>
  <c r="M77" i="6"/>
  <c r="BC81" i="6"/>
  <c r="AQ81" i="6"/>
  <c r="S81" i="6"/>
  <c r="Y73" i="6"/>
  <c r="BC79" i="6"/>
  <c r="Y60" i="6"/>
  <c r="AI55" i="6"/>
  <c r="W55" i="6"/>
  <c r="K55" i="6"/>
  <c r="AC54" i="6"/>
  <c r="Q54" i="6"/>
  <c r="X95" i="6"/>
  <c r="AV85" i="6"/>
  <c r="L85" i="6"/>
  <c r="Q233" i="7"/>
  <c r="Q247" i="7"/>
  <c r="BB94" i="6"/>
  <c r="AD94" i="6"/>
  <c r="AJ84" i="6"/>
  <c r="X84" i="6"/>
  <c r="AD82" i="6"/>
  <c r="AV77" i="6"/>
  <c r="AJ77" i="6"/>
  <c r="L77" i="6"/>
  <c r="BB81" i="6"/>
  <c r="AP81" i="6"/>
  <c r="R81" i="6"/>
  <c r="X80" i="6"/>
  <c r="AD76" i="6"/>
  <c r="AV73" i="6"/>
  <c r="AJ73" i="6"/>
  <c r="L73" i="6"/>
  <c r="R233" i="7"/>
  <c r="AP79" i="6"/>
  <c r="N233" i="7"/>
  <c r="AV60" i="6"/>
  <c r="AP63" i="6"/>
  <c r="R63" i="6"/>
  <c r="AJ58" i="6"/>
  <c r="AP57" i="6"/>
  <c r="R57" i="6"/>
  <c r="P247" i="7"/>
  <c r="N247" i="7"/>
  <c r="Y94" i="6"/>
  <c r="S84" i="6"/>
  <c r="Y82" i="6"/>
  <c r="AE77" i="6"/>
  <c r="AW81" i="6"/>
  <c r="AK81" i="6"/>
  <c r="M81" i="6"/>
  <c r="BC73" i="6"/>
  <c r="AQ73" i="6"/>
  <c r="S73" i="6"/>
  <c r="AW79" i="6"/>
  <c r="O241" i="7"/>
  <c r="S60" i="6"/>
  <c r="AW59" i="6"/>
  <c r="AK59" i="6"/>
  <c r="Y59" i="6"/>
  <c r="BC58" i="6"/>
  <c r="S58" i="6"/>
  <c r="AW57" i="6"/>
  <c r="M57" i="6"/>
  <c r="AU56" i="6"/>
  <c r="AO55" i="6"/>
  <c r="AC55" i="6"/>
  <c r="Q55" i="6"/>
  <c r="AU54" i="6"/>
  <c r="W54" i="6"/>
  <c r="K54" i="6"/>
  <c r="BB95" i="6"/>
  <c r="R95" i="6"/>
  <c r="AK95" i="6"/>
  <c r="M95" i="6"/>
  <c r="AO95" i="6"/>
  <c r="AC95" i="6"/>
  <c r="Q95" i="6"/>
  <c r="AX86" i="6"/>
  <c r="AL86" i="6"/>
  <c r="Z86" i="6"/>
  <c r="AP85" i="6"/>
  <c r="BB67" i="6"/>
  <c r="N241" i="7"/>
  <c r="M247" i="7"/>
  <c r="M241" i="7"/>
  <c r="L233" i="7"/>
  <c r="L247" i="7"/>
  <c r="K247" i="7"/>
  <c r="K233" i="7"/>
  <c r="P241" i="7"/>
  <c r="AV84" i="6"/>
  <c r="L84" i="6"/>
  <c r="BB82" i="6"/>
  <c r="AP82" i="6"/>
  <c r="R82" i="6"/>
  <c r="X77" i="6"/>
  <c r="AD81" i="6"/>
  <c r="AV80" i="6"/>
  <c r="L80" i="6"/>
  <c r="BB76" i="6"/>
  <c r="AP76" i="6"/>
  <c r="R76" i="6"/>
  <c r="X73" i="6"/>
  <c r="BB79" i="6"/>
  <c r="P233" i="7"/>
  <c r="AD79" i="6"/>
  <c r="AJ60" i="6"/>
  <c r="X60" i="6"/>
  <c r="L60" i="6"/>
  <c r="BB63" i="6"/>
  <c r="AD63" i="6"/>
  <c r="AV62" i="6"/>
  <c r="X62" i="6"/>
  <c r="R59" i="6"/>
  <c r="X58" i="6"/>
  <c r="BB57" i="6"/>
  <c r="AD57" i="6"/>
  <c r="R247" i="7"/>
  <c r="AW94" i="6"/>
  <c r="AK94" i="6"/>
  <c r="M94" i="6"/>
  <c r="BC84" i="6"/>
  <c r="AQ84" i="6"/>
  <c r="AE84" i="6"/>
  <c r="AW82" i="6"/>
  <c r="AK82" i="6"/>
  <c r="M82" i="6"/>
  <c r="BC77" i="6"/>
  <c r="AQ77" i="6"/>
  <c r="S77" i="6"/>
  <c r="Y81" i="6"/>
  <c r="AE73" i="6"/>
  <c r="Q241" i="7"/>
  <c r="AK79" i="6"/>
  <c r="Y79" i="6"/>
  <c r="AQ60" i="6"/>
  <c r="AE60" i="6"/>
  <c r="M59" i="6"/>
  <c r="AE58" i="6"/>
  <c r="AK57" i="6"/>
  <c r="Y57" i="6"/>
  <c r="AI56" i="6"/>
  <c r="W56" i="6"/>
  <c r="K56" i="6"/>
  <c r="BA55" i="6"/>
  <c r="AI54" i="6"/>
  <c r="AP95" i="6"/>
  <c r="AD95" i="6"/>
  <c r="AW95" i="6"/>
  <c r="Y95" i="6"/>
  <c r="BD87" i="6"/>
  <c r="AR87" i="6"/>
  <c r="AF87" i="6"/>
  <c r="T87" i="6"/>
  <c r="BB85" i="6"/>
  <c r="AD85" i="6"/>
  <c r="R85" i="6"/>
  <c r="M233" i="7"/>
  <c r="K241" i="7"/>
  <c r="AA735" i="7"/>
  <c r="Y237" i="12"/>
  <c r="DK46" i="6"/>
  <c r="DK95" i="6" s="1"/>
  <c r="Z237" i="12"/>
  <c r="CV73" i="11"/>
  <c r="CV74" i="11" s="1"/>
  <c r="AE116" i="11"/>
  <c r="J613" i="7"/>
  <c r="DW46" i="6"/>
  <c r="AG116" i="11"/>
  <c r="AH116" i="11" s="1"/>
  <c r="W116" i="11"/>
  <c r="X116" i="11" s="1"/>
  <c r="K217" i="7"/>
  <c r="K216" i="7"/>
  <c r="K218" i="7"/>
  <c r="K238" i="7"/>
  <c r="K230" i="7"/>
  <c r="K244" i="7"/>
  <c r="I216" i="7"/>
  <c r="I218" i="7"/>
  <c r="I217" i="7"/>
  <c r="I238" i="7"/>
  <c r="I244" i="7"/>
  <c r="I230" i="7"/>
  <c r="I149" i="7"/>
  <c r="H157" i="7"/>
  <c r="H752" i="7"/>
  <c r="H756" i="7" s="1"/>
  <c r="H660" i="7" s="1"/>
  <c r="H674" i="7" s="1"/>
  <c r="K23" i="7"/>
  <c r="K36" i="7"/>
  <c r="I23" i="7"/>
  <c r="I36" i="7"/>
  <c r="M116" i="11"/>
  <c r="N116" i="11" s="1"/>
  <c r="H284" i="7"/>
  <c r="H779" i="7"/>
  <c r="H270" i="7"/>
  <c r="H262" i="7"/>
  <c r="J224" i="7"/>
  <c r="J777" i="7"/>
  <c r="J212" i="7"/>
  <c r="J206" i="7"/>
  <c r="AG11" i="6"/>
  <c r="K768" i="7"/>
  <c r="K772" i="7" s="1"/>
  <c r="K773" i="7" s="1"/>
  <c r="K774" i="7" s="1"/>
  <c r="G316" i="7"/>
  <c r="G780" i="7"/>
  <c r="G303" i="7"/>
  <c r="I284" i="7"/>
  <c r="I779" i="7"/>
  <c r="I270" i="7"/>
  <c r="I262" i="7"/>
  <c r="K204" i="7"/>
  <c r="AG30" i="6" s="1"/>
  <c r="G541" i="7"/>
  <c r="J500" i="7"/>
  <c r="J723" i="7"/>
  <c r="J725" i="7" s="1"/>
  <c r="J511" i="7"/>
  <c r="J491" i="7"/>
  <c r="K723" i="7"/>
  <c r="K725" i="7" s="1"/>
  <c r="K511" i="7"/>
  <c r="K500" i="7"/>
  <c r="K491" i="7"/>
  <c r="G160" i="7"/>
  <c r="I426" i="7"/>
  <c r="K555" i="7"/>
  <c r="K736" i="7"/>
  <c r="K737" i="7" s="1"/>
  <c r="G136" i="7"/>
  <c r="G155" i="7" s="1"/>
  <c r="H149" i="7"/>
  <c r="G157" i="7"/>
  <c r="G752" i="7"/>
  <c r="G756" i="7" s="1"/>
  <c r="G660" i="7" s="1"/>
  <c r="G674" i="7" s="1"/>
  <c r="J627" i="7"/>
  <c r="J451" i="7"/>
  <c r="H155" i="7"/>
  <c r="H613" i="7"/>
  <c r="K119" i="7"/>
  <c r="K236" i="7" s="1"/>
  <c r="J181" i="7"/>
  <c r="J128" i="7"/>
  <c r="J82" i="7"/>
  <c r="J119" i="7"/>
  <c r="J236" i="7" s="1"/>
  <c r="J432" i="7"/>
  <c r="J444" i="7"/>
  <c r="J654" i="7"/>
  <c r="G82" i="7"/>
  <c r="G128" i="7"/>
  <c r="G180" i="7"/>
  <c r="G77" i="7"/>
  <c r="G127" i="7"/>
  <c r="G115" i="7"/>
  <c r="H423" i="7"/>
  <c r="H87" i="7"/>
  <c r="H182" i="7"/>
  <c r="H120" i="7"/>
  <c r="H129" i="7"/>
  <c r="H113" i="7"/>
  <c r="I119" i="7"/>
  <c r="I236" i="7" s="1"/>
  <c r="I128" i="7"/>
  <c r="I82" i="7"/>
  <c r="J77" i="7"/>
  <c r="J127" i="7"/>
  <c r="J115" i="7"/>
  <c r="J118" i="7"/>
  <c r="K182" i="7"/>
  <c r="K87" i="7"/>
  <c r="K423" i="7"/>
  <c r="K428" i="7" s="1"/>
  <c r="K113" i="7"/>
  <c r="K129" i="7"/>
  <c r="K120" i="7"/>
  <c r="J329" i="7"/>
  <c r="H204" i="7"/>
  <c r="H568" i="7" s="1"/>
  <c r="H569" i="7" s="1"/>
  <c r="I773" i="7"/>
  <c r="I774" i="7" s="1"/>
  <c r="K778" i="7"/>
  <c r="K348" i="7"/>
  <c r="K330" i="7"/>
  <c r="G284" i="7"/>
  <c r="G779" i="7"/>
  <c r="G262" i="7"/>
  <c r="I224" i="7"/>
  <c r="I777" i="7"/>
  <c r="I206" i="7"/>
  <c r="H488" i="7"/>
  <c r="I511" i="7"/>
  <c r="I723" i="7"/>
  <c r="I725" i="7" s="1"/>
  <c r="I491" i="7"/>
  <c r="G451" i="7"/>
  <c r="G627" i="7"/>
  <c r="I736" i="7"/>
  <c r="I737" i="7" s="1"/>
  <c r="I555" i="7"/>
  <c r="K512" i="7"/>
  <c r="K501" i="7"/>
  <c r="K740" i="7"/>
  <c r="K742" i="7" s="1"/>
  <c r="H426" i="7"/>
  <c r="J542" i="7"/>
  <c r="J545" i="7" s="1"/>
  <c r="H181" i="7"/>
  <c r="H128" i="7"/>
  <c r="H82" i="7"/>
  <c r="H119" i="7"/>
  <c r="H236" i="7" s="1"/>
  <c r="I113" i="7"/>
  <c r="I129" i="7"/>
  <c r="I120" i="7"/>
  <c r="I182" i="7"/>
  <c r="I87" i="7"/>
  <c r="I423" i="7"/>
  <c r="H654" i="7"/>
  <c r="H432" i="7"/>
  <c r="H444" i="7"/>
  <c r="K432" i="7"/>
  <c r="K444" i="7"/>
  <c r="K654" i="7"/>
  <c r="G444" i="7"/>
  <c r="G654" i="7"/>
  <c r="K276" i="7"/>
  <c r="K289" i="7"/>
  <c r="H217" i="7"/>
  <c r="H216" i="7"/>
  <c r="H218" i="7"/>
  <c r="H238" i="7"/>
  <c r="H230" i="7"/>
  <c r="H244" i="7"/>
  <c r="I272" i="7"/>
  <c r="I261" i="7"/>
  <c r="J272" i="7"/>
  <c r="J261" i="7"/>
  <c r="J276" i="7"/>
  <c r="J289" i="7"/>
  <c r="K568" i="7"/>
  <c r="K569" i="7" s="1"/>
  <c r="J23" i="7"/>
  <c r="J36" i="7"/>
  <c r="H23" i="7"/>
  <c r="H36" i="7"/>
  <c r="H339" i="7"/>
  <c r="H348" i="7"/>
  <c r="H778" i="7"/>
  <c r="H330" i="7"/>
  <c r="J309" i="7"/>
  <c r="J780" i="7"/>
  <c r="J316" i="7"/>
  <c r="J303" i="7"/>
  <c r="I11" i="6"/>
  <c r="G768" i="7"/>
  <c r="G772" i="7" s="1"/>
  <c r="G773" i="7" s="1"/>
  <c r="G774" i="7" s="1"/>
  <c r="I329" i="7"/>
  <c r="U28" i="6" s="1"/>
  <c r="K316" i="7"/>
  <c r="K780" i="7"/>
  <c r="K309" i="7"/>
  <c r="K303" i="7"/>
  <c r="G777" i="7"/>
  <c r="G224" i="7"/>
  <c r="G206" i="7"/>
  <c r="J554" i="7"/>
  <c r="J548" i="7"/>
  <c r="J719" i="7"/>
  <c r="J720" i="7" s="1"/>
  <c r="K719" i="7"/>
  <c r="K720" i="7" s="1"/>
  <c r="K548" i="7"/>
  <c r="K545" i="7"/>
  <c r="K554" i="7"/>
  <c r="G723" i="7"/>
  <c r="G725" i="7" s="1"/>
  <c r="G511" i="7"/>
  <c r="G491" i="7"/>
  <c r="J143" i="7"/>
  <c r="X18" i="6" s="1"/>
  <c r="K143" i="7"/>
  <c r="G555" i="7"/>
  <c r="G736" i="7"/>
  <c r="G737" i="7" s="1"/>
  <c r="I501" i="7"/>
  <c r="I512" i="7"/>
  <c r="I740" i="7"/>
  <c r="I742" i="7" s="1"/>
  <c r="K155" i="7"/>
  <c r="K147" i="7"/>
  <c r="K149" i="7"/>
  <c r="K157" i="7"/>
  <c r="K752" i="7"/>
  <c r="K756" i="7" s="1"/>
  <c r="K660" i="7" s="1"/>
  <c r="K674" i="7" s="1"/>
  <c r="H542" i="7"/>
  <c r="I549" i="7" s="1"/>
  <c r="J512" i="7"/>
  <c r="J740" i="7"/>
  <c r="J742" i="7" s="1"/>
  <c r="J501" i="7"/>
  <c r="I77" i="7"/>
  <c r="I180" i="7"/>
  <c r="I127" i="7"/>
  <c r="I115" i="7"/>
  <c r="I118" i="7"/>
  <c r="J129" i="7"/>
  <c r="J182" i="7"/>
  <c r="J423" i="7"/>
  <c r="J120" i="7"/>
  <c r="J113" i="7"/>
  <c r="J87" i="7"/>
  <c r="K181" i="7"/>
  <c r="K128" i="7"/>
  <c r="K82" i="7"/>
  <c r="K115" i="7"/>
  <c r="K77" i="7"/>
  <c r="K127" i="7"/>
  <c r="K118" i="7"/>
  <c r="K272" i="7"/>
  <c r="K261" i="7"/>
  <c r="J216" i="7"/>
  <c r="J217" i="7"/>
  <c r="J218" i="7"/>
  <c r="J238" i="7"/>
  <c r="J230" i="7"/>
  <c r="J244" i="7"/>
  <c r="I276" i="7"/>
  <c r="I289" i="7"/>
  <c r="H272" i="7"/>
  <c r="H261" i="7"/>
  <c r="H273" i="7" s="1"/>
  <c r="J149" i="7"/>
  <c r="J157" i="7"/>
  <c r="J752" i="7"/>
  <c r="J756" i="7" s="1"/>
  <c r="J660" i="7" s="1"/>
  <c r="J674" i="7" s="1"/>
  <c r="H276" i="7"/>
  <c r="H289" i="7"/>
  <c r="G568" i="7"/>
  <c r="G569" i="7" s="1"/>
  <c r="R301" i="12"/>
  <c r="H309" i="7"/>
  <c r="H780" i="7"/>
  <c r="H316" i="7"/>
  <c r="H303" i="7"/>
  <c r="J270" i="7"/>
  <c r="J779" i="7"/>
  <c r="J284" i="7"/>
  <c r="J262" i="7"/>
  <c r="G348" i="7"/>
  <c r="G778" i="7"/>
  <c r="G330" i="7"/>
  <c r="I316" i="7"/>
  <c r="I780" i="7"/>
  <c r="I309" i="7"/>
  <c r="I303" i="7"/>
  <c r="K779" i="7"/>
  <c r="K270" i="7"/>
  <c r="K284" i="7"/>
  <c r="K262" i="7"/>
  <c r="O11" i="6"/>
  <c r="H768" i="7"/>
  <c r="H772" i="7" s="1"/>
  <c r="H773" i="7" s="1"/>
  <c r="H774" i="7" s="1"/>
  <c r="H541" i="7"/>
  <c r="I548" i="7" s="1"/>
  <c r="I719" i="7"/>
  <c r="I720" i="7" s="1"/>
  <c r="I554" i="7"/>
  <c r="I545" i="7"/>
  <c r="H143" i="7"/>
  <c r="L18" i="6" s="1"/>
  <c r="I160" i="7"/>
  <c r="K451" i="7"/>
  <c r="K627" i="7"/>
  <c r="K440" i="7"/>
  <c r="G740" i="7"/>
  <c r="G742" i="7" s="1"/>
  <c r="G512" i="7"/>
  <c r="I136" i="7"/>
  <c r="I144" i="7" s="1"/>
  <c r="I157" i="7"/>
  <c r="I752" i="7"/>
  <c r="I756" i="7" s="1"/>
  <c r="I660" i="7" s="1"/>
  <c r="I674" i="7" s="1"/>
  <c r="H501" i="7"/>
  <c r="H512" i="7"/>
  <c r="H740" i="7"/>
  <c r="H742" i="7" s="1"/>
  <c r="J155" i="7"/>
  <c r="H77" i="7"/>
  <c r="H127" i="7"/>
  <c r="H118" i="7"/>
  <c r="H115" i="7"/>
  <c r="I444" i="7"/>
  <c r="I432" i="7"/>
  <c r="I654" i="7"/>
  <c r="I613" i="7"/>
  <c r="G423" i="7"/>
  <c r="G448" i="7" s="1"/>
  <c r="G113" i="7"/>
  <c r="G182" i="7"/>
  <c r="G87" i="7"/>
  <c r="G129" i="7"/>
  <c r="CG190" i="17"/>
  <c r="AA719" i="7"/>
  <c r="AA720" i="7" s="1"/>
  <c r="AA779" i="7"/>
  <c r="AA723" i="7"/>
  <c r="AA725" i="7" s="1"/>
  <c r="AB490" i="7"/>
  <c r="AR52" i="17"/>
  <c r="I103" i="20"/>
  <c r="Z103" i="20" s="1"/>
  <c r="V48" i="17"/>
  <c r="AZ117" i="2"/>
  <c r="BG33" i="17"/>
  <c r="BB117" i="2"/>
  <c r="BO33" i="17"/>
  <c r="BA117" i="2"/>
  <c r="BT269" i="17"/>
  <c r="BS269" i="17"/>
  <c r="CE33" i="17"/>
  <c r="CG247" i="17"/>
  <c r="BB115" i="2"/>
  <c r="M453" i="12"/>
  <c r="I453" i="12"/>
  <c r="V452" i="12"/>
  <c r="N452" i="12"/>
  <c r="AY116" i="2"/>
  <c r="CQ93" i="17"/>
  <c r="AB73" i="8"/>
  <c r="D194" i="2"/>
  <c r="AU194" i="2" s="1"/>
  <c r="X73" i="8"/>
  <c r="AZ116" i="2"/>
  <c r="AY123" i="2"/>
  <c r="CW14" i="17"/>
  <c r="AW269" i="17"/>
  <c r="BY190" i="17"/>
  <c r="CM33" i="17"/>
  <c r="AQ33" i="17"/>
  <c r="CR94" i="17"/>
  <c r="CA200" i="17"/>
  <c r="E261" i="2"/>
  <c r="AV261" i="2" s="1"/>
  <c r="X71" i="8"/>
  <c r="H327" i="12"/>
  <c r="CF47" i="6"/>
  <c r="CY304" i="17"/>
  <c r="CZ304" i="17" s="1"/>
  <c r="DA304" i="17" s="1"/>
  <c r="DB304" i="17" s="1"/>
  <c r="AE372" i="12" s="1"/>
  <c r="AD372" i="12"/>
  <c r="CY303" i="17"/>
  <c r="CZ303" i="17" s="1"/>
  <c r="DA303" i="17" s="1"/>
  <c r="DB303" i="17" s="1"/>
  <c r="AE371" i="12" s="1"/>
  <c r="AD371" i="12"/>
  <c r="CY305" i="17"/>
  <c r="CZ305" i="17" s="1"/>
  <c r="DA305" i="17" s="1"/>
  <c r="DB305" i="17" s="1"/>
  <c r="AE373" i="12" s="1"/>
  <c r="AD373" i="12"/>
  <c r="CS308" i="17"/>
  <c r="BS247" i="17"/>
  <c r="CD270" i="17"/>
  <c r="AN269" i="17"/>
  <c r="R348" i="7"/>
  <c r="AM269" i="17"/>
  <c r="N270" i="17"/>
  <c r="Q500" i="7"/>
  <c r="E230" i="2"/>
  <c r="AV230" i="2" s="1"/>
  <c r="AC485" i="7"/>
  <c r="N244" i="7"/>
  <c r="I73" i="8"/>
  <c r="L74" i="8" s="1"/>
  <c r="X345" i="12"/>
  <c r="P345" i="12"/>
  <c r="AB100" i="7"/>
  <c r="W73" i="8"/>
  <c r="AY33" i="17"/>
  <c r="AI33" i="17"/>
  <c r="BN270" i="17"/>
  <c r="BV143" i="17"/>
  <c r="CW280" i="17"/>
  <c r="DA280" i="17" s="1"/>
  <c r="AB101" i="7"/>
  <c r="AA346" i="12"/>
  <c r="W346" i="12"/>
  <c r="S346" i="12"/>
  <c r="O346" i="12"/>
  <c r="BI269" i="17"/>
  <c r="BU247" i="17"/>
  <c r="CK190" i="17"/>
  <c r="D157" i="2"/>
  <c r="AU157" i="2" s="1"/>
  <c r="DG95" i="11"/>
  <c r="AD48" i="17"/>
  <c r="V284" i="7"/>
  <c r="J301" i="12"/>
  <c r="BW33" i="17"/>
  <c r="H143" i="17"/>
  <c r="CG143" i="17"/>
  <c r="BQ143" i="17"/>
  <c r="BA143" i="17"/>
  <c r="AK143" i="17"/>
  <c r="U143" i="17"/>
  <c r="G143" i="17"/>
  <c r="L52" i="17"/>
  <c r="T303" i="7"/>
  <c r="X355" i="12"/>
  <c r="V355" i="12"/>
  <c r="T355" i="12"/>
  <c r="R355" i="12"/>
  <c r="P355" i="12"/>
  <c r="N355" i="12"/>
  <c r="L355" i="12"/>
  <c r="J355" i="12"/>
  <c r="H355" i="12"/>
  <c r="H195" i="8"/>
  <c r="L345" i="12"/>
  <c r="CI32" i="6"/>
  <c r="CE32" i="6" s="1"/>
  <c r="V779" i="7"/>
  <c r="W339" i="7"/>
  <c r="Q309" i="7"/>
  <c r="AM32" i="6"/>
  <c r="AI32" i="6" s="1"/>
  <c r="T719" i="7"/>
  <c r="T720" i="7" s="1"/>
  <c r="O736" i="7"/>
  <c r="O737" i="7" s="1"/>
  <c r="J421" i="12"/>
  <c r="AB18" i="8"/>
  <c r="AX270" i="17"/>
  <c r="AD270" i="17"/>
  <c r="CP200" i="17"/>
  <c r="CN143" i="17"/>
  <c r="CJ143" i="17"/>
  <c r="CF143" i="17"/>
  <c r="BX143" i="17"/>
  <c r="BT143" i="17"/>
  <c r="BP143" i="17"/>
  <c r="BH143" i="17"/>
  <c r="BD143" i="17"/>
  <c r="AZ143" i="17"/>
  <c r="AR143" i="17"/>
  <c r="AN143" i="17"/>
  <c r="AJ143" i="17"/>
  <c r="AB143" i="17"/>
  <c r="X143" i="17"/>
  <c r="T143" i="17"/>
  <c r="L143" i="17"/>
  <c r="H241" i="17"/>
  <c r="BN35" i="17"/>
  <c r="Q453" i="12"/>
  <c r="AA24" i="8"/>
  <c r="BH269" i="17"/>
  <c r="H340" i="12"/>
  <c r="H427" i="12"/>
  <c r="Z421" i="12"/>
  <c r="V256" i="12"/>
  <c r="AA58" i="12"/>
  <c r="S58" i="12"/>
  <c r="K58" i="12"/>
  <c r="Q233" i="8"/>
  <c r="L118" i="8"/>
  <c r="L125" i="8" s="1"/>
  <c r="Y218" i="8"/>
  <c r="P218" i="8"/>
  <c r="T206" i="7"/>
  <c r="X303" i="7"/>
  <c r="S768" i="7"/>
  <c r="S772" i="7" s="1"/>
  <c r="Z120" i="8"/>
  <c r="R120" i="8"/>
  <c r="J120" i="8"/>
  <c r="V327" i="12"/>
  <c r="N327" i="12"/>
  <c r="Z330" i="7"/>
  <c r="DS28" i="6"/>
  <c r="T780" i="7"/>
  <c r="AY24" i="6"/>
  <c r="AY73" i="6" s="1"/>
  <c r="P224" i="7"/>
  <c r="Y233" i="8"/>
  <c r="X427" i="12"/>
  <c r="V427" i="12"/>
  <c r="T427" i="12"/>
  <c r="R427" i="12"/>
  <c r="P427" i="12"/>
  <c r="N427" i="12"/>
  <c r="L427" i="12"/>
  <c r="R206" i="7"/>
  <c r="N779" i="7"/>
  <c r="DG30" i="6"/>
  <c r="Y181" i="8"/>
  <c r="U11" i="6"/>
  <c r="Z427" i="12"/>
  <c r="S33" i="17"/>
  <c r="H126" i="8"/>
  <c r="T71" i="8"/>
  <c r="L71" i="8"/>
  <c r="N42" i="8"/>
  <c r="CO143" i="17"/>
  <c r="BY143" i="17"/>
  <c r="BI143" i="17"/>
  <c r="AS143" i="17"/>
  <c r="AC143" i="17"/>
  <c r="M143" i="17"/>
  <c r="BR54" i="17"/>
  <c r="N71" i="8"/>
  <c r="L303" i="7"/>
  <c r="X206" i="7"/>
  <c r="I218" i="8"/>
  <c r="AB95" i="7"/>
  <c r="G340" i="12"/>
  <c r="Z778" i="7"/>
  <c r="BW28" i="6"/>
  <c r="L780" i="7"/>
  <c r="X777" i="7"/>
  <c r="BK30" i="6"/>
  <c r="AA233" i="8"/>
  <c r="DM11" i="6"/>
  <c r="I233" i="8"/>
  <c r="N160" i="7"/>
  <c r="V301" i="12"/>
  <c r="Q152" i="7"/>
  <c r="I121" i="2"/>
  <c r="J110" i="20" s="1"/>
  <c r="AA110" i="20" s="1"/>
  <c r="CL270" i="17"/>
  <c r="H71" i="8"/>
  <c r="V112" i="8"/>
  <c r="V109" i="8" s="1"/>
  <c r="N112" i="8"/>
  <c r="T330" i="7"/>
  <c r="DS30" i="6"/>
  <c r="Y273" i="12"/>
  <c r="R270" i="17"/>
  <c r="BP200" i="17"/>
  <c r="CM143" i="17"/>
  <c r="CK143" i="17"/>
  <c r="BW143" i="17"/>
  <c r="BU143" i="17"/>
  <c r="BG143" i="17"/>
  <c r="BE143" i="17"/>
  <c r="AQ143" i="17"/>
  <c r="AO143" i="17"/>
  <c r="AA143" i="17"/>
  <c r="Y143" i="17"/>
  <c r="K143" i="17"/>
  <c r="V120" i="8"/>
  <c r="N120" i="8"/>
  <c r="R330" i="7"/>
  <c r="N303" i="7"/>
  <c r="P206" i="7"/>
  <c r="Q218" i="8"/>
  <c r="AB352" i="12"/>
  <c r="AB355" i="12" s="1"/>
  <c r="N73" i="8"/>
  <c r="CJ269" i="17"/>
  <c r="BK200" i="17"/>
  <c r="AA206" i="7"/>
  <c r="R452" i="12"/>
  <c r="J452" i="12"/>
  <c r="BQ11" i="6"/>
  <c r="CX67" i="6"/>
  <c r="M346" i="12"/>
  <c r="K346" i="12"/>
  <c r="I346" i="12"/>
  <c r="I71" i="8"/>
  <c r="W112" i="8"/>
  <c r="W109" i="8" s="1"/>
  <c r="O112" i="8"/>
  <c r="G112" i="8"/>
  <c r="M206" i="7"/>
  <c r="U768" i="7"/>
  <c r="U772" i="7" s="1"/>
  <c r="M233" i="8"/>
  <c r="DG11" i="6"/>
  <c r="T213" i="12"/>
  <c r="AA453" i="12"/>
  <c r="S453" i="12"/>
  <c r="O453" i="12"/>
  <c r="O73" i="8"/>
  <c r="N778" i="7"/>
  <c r="O339" i="7"/>
  <c r="R284" i="7"/>
  <c r="W715" i="7"/>
  <c r="S715" i="7"/>
  <c r="Q715" i="7"/>
  <c r="O715" i="7"/>
  <c r="T244" i="7"/>
  <c r="W71" i="8"/>
  <c r="O71" i="8"/>
  <c r="W451" i="12"/>
  <c r="O451" i="12"/>
  <c r="V345" i="12"/>
  <c r="J345" i="12"/>
  <c r="CU32" i="6"/>
  <c r="CQ32" i="6" s="1"/>
  <c r="CV32" i="6" s="1"/>
  <c r="CV81" i="6" s="1"/>
  <c r="AY32" i="6"/>
  <c r="AU32" i="6" s="1"/>
  <c r="CC30" i="6"/>
  <c r="CC79" i="6" s="1"/>
  <c r="V719" i="7"/>
  <c r="V720" i="7" s="1"/>
  <c r="CC269" i="17"/>
  <c r="M218" i="8"/>
  <c r="Y346" i="12"/>
  <c r="R73" i="8"/>
  <c r="K269" i="17"/>
  <c r="H218" i="8"/>
  <c r="R779" i="7"/>
  <c r="AA24" i="6"/>
  <c r="AA73" i="6" s="1"/>
  <c r="T224" i="7"/>
  <c r="L777" i="7"/>
  <c r="U777" i="7"/>
  <c r="Q554" i="7"/>
  <c r="L511" i="7"/>
  <c r="Z512" i="7"/>
  <c r="T155" i="7"/>
  <c r="S416" i="12"/>
  <c r="K416" i="12"/>
  <c r="AB63" i="8"/>
  <c r="V225" i="8"/>
  <c r="AB61" i="8"/>
  <c r="AB440" i="7"/>
  <c r="CB143" i="17"/>
  <c r="BL143" i="17"/>
  <c r="AV143" i="17"/>
  <c r="AF143" i="17"/>
  <c r="P143" i="17"/>
  <c r="Q52" i="17"/>
  <c r="M52" i="17"/>
  <c r="N330" i="7"/>
  <c r="P303" i="7"/>
  <c r="Q73" i="8"/>
  <c r="X191" i="8"/>
  <c r="W330" i="7"/>
  <c r="I28" i="6"/>
  <c r="E28" i="6" s="1"/>
  <c r="BN47" i="6"/>
  <c r="AJ40" i="6"/>
  <c r="BK87" i="17"/>
  <c r="R71" i="8"/>
  <c r="V330" i="7"/>
  <c r="AA715" i="7"/>
  <c r="Y715" i="7"/>
  <c r="L206" i="7"/>
  <c r="U218" i="8"/>
  <c r="CM269" i="17"/>
  <c r="M269" i="17"/>
  <c r="L269" i="17"/>
  <c r="CI247" i="17"/>
  <c r="O330" i="7"/>
  <c r="U206" i="7"/>
  <c r="X218" i="8"/>
  <c r="N348" i="7"/>
  <c r="P316" i="7"/>
  <c r="H121" i="2"/>
  <c r="I110" i="20" s="1"/>
  <c r="Z110" i="20" s="1"/>
  <c r="AB58" i="8"/>
  <c r="AT270" i="17"/>
  <c r="CP143" i="17"/>
  <c r="BZ143" i="17"/>
  <c r="BJ143" i="17"/>
  <c r="AT143" i="17"/>
  <c r="AD143" i="17"/>
  <c r="N143" i="17"/>
  <c r="I143" i="17"/>
  <c r="Z244" i="7"/>
  <c r="X244" i="7"/>
  <c r="P244" i="7"/>
  <c r="N180" i="17"/>
  <c r="AC269" i="17"/>
  <c r="AB269" i="17"/>
  <c r="S206" i="7"/>
  <c r="E222" i="2"/>
  <c r="AV222" i="2" s="1"/>
  <c r="V218" i="8"/>
  <c r="P340" i="12"/>
  <c r="CI28" i="6"/>
  <c r="CO77" i="6" s="1"/>
  <c r="V316" i="7"/>
  <c r="N316" i="7"/>
  <c r="X779" i="7"/>
  <c r="R224" i="7"/>
  <c r="AA181" i="8"/>
  <c r="AV47" i="6"/>
  <c r="W128" i="12"/>
  <c r="O128" i="12"/>
  <c r="H98" i="12"/>
  <c r="T77" i="12"/>
  <c r="L77" i="12"/>
  <c r="BR143" i="17"/>
  <c r="BB143" i="17"/>
  <c r="AL143" i="17"/>
  <c r="V143" i="17"/>
  <c r="CE143" i="17"/>
  <c r="BO143" i="17"/>
  <c r="AY143" i="17"/>
  <c r="S143" i="17"/>
  <c r="AA218" i="8"/>
  <c r="U346" i="12"/>
  <c r="Q346" i="12"/>
  <c r="M330" i="7"/>
  <c r="V348" i="7"/>
  <c r="L348" i="7"/>
  <c r="O778" i="7"/>
  <c r="X316" i="7"/>
  <c r="P780" i="7"/>
  <c r="O32" i="6"/>
  <c r="K32" i="6" s="1"/>
  <c r="Z284" i="7"/>
  <c r="P284" i="7"/>
  <c r="AA270" i="7"/>
  <c r="S270" i="7"/>
  <c r="T777" i="7"/>
  <c r="AM30" i="6"/>
  <c r="AS79" i="6" s="1"/>
  <c r="M777" i="7"/>
  <c r="Y225" i="8"/>
  <c r="Q225" i="8"/>
  <c r="K233" i="8"/>
  <c r="P554" i="7"/>
  <c r="O554" i="7"/>
  <c r="T723" i="7"/>
  <c r="T725" i="7" s="1"/>
  <c r="U500" i="7"/>
  <c r="DX20" i="6"/>
  <c r="DX18" i="6" s="1"/>
  <c r="BE62" i="17"/>
  <c r="CI269" i="17"/>
  <c r="CH143" i="17"/>
  <c r="CC143" i="17"/>
  <c r="BM143" i="17"/>
  <c r="AW143" i="17"/>
  <c r="AI143" i="17"/>
  <c r="AG143" i="17"/>
  <c r="Q143" i="17"/>
  <c r="AA33" i="17"/>
  <c r="CW278" i="17"/>
  <c r="DA278" i="17" s="1"/>
  <c r="CJ200" i="17"/>
  <c r="I87" i="17"/>
  <c r="BR35" i="17"/>
  <c r="V71" i="8"/>
  <c r="L330" i="7"/>
  <c r="H115" i="8"/>
  <c r="Y122" i="7"/>
  <c r="W122" i="7"/>
  <c r="U122" i="7"/>
  <c r="S122" i="7"/>
  <c r="Q122" i="7"/>
  <c r="O122" i="7"/>
  <c r="M122" i="7"/>
  <c r="I459" i="12"/>
  <c r="Y453" i="12"/>
  <c r="K453" i="12"/>
  <c r="V542" i="7"/>
  <c r="V545" i="7" s="1"/>
  <c r="V73" i="8"/>
  <c r="BS200" i="17"/>
  <c r="BU190" i="17"/>
  <c r="U71" i="8"/>
  <c r="M71" i="8"/>
  <c r="S451" i="12"/>
  <c r="K451" i="12"/>
  <c r="S73" i="8"/>
  <c r="AA295" i="12"/>
  <c r="CU28" i="6"/>
  <c r="DA77" i="6" s="1"/>
  <c r="W778" i="7"/>
  <c r="DG32" i="6"/>
  <c r="DC32" i="6" s="1"/>
  <c r="BK32" i="6"/>
  <c r="BG32" i="6" s="1"/>
  <c r="Y316" i="7"/>
  <c r="BQ32" i="6"/>
  <c r="DS24" i="6"/>
  <c r="DY24" i="6"/>
  <c r="CC24" i="6"/>
  <c r="CC73" i="6" s="1"/>
  <c r="AG24" i="6"/>
  <c r="AG73" i="6" s="1"/>
  <c r="AA224" i="7"/>
  <c r="U233" i="8"/>
  <c r="I225" i="8"/>
  <c r="X181" i="8"/>
  <c r="N768" i="7"/>
  <c r="N772" i="7" s="1"/>
  <c r="W548" i="7"/>
  <c r="R511" i="7"/>
  <c r="CL40" i="6"/>
  <c r="CL89" i="6" s="1"/>
  <c r="W152" i="7"/>
  <c r="S752" i="7"/>
  <c r="S756" i="7" s="1"/>
  <c r="S736" i="7"/>
  <c r="S737" i="7" s="1"/>
  <c r="CM40" i="6"/>
  <c r="CM89" i="6" s="1"/>
  <c r="S255" i="12"/>
  <c r="K255" i="12"/>
  <c r="L147" i="7"/>
  <c r="I123" i="2"/>
  <c r="CJ59" i="11"/>
  <c r="W178" i="12" s="1"/>
  <c r="AV59" i="11"/>
  <c r="AW59" i="11" s="1"/>
  <c r="BZ87" i="11"/>
  <c r="CA87" i="11" s="1"/>
  <c r="DD101" i="11"/>
  <c r="AA175" i="12" s="1"/>
  <c r="CT87" i="11"/>
  <c r="Y172" i="12" s="1"/>
  <c r="R87" i="11"/>
  <c r="I172" i="12" s="1"/>
  <c r="D252" i="2"/>
  <c r="F540" i="20" s="1"/>
  <c r="W540" i="20" s="1"/>
  <c r="CY102" i="11"/>
  <c r="CY126" i="11" s="1"/>
  <c r="CE102" i="11"/>
  <c r="CF102" i="11" s="1"/>
  <c r="BK102" i="11"/>
  <c r="R174" i="12" s="1"/>
  <c r="AQ102" i="11"/>
  <c r="N174" i="12" s="1"/>
  <c r="W102" i="11"/>
  <c r="J174" i="12" s="1"/>
  <c r="BF87" i="11"/>
  <c r="Q172" i="12" s="1"/>
  <c r="AB450" i="20"/>
  <c r="AB456" i="20" s="1"/>
  <c r="AB462" i="20" s="1"/>
  <c r="EQ60" i="6"/>
  <c r="EW60" i="6"/>
  <c r="CT181" i="17"/>
  <c r="CR72" i="11"/>
  <c r="BD72" i="11"/>
  <c r="AQ9" i="11"/>
  <c r="AR9" i="11" s="1"/>
  <c r="Z355" i="12"/>
  <c r="CE9" i="11"/>
  <c r="V136" i="12" s="1"/>
  <c r="CD23" i="11" s="1"/>
  <c r="CY58" i="11"/>
  <c r="CZ58" i="11" s="1"/>
  <c r="BK58" i="11"/>
  <c r="BL58" i="11" s="1"/>
  <c r="W58" i="11"/>
  <c r="X58" i="11" s="1"/>
  <c r="BX72" i="11"/>
  <c r="BC269" i="17"/>
  <c r="Q213" i="12"/>
  <c r="BH64" i="11"/>
  <c r="Y778" i="7"/>
  <c r="Y348" i="7"/>
  <c r="Y330" i="7"/>
  <c r="Q778" i="7"/>
  <c r="Q348" i="7"/>
  <c r="AA780" i="7"/>
  <c r="CC32" i="6"/>
  <c r="T309" i="7"/>
  <c r="AG32" i="6"/>
  <c r="AC32" i="6" s="1"/>
  <c r="L309" i="7"/>
  <c r="U779" i="7"/>
  <c r="CO24" i="6"/>
  <c r="CU73" i="6" s="1"/>
  <c r="M779" i="7"/>
  <c r="AS24" i="6"/>
  <c r="AS73" i="6" s="1"/>
  <c r="W777" i="7"/>
  <c r="DA30" i="6"/>
  <c r="O777" i="7"/>
  <c r="O224" i="7"/>
  <c r="O206" i="7"/>
  <c r="DS11" i="6"/>
  <c r="Z225" i="8"/>
  <c r="Z181" i="8"/>
  <c r="R768" i="7"/>
  <c r="R772" i="7" s="1"/>
  <c r="R218" i="8"/>
  <c r="S554" i="7"/>
  <c r="S719" i="7"/>
  <c r="S720" i="7" s="1"/>
  <c r="F40" i="6"/>
  <c r="AA160" i="7"/>
  <c r="AA144" i="7"/>
  <c r="V440" i="7"/>
  <c r="G47" i="6"/>
  <c r="Y512" i="7"/>
  <c r="DK40" i="6"/>
  <c r="DQ89" i="6" s="1"/>
  <c r="S40" i="6"/>
  <c r="DW18" i="6"/>
  <c r="T147" i="7"/>
  <c r="CZ20" i="6"/>
  <c r="CZ18" i="6" s="1"/>
  <c r="W157" i="7"/>
  <c r="O157" i="7"/>
  <c r="BD20" i="6"/>
  <c r="BD18" i="6" s="1"/>
  <c r="H20" i="6"/>
  <c r="H18" i="6" s="1"/>
  <c r="Z627" i="7"/>
  <c r="Z638" i="7" s="1"/>
  <c r="Z451" i="7"/>
  <c r="R451" i="7"/>
  <c r="R627" i="7"/>
  <c r="R638" i="7" s="1"/>
  <c r="T555" i="7"/>
  <c r="U549" i="7"/>
  <c r="CG47" i="6"/>
  <c r="L736" i="7"/>
  <c r="L737" i="7" s="1"/>
  <c r="L555" i="7"/>
  <c r="V740" i="7"/>
  <c r="V742" i="7" s="1"/>
  <c r="V501" i="7"/>
  <c r="W501" i="7"/>
  <c r="CS40" i="6"/>
  <c r="N512" i="7"/>
  <c r="AW40" i="6"/>
  <c r="N501" i="7"/>
  <c r="DE18" i="6"/>
  <c r="X155" i="7"/>
  <c r="P155" i="7"/>
  <c r="M18" i="6"/>
  <c r="AM321" i="17"/>
  <c r="CV280" i="17"/>
  <c r="CZ280" i="17" s="1"/>
  <c r="BZ270" i="17"/>
  <c r="N789" i="7"/>
  <c r="V121" i="8"/>
  <c r="N121" i="8"/>
  <c r="Y340" i="12"/>
  <c r="W340" i="12"/>
  <c r="U340" i="12"/>
  <c r="S340" i="12"/>
  <c r="W155" i="12"/>
  <c r="BW247" i="17"/>
  <c r="BX247" i="17"/>
  <c r="BV248" i="17"/>
  <c r="BQ247" i="17"/>
  <c r="BN248" i="17"/>
  <c r="Y71" i="8"/>
  <c r="Q71" i="8"/>
  <c r="AA303" i="7"/>
  <c r="BQ28" i="6"/>
  <c r="I30" i="6"/>
  <c r="E30" i="6" s="1"/>
  <c r="J30" i="6" s="1"/>
  <c r="Z768" i="7"/>
  <c r="Z772" i="7" s="1"/>
  <c r="T545" i="7"/>
  <c r="N740" i="7"/>
  <c r="N742" i="7" s="1"/>
  <c r="M340" i="12"/>
  <c r="BD269" i="17"/>
  <c r="T64" i="11"/>
  <c r="I213" i="12"/>
  <c r="BC121" i="2"/>
  <c r="Y73" i="8"/>
  <c r="AJ269" i="17"/>
  <c r="AH270" i="17"/>
  <c r="Q330" i="7"/>
  <c r="S303" i="7"/>
  <c r="W206" i="7"/>
  <c r="DM28" i="6"/>
  <c r="BE30" i="6"/>
  <c r="BT18" i="6"/>
  <c r="BZ67" i="6" s="1"/>
  <c r="W752" i="7"/>
  <c r="W756" i="7" s="1"/>
  <c r="C243" i="2"/>
  <c r="AT243" i="2" s="1"/>
  <c r="AK47" i="6"/>
  <c r="V512" i="7"/>
  <c r="CB64" i="11"/>
  <c r="CB65" i="11" s="1"/>
  <c r="CC65" i="11" s="1"/>
  <c r="U213" i="12"/>
  <c r="AN64" i="11"/>
  <c r="AO64" i="11" s="1"/>
  <c r="U778" i="7"/>
  <c r="U330" i="7"/>
  <c r="U348" i="7"/>
  <c r="M778" i="7"/>
  <c r="M348" i="7"/>
  <c r="DA32" i="6"/>
  <c r="W309" i="7"/>
  <c r="X309" i="7"/>
  <c r="W303" i="7"/>
  <c r="BE32" i="6"/>
  <c r="BA32" i="6" s="1"/>
  <c r="O303" i="7"/>
  <c r="O780" i="7"/>
  <c r="I32" i="6"/>
  <c r="E32" i="6" s="1"/>
  <c r="J32" i="6" s="1"/>
  <c r="Y779" i="7"/>
  <c r="DM24" i="6"/>
  <c r="Q779" i="7"/>
  <c r="BQ24" i="6"/>
  <c r="BQ73" i="6" s="1"/>
  <c r="R501" i="7"/>
  <c r="Y213" i="12"/>
  <c r="CV64" i="11"/>
  <c r="CV65" i="11" s="1"/>
  <c r="AQ321" i="17"/>
  <c r="CC52" i="17"/>
  <c r="P39" i="8"/>
  <c r="P42" i="8"/>
  <c r="H39" i="8"/>
  <c r="H42" i="8"/>
  <c r="CT68" i="17"/>
  <c r="CT84" i="17" s="1"/>
  <c r="BZ88" i="17"/>
  <c r="CN66" i="11" s="1"/>
  <c r="BT93" i="17"/>
  <c r="R789" i="7"/>
  <c r="R121" i="8"/>
  <c r="J121" i="8"/>
  <c r="V270" i="17"/>
  <c r="X269" i="17"/>
  <c r="CK247" i="17"/>
  <c r="BQ190" i="17"/>
  <c r="BN191" i="17"/>
  <c r="AA71" i="8"/>
  <c r="J218" i="8"/>
  <c r="W224" i="7"/>
  <c r="T736" i="7"/>
  <c r="T737" i="7" s="1"/>
  <c r="O340" i="12"/>
  <c r="K340" i="12"/>
  <c r="CI143" i="17"/>
  <c r="BS143" i="17"/>
  <c r="BC143" i="17"/>
  <c r="AM143" i="17"/>
  <c r="W143" i="17"/>
  <c r="T327" i="12"/>
  <c r="L327" i="12"/>
  <c r="L789" i="7"/>
  <c r="Z121" i="8"/>
  <c r="V115" i="8"/>
  <c r="N115" i="8"/>
  <c r="AB50" i="8"/>
  <c r="U73" i="8"/>
  <c r="CI200" i="17"/>
  <c r="U451" i="12"/>
  <c r="M451" i="12"/>
  <c r="T452" i="12"/>
  <c r="L452" i="12"/>
  <c r="T345" i="12"/>
  <c r="N345" i="12"/>
  <c r="DY30" i="6"/>
  <c r="S224" i="7"/>
  <c r="N225" i="8"/>
  <c r="V160" i="7"/>
  <c r="J427" i="12"/>
  <c r="AA157" i="7"/>
  <c r="S157" i="7"/>
  <c r="V451" i="7"/>
  <c r="CC73" i="11"/>
  <c r="AO73" i="11"/>
  <c r="L155" i="7"/>
  <c r="W305" i="12"/>
  <c r="DG11" i="11"/>
  <c r="CW81" i="11"/>
  <c r="R421" i="12"/>
  <c r="DD47" i="6"/>
  <c r="X554" i="7"/>
  <c r="P548" i="7"/>
  <c r="BH47" i="6"/>
  <c r="CU11" i="6"/>
  <c r="CU60" i="6" s="1"/>
  <c r="V181" i="8"/>
  <c r="X40" i="6"/>
  <c r="M512" i="7"/>
  <c r="AQ40" i="6"/>
  <c r="AQ89" i="6" s="1"/>
  <c r="N451" i="7"/>
  <c r="P555" i="7"/>
  <c r="BI47" i="6"/>
  <c r="Z740" i="7"/>
  <c r="Z742" i="7" s="1"/>
  <c r="Z501" i="7"/>
  <c r="R512" i="7"/>
  <c r="BU40" i="6"/>
  <c r="Y40" i="6"/>
  <c r="CA143" i="17"/>
  <c r="BK143" i="17"/>
  <c r="AU143" i="17"/>
  <c r="AE143" i="17"/>
  <c r="O143" i="17"/>
  <c r="CK52" i="17"/>
  <c r="AG52" i="17"/>
  <c r="X327" i="12"/>
  <c r="P327" i="12"/>
  <c r="P789" i="7"/>
  <c r="R115" i="8"/>
  <c r="J115" i="8"/>
  <c r="R244" i="7"/>
  <c r="W453" i="12"/>
  <c r="U453" i="12"/>
  <c r="U40" i="8"/>
  <c r="V40" i="8" s="1"/>
  <c r="M73" i="8"/>
  <c r="N177" i="17"/>
  <c r="CO269" i="17"/>
  <c r="Z191" i="8"/>
  <c r="N218" i="8"/>
  <c r="Y451" i="12"/>
  <c r="Q451" i="12"/>
  <c r="I451" i="12"/>
  <c r="Z452" i="12"/>
  <c r="X452" i="12"/>
  <c r="P452" i="12"/>
  <c r="R345" i="12"/>
  <c r="AA73" i="8"/>
  <c r="Y295" i="12"/>
  <c r="W295" i="12"/>
  <c r="U295" i="12"/>
  <c r="S295" i="12"/>
  <c r="Q295" i="12"/>
  <c r="O295" i="12"/>
  <c r="M295" i="12"/>
  <c r="K295" i="12"/>
  <c r="V778" i="7"/>
  <c r="P309" i="7"/>
  <c r="U24" i="6"/>
  <c r="U73" i="6" s="1"/>
  <c r="M768" i="7"/>
  <c r="M772" i="7" s="1"/>
  <c r="P545" i="7"/>
  <c r="Z511" i="7"/>
  <c r="O152" i="7"/>
  <c r="AF20" i="6"/>
  <c r="AF18" i="6" s="1"/>
  <c r="AA305" i="12"/>
  <c r="Y443" i="12"/>
  <c r="BX13" i="11"/>
  <c r="S305" i="12"/>
  <c r="Q443" i="12"/>
  <c r="M305" i="12"/>
  <c r="I443" i="12"/>
  <c r="DK88" i="11"/>
  <c r="X441" i="12"/>
  <c r="V441" i="12"/>
  <c r="T441" i="12"/>
  <c r="R441" i="12"/>
  <c r="P441" i="12"/>
  <c r="N441" i="12"/>
  <c r="L441" i="12"/>
  <c r="J441" i="12"/>
  <c r="I165" i="17"/>
  <c r="T548" i="7"/>
  <c r="R256" i="12"/>
  <c r="P256" i="12"/>
  <c r="AB419" i="12"/>
  <c r="Z414" i="12"/>
  <c r="R414" i="12"/>
  <c r="J414" i="12"/>
  <c r="CW50" i="11"/>
  <c r="BI50" i="11"/>
  <c r="U50" i="11"/>
  <c r="DL35" i="11"/>
  <c r="AB366" i="12"/>
  <c r="Z366" i="12"/>
  <c r="X366" i="12"/>
  <c r="T366" i="12"/>
  <c r="P366" i="12"/>
  <c r="N254" i="12"/>
  <c r="H391" i="12"/>
  <c r="U129" i="12"/>
  <c r="M129" i="12"/>
  <c r="AB119" i="12"/>
  <c r="Z119" i="12"/>
  <c r="X119" i="12"/>
  <c r="V119" i="12"/>
  <c r="T119" i="12"/>
  <c r="R119" i="12"/>
  <c r="P119" i="12"/>
  <c r="N119" i="12"/>
  <c r="L119" i="12"/>
  <c r="J119" i="12"/>
  <c r="N178" i="17"/>
  <c r="BR151" i="17"/>
  <c r="P98" i="12"/>
  <c r="AL151" i="17"/>
  <c r="Y60" i="12"/>
  <c r="Q60" i="12"/>
  <c r="I60" i="12"/>
  <c r="J251" i="12"/>
  <c r="BE225" i="17"/>
  <c r="AO225" i="17"/>
  <c r="Y225" i="17"/>
  <c r="CK173" i="17"/>
  <c r="CC173" i="17"/>
  <c r="BU173" i="17"/>
  <c r="W408" i="12"/>
  <c r="O408" i="12"/>
  <c r="J408" i="12"/>
  <c r="M41" i="12"/>
  <c r="AK64" i="11" s="1"/>
  <c r="AL64" i="11" s="1"/>
  <c r="M170" i="12" s="1"/>
  <c r="H419" i="12"/>
  <c r="AA415" i="12"/>
  <c r="P50" i="11"/>
  <c r="DF87" i="6"/>
  <c r="CZ87" i="6"/>
  <c r="CH87" i="6"/>
  <c r="CB87" i="6"/>
  <c r="BJ87" i="6"/>
  <c r="V366" i="12"/>
  <c r="R366" i="12"/>
  <c r="BH85" i="6"/>
  <c r="N391" i="12"/>
  <c r="AJ35" i="11"/>
  <c r="L366" i="12"/>
  <c r="AH265" i="17"/>
  <c r="Y129" i="12"/>
  <c r="BV243" i="17"/>
  <c r="Q129" i="12"/>
  <c r="AP243" i="17"/>
  <c r="I129" i="12"/>
  <c r="CS105" i="11"/>
  <c r="H99" i="12"/>
  <c r="BN178" i="17"/>
  <c r="BV112" i="17"/>
  <c r="AP112" i="17"/>
  <c r="H77" i="12"/>
  <c r="CP89" i="17"/>
  <c r="DC8" i="17" s="1"/>
  <c r="BJ89" i="17"/>
  <c r="AD89" i="17"/>
  <c r="N301" i="12"/>
  <c r="X301" i="12"/>
  <c r="T301" i="12"/>
  <c r="P301" i="12"/>
  <c r="L301" i="12"/>
  <c r="H301" i="12"/>
  <c r="AK260" i="17"/>
  <c r="AW225" i="17"/>
  <c r="AG225" i="17"/>
  <c r="Q225" i="17"/>
  <c r="BQ73" i="17"/>
  <c r="AB213" i="12"/>
  <c r="S408" i="12"/>
  <c r="K408" i="12"/>
  <c r="E508" i="20"/>
  <c r="V508" i="20" s="1"/>
  <c r="BU95" i="6"/>
  <c r="AJ7" i="11"/>
  <c r="AX265" i="17"/>
  <c r="CL243" i="17"/>
  <c r="BF243" i="17"/>
  <c r="Z243" i="17"/>
  <c r="DC105" i="11"/>
  <c r="CI105" i="11"/>
  <c r="CL112" i="17"/>
  <c r="BF112" i="17"/>
  <c r="Z112" i="17"/>
  <c r="BV29" i="17"/>
  <c r="AP29" i="17"/>
  <c r="DJ95" i="6"/>
  <c r="BA87" i="11"/>
  <c r="BB87" i="11" s="1"/>
  <c r="CU280" i="17"/>
  <c r="AP264" i="17"/>
  <c r="AP270" i="17"/>
  <c r="AR269" i="17"/>
  <c r="AS269" i="17"/>
  <c r="X348" i="7"/>
  <c r="X778" i="7"/>
  <c r="X330" i="7"/>
  <c r="DG28" i="6"/>
  <c r="DG77" i="6" s="1"/>
  <c r="O28" i="6"/>
  <c r="S309" i="7"/>
  <c r="R309" i="7"/>
  <c r="BW32" i="6"/>
  <c r="R316" i="7"/>
  <c r="R303" i="7"/>
  <c r="T779" i="7"/>
  <c r="T270" i="7"/>
  <c r="CI24" i="6"/>
  <c r="T284" i="7"/>
  <c r="N224" i="7"/>
  <c r="N777" i="7"/>
  <c r="N206" i="7"/>
  <c r="W181" i="8"/>
  <c r="W768" i="7"/>
  <c r="W772" i="7" s="1"/>
  <c r="W225" i="8"/>
  <c r="W218" i="8"/>
  <c r="W233" i="8"/>
  <c r="G218" i="8"/>
  <c r="G233" i="8"/>
  <c r="AB224" i="12"/>
  <c r="D141" i="2"/>
  <c r="AU141" i="2" s="1"/>
  <c r="BR68" i="17"/>
  <c r="BR84" i="17" s="1"/>
  <c r="V408" i="12"/>
  <c r="AA348" i="7"/>
  <c r="AA339" i="7"/>
  <c r="DY28" i="6"/>
  <c r="AA778" i="7"/>
  <c r="AA330" i="7"/>
  <c r="AG28" i="6"/>
  <c r="AM77" i="6" s="1"/>
  <c r="U309" i="7"/>
  <c r="U303" i="7"/>
  <c r="U780" i="7"/>
  <c r="CO32" i="6"/>
  <c r="BE24" i="6"/>
  <c r="BE73" i="6" s="1"/>
  <c r="O270" i="7"/>
  <c r="O779" i="7"/>
  <c r="O284" i="7"/>
  <c r="Q777" i="7"/>
  <c r="Q224" i="7"/>
  <c r="Q206" i="7"/>
  <c r="L233" i="8"/>
  <c r="L225" i="8"/>
  <c r="L768" i="7"/>
  <c r="L772" i="7" s="1"/>
  <c r="AM11" i="6"/>
  <c r="M225" i="8"/>
  <c r="CL47" i="6"/>
  <c r="CR96" i="6" s="1"/>
  <c r="U548" i="7"/>
  <c r="U554" i="7"/>
  <c r="U545" i="7"/>
  <c r="BH40" i="6"/>
  <c r="P723" i="7"/>
  <c r="P725" i="7" s="1"/>
  <c r="P511" i="7"/>
  <c r="DJ40" i="6"/>
  <c r="DJ89" i="6" s="1"/>
  <c r="Y511" i="7"/>
  <c r="Y723" i="7"/>
  <c r="Y725" i="7" s="1"/>
  <c r="Y500" i="7"/>
  <c r="Q511" i="7"/>
  <c r="Q723" i="7"/>
  <c r="Q725" i="7" s="1"/>
  <c r="BN40" i="6"/>
  <c r="BT89" i="6" s="1"/>
  <c r="AJ18" i="6"/>
  <c r="L160" i="7"/>
  <c r="M160" i="7"/>
  <c r="M152" i="7"/>
  <c r="M144" i="7"/>
  <c r="AP18" i="6"/>
  <c r="W627" i="7"/>
  <c r="W638" i="7" s="1"/>
  <c r="W440" i="7"/>
  <c r="W451" i="7"/>
  <c r="X440" i="7"/>
  <c r="Q549" i="7"/>
  <c r="BO47" i="6"/>
  <c r="Q555" i="7"/>
  <c r="AA740" i="7"/>
  <c r="AA742" i="7" s="1"/>
  <c r="AA512" i="7"/>
  <c r="EC40" i="6"/>
  <c r="AA501" i="7"/>
  <c r="S501" i="7"/>
  <c r="S740" i="7"/>
  <c r="S742" i="7" s="1"/>
  <c r="S512" i="7"/>
  <c r="M155" i="7"/>
  <c r="AQ18" i="6"/>
  <c r="AQ67" i="6" s="1"/>
  <c r="M147" i="7"/>
  <c r="X408" i="12"/>
  <c r="CQ64" i="11"/>
  <c r="Y224" i="12"/>
  <c r="X213" i="12"/>
  <c r="P408" i="12"/>
  <c r="P213" i="12"/>
  <c r="BC64" i="11"/>
  <c r="Y41" i="12"/>
  <c r="CS64" i="11" s="1"/>
  <c r="CD68" i="17"/>
  <c r="CD84" i="17" s="1"/>
  <c r="I408" i="12"/>
  <c r="I41" i="12"/>
  <c r="Q64" i="11" s="1"/>
  <c r="R68" i="17"/>
  <c r="R84" i="17" s="1"/>
  <c r="BP20" i="6"/>
  <c r="BP18" i="6" s="1"/>
  <c r="Q752" i="7"/>
  <c r="Q756" i="7" s="1"/>
  <c r="Q157" i="7"/>
  <c r="AQ269" i="17"/>
  <c r="X339" i="7"/>
  <c r="R780" i="7"/>
  <c r="BV264" i="17"/>
  <c r="BV120" i="17" s="1"/>
  <c r="BX269" i="17"/>
  <c r="BY269" i="17"/>
  <c r="BV270" i="17"/>
  <c r="L218" i="8"/>
  <c r="H225" i="8"/>
  <c r="U719" i="7"/>
  <c r="U720" i="7" s="1"/>
  <c r="Z256" i="12"/>
  <c r="Z251" i="12"/>
  <c r="BQ52" i="17"/>
  <c r="BP52" i="17"/>
  <c r="W269" i="17"/>
  <c r="BK28" i="6"/>
  <c r="BK77" i="6" s="1"/>
  <c r="P348" i="7"/>
  <c r="P778" i="7"/>
  <c r="P330" i="7"/>
  <c r="P339" i="7"/>
  <c r="AA309" i="7"/>
  <c r="Z309" i="7"/>
  <c r="Z316" i="7"/>
  <c r="DS32" i="6"/>
  <c r="Z303" i="7"/>
  <c r="Z780" i="7"/>
  <c r="AA32" i="6"/>
  <c r="L270" i="7"/>
  <c r="L284" i="7"/>
  <c r="AM24" i="6"/>
  <c r="AM73" i="6" s="1"/>
  <c r="L779" i="7"/>
  <c r="V212" i="7"/>
  <c r="V777" i="7"/>
  <c r="V224" i="7"/>
  <c r="V206" i="7"/>
  <c r="O768" i="7"/>
  <c r="O772" i="7" s="1"/>
  <c r="BE11" i="6"/>
  <c r="BE60" i="6" s="1"/>
  <c r="O218" i="8"/>
  <c r="O233" i="8"/>
  <c r="Z719" i="7"/>
  <c r="Z720" i="7" s="1"/>
  <c r="Z548" i="7"/>
  <c r="DP47" i="6"/>
  <c r="AA548" i="7"/>
  <c r="Z554" i="7"/>
  <c r="R554" i="7"/>
  <c r="BT47" i="6"/>
  <c r="R548" i="7"/>
  <c r="R545" i="7"/>
  <c r="AL68" i="17"/>
  <c r="AK68" i="17" s="1"/>
  <c r="N408" i="12"/>
  <c r="S348" i="7"/>
  <c r="CC28" i="6"/>
  <c r="S339" i="7"/>
  <c r="T339" i="7"/>
  <c r="S330" i="7"/>
  <c r="S778" i="7"/>
  <c r="M309" i="7"/>
  <c r="AS32" i="6"/>
  <c r="M303" i="7"/>
  <c r="M316" i="7"/>
  <c r="M780" i="7"/>
  <c r="DA24" i="6"/>
  <c r="DA73" i="6" s="1"/>
  <c r="W779" i="7"/>
  <c r="W270" i="7"/>
  <c r="W284" i="7"/>
  <c r="I24" i="6"/>
  <c r="DM30" i="6"/>
  <c r="Y224" i="7"/>
  <c r="Y206" i="7"/>
  <c r="Z212" i="7"/>
  <c r="Y777" i="7"/>
  <c r="U30" i="6"/>
  <c r="T225" i="8"/>
  <c r="U225" i="8"/>
  <c r="T233" i="8"/>
  <c r="T768" i="7"/>
  <c r="T772" i="7" s="1"/>
  <c r="CI11" i="6"/>
  <c r="L554" i="7"/>
  <c r="L719" i="7"/>
  <c r="L720" i="7" s="1"/>
  <c r="L548" i="7"/>
  <c r="AJ47" i="6"/>
  <c r="L545" i="7"/>
  <c r="AP47" i="6"/>
  <c r="M548" i="7"/>
  <c r="M545" i="7"/>
  <c r="M719" i="7"/>
  <c r="M720" i="7" s="1"/>
  <c r="M554" i="7"/>
  <c r="X723" i="7"/>
  <c r="X725" i="7" s="1"/>
  <c r="X511" i="7"/>
  <c r="R40" i="6"/>
  <c r="CF18" i="6"/>
  <c r="CF67" i="6" s="1"/>
  <c r="T160" i="7"/>
  <c r="U160" i="7"/>
  <c r="CL18" i="6"/>
  <c r="CR67" i="6" s="1"/>
  <c r="U144" i="7"/>
  <c r="U152" i="7"/>
  <c r="O440" i="7"/>
  <c r="O451" i="7"/>
  <c r="O627" i="7"/>
  <c r="O638" i="7" s="1"/>
  <c r="S47" i="6"/>
  <c r="AE40" i="6"/>
  <c r="L501" i="7"/>
  <c r="U155" i="7"/>
  <c r="CM18" i="6"/>
  <c r="CM67" i="6" s="1"/>
  <c r="U147" i="7"/>
  <c r="H408" i="12"/>
  <c r="O64" i="11"/>
  <c r="I224" i="12"/>
  <c r="H213" i="12"/>
  <c r="AX68" i="17"/>
  <c r="AX84" i="17" s="1"/>
  <c r="Q41" i="12"/>
  <c r="BE64" i="11" s="1"/>
  <c r="Q408" i="12"/>
  <c r="DL20" i="6"/>
  <c r="DL18" i="6" s="1"/>
  <c r="Y752" i="7"/>
  <c r="Y756" i="7" s="1"/>
  <c r="Y157" i="7"/>
  <c r="T20" i="6"/>
  <c r="T18" i="6" s="1"/>
  <c r="AC426" i="7"/>
  <c r="E243" i="2" s="1"/>
  <c r="H485" i="20" s="1"/>
  <c r="Y485" i="20" s="1"/>
  <c r="AB627" i="7"/>
  <c r="T451" i="7"/>
  <c r="T440" i="7"/>
  <c r="T627" i="7"/>
  <c r="T638" i="7" s="1"/>
  <c r="L451" i="7"/>
  <c r="L627" i="7"/>
  <c r="L638" i="7" s="1"/>
  <c r="L440" i="7"/>
  <c r="BQ30" i="6"/>
  <c r="BQ79" i="6" s="1"/>
  <c r="V548" i="7"/>
  <c r="BK52" i="17"/>
  <c r="BM52" i="17"/>
  <c r="BC52" i="17"/>
  <c r="BE52" i="17"/>
  <c r="W52" i="17"/>
  <c r="Y52" i="17"/>
  <c r="U715" i="7"/>
  <c r="M715" i="7"/>
  <c r="BW269" i="17"/>
  <c r="CU30" i="6"/>
  <c r="AY30" i="6"/>
  <c r="AY79" i="6" s="1"/>
  <c r="Y212" i="7"/>
  <c r="DA11" i="6"/>
  <c r="DW40" i="6"/>
  <c r="DW89" i="6" s="1"/>
  <c r="CA40" i="6"/>
  <c r="CG89" i="6" s="1"/>
  <c r="N549" i="7"/>
  <c r="N545" i="7"/>
  <c r="N736" i="7"/>
  <c r="N737" i="7" s="1"/>
  <c r="AW47" i="6"/>
  <c r="M40" i="6"/>
  <c r="DQ18" i="6"/>
  <c r="C205" i="2"/>
  <c r="AT205" i="2" s="1"/>
  <c r="Z147" i="7"/>
  <c r="AA147" i="7"/>
  <c r="Z155" i="7"/>
  <c r="BU18" i="6"/>
  <c r="R147" i="7"/>
  <c r="R155" i="7"/>
  <c r="P71" i="8"/>
  <c r="M397" i="12"/>
  <c r="V254" i="12"/>
  <c r="Z118" i="12"/>
  <c r="R118" i="12"/>
  <c r="J118" i="12"/>
  <c r="M76" i="12"/>
  <c r="BN143" i="17"/>
  <c r="AX143" i="17"/>
  <c r="R143" i="17"/>
  <c r="BS52" i="17"/>
  <c r="BU52" i="17"/>
  <c r="L33" i="17"/>
  <c r="K33" i="17"/>
  <c r="O191" i="8"/>
  <c r="X613" i="7"/>
  <c r="T613" i="7"/>
  <c r="P613" i="7"/>
  <c r="N613" i="7"/>
  <c r="V244" i="7"/>
  <c r="J73" i="8"/>
  <c r="M74" i="8" s="1"/>
  <c r="T129" i="8"/>
  <c r="R129" i="8"/>
  <c r="O129" i="8"/>
  <c r="M129" i="8"/>
  <c r="K129" i="8"/>
  <c r="CL264" i="17"/>
  <c r="BF264" i="17"/>
  <c r="BF270" i="17"/>
  <c r="Z264" i="17"/>
  <c r="Z270" i="17"/>
  <c r="K73" i="8"/>
  <c r="N74" i="8" s="1"/>
  <c r="CR11" i="11"/>
  <c r="X421" i="12"/>
  <c r="BA260" i="17"/>
  <c r="BM173" i="17"/>
  <c r="R549" i="7"/>
  <c r="T501" i="7"/>
  <c r="X740" i="7"/>
  <c r="X742" i="7" s="1"/>
  <c r="X501" i="7"/>
  <c r="DE40" i="6"/>
  <c r="P740" i="7"/>
  <c r="P742" i="7" s="1"/>
  <c r="BI40" i="6"/>
  <c r="P501" i="7"/>
  <c r="P512" i="7"/>
  <c r="Y18" i="6"/>
  <c r="N555" i="7"/>
  <c r="U397" i="12"/>
  <c r="R254" i="12"/>
  <c r="J391" i="12"/>
  <c r="H119" i="12"/>
  <c r="U76" i="12"/>
  <c r="CD143" i="17"/>
  <c r="AH143" i="17"/>
  <c r="BV54" i="17"/>
  <c r="Z327" i="12"/>
  <c r="T121" i="8"/>
  <c r="L121" i="8"/>
  <c r="W191" i="8"/>
  <c r="V613" i="7"/>
  <c r="R613" i="7"/>
  <c r="L613" i="7"/>
  <c r="BV200" i="17"/>
  <c r="J143" i="17"/>
  <c r="J241" i="17"/>
  <c r="CH88" i="17"/>
  <c r="CX66" i="11" s="1"/>
  <c r="AW52" i="17"/>
  <c r="AO52" i="17"/>
  <c r="Z71" i="8"/>
  <c r="J71" i="8"/>
  <c r="R327" i="12"/>
  <c r="J327" i="12"/>
  <c r="CC190" i="17"/>
  <c r="S71" i="8"/>
  <c r="K71" i="8"/>
  <c r="X512" i="7"/>
  <c r="AS68" i="17"/>
  <c r="BL200" i="17"/>
  <c r="CL143" i="17"/>
  <c r="BF143" i="17"/>
  <c r="AP143" i="17"/>
  <c r="Z143" i="17"/>
  <c r="CP88" i="17"/>
  <c r="DH66" i="11" s="1"/>
  <c r="BV88" i="17"/>
  <c r="CI66" i="11" s="1"/>
  <c r="BN54" i="17"/>
  <c r="X121" i="8"/>
  <c r="R112" i="8"/>
  <c r="R109" i="8" s="1"/>
  <c r="P121" i="8"/>
  <c r="J112" i="8"/>
  <c r="H121" i="8"/>
  <c r="S191" i="8"/>
  <c r="K191" i="8"/>
  <c r="Z206" i="7"/>
  <c r="T115" i="8"/>
  <c r="L115" i="8"/>
  <c r="Z613" i="7"/>
  <c r="L244" i="7"/>
  <c r="AB748" i="7"/>
  <c r="Z748" i="7"/>
  <c r="Z628" i="7" s="1"/>
  <c r="Z639" i="7" s="1"/>
  <c r="X748" i="7"/>
  <c r="V748" i="7"/>
  <c r="T748" i="7"/>
  <c r="R748" i="7"/>
  <c r="P748" i="7"/>
  <c r="N748" i="7"/>
  <c r="L748" i="7"/>
  <c r="AA122" i="7"/>
  <c r="S218" i="8"/>
  <c r="K218" i="8"/>
  <c r="T195" i="8"/>
  <c r="P73" i="8"/>
  <c r="L195" i="8"/>
  <c r="H73" i="8"/>
  <c r="K74" i="8" s="1"/>
  <c r="CH101" i="11"/>
  <c r="CM200" i="17"/>
  <c r="CK200" i="17"/>
  <c r="BU200" i="17"/>
  <c r="S112" i="8"/>
  <c r="S109" i="8" s="1"/>
  <c r="K112" i="8"/>
  <c r="Y303" i="7"/>
  <c r="Q303" i="7"/>
  <c r="T144" i="7"/>
  <c r="L144" i="7"/>
  <c r="W348" i="7"/>
  <c r="DM32" i="6"/>
  <c r="Q316" i="7"/>
  <c r="X270" i="7"/>
  <c r="P270" i="7"/>
  <c r="Z777" i="7"/>
  <c r="R777" i="7"/>
  <c r="AA30" i="6"/>
  <c r="U212" i="7"/>
  <c r="CC11" i="6"/>
  <c r="X225" i="8"/>
  <c r="U511" i="7"/>
  <c r="H441" i="12"/>
  <c r="AA442" i="12"/>
  <c r="U442" i="12"/>
  <c r="O334" i="12"/>
  <c r="M442" i="12"/>
  <c r="W304" i="12"/>
  <c r="S304" i="12"/>
  <c r="O304" i="12"/>
  <c r="K304" i="12"/>
  <c r="H421" i="12"/>
  <c r="AC68" i="17"/>
  <c r="CG73" i="17"/>
  <c r="L339" i="7"/>
  <c r="V309" i="7"/>
  <c r="N309" i="7"/>
  <c r="S41" i="12"/>
  <c r="BO64" i="11" s="1"/>
  <c r="R408" i="12"/>
  <c r="AA284" i="7"/>
  <c r="BK11" i="6"/>
  <c r="P233" i="8"/>
  <c r="Y554" i="7"/>
  <c r="Y548" i="7"/>
  <c r="Q545" i="7"/>
  <c r="Q548" i="7"/>
  <c r="R47" i="6"/>
  <c r="M500" i="7"/>
  <c r="M723" i="7"/>
  <c r="M725" i="7" s="1"/>
  <c r="DD18" i="6"/>
  <c r="DD67" i="6" s="1"/>
  <c r="X160" i="7"/>
  <c r="BH18" i="6"/>
  <c r="BH67" i="6" s="1"/>
  <c r="P160" i="7"/>
  <c r="Y144" i="7"/>
  <c r="DJ18" i="6"/>
  <c r="Y152" i="7"/>
  <c r="Q144" i="7"/>
  <c r="Q160" i="7"/>
  <c r="R18" i="6"/>
  <c r="AA440" i="7"/>
  <c r="D243" i="2"/>
  <c r="F485" i="20" s="1"/>
  <c r="W485" i="20" s="1"/>
  <c r="AA451" i="7"/>
  <c r="S451" i="7"/>
  <c r="S440" i="7"/>
  <c r="U736" i="7"/>
  <c r="U737" i="7" s="1"/>
  <c r="CM47" i="6"/>
  <c r="U555" i="7"/>
  <c r="M555" i="7"/>
  <c r="AQ47" i="6"/>
  <c r="M549" i="7"/>
  <c r="W512" i="7"/>
  <c r="W740" i="7"/>
  <c r="W742" i="7" s="1"/>
  <c r="BC40" i="6"/>
  <c r="O740" i="7"/>
  <c r="O742" i="7" s="1"/>
  <c r="O501" i="7"/>
  <c r="Y147" i="7"/>
  <c r="DK18" i="6"/>
  <c r="BO18" i="6"/>
  <c r="Q155" i="7"/>
  <c r="DK64" i="11"/>
  <c r="AB408" i="12"/>
  <c r="T408" i="12"/>
  <c r="BW64" i="11"/>
  <c r="L408" i="12"/>
  <c r="M224" i="12"/>
  <c r="L213" i="12"/>
  <c r="U408" i="12"/>
  <c r="U41" i="12"/>
  <c r="BY64" i="11" s="1"/>
  <c r="AH68" i="17"/>
  <c r="AH84" i="17" s="1"/>
  <c r="M408" i="12"/>
  <c r="U157" i="7"/>
  <c r="U752" i="7"/>
  <c r="U756" i="7" s="1"/>
  <c r="M157" i="7"/>
  <c r="M752" i="7"/>
  <c r="M756" i="7" s="1"/>
  <c r="X627" i="7"/>
  <c r="X638" i="7" s="1"/>
  <c r="X451" i="7"/>
  <c r="P440" i="7"/>
  <c r="P627" i="7"/>
  <c r="P638" i="7" s="1"/>
  <c r="BU47" i="6"/>
  <c r="R555" i="7"/>
  <c r="T740" i="7"/>
  <c r="T742" i="7" s="1"/>
  <c r="T512" i="7"/>
  <c r="L740" i="7"/>
  <c r="L742" i="7" s="1"/>
  <c r="L512" i="7"/>
  <c r="CS18" i="6"/>
  <c r="V147" i="7"/>
  <c r="N147" i="7"/>
  <c r="N155" i="7"/>
  <c r="Z115" i="8"/>
  <c r="X115" i="8"/>
  <c r="P115" i="8"/>
  <c r="K459" i="12"/>
  <c r="Z73" i="8"/>
  <c r="T73" i="8"/>
  <c r="P195" i="8"/>
  <c r="L73" i="8"/>
  <c r="O74" i="8" s="1"/>
  <c r="N264" i="17"/>
  <c r="CE200" i="17"/>
  <c r="CC200" i="17"/>
  <c r="X144" i="7"/>
  <c r="P144" i="7"/>
  <c r="AA451" i="12"/>
  <c r="AB452" i="12"/>
  <c r="H452" i="12"/>
  <c r="H345" i="12"/>
  <c r="T348" i="7"/>
  <c r="L778" i="7"/>
  <c r="O348" i="7"/>
  <c r="V780" i="7"/>
  <c r="Y309" i="7"/>
  <c r="O309" i="7"/>
  <c r="U32" i="6"/>
  <c r="DG24" i="6"/>
  <c r="P779" i="7"/>
  <c r="O24" i="6"/>
  <c r="O73" i="6" s="1"/>
  <c r="S779" i="7"/>
  <c r="CO30" i="6"/>
  <c r="CO79" i="6" s="1"/>
  <c r="M224" i="7"/>
  <c r="DY11" i="6"/>
  <c r="X768" i="7"/>
  <c r="X772" i="7" s="1"/>
  <c r="P225" i="8"/>
  <c r="H233" i="8"/>
  <c r="V554" i="7"/>
  <c r="DJ47" i="6"/>
  <c r="T511" i="7"/>
  <c r="M511" i="7"/>
  <c r="BN18" i="6"/>
  <c r="CN20" i="6"/>
  <c r="CN18" i="6" s="1"/>
  <c r="AR20" i="6"/>
  <c r="AR18" i="6" s="1"/>
  <c r="AA627" i="7"/>
  <c r="AA638" i="7" s="1"/>
  <c r="S627" i="7"/>
  <c r="S638" i="7" s="1"/>
  <c r="CY40" i="6"/>
  <c r="O512" i="7"/>
  <c r="G40" i="6"/>
  <c r="Q147" i="7"/>
  <c r="U224" i="12"/>
  <c r="M68" i="17"/>
  <c r="W443" i="12"/>
  <c r="O443" i="12"/>
  <c r="K305" i="12"/>
  <c r="Z272" i="12"/>
  <c r="V272" i="12"/>
  <c r="R272" i="12"/>
  <c r="N272" i="12"/>
  <c r="J272" i="12"/>
  <c r="Y433" i="12"/>
  <c r="X256" i="12"/>
  <c r="V421" i="12"/>
  <c r="N256" i="12"/>
  <c r="AB59" i="12"/>
  <c r="T59" i="12"/>
  <c r="L59" i="12"/>
  <c r="W58" i="12"/>
  <c r="O58" i="12"/>
  <c r="AS260" i="17"/>
  <c r="U260" i="17"/>
  <c r="CG168" i="17"/>
  <c r="BQ168" i="17"/>
  <c r="BA168" i="17"/>
  <c r="AK168" i="17"/>
  <c r="U168" i="17"/>
  <c r="BU126" i="17"/>
  <c r="Y408" i="12"/>
  <c r="Q224" i="12"/>
  <c r="BI68" i="17"/>
  <c r="BW11" i="6"/>
  <c r="R225" i="8"/>
  <c r="AA11" i="6"/>
  <c r="J225" i="8"/>
  <c r="X47" i="6"/>
  <c r="V511" i="7"/>
  <c r="CR40" i="6"/>
  <c r="N511" i="7"/>
  <c r="AV40" i="6"/>
  <c r="AV89" i="6" s="1"/>
  <c r="Z152" i="7"/>
  <c r="N440" i="7"/>
  <c r="Q512" i="7"/>
  <c r="BO40" i="6"/>
  <c r="I295" i="12"/>
  <c r="BI73" i="11"/>
  <c r="AA443" i="12"/>
  <c r="S443" i="12"/>
  <c r="O305" i="12"/>
  <c r="K443" i="12"/>
  <c r="X272" i="12"/>
  <c r="T272" i="12"/>
  <c r="P272" i="12"/>
  <c r="L272" i="12"/>
  <c r="H256" i="12"/>
  <c r="Y415" i="12"/>
  <c r="W415" i="12"/>
  <c r="U415" i="12"/>
  <c r="S415" i="12"/>
  <c r="Q415" i="12"/>
  <c r="O415" i="12"/>
  <c r="M415" i="12"/>
  <c r="K415" i="12"/>
  <c r="I415" i="12"/>
  <c r="X414" i="12"/>
  <c r="P414" i="12"/>
  <c r="V391" i="12"/>
  <c r="R391" i="12"/>
  <c r="L391" i="12"/>
  <c r="H366" i="12"/>
  <c r="AA129" i="12"/>
  <c r="S129" i="12"/>
  <c r="K129" i="12"/>
  <c r="CC168" i="17"/>
  <c r="BM168" i="17"/>
  <c r="AW168" i="17"/>
  <c r="AG168" i="17"/>
  <c r="Q168" i="17"/>
  <c r="CX90" i="11"/>
  <c r="H118" i="12"/>
  <c r="AB98" i="12"/>
  <c r="Z98" i="12"/>
  <c r="X98" i="12"/>
  <c r="V98" i="12"/>
  <c r="N98" i="12"/>
  <c r="CD112" i="17"/>
  <c r="AX112" i="17"/>
  <c r="R112" i="17"/>
  <c r="AB77" i="12"/>
  <c r="W60" i="12"/>
  <c r="O60" i="12"/>
  <c r="CS95" i="6"/>
  <c r="U443" i="12"/>
  <c r="AT88" i="11"/>
  <c r="M443" i="12"/>
  <c r="I305" i="12"/>
  <c r="AB441" i="12"/>
  <c r="CJ86" i="11"/>
  <c r="W173" i="12" s="1"/>
  <c r="BP86" i="11"/>
  <c r="S173" i="12" s="1"/>
  <c r="AV86" i="11"/>
  <c r="O173" i="12" s="1"/>
  <c r="AO86" i="11"/>
  <c r="AB86" i="11"/>
  <c r="K173" i="12" s="1"/>
  <c r="P86" i="11"/>
  <c r="Y442" i="12"/>
  <c r="CL90" i="11"/>
  <c r="S334" i="12"/>
  <c r="Q442" i="12"/>
  <c r="K334" i="12"/>
  <c r="I442" i="12"/>
  <c r="Y304" i="12"/>
  <c r="U304" i="12"/>
  <c r="Q304" i="12"/>
  <c r="M304" i="12"/>
  <c r="I304" i="12"/>
  <c r="H272" i="12"/>
  <c r="AA273" i="12"/>
  <c r="DO96" i="6"/>
  <c r="W269" i="12"/>
  <c r="DC95" i="6"/>
  <c r="P421" i="12"/>
  <c r="N421" i="12"/>
  <c r="J256" i="12"/>
  <c r="Z419" i="12"/>
  <c r="AB414" i="12"/>
  <c r="T414" i="12"/>
  <c r="L414" i="12"/>
  <c r="BN8" i="11"/>
  <c r="G251" i="12"/>
  <c r="AB391" i="12"/>
  <c r="Z391" i="12"/>
  <c r="X391" i="12"/>
  <c r="T391" i="12"/>
  <c r="P391" i="12"/>
  <c r="AT35" i="11"/>
  <c r="N366" i="12"/>
  <c r="L254" i="12"/>
  <c r="W129" i="12"/>
  <c r="BN243" i="17"/>
  <c r="O129" i="12"/>
  <c r="CH238" i="17"/>
  <c r="BR238" i="17"/>
  <c r="CL235" i="17"/>
  <c r="BV235" i="17"/>
  <c r="BU168" i="17"/>
  <c r="BE168" i="17"/>
  <c r="AO168" i="17"/>
  <c r="Y168" i="17"/>
  <c r="CD90" i="11"/>
  <c r="R98" i="12"/>
  <c r="J98" i="12"/>
  <c r="BN112" i="17"/>
  <c r="AH112" i="17"/>
  <c r="AA60" i="12"/>
  <c r="S60" i="12"/>
  <c r="K60" i="12"/>
  <c r="X59" i="12"/>
  <c r="P59" i="12"/>
  <c r="W416" i="12"/>
  <c r="O416" i="12"/>
  <c r="X419" i="12"/>
  <c r="V419" i="12"/>
  <c r="T419" i="12"/>
  <c r="R419" i="12"/>
  <c r="P419" i="12"/>
  <c r="N419" i="12"/>
  <c r="L419" i="12"/>
  <c r="J419" i="12"/>
  <c r="DB58" i="11"/>
  <c r="V414" i="12"/>
  <c r="N414" i="12"/>
  <c r="AA397" i="12"/>
  <c r="Y397" i="12"/>
  <c r="W255" i="12"/>
  <c r="CC50" i="11"/>
  <c r="Q397" i="12"/>
  <c r="O255" i="12"/>
  <c r="AO50" i="11"/>
  <c r="I397" i="12"/>
  <c r="Z254" i="12"/>
  <c r="X254" i="12"/>
  <c r="T254" i="12"/>
  <c r="P254" i="12"/>
  <c r="J254" i="12"/>
  <c r="H254" i="12"/>
  <c r="CN105" i="11"/>
  <c r="AB99" i="12"/>
  <c r="Z99" i="12"/>
  <c r="X99" i="12"/>
  <c r="V99" i="12"/>
  <c r="T99" i="12"/>
  <c r="R99" i="12"/>
  <c r="P99" i="12"/>
  <c r="N99" i="12"/>
  <c r="L99" i="12"/>
  <c r="J99" i="12"/>
  <c r="V118" i="12"/>
  <c r="N118" i="12"/>
  <c r="AA128" i="12"/>
  <c r="S128" i="12"/>
  <c r="K128" i="12"/>
  <c r="T98" i="12"/>
  <c r="BB151" i="17"/>
  <c r="L98" i="12"/>
  <c r="V151" i="17"/>
  <c r="Y76" i="12"/>
  <c r="Q76" i="12"/>
  <c r="I76" i="12"/>
  <c r="X77" i="12"/>
  <c r="P77" i="12"/>
  <c r="U60" i="12"/>
  <c r="M60" i="12"/>
  <c r="BQ43" i="17"/>
  <c r="CL29" i="17"/>
  <c r="CO102" i="11"/>
  <c r="CP102" i="11" s="1"/>
  <c r="BU102" i="11"/>
  <c r="T174" i="12" s="1"/>
  <c r="BA102" i="11"/>
  <c r="P174" i="12" s="1"/>
  <c r="AG102" i="11"/>
  <c r="L174" i="12" s="1"/>
  <c r="M102" i="11"/>
  <c r="H174" i="12" s="1"/>
  <c r="CE58" i="11"/>
  <c r="CF58" i="11" s="1"/>
  <c r="AQ58" i="11"/>
  <c r="AR58" i="11" s="1"/>
  <c r="BQ260" i="17"/>
  <c r="BQ230" i="17"/>
  <c r="BY168" i="17"/>
  <c r="BI168" i="17"/>
  <c r="AS168" i="17"/>
  <c r="AC168" i="17"/>
  <c r="AO62" i="17"/>
  <c r="Y62" i="17"/>
  <c r="R440" i="7"/>
  <c r="X147" i="7"/>
  <c r="P147" i="7"/>
  <c r="BP87" i="11"/>
  <c r="S172" i="12" s="1"/>
  <c r="AB87" i="11"/>
  <c r="K172" i="12" s="1"/>
  <c r="BP59" i="11"/>
  <c r="S178" i="12" s="1"/>
  <c r="AB59" i="11"/>
  <c r="K178" i="12" s="1"/>
  <c r="BP91" i="6"/>
  <c r="ED84" i="6"/>
  <c r="DF84" i="6"/>
  <c r="CH84" i="6"/>
  <c r="CB84" i="6"/>
  <c r="BP84" i="6"/>
  <c r="BD84" i="6"/>
  <c r="AR84" i="6"/>
  <c r="AF84" i="6"/>
  <c r="T84" i="6"/>
  <c r="ED82" i="6"/>
  <c r="AL82" i="6"/>
  <c r="T75" i="6"/>
  <c r="G419" i="20"/>
  <c r="X419" i="20" s="1"/>
  <c r="I483" i="20"/>
  <c r="Z483" i="20" s="1"/>
  <c r="DR57" i="6"/>
  <c r="BJ57" i="6"/>
  <c r="CY77" i="6"/>
  <c r="DO55" i="6"/>
  <c r="G176" i="20"/>
  <c r="X176" i="20" s="1"/>
  <c r="DS81" i="11"/>
  <c r="DU81" i="11" s="1"/>
  <c r="AE86" i="11"/>
  <c r="F185" i="20"/>
  <c r="W185" i="20" s="1"/>
  <c r="BD123" i="2"/>
  <c r="F175" i="20"/>
  <c r="W175" i="20" s="1"/>
  <c r="EJ38" i="6"/>
  <c r="EJ87" i="6" s="1"/>
  <c r="L11" i="23"/>
  <c r="G486" i="20"/>
  <c r="X486" i="20" s="1"/>
  <c r="BD121" i="2"/>
  <c r="BY24" i="17"/>
  <c r="DD85" i="6"/>
  <c r="CD151" i="17"/>
  <c r="G181" i="20"/>
  <c r="X181" i="20" s="1"/>
  <c r="F183" i="20"/>
  <c r="W183" i="20" s="1"/>
  <c r="CM87" i="11"/>
  <c r="CM96" i="11" s="1"/>
  <c r="BD87" i="11"/>
  <c r="BW200" i="17"/>
  <c r="DL13" i="11"/>
  <c r="BI86" i="11"/>
  <c r="DH105" i="11"/>
  <c r="F199" i="20"/>
  <c r="W199" i="20" s="1"/>
  <c r="F504" i="20"/>
  <c r="W504" i="20" s="1"/>
  <c r="F500" i="20"/>
  <c r="W500" i="20" s="1"/>
  <c r="F174" i="20"/>
  <c r="W174" i="20" s="1"/>
  <c r="M168" i="17"/>
  <c r="AT86" i="11"/>
  <c r="AO126" i="17"/>
  <c r="BN103" i="11"/>
  <c r="CX79" i="6"/>
  <c r="BZ79" i="6"/>
  <c r="F304" i="20"/>
  <c r="W304" i="20" s="1"/>
  <c r="CA95" i="6"/>
  <c r="AY88" i="11"/>
  <c r="CP48" i="17"/>
  <c r="DC7" i="17" s="1"/>
  <c r="Y10" i="11"/>
  <c r="AB10" i="11" s="1"/>
  <c r="BI63" i="11"/>
  <c r="AY50" i="11"/>
  <c r="AX131" i="17"/>
  <c r="AJ13" i="11"/>
  <c r="CW86" i="11"/>
  <c r="CH60" i="11"/>
  <c r="BK9" i="11"/>
  <c r="R167" i="12" s="1"/>
  <c r="BU87" i="11"/>
  <c r="BV87" i="11" s="1"/>
  <c r="AG87" i="11"/>
  <c r="L172" i="12" s="1"/>
  <c r="W13" i="6"/>
  <c r="W62" i="6" s="1"/>
  <c r="DD82" i="6"/>
  <c r="DV81" i="6"/>
  <c r="F426" i="20"/>
  <c r="W426" i="20" s="1"/>
  <c r="S129" i="8"/>
  <c r="N129" i="8"/>
  <c r="L129" i="8"/>
  <c r="J129" i="8"/>
  <c r="F418" i="20"/>
  <c r="W418" i="20" s="1"/>
  <c r="AC43" i="17"/>
  <c r="AX74" i="11"/>
  <c r="AX76" i="11" s="1"/>
  <c r="CO43" i="17"/>
  <c r="N96" i="6"/>
  <c r="AL81" i="6"/>
  <c r="DX59" i="6"/>
  <c r="CB59" i="6"/>
  <c r="AF59" i="6"/>
  <c r="CL95" i="6"/>
  <c r="AJ72" i="11"/>
  <c r="DB63" i="11"/>
  <c r="CM50" i="11"/>
  <c r="CP238" i="17"/>
  <c r="BJ238" i="17"/>
  <c r="CD235" i="17"/>
  <c r="BN235" i="17"/>
  <c r="BJ186" i="17"/>
  <c r="BB186" i="17"/>
  <c r="AT186" i="17"/>
  <c r="AL186" i="17"/>
  <c r="AD186" i="17"/>
  <c r="V186" i="17"/>
  <c r="BJ151" i="17"/>
  <c r="AD151" i="17"/>
  <c r="BN29" i="17"/>
  <c r="AH29" i="17"/>
  <c r="AV87" i="11"/>
  <c r="O172" i="12" s="1"/>
  <c r="BI95" i="11"/>
  <c r="DB94" i="11"/>
  <c r="AY77" i="6"/>
  <c r="DR95" i="6"/>
  <c r="AF95" i="6"/>
  <c r="BU9" i="11"/>
  <c r="T136" i="12" s="1"/>
  <c r="BT23" i="11" s="1"/>
  <c r="AG9" i="11"/>
  <c r="L136" i="12" s="1"/>
  <c r="AF23" i="11" s="1"/>
  <c r="AA233" i="7"/>
  <c r="CT291" i="17"/>
  <c r="AC379" i="12" s="1"/>
  <c r="CO52" i="17"/>
  <c r="BY52" i="17"/>
  <c r="D255" i="2"/>
  <c r="AU255" i="2" s="1"/>
  <c r="D256" i="2"/>
  <c r="AU256" i="2" s="1"/>
  <c r="D254" i="2"/>
  <c r="AU254" i="2" s="1"/>
  <c r="D239" i="2"/>
  <c r="D238" i="2"/>
  <c r="D253" i="2"/>
  <c r="AU253" i="2" s="1"/>
  <c r="E100" i="2"/>
  <c r="CH264" i="17"/>
  <c r="CH120" i="17" s="1"/>
  <c r="CG269" i="17"/>
  <c r="AA500" i="7"/>
  <c r="W500" i="7"/>
  <c r="S500" i="7"/>
  <c r="O500" i="7"/>
  <c r="S152" i="7"/>
  <c r="AA41" i="12"/>
  <c r="DC64" i="11" s="1"/>
  <c r="X41" i="12"/>
  <c r="CN64" i="11" s="1"/>
  <c r="P41" i="12"/>
  <c r="AZ64" i="11" s="1"/>
  <c r="K41" i="12"/>
  <c r="AA64" i="11" s="1"/>
  <c r="G450" i="20"/>
  <c r="E99" i="20"/>
  <c r="I99" i="20" s="1"/>
  <c r="M99" i="20" s="1"/>
  <c r="G16" i="20"/>
  <c r="H16" i="20" s="1"/>
  <c r="DX94" i="6"/>
  <c r="CT94" i="6"/>
  <c r="BP94" i="6"/>
  <c r="T94" i="6"/>
  <c r="BD90" i="6"/>
  <c r="AL58" i="6"/>
  <c r="DX65" i="6"/>
  <c r="CN65" i="6"/>
  <c r="AR65" i="6"/>
  <c r="DQ94" i="6"/>
  <c r="CY57" i="6"/>
  <c r="BM96" i="11"/>
  <c r="DI59" i="11"/>
  <c r="AB178" i="12" s="1"/>
  <c r="M59" i="11"/>
  <c r="H178" i="12" s="1"/>
  <c r="CT58" i="11"/>
  <c r="CU58" i="11" s="1"/>
  <c r="BZ58" i="11"/>
  <c r="CA58" i="11" s="1"/>
  <c r="BF58" i="11"/>
  <c r="BG58" i="11" s="1"/>
  <c r="AL58" i="11"/>
  <c r="AM58" i="11" s="1"/>
  <c r="DI63" i="11"/>
  <c r="AB169" i="12" s="1"/>
  <c r="BZ48" i="17"/>
  <c r="BJ48" i="17"/>
  <c r="AT48" i="17"/>
  <c r="CY9" i="11"/>
  <c r="Z167" i="12" s="1"/>
  <c r="W9" i="11"/>
  <c r="J167" i="12" s="1"/>
  <c r="BA43" i="17"/>
  <c r="CB200" i="17"/>
  <c r="BN200" i="17"/>
  <c r="BO93" i="17"/>
  <c r="BT52" i="17"/>
  <c r="BI52" i="17"/>
  <c r="AK52" i="17"/>
  <c r="Q340" i="12"/>
  <c r="I340" i="12"/>
  <c r="CB269" i="17"/>
  <c r="BB264" i="17"/>
  <c r="BA269" i="17"/>
  <c r="V264" i="17"/>
  <c r="U269" i="17"/>
  <c r="CO200" i="17"/>
  <c r="CG200" i="17"/>
  <c r="BY200" i="17"/>
  <c r="BQ200" i="17"/>
  <c r="BY247" i="17"/>
  <c r="CP185" i="17"/>
  <c r="DH89" i="11" s="1"/>
  <c r="CH185" i="17"/>
  <c r="CX89" i="11" s="1"/>
  <c r="BZ185" i="17"/>
  <c r="CN89" i="11" s="1"/>
  <c r="Z218" i="8"/>
  <c r="Z339" i="7"/>
  <c r="V339" i="7"/>
  <c r="R339" i="7"/>
  <c r="N339" i="7"/>
  <c r="Y339" i="7"/>
  <c r="U339" i="7"/>
  <c r="Q339" i="7"/>
  <c r="M339" i="7"/>
  <c r="AA316" i="7"/>
  <c r="DY32" i="6"/>
  <c r="W316" i="7"/>
  <c r="S316" i="7"/>
  <c r="O316" i="7"/>
  <c r="Z270" i="7"/>
  <c r="V270" i="7"/>
  <c r="R270" i="7"/>
  <c r="N270" i="7"/>
  <c r="Y270" i="7"/>
  <c r="U270" i="7"/>
  <c r="Q270" i="7"/>
  <c r="M270" i="7"/>
  <c r="X212" i="7"/>
  <c r="T212" i="7"/>
  <c r="AA212" i="7"/>
  <c r="AA777" i="7"/>
  <c r="W212" i="7"/>
  <c r="S212" i="7"/>
  <c r="AA225" i="8"/>
  <c r="S225" i="8"/>
  <c r="O225" i="8"/>
  <c r="K225" i="8"/>
  <c r="Z233" i="8"/>
  <c r="V233" i="8"/>
  <c r="R233" i="8"/>
  <c r="N233" i="8"/>
  <c r="J233" i="8"/>
  <c r="X548" i="7"/>
  <c r="U451" i="7"/>
  <c r="Q451" i="7"/>
  <c r="M451" i="7"/>
  <c r="W155" i="7"/>
  <c r="S155" i="7"/>
  <c r="O155" i="7"/>
  <c r="T421" i="12"/>
  <c r="L421" i="12"/>
  <c r="AA224" i="12"/>
  <c r="V41" i="12"/>
  <c r="CD64" i="11" s="1"/>
  <c r="N41" i="12"/>
  <c r="AP64" i="11" s="1"/>
  <c r="H41" i="12"/>
  <c r="L64" i="11" s="1"/>
  <c r="AA213" i="12"/>
  <c r="AA408" i="12"/>
  <c r="DF64" i="11"/>
  <c r="W224" i="12"/>
  <c r="W213" i="12"/>
  <c r="X224" i="12"/>
  <c r="CL64" i="11"/>
  <c r="S213" i="12"/>
  <c r="S224" i="12"/>
  <c r="T224" i="12"/>
  <c r="BR64" i="11"/>
  <c r="O213" i="12"/>
  <c r="O224" i="12"/>
  <c r="P224" i="12"/>
  <c r="AX64" i="11"/>
  <c r="K213" i="12"/>
  <c r="K224" i="12"/>
  <c r="L224" i="12"/>
  <c r="AD64" i="11"/>
  <c r="AJ64" i="11" s="1"/>
  <c r="G213" i="12"/>
  <c r="G408" i="12"/>
  <c r="H224" i="12"/>
  <c r="J64" i="11"/>
  <c r="CH68" i="17"/>
  <c r="Z41" i="12"/>
  <c r="CX64" i="11" s="1"/>
  <c r="BB68" i="17"/>
  <c r="R41" i="12"/>
  <c r="BJ64" i="11" s="1"/>
  <c r="V68" i="17"/>
  <c r="J41" i="12"/>
  <c r="V64" i="11" s="1"/>
  <c r="N719" i="7"/>
  <c r="N720" i="7" s="1"/>
  <c r="N548" i="7"/>
  <c r="DV47" i="6"/>
  <c r="AA554" i="7"/>
  <c r="CX47" i="6"/>
  <c r="CX96" i="6" s="1"/>
  <c r="W554" i="7"/>
  <c r="BZ47" i="6"/>
  <c r="S545" i="7"/>
  <c r="S548" i="7"/>
  <c r="BB47" i="6"/>
  <c r="O545" i="7"/>
  <c r="O548" i="7"/>
  <c r="AD47" i="6"/>
  <c r="Z723" i="7"/>
  <c r="Z725" i="7" s="1"/>
  <c r="Z500" i="7"/>
  <c r="V723" i="7"/>
  <c r="V725" i="7" s="1"/>
  <c r="V500" i="7"/>
  <c r="R723" i="7"/>
  <c r="R725" i="7" s="1"/>
  <c r="R500" i="7"/>
  <c r="N723" i="7"/>
  <c r="N725" i="7" s="1"/>
  <c r="N500" i="7"/>
  <c r="DV40" i="6"/>
  <c r="DV89" i="6" s="1"/>
  <c r="AA511" i="7"/>
  <c r="CX40" i="6"/>
  <c r="DD89" i="6" s="1"/>
  <c r="W511" i="7"/>
  <c r="X500" i="7"/>
  <c r="BZ40" i="6"/>
  <c r="CF89" i="6" s="1"/>
  <c r="S511" i="7"/>
  <c r="T500" i="7"/>
  <c r="BB40" i="6"/>
  <c r="O511" i="7"/>
  <c r="P500" i="7"/>
  <c r="AD40" i="6"/>
  <c r="L500" i="7"/>
  <c r="DP18" i="6"/>
  <c r="Z160" i="7"/>
  <c r="V152" i="7"/>
  <c r="R152" i="7"/>
  <c r="N152" i="7"/>
  <c r="DV18" i="6"/>
  <c r="AA152" i="7"/>
  <c r="W160" i="7"/>
  <c r="W144" i="7"/>
  <c r="X152" i="7"/>
  <c r="S160" i="7"/>
  <c r="S144" i="7"/>
  <c r="T152" i="7"/>
  <c r="O160" i="7"/>
  <c r="O144" i="7"/>
  <c r="P152" i="7"/>
  <c r="F18" i="6"/>
  <c r="Z440" i="7"/>
  <c r="Y627" i="7"/>
  <c r="Y638" i="7" s="1"/>
  <c r="Y440" i="7"/>
  <c r="U627" i="7"/>
  <c r="U638" i="7" s="1"/>
  <c r="U440" i="7"/>
  <c r="Q627" i="7"/>
  <c r="Q638" i="7" s="1"/>
  <c r="Q440" i="7"/>
  <c r="M627" i="7"/>
  <c r="M638" i="7" s="1"/>
  <c r="M440" i="7"/>
  <c r="T549" i="7"/>
  <c r="CA47" i="6"/>
  <c r="S549" i="7"/>
  <c r="P549" i="7"/>
  <c r="BC47" i="6"/>
  <c r="O549" i="7"/>
  <c r="L549" i="7"/>
  <c r="AE47" i="6"/>
  <c r="Y740" i="7"/>
  <c r="Y742" i="7" s="1"/>
  <c r="Y501" i="7"/>
  <c r="U740" i="7"/>
  <c r="U742" i="7" s="1"/>
  <c r="U501" i="7"/>
  <c r="Q740" i="7"/>
  <c r="Q742" i="7" s="1"/>
  <c r="Q501" i="7"/>
  <c r="M740" i="7"/>
  <c r="M742" i="7" s="1"/>
  <c r="M501" i="7"/>
  <c r="AA155" i="7"/>
  <c r="CY18" i="6"/>
  <c r="W147" i="7"/>
  <c r="CA18" i="6"/>
  <c r="S147" i="7"/>
  <c r="BC18" i="6"/>
  <c r="BC67" i="6" s="1"/>
  <c r="O147" i="7"/>
  <c r="AE18" i="6"/>
  <c r="Z408" i="12"/>
  <c r="Z224" i="12"/>
  <c r="DA64" i="11"/>
  <c r="CG64" i="11"/>
  <c r="CG65" i="11" s="1"/>
  <c r="V224" i="12"/>
  <c r="V213" i="12"/>
  <c r="BM64" i="11"/>
  <c r="R224" i="12"/>
  <c r="R213" i="12"/>
  <c r="AS64" i="11"/>
  <c r="N224" i="12"/>
  <c r="N213" i="12"/>
  <c r="Y64" i="11"/>
  <c r="J224" i="12"/>
  <c r="J213" i="12"/>
  <c r="CL68" i="17"/>
  <c r="CP84" i="17" s="1"/>
  <c r="AB41" i="12"/>
  <c r="DH64" i="11" s="1"/>
  <c r="BV68" i="17"/>
  <c r="BZ84" i="17" s="1"/>
  <c r="W41" i="12"/>
  <c r="CI64" i="11" s="1"/>
  <c r="BF68" i="17"/>
  <c r="BJ84" i="17" s="1"/>
  <c r="T41" i="12"/>
  <c r="BT64" i="11" s="1"/>
  <c r="AP68" i="17"/>
  <c r="O41" i="12"/>
  <c r="AU64" i="11" s="1"/>
  <c r="Z68" i="17"/>
  <c r="AD84" i="17" s="1"/>
  <c r="L41" i="12"/>
  <c r="AF64" i="11" s="1"/>
  <c r="Y305" i="12"/>
  <c r="U305" i="12"/>
  <c r="Q305" i="12"/>
  <c r="Z441" i="12"/>
  <c r="W442" i="12"/>
  <c r="U334" i="12"/>
  <c r="S442" i="12"/>
  <c r="Q334" i="12"/>
  <c r="O442" i="12"/>
  <c r="M334" i="12"/>
  <c r="K442" i="12"/>
  <c r="I334" i="12"/>
  <c r="AA433" i="12"/>
  <c r="T256" i="12"/>
  <c r="L256" i="12"/>
  <c r="CY59" i="11"/>
  <c r="Z178" i="12" s="1"/>
  <c r="BK59" i="11"/>
  <c r="BL59" i="11" s="1"/>
  <c r="W59" i="11"/>
  <c r="J178" i="12" s="1"/>
  <c r="CJ58" i="11"/>
  <c r="CK58" i="11" s="1"/>
  <c r="AA416" i="12"/>
  <c r="Y416" i="12"/>
  <c r="U416" i="12"/>
  <c r="Q416" i="12"/>
  <c r="M416" i="12"/>
  <c r="I416" i="12"/>
  <c r="H414" i="12"/>
  <c r="AA255" i="12"/>
  <c r="Y255" i="12"/>
  <c r="W397" i="12"/>
  <c r="U255" i="12"/>
  <c r="S397" i="12"/>
  <c r="Q255" i="12"/>
  <c r="O397" i="12"/>
  <c r="M255" i="12"/>
  <c r="K397" i="12"/>
  <c r="I255" i="12"/>
  <c r="J366" i="12"/>
  <c r="AB118" i="12"/>
  <c r="X118" i="12"/>
  <c r="T118" i="12"/>
  <c r="P118" i="12"/>
  <c r="L118" i="12"/>
  <c r="Y128" i="12"/>
  <c r="U128" i="12"/>
  <c r="Q128" i="12"/>
  <c r="M128" i="12"/>
  <c r="I128" i="12"/>
  <c r="AA76" i="12"/>
  <c r="W76" i="12"/>
  <c r="S76" i="12"/>
  <c r="O76" i="12"/>
  <c r="K76" i="12"/>
  <c r="Z77" i="12"/>
  <c r="V77" i="12"/>
  <c r="R77" i="12"/>
  <c r="N77" i="12"/>
  <c r="J77" i="12"/>
  <c r="N84" i="17"/>
  <c r="Z59" i="12"/>
  <c r="V59" i="12"/>
  <c r="R59" i="12"/>
  <c r="CG43" i="17"/>
  <c r="BI43" i="17"/>
  <c r="AK43" i="17"/>
  <c r="U43" i="17"/>
  <c r="CT294" i="17"/>
  <c r="CT328" i="17" s="1"/>
  <c r="CN200" i="17"/>
  <c r="CF200" i="17"/>
  <c r="BX200" i="17"/>
  <c r="CD200" i="17"/>
  <c r="BT200" i="17"/>
  <c r="CL88" i="17"/>
  <c r="DC66" i="11" s="1"/>
  <c r="CJ93" i="17"/>
  <c r="CI93" i="17"/>
  <c r="BR88" i="17"/>
  <c r="CD66" i="11" s="1"/>
  <c r="BP93" i="17"/>
  <c r="CJ52" i="17"/>
  <c r="BV47" i="17"/>
  <c r="CI51" i="11" s="1"/>
  <c r="BL52" i="17"/>
  <c r="BD52" i="17"/>
  <c r="AP47" i="17"/>
  <c r="AU51" i="11" s="1"/>
  <c r="AF52" i="17"/>
  <c r="X52" i="17"/>
  <c r="P269" i="17"/>
  <c r="G301" i="12"/>
  <c r="CK73" i="17"/>
  <c r="BY73" i="17"/>
  <c r="BU43" i="17"/>
  <c r="AO43" i="17"/>
  <c r="CT293" i="17"/>
  <c r="CT327" i="17" s="1"/>
  <c r="CX280" i="17"/>
  <c r="CV279" i="17"/>
  <c r="CX281" i="17"/>
  <c r="CL200" i="17"/>
  <c r="Z112" i="8"/>
  <c r="X112" i="8"/>
  <c r="T112" i="8"/>
  <c r="T109" i="8" s="1"/>
  <c r="P112" i="8"/>
  <c r="P109" i="8" s="1"/>
  <c r="L112" i="8"/>
  <c r="H112" i="8"/>
  <c r="AA269" i="12"/>
  <c r="CW12" i="17"/>
  <c r="CX12" i="17"/>
  <c r="O121" i="2" s="1"/>
  <c r="CW7" i="17"/>
  <c r="N116" i="2" s="1"/>
  <c r="CT292" i="17"/>
  <c r="CD88" i="17"/>
  <c r="CS66" i="11" s="1"/>
  <c r="CB93" i="17"/>
  <c r="CA93" i="17"/>
  <c r="R251" i="12"/>
  <c r="CC230" i="17"/>
  <c r="AV269" i="17"/>
  <c r="AL264" i="17"/>
  <c r="AK269" i="17"/>
  <c r="CD242" i="17"/>
  <c r="CS104" i="11" s="1"/>
  <c r="BA126" i="17"/>
  <c r="CF85" i="6"/>
  <c r="R208" i="17"/>
  <c r="Z82" i="6"/>
  <c r="D314" i="2"/>
  <c r="G182" i="20"/>
  <c r="X182" i="20" s="1"/>
  <c r="F181" i="20"/>
  <c r="W181" i="20" s="1"/>
  <c r="E502" i="20"/>
  <c r="V502" i="20" s="1"/>
  <c r="DI95" i="6"/>
  <c r="BP87" i="6"/>
  <c r="AG260" i="17"/>
  <c r="CK230" i="17"/>
  <c r="AC71" i="12"/>
  <c r="AC77" i="12" s="1"/>
  <c r="AE87" i="11"/>
  <c r="U86" i="11"/>
  <c r="BI59" i="11"/>
  <c r="CH86" i="11"/>
  <c r="R86" i="11"/>
  <c r="I173" i="12" s="1"/>
  <c r="BM24" i="17"/>
  <c r="BJ112" i="17"/>
  <c r="R116" i="11"/>
  <c r="S116" i="11" s="1"/>
  <c r="DB102" i="11"/>
  <c r="DB111" i="11" s="1"/>
  <c r="BS102" i="11"/>
  <c r="Z102" i="11"/>
  <c r="R17" i="11"/>
  <c r="I144" i="12" s="1"/>
  <c r="Q30" i="11" s="1"/>
  <c r="BY71" i="11"/>
  <c r="U48" i="12" s="1"/>
  <c r="AX95" i="6"/>
  <c r="DU95" i="6"/>
  <c r="CK95" i="6"/>
  <c r="AT9" i="11"/>
  <c r="CN86" i="6"/>
  <c r="H488" i="20"/>
  <c r="Y488" i="20" s="1"/>
  <c r="D308" i="2"/>
  <c r="F420" i="20"/>
  <c r="W420" i="20" s="1"/>
  <c r="F486" i="20"/>
  <c r="W486" i="20" s="1"/>
  <c r="AO103" i="11"/>
  <c r="BN76" i="6"/>
  <c r="CW87" i="11"/>
  <c r="CW96" i="11" s="1"/>
  <c r="DL86" i="6"/>
  <c r="BI47" i="11"/>
  <c r="BP86" i="6"/>
  <c r="CC260" i="17"/>
  <c r="CG126" i="17"/>
  <c r="BQ126" i="17"/>
  <c r="AK126" i="17"/>
  <c r="U126" i="17"/>
  <c r="BU73" i="17"/>
  <c r="M43" i="17"/>
  <c r="Y43" i="17"/>
  <c r="CO24" i="17"/>
  <c r="BI24" i="17"/>
  <c r="AS24" i="17"/>
  <c r="AC24" i="17"/>
  <c r="M24" i="17"/>
  <c r="CG260" i="17"/>
  <c r="BI260" i="17"/>
  <c r="AC260" i="17"/>
  <c r="CG230" i="17"/>
  <c r="CK126" i="17"/>
  <c r="BE126" i="17"/>
  <c r="Y126" i="17"/>
  <c r="CO73" i="17"/>
  <c r="AW62" i="17"/>
  <c r="AG62" i="17"/>
  <c r="Q62" i="17"/>
  <c r="CK43" i="17"/>
  <c r="BE43" i="17"/>
  <c r="CM93" i="17"/>
  <c r="CE93" i="17"/>
  <c r="BW93" i="17"/>
  <c r="CG52" i="17"/>
  <c r="BA52" i="17"/>
  <c r="U52" i="17"/>
  <c r="Y247" i="7"/>
  <c r="U247" i="7"/>
  <c r="X251" i="12"/>
  <c r="N251" i="12"/>
  <c r="N59" i="12"/>
  <c r="J59" i="12"/>
  <c r="Y58" i="12"/>
  <c r="U58" i="12"/>
  <c r="Q58" i="12"/>
  <c r="M58" i="12"/>
  <c r="I58" i="12"/>
  <c r="CE101" i="11"/>
  <c r="AO58" i="11"/>
  <c r="CR50" i="11"/>
  <c r="AR79" i="6"/>
  <c r="AX72" i="6"/>
  <c r="AY101" i="11"/>
  <c r="CH24" i="6"/>
  <c r="CE24" i="6" s="1"/>
  <c r="BI84" i="6"/>
  <c r="DQ81" i="6"/>
  <c r="CS81" i="6"/>
  <c r="BU81" i="6"/>
  <c r="CG59" i="6"/>
  <c r="CA58" i="6"/>
  <c r="DU56" i="6"/>
  <c r="DO8" i="6"/>
  <c r="DT8" i="6" s="1"/>
  <c r="DT57" i="6" s="1"/>
  <c r="F311" i="20"/>
  <c r="W311" i="20" s="1"/>
  <c r="CM94" i="11"/>
  <c r="BD94" i="11"/>
  <c r="AJ94" i="11"/>
  <c r="BH95" i="6"/>
  <c r="CY95" i="6"/>
  <c r="DP85" i="6"/>
  <c r="CR85" i="6"/>
  <c r="BT85" i="6"/>
  <c r="AD178" i="17"/>
  <c r="CD208" i="17"/>
  <c r="BS8" i="6"/>
  <c r="BX8" i="6" s="1"/>
  <c r="BX57" i="6" s="1"/>
  <c r="CK55" i="6"/>
  <c r="H412" i="20"/>
  <c r="Y412" i="20" s="1"/>
  <c r="E506" i="20"/>
  <c r="V506" i="20" s="1"/>
  <c r="AC27" i="6"/>
  <c r="DE95" i="6"/>
  <c r="AX84" i="6"/>
  <c r="AU45" i="6"/>
  <c r="AZ45" i="6" s="1"/>
  <c r="AZ94" i="6" s="1"/>
  <c r="DL75" i="6"/>
  <c r="BD59" i="6"/>
  <c r="CA82" i="6"/>
  <c r="DG94" i="11"/>
  <c r="P94" i="11"/>
  <c r="BI95" i="6"/>
  <c r="CR13" i="11"/>
  <c r="CH88" i="11"/>
  <c r="BD13" i="11"/>
  <c r="P13" i="11"/>
  <c r="DB86" i="11"/>
  <c r="CM86" i="11"/>
  <c r="CC86" i="11"/>
  <c r="BS86" i="11"/>
  <c r="AY86" i="11"/>
  <c r="CR87" i="11"/>
  <c r="CR96" i="11" s="1"/>
  <c r="BM95" i="6"/>
  <c r="DG63" i="11"/>
  <c r="DG59" i="11"/>
  <c r="DX86" i="6"/>
  <c r="CZ86" i="6"/>
  <c r="CB86" i="6"/>
  <c r="Z47" i="11"/>
  <c r="U47" i="11"/>
  <c r="CC8" i="11"/>
  <c r="DL87" i="6"/>
  <c r="BS7" i="11"/>
  <c r="CX105" i="11"/>
  <c r="AX181" i="17"/>
  <c r="CS90" i="11"/>
  <c r="R178" i="17"/>
  <c r="AT89" i="17"/>
  <c r="BN81" i="17"/>
  <c r="R59" i="11"/>
  <c r="S59" i="11" s="1"/>
  <c r="I488" i="20"/>
  <c r="Z488" i="20" s="1"/>
  <c r="D320" i="2"/>
  <c r="D311" i="2"/>
  <c r="F488" i="20"/>
  <c r="W488" i="20" s="1"/>
  <c r="F186" i="20"/>
  <c r="W186" i="20" s="1"/>
  <c r="E501" i="20"/>
  <c r="V501" i="20" s="1"/>
  <c r="F182" i="20"/>
  <c r="W182" i="20" s="1"/>
  <c r="E504" i="20"/>
  <c r="V504" i="20" s="1"/>
  <c r="G180" i="20"/>
  <c r="X180" i="20" s="1"/>
  <c r="F180" i="20"/>
  <c r="W180" i="20" s="1"/>
  <c r="F189" i="20"/>
  <c r="W189" i="20" s="1"/>
  <c r="E500" i="20"/>
  <c r="V500" i="20" s="1"/>
  <c r="G175" i="20"/>
  <c r="X175" i="20" s="1"/>
  <c r="G177" i="20"/>
  <c r="X177" i="20" s="1"/>
  <c r="F177" i="20"/>
  <c r="W177" i="20" s="1"/>
  <c r="CJ46" i="6"/>
  <c r="BV84" i="6"/>
  <c r="Z84" i="6"/>
  <c r="CF95" i="6"/>
  <c r="Z95" i="6"/>
  <c r="AW260" i="17"/>
  <c r="M260" i="17"/>
  <c r="BU230" i="17"/>
  <c r="BY43" i="17"/>
  <c r="AS43" i="17"/>
  <c r="AD64" i="12"/>
  <c r="CO87" i="11"/>
  <c r="X172" i="12" s="1"/>
  <c r="BS87" i="11"/>
  <c r="CW58" i="11"/>
  <c r="BN86" i="11"/>
  <c r="Z86" i="11"/>
  <c r="Z59" i="11"/>
  <c r="AC166" i="12"/>
  <c r="DD58" i="11"/>
  <c r="DE58" i="11" s="1"/>
  <c r="AG24" i="17"/>
  <c r="CT86" i="11"/>
  <c r="Y173" i="12" s="1"/>
  <c r="CR86" i="11"/>
  <c r="BZ86" i="11"/>
  <c r="BX86" i="11"/>
  <c r="BF86" i="11"/>
  <c r="Q173" i="12" s="1"/>
  <c r="BD86" i="11"/>
  <c r="AL86" i="11"/>
  <c r="M173" i="12" s="1"/>
  <c r="AJ86" i="11"/>
  <c r="AV58" i="11"/>
  <c r="AT58" i="11"/>
  <c r="BM260" i="17"/>
  <c r="BN265" i="17"/>
  <c r="CD29" i="17"/>
  <c r="CC24" i="17"/>
  <c r="AX29" i="17"/>
  <c r="AW24" i="17"/>
  <c r="R29" i="17"/>
  <c r="Q24" i="17"/>
  <c r="AL71" i="11"/>
  <c r="M177" i="12" s="1"/>
  <c r="AN74" i="11"/>
  <c r="AN76" i="11" s="1"/>
  <c r="CG95" i="6"/>
  <c r="DB88" i="11"/>
  <c r="BN88" i="11"/>
  <c r="Z88" i="11"/>
  <c r="DK90" i="11"/>
  <c r="BX87" i="11"/>
  <c r="BX96" i="11" s="1"/>
  <c r="AL87" i="11"/>
  <c r="AJ87" i="11"/>
  <c r="CR81" i="11"/>
  <c r="DB59" i="11"/>
  <c r="BC49" i="11"/>
  <c r="CW48" i="11"/>
  <c r="CH265" i="17"/>
  <c r="BR265" i="17"/>
  <c r="CD105" i="11"/>
  <c r="CL131" i="17"/>
  <c r="BV131" i="17"/>
  <c r="BF131" i="17"/>
  <c r="AP131" i="17"/>
  <c r="Z131" i="17"/>
  <c r="BZ89" i="17"/>
  <c r="CC102" i="11"/>
  <c r="CC111" i="11" s="1"/>
  <c r="BI102" i="11"/>
  <c r="AO102" i="11"/>
  <c r="P102" i="11"/>
  <c r="CH103" i="11"/>
  <c r="CV105" i="11"/>
  <c r="CW15" i="11"/>
  <c r="BI15" i="11"/>
  <c r="AT15" i="11"/>
  <c r="U15" i="11"/>
  <c r="BV95" i="6"/>
  <c r="AO13" i="11"/>
  <c r="DF122" i="11"/>
  <c r="DU96" i="6"/>
  <c r="DB9" i="11"/>
  <c r="DO95" i="6"/>
  <c r="BX65" i="11"/>
  <c r="BN9" i="11"/>
  <c r="BD65" i="11"/>
  <c r="AJ65" i="11"/>
  <c r="Z9" i="11"/>
  <c r="CM60" i="11"/>
  <c r="BS60" i="11"/>
  <c r="AY60" i="11"/>
  <c r="AE60" i="11"/>
  <c r="BI58" i="11"/>
  <c r="DR86" i="6"/>
  <c r="DF86" i="6"/>
  <c r="CH47" i="11"/>
  <c r="CT86" i="6"/>
  <c r="BS47" i="11"/>
  <c r="BN47" i="11"/>
  <c r="BV86" i="6"/>
  <c r="AX49" i="11"/>
  <c r="BD36" i="6"/>
  <c r="AT47" i="11"/>
  <c r="AE47" i="11"/>
  <c r="DG8" i="11"/>
  <c r="BX50" i="11"/>
  <c r="BI8" i="11"/>
  <c r="BD50" i="11"/>
  <c r="AO8" i="11"/>
  <c r="AJ50" i="11"/>
  <c r="CR7" i="11"/>
  <c r="CM35" i="11"/>
  <c r="R265" i="17"/>
  <c r="CD181" i="17"/>
  <c r="R181" i="17"/>
  <c r="BR178" i="17"/>
  <c r="AL178" i="17"/>
  <c r="R151" i="17"/>
  <c r="BN89" i="17"/>
  <c r="AH89" i="17"/>
  <c r="AX82" i="6"/>
  <c r="DF72" i="6"/>
  <c r="CZ59" i="6"/>
  <c r="DQ59" i="6"/>
  <c r="F408" i="20"/>
  <c r="W408" i="20" s="1"/>
  <c r="BJ84" i="6"/>
  <c r="AL84" i="6"/>
  <c r="DD95" i="6"/>
  <c r="BA27" i="6"/>
  <c r="Q27" i="6"/>
  <c r="K31" i="6"/>
  <c r="K80" i="6" s="1"/>
  <c r="CZ84" i="6"/>
  <c r="BD81" i="6"/>
  <c r="AF81" i="6"/>
  <c r="BO82" i="6"/>
  <c r="DW79" i="6"/>
  <c r="DK79" i="6"/>
  <c r="BO79" i="6"/>
  <c r="DK60" i="6"/>
  <c r="CQ8" i="6"/>
  <c r="CV8" i="6" s="1"/>
  <c r="CV57" i="6" s="1"/>
  <c r="CW54" i="6"/>
  <c r="AV9" i="11"/>
  <c r="AW9" i="11" s="1"/>
  <c r="CB10" i="11"/>
  <c r="CE10" i="11" s="1"/>
  <c r="DK47" i="11"/>
  <c r="DR36" i="6"/>
  <c r="DO36" i="6" s="1"/>
  <c r="BF78" i="17"/>
  <c r="AH81" i="17"/>
  <c r="G418" i="20"/>
  <c r="X418" i="20" s="1"/>
  <c r="F412" i="20"/>
  <c r="W412" i="20" s="1"/>
  <c r="G382" i="20"/>
  <c r="X382" i="20" s="1"/>
  <c r="W8" i="6"/>
  <c r="BD119" i="11"/>
  <c r="DU33" i="6"/>
  <c r="I482" i="20"/>
  <c r="Z482" i="20" s="1"/>
  <c r="CH77" i="6"/>
  <c r="AX77" i="6"/>
  <c r="BU94" i="6"/>
  <c r="DE84" i="6"/>
  <c r="DE81" i="6"/>
  <c r="CG81" i="6"/>
  <c r="BI81" i="6"/>
  <c r="CK56" i="6"/>
  <c r="CE54" i="6"/>
  <c r="BN63" i="11"/>
  <c r="CD265" i="17"/>
  <c r="AX208" i="17"/>
  <c r="F410" i="20"/>
  <c r="W410" i="20" s="1"/>
  <c r="F377" i="20"/>
  <c r="W377" i="20" s="1"/>
  <c r="G199" i="20"/>
  <c r="X199" i="20" s="1"/>
  <c r="AN46" i="6"/>
  <c r="CP46" i="6"/>
  <c r="DQ79" i="6"/>
  <c r="BA30" i="6"/>
  <c r="AU8" i="6"/>
  <c r="AZ8" i="6" s="1"/>
  <c r="AZ57" i="6" s="1"/>
  <c r="AU13" i="6"/>
  <c r="AU62" i="6" s="1"/>
  <c r="AW12" i="6"/>
  <c r="AI10" i="6"/>
  <c r="AD192" i="12"/>
  <c r="F218" i="2" s="1"/>
  <c r="AW218" i="2" s="1"/>
  <c r="CR119" i="11"/>
  <c r="AJ119" i="11"/>
  <c r="CM88" i="11"/>
  <c r="CC58" i="11"/>
  <c r="CC47" i="11"/>
  <c r="AO47" i="11"/>
  <c r="DL8" i="11"/>
  <c r="BH10" i="11"/>
  <c r="BK10" i="11" s="1"/>
  <c r="R137" i="12" s="1"/>
  <c r="BJ24" i="11" s="1"/>
  <c r="DU48" i="11"/>
  <c r="DZ48" i="11" s="1"/>
  <c r="BP9" i="11"/>
  <c r="BQ9" i="11" s="1"/>
  <c r="AB9" i="11"/>
  <c r="AC9" i="11" s="1"/>
  <c r="CT225" i="17"/>
  <c r="CT238" i="17" s="1"/>
  <c r="CT43" i="17"/>
  <c r="CT48" i="17" s="1"/>
  <c r="DE7" i="17" s="1"/>
  <c r="AC52" i="12"/>
  <c r="AC59" i="12" s="1"/>
  <c r="AE103" i="11"/>
  <c r="Z103" i="11"/>
  <c r="R58" i="11"/>
  <c r="S58" i="11" s="1"/>
  <c r="U58" i="11"/>
  <c r="CL49" i="11"/>
  <c r="CM47" i="11"/>
  <c r="BD47" i="11"/>
  <c r="AY47" i="11"/>
  <c r="P47" i="11"/>
  <c r="J49" i="11"/>
  <c r="CV10" i="11"/>
  <c r="CV12" i="11" s="1"/>
  <c r="CV14" i="11" s="1"/>
  <c r="CW8" i="11"/>
  <c r="DB8" i="11"/>
  <c r="T10" i="11"/>
  <c r="W10" i="11" s="1"/>
  <c r="U8" i="11"/>
  <c r="DB48" i="11"/>
  <c r="DA47" i="11"/>
  <c r="DA49" i="11" s="1"/>
  <c r="DA10" i="11"/>
  <c r="DA12" i="11" s="1"/>
  <c r="BA9" i="11"/>
  <c r="P167" i="12" s="1"/>
  <c r="AY9" i="11"/>
  <c r="Z8" i="11"/>
  <c r="AH186" i="17"/>
  <c r="DF96" i="6"/>
  <c r="CW33" i="6"/>
  <c r="ED77" i="6"/>
  <c r="AL24" i="6"/>
  <c r="AI24" i="6" s="1"/>
  <c r="DX79" i="6"/>
  <c r="T79" i="6"/>
  <c r="CG84" i="6"/>
  <c r="DW81" i="6"/>
  <c r="DK81" i="6"/>
  <c r="CY81" i="6"/>
  <c r="CM81" i="6"/>
  <c r="CA81" i="6"/>
  <c r="BO81" i="6"/>
  <c r="CA79" i="6"/>
  <c r="DE59" i="6"/>
  <c r="CY58" i="6"/>
  <c r="DO56" i="6"/>
  <c r="BM56" i="6"/>
  <c r="DC8" i="6"/>
  <c r="DH8" i="6" s="1"/>
  <c r="DH57" i="6" s="1"/>
  <c r="CE55" i="6"/>
  <c r="BG8" i="6"/>
  <c r="BL8" i="6" s="1"/>
  <c r="BL57" i="6" s="1"/>
  <c r="DB71" i="11"/>
  <c r="CY71" i="11"/>
  <c r="Z177" i="12" s="1"/>
  <c r="N29" i="17"/>
  <c r="BN95" i="6"/>
  <c r="AD74" i="11"/>
  <c r="AC71" i="11"/>
  <c r="CE8" i="6"/>
  <c r="CJ8" i="6" s="1"/>
  <c r="CJ57" i="6" s="1"/>
  <c r="AI8" i="6"/>
  <c r="AN8" i="6" s="1"/>
  <c r="AN57" i="6" s="1"/>
  <c r="K8" i="6"/>
  <c r="DR66" i="6"/>
  <c r="CS12" i="6"/>
  <c r="BI59" i="6"/>
  <c r="W9" i="6"/>
  <c r="Q8" i="6"/>
  <c r="V8" i="6" s="1"/>
  <c r="V57" i="6" s="1"/>
  <c r="DI56" i="6"/>
  <c r="AJ80" i="6"/>
  <c r="W31" i="6"/>
  <c r="DD94" i="6"/>
  <c r="CF94" i="6"/>
  <c r="BH94" i="6"/>
  <c r="CR81" i="6"/>
  <c r="DD57" i="6"/>
  <c r="DL93" i="6"/>
  <c r="T93" i="6"/>
  <c r="BV90" i="6"/>
  <c r="Z90" i="6"/>
  <c r="N82" i="6"/>
  <c r="CZ81" i="6"/>
  <c r="CB81" i="6"/>
  <c r="DR74" i="6"/>
  <c r="DR24" i="6"/>
  <c r="DO24" i="6" s="1"/>
  <c r="BJ72" i="6"/>
  <c r="AL72" i="6"/>
  <c r="ED68" i="6"/>
  <c r="DF68" i="6"/>
  <c r="CH68" i="6"/>
  <c r="BJ68" i="6"/>
  <c r="AL68" i="6"/>
  <c r="DW84" i="6"/>
  <c r="DW82" i="6"/>
  <c r="DQ82" i="6"/>
  <c r="DE82" i="6"/>
  <c r="CM82" i="6"/>
  <c r="CG82" i="6"/>
  <c r="BU82" i="6"/>
  <c r="CM79" i="6"/>
  <c r="CY60" i="6"/>
  <c r="BU60" i="6"/>
  <c r="BO60" i="6"/>
  <c r="DQ58" i="6"/>
  <c r="G200" i="20"/>
  <c r="X200" i="20" s="1"/>
  <c r="CW56" i="6"/>
  <c r="BY56" i="6"/>
  <c r="CQ54" i="6"/>
  <c r="CO119" i="11"/>
  <c r="X179" i="12" s="1"/>
  <c r="BA119" i="11"/>
  <c r="P179" i="12" s="1"/>
  <c r="W101" i="11"/>
  <c r="J175" i="12" s="1"/>
  <c r="CC15" i="11"/>
  <c r="AO15" i="11"/>
  <c r="Z15" i="11"/>
  <c r="J46" i="6"/>
  <c r="DD9" i="11"/>
  <c r="DE9" i="11" s="1"/>
  <c r="CQ74" i="11"/>
  <c r="CQ76" i="11" s="1"/>
  <c r="BD66" i="6"/>
  <c r="AF66" i="6"/>
  <c r="AD27" i="12"/>
  <c r="CT62" i="17"/>
  <c r="CT78" i="17" s="1"/>
  <c r="O75" i="11"/>
  <c r="P65" i="11"/>
  <c r="BR49" i="11"/>
  <c r="BX47" i="11"/>
  <c r="BD86" i="6"/>
  <c r="BJ86" i="6"/>
  <c r="AD49" i="11"/>
  <c r="AJ47" i="11"/>
  <c r="AH243" i="17"/>
  <c r="AL243" i="17"/>
  <c r="AT151" i="17"/>
  <c r="AX151" i="17"/>
  <c r="AW119" i="11"/>
  <c r="CU89" i="6"/>
  <c r="CF81" i="6"/>
  <c r="DU11" i="6"/>
  <c r="CR15" i="6"/>
  <c r="CR59" i="6"/>
  <c r="BT59" i="6"/>
  <c r="BH59" i="6"/>
  <c r="CF58" i="6"/>
  <c r="DX77" i="6"/>
  <c r="DL77" i="6"/>
  <c r="CN77" i="6"/>
  <c r="CB77" i="6"/>
  <c r="BP77" i="6"/>
  <c r="AR77" i="6"/>
  <c r="AF77" i="6"/>
  <c r="T77" i="6"/>
  <c r="ED81" i="6"/>
  <c r="DR81" i="6"/>
  <c r="N81" i="6"/>
  <c r="ED74" i="6"/>
  <c r="N74" i="6"/>
  <c r="ED75" i="6"/>
  <c r="DF75" i="6"/>
  <c r="BJ75" i="6"/>
  <c r="DL79" i="6"/>
  <c r="CZ79" i="6"/>
  <c r="CN79" i="6"/>
  <c r="CB79" i="6"/>
  <c r="BP79" i="6"/>
  <c r="BD79" i="6"/>
  <c r="AF79" i="6"/>
  <c r="DR70" i="6"/>
  <c r="N58" i="6"/>
  <c r="CH66" i="6"/>
  <c r="AL66" i="6"/>
  <c r="EA56" i="6"/>
  <c r="DC55" i="6"/>
  <c r="BG55" i="6"/>
  <c r="CX76" i="6"/>
  <c r="BJ237" i="17"/>
  <c r="BB237" i="17"/>
  <c r="AT237" i="17"/>
  <c r="AL237" i="17"/>
  <c r="AD237" i="17"/>
  <c r="V237" i="17"/>
  <c r="BJ234" i="17"/>
  <c r="BB234" i="17"/>
  <c r="AT234" i="17"/>
  <c r="AL234" i="17"/>
  <c r="T156" i="12"/>
  <c r="BL269" i="17"/>
  <c r="AA155" i="12"/>
  <c r="CO247" i="17"/>
  <c r="CH200" i="17"/>
  <c r="BZ200" i="17"/>
  <c r="BR200" i="17"/>
  <c r="CL130" i="17"/>
  <c r="CD130" i="17"/>
  <c r="BV130" i="17"/>
  <c r="BN130" i="17"/>
  <c r="BF130" i="17"/>
  <c r="AX130" i="17"/>
  <c r="AP130" i="17"/>
  <c r="AH130" i="17"/>
  <c r="Z130" i="17"/>
  <c r="R130" i="17"/>
  <c r="CO93" i="17"/>
  <c r="CK93" i="17"/>
  <c r="CG93" i="17"/>
  <c r="CC93" i="17"/>
  <c r="BY93" i="17"/>
  <c r="BU93" i="17"/>
  <c r="CL47" i="17"/>
  <c r="DC51" i="11" s="1"/>
  <c r="CB52" i="17"/>
  <c r="BF47" i="17"/>
  <c r="BO51" i="11" s="1"/>
  <c r="AV52" i="17"/>
  <c r="Z47" i="17"/>
  <c r="AA51" i="11" s="1"/>
  <c r="P52" i="17"/>
  <c r="BR264" i="17"/>
  <c r="BR120" i="17" s="1"/>
  <c r="BQ269" i="17"/>
  <c r="L156" i="12"/>
  <c r="AF269" i="17"/>
  <c r="BO200" i="17"/>
  <c r="BM200" i="17"/>
  <c r="CN247" i="17"/>
  <c r="CM247" i="17"/>
  <c r="BZ242" i="17"/>
  <c r="CN104" i="11" s="1"/>
  <c r="CA247" i="17"/>
  <c r="BR242" i="17"/>
  <c r="CD104" i="11" s="1"/>
  <c r="BR185" i="17"/>
  <c r="CD89" i="11" s="1"/>
  <c r="AD234" i="17"/>
  <c r="V234" i="17"/>
  <c r="BJ83" i="17"/>
  <c r="BB83" i="17"/>
  <c r="AT83" i="17"/>
  <c r="AL83" i="17"/>
  <c r="AD83" i="17"/>
  <c r="V83" i="17"/>
  <c r="BJ80" i="17"/>
  <c r="BB80" i="17"/>
  <c r="AT80" i="17"/>
  <c r="AL80" i="17"/>
  <c r="AD80" i="17"/>
  <c r="V80" i="17"/>
  <c r="BJ77" i="17"/>
  <c r="BB77" i="17"/>
  <c r="AT77" i="17"/>
  <c r="AL77" i="17"/>
  <c r="AD77" i="17"/>
  <c r="V77" i="17"/>
  <c r="CD180" i="17"/>
  <c r="BV180" i="17"/>
  <c r="BN180" i="17"/>
  <c r="BF180" i="17"/>
  <c r="AX180" i="17"/>
  <c r="AP180" i="17"/>
  <c r="AH180" i="17"/>
  <c r="Z180" i="17"/>
  <c r="R180" i="17"/>
  <c r="CH177" i="17"/>
  <c r="BZ177" i="17"/>
  <c r="BR177" i="17"/>
  <c r="BJ177" i="17"/>
  <c r="BB177" i="17"/>
  <c r="AT177" i="17"/>
  <c r="CP242" i="17"/>
  <c r="DH104" i="11" s="1"/>
  <c r="CH242" i="17"/>
  <c r="CX104" i="11" s="1"/>
  <c r="CL185" i="17"/>
  <c r="DC89" i="11" s="1"/>
  <c r="CD185" i="17"/>
  <c r="CS89" i="11" s="1"/>
  <c r="BV185" i="17"/>
  <c r="CI89" i="11" s="1"/>
  <c r="X340" i="12"/>
  <c r="V340" i="12"/>
  <c r="T340" i="12"/>
  <c r="R340" i="12"/>
  <c r="N340" i="12"/>
  <c r="L340" i="12"/>
  <c r="J340" i="12"/>
  <c r="V251" i="12"/>
  <c r="CK260" i="17"/>
  <c r="Q260" i="17"/>
  <c r="Y222" i="17"/>
  <c r="BM73" i="17"/>
  <c r="CG24" i="17"/>
  <c r="BA24" i="17"/>
  <c r="U24" i="17"/>
  <c r="BY260" i="17"/>
  <c r="BA222" i="17"/>
  <c r="AK222" i="17"/>
  <c r="U222" i="17"/>
  <c r="AB499" i="7"/>
  <c r="AB496" i="7"/>
  <c r="E242" i="20"/>
  <c r="V242" i="20" s="1"/>
  <c r="CH95" i="11"/>
  <c r="BN95" i="11"/>
  <c r="AT95" i="11"/>
  <c r="Z95" i="11"/>
  <c r="CR95" i="6"/>
  <c r="BT95" i="6"/>
  <c r="DF95" i="6"/>
  <c r="CZ95" i="6"/>
  <c r="CB95" i="6"/>
  <c r="BJ95" i="6"/>
  <c r="BD95" i="6"/>
  <c r="AR95" i="6"/>
  <c r="CM95" i="6"/>
  <c r="BO95" i="6"/>
  <c r="CW13" i="11"/>
  <c r="CC13" i="11"/>
  <c r="BS88" i="11"/>
  <c r="BI13" i="11"/>
  <c r="AE88" i="11"/>
  <c r="U13" i="11"/>
  <c r="DL36" i="6"/>
  <c r="DI36" i="6" s="1"/>
  <c r="CZ36" i="6"/>
  <c r="CW36" i="6" s="1"/>
  <c r="CB49" i="11"/>
  <c r="CN36" i="6"/>
  <c r="CK36" i="6" s="1"/>
  <c r="CB36" i="6"/>
  <c r="BY36" i="6" s="1"/>
  <c r="BH49" i="11"/>
  <c r="BP36" i="6"/>
  <c r="BM36" i="6" s="1"/>
  <c r="AN49" i="11"/>
  <c r="T49" i="11"/>
  <c r="DR87" i="6"/>
  <c r="DB7" i="11"/>
  <c r="CH35" i="11"/>
  <c r="CC35" i="11"/>
  <c r="BN7" i="11"/>
  <c r="Z7" i="11"/>
  <c r="CH181" i="17"/>
  <c r="BV181" i="17"/>
  <c r="BR181" i="17"/>
  <c r="BF181" i="17"/>
  <c r="BB181" i="17"/>
  <c r="AP181" i="17"/>
  <c r="AL181" i="17"/>
  <c r="Z181" i="17"/>
  <c r="V181" i="17"/>
  <c r="CH178" i="17"/>
  <c r="BB178" i="17"/>
  <c r="V178" i="17"/>
  <c r="CL208" i="17"/>
  <c r="BF208" i="17"/>
  <c r="Z208" i="17"/>
  <c r="CH112" i="17"/>
  <c r="BR112" i="17"/>
  <c r="BB112" i="17"/>
  <c r="AL112" i="17"/>
  <c r="V112" i="17"/>
  <c r="CD89" i="17"/>
  <c r="AX89" i="17"/>
  <c r="R89" i="17"/>
  <c r="N89" i="17"/>
  <c r="CP78" i="17"/>
  <c r="BR78" i="17"/>
  <c r="BB78" i="17"/>
  <c r="AL78" i="17"/>
  <c r="CP81" i="17"/>
  <c r="BZ81" i="17"/>
  <c r="BR81" i="17"/>
  <c r="BJ81" i="17"/>
  <c r="AT81" i="17"/>
  <c r="AL81" i="17"/>
  <c r="AD81" i="17"/>
  <c r="DD12" i="6"/>
  <c r="DL119" i="11"/>
  <c r="CL81" i="6"/>
  <c r="DV76" i="6"/>
  <c r="BZ76" i="6"/>
  <c r="BH80" i="6"/>
  <c r="CX15" i="6"/>
  <c r="CL62" i="6"/>
  <c r="BB15" i="6"/>
  <c r="AP62" i="6"/>
  <c r="AC11" i="6"/>
  <c r="DV84" i="6"/>
  <c r="DJ84" i="6"/>
  <c r="CL84" i="6"/>
  <c r="BN84" i="6"/>
  <c r="CF82" i="6"/>
  <c r="BH82" i="6"/>
  <c r="BZ81" i="6"/>
  <c r="DD79" i="6"/>
  <c r="CR79" i="6"/>
  <c r="CF79" i="6"/>
  <c r="BT79" i="6"/>
  <c r="BH79" i="6"/>
  <c r="DI45" i="6"/>
  <c r="CZ94" i="6"/>
  <c r="CN94" i="6"/>
  <c r="CB94" i="6"/>
  <c r="BD94" i="6"/>
  <c r="AR94" i="6"/>
  <c r="AF94" i="6"/>
  <c r="CZ90" i="6"/>
  <c r="CT84" i="6"/>
  <c r="Z81" i="6"/>
  <c r="ED58" i="6"/>
  <c r="DL58" i="6"/>
  <c r="CZ58" i="6"/>
  <c r="CN58" i="6"/>
  <c r="CB58" i="6"/>
  <c r="BP58" i="6"/>
  <c r="BD58" i="6"/>
  <c r="AR58" i="6"/>
  <c r="AF58" i="6"/>
  <c r="T58" i="6"/>
  <c r="CZ66" i="6"/>
  <c r="ED65" i="6"/>
  <c r="DR65" i="6"/>
  <c r="BP65" i="6"/>
  <c r="T65" i="6"/>
  <c r="DW94" i="6"/>
  <c r="DK94" i="6"/>
  <c r="CY94" i="6"/>
  <c r="CM94" i="6"/>
  <c r="CA94" i="6"/>
  <c r="BO94" i="6"/>
  <c r="DQ73" i="6"/>
  <c r="CG73" i="6"/>
  <c r="BU73" i="6"/>
  <c r="BI73" i="6"/>
  <c r="BU12" i="6"/>
  <c r="G376" i="20"/>
  <c r="X376" i="20" s="1"/>
  <c r="CG58" i="6"/>
  <c r="CW55" i="6"/>
  <c r="BY55" i="6"/>
  <c r="DO54" i="6"/>
  <c r="CR95" i="11"/>
  <c r="CC94" i="11"/>
  <c r="AO94" i="11"/>
  <c r="AT65" i="11"/>
  <c r="CW60" i="11"/>
  <c r="AO60" i="11"/>
  <c r="BP63" i="11"/>
  <c r="S169" i="12" s="1"/>
  <c r="AB63" i="11"/>
  <c r="BS59" i="11"/>
  <c r="BN59" i="11"/>
  <c r="H36" i="6"/>
  <c r="E36" i="6" s="1"/>
  <c r="ED87" i="6"/>
  <c r="CR84" i="6"/>
  <c r="CQ76" i="6"/>
  <c r="CR63" i="6"/>
  <c r="CN82" i="6"/>
  <c r="T60" i="6"/>
  <c r="N48" i="17"/>
  <c r="CO63" i="11"/>
  <c r="X169" i="12" s="1"/>
  <c r="E37" i="20"/>
  <c r="V37" i="20" s="1"/>
  <c r="I412" i="20"/>
  <c r="Z412" i="20" s="1"/>
  <c r="E307" i="20"/>
  <c r="V307" i="20" s="1"/>
  <c r="G420" i="20"/>
  <c r="X420" i="20" s="1"/>
  <c r="F382" i="20"/>
  <c r="W382" i="20" s="1"/>
  <c r="G377" i="20"/>
  <c r="X377" i="20" s="1"/>
  <c r="G342" i="20"/>
  <c r="X342" i="20" s="1"/>
  <c r="DL94" i="6"/>
  <c r="CH94" i="6"/>
  <c r="DJ79" i="6"/>
  <c r="CL79" i="6"/>
  <c r="BN79" i="6"/>
  <c r="CH72" i="6"/>
  <c r="CS94" i="6"/>
  <c r="DK82" i="6"/>
  <c r="CY82" i="6"/>
  <c r="BY33" i="6"/>
  <c r="DD80" i="6"/>
  <c r="AC28" i="6"/>
  <c r="AO27" i="6"/>
  <c r="CB66" i="6"/>
  <c r="DL65" i="6"/>
  <c r="AX58" i="6"/>
  <c r="Z58" i="6"/>
  <c r="BG23" i="6"/>
  <c r="BM72" i="6" s="1"/>
  <c r="AI23" i="6"/>
  <c r="Y12" i="6"/>
  <c r="BX119" i="11"/>
  <c r="DB101" i="11"/>
  <c r="AD13" i="12"/>
  <c r="AU31" i="6"/>
  <c r="CC87" i="11"/>
  <c r="CC96" i="11" s="1"/>
  <c r="CE87" i="11"/>
  <c r="CF87" i="11" s="1"/>
  <c r="CW11" i="11"/>
  <c r="DB11" i="11"/>
  <c r="BE222" i="17"/>
  <c r="BF235" i="17"/>
  <c r="CH78" i="17"/>
  <c r="CL78" i="17"/>
  <c r="V78" i="17"/>
  <c r="Z78" i="17"/>
  <c r="CH81" i="17"/>
  <c r="CD81" i="17"/>
  <c r="BB81" i="17"/>
  <c r="AX81" i="17"/>
  <c r="V81" i="17"/>
  <c r="R81" i="17"/>
  <c r="AO72" i="11"/>
  <c r="BR235" i="17"/>
  <c r="CL178" i="17"/>
  <c r="CG105" i="11"/>
  <c r="DJ81" i="6"/>
  <c r="BN81" i="6"/>
  <c r="DO80" i="6"/>
  <c r="DC80" i="6"/>
  <c r="CQ80" i="6"/>
  <c r="CE80" i="6"/>
  <c r="BS80" i="6"/>
  <c r="DO76" i="6"/>
  <c r="DC76" i="6"/>
  <c r="CE76" i="6"/>
  <c r="BS76" i="6"/>
  <c r="CW11" i="6"/>
  <c r="CF60" i="6"/>
  <c r="BT63" i="6"/>
  <c r="DX91" i="6"/>
  <c r="DL91" i="6"/>
  <c r="CN91" i="6"/>
  <c r="AR91" i="6"/>
  <c r="T91" i="6"/>
  <c r="DR82" i="6"/>
  <c r="DF82" i="6"/>
  <c r="CT82" i="6"/>
  <c r="CH82" i="6"/>
  <c r="BV82" i="6"/>
  <c r="DF81" i="6"/>
  <c r="CH81" i="6"/>
  <c r="BJ81" i="6"/>
  <c r="N75" i="6"/>
  <c r="DF70" i="6"/>
  <c r="CH70" i="6"/>
  <c r="BJ70" i="6"/>
  <c r="AL70" i="6"/>
  <c r="ED59" i="6"/>
  <c r="DR59" i="6"/>
  <c r="DF59" i="6"/>
  <c r="CT59" i="6"/>
  <c r="CH59" i="6"/>
  <c r="BV59" i="6"/>
  <c r="BJ59" i="6"/>
  <c r="AX59" i="6"/>
  <c r="AL59" i="6"/>
  <c r="Z59" i="6"/>
  <c r="N59" i="6"/>
  <c r="CZ65" i="6"/>
  <c r="BD65" i="6"/>
  <c r="DF57" i="6"/>
  <c r="CT57" i="6"/>
  <c r="CH57" i="6"/>
  <c r="BV57" i="6"/>
  <c r="DQ77" i="6"/>
  <c r="BU77" i="6"/>
  <c r="CG79" i="6"/>
  <c r="CW103" i="11"/>
  <c r="DL101" i="11"/>
  <c r="CR101" i="11"/>
  <c r="BS101" i="11"/>
  <c r="AE101" i="11"/>
  <c r="DI15" i="11"/>
  <c r="AB142" i="12" s="1"/>
  <c r="DH29" i="11" s="1"/>
  <c r="N95" i="6"/>
  <c r="BS73" i="11"/>
  <c r="CT101" i="11"/>
  <c r="CJ101" i="11"/>
  <c r="W175" i="12" s="1"/>
  <c r="BZ101" i="11"/>
  <c r="U175" i="12" s="1"/>
  <c r="BF101" i="11"/>
  <c r="BG101" i="11" s="1"/>
  <c r="AL101" i="11"/>
  <c r="M175" i="12" s="1"/>
  <c r="R101" i="11"/>
  <c r="I175" i="12" s="1"/>
  <c r="DI102" i="11"/>
  <c r="DI126" i="11" s="1"/>
  <c r="DP81" i="6"/>
  <c r="BT81" i="6"/>
  <c r="BH57" i="6"/>
  <c r="DG102" i="11"/>
  <c r="DG111" i="11" s="1"/>
  <c r="AO30" i="6"/>
  <c r="DD86" i="11"/>
  <c r="AA173" i="12" s="1"/>
  <c r="DJ76" i="6"/>
  <c r="CL76" i="6"/>
  <c r="CF80" i="6"/>
  <c r="L12" i="6"/>
  <c r="F15" i="6"/>
  <c r="CM116" i="11"/>
  <c r="CP29" i="17"/>
  <c r="DC6" i="17" s="1"/>
  <c r="DO10" i="6"/>
  <c r="DT17" i="6" s="1"/>
  <c r="DT66" i="6" s="1"/>
  <c r="BT84" i="6"/>
  <c r="DP76" i="6"/>
  <c r="DD76" i="6"/>
  <c r="CR76" i="6"/>
  <c r="CF76" i="6"/>
  <c r="BT76" i="6"/>
  <c r="BH76" i="6"/>
  <c r="DP80" i="6"/>
  <c r="CR80" i="6"/>
  <c r="BT80" i="6"/>
  <c r="AO31" i="6"/>
  <c r="AO80" i="6" s="1"/>
  <c r="CY12" i="6"/>
  <c r="CA12" i="6"/>
  <c r="BC12" i="6"/>
  <c r="AY66" i="6"/>
  <c r="DJ94" i="6"/>
  <c r="CL94" i="6"/>
  <c r="BN94" i="6"/>
  <c r="DP84" i="6"/>
  <c r="DI33" i="6"/>
  <c r="CK33" i="6"/>
  <c r="BM33" i="6"/>
  <c r="CX81" i="6"/>
  <c r="DD60" i="6"/>
  <c r="DP58" i="6"/>
  <c r="DD58" i="6"/>
  <c r="CR58" i="6"/>
  <c r="BT58" i="6"/>
  <c r="DR94" i="6"/>
  <c r="DF94" i="6"/>
  <c r="BV94" i="6"/>
  <c r="BJ94" i="6"/>
  <c r="N94" i="6"/>
  <c r="ED96" i="6"/>
  <c r="DR96" i="6"/>
  <c r="CT96" i="6"/>
  <c r="BV96" i="6"/>
  <c r="AL96" i="6"/>
  <c r="CN93" i="6"/>
  <c r="BP93" i="6"/>
  <c r="AR93" i="6"/>
  <c r="DL90" i="6"/>
  <c r="CN90" i="6"/>
  <c r="BP90" i="6"/>
  <c r="AR90" i="6"/>
  <c r="T90" i="6"/>
  <c r="DL84" i="6"/>
  <c r="CN84" i="6"/>
  <c r="N84" i="6"/>
  <c r="DF77" i="6"/>
  <c r="BJ77" i="6"/>
  <c r="AL77" i="6"/>
  <c r="N77" i="6"/>
  <c r="BV24" i="6"/>
  <c r="BJ24" i="6"/>
  <c r="BG24" i="6" s="1"/>
  <c r="AX24" i="6"/>
  <c r="AU24" i="6" s="1"/>
  <c r="DF79" i="6"/>
  <c r="CT79" i="6"/>
  <c r="CH79" i="6"/>
  <c r="BV79" i="6"/>
  <c r="BJ79" i="6"/>
  <c r="N79" i="6"/>
  <c r="CK72" i="6"/>
  <c r="BP72" i="6"/>
  <c r="AR72" i="6"/>
  <c r="T72" i="6"/>
  <c r="DK84" i="6"/>
  <c r="CY84" i="6"/>
  <c r="CM84" i="6"/>
  <c r="CA84" i="6"/>
  <c r="BO84" i="6"/>
  <c r="DK12" i="6"/>
  <c r="BO12" i="6"/>
  <c r="DW57" i="6"/>
  <c r="DK57" i="6"/>
  <c r="CM57" i="6"/>
  <c r="BO57" i="6"/>
  <c r="BS56" i="6"/>
  <c r="DW77" i="6"/>
  <c r="CA77" i="6"/>
  <c r="CS79" i="6"/>
  <c r="BU79" i="6"/>
  <c r="DK59" i="6"/>
  <c r="CY59" i="6"/>
  <c r="CM59" i="6"/>
  <c r="CA59" i="6"/>
  <c r="BO59" i="6"/>
  <c r="DI55" i="6"/>
  <c r="BM55" i="6"/>
  <c r="DU54" i="6"/>
  <c r="DB15" i="11"/>
  <c r="CH15" i="11"/>
  <c r="BN15" i="11"/>
  <c r="BN84" i="17"/>
  <c r="AH48" i="17"/>
  <c r="R48" i="17"/>
  <c r="CM95" i="11"/>
  <c r="BS95" i="11"/>
  <c r="AY95" i="11"/>
  <c r="AE95" i="11"/>
  <c r="AS96" i="11"/>
  <c r="Y96" i="11"/>
  <c r="CB74" i="11"/>
  <c r="CB76" i="11" s="1"/>
  <c r="DX95" i="6"/>
  <c r="BN101" i="11"/>
  <c r="AT101" i="11"/>
  <c r="Z101" i="11"/>
  <c r="CW88" i="11"/>
  <c r="CG90" i="11"/>
  <c r="DB81" i="11"/>
  <c r="CE95" i="6"/>
  <c r="BI65" i="11"/>
  <c r="AO65" i="11"/>
  <c r="U65" i="11"/>
  <c r="BX60" i="11"/>
  <c r="BD60" i="11"/>
  <c r="AJ60" i="11"/>
  <c r="P60" i="11"/>
  <c r="CY63" i="11"/>
  <c r="CZ63" i="11" s="1"/>
  <c r="CE63" i="11"/>
  <c r="CF63" i="11" s="1"/>
  <c r="W63" i="11"/>
  <c r="J169" i="12" s="1"/>
  <c r="CH8" i="11"/>
  <c r="BS50" i="11"/>
  <c r="AT8" i="11"/>
  <c r="AE50" i="11"/>
  <c r="DX87" i="6"/>
  <c r="DV85" i="6"/>
  <c r="DJ85" i="6"/>
  <c r="CL85" i="6"/>
  <c r="BN85" i="6"/>
  <c r="AO35" i="11"/>
  <c r="CP243" i="17"/>
  <c r="DC14" i="17" s="1"/>
  <c r="BZ243" i="17"/>
  <c r="BJ243" i="17"/>
  <c r="AT243" i="17"/>
  <c r="AD243" i="17"/>
  <c r="DH90" i="11"/>
  <c r="CE86" i="11"/>
  <c r="V173" i="12" s="1"/>
  <c r="BU86" i="11"/>
  <c r="BA86" i="11"/>
  <c r="P173" i="12" s="1"/>
  <c r="AG86" i="11"/>
  <c r="AH86" i="11" s="1"/>
  <c r="W86" i="11"/>
  <c r="X86" i="11" s="1"/>
  <c r="CP178" i="17"/>
  <c r="CI90" i="11"/>
  <c r="BJ208" i="17"/>
  <c r="N208" i="17"/>
  <c r="CH151" i="17"/>
  <c r="BV151" i="17"/>
  <c r="BF151" i="17"/>
  <c r="AP151" i="17"/>
  <c r="Z151" i="17"/>
  <c r="CP112" i="17"/>
  <c r="DC9" i="17" s="1"/>
  <c r="BZ112" i="17"/>
  <c r="AT112" i="17"/>
  <c r="AD112" i="17"/>
  <c r="BB131" i="17"/>
  <c r="AL131" i="17"/>
  <c r="CO9" i="11"/>
  <c r="CP9" i="11" s="1"/>
  <c r="M9" i="11"/>
  <c r="H136" i="12" s="1"/>
  <c r="L23" i="11" s="1"/>
  <c r="DD59" i="11"/>
  <c r="AA178" i="12" s="1"/>
  <c r="CD48" i="17"/>
  <c r="BN48" i="17"/>
  <c r="AX48" i="17"/>
  <c r="AT102" i="11"/>
  <c r="AY102" i="11"/>
  <c r="AT250" i="2"/>
  <c r="BW89" i="6"/>
  <c r="CC89" i="6"/>
  <c r="DP94" i="6"/>
  <c r="DV94" i="6"/>
  <c r="CR94" i="6"/>
  <c r="CX94" i="6"/>
  <c r="BT94" i="6"/>
  <c r="BZ94" i="6"/>
  <c r="BB84" i="6"/>
  <c r="BA35" i="6"/>
  <c r="AV63" i="6"/>
  <c r="AV15" i="6"/>
  <c r="CL57" i="6"/>
  <c r="CF12" i="6"/>
  <c r="AJ57" i="6"/>
  <c r="AJ12" i="6"/>
  <c r="AU225" i="2"/>
  <c r="F425" i="20"/>
  <c r="W425" i="20" s="1"/>
  <c r="DR84" i="6"/>
  <c r="DX84" i="6"/>
  <c r="AV246" i="2"/>
  <c r="H482" i="20"/>
  <c r="Y482" i="20" s="1"/>
  <c r="I417" i="20"/>
  <c r="Z417" i="20" s="1"/>
  <c r="CH75" i="6"/>
  <c r="CN75" i="6"/>
  <c r="AL75" i="6"/>
  <c r="AR75" i="6"/>
  <c r="CQ23" i="6"/>
  <c r="CW72" i="6" s="1"/>
  <c r="CT72" i="6"/>
  <c r="BV72" i="6"/>
  <c r="CB72" i="6"/>
  <c r="AU23" i="6"/>
  <c r="BD72" i="6"/>
  <c r="Z72" i="6"/>
  <c r="AF72" i="6"/>
  <c r="AU222" i="2"/>
  <c r="F419" i="20"/>
  <c r="W419" i="20" s="1"/>
  <c r="AU213" i="2"/>
  <c r="F407" i="20"/>
  <c r="W407" i="20" s="1"/>
  <c r="CH65" i="6"/>
  <c r="BY16" i="6"/>
  <c r="BY65" i="6" s="1"/>
  <c r="AL65" i="6"/>
  <c r="AC16" i="6"/>
  <c r="DX60" i="6"/>
  <c r="DR60" i="6"/>
  <c r="AU244" i="2"/>
  <c r="G483" i="20"/>
  <c r="X483" i="20" s="1"/>
  <c r="AU245" i="2"/>
  <c r="G481" i="20"/>
  <c r="X481" i="20" s="1"/>
  <c r="F416" i="20"/>
  <c r="W416" i="20" s="1"/>
  <c r="BC94" i="6"/>
  <c r="BA45" i="6"/>
  <c r="CY79" i="6"/>
  <c r="DE79" i="6"/>
  <c r="AU201" i="2"/>
  <c r="F376" i="20"/>
  <c r="W376" i="20" s="1"/>
  <c r="AE57" i="6"/>
  <c r="AE12" i="6"/>
  <c r="S57" i="6"/>
  <c r="S12" i="6"/>
  <c r="AU151" i="2"/>
  <c r="G198" i="20"/>
  <c r="X198" i="20" s="1"/>
  <c r="F200" i="20"/>
  <c r="W200" i="20" s="1"/>
  <c r="AC56" i="6"/>
  <c r="AC8" i="6"/>
  <c r="AH8" i="6" s="1"/>
  <c r="AH57" i="6" s="1"/>
  <c r="AV150" i="2"/>
  <c r="H198" i="20"/>
  <c r="Y198" i="20" s="1"/>
  <c r="I199" i="20"/>
  <c r="Z199" i="20" s="1"/>
  <c r="AU161" i="2"/>
  <c r="F194" i="20"/>
  <c r="W194" i="20" s="1"/>
  <c r="F281" i="20"/>
  <c r="W281" i="20" s="1"/>
  <c r="E34" i="20"/>
  <c r="V34" i="20" s="1"/>
  <c r="BA8" i="6"/>
  <c r="AU178" i="2"/>
  <c r="E312" i="20"/>
  <c r="V312" i="20" s="1"/>
  <c r="E305" i="20"/>
  <c r="V305" i="20" s="1"/>
  <c r="F305" i="20"/>
  <c r="W305" i="20" s="1"/>
  <c r="AU159" i="2"/>
  <c r="F197" i="20"/>
  <c r="W197" i="20" s="1"/>
  <c r="G197" i="20"/>
  <c r="X197" i="20" s="1"/>
  <c r="AU176" i="2"/>
  <c r="E304" i="20"/>
  <c r="V304" i="20" s="1"/>
  <c r="AC51" i="12"/>
  <c r="AC58" i="12" s="1"/>
  <c r="CT24" i="17"/>
  <c r="CT29" i="17" s="1"/>
  <c r="DE6" i="17" s="1"/>
  <c r="AO109" i="11"/>
  <c r="BD101" i="11"/>
  <c r="BA101" i="11"/>
  <c r="BB101" i="11" s="1"/>
  <c r="AP94" i="6"/>
  <c r="AO45" i="6"/>
  <c r="AT45" i="6" s="1"/>
  <c r="AT94" i="6" s="1"/>
  <c r="R94" i="6"/>
  <c r="Q45" i="6"/>
  <c r="V45" i="6" s="1"/>
  <c r="V94" i="6" s="1"/>
  <c r="AU192" i="2"/>
  <c r="F409" i="20"/>
  <c r="W409" i="20" s="1"/>
  <c r="G409" i="20"/>
  <c r="X409" i="20" s="1"/>
  <c r="R79" i="6"/>
  <c r="Q30" i="6"/>
  <c r="AJ62" i="6"/>
  <c r="AI13" i="6"/>
  <c r="AI62" i="6" s="1"/>
  <c r="L62" i="6"/>
  <c r="K13" i="6"/>
  <c r="K62" i="6" s="1"/>
  <c r="BB59" i="6"/>
  <c r="BA10" i="6"/>
  <c r="AP59" i="6"/>
  <c r="AO10" i="6"/>
  <c r="AD59" i="6"/>
  <c r="AC10" i="6"/>
  <c r="BG9" i="6"/>
  <c r="AV58" i="6"/>
  <c r="AU9" i="6"/>
  <c r="L58" i="6"/>
  <c r="K9" i="6"/>
  <c r="ED94" i="6"/>
  <c r="AX94" i="6"/>
  <c r="AL94" i="6"/>
  <c r="Z94" i="6"/>
  <c r="AU246" i="2"/>
  <c r="G482" i="20"/>
  <c r="X482" i="20" s="1"/>
  <c r="F417" i="20"/>
  <c r="W417" i="20" s="1"/>
  <c r="DR77" i="6"/>
  <c r="CT77" i="6"/>
  <c r="BV77" i="6"/>
  <c r="Z77" i="6"/>
  <c r="DX81" i="6"/>
  <c r="DL81" i="6"/>
  <c r="CN81" i="6"/>
  <c r="CT81" i="6"/>
  <c r="BP81" i="6"/>
  <c r="BV81" i="6"/>
  <c r="AR81" i="6"/>
  <c r="T81" i="6"/>
  <c r="ED24" i="6"/>
  <c r="DF24" i="6"/>
  <c r="N24" i="6"/>
  <c r="K24" i="6" s="1"/>
  <c r="ED79" i="6"/>
  <c r="DR79" i="6"/>
  <c r="AX79" i="6"/>
  <c r="AL79" i="6"/>
  <c r="Z79" i="6"/>
  <c r="DI23" i="6"/>
  <c r="DI72" i="6" s="1"/>
  <c r="DR72" i="6"/>
  <c r="DX66" i="6"/>
  <c r="DL66" i="6"/>
  <c r="CN66" i="6"/>
  <c r="BP66" i="6"/>
  <c r="AR66" i="6"/>
  <c r="T66" i="6"/>
  <c r="AU220" i="2"/>
  <c r="G480" i="20"/>
  <c r="X480" i="20" s="1"/>
  <c r="F415" i="20"/>
  <c r="W415" i="20" s="1"/>
  <c r="AV244" i="2"/>
  <c r="H483" i="20"/>
  <c r="Y483" i="20" s="1"/>
  <c r="F383" i="20"/>
  <c r="W383" i="20" s="1"/>
  <c r="AU208" i="2"/>
  <c r="DK77" i="6"/>
  <c r="CM77" i="6"/>
  <c r="BO77" i="6"/>
  <c r="AT207" i="2"/>
  <c r="G410" i="20"/>
  <c r="X410" i="20" s="1"/>
  <c r="M79" i="6"/>
  <c r="K30" i="6"/>
  <c r="CK11" i="6"/>
  <c r="CG60" i="6"/>
  <c r="CA60" i="6"/>
  <c r="DW12" i="6"/>
  <c r="CS58" i="6"/>
  <c r="CM12" i="6"/>
  <c r="AQ58" i="6"/>
  <c r="AQ12" i="6"/>
  <c r="AV151" i="2"/>
  <c r="I200" i="20"/>
  <c r="Z200" i="20" s="1"/>
  <c r="DU55" i="6"/>
  <c r="DU8" i="6"/>
  <c r="DZ8" i="6" s="1"/>
  <c r="DZ57" i="6" s="1"/>
  <c r="BS54" i="6"/>
  <c r="BY54" i="6"/>
  <c r="AU146" i="2"/>
  <c r="F190" i="20"/>
  <c r="W190" i="20" s="1"/>
  <c r="F184" i="20"/>
  <c r="W184" i="20" s="1"/>
  <c r="G184" i="20"/>
  <c r="X184" i="20" s="1"/>
  <c r="F505" i="20"/>
  <c r="W505" i="20" s="1"/>
  <c r="G186" i="20"/>
  <c r="X186" i="20" s="1"/>
  <c r="D317" i="2"/>
  <c r="C317" i="2"/>
  <c r="F501" i="20"/>
  <c r="W501" i="20" s="1"/>
  <c r="BX95" i="11"/>
  <c r="CC95" i="11"/>
  <c r="AJ95" i="11"/>
  <c r="AO95" i="11"/>
  <c r="O96" i="11"/>
  <c r="P96" i="11" s="1"/>
  <c r="U95" i="11"/>
  <c r="BR96" i="11"/>
  <c r="BS94" i="11"/>
  <c r="BH96" i="11"/>
  <c r="BI94" i="11"/>
  <c r="AX96" i="11"/>
  <c r="AY94" i="11"/>
  <c r="AD96" i="11"/>
  <c r="AE94" i="11"/>
  <c r="T96" i="11"/>
  <c r="U94" i="11"/>
  <c r="BE77" i="6"/>
  <c r="AS77" i="6"/>
  <c r="AY60" i="6"/>
  <c r="DB72" i="11"/>
  <c r="DP95" i="6"/>
  <c r="CM72" i="11"/>
  <c r="CH72" i="11"/>
  <c r="BN72" i="11"/>
  <c r="BS72" i="11"/>
  <c r="AT72" i="11"/>
  <c r="AY72" i="11"/>
  <c r="AT226" i="2"/>
  <c r="G426" i="20"/>
  <c r="X426" i="20" s="1"/>
  <c r="CR71" i="11"/>
  <c r="CO71" i="11"/>
  <c r="CW71" i="11"/>
  <c r="CS71" i="11"/>
  <c r="Y48" i="12" s="1"/>
  <c r="CG74" i="11"/>
  <c r="CG76" i="11" s="1"/>
  <c r="CE71" i="11"/>
  <c r="CM71" i="11"/>
  <c r="CH71" i="11"/>
  <c r="BX71" i="11"/>
  <c r="BW74" i="11"/>
  <c r="BU71" i="11"/>
  <c r="T177" i="12" s="1"/>
  <c r="CC71" i="11"/>
  <c r="CN95" i="6"/>
  <c r="CH95" i="6"/>
  <c r="BM74" i="11"/>
  <c r="BM76" i="11" s="1"/>
  <c r="BK71" i="11"/>
  <c r="BS71" i="11"/>
  <c r="BD71" i="11"/>
  <c r="BA71" i="11"/>
  <c r="P177" i="12" s="1"/>
  <c r="BI71" i="11"/>
  <c r="BE71" i="11"/>
  <c r="Q48" i="12" s="1"/>
  <c r="BC74" i="11"/>
  <c r="AS74" i="11"/>
  <c r="AS75" i="11" s="1"/>
  <c r="AQ71" i="11"/>
  <c r="N177" i="12" s="1"/>
  <c r="AY71" i="11"/>
  <c r="AT71" i="11"/>
  <c r="AJ71" i="11"/>
  <c r="AO71" i="11"/>
  <c r="AI74" i="11"/>
  <c r="AI76" i="11" s="1"/>
  <c r="CR73" i="11"/>
  <c r="CM73" i="11"/>
  <c r="AY73" i="11"/>
  <c r="BD73" i="11"/>
  <c r="AQ95" i="6"/>
  <c r="AT46" i="6"/>
  <c r="AT103" i="11"/>
  <c r="AY103" i="11"/>
  <c r="DK122" i="11"/>
  <c r="DL87" i="11"/>
  <c r="DL96" i="11" s="1"/>
  <c r="DI87" i="11"/>
  <c r="AB172" i="12" s="1"/>
  <c r="DF90" i="11"/>
  <c r="DA122" i="11"/>
  <c r="CV90" i="11"/>
  <c r="DB87" i="11"/>
  <c r="DB96" i="11" s="1"/>
  <c r="CY87" i="11"/>
  <c r="Z172" i="12" s="1"/>
  <c r="BK87" i="11"/>
  <c r="BL87" i="11" s="1"/>
  <c r="BI87" i="11"/>
  <c r="AQ87" i="11"/>
  <c r="AR87" i="11" s="1"/>
  <c r="AO87" i="11"/>
  <c r="W87" i="11"/>
  <c r="X87" i="11" s="1"/>
  <c r="U87" i="11"/>
  <c r="M87" i="11"/>
  <c r="N87" i="11" s="1"/>
  <c r="P87" i="11"/>
  <c r="DL81" i="11"/>
  <c r="DG81" i="11"/>
  <c r="CW9" i="11"/>
  <c r="CR9" i="11"/>
  <c r="CJ9" i="11"/>
  <c r="W167" i="12" s="1"/>
  <c r="CH9" i="11"/>
  <c r="CQ95" i="6"/>
  <c r="CW95" i="6"/>
  <c r="CV46" i="6"/>
  <c r="BZ9" i="11"/>
  <c r="U136" i="12" s="1"/>
  <c r="BY23" i="11" s="1"/>
  <c r="CC9" i="11"/>
  <c r="BS65" i="11"/>
  <c r="BN65" i="11"/>
  <c r="BS95" i="6"/>
  <c r="BX46" i="6"/>
  <c r="BF9" i="11"/>
  <c r="BI9" i="11"/>
  <c r="AU95" i="6"/>
  <c r="AZ46" i="6"/>
  <c r="AL9" i="11"/>
  <c r="M167" i="12" s="1"/>
  <c r="AO9" i="11"/>
  <c r="AI10" i="11"/>
  <c r="AL10" i="11" s="1"/>
  <c r="Y75" i="11"/>
  <c r="AE65" i="11"/>
  <c r="Z65" i="11"/>
  <c r="W95" i="6"/>
  <c r="AB46" i="6"/>
  <c r="U9" i="11"/>
  <c r="R9" i="11"/>
  <c r="I167" i="12" s="1"/>
  <c r="DG60" i="11"/>
  <c r="CC60" i="11"/>
  <c r="BI60" i="11"/>
  <c r="BN60" i="11"/>
  <c r="U60" i="11"/>
  <c r="Z60" i="11"/>
  <c r="DL63" i="11"/>
  <c r="CT63" i="11"/>
  <c r="Y169" i="12" s="1"/>
  <c r="CR63" i="11"/>
  <c r="CJ63" i="11"/>
  <c r="CH63" i="11"/>
  <c r="BZ63" i="11"/>
  <c r="U169" i="12" s="1"/>
  <c r="BX63" i="11"/>
  <c r="BF63" i="11"/>
  <c r="Q169" i="12" s="1"/>
  <c r="BD63" i="11"/>
  <c r="AV63" i="11"/>
  <c r="AW63" i="11" s="1"/>
  <c r="AT63" i="11"/>
  <c r="AL63" i="11"/>
  <c r="AM63" i="11" s="1"/>
  <c r="AJ63" i="11"/>
  <c r="P63" i="11"/>
  <c r="R63" i="11"/>
  <c r="S63" i="11" s="1"/>
  <c r="CO59" i="11"/>
  <c r="CP59" i="11" s="1"/>
  <c r="CM59" i="11"/>
  <c r="CE59" i="11"/>
  <c r="CC59" i="11"/>
  <c r="BA59" i="11"/>
  <c r="P178" i="12" s="1"/>
  <c r="AY59" i="11"/>
  <c r="AQ59" i="11"/>
  <c r="N178" i="12" s="1"/>
  <c r="AO59" i="11"/>
  <c r="AG59" i="11"/>
  <c r="L178" i="12" s="1"/>
  <c r="AE59" i="11"/>
  <c r="BP58" i="11"/>
  <c r="BQ58" i="11" s="1"/>
  <c r="BN58" i="11"/>
  <c r="AB58" i="11"/>
  <c r="Z58" i="11"/>
  <c r="AU219" i="2"/>
  <c r="G487" i="20"/>
  <c r="X487" i="20" s="1"/>
  <c r="DF47" i="11"/>
  <c r="DF49" i="11" s="1"/>
  <c r="DL50" i="11"/>
  <c r="DG50" i="11"/>
  <c r="CR8" i="11"/>
  <c r="CL10" i="11"/>
  <c r="CO10" i="11" s="1"/>
  <c r="X137" i="12" s="1"/>
  <c r="CN24" i="11" s="1"/>
  <c r="BR10" i="11"/>
  <c r="BU10" i="11" s="1"/>
  <c r="BX8" i="11"/>
  <c r="AX10" i="11"/>
  <c r="BA10" i="11" s="1"/>
  <c r="P137" i="12" s="1"/>
  <c r="AZ24" i="11" s="1"/>
  <c r="BD8" i="11"/>
  <c r="AD10" i="11"/>
  <c r="AJ8" i="11"/>
  <c r="J10" i="11"/>
  <c r="M10" i="11" s="1"/>
  <c r="P8" i="11"/>
  <c r="AT218" i="2"/>
  <c r="G488" i="20"/>
  <c r="X488" i="20" s="1"/>
  <c r="CR48" i="11"/>
  <c r="CQ47" i="11"/>
  <c r="CQ49" i="11" s="1"/>
  <c r="CM48" i="11"/>
  <c r="CG49" i="11"/>
  <c r="BX48" i="11"/>
  <c r="CC48" i="11"/>
  <c r="BW49" i="11"/>
  <c r="BS48" i="11"/>
  <c r="BM49" i="11"/>
  <c r="BD48" i="11"/>
  <c r="BI48" i="11"/>
  <c r="AY48" i="11"/>
  <c r="AS49" i="11"/>
  <c r="AJ48" i="11"/>
  <c r="AO48" i="11"/>
  <c r="AI49" i="11"/>
  <c r="AE48" i="11"/>
  <c r="Y49" i="11"/>
  <c r="P48" i="11"/>
  <c r="U48" i="11"/>
  <c r="DK123" i="11"/>
  <c r="DL7" i="11"/>
  <c r="DA123" i="11"/>
  <c r="DB35" i="11"/>
  <c r="DF123" i="11"/>
  <c r="DG35" i="11"/>
  <c r="C314" i="2"/>
  <c r="G174" i="20"/>
  <c r="X174" i="20" s="1"/>
  <c r="C305" i="2"/>
  <c r="C308" i="2"/>
  <c r="CW35" i="11"/>
  <c r="CR35" i="11"/>
  <c r="CW7" i="11"/>
  <c r="CQ10" i="11"/>
  <c r="CT10" i="11" s="1"/>
  <c r="CH7" i="11"/>
  <c r="CM7" i="11"/>
  <c r="CG10" i="11"/>
  <c r="CJ10" i="11" s="1"/>
  <c r="CC7" i="11"/>
  <c r="BW10" i="11"/>
  <c r="BX7" i="11"/>
  <c r="BN35" i="11"/>
  <c r="BS35" i="11"/>
  <c r="BI35" i="11"/>
  <c r="BD35" i="11"/>
  <c r="BI7" i="11"/>
  <c r="BC10" i="11"/>
  <c r="BF10" i="11" s="1"/>
  <c r="AT7" i="11"/>
  <c r="AY7" i="11"/>
  <c r="AS10" i="11"/>
  <c r="AV10" i="11" s="1"/>
  <c r="Z35" i="11"/>
  <c r="AE35" i="11"/>
  <c r="U35" i="11"/>
  <c r="P35" i="11"/>
  <c r="U7" i="11"/>
  <c r="O10" i="11"/>
  <c r="R10" i="11" s="1"/>
  <c r="BU260" i="17"/>
  <c r="BV265" i="17"/>
  <c r="BJ265" i="17"/>
  <c r="BF265" i="17"/>
  <c r="BE260" i="17"/>
  <c r="AP265" i="17"/>
  <c r="AO260" i="17"/>
  <c r="AD265" i="17"/>
  <c r="Z265" i="17"/>
  <c r="Y260" i="17"/>
  <c r="CD243" i="17"/>
  <c r="CH243" i="17"/>
  <c r="AX243" i="17"/>
  <c r="BB243" i="17"/>
  <c r="R243" i="17"/>
  <c r="V243" i="17"/>
  <c r="CD238" i="17"/>
  <c r="BZ238" i="17"/>
  <c r="BN238" i="17"/>
  <c r="BI225" i="17"/>
  <c r="BB238" i="17"/>
  <c r="BA225" i="17"/>
  <c r="AX238" i="17"/>
  <c r="AT238" i="17"/>
  <c r="AS225" i="17"/>
  <c r="AL238" i="17"/>
  <c r="AK225" i="17"/>
  <c r="AH238" i="17"/>
  <c r="AC225" i="17"/>
  <c r="V238" i="17"/>
  <c r="U225" i="17"/>
  <c r="R238" i="17"/>
  <c r="N238" i="17"/>
  <c r="M225" i="17"/>
  <c r="AW222" i="17"/>
  <c r="AX235" i="17"/>
  <c r="AO222" i="17"/>
  <c r="AP235" i="17"/>
  <c r="AG222" i="17"/>
  <c r="AH235" i="17"/>
  <c r="Q222" i="17"/>
  <c r="R235" i="17"/>
  <c r="CP186" i="17"/>
  <c r="DC12" i="17" s="1"/>
  <c r="CO173" i="17"/>
  <c r="CH186" i="17"/>
  <c r="CG173" i="17"/>
  <c r="BZ186" i="17"/>
  <c r="BY173" i="17"/>
  <c r="BR186" i="17"/>
  <c r="BQ173" i="17"/>
  <c r="CR94" i="11"/>
  <c r="BN87" i="11"/>
  <c r="AO63" i="11"/>
  <c r="CD186" i="17"/>
  <c r="AX186" i="17"/>
  <c r="R186" i="17"/>
  <c r="E31" i="20"/>
  <c r="V31" i="20" s="1"/>
  <c r="H417" i="20"/>
  <c r="Y417" i="20" s="1"/>
  <c r="F307" i="20"/>
  <c r="W307" i="20" s="1"/>
  <c r="E310" i="20"/>
  <c r="V310" i="20" s="1"/>
  <c r="E311" i="20"/>
  <c r="V311" i="20" s="1"/>
  <c r="E306" i="20"/>
  <c r="V306" i="20" s="1"/>
  <c r="G279" i="20"/>
  <c r="X279" i="20" s="1"/>
  <c r="I198" i="20"/>
  <c r="Z198" i="20" s="1"/>
  <c r="H199" i="20"/>
  <c r="Y199" i="20" s="1"/>
  <c r="G417" i="20"/>
  <c r="X417" i="20" s="1"/>
  <c r="G416" i="20"/>
  <c r="X416" i="20" s="1"/>
  <c r="F483" i="20"/>
  <c r="W483" i="20" s="1"/>
  <c r="G425" i="20"/>
  <c r="X425" i="20" s="1"/>
  <c r="G415" i="20"/>
  <c r="X415" i="20" s="1"/>
  <c r="F487" i="20"/>
  <c r="W487" i="20" s="1"/>
  <c r="G412" i="20"/>
  <c r="X412" i="20" s="1"/>
  <c r="G408" i="20"/>
  <c r="X408" i="20" s="1"/>
  <c r="G407" i="20"/>
  <c r="X407" i="20" s="1"/>
  <c r="G348" i="20"/>
  <c r="X348" i="20" s="1"/>
  <c r="F342" i="20"/>
  <c r="W342" i="20" s="1"/>
  <c r="G194" i="20"/>
  <c r="X194" i="20" s="1"/>
  <c r="G281" i="20"/>
  <c r="X281" i="20" s="1"/>
  <c r="F198" i="20"/>
  <c r="W198" i="20" s="1"/>
  <c r="E505" i="20"/>
  <c r="V505" i="20" s="1"/>
  <c r="G185" i="20"/>
  <c r="X185" i="20" s="1"/>
  <c r="F188" i="20"/>
  <c r="W188" i="20" s="1"/>
  <c r="AT136" i="2"/>
  <c r="G183" i="20"/>
  <c r="X183" i="20" s="1"/>
  <c r="DH46" i="6"/>
  <c r="BL46" i="6"/>
  <c r="P46" i="6"/>
  <c r="DD81" i="6"/>
  <c r="BH81" i="6"/>
  <c r="AX81" i="6"/>
  <c r="ED72" i="6"/>
  <c r="CT95" i="6"/>
  <c r="BR46" i="6"/>
  <c r="AL95" i="6"/>
  <c r="DE94" i="6"/>
  <c r="CG94" i="6"/>
  <c r="BI94" i="6"/>
  <c r="AC45" i="6"/>
  <c r="AH45" i="6" s="1"/>
  <c r="AH94" i="6" s="1"/>
  <c r="CB90" i="6"/>
  <c r="AF90" i="6"/>
  <c r="CN87" i="6"/>
  <c r="DQ84" i="6"/>
  <c r="CS84" i="6"/>
  <c r="BU84" i="6"/>
  <c r="BI79" i="6"/>
  <c r="AC30" i="6"/>
  <c r="BP75" i="6"/>
  <c r="DU17" i="6"/>
  <c r="DU66" i="6" s="1"/>
  <c r="CK17" i="6"/>
  <c r="AO17" i="6"/>
  <c r="CW16" i="6"/>
  <c r="CW65" i="6" s="1"/>
  <c r="CB65" i="6"/>
  <c r="BA16" i="6"/>
  <c r="BA65" i="6" s="1"/>
  <c r="AF65" i="6"/>
  <c r="CF15" i="6"/>
  <c r="BH12" i="6"/>
  <c r="DL59" i="6"/>
  <c r="CN59" i="6"/>
  <c r="BP59" i="6"/>
  <c r="AR59" i="6"/>
  <c r="T59" i="6"/>
  <c r="BH58" i="6"/>
  <c r="K72" i="6"/>
  <c r="ED66" i="6"/>
  <c r="DF66" i="6"/>
  <c r="CE17" i="6"/>
  <c r="BJ66" i="6"/>
  <c r="AI17" i="6"/>
  <c r="N66" i="6"/>
  <c r="DF65" i="6"/>
  <c r="BJ65" i="6"/>
  <c r="DJ62" i="6"/>
  <c r="BZ15" i="6"/>
  <c r="BN62" i="6"/>
  <c r="AD15" i="6"/>
  <c r="R62" i="6"/>
  <c r="DE12" i="6"/>
  <c r="CG12" i="6"/>
  <c r="BI12" i="6"/>
  <c r="AK12" i="6"/>
  <c r="AK22" i="6" s="1"/>
  <c r="CM60" i="6"/>
  <c r="BY11" i="6"/>
  <c r="CS59" i="6"/>
  <c r="BU59" i="6"/>
  <c r="AU10" i="6"/>
  <c r="W10" i="6"/>
  <c r="BU58" i="6"/>
  <c r="AO8" i="6"/>
  <c r="BM230" i="17"/>
  <c r="CC103" i="11"/>
  <c r="BI103" i="11"/>
  <c r="U103" i="11"/>
  <c r="CW94" i="11"/>
  <c r="BN94" i="11"/>
  <c r="AT94" i="11"/>
  <c r="Z94" i="11"/>
  <c r="DG88" i="11"/>
  <c r="DG87" i="11"/>
  <c r="DG96" i="11" s="1"/>
  <c r="CW63" i="11"/>
  <c r="U63" i="11"/>
  <c r="CW59" i="11"/>
  <c r="U59" i="11"/>
  <c r="BX35" i="11"/>
  <c r="BX9" i="11"/>
  <c r="BD9" i="11"/>
  <c r="AJ9" i="11"/>
  <c r="P9" i="11"/>
  <c r="BD7" i="11"/>
  <c r="P7" i="11"/>
  <c r="P95" i="11"/>
  <c r="CR88" i="11"/>
  <c r="Z63" i="11"/>
  <c r="AT60" i="11"/>
  <c r="CH58" i="11"/>
  <c r="DB50" i="11"/>
  <c r="CH50" i="11"/>
  <c r="BN50" i="11"/>
  <c r="AT50" i="11"/>
  <c r="Z50" i="11"/>
  <c r="O49" i="11"/>
  <c r="AY35" i="11"/>
  <c r="BM10" i="11"/>
  <c r="BP10" i="11" s="1"/>
  <c r="CM9" i="11"/>
  <c r="CM8" i="11"/>
  <c r="BS8" i="11"/>
  <c r="AY8" i="11"/>
  <c r="AE8" i="11"/>
  <c r="DG7" i="11"/>
  <c r="AE7" i="11"/>
  <c r="BR243" i="17"/>
  <c r="AD238" i="17"/>
  <c r="BN186" i="17"/>
  <c r="AN96" i="11"/>
  <c r="AY65" i="11"/>
  <c r="CL265" i="17"/>
  <c r="Z235" i="17"/>
  <c r="CW95" i="11"/>
  <c r="DA90" i="11"/>
  <c r="AU71" i="11"/>
  <c r="O48" i="12" s="1"/>
  <c r="CT9" i="11"/>
  <c r="DL95" i="6"/>
  <c r="BP95" i="6"/>
  <c r="CT36" i="6"/>
  <c r="CQ36" i="6" s="1"/>
  <c r="BV36" i="6"/>
  <c r="BS36" i="6" s="1"/>
  <c r="AX36" i="6"/>
  <c r="Z36" i="6"/>
  <c r="AL235" i="17"/>
  <c r="BN71" i="11"/>
  <c r="BU59" i="11"/>
  <c r="BV59" i="11" s="1"/>
  <c r="BD95" i="11"/>
  <c r="CP181" i="17"/>
  <c r="CL181" i="17"/>
  <c r="BZ208" i="17"/>
  <c r="BV208" i="17"/>
  <c r="AT208" i="17"/>
  <c r="AP208" i="17"/>
  <c r="CP131" i="17"/>
  <c r="DC10" i="17" s="1"/>
  <c r="CO126" i="17"/>
  <c r="BZ131" i="17"/>
  <c r="BY126" i="17"/>
  <c r="BJ131" i="17"/>
  <c r="BI126" i="17"/>
  <c r="AT131" i="17"/>
  <c r="AS126" i="17"/>
  <c r="AD131" i="17"/>
  <c r="AC126" i="17"/>
  <c r="N131" i="17"/>
  <c r="M126" i="17"/>
  <c r="BZ78" i="17"/>
  <c r="CD78" i="17"/>
  <c r="BJ78" i="17"/>
  <c r="BN78" i="17"/>
  <c r="AT78" i="17"/>
  <c r="AX78" i="17"/>
  <c r="AD78" i="17"/>
  <c r="AH78" i="17"/>
  <c r="N78" i="17"/>
  <c r="R78" i="17"/>
  <c r="CL48" i="17"/>
  <c r="CH48" i="17"/>
  <c r="BV48" i="17"/>
  <c r="BR48" i="17"/>
  <c r="BF48" i="17"/>
  <c r="BB48" i="17"/>
  <c r="AP48" i="17"/>
  <c r="AL48" i="17"/>
  <c r="BF29" i="17"/>
  <c r="BJ29" i="17"/>
  <c r="Z29" i="17"/>
  <c r="AD29" i="17"/>
  <c r="BQ24" i="17"/>
  <c r="BR29" i="17"/>
  <c r="AK24" i="17"/>
  <c r="AL29" i="17"/>
  <c r="CH94" i="11"/>
  <c r="BX94" i="11"/>
  <c r="BC96" i="11"/>
  <c r="AI96" i="11"/>
  <c r="DV95" i="6"/>
  <c r="CW72" i="11"/>
  <c r="CX95" i="6"/>
  <c r="BZ95" i="6"/>
  <c r="BH74" i="11"/>
  <c r="BI72" i="11"/>
  <c r="DD71" i="11"/>
  <c r="DC71" i="11" s="1"/>
  <c r="DG71" i="11"/>
  <c r="T95" i="6"/>
  <c r="DG13" i="11"/>
  <c r="DB13" i="11"/>
  <c r="CM13" i="11"/>
  <c r="CH13" i="11"/>
  <c r="BX88" i="11"/>
  <c r="BS13" i="11"/>
  <c r="BN13" i="11"/>
  <c r="BD88" i="11"/>
  <c r="AY13" i="11"/>
  <c r="AT13" i="11"/>
  <c r="AJ88" i="11"/>
  <c r="AE13" i="11"/>
  <c r="Z13" i="11"/>
  <c r="P88" i="11"/>
  <c r="DI86" i="11"/>
  <c r="AB173" i="12" s="1"/>
  <c r="DL86" i="11"/>
  <c r="DG86" i="11"/>
  <c r="DL11" i="11"/>
  <c r="EA96" i="6"/>
  <c r="DC96" i="6"/>
  <c r="DF10" i="11"/>
  <c r="DI9" i="11"/>
  <c r="BA95" i="6"/>
  <c r="BG95" i="6"/>
  <c r="DL60" i="11"/>
  <c r="CR60" i="11"/>
  <c r="CM63" i="11"/>
  <c r="BU63" i="11"/>
  <c r="T169" i="12" s="1"/>
  <c r="BS63" i="11"/>
  <c r="BA63" i="11"/>
  <c r="P169" i="12" s="1"/>
  <c r="AY63" i="11"/>
  <c r="AG63" i="11"/>
  <c r="L169" i="12" s="1"/>
  <c r="AE63" i="11"/>
  <c r="DL59" i="11"/>
  <c r="CT59" i="11"/>
  <c r="CU59" i="11" s="1"/>
  <c r="CR59" i="11"/>
  <c r="BZ59" i="11"/>
  <c r="CA59" i="11" s="1"/>
  <c r="BX59" i="11"/>
  <c r="BF59" i="11"/>
  <c r="BD59" i="11"/>
  <c r="AL59" i="11"/>
  <c r="AM59" i="11" s="1"/>
  <c r="AJ59" i="11"/>
  <c r="DI58" i="11"/>
  <c r="DL58" i="11"/>
  <c r="DG58" i="11"/>
  <c r="CO58" i="11"/>
  <c r="CR58" i="11"/>
  <c r="CM58" i="11"/>
  <c r="BU58" i="11"/>
  <c r="BX58" i="11"/>
  <c r="BS58" i="11"/>
  <c r="BA58" i="11"/>
  <c r="BD58" i="11"/>
  <c r="AY58" i="11"/>
  <c r="AG58" i="11"/>
  <c r="AH58" i="11" s="1"/>
  <c r="AJ58" i="11"/>
  <c r="AE58" i="11"/>
  <c r="P58" i="11"/>
  <c r="M58" i="11"/>
  <c r="N58" i="11" s="1"/>
  <c r="DG48" i="11"/>
  <c r="DL48" i="11"/>
  <c r="AN10" i="11"/>
  <c r="AQ10" i="11" s="1"/>
  <c r="AO7" i="11"/>
  <c r="CO260" i="17"/>
  <c r="CP265" i="17"/>
  <c r="DC15" i="17" s="1"/>
  <c r="N243" i="17"/>
  <c r="CL238" i="17"/>
  <c r="BV238" i="17"/>
  <c r="BF238" i="17"/>
  <c r="AP238" i="17"/>
  <c r="Z238" i="17"/>
  <c r="CP235" i="17"/>
  <c r="CH235" i="17"/>
  <c r="BZ235" i="17"/>
  <c r="BI222" i="17"/>
  <c r="BJ235" i="17"/>
  <c r="AS222" i="17"/>
  <c r="AT235" i="17"/>
  <c r="AC222" i="17"/>
  <c r="AD235" i="17"/>
  <c r="M222" i="17"/>
  <c r="N235" i="17"/>
  <c r="CL186" i="17"/>
  <c r="BV186" i="17"/>
  <c r="BF186" i="17"/>
  <c r="AP186" i="17"/>
  <c r="Z186" i="17"/>
  <c r="CN90" i="11"/>
  <c r="CO86" i="11"/>
  <c r="DD87" i="11"/>
  <c r="DC90" i="11"/>
  <c r="BV178" i="17"/>
  <c r="BZ178" i="17"/>
  <c r="BF178" i="17"/>
  <c r="BJ178" i="17"/>
  <c r="AP178" i="17"/>
  <c r="AT178" i="17"/>
  <c r="Z178" i="17"/>
  <c r="CP208" i="17"/>
  <c r="DC13" i="17" s="1"/>
  <c r="AD208" i="17"/>
  <c r="CP151" i="17"/>
  <c r="DC11" i="17" s="1"/>
  <c r="CL151" i="17"/>
  <c r="N112" i="17"/>
  <c r="CH131" i="17"/>
  <c r="CD131" i="17"/>
  <c r="BR131" i="17"/>
  <c r="BN131" i="17"/>
  <c r="V131" i="17"/>
  <c r="R131" i="17"/>
  <c r="CH89" i="17"/>
  <c r="CL89" i="17"/>
  <c r="BR89" i="17"/>
  <c r="BV89" i="17"/>
  <c r="BB89" i="17"/>
  <c r="BF89" i="17"/>
  <c r="AL89" i="17"/>
  <c r="AP89" i="17"/>
  <c r="V89" i="17"/>
  <c r="Z89" i="17"/>
  <c r="D305" i="2"/>
  <c r="F348" i="20"/>
  <c r="W348" i="20" s="1"/>
  <c r="F176" i="20"/>
  <c r="W176" i="20" s="1"/>
  <c r="G179" i="20"/>
  <c r="X179" i="20" s="1"/>
  <c r="F179" i="20"/>
  <c r="W179" i="20" s="1"/>
  <c r="DI96" i="6"/>
  <c r="DB46" i="6"/>
  <c r="CD46" i="6"/>
  <c r="BY95" i="6"/>
  <c r="BF46" i="6"/>
  <c r="AH46" i="6"/>
  <c r="V46" i="6"/>
  <c r="EB85" i="6"/>
  <c r="CW62" i="6"/>
  <c r="BY62" i="6"/>
  <c r="CO230" i="17"/>
  <c r="BY230" i="17"/>
  <c r="CC73" i="17"/>
  <c r="BI62" i="17"/>
  <c r="BA62" i="17"/>
  <c r="AS62" i="17"/>
  <c r="AK62" i="17"/>
  <c r="AC62" i="17"/>
  <c r="U62" i="17"/>
  <c r="M62" i="17"/>
  <c r="CC43" i="17"/>
  <c r="BM43" i="17"/>
  <c r="AW43" i="17"/>
  <c r="AG43" i="17"/>
  <c r="Q43" i="17"/>
  <c r="CW101" i="11"/>
  <c r="CC101" i="11"/>
  <c r="BI101" i="11"/>
  <c r="AO101" i="11"/>
  <c r="U101" i="11"/>
  <c r="CC88" i="11"/>
  <c r="BI88" i="11"/>
  <c r="AO88" i="11"/>
  <c r="U88" i="11"/>
  <c r="AY87" i="11"/>
  <c r="CC63" i="11"/>
  <c r="CH87" i="11"/>
  <c r="CH96" i="11" s="1"/>
  <c r="AT87" i="11"/>
  <c r="Z87" i="11"/>
  <c r="T75" i="11"/>
  <c r="DB60" i="11"/>
  <c r="CH59" i="11"/>
  <c r="AT59" i="11"/>
  <c r="DG9" i="11"/>
  <c r="BS9" i="11"/>
  <c r="AE9" i="11"/>
  <c r="BN208" i="17"/>
  <c r="AH208" i="17"/>
  <c r="BN181" i="17"/>
  <c r="AH181" i="17"/>
  <c r="BN151" i="17"/>
  <c r="AH151" i="17"/>
  <c r="CL81" i="17"/>
  <c r="BV81" i="17"/>
  <c r="BF81" i="17"/>
  <c r="AP81" i="17"/>
  <c r="Z81" i="17"/>
  <c r="BV78" i="17"/>
  <c r="AP78" i="17"/>
  <c r="AH131" i="17"/>
  <c r="CH29" i="17"/>
  <c r="BZ29" i="17"/>
  <c r="BB29" i="17"/>
  <c r="AT29" i="17"/>
  <c r="V29" i="17"/>
  <c r="CC72" i="11"/>
  <c r="BZ265" i="17"/>
  <c r="BB235" i="17"/>
  <c r="V235" i="17"/>
  <c r="P101" i="11"/>
  <c r="CJ87" i="11"/>
  <c r="W172" i="12" s="1"/>
  <c r="BN109" i="11"/>
  <c r="Z109" i="11"/>
  <c r="AG17" i="11"/>
  <c r="M17" i="11"/>
  <c r="DU9" i="6"/>
  <c r="DI9" i="6"/>
  <c r="CK9" i="6"/>
  <c r="BM9" i="6"/>
  <c r="K35" i="6"/>
  <c r="CZ60" i="6"/>
  <c r="BV60" i="6"/>
  <c r="BP60" i="6"/>
  <c r="BD60" i="6"/>
  <c r="AL60" i="6"/>
  <c r="CS60" i="6"/>
  <c r="CQ56" i="6"/>
  <c r="EA55" i="6"/>
  <c r="X241" i="7"/>
  <c r="T241" i="7"/>
  <c r="Z199" i="8"/>
  <c r="X199" i="8"/>
  <c r="T199" i="8"/>
  <c r="P199" i="8"/>
  <c r="L199" i="8"/>
  <c r="H199" i="8"/>
  <c r="AL177" i="17"/>
  <c r="AD177" i="17"/>
  <c r="V177" i="17"/>
  <c r="CD264" i="17"/>
  <c r="CD120" i="17" s="1"/>
  <c r="BN264" i="17"/>
  <c r="BN120" i="17" s="1"/>
  <c r="BK269" i="17"/>
  <c r="AX264" i="17"/>
  <c r="AU269" i="17"/>
  <c r="AH264" i="17"/>
  <c r="AE269" i="17"/>
  <c r="R264" i="17"/>
  <c r="O269" i="17"/>
  <c r="R720" i="7"/>
  <c r="AC165" i="17"/>
  <c r="CV281" i="17"/>
  <c r="CD47" i="17"/>
  <c r="CS51" i="11" s="1"/>
  <c r="BN47" i="17"/>
  <c r="BY51" i="11" s="1"/>
  <c r="AX47" i="17"/>
  <c r="BE51" i="11" s="1"/>
  <c r="AH47" i="17"/>
  <c r="AK51" i="11" s="1"/>
  <c r="R47" i="17"/>
  <c r="Q51" i="11" s="1"/>
  <c r="CO33" i="17"/>
  <c r="CP28" i="17"/>
  <c r="DH36" i="11" s="1"/>
  <c r="CG33" i="17"/>
  <c r="CH28" i="17"/>
  <c r="CX36" i="11" s="1"/>
  <c r="BY33" i="17"/>
  <c r="BZ28" i="17"/>
  <c r="CN36" i="11" s="1"/>
  <c r="BQ33" i="17"/>
  <c r="BR28" i="17"/>
  <c r="CD36" i="11" s="1"/>
  <c r="BI33" i="17"/>
  <c r="BJ28" i="17"/>
  <c r="BT36" i="11" s="1"/>
  <c r="BA33" i="17"/>
  <c r="BB28" i="17"/>
  <c r="BJ36" i="11" s="1"/>
  <c r="AS33" i="17"/>
  <c r="AT28" i="17"/>
  <c r="AZ36" i="11" s="1"/>
  <c r="AK33" i="17"/>
  <c r="AL28" i="17"/>
  <c r="AP36" i="11" s="1"/>
  <c r="AC33" i="17"/>
  <c r="AD28" i="17"/>
  <c r="AF36" i="11" s="1"/>
  <c r="U33" i="17"/>
  <c r="V28" i="17"/>
  <c r="V36" i="11" s="1"/>
  <c r="M33" i="17"/>
  <c r="N28" i="17"/>
  <c r="L36" i="11" s="1"/>
  <c r="AB52" i="8"/>
  <c r="W45" i="6"/>
  <c r="AC35" i="6"/>
  <c r="L15" i="6"/>
  <c r="DP12" i="6"/>
  <c r="CR12" i="6"/>
  <c r="CR22" i="6" s="1"/>
  <c r="BT12" i="6"/>
  <c r="AV12" i="6"/>
  <c r="X12" i="6"/>
  <c r="DV59" i="6"/>
  <c r="DP59" i="6"/>
  <c r="CX59" i="6"/>
  <c r="BZ59" i="6"/>
  <c r="BN59" i="6"/>
  <c r="BT15" i="6"/>
  <c r="X15" i="6"/>
  <c r="DJ15" i="6"/>
  <c r="DI62" i="6"/>
  <c r="CX62" i="6"/>
  <c r="CL15" i="6"/>
  <c r="CK62" i="6"/>
  <c r="BZ62" i="6"/>
  <c r="BN15" i="6"/>
  <c r="BM62" i="6"/>
  <c r="BB62" i="6"/>
  <c r="AP15" i="6"/>
  <c r="AD62" i="6"/>
  <c r="R15" i="6"/>
  <c r="BH60" i="6"/>
  <c r="BA11" i="6"/>
  <c r="K10" i="6"/>
  <c r="CF57" i="6"/>
  <c r="BI82" i="6"/>
  <c r="CY119" i="11"/>
  <c r="CE119" i="11"/>
  <c r="BK119" i="11"/>
  <c r="AQ119" i="11"/>
  <c r="N179" i="12" s="1"/>
  <c r="W119" i="11"/>
  <c r="BU101" i="11"/>
  <c r="AG101" i="11"/>
  <c r="M101" i="11"/>
  <c r="AE316" i="17"/>
  <c r="AE318" i="17" s="1"/>
  <c r="DB117" i="11"/>
  <c r="CH117" i="11"/>
  <c r="BN117" i="11"/>
  <c r="AT117" i="11"/>
  <c r="Z117" i="11"/>
  <c r="DB110" i="11"/>
  <c r="BN110" i="11"/>
  <c r="AT110" i="11"/>
  <c r="Z110" i="11"/>
  <c r="CR109" i="11"/>
  <c r="BX109" i="11"/>
  <c r="BD109" i="11"/>
  <c r="AJ109" i="11"/>
  <c r="P109" i="11"/>
  <c r="CI89" i="6"/>
  <c r="BK89" i="6"/>
  <c r="O67" i="6"/>
  <c r="DA66" i="6"/>
  <c r="AG66" i="6"/>
  <c r="DO45" i="6"/>
  <c r="DC45" i="6"/>
  <c r="CQ45" i="6"/>
  <c r="CE45" i="6"/>
  <c r="BG45" i="6"/>
  <c r="DJ82" i="6"/>
  <c r="DC30" i="6"/>
  <c r="DP15" i="6"/>
  <c r="DX96" i="6"/>
  <c r="DL96" i="6"/>
  <c r="CZ96" i="6"/>
  <c r="CN96" i="6"/>
  <c r="CB96" i="6"/>
  <c r="BP96" i="6"/>
  <c r="BD96" i="6"/>
  <c r="BV74" i="6"/>
  <c r="DC9" i="6"/>
  <c r="DH16" i="6" s="1"/>
  <c r="DH65" i="6" s="1"/>
  <c r="AI45" i="6"/>
  <c r="AN45" i="6" s="1"/>
  <c r="AN94" i="6" s="1"/>
  <c r="K45" i="6"/>
  <c r="CO89" i="6"/>
  <c r="BQ89" i="6"/>
  <c r="AO35" i="6"/>
  <c r="BA31" i="6"/>
  <c r="AU30" i="6"/>
  <c r="AI30" i="6"/>
  <c r="W30" i="6"/>
  <c r="AU27" i="6"/>
  <c r="AI27" i="6"/>
  <c r="W27" i="6"/>
  <c r="K27" i="6"/>
  <c r="K76" i="6" s="1"/>
  <c r="AW303" i="17"/>
  <c r="AW285" i="17" s="1"/>
  <c r="P118" i="11"/>
  <c r="DL117" i="11"/>
  <c r="BX117" i="11"/>
  <c r="BD117" i="11"/>
  <c r="AJ117" i="11"/>
  <c r="P117" i="11"/>
  <c r="AT109" i="11"/>
  <c r="CX84" i="6"/>
  <c r="BZ84" i="6"/>
  <c r="DP79" i="6"/>
  <c r="DV60" i="6"/>
  <c r="CX60" i="6"/>
  <c r="CK45" i="6"/>
  <c r="CT70" i="6"/>
  <c r="BV70" i="6"/>
  <c r="AX70" i="6"/>
  <c r="AF70" i="6"/>
  <c r="Z70" i="6"/>
  <c r="N68" i="6"/>
  <c r="CW10" i="6"/>
  <c r="DB17" i="6" s="1"/>
  <c r="DB66" i="6" s="1"/>
  <c r="CH110" i="11"/>
  <c r="W319" i="17"/>
  <c r="W321" i="17" s="1"/>
  <c r="AR41" i="11"/>
  <c r="DP82" i="6"/>
  <c r="CR82" i="6"/>
  <c r="BT82" i="6"/>
  <c r="DI28" i="6"/>
  <c r="DD77" i="6"/>
  <c r="CK28" i="6"/>
  <c r="CF77" i="6"/>
  <c r="BM28" i="6"/>
  <c r="DI11" i="6"/>
  <c r="BM11" i="6"/>
  <c r="DV15" i="6"/>
  <c r="CX58" i="6"/>
  <c r="BZ58" i="6"/>
  <c r="BB12" i="6"/>
  <c r="AP12" i="6"/>
  <c r="AD12" i="6"/>
  <c r="R12" i="6"/>
  <c r="DD84" i="6"/>
  <c r="CF84" i="6"/>
  <c r="BH84" i="6"/>
  <c r="DV79" i="6"/>
  <c r="Q35" i="6"/>
  <c r="Q31" i="6"/>
  <c r="BH77" i="6"/>
  <c r="BA28" i="6"/>
  <c r="AJ15" i="6"/>
  <c r="DJ12" i="6"/>
  <c r="CX12" i="6"/>
  <c r="CL12" i="6"/>
  <c r="BZ12" i="6"/>
  <c r="BZ22" i="6" s="1"/>
  <c r="BN12" i="6"/>
  <c r="DV58" i="6"/>
  <c r="DJ58" i="6"/>
  <c r="CL58" i="6"/>
  <c r="BN58" i="6"/>
  <c r="DV12" i="6"/>
  <c r="AY116" i="11"/>
  <c r="BD116" i="11"/>
  <c r="BN102" i="11"/>
  <c r="BR111" i="11"/>
  <c r="AS67" i="6"/>
  <c r="AM67" i="6"/>
  <c r="DG66" i="6"/>
  <c r="CI66" i="6"/>
  <c r="BK66" i="6"/>
  <c r="DY65" i="6"/>
  <c r="DS65" i="6"/>
  <c r="CU65" i="6"/>
  <c r="BS45" i="6"/>
  <c r="BX45" i="6" s="1"/>
  <c r="BX94" i="6" s="1"/>
  <c r="DV73" i="6"/>
  <c r="DP73" i="6"/>
  <c r="CX73" i="6"/>
  <c r="BT73" i="6"/>
  <c r="DO30" i="6"/>
  <c r="CL60" i="6"/>
  <c r="E11" i="6"/>
  <c r="DV63" i="6"/>
  <c r="CW9" i="6"/>
  <c r="BY9" i="6"/>
  <c r="DP57" i="6"/>
  <c r="CR57" i="6"/>
  <c r="BT57" i="6"/>
  <c r="CH96" i="6"/>
  <c r="BJ96" i="6"/>
  <c r="AX96" i="6"/>
  <c r="AR96" i="6"/>
  <c r="T96" i="6"/>
  <c r="CZ91" i="6"/>
  <c r="CB91" i="6"/>
  <c r="BD91" i="6"/>
  <c r="AF91" i="6"/>
  <c r="DR93" i="6"/>
  <c r="CT93" i="6"/>
  <c r="BV93" i="6"/>
  <c r="AX93" i="6"/>
  <c r="Z93" i="6"/>
  <c r="ED90" i="6"/>
  <c r="N90" i="6"/>
  <c r="AU35" i="6"/>
  <c r="AI35" i="6"/>
  <c r="W35" i="6"/>
  <c r="AO33" i="6"/>
  <c r="AC33" i="6"/>
  <c r="Q33" i="6"/>
  <c r="CZ74" i="6"/>
  <c r="CB74" i="6"/>
  <c r="BP74" i="6"/>
  <c r="AF24" i="6"/>
  <c r="Z74" i="6"/>
  <c r="DX75" i="6"/>
  <c r="CT24" i="6"/>
  <c r="CQ24" i="6" s="1"/>
  <c r="CB75" i="6"/>
  <c r="BD75" i="6"/>
  <c r="Z24" i="6"/>
  <c r="W24" i="6" s="1"/>
  <c r="N72" i="6"/>
  <c r="DX12" i="6"/>
  <c r="CT66" i="6"/>
  <c r="BV66" i="6"/>
  <c r="AX66" i="6"/>
  <c r="Z66" i="6"/>
  <c r="CT65" i="6"/>
  <c r="BV65" i="6"/>
  <c r="AX65" i="6"/>
  <c r="Z65" i="6"/>
  <c r="W11" i="6"/>
  <c r="N60" i="6"/>
  <c r="DR12" i="6"/>
  <c r="N57" i="6"/>
  <c r="BS28" i="6"/>
  <c r="DQ60" i="6"/>
  <c r="DW59" i="6"/>
  <c r="DE58" i="6"/>
  <c r="CE9" i="6"/>
  <c r="BI58" i="6"/>
  <c r="CA57" i="6"/>
  <c r="DC56" i="6"/>
  <c r="DB103" i="11"/>
  <c r="CR15" i="11"/>
  <c r="BX15" i="11"/>
  <c r="BD15" i="11"/>
  <c r="AJ15" i="11"/>
  <c r="P15" i="11"/>
  <c r="DF12" i="6"/>
  <c r="BV12" i="6"/>
  <c r="BJ12" i="6"/>
  <c r="AX12" i="6"/>
  <c r="AL12" i="6"/>
  <c r="Z12" i="6"/>
  <c r="DU45" i="6"/>
  <c r="CW45" i="6"/>
  <c r="BY45" i="6"/>
  <c r="CD45" i="6" s="1"/>
  <c r="CD94" i="6" s="1"/>
  <c r="DB116" i="11"/>
  <c r="DG116" i="11"/>
  <c r="BN116" i="11"/>
  <c r="BS116" i="11"/>
  <c r="CR110" i="11"/>
  <c r="CM110" i="11"/>
  <c r="DB109" i="11"/>
  <c r="DG109" i="11"/>
  <c r="DV77" i="6"/>
  <c r="DU28" i="6"/>
  <c r="DJ77" i="6"/>
  <c r="DP77" i="6"/>
  <c r="CX77" i="6"/>
  <c r="CW28" i="6"/>
  <c r="CL77" i="6"/>
  <c r="CR77" i="6"/>
  <c r="BZ77" i="6"/>
  <c r="BY28" i="6"/>
  <c r="BN77" i="6"/>
  <c r="BT77" i="6"/>
  <c r="AP77" i="6"/>
  <c r="AO28" i="6"/>
  <c r="R77" i="6"/>
  <c r="Q28" i="6"/>
  <c r="AD80" i="6"/>
  <c r="AC31" i="6"/>
  <c r="BZ73" i="6"/>
  <c r="DJ63" i="6"/>
  <c r="DD63" i="6"/>
  <c r="DD15" i="6"/>
  <c r="CL63" i="6"/>
  <c r="CF63" i="6"/>
  <c r="BN63" i="6"/>
  <c r="BH63" i="6"/>
  <c r="BH15" i="6"/>
  <c r="DU13" i="6"/>
  <c r="DU62" i="6" s="1"/>
  <c r="DV62" i="6"/>
  <c r="DD59" i="6"/>
  <c r="DJ59" i="6"/>
  <c r="CF59" i="6"/>
  <c r="CL59" i="6"/>
  <c r="AF96" i="6"/>
  <c r="Z96" i="6"/>
  <c r="ED93" i="6"/>
  <c r="DX93" i="6"/>
  <c r="DF93" i="6"/>
  <c r="CZ93" i="6"/>
  <c r="CH93" i="6"/>
  <c r="CB93" i="6"/>
  <c r="BJ93" i="6"/>
  <c r="BD93" i="6"/>
  <c r="AL93" i="6"/>
  <c r="AF93" i="6"/>
  <c r="DR90" i="6"/>
  <c r="DX90" i="6"/>
  <c r="BA33" i="6"/>
  <c r="BJ82" i="6"/>
  <c r="AL87" i="6"/>
  <c r="AL36" i="6"/>
  <c r="CZ75" i="6"/>
  <c r="AF75" i="6"/>
  <c r="DU16" i="6"/>
  <c r="DU65" i="6" s="1"/>
  <c r="DI16" i="6"/>
  <c r="DI65" i="6" s="1"/>
  <c r="CK16" i="6"/>
  <c r="CK65" i="6" s="1"/>
  <c r="BM16" i="6"/>
  <c r="BM65" i="6" s="1"/>
  <c r="AO16" i="6"/>
  <c r="AO65" i="6" s="1"/>
  <c r="Q16" i="6"/>
  <c r="Q65" i="6" s="1"/>
  <c r="DL12" i="6"/>
  <c r="CZ12" i="6"/>
  <c r="CT12" i="6"/>
  <c r="CN12" i="6"/>
  <c r="CH12" i="6"/>
  <c r="CB12" i="6"/>
  <c r="BP12" i="6"/>
  <c r="BD12" i="6"/>
  <c r="AR12" i="6"/>
  <c r="AF12" i="6"/>
  <c r="T12" i="6"/>
  <c r="N12" i="6"/>
  <c r="DX58" i="6"/>
  <c r="DR58" i="6"/>
  <c r="DF58" i="6"/>
  <c r="CT58" i="6"/>
  <c r="CH58" i="6"/>
  <c r="BV58" i="6"/>
  <c r="BJ58" i="6"/>
  <c r="N65" i="6"/>
  <c r="DQ12" i="6"/>
  <c r="DW60" i="6"/>
  <c r="CT60" i="6"/>
  <c r="AI9" i="6"/>
  <c r="DG15" i="11"/>
  <c r="CM15" i="11"/>
  <c r="BS15" i="11"/>
  <c r="AY15" i="11"/>
  <c r="AE15" i="11"/>
  <c r="AD7" i="12"/>
  <c r="W28" i="6"/>
  <c r="CL105" i="11"/>
  <c r="DI101" i="11"/>
  <c r="AB175" i="12" s="1"/>
  <c r="CO101" i="11"/>
  <c r="X175" i="12" s="1"/>
  <c r="CZ24" i="6"/>
  <c r="CW24" i="6" s="1"/>
  <c r="BG319" i="17"/>
  <c r="BG321" i="17" s="1"/>
  <c r="CB24" i="6"/>
  <c r="BY24" i="6" s="1"/>
  <c r="K28" i="6"/>
  <c r="DY67" i="6"/>
  <c r="DA67" i="6"/>
  <c r="CC67" i="6"/>
  <c r="BE67" i="6"/>
  <c r="BW66" i="6"/>
  <c r="BM35" i="6"/>
  <c r="K33" i="6"/>
  <c r="DV80" i="6"/>
  <c r="DJ80" i="6"/>
  <c r="CX80" i="6"/>
  <c r="CL80" i="6"/>
  <c r="BZ80" i="6"/>
  <c r="BN80" i="6"/>
  <c r="DU76" i="6"/>
  <c r="DI76" i="6"/>
  <c r="CW76" i="6"/>
  <c r="CK76" i="6"/>
  <c r="BY76" i="6"/>
  <c r="BM76" i="6"/>
  <c r="BZ60" i="6"/>
  <c r="CX63" i="6"/>
  <c r="BZ63" i="6"/>
  <c r="CQ10" i="6"/>
  <c r="CV17" i="6" s="1"/>
  <c r="CV66" i="6" s="1"/>
  <c r="BS10" i="6"/>
  <c r="BX17" i="6" s="1"/>
  <c r="BX66" i="6" s="1"/>
  <c r="BG10" i="6"/>
  <c r="E9" i="6"/>
  <c r="J16" i="6" s="1"/>
  <c r="ED91" i="6"/>
  <c r="DR91" i="6"/>
  <c r="N91" i="6"/>
  <c r="CQ35" i="6"/>
  <c r="DX74" i="6"/>
  <c r="H24" i="6"/>
  <c r="DL70" i="6"/>
  <c r="CZ70" i="6"/>
  <c r="CN70" i="6"/>
  <c r="CB70" i="6"/>
  <c r="BP70" i="6"/>
  <c r="BD70" i="6"/>
  <c r="AR70" i="6"/>
  <c r="T70" i="6"/>
  <c r="BY10" i="6"/>
  <c r="CD17" i="6" s="1"/>
  <c r="CD66" i="6" s="1"/>
  <c r="DQ57" i="6"/>
  <c r="CR62" i="6"/>
  <c r="CZ72" i="6"/>
  <c r="CR116" i="11"/>
  <c r="DX24" i="6"/>
  <c r="DU24" i="6" s="1"/>
  <c r="DA126" i="11"/>
  <c r="CJ102" i="11"/>
  <c r="W174" i="12" s="1"/>
  <c r="BP102" i="11"/>
  <c r="BQ102" i="11" s="1"/>
  <c r="DW73" i="6"/>
  <c r="CY73" i="6"/>
  <c r="CM73" i="6"/>
  <c r="CA73" i="6"/>
  <c r="BO73" i="6"/>
  <c r="DW58" i="6"/>
  <c r="DK58" i="6"/>
  <c r="CM58" i="6"/>
  <c r="BO58" i="6"/>
  <c r="CQ55" i="6"/>
  <c r="BS55" i="6"/>
  <c r="CH73" i="11"/>
  <c r="BN73" i="11"/>
  <c r="AT73" i="11"/>
  <c r="DI13" i="11"/>
  <c r="DJ13" i="11" s="1"/>
  <c r="DD63" i="11"/>
  <c r="AA169" i="12" s="1"/>
  <c r="P59" i="11"/>
  <c r="DX36" i="6"/>
  <c r="CX85" i="6"/>
  <c r="BZ85" i="6"/>
  <c r="BB265" i="17"/>
  <c r="AL265" i="17"/>
  <c r="BZ151" i="17"/>
  <c r="BK63" i="11"/>
  <c r="R169" i="12" s="1"/>
  <c r="AQ63" i="11"/>
  <c r="N169" i="12" s="1"/>
  <c r="M63" i="11"/>
  <c r="N63" i="11" s="1"/>
  <c r="Z48" i="17"/>
  <c r="CY86" i="11"/>
  <c r="BK86" i="11"/>
  <c r="AQ86" i="11"/>
  <c r="M86" i="11"/>
  <c r="AT17" i="11"/>
  <c r="BX116" i="11"/>
  <c r="AJ116" i="11"/>
  <c r="P116" i="11"/>
  <c r="CM102" i="11"/>
  <c r="CM111" i="11" s="1"/>
  <c r="AE102" i="11"/>
  <c r="U116" i="11"/>
  <c r="CU66" i="6"/>
  <c r="AA66" i="6"/>
  <c r="BT62" i="6"/>
  <c r="CR118" i="11"/>
  <c r="CW117" i="11"/>
  <c r="AX111" i="11"/>
  <c r="AD111" i="11"/>
  <c r="DY66" i="6"/>
  <c r="DV82" i="6"/>
  <c r="CQ33" i="6"/>
  <c r="CR60" i="6"/>
  <c r="CT91" i="6"/>
  <c r="CZ82" i="6"/>
  <c r="BD82" i="6"/>
  <c r="AR82" i="6"/>
  <c r="DR75" i="6"/>
  <c r="CT75" i="6"/>
  <c r="BV75" i="6"/>
  <c r="AX75" i="6"/>
  <c r="Z75" i="6"/>
  <c r="N70" i="6"/>
  <c r="DR68" i="6"/>
  <c r="CZ68" i="6"/>
  <c r="CT68" i="6"/>
  <c r="BV68" i="6"/>
  <c r="AX68" i="6"/>
  <c r="Z68" i="6"/>
  <c r="CB60" i="6"/>
  <c r="BJ60" i="6"/>
  <c r="AX60" i="6"/>
  <c r="AR60" i="6"/>
  <c r="ED57" i="6"/>
  <c r="DX57" i="6"/>
  <c r="AX57" i="6"/>
  <c r="AL57" i="6"/>
  <c r="AI319" i="17"/>
  <c r="AI321" i="17" s="1"/>
  <c r="AI287" i="17"/>
  <c r="CH102" i="11"/>
  <c r="CH111" i="11" s="1"/>
  <c r="BD118" i="11"/>
  <c r="CF41" i="11"/>
  <c r="CR117" i="11"/>
  <c r="DG17" i="11"/>
  <c r="DB17" i="11"/>
  <c r="CH17" i="11"/>
  <c r="BS17" i="11"/>
  <c r="BN17" i="11"/>
  <c r="CW109" i="11"/>
  <c r="BI109" i="11"/>
  <c r="U109" i="11"/>
  <c r="Q129" i="8"/>
  <c r="P129" i="8"/>
  <c r="DG67" i="6"/>
  <c r="CI67" i="6"/>
  <c r="BK67" i="6"/>
  <c r="CC66" i="6"/>
  <c r="BE66" i="6"/>
  <c r="CL82" i="6"/>
  <c r="BN82" i="6"/>
  <c r="DP62" i="6"/>
  <c r="BH62" i="6"/>
  <c r="CQ9" i="6"/>
  <c r="BS9" i="6"/>
  <c r="BX16" i="6" s="1"/>
  <c r="BX65" i="6" s="1"/>
  <c r="CT90" i="6"/>
  <c r="AX90" i="6"/>
  <c r="CS82" i="6"/>
  <c r="DB95" i="11"/>
  <c r="BO71" i="11"/>
  <c r="S48" i="12" s="1"/>
  <c r="BX73" i="11"/>
  <c r="AJ73" i="11"/>
  <c r="CH48" i="11"/>
  <c r="CT87" i="6"/>
  <c r="BN48" i="11"/>
  <c r="BV87" i="6"/>
  <c r="AT48" i="11"/>
  <c r="Z48" i="11"/>
  <c r="AT265" i="17"/>
  <c r="BP101" i="11"/>
  <c r="BQ101" i="11" s="1"/>
  <c r="N186" i="17"/>
  <c r="BZ181" i="17"/>
  <c r="BJ181" i="17"/>
  <c r="AT181" i="17"/>
  <c r="AD181" i="17"/>
  <c r="N151" i="17"/>
  <c r="P17" i="11"/>
  <c r="CO66" i="6"/>
  <c r="AD82" i="12"/>
  <c r="AC114" i="12"/>
  <c r="AC118" i="12" s="1"/>
  <c r="CH109" i="11"/>
  <c r="CM109" i="11"/>
  <c r="AA67" i="6"/>
  <c r="U67" i="6"/>
  <c r="AM66" i="6"/>
  <c r="AS66" i="6"/>
  <c r="DG65" i="6"/>
  <c r="DA65" i="6"/>
  <c r="CR73" i="6"/>
  <c r="CL73" i="6"/>
  <c r="DJ60" i="6"/>
  <c r="DP60" i="6"/>
  <c r="BN60" i="6"/>
  <c r="BT60" i="6"/>
  <c r="AP60" i="6"/>
  <c r="AO11" i="6"/>
  <c r="R60" i="6"/>
  <c r="Q11" i="6"/>
  <c r="BB58" i="6"/>
  <c r="BA9" i="6"/>
  <c r="AP58" i="6"/>
  <c r="AO9" i="6"/>
  <c r="AD58" i="6"/>
  <c r="AC9" i="6"/>
  <c r="R58" i="6"/>
  <c r="Q9" i="6"/>
  <c r="DL74" i="6"/>
  <c r="DL24" i="6"/>
  <c r="DI24" i="6" s="1"/>
  <c r="CN74" i="6"/>
  <c r="CT74" i="6"/>
  <c r="BD24" i="6"/>
  <c r="BA24" i="6" s="1"/>
  <c r="BD74" i="6"/>
  <c r="AR74" i="6"/>
  <c r="AR24" i="6"/>
  <c r="AO24" i="6" s="1"/>
  <c r="AX74" i="6"/>
  <c r="DX70" i="6"/>
  <c r="ED70" i="6"/>
  <c r="DL60" i="6"/>
  <c r="DF60" i="6"/>
  <c r="CN60" i="6"/>
  <c r="CH60" i="6"/>
  <c r="AF60" i="6"/>
  <c r="Z60" i="6"/>
  <c r="AF57" i="6"/>
  <c r="Z57" i="6"/>
  <c r="CQ28" i="6"/>
  <c r="CS77" i="6"/>
  <c r="CE28" i="6"/>
  <c r="CG77" i="6"/>
  <c r="DK73" i="6"/>
  <c r="DE73" i="6"/>
  <c r="M60" i="6"/>
  <c r="M12" i="6"/>
  <c r="S59" i="6"/>
  <c r="Q10" i="6"/>
  <c r="CE56" i="6"/>
  <c r="BY8" i="6"/>
  <c r="BA56" i="6"/>
  <c r="BG56" i="6"/>
  <c r="DI54" i="6"/>
  <c r="DI8" i="6"/>
  <c r="DC54" i="6"/>
  <c r="CW8" i="6"/>
  <c r="CK54" i="6"/>
  <c r="CK8" i="6"/>
  <c r="CP8" i="6" s="1"/>
  <c r="CP57" i="6" s="1"/>
  <c r="BM54" i="6"/>
  <c r="BM8" i="6"/>
  <c r="BA54" i="6"/>
  <c r="BG54" i="6"/>
  <c r="BM45" i="6"/>
  <c r="BR45" i="6" s="1"/>
  <c r="BR94" i="6" s="1"/>
  <c r="DO28" i="6"/>
  <c r="DC28" i="6"/>
  <c r="DO9" i="6"/>
  <c r="DB119" i="11"/>
  <c r="CH119" i="11"/>
  <c r="BN119" i="11"/>
  <c r="Z119" i="11"/>
  <c r="DF105" i="11"/>
  <c r="DG101" i="11"/>
  <c r="CM101" i="11"/>
  <c r="DL15" i="11"/>
  <c r="CW119" i="11"/>
  <c r="CC119" i="11"/>
  <c r="BI119" i="11"/>
  <c r="AO119" i="11"/>
  <c r="U119" i="11"/>
  <c r="BX101" i="11"/>
  <c r="AJ101" i="11"/>
  <c r="AI11" i="6"/>
  <c r="BG30" i="6"/>
  <c r="BC60" i="6"/>
  <c r="BI60" i="6"/>
  <c r="T86" i="6"/>
  <c r="T36" i="6"/>
  <c r="CJ71" i="11"/>
  <c r="CL74" i="11"/>
  <c r="C311" i="2"/>
  <c r="CQ90" i="11"/>
  <c r="ED86" i="6"/>
  <c r="CH86" i="6"/>
  <c r="CD178" i="17"/>
  <c r="AX178" i="17"/>
  <c r="AH178" i="17"/>
  <c r="AN111" i="11"/>
  <c r="CC109" i="11"/>
  <c r="AI111" i="11"/>
  <c r="BG33" i="6"/>
  <c r="CQ30" i="6"/>
  <c r="CE30" i="6"/>
  <c r="CJ30" i="6" s="1"/>
  <c r="CJ79" i="6" s="1"/>
  <c r="BS30" i="6"/>
  <c r="BX30" i="6" s="1"/>
  <c r="BX79" i="6" s="1"/>
  <c r="DJ57" i="6"/>
  <c r="BN57" i="6"/>
  <c r="BJ91" i="6"/>
  <c r="AL91" i="6"/>
  <c r="N93" i="6"/>
  <c r="DO35" i="6"/>
  <c r="CS57" i="6"/>
  <c r="BU57" i="6"/>
  <c r="BU119" i="11"/>
  <c r="BS35" i="6"/>
  <c r="CT222" i="17"/>
  <c r="CT235" i="17" s="1"/>
  <c r="AD104" i="12"/>
  <c r="AE104" i="12" s="1"/>
  <c r="DB222" i="17" s="1"/>
  <c r="S119" i="11"/>
  <c r="BX118" i="11"/>
  <c r="AJ118" i="11"/>
  <c r="BH111" i="11"/>
  <c r="T111" i="11"/>
  <c r="BL41" i="11"/>
  <c r="X41" i="11"/>
  <c r="CC117" i="11"/>
  <c r="BI117" i="11"/>
  <c r="AO117" i="11"/>
  <c r="BS110" i="11"/>
  <c r="AY110" i="11"/>
  <c r="AE110" i="11"/>
  <c r="CW17" i="11"/>
  <c r="CC17" i="11"/>
  <c r="BX17" i="11"/>
  <c r="BI17" i="11"/>
  <c r="AO17" i="11"/>
  <c r="AY67" i="6"/>
  <c r="DS66" i="6"/>
  <c r="O66" i="6"/>
  <c r="CW35" i="6"/>
  <c r="BY35" i="6"/>
  <c r="DO33" i="6"/>
  <c r="CX82" i="6"/>
  <c r="BS33" i="6"/>
  <c r="DC10" i="6"/>
  <c r="DH17" i="6" s="1"/>
  <c r="DH66" i="6" s="1"/>
  <c r="CE10" i="6"/>
  <c r="DV57" i="6"/>
  <c r="CX57" i="6"/>
  <c r="BZ57" i="6"/>
  <c r="E45" i="6"/>
  <c r="J45" i="6" s="1"/>
  <c r="BV91" i="6"/>
  <c r="AX91" i="6"/>
  <c r="Z91" i="6"/>
  <c r="DF90" i="6"/>
  <c r="CH90" i="6"/>
  <c r="BJ90" i="6"/>
  <c r="AL90" i="6"/>
  <c r="DX82" i="6"/>
  <c r="DL82" i="6"/>
  <c r="CB82" i="6"/>
  <c r="BP82" i="6"/>
  <c r="AF82" i="6"/>
  <c r="T82" i="6"/>
  <c r="T24" i="6"/>
  <c r="Q24" i="6" s="1"/>
  <c r="DX68" i="6"/>
  <c r="DL68" i="6"/>
  <c r="CN68" i="6"/>
  <c r="CB68" i="6"/>
  <c r="BP68" i="6"/>
  <c r="BD68" i="6"/>
  <c r="AR68" i="6"/>
  <c r="AF68" i="6"/>
  <c r="T68" i="6"/>
  <c r="DC11" i="6"/>
  <c r="CQ11" i="6"/>
  <c r="BS11" i="6"/>
  <c r="AU11" i="6"/>
  <c r="DL57" i="6"/>
  <c r="CZ57" i="6"/>
  <c r="CN57" i="6"/>
  <c r="CB57" i="6"/>
  <c r="BP57" i="6"/>
  <c r="BD57" i="6"/>
  <c r="AR57" i="6"/>
  <c r="T57" i="6"/>
  <c r="DE77" i="6"/>
  <c r="BI77" i="6"/>
  <c r="CS73" i="6"/>
  <c r="DU10" i="6"/>
  <c r="E10" i="6"/>
  <c r="J17" i="6" s="1"/>
  <c r="DE57" i="6"/>
  <c r="CG57" i="6"/>
  <c r="BC111" i="11"/>
  <c r="O111" i="11"/>
  <c r="P111" i="11" s="1"/>
  <c r="S287" i="17"/>
  <c r="AR282" i="17"/>
  <c r="AR316" i="17" s="1"/>
  <c r="AR318" i="17" s="1"/>
  <c r="BI305" i="17"/>
  <c r="BJ305" i="17" s="1"/>
  <c r="T373" i="12" s="1"/>
  <c r="BH282" i="17"/>
  <c r="BH284" i="17" s="1"/>
  <c r="AB116" i="11"/>
  <c r="AC116" i="11" s="1"/>
  <c r="Z116" i="11"/>
  <c r="BM111" i="11"/>
  <c r="BS109" i="11"/>
  <c r="AS111" i="11"/>
  <c r="AY109" i="11"/>
  <c r="Y111" i="11"/>
  <c r="AE109" i="11"/>
  <c r="CR102" i="11"/>
  <c r="CR111" i="11" s="1"/>
  <c r="CW102" i="11"/>
  <c r="CW111" i="11" s="1"/>
  <c r="R102" i="11"/>
  <c r="S102" i="11" s="1"/>
  <c r="U102" i="11"/>
  <c r="AH42" i="11"/>
  <c r="AC42" i="11"/>
  <c r="CM17" i="11"/>
  <c r="CR17" i="11"/>
  <c r="AY17" i="11"/>
  <c r="BD17" i="11"/>
  <c r="AE17" i="11"/>
  <c r="AJ17" i="11"/>
  <c r="W17" i="11"/>
  <c r="X17" i="11" s="1"/>
  <c r="U17" i="11"/>
  <c r="Z17" i="11"/>
  <c r="DM67" i="6"/>
  <c r="DS67" i="6"/>
  <c r="CO67" i="6"/>
  <c r="CU67" i="6"/>
  <c r="BQ67" i="6"/>
  <c r="BW67" i="6"/>
  <c r="DF74" i="6"/>
  <c r="CH74" i="6"/>
  <c r="BJ74" i="6"/>
  <c r="AL74" i="6"/>
  <c r="DJ73" i="6"/>
  <c r="BN73" i="6"/>
  <c r="AG67" i="6"/>
  <c r="DM66" i="6"/>
  <c r="BQ66" i="6"/>
  <c r="U66" i="6"/>
  <c r="DM65" i="6"/>
  <c r="CO65" i="6"/>
  <c r="CN24" i="6"/>
  <c r="BP24" i="6"/>
  <c r="BM24" i="6" s="1"/>
  <c r="AF74" i="6"/>
  <c r="CP42" i="11"/>
  <c r="CU119" i="11"/>
  <c r="Y179" i="12"/>
  <c r="DK103" i="11"/>
  <c r="DL102" i="11"/>
  <c r="DL111" i="11" s="1"/>
  <c r="DK105" i="11"/>
  <c r="BZ102" i="11"/>
  <c r="U174" i="12" s="1"/>
  <c r="BX102" i="11"/>
  <c r="BX111" i="11" s="1"/>
  <c r="BF102" i="11"/>
  <c r="BG102" i="11" s="1"/>
  <c r="BD102" i="11"/>
  <c r="AL102" i="11"/>
  <c r="M174" i="12" s="1"/>
  <c r="AJ102" i="11"/>
  <c r="BV42" i="11"/>
  <c r="BQ42" i="11"/>
  <c r="CU41" i="11"/>
  <c r="CP41" i="11"/>
  <c r="CA41" i="11"/>
  <c r="BV41" i="11"/>
  <c r="BG41" i="11"/>
  <c r="BB41" i="11"/>
  <c r="AM41" i="11"/>
  <c r="AH41" i="11"/>
  <c r="S41" i="11"/>
  <c r="N41" i="11"/>
  <c r="CI65" i="6"/>
  <c r="DP63" i="6"/>
  <c r="CF73" i="6"/>
  <c r="AU28" i="6"/>
  <c r="T74" i="6"/>
  <c r="K11" i="6"/>
  <c r="CA119" i="11"/>
  <c r="BG119" i="11"/>
  <c r="BS118" i="11"/>
  <c r="AE319" i="17"/>
  <c r="AE321" i="17" s="1"/>
  <c r="DO11" i="6"/>
  <c r="DB118" i="11"/>
  <c r="CH118" i="11"/>
  <c r="AT118" i="11"/>
  <c r="Z118" i="11"/>
  <c r="DK126" i="11"/>
  <c r="DF113" i="11"/>
  <c r="AW42" i="11"/>
  <c r="DD73" i="6"/>
  <c r="AI316" i="17"/>
  <c r="AI318" i="17" s="1"/>
  <c r="AA319" i="17"/>
  <c r="AA321" i="17" s="1"/>
  <c r="BX110" i="11"/>
  <c r="BD110" i="11"/>
  <c r="AJ110" i="11"/>
  <c r="DG110" i="11"/>
  <c r="BZ82" i="6"/>
  <c r="DL72" i="6"/>
  <c r="CN72" i="6"/>
  <c r="CQ105" i="11"/>
  <c r="CT102" i="11"/>
  <c r="AV82" i="6"/>
  <c r="AU33" i="6"/>
  <c r="X82" i="6"/>
  <c r="W33" i="6"/>
  <c r="BB73" i="6"/>
  <c r="BH73" i="6"/>
  <c r="DO23" i="6"/>
  <c r="DU72" i="6" s="1"/>
  <c r="DX72" i="6"/>
  <c r="AK77" i="6"/>
  <c r="AI28" i="6"/>
  <c r="BC57" i="6"/>
  <c r="BI57" i="6"/>
  <c r="CE35" i="6"/>
  <c r="BG28" i="6"/>
  <c r="DE119" i="11"/>
  <c r="M119" i="11"/>
  <c r="BK101" i="11"/>
  <c r="DA105" i="11"/>
  <c r="CB105" i="11"/>
  <c r="CV47" i="11"/>
  <c r="CV49" i="11" s="1"/>
  <c r="V265" i="17"/>
  <c r="AV101" i="11"/>
  <c r="AB101" i="11"/>
  <c r="S316" i="17"/>
  <c r="S318" i="17" s="1"/>
  <c r="S284" i="17"/>
  <c r="AW305" i="17"/>
  <c r="AX305" i="17" s="1"/>
  <c r="Q373" i="12" s="1"/>
  <c r="AV282" i="17"/>
  <c r="AV284" i="17" s="1"/>
  <c r="M179" i="12"/>
  <c r="AM119" i="11"/>
  <c r="AQ316" i="17"/>
  <c r="AQ318" i="17" s="1"/>
  <c r="AU316" i="17"/>
  <c r="AU318" i="17" s="1"/>
  <c r="X308" i="17"/>
  <c r="Y303" i="17"/>
  <c r="Y285" i="17" s="1"/>
  <c r="DC35" i="6"/>
  <c r="BG35" i="6"/>
  <c r="AR86" i="6"/>
  <c r="AR36" i="6"/>
  <c r="AF86" i="6"/>
  <c r="AF36" i="6"/>
  <c r="BR74" i="11"/>
  <c r="BR76" i="11" s="1"/>
  <c r="N86" i="6"/>
  <c r="N36" i="6"/>
  <c r="CH208" i="17"/>
  <c r="BR208" i="17"/>
  <c r="BB208" i="17"/>
  <c r="AL208" i="17"/>
  <c r="V208" i="17"/>
  <c r="DG117" i="11"/>
  <c r="CM117" i="11"/>
  <c r="BS117" i="11"/>
  <c r="AY117" i="11"/>
  <c r="AE117" i="11"/>
  <c r="CW110" i="11"/>
  <c r="CC110" i="11"/>
  <c r="BI110" i="11"/>
  <c r="AO110" i="11"/>
  <c r="U110" i="11"/>
  <c r="AV102" i="11"/>
  <c r="AB102" i="11"/>
  <c r="AB17" i="11"/>
  <c r="K144" i="12" s="1"/>
  <c r="AA30" i="11" s="1"/>
  <c r="DU35" i="6"/>
  <c r="DI35" i="6"/>
  <c r="CK35" i="6"/>
  <c r="E35" i="6"/>
  <c r="DC33" i="6"/>
  <c r="CE33" i="6"/>
  <c r="AI33" i="6"/>
  <c r="DF91" i="6"/>
  <c r="CH91" i="6"/>
  <c r="E33" i="6"/>
  <c r="CZ77" i="6"/>
  <c r="BD77" i="6"/>
  <c r="CW30" i="6"/>
  <c r="BY30" i="6"/>
  <c r="DE60" i="6"/>
  <c r="DI10" i="6"/>
  <c r="CK10" i="6"/>
  <c r="BM10" i="6"/>
  <c r="BR17" i="6" s="1"/>
  <c r="BR66" i="6" s="1"/>
  <c r="DI119" i="11"/>
  <c r="AG119" i="11"/>
  <c r="CY101" i="11"/>
  <c r="AQ101" i="11"/>
  <c r="DU30" i="6"/>
  <c r="DI30" i="6"/>
  <c r="CK30" i="6"/>
  <c r="BM30" i="6"/>
  <c r="CE11" i="6"/>
  <c r="BG11" i="6"/>
  <c r="U117" i="11"/>
  <c r="DD102" i="11"/>
  <c r="DD126" i="11" s="1"/>
  <c r="DF126" i="11"/>
  <c r="CF42" i="11"/>
  <c r="CA42" i="11"/>
  <c r="BL42" i="11"/>
  <c r="BG42" i="11"/>
  <c r="AR42" i="11"/>
  <c r="AM42" i="11"/>
  <c r="X42" i="11"/>
  <c r="S42" i="11"/>
  <c r="CF62" i="6"/>
  <c r="DD62" i="6"/>
  <c r="CE47" i="6"/>
  <c r="T430" i="12"/>
  <c r="BW81" i="11"/>
  <c r="T267" i="12"/>
  <c r="T263" i="12"/>
  <c r="BW11" i="11"/>
  <c r="BG47" i="6"/>
  <c r="P430" i="12"/>
  <c r="BC81" i="11"/>
  <c r="P267" i="12"/>
  <c r="P263" i="12"/>
  <c r="BC11" i="11"/>
  <c r="AI47" i="6"/>
  <c r="L430" i="12"/>
  <c r="AI81" i="11"/>
  <c r="L267" i="12"/>
  <c r="L263" i="12"/>
  <c r="AI11" i="11"/>
  <c r="K47" i="6"/>
  <c r="H430" i="12"/>
  <c r="O81" i="11"/>
  <c r="H267" i="12"/>
  <c r="H263" i="12"/>
  <c r="O11" i="11"/>
  <c r="BL220" i="17"/>
  <c r="BM220" i="17" s="1"/>
  <c r="BN220" i="17" s="1"/>
  <c r="BO220" i="17" s="1"/>
  <c r="BN221" i="17"/>
  <c r="BL60" i="17"/>
  <c r="BM60" i="17" s="1"/>
  <c r="BN60" i="17" s="1"/>
  <c r="BO60" i="17" s="1"/>
  <c r="BN61" i="17"/>
  <c r="CL167" i="17"/>
  <c r="CJ166" i="17"/>
  <c r="CK166" i="17" s="1"/>
  <c r="CL166" i="17" s="1"/>
  <c r="CM166" i="17" s="1"/>
  <c r="CJ163" i="17"/>
  <c r="CK163" i="17" s="1"/>
  <c r="CL163" i="17" s="1"/>
  <c r="CM163" i="17" s="1"/>
  <c r="CL164" i="17"/>
  <c r="CL177" i="17" s="1"/>
  <c r="G271" i="2"/>
  <c r="G269" i="2"/>
  <c r="E269" i="2"/>
  <c r="CX279" i="17"/>
  <c r="E270" i="2"/>
  <c r="CX278" i="17"/>
  <c r="E268" i="2"/>
  <c r="G267" i="2"/>
  <c r="CV277" i="17"/>
  <c r="CN15" i="17"/>
  <c r="CJ15" i="17"/>
  <c r="CF15" i="17"/>
  <c r="BX15" i="17"/>
  <c r="BT15" i="17"/>
  <c r="BT121" i="17" s="1"/>
  <c r="BP15" i="17"/>
  <c r="BP121" i="17" s="1"/>
  <c r="BH15" i="17"/>
  <c r="BD15" i="17"/>
  <c r="AZ15" i="17"/>
  <c r="AR15" i="17"/>
  <c r="AN15" i="17"/>
  <c r="AJ15" i="17"/>
  <c r="AB15" i="17"/>
  <c r="X15" i="17"/>
  <c r="T15" i="17"/>
  <c r="L15" i="17"/>
  <c r="CP13" i="17"/>
  <c r="CJ13" i="17"/>
  <c r="CH13" i="17"/>
  <c r="CB13" i="17"/>
  <c r="BZ13" i="17"/>
  <c r="BT13" i="17"/>
  <c r="BR13" i="17"/>
  <c r="BL13" i="17"/>
  <c r="BJ13" i="17"/>
  <c r="BD13" i="17"/>
  <c r="BB13" i="17"/>
  <c r="AV13" i="17"/>
  <c r="AT13" i="17"/>
  <c r="AN13" i="17"/>
  <c r="AL13" i="17"/>
  <c r="AF13" i="17"/>
  <c r="AD13" i="17"/>
  <c r="X13" i="17"/>
  <c r="V13" i="17"/>
  <c r="P13" i="17"/>
  <c r="N13" i="17"/>
  <c r="CP11" i="17"/>
  <c r="CJ11" i="17"/>
  <c r="CH11" i="17"/>
  <c r="CB11" i="17"/>
  <c r="BZ11" i="17"/>
  <c r="BT11" i="17"/>
  <c r="BR11" i="17"/>
  <c r="BL11" i="17"/>
  <c r="BJ11" i="17"/>
  <c r="BD11" i="17"/>
  <c r="BB11" i="17"/>
  <c r="AV11" i="17"/>
  <c r="AT11" i="17"/>
  <c r="AN11" i="17"/>
  <c r="AL11" i="17"/>
  <c r="AF11" i="17"/>
  <c r="AD11" i="17"/>
  <c r="X11" i="17"/>
  <c r="V11" i="17"/>
  <c r="P11" i="17"/>
  <c r="N11" i="17"/>
  <c r="CN9" i="17"/>
  <c r="CL9" i="17"/>
  <c r="CF9" i="17"/>
  <c r="CD9" i="17"/>
  <c r="BX9" i="17"/>
  <c r="BV9" i="17"/>
  <c r="BP9" i="17"/>
  <c r="BN9" i="17"/>
  <c r="BH9" i="17"/>
  <c r="BF9" i="17"/>
  <c r="AZ9" i="17"/>
  <c r="AX9" i="17"/>
  <c r="AR9" i="17"/>
  <c r="AP9" i="17"/>
  <c r="AJ9" i="17"/>
  <c r="AH9" i="17"/>
  <c r="AB9" i="17"/>
  <c r="Z9" i="17"/>
  <c r="T9" i="17"/>
  <c r="R9" i="17"/>
  <c r="L9" i="17"/>
  <c r="CQ246" i="17"/>
  <c r="CQ247" i="17"/>
  <c r="CL240" i="17"/>
  <c r="CL14" i="17" s="1"/>
  <c r="CJ240" i="17"/>
  <c r="CJ14" i="17" s="1"/>
  <c r="CH240" i="17"/>
  <c r="CH14" i="17" s="1"/>
  <c r="CF240" i="17"/>
  <c r="CF14" i="17" s="1"/>
  <c r="CD240" i="17"/>
  <c r="CD14" i="17" s="1"/>
  <c r="CB240" i="17"/>
  <c r="CB14" i="17" s="1"/>
  <c r="BZ240" i="17"/>
  <c r="BZ14" i="17" s="1"/>
  <c r="BV240" i="17"/>
  <c r="BV14" i="17" s="1"/>
  <c r="BT240" i="17"/>
  <c r="BT14" i="17" s="1"/>
  <c r="BR240" i="17"/>
  <c r="BR14" i="17" s="1"/>
  <c r="BP240" i="17"/>
  <c r="BP14" i="17" s="1"/>
  <c r="BN240" i="17"/>
  <c r="BN14" i="17" s="1"/>
  <c r="BL240" i="17"/>
  <c r="BL14" i="17" s="1"/>
  <c r="BJ256" i="17"/>
  <c r="BJ257" i="17" s="1"/>
  <c r="BJ240" i="17"/>
  <c r="BJ14" i="17" s="1"/>
  <c r="BJ226" i="17"/>
  <c r="BH256" i="17"/>
  <c r="BH257" i="17" s="1"/>
  <c r="BH240" i="17"/>
  <c r="BH14" i="17" s="1"/>
  <c r="BH226" i="17"/>
  <c r="BF256" i="17"/>
  <c r="BF257" i="17" s="1"/>
  <c r="BF240" i="17"/>
  <c r="BF14" i="17" s="1"/>
  <c r="BF226" i="17"/>
  <c r="BD256" i="17"/>
  <c r="BD257" i="17" s="1"/>
  <c r="BD240" i="17"/>
  <c r="BD14" i="17" s="1"/>
  <c r="BD226" i="17"/>
  <c r="BB256" i="17"/>
  <c r="BB257" i="17" s="1"/>
  <c r="BB240" i="17"/>
  <c r="BB14" i="17" s="1"/>
  <c r="BB226" i="17"/>
  <c r="AZ256" i="17"/>
  <c r="AZ257" i="17" s="1"/>
  <c r="AZ240" i="17"/>
  <c r="AZ14" i="17" s="1"/>
  <c r="AZ226" i="17"/>
  <c r="AX256" i="17"/>
  <c r="AX257" i="17" s="1"/>
  <c r="AX240" i="17"/>
  <c r="AX14" i="17" s="1"/>
  <c r="AX226" i="17"/>
  <c r="AV256" i="17"/>
  <c r="AV257" i="17" s="1"/>
  <c r="AV240" i="17"/>
  <c r="AV14" i="17" s="1"/>
  <c r="AV226" i="17"/>
  <c r="AT256" i="17"/>
  <c r="AT257" i="17" s="1"/>
  <c r="AT240" i="17"/>
  <c r="AT14" i="17" s="1"/>
  <c r="AT226" i="17"/>
  <c r="AR256" i="17"/>
  <c r="AR257" i="17" s="1"/>
  <c r="AR240" i="17"/>
  <c r="AR14" i="17" s="1"/>
  <c r="AR226" i="17"/>
  <c r="AP256" i="17"/>
  <c r="AP257" i="17" s="1"/>
  <c r="AP240" i="17"/>
  <c r="AP14" i="17" s="1"/>
  <c r="AP226" i="17"/>
  <c r="AN256" i="17"/>
  <c r="AN257" i="17" s="1"/>
  <c r="AN240" i="17"/>
  <c r="AN14" i="17" s="1"/>
  <c r="AN226" i="17"/>
  <c r="AL256" i="17"/>
  <c r="AL257" i="17" s="1"/>
  <c r="AL240" i="17"/>
  <c r="AL14" i="17" s="1"/>
  <c r="AL226" i="17"/>
  <c r="AJ256" i="17"/>
  <c r="AJ257" i="17" s="1"/>
  <c r="AJ240" i="17"/>
  <c r="AJ14" i="17" s="1"/>
  <c r="AJ226" i="17"/>
  <c r="AH256" i="17"/>
  <c r="AH257" i="17" s="1"/>
  <c r="AH240" i="17"/>
  <c r="AH14" i="17" s="1"/>
  <c r="AH226" i="17"/>
  <c r="AF256" i="17"/>
  <c r="AF257" i="17" s="1"/>
  <c r="AF240" i="17"/>
  <c r="AF14" i="17" s="1"/>
  <c r="AF226" i="17"/>
  <c r="AD256" i="17"/>
  <c r="AD257" i="17" s="1"/>
  <c r="AD240" i="17"/>
  <c r="AD14" i="17" s="1"/>
  <c r="AD226" i="17"/>
  <c r="AB256" i="17"/>
  <c r="AB257" i="17" s="1"/>
  <c r="AB240" i="17"/>
  <c r="AB14" i="17" s="1"/>
  <c r="AB226" i="17"/>
  <c r="Z256" i="17"/>
  <c r="Z257" i="17" s="1"/>
  <c r="Z240" i="17"/>
  <c r="Z14" i="17" s="1"/>
  <c r="Z226" i="17"/>
  <c r="X256" i="17"/>
  <c r="X257" i="17" s="1"/>
  <c r="X240" i="17"/>
  <c r="X14" i="17" s="1"/>
  <c r="X226" i="17"/>
  <c r="V256" i="17"/>
  <c r="V257" i="17" s="1"/>
  <c r="V240" i="17"/>
  <c r="V14" i="17" s="1"/>
  <c r="V226" i="17"/>
  <c r="T256" i="17"/>
  <c r="T257" i="17" s="1"/>
  <c r="T240" i="17"/>
  <c r="T14" i="17" s="1"/>
  <c r="T226" i="17"/>
  <c r="R256" i="17"/>
  <c r="R257" i="17" s="1"/>
  <c r="R240" i="17"/>
  <c r="R14" i="17" s="1"/>
  <c r="R226" i="17"/>
  <c r="P256" i="17"/>
  <c r="P257" i="17" s="1"/>
  <c r="P240" i="17"/>
  <c r="P14" i="17" s="1"/>
  <c r="P226" i="17"/>
  <c r="N256" i="17"/>
  <c r="N257" i="17" s="1"/>
  <c r="N240" i="17"/>
  <c r="N14" i="17" s="1"/>
  <c r="N226" i="17"/>
  <c r="L256" i="17"/>
  <c r="L257" i="17" s="1"/>
  <c r="L240" i="17"/>
  <c r="L14" i="17" s="1"/>
  <c r="L226" i="17"/>
  <c r="J256" i="17"/>
  <c r="J257" i="17" s="1"/>
  <c r="J240" i="17"/>
  <c r="J14" i="17" s="1"/>
  <c r="J226" i="17"/>
  <c r="H256" i="17"/>
  <c r="H257" i="17" s="1"/>
  <c r="H240" i="17"/>
  <c r="H14" i="17" s="1"/>
  <c r="H226" i="17"/>
  <c r="CP12" i="17"/>
  <c r="G121" i="2" s="1"/>
  <c r="CN12" i="17"/>
  <c r="E121" i="2" s="1"/>
  <c r="CH12" i="17"/>
  <c r="CF12" i="17"/>
  <c r="BZ12" i="17"/>
  <c r="BX12" i="17"/>
  <c r="BR12" i="17"/>
  <c r="BP12" i="17"/>
  <c r="BJ183" i="17"/>
  <c r="BJ169" i="17"/>
  <c r="BH183" i="17"/>
  <c r="BH169" i="17"/>
  <c r="BF183" i="17"/>
  <c r="BF169" i="17"/>
  <c r="BD183" i="17"/>
  <c r="BD169" i="17"/>
  <c r="BB183" i="17"/>
  <c r="BB169" i="17"/>
  <c r="AZ183" i="17"/>
  <c r="AZ169" i="17"/>
  <c r="AX183" i="17"/>
  <c r="AX169" i="17"/>
  <c r="AV183" i="17"/>
  <c r="AV169" i="17"/>
  <c r="AT183" i="17"/>
  <c r="AT169" i="17"/>
  <c r="AR183" i="17"/>
  <c r="AR169" i="17"/>
  <c r="AP183" i="17"/>
  <c r="AP169" i="17"/>
  <c r="AN183" i="17"/>
  <c r="AN169" i="17"/>
  <c r="AL183" i="17"/>
  <c r="AL169" i="17"/>
  <c r="AJ183" i="17"/>
  <c r="AJ169" i="17"/>
  <c r="AH183" i="17"/>
  <c r="AH169" i="17"/>
  <c r="AF183" i="17"/>
  <c r="AF169" i="17"/>
  <c r="AD183" i="17"/>
  <c r="AD169" i="17"/>
  <c r="AB183" i="17"/>
  <c r="AB169" i="17"/>
  <c r="Z183" i="17"/>
  <c r="Z169" i="17"/>
  <c r="X183" i="17"/>
  <c r="X169" i="17"/>
  <c r="V183" i="17"/>
  <c r="V169" i="17"/>
  <c r="T183" i="17"/>
  <c r="T169" i="17"/>
  <c r="R183" i="17"/>
  <c r="R169" i="17"/>
  <c r="P183" i="17"/>
  <c r="P169" i="17"/>
  <c r="N183" i="17"/>
  <c r="N169" i="17"/>
  <c r="L183" i="17"/>
  <c r="L169" i="17"/>
  <c r="J183" i="17"/>
  <c r="J12" i="17" s="1"/>
  <c r="J169" i="17"/>
  <c r="H183" i="17"/>
  <c r="H12" i="17" s="1"/>
  <c r="H169" i="17"/>
  <c r="H182" i="17" s="1"/>
  <c r="CP130" i="17"/>
  <c r="CK10" i="17"/>
  <c r="CI10" i="17"/>
  <c r="CH130" i="17"/>
  <c r="CC10" i="17"/>
  <c r="CA10" i="17"/>
  <c r="BZ130" i="17"/>
  <c r="BU10" i="17"/>
  <c r="BS10" i="17"/>
  <c r="BR130" i="17"/>
  <c r="BM10" i="17"/>
  <c r="BK10" i="17"/>
  <c r="BJ130" i="17"/>
  <c r="BE10" i="17"/>
  <c r="BC10" i="17"/>
  <c r="BB130" i="17"/>
  <c r="AW10" i="17"/>
  <c r="AU10" i="17"/>
  <c r="AT130" i="17"/>
  <c r="AO10" i="17"/>
  <c r="AM10" i="17"/>
  <c r="AL130" i="17"/>
  <c r="AG10" i="17"/>
  <c r="AE10" i="17"/>
  <c r="AD130" i="17"/>
  <c r="Y10" i="17"/>
  <c r="W10" i="17"/>
  <c r="V130" i="17"/>
  <c r="Q10" i="17"/>
  <c r="O10" i="17"/>
  <c r="N130" i="17"/>
  <c r="CO86" i="17"/>
  <c r="CO8" i="17" s="1"/>
  <c r="F117" i="2" s="1"/>
  <c r="CK86" i="17"/>
  <c r="CK8" i="17" s="1"/>
  <c r="CG86" i="17"/>
  <c r="CG8" i="17" s="1"/>
  <c r="CC86" i="17"/>
  <c r="CC8" i="17" s="1"/>
  <c r="BY86" i="17"/>
  <c r="BY8" i="17" s="1"/>
  <c r="BU86" i="17"/>
  <c r="BU8" i="17" s="1"/>
  <c r="BQ86" i="17"/>
  <c r="BQ8" i="17" s="1"/>
  <c r="BM86" i="17"/>
  <c r="BM8" i="17" s="1"/>
  <c r="BI103" i="17"/>
  <c r="BI104" i="17" s="1"/>
  <c r="BI86" i="17"/>
  <c r="BI8" i="17" s="1"/>
  <c r="BI69" i="17"/>
  <c r="BG103" i="17"/>
  <c r="BG104" i="17" s="1"/>
  <c r="BG86" i="17"/>
  <c r="BG8" i="17" s="1"/>
  <c r="BG69" i="17"/>
  <c r="BE103" i="17"/>
  <c r="BE104" i="17" s="1"/>
  <c r="BE86" i="17"/>
  <c r="BE8" i="17" s="1"/>
  <c r="BE69" i="17"/>
  <c r="BC103" i="17"/>
  <c r="BC104" i="17" s="1"/>
  <c r="BC86" i="17"/>
  <c r="BC8" i="17" s="1"/>
  <c r="BC69" i="17"/>
  <c r="BA103" i="17"/>
  <c r="BA104" i="17" s="1"/>
  <c r="BA86" i="17"/>
  <c r="BA8" i="17" s="1"/>
  <c r="BA69" i="17"/>
  <c r="AY103" i="17"/>
  <c r="AY104" i="17" s="1"/>
  <c r="AY86" i="17"/>
  <c r="AY8" i="17" s="1"/>
  <c r="AY69" i="17"/>
  <c r="AW103" i="17"/>
  <c r="AW104" i="17" s="1"/>
  <c r="AW86" i="17"/>
  <c r="AW8" i="17" s="1"/>
  <c r="AW69" i="17"/>
  <c r="AU103" i="17"/>
  <c r="AU104" i="17" s="1"/>
  <c r="AU86" i="17"/>
  <c r="AU8" i="17" s="1"/>
  <c r="AU69" i="17"/>
  <c r="AS103" i="17"/>
  <c r="AS104" i="17" s="1"/>
  <c r="AS86" i="17"/>
  <c r="AS8" i="17" s="1"/>
  <c r="AS69" i="17"/>
  <c r="AQ103" i="17"/>
  <c r="AQ104" i="17" s="1"/>
  <c r="AQ86" i="17"/>
  <c r="AQ8" i="17" s="1"/>
  <c r="AQ69" i="17"/>
  <c r="AO103" i="17"/>
  <c r="AO104" i="17" s="1"/>
  <c r="AO86" i="17"/>
  <c r="AO8" i="17" s="1"/>
  <c r="AO69" i="17"/>
  <c r="AM103" i="17"/>
  <c r="AM104" i="17" s="1"/>
  <c r="AM86" i="17"/>
  <c r="AM8" i="17" s="1"/>
  <c r="AM69" i="17"/>
  <c r="AK103" i="17"/>
  <c r="AK104" i="17" s="1"/>
  <c r="AK86" i="17"/>
  <c r="AK8" i="17" s="1"/>
  <c r="AK69" i="17"/>
  <c r="AI103" i="17"/>
  <c r="AI104" i="17" s="1"/>
  <c r="AI86" i="17"/>
  <c r="AI8" i="17" s="1"/>
  <c r="AI69" i="17"/>
  <c r="AG103" i="17"/>
  <c r="AG104" i="17" s="1"/>
  <c r="AG86" i="17"/>
  <c r="AG8" i="17" s="1"/>
  <c r="AG69" i="17"/>
  <c r="AE103" i="17"/>
  <c r="AE104" i="17" s="1"/>
  <c r="AE86" i="17"/>
  <c r="AE8" i="17" s="1"/>
  <c r="AE69" i="17"/>
  <c r="AC103" i="17"/>
  <c r="AC104" i="17" s="1"/>
  <c r="AC86" i="17"/>
  <c r="AC8" i="17" s="1"/>
  <c r="AC69" i="17"/>
  <c r="AA103" i="17"/>
  <c r="AA104" i="17" s="1"/>
  <c r="AA86" i="17"/>
  <c r="AA8" i="17" s="1"/>
  <c r="AA69" i="17"/>
  <c r="Y103" i="17"/>
  <c r="Y104" i="17" s="1"/>
  <c r="Y86" i="17"/>
  <c r="Y8" i="17" s="1"/>
  <c r="Y69" i="17"/>
  <c r="W103" i="17"/>
  <c r="W104" i="17" s="1"/>
  <c r="W86" i="17"/>
  <c r="W8" i="17" s="1"/>
  <c r="W69" i="17"/>
  <c r="U103" i="17"/>
  <c r="U104" i="17" s="1"/>
  <c r="U86" i="17"/>
  <c r="U8" i="17" s="1"/>
  <c r="U69" i="17"/>
  <c r="S103" i="17"/>
  <c r="S104" i="17" s="1"/>
  <c r="S86" i="17"/>
  <c r="S8" i="17" s="1"/>
  <c r="S69" i="17"/>
  <c r="Q103" i="17"/>
  <c r="Q104" i="17" s="1"/>
  <c r="Q86" i="17"/>
  <c r="Q8" i="17" s="1"/>
  <c r="Q69" i="17"/>
  <c r="O103" i="17"/>
  <c r="O104" i="17" s="1"/>
  <c r="O86" i="17"/>
  <c r="O8" i="17" s="1"/>
  <c r="O69" i="17"/>
  <c r="M103" i="17"/>
  <c r="M104" i="17" s="1"/>
  <c r="M86" i="17"/>
  <c r="M8" i="17" s="1"/>
  <c r="M69" i="17"/>
  <c r="K103" i="17"/>
  <c r="K104" i="17" s="1"/>
  <c r="K86" i="17"/>
  <c r="K8" i="17" s="1"/>
  <c r="K69" i="17"/>
  <c r="I103" i="17"/>
  <c r="I104" i="17" s="1"/>
  <c r="I86" i="17"/>
  <c r="I8" i="17" s="1"/>
  <c r="I69" i="17"/>
  <c r="G103" i="17"/>
  <c r="G104" i="17" s="1"/>
  <c r="G69" i="17"/>
  <c r="CO7" i="17"/>
  <c r="CP47" i="17"/>
  <c r="CM52" i="17"/>
  <c r="CM7" i="17"/>
  <c r="D116" i="2" s="1"/>
  <c r="CK7" i="17"/>
  <c r="CI7" i="17"/>
  <c r="CG7" i="17"/>
  <c r="CH47" i="17"/>
  <c r="CX51" i="11" s="1"/>
  <c r="CE52" i="17"/>
  <c r="CE7" i="17"/>
  <c r="CC7" i="17"/>
  <c r="CA7" i="17"/>
  <c r="BY7" i="17"/>
  <c r="BZ47" i="17"/>
  <c r="CN51" i="11" s="1"/>
  <c r="BW52" i="17"/>
  <c r="BW7" i="17"/>
  <c r="BU7" i="17"/>
  <c r="BS7" i="17"/>
  <c r="BQ7" i="17"/>
  <c r="BR47" i="17"/>
  <c r="CD51" i="11" s="1"/>
  <c r="BO52" i="17"/>
  <c r="BO7" i="17"/>
  <c r="BM7" i="17"/>
  <c r="BK7" i="17"/>
  <c r="BI7" i="17"/>
  <c r="BJ47" i="17"/>
  <c r="BT51" i="11" s="1"/>
  <c r="BG52" i="17"/>
  <c r="BG7" i="17"/>
  <c r="BE7" i="17"/>
  <c r="BC7" i="17"/>
  <c r="BA7" i="17"/>
  <c r="BB47" i="17"/>
  <c r="BJ51" i="11" s="1"/>
  <c r="AY52" i="17"/>
  <c r="AY7" i="17"/>
  <c r="AW7" i="17"/>
  <c r="AU7" i="17"/>
  <c r="AS7" i="17"/>
  <c r="AT47" i="17"/>
  <c r="AZ51" i="11" s="1"/>
  <c r="AQ52" i="17"/>
  <c r="AQ7" i="17"/>
  <c r="AO7" i="17"/>
  <c r="AM7" i="17"/>
  <c r="AK7" i="17"/>
  <c r="AL47" i="17"/>
  <c r="AP51" i="11" s="1"/>
  <c r="AI52" i="17"/>
  <c r="AI7" i="17"/>
  <c r="AG7" i="17"/>
  <c r="AE7" i="17"/>
  <c r="AC7" i="17"/>
  <c r="AD47" i="17"/>
  <c r="AF51" i="11" s="1"/>
  <c r="AA52" i="17"/>
  <c r="AA7" i="17"/>
  <c r="Y7" i="17"/>
  <c r="W7" i="17"/>
  <c r="U7" i="17"/>
  <c r="V47" i="17"/>
  <c r="V51" i="11" s="1"/>
  <c r="S52" i="17"/>
  <c r="S7" i="17"/>
  <c r="Q7" i="17"/>
  <c r="O7" i="17"/>
  <c r="M7" i="17"/>
  <c r="N47" i="17"/>
  <c r="L51" i="11" s="1"/>
  <c r="K7" i="17"/>
  <c r="AA120" i="8"/>
  <c r="X126" i="8"/>
  <c r="W120" i="8"/>
  <c r="T126" i="8"/>
  <c r="S120" i="8"/>
  <c r="P126" i="8"/>
  <c r="O120" i="8"/>
  <c r="L126" i="8"/>
  <c r="K120" i="8"/>
  <c r="O62" i="21"/>
  <c r="O51" i="21"/>
  <c r="O63" i="21" s="1"/>
  <c r="K62" i="21"/>
  <c r="K51" i="21"/>
  <c r="K63" i="21" s="1"/>
  <c r="AB770" i="7"/>
  <c r="EE16" i="6"/>
  <c r="EE65" i="6" s="1"/>
  <c r="AB692" i="7"/>
  <c r="AB697" i="7" s="1"/>
  <c r="E231" i="2"/>
  <c r="AA63" i="8"/>
  <c r="AA146" i="8"/>
  <c r="AA78" i="8"/>
  <c r="AA79" i="8" s="1"/>
  <c r="AA52" i="8"/>
  <c r="Y63" i="8"/>
  <c r="Y146" i="8"/>
  <c r="Y78" i="8"/>
  <c r="Y79" i="8" s="1"/>
  <c r="Y52" i="8"/>
  <c r="U63" i="8"/>
  <c r="U78" i="8"/>
  <c r="U79" i="8" s="1"/>
  <c r="U52" i="8"/>
  <c r="Q63" i="8"/>
  <c r="Q78" i="8"/>
  <c r="Q79" i="8" s="1"/>
  <c r="Q52" i="8"/>
  <c r="M63" i="8"/>
  <c r="M78" i="8"/>
  <c r="M79" i="8" s="1"/>
  <c r="M52" i="8"/>
  <c r="I63" i="8"/>
  <c r="I78" i="8"/>
  <c r="I79" i="8" s="1"/>
  <c r="I52" i="8"/>
  <c r="DA35" i="6"/>
  <c r="W781" i="7"/>
  <c r="W411" i="7"/>
  <c r="W405" i="7"/>
  <c r="CC35" i="6"/>
  <c r="S781" i="7"/>
  <c r="S411" i="7"/>
  <c r="S405" i="7"/>
  <c r="BE35" i="6"/>
  <c r="O781" i="7"/>
  <c r="O411" i="7"/>
  <c r="O405" i="7"/>
  <c r="AG35" i="6"/>
  <c r="U35" i="6"/>
  <c r="I35" i="6"/>
  <c r="EB24" i="6"/>
  <c r="EB73" i="6" s="1"/>
  <c r="AB706" i="7"/>
  <c r="AC256" i="7"/>
  <c r="X230" i="7"/>
  <c r="V230" i="7"/>
  <c r="Y233" i="7"/>
  <c r="T230" i="7"/>
  <c r="W233" i="7"/>
  <c r="R230" i="7"/>
  <c r="U233" i="7"/>
  <c r="P230" i="7"/>
  <c r="S233" i="7"/>
  <c r="N230" i="7"/>
  <c r="L230" i="7"/>
  <c r="AA260" i="7"/>
  <c r="AA182" i="8"/>
  <c r="AA175" i="8"/>
  <c r="Y260" i="7"/>
  <c r="Y182" i="8"/>
  <c r="Y175" i="8"/>
  <c r="U260" i="7"/>
  <c r="U182" i="8"/>
  <c r="U175" i="8"/>
  <c r="U167" i="8"/>
  <c r="Q260" i="7"/>
  <c r="Q182" i="8"/>
  <c r="Q175" i="8"/>
  <c r="Q167" i="8"/>
  <c r="M260" i="7"/>
  <c r="M182" i="8"/>
  <c r="M175" i="8"/>
  <c r="M167" i="8"/>
  <c r="I182" i="8"/>
  <c r="I175" i="8"/>
  <c r="I167" i="8"/>
  <c r="C189" i="2"/>
  <c r="AT189" i="2" s="1"/>
  <c r="Z127" i="7"/>
  <c r="Z118" i="7"/>
  <c r="Z180" i="7"/>
  <c r="Z115" i="7"/>
  <c r="Z77" i="7"/>
  <c r="V127" i="7"/>
  <c r="V118" i="7"/>
  <c r="V180" i="7"/>
  <c r="V115" i="7"/>
  <c r="V77" i="7"/>
  <c r="R127" i="7"/>
  <c r="R118" i="7"/>
  <c r="R180" i="7"/>
  <c r="R115" i="7"/>
  <c r="R77" i="7"/>
  <c r="N127" i="7"/>
  <c r="N118" i="7"/>
  <c r="N180" i="7"/>
  <c r="N115" i="7"/>
  <c r="N77" i="7"/>
  <c r="EJ42" i="6"/>
  <c r="EJ91" i="6" s="1"/>
  <c r="AC696" i="7"/>
  <c r="AD483" i="7"/>
  <c r="EJ41" i="6"/>
  <c r="AC695" i="7"/>
  <c r="AD482" i="7"/>
  <c r="DX43" i="6"/>
  <c r="DX40" i="6" s="1"/>
  <c r="AA507" i="7"/>
  <c r="AA496" i="7"/>
  <c r="AF479" i="7"/>
  <c r="AA651" i="7"/>
  <c r="AA641" i="7"/>
  <c r="Y510" i="7"/>
  <c r="Y499" i="7"/>
  <c r="Y490" i="7"/>
  <c r="Y491" i="7" s="1"/>
  <c r="Y478" i="7"/>
  <c r="W510" i="7"/>
  <c r="W499" i="7"/>
  <c r="W490" i="7"/>
  <c r="W568" i="7" s="1"/>
  <c r="W569" i="7" s="1"/>
  <c r="W478" i="7"/>
  <c r="U510" i="7"/>
  <c r="U499" i="7"/>
  <c r="U491" i="7"/>
  <c r="U478" i="7"/>
  <c r="S510" i="7"/>
  <c r="S499" i="7"/>
  <c r="S491" i="7"/>
  <c r="Q510" i="7"/>
  <c r="Q499" i="7"/>
  <c r="Q491" i="7"/>
  <c r="O510" i="7"/>
  <c r="O499" i="7"/>
  <c r="O491" i="7"/>
  <c r="M510" i="7"/>
  <c r="M499" i="7"/>
  <c r="M491" i="7"/>
  <c r="EJ35" i="6"/>
  <c r="EJ84" i="6" s="1"/>
  <c r="AC755" i="7"/>
  <c r="AD398" i="7"/>
  <c r="AE398" i="7" s="1"/>
  <c r="AC656" i="7"/>
  <c r="AD420" i="7"/>
  <c r="AE420" i="7" s="1"/>
  <c r="EJ32" i="6"/>
  <c r="EJ81" i="6" s="1"/>
  <c r="AD300" i="7"/>
  <c r="D215" i="2"/>
  <c r="AA626" i="7"/>
  <c r="AA637" i="7" s="1"/>
  <c r="AA281" i="7"/>
  <c r="AA291" i="7"/>
  <c r="AA267" i="7"/>
  <c r="AA289" i="7" s="1"/>
  <c r="AA262" i="7"/>
  <c r="EJ26" i="6"/>
  <c r="EJ75" i="6" s="1"/>
  <c r="AD254" i="7"/>
  <c r="AA168" i="7"/>
  <c r="AA164" i="7"/>
  <c r="AA588" i="7" s="1"/>
  <c r="AA173" i="7"/>
  <c r="CB18" i="6"/>
  <c r="EJ10" i="6"/>
  <c r="EJ59" i="6" s="1"/>
  <c r="AC745" i="7"/>
  <c r="AC425" i="7"/>
  <c r="AD48" i="7"/>
  <c r="AE48" i="7" s="1"/>
  <c r="R450" i="7"/>
  <c r="R439" i="7"/>
  <c r="P450" i="7"/>
  <c r="P439" i="7"/>
  <c r="N450" i="7"/>
  <c r="N439" i="7"/>
  <c r="L450" i="7"/>
  <c r="L439" i="7"/>
  <c r="AA449" i="7"/>
  <c r="AA438" i="7"/>
  <c r="Y449" i="7"/>
  <c r="Y438" i="7"/>
  <c r="W449" i="7"/>
  <c r="W438" i="7"/>
  <c r="U449" i="7"/>
  <c r="U438" i="7"/>
  <c r="S449" i="7"/>
  <c r="S438" i="7"/>
  <c r="Q449" i="7"/>
  <c r="Q438" i="7"/>
  <c r="O449" i="7"/>
  <c r="O438" i="7"/>
  <c r="M449" i="7"/>
  <c r="M438" i="7"/>
  <c r="AA635" i="7"/>
  <c r="Y635" i="7"/>
  <c r="W35" i="7"/>
  <c r="W36" i="7" s="1"/>
  <c r="W38" i="7"/>
  <c r="W697" i="7"/>
  <c r="W699" i="7" s="1"/>
  <c r="U635" i="7"/>
  <c r="S35" i="7"/>
  <c r="S36" i="7" s="1"/>
  <c r="V37" i="7" s="1"/>
  <c r="S38" i="7"/>
  <c r="V39" i="7" s="1"/>
  <c r="S697" i="7"/>
  <c r="S699" i="7" s="1"/>
  <c r="Q635" i="7"/>
  <c r="O35" i="7"/>
  <c r="O36" i="7" s="1"/>
  <c r="O38" i="7"/>
  <c r="O697" i="7"/>
  <c r="O699" i="7" s="1"/>
  <c r="M635" i="7"/>
  <c r="Z213" i="8"/>
  <c r="Z196" i="8"/>
  <c r="Z654" i="7"/>
  <c r="Z444" i="7"/>
  <c r="Z432" i="7"/>
  <c r="X172" i="8"/>
  <c r="X144" i="8"/>
  <c r="X117" i="8" s="1"/>
  <c r="X179" i="8"/>
  <c r="V172" i="8"/>
  <c r="V144" i="8"/>
  <c r="V179" i="8"/>
  <c r="T172" i="8"/>
  <c r="T144" i="8"/>
  <c r="T179" i="8"/>
  <c r="R172" i="8"/>
  <c r="R144" i="8"/>
  <c r="R179" i="8"/>
  <c r="P172" i="8"/>
  <c r="P144" i="8"/>
  <c r="P179" i="8"/>
  <c r="N172" i="8"/>
  <c r="N144" i="8"/>
  <c r="N179" i="8"/>
  <c r="L172" i="8"/>
  <c r="L144" i="8"/>
  <c r="L179" i="8"/>
  <c r="J172" i="8"/>
  <c r="J144" i="8"/>
  <c r="J179" i="8"/>
  <c r="H172" i="8"/>
  <c r="H144" i="8"/>
  <c r="H179" i="8"/>
  <c r="EC45" i="6"/>
  <c r="EC94" i="6" s="1"/>
  <c r="AB741" i="7"/>
  <c r="AC520" i="7"/>
  <c r="EC30" i="6"/>
  <c r="EC79" i="6" s="1"/>
  <c r="AC202" i="7"/>
  <c r="E207" i="2" s="1"/>
  <c r="W238" i="7"/>
  <c r="S238" i="7"/>
  <c r="O238" i="7"/>
  <c r="AA181" i="7"/>
  <c r="AA128" i="7"/>
  <c r="AA119" i="7"/>
  <c r="AA236" i="7" s="1"/>
  <c r="AA82" i="7"/>
  <c r="Y181" i="7"/>
  <c r="Y128" i="7"/>
  <c r="Y119" i="7"/>
  <c r="Y236" i="7" s="1"/>
  <c r="Y82" i="7"/>
  <c r="U181" i="7"/>
  <c r="U128" i="7"/>
  <c r="U119" i="7"/>
  <c r="U236" i="7" s="1"/>
  <c r="U82" i="7"/>
  <c r="Q181" i="7"/>
  <c r="Q128" i="7"/>
  <c r="Q119" i="7"/>
  <c r="Q236" i="7" s="1"/>
  <c r="Q82" i="7"/>
  <c r="M181" i="7"/>
  <c r="M128" i="7"/>
  <c r="M119" i="7"/>
  <c r="M236" i="7" s="1"/>
  <c r="M82" i="7"/>
  <c r="EG6" i="6"/>
  <c r="EG55" i="6" s="1"/>
  <c r="AD8" i="7"/>
  <c r="AE8" i="7" s="1"/>
  <c r="AA180" i="8"/>
  <c r="AA173" i="8"/>
  <c r="Y193" i="8"/>
  <c r="Y248" i="8"/>
  <c r="Y197" i="8"/>
  <c r="Y228" i="7" s="1"/>
  <c r="W248" i="8"/>
  <c r="W197" i="8"/>
  <c r="W228" i="7" s="1"/>
  <c r="U248" i="8"/>
  <c r="U197" i="8"/>
  <c r="U228" i="7" s="1"/>
  <c r="S248" i="8"/>
  <c r="S197" i="8"/>
  <c r="S228" i="7" s="1"/>
  <c r="Q248" i="8"/>
  <c r="Q197" i="8"/>
  <c r="Q228" i="7" s="1"/>
  <c r="O248" i="8"/>
  <c r="O197" i="8"/>
  <c r="O228" i="7" s="1"/>
  <c r="M248" i="8"/>
  <c r="M197" i="8"/>
  <c r="M228" i="7" s="1"/>
  <c r="K248" i="8"/>
  <c r="K197" i="8"/>
  <c r="I248" i="8"/>
  <c r="I197" i="8"/>
  <c r="G250" i="8"/>
  <c r="AA218" i="7"/>
  <c r="AA216" i="7"/>
  <c r="AA217" i="7"/>
  <c r="Q9" i="21"/>
  <c r="Q10" i="21" s="1"/>
  <c r="Y459" i="12"/>
  <c r="Q78" i="21"/>
  <c r="Q77" i="21"/>
  <c r="Q88" i="21"/>
  <c r="Q75" i="21"/>
  <c r="Q74" i="21"/>
  <c r="Q73" i="21"/>
  <c r="Q72" i="21"/>
  <c r="Q71" i="21"/>
  <c r="Q70" i="21"/>
  <c r="Q7" i="21"/>
  <c r="O9" i="21"/>
  <c r="O10" i="21" s="1"/>
  <c r="W459" i="12"/>
  <c r="O78" i="21"/>
  <c r="O77" i="21"/>
  <c r="O76" i="21"/>
  <c r="O75" i="21"/>
  <c r="O74" i="21"/>
  <c r="O73" i="21"/>
  <c r="O72" i="21"/>
  <c r="O71" i="21"/>
  <c r="O70" i="21"/>
  <c r="O7" i="21"/>
  <c r="M9" i="21"/>
  <c r="M10" i="21" s="1"/>
  <c r="U459" i="12"/>
  <c r="M78" i="21"/>
  <c r="M77" i="21"/>
  <c r="M76" i="21"/>
  <c r="M75" i="21"/>
  <c r="M74" i="21"/>
  <c r="M73" i="21"/>
  <c r="M72" i="21"/>
  <c r="M71" i="21"/>
  <c r="M70" i="21"/>
  <c r="M7" i="21"/>
  <c r="K9" i="21"/>
  <c r="K10" i="21" s="1"/>
  <c r="S459" i="12"/>
  <c r="K78" i="21"/>
  <c r="K77" i="21"/>
  <c r="K76" i="21"/>
  <c r="K75" i="21"/>
  <c r="K74" i="21"/>
  <c r="K73" i="21"/>
  <c r="K72" i="21"/>
  <c r="K71" i="21"/>
  <c r="K70" i="21"/>
  <c r="K7" i="21"/>
  <c r="Q218" i="7"/>
  <c r="Q216" i="7"/>
  <c r="Q217" i="7"/>
  <c r="G9" i="21"/>
  <c r="G10" i="21" s="1"/>
  <c r="O459" i="12"/>
  <c r="G78" i="21"/>
  <c r="G77" i="21"/>
  <c r="G76" i="21"/>
  <c r="G75" i="21"/>
  <c r="G74" i="21"/>
  <c r="G73" i="21"/>
  <c r="G72" i="21"/>
  <c r="G71" i="21"/>
  <c r="G70" i="21"/>
  <c r="G7" i="21"/>
  <c r="E9" i="21"/>
  <c r="E10" i="21" s="1"/>
  <c r="M459" i="12"/>
  <c r="E78" i="21"/>
  <c r="E77" i="21"/>
  <c r="E76" i="21"/>
  <c r="E75" i="21"/>
  <c r="E74" i="21"/>
  <c r="E73" i="21"/>
  <c r="E72" i="21"/>
  <c r="E71" i="21"/>
  <c r="E70" i="21"/>
  <c r="E7" i="21"/>
  <c r="AA43" i="8"/>
  <c r="AA18" i="8"/>
  <c r="AA11" i="8"/>
  <c r="AA8" i="8"/>
  <c r="Y43" i="8"/>
  <c r="Y24" i="8"/>
  <c r="Y18" i="8"/>
  <c r="Y11" i="8"/>
  <c r="Y8" i="8"/>
  <c r="U43" i="8"/>
  <c r="U24" i="8"/>
  <c r="U18" i="8"/>
  <c r="U11" i="8"/>
  <c r="U8" i="8"/>
  <c r="Q43" i="8"/>
  <c r="Q24" i="8"/>
  <c r="Q18" i="8"/>
  <c r="Q11" i="8"/>
  <c r="Q8" i="8"/>
  <c r="M43" i="8"/>
  <c r="M24" i="8"/>
  <c r="M18" i="8"/>
  <c r="M11" i="8"/>
  <c r="M8" i="8"/>
  <c r="I43" i="8"/>
  <c r="I24" i="8"/>
  <c r="I18" i="8"/>
  <c r="I11" i="8"/>
  <c r="I8" i="8"/>
  <c r="Z58" i="8"/>
  <c r="Z47" i="8"/>
  <c r="Z69" i="8" s="1"/>
  <c r="X58" i="8"/>
  <c r="X47" i="8"/>
  <c r="X69" i="8" s="1"/>
  <c r="V102" i="8"/>
  <c r="V82" i="8"/>
  <c r="T58" i="8"/>
  <c r="T47" i="8"/>
  <c r="T69" i="8" s="1"/>
  <c r="R102" i="8"/>
  <c r="R82" i="8"/>
  <c r="P58" i="8"/>
  <c r="P47" i="8"/>
  <c r="P69" i="8" s="1"/>
  <c r="N102" i="8"/>
  <c r="N82" i="8"/>
  <c r="L58" i="8"/>
  <c r="L47" i="8"/>
  <c r="L69" i="8" s="1"/>
  <c r="O70" i="8" s="1"/>
  <c r="J102" i="8"/>
  <c r="J82" i="8"/>
  <c r="H58" i="8"/>
  <c r="H47" i="8"/>
  <c r="H69" i="8" s="1"/>
  <c r="K70" i="8" s="1"/>
  <c r="Y61" i="8"/>
  <c r="Y50" i="8"/>
  <c r="W61" i="8"/>
  <c r="W50" i="8"/>
  <c r="U61" i="8"/>
  <c r="U50" i="8"/>
  <c r="S61" i="8"/>
  <c r="S50" i="8"/>
  <c r="Q61" i="8"/>
  <c r="Q50" i="8"/>
  <c r="O61" i="8"/>
  <c r="O50" i="8"/>
  <c r="M61" i="8"/>
  <c r="M50" i="8"/>
  <c r="K61" i="8"/>
  <c r="K50" i="8"/>
  <c r="I61" i="8"/>
  <c r="I50" i="8"/>
  <c r="T43" i="8"/>
  <c r="T24" i="8"/>
  <c r="T18" i="8"/>
  <c r="T11" i="8"/>
  <c r="T8" i="8"/>
  <c r="L43" i="8"/>
  <c r="L24" i="8"/>
  <c r="L18" i="8"/>
  <c r="L11" i="8"/>
  <c r="L8" i="8"/>
  <c r="Y58" i="8"/>
  <c r="Y47" i="8"/>
  <c r="Y69" i="8" s="1"/>
  <c r="U82" i="8"/>
  <c r="U102" i="8"/>
  <c r="Q58" i="8"/>
  <c r="Q47" i="8"/>
  <c r="Q69" i="8" s="1"/>
  <c r="M82" i="8"/>
  <c r="M102" i="8"/>
  <c r="I58" i="8"/>
  <c r="I47" i="8"/>
  <c r="I69" i="8" s="1"/>
  <c r="L70" i="8" s="1"/>
  <c r="Z61" i="8"/>
  <c r="Z50" i="8"/>
  <c r="E177" i="2"/>
  <c r="AV177" i="2" s="1"/>
  <c r="BY47" i="6"/>
  <c r="S430" i="12"/>
  <c r="S267" i="12"/>
  <c r="S263" i="12"/>
  <c r="BR11" i="11"/>
  <c r="BR81" i="11"/>
  <c r="BA47" i="6"/>
  <c r="O430" i="12"/>
  <c r="O267" i="12"/>
  <c r="O263" i="12"/>
  <c r="AX11" i="11"/>
  <c r="AX81" i="11"/>
  <c r="AC47" i="6"/>
  <c r="K430" i="12"/>
  <c r="K267" i="12"/>
  <c r="K263" i="12"/>
  <c r="AD11" i="11"/>
  <c r="AD81" i="11"/>
  <c r="E47" i="6"/>
  <c r="G430" i="12"/>
  <c r="G267" i="12"/>
  <c r="G269" i="12" s="1"/>
  <c r="J11" i="11"/>
  <c r="J81" i="11"/>
  <c r="BF330" i="17"/>
  <c r="S384" i="12"/>
  <c r="BB330" i="17"/>
  <c r="R384" i="12"/>
  <c r="AX330" i="17"/>
  <c r="Q384" i="12"/>
  <c r="AT330" i="17"/>
  <c r="P384" i="12"/>
  <c r="AP330" i="17"/>
  <c r="AP300" i="17"/>
  <c r="O384" i="12"/>
  <c r="AL330" i="17"/>
  <c r="N384" i="12"/>
  <c r="AH330" i="17"/>
  <c r="M384" i="12"/>
  <c r="AD330" i="17"/>
  <c r="L384" i="12"/>
  <c r="Z330" i="17"/>
  <c r="K384" i="12"/>
  <c r="V330" i="17"/>
  <c r="J384" i="12"/>
  <c r="R330" i="17"/>
  <c r="I384" i="12"/>
  <c r="CW281" i="17"/>
  <c r="D271" i="2"/>
  <c r="F269" i="2"/>
  <c r="D269" i="2"/>
  <c r="CL327" i="17"/>
  <c r="AA381" i="12"/>
  <c r="CD327" i="17"/>
  <c r="Y381" i="12"/>
  <c r="BV327" i="17"/>
  <c r="W381" i="12"/>
  <c r="BN327" i="17"/>
  <c r="U381" i="12"/>
  <c r="BF327" i="17"/>
  <c r="S381" i="12"/>
  <c r="AX327" i="17"/>
  <c r="Q381" i="12"/>
  <c r="AP327" i="17"/>
  <c r="O381" i="12"/>
  <c r="AH327" i="17"/>
  <c r="M381" i="12"/>
  <c r="Z327" i="17"/>
  <c r="K381" i="12"/>
  <c r="R327" i="17"/>
  <c r="I381" i="12"/>
  <c r="F270" i="2"/>
  <c r="CP326" i="17"/>
  <c r="AB380" i="12"/>
  <c r="D270" i="2"/>
  <c r="CL326" i="17"/>
  <c r="AA380" i="12"/>
  <c r="CD326" i="17"/>
  <c r="Y380" i="12"/>
  <c r="BV326" i="17"/>
  <c r="W380" i="12"/>
  <c r="BN326" i="17"/>
  <c r="U380" i="12"/>
  <c r="BF326" i="17"/>
  <c r="S380" i="12"/>
  <c r="AX326" i="17"/>
  <c r="Q380" i="12"/>
  <c r="AP326" i="17"/>
  <c r="O380" i="12"/>
  <c r="AH326" i="17"/>
  <c r="M380" i="12"/>
  <c r="Z326" i="17"/>
  <c r="K380" i="12"/>
  <c r="R326" i="17"/>
  <c r="I380" i="12"/>
  <c r="F268" i="2"/>
  <c r="CU278" i="17"/>
  <c r="D268" i="2"/>
  <c r="CL325" i="17"/>
  <c r="AA379" i="12"/>
  <c r="CD325" i="17"/>
  <c r="Y379" i="12"/>
  <c r="BV325" i="17"/>
  <c r="W379" i="12"/>
  <c r="BN325" i="17"/>
  <c r="U379" i="12"/>
  <c r="BF325" i="17"/>
  <c r="S379" i="12"/>
  <c r="AX325" i="17"/>
  <c r="Q379" i="12"/>
  <c r="AP325" i="17"/>
  <c r="O379" i="12"/>
  <c r="AH325" i="17"/>
  <c r="M379" i="12"/>
  <c r="Z325" i="17"/>
  <c r="K379" i="12"/>
  <c r="R325" i="17"/>
  <c r="I379" i="12"/>
  <c r="CP324" i="17"/>
  <c r="AB378" i="12"/>
  <c r="CY277" i="17"/>
  <c r="BF324" i="17"/>
  <c r="S378" i="12"/>
  <c r="BB324" i="17"/>
  <c r="R378" i="12"/>
  <c r="AX324" i="17"/>
  <c r="Q378" i="12"/>
  <c r="AT324" i="17"/>
  <c r="P378" i="12"/>
  <c r="AP324" i="17"/>
  <c r="O378" i="12"/>
  <c r="AL324" i="17"/>
  <c r="N378" i="12"/>
  <c r="AH324" i="17"/>
  <c r="M378" i="12"/>
  <c r="AD324" i="17"/>
  <c r="L378" i="12"/>
  <c r="Z324" i="17"/>
  <c r="K378" i="12"/>
  <c r="V324" i="17"/>
  <c r="J378" i="12"/>
  <c r="R324" i="17"/>
  <c r="I378" i="12"/>
  <c r="AP329" i="17"/>
  <c r="AP297" i="17"/>
  <c r="O383" i="12"/>
  <c r="CO15" i="17"/>
  <c r="CK15" i="17"/>
  <c r="CG15" i="17"/>
  <c r="CC15" i="17"/>
  <c r="BY15" i="17"/>
  <c r="BU15" i="17"/>
  <c r="BU121" i="17" s="1"/>
  <c r="BQ15" i="17"/>
  <c r="BQ121" i="17" s="1"/>
  <c r="BM15" i="17"/>
  <c r="BM121" i="17" s="1"/>
  <c r="BI15" i="17"/>
  <c r="BE15" i="17"/>
  <c r="BA15" i="17"/>
  <c r="AW15" i="17"/>
  <c r="AS15" i="17"/>
  <c r="AO15" i="17"/>
  <c r="AK15" i="17"/>
  <c r="AG15" i="17"/>
  <c r="AC15" i="17"/>
  <c r="Y15" i="17"/>
  <c r="U15" i="17"/>
  <c r="Q15" i="17"/>
  <c r="M15" i="17"/>
  <c r="CM13" i="17"/>
  <c r="CI13" i="17"/>
  <c r="CE13" i="17"/>
  <c r="CA13" i="17"/>
  <c r="BW13" i="17"/>
  <c r="BS13" i="17"/>
  <c r="BO13" i="17"/>
  <c r="BK13" i="17"/>
  <c r="BG13" i="17"/>
  <c r="BC13" i="17"/>
  <c r="AY13" i="17"/>
  <c r="AU13" i="17"/>
  <c r="AQ13" i="17"/>
  <c r="AM13" i="17"/>
  <c r="AI13" i="17"/>
  <c r="AE13" i="17"/>
  <c r="AA13" i="17"/>
  <c r="W13" i="17"/>
  <c r="S13" i="17"/>
  <c r="O13" i="17"/>
  <c r="K13" i="17"/>
  <c r="CM11" i="17"/>
  <c r="CP202" i="17"/>
  <c r="CI11" i="17"/>
  <c r="CE11" i="17"/>
  <c r="CH202" i="17"/>
  <c r="CA11" i="17"/>
  <c r="BW11" i="17"/>
  <c r="BZ202" i="17"/>
  <c r="BS11" i="17"/>
  <c r="BO11" i="17"/>
  <c r="BR202" i="17"/>
  <c r="BK11" i="17"/>
  <c r="BG11" i="17"/>
  <c r="BC11" i="17"/>
  <c r="AY11" i="17"/>
  <c r="AU11" i="17"/>
  <c r="AQ11" i="17"/>
  <c r="AM11" i="17"/>
  <c r="AI11" i="17"/>
  <c r="AE11" i="17"/>
  <c r="AA11" i="17"/>
  <c r="W11" i="17"/>
  <c r="S11" i="17"/>
  <c r="O11" i="17"/>
  <c r="K11" i="17"/>
  <c r="CO9" i="17"/>
  <c r="CP145" i="17"/>
  <c r="CK9" i="17"/>
  <c r="CL145" i="17"/>
  <c r="CK146" i="17" s="1"/>
  <c r="CG9" i="17"/>
  <c r="CH145" i="17"/>
  <c r="CG146" i="17" s="1"/>
  <c r="CC9" i="17"/>
  <c r="CD145" i="17"/>
  <c r="CC146" i="17" s="1"/>
  <c r="BY9" i="17"/>
  <c r="BZ145" i="17"/>
  <c r="BU9" i="17"/>
  <c r="BV145" i="17"/>
  <c r="BU146" i="17" s="1"/>
  <c r="BQ9" i="17"/>
  <c r="BR145" i="17"/>
  <c r="BQ146" i="17" s="1"/>
  <c r="BM9" i="17"/>
  <c r="BN145" i="17"/>
  <c r="BM146" i="17" s="1"/>
  <c r="BI9" i="17"/>
  <c r="BJ145" i="17"/>
  <c r="BE9" i="17"/>
  <c r="BF145" i="17"/>
  <c r="BE146" i="17" s="1"/>
  <c r="BA9" i="17"/>
  <c r="BB145" i="17"/>
  <c r="BA146" i="17" s="1"/>
  <c r="AW9" i="17"/>
  <c r="AX145" i="17"/>
  <c r="AW146" i="17" s="1"/>
  <c r="AS9" i="17"/>
  <c r="AT145" i="17"/>
  <c r="AO9" i="17"/>
  <c r="AP145" i="17"/>
  <c r="AO146" i="17" s="1"/>
  <c r="AK9" i="17"/>
  <c r="AL145" i="17"/>
  <c r="AK146" i="17" s="1"/>
  <c r="AG9" i="17"/>
  <c r="AH145" i="17"/>
  <c r="AG146" i="17" s="1"/>
  <c r="AC9" i="17"/>
  <c r="AD145" i="17"/>
  <c r="Y9" i="17"/>
  <c r="Z145" i="17"/>
  <c r="Y146" i="17" s="1"/>
  <c r="U9" i="17"/>
  <c r="V145" i="17"/>
  <c r="U146" i="17" s="1"/>
  <c r="Q9" i="17"/>
  <c r="R145" i="17"/>
  <c r="Q146" i="17" s="1"/>
  <c r="M9" i="17"/>
  <c r="N145" i="17"/>
  <c r="CO240" i="17"/>
  <c r="CO14" i="17" s="1"/>
  <c r="F123" i="2" s="1"/>
  <c r="CK240" i="17"/>
  <c r="CK14" i="17" s="1"/>
  <c r="CG240" i="17"/>
  <c r="CG14" i="17" s="1"/>
  <c r="CC240" i="17"/>
  <c r="CC14" i="17" s="1"/>
  <c r="BY240" i="17"/>
  <c r="BY14" i="17" s="1"/>
  <c r="BU240" i="17"/>
  <c r="BU14" i="17" s="1"/>
  <c r="BQ240" i="17"/>
  <c r="BQ14" i="17" s="1"/>
  <c r="BM240" i="17"/>
  <c r="BM14" i="17" s="1"/>
  <c r="BI248" i="17"/>
  <c r="BI246" i="17"/>
  <c r="BI241" i="17"/>
  <c r="BG246" i="17"/>
  <c r="BG241" i="17"/>
  <c r="BJ229" i="17"/>
  <c r="BJ248" i="17" s="1"/>
  <c r="BE246" i="17"/>
  <c r="BE241" i="17"/>
  <c r="BE248" i="17"/>
  <c r="BC246" i="17"/>
  <c r="BC241" i="17"/>
  <c r="BF229" i="17"/>
  <c r="BF248" i="17" s="1"/>
  <c r="BA248" i="17"/>
  <c r="BA246" i="17"/>
  <c r="BA241" i="17"/>
  <c r="AY246" i="17"/>
  <c r="AY241" i="17"/>
  <c r="BB229" i="17"/>
  <c r="BD247" i="17" s="1"/>
  <c r="AW246" i="17"/>
  <c r="AW241" i="17"/>
  <c r="AW248" i="17"/>
  <c r="AU246" i="17"/>
  <c r="AU241" i="17"/>
  <c r="AX229" i="17"/>
  <c r="AY247" i="17" s="1"/>
  <c r="AS248" i="17"/>
  <c r="AS246" i="17"/>
  <c r="AS241" i="17"/>
  <c r="AQ246" i="17"/>
  <c r="AQ241" i="17"/>
  <c r="AT229" i="17"/>
  <c r="AV247" i="17" s="1"/>
  <c r="AO246" i="17"/>
  <c r="AO241" i="17"/>
  <c r="AO248" i="17"/>
  <c r="AM246" i="17"/>
  <c r="AM241" i="17"/>
  <c r="AP229" i="17"/>
  <c r="AP248" i="17" s="1"/>
  <c r="AK248" i="17"/>
  <c r="AK246" i="17"/>
  <c r="AK241" i="17"/>
  <c r="AI246" i="17"/>
  <c r="AI241" i="17"/>
  <c r="AL229" i="17"/>
  <c r="AG246" i="17"/>
  <c r="AG241" i="17"/>
  <c r="AG248" i="17"/>
  <c r="AE246" i="17"/>
  <c r="AE241" i="17"/>
  <c r="AH229" i="17"/>
  <c r="AI247" i="17" s="1"/>
  <c r="AC248" i="17"/>
  <c r="AC246" i="17"/>
  <c r="AC241" i="17"/>
  <c r="AA246" i="17"/>
  <c r="AA241" i="17"/>
  <c r="AD229" i="17"/>
  <c r="AF247" i="17" s="1"/>
  <c r="Y246" i="17"/>
  <c r="Y241" i="17"/>
  <c r="Y248" i="17"/>
  <c r="W246" i="17"/>
  <c r="W241" i="17"/>
  <c r="Z229" i="17"/>
  <c r="Z248" i="17" s="1"/>
  <c r="U248" i="17"/>
  <c r="U246" i="17"/>
  <c r="U241" i="17"/>
  <c r="S246" i="17"/>
  <c r="S241" i="17"/>
  <c r="V229" i="17"/>
  <c r="X247" i="17" s="1"/>
  <c r="Q246" i="17"/>
  <c r="Q241" i="17"/>
  <c r="Q248" i="17"/>
  <c r="O246" i="17"/>
  <c r="O241" i="17"/>
  <c r="R229" i="17"/>
  <c r="S247" i="17" s="1"/>
  <c r="M248" i="17"/>
  <c r="M246" i="17"/>
  <c r="M241" i="17"/>
  <c r="K246" i="17"/>
  <c r="K241" i="17"/>
  <c r="N229" i="17"/>
  <c r="P247" i="17" s="1"/>
  <c r="I241" i="17"/>
  <c r="J229" i="17"/>
  <c r="M247" i="17" s="1"/>
  <c r="CO12" i="17"/>
  <c r="CG12" i="17"/>
  <c r="BY12" i="17"/>
  <c r="BV192" i="17"/>
  <c r="BQ12" i="17"/>
  <c r="BN192" i="17"/>
  <c r="BI183" i="17"/>
  <c r="BI169" i="17"/>
  <c r="BG183" i="17"/>
  <c r="BG169" i="17"/>
  <c r="BE183" i="17"/>
  <c r="BE169" i="17"/>
  <c r="BC183" i="17"/>
  <c r="BC169" i="17"/>
  <c r="BA183" i="17"/>
  <c r="BA169" i="17"/>
  <c r="AY183" i="17"/>
  <c r="AY169" i="17"/>
  <c r="AW183" i="17"/>
  <c r="AW169" i="17"/>
  <c r="AU183" i="17"/>
  <c r="AU169" i="17"/>
  <c r="AS183" i="17"/>
  <c r="AS169" i="17"/>
  <c r="AQ183" i="17"/>
  <c r="AQ169" i="17"/>
  <c r="AO183" i="17"/>
  <c r="AO169" i="17"/>
  <c r="AM183" i="17"/>
  <c r="AM169" i="17"/>
  <c r="AK183" i="17"/>
  <c r="AK169" i="17"/>
  <c r="AI183" i="17"/>
  <c r="AI169" i="17"/>
  <c r="AG183" i="17"/>
  <c r="AG169" i="17"/>
  <c r="AE183" i="17"/>
  <c r="AE169" i="17"/>
  <c r="AC183" i="17"/>
  <c r="AC169" i="17"/>
  <c r="AA183" i="17"/>
  <c r="AA169" i="17"/>
  <c r="Y183" i="17"/>
  <c r="Y169" i="17"/>
  <c r="W183" i="17"/>
  <c r="W169" i="17"/>
  <c r="U183" i="17"/>
  <c r="U169" i="17"/>
  <c r="S183" i="17"/>
  <c r="S169" i="17"/>
  <c r="Q183" i="17"/>
  <c r="Q169" i="17"/>
  <c r="O183" i="17"/>
  <c r="O169" i="17"/>
  <c r="M183" i="17"/>
  <c r="M169" i="17"/>
  <c r="K183" i="17"/>
  <c r="K169" i="17"/>
  <c r="I183" i="17"/>
  <c r="I12" i="17" s="1"/>
  <c r="I169" i="17"/>
  <c r="CQ142" i="17"/>
  <c r="CQ129" i="17"/>
  <c r="CN10" i="17"/>
  <c r="CJ10" i="17"/>
  <c r="CF10" i="17"/>
  <c r="CB10" i="17"/>
  <c r="BX10" i="17"/>
  <c r="BT10" i="17"/>
  <c r="BP10" i="17"/>
  <c r="BL10" i="17"/>
  <c r="BH10" i="17"/>
  <c r="BD10" i="17"/>
  <c r="AZ10" i="17"/>
  <c r="AV10" i="17"/>
  <c r="AR10" i="17"/>
  <c r="AN10" i="17"/>
  <c r="AJ10" i="17"/>
  <c r="AF10" i="17"/>
  <c r="AB10" i="17"/>
  <c r="X10" i="17"/>
  <c r="T10" i="17"/>
  <c r="P10" i="17"/>
  <c r="L10" i="17"/>
  <c r="CP94" i="17"/>
  <c r="CL86" i="17"/>
  <c r="CL8" i="17" s="1"/>
  <c r="CH86" i="17"/>
  <c r="CH8" i="17" s="1"/>
  <c r="CH94" i="17"/>
  <c r="CD86" i="17"/>
  <c r="CD8" i="17" s="1"/>
  <c r="BZ86" i="17"/>
  <c r="BZ8" i="17" s="1"/>
  <c r="BZ94" i="17"/>
  <c r="BV86" i="17"/>
  <c r="BV8" i="17" s="1"/>
  <c r="BR86" i="17"/>
  <c r="BR8" i="17" s="1"/>
  <c r="BR94" i="17"/>
  <c r="BN86" i="17"/>
  <c r="BN8" i="17" s="1"/>
  <c r="BJ92" i="17"/>
  <c r="BJ87" i="17"/>
  <c r="BH94" i="17"/>
  <c r="BH92" i="17"/>
  <c r="BH87" i="17"/>
  <c r="BF92" i="17"/>
  <c r="BF87" i="17"/>
  <c r="BD92" i="17"/>
  <c r="BD94" i="17"/>
  <c r="BD87" i="17"/>
  <c r="BB92" i="17"/>
  <c r="BB87" i="17"/>
  <c r="AZ94" i="17"/>
  <c r="AZ92" i="17"/>
  <c r="AZ87" i="17"/>
  <c r="AX92" i="17"/>
  <c r="AX87" i="17"/>
  <c r="AV92" i="17"/>
  <c r="AV94" i="17"/>
  <c r="AV87" i="17"/>
  <c r="AT92" i="17"/>
  <c r="AT87" i="17"/>
  <c r="AR94" i="17"/>
  <c r="AR92" i="17"/>
  <c r="AR87" i="17"/>
  <c r="AP92" i="17"/>
  <c r="AP87" i="17"/>
  <c r="AN92" i="17"/>
  <c r="AN94" i="17"/>
  <c r="AN87" i="17"/>
  <c r="AL92" i="17"/>
  <c r="AL87" i="17"/>
  <c r="AJ94" i="17"/>
  <c r="AJ92" i="17"/>
  <c r="AJ87" i="17"/>
  <c r="AH92" i="17"/>
  <c r="AH87" i="17"/>
  <c r="AF92" i="17"/>
  <c r="AF94" i="17"/>
  <c r="AF87" i="17"/>
  <c r="AD92" i="17"/>
  <c r="AD87" i="17"/>
  <c r="AB94" i="17"/>
  <c r="AB92" i="17"/>
  <c r="AB87" i="17"/>
  <c r="Z92" i="17"/>
  <c r="Z87" i="17"/>
  <c r="X92" i="17"/>
  <c r="X94" i="17"/>
  <c r="X87" i="17"/>
  <c r="V92" i="17"/>
  <c r="V87" i="17"/>
  <c r="T94" i="17"/>
  <c r="T92" i="17"/>
  <c r="T87" i="17"/>
  <c r="R92" i="17"/>
  <c r="R87" i="17"/>
  <c r="P92" i="17"/>
  <c r="P94" i="17"/>
  <c r="P87" i="17"/>
  <c r="N92" i="17"/>
  <c r="N87" i="17"/>
  <c r="L94" i="17"/>
  <c r="L92" i="17"/>
  <c r="L87" i="17"/>
  <c r="J87" i="17"/>
  <c r="H87" i="17"/>
  <c r="CP7" i="17"/>
  <c r="CQ102" i="17"/>
  <c r="CQ52" i="17"/>
  <c r="CQ51" i="17"/>
  <c r="CP53" i="17"/>
  <c r="CL53" i="17"/>
  <c r="CH53" i="17"/>
  <c r="CD53" i="17"/>
  <c r="BZ53" i="17"/>
  <c r="BV53" i="17"/>
  <c r="BR53" i="17"/>
  <c r="BN53" i="17"/>
  <c r="BJ53" i="17"/>
  <c r="BF53" i="17"/>
  <c r="BB53" i="17"/>
  <c r="AX53" i="17"/>
  <c r="AT53" i="17"/>
  <c r="AP53" i="17"/>
  <c r="AL53" i="17"/>
  <c r="AH53" i="17"/>
  <c r="AD53" i="17"/>
  <c r="Z53" i="17"/>
  <c r="V53" i="17"/>
  <c r="R53" i="17"/>
  <c r="N53" i="17"/>
  <c r="CP6" i="17"/>
  <c r="G115" i="2" s="1"/>
  <c r="CP34" i="17"/>
  <c r="CN6" i="17"/>
  <c r="E115" i="2" s="1"/>
  <c r="CL6" i="17"/>
  <c r="CJ6" i="17"/>
  <c r="CH6" i="17"/>
  <c r="CH34" i="17"/>
  <c r="CF6" i="17"/>
  <c r="CD6" i="17"/>
  <c r="CB6" i="17"/>
  <c r="BZ6" i="17"/>
  <c r="BZ34" i="17"/>
  <c r="BX6" i="17"/>
  <c r="BV6" i="17"/>
  <c r="BT6" i="17"/>
  <c r="BR6" i="17"/>
  <c r="BR34" i="17"/>
  <c r="BP6" i="17"/>
  <c r="BN6" i="17"/>
  <c r="BL6" i="17"/>
  <c r="BJ6" i="17"/>
  <c r="BJ34" i="17"/>
  <c r="BH6" i="17"/>
  <c r="BF6" i="17"/>
  <c r="BD6" i="17"/>
  <c r="BB6" i="17"/>
  <c r="BB34" i="17"/>
  <c r="AZ6" i="17"/>
  <c r="AX6" i="17"/>
  <c r="AV6" i="17"/>
  <c r="AT6" i="17"/>
  <c r="AT34" i="17"/>
  <c r="AR6" i="17"/>
  <c r="AP6" i="17"/>
  <c r="AN6" i="17"/>
  <c r="AL6" i="17"/>
  <c r="AL34" i="17"/>
  <c r="AJ6" i="17"/>
  <c r="AH6" i="17"/>
  <c r="AF6" i="17"/>
  <c r="AD6" i="17"/>
  <c r="AD34" i="17"/>
  <c r="AB6" i="17"/>
  <c r="Z6" i="17"/>
  <c r="X6" i="17"/>
  <c r="V6" i="17"/>
  <c r="V34" i="17"/>
  <c r="T6" i="17"/>
  <c r="R6" i="17"/>
  <c r="P6" i="17"/>
  <c r="N6" i="17"/>
  <c r="N34" i="17"/>
  <c r="L6" i="17"/>
  <c r="X120" i="8"/>
  <c r="T120" i="8"/>
  <c r="P120" i="8"/>
  <c r="L120" i="8"/>
  <c r="H120" i="8"/>
  <c r="AA327" i="12"/>
  <c r="Y327" i="12"/>
  <c r="U327" i="12"/>
  <c r="Q327" i="12"/>
  <c r="M327" i="12"/>
  <c r="I327" i="12"/>
  <c r="Q789" i="7"/>
  <c r="Q790" i="7" s="1"/>
  <c r="M789" i="7"/>
  <c r="P62" i="21"/>
  <c r="P51" i="21"/>
  <c r="P63" i="21" s="1"/>
  <c r="L62" i="21"/>
  <c r="L51" i="21"/>
  <c r="L63" i="21" s="1"/>
  <c r="AB769" i="7"/>
  <c r="EE17" i="6"/>
  <c r="E233" i="2"/>
  <c r="AA121" i="8"/>
  <c r="Y121" i="8"/>
  <c r="U121" i="8"/>
  <c r="Q121" i="8"/>
  <c r="M121" i="8"/>
  <c r="I121" i="8"/>
  <c r="V146" i="8"/>
  <c r="V78" i="8"/>
  <c r="V52" i="8"/>
  <c r="V63" i="8"/>
  <c r="R78" i="8"/>
  <c r="R52" i="8"/>
  <c r="R63" i="8"/>
  <c r="N78" i="8"/>
  <c r="N52" i="8"/>
  <c r="N63" i="8"/>
  <c r="J78" i="8"/>
  <c r="J52" i="8"/>
  <c r="J63" i="8"/>
  <c r="CU35" i="6"/>
  <c r="V781" i="7"/>
  <c r="V411" i="7"/>
  <c r="V405" i="7"/>
  <c r="BW35" i="6"/>
  <c r="R781" i="7"/>
  <c r="R411" i="7"/>
  <c r="R405" i="7"/>
  <c r="AY35" i="6"/>
  <c r="N781" i="7"/>
  <c r="N411" i="7"/>
  <c r="N405" i="7"/>
  <c r="AA35" i="6"/>
  <c r="O35" i="6"/>
  <c r="EB33" i="6"/>
  <c r="AB714" i="7"/>
  <c r="AC323" i="7"/>
  <c r="X715" i="7"/>
  <c r="T715" i="7"/>
  <c r="P715" i="7"/>
  <c r="L715" i="7"/>
  <c r="Y230" i="7"/>
  <c r="W230" i="7"/>
  <c r="Z233" i="7"/>
  <c r="U230" i="7"/>
  <c r="X233" i="7"/>
  <c r="S230" i="7"/>
  <c r="V233" i="7"/>
  <c r="Q230" i="7"/>
  <c r="T233" i="7"/>
  <c r="O230" i="7"/>
  <c r="M230" i="7"/>
  <c r="AA115" i="8"/>
  <c r="G115" i="8"/>
  <c r="Z260" i="7"/>
  <c r="Z182" i="8"/>
  <c r="Z175" i="8"/>
  <c r="X260" i="7"/>
  <c r="X182" i="8"/>
  <c r="X175" i="8"/>
  <c r="T260" i="7"/>
  <c r="T182" i="8"/>
  <c r="T175" i="8"/>
  <c r="T167" i="8"/>
  <c r="P260" i="7"/>
  <c r="P182" i="8"/>
  <c r="P175" i="8"/>
  <c r="P167" i="8"/>
  <c r="L260" i="7"/>
  <c r="L182" i="8"/>
  <c r="L175" i="8"/>
  <c r="L167" i="8"/>
  <c r="H182" i="8"/>
  <c r="H175" i="8"/>
  <c r="H167" i="8"/>
  <c r="Y180" i="7"/>
  <c r="Y115" i="7"/>
  <c r="Y127" i="7"/>
  <c r="Y118" i="7"/>
  <c r="Y77" i="7"/>
  <c r="U180" i="7"/>
  <c r="U115" i="7"/>
  <c r="U127" i="7"/>
  <c r="U118" i="7"/>
  <c r="U77" i="7"/>
  <c r="Q180" i="7"/>
  <c r="Q115" i="7"/>
  <c r="Q127" i="7"/>
  <c r="Q118" i="7"/>
  <c r="Q77" i="7"/>
  <c r="M180" i="7"/>
  <c r="M115" i="7"/>
  <c r="M127" i="7"/>
  <c r="M118" i="7"/>
  <c r="M77" i="7"/>
  <c r="AA613" i="7"/>
  <c r="Y613" i="7"/>
  <c r="U613" i="7"/>
  <c r="Q613" i="7"/>
  <c r="M613" i="7"/>
  <c r="EJ45" i="6"/>
  <c r="EJ94" i="6" s="1"/>
  <c r="AC761" i="7"/>
  <c r="AD521" i="7"/>
  <c r="AE521" i="7" s="1"/>
  <c r="EJ44" i="6"/>
  <c r="EJ93" i="6" s="1"/>
  <c r="AC759" i="7"/>
  <c r="AD486" i="7"/>
  <c r="AE486" i="7" s="1"/>
  <c r="Z499" i="7"/>
  <c r="Z490" i="7"/>
  <c r="Z568" i="7" s="1"/>
  <c r="Z569" i="7" s="1"/>
  <c r="Z478" i="7"/>
  <c r="Z510" i="7"/>
  <c r="DR43" i="6"/>
  <c r="Z507" i="7"/>
  <c r="Z496" i="7"/>
  <c r="Z651" i="7"/>
  <c r="Z641" i="7"/>
  <c r="EJ28" i="6"/>
  <c r="EJ77" i="6" s="1"/>
  <c r="AC747" i="7"/>
  <c r="AD328" i="7"/>
  <c r="AE328" i="7" s="1"/>
  <c r="X626" i="7"/>
  <c r="X637" i="7" s="1"/>
  <c r="X291" i="7"/>
  <c r="X267" i="7"/>
  <c r="X289" i="7" s="1"/>
  <c r="X262" i="7"/>
  <c r="X281" i="7"/>
  <c r="V626" i="7"/>
  <c r="V637" i="7" s="1"/>
  <c r="V291" i="7"/>
  <c r="V267" i="7"/>
  <c r="V289" i="7" s="1"/>
  <c r="V262" i="7"/>
  <c r="V281" i="7"/>
  <c r="T626" i="7"/>
  <c r="T637" i="7" s="1"/>
  <c r="T291" i="7"/>
  <c r="T267" i="7"/>
  <c r="T289" i="7" s="1"/>
  <c r="T262" i="7"/>
  <c r="T281" i="7"/>
  <c r="R626" i="7"/>
  <c r="R637" i="7" s="1"/>
  <c r="R291" i="7"/>
  <c r="R267" i="7"/>
  <c r="R289" i="7" s="1"/>
  <c r="R262" i="7"/>
  <c r="R281" i="7"/>
  <c r="P626" i="7"/>
  <c r="P637" i="7" s="1"/>
  <c r="P291" i="7"/>
  <c r="P267" i="7"/>
  <c r="P289" i="7" s="1"/>
  <c r="P262" i="7"/>
  <c r="P281" i="7"/>
  <c r="N626" i="7"/>
  <c r="N637" i="7" s="1"/>
  <c r="N291" i="7"/>
  <c r="N267" i="7"/>
  <c r="N289" i="7" s="1"/>
  <c r="N262" i="7"/>
  <c r="N281" i="7"/>
  <c r="L626" i="7"/>
  <c r="L637" i="7" s="1"/>
  <c r="L291" i="7"/>
  <c r="L292" i="7" s="1"/>
  <c r="L267" i="7"/>
  <c r="L289" i="7" s="1"/>
  <c r="L262" i="7"/>
  <c r="L281" i="7"/>
  <c r="EJ30" i="6"/>
  <c r="EJ79" i="6" s="1"/>
  <c r="AC753" i="7"/>
  <c r="AD203" i="7"/>
  <c r="AE203" i="7" s="1"/>
  <c r="W244" i="7"/>
  <c r="X247" i="7"/>
  <c r="S244" i="7"/>
  <c r="T247" i="7"/>
  <c r="O244" i="7"/>
  <c r="DR20" i="6"/>
  <c r="DR18" i="6" s="1"/>
  <c r="Z752" i="7"/>
  <c r="Z756" i="7" s="1"/>
  <c r="Z149" i="7"/>
  <c r="Z157" i="7"/>
  <c r="CT20" i="6"/>
  <c r="CT18" i="6" s="1"/>
  <c r="V752" i="7"/>
  <c r="V756" i="7" s="1"/>
  <c r="V149" i="7"/>
  <c r="V157" i="7"/>
  <c r="BV20" i="6"/>
  <c r="BV18" i="6" s="1"/>
  <c r="R752" i="7"/>
  <c r="R756" i="7" s="1"/>
  <c r="R149" i="7"/>
  <c r="R157" i="7"/>
  <c r="AX20" i="6"/>
  <c r="AX18" i="6" s="1"/>
  <c r="N752" i="7"/>
  <c r="N756" i="7" s="1"/>
  <c r="N149" i="7"/>
  <c r="N157" i="7"/>
  <c r="Z20" i="6"/>
  <c r="Z18" i="6" s="1"/>
  <c r="AB173" i="7"/>
  <c r="AB168" i="7"/>
  <c r="AB164" i="7"/>
  <c r="Z173" i="7"/>
  <c r="Z168" i="7"/>
  <c r="Z164" i="7"/>
  <c r="Z588" i="7" s="1"/>
  <c r="AA748" i="7"/>
  <c r="Y748" i="7"/>
  <c r="W748" i="7"/>
  <c r="U748" i="7"/>
  <c r="S748" i="7"/>
  <c r="Q748" i="7"/>
  <c r="O748" i="7"/>
  <c r="M748" i="7"/>
  <c r="EJ9" i="6"/>
  <c r="EJ58" i="6" s="1"/>
  <c r="AC751" i="7"/>
  <c r="AC424" i="7"/>
  <c r="AC438" i="7" s="1"/>
  <c r="AD11" i="7"/>
  <c r="AE11" i="7" s="1"/>
  <c r="AB438" i="7"/>
  <c r="Z449" i="7"/>
  <c r="Z438" i="7"/>
  <c r="X449" i="7"/>
  <c r="X438" i="7"/>
  <c r="V449" i="7"/>
  <c r="V438" i="7"/>
  <c r="T449" i="7"/>
  <c r="T438" i="7"/>
  <c r="R449" i="7"/>
  <c r="R438" i="7"/>
  <c r="P449" i="7"/>
  <c r="P438" i="7"/>
  <c r="N449" i="7"/>
  <c r="N438" i="7"/>
  <c r="L449" i="7"/>
  <c r="L438" i="7"/>
  <c r="Z635" i="7"/>
  <c r="X635" i="7"/>
  <c r="V38" i="7"/>
  <c r="V35" i="7"/>
  <c r="V36" i="7" s="1"/>
  <c r="V697" i="7"/>
  <c r="V699" i="7" s="1"/>
  <c r="T635" i="7"/>
  <c r="R38" i="7"/>
  <c r="U39" i="7" s="1"/>
  <c r="R35" i="7"/>
  <c r="R36" i="7" s="1"/>
  <c r="U37" i="7" s="1"/>
  <c r="R697" i="7"/>
  <c r="R699" i="7" s="1"/>
  <c r="P635" i="7"/>
  <c r="N38" i="7"/>
  <c r="N35" i="7"/>
  <c r="N36" i="7" s="1"/>
  <c r="N697" i="7"/>
  <c r="N699" i="7" s="1"/>
  <c r="L635" i="7"/>
  <c r="AA213" i="8"/>
  <c r="AA196" i="8"/>
  <c r="AA654" i="7"/>
  <c r="AA444" i="7"/>
  <c r="AA432" i="7"/>
  <c r="Y179" i="8"/>
  <c r="Y172" i="8"/>
  <c r="Y144" i="8"/>
  <c r="Y117" i="8" s="1"/>
  <c r="W179" i="8"/>
  <c r="W172" i="8"/>
  <c r="W144" i="8"/>
  <c r="W117" i="8" s="1"/>
  <c r="U179" i="8"/>
  <c r="U172" i="8"/>
  <c r="U144" i="8"/>
  <c r="S179" i="8"/>
  <c r="S172" i="8"/>
  <c r="S144" i="8"/>
  <c r="Q179" i="8"/>
  <c r="Q172" i="8"/>
  <c r="Q144" i="8"/>
  <c r="O179" i="8"/>
  <c r="O172" i="8"/>
  <c r="O144" i="8"/>
  <c r="M179" i="8"/>
  <c r="M172" i="8"/>
  <c r="M144" i="8"/>
  <c r="K179" i="8"/>
  <c r="K172" i="8"/>
  <c r="K144" i="8"/>
  <c r="I179" i="8"/>
  <c r="I172" i="8"/>
  <c r="I144" i="8"/>
  <c r="G179" i="8"/>
  <c r="G144" i="8"/>
  <c r="G158" i="8" s="1"/>
  <c r="AD422" i="7"/>
  <c r="AB122" i="7"/>
  <c r="AC112" i="7"/>
  <c r="AD112" i="7" s="1"/>
  <c r="AE112" i="7" s="1"/>
  <c r="X122" i="7"/>
  <c r="V122" i="7"/>
  <c r="T122" i="7"/>
  <c r="R122" i="7"/>
  <c r="P122" i="7"/>
  <c r="N122" i="7"/>
  <c r="L122" i="7"/>
  <c r="AA423" i="7"/>
  <c r="AA428" i="7" s="1"/>
  <c r="AA182" i="7"/>
  <c r="AA120" i="7"/>
  <c r="AA129" i="7"/>
  <c r="AA113" i="7"/>
  <c r="AA87" i="7"/>
  <c r="Y423" i="7"/>
  <c r="Y428" i="7" s="1"/>
  <c r="Y182" i="7"/>
  <c r="Y120" i="7"/>
  <c r="Y129" i="7"/>
  <c r="Y113" i="7"/>
  <c r="Y87" i="7"/>
  <c r="W423" i="7"/>
  <c r="W428" i="7" s="1"/>
  <c r="W182" i="7"/>
  <c r="W120" i="7"/>
  <c r="W129" i="7"/>
  <c r="W113" i="7"/>
  <c r="W87" i="7"/>
  <c r="U423" i="7"/>
  <c r="U429" i="7" s="1"/>
  <c r="U182" i="7"/>
  <c r="U120" i="7"/>
  <c r="U129" i="7"/>
  <c r="U113" i="7"/>
  <c r="U87" i="7"/>
  <c r="S423" i="7"/>
  <c r="S428" i="7" s="1"/>
  <c r="S182" i="7"/>
  <c r="S120" i="7"/>
  <c r="S129" i="7"/>
  <c r="S113" i="7"/>
  <c r="S87" i="7"/>
  <c r="Q423" i="7"/>
  <c r="Q428" i="7" s="1"/>
  <c r="Q182" i="7"/>
  <c r="Q120" i="7"/>
  <c r="Q129" i="7"/>
  <c r="Q113" i="7"/>
  <c r="Q87" i="7"/>
  <c r="O423" i="7"/>
  <c r="O428" i="7" s="1"/>
  <c r="O182" i="7"/>
  <c r="O120" i="7"/>
  <c r="O129" i="7"/>
  <c r="O113" i="7"/>
  <c r="O87" i="7"/>
  <c r="M423" i="7"/>
  <c r="M428" i="7" s="1"/>
  <c r="M182" i="7"/>
  <c r="M120" i="7"/>
  <c r="M129" i="7"/>
  <c r="M113" i="7"/>
  <c r="M87" i="7"/>
  <c r="EC35" i="6"/>
  <c r="EC84" i="6" s="1"/>
  <c r="AC397" i="7"/>
  <c r="AC396" i="7" s="1"/>
  <c r="EC28" i="6"/>
  <c r="EC77" i="6" s="1"/>
  <c r="AB729" i="7"/>
  <c r="AC326" i="7"/>
  <c r="Z238" i="7"/>
  <c r="X238" i="7"/>
  <c r="AA241" i="7"/>
  <c r="T238" i="7"/>
  <c r="W241" i="7"/>
  <c r="P238" i="7"/>
  <c r="S241" i="7"/>
  <c r="L238" i="7"/>
  <c r="I188" i="8"/>
  <c r="I195" i="8" s="1"/>
  <c r="C204" i="2"/>
  <c r="AT204" i="2" s="1"/>
  <c r="Z128" i="7"/>
  <c r="Z119" i="7"/>
  <c r="Z236" i="7" s="1"/>
  <c r="Z181" i="7"/>
  <c r="Z82" i="7"/>
  <c r="X128" i="7"/>
  <c r="X119" i="7"/>
  <c r="X236" i="7" s="1"/>
  <c r="X181" i="7"/>
  <c r="X82" i="7"/>
  <c r="T128" i="7"/>
  <c r="T119" i="7"/>
  <c r="T236" i="7" s="1"/>
  <c r="T181" i="7"/>
  <c r="T82" i="7"/>
  <c r="P128" i="7"/>
  <c r="P119" i="7"/>
  <c r="P236" i="7" s="1"/>
  <c r="P181" i="7"/>
  <c r="P82" i="7"/>
  <c r="L128" i="7"/>
  <c r="L119" i="7"/>
  <c r="L236" i="7" s="1"/>
  <c r="L181" i="7"/>
  <c r="L82" i="7"/>
  <c r="EG7" i="6"/>
  <c r="EG56" i="6" s="1"/>
  <c r="AD45" i="7"/>
  <c r="AE45" i="7" s="1"/>
  <c r="Z145" i="8"/>
  <c r="Z180" i="8"/>
  <c r="Z173" i="8"/>
  <c r="Z164" i="8"/>
  <c r="X248" i="8"/>
  <c r="X197" i="8"/>
  <c r="V248" i="8"/>
  <c r="V197" i="8"/>
  <c r="T248" i="8"/>
  <c r="T197" i="8"/>
  <c r="R248" i="8"/>
  <c r="R197" i="8"/>
  <c r="P248" i="8"/>
  <c r="P197" i="8"/>
  <c r="N248" i="8"/>
  <c r="N197" i="8"/>
  <c r="L248" i="8"/>
  <c r="L197" i="8"/>
  <c r="J248" i="8"/>
  <c r="J197" i="8"/>
  <c r="J228" i="7" s="1"/>
  <c r="H248" i="8"/>
  <c r="H197" i="8"/>
  <c r="H228" i="7" s="1"/>
  <c r="K229" i="7" s="1"/>
  <c r="Y355" i="12"/>
  <c r="W355" i="12"/>
  <c r="U355" i="12"/>
  <c r="S355" i="12"/>
  <c r="Q355" i="12"/>
  <c r="O355" i="12"/>
  <c r="M355" i="12"/>
  <c r="K355" i="12"/>
  <c r="I355" i="12"/>
  <c r="Z217" i="7"/>
  <c r="Z218" i="7"/>
  <c r="Z216" i="7"/>
  <c r="R88" i="21"/>
  <c r="R75" i="21"/>
  <c r="R74" i="21"/>
  <c r="R73" i="21"/>
  <c r="R72" i="21"/>
  <c r="R71" i="21"/>
  <c r="R70" i="21"/>
  <c r="R7" i="21"/>
  <c r="R78" i="21"/>
  <c r="R77" i="21"/>
  <c r="P9" i="21"/>
  <c r="P10" i="21" s="1"/>
  <c r="X459" i="12"/>
  <c r="N9" i="21"/>
  <c r="N10" i="21" s="1"/>
  <c r="V459" i="12"/>
  <c r="L9" i="21"/>
  <c r="L10" i="21" s="1"/>
  <c r="T459" i="12"/>
  <c r="J9" i="21"/>
  <c r="J10" i="21" s="1"/>
  <c r="R459" i="12"/>
  <c r="P217" i="7"/>
  <c r="P218" i="7"/>
  <c r="P216" i="7"/>
  <c r="H76" i="21"/>
  <c r="H75" i="21"/>
  <c r="H74" i="21"/>
  <c r="H73" i="21"/>
  <c r="H72" i="21"/>
  <c r="H71" i="21"/>
  <c r="H70" i="21"/>
  <c r="H7" i="21"/>
  <c r="H78" i="21"/>
  <c r="H77" i="21"/>
  <c r="F9" i="21"/>
  <c r="F10" i="21" s="1"/>
  <c r="N459" i="12"/>
  <c r="F76" i="21"/>
  <c r="F75" i="21"/>
  <c r="F74" i="21"/>
  <c r="F73" i="21"/>
  <c r="F72" i="21"/>
  <c r="F71" i="21"/>
  <c r="F70" i="21"/>
  <c r="F7" i="21"/>
  <c r="F78" i="21"/>
  <c r="F77" i="21"/>
  <c r="L459" i="12"/>
  <c r="J459" i="12"/>
  <c r="R43" i="8"/>
  <c r="R24" i="8"/>
  <c r="R18" i="8"/>
  <c r="R11" i="8"/>
  <c r="R8" i="8"/>
  <c r="J43" i="8"/>
  <c r="J24" i="8"/>
  <c r="J18" i="8"/>
  <c r="J11" i="8"/>
  <c r="J8" i="8"/>
  <c r="AA82" i="8"/>
  <c r="AA102" i="8"/>
  <c r="W82" i="8"/>
  <c r="W102" i="8"/>
  <c r="S58" i="8"/>
  <c r="S47" i="8"/>
  <c r="S69" i="8" s="1"/>
  <c r="O82" i="8"/>
  <c r="O102" i="8"/>
  <c r="K58" i="8"/>
  <c r="K47" i="8"/>
  <c r="K69" i="8" s="1"/>
  <c r="N70" i="8" s="1"/>
  <c r="G102" i="8"/>
  <c r="G79" i="8"/>
  <c r="G116" i="8" s="1"/>
  <c r="V61" i="8"/>
  <c r="V50" i="8"/>
  <c r="R61" i="8"/>
  <c r="R50" i="8"/>
  <c r="N61" i="8"/>
  <c r="N50" i="8"/>
  <c r="J61" i="8"/>
  <c r="J50" i="8"/>
  <c r="EE30" i="6"/>
  <c r="AB777" i="7"/>
  <c r="AC204" i="7"/>
  <c r="AA772" i="7"/>
  <c r="Y191" i="8"/>
  <c r="Y772" i="7"/>
  <c r="V191" i="8"/>
  <c r="V772" i="7"/>
  <c r="R191" i="8"/>
  <c r="N191" i="8"/>
  <c r="J191" i="8"/>
  <c r="W725" i="7"/>
  <c r="U725" i="7"/>
  <c r="S725" i="7"/>
  <c r="O725" i="7"/>
  <c r="Z144" i="7"/>
  <c r="Q737" i="7"/>
  <c r="M737" i="7"/>
  <c r="R742" i="7"/>
  <c r="AB453" i="12"/>
  <c r="Z346" i="12"/>
  <c r="X453" i="12"/>
  <c r="V346" i="12"/>
  <c r="T453" i="12"/>
  <c r="R346" i="12"/>
  <c r="P346" i="12"/>
  <c r="N346" i="12"/>
  <c r="L453" i="12"/>
  <c r="J453" i="12"/>
  <c r="H453" i="12"/>
  <c r="AA462" i="12"/>
  <c r="AA469" i="12" s="1"/>
  <c r="AA335" i="12"/>
  <c r="W462" i="12"/>
  <c r="W469" i="12" s="1"/>
  <c r="W335" i="12"/>
  <c r="CC50" i="6"/>
  <c r="S568" i="7"/>
  <c r="S569" i="7" s="1"/>
  <c r="S335" i="12"/>
  <c r="O568" i="7"/>
  <c r="O569" i="7" s="1"/>
  <c r="O335" i="12"/>
  <c r="K335" i="12"/>
  <c r="W463" i="12"/>
  <c r="W470" i="12" s="1"/>
  <c r="W334" i="12"/>
  <c r="Y542" i="7"/>
  <c r="Y557" i="7"/>
  <c r="Y551" i="7"/>
  <c r="W542" i="7"/>
  <c r="W557" i="7"/>
  <c r="W551" i="7"/>
  <c r="X244" i="12"/>
  <c r="X238" i="12"/>
  <c r="X232" i="12"/>
  <c r="V244" i="12"/>
  <c r="V238" i="12"/>
  <c r="V232" i="12"/>
  <c r="R244" i="12"/>
  <c r="R238" i="12"/>
  <c r="R232" i="12"/>
  <c r="N244" i="12"/>
  <c r="N238" i="12"/>
  <c r="N232" i="12"/>
  <c r="J244" i="12"/>
  <c r="J238" i="12"/>
  <c r="J232" i="12"/>
  <c r="AB254" i="12"/>
  <c r="AA156" i="12"/>
  <c r="Y45" i="8"/>
  <c r="CS17" i="11"/>
  <c r="W45" i="8"/>
  <c r="CI17" i="11"/>
  <c r="U45" i="8"/>
  <c r="BY17" i="11"/>
  <c r="S45" i="8"/>
  <c r="BO17" i="11"/>
  <c r="Q45" i="8"/>
  <c r="BE17" i="11"/>
  <c r="O45" i="8"/>
  <c r="AU17" i="11"/>
  <c r="M45" i="8"/>
  <c r="AK17" i="11"/>
  <c r="I156" i="12"/>
  <c r="DC103" i="11"/>
  <c r="DD103" i="11" s="1"/>
  <c r="DE103" i="11" s="1"/>
  <c r="DC15" i="11"/>
  <c r="DD15" i="11" s="1"/>
  <c r="AA142" i="12" s="1"/>
  <c r="CS103" i="11"/>
  <c r="CT103" i="11" s="1"/>
  <c r="CU103" i="11" s="1"/>
  <c r="CS15" i="11"/>
  <c r="CT15" i="11" s="1"/>
  <c r="Y142" i="12" s="1"/>
  <c r="CS29" i="11" s="1"/>
  <c r="Y155" i="12"/>
  <c r="CI103" i="11"/>
  <c r="CJ103" i="11" s="1"/>
  <c r="CK103" i="11" s="1"/>
  <c r="CI15" i="11"/>
  <c r="CJ15" i="11" s="1"/>
  <c r="W142" i="12" s="1"/>
  <c r="CI29" i="11" s="1"/>
  <c r="BY103" i="11"/>
  <c r="BZ103" i="11" s="1"/>
  <c r="CA103" i="11" s="1"/>
  <c r="BY15" i="11"/>
  <c r="BZ15" i="11" s="1"/>
  <c r="U142" i="12" s="1"/>
  <c r="BY29" i="11" s="1"/>
  <c r="U155" i="12"/>
  <c r="BO103" i="11"/>
  <c r="BP103" i="11" s="1"/>
  <c r="BQ103" i="11" s="1"/>
  <c r="BO15" i="11"/>
  <c r="BP15" i="11" s="1"/>
  <c r="BE103" i="11"/>
  <c r="BF103" i="11" s="1"/>
  <c r="BG103" i="11" s="1"/>
  <c r="BE15" i="11"/>
  <c r="BF15" i="11" s="1"/>
  <c r="AU103" i="11"/>
  <c r="AV103" i="11" s="1"/>
  <c r="AU15" i="11"/>
  <c r="AV15" i="11" s="1"/>
  <c r="AW15" i="11" s="1"/>
  <c r="AK103" i="11"/>
  <c r="AL103" i="11" s="1"/>
  <c r="AM103" i="11" s="1"/>
  <c r="AK15" i="11"/>
  <c r="AL15" i="11" s="1"/>
  <c r="AA103" i="11"/>
  <c r="AB103" i="11" s="1"/>
  <c r="AA15" i="11"/>
  <c r="AB15" i="11" s="1"/>
  <c r="Q103" i="11"/>
  <c r="R103" i="11" s="1"/>
  <c r="S103" i="11" s="1"/>
  <c r="Q15" i="11"/>
  <c r="R15" i="11" s="1"/>
  <c r="Z153" i="12"/>
  <c r="CN88" i="11"/>
  <c r="CO88" i="11" s="1"/>
  <c r="CN13" i="11"/>
  <c r="CO13" i="11" s="1"/>
  <c r="V153" i="12"/>
  <c r="BT88" i="11"/>
  <c r="BU88" i="11" s="1"/>
  <c r="BT13" i="11"/>
  <c r="BU13" i="11" s="1"/>
  <c r="AZ88" i="11"/>
  <c r="BA88" i="11" s="1"/>
  <c r="AZ13" i="11"/>
  <c r="BA13" i="11" s="1"/>
  <c r="AF88" i="11"/>
  <c r="AG88" i="11" s="1"/>
  <c r="AH88" i="11" s="1"/>
  <c r="AF13" i="11"/>
  <c r="AG13" i="11" s="1"/>
  <c r="L88" i="11"/>
  <c r="M88" i="11" s="1"/>
  <c r="N88" i="11" s="1"/>
  <c r="L13" i="11"/>
  <c r="M13" i="11" s="1"/>
  <c r="CG165" i="17"/>
  <c r="BQ165" i="17"/>
  <c r="BA165" i="17"/>
  <c r="AK165" i="17"/>
  <c r="U165" i="17"/>
  <c r="AA112" i="12"/>
  <c r="DC14" i="11"/>
  <c r="Y112" i="12"/>
  <c r="CS14" i="11"/>
  <c r="W112" i="12"/>
  <c r="CI14" i="11"/>
  <c r="U112" i="12"/>
  <c r="BY14" i="11"/>
  <c r="S112" i="12"/>
  <c r="BO14" i="11"/>
  <c r="Q112" i="12"/>
  <c r="BE14" i="11"/>
  <c r="O112" i="12"/>
  <c r="AU14" i="11"/>
  <c r="M112" i="12"/>
  <c r="AK14" i="11"/>
  <c r="K112" i="12"/>
  <c r="AA14" i="11"/>
  <c r="I112" i="12"/>
  <c r="Q14" i="11"/>
  <c r="AB151" i="12"/>
  <c r="BE65" i="17"/>
  <c r="AW65" i="17"/>
  <c r="AO65" i="17"/>
  <c r="AG65" i="17"/>
  <c r="Y65" i="17"/>
  <c r="Q65" i="17"/>
  <c r="DH8" i="11"/>
  <c r="DI8" i="11" s="1"/>
  <c r="DH50" i="11"/>
  <c r="DI50" i="11" s="1"/>
  <c r="DJ50" i="11" s="1"/>
  <c r="CX8" i="11"/>
  <c r="CY8" i="11" s="1"/>
  <c r="CX50" i="11"/>
  <c r="CY50" i="11" s="1"/>
  <c r="CZ50" i="11" s="1"/>
  <c r="CN8" i="11"/>
  <c r="CO8" i="11" s="1"/>
  <c r="CN50" i="11"/>
  <c r="CO50" i="11" s="1"/>
  <c r="CP50" i="11" s="1"/>
  <c r="CD8" i="11"/>
  <c r="CE8" i="11" s="1"/>
  <c r="CD50" i="11"/>
  <c r="CE50" i="11" s="1"/>
  <c r="CF50" i="11" s="1"/>
  <c r="BT8" i="11"/>
  <c r="BU8" i="11" s="1"/>
  <c r="BT50" i="11"/>
  <c r="BU50" i="11" s="1"/>
  <c r="BV50" i="11" s="1"/>
  <c r="BJ8" i="11"/>
  <c r="BK8" i="11" s="1"/>
  <c r="BJ50" i="11"/>
  <c r="BK50" i="11" s="1"/>
  <c r="BL50" i="11" s="1"/>
  <c r="AZ8" i="11"/>
  <c r="BA8" i="11" s="1"/>
  <c r="AZ50" i="11"/>
  <c r="BA50" i="11" s="1"/>
  <c r="BB50" i="11" s="1"/>
  <c r="AP8" i="11"/>
  <c r="AQ8" i="11" s="1"/>
  <c r="AP50" i="11"/>
  <c r="AQ50" i="11" s="1"/>
  <c r="AR50" i="11" s="1"/>
  <c r="AF8" i="11"/>
  <c r="AG8" i="11" s="1"/>
  <c r="AF50" i="11"/>
  <c r="AG50" i="11" s="1"/>
  <c r="AH50" i="11" s="1"/>
  <c r="V8" i="11"/>
  <c r="W8" i="11" s="1"/>
  <c r="V50" i="11"/>
  <c r="W50" i="11" s="1"/>
  <c r="X50" i="11" s="1"/>
  <c r="L8" i="11"/>
  <c r="M8" i="11" s="1"/>
  <c r="L50" i="11"/>
  <c r="M50" i="11" s="1"/>
  <c r="N50" i="11" s="1"/>
  <c r="CK24" i="17"/>
  <c r="BU24" i="17"/>
  <c r="BE24" i="17"/>
  <c r="AO24" i="17"/>
  <c r="Y24" i="17"/>
  <c r="I24" i="17"/>
  <c r="M148" i="12"/>
  <c r="K148" i="12"/>
  <c r="I148" i="12"/>
  <c r="I43" i="17"/>
  <c r="AB147" i="12"/>
  <c r="Z147" i="12"/>
  <c r="X147" i="12"/>
  <c r="V147" i="12"/>
  <c r="T147" i="12"/>
  <c r="R147" i="12"/>
  <c r="P147" i="12"/>
  <c r="N147" i="12"/>
  <c r="L147" i="12"/>
  <c r="J147" i="12"/>
  <c r="H147" i="12"/>
  <c r="X295" i="12"/>
  <c r="V295" i="12"/>
  <c r="T295" i="12"/>
  <c r="R295" i="12"/>
  <c r="P295" i="12"/>
  <c r="N295" i="12"/>
  <c r="L295" i="12"/>
  <c r="J295" i="12"/>
  <c r="W720" i="7"/>
  <c r="O720" i="7"/>
  <c r="AA427" i="12"/>
  <c r="I427" i="12"/>
  <c r="R737" i="7"/>
  <c r="AB451" i="12"/>
  <c r="X451" i="12"/>
  <c r="V451" i="12"/>
  <c r="T451" i="12"/>
  <c r="R451" i="12"/>
  <c r="P451" i="12"/>
  <c r="N451" i="12"/>
  <c r="L451" i="12"/>
  <c r="J451" i="12"/>
  <c r="H451" i="12"/>
  <c r="Y452" i="12"/>
  <c r="W452" i="12"/>
  <c r="U452" i="12"/>
  <c r="S452" i="12"/>
  <c r="Q452" i="12"/>
  <c r="O452" i="12"/>
  <c r="M452" i="12"/>
  <c r="K452" i="12"/>
  <c r="I452" i="12"/>
  <c r="AB305" i="12"/>
  <c r="AB443" i="12"/>
  <c r="Z305" i="12"/>
  <c r="Z462" i="12"/>
  <c r="Z469" i="12" s="1"/>
  <c r="Z335" i="12"/>
  <c r="X305" i="12"/>
  <c r="X443" i="12"/>
  <c r="V305" i="12"/>
  <c r="V568" i="7"/>
  <c r="V569" i="7" s="1"/>
  <c r="V462" i="12"/>
  <c r="V469" i="12" s="1"/>
  <c r="V335" i="12"/>
  <c r="T305" i="12"/>
  <c r="T443" i="12"/>
  <c r="R305" i="12"/>
  <c r="R568" i="7"/>
  <c r="R569" i="7" s="1"/>
  <c r="R335" i="12"/>
  <c r="P305" i="12"/>
  <c r="P443" i="12"/>
  <c r="N568" i="7"/>
  <c r="N569" i="7" s="1"/>
  <c r="N335" i="12"/>
  <c r="L305" i="12"/>
  <c r="L443" i="12"/>
  <c r="J335" i="12"/>
  <c r="H305" i="12"/>
  <c r="H443" i="12"/>
  <c r="Y441" i="12"/>
  <c r="W441" i="12"/>
  <c r="U441" i="12"/>
  <c r="S441" i="12"/>
  <c r="Q441" i="12"/>
  <c r="O441" i="12"/>
  <c r="M441" i="12"/>
  <c r="K441" i="12"/>
  <c r="I441" i="12"/>
  <c r="AB463" i="12"/>
  <c r="AB334" i="12"/>
  <c r="Z463" i="12"/>
  <c r="Z470" i="12" s="1"/>
  <c r="Z334" i="12"/>
  <c r="X463" i="12"/>
  <c r="X470" i="12" s="1"/>
  <c r="X334" i="12"/>
  <c r="V442" i="12"/>
  <c r="T334" i="12"/>
  <c r="R442" i="12"/>
  <c r="P334" i="12"/>
  <c r="N442" i="12"/>
  <c r="L334" i="12"/>
  <c r="J442" i="12"/>
  <c r="H334" i="12"/>
  <c r="W301" i="12"/>
  <c r="W345" i="12"/>
  <c r="S301" i="12"/>
  <c r="S345" i="12"/>
  <c r="O301" i="12"/>
  <c r="O345" i="12"/>
  <c r="K301" i="12"/>
  <c r="K345" i="12"/>
  <c r="AB300" i="12"/>
  <c r="AB304" i="12"/>
  <c r="Z269" i="12"/>
  <c r="X304" i="12"/>
  <c r="T304" i="12"/>
  <c r="P304" i="12"/>
  <c r="L304" i="12"/>
  <c r="H304" i="12"/>
  <c r="Y251" i="12"/>
  <c r="Y272" i="12"/>
  <c r="U251" i="12"/>
  <c r="U272" i="12"/>
  <c r="Q251" i="12"/>
  <c r="Q272" i="12"/>
  <c r="M251" i="12"/>
  <c r="M272" i="12"/>
  <c r="I251" i="12"/>
  <c r="I272" i="12"/>
  <c r="Z273" i="12"/>
  <c r="Z433" i="12"/>
  <c r="X557" i="7"/>
  <c r="X551" i="7"/>
  <c r="X542" i="7"/>
  <c r="AA256" i="12"/>
  <c r="AA421" i="12"/>
  <c r="Y244" i="12"/>
  <c r="Y238" i="12"/>
  <c r="Y232" i="12"/>
  <c r="W244" i="12"/>
  <c r="W238" i="12"/>
  <c r="W232" i="12"/>
  <c r="U244" i="12"/>
  <c r="U238" i="12"/>
  <c r="U232" i="12"/>
  <c r="S256" i="12"/>
  <c r="S421" i="12"/>
  <c r="Q244" i="12"/>
  <c r="Q238" i="12"/>
  <c r="Q232" i="12"/>
  <c r="O256" i="12"/>
  <c r="O421" i="12"/>
  <c r="M244" i="12"/>
  <c r="M238" i="12"/>
  <c r="M232" i="12"/>
  <c r="K256" i="12"/>
  <c r="K421" i="12"/>
  <c r="I244" i="12"/>
  <c r="I238" i="12"/>
  <c r="I232" i="12"/>
  <c r="G244" i="12"/>
  <c r="G232" i="12"/>
  <c r="AB416" i="12"/>
  <c r="Z416" i="12"/>
  <c r="X416" i="12"/>
  <c r="T416" i="12"/>
  <c r="P416" i="12"/>
  <c r="L416" i="12"/>
  <c r="H416" i="12"/>
  <c r="AA419" i="12"/>
  <c r="Z415" i="12"/>
  <c r="Y414" i="12"/>
  <c r="U414" i="12"/>
  <c r="Q414" i="12"/>
  <c r="M414" i="12"/>
  <c r="I414" i="12"/>
  <c r="ED36" i="6"/>
  <c r="DF36" i="6"/>
  <c r="CH36" i="6"/>
  <c r="BJ36" i="6"/>
  <c r="AB255" i="12"/>
  <c r="Z255" i="12"/>
  <c r="X255" i="12"/>
  <c r="V397" i="12"/>
  <c r="T255" i="12"/>
  <c r="R397" i="12"/>
  <c r="P255" i="12"/>
  <c r="N397" i="12"/>
  <c r="L255" i="12"/>
  <c r="J397" i="12"/>
  <c r="H255" i="12"/>
  <c r="AA366" i="12"/>
  <c r="Y366" i="12"/>
  <c r="W366" i="12"/>
  <c r="U366" i="12"/>
  <c r="S366" i="12"/>
  <c r="Q366" i="12"/>
  <c r="O366" i="12"/>
  <c r="M254" i="12"/>
  <c r="M391" i="12"/>
  <c r="K366" i="12"/>
  <c r="I366" i="12"/>
  <c r="AB45" i="8"/>
  <c r="DH17" i="11"/>
  <c r="Z45" i="8"/>
  <c r="CX17" i="11"/>
  <c r="X45" i="8"/>
  <c r="CN17" i="11"/>
  <c r="V45" i="8"/>
  <c r="CD17" i="11"/>
  <c r="R156" i="12"/>
  <c r="N156" i="12"/>
  <c r="H156" i="12"/>
  <c r="CX103" i="11"/>
  <c r="CY103" i="11" s="1"/>
  <c r="CZ103" i="11" s="1"/>
  <c r="CX15" i="11"/>
  <c r="CY15" i="11" s="1"/>
  <c r="CN103" i="11"/>
  <c r="CO103" i="11" s="1"/>
  <c r="CP103" i="11" s="1"/>
  <c r="CN15" i="11"/>
  <c r="CO15" i="11" s="1"/>
  <c r="CP15" i="11" s="1"/>
  <c r="CD103" i="11"/>
  <c r="CE103" i="11" s="1"/>
  <c r="CF103" i="11" s="1"/>
  <c r="CD15" i="11"/>
  <c r="CE15" i="11" s="1"/>
  <c r="BT103" i="11"/>
  <c r="BU103" i="11" s="1"/>
  <c r="BT15" i="11"/>
  <c r="BU15" i="11" s="1"/>
  <c r="BJ103" i="11"/>
  <c r="BK103" i="11" s="1"/>
  <c r="BJ15" i="11"/>
  <c r="BK15" i="11" s="1"/>
  <c r="R142" i="12" s="1"/>
  <c r="BJ29" i="11" s="1"/>
  <c r="AZ103" i="11"/>
  <c r="BA103" i="11" s="1"/>
  <c r="AZ15" i="11"/>
  <c r="BA15" i="11" s="1"/>
  <c r="P142" i="12" s="1"/>
  <c r="AZ29" i="11" s="1"/>
  <c r="AP103" i="11"/>
  <c r="AQ103" i="11" s="1"/>
  <c r="AR103" i="11" s="1"/>
  <c r="AP15" i="11"/>
  <c r="AQ15" i="11" s="1"/>
  <c r="AF103" i="11"/>
  <c r="AG103" i="11" s="1"/>
  <c r="AF15" i="11"/>
  <c r="AG15" i="11" s="1"/>
  <c r="V103" i="11"/>
  <c r="W103" i="11" s="1"/>
  <c r="X103" i="11" s="1"/>
  <c r="V15" i="11"/>
  <c r="W15" i="11" s="1"/>
  <c r="J142" i="12" s="1"/>
  <c r="V29" i="11" s="1"/>
  <c r="L103" i="11"/>
  <c r="M103" i="11" s="1"/>
  <c r="L15" i="11"/>
  <c r="M15" i="11" s="1"/>
  <c r="AA99" i="12"/>
  <c r="AA153" i="12"/>
  <c r="CS88" i="11"/>
  <c r="CS13" i="11"/>
  <c r="CT13" i="11" s="1"/>
  <c r="Y119" i="12"/>
  <c r="W99" i="12"/>
  <c r="W153" i="12"/>
  <c r="BY88" i="11"/>
  <c r="BZ88" i="11" s="1"/>
  <c r="BY13" i="11"/>
  <c r="BZ13" i="11" s="1"/>
  <c r="U119" i="12"/>
  <c r="S99" i="12"/>
  <c r="BE88" i="11"/>
  <c r="BF88" i="11" s="1"/>
  <c r="BG88" i="11" s="1"/>
  <c r="BE13" i="11"/>
  <c r="BF13" i="11" s="1"/>
  <c r="Q119" i="12"/>
  <c r="O99" i="12"/>
  <c r="AK88" i="11"/>
  <c r="AL88" i="11" s="1"/>
  <c r="AK13" i="11"/>
  <c r="AL13" i="11" s="1"/>
  <c r="M119" i="12"/>
  <c r="K99" i="12"/>
  <c r="Q88" i="11"/>
  <c r="R88" i="11" s="1"/>
  <c r="Q13" i="11"/>
  <c r="R13" i="11" s="1"/>
  <c r="I119" i="12"/>
  <c r="Y118" i="12"/>
  <c r="BU165" i="17"/>
  <c r="U118" i="12"/>
  <c r="BE165" i="17"/>
  <c r="Q118" i="12"/>
  <c r="AO165" i="17"/>
  <c r="M118" i="12"/>
  <c r="Y165" i="17"/>
  <c r="I118" i="12"/>
  <c r="DH14" i="11"/>
  <c r="AB112" i="12"/>
  <c r="CX14" i="11"/>
  <c r="Z112" i="12"/>
  <c r="CN14" i="11"/>
  <c r="X112" i="12"/>
  <c r="CD14" i="11"/>
  <c r="V112" i="12"/>
  <c r="BT14" i="11"/>
  <c r="T112" i="12"/>
  <c r="BJ14" i="11"/>
  <c r="R112" i="12"/>
  <c r="AZ14" i="11"/>
  <c r="P112" i="12"/>
  <c r="AP14" i="11"/>
  <c r="N112" i="12"/>
  <c r="AF14" i="11"/>
  <c r="L112" i="12"/>
  <c r="V14" i="11"/>
  <c r="J112" i="12"/>
  <c r="L14" i="11"/>
  <c r="H112" i="12"/>
  <c r="Y98" i="12"/>
  <c r="U98" i="12"/>
  <c r="S98" i="12"/>
  <c r="Q98" i="12"/>
  <c r="O98" i="12"/>
  <c r="M98" i="12"/>
  <c r="K98" i="12"/>
  <c r="I98" i="12"/>
  <c r="AA77" i="12"/>
  <c r="Y77" i="12"/>
  <c r="CC126" i="17"/>
  <c r="W77" i="12"/>
  <c r="U77" i="12"/>
  <c r="BM126" i="17"/>
  <c r="S77" i="12"/>
  <c r="Q77" i="12"/>
  <c r="AW126" i="17"/>
  <c r="O77" i="12"/>
  <c r="M77" i="12"/>
  <c r="AG126" i="17"/>
  <c r="K77" i="12"/>
  <c r="I77" i="12"/>
  <c r="Q126" i="17"/>
  <c r="I126" i="17"/>
  <c r="AB149" i="12"/>
  <c r="Z149" i="12"/>
  <c r="X149" i="12"/>
  <c r="V149" i="12"/>
  <c r="BI65" i="17"/>
  <c r="BA65" i="17"/>
  <c r="AS65" i="17"/>
  <c r="AK65" i="17"/>
  <c r="AC65" i="17"/>
  <c r="U65" i="17"/>
  <c r="M65" i="17"/>
  <c r="DC8" i="11"/>
  <c r="DD8" i="11" s="1"/>
  <c r="DE8" i="11" s="1"/>
  <c r="DC50" i="11"/>
  <c r="DD50" i="11" s="1"/>
  <c r="DE50" i="11" s="1"/>
  <c r="AA59" i="12"/>
  <c r="CS8" i="11"/>
  <c r="CT8" i="11" s="1"/>
  <c r="CS50" i="11"/>
  <c r="CT50" i="11" s="1"/>
  <c r="CU50" i="11" s="1"/>
  <c r="Y59" i="12"/>
  <c r="CI8" i="11"/>
  <c r="CJ8" i="11" s="1"/>
  <c r="W166" i="12" s="1"/>
  <c r="CI50" i="11"/>
  <c r="CJ50" i="11" s="1"/>
  <c r="CK50" i="11" s="1"/>
  <c r="W59" i="12"/>
  <c r="BY8" i="11"/>
  <c r="BZ8" i="11" s="1"/>
  <c r="BY50" i="11"/>
  <c r="BZ50" i="11" s="1"/>
  <c r="CA50" i="11" s="1"/>
  <c r="U59" i="12"/>
  <c r="BO8" i="11"/>
  <c r="BP8" i="11" s="1"/>
  <c r="BQ8" i="11" s="1"/>
  <c r="BO50" i="11"/>
  <c r="BP50" i="11" s="1"/>
  <c r="BQ50" i="11" s="1"/>
  <c r="S59" i="12"/>
  <c r="BE8" i="11"/>
  <c r="BF8" i="11" s="1"/>
  <c r="BE50" i="11"/>
  <c r="BF50" i="11" s="1"/>
  <c r="BG50" i="11" s="1"/>
  <c r="Q59" i="12"/>
  <c r="AU8" i="11"/>
  <c r="AV8" i="11" s="1"/>
  <c r="O166" i="12" s="1"/>
  <c r="AU50" i="11"/>
  <c r="AV50" i="11" s="1"/>
  <c r="AW50" i="11" s="1"/>
  <c r="O59" i="12"/>
  <c r="CQ47" i="6"/>
  <c r="V430" i="12"/>
  <c r="W433" i="12" s="1"/>
  <c r="CG81" i="11"/>
  <c r="V267" i="12"/>
  <c r="V263" i="12"/>
  <c r="CG11" i="11"/>
  <c r="BS47" i="6"/>
  <c r="R430" i="12"/>
  <c r="BM81" i="11"/>
  <c r="R267" i="12"/>
  <c r="R263" i="12"/>
  <c r="BM11" i="11"/>
  <c r="AU47" i="6"/>
  <c r="N430" i="12"/>
  <c r="AS81" i="11"/>
  <c r="N267" i="12"/>
  <c r="N263" i="12"/>
  <c r="AS11" i="11"/>
  <c r="W47" i="6"/>
  <c r="J430" i="12"/>
  <c r="Y81" i="11"/>
  <c r="J267" i="12"/>
  <c r="J263" i="12"/>
  <c r="Y11" i="11"/>
  <c r="BL223" i="17"/>
  <c r="BM223" i="17" s="1"/>
  <c r="BN223" i="17" s="1"/>
  <c r="BO223" i="17" s="1"/>
  <c r="BN224" i="17"/>
  <c r="BL66" i="17"/>
  <c r="BM66" i="17" s="1"/>
  <c r="BN66" i="17" s="1"/>
  <c r="BO66" i="17" s="1"/>
  <c r="BN67" i="17"/>
  <c r="BN64" i="17"/>
  <c r="BN80" i="17" s="1"/>
  <c r="BL63" i="17"/>
  <c r="BM63" i="17" s="1"/>
  <c r="BN63" i="17" s="1"/>
  <c r="BO63" i="17" s="1"/>
  <c r="E271" i="2"/>
  <c r="G270" i="2"/>
  <c r="G268" i="2"/>
  <c r="CV278" i="17"/>
  <c r="CX277" i="17"/>
  <c r="E267" i="2"/>
  <c r="CP15" i="17"/>
  <c r="CL15" i="17"/>
  <c r="CH15" i="17"/>
  <c r="CD15" i="17"/>
  <c r="CB15" i="17"/>
  <c r="BZ15" i="17"/>
  <c r="BV15" i="17"/>
  <c r="BV121" i="17" s="1"/>
  <c r="BR15" i="17"/>
  <c r="BR121" i="17" s="1"/>
  <c r="BN15" i="17"/>
  <c r="BN121" i="17" s="1"/>
  <c r="BL15" i="17"/>
  <c r="BL121" i="17" s="1"/>
  <c r="BJ15" i="17"/>
  <c r="BF15" i="17"/>
  <c r="BB15" i="17"/>
  <c r="AX15" i="17"/>
  <c r="AV15" i="17"/>
  <c r="AT15" i="17"/>
  <c r="AP15" i="17"/>
  <c r="AL15" i="17"/>
  <c r="AH15" i="17"/>
  <c r="AF15" i="17"/>
  <c r="AD15" i="17"/>
  <c r="Z15" i="17"/>
  <c r="V15" i="17"/>
  <c r="R15" i="17"/>
  <c r="P15" i="17"/>
  <c r="N15" i="17"/>
  <c r="CN13" i="17"/>
  <c r="CL13" i="17"/>
  <c r="CF13" i="17"/>
  <c r="CD13" i="17"/>
  <c r="BX13" i="17"/>
  <c r="BV13" i="17"/>
  <c r="BP13" i="17"/>
  <c r="BN13" i="17"/>
  <c r="BH13" i="17"/>
  <c r="BF13" i="17"/>
  <c r="AZ13" i="17"/>
  <c r="AX13" i="17"/>
  <c r="AR13" i="17"/>
  <c r="AP13" i="17"/>
  <c r="AJ13" i="17"/>
  <c r="AH13" i="17"/>
  <c r="AB13" i="17"/>
  <c r="Z13" i="17"/>
  <c r="T13" i="17"/>
  <c r="R13" i="17"/>
  <c r="L13" i="17"/>
  <c r="CN11" i="17"/>
  <c r="CL11" i="17"/>
  <c r="CF11" i="17"/>
  <c r="CD11" i="17"/>
  <c r="BX11" i="17"/>
  <c r="BV11" i="17"/>
  <c r="BP11" i="17"/>
  <c r="BN11" i="17"/>
  <c r="BH11" i="17"/>
  <c r="BF11" i="17"/>
  <c r="AZ11" i="17"/>
  <c r="AX11" i="17"/>
  <c r="AR11" i="17"/>
  <c r="AP11" i="17"/>
  <c r="AJ11" i="17"/>
  <c r="AH11" i="17"/>
  <c r="AB11" i="17"/>
  <c r="Z11" i="17"/>
  <c r="T11" i="17"/>
  <c r="R11" i="17"/>
  <c r="L11" i="17"/>
  <c r="CP9" i="17"/>
  <c r="CJ9" i="17"/>
  <c r="CH9" i="17"/>
  <c r="CB9" i="17"/>
  <c r="BZ9" i="17"/>
  <c r="BT9" i="17"/>
  <c r="BR9" i="17"/>
  <c r="BL9" i="17"/>
  <c r="BJ9" i="17"/>
  <c r="BD9" i="17"/>
  <c r="BB9" i="17"/>
  <c r="AV9" i="17"/>
  <c r="AT9" i="17"/>
  <c r="AN9" i="17"/>
  <c r="AL9" i="17"/>
  <c r="AF9" i="17"/>
  <c r="AD9" i="17"/>
  <c r="X9" i="17"/>
  <c r="V9" i="17"/>
  <c r="P9" i="17"/>
  <c r="N9" i="17"/>
  <c r="CP240" i="17"/>
  <c r="CP14" i="17" s="1"/>
  <c r="G123" i="2" s="1"/>
  <c r="CN240" i="17"/>
  <c r="CN14" i="17" s="1"/>
  <c r="E123" i="2" s="1"/>
  <c r="BX240" i="17"/>
  <c r="BX14" i="17" s="1"/>
  <c r="BJ246" i="17"/>
  <c r="BJ241" i="17"/>
  <c r="BH241" i="17"/>
  <c r="BH248" i="17"/>
  <c r="BH246" i="17"/>
  <c r="BF246" i="17"/>
  <c r="BF241" i="17"/>
  <c r="BD248" i="17"/>
  <c r="BD241" i="17"/>
  <c r="BD246" i="17"/>
  <c r="BB246" i="17"/>
  <c r="BB241" i="17"/>
  <c r="AZ248" i="17"/>
  <c r="AZ241" i="17"/>
  <c r="AZ246" i="17"/>
  <c r="AX246" i="17"/>
  <c r="AX241" i="17"/>
  <c r="AV248" i="17"/>
  <c r="AV241" i="17"/>
  <c r="AV246" i="17"/>
  <c r="AT246" i="17"/>
  <c r="AT241" i="17"/>
  <c r="AR241" i="17"/>
  <c r="AR248" i="17"/>
  <c r="AR246" i="17"/>
  <c r="AP246" i="17"/>
  <c r="AP241" i="17"/>
  <c r="AN248" i="17"/>
  <c r="AN241" i="17"/>
  <c r="AN246" i="17"/>
  <c r="AL246" i="17"/>
  <c r="AL241" i="17"/>
  <c r="AJ248" i="17"/>
  <c r="AJ241" i="17"/>
  <c r="AJ246" i="17"/>
  <c r="AH246" i="17"/>
  <c r="AH241" i="17"/>
  <c r="AF248" i="17"/>
  <c r="AF241" i="17"/>
  <c r="AF246" i="17"/>
  <c r="AD246" i="17"/>
  <c r="AD241" i="17"/>
  <c r="AB241" i="17"/>
  <c r="AB248" i="17"/>
  <c r="AB246" i="17"/>
  <c r="Z246" i="17"/>
  <c r="Z241" i="17"/>
  <c r="X248" i="17"/>
  <c r="X241" i="17"/>
  <c r="X246" i="17"/>
  <c r="V246" i="17"/>
  <c r="V241" i="17"/>
  <c r="T248" i="17"/>
  <c r="T241" i="17"/>
  <c r="T246" i="17"/>
  <c r="R246" i="17"/>
  <c r="R241" i="17"/>
  <c r="P248" i="17"/>
  <c r="P241" i="17"/>
  <c r="P246" i="17"/>
  <c r="N246" i="17"/>
  <c r="N241" i="17"/>
  <c r="L241" i="17"/>
  <c r="L248" i="17"/>
  <c r="L246" i="17"/>
  <c r="CQ199" i="17"/>
  <c r="CQ190" i="17"/>
  <c r="CQ189" i="17"/>
  <c r="CL12" i="17"/>
  <c r="CJ12" i="17"/>
  <c r="CD12" i="17"/>
  <c r="CB12" i="17"/>
  <c r="BV12" i="17"/>
  <c r="BT12" i="17"/>
  <c r="BN12" i="17"/>
  <c r="BL12" i="17"/>
  <c r="BJ189" i="17"/>
  <c r="BJ184" i="17"/>
  <c r="BJ199" i="17"/>
  <c r="BJ200" i="17" s="1"/>
  <c r="BH191" i="17"/>
  <c r="BH189" i="17"/>
  <c r="BH184" i="17"/>
  <c r="BH199" i="17"/>
  <c r="BH200" i="17" s="1"/>
  <c r="BF189" i="17"/>
  <c r="BF184" i="17"/>
  <c r="BF199" i="17"/>
  <c r="BF200" i="17" s="1"/>
  <c r="BD189" i="17"/>
  <c r="BD184" i="17"/>
  <c r="BD199" i="17"/>
  <c r="BD200" i="17" s="1"/>
  <c r="BD191" i="17"/>
  <c r="BB189" i="17"/>
  <c r="BB184" i="17"/>
  <c r="BB199" i="17"/>
  <c r="BB200" i="17" s="1"/>
  <c r="AZ191" i="17"/>
  <c r="AZ189" i="17"/>
  <c r="AZ184" i="17"/>
  <c r="AZ199" i="17"/>
  <c r="AZ200" i="17" s="1"/>
  <c r="AX189" i="17"/>
  <c r="AX184" i="17"/>
  <c r="AX199" i="17"/>
  <c r="AX200" i="17" s="1"/>
  <c r="AV189" i="17"/>
  <c r="AV184" i="17"/>
  <c r="AV199" i="17"/>
  <c r="AV200" i="17" s="1"/>
  <c r="AV191" i="17"/>
  <c r="AT189" i="17"/>
  <c r="AT184" i="17"/>
  <c r="AT199" i="17"/>
  <c r="AT200" i="17" s="1"/>
  <c r="AR191" i="17"/>
  <c r="AR189" i="17"/>
  <c r="AR184" i="17"/>
  <c r="AR199" i="17"/>
  <c r="AR200" i="17" s="1"/>
  <c r="AP189" i="17"/>
  <c r="AP184" i="17"/>
  <c r="AP199" i="17"/>
  <c r="AP200" i="17" s="1"/>
  <c r="AN189" i="17"/>
  <c r="AN184" i="17"/>
  <c r="AN199" i="17"/>
  <c r="AN200" i="17" s="1"/>
  <c r="AN191" i="17"/>
  <c r="AL189" i="17"/>
  <c r="AL184" i="17"/>
  <c r="AL199" i="17"/>
  <c r="AL200" i="17" s="1"/>
  <c r="AJ191" i="17"/>
  <c r="AJ189" i="17"/>
  <c r="AJ184" i="17"/>
  <c r="AJ199" i="17"/>
  <c r="AJ200" i="17" s="1"/>
  <c r="AH189" i="17"/>
  <c r="AH184" i="17"/>
  <c r="AH199" i="17"/>
  <c r="AH200" i="17" s="1"/>
  <c r="AF189" i="17"/>
  <c r="AF184" i="17"/>
  <c r="AF199" i="17"/>
  <c r="AF200" i="17" s="1"/>
  <c r="AF191" i="17"/>
  <c r="AD189" i="17"/>
  <c r="AD184" i="17"/>
  <c r="AD199" i="17"/>
  <c r="AD200" i="17" s="1"/>
  <c r="AB191" i="17"/>
  <c r="AB189" i="17"/>
  <c r="AB184" i="17"/>
  <c r="AB199" i="17"/>
  <c r="AB200" i="17" s="1"/>
  <c r="Z189" i="17"/>
  <c r="Z184" i="17"/>
  <c r="Z199" i="17"/>
  <c r="Z200" i="17" s="1"/>
  <c r="X189" i="17"/>
  <c r="X184" i="17"/>
  <c r="X199" i="17"/>
  <c r="X200" i="17" s="1"/>
  <c r="X191" i="17"/>
  <c r="V189" i="17"/>
  <c r="V184" i="17"/>
  <c r="V199" i="17"/>
  <c r="V200" i="17" s="1"/>
  <c r="T191" i="17"/>
  <c r="T189" i="17"/>
  <c r="T184" i="17"/>
  <c r="T199" i="17"/>
  <c r="T200" i="17" s="1"/>
  <c r="R189" i="17"/>
  <c r="R184" i="17"/>
  <c r="R199" i="17"/>
  <c r="R200" i="17" s="1"/>
  <c r="P189" i="17"/>
  <c r="P184" i="17"/>
  <c r="P199" i="17"/>
  <c r="P200" i="17" s="1"/>
  <c r="P191" i="17"/>
  <c r="N189" i="17"/>
  <c r="N184" i="17"/>
  <c r="N199" i="17"/>
  <c r="N200" i="17" s="1"/>
  <c r="L191" i="17"/>
  <c r="L189" i="17"/>
  <c r="L184" i="17"/>
  <c r="L199" i="17"/>
  <c r="L200" i="17" s="1"/>
  <c r="J184" i="17"/>
  <c r="J199" i="17"/>
  <c r="J200" i="17" s="1"/>
  <c r="H184" i="17"/>
  <c r="H199" i="17"/>
  <c r="H200" i="17" s="1"/>
  <c r="CO10" i="17"/>
  <c r="CM10" i="17"/>
  <c r="CG10" i="17"/>
  <c r="CE10" i="17"/>
  <c r="BY10" i="17"/>
  <c r="BW10" i="17"/>
  <c r="BQ10" i="17"/>
  <c r="BO10" i="17"/>
  <c r="BI10" i="17"/>
  <c r="BG10" i="17"/>
  <c r="BA10" i="17"/>
  <c r="AY10" i="17"/>
  <c r="AS10" i="17"/>
  <c r="AQ10" i="17"/>
  <c r="AK10" i="17"/>
  <c r="AI10" i="17"/>
  <c r="AC10" i="17"/>
  <c r="AA10" i="17"/>
  <c r="U10" i="17"/>
  <c r="S10" i="17"/>
  <c r="M10" i="17"/>
  <c r="K10" i="17"/>
  <c r="CM86" i="17"/>
  <c r="CM8" i="17" s="1"/>
  <c r="D117" i="2" s="1"/>
  <c r="CI86" i="17"/>
  <c r="CI8" i="17" s="1"/>
  <c r="CE86" i="17"/>
  <c r="CE8" i="17" s="1"/>
  <c r="CA86" i="17"/>
  <c r="CA8" i="17" s="1"/>
  <c r="BW86" i="17"/>
  <c r="BW8" i="17" s="1"/>
  <c r="BS86" i="17"/>
  <c r="BS8" i="17" s="1"/>
  <c r="BO86" i="17"/>
  <c r="BO8" i="17" s="1"/>
  <c r="BI87" i="17"/>
  <c r="BI94" i="17"/>
  <c r="BI92" i="17"/>
  <c r="BG87" i="17"/>
  <c r="BJ72" i="17"/>
  <c r="BJ94" i="17" s="1"/>
  <c r="BG92" i="17"/>
  <c r="BE94" i="17"/>
  <c r="BE87" i="17"/>
  <c r="BE92" i="17"/>
  <c r="BC87" i="17"/>
  <c r="BC92" i="17"/>
  <c r="BF72" i="17"/>
  <c r="BI93" i="17" s="1"/>
  <c r="BA87" i="17"/>
  <c r="BA94" i="17"/>
  <c r="BA92" i="17"/>
  <c r="AY87" i="17"/>
  <c r="BB72" i="17"/>
  <c r="BB94" i="17" s="1"/>
  <c r="AY92" i="17"/>
  <c r="AW94" i="17"/>
  <c r="AW87" i="17"/>
  <c r="AW92" i="17"/>
  <c r="AU87" i="17"/>
  <c r="AU92" i="17"/>
  <c r="AX72" i="17"/>
  <c r="BA93" i="17" s="1"/>
  <c r="AS87" i="17"/>
  <c r="AS94" i="17"/>
  <c r="AS92" i="17"/>
  <c r="AQ87" i="17"/>
  <c r="AT72" i="17"/>
  <c r="AT94" i="17" s="1"/>
  <c r="AQ92" i="17"/>
  <c r="AO94" i="17"/>
  <c r="AO87" i="17"/>
  <c r="AO92" i="17"/>
  <c r="AM87" i="17"/>
  <c r="AM92" i="17"/>
  <c r="AP72" i="17"/>
  <c r="AS93" i="17" s="1"/>
  <c r="AK87" i="17"/>
  <c r="AK94" i="17"/>
  <c r="AK92" i="17"/>
  <c r="AI87" i="17"/>
  <c r="AL72" i="17"/>
  <c r="AL94" i="17" s="1"/>
  <c r="AI92" i="17"/>
  <c r="AG94" i="17"/>
  <c r="AG87" i="17"/>
  <c r="AG92" i="17"/>
  <c r="AE87" i="17"/>
  <c r="AE92" i="17"/>
  <c r="AH72" i="17"/>
  <c r="AK93" i="17" s="1"/>
  <c r="AC87" i="17"/>
  <c r="AC94" i="17"/>
  <c r="AC92" i="17"/>
  <c r="AA87" i="17"/>
  <c r="AD72" i="17"/>
  <c r="AD94" i="17" s="1"/>
  <c r="AA92" i="17"/>
  <c r="Y94" i="17"/>
  <c r="Y87" i="17"/>
  <c r="Y92" i="17"/>
  <c r="W87" i="17"/>
  <c r="W92" i="17"/>
  <c r="Z72" i="17"/>
  <c r="AC93" i="17" s="1"/>
  <c r="U87" i="17"/>
  <c r="U94" i="17"/>
  <c r="U92" i="17"/>
  <c r="S87" i="17"/>
  <c r="V72" i="17"/>
  <c r="V94" i="17" s="1"/>
  <c r="S92" i="17"/>
  <c r="Q94" i="17"/>
  <c r="Q87" i="17"/>
  <c r="Q92" i="17"/>
  <c r="O87" i="17"/>
  <c r="O92" i="17"/>
  <c r="R72" i="17"/>
  <c r="U93" i="17" s="1"/>
  <c r="M87" i="17"/>
  <c r="M94" i="17"/>
  <c r="M92" i="17"/>
  <c r="K87" i="17"/>
  <c r="N72" i="17"/>
  <c r="N94" i="17" s="1"/>
  <c r="K92" i="17"/>
  <c r="J72" i="17"/>
  <c r="I73" i="17" s="1"/>
  <c r="CO6" i="17"/>
  <c r="CM6" i="17"/>
  <c r="D115" i="2" s="1"/>
  <c r="CK6" i="17"/>
  <c r="CL28" i="17"/>
  <c r="DC36" i="11" s="1"/>
  <c r="CJ33" i="17"/>
  <c r="CI6" i="17"/>
  <c r="CK33" i="17"/>
  <c r="CG6" i="17"/>
  <c r="CE6" i="17"/>
  <c r="CC6" i="17"/>
  <c r="CD28" i="17"/>
  <c r="CS36" i="11" s="1"/>
  <c r="CB33" i="17"/>
  <c r="CA6" i="17"/>
  <c r="CC33" i="17"/>
  <c r="BY6" i="17"/>
  <c r="BW6" i="17"/>
  <c r="BU6" i="17"/>
  <c r="BV28" i="17"/>
  <c r="CI36" i="11" s="1"/>
  <c r="BT33" i="17"/>
  <c r="BS6" i="17"/>
  <c r="BU33" i="17"/>
  <c r="BQ6" i="17"/>
  <c r="BO6" i="17"/>
  <c r="BM6" i="17"/>
  <c r="BN28" i="17"/>
  <c r="BY36" i="11" s="1"/>
  <c r="BL33" i="17"/>
  <c r="BK6" i="17"/>
  <c r="BM33" i="17"/>
  <c r="BI6" i="17"/>
  <c r="BG6" i="17"/>
  <c r="BE6" i="17"/>
  <c r="BF28" i="17"/>
  <c r="BO36" i="11" s="1"/>
  <c r="BD33" i="17"/>
  <c r="BC6" i="17"/>
  <c r="BE33" i="17"/>
  <c r="BA6" i="17"/>
  <c r="AY6" i="17"/>
  <c r="AW6" i="17"/>
  <c r="AX28" i="17"/>
  <c r="BE36" i="11" s="1"/>
  <c r="AX18" i="17"/>
  <c r="AV33" i="17"/>
  <c r="AU6" i="17"/>
  <c r="AW33" i="17"/>
  <c r="AS6" i="17"/>
  <c r="AQ6" i="17"/>
  <c r="AO6" i="17"/>
  <c r="AP28" i="17"/>
  <c r="AU36" i="11" s="1"/>
  <c r="AN33" i="17"/>
  <c r="AM6" i="17"/>
  <c r="AO33" i="17"/>
  <c r="AK6" i="17"/>
  <c r="AI6" i="17"/>
  <c r="AG6" i="17"/>
  <c r="AH28" i="17"/>
  <c r="AK36" i="11" s="1"/>
  <c r="AF33" i="17"/>
  <c r="AE6" i="17"/>
  <c r="AG33" i="17"/>
  <c r="AC6" i="17"/>
  <c r="AA6" i="17"/>
  <c r="Y6" i="17"/>
  <c r="Z28" i="17"/>
  <c r="AA36" i="11" s="1"/>
  <c r="X33" i="17"/>
  <c r="W6" i="17"/>
  <c r="Y33" i="17"/>
  <c r="U6" i="17"/>
  <c r="S6" i="17"/>
  <c r="Q6" i="17"/>
  <c r="R28" i="17"/>
  <c r="Q36" i="11" s="1"/>
  <c r="P33" i="17"/>
  <c r="O6" i="17"/>
  <c r="Q33" i="17"/>
  <c r="M6" i="17"/>
  <c r="K6" i="17"/>
  <c r="Z126" i="8"/>
  <c r="Y120" i="8"/>
  <c r="V126" i="8"/>
  <c r="U120" i="8"/>
  <c r="R126" i="8"/>
  <c r="Q120" i="8"/>
  <c r="N126" i="8"/>
  <c r="M120" i="8"/>
  <c r="J126" i="8"/>
  <c r="I120" i="8"/>
  <c r="EE18" i="6"/>
  <c r="EE67" i="6" s="1"/>
  <c r="AB771" i="7"/>
  <c r="T17" i="21"/>
  <c r="AC142" i="7"/>
  <c r="U16" i="21" s="1"/>
  <c r="T16" i="21"/>
  <c r="T62" i="21" s="1"/>
  <c r="M62" i="21"/>
  <c r="M51" i="21"/>
  <c r="M63" i="21" s="1"/>
  <c r="I62" i="21"/>
  <c r="I51" i="21"/>
  <c r="I63" i="21" s="1"/>
  <c r="W63" i="8"/>
  <c r="W146" i="8"/>
  <c r="W78" i="8"/>
  <c r="W52" i="8"/>
  <c r="S63" i="8"/>
  <c r="S78" i="8"/>
  <c r="S52" i="8"/>
  <c r="O63" i="8"/>
  <c r="O78" i="8"/>
  <c r="O52" i="8"/>
  <c r="K63" i="8"/>
  <c r="K78" i="8"/>
  <c r="K79" i="8" s="1"/>
  <c r="K52" i="8"/>
  <c r="DS45" i="6"/>
  <c r="Z788" i="7"/>
  <c r="Z535" i="7"/>
  <c r="Z529" i="7"/>
  <c r="DG45" i="6"/>
  <c r="X788" i="7"/>
  <c r="X535" i="7"/>
  <c r="X529" i="7"/>
  <c r="CU45" i="6"/>
  <c r="V788" i="7"/>
  <c r="V789" i="7" s="1"/>
  <c r="V790" i="7" s="1"/>
  <c r="V529" i="7"/>
  <c r="V535" i="7"/>
  <c r="CI45" i="6"/>
  <c r="CI94" i="6" s="1"/>
  <c r="T788" i="7"/>
  <c r="T789" i="7" s="1"/>
  <c r="T790" i="7" s="1"/>
  <c r="T529" i="7"/>
  <c r="T535" i="7"/>
  <c r="DY35" i="6"/>
  <c r="AA781" i="7"/>
  <c r="AA411" i="7"/>
  <c r="AA405" i="7"/>
  <c r="DM35" i="6"/>
  <c r="Y781" i="7"/>
  <c r="Y411" i="7"/>
  <c r="Y405" i="7"/>
  <c r="CO35" i="6"/>
  <c r="U781" i="7"/>
  <c r="U411" i="7"/>
  <c r="U405" i="7"/>
  <c r="BQ35" i="6"/>
  <c r="Q781" i="7"/>
  <c r="Q411" i="7"/>
  <c r="Q405" i="7"/>
  <c r="AS35" i="6"/>
  <c r="M781" i="7"/>
  <c r="M411" i="7"/>
  <c r="M405" i="7"/>
  <c r="EB28" i="6"/>
  <c r="AB708" i="7"/>
  <c r="AC324" i="7"/>
  <c r="AA709" i="7"/>
  <c r="Y709" i="7"/>
  <c r="W709" i="7"/>
  <c r="U709" i="7"/>
  <c r="S709" i="7"/>
  <c r="Q709" i="7"/>
  <c r="O709" i="7"/>
  <c r="M709" i="7"/>
  <c r="Z230" i="7"/>
  <c r="AA199" i="8"/>
  <c r="Y199" i="8"/>
  <c r="W260" i="7"/>
  <c r="W182" i="8"/>
  <c r="W175" i="8"/>
  <c r="U199" i="8"/>
  <c r="S260" i="7"/>
  <c r="S182" i="8"/>
  <c r="S175" i="8"/>
  <c r="S167" i="8"/>
  <c r="Q199" i="8"/>
  <c r="O260" i="7"/>
  <c r="O182" i="8"/>
  <c r="O175" i="8"/>
  <c r="O167" i="8"/>
  <c r="M199" i="8"/>
  <c r="K182" i="8"/>
  <c r="K175" i="8"/>
  <c r="K167" i="8"/>
  <c r="I199" i="8"/>
  <c r="G182" i="8"/>
  <c r="G167" i="8"/>
  <c r="X127" i="7"/>
  <c r="X118" i="7"/>
  <c r="X180" i="7"/>
  <c r="X115" i="7"/>
  <c r="X77" i="7"/>
  <c r="T127" i="7"/>
  <c r="T118" i="7"/>
  <c r="T180" i="7"/>
  <c r="T115" i="7"/>
  <c r="T77" i="7"/>
  <c r="P127" i="7"/>
  <c r="P118" i="7"/>
  <c r="P180" i="7"/>
  <c r="P115" i="7"/>
  <c r="P77" i="7"/>
  <c r="L127" i="7"/>
  <c r="L118" i="7"/>
  <c r="L180" i="7"/>
  <c r="L115" i="7"/>
  <c r="L77" i="7"/>
  <c r="AA762" i="7"/>
  <c r="Y762" i="7"/>
  <c r="W762" i="7"/>
  <c r="U762" i="7"/>
  <c r="S762" i="7"/>
  <c r="Q762" i="7"/>
  <c r="O762" i="7"/>
  <c r="M762" i="7"/>
  <c r="AA510" i="7"/>
  <c r="AA499" i="7"/>
  <c r="AA490" i="7"/>
  <c r="AA491" i="7" s="1"/>
  <c r="AA478" i="7"/>
  <c r="DL43" i="6"/>
  <c r="DL40" i="6" s="1"/>
  <c r="Y507" i="7"/>
  <c r="Y496" i="7"/>
  <c r="Y651" i="7"/>
  <c r="Y641" i="7"/>
  <c r="CZ43" i="6"/>
  <c r="CZ40" i="6" s="1"/>
  <c r="W507" i="7"/>
  <c r="W496" i="7"/>
  <c r="W651" i="7"/>
  <c r="W641" i="7"/>
  <c r="CN43" i="6"/>
  <c r="U507" i="7"/>
  <c r="U496" i="7"/>
  <c r="U651" i="7"/>
  <c r="U641" i="7"/>
  <c r="CB43" i="6"/>
  <c r="CB40" i="6" s="1"/>
  <c r="S507" i="7"/>
  <c r="S496" i="7"/>
  <c r="BP43" i="6"/>
  <c r="BP40" i="6" s="1"/>
  <c r="Q507" i="7"/>
  <c r="Q496" i="7"/>
  <c r="BD43" i="6"/>
  <c r="BD40" i="6" s="1"/>
  <c r="O507" i="7"/>
  <c r="O496" i="7"/>
  <c r="AR43" i="6"/>
  <c r="M507" i="7"/>
  <c r="M496" i="7"/>
  <c r="AF43" i="6"/>
  <c r="AF40" i="6" s="1"/>
  <c r="T43" i="6"/>
  <c r="T40" i="6" s="1"/>
  <c r="H43" i="6"/>
  <c r="H40" i="6" s="1"/>
  <c r="Y626" i="7"/>
  <c r="Y637" i="7" s="1"/>
  <c r="Y281" i="7"/>
  <c r="Y291" i="7"/>
  <c r="Y267" i="7"/>
  <c r="Y289" i="7" s="1"/>
  <c r="Y262" i="7"/>
  <c r="W626" i="7"/>
  <c r="W637" i="7" s="1"/>
  <c r="W281" i="7"/>
  <c r="W291" i="7"/>
  <c r="W267" i="7"/>
  <c r="W289" i="7" s="1"/>
  <c r="W262" i="7"/>
  <c r="U626" i="7"/>
  <c r="U637" i="7" s="1"/>
  <c r="U281" i="7"/>
  <c r="U291" i="7"/>
  <c r="U267" i="7"/>
  <c r="U289" i="7" s="1"/>
  <c r="U262" i="7"/>
  <c r="S626" i="7"/>
  <c r="S637" i="7" s="1"/>
  <c r="S281" i="7"/>
  <c r="S291" i="7"/>
  <c r="S267" i="7"/>
  <c r="S289" i="7" s="1"/>
  <c r="S262" i="7"/>
  <c r="Q626" i="7"/>
  <c r="Q637" i="7" s="1"/>
  <c r="Q281" i="7"/>
  <c r="Q291" i="7"/>
  <c r="Q267" i="7"/>
  <c r="Q289" i="7" s="1"/>
  <c r="Q262" i="7"/>
  <c r="O626" i="7"/>
  <c r="O637" i="7" s="1"/>
  <c r="O281" i="7"/>
  <c r="O291" i="7"/>
  <c r="O267" i="7"/>
  <c r="O289" i="7" s="1"/>
  <c r="O262" i="7"/>
  <c r="M626" i="7"/>
  <c r="M637" i="7" s="1"/>
  <c r="M281" i="7"/>
  <c r="M291" i="7"/>
  <c r="M267" i="7"/>
  <c r="M289" i="7" s="1"/>
  <c r="M262" i="7"/>
  <c r="AA247" i="7"/>
  <c r="W247" i="7"/>
  <c r="S247" i="7"/>
  <c r="Y168" i="7"/>
  <c r="Y164" i="7"/>
  <c r="Y588" i="7" s="1"/>
  <c r="Y173" i="7"/>
  <c r="W168" i="7"/>
  <c r="W164" i="7"/>
  <c r="W588" i="7" s="1"/>
  <c r="W173" i="7"/>
  <c r="U168" i="7"/>
  <c r="U164" i="7"/>
  <c r="U588" i="7" s="1"/>
  <c r="U173" i="7"/>
  <c r="S168" i="7"/>
  <c r="S164" i="7"/>
  <c r="S588" i="7" s="1"/>
  <c r="S173" i="7"/>
  <c r="Q168" i="7"/>
  <c r="Q164" i="7"/>
  <c r="Q173" i="7"/>
  <c r="O168" i="7"/>
  <c r="O164" i="7"/>
  <c r="O173" i="7"/>
  <c r="M168" i="7"/>
  <c r="M164" i="7"/>
  <c r="M173" i="7"/>
  <c r="AA756" i="7"/>
  <c r="O756" i="7"/>
  <c r="AA35" i="7"/>
  <c r="AA36" i="7" s="1"/>
  <c r="AA38" i="7"/>
  <c r="AA697" i="7"/>
  <c r="AA699" i="7" s="1"/>
  <c r="Y35" i="7"/>
  <c r="Y36" i="7" s="1"/>
  <c r="Y38" i="7"/>
  <c r="Y697" i="7"/>
  <c r="Y699" i="7" s="1"/>
  <c r="W635" i="7"/>
  <c r="U35" i="7"/>
  <c r="U36" i="7" s="1"/>
  <c r="U38" i="7"/>
  <c r="U697" i="7"/>
  <c r="U699" i="7" s="1"/>
  <c r="S635" i="7"/>
  <c r="Q35" i="7"/>
  <c r="Q36" i="7" s="1"/>
  <c r="T37" i="7" s="1"/>
  <c r="Q38" i="7"/>
  <c r="T39" i="7" s="1"/>
  <c r="Q697" i="7"/>
  <c r="Q699" i="7" s="1"/>
  <c r="O635" i="7"/>
  <c r="M35" i="7"/>
  <c r="M36" i="7" s="1"/>
  <c r="M38" i="7"/>
  <c r="M697" i="7"/>
  <c r="M699" i="7" s="1"/>
  <c r="Z172" i="8"/>
  <c r="Z144" i="8"/>
  <c r="Z117" i="8" s="1"/>
  <c r="Z179" i="8"/>
  <c r="X213" i="8"/>
  <c r="X196" i="8"/>
  <c r="X654" i="7"/>
  <c r="X444" i="7"/>
  <c r="X432" i="7"/>
  <c r="X416" i="7"/>
  <c r="V213" i="8"/>
  <c r="V196" i="8"/>
  <c r="V654" i="7"/>
  <c r="V444" i="7"/>
  <c r="V432" i="7"/>
  <c r="V416" i="7"/>
  <c r="T213" i="8"/>
  <c r="T196" i="8"/>
  <c r="T654" i="7"/>
  <c r="T444" i="7"/>
  <c r="T432" i="7"/>
  <c r="R213" i="8"/>
  <c r="R196" i="8"/>
  <c r="R654" i="7"/>
  <c r="R444" i="7"/>
  <c r="R432" i="7"/>
  <c r="P213" i="8"/>
  <c r="P196" i="8"/>
  <c r="P654" i="7"/>
  <c r="P444" i="7"/>
  <c r="P432" i="7"/>
  <c r="N213" i="8"/>
  <c r="N196" i="8"/>
  <c r="N654" i="7"/>
  <c r="N444" i="7"/>
  <c r="N432" i="7"/>
  <c r="L213" i="8"/>
  <c r="L196" i="8"/>
  <c r="L654" i="7"/>
  <c r="L444" i="7"/>
  <c r="L432" i="7"/>
  <c r="J213" i="8"/>
  <c r="J196" i="8"/>
  <c r="H213" i="8"/>
  <c r="H196" i="8"/>
  <c r="Z129" i="7"/>
  <c r="Z113" i="7"/>
  <c r="Z423" i="7"/>
  <c r="Z182" i="7"/>
  <c r="Z120" i="7"/>
  <c r="Z87" i="7"/>
  <c r="X129" i="7"/>
  <c r="X113" i="7"/>
  <c r="X423" i="7"/>
  <c r="X182" i="7"/>
  <c r="X120" i="7"/>
  <c r="X87" i="7"/>
  <c r="V129" i="7"/>
  <c r="V113" i="7"/>
  <c r="V423" i="7"/>
  <c r="V182" i="7"/>
  <c r="V120" i="7"/>
  <c r="V87" i="7"/>
  <c r="T129" i="7"/>
  <c r="T113" i="7"/>
  <c r="T423" i="7"/>
  <c r="T182" i="7"/>
  <c r="T120" i="7"/>
  <c r="T87" i="7"/>
  <c r="R129" i="7"/>
  <c r="R113" i="7"/>
  <c r="R423" i="7"/>
  <c r="R182" i="7"/>
  <c r="R120" i="7"/>
  <c r="R87" i="7"/>
  <c r="P129" i="7"/>
  <c r="P113" i="7"/>
  <c r="P423" i="7"/>
  <c r="P182" i="7"/>
  <c r="P120" i="7"/>
  <c r="P87" i="7"/>
  <c r="N129" i="7"/>
  <c r="N113" i="7"/>
  <c r="N423" i="7"/>
  <c r="N182" i="7"/>
  <c r="N120" i="7"/>
  <c r="N87" i="7"/>
  <c r="L129" i="7"/>
  <c r="L113" i="7"/>
  <c r="L423" i="7"/>
  <c r="L182" i="7"/>
  <c r="L120" i="7"/>
  <c r="L87" i="7"/>
  <c r="EC33" i="6"/>
  <c r="EC82" i="6" s="1"/>
  <c r="AB731" i="7"/>
  <c r="AC325" i="7"/>
  <c r="EC32" i="6"/>
  <c r="EC81" i="6" s="1"/>
  <c r="AB730" i="7"/>
  <c r="AC299" i="7"/>
  <c r="Z732" i="7"/>
  <c r="X732" i="7"/>
  <c r="V732" i="7"/>
  <c r="T732" i="7"/>
  <c r="R732" i="7"/>
  <c r="P732" i="7"/>
  <c r="N732" i="7"/>
  <c r="L732" i="7"/>
  <c r="AA238" i="7"/>
  <c r="Y238" i="7"/>
  <c r="Z241" i="7"/>
  <c r="U238" i="7"/>
  <c r="V241" i="7"/>
  <c r="Q238" i="7"/>
  <c r="M238" i="7"/>
  <c r="EC10" i="6"/>
  <c r="EC59" i="6" s="1"/>
  <c r="AC47" i="7"/>
  <c r="E201" i="2" s="1"/>
  <c r="W181" i="7"/>
  <c r="W128" i="7"/>
  <c r="W119" i="7"/>
  <c r="W236" i="7" s="1"/>
  <c r="W82" i="7"/>
  <c r="S181" i="7"/>
  <c r="S128" i="7"/>
  <c r="S119" i="7"/>
  <c r="S236" i="7" s="1"/>
  <c r="S82" i="7"/>
  <c r="O181" i="7"/>
  <c r="O128" i="7"/>
  <c r="O119" i="7"/>
  <c r="O236" i="7" s="1"/>
  <c r="O82" i="7"/>
  <c r="G12" i="6"/>
  <c r="AA193" i="8"/>
  <c r="AA248" i="8"/>
  <c r="AA197" i="8"/>
  <c r="AA228" i="7" s="1"/>
  <c r="Y180" i="8"/>
  <c r="Y173" i="8"/>
  <c r="Y164" i="8"/>
  <c r="Y145" i="8"/>
  <c r="W180" i="8"/>
  <c r="W173" i="8"/>
  <c r="W164" i="8"/>
  <c r="W145" i="8"/>
  <c r="U180" i="8"/>
  <c r="U173" i="8"/>
  <c r="U164" i="8"/>
  <c r="U145" i="8"/>
  <c r="S180" i="8"/>
  <c r="S173" i="8"/>
  <c r="S164" i="8"/>
  <c r="S145" i="8"/>
  <c r="Q180" i="8"/>
  <c r="Q173" i="8"/>
  <c r="Q164" i="8"/>
  <c r="Q145" i="8"/>
  <c r="O180" i="8"/>
  <c r="O173" i="8"/>
  <c r="O164" i="8"/>
  <c r="O145" i="8"/>
  <c r="M180" i="8"/>
  <c r="M173" i="8"/>
  <c r="M164" i="8"/>
  <c r="M145" i="8"/>
  <c r="K180" i="8"/>
  <c r="K173" i="8"/>
  <c r="K164" i="8"/>
  <c r="K145" i="8"/>
  <c r="I180" i="8"/>
  <c r="I173" i="8"/>
  <c r="I164" i="8"/>
  <c r="I145" i="8"/>
  <c r="G180" i="8"/>
  <c r="G164" i="8"/>
  <c r="G145" i="8"/>
  <c r="G159" i="8" s="1"/>
  <c r="S9" i="21"/>
  <c r="S10" i="21" s="1"/>
  <c r="AA459" i="12"/>
  <c r="S78" i="21"/>
  <c r="S77" i="21"/>
  <c r="S88" i="21"/>
  <c r="S75" i="21"/>
  <c r="S74" i="21"/>
  <c r="S73" i="21"/>
  <c r="S72" i="21"/>
  <c r="S71" i="21"/>
  <c r="S70" i="21"/>
  <c r="S7" i="21"/>
  <c r="Y218" i="7"/>
  <c r="Y216" i="7"/>
  <c r="Y217" i="7"/>
  <c r="W218" i="7"/>
  <c r="W216" i="7"/>
  <c r="W217" i="7"/>
  <c r="U218" i="7"/>
  <c r="U216" i="7"/>
  <c r="U217" i="7"/>
  <c r="S218" i="7"/>
  <c r="S216" i="7"/>
  <c r="S217" i="7"/>
  <c r="I9" i="21"/>
  <c r="I10" i="21" s="1"/>
  <c r="Q459" i="12"/>
  <c r="I78" i="21"/>
  <c r="I77" i="21"/>
  <c r="I76" i="21"/>
  <c r="I75" i="21"/>
  <c r="I74" i="21"/>
  <c r="I73" i="21"/>
  <c r="I72" i="21"/>
  <c r="I71" i="21"/>
  <c r="I70" i="21"/>
  <c r="I7" i="21"/>
  <c r="O218" i="7"/>
  <c r="O216" i="7"/>
  <c r="O217" i="7"/>
  <c r="M218" i="7"/>
  <c r="M216" i="7"/>
  <c r="M217" i="7"/>
  <c r="E8" i="6"/>
  <c r="J8" i="6" s="1"/>
  <c r="AA39" i="8"/>
  <c r="Y39" i="8"/>
  <c r="W43" i="8"/>
  <c r="W24" i="8"/>
  <c r="W18" i="8"/>
  <c r="W11" i="8"/>
  <c r="W8" i="8"/>
  <c r="U39" i="8"/>
  <c r="S43" i="8"/>
  <c r="S24" i="8"/>
  <c r="S18" i="8"/>
  <c r="S11" i="8"/>
  <c r="S8" i="8"/>
  <c r="Q39" i="8"/>
  <c r="O43" i="8"/>
  <c r="O24" i="8"/>
  <c r="O18" i="8"/>
  <c r="O11" i="8"/>
  <c r="O8" i="8"/>
  <c r="M39" i="8"/>
  <c r="K43" i="8"/>
  <c r="K24" i="8"/>
  <c r="K18" i="8"/>
  <c r="K11" i="8"/>
  <c r="K8" i="8"/>
  <c r="I39" i="8"/>
  <c r="G43" i="8"/>
  <c r="G11" i="8"/>
  <c r="G8" i="8"/>
  <c r="AB102" i="8"/>
  <c r="AB82" i="8"/>
  <c r="Z102" i="8"/>
  <c r="Z82" i="8"/>
  <c r="X102" i="8"/>
  <c r="X82" i="8"/>
  <c r="V58" i="8"/>
  <c r="V47" i="8"/>
  <c r="V69" i="8" s="1"/>
  <c r="T102" i="8"/>
  <c r="T82" i="8"/>
  <c r="R58" i="8"/>
  <c r="R47" i="8"/>
  <c r="R69" i="8" s="1"/>
  <c r="P102" i="8"/>
  <c r="P82" i="8"/>
  <c r="N58" i="8"/>
  <c r="N47" i="8"/>
  <c r="N69" i="8" s="1"/>
  <c r="L102" i="8"/>
  <c r="L82" i="8"/>
  <c r="J58" i="8"/>
  <c r="J47" i="8"/>
  <c r="J69" i="8" s="1"/>
  <c r="M70" i="8" s="1"/>
  <c r="H102" i="8"/>
  <c r="H82" i="8"/>
  <c r="AA61" i="8"/>
  <c r="AA50" i="8"/>
  <c r="E176" i="2"/>
  <c r="X43" i="8"/>
  <c r="X24" i="8"/>
  <c r="X18" i="8"/>
  <c r="X11" i="8"/>
  <c r="X8" i="8"/>
  <c r="T39" i="8"/>
  <c r="T42" i="8"/>
  <c r="T41" i="8"/>
  <c r="P43" i="8"/>
  <c r="P24" i="8"/>
  <c r="P18" i="8"/>
  <c r="P11" i="8"/>
  <c r="P8" i="8"/>
  <c r="L39" i="8"/>
  <c r="H43" i="8"/>
  <c r="H24" i="8"/>
  <c r="H18" i="8"/>
  <c r="H11" i="8"/>
  <c r="H8" i="8"/>
  <c r="Y82" i="8"/>
  <c r="Y102" i="8"/>
  <c r="U58" i="8"/>
  <c r="U47" i="8"/>
  <c r="U69" i="8" s="1"/>
  <c r="Q82" i="8"/>
  <c r="Q102" i="8"/>
  <c r="M58" i="8"/>
  <c r="M47" i="8"/>
  <c r="M69" i="8" s="1"/>
  <c r="I82" i="8"/>
  <c r="I102" i="8"/>
  <c r="X61" i="8"/>
  <c r="X50" i="8"/>
  <c r="T61" i="8"/>
  <c r="T50" i="8"/>
  <c r="P61" i="8"/>
  <c r="P50" i="8"/>
  <c r="L61" i="8"/>
  <c r="L50" i="8"/>
  <c r="H61" i="8"/>
  <c r="H50" i="8"/>
  <c r="CK47" i="6"/>
  <c r="U430" i="12"/>
  <c r="U267" i="12"/>
  <c r="U263" i="12"/>
  <c r="CB11" i="11"/>
  <c r="CB81" i="11"/>
  <c r="BM47" i="6"/>
  <c r="Q430" i="12"/>
  <c r="Q267" i="12"/>
  <c r="Q263" i="12"/>
  <c r="BH11" i="11"/>
  <c r="BH81" i="11"/>
  <c r="AO47" i="6"/>
  <c r="M430" i="12"/>
  <c r="M267" i="12"/>
  <c r="M263" i="12"/>
  <c r="AN11" i="11"/>
  <c r="AN81" i="11"/>
  <c r="Q47" i="6"/>
  <c r="I430" i="12"/>
  <c r="I267" i="12"/>
  <c r="I263" i="12"/>
  <c r="T11" i="11"/>
  <c r="T81" i="11"/>
  <c r="BF237" i="17"/>
  <c r="AX237" i="17"/>
  <c r="AP237" i="17"/>
  <c r="AH237" i="17"/>
  <c r="Z237" i="17"/>
  <c r="R237" i="17"/>
  <c r="BF234" i="17"/>
  <c r="AX234" i="17"/>
  <c r="AP234" i="17"/>
  <c r="AH234" i="17"/>
  <c r="Z234" i="17"/>
  <c r="R234" i="17"/>
  <c r="BF83" i="17"/>
  <c r="AX83" i="17"/>
  <c r="AP83" i="17"/>
  <c r="AH83" i="17"/>
  <c r="Z83" i="17"/>
  <c r="R83" i="17"/>
  <c r="BF80" i="17"/>
  <c r="AX80" i="17"/>
  <c r="AP80" i="17"/>
  <c r="AH80" i="17"/>
  <c r="Z80" i="17"/>
  <c r="R80" i="17"/>
  <c r="BF77" i="17"/>
  <c r="AX77" i="17"/>
  <c r="AP77" i="17"/>
  <c r="AH77" i="17"/>
  <c r="Z77" i="17"/>
  <c r="R77" i="17"/>
  <c r="CH180" i="17"/>
  <c r="BZ180" i="17"/>
  <c r="BR180" i="17"/>
  <c r="BJ180" i="17"/>
  <c r="BB180" i="17"/>
  <c r="AT180" i="17"/>
  <c r="AL180" i="17"/>
  <c r="AD180" i="17"/>
  <c r="V180" i="17"/>
  <c r="CD177" i="17"/>
  <c r="BV177" i="17"/>
  <c r="BN177" i="17"/>
  <c r="BF177" i="17"/>
  <c r="AX177" i="17"/>
  <c r="AP177" i="17"/>
  <c r="AH177" i="17"/>
  <c r="Z177" i="17"/>
  <c r="R177" i="17"/>
  <c r="N298" i="17"/>
  <c r="N300" i="17" s="1"/>
  <c r="H384" i="12"/>
  <c r="F271" i="2"/>
  <c r="CP328" i="17"/>
  <c r="AB382" i="12"/>
  <c r="CL328" i="17"/>
  <c r="AA382" i="12"/>
  <c r="CH328" i="17"/>
  <c r="Z382" i="12"/>
  <c r="CD328" i="17"/>
  <c r="Y382" i="12"/>
  <c r="BZ328" i="17"/>
  <c r="X382" i="12"/>
  <c r="BV328" i="17"/>
  <c r="W382" i="12"/>
  <c r="BR328" i="17"/>
  <c r="V382" i="12"/>
  <c r="BN328" i="17"/>
  <c r="U382" i="12"/>
  <c r="BJ328" i="17"/>
  <c r="T382" i="12"/>
  <c r="BF328" i="17"/>
  <c r="S382" i="12"/>
  <c r="BB328" i="17"/>
  <c r="R382" i="12"/>
  <c r="AX328" i="17"/>
  <c r="Q382" i="12"/>
  <c r="AT328" i="17"/>
  <c r="P382" i="12"/>
  <c r="AP328" i="17"/>
  <c r="O382" i="12"/>
  <c r="AL328" i="17"/>
  <c r="N382" i="12"/>
  <c r="AH328" i="17"/>
  <c r="M382" i="12"/>
  <c r="AD328" i="17"/>
  <c r="L382" i="12"/>
  <c r="Z328" i="17"/>
  <c r="K382" i="12"/>
  <c r="V328" i="17"/>
  <c r="J382" i="12"/>
  <c r="R328" i="17"/>
  <c r="I382" i="12"/>
  <c r="CP327" i="17"/>
  <c r="AB381" i="12"/>
  <c r="CH327" i="17"/>
  <c r="Z381" i="12"/>
  <c r="BZ327" i="17"/>
  <c r="X381" i="12"/>
  <c r="BR327" i="17"/>
  <c r="V381" i="12"/>
  <c r="BJ327" i="17"/>
  <c r="T381" i="12"/>
  <c r="BB327" i="17"/>
  <c r="R381" i="12"/>
  <c r="AT327" i="17"/>
  <c r="P381" i="12"/>
  <c r="AL327" i="17"/>
  <c r="N381" i="12"/>
  <c r="AD327" i="17"/>
  <c r="L381" i="12"/>
  <c r="V327" i="17"/>
  <c r="J381" i="12"/>
  <c r="CW279" i="17"/>
  <c r="CH326" i="17"/>
  <c r="Z380" i="12"/>
  <c r="BZ326" i="17"/>
  <c r="X380" i="12"/>
  <c r="BR326" i="17"/>
  <c r="V380" i="12"/>
  <c r="BJ326" i="17"/>
  <c r="T380" i="12"/>
  <c r="BB326" i="17"/>
  <c r="R380" i="12"/>
  <c r="AT326" i="17"/>
  <c r="P380" i="12"/>
  <c r="AL326" i="17"/>
  <c r="N380" i="12"/>
  <c r="AD326" i="17"/>
  <c r="L380" i="12"/>
  <c r="V326" i="17"/>
  <c r="J380" i="12"/>
  <c r="CP325" i="17"/>
  <c r="AB379" i="12"/>
  <c r="CH325" i="17"/>
  <c r="Z379" i="12"/>
  <c r="BZ325" i="17"/>
  <c r="X379" i="12"/>
  <c r="BR325" i="17"/>
  <c r="V379" i="12"/>
  <c r="BJ325" i="17"/>
  <c r="T379" i="12"/>
  <c r="BB325" i="17"/>
  <c r="R379" i="12"/>
  <c r="AT325" i="17"/>
  <c r="P379" i="12"/>
  <c r="AL325" i="17"/>
  <c r="N379" i="12"/>
  <c r="AD325" i="17"/>
  <c r="L379" i="12"/>
  <c r="V325" i="17"/>
  <c r="J379" i="12"/>
  <c r="D267" i="2"/>
  <c r="CL324" i="17"/>
  <c r="AA378" i="12"/>
  <c r="CH324" i="17"/>
  <c r="Z378" i="12"/>
  <c r="CD324" i="17"/>
  <c r="Y378" i="12"/>
  <c r="BZ324" i="17"/>
  <c r="X378" i="12"/>
  <c r="BV324" i="17"/>
  <c r="W378" i="12"/>
  <c r="BR324" i="17"/>
  <c r="V378" i="12"/>
  <c r="BN324" i="17"/>
  <c r="U378" i="12"/>
  <c r="BJ324" i="17"/>
  <c r="T378" i="12"/>
  <c r="BF329" i="17"/>
  <c r="S383" i="12"/>
  <c r="BB329" i="17"/>
  <c r="R383" i="12"/>
  <c r="AX329" i="17"/>
  <c r="Q383" i="12"/>
  <c r="AT329" i="17"/>
  <c r="P383" i="12"/>
  <c r="AL329" i="17"/>
  <c r="N383" i="12"/>
  <c r="AH329" i="17"/>
  <c r="M383" i="12"/>
  <c r="AD329" i="17"/>
  <c r="L383" i="12"/>
  <c r="Z329" i="17"/>
  <c r="K383" i="12"/>
  <c r="V329" i="17"/>
  <c r="J383" i="12"/>
  <c r="R329" i="17"/>
  <c r="I383" i="12"/>
  <c r="N329" i="17"/>
  <c r="N295" i="17"/>
  <c r="N297" i="17" s="1"/>
  <c r="H383" i="12"/>
  <c r="CP264" i="17"/>
  <c r="CM15" i="17"/>
  <c r="CI15" i="17"/>
  <c r="CK269" i="17"/>
  <c r="CE269" i="17"/>
  <c r="CE15" i="17"/>
  <c r="CA15" i="17"/>
  <c r="BZ264" i="17"/>
  <c r="BZ120" i="17" s="1"/>
  <c r="BW15" i="17"/>
  <c r="BS15" i="17"/>
  <c r="BS121" i="17" s="1"/>
  <c r="BU269" i="17"/>
  <c r="BO269" i="17"/>
  <c r="BO15" i="17"/>
  <c r="BO121" i="17" s="1"/>
  <c r="BK15" i="17"/>
  <c r="BK121" i="17" s="1"/>
  <c r="BJ264" i="17"/>
  <c r="BG15" i="17"/>
  <c r="BC15" i="17"/>
  <c r="BE269" i="17"/>
  <c r="AY269" i="17"/>
  <c r="AY15" i="17"/>
  <c r="AU15" i="17"/>
  <c r="AT264" i="17"/>
  <c r="AQ15" i="17"/>
  <c r="AM15" i="17"/>
  <c r="AO269" i="17"/>
  <c r="AI269" i="17"/>
  <c r="AI15" i="17"/>
  <c r="AE15" i="17"/>
  <c r="AD264" i="17"/>
  <c r="AA15" i="17"/>
  <c r="W15" i="17"/>
  <c r="Y269" i="17"/>
  <c r="S269" i="17"/>
  <c r="S15" i="17"/>
  <c r="O15" i="17"/>
  <c r="K15" i="17"/>
  <c r="CO13" i="17"/>
  <c r="CK13" i="17"/>
  <c r="CG13" i="17"/>
  <c r="CC13" i="17"/>
  <c r="BY13" i="17"/>
  <c r="BU13" i="17"/>
  <c r="BQ13" i="17"/>
  <c r="BM13" i="17"/>
  <c r="BI13" i="17"/>
  <c r="BE13" i="17"/>
  <c r="BA13" i="17"/>
  <c r="AW13" i="17"/>
  <c r="AS13" i="17"/>
  <c r="AO13" i="17"/>
  <c r="AK13" i="17"/>
  <c r="AG13" i="17"/>
  <c r="AC13" i="17"/>
  <c r="Y13" i="17"/>
  <c r="U13" i="17"/>
  <c r="Q13" i="17"/>
  <c r="M13" i="17"/>
  <c r="CO11" i="17"/>
  <c r="CK11" i="17"/>
  <c r="CL202" i="17"/>
  <c r="CG11" i="17"/>
  <c r="CC11" i="17"/>
  <c r="CD202" i="17"/>
  <c r="BY11" i="17"/>
  <c r="BU11" i="17"/>
  <c r="BV202" i="17"/>
  <c r="BQ11" i="17"/>
  <c r="BM11" i="17"/>
  <c r="BN202" i="17"/>
  <c r="BI11" i="17"/>
  <c r="BE11" i="17"/>
  <c r="BA11" i="17"/>
  <c r="AW11" i="17"/>
  <c r="AS11" i="17"/>
  <c r="AO11" i="17"/>
  <c r="AK11" i="17"/>
  <c r="AG11" i="17"/>
  <c r="AC11" i="17"/>
  <c r="Y11" i="17"/>
  <c r="U11" i="17"/>
  <c r="Q11" i="17"/>
  <c r="M11" i="17"/>
  <c r="CM9" i="17"/>
  <c r="CI9" i="17"/>
  <c r="CE9" i="17"/>
  <c r="CA9" i="17"/>
  <c r="BW9" i="17"/>
  <c r="BS9" i="17"/>
  <c r="BO9" i="17"/>
  <c r="BK9" i="17"/>
  <c r="BG9" i="17"/>
  <c r="BC9" i="17"/>
  <c r="AY9" i="17"/>
  <c r="AU9" i="17"/>
  <c r="AQ9" i="17"/>
  <c r="AM9" i="17"/>
  <c r="AI9" i="17"/>
  <c r="AE9" i="17"/>
  <c r="AA9" i="17"/>
  <c r="W9" i="17"/>
  <c r="S9" i="17"/>
  <c r="O9" i="17"/>
  <c r="K9" i="17"/>
  <c r="J145" i="17"/>
  <c r="CM240" i="17"/>
  <c r="CM14" i="17" s="1"/>
  <c r="D123" i="2" s="1"/>
  <c r="CL242" i="17"/>
  <c r="DC104" i="11" s="1"/>
  <c r="CI240" i="17"/>
  <c r="CI14" i="17" s="1"/>
  <c r="CJ247" i="17"/>
  <c r="CF247" i="17"/>
  <c r="CE240" i="17"/>
  <c r="CE14" i="17" s="1"/>
  <c r="CE247" i="17"/>
  <c r="CC247" i="17"/>
  <c r="CA240" i="17"/>
  <c r="CA14" i="17" s="1"/>
  <c r="CB247" i="17"/>
  <c r="BW240" i="17"/>
  <c r="BW14" i="17" s="1"/>
  <c r="BV242" i="17"/>
  <c r="CI104" i="11" s="1"/>
  <c r="BS240" i="17"/>
  <c r="BS14" i="17" s="1"/>
  <c r="BT247" i="17"/>
  <c r="BR249" i="17"/>
  <c r="BP247" i="17"/>
  <c r="BO240" i="17"/>
  <c r="BO14" i="17" s="1"/>
  <c r="BO247" i="17"/>
  <c r="BM246" i="17"/>
  <c r="BN249" i="17" s="1"/>
  <c r="BK241" i="17"/>
  <c r="BI256" i="17"/>
  <c r="BI257" i="17" s="1"/>
  <c r="BI240" i="17"/>
  <c r="BI14" i="17" s="1"/>
  <c r="BI226" i="17"/>
  <c r="BG256" i="17"/>
  <c r="BG257" i="17" s="1"/>
  <c r="BG240" i="17"/>
  <c r="BG14" i="17" s="1"/>
  <c r="BG226" i="17"/>
  <c r="BE256" i="17"/>
  <c r="BE257" i="17" s="1"/>
  <c r="BE240" i="17"/>
  <c r="BE14" i="17" s="1"/>
  <c r="BE226" i="17"/>
  <c r="BC256" i="17"/>
  <c r="BC257" i="17" s="1"/>
  <c r="BC240" i="17"/>
  <c r="BC14" i="17" s="1"/>
  <c r="BC226" i="17"/>
  <c r="BA256" i="17"/>
  <c r="BA257" i="17" s="1"/>
  <c r="BA240" i="17"/>
  <c r="BA14" i="17" s="1"/>
  <c r="BA226" i="17"/>
  <c r="AY256" i="17"/>
  <c r="AY257" i="17" s="1"/>
  <c r="AY240" i="17"/>
  <c r="AY14" i="17" s="1"/>
  <c r="AY226" i="17"/>
  <c r="AW256" i="17"/>
  <c r="AW257" i="17" s="1"/>
  <c r="AW240" i="17"/>
  <c r="AW14" i="17" s="1"/>
  <c r="AW226" i="17"/>
  <c r="AU256" i="17"/>
  <c r="AU257" i="17" s="1"/>
  <c r="AU240" i="17"/>
  <c r="AU14" i="17" s="1"/>
  <c r="AU226" i="17"/>
  <c r="AS256" i="17"/>
  <c r="AS257" i="17" s="1"/>
  <c r="AS240" i="17"/>
  <c r="AS14" i="17" s="1"/>
  <c r="AS226" i="17"/>
  <c r="AQ256" i="17"/>
  <c r="AQ257" i="17" s="1"/>
  <c r="AQ240" i="17"/>
  <c r="AQ14" i="17" s="1"/>
  <c r="AQ226" i="17"/>
  <c r="AO256" i="17"/>
  <c r="AO257" i="17" s="1"/>
  <c r="AO240" i="17"/>
  <c r="AO14" i="17" s="1"/>
  <c r="AO226" i="17"/>
  <c r="AM256" i="17"/>
  <c r="AM257" i="17" s="1"/>
  <c r="AM240" i="17"/>
  <c r="AM14" i="17" s="1"/>
  <c r="AM226" i="17"/>
  <c r="AK256" i="17"/>
  <c r="AK257" i="17" s="1"/>
  <c r="AK240" i="17"/>
  <c r="AK14" i="17" s="1"/>
  <c r="AK226" i="17"/>
  <c r="AI256" i="17"/>
  <c r="AI257" i="17" s="1"/>
  <c r="AI240" i="17"/>
  <c r="AI14" i="17" s="1"/>
  <c r="AI226" i="17"/>
  <c r="AG256" i="17"/>
  <c r="AG257" i="17" s="1"/>
  <c r="AG240" i="17"/>
  <c r="AG14" i="17" s="1"/>
  <c r="AG226" i="17"/>
  <c r="AE256" i="17"/>
  <c r="AE257" i="17" s="1"/>
  <c r="AE240" i="17"/>
  <c r="AE14" i="17" s="1"/>
  <c r="AE226" i="17"/>
  <c r="AC256" i="17"/>
  <c r="AC257" i="17" s="1"/>
  <c r="AC240" i="17"/>
  <c r="AC14" i="17" s="1"/>
  <c r="AC226" i="17"/>
  <c r="AA256" i="17"/>
  <c r="AA257" i="17" s="1"/>
  <c r="AA240" i="17"/>
  <c r="AA14" i="17" s="1"/>
  <c r="AA226" i="17"/>
  <c r="Y256" i="17"/>
  <c r="Y257" i="17" s="1"/>
  <c r="Y240" i="17"/>
  <c r="Y14" i="17" s="1"/>
  <c r="Y226" i="17"/>
  <c r="W256" i="17"/>
  <c r="W257" i="17" s="1"/>
  <c r="W240" i="17"/>
  <c r="W14" i="17" s="1"/>
  <c r="W226" i="17"/>
  <c r="U256" i="17"/>
  <c r="U257" i="17" s="1"/>
  <c r="U240" i="17"/>
  <c r="U14" i="17" s="1"/>
  <c r="U226" i="17"/>
  <c r="S256" i="17"/>
  <c r="S257" i="17" s="1"/>
  <c r="S240" i="17"/>
  <c r="S14" i="17" s="1"/>
  <c r="S226" i="17"/>
  <c r="Q256" i="17"/>
  <c r="Q257" i="17" s="1"/>
  <c r="Q240" i="17"/>
  <c r="Q14" i="17" s="1"/>
  <c r="Q226" i="17"/>
  <c r="O256" i="17"/>
  <c r="O257" i="17" s="1"/>
  <c r="O240" i="17"/>
  <c r="O14" i="17" s="1"/>
  <c r="O226" i="17"/>
  <c r="M256" i="17"/>
  <c r="M257" i="17" s="1"/>
  <c r="M240" i="17"/>
  <c r="M14" i="17" s="1"/>
  <c r="M226" i="17"/>
  <c r="K256" i="17"/>
  <c r="K257" i="17" s="1"/>
  <c r="K240" i="17"/>
  <c r="K14" i="17" s="1"/>
  <c r="K226" i="17"/>
  <c r="I256" i="17"/>
  <c r="I257" i="17" s="1"/>
  <c r="I240" i="17"/>
  <c r="I14" i="17" s="1"/>
  <c r="I226" i="17"/>
  <c r="G256" i="17"/>
  <c r="G257" i="17" s="1"/>
  <c r="G226" i="17"/>
  <c r="CM12" i="17"/>
  <c r="D121" i="2" s="1"/>
  <c r="CM190" i="17"/>
  <c r="CN190" i="17"/>
  <c r="CK12" i="17"/>
  <c r="CI12" i="17"/>
  <c r="CJ190" i="17"/>
  <c r="CI190" i="17"/>
  <c r="CE12" i="17"/>
  <c r="CE190" i="17"/>
  <c r="CF190" i="17"/>
  <c r="CC12" i="17"/>
  <c r="CA12" i="17"/>
  <c r="CB190" i="17"/>
  <c r="CA190" i="17"/>
  <c r="BW12" i="17"/>
  <c r="BW190" i="17"/>
  <c r="BX190" i="17"/>
  <c r="BU12" i="17"/>
  <c r="BS12" i="17"/>
  <c r="BT190" i="17"/>
  <c r="BS190" i="17"/>
  <c r="BR192" i="17"/>
  <c r="BO12" i="17"/>
  <c r="BO190" i="17"/>
  <c r="BP190" i="17"/>
  <c r="BM12" i="17"/>
  <c r="BK184" i="17"/>
  <c r="BK183" i="17" s="1"/>
  <c r="BI199" i="17"/>
  <c r="BI200" i="17" s="1"/>
  <c r="BI191" i="17"/>
  <c r="BI189" i="17"/>
  <c r="BI184" i="17"/>
  <c r="BG199" i="17"/>
  <c r="BG200" i="17" s="1"/>
  <c r="BG189" i="17"/>
  <c r="BG184" i="17"/>
  <c r="BJ172" i="17"/>
  <c r="BJ191" i="17" s="1"/>
  <c r="BE199" i="17"/>
  <c r="BE200" i="17" s="1"/>
  <c r="BE191" i="17"/>
  <c r="BE189" i="17"/>
  <c r="BE184" i="17"/>
  <c r="BC199" i="17"/>
  <c r="BC200" i="17" s="1"/>
  <c r="BF172" i="17"/>
  <c r="BH190" i="17" s="1"/>
  <c r="BC189" i="17"/>
  <c r="BC184" i="17"/>
  <c r="BA199" i="17"/>
  <c r="BA200" i="17" s="1"/>
  <c r="BA191" i="17"/>
  <c r="BA189" i="17"/>
  <c r="BA184" i="17"/>
  <c r="AY199" i="17"/>
  <c r="AY200" i="17" s="1"/>
  <c r="AY189" i="17"/>
  <c r="AY184" i="17"/>
  <c r="BB172" i="17"/>
  <c r="BB191" i="17" s="1"/>
  <c r="AW199" i="17"/>
  <c r="AW200" i="17" s="1"/>
  <c r="AW191" i="17"/>
  <c r="AW189" i="17"/>
  <c r="AW184" i="17"/>
  <c r="AU199" i="17"/>
  <c r="AU200" i="17" s="1"/>
  <c r="AX172" i="17"/>
  <c r="AZ190" i="17" s="1"/>
  <c r="AU189" i="17"/>
  <c r="AU184" i="17"/>
  <c r="AS199" i="17"/>
  <c r="AS200" i="17" s="1"/>
  <c r="AS191" i="17"/>
  <c r="AS189" i="17"/>
  <c r="AS184" i="17"/>
  <c r="AQ199" i="17"/>
  <c r="AQ200" i="17" s="1"/>
  <c r="AQ189" i="17"/>
  <c r="AQ184" i="17"/>
  <c r="AT172" i="17"/>
  <c r="AT191" i="17" s="1"/>
  <c r="AO199" i="17"/>
  <c r="AO200" i="17" s="1"/>
  <c r="AO191" i="17"/>
  <c r="AO189" i="17"/>
  <c r="AO184" i="17"/>
  <c r="AM199" i="17"/>
  <c r="AM200" i="17" s="1"/>
  <c r="AP172" i="17"/>
  <c r="AR190" i="17" s="1"/>
  <c r="AM189" i="17"/>
  <c r="AM184" i="17"/>
  <c r="AK199" i="17"/>
  <c r="AK200" i="17" s="1"/>
  <c r="AK191" i="17"/>
  <c r="AK189" i="17"/>
  <c r="AK184" i="17"/>
  <c r="AI199" i="17"/>
  <c r="AI200" i="17" s="1"/>
  <c r="AI189" i="17"/>
  <c r="AI184" i="17"/>
  <c r="AL172" i="17"/>
  <c r="AL191" i="17" s="1"/>
  <c r="AG199" i="17"/>
  <c r="AG200" i="17" s="1"/>
  <c r="AG191" i="17"/>
  <c r="AG189" i="17"/>
  <c r="AG184" i="17"/>
  <c r="AE199" i="17"/>
  <c r="AE200" i="17" s="1"/>
  <c r="AH172" i="17"/>
  <c r="AJ190" i="17" s="1"/>
  <c r="AE189" i="17"/>
  <c r="AE184" i="17"/>
  <c r="AC199" i="17"/>
  <c r="AC200" i="17" s="1"/>
  <c r="AC191" i="17"/>
  <c r="AC189" i="17"/>
  <c r="AC184" i="17"/>
  <c r="AA199" i="17"/>
  <c r="AA200" i="17" s="1"/>
  <c r="AA189" i="17"/>
  <c r="AA184" i="17"/>
  <c r="AD172" i="17"/>
  <c r="AD191" i="17" s="1"/>
  <c r="Y199" i="17"/>
  <c r="Y200" i="17" s="1"/>
  <c r="Y191" i="17"/>
  <c r="Y189" i="17"/>
  <c r="Y184" i="17"/>
  <c r="W199" i="17"/>
  <c r="W200" i="17" s="1"/>
  <c r="Z172" i="17"/>
  <c r="AB190" i="17" s="1"/>
  <c r="W189" i="17"/>
  <c r="W184" i="17"/>
  <c r="U199" i="17"/>
  <c r="U200" i="17" s="1"/>
  <c r="U191" i="17"/>
  <c r="U189" i="17"/>
  <c r="U184" i="17"/>
  <c r="S199" i="17"/>
  <c r="S200" i="17" s="1"/>
  <c r="S189" i="17"/>
  <c r="S184" i="17"/>
  <c r="V172" i="17"/>
  <c r="V191" i="17" s="1"/>
  <c r="Q199" i="17"/>
  <c r="Q200" i="17" s="1"/>
  <c r="Q191" i="17"/>
  <c r="Q189" i="17"/>
  <c r="Q184" i="17"/>
  <c r="O199" i="17"/>
  <c r="O200" i="17" s="1"/>
  <c r="R172" i="17"/>
  <c r="T190" i="17" s="1"/>
  <c r="O189" i="17"/>
  <c r="O184" i="17"/>
  <c r="M199" i="17"/>
  <c r="M200" i="17" s="1"/>
  <c r="M191" i="17"/>
  <c r="M189" i="17"/>
  <c r="M184" i="17"/>
  <c r="K199" i="17"/>
  <c r="K200" i="17" s="1"/>
  <c r="K189" i="17"/>
  <c r="K184" i="17"/>
  <c r="N172" i="17"/>
  <c r="N191" i="17" s="1"/>
  <c r="I199" i="17"/>
  <c r="I200" i="17" s="1"/>
  <c r="I184" i="17"/>
  <c r="G199" i="17"/>
  <c r="G200" i="17" s="1"/>
  <c r="J172" i="17"/>
  <c r="CP10" i="17"/>
  <c r="CL10" i="17"/>
  <c r="CH10" i="17"/>
  <c r="CD10" i="17"/>
  <c r="BZ10" i="17"/>
  <c r="BV10" i="17"/>
  <c r="BR10" i="17"/>
  <c r="BN10" i="17"/>
  <c r="BJ10" i="17"/>
  <c r="BF10" i="17"/>
  <c r="BB135" i="17"/>
  <c r="BB10" i="17"/>
  <c r="AX10" i="17"/>
  <c r="AT10" i="17"/>
  <c r="AP10" i="17"/>
  <c r="AL10" i="17"/>
  <c r="AH10" i="17"/>
  <c r="AD10" i="17"/>
  <c r="Z10" i="17"/>
  <c r="V10" i="17"/>
  <c r="R10" i="17"/>
  <c r="N10" i="17"/>
  <c r="CP86" i="17"/>
  <c r="CP8" i="17" s="1"/>
  <c r="CN86" i="17"/>
  <c r="CN8" i="17" s="1"/>
  <c r="E117" i="2" s="1"/>
  <c r="CL94" i="17"/>
  <c r="CJ86" i="17"/>
  <c r="CJ8" i="17" s="1"/>
  <c r="CF86" i="17"/>
  <c r="CF8" i="17" s="1"/>
  <c r="CD94" i="17"/>
  <c r="CB86" i="17"/>
  <c r="CB8" i="17" s="1"/>
  <c r="BX86" i="17"/>
  <c r="BX8" i="17" s="1"/>
  <c r="BV94" i="17"/>
  <c r="BT86" i="17"/>
  <c r="BT8" i="17" s="1"/>
  <c r="BP86" i="17"/>
  <c r="BP8" i="17" s="1"/>
  <c r="BN94" i="17"/>
  <c r="BL86" i="17"/>
  <c r="BL8" i="17" s="1"/>
  <c r="BL92" i="17"/>
  <c r="BJ103" i="17"/>
  <c r="BJ104" i="17" s="1"/>
  <c r="BJ86" i="17"/>
  <c r="BJ8" i="17" s="1"/>
  <c r="BJ69" i="17"/>
  <c r="BH103" i="17"/>
  <c r="BH104" i="17" s="1"/>
  <c r="BH86" i="17"/>
  <c r="BH8" i="17" s="1"/>
  <c r="BH69" i="17"/>
  <c r="BF103" i="17"/>
  <c r="BF104" i="17" s="1"/>
  <c r="BF86" i="17"/>
  <c r="BF8" i="17" s="1"/>
  <c r="BF69" i="17"/>
  <c r="BD103" i="17"/>
  <c r="BD104" i="17" s="1"/>
  <c r="BD86" i="17"/>
  <c r="BD8" i="17" s="1"/>
  <c r="BD69" i="17"/>
  <c r="BB103" i="17"/>
  <c r="BB104" i="17" s="1"/>
  <c r="BB86" i="17"/>
  <c r="BB8" i="17" s="1"/>
  <c r="BB69" i="17"/>
  <c r="AZ103" i="17"/>
  <c r="AZ104" i="17" s="1"/>
  <c r="AZ86" i="17"/>
  <c r="AZ8" i="17" s="1"/>
  <c r="AZ69" i="17"/>
  <c r="AX103" i="17"/>
  <c r="AX104" i="17" s="1"/>
  <c r="AX86" i="17"/>
  <c r="AX8" i="17" s="1"/>
  <c r="AX69" i="17"/>
  <c r="AV103" i="17"/>
  <c r="AV104" i="17" s="1"/>
  <c r="AV86" i="17"/>
  <c r="AV8" i="17" s="1"/>
  <c r="AV69" i="17"/>
  <c r="AT103" i="17"/>
  <c r="AT104" i="17" s="1"/>
  <c r="AT86" i="17"/>
  <c r="AT8" i="17" s="1"/>
  <c r="AT69" i="17"/>
  <c r="AR103" i="17"/>
  <c r="AR104" i="17" s="1"/>
  <c r="AR86" i="17"/>
  <c r="AR8" i="17" s="1"/>
  <c r="AR69" i="17"/>
  <c r="AP103" i="17"/>
  <c r="AP104" i="17" s="1"/>
  <c r="AP86" i="17"/>
  <c r="AP8" i="17" s="1"/>
  <c r="AP69" i="17"/>
  <c r="AN103" i="17"/>
  <c r="AN104" i="17" s="1"/>
  <c r="AN86" i="17"/>
  <c r="AN8" i="17" s="1"/>
  <c r="AN69" i="17"/>
  <c r="AL103" i="17"/>
  <c r="AL104" i="17" s="1"/>
  <c r="AL86" i="17"/>
  <c r="AL8" i="17" s="1"/>
  <c r="AL69" i="17"/>
  <c r="AJ103" i="17"/>
  <c r="AJ104" i="17" s="1"/>
  <c r="AJ86" i="17"/>
  <c r="AJ8" i="17" s="1"/>
  <c r="AJ69" i="17"/>
  <c r="AH103" i="17"/>
  <c r="AH104" i="17" s="1"/>
  <c r="AH86" i="17"/>
  <c r="AH8" i="17" s="1"/>
  <c r="AH69" i="17"/>
  <c r="AF103" i="17"/>
  <c r="AF104" i="17" s="1"/>
  <c r="AF86" i="17"/>
  <c r="AF8" i="17" s="1"/>
  <c r="AF69" i="17"/>
  <c r="AD103" i="17"/>
  <c r="AD104" i="17" s="1"/>
  <c r="AD86" i="17"/>
  <c r="AD8" i="17" s="1"/>
  <c r="AD69" i="17"/>
  <c r="AB103" i="17"/>
  <c r="AB104" i="17" s="1"/>
  <c r="AB86" i="17"/>
  <c r="AB8" i="17" s="1"/>
  <c r="AB69" i="17"/>
  <c r="Z103" i="17"/>
  <c r="Z104" i="17" s="1"/>
  <c r="Z86" i="17"/>
  <c r="Z8" i="17" s="1"/>
  <c r="Z69" i="17"/>
  <c r="X103" i="17"/>
  <c r="X104" i="17" s="1"/>
  <c r="X86" i="17"/>
  <c r="X8" i="17" s="1"/>
  <c r="X69" i="17"/>
  <c r="V103" i="17"/>
  <c r="V104" i="17" s="1"/>
  <c r="V86" i="17"/>
  <c r="V8" i="17" s="1"/>
  <c r="V69" i="17"/>
  <c r="T103" i="17"/>
  <c r="T104" i="17" s="1"/>
  <c r="T86" i="17"/>
  <c r="T8" i="17" s="1"/>
  <c r="T69" i="17"/>
  <c r="R103" i="17"/>
  <c r="R104" i="17" s="1"/>
  <c r="R86" i="17"/>
  <c r="R8" i="17" s="1"/>
  <c r="R69" i="17"/>
  <c r="P103" i="17"/>
  <c r="P104" i="17" s="1"/>
  <c r="P86" i="17"/>
  <c r="P8" i="17" s="1"/>
  <c r="P69" i="17"/>
  <c r="N103" i="17"/>
  <c r="N104" i="17" s="1"/>
  <c r="N86" i="17"/>
  <c r="N8" i="17" s="1"/>
  <c r="N69" i="17"/>
  <c r="L103" i="17"/>
  <c r="L104" i="17" s="1"/>
  <c r="L86" i="17"/>
  <c r="L8" i="17" s="1"/>
  <c r="L69" i="17"/>
  <c r="J103" i="17"/>
  <c r="J104" i="17" s="1"/>
  <c r="J86" i="17"/>
  <c r="J8" i="17" s="1"/>
  <c r="J69" i="17"/>
  <c r="H103" i="17"/>
  <c r="H104" i="17" s="1"/>
  <c r="H86" i="17"/>
  <c r="H8" i="17" s="1"/>
  <c r="H69" i="17"/>
  <c r="CN7" i="17"/>
  <c r="E116" i="2" s="1"/>
  <c r="CL7" i="17"/>
  <c r="CJ7" i="17"/>
  <c r="CH7" i="17"/>
  <c r="CF7" i="17"/>
  <c r="CD7" i="17"/>
  <c r="CB7" i="17"/>
  <c r="BZ7" i="17"/>
  <c r="BX7" i="17"/>
  <c r="BV7" i="17"/>
  <c r="BT7" i="17"/>
  <c r="BR7" i="17"/>
  <c r="BP7" i="17"/>
  <c r="BN7" i="17"/>
  <c r="BL7" i="17"/>
  <c r="BJ7" i="17"/>
  <c r="BH7" i="17"/>
  <c r="BF7" i="17"/>
  <c r="BD7" i="17"/>
  <c r="BB7" i="17"/>
  <c r="AZ7" i="17"/>
  <c r="AX7" i="17"/>
  <c r="AV7" i="17"/>
  <c r="AT7" i="17"/>
  <c r="AR7" i="17"/>
  <c r="AP7" i="17"/>
  <c r="AN7" i="17"/>
  <c r="AL7" i="17"/>
  <c r="AJ7" i="17"/>
  <c r="AH7" i="17"/>
  <c r="AF7" i="17"/>
  <c r="AD7" i="17"/>
  <c r="AB7" i="17"/>
  <c r="Z7" i="17"/>
  <c r="X7" i="17"/>
  <c r="V7" i="17"/>
  <c r="T7" i="17"/>
  <c r="R7" i="17"/>
  <c r="P7" i="17"/>
  <c r="N7" i="17"/>
  <c r="L7" i="17"/>
  <c r="CQ33" i="17"/>
  <c r="CR33" i="17"/>
  <c r="CQ101" i="17"/>
  <c r="CQ32" i="17"/>
  <c r="CL34" i="17"/>
  <c r="CD34" i="17"/>
  <c r="BV34" i="17"/>
  <c r="BN34" i="17"/>
  <c r="BF34" i="17"/>
  <c r="AX34" i="17"/>
  <c r="AP34" i="17"/>
  <c r="AH34" i="17"/>
  <c r="Z34" i="17"/>
  <c r="R34" i="17"/>
  <c r="AA126" i="8"/>
  <c r="Y126" i="8"/>
  <c r="W126" i="8"/>
  <c r="U126" i="8"/>
  <c r="S126" i="8"/>
  <c r="Q126" i="8"/>
  <c r="O126" i="8"/>
  <c r="M126" i="8"/>
  <c r="K126" i="8"/>
  <c r="I126" i="8"/>
  <c r="W327" i="12"/>
  <c r="S327" i="12"/>
  <c r="O327" i="12"/>
  <c r="K327" i="12"/>
  <c r="S789" i="7"/>
  <c r="S790" i="7" s="1"/>
  <c r="O789" i="7"/>
  <c r="N62" i="21"/>
  <c r="N51" i="21"/>
  <c r="N63" i="21" s="1"/>
  <c r="J62" i="21"/>
  <c r="J51" i="21"/>
  <c r="J63" i="21" s="1"/>
  <c r="Y112" i="8"/>
  <c r="Y109" i="8" s="1"/>
  <c r="W121" i="8"/>
  <c r="U112" i="8"/>
  <c r="U109" i="8" s="1"/>
  <c r="S121" i="8"/>
  <c r="Q112" i="8"/>
  <c r="Q109" i="8" s="1"/>
  <c r="O121" i="8"/>
  <c r="M112" i="8"/>
  <c r="K121" i="8"/>
  <c r="I112" i="8"/>
  <c r="AD90" i="8"/>
  <c r="S42" i="8"/>
  <c r="Q42" i="8"/>
  <c r="O42" i="8"/>
  <c r="M42" i="8"/>
  <c r="K42" i="8"/>
  <c r="I42" i="8"/>
  <c r="G42" i="8"/>
  <c r="Z146" i="8"/>
  <c r="Z78" i="8"/>
  <c r="Z52" i="8"/>
  <c r="Z63" i="8"/>
  <c r="X146" i="8"/>
  <c r="X78" i="8"/>
  <c r="X52" i="8"/>
  <c r="X63" i="8"/>
  <c r="T78" i="8"/>
  <c r="T52" i="8"/>
  <c r="T63" i="8"/>
  <c r="P78" i="8"/>
  <c r="P52" i="8"/>
  <c r="P63" i="8"/>
  <c r="L78" i="8"/>
  <c r="L52" i="8"/>
  <c r="L63" i="8"/>
  <c r="H78" i="8"/>
  <c r="H83" i="8" s="1"/>
  <c r="H52" i="8"/>
  <c r="H63" i="8"/>
  <c r="DY45" i="6"/>
  <c r="AA788" i="7"/>
  <c r="AA535" i="7"/>
  <c r="AA529" i="7"/>
  <c r="DM45" i="6"/>
  <c r="Y788" i="7"/>
  <c r="Y535" i="7"/>
  <c r="Y529" i="7"/>
  <c r="DA45" i="6"/>
  <c r="W788" i="7"/>
  <c r="W535" i="7"/>
  <c r="CO45" i="6"/>
  <c r="U788" i="7"/>
  <c r="U789" i="7" s="1"/>
  <c r="U790" i="7" s="1"/>
  <c r="U535" i="7"/>
  <c r="U529" i="7"/>
  <c r="DS35" i="6"/>
  <c r="Z781" i="7"/>
  <c r="Z411" i="7"/>
  <c r="Z405" i="7"/>
  <c r="DG35" i="6"/>
  <c r="X781" i="7"/>
  <c r="X411" i="7"/>
  <c r="X405" i="7"/>
  <c r="CI35" i="6"/>
  <c r="T781" i="7"/>
  <c r="T411" i="7"/>
  <c r="T405" i="7"/>
  <c r="BK35" i="6"/>
  <c r="P781" i="7"/>
  <c r="P411" i="7"/>
  <c r="P405" i="7"/>
  <c r="AM35" i="6"/>
  <c r="L781" i="7"/>
  <c r="L411" i="7"/>
  <c r="L405" i="7"/>
  <c r="EB32" i="6"/>
  <c r="AB713" i="7"/>
  <c r="AC298" i="7"/>
  <c r="Z715" i="7"/>
  <c r="V715" i="7"/>
  <c r="R715" i="7"/>
  <c r="N715" i="7"/>
  <c r="Z709" i="7"/>
  <c r="X709" i="7"/>
  <c r="V709" i="7"/>
  <c r="T709" i="7"/>
  <c r="R709" i="7"/>
  <c r="P709" i="7"/>
  <c r="N709" i="7"/>
  <c r="L709" i="7"/>
  <c r="AA230" i="7"/>
  <c r="Y115" i="8"/>
  <c r="W115" i="8"/>
  <c r="U115" i="8"/>
  <c r="S115" i="8"/>
  <c r="Q115" i="8"/>
  <c r="O115" i="8"/>
  <c r="M115" i="8"/>
  <c r="K115" i="8"/>
  <c r="I115" i="8"/>
  <c r="V192" i="8"/>
  <c r="V199" i="8" s="1"/>
  <c r="V260" i="7"/>
  <c r="V182" i="8"/>
  <c r="V175" i="8"/>
  <c r="R192" i="8"/>
  <c r="R199" i="8" s="1"/>
  <c r="R260" i="7"/>
  <c r="R182" i="8"/>
  <c r="R175" i="8"/>
  <c r="R167" i="8"/>
  <c r="N192" i="8"/>
  <c r="N199" i="8" s="1"/>
  <c r="N260" i="7"/>
  <c r="N182" i="8"/>
  <c r="N175" i="8"/>
  <c r="N167" i="8"/>
  <c r="J192" i="8"/>
  <c r="J199" i="8" s="1"/>
  <c r="J182" i="8"/>
  <c r="J175" i="8"/>
  <c r="J167" i="8"/>
  <c r="EB10" i="6"/>
  <c r="AA180" i="7"/>
  <c r="AA115" i="7"/>
  <c r="AA127" i="7"/>
  <c r="AA118" i="7"/>
  <c r="AA77" i="7"/>
  <c r="W180" i="7"/>
  <c r="W115" i="7"/>
  <c r="W127" i="7"/>
  <c r="W118" i="7"/>
  <c r="W77" i="7"/>
  <c r="S180" i="7"/>
  <c r="S115" i="7"/>
  <c r="S127" i="7"/>
  <c r="S118" i="7"/>
  <c r="S77" i="7"/>
  <c r="O180" i="7"/>
  <c r="O115" i="7"/>
  <c r="O127" i="7"/>
  <c r="O118" i="7"/>
  <c r="O77" i="7"/>
  <c r="F12" i="6"/>
  <c r="W613" i="7"/>
  <c r="S613" i="7"/>
  <c r="O613" i="7"/>
  <c r="AB762" i="7"/>
  <c r="Z762" i="7"/>
  <c r="X762" i="7"/>
  <c r="V762" i="7"/>
  <c r="T762" i="7"/>
  <c r="R762" i="7"/>
  <c r="P762" i="7"/>
  <c r="N762" i="7"/>
  <c r="L762" i="7"/>
  <c r="AB478" i="7"/>
  <c r="ED43" i="6"/>
  <c r="AB651" i="7"/>
  <c r="X499" i="7"/>
  <c r="X490" i="7"/>
  <c r="X491" i="7" s="1"/>
  <c r="X478" i="7"/>
  <c r="X510" i="7"/>
  <c r="DF43" i="6"/>
  <c r="X507" i="7"/>
  <c r="X496" i="7"/>
  <c r="X651" i="7"/>
  <c r="X641" i="7"/>
  <c r="V499" i="7"/>
  <c r="V491" i="7"/>
  <c r="V478" i="7"/>
  <c r="V510" i="7"/>
  <c r="CT43" i="6"/>
  <c r="V507" i="7"/>
  <c r="V496" i="7"/>
  <c r="V651" i="7"/>
  <c r="V641" i="7"/>
  <c r="T499" i="7"/>
  <c r="T491" i="7"/>
  <c r="T478" i="7"/>
  <c r="T510" i="7"/>
  <c r="CH43" i="6"/>
  <c r="T507" i="7"/>
  <c r="T496" i="7"/>
  <c r="R499" i="7"/>
  <c r="R491" i="7"/>
  <c r="R510" i="7"/>
  <c r="BV43" i="6"/>
  <c r="R507" i="7"/>
  <c r="R496" i="7"/>
  <c r="P499" i="7"/>
  <c r="P491" i="7"/>
  <c r="P510" i="7"/>
  <c r="BJ43" i="6"/>
  <c r="P507" i="7"/>
  <c r="P496" i="7"/>
  <c r="N499" i="7"/>
  <c r="N491" i="7"/>
  <c r="N510" i="7"/>
  <c r="AX43" i="6"/>
  <c r="N507" i="7"/>
  <c r="N496" i="7"/>
  <c r="L499" i="7"/>
  <c r="L491" i="7"/>
  <c r="L510" i="7"/>
  <c r="AL43" i="6"/>
  <c r="L507" i="7"/>
  <c r="L496" i="7"/>
  <c r="Z43" i="6"/>
  <c r="N43" i="6"/>
  <c r="EJ33" i="6"/>
  <c r="EJ82" i="6" s="1"/>
  <c r="AD327" i="7"/>
  <c r="AE327" i="7" s="1"/>
  <c r="AB626" i="7"/>
  <c r="AB291" i="7"/>
  <c r="AB267" i="7"/>
  <c r="AB289" i="7" s="1"/>
  <c r="EJ25" i="6"/>
  <c r="AC694" i="7"/>
  <c r="AC255" i="7"/>
  <c r="E215" i="2" s="1"/>
  <c r="AD253" i="7"/>
  <c r="AE253" i="7" s="1"/>
  <c r="C215" i="2"/>
  <c r="AT215" i="2" s="1"/>
  <c r="Z626" i="7"/>
  <c r="Z637" i="7" s="1"/>
  <c r="Z291" i="7"/>
  <c r="Z267" i="7"/>
  <c r="Z289" i="7" s="1"/>
  <c r="Z262" i="7"/>
  <c r="Z281" i="7"/>
  <c r="AA244" i="7"/>
  <c r="Y244" i="7"/>
  <c r="Z247" i="7"/>
  <c r="U244" i="7"/>
  <c r="V247" i="7"/>
  <c r="Q244" i="7"/>
  <c r="M244" i="7"/>
  <c r="ED20" i="6"/>
  <c r="AB752" i="7"/>
  <c r="AB756" i="7" s="1"/>
  <c r="AB149" i="7"/>
  <c r="AC138" i="7"/>
  <c r="DF20" i="6"/>
  <c r="DF18" i="6" s="1"/>
  <c r="X752" i="7"/>
  <c r="X756" i="7" s="1"/>
  <c r="X149" i="7"/>
  <c r="X157" i="7"/>
  <c r="CH20" i="6"/>
  <c r="CH18" i="6" s="1"/>
  <c r="T752" i="7"/>
  <c r="T756" i="7" s="1"/>
  <c r="T149" i="7"/>
  <c r="T157" i="7"/>
  <c r="BJ20" i="6"/>
  <c r="BJ18" i="6" s="1"/>
  <c r="P752" i="7"/>
  <c r="P756" i="7" s="1"/>
  <c r="P149" i="7"/>
  <c r="P157" i="7"/>
  <c r="AL20" i="6"/>
  <c r="AL18" i="6" s="1"/>
  <c r="L752" i="7"/>
  <c r="L756" i="7" s="1"/>
  <c r="L149" i="7"/>
  <c r="L157" i="7"/>
  <c r="N20" i="6"/>
  <c r="N18" i="6" s="1"/>
  <c r="EJ21" i="6"/>
  <c r="EJ70" i="6" s="1"/>
  <c r="AC658" i="7"/>
  <c r="AD139" i="7"/>
  <c r="AE139" i="7" s="1"/>
  <c r="X173" i="7"/>
  <c r="X168" i="7"/>
  <c r="X164" i="7"/>
  <c r="X588" i="7" s="1"/>
  <c r="V173" i="7"/>
  <c r="V168" i="7"/>
  <c r="V164" i="7"/>
  <c r="V588" i="7" s="1"/>
  <c r="T173" i="7"/>
  <c r="T168" i="7"/>
  <c r="T164" i="7"/>
  <c r="T588" i="7" s="1"/>
  <c r="R173" i="7"/>
  <c r="R168" i="7"/>
  <c r="R164" i="7"/>
  <c r="P173" i="7"/>
  <c r="P168" i="7"/>
  <c r="P164" i="7"/>
  <c r="N173" i="7"/>
  <c r="N168" i="7"/>
  <c r="N164" i="7"/>
  <c r="L173" i="7"/>
  <c r="L168" i="7"/>
  <c r="L164" i="7"/>
  <c r="EJ19" i="6"/>
  <c r="AC746" i="7"/>
  <c r="AD137" i="7"/>
  <c r="AE137" i="7" s="1"/>
  <c r="Q450" i="7"/>
  <c r="Q439" i="7"/>
  <c r="O450" i="7"/>
  <c r="O439" i="7"/>
  <c r="M450" i="7"/>
  <c r="M439" i="7"/>
  <c r="AB34" i="7"/>
  <c r="Z38" i="7"/>
  <c r="Z35" i="7"/>
  <c r="Z36" i="7" s="1"/>
  <c r="Z697" i="7"/>
  <c r="Z699" i="7" s="1"/>
  <c r="X38" i="7"/>
  <c r="X35" i="7"/>
  <c r="X36" i="7" s="1"/>
  <c r="X697" i="7"/>
  <c r="X699" i="7" s="1"/>
  <c r="V635" i="7"/>
  <c r="T38" i="7"/>
  <c r="T35" i="7"/>
  <c r="T36" i="7" s="1"/>
  <c r="W37" i="7" s="1"/>
  <c r="T697" i="7"/>
  <c r="T699" i="7" s="1"/>
  <c r="R635" i="7"/>
  <c r="P38" i="7"/>
  <c r="P35" i="7"/>
  <c r="P36" i="7" s="1"/>
  <c r="P697" i="7"/>
  <c r="P699" i="7" s="1"/>
  <c r="N635" i="7"/>
  <c r="L38" i="7"/>
  <c r="L35" i="7"/>
  <c r="L36" i="7" s="1"/>
  <c r="L697" i="7"/>
  <c r="L699" i="7" s="1"/>
  <c r="AA179" i="8"/>
  <c r="AA172" i="8"/>
  <c r="AA144" i="8"/>
  <c r="Y213" i="8"/>
  <c r="Y196" i="8"/>
  <c r="Y654" i="7"/>
  <c r="Y444" i="7"/>
  <c r="Y432" i="7"/>
  <c r="W213" i="8"/>
  <c r="W196" i="8"/>
  <c r="W654" i="7"/>
  <c r="W444" i="7"/>
  <c r="W432" i="7"/>
  <c r="W416" i="7"/>
  <c r="U213" i="8"/>
  <c r="U196" i="8"/>
  <c r="U654" i="7"/>
  <c r="U444" i="7"/>
  <c r="U432" i="7"/>
  <c r="U416" i="7"/>
  <c r="S213" i="8"/>
  <c r="S196" i="8"/>
  <c r="S654" i="7"/>
  <c r="S444" i="7"/>
  <c r="S432" i="7"/>
  <c r="Q213" i="8"/>
  <c r="Q196" i="8"/>
  <c r="Q654" i="7"/>
  <c r="Q444" i="7"/>
  <c r="Q432" i="7"/>
  <c r="O213" i="8"/>
  <c r="O196" i="8"/>
  <c r="O654" i="7"/>
  <c r="O444" i="7"/>
  <c r="O432" i="7"/>
  <c r="M213" i="8"/>
  <c r="M196" i="8"/>
  <c r="M654" i="7"/>
  <c r="M444" i="7"/>
  <c r="M432" i="7"/>
  <c r="K213" i="8"/>
  <c r="K196" i="8"/>
  <c r="I213" i="8"/>
  <c r="I196" i="8"/>
  <c r="Z122" i="7"/>
  <c r="H12" i="6"/>
  <c r="AA732" i="7"/>
  <c r="Y732" i="7"/>
  <c r="W732" i="7"/>
  <c r="U732" i="7"/>
  <c r="S732" i="7"/>
  <c r="Q732" i="7"/>
  <c r="O732" i="7"/>
  <c r="M732" i="7"/>
  <c r="V238" i="7"/>
  <c r="Y241" i="7"/>
  <c r="R238" i="7"/>
  <c r="U241" i="7"/>
  <c r="N238" i="7"/>
  <c r="Y188" i="8"/>
  <c r="U188" i="8"/>
  <c r="U195" i="8" s="1"/>
  <c r="S195" i="8"/>
  <c r="Q188" i="8"/>
  <c r="Q195" i="8" s="1"/>
  <c r="O195" i="8"/>
  <c r="M188" i="8"/>
  <c r="M195" i="8" s="1"/>
  <c r="K195" i="8"/>
  <c r="EC9" i="6"/>
  <c r="EC58" i="6" s="1"/>
  <c r="E202" i="2"/>
  <c r="V128" i="7"/>
  <c r="V119" i="7"/>
  <c r="V236" i="7" s="1"/>
  <c r="V181" i="7"/>
  <c r="V82" i="7"/>
  <c r="R128" i="7"/>
  <c r="R119" i="7"/>
  <c r="R236" i="7" s="1"/>
  <c r="R181" i="7"/>
  <c r="R82" i="7"/>
  <c r="N128" i="7"/>
  <c r="N119" i="7"/>
  <c r="N236" i="7" s="1"/>
  <c r="N181" i="7"/>
  <c r="N82" i="7"/>
  <c r="Z248" i="8"/>
  <c r="Z197" i="8"/>
  <c r="Z193" i="8"/>
  <c r="X145" i="8"/>
  <c r="X180" i="8"/>
  <c r="X173" i="8"/>
  <c r="X164" i="8"/>
  <c r="V145" i="8"/>
  <c r="V180" i="8"/>
  <c r="V173" i="8"/>
  <c r="V164" i="8"/>
  <c r="T145" i="8"/>
  <c r="T180" i="8"/>
  <c r="T173" i="8"/>
  <c r="T164" i="8"/>
  <c r="R145" i="8"/>
  <c r="R180" i="8"/>
  <c r="R173" i="8"/>
  <c r="R164" i="8"/>
  <c r="P145" i="8"/>
  <c r="P180" i="8"/>
  <c r="P173" i="8"/>
  <c r="P164" i="8"/>
  <c r="N145" i="8"/>
  <c r="N180" i="8"/>
  <c r="N173" i="8"/>
  <c r="N164" i="8"/>
  <c r="L145" i="8"/>
  <c r="L180" i="8"/>
  <c r="L173" i="8"/>
  <c r="L164" i="8"/>
  <c r="J145" i="8"/>
  <c r="J180" i="8"/>
  <c r="J173" i="8"/>
  <c r="J164" i="8"/>
  <c r="H145" i="8"/>
  <c r="H180" i="8"/>
  <c r="H173" i="8"/>
  <c r="H164" i="8"/>
  <c r="AA355" i="12"/>
  <c r="D236" i="2"/>
  <c r="AU236" i="2" s="1"/>
  <c r="R9" i="21"/>
  <c r="R10" i="21" s="1"/>
  <c r="Z459" i="12"/>
  <c r="X217" i="7"/>
  <c r="X218" i="7"/>
  <c r="X216" i="7"/>
  <c r="P88" i="21"/>
  <c r="P75" i="21"/>
  <c r="P74" i="21"/>
  <c r="P73" i="21"/>
  <c r="P72" i="21"/>
  <c r="P71" i="21"/>
  <c r="P70" i="21"/>
  <c r="P7" i="21"/>
  <c r="P78" i="21"/>
  <c r="P77" i="21"/>
  <c r="V217" i="7"/>
  <c r="V218" i="7"/>
  <c r="V216" i="7"/>
  <c r="N76" i="21"/>
  <c r="N75" i="21"/>
  <c r="N74" i="21"/>
  <c r="N73" i="21"/>
  <c r="N72" i="21"/>
  <c r="N71" i="21"/>
  <c r="N70" i="21"/>
  <c r="N7" i="21"/>
  <c r="N78" i="21"/>
  <c r="N77" i="21"/>
  <c r="T217" i="7"/>
  <c r="T218" i="7"/>
  <c r="T216" i="7"/>
  <c r="L76" i="21"/>
  <c r="L75" i="21"/>
  <c r="L74" i="21"/>
  <c r="L73" i="21"/>
  <c r="L72" i="21"/>
  <c r="L71" i="21"/>
  <c r="L70" i="21"/>
  <c r="L7" i="21"/>
  <c r="L78" i="21"/>
  <c r="L77" i="21"/>
  <c r="R217" i="7"/>
  <c r="R218" i="7"/>
  <c r="R216" i="7"/>
  <c r="J76" i="21"/>
  <c r="J75" i="21"/>
  <c r="J74" i="21"/>
  <c r="J73" i="21"/>
  <c r="J72" i="21"/>
  <c r="J71" i="21"/>
  <c r="J70" i="21"/>
  <c r="J7" i="21"/>
  <c r="J78" i="21"/>
  <c r="J77" i="21"/>
  <c r="H9" i="21"/>
  <c r="H10" i="21" s="1"/>
  <c r="P459" i="12"/>
  <c r="N217" i="7"/>
  <c r="N218" i="7"/>
  <c r="N216" i="7"/>
  <c r="L217" i="7"/>
  <c r="L218" i="7"/>
  <c r="L216" i="7"/>
  <c r="H459" i="12"/>
  <c r="Z43" i="8"/>
  <c r="Z24" i="8"/>
  <c r="Z18" i="8"/>
  <c r="Z11" i="8"/>
  <c r="Z8" i="8"/>
  <c r="V43" i="8"/>
  <c r="V24" i="8"/>
  <c r="V18" i="8"/>
  <c r="V11" i="8"/>
  <c r="V8" i="8"/>
  <c r="R39" i="8"/>
  <c r="N43" i="8"/>
  <c r="N24" i="8"/>
  <c r="N18" i="8"/>
  <c r="N11" i="8"/>
  <c r="N8" i="8"/>
  <c r="J39" i="8"/>
  <c r="AA58" i="8"/>
  <c r="AA47" i="8"/>
  <c r="AA69" i="8" s="1"/>
  <c r="W58" i="8"/>
  <c r="W47" i="8"/>
  <c r="W69" i="8" s="1"/>
  <c r="S82" i="8"/>
  <c r="S102" i="8"/>
  <c r="O58" i="8"/>
  <c r="O47" i="8"/>
  <c r="O69" i="8" s="1"/>
  <c r="K82" i="8"/>
  <c r="K102" i="8"/>
  <c r="AA191" i="8"/>
  <c r="U191" i="8"/>
  <c r="Q191" i="8"/>
  <c r="Q772" i="7"/>
  <c r="M191" i="8"/>
  <c r="I191" i="8"/>
  <c r="G191" i="8"/>
  <c r="T191" i="8"/>
  <c r="P191" i="8"/>
  <c r="P772" i="7"/>
  <c r="L191" i="8"/>
  <c r="H191" i="8"/>
  <c r="X720" i="7"/>
  <c r="P720" i="7"/>
  <c r="L725" i="7"/>
  <c r="V144" i="7"/>
  <c r="R144" i="7"/>
  <c r="N144" i="7"/>
  <c r="AA149" i="7"/>
  <c r="Y149" i="7"/>
  <c r="W149" i="7"/>
  <c r="U149" i="7"/>
  <c r="S149" i="7"/>
  <c r="Q149" i="7"/>
  <c r="O149" i="7"/>
  <c r="M149" i="7"/>
  <c r="AB346" i="12"/>
  <c r="Z453" i="12"/>
  <c r="X346" i="12"/>
  <c r="V453" i="12"/>
  <c r="T346" i="12"/>
  <c r="R453" i="12"/>
  <c r="P453" i="12"/>
  <c r="N453" i="12"/>
  <c r="L346" i="12"/>
  <c r="J346" i="12"/>
  <c r="H346" i="12"/>
  <c r="Y462" i="12"/>
  <c r="Y469" i="12" s="1"/>
  <c r="Y335" i="12"/>
  <c r="U568" i="7"/>
  <c r="U569" i="7" s="1"/>
  <c r="U335" i="12"/>
  <c r="Q568" i="7"/>
  <c r="Q569" i="7" s="1"/>
  <c r="Q335" i="12"/>
  <c r="M568" i="7"/>
  <c r="M569" i="7" s="1"/>
  <c r="M335" i="12"/>
  <c r="I335" i="12"/>
  <c r="AA463" i="12"/>
  <c r="AA470" i="12" s="1"/>
  <c r="AA334" i="12"/>
  <c r="Y463" i="12"/>
  <c r="Y470" i="12" s="1"/>
  <c r="Y334" i="12"/>
  <c r="AA304" i="12"/>
  <c r="AA300" i="12"/>
  <c r="Y269" i="12"/>
  <c r="T251" i="12"/>
  <c r="P251" i="12"/>
  <c r="L251" i="12"/>
  <c r="H251" i="12"/>
  <c r="AA542" i="7"/>
  <c r="AA557" i="7"/>
  <c r="AA551" i="7"/>
  <c r="W263" i="12"/>
  <c r="Z244" i="12"/>
  <c r="Z238" i="12"/>
  <c r="Z232" i="12"/>
  <c r="C320" i="2"/>
  <c r="T244" i="12"/>
  <c r="T238" i="12"/>
  <c r="T232" i="12"/>
  <c r="P244" i="12"/>
  <c r="P238" i="12"/>
  <c r="P232" i="12"/>
  <c r="L244" i="12"/>
  <c r="L238" i="12"/>
  <c r="L232" i="12"/>
  <c r="H244" i="12"/>
  <c r="H238" i="12"/>
  <c r="H232" i="12"/>
  <c r="AA45" i="8"/>
  <c r="DC17" i="11"/>
  <c r="Y156" i="12"/>
  <c r="W156" i="12"/>
  <c r="U156" i="12"/>
  <c r="S156" i="12"/>
  <c r="Q156" i="12"/>
  <c r="O156" i="12"/>
  <c r="M156" i="12"/>
  <c r="K156" i="12"/>
  <c r="AB245" i="8"/>
  <c r="Z245" i="8"/>
  <c r="X245" i="8"/>
  <c r="V245" i="8"/>
  <c r="T245" i="8"/>
  <c r="R245" i="8"/>
  <c r="P245" i="8"/>
  <c r="N245" i="8"/>
  <c r="L245" i="8"/>
  <c r="J245" i="8"/>
  <c r="H245" i="8"/>
  <c r="AB153" i="12"/>
  <c r="CX88" i="11"/>
  <c r="CX13" i="11"/>
  <c r="CY13" i="11" s="1"/>
  <c r="X153" i="12"/>
  <c r="CD88" i="11"/>
  <c r="CE88" i="11" s="1"/>
  <c r="CD13" i="11"/>
  <c r="CE13" i="11" s="1"/>
  <c r="BJ88" i="11"/>
  <c r="BK88" i="11" s="1"/>
  <c r="BL88" i="11" s="1"/>
  <c r="BJ13" i="11"/>
  <c r="BK13" i="11" s="1"/>
  <c r="AP88" i="11"/>
  <c r="AQ88" i="11" s="1"/>
  <c r="AP13" i="11"/>
  <c r="AQ13" i="11" s="1"/>
  <c r="V88" i="11"/>
  <c r="W88" i="11" s="1"/>
  <c r="X88" i="11" s="1"/>
  <c r="V13" i="11"/>
  <c r="W13" i="11" s="1"/>
  <c r="BY165" i="17"/>
  <c r="BI165" i="17"/>
  <c r="AS165" i="17"/>
  <c r="M165" i="17"/>
  <c r="Z151" i="12"/>
  <c r="X151" i="12"/>
  <c r="V151" i="12"/>
  <c r="T151" i="12"/>
  <c r="R151" i="12"/>
  <c r="P151" i="12"/>
  <c r="N151" i="12"/>
  <c r="L151" i="12"/>
  <c r="J151" i="12"/>
  <c r="H151" i="12"/>
  <c r="AA149" i="12"/>
  <c r="Y149" i="12"/>
  <c r="W149" i="12"/>
  <c r="U149" i="12"/>
  <c r="AB148" i="12"/>
  <c r="Z148" i="12"/>
  <c r="X148" i="12"/>
  <c r="V148" i="12"/>
  <c r="T148" i="12"/>
  <c r="R148" i="12"/>
  <c r="P148" i="12"/>
  <c r="N148" i="12"/>
  <c r="L148" i="12"/>
  <c r="J148" i="12"/>
  <c r="H148" i="12"/>
  <c r="DC35" i="11"/>
  <c r="DD35" i="11" s="1"/>
  <c r="DD123" i="11" s="1"/>
  <c r="DC7" i="11"/>
  <c r="DD7" i="11" s="1"/>
  <c r="AA147" i="12"/>
  <c r="CS35" i="11"/>
  <c r="CT35" i="11" s="1"/>
  <c r="CU35" i="11" s="1"/>
  <c r="CS7" i="11"/>
  <c r="CT7" i="11" s="1"/>
  <c r="Y165" i="12" s="1"/>
  <c r="Y147" i="12"/>
  <c r="CI35" i="11"/>
  <c r="CJ35" i="11" s="1"/>
  <c r="CK35" i="11" s="1"/>
  <c r="CI7" i="11"/>
  <c r="CJ7" i="11" s="1"/>
  <c r="W147" i="12"/>
  <c r="BY35" i="11"/>
  <c r="BZ35" i="11" s="1"/>
  <c r="CA35" i="11" s="1"/>
  <c r="BY7" i="11"/>
  <c r="BZ7" i="11" s="1"/>
  <c r="U165" i="12" s="1"/>
  <c r="U147" i="12"/>
  <c r="BO35" i="11"/>
  <c r="BP35" i="11" s="1"/>
  <c r="BQ35" i="11" s="1"/>
  <c r="BO7" i="11"/>
  <c r="BP7" i="11" s="1"/>
  <c r="S147" i="12"/>
  <c r="BE35" i="11"/>
  <c r="BF35" i="11" s="1"/>
  <c r="BG35" i="11" s="1"/>
  <c r="BE7" i="11"/>
  <c r="BF7" i="11" s="1"/>
  <c r="Q134" i="12" s="1"/>
  <c r="BE21" i="11" s="1"/>
  <c r="Q147" i="12"/>
  <c r="AU35" i="11"/>
  <c r="AV35" i="11" s="1"/>
  <c r="AW35" i="11" s="1"/>
  <c r="AU7" i="11"/>
  <c r="AV7" i="11" s="1"/>
  <c r="O147" i="12"/>
  <c r="AK35" i="11"/>
  <c r="AL35" i="11" s="1"/>
  <c r="AM35" i="11" s="1"/>
  <c r="AK7" i="11"/>
  <c r="AL7" i="11" s="1"/>
  <c r="M165" i="12" s="1"/>
  <c r="M147" i="12"/>
  <c r="AA35" i="11"/>
  <c r="AB35" i="11" s="1"/>
  <c r="AC35" i="11" s="1"/>
  <c r="AA7" i="11"/>
  <c r="AB7" i="11" s="1"/>
  <c r="K147" i="12"/>
  <c r="Q35" i="11"/>
  <c r="R35" i="11" s="1"/>
  <c r="S35" i="11" s="1"/>
  <c r="Q7" i="11"/>
  <c r="R7" i="11" s="1"/>
  <c r="S7" i="11" s="1"/>
  <c r="I147" i="12"/>
  <c r="AK8" i="11"/>
  <c r="AL8" i="11" s="1"/>
  <c r="AK50" i="11"/>
  <c r="AL50" i="11" s="1"/>
  <c r="AM50" i="11" s="1"/>
  <c r="M59" i="12"/>
  <c r="AA8" i="11"/>
  <c r="AB8" i="11" s="1"/>
  <c r="AC8" i="11" s="1"/>
  <c r="AA50" i="11"/>
  <c r="AB50" i="11" s="1"/>
  <c r="AC50" i="11" s="1"/>
  <c r="K59" i="12"/>
  <c r="Q8" i="11"/>
  <c r="R8" i="11" s="1"/>
  <c r="Q50" i="11"/>
  <c r="R50" i="11" s="1"/>
  <c r="S50" i="11" s="1"/>
  <c r="I59" i="12"/>
  <c r="AB58" i="12"/>
  <c r="DH35" i="11"/>
  <c r="DI35" i="11" s="1"/>
  <c r="DJ35" i="11" s="1"/>
  <c r="Z58" i="12"/>
  <c r="CX35" i="11"/>
  <c r="CY35" i="11" s="1"/>
  <c r="CX7" i="11"/>
  <c r="CY7" i="11" s="1"/>
  <c r="Z165" i="12" s="1"/>
  <c r="X58" i="12"/>
  <c r="CN35" i="11"/>
  <c r="CO35" i="11" s="1"/>
  <c r="CP35" i="11" s="1"/>
  <c r="CN7" i="11"/>
  <c r="CO7" i="11" s="1"/>
  <c r="X165" i="12" s="1"/>
  <c r="V58" i="12"/>
  <c r="CD35" i="11"/>
  <c r="CE35" i="11" s="1"/>
  <c r="CF35" i="11" s="1"/>
  <c r="CD7" i="11"/>
  <c r="CE7" i="11" s="1"/>
  <c r="CF7" i="11" s="1"/>
  <c r="T58" i="12"/>
  <c r="BT35" i="11"/>
  <c r="BU35" i="11" s="1"/>
  <c r="BV35" i="11" s="1"/>
  <c r="BT7" i="11"/>
  <c r="BU7" i="11" s="1"/>
  <c r="R58" i="12"/>
  <c r="BJ35" i="11"/>
  <c r="BK35" i="11" s="1"/>
  <c r="BL35" i="11" s="1"/>
  <c r="BJ7" i="11"/>
  <c r="BK7" i="11" s="1"/>
  <c r="R134" i="12" s="1"/>
  <c r="BJ21" i="11" s="1"/>
  <c r="P58" i="12"/>
  <c r="AZ35" i="11"/>
  <c r="BA35" i="11" s="1"/>
  <c r="BB35" i="11" s="1"/>
  <c r="AZ7" i="11"/>
  <c r="BA7" i="11" s="1"/>
  <c r="P165" i="12" s="1"/>
  <c r="N58" i="12"/>
  <c r="AP35" i="11"/>
  <c r="AQ35" i="11" s="1"/>
  <c r="AR35" i="11" s="1"/>
  <c r="AP7" i="11"/>
  <c r="AQ7" i="11" s="1"/>
  <c r="AR7" i="11" s="1"/>
  <c r="L58" i="12"/>
  <c r="AF35" i="11"/>
  <c r="AG35" i="11" s="1"/>
  <c r="AH35" i="11" s="1"/>
  <c r="AF7" i="11"/>
  <c r="AG7" i="11" s="1"/>
  <c r="J58" i="12"/>
  <c r="V35" i="11"/>
  <c r="W35" i="11" s="1"/>
  <c r="X35" i="11" s="1"/>
  <c r="V7" i="11"/>
  <c r="W7" i="11" s="1"/>
  <c r="J165" i="12" s="1"/>
  <c r="H58" i="12"/>
  <c r="L35" i="11"/>
  <c r="M35" i="11" s="1"/>
  <c r="N35" i="11" s="1"/>
  <c r="L7" i="11"/>
  <c r="M7" i="11" s="1"/>
  <c r="N7" i="11" s="1"/>
  <c r="Z295" i="12"/>
  <c r="H295" i="12"/>
  <c r="Y720" i="7"/>
  <c r="Q720" i="7"/>
  <c r="Y427" i="12"/>
  <c r="W427" i="12"/>
  <c r="U427" i="12"/>
  <c r="S427" i="12"/>
  <c r="Q427" i="12"/>
  <c r="O427" i="12"/>
  <c r="M427" i="12"/>
  <c r="K427" i="12"/>
  <c r="P737" i="7"/>
  <c r="Z451" i="12"/>
  <c r="AA452" i="12"/>
  <c r="AB462" i="12"/>
  <c r="AB335" i="12"/>
  <c r="Z443" i="12"/>
  <c r="X462" i="12"/>
  <c r="X469" i="12" s="1"/>
  <c r="X335" i="12"/>
  <c r="V443" i="12"/>
  <c r="T568" i="7"/>
  <c r="T569" i="7" s="1"/>
  <c r="T335" i="12"/>
  <c r="R443" i="12"/>
  <c r="P568" i="7"/>
  <c r="P569" i="7" s="1"/>
  <c r="P335" i="12"/>
  <c r="N305" i="12"/>
  <c r="N443" i="12"/>
  <c r="L568" i="7"/>
  <c r="L569" i="7" s="1"/>
  <c r="L335" i="12"/>
  <c r="J305" i="12"/>
  <c r="J443" i="12"/>
  <c r="H335" i="12"/>
  <c r="AA441" i="12"/>
  <c r="AB442" i="12"/>
  <c r="Z442" i="12"/>
  <c r="X442" i="12"/>
  <c r="V463" i="12"/>
  <c r="V470" i="12" s="1"/>
  <c r="V334" i="12"/>
  <c r="T442" i="12"/>
  <c r="R334" i="12"/>
  <c r="P442" i="12"/>
  <c r="N334" i="12"/>
  <c r="L442" i="12"/>
  <c r="J334" i="12"/>
  <c r="H442" i="12"/>
  <c r="Y301" i="12"/>
  <c r="Y345" i="12"/>
  <c r="U301" i="12"/>
  <c r="U345" i="12"/>
  <c r="Q301" i="12"/>
  <c r="Q345" i="12"/>
  <c r="M301" i="12"/>
  <c r="M345" i="12"/>
  <c r="I301" i="12"/>
  <c r="I345" i="12"/>
  <c r="Z300" i="12"/>
  <c r="Z304" i="12"/>
  <c r="X269" i="12"/>
  <c r="V304" i="12"/>
  <c r="R304" i="12"/>
  <c r="N304" i="12"/>
  <c r="J304" i="12"/>
  <c r="AA251" i="12"/>
  <c r="AA272" i="12"/>
  <c r="W251" i="12"/>
  <c r="W272" i="12"/>
  <c r="S251" i="12"/>
  <c r="S272" i="12"/>
  <c r="O251" i="12"/>
  <c r="O272" i="12"/>
  <c r="K251" i="12"/>
  <c r="K272" i="12"/>
  <c r="AB273" i="12"/>
  <c r="AB433" i="12"/>
  <c r="Z557" i="7"/>
  <c r="Z551" i="7"/>
  <c r="Z542" i="7"/>
  <c r="X273" i="12"/>
  <c r="X433" i="12"/>
  <c r="AA244" i="12"/>
  <c r="AA238" i="12"/>
  <c r="AA232" i="12"/>
  <c r="Y256" i="12"/>
  <c r="Y421" i="12"/>
  <c r="W256" i="12"/>
  <c r="W421" i="12"/>
  <c r="U256" i="12"/>
  <c r="U421" i="12"/>
  <c r="S244" i="12"/>
  <c r="S238" i="12"/>
  <c r="S232" i="12"/>
  <c r="Q256" i="12"/>
  <c r="Q421" i="12"/>
  <c r="O244" i="12"/>
  <c r="O238" i="12"/>
  <c r="O232" i="12"/>
  <c r="M256" i="12"/>
  <c r="M421" i="12"/>
  <c r="K244" i="12"/>
  <c r="K238" i="12"/>
  <c r="K232" i="12"/>
  <c r="I256" i="12"/>
  <c r="I421" i="12"/>
  <c r="V416" i="12"/>
  <c r="R416" i="12"/>
  <c r="N416" i="12"/>
  <c r="J416" i="12"/>
  <c r="Y419" i="12"/>
  <c r="W419" i="12"/>
  <c r="U419" i="12"/>
  <c r="S419" i="12"/>
  <c r="Q419" i="12"/>
  <c r="O419" i="12"/>
  <c r="M419" i="12"/>
  <c r="K419" i="12"/>
  <c r="I419" i="12"/>
  <c r="AB415" i="12"/>
  <c r="X415" i="12"/>
  <c r="V415" i="12"/>
  <c r="T415" i="12"/>
  <c r="R415" i="12"/>
  <c r="P415" i="12"/>
  <c r="N415" i="12"/>
  <c r="L415" i="12"/>
  <c r="J415" i="12"/>
  <c r="H415" i="12"/>
  <c r="AA414" i="12"/>
  <c r="W414" i="12"/>
  <c r="S414" i="12"/>
  <c r="O414" i="12"/>
  <c r="K414" i="12"/>
  <c r="AB397" i="12"/>
  <c r="Z397" i="12"/>
  <c r="X397" i="12"/>
  <c r="V255" i="12"/>
  <c r="T397" i="12"/>
  <c r="R255" i="12"/>
  <c r="P397" i="12"/>
  <c r="N255" i="12"/>
  <c r="L397" i="12"/>
  <c r="J255" i="12"/>
  <c r="H397" i="12"/>
  <c r="AA254" i="12"/>
  <c r="AA391" i="12"/>
  <c r="Y254" i="12"/>
  <c r="Y391" i="12"/>
  <c r="W254" i="12"/>
  <c r="W391" i="12"/>
  <c r="U254" i="12"/>
  <c r="U391" i="12"/>
  <c r="S254" i="12"/>
  <c r="S391" i="12"/>
  <c r="Q254" i="12"/>
  <c r="Q391" i="12"/>
  <c r="O254" i="12"/>
  <c r="O391" i="12"/>
  <c r="M366" i="12"/>
  <c r="K254" i="12"/>
  <c r="K391" i="12"/>
  <c r="I254" i="12"/>
  <c r="I391" i="12"/>
  <c r="AB156" i="12"/>
  <c r="Z156" i="12"/>
  <c r="X156" i="12"/>
  <c r="V156" i="12"/>
  <c r="T45" i="8"/>
  <c r="BT17" i="11"/>
  <c r="R45" i="8"/>
  <c r="BJ17" i="11"/>
  <c r="P45" i="8"/>
  <c r="AZ17" i="11"/>
  <c r="N45" i="8"/>
  <c r="AP17" i="11"/>
  <c r="J156" i="12"/>
  <c r="AA245" i="8"/>
  <c r="Y245" i="8"/>
  <c r="W245" i="8"/>
  <c r="U245" i="8"/>
  <c r="S245" i="8"/>
  <c r="Q245" i="8"/>
  <c r="O245" i="8"/>
  <c r="M245" i="8"/>
  <c r="K245" i="8"/>
  <c r="I245" i="8"/>
  <c r="AB155" i="12"/>
  <c r="AB129" i="12"/>
  <c r="Z155" i="12"/>
  <c r="Z129" i="12"/>
  <c r="X155" i="12"/>
  <c r="X129" i="12"/>
  <c r="V155" i="12"/>
  <c r="V129" i="12"/>
  <c r="T129" i="12"/>
  <c r="R129" i="12"/>
  <c r="P129" i="12"/>
  <c r="N129" i="12"/>
  <c r="L129" i="12"/>
  <c r="J129" i="12"/>
  <c r="H129" i="12"/>
  <c r="DC88" i="11"/>
  <c r="DD88" i="11" s="1"/>
  <c r="DE88" i="11" s="1"/>
  <c r="DC13" i="11"/>
  <c r="DD13" i="11" s="1"/>
  <c r="AA140" i="12" s="1"/>
  <c r="DC27" i="11" s="1"/>
  <c r="AA119" i="12"/>
  <c r="Y99" i="12"/>
  <c r="Y153" i="12"/>
  <c r="CI88" i="11"/>
  <c r="CJ88" i="11" s="1"/>
  <c r="CI13" i="11"/>
  <c r="CJ13" i="11" s="1"/>
  <c r="W119" i="12"/>
  <c r="U99" i="12"/>
  <c r="U153" i="12"/>
  <c r="BO88" i="11"/>
  <c r="BP88" i="11" s="1"/>
  <c r="BQ88" i="11" s="1"/>
  <c r="BO13" i="11"/>
  <c r="BP13" i="11" s="1"/>
  <c r="BQ13" i="11" s="1"/>
  <c r="S119" i="12"/>
  <c r="Q99" i="12"/>
  <c r="AU88" i="11"/>
  <c r="AV88" i="11" s="1"/>
  <c r="AW88" i="11" s="1"/>
  <c r="AU13" i="11"/>
  <c r="AV13" i="11" s="1"/>
  <c r="O119" i="12"/>
  <c r="M99" i="12"/>
  <c r="AA88" i="11"/>
  <c r="AB88" i="11" s="1"/>
  <c r="AC88" i="11" s="1"/>
  <c r="AA13" i="11"/>
  <c r="AB13" i="11" s="1"/>
  <c r="K140" i="12" s="1"/>
  <c r="AA27" i="11" s="1"/>
  <c r="K119" i="12"/>
  <c r="I99" i="12"/>
  <c r="AA118" i="12"/>
  <c r="CC165" i="17"/>
  <c r="W118" i="12"/>
  <c r="BM165" i="17"/>
  <c r="S118" i="12"/>
  <c r="AW165" i="17"/>
  <c r="O118" i="12"/>
  <c r="AG165" i="17"/>
  <c r="K118" i="12"/>
  <c r="Q165" i="17"/>
  <c r="AB128" i="12"/>
  <c r="Z128" i="12"/>
  <c r="X128" i="12"/>
  <c r="V128" i="12"/>
  <c r="T128" i="12"/>
  <c r="R128" i="12"/>
  <c r="P128" i="12"/>
  <c r="N128" i="12"/>
  <c r="L128" i="12"/>
  <c r="J128" i="12"/>
  <c r="H128" i="12"/>
  <c r="AA98" i="12"/>
  <c r="W98" i="12"/>
  <c r="AB76" i="12"/>
  <c r="Z76" i="12"/>
  <c r="X76" i="12"/>
  <c r="V76" i="12"/>
  <c r="T76" i="12"/>
  <c r="R76" i="12"/>
  <c r="P76" i="12"/>
  <c r="N76" i="12"/>
  <c r="L76" i="12"/>
  <c r="J76" i="12"/>
  <c r="H76" i="12"/>
  <c r="AA151" i="12"/>
  <c r="Y151" i="12"/>
  <c r="W151" i="12"/>
  <c r="U151" i="12"/>
  <c r="S151" i="12"/>
  <c r="Q151" i="12"/>
  <c r="O151" i="12"/>
  <c r="M151" i="12"/>
  <c r="K151" i="12"/>
  <c r="I151" i="12"/>
  <c r="AB60" i="12"/>
  <c r="Z60" i="12"/>
  <c r="X60" i="12"/>
  <c r="V60" i="12"/>
  <c r="T60" i="12"/>
  <c r="R60" i="12"/>
  <c r="P60" i="12"/>
  <c r="N60" i="12"/>
  <c r="L60" i="12"/>
  <c r="J60" i="12"/>
  <c r="H60" i="12"/>
  <c r="AA148" i="12"/>
  <c r="Y148" i="12"/>
  <c r="W148" i="12"/>
  <c r="U148" i="12"/>
  <c r="S148" i="12"/>
  <c r="Q148" i="12"/>
  <c r="O148" i="12"/>
  <c r="BG287" i="17"/>
  <c r="AQ287" i="17"/>
  <c r="W316" i="17"/>
  <c r="W318" i="17" s="1"/>
  <c r="AM316" i="17"/>
  <c r="AM318" i="17" s="1"/>
  <c r="AI284" i="17"/>
  <c r="BE305" i="17"/>
  <c r="BF305" i="17" s="1"/>
  <c r="S373" i="12" s="1"/>
  <c r="BD282" i="17"/>
  <c r="BD284" i="17" s="1"/>
  <c r="AC119" i="11"/>
  <c r="S179" i="12"/>
  <c r="BQ119" i="11"/>
  <c r="S319" i="17"/>
  <c r="S321" i="17" s="1"/>
  <c r="X285" i="17"/>
  <c r="X287" i="17" s="1"/>
  <c r="CK119" i="11"/>
  <c r="O179" i="12"/>
  <c r="AA316" i="17"/>
  <c r="AA318" i="17" s="1"/>
  <c r="AA284" i="17"/>
  <c r="BG316" i="17"/>
  <c r="BG318" i="17" s="1"/>
  <c r="BC284" i="17"/>
  <c r="BC316" i="17"/>
  <c r="BC318" i="17" s="1"/>
  <c r="AY316" i="17"/>
  <c r="AY318" i="17" s="1"/>
  <c r="AU284" i="17"/>
  <c r="AF71" i="11"/>
  <c r="L48" i="12" s="1"/>
  <c r="AY319" i="17"/>
  <c r="AY321" i="17" s="1"/>
  <c r="BC319" i="17"/>
  <c r="BC321" i="17" s="1"/>
  <c r="AK306" i="17"/>
  <c r="AL306" i="17" s="1"/>
  <c r="N374" i="12" s="1"/>
  <c r="AJ285" i="17"/>
  <c r="U306" i="17"/>
  <c r="V306" i="17" s="1"/>
  <c r="J374" i="12" s="1"/>
  <c r="T285" i="17"/>
  <c r="BD308" i="17"/>
  <c r="AV308" i="17"/>
  <c r="AJ308" i="17"/>
  <c r="T308" i="17"/>
  <c r="BY72" i="6"/>
  <c r="AC72" i="6"/>
  <c r="Q72" i="6"/>
  <c r="AA287" i="17"/>
  <c r="AU319" i="17"/>
  <c r="AU321" i="17" s="1"/>
  <c r="BI306" i="17"/>
  <c r="BJ306" i="17" s="1"/>
  <c r="T374" i="12" s="1"/>
  <c r="BH285" i="17"/>
  <c r="BA306" i="17"/>
  <c r="BB306" i="17" s="1"/>
  <c r="R374" i="12" s="1"/>
  <c r="AZ285" i="17"/>
  <c r="AS306" i="17"/>
  <c r="AT306" i="17" s="1"/>
  <c r="P374" i="12" s="1"/>
  <c r="AR285" i="17"/>
  <c r="AC306" i="17"/>
  <c r="AD306" i="17" s="1"/>
  <c r="L374" i="12" s="1"/>
  <c r="AB285" i="17"/>
  <c r="BH308" i="17"/>
  <c r="AZ308" i="17"/>
  <c r="AR308" i="17"/>
  <c r="AB308" i="17"/>
  <c r="DU80" i="6"/>
  <c r="DI80" i="6"/>
  <c r="CW80" i="6"/>
  <c r="CK80" i="6"/>
  <c r="BY80" i="6"/>
  <c r="BM80" i="6"/>
  <c r="DI66" i="6"/>
  <c r="CW66" i="6"/>
  <c r="BY66" i="6"/>
  <c r="BM66" i="6"/>
  <c r="BA66" i="6"/>
  <c r="AC66" i="6"/>
  <c r="Q66" i="6"/>
  <c r="EA72" i="6"/>
  <c r="DC72" i="6"/>
  <c r="CE72" i="6"/>
  <c r="DO62" i="6"/>
  <c r="CQ62" i="6"/>
  <c r="BS62" i="6"/>
  <c r="CD303" i="17"/>
  <c r="CC308" i="17"/>
  <c r="BV303" i="17"/>
  <c r="BU308" i="17"/>
  <c r="BN303" i="17"/>
  <c r="BM308" i="17"/>
  <c r="BF303" i="17"/>
  <c r="BE285" i="17"/>
  <c r="AP303" i="17"/>
  <c r="AO308" i="17"/>
  <c r="AH303" i="17"/>
  <c r="AG285" i="17"/>
  <c r="AG308" i="17"/>
  <c r="AG282" i="17"/>
  <c r="R303" i="17"/>
  <c r="Q285" i="17"/>
  <c r="Q308" i="17"/>
  <c r="Q282" i="17"/>
  <c r="Q284" i="17" s="1"/>
  <c r="AF316" i="17"/>
  <c r="AF318" i="17" s="1"/>
  <c r="AF284" i="17"/>
  <c r="X316" i="17"/>
  <c r="X318" i="17" s="1"/>
  <c r="X284" i="17"/>
  <c r="AZ284" i="17"/>
  <c r="AN316" i="17"/>
  <c r="AN318" i="17" s="1"/>
  <c r="AJ316" i="17"/>
  <c r="AJ318" i="17" s="1"/>
  <c r="AJ284" i="17"/>
  <c r="AB316" i="17"/>
  <c r="AB318" i="17" s="1"/>
  <c r="AB284" i="17"/>
  <c r="T316" i="17"/>
  <c r="T318" i="17" s="1"/>
  <c r="T284" i="17"/>
  <c r="CT131" i="17"/>
  <c r="DE10" i="17" s="1"/>
  <c r="DS58" i="11"/>
  <c r="BS72" i="6"/>
  <c r="W72" i="6"/>
  <c r="DO66" i="6"/>
  <c r="DC66" i="6"/>
  <c r="BS66" i="6"/>
  <c r="BG66" i="6"/>
  <c r="W66" i="6"/>
  <c r="K66" i="6"/>
  <c r="K65" i="6"/>
  <c r="DC62" i="6"/>
  <c r="CE62" i="6"/>
  <c r="BG62" i="6"/>
  <c r="BZ303" i="17"/>
  <c r="BY308" i="17"/>
  <c r="BR303" i="17"/>
  <c r="BQ308" i="17"/>
  <c r="BJ303" i="17"/>
  <c r="BB303" i="17"/>
  <c r="AT303" i="17"/>
  <c r="AL303" i="17"/>
  <c r="AD303" i="17"/>
  <c r="V303" i="17"/>
  <c r="N303" i="17"/>
  <c r="M308" i="17"/>
  <c r="Y373" i="12"/>
  <c r="W373" i="12"/>
  <c r="U373" i="12"/>
  <c r="M373" i="12"/>
  <c r="K373" i="12"/>
  <c r="I373" i="12"/>
  <c r="CT178" i="17"/>
  <c r="X373" i="12"/>
  <c r="V373" i="12"/>
  <c r="R373" i="12"/>
  <c r="P373" i="12"/>
  <c r="N373" i="12"/>
  <c r="L373" i="12"/>
  <c r="J373" i="12"/>
  <c r="AC165" i="12" l="1"/>
  <c r="DP7" i="11"/>
  <c r="DQ7" i="11" s="1"/>
  <c r="Y195" i="8"/>
  <c r="AA195" i="8"/>
  <c r="X195" i="8"/>
  <c r="X202" i="8" s="1"/>
  <c r="AY117" i="2"/>
  <c r="AC143" i="7"/>
  <c r="DN126" i="11"/>
  <c r="AC174" i="12"/>
  <c r="DL103" i="11"/>
  <c r="DQ103" i="11"/>
  <c r="DN105" i="11"/>
  <c r="DN103" i="11"/>
  <c r="AC106" i="12" s="1"/>
  <c r="DO101" i="11"/>
  <c r="DN90" i="11"/>
  <c r="DN122" i="11"/>
  <c r="AC172" i="12"/>
  <c r="E108" i="2" s="1"/>
  <c r="DL88" i="11"/>
  <c r="DQ88" i="11"/>
  <c r="DN88" i="11"/>
  <c r="DN123" i="11"/>
  <c r="DV50" i="11"/>
  <c r="AD199" i="12" s="1"/>
  <c r="AD193" i="12" s="1"/>
  <c r="F137" i="2" s="1"/>
  <c r="DS8" i="11"/>
  <c r="DU8" i="11" s="1"/>
  <c r="DX8" i="11" s="1"/>
  <c r="DK49" i="11"/>
  <c r="DQ47" i="11"/>
  <c r="DS64" i="11"/>
  <c r="DU64" i="11" s="1"/>
  <c r="DN64" i="11"/>
  <c r="DO64" i="11" s="1"/>
  <c r="DQ64" i="11"/>
  <c r="DN60" i="11"/>
  <c r="DO58" i="11"/>
  <c r="AB119" i="8"/>
  <c r="AB122" i="8"/>
  <c r="AU84" i="6"/>
  <c r="AQ96" i="6"/>
  <c r="CQ118" i="17"/>
  <c r="O60" i="6"/>
  <c r="Q84" i="6"/>
  <c r="R64" i="6"/>
  <c r="I418" i="20"/>
  <c r="Z418" i="20" s="1"/>
  <c r="AA117" i="8"/>
  <c r="AA151" i="8"/>
  <c r="AB151" i="8"/>
  <c r="M237" i="7"/>
  <c r="CL308" i="17"/>
  <c r="CJ337" i="17" s="1"/>
  <c r="CH308" i="17"/>
  <c r="D265" i="2"/>
  <c r="AU265" i="2" s="1"/>
  <c r="CI337" i="17"/>
  <c r="C261" i="2"/>
  <c r="AT261" i="2" s="1"/>
  <c r="C265" i="2"/>
  <c r="AT265" i="2" s="1"/>
  <c r="CL337" i="17"/>
  <c r="D261" i="2"/>
  <c r="AU261" i="2" s="1"/>
  <c r="CP308" i="17"/>
  <c r="CE337" i="17"/>
  <c r="CK337" i="17"/>
  <c r="K237" i="7"/>
  <c r="H418" i="20"/>
  <c r="Y418" i="20" s="1"/>
  <c r="I428" i="7"/>
  <c r="AC58" i="6"/>
  <c r="Q80" i="6"/>
  <c r="AU59" i="6"/>
  <c r="BA58" i="6"/>
  <c r="AO73" i="6"/>
  <c r="Q58" i="6"/>
  <c r="AI77" i="6"/>
  <c r="AU77" i="6"/>
  <c r="X96" i="6"/>
  <c r="DW95" i="6"/>
  <c r="O37" i="7"/>
  <c r="S37" i="7"/>
  <c r="N292" i="7"/>
  <c r="L245" i="7"/>
  <c r="AJ64" i="6"/>
  <c r="AP61" i="6"/>
  <c r="Y89" i="6"/>
  <c r="AP96" i="6"/>
  <c r="AC80" i="6"/>
  <c r="Q237" i="7"/>
  <c r="L237" i="7"/>
  <c r="L64" i="6"/>
  <c r="BC89" i="6"/>
  <c r="Q239" i="7"/>
  <c r="P245" i="7"/>
  <c r="P292" i="7"/>
  <c r="P231" i="7"/>
  <c r="R292" i="7"/>
  <c r="AU60" i="6"/>
  <c r="W77" i="6"/>
  <c r="N290" i="7"/>
  <c r="O39" i="7"/>
  <c r="P290" i="7"/>
  <c r="R290" i="7"/>
  <c r="R231" i="7"/>
  <c r="K273" i="7"/>
  <c r="K37" i="7"/>
  <c r="AA549" i="7"/>
  <c r="AB502" i="7"/>
  <c r="AB568" i="7"/>
  <c r="AB549" i="7"/>
  <c r="R67" i="6"/>
  <c r="K77" i="6"/>
  <c r="AD89" i="6"/>
  <c r="N85" i="6"/>
  <c r="AI60" i="6"/>
  <c r="R237" i="7"/>
  <c r="E208" i="2"/>
  <c r="H383" i="20" s="1"/>
  <c r="Y383" i="20" s="1"/>
  <c r="E194" i="2"/>
  <c r="L37" i="7"/>
  <c r="N239" i="7"/>
  <c r="M292" i="7"/>
  <c r="K290" i="7"/>
  <c r="AD96" i="6"/>
  <c r="AI76" i="6"/>
  <c r="AU79" i="6"/>
  <c r="BC61" i="6"/>
  <c r="BB96" i="6"/>
  <c r="CW73" i="11"/>
  <c r="AO59" i="6"/>
  <c r="Q73" i="6"/>
  <c r="BA73" i="6"/>
  <c r="R61" i="6"/>
  <c r="W94" i="6"/>
  <c r="AI79" i="6"/>
  <c r="AI84" i="6"/>
  <c r="AE67" i="6"/>
  <c r="BC96" i="6"/>
  <c r="AE89" i="6"/>
  <c r="AE61" i="6"/>
  <c r="BB89" i="6"/>
  <c r="BA81" i="6"/>
  <c r="AP67" i="6"/>
  <c r="K60" i="6"/>
  <c r="AO58" i="6"/>
  <c r="Q77" i="6"/>
  <c r="W84" i="6"/>
  <c r="BB61" i="6"/>
  <c r="AO84" i="6"/>
  <c r="X61" i="6"/>
  <c r="N237" i="7"/>
  <c r="P239" i="7"/>
  <c r="P39" i="7"/>
  <c r="M239" i="7"/>
  <c r="L39" i="7"/>
  <c r="P37" i="7"/>
  <c r="S237" i="7"/>
  <c r="M37" i="7"/>
  <c r="Q37" i="7"/>
  <c r="R245" i="7"/>
  <c r="O290" i="7"/>
  <c r="Q290" i="7"/>
  <c r="S290" i="7"/>
  <c r="N231" i="7"/>
  <c r="P237" i="7"/>
  <c r="N37" i="7"/>
  <c r="R37" i="7"/>
  <c r="Q231" i="7"/>
  <c r="S231" i="7"/>
  <c r="Q60" i="6"/>
  <c r="AO60" i="6"/>
  <c r="K82" i="6"/>
  <c r="BA82" i="6"/>
  <c r="AO77" i="6"/>
  <c r="W60" i="6"/>
  <c r="AC82" i="6"/>
  <c r="BA77" i="6"/>
  <c r="K59" i="6"/>
  <c r="AC84" i="6"/>
  <c r="AC79" i="6"/>
  <c r="K58" i="6"/>
  <c r="AU58" i="6"/>
  <c r="S61" i="6"/>
  <c r="AO76" i="6"/>
  <c r="W80" i="6"/>
  <c r="W58" i="6"/>
  <c r="K57" i="6"/>
  <c r="AI59" i="6"/>
  <c r="BA76" i="6"/>
  <c r="O245" i="7"/>
  <c r="M89" i="6"/>
  <c r="AJ96" i="6"/>
  <c r="P790" i="7"/>
  <c r="P791" i="7" s="1"/>
  <c r="R790" i="7"/>
  <c r="R791" i="7" s="1"/>
  <c r="AK96" i="6"/>
  <c r="AW89" i="6"/>
  <c r="S89" i="6"/>
  <c r="K81" i="6"/>
  <c r="S245" i="7"/>
  <c r="M245" i="7"/>
  <c r="L67" i="6"/>
  <c r="L290" i="7"/>
  <c r="K231" i="7"/>
  <c r="L231" i="7"/>
  <c r="L239" i="7"/>
  <c r="N245" i="7"/>
  <c r="AK89" i="6"/>
  <c r="AO62" i="6"/>
  <c r="AK67" i="6"/>
  <c r="AV67" i="6"/>
  <c r="BA62" i="6"/>
  <c r="O237" i="7"/>
  <c r="O239" i="7"/>
  <c r="S239" i="7"/>
  <c r="M39" i="7"/>
  <c r="Q39" i="7"/>
  <c r="M290" i="7"/>
  <c r="O292" i="7"/>
  <c r="Q292" i="7"/>
  <c r="R239" i="7"/>
  <c r="N39" i="7"/>
  <c r="R39" i="7"/>
  <c r="O231" i="7"/>
  <c r="AI58" i="6"/>
  <c r="AL85" i="6"/>
  <c r="Q82" i="6"/>
  <c r="AO82" i="6"/>
  <c r="BA60" i="6"/>
  <c r="AP64" i="6"/>
  <c r="X64" i="6"/>
  <c r="K84" i="6"/>
  <c r="AX85" i="6"/>
  <c r="AD64" i="6"/>
  <c r="AQ61" i="6"/>
  <c r="AJ61" i="6"/>
  <c r="AV64" i="6"/>
  <c r="BA84" i="6"/>
  <c r="AO79" i="6"/>
  <c r="AU80" i="6"/>
  <c r="Y61" i="6"/>
  <c r="AC77" i="6"/>
  <c r="AC60" i="6"/>
  <c r="BB64" i="6"/>
  <c r="AW61" i="6"/>
  <c r="W57" i="6"/>
  <c r="Q76" i="6"/>
  <c r="BD85" i="6"/>
  <c r="AC76" i="6"/>
  <c r="AW96" i="6"/>
  <c r="X89" i="6"/>
  <c r="AV96" i="6"/>
  <c r="AJ89" i="6"/>
  <c r="AI81" i="6"/>
  <c r="Q245" i="7"/>
  <c r="M231" i="7"/>
  <c r="X67" i="6"/>
  <c r="K245" i="7"/>
  <c r="K239" i="7"/>
  <c r="AW67" i="6"/>
  <c r="AP89" i="6"/>
  <c r="AI80" i="6"/>
  <c r="Q62" i="6"/>
  <c r="AC62" i="6"/>
  <c r="J123" i="7"/>
  <c r="DN46" i="6"/>
  <c r="DQ95" i="6"/>
  <c r="H147" i="7"/>
  <c r="I123" i="7"/>
  <c r="H180" i="7"/>
  <c r="H354" i="7" s="1"/>
  <c r="I568" i="7"/>
  <c r="I569" i="7" s="1"/>
  <c r="DZ46" i="6"/>
  <c r="L212" i="7"/>
  <c r="I152" i="7"/>
  <c r="G181" i="7"/>
  <c r="G193" i="7" s="1"/>
  <c r="G18" i="6"/>
  <c r="G22" i="6" s="1"/>
  <c r="G29" i="6" s="1"/>
  <c r="G34" i="6" s="1"/>
  <c r="G39" i="6" s="1"/>
  <c r="G48" i="6" s="1"/>
  <c r="G49" i="6" s="1"/>
  <c r="G144" i="7"/>
  <c r="M47" i="6"/>
  <c r="M96" i="6" s="1"/>
  <c r="I273" i="7"/>
  <c r="J13" i="6"/>
  <c r="U60" i="6"/>
  <c r="H548" i="7"/>
  <c r="H719" i="7"/>
  <c r="H720" i="7" s="1"/>
  <c r="H545" i="7"/>
  <c r="H554" i="7"/>
  <c r="K193" i="7"/>
  <c r="K187" i="7"/>
  <c r="K355" i="7"/>
  <c r="K376" i="7"/>
  <c r="J437" i="7"/>
  <c r="J448" i="7"/>
  <c r="K160" i="7"/>
  <c r="K152" i="7"/>
  <c r="K144" i="7"/>
  <c r="J555" i="7"/>
  <c r="J736" i="7"/>
  <c r="J737" i="7" s="1"/>
  <c r="J549" i="7"/>
  <c r="H511" i="7"/>
  <c r="H723" i="7"/>
  <c r="H725" i="7" s="1"/>
  <c r="H491" i="7"/>
  <c r="J348" i="7"/>
  <c r="J778" i="7"/>
  <c r="J782" i="7" s="1"/>
  <c r="J339" i="7"/>
  <c r="J330" i="7"/>
  <c r="G375" i="7"/>
  <c r="G354" i="7"/>
  <c r="G192" i="7"/>
  <c r="J376" i="7"/>
  <c r="J355" i="7"/>
  <c r="J193" i="7"/>
  <c r="I451" i="7"/>
  <c r="I440" i="7"/>
  <c r="I627" i="7"/>
  <c r="G719" i="7"/>
  <c r="G720" i="7" s="1"/>
  <c r="G554" i="7"/>
  <c r="G545" i="7"/>
  <c r="K228" i="7"/>
  <c r="N229" i="7" s="1"/>
  <c r="L22" i="6"/>
  <c r="L29" i="6" s="1"/>
  <c r="K180" i="7"/>
  <c r="L186" i="7" s="1"/>
  <c r="H555" i="7"/>
  <c r="H736" i="7"/>
  <c r="H737" i="7" s="1"/>
  <c r="H549" i="7"/>
  <c r="H500" i="7"/>
  <c r="I348" i="7"/>
  <c r="I778" i="7"/>
  <c r="I782" i="7" s="1"/>
  <c r="I339" i="7"/>
  <c r="I330" i="7"/>
  <c r="J273" i="7"/>
  <c r="G428" i="7"/>
  <c r="K668" i="7"/>
  <c r="K661" i="7"/>
  <c r="H193" i="7"/>
  <c r="H376" i="7"/>
  <c r="H355" i="7"/>
  <c r="O30" i="6"/>
  <c r="O79" i="6" s="1"/>
  <c r="J568" i="7"/>
  <c r="J569" i="7" s="1"/>
  <c r="K448" i="7"/>
  <c r="K437" i="7"/>
  <c r="H123" i="7"/>
  <c r="J440" i="7"/>
  <c r="G377" i="7"/>
  <c r="G356" i="7"/>
  <c r="G368" i="7" s="1"/>
  <c r="G194" i="7"/>
  <c r="I147" i="7"/>
  <c r="I155" i="7"/>
  <c r="G668" i="7"/>
  <c r="G661" i="7"/>
  <c r="I377" i="7"/>
  <c r="I356" i="7"/>
  <c r="I188" i="7"/>
  <c r="I194" i="7"/>
  <c r="I181" i="7"/>
  <c r="I183" i="7" s="1"/>
  <c r="H448" i="7"/>
  <c r="H437" i="7"/>
  <c r="I228" i="7"/>
  <c r="L229" i="7" s="1"/>
  <c r="I668" i="7"/>
  <c r="I661" i="7"/>
  <c r="H375" i="7"/>
  <c r="S18" i="6"/>
  <c r="S67" i="6" s="1"/>
  <c r="K638" i="7"/>
  <c r="K629" i="7"/>
  <c r="L47" i="6"/>
  <c r="J377" i="7"/>
  <c r="J188" i="7"/>
  <c r="J194" i="7"/>
  <c r="J356" i="7"/>
  <c r="AD18" i="6"/>
  <c r="AD67" i="6" s="1"/>
  <c r="H668" i="7"/>
  <c r="H661" i="7"/>
  <c r="Y47" i="6"/>
  <c r="Y96" i="6" s="1"/>
  <c r="L40" i="6"/>
  <c r="L89" i="6" s="1"/>
  <c r="AA28" i="6"/>
  <c r="AA77" i="6" s="1"/>
  <c r="K194" i="7"/>
  <c r="K377" i="7"/>
  <c r="K356" i="7"/>
  <c r="K188" i="7"/>
  <c r="J428" i="7"/>
  <c r="K549" i="7"/>
  <c r="F47" i="6"/>
  <c r="J47" i="6" s="1"/>
  <c r="L152" i="7"/>
  <c r="AG79" i="6"/>
  <c r="AM60" i="6"/>
  <c r="U77" i="6"/>
  <c r="J147" i="7"/>
  <c r="H152" i="7"/>
  <c r="H144" i="7"/>
  <c r="H160" i="7"/>
  <c r="I192" i="7"/>
  <c r="I375" i="7"/>
  <c r="I354" i="7"/>
  <c r="J152" i="7"/>
  <c r="J144" i="7"/>
  <c r="J160" i="7"/>
  <c r="G782" i="7"/>
  <c r="H428" i="7"/>
  <c r="I437" i="7"/>
  <c r="I448" i="7"/>
  <c r="H440" i="7"/>
  <c r="H451" i="7"/>
  <c r="H627" i="7"/>
  <c r="G638" i="7"/>
  <c r="G629" i="7"/>
  <c r="I500" i="7"/>
  <c r="K339" i="7"/>
  <c r="I212" i="7"/>
  <c r="H777" i="7"/>
  <c r="H782" i="7" s="1"/>
  <c r="H795" i="7" s="1"/>
  <c r="H796" i="7" s="1"/>
  <c r="H224" i="7"/>
  <c r="H212" i="7"/>
  <c r="H206" i="7"/>
  <c r="K123" i="7"/>
  <c r="J180" i="7"/>
  <c r="H194" i="7"/>
  <c r="H377" i="7"/>
  <c r="H356" i="7"/>
  <c r="H188" i="7"/>
  <c r="J668" i="7"/>
  <c r="J661" i="7"/>
  <c r="J638" i="7"/>
  <c r="J629" i="7"/>
  <c r="K224" i="7"/>
  <c r="K212" i="7"/>
  <c r="K777" i="7"/>
  <c r="K782" i="7" s="1"/>
  <c r="K206" i="7"/>
  <c r="AA109" i="8"/>
  <c r="EB40" i="6"/>
  <c r="EB89" i="6" s="1"/>
  <c r="AC488" i="7"/>
  <c r="AD488" i="7" s="1"/>
  <c r="AE488" i="7" s="1"/>
  <c r="Q127" i="8"/>
  <c r="Q130" i="8" s="1"/>
  <c r="Y127" i="8"/>
  <c r="BU67" i="6"/>
  <c r="I347" i="12"/>
  <c r="Y198" i="8"/>
  <c r="Y205" i="8" s="1"/>
  <c r="Z206" i="8"/>
  <c r="X198" i="8"/>
  <c r="X205" i="8" s="1"/>
  <c r="CR93" i="17"/>
  <c r="Z203" i="8"/>
  <c r="S782" i="7"/>
  <c r="K15" i="21" s="1"/>
  <c r="K21" i="21" s="1"/>
  <c r="CR92" i="17"/>
  <c r="V628" i="7"/>
  <c r="V639" i="7" s="1"/>
  <c r="F345" i="20"/>
  <c r="W345" i="20" s="1"/>
  <c r="G345" i="20"/>
  <c r="X345" i="20" s="1"/>
  <c r="CS93" i="17"/>
  <c r="V206" i="8"/>
  <c r="V203" i="8"/>
  <c r="Z420" i="12"/>
  <c r="J116" i="2"/>
  <c r="K104" i="20" s="1"/>
  <c r="AB104" i="20" s="1"/>
  <c r="CI81" i="6"/>
  <c r="N123" i="2"/>
  <c r="J123" i="2"/>
  <c r="CX240" i="17"/>
  <c r="CX14" i="17" s="1"/>
  <c r="S203" i="8"/>
  <c r="I127" i="8"/>
  <c r="I130" i="8" s="1"/>
  <c r="F262" i="2"/>
  <c r="AW262" i="2" s="1"/>
  <c r="G262" i="2"/>
  <c r="AX262" i="2" s="1"/>
  <c r="F261" i="2"/>
  <c r="AW261" i="2" s="1"/>
  <c r="G261" i="2"/>
  <c r="AX261" i="2" s="1"/>
  <c r="F264" i="2"/>
  <c r="AW263" i="2" s="1"/>
  <c r="G264" i="2"/>
  <c r="AX263" i="2" s="1"/>
  <c r="CU306" i="17"/>
  <c r="AC374" i="12"/>
  <c r="AA119" i="8"/>
  <c r="Z109" i="8"/>
  <c r="X119" i="8"/>
  <c r="X109" i="8"/>
  <c r="H420" i="12"/>
  <c r="K420" i="12"/>
  <c r="AC381" i="12"/>
  <c r="E274" i="2" s="1"/>
  <c r="O239" i="17"/>
  <c r="W239" i="17"/>
  <c r="AE239" i="17"/>
  <c r="AM239" i="17"/>
  <c r="AU239" i="17"/>
  <c r="BC239" i="17"/>
  <c r="N347" i="12"/>
  <c r="K239" i="17"/>
  <c r="S239" i="17"/>
  <c r="AA239" i="17"/>
  <c r="AI239" i="17"/>
  <c r="AQ239" i="17"/>
  <c r="AY239" i="17"/>
  <c r="BG239" i="17"/>
  <c r="M347" i="12"/>
  <c r="W347" i="12"/>
  <c r="H347" i="12"/>
  <c r="T83" i="8"/>
  <c r="Q433" i="12"/>
  <c r="BK86" i="17"/>
  <c r="BK8" i="17" s="1"/>
  <c r="BB248" i="17"/>
  <c r="AA206" i="8"/>
  <c r="N628" i="7"/>
  <c r="N639" i="7" s="1"/>
  <c r="U202" i="8"/>
  <c r="L782" i="7"/>
  <c r="D15" i="21" s="1"/>
  <c r="CO81" i="6"/>
  <c r="BW77" i="6"/>
  <c r="AZ121" i="2"/>
  <c r="AA60" i="6"/>
  <c r="EE32" i="6"/>
  <c r="EE81" i="6" s="1"/>
  <c r="N790" i="7"/>
  <c r="N791" i="7" s="1"/>
  <c r="X347" i="12"/>
  <c r="S420" i="12"/>
  <c r="L202" i="8"/>
  <c r="X74" i="8"/>
  <c r="P347" i="12"/>
  <c r="AB723" i="7"/>
  <c r="R206" i="8"/>
  <c r="W122" i="8"/>
  <c r="AB303" i="7"/>
  <c r="H202" i="8"/>
  <c r="EE24" i="6"/>
  <c r="EE73" i="6" s="1"/>
  <c r="L790" i="7"/>
  <c r="L791" i="7" s="1"/>
  <c r="Q347" i="12"/>
  <c r="N420" i="12"/>
  <c r="O420" i="12"/>
  <c r="W119" i="8"/>
  <c r="DJ67" i="6"/>
  <c r="DH30" i="6"/>
  <c r="DH79" i="6" s="1"/>
  <c r="DY79" i="6"/>
  <c r="DG79" i="6"/>
  <c r="M118" i="8"/>
  <c r="N72" i="8"/>
  <c r="DS79" i="6"/>
  <c r="DS77" i="6"/>
  <c r="DY77" i="6"/>
  <c r="DN13" i="6"/>
  <c r="DN62" i="6" s="1"/>
  <c r="CC77" i="6"/>
  <c r="L72" i="8"/>
  <c r="BR13" i="6"/>
  <c r="BR62" i="6" s="1"/>
  <c r="O119" i="8"/>
  <c r="AA782" i="7"/>
  <c r="AA461" i="12" s="1"/>
  <c r="AA468" i="12" s="1"/>
  <c r="U42" i="8"/>
  <c r="L119" i="8"/>
  <c r="BW60" i="6"/>
  <c r="CT325" i="17"/>
  <c r="T198" i="8"/>
  <c r="T205" i="8" s="1"/>
  <c r="F222" i="2"/>
  <c r="J419" i="20" s="1"/>
  <c r="AA419" i="20" s="1"/>
  <c r="H85" i="17"/>
  <c r="V555" i="7"/>
  <c r="Y206" i="8"/>
  <c r="T204" i="8"/>
  <c r="F246" i="2"/>
  <c r="J417" i="20" s="1"/>
  <c r="AA417" i="20" s="1"/>
  <c r="M72" i="8"/>
  <c r="T206" i="8"/>
  <c r="X72" i="8"/>
  <c r="DM60" i="6"/>
  <c r="AA198" i="8"/>
  <c r="AA205" i="8" s="1"/>
  <c r="K122" i="8"/>
  <c r="Z160" i="8"/>
  <c r="BJ85" i="17"/>
  <c r="T203" i="8"/>
  <c r="T202" i="8"/>
  <c r="BK79" i="6"/>
  <c r="O72" i="8"/>
  <c r="K202" i="8"/>
  <c r="K203" i="8"/>
  <c r="U41" i="8"/>
  <c r="N204" i="8"/>
  <c r="V204" i="8"/>
  <c r="CI79" i="6"/>
  <c r="CS89" i="6"/>
  <c r="AD426" i="7"/>
  <c r="AE426" i="7" s="1"/>
  <c r="Z204" i="8"/>
  <c r="AC627" i="7"/>
  <c r="AB779" i="7"/>
  <c r="Q202" i="8"/>
  <c r="Y202" i="8"/>
  <c r="I203" i="8"/>
  <c r="Q203" i="8"/>
  <c r="U428" i="7"/>
  <c r="Y203" i="8"/>
  <c r="L83" i="8"/>
  <c r="I119" i="8"/>
  <c r="Y119" i="8"/>
  <c r="O83" i="8"/>
  <c r="F151" i="2"/>
  <c r="AW151" i="2" s="1"/>
  <c r="L628" i="7"/>
  <c r="L639" i="7" s="1"/>
  <c r="R628" i="7"/>
  <c r="R639" i="7" s="1"/>
  <c r="K347" i="12"/>
  <c r="P119" i="8"/>
  <c r="Z74" i="8"/>
  <c r="P72" i="8"/>
  <c r="Q420" i="12"/>
  <c r="X420" i="12"/>
  <c r="DA81" i="6"/>
  <c r="T347" i="12"/>
  <c r="AY121" i="2"/>
  <c r="Y72" i="8"/>
  <c r="U72" i="8"/>
  <c r="AC258" i="7"/>
  <c r="EK24" i="6" s="1"/>
  <c r="Z782" i="7"/>
  <c r="Z784" i="7" s="1"/>
  <c r="H119" i="8"/>
  <c r="AB420" i="12"/>
  <c r="L198" i="8"/>
  <c r="L205" i="8" s="1"/>
  <c r="O122" i="8"/>
  <c r="P782" i="7"/>
  <c r="P795" i="7" s="1"/>
  <c r="P796" i="7" s="1"/>
  <c r="X160" i="8"/>
  <c r="Z70" i="8"/>
  <c r="I122" i="8"/>
  <c r="Y122" i="8"/>
  <c r="H122" i="8"/>
  <c r="F150" i="2"/>
  <c r="K199" i="20" s="1"/>
  <c r="AB199" i="20" s="1"/>
  <c r="DG60" i="6"/>
  <c r="AY81" i="6"/>
  <c r="P420" i="12"/>
  <c r="O203" i="8"/>
  <c r="S122" i="8"/>
  <c r="Q119" i="8"/>
  <c r="X628" i="7"/>
  <c r="X639" i="7" s="1"/>
  <c r="V782" i="7"/>
  <c r="T74" i="8"/>
  <c r="U420" i="12"/>
  <c r="M420" i="12"/>
  <c r="S119" i="8"/>
  <c r="T420" i="12"/>
  <c r="X203" i="8"/>
  <c r="G147" i="8"/>
  <c r="G161" i="8" s="1"/>
  <c r="I206" i="8"/>
  <c r="M782" i="7"/>
  <c r="M783" i="7" s="1"/>
  <c r="M784" i="7" s="1"/>
  <c r="Q782" i="7"/>
  <c r="X204" i="8"/>
  <c r="P628" i="7"/>
  <c r="P639" i="7" s="1"/>
  <c r="BT96" i="6"/>
  <c r="W72" i="8"/>
  <c r="Y568" i="7"/>
  <c r="Y569" i="7" s="1"/>
  <c r="H198" i="8"/>
  <c r="H205" i="8" s="1"/>
  <c r="CS47" i="6"/>
  <c r="CS96" i="6" s="1"/>
  <c r="J195" i="8"/>
  <c r="J202" i="8" s="1"/>
  <c r="V347" i="12"/>
  <c r="AC382" i="12"/>
  <c r="T119" i="8"/>
  <c r="BN96" i="6"/>
  <c r="AA74" i="8"/>
  <c r="AA72" i="8"/>
  <c r="DP64" i="6"/>
  <c r="DM81" i="6"/>
  <c r="G540" i="20"/>
  <c r="X540" i="20" s="1"/>
  <c r="T292" i="7"/>
  <c r="X292" i="7"/>
  <c r="CD31" i="6"/>
  <c r="CD80" i="6" s="1"/>
  <c r="I419" i="20"/>
  <c r="Z419" i="20" s="1"/>
  <c r="DZ31" i="6"/>
  <c r="DZ80" i="6" s="1"/>
  <c r="O178" i="12"/>
  <c r="ED69" i="6"/>
  <c r="BQ81" i="6"/>
  <c r="BM32" i="6"/>
  <c r="BR32" i="6" s="1"/>
  <c r="BR81" i="6" s="1"/>
  <c r="AG81" i="6"/>
  <c r="BW81" i="6"/>
  <c r="DY73" i="6"/>
  <c r="AG64" i="11"/>
  <c r="L170" i="12" s="1"/>
  <c r="AM79" i="6"/>
  <c r="CR89" i="6"/>
  <c r="AU252" i="2"/>
  <c r="CU77" i="6"/>
  <c r="U81" i="6"/>
  <c r="H419" i="20"/>
  <c r="Y419" i="20" s="1"/>
  <c r="AN247" i="17"/>
  <c r="AL248" i="17"/>
  <c r="AE90" i="8"/>
  <c r="F185" i="2"/>
  <c r="AW185" i="2" s="1"/>
  <c r="AE747" i="7"/>
  <c r="EV28" i="6"/>
  <c r="AE759" i="7"/>
  <c r="EV44" i="6"/>
  <c r="AE300" i="7"/>
  <c r="G221" i="2" s="1"/>
  <c r="F221" i="2"/>
  <c r="AW221" i="2" s="1"/>
  <c r="AE483" i="7"/>
  <c r="G248" i="2" s="1"/>
  <c r="AX248" i="2" s="1"/>
  <c r="F248" i="2"/>
  <c r="AW248" i="2" s="1"/>
  <c r="AE694" i="7"/>
  <c r="EV25" i="6"/>
  <c r="F216" i="2"/>
  <c r="J412" i="20" s="1"/>
  <c r="AA412" i="20" s="1"/>
  <c r="P85" i="17"/>
  <c r="X85" i="17"/>
  <c r="AF85" i="17"/>
  <c r="AN85" i="17"/>
  <c r="AV85" i="17"/>
  <c r="BD85" i="17"/>
  <c r="V248" i="17"/>
  <c r="ES7" i="6"/>
  <c r="DZ118" i="11"/>
  <c r="M190" i="17"/>
  <c r="I173" i="17"/>
  <c r="T290" i="7"/>
  <c r="X290" i="7"/>
  <c r="AE422" i="7"/>
  <c r="F244" i="2"/>
  <c r="J483" i="20" s="1"/>
  <c r="AA483" i="20" s="1"/>
  <c r="AE425" i="7"/>
  <c r="AE745" i="7"/>
  <c r="EV10" i="6"/>
  <c r="AE482" i="7"/>
  <c r="G230" i="2" s="1"/>
  <c r="AX230" i="2" s="1"/>
  <c r="F230" i="2"/>
  <c r="AW230" i="2" s="1"/>
  <c r="AC380" i="12"/>
  <c r="CT326" i="17"/>
  <c r="N121" i="2"/>
  <c r="BE121" i="2" s="1"/>
  <c r="J121" i="2"/>
  <c r="DB280" i="17"/>
  <c r="DB281" i="17"/>
  <c r="CY280" i="17"/>
  <c r="J112" i="20"/>
  <c r="AA112" i="20" s="1"/>
  <c r="AZ123" i="2"/>
  <c r="AB780" i="7"/>
  <c r="AE746" i="7"/>
  <c r="EV19" i="6"/>
  <c r="X245" i="7"/>
  <c r="EV33" i="6"/>
  <c r="AE754" i="7"/>
  <c r="O127" i="8"/>
  <c r="O130" i="8" s="1"/>
  <c r="W127" i="8"/>
  <c r="Y74" i="8"/>
  <c r="V549" i="7"/>
  <c r="R203" i="8"/>
  <c r="K83" i="8"/>
  <c r="CZ278" i="17"/>
  <c r="EV9" i="6"/>
  <c r="AE424" i="7"/>
  <c r="AE751" i="7"/>
  <c r="AE753" i="7"/>
  <c r="EV30" i="6"/>
  <c r="AE761" i="7"/>
  <c r="EV45" i="6"/>
  <c r="V83" i="8"/>
  <c r="K182" i="17"/>
  <c r="O182" i="17"/>
  <c r="S182" i="17"/>
  <c r="W182" i="17"/>
  <c r="AA182" i="17"/>
  <c r="AE182" i="17"/>
  <c r="AI182" i="17"/>
  <c r="AM182" i="17"/>
  <c r="AQ182" i="17"/>
  <c r="AU182" i="17"/>
  <c r="AY182" i="17"/>
  <c r="BC182" i="17"/>
  <c r="BG182" i="17"/>
  <c r="CY278" i="17"/>
  <c r="DA281" i="17"/>
  <c r="ES6" i="6"/>
  <c r="DZ117" i="11"/>
  <c r="AE656" i="7"/>
  <c r="AE755" i="7"/>
  <c r="EV35" i="6"/>
  <c r="CZ277" i="17"/>
  <c r="H206" i="8"/>
  <c r="X206" i="8"/>
  <c r="U347" i="12"/>
  <c r="CZ279" i="17"/>
  <c r="C217" i="2"/>
  <c r="AT217" i="2" s="1"/>
  <c r="DS73" i="6"/>
  <c r="T72" i="8"/>
  <c r="K121" i="2"/>
  <c r="W782" i="7"/>
  <c r="W784" i="7" s="1"/>
  <c r="J420" i="12"/>
  <c r="AC301" i="7"/>
  <c r="AD301" i="7" s="1"/>
  <c r="AE301" i="7" s="1"/>
  <c r="AE658" i="7"/>
  <c r="EV21" i="6"/>
  <c r="AE163" i="7"/>
  <c r="Z72" i="8"/>
  <c r="K127" i="8"/>
  <c r="K130" i="8" s="1"/>
  <c r="S127" i="8"/>
  <c r="S130" i="8" s="1"/>
  <c r="AA127" i="8"/>
  <c r="DA279" i="17"/>
  <c r="V736" i="7"/>
  <c r="V737" i="7" s="1"/>
  <c r="S83" i="8"/>
  <c r="DB277" i="17"/>
  <c r="AB72" i="8"/>
  <c r="N782" i="7"/>
  <c r="F15" i="21" s="1"/>
  <c r="F24" i="21" s="1"/>
  <c r="R782" i="7"/>
  <c r="N83" i="8"/>
  <c r="I182" i="17"/>
  <c r="M182" i="17"/>
  <c r="Q182" i="17"/>
  <c r="U182" i="17"/>
  <c r="Y182" i="17"/>
  <c r="AC182" i="17"/>
  <c r="AG182" i="17"/>
  <c r="AK182" i="17"/>
  <c r="AO182" i="17"/>
  <c r="AS182" i="17"/>
  <c r="AW182" i="17"/>
  <c r="BA182" i="17"/>
  <c r="BE182" i="17"/>
  <c r="BI182" i="17"/>
  <c r="EP26" i="6"/>
  <c r="AE254" i="7"/>
  <c r="EV26" i="6" s="1"/>
  <c r="DB278" i="17"/>
  <c r="DB279" i="17"/>
  <c r="CZ281" i="17"/>
  <c r="O347" i="12"/>
  <c r="Y347" i="12"/>
  <c r="S74" i="8"/>
  <c r="V72" i="8"/>
  <c r="W420" i="12"/>
  <c r="CI73" i="6"/>
  <c r="U172" i="12"/>
  <c r="CZ102" i="11"/>
  <c r="BG87" i="11"/>
  <c r="CE105" i="11"/>
  <c r="CK59" i="11"/>
  <c r="AR102" i="11"/>
  <c r="DE101" i="11"/>
  <c r="Z174" i="12"/>
  <c r="S87" i="11"/>
  <c r="X102" i="11"/>
  <c r="AV60" i="11"/>
  <c r="O168" i="12" s="1"/>
  <c r="BL102" i="11"/>
  <c r="CU87" i="11"/>
  <c r="V174" i="12"/>
  <c r="K488" i="20"/>
  <c r="AB488" i="20" s="1"/>
  <c r="D105" i="2"/>
  <c r="D288" i="2" s="1"/>
  <c r="C288" i="2" s="1"/>
  <c r="G152" i="20" s="1"/>
  <c r="X152" i="20" s="1"/>
  <c r="J488" i="20"/>
  <c r="AA488" i="20" s="1"/>
  <c r="CY105" i="11"/>
  <c r="BR31" i="6"/>
  <c r="BR80" i="6" s="1"/>
  <c r="D131" i="2"/>
  <c r="D299" i="2" s="1"/>
  <c r="C299" i="2" s="1"/>
  <c r="G150" i="20" s="1"/>
  <c r="X150" i="20" s="1"/>
  <c r="BP64" i="11"/>
  <c r="S170" i="12" s="1"/>
  <c r="DL64" i="11"/>
  <c r="E252" i="2"/>
  <c r="I540" i="20" s="1"/>
  <c r="Z540" i="20" s="1"/>
  <c r="D109" i="2"/>
  <c r="AU109" i="2" s="1"/>
  <c r="E137" i="2"/>
  <c r="DV81" i="11"/>
  <c r="AD263" i="12" s="1"/>
  <c r="DX81" i="11"/>
  <c r="DZ81" i="11" s="1"/>
  <c r="EA81" i="11" s="1"/>
  <c r="AE263" i="12" s="1"/>
  <c r="N167" i="12"/>
  <c r="EE79" i="6"/>
  <c r="N136" i="12"/>
  <c r="AP23" i="11" s="1"/>
  <c r="DB64" i="11"/>
  <c r="CY64" i="11"/>
  <c r="CZ64" i="11" s="1"/>
  <c r="CE64" i="11"/>
  <c r="V170" i="12" s="1"/>
  <c r="AY96" i="11"/>
  <c r="O77" i="6"/>
  <c r="AO32" i="6"/>
  <c r="AO81" i="6" s="1"/>
  <c r="E24" i="6"/>
  <c r="J31" i="6" s="1"/>
  <c r="AS81" i="6"/>
  <c r="BO22" i="6"/>
  <c r="BO29" i="6" s="1"/>
  <c r="DB13" i="6"/>
  <c r="DB62" i="6" s="1"/>
  <c r="AW68" i="17"/>
  <c r="AC87" i="11"/>
  <c r="N102" i="11"/>
  <c r="BQ86" i="11"/>
  <c r="DB31" i="6"/>
  <c r="DB80" i="6" s="1"/>
  <c r="BO67" i="6"/>
  <c r="CC64" i="11"/>
  <c r="CA67" i="6"/>
  <c r="BZ96" i="6"/>
  <c r="DV96" i="6"/>
  <c r="CY89" i="6"/>
  <c r="U64" i="11"/>
  <c r="DY60" i="6"/>
  <c r="DZ30" i="6"/>
  <c r="DZ79" i="6" s="1"/>
  <c r="DK65" i="11"/>
  <c r="DQ65" i="11" s="1"/>
  <c r="F484" i="20"/>
  <c r="W484" i="20" s="1"/>
  <c r="BE81" i="6"/>
  <c r="Q32" i="6"/>
  <c r="Q81" i="6" s="1"/>
  <c r="DD22" i="6"/>
  <c r="DD29" i="6" s="1"/>
  <c r="O81" i="6"/>
  <c r="CH84" i="17"/>
  <c r="DK67" i="6"/>
  <c r="CW64" i="11"/>
  <c r="DM77" i="6"/>
  <c r="CL67" i="6"/>
  <c r="CF9" i="11"/>
  <c r="DS12" i="6"/>
  <c r="DS61" i="6" s="1"/>
  <c r="W32" i="6"/>
  <c r="DS60" i="6"/>
  <c r="CC81" i="6"/>
  <c r="DP89" i="6"/>
  <c r="Q68" i="17"/>
  <c r="BK64" i="11"/>
  <c r="R170" i="12" s="1"/>
  <c r="V167" i="12"/>
  <c r="CC60" i="6"/>
  <c r="CT64" i="11"/>
  <c r="Y170" i="12" s="1"/>
  <c r="BS32" i="6"/>
  <c r="BX32" i="6" s="1"/>
  <c r="BX81" i="6" s="1"/>
  <c r="DA60" i="6"/>
  <c r="AQ64" i="11"/>
  <c r="AR64" i="11" s="1"/>
  <c r="BI64" i="11"/>
  <c r="CV13" i="6"/>
  <c r="CV62" i="6" s="1"/>
  <c r="BY32" i="6"/>
  <c r="AP84" i="17"/>
  <c r="CY67" i="6"/>
  <c r="AL84" i="17"/>
  <c r="CM96" i="6"/>
  <c r="AD51" i="12"/>
  <c r="AD58" i="12" s="1"/>
  <c r="AE7" i="12"/>
  <c r="DB24" i="17" s="1"/>
  <c r="AD71" i="12"/>
  <c r="AD77" i="12" s="1"/>
  <c r="AE64" i="12"/>
  <c r="DB126" i="17" s="1"/>
  <c r="BV102" i="11"/>
  <c r="CX165" i="17"/>
  <c r="CX178" i="17" s="1"/>
  <c r="AE82" i="12"/>
  <c r="DB165" i="17" s="1"/>
  <c r="AD28" i="12"/>
  <c r="CQ65" i="11"/>
  <c r="CW65" i="11" s="1"/>
  <c r="CD13" i="6"/>
  <c r="CD62" i="6" s="1"/>
  <c r="CO73" i="6"/>
  <c r="DK22" i="6"/>
  <c r="DK29" i="6" s="1"/>
  <c r="CX225" i="17"/>
  <c r="CX238" i="17" s="1"/>
  <c r="AE103" i="12"/>
  <c r="DB225" i="17" s="1"/>
  <c r="AE192" i="12"/>
  <c r="DM79" i="6"/>
  <c r="BO89" i="6"/>
  <c r="DJ96" i="6"/>
  <c r="BZ64" i="11"/>
  <c r="CA64" i="11" s="1"/>
  <c r="BN89" i="6"/>
  <c r="BU89" i="6"/>
  <c r="DW67" i="6"/>
  <c r="CX168" i="17"/>
  <c r="CX181" i="17" s="1"/>
  <c r="AE81" i="12"/>
  <c r="DB168" i="17" s="1"/>
  <c r="AD52" i="12"/>
  <c r="AD59" i="12" s="1"/>
  <c r="AE13" i="12"/>
  <c r="DB43" i="17" s="1"/>
  <c r="CX62" i="17"/>
  <c r="CX78" i="17" s="1"/>
  <c r="AE27" i="12"/>
  <c r="DB62" i="17" s="1"/>
  <c r="CI60" i="6"/>
  <c r="DS81" i="6"/>
  <c r="BU96" i="6"/>
  <c r="M22" i="6"/>
  <c r="DI32" i="6"/>
  <c r="DN32" i="6" s="1"/>
  <c r="DN81" i="6" s="1"/>
  <c r="AW86" i="11"/>
  <c r="CE60" i="11"/>
  <c r="V168" i="12" s="1"/>
  <c r="AT64" i="11"/>
  <c r="BK60" i="6"/>
  <c r="AA79" i="6"/>
  <c r="BT22" i="6"/>
  <c r="BZ71" i="6" s="1"/>
  <c r="DG81" i="6"/>
  <c r="DM73" i="6"/>
  <c r="X174" i="12"/>
  <c r="E40" i="6"/>
  <c r="J40" i="6" s="1"/>
  <c r="I48" i="6"/>
  <c r="I49" i="6" s="1"/>
  <c r="CP30" i="6"/>
  <c r="CP79" i="6" s="1"/>
  <c r="BH22" i="6"/>
  <c r="BH29" i="6" s="1"/>
  <c r="AM81" i="6"/>
  <c r="BK81" i="6"/>
  <c r="DW22" i="6"/>
  <c r="DW29" i="6" s="1"/>
  <c r="BQ77" i="6"/>
  <c r="CW32" i="6"/>
  <c r="DB32" i="6" s="1"/>
  <c r="DB81" i="6" s="1"/>
  <c r="CI77" i="6"/>
  <c r="BT67" i="6"/>
  <c r="CU79" i="6"/>
  <c r="DN31" i="6"/>
  <c r="DN80" i="6" s="1"/>
  <c r="AU243" i="2"/>
  <c r="DY81" i="6"/>
  <c r="DE89" i="6"/>
  <c r="S79" i="8"/>
  <c r="S116" i="8" s="1"/>
  <c r="L203" i="8"/>
  <c r="Q206" i="8"/>
  <c r="CK165" i="17"/>
  <c r="G2" i="12"/>
  <c r="G4" i="11" s="1"/>
  <c r="AC489" i="7"/>
  <c r="AD489" i="7" s="1"/>
  <c r="AE489" i="7" s="1"/>
  <c r="R347" i="12"/>
  <c r="H204" i="8"/>
  <c r="L204" i="8"/>
  <c r="P204" i="8"/>
  <c r="AB628" i="7"/>
  <c r="W491" i="7"/>
  <c r="L206" i="8"/>
  <c r="AV243" i="2"/>
  <c r="K119" i="8"/>
  <c r="K72" i="8"/>
  <c r="O782" i="7"/>
  <c r="G15" i="21" s="1"/>
  <c r="G21" i="21" s="1"/>
  <c r="U782" i="7"/>
  <c r="P198" i="8"/>
  <c r="P205" i="8" s="1"/>
  <c r="T245" i="7"/>
  <c r="J206" i="8"/>
  <c r="L85" i="17"/>
  <c r="T85" i="17"/>
  <c r="AB85" i="17"/>
  <c r="AJ85" i="17"/>
  <c r="AR85" i="17"/>
  <c r="AZ85" i="17"/>
  <c r="BH85" i="17"/>
  <c r="I433" i="12"/>
  <c r="U74" i="8"/>
  <c r="V292" i="7"/>
  <c r="U206" i="8"/>
  <c r="AB740" i="7"/>
  <c r="AB742" i="7" s="1"/>
  <c r="D210" i="2" s="1"/>
  <c r="T628" i="7"/>
  <c r="T639" i="7" s="1"/>
  <c r="Q72" i="8"/>
  <c r="DO32" i="6"/>
  <c r="P206" i="8"/>
  <c r="G484" i="20"/>
  <c r="X484" i="20" s="1"/>
  <c r="G485" i="20"/>
  <c r="X485" i="20" s="1"/>
  <c r="BE79" i="6"/>
  <c r="W74" i="8"/>
  <c r="S72" i="8"/>
  <c r="Y782" i="7"/>
  <c r="Y795" i="7" s="1"/>
  <c r="Y796" i="7" s="1"/>
  <c r="CX291" i="17"/>
  <c r="CX325" i="17" s="1"/>
  <c r="I230" i="17"/>
  <c r="L420" i="12"/>
  <c r="U203" i="8"/>
  <c r="S39" i="7"/>
  <c r="AB491" i="7"/>
  <c r="U122" i="8"/>
  <c r="M127" i="8"/>
  <c r="M130" i="8" s="1"/>
  <c r="U127" i="8"/>
  <c r="H203" i="8"/>
  <c r="P203" i="8"/>
  <c r="W83" i="8"/>
  <c r="S198" i="8"/>
  <c r="S205" i="8" s="1"/>
  <c r="V74" i="8"/>
  <c r="J347" i="12"/>
  <c r="J204" i="8"/>
  <c r="R204" i="8"/>
  <c r="BB86" i="11"/>
  <c r="S347" i="12"/>
  <c r="BF30" i="6"/>
  <c r="BF79" i="6" s="1"/>
  <c r="W64" i="11"/>
  <c r="J170" i="12" s="1"/>
  <c r="P202" i="8"/>
  <c r="DQ67" i="6"/>
  <c r="R64" i="11"/>
  <c r="I170" i="12" s="1"/>
  <c r="T782" i="7"/>
  <c r="T795" i="7" s="1"/>
  <c r="T796" i="7" s="1"/>
  <c r="X782" i="7"/>
  <c r="X461" i="12" s="1"/>
  <c r="X468" i="12" s="1"/>
  <c r="BR30" i="6"/>
  <c r="BR79" i="6" s="1"/>
  <c r="DG73" i="6"/>
  <c r="AH102" i="11"/>
  <c r="P172" i="12"/>
  <c r="BL13" i="6"/>
  <c r="BL62" i="6" s="1"/>
  <c r="BQ87" i="11"/>
  <c r="DJ22" i="6"/>
  <c r="DJ29" i="6" s="1"/>
  <c r="DK89" i="6"/>
  <c r="I485" i="20"/>
  <c r="Z485" i="20" s="1"/>
  <c r="BO96" i="6"/>
  <c r="BN67" i="6"/>
  <c r="CL96" i="6"/>
  <c r="AA81" i="6"/>
  <c r="CU81" i="6"/>
  <c r="CM22" i="6"/>
  <c r="CM29" i="6" s="1"/>
  <c r="BQ60" i="6"/>
  <c r="BD64" i="11"/>
  <c r="CS67" i="6"/>
  <c r="DP96" i="6"/>
  <c r="X10" i="11"/>
  <c r="BB102" i="11"/>
  <c r="CK32" i="6"/>
  <c r="CP32" i="6" s="1"/>
  <c r="CP81" i="6" s="1"/>
  <c r="DQ22" i="6"/>
  <c r="AG60" i="6"/>
  <c r="CA89" i="6"/>
  <c r="CO60" i="6"/>
  <c r="DP67" i="6"/>
  <c r="BX64" i="11"/>
  <c r="C196" i="2"/>
  <c r="AT196" i="2" s="1"/>
  <c r="V290" i="7"/>
  <c r="CX292" i="17"/>
  <c r="CX326" i="17" s="1"/>
  <c r="X568" i="7"/>
  <c r="X569" i="7" s="1"/>
  <c r="R420" i="12"/>
  <c r="R74" i="8"/>
  <c r="Y237" i="7"/>
  <c r="S202" i="8"/>
  <c r="U239" i="7"/>
  <c r="W203" i="8"/>
  <c r="N206" i="8"/>
  <c r="M122" i="8"/>
  <c r="X83" i="8"/>
  <c r="Z83" i="8"/>
  <c r="R72" i="8"/>
  <c r="N85" i="17"/>
  <c r="V85" i="17"/>
  <c r="AD85" i="17"/>
  <c r="AL85" i="17"/>
  <c r="AT85" i="17"/>
  <c r="BB85" i="17"/>
  <c r="M239" i="17"/>
  <c r="U239" i="17"/>
  <c r="AC239" i="17"/>
  <c r="AK239" i="17"/>
  <c r="AS239" i="17"/>
  <c r="BA239" i="17"/>
  <c r="BI239" i="17"/>
  <c r="M433" i="12"/>
  <c r="P74" i="8"/>
  <c r="N123" i="7"/>
  <c r="R123" i="7"/>
  <c r="V123" i="7"/>
  <c r="Z123" i="7"/>
  <c r="N203" i="8"/>
  <c r="N248" i="17"/>
  <c r="AD248" i="17"/>
  <c r="AT248" i="17"/>
  <c r="EC89" i="6"/>
  <c r="L347" i="12"/>
  <c r="R83" i="8"/>
  <c r="AB74" i="8"/>
  <c r="BN22" i="6"/>
  <c r="BN29" i="6" s="1"/>
  <c r="AG68" i="17"/>
  <c r="CL120" i="17"/>
  <c r="AS60" i="6"/>
  <c r="BF64" i="11"/>
  <c r="Q170" i="12" s="1"/>
  <c r="DA79" i="6"/>
  <c r="AC86" i="11"/>
  <c r="CK86" i="11"/>
  <c r="P64" i="11"/>
  <c r="I420" i="12"/>
  <c r="CX293" i="17"/>
  <c r="CX327" i="17" s="1"/>
  <c r="CX294" i="17"/>
  <c r="CX328" i="17" s="1"/>
  <c r="V420" i="12"/>
  <c r="R70" i="8"/>
  <c r="O202" i="8"/>
  <c r="W202" i="8"/>
  <c r="Q122" i="8"/>
  <c r="P83" i="8"/>
  <c r="M119" i="8"/>
  <c r="U119" i="8"/>
  <c r="J85" i="17"/>
  <c r="R85" i="17"/>
  <c r="Z85" i="17"/>
  <c r="AH85" i="17"/>
  <c r="AP85" i="17"/>
  <c r="AX85" i="17"/>
  <c r="BF85" i="17"/>
  <c r="I239" i="17"/>
  <c r="Q239" i="17"/>
  <c r="Y239" i="17"/>
  <c r="AG239" i="17"/>
  <c r="AO239" i="17"/>
  <c r="AW239" i="17"/>
  <c r="BE239" i="17"/>
  <c r="U433" i="12"/>
  <c r="Q74" i="8"/>
  <c r="L123" i="7"/>
  <c r="P123" i="7"/>
  <c r="T123" i="7"/>
  <c r="X123" i="7"/>
  <c r="J203" i="8"/>
  <c r="R248" i="17"/>
  <c r="AH248" i="17"/>
  <c r="AX248" i="17"/>
  <c r="K198" i="8"/>
  <c r="K205" i="8" s="1"/>
  <c r="J83" i="8"/>
  <c r="CL22" i="6"/>
  <c r="CL29" i="6" s="1"/>
  <c r="BI89" i="6"/>
  <c r="CF22" i="6"/>
  <c r="CF29" i="6" s="1"/>
  <c r="CA96" i="6"/>
  <c r="Y420" i="12"/>
  <c r="BQ59" i="11"/>
  <c r="BV9" i="11"/>
  <c r="AC59" i="11"/>
  <c r="DI122" i="11"/>
  <c r="AB60" i="11"/>
  <c r="K168" i="12" s="1"/>
  <c r="AW22" i="6"/>
  <c r="I176" i="12"/>
  <c r="CF101" i="11"/>
  <c r="DD10" i="11"/>
  <c r="AA55" i="12" s="1"/>
  <c r="BG76" i="6"/>
  <c r="CJ60" i="11"/>
  <c r="CK60" i="11" s="1"/>
  <c r="T172" i="12"/>
  <c r="V169" i="12"/>
  <c r="AN75" i="11"/>
  <c r="Y68" i="17"/>
  <c r="BE68" i="17"/>
  <c r="CM97" i="11"/>
  <c r="BG72" i="6"/>
  <c r="L61" i="6"/>
  <c r="I178" i="12"/>
  <c r="AM64" i="11"/>
  <c r="AT96" i="11"/>
  <c r="M11" i="23"/>
  <c r="BA79" i="6"/>
  <c r="F22" i="6"/>
  <c r="F29" i="6" s="1"/>
  <c r="CZ59" i="11"/>
  <c r="BN64" i="11"/>
  <c r="C131" i="2"/>
  <c r="AT131" i="2" s="1"/>
  <c r="Q57" i="6"/>
  <c r="AU94" i="6"/>
  <c r="AH13" i="6"/>
  <c r="AH62" i="6" s="1"/>
  <c r="S167" i="12"/>
  <c r="N59" i="11"/>
  <c r="BL9" i="11"/>
  <c r="CP63" i="11"/>
  <c r="DB33" i="6"/>
  <c r="DB82" i="6" s="1"/>
  <c r="DF65" i="11"/>
  <c r="DF73" i="11" s="1"/>
  <c r="DF74" i="11" s="1"/>
  <c r="AK71" i="11"/>
  <c r="M48" i="12" s="1"/>
  <c r="Q94" i="6"/>
  <c r="AI75" i="11"/>
  <c r="DJ59" i="11"/>
  <c r="X167" i="12"/>
  <c r="CF96" i="6"/>
  <c r="DD64" i="11"/>
  <c r="AA170" i="12" s="1"/>
  <c r="AB16" i="6"/>
  <c r="AB65" i="6" s="1"/>
  <c r="AB8" i="6"/>
  <c r="AB57" i="6" s="1"/>
  <c r="AE22" i="6"/>
  <c r="AE29" i="6" s="1"/>
  <c r="AT30" i="6"/>
  <c r="AT79" i="6" s="1"/>
  <c r="Y12" i="11"/>
  <c r="AB12" i="11" s="1"/>
  <c r="AW87" i="11"/>
  <c r="DZ33" i="6"/>
  <c r="DZ82" i="6" s="1"/>
  <c r="DV22" i="6"/>
  <c r="DV29" i="6" s="1"/>
  <c r="DI60" i="11"/>
  <c r="AB168" i="12" s="1"/>
  <c r="BF84" i="17"/>
  <c r="CX89" i="6"/>
  <c r="CC10" i="11"/>
  <c r="CG67" i="6"/>
  <c r="CA22" i="6"/>
  <c r="CA29" i="6" s="1"/>
  <c r="H172" i="12"/>
  <c r="V175" i="12"/>
  <c r="AJ22" i="6"/>
  <c r="AJ29" i="6" s="1"/>
  <c r="CP87" i="11"/>
  <c r="S17" i="11"/>
  <c r="CX71" i="11"/>
  <c r="Z48" i="12" s="1"/>
  <c r="AH87" i="11"/>
  <c r="CY60" i="11"/>
  <c r="Z24" i="12" s="1"/>
  <c r="AX75" i="11"/>
  <c r="R136" i="12"/>
  <c r="BJ23" i="11" s="1"/>
  <c r="T167" i="12"/>
  <c r="DU32" i="6"/>
  <c r="DZ32" i="6" s="1"/>
  <c r="DZ81" i="6" s="1"/>
  <c r="DE61" i="6"/>
  <c r="M64" i="11"/>
  <c r="N64" i="11" s="1"/>
  <c r="CO64" i="11"/>
  <c r="X170" i="12" s="1"/>
  <c r="CY61" i="6"/>
  <c r="DB97" i="11"/>
  <c r="AS76" i="11"/>
  <c r="S136" i="12"/>
  <c r="BO23" i="11" s="1"/>
  <c r="X9" i="11"/>
  <c r="X59" i="11"/>
  <c r="R60" i="11"/>
  <c r="Q60" i="11" s="1"/>
  <c r="DC57" i="6"/>
  <c r="BD74" i="11"/>
  <c r="Z84" i="17"/>
  <c r="BA64" i="11"/>
  <c r="P170" i="12" s="1"/>
  <c r="AC173" i="12"/>
  <c r="E109" i="2" s="1"/>
  <c r="AV109" i="2" s="1"/>
  <c r="W60" i="11"/>
  <c r="J168" i="12" s="1"/>
  <c r="CS22" i="6"/>
  <c r="AO94" i="6"/>
  <c r="CY10" i="11"/>
  <c r="Z137" i="12" s="1"/>
  <c r="CX24" i="11" s="1"/>
  <c r="AB64" i="11"/>
  <c r="K170" i="12" s="1"/>
  <c r="E144" i="2"/>
  <c r="CS61" i="6"/>
  <c r="CP119" i="11"/>
  <c r="DI57" i="6"/>
  <c r="DA65" i="11"/>
  <c r="DA124" i="11" s="1"/>
  <c r="DA125" i="11" s="1"/>
  <c r="BS64" i="11"/>
  <c r="BU61" i="6"/>
  <c r="BI61" i="6"/>
  <c r="BU22" i="6"/>
  <c r="AC394" i="12"/>
  <c r="AC397" i="12" s="1"/>
  <c r="CX126" i="17"/>
  <c r="CX131" i="17" s="1"/>
  <c r="DG10" i="17" s="1"/>
  <c r="O169" i="12"/>
  <c r="AR59" i="11"/>
  <c r="BA36" i="6"/>
  <c r="AT84" i="17"/>
  <c r="R178" i="12"/>
  <c r="BJ85" i="6"/>
  <c r="Z136" i="12"/>
  <c r="CX23" i="11" s="1"/>
  <c r="AO68" i="17"/>
  <c r="Y22" i="6"/>
  <c r="Y29" i="6" s="1"/>
  <c r="BG65" i="6"/>
  <c r="AQ22" i="6"/>
  <c r="AQ71" i="6" s="1"/>
  <c r="P8" i="6"/>
  <c r="P57" i="6" s="1"/>
  <c r="K79" i="6"/>
  <c r="BM75" i="11"/>
  <c r="BK60" i="11"/>
  <c r="R168" i="12" s="1"/>
  <c r="R172" i="12"/>
  <c r="X136" i="12"/>
  <c r="CN23" i="11" s="1"/>
  <c r="DJ63" i="11"/>
  <c r="V84" i="12"/>
  <c r="I84" i="12"/>
  <c r="J33" i="6"/>
  <c r="AH9" i="11"/>
  <c r="X101" i="11"/>
  <c r="CE58" i="6"/>
  <c r="BV84" i="17"/>
  <c r="CM64" i="11"/>
  <c r="BI96" i="6"/>
  <c r="BH89" i="6"/>
  <c r="DD96" i="6"/>
  <c r="BU64" i="11"/>
  <c r="T170" i="12" s="1"/>
  <c r="P17" i="6"/>
  <c r="P66" i="6" s="1"/>
  <c r="BC22" i="6"/>
  <c r="BC29" i="6" s="1"/>
  <c r="CY22" i="6"/>
  <c r="AT74" i="11"/>
  <c r="S9" i="11"/>
  <c r="CE90" i="11"/>
  <c r="CK101" i="11"/>
  <c r="S101" i="11"/>
  <c r="L167" i="12"/>
  <c r="CL84" i="17"/>
  <c r="CR64" i="11"/>
  <c r="CH74" i="11"/>
  <c r="U96" i="11"/>
  <c r="AY74" i="11"/>
  <c r="J173" i="12"/>
  <c r="CZ9" i="11"/>
  <c r="BY57" i="6"/>
  <c r="DB112" i="11"/>
  <c r="CO90" i="11"/>
  <c r="CL65" i="11"/>
  <c r="CM65" i="11" s="1"/>
  <c r="BI67" i="6"/>
  <c r="DE67" i="6"/>
  <c r="BV61" i="6"/>
  <c r="BT64" i="6"/>
  <c r="BZ10" i="11"/>
  <c r="U55" i="12" s="1"/>
  <c r="CQ65" i="6"/>
  <c r="CH10" i="11"/>
  <c r="P32" i="6"/>
  <c r="P81" i="6" s="1"/>
  <c r="N9" i="11"/>
  <c r="BI74" i="11"/>
  <c r="CJ64" i="11"/>
  <c r="CK64" i="11" s="1"/>
  <c r="AE64" i="11"/>
  <c r="Q175" i="12"/>
  <c r="J136" i="12"/>
  <c r="V23" i="11" s="1"/>
  <c r="BG86" i="11"/>
  <c r="CJ105" i="11"/>
  <c r="DP22" i="6"/>
  <c r="DP29" i="6" s="1"/>
  <c r="CH64" i="11"/>
  <c r="BZ89" i="6"/>
  <c r="DG64" i="11"/>
  <c r="AY64" i="11"/>
  <c r="BN96" i="11"/>
  <c r="BS96" i="11"/>
  <c r="DV67" i="6"/>
  <c r="AV64" i="11"/>
  <c r="O170" i="12" s="1"/>
  <c r="AO456" i="20"/>
  <c r="G456" i="20"/>
  <c r="G462" i="20" s="1"/>
  <c r="AQ450" i="20"/>
  <c r="I450" i="20"/>
  <c r="AO462" i="20"/>
  <c r="F439" i="20"/>
  <c r="W439" i="20" s="1"/>
  <c r="AU235" i="2"/>
  <c r="E256" i="2"/>
  <c r="AV256" i="2" s="1"/>
  <c r="E255" i="2"/>
  <c r="AV255" i="2" s="1"/>
  <c r="E253" i="2"/>
  <c r="AV253" i="2" s="1"/>
  <c r="F100" i="2"/>
  <c r="E254" i="2"/>
  <c r="AV254" i="2" s="1"/>
  <c r="E239" i="2"/>
  <c r="E238" i="2"/>
  <c r="F440" i="20"/>
  <c r="W440" i="20" s="1"/>
  <c r="AU234" i="2"/>
  <c r="F438" i="20"/>
  <c r="W438" i="20" s="1"/>
  <c r="BX10" i="11"/>
  <c r="CP10" i="11"/>
  <c r="AN16" i="6"/>
  <c r="AN65" i="6" s="1"/>
  <c r="BS65" i="6"/>
  <c r="AQ60" i="11"/>
  <c r="N24" i="12" s="1"/>
  <c r="CG61" i="6"/>
  <c r="BO61" i="6"/>
  <c r="CG96" i="6"/>
  <c r="CT90" i="11"/>
  <c r="Z64" i="11"/>
  <c r="AW58" i="11"/>
  <c r="DI64" i="11"/>
  <c r="BH96" i="6"/>
  <c r="AN30" i="6"/>
  <c r="AN79" i="6" s="1"/>
  <c r="O167" i="12"/>
  <c r="S86" i="11"/>
  <c r="CW97" i="11"/>
  <c r="Q174" i="12"/>
  <c r="V84" i="17"/>
  <c r="U68" i="17"/>
  <c r="BB84" i="17"/>
  <c r="BA68" i="17"/>
  <c r="AA420" i="12"/>
  <c r="P110" i="20"/>
  <c r="AG110" i="20" s="1"/>
  <c r="BF121" i="2"/>
  <c r="CX7" i="17"/>
  <c r="O116" i="2" s="1"/>
  <c r="O104" i="20"/>
  <c r="AF104" i="20" s="1"/>
  <c r="BE116" i="2"/>
  <c r="CT7" i="17"/>
  <c r="K116" i="2" s="1"/>
  <c r="DR85" i="6"/>
  <c r="AT31" i="6"/>
  <c r="AT80" i="6" s="1"/>
  <c r="AR73" i="6"/>
  <c r="AI36" i="6"/>
  <c r="V13" i="6"/>
  <c r="V62" i="6" s="1"/>
  <c r="DC58" i="6"/>
  <c r="BR16" i="6"/>
  <c r="BR65" i="6" s="1"/>
  <c r="DC65" i="6"/>
  <c r="AZ17" i="6"/>
  <c r="AZ66" i="6" s="1"/>
  <c r="BB22" i="6"/>
  <c r="V33" i="6"/>
  <c r="V82" i="6" s="1"/>
  <c r="BN10" i="11"/>
  <c r="CD8" i="6"/>
  <c r="CD57" i="6" s="1"/>
  <c r="CK102" i="11"/>
  <c r="M60" i="11"/>
  <c r="H24" i="12" s="1"/>
  <c r="AH63" i="11"/>
  <c r="AT35" i="6"/>
  <c r="AT84" i="6" s="1"/>
  <c r="BN111" i="11"/>
  <c r="CQ77" i="6"/>
  <c r="DV64" i="6"/>
  <c r="BA12" i="6"/>
  <c r="CX24" i="17"/>
  <c r="AB174" i="12"/>
  <c r="AU12" i="6"/>
  <c r="AB45" i="6"/>
  <c r="AB94" i="6" s="1"/>
  <c r="AH32" i="6"/>
  <c r="AH81" i="6" s="1"/>
  <c r="AN32" i="6"/>
  <c r="AN81" i="6" s="1"/>
  <c r="BN74" i="11"/>
  <c r="K167" i="12"/>
  <c r="N61" i="6"/>
  <c r="N22" i="6"/>
  <c r="AL22" i="6"/>
  <c r="AL29" i="6" s="1"/>
  <c r="BJ22" i="6"/>
  <c r="BJ29" i="6" s="1"/>
  <c r="DF22" i="6"/>
  <c r="DF29" i="6" s="1"/>
  <c r="DR22" i="6"/>
  <c r="AZ35" i="6"/>
  <c r="AZ84" i="6" s="1"/>
  <c r="O136" i="12"/>
  <c r="AU23" i="11" s="1"/>
  <c r="CW94" i="6"/>
  <c r="BG94" i="6"/>
  <c r="CR64" i="6"/>
  <c r="CX43" i="17"/>
  <c r="CX48" i="17" s="1"/>
  <c r="DG7" i="17" s="1"/>
  <c r="U10" i="11"/>
  <c r="CY122" i="11"/>
  <c r="CO105" i="11"/>
  <c r="AC57" i="6"/>
  <c r="M61" i="6"/>
  <c r="W65" i="6"/>
  <c r="DO65" i="6"/>
  <c r="AU57" i="6"/>
  <c r="X22" i="6"/>
  <c r="CF61" i="6"/>
  <c r="J137" i="12"/>
  <c r="V24" i="11" s="1"/>
  <c r="Z10" i="11"/>
  <c r="AR284" i="17"/>
  <c r="Y308" i="17"/>
  <c r="DN8" i="6"/>
  <c r="DN57" i="6" s="1"/>
  <c r="AZ13" i="6"/>
  <c r="AZ62" i="6" s="1"/>
  <c r="BF32" i="6"/>
  <c r="BF81" i="6" s="1"/>
  <c r="AA167" i="12"/>
  <c r="C103" i="2" s="1"/>
  <c r="AT103" i="2" s="1"/>
  <c r="CP101" i="11"/>
  <c r="AU36" i="6"/>
  <c r="H167" i="12"/>
  <c r="AM101" i="11"/>
  <c r="BS94" i="6"/>
  <c r="BB119" i="11"/>
  <c r="K136" i="12"/>
  <c r="AA23" i="11" s="1"/>
  <c r="AA136" i="12"/>
  <c r="DC23" i="11" s="1"/>
  <c r="DD60" i="11"/>
  <c r="DC60" i="11" s="1"/>
  <c r="BG81" i="6"/>
  <c r="CU86" i="11"/>
  <c r="X63" i="11"/>
  <c r="DG112" i="11"/>
  <c r="DO94" i="6"/>
  <c r="DU59" i="6"/>
  <c r="BH64" i="6"/>
  <c r="AF22" i="6"/>
  <c r="AF29" i="6" s="1"/>
  <c r="CP17" i="6"/>
  <c r="CP66" i="6" s="1"/>
  <c r="X178" i="12"/>
  <c r="CP33" i="6"/>
  <c r="CP82" i="6" s="1"/>
  <c r="CH97" i="11"/>
  <c r="CW85" i="6"/>
  <c r="CR97" i="11"/>
  <c r="BG57" i="6"/>
  <c r="CA61" i="6"/>
  <c r="CZ61" i="6"/>
  <c r="CX64" i="6"/>
  <c r="AD321" i="12"/>
  <c r="F252" i="2" s="1"/>
  <c r="BG59" i="6"/>
  <c r="BL17" i="6"/>
  <c r="BL66" i="6" s="1"/>
  <c r="AC24" i="6"/>
  <c r="AH31" i="6" s="1"/>
  <c r="AH80" i="6" s="1"/>
  <c r="AL73" i="6"/>
  <c r="DD61" i="6"/>
  <c r="CX22" i="6"/>
  <c r="CX71" i="6" s="1"/>
  <c r="AD61" i="6"/>
  <c r="AU76" i="6"/>
  <c r="AZ32" i="6"/>
  <c r="AZ81" i="6" s="1"/>
  <c r="K94" i="6"/>
  <c r="P45" i="6"/>
  <c r="P94" i="6" s="1"/>
  <c r="L175" i="12"/>
  <c r="AH101" i="11"/>
  <c r="AV61" i="6"/>
  <c r="AV22" i="6"/>
  <c r="AT8" i="6"/>
  <c r="AT57" i="6" s="1"/>
  <c r="AO57" i="6"/>
  <c r="W59" i="6"/>
  <c r="AB17" i="6"/>
  <c r="AB66" i="6" s="1"/>
  <c r="AI66" i="6"/>
  <c r="AN17" i="6"/>
  <c r="AN66" i="6" s="1"/>
  <c r="CE66" i="6"/>
  <c r="CJ17" i="6"/>
  <c r="CJ66" i="6" s="1"/>
  <c r="AT17" i="6"/>
  <c r="AT66" i="6" s="1"/>
  <c r="AO66" i="6"/>
  <c r="AG10" i="11"/>
  <c r="L137" i="12" s="1"/>
  <c r="AF24" i="11" s="1"/>
  <c r="AE10" i="11"/>
  <c r="V177" i="12"/>
  <c r="CD71" i="11"/>
  <c r="V48" i="12" s="1"/>
  <c r="AC59" i="6"/>
  <c r="AH17" i="6"/>
  <c r="AH66" i="6" s="1"/>
  <c r="V30" i="6"/>
  <c r="V79" i="6" s="1"/>
  <c r="Q79" i="6"/>
  <c r="BA94" i="6"/>
  <c r="BF45" i="6"/>
  <c r="BF94" i="6" s="1"/>
  <c r="AI65" i="6"/>
  <c r="AC65" i="6"/>
  <c r="BA72" i="6"/>
  <c r="AU72" i="6"/>
  <c r="T173" i="12"/>
  <c r="BV86" i="11"/>
  <c r="BS24" i="6"/>
  <c r="BS73" i="6" s="1"/>
  <c r="BV73" i="6"/>
  <c r="AI72" i="6"/>
  <c r="AO72" i="6"/>
  <c r="K169" i="12"/>
  <c r="AC63" i="11"/>
  <c r="AI57" i="6"/>
  <c r="AI12" i="6"/>
  <c r="BB9" i="11"/>
  <c r="P136" i="12"/>
  <c r="AZ23" i="11" s="1"/>
  <c r="DB10" i="11"/>
  <c r="DG10" i="11"/>
  <c r="EP38" i="6"/>
  <c r="EP87" i="6" s="1"/>
  <c r="M172" i="12"/>
  <c r="AM87" i="11"/>
  <c r="AC255" i="12"/>
  <c r="DG97" i="11"/>
  <c r="M84" i="12"/>
  <c r="U84" i="12"/>
  <c r="T84" i="12"/>
  <c r="BF35" i="6"/>
  <c r="BF84" i="6" s="1"/>
  <c r="CT105" i="11"/>
  <c r="DC60" i="6"/>
  <c r="DU82" i="6"/>
  <c r="CV30" i="6"/>
  <c r="CV79" i="6" s="1"/>
  <c r="DI94" i="6"/>
  <c r="CE77" i="6"/>
  <c r="BD61" i="6"/>
  <c r="CB61" i="6"/>
  <c r="DX22" i="6"/>
  <c r="DX29" i="6" s="1"/>
  <c r="CQ60" i="6"/>
  <c r="N73" i="6"/>
  <c r="ED73" i="6"/>
  <c r="AC12" i="6"/>
  <c r="CD16" i="6"/>
  <c r="CD65" i="6" s="1"/>
  <c r="AX73" i="6"/>
  <c r="DI105" i="11"/>
  <c r="U173" i="12"/>
  <c r="CA86" i="11"/>
  <c r="AM86" i="11"/>
  <c r="AY10" i="11"/>
  <c r="CW10" i="11"/>
  <c r="P10" i="11"/>
  <c r="BD10" i="11"/>
  <c r="DJ102" i="11"/>
  <c r="BF8" i="6"/>
  <c r="BF57" i="6" s="1"/>
  <c r="BA57" i="6"/>
  <c r="AK61" i="6"/>
  <c r="CG22" i="6"/>
  <c r="CE65" i="6"/>
  <c r="CQ72" i="6"/>
  <c r="CQ57" i="6"/>
  <c r="CX61" i="6"/>
  <c r="AX303" i="17"/>
  <c r="AX308" i="17" s="1"/>
  <c r="AV333" i="17" s="1"/>
  <c r="CK57" i="6"/>
  <c r="CE57" i="6"/>
  <c r="CP16" i="6"/>
  <c r="CP65" i="6" s="1"/>
  <c r="AH30" i="6"/>
  <c r="AH79" i="6" s="1"/>
  <c r="CD33" i="6"/>
  <c r="CD82" i="6" s="1"/>
  <c r="CK87" i="11"/>
  <c r="BF13" i="6"/>
  <c r="BF62" i="6" s="1"/>
  <c r="CA101" i="11"/>
  <c r="L173" i="12"/>
  <c r="Z169" i="12"/>
  <c r="C105" i="2" s="1"/>
  <c r="AT105" i="2" s="1"/>
  <c r="DJ15" i="11"/>
  <c r="AP71" i="11"/>
  <c r="N48" i="12" s="1"/>
  <c r="DZ13" i="6"/>
  <c r="DZ62" i="6" s="1"/>
  <c r="BB63" i="11"/>
  <c r="L106" i="12"/>
  <c r="DN30" i="6"/>
  <c r="DN79" i="6" s="1"/>
  <c r="BM82" i="6"/>
  <c r="DE86" i="11"/>
  <c r="BG82" i="6"/>
  <c r="DC77" i="6"/>
  <c r="AZ30" i="6"/>
  <c r="AZ79" i="6" s="1"/>
  <c r="CB22" i="6"/>
  <c r="CB29" i="6" s="1"/>
  <c r="O12" i="11"/>
  <c r="R12" i="11" s="1"/>
  <c r="I136" i="12"/>
  <c r="Q23" i="11" s="1"/>
  <c r="CR47" i="11"/>
  <c r="AZ71" i="11"/>
  <c r="P48" i="12" s="1"/>
  <c r="BW111" i="11"/>
  <c r="CB111" i="11" s="1"/>
  <c r="CG111" i="11" s="1"/>
  <c r="CG112" i="11" s="1"/>
  <c r="BS12" i="6"/>
  <c r="CF86" i="11"/>
  <c r="DD64" i="6"/>
  <c r="DE59" i="11"/>
  <c r="AJ111" i="11"/>
  <c r="DX61" i="6"/>
  <c r="AL61" i="6"/>
  <c r="BJ61" i="6"/>
  <c r="CQ12" i="6"/>
  <c r="DJ64" i="6"/>
  <c r="DN16" i="6"/>
  <c r="DN65" i="6" s="1"/>
  <c r="AO12" i="6"/>
  <c r="BH61" i="6"/>
  <c r="N10" i="11"/>
  <c r="BV10" i="11"/>
  <c r="AJ10" i="11"/>
  <c r="CY90" i="11"/>
  <c r="T137" i="12"/>
  <c r="BT24" i="11" s="1"/>
  <c r="H137" i="12"/>
  <c r="L24" i="11" s="1"/>
  <c r="CY12" i="11"/>
  <c r="Z139" i="12" s="1"/>
  <c r="CX26" i="11" s="1"/>
  <c r="E111" i="2"/>
  <c r="AV111" i="2" s="1"/>
  <c r="BC12" i="11"/>
  <c r="BF12" i="11" s="1"/>
  <c r="CZ87" i="11"/>
  <c r="Q12" i="6"/>
  <c r="DQ61" i="6"/>
  <c r="DH13" i="6"/>
  <c r="DH62" i="6" s="1"/>
  <c r="AU65" i="6"/>
  <c r="AU66" i="6"/>
  <c r="EA66" i="6"/>
  <c r="R22" i="6"/>
  <c r="R29" i="6" s="1"/>
  <c r="AP22" i="6"/>
  <c r="DF73" i="6"/>
  <c r="DR73" i="6"/>
  <c r="AT33" i="6"/>
  <c r="AT82" i="6" s="1"/>
  <c r="AI94" i="6"/>
  <c r="AB13" i="6"/>
  <c r="AB62" i="6" s="1"/>
  <c r="CE12" i="6"/>
  <c r="V16" i="6"/>
  <c r="V65" i="6" s="1"/>
  <c r="AH16" i="6"/>
  <c r="AH65" i="6" s="1"/>
  <c r="AT16" i="6"/>
  <c r="AT65" i="6" s="1"/>
  <c r="DZ16" i="6"/>
  <c r="DZ65" i="6" s="1"/>
  <c r="AC94" i="6"/>
  <c r="CT60" i="11"/>
  <c r="Y168" i="12" s="1"/>
  <c r="AL60" i="11"/>
  <c r="M24" i="12" s="1"/>
  <c r="BS85" i="6"/>
  <c r="I169" i="12"/>
  <c r="AT13" i="6"/>
  <c r="AT62" i="6" s="1"/>
  <c r="DJ58" i="11"/>
  <c r="BV63" i="11"/>
  <c r="DJ86" i="11"/>
  <c r="Y178" i="12"/>
  <c r="M178" i="12"/>
  <c r="CM112" i="11"/>
  <c r="T178" i="12"/>
  <c r="AE74" i="11"/>
  <c r="AD75" i="11"/>
  <c r="AD76" i="11"/>
  <c r="AR61" i="6"/>
  <c r="BP61" i="6"/>
  <c r="DL61" i="6"/>
  <c r="U111" i="11"/>
  <c r="T61" i="6"/>
  <c r="CN61" i="6"/>
  <c r="AF61" i="6"/>
  <c r="DU60" i="6"/>
  <c r="DT13" i="6"/>
  <c r="DT62" i="6" s="1"/>
  <c r="CQ82" i="6"/>
  <c r="CW82" i="6"/>
  <c r="AX61" i="6"/>
  <c r="W76" i="6"/>
  <c r="BG80" i="6"/>
  <c r="BA80" i="6"/>
  <c r="BL45" i="6"/>
  <c r="BL94" i="6" s="1"/>
  <c r="BM94" i="6"/>
  <c r="CZ119" i="11"/>
  <c r="Z179" i="12"/>
  <c r="C158" i="2" s="1"/>
  <c r="AT158" i="2" s="1"/>
  <c r="L144" i="12"/>
  <c r="AF30" i="11" s="1"/>
  <c r="AH17" i="11"/>
  <c r="AA172" i="12"/>
  <c r="D108" i="2" s="1"/>
  <c r="DD122" i="11"/>
  <c r="DD90" i="11"/>
  <c r="BB58" i="11"/>
  <c r="BA60" i="11"/>
  <c r="P168" i="12" s="1"/>
  <c r="CP58" i="11"/>
  <c r="CO60" i="11"/>
  <c r="X168" i="12" s="1"/>
  <c r="DF12" i="11"/>
  <c r="DI10" i="11"/>
  <c r="AB137" i="12" s="1"/>
  <c r="DH24" i="11" s="1"/>
  <c r="AA177" i="12"/>
  <c r="AA48" i="12"/>
  <c r="BD96" i="11"/>
  <c r="BI96" i="11"/>
  <c r="Z85" i="6"/>
  <c r="W36" i="6"/>
  <c r="CU9" i="11"/>
  <c r="Y136" i="12"/>
  <c r="CS23" i="11" s="1"/>
  <c r="Y167" i="12"/>
  <c r="DO77" i="6"/>
  <c r="BM57" i="6"/>
  <c r="BR8" i="6"/>
  <c r="BR57" i="6" s="1"/>
  <c r="CW57" i="6"/>
  <c r="CW12" i="6"/>
  <c r="Q59" i="6"/>
  <c r="V17" i="6"/>
  <c r="V66" i="6" s="1"/>
  <c r="BF16" i="6"/>
  <c r="BF65" i="6" s="1"/>
  <c r="DB16" i="6"/>
  <c r="DB65" i="6" s="1"/>
  <c r="CF10" i="11"/>
  <c r="M169" i="12"/>
  <c r="AC58" i="11"/>
  <c r="CF59" i="11"/>
  <c r="N84" i="12"/>
  <c r="CH22" i="6"/>
  <c r="CH29" i="6" s="1"/>
  <c r="AN35" i="6"/>
  <c r="AN84" i="6" s="1"/>
  <c r="AS12" i="11"/>
  <c r="AV12" i="11" s="1"/>
  <c r="CG12" i="11"/>
  <c r="CJ12" i="11" s="1"/>
  <c r="P84" i="12"/>
  <c r="Z22" i="6"/>
  <c r="Z29" i="6" s="1"/>
  <c r="AX22" i="6"/>
  <c r="BV22" i="6"/>
  <c r="BV29" i="6" s="1"/>
  <c r="CT22" i="6"/>
  <c r="CT29" i="6" s="1"/>
  <c r="P35" i="6"/>
  <c r="P84" i="6" s="1"/>
  <c r="T22" i="6"/>
  <c r="T29" i="6" s="1"/>
  <c r="AR22" i="6"/>
  <c r="AR29" i="6" s="1"/>
  <c r="BP22" i="6"/>
  <c r="BP29" i="6" s="1"/>
  <c r="DL22" i="6"/>
  <c r="V35" i="6"/>
  <c r="V84" i="6" s="1"/>
  <c r="DO59" i="6"/>
  <c r="BQ63" i="11"/>
  <c r="CA63" i="11"/>
  <c r="DC59" i="6"/>
  <c r="V172" i="12"/>
  <c r="DI77" i="6"/>
  <c r="CK77" i="6"/>
  <c r="CV33" i="6"/>
  <c r="CV82" i="6" s="1"/>
  <c r="AH33" i="6"/>
  <c r="AH82" i="6" s="1"/>
  <c r="DJ61" i="6"/>
  <c r="BM58" i="6"/>
  <c r="AJ96" i="11"/>
  <c r="CR10" i="11"/>
  <c r="AO10" i="11"/>
  <c r="Z96" i="11"/>
  <c r="BR33" i="6"/>
  <c r="BR82" i="6" s="1"/>
  <c r="DN33" i="6"/>
  <c r="DN82" i="6" s="1"/>
  <c r="AT111" i="11"/>
  <c r="CK94" i="6"/>
  <c r="CQ94" i="6"/>
  <c r="AB30" i="6"/>
  <c r="AB79" i="6" s="1"/>
  <c r="W79" i="6"/>
  <c r="T175" i="12"/>
  <c r="BV101" i="11"/>
  <c r="H144" i="12"/>
  <c r="L30" i="11" s="1"/>
  <c r="H176" i="12"/>
  <c r="X173" i="12"/>
  <c r="CP86" i="11"/>
  <c r="BU60" i="11"/>
  <c r="T24" i="12" s="1"/>
  <c r="BV58" i="11"/>
  <c r="Q178" i="12"/>
  <c r="BG59" i="11"/>
  <c r="BF60" i="11"/>
  <c r="Q168" i="12" s="1"/>
  <c r="U178" i="12"/>
  <c r="BZ60" i="11"/>
  <c r="U168" i="12" s="1"/>
  <c r="AB136" i="12"/>
  <c r="DH23" i="11" s="1"/>
  <c r="AB167" i="12"/>
  <c r="BH76" i="11"/>
  <c r="BH75" i="11"/>
  <c r="CV76" i="11"/>
  <c r="CW74" i="11"/>
  <c r="CT85" i="6"/>
  <c r="CZ85" i="6"/>
  <c r="DZ17" i="6"/>
  <c r="DZ66" i="6" s="1"/>
  <c r="CK63" i="11"/>
  <c r="W169" i="12"/>
  <c r="M136" i="12"/>
  <c r="AK23" i="11" s="1"/>
  <c r="AM9" i="11"/>
  <c r="BG9" i="11"/>
  <c r="Q167" i="12"/>
  <c r="CA9" i="11"/>
  <c r="U167" i="12"/>
  <c r="BC76" i="11"/>
  <c r="BC75" i="11"/>
  <c r="R177" i="12"/>
  <c r="BJ71" i="11"/>
  <c r="R48" i="12" s="1"/>
  <c r="BW76" i="11"/>
  <c r="CC74" i="11"/>
  <c r="X177" i="12"/>
  <c r="CN71" i="11"/>
  <c r="X48" i="12" s="1"/>
  <c r="CP13" i="6"/>
  <c r="CP62" i="6" s="1"/>
  <c r="CK60" i="6"/>
  <c r="BA59" i="6"/>
  <c r="BF17" i="6"/>
  <c r="BF66" i="6" s="1"/>
  <c r="Y175" i="12"/>
  <c r="CU101" i="11"/>
  <c r="CK24" i="6"/>
  <c r="CP31" i="6" s="1"/>
  <c r="CP80" i="6" s="1"/>
  <c r="CN73" i="6"/>
  <c r="CL76" i="11"/>
  <c r="CR74" i="11"/>
  <c r="BL30" i="6"/>
  <c r="BL79" i="6" s="1"/>
  <c r="BG79" i="6"/>
  <c r="DO85" i="6"/>
  <c r="U81" i="11"/>
  <c r="AO11" i="11"/>
  <c r="BI81" i="11"/>
  <c r="CC11" i="11"/>
  <c r="BR12" i="11"/>
  <c r="BR14" i="11" s="1"/>
  <c r="BR16" i="11" s="1"/>
  <c r="BY50" i="6"/>
  <c r="CD50" i="6" s="1"/>
  <c r="CE60" i="6"/>
  <c r="CQ59" i="6"/>
  <c r="DI82" i="6"/>
  <c r="CW60" i="6"/>
  <c r="CB85" i="6"/>
  <c r="DK61" i="6"/>
  <c r="AE96" i="11"/>
  <c r="Z237" i="7"/>
  <c r="AG247" i="17"/>
  <c r="M61" i="21"/>
  <c r="U11" i="11"/>
  <c r="AO81" i="11"/>
  <c r="BI11" i="11"/>
  <c r="CC81" i="11"/>
  <c r="CN22" i="6"/>
  <c r="CN29" i="6" s="1"/>
  <c r="AR88" i="11"/>
  <c r="AW282" i="17"/>
  <c r="AW284" i="17" s="1"/>
  <c r="DN17" i="6"/>
  <c r="DN66" i="6" s="1"/>
  <c r="DD105" i="11"/>
  <c r="AC17" i="11"/>
  <c r="DO60" i="6"/>
  <c r="BG77" i="6"/>
  <c r="N17" i="11"/>
  <c r="BL63" i="11"/>
  <c r="BM60" i="6"/>
  <c r="CF88" i="11"/>
  <c r="X84" i="12"/>
  <c r="J12" i="11"/>
  <c r="M12" i="11" s="1"/>
  <c r="H139" i="12" s="1"/>
  <c r="L26" i="11" s="1"/>
  <c r="BD22" i="6"/>
  <c r="CZ22" i="6"/>
  <c r="AI12" i="11"/>
  <c r="AL12" i="11" s="1"/>
  <c r="BW12" i="11"/>
  <c r="BZ12" i="11" s="1"/>
  <c r="Q136" i="12"/>
  <c r="BE23" i="11" s="1"/>
  <c r="BG60" i="6"/>
  <c r="DU79" i="6"/>
  <c r="CU63" i="11"/>
  <c r="CR112" i="11"/>
  <c r="AY111" i="11"/>
  <c r="BS111" i="11"/>
  <c r="BD111" i="11"/>
  <c r="BS60" i="6"/>
  <c r="CW84" i="6"/>
  <c r="L176" i="12"/>
  <c r="DU58" i="6"/>
  <c r="DU77" i="6"/>
  <c r="BY12" i="6"/>
  <c r="CW58" i="6"/>
  <c r="CW59" i="6"/>
  <c r="BN61" i="6"/>
  <c r="CR61" i="6"/>
  <c r="AR10" i="11"/>
  <c r="R84" i="12"/>
  <c r="CK58" i="6"/>
  <c r="DC94" i="6"/>
  <c r="CK66" i="6"/>
  <c r="Z61" i="6"/>
  <c r="CH61" i="6"/>
  <c r="CT61" i="6"/>
  <c r="BS77" i="6"/>
  <c r="DF61" i="6"/>
  <c r="H169" i="12"/>
  <c r="DI58" i="6"/>
  <c r="AO96" i="11"/>
  <c r="BY84" i="6"/>
  <c r="BI111" i="11"/>
  <c r="AO111" i="11"/>
  <c r="AE111" i="11"/>
  <c r="DR61" i="6"/>
  <c r="AB35" i="6"/>
  <c r="AB84" i="6" s="1"/>
  <c r="V31" i="6"/>
  <c r="V80" i="6" s="1"/>
  <c r="CH112" i="11"/>
  <c r="BN64" i="6"/>
  <c r="BZ61" i="6"/>
  <c r="DV61" i="6"/>
  <c r="AH35" i="6"/>
  <c r="AH84" i="6" s="1"/>
  <c r="BZ64" i="6"/>
  <c r="CF64" i="6"/>
  <c r="AG60" i="11"/>
  <c r="L168" i="12" s="1"/>
  <c r="DI90" i="11"/>
  <c r="CM61" i="6"/>
  <c r="DW61" i="6"/>
  <c r="DL73" i="6"/>
  <c r="BG12" i="6"/>
  <c r="CM10" i="11"/>
  <c r="BI10" i="11"/>
  <c r="CH65" i="11"/>
  <c r="DI88" i="11"/>
  <c r="AB84" i="12" s="1"/>
  <c r="BB10" i="11"/>
  <c r="CQ12" i="11"/>
  <c r="CW12" i="11" s="1"/>
  <c r="BB88" i="11"/>
  <c r="BV88" i="11"/>
  <c r="BI22" i="6"/>
  <c r="BI29" i="6" s="1"/>
  <c r="DE22" i="6"/>
  <c r="P13" i="6"/>
  <c r="P62" i="6" s="1"/>
  <c r="AN13" i="6"/>
  <c r="AN62" i="6" s="1"/>
  <c r="CL64" i="6"/>
  <c r="P16" i="6"/>
  <c r="P65" i="6" s="1"/>
  <c r="AZ16" i="6"/>
  <c r="AZ65" i="6" s="1"/>
  <c r="BL16" i="6"/>
  <c r="BL65" i="6" s="1"/>
  <c r="CJ16" i="6"/>
  <c r="CJ65" i="6" s="1"/>
  <c r="CV16" i="6"/>
  <c r="CV65" i="6" s="1"/>
  <c r="DT16" i="6"/>
  <c r="DT65" i="6" s="1"/>
  <c r="EA65" i="6"/>
  <c r="CQ66" i="6"/>
  <c r="W12" i="6"/>
  <c r="BS57" i="6"/>
  <c r="DO12" i="6"/>
  <c r="DO57" i="6"/>
  <c r="BT61" i="6"/>
  <c r="CL61" i="6"/>
  <c r="DP61" i="6"/>
  <c r="BJ73" i="6"/>
  <c r="CH73" i="6"/>
  <c r="DC24" i="6"/>
  <c r="DH31" i="6" s="1"/>
  <c r="DH80" i="6" s="1"/>
  <c r="BF33" i="6"/>
  <c r="BF82" i="6" s="1"/>
  <c r="BS10" i="11"/>
  <c r="AT10" i="11"/>
  <c r="BL10" i="11"/>
  <c r="BG58" i="6"/>
  <c r="DJ87" i="11"/>
  <c r="Z303" i="17"/>
  <c r="Z282" i="17" s="1"/>
  <c r="AW308" i="17"/>
  <c r="DB8" i="6"/>
  <c r="DB57" i="6" s="1"/>
  <c r="DU57" i="6"/>
  <c r="K12" i="6"/>
  <c r="BF31" i="6"/>
  <c r="BF80" i="6" s="1"/>
  <c r="CJ90" i="11"/>
  <c r="DE87" i="11"/>
  <c r="BP73" i="6"/>
  <c r="BP60" i="11"/>
  <c r="BQ60" i="11" s="1"/>
  <c r="BV85" i="6"/>
  <c r="AJ74" i="11"/>
  <c r="AO74" i="11"/>
  <c r="J176" i="12"/>
  <c r="P175" i="12"/>
  <c r="AH59" i="11"/>
  <c r="BB59" i="11"/>
  <c r="DL47" i="11"/>
  <c r="N172" i="12"/>
  <c r="BZ105" i="11"/>
  <c r="DG47" i="11"/>
  <c r="BG63" i="11"/>
  <c r="CA102" i="11"/>
  <c r="BW96" i="11"/>
  <c r="CB96" i="11" s="1"/>
  <c r="CG96" i="11" s="1"/>
  <c r="CL96" i="11" s="1"/>
  <c r="CL97" i="11" s="1"/>
  <c r="S174" i="12"/>
  <c r="V178" i="12"/>
  <c r="DJ101" i="11"/>
  <c r="W84" i="12"/>
  <c r="BM12" i="11"/>
  <c r="BM14" i="11" s="1"/>
  <c r="P106" i="12"/>
  <c r="T106" i="12"/>
  <c r="BM59" i="6"/>
  <c r="CK9" i="11"/>
  <c r="J172" i="12"/>
  <c r="BT71" i="11"/>
  <c r="T48" i="12" s="1"/>
  <c r="DI103" i="11"/>
  <c r="CL12" i="11"/>
  <c r="S175" i="12"/>
  <c r="DE63" i="11"/>
  <c r="P33" i="6"/>
  <c r="P82" i="6" s="1"/>
  <c r="DI60" i="6"/>
  <c r="CE59" i="6"/>
  <c r="BX33" i="6"/>
  <c r="BX82" i="6" s="1"/>
  <c r="W136" i="12"/>
  <c r="CI23" i="11" s="1"/>
  <c r="AR119" i="11"/>
  <c r="CB73" i="6"/>
  <c r="BY58" i="6"/>
  <c r="AC178" i="12"/>
  <c r="E131" i="2" s="1"/>
  <c r="AV131" i="2" s="1"/>
  <c r="AC169" i="12"/>
  <c r="E105" i="2" s="1"/>
  <c r="AV105" i="2" s="1"/>
  <c r="Y239" i="7"/>
  <c r="W39" i="7"/>
  <c r="AA37" i="7"/>
  <c r="AA204" i="8"/>
  <c r="V231" i="7"/>
  <c r="Q247" i="17"/>
  <c r="AJ247" i="17"/>
  <c r="AW247" i="17"/>
  <c r="AA237" i="7"/>
  <c r="T247" i="17"/>
  <c r="AZ247" i="17"/>
  <c r="DU94" i="6"/>
  <c r="N101" i="11"/>
  <c r="H175" i="12"/>
  <c r="V179" i="12"/>
  <c r="CF119" i="11"/>
  <c r="J179" i="12"/>
  <c r="X119" i="11"/>
  <c r="R179" i="12"/>
  <c r="BL119" i="11"/>
  <c r="BY77" i="6"/>
  <c r="BY59" i="6"/>
  <c r="BS58" i="6"/>
  <c r="AF73" i="6"/>
  <c r="CJ33" i="6"/>
  <c r="CJ82" i="6" s="1"/>
  <c r="BM84" i="6"/>
  <c r="CM74" i="11"/>
  <c r="J144" i="12"/>
  <c r="V30" i="11" s="1"/>
  <c r="CE94" i="6"/>
  <c r="BY94" i="6"/>
  <c r="AR63" i="11"/>
  <c r="BS84" i="6"/>
  <c r="X142" i="12"/>
  <c r="CN29" i="11" s="1"/>
  <c r="CZ73" i="6"/>
  <c r="T55" i="12"/>
  <c r="DH33" i="6"/>
  <c r="DH82" i="6" s="1"/>
  <c r="DC84" i="6"/>
  <c r="I174" i="12"/>
  <c r="BY60" i="6"/>
  <c r="AB140" i="12"/>
  <c r="DH27" i="11" s="1"/>
  <c r="BY79" i="6"/>
  <c r="DO58" i="6"/>
  <c r="CQ58" i="6"/>
  <c r="DX73" i="6"/>
  <c r="H173" i="12"/>
  <c r="N86" i="11"/>
  <c r="R173" i="12"/>
  <c r="BL86" i="11"/>
  <c r="N173" i="12"/>
  <c r="AR86" i="11"/>
  <c r="Z173" i="12"/>
  <c r="CZ86" i="11"/>
  <c r="DX85" i="6"/>
  <c r="DU36" i="6"/>
  <c r="DU85" i="6" s="1"/>
  <c r="CZ7" i="11"/>
  <c r="J106" i="12"/>
  <c r="CW47" i="11"/>
  <c r="AM88" i="11"/>
  <c r="CW79" i="6"/>
  <c r="DU84" i="6"/>
  <c r="AV316" i="17"/>
  <c r="AV318" i="17" s="1"/>
  <c r="CE84" i="6"/>
  <c r="CW112" i="11"/>
  <c r="BL33" i="6"/>
  <c r="BL82" i="6" s="1"/>
  <c r="U134" i="12"/>
  <c r="BY21" i="11" s="1"/>
  <c r="CK88" i="11"/>
  <c r="DI123" i="11"/>
  <c r="DE13" i="11"/>
  <c r="W106" i="12"/>
  <c r="DT33" i="6"/>
  <c r="DT82" i="6" s="1"/>
  <c r="CI71" i="11"/>
  <c r="W48" i="12" s="1"/>
  <c r="W177" i="12"/>
  <c r="BD73" i="6"/>
  <c r="T179" i="12"/>
  <c r="BV119" i="11"/>
  <c r="T85" i="6"/>
  <c r="Q36" i="6"/>
  <c r="CW77" i="6"/>
  <c r="DC12" i="6"/>
  <c r="AM102" i="11"/>
  <c r="Z111" i="11"/>
  <c r="CP88" i="11"/>
  <c r="CJ13" i="6"/>
  <c r="CJ62" i="6" s="1"/>
  <c r="DO72" i="6"/>
  <c r="DB30" i="6"/>
  <c r="DB79" i="6" s="1"/>
  <c r="Z73" i="6"/>
  <c r="CT73" i="6"/>
  <c r="Z106" i="12"/>
  <c r="J55" i="12"/>
  <c r="R55" i="12"/>
  <c r="DE35" i="11"/>
  <c r="Y282" i="17"/>
  <c r="Y284" i="17" s="1"/>
  <c r="CK12" i="6"/>
  <c r="DU12" i="6"/>
  <c r="BX13" i="6"/>
  <c r="BX62" i="6" s="1"/>
  <c r="BY82" i="6"/>
  <c r="CK59" i="6"/>
  <c r="T73" i="6"/>
  <c r="O135" i="12"/>
  <c r="AU22" i="11" s="1"/>
  <c r="AH103" i="11"/>
  <c r="AC13" i="11"/>
  <c r="DE15" i="11"/>
  <c r="BS82" i="6"/>
  <c r="CX222" i="17"/>
  <c r="CX235" i="17" s="1"/>
  <c r="AD114" i="12"/>
  <c r="AD118" i="12" s="1"/>
  <c r="DO82" i="6"/>
  <c r="S88" i="11"/>
  <c r="P134" i="12"/>
  <c r="AZ21" i="11" s="1"/>
  <c r="BB15" i="11"/>
  <c r="P55" i="12"/>
  <c r="Y106" i="12"/>
  <c r="I106" i="12"/>
  <c r="Q84" i="12"/>
  <c r="CA15" i="11"/>
  <c r="V106" i="12"/>
  <c r="AM7" i="11"/>
  <c r="BG7" i="11"/>
  <c r="W135" i="12"/>
  <c r="CI22" i="11" s="1"/>
  <c r="I165" i="12"/>
  <c r="CU7" i="11"/>
  <c r="BV103" i="11"/>
  <c r="J134" i="12"/>
  <c r="V21" i="11" s="1"/>
  <c r="X7" i="11"/>
  <c r="Z134" i="12"/>
  <c r="CX21" i="11" s="1"/>
  <c r="S140" i="12"/>
  <c r="BO27" i="11" s="1"/>
  <c r="O142" i="12"/>
  <c r="AU29" i="11" s="1"/>
  <c r="CU15" i="11"/>
  <c r="AS308" i="17"/>
  <c r="BA308" i="17"/>
  <c r="BI308" i="17"/>
  <c r="H134" i="12"/>
  <c r="L21" i="11" s="1"/>
  <c r="BD316" i="17"/>
  <c r="BD318" i="17" s="1"/>
  <c r="CK15" i="11"/>
  <c r="X15" i="11"/>
  <c r="BL15" i="11"/>
  <c r="Q106" i="12"/>
  <c r="S106" i="12"/>
  <c r="CA88" i="11"/>
  <c r="BM77" i="6"/>
  <c r="DT30" i="6"/>
  <c r="DT79" i="6" s="1"/>
  <c r="W82" i="6"/>
  <c r="AU82" i="6"/>
  <c r="AZ33" i="6"/>
  <c r="AZ82" i="6" s="1"/>
  <c r="Y174" i="12"/>
  <c r="CU102" i="11"/>
  <c r="V137" i="12"/>
  <c r="CD24" i="11" s="1"/>
  <c r="S84" i="12"/>
  <c r="DC79" i="6"/>
  <c r="DC82" i="6"/>
  <c r="O175" i="12"/>
  <c r="AW101" i="11"/>
  <c r="H179" i="12"/>
  <c r="N119" i="11"/>
  <c r="N55" i="12"/>
  <c r="K175" i="12"/>
  <c r="AC101" i="11"/>
  <c r="R175" i="12"/>
  <c r="BL101" i="11"/>
  <c r="DB47" i="11"/>
  <c r="N175" i="12"/>
  <c r="AR101" i="11"/>
  <c r="L179" i="12"/>
  <c r="AH119" i="11"/>
  <c r="CJ32" i="6"/>
  <c r="CJ81" i="6" s="1"/>
  <c r="DI84" i="6"/>
  <c r="DO84" i="6"/>
  <c r="O174" i="12"/>
  <c r="AW102" i="11"/>
  <c r="CD30" i="6"/>
  <c r="CD79" i="6" s="1"/>
  <c r="BS59" i="6"/>
  <c r="V55" i="12"/>
  <c r="BG84" i="6"/>
  <c r="AZ316" i="17"/>
  <c r="AZ318" i="17" s="1"/>
  <c r="BE308" i="17"/>
  <c r="BM12" i="6"/>
  <c r="DI12" i="6"/>
  <c r="CK82" i="6"/>
  <c r="BS74" i="11"/>
  <c r="AA106" i="12"/>
  <c r="DI59" i="6"/>
  <c r="M106" i="12"/>
  <c r="K176" i="12"/>
  <c r="K36" i="6"/>
  <c r="K85" i="6" s="1"/>
  <c r="H84" i="12"/>
  <c r="X134" i="12"/>
  <c r="CN21" i="11" s="1"/>
  <c r="CB12" i="11"/>
  <c r="CB14" i="11" s="1"/>
  <c r="CB16" i="11" s="1"/>
  <c r="L84" i="12"/>
  <c r="CZ101" i="11"/>
  <c r="Z175" i="12"/>
  <c r="AB179" i="12"/>
  <c r="D158" i="2" s="1"/>
  <c r="AU158" i="2" s="1"/>
  <c r="DJ119" i="11"/>
  <c r="BL32" i="6"/>
  <c r="BL81" i="6" s="1"/>
  <c r="DH32" i="6"/>
  <c r="DH81" i="6" s="1"/>
  <c r="AI82" i="6"/>
  <c r="AN33" i="6"/>
  <c r="AN82" i="6" s="1"/>
  <c r="CK84" i="6"/>
  <c r="CQ84" i="6"/>
  <c r="K174" i="12"/>
  <c r="AC102" i="11"/>
  <c r="AF85" i="6"/>
  <c r="AC36" i="6"/>
  <c r="AR85" i="6"/>
  <c r="AO36" i="6"/>
  <c r="CE79" i="6"/>
  <c r="BX74" i="11"/>
  <c r="CE82" i="6"/>
  <c r="BE282" i="17"/>
  <c r="BE284" i="17" s="1"/>
  <c r="CA7" i="11"/>
  <c r="Q165" i="12"/>
  <c r="M134" i="12"/>
  <c r="AK21" i="11" s="1"/>
  <c r="J84" i="12"/>
  <c r="D111" i="2"/>
  <c r="I134" i="12"/>
  <c r="Q21" i="11" s="1"/>
  <c r="Y134" i="12"/>
  <c r="CS21" i="11" s="1"/>
  <c r="BL7" i="11"/>
  <c r="R165" i="12"/>
  <c r="H22" i="6"/>
  <c r="H29" i="6" s="1"/>
  <c r="H34" i="6" s="1"/>
  <c r="H39" i="6" s="1"/>
  <c r="H48" i="6" s="1"/>
  <c r="H49" i="6" s="1"/>
  <c r="DC29" i="11"/>
  <c r="AA143" i="12"/>
  <c r="CQ79" i="6"/>
  <c r="CK79" i="6"/>
  <c r="H55" i="12"/>
  <c r="N137" i="12"/>
  <c r="AP24" i="11" s="1"/>
  <c r="AC308" i="17"/>
  <c r="X55" i="12"/>
  <c r="H165" i="12"/>
  <c r="BH316" i="17"/>
  <c r="BH318" i="17" s="1"/>
  <c r="U106" i="12"/>
  <c r="BB7" i="11"/>
  <c r="CP7" i="11"/>
  <c r="AA84" i="12"/>
  <c r="K84" i="12"/>
  <c r="AW8" i="11"/>
  <c r="CK8" i="11"/>
  <c r="O84" i="12"/>
  <c r="CQ85" i="6"/>
  <c r="E12" i="6"/>
  <c r="AN12" i="11"/>
  <c r="BB103" i="11"/>
  <c r="X106" i="12"/>
  <c r="BM79" i="6"/>
  <c r="BS79" i="6"/>
  <c r="DO79" i="6"/>
  <c r="DI79" i="6"/>
  <c r="U285" i="17"/>
  <c r="U319" i="17" s="1"/>
  <c r="U321" i="17" s="1"/>
  <c r="AC282" i="17"/>
  <c r="AC284" i="17" s="1"/>
  <c r="AC285" i="17"/>
  <c r="AC287" i="17" s="1"/>
  <c r="AK282" i="17"/>
  <c r="AO316" i="17" s="1"/>
  <c r="AO318" i="17" s="1"/>
  <c r="AS282" i="17"/>
  <c r="AS284" i="17" s="1"/>
  <c r="AS285" i="17"/>
  <c r="AS319" i="17" s="1"/>
  <c r="AS321" i="17" s="1"/>
  <c r="BA282" i="17"/>
  <c r="BA284" i="17" s="1"/>
  <c r="BA285" i="17"/>
  <c r="BA319" i="17" s="1"/>
  <c r="BA321" i="17" s="1"/>
  <c r="BI282" i="17"/>
  <c r="BI284" i="17" s="1"/>
  <c r="BI285" i="17"/>
  <c r="BI287" i="17" s="1"/>
  <c r="AA174" i="12"/>
  <c r="C110" i="2" s="1"/>
  <c r="DE102" i="11"/>
  <c r="AB660" i="7"/>
  <c r="V237" i="7"/>
  <c r="Q40" i="6"/>
  <c r="BM40" i="6"/>
  <c r="DI40" i="6"/>
  <c r="T791" i="7"/>
  <c r="V791" i="7"/>
  <c r="V466" i="12"/>
  <c r="V473" i="12" s="1"/>
  <c r="W237" i="7"/>
  <c r="L660" i="7"/>
  <c r="L674" i="7" s="1"/>
  <c r="P660" i="7"/>
  <c r="P674" i="7" s="1"/>
  <c r="T660" i="7"/>
  <c r="T674" i="7" s="1"/>
  <c r="X660" i="7"/>
  <c r="X674" i="7" s="1"/>
  <c r="U791" i="7"/>
  <c r="O140" i="12"/>
  <c r="AW13" i="11"/>
  <c r="K253" i="8"/>
  <c r="K249" i="8"/>
  <c r="K250" i="8" s="1"/>
  <c r="O253" i="8"/>
  <c r="O249" i="8"/>
  <c r="O250" i="8" s="1"/>
  <c r="S253" i="8"/>
  <c r="S249" i="8"/>
  <c r="S250" i="8" s="1"/>
  <c r="W253" i="8"/>
  <c r="W249" i="8"/>
  <c r="W250" i="8" s="1"/>
  <c r="AA253" i="8"/>
  <c r="AA249" i="8"/>
  <c r="AA250" i="8" s="1"/>
  <c r="AP116" i="11"/>
  <c r="AQ116" i="11" s="1"/>
  <c r="AR116" i="11" s="1"/>
  <c r="AQ17" i="11"/>
  <c r="AZ116" i="11"/>
  <c r="BA116" i="11" s="1"/>
  <c r="BB116" i="11" s="1"/>
  <c r="BA17" i="11"/>
  <c r="BJ116" i="11"/>
  <c r="BK116" i="11" s="1"/>
  <c r="BL116" i="11" s="1"/>
  <c r="BK17" i="11"/>
  <c r="BT116" i="11"/>
  <c r="BU116" i="11" s="1"/>
  <c r="BV116" i="11" s="1"/>
  <c r="BU17" i="11"/>
  <c r="DQ47" i="6"/>
  <c r="Z736" i="7"/>
  <c r="Z737" i="7" s="1"/>
  <c r="Z555" i="7"/>
  <c r="Z549" i="7"/>
  <c r="Z545" i="7"/>
  <c r="N165" i="12"/>
  <c r="N134" i="12"/>
  <c r="AP21" i="11" s="1"/>
  <c r="V165" i="12"/>
  <c r="V134" i="12"/>
  <c r="CD21" i="11" s="1"/>
  <c r="I135" i="12"/>
  <c r="Q22" i="11" s="1"/>
  <c r="S8" i="11"/>
  <c r="I166" i="12"/>
  <c r="M166" i="12"/>
  <c r="AM8" i="11"/>
  <c r="M135" i="12"/>
  <c r="AK22" i="11" s="1"/>
  <c r="J140" i="12"/>
  <c r="V27" i="11" s="1"/>
  <c r="X13" i="11"/>
  <c r="N140" i="12"/>
  <c r="AR13" i="11"/>
  <c r="R140" i="12"/>
  <c r="BJ27" i="11" s="1"/>
  <c r="BL13" i="11"/>
  <c r="V140" i="12"/>
  <c r="CF13" i="11"/>
  <c r="CY88" i="11"/>
  <c r="J253" i="8"/>
  <c r="J249" i="8"/>
  <c r="J250" i="8" s="1"/>
  <c r="N253" i="8"/>
  <c r="N249" i="8"/>
  <c r="N250" i="8" s="1"/>
  <c r="R253" i="8"/>
  <c r="R249" i="8"/>
  <c r="R250" i="8" s="1"/>
  <c r="V253" i="8"/>
  <c r="V249" i="8"/>
  <c r="V250" i="8" s="1"/>
  <c r="Z253" i="8"/>
  <c r="Z249" i="8"/>
  <c r="Z250" i="8" s="1"/>
  <c r="DC116" i="11"/>
  <c r="DD116" i="11" s="1"/>
  <c r="DE116" i="11" s="1"/>
  <c r="DD17" i="11"/>
  <c r="DW47" i="6"/>
  <c r="AA736" i="7"/>
  <c r="AA737" i="7" s="1"/>
  <c r="AA555" i="7"/>
  <c r="AA545" i="7"/>
  <c r="AA338" i="12"/>
  <c r="AA306" i="12"/>
  <c r="AA301" i="12"/>
  <c r="L773" i="7"/>
  <c r="L774" i="7" s="1"/>
  <c r="P774" i="7"/>
  <c r="T774" i="7"/>
  <c r="M773" i="7"/>
  <c r="M774" i="7" s="1"/>
  <c r="Q774" i="7"/>
  <c r="U774" i="7"/>
  <c r="Z66" i="8"/>
  <c r="Z55" i="8"/>
  <c r="J89" i="21"/>
  <c r="K85" i="21"/>
  <c r="K84" i="21"/>
  <c r="N89" i="21"/>
  <c r="O85" i="21"/>
  <c r="O84" i="21"/>
  <c r="H143" i="8"/>
  <c r="H178" i="8"/>
  <c r="H171" i="8"/>
  <c r="J143" i="8"/>
  <c r="J178" i="8"/>
  <c r="J171" i="8"/>
  <c r="L143" i="8"/>
  <c r="L178" i="8"/>
  <c r="L171" i="8"/>
  <c r="N143" i="8"/>
  <c r="N178" i="8"/>
  <c r="N171" i="8"/>
  <c r="P143" i="8"/>
  <c r="P178" i="8"/>
  <c r="P171" i="8"/>
  <c r="R143" i="8"/>
  <c r="R178" i="8"/>
  <c r="R171" i="8"/>
  <c r="T143" i="8"/>
  <c r="T178" i="8"/>
  <c r="T171" i="8"/>
  <c r="V143" i="8"/>
  <c r="V178" i="8"/>
  <c r="V171" i="8"/>
  <c r="X143" i="8"/>
  <c r="X178" i="8"/>
  <c r="X171" i="8"/>
  <c r="N376" i="7"/>
  <c r="N355" i="7"/>
  <c r="N193" i="7"/>
  <c r="N187" i="7"/>
  <c r="V376" i="7"/>
  <c r="V355" i="7"/>
  <c r="V193" i="7"/>
  <c r="V187" i="7"/>
  <c r="M203" i="8"/>
  <c r="W668" i="7"/>
  <c r="Y668" i="7"/>
  <c r="AA39" i="7"/>
  <c r="K18" i="6"/>
  <c r="N67" i="6"/>
  <c r="AI18" i="6"/>
  <c r="AL67" i="6"/>
  <c r="BG18" i="6"/>
  <c r="BJ67" i="6"/>
  <c r="CE18" i="6"/>
  <c r="CH67" i="6"/>
  <c r="DC18" i="6"/>
  <c r="DF67" i="6"/>
  <c r="ED18" i="6"/>
  <c r="ED67" i="6" s="1"/>
  <c r="L588" i="7"/>
  <c r="L169" i="7"/>
  <c r="P588" i="7"/>
  <c r="P169" i="7"/>
  <c r="T593" i="7"/>
  <c r="T598" i="7"/>
  <c r="X593" i="7"/>
  <c r="X598" i="7"/>
  <c r="AC168" i="7"/>
  <c r="T69" i="6"/>
  <c r="N69" i="6"/>
  <c r="AR69" i="6"/>
  <c r="AL69" i="6"/>
  <c r="BP69" i="6"/>
  <c r="BJ69" i="6"/>
  <c r="CN69" i="6"/>
  <c r="CH69" i="6"/>
  <c r="DL69" i="6"/>
  <c r="DF69" i="6"/>
  <c r="EJ20" i="6"/>
  <c r="EJ69" i="6" s="1"/>
  <c r="AC752" i="7"/>
  <c r="AC756" i="7" s="1"/>
  <c r="E224" i="2" s="1"/>
  <c r="AD138" i="7"/>
  <c r="AE138" i="7" s="1"/>
  <c r="AC626" i="7"/>
  <c r="AC267" i="7"/>
  <c r="EJ74" i="6"/>
  <c r="EJ24" i="6"/>
  <c r="EJ73" i="6" s="1"/>
  <c r="N40" i="6"/>
  <c r="N92" i="6"/>
  <c r="Z92" i="6"/>
  <c r="Z40" i="6"/>
  <c r="AF89" i="6" s="1"/>
  <c r="AL40" i="6"/>
  <c r="AL92" i="6"/>
  <c r="AX92" i="6"/>
  <c r="AX40" i="6"/>
  <c r="BD89" i="6" s="1"/>
  <c r="BJ40" i="6"/>
  <c r="BP89" i="6" s="1"/>
  <c r="BJ92" i="6"/>
  <c r="BV92" i="6"/>
  <c r="BV40" i="6"/>
  <c r="CB89" i="6" s="1"/>
  <c r="CH40" i="6"/>
  <c r="CH92" i="6"/>
  <c r="DF40" i="6"/>
  <c r="DL89" i="6" s="1"/>
  <c r="DF92" i="6"/>
  <c r="EJ43" i="6"/>
  <c r="EJ92" i="6" s="1"/>
  <c r="AD484" i="7"/>
  <c r="AD485" i="7" s="1"/>
  <c r="BA40" i="6"/>
  <c r="CW40" i="6"/>
  <c r="N764" i="7"/>
  <c r="N765" i="7" s="1"/>
  <c r="N663" i="7"/>
  <c r="N677" i="7" s="1"/>
  <c r="R764" i="7"/>
  <c r="R765" i="7" s="1"/>
  <c r="R663" i="7"/>
  <c r="R677" i="7" s="1"/>
  <c r="V764" i="7"/>
  <c r="V765" i="7" s="1"/>
  <c r="V663" i="7"/>
  <c r="V677" i="7" s="1"/>
  <c r="C227" i="2"/>
  <c r="AT227" i="2" s="1"/>
  <c r="Z764" i="7"/>
  <c r="Z765" i="7" s="1"/>
  <c r="Z663" i="7"/>
  <c r="Z677" i="7" s="1"/>
  <c r="O375" i="7"/>
  <c r="O354" i="7"/>
  <c r="O192" i="7"/>
  <c r="O183" i="7"/>
  <c r="O186" i="7"/>
  <c r="S375" i="7"/>
  <c r="S354" i="7"/>
  <c r="S192" i="7"/>
  <c r="S183" i="7"/>
  <c r="S186" i="7"/>
  <c r="W375" i="7"/>
  <c r="W354" i="7"/>
  <c r="W192" i="7"/>
  <c r="W183" i="7"/>
  <c r="W186" i="7"/>
  <c r="EH10" i="6"/>
  <c r="AD46" i="7"/>
  <c r="EB59" i="6"/>
  <c r="EA10" i="6"/>
  <c r="V272" i="7"/>
  <c r="V261" i="7"/>
  <c r="C193" i="2"/>
  <c r="AT193" i="2" s="1"/>
  <c r="EB27" i="6"/>
  <c r="AB707" i="7"/>
  <c r="AB709" i="7" s="1"/>
  <c r="D191" i="2" s="1"/>
  <c r="EB81" i="6"/>
  <c r="AM84" i="6"/>
  <c r="AM48" i="6"/>
  <c r="BL35" i="6"/>
  <c r="BL84" i="6" s="1"/>
  <c r="BK84" i="6"/>
  <c r="BK48" i="6"/>
  <c r="CJ35" i="6"/>
  <c r="CJ84" i="6" s="1"/>
  <c r="CI84" i="6"/>
  <c r="CI48" i="6"/>
  <c r="DH35" i="6"/>
  <c r="DH84" i="6" s="1"/>
  <c r="DG84" i="6"/>
  <c r="DT35" i="6"/>
  <c r="DT84" i="6" s="1"/>
  <c r="DS84" i="6"/>
  <c r="CP45" i="6"/>
  <c r="CP94" i="6" s="1"/>
  <c r="CO94" i="6"/>
  <c r="J61" i="21"/>
  <c r="N61" i="21"/>
  <c r="O790" i="7"/>
  <c r="O791" i="7" s="1"/>
  <c r="F104" i="20"/>
  <c r="W104" i="20" s="1"/>
  <c r="AV116" i="2"/>
  <c r="F105" i="20"/>
  <c r="W105" i="20" s="1"/>
  <c r="AV117" i="2"/>
  <c r="K190" i="17"/>
  <c r="L190" i="17"/>
  <c r="P190" i="17"/>
  <c r="O190" i="17"/>
  <c r="S190" i="17"/>
  <c r="X190" i="17"/>
  <c r="W190" i="17"/>
  <c r="AA190" i="17"/>
  <c r="AF190" i="17"/>
  <c r="AE190" i="17"/>
  <c r="AI190" i="17"/>
  <c r="AN190" i="17"/>
  <c r="AM190" i="17"/>
  <c r="AQ190" i="17"/>
  <c r="AV190" i="17"/>
  <c r="AU190" i="17"/>
  <c r="AY190" i="17"/>
  <c r="BD190" i="17"/>
  <c r="BC190" i="17"/>
  <c r="BG190" i="17"/>
  <c r="BK12" i="17"/>
  <c r="E110" i="20"/>
  <c r="V110" i="20" s="1"/>
  <c r="AU121" i="2"/>
  <c r="E112" i="20"/>
  <c r="V112" i="20" s="1"/>
  <c r="AU123" i="2"/>
  <c r="M155" i="17"/>
  <c r="L155" i="17"/>
  <c r="K155" i="17"/>
  <c r="Z202" i="17"/>
  <c r="AP202" i="17"/>
  <c r="BF202" i="17"/>
  <c r="BV207" i="17"/>
  <c r="BY212" i="17"/>
  <c r="BX212" i="17"/>
  <c r="BU203" i="17"/>
  <c r="W154" i="12"/>
  <c r="BW212" i="17"/>
  <c r="BV213" i="17"/>
  <c r="CL207" i="17"/>
  <c r="CO212" i="17"/>
  <c r="CN212" i="17"/>
  <c r="CK203" i="17"/>
  <c r="AA154" i="12"/>
  <c r="CM212" i="17"/>
  <c r="CL213" i="17"/>
  <c r="CA121" i="17"/>
  <c r="CA17" i="17"/>
  <c r="CE121" i="17"/>
  <c r="CE17" i="17"/>
  <c r="CI121" i="17"/>
  <c r="CI17" i="17"/>
  <c r="CM121" i="17"/>
  <c r="CM17" i="17"/>
  <c r="CP120" i="17"/>
  <c r="E118" i="20"/>
  <c r="V118" i="20" s="1"/>
  <c r="AU267" i="2"/>
  <c r="G122" i="20"/>
  <c r="X122" i="20" s="1"/>
  <c r="AW271" i="2"/>
  <c r="M273" i="12"/>
  <c r="M269" i="12"/>
  <c r="AO96" i="6"/>
  <c r="AT47" i="6"/>
  <c r="AT96" i="6" s="1"/>
  <c r="U273" i="12"/>
  <c r="U269" i="12"/>
  <c r="CK96" i="6"/>
  <c r="CP47" i="6"/>
  <c r="CP96" i="6" s="1"/>
  <c r="I116" i="8"/>
  <c r="Q116" i="8"/>
  <c r="Y116" i="8"/>
  <c r="L79" i="8"/>
  <c r="M84" i="8" s="1"/>
  <c r="P79" i="8"/>
  <c r="T79" i="8"/>
  <c r="U84" i="8" s="1"/>
  <c r="X79" i="8"/>
  <c r="Y84" i="8" s="1"/>
  <c r="K66" i="8"/>
  <c r="K55" i="8"/>
  <c r="O66" i="8"/>
  <c r="O55" i="8"/>
  <c r="S66" i="8"/>
  <c r="S55" i="8"/>
  <c r="W66" i="8"/>
  <c r="W55" i="8"/>
  <c r="I89" i="21"/>
  <c r="J85" i="21"/>
  <c r="J84" i="21"/>
  <c r="G178" i="8"/>
  <c r="G143" i="8"/>
  <c r="G157" i="8" s="1"/>
  <c r="I159" i="8"/>
  <c r="I152" i="8"/>
  <c r="K159" i="8"/>
  <c r="K152" i="8"/>
  <c r="M159" i="8"/>
  <c r="M152" i="8"/>
  <c r="O159" i="8"/>
  <c r="O152" i="8"/>
  <c r="Q159" i="8"/>
  <c r="Q152" i="8"/>
  <c r="S159" i="8"/>
  <c r="S152" i="8"/>
  <c r="U159" i="8"/>
  <c r="U152" i="8"/>
  <c r="W159" i="8"/>
  <c r="W152" i="8"/>
  <c r="Y159" i="8"/>
  <c r="Y152" i="8"/>
  <c r="Y178" i="8"/>
  <c r="Y171" i="8"/>
  <c r="Y143" i="8"/>
  <c r="Y108" i="8" s="1"/>
  <c r="O376" i="7"/>
  <c r="O355" i="7"/>
  <c r="O193" i="7"/>
  <c r="O187" i="7"/>
  <c r="W376" i="7"/>
  <c r="W355" i="7"/>
  <c r="W193" i="7"/>
  <c r="W187" i="7"/>
  <c r="N195" i="8"/>
  <c r="N202" i="8" s="1"/>
  <c r="V195" i="8"/>
  <c r="V202" i="8" s="1"/>
  <c r="T237" i="7"/>
  <c r="X239" i="7"/>
  <c r="C206" i="2"/>
  <c r="AT206" i="2" s="1"/>
  <c r="L448" i="7"/>
  <c r="L437" i="7"/>
  <c r="N448" i="7"/>
  <c r="N437" i="7"/>
  <c r="P448" i="7"/>
  <c r="P437" i="7"/>
  <c r="R448" i="7"/>
  <c r="R437" i="7"/>
  <c r="T448" i="7"/>
  <c r="T437" i="7"/>
  <c r="V448" i="7"/>
  <c r="V437" i="7"/>
  <c r="X448" i="7"/>
  <c r="X437" i="7"/>
  <c r="Z448" i="7"/>
  <c r="Z437" i="7"/>
  <c r="L428" i="7"/>
  <c r="N428" i="7"/>
  <c r="P428" i="7"/>
  <c r="R428" i="7"/>
  <c r="T428" i="7"/>
  <c r="V668" i="7"/>
  <c r="X428" i="7"/>
  <c r="X39" i="7"/>
  <c r="M660" i="7"/>
  <c r="M674" i="7" s="1"/>
  <c r="Q660" i="7"/>
  <c r="Q674" i="7" s="1"/>
  <c r="U660" i="7"/>
  <c r="U674" i="7" s="1"/>
  <c r="Y660" i="7"/>
  <c r="Y674" i="7" s="1"/>
  <c r="M588" i="7"/>
  <c r="M169" i="7"/>
  <c r="Q588" i="7"/>
  <c r="Q169" i="7"/>
  <c r="U598" i="7"/>
  <c r="U593" i="7"/>
  <c r="Y598" i="7"/>
  <c r="Y593" i="7"/>
  <c r="Z290" i="7"/>
  <c r="AB290" i="7"/>
  <c r="AF92" i="6"/>
  <c r="BD92" i="6"/>
  <c r="CB92" i="6"/>
  <c r="CZ92" i="6"/>
  <c r="O764" i="7"/>
  <c r="O765" i="7" s="1"/>
  <c r="O663" i="7"/>
  <c r="O677" i="7" s="1"/>
  <c r="S764" i="7"/>
  <c r="S765" i="7" s="1"/>
  <c r="S663" i="7"/>
  <c r="S677" i="7" s="1"/>
  <c r="W764" i="7"/>
  <c r="W765" i="7" s="1"/>
  <c r="W663" i="7"/>
  <c r="W677" i="7" s="1"/>
  <c r="D227" i="2"/>
  <c r="AA764" i="7"/>
  <c r="AA765" i="7" s="1"/>
  <c r="AA663" i="7"/>
  <c r="AA677" i="7" s="1"/>
  <c r="L375" i="7"/>
  <c r="L354" i="7"/>
  <c r="L192" i="7"/>
  <c r="L183" i="7"/>
  <c r="P186" i="7"/>
  <c r="P375" i="7"/>
  <c r="P354" i="7"/>
  <c r="P192" i="7"/>
  <c r="P183" i="7"/>
  <c r="T186" i="7"/>
  <c r="T375" i="7"/>
  <c r="T354" i="7"/>
  <c r="T192" i="7"/>
  <c r="T183" i="7"/>
  <c r="X186" i="7"/>
  <c r="X375" i="7"/>
  <c r="X354" i="7"/>
  <c r="X192" i="7"/>
  <c r="X183" i="7"/>
  <c r="K181" i="8"/>
  <c r="K174" i="8"/>
  <c r="K146" i="8"/>
  <c r="M206" i="8"/>
  <c r="O181" i="8"/>
  <c r="O174" i="8"/>
  <c r="O146" i="8"/>
  <c r="S181" i="8"/>
  <c r="S174" i="8"/>
  <c r="S146" i="8"/>
  <c r="W272" i="7"/>
  <c r="W261" i="7"/>
  <c r="L122" i="8"/>
  <c r="P122" i="8"/>
  <c r="T122" i="8"/>
  <c r="X122" i="8"/>
  <c r="Z228" i="7"/>
  <c r="EA28" i="6"/>
  <c r="EA77" i="6" s="1"/>
  <c r="EB77" i="6"/>
  <c r="AS84" i="6"/>
  <c r="AS48" i="6"/>
  <c r="BQ48" i="6"/>
  <c r="BR35" i="6"/>
  <c r="BR84" i="6" s="1"/>
  <c r="BQ84" i="6"/>
  <c r="CO48" i="6"/>
  <c r="CP35" i="6"/>
  <c r="CP84" i="6" s="1"/>
  <c r="CO84" i="6"/>
  <c r="DN35" i="6"/>
  <c r="DN84" i="6" s="1"/>
  <c r="DM84" i="6"/>
  <c r="DZ35" i="6"/>
  <c r="DZ84" i="6" s="1"/>
  <c r="DY84" i="6"/>
  <c r="CU94" i="6"/>
  <c r="DG94" i="6"/>
  <c r="DS94" i="6"/>
  <c r="W160" i="8"/>
  <c r="J119" i="8"/>
  <c r="R119" i="8"/>
  <c r="J127" i="8"/>
  <c r="J130" i="8" s="1"/>
  <c r="N127" i="8"/>
  <c r="N130" i="8" s="1"/>
  <c r="R127" i="8"/>
  <c r="R130" i="8" s="1"/>
  <c r="V127" i="8"/>
  <c r="Z127" i="8"/>
  <c r="BB106" i="17"/>
  <c r="BJ106" i="17"/>
  <c r="E103" i="20"/>
  <c r="V103" i="20" s="1"/>
  <c r="AU115" i="2"/>
  <c r="M93" i="17"/>
  <c r="Q93" i="17"/>
  <c r="Y93" i="17"/>
  <c r="AG93" i="17"/>
  <c r="AO93" i="17"/>
  <c r="AW93" i="17"/>
  <c r="BE93" i="17"/>
  <c r="F112" i="20"/>
  <c r="W112" i="20" s="1"/>
  <c r="AV123" i="2"/>
  <c r="H112" i="20"/>
  <c r="Y112" i="20" s="1"/>
  <c r="AX123" i="2"/>
  <c r="BZ17" i="17"/>
  <c r="BZ121" i="17"/>
  <c r="CB17" i="17"/>
  <c r="CB121" i="17"/>
  <c r="CD17" i="17"/>
  <c r="CD121" i="17"/>
  <c r="CH17" i="17"/>
  <c r="CH121" i="17"/>
  <c r="CL17" i="17"/>
  <c r="CL121" i="17"/>
  <c r="CP17" i="17"/>
  <c r="CP121" i="17"/>
  <c r="BR64" i="17"/>
  <c r="BP63" i="17"/>
  <c r="BQ63" i="17" s="1"/>
  <c r="BR63" i="17" s="1"/>
  <c r="BS63" i="17" s="1"/>
  <c r="BN83" i="17"/>
  <c r="BM68" i="17"/>
  <c r="BN237" i="17"/>
  <c r="BM225" i="17"/>
  <c r="Z11" i="11"/>
  <c r="J273" i="12"/>
  <c r="J269" i="12"/>
  <c r="J433" i="12"/>
  <c r="AT81" i="11"/>
  <c r="AU96" i="6"/>
  <c r="AZ47" i="6"/>
  <c r="AZ96" i="6" s="1"/>
  <c r="BN11" i="11"/>
  <c r="R273" i="12"/>
  <c r="R269" i="12"/>
  <c r="R433" i="12"/>
  <c r="CH81" i="11"/>
  <c r="CM81" i="11"/>
  <c r="CQ96" i="6"/>
  <c r="CW96" i="6"/>
  <c r="CV45" i="6"/>
  <c r="CV94" i="6" s="1"/>
  <c r="DT45" i="6"/>
  <c r="DT94" i="6" s="1"/>
  <c r="Q166" i="12"/>
  <c r="Q135" i="12"/>
  <c r="BE22" i="11" s="1"/>
  <c r="BG8" i="11"/>
  <c r="U166" i="12"/>
  <c r="U135" i="12"/>
  <c r="BY22" i="11" s="1"/>
  <c r="CA8" i="11"/>
  <c r="Y135" i="12"/>
  <c r="CS22" i="11" s="1"/>
  <c r="CU8" i="11"/>
  <c r="Y166" i="12"/>
  <c r="I140" i="12"/>
  <c r="S13" i="11"/>
  <c r="M140" i="12"/>
  <c r="AM13" i="11"/>
  <c r="BG13" i="11"/>
  <c r="Q140" i="12"/>
  <c r="U140" i="12"/>
  <c r="CA13" i="11"/>
  <c r="CT88" i="11"/>
  <c r="N103" i="11"/>
  <c r="H106" i="12"/>
  <c r="BL103" i="11"/>
  <c r="R106" i="12"/>
  <c r="CD116" i="11"/>
  <c r="CE116" i="11" s="1"/>
  <c r="CF116" i="11" s="1"/>
  <c r="CE17" i="11"/>
  <c r="CN116" i="11"/>
  <c r="CO116" i="11" s="1"/>
  <c r="CP116" i="11" s="1"/>
  <c r="CO17" i="11"/>
  <c r="CX116" i="11"/>
  <c r="CY116" i="11" s="1"/>
  <c r="CZ116" i="11" s="1"/>
  <c r="CY17" i="11"/>
  <c r="DH116" i="11"/>
  <c r="DI116" i="11" s="1"/>
  <c r="DI17" i="11"/>
  <c r="BG36" i="6"/>
  <c r="BP85" i="6"/>
  <c r="DC36" i="6"/>
  <c r="DF85" i="6"/>
  <c r="DL85" i="6"/>
  <c r="DE47" i="6"/>
  <c r="X736" i="7"/>
  <c r="X737" i="7" s="1"/>
  <c r="X555" i="7"/>
  <c r="X549" i="7"/>
  <c r="X545" i="7"/>
  <c r="H166" i="12"/>
  <c r="H135" i="12"/>
  <c r="L22" i="11" s="1"/>
  <c r="N8" i="11"/>
  <c r="J166" i="12"/>
  <c r="J135" i="12"/>
  <c r="V22" i="11" s="1"/>
  <c r="X8" i="11"/>
  <c r="L166" i="12"/>
  <c r="L135" i="12"/>
  <c r="AF22" i="11" s="1"/>
  <c r="AH8" i="11"/>
  <c r="N166" i="12"/>
  <c r="N135" i="12"/>
  <c r="AP22" i="11" s="1"/>
  <c r="AR8" i="11"/>
  <c r="P166" i="12"/>
  <c r="BB8" i="11"/>
  <c r="P135" i="12"/>
  <c r="AZ22" i="11" s="1"/>
  <c r="R166" i="12"/>
  <c r="R135" i="12"/>
  <c r="BJ22" i="11" s="1"/>
  <c r="BL8" i="11"/>
  <c r="T166" i="12"/>
  <c r="T135" i="12"/>
  <c r="BT22" i="11" s="1"/>
  <c r="BV8" i="11"/>
  <c r="V166" i="12"/>
  <c r="V135" i="12"/>
  <c r="CD22" i="11" s="1"/>
  <c r="CF8" i="11"/>
  <c r="X166" i="12"/>
  <c r="CP8" i="11"/>
  <c r="X135" i="12"/>
  <c r="CN22" i="11" s="1"/>
  <c r="Z166" i="12"/>
  <c r="Z135" i="12"/>
  <c r="CX22" i="11" s="1"/>
  <c r="CZ8" i="11"/>
  <c r="AB166" i="12"/>
  <c r="AB135" i="12"/>
  <c r="DH22" i="11" s="1"/>
  <c r="DJ8" i="11"/>
  <c r="H140" i="12"/>
  <c r="N13" i="11"/>
  <c r="L140" i="12"/>
  <c r="AH13" i="11"/>
  <c r="P140" i="12"/>
  <c r="BB13" i="11"/>
  <c r="T140" i="12"/>
  <c r="BV13" i="11"/>
  <c r="I142" i="12"/>
  <c r="Q29" i="11" s="1"/>
  <c r="S15" i="11"/>
  <c r="K142" i="12"/>
  <c r="AC15" i="11"/>
  <c r="M142" i="12"/>
  <c r="AK29" i="11" s="1"/>
  <c r="AM15" i="11"/>
  <c r="BG15" i="11"/>
  <c r="Q142" i="12"/>
  <c r="BE29" i="11" s="1"/>
  <c r="S142" i="12"/>
  <c r="BQ15" i="11"/>
  <c r="CY47" i="6"/>
  <c r="W736" i="7"/>
  <c r="W737" i="7" s="1"/>
  <c r="W549" i="7"/>
  <c r="W555" i="7"/>
  <c r="W545" i="7"/>
  <c r="DK47" i="6"/>
  <c r="Y736" i="7"/>
  <c r="Y737" i="7" s="1"/>
  <c r="Y549" i="7"/>
  <c r="Y555" i="7"/>
  <c r="Y545" i="7"/>
  <c r="N773" i="7"/>
  <c r="N774" i="7" s="1"/>
  <c r="R774" i="7"/>
  <c r="V774" i="7"/>
  <c r="V464" i="12"/>
  <c r="V471" i="12" s="1"/>
  <c r="X774" i="7"/>
  <c r="X464" i="12"/>
  <c r="S774" i="7"/>
  <c r="Y774" i="7"/>
  <c r="Y464" i="12"/>
  <c r="AA774" i="7"/>
  <c r="AA464" i="12"/>
  <c r="EK30" i="6"/>
  <c r="EK79" i="6" s="1"/>
  <c r="AC777" i="7"/>
  <c r="AD204" i="7"/>
  <c r="AE204" i="7" s="1"/>
  <c r="O79" i="8"/>
  <c r="W79" i="8"/>
  <c r="J66" i="8"/>
  <c r="J55" i="8"/>
  <c r="V42" i="8"/>
  <c r="V41" i="8"/>
  <c r="Z159" i="8"/>
  <c r="Z152" i="8"/>
  <c r="AC50" i="7"/>
  <c r="L376" i="7"/>
  <c r="L355" i="7"/>
  <c r="L193" i="7"/>
  <c r="L187" i="7"/>
  <c r="T376" i="7"/>
  <c r="T355" i="7"/>
  <c r="T193" i="7"/>
  <c r="T187" i="7"/>
  <c r="Z376" i="7"/>
  <c r="Z355" i="7"/>
  <c r="Z193" i="7"/>
  <c r="Z187" i="7"/>
  <c r="AA202" i="8"/>
  <c r="W239" i="7"/>
  <c r="M377" i="7"/>
  <c r="M356" i="7"/>
  <c r="M194" i="7"/>
  <c r="M188" i="7"/>
  <c r="O377" i="7"/>
  <c r="O356" i="7"/>
  <c r="O194" i="7"/>
  <c r="O188" i="7"/>
  <c r="Q377" i="7"/>
  <c r="Q356" i="7"/>
  <c r="Q194" i="7"/>
  <c r="Q188" i="7"/>
  <c r="S377" i="7"/>
  <c r="S356" i="7"/>
  <c r="S194" i="7"/>
  <c r="S188" i="7"/>
  <c r="U377" i="7"/>
  <c r="U356" i="7"/>
  <c r="U194" i="7"/>
  <c r="U188" i="7"/>
  <c r="W377" i="7"/>
  <c r="W356" i="7"/>
  <c r="W194" i="7"/>
  <c r="W188" i="7"/>
  <c r="Y377" i="7"/>
  <c r="Y356" i="7"/>
  <c r="Y194" i="7"/>
  <c r="Y188" i="7"/>
  <c r="AA377" i="7"/>
  <c r="AA356" i="7"/>
  <c r="AA194" i="7"/>
  <c r="AA188" i="7"/>
  <c r="K158" i="8"/>
  <c r="K151" i="8"/>
  <c r="O158" i="8"/>
  <c r="O151" i="8"/>
  <c r="S158" i="8"/>
  <c r="S151" i="8"/>
  <c r="W158" i="8"/>
  <c r="W151" i="8"/>
  <c r="AA203" i="8"/>
  <c r="Y39" i="7"/>
  <c r="Z629" i="7"/>
  <c r="N660" i="7"/>
  <c r="N674" i="7" s="1"/>
  <c r="R660" i="7"/>
  <c r="R674" i="7" s="1"/>
  <c r="V660" i="7"/>
  <c r="V674" i="7" s="1"/>
  <c r="C224" i="2"/>
  <c r="AT224" i="2" s="1"/>
  <c r="Z660" i="7"/>
  <c r="Z674" i="7" s="1"/>
  <c r="AD751" i="7"/>
  <c r="EP9" i="6"/>
  <c r="AD424" i="7"/>
  <c r="AD438" i="7" s="1"/>
  <c r="M628" i="7"/>
  <c r="M639" i="7" s="1"/>
  <c r="Q628" i="7"/>
  <c r="Q639" i="7" s="1"/>
  <c r="U628" i="7"/>
  <c r="U639" i="7" s="1"/>
  <c r="Y628" i="7"/>
  <c r="Y639" i="7" s="1"/>
  <c r="Z593" i="7"/>
  <c r="Z598" i="7"/>
  <c r="U290" i="7"/>
  <c r="W290" i="7"/>
  <c r="Y290" i="7"/>
  <c r="AA290" i="7"/>
  <c r="EP28" i="6"/>
  <c r="AD747" i="7"/>
  <c r="DS40" i="6"/>
  <c r="DS48" i="6" s="1"/>
  <c r="Z787" i="7"/>
  <c r="Z789" i="7" s="1"/>
  <c r="Z790" i="7" s="1"/>
  <c r="Z513" i="7"/>
  <c r="Z502" i="7"/>
  <c r="R20" i="21"/>
  <c r="EP44" i="6"/>
  <c r="AD759" i="7"/>
  <c r="L174" i="8"/>
  <c r="L146" i="8"/>
  <c r="L181" i="8"/>
  <c r="L272" i="7"/>
  <c r="L261" i="7"/>
  <c r="T174" i="8"/>
  <c r="T146" i="8"/>
  <c r="T181" i="8"/>
  <c r="T272" i="7"/>
  <c r="T261" i="7"/>
  <c r="X272" i="7"/>
  <c r="X261" i="7"/>
  <c r="Z272" i="7"/>
  <c r="Z261" i="7"/>
  <c r="AA122" i="8"/>
  <c r="Z231" i="7"/>
  <c r="EE28" i="6"/>
  <c r="EE77" i="6" s="1"/>
  <c r="AB778" i="7"/>
  <c r="AA331" i="7"/>
  <c r="AB339" i="7"/>
  <c r="EA33" i="6"/>
  <c r="EB82" i="6"/>
  <c r="O84" i="6"/>
  <c r="AA84" i="6"/>
  <c r="AY84" i="6"/>
  <c r="AY48" i="6"/>
  <c r="BX35" i="6"/>
  <c r="BX84" i="6" s="1"/>
  <c r="BW84" i="6"/>
  <c r="BW48" i="6"/>
  <c r="CV35" i="6"/>
  <c r="CV84" i="6" s="1"/>
  <c r="CU84" i="6"/>
  <c r="CU48" i="6"/>
  <c r="EK17" i="6"/>
  <c r="EK66" i="6" s="1"/>
  <c r="AC769" i="7"/>
  <c r="AD49" i="7"/>
  <c r="AE49" i="7" s="1"/>
  <c r="EE66" i="6"/>
  <c r="AV233" i="2"/>
  <c r="M790" i="7"/>
  <c r="M791" i="7" s="1"/>
  <c r="F103" i="20"/>
  <c r="W103" i="20" s="1"/>
  <c r="AV115" i="2"/>
  <c r="CR51" i="17"/>
  <c r="CR102" i="17"/>
  <c r="CR53" i="17"/>
  <c r="CR52" i="17"/>
  <c r="CR142" i="17"/>
  <c r="CR129" i="17"/>
  <c r="K12" i="17"/>
  <c r="M12" i="17"/>
  <c r="O12" i="17"/>
  <c r="Q12" i="17"/>
  <c r="S12" i="17"/>
  <c r="U12" i="17"/>
  <c r="W12" i="17"/>
  <c r="Y12" i="17"/>
  <c r="AA12" i="17"/>
  <c r="AC12" i="17"/>
  <c r="AE12" i="17"/>
  <c r="AG12" i="17"/>
  <c r="AI12" i="17"/>
  <c r="AK12" i="17"/>
  <c r="AM12" i="17"/>
  <c r="AO12" i="17"/>
  <c r="AQ12" i="17"/>
  <c r="AS12" i="17"/>
  <c r="AU12" i="17"/>
  <c r="AW12" i="17"/>
  <c r="AY12" i="17"/>
  <c r="BA12" i="17"/>
  <c r="BC12" i="17"/>
  <c r="BE12" i="17"/>
  <c r="BG12" i="17"/>
  <c r="BI12" i="17"/>
  <c r="L247" i="17"/>
  <c r="K247" i="17"/>
  <c r="Z242" i="17"/>
  <c r="AA104" i="11" s="1"/>
  <c r="Y230" i="17"/>
  <c r="K155" i="12"/>
  <c r="AB247" i="17"/>
  <c r="AA247" i="17"/>
  <c r="AP242" i="17"/>
  <c r="AU104" i="11" s="1"/>
  <c r="AO230" i="17"/>
  <c r="O155" i="12"/>
  <c r="AR247" i="17"/>
  <c r="AQ247" i="17"/>
  <c r="BF242" i="17"/>
  <c r="BO104" i="11" s="1"/>
  <c r="BE230" i="17"/>
  <c r="S155" i="12"/>
  <c r="BH247" i="17"/>
  <c r="BG247" i="17"/>
  <c r="G112" i="20"/>
  <c r="X112" i="20" s="1"/>
  <c r="AW123" i="2"/>
  <c r="R150" i="17"/>
  <c r="I152" i="12"/>
  <c r="U155" i="17"/>
  <c r="T155" i="17"/>
  <c r="S155" i="17"/>
  <c r="R156" i="17"/>
  <c r="V150" i="17"/>
  <c r="X155" i="17"/>
  <c r="W155" i="17"/>
  <c r="J152" i="12"/>
  <c r="Y155" i="17"/>
  <c r="V156" i="17"/>
  <c r="AH150" i="17"/>
  <c r="M152" i="12"/>
  <c r="AK155" i="17"/>
  <c r="AJ155" i="17"/>
  <c r="AI155" i="17"/>
  <c r="AH156" i="17"/>
  <c r="AL150" i="17"/>
  <c r="AN155" i="17"/>
  <c r="AM155" i="17"/>
  <c r="N152" i="12"/>
  <c r="AO155" i="17"/>
  <c r="AL156" i="17"/>
  <c r="AX150" i="17"/>
  <c r="Q152" i="12"/>
  <c r="BA155" i="17"/>
  <c r="AZ155" i="17"/>
  <c r="AY155" i="17"/>
  <c r="AX156" i="17"/>
  <c r="BB150" i="17"/>
  <c r="BD155" i="17"/>
  <c r="BC155" i="17"/>
  <c r="R152" i="12"/>
  <c r="BE155" i="17"/>
  <c r="BB156" i="17"/>
  <c r="BN150" i="17"/>
  <c r="U152" i="12"/>
  <c r="BQ155" i="17"/>
  <c r="BP155" i="17"/>
  <c r="BO155" i="17"/>
  <c r="BN156" i="17"/>
  <c r="BR150" i="17"/>
  <c r="BT155" i="17"/>
  <c r="BS155" i="17"/>
  <c r="V152" i="12"/>
  <c r="BU155" i="17"/>
  <c r="BR156" i="17"/>
  <c r="CD150" i="17"/>
  <c r="Y152" i="12"/>
  <c r="CG155" i="17"/>
  <c r="CF155" i="17"/>
  <c r="CE155" i="17"/>
  <c r="CD156" i="17"/>
  <c r="CH150" i="17"/>
  <c r="CJ155" i="17"/>
  <c r="CI155" i="17"/>
  <c r="Z152" i="12"/>
  <c r="CK155" i="17"/>
  <c r="CH156" i="17"/>
  <c r="J202" i="17"/>
  <c r="V202" i="17"/>
  <c r="AL202" i="17"/>
  <c r="BB202" i="17"/>
  <c r="BR207" i="17"/>
  <c r="BT212" i="17"/>
  <c r="BS212" i="17"/>
  <c r="BR213" i="17"/>
  <c r="V154" i="12"/>
  <c r="BU212" i="17"/>
  <c r="BQ203" i="17"/>
  <c r="CH207" i="17"/>
  <c r="CJ212" i="17"/>
  <c r="CI212" i="17"/>
  <c r="CH213" i="17"/>
  <c r="Z154" i="12"/>
  <c r="CK212" i="17"/>
  <c r="CG203" i="17"/>
  <c r="D273" i="2"/>
  <c r="D275" i="2"/>
  <c r="D274" i="2"/>
  <c r="AE81" i="11"/>
  <c r="K433" i="12"/>
  <c r="AX12" i="11"/>
  <c r="AY11" i="11"/>
  <c r="O273" i="12"/>
  <c r="O269" i="12"/>
  <c r="BA96" i="6"/>
  <c r="BF47" i="6"/>
  <c r="BF96" i="6" s="1"/>
  <c r="BS81" i="11"/>
  <c r="S433" i="12"/>
  <c r="AD10" i="8"/>
  <c r="AE10" i="8" s="1"/>
  <c r="AC23" i="8"/>
  <c r="M116" i="8"/>
  <c r="U116" i="8"/>
  <c r="L66" i="8"/>
  <c r="L55" i="8"/>
  <c r="N79" i="8"/>
  <c r="S70" i="8"/>
  <c r="V79" i="8"/>
  <c r="M66" i="8"/>
  <c r="M55" i="8"/>
  <c r="U66" i="8"/>
  <c r="U55" i="8"/>
  <c r="Y66" i="8"/>
  <c r="Y55" i="8"/>
  <c r="AA66" i="8"/>
  <c r="AA55" i="8"/>
  <c r="I204" i="8"/>
  <c r="K204" i="8"/>
  <c r="M204" i="8"/>
  <c r="O204" i="8"/>
  <c r="Q204" i="8"/>
  <c r="S204" i="8"/>
  <c r="U204" i="8"/>
  <c r="W204" i="8"/>
  <c r="Y204" i="8"/>
  <c r="Q376" i="7"/>
  <c r="Q355" i="7"/>
  <c r="Q193" i="7"/>
  <c r="Q187" i="7"/>
  <c r="Y376" i="7"/>
  <c r="Y355" i="7"/>
  <c r="Y193" i="7"/>
  <c r="Y187" i="7"/>
  <c r="Z195" i="8"/>
  <c r="Z202" i="8" s="1"/>
  <c r="EI30" i="6"/>
  <c r="EI79" i="6" s="1"/>
  <c r="AD202" i="7"/>
  <c r="AE202" i="7" s="1"/>
  <c r="AV207" i="2"/>
  <c r="I410" i="20"/>
  <c r="Z410" i="20" s="1"/>
  <c r="H382" i="20"/>
  <c r="Y382" i="20" s="1"/>
  <c r="I382" i="20"/>
  <c r="Z382" i="20" s="1"/>
  <c r="H410" i="20"/>
  <c r="Y410" i="20" s="1"/>
  <c r="H151" i="8"/>
  <c r="H158" i="8"/>
  <c r="L151" i="8"/>
  <c r="L158" i="8"/>
  <c r="P151" i="8"/>
  <c r="P158" i="8"/>
  <c r="T151" i="8"/>
  <c r="T158" i="8"/>
  <c r="X151" i="8"/>
  <c r="X158" i="8"/>
  <c r="Z428" i="7"/>
  <c r="Z39" i="7"/>
  <c r="AF67" i="6"/>
  <c r="BD67" i="6"/>
  <c r="BA18" i="6"/>
  <c r="CB67" i="6"/>
  <c r="BY18" i="6"/>
  <c r="CZ67" i="6"/>
  <c r="CW18" i="6"/>
  <c r="DX67" i="6"/>
  <c r="DU18" i="6"/>
  <c r="AA598" i="7"/>
  <c r="AA593" i="7"/>
  <c r="W245" i="7"/>
  <c r="G246" i="2"/>
  <c r="AD656" i="7"/>
  <c r="EP35" i="6"/>
  <c r="AD755" i="7"/>
  <c r="DA40" i="6"/>
  <c r="DA89" i="6" s="1"/>
  <c r="W787" i="7"/>
  <c r="W789" i="7" s="1"/>
  <c r="W790" i="7" s="1"/>
  <c r="W513" i="7"/>
  <c r="W502" i="7"/>
  <c r="O20" i="21"/>
  <c r="DX92" i="6"/>
  <c r="E225" i="2"/>
  <c r="EJ90" i="6"/>
  <c r="EP42" i="6"/>
  <c r="AD696" i="7"/>
  <c r="N186" i="7"/>
  <c r="N375" i="7"/>
  <c r="N354" i="7"/>
  <c r="N192" i="7"/>
  <c r="N183" i="7"/>
  <c r="R186" i="7"/>
  <c r="R375" i="7"/>
  <c r="R354" i="7"/>
  <c r="R192" i="7"/>
  <c r="R183" i="7"/>
  <c r="V186" i="7"/>
  <c r="V375" i="7"/>
  <c r="V354" i="7"/>
  <c r="V192" i="7"/>
  <c r="V183" i="7"/>
  <c r="Z186" i="7"/>
  <c r="Z375" i="7"/>
  <c r="Z354" i="7"/>
  <c r="Z192" i="7"/>
  <c r="Z183" i="7"/>
  <c r="I181" i="8"/>
  <c r="I174" i="8"/>
  <c r="I146" i="8"/>
  <c r="K199" i="8"/>
  <c r="K206" i="8" s="1"/>
  <c r="M181" i="8"/>
  <c r="M174" i="8"/>
  <c r="M146" i="8"/>
  <c r="O199" i="8"/>
  <c r="O206" i="8" s="1"/>
  <c r="Q181" i="8"/>
  <c r="Q174" i="8"/>
  <c r="Q146" i="8"/>
  <c r="S199" i="8"/>
  <c r="S206" i="8" s="1"/>
  <c r="U181" i="8"/>
  <c r="V174" i="8"/>
  <c r="U174" i="8"/>
  <c r="U146" i="8"/>
  <c r="V153" i="8" s="1"/>
  <c r="W199" i="8"/>
  <c r="W206" i="8" s="1"/>
  <c r="Y272" i="7"/>
  <c r="Y261" i="7"/>
  <c r="AA272" i="7"/>
  <c r="AA261" i="7"/>
  <c r="Z122" i="8"/>
  <c r="P228" i="7"/>
  <c r="U231" i="7"/>
  <c r="T228" i="7"/>
  <c r="Y231" i="7"/>
  <c r="AA231" i="7"/>
  <c r="EH24" i="6"/>
  <c r="AC706" i="7"/>
  <c r="AD256" i="7"/>
  <c r="AE256" i="7" s="1"/>
  <c r="M83" i="8"/>
  <c r="U83" i="8"/>
  <c r="Y160" i="8"/>
  <c r="AA160" i="8"/>
  <c r="K61" i="21"/>
  <c r="O61" i="21"/>
  <c r="L127" i="8"/>
  <c r="L130" i="8" s="1"/>
  <c r="P127" i="8"/>
  <c r="P130" i="8" s="1"/>
  <c r="T127" i="8"/>
  <c r="T130" i="8" s="1"/>
  <c r="X127" i="8"/>
  <c r="J106" i="17"/>
  <c r="Z106" i="17"/>
  <c r="AP106" i="17"/>
  <c r="BF106" i="17"/>
  <c r="E104" i="20"/>
  <c r="V104" i="20" s="1"/>
  <c r="AU116" i="2"/>
  <c r="I85" i="17"/>
  <c r="M85" i="17"/>
  <c r="Q85" i="17"/>
  <c r="U85" i="17"/>
  <c r="Y85" i="17"/>
  <c r="AC85" i="17"/>
  <c r="AG85" i="17"/>
  <c r="AK85" i="17"/>
  <c r="AO85" i="17"/>
  <c r="AS85" i="17"/>
  <c r="AW85" i="17"/>
  <c r="BA85" i="17"/>
  <c r="BE85" i="17"/>
  <c r="BI85" i="17"/>
  <c r="G105" i="20"/>
  <c r="X105" i="20" s="1"/>
  <c r="AW117" i="2"/>
  <c r="L12" i="17"/>
  <c r="N12" i="17"/>
  <c r="P12" i="17"/>
  <c r="R12" i="17"/>
  <c r="T12" i="17"/>
  <c r="V12" i="17"/>
  <c r="X12" i="17"/>
  <c r="Z12" i="17"/>
  <c r="AB12" i="17"/>
  <c r="AD12" i="17"/>
  <c r="AF12" i="17"/>
  <c r="AH12" i="17"/>
  <c r="AJ12" i="17"/>
  <c r="AL12" i="17"/>
  <c r="AN12" i="17"/>
  <c r="AP12" i="17"/>
  <c r="AR12" i="17"/>
  <c r="AT12" i="17"/>
  <c r="AV12" i="17"/>
  <c r="AX12" i="17"/>
  <c r="AZ12" i="17"/>
  <c r="BB12" i="17"/>
  <c r="BD12" i="17"/>
  <c r="BF12" i="17"/>
  <c r="BH12" i="17"/>
  <c r="BK170" i="17"/>
  <c r="F110" i="20"/>
  <c r="W110" i="20" s="1"/>
  <c r="AV121" i="2"/>
  <c r="H110" i="20"/>
  <c r="Y110" i="20" s="1"/>
  <c r="AX121" i="2"/>
  <c r="H239" i="17"/>
  <c r="L239" i="17"/>
  <c r="P239" i="17"/>
  <c r="T239" i="17"/>
  <c r="X239" i="17"/>
  <c r="AB239" i="17"/>
  <c r="AF239" i="17"/>
  <c r="AJ239" i="17"/>
  <c r="AN239" i="17"/>
  <c r="AR239" i="17"/>
  <c r="AV239" i="17"/>
  <c r="AZ239" i="17"/>
  <c r="BD239" i="17"/>
  <c r="BH239" i="17"/>
  <c r="CR248" i="17"/>
  <c r="CR246" i="17"/>
  <c r="CR247" i="17"/>
  <c r="H118" i="20"/>
  <c r="Y118" i="20" s="1"/>
  <c r="AX267" i="2"/>
  <c r="F119" i="20"/>
  <c r="W119" i="20" s="1"/>
  <c r="AV268" i="2"/>
  <c r="F121" i="20"/>
  <c r="W121" i="20" s="1"/>
  <c r="AV270" i="2"/>
  <c r="F120" i="20"/>
  <c r="W120" i="20" s="1"/>
  <c r="AV269" i="2"/>
  <c r="H120" i="20"/>
  <c r="Y120" i="20" s="1"/>
  <c r="AX269" i="2"/>
  <c r="H122" i="20"/>
  <c r="Y122" i="20" s="1"/>
  <c r="AX271" i="2"/>
  <c r="CP164" i="17"/>
  <c r="CN163" i="17"/>
  <c r="CO163" i="17" s="1"/>
  <c r="CP163" i="17" s="1"/>
  <c r="CQ163" i="17" s="1"/>
  <c r="CL180" i="17"/>
  <c r="CK168" i="17"/>
  <c r="BR61" i="17"/>
  <c r="BP60" i="17"/>
  <c r="BQ60" i="17" s="1"/>
  <c r="BR60" i="17" s="1"/>
  <c r="BS60" i="17" s="1"/>
  <c r="BR221" i="17"/>
  <c r="BP220" i="17"/>
  <c r="BQ220" i="17" s="1"/>
  <c r="BR220" i="17" s="1"/>
  <c r="BS220" i="17" s="1"/>
  <c r="P81" i="11"/>
  <c r="K96" i="6"/>
  <c r="AJ11" i="11"/>
  <c r="L273" i="12"/>
  <c r="L269" i="12"/>
  <c r="L433" i="12"/>
  <c r="BD81" i="11"/>
  <c r="BG96" i="6"/>
  <c r="BL47" i="6"/>
  <c r="BL96" i="6" s="1"/>
  <c r="BX11" i="11"/>
  <c r="T273" i="12"/>
  <c r="T269" i="12"/>
  <c r="T433" i="12"/>
  <c r="T12" i="11"/>
  <c r="W140" i="12"/>
  <c r="CK13" i="11"/>
  <c r="I253" i="8"/>
  <c r="I249" i="8"/>
  <c r="I250" i="8" s="1"/>
  <c r="M253" i="8"/>
  <c r="M249" i="8"/>
  <c r="M250" i="8" s="1"/>
  <c r="Q253" i="8"/>
  <c r="Q249" i="8"/>
  <c r="Q250" i="8" s="1"/>
  <c r="U253" i="8"/>
  <c r="U249" i="8"/>
  <c r="U250" i="8" s="1"/>
  <c r="Y253" i="8"/>
  <c r="Y249" i="8"/>
  <c r="Y250" i="8" s="1"/>
  <c r="Z338" i="12"/>
  <c r="Z301" i="12"/>
  <c r="Z306" i="12"/>
  <c r="L134" i="12"/>
  <c r="AF21" i="11" s="1"/>
  <c r="L165" i="12"/>
  <c r="AH7" i="11"/>
  <c r="T165" i="12"/>
  <c r="BV7" i="11"/>
  <c r="T134" i="12"/>
  <c r="BT21" i="11" s="1"/>
  <c r="CY123" i="11"/>
  <c r="CZ35" i="11"/>
  <c r="K135" i="12"/>
  <c r="AA22" i="11" s="1"/>
  <c r="K166" i="12"/>
  <c r="K165" i="12"/>
  <c r="K134" i="12"/>
  <c r="AA21" i="11" s="1"/>
  <c r="AC7" i="11"/>
  <c r="O165" i="12"/>
  <c r="O134" i="12"/>
  <c r="AU21" i="11" s="1"/>
  <c r="AW7" i="11"/>
  <c r="S165" i="12"/>
  <c r="S134" i="12"/>
  <c r="BO21" i="11" s="1"/>
  <c r="BQ7" i="11"/>
  <c r="W165" i="12"/>
  <c r="W134" i="12"/>
  <c r="CI21" i="11" s="1"/>
  <c r="CK7" i="11"/>
  <c r="AA165" i="12"/>
  <c r="C101" i="2" s="1"/>
  <c r="AT101" i="2" s="1"/>
  <c r="AA134" i="12"/>
  <c r="DC21" i="11" s="1"/>
  <c r="DE7" i="11"/>
  <c r="DI7" i="11" s="1"/>
  <c r="AB165" i="12" s="1"/>
  <c r="Z140" i="12"/>
  <c r="CZ13" i="11"/>
  <c r="H253" i="8"/>
  <c r="H249" i="8"/>
  <c r="H250" i="8" s="1"/>
  <c r="H254" i="8" s="1"/>
  <c r="L253" i="8"/>
  <c r="L249" i="8"/>
  <c r="L250" i="8" s="1"/>
  <c r="P253" i="8"/>
  <c r="P249" i="8"/>
  <c r="P250" i="8" s="1"/>
  <c r="T253" i="8"/>
  <c r="T249" i="8"/>
  <c r="T250" i="8" s="1"/>
  <c r="X253" i="8"/>
  <c r="X249" i="8"/>
  <c r="X250" i="8" s="1"/>
  <c r="AB253" i="8"/>
  <c r="AB249" i="8"/>
  <c r="C197" i="2"/>
  <c r="AT197" i="2" s="1"/>
  <c r="I198" i="8"/>
  <c r="I205" i="8" s="1"/>
  <c r="M198" i="8"/>
  <c r="M205" i="8" s="1"/>
  <c r="Q198" i="8"/>
  <c r="Q205" i="8" s="1"/>
  <c r="U198" i="8"/>
  <c r="U205" i="8" s="1"/>
  <c r="K116" i="8"/>
  <c r="N66" i="8"/>
  <c r="N55" i="8"/>
  <c r="V66" i="8"/>
  <c r="V55" i="8"/>
  <c r="L89" i="21"/>
  <c r="M85" i="21"/>
  <c r="M84" i="21"/>
  <c r="H159" i="8"/>
  <c r="H152" i="8"/>
  <c r="J159" i="8"/>
  <c r="J152" i="8"/>
  <c r="L159" i="8"/>
  <c r="L152" i="8"/>
  <c r="N159" i="8"/>
  <c r="N152" i="8"/>
  <c r="P159" i="8"/>
  <c r="P152" i="8"/>
  <c r="R159" i="8"/>
  <c r="R152" i="8"/>
  <c r="T159" i="8"/>
  <c r="T152" i="8"/>
  <c r="V159" i="8"/>
  <c r="V152" i="8"/>
  <c r="X159" i="8"/>
  <c r="X152" i="8"/>
  <c r="R376" i="7"/>
  <c r="R355" i="7"/>
  <c r="R193" i="7"/>
  <c r="R187" i="7"/>
  <c r="EI9" i="6"/>
  <c r="EI58" i="6" s="1"/>
  <c r="AD10" i="7"/>
  <c r="AE10" i="7" s="1"/>
  <c r="AV202" i="2"/>
  <c r="H377" i="20"/>
  <c r="Y377" i="20" s="1"/>
  <c r="I377" i="20"/>
  <c r="Z377" i="20" s="1"/>
  <c r="M202" i="8"/>
  <c r="U237" i="7"/>
  <c r="M668" i="7"/>
  <c r="O668" i="7"/>
  <c r="Q668" i="7"/>
  <c r="S668" i="7"/>
  <c r="U668" i="7"/>
  <c r="AA158" i="8"/>
  <c r="AB117" i="8"/>
  <c r="AB38" i="7"/>
  <c r="AB39" i="7" s="1"/>
  <c r="AB35" i="7"/>
  <c r="Z67" i="6"/>
  <c r="W18" i="6"/>
  <c r="AX67" i="6"/>
  <c r="AU18" i="6"/>
  <c r="BV67" i="6"/>
  <c r="BS18" i="6"/>
  <c r="CT67" i="6"/>
  <c r="CQ18" i="6"/>
  <c r="DR67" i="6"/>
  <c r="DO18" i="6"/>
  <c r="EP19" i="6"/>
  <c r="AD746" i="7"/>
  <c r="EJ68" i="6"/>
  <c r="N588" i="7"/>
  <c r="N169" i="7"/>
  <c r="R588" i="7"/>
  <c r="S593" i="7" s="1"/>
  <c r="R169" i="7"/>
  <c r="V593" i="7"/>
  <c r="V598" i="7"/>
  <c r="G222" i="2"/>
  <c r="EP21" i="6"/>
  <c r="AD658" i="7"/>
  <c r="AD163" i="7"/>
  <c r="G216" i="2"/>
  <c r="EP25" i="6"/>
  <c r="AD694" i="7"/>
  <c r="AD255" i="7"/>
  <c r="F215" i="2" s="1"/>
  <c r="AV215" i="2"/>
  <c r="I411" i="20"/>
  <c r="Z411" i="20" s="1"/>
  <c r="H411" i="20"/>
  <c r="Y411" i="20" s="1"/>
  <c r="EP33" i="6"/>
  <c r="AD754" i="7"/>
  <c r="CT92" i="6"/>
  <c r="CT40" i="6"/>
  <c r="CZ89" i="6" s="1"/>
  <c r="DG40" i="6"/>
  <c r="X787" i="7"/>
  <c r="X789" i="7" s="1"/>
  <c r="X790" i="7" s="1"/>
  <c r="X513" i="7"/>
  <c r="X502" i="7"/>
  <c r="P20" i="21"/>
  <c r="ED40" i="6"/>
  <c r="ED92" i="6"/>
  <c r="AC40" i="6"/>
  <c r="BY40" i="6"/>
  <c r="L764" i="7"/>
  <c r="L765" i="7" s="1"/>
  <c r="L663" i="7"/>
  <c r="L677" i="7" s="1"/>
  <c r="P764" i="7"/>
  <c r="P765" i="7" s="1"/>
  <c r="P663" i="7"/>
  <c r="P677" i="7" s="1"/>
  <c r="T764" i="7"/>
  <c r="T765" i="7" s="1"/>
  <c r="T663" i="7"/>
  <c r="T677" i="7" s="1"/>
  <c r="X764" i="7"/>
  <c r="X765" i="7" s="1"/>
  <c r="X663" i="7"/>
  <c r="X677" i="7" s="1"/>
  <c r="AB663" i="7"/>
  <c r="AA375" i="7"/>
  <c r="AA458" i="7" s="1"/>
  <c r="AA563" i="7" s="1"/>
  <c r="AA354" i="7"/>
  <c r="AA192" i="7"/>
  <c r="AA183" i="7"/>
  <c r="AA186" i="7"/>
  <c r="J174" i="8"/>
  <c r="J146" i="8"/>
  <c r="J181" i="8"/>
  <c r="N174" i="8"/>
  <c r="N146" i="8"/>
  <c r="N181" i="8"/>
  <c r="N272" i="7"/>
  <c r="N261" i="7"/>
  <c r="R174" i="8"/>
  <c r="R146" i="8"/>
  <c r="R181" i="8"/>
  <c r="R272" i="7"/>
  <c r="R261" i="7"/>
  <c r="C191" i="2"/>
  <c r="AT191" i="2" s="1"/>
  <c r="EH32" i="6"/>
  <c r="AC713" i="7"/>
  <c r="AD298" i="7"/>
  <c r="AE298" i="7" s="1"/>
  <c r="DB45" i="6"/>
  <c r="DB94" i="6" s="1"/>
  <c r="DA94" i="6"/>
  <c r="DN45" i="6"/>
  <c r="DN94" i="6" s="1"/>
  <c r="DM94" i="6"/>
  <c r="DZ45" i="6"/>
  <c r="DZ94" i="6" s="1"/>
  <c r="DY94" i="6"/>
  <c r="S791" i="7"/>
  <c r="AC59" i="8"/>
  <c r="AD31" i="8"/>
  <c r="CR101" i="17"/>
  <c r="CR32" i="17"/>
  <c r="CR34" i="17"/>
  <c r="N185" i="17"/>
  <c r="L89" i="11" s="1"/>
  <c r="H153" i="12"/>
  <c r="M173" i="17"/>
  <c r="R185" i="17"/>
  <c r="Q89" i="11" s="1"/>
  <c r="I153" i="12"/>
  <c r="Q173" i="17"/>
  <c r="Q190" i="17"/>
  <c r="V185" i="17"/>
  <c r="V89" i="11" s="1"/>
  <c r="J153" i="12"/>
  <c r="U173" i="17"/>
  <c r="U190" i="17"/>
  <c r="Z185" i="17"/>
  <c r="AA89" i="11" s="1"/>
  <c r="Y173" i="17"/>
  <c r="K153" i="12"/>
  <c r="Y190" i="17"/>
  <c r="AD185" i="17"/>
  <c r="AF89" i="11" s="1"/>
  <c r="L153" i="12"/>
  <c r="AC173" i="17"/>
  <c r="AC190" i="17"/>
  <c r="AH185" i="17"/>
  <c r="AK89" i="11" s="1"/>
  <c r="M153" i="12"/>
  <c r="AG173" i="17"/>
  <c r="AG190" i="17"/>
  <c r="AL185" i="17"/>
  <c r="AP89" i="11" s="1"/>
  <c r="N153" i="12"/>
  <c r="AK173" i="17"/>
  <c r="AK190" i="17"/>
  <c r="AP185" i="17"/>
  <c r="AU89" i="11" s="1"/>
  <c r="AO173" i="17"/>
  <c r="O153" i="12"/>
  <c r="AO190" i="17"/>
  <c r="AT185" i="17"/>
  <c r="AZ89" i="11" s="1"/>
  <c r="P153" i="12"/>
  <c r="AS173" i="17"/>
  <c r="AS190" i="17"/>
  <c r="AX185" i="17"/>
  <c r="BE89" i="11" s="1"/>
  <c r="Q153" i="12"/>
  <c r="AW173" i="17"/>
  <c r="AW190" i="17"/>
  <c r="BB185" i="17"/>
  <c r="BJ89" i="11" s="1"/>
  <c r="R153" i="12"/>
  <c r="BA173" i="17"/>
  <c r="BA190" i="17"/>
  <c r="BF185" i="17"/>
  <c r="BO89" i="11" s="1"/>
  <c r="BE173" i="17"/>
  <c r="S153" i="12"/>
  <c r="BE190" i="17"/>
  <c r="BJ185" i="17"/>
  <c r="BT89" i="11" s="1"/>
  <c r="T153" i="12"/>
  <c r="BK190" i="17"/>
  <c r="BL190" i="17"/>
  <c r="BM190" i="17"/>
  <c r="BI173" i="17"/>
  <c r="BI190" i="17"/>
  <c r="BK240" i="17"/>
  <c r="R202" i="17"/>
  <c r="AH202" i="17"/>
  <c r="AX202" i="17"/>
  <c r="BQ212" i="17"/>
  <c r="BP212" i="17"/>
  <c r="BM203" i="17"/>
  <c r="U154" i="12"/>
  <c r="BO212" i="17"/>
  <c r="BN213" i="17"/>
  <c r="CD207" i="17"/>
  <c r="CG212" i="17"/>
  <c r="CF212" i="17"/>
  <c r="CC203" i="17"/>
  <c r="Y154" i="12"/>
  <c r="CE212" i="17"/>
  <c r="CD213" i="17"/>
  <c r="BW121" i="17"/>
  <c r="BW17" i="17"/>
  <c r="C272" i="2"/>
  <c r="AT272" i="2" s="1"/>
  <c r="D272" i="2"/>
  <c r="C273" i="2"/>
  <c r="AT273" i="2" s="1"/>
  <c r="E273" i="2"/>
  <c r="C275" i="2"/>
  <c r="AT275" i="2" s="1"/>
  <c r="C274" i="2"/>
  <c r="AT274" i="2" s="1"/>
  <c r="C276" i="2"/>
  <c r="AT276" i="2" s="1"/>
  <c r="D276" i="2"/>
  <c r="I273" i="12"/>
  <c r="I269" i="12"/>
  <c r="Q96" i="6"/>
  <c r="V47" i="6"/>
  <c r="V96" i="6" s="1"/>
  <c r="Q273" i="12"/>
  <c r="Q269" i="12"/>
  <c r="BM96" i="6"/>
  <c r="BR47" i="6"/>
  <c r="BR96" i="6" s="1"/>
  <c r="P70" i="8"/>
  <c r="X70" i="8"/>
  <c r="H66" i="8"/>
  <c r="H55" i="8"/>
  <c r="P66" i="8"/>
  <c r="P55" i="8"/>
  <c r="X66" i="8"/>
  <c r="X55" i="8"/>
  <c r="AD7" i="8"/>
  <c r="AE7" i="8" s="1"/>
  <c r="AC22" i="8"/>
  <c r="AV176" i="2"/>
  <c r="G304" i="20"/>
  <c r="X304" i="20" s="1"/>
  <c r="H304" i="20"/>
  <c r="Y304" i="20" s="1"/>
  <c r="H79" i="8"/>
  <c r="Q70" i="8"/>
  <c r="U70" i="8"/>
  <c r="Y70" i="8"/>
  <c r="Z79" i="8"/>
  <c r="AA84" i="8" s="1"/>
  <c r="I178" i="8"/>
  <c r="I171" i="8"/>
  <c r="I143" i="8"/>
  <c r="K178" i="8"/>
  <c r="K171" i="8"/>
  <c r="K143" i="8"/>
  <c r="M178" i="8"/>
  <c r="M171" i="8"/>
  <c r="M143" i="8"/>
  <c r="O178" i="8"/>
  <c r="O171" i="8"/>
  <c r="O143" i="8"/>
  <c r="Q178" i="8"/>
  <c r="Q171" i="8"/>
  <c r="Q143" i="8"/>
  <c r="S178" i="8"/>
  <c r="S171" i="8"/>
  <c r="S143" i="8"/>
  <c r="U178" i="8"/>
  <c r="U171" i="8"/>
  <c r="U143" i="8"/>
  <c r="W178" i="8"/>
  <c r="W171" i="8"/>
  <c r="W143" i="8"/>
  <c r="Y169" i="8"/>
  <c r="S376" i="7"/>
  <c r="S355" i="7"/>
  <c r="S193" i="7"/>
  <c r="S187" i="7"/>
  <c r="EI10" i="6"/>
  <c r="EI59" i="6" s="1"/>
  <c r="AD47" i="7"/>
  <c r="AE47" i="7" s="1"/>
  <c r="AV201" i="2"/>
  <c r="I376" i="20"/>
  <c r="Z376" i="20" s="1"/>
  <c r="H376" i="20"/>
  <c r="Y376" i="20" s="1"/>
  <c r="R195" i="8"/>
  <c r="R202" i="8" s="1"/>
  <c r="T239" i="7"/>
  <c r="X237" i="7"/>
  <c r="EI32" i="6"/>
  <c r="EI81" i="6" s="1"/>
  <c r="AC730" i="7"/>
  <c r="AD299" i="7"/>
  <c r="AE299" i="7" s="1"/>
  <c r="EI33" i="6"/>
  <c r="EI82" i="6" s="1"/>
  <c r="AC731" i="7"/>
  <c r="AD325" i="7"/>
  <c r="AE325" i="7" s="1"/>
  <c r="L188" i="7"/>
  <c r="L377" i="7"/>
  <c r="L356" i="7"/>
  <c r="L194" i="7"/>
  <c r="N188" i="7"/>
  <c r="N377" i="7"/>
  <c r="N356" i="7"/>
  <c r="N194" i="7"/>
  <c r="P188" i="7"/>
  <c r="P377" i="7"/>
  <c r="P356" i="7"/>
  <c r="P194" i="7"/>
  <c r="R188" i="7"/>
  <c r="R377" i="7"/>
  <c r="R356" i="7"/>
  <c r="R194" i="7"/>
  <c r="T188" i="7"/>
  <c r="T377" i="7"/>
  <c r="T356" i="7"/>
  <c r="T194" i="7"/>
  <c r="V188" i="7"/>
  <c r="V377" i="7"/>
  <c r="V356" i="7"/>
  <c r="V194" i="7"/>
  <c r="X188" i="7"/>
  <c r="X377" i="7"/>
  <c r="X356" i="7"/>
  <c r="X194" i="7"/>
  <c r="Z188" i="7"/>
  <c r="Z377" i="7"/>
  <c r="Z356" i="7"/>
  <c r="Z194" i="7"/>
  <c r="L668" i="7"/>
  <c r="N668" i="7"/>
  <c r="P668" i="7"/>
  <c r="R668" i="7"/>
  <c r="T668" i="7"/>
  <c r="V428" i="7"/>
  <c r="X668" i="7"/>
  <c r="Z151" i="8"/>
  <c r="Z158" i="8"/>
  <c r="X37" i="7"/>
  <c r="O660" i="7"/>
  <c r="O674" i="7" s="1"/>
  <c r="S660" i="7"/>
  <c r="S674" i="7" s="1"/>
  <c r="W660" i="7"/>
  <c r="W674" i="7" s="1"/>
  <c r="D224" i="2"/>
  <c r="AA660" i="7"/>
  <c r="AA674" i="7" s="1"/>
  <c r="O588" i="7"/>
  <c r="O169" i="7"/>
  <c r="S598" i="7"/>
  <c r="W598" i="7"/>
  <c r="W593" i="7"/>
  <c r="U245" i="7"/>
  <c r="Y245" i="7"/>
  <c r="Z292" i="7"/>
  <c r="AB292" i="7"/>
  <c r="T92" i="6"/>
  <c r="AR92" i="6"/>
  <c r="BP92" i="6"/>
  <c r="CN92" i="6"/>
  <c r="DL92" i="6"/>
  <c r="DY40" i="6"/>
  <c r="AA787" i="7"/>
  <c r="AA789" i="7" s="1"/>
  <c r="AA790" i="7" s="1"/>
  <c r="AA513" i="7"/>
  <c r="AA502" i="7"/>
  <c r="S20" i="21"/>
  <c r="M764" i="7"/>
  <c r="M765" i="7" s="1"/>
  <c r="M663" i="7"/>
  <c r="M677" i="7" s="1"/>
  <c r="Q764" i="7"/>
  <c r="Q765" i="7" s="1"/>
  <c r="Q663" i="7"/>
  <c r="Q677" i="7" s="1"/>
  <c r="U764" i="7"/>
  <c r="U765" i="7" s="1"/>
  <c r="U663" i="7"/>
  <c r="U677" i="7" s="1"/>
  <c r="Y764" i="7"/>
  <c r="Y765" i="7" s="1"/>
  <c r="Y663" i="7"/>
  <c r="Y677" i="7" s="1"/>
  <c r="G181" i="8"/>
  <c r="G146" i="8"/>
  <c r="G160" i="8" s="1"/>
  <c r="K147" i="8"/>
  <c r="O272" i="7"/>
  <c r="O261" i="7"/>
  <c r="S272" i="7"/>
  <c r="S261" i="7"/>
  <c r="J122" i="8"/>
  <c r="N122" i="8"/>
  <c r="R122" i="8"/>
  <c r="V122" i="8"/>
  <c r="EH28" i="6"/>
  <c r="AC708" i="7"/>
  <c r="AD324" i="7"/>
  <c r="AE324" i="7" s="1"/>
  <c r="N119" i="8"/>
  <c r="V119" i="8"/>
  <c r="I61" i="21"/>
  <c r="EK18" i="6"/>
  <c r="EK67" i="6" s="1"/>
  <c r="AC771" i="7"/>
  <c r="AD142" i="7"/>
  <c r="AE142" i="7" s="1"/>
  <c r="AC140" i="7"/>
  <c r="U17" i="21" s="1"/>
  <c r="N106" i="17"/>
  <c r="V106" i="17"/>
  <c r="AD106" i="17"/>
  <c r="AL106" i="17"/>
  <c r="AT106" i="17"/>
  <c r="K93" i="17"/>
  <c r="N88" i="17"/>
  <c r="L66" i="11" s="1"/>
  <c r="M73" i="17"/>
  <c r="H149" i="12"/>
  <c r="L93" i="17"/>
  <c r="R88" i="17"/>
  <c r="Q66" i="11" s="1"/>
  <c r="I149" i="12"/>
  <c r="Q73" i="17"/>
  <c r="P93" i="17"/>
  <c r="O93" i="17"/>
  <c r="S93" i="17"/>
  <c r="V88" i="17"/>
  <c r="V66" i="11" s="1"/>
  <c r="U73" i="17"/>
  <c r="J149" i="12"/>
  <c r="T93" i="17"/>
  <c r="Z88" i="17"/>
  <c r="AA66" i="11" s="1"/>
  <c r="K149" i="12"/>
  <c r="Y73" i="17"/>
  <c r="X93" i="17"/>
  <c r="W93" i="17"/>
  <c r="AA93" i="17"/>
  <c r="AD88" i="17"/>
  <c r="AF66" i="11" s="1"/>
  <c r="AC73" i="17"/>
  <c r="L149" i="12"/>
  <c r="AB93" i="17"/>
  <c r="AH88" i="17"/>
  <c r="AK66" i="11" s="1"/>
  <c r="M149" i="12"/>
  <c r="AG73" i="17"/>
  <c r="AF93" i="17"/>
  <c r="AE93" i="17"/>
  <c r="AI93" i="17"/>
  <c r="AL88" i="17"/>
  <c r="AP66" i="11" s="1"/>
  <c r="AK73" i="17"/>
  <c r="N149" i="12"/>
  <c r="AJ93" i="17"/>
  <c r="AP88" i="17"/>
  <c r="AU66" i="11" s="1"/>
  <c r="O149" i="12"/>
  <c r="AO73" i="17"/>
  <c r="AN93" i="17"/>
  <c r="AM93" i="17"/>
  <c r="AQ93" i="17"/>
  <c r="AT88" i="17"/>
  <c r="AZ66" i="11" s="1"/>
  <c r="AS73" i="17"/>
  <c r="P149" i="12"/>
  <c r="AR93" i="17"/>
  <c r="AX88" i="17"/>
  <c r="BE66" i="11" s="1"/>
  <c r="Q149" i="12"/>
  <c r="AW73" i="17"/>
  <c r="AV93" i="17"/>
  <c r="AU93" i="17"/>
  <c r="AY93" i="17"/>
  <c r="BB88" i="17"/>
  <c r="BJ66" i="11" s="1"/>
  <c r="BA73" i="17"/>
  <c r="R149" i="12"/>
  <c r="AZ93" i="17"/>
  <c r="BF88" i="17"/>
  <c r="BO66" i="11" s="1"/>
  <c r="S149" i="12"/>
  <c r="BE73" i="17"/>
  <c r="BD93" i="17"/>
  <c r="BC93" i="17"/>
  <c r="BG93" i="17"/>
  <c r="BJ88" i="17"/>
  <c r="BT66" i="11" s="1"/>
  <c r="BM93" i="17"/>
  <c r="BI73" i="17"/>
  <c r="T149" i="12"/>
  <c r="BK93" i="17"/>
  <c r="BL93" i="17"/>
  <c r="BH93" i="17"/>
  <c r="E105" i="20"/>
  <c r="V105" i="20" s="1"/>
  <c r="AU117" i="2"/>
  <c r="R191" i="17"/>
  <c r="Z191" i="17"/>
  <c r="AH191" i="17"/>
  <c r="AP191" i="17"/>
  <c r="AX191" i="17"/>
  <c r="BF191" i="17"/>
  <c r="CR189" i="17"/>
  <c r="CR199" i="17"/>
  <c r="CR191" i="17"/>
  <c r="CR190" i="17"/>
  <c r="F118" i="20"/>
  <c r="W118" i="20" s="1"/>
  <c r="AV267" i="2"/>
  <c r="H119" i="20"/>
  <c r="Y119" i="20" s="1"/>
  <c r="AX268" i="2"/>
  <c r="H121" i="20"/>
  <c r="Y121" i="20" s="1"/>
  <c r="AX270" i="2"/>
  <c r="F122" i="20"/>
  <c r="W122" i="20" s="1"/>
  <c r="AV271" i="2"/>
  <c r="BR67" i="17"/>
  <c r="BP66" i="17"/>
  <c r="BQ66" i="17" s="1"/>
  <c r="BR66" i="17" s="1"/>
  <c r="BS66" i="17" s="1"/>
  <c r="BR224" i="17"/>
  <c r="BP223" i="17"/>
  <c r="BQ223" i="17" s="1"/>
  <c r="BR223" i="17" s="1"/>
  <c r="BS223" i="17" s="1"/>
  <c r="Z81" i="11"/>
  <c r="W96" i="6"/>
  <c r="AT11" i="11"/>
  <c r="N273" i="12"/>
  <c r="N269" i="12"/>
  <c r="N433" i="12"/>
  <c r="BN81" i="11"/>
  <c r="BX47" i="6"/>
  <c r="BX96" i="6" s="1"/>
  <c r="BS96" i="6"/>
  <c r="CH11" i="11"/>
  <c r="CM11" i="11"/>
  <c r="V273" i="12"/>
  <c r="V269" i="12"/>
  <c r="V433" i="12"/>
  <c r="CJ45" i="6"/>
  <c r="CJ94" i="6" s="1"/>
  <c r="DH45" i="6"/>
  <c r="DH94" i="6" s="1"/>
  <c r="S135" i="12"/>
  <c r="BO22" i="11" s="1"/>
  <c r="S166" i="12"/>
  <c r="AA135" i="12"/>
  <c r="DC22" i="11" s="1"/>
  <c r="AA166" i="12"/>
  <c r="I146" i="17"/>
  <c r="Y140" i="12"/>
  <c r="CU13" i="11"/>
  <c r="H142" i="12"/>
  <c r="L29" i="11" s="1"/>
  <c r="N15" i="11"/>
  <c r="L142" i="12"/>
  <c r="AF29" i="11" s="1"/>
  <c r="AH15" i="11"/>
  <c r="N142" i="12"/>
  <c r="AP29" i="11" s="1"/>
  <c r="AR15" i="11"/>
  <c r="T142" i="12"/>
  <c r="BT29" i="11" s="1"/>
  <c r="BV15" i="11"/>
  <c r="V142" i="12"/>
  <c r="CD29" i="11" s="1"/>
  <c r="CF15" i="11"/>
  <c r="Z142" i="12"/>
  <c r="CX29" i="11" s="1"/>
  <c r="CZ15" i="11"/>
  <c r="CH85" i="6"/>
  <c r="CE36" i="6"/>
  <c r="CN85" i="6"/>
  <c r="EA36" i="6"/>
  <c r="ED85" i="6"/>
  <c r="AB338" i="12"/>
  <c r="AB301" i="12"/>
  <c r="AB306" i="12"/>
  <c r="BM65" i="17"/>
  <c r="X140" i="12"/>
  <c r="CP13" i="11"/>
  <c r="AC103" i="11"/>
  <c r="K106" i="12"/>
  <c r="O106" i="12"/>
  <c r="AW103" i="11"/>
  <c r="AK116" i="11"/>
  <c r="AL116" i="11" s="1"/>
  <c r="AM116" i="11" s="1"/>
  <c r="AL17" i="11"/>
  <c r="AU116" i="11"/>
  <c r="AV116" i="11" s="1"/>
  <c r="AW116" i="11" s="1"/>
  <c r="AV17" i="11"/>
  <c r="BE116" i="11"/>
  <c r="BF116" i="11" s="1"/>
  <c r="BG116" i="11" s="1"/>
  <c r="BF17" i="11"/>
  <c r="BO116" i="11"/>
  <c r="BP116" i="11" s="1"/>
  <c r="BQ116" i="11" s="1"/>
  <c r="BP17" i="11"/>
  <c r="BY116" i="11"/>
  <c r="BZ116" i="11" s="1"/>
  <c r="CA116" i="11" s="1"/>
  <c r="BZ17" i="11"/>
  <c r="CI116" i="11"/>
  <c r="CJ116" i="11" s="1"/>
  <c r="CK116" i="11" s="1"/>
  <c r="CJ17" i="11"/>
  <c r="CS116" i="11"/>
  <c r="CT116" i="11" s="1"/>
  <c r="CU116" i="11" s="1"/>
  <c r="CT17" i="11"/>
  <c r="W273" i="12"/>
  <c r="AA568" i="7"/>
  <c r="AA569" i="7" s="1"/>
  <c r="C210" i="2"/>
  <c r="AT210" i="2" s="1"/>
  <c r="J198" i="8"/>
  <c r="J205" i="8" s="1"/>
  <c r="N198" i="8"/>
  <c r="N205" i="8" s="1"/>
  <c r="R198" i="8"/>
  <c r="R205" i="8" s="1"/>
  <c r="V198" i="8"/>
  <c r="V205" i="8" s="1"/>
  <c r="C240" i="2"/>
  <c r="Z774" i="7"/>
  <c r="Z464" i="12"/>
  <c r="O773" i="7"/>
  <c r="O774" i="7" s="1"/>
  <c r="W774" i="7"/>
  <c r="W464" i="12"/>
  <c r="W471" i="12" s="1"/>
  <c r="V70" i="8"/>
  <c r="AA116" i="8"/>
  <c r="R66" i="8"/>
  <c r="R55" i="8"/>
  <c r="I85" i="21"/>
  <c r="I84" i="21"/>
  <c r="Z143" i="8"/>
  <c r="Z108" i="8" s="1"/>
  <c r="Z178" i="8"/>
  <c r="Z171" i="8"/>
  <c r="Z169" i="8"/>
  <c r="G151" i="2"/>
  <c r="EM7" i="6"/>
  <c r="DU118" i="11"/>
  <c r="P376" i="7"/>
  <c r="P355" i="7"/>
  <c r="P193" i="7"/>
  <c r="P187" i="7"/>
  <c r="X376" i="7"/>
  <c r="X355" i="7"/>
  <c r="X193" i="7"/>
  <c r="X187" i="7"/>
  <c r="I202" i="8"/>
  <c r="AA239" i="7"/>
  <c r="EI28" i="6"/>
  <c r="EI77" i="6" s="1"/>
  <c r="AC729" i="7"/>
  <c r="AD326" i="7"/>
  <c r="AE326" i="7" s="1"/>
  <c r="EB35" i="6"/>
  <c r="AB402" i="7"/>
  <c r="EI35" i="6"/>
  <c r="EI84" i="6" s="1"/>
  <c r="AD397" i="7"/>
  <c r="AE397" i="7" s="1"/>
  <c r="M123" i="7"/>
  <c r="M448" i="7"/>
  <c r="M437" i="7"/>
  <c r="O123" i="7"/>
  <c r="O448" i="7"/>
  <c r="O437" i="7"/>
  <c r="Q123" i="7"/>
  <c r="Q448" i="7"/>
  <c r="Q437" i="7"/>
  <c r="S123" i="7"/>
  <c r="S448" i="7"/>
  <c r="S437" i="7"/>
  <c r="U123" i="7"/>
  <c r="U448" i="7"/>
  <c r="U437" i="7"/>
  <c r="W123" i="7"/>
  <c r="W448" i="7"/>
  <c r="W437" i="7"/>
  <c r="Y123" i="7"/>
  <c r="Y448" i="7"/>
  <c r="Y437" i="7"/>
  <c r="AA123" i="7"/>
  <c r="AA448" i="7"/>
  <c r="AA437" i="7"/>
  <c r="I158" i="8"/>
  <c r="I151" i="8"/>
  <c r="M158" i="8"/>
  <c r="M151" i="8"/>
  <c r="Q158" i="8"/>
  <c r="Q151" i="8"/>
  <c r="U158" i="8"/>
  <c r="U151" i="8"/>
  <c r="Y158" i="8"/>
  <c r="Y151" i="8"/>
  <c r="AA668" i="7"/>
  <c r="Y37" i="7"/>
  <c r="O628" i="7"/>
  <c r="S628" i="7"/>
  <c r="W628" i="7"/>
  <c r="D217" i="2"/>
  <c r="AA628" i="7"/>
  <c r="AB588" i="7"/>
  <c r="AC164" i="7"/>
  <c r="AC165" i="7" s="1"/>
  <c r="AF69" i="6"/>
  <c r="Z69" i="6"/>
  <c r="BD69" i="6"/>
  <c r="AX69" i="6"/>
  <c r="CB69" i="6"/>
  <c r="BV69" i="6"/>
  <c r="CZ69" i="6"/>
  <c r="CT69" i="6"/>
  <c r="DX69" i="6"/>
  <c r="DR69" i="6"/>
  <c r="V245" i="7"/>
  <c r="Z245" i="7"/>
  <c r="EP30" i="6"/>
  <c r="AD753" i="7"/>
  <c r="S292" i="7"/>
  <c r="U292" i="7"/>
  <c r="W292" i="7"/>
  <c r="Y292" i="7"/>
  <c r="AA292" i="7"/>
  <c r="DR92" i="6"/>
  <c r="DR40" i="6"/>
  <c r="DX89" i="6" s="1"/>
  <c r="Z491" i="7"/>
  <c r="AR40" i="6"/>
  <c r="CN40" i="6"/>
  <c r="DU40" i="6"/>
  <c r="EP45" i="6"/>
  <c r="AD761" i="7"/>
  <c r="M375" i="7"/>
  <c r="M354" i="7"/>
  <c r="M192" i="7"/>
  <c r="M183" i="7"/>
  <c r="M186" i="7"/>
  <c r="Q375" i="7"/>
  <c r="Q354" i="7"/>
  <c r="Q192" i="7"/>
  <c r="Q183" i="7"/>
  <c r="Q186" i="7"/>
  <c r="U375" i="7"/>
  <c r="U354" i="7"/>
  <c r="U192" i="7"/>
  <c r="U183" i="7"/>
  <c r="U186" i="7"/>
  <c r="Y375" i="7"/>
  <c r="Y354" i="7"/>
  <c r="Y192" i="7"/>
  <c r="Y183" i="7"/>
  <c r="Y186" i="7"/>
  <c r="H174" i="8"/>
  <c r="H146" i="8"/>
  <c r="H181" i="8"/>
  <c r="P174" i="8"/>
  <c r="P146" i="8"/>
  <c r="P181" i="8"/>
  <c r="P272" i="7"/>
  <c r="P261" i="7"/>
  <c r="T231" i="7"/>
  <c r="X231" i="7"/>
  <c r="EH33" i="6"/>
  <c r="AC714" i="7"/>
  <c r="AC329" i="7"/>
  <c r="AD323" i="7"/>
  <c r="AE323" i="7" s="1"/>
  <c r="AB330" i="7"/>
  <c r="V160" i="8"/>
  <c r="L61" i="21"/>
  <c r="P61" i="21"/>
  <c r="Q791" i="7"/>
  <c r="H103" i="20"/>
  <c r="Y103" i="20" s="1"/>
  <c r="AX115" i="2"/>
  <c r="R94" i="17"/>
  <c r="Z94" i="17"/>
  <c r="AH94" i="17"/>
  <c r="AP94" i="17"/>
  <c r="AX94" i="17"/>
  <c r="BF94" i="17"/>
  <c r="BN185" i="17"/>
  <c r="BY89" i="11" s="1"/>
  <c r="N242" i="17"/>
  <c r="L104" i="11" s="1"/>
  <c r="H155" i="12"/>
  <c r="M230" i="17"/>
  <c r="R242" i="17"/>
  <c r="Q104" i="11" s="1"/>
  <c r="Q230" i="17"/>
  <c r="I155" i="12"/>
  <c r="O247" i="17"/>
  <c r="V242" i="17"/>
  <c r="V104" i="11" s="1"/>
  <c r="J155" i="12"/>
  <c r="U230" i="17"/>
  <c r="U247" i="17"/>
  <c r="W247" i="17"/>
  <c r="Y247" i="17"/>
  <c r="AD242" i="17"/>
  <c r="AF104" i="11" s="1"/>
  <c r="L155" i="12"/>
  <c r="AC230" i="17"/>
  <c r="AC247" i="17"/>
  <c r="AH242" i="17"/>
  <c r="AK104" i="11" s="1"/>
  <c r="AG230" i="17"/>
  <c r="M155" i="12"/>
  <c r="AE247" i="17"/>
  <c r="AL242" i="17"/>
  <c r="AP104" i="11" s="1"/>
  <c r="N155" i="12"/>
  <c r="AK230" i="17"/>
  <c r="AK247" i="17"/>
  <c r="AM247" i="17"/>
  <c r="AO247" i="17"/>
  <c r="AT242" i="17"/>
  <c r="AZ104" i="11" s="1"/>
  <c r="P155" i="12"/>
  <c r="AS230" i="17"/>
  <c r="AS247" i="17"/>
  <c r="AX242" i="17"/>
  <c r="BE104" i="11" s="1"/>
  <c r="AW230" i="17"/>
  <c r="Q155" i="12"/>
  <c r="AU247" i="17"/>
  <c r="BB242" i="17"/>
  <c r="BJ104" i="11" s="1"/>
  <c r="R155" i="12"/>
  <c r="BA230" i="17"/>
  <c r="BA247" i="17"/>
  <c r="BC247" i="17"/>
  <c r="BE247" i="17"/>
  <c r="BJ242" i="17"/>
  <c r="BT104" i="11" s="1"/>
  <c r="T155" i="12"/>
  <c r="BL247" i="17"/>
  <c r="BM247" i="17"/>
  <c r="BK247" i="17"/>
  <c r="BI230" i="17"/>
  <c r="BI247" i="17"/>
  <c r="BN242" i="17"/>
  <c r="BY104" i="11" s="1"/>
  <c r="N150" i="17"/>
  <c r="P155" i="17"/>
  <c r="O155" i="17"/>
  <c r="M146" i="17"/>
  <c r="H152" i="12"/>
  <c r="Q155" i="17"/>
  <c r="N156" i="17"/>
  <c r="Z150" i="17"/>
  <c r="K152" i="12"/>
  <c r="AC155" i="17"/>
  <c r="AB155" i="17"/>
  <c r="AA155" i="17"/>
  <c r="Z156" i="17"/>
  <c r="AD150" i="17"/>
  <c r="AF155" i="17"/>
  <c r="AE155" i="17"/>
  <c r="L152" i="12"/>
  <c r="AG155" i="17"/>
  <c r="AD156" i="17"/>
  <c r="AC146" i="17"/>
  <c r="AP150" i="17"/>
  <c r="O152" i="12"/>
  <c r="AS155" i="17"/>
  <c r="AR155" i="17"/>
  <c r="AQ155" i="17"/>
  <c r="AP156" i="17"/>
  <c r="AT150" i="17"/>
  <c r="AV155" i="17"/>
  <c r="AU155" i="17"/>
  <c r="AS146" i="17"/>
  <c r="P152" i="12"/>
  <c r="AW155" i="17"/>
  <c r="AT156" i="17"/>
  <c r="BF150" i="17"/>
  <c r="S152" i="12"/>
  <c r="BI155" i="17"/>
  <c r="BH155" i="17"/>
  <c r="BG155" i="17"/>
  <c r="BF156" i="17"/>
  <c r="BJ150" i="17"/>
  <c r="BL155" i="17"/>
  <c r="BK155" i="17"/>
  <c r="T152" i="12"/>
  <c r="BM155" i="17"/>
  <c r="BJ156" i="17"/>
  <c r="BI146" i="17"/>
  <c r="BV150" i="17"/>
  <c r="BY155" i="17"/>
  <c r="BX155" i="17"/>
  <c r="W152" i="12"/>
  <c r="BW155" i="17"/>
  <c r="BV156" i="17"/>
  <c r="BZ150" i="17"/>
  <c r="X152" i="12"/>
  <c r="CB155" i="17"/>
  <c r="CA155" i="17"/>
  <c r="BY146" i="17"/>
  <c r="CC155" i="17"/>
  <c r="BZ156" i="17"/>
  <c r="CL150" i="17"/>
  <c r="CO155" i="17"/>
  <c r="CN155" i="17"/>
  <c r="AA152" i="12"/>
  <c r="CM155" i="17"/>
  <c r="CL156" i="17"/>
  <c r="CP150" i="17"/>
  <c r="AB152" i="12"/>
  <c r="CP156" i="17"/>
  <c r="CO146" i="17"/>
  <c r="N202" i="17"/>
  <c r="AD202" i="17"/>
  <c r="AT202" i="17"/>
  <c r="BJ202" i="17"/>
  <c r="BZ207" i="17"/>
  <c r="CB212" i="17"/>
  <c r="CA212" i="17"/>
  <c r="BZ213" i="17"/>
  <c r="X154" i="12"/>
  <c r="CC212" i="17"/>
  <c r="BY203" i="17"/>
  <c r="CP207" i="17"/>
  <c r="CP213" i="17"/>
  <c r="AB154" i="12"/>
  <c r="CO203" i="17"/>
  <c r="BY121" i="17"/>
  <c r="BY17" i="17"/>
  <c r="CC121" i="17"/>
  <c r="CC17" i="17"/>
  <c r="CG121" i="17"/>
  <c r="CG17" i="17"/>
  <c r="CK121" i="17"/>
  <c r="CK17" i="17"/>
  <c r="CO121" i="17"/>
  <c r="CO17" i="17"/>
  <c r="E119" i="20"/>
  <c r="V119" i="20" s="1"/>
  <c r="AU268" i="2"/>
  <c r="G119" i="20"/>
  <c r="X119" i="20" s="1"/>
  <c r="AW268" i="2"/>
  <c r="E121" i="20"/>
  <c r="V121" i="20" s="1"/>
  <c r="AU270" i="2"/>
  <c r="G121" i="20"/>
  <c r="X121" i="20" s="1"/>
  <c r="AW270" i="2"/>
  <c r="E120" i="20"/>
  <c r="V120" i="20" s="1"/>
  <c r="AU269" i="2"/>
  <c r="G120" i="20"/>
  <c r="X120" i="20" s="1"/>
  <c r="AW269" i="2"/>
  <c r="E122" i="20"/>
  <c r="V122" i="20" s="1"/>
  <c r="AU271" i="2"/>
  <c r="AE11" i="11"/>
  <c r="K273" i="12"/>
  <c r="K269" i="12"/>
  <c r="AC96" i="6"/>
  <c r="AH47" i="6"/>
  <c r="AH96" i="6" s="1"/>
  <c r="AY81" i="11"/>
  <c r="O433" i="12"/>
  <c r="BS11" i="11"/>
  <c r="S273" i="12"/>
  <c r="S269" i="12"/>
  <c r="BY96" i="6"/>
  <c r="CD47" i="6"/>
  <c r="CD96" i="6" s="1"/>
  <c r="T70" i="8"/>
  <c r="T66" i="8"/>
  <c r="T55" i="8"/>
  <c r="J79" i="8"/>
  <c r="R79" i="8"/>
  <c r="W70" i="8"/>
  <c r="AA70" i="8"/>
  <c r="I66" i="8"/>
  <c r="I55" i="8"/>
  <c r="Q66" i="8"/>
  <c r="Q55" i="8"/>
  <c r="W40" i="8"/>
  <c r="AC12" i="8"/>
  <c r="AC11" i="8" s="1"/>
  <c r="AB43" i="8"/>
  <c r="AB66" i="8" s="1"/>
  <c r="AB24" i="8"/>
  <c r="AB11" i="8"/>
  <c r="AB8" i="8"/>
  <c r="AB39" i="8"/>
  <c r="K89" i="21"/>
  <c r="L85" i="21"/>
  <c r="L84" i="21"/>
  <c r="M89" i="21"/>
  <c r="N85" i="21"/>
  <c r="N84" i="21"/>
  <c r="O89" i="21"/>
  <c r="P85" i="21"/>
  <c r="P84" i="21"/>
  <c r="AA159" i="8"/>
  <c r="AA152" i="8"/>
  <c r="AA178" i="8"/>
  <c r="AA171" i="8"/>
  <c r="AA143" i="8"/>
  <c r="AA108" i="8" s="1"/>
  <c r="G150" i="2"/>
  <c r="EM6" i="6"/>
  <c r="DU117" i="11"/>
  <c r="M376" i="7"/>
  <c r="M355" i="7"/>
  <c r="M193" i="7"/>
  <c r="M187" i="7"/>
  <c r="U376" i="7"/>
  <c r="U355" i="7"/>
  <c r="U193" i="7"/>
  <c r="U187" i="7"/>
  <c r="AA376" i="7"/>
  <c r="AA355" i="7"/>
  <c r="AA193" i="7"/>
  <c r="AA187" i="7"/>
  <c r="V239" i="7"/>
  <c r="Z239" i="7"/>
  <c r="EI45" i="6"/>
  <c r="EI94" i="6" s="1"/>
  <c r="AC741" i="7"/>
  <c r="AD520" i="7"/>
  <c r="AE520" i="7" s="1"/>
  <c r="J151" i="8"/>
  <c r="J158" i="8"/>
  <c r="N151" i="8"/>
  <c r="N158" i="8"/>
  <c r="R151" i="8"/>
  <c r="R158" i="8"/>
  <c r="V151" i="8"/>
  <c r="V158" i="8"/>
  <c r="Z668" i="7"/>
  <c r="Z37" i="7"/>
  <c r="AD745" i="7"/>
  <c r="EP10" i="6"/>
  <c r="AD425" i="7"/>
  <c r="AC748" i="7"/>
  <c r="E217" i="2" s="1"/>
  <c r="T67" i="6"/>
  <c r="AR67" i="6"/>
  <c r="AO18" i="6"/>
  <c r="BP67" i="6"/>
  <c r="BM18" i="6"/>
  <c r="CN67" i="6"/>
  <c r="CK18" i="6"/>
  <c r="DL67" i="6"/>
  <c r="DI18" i="6"/>
  <c r="AA245" i="7"/>
  <c r="AU215" i="2"/>
  <c r="G411" i="20"/>
  <c r="X411" i="20" s="1"/>
  <c r="F411" i="20"/>
  <c r="EP32" i="6"/>
  <c r="AD657" i="7"/>
  <c r="DM40" i="6"/>
  <c r="Y787" i="7"/>
  <c r="Y789" i="7" s="1"/>
  <c r="Y790" i="7" s="1"/>
  <c r="Y513" i="7"/>
  <c r="Y502" i="7"/>
  <c r="Q20" i="21"/>
  <c r="EP41" i="6"/>
  <c r="AD695" i="7"/>
  <c r="I147" i="8"/>
  <c r="M147" i="8"/>
  <c r="M272" i="7"/>
  <c r="M261" i="7"/>
  <c r="Q147" i="8"/>
  <c r="Q272" i="7"/>
  <c r="Q261" i="7"/>
  <c r="U147" i="8"/>
  <c r="U272" i="7"/>
  <c r="U261" i="7"/>
  <c r="Y147" i="8"/>
  <c r="AA147" i="8"/>
  <c r="M229" i="7"/>
  <c r="L228" i="7"/>
  <c r="O229" i="7" s="1"/>
  <c r="N228" i="7"/>
  <c r="R228" i="7"/>
  <c r="W231" i="7"/>
  <c r="V228" i="7"/>
  <c r="X228" i="7"/>
  <c r="U84" i="6"/>
  <c r="U48" i="6"/>
  <c r="AG84" i="6"/>
  <c r="AG48" i="6"/>
  <c r="BE84" i="6"/>
  <c r="BE48" i="6"/>
  <c r="CC48" i="6"/>
  <c r="CD35" i="6"/>
  <c r="CD84" i="6" s="1"/>
  <c r="CC84" i="6"/>
  <c r="DB35" i="6"/>
  <c r="DB84" i="6" s="1"/>
  <c r="DA84" i="6"/>
  <c r="I83" i="8"/>
  <c r="Q83" i="8"/>
  <c r="Y83" i="8"/>
  <c r="AA83" i="8"/>
  <c r="AB78" i="8"/>
  <c r="Z119" i="8"/>
  <c r="AC692" i="7"/>
  <c r="EK16" i="6"/>
  <c r="EK65" i="6" s="1"/>
  <c r="AC770" i="7"/>
  <c r="AD12" i="7"/>
  <c r="AE12" i="7" s="1"/>
  <c r="AV231" i="2"/>
  <c r="R106" i="17"/>
  <c r="AH106" i="17"/>
  <c r="AX106" i="17"/>
  <c r="DH51" i="11"/>
  <c r="K85" i="17"/>
  <c r="O85" i="17"/>
  <c r="S85" i="17"/>
  <c r="W85" i="17"/>
  <c r="AA85" i="17"/>
  <c r="AE85" i="17"/>
  <c r="AI85" i="17"/>
  <c r="AM85" i="17"/>
  <c r="AQ85" i="17"/>
  <c r="AU85" i="17"/>
  <c r="AY85" i="17"/>
  <c r="BC85" i="17"/>
  <c r="BG85" i="17"/>
  <c r="BN88" i="17"/>
  <c r="BY66" i="11" s="1"/>
  <c r="J182" i="17"/>
  <c r="L182" i="17"/>
  <c r="N182" i="17"/>
  <c r="P182" i="17"/>
  <c r="R182" i="17"/>
  <c r="T182" i="17"/>
  <c r="V182" i="17"/>
  <c r="X182" i="17"/>
  <c r="Z182" i="17"/>
  <c r="AB182" i="17"/>
  <c r="AD182" i="17"/>
  <c r="AF182" i="17"/>
  <c r="AH182" i="17"/>
  <c r="AJ182" i="17"/>
  <c r="AL182" i="17"/>
  <c r="AN182" i="17"/>
  <c r="AP182" i="17"/>
  <c r="AR182" i="17"/>
  <c r="AT182" i="17"/>
  <c r="AV182" i="17"/>
  <c r="AX182" i="17"/>
  <c r="AZ182" i="17"/>
  <c r="BB182" i="17"/>
  <c r="BD182" i="17"/>
  <c r="BF182" i="17"/>
  <c r="BH182" i="17"/>
  <c r="BJ182" i="17"/>
  <c r="BJ12" i="17"/>
  <c r="J239" i="17"/>
  <c r="N239" i="17"/>
  <c r="R239" i="17"/>
  <c r="V239" i="17"/>
  <c r="Z239" i="17"/>
  <c r="AD239" i="17"/>
  <c r="AH239" i="17"/>
  <c r="AL239" i="17"/>
  <c r="AP239" i="17"/>
  <c r="AT239" i="17"/>
  <c r="AX239" i="17"/>
  <c r="BB239" i="17"/>
  <c r="BF239" i="17"/>
  <c r="BJ239" i="17"/>
  <c r="BX17" i="17"/>
  <c r="BX121" i="17"/>
  <c r="CF17" i="17"/>
  <c r="CF121" i="17"/>
  <c r="CJ17" i="17"/>
  <c r="CJ121" i="17"/>
  <c r="CN17" i="17"/>
  <c r="CN121" i="17"/>
  <c r="CP167" i="17"/>
  <c r="CN166" i="17"/>
  <c r="CO166" i="17" s="1"/>
  <c r="CP166" i="17" s="1"/>
  <c r="CQ166" i="17" s="1"/>
  <c r="BN77" i="17"/>
  <c r="BM62" i="17"/>
  <c r="BN234" i="17"/>
  <c r="BM222" i="17"/>
  <c r="P11" i="11"/>
  <c r="H273" i="12"/>
  <c r="H269" i="12"/>
  <c r="H433" i="12"/>
  <c r="AJ81" i="11"/>
  <c r="AI96" i="6"/>
  <c r="AN47" i="6"/>
  <c r="AN96" i="6" s="1"/>
  <c r="BD11" i="11"/>
  <c r="P273" i="12"/>
  <c r="P269" i="12"/>
  <c r="P433" i="12"/>
  <c r="BX81" i="11"/>
  <c r="CE96" i="6"/>
  <c r="CJ47" i="6"/>
  <c r="CJ96" i="6" s="1"/>
  <c r="J35" i="6"/>
  <c r="AD12" i="11"/>
  <c r="N106" i="12"/>
  <c r="BH12" i="11"/>
  <c r="O198" i="8"/>
  <c r="O205" i="8" s="1"/>
  <c r="W198" i="8"/>
  <c r="W205" i="8" s="1"/>
  <c r="Z198" i="8"/>
  <c r="Z205" i="8" s="1"/>
  <c r="U282" i="17"/>
  <c r="U316" i="17" s="1"/>
  <c r="U318" i="17" s="1"/>
  <c r="AK285" i="17"/>
  <c r="AK319" i="17" s="1"/>
  <c r="AK321" i="17" s="1"/>
  <c r="BY85" i="6"/>
  <c r="AB319" i="17"/>
  <c r="AB321" i="17" s="1"/>
  <c r="AF319" i="17"/>
  <c r="AF321" i="17" s="1"/>
  <c r="AB287" i="17"/>
  <c r="AR319" i="17"/>
  <c r="AR321" i="17" s="1"/>
  <c r="AV319" i="17"/>
  <c r="AV321" i="17" s="1"/>
  <c r="AR287" i="17"/>
  <c r="AZ319" i="17"/>
  <c r="AZ321" i="17" s="1"/>
  <c r="BD319" i="17"/>
  <c r="BD321" i="17" s="1"/>
  <c r="AZ287" i="17"/>
  <c r="BH319" i="17"/>
  <c r="BH321" i="17" s="1"/>
  <c r="BH287" i="17"/>
  <c r="U308" i="17"/>
  <c r="AK308" i="17"/>
  <c r="T319" i="17"/>
  <c r="T321" i="17" s="1"/>
  <c r="X319" i="17"/>
  <c r="X321" i="17" s="1"/>
  <c r="T287" i="17"/>
  <c r="AN319" i="17"/>
  <c r="AN321" i="17" s="1"/>
  <c r="AJ319" i="17"/>
  <c r="AJ321" i="17" s="1"/>
  <c r="AJ287" i="17"/>
  <c r="I137" i="12"/>
  <c r="Q24" i="11" s="1"/>
  <c r="I55" i="12"/>
  <c r="S10" i="11"/>
  <c r="M137" i="12"/>
  <c r="AK24" i="11" s="1"/>
  <c r="M55" i="12"/>
  <c r="AM10" i="11"/>
  <c r="Q137" i="12"/>
  <c r="BE24" i="11" s="1"/>
  <c r="Q55" i="12"/>
  <c r="BG10" i="11"/>
  <c r="Y137" i="12"/>
  <c r="CS24" i="11" s="1"/>
  <c r="Y55" i="12"/>
  <c r="CU10" i="11"/>
  <c r="BZ29" i="6"/>
  <c r="DU58" i="11"/>
  <c r="DX58" i="11" s="1"/>
  <c r="CV16" i="11"/>
  <c r="CY14" i="11"/>
  <c r="N308" i="17"/>
  <c r="H371" i="12"/>
  <c r="V308" i="17"/>
  <c r="T333" i="17" s="1"/>
  <c r="V282" i="17"/>
  <c r="V285" i="17"/>
  <c r="J371" i="12"/>
  <c r="AD308" i="17"/>
  <c r="AB333" i="17" s="1"/>
  <c r="AD282" i="17"/>
  <c r="AD285" i="17"/>
  <c r="L371" i="12"/>
  <c r="AL308" i="17"/>
  <c r="AJ333" i="17" s="1"/>
  <c r="AL282" i="17"/>
  <c r="AL285" i="17"/>
  <c r="N371" i="12"/>
  <c r="AT308" i="17"/>
  <c r="AR333" i="17" s="1"/>
  <c r="AT282" i="17"/>
  <c r="AT285" i="17"/>
  <c r="P371" i="12"/>
  <c r="BB308" i="17"/>
  <c r="AZ333" i="17" s="1"/>
  <c r="BB282" i="17"/>
  <c r="BB285" i="17"/>
  <c r="R371" i="12"/>
  <c r="BJ308" i="17"/>
  <c r="BH333" i="17" s="1"/>
  <c r="T371" i="12"/>
  <c r="BR308" i="17"/>
  <c r="BP333" i="17" s="1"/>
  <c r="V371" i="12"/>
  <c r="BZ308" i="17"/>
  <c r="BX333" i="17" s="1"/>
  <c r="X371" i="12"/>
  <c r="AK29" i="6"/>
  <c r="P31" i="6"/>
  <c r="P80" i="6" s="1"/>
  <c r="AN31" i="6"/>
  <c r="AN80" i="6" s="1"/>
  <c r="BG73" i="6"/>
  <c r="BL31" i="6"/>
  <c r="BL80" i="6" s="1"/>
  <c r="CE73" i="6"/>
  <c r="CJ31" i="6"/>
  <c r="CJ80" i="6" s="1"/>
  <c r="K137" i="12"/>
  <c r="AA24" i="11" s="1"/>
  <c r="K55" i="12"/>
  <c r="AC10" i="11"/>
  <c r="O137" i="12"/>
  <c r="AU24" i="11" s="1"/>
  <c r="O55" i="12"/>
  <c r="AW10" i="11"/>
  <c r="S137" i="12"/>
  <c r="BO24" i="11" s="1"/>
  <c r="S55" i="12"/>
  <c r="BQ10" i="11"/>
  <c r="W137" i="12"/>
  <c r="CI24" i="11" s="1"/>
  <c r="W55" i="12"/>
  <c r="CK10" i="11"/>
  <c r="DP105" i="11"/>
  <c r="DS102" i="11"/>
  <c r="DS126" i="11" s="1"/>
  <c r="R308" i="17"/>
  <c r="P333" i="17" s="1"/>
  <c r="R282" i="17"/>
  <c r="R285" i="17"/>
  <c r="R298" i="17" s="1"/>
  <c r="R300" i="17" s="1"/>
  <c r="I371" i="12"/>
  <c r="AH308" i="17"/>
  <c r="AF333" i="17" s="1"/>
  <c r="AH282" i="17"/>
  <c r="AH295" i="17" s="1"/>
  <c r="AH297" i="17" s="1"/>
  <c r="AH285" i="17"/>
  <c r="AH298" i="17" s="1"/>
  <c r="AH300" i="17" s="1"/>
  <c r="M371" i="12"/>
  <c r="AP308" i="17"/>
  <c r="AN333" i="17" s="1"/>
  <c r="O371" i="12"/>
  <c r="BF308" i="17"/>
  <c r="BD333" i="17" s="1"/>
  <c r="BF282" i="17"/>
  <c r="BJ282" i="17" s="1"/>
  <c r="BF285" i="17"/>
  <c r="BF298" i="17" s="1"/>
  <c r="BF300" i="17" s="1"/>
  <c r="S371" i="12"/>
  <c r="BN308" i="17"/>
  <c r="BL333" i="17" s="1"/>
  <c r="U371" i="12"/>
  <c r="BV308" i="17"/>
  <c r="BT333" i="17" s="1"/>
  <c r="W371" i="12"/>
  <c r="CD308" i="17"/>
  <c r="CB333" i="17" s="1"/>
  <c r="Y371" i="12"/>
  <c r="BM73" i="6"/>
  <c r="DS87" i="11"/>
  <c r="DS122" i="11" s="1"/>
  <c r="CR29" i="6"/>
  <c r="W73" i="6"/>
  <c r="AB31" i="6"/>
  <c r="AB80" i="6" s="1"/>
  <c r="AU73" i="6"/>
  <c r="AZ31" i="6"/>
  <c r="AZ80" i="6" s="1"/>
  <c r="CV31" i="6"/>
  <c r="CV80" i="6" s="1"/>
  <c r="DO73" i="6"/>
  <c r="DT31" i="6"/>
  <c r="DT80" i="6" s="1"/>
  <c r="AC402" i="12"/>
  <c r="AC414" i="12" s="1"/>
  <c r="DD12" i="11"/>
  <c r="DB12" i="11"/>
  <c r="DA14" i="11"/>
  <c r="E146" i="2"/>
  <c r="DS101" i="11"/>
  <c r="Q287" i="17"/>
  <c r="Y287" i="17"/>
  <c r="AG284" i="17"/>
  <c r="AG287" i="17"/>
  <c r="AW287" i="17"/>
  <c r="BE287" i="17"/>
  <c r="CW73" i="6"/>
  <c r="DU73" i="6"/>
  <c r="AB134" i="12" l="1"/>
  <c r="DH21" i="11" s="1"/>
  <c r="DJ7" i="11"/>
  <c r="X795" i="7"/>
  <c r="X796" i="7" s="1"/>
  <c r="DM103" i="11"/>
  <c r="DN15" i="11" s="1"/>
  <c r="DO103" i="11"/>
  <c r="DO15" i="11" s="1"/>
  <c r="DM88" i="11"/>
  <c r="DN13" i="11" s="1"/>
  <c r="DO88" i="11"/>
  <c r="AC84" i="12"/>
  <c r="DI12" i="11"/>
  <c r="AB139" i="12" s="1"/>
  <c r="DH26" i="11" s="1"/>
  <c r="AO61" i="6"/>
  <c r="AD170" i="12"/>
  <c r="F106" i="2" s="1"/>
  <c r="AW106" i="2" s="1"/>
  <c r="AD166" i="12"/>
  <c r="F102" i="2" s="1"/>
  <c r="AW102" i="2" s="1"/>
  <c r="DN65" i="11"/>
  <c r="AC170" i="12"/>
  <c r="DM60" i="11"/>
  <c r="DO60" i="11"/>
  <c r="AB150" i="8"/>
  <c r="CR118" i="17"/>
  <c r="AP71" i="6"/>
  <c r="CN337" i="17"/>
  <c r="CP335" i="17"/>
  <c r="CP334" i="17"/>
  <c r="CN333" i="17"/>
  <c r="CO337" i="17"/>
  <c r="CP337" i="17"/>
  <c r="CP336" i="17"/>
  <c r="CN336" i="17"/>
  <c r="CN335" i="17"/>
  <c r="CN334" i="17"/>
  <c r="CP333" i="17"/>
  <c r="CM337" i="17"/>
  <c r="CO336" i="17"/>
  <c r="CM336" i="17"/>
  <c r="CO335" i="17"/>
  <c r="CM335" i="17"/>
  <c r="CO334" i="17"/>
  <c r="CM334" i="17"/>
  <c r="CO333" i="17"/>
  <c r="CM333" i="17"/>
  <c r="CH334" i="17"/>
  <c r="CG336" i="17"/>
  <c r="CE335" i="17"/>
  <c r="CG334" i="17"/>
  <c r="CH337" i="17"/>
  <c r="CH336" i="17"/>
  <c r="CH335" i="17"/>
  <c r="CH333" i="17"/>
  <c r="CG337" i="17"/>
  <c r="CE336" i="17"/>
  <c r="CG335" i="17"/>
  <c r="CE334" i="17"/>
  <c r="CF334" i="17"/>
  <c r="CG333" i="17"/>
  <c r="CF337" i="17"/>
  <c r="CF336" i="17"/>
  <c r="CF335" i="17"/>
  <c r="CF333" i="17"/>
  <c r="CE333" i="17"/>
  <c r="CL334" i="17"/>
  <c r="CL336" i="17"/>
  <c r="CL335" i="17"/>
  <c r="CL333" i="17"/>
  <c r="CI333" i="17"/>
  <c r="CJ334" i="17"/>
  <c r="CI336" i="17"/>
  <c r="CK335" i="17"/>
  <c r="CI334" i="17"/>
  <c r="CJ336" i="17"/>
  <c r="CJ335" i="17"/>
  <c r="CJ333" i="17"/>
  <c r="CK336" i="17"/>
  <c r="CI335" i="17"/>
  <c r="CK334" i="17"/>
  <c r="CK333" i="17"/>
  <c r="AT240" i="2"/>
  <c r="W81" i="6"/>
  <c r="G376" i="7"/>
  <c r="G378" i="7" s="1"/>
  <c r="G390" i="7" s="1"/>
  <c r="AV208" i="2"/>
  <c r="K73" i="6"/>
  <c r="AK71" i="6"/>
  <c r="W61" i="6"/>
  <c r="AB36" i="7"/>
  <c r="AB37" i="7" s="1"/>
  <c r="M71" i="6"/>
  <c r="Q229" i="7"/>
  <c r="R229" i="7"/>
  <c r="AI73" i="6"/>
  <c r="AO85" i="6"/>
  <c r="AC85" i="6"/>
  <c r="Q85" i="6"/>
  <c r="K61" i="6"/>
  <c r="Q61" i="6"/>
  <c r="AI61" i="6"/>
  <c r="AV71" i="6"/>
  <c r="X71" i="6"/>
  <c r="AU61" i="6"/>
  <c r="BA61" i="6"/>
  <c r="AW71" i="6"/>
  <c r="L96" i="6"/>
  <c r="AC81" i="6"/>
  <c r="R89" i="6"/>
  <c r="Y67" i="6"/>
  <c r="AE96" i="6"/>
  <c r="S96" i="6"/>
  <c r="S229" i="7"/>
  <c r="W85" i="6"/>
  <c r="AC61" i="6"/>
  <c r="AU85" i="6"/>
  <c r="BB71" i="6"/>
  <c r="AI85" i="6"/>
  <c r="BA85" i="6"/>
  <c r="AU81" i="6"/>
  <c r="M67" i="6"/>
  <c r="AJ67" i="6"/>
  <c r="R96" i="6"/>
  <c r="P229" i="7"/>
  <c r="E18" i="6"/>
  <c r="J18" i="6" s="1"/>
  <c r="H187" i="7"/>
  <c r="G183" i="7"/>
  <c r="G195" i="7" s="1"/>
  <c r="J187" i="7"/>
  <c r="G355" i="7"/>
  <c r="G367" i="7" s="1"/>
  <c r="AA107" i="8"/>
  <c r="I186" i="7"/>
  <c r="H183" i="7"/>
  <c r="H195" i="7" s="1"/>
  <c r="H186" i="7"/>
  <c r="H192" i="7"/>
  <c r="AA48" i="6"/>
  <c r="AA97" i="6" s="1"/>
  <c r="L71" i="6"/>
  <c r="Q18" i="6"/>
  <c r="V18" i="6" s="1"/>
  <c r="V67" i="6" s="1"/>
  <c r="P47" i="6"/>
  <c r="P96" i="6" s="1"/>
  <c r="O48" i="6"/>
  <c r="O97" i="6" s="1"/>
  <c r="AD22" i="6"/>
  <c r="AD71" i="6" s="1"/>
  <c r="P30" i="6"/>
  <c r="P79" i="6" s="1"/>
  <c r="AC18" i="6"/>
  <c r="AH18" i="6" s="1"/>
  <c r="AH67" i="6" s="1"/>
  <c r="S22" i="6"/>
  <c r="S71" i="6" s="1"/>
  <c r="U79" i="6"/>
  <c r="J783" i="7"/>
  <c r="J784" i="7" s="1"/>
  <c r="J795" i="7"/>
  <c r="J796" i="7" s="1"/>
  <c r="K783" i="7"/>
  <c r="K784" i="7" s="1"/>
  <c r="K795" i="7"/>
  <c r="K796" i="7" s="1"/>
  <c r="G388" i="7"/>
  <c r="H383" i="7"/>
  <c r="H460" i="7"/>
  <c r="H389" i="7"/>
  <c r="I360" i="7"/>
  <c r="I366" i="7"/>
  <c r="K460" i="7"/>
  <c r="K383" i="7"/>
  <c r="K389" i="7"/>
  <c r="J362" i="7"/>
  <c r="J368" i="7"/>
  <c r="G675" i="7"/>
  <c r="G665" i="7"/>
  <c r="H367" i="7"/>
  <c r="K382" i="7"/>
  <c r="J388" i="7"/>
  <c r="J459" i="7"/>
  <c r="G458" i="7"/>
  <c r="G387" i="7"/>
  <c r="Y107" i="8"/>
  <c r="AB33" i="6"/>
  <c r="AB82" i="6" s="1"/>
  <c r="J675" i="7"/>
  <c r="J665" i="7"/>
  <c r="H638" i="7"/>
  <c r="H629" i="7"/>
  <c r="I458" i="7"/>
  <c r="I387" i="7"/>
  <c r="I381" i="7"/>
  <c r="H675" i="7"/>
  <c r="H665" i="7"/>
  <c r="K640" i="7"/>
  <c r="K632" i="7"/>
  <c r="I675" i="7"/>
  <c r="I665" i="7"/>
  <c r="H459" i="7"/>
  <c r="H388" i="7"/>
  <c r="K388" i="7"/>
  <c r="K459" i="7"/>
  <c r="J375" i="7"/>
  <c r="J237" i="8" s="1"/>
  <c r="J183" i="7"/>
  <c r="J354" i="7"/>
  <c r="J360" i="7" s="1"/>
  <c r="J186" i="7"/>
  <c r="J192" i="7"/>
  <c r="H381" i="7"/>
  <c r="H387" i="7"/>
  <c r="H378" i="7"/>
  <c r="H458" i="7"/>
  <c r="I368" i="7"/>
  <c r="I362" i="7"/>
  <c r="G460" i="7"/>
  <c r="G389" i="7"/>
  <c r="I783" i="7"/>
  <c r="I784" i="7" s="1"/>
  <c r="I795" i="7"/>
  <c r="I796" i="7" s="1"/>
  <c r="K367" i="7"/>
  <c r="K361" i="7"/>
  <c r="AB47" i="6"/>
  <c r="AB96" i="6" s="1"/>
  <c r="AG77" i="6"/>
  <c r="J640" i="7"/>
  <c r="J632" i="7"/>
  <c r="H368" i="7"/>
  <c r="H362" i="7"/>
  <c r="H783" i="7"/>
  <c r="H784" i="7" s="1"/>
  <c r="G640" i="7"/>
  <c r="G632" i="7"/>
  <c r="G783" i="7"/>
  <c r="G784" i="7" s="1"/>
  <c r="G795" i="7"/>
  <c r="G796" i="7" s="1"/>
  <c r="I195" i="7"/>
  <c r="K368" i="7"/>
  <c r="K362" i="7"/>
  <c r="J460" i="7"/>
  <c r="J383" i="7"/>
  <c r="J389" i="7"/>
  <c r="H357" i="7"/>
  <c r="H360" i="7"/>
  <c r="H366" i="7"/>
  <c r="I193" i="7"/>
  <c r="I187" i="7"/>
  <c r="I376" i="7"/>
  <c r="I355" i="7"/>
  <c r="J361" i="7" s="1"/>
  <c r="I389" i="7"/>
  <c r="I383" i="7"/>
  <c r="I460" i="7"/>
  <c r="K675" i="7"/>
  <c r="K665" i="7"/>
  <c r="K183" i="7"/>
  <c r="L189" i="7" s="1"/>
  <c r="K186" i="7"/>
  <c r="K375" i="7"/>
  <c r="L381" i="7" s="1"/>
  <c r="K192" i="7"/>
  <c r="K354" i="7"/>
  <c r="L360" i="7" s="1"/>
  <c r="I638" i="7"/>
  <c r="I629" i="7"/>
  <c r="J367" i="7"/>
  <c r="G366" i="7"/>
  <c r="S795" i="7"/>
  <c r="S796" i="7" s="1"/>
  <c r="AC723" i="7"/>
  <c r="AC779" i="7"/>
  <c r="EH40" i="6"/>
  <c r="EH89" i="6" s="1"/>
  <c r="V629" i="7"/>
  <c r="V632" i="7" s="1"/>
  <c r="X629" i="7"/>
  <c r="X640" i="7" s="1"/>
  <c r="CS92" i="17"/>
  <c r="AD258" i="7"/>
  <c r="AE258" i="7" s="1"/>
  <c r="AE779" i="7" s="1"/>
  <c r="S784" i="7"/>
  <c r="J15" i="21"/>
  <c r="J24" i="21" s="1"/>
  <c r="CS94" i="17"/>
  <c r="M795" i="7"/>
  <c r="M796" i="7" s="1"/>
  <c r="E15" i="21"/>
  <c r="E21" i="21" s="1"/>
  <c r="H15" i="21"/>
  <c r="H24" i="21" s="1"/>
  <c r="BA116" i="2"/>
  <c r="G116" i="2"/>
  <c r="O123" i="2"/>
  <c r="K123" i="2"/>
  <c r="K112" i="20"/>
  <c r="AB112" i="20" s="1"/>
  <c r="BA123" i="2"/>
  <c r="O112" i="20"/>
  <c r="AF112" i="20" s="1"/>
  <c r="BE123" i="2"/>
  <c r="L15" i="21"/>
  <c r="L19" i="21" s="1"/>
  <c r="BK70" i="17"/>
  <c r="BK103" i="17" s="1"/>
  <c r="BK104" i="17" s="1"/>
  <c r="E263" i="2"/>
  <c r="AV264" i="2" s="1"/>
  <c r="AC375" i="12"/>
  <c r="CU308" i="17"/>
  <c r="CV306" i="17"/>
  <c r="CT308" i="17"/>
  <c r="CQ337" i="17" s="1"/>
  <c r="C260" i="2"/>
  <c r="AT260" i="2" s="1"/>
  <c r="L783" i="7"/>
  <c r="L784" i="7" s="1"/>
  <c r="V461" i="12"/>
  <c r="V468" i="12" s="1"/>
  <c r="L795" i="7"/>
  <c r="L796" i="7" s="1"/>
  <c r="P629" i="7"/>
  <c r="P640" i="7" s="1"/>
  <c r="O783" i="7"/>
  <c r="O784" i="7" s="1"/>
  <c r="N629" i="7"/>
  <c r="N640" i="7" s="1"/>
  <c r="G243" i="2"/>
  <c r="AX243" i="2" s="1"/>
  <c r="EA32" i="6"/>
  <c r="EA81" i="6" s="1"/>
  <c r="Y465" i="12"/>
  <c r="Y472" i="12" s="1"/>
  <c r="F201" i="2"/>
  <c r="K376" i="20" s="1"/>
  <c r="AB376" i="20" s="1"/>
  <c r="EK73" i="6"/>
  <c r="AC740" i="7"/>
  <c r="AC742" i="7" s="1"/>
  <c r="E210" i="2" s="1"/>
  <c r="AV210" i="2" s="1"/>
  <c r="M15" i="21"/>
  <c r="M21" i="21" s="1"/>
  <c r="F202" i="2"/>
  <c r="J377" i="20" s="1"/>
  <c r="AA377" i="20" s="1"/>
  <c r="Q273" i="7"/>
  <c r="N118" i="8"/>
  <c r="N125" i="8" s="1"/>
  <c r="M125" i="8"/>
  <c r="U784" i="7"/>
  <c r="Z465" i="12"/>
  <c r="Z472" i="12" s="1"/>
  <c r="C241" i="2"/>
  <c r="AT241" i="2" s="1"/>
  <c r="AA784" i="7"/>
  <c r="Q15" i="21"/>
  <c r="Q24" i="21" s="1"/>
  <c r="V465" i="12"/>
  <c r="V472" i="12" s="1"/>
  <c r="Y784" i="7"/>
  <c r="AA465" i="12"/>
  <c r="AA472" i="12" s="1"/>
  <c r="S15" i="21"/>
  <c r="S21" i="21" s="1"/>
  <c r="AA795" i="7"/>
  <c r="AA796" i="7" s="1"/>
  <c r="O795" i="7"/>
  <c r="O796" i="7" s="1"/>
  <c r="Z461" i="12"/>
  <c r="Z468" i="12" s="1"/>
  <c r="AW222" i="2"/>
  <c r="V795" i="7"/>
  <c r="V796" i="7" s="1"/>
  <c r="P784" i="7"/>
  <c r="Q784" i="7"/>
  <c r="K482" i="20"/>
  <c r="AB482" i="20" s="1"/>
  <c r="AW246" i="2"/>
  <c r="AD380" i="12"/>
  <c r="F275" i="2" s="1"/>
  <c r="AW275" i="2" s="1"/>
  <c r="P661" i="7"/>
  <c r="P665" i="7" s="1"/>
  <c r="K419" i="20"/>
  <c r="AB419" i="20" s="1"/>
  <c r="J482" i="20"/>
  <c r="AA482" i="20" s="1"/>
  <c r="AB629" i="7"/>
  <c r="AB787" i="7"/>
  <c r="V784" i="7"/>
  <c r="N795" i="7"/>
  <c r="N796" i="7" s="1"/>
  <c r="Y461" i="12"/>
  <c r="Y468" i="12" s="1"/>
  <c r="L629" i="7"/>
  <c r="L632" i="7" s="1"/>
  <c r="AE627" i="7"/>
  <c r="K417" i="20"/>
  <c r="AB417" i="20" s="1"/>
  <c r="EK32" i="6"/>
  <c r="EK81" i="6" s="1"/>
  <c r="N15" i="21"/>
  <c r="N21" i="21" s="1"/>
  <c r="EB47" i="6"/>
  <c r="EB96" i="6" s="1"/>
  <c r="DB293" i="17"/>
  <c r="DB327" i="17" s="1"/>
  <c r="F243" i="2"/>
  <c r="K485" i="20" s="1"/>
  <c r="AB485" i="20" s="1"/>
  <c r="J199" i="20"/>
  <c r="AA199" i="20" s="1"/>
  <c r="E276" i="2"/>
  <c r="F247" i="20" s="1"/>
  <c r="W247" i="20" s="1"/>
  <c r="O110" i="20"/>
  <c r="AF110" i="20" s="1"/>
  <c r="J198" i="20"/>
  <c r="AA198" i="20" s="1"/>
  <c r="K198" i="20"/>
  <c r="AB198" i="20" s="1"/>
  <c r="AW150" i="2"/>
  <c r="J200" i="20"/>
  <c r="AA200" i="20" s="1"/>
  <c r="CV47" i="6"/>
  <c r="CV96" i="6" s="1"/>
  <c r="R795" i="7"/>
  <c r="R796" i="7" s="1"/>
  <c r="U795" i="7"/>
  <c r="U796" i="7" s="1"/>
  <c r="K200" i="20"/>
  <c r="AB200" i="20" s="1"/>
  <c r="Z795" i="7"/>
  <c r="Z796" i="7" s="1"/>
  <c r="F207" i="2"/>
  <c r="K382" i="20" s="1"/>
  <c r="AB382" i="20" s="1"/>
  <c r="EI40" i="6"/>
  <c r="EI89" i="6" s="1"/>
  <c r="R15" i="21"/>
  <c r="R21" i="21" s="1"/>
  <c r="Q795" i="7"/>
  <c r="Q796" i="7" s="1"/>
  <c r="R629" i="7"/>
  <c r="G244" i="2"/>
  <c r="AX244" i="2" s="1"/>
  <c r="S147" i="8"/>
  <c r="S161" i="8" s="1"/>
  <c r="X465" i="12"/>
  <c r="X472" i="12" s="1"/>
  <c r="I15" i="21"/>
  <c r="I19" i="21" s="1"/>
  <c r="AD627" i="7"/>
  <c r="T629" i="7"/>
  <c r="AE438" i="7"/>
  <c r="F208" i="2"/>
  <c r="AW208" i="2" s="1"/>
  <c r="R661" i="7"/>
  <c r="R665" i="7" s="1"/>
  <c r="M629" i="7"/>
  <c r="M632" i="7" s="1"/>
  <c r="F233" i="2"/>
  <c r="AW233" i="2" s="1"/>
  <c r="F177" i="2"/>
  <c r="AW177" i="2" s="1"/>
  <c r="AW216" i="2"/>
  <c r="J418" i="20"/>
  <c r="AA418" i="20" s="1"/>
  <c r="K24" i="21"/>
  <c r="E275" i="2"/>
  <c r="AV275" i="2" s="1"/>
  <c r="EV74" i="6"/>
  <c r="BM81" i="6"/>
  <c r="AH64" i="11"/>
  <c r="EV68" i="6"/>
  <c r="K483" i="20"/>
  <c r="AB483" i="20" s="1"/>
  <c r="K540" i="20"/>
  <c r="AB540" i="20" s="1"/>
  <c r="AW244" i="2"/>
  <c r="CF64" i="11"/>
  <c r="EW32" i="6"/>
  <c r="AE780" i="7"/>
  <c r="AD379" i="12"/>
  <c r="F273" i="2" s="1"/>
  <c r="AW273" i="2" s="1"/>
  <c r="AA229" i="7"/>
  <c r="P273" i="7"/>
  <c r="R784" i="7"/>
  <c r="W795" i="7"/>
  <c r="W796" i="7" s="1"/>
  <c r="X661" i="7"/>
  <c r="X686" i="7" s="1"/>
  <c r="AD381" i="12"/>
  <c r="F274" i="2" s="1"/>
  <c r="AW274" i="2" s="1"/>
  <c r="AE770" i="7"/>
  <c r="EW16" i="6"/>
  <c r="AE692" i="7"/>
  <c r="F231" i="2"/>
  <c r="AW231" i="2" s="1"/>
  <c r="Z661" i="7"/>
  <c r="Z686" i="7" s="1"/>
  <c r="EU28" i="6"/>
  <c r="AE729" i="7"/>
  <c r="W461" i="12"/>
  <c r="W468" i="12" s="1"/>
  <c r="AE708" i="7"/>
  <c r="ET28" i="6"/>
  <c r="AE730" i="7"/>
  <c r="EU32" i="6"/>
  <c r="K412" i="20"/>
  <c r="AB412" i="20" s="1"/>
  <c r="M661" i="7"/>
  <c r="M675" i="7" s="1"/>
  <c r="AC780" i="7"/>
  <c r="T784" i="7"/>
  <c r="ET24" i="6"/>
  <c r="AE706" i="7"/>
  <c r="K418" i="20"/>
  <c r="AB418" i="20" s="1"/>
  <c r="AE23" i="8"/>
  <c r="AE740" i="7"/>
  <c r="EU40" i="6"/>
  <c r="C258" i="2"/>
  <c r="K19" i="21"/>
  <c r="P15" i="21"/>
  <c r="P19" i="21" s="1"/>
  <c r="AE695" i="7"/>
  <c r="EV41" i="6"/>
  <c r="EV90" i="6" s="1"/>
  <c r="AE255" i="7"/>
  <c r="G215" i="2" s="1"/>
  <c r="AE696" i="7"/>
  <c r="EV42" i="6"/>
  <c r="EV91" i="6" s="1"/>
  <c r="AE731" i="7"/>
  <c r="EU33" i="6"/>
  <c r="AE22" i="8"/>
  <c r="AE752" i="7"/>
  <c r="AE756" i="7" s="1"/>
  <c r="EV20" i="6"/>
  <c r="EV18" i="6" s="1"/>
  <c r="DB294" i="17"/>
  <c r="DB292" i="17"/>
  <c r="AD382" i="12"/>
  <c r="F276" i="2" s="1"/>
  <c r="AW276" i="2" s="1"/>
  <c r="U229" i="7"/>
  <c r="EU35" i="6"/>
  <c r="AE396" i="7"/>
  <c r="AE771" i="7"/>
  <c r="EW18" i="6"/>
  <c r="AE140" i="7"/>
  <c r="EU10" i="6"/>
  <c r="G185" i="2"/>
  <c r="AX185" i="2" s="1"/>
  <c r="X784" i="7"/>
  <c r="W465" i="12"/>
  <c r="W472" i="12" s="1"/>
  <c r="EN10" i="6"/>
  <c r="EN59" i="6" s="1"/>
  <c r="AE46" i="7"/>
  <c r="T20" i="21"/>
  <c r="EV75" i="6"/>
  <c r="AE168" i="7"/>
  <c r="L110" i="20"/>
  <c r="AC110" i="20" s="1"/>
  <c r="BB121" i="2"/>
  <c r="AE748" i="7"/>
  <c r="AE657" i="7"/>
  <c r="EV32" i="6"/>
  <c r="EV81" i="6" s="1"/>
  <c r="AE714" i="7"/>
  <c r="ET33" i="6"/>
  <c r="AE329" i="7"/>
  <c r="AE330" i="7" s="1"/>
  <c r="AD59" i="8"/>
  <c r="AE31" i="8"/>
  <c r="AE59" i="8" s="1"/>
  <c r="AE741" i="7"/>
  <c r="EU45" i="6"/>
  <c r="O15" i="21"/>
  <c r="O21" i="21" s="1"/>
  <c r="AE713" i="7"/>
  <c r="ET32" i="6"/>
  <c r="AE302" i="7"/>
  <c r="AE777" i="7"/>
  <c r="EW30" i="6"/>
  <c r="EE40" i="6"/>
  <c r="EE89" i="6" s="1"/>
  <c r="F176" i="2"/>
  <c r="AW176" i="2" s="1"/>
  <c r="AC302" i="7"/>
  <c r="AC310" i="7" s="1"/>
  <c r="U661" i="7"/>
  <c r="U686" i="7" s="1"/>
  <c r="EU9" i="6"/>
  <c r="H425" i="20"/>
  <c r="Y425" i="20" s="1"/>
  <c r="AV225" i="2"/>
  <c r="I425" i="20"/>
  <c r="Z425" i="20" s="1"/>
  <c r="EP75" i="6"/>
  <c r="EU30" i="6"/>
  <c r="EW17" i="6"/>
  <c r="AE769" i="7"/>
  <c r="AC51" i="7"/>
  <c r="E223" i="2"/>
  <c r="N783" i="7"/>
  <c r="N784" i="7" s="1"/>
  <c r="W273" i="7"/>
  <c r="EP43" i="6"/>
  <c r="EP40" i="6" s="1"/>
  <c r="AE484" i="7"/>
  <c r="EV43" i="6" s="1"/>
  <c r="ET40" i="6"/>
  <c r="AE723" i="7"/>
  <c r="DB291" i="17"/>
  <c r="K110" i="20"/>
  <c r="AB110" i="20" s="1"/>
  <c r="BA121" i="2"/>
  <c r="EV24" i="6"/>
  <c r="AU105" i="2"/>
  <c r="O24" i="12"/>
  <c r="AW60" i="11"/>
  <c r="EV38" i="6"/>
  <c r="EV87" i="6" s="1"/>
  <c r="AU60" i="11"/>
  <c r="D301" i="2"/>
  <c r="F278" i="20" s="1"/>
  <c r="W278" i="20" s="1"/>
  <c r="C108" i="2"/>
  <c r="AT108" i="2" s="1"/>
  <c r="D292" i="2"/>
  <c r="E292" i="2" s="1"/>
  <c r="F231" i="20" s="1"/>
  <c r="W231" i="20" s="1"/>
  <c r="BQ64" i="11"/>
  <c r="AU131" i="2"/>
  <c r="AV217" i="2"/>
  <c r="J486" i="20"/>
  <c r="AA486" i="20" s="1"/>
  <c r="AW137" i="2"/>
  <c r="J175" i="20"/>
  <c r="AA175" i="20" s="1"/>
  <c r="K175" i="20"/>
  <c r="AB175" i="20" s="1"/>
  <c r="K486" i="20"/>
  <c r="AB486" i="20" s="1"/>
  <c r="G218" i="2"/>
  <c r="AX218" i="2" s="1"/>
  <c r="D103" i="2"/>
  <c r="AU103" i="2" s="1"/>
  <c r="H190" i="20"/>
  <c r="Y190" i="20" s="1"/>
  <c r="G504" i="20"/>
  <c r="X504" i="20" s="1"/>
  <c r="I182" i="20"/>
  <c r="Z182" i="20" s="1"/>
  <c r="AV144" i="2"/>
  <c r="G506" i="20"/>
  <c r="X506" i="20" s="1"/>
  <c r="H504" i="20"/>
  <c r="Y504" i="20" s="1"/>
  <c r="H182" i="20"/>
  <c r="Y182" i="20" s="1"/>
  <c r="AV137" i="2"/>
  <c r="I486" i="20"/>
  <c r="Z486" i="20" s="1"/>
  <c r="I175" i="20"/>
  <c r="Z175" i="20" s="1"/>
  <c r="H486" i="20"/>
  <c r="Y486" i="20" s="1"/>
  <c r="H175" i="20"/>
  <c r="Y175" i="20" s="1"/>
  <c r="AC408" i="12"/>
  <c r="AC420" i="12" s="1"/>
  <c r="E141" i="2"/>
  <c r="AV141" i="2" s="1"/>
  <c r="AV252" i="2"/>
  <c r="H540" i="20"/>
  <c r="Y540" i="20" s="1"/>
  <c r="AV146" i="2"/>
  <c r="H186" i="20"/>
  <c r="Y186" i="20" s="1"/>
  <c r="H505" i="20"/>
  <c r="Y505" i="20" s="1"/>
  <c r="G505" i="20"/>
  <c r="X505" i="20" s="1"/>
  <c r="I186" i="20"/>
  <c r="Z186" i="20" s="1"/>
  <c r="C128" i="2"/>
  <c r="AT128" i="2" s="1"/>
  <c r="EP94" i="6"/>
  <c r="EV94" i="6"/>
  <c r="EM56" i="6"/>
  <c r="ES56" i="6"/>
  <c r="EP93" i="6"/>
  <c r="EV93" i="6"/>
  <c r="EP77" i="6"/>
  <c r="EV77" i="6"/>
  <c r="EP59" i="6"/>
  <c r="EV59" i="6"/>
  <c r="EP79" i="6"/>
  <c r="EV79" i="6"/>
  <c r="EP70" i="6"/>
  <c r="EV70" i="6"/>
  <c r="EP58" i="6"/>
  <c r="EV58" i="6"/>
  <c r="EP82" i="6"/>
  <c r="EV82" i="6"/>
  <c r="EP91" i="6"/>
  <c r="EP84" i="6"/>
  <c r="EV84" i="6"/>
  <c r="EP81" i="6"/>
  <c r="EM55" i="6"/>
  <c r="ES55" i="6"/>
  <c r="DZ58" i="11"/>
  <c r="DV117" i="11"/>
  <c r="EA117" i="11"/>
  <c r="DV64" i="11"/>
  <c r="AD224" i="12" s="1"/>
  <c r="AD211" i="12" s="1"/>
  <c r="F141" i="2" s="1"/>
  <c r="AW141" i="2" s="1"/>
  <c r="DX64" i="11"/>
  <c r="DV118" i="11"/>
  <c r="EA118" i="11"/>
  <c r="DZ8" i="11"/>
  <c r="EA8" i="11" s="1"/>
  <c r="AE166" i="12"/>
  <c r="CU64" i="11"/>
  <c r="DB48" i="17"/>
  <c r="DB131" i="17"/>
  <c r="DB235" i="17"/>
  <c r="DB178" i="17"/>
  <c r="DB78" i="17"/>
  <c r="DB181" i="17"/>
  <c r="DB238" i="17"/>
  <c r="DB29" i="17"/>
  <c r="V32" i="6"/>
  <c r="V81" i="6" s="1"/>
  <c r="CX29" i="17"/>
  <c r="DG6" i="17" s="1"/>
  <c r="BL64" i="11"/>
  <c r="Z170" i="12"/>
  <c r="C106" i="2" s="1"/>
  <c r="AT106" i="2" s="1"/>
  <c r="AE114" i="12"/>
  <c r="AE118" i="12" s="1"/>
  <c r="AT32" i="6"/>
  <c r="AT81" i="6" s="1"/>
  <c r="DJ71" i="6"/>
  <c r="CD60" i="11"/>
  <c r="N170" i="12"/>
  <c r="X64" i="11"/>
  <c r="BB64" i="11"/>
  <c r="CS71" i="6"/>
  <c r="BY81" i="6"/>
  <c r="CA71" i="6"/>
  <c r="BS81" i="6"/>
  <c r="CE65" i="11"/>
  <c r="V30" i="12" s="1"/>
  <c r="CF60" i="11"/>
  <c r="AB32" i="6"/>
  <c r="AB81" i="6" s="1"/>
  <c r="BT29" i="6"/>
  <c r="BT78" i="6" s="1"/>
  <c r="V24" i="12"/>
  <c r="CF71" i="6"/>
  <c r="DI81" i="6"/>
  <c r="M29" i="6"/>
  <c r="M78" i="6" s="1"/>
  <c r="BN71" i="6"/>
  <c r="DC81" i="6"/>
  <c r="CW81" i="6"/>
  <c r="CD32" i="6"/>
  <c r="CD81" i="6" s="1"/>
  <c r="DI65" i="11"/>
  <c r="DH65" i="11" s="1"/>
  <c r="DV71" i="6"/>
  <c r="I413" i="20"/>
  <c r="Z413" i="20" s="1"/>
  <c r="CE81" i="6"/>
  <c r="DJ60" i="11"/>
  <c r="CZ10" i="11"/>
  <c r="DO81" i="6"/>
  <c r="CX68" i="17"/>
  <c r="CX84" i="17" s="1"/>
  <c r="AE28" i="12"/>
  <c r="AE71" i="12"/>
  <c r="AE77" i="12" s="1"/>
  <c r="G19" i="21"/>
  <c r="U170" i="12"/>
  <c r="K22" i="6"/>
  <c r="DQ71" i="6"/>
  <c r="DV8" i="11"/>
  <c r="AE193" i="12"/>
  <c r="AE51" i="12"/>
  <c r="AE58" i="12" s="1"/>
  <c r="AE321" i="12"/>
  <c r="AE52" i="12"/>
  <c r="AE59" i="12" s="1"/>
  <c r="Z55" i="12"/>
  <c r="H413" i="20"/>
  <c r="Y413" i="20" s="1"/>
  <c r="DT32" i="6"/>
  <c r="DT81" i="6" s="1"/>
  <c r="T168" i="12"/>
  <c r="AW29" i="6"/>
  <c r="BC78" i="6" s="1"/>
  <c r="T661" i="7"/>
  <c r="T665" i="7" s="1"/>
  <c r="L661" i="7"/>
  <c r="L675" i="7" s="1"/>
  <c r="Q661" i="7"/>
  <c r="Q675" i="7" s="1"/>
  <c r="G24" i="21"/>
  <c r="CQ81" i="6"/>
  <c r="S64" i="11"/>
  <c r="S273" i="7"/>
  <c r="N661" i="7"/>
  <c r="N665" i="7" s="1"/>
  <c r="CK81" i="6"/>
  <c r="DE10" i="11"/>
  <c r="DQ29" i="6"/>
  <c r="DQ78" i="6" s="1"/>
  <c r="CY71" i="6"/>
  <c r="DW71" i="6"/>
  <c r="CL71" i="6"/>
  <c r="AD50" i="7"/>
  <c r="EP17" i="6" s="1"/>
  <c r="X273" i="7"/>
  <c r="CR71" i="6"/>
  <c r="BT71" i="6"/>
  <c r="CI60" i="11"/>
  <c r="K24" i="12"/>
  <c r="M273" i="7"/>
  <c r="AC60" i="11"/>
  <c r="BG64" i="11"/>
  <c r="AP60" i="11"/>
  <c r="AA137" i="12"/>
  <c r="DC24" i="11" s="1"/>
  <c r="AX282" i="17"/>
  <c r="AX295" i="17" s="1"/>
  <c r="AX297" i="17" s="1"/>
  <c r="W24" i="12"/>
  <c r="BC71" i="6"/>
  <c r="Y14" i="11"/>
  <c r="Y16" i="11" s="1"/>
  <c r="W168" i="12"/>
  <c r="AA60" i="11"/>
  <c r="AE71" i="6"/>
  <c r="CY29" i="6"/>
  <c r="CY34" i="6" s="1"/>
  <c r="CS29" i="6"/>
  <c r="CQ29" i="6" s="1"/>
  <c r="F21" i="21"/>
  <c r="F22" i="21" s="1"/>
  <c r="F60" i="21" s="1"/>
  <c r="F82" i="21" s="1"/>
  <c r="DP90" i="11"/>
  <c r="AD248" i="12"/>
  <c r="AD255" i="12" s="1"/>
  <c r="E110" i="2"/>
  <c r="AV110" i="2" s="1"/>
  <c r="F19" i="21"/>
  <c r="DH60" i="11"/>
  <c r="AB24" i="12"/>
  <c r="AQ65" i="11"/>
  <c r="AQ76" i="11" s="1"/>
  <c r="AR76" i="11" s="1"/>
  <c r="BD71" i="6"/>
  <c r="DL71" i="6"/>
  <c r="CP64" i="11"/>
  <c r="AR60" i="11"/>
  <c r="Z168" i="12"/>
  <c r="CX60" i="11"/>
  <c r="DF71" i="6"/>
  <c r="R65" i="11"/>
  <c r="S65" i="11" s="1"/>
  <c r="H170" i="12"/>
  <c r="CA10" i="11"/>
  <c r="DL29" i="6"/>
  <c r="DL78" i="6" s="1"/>
  <c r="AI14" i="11"/>
  <c r="AL14" i="11" s="1"/>
  <c r="S60" i="11"/>
  <c r="DK124" i="11"/>
  <c r="DK125" i="11" s="1"/>
  <c r="DL65" i="11"/>
  <c r="DG65" i="11"/>
  <c r="N11" i="23"/>
  <c r="Q371" i="12"/>
  <c r="BU29" i="6"/>
  <c r="CA78" i="6" s="1"/>
  <c r="CG14" i="11"/>
  <c r="CH14" i="11" s="1"/>
  <c r="AE12" i="11"/>
  <c r="Z12" i="11"/>
  <c r="DU81" i="6"/>
  <c r="CZ60" i="11"/>
  <c r="V60" i="11"/>
  <c r="AB65" i="11"/>
  <c r="AC65" i="11" s="1"/>
  <c r="I168" i="12"/>
  <c r="DE64" i="11"/>
  <c r="BY22" i="6"/>
  <c r="AX285" i="17"/>
  <c r="AX298" i="17" s="1"/>
  <c r="AX300" i="17" s="1"/>
  <c r="CS60" i="11"/>
  <c r="CY65" i="11"/>
  <c r="Z30" i="12" s="1"/>
  <c r="I24" i="12"/>
  <c r="BV64" i="11"/>
  <c r="CG71" i="6"/>
  <c r="BY61" i="6"/>
  <c r="N168" i="12"/>
  <c r="AC64" i="11"/>
  <c r="AF71" i="6"/>
  <c r="DS86" i="11"/>
  <c r="DI22" i="6"/>
  <c r="DE71" i="6"/>
  <c r="DF124" i="11"/>
  <c r="DF125" i="11" s="1"/>
  <c r="CJ65" i="11"/>
  <c r="CK65" i="11" s="1"/>
  <c r="DA73" i="11"/>
  <c r="DB65" i="11"/>
  <c r="M11" i="11"/>
  <c r="H73" i="12" s="1"/>
  <c r="BX12" i="11"/>
  <c r="M168" i="12"/>
  <c r="BK65" i="11"/>
  <c r="R30" i="12" s="1"/>
  <c r="DG12" i="11"/>
  <c r="AR71" i="6"/>
  <c r="AI22" i="6"/>
  <c r="W65" i="11"/>
  <c r="W76" i="11" s="1"/>
  <c r="X76" i="11" s="1"/>
  <c r="X60" i="11"/>
  <c r="J24" i="12"/>
  <c r="DF14" i="11"/>
  <c r="DF16" i="11" s="1"/>
  <c r="DP71" i="6"/>
  <c r="BU71" i="6"/>
  <c r="CT12" i="11"/>
  <c r="CT11" i="11" s="1"/>
  <c r="Y73" i="12" s="1"/>
  <c r="BJ60" i="11"/>
  <c r="DO22" i="6"/>
  <c r="AQ29" i="6"/>
  <c r="AQ78" i="6" s="1"/>
  <c r="BB29" i="6"/>
  <c r="AG333" i="17"/>
  <c r="BL60" i="11"/>
  <c r="R24" i="12"/>
  <c r="CR65" i="11"/>
  <c r="BA333" i="17"/>
  <c r="BH71" i="6"/>
  <c r="BE333" i="17"/>
  <c r="U333" i="17"/>
  <c r="W170" i="12"/>
  <c r="R71" i="6"/>
  <c r="CZ29" i="6"/>
  <c r="DF78" i="6" s="1"/>
  <c r="U137" i="12"/>
  <c r="BY24" i="11" s="1"/>
  <c r="BX31" i="6"/>
  <c r="BX80" i="6" s="1"/>
  <c r="AL71" i="6"/>
  <c r="AW333" i="17"/>
  <c r="AK333" i="17"/>
  <c r="CB71" i="6"/>
  <c r="J540" i="20"/>
  <c r="AA540" i="20" s="1"/>
  <c r="AC333" i="17"/>
  <c r="AX71" i="6"/>
  <c r="BV71" i="6"/>
  <c r="AV65" i="11"/>
  <c r="AW65" i="11" s="1"/>
  <c r="BD12" i="11"/>
  <c r="AW64" i="11"/>
  <c r="CM71" i="6"/>
  <c r="AP29" i="6"/>
  <c r="AP78" i="6" s="1"/>
  <c r="CQ96" i="11"/>
  <c r="CV96" i="11" s="1"/>
  <c r="DR29" i="6"/>
  <c r="CT71" i="6"/>
  <c r="DC73" i="6"/>
  <c r="BC14" i="11"/>
  <c r="BF14" i="11" s="1"/>
  <c r="CK22" i="6"/>
  <c r="BM22" i="6"/>
  <c r="X29" i="6"/>
  <c r="X34" i="6" s="1"/>
  <c r="BZ65" i="11"/>
  <c r="BY65" i="11" s="1"/>
  <c r="Y24" i="12"/>
  <c r="S168" i="12"/>
  <c r="H440" i="20"/>
  <c r="Y440" i="20" s="1"/>
  <c r="AV234" i="2"/>
  <c r="H438" i="20"/>
  <c r="Y438" i="20" s="1"/>
  <c r="I456" i="20"/>
  <c r="I462" i="20" s="1"/>
  <c r="K450" i="20"/>
  <c r="K456" i="20" s="1"/>
  <c r="K462" i="20" s="1"/>
  <c r="H439" i="20"/>
  <c r="Y439" i="20" s="1"/>
  <c r="AV235" i="2"/>
  <c r="F255" i="2"/>
  <c r="AW255" i="2" s="1"/>
  <c r="F254" i="2"/>
  <c r="AW254" i="2" s="1"/>
  <c r="F239" i="2"/>
  <c r="F238" i="2"/>
  <c r="F256" i="2"/>
  <c r="AW256" i="2" s="1"/>
  <c r="F253" i="2"/>
  <c r="AW253" i="2" s="1"/>
  <c r="G100" i="2"/>
  <c r="AQ456" i="20"/>
  <c r="AQ462" i="20" s="1"/>
  <c r="AS450" i="20"/>
  <c r="AS456" i="20" s="1"/>
  <c r="AS462" i="20" s="1"/>
  <c r="AB170" i="12"/>
  <c r="D106" i="2" s="1"/>
  <c r="AU106" i="2" s="1"/>
  <c r="DJ64" i="11"/>
  <c r="AC435" i="7"/>
  <c r="AS14" i="11"/>
  <c r="AV14" i="11" s="1"/>
  <c r="AO22" i="6"/>
  <c r="CH71" i="6"/>
  <c r="Z71" i="6"/>
  <c r="CX29" i="6"/>
  <c r="CX34" i="6" s="1"/>
  <c r="AV29" i="6"/>
  <c r="W22" i="6"/>
  <c r="Q24" i="12"/>
  <c r="CT65" i="11"/>
  <c r="CU65" i="11" s="1"/>
  <c r="CU60" i="11"/>
  <c r="S24" i="12"/>
  <c r="BI12" i="11"/>
  <c r="DE60" i="11"/>
  <c r="DD65" i="11"/>
  <c r="DC65" i="11" s="1"/>
  <c r="J14" i="11"/>
  <c r="J16" i="11" s="1"/>
  <c r="AA254" i="8"/>
  <c r="U273" i="7"/>
  <c r="AD748" i="7"/>
  <c r="U629" i="7"/>
  <c r="U640" i="7" s="1"/>
  <c r="W254" i="8"/>
  <c r="S254" i="8"/>
  <c r="O254" i="8"/>
  <c r="K254" i="8"/>
  <c r="AA661" i="7"/>
  <c r="AA665" i="7" s="1"/>
  <c r="O273" i="7"/>
  <c r="AA273" i="7"/>
  <c r="Y273" i="7"/>
  <c r="Y629" i="7"/>
  <c r="Q629" i="7"/>
  <c r="Q632" i="7" s="1"/>
  <c r="AB719" i="7"/>
  <c r="N60" i="11"/>
  <c r="M65" i="11"/>
  <c r="M76" i="11" s="1"/>
  <c r="N76" i="11" s="1"/>
  <c r="L60" i="11"/>
  <c r="H168" i="12"/>
  <c r="CE61" i="6"/>
  <c r="BF116" i="2"/>
  <c r="P104" i="20"/>
  <c r="AG104" i="20" s="1"/>
  <c r="BB116" i="2"/>
  <c r="L104" i="20"/>
  <c r="AC104" i="20" s="1"/>
  <c r="AC73" i="6"/>
  <c r="DR71" i="6"/>
  <c r="DD71" i="6"/>
  <c r="BS22" i="6"/>
  <c r="N29" i="6"/>
  <c r="T78" i="6" s="1"/>
  <c r="CG29" i="6"/>
  <c r="CM78" i="6" s="1"/>
  <c r="BW14" i="11"/>
  <c r="BZ14" i="11" s="1"/>
  <c r="E288" i="2"/>
  <c r="CW22" i="6"/>
  <c r="AM60" i="11"/>
  <c r="BU12" i="11"/>
  <c r="BU11" i="11" s="1"/>
  <c r="T73" i="12" s="1"/>
  <c r="BG22" i="6"/>
  <c r="BG61" i="6"/>
  <c r="AA24" i="12"/>
  <c r="AA168" i="12"/>
  <c r="DX71" i="6"/>
  <c r="DU61" i="6"/>
  <c r="N12" i="11"/>
  <c r="BY73" i="6"/>
  <c r="DU22" i="6"/>
  <c r="CE22" i="6"/>
  <c r="CZ71" i="6"/>
  <c r="CN71" i="6"/>
  <c r="BP71" i="6"/>
  <c r="BD29" i="6"/>
  <c r="BJ78" i="6" s="1"/>
  <c r="T71" i="6"/>
  <c r="AW252" i="2"/>
  <c r="AD394" i="12"/>
  <c r="AD397" i="12" s="1"/>
  <c r="CY11" i="11"/>
  <c r="Z73" i="12" s="1"/>
  <c r="AK60" i="11"/>
  <c r="BE60" i="11"/>
  <c r="U24" i="12"/>
  <c r="AO12" i="11"/>
  <c r="AB55" i="12"/>
  <c r="CO65" i="11"/>
  <c r="X30" i="12" s="1"/>
  <c r="L55" i="12"/>
  <c r="BT60" i="11"/>
  <c r="AH10" i="11"/>
  <c r="CQ61" i="6"/>
  <c r="AU22" i="6"/>
  <c r="CW61" i="6"/>
  <c r="BA65" i="11"/>
  <c r="BA76" i="11" s="1"/>
  <c r="BB76" i="11" s="1"/>
  <c r="P24" i="12"/>
  <c r="X24" i="12"/>
  <c r="BV60" i="11"/>
  <c r="P12" i="11"/>
  <c r="CZ12" i="11"/>
  <c r="CQ73" i="6"/>
  <c r="CQ22" i="6"/>
  <c r="CK73" i="6"/>
  <c r="AX29" i="6"/>
  <c r="AX78" i="6" s="1"/>
  <c r="Z308" i="17"/>
  <c r="X333" i="17" s="1"/>
  <c r="DE29" i="6"/>
  <c r="O14" i="11"/>
  <c r="O16" i="11" s="1"/>
  <c r="BP12" i="11"/>
  <c r="S139" i="12" s="1"/>
  <c r="BO26" i="11" s="1"/>
  <c r="CE14" i="11"/>
  <c r="V141" i="12" s="1"/>
  <c r="CD28" i="11" s="1"/>
  <c r="AL65" i="11"/>
  <c r="AM65" i="11" s="1"/>
  <c r="BF65" i="11"/>
  <c r="Q30" i="12" s="1"/>
  <c r="BG60" i="11"/>
  <c r="CA60" i="11"/>
  <c r="BY60" i="11"/>
  <c r="CN60" i="11"/>
  <c r="AZ60" i="11"/>
  <c r="CP60" i="11"/>
  <c r="BB60" i="11"/>
  <c r="DC61" i="6"/>
  <c r="BU65" i="11"/>
  <c r="BV65" i="11" s="1"/>
  <c r="BA287" i="17"/>
  <c r="EC47" i="6"/>
  <c r="EC96" i="6" s="1"/>
  <c r="AB736" i="7"/>
  <c r="DK71" i="6"/>
  <c r="DC22" i="6"/>
  <c r="BA22" i="6"/>
  <c r="Z285" i="17"/>
  <c r="Z298" i="17" s="1"/>
  <c r="Z300" i="17" s="1"/>
  <c r="CQ14" i="11"/>
  <c r="CT14" i="11" s="1"/>
  <c r="DH88" i="11"/>
  <c r="EA85" i="6"/>
  <c r="BS12" i="11"/>
  <c r="AW316" i="17"/>
  <c r="AW318" i="17" s="1"/>
  <c r="AG319" i="17"/>
  <c r="AG321" i="17" s="1"/>
  <c r="AT12" i="11"/>
  <c r="BU14" i="11"/>
  <c r="T141" i="12" s="1"/>
  <c r="BT28" i="11" s="1"/>
  <c r="AS316" i="17"/>
  <c r="AS318" i="17" s="1"/>
  <c r="BO71" i="6"/>
  <c r="DI73" i="6"/>
  <c r="BJ71" i="6"/>
  <c r="BI71" i="6"/>
  <c r="AD298" i="17"/>
  <c r="AD300" i="17" s="1"/>
  <c r="CR12" i="11"/>
  <c r="DJ88" i="11"/>
  <c r="BO60" i="11"/>
  <c r="BP65" i="11"/>
  <c r="BQ65" i="11" s="1"/>
  <c r="CG97" i="11"/>
  <c r="AF60" i="11"/>
  <c r="AH60" i="11"/>
  <c r="L24" i="12"/>
  <c r="AG65" i="11"/>
  <c r="AF65" i="11" s="1"/>
  <c r="BM61" i="6"/>
  <c r="Y319" i="17"/>
  <c r="Y321" i="17" s="1"/>
  <c r="AC319" i="17"/>
  <c r="AC321" i="17" s="1"/>
  <c r="CH12" i="11"/>
  <c r="BA316" i="17"/>
  <c r="BA318" i="17" s="1"/>
  <c r="U287" i="17"/>
  <c r="EJ18" i="6"/>
  <c r="EJ67" i="6" s="1"/>
  <c r="BI319" i="17"/>
  <c r="BI321" i="17" s="1"/>
  <c r="EJ40" i="6"/>
  <c r="EJ89" i="6" s="1"/>
  <c r="DA48" i="6"/>
  <c r="DA49" i="6" s="1"/>
  <c r="E140" i="2"/>
  <c r="AV140" i="2" s="1"/>
  <c r="DS63" i="11"/>
  <c r="AC168" i="12"/>
  <c r="E104" i="2" s="1"/>
  <c r="AV104" i="2" s="1"/>
  <c r="AC24" i="12"/>
  <c r="CO12" i="11"/>
  <c r="CL14" i="11"/>
  <c r="BE319" i="17"/>
  <c r="BE321" i="17" s="1"/>
  <c r="AS287" i="17"/>
  <c r="CK61" i="6"/>
  <c r="K371" i="12"/>
  <c r="BB298" i="17"/>
  <c r="BB300" i="17" s="1"/>
  <c r="CM12" i="11"/>
  <c r="AK316" i="17"/>
  <c r="AK318" i="17" s="1"/>
  <c r="DO61" i="6"/>
  <c r="E133" i="2"/>
  <c r="AV133" i="2" s="1"/>
  <c r="DS59" i="11"/>
  <c r="DH103" i="11"/>
  <c r="AB106" i="12"/>
  <c r="DJ103" i="11"/>
  <c r="X254" i="8"/>
  <c r="T254" i="8"/>
  <c r="P254" i="8"/>
  <c r="L254" i="8"/>
  <c r="Q333" i="17"/>
  <c r="R143" i="12"/>
  <c r="AC316" i="17"/>
  <c r="AC318" i="17" s="1"/>
  <c r="AS333" i="17"/>
  <c r="AK287" i="17"/>
  <c r="F423" i="20"/>
  <c r="W423" i="20" s="1"/>
  <c r="E299" i="2"/>
  <c r="BE316" i="17"/>
  <c r="BE318" i="17" s="1"/>
  <c r="AW319" i="17"/>
  <c r="AW321" i="17" s="1"/>
  <c r="AG316" i="17"/>
  <c r="AG318" i="17" s="1"/>
  <c r="BI316" i="17"/>
  <c r="BI318" i="17" s="1"/>
  <c r="AT298" i="17"/>
  <c r="AT300" i="17" s="1"/>
  <c r="AD295" i="17"/>
  <c r="AD297" i="17" s="1"/>
  <c r="BS14" i="11"/>
  <c r="AK284" i="17"/>
  <c r="CL111" i="11"/>
  <c r="CQ111" i="11" s="1"/>
  <c r="CQ112" i="11" s="1"/>
  <c r="AB143" i="12"/>
  <c r="J143" i="12"/>
  <c r="C109" i="2"/>
  <c r="AT109" i="2" s="1"/>
  <c r="DI61" i="6"/>
  <c r="AO319" i="17"/>
  <c r="AO321" i="17" s="1"/>
  <c r="BS61" i="6"/>
  <c r="CC12" i="11"/>
  <c r="G414" i="20"/>
  <c r="X414" i="20" s="1"/>
  <c r="AL298" i="17"/>
  <c r="AL300" i="17" s="1"/>
  <c r="DM89" i="6"/>
  <c r="E22" i="6"/>
  <c r="CE12" i="11"/>
  <c r="AJ12" i="11"/>
  <c r="F429" i="20"/>
  <c r="W429" i="20" s="1"/>
  <c r="F414" i="20"/>
  <c r="W414" i="20" s="1"/>
  <c r="C111" i="2"/>
  <c r="AT111" i="2" s="1"/>
  <c r="U284" i="17"/>
  <c r="N71" i="6"/>
  <c r="BN12" i="11"/>
  <c r="G423" i="20"/>
  <c r="X423" i="20" s="1"/>
  <c r="F432" i="20"/>
  <c r="W432" i="20" s="1"/>
  <c r="F431" i="20"/>
  <c r="W431" i="20" s="1"/>
  <c r="DY89" i="6"/>
  <c r="DG89" i="6"/>
  <c r="AU111" i="2"/>
  <c r="D294" i="2"/>
  <c r="AN14" i="11"/>
  <c r="AQ12" i="11"/>
  <c r="D110" i="2"/>
  <c r="G77" i="20" s="1"/>
  <c r="X77" i="20" s="1"/>
  <c r="DS49" i="6"/>
  <c r="CP180" i="17"/>
  <c r="CO168" i="17"/>
  <c r="AX111" i="17"/>
  <c r="Q150" i="12"/>
  <c r="BA116" i="17"/>
  <c r="AX117" i="17"/>
  <c r="AW107" i="17"/>
  <c r="AY116" i="17"/>
  <c r="AZ116" i="17"/>
  <c r="R111" i="17"/>
  <c r="I150" i="12"/>
  <c r="U116" i="17"/>
  <c r="R117" i="17"/>
  <c r="Q107" i="17"/>
  <c r="S116" i="17"/>
  <c r="T116" i="17"/>
  <c r="G231" i="2"/>
  <c r="AX231" i="2" s="1"/>
  <c r="AD770" i="7"/>
  <c r="EQ16" i="6"/>
  <c r="AD692" i="7"/>
  <c r="BE97" i="6"/>
  <c r="BE49" i="6"/>
  <c r="AG97" i="6"/>
  <c r="AG49" i="6"/>
  <c r="U97" i="6"/>
  <c r="U49" i="6"/>
  <c r="Y161" i="8"/>
  <c r="Q161" i="8"/>
  <c r="I161" i="8"/>
  <c r="AD630" i="7"/>
  <c r="AD651" i="7" s="1"/>
  <c r="AD497" i="7"/>
  <c r="AD487" i="7"/>
  <c r="EP90" i="6"/>
  <c r="Y791" i="7"/>
  <c r="Y466" i="12"/>
  <c r="Y473" i="12" s="1"/>
  <c r="AX221" i="2"/>
  <c r="M418" i="20"/>
  <c r="AD418" i="20" s="1"/>
  <c r="L418" i="20"/>
  <c r="AC418" i="20" s="1"/>
  <c r="W411" i="20"/>
  <c r="DN18" i="6"/>
  <c r="DN67" i="6" s="1"/>
  <c r="DI67" i="6"/>
  <c r="CP18" i="6"/>
  <c r="CP67" i="6" s="1"/>
  <c r="CK67" i="6"/>
  <c r="BR18" i="6"/>
  <c r="BR67" i="6" s="1"/>
  <c r="BM67" i="6"/>
  <c r="AT18" i="6"/>
  <c r="AT67" i="6" s="1"/>
  <c r="AO67" i="6"/>
  <c r="AC628" i="7"/>
  <c r="EO45" i="6"/>
  <c r="AD741" i="7"/>
  <c r="AA388" i="7"/>
  <c r="AA382" i="7"/>
  <c r="AA459" i="7"/>
  <c r="U388" i="7"/>
  <c r="U382" i="7"/>
  <c r="U459" i="7"/>
  <c r="M388" i="7"/>
  <c r="M382" i="7"/>
  <c r="M459" i="7"/>
  <c r="AX150" i="2"/>
  <c r="L199" i="20"/>
  <c r="AC199" i="20" s="1"/>
  <c r="M199" i="20"/>
  <c r="AD199" i="20" s="1"/>
  <c r="L198" i="20"/>
  <c r="AC198" i="20" s="1"/>
  <c r="M198" i="20"/>
  <c r="AD198" i="20" s="1"/>
  <c r="AA157" i="8"/>
  <c r="AA150" i="8"/>
  <c r="AC43" i="8"/>
  <c r="AC24" i="8"/>
  <c r="AD12" i="8"/>
  <c r="AE12" i="8" s="1"/>
  <c r="AE11" i="8" s="1"/>
  <c r="AC8" i="8"/>
  <c r="R84" i="8"/>
  <c r="R116" i="8"/>
  <c r="R123" i="8" s="1"/>
  <c r="R147" i="8"/>
  <c r="BJ207" i="17"/>
  <c r="BL212" i="17"/>
  <c r="BK212" i="17"/>
  <c r="BJ213" i="17"/>
  <c r="T154" i="12"/>
  <c r="BM212" i="17"/>
  <c r="BI203" i="17"/>
  <c r="AD207" i="17"/>
  <c r="AF212" i="17"/>
  <c r="AE212" i="17"/>
  <c r="AD213" i="17"/>
  <c r="L154" i="12"/>
  <c r="AG212" i="17"/>
  <c r="AC203" i="17"/>
  <c r="EK28" i="6"/>
  <c r="EK77" i="6" s="1"/>
  <c r="AC778" i="7"/>
  <c r="AC339" i="7"/>
  <c r="P153" i="8"/>
  <c r="P160" i="8"/>
  <c r="Y195" i="7"/>
  <c r="Y189" i="7"/>
  <c r="Y366" i="7"/>
  <c r="Y357" i="7"/>
  <c r="Y360" i="7"/>
  <c r="U387" i="7"/>
  <c r="U378" i="7"/>
  <c r="U458" i="7"/>
  <c r="U381" i="7"/>
  <c r="U237" i="8"/>
  <c r="Q195" i="7"/>
  <c r="Q189" i="7"/>
  <c r="Q366" i="7"/>
  <c r="Q357" i="7"/>
  <c r="Q360" i="7"/>
  <c r="M387" i="7"/>
  <c r="M378" i="7"/>
  <c r="M458" i="7"/>
  <c r="M381" i="7"/>
  <c r="M237" i="8"/>
  <c r="G237" i="8"/>
  <c r="DZ40" i="6"/>
  <c r="DZ89" i="6" s="1"/>
  <c r="CK40" i="6"/>
  <c r="CN89" i="6"/>
  <c r="AC588" i="7"/>
  <c r="AC593" i="7" s="1"/>
  <c r="AD164" i="7"/>
  <c r="AA639" i="7"/>
  <c r="AA629" i="7"/>
  <c r="G208" i="2"/>
  <c r="EO35" i="6"/>
  <c r="AD396" i="7"/>
  <c r="F194" i="2" s="1"/>
  <c r="EA35" i="6"/>
  <c r="EB84" i="6"/>
  <c r="X459" i="7"/>
  <c r="X388" i="7"/>
  <c r="X382" i="7"/>
  <c r="P459" i="7"/>
  <c r="P388" i="7"/>
  <c r="P382" i="7"/>
  <c r="Z157" i="8"/>
  <c r="Z150" i="8"/>
  <c r="Y144" i="12"/>
  <c r="CS30" i="11" s="1"/>
  <c r="CU17" i="11"/>
  <c r="Y176" i="12"/>
  <c r="W176" i="12"/>
  <c r="CK17" i="11"/>
  <c r="W144" i="12"/>
  <c r="CI30" i="11" s="1"/>
  <c r="CA17" i="11"/>
  <c r="U176" i="12"/>
  <c r="U144" i="12"/>
  <c r="BY30" i="11" s="1"/>
  <c r="S176" i="12"/>
  <c r="BQ17" i="11"/>
  <c r="S144" i="12"/>
  <c r="BO30" i="11" s="1"/>
  <c r="Q176" i="12"/>
  <c r="Q144" i="12"/>
  <c r="BE30" i="11" s="1"/>
  <c r="BG17" i="11"/>
  <c r="O144" i="12"/>
  <c r="AU30" i="11" s="1"/>
  <c r="O176" i="12"/>
  <c r="AW17" i="11"/>
  <c r="M176" i="12"/>
  <c r="AM17" i="11"/>
  <c r="M144" i="12"/>
  <c r="AK30" i="11" s="1"/>
  <c r="AB345" i="12"/>
  <c r="CS27" i="11"/>
  <c r="Y143" i="12"/>
  <c r="D102" i="2"/>
  <c r="BR237" i="17"/>
  <c r="BQ225" i="17"/>
  <c r="BR83" i="17"/>
  <c r="BQ68" i="17"/>
  <c r="AT111" i="17"/>
  <c r="P150" i="12"/>
  <c r="AV116" i="17"/>
  <c r="AW116" i="17"/>
  <c r="AU116" i="17"/>
  <c r="AT117" i="17"/>
  <c r="AS107" i="17"/>
  <c r="AD111" i="17"/>
  <c r="L150" i="12"/>
  <c r="AF116" i="17"/>
  <c r="AG116" i="17"/>
  <c r="AE116" i="17"/>
  <c r="AD117" i="17"/>
  <c r="AC107" i="17"/>
  <c r="N111" i="17"/>
  <c r="H150" i="12"/>
  <c r="P116" i="17"/>
  <c r="Q116" i="17"/>
  <c r="O116" i="17"/>
  <c r="N117" i="17"/>
  <c r="M107" i="17"/>
  <c r="EQ18" i="6"/>
  <c r="AD771" i="7"/>
  <c r="AD140" i="7"/>
  <c r="EN28" i="6"/>
  <c r="AD708" i="7"/>
  <c r="EH77" i="6"/>
  <c r="EG28" i="6"/>
  <c r="EG77" i="6" s="1"/>
  <c r="K161" i="8"/>
  <c r="H237" i="8"/>
  <c r="AA791" i="7"/>
  <c r="AA466" i="12"/>
  <c r="AA473" i="12" s="1"/>
  <c r="O598" i="7"/>
  <c r="O593" i="7"/>
  <c r="AU224" i="2"/>
  <c r="F422" i="20"/>
  <c r="W422" i="20" s="1"/>
  <c r="F421" i="20"/>
  <c r="W421" i="20" s="1"/>
  <c r="F430" i="20"/>
  <c r="W430" i="20" s="1"/>
  <c r="G422" i="20"/>
  <c r="X422" i="20" s="1"/>
  <c r="G421" i="20"/>
  <c r="X421" i="20" s="1"/>
  <c r="Z460" i="7"/>
  <c r="Z383" i="7"/>
  <c r="Z389" i="7"/>
  <c r="X460" i="7"/>
  <c r="X383" i="7"/>
  <c r="X389" i="7"/>
  <c r="V460" i="7"/>
  <c r="V383" i="7"/>
  <c r="V389" i="7"/>
  <c r="T460" i="7"/>
  <c r="T383" i="7"/>
  <c r="T389" i="7"/>
  <c r="R460" i="7"/>
  <c r="R383" i="7"/>
  <c r="R389" i="7"/>
  <c r="P460" i="7"/>
  <c r="P383" i="7"/>
  <c r="P389" i="7"/>
  <c r="N460" i="7"/>
  <c r="N383" i="7"/>
  <c r="N389" i="7"/>
  <c r="L460" i="7"/>
  <c r="L383" i="7"/>
  <c r="L389" i="7"/>
  <c r="EO33" i="6"/>
  <c r="AD731" i="7"/>
  <c r="S388" i="7"/>
  <c r="S382" i="7"/>
  <c r="S459" i="7"/>
  <c r="W157" i="8"/>
  <c r="W150" i="8"/>
  <c r="S157" i="8"/>
  <c r="S150" i="8"/>
  <c r="O157" i="8"/>
  <c r="O150" i="8"/>
  <c r="K157" i="8"/>
  <c r="K150" i="8"/>
  <c r="C183" i="2"/>
  <c r="Z84" i="8"/>
  <c r="Z116" i="8"/>
  <c r="Z123" i="8" s="1"/>
  <c r="Z147" i="8"/>
  <c r="H84" i="8"/>
  <c r="H116" i="8"/>
  <c r="H123" i="8" s="1"/>
  <c r="H147" i="8"/>
  <c r="G176" i="2"/>
  <c r="AD22" i="8"/>
  <c r="E247" i="20"/>
  <c r="V247" i="20" s="1"/>
  <c r="AU276" i="2"/>
  <c r="F245" i="20"/>
  <c r="W245" i="20" s="1"/>
  <c r="AV274" i="2"/>
  <c r="F244" i="20"/>
  <c r="W244" i="20" s="1"/>
  <c r="AV273" i="2"/>
  <c r="E243" i="20"/>
  <c r="V243" i="20" s="1"/>
  <c r="AU272" i="2"/>
  <c r="BN207" i="17"/>
  <c r="AH207" i="17"/>
  <c r="AK212" i="17"/>
  <c r="AJ212" i="17"/>
  <c r="AG203" i="17"/>
  <c r="M154" i="12"/>
  <c r="AI212" i="17"/>
  <c r="AH213" i="17"/>
  <c r="BK14" i="17"/>
  <c r="BK227" i="17"/>
  <c r="R273" i="7"/>
  <c r="N153" i="8"/>
  <c r="N160" i="8"/>
  <c r="AA195" i="7"/>
  <c r="AA189" i="7"/>
  <c r="AA366" i="7"/>
  <c r="AA357" i="7"/>
  <c r="AA360" i="7"/>
  <c r="E29" i="6"/>
  <c r="F34" i="6"/>
  <c r="CD40" i="6"/>
  <c r="CD89" i="6" s="1"/>
  <c r="AH40" i="6"/>
  <c r="AH89" i="6" s="1"/>
  <c r="AX216" i="2"/>
  <c r="M412" i="20"/>
  <c r="AD412" i="20" s="1"/>
  <c r="L412" i="20"/>
  <c r="AC412" i="20" s="1"/>
  <c r="AD168" i="7"/>
  <c r="R593" i="7"/>
  <c r="R598" i="7"/>
  <c r="N593" i="7"/>
  <c r="N598" i="7"/>
  <c r="EP68" i="6"/>
  <c r="G202" i="2"/>
  <c r="EO9" i="6"/>
  <c r="R367" i="7"/>
  <c r="R361" i="7"/>
  <c r="S84" i="8"/>
  <c r="CX27" i="11"/>
  <c r="Z143" i="12"/>
  <c r="BT220" i="17"/>
  <c r="BU220" i="17" s="1"/>
  <c r="BV220" i="17" s="1"/>
  <c r="BW220" i="17" s="1"/>
  <c r="BV221" i="17"/>
  <c r="BT60" i="17"/>
  <c r="BU60" i="17" s="1"/>
  <c r="BV60" i="17" s="1"/>
  <c r="BW60" i="17" s="1"/>
  <c r="BV61" i="17"/>
  <c r="CR163" i="17"/>
  <c r="CS163" i="17" s="1"/>
  <c r="CT163" i="17" s="1"/>
  <c r="CU163" i="17" s="1"/>
  <c r="CT164" i="17"/>
  <c r="BL170" i="17"/>
  <c r="BK169" i="17"/>
  <c r="BK182" i="17" s="1"/>
  <c r="AP111" i="17"/>
  <c r="O150" i="12"/>
  <c r="AS116" i="17"/>
  <c r="AP117" i="17"/>
  <c r="AO107" i="17"/>
  <c r="AQ116" i="17"/>
  <c r="AR116" i="17"/>
  <c r="M116" i="17"/>
  <c r="K116" i="17"/>
  <c r="L116" i="17"/>
  <c r="I107" i="17"/>
  <c r="EN24" i="6"/>
  <c r="AD706" i="7"/>
  <c r="EH73" i="6"/>
  <c r="Q160" i="8"/>
  <c r="Q153" i="8"/>
  <c r="M160" i="8"/>
  <c r="M153" i="8"/>
  <c r="I160" i="8"/>
  <c r="I153" i="8"/>
  <c r="Z458" i="7"/>
  <c r="Z381" i="7"/>
  <c r="Z387" i="7"/>
  <c r="Z378" i="7"/>
  <c r="Z237" i="8"/>
  <c r="V195" i="7"/>
  <c r="V189" i="7"/>
  <c r="V360" i="7"/>
  <c r="V366" i="7"/>
  <c r="V357" i="7"/>
  <c r="R458" i="7"/>
  <c r="R381" i="7"/>
  <c r="R387" i="7"/>
  <c r="R378" i="7"/>
  <c r="R237" i="8"/>
  <c r="N195" i="7"/>
  <c r="N189" i="7"/>
  <c r="N360" i="7"/>
  <c r="N366" i="7"/>
  <c r="N357" i="7"/>
  <c r="W791" i="7"/>
  <c r="W466" i="12"/>
  <c r="W473" i="12" s="1"/>
  <c r="AX246" i="2"/>
  <c r="M482" i="20"/>
  <c r="AD482" i="20" s="1"/>
  <c r="L417" i="20"/>
  <c r="AC417" i="20" s="1"/>
  <c r="L482" i="20"/>
  <c r="AC482" i="20" s="1"/>
  <c r="M417" i="20"/>
  <c r="AD417" i="20" s="1"/>
  <c r="DZ18" i="6"/>
  <c r="DZ67" i="6" s="1"/>
  <c r="DU67" i="6"/>
  <c r="DB18" i="6"/>
  <c r="DB67" i="6" s="1"/>
  <c r="CW67" i="6"/>
  <c r="CD18" i="6"/>
  <c r="CD67" i="6" s="1"/>
  <c r="BY67" i="6"/>
  <c r="BF18" i="6"/>
  <c r="BF67" i="6" s="1"/>
  <c r="BA67" i="6"/>
  <c r="Y367" i="7"/>
  <c r="Y361" i="7"/>
  <c r="Q367" i="7"/>
  <c r="Q361" i="7"/>
  <c r="V84" i="8"/>
  <c r="V116" i="8"/>
  <c r="V123" i="8" s="1"/>
  <c r="V147" i="8"/>
  <c r="N84" i="8"/>
  <c r="N116" i="8"/>
  <c r="N123" i="8" s="1"/>
  <c r="N147" i="8"/>
  <c r="BB207" i="17"/>
  <c r="BD212" i="17"/>
  <c r="BC212" i="17"/>
  <c r="BB213" i="17"/>
  <c r="R154" i="12"/>
  <c r="BE212" i="17"/>
  <c r="BA203" i="17"/>
  <c r="V207" i="17"/>
  <c r="X212" i="17"/>
  <c r="W212" i="17"/>
  <c r="V213" i="17"/>
  <c r="J154" i="12"/>
  <c r="Y212" i="17"/>
  <c r="U203" i="17"/>
  <c r="G233" i="2"/>
  <c r="AX233" i="2" s="1"/>
  <c r="AD769" i="7"/>
  <c r="EQ17" i="6"/>
  <c r="CU49" i="6"/>
  <c r="CU97" i="6"/>
  <c r="AY49" i="6"/>
  <c r="AY97" i="6"/>
  <c r="T229" i="7"/>
  <c r="T153" i="8"/>
  <c r="T160" i="8"/>
  <c r="L273" i="7"/>
  <c r="C242" i="2"/>
  <c r="AT242" i="2" s="1"/>
  <c r="Z791" i="7"/>
  <c r="Z466" i="12"/>
  <c r="Z473" i="12" s="1"/>
  <c r="Z650" i="7"/>
  <c r="Z640" i="7"/>
  <c r="AA368" i="7"/>
  <c r="AA362" i="7"/>
  <c r="Y368" i="7"/>
  <c r="Y362" i="7"/>
  <c r="W368" i="7"/>
  <c r="W362" i="7"/>
  <c r="U368" i="7"/>
  <c r="U362" i="7"/>
  <c r="S368" i="7"/>
  <c r="S362" i="7"/>
  <c r="Q368" i="7"/>
  <c r="Q362" i="7"/>
  <c r="O368" i="7"/>
  <c r="O362" i="7"/>
  <c r="M368" i="7"/>
  <c r="M362" i="7"/>
  <c r="Z367" i="7"/>
  <c r="Z361" i="7"/>
  <c r="T367" i="7"/>
  <c r="T361" i="7"/>
  <c r="L367" i="7"/>
  <c r="L361" i="7"/>
  <c r="EJ17" i="6"/>
  <c r="AC659" i="7"/>
  <c r="AC59" i="7"/>
  <c r="V254" i="8"/>
  <c r="R254" i="8"/>
  <c r="N254" i="8"/>
  <c r="J254" i="8"/>
  <c r="W84" i="8"/>
  <c r="W116" i="8"/>
  <c r="W147" i="8"/>
  <c r="EQ30" i="6"/>
  <c r="AD777" i="7"/>
  <c r="AA153" i="7"/>
  <c r="AA471" i="12"/>
  <c r="EO40" i="6"/>
  <c r="AD740" i="7"/>
  <c r="DN47" i="6"/>
  <c r="DN96" i="6" s="1"/>
  <c r="DK96" i="6"/>
  <c r="BO29" i="11"/>
  <c r="S143" i="12"/>
  <c r="AA29" i="11"/>
  <c r="K143" i="12"/>
  <c r="BT27" i="11"/>
  <c r="T143" i="12"/>
  <c r="AZ27" i="11"/>
  <c r="P143" i="12"/>
  <c r="AF27" i="11"/>
  <c r="L143" i="12"/>
  <c r="L27" i="11"/>
  <c r="H143" i="12"/>
  <c r="C102" i="2"/>
  <c r="DC85" i="6"/>
  <c r="DI85" i="6"/>
  <c r="BG85" i="6"/>
  <c r="BM85" i="6"/>
  <c r="BY27" i="11"/>
  <c r="U143" i="12"/>
  <c r="AK27" i="11"/>
  <c r="M143" i="12"/>
  <c r="Q27" i="11"/>
  <c r="I143" i="12"/>
  <c r="BV64" i="17"/>
  <c r="BT63" i="17"/>
  <c r="BU63" i="17" s="1"/>
  <c r="BV63" i="17" s="1"/>
  <c r="BW63" i="17" s="1"/>
  <c r="BB111" i="17"/>
  <c r="R150" i="12"/>
  <c r="BD116" i="17"/>
  <c r="BE116" i="17"/>
  <c r="BC116" i="17"/>
  <c r="BB117" i="17"/>
  <c r="BA107" i="17"/>
  <c r="DY48" i="6"/>
  <c r="CO97" i="6"/>
  <c r="CO49" i="6"/>
  <c r="AS97" i="6"/>
  <c r="AS49" i="6"/>
  <c r="AU191" i="2"/>
  <c r="F341" i="20"/>
  <c r="W341" i="20" s="1"/>
  <c r="G341" i="20"/>
  <c r="X341" i="20" s="1"/>
  <c r="O160" i="8"/>
  <c r="O153" i="8"/>
  <c r="K160" i="8"/>
  <c r="K153" i="8"/>
  <c r="X195" i="7"/>
  <c r="X189" i="7"/>
  <c r="X360" i="7"/>
  <c r="X366" i="7"/>
  <c r="X357" i="7"/>
  <c r="T458" i="7"/>
  <c r="T381" i="7"/>
  <c r="T387" i="7"/>
  <c r="T378" i="7"/>
  <c r="T237" i="8"/>
  <c r="P195" i="7"/>
  <c r="P189" i="7"/>
  <c r="P360" i="7"/>
  <c r="P366" i="7"/>
  <c r="P357" i="7"/>
  <c r="L458" i="7"/>
  <c r="L387" i="7"/>
  <c r="L378" i="7"/>
  <c r="L237" i="8"/>
  <c r="AU227" i="2"/>
  <c r="G427" i="20"/>
  <c r="X427" i="20" s="1"/>
  <c r="F427" i="20"/>
  <c r="W427" i="20" s="1"/>
  <c r="Q598" i="7"/>
  <c r="Q593" i="7"/>
  <c r="M598" i="7"/>
  <c r="M593" i="7"/>
  <c r="V661" i="7"/>
  <c r="W388" i="7"/>
  <c r="W382" i="7"/>
  <c r="W459" i="7"/>
  <c r="O388" i="7"/>
  <c r="O382" i="7"/>
  <c r="O459" i="7"/>
  <c r="Y157" i="8"/>
  <c r="Y150" i="8"/>
  <c r="X84" i="8"/>
  <c r="X116" i="8"/>
  <c r="X147" i="8"/>
  <c r="P84" i="8"/>
  <c r="P116" i="8"/>
  <c r="Q123" i="8" s="1"/>
  <c r="P147" i="8"/>
  <c r="Q84" i="8"/>
  <c r="BF207" i="17"/>
  <c r="BI212" i="17"/>
  <c r="BH212" i="17"/>
  <c r="BE203" i="17"/>
  <c r="S154" i="12"/>
  <c r="BG212" i="17"/>
  <c r="BF213" i="17"/>
  <c r="Z207" i="17"/>
  <c r="AC212" i="17"/>
  <c r="AB212" i="17"/>
  <c r="Y203" i="17"/>
  <c r="K154" i="12"/>
  <c r="AA212" i="17"/>
  <c r="Z213" i="17"/>
  <c r="CI97" i="6"/>
  <c r="CI49" i="6"/>
  <c r="AM49" i="6"/>
  <c r="AM97" i="6"/>
  <c r="EG10" i="6"/>
  <c r="EG59" i="6" s="1"/>
  <c r="EH59" i="6"/>
  <c r="W195" i="7"/>
  <c r="W189" i="7"/>
  <c r="W366" i="7"/>
  <c r="W357" i="7"/>
  <c r="W360" i="7"/>
  <c r="S387" i="7"/>
  <c r="S378" i="7"/>
  <c r="S458" i="7"/>
  <c r="S381" i="7"/>
  <c r="S237" i="8"/>
  <c r="O195" i="7"/>
  <c r="O189" i="7"/>
  <c r="O366" i="7"/>
  <c r="O357" i="7"/>
  <c r="O360" i="7"/>
  <c r="BS40" i="6"/>
  <c r="BY89" i="6" s="1"/>
  <c r="BV89" i="6"/>
  <c r="AU40" i="6"/>
  <c r="BA89" i="6" s="1"/>
  <c r="AX89" i="6"/>
  <c r="W40" i="6"/>
  <c r="AC89" i="6" s="1"/>
  <c r="Z89" i="6"/>
  <c r="AW215" i="2"/>
  <c r="K411" i="20"/>
  <c r="AB411" i="20" s="1"/>
  <c r="J411" i="20"/>
  <c r="AA411" i="20" s="1"/>
  <c r="EP20" i="6"/>
  <c r="AD752" i="7"/>
  <c r="AD756" i="7" s="1"/>
  <c r="F224" i="2" s="1"/>
  <c r="P593" i="7"/>
  <c r="P598" i="7"/>
  <c r="L593" i="7"/>
  <c r="L598" i="7"/>
  <c r="V459" i="7"/>
  <c r="V388" i="7"/>
  <c r="V382" i="7"/>
  <c r="N459" i="7"/>
  <c r="N388" i="7"/>
  <c r="N382" i="7"/>
  <c r="X157" i="8"/>
  <c r="X150" i="8"/>
  <c r="T157" i="8"/>
  <c r="T150" i="8"/>
  <c r="P157" i="8"/>
  <c r="P150" i="8"/>
  <c r="L157" i="8"/>
  <c r="L150" i="8"/>
  <c r="H157" i="8"/>
  <c r="H150" i="8"/>
  <c r="K25" i="21"/>
  <c r="K22" i="21"/>
  <c r="K60" i="21" s="1"/>
  <c r="AA345" i="12"/>
  <c r="AA340" i="12"/>
  <c r="AA144" i="12"/>
  <c r="DC30" i="11" s="1"/>
  <c r="AA176" i="12"/>
  <c r="DE17" i="11"/>
  <c r="CZ88" i="11"/>
  <c r="Z84" i="12"/>
  <c r="C209" i="2"/>
  <c r="AT209" i="2" s="1"/>
  <c r="T176" i="12"/>
  <c r="BV17" i="11"/>
  <c r="T144" i="12"/>
  <c r="BT30" i="11" s="1"/>
  <c r="R144" i="12"/>
  <c r="BJ30" i="11" s="1"/>
  <c r="R176" i="12"/>
  <c r="BL17" i="11"/>
  <c r="P176" i="12"/>
  <c r="BB17" i="11"/>
  <c r="P144" i="12"/>
  <c r="AZ30" i="11" s="1"/>
  <c r="N144" i="12"/>
  <c r="AP30" i="11" s="1"/>
  <c r="N176" i="12"/>
  <c r="AR17" i="11"/>
  <c r="V40" i="6"/>
  <c r="V89" i="6" s="1"/>
  <c r="AV224" i="2"/>
  <c r="I421" i="20"/>
  <c r="Z421" i="20" s="1"/>
  <c r="H421" i="20"/>
  <c r="Y421" i="20" s="1"/>
  <c r="BH14" i="11"/>
  <c r="BK12" i="11"/>
  <c r="AD14" i="11"/>
  <c r="AG12" i="11"/>
  <c r="CT167" i="17"/>
  <c r="CR166" i="17"/>
  <c r="CS166" i="17" s="1"/>
  <c r="CT166" i="17" s="1"/>
  <c r="CU166" i="17" s="1"/>
  <c r="AH111" i="17"/>
  <c r="M150" i="12"/>
  <c r="AK116" i="17"/>
  <c r="AH117" i="17"/>
  <c r="AG107" i="17"/>
  <c r="AI116" i="17"/>
  <c r="AJ116" i="17"/>
  <c r="AB83" i="8"/>
  <c r="AB79" i="8"/>
  <c r="D183" i="2" s="1"/>
  <c r="AU183" i="2" s="1"/>
  <c r="CC97" i="6"/>
  <c r="CC49" i="6"/>
  <c r="Y229" i="7"/>
  <c r="AA161" i="8"/>
  <c r="U161" i="8"/>
  <c r="M161" i="8"/>
  <c r="AA367" i="7"/>
  <c r="AA361" i="7"/>
  <c r="U367" i="7"/>
  <c r="U361" i="7"/>
  <c r="M367" i="7"/>
  <c r="M361" i="7"/>
  <c r="Y254" i="8"/>
  <c r="U254" i="8"/>
  <c r="Q254" i="8"/>
  <c r="M254" i="8"/>
  <c r="I254" i="8"/>
  <c r="AB55" i="8"/>
  <c r="W42" i="8"/>
  <c r="W41" i="8"/>
  <c r="X40" i="8"/>
  <c r="J84" i="8"/>
  <c r="J116" i="8"/>
  <c r="J123" i="8" s="1"/>
  <c r="J147" i="8"/>
  <c r="AT207" i="17"/>
  <c r="AV212" i="17"/>
  <c r="AU212" i="17"/>
  <c r="AT213" i="17"/>
  <c r="P154" i="12"/>
  <c r="AW212" i="17"/>
  <c r="AS203" i="17"/>
  <c r="N207" i="17"/>
  <c r="P212" i="17"/>
  <c r="O212" i="17"/>
  <c r="N213" i="17"/>
  <c r="H154" i="12"/>
  <c r="Q212" i="17"/>
  <c r="M203" i="17"/>
  <c r="EN33" i="6"/>
  <c r="AD714" i="7"/>
  <c r="AD329" i="7"/>
  <c r="AD330" i="7" s="1"/>
  <c r="AC330" i="7"/>
  <c r="EH82" i="6"/>
  <c r="EG33" i="6"/>
  <c r="Z229" i="7"/>
  <c r="V229" i="7"/>
  <c r="H153" i="8"/>
  <c r="H160" i="8"/>
  <c r="Y387" i="7"/>
  <c r="Y378" i="7"/>
  <c r="Y458" i="7"/>
  <c r="Y381" i="7"/>
  <c r="Y237" i="8"/>
  <c r="U195" i="7"/>
  <c r="U189" i="7"/>
  <c r="U366" i="7"/>
  <c r="U357" i="7"/>
  <c r="U360" i="7"/>
  <c r="Q387" i="7"/>
  <c r="Q378" i="7"/>
  <c r="Q458" i="7"/>
  <c r="Q381" i="7"/>
  <c r="Q237" i="8"/>
  <c r="M195" i="7"/>
  <c r="M189" i="7"/>
  <c r="M366" i="7"/>
  <c r="M357" i="7"/>
  <c r="M360" i="7"/>
  <c r="AR89" i="6"/>
  <c r="AO40" i="6"/>
  <c r="DO40" i="6"/>
  <c r="DR89" i="6"/>
  <c r="AB593" i="7"/>
  <c r="AU217" i="2"/>
  <c r="F413" i="20"/>
  <c r="W413" i="20" s="1"/>
  <c r="G413" i="20"/>
  <c r="X413" i="20" s="1"/>
  <c r="W639" i="7"/>
  <c r="W629" i="7"/>
  <c r="S639" i="7"/>
  <c r="S629" i="7"/>
  <c r="O639" i="7"/>
  <c r="O629" i="7"/>
  <c r="AC660" i="7"/>
  <c r="EH35" i="6"/>
  <c r="AC402" i="7"/>
  <c r="AC399" i="7"/>
  <c r="EE35" i="6"/>
  <c r="AB781" i="7"/>
  <c r="AB782" i="7" s="1"/>
  <c r="AB405" i="7"/>
  <c r="AV194" i="2"/>
  <c r="I345" i="20"/>
  <c r="Z345" i="20" s="1"/>
  <c r="H345" i="20"/>
  <c r="Y345" i="20" s="1"/>
  <c r="EO28" i="6"/>
  <c r="AD729" i="7"/>
  <c r="X367" i="7"/>
  <c r="X361" i="7"/>
  <c r="P367" i="7"/>
  <c r="P361" i="7"/>
  <c r="AX151" i="2"/>
  <c r="L200" i="20"/>
  <c r="AC200" i="20" s="1"/>
  <c r="M200" i="20"/>
  <c r="AD200" i="20" s="1"/>
  <c r="Z153" i="7"/>
  <c r="Z471" i="12"/>
  <c r="CN27" i="11"/>
  <c r="X143" i="12"/>
  <c r="CK85" i="6"/>
  <c r="CE85" i="6"/>
  <c r="BT223" i="17"/>
  <c r="BU223" i="17" s="1"/>
  <c r="BV223" i="17" s="1"/>
  <c r="BW223" i="17" s="1"/>
  <c r="BV224" i="17"/>
  <c r="BT66" i="17"/>
  <c r="BU66" i="17" s="1"/>
  <c r="BV66" i="17" s="1"/>
  <c r="BW66" i="17" s="1"/>
  <c r="BV67" i="17"/>
  <c r="AL111" i="17"/>
  <c r="N150" i="12"/>
  <c r="AN116" i="17"/>
  <c r="AO116" i="17"/>
  <c r="AM116" i="17"/>
  <c r="AL117" i="17"/>
  <c r="AK107" i="17"/>
  <c r="V111" i="17"/>
  <c r="J150" i="12"/>
  <c r="X116" i="17"/>
  <c r="Y116" i="17"/>
  <c r="W116" i="17"/>
  <c r="V117" i="17"/>
  <c r="U107" i="17"/>
  <c r="Z362" i="7"/>
  <c r="Z368" i="7"/>
  <c r="X362" i="7"/>
  <c r="X368" i="7"/>
  <c r="V362" i="7"/>
  <c r="V368" i="7"/>
  <c r="T362" i="7"/>
  <c r="T368" i="7"/>
  <c r="R362" i="7"/>
  <c r="R368" i="7"/>
  <c r="P362" i="7"/>
  <c r="P368" i="7"/>
  <c r="N362" i="7"/>
  <c r="N368" i="7"/>
  <c r="L362" i="7"/>
  <c r="L368" i="7"/>
  <c r="EO32" i="6"/>
  <c r="AD730" i="7"/>
  <c r="G201" i="2"/>
  <c r="EO10" i="6"/>
  <c r="S367" i="7"/>
  <c r="S361" i="7"/>
  <c r="U157" i="8"/>
  <c r="U150" i="8"/>
  <c r="Q157" i="8"/>
  <c r="Q150" i="8"/>
  <c r="M157" i="8"/>
  <c r="M150" i="8"/>
  <c r="I157" i="8"/>
  <c r="I150" i="8"/>
  <c r="AD33" i="8"/>
  <c r="AX207" i="17"/>
  <c r="BA212" i="17"/>
  <c r="AZ212" i="17"/>
  <c r="AW203" i="17"/>
  <c r="Q154" i="12"/>
  <c r="AY212" i="17"/>
  <c r="AX213" i="17"/>
  <c r="R207" i="17"/>
  <c r="U212" i="17"/>
  <c r="T212" i="17"/>
  <c r="Q203" i="17"/>
  <c r="I154" i="12"/>
  <c r="S212" i="17"/>
  <c r="R213" i="17"/>
  <c r="EN32" i="6"/>
  <c r="AD713" i="7"/>
  <c r="AD302" i="7"/>
  <c r="AD303" i="7" s="1"/>
  <c r="EH81" i="6"/>
  <c r="R153" i="8"/>
  <c r="R160" i="8"/>
  <c r="N273" i="7"/>
  <c r="J153" i="8"/>
  <c r="J160" i="8"/>
  <c r="AA387" i="7"/>
  <c r="AA378" i="7"/>
  <c r="AA381" i="7"/>
  <c r="AA237" i="8"/>
  <c r="EA40" i="6"/>
  <c r="ED89" i="6"/>
  <c r="X791" i="7"/>
  <c r="X466" i="12"/>
  <c r="X473" i="12" s="1"/>
  <c r="CQ40" i="6"/>
  <c r="CW89" i="6" s="1"/>
  <c r="CT89" i="6"/>
  <c r="AD626" i="7"/>
  <c r="AD267" i="7"/>
  <c r="EP24" i="6"/>
  <c r="EP74" i="6"/>
  <c r="AX222" i="2"/>
  <c r="L419" i="20"/>
  <c r="AC419" i="20" s="1"/>
  <c r="M419" i="20"/>
  <c r="AD419" i="20" s="1"/>
  <c r="DT18" i="6"/>
  <c r="DT67" i="6" s="1"/>
  <c r="DO67" i="6"/>
  <c r="CV18" i="6"/>
  <c r="CV67" i="6" s="1"/>
  <c r="CQ67" i="6"/>
  <c r="BX18" i="6"/>
  <c r="BX67" i="6" s="1"/>
  <c r="BS67" i="6"/>
  <c r="AZ18" i="6"/>
  <c r="AZ67" i="6" s="1"/>
  <c r="AU67" i="6"/>
  <c r="AB18" i="6"/>
  <c r="AB67" i="6" s="1"/>
  <c r="AC144" i="8"/>
  <c r="S661" i="7"/>
  <c r="O661" i="7"/>
  <c r="R459" i="7"/>
  <c r="R388" i="7"/>
  <c r="R382" i="7"/>
  <c r="K84" i="8"/>
  <c r="EQ32" i="6"/>
  <c r="AD780" i="7"/>
  <c r="AU210" i="2"/>
  <c r="G387" i="20"/>
  <c r="X387" i="20" s="1"/>
  <c r="F387" i="20"/>
  <c r="W387" i="20" s="1"/>
  <c r="D101" i="2"/>
  <c r="E101" i="2"/>
  <c r="Z345" i="12"/>
  <c r="Z340" i="12"/>
  <c r="Z347" i="12" s="1"/>
  <c r="W143" i="12"/>
  <c r="CI27" i="11"/>
  <c r="W12" i="11"/>
  <c r="T14" i="11"/>
  <c r="BR234" i="17"/>
  <c r="BQ222" i="17"/>
  <c r="BR77" i="17"/>
  <c r="BQ62" i="17"/>
  <c r="CP177" i="17"/>
  <c r="CO165" i="17"/>
  <c r="CS246" i="17"/>
  <c r="CS248" i="17"/>
  <c r="CS247" i="17"/>
  <c r="BF111" i="17"/>
  <c r="S150" i="12"/>
  <c r="BI116" i="17"/>
  <c r="BF117" i="17"/>
  <c r="BE107" i="17"/>
  <c r="BG116" i="17"/>
  <c r="BH116" i="17"/>
  <c r="Z111" i="17"/>
  <c r="K150" i="12"/>
  <c r="AC116" i="17"/>
  <c r="Z117" i="17"/>
  <c r="Y107" i="17"/>
  <c r="AA116" i="17"/>
  <c r="AB116" i="17"/>
  <c r="AC146" i="8"/>
  <c r="W229" i="7"/>
  <c r="U160" i="8"/>
  <c r="U153" i="8"/>
  <c r="Z195" i="7"/>
  <c r="Z189" i="7"/>
  <c r="Z360" i="7"/>
  <c r="Z366" i="7"/>
  <c r="Z357" i="7"/>
  <c r="V458" i="7"/>
  <c r="V381" i="7"/>
  <c r="V387" i="7"/>
  <c r="V378" i="7"/>
  <c r="V237" i="8"/>
  <c r="R195" i="7"/>
  <c r="R189" i="7"/>
  <c r="R360" i="7"/>
  <c r="R366" i="7"/>
  <c r="R357" i="7"/>
  <c r="N458" i="7"/>
  <c r="N381" i="7"/>
  <c r="N387" i="7"/>
  <c r="N378" i="7"/>
  <c r="N237" i="8"/>
  <c r="F225" i="2"/>
  <c r="AC487" i="7"/>
  <c r="AC630" i="7"/>
  <c r="AC651" i="7" s="1"/>
  <c r="AC497" i="7"/>
  <c r="G207" i="2"/>
  <c r="EO30" i="6"/>
  <c r="Y388" i="7"/>
  <c r="Y382" i="7"/>
  <c r="Y459" i="7"/>
  <c r="Q388" i="7"/>
  <c r="Q382" i="7"/>
  <c r="Q459" i="7"/>
  <c r="AD23" i="8"/>
  <c r="G177" i="2"/>
  <c r="AX177" i="2" s="1"/>
  <c r="AX14" i="11"/>
  <c r="AY12" i="11"/>
  <c r="BA12" i="11"/>
  <c r="AU274" i="2"/>
  <c r="E245" i="20"/>
  <c r="V245" i="20" s="1"/>
  <c r="E246" i="20"/>
  <c r="V246" i="20" s="1"/>
  <c r="AU275" i="2"/>
  <c r="AU273" i="2"/>
  <c r="E244" i="20"/>
  <c r="V244" i="20" s="1"/>
  <c r="AL207" i="17"/>
  <c r="AN212" i="17"/>
  <c r="AM212" i="17"/>
  <c r="AL213" i="17"/>
  <c r="N154" i="12"/>
  <c r="AO212" i="17"/>
  <c r="AK203" i="17"/>
  <c r="M212" i="17"/>
  <c r="L212" i="17"/>
  <c r="K212" i="17"/>
  <c r="I203" i="17"/>
  <c r="CS142" i="17"/>
  <c r="CS129" i="17"/>
  <c r="AC772" i="7"/>
  <c r="BW49" i="6"/>
  <c r="BW97" i="6"/>
  <c r="EF33" i="6"/>
  <c r="EF82" i="6" s="1"/>
  <c r="EA82" i="6"/>
  <c r="X229" i="7"/>
  <c r="Z273" i="7"/>
  <c r="T273" i="7"/>
  <c r="L153" i="8"/>
  <c r="L160" i="8"/>
  <c r="I237" i="8"/>
  <c r="DS89" i="6"/>
  <c r="AA389" i="7"/>
  <c r="AA460" i="7"/>
  <c r="AA383" i="7"/>
  <c r="Y389" i="7"/>
  <c r="Y460" i="7"/>
  <c r="Y383" i="7"/>
  <c r="W389" i="7"/>
  <c r="W460" i="7"/>
  <c r="W383" i="7"/>
  <c r="U389" i="7"/>
  <c r="U460" i="7"/>
  <c r="U383" i="7"/>
  <c r="S389" i="7"/>
  <c r="S460" i="7"/>
  <c r="S383" i="7"/>
  <c r="Q389" i="7"/>
  <c r="Q460" i="7"/>
  <c r="Q383" i="7"/>
  <c r="O389" i="7"/>
  <c r="O460" i="7"/>
  <c r="O383" i="7"/>
  <c r="M389" i="7"/>
  <c r="M460" i="7"/>
  <c r="M383" i="7"/>
  <c r="Z459" i="7"/>
  <c r="Z388" i="7"/>
  <c r="Z382" i="7"/>
  <c r="T459" i="7"/>
  <c r="T388" i="7"/>
  <c r="T382" i="7"/>
  <c r="L459" i="7"/>
  <c r="L388" i="7"/>
  <c r="L382" i="7"/>
  <c r="O84" i="8"/>
  <c r="O116" i="8"/>
  <c r="O147" i="8"/>
  <c r="Y153" i="7"/>
  <c r="Y471" i="12"/>
  <c r="X153" i="7"/>
  <c r="X471" i="12"/>
  <c r="CY96" i="6"/>
  <c r="DB47" i="6"/>
  <c r="DB96" i="6" s="1"/>
  <c r="E102" i="2"/>
  <c r="AV102" i="2" s="1"/>
  <c r="DE96" i="6"/>
  <c r="DH47" i="6"/>
  <c r="DH96" i="6" s="1"/>
  <c r="AB176" i="12"/>
  <c r="AB144" i="12"/>
  <c r="DH30" i="11" s="1"/>
  <c r="Z144" i="12"/>
  <c r="CX30" i="11" s="1"/>
  <c r="Z176" i="12"/>
  <c r="CZ17" i="11"/>
  <c r="X144" i="12"/>
  <c r="CN30" i="11" s="1"/>
  <c r="CP17" i="11"/>
  <c r="X176" i="12"/>
  <c r="V176" i="12"/>
  <c r="CF17" i="11"/>
  <c r="V144" i="12"/>
  <c r="CD30" i="11" s="1"/>
  <c r="CU88" i="11"/>
  <c r="Y84" i="12"/>
  <c r="BE27" i="11"/>
  <c r="Q143" i="12"/>
  <c r="BR80" i="17"/>
  <c r="BQ65" i="17"/>
  <c r="BJ111" i="17"/>
  <c r="T150" i="12"/>
  <c r="BL116" i="17"/>
  <c r="BM116" i="17"/>
  <c r="BK116" i="17"/>
  <c r="BJ117" i="17"/>
  <c r="BI107" i="17"/>
  <c r="DM48" i="6"/>
  <c r="DS97" i="6" s="1"/>
  <c r="BQ97" i="6"/>
  <c r="BQ49" i="6"/>
  <c r="S160" i="8"/>
  <c r="S153" i="8"/>
  <c r="X458" i="7"/>
  <c r="X381" i="7"/>
  <c r="X387" i="7"/>
  <c r="X378" i="7"/>
  <c r="X237" i="8"/>
  <c r="T195" i="7"/>
  <c r="T189" i="7"/>
  <c r="T360" i="7"/>
  <c r="T366" i="7"/>
  <c r="T357" i="7"/>
  <c r="P458" i="7"/>
  <c r="P381" i="7"/>
  <c r="P387" i="7"/>
  <c r="P378" i="7"/>
  <c r="P237" i="8"/>
  <c r="L195" i="7"/>
  <c r="L366" i="7"/>
  <c r="L357" i="7"/>
  <c r="W367" i="7"/>
  <c r="W361" i="7"/>
  <c r="O367" i="7"/>
  <c r="O361" i="7"/>
  <c r="T84" i="8"/>
  <c r="T116" i="8"/>
  <c r="T123" i="8" s="1"/>
  <c r="T147" i="8"/>
  <c r="U154" i="8" s="1"/>
  <c r="L84" i="8"/>
  <c r="L116" i="8"/>
  <c r="L123" i="8" s="1"/>
  <c r="L147" i="8"/>
  <c r="M154" i="8" s="1"/>
  <c r="I84" i="8"/>
  <c r="AP207" i="17"/>
  <c r="AS212" i="17"/>
  <c r="AR212" i="17"/>
  <c r="AO203" i="17"/>
  <c r="O154" i="12"/>
  <c r="AQ212" i="17"/>
  <c r="AP213" i="17"/>
  <c r="DG48" i="6"/>
  <c r="BK97" i="6"/>
  <c r="BK49" i="6"/>
  <c r="EA27" i="6"/>
  <c r="EA76" i="6" s="1"/>
  <c r="EB76" i="6"/>
  <c r="V273" i="7"/>
  <c r="EA59" i="6"/>
  <c r="EF17" i="6"/>
  <c r="EF66" i="6" s="1"/>
  <c r="W387" i="7"/>
  <c r="W378" i="7"/>
  <c r="W458" i="7"/>
  <c r="W381" i="7"/>
  <c r="W237" i="8"/>
  <c r="S195" i="7"/>
  <c r="S189" i="7"/>
  <c r="S366" i="7"/>
  <c r="S357" i="7"/>
  <c r="S360" i="7"/>
  <c r="O387" i="7"/>
  <c r="O378" i="7"/>
  <c r="O458" i="7"/>
  <c r="O381" i="7"/>
  <c r="O237" i="8"/>
  <c r="DB40" i="6"/>
  <c r="DB89" i="6" s="1"/>
  <c r="BF40" i="6"/>
  <c r="BF89" i="6" s="1"/>
  <c r="DC40" i="6"/>
  <c r="DI89" i="6" s="1"/>
  <c r="DF89" i="6"/>
  <c r="CE40" i="6"/>
  <c r="CH89" i="6"/>
  <c r="BG40" i="6"/>
  <c r="BM89" i="6" s="1"/>
  <c r="BJ89" i="6"/>
  <c r="AI40" i="6"/>
  <c r="AL89" i="6"/>
  <c r="K40" i="6"/>
  <c r="Q89" i="6" s="1"/>
  <c r="N89" i="6"/>
  <c r="E232" i="2"/>
  <c r="AV232" i="2" s="1"/>
  <c r="DH18" i="6"/>
  <c r="DH67" i="6" s="1"/>
  <c r="DC67" i="6"/>
  <c r="CJ18" i="6"/>
  <c r="CJ67" i="6" s="1"/>
  <c r="CE67" i="6"/>
  <c r="BL18" i="6"/>
  <c r="BL67" i="6" s="1"/>
  <c r="BG67" i="6"/>
  <c r="AN18" i="6"/>
  <c r="AN67" i="6" s="1"/>
  <c r="P18" i="6"/>
  <c r="P67" i="6" s="1"/>
  <c r="Y661" i="7"/>
  <c r="W661" i="7"/>
  <c r="V367" i="7"/>
  <c r="V361" i="7"/>
  <c r="N367" i="7"/>
  <c r="N361" i="7"/>
  <c r="Z254" i="8"/>
  <c r="V157" i="8"/>
  <c r="V150" i="8"/>
  <c r="R157" i="8"/>
  <c r="R150" i="8"/>
  <c r="N157" i="8"/>
  <c r="N150" i="8"/>
  <c r="J157" i="8"/>
  <c r="J150" i="8"/>
  <c r="EN40" i="6"/>
  <c r="AD723" i="7"/>
  <c r="G25" i="21"/>
  <c r="G22" i="21"/>
  <c r="G60" i="21" s="1"/>
  <c r="G82" i="21" s="1"/>
  <c r="DW96" i="6"/>
  <c r="DZ47" i="6"/>
  <c r="DZ96" i="6" s="1"/>
  <c r="CD27" i="11"/>
  <c r="V143" i="12"/>
  <c r="AP27" i="11"/>
  <c r="N143" i="12"/>
  <c r="DQ96" i="6"/>
  <c r="DT47" i="6"/>
  <c r="DT96" i="6" s="1"/>
  <c r="O143" i="12"/>
  <c r="AU27" i="11"/>
  <c r="U12" i="11"/>
  <c r="D24" i="21"/>
  <c r="D19" i="21"/>
  <c r="D21" i="21"/>
  <c r="DN40" i="6"/>
  <c r="DN89" i="6" s="1"/>
  <c r="BR40" i="6"/>
  <c r="BR89" i="6" s="1"/>
  <c r="T89" i="6"/>
  <c r="Y316" i="17"/>
  <c r="Y318" i="17" s="1"/>
  <c r="V295" i="17"/>
  <c r="V297" i="17" s="1"/>
  <c r="D291" i="2"/>
  <c r="C291" i="2" s="1"/>
  <c r="G67" i="20" s="1"/>
  <c r="X67" i="20" s="1"/>
  <c r="AU108" i="2"/>
  <c r="D312" i="2"/>
  <c r="D313" i="2" s="1"/>
  <c r="BF295" i="17"/>
  <c r="BF297" i="17" s="1"/>
  <c r="BK333" i="17"/>
  <c r="CA333" i="17"/>
  <c r="BI333" i="17"/>
  <c r="BS333" i="17"/>
  <c r="CC333" i="17"/>
  <c r="BM333" i="17"/>
  <c r="AU333" i="17"/>
  <c r="AM333" i="17"/>
  <c r="AE333" i="17"/>
  <c r="O333" i="17"/>
  <c r="BW333" i="17"/>
  <c r="E225" i="20"/>
  <c r="V225" i="20" s="1"/>
  <c r="BC333" i="17"/>
  <c r="AO333" i="17"/>
  <c r="BY333" i="17"/>
  <c r="BQ333" i="17"/>
  <c r="BJ316" i="17"/>
  <c r="BJ283" i="17" s="1"/>
  <c r="BK282" i="17"/>
  <c r="BL282" i="17"/>
  <c r="BL316" i="17" s="1"/>
  <c r="BL283" i="17" s="1"/>
  <c r="BM282" i="17"/>
  <c r="BM316" i="17" s="1"/>
  <c r="BM283" i="17" s="1"/>
  <c r="BJ295" i="17"/>
  <c r="BN282" i="17"/>
  <c r="AT110" i="2"/>
  <c r="AD175" i="12"/>
  <c r="F111" i="2" s="1"/>
  <c r="AW111" i="2" s="1"/>
  <c r="DS103" i="11"/>
  <c r="DU101" i="11"/>
  <c r="DX101" i="11" s="1"/>
  <c r="EJ37" i="6"/>
  <c r="AC427" i="7"/>
  <c r="AC421" i="7"/>
  <c r="AC194" i="12"/>
  <c r="DD14" i="11"/>
  <c r="DB14" i="11"/>
  <c r="CZ14" i="11"/>
  <c r="DA16" i="11"/>
  <c r="DV78" i="6"/>
  <c r="DV34" i="6"/>
  <c r="DU29" i="6"/>
  <c r="DK34" i="6"/>
  <c r="CM34" i="6"/>
  <c r="CA34" i="6"/>
  <c r="BO78" i="6"/>
  <c r="BO34" i="6"/>
  <c r="BC34" i="6"/>
  <c r="AE78" i="6"/>
  <c r="AE34" i="6"/>
  <c r="E312" i="2"/>
  <c r="AV108" i="2"/>
  <c r="AA139" i="12"/>
  <c r="DC26" i="11" s="1"/>
  <c r="DD11" i="11"/>
  <c r="AA73" i="12" s="1"/>
  <c r="DE12" i="11"/>
  <c r="O139" i="12"/>
  <c r="AU26" i="11" s="1"/>
  <c r="AV11" i="11"/>
  <c r="O73" i="12" s="1"/>
  <c r="AW12" i="11"/>
  <c r="K139" i="12"/>
  <c r="AA26" i="11" s="1"/>
  <c r="AB11" i="11"/>
  <c r="K73" i="12" s="1"/>
  <c r="AC12" i="11"/>
  <c r="DW34" i="6"/>
  <c r="DP78" i="6"/>
  <c r="DP34" i="6"/>
  <c r="CR78" i="6"/>
  <c r="CR34" i="6"/>
  <c r="AD172" i="12"/>
  <c r="F108" i="2" s="1"/>
  <c r="AW108" i="2" s="1"/>
  <c r="DU87" i="11"/>
  <c r="DX87" i="11" s="1"/>
  <c r="DF34" i="6"/>
  <c r="CT78" i="6"/>
  <c r="CT34" i="6"/>
  <c r="CN78" i="6"/>
  <c r="CN34" i="6"/>
  <c r="CH78" i="6"/>
  <c r="CH34" i="6"/>
  <c r="CB78" i="6"/>
  <c r="CB34" i="6"/>
  <c r="BV78" i="6"/>
  <c r="BV34" i="6"/>
  <c r="BP78" i="6"/>
  <c r="BP34" i="6"/>
  <c r="BJ34" i="6"/>
  <c r="AR78" i="6"/>
  <c r="AR34" i="6"/>
  <c r="AL78" i="6"/>
  <c r="AL34" i="6"/>
  <c r="AF78" i="6"/>
  <c r="AF34" i="6"/>
  <c r="Z78" i="6"/>
  <c r="Z34" i="6"/>
  <c r="T34" i="6"/>
  <c r="CA334" i="17"/>
  <c r="CB334" i="17"/>
  <c r="CC336" i="17"/>
  <c r="CD336" i="17"/>
  <c r="CB337" i="17"/>
  <c r="CA337" i="17"/>
  <c r="CC334" i="17"/>
  <c r="CD334" i="17"/>
  <c r="CA336" i="17"/>
  <c r="CB336" i="17"/>
  <c r="CD337" i="17"/>
  <c r="CC337" i="17"/>
  <c r="CB335" i="17"/>
  <c r="CA335" i="17"/>
  <c r="CD335" i="17"/>
  <c r="CC335" i="17"/>
  <c r="CD333" i="17"/>
  <c r="BU333" i="17"/>
  <c r="BK334" i="17"/>
  <c r="BL334" i="17"/>
  <c r="BM336" i="17"/>
  <c r="BN336" i="17"/>
  <c r="BL337" i="17"/>
  <c r="BK337" i="17"/>
  <c r="BM334" i="17"/>
  <c r="BN334" i="17"/>
  <c r="BK336" i="17"/>
  <c r="BL336" i="17"/>
  <c r="BN337" i="17"/>
  <c r="BM337" i="17"/>
  <c r="BM335" i="17"/>
  <c r="BL335" i="17"/>
  <c r="BK335" i="17"/>
  <c r="BN335" i="17"/>
  <c r="BN333" i="17"/>
  <c r="BF319" i="17"/>
  <c r="BF321" i="17" s="1"/>
  <c r="BF287" i="17"/>
  <c r="BC338" i="17"/>
  <c r="BD338" i="17"/>
  <c r="BE334" i="17"/>
  <c r="BF334" i="17"/>
  <c r="BC336" i="17"/>
  <c r="BD336" i="17"/>
  <c r="BF337" i="17"/>
  <c r="BE337" i="17"/>
  <c r="BC334" i="17"/>
  <c r="BD334" i="17"/>
  <c r="BE336" i="17"/>
  <c r="BF336" i="17"/>
  <c r="BD337" i="17"/>
  <c r="BC337" i="17"/>
  <c r="BD335" i="17"/>
  <c r="BC335" i="17"/>
  <c r="BF335" i="17"/>
  <c r="BE335" i="17"/>
  <c r="BF333" i="17"/>
  <c r="AU338" i="17"/>
  <c r="AV338" i="17"/>
  <c r="AU334" i="17"/>
  <c r="AV334" i="17"/>
  <c r="AW336" i="17"/>
  <c r="AX336" i="17"/>
  <c r="AV337" i="17"/>
  <c r="AU337" i="17"/>
  <c r="AW334" i="17"/>
  <c r="AX334" i="17"/>
  <c r="AU336" i="17"/>
  <c r="AV336" i="17"/>
  <c r="AX337" i="17"/>
  <c r="AW337" i="17"/>
  <c r="AX335" i="17"/>
  <c r="AW335" i="17"/>
  <c r="AV335" i="17"/>
  <c r="AU335" i="17"/>
  <c r="AX333" i="17"/>
  <c r="AO338" i="17"/>
  <c r="AM338" i="17"/>
  <c r="AN338" i="17"/>
  <c r="AO334" i="17"/>
  <c r="AP334" i="17"/>
  <c r="AM336" i="17"/>
  <c r="AN336" i="17"/>
  <c r="AP337" i="17"/>
  <c r="AO337" i="17"/>
  <c r="AP335" i="17"/>
  <c r="AO335" i="17"/>
  <c r="AM334" i="17"/>
  <c r="AN334" i="17"/>
  <c r="AO336" i="17"/>
  <c r="AP336" i="17"/>
  <c r="AN337" i="17"/>
  <c r="AM337" i="17"/>
  <c r="AN335" i="17"/>
  <c r="AM335" i="17"/>
  <c r="AP333" i="17"/>
  <c r="AH319" i="17"/>
  <c r="AH321" i="17" s="1"/>
  <c r="AH287" i="17"/>
  <c r="AE338" i="17"/>
  <c r="AF338" i="17"/>
  <c r="AE334" i="17"/>
  <c r="AF334" i="17"/>
  <c r="AG336" i="17"/>
  <c r="AH336" i="17"/>
  <c r="AF337" i="17"/>
  <c r="AE337" i="17"/>
  <c r="AG334" i="17"/>
  <c r="AH334" i="17"/>
  <c r="AE336" i="17"/>
  <c r="AF336" i="17"/>
  <c r="AH337" i="17"/>
  <c r="AG337" i="17"/>
  <c r="AF335" i="17"/>
  <c r="AE335" i="17"/>
  <c r="AH335" i="17"/>
  <c r="AG335" i="17"/>
  <c r="AH333" i="17"/>
  <c r="R319" i="17"/>
  <c r="R321" i="17" s="1"/>
  <c r="R287" i="17"/>
  <c r="Q338" i="17"/>
  <c r="O338" i="17"/>
  <c r="P338" i="17"/>
  <c r="O334" i="17"/>
  <c r="P334" i="17"/>
  <c r="Q336" i="17"/>
  <c r="R336" i="17"/>
  <c r="P337" i="17"/>
  <c r="O337" i="17"/>
  <c r="Q334" i="17"/>
  <c r="R334" i="17"/>
  <c r="O336" i="17"/>
  <c r="P336" i="17"/>
  <c r="R337" i="17"/>
  <c r="Q337" i="17"/>
  <c r="R335" i="17"/>
  <c r="Q335" i="17"/>
  <c r="P335" i="17"/>
  <c r="O335" i="17"/>
  <c r="R333" i="17"/>
  <c r="E145" i="2"/>
  <c r="DF76" i="11"/>
  <c r="DX34" i="6"/>
  <c r="BI78" i="6"/>
  <c r="BI34" i="6"/>
  <c r="AK78" i="6"/>
  <c r="AK34" i="6"/>
  <c r="Y34" i="6"/>
  <c r="BW334" i="17"/>
  <c r="BX334" i="17"/>
  <c r="BY336" i="17"/>
  <c r="BZ336" i="17"/>
  <c r="BZ337" i="17"/>
  <c r="BY337" i="17"/>
  <c r="BY334" i="17"/>
  <c r="BZ334" i="17"/>
  <c r="BW336" i="17"/>
  <c r="BX336" i="17"/>
  <c r="BX337" i="17"/>
  <c r="BW337" i="17"/>
  <c r="BW335" i="17"/>
  <c r="BZ335" i="17"/>
  <c r="BY335" i="17"/>
  <c r="BX335" i="17"/>
  <c r="BZ333" i="17"/>
  <c r="BO333" i="17"/>
  <c r="BG333" i="17"/>
  <c r="AY333" i="17"/>
  <c r="BB284" i="17"/>
  <c r="AQ333" i="17"/>
  <c r="AT316" i="17"/>
  <c r="AT318" i="17" s="1"/>
  <c r="AT284" i="17"/>
  <c r="AI333" i="17"/>
  <c r="AP316" i="17"/>
  <c r="AP318" i="17" s="1"/>
  <c r="AL316" i="17"/>
  <c r="AL318" i="17" s="1"/>
  <c r="AL284" i="17"/>
  <c r="AA333" i="17"/>
  <c r="AD316" i="17"/>
  <c r="AD318" i="17" s="1"/>
  <c r="AD284" i="17"/>
  <c r="S333" i="17"/>
  <c r="V316" i="17"/>
  <c r="V318" i="17" s="1"/>
  <c r="V284" i="17"/>
  <c r="AC436" i="12"/>
  <c r="AC441" i="12" s="1"/>
  <c r="W139" i="12"/>
  <c r="CI26" i="11" s="1"/>
  <c r="CJ11" i="11"/>
  <c r="W73" i="12" s="1"/>
  <c r="CK12" i="11"/>
  <c r="BZ34" i="6"/>
  <c r="BY29" i="6"/>
  <c r="AT295" i="17"/>
  <c r="AT297" i="17" s="1"/>
  <c r="AC446" i="12"/>
  <c r="AC451" i="12" s="1"/>
  <c r="DD34" i="6"/>
  <c r="CF78" i="6"/>
  <c r="CF34" i="6"/>
  <c r="R78" i="6"/>
  <c r="R34" i="6"/>
  <c r="E143" i="2"/>
  <c r="BU334" i="17"/>
  <c r="BV334" i="17"/>
  <c r="BS336" i="17"/>
  <c r="BT336" i="17"/>
  <c r="BV337" i="17"/>
  <c r="BU337" i="17"/>
  <c r="BS334" i="17"/>
  <c r="BT334" i="17"/>
  <c r="BU336" i="17"/>
  <c r="BV336" i="17"/>
  <c r="BT337" i="17"/>
  <c r="BS337" i="17"/>
  <c r="BT335" i="17"/>
  <c r="BS335" i="17"/>
  <c r="BV335" i="17"/>
  <c r="BU335" i="17"/>
  <c r="BV333" i="17"/>
  <c r="BF316" i="17"/>
  <c r="BF318" i="17" s="1"/>
  <c r="BF284" i="17"/>
  <c r="AH316" i="17"/>
  <c r="AH318" i="17" s="1"/>
  <c r="AH284" i="17"/>
  <c r="Z316" i="17"/>
  <c r="Z318" i="17" s="1"/>
  <c r="Z284" i="17"/>
  <c r="R316" i="17"/>
  <c r="R318" i="17" s="1"/>
  <c r="R284" i="17"/>
  <c r="R295" i="17"/>
  <c r="R297" i="17" s="1"/>
  <c r="AD174" i="12"/>
  <c r="F110" i="2" s="1"/>
  <c r="DS105" i="11"/>
  <c r="DU102" i="11"/>
  <c r="DX102" i="11" s="1"/>
  <c r="BQ334" i="17"/>
  <c r="BR334" i="17"/>
  <c r="BO336" i="17"/>
  <c r="BP336" i="17"/>
  <c r="BP337" i="17"/>
  <c r="BO337" i="17"/>
  <c r="BO334" i="17"/>
  <c r="BP334" i="17"/>
  <c r="BQ336" i="17"/>
  <c r="BR336" i="17"/>
  <c r="BR337" i="17"/>
  <c r="BQ337" i="17"/>
  <c r="BP335" i="17"/>
  <c r="BO335" i="17"/>
  <c r="BR335" i="17"/>
  <c r="BQ335" i="17"/>
  <c r="BR333" i="17"/>
  <c r="BJ285" i="17"/>
  <c r="BG338" i="17"/>
  <c r="BH338" i="17"/>
  <c r="BG334" i="17"/>
  <c r="BH334" i="17"/>
  <c r="BI336" i="17"/>
  <c r="BJ336" i="17"/>
  <c r="BJ337" i="17"/>
  <c r="BI337" i="17"/>
  <c r="BI334" i="17"/>
  <c r="BJ334" i="17"/>
  <c r="BG336" i="17"/>
  <c r="BH336" i="17"/>
  <c r="BH337" i="17"/>
  <c r="BG337" i="17"/>
  <c r="BJ335" i="17"/>
  <c r="BI335" i="17"/>
  <c r="BH335" i="17"/>
  <c r="BG335" i="17"/>
  <c r="BJ333" i="17"/>
  <c r="BB287" i="17"/>
  <c r="AY338" i="17"/>
  <c r="AZ338" i="17"/>
  <c r="BA334" i="17"/>
  <c r="BB334" i="17"/>
  <c r="AY336" i="17"/>
  <c r="AZ336" i="17"/>
  <c r="AZ337" i="17"/>
  <c r="AY337" i="17"/>
  <c r="AY334" i="17"/>
  <c r="AZ334" i="17"/>
  <c r="BA336" i="17"/>
  <c r="BB336" i="17"/>
  <c r="BB337" i="17"/>
  <c r="BA337" i="17"/>
  <c r="AZ335" i="17"/>
  <c r="AY335" i="17"/>
  <c r="BB335" i="17"/>
  <c r="BA335" i="17"/>
  <c r="BB333" i="17"/>
  <c r="AT319" i="17"/>
  <c r="AT321" i="17" s="1"/>
  <c r="AT287" i="17"/>
  <c r="AQ338" i="17"/>
  <c r="AR338" i="17"/>
  <c r="AQ334" i="17"/>
  <c r="AR334" i="17"/>
  <c r="AS336" i="17"/>
  <c r="AT336" i="17"/>
  <c r="AT337" i="17"/>
  <c r="AS337" i="17"/>
  <c r="AS334" i="17"/>
  <c r="AT334" i="17"/>
  <c r="AQ336" i="17"/>
  <c r="AR336" i="17"/>
  <c r="AR337" i="17"/>
  <c r="AQ337" i="17"/>
  <c r="AR335" i="17"/>
  <c r="AQ335" i="17"/>
  <c r="AT335" i="17"/>
  <c r="AS335" i="17"/>
  <c r="AT333" i="17"/>
  <c r="AP319" i="17"/>
  <c r="AP321" i="17" s="1"/>
  <c r="AL319" i="17"/>
  <c r="AL321" i="17" s="1"/>
  <c r="AL287" i="17"/>
  <c r="AI338" i="17"/>
  <c r="AJ338" i="17"/>
  <c r="AK334" i="17"/>
  <c r="AL334" i="17"/>
  <c r="AI336" i="17"/>
  <c r="AJ336" i="17"/>
  <c r="AJ337" i="17"/>
  <c r="AI337" i="17"/>
  <c r="AI334" i="17"/>
  <c r="AJ334" i="17"/>
  <c r="AK336" i="17"/>
  <c r="AL336" i="17"/>
  <c r="AL337" i="17"/>
  <c r="AK337" i="17"/>
  <c r="AL335" i="17"/>
  <c r="AJ335" i="17"/>
  <c r="AI335" i="17"/>
  <c r="AK335" i="17"/>
  <c r="AL333" i="17"/>
  <c r="AD287" i="17"/>
  <c r="AA338" i="17"/>
  <c r="AB338" i="17"/>
  <c r="AA334" i="17"/>
  <c r="AB334" i="17"/>
  <c r="AC336" i="17"/>
  <c r="AD336" i="17"/>
  <c r="AD337" i="17"/>
  <c r="AC337" i="17"/>
  <c r="AC334" i="17"/>
  <c r="AD334" i="17"/>
  <c r="AA336" i="17"/>
  <c r="AB336" i="17"/>
  <c r="AB337" i="17"/>
  <c r="AA337" i="17"/>
  <c r="AD335" i="17"/>
  <c r="AC335" i="17"/>
  <c r="AB335" i="17"/>
  <c r="AA335" i="17"/>
  <c r="AD333" i="17"/>
  <c r="V319" i="17"/>
  <c r="V321" i="17" s="1"/>
  <c r="V287" i="17"/>
  <c r="U338" i="17"/>
  <c r="S338" i="17"/>
  <c r="T338" i="17"/>
  <c r="U334" i="17"/>
  <c r="V334" i="17"/>
  <c r="S336" i="17"/>
  <c r="T336" i="17"/>
  <c r="T337" i="17"/>
  <c r="S337" i="17"/>
  <c r="S334" i="17"/>
  <c r="T334" i="17"/>
  <c r="U336" i="17"/>
  <c r="V336" i="17"/>
  <c r="V337" i="17"/>
  <c r="U337" i="17"/>
  <c r="T335" i="17"/>
  <c r="S335" i="17"/>
  <c r="V335" i="17"/>
  <c r="U335" i="17"/>
  <c r="V333" i="17"/>
  <c r="U139" i="12"/>
  <c r="BY26" i="11" s="1"/>
  <c r="BZ11" i="11"/>
  <c r="U73" i="12" s="1"/>
  <c r="CA12" i="11"/>
  <c r="Q139" i="12"/>
  <c r="BE26" i="11" s="1"/>
  <c r="BF11" i="11"/>
  <c r="Q73" i="12" s="1"/>
  <c r="BG12" i="11"/>
  <c r="M139" i="12"/>
  <c r="AK26" i="11" s="1"/>
  <c r="AL11" i="11"/>
  <c r="M73" i="12" s="1"/>
  <c r="AM12" i="11"/>
  <c r="I139" i="12"/>
  <c r="Q26" i="11" s="1"/>
  <c r="R11" i="11"/>
  <c r="I73" i="12" s="1"/>
  <c r="S12" i="11"/>
  <c r="Z95" i="12"/>
  <c r="Z141" i="12"/>
  <c r="CX28" i="11" s="1"/>
  <c r="CY16" i="11"/>
  <c r="CX16" i="11" s="1"/>
  <c r="BP14" i="11"/>
  <c r="BM16" i="11"/>
  <c r="DV58" i="11"/>
  <c r="AD218" i="12" s="1"/>
  <c r="AD204" i="12" s="1"/>
  <c r="DJ78" i="6"/>
  <c r="DJ34" i="6"/>
  <c r="CL78" i="6"/>
  <c r="CL34" i="6"/>
  <c r="CK29" i="6"/>
  <c r="BN78" i="6"/>
  <c r="BN34" i="6"/>
  <c r="BM29" i="6"/>
  <c r="BH34" i="6"/>
  <c r="BG29" i="6"/>
  <c r="AJ34" i="6"/>
  <c r="AI29" i="6"/>
  <c r="L78" i="6"/>
  <c r="L34" i="6"/>
  <c r="BB295" i="17"/>
  <c r="BB297" i="17" s="1"/>
  <c r="AL295" i="17"/>
  <c r="AL297" i="17" s="1"/>
  <c r="V298" i="17"/>
  <c r="V300" i="17" s="1"/>
  <c r="Z295" i="17"/>
  <c r="Z297" i="17" s="1"/>
  <c r="AD772" i="7" l="1"/>
  <c r="F240" i="2" s="1"/>
  <c r="DS88" i="11"/>
  <c r="AD84" i="12" s="1"/>
  <c r="DU86" i="11"/>
  <c r="DP15" i="11"/>
  <c r="DQ15" i="11" s="1"/>
  <c r="DI11" i="11"/>
  <c r="AB73" i="12" s="1"/>
  <c r="DM65" i="11"/>
  <c r="DO65" i="11"/>
  <c r="DO9" i="11" s="1"/>
  <c r="CT65" i="17"/>
  <c r="CT81" i="17" s="1"/>
  <c r="E240" i="2"/>
  <c r="AV240" i="2" s="1"/>
  <c r="AC339" i="12"/>
  <c r="AC346" i="12" s="1"/>
  <c r="DQ78" i="11"/>
  <c r="G459" i="7"/>
  <c r="H465" i="7" s="1"/>
  <c r="H382" i="7"/>
  <c r="AU71" i="6"/>
  <c r="I189" i="7"/>
  <c r="H189" i="7"/>
  <c r="BA71" i="6"/>
  <c r="AJ71" i="6"/>
  <c r="AI67" i="6"/>
  <c r="W67" i="6"/>
  <c r="AV78" i="6"/>
  <c r="K67" i="6"/>
  <c r="AO71" i="6"/>
  <c r="Y71" i="6"/>
  <c r="BB78" i="6"/>
  <c r="AW78" i="6"/>
  <c r="K71" i="6"/>
  <c r="K237" i="8"/>
  <c r="F217" i="2"/>
  <c r="AW217" i="2" s="1"/>
  <c r="G357" i="7"/>
  <c r="G369" i="7" s="1"/>
  <c r="H361" i="7"/>
  <c r="AA49" i="6"/>
  <c r="AD29" i="6"/>
  <c r="AC22" i="6"/>
  <c r="AC71" i="6" s="1"/>
  <c r="Q67" i="6"/>
  <c r="O49" i="6"/>
  <c r="Q22" i="6"/>
  <c r="Q71" i="6" s="1"/>
  <c r="S29" i="6"/>
  <c r="AC67" i="6"/>
  <c r="I565" i="7"/>
  <c r="I466" i="7"/>
  <c r="I472" i="7"/>
  <c r="I459" i="7"/>
  <c r="I461" i="7" s="1"/>
  <c r="I388" i="7"/>
  <c r="I382" i="7"/>
  <c r="J466" i="7"/>
  <c r="J472" i="7"/>
  <c r="J565" i="7"/>
  <c r="G565" i="7"/>
  <c r="G472" i="7"/>
  <c r="H384" i="7"/>
  <c r="H390" i="7"/>
  <c r="K471" i="7"/>
  <c r="K564" i="7"/>
  <c r="K465" i="7"/>
  <c r="H564" i="7"/>
  <c r="H471" i="7"/>
  <c r="I378" i="7"/>
  <c r="J471" i="7"/>
  <c r="J564" i="7"/>
  <c r="H466" i="7"/>
  <c r="H472" i="7"/>
  <c r="H565" i="7"/>
  <c r="K360" i="7"/>
  <c r="K366" i="7"/>
  <c r="K357" i="7"/>
  <c r="L363" i="7" s="1"/>
  <c r="K195" i="7"/>
  <c r="K189" i="7"/>
  <c r="H369" i="7"/>
  <c r="J357" i="7"/>
  <c r="J366" i="7"/>
  <c r="J382" i="7"/>
  <c r="J195" i="7"/>
  <c r="J189" i="7"/>
  <c r="I464" i="7"/>
  <c r="I476" i="7"/>
  <c r="I563" i="7"/>
  <c r="I470" i="7"/>
  <c r="G476" i="7"/>
  <c r="G563" i="7"/>
  <c r="G470" i="7"/>
  <c r="K565" i="7"/>
  <c r="K472" i="7"/>
  <c r="K466" i="7"/>
  <c r="I640" i="7"/>
  <c r="I632" i="7"/>
  <c r="K381" i="7"/>
  <c r="K458" i="7"/>
  <c r="L464" i="7" s="1"/>
  <c r="K387" i="7"/>
  <c r="K378" i="7"/>
  <c r="L384" i="7" s="1"/>
  <c r="I361" i="7"/>
  <c r="I367" i="7"/>
  <c r="H470" i="7"/>
  <c r="H563" i="7"/>
  <c r="H461" i="7"/>
  <c r="H464" i="7"/>
  <c r="H476" i="7"/>
  <c r="J387" i="7"/>
  <c r="J458" i="7"/>
  <c r="J461" i="7" s="1"/>
  <c r="J378" i="7"/>
  <c r="J381" i="7"/>
  <c r="H640" i="7"/>
  <c r="H632" i="7"/>
  <c r="I357" i="7"/>
  <c r="AA154" i="8"/>
  <c r="Z107" i="8"/>
  <c r="AD51" i="7"/>
  <c r="EW24" i="6"/>
  <c r="EQ24" i="6"/>
  <c r="EQ73" i="6" s="1"/>
  <c r="AD779" i="7"/>
  <c r="V650" i="7"/>
  <c r="V640" i="7"/>
  <c r="X650" i="7"/>
  <c r="J19" i="21"/>
  <c r="S154" i="8"/>
  <c r="J21" i="21"/>
  <c r="J25" i="21" s="1"/>
  <c r="Z665" i="7"/>
  <c r="AE381" i="12"/>
  <c r="H19" i="21"/>
  <c r="E24" i="21"/>
  <c r="E19" i="21"/>
  <c r="H21" i="21"/>
  <c r="H22" i="21" s="1"/>
  <c r="H60" i="21" s="1"/>
  <c r="H82" i="21" s="1"/>
  <c r="R675" i="7"/>
  <c r="H104" i="20"/>
  <c r="Y104" i="20" s="1"/>
  <c r="AX116" i="2"/>
  <c r="L112" i="20"/>
  <c r="AC112" i="20" s="1"/>
  <c r="BB123" i="2"/>
  <c r="P112" i="20"/>
  <c r="AG112" i="20" s="1"/>
  <c r="BF123" i="2"/>
  <c r="T675" i="7"/>
  <c r="BK69" i="17"/>
  <c r="BK85" i="17" s="1"/>
  <c r="L21" i="21"/>
  <c r="L22" i="21" s="1"/>
  <c r="L60" i="21" s="1"/>
  <c r="L64" i="21" s="1"/>
  <c r="L65" i="21" s="1"/>
  <c r="L88" i="21" s="1"/>
  <c r="L87" i="21" s="1"/>
  <c r="L24" i="21"/>
  <c r="N632" i="7"/>
  <c r="BL70" i="17"/>
  <c r="BM70" i="17" s="1"/>
  <c r="BM69" i="17" s="1"/>
  <c r="CT337" i="17"/>
  <c r="CT335" i="17"/>
  <c r="CR335" i="17"/>
  <c r="CS334" i="17"/>
  <c r="CQ334" i="17"/>
  <c r="CR333" i="17"/>
  <c r="CS335" i="17"/>
  <c r="CQ335" i="17"/>
  <c r="CT334" i="17"/>
  <c r="CR334" i="17"/>
  <c r="CT333" i="17"/>
  <c r="CQ333" i="17"/>
  <c r="CS336" i="17"/>
  <c r="CR336" i="17"/>
  <c r="CQ336" i="17"/>
  <c r="CT336" i="17"/>
  <c r="CV307" i="17"/>
  <c r="CV308" i="17" s="1"/>
  <c r="CW306" i="17"/>
  <c r="CR337" i="17"/>
  <c r="E265" i="2"/>
  <c r="AV265" i="2" s="1"/>
  <c r="CS337" i="17"/>
  <c r="P632" i="7"/>
  <c r="G465" i="20"/>
  <c r="X465" i="20" s="1"/>
  <c r="L640" i="7"/>
  <c r="L485" i="20"/>
  <c r="AC485" i="20" s="1"/>
  <c r="AW201" i="2"/>
  <c r="K377" i="20"/>
  <c r="AB377" i="20" s="1"/>
  <c r="M24" i="21"/>
  <c r="J376" i="20"/>
  <c r="AA376" i="20" s="1"/>
  <c r="M19" i="21"/>
  <c r="AB650" i="7"/>
  <c r="M640" i="7"/>
  <c r="AW202" i="2"/>
  <c r="Q21" i="21"/>
  <c r="Q22" i="21" s="1"/>
  <c r="Q60" i="21" s="1"/>
  <c r="Q82" i="21" s="1"/>
  <c r="Q19" i="21"/>
  <c r="P675" i="7"/>
  <c r="N675" i="7"/>
  <c r="O118" i="8"/>
  <c r="O125" i="8" s="1"/>
  <c r="S24" i="21"/>
  <c r="N19" i="21"/>
  <c r="S19" i="21"/>
  <c r="F223" i="2"/>
  <c r="AW223" i="2" s="1"/>
  <c r="M485" i="20"/>
  <c r="AD485" i="20" s="1"/>
  <c r="N24" i="21"/>
  <c r="EG32" i="6"/>
  <c r="EG81" i="6" s="1"/>
  <c r="AW243" i="2"/>
  <c r="J485" i="20"/>
  <c r="AA485" i="20" s="1"/>
  <c r="Y650" i="7"/>
  <c r="AD59" i="7"/>
  <c r="U675" i="7"/>
  <c r="AD659" i="7"/>
  <c r="EH27" i="6"/>
  <c r="EG27" i="6" s="1"/>
  <c r="EG76" i="6" s="1"/>
  <c r="U665" i="7"/>
  <c r="L483" i="20"/>
  <c r="AC483" i="20" s="1"/>
  <c r="J410" i="20"/>
  <c r="AA410" i="20" s="1"/>
  <c r="AV276" i="2"/>
  <c r="M483" i="20"/>
  <c r="AD483" i="20" s="1"/>
  <c r="J382" i="20"/>
  <c r="AA382" i="20" s="1"/>
  <c r="K410" i="20"/>
  <c r="AB410" i="20" s="1"/>
  <c r="AW207" i="2"/>
  <c r="I21" i="21"/>
  <c r="I25" i="21" s="1"/>
  <c r="R19" i="21"/>
  <c r="I24" i="21"/>
  <c r="R24" i="21"/>
  <c r="AC303" i="7"/>
  <c r="AC707" i="7"/>
  <c r="AC709" i="7" s="1"/>
  <c r="E191" i="2" s="1"/>
  <c r="AV191" i="2" s="1"/>
  <c r="R640" i="7"/>
  <c r="R632" i="7"/>
  <c r="X123" i="8"/>
  <c r="T632" i="7"/>
  <c r="T640" i="7"/>
  <c r="L665" i="7"/>
  <c r="J383" i="20"/>
  <c r="AA383" i="20" s="1"/>
  <c r="I123" i="8"/>
  <c r="AE772" i="7"/>
  <c r="AE773" i="7" s="1"/>
  <c r="AE774" i="7" s="1"/>
  <c r="AE485" i="7"/>
  <c r="AE630" i="7" s="1"/>
  <c r="AE651" i="7" s="1"/>
  <c r="ES28" i="6"/>
  <c r="EP92" i="6"/>
  <c r="AA686" i="7"/>
  <c r="AA675" i="7"/>
  <c r="G245" i="20"/>
  <c r="X245" i="20" s="1"/>
  <c r="F246" i="20"/>
  <c r="W246" i="20" s="1"/>
  <c r="ET81" i="6"/>
  <c r="G246" i="20"/>
  <c r="X246" i="20" s="1"/>
  <c r="ES33" i="6"/>
  <c r="G453" i="20"/>
  <c r="X453" i="20" s="1"/>
  <c r="G247" i="20"/>
  <c r="X247" i="20" s="1"/>
  <c r="P24" i="21"/>
  <c r="P21" i="21"/>
  <c r="P22" i="21" s="1"/>
  <c r="P60" i="21" s="1"/>
  <c r="P82" i="21" s="1"/>
  <c r="ET73" i="6"/>
  <c r="F280" i="20"/>
  <c r="W280" i="20" s="1"/>
  <c r="ET77" i="6"/>
  <c r="G244" i="20"/>
  <c r="X244" i="20" s="1"/>
  <c r="I304" i="20"/>
  <c r="Z304" i="20" s="1"/>
  <c r="O19" i="21"/>
  <c r="I387" i="20"/>
  <c r="Z387" i="20" s="1"/>
  <c r="AD588" i="7"/>
  <c r="AD593" i="7" s="1"/>
  <c r="AE164" i="7"/>
  <c r="DB326" i="17"/>
  <c r="AE380" i="12"/>
  <c r="Q665" i="7"/>
  <c r="Q640" i="7"/>
  <c r="X665" i="7"/>
  <c r="O24" i="21"/>
  <c r="AE303" i="7"/>
  <c r="ET27" i="6"/>
  <c r="ES27" i="6" s="1"/>
  <c r="AE310" i="7"/>
  <c r="AE707" i="7"/>
  <c r="AE709" i="7" s="1"/>
  <c r="AE628" i="7"/>
  <c r="ET10" i="6"/>
  <c r="ES10" i="6" s="1"/>
  <c r="AE50" i="7"/>
  <c r="AE51" i="7" s="1"/>
  <c r="M665" i="7"/>
  <c r="H387" i="20"/>
  <c r="Y387" i="20" s="1"/>
  <c r="D241" i="2"/>
  <c r="AT258" i="2"/>
  <c r="Y640" i="7"/>
  <c r="J304" i="20"/>
  <c r="AA304" i="20" s="1"/>
  <c r="X675" i="7"/>
  <c r="U650" i="7"/>
  <c r="AE660" i="7"/>
  <c r="EV92" i="6"/>
  <c r="EW28" i="6"/>
  <c r="AE339" i="7"/>
  <c r="AE778" i="7"/>
  <c r="ET35" i="6"/>
  <c r="ES35" i="6" s="1"/>
  <c r="AE402" i="7"/>
  <c r="AE399" i="7"/>
  <c r="AE626" i="7"/>
  <c r="AE267" i="7"/>
  <c r="AE742" i="7"/>
  <c r="AD61" i="8"/>
  <c r="AE33" i="8"/>
  <c r="AE61" i="8" s="1"/>
  <c r="Z675" i="7"/>
  <c r="ET82" i="6"/>
  <c r="G217" i="2"/>
  <c r="AX217" i="2" s="1"/>
  <c r="AE43" i="8"/>
  <c r="AE24" i="8"/>
  <c r="AE8" i="8"/>
  <c r="DB325" i="17"/>
  <c r="AE379" i="12"/>
  <c r="AV223" i="2"/>
  <c r="I420" i="20"/>
  <c r="Z420" i="20" s="1"/>
  <c r="H420" i="20"/>
  <c r="Y420" i="20" s="1"/>
  <c r="ES32" i="6"/>
  <c r="DB328" i="17"/>
  <c r="AE382" i="12"/>
  <c r="EV40" i="6"/>
  <c r="EV89" i="6" s="1"/>
  <c r="C292" i="2"/>
  <c r="G68" i="20" s="1"/>
  <c r="X68" i="20" s="1"/>
  <c r="AD408" i="12"/>
  <c r="AD420" i="12" s="1"/>
  <c r="F284" i="20"/>
  <c r="W284" i="20" s="1"/>
  <c r="C301" i="2"/>
  <c r="G278" i="20" s="1"/>
  <c r="X278" i="20" s="1"/>
  <c r="G102" i="2"/>
  <c r="AX102" i="2" s="1"/>
  <c r="F318" i="2"/>
  <c r="G252" i="2"/>
  <c r="M540" i="20" s="1"/>
  <c r="AD540" i="20" s="1"/>
  <c r="G137" i="2"/>
  <c r="L486" i="20" s="1"/>
  <c r="AC486" i="20" s="1"/>
  <c r="H68" i="20"/>
  <c r="Y68" i="20" s="1"/>
  <c r="P30" i="12"/>
  <c r="AW110" i="2"/>
  <c r="C321" i="2"/>
  <c r="M488" i="20"/>
  <c r="AD488" i="20" s="1"/>
  <c r="L488" i="20"/>
  <c r="AC488" i="20" s="1"/>
  <c r="AV145" i="2"/>
  <c r="H185" i="20"/>
  <c r="Y185" i="20" s="1"/>
  <c r="H184" i="20"/>
  <c r="Y184" i="20" s="1"/>
  <c r="I185" i="20"/>
  <c r="Z185" i="20" s="1"/>
  <c r="I184" i="20"/>
  <c r="Z184" i="20" s="1"/>
  <c r="E317" i="2"/>
  <c r="H501" i="20"/>
  <c r="Y501" i="20" s="1"/>
  <c r="G501" i="20"/>
  <c r="X501" i="20" s="1"/>
  <c r="F225" i="20"/>
  <c r="W225" i="20" s="1"/>
  <c r="D286" i="2"/>
  <c r="C286" i="2" s="1"/>
  <c r="G62" i="20" s="1"/>
  <c r="X62" i="20" s="1"/>
  <c r="AV143" i="2"/>
  <c r="H188" i="20"/>
  <c r="Y188" i="20" s="1"/>
  <c r="G500" i="20"/>
  <c r="X500" i="20" s="1"/>
  <c r="I180" i="20"/>
  <c r="Z180" i="20" s="1"/>
  <c r="E311" i="2"/>
  <c r="H189" i="20"/>
  <c r="Y189" i="20" s="1"/>
  <c r="I181" i="20"/>
  <c r="Z181" i="20" s="1"/>
  <c r="G508" i="20"/>
  <c r="X508" i="20" s="1"/>
  <c r="G502" i="20"/>
  <c r="X502" i="20" s="1"/>
  <c r="H181" i="20"/>
  <c r="Y181" i="20" s="1"/>
  <c r="H500" i="20"/>
  <c r="Y500" i="20" s="1"/>
  <c r="H180" i="20"/>
  <c r="Y180" i="20" s="1"/>
  <c r="EP73" i="6"/>
  <c r="EV73" i="6"/>
  <c r="EO59" i="6"/>
  <c r="EU59" i="6"/>
  <c r="EO82" i="6"/>
  <c r="EU82" i="6"/>
  <c r="EQ79" i="6"/>
  <c r="EW79" i="6"/>
  <c r="EQ66" i="6"/>
  <c r="EW66" i="6"/>
  <c r="EQ67" i="6"/>
  <c r="EW67" i="6"/>
  <c r="EQ65" i="6"/>
  <c r="EW65" i="6"/>
  <c r="EN89" i="6"/>
  <c r="ET89" i="6"/>
  <c r="EQ81" i="6"/>
  <c r="EW81" i="6"/>
  <c r="EO58" i="6"/>
  <c r="EU58" i="6"/>
  <c r="EO84" i="6"/>
  <c r="EU84" i="6"/>
  <c r="EO81" i="6"/>
  <c r="EU81" i="6"/>
  <c r="EO77" i="6"/>
  <c r="EU77" i="6"/>
  <c r="EP69" i="6"/>
  <c r="EV69" i="6"/>
  <c r="EO89" i="6"/>
  <c r="EU89" i="6"/>
  <c r="EO94" i="6"/>
  <c r="EU94" i="6"/>
  <c r="EO79" i="6"/>
  <c r="EU79" i="6"/>
  <c r="DX122" i="11"/>
  <c r="DZ87" i="11"/>
  <c r="AE172" i="12"/>
  <c r="DX103" i="11"/>
  <c r="AE175" i="12"/>
  <c r="DZ101" i="11"/>
  <c r="EA58" i="11"/>
  <c r="AE218" i="12" s="1"/>
  <c r="AE204" i="12" s="1"/>
  <c r="AE402" i="12" s="1"/>
  <c r="DX126" i="11"/>
  <c r="AE174" i="12"/>
  <c r="DZ102" i="11"/>
  <c r="DX105" i="11"/>
  <c r="DZ64" i="11"/>
  <c r="EA64" i="11" s="1"/>
  <c r="AE224" i="12" s="1"/>
  <c r="AE211" i="12" s="1"/>
  <c r="AE170" i="12"/>
  <c r="DB68" i="17"/>
  <c r="CE76" i="11"/>
  <c r="CF76" i="11" s="1"/>
  <c r="AX284" i="17"/>
  <c r="M34" i="6"/>
  <c r="M39" i="6" s="1"/>
  <c r="BZ78" i="6"/>
  <c r="BT34" i="6"/>
  <c r="BT39" i="6" s="1"/>
  <c r="AW34" i="6"/>
  <c r="BC83" i="6" s="1"/>
  <c r="CD65" i="11"/>
  <c r="CF65" i="11"/>
  <c r="DQ34" i="6"/>
  <c r="DQ83" i="6" s="1"/>
  <c r="DW78" i="6"/>
  <c r="BB316" i="17"/>
  <c r="BB318" i="17" s="1"/>
  <c r="DJ65" i="11"/>
  <c r="DI124" i="11"/>
  <c r="DI125" i="11" s="1"/>
  <c r="AB30" i="12"/>
  <c r="AD402" i="12"/>
  <c r="AD414" i="12" s="1"/>
  <c r="DO29" i="6"/>
  <c r="DU78" i="6" s="1"/>
  <c r="AE394" i="12"/>
  <c r="AE397" i="12" s="1"/>
  <c r="AE248" i="12"/>
  <c r="AE255" i="12" s="1"/>
  <c r="O123" i="8"/>
  <c r="AA123" i="8"/>
  <c r="AD628" i="7"/>
  <c r="AD165" i="7"/>
  <c r="U632" i="7"/>
  <c r="S123" i="8"/>
  <c r="Y123" i="8"/>
  <c r="AD742" i="7"/>
  <c r="F210" i="2" s="1"/>
  <c r="DE78" i="6"/>
  <c r="AX316" i="17"/>
  <c r="AX318" i="17" s="1"/>
  <c r="R76" i="11"/>
  <c r="S76" i="11" s="1"/>
  <c r="AX319" i="17"/>
  <c r="AX321" i="17" s="1"/>
  <c r="DL34" i="6"/>
  <c r="DI34" i="6" s="1"/>
  <c r="Q65" i="11"/>
  <c r="N30" i="12"/>
  <c r="AB14" i="11"/>
  <c r="AC14" i="11" s="1"/>
  <c r="C104" i="2"/>
  <c r="AT104" i="2" s="1"/>
  <c r="DO71" i="6"/>
  <c r="Z14" i="11"/>
  <c r="AE14" i="11"/>
  <c r="D289" i="2"/>
  <c r="C289" i="2" s="1"/>
  <c r="G153" i="20" s="1"/>
  <c r="X153" i="20" s="1"/>
  <c r="AR65" i="11"/>
  <c r="DI14" i="11"/>
  <c r="DI16" i="11" s="1"/>
  <c r="CY78" i="6"/>
  <c r="F25" i="21"/>
  <c r="E318" i="2"/>
  <c r="AD173" i="12"/>
  <c r="CS34" i="6"/>
  <c r="CS39" i="6" s="1"/>
  <c r="DI29" i="6"/>
  <c r="CG16" i="11"/>
  <c r="CH16" i="11" s="1"/>
  <c r="CS78" i="6"/>
  <c r="W30" i="12"/>
  <c r="K30" i="12"/>
  <c r="DO13" i="11"/>
  <c r="DP13" i="11" s="1"/>
  <c r="DQ13" i="11" s="1"/>
  <c r="AI16" i="11"/>
  <c r="BU78" i="6"/>
  <c r="BU34" i="6"/>
  <c r="BU39" i="6" s="1"/>
  <c r="BS29" i="6"/>
  <c r="BS78" i="6" s="1"/>
  <c r="CS65" i="11"/>
  <c r="DI71" i="6"/>
  <c r="CJ14" i="11"/>
  <c r="W95" i="12" s="1"/>
  <c r="Y139" i="12"/>
  <c r="CS26" i="11" s="1"/>
  <c r="BB319" i="17"/>
  <c r="BB321" i="17" s="1"/>
  <c r="AP65" i="11"/>
  <c r="CQ71" i="6"/>
  <c r="CY76" i="11"/>
  <c r="I30" i="12"/>
  <c r="BY71" i="6"/>
  <c r="DR78" i="6"/>
  <c r="AO14" i="11"/>
  <c r="O11" i="23"/>
  <c r="AX287" i="17"/>
  <c r="DS90" i="11"/>
  <c r="CJ76" i="11"/>
  <c r="CK76" i="11" s="1"/>
  <c r="AA65" i="11"/>
  <c r="AB76" i="11"/>
  <c r="AC76" i="11" s="1"/>
  <c r="CZ65" i="11"/>
  <c r="CY124" i="11"/>
  <c r="CY125" i="11" s="1"/>
  <c r="CE71" i="6"/>
  <c r="CX65" i="11"/>
  <c r="U30" i="12"/>
  <c r="H152" i="20"/>
  <c r="Y152" i="20" s="1"/>
  <c r="DG14" i="11"/>
  <c r="BD34" i="6"/>
  <c r="BD39" i="6" s="1"/>
  <c r="CZ34" i="6"/>
  <c r="CZ39" i="6" s="1"/>
  <c r="DG16" i="11"/>
  <c r="AV76" i="11"/>
  <c r="AW76" i="11" s="1"/>
  <c r="CI65" i="11"/>
  <c r="BC16" i="11"/>
  <c r="N34" i="6"/>
  <c r="DR34" i="6"/>
  <c r="DX83" i="6" s="1"/>
  <c r="H171" i="12"/>
  <c r="DX78" i="6"/>
  <c r="W337" i="17"/>
  <c r="BB34" i="6"/>
  <c r="BB39" i="6" s="1"/>
  <c r="W333" i="17"/>
  <c r="BZ76" i="11"/>
  <c r="DE65" i="11"/>
  <c r="K29" i="6"/>
  <c r="K78" i="6" s="1"/>
  <c r="BH78" i="6"/>
  <c r="H138" i="12"/>
  <c r="L25" i="11" s="1"/>
  <c r="CX78" i="6"/>
  <c r="X336" i="17"/>
  <c r="CA65" i="11"/>
  <c r="BI14" i="11"/>
  <c r="V65" i="11"/>
  <c r="J30" i="12"/>
  <c r="X65" i="11"/>
  <c r="BT11" i="11"/>
  <c r="BT81" i="11" s="1"/>
  <c r="BU81" i="11" s="1"/>
  <c r="BV81" i="11" s="1"/>
  <c r="AP34" i="6"/>
  <c r="AP39" i="6" s="1"/>
  <c r="BL65" i="11"/>
  <c r="BJ65" i="11"/>
  <c r="DU71" i="6"/>
  <c r="N11" i="11"/>
  <c r="CC14" i="11"/>
  <c r="T171" i="12"/>
  <c r="L11" i="11"/>
  <c r="L81" i="11" s="1"/>
  <c r="M81" i="11" s="1"/>
  <c r="N81" i="11" s="1"/>
  <c r="BK76" i="11"/>
  <c r="BL76" i="11" s="1"/>
  <c r="DB73" i="11"/>
  <c r="DG73" i="11"/>
  <c r="DA74" i="11"/>
  <c r="AY14" i="11"/>
  <c r="CZ78" i="6"/>
  <c r="CQ97" i="11"/>
  <c r="AQ34" i="6"/>
  <c r="AQ83" i="6" s="1"/>
  <c r="CL112" i="11"/>
  <c r="X78" i="6"/>
  <c r="CU12" i="11"/>
  <c r="AO29" i="6"/>
  <c r="AO78" i="6" s="1"/>
  <c r="AU65" i="11"/>
  <c r="BS71" i="6"/>
  <c r="O30" i="12"/>
  <c r="DD76" i="11"/>
  <c r="CR14" i="11"/>
  <c r="BM71" i="6"/>
  <c r="CG34" i="6"/>
  <c r="CG83" i="6" s="1"/>
  <c r="CV111" i="11"/>
  <c r="DA111" i="11" s="1"/>
  <c r="Z138" i="12"/>
  <c r="CX25" i="11" s="1"/>
  <c r="W29" i="6"/>
  <c r="AV34" i="6"/>
  <c r="AV39" i="6" s="1"/>
  <c r="DE34" i="6"/>
  <c r="DE39" i="6" s="1"/>
  <c r="Y30" i="12"/>
  <c r="M30" i="12"/>
  <c r="CW71" i="6"/>
  <c r="CE29" i="6"/>
  <c r="CE78" i="6" s="1"/>
  <c r="CZ11" i="11"/>
  <c r="AU29" i="6"/>
  <c r="BP11" i="11"/>
  <c r="S73" i="12" s="1"/>
  <c r="CG78" i="6"/>
  <c r="AX34" i="6"/>
  <c r="AX83" i="6" s="1"/>
  <c r="BA29" i="6"/>
  <c r="DK78" i="6"/>
  <c r="CT76" i="11"/>
  <c r="CU76" i="11" s="1"/>
  <c r="AK65" i="11"/>
  <c r="P14" i="11"/>
  <c r="CW29" i="6"/>
  <c r="CW78" i="6" s="1"/>
  <c r="CE16" i="11"/>
  <c r="CD16" i="11" s="1"/>
  <c r="BX14" i="11"/>
  <c r="Y335" i="17"/>
  <c r="X334" i="17"/>
  <c r="X338" i="17"/>
  <c r="AS16" i="11"/>
  <c r="BG65" i="11"/>
  <c r="DC71" i="6"/>
  <c r="DD124" i="11"/>
  <c r="DD125" i="11" s="1"/>
  <c r="T139" i="12"/>
  <c r="BT26" i="11" s="1"/>
  <c r="T95" i="12"/>
  <c r="J440" i="20"/>
  <c r="AA440" i="20" s="1"/>
  <c r="J438" i="20"/>
  <c r="AA438" i="20" s="1"/>
  <c r="AW234" i="2"/>
  <c r="G256" i="2"/>
  <c r="AX256" i="2" s="1"/>
  <c r="G254" i="2"/>
  <c r="AX254" i="2" s="1"/>
  <c r="G253" i="2"/>
  <c r="AX253" i="2" s="1"/>
  <c r="G255" i="2"/>
  <c r="AX255" i="2" s="1"/>
  <c r="G239" i="2"/>
  <c r="G238" i="2"/>
  <c r="J439" i="20"/>
  <c r="AA439" i="20" s="1"/>
  <c r="AW235" i="2"/>
  <c r="BV11" i="11"/>
  <c r="T138" i="12"/>
  <c r="BT25" i="11" s="1"/>
  <c r="DC29" i="6"/>
  <c r="DD78" i="6"/>
  <c r="CK71" i="6"/>
  <c r="BQ12" i="11"/>
  <c r="BW16" i="11"/>
  <c r="CC16" i="11" s="1"/>
  <c r="Z319" i="17"/>
  <c r="Z321" i="17" s="1"/>
  <c r="N78" i="6"/>
  <c r="AL76" i="11"/>
  <c r="AM76" i="11" s="1"/>
  <c r="EG40" i="6"/>
  <c r="EG89" i="6" s="1"/>
  <c r="L65" i="11"/>
  <c r="AA30" i="12"/>
  <c r="N65" i="11"/>
  <c r="BV12" i="11"/>
  <c r="H30" i="12"/>
  <c r="D104" i="2"/>
  <c r="AU104" i="2" s="1"/>
  <c r="M14" i="11"/>
  <c r="N14" i="11" s="1"/>
  <c r="E106" i="2"/>
  <c r="AV106" i="2" s="1"/>
  <c r="CX11" i="11"/>
  <c r="CX81" i="11" s="1"/>
  <c r="CY81" i="11" s="1"/>
  <c r="CZ81" i="11" s="1"/>
  <c r="Z171" i="12"/>
  <c r="R14" i="11"/>
  <c r="I141" i="12" s="1"/>
  <c r="Q28" i="11" s="1"/>
  <c r="BV14" i="11"/>
  <c r="X335" i="17"/>
  <c r="Z336" i="17"/>
  <c r="Y337" i="17"/>
  <c r="Z334" i="17"/>
  <c r="BD78" i="6"/>
  <c r="BE65" i="11"/>
  <c r="DA97" i="6"/>
  <c r="CN65" i="11"/>
  <c r="CO76" i="11"/>
  <c r="CP76" i="11" s="1"/>
  <c r="CP65" i="11"/>
  <c r="AT14" i="11"/>
  <c r="Y333" i="17"/>
  <c r="AZ65" i="11"/>
  <c r="BB65" i="11"/>
  <c r="CF14" i="11"/>
  <c r="CW14" i="11"/>
  <c r="CQ16" i="11"/>
  <c r="CW16" i="11" s="1"/>
  <c r="Z333" i="17"/>
  <c r="W335" i="17"/>
  <c r="Z335" i="17"/>
  <c r="X337" i="17"/>
  <c r="Y336" i="17"/>
  <c r="W334" i="17"/>
  <c r="Z337" i="17"/>
  <c r="W336" i="17"/>
  <c r="Y334" i="17"/>
  <c r="W338" i="17"/>
  <c r="BU16" i="11"/>
  <c r="BT16" i="11" s="1"/>
  <c r="BF76" i="11"/>
  <c r="BG76" i="11" s="1"/>
  <c r="EF47" i="6"/>
  <c r="EF96" i="6" s="1"/>
  <c r="AH65" i="11"/>
  <c r="V95" i="12"/>
  <c r="T30" i="12"/>
  <c r="BU76" i="11"/>
  <c r="BV76" i="11" s="1"/>
  <c r="BT65" i="11"/>
  <c r="BG71" i="6"/>
  <c r="AD319" i="17"/>
  <c r="AD321" i="17" s="1"/>
  <c r="AS338" i="17"/>
  <c r="BA338" i="17"/>
  <c r="Z287" i="17"/>
  <c r="AW338" i="17"/>
  <c r="BP76" i="11"/>
  <c r="BQ76" i="11" s="1"/>
  <c r="AC338" i="17"/>
  <c r="AK338" i="17"/>
  <c r="H150" i="20"/>
  <c r="Y150" i="20" s="1"/>
  <c r="S30" i="12"/>
  <c r="BO65" i="11"/>
  <c r="AG338" i="17"/>
  <c r="BE338" i="17"/>
  <c r="L30" i="12"/>
  <c r="AG76" i="11"/>
  <c r="DS60" i="11"/>
  <c r="DR60" i="11" s="1"/>
  <c r="AD178" i="12"/>
  <c r="F131" i="2" s="1"/>
  <c r="AW131" i="2" s="1"/>
  <c r="DU59" i="11"/>
  <c r="DX59" i="11" s="1"/>
  <c r="CO14" i="11"/>
  <c r="CL16" i="11"/>
  <c r="AC30" i="12"/>
  <c r="DN124" i="11"/>
  <c r="DN125" i="11" s="1"/>
  <c r="AD169" i="12"/>
  <c r="F105" i="2" s="1"/>
  <c r="AW105" i="2" s="1"/>
  <c r="DU63" i="11"/>
  <c r="CM14" i="11"/>
  <c r="BI338" i="17"/>
  <c r="E139" i="2"/>
  <c r="AV139" i="2" s="1"/>
  <c r="AC403" i="12"/>
  <c r="AC415" i="12" s="1"/>
  <c r="CP12" i="11"/>
  <c r="CO11" i="11"/>
  <c r="X139" i="12"/>
  <c r="CN26" i="11" s="1"/>
  <c r="AC407" i="12"/>
  <c r="AC419" i="12" s="1"/>
  <c r="C312" i="2"/>
  <c r="Z2" i="12"/>
  <c r="CX4" i="11" s="1"/>
  <c r="AJ14" i="11"/>
  <c r="BN14" i="11"/>
  <c r="V338" i="17"/>
  <c r="BJ338" i="17"/>
  <c r="BD14" i="11"/>
  <c r="E230" i="20"/>
  <c r="V230" i="20" s="1"/>
  <c r="CE11" i="11"/>
  <c r="CF12" i="11"/>
  <c r="V139" i="12"/>
  <c r="CD26" i="11" s="1"/>
  <c r="Y338" i="17"/>
  <c r="C318" i="2"/>
  <c r="EM10" i="6"/>
  <c r="C294" i="2"/>
  <c r="E294" i="2"/>
  <c r="AN16" i="11"/>
  <c r="AQ14" i="11"/>
  <c r="AQ11" i="11"/>
  <c r="AR12" i="11"/>
  <c r="N139" i="12"/>
  <c r="AP26" i="11" s="1"/>
  <c r="D318" i="2"/>
  <c r="D319" i="2" s="1"/>
  <c r="D293" i="2"/>
  <c r="AU110" i="2"/>
  <c r="Y686" i="7"/>
  <c r="Y675" i="7"/>
  <c r="Y665" i="7"/>
  <c r="K89" i="6"/>
  <c r="P40" i="6"/>
  <c r="P89" i="6" s="1"/>
  <c r="AI89" i="6"/>
  <c r="AN40" i="6"/>
  <c r="AN89" i="6" s="1"/>
  <c r="BL40" i="6"/>
  <c r="BL89" i="6" s="1"/>
  <c r="BG89" i="6"/>
  <c r="CJ40" i="6"/>
  <c r="CJ89" i="6" s="1"/>
  <c r="CE89" i="6"/>
  <c r="DH40" i="6"/>
  <c r="DH89" i="6" s="1"/>
  <c r="DC89" i="6"/>
  <c r="O390" i="7"/>
  <c r="O384" i="7"/>
  <c r="W390" i="7"/>
  <c r="W384" i="7"/>
  <c r="DG97" i="6"/>
  <c r="DG49" i="6"/>
  <c r="P563" i="7"/>
  <c r="P476" i="7"/>
  <c r="P470" i="7"/>
  <c r="P461" i="7"/>
  <c r="P456" i="7"/>
  <c r="P464" i="7"/>
  <c r="X563" i="7"/>
  <c r="X476" i="7"/>
  <c r="X470" i="7"/>
  <c r="X461" i="7"/>
  <c r="X456" i="7"/>
  <c r="X464" i="7"/>
  <c r="T564" i="7"/>
  <c r="T471" i="7"/>
  <c r="T465" i="7"/>
  <c r="O565" i="7"/>
  <c r="O472" i="7"/>
  <c r="O466" i="7"/>
  <c r="S565" i="7"/>
  <c r="S472" i="7"/>
  <c r="S466" i="7"/>
  <c r="W472" i="7"/>
  <c r="W565" i="7"/>
  <c r="W466" i="7"/>
  <c r="AA472" i="7"/>
  <c r="AA565" i="7"/>
  <c r="AA466" i="7"/>
  <c r="AB632" i="7"/>
  <c r="AC464" i="12"/>
  <c r="AC153" i="7" s="1"/>
  <c r="AC773" i="7"/>
  <c r="AC774" i="7" s="1"/>
  <c r="P139" i="12"/>
  <c r="AZ26" i="11" s="1"/>
  <c r="BA11" i="11"/>
  <c r="BB12" i="11"/>
  <c r="AX16" i="11"/>
  <c r="BA14" i="11"/>
  <c r="Q564" i="7"/>
  <c r="Q471" i="7"/>
  <c r="Q465" i="7"/>
  <c r="AW225" i="2"/>
  <c r="J425" i="20"/>
  <c r="AA425" i="20" s="1"/>
  <c r="K425" i="20"/>
  <c r="AB425" i="20" s="1"/>
  <c r="N563" i="7"/>
  <c r="N476" i="7"/>
  <c r="N470" i="7"/>
  <c r="N461" i="7"/>
  <c r="N456" i="7"/>
  <c r="N464" i="7"/>
  <c r="V563" i="7"/>
  <c r="V476" i="7"/>
  <c r="V470" i="7"/>
  <c r="V461" i="7"/>
  <c r="V456" i="7"/>
  <c r="V464" i="7"/>
  <c r="AD146" i="8"/>
  <c r="AE146" i="8" s="1"/>
  <c r="CT246" i="17"/>
  <c r="CT229" i="17"/>
  <c r="CT242" i="17" s="1"/>
  <c r="T16" i="11"/>
  <c r="U16" i="11" s="1"/>
  <c r="W14" i="11"/>
  <c r="AV101" i="2"/>
  <c r="R564" i="7"/>
  <c r="R471" i="7"/>
  <c r="R465" i="7"/>
  <c r="O675" i="7"/>
  <c r="O665" i="7"/>
  <c r="AX215" i="2"/>
  <c r="M411" i="20"/>
  <c r="AD411" i="20" s="1"/>
  <c r="L411" i="20"/>
  <c r="AC411" i="20" s="1"/>
  <c r="CV40" i="6"/>
  <c r="CV89" i="6" s="1"/>
  <c r="CQ89" i="6"/>
  <c r="AA390" i="7"/>
  <c r="AA384" i="7"/>
  <c r="EN27" i="6"/>
  <c r="AD707" i="7"/>
  <c r="AD709" i="7" s="1"/>
  <c r="F191" i="2" s="1"/>
  <c r="AD310" i="7"/>
  <c r="BV83" i="17"/>
  <c r="BU68" i="17"/>
  <c r="BV237" i="17"/>
  <c r="BU225" i="17"/>
  <c r="EE84" i="6"/>
  <c r="DT40" i="6"/>
  <c r="DT89" i="6" s="1"/>
  <c r="DO89" i="6"/>
  <c r="M369" i="7"/>
  <c r="M363" i="7"/>
  <c r="Q476" i="7"/>
  <c r="Q563" i="7"/>
  <c r="Q464" i="7"/>
  <c r="Q470" i="7"/>
  <c r="Q461" i="7"/>
  <c r="Q456" i="7"/>
  <c r="U369" i="7"/>
  <c r="U363" i="7"/>
  <c r="Y476" i="7"/>
  <c r="Y563" i="7"/>
  <c r="Y464" i="7"/>
  <c r="Y470" i="7"/>
  <c r="Y461" i="7"/>
  <c r="Y456" i="7"/>
  <c r="EQ28" i="6"/>
  <c r="AD778" i="7"/>
  <c r="AD339" i="7"/>
  <c r="AB84" i="8"/>
  <c r="CX167" i="17"/>
  <c r="CV166" i="17"/>
  <c r="CW166" i="17" s="1"/>
  <c r="CX166" i="17" s="1"/>
  <c r="CY166" i="17" s="1"/>
  <c r="AG11" i="11"/>
  <c r="L139" i="12"/>
  <c r="AF26" i="11" s="1"/>
  <c r="AH12" i="11"/>
  <c r="R139" i="12"/>
  <c r="BJ26" i="11" s="1"/>
  <c r="BL12" i="11"/>
  <c r="BK11" i="11"/>
  <c r="U14" i="11"/>
  <c r="N564" i="7"/>
  <c r="N471" i="7"/>
  <c r="N465" i="7"/>
  <c r="O369" i="7"/>
  <c r="O363" i="7"/>
  <c r="S476" i="7"/>
  <c r="S563" i="7"/>
  <c r="S470" i="7"/>
  <c r="S464" i="7"/>
  <c r="S461" i="7"/>
  <c r="S456" i="7"/>
  <c r="W369" i="7"/>
  <c r="W363" i="7"/>
  <c r="P161" i="8"/>
  <c r="P154" i="8"/>
  <c r="X161" i="8"/>
  <c r="X154" i="8"/>
  <c r="O564" i="7"/>
  <c r="O471" i="7"/>
  <c r="O465" i="7"/>
  <c r="L390" i="7"/>
  <c r="P369" i="7"/>
  <c r="P363" i="7"/>
  <c r="T390" i="7"/>
  <c r="T384" i="7"/>
  <c r="X369" i="7"/>
  <c r="X363" i="7"/>
  <c r="BV80" i="17"/>
  <c r="BU65" i="17"/>
  <c r="N25" i="21"/>
  <c r="N22" i="21"/>
  <c r="N60" i="21" s="1"/>
  <c r="W123" i="8"/>
  <c r="Z642" i="7"/>
  <c r="Z632" i="7"/>
  <c r="N161" i="8"/>
  <c r="N154" i="8"/>
  <c r="V161" i="8"/>
  <c r="V154" i="8"/>
  <c r="Y642" i="7"/>
  <c r="Y632" i="7"/>
  <c r="N369" i="7"/>
  <c r="N363" i="7"/>
  <c r="R390" i="7"/>
  <c r="R384" i="7"/>
  <c r="V369" i="7"/>
  <c r="V363" i="7"/>
  <c r="Z390" i="7"/>
  <c r="Z384" i="7"/>
  <c r="BM170" i="17"/>
  <c r="BL169" i="17"/>
  <c r="BL182" i="17" s="1"/>
  <c r="CX164" i="17"/>
  <c r="CV163" i="17"/>
  <c r="CW163" i="17" s="1"/>
  <c r="CX163" i="17" s="1"/>
  <c r="CY163" i="17" s="1"/>
  <c r="BZ61" i="17"/>
  <c r="BX60" i="17"/>
  <c r="BY60" i="17" s="1"/>
  <c r="BZ60" i="17" s="1"/>
  <c r="CA60" i="17" s="1"/>
  <c r="BZ221" i="17"/>
  <c r="BX220" i="17"/>
  <c r="BY220" i="17" s="1"/>
  <c r="BZ220" i="17" s="1"/>
  <c r="CA220" i="17" s="1"/>
  <c r="AX202" i="2"/>
  <c r="M377" i="20"/>
  <c r="AD377" i="20" s="1"/>
  <c r="L377" i="20"/>
  <c r="AC377" i="20" s="1"/>
  <c r="EP18" i="6"/>
  <c r="F39" i="6"/>
  <c r="E34" i="6"/>
  <c r="BK256" i="17"/>
  <c r="BK257" i="17" s="1"/>
  <c r="BK226" i="17"/>
  <c r="BK239" i="17" s="1"/>
  <c r="BL227" i="17"/>
  <c r="S564" i="7"/>
  <c r="S471" i="7"/>
  <c r="S465" i="7"/>
  <c r="L565" i="7"/>
  <c r="L472" i="7"/>
  <c r="L466" i="7"/>
  <c r="P565" i="7"/>
  <c r="P472" i="7"/>
  <c r="P466" i="7"/>
  <c r="T565" i="7"/>
  <c r="T472" i="7"/>
  <c r="T466" i="7"/>
  <c r="X565" i="7"/>
  <c r="X472" i="7"/>
  <c r="X466" i="7"/>
  <c r="EM28" i="6"/>
  <c r="EN77" i="6"/>
  <c r="O25" i="21"/>
  <c r="O22" i="21"/>
  <c r="O60" i="21" s="1"/>
  <c r="EM17" i="6"/>
  <c r="EP66" i="6"/>
  <c r="X564" i="7"/>
  <c r="X471" i="7"/>
  <c r="X465" i="7"/>
  <c r="EF35" i="6"/>
  <c r="EF84" i="6" s="1"/>
  <c r="EA84" i="6"/>
  <c r="CP40" i="6"/>
  <c r="CP89" i="6" s="1"/>
  <c r="CK89" i="6"/>
  <c r="M390" i="7"/>
  <c r="M384" i="7"/>
  <c r="U390" i="7"/>
  <c r="U384" i="7"/>
  <c r="R161" i="8"/>
  <c r="R154" i="8"/>
  <c r="AD43" i="8"/>
  <c r="AD24" i="8"/>
  <c r="AD11" i="8"/>
  <c r="AD8" i="8"/>
  <c r="U564" i="7"/>
  <c r="U471" i="7"/>
  <c r="U465" i="7"/>
  <c r="EM40" i="6"/>
  <c r="EP89" i="6"/>
  <c r="D25" i="21"/>
  <c r="D22" i="21"/>
  <c r="D60" i="21" s="1"/>
  <c r="D82" i="21" s="1"/>
  <c r="S25" i="21"/>
  <c r="S22" i="21"/>
  <c r="S60" i="21" s="1"/>
  <c r="S82" i="21" s="1"/>
  <c r="W686" i="7"/>
  <c r="W675" i="7"/>
  <c r="W665" i="7"/>
  <c r="AC170" i="7"/>
  <c r="O476" i="7"/>
  <c r="O563" i="7"/>
  <c r="O470" i="7"/>
  <c r="O464" i="7"/>
  <c r="O461" i="7"/>
  <c r="O456" i="7"/>
  <c r="S369" i="7"/>
  <c r="S363" i="7"/>
  <c r="W476" i="7"/>
  <c r="W563" i="7"/>
  <c r="W470" i="7"/>
  <c r="W464" i="7"/>
  <c r="W461" i="7"/>
  <c r="W456" i="7"/>
  <c r="EF32" i="6"/>
  <c r="EF81" i="6" s="1"/>
  <c r="L161" i="8"/>
  <c r="L154" i="8"/>
  <c r="T161" i="8"/>
  <c r="T154" i="8"/>
  <c r="L369" i="7"/>
  <c r="P390" i="7"/>
  <c r="P384" i="7"/>
  <c r="T369" i="7"/>
  <c r="T363" i="7"/>
  <c r="X390" i="7"/>
  <c r="X384" i="7"/>
  <c r="DM97" i="6"/>
  <c r="DM49" i="6"/>
  <c r="C112" i="2"/>
  <c r="AT112" i="2" s="1"/>
  <c r="E25" i="21"/>
  <c r="E22" i="21"/>
  <c r="E60" i="21" s="1"/>
  <c r="E82" i="21" s="1"/>
  <c r="O161" i="8"/>
  <c r="O154" i="8"/>
  <c r="L564" i="7"/>
  <c r="L471" i="7"/>
  <c r="L465" i="7"/>
  <c r="Z564" i="7"/>
  <c r="Z471" i="7"/>
  <c r="Z465" i="7"/>
  <c r="M565" i="7"/>
  <c r="M466" i="7"/>
  <c r="M472" i="7"/>
  <c r="Q565" i="7"/>
  <c r="Q466" i="7"/>
  <c r="Q472" i="7"/>
  <c r="U472" i="7"/>
  <c r="U565" i="7"/>
  <c r="U466" i="7"/>
  <c r="Y472" i="7"/>
  <c r="Y565" i="7"/>
  <c r="Y466" i="7"/>
  <c r="G224" i="2"/>
  <c r="AD660" i="7"/>
  <c r="CT142" i="17"/>
  <c r="CT129" i="17"/>
  <c r="CT125" i="17"/>
  <c r="U123" i="8"/>
  <c r="Y564" i="7"/>
  <c r="Y471" i="7"/>
  <c r="Y465" i="7"/>
  <c r="AX207" i="2"/>
  <c r="L382" i="20"/>
  <c r="AC382" i="20" s="1"/>
  <c r="M382" i="20"/>
  <c r="AD382" i="20" s="1"/>
  <c r="L410" i="20"/>
  <c r="AC410" i="20" s="1"/>
  <c r="M410" i="20"/>
  <c r="AD410" i="20" s="1"/>
  <c r="AC499" i="7"/>
  <c r="AC490" i="7"/>
  <c r="AC478" i="7"/>
  <c r="N390" i="7"/>
  <c r="N384" i="7"/>
  <c r="R369" i="7"/>
  <c r="R363" i="7"/>
  <c r="V390" i="7"/>
  <c r="V384" i="7"/>
  <c r="Z369" i="7"/>
  <c r="Z363" i="7"/>
  <c r="J139" i="12"/>
  <c r="V26" i="11" s="1"/>
  <c r="X12" i="11"/>
  <c r="W11" i="11"/>
  <c r="G75" i="20"/>
  <c r="X75" i="20" s="1"/>
  <c r="D306" i="2"/>
  <c r="D307" i="2" s="1"/>
  <c r="D284" i="2"/>
  <c r="AU101" i="2"/>
  <c r="S675" i="7"/>
  <c r="S665" i="7"/>
  <c r="AC165" i="8"/>
  <c r="AD144" i="8"/>
  <c r="AE144" i="8" s="1"/>
  <c r="AB172" i="8"/>
  <c r="EF40" i="6"/>
  <c r="EF89" i="6" s="1"/>
  <c r="EA89" i="6"/>
  <c r="AA476" i="7"/>
  <c r="AA470" i="7"/>
  <c r="AA464" i="7"/>
  <c r="AA461" i="7"/>
  <c r="AA456" i="7"/>
  <c r="EM32" i="6"/>
  <c r="EN81" i="6"/>
  <c r="AX201" i="2"/>
  <c r="L376" i="20"/>
  <c r="AC376" i="20" s="1"/>
  <c r="M376" i="20"/>
  <c r="AD376" i="20" s="1"/>
  <c r="BZ67" i="17"/>
  <c r="BX66" i="17"/>
  <c r="BY66" i="17" s="1"/>
  <c r="BZ66" i="17" s="1"/>
  <c r="CA66" i="17" s="1"/>
  <c r="BZ224" i="17"/>
  <c r="BX223" i="17"/>
  <c r="BY223" i="17" s="1"/>
  <c r="BZ223" i="17" s="1"/>
  <c r="CA223" i="17" s="1"/>
  <c r="AB465" i="12"/>
  <c r="AB783" i="7"/>
  <c r="AB784" i="7" s="1"/>
  <c r="EK35" i="6"/>
  <c r="EK84" i="6" s="1"/>
  <c r="AC781" i="7"/>
  <c r="AC782" i="7" s="1"/>
  <c r="E241" i="2" s="1"/>
  <c r="AC405" i="7"/>
  <c r="EH84" i="6"/>
  <c r="EG35" i="6"/>
  <c r="AW194" i="2"/>
  <c r="J345" i="20"/>
  <c r="AA345" i="20" s="1"/>
  <c r="K345" i="20"/>
  <c r="AB345" i="20" s="1"/>
  <c r="AW224" i="2"/>
  <c r="J421" i="20"/>
  <c r="AA421" i="20" s="1"/>
  <c r="K421" i="20"/>
  <c r="AB421" i="20" s="1"/>
  <c r="O640" i="7"/>
  <c r="O632" i="7"/>
  <c r="S640" i="7"/>
  <c r="S632" i="7"/>
  <c r="W650" i="7"/>
  <c r="W640" i="7"/>
  <c r="W632" i="7"/>
  <c r="AT40" i="6"/>
  <c r="AT89" i="6" s="1"/>
  <c r="AO89" i="6"/>
  <c r="Q390" i="7"/>
  <c r="Q384" i="7"/>
  <c r="Y390" i="7"/>
  <c r="Y384" i="7"/>
  <c r="EL33" i="6"/>
  <c r="EL82" i="6" s="1"/>
  <c r="EG82" i="6"/>
  <c r="EM33" i="6"/>
  <c r="EN82" i="6"/>
  <c r="J161" i="8"/>
  <c r="J154" i="8"/>
  <c r="X42" i="8"/>
  <c r="X41" i="8"/>
  <c r="Y40" i="8"/>
  <c r="CT180" i="17"/>
  <c r="CS168" i="17"/>
  <c r="AG14" i="11"/>
  <c r="AD16" i="11"/>
  <c r="AE16" i="11" s="1"/>
  <c r="BH16" i="11"/>
  <c r="BK14" i="11"/>
  <c r="D112" i="2"/>
  <c r="AA347" i="12"/>
  <c r="K64" i="21"/>
  <c r="K65" i="21" s="1"/>
  <c r="K88" i="21" s="1"/>
  <c r="K87" i="21" s="1"/>
  <c r="K82" i="21"/>
  <c r="V564" i="7"/>
  <c r="V471" i="7"/>
  <c r="V465" i="7"/>
  <c r="W89" i="6"/>
  <c r="AB40" i="6"/>
  <c r="AB89" i="6" s="1"/>
  <c r="AU89" i="6"/>
  <c r="AZ40" i="6"/>
  <c r="AZ89" i="6" s="1"/>
  <c r="BX40" i="6"/>
  <c r="BX89" i="6" s="1"/>
  <c r="BS89" i="6"/>
  <c r="S390" i="7"/>
  <c r="S384" i="7"/>
  <c r="P123" i="8"/>
  <c r="W564" i="7"/>
  <c r="W471" i="7"/>
  <c r="W465" i="7"/>
  <c r="V686" i="7"/>
  <c r="V675" i="7"/>
  <c r="V665" i="7"/>
  <c r="L563" i="7"/>
  <c r="L476" i="7"/>
  <c r="L470" i="7"/>
  <c r="L461" i="7"/>
  <c r="L456" i="7"/>
  <c r="T563" i="7"/>
  <c r="T476" i="7"/>
  <c r="T470" i="7"/>
  <c r="T461" i="7"/>
  <c r="T456" i="7"/>
  <c r="T464" i="7"/>
  <c r="DY97" i="6"/>
  <c r="DY49" i="6"/>
  <c r="BZ64" i="17"/>
  <c r="BX63" i="17"/>
  <c r="BY63" i="17" s="1"/>
  <c r="BZ63" i="17" s="1"/>
  <c r="CA63" i="17" s="1"/>
  <c r="R25" i="21"/>
  <c r="R22" i="21"/>
  <c r="R60" i="21" s="1"/>
  <c r="R82" i="21" s="1"/>
  <c r="AT102" i="2"/>
  <c r="C306" i="2"/>
  <c r="M25" i="21"/>
  <c r="M22" i="21"/>
  <c r="M60" i="21" s="1"/>
  <c r="W161" i="8"/>
  <c r="W154" i="8"/>
  <c r="EJ66" i="6"/>
  <c r="EG17" i="6"/>
  <c r="M123" i="8"/>
  <c r="R563" i="7"/>
  <c r="R476" i="7"/>
  <c r="R470" i="7"/>
  <c r="R461" i="7"/>
  <c r="R456" i="7"/>
  <c r="R464" i="7"/>
  <c r="Z563" i="7"/>
  <c r="Z476" i="7"/>
  <c r="Z470" i="7"/>
  <c r="Z461" i="7"/>
  <c r="Z456" i="7"/>
  <c r="Z464" i="7"/>
  <c r="EN73" i="6"/>
  <c r="CT177" i="17"/>
  <c r="CS165" i="17"/>
  <c r="BV77" i="17"/>
  <c r="BU62" i="17"/>
  <c r="BV234" i="17"/>
  <c r="BU222" i="17"/>
  <c r="K123" i="8"/>
  <c r="AA369" i="7"/>
  <c r="AA363" i="7"/>
  <c r="K304" i="20"/>
  <c r="AB304" i="20" s="1"/>
  <c r="AX176" i="2"/>
  <c r="L304" i="20"/>
  <c r="AC304" i="20" s="1"/>
  <c r="H161" i="8"/>
  <c r="H154" i="8"/>
  <c r="Z161" i="8"/>
  <c r="Z154" i="8"/>
  <c r="AT183" i="2"/>
  <c r="E309" i="20"/>
  <c r="V309" i="20" s="1"/>
  <c r="E308" i="20"/>
  <c r="V308" i="20" s="1"/>
  <c r="F308" i="20"/>
  <c r="W308" i="20" s="1"/>
  <c r="F309" i="20"/>
  <c r="W309" i="20" s="1"/>
  <c r="N565" i="7"/>
  <c r="N472" i="7"/>
  <c r="N466" i="7"/>
  <c r="R565" i="7"/>
  <c r="R472" i="7"/>
  <c r="R466" i="7"/>
  <c r="V565" i="7"/>
  <c r="V472" i="7"/>
  <c r="V466" i="7"/>
  <c r="Z565" i="7"/>
  <c r="Z472" i="7"/>
  <c r="Z466" i="7"/>
  <c r="K154" i="8"/>
  <c r="D285" i="2"/>
  <c r="AU102" i="2"/>
  <c r="P564" i="7"/>
  <c r="P471" i="7"/>
  <c r="P465" i="7"/>
  <c r="G194" i="2"/>
  <c r="EN35" i="6"/>
  <c r="AD399" i="7"/>
  <c r="AD402" i="7"/>
  <c r="L383" i="20"/>
  <c r="AC383" i="20" s="1"/>
  <c r="AX208" i="2"/>
  <c r="AA650" i="7"/>
  <c r="AA640" i="7"/>
  <c r="DU89" i="6"/>
  <c r="M476" i="7"/>
  <c r="M563" i="7"/>
  <c r="M464" i="7"/>
  <c r="M470" i="7"/>
  <c r="M461" i="7"/>
  <c r="M456" i="7"/>
  <c r="Q369" i="7"/>
  <c r="Q363" i="7"/>
  <c r="U476" i="7"/>
  <c r="U563" i="7"/>
  <c r="U464" i="7"/>
  <c r="U470" i="7"/>
  <c r="U461" i="7"/>
  <c r="U456" i="7"/>
  <c r="Y369" i="7"/>
  <c r="Y363" i="7"/>
  <c r="AC66" i="8"/>
  <c r="AC55" i="8"/>
  <c r="M564" i="7"/>
  <c r="M471" i="7"/>
  <c r="M465" i="7"/>
  <c r="AA564" i="7"/>
  <c r="AA471" i="7"/>
  <c r="AA465" i="7"/>
  <c r="AD499" i="7"/>
  <c r="AD490" i="7"/>
  <c r="AD491" i="7" s="1"/>
  <c r="AD478" i="7"/>
  <c r="I154" i="8"/>
  <c r="Q154" i="8"/>
  <c r="Y154" i="8"/>
  <c r="E313" i="2"/>
  <c r="AL338" i="17"/>
  <c r="AT338" i="17"/>
  <c r="E291" i="2"/>
  <c r="F291" i="2" s="1"/>
  <c r="BL338" i="17"/>
  <c r="AD338" i="17"/>
  <c r="C313" i="2"/>
  <c r="G66" i="20" s="1"/>
  <c r="X66" i="20" s="1"/>
  <c r="BM338" i="17"/>
  <c r="L83" i="6"/>
  <c r="L39" i="6"/>
  <c r="BN83" i="6"/>
  <c r="BN39" i="6"/>
  <c r="BM34" i="6"/>
  <c r="AJ39" i="6"/>
  <c r="AI34" i="6"/>
  <c r="BM78" i="6"/>
  <c r="S141" i="12"/>
  <c r="BO28" i="11" s="1"/>
  <c r="S95" i="12"/>
  <c r="BP16" i="11"/>
  <c r="BQ14" i="11"/>
  <c r="I171" i="12"/>
  <c r="I138" i="12"/>
  <c r="Q25" i="11" s="1"/>
  <c r="S11" i="11"/>
  <c r="Q11" i="11"/>
  <c r="Q81" i="11" s="1"/>
  <c r="R81" i="11" s="1"/>
  <c r="S81" i="11" s="1"/>
  <c r="M171" i="12"/>
  <c r="M138" i="12"/>
  <c r="AK25" i="11" s="1"/>
  <c r="AM11" i="11"/>
  <c r="AK11" i="11"/>
  <c r="AK81" i="11" s="1"/>
  <c r="AL81" i="11" s="1"/>
  <c r="AM81" i="11" s="1"/>
  <c r="Q171" i="12"/>
  <c r="Q138" i="12"/>
  <c r="BE25" i="11" s="1"/>
  <c r="BG11" i="11"/>
  <c r="BE11" i="11"/>
  <c r="BE81" i="11" s="1"/>
  <c r="BF81" i="11" s="1"/>
  <c r="BG81" i="11" s="1"/>
  <c r="U171" i="12"/>
  <c r="U138" i="12"/>
  <c r="BY25" i="11" s="1"/>
  <c r="CA11" i="11"/>
  <c r="BY11" i="11"/>
  <c r="BY81" i="11" s="1"/>
  <c r="BZ81" i="11" s="1"/>
  <c r="CA81" i="11" s="1"/>
  <c r="Y171" i="12"/>
  <c r="Y138" i="12"/>
  <c r="CS25" i="11" s="1"/>
  <c r="CU11" i="11"/>
  <c r="CS11" i="11"/>
  <c r="CS81" i="11" s="1"/>
  <c r="CT81" i="11" s="1"/>
  <c r="CU81" i="11" s="1"/>
  <c r="BK285" i="17"/>
  <c r="BJ319" i="17"/>
  <c r="BJ286" i="17" s="1"/>
  <c r="BL285" i="17"/>
  <c r="BL319" i="17" s="1"/>
  <c r="BL286" i="17" s="1"/>
  <c r="BM285" i="17"/>
  <c r="BM319" i="17" s="1"/>
  <c r="BM286" i="17" s="1"/>
  <c r="BN285" i="17"/>
  <c r="BJ298" i="17"/>
  <c r="DD83" i="6"/>
  <c r="DD39" i="6"/>
  <c r="X83" i="6"/>
  <c r="X39" i="6"/>
  <c r="W34" i="6"/>
  <c r="P16" i="11"/>
  <c r="Y39" i="6"/>
  <c r="AK83" i="6"/>
  <c r="AK39" i="6"/>
  <c r="BI83" i="6"/>
  <c r="BI39" i="6"/>
  <c r="DX39" i="6"/>
  <c r="R338" i="17"/>
  <c r="AH338" i="17"/>
  <c r="DU122" i="11"/>
  <c r="DV87" i="11"/>
  <c r="CQ78" i="6"/>
  <c r="DP83" i="6"/>
  <c r="DP39" i="6"/>
  <c r="DW39" i="6"/>
  <c r="K138" i="12"/>
  <c r="AA25" i="11" s="1"/>
  <c r="K171" i="12"/>
  <c r="AC11" i="11"/>
  <c r="AA11" i="11"/>
  <c r="AA81" i="11" s="1"/>
  <c r="AB81" i="11" s="1"/>
  <c r="AC81" i="11" s="1"/>
  <c r="O138" i="12"/>
  <c r="AU25" i="11" s="1"/>
  <c r="O171" i="12"/>
  <c r="AW11" i="11"/>
  <c r="AU11" i="11"/>
  <c r="AU81" i="11" s="1"/>
  <c r="AV81" i="11" s="1"/>
  <c r="AW81" i="11" s="1"/>
  <c r="AA138" i="12"/>
  <c r="DC25" i="11" s="1"/>
  <c r="AA171" i="12"/>
  <c r="DE11" i="11"/>
  <c r="DC11" i="11"/>
  <c r="DC81" i="11" s="1"/>
  <c r="DD81" i="11" s="1"/>
  <c r="DE81" i="11" s="1"/>
  <c r="DV83" i="6"/>
  <c r="DV39" i="6"/>
  <c r="DU34" i="6"/>
  <c r="DB16" i="11"/>
  <c r="CZ16" i="11"/>
  <c r="EJ86" i="6"/>
  <c r="EJ36" i="6"/>
  <c r="EJ85" i="6" s="1"/>
  <c r="AD106" i="12"/>
  <c r="DR103" i="11"/>
  <c r="BL284" i="17"/>
  <c r="BL317" i="17"/>
  <c r="BL318" i="17" s="1"/>
  <c r="BJ284" i="17"/>
  <c r="BJ317" i="17"/>
  <c r="BJ318" i="17" s="1"/>
  <c r="BJ296" i="17"/>
  <c r="BH39" i="6"/>
  <c r="BG34" i="6"/>
  <c r="CL83" i="6"/>
  <c r="CL39" i="6"/>
  <c r="CK34" i="6"/>
  <c r="DJ83" i="6"/>
  <c r="DJ39" i="6"/>
  <c r="AC305" i="12"/>
  <c r="AC280" i="12"/>
  <c r="CT230" i="17"/>
  <c r="CT243" i="17" s="1"/>
  <c r="AC123" i="12"/>
  <c r="AC129" i="12" s="1"/>
  <c r="DU126" i="11"/>
  <c r="DU105" i="11"/>
  <c r="DV102" i="11"/>
  <c r="DA96" i="11"/>
  <c r="CV97" i="11"/>
  <c r="AC437" i="12"/>
  <c r="AC442" i="12" s="1"/>
  <c r="AC330" i="12"/>
  <c r="R83" i="6"/>
  <c r="R39" i="6"/>
  <c r="CF83" i="6"/>
  <c r="CF39" i="6"/>
  <c r="BS16" i="11"/>
  <c r="BZ39" i="6"/>
  <c r="BY34" i="6"/>
  <c r="CX83" i="6"/>
  <c r="CX39" i="6"/>
  <c r="W138" i="12"/>
  <c r="CI25" i="11" s="1"/>
  <c r="W171" i="12"/>
  <c r="CK11" i="11"/>
  <c r="CI11" i="11"/>
  <c r="CI81" i="11" s="1"/>
  <c r="CJ81" i="11" s="1"/>
  <c r="CK81" i="11" s="1"/>
  <c r="M141" i="12"/>
  <c r="AK28" i="11" s="1"/>
  <c r="M95" i="12"/>
  <c r="AL16" i="11"/>
  <c r="AM14" i="11"/>
  <c r="Q141" i="12"/>
  <c r="BE28" i="11" s="1"/>
  <c r="Q95" i="12"/>
  <c r="Q2" i="12" s="1"/>
  <c r="BE4" i="11" s="1"/>
  <c r="BF16" i="11"/>
  <c r="BG14" i="11"/>
  <c r="U141" i="12"/>
  <c r="BY28" i="11" s="1"/>
  <c r="U95" i="12"/>
  <c r="BZ16" i="11"/>
  <c r="CA14" i="11"/>
  <c r="Y141" i="12"/>
  <c r="CS28" i="11" s="1"/>
  <c r="Y95" i="12"/>
  <c r="CT16" i="11"/>
  <c r="CU14" i="11"/>
  <c r="AC447" i="12"/>
  <c r="AC452" i="12" s="1"/>
  <c r="Z338" i="17"/>
  <c r="AP338" i="17"/>
  <c r="BF338" i="17"/>
  <c r="T39" i="6"/>
  <c r="Z83" i="6"/>
  <c r="Z39" i="6"/>
  <c r="AF83" i="6"/>
  <c r="AF39" i="6"/>
  <c r="AL83" i="6"/>
  <c r="AL39" i="6"/>
  <c r="AR83" i="6"/>
  <c r="AR39" i="6"/>
  <c r="BJ39" i="6"/>
  <c r="BP83" i="6"/>
  <c r="BP39" i="6"/>
  <c r="BV83" i="6"/>
  <c r="BV39" i="6"/>
  <c r="CB83" i="6"/>
  <c r="CB39" i="6"/>
  <c r="CH83" i="6"/>
  <c r="CH39" i="6"/>
  <c r="CN83" i="6"/>
  <c r="CN39" i="6"/>
  <c r="CT83" i="6"/>
  <c r="CT39" i="6"/>
  <c r="DF39" i="6"/>
  <c r="CR83" i="6"/>
  <c r="CR39" i="6"/>
  <c r="AE83" i="6"/>
  <c r="AE39" i="6"/>
  <c r="BC39" i="6"/>
  <c r="BO83" i="6"/>
  <c r="BO39" i="6"/>
  <c r="CA39" i="6"/>
  <c r="CM39" i="6"/>
  <c r="CY39" i="6"/>
  <c r="DK39" i="6"/>
  <c r="O141" i="12"/>
  <c r="AU28" i="11" s="1"/>
  <c r="O95" i="12"/>
  <c r="AV16" i="11"/>
  <c r="AW14" i="11"/>
  <c r="AA141" i="12"/>
  <c r="DC28" i="11" s="1"/>
  <c r="AA95" i="12"/>
  <c r="DD16" i="11"/>
  <c r="DC16" i="11" s="1"/>
  <c r="DE14" i="11"/>
  <c r="AC441" i="7"/>
  <c r="DU103" i="11"/>
  <c r="DV101" i="11"/>
  <c r="AD315" i="12" s="1"/>
  <c r="AD309" i="12" s="1"/>
  <c r="F146" i="2" s="1"/>
  <c r="I505" i="20" s="1"/>
  <c r="Z505" i="20" s="1"/>
  <c r="BN316" i="17"/>
  <c r="BN338" i="17" s="1"/>
  <c r="BO282" i="17"/>
  <c r="BP282" i="17"/>
  <c r="BP316" i="17" s="1"/>
  <c r="BP338" i="17" s="1"/>
  <c r="BQ282" i="17"/>
  <c r="BQ316" i="17" s="1"/>
  <c r="BQ338" i="17" s="1"/>
  <c r="BR282" i="17"/>
  <c r="BM317" i="17"/>
  <c r="BM318" i="17" s="1"/>
  <c r="BM284" i="17"/>
  <c r="BN295" i="17"/>
  <c r="BN301" i="17" s="1"/>
  <c r="BK316" i="17"/>
  <c r="DR88" i="11" l="1"/>
  <c r="AD89" i="12" s="1"/>
  <c r="DJ11" i="11"/>
  <c r="AB171" i="12"/>
  <c r="D107" i="2" s="1"/>
  <c r="AB138" i="12"/>
  <c r="DH25" i="11" s="1"/>
  <c r="DH11" i="11"/>
  <c r="DH81" i="11" s="1"/>
  <c r="DI81" i="11" s="1"/>
  <c r="DJ81" i="11" s="1"/>
  <c r="H191" i="20"/>
  <c r="Y191" i="20" s="1"/>
  <c r="G511" i="20"/>
  <c r="X511" i="20" s="1"/>
  <c r="AC491" i="7"/>
  <c r="U20" i="21"/>
  <c r="U15" i="21"/>
  <c r="AC312" i="12"/>
  <c r="AC448" i="12"/>
  <c r="AC453" i="12" s="1"/>
  <c r="AC331" i="12"/>
  <c r="AC462" i="12" s="1"/>
  <c r="G564" i="7"/>
  <c r="G579" i="7" s="1"/>
  <c r="G471" i="7"/>
  <c r="G461" i="7"/>
  <c r="G473" i="7" s="1"/>
  <c r="AU78" i="6"/>
  <c r="DH16" i="11"/>
  <c r="BA78" i="6"/>
  <c r="AW83" i="6"/>
  <c r="AD34" i="6"/>
  <c r="AD39" i="6" s="1"/>
  <c r="AJ78" i="6"/>
  <c r="S34" i="6"/>
  <c r="S39" i="6" s="1"/>
  <c r="Y78" i="6"/>
  <c r="W71" i="6"/>
  <c r="AI71" i="6"/>
  <c r="H363" i="7"/>
  <c r="J413" i="20"/>
  <c r="AA413" i="20" s="1"/>
  <c r="K413" i="20"/>
  <c r="AB413" i="20" s="1"/>
  <c r="J465" i="7"/>
  <c r="S78" i="6"/>
  <c r="Q29" i="6"/>
  <c r="Q78" i="6" s="1"/>
  <c r="AD78" i="6"/>
  <c r="AC29" i="6"/>
  <c r="I363" i="7"/>
  <c r="I369" i="7"/>
  <c r="H579" i="7"/>
  <c r="H573" i="7"/>
  <c r="J603" i="7"/>
  <c r="J574" i="7"/>
  <c r="J580" i="7"/>
  <c r="J587" i="7"/>
  <c r="I603" i="7"/>
  <c r="I587" i="7"/>
  <c r="I580" i="7"/>
  <c r="I574" i="7"/>
  <c r="J470" i="7"/>
  <c r="J563" i="7"/>
  <c r="J572" i="7" s="1"/>
  <c r="J476" i="7"/>
  <c r="J464" i="7"/>
  <c r="H473" i="7"/>
  <c r="H467" i="7"/>
  <c r="I467" i="7"/>
  <c r="I473" i="7"/>
  <c r="J579" i="7"/>
  <c r="I390" i="7"/>
  <c r="I384" i="7"/>
  <c r="I471" i="7"/>
  <c r="I564" i="7"/>
  <c r="I567" i="7" s="1"/>
  <c r="I2" i="7" s="1"/>
  <c r="I465" i="7"/>
  <c r="H567" i="7"/>
  <c r="H2" i="7" s="1"/>
  <c r="H578" i="7"/>
  <c r="H572" i="7"/>
  <c r="K390" i="7"/>
  <c r="K384" i="7"/>
  <c r="I578" i="7"/>
  <c r="I572" i="7"/>
  <c r="J363" i="7"/>
  <c r="J369" i="7"/>
  <c r="H574" i="7"/>
  <c r="H580" i="7"/>
  <c r="H603" i="7"/>
  <c r="H587" i="7"/>
  <c r="K579" i="7"/>
  <c r="K573" i="7"/>
  <c r="G578" i="7"/>
  <c r="K369" i="7"/>
  <c r="K363" i="7"/>
  <c r="G580" i="7"/>
  <c r="G603" i="7"/>
  <c r="G587" i="7"/>
  <c r="J384" i="7"/>
  <c r="J390" i="7"/>
  <c r="K476" i="7"/>
  <c r="K563" i="7"/>
  <c r="K470" i="7"/>
  <c r="K464" i="7"/>
  <c r="K461" i="7"/>
  <c r="L467" i="7" s="1"/>
  <c r="K603" i="7"/>
  <c r="K587" i="7"/>
  <c r="K574" i="7"/>
  <c r="K580" i="7"/>
  <c r="J473" i="7"/>
  <c r="J467" i="7"/>
  <c r="AA567" i="7"/>
  <c r="EW73" i="6"/>
  <c r="BN70" i="17"/>
  <c r="BN69" i="17" s="1"/>
  <c r="BN85" i="17" s="1"/>
  <c r="X642" i="7"/>
  <c r="X632" i="7"/>
  <c r="J22" i="21"/>
  <c r="J60" i="21" s="1"/>
  <c r="J82" i="21" s="1"/>
  <c r="BM103" i="17"/>
  <c r="BM104" i="17" s="1"/>
  <c r="L25" i="21"/>
  <c r="G274" i="2"/>
  <c r="AX274" i="2" s="1"/>
  <c r="BL103" i="17"/>
  <c r="BL104" i="17" s="1"/>
  <c r="BL69" i="17"/>
  <c r="BL85" i="17" s="1"/>
  <c r="L82" i="21"/>
  <c r="L83" i="21" s="1"/>
  <c r="L86" i="21" s="1"/>
  <c r="H25" i="21"/>
  <c r="CW307" i="17"/>
  <c r="CW308" i="17" s="1"/>
  <c r="CX306" i="17"/>
  <c r="AE487" i="7"/>
  <c r="AE490" i="7" s="1"/>
  <c r="AE491" i="7" s="1"/>
  <c r="G225" i="2"/>
  <c r="AX225" i="2" s="1"/>
  <c r="AX137" i="2"/>
  <c r="Q25" i="21"/>
  <c r="AD773" i="7"/>
  <c r="AD774" i="7" s="1"/>
  <c r="EH76" i="6"/>
  <c r="P118" i="8"/>
  <c r="P125" i="8" s="1"/>
  <c r="J420" i="20"/>
  <c r="AA420" i="20" s="1"/>
  <c r="K420" i="20"/>
  <c r="AB420" i="20" s="1"/>
  <c r="AD170" i="7"/>
  <c r="AD464" i="12"/>
  <c r="AD153" i="7" s="1"/>
  <c r="I22" i="21"/>
  <c r="I60" i="21" s="1"/>
  <c r="I82" i="21" s="1"/>
  <c r="H341" i="20"/>
  <c r="Y341" i="20" s="1"/>
  <c r="I341" i="20"/>
  <c r="Z341" i="20" s="1"/>
  <c r="G240" i="2"/>
  <c r="L191" i="20" s="1"/>
  <c r="AC191" i="20" s="1"/>
  <c r="AE464" i="12"/>
  <c r="AE153" i="7" s="1"/>
  <c r="AE497" i="7"/>
  <c r="P64" i="21"/>
  <c r="P40" i="21" s="1"/>
  <c r="P44" i="21" s="1"/>
  <c r="EX33" i="6"/>
  <c r="EX82" i="6" s="1"/>
  <c r="E231" i="20"/>
  <c r="V231" i="20" s="1"/>
  <c r="ES82" i="6"/>
  <c r="ET84" i="6"/>
  <c r="P25" i="21"/>
  <c r="M413" i="20"/>
  <c r="AD413" i="20" s="1"/>
  <c r="EX32" i="6"/>
  <c r="EX81" i="6" s="1"/>
  <c r="ET59" i="6"/>
  <c r="G273" i="2"/>
  <c r="EW35" i="6"/>
  <c r="EX35" i="6" s="1"/>
  <c r="EX84" i="6" s="1"/>
  <c r="AE781" i="7"/>
  <c r="AE782" i="7" s="1"/>
  <c r="AE405" i="7"/>
  <c r="L413" i="20"/>
  <c r="AC413" i="20" s="1"/>
  <c r="AE165" i="8"/>
  <c r="G276" i="2"/>
  <c r="G284" i="20"/>
  <c r="X284" i="20" s="1"/>
  <c r="F232" i="2"/>
  <c r="AW232" i="2" s="1"/>
  <c r="G210" i="2"/>
  <c r="M387" i="20" s="1"/>
  <c r="AD387" i="20" s="1"/>
  <c r="ES40" i="6"/>
  <c r="ES89" i="6" s="1"/>
  <c r="EV17" i="6"/>
  <c r="AE59" i="7"/>
  <c r="AE659" i="7"/>
  <c r="G223" i="2"/>
  <c r="AE588" i="7"/>
  <c r="AE593" i="7" s="1"/>
  <c r="AE165" i="7"/>
  <c r="ES81" i="6"/>
  <c r="DB164" i="17"/>
  <c r="CZ163" i="17"/>
  <c r="DA163" i="17" s="1"/>
  <c r="DB163" i="17" s="1"/>
  <c r="AE66" i="8"/>
  <c r="AE55" i="8"/>
  <c r="AU241" i="2"/>
  <c r="E512" i="20"/>
  <c r="V512" i="20" s="1"/>
  <c r="CZ166" i="17"/>
  <c r="DA166" i="17" s="1"/>
  <c r="DB166" i="17" s="1"/>
  <c r="DB167" i="17"/>
  <c r="G275" i="2"/>
  <c r="ET76" i="6"/>
  <c r="AX252" i="2"/>
  <c r="G280" i="20"/>
  <c r="X280" i="20" s="1"/>
  <c r="E35" i="20"/>
  <c r="V35" i="20" s="1"/>
  <c r="AB95" i="12"/>
  <c r="AB141" i="12"/>
  <c r="DH28" i="11" s="1"/>
  <c r="L175" i="20"/>
  <c r="AC175" i="20" s="1"/>
  <c r="M486" i="20"/>
  <c r="AD486" i="20" s="1"/>
  <c r="M175" i="20"/>
  <c r="AD175" i="20" s="1"/>
  <c r="G111" i="2"/>
  <c r="AX111" i="2" s="1"/>
  <c r="L540" i="20"/>
  <c r="AC540" i="20" s="1"/>
  <c r="G108" i="2"/>
  <c r="AX108" i="2" s="1"/>
  <c r="AE408" i="12"/>
  <c r="AE420" i="12" s="1"/>
  <c r="G106" i="2"/>
  <c r="AX106" i="2" s="1"/>
  <c r="G110" i="2"/>
  <c r="G154" i="20"/>
  <c r="X154" i="20" s="1"/>
  <c r="C107" i="2"/>
  <c r="C309" i="2" s="1"/>
  <c r="E223" i="20"/>
  <c r="V223" i="20" s="1"/>
  <c r="K186" i="20"/>
  <c r="AB186" i="20" s="1"/>
  <c r="J186" i="20"/>
  <c r="AA186" i="20" s="1"/>
  <c r="BB338" i="17"/>
  <c r="J505" i="20"/>
  <c r="AA505" i="20" s="1"/>
  <c r="F299" i="2"/>
  <c r="I150" i="20" s="1"/>
  <c r="Z150" i="20" s="1"/>
  <c r="F288" i="2"/>
  <c r="I152" i="20" s="1"/>
  <c r="Z152" i="20" s="1"/>
  <c r="F109" i="2"/>
  <c r="AW146" i="2"/>
  <c r="G141" i="2"/>
  <c r="AX141" i="2" s="1"/>
  <c r="EQ77" i="6"/>
  <c r="EW77" i="6"/>
  <c r="EM77" i="6"/>
  <c r="ES77" i="6"/>
  <c r="EP67" i="6"/>
  <c r="EV67" i="6"/>
  <c r="EM59" i="6"/>
  <c r="ES59" i="6"/>
  <c r="CD76" i="11"/>
  <c r="DZ59" i="11"/>
  <c r="AE178" i="12"/>
  <c r="DX60" i="11"/>
  <c r="DZ126" i="11"/>
  <c r="DZ105" i="11"/>
  <c r="EA102" i="11"/>
  <c r="EA101" i="11"/>
  <c r="AE315" i="12" s="1"/>
  <c r="AE309" i="12" s="1"/>
  <c r="G146" i="2" s="1"/>
  <c r="DZ103" i="11"/>
  <c r="DV63" i="11"/>
  <c r="AD223" i="12" s="1"/>
  <c r="AD210" i="12" s="1"/>
  <c r="DX63" i="11"/>
  <c r="DV86" i="11"/>
  <c r="AD283" i="12" s="1"/>
  <c r="AD277" i="12" s="1"/>
  <c r="DX86" i="11"/>
  <c r="DC76" i="11"/>
  <c r="DZ122" i="11"/>
  <c r="EA87" i="11"/>
  <c r="AE106" i="12"/>
  <c r="DW103" i="11"/>
  <c r="DB84" i="17"/>
  <c r="M83" i="6"/>
  <c r="BZ83" i="6"/>
  <c r="BT83" i="6"/>
  <c r="K34" i="6"/>
  <c r="K83" i="6" s="1"/>
  <c r="DW83" i="6"/>
  <c r="DQ39" i="6"/>
  <c r="DQ48" i="6" s="1"/>
  <c r="AW39" i="6"/>
  <c r="AW48" i="6" s="1"/>
  <c r="DO78" i="6"/>
  <c r="AE414" i="12"/>
  <c r="W2" i="12"/>
  <c r="CI4" i="11" s="1"/>
  <c r="K141" i="12"/>
  <c r="AA28" i="11" s="1"/>
  <c r="DL39" i="6"/>
  <c r="DL88" i="6" s="1"/>
  <c r="W141" i="12"/>
  <c r="CI28" i="11" s="1"/>
  <c r="AX338" i="17"/>
  <c r="AB16" i="11"/>
  <c r="AA16" i="11" s="1"/>
  <c r="AA76" i="11"/>
  <c r="BG78" i="6"/>
  <c r="CM16" i="11"/>
  <c r="K95" i="12"/>
  <c r="K2" i="12" s="1"/>
  <c r="AA4" i="11" s="1"/>
  <c r="DL83" i="6"/>
  <c r="Q76" i="11"/>
  <c r="V76" i="11"/>
  <c r="E319" i="2"/>
  <c r="F237" i="20" s="1"/>
  <c r="W237" i="20" s="1"/>
  <c r="CS83" i="6"/>
  <c r="CY83" i="6"/>
  <c r="BU83" i="6"/>
  <c r="CA83" i="6"/>
  <c r="CQ34" i="6"/>
  <c r="CQ83" i="6" s="1"/>
  <c r="BS34" i="6"/>
  <c r="BS83" i="6" s="1"/>
  <c r="CJ16" i="11"/>
  <c r="CI16" i="11" s="1"/>
  <c r="CA76" i="11"/>
  <c r="CI76" i="11"/>
  <c r="BI16" i="11"/>
  <c r="AO16" i="11"/>
  <c r="BB83" i="6"/>
  <c r="BY78" i="6"/>
  <c r="DI78" i="6"/>
  <c r="AQ39" i="6"/>
  <c r="AQ48" i="6" s="1"/>
  <c r="BJ83" i="6"/>
  <c r="U2" i="12"/>
  <c r="BY4" i="11" s="1"/>
  <c r="DU88" i="11"/>
  <c r="DV88" i="11" s="1"/>
  <c r="AD285" i="12" s="1"/>
  <c r="AD279" i="12" s="1"/>
  <c r="CZ83" i="6"/>
  <c r="M2" i="12"/>
  <c r="AK4" i="11" s="1"/>
  <c r="S14" i="11"/>
  <c r="CK14" i="11"/>
  <c r="DR83" i="6"/>
  <c r="DF83" i="6"/>
  <c r="CW34" i="6"/>
  <c r="DO34" i="6"/>
  <c r="DU83" i="6" s="1"/>
  <c r="AU76" i="11"/>
  <c r="P11" i="23"/>
  <c r="BA34" i="6"/>
  <c r="N39" i="6"/>
  <c r="N88" i="6" s="1"/>
  <c r="DU90" i="11"/>
  <c r="BH83" i="6"/>
  <c r="AO34" i="6"/>
  <c r="AO83" i="6" s="1"/>
  <c r="AZ76" i="11"/>
  <c r="DR39" i="6"/>
  <c r="BO11" i="11"/>
  <c r="BO81" i="11" s="1"/>
  <c r="BP81" i="11" s="1"/>
  <c r="BQ81" i="11" s="1"/>
  <c r="CE34" i="6"/>
  <c r="CE83" i="6" s="1"/>
  <c r="AP83" i="6"/>
  <c r="T83" i="6"/>
  <c r="N83" i="6"/>
  <c r="AV83" i="6"/>
  <c r="BX16" i="11"/>
  <c r="CM83" i="6"/>
  <c r="I95" i="12"/>
  <c r="I2" i="12" s="1"/>
  <c r="Q4" i="11" s="1"/>
  <c r="S171" i="12"/>
  <c r="CG39" i="6"/>
  <c r="CG48" i="6" s="1"/>
  <c r="AY16" i="11"/>
  <c r="O2" i="12"/>
  <c r="AU4" i="11" s="1"/>
  <c r="BD83" i="6"/>
  <c r="R16" i="11"/>
  <c r="Q16" i="11" s="1"/>
  <c r="BQ11" i="11"/>
  <c r="S138" i="12"/>
  <c r="BO25" i="11" s="1"/>
  <c r="DE83" i="6"/>
  <c r="DC34" i="6"/>
  <c r="DI83" i="6" s="1"/>
  <c r="E289" i="2"/>
  <c r="H153" i="20" s="1"/>
  <c r="Y153" i="20" s="1"/>
  <c r="T2" i="12"/>
  <c r="BT4" i="11" s="1"/>
  <c r="CK78" i="6"/>
  <c r="Y2" i="12"/>
  <c r="CS4" i="11" s="1"/>
  <c r="H95" i="12"/>
  <c r="H2" i="12" s="1"/>
  <c r="L4" i="11" s="1"/>
  <c r="DB74" i="11"/>
  <c r="DA76" i="11"/>
  <c r="CZ76" i="11" s="1"/>
  <c r="DG74" i="11"/>
  <c r="DC78" i="6"/>
  <c r="AX39" i="6"/>
  <c r="AX48" i="6" s="1"/>
  <c r="AA2" i="12"/>
  <c r="DC4" i="11" s="1"/>
  <c r="DK83" i="6"/>
  <c r="CV112" i="11"/>
  <c r="CX76" i="11"/>
  <c r="AU34" i="6"/>
  <c r="DE76" i="11"/>
  <c r="AP76" i="11"/>
  <c r="D287" i="2"/>
  <c r="E287" i="2" s="1"/>
  <c r="CF16" i="11"/>
  <c r="M16" i="11"/>
  <c r="L16" i="11" s="1"/>
  <c r="H141" i="12"/>
  <c r="L28" i="11" s="1"/>
  <c r="L439" i="20"/>
  <c r="AC439" i="20" s="1"/>
  <c r="AX235" i="2"/>
  <c r="L440" i="20"/>
  <c r="AC440" i="20" s="1"/>
  <c r="AX234" i="2"/>
  <c r="L438" i="20"/>
  <c r="AC438" i="20" s="1"/>
  <c r="AC155" i="12"/>
  <c r="CS76" i="11"/>
  <c r="BY76" i="11"/>
  <c r="BO76" i="11"/>
  <c r="CN76" i="11"/>
  <c r="H67" i="20"/>
  <c r="Y67" i="20" s="1"/>
  <c r="BE76" i="11"/>
  <c r="BT76" i="11"/>
  <c r="BJ76" i="11"/>
  <c r="BV16" i="11"/>
  <c r="S2" i="12"/>
  <c r="BO4" i="11" s="1"/>
  <c r="AH76" i="11"/>
  <c r="AK76" i="11"/>
  <c r="AF76" i="11"/>
  <c r="CR16" i="11"/>
  <c r="X73" i="12"/>
  <c r="X138" i="12"/>
  <c r="CN25" i="11" s="1"/>
  <c r="CP11" i="11"/>
  <c r="X171" i="12"/>
  <c r="CN11" i="11"/>
  <c r="CN81" i="11" s="1"/>
  <c r="CO81" i="11" s="1"/>
  <c r="CP81" i="11" s="1"/>
  <c r="AC404" i="12"/>
  <c r="AC416" i="12" s="1"/>
  <c r="AC207" i="12"/>
  <c r="CP14" i="11"/>
  <c r="X95" i="12"/>
  <c r="CO16" i="11"/>
  <c r="X141" i="12"/>
  <c r="CN28" i="11" s="1"/>
  <c r="DP124" i="11"/>
  <c r="DV59" i="11"/>
  <c r="AD219" i="12" s="1"/>
  <c r="AD205" i="12" s="1"/>
  <c r="DU60" i="11"/>
  <c r="AD24" i="12"/>
  <c r="AD37" i="12"/>
  <c r="AD23" i="12" s="1"/>
  <c r="AD168" i="12"/>
  <c r="F104" i="2" s="1"/>
  <c r="AW104" i="2" s="1"/>
  <c r="DS65" i="11"/>
  <c r="DR65" i="11" s="1"/>
  <c r="BN16" i="11"/>
  <c r="AT16" i="11"/>
  <c r="ER33" i="6"/>
  <c r="ER82" i="6" s="1"/>
  <c r="EL32" i="6"/>
  <c r="EL81" i="6" s="1"/>
  <c r="V73" i="12"/>
  <c r="V2" i="12" s="1"/>
  <c r="CD4" i="11" s="1"/>
  <c r="V138" i="12"/>
  <c r="CD25" i="11" s="1"/>
  <c r="CF11" i="11"/>
  <c r="V171" i="12"/>
  <c r="CD11" i="11"/>
  <c r="CD81" i="11" s="1"/>
  <c r="CE81" i="11" s="1"/>
  <c r="CF81" i="11" s="1"/>
  <c r="F230" i="20"/>
  <c r="W230" i="20" s="1"/>
  <c r="H66" i="20"/>
  <c r="Y66" i="20" s="1"/>
  <c r="BD16" i="11"/>
  <c r="Z16" i="11"/>
  <c r="AJ16" i="11"/>
  <c r="F294" i="2"/>
  <c r="F235" i="20"/>
  <c r="W235" i="20" s="1"/>
  <c r="F239" i="20"/>
  <c r="W239" i="20" s="1"/>
  <c r="H72" i="20"/>
  <c r="Y72" i="20" s="1"/>
  <c r="E235" i="20"/>
  <c r="V235" i="20" s="1"/>
  <c r="E239" i="20"/>
  <c r="V239" i="20" s="1"/>
  <c r="G72" i="20"/>
  <c r="X72" i="20" s="1"/>
  <c r="AR14" i="11"/>
  <c r="N141" i="12"/>
  <c r="AP28" i="11" s="1"/>
  <c r="N95" i="12"/>
  <c r="AQ16" i="11"/>
  <c r="N73" i="12"/>
  <c r="N171" i="12"/>
  <c r="AP11" i="11"/>
  <c r="AP81" i="11" s="1"/>
  <c r="AQ81" i="11" s="1"/>
  <c r="AR81" i="11" s="1"/>
  <c r="N138" i="12"/>
  <c r="AP25" i="11" s="1"/>
  <c r="AR11" i="11"/>
  <c r="C319" i="2"/>
  <c r="G70" i="20" s="1"/>
  <c r="X70" i="20" s="1"/>
  <c r="C293" i="2"/>
  <c r="G71" i="20" s="1"/>
  <c r="X71" i="20" s="1"/>
  <c r="E293" i="2"/>
  <c r="EM82" i="6"/>
  <c r="M579" i="7"/>
  <c r="M573" i="7"/>
  <c r="U473" i="7"/>
  <c r="U467" i="7"/>
  <c r="M473" i="7"/>
  <c r="M467" i="7"/>
  <c r="AA642" i="7"/>
  <c r="AA632" i="7"/>
  <c r="EQ35" i="6"/>
  <c r="AD781" i="7"/>
  <c r="AD782" i="7" s="1"/>
  <c r="F241" i="2" s="1"/>
  <c r="I510" i="20" s="1"/>
  <c r="Z510" i="20" s="1"/>
  <c r="AD405" i="7"/>
  <c r="AX194" i="2"/>
  <c r="L345" i="20"/>
  <c r="AC345" i="20" s="1"/>
  <c r="M345" i="20"/>
  <c r="AD345" i="20" s="1"/>
  <c r="P579" i="7"/>
  <c r="P573" i="7"/>
  <c r="V603" i="7"/>
  <c r="V574" i="7"/>
  <c r="V587" i="7"/>
  <c r="V580" i="7"/>
  <c r="N603" i="7"/>
  <c r="N574" i="7"/>
  <c r="N587" i="7"/>
  <c r="N580" i="7"/>
  <c r="Z572" i="7"/>
  <c r="Z578" i="7"/>
  <c r="Z567" i="7"/>
  <c r="Z2" i="7" s="1"/>
  <c r="R572" i="7"/>
  <c r="R578" i="7"/>
  <c r="R567" i="7"/>
  <c r="R2" i="7" s="1"/>
  <c r="EL17" i="6"/>
  <c r="EL66" i="6" s="1"/>
  <c r="EG66" i="6"/>
  <c r="M82" i="21"/>
  <c r="M64" i="21"/>
  <c r="M65" i="21" s="1"/>
  <c r="M88" i="21" s="1"/>
  <c r="M87" i="21" s="1"/>
  <c r="CD64" i="17"/>
  <c r="CB63" i="17"/>
  <c r="CC63" i="17" s="1"/>
  <c r="CD63" i="17" s="1"/>
  <c r="CE63" i="17" s="1"/>
  <c r="T473" i="7"/>
  <c r="T467" i="7"/>
  <c r="L473" i="7"/>
  <c r="K83" i="21"/>
  <c r="K86" i="21" s="1"/>
  <c r="AU112" i="2"/>
  <c r="D295" i="2"/>
  <c r="L141" i="12"/>
  <c r="AF28" i="11" s="1"/>
  <c r="L95" i="12"/>
  <c r="AG16" i="11"/>
  <c r="AH14" i="11"/>
  <c r="G510" i="20"/>
  <c r="X510" i="20" s="1"/>
  <c r="G514" i="20"/>
  <c r="X514" i="20" s="1"/>
  <c r="AC465" i="12"/>
  <c r="AC783" i="7"/>
  <c r="AC784" i="7" s="1"/>
  <c r="BZ237" i="17"/>
  <c r="BY225" i="17"/>
  <c r="BZ83" i="17"/>
  <c r="BY68" i="17"/>
  <c r="EM81" i="6"/>
  <c r="AA578" i="7"/>
  <c r="AA572" i="7"/>
  <c r="C307" i="2"/>
  <c r="J73" i="12"/>
  <c r="J171" i="12"/>
  <c r="V11" i="11"/>
  <c r="V81" i="11" s="1"/>
  <c r="W81" i="11" s="1"/>
  <c r="X81" i="11" s="1"/>
  <c r="J138" i="12"/>
  <c r="V25" i="11" s="1"/>
  <c r="X11" i="11"/>
  <c r="EK40" i="6"/>
  <c r="AC787" i="7"/>
  <c r="AC502" i="7"/>
  <c r="Y579" i="7"/>
  <c r="Y573" i="7"/>
  <c r="CT130" i="17"/>
  <c r="DD10" i="17" s="1"/>
  <c r="AC151" i="12"/>
  <c r="CS126" i="17"/>
  <c r="Y587" i="7"/>
  <c r="Y580" i="7"/>
  <c r="Y603" i="7"/>
  <c r="Y574" i="7"/>
  <c r="M587" i="7"/>
  <c r="M580" i="7"/>
  <c r="M603" i="7"/>
  <c r="M574" i="7"/>
  <c r="Z579" i="7"/>
  <c r="Z573" i="7"/>
  <c r="W473" i="7"/>
  <c r="W467" i="7"/>
  <c r="O473" i="7"/>
  <c r="O467" i="7"/>
  <c r="U579" i="7"/>
  <c r="U573" i="7"/>
  <c r="O82" i="21"/>
  <c r="O64" i="21"/>
  <c r="O65" i="21" s="1"/>
  <c r="O88" i="21" s="1"/>
  <c r="O87" i="21" s="1"/>
  <c r="T603" i="7"/>
  <c r="T574" i="7"/>
  <c r="T587" i="7"/>
  <c r="T580" i="7"/>
  <c r="L603" i="7"/>
  <c r="L574" i="7"/>
  <c r="L587" i="7"/>
  <c r="L580" i="7"/>
  <c r="S579" i="7"/>
  <c r="S573" i="7"/>
  <c r="BZ234" i="17"/>
  <c r="BY222" i="17"/>
  <c r="BZ77" i="17"/>
  <c r="BY62" i="17"/>
  <c r="CX177" i="17"/>
  <c r="CW165" i="17"/>
  <c r="BN170" i="17"/>
  <c r="BM169" i="17"/>
  <c r="BM182" i="17" s="1"/>
  <c r="S578" i="7"/>
  <c r="S567" i="7"/>
  <c r="S2" i="7" s="1"/>
  <c r="S572" i="7"/>
  <c r="R73" i="12"/>
  <c r="R171" i="12"/>
  <c r="BJ11" i="11"/>
  <c r="BJ81" i="11" s="1"/>
  <c r="BK81" i="11" s="1"/>
  <c r="BL81" i="11" s="1"/>
  <c r="R138" i="12"/>
  <c r="BJ25" i="11" s="1"/>
  <c r="BL11" i="11"/>
  <c r="Y578" i="7"/>
  <c r="Y567" i="7"/>
  <c r="Y2" i="7" s="1"/>
  <c r="Y572" i="7"/>
  <c r="Q578" i="7"/>
  <c r="Q567" i="7"/>
  <c r="Q2" i="7" s="1"/>
  <c r="Q572" i="7"/>
  <c r="CU247" i="17"/>
  <c r="CU246" i="17"/>
  <c r="CV228" i="17"/>
  <c r="CT248" i="17"/>
  <c r="V572" i="7"/>
  <c r="V578" i="7"/>
  <c r="V567" i="7"/>
  <c r="V2" i="7" s="1"/>
  <c r="N572" i="7"/>
  <c r="N578" i="7"/>
  <c r="N567" i="7"/>
  <c r="N2" i="7" s="1"/>
  <c r="Q579" i="7"/>
  <c r="Q573" i="7"/>
  <c r="P73" i="12"/>
  <c r="P171" i="12"/>
  <c r="P138" i="12"/>
  <c r="AZ25" i="11" s="1"/>
  <c r="BB11" i="11"/>
  <c r="AZ11" i="11"/>
  <c r="AZ81" i="11" s="1"/>
  <c r="BA81" i="11" s="1"/>
  <c r="BB81" i="11" s="1"/>
  <c r="AA587" i="7"/>
  <c r="AA580" i="7"/>
  <c r="AA603" i="7"/>
  <c r="AA574" i="7"/>
  <c r="O587" i="7"/>
  <c r="O580" i="7"/>
  <c r="O603" i="7"/>
  <c r="O574" i="7"/>
  <c r="T579" i="7"/>
  <c r="T573" i="7"/>
  <c r="X572" i="7"/>
  <c r="X578" i="7"/>
  <c r="X567" i="7"/>
  <c r="P572" i="7"/>
  <c r="P578" i="7"/>
  <c r="P567" i="7"/>
  <c r="P2" i="7" s="1"/>
  <c r="EQ40" i="6"/>
  <c r="AD787" i="7"/>
  <c r="AD502" i="7"/>
  <c r="AA579" i="7"/>
  <c r="AA573" i="7"/>
  <c r="U578" i="7"/>
  <c r="U567" i="7"/>
  <c r="U2" i="7" s="1"/>
  <c r="U572" i="7"/>
  <c r="M578" i="7"/>
  <c r="M567" i="7"/>
  <c r="M2" i="7" s="1"/>
  <c r="M572" i="7"/>
  <c r="EM35" i="6"/>
  <c r="ES84" i="6" s="1"/>
  <c r="EN84" i="6"/>
  <c r="E285" i="2"/>
  <c r="C285" i="2"/>
  <c r="G61" i="20" s="1"/>
  <c r="X61" i="20" s="1"/>
  <c r="Z603" i="7"/>
  <c r="Z574" i="7"/>
  <c r="Z587" i="7"/>
  <c r="Z580" i="7"/>
  <c r="R603" i="7"/>
  <c r="R574" i="7"/>
  <c r="R587" i="7"/>
  <c r="R580" i="7"/>
  <c r="Z473" i="7"/>
  <c r="Z467" i="7"/>
  <c r="R473" i="7"/>
  <c r="R467" i="7"/>
  <c r="BZ80" i="17"/>
  <c r="BY65" i="17"/>
  <c r="T572" i="7"/>
  <c r="T578" i="7"/>
  <c r="T567" i="7"/>
  <c r="T2" i="7" s="1"/>
  <c r="L578" i="7"/>
  <c r="L567" i="7"/>
  <c r="L2" i="7" s="1"/>
  <c r="W579" i="7"/>
  <c r="W573" i="7"/>
  <c r="V579" i="7"/>
  <c r="V573" i="7"/>
  <c r="BL14" i="11"/>
  <c r="R141" i="12"/>
  <c r="BJ28" i="11" s="1"/>
  <c r="R95" i="12"/>
  <c r="BK16" i="11"/>
  <c r="Y42" i="8"/>
  <c r="Y41" i="8"/>
  <c r="Z40" i="8"/>
  <c r="EL35" i="6"/>
  <c r="EL84" i="6" s="1"/>
  <c r="EG84" i="6"/>
  <c r="G512" i="20"/>
  <c r="X512" i="20" s="1"/>
  <c r="AV241" i="2"/>
  <c r="CB223" i="17"/>
  <c r="CC223" i="17" s="1"/>
  <c r="CD223" i="17" s="1"/>
  <c r="CE223" i="17" s="1"/>
  <c r="CD224" i="17"/>
  <c r="CB66" i="17"/>
  <c r="CC66" i="17" s="1"/>
  <c r="CD66" i="17" s="1"/>
  <c r="CE66" i="17" s="1"/>
  <c r="CD67" i="17"/>
  <c r="AA473" i="7"/>
  <c r="AA467" i="7"/>
  <c r="AD165" i="8"/>
  <c r="AC172" i="8"/>
  <c r="E284" i="2"/>
  <c r="C284" i="2"/>
  <c r="AW191" i="2"/>
  <c r="J341" i="20"/>
  <c r="AA341" i="20" s="1"/>
  <c r="K341" i="20"/>
  <c r="AB341" i="20" s="1"/>
  <c r="CU142" i="17"/>
  <c r="CU129" i="17"/>
  <c r="AX224" i="2"/>
  <c r="M421" i="20"/>
  <c r="AD421" i="20" s="1"/>
  <c r="L421" i="20"/>
  <c r="AC421" i="20" s="1"/>
  <c r="U587" i="7"/>
  <c r="U580" i="7"/>
  <c r="U603" i="7"/>
  <c r="U574" i="7"/>
  <c r="Q587" i="7"/>
  <c r="Q580" i="7"/>
  <c r="Q603" i="7"/>
  <c r="Q574" i="7"/>
  <c r="L579" i="7"/>
  <c r="L573" i="7"/>
  <c r="W578" i="7"/>
  <c r="W567" i="7"/>
  <c r="W2" i="7" s="1"/>
  <c r="W572" i="7"/>
  <c r="O578" i="7"/>
  <c r="O567" i="7"/>
  <c r="O2" i="7" s="1"/>
  <c r="O572" i="7"/>
  <c r="EM89" i="6"/>
  <c r="AD66" i="8"/>
  <c r="AD55" i="8"/>
  <c r="X579" i="7"/>
  <c r="X573" i="7"/>
  <c r="ER17" i="6"/>
  <c r="ER66" i="6" s="1"/>
  <c r="EM66" i="6"/>
  <c r="X603" i="7"/>
  <c r="X574" i="7"/>
  <c r="X587" i="7"/>
  <c r="X580" i="7"/>
  <c r="P603" i="7"/>
  <c r="P574" i="7"/>
  <c r="P587" i="7"/>
  <c r="P580" i="7"/>
  <c r="BL256" i="17"/>
  <c r="BL257" i="17" s="1"/>
  <c r="BM227" i="17"/>
  <c r="BL226" i="17"/>
  <c r="BL239" i="17" s="1"/>
  <c r="F48" i="6"/>
  <c r="F49" i="6" s="1"/>
  <c r="E39" i="6"/>
  <c r="E48" i="6" s="1"/>
  <c r="J48" i="6" s="1"/>
  <c r="CB220" i="17"/>
  <c r="CC220" i="17" s="1"/>
  <c r="CD220" i="17" s="1"/>
  <c r="CE220" i="17" s="1"/>
  <c r="CD221" i="17"/>
  <c r="CB60" i="17"/>
  <c r="CD61" i="17"/>
  <c r="G191" i="2"/>
  <c r="N82" i="21"/>
  <c r="N64" i="21"/>
  <c r="N65" i="21" s="1"/>
  <c r="N88" i="21" s="1"/>
  <c r="N87" i="21" s="1"/>
  <c r="O579" i="7"/>
  <c r="O573" i="7"/>
  <c r="S473" i="7"/>
  <c r="S467" i="7"/>
  <c r="N579" i="7"/>
  <c r="N573" i="7"/>
  <c r="L73" i="12"/>
  <c r="L138" i="12"/>
  <c r="AF25" i="11" s="1"/>
  <c r="L171" i="12"/>
  <c r="AF11" i="11"/>
  <c r="AF81" i="11" s="1"/>
  <c r="AG81" i="11" s="1"/>
  <c r="AH81" i="11" s="1"/>
  <c r="AH11" i="11"/>
  <c r="CX180" i="17"/>
  <c r="CW168" i="17"/>
  <c r="Y473" i="7"/>
  <c r="Y467" i="7"/>
  <c r="Q473" i="7"/>
  <c r="Q467" i="7"/>
  <c r="EM27" i="6"/>
  <c r="EN76" i="6"/>
  <c r="R579" i="7"/>
  <c r="R573" i="7"/>
  <c r="J141" i="12"/>
  <c r="V28" i="11" s="1"/>
  <c r="X14" i="11"/>
  <c r="J95" i="12"/>
  <c r="W16" i="11"/>
  <c r="DD14" i="17"/>
  <c r="DM104" i="11"/>
  <c r="V473" i="7"/>
  <c r="V467" i="7"/>
  <c r="N473" i="7"/>
  <c r="N467" i="7"/>
  <c r="P95" i="12"/>
  <c r="BA16" i="11"/>
  <c r="BB14" i="11"/>
  <c r="P141" i="12"/>
  <c r="AZ28" i="11" s="1"/>
  <c r="AW240" i="2"/>
  <c r="I511" i="20"/>
  <c r="Z511" i="20" s="1"/>
  <c r="J191" i="20"/>
  <c r="AA191" i="20" s="1"/>
  <c r="W587" i="7"/>
  <c r="W580" i="7"/>
  <c r="W603" i="7"/>
  <c r="W574" i="7"/>
  <c r="S587" i="7"/>
  <c r="S580" i="7"/>
  <c r="S603" i="7"/>
  <c r="S574" i="7"/>
  <c r="AW210" i="2"/>
  <c r="K387" i="20"/>
  <c r="AB387" i="20" s="1"/>
  <c r="J387" i="20"/>
  <c r="AA387" i="20" s="1"/>
  <c r="X473" i="7"/>
  <c r="X467" i="7"/>
  <c r="P473" i="7"/>
  <c r="P467" i="7"/>
  <c r="F229" i="20"/>
  <c r="W229" i="20" s="1"/>
  <c r="E229" i="20"/>
  <c r="V229" i="20" s="1"/>
  <c r="BO316" i="17"/>
  <c r="BO338" i="17" s="1"/>
  <c r="BR295" i="17"/>
  <c r="BR301" i="17" s="1"/>
  <c r="AD446" i="12"/>
  <c r="AD451" i="12" s="1"/>
  <c r="DE16" i="11"/>
  <c r="AU16" i="11"/>
  <c r="AW16" i="11"/>
  <c r="DK88" i="6"/>
  <c r="DK48" i="6"/>
  <c r="CY88" i="6"/>
  <c r="CY48" i="6"/>
  <c r="CM48" i="6"/>
  <c r="CA88" i="6"/>
  <c r="CA48" i="6"/>
  <c r="BO88" i="6"/>
  <c r="BO48" i="6"/>
  <c r="BC48" i="6"/>
  <c r="AE88" i="6"/>
  <c r="AE48" i="6"/>
  <c r="CR88" i="6"/>
  <c r="CR48" i="6"/>
  <c r="CQ39" i="6"/>
  <c r="BB88" i="6"/>
  <c r="BB48" i="6"/>
  <c r="BA39" i="6"/>
  <c r="CX88" i="6"/>
  <c r="CX48" i="6"/>
  <c r="CW39" i="6"/>
  <c r="AV88" i="6"/>
  <c r="AV48" i="6"/>
  <c r="CF88" i="6"/>
  <c r="CF48" i="6"/>
  <c r="AC463" i="12"/>
  <c r="AC334" i="12"/>
  <c r="DF111" i="11"/>
  <c r="DA112" i="11"/>
  <c r="DF96" i="11"/>
  <c r="DA97" i="11"/>
  <c r="CL88" i="6"/>
  <c r="CL48" i="6"/>
  <c r="CK39" i="6"/>
  <c r="BJ297" i="17"/>
  <c r="BJ329" i="17"/>
  <c r="T383" i="12"/>
  <c r="DV88" i="6"/>
  <c r="DV48" i="6"/>
  <c r="DU39" i="6"/>
  <c r="DP88" i="6"/>
  <c r="DP48" i="6"/>
  <c r="BT88" i="6"/>
  <c r="BT48" i="6"/>
  <c r="BS39" i="6"/>
  <c r="X88" i="6"/>
  <c r="X48" i="6"/>
  <c r="W39" i="6"/>
  <c r="DD88" i="6"/>
  <c r="DD48" i="6"/>
  <c r="DC39" i="6"/>
  <c r="BM320" i="17"/>
  <c r="BM321" i="17" s="1"/>
  <c r="BM287" i="17"/>
  <c r="BJ299" i="17"/>
  <c r="BJ320" i="17"/>
  <c r="BJ321" i="17" s="1"/>
  <c r="BJ287" i="17"/>
  <c r="BO16" i="11"/>
  <c r="BQ16" i="11"/>
  <c r="AJ48" i="6"/>
  <c r="AI39" i="6"/>
  <c r="BM83" i="6"/>
  <c r="L88" i="6"/>
  <c r="L48" i="6"/>
  <c r="BK283" i="17"/>
  <c r="BK338" i="17"/>
  <c r="BQ283" i="17"/>
  <c r="BR316" i="17"/>
  <c r="BR338" i="17" s="1"/>
  <c r="BS282" i="17"/>
  <c r="BT282" i="17"/>
  <c r="BT316" i="17" s="1"/>
  <c r="BT338" i="17" s="1"/>
  <c r="BU282" i="17"/>
  <c r="BU316" i="17" s="1"/>
  <c r="BU338" i="17" s="1"/>
  <c r="BV282" i="17"/>
  <c r="DV103" i="11"/>
  <c r="AD317" i="12" s="1"/>
  <c r="AD311" i="12" s="1"/>
  <c r="DT103" i="11"/>
  <c r="DT15" i="11" s="1"/>
  <c r="DF88" i="6"/>
  <c r="DF48" i="6"/>
  <c r="CZ88" i="6"/>
  <c r="CZ48" i="6"/>
  <c r="CT88" i="6"/>
  <c r="CT48" i="6"/>
  <c r="CN88" i="6"/>
  <c r="CN48" i="6"/>
  <c r="CH88" i="6"/>
  <c r="CH48" i="6"/>
  <c r="CB88" i="6"/>
  <c r="CB48" i="6"/>
  <c r="BV88" i="6"/>
  <c r="BV48" i="6"/>
  <c r="BP88" i="6"/>
  <c r="BP48" i="6"/>
  <c r="BJ88" i="6"/>
  <c r="BJ48" i="6"/>
  <c r="BD48" i="6"/>
  <c r="AR88" i="6"/>
  <c r="AR48" i="6"/>
  <c r="AL88" i="6"/>
  <c r="AL48" i="6"/>
  <c r="AF88" i="6"/>
  <c r="AF48" i="6"/>
  <c r="Z88" i="6"/>
  <c r="Z48" i="6"/>
  <c r="T48" i="6"/>
  <c r="CS16" i="11"/>
  <c r="CU16" i="11"/>
  <c r="BY16" i="11"/>
  <c r="CA16" i="11"/>
  <c r="BE16" i="11"/>
  <c r="BG16" i="11"/>
  <c r="AK16" i="11"/>
  <c r="AM16" i="11"/>
  <c r="BZ88" i="6"/>
  <c r="BZ48" i="6"/>
  <c r="BY39" i="6"/>
  <c r="R88" i="6"/>
  <c r="R48" i="6"/>
  <c r="AD316" i="12"/>
  <c r="AD310" i="12" s="1"/>
  <c r="F145" i="2" s="1"/>
  <c r="J501" i="20" s="1"/>
  <c r="AA501" i="20" s="1"/>
  <c r="DV111" i="11"/>
  <c r="AD327" i="12" s="1"/>
  <c r="AD322" i="12" s="1"/>
  <c r="DE14" i="17"/>
  <c r="CS230" i="17"/>
  <c r="I67" i="20"/>
  <c r="Z67" i="20" s="1"/>
  <c r="DJ88" i="6"/>
  <c r="DJ48" i="6"/>
  <c r="BH88" i="6"/>
  <c r="BH48" i="6"/>
  <c r="BG39" i="6"/>
  <c r="BN283" i="17"/>
  <c r="BP283" i="17"/>
  <c r="AD111" i="12"/>
  <c r="AD105" i="12" s="1"/>
  <c r="DR15" i="11"/>
  <c r="DS15" i="11" s="1"/>
  <c r="DW48" i="6"/>
  <c r="AD284" i="12"/>
  <c r="AD278" i="12" s="1"/>
  <c r="F143" i="2" s="1"/>
  <c r="DV96" i="11"/>
  <c r="AD295" i="12" s="1"/>
  <c r="AD290" i="12" s="1"/>
  <c r="DX48" i="6"/>
  <c r="DE88" i="6"/>
  <c r="DE48" i="6"/>
  <c r="CS88" i="6"/>
  <c r="CS48" i="6"/>
  <c r="BU88" i="6"/>
  <c r="BU48" i="6"/>
  <c r="BI88" i="6"/>
  <c r="BI48" i="6"/>
  <c r="AK88" i="6"/>
  <c r="AK48" i="6"/>
  <c r="Y48" i="6"/>
  <c r="M88" i="6"/>
  <c r="M48" i="6"/>
  <c r="AP88" i="6"/>
  <c r="AP48" i="6"/>
  <c r="BO285" i="17"/>
  <c r="BN319" i="17"/>
  <c r="BN286" i="17" s="1"/>
  <c r="BP285" i="17"/>
  <c r="BP319" i="17" s="1"/>
  <c r="BP286" i="17" s="1"/>
  <c r="BQ285" i="17"/>
  <c r="BQ319" i="17" s="1"/>
  <c r="BQ286" i="17" s="1"/>
  <c r="BR285" i="17"/>
  <c r="BL320" i="17"/>
  <c r="BL321" i="17" s="1"/>
  <c r="BL287" i="17"/>
  <c r="BK319" i="17"/>
  <c r="BK286" i="17" s="1"/>
  <c r="BN298" i="17"/>
  <c r="BN88" i="6"/>
  <c r="BN48" i="6"/>
  <c r="BM39" i="6"/>
  <c r="F133" i="2" l="1"/>
  <c r="AW133" i="2" s="1"/>
  <c r="CC60" i="17"/>
  <c r="CD60" i="17" s="1"/>
  <c r="CE60" i="17" s="1"/>
  <c r="DR13" i="11"/>
  <c r="DS13" i="11" s="1"/>
  <c r="U21" i="21"/>
  <c r="U22" i="21" s="1"/>
  <c r="U19" i="21"/>
  <c r="AC461" i="12"/>
  <c r="AC795" i="7"/>
  <c r="AC797" i="7" s="1"/>
  <c r="AC335" i="12"/>
  <c r="G567" i="7"/>
  <c r="G2" i="7" s="1"/>
  <c r="CV247" i="17"/>
  <c r="S83" i="6"/>
  <c r="BD88" i="6"/>
  <c r="T88" i="6"/>
  <c r="BC88" i="6"/>
  <c r="AD83" i="6"/>
  <c r="S48" i="6"/>
  <c r="Y97" i="6" s="1"/>
  <c r="Y88" i="6"/>
  <c r="AD88" i="6"/>
  <c r="AJ88" i="6"/>
  <c r="AU83" i="6"/>
  <c r="BA83" i="6"/>
  <c r="AC78" i="6"/>
  <c r="AI78" i="6"/>
  <c r="Q34" i="6"/>
  <c r="Y83" i="6"/>
  <c r="AC34" i="6"/>
  <c r="AJ83" i="6"/>
  <c r="W78" i="6"/>
  <c r="J573" i="7"/>
  <c r="AA2" i="7"/>
  <c r="Q39" i="6"/>
  <c r="Q48" i="6" s="1"/>
  <c r="S88" i="6"/>
  <c r="AC39" i="6"/>
  <c r="AC48" i="6" s="1"/>
  <c r="AD48" i="6"/>
  <c r="AD97" i="6" s="1"/>
  <c r="H611" i="7"/>
  <c r="H604" i="7"/>
  <c r="H612" i="7" s="1"/>
  <c r="I611" i="7"/>
  <c r="I604" i="7"/>
  <c r="I612" i="7" s="1"/>
  <c r="J611" i="7"/>
  <c r="J604" i="7"/>
  <c r="J612" i="7" s="1"/>
  <c r="K589" i="7"/>
  <c r="K597" i="7"/>
  <c r="K592" i="7"/>
  <c r="J589" i="7"/>
  <c r="J592" i="7"/>
  <c r="J597" i="7"/>
  <c r="K611" i="7"/>
  <c r="K604" i="7"/>
  <c r="K612" i="7" s="1"/>
  <c r="K572" i="7"/>
  <c r="K578" i="7"/>
  <c r="K567" i="7"/>
  <c r="K2" i="7" s="1"/>
  <c r="G597" i="7"/>
  <c r="G589" i="7"/>
  <c r="G599" i="7" s="1"/>
  <c r="L572" i="7"/>
  <c r="K467" i="7"/>
  <c r="K473" i="7"/>
  <c r="H592" i="7"/>
  <c r="H597" i="7"/>
  <c r="H589" i="7"/>
  <c r="I573" i="7"/>
  <c r="I579" i="7"/>
  <c r="J567" i="7"/>
  <c r="J2" i="7" s="1"/>
  <c r="J578" i="7"/>
  <c r="I592" i="7"/>
  <c r="I589" i="7"/>
  <c r="I597" i="7"/>
  <c r="BN103" i="17"/>
  <c r="BN104" i="17" s="1"/>
  <c r="BO70" i="17"/>
  <c r="BO103" i="17" s="1"/>
  <c r="X2" i="7"/>
  <c r="AE478" i="7"/>
  <c r="J64" i="21"/>
  <c r="J65" i="21" s="1"/>
  <c r="J88" i="21" s="1"/>
  <c r="J87" i="21" s="1"/>
  <c r="J83" i="21" s="1"/>
  <c r="J86" i="21" s="1"/>
  <c r="H245" i="20"/>
  <c r="Y245" i="20" s="1"/>
  <c r="BM85" i="17"/>
  <c r="AE499" i="7"/>
  <c r="CY306" i="17"/>
  <c r="AD374" i="12"/>
  <c r="CX307" i="17"/>
  <c r="L425" i="20"/>
  <c r="AC425" i="20" s="1"/>
  <c r="M425" i="20"/>
  <c r="AD425" i="20" s="1"/>
  <c r="Q125" i="8"/>
  <c r="Q118" i="8"/>
  <c r="AX240" i="2"/>
  <c r="I64" i="21"/>
  <c r="I65" i="21" s="1"/>
  <c r="I88" i="21" s="1"/>
  <c r="I87" i="21" s="1"/>
  <c r="I83" i="21" s="1"/>
  <c r="I86" i="21" s="1"/>
  <c r="K511" i="20"/>
  <c r="AB511" i="20" s="1"/>
  <c r="Q51" i="21"/>
  <c r="Q63" i="21" s="1"/>
  <c r="Q61" i="21" s="1"/>
  <c r="Q64" i="21" s="1"/>
  <c r="Q40" i="21" s="1"/>
  <c r="P76" i="21"/>
  <c r="P66" i="21"/>
  <c r="L387" i="20"/>
  <c r="AC387" i="20" s="1"/>
  <c r="AX210" i="2"/>
  <c r="DB177" i="17"/>
  <c r="DA165" i="17"/>
  <c r="AE170" i="7"/>
  <c r="G232" i="2"/>
  <c r="AX232" i="2" s="1"/>
  <c r="H246" i="20"/>
  <c r="Y246" i="20" s="1"/>
  <c r="AX275" i="2"/>
  <c r="H247" i="20"/>
  <c r="Y247" i="20" s="1"/>
  <c r="AX276" i="2"/>
  <c r="AX273" i="2"/>
  <c r="H244" i="20"/>
  <c r="Y244" i="20" s="1"/>
  <c r="DB180" i="17"/>
  <c r="DA168" i="17"/>
  <c r="AE465" i="12"/>
  <c r="AE783" i="7"/>
  <c r="AE784" i="7" s="1"/>
  <c r="AE172" i="8"/>
  <c r="EW40" i="6"/>
  <c r="EW89" i="6" s="1"/>
  <c r="AE502" i="7"/>
  <c r="AE787" i="7"/>
  <c r="M420" i="20"/>
  <c r="AD420" i="20" s="1"/>
  <c r="AX223" i="2"/>
  <c r="L420" i="20"/>
  <c r="AC420" i="20" s="1"/>
  <c r="ES17" i="6"/>
  <c r="EV66" i="6"/>
  <c r="C315" i="2"/>
  <c r="AT107" i="2"/>
  <c r="G294" i="2"/>
  <c r="J72" i="20" s="1"/>
  <c r="AA72" i="20" s="1"/>
  <c r="G318" i="2"/>
  <c r="AX110" i="2"/>
  <c r="AE446" i="12"/>
  <c r="AE451" i="12" s="1"/>
  <c r="G131" i="2"/>
  <c r="AX131" i="2" s="1"/>
  <c r="K185" i="20"/>
  <c r="AB185" i="20" s="1"/>
  <c r="I502" i="20"/>
  <c r="Z502" i="20" s="1"/>
  <c r="DQ88" i="6"/>
  <c r="G291" i="2"/>
  <c r="J67" i="20" s="1"/>
  <c r="AA67" i="20" s="1"/>
  <c r="G230" i="20"/>
  <c r="X230" i="20" s="1"/>
  <c r="I501" i="20"/>
  <c r="Z501" i="20" s="1"/>
  <c r="J189" i="20"/>
  <c r="AA189" i="20" s="1"/>
  <c r="F144" i="2"/>
  <c r="I514" i="20" s="1"/>
  <c r="Z514" i="20" s="1"/>
  <c r="AW143" i="2"/>
  <c r="J500" i="20"/>
  <c r="AA500" i="20" s="1"/>
  <c r="J184" i="20"/>
  <c r="AA184" i="20" s="1"/>
  <c r="AW109" i="2"/>
  <c r="F292" i="2"/>
  <c r="F312" i="2"/>
  <c r="F313" i="2" s="1"/>
  <c r="I66" i="20" s="1"/>
  <c r="Z66" i="20" s="1"/>
  <c r="J181" i="20"/>
  <c r="AA181" i="20" s="1"/>
  <c r="I500" i="20"/>
  <c r="Z500" i="20" s="1"/>
  <c r="AW145" i="2"/>
  <c r="J185" i="20"/>
  <c r="AA185" i="20" s="1"/>
  <c r="F287" i="2"/>
  <c r="I151" i="20" s="1"/>
  <c r="Z151" i="20" s="1"/>
  <c r="AD407" i="12"/>
  <c r="AD419" i="12" s="1"/>
  <c r="F140" i="2"/>
  <c r="F317" i="2"/>
  <c r="K181" i="20"/>
  <c r="AB181" i="20" s="1"/>
  <c r="K184" i="20"/>
  <c r="AB184" i="20" s="1"/>
  <c r="AD436" i="12"/>
  <c r="AD441" i="12" s="1"/>
  <c r="EM76" i="6"/>
  <c r="ES76" i="6"/>
  <c r="EQ84" i="6"/>
  <c r="EW84" i="6"/>
  <c r="DX65" i="11"/>
  <c r="AE168" i="12"/>
  <c r="DW60" i="11"/>
  <c r="AE37" i="12" s="1"/>
  <c r="AE23" i="12" s="1"/>
  <c r="DB65" i="17" s="1"/>
  <c r="AE24" i="12"/>
  <c r="DZ63" i="11"/>
  <c r="EA63" i="11" s="1"/>
  <c r="AE223" i="12" s="1"/>
  <c r="AE210" i="12" s="1"/>
  <c r="AE169" i="12"/>
  <c r="AE316" i="12"/>
  <c r="AE310" i="12" s="1"/>
  <c r="EA111" i="11"/>
  <c r="AE327" i="12" s="1"/>
  <c r="AE322" i="12" s="1"/>
  <c r="AE284" i="12"/>
  <c r="AE278" i="12" s="1"/>
  <c r="EA96" i="11"/>
  <c r="AE295" i="12" s="1"/>
  <c r="AE290" i="12" s="1"/>
  <c r="EA59" i="11"/>
  <c r="AE219" i="12" s="1"/>
  <c r="AE205" i="12" s="1"/>
  <c r="DZ60" i="11"/>
  <c r="AW88" i="6"/>
  <c r="AE111" i="12"/>
  <c r="AE105" i="12" s="1"/>
  <c r="DW15" i="11"/>
  <c r="DX88" i="11"/>
  <c r="DZ86" i="11"/>
  <c r="AE173" i="12"/>
  <c r="DX90" i="11"/>
  <c r="EA103" i="11"/>
  <c r="AE317" i="12" s="1"/>
  <c r="AE311" i="12" s="1"/>
  <c r="DY103" i="11"/>
  <c r="DY15" i="11" s="1"/>
  <c r="DW88" i="6"/>
  <c r="DI39" i="6"/>
  <c r="DI88" i="6" s="1"/>
  <c r="DL48" i="6"/>
  <c r="DL49" i="6" s="1"/>
  <c r="DO39" i="6"/>
  <c r="DO48" i="6" s="1"/>
  <c r="AC16" i="11"/>
  <c r="CX65" i="17"/>
  <c r="CX81" i="17" s="1"/>
  <c r="F233" i="20"/>
  <c r="W233" i="20" s="1"/>
  <c r="H70" i="20"/>
  <c r="Y70" i="20" s="1"/>
  <c r="F319" i="2"/>
  <c r="I70" i="20" s="1"/>
  <c r="Z70" i="20" s="1"/>
  <c r="N48" i="6"/>
  <c r="N97" i="6" s="1"/>
  <c r="DR48" i="6"/>
  <c r="DX97" i="6" s="1"/>
  <c r="CK16" i="11"/>
  <c r="DO83" i="6"/>
  <c r="K39" i="6"/>
  <c r="K88" i="6" s="1"/>
  <c r="DT88" i="11"/>
  <c r="DT13" i="11" s="1"/>
  <c r="CW83" i="6"/>
  <c r="AQ88" i="6"/>
  <c r="BY83" i="6"/>
  <c r="BG83" i="6"/>
  <c r="AO39" i="6"/>
  <c r="AO48" i="6" s="1"/>
  <c r="DC83" i="6"/>
  <c r="Q11" i="23"/>
  <c r="CG88" i="6"/>
  <c r="DX88" i="6"/>
  <c r="S16" i="11"/>
  <c r="CE39" i="6"/>
  <c r="CE88" i="6" s="1"/>
  <c r="CM88" i="6"/>
  <c r="CK83" i="6"/>
  <c r="DR88" i="6"/>
  <c r="F289" i="2"/>
  <c r="I153" i="20" s="1"/>
  <c r="Z153" i="20" s="1"/>
  <c r="AX88" i="6"/>
  <c r="AU39" i="6"/>
  <c r="AU48" i="6" s="1"/>
  <c r="N16" i="11"/>
  <c r="C287" i="2"/>
  <c r="G149" i="20" s="1"/>
  <c r="X149" i="20" s="1"/>
  <c r="H149" i="20"/>
  <c r="Y149" i="20" s="1"/>
  <c r="H151" i="20"/>
  <c r="Y151" i="20" s="1"/>
  <c r="F224" i="20"/>
  <c r="W224" i="20" s="1"/>
  <c r="E234" i="20"/>
  <c r="V234" i="20" s="1"/>
  <c r="EQ89" i="6"/>
  <c r="AD403" i="12"/>
  <c r="AD415" i="12" s="1"/>
  <c r="CT73" i="17"/>
  <c r="AC53" i="12"/>
  <c r="AC60" i="12" s="1"/>
  <c r="CN16" i="11"/>
  <c r="CP16" i="11"/>
  <c r="AD30" i="12"/>
  <c r="DS124" i="11"/>
  <c r="DU65" i="11"/>
  <c r="DT60" i="11"/>
  <c r="DV60" i="11"/>
  <c r="AD220" i="12" s="1"/>
  <c r="AD206" i="12" s="1"/>
  <c r="F139" i="2" s="1"/>
  <c r="AW139" i="2" s="1"/>
  <c r="X2" i="12"/>
  <c r="CN4" i="11" s="1"/>
  <c r="J2" i="12"/>
  <c r="V4" i="11" s="1"/>
  <c r="R2" i="12"/>
  <c r="BJ4" i="11" s="1"/>
  <c r="E237" i="20"/>
  <c r="V237" i="20" s="1"/>
  <c r="I72" i="20"/>
  <c r="Z72" i="20" s="1"/>
  <c r="G235" i="20"/>
  <c r="X235" i="20" s="1"/>
  <c r="N2" i="12"/>
  <c r="AP4" i="11" s="1"/>
  <c r="P2" i="12"/>
  <c r="AZ4" i="11" s="1"/>
  <c r="ER40" i="6"/>
  <c r="ER89" i="6" s="1"/>
  <c r="O83" i="21"/>
  <c r="O86" i="21" s="1"/>
  <c r="E27" i="20"/>
  <c r="V27" i="20" s="1"/>
  <c r="AP16" i="11"/>
  <c r="AR16" i="11"/>
  <c r="N83" i="21"/>
  <c r="N86" i="21" s="1"/>
  <c r="E238" i="20"/>
  <c r="V238" i="20" s="1"/>
  <c r="H71" i="20"/>
  <c r="Y71" i="20" s="1"/>
  <c r="F234" i="20"/>
  <c r="W234" i="20" s="1"/>
  <c r="F293" i="2"/>
  <c r="F27" i="20"/>
  <c r="W27" i="20" s="1"/>
  <c r="F238" i="20"/>
  <c r="W238" i="20" s="1"/>
  <c r="E233" i="20"/>
  <c r="V233" i="20" s="1"/>
  <c r="M83" i="21"/>
  <c r="M86" i="21" s="1"/>
  <c r="S611" i="7"/>
  <c r="S604" i="7"/>
  <c r="S612" i="7" s="1"/>
  <c r="S597" i="7"/>
  <c r="S592" i="7"/>
  <c r="S589" i="7"/>
  <c r="W611" i="7"/>
  <c r="W604" i="7"/>
  <c r="W612" i="7" s="1"/>
  <c r="W597" i="7"/>
  <c r="W592" i="7"/>
  <c r="W589" i="7"/>
  <c r="CD77" i="17"/>
  <c r="CC62" i="17"/>
  <c r="CD234" i="17"/>
  <c r="CC222" i="17"/>
  <c r="P597" i="7"/>
  <c r="P592" i="7"/>
  <c r="P589" i="7"/>
  <c r="P611" i="7"/>
  <c r="P604" i="7"/>
  <c r="P612" i="7" s="1"/>
  <c r="X597" i="7"/>
  <c r="X592" i="7"/>
  <c r="X589" i="7"/>
  <c r="X611" i="7"/>
  <c r="X604" i="7"/>
  <c r="X612" i="7" s="1"/>
  <c r="CV142" i="17"/>
  <c r="CV129" i="17"/>
  <c r="CD83" i="17"/>
  <c r="CC68" i="17"/>
  <c r="CD237" i="17"/>
  <c r="CC225" i="17"/>
  <c r="Z42" i="8"/>
  <c r="Z41" i="8"/>
  <c r="AA40" i="8"/>
  <c r="R597" i="7"/>
  <c r="R592" i="7"/>
  <c r="R589" i="7"/>
  <c r="R611" i="7"/>
  <c r="R604" i="7"/>
  <c r="R612" i="7" s="1"/>
  <c r="Z597" i="7"/>
  <c r="Z592" i="7"/>
  <c r="Z589" i="7"/>
  <c r="Z611" i="7"/>
  <c r="Z604" i="7"/>
  <c r="Z612" i="7" s="1"/>
  <c r="H61" i="20"/>
  <c r="Y61" i="20" s="1"/>
  <c r="F285" i="2"/>
  <c r="F222" i="20"/>
  <c r="W222" i="20" s="1"/>
  <c r="ER35" i="6"/>
  <c r="ER84" i="6" s="1"/>
  <c r="EM84" i="6"/>
  <c r="O611" i="7"/>
  <c r="O604" i="7"/>
  <c r="O612" i="7" s="1"/>
  <c r="O597" i="7"/>
  <c r="O592" i="7"/>
  <c r="O589" i="7"/>
  <c r="AA611" i="7"/>
  <c r="AA604" i="7"/>
  <c r="AA612" i="7" s="1"/>
  <c r="AA597" i="7"/>
  <c r="AA592" i="7"/>
  <c r="AA589" i="7"/>
  <c r="BO170" i="17"/>
  <c r="BN169" i="17"/>
  <c r="BN182" i="17" s="1"/>
  <c r="L597" i="7"/>
  <c r="L592" i="7"/>
  <c r="L589" i="7"/>
  <c r="L611" i="7"/>
  <c r="L604" i="7"/>
  <c r="L612" i="7" s="1"/>
  <c r="T597" i="7"/>
  <c r="T592" i="7"/>
  <c r="T589" i="7"/>
  <c r="T611" i="7"/>
  <c r="T604" i="7"/>
  <c r="T612" i="7" s="1"/>
  <c r="M611" i="7"/>
  <c r="M604" i="7"/>
  <c r="M612" i="7" s="1"/>
  <c r="M597" i="7"/>
  <c r="M592" i="7"/>
  <c r="M589" i="7"/>
  <c r="Y611" i="7"/>
  <c r="Y604" i="7"/>
  <c r="Y612" i="7" s="1"/>
  <c r="Y597" i="7"/>
  <c r="Y592" i="7"/>
  <c r="Y589" i="7"/>
  <c r="EK89" i="6"/>
  <c r="EL40" i="6"/>
  <c r="EL89" i="6" s="1"/>
  <c r="G63" i="20"/>
  <c r="X63" i="20" s="1"/>
  <c r="E226" i="20"/>
  <c r="V226" i="20" s="1"/>
  <c r="ER32" i="6"/>
  <c r="ER81" i="6" s="1"/>
  <c r="I512" i="20"/>
  <c r="Z512" i="20" s="1"/>
  <c r="AW241" i="2"/>
  <c r="AF16" i="11"/>
  <c r="AH16" i="11"/>
  <c r="CH64" i="17"/>
  <c r="CF63" i="17"/>
  <c r="CG63" i="17" s="1"/>
  <c r="CH63" i="17" s="1"/>
  <c r="CI63" i="17" s="1"/>
  <c r="AZ16" i="11"/>
  <c r="BB16" i="11"/>
  <c r="V16" i="11"/>
  <c r="X16" i="11"/>
  <c r="AX191" i="2"/>
  <c r="L341" i="20"/>
  <c r="AC341" i="20" s="1"/>
  <c r="M341" i="20"/>
  <c r="AD341" i="20" s="1"/>
  <c r="CH221" i="17"/>
  <c r="CF220" i="17"/>
  <c r="CG220" i="17" s="1"/>
  <c r="CH220" i="17" s="1"/>
  <c r="CI220" i="17" s="1"/>
  <c r="BN227" i="17"/>
  <c r="BM256" i="17"/>
  <c r="BM257" i="17" s="1"/>
  <c r="BM226" i="17"/>
  <c r="BM239" i="17" s="1"/>
  <c r="Q611" i="7"/>
  <c r="Q604" i="7"/>
  <c r="Q612" i="7" s="1"/>
  <c r="Q597" i="7"/>
  <c r="Q592" i="7"/>
  <c r="Q589" i="7"/>
  <c r="U611" i="7"/>
  <c r="U604" i="7"/>
  <c r="U612" i="7" s="1"/>
  <c r="U597" i="7"/>
  <c r="U592" i="7"/>
  <c r="U589" i="7"/>
  <c r="G60" i="20"/>
  <c r="X60" i="20" s="1"/>
  <c r="E221" i="20"/>
  <c r="V221" i="20" s="1"/>
  <c r="H60" i="20"/>
  <c r="Y60" i="20" s="1"/>
  <c r="AD172" i="8"/>
  <c r="CH67" i="17"/>
  <c r="CF66" i="17"/>
  <c r="CG66" i="17" s="1"/>
  <c r="CH66" i="17" s="1"/>
  <c r="CI66" i="17" s="1"/>
  <c r="CH224" i="17"/>
  <c r="CF223" i="17"/>
  <c r="CG223" i="17" s="1"/>
  <c r="CH223" i="17" s="1"/>
  <c r="CI223" i="17" s="1"/>
  <c r="BJ16" i="11"/>
  <c r="BL16" i="11"/>
  <c r="CV248" i="17"/>
  <c r="CV246" i="17"/>
  <c r="CW228" i="17"/>
  <c r="L2" i="12"/>
  <c r="AF4" i="11" s="1"/>
  <c r="C295" i="2"/>
  <c r="G73" i="20" s="1"/>
  <c r="X73" i="20" s="1"/>
  <c r="CD80" i="17"/>
  <c r="CC65" i="17"/>
  <c r="N597" i="7"/>
  <c r="N592" i="7"/>
  <c r="N589" i="7"/>
  <c r="N611" i="7"/>
  <c r="N604" i="7"/>
  <c r="N612" i="7" s="1"/>
  <c r="V597" i="7"/>
  <c r="V592" i="7"/>
  <c r="V589" i="7"/>
  <c r="V611" i="7"/>
  <c r="V604" i="7"/>
  <c r="V612" i="7" s="1"/>
  <c r="G241" i="2"/>
  <c r="AD465" i="12"/>
  <c r="AD783" i="7"/>
  <c r="AD784" i="7" s="1"/>
  <c r="E222" i="20"/>
  <c r="V222" i="20" s="1"/>
  <c r="BQ320" i="17"/>
  <c r="BQ321" i="17" s="1"/>
  <c r="BQ287" i="17"/>
  <c r="BN320" i="17"/>
  <c r="BN321" i="17" s="1"/>
  <c r="BN287" i="17"/>
  <c r="BM88" i="6"/>
  <c r="BM48" i="6"/>
  <c r="BS285" i="17"/>
  <c r="BR319" i="17"/>
  <c r="BR286" i="17" s="1"/>
  <c r="BT285" i="17"/>
  <c r="BT319" i="17" s="1"/>
  <c r="BT286" i="17" s="1"/>
  <c r="BU285" i="17"/>
  <c r="BU319" i="17" s="1"/>
  <c r="BU286" i="17" s="1"/>
  <c r="BV285" i="17"/>
  <c r="BO319" i="17"/>
  <c r="BO286" i="17" s="1"/>
  <c r="BR298" i="17"/>
  <c r="AP97" i="6"/>
  <c r="AP49" i="6"/>
  <c r="DW97" i="6"/>
  <c r="DW49" i="6"/>
  <c r="BN97" i="6"/>
  <c r="BN49" i="6"/>
  <c r="BK320" i="17"/>
  <c r="BK321" i="17" s="1"/>
  <c r="BN299" i="17"/>
  <c r="BK287" i="17"/>
  <c r="M97" i="6"/>
  <c r="M49" i="6"/>
  <c r="Y49" i="6"/>
  <c r="AK97" i="6"/>
  <c r="AK49" i="6"/>
  <c r="AW97" i="6"/>
  <c r="AW49" i="6"/>
  <c r="BI97" i="6"/>
  <c r="BI49" i="6"/>
  <c r="BU97" i="6"/>
  <c r="BU49" i="6"/>
  <c r="CG97" i="6"/>
  <c r="CG49" i="6"/>
  <c r="CS97" i="6"/>
  <c r="CS49" i="6"/>
  <c r="DE97" i="6"/>
  <c r="DE49" i="6"/>
  <c r="DQ97" i="6"/>
  <c r="DQ49" i="6"/>
  <c r="DX49" i="6"/>
  <c r="CX230" i="17"/>
  <c r="AD123" i="12"/>
  <c r="AD129" i="12" s="1"/>
  <c r="BN284" i="17"/>
  <c r="BN317" i="17"/>
  <c r="BN318" i="17" s="1"/>
  <c r="BR283" i="17"/>
  <c r="BH97" i="6"/>
  <c r="BH49" i="6"/>
  <c r="DJ97" i="6"/>
  <c r="DJ49" i="6"/>
  <c r="AD447" i="12"/>
  <c r="AD452" i="12" s="1"/>
  <c r="BZ97" i="6"/>
  <c r="BZ49" i="6"/>
  <c r="AD448" i="12"/>
  <c r="AD453" i="12" s="1"/>
  <c r="AD339" i="12"/>
  <c r="AD346" i="12" s="1"/>
  <c r="AD312" i="12"/>
  <c r="BV295" i="17"/>
  <c r="BV301" i="17" s="1"/>
  <c r="BS316" i="17"/>
  <c r="BS338" i="17" s="1"/>
  <c r="BQ317" i="17"/>
  <c r="BQ318" i="17" s="1"/>
  <c r="BU283" i="17"/>
  <c r="BQ284" i="17"/>
  <c r="BK317" i="17"/>
  <c r="BK318" i="17" s="1"/>
  <c r="BO283" i="17"/>
  <c r="BN296" i="17"/>
  <c r="BK284" i="17"/>
  <c r="BL296" i="17"/>
  <c r="U128" i="8" s="1"/>
  <c r="U129" i="8" s="1"/>
  <c r="U130" i="8" s="1"/>
  <c r="L97" i="6"/>
  <c r="L49" i="6"/>
  <c r="AJ49" i="6"/>
  <c r="BL299" i="17"/>
  <c r="DC88" i="6"/>
  <c r="DC48" i="6"/>
  <c r="W48" i="6"/>
  <c r="AD331" i="12"/>
  <c r="AD461" i="12" s="1"/>
  <c r="AD299" i="12"/>
  <c r="AD305" i="12" s="1"/>
  <c r="AD280" i="12"/>
  <c r="BT97" i="6"/>
  <c r="BT49" i="6"/>
  <c r="DU48" i="6"/>
  <c r="CL97" i="6"/>
  <c r="CL49" i="6"/>
  <c r="AV97" i="6"/>
  <c r="AV49" i="6"/>
  <c r="CW88" i="6"/>
  <c r="CW48" i="6"/>
  <c r="BB97" i="6"/>
  <c r="BB49" i="6"/>
  <c r="CQ88" i="6"/>
  <c r="CQ48" i="6"/>
  <c r="K505" i="20"/>
  <c r="AB505" i="20" s="1"/>
  <c r="L505" i="20"/>
  <c r="AC505" i="20" s="1"/>
  <c r="L186" i="20"/>
  <c r="AC186" i="20" s="1"/>
  <c r="M186" i="20"/>
  <c r="AD186" i="20" s="1"/>
  <c r="AX146" i="2"/>
  <c r="BP320" i="17"/>
  <c r="BP321" i="17" s="1"/>
  <c r="BP287" i="17"/>
  <c r="DU15" i="11"/>
  <c r="AD330" i="12"/>
  <c r="AD437" i="12"/>
  <c r="AD442" i="12" s="1"/>
  <c r="G76" i="20"/>
  <c r="X76" i="20" s="1"/>
  <c r="D290" i="2"/>
  <c r="AU107" i="2"/>
  <c r="D309" i="2"/>
  <c r="D310" i="2" s="1"/>
  <c r="E28" i="20"/>
  <c r="V28" i="20" s="1"/>
  <c r="D315" i="2"/>
  <c r="D316" i="2" s="1"/>
  <c r="BP284" i="17"/>
  <c r="BP317" i="17"/>
  <c r="BP318" i="17" s="1"/>
  <c r="BT283" i="17"/>
  <c r="BG88" i="6"/>
  <c r="BG48" i="6"/>
  <c r="R97" i="6"/>
  <c r="R49" i="6"/>
  <c r="BY88" i="6"/>
  <c r="BY48" i="6"/>
  <c r="T49" i="6"/>
  <c r="Z97" i="6"/>
  <c r="Z49" i="6"/>
  <c r="AF97" i="6"/>
  <c r="AF49" i="6"/>
  <c r="AL97" i="6"/>
  <c r="AL49" i="6"/>
  <c r="AR97" i="6"/>
  <c r="AR49" i="6"/>
  <c r="AX97" i="6"/>
  <c r="AX49" i="6"/>
  <c r="BD97" i="6"/>
  <c r="BD49" i="6"/>
  <c r="BJ97" i="6"/>
  <c r="BJ49" i="6"/>
  <c r="BP97" i="6"/>
  <c r="BP49" i="6"/>
  <c r="BV97" i="6"/>
  <c r="BV49" i="6"/>
  <c r="CB97" i="6"/>
  <c r="CB49" i="6"/>
  <c r="CH97" i="6"/>
  <c r="CH49" i="6"/>
  <c r="CN97" i="6"/>
  <c r="CN49" i="6"/>
  <c r="CT97" i="6"/>
  <c r="CT49" i="6"/>
  <c r="CZ97" i="6"/>
  <c r="CZ49" i="6"/>
  <c r="DF97" i="6"/>
  <c r="DF49" i="6"/>
  <c r="BV316" i="17"/>
  <c r="BV338" i="17" s="1"/>
  <c r="BW282" i="17"/>
  <c r="BZ282" i="17"/>
  <c r="AI48" i="6"/>
  <c r="BJ330" i="17"/>
  <c r="BJ300" i="17"/>
  <c r="T384" i="12"/>
  <c r="DD97" i="6"/>
  <c r="DD49" i="6"/>
  <c r="X97" i="6"/>
  <c r="X49" i="6"/>
  <c r="BS88" i="6"/>
  <c r="BS48" i="6"/>
  <c r="DP97" i="6"/>
  <c r="DP49" i="6"/>
  <c r="DV97" i="6"/>
  <c r="DV49" i="6"/>
  <c r="CK48" i="6"/>
  <c r="DK96" i="11"/>
  <c r="DP96" i="11" s="1"/>
  <c r="DU96" i="11" s="1"/>
  <c r="DF97" i="11"/>
  <c r="DK111" i="11"/>
  <c r="DP111" i="11" s="1"/>
  <c r="DF112" i="11"/>
  <c r="CF97" i="6"/>
  <c r="CF49" i="6"/>
  <c r="CX97" i="6"/>
  <c r="CX49" i="6"/>
  <c r="BA48" i="6"/>
  <c r="CR97" i="6"/>
  <c r="CR49" i="6"/>
  <c r="AE97" i="6"/>
  <c r="AE49" i="6"/>
  <c r="AQ97" i="6"/>
  <c r="AQ49" i="6"/>
  <c r="BC97" i="6"/>
  <c r="BC49" i="6"/>
  <c r="BO97" i="6"/>
  <c r="BO49" i="6"/>
  <c r="CA97" i="6"/>
  <c r="CA49" i="6"/>
  <c r="CM97" i="6"/>
  <c r="CM49" i="6"/>
  <c r="CY97" i="6"/>
  <c r="CY49" i="6"/>
  <c r="DK97" i="6"/>
  <c r="DK49" i="6"/>
  <c r="CH61" i="17" l="1"/>
  <c r="CH77" i="17" s="1"/>
  <c r="CF60" i="17"/>
  <c r="CG60" i="17" s="1"/>
  <c r="CH60" i="17" s="1"/>
  <c r="CI60" i="17" s="1"/>
  <c r="CJ60" i="17" s="1"/>
  <c r="CK60" i="17" s="1"/>
  <c r="CL60" i="17" s="1"/>
  <c r="CM60" i="17" s="1"/>
  <c r="CW247" i="17"/>
  <c r="K610" i="7"/>
  <c r="J610" i="7"/>
  <c r="H610" i="7"/>
  <c r="AI88" i="6"/>
  <c r="W88" i="6"/>
  <c r="S49" i="6"/>
  <c r="S97" i="6"/>
  <c r="T97" i="6"/>
  <c r="BA88" i="6"/>
  <c r="AJ97" i="6"/>
  <c r="AC83" i="6"/>
  <c r="AI83" i="6"/>
  <c r="Q83" i="6"/>
  <c r="W83" i="6"/>
  <c r="Q88" i="6"/>
  <c r="AC88" i="6"/>
  <c r="AD49" i="6"/>
  <c r="I610" i="7"/>
  <c r="J599" i="7"/>
  <c r="J594" i="7"/>
  <c r="I594" i="7"/>
  <c r="I599" i="7"/>
  <c r="K599" i="7"/>
  <c r="K594" i="7"/>
  <c r="H594" i="7"/>
  <c r="H599" i="7"/>
  <c r="BN106" i="17"/>
  <c r="BQ116" i="17" s="1"/>
  <c r="BP70" i="17"/>
  <c r="BP69" i="17" s="1"/>
  <c r="BO69" i="17"/>
  <c r="BO85" i="17" s="1"/>
  <c r="AD375" i="12"/>
  <c r="CX308" i="17"/>
  <c r="F263" i="2"/>
  <c r="AW264" i="2" s="1"/>
  <c r="CZ306" i="17"/>
  <c r="CY307" i="17"/>
  <c r="CY308" i="17" s="1"/>
  <c r="R118" i="8"/>
  <c r="J180" i="20"/>
  <c r="AA180" i="20" s="1"/>
  <c r="K180" i="20"/>
  <c r="AB180" i="20" s="1"/>
  <c r="Q84" i="21"/>
  <c r="P89" i="21"/>
  <c r="P87" i="21" s="1"/>
  <c r="P83" i="21" s="1"/>
  <c r="P86" i="21" s="1"/>
  <c r="Q85" i="21"/>
  <c r="EX40" i="6"/>
  <c r="EX89" i="6" s="1"/>
  <c r="EX17" i="6"/>
  <c r="EX66" i="6" s="1"/>
  <c r="ES66" i="6"/>
  <c r="G299" i="2"/>
  <c r="J150" i="20" s="1"/>
  <c r="AA150" i="20" s="1"/>
  <c r="DX15" i="11"/>
  <c r="DZ15" i="11" s="1"/>
  <c r="EA15" i="11" s="1"/>
  <c r="H235" i="20"/>
  <c r="Y235" i="20" s="1"/>
  <c r="G239" i="20"/>
  <c r="X239" i="20" s="1"/>
  <c r="J188" i="20"/>
  <c r="AA188" i="20" s="1"/>
  <c r="AE403" i="12"/>
  <c r="AE415" i="12" s="1"/>
  <c r="AE447" i="12"/>
  <c r="AE452" i="12" s="1"/>
  <c r="G109" i="2"/>
  <c r="AX109" i="2" s="1"/>
  <c r="G105" i="2"/>
  <c r="AX105" i="2" s="1"/>
  <c r="G104" i="2"/>
  <c r="G287" i="2" s="1"/>
  <c r="AE437" i="12"/>
  <c r="AE442" i="12" s="1"/>
  <c r="AE407" i="12"/>
  <c r="AE419" i="12" s="1"/>
  <c r="DU13" i="11"/>
  <c r="DV13" i="11" s="1"/>
  <c r="G140" i="2"/>
  <c r="AX140" i="2" s="1"/>
  <c r="I149" i="20"/>
  <c r="Z149" i="20" s="1"/>
  <c r="G133" i="2"/>
  <c r="AX133" i="2" s="1"/>
  <c r="DU88" i="6"/>
  <c r="I68" i="20"/>
  <c r="Z68" i="20" s="1"/>
  <c r="G224" i="20"/>
  <c r="X224" i="20" s="1"/>
  <c r="G145" i="2"/>
  <c r="L185" i="20" s="1"/>
  <c r="AC185" i="20" s="1"/>
  <c r="AW140" i="2"/>
  <c r="G225" i="20"/>
  <c r="X225" i="20" s="1"/>
  <c r="J504" i="20"/>
  <c r="AA504" i="20" s="1"/>
  <c r="K182" i="20"/>
  <c r="AB182" i="20" s="1"/>
  <c r="J182" i="20"/>
  <c r="AA182" i="20" s="1"/>
  <c r="I504" i="20"/>
  <c r="Z504" i="20" s="1"/>
  <c r="J190" i="20"/>
  <c r="AA190" i="20" s="1"/>
  <c r="AW144" i="2"/>
  <c r="I506" i="20"/>
  <c r="Z506" i="20" s="1"/>
  <c r="G231" i="20"/>
  <c r="X231" i="20" s="1"/>
  <c r="I508" i="20"/>
  <c r="Z508" i="20" s="1"/>
  <c r="F311" i="2"/>
  <c r="G229" i="20" s="1"/>
  <c r="X229" i="20" s="1"/>
  <c r="G143" i="2"/>
  <c r="K500" i="20" s="1"/>
  <c r="AB500" i="20" s="1"/>
  <c r="DB230" i="17"/>
  <c r="AE123" i="12"/>
  <c r="AE129" i="12" s="1"/>
  <c r="AE448" i="12"/>
  <c r="AE453" i="12" s="1"/>
  <c r="AE339" i="12"/>
  <c r="AE346" i="12" s="1"/>
  <c r="AE312" i="12"/>
  <c r="AE330" i="12"/>
  <c r="AE463" i="12" s="1"/>
  <c r="DW88" i="11"/>
  <c r="AE84" i="12"/>
  <c r="DZ65" i="11"/>
  <c r="DY60" i="11"/>
  <c r="EA60" i="11"/>
  <c r="AE220" i="12" s="1"/>
  <c r="AE206" i="12" s="1"/>
  <c r="DX124" i="11"/>
  <c r="DW65" i="11"/>
  <c r="AE30" i="12"/>
  <c r="EA86" i="11"/>
  <c r="AE283" i="12" s="1"/>
  <c r="AE277" i="12" s="1"/>
  <c r="DZ88" i="11"/>
  <c r="DZ90" i="11"/>
  <c r="DB81" i="17"/>
  <c r="DO88" i="6"/>
  <c r="DL97" i="6"/>
  <c r="DI48" i="6"/>
  <c r="DN48" i="6" s="1"/>
  <c r="DN97" i="6" s="1"/>
  <c r="G319" i="2"/>
  <c r="J70" i="20" s="1"/>
  <c r="AA70" i="20" s="1"/>
  <c r="G289" i="2"/>
  <c r="J153" i="20" s="1"/>
  <c r="AA153" i="20" s="1"/>
  <c r="DV15" i="11"/>
  <c r="G233" i="20"/>
  <c r="X233" i="20" s="1"/>
  <c r="N49" i="6"/>
  <c r="M610" i="7"/>
  <c r="R610" i="7"/>
  <c r="AO88" i="6"/>
  <c r="DR49" i="6"/>
  <c r="V610" i="7"/>
  <c r="CE48" i="6"/>
  <c r="CJ48" i="6" s="1"/>
  <c r="CJ97" i="6" s="1"/>
  <c r="DR97" i="6"/>
  <c r="K48" i="6"/>
  <c r="P48" i="6" s="1"/>
  <c r="P97" i="6" s="1"/>
  <c r="CK88" i="6"/>
  <c r="R11" i="23"/>
  <c r="AU88" i="6"/>
  <c r="G151" i="20"/>
  <c r="X151" i="20" s="1"/>
  <c r="E224" i="20"/>
  <c r="V224" i="20" s="1"/>
  <c r="W610" i="7"/>
  <c r="AD207" i="12"/>
  <c r="AD404" i="12"/>
  <c r="AD416" i="12" s="1"/>
  <c r="DU124" i="11"/>
  <c r="DT65" i="11"/>
  <c r="DT9" i="11" s="1"/>
  <c r="DV65" i="11"/>
  <c r="AD225" i="12" s="1"/>
  <c r="AD42" i="12"/>
  <c r="AD29" i="12" s="1"/>
  <c r="DR9" i="11"/>
  <c r="CT89" i="17"/>
  <c r="DE8" i="17" s="1"/>
  <c r="Q610" i="7"/>
  <c r="T610" i="7"/>
  <c r="O610" i="7"/>
  <c r="X610" i="7"/>
  <c r="S610" i="7"/>
  <c r="I71" i="20"/>
  <c r="Z71" i="20" s="1"/>
  <c r="G293" i="2"/>
  <c r="J71" i="20" s="1"/>
  <c r="AA71" i="20" s="1"/>
  <c r="G27" i="20"/>
  <c r="X27" i="20" s="1"/>
  <c r="G234" i="20"/>
  <c r="X234" i="20" s="1"/>
  <c r="G238" i="20"/>
  <c r="X238" i="20" s="1"/>
  <c r="E33" i="20"/>
  <c r="V33" i="20" s="1"/>
  <c r="E29" i="20"/>
  <c r="V29" i="20" s="1"/>
  <c r="K512" i="20"/>
  <c r="AB512" i="20" s="1"/>
  <c r="AX241" i="2"/>
  <c r="K510" i="20"/>
  <c r="AB510" i="20" s="1"/>
  <c r="V599" i="7"/>
  <c r="V594" i="7"/>
  <c r="CH237" i="17"/>
  <c r="CG225" i="17"/>
  <c r="CH83" i="17"/>
  <c r="CG68" i="17"/>
  <c r="U599" i="7"/>
  <c r="U594" i="7"/>
  <c r="CJ220" i="17"/>
  <c r="CK220" i="17" s="1"/>
  <c r="CL220" i="17" s="1"/>
  <c r="CM220" i="17" s="1"/>
  <c r="CL221" i="17"/>
  <c r="CL61" i="17"/>
  <c r="CL64" i="17"/>
  <c r="CJ63" i="17"/>
  <c r="CK63" i="17" s="1"/>
  <c r="CL63" i="17" s="1"/>
  <c r="CM63" i="17" s="1"/>
  <c r="Y599" i="7"/>
  <c r="Y594" i="7"/>
  <c r="Q44" i="21"/>
  <c r="R51" i="21"/>
  <c r="Q66" i="21"/>
  <c r="Q76" i="21"/>
  <c r="T599" i="7"/>
  <c r="T594" i="7"/>
  <c r="AA599" i="7"/>
  <c r="AA594" i="7"/>
  <c r="R599" i="7"/>
  <c r="R594" i="7"/>
  <c r="AA42" i="8"/>
  <c r="AA41" i="8"/>
  <c r="AB40" i="8"/>
  <c r="X599" i="7"/>
  <c r="X594" i="7"/>
  <c r="S599" i="7"/>
  <c r="S594" i="7"/>
  <c r="N610" i="7"/>
  <c r="N599" i="7"/>
  <c r="N594" i="7"/>
  <c r="CW248" i="17"/>
  <c r="CW246" i="17"/>
  <c r="CX228" i="17"/>
  <c r="CJ223" i="17"/>
  <c r="CK223" i="17" s="1"/>
  <c r="CL223" i="17" s="1"/>
  <c r="CM223" i="17" s="1"/>
  <c r="CL224" i="17"/>
  <c r="CJ66" i="17"/>
  <c r="CK66" i="17" s="1"/>
  <c r="CL66" i="17" s="1"/>
  <c r="CM66" i="17" s="1"/>
  <c r="CL67" i="17"/>
  <c r="U610" i="7"/>
  <c r="Q599" i="7"/>
  <c r="Q594" i="7"/>
  <c r="BN256" i="17"/>
  <c r="BN257" i="17" s="1"/>
  <c r="BO227" i="17"/>
  <c r="BN226" i="17"/>
  <c r="BN239" i="17" s="1"/>
  <c r="CH234" i="17"/>
  <c r="CG222" i="17"/>
  <c r="CH80" i="17"/>
  <c r="CG65" i="17"/>
  <c r="Y610" i="7"/>
  <c r="M599" i="7"/>
  <c r="M594" i="7"/>
  <c r="L610" i="7"/>
  <c r="L599" i="7"/>
  <c r="L594" i="7"/>
  <c r="BP170" i="17"/>
  <c r="BO169" i="17"/>
  <c r="BO182" i="17" s="1"/>
  <c r="AA610" i="7"/>
  <c r="O599" i="7"/>
  <c r="O594" i="7"/>
  <c r="I61" i="20"/>
  <c r="Z61" i="20" s="1"/>
  <c r="G222" i="20"/>
  <c r="X222" i="20" s="1"/>
  <c r="G285" i="2"/>
  <c r="Z610" i="7"/>
  <c r="C237" i="2"/>
  <c r="AT237" i="2" s="1"/>
  <c r="Z599" i="7"/>
  <c r="Z594" i="7"/>
  <c r="BO104" i="17"/>
  <c r="CW142" i="17"/>
  <c r="CW129" i="17"/>
  <c r="P610" i="7"/>
  <c r="P599" i="7"/>
  <c r="P594" i="7"/>
  <c r="W599" i="7"/>
  <c r="W594" i="7"/>
  <c r="BO320" i="17"/>
  <c r="BO321" i="17" s="1"/>
  <c r="BR299" i="17"/>
  <c r="BO287" i="17"/>
  <c r="BP299" i="17"/>
  <c r="BU320" i="17"/>
  <c r="BU321" i="17" s="1"/>
  <c r="BU287" i="17"/>
  <c r="BR320" i="17"/>
  <c r="BR321" i="17" s="1"/>
  <c r="BR287" i="17"/>
  <c r="BA97" i="6"/>
  <c r="BF48" i="6"/>
  <c r="BF97" i="6" s="1"/>
  <c r="CP48" i="6"/>
  <c r="CP97" i="6" s="1"/>
  <c r="AI97" i="6"/>
  <c r="AN48" i="6"/>
  <c r="AN97" i="6" s="1"/>
  <c r="BZ316" i="17"/>
  <c r="BZ338" i="17" s="1"/>
  <c r="CA282" i="17"/>
  <c r="CC282" i="17"/>
  <c r="CD282" i="17"/>
  <c r="BG97" i="6"/>
  <c r="BL48" i="6"/>
  <c r="BL97" i="6" s="1"/>
  <c r="BT284" i="17"/>
  <c r="BT317" i="17"/>
  <c r="BT318" i="17" s="1"/>
  <c r="C316" i="2"/>
  <c r="G69" i="20" s="1"/>
  <c r="X69" i="20" s="1"/>
  <c r="C310" i="2"/>
  <c r="G65" i="20" s="1"/>
  <c r="X65" i="20" s="1"/>
  <c r="C290" i="2"/>
  <c r="AC97" i="6"/>
  <c r="AH48" i="6"/>
  <c r="AH97" i="6" s="1"/>
  <c r="CQ97" i="6"/>
  <c r="CV48" i="6"/>
  <c r="CV97" i="6" s="1"/>
  <c r="CW97" i="6"/>
  <c r="DB48" i="6"/>
  <c r="DB97" i="6" s="1"/>
  <c r="DT48" i="6"/>
  <c r="DT97" i="6" s="1"/>
  <c r="W97" i="6"/>
  <c r="AB48" i="6"/>
  <c r="AB97" i="6" s="1"/>
  <c r="DC97" i="6"/>
  <c r="DH48" i="6"/>
  <c r="DH97" i="6" s="1"/>
  <c r="BO317" i="17"/>
  <c r="BO318" i="17" s="1"/>
  <c r="BS283" i="17"/>
  <c r="BR296" i="17"/>
  <c r="BO284" i="17"/>
  <c r="BU317" i="17"/>
  <c r="BU318" i="17" s="1"/>
  <c r="BU284" i="17"/>
  <c r="BP296" i="17"/>
  <c r="V128" i="8" s="1"/>
  <c r="V129" i="8" s="1"/>
  <c r="V130" i="8" s="1"/>
  <c r="AO97" i="6"/>
  <c r="AT48" i="6"/>
  <c r="AT97" i="6" s="1"/>
  <c r="BN330" i="17"/>
  <c r="BN300" i="17"/>
  <c r="U384" i="12"/>
  <c r="BW285" i="17"/>
  <c r="BV319" i="17"/>
  <c r="BV286" i="17" s="1"/>
  <c r="BZ285" i="17"/>
  <c r="BS319" i="17"/>
  <c r="BS286" i="17" s="1"/>
  <c r="BV298" i="17"/>
  <c r="AU97" i="6"/>
  <c r="AZ48" i="6"/>
  <c r="AZ97" i="6" s="1"/>
  <c r="BS97" i="6"/>
  <c r="BX48" i="6"/>
  <c r="BX97" i="6" s="1"/>
  <c r="BW316" i="17"/>
  <c r="BW338" i="17" s="1"/>
  <c r="BX282" i="17"/>
  <c r="BY97" i="6"/>
  <c r="CD48" i="6"/>
  <c r="CD97" i="6" s="1"/>
  <c r="AD463" i="12"/>
  <c r="AD334" i="12"/>
  <c r="BT320" i="17"/>
  <c r="BT321" i="17" s="1"/>
  <c r="BT287" i="17"/>
  <c r="DU97" i="6"/>
  <c r="DZ48" i="6"/>
  <c r="DZ97" i="6" s="1"/>
  <c r="AD795" i="7"/>
  <c r="AD462" i="12"/>
  <c r="AD335" i="12"/>
  <c r="BN329" i="17"/>
  <c r="BN297" i="17"/>
  <c r="U383" i="12"/>
  <c r="V48" i="6"/>
  <c r="V97" i="6" s="1"/>
  <c r="BR284" i="17"/>
  <c r="BR317" i="17"/>
  <c r="BR318" i="17" s="1"/>
  <c r="BV283" i="17"/>
  <c r="CX243" i="17"/>
  <c r="DG14" i="17" s="1"/>
  <c r="BM97" i="6"/>
  <c r="BR48" i="6"/>
  <c r="BR97" i="6" s="1"/>
  <c r="CG62" i="17" l="1"/>
  <c r="BN111" i="17"/>
  <c r="U150" i="12"/>
  <c r="BO116" i="17"/>
  <c r="BM107" i="17"/>
  <c r="BN117" i="17"/>
  <c r="BP116" i="17"/>
  <c r="Q97" i="6"/>
  <c r="BP103" i="17"/>
  <c r="BP104" i="17" s="1"/>
  <c r="BP85" i="17"/>
  <c r="BQ70" i="17"/>
  <c r="BQ69" i="17" s="1"/>
  <c r="BQ85" i="17" s="1"/>
  <c r="CX335" i="17"/>
  <c r="CV335" i="17"/>
  <c r="CW334" i="17"/>
  <c r="CU334" i="17"/>
  <c r="CW333" i="17"/>
  <c r="CU333" i="17"/>
  <c r="CW335" i="17"/>
  <c r="CU335" i="17"/>
  <c r="CX334" i="17"/>
  <c r="CV334" i="17"/>
  <c r="CX333" i="17"/>
  <c r="CV333" i="17"/>
  <c r="CU336" i="17"/>
  <c r="CV336" i="17"/>
  <c r="CW336" i="17"/>
  <c r="CX336" i="17"/>
  <c r="CV337" i="17"/>
  <c r="CU337" i="17"/>
  <c r="DA306" i="17"/>
  <c r="CZ307" i="17"/>
  <c r="CZ308" i="17" s="1"/>
  <c r="F265" i="2"/>
  <c r="AW265" i="2" s="1"/>
  <c r="CX337" i="17"/>
  <c r="CW337" i="17"/>
  <c r="S118" i="8"/>
  <c r="S125" i="8" s="1"/>
  <c r="R125" i="8"/>
  <c r="CY142" i="17"/>
  <c r="CY129" i="17"/>
  <c r="CX229" i="17"/>
  <c r="CW230" i="17" s="1"/>
  <c r="CY228" i="17"/>
  <c r="M184" i="20"/>
  <c r="AD184" i="20" s="1"/>
  <c r="AX104" i="2"/>
  <c r="L501" i="20"/>
  <c r="AC501" i="20" s="1"/>
  <c r="K501" i="20"/>
  <c r="AB501" i="20" s="1"/>
  <c r="AX145" i="2"/>
  <c r="L184" i="20"/>
  <c r="AC184" i="20" s="1"/>
  <c r="G292" i="2"/>
  <c r="J68" i="20" s="1"/>
  <c r="AA68" i="20" s="1"/>
  <c r="M185" i="20"/>
  <c r="AD185" i="20" s="1"/>
  <c r="G317" i="2"/>
  <c r="H233" i="20" s="1"/>
  <c r="Y233" i="20" s="1"/>
  <c r="G288" i="2"/>
  <c r="AE404" i="12"/>
  <c r="AE416" i="12" s="1"/>
  <c r="G312" i="2"/>
  <c r="G313" i="2" s="1"/>
  <c r="J66" i="20" s="1"/>
  <c r="AA66" i="20" s="1"/>
  <c r="M181" i="20"/>
  <c r="AD181" i="20" s="1"/>
  <c r="L181" i="20"/>
  <c r="AC181" i="20" s="1"/>
  <c r="H230" i="20"/>
  <c r="Y230" i="20" s="1"/>
  <c r="L189" i="20"/>
  <c r="AC189" i="20" s="1"/>
  <c r="L500" i="20"/>
  <c r="AC500" i="20" s="1"/>
  <c r="G139" i="2"/>
  <c r="H224" i="20" s="1"/>
  <c r="Y224" i="20" s="1"/>
  <c r="G237" i="20"/>
  <c r="X237" i="20" s="1"/>
  <c r="AE334" i="12"/>
  <c r="AX143" i="2"/>
  <c r="K502" i="20"/>
  <c r="AB502" i="20" s="1"/>
  <c r="AE436" i="12"/>
  <c r="AE441" i="12" s="1"/>
  <c r="G144" i="2"/>
  <c r="DB243" i="17"/>
  <c r="DI97" i="6"/>
  <c r="AE207" i="12"/>
  <c r="EA88" i="11"/>
  <c r="AE285" i="12" s="1"/>
  <c r="AE279" i="12" s="1"/>
  <c r="DY88" i="11"/>
  <c r="DY13" i="11" s="1"/>
  <c r="DW9" i="11"/>
  <c r="AE42" i="12"/>
  <c r="AE29" i="12" s="1"/>
  <c r="DB73" i="17" s="1"/>
  <c r="DW13" i="11"/>
  <c r="DX13" i="11" s="1"/>
  <c r="AE89" i="12"/>
  <c r="DO97" i="6"/>
  <c r="DZ124" i="11"/>
  <c r="DY65" i="11"/>
  <c r="DY9" i="11" s="1"/>
  <c r="EA65" i="11"/>
  <c r="AE225" i="12" s="1"/>
  <c r="K97" i="6"/>
  <c r="CE97" i="6"/>
  <c r="CK97" i="6"/>
  <c r="S11" i="23"/>
  <c r="H27" i="20"/>
  <c r="Y27" i="20" s="1"/>
  <c r="H234" i="20"/>
  <c r="Y234" i="20" s="1"/>
  <c r="J151" i="20"/>
  <c r="AA151" i="20" s="1"/>
  <c r="J149" i="20"/>
  <c r="AA149" i="20" s="1"/>
  <c r="AD53" i="12"/>
  <c r="AD60" i="12" s="1"/>
  <c r="CX73" i="17"/>
  <c r="H238" i="20"/>
  <c r="Y238" i="20" s="1"/>
  <c r="R63" i="21"/>
  <c r="R61" i="21" s="1"/>
  <c r="R64" i="21" s="1"/>
  <c r="R40" i="21" s="1"/>
  <c r="R66" i="21" s="1"/>
  <c r="CX142" i="17"/>
  <c r="CX129" i="17"/>
  <c r="CX125" i="17"/>
  <c r="BO256" i="17"/>
  <c r="BO257" i="17" s="1"/>
  <c r="BO226" i="17"/>
  <c r="BO239" i="17" s="1"/>
  <c r="BP227" i="17"/>
  <c r="CL83" i="17"/>
  <c r="CK68" i="17"/>
  <c r="CL237" i="17"/>
  <c r="CK225" i="17"/>
  <c r="CX246" i="17"/>
  <c r="CL80" i="17"/>
  <c r="CK65" i="17"/>
  <c r="CP61" i="17"/>
  <c r="CN60" i="17"/>
  <c r="CO60" i="17" s="1"/>
  <c r="CP60" i="17" s="1"/>
  <c r="CQ60" i="17" s="1"/>
  <c r="CP221" i="17"/>
  <c r="CN220" i="17"/>
  <c r="CO220" i="17" s="1"/>
  <c r="CP220" i="17" s="1"/>
  <c r="CQ220" i="17" s="1"/>
  <c r="J61" i="20"/>
  <c r="AA61" i="20" s="1"/>
  <c r="H222" i="20"/>
  <c r="Y222" i="20" s="1"/>
  <c r="BQ170" i="17"/>
  <c r="BP169" i="17"/>
  <c r="BP182" i="17" s="1"/>
  <c r="CP67" i="17"/>
  <c r="CN66" i="17"/>
  <c r="CO66" i="17" s="1"/>
  <c r="CP66" i="17" s="1"/>
  <c r="CQ66" i="17" s="1"/>
  <c r="CP224" i="17"/>
  <c r="CN223" i="17"/>
  <c r="CO223" i="17" s="1"/>
  <c r="CP223" i="17" s="1"/>
  <c r="CQ223" i="17" s="1"/>
  <c r="AB42" i="8"/>
  <c r="AB41" i="8"/>
  <c r="Q89" i="21"/>
  <c r="Q87" i="21" s="1"/>
  <c r="Q83" i="21" s="1"/>
  <c r="Q86" i="21" s="1"/>
  <c r="R85" i="21"/>
  <c r="R84" i="21"/>
  <c r="CP64" i="17"/>
  <c r="CN63" i="17"/>
  <c r="CO63" i="17" s="1"/>
  <c r="CP63" i="17" s="1"/>
  <c r="CQ63" i="17" s="1"/>
  <c r="CL77" i="17"/>
  <c r="CK62" i="17"/>
  <c r="CL234" i="17"/>
  <c r="CK222" i="17"/>
  <c r="E228" i="20"/>
  <c r="V228" i="20" s="1"/>
  <c r="BS320" i="17"/>
  <c r="BS321" i="17" s="1"/>
  <c r="BV299" i="17"/>
  <c r="BS287" i="17"/>
  <c r="BT299" i="17"/>
  <c r="BV320" i="17"/>
  <c r="BV321" i="17" s="1"/>
  <c r="BV287" i="17"/>
  <c r="AD797" i="7"/>
  <c r="CA285" i="17"/>
  <c r="BZ319" i="17"/>
  <c r="BZ286" i="17" s="1"/>
  <c r="CC285" i="17"/>
  <c r="CD285" i="17"/>
  <c r="BW319" i="17"/>
  <c r="BW286" i="17" s="1"/>
  <c r="BX285" i="17"/>
  <c r="BR297" i="17"/>
  <c r="BR329" i="17"/>
  <c r="V383" i="12"/>
  <c r="E232" i="20"/>
  <c r="V232" i="20" s="1"/>
  <c r="DU111" i="11"/>
  <c r="BV284" i="17"/>
  <c r="BV317" i="17"/>
  <c r="BV318" i="17" s="1"/>
  <c r="BZ283" i="17"/>
  <c r="BX316" i="17"/>
  <c r="BY282" i="17"/>
  <c r="BY316" i="17" s="1"/>
  <c r="BS317" i="17"/>
  <c r="BS318" i="17" s="1"/>
  <c r="BW283" i="17"/>
  <c r="BV296" i="17"/>
  <c r="BS284" i="17"/>
  <c r="BT296" i="17"/>
  <c r="W128" i="8" s="1"/>
  <c r="W129" i="8" s="1"/>
  <c r="W130" i="8" s="1"/>
  <c r="CD316" i="17"/>
  <c r="CD338" i="17" s="1"/>
  <c r="CH282" i="17"/>
  <c r="CF282" i="17"/>
  <c r="CG282" i="17"/>
  <c r="CG316" i="17" s="1"/>
  <c r="CG338" i="17" s="1"/>
  <c r="CE282" i="17"/>
  <c r="CA316" i="17"/>
  <c r="CA338" i="17" s="1"/>
  <c r="CB282" i="17"/>
  <c r="CB316" i="17" s="1"/>
  <c r="CB338" i="17" s="1"/>
  <c r="BR330" i="17"/>
  <c r="BR300" i="17"/>
  <c r="V384" i="12"/>
  <c r="BQ103" i="17" l="1"/>
  <c r="BQ104" i="17" s="1"/>
  <c r="BR70" i="17"/>
  <c r="BS70" i="17" s="1"/>
  <c r="DB306" i="17"/>
  <c r="DA307" i="17"/>
  <c r="DA308" i="17" s="1"/>
  <c r="T118" i="8"/>
  <c r="T125" i="8"/>
  <c r="CX242" i="17"/>
  <c r="AD155" i="12"/>
  <c r="CZ142" i="17"/>
  <c r="CZ129" i="17"/>
  <c r="CX248" i="17"/>
  <c r="CY247" i="17"/>
  <c r="CZ228" i="17"/>
  <c r="CY246" i="17"/>
  <c r="J152" i="20"/>
  <c r="AA152" i="20" s="1"/>
  <c r="H225" i="20"/>
  <c r="Y225" i="20" s="1"/>
  <c r="AX139" i="2"/>
  <c r="K504" i="20"/>
  <c r="AB504" i="20" s="1"/>
  <c r="H239" i="20"/>
  <c r="Y239" i="20" s="1"/>
  <c r="L182" i="20"/>
  <c r="AC182" i="20" s="1"/>
  <c r="K506" i="20"/>
  <c r="AB506" i="20" s="1"/>
  <c r="M182" i="20"/>
  <c r="AD182" i="20" s="1"/>
  <c r="AX144" i="2"/>
  <c r="L504" i="20"/>
  <c r="AC504" i="20" s="1"/>
  <c r="H231" i="20"/>
  <c r="Y231" i="20" s="1"/>
  <c r="K508" i="20"/>
  <c r="AB508" i="20" s="1"/>
  <c r="L190" i="20"/>
  <c r="AC190" i="20" s="1"/>
  <c r="M180" i="20"/>
  <c r="AD180" i="20" s="1"/>
  <c r="G311" i="2"/>
  <c r="K514" i="20"/>
  <c r="AB514" i="20" s="1"/>
  <c r="L180" i="20"/>
  <c r="AC180" i="20" s="1"/>
  <c r="L188" i="20"/>
  <c r="AC188" i="20" s="1"/>
  <c r="DZ13" i="11"/>
  <c r="EA13" i="11" s="1"/>
  <c r="AE280" i="12"/>
  <c r="AE331" i="12"/>
  <c r="AE299" i="12"/>
  <c r="AE305" i="12" s="1"/>
  <c r="DZ96" i="11"/>
  <c r="DZ111" i="11"/>
  <c r="DB89" i="17"/>
  <c r="AE53" i="12"/>
  <c r="AE60" i="12" s="1"/>
  <c r="T11" i="23"/>
  <c r="CX89" i="17"/>
  <c r="DG8" i="17" s="1"/>
  <c r="S51" i="21"/>
  <c r="R76" i="21"/>
  <c r="S85" i="21" s="1"/>
  <c r="R44" i="21"/>
  <c r="CP80" i="17"/>
  <c r="CO65" i="17"/>
  <c r="CR223" i="17"/>
  <c r="CS223" i="17" s="1"/>
  <c r="CT223" i="17" s="1"/>
  <c r="CU223" i="17" s="1"/>
  <c r="CT224" i="17"/>
  <c r="CR66" i="17"/>
  <c r="CS66" i="17" s="1"/>
  <c r="CT66" i="17" s="1"/>
  <c r="CU66" i="17" s="1"/>
  <c r="CT67" i="17"/>
  <c r="CP234" i="17"/>
  <c r="CO222" i="17"/>
  <c r="CP77" i="17"/>
  <c r="CO62" i="17"/>
  <c r="BP256" i="17"/>
  <c r="BP257" i="17" s="1"/>
  <c r="BQ227" i="17"/>
  <c r="BP226" i="17"/>
  <c r="BP239" i="17" s="1"/>
  <c r="CX130" i="17"/>
  <c r="DF10" i="17" s="1"/>
  <c r="AD151" i="12"/>
  <c r="CW126" i="17"/>
  <c r="CT64" i="17"/>
  <c r="CR63" i="17"/>
  <c r="CS63" i="17" s="1"/>
  <c r="CT63" i="17" s="1"/>
  <c r="CU63" i="17" s="1"/>
  <c r="CP237" i="17"/>
  <c r="CO225" i="17"/>
  <c r="CP83" i="17"/>
  <c r="CO68" i="17"/>
  <c r="BR170" i="17"/>
  <c r="BQ169" i="17"/>
  <c r="BQ182" i="17" s="1"/>
  <c r="CR220" i="17"/>
  <c r="CS220" i="17" s="1"/>
  <c r="CT220" i="17" s="1"/>
  <c r="CU220" i="17" s="1"/>
  <c r="CT221" i="17"/>
  <c r="CR60" i="17"/>
  <c r="CS60" i="17" s="1"/>
  <c r="CT60" i="17" s="1"/>
  <c r="CU60" i="17" s="1"/>
  <c r="CT61" i="17"/>
  <c r="CF316" i="17"/>
  <c r="CF338" i="17" s="1"/>
  <c r="CC316" i="17"/>
  <c r="CC338" i="17" s="1"/>
  <c r="BW320" i="17"/>
  <c r="BW321" i="17" s="1"/>
  <c r="BW287" i="17"/>
  <c r="BZ320" i="17"/>
  <c r="BZ321" i="17" s="1"/>
  <c r="BZ287" i="17"/>
  <c r="D250" i="2"/>
  <c r="CD295" i="17"/>
  <c r="CD301" i="17" s="1"/>
  <c r="CH316" i="17"/>
  <c r="CH338" i="17" s="1"/>
  <c r="CL282" i="17"/>
  <c r="CJ282" i="17"/>
  <c r="CJ316" i="17" s="1"/>
  <c r="CK282" i="17"/>
  <c r="CK316" i="17" s="1"/>
  <c r="CI282" i="17"/>
  <c r="BV329" i="17"/>
  <c r="BV297" i="17"/>
  <c r="W383" i="12"/>
  <c r="BY338" i="17"/>
  <c r="BY283" i="17"/>
  <c r="CG285" i="17"/>
  <c r="CG319" i="17" s="1"/>
  <c r="CE285" i="17"/>
  <c r="CD319" i="17"/>
  <c r="CD286" i="17" s="1"/>
  <c r="CH285" i="17"/>
  <c r="CF285" i="17"/>
  <c r="CE316" i="17"/>
  <c r="CE338" i="17" s="1"/>
  <c r="CH295" i="17"/>
  <c r="CH301" i="17" s="1"/>
  <c r="BW317" i="17"/>
  <c r="BW318" i="17" s="1"/>
  <c r="CA283" i="17"/>
  <c r="BW284" i="17"/>
  <c r="BX338" i="17"/>
  <c r="BX283" i="17"/>
  <c r="BZ284" i="17"/>
  <c r="BZ317" i="17"/>
  <c r="BZ318" i="17" s="1"/>
  <c r="CD283" i="17"/>
  <c r="BX319" i="17"/>
  <c r="BX286" i="17" s="1"/>
  <c r="BY285" i="17"/>
  <c r="BY319" i="17" s="1"/>
  <c r="BY286" i="17" s="1"/>
  <c r="CA319" i="17"/>
  <c r="CA286" i="17" s="1"/>
  <c r="CB285" i="17"/>
  <c r="CB319" i="17" s="1"/>
  <c r="BV330" i="17"/>
  <c r="BV300" i="17"/>
  <c r="W384" i="12"/>
  <c r="BZ295" i="17"/>
  <c r="BZ301" i="17" s="1"/>
  <c r="DF14" i="17" l="1"/>
  <c r="DR104" i="11"/>
  <c r="CZ247" i="17"/>
  <c r="BR69" i="17"/>
  <c r="BR85" i="17" s="1"/>
  <c r="BR103" i="17"/>
  <c r="BR104" i="17" s="1"/>
  <c r="AE374" i="12"/>
  <c r="DB307" i="17"/>
  <c r="DB308" i="17" s="1"/>
  <c r="U118" i="8"/>
  <c r="CZ246" i="17"/>
  <c r="CZ248" i="17"/>
  <c r="DA228" i="17"/>
  <c r="DA129" i="17"/>
  <c r="DA142" i="17"/>
  <c r="H237" i="20"/>
  <c r="Y237" i="20" s="1"/>
  <c r="H229" i="20"/>
  <c r="Y229" i="20" s="1"/>
  <c r="AU250" i="2"/>
  <c r="F539" i="20"/>
  <c r="W539" i="20" s="1"/>
  <c r="F541" i="20"/>
  <c r="W541" i="20" s="1"/>
  <c r="G539" i="20"/>
  <c r="X539" i="20" s="1"/>
  <c r="G541" i="20"/>
  <c r="X541" i="20" s="1"/>
  <c r="E541" i="20"/>
  <c r="V541" i="20" s="1"/>
  <c r="E540" i="20"/>
  <c r="V540" i="20" s="1"/>
  <c r="E539" i="20"/>
  <c r="V539" i="20" s="1"/>
  <c r="AE795" i="7"/>
  <c r="AE797" i="7" s="1"/>
  <c r="AE335" i="12"/>
  <c r="AE461" i="12"/>
  <c r="AE462" i="12"/>
  <c r="U11" i="23"/>
  <c r="S63" i="21"/>
  <c r="S61" i="21" s="1"/>
  <c r="S64" i="21" s="1"/>
  <c r="S40" i="21" s="1"/>
  <c r="S66" i="21" s="1"/>
  <c r="BZ296" i="17"/>
  <c r="BZ297" i="17" s="1"/>
  <c r="S84" i="21"/>
  <c r="R89" i="21"/>
  <c r="R87" i="21" s="1"/>
  <c r="R83" i="21" s="1"/>
  <c r="R86" i="21" s="1"/>
  <c r="CX61" i="17"/>
  <c r="CV60" i="17"/>
  <c r="CW60" i="17" s="1"/>
  <c r="CX60" i="17" s="1"/>
  <c r="CY60" i="17" s="1"/>
  <c r="CX221" i="17"/>
  <c r="CV220" i="17"/>
  <c r="CW220" i="17" s="1"/>
  <c r="CX220" i="17" s="1"/>
  <c r="CY220" i="17" s="1"/>
  <c r="BS170" i="17"/>
  <c r="BR169" i="17"/>
  <c r="BR182" i="17" s="1"/>
  <c r="CT80" i="17"/>
  <c r="CS65" i="17"/>
  <c r="CX67" i="17"/>
  <c r="CV66" i="17"/>
  <c r="CW66" i="17" s="1"/>
  <c r="CX66" i="17" s="1"/>
  <c r="CY66" i="17" s="1"/>
  <c r="CX224" i="17"/>
  <c r="CV223" i="17"/>
  <c r="CW223" i="17" s="1"/>
  <c r="CX223" i="17" s="1"/>
  <c r="CY223" i="17" s="1"/>
  <c r="CT77" i="17"/>
  <c r="CS62" i="17"/>
  <c r="CT234" i="17"/>
  <c r="CS222" i="17"/>
  <c r="CX64" i="17"/>
  <c r="CV63" i="17"/>
  <c r="CW63" i="17" s="1"/>
  <c r="CX63" i="17" s="1"/>
  <c r="CY63" i="17" s="1"/>
  <c r="BR227" i="17"/>
  <c r="BQ256" i="17"/>
  <c r="BQ257" i="17" s="1"/>
  <c r="BQ226" i="17"/>
  <c r="BQ239" i="17" s="1"/>
  <c r="CT83" i="17"/>
  <c r="CS68" i="17"/>
  <c r="CT237" i="17"/>
  <c r="CS225" i="17"/>
  <c r="BT70" i="17"/>
  <c r="BS103" i="17"/>
  <c r="BS69" i="17"/>
  <c r="CA320" i="17"/>
  <c r="CA321" i="17" s="1"/>
  <c r="CA287" i="17"/>
  <c r="CD320" i="17"/>
  <c r="CD321" i="17" s="1"/>
  <c r="CD287" i="17"/>
  <c r="BY320" i="17"/>
  <c r="BY321" i="17" s="1"/>
  <c r="BY287" i="17"/>
  <c r="CA317" i="17"/>
  <c r="CA318" i="17" s="1"/>
  <c r="CE283" i="17"/>
  <c r="CA284" i="17"/>
  <c r="CD298" i="17"/>
  <c r="CC319" i="17"/>
  <c r="CC286" i="17" s="1"/>
  <c r="CB286" i="17"/>
  <c r="BX320" i="17"/>
  <c r="BX321" i="17" s="1"/>
  <c r="BX287" i="17"/>
  <c r="CF319" i="17"/>
  <c r="CL295" i="17"/>
  <c r="CL301" i="17" s="1"/>
  <c r="CI316" i="17"/>
  <c r="CI338" i="17" s="1"/>
  <c r="CJ338" i="17"/>
  <c r="CJ317" i="17"/>
  <c r="CJ318" i="17" s="1"/>
  <c r="BZ298" i="17"/>
  <c r="BX299" i="17"/>
  <c r="CD284" i="17"/>
  <c r="CD317" i="17"/>
  <c r="CD318" i="17" s="1"/>
  <c r="CH283" i="17"/>
  <c r="BX284" i="17"/>
  <c r="BX317" i="17"/>
  <c r="BX318" i="17" s="1"/>
  <c r="CB283" i="17"/>
  <c r="CB296" i="17" s="1"/>
  <c r="Y128" i="8" s="1"/>
  <c r="CK285" i="17"/>
  <c r="CK319" i="17" s="1"/>
  <c r="CK320" i="17" s="1"/>
  <c r="CK321" i="17" s="1"/>
  <c r="CI285" i="17"/>
  <c r="CH319" i="17"/>
  <c r="CH286" i="17" s="1"/>
  <c r="CL285" i="17"/>
  <c r="CJ285" i="17"/>
  <c r="CJ319" i="17" s="1"/>
  <c r="CJ320" i="17" s="1"/>
  <c r="CJ321" i="17" s="1"/>
  <c r="CE319" i="17"/>
  <c r="CE286" i="17" s="1"/>
  <c r="CH298" i="17"/>
  <c r="BY317" i="17"/>
  <c r="BY318" i="17" s="1"/>
  <c r="CC283" i="17"/>
  <c r="BY284" i="17"/>
  <c r="CK338" i="17"/>
  <c r="CK317" i="17"/>
  <c r="CK318" i="17" s="1"/>
  <c r="CL316" i="17"/>
  <c r="CP282" i="17"/>
  <c r="CN282" i="17"/>
  <c r="CN316" i="17" s="1"/>
  <c r="CO282" i="17"/>
  <c r="CO316" i="17" s="1"/>
  <c r="CM282" i="17"/>
  <c r="BX296" i="17"/>
  <c r="X128" i="8" s="1"/>
  <c r="X129" i="8" s="1"/>
  <c r="X130" i="8" s="1"/>
  <c r="BZ299" i="17"/>
  <c r="BS85" i="17" l="1"/>
  <c r="BR106" i="17"/>
  <c r="BR111" i="17" s="1"/>
  <c r="DA336" i="17"/>
  <c r="DB336" i="17"/>
  <c r="CZ336" i="17"/>
  <c r="CY336" i="17"/>
  <c r="CZ337" i="17"/>
  <c r="DB337" i="17"/>
  <c r="CY337" i="17"/>
  <c r="DA337" i="17"/>
  <c r="AE375" i="12"/>
  <c r="CZ334" i="17"/>
  <c r="DA333" i="17"/>
  <c r="DB335" i="17"/>
  <c r="DB333" i="17"/>
  <c r="DA335" i="17"/>
  <c r="CY335" i="17"/>
  <c r="DB334" i="17"/>
  <c r="CY334" i="17"/>
  <c r="DA334" i="17"/>
  <c r="CY333" i="17"/>
  <c r="CZ335" i="17"/>
  <c r="CZ333" i="17"/>
  <c r="G263" i="2"/>
  <c r="AX264" i="2" s="1"/>
  <c r="V118" i="8"/>
  <c r="V125" i="8"/>
  <c r="U125" i="8"/>
  <c r="CZ223" i="17"/>
  <c r="DA223" i="17" s="1"/>
  <c r="DB223" i="17" s="1"/>
  <c r="DB224" i="17"/>
  <c r="DB221" i="17"/>
  <c r="CZ220" i="17"/>
  <c r="DA220" i="17" s="1"/>
  <c r="DB220" i="17" s="1"/>
  <c r="DB142" i="17"/>
  <c r="DB129" i="17"/>
  <c r="DB228" i="17"/>
  <c r="DA246" i="17"/>
  <c r="DA248" i="17"/>
  <c r="DA247" i="17"/>
  <c r="DB125" i="17"/>
  <c r="CZ63" i="17"/>
  <c r="DA63" i="17" s="1"/>
  <c r="DB63" i="17" s="1"/>
  <c r="DB64" i="17"/>
  <c r="DB67" i="17"/>
  <c r="CZ66" i="17"/>
  <c r="DA66" i="17" s="1"/>
  <c r="DB66" i="17" s="1"/>
  <c r="DB61" i="17"/>
  <c r="CZ60" i="17"/>
  <c r="DA60" i="17" s="1"/>
  <c r="DB60" i="17" s="1"/>
  <c r="V11" i="23"/>
  <c r="T51" i="21"/>
  <c r="S44" i="21"/>
  <c r="S76" i="21"/>
  <c r="BZ329" i="17"/>
  <c r="X383" i="12"/>
  <c r="BT103" i="17"/>
  <c r="BT104" i="17" s="1"/>
  <c r="BT69" i="17"/>
  <c r="BT85" i="17" s="1"/>
  <c r="BU70" i="17"/>
  <c r="BR256" i="17"/>
  <c r="BR257" i="17" s="1"/>
  <c r="BS227" i="17"/>
  <c r="BR226" i="17"/>
  <c r="BR239" i="17" s="1"/>
  <c r="BS104" i="17"/>
  <c r="CX80" i="17"/>
  <c r="CW65" i="17"/>
  <c r="CX237" i="17"/>
  <c r="CW225" i="17"/>
  <c r="CX83" i="17"/>
  <c r="CW68" i="17"/>
  <c r="BT170" i="17"/>
  <c r="BS169" i="17"/>
  <c r="BS182" i="17" s="1"/>
  <c r="CX234" i="17"/>
  <c r="CW222" i="17"/>
  <c r="CX77" i="17"/>
  <c r="CW62" i="17"/>
  <c r="CH320" i="17"/>
  <c r="CH321" i="17" s="1"/>
  <c r="CH287" i="17"/>
  <c r="CN338" i="17"/>
  <c r="CN317" i="17"/>
  <c r="CL338" i="17"/>
  <c r="CL317" i="17"/>
  <c r="CL318" i="17" s="1"/>
  <c r="CC317" i="17"/>
  <c r="CC318" i="17" s="1"/>
  <c r="CG283" i="17"/>
  <c r="CC284" i="17"/>
  <c r="BZ330" i="17"/>
  <c r="BZ300" i="17"/>
  <c r="X384" i="12"/>
  <c r="CO338" i="17"/>
  <c r="CO317" i="17"/>
  <c r="CP316" i="17"/>
  <c r="CT282" i="17"/>
  <c r="CT316" i="17" s="1"/>
  <c r="CT317" i="17" s="1"/>
  <c r="CT318" i="17" s="1"/>
  <c r="CR282" i="17"/>
  <c r="CR316" i="17" s="1"/>
  <c r="CQ282" i="17"/>
  <c r="Y129" i="8"/>
  <c r="Y130" i="8" s="1"/>
  <c r="CO285" i="17"/>
  <c r="CO319" i="17" s="1"/>
  <c r="CO320" i="17" s="1"/>
  <c r="CM285" i="17"/>
  <c r="CL319" i="17"/>
  <c r="CL320" i="17" s="1"/>
  <c r="CL321" i="17" s="1"/>
  <c r="CP285" i="17"/>
  <c r="CN285" i="17"/>
  <c r="CN319" i="17" s="1"/>
  <c r="CN320" i="17" s="1"/>
  <c r="CI319" i="17"/>
  <c r="CI286" i="17" s="1"/>
  <c r="CL298" i="17"/>
  <c r="CB284" i="17"/>
  <c r="CB317" i="17"/>
  <c r="CB318" i="17" s="1"/>
  <c r="CF283" i="17"/>
  <c r="CH284" i="17"/>
  <c r="CH317" i="17"/>
  <c r="CH318" i="17" s="1"/>
  <c r="CL283" i="17"/>
  <c r="CF286" i="17"/>
  <c r="CB320" i="17"/>
  <c r="CB321" i="17" s="1"/>
  <c r="CB287" i="17"/>
  <c r="CE317" i="17"/>
  <c r="CE318" i="17" s="1"/>
  <c r="CI283" i="17"/>
  <c r="CE284" i="17"/>
  <c r="CB299" i="17"/>
  <c r="CM316" i="17"/>
  <c r="CP295" i="17"/>
  <c r="CP301" i="17" s="1"/>
  <c r="CD296" i="17"/>
  <c r="CC320" i="17"/>
  <c r="CC321" i="17" s="1"/>
  <c r="CC287" i="17"/>
  <c r="CG286" i="17"/>
  <c r="CE320" i="17"/>
  <c r="CE321" i="17" s="1"/>
  <c r="CE287" i="17"/>
  <c r="CD299" i="17"/>
  <c r="BQ107" i="17" l="1"/>
  <c r="BS116" i="17"/>
  <c r="BT116" i="17"/>
  <c r="V150" i="12"/>
  <c r="BU116" i="17"/>
  <c r="BR117" i="17"/>
  <c r="G265" i="2"/>
  <c r="AX265" i="2" s="1"/>
  <c r="W118" i="8"/>
  <c r="W125" i="8"/>
  <c r="DB83" i="17"/>
  <c r="DA68" i="17"/>
  <c r="DB130" i="17"/>
  <c r="AE151" i="12"/>
  <c r="DA126" i="17"/>
  <c r="DB246" i="17"/>
  <c r="DB80" i="17"/>
  <c r="DA65" i="17"/>
  <c r="DB229" i="17"/>
  <c r="DB248" i="17" s="1"/>
  <c r="DB77" i="17"/>
  <c r="DA62" i="17"/>
  <c r="DB234" i="17"/>
  <c r="DA222" i="17"/>
  <c r="DB237" i="17"/>
  <c r="DA225" i="17"/>
  <c r="W11" i="23"/>
  <c r="T63" i="21"/>
  <c r="T61" i="21" s="1"/>
  <c r="S89" i="21"/>
  <c r="S87" i="21" s="1"/>
  <c r="S83" i="21" s="1"/>
  <c r="S86" i="21" s="1"/>
  <c r="CH296" i="17"/>
  <c r="CH329" i="17" s="1"/>
  <c r="CZ41" i="11" s="1"/>
  <c r="BS256" i="17"/>
  <c r="BS257" i="17" s="1"/>
  <c r="BS226" i="17"/>
  <c r="BS239" i="17" s="1"/>
  <c r="BT227" i="17"/>
  <c r="BV70" i="17"/>
  <c r="BU103" i="17"/>
  <c r="BU69" i="17"/>
  <c r="BU85" i="17" s="1"/>
  <c r="BU170" i="17"/>
  <c r="BT169" i="17"/>
  <c r="BT182" i="17" s="1"/>
  <c r="CD330" i="17"/>
  <c r="CD300" i="17"/>
  <c r="Y384" i="12"/>
  <c r="CG320" i="17"/>
  <c r="CG321" i="17" s="1"/>
  <c r="CG287" i="17"/>
  <c r="CK286" i="17"/>
  <c r="CJ286" i="17"/>
  <c r="CF320" i="17"/>
  <c r="CF321" i="17" s="1"/>
  <c r="CF287" i="17"/>
  <c r="CL284" i="17"/>
  <c r="CP283" i="17"/>
  <c r="CN321" i="17"/>
  <c r="CQ316" i="17"/>
  <c r="CI320" i="17"/>
  <c r="CI321" i="17" s="1"/>
  <c r="CI287" i="17"/>
  <c r="CH299" i="17"/>
  <c r="CF299" i="17"/>
  <c r="CD329" i="17"/>
  <c r="CD297" i="17"/>
  <c r="Y383" i="12"/>
  <c r="CM338" i="17"/>
  <c r="CM317" i="17"/>
  <c r="CI317" i="17"/>
  <c r="CI318" i="17" s="1"/>
  <c r="CM283" i="17"/>
  <c r="CI284" i="17"/>
  <c r="CQ285" i="17"/>
  <c r="CP319" i="17"/>
  <c r="CP320" i="17" s="1"/>
  <c r="CT285" i="17"/>
  <c r="CT319" i="17" s="1"/>
  <c r="CT320" i="17" s="1"/>
  <c r="CR285" i="17"/>
  <c r="CR319" i="17" s="1"/>
  <c r="CR320" i="17" s="1"/>
  <c r="E266" i="2" s="1"/>
  <c r="CM319" i="17"/>
  <c r="CM320" i="17" s="1"/>
  <c r="CP298" i="17"/>
  <c r="CX282" i="17"/>
  <c r="CV282" i="17"/>
  <c r="CV316" i="17" s="1"/>
  <c r="CV317" i="17" s="1"/>
  <c r="CV318" i="17" s="1"/>
  <c r="CU282" i="17"/>
  <c r="CU316" i="17" s="1"/>
  <c r="CU317" i="17" s="1"/>
  <c r="CU318" i="17" s="1"/>
  <c r="CO318" i="17"/>
  <c r="CG317" i="17"/>
  <c r="CG318" i="17" s="1"/>
  <c r="CK283" i="17"/>
  <c r="CG284" i="17"/>
  <c r="CN318" i="17"/>
  <c r="CF284" i="17"/>
  <c r="CF317" i="17"/>
  <c r="CF318" i="17" s="1"/>
  <c r="CJ283" i="17"/>
  <c r="CO321" i="17"/>
  <c r="CR338" i="17"/>
  <c r="CR317" i="17"/>
  <c r="E125" i="2" s="1"/>
  <c r="CP338" i="17"/>
  <c r="CP317" i="17"/>
  <c r="CF296" i="17"/>
  <c r="Z128" i="8" s="1"/>
  <c r="Z129" i="8" s="1"/>
  <c r="Z130" i="8" s="1"/>
  <c r="CL286" i="17"/>
  <c r="X118" i="8" l="1"/>
  <c r="X125" i="8" s="1"/>
  <c r="DB242" i="17"/>
  <c r="DW104" i="11" s="1"/>
  <c r="AE155" i="12"/>
  <c r="DA230" i="17"/>
  <c r="CY282" i="17"/>
  <c r="CZ282" i="17"/>
  <c r="CZ316" i="17" s="1"/>
  <c r="DB282" i="17"/>
  <c r="DB316" i="17" s="1"/>
  <c r="CX316" i="17"/>
  <c r="CX317" i="17" s="1"/>
  <c r="X11" i="23"/>
  <c r="CH297" i="17"/>
  <c r="Z383" i="12"/>
  <c r="BV103" i="17"/>
  <c r="BV104" i="17" s="1"/>
  <c r="BV69" i="17"/>
  <c r="BV85" i="17" s="1"/>
  <c r="BW70" i="17"/>
  <c r="BV170" i="17"/>
  <c r="BU169" i="17"/>
  <c r="BU182" i="17" s="1"/>
  <c r="BU104" i="17"/>
  <c r="BT256" i="17"/>
  <c r="BT257" i="17" s="1"/>
  <c r="BU227" i="17"/>
  <c r="BT226" i="17"/>
  <c r="BT239" i="17" s="1"/>
  <c r="F117" i="20"/>
  <c r="W117" i="20" s="1"/>
  <c r="AV125" i="2"/>
  <c r="CT338" i="17"/>
  <c r="G125" i="2"/>
  <c r="CM321" i="17"/>
  <c r="CU285" i="17"/>
  <c r="CU319" i="17" s="1"/>
  <c r="CU320" i="17" s="1"/>
  <c r="G266" i="2"/>
  <c r="CX285" i="17"/>
  <c r="CV285" i="17"/>
  <c r="CP318" i="17"/>
  <c r="CR318" i="17"/>
  <c r="CJ284" i="17"/>
  <c r="CN283" i="17"/>
  <c r="CN296" i="17" s="1"/>
  <c r="AB128" i="8" s="1"/>
  <c r="CJ296" i="17"/>
  <c r="AA128" i="8" s="1"/>
  <c r="AA129" i="8" s="1"/>
  <c r="AA130" i="8" s="1"/>
  <c r="CR321" i="17"/>
  <c r="CP321" i="17"/>
  <c r="CL296" i="17"/>
  <c r="CM318" i="17"/>
  <c r="CH330" i="17"/>
  <c r="CH300" i="17"/>
  <c r="Z384" i="12"/>
  <c r="CQ338" i="17"/>
  <c r="CQ317" i="17"/>
  <c r="D125" i="2" s="1"/>
  <c r="CP284" i="17"/>
  <c r="CT283" i="17"/>
  <c r="CZ42" i="11"/>
  <c r="DA42" i="11" s="1"/>
  <c r="DA41" i="11"/>
  <c r="CK287" i="17"/>
  <c r="CO286" i="17"/>
  <c r="CP286" i="17"/>
  <c r="CL287" i="17"/>
  <c r="CO283" i="17"/>
  <c r="CK284" i="17"/>
  <c r="CV338" i="17"/>
  <c r="I125" i="2"/>
  <c r="CQ319" i="17"/>
  <c r="CQ320" i="17" s="1"/>
  <c r="D266" i="2" s="1"/>
  <c r="CQ283" i="17"/>
  <c r="CM284" i="17"/>
  <c r="CM286" i="17"/>
  <c r="CL299" i="17"/>
  <c r="F123" i="20"/>
  <c r="W123" i="20" s="1"/>
  <c r="AV266" i="2"/>
  <c r="CN286" i="17"/>
  <c r="CJ287" i="17"/>
  <c r="CJ299" i="17"/>
  <c r="CV319" i="17" l="1"/>
  <c r="CV320" i="17" s="1"/>
  <c r="I266" i="2" s="1"/>
  <c r="Y118" i="8"/>
  <c r="CX338" i="17"/>
  <c r="DB317" i="17"/>
  <c r="DB318" i="17" s="1"/>
  <c r="DB338" i="17"/>
  <c r="CZ285" i="17"/>
  <c r="CZ319" i="17" s="1"/>
  <c r="CZ320" i="17" s="1"/>
  <c r="CZ321" i="17" s="1"/>
  <c r="CY285" i="17"/>
  <c r="DB285" i="17"/>
  <c r="DB319" i="17" s="1"/>
  <c r="DB320" i="17" s="1"/>
  <c r="DB321" i="17" s="1"/>
  <c r="CZ317" i="17"/>
  <c r="CZ318" i="17" s="1"/>
  <c r="CZ338" i="17"/>
  <c r="CY316" i="17"/>
  <c r="CX319" i="17"/>
  <c r="CX320" i="17" s="1"/>
  <c r="CX321" i="17" s="1"/>
  <c r="BV106" i="17"/>
  <c r="BV117" i="17" s="1"/>
  <c r="Y11" i="23"/>
  <c r="CP296" i="17"/>
  <c r="CP297" i="17" s="1"/>
  <c r="BW170" i="17"/>
  <c r="BV169" i="17"/>
  <c r="BV182" i="17" s="1"/>
  <c r="BV227" i="17"/>
  <c r="BU256" i="17"/>
  <c r="BU257" i="17" s="1"/>
  <c r="BU226" i="17"/>
  <c r="BU239" i="17" s="1"/>
  <c r="BX70" i="17"/>
  <c r="BW103" i="17"/>
  <c r="BW69" i="17"/>
  <c r="BW85" i="17" s="1"/>
  <c r="AB129" i="8"/>
  <c r="CP299" i="17"/>
  <c r="CM287" i="17"/>
  <c r="CQ286" i="17"/>
  <c r="CQ321" i="17"/>
  <c r="CT286" i="17"/>
  <c r="CP287" i="17"/>
  <c r="CO287" i="17"/>
  <c r="CT284" i="17"/>
  <c r="CX283" i="17"/>
  <c r="DB283" i="17" s="1"/>
  <c r="J117" i="20"/>
  <c r="AA117" i="20" s="1"/>
  <c r="AZ125" i="2"/>
  <c r="CR286" i="17"/>
  <c r="CN287" i="17"/>
  <c r="CL330" i="17"/>
  <c r="CL300" i="17"/>
  <c r="AA384" i="12"/>
  <c r="C277" i="2" s="1"/>
  <c r="AT277" i="2" s="1"/>
  <c r="CU283" i="17"/>
  <c r="CQ284" i="17"/>
  <c r="CN299" i="17"/>
  <c r="CQ318" i="17"/>
  <c r="E117" i="20"/>
  <c r="V117" i="20" s="1"/>
  <c r="AU125" i="2"/>
  <c r="CX318" i="17"/>
  <c r="CT321" i="17"/>
  <c r="E123" i="20"/>
  <c r="V123" i="20" s="1"/>
  <c r="AU266" i="2"/>
  <c r="CU338" i="17"/>
  <c r="H125" i="2"/>
  <c r="CO284" i="17"/>
  <c r="CL329" i="17"/>
  <c r="DE41" i="11" s="1"/>
  <c r="DE42" i="11" s="1"/>
  <c r="DF42" i="11" s="1"/>
  <c r="CL297" i="17"/>
  <c r="AA383" i="12"/>
  <c r="H123" i="20"/>
  <c r="Y123" i="20" s="1"/>
  <c r="AX266" i="2"/>
  <c r="CN284" i="17"/>
  <c r="CR283" i="17"/>
  <c r="H117" i="20"/>
  <c r="Y117" i="20" s="1"/>
  <c r="AX125" i="2"/>
  <c r="H266" i="2"/>
  <c r="K125" i="2"/>
  <c r="CV321" i="17" l="1"/>
  <c r="J123" i="20"/>
  <c r="AA123" i="20" s="1"/>
  <c r="AZ266" i="2"/>
  <c r="BU107" i="17"/>
  <c r="Z118" i="8"/>
  <c r="Z125" i="8"/>
  <c r="Y125" i="8"/>
  <c r="BY116" i="17"/>
  <c r="BV111" i="17"/>
  <c r="BX116" i="17"/>
  <c r="K266" i="2"/>
  <c r="L123" i="20" s="1"/>
  <c r="AC123" i="20" s="1"/>
  <c r="BW116" i="17"/>
  <c r="W150" i="12"/>
  <c r="DB284" i="17"/>
  <c r="O125" i="2"/>
  <c r="BF125" i="2" s="1"/>
  <c r="M266" i="2"/>
  <c r="N123" i="20" s="1"/>
  <c r="AE123" i="20" s="1"/>
  <c r="O266" i="2"/>
  <c r="BF266" i="2" s="1"/>
  <c r="M125" i="2"/>
  <c r="N117" i="20" s="1"/>
  <c r="AE117" i="20" s="1"/>
  <c r="CY317" i="17"/>
  <c r="CY318" i="17" s="1"/>
  <c r="CY338" i="17"/>
  <c r="CY319" i="17"/>
  <c r="CY320" i="17" s="1"/>
  <c r="CY321" i="17" s="1"/>
  <c r="CY283" i="17"/>
  <c r="Z11" i="23"/>
  <c r="CP329" i="17"/>
  <c r="DJ41" i="11" s="1"/>
  <c r="DJ42" i="11" s="1"/>
  <c r="AB383" i="12"/>
  <c r="BW104" i="17"/>
  <c r="BX103" i="17"/>
  <c r="BX104" i="17" s="1"/>
  <c r="BX69" i="17"/>
  <c r="BX85" i="17" s="1"/>
  <c r="BY70" i="17"/>
  <c r="BV256" i="17"/>
  <c r="BV257" i="17" s="1"/>
  <c r="BW227" i="17"/>
  <c r="BV226" i="17"/>
  <c r="BV239" i="17" s="1"/>
  <c r="BX170" i="17"/>
  <c r="BW169" i="17"/>
  <c r="BW182" i="17" s="1"/>
  <c r="DF41" i="11"/>
  <c r="CQ287" i="17"/>
  <c r="CU286" i="17"/>
  <c r="CP330" i="17"/>
  <c r="CP300" i="17"/>
  <c r="AB384" i="12"/>
  <c r="D277" i="2" s="1"/>
  <c r="CR284" i="17"/>
  <c r="CV283" i="17"/>
  <c r="CZ283" i="17" s="1"/>
  <c r="I117" i="20"/>
  <c r="Z117" i="20" s="1"/>
  <c r="AY125" i="2"/>
  <c r="I123" i="20"/>
  <c r="Z123" i="20" s="1"/>
  <c r="AY266" i="2"/>
  <c r="L117" i="20"/>
  <c r="AC117" i="20" s="1"/>
  <c r="BB125" i="2"/>
  <c r="CU321" i="17"/>
  <c r="CR296" i="17"/>
  <c r="AC128" i="8" s="1"/>
  <c r="AC129" i="8" s="1"/>
  <c r="CU284" i="17"/>
  <c r="CV286" i="17"/>
  <c r="CZ286" i="17" s="1"/>
  <c r="CR287" i="17"/>
  <c r="CX284" i="17"/>
  <c r="CR299" i="17"/>
  <c r="CX286" i="17"/>
  <c r="DB286" i="17" s="1"/>
  <c r="CT287" i="17"/>
  <c r="AA118" i="8" l="1"/>
  <c r="AA125" i="8"/>
  <c r="BB266" i="2"/>
  <c r="P117" i="20"/>
  <c r="AG117" i="20" s="1"/>
  <c r="DB287" i="17"/>
  <c r="P123" i="20"/>
  <c r="AG123" i="20" s="1"/>
  <c r="CZ284" i="17"/>
  <c r="CZ287" i="17"/>
  <c r="CY286" i="17"/>
  <c r="BD266" i="2"/>
  <c r="BD125" i="2"/>
  <c r="L125" i="2"/>
  <c r="M117" i="20" s="1"/>
  <c r="AD117" i="20" s="1"/>
  <c r="L266" i="2"/>
  <c r="M123" i="20" s="1"/>
  <c r="AD123" i="20" s="1"/>
  <c r="D155" i="2"/>
  <c r="CY284" i="17"/>
  <c r="AA11" i="23"/>
  <c r="DK41" i="11"/>
  <c r="DK42" i="11"/>
  <c r="BY170" i="17"/>
  <c r="BX169" i="17"/>
  <c r="BX182" i="17" s="1"/>
  <c r="BW256" i="17"/>
  <c r="BW257" i="17" s="1"/>
  <c r="BW226" i="17"/>
  <c r="BW239" i="17" s="1"/>
  <c r="BX227" i="17"/>
  <c r="BZ70" i="17"/>
  <c r="BY103" i="17"/>
  <c r="BY104" i="17" s="1"/>
  <c r="BY69" i="17"/>
  <c r="BY85" i="17" s="1"/>
  <c r="CX287" i="17"/>
  <c r="CV287" i="17"/>
  <c r="E248" i="20"/>
  <c r="V248" i="20" s="1"/>
  <c r="AU277" i="2"/>
  <c r="CV284" i="17"/>
  <c r="CU287" i="17"/>
  <c r="AB118" i="8" l="1"/>
  <c r="AB125" i="8"/>
  <c r="CY287" i="17"/>
  <c r="BC125" i="2"/>
  <c r="BC266" i="2"/>
  <c r="AU155" i="2"/>
  <c r="E38" i="20"/>
  <c r="V38" i="20" s="1"/>
  <c r="AB11" i="23"/>
  <c r="BX256" i="17"/>
  <c r="BX257" i="17" s="1"/>
  <c r="BY227" i="17"/>
  <c r="BX226" i="17"/>
  <c r="BX239" i="17" s="1"/>
  <c r="BZ170" i="17"/>
  <c r="BY169" i="17"/>
  <c r="BY182" i="17" s="1"/>
  <c r="BZ103" i="17"/>
  <c r="BZ69" i="17"/>
  <c r="BZ85" i="17" s="1"/>
  <c r="CA70" i="17"/>
  <c r="AC118" i="8" l="1"/>
  <c r="DT7" i="11"/>
  <c r="AC11" i="23"/>
  <c r="CB70" i="17"/>
  <c r="CA103" i="17"/>
  <c r="CA69" i="17"/>
  <c r="CA85" i="17" s="1"/>
  <c r="BZ104" i="17"/>
  <c r="BZ106" i="17"/>
  <c r="CA170" i="17"/>
  <c r="BZ169" i="17"/>
  <c r="BZ182" i="17" s="1"/>
  <c r="BZ227" i="17"/>
  <c r="BY256" i="17"/>
  <c r="BY257" i="17" s="1"/>
  <c r="BY226" i="17"/>
  <c r="BY239" i="17" s="1"/>
  <c r="DS7" i="11"/>
  <c r="AD118" i="8" l="1"/>
  <c r="AE118" i="8" s="1"/>
  <c r="AE125" i="8" s="1"/>
  <c r="AC125" i="8"/>
  <c r="AD366" i="12"/>
  <c r="AD361" i="12" s="1"/>
  <c r="AE361" i="12" s="1"/>
  <c r="AD11" i="23"/>
  <c r="AE11" i="23" s="1"/>
  <c r="DP123" i="11"/>
  <c r="DP125" i="11" s="1"/>
  <c r="BZ111" i="17"/>
  <c r="X150" i="12"/>
  <c r="CB116" i="17"/>
  <c r="CC116" i="17"/>
  <c r="CA116" i="17"/>
  <c r="BZ117" i="17"/>
  <c r="BY107" i="17"/>
  <c r="CB103" i="17"/>
  <c r="CB104" i="17" s="1"/>
  <c r="CB69" i="17"/>
  <c r="CB85" i="17" s="1"/>
  <c r="CC70" i="17"/>
  <c r="BZ256" i="17"/>
  <c r="BZ257" i="17" s="1"/>
  <c r="CA227" i="17"/>
  <c r="BZ226" i="17"/>
  <c r="BZ239" i="17" s="1"/>
  <c r="CB170" i="17"/>
  <c r="CA169" i="17"/>
  <c r="CA182" i="17" s="1"/>
  <c r="CA104" i="17"/>
  <c r="DS35" i="11"/>
  <c r="DS123" i="11" s="1"/>
  <c r="DS125" i="11" s="1"/>
  <c r="AD165" i="12"/>
  <c r="F101" i="2" s="1"/>
  <c r="DU7" i="11"/>
  <c r="DX7" i="11" s="1"/>
  <c r="AC23" i="7"/>
  <c r="AD125" i="8" l="1"/>
  <c r="AW101" i="2"/>
  <c r="E136" i="2"/>
  <c r="E195" i="2"/>
  <c r="DZ7" i="11"/>
  <c r="AE165" i="12"/>
  <c r="CC170" i="17"/>
  <c r="CB169" i="17"/>
  <c r="CB182" i="17" s="1"/>
  <c r="CA256" i="17"/>
  <c r="CA257" i="17" s="1"/>
  <c r="CA226" i="17"/>
  <c r="CA239" i="17" s="1"/>
  <c r="CB227" i="17"/>
  <c r="CD70" i="17"/>
  <c r="CC103" i="17"/>
  <c r="CC69" i="17"/>
  <c r="CC85" i="17" s="1"/>
  <c r="DU35" i="11"/>
  <c r="EH36" i="6"/>
  <c r="DV7" i="11"/>
  <c r="G101" i="2" l="1"/>
  <c r="AX101" i="2" s="1"/>
  <c r="I348" i="20"/>
  <c r="Z348" i="20" s="1"/>
  <c r="H348" i="20"/>
  <c r="Y348" i="20" s="1"/>
  <c r="AV195" i="2"/>
  <c r="AV136" i="2"/>
  <c r="H174" i="20"/>
  <c r="Y174" i="20" s="1"/>
  <c r="I174" i="20"/>
  <c r="Z174" i="20" s="1"/>
  <c r="F221" i="20"/>
  <c r="W221" i="20" s="1"/>
  <c r="F284" i="2"/>
  <c r="I60" i="20" s="1"/>
  <c r="Z60" i="20" s="1"/>
  <c r="DU123" i="11"/>
  <c r="DU125" i="11" s="1"/>
  <c r="DX35" i="11"/>
  <c r="EA7" i="11"/>
  <c r="CC104" i="17"/>
  <c r="CB256" i="17"/>
  <c r="CB257" i="17" s="1"/>
  <c r="CC227" i="17"/>
  <c r="CB226" i="17"/>
  <c r="CB239" i="17" s="1"/>
  <c r="CD170" i="17"/>
  <c r="CC169" i="17"/>
  <c r="CC182" i="17" s="1"/>
  <c r="CD103" i="17"/>
  <c r="CD104" i="17" s="1"/>
  <c r="CD69" i="17"/>
  <c r="CD85" i="17" s="1"/>
  <c r="CE70" i="17"/>
  <c r="DV35" i="11"/>
  <c r="AD188" i="12" s="1"/>
  <c r="AD185" i="12" s="1"/>
  <c r="AC254" i="12"/>
  <c r="EH85" i="6"/>
  <c r="EG36" i="6"/>
  <c r="EG85" i="6" s="1"/>
  <c r="F136" i="2" l="1"/>
  <c r="F195" i="2"/>
  <c r="DZ35" i="11"/>
  <c r="DX123" i="11"/>
  <c r="DX125" i="11" s="1"/>
  <c r="AD23" i="7"/>
  <c r="CF70" i="17"/>
  <c r="CE103" i="17"/>
  <c r="CE69" i="17"/>
  <c r="CE85" i="17" s="1"/>
  <c r="CE170" i="17"/>
  <c r="CD169" i="17"/>
  <c r="CD182" i="17" s="1"/>
  <c r="CD227" i="17"/>
  <c r="CC256" i="17"/>
  <c r="CC257" i="17" s="1"/>
  <c r="CC226" i="17"/>
  <c r="CC239" i="17" s="1"/>
  <c r="CD106" i="17"/>
  <c r="AD388" i="12"/>
  <c r="AD391" i="12" s="1"/>
  <c r="AD247" i="12"/>
  <c r="EN36" i="6"/>
  <c r="EN85" i="6" s="1"/>
  <c r="AW195" i="2" l="1"/>
  <c r="J348" i="20"/>
  <c r="AA348" i="20" s="1"/>
  <c r="K348" i="20"/>
  <c r="AB348" i="20" s="1"/>
  <c r="G221" i="20"/>
  <c r="X221" i="20" s="1"/>
  <c r="K174" i="20"/>
  <c r="AB174" i="20" s="1"/>
  <c r="AW136" i="2"/>
  <c r="G284" i="2"/>
  <c r="J60" i="20" s="1"/>
  <c r="AA60" i="20" s="1"/>
  <c r="J174" i="20"/>
  <c r="AA174" i="20" s="1"/>
  <c r="DZ123" i="11"/>
  <c r="DZ125" i="11" s="1"/>
  <c r="EA35" i="11"/>
  <c r="AE188" i="12" s="1"/>
  <c r="AD254" i="12"/>
  <c r="CD111" i="17"/>
  <c r="Y150" i="12"/>
  <c r="CG116" i="17"/>
  <c r="CD117" i="17"/>
  <c r="CC107" i="17"/>
  <c r="CE116" i="17"/>
  <c r="CF116" i="17"/>
  <c r="CF103" i="17"/>
  <c r="CF104" i="17" s="1"/>
  <c r="CF69" i="17"/>
  <c r="CF85" i="17" s="1"/>
  <c r="CG70" i="17"/>
  <c r="CD256" i="17"/>
  <c r="CD257" i="17" s="1"/>
  <c r="CE227" i="17"/>
  <c r="CD226" i="17"/>
  <c r="CD239" i="17" s="1"/>
  <c r="CF170" i="17"/>
  <c r="CE169" i="17"/>
  <c r="CE182" i="17" s="1"/>
  <c r="CE104" i="17"/>
  <c r="AE23" i="7" l="1"/>
  <c r="AE185" i="12"/>
  <c r="CG170" i="17"/>
  <c r="CF169" i="17"/>
  <c r="CF182" i="17" s="1"/>
  <c r="CE256" i="17"/>
  <c r="CE257" i="17" s="1"/>
  <c r="CE226" i="17"/>
  <c r="CE239" i="17" s="1"/>
  <c r="CF227" i="17"/>
  <c r="CH70" i="17"/>
  <c r="CG103" i="17"/>
  <c r="CG69" i="17"/>
  <c r="CG85" i="17" s="1"/>
  <c r="ET36" i="6" l="1"/>
  <c r="G195" i="2"/>
  <c r="G136" i="2"/>
  <c r="AE247" i="12"/>
  <c r="AE254" i="12" s="1"/>
  <c r="AE388" i="12"/>
  <c r="AE391" i="12" s="1"/>
  <c r="CH103" i="17"/>
  <c r="CH104" i="17" s="1"/>
  <c r="CH69" i="17"/>
  <c r="CH85" i="17" s="1"/>
  <c r="CI70" i="17"/>
  <c r="CG104" i="17"/>
  <c r="CF256" i="17"/>
  <c r="CF257" i="17" s="1"/>
  <c r="CG227" i="17"/>
  <c r="CF226" i="17"/>
  <c r="CF239" i="17" s="1"/>
  <c r="CH170" i="17"/>
  <c r="CG169" i="17"/>
  <c r="CG182" i="17" s="1"/>
  <c r="CH106" i="17" l="1"/>
  <c r="CK116" i="17" s="1"/>
  <c r="ET85" i="6"/>
  <c r="AX136" i="2"/>
  <c r="M174" i="20"/>
  <c r="AD174" i="20" s="1"/>
  <c r="L174" i="20"/>
  <c r="AC174" i="20" s="1"/>
  <c r="H221" i="20"/>
  <c r="Y221" i="20" s="1"/>
  <c r="L348" i="20"/>
  <c r="AC348" i="20" s="1"/>
  <c r="M348" i="20"/>
  <c r="AD348" i="20" s="1"/>
  <c r="AX195" i="2"/>
  <c r="CI170" i="17"/>
  <c r="CH169" i="17"/>
  <c r="CH182" i="17" s="1"/>
  <c r="CH227" i="17"/>
  <c r="CG256" i="17"/>
  <c r="CG257" i="17" s="1"/>
  <c r="CG226" i="17"/>
  <c r="CG239" i="17" s="1"/>
  <c r="CJ70" i="17"/>
  <c r="CI103" i="17"/>
  <c r="CI69" i="17"/>
  <c r="CI85" i="17" s="1"/>
  <c r="CG107" i="17" l="1"/>
  <c r="CJ116" i="17"/>
  <c r="CH117" i="17"/>
  <c r="Z150" i="12"/>
  <c r="CI116" i="17"/>
  <c r="CH111" i="17"/>
  <c r="CI104" i="17"/>
  <c r="CJ103" i="17"/>
  <c r="CJ104" i="17" s="1"/>
  <c r="CJ69" i="17"/>
  <c r="CJ85" i="17" s="1"/>
  <c r="CK70" i="17"/>
  <c r="CH256" i="17"/>
  <c r="CH257" i="17" s="1"/>
  <c r="CI227" i="17"/>
  <c r="CH226" i="17"/>
  <c r="CH239" i="17" s="1"/>
  <c r="CJ170" i="17"/>
  <c r="CI169" i="17"/>
  <c r="CI182" i="17" s="1"/>
  <c r="CK170" i="17" l="1"/>
  <c r="CJ169" i="17"/>
  <c r="CJ182" i="17" s="1"/>
  <c r="CI256" i="17"/>
  <c r="CI257" i="17" s="1"/>
  <c r="CI226" i="17"/>
  <c r="CI239" i="17" s="1"/>
  <c r="CJ227" i="17"/>
  <c r="CL70" i="17"/>
  <c r="CK103" i="17"/>
  <c r="CK104" i="17" s="1"/>
  <c r="CK69" i="17"/>
  <c r="CK85" i="17" s="1"/>
  <c r="CL103" i="17" l="1"/>
  <c r="CL69" i="17"/>
  <c r="CL85" i="17" s="1"/>
  <c r="CM70" i="17"/>
  <c r="CJ256" i="17"/>
  <c r="CJ257" i="17" s="1"/>
  <c r="CK227" i="17"/>
  <c r="CJ226" i="17"/>
  <c r="CJ239" i="17" s="1"/>
  <c r="CL170" i="17"/>
  <c r="CK169" i="17"/>
  <c r="CK182" i="17" s="1"/>
  <c r="CM170" i="17" l="1"/>
  <c r="CL169" i="17"/>
  <c r="CL182" i="17" s="1"/>
  <c r="CL227" i="17"/>
  <c r="CK256" i="17"/>
  <c r="CK257" i="17" s="1"/>
  <c r="CK226" i="17"/>
  <c r="CK239" i="17" s="1"/>
  <c r="CN70" i="17"/>
  <c r="CM103" i="17"/>
  <c r="CM69" i="17"/>
  <c r="CM85" i="17" s="1"/>
  <c r="CL104" i="17"/>
  <c r="CL106" i="17"/>
  <c r="CL111" i="17" l="1"/>
  <c r="AA150" i="12"/>
  <c r="CO116" i="17"/>
  <c r="CL117" i="17"/>
  <c r="CK107" i="17"/>
  <c r="CM116" i="17"/>
  <c r="CN116" i="17"/>
  <c r="CN103" i="17"/>
  <c r="CN104" i="17" s="1"/>
  <c r="CN69" i="17"/>
  <c r="CN85" i="17" s="1"/>
  <c r="CO70" i="17"/>
  <c r="CM104" i="17"/>
  <c r="CL256" i="17"/>
  <c r="CL257" i="17" s="1"/>
  <c r="CM227" i="17"/>
  <c r="CL226" i="17"/>
  <c r="CL239" i="17" s="1"/>
  <c r="CN170" i="17"/>
  <c r="CM169" i="17"/>
  <c r="CM182" i="17" s="1"/>
  <c r="CO170" i="17" l="1"/>
  <c r="CN169" i="17"/>
  <c r="CN182" i="17" s="1"/>
  <c r="CM256" i="17"/>
  <c r="CM257" i="17" s="1"/>
  <c r="CM226" i="17"/>
  <c r="CM239" i="17" s="1"/>
  <c r="CN227" i="17"/>
  <c r="CP70" i="17"/>
  <c r="CO103" i="17"/>
  <c r="CO69" i="17"/>
  <c r="CO85" i="17" s="1"/>
  <c r="CO104" i="17" l="1"/>
  <c r="CN256" i="17"/>
  <c r="CN257" i="17" s="1"/>
  <c r="CO227" i="17"/>
  <c r="CN226" i="17"/>
  <c r="CN239" i="17" s="1"/>
  <c r="CP103" i="17"/>
  <c r="CP104" i="17" s="1"/>
  <c r="CP69" i="17"/>
  <c r="CP85" i="17" s="1"/>
  <c r="CQ70" i="17"/>
  <c r="CP170" i="17"/>
  <c r="CQ206" i="17" s="1"/>
  <c r="CO169" i="17"/>
  <c r="CO182" i="17" s="1"/>
  <c r="CQ9" i="17" l="1"/>
  <c r="CQ170" i="17"/>
  <c r="CR206" i="17" s="1"/>
  <c r="CP169" i="17"/>
  <c r="CP182" i="17" s="1"/>
  <c r="CR70" i="17"/>
  <c r="CS70" i="17" s="1"/>
  <c r="CQ69" i="17"/>
  <c r="CQ85" i="17" s="1"/>
  <c r="CQ103" i="17"/>
  <c r="CP227" i="17"/>
  <c r="CO256" i="17"/>
  <c r="CO257" i="17" s="1"/>
  <c r="CO226" i="17"/>
  <c r="CO239" i="17" s="1"/>
  <c r="CP106" i="17"/>
  <c r="D118" i="2" l="1"/>
  <c r="CP256" i="17"/>
  <c r="CP257" i="17" s="1"/>
  <c r="CQ227" i="17"/>
  <c r="CP226" i="17"/>
  <c r="CP239" i="17" s="1"/>
  <c r="CP111" i="17"/>
  <c r="AB150" i="12"/>
  <c r="CP117" i="17"/>
  <c r="CO107" i="17"/>
  <c r="CR9" i="17"/>
  <c r="CQ115" i="17"/>
  <c r="CQ116" i="17"/>
  <c r="CQ141" i="17"/>
  <c r="CR116" i="17"/>
  <c r="CQ104" i="17"/>
  <c r="CR69" i="17"/>
  <c r="CR85" i="17" s="1"/>
  <c r="CR103" i="17"/>
  <c r="CR170" i="17"/>
  <c r="CQ169" i="17"/>
  <c r="CQ182" i="17" s="1"/>
  <c r="E118" i="2" l="1"/>
  <c r="E106" i="20"/>
  <c r="V106" i="20" s="1"/>
  <c r="AU118" i="2"/>
  <c r="CR169" i="17"/>
  <c r="CR182" i="17" s="1"/>
  <c r="CS103" i="17"/>
  <c r="CS69" i="17"/>
  <c r="CS85" i="17" s="1"/>
  <c r="CR117" i="17"/>
  <c r="CR115" i="17"/>
  <c r="CR104" i="17"/>
  <c r="CR141" i="17"/>
  <c r="CQ256" i="17"/>
  <c r="CQ226" i="17"/>
  <c r="CQ239" i="17" s="1"/>
  <c r="CR227" i="17"/>
  <c r="F106" i="20" l="1"/>
  <c r="W106" i="20" s="1"/>
  <c r="AV118" i="2"/>
  <c r="CR256" i="17"/>
  <c r="CS227" i="17"/>
  <c r="CT227" i="17" s="1"/>
  <c r="CR226" i="17"/>
  <c r="CR239" i="17" s="1"/>
  <c r="CQ15" i="17"/>
  <c r="D124" i="2" s="1"/>
  <c r="AU124" i="2" l="1"/>
  <c r="E113" i="20"/>
  <c r="V113" i="20" s="1"/>
  <c r="CQ17" i="17"/>
  <c r="CQ121" i="17"/>
  <c r="CS256" i="17"/>
  <c r="CS226" i="17"/>
  <c r="CS239" i="17" s="1"/>
  <c r="CQ268" i="17"/>
  <c r="CQ134" i="17"/>
  <c r="CQ269" i="17"/>
  <c r="CT256" i="17" l="1"/>
  <c r="CU227" i="17"/>
  <c r="CT226" i="17"/>
  <c r="CT239" i="17" s="1"/>
  <c r="CQ10" i="17"/>
  <c r="D119" i="2" l="1"/>
  <c r="CU256" i="17"/>
  <c r="CU226" i="17"/>
  <c r="CU239" i="17" s="1"/>
  <c r="CV227" i="17"/>
  <c r="AU119" i="2" l="1"/>
  <c r="E107" i="20"/>
  <c r="V107" i="20" s="1"/>
  <c r="CV256" i="17"/>
  <c r="CW227" i="17"/>
  <c r="CV226" i="17"/>
  <c r="CV239" i="17" s="1"/>
  <c r="CX227" i="17" l="1"/>
  <c r="CY227" i="17" s="1"/>
  <c r="CW256" i="17"/>
  <c r="CW226" i="17"/>
  <c r="CW239" i="17" s="1"/>
  <c r="CY256" i="17" l="1"/>
  <c r="CY226" i="17"/>
  <c r="CZ227" i="17"/>
  <c r="CX256" i="17"/>
  <c r="CX226" i="17"/>
  <c r="CX239" i="17" s="1"/>
  <c r="CY239" i="17" l="1"/>
  <c r="DA227" i="17"/>
  <c r="CZ226" i="17"/>
  <c r="CZ239" i="17" s="1"/>
  <c r="CZ256" i="17"/>
  <c r="DA226" i="17" l="1"/>
  <c r="DA239" i="17" s="1"/>
  <c r="DB227" i="17"/>
  <c r="DA256" i="17"/>
  <c r="DB226" i="17" l="1"/>
  <c r="DB239" i="17" s="1"/>
  <c r="DB256" i="17"/>
  <c r="AB179" i="8" l="1"/>
  <c r="AB86" i="7"/>
  <c r="AB109" i="7"/>
  <c r="AB423" i="7" s="1"/>
  <c r="ED11" i="6"/>
  <c r="AB432" i="7" l="1"/>
  <c r="AB654" i="7"/>
  <c r="AB120" i="7"/>
  <c r="AB182" i="7"/>
  <c r="AB87" i="7"/>
  <c r="AB113" i="7"/>
  <c r="AB123" i="7" s="1"/>
  <c r="AC109" i="7"/>
  <c r="ED60" i="6"/>
  <c r="ED12" i="6"/>
  <c r="ED22" i="6" l="1"/>
  <c r="ED61" i="6"/>
  <c r="AB188" i="7"/>
  <c r="AB356" i="7"/>
  <c r="AB377" i="7"/>
  <c r="AB661" i="7"/>
  <c r="AC113" i="7"/>
  <c r="AC123" i="7" s="1"/>
  <c r="AD109" i="7"/>
  <c r="AE109" i="7" s="1"/>
  <c r="AB437" i="7"/>
  <c r="AC423" i="7"/>
  <c r="AB428" i="7"/>
  <c r="AE113" i="7" l="1"/>
  <c r="AB686" i="7"/>
  <c r="AB460" i="7"/>
  <c r="AB383" i="7"/>
  <c r="ED71" i="6"/>
  <c r="ED29" i="6"/>
  <c r="AD423" i="7"/>
  <c r="AE423" i="7" s="1"/>
  <c r="AD113" i="7"/>
  <c r="AD123" i="7" s="1"/>
  <c r="AB362" i="7"/>
  <c r="AE123" i="7" l="1"/>
  <c r="AB466" i="7"/>
  <c r="ED78" i="6"/>
  <c r="ED34" i="6"/>
  <c r="ED83" i="6" l="1"/>
  <c r="ED39" i="6"/>
  <c r="ED88" i="6" l="1"/>
  <c r="EB30" i="6" l="1"/>
  <c r="AC201" i="7"/>
  <c r="E192" i="2" s="1"/>
  <c r="AB206" i="7"/>
  <c r="AD201" i="7" l="1"/>
  <c r="AC205" i="7"/>
  <c r="E214" i="2" s="1"/>
  <c r="EH30" i="6"/>
  <c r="EB79" i="6"/>
  <c r="EA30" i="6"/>
  <c r="AV192" i="2"/>
  <c r="I342" i="20"/>
  <c r="Z342" i="20" s="1"/>
  <c r="H342" i="20"/>
  <c r="Y342" i="20" s="1"/>
  <c r="I409" i="20"/>
  <c r="Z409" i="20" s="1"/>
  <c r="H409" i="20"/>
  <c r="Y409" i="20" s="1"/>
  <c r="AE201" i="7" l="1"/>
  <c r="ET30" i="6" s="1"/>
  <c r="ES30" i="6" s="1"/>
  <c r="AD198" i="7"/>
  <c r="I408" i="20"/>
  <c r="Z408" i="20" s="1"/>
  <c r="AV214" i="2"/>
  <c r="H408" i="20"/>
  <c r="Y408" i="20" s="1"/>
  <c r="F192" i="2"/>
  <c r="K409" i="20" s="1"/>
  <c r="AB409" i="20" s="1"/>
  <c r="AC625" i="7"/>
  <c r="AC693" i="7"/>
  <c r="AC213" i="7"/>
  <c r="EJ23" i="6"/>
  <c r="AC206" i="7"/>
  <c r="EA79" i="6"/>
  <c r="EF30" i="6"/>
  <c r="EF79" i="6" s="1"/>
  <c r="EH79" i="6"/>
  <c r="EG30" i="6"/>
  <c r="AD205" i="7"/>
  <c r="AD206" i="7" s="1"/>
  <c r="EN30" i="6"/>
  <c r="G192" i="2" l="1"/>
  <c r="L342" i="20" s="1"/>
  <c r="AC342" i="20" s="1"/>
  <c r="AE205" i="7"/>
  <c r="AE206" i="7" s="1"/>
  <c r="ET79" i="6"/>
  <c r="J409" i="20"/>
  <c r="AA409" i="20" s="1"/>
  <c r="AW192" i="2"/>
  <c r="K342" i="20"/>
  <c r="AB342" i="20" s="1"/>
  <c r="J342" i="20"/>
  <c r="AA342" i="20" s="1"/>
  <c r="F214" i="2"/>
  <c r="J408" i="20" s="1"/>
  <c r="AA408" i="20" s="1"/>
  <c r="AD213" i="7"/>
  <c r="AD625" i="7"/>
  <c r="AD693" i="7"/>
  <c r="EP23" i="6"/>
  <c r="EG79" i="6"/>
  <c r="EN79" i="6"/>
  <c r="EM30" i="6"/>
  <c r="ES79" i="6" s="1"/>
  <c r="EJ72" i="6"/>
  <c r="EG23" i="6"/>
  <c r="EG72" i="6" s="1"/>
  <c r="G214" i="2" l="1"/>
  <c r="AX214" i="2" s="1"/>
  <c r="AE625" i="7"/>
  <c r="AE213" i="7"/>
  <c r="L409" i="20"/>
  <c r="AC409" i="20" s="1"/>
  <c r="M409" i="20"/>
  <c r="AD409" i="20" s="1"/>
  <c r="M342" i="20"/>
  <c r="AD342" i="20" s="1"/>
  <c r="AX192" i="2"/>
  <c r="AE693" i="7"/>
  <c r="EV23" i="6"/>
  <c r="EV72" i="6" s="1"/>
  <c r="K408" i="20"/>
  <c r="AB408" i="20" s="1"/>
  <c r="AW214" i="2"/>
  <c r="EM79" i="6"/>
  <c r="EL30" i="6"/>
  <c r="EL79" i="6" s="1"/>
  <c r="EP72" i="6"/>
  <c r="EM23" i="6"/>
  <c r="M408" i="20" l="1"/>
  <c r="AD408" i="20" s="1"/>
  <c r="L408" i="20"/>
  <c r="AC408" i="20" s="1"/>
  <c r="ES23" i="6"/>
  <c r="EX30" i="6" s="1"/>
  <c r="EX79" i="6" s="1"/>
  <c r="EM72" i="6"/>
  <c r="ER30" i="6"/>
  <c r="ER79" i="6" s="1"/>
  <c r="ES72" i="6" l="1"/>
  <c r="AB158" i="8"/>
  <c r="AB213" i="8"/>
  <c r="AC113" i="8"/>
  <c r="AC134" i="8" s="1"/>
  <c r="AB126" i="8"/>
  <c r="AB127" i="8" s="1"/>
  <c r="AB130" i="8" s="1"/>
  <c r="AC117" i="8" l="1"/>
  <c r="AC189" i="8"/>
  <c r="AC211" i="8" s="1"/>
  <c r="AD113" i="8"/>
  <c r="AC158" i="8"/>
  <c r="AC126" i="8"/>
  <c r="AC127" i="8" s="1"/>
  <c r="AC130" i="8" s="1"/>
  <c r="AB196" i="8"/>
  <c r="AB203" i="8" s="1"/>
  <c r="AD158" i="8" l="1"/>
  <c r="AD117" i="8"/>
  <c r="AD126" i="8"/>
  <c r="AD127" i="8" s="1"/>
  <c r="AD189" i="8"/>
  <c r="AE113" i="8"/>
  <c r="AD134" i="8"/>
  <c r="AD211" i="8" l="1"/>
  <c r="AE189" i="8"/>
  <c r="AE117" i="8"/>
  <c r="AE134" i="8"/>
  <c r="AE158" i="8"/>
  <c r="AE126" i="8"/>
  <c r="AE127" i="8" s="1"/>
  <c r="AE196" i="8" l="1"/>
  <c r="AE203" i="8" s="1"/>
  <c r="AE211" i="8"/>
  <c r="AE223" i="8" s="1"/>
  <c r="AB565" i="7"/>
  <c r="AB574" i="7" l="1"/>
  <c r="AB603" i="7"/>
  <c r="AB604" i="7" s="1"/>
  <c r="AB587" i="7"/>
  <c r="AB662" i="7"/>
  <c r="ED46" i="6"/>
  <c r="AB763" i="7"/>
  <c r="AB764" i="7" s="1"/>
  <c r="D229" i="2" l="1"/>
  <c r="AU229" i="2" s="1"/>
  <c r="AB592" i="7"/>
  <c r="AB589" i="7"/>
  <c r="ED95" i="6"/>
  <c r="ED48" i="6"/>
  <c r="D228" i="2"/>
  <c r="D237" i="2" l="1"/>
  <c r="AU237" i="2" s="1"/>
  <c r="AU228" i="2"/>
  <c r="F435" i="20"/>
  <c r="W435" i="20" s="1"/>
  <c r="AC173" i="7"/>
  <c r="AB606" i="7"/>
  <c r="AC174" i="7"/>
  <c r="AC602" i="7"/>
  <c r="ED97" i="6"/>
  <c r="AB594" i="7"/>
  <c r="AB687" i="7"/>
  <c r="AB665" i="7"/>
  <c r="F433" i="20" l="1"/>
  <c r="W433" i="20" s="1"/>
  <c r="AB313" i="12"/>
  <c r="AB307" i="12" s="1"/>
  <c r="AB249" i="12"/>
  <c r="AB250" i="12" s="1"/>
  <c r="AB409" i="12"/>
  <c r="AB421" i="12" s="1"/>
  <c r="EA46" i="6"/>
  <c r="AD212" i="12"/>
  <c r="AB225" i="12"/>
  <c r="DK9" i="11"/>
  <c r="DN9" i="11" s="1"/>
  <c r="AE212" i="12" l="1"/>
  <c r="DP9" i="11"/>
  <c r="DN10" i="11"/>
  <c r="E138" i="2"/>
  <c r="AD213" i="12"/>
  <c r="AD409" i="12"/>
  <c r="AD313" i="12"/>
  <c r="AD307" i="12" s="1"/>
  <c r="AD249" i="12"/>
  <c r="AD231" i="12"/>
  <c r="EM46" i="6"/>
  <c r="EA95" i="6"/>
  <c r="DL9" i="11"/>
  <c r="DK10" i="11"/>
  <c r="DJ9" i="11"/>
  <c r="AC167" i="12"/>
  <c r="E103" i="2" s="1"/>
  <c r="AC213" i="12"/>
  <c r="AC409" i="12"/>
  <c r="AC421" i="12" s="1"/>
  <c r="AC313" i="12"/>
  <c r="AC307" i="12" s="1"/>
  <c r="F138" i="2"/>
  <c r="EG46" i="6"/>
  <c r="AB257" i="12"/>
  <c r="AB266" i="12"/>
  <c r="AB251" i="12"/>
  <c r="AB256" i="12"/>
  <c r="ES46" i="6" l="1"/>
  <c r="ES95" i="6" s="1"/>
  <c r="G138" i="2"/>
  <c r="AX138" i="2" s="1"/>
  <c r="AE249" i="12"/>
  <c r="AE256" i="12" s="1"/>
  <c r="AE409" i="12"/>
  <c r="AE421" i="12" s="1"/>
  <c r="AE213" i="12"/>
  <c r="AE313" i="12"/>
  <c r="AE307" i="12" s="1"/>
  <c r="AE231" i="12"/>
  <c r="DM10" i="11"/>
  <c r="DQ9" i="11"/>
  <c r="DP10" i="11"/>
  <c r="H177" i="20"/>
  <c r="Y177" i="20" s="1"/>
  <c r="H176" i="20"/>
  <c r="Y176" i="20" s="1"/>
  <c r="I176" i="20"/>
  <c r="Z176" i="20" s="1"/>
  <c r="I177" i="20"/>
  <c r="Z177" i="20" s="1"/>
  <c r="AV138" i="2"/>
  <c r="AV103" i="2"/>
  <c r="E286" i="2"/>
  <c r="E306" i="2"/>
  <c r="E307" i="2" s="1"/>
  <c r="H63" i="20" s="1"/>
  <c r="Y63" i="20" s="1"/>
  <c r="E305" i="2"/>
  <c r="AC256" i="12"/>
  <c r="AC266" i="12"/>
  <c r="K177" i="20"/>
  <c r="AB177" i="20" s="1"/>
  <c r="J176" i="20"/>
  <c r="AA176" i="20" s="1"/>
  <c r="K176" i="20"/>
  <c r="AB176" i="20" s="1"/>
  <c r="J177" i="20"/>
  <c r="AA177" i="20" s="1"/>
  <c r="F305" i="2"/>
  <c r="AW138" i="2"/>
  <c r="EM95" i="6"/>
  <c r="AD256" i="12"/>
  <c r="AD250" i="12"/>
  <c r="AD421" i="12"/>
  <c r="AB272" i="12"/>
  <c r="AB269" i="12"/>
  <c r="EG95" i="6"/>
  <c r="DL10" i="11"/>
  <c r="DJ10" i="11"/>
  <c r="DK12" i="11"/>
  <c r="DS9" i="11"/>
  <c r="G305" i="2" l="1"/>
  <c r="L177" i="20"/>
  <c r="AC177" i="20" s="1"/>
  <c r="M176" i="20"/>
  <c r="AD176" i="20" s="1"/>
  <c r="L176" i="20"/>
  <c r="AC176" i="20" s="1"/>
  <c r="M177" i="20"/>
  <c r="AD177" i="20" s="1"/>
  <c r="AE250" i="12"/>
  <c r="AE251" i="12" s="1"/>
  <c r="DQ10" i="11"/>
  <c r="DO10" i="11"/>
  <c r="F226" i="20"/>
  <c r="W226" i="20" s="1"/>
  <c r="H62" i="20"/>
  <c r="Y62" i="20" s="1"/>
  <c r="H154" i="20"/>
  <c r="Y154" i="20" s="1"/>
  <c r="F223" i="20"/>
  <c r="W223" i="20" s="1"/>
  <c r="DU9" i="11"/>
  <c r="DX9" i="11" s="1"/>
  <c r="AD167" i="12"/>
  <c r="F103" i="2" s="1"/>
  <c r="AW103" i="2" s="1"/>
  <c r="DS10" i="11"/>
  <c r="DJ12" i="11"/>
  <c r="DK14" i="11"/>
  <c r="DL12" i="11"/>
  <c r="AD251" i="12"/>
  <c r="AD257" i="12"/>
  <c r="AD266" i="12"/>
  <c r="AC251" i="12"/>
  <c r="AC257" i="12"/>
  <c r="AE257" i="12" l="1"/>
  <c r="AE266" i="12"/>
  <c r="AE272" i="12" s="1"/>
  <c r="F286" i="2"/>
  <c r="I154" i="20" s="1"/>
  <c r="Z154" i="20" s="1"/>
  <c r="F306" i="2"/>
  <c r="F307" i="2" s="1"/>
  <c r="G226" i="20" s="1"/>
  <c r="X226" i="20" s="1"/>
  <c r="AE167" i="12"/>
  <c r="DZ9" i="11"/>
  <c r="DX10" i="11"/>
  <c r="AC272" i="12"/>
  <c r="AD272" i="12"/>
  <c r="DJ14" i="11"/>
  <c r="DL14" i="11"/>
  <c r="DR10" i="11"/>
  <c r="AD61" i="12" s="1"/>
  <c r="AD55" i="12"/>
  <c r="DV9" i="11"/>
  <c r="DU10" i="11"/>
  <c r="G103" i="2" l="1"/>
  <c r="G286" i="2" s="1"/>
  <c r="G223" i="20"/>
  <c r="X223" i="20" s="1"/>
  <c r="I62" i="20"/>
  <c r="Z62" i="20" s="1"/>
  <c r="I63" i="20"/>
  <c r="Z63" i="20" s="1"/>
  <c r="DW10" i="11"/>
  <c r="AE61" i="12" s="1"/>
  <c r="AE55" i="12"/>
  <c r="EA9" i="11"/>
  <c r="DZ10" i="11"/>
  <c r="DT10" i="11"/>
  <c r="DV10" i="11"/>
  <c r="AX103" i="2" l="1"/>
  <c r="G306" i="2"/>
  <c r="G307" i="2" s="1"/>
  <c r="J63" i="20" s="1"/>
  <c r="AA63" i="20" s="1"/>
  <c r="J154" i="20"/>
  <c r="AA154" i="20" s="1"/>
  <c r="J62" i="20"/>
  <c r="AA62" i="20" s="1"/>
  <c r="H223" i="20"/>
  <c r="Y223" i="20" s="1"/>
  <c r="EA10" i="11"/>
  <c r="DY10" i="11"/>
  <c r="H226" i="20" l="1"/>
  <c r="Y226" i="20" s="1"/>
  <c r="D175" i="2" l="1"/>
  <c r="F303" i="20" s="1"/>
  <c r="W303" i="20" s="1"/>
  <c r="AB9" i="8"/>
  <c r="AC21" i="8"/>
  <c r="AU175" i="2" l="1"/>
  <c r="AC9" i="8"/>
  <c r="AB6" i="8"/>
  <c r="AC6" i="8"/>
  <c r="AD5" i="8"/>
  <c r="E303" i="20"/>
  <c r="V303" i="20" s="1"/>
  <c r="E175" i="2"/>
  <c r="AE5" i="8" l="1"/>
  <c r="F175" i="2"/>
  <c r="AD6" i="8"/>
  <c r="AD21" i="8"/>
  <c r="AD9" i="8"/>
  <c r="AV175" i="2"/>
  <c r="G303" i="20"/>
  <c r="X303" i="20" s="1"/>
  <c r="AW175" i="2" l="1"/>
  <c r="J303" i="20"/>
  <c r="AA303" i="20" s="1"/>
  <c r="I303" i="20"/>
  <c r="Z303" i="20" s="1"/>
  <c r="AE6" i="8"/>
  <c r="AE21" i="8"/>
  <c r="G175" i="2"/>
  <c r="AE9" i="8"/>
  <c r="K303" i="20" l="1"/>
  <c r="AB303" i="20" s="1"/>
  <c r="AX175" i="2"/>
  <c r="L303" i="20"/>
  <c r="AC303" i="20" s="1"/>
  <c r="AB47" i="8"/>
  <c r="AB69" i="8" s="1"/>
  <c r="AC51" i="8" l="1"/>
  <c r="AC58" i="8"/>
  <c r="AD30" i="8"/>
  <c r="AB70" i="8"/>
  <c r="AC49" i="8" l="1"/>
  <c r="AE30" i="8"/>
  <c r="AD58" i="8"/>
  <c r="AD32" i="8"/>
  <c r="AD49" i="8" s="1"/>
  <c r="E163" i="2"/>
  <c r="AV163" i="2" s="1"/>
  <c r="AC60" i="8"/>
  <c r="AC77" i="8"/>
  <c r="AC100" i="8" l="1"/>
  <c r="AC244" i="8"/>
  <c r="E159" i="2"/>
  <c r="AC28" i="8"/>
  <c r="AC62" i="8"/>
  <c r="AE58" i="8"/>
  <c r="AE32" i="8"/>
  <c r="AE49" i="8" s="1"/>
  <c r="AC82" i="8"/>
  <c r="AC102" i="8"/>
  <c r="F163" i="2"/>
  <c r="AW163" i="2" s="1"/>
  <c r="AD77" i="8"/>
  <c r="AD60" i="8"/>
  <c r="AD34" i="8"/>
  <c r="AC78" i="8" l="1"/>
  <c r="G163" i="2"/>
  <c r="AX163" i="2" s="1"/>
  <c r="AE60" i="8"/>
  <c r="AE77" i="8"/>
  <c r="AE34" i="8"/>
  <c r="AV159" i="2"/>
  <c r="F31" i="20"/>
  <c r="W31" i="20" s="1"/>
  <c r="I279" i="20"/>
  <c r="Z279" i="20" s="1"/>
  <c r="H279" i="20"/>
  <c r="Y279" i="20" s="1"/>
  <c r="AD100" i="8"/>
  <c r="F159" i="2"/>
  <c r="AD62" i="8"/>
  <c r="AD51" i="8"/>
  <c r="AD52" i="8" s="1"/>
  <c r="AD35" i="8" s="1"/>
  <c r="AD244" i="8"/>
  <c r="AD102" i="8"/>
  <c r="AD82" i="8"/>
  <c r="AD63" i="8" l="1"/>
  <c r="AD78" i="8"/>
  <c r="AE82" i="8"/>
  <c r="AE102" i="8"/>
  <c r="AC83" i="8"/>
  <c r="AC79" i="8"/>
  <c r="AC53" i="8"/>
  <c r="AC64" i="8"/>
  <c r="AC37" i="8"/>
  <c r="E179" i="2"/>
  <c r="AD36" i="8"/>
  <c r="AD28" i="8" s="1"/>
  <c r="G31" i="20"/>
  <c r="X31" i="20" s="1"/>
  <c r="AW159" i="2"/>
  <c r="K279" i="20"/>
  <c r="AB279" i="20" s="1"/>
  <c r="J279" i="20"/>
  <c r="AA279" i="20" s="1"/>
  <c r="AE100" i="8"/>
  <c r="AE62" i="8"/>
  <c r="AE51" i="8"/>
  <c r="AE52" i="8" s="1"/>
  <c r="AE35" i="8" s="1"/>
  <c r="AE244" i="8"/>
  <c r="G159" i="2"/>
  <c r="AE63" i="8" l="1"/>
  <c r="AE78" i="8"/>
  <c r="AE36" i="8"/>
  <c r="AE28" i="8" s="1"/>
  <c r="AD83" i="8"/>
  <c r="AD79" i="8"/>
  <c r="AD53" i="8"/>
  <c r="AD64" i="8"/>
  <c r="AD38" i="8"/>
  <c r="AD39" i="8" s="1"/>
  <c r="AD37" i="8"/>
  <c r="F179" i="2"/>
  <c r="AC54" i="8"/>
  <c r="AC39" i="8"/>
  <c r="AC40" i="8"/>
  <c r="E178" i="2"/>
  <c r="AC84" i="8"/>
  <c r="E183" i="2"/>
  <c r="G309" i="20" s="1"/>
  <c r="X309" i="20" s="1"/>
  <c r="G307" i="20"/>
  <c r="X307" i="20" s="1"/>
  <c r="AV179" i="2"/>
  <c r="G310" i="20"/>
  <c r="X310" i="20" s="1"/>
  <c r="H307" i="20"/>
  <c r="Y307" i="20" s="1"/>
  <c r="AX159" i="2"/>
  <c r="L279" i="20"/>
  <c r="AC279" i="20" s="1"/>
  <c r="H31" i="20"/>
  <c r="Y31" i="20" s="1"/>
  <c r="M279" i="20"/>
  <c r="AD279" i="20" s="1"/>
  <c r="H309" i="20" l="1"/>
  <c r="Y309" i="20" s="1"/>
  <c r="J307" i="20"/>
  <c r="AA307" i="20" s="1"/>
  <c r="I307" i="20"/>
  <c r="Z307" i="20" s="1"/>
  <c r="AW179" i="2"/>
  <c r="I310" i="20"/>
  <c r="Z310" i="20" s="1"/>
  <c r="AV183" i="2"/>
  <c r="H308" i="20"/>
  <c r="Y308" i="20" s="1"/>
  <c r="G308" i="20"/>
  <c r="X308" i="20" s="1"/>
  <c r="G306" i="20"/>
  <c r="X306" i="20" s="1"/>
  <c r="AV178" i="2"/>
  <c r="G305" i="20"/>
  <c r="X305" i="20" s="1"/>
  <c r="H305" i="20"/>
  <c r="Y305" i="20" s="1"/>
  <c r="H311" i="20"/>
  <c r="Y311" i="20" s="1"/>
  <c r="G312" i="20"/>
  <c r="X312" i="20" s="1"/>
  <c r="G311" i="20"/>
  <c r="X311" i="20" s="1"/>
  <c r="AD65" i="8"/>
  <c r="AD40" i="8" s="1"/>
  <c r="F178" i="2"/>
  <c r="AD54" i="8"/>
  <c r="AC42" i="8"/>
  <c r="AC41" i="8"/>
  <c r="AD84" i="8"/>
  <c r="F183" i="2"/>
  <c r="J308" i="20" s="1"/>
  <c r="AA308" i="20" s="1"/>
  <c r="AE37" i="8"/>
  <c r="AE53" i="8"/>
  <c r="AE38" i="8"/>
  <c r="AE64" i="8"/>
  <c r="G179" i="2"/>
  <c r="AE83" i="8"/>
  <c r="AE79" i="8"/>
  <c r="I308" i="20" l="1"/>
  <c r="Z308" i="20" s="1"/>
  <c r="J309" i="20"/>
  <c r="AA309" i="20" s="1"/>
  <c r="I309" i="20"/>
  <c r="Z309" i="20" s="1"/>
  <c r="AE54" i="8"/>
  <c r="AE39" i="8"/>
  <c r="G178" i="2"/>
  <c r="AE65" i="8"/>
  <c r="AE40" i="8" s="1"/>
  <c r="AW178" i="2"/>
  <c r="J305" i="20"/>
  <c r="AA305" i="20" s="1"/>
  <c r="I306" i="20"/>
  <c r="Z306" i="20" s="1"/>
  <c r="J311" i="20"/>
  <c r="AA311" i="20" s="1"/>
  <c r="I312" i="20"/>
  <c r="Z312" i="20" s="1"/>
  <c r="I305" i="20"/>
  <c r="Z305" i="20" s="1"/>
  <c r="I311" i="20"/>
  <c r="Z311" i="20" s="1"/>
  <c r="AE84" i="8"/>
  <c r="G183" i="2"/>
  <c r="AX183" i="2" s="1"/>
  <c r="K307" i="20"/>
  <c r="AB307" i="20" s="1"/>
  <c r="K310" i="20"/>
  <c r="AB310" i="20" s="1"/>
  <c r="L307" i="20"/>
  <c r="AC307" i="20" s="1"/>
  <c r="AX179" i="2"/>
  <c r="AW183" i="2"/>
  <c r="AD41" i="8"/>
  <c r="AD42" i="8"/>
  <c r="K308" i="20" l="1"/>
  <c r="AB308" i="20" s="1"/>
  <c r="L308" i="20"/>
  <c r="AC308" i="20" s="1"/>
  <c r="K309" i="20"/>
  <c r="AB309" i="20" s="1"/>
  <c r="L309" i="20"/>
  <c r="AC309" i="20" s="1"/>
  <c r="AX178" i="2"/>
  <c r="K311" i="20"/>
  <c r="AB311" i="20" s="1"/>
  <c r="L311" i="20"/>
  <c r="AC311" i="20" s="1"/>
  <c r="K306" i="20"/>
  <c r="AB306" i="20" s="1"/>
  <c r="K305" i="20"/>
  <c r="AB305" i="20" s="1"/>
  <c r="L305" i="20"/>
  <c r="AC305" i="20" s="1"/>
  <c r="K312" i="20"/>
  <c r="AB312" i="20" s="1"/>
  <c r="AE41" i="8"/>
  <c r="AE42" i="8"/>
  <c r="EB11" i="6" l="1"/>
  <c r="AB215" i="8"/>
  <c r="EB60" i="6" l="1"/>
  <c r="EC11" i="6"/>
  <c r="EC60" i="6" s="1"/>
  <c r="AB222" i="8"/>
  <c r="D203" i="2"/>
  <c r="EA11" i="6" l="1"/>
  <c r="AU203" i="2"/>
  <c r="F378" i="20"/>
  <c r="W378" i="20" s="1"/>
  <c r="G378" i="20"/>
  <c r="X378" i="20" s="1"/>
  <c r="EA60" i="6" l="1"/>
  <c r="EP11" i="6" l="1"/>
  <c r="AD179" i="8"/>
  <c r="AD213" i="8"/>
  <c r="AD418" i="7"/>
  <c r="AD83" i="7"/>
  <c r="F220" i="2"/>
  <c r="AD87" i="7" l="1"/>
  <c r="EP8" i="6"/>
  <c r="AD85" i="7"/>
  <c r="AD654" i="7"/>
  <c r="AD86" i="7"/>
  <c r="AW220" i="2"/>
  <c r="J480" i="20"/>
  <c r="AA480" i="20" s="1"/>
  <c r="J415" i="20"/>
  <c r="AA415" i="20" s="1"/>
  <c r="AE179" i="8"/>
  <c r="EV11" i="6"/>
  <c r="EV60" i="6" s="1"/>
  <c r="AE213" i="8"/>
  <c r="G220" i="2"/>
  <c r="AE83" i="7"/>
  <c r="AE86" i="7" s="1"/>
  <c r="AE418" i="7"/>
  <c r="AE432" i="7" l="1"/>
  <c r="AE654" i="7"/>
  <c r="EP12" i="6"/>
  <c r="AE85" i="7"/>
  <c r="AE87" i="7"/>
  <c r="AE94" i="7"/>
  <c r="EV8" i="6"/>
  <c r="M415" i="20"/>
  <c r="AD415" i="20" s="1"/>
  <c r="M480" i="20"/>
  <c r="AD480" i="20" s="1"/>
  <c r="L415" i="20"/>
  <c r="AC415" i="20" s="1"/>
  <c r="L480" i="20"/>
  <c r="AC480" i="20" s="1"/>
  <c r="AX220" i="2"/>
  <c r="EV12" i="6" l="1"/>
  <c r="EV57" i="6"/>
  <c r="EV61" i="6" l="1"/>
  <c r="D249" i="2" l="1"/>
  <c r="AU249" i="2" s="1"/>
  <c r="G536" i="20" l="1"/>
  <c r="X536" i="20" s="1"/>
  <c r="F536" i="20"/>
  <c r="W536" i="20" s="1"/>
  <c r="E537" i="20"/>
  <c r="V537" i="20" s="1"/>
  <c r="E249" i="2" l="1"/>
  <c r="AD289" i="12"/>
  <c r="DU95" i="11"/>
  <c r="DU94" i="11" s="1"/>
  <c r="DK97" i="11"/>
  <c r="DL97" i="11" l="1"/>
  <c r="DZ95" i="11"/>
  <c r="DZ94" i="11" s="1"/>
  <c r="AE289" i="12"/>
  <c r="F249" i="2"/>
  <c r="I536" i="20"/>
  <c r="Z536" i="20" s="1"/>
  <c r="H536" i="20"/>
  <c r="Y536" i="20" s="1"/>
  <c r="AV249" i="2"/>
  <c r="DZ97" i="11" l="1"/>
  <c r="EA94" i="11"/>
  <c r="J536" i="20"/>
  <c r="AA536" i="20" s="1"/>
  <c r="AW249" i="2"/>
  <c r="K536" i="20"/>
  <c r="AB536" i="20" s="1"/>
  <c r="DU97" i="11"/>
  <c r="D247" i="2"/>
  <c r="G249" i="2"/>
  <c r="AX249" i="2" l="1"/>
  <c r="L536" i="20"/>
  <c r="AC536" i="20" s="1"/>
  <c r="M536" i="20"/>
  <c r="AD536" i="20" s="1"/>
  <c r="F535" i="20"/>
  <c r="W535" i="20" s="1"/>
  <c r="F537" i="20"/>
  <c r="W537" i="20" s="1"/>
  <c r="G535" i="20"/>
  <c r="X535" i="20" s="1"/>
  <c r="G537" i="20"/>
  <c r="X537" i="20" s="1"/>
  <c r="E535" i="20"/>
  <c r="V535" i="20" s="1"/>
  <c r="AU247" i="2"/>
  <c r="F542" i="20"/>
  <c r="W542" i="20" s="1"/>
  <c r="E536" i="20"/>
  <c r="V536" i="20" s="1"/>
  <c r="EA97" i="11"/>
  <c r="AE293" i="12"/>
  <c r="EB9" i="6" l="1"/>
  <c r="AB14" i="7"/>
  <c r="EB58" i="6" l="1"/>
  <c r="EA9" i="6"/>
  <c r="EF16" i="6" l="1"/>
  <c r="EF65" i="6" s="1"/>
  <c r="EA58" i="6"/>
  <c r="AC257" i="7" l="1"/>
  <c r="AC728" i="7" s="1"/>
  <c r="AC732" i="7" s="1"/>
  <c r="AB728" i="7"/>
  <c r="AB732" i="7" s="1"/>
  <c r="D206" i="2" s="1"/>
  <c r="AB271" i="7"/>
  <c r="EB31" i="6"/>
  <c r="AB262" i="7"/>
  <c r="AB712" i="7"/>
  <c r="AB715" i="7" s="1"/>
  <c r="EC24" i="6"/>
  <c r="AC259" i="7" l="1"/>
  <c r="AC262" i="7" s="1"/>
  <c r="EI24" i="6"/>
  <c r="AD257" i="7"/>
  <c r="EA31" i="6"/>
  <c r="EB80" i="6"/>
  <c r="D193" i="2"/>
  <c r="E206" i="2"/>
  <c r="EC73" i="6"/>
  <c r="EA24" i="6"/>
  <c r="EA73" i="6" s="1"/>
  <c r="AU206" i="2"/>
  <c r="F381" i="20"/>
  <c r="W381" i="20" s="1"/>
  <c r="G381" i="20"/>
  <c r="X381" i="20" s="1"/>
  <c r="AC712" i="7" l="1"/>
  <c r="AC715" i="7" s="1"/>
  <c r="E193" i="2" s="1"/>
  <c r="AC271" i="7"/>
  <c r="EH31" i="6"/>
  <c r="EH80" i="6" s="1"/>
  <c r="AE257" i="7"/>
  <c r="AE728" i="7" s="1"/>
  <c r="AE732" i="7" s="1"/>
  <c r="EO24" i="6"/>
  <c r="EO73" i="6" s="1"/>
  <c r="AD259" i="7"/>
  <c r="AD262" i="7" s="1"/>
  <c r="AD728" i="7"/>
  <c r="AD732" i="7" s="1"/>
  <c r="EG24" i="6"/>
  <c r="EG73" i="6" s="1"/>
  <c r="EI73" i="6"/>
  <c r="I381" i="20"/>
  <c r="Z381" i="20" s="1"/>
  <c r="H381" i="20"/>
  <c r="Y381" i="20" s="1"/>
  <c r="AV206" i="2"/>
  <c r="EA80" i="6"/>
  <c r="EF31" i="6"/>
  <c r="EF80" i="6" s="1"/>
  <c r="AU193" i="2"/>
  <c r="F343" i="20"/>
  <c r="W343" i="20" s="1"/>
  <c r="G343" i="20"/>
  <c r="X343" i="20" s="1"/>
  <c r="EG31" i="6" l="1"/>
  <c r="EL31" i="6" s="1"/>
  <c r="EL80" i="6" s="1"/>
  <c r="AE259" i="7"/>
  <c r="AE262" i="7" s="1"/>
  <c r="F206" i="2"/>
  <c r="J381" i="20" s="1"/>
  <c r="AA381" i="20" s="1"/>
  <c r="EU24" i="6"/>
  <c r="AD712" i="7"/>
  <c r="AD715" i="7" s="1"/>
  <c r="EM24" i="6"/>
  <c r="EM73" i="6" s="1"/>
  <c r="EN31" i="6"/>
  <c r="EM31" i="6" s="1"/>
  <c r="AD271" i="7"/>
  <c r="G206" i="2"/>
  <c r="AV193" i="2"/>
  <c r="H343" i="20"/>
  <c r="Y343" i="20" s="1"/>
  <c r="I343" i="20"/>
  <c r="Z343" i="20" s="1"/>
  <c r="F193" i="2" l="1"/>
  <c r="AW193" i="2" s="1"/>
  <c r="AE712" i="7"/>
  <c r="AE715" i="7" s="1"/>
  <c r="ET31" i="6"/>
  <c r="K381" i="20"/>
  <c r="AB381" i="20" s="1"/>
  <c r="AW206" i="2"/>
  <c r="EG80" i="6"/>
  <c r="ES24" i="6"/>
  <c r="ES73" i="6" s="1"/>
  <c r="EU73" i="6"/>
  <c r="AE271" i="7"/>
  <c r="EN80" i="6"/>
  <c r="L381" i="20"/>
  <c r="AC381" i="20" s="1"/>
  <c r="AX206" i="2"/>
  <c r="M381" i="20"/>
  <c r="AD381" i="20" s="1"/>
  <c r="EM80" i="6"/>
  <c r="ER31" i="6"/>
  <c r="ER80" i="6" s="1"/>
  <c r="J343" i="20" l="1"/>
  <c r="AA343" i="20" s="1"/>
  <c r="K343" i="20"/>
  <c r="AB343" i="20" s="1"/>
  <c r="G193" i="2"/>
  <c r="ET80" i="6"/>
  <c r="ES31" i="6"/>
  <c r="ES80" i="6" s="1"/>
  <c r="L343" i="20" l="1"/>
  <c r="AC343" i="20" s="1"/>
  <c r="M343" i="20"/>
  <c r="AD343" i="20" s="1"/>
  <c r="AX193" i="2"/>
  <c r="EX31" i="6"/>
  <c r="EX80" i="6" s="1"/>
  <c r="CS333" i="17" l="1"/>
  <c r="F267" i="2"/>
  <c r="AW267" i="2" s="1"/>
  <c r="CS282" i="17"/>
  <c r="CT295" i="17" l="1"/>
  <c r="CS316" i="17"/>
  <c r="CS317" i="17" s="1"/>
  <c r="CS318" i="17" s="1"/>
  <c r="CW277" i="17"/>
  <c r="CT290" i="17"/>
  <c r="CS285" i="17"/>
  <c r="CS319" i="17" s="1"/>
  <c r="CS320" i="17" s="1"/>
  <c r="G118" i="20"/>
  <c r="X118" i="20" s="1"/>
  <c r="CT324" i="17" l="1"/>
  <c r="AC378" i="12"/>
  <c r="CT301" i="17"/>
  <c r="CT298" i="17"/>
  <c r="CW285" i="17"/>
  <c r="CW319" i="17" s="1"/>
  <c r="CW320" i="17" s="1"/>
  <c r="CX290" i="17"/>
  <c r="CW282" i="17"/>
  <c r="CW316" i="17" s="1"/>
  <c r="CW317" i="17" s="1"/>
  <c r="CW318" i="17" s="1"/>
  <c r="DA277" i="17"/>
  <c r="CS338" i="17"/>
  <c r="CS283" i="17"/>
  <c r="F125" i="2" l="1"/>
  <c r="DB290" i="17"/>
  <c r="DA285" i="17"/>
  <c r="DA282" i="17"/>
  <c r="AD378" i="12"/>
  <c r="CX324" i="17"/>
  <c r="CX298" i="17"/>
  <c r="E272" i="2"/>
  <c r="CS284" i="17"/>
  <c r="CT296" i="17"/>
  <c r="CT329" i="17" s="1"/>
  <c r="CV296" i="17"/>
  <c r="AD128" i="8" s="1"/>
  <c r="AD129" i="8" s="1"/>
  <c r="AD130" i="8" s="1"/>
  <c r="CX295" i="17"/>
  <c r="CX301" i="17" s="1"/>
  <c r="CS286" i="17"/>
  <c r="CS321" i="17" l="1"/>
  <c r="F266" i="2"/>
  <c r="CW338" i="17"/>
  <c r="CS287" i="17"/>
  <c r="CT299" i="17"/>
  <c r="CT330" i="17" s="1"/>
  <c r="CW286" i="17"/>
  <c r="CV299" i="17"/>
  <c r="CW283" i="17"/>
  <c r="F272" i="2"/>
  <c r="DB295" i="17"/>
  <c r="DB301" i="17" s="1"/>
  <c r="DA316" i="17"/>
  <c r="DB324" i="17"/>
  <c r="AE378" i="12"/>
  <c r="CT297" i="17"/>
  <c r="AC383" i="12"/>
  <c r="DO41" i="11"/>
  <c r="AV272" i="2"/>
  <c r="F243" i="20"/>
  <c r="W243" i="20" s="1"/>
  <c r="CW321" i="17"/>
  <c r="J266" i="2"/>
  <c r="DB298" i="17"/>
  <c r="DA319" i="17"/>
  <c r="DA320" i="17" s="1"/>
  <c r="G117" i="20"/>
  <c r="X117" i="20" s="1"/>
  <c r="AW125" i="2"/>
  <c r="DP41" i="11" l="1"/>
  <c r="K123" i="20"/>
  <c r="AB123" i="20" s="1"/>
  <c r="BA266" i="2"/>
  <c r="DO42" i="11"/>
  <c r="DA338" i="17"/>
  <c r="DA317" i="17"/>
  <c r="AW272" i="2"/>
  <c r="G243" i="20"/>
  <c r="X243" i="20" s="1"/>
  <c r="CW284" i="17"/>
  <c r="DA283" i="17"/>
  <c r="CX296" i="17"/>
  <c r="CZ296" i="17"/>
  <c r="AE128" i="8" s="1"/>
  <c r="AE129" i="8" s="1"/>
  <c r="AE130" i="8" s="1"/>
  <c r="CW287" i="17"/>
  <c r="CZ299" i="17"/>
  <c r="CX299" i="17"/>
  <c r="DA286" i="17"/>
  <c r="J125" i="2"/>
  <c r="G123" i="20"/>
  <c r="X123" i="20" s="1"/>
  <c r="AW266" i="2"/>
  <c r="DA321" i="17"/>
  <c r="N266" i="2"/>
  <c r="G272" i="2"/>
  <c r="CT300" i="17"/>
  <c r="AC384" i="12"/>
  <c r="O123" i="20" l="1"/>
  <c r="AF123" i="20" s="1"/>
  <c r="BE266" i="2"/>
  <c r="E277" i="2"/>
  <c r="AX272" i="2"/>
  <c r="H243" i="20"/>
  <c r="Y243" i="20" s="1"/>
  <c r="CX300" i="17"/>
  <c r="AD384" i="12"/>
  <c r="CX330" i="17"/>
  <c r="CX297" i="17"/>
  <c r="AD383" i="12"/>
  <c r="CX329" i="17"/>
  <c r="DT41" i="11" s="1"/>
  <c r="DU41" i="11" s="1"/>
  <c r="DP42" i="11"/>
  <c r="AC367" i="12"/>
  <c r="AC362" i="12" s="1"/>
  <c r="BA125" i="2"/>
  <c r="K117" i="20"/>
  <c r="AB117" i="20" s="1"/>
  <c r="DB299" i="17"/>
  <c r="DA287" i="17"/>
  <c r="DA284" i="17"/>
  <c r="DB296" i="17"/>
  <c r="DA318" i="17"/>
  <c r="N125" i="2"/>
  <c r="E154" i="2"/>
  <c r="BE125" i="2" l="1"/>
  <c r="O117" i="20"/>
  <c r="AF117" i="20" s="1"/>
  <c r="DB300" i="17"/>
  <c r="DB330" i="17"/>
  <c r="AE384" i="12"/>
  <c r="E155" i="2"/>
  <c r="AD368" i="12"/>
  <c r="AD363" i="12" s="1"/>
  <c r="DT42" i="11"/>
  <c r="AD367" i="12" s="1"/>
  <c r="AD362" i="12" s="1"/>
  <c r="F277" i="2"/>
  <c r="AV277" i="2"/>
  <c r="F248" i="20"/>
  <c r="W248" i="20" s="1"/>
  <c r="AV154" i="2"/>
  <c r="F37" i="20"/>
  <c r="W37" i="20" s="1"/>
  <c r="F242" i="20"/>
  <c r="W242" i="20" s="1"/>
  <c r="DB297" i="17"/>
  <c r="DB329" i="17"/>
  <c r="DY41" i="11" s="1"/>
  <c r="AE383" i="12"/>
  <c r="DU42" i="11" l="1"/>
  <c r="F155" i="2"/>
  <c r="AE368" i="12"/>
  <c r="AE363" i="12" s="1"/>
  <c r="DY42" i="11"/>
  <c r="AE367" i="12" s="1"/>
  <c r="AE362" i="12" s="1"/>
  <c r="F154" i="2"/>
  <c r="AV155" i="2"/>
  <c r="F38" i="20"/>
  <c r="W38" i="20" s="1"/>
  <c r="G277" i="2"/>
  <c r="G248" i="20"/>
  <c r="X248" i="20" s="1"/>
  <c r="AW277" i="2"/>
  <c r="DZ41" i="11"/>
  <c r="G155" i="2" l="1"/>
  <c r="G154" i="2"/>
  <c r="AX277" i="2"/>
  <c r="H248" i="20"/>
  <c r="Y248" i="20" s="1"/>
  <c r="DZ42" i="11"/>
  <c r="G242" i="20"/>
  <c r="X242" i="20" s="1"/>
  <c r="AW154" i="2"/>
  <c r="G37" i="20"/>
  <c r="X37" i="20" s="1"/>
  <c r="G38" i="20"/>
  <c r="X38" i="20" s="1"/>
  <c r="AW155" i="2"/>
  <c r="H242" i="20" l="1"/>
  <c r="Y242" i="20" s="1"/>
  <c r="AX154" i="2"/>
  <c r="H37" i="20"/>
  <c r="Y37" i="20" s="1"/>
  <c r="H38" i="20"/>
  <c r="Y38" i="20" s="1"/>
  <c r="AX155" i="2"/>
  <c r="AC174" i="8" l="1"/>
  <c r="AB174" i="8"/>
  <c r="AB181" i="8" l="1"/>
  <c r="EB13" i="6"/>
  <c r="EE11" i="6"/>
  <c r="AB226" i="8"/>
  <c r="AB225" i="8"/>
  <c r="AB768" i="7"/>
  <c r="AB772" i="7" s="1"/>
  <c r="D187" i="2"/>
  <c r="AC225" i="8"/>
  <c r="AB218" i="8" l="1"/>
  <c r="F338" i="20"/>
  <c r="W338" i="20" s="1"/>
  <c r="G338" i="20"/>
  <c r="X338" i="20" s="1"/>
  <c r="AU187" i="2"/>
  <c r="EE60" i="6"/>
  <c r="EK60" i="6"/>
  <c r="D240" i="2"/>
  <c r="AB795" i="7"/>
  <c r="AB773" i="7"/>
  <c r="AB774" i="7" s="1"/>
  <c r="AB464" i="12"/>
  <c r="T15" i="21"/>
  <c r="AB461" i="12"/>
  <c r="EA13" i="6"/>
  <c r="EB62" i="6"/>
  <c r="AU240" i="2" l="1"/>
  <c r="E510" i="20"/>
  <c r="V510" i="20" s="1"/>
  <c r="F191" i="20"/>
  <c r="W191" i="20" s="1"/>
  <c r="E511" i="20"/>
  <c r="V511" i="20" s="1"/>
  <c r="E514" i="20"/>
  <c r="V514" i="20" s="1"/>
  <c r="AB153" i="7"/>
  <c r="T21" i="21"/>
  <c r="T19" i="21"/>
  <c r="EA62" i="6"/>
  <c r="EF13" i="6"/>
  <c r="EF62" i="6" s="1"/>
  <c r="T22" i="21" l="1"/>
  <c r="T60" i="21" s="1"/>
  <c r="T64" i="21" l="1"/>
  <c r="T40" i="21" s="1"/>
  <c r="AB575" i="7" l="1"/>
  <c r="T44" i="21"/>
  <c r="T66" i="21"/>
  <c r="CS183" i="17" l="1"/>
  <c r="CS190" i="17" l="1"/>
  <c r="CS250" i="17"/>
  <c r="CS12" i="17"/>
  <c r="F121" i="2" s="1"/>
  <c r="CS189" i="17"/>
  <c r="CS191" i="17"/>
  <c r="CS170" i="17"/>
  <c r="CS199" i="17"/>
  <c r="CT172" i="17" l="1"/>
  <c r="CT185" i="17" s="1"/>
  <c r="CT250" i="17"/>
  <c r="CS169" i="17"/>
  <c r="CS182" i="17" s="1"/>
  <c r="CT170" i="17"/>
  <c r="CT189" i="17"/>
  <c r="CT199" i="17"/>
  <c r="CU250" i="17"/>
  <c r="AW121" i="2"/>
  <c r="G110" i="20"/>
  <c r="X110" i="20" s="1"/>
  <c r="CT191" i="17" l="1"/>
  <c r="DD12" i="17"/>
  <c r="DM89" i="11"/>
  <c r="CT169" i="17"/>
  <c r="CT182" i="17" s="1"/>
  <c r="CU170" i="17"/>
  <c r="CU189" i="17"/>
  <c r="CU199" i="17"/>
  <c r="CU190" i="17"/>
  <c r="CV171" i="17"/>
  <c r="CV250" i="17" l="1"/>
  <c r="CV189" i="17"/>
  <c r="CV191" i="17"/>
  <c r="CV199" i="17"/>
  <c r="CW171" i="17"/>
  <c r="CV170" i="17"/>
  <c r="CU169" i="17"/>
  <c r="CU182" i="17" s="1"/>
  <c r="CV190" i="17"/>
  <c r="CW190" i="17" l="1"/>
  <c r="CW250" i="17"/>
  <c r="CW191" i="17"/>
  <c r="CW199" i="17"/>
  <c r="CX171" i="17"/>
  <c r="CX250" i="17" s="1"/>
  <c r="CW189" i="17"/>
  <c r="CV169" i="17"/>
  <c r="CV182" i="17" s="1"/>
  <c r="CW170" i="17"/>
  <c r="CX172" i="17" l="1"/>
  <c r="CX185" i="17" s="1"/>
  <c r="CW169" i="17"/>
  <c r="CW182" i="17" s="1"/>
  <c r="CX170" i="17"/>
  <c r="CX199" i="17"/>
  <c r="CX189" i="17"/>
  <c r="CY171" i="17"/>
  <c r="CY250" i="17" s="1"/>
  <c r="CX191" i="17" l="1"/>
  <c r="CY189" i="17"/>
  <c r="CY199" i="17"/>
  <c r="CY190" i="17"/>
  <c r="CZ171" i="17"/>
  <c r="CX169" i="17"/>
  <c r="CX182" i="17" s="1"/>
  <c r="CY170" i="17"/>
  <c r="CZ190" i="17" l="1"/>
  <c r="CZ250" i="17"/>
  <c r="DR89" i="11"/>
  <c r="DF12" i="17"/>
  <c r="CZ189" i="17"/>
  <c r="CZ199" i="17"/>
  <c r="CZ191" i="17"/>
  <c r="DA171" i="17"/>
  <c r="DA250" i="17" s="1"/>
  <c r="CY169" i="17"/>
  <c r="CY182" i="17" s="1"/>
  <c r="CZ170" i="17"/>
  <c r="DA191" i="17" l="1"/>
  <c r="DA189" i="17"/>
  <c r="DB171" i="17"/>
  <c r="DB250" i="17" s="1"/>
  <c r="DA199" i="17"/>
  <c r="DA190" i="17"/>
  <c r="DA170" i="17"/>
  <c r="CZ169" i="17"/>
  <c r="CZ182" i="17" s="1"/>
  <c r="DA169" i="17" l="1"/>
  <c r="DA182" i="17" s="1"/>
  <c r="DB170" i="17"/>
  <c r="DB169" i="17" s="1"/>
  <c r="DB189" i="17"/>
  <c r="DB199" i="17"/>
  <c r="DB172" i="17"/>
  <c r="DB191" i="17" s="1"/>
  <c r="DB185" i="17" l="1"/>
  <c r="DW89" i="11" s="1"/>
  <c r="DB182" i="17"/>
  <c r="CR269" i="17" l="1"/>
  <c r="CR270" i="17"/>
  <c r="CR268" i="17"/>
  <c r="CR134" i="17"/>
  <c r="CR15" i="17" l="1"/>
  <c r="CR10" i="17"/>
  <c r="E119" i="2" s="1"/>
  <c r="F107" i="20" l="1"/>
  <c r="W107" i="20" s="1"/>
  <c r="AV119" i="2"/>
  <c r="CR121" i="17"/>
  <c r="E124" i="2"/>
  <c r="CR17" i="17"/>
  <c r="AV124" i="2" l="1"/>
  <c r="F113" i="20"/>
  <c r="W113" i="20" s="1"/>
  <c r="AB724" i="7" l="1"/>
  <c r="AB725" i="7" s="1"/>
  <c r="AC519" i="7"/>
  <c r="AB523" i="7"/>
  <c r="EB45" i="6"/>
  <c r="EB94" i="6" l="1"/>
  <c r="EA45" i="6"/>
  <c r="AC522" i="7"/>
  <c r="AC724" i="7"/>
  <c r="AC725" i="7" s="1"/>
  <c r="EH45" i="6"/>
  <c r="AD519" i="7"/>
  <c r="AB569" i="7"/>
  <c r="EE45" i="6"/>
  <c r="AB788" i="7"/>
  <c r="AB789" i="7" s="1"/>
  <c r="AB790" i="7" s="1"/>
  <c r="D197" i="2"/>
  <c r="AC523" i="7" l="1"/>
  <c r="AC568" i="7"/>
  <c r="F352" i="20"/>
  <c r="W352" i="20" s="1"/>
  <c r="AU197" i="2"/>
  <c r="G352" i="20"/>
  <c r="X352" i="20" s="1"/>
  <c r="E197" i="2"/>
  <c r="D242" i="2"/>
  <c r="AB466" i="12"/>
  <c r="AB791" i="7"/>
  <c r="AD724" i="7"/>
  <c r="AD725" i="7" s="1"/>
  <c r="AE519" i="7"/>
  <c r="AD522" i="7"/>
  <c r="AD523" i="7" s="1"/>
  <c r="EN45" i="6"/>
  <c r="AC788" i="7"/>
  <c r="AC789" i="7" s="1"/>
  <c r="AC529" i="7"/>
  <c r="EK45" i="6"/>
  <c r="EE94" i="6"/>
  <c r="EE48" i="6"/>
  <c r="EH94" i="6"/>
  <c r="EG45" i="6"/>
  <c r="EA94" i="6"/>
  <c r="EF45" i="6"/>
  <c r="EF94" i="6" s="1"/>
  <c r="EE97" i="6" l="1"/>
  <c r="EK48" i="6"/>
  <c r="EK94" i="6"/>
  <c r="F197" i="2"/>
  <c r="E516" i="20"/>
  <c r="V516" i="20" s="1"/>
  <c r="AU242" i="2"/>
  <c r="E517" i="20"/>
  <c r="V517" i="20" s="1"/>
  <c r="AC790" i="7"/>
  <c r="AC791" i="7" s="1"/>
  <c r="E242" i="2"/>
  <c r="AC466" i="12"/>
  <c r="AD568" i="7"/>
  <c r="AD788" i="7"/>
  <c r="AD789" i="7" s="1"/>
  <c r="AD529" i="7"/>
  <c r="EQ45" i="6"/>
  <c r="I352" i="20"/>
  <c r="Z352" i="20" s="1"/>
  <c r="AV197" i="2"/>
  <c r="H352" i="20"/>
  <c r="Y352" i="20" s="1"/>
  <c r="EM45" i="6"/>
  <c r="EN94" i="6"/>
  <c r="AE724" i="7"/>
  <c r="AE725" i="7" s="1"/>
  <c r="AE522" i="7"/>
  <c r="AE523" i="7" s="1"/>
  <c r="ET45" i="6"/>
  <c r="EG94" i="6"/>
  <c r="EL45" i="6"/>
  <c r="EL94" i="6" s="1"/>
  <c r="EQ94" i="6" l="1"/>
  <c r="EQ48" i="6"/>
  <c r="AE788" i="7"/>
  <c r="AE789" i="7" s="1"/>
  <c r="AE529" i="7"/>
  <c r="AE568" i="7"/>
  <c r="EW45" i="6"/>
  <c r="G517" i="20"/>
  <c r="X517" i="20" s="1"/>
  <c r="G516" i="20"/>
  <c r="X516" i="20" s="1"/>
  <c r="AV242" i="2"/>
  <c r="K352" i="20"/>
  <c r="AB352" i="20" s="1"/>
  <c r="J352" i="20"/>
  <c r="AA352" i="20" s="1"/>
  <c r="AW197" i="2"/>
  <c r="G197" i="2"/>
  <c r="ES45" i="6"/>
  <c r="ET94" i="6"/>
  <c r="ER45" i="6"/>
  <c r="ER94" i="6" s="1"/>
  <c r="EM94" i="6"/>
  <c r="AD466" i="12"/>
  <c r="AD790" i="7"/>
  <c r="AD791" i="7" s="1"/>
  <c r="F242" i="2"/>
  <c r="EK97" i="6"/>
  <c r="EX45" i="6" l="1"/>
  <c r="EX94" i="6" s="1"/>
  <c r="ES94" i="6"/>
  <c r="AE790" i="7"/>
  <c r="AE791" i="7" s="1"/>
  <c r="AE466" i="12"/>
  <c r="G242" i="2"/>
  <c r="EW48" i="6"/>
  <c r="EW94" i="6"/>
  <c r="I516" i="20"/>
  <c r="Z516" i="20" s="1"/>
  <c r="I517" i="20"/>
  <c r="Z517" i="20" s="1"/>
  <c r="AW242" i="2"/>
  <c r="M352" i="20"/>
  <c r="AD352" i="20" s="1"/>
  <c r="L352" i="20"/>
  <c r="AC352" i="20" s="1"/>
  <c r="AX197" i="2"/>
  <c r="EQ97" i="6"/>
  <c r="EW97" i="6" l="1"/>
  <c r="K516" i="20"/>
  <c r="AB516" i="20" s="1"/>
  <c r="K517" i="20"/>
  <c r="AB517" i="20" s="1"/>
  <c r="AX242" i="2"/>
  <c r="AB182" i="8" l="1"/>
  <c r="AB175" i="8"/>
  <c r="AB147" i="8"/>
  <c r="AB260" i="7"/>
  <c r="AB154" i="8" l="1"/>
  <c r="AB272" i="7"/>
  <c r="AB261" i="7"/>
  <c r="AB273" i="7" l="1"/>
  <c r="D205" i="2" l="1"/>
  <c r="F380" i="20" s="1"/>
  <c r="W380" i="20" s="1"/>
  <c r="AD136" i="7" l="1"/>
  <c r="EO18" i="6" s="1"/>
  <c r="AU205" i="2"/>
  <c r="G380" i="20"/>
  <c r="X380" i="20" s="1"/>
  <c r="EC18" i="6"/>
  <c r="E205" i="2" l="1"/>
  <c r="AV205" i="2" s="1"/>
  <c r="AE136" i="7"/>
  <c r="EU18" i="6" s="1"/>
  <c r="AD143" i="7"/>
  <c r="EI18" i="6"/>
  <c r="EI67" i="6" s="1"/>
  <c r="F205" i="2"/>
  <c r="J380" i="20" s="1"/>
  <c r="AA380" i="20" s="1"/>
  <c r="EC67" i="6"/>
  <c r="AB152" i="7"/>
  <c r="AB144" i="7"/>
  <c r="EB18" i="6"/>
  <c r="D190" i="2"/>
  <c r="AE143" i="7" l="1"/>
  <c r="EN18" i="6"/>
  <c r="EM18" i="6" s="1"/>
  <c r="AC144" i="7"/>
  <c r="AD152" i="7"/>
  <c r="G205" i="2"/>
  <c r="L380" i="20" s="1"/>
  <c r="AC380" i="20" s="1"/>
  <c r="F190" i="2"/>
  <c r="AW190" i="2" s="1"/>
  <c r="AC152" i="7"/>
  <c r="AD144" i="7"/>
  <c r="EH18" i="6"/>
  <c r="EG18" i="6" s="1"/>
  <c r="H380" i="20"/>
  <c r="Y380" i="20" s="1"/>
  <c r="K380" i="20"/>
  <c r="AB380" i="20" s="1"/>
  <c r="I380" i="20"/>
  <c r="Z380" i="20" s="1"/>
  <c r="AW205" i="2"/>
  <c r="EO67" i="6"/>
  <c r="E190" i="2"/>
  <c r="AV190" i="2" s="1"/>
  <c r="AU190" i="2"/>
  <c r="EU67" i="6"/>
  <c r="EB67" i="6"/>
  <c r="EA18" i="6"/>
  <c r="AE152" i="7" l="1"/>
  <c r="ET18" i="6"/>
  <c r="ET67" i="6" s="1"/>
  <c r="AE144" i="7"/>
  <c r="G190" i="2"/>
  <c r="AX190" i="2" s="1"/>
  <c r="AX205" i="2"/>
  <c r="M380" i="20"/>
  <c r="AD380" i="20" s="1"/>
  <c r="EH67" i="6"/>
  <c r="EN67" i="6"/>
  <c r="EA67" i="6"/>
  <c r="EF18" i="6"/>
  <c r="EF67" i="6" s="1"/>
  <c r="EG67" i="6"/>
  <c r="EL18" i="6"/>
  <c r="EL67" i="6" s="1"/>
  <c r="EM67" i="6"/>
  <c r="ER18" i="6"/>
  <c r="ER67" i="6" s="1"/>
  <c r="ES18" i="6" l="1"/>
  <c r="ES67" i="6" s="1"/>
  <c r="D189" i="2"/>
  <c r="F349" i="20" s="1"/>
  <c r="W349" i="20" s="1"/>
  <c r="AB180" i="7"/>
  <c r="EX18" i="6" l="1"/>
  <c r="EX67" i="6" s="1"/>
  <c r="F344" i="20"/>
  <c r="W344" i="20" s="1"/>
  <c r="AB98" i="7"/>
  <c r="AB76" i="7"/>
  <c r="AB75" i="7"/>
  <c r="AB92" i="7"/>
  <c r="AB77" i="7"/>
  <c r="EB8" i="6"/>
  <c r="AB186" i="7"/>
  <c r="AB375" i="7"/>
  <c r="AB354" i="7"/>
  <c r="F346" i="20"/>
  <c r="W346" i="20" s="1"/>
  <c r="G349" i="20"/>
  <c r="X349" i="20" s="1"/>
  <c r="F340" i="20"/>
  <c r="W340" i="20" s="1"/>
  <c r="AU189" i="2"/>
  <c r="G344" i="20"/>
  <c r="X344" i="20" s="1"/>
  <c r="F350" i="20"/>
  <c r="W350" i="20" s="1"/>
  <c r="G340" i="20"/>
  <c r="X340" i="20" s="1"/>
  <c r="F347" i="20"/>
  <c r="W347" i="20" s="1"/>
  <c r="G347" i="20"/>
  <c r="X347" i="20" s="1"/>
  <c r="G346" i="20"/>
  <c r="X346" i="20" s="1"/>
  <c r="AB89" i="7" l="1"/>
  <c r="AB381" i="7"/>
  <c r="AB458" i="7"/>
  <c r="AB237" i="8"/>
  <c r="EB57" i="6"/>
  <c r="EB12" i="6"/>
  <c r="AB360" i="7"/>
  <c r="AB81" i="7"/>
  <c r="AB93" i="7"/>
  <c r="AB80" i="7"/>
  <c r="AB99" i="7"/>
  <c r="D200" i="2"/>
  <c r="EC8" i="6"/>
  <c r="G375" i="20" l="1"/>
  <c r="X375" i="20" s="1"/>
  <c r="F375" i="20"/>
  <c r="W375" i="20" s="1"/>
  <c r="AU200" i="2"/>
  <c r="G379" i="20"/>
  <c r="X379" i="20" s="1"/>
  <c r="F379" i="20"/>
  <c r="W379" i="20" s="1"/>
  <c r="G384" i="20"/>
  <c r="X384" i="20" s="1"/>
  <c r="F384" i="20"/>
  <c r="W384" i="20" s="1"/>
  <c r="AB115" i="7"/>
  <c r="AB82" i="7"/>
  <c r="AB119" i="7"/>
  <c r="AB236" i="7" s="1"/>
  <c r="D204" i="2"/>
  <c r="AU204" i="2" s="1"/>
  <c r="AB181" i="7"/>
  <c r="EB61" i="6"/>
  <c r="EB22" i="6"/>
  <c r="AB476" i="7"/>
  <c r="AB464" i="7"/>
  <c r="AB456" i="7"/>
  <c r="EC57" i="6"/>
  <c r="EC12" i="6"/>
  <c r="EC61" i="6" l="1"/>
  <c r="EC22" i="6"/>
  <c r="EA22" i="6" s="1"/>
  <c r="EA71" i="6" s="1"/>
  <c r="EB71" i="6"/>
  <c r="EB29" i="6"/>
  <c r="AB187" i="7"/>
  <c r="AB355" i="7"/>
  <c r="AB376" i="7"/>
  <c r="AB183" i="7"/>
  <c r="AB237" i="7"/>
  <c r="AB189" i="7" l="1"/>
  <c r="EC29" i="6"/>
  <c r="EA29" i="6" s="1"/>
  <c r="EA78" i="6" s="1"/>
  <c r="EC71" i="6"/>
  <c r="AB382" i="7"/>
  <c r="AB459" i="7"/>
  <c r="AB378" i="7"/>
  <c r="AB361" i="7"/>
  <c r="AB357" i="7"/>
  <c r="EB78" i="6"/>
  <c r="EB34" i="6"/>
  <c r="EB83" i="6" l="1"/>
  <c r="EB39" i="6"/>
  <c r="AB384" i="7"/>
  <c r="EC78" i="6"/>
  <c r="EC34" i="6"/>
  <c r="AB363" i="7"/>
  <c r="AB465" i="7"/>
  <c r="AB461" i="7"/>
  <c r="AB467" i="7" l="1"/>
  <c r="EC39" i="6"/>
  <c r="EA39" i="6" s="1"/>
  <c r="EC83" i="6"/>
  <c r="EB88" i="6"/>
  <c r="EA34" i="6"/>
  <c r="EA83" i="6" s="1"/>
  <c r="EA88" i="6" l="1"/>
  <c r="EA48" i="6"/>
  <c r="EC88" i="6"/>
  <c r="EF48" i="6" l="1"/>
  <c r="EF97" i="6" s="1"/>
  <c r="EA97" i="6"/>
  <c r="D188" i="2" l="1"/>
  <c r="EB14" i="6"/>
  <c r="AB116" i="8"/>
  <c r="AB107" i="8" l="1"/>
  <c r="EB15" i="6"/>
  <c r="EB63" i="6"/>
  <c r="AU188" i="2"/>
  <c r="G339" i="20"/>
  <c r="X339" i="20" s="1"/>
  <c r="F339" i="20"/>
  <c r="W339" i="20" s="1"/>
  <c r="AB161" i="8"/>
  <c r="AB123" i="8"/>
  <c r="EB64" i="6" l="1"/>
  <c r="AB199" i="8"/>
  <c r="AB206" i="8" s="1"/>
  <c r="EB46" i="6" l="1"/>
  <c r="EB48" i="6" l="1"/>
  <c r="EB95" i="6"/>
  <c r="AB718" i="7"/>
  <c r="AB720" i="7" s="1"/>
  <c r="AB563" i="7"/>
  <c r="AB572" i="7" l="1"/>
  <c r="EB97" i="6"/>
  <c r="D196" i="2"/>
  <c r="G353" i="20" l="1"/>
  <c r="X353" i="20" s="1"/>
  <c r="AU196" i="2"/>
  <c r="G351" i="20"/>
  <c r="X351" i="20" s="1"/>
  <c r="F351" i="20"/>
  <c r="W351" i="20" s="1"/>
  <c r="F353" i="20"/>
  <c r="W353" i="20" s="1"/>
  <c r="DL71" i="11" l="1"/>
  <c r="DI76" i="11" l="1"/>
  <c r="DH76" i="11" l="1"/>
  <c r="AB424" i="12"/>
  <c r="AB427" i="12" s="1"/>
  <c r="AB177" i="12"/>
  <c r="D128" i="2" l="1"/>
  <c r="AU128" i="2" l="1"/>
  <c r="D296" i="2"/>
  <c r="D321" i="2"/>
  <c r="D322" i="2" s="1"/>
  <c r="C296" i="2" l="1"/>
  <c r="G146" i="20" s="1"/>
  <c r="X146" i="20" s="1"/>
  <c r="C322" i="2"/>
  <c r="G147" i="20" s="1"/>
  <c r="X147" i="20" s="1"/>
  <c r="CQ155" i="17" l="1"/>
  <c r="CQ154" i="17"/>
  <c r="CQ143" i="17"/>
  <c r="CQ198" i="17"/>
  <c r="CQ11" i="17"/>
  <c r="D120" i="2" s="1"/>
  <c r="AU120" i="2" l="1"/>
  <c r="E109" i="20"/>
  <c r="V109" i="20" s="1"/>
  <c r="CR156" i="17" l="1"/>
  <c r="CR143" i="17"/>
  <c r="CR154" i="17"/>
  <c r="CR155" i="17"/>
  <c r="CR198" i="17"/>
  <c r="CR11" i="17" l="1"/>
  <c r="E120" i="2" s="1"/>
  <c r="AV120" i="2" l="1"/>
  <c r="F109" i="20"/>
  <c r="W109" i="20" s="1"/>
  <c r="DK73" i="11" l="1"/>
  <c r="DL73" i="11" l="1"/>
  <c r="DK74" i="11"/>
  <c r="DL74" i="11" l="1"/>
  <c r="DK76" i="11"/>
  <c r="DJ76" i="11" s="1"/>
  <c r="EC46" i="6" l="1"/>
  <c r="EC48" i="6" s="1"/>
  <c r="AB564" i="7"/>
  <c r="AB567" i="7" s="1"/>
  <c r="AB2" i="7" s="1"/>
  <c r="AB232" i="12"/>
  <c r="AB2" i="12" s="1"/>
  <c r="DH4" i="11" s="1"/>
  <c r="AB735" i="7"/>
  <c r="AB737" i="7" s="1"/>
  <c r="AB237" i="12"/>
  <c r="EC97" i="6" l="1"/>
  <c r="D209" i="2"/>
  <c r="EF46" i="6"/>
  <c r="AB573" i="7"/>
  <c r="EC95" i="6"/>
  <c r="G386" i="20" l="1"/>
  <c r="X386" i="20" s="1"/>
  <c r="F388" i="20"/>
  <c r="W388" i="20" s="1"/>
  <c r="AU209" i="2"/>
  <c r="F386" i="20"/>
  <c r="W386" i="20" s="1"/>
  <c r="AB31" i="7" l="1"/>
  <c r="AB505" i="7"/>
  <c r="AB452" i="7"/>
  <c r="AB223" i="7"/>
  <c r="AB158" i="7"/>
  <c r="AB280" i="7"/>
  <c r="AB509" i="7"/>
  <c r="AB347" i="7"/>
  <c r="AB284" i="7"/>
  <c r="AB557" i="7"/>
  <c r="AB64" i="7"/>
  <c r="AB671" i="7"/>
  <c r="AB313" i="7"/>
  <c r="AB66" i="7"/>
  <c r="AB222" i="7"/>
  <c r="AB30" i="7"/>
  <c r="AB317" i="7"/>
  <c r="AB638" i="7"/>
  <c r="AB348" i="7"/>
  <c r="AB554" i="7"/>
  <c r="AB598" i="7"/>
  <c r="AB231" i="8"/>
  <c r="AB668" i="7"/>
  <c r="AB389" i="7"/>
  <c r="AB580" i="7"/>
  <c r="AB611" i="7"/>
  <c r="AB244" i="12"/>
  <c r="AB285" i="7"/>
  <c r="AB468" i="12"/>
  <c r="AB581" i="7"/>
  <c r="AB155" i="7"/>
  <c r="AB387" i="7"/>
  <c r="AB193" i="7"/>
  <c r="AB471" i="7"/>
  <c r="AB241" i="12"/>
  <c r="AB534" i="7"/>
  <c r="AB621" i="7"/>
  <c r="AB62" i="7"/>
  <c r="AB279" i="7"/>
  <c r="AB346" i="7"/>
  <c r="AB315" i="7"/>
  <c r="AB450" i="7"/>
  <c r="AB506" i="7"/>
  <c r="AB342" i="7"/>
  <c r="AB159" i="7"/>
  <c r="AB63" i="7"/>
  <c r="AB669" i="7"/>
  <c r="AB510" i="7"/>
  <c r="AB636" i="7"/>
  <c r="AB635" i="7"/>
  <c r="AB507" i="7"/>
  <c r="AB469" i="12"/>
  <c r="AB316" i="7"/>
  <c r="AB677" i="7"/>
  <c r="AB555" i="7"/>
  <c r="AB640" i="7"/>
  <c r="AB444" i="7"/>
  <c r="AB448" i="7"/>
  <c r="AB472" i="7"/>
  <c r="AB765" i="7"/>
  <c r="AB676" i="7"/>
  <c r="AB229" i="8"/>
  <c r="AB283" i="7"/>
  <c r="AB471" i="12"/>
  <c r="AB532" i="7"/>
  <c r="AB160" i="7"/>
  <c r="AB366" i="7"/>
  <c r="AB195" i="7"/>
  <c r="AB390" i="7"/>
  <c r="AB578" i="7"/>
  <c r="AB130" i="7"/>
  <c r="AB508" i="7"/>
  <c r="AB156" i="7"/>
  <c r="AB65" i="7"/>
  <c r="AB26" i="7"/>
  <c r="AB556" i="7"/>
  <c r="AB446" i="7"/>
  <c r="AB673" i="7"/>
  <c r="AB449" i="7"/>
  <c r="AB344" i="7"/>
  <c r="AB28" i="7"/>
  <c r="AB451" i="7"/>
  <c r="AB641" i="7"/>
  <c r="AB282" i="7"/>
  <c r="AB224" i="7"/>
  <c r="AB281" i="7"/>
  <c r="AB470" i="12"/>
  <c r="AB511" i="7"/>
  <c r="AB513" i="7"/>
  <c r="AB639" i="7"/>
  <c r="AB642" i="7"/>
  <c r="AB129" i="7"/>
  <c r="AB675" i="7"/>
  <c r="AB221" i="7"/>
  <c r="AB612" i="7"/>
  <c r="AB599" i="7"/>
  <c r="AB230" i="8"/>
  <c r="AB234" i="8"/>
  <c r="AB796" i="7"/>
  <c r="AB535" i="7"/>
  <c r="AB127" i="7"/>
  <c r="AB470" i="7"/>
  <c r="AB388" i="7"/>
  <c r="AB369" i="7"/>
  <c r="AB243" i="12"/>
  <c r="AB447" i="7"/>
  <c r="AB29" i="7"/>
  <c r="AB672" i="7"/>
  <c r="AB409" i="7"/>
  <c r="AB637" i="7"/>
  <c r="AB674" i="7"/>
  <c r="AB242" i="12"/>
  <c r="AB233" i="8"/>
  <c r="AB128" i="7"/>
  <c r="AB410" i="7"/>
  <c r="AB225" i="7"/>
  <c r="AB345" i="7"/>
  <c r="AB670" i="7"/>
  <c r="AB408" i="7"/>
  <c r="AB472" i="12"/>
  <c r="AB597" i="7"/>
  <c r="AB798" i="7"/>
  <c r="AB367" i="7"/>
  <c r="AB67" i="7"/>
  <c r="AB445" i="7"/>
  <c r="AB314" i="7"/>
  <c r="AB533" i="7"/>
  <c r="AB512" i="7"/>
  <c r="AB194" i="7"/>
  <c r="AB678" i="7"/>
  <c r="AB473" i="12"/>
  <c r="AB473" i="7"/>
  <c r="AB232" i="8"/>
  <c r="AB411" i="7"/>
  <c r="AB579" i="7"/>
  <c r="AB368" i="7"/>
  <c r="AB157" i="7"/>
  <c r="AB27" i="7"/>
  <c r="AB343" i="7"/>
  <c r="AB192" i="7"/>
  <c r="AB456" i="12"/>
  <c r="AB459" i="12" s="1"/>
  <c r="AB698" i="7"/>
  <c r="AB699" i="7" s="1"/>
  <c r="AB340" i="12"/>
  <c r="AB347" i="12" s="1"/>
  <c r="AB607" i="7"/>
  <c r="AB613" i="7" s="1"/>
  <c r="AB232" i="7"/>
  <c r="T6" i="21"/>
  <c r="T24" i="21" s="1"/>
  <c r="AB246" i="7"/>
  <c r="AB247" i="7" s="1"/>
  <c r="C259" i="2" s="1"/>
  <c r="AB240" i="7"/>
  <c r="AB241" i="7" s="1"/>
  <c r="EA5" i="6"/>
  <c r="ED49" i="6" s="1"/>
  <c r="DK17" i="11"/>
  <c r="DK16" i="11" s="1"/>
  <c r="D147" i="2"/>
  <c r="G196" i="20" s="1"/>
  <c r="X196" i="20" s="1"/>
  <c r="DK116" i="11"/>
  <c r="AB348" i="12"/>
  <c r="T9" i="21" l="1"/>
  <c r="T85" i="21" s="1"/>
  <c r="AB610" i="7"/>
  <c r="T88" i="21"/>
  <c r="G429" i="20"/>
  <c r="X429" i="20" s="1"/>
  <c r="T82" i="21"/>
  <c r="AB244" i="7"/>
  <c r="AB217" i="7"/>
  <c r="AB238" i="7"/>
  <c r="AB230" i="7"/>
  <c r="AB218" i="7"/>
  <c r="AB216" i="7"/>
  <c r="AB233" i="7"/>
  <c r="DJ116" i="11"/>
  <c r="DL116" i="11"/>
  <c r="DL16" i="11"/>
  <c r="DJ16" i="11"/>
  <c r="E507" i="20"/>
  <c r="V507" i="20" s="1"/>
  <c r="F187" i="20"/>
  <c r="W187" i="20" s="1"/>
  <c r="G201" i="20"/>
  <c r="X201" i="20" s="1"/>
  <c r="G438" i="20"/>
  <c r="X438" i="20" s="1"/>
  <c r="G430" i="20"/>
  <c r="X430" i="20" s="1"/>
  <c r="E257" i="20"/>
  <c r="V257" i="20" s="1"/>
  <c r="E256" i="20"/>
  <c r="V256" i="20" s="1"/>
  <c r="G433" i="20"/>
  <c r="X433" i="20" s="1"/>
  <c r="E513" i="20"/>
  <c r="V513" i="20" s="1"/>
  <c r="F385" i="20"/>
  <c r="W385" i="20" s="1"/>
  <c r="E503" i="20"/>
  <c r="V503" i="20" s="1"/>
  <c r="G187" i="20"/>
  <c r="X187" i="20" s="1"/>
  <c r="G432" i="20"/>
  <c r="X432" i="20" s="1"/>
  <c r="F424" i="20"/>
  <c r="W424" i="20" s="1"/>
  <c r="E259" i="20"/>
  <c r="V259" i="20" s="1"/>
  <c r="E45" i="20"/>
  <c r="V45" i="20" s="1"/>
  <c r="H75" i="20"/>
  <c r="Y75" i="20" s="1"/>
  <c r="E515" i="20"/>
  <c r="V515" i="20" s="1"/>
  <c r="F354" i="20"/>
  <c r="W354" i="20" s="1"/>
  <c r="AU147" i="2"/>
  <c r="G436" i="20"/>
  <c r="X436" i="20" s="1"/>
  <c r="G195" i="20"/>
  <c r="X195" i="20" s="1"/>
  <c r="F178" i="20"/>
  <c r="W178" i="20" s="1"/>
  <c r="G439" i="20"/>
  <c r="X439" i="20" s="1"/>
  <c r="G431" i="20"/>
  <c r="X431" i="20" s="1"/>
  <c r="H77" i="20"/>
  <c r="Y77" i="20" s="1"/>
  <c r="E258" i="20"/>
  <c r="V258" i="20" s="1"/>
  <c r="G435" i="20"/>
  <c r="X435" i="20" s="1"/>
  <c r="E40" i="20"/>
  <c r="V40" i="20" s="1"/>
  <c r="F192" i="20"/>
  <c r="W192" i="20" s="1"/>
  <c r="F389" i="20"/>
  <c r="W389" i="20" s="1"/>
  <c r="F201" i="20"/>
  <c r="F195" i="20"/>
  <c r="W195" i="20" s="1"/>
  <c r="E509" i="20"/>
  <c r="V509" i="20" s="1"/>
  <c r="E236" i="20"/>
  <c r="V236" i="20" s="1"/>
  <c r="E41" i="20"/>
  <c r="V41" i="20" s="1"/>
  <c r="F196" i="20"/>
  <c r="W196" i="20" s="1"/>
  <c r="G440" i="20"/>
  <c r="X440" i="20" s="1"/>
  <c r="E43" i="20"/>
  <c r="V43" i="20" s="1"/>
  <c r="G192" i="20"/>
  <c r="X192" i="20" s="1"/>
  <c r="E518" i="20"/>
  <c r="V518" i="20" s="1"/>
  <c r="DL17" i="11"/>
  <c r="DJ17" i="11"/>
  <c r="AC142" i="12"/>
  <c r="DM29" i="11" s="1"/>
  <c r="AC134" i="12"/>
  <c r="DM21" i="11" s="1"/>
  <c r="AC140" i="12"/>
  <c r="AC135" i="12"/>
  <c r="DM22" i="11" s="1"/>
  <c r="AC136" i="12"/>
  <c r="DM23" i="11" s="1"/>
  <c r="E253" i="20"/>
  <c r="G459" i="20"/>
  <c r="X459" i="20" s="1"/>
  <c r="AT259" i="2"/>
  <c r="EE49" i="6"/>
  <c r="EA54" i="6"/>
  <c r="EB49" i="6"/>
  <c r="EC49" i="6"/>
  <c r="EA8" i="6"/>
  <c r="T76" i="21"/>
  <c r="T89" i="21" s="1"/>
  <c r="T75" i="21"/>
  <c r="T73" i="21"/>
  <c r="T25" i="21"/>
  <c r="T77" i="21"/>
  <c r="T74" i="21"/>
  <c r="T71" i="21"/>
  <c r="T70" i="21"/>
  <c r="T78" i="21"/>
  <c r="T7" i="21"/>
  <c r="T72" i="21"/>
  <c r="T87" i="21" l="1"/>
  <c r="T83" i="21" s="1"/>
  <c r="T10" i="21"/>
  <c r="T84" i="21"/>
  <c r="AB239" i="7"/>
  <c r="W201" i="20"/>
  <c r="F404" i="20"/>
  <c r="EA57" i="6"/>
  <c r="EA12" i="6"/>
  <c r="EA61" i="6" s="1"/>
  <c r="EF8" i="6"/>
  <c r="EF57" i="6" s="1"/>
  <c r="V253" i="20"/>
  <c r="AB231" i="7"/>
  <c r="AC143" i="12"/>
  <c r="DM27" i="11"/>
  <c r="AB245" i="7"/>
  <c r="T86" i="21" l="1"/>
  <c r="AC45" i="8" l="1"/>
  <c r="AC71" i="8"/>
  <c r="AC73" i="8"/>
  <c r="U8" i="21"/>
  <c r="AC74" i="8" l="1"/>
  <c r="AC72" i="8"/>
  <c r="AC70" i="8"/>
  <c r="CT260" i="17"/>
  <c r="CT265" i="17" l="1"/>
  <c r="AC95" i="7"/>
  <c r="AC352" i="12"/>
  <c r="AC355" i="12" s="1"/>
  <c r="E157" i="2"/>
  <c r="AV157" i="2" s="1"/>
  <c r="AC101" i="7"/>
  <c r="DE15" i="17" l="1"/>
  <c r="AC243" i="8"/>
  <c r="AC245" i="8" s="1"/>
  <c r="AC253" i="8" l="1"/>
  <c r="AC249" i="8"/>
  <c r="DK110" i="11" l="1"/>
  <c r="DP110" i="11" s="1"/>
  <c r="DP109" i="11" s="1"/>
  <c r="DU110" i="11" l="1"/>
  <c r="DK109" i="11"/>
  <c r="DQ109" i="11" s="1"/>
  <c r="DP112" i="11" l="1"/>
  <c r="DK112" i="11"/>
  <c r="DL109" i="11"/>
  <c r="DL112" i="11" s="1"/>
  <c r="DZ110" i="11"/>
  <c r="DZ109" i="11" s="1"/>
  <c r="DU109" i="11"/>
  <c r="DV109" i="11" s="1"/>
  <c r="DU112" i="11" l="1"/>
  <c r="DZ112" i="11"/>
  <c r="EA109" i="11"/>
  <c r="DQ112" i="11"/>
  <c r="E250" i="2" l="1"/>
  <c r="AE325" i="12"/>
  <c r="EA112" i="11"/>
  <c r="AD325" i="12"/>
  <c r="AD320" i="12" s="1"/>
  <c r="DV112" i="11"/>
  <c r="F250" i="2" l="1"/>
  <c r="AE320" i="12"/>
  <c r="AV250" i="2"/>
  <c r="I539" i="20"/>
  <c r="Z539" i="20" s="1"/>
  <c r="I541" i="20"/>
  <c r="Z541" i="20" s="1"/>
  <c r="H539" i="20"/>
  <c r="Y539" i="20" s="1"/>
  <c r="H541" i="20"/>
  <c r="Y541" i="20" s="1"/>
  <c r="K539" i="20" l="1"/>
  <c r="AB539" i="20" s="1"/>
  <c r="AW250" i="2"/>
  <c r="J539" i="20"/>
  <c r="AA539" i="20" s="1"/>
  <c r="J541" i="20"/>
  <c r="AA541" i="20" s="1"/>
  <c r="K541" i="20"/>
  <c r="AB541" i="20" s="1"/>
  <c r="G250" i="2"/>
  <c r="M541" i="20" l="1"/>
  <c r="AD541" i="20" s="1"/>
  <c r="L541" i="20"/>
  <c r="AC541" i="20" s="1"/>
  <c r="L539" i="20"/>
  <c r="AC539" i="20" s="1"/>
  <c r="AX250" i="2"/>
  <c r="M539" i="20"/>
  <c r="AD539" i="20" s="1"/>
  <c r="J115" i="2" l="1"/>
  <c r="K103" i="20" s="1"/>
  <c r="AB103" i="20" s="1"/>
  <c r="CS6" i="17"/>
  <c r="F115" i="2" s="1"/>
  <c r="AW115" i="2" s="1"/>
  <c r="CS33" i="17"/>
  <c r="BA115" i="2" l="1"/>
  <c r="CS34" i="17"/>
  <c r="CS32" i="17"/>
  <c r="CS101" i="17"/>
  <c r="G103" i="20"/>
  <c r="X103" i="20" s="1"/>
  <c r="CT32" i="17" l="1"/>
  <c r="CT34" i="17"/>
  <c r="CT101" i="17"/>
  <c r="CV22" i="17" l="1"/>
  <c r="CV33" i="17" s="1"/>
  <c r="CU33" i="17"/>
  <c r="CU32" i="17"/>
  <c r="CU101" i="17"/>
  <c r="CS24" i="17"/>
  <c r="AC147" i="12"/>
  <c r="DD6" i="17" l="1"/>
  <c r="DM36" i="11"/>
  <c r="CV32" i="17"/>
  <c r="CV34" i="17"/>
  <c r="CV101" i="17"/>
  <c r="CW22" i="17"/>
  <c r="CW34" i="17" l="1"/>
  <c r="CX22" i="17"/>
  <c r="CX23" i="17" s="1"/>
  <c r="CW32" i="17"/>
  <c r="CW101" i="17"/>
  <c r="CW33" i="17"/>
  <c r="AD147" i="12" l="1"/>
  <c r="CX28" i="17"/>
  <c r="CW24" i="17"/>
  <c r="CX34" i="17"/>
  <c r="CX32" i="17"/>
  <c r="CX101" i="17"/>
  <c r="CY22" i="17"/>
  <c r="DR36" i="11" l="1"/>
  <c r="DF6" i="17"/>
  <c r="CY33" i="17"/>
  <c r="CZ22" i="17"/>
  <c r="CZ33" i="17" s="1"/>
  <c r="CY101" i="17"/>
  <c r="CY32" i="17"/>
  <c r="CZ32" i="17" l="1"/>
  <c r="CZ101" i="17"/>
  <c r="CZ34" i="17"/>
  <c r="DA22" i="17"/>
  <c r="DA34" i="17" l="1"/>
  <c r="DA101" i="17"/>
  <c r="DA32" i="17"/>
  <c r="DB22" i="17"/>
  <c r="DB23" i="17" s="1"/>
  <c r="DA24" i="17" s="1"/>
  <c r="DA33" i="17"/>
  <c r="AE147" i="12" l="1"/>
  <c r="DB28" i="17"/>
  <c r="DW36" i="11" s="1"/>
  <c r="DB34" i="17"/>
  <c r="DB32" i="17"/>
  <c r="DB101" i="17"/>
  <c r="CS7" i="17"/>
  <c r="F116" i="2" s="1"/>
  <c r="CS51" i="17" l="1"/>
  <c r="CS102" i="17"/>
  <c r="CS52" i="17"/>
  <c r="CS53" i="17"/>
  <c r="CS117" i="17"/>
  <c r="CS116" i="17"/>
  <c r="CS115" i="17"/>
  <c r="CS141" i="17"/>
  <c r="AW116" i="2"/>
  <c r="G104" i="20"/>
  <c r="X104" i="20" s="1"/>
  <c r="CS9" i="17"/>
  <c r="F118" i="2" s="1"/>
  <c r="CT102" i="17" l="1"/>
  <c r="CT51" i="17"/>
  <c r="CU41" i="17"/>
  <c r="CS104" i="17"/>
  <c r="G106" i="20"/>
  <c r="X106" i="20" s="1"/>
  <c r="AW118" i="2"/>
  <c r="CT42" i="17"/>
  <c r="CS43" i="17" l="1"/>
  <c r="CT47" i="17"/>
  <c r="AC148" i="12"/>
  <c r="CU52" i="17"/>
  <c r="CV41" i="17"/>
  <c r="CV52" i="17" s="1"/>
  <c r="CU51" i="17"/>
  <c r="CU102" i="17"/>
  <c r="CT53" i="17"/>
  <c r="CT118" i="17"/>
  <c r="CT11" i="17"/>
  <c r="G120" i="2" s="1"/>
  <c r="H109" i="20" l="1"/>
  <c r="Y109" i="20" s="1"/>
  <c r="AX120" i="2"/>
  <c r="DM51" i="11"/>
  <c r="DD7" i="17"/>
  <c r="CV51" i="17"/>
  <c r="CV102" i="17"/>
  <c r="CV53" i="17"/>
  <c r="CW41" i="17"/>
  <c r="CW53" i="17" l="1"/>
  <c r="CW51" i="17"/>
  <c r="CW102" i="17"/>
  <c r="CX41" i="17"/>
  <c r="CX42" i="17" s="1"/>
  <c r="CW52" i="17"/>
  <c r="CW43" i="17" l="1"/>
  <c r="AD148" i="12"/>
  <c r="CX47" i="17"/>
  <c r="CX53" i="17"/>
  <c r="CX51" i="17"/>
  <c r="CX102" i="17"/>
  <c r="CY41" i="17"/>
  <c r="DF7" i="17" l="1"/>
  <c r="DR51" i="11"/>
  <c r="CY51" i="17"/>
  <c r="CZ41" i="17"/>
  <c r="CZ52" i="17" s="1"/>
  <c r="CY52" i="17"/>
  <c r="CY102" i="17"/>
  <c r="CZ51" i="17" l="1"/>
  <c r="CZ53" i="17"/>
  <c r="CZ102" i="17"/>
  <c r="DA41" i="17"/>
  <c r="DA51" i="17" l="1"/>
  <c r="DB41" i="17"/>
  <c r="DB42" i="17" s="1"/>
  <c r="DA53" i="17"/>
  <c r="DA102" i="17"/>
  <c r="DA52" i="17"/>
  <c r="AE148" i="12" l="1"/>
  <c r="DA43" i="17"/>
  <c r="DB47" i="17"/>
  <c r="DW51" i="11" s="1"/>
  <c r="DB53" i="17"/>
  <c r="DB51" i="17"/>
  <c r="DB102" i="17"/>
  <c r="CQ119" i="17" l="1"/>
  <c r="CR119" i="17"/>
  <c r="CQ13" i="17"/>
  <c r="D122" i="2" s="1"/>
  <c r="CR13" i="17"/>
  <c r="E122" i="2" s="1"/>
  <c r="AV122" i="2" s="1"/>
  <c r="E111" i="20" l="1"/>
  <c r="V111" i="20" s="1"/>
  <c r="AU122" i="2"/>
  <c r="CQ212" i="17"/>
  <c r="CQ211" i="17"/>
  <c r="CQ255" i="17"/>
  <c r="CQ257" i="17" s="1"/>
  <c r="CQ200" i="17"/>
  <c r="F111" i="20"/>
  <c r="W111" i="20" s="1"/>
  <c r="CR213" i="17" l="1"/>
  <c r="CR200" i="17"/>
  <c r="CR211" i="17"/>
  <c r="CR255" i="17"/>
  <c r="CR257" i="17" s="1"/>
  <c r="CR212" i="17"/>
  <c r="DP97" i="11" l="1"/>
  <c r="DV94" i="11"/>
  <c r="AD293" i="12" s="1"/>
  <c r="DV97" i="11" l="1"/>
  <c r="E247" i="2"/>
  <c r="AD288" i="12"/>
  <c r="DQ97" i="11"/>
  <c r="AE288" i="12" l="1"/>
  <c r="F247" i="2"/>
  <c r="H542" i="20"/>
  <c r="Y542" i="20" s="1"/>
  <c r="I535" i="20"/>
  <c r="Z535" i="20" s="1"/>
  <c r="I537" i="20"/>
  <c r="Z537" i="20" s="1"/>
  <c r="H535" i="20"/>
  <c r="Y535" i="20" s="1"/>
  <c r="AV247" i="2"/>
  <c r="H537" i="20"/>
  <c r="Y537" i="20" s="1"/>
  <c r="K537" i="20" l="1"/>
  <c r="AB537" i="20" s="1"/>
  <c r="K535" i="20"/>
  <c r="AB535" i="20" s="1"/>
  <c r="J535" i="20"/>
  <c r="AA535" i="20" s="1"/>
  <c r="J537" i="20"/>
  <c r="AA537" i="20" s="1"/>
  <c r="AW247" i="2"/>
  <c r="J542" i="20"/>
  <c r="AA542" i="20" s="1"/>
  <c r="G247" i="2"/>
  <c r="L535" i="20" l="1"/>
  <c r="AC535" i="20" s="1"/>
  <c r="M535" i="20"/>
  <c r="AD535" i="20" s="1"/>
  <c r="L537" i="20"/>
  <c r="AC537" i="20" s="1"/>
  <c r="L542" i="20"/>
  <c r="AC542" i="20" s="1"/>
  <c r="AX247" i="2"/>
  <c r="M537" i="20"/>
  <c r="AD537" i="20" s="1"/>
  <c r="CS269" i="17"/>
  <c r="CS134" i="17"/>
  <c r="CS15" i="17"/>
  <c r="CS121" i="17" s="1"/>
  <c r="CS268" i="17"/>
  <c r="CS10" i="17" l="1"/>
  <c r="F119" i="2" s="1"/>
  <c r="G107" i="20" s="1"/>
  <c r="X107" i="20" s="1"/>
  <c r="CS17" i="17"/>
  <c r="CS270" i="17"/>
  <c r="F124" i="2"/>
  <c r="AW119" i="2" l="1"/>
  <c r="G113" i="20"/>
  <c r="X113" i="20" s="1"/>
  <c r="AW124" i="2"/>
  <c r="CS155" i="17"/>
  <c r="CS143" i="17"/>
  <c r="CS156" i="17"/>
  <c r="CS154" i="17"/>
  <c r="CS198" i="17"/>
  <c r="CT206" i="17"/>
  <c r="CT154" i="17" l="1"/>
  <c r="CS118" i="17"/>
  <c r="CS206" i="17"/>
  <c r="CS11" i="17"/>
  <c r="F120" i="2" s="1"/>
  <c r="CT119" i="17"/>
  <c r="CT13" i="17"/>
  <c r="G122" i="2" s="1"/>
  <c r="CT198" i="17"/>
  <c r="CS212" i="17" l="1"/>
  <c r="CS255" i="17"/>
  <c r="CS257" i="17" s="1"/>
  <c r="CS211" i="17"/>
  <c r="CS213" i="17"/>
  <c r="CS200" i="17"/>
  <c r="CT202" i="17"/>
  <c r="AW120" i="2"/>
  <c r="G109" i="20"/>
  <c r="X109" i="20" s="1"/>
  <c r="CS13" i="17"/>
  <c r="F122" i="2" s="1"/>
  <c r="CS119" i="17"/>
  <c r="H111" i="20"/>
  <c r="Y111" i="20" s="1"/>
  <c r="AX122" i="2"/>
  <c r="CT255" i="17" l="1"/>
  <c r="CT211" i="17"/>
  <c r="CT213" i="17"/>
  <c r="CT200" i="17"/>
  <c r="CT207" i="17"/>
  <c r="DD13" i="17" s="1"/>
  <c r="G111" i="20"/>
  <c r="X111" i="20" s="1"/>
  <c r="AW122" i="2"/>
  <c r="AB109" i="8" l="1"/>
  <c r="AB195" i="8"/>
  <c r="AB202" i="8" s="1"/>
  <c r="AC112" i="8"/>
  <c r="AD112" i="8" l="1"/>
  <c r="AE112" i="8" s="1"/>
  <c r="AE109" i="8" s="1"/>
  <c r="AC109" i="8"/>
  <c r="AC133" i="8"/>
  <c r="AC135" i="8" s="1"/>
  <c r="AD133" i="8" l="1"/>
  <c r="AD135" i="8" s="1"/>
  <c r="AD137" i="8" s="1"/>
  <c r="AD109" i="8"/>
  <c r="AE133" i="8"/>
  <c r="AE135" i="8" s="1"/>
  <c r="AE137" i="8" s="1"/>
  <c r="AE114" i="8"/>
  <c r="AC137" i="8"/>
  <c r="E162" i="2"/>
  <c r="AC114" i="8"/>
  <c r="F162" i="2"/>
  <c r="G162" i="2" l="1"/>
  <c r="L282" i="20" s="1"/>
  <c r="AC282" i="20" s="1"/>
  <c r="AD114" i="8"/>
  <c r="AD121" i="8" s="1"/>
  <c r="AD122" i="8" s="1"/>
  <c r="K282" i="20"/>
  <c r="AB282" i="20" s="1"/>
  <c r="AW162" i="2"/>
  <c r="J282" i="20"/>
  <c r="AA282" i="20" s="1"/>
  <c r="AE121" i="8"/>
  <c r="AE122" i="8" s="1"/>
  <c r="F188" i="2"/>
  <c r="AD116" i="8"/>
  <c r="EN14" i="6"/>
  <c r="EH14" i="6"/>
  <c r="EH63" i="6" s="1"/>
  <c r="AC116" i="8"/>
  <c r="E188" i="2"/>
  <c r="ET14" i="6"/>
  <c r="AE116" i="8"/>
  <c r="G188" i="2"/>
  <c r="AV162" i="2"/>
  <c r="H282" i="20"/>
  <c r="Y282" i="20" s="1"/>
  <c r="M282" i="20" l="1"/>
  <c r="AD282" i="20" s="1"/>
  <c r="AX162" i="2"/>
  <c r="EN63" i="6"/>
  <c r="AX188" i="2"/>
  <c r="M339" i="20"/>
  <c r="AD339" i="20" s="1"/>
  <c r="L339" i="20"/>
  <c r="AC339" i="20" s="1"/>
  <c r="ET63" i="6"/>
  <c r="AC123" i="8"/>
  <c r="AD123" i="8"/>
  <c r="AE123" i="8"/>
  <c r="AV188" i="2"/>
  <c r="H339" i="20"/>
  <c r="Y339" i="20" s="1"/>
  <c r="I339" i="20"/>
  <c r="Z339" i="20" s="1"/>
  <c r="K339" i="20"/>
  <c r="AB339" i="20" s="1"/>
  <c r="AW188" i="2"/>
  <c r="J339" i="20"/>
  <c r="AA339" i="20" s="1"/>
  <c r="AB121" i="8" l="1"/>
  <c r="AB198" i="8" l="1"/>
  <c r="AB205" i="8" s="1"/>
  <c r="AC121" i="8"/>
  <c r="AC122" i="8" s="1"/>
  <c r="D162" i="2"/>
  <c r="DL32" i="11"/>
  <c r="AB248" i="8" l="1"/>
  <c r="AB250" i="8" s="1"/>
  <c r="AB197" i="8"/>
  <c r="AB193" i="8"/>
  <c r="AF149" i="8" s="1"/>
  <c r="F282" i="20"/>
  <c r="W282" i="20" s="1"/>
  <c r="I282" i="20"/>
  <c r="Z282" i="20" s="1"/>
  <c r="F283" i="20"/>
  <c r="W283" i="20" s="1"/>
  <c r="AU162" i="2"/>
  <c r="G283" i="20"/>
  <c r="X283" i="20" s="1"/>
  <c r="G282" i="20"/>
  <c r="X282" i="20" s="1"/>
  <c r="E254" i="20"/>
  <c r="AB228" i="7" l="1"/>
  <c r="AB204" i="8"/>
  <c r="V254" i="20"/>
  <c r="E255" i="20"/>
  <c r="V255" i="20" s="1"/>
  <c r="AB254" i="8"/>
  <c r="AB229" i="7" l="1"/>
  <c r="AB157" i="8"/>
  <c r="AB108" i="8"/>
  <c r="AB171" i="8" l="1"/>
  <c r="AB178" i="8"/>
  <c r="AB180" i="8"/>
  <c r="AB173" i="8" l="1"/>
  <c r="AB169" i="8"/>
  <c r="AB152" i="8" l="1"/>
  <c r="AB159" i="8"/>
  <c r="AC115" i="8"/>
  <c r="AC191" i="8" s="1"/>
  <c r="AC198" i="8" l="1"/>
  <c r="AC205" i="8" s="1"/>
  <c r="AD115" i="8"/>
  <c r="AC160" i="8"/>
  <c r="AB160" i="8"/>
  <c r="AD160" i="8" l="1"/>
  <c r="AD191" i="8"/>
  <c r="AD198" i="8" s="1"/>
  <c r="AD205" i="8" s="1"/>
  <c r="AE115" i="8"/>
  <c r="AE191" i="8" l="1"/>
  <c r="AE198" i="8" s="1"/>
  <c r="AE205" i="8" s="1"/>
  <c r="AE160" i="8"/>
  <c r="AC143" i="8"/>
  <c r="AC188" i="8" l="1"/>
  <c r="AC164" i="8"/>
  <c r="AD143" i="8"/>
  <c r="AD108" i="8" s="1"/>
  <c r="AC108" i="8"/>
  <c r="AC157" i="8"/>
  <c r="AD188" i="8" l="1"/>
  <c r="AD164" i="8"/>
  <c r="AD166" i="8" s="1"/>
  <c r="AD214" i="8" s="1"/>
  <c r="AD157" i="8"/>
  <c r="AE143" i="8"/>
  <c r="AE164" i="8" s="1"/>
  <c r="AE166" i="8" s="1"/>
  <c r="AE214" i="8" s="1"/>
  <c r="AE180" i="8" s="1"/>
  <c r="AE157" i="8" l="1"/>
  <c r="AD145" i="8"/>
  <c r="AD169" i="8" s="1"/>
  <c r="AD168" i="8"/>
  <c r="AD260" i="7" s="1"/>
  <c r="AE145" i="8"/>
  <c r="AE169" i="8" s="1"/>
  <c r="AE168" i="8"/>
  <c r="AE171" i="8"/>
  <c r="AE173" i="8"/>
  <c r="AE188" i="8"/>
  <c r="AE195" i="8" s="1"/>
  <c r="AE202" i="8" s="1"/>
  <c r="AE108" i="8"/>
  <c r="AE291" i="7"/>
  <c r="AE224" i="8"/>
  <c r="G161" i="2"/>
  <c r="AE217" i="8"/>
  <c r="AD291" i="7"/>
  <c r="F161" i="2"/>
  <c r="AD217" i="8"/>
  <c r="AD180" i="8"/>
  <c r="AE159" i="8" l="1"/>
  <c r="AD190" i="8"/>
  <c r="AD193" i="8" s="1"/>
  <c r="AD159" i="8"/>
  <c r="AE190" i="8"/>
  <c r="AE193" i="8" s="1"/>
  <c r="AE152" i="8"/>
  <c r="AE175" i="8"/>
  <c r="AD147" i="8"/>
  <c r="AD192" i="8" s="1"/>
  <c r="AE260" i="7"/>
  <c r="AE261" i="7" s="1"/>
  <c r="AD182" i="8"/>
  <c r="AE147" i="8"/>
  <c r="AD224" i="8"/>
  <c r="AD276" i="7" s="1"/>
  <c r="J194" i="20"/>
  <c r="AA194" i="20" s="1"/>
  <c r="J283" i="20"/>
  <c r="AA283" i="20" s="1"/>
  <c r="AW161" i="2"/>
  <c r="I466" i="20"/>
  <c r="Z466" i="20" s="1"/>
  <c r="J281" i="20"/>
  <c r="AA281" i="20" s="1"/>
  <c r="J197" i="20"/>
  <c r="AA197" i="20" s="1"/>
  <c r="L197" i="20"/>
  <c r="AC197" i="20" s="1"/>
  <c r="M197" i="20"/>
  <c r="AD197" i="20" s="1"/>
  <c r="AX161" i="2"/>
  <c r="L281" i="20"/>
  <c r="AC281" i="20" s="1"/>
  <c r="K464" i="20"/>
  <c r="AB464" i="20" s="1"/>
  <c r="K466" i="20"/>
  <c r="AB466" i="20" s="1"/>
  <c r="L283" i="20"/>
  <c r="AC283" i="20" s="1"/>
  <c r="H34" i="20"/>
  <c r="Y34" i="20" s="1"/>
  <c r="L194" i="20"/>
  <c r="AC194" i="20" s="1"/>
  <c r="M281" i="20"/>
  <c r="AD281" i="20" s="1"/>
  <c r="M194" i="20"/>
  <c r="AD194" i="20" s="1"/>
  <c r="M283" i="20"/>
  <c r="AD283" i="20" s="1"/>
  <c r="AD261" i="7"/>
  <c r="AE226" i="8"/>
  <c r="ET13" i="6"/>
  <c r="G187" i="2"/>
  <c r="AE276" i="7"/>
  <c r="AE289" i="7"/>
  <c r="AE182" i="8"/>
  <c r="F187" i="2"/>
  <c r="EN13" i="6"/>
  <c r="AD218" i="8"/>
  <c r="AE218" i="8"/>
  <c r="AC291" i="7"/>
  <c r="E161" i="2"/>
  <c r="AC218" i="8"/>
  <c r="AC224" i="8"/>
  <c r="AD248" i="8" l="1"/>
  <c r="AE154" i="8"/>
  <c r="AE248" i="8"/>
  <c r="AE107" i="8"/>
  <c r="AE197" i="8"/>
  <c r="AE204" i="8" s="1"/>
  <c r="AE272" i="7"/>
  <c r="AD107" i="8"/>
  <c r="AE161" i="8"/>
  <c r="AD161" i="8"/>
  <c r="AE192" i="8"/>
  <c r="AE199" i="8" s="1"/>
  <c r="AE206" i="8" s="1"/>
  <c r="AD289" i="7"/>
  <c r="K283" i="20"/>
  <c r="AB283" i="20" s="1"/>
  <c r="K194" i="20"/>
  <c r="AB194" i="20" s="1"/>
  <c r="AE292" i="7"/>
  <c r="AC292" i="7"/>
  <c r="AD292" i="7"/>
  <c r="AC226" i="8"/>
  <c r="EH13" i="6"/>
  <c r="EN62" i="6" s="1"/>
  <c r="E187" i="2"/>
  <c r="AW187" i="2"/>
  <c r="J338" i="20"/>
  <c r="AA338" i="20" s="1"/>
  <c r="AV161" i="2"/>
  <c r="I281" i="20"/>
  <c r="Z281" i="20" s="1"/>
  <c r="H197" i="20"/>
  <c r="Y197" i="20" s="1"/>
  <c r="F34" i="20"/>
  <c r="W34" i="20" s="1"/>
  <c r="G464" i="20"/>
  <c r="X464" i="20" s="1"/>
  <c r="H283" i="20"/>
  <c r="Y283" i="20" s="1"/>
  <c r="H281" i="20"/>
  <c r="Y281" i="20" s="1"/>
  <c r="H194" i="20"/>
  <c r="Y194" i="20" s="1"/>
  <c r="I197" i="20"/>
  <c r="Z197" i="20" s="1"/>
  <c r="I283" i="20"/>
  <c r="Z283" i="20" s="1"/>
  <c r="I194" i="20"/>
  <c r="Z194" i="20" s="1"/>
  <c r="G466" i="20"/>
  <c r="X466" i="20" s="1"/>
  <c r="EM13" i="6"/>
  <c r="EN15" i="6"/>
  <c r="AD226" i="8"/>
  <c r="I464" i="20"/>
  <c r="Z464" i="20" s="1"/>
  <c r="K197" i="20"/>
  <c r="AB197" i="20" s="1"/>
  <c r="K281" i="20"/>
  <c r="AB281" i="20" s="1"/>
  <c r="AC289" i="7"/>
  <c r="AC276" i="7"/>
  <c r="M338" i="20"/>
  <c r="AD338" i="20" s="1"/>
  <c r="AX187" i="2"/>
  <c r="L338" i="20"/>
  <c r="AC338" i="20" s="1"/>
  <c r="ET62" i="6"/>
  <c r="ET15" i="6"/>
  <c r="ES13" i="6"/>
  <c r="G34" i="20"/>
  <c r="X34" i="20" s="1"/>
  <c r="AE273" i="7"/>
  <c r="AE228" i="7" l="1"/>
  <c r="ET64" i="6"/>
  <c r="K338" i="20"/>
  <c r="AB338" i="20" s="1"/>
  <c r="EH62" i="6"/>
  <c r="EG13" i="6"/>
  <c r="EM62" i="6" s="1"/>
  <c r="EH15" i="6"/>
  <c r="EH64" i="6" s="1"/>
  <c r="AD290" i="7"/>
  <c r="AE290" i="7"/>
  <c r="AC290" i="7"/>
  <c r="ES62" i="6"/>
  <c r="AV187" i="2"/>
  <c r="H338" i="20"/>
  <c r="Y338" i="20" s="1"/>
  <c r="I338" i="20"/>
  <c r="Z338" i="20" s="1"/>
  <c r="EN64" i="6" l="1"/>
  <c r="EG62" i="6"/>
  <c r="CT15" i="17" l="1"/>
  <c r="CT121" i="17" s="1"/>
  <c r="CT268" i="17"/>
  <c r="G124" i="2" l="1"/>
  <c r="AX124" i="2" s="1"/>
  <c r="CT17" i="17"/>
  <c r="CT257" i="17"/>
  <c r="CT259" i="17"/>
  <c r="CT270" i="17" s="1"/>
  <c r="CT134" i="17"/>
  <c r="H113" i="20" l="1"/>
  <c r="Y113" i="20" s="1"/>
  <c r="AC156" i="12"/>
  <c r="CS260" i="17"/>
  <c r="CT264" i="17"/>
  <c r="DD15" i="17" s="1"/>
  <c r="CT273" i="17"/>
  <c r="CT10" i="17"/>
  <c r="G119" i="2" s="1"/>
  <c r="AX119" i="2" l="1"/>
  <c r="H107" i="20"/>
  <c r="Y107" i="20" s="1"/>
  <c r="E189" i="2" l="1"/>
  <c r="AC180" i="7"/>
  <c r="AC186" i="7" s="1"/>
  <c r="AD107" i="7"/>
  <c r="AD180" i="7" s="1"/>
  <c r="AE107" i="7" l="1"/>
  <c r="AE180" i="7" s="1"/>
  <c r="AC354" i="7"/>
  <c r="AC360" i="7" s="1"/>
  <c r="AC375" i="7"/>
  <c r="AC237" i="8" s="1"/>
  <c r="I347" i="20"/>
  <c r="Z347" i="20" s="1"/>
  <c r="AD375" i="7"/>
  <c r="AD186" i="7"/>
  <c r="AD354" i="7"/>
  <c r="F189" i="2"/>
  <c r="I340" i="20"/>
  <c r="Z340" i="20" s="1"/>
  <c r="I349" i="20"/>
  <c r="Z349" i="20" s="1"/>
  <c r="H344" i="20"/>
  <c r="Y344" i="20" s="1"/>
  <c r="AV189" i="2"/>
  <c r="H349" i="20"/>
  <c r="Y349" i="20" s="1"/>
  <c r="H340" i="20"/>
  <c r="Y340" i="20" s="1"/>
  <c r="H346" i="20"/>
  <c r="Y346" i="20" s="1"/>
  <c r="I344" i="20"/>
  <c r="Z344" i="20" s="1"/>
  <c r="H350" i="20"/>
  <c r="Y350" i="20" s="1"/>
  <c r="I346" i="20"/>
  <c r="Z346" i="20" s="1"/>
  <c r="H347" i="20"/>
  <c r="Y347" i="20" s="1"/>
  <c r="H355" i="20"/>
  <c r="G189" i="2" l="1"/>
  <c r="AX189" i="2" s="1"/>
  <c r="AC381" i="7"/>
  <c r="AC458" i="7"/>
  <c r="AC476" i="7" s="1"/>
  <c r="J340" i="20"/>
  <c r="AA340" i="20" s="1"/>
  <c r="J344" i="20"/>
  <c r="AA344" i="20" s="1"/>
  <c r="K346" i="20"/>
  <c r="AB346" i="20" s="1"/>
  <c r="J346" i="20"/>
  <c r="AA346" i="20" s="1"/>
  <c r="J350" i="20"/>
  <c r="AA350" i="20" s="1"/>
  <c r="K344" i="20"/>
  <c r="AB344" i="20" s="1"/>
  <c r="J347" i="20"/>
  <c r="AA347" i="20" s="1"/>
  <c r="K347" i="20"/>
  <c r="AB347" i="20" s="1"/>
  <c r="AW189" i="2"/>
  <c r="K340" i="20"/>
  <c r="AB340" i="20" s="1"/>
  <c r="K349" i="20"/>
  <c r="AB349" i="20" s="1"/>
  <c r="J349" i="20"/>
  <c r="AA349" i="20" s="1"/>
  <c r="AD381" i="7"/>
  <c r="AD237" i="8"/>
  <c r="AD458" i="7"/>
  <c r="AE186" i="7"/>
  <c r="AE375" i="7"/>
  <c r="AE354" i="7"/>
  <c r="AD360" i="7"/>
  <c r="M346" i="20" l="1"/>
  <c r="AD346" i="20" s="1"/>
  <c r="L340" i="20"/>
  <c r="AC340" i="20" s="1"/>
  <c r="M349" i="20"/>
  <c r="AD349" i="20" s="1"/>
  <c r="M340" i="20"/>
  <c r="AD340" i="20" s="1"/>
  <c r="L347" i="20"/>
  <c r="AC347" i="20" s="1"/>
  <c r="L346" i="20"/>
  <c r="AC346" i="20" s="1"/>
  <c r="M347" i="20"/>
  <c r="AD347" i="20" s="1"/>
  <c r="L349" i="20"/>
  <c r="AC349" i="20" s="1"/>
  <c r="L350" i="20"/>
  <c r="AC350" i="20" s="1"/>
  <c r="L344" i="20"/>
  <c r="AC344" i="20" s="1"/>
  <c r="M344" i="20"/>
  <c r="AD344" i="20" s="1"/>
  <c r="AC464" i="7"/>
  <c r="AC456" i="7"/>
  <c r="AE237" i="8"/>
  <c r="AE381" i="7"/>
  <c r="AE458" i="7"/>
  <c r="AE360" i="7"/>
  <c r="AD464" i="7"/>
  <c r="AD476" i="7"/>
  <c r="AD456" i="7"/>
  <c r="AE464" i="7" l="1"/>
  <c r="AE456" i="7"/>
  <c r="AE476" i="7"/>
  <c r="AC70" i="12" l="1"/>
  <c r="AC76" i="12" s="1"/>
  <c r="CT107" i="17"/>
  <c r="CT112" i="17" l="1"/>
  <c r="DE9" i="17" s="1"/>
  <c r="AD54" i="12"/>
  <c r="CX107" i="17" s="1"/>
  <c r="AD70" i="12" l="1"/>
  <c r="AD76" i="12" s="1"/>
  <c r="AE54" i="12"/>
  <c r="CX112" i="17" l="1"/>
  <c r="DG9" i="17" s="1"/>
  <c r="DB107" i="17"/>
  <c r="AE70" i="12"/>
  <c r="AE76" i="12" s="1"/>
  <c r="DB112" i="17" l="1"/>
  <c r="CT173" i="17"/>
  <c r="AC438" i="12" l="1"/>
  <c r="AC443" i="12" s="1"/>
  <c r="AD83" i="12"/>
  <c r="CX173" i="17" s="1"/>
  <c r="CX186" i="17" s="1"/>
  <c r="DG12" i="17" s="1"/>
  <c r="AC115" i="12"/>
  <c r="AC119" i="12" s="1"/>
  <c r="AC93" i="12"/>
  <c r="AC99" i="12" s="1"/>
  <c r="AC153" i="12"/>
  <c r="CS173" i="17"/>
  <c r="CT186" i="17"/>
  <c r="DE12" i="17" s="1"/>
  <c r="AE83" i="12" l="1"/>
  <c r="AE153" i="12" s="1"/>
  <c r="CW173" i="17"/>
  <c r="AD93" i="12"/>
  <c r="AD99" i="12" s="1"/>
  <c r="AD153" i="12"/>
  <c r="AD438" i="12"/>
  <c r="AD443" i="12" s="1"/>
  <c r="AD115" i="12"/>
  <c r="AD119" i="12" s="1"/>
  <c r="AE438" i="12" l="1"/>
  <c r="AE443" i="12" s="1"/>
  <c r="AE115" i="12"/>
  <c r="AE119" i="12" s="1"/>
  <c r="DB173" i="17"/>
  <c r="DB186" i="17" s="1"/>
  <c r="AE93" i="12"/>
  <c r="AE99" i="12" s="1"/>
  <c r="AC122" i="12"/>
  <c r="AC128" i="12" s="1"/>
  <c r="AC112" i="12"/>
  <c r="CT203" i="17"/>
  <c r="CS203" i="17" s="1"/>
  <c r="AC154" i="12"/>
  <c r="DA173" i="17" l="1"/>
  <c r="CT208" i="17"/>
  <c r="DE13" i="17" s="1"/>
  <c r="E219" i="2" l="1"/>
  <c r="AV219" i="2" s="1"/>
  <c r="DS49" i="11"/>
  <c r="DU49" i="11" s="1"/>
  <c r="DX49" i="11" s="1"/>
  <c r="DZ49" i="11" s="1"/>
  <c r="I487" i="20" l="1"/>
  <c r="Z487" i="20" s="1"/>
  <c r="DV49" i="11"/>
  <c r="DU47" i="11"/>
  <c r="DV47" i="11" s="1"/>
  <c r="AD197" i="12" s="1"/>
  <c r="H487" i="20"/>
  <c r="Y487" i="20" s="1"/>
  <c r="EA49" i="11"/>
  <c r="DZ47" i="11"/>
  <c r="EA47" i="11" l="1"/>
  <c r="AE197" i="12" s="1"/>
  <c r="AE435" i="7" s="1"/>
  <c r="AD191" i="12"/>
  <c r="AD435" i="7"/>
  <c r="AE191" i="12" l="1"/>
  <c r="F219" i="2"/>
  <c r="AD421" i="7"/>
  <c r="AD194" i="12"/>
  <c r="EP37" i="6"/>
  <c r="AD427" i="7"/>
  <c r="AE421" i="7" l="1"/>
  <c r="AE194" i="12"/>
  <c r="G219" i="2"/>
  <c r="AE427" i="7"/>
  <c r="EV37" i="6"/>
  <c r="AD419" i="7"/>
  <c r="AD433" i="7" s="1"/>
  <c r="AD441" i="7"/>
  <c r="EP36" i="6"/>
  <c r="EP86" i="6"/>
  <c r="AW219" i="2"/>
  <c r="J487" i="20"/>
  <c r="AA487" i="20" s="1"/>
  <c r="K487" i="20"/>
  <c r="AB487" i="20" s="1"/>
  <c r="AE419" i="7" l="1"/>
  <c r="AE441" i="7"/>
  <c r="AD428" i="7"/>
  <c r="F245" i="2"/>
  <c r="AD655" i="7"/>
  <c r="AX219" i="2"/>
  <c r="M487" i="20"/>
  <c r="AD487" i="20" s="1"/>
  <c r="L487" i="20"/>
  <c r="AC487" i="20" s="1"/>
  <c r="EM36" i="6"/>
  <c r="EM85" i="6" s="1"/>
  <c r="EP85" i="6"/>
  <c r="EV86" i="6"/>
  <c r="EV36" i="6"/>
  <c r="AD661" i="7" l="1"/>
  <c r="AW245" i="2"/>
  <c r="J422" i="20"/>
  <c r="AA422" i="20" s="1"/>
  <c r="J481" i="20"/>
  <c r="AA481" i="20" s="1"/>
  <c r="J416" i="20"/>
  <c r="AA416" i="20" s="1"/>
  <c r="J484" i="20"/>
  <c r="AA484" i="20" s="1"/>
  <c r="ES36" i="6"/>
  <c r="ES85" i="6" s="1"/>
  <c r="EV85" i="6"/>
  <c r="AE655" i="7"/>
  <c r="G245" i="2"/>
  <c r="AE433" i="7"/>
  <c r="AE428" i="7"/>
  <c r="L481" i="20" l="1"/>
  <c r="AC481" i="20" s="1"/>
  <c r="L484" i="20"/>
  <c r="AC484" i="20" s="1"/>
  <c r="L416" i="20"/>
  <c r="AC416" i="20" s="1"/>
  <c r="L422" i="20"/>
  <c r="AC422" i="20" s="1"/>
  <c r="M484" i="20"/>
  <c r="AD484" i="20" s="1"/>
  <c r="M481" i="20"/>
  <c r="AD481" i="20" s="1"/>
  <c r="AX245" i="2"/>
  <c r="M422" i="20"/>
  <c r="AD422" i="20" s="1"/>
  <c r="M416" i="20"/>
  <c r="AD416" i="20" s="1"/>
  <c r="AE661" i="7"/>
  <c r="AD686" i="7"/>
  <c r="AE686" i="7" l="1"/>
  <c r="DU72" i="11" l="1"/>
  <c r="AC235" i="12"/>
  <c r="AC228" i="12" s="1"/>
  <c r="AC718" i="7" s="1"/>
  <c r="DZ72" i="11" l="1"/>
  <c r="AD228" i="12"/>
  <c r="EH46" i="6"/>
  <c r="EH95" i="6" l="1"/>
  <c r="EN46" i="6"/>
  <c r="AE228" i="12"/>
  <c r="AD718" i="7"/>
  <c r="EN95" i="6" l="1"/>
  <c r="AE718" i="7"/>
  <c r="ET46" i="6"/>
  <c r="ET95" i="6" l="1"/>
  <c r="AC130" i="12" l="1"/>
  <c r="AC179" i="12" l="1"/>
  <c r="E158" i="2" l="1"/>
  <c r="E301" i="2" l="1"/>
  <c r="AV158" i="2"/>
  <c r="H284" i="20" l="1"/>
  <c r="Y284" i="20" s="1"/>
  <c r="I278" i="20"/>
  <c r="Z278" i="20" s="1"/>
  <c r="H278" i="20"/>
  <c r="Y278" i="20" s="1"/>
  <c r="H280" i="20"/>
  <c r="Y280" i="20" s="1"/>
  <c r="F35" i="20"/>
  <c r="W35" i="20" s="1"/>
  <c r="I280" i="20"/>
  <c r="Z280" i="20" s="1"/>
  <c r="I284" i="20"/>
  <c r="Z284" i="20" s="1"/>
  <c r="AC55" i="12" l="1"/>
  <c r="AC137" i="12"/>
  <c r="DM24" i="11" s="1"/>
  <c r="AC61" i="12"/>
  <c r="AC196" i="8" l="1"/>
  <c r="AC203" i="8" s="1"/>
  <c r="AD196" i="8"/>
  <c r="AD203" i="8" s="1"/>
  <c r="AD223" i="8"/>
  <c r="E220" i="2" l="1"/>
  <c r="I480" i="20" s="1"/>
  <c r="Z480" i="20" s="1"/>
  <c r="AC213" i="8"/>
  <c r="AC83" i="7"/>
  <c r="AC86" i="7" s="1"/>
  <c r="AC418" i="7"/>
  <c r="EJ11" i="6"/>
  <c r="AC179" i="8"/>
  <c r="AC223" i="8"/>
  <c r="K415" i="20" l="1"/>
  <c r="AB415" i="20" s="1"/>
  <c r="I415" i="20"/>
  <c r="Z415" i="20" s="1"/>
  <c r="AV220" i="2"/>
  <c r="K480" i="20"/>
  <c r="AB480" i="20" s="1"/>
  <c r="H480" i="20"/>
  <c r="Y480" i="20" s="1"/>
  <c r="H415" i="20"/>
  <c r="Y415" i="20" s="1"/>
  <c r="AC94" i="7"/>
  <c r="AC100" i="7"/>
  <c r="EJ8" i="6"/>
  <c r="EP57" i="6" s="1"/>
  <c r="AD94" i="7"/>
  <c r="AC87" i="7"/>
  <c r="AC85" i="7"/>
  <c r="AC432" i="7"/>
  <c r="AD432" i="7"/>
  <c r="AC654" i="7"/>
  <c r="AC419" i="7"/>
  <c r="EJ60" i="6"/>
  <c r="EP60" i="6"/>
  <c r="EJ57" i="6" l="1"/>
  <c r="EJ12" i="6"/>
  <c r="EJ61" i="6" s="1"/>
  <c r="AC655" i="7"/>
  <c r="E245" i="2"/>
  <c r="AC433" i="7"/>
  <c r="AC428" i="7"/>
  <c r="AC195" i="8"/>
  <c r="AC202" i="8" s="1"/>
  <c r="AD195" i="8"/>
  <c r="AD202" i="8" s="1"/>
  <c r="EP61" i="6" l="1"/>
  <c r="AC661" i="7"/>
  <c r="AC686" i="7" s="1"/>
  <c r="AV245" i="2"/>
  <c r="K416" i="20"/>
  <c r="AB416" i="20" s="1"/>
  <c r="I416" i="20"/>
  <c r="Z416" i="20" s="1"/>
  <c r="I481" i="20"/>
  <c r="Z481" i="20" s="1"/>
  <c r="K481" i="20"/>
  <c r="AB481" i="20" s="1"/>
  <c r="H416" i="20"/>
  <c r="Y416" i="20" s="1"/>
  <c r="I484" i="20"/>
  <c r="Z484" i="20" s="1"/>
  <c r="H481" i="20"/>
  <c r="Y481" i="20" s="1"/>
  <c r="I422" i="20"/>
  <c r="Z422" i="20" s="1"/>
  <c r="K484" i="20"/>
  <c r="AB484" i="20" s="1"/>
  <c r="H422" i="20"/>
  <c r="Y422" i="20" s="1"/>
  <c r="H484" i="20"/>
  <c r="Y484" i="20" s="1"/>
  <c r="K422" i="20"/>
  <c r="AB422" i="20" s="1"/>
  <c r="AC210" i="8" l="1"/>
  <c r="EI11" i="6" l="1"/>
  <c r="EI60" i="6" s="1"/>
  <c r="AC222" i="8"/>
  <c r="E203" i="2"/>
  <c r="AD209" i="8"/>
  <c r="AC215" i="8"/>
  <c r="EH11" i="6"/>
  <c r="H378" i="20" l="1"/>
  <c r="Y378" i="20" s="1"/>
  <c r="AV203" i="2"/>
  <c r="I378" i="20"/>
  <c r="Z378" i="20" s="1"/>
  <c r="EH60" i="6"/>
  <c r="EG11" i="6"/>
  <c r="AD210" i="8"/>
  <c r="AD215" i="8" s="1"/>
  <c r="AE209" i="8"/>
  <c r="EN11" i="6"/>
  <c r="EN60" i="6" l="1"/>
  <c r="ET11" i="6"/>
  <c r="AE210" i="8"/>
  <c r="AD178" i="8"/>
  <c r="AD222" i="8"/>
  <c r="EO11" i="6"/>
  <c r="EO60" i="6" s="1"/>
  <c r="F203" i="2"/>
  <c r="EG60" i="6"/>
  <c r="EL13" i="6"/>
  <c r="EL62" i="6" s="1"/>
  <c r="K378" i="20" l="1"/>
  <c r="AB378" i="20" s="1"/>
  <c r="J378" i="20"/>
  <c r="AA378" i="20" s="1"/>
  <c r="AW203" i="2"/>
  <c r="ET60" i="6"/>
  <c r="EU11" i="6"/>
  <c r="EU60" i="6" s="1"/>
  <c r="AE222" i="8"/>
  <c r="G203" i="2"/>
  <c r="AE178" i="8"/>
  <c r="EM11" i="6"/>
  <c r="AE215" i="8"/>
  <c r="EM60" i="6" l="1"/>
  <c r="ER13" i="6"/>
  <c r="ER62" i="6" s="1"/>
  <c r="ES11" i="6"/>
  <c r="M378" i="20"/>
  <c r="AD378" i="20" s="1"/>
  <c r="AX203" i="2"/>
  <c r="L378" i="20"/>
  <c r="AC378" i="20" s="1"/>
  <c r="EX13" i="6" l="1"/>
  <c r="EX62" i="6" s="1"/>
  <c r="ES60" i="6"/>
  <c r="CT86" i="17" l="1"/>
  <c r="CT8" i="17" s="1"/>
  <c r="G117" i="2" s="1"/>
  <c r="CT141" i="17" l="1"/>
  <c r="CT115" i="17"/>
  <c r="CT72" i="17"/>
  <c r="CT92" i="17"/>
  <c r="CT70" i="17"/>
  <c r="CU110" i="17" s="1"/>
  <c r="CU105" i="17" s="1"/>
  <c r="CT9" i="17"/>
  <c r="G118" i="2" s="1"/>
  <c r="H105" i="20"/>
  <c r="Y105" i="20" s="1"/>
  <c r="AX117" i="2"/>
  <c r="CU92" i="17" l="1"/>
  <c r="CU93" i="17"/>
  <c r="CV71" i="17"/>
  <c r="CV93" i="17" s="1"/>
  <c r="H106" i="20"/>
  <c r="Y106" i="20" s="1"/>
  <c r="AX118" i="2"/>
  <c r="CT103" i="17"/>
  <c r="CT69" i="17"/>
  <c r="CT85" i="17" s="1"/>
  <c r="CU70" i="17"/>
  <c r="CV110" i="17" s="1"/>
  <c r="AC149" i="12"/>
  <c r="CS73" i="17"/>
  <c r="CT88" i="17"/>
  <c r="CT94" i="17"/>
  <c r="CT143" i="17"/>
  <c r="CT145" i="17"/>
  <c r="CU9" i="17" l="1"/>
  <c r="H118" i="2" s="1"/>
  <c r="CU149" i="17"/>
  <c r="CU103" i="17"/>
  <c r="CU69" i="17"/>
  <c r="CU85" i="17" s="1"/>
  <c r="CV70" i="17"/>
  <c r="CW110" i="17" s="1"/>
  <c r="CT150" i="17"/>
  <c r="DD11" i="17" s="1"/>
  <c r="CT156" i="17"/>
  <c r="CV92" i="17"/>
  <c r="CW71" i="17"/>
  <c r="CV94" i="17"/>
  <c r="DD8" i="17"/>
  <c r="DM66" i="11"/>
  <c r="CT104" i="17"/>
  <c r="CT106" i="17"/>
  <c r="CU104" i="17" l="1"/>
  <c r="CV69" i="17"/>
  <c r="CV85" i="17" s="1"/>
  <c r="CV103" i="17"/>
  <c r="CW70" i="17"/>
  <c r="CX110" i="17" s="1"/>
  <c r="CU115" i="17"/>
  <c r="CV149" i="17"/>
  <c r="CU141" i="17"/>
  <c r="CU116" i="17"/>
  <c r="CV105" i="17"/>
  <c r="CV9" i="17"/>
  <c r="I118" i="2" s="1"/>
  <c r="CU118" i="17"/>
  <c r="CU11" i="17"/>
  <c r="H120" i="2" s="1"/>
  <c r="CU206" i="17"/>
  <c r="CU144" i="17"/>
  <c r="CT111" i="17"/>
  <c r="DD9" i="17" s="1"/>
  <c r="AC150" i="12"/>
  <c r="CS107" i="17"/>
  <c r="CT117" i="17"/>
  <c r="AY118" i="2"/>
  <c r="I106" i="20"/>
  <c r="Z106" i="20" s="1"/>
  <c r="CX71" i="17"/>
  <c r="CW94" i="17"/>
  <c r="CW92" i="17"/>
  <c r="CW93" i="17"/>
  <c r="CV104" i="17" l="1"/>
  <c r="I109" i="20"/>
  <c r="Z109" i="20" s="1"/>
  <c r="AY120" i="2"/>
  <c r="CW103" i="17"/>
  <c r="CW69" i="17"/>
  <c r="CW85" i="17" s="1"/>
  <c r="CX70" i="17"/>
  <c r="CW149" i="17"/>
  <c r="CV117" i="17"/>
  <c r="CV115" i="17"/>
  <c r="CV141" i="17"/>
  <c r="CW105" i="17"/>
  <c r="CV118" i="17"/>
  <c r="CV11" i="17"/>
  <c r="I120" i="2" s="1"/>
  <c r="CW9" i="17"/>
  <c r="J118" i="2" s="1"/>
  <c r="CU154" i="17"/>
  <c r="CU155" i="17"/>
  <c r="CU198" i="17"/>
  <c r="CV206" i="17"/>
  <c r="CV144" i="17"/>
  <c r="CV116" i="17"/>
  <c r="CX92" i="17"/>
  <c r="CY71" i="17"/>
  <c r="CX72" i="17"/>
  <c r="CX88" i="17" s="1"/>
  <c r="CU119" i="17"/>
  <c r="CU13" i="17"/>
  <c r="H122" i="2" s="1"/>
  <c r="CU263" i="17"/>
  <c r="CU201" i="17"/>
  <c r="AZ118" i="2"/>
  <c r="J106" i="20"/>
  <c r="AA106" i="20" s="1"/>
  <c r="CU143" i="17"/>
  <c r="CY93" i="17" l="1"/>
  <c r="CZ71" i="17"/>
  <c r="CZ93" i="17" s="1"/>
  <c r="CY92" i="17"/>
  <c r="CV156" i="17"/>
  <c r="CV154" i="17"/>
  <c r="CV198" i="17"/>
  <c r="CW144" i="17"/>
  <c r="CW155" i="17" s="1"/>
  <c r="CW206" i="17"/>
  <c r="CW117" i="17"/>
  <c r="CW115" i="17"/>
  <c r="CW141" i="17"/>
  <c r="CX149" i="17"/>
  <c r="CX105" i="17"/>
  <c r="CW11" i="17"/>
  <c r="J120" i="2" s="1"/>
  <c r="CW118" i="17"/>
  <c r="CW104" i="17"/>
  <c r="CU212" i="17"/>
  <c r="CU211" i="17"/>
  <c r="CU255" i="17"/>
  <c r="CV201" i="17"/>
  <c r="CV212" i="17" s="1"/>
  <c r="CV263" i="17"/>
  <c r="CV119" i="17"/>
  <c r="CV13" i="17"/>
  <c r="I122" i="2" s="1"/>
  <c r="CV155" i="17"/>
  <c r="CV143" i="17"/>
  <c r="CX103" i="17"/>
  <c r="CX106" i="17" s="1"/>
  <c r="CX111" i="17" s="1"/>
  <c r="CX69" i="17"/>
  <c r="CX85" i="17" s="1"/>
  <c r="CY110" i="17"/>
  <c r="CY70" i="17"/>
  <c r="CU15" i="17"/>
  <c r="CU258" i="17"/>
  <c r="CW73" i="17"/>
  <c r="AD149" i="12"/>
  <c r="CU200" i="17"/>
  <c r="AZ120" i="2"/>
  <c r="J109" i="20"/>
  <c r="AA109" i="20" s="1"/>
  <c r="CX9" i="17"/>
  <c r="K118" i="2" s="1"/>
  <c r="AY122" i="2"/>
  <c r="I111" i="20"/>
  <c r="Z111" i="20" s="1"/>
  <c r="CX94" i="17"/>
  <c r="BA118" i="2"/>
  <c r="K106" i="20"/>
  <c r="AB106" i="20" s="1"/>
  <c r="CW116" i="17"/>
  <c r="CX104" i="17" l="1"/>
  <c r="CU134" i="17"/>
  <c r="CU269" i="17"/>
  <c r="CU268" i="17"/>
  <c r="CV258" i="17"/>
  <c r="CY9" i="17"/>
  <c r="L118" i="2" s="1"/>
  <c r="CV15" i="17"/>
  <c r="CX115" i="17"/>
  <c r="CY149" i="17"/>
  <c r="CX141" i="17"/>
  <c r="CX145" i="17" s="1"/>
  <c r="CY105" i="17"/>
  <c r="DR66" i="11"/>
  <c r="DF8" i="17"/>
  <c r="CU17" i="17"/>
  <c r="CU121" i="17"/>
  <c r="H124" i="2"/>
  <c r="AZ122" i="2"/>
  <c r="J111" i="20"/>
  <c r="AA111" i="20" s="1"/>
  <c r="CV213" i="17"/>
  <c r="CV211" i="17"/>
  <c r="CV255" i="17"/>
  <c r="CW201" i="17"/>
  <c r="CW263" i="17"/>
  <c r="CX118" i="17"/>
  <c r="CX11" i="17"/>
  <c r="K120" i="2" s="1"/>
  <c r="CW119" i="17"/>
  <c r="CW13" i="17"/>
  <c r="J122" i="2" s="1"/>
  <c r="CU257" i="17"/>
  <c r="CW143" i="17"/>
  <c r="CW154" i="17"/>
  <c r="CW198" i="17"/>
  <c r="CW156" i="17"/>
  <c r="CX206" i="17"/>
  <c r="CX144" i="17"/>
  <c r="DA71" i="17"/>
  <c r="CZ92" i="17"/>
  <c r="CZ94" i="17"/>
  <c r="L106" i="20"/>
  <c r="AC106" i="20" s="1"/>
  <c r="BB118" i="2"/>
  <c r="CY69" i="17"/>
  <c r="CY85" i="17" s="1"/>
  <c r="CY103" i="17"/>
  <c r="CZ70" i="17"/>
  <c r="CZ110" i="17"/>
  <c r="CX117" i="17"/>
  <c r="K109" i="20"/>
  <c r="AB109" i="20" s="1"/>
  <c r="BA120" i="2"/>
  <c r="CV200" i="17"/>
  <c r="CV257" i="17" l="1"/>
  <c r="CZ9" i="17"/>
  <c r="M118" i="2" s="1"/>
  <c r="DB71" i="17"/>
  <c r="DB72" i="17" s="1"/>
  <c r="DA92" i="17"/>
  <c r="DA94" i="17"/>
  <c r="DA93" i="17"/>
  <c r="CW200" i="17"/>
  <c r="BB120" i="2"/>
  <c r="L109" i="20"/>
  <c r="AC109" i="20" s="1"/>
  <c r="CW15" i="17"/>
  <c r="CY116" i="17"/>
  <c r="CY141" i="17"/>
  <c r="CY115" i="17"/>
  <c r="CZ149" i="17"/>
  <c r="CZ105" i="17"/>
  <c r="M106" i="20"/>
  <c r="AD106" i="20" s="1"/>
  <c r="BC118" i="2"/>
  <c r="CX154" i="17"/>
  <c r="CX198" i="17"/>
  <c r="CY144" i="17"/>
  <c r="CX156" i="17"/>
  <c r="CY206" i="17"/>
  <c r="BA122" i="2"/>
  <c r="K111" i="20"/>
  <c r="AB111" i="20" s="1"/>
  <c r="CW213" i="17"/>
  <c r="CX263" i="17"/>
  <c r="CW255" i="17"/>
  <c r="CX201" i="17"/>
  <c r="CW211" i="17"/>
  <c r="CX143" i="17"/>
  <c r="CV17" i="17"/>
  <c r="CV121" i="17"/>
  <c r="I124" i="2"/>
  <c r="CW258" i="17"/>
  <c r="CW269" i="17" s="1"/>
  <c r="CV270" i="17"/>
  <c r="CV268" i="17"/>
  <c r="CV134" i="17"/>
  <c r="CZ69" i="17"/>
  <c r="CZ85" i="17" s="1"/>
  <c r="CZ103" i="17"/>
  <c r="CZ104" i="17" s="1"/>
  <c r="DA70" i="17"/>
  <c r="DA110" i="17"/>
  <c r="CY104" i="17"/>
  <c r="CX119" i="17"/>
  <c r="CX13" i="17"/>
  <c r="K122" i="2" s="1"/>
  <c r="CX150" i="17"/>
  <c r="DF11" i="17" s="1"/>
  <c r="CU10" i="17"/>
  <c r="H119" i="2" s="1"/>
  <c r="AD150" i="12"/>
  <c r="CW107" i="17"/>
  <c r="DF9" i="17"/>
  <c r="CW212" i="17"/>
  <c r="AY124" i="2"/>
  <c r="I113" i="20"/>
  <c r="Z113" i="20" s="1"/>
  <c r="CY118" i="17"/>
  <c r="CY11" i="17"/>
  <c r="L120" i="2" s="1"/>
  <c r="CV269" i="17"/>
  <c r="AY119" i="2" l="1"/>
  <c r="I107" i="20"/>
  <c r="Z107" i="20" s="1"/>
  <c r="CW257" i="17"/>
  <c r="CX200" i="17"/>
  <c r="DA149" i="17"/>
  <c r="CZ117" i="17"/>
  <c r="CZ141" i="17"/>
  <c r="CZ115" i="17"/>
  <c r="DA105" i="17"/>
  <c r="CZ116" i="17"/>
  <c r="L111" i="20"/>
  <c r="AC111" i="20" s="1"/>
  <c r="BB122" i="2"/>
  <c r="CW270" i="17"/>
  <c r="CW268" i="17"/>
  <c r="CW134" i="17"/>
  <c r="CX258" i="17"/>
  <c r="CX15" i="17"/>
  <c r="CY119" i="17"/>
  <c r="CY13" i="17"/>
  <c r="L122" i="2" s="1"/>
  <c r="CY143" i="17"/>
  <c r="DA73" i="17"/>
  <c r="DB88" i="17"/>
  <c r="DW66" i="11" s="1"/>
  <c r="AE149" i="12"/>
  <c r="DB92" i="17"/>
  <c r="DB94" i="17"/>
  <c r="DA9" i="17"/>
  <c r="N118" i="2" s="1"/>
  <c r="CV10" i="17"/>
  <c r="I119" i="2" s="1"/>
  <c r="J113" i="20"/>
  <c r="AA113" i="20" s="1"/>
  <c r="AZ124" i="2"/>
  <c r="CZ118" i="17"/>
  <c r="CZ11" i="17"/>
  <c r="M120" i="2" s="1"/>
  <c r="BD118" i="2"/>
  <c r="N106" i="20"/>
  <c r="AE106" i="20" s="1"/>
  <c r="M109" i="20"/>
  <c r="AD109" i="20" s="1"/>
  <c r="BC120" i="2"/>
  <c r="DA69" i="17"/>
  <c r="DA85" i="17" s="1"/>
  <c r="DB70" i="17"/>
  <c r="DA103" i="17"/>
  <c r="DB110" i="17"/>
  <c r="CX211" i="17"/>
  <c r="CY263" i="17"/>
  <c r="CY201" i="17"/>
  <c r="CX255" i="17"/>
  <c r="CX257" i="17" s="1"/>
  <c r="CY155" i="17"/>
  <c r="CY154" i="17"/>
  <c r="CY198" i="17"/>
  <c r="CZ206" i="17"/>
  <c r="CZ144" i="17"/>
  <c r="CZ155" i="17" s="1"/>
  <c r="J124" i="2"/>
  <c r="CW121" i="17"/>
  <c r="CW17" i="17"/>
  <c r="CX202" i="17"/>
  <c r="CX213" i="17" s="1"/>
  <c r="CZ119" i="17" l="1"/>
  <c r="CZ13" i="17"/>
  <c r="M122" i="2" s="1"/>
  <c r="DA104" i="17"/>
  <c r="J107" i="20"/>
  <c r="AA107" i="20" s="1"/>
  <c r="AZ119" i="2"/>
  <c r="CX268" i="17"/>
  <c r="CX134" i="17"/>
  <c r="CY258" i="17"/>
  <c r="CX259" i="17"/>
  <c r="CY200" i="17"/>
  <c r="CY15" i="17"/>
  <c r="DB103" i="17"/>
  <c r="DB69" i="17"/>
  <c r="DB85" i="17" s="1"/>
  <c r="CW10" i="17"/>
  <c r="J119" i="2" s="1"/>
  <c r="CZ143" i="17"/>
  <c r="K113" i="20"/>
  <c r="AB113" i="20" s="1"/>
  <c r="BA124" i="2"/>
  <c r="BE118" i="2"/>
  <c r="O106" i="20"/>
  <c r="AF106" i="20" s="1"/>
  <c r="CX17" i="17"/>
  <c r="CX121" i="17"/>
  <c r="K124" i="2"/>
  <c r="CX207" i="17"/>
  <c r="DF13" i="17" s="1"/>
  <c r="CZ154" i="17"/>
  <c r="CZ156" i="17"/>
  <c r="DA206" i="17"/>
  <c r="DA144" i="17"/>
  <c r="CZ198" i="17"/>
  <c r="CY211" i="17"/>
  <c r="CY212" i="17"/>
  <c r="CZ263" i="17"/>
  <c r="CY255" i="17"/>
  <c r="CZ201" i="17"/>
  <c r="DB9" i="17"/>
  <c r="O118" i="2" s="1"/>
  <c r="N109" i="20"/>
  <c r="AE109" i="20" s="1"/>
  <c r="BD120" i="2"/>
  <c r="M111" i="20"/>
  <c r="AD111" i="20" s="1"/>
  <c r="BC122" i="2"/>
  <c r="DB149" i="17"/>
  <c r="DA115" i="17"/>
  <c r="DA117" i="17"/>
  <c r="DB105" i="17"/>
  <c r="DA141" i="17"/>
  <c r="DA116" i="17"/>
  <c r="DA11" i="17"/>
  <c r="N120" i="2" s="1"/>
  <c r="DA118" i="17"/>
  <c r="CY257" i="17" l="1"/>
  <c r="CZ211" i="17"/>
  <c r="DA201" i="17"/>
  <c r="DA263" i="17"/>
  <c r="CZ213" i="17"/>
  <c r="CZ255" i="17"/>
  <c r="CZ200" i="17"/>
  <c r="BB124" i="2"/>
  <c r="L113" i="20"/>
  <c r="AC113" i="20" s="1"/>
  <c r="CX273" i="17"/>
  <c r="CX264" i="17"/>
  <c r="DF15" i="17" s="1"/>
  <c r="DA143" i="17"/>
  <c r="DB11" i="17"/>
  <c r="O120" i="2" s="1"/>
  <c r="DB118" i="17"/>
  <c r="CZ212" i="17"/>
  <c r="DA156" i="17"/>
  <c r="DA154" i="17"/>
  <c r="DB206" i="17"/>
  <c r="DB144" i="17"/>
  <c r="DA198" i="17"/>
  <c r="DA200" i="17" s="1"/>
  <c r="BA119" i="2"/>
  <c r="K107" i="20"/>
  <c r="AB107" i="20" s="1"/>
  <c r="CY121" i="17"/>
  <c r="CY17" i="17"/>
  <c r="L124" i="2"/>
  <c r="CY134" i="17"/>
  <c r="CY269" i="17"/>
  <c r="CY268" i="17"/>
  <c r="CZ258" i="17"/>
  <c r="DB141" i="17"/>
  <c r="DB115" i="17"/>
  <c r="CZ15" i="17"/>
  <c r="DA119" i="17"/>
  <c r="DA13" i="17"/>
  <c r="N122" i="2" s="1"/>
  <c r="CX10" i="17"/>
  <c r="K119" i="2" s="1"/>
  <c r="BD122" i="2"/>
  <c r="N111" i="20"/>
  <c r="AE111" i="20" s="1"/>
  <c r="BE120" i="2"/>
  <c r="O109" i="20"/>
  <c r="AF109" i="20" s="1"/>
  <c r="P106" i="20"/>
  <c r="AG106" i="20" s="1"/>
  <c r="BF118" i="2"/>
  <c r="DA155" i="17"/>
  <c r="DB104" i="17"/>
  <c r="CX270" i="17"/>
  <c r="DB106" i="17"/>
  <c r="DB117" i="17" s="1"/>
  <c r="DB143" i="17" l="1"/>
  <c r="BC124" i="2"/>
  <c r="M113" i="20"/>
  <c r="AD113" i="20" s="1"/>
  <c r="BE122" i="2"/>
  <c r="O111" i="20"/>
  <c r="AF111" i="20" s="1"/>
  <c r="CZ17" i="17"/>
  <c r="CZ121" i="17"/>
  <c r="M124" i="2"/>
  <c r="CZ270" i="17"/>
  <c r="CZ268" i="17"/>
  <c r="CZ134" i="17"/>
  <c r="DA258" i="17"/>
  <c r="DA269" i="17" s="1"/>
  <c r="CY10" i="17"/>
  <c r="L119" i="2" s="1"/>
  <c r="BF120" i="2"/>
  <c r="P109" i="20"/>
  <c r="AG109" i="20" s="1"/>
  <c r="DA15" i="17"/>
  <c r="CZ269" i="17"/>
  <c r="DB154" i="17"/>
  <c r="DB198" i="17"/>
  <c r="DB145" i="17"/>
  <c r="DA213" i="17"/>
  <c r="DB201" i="17"/>
  <c r="DA211" i="17"/>
  <c r="DB263" i="17"/>
  <c r="DA255" i="17"/>
  <c r="DA212" i="17"/>
  <c r="AE150" i="12"/>
  <c r="DB111" i="17"/>
  <c r="DA107" i="17"/>
  <c r="BB119" i="2"/>
  <c r="L107" i="20"/>
  <c r="AC107" i="20" s="1"/>
  <c r="DB119" i="17"/>
  <c r="DB13" i="17"/>
  <c r="O122" i="2" s="1"/>
  <c r="CZ257" i="17"/>
  <c r="DA257" i="17" l="1"/>
  <c r="DA121" i="17"/>
  <c r="DA17" i="17"/>
  <c r="N124" i="2"/>
  <c r="DB15" i="17"/>
  <c r="DB150" i="17"/>
  <c r="DA268" i="17"/>
  <c r="DB258" i="17"/>
  <c r="DA270" i="17"/>
  <c r="DA134" i="17"/>
  <c r="N113" i="20"/>
  <c r="AE113" i="20" s="1"/>
  <c r="BD124" i="2"/>
  <c r="BF122" i="2"/>
  <c r="P111" i="20"/>
  <c r="AG111" i="20" s="1"/>
  <c r="DB156" i="17"/>
  <c r="CZ10" i="17"/>
  <c r="M119" i="2" s="1"/>
  <c r="DB211" i="17"/>
  <c r="DB255" i="17"/>
  <c r="DB200" i="17"/>
  <c r="DB202" i="17"/>
  <c r="DB213" i="17" s="1"/>
  <c r="M107" i="20"/>
  <c r="AD107" i="20" s="1"/>
  <c r="BC119" i="2"/>
  <c r="DB257" i="17" l="1"/>
  <c r="DA10" i="17"/>
  <c r="N119" i="2" s="1"/>
  <c r="O113" i="20"/>
  <c r="AF113" i="20" s="1"/>
  <c r="BE124" i="2"/>
  <c r="BD119" i="2"/>
  <c r="N107" i="20"/>
  <c r="AE107" i="20" s="1"/>
  <c r="DB134" i="17"/>
  <c r="DB268" i="17"/>
  <c r="DB259" i="17"/>
  <c r="DB270" i="17" s="1"/>
  <c r="DB207" i="17"/>
  <c r="DB17" i="17"/>
  <c r="O124" i="2"/>
  <c r="DB121" i="17"/>
  <c r="DB10" i="17" l="1"/>
  <c r="O119" i="2" s="1"/>
  <c r="P113" i="20"/>
  <c r="AG113" i="20" s="1"/>
  <c r="BF124" i="2"/>
  <c r="O107" i="20"/>
  <c r="AF107" i="20" s="1"/>
  <c r="BE119" i="2"/>
  <c r="DB264" i="17"/>
  <c r="DB273" i="17"/>
  <c r="BF119" i="2" l="1"/>
  <c r="P107" i="20"/>
  <c r="AG107" i="20" s="1"/>
  <c r="AD171" i="8" l="1"/>
  <c r="AC178" i="8"/>
  <c r="AC171" i="8"/>
  <c r="AC166" i="8"/>
  <c r="AD173" i="8" s="1"/>
  <c r="AC145" i="8" l="1"/>
  <c r="AC169" i="8" s="1"/>
  <c r="AC180" i="8"/>
  <c r="AC173" i="8"/>
  <c r="AC168" i="8"/>
  <c r="AD175" i="8" l="1"/>
  <c r="AC260" i="7"/>
  <c r="AC147" i="8"/>
  <c r="AC175" i="8"/>
  <c r="AC182" i="8"/>
  <c r="AC190" i="8"/>
  <c r="AC152" i="8"/>
  <c r="AD152" i="8"/>
  <c r="AC159" i="8"/>
  <c r="AD272" i="7" l="1"/>
  <c r="AC272" i="7"/>
  <c r="AC261" i="7"/>
  <c r="AC161" i="8"/>
  <c r="AC154" i="8"/>
  <c r="AD154" i="8"/>
  <c r="AC192" i="8"/>
  <c r="AC107" i="8"/>
  <c r="AC248" i="8"/>
  <c r="AC250" i="8" s="1"/>
  <c r="AC193" i="8"/>
  <c r="AD197" i="8"/>
  <c r="AC197" i="8"/>
  <c r="AD204" i="8" l="1"/>
  <c r="AD228" i="7"/>
  <c r="AC199" i="8"/>
  <c r="AC206" i="8" s="1"/>
  <c r="AD199" i="8"/>
  <c r="AD206" i="8" s="1"/>
  <c r="AC228" i="7"/>
  <c r="AC204" i="8"/>
  <c r="AD273" i="7"/>
  <c r="AC273" i="7"/>
  <c r="AC254" i="8"/>
  <c r="AE229" i="7" l="1"/>
  <c r="AC229" i="7"/>
  <c r="AD229" i="7"/>
  <c r="AC9" i="7"/>
  <c r="AD9" i="7" l="1"/>
  <c r="EN9" i="6" s="1"/>
  <c r="AC73" i="7"/>
  <c r="EH8" i="6" s="1"/>
  <c r="EH57" i="6" s="1"/>
  <c r="EH9" i="6"/>
  <c r="EG9" i="6" s="1"/>
  <c r="EG58" i="6" s="1"/>
  <c r="AC13" i="7"/>
  <c r="AD73" i="7"/>
  <c r="AD75" i="7" s="1"/>
  <c r="AD13" i="7"/>
  <c r="AE9" i="7"/>
  <c r="AC77" i="7"/>
  <c r="AC92" i="7"/>
  <c r="AC75" i="7"/>
  <c r="E213" i="2" l="1"/>
  <c r="H407" i="20" s="1"/>
  <c r="Y407" i="20" s="1"/>
  <c r="AC624" i="7"/>
  <c r="AC22" i="7"/>
  <c r="EJ16" i="6"/>
  <c r="EJ22" i="6" s="1"/>
  <c r="AC691" i="7"/>
  <c r="AC697" i="7" s="1"/>
  <c r="AC34" i="7"/>
  <c r="AC35" i="7" s="1"/>
  <c r="AC36" i="7" s="1"/>
  <c r="AC14" i="7"/>
  <c r="AC182" i="7"/>
  <c r="AC356" i="7" s="1"/>
  <c r="EH12" i="6"/>
  <c r="EH61" i="6" s="1"/>
  <c r="AC78" i="7"/>
  <c r="AC89" i="7" s="1"/>
  <c r="EH58" i="6"/>
  <c r="AC76" i="7"/>
  <c r="AC98" i="7"/>
  <c r="ET9" i="6"/>
  <c r="AE13" i="7"/>
  <c r="AE14" i="7" s="1"/>
  <c r="AE73" i="7"/>
  <c r="AE75" i="7" s="1"/>
  <c r="EN58" i="6"/>
  <c r="EM9" i="6"/>
  <c r="AD22" i="7"/>
  <c r="AD624" i="7"/>
  <c r="EP16" i="6"/>
  <c r="AD34" i="7"/>
  <c r="AD691" i="7"/>
  <c r="AD697" i="7" s="1"/>
  <c r="F213" i="2"/>
  <c r="AD182" i="7"/>
  <c r="AC99" i="7"/>
  <c r="AC81" i="7"/>
  <c r="AC108" i="7"/>
  <c r="AC188" i="7"/>
  <c r="AD92" i="7"/>
  <c r="AD76" i="7"/>
  <c r="AD77" i="7"/>
  <c r="EN8" i="6"/>
  <c r="AD14" i="7"/>
  <c r="I414" i="20" l="1"/>
  <c r="Z414" i="20" s="1"/>
  <c r="G452" i="20"/>
  <c r="X452" i="20" s="1"/>
  <c r="H414" i="20"/>
  <c r="Y414" i="20" s="1"/>
  <c r="I423" i="20"/>
  <c r="Z423" i="20" s="1"/>
  <c r="AV213" i="2"/>
  <c r="H423" i="20"/>
  <c r="Y423" i="20" s="1"/>
  <c r="EJ65" i="6"/>
  <c r="H429" i="20"/>
  <c r="Y429" i="20" s="1"/>
  <c r="G454" i="20"/>
  <c r="X454" i="20" s="1"/>
  <c r="I407" i="20"/>
  <c r="Z407" i="20" s="1"/>
  <c r="AC38" i="7"/>
  <c r="AC629" i="7"/>
  <c r="AC377" i="7"/>
  <c r="AC80" i="7"/>
  <c r="EG16" i="6"/>
  <c r="EG65" i="6" s="1"/>
  <c r="EI8" i="6"/>
  <c r="E200" i="2"/>
  <c r="AC93" i="7"/>
  <c r="EH22" i="6"/>
  <c r="EH71" i="6" s="1"/>
  <c r="AC383" i="7"/>
  <c r="AC460" i="7"/>
  <c r="AD356" i="7"/>
  <c r="AD188" i="7"/>
  <c r="AD377" i="7"/>
  <c r="AC37" i="7"/>
  <c r="EN57" i="6"/>
  <c r="EN12" i="6"/>
  <c r="AC362" i="7"/>
  <c r="J407" i="20"/>
  <c r="AA407" i="20" s="1"/>
  <c r="K407" i="20"/>
  <c r="AB407" i="20" s="1"/>
  <c r="I454" i="20"/>
  <c r="Z454" i="20" s="1"/>
  <c r="K423" i="20"/>
  <c r="AB423" i="20" s="1"/>
  <c r="I452" i="20"/>
  <c r="Z452" i="20" s="1"/>
  <c r="J429" i="20"/>
  <c r="AA429" i="20" s="1"/>
  <c r="K414" i="20"/>
  <c r="AB414" i="20" s="1"/>
  <c r="J423" i="20"/>
  <c r="AA423" i="20" s="1"/>
  <c r="AW213" i="2"/>
  <c r="J414" i="20"/>
  <c r="AA414" i="20" s="1"/>
  <c r="EM16" i="6"/>
  <c r="EP65" i="6"/>
  <c r="EP22" i="6"/>
  <c r="EJ29" i="6"/>
  <c r="EJ71" i="6"/>
  <c r="AE92" i="7"/>
  <c r="AE76" i="7"/>
  <c r="ET8" i="6"/>
  <c r="AE77" i="7"/>
  <c r="AC82" i="7"/>
  <c r="AC181" i="7"/>
  <c r="AC115" i="7"/>
  <c r="AC119" i="7"/>
  <c r="AC236" i="7" s="1"/>
  <c r="E204" i="2"/>
  <c r="AV204" i="2" s="1"/>
  <c r="AE22" i="7"/>
  <c r="AE624" i="7"/>
  <c r="EV16" i="6"/>
  <c r="AE34" i="7"/>
  <c r="G213" i="2"/>
  <c r="AE182" i="7"/>
  <c r="AE691" i="7"/>
  <c r="AE697" i="7" s="1"/>
  <c r="ET58" i="6"/>
  <c r="ES9" i="6"/>
  <c r="AC650" i="7"/>
  <c r="AC631" i="7"/>
  <c r="AD35" i="7"/>
  <c r="AD36" i="7" s="1"/>
  <c r="AD37" i="7" s="1"/>
  <c r="AD38" i="7"/>
  <c r="AD39" i="7" s="1"/>
  <c r="AD629" i="7"/>
  <c r="EM58" i="6"/>
  <c r="AC39" i="7"/>
  <c r="EL16" i="6" l="1"/>
  <c r="EL65" i="6" s="1"/>
  <c r="I384" i="20"/>
  <c r="Z384" i="20" s="1"/>
  <c r="H379" i="20"/>
  <c r="Y379" i="20" s="1"/>
  <c r="I379" i="20"/>
  <c r="Z379" i="20" s="1"/>
  <c r="AV200" i="2"/>
  <c r="H375" i="20"/>
  <c r="Y375" i="20" s="1"/>
  <c r="I375" i="20"/>
  <c r="Z375" i="20" s="1"/>
  <c r="H384" i="20"/>
  <c r="Y384" i="20" s="1"/>
  <c r="EI12" i="6"/>
  <c r="EI22" i="6" s="1"/>
  <c r="EI57" i="6"/>
  <c r="EH29" i="6"/>
  <c r="EH78" i="6" s="1"/>
  <c r="L414" i="20"/>
  <c r="AC414" i="20" s="1"/>
  <c r="M414" i="20"/>
  <c r="AD414" i="20" s="1"/>
  <c r="M407" i="20"/>
  <c r="AD407" i="20" s="1"/>
  <c r="M423" i="20"/>
  <c r="AD423" i="20" s="1"/>
  <c r="K454" i="20"/>
  <c r="AB454" i="20" s="1"/>
  <c r="L423" i="20"/>
  <c r="AC423" i="20" s="1"/>
  <c r="K452" i="20"/>
  <c r="AB452" i="20" s="1"/>
  <c r="AX213" i="2"/>
  <c r="L407" i="20"/>
  <c r="AC407" i="20" s="1"/>
  <c r="L429" i="20"/>
  <c r="AC429" i="20" s="1"/>
  <c r="AC237" i="7"/>
  <c r="AC466" i="7"/>
  <c r="AC632" i="7"/>
  <c r="AE629" i="7"/>
  <c r="EP29" i="6"/>
  <c r="EP71" i="6"/>
  <c r="AD650" i="7"/>
  <c r="AD631" i="7"/>
  <c r="ET57" i="6"/>
  <c r="ET12" i="6"/>
  <c r="AE356" i="7"/>
  <c r="AE188" i="7"/>
  <c r="AE377" i="7"/>
  <c r="ES16" i="6"/>
  <c r="EV65" i="6"/>
  <c r="EV22" i="6"/>
  <c r="AC355" i="7"/>
  <c r="AC376" i="7"/>
  <c r="AC183" i="7"/>
  <c r="AC187" i="7"/>
  <c r="EM65" i="6"/>
  <c r="ER16" i="6"/>
  <c r="ER65" i="6" s="1"/>
  <c r="EN61" i="6"/>
  <c r="EN22" i="6"/>
  <c r="AD362" i="7"/>
  <c r="ES58" i="6"/>
  <c r="EJ78" i="6"/>
  <c r="EJ34" i="6"/>
  <c r="AE38" i="7"/>
  <c r="AE39" i="7" s="1"/>
  <c r="AE35" i="7"/>
  <c r="AE36" i="7" s="1"/>
  <c r="AE37" i="7" s="1"/>
  <c r="AD383" i="7"/>
  <c r="AD460" i="7"/>
  <c r="EI61" i="6" l="1"/>
  <c r="EH34" i="6"/>
  <c r="EH39" i="6" s="1"/>
  <c r="EJ39" i="6"/>
  <c r="EJ83" i="6"/>
  <c r="AC382" i="7"/>
  <c r="AC459" i="7"/>
  <c r="AC378" i="7"/>
  <c r="AE362" i="7"/>
  <c r="ET22" i="6"/>
  <c r="ET61" i="6"/>
  <c r="EN71" i="6"/>
  <c r="EN29" i="6"/>
  <c r="ES65" i="6"/>
  <c r="EX16" i="6"/>
  <c r="EX65" i="6" s="1"/>
  <c r="AD466" i="7"/>
  <c r="AC357" i="7"/>
  <c r="AC361" i="7"/>
  <c r="AE383" i="7"/>
  <c r="AE460" i="7"/>
  <c r="EI71" i="6"/>
  <c r="EI29" i="6"/>
  <c r="EG22" i="6"/>
  <c r="EG71" i="6" s="1"/>
  <c r="AD632" i="7"/>
  <c r="EP34" i="6"/>
  <c r="EP78" i="6"/>
  <c r="AC189" i="7"/>
  <c r="EV71" i="6"/>
  <c r="EV29" i="6"/>
  <c r="AE650" i="7"/>
  <c r="AE631" i="7"/>
  <c r="EH83" i="6" l="1"/>
  <c r="AE632" i="7"/>
  <c r="AE466" i="7"/>
  <c r="AC363" i="7"/>
  <c r="EN78" i="6"/>
  <c r="EN34" i="6"/>
  <c r="AC384" i="7"/>
  <c r="EV34" i="6"/>
  <c r="EV78" i="6"/>
  <c r="EH88" i="6"/>
  <c r="ET71" i="6"/>
  <c r="ET29" i="6"/>
  <c r="EJ88" i="6"/>
  <c r="AC461" i="7"/>
  <c r="AC465" i="7"/>
  <c r="EP39" i="6"/>
  <c r="EP83" i="6"/>
  <c r="EI78" i="6"/>
  <c r="EI34" i="6"/>
  <c r="EG29" i="6"/>
  <c r="EG78" i="6" s="1"/>
  <c r="EP88" i="6" l="1"/>
  <c r="ET78" i="6"/>
  <c r="ET34" i="6"/>
  <c r="EI39" i="6"/>
  <c r="EI83" i="6"/>
  <c r="EG34" i="6"/>
  <c r="EG83" i="6" s="1"/>
  <c r="AC467" i="7"/>
  <c r="EV39" i="6"/>
  <c r="EV83" i="6"/>
  <c r="EN83" i="6"/>
  <c r="EN39" i="6"/>
  <c r="EI88" i="6" l="1"/>
  <c r="EG39" i="6"/>
  <c r="EN88" i="6"/>
  <c r="EV88" i="6"/>
  <c r="ET83" i="6"/>
  <c r="ET39" i="6"/>
  <c r="ET88" i="6" l="1"/>
  <c r="EG88" i="6"/>
  <c r="AC430" i="12" l="1"/>
  <c r="AC433" i="12" s="1"/>
  <c r="AC267" i="12"/>
  <c r="AC268" i="12" s="1"/>
  <c r="AC298" i="12" s="1"/>
  <c r="EG47" i="6"/>
  <c r="EG96" i="6" s="1"/>
  <c r="E142" i="2"/>
  <c r="AD260" i="12"/>
  <c r="AD544" i="7" s="1"/>
  <c r="AC544" i="7"/>
  <c r="AE260" i="12" l="1"/>
  <c r="AE267" i="12" s="1"/>
  <c r="AE268" i="12" s="1"/>
  <c r="AC551" i="7"/>
  <c r="AC273" i="12"/>
  <c r="EG48" i="6"/>
  <c r="EG97" i="6" s="1"/>
  <c r="AD551" i="7"/>
  <c r="AV142" i="2"/>
  <c r="H183" i="20"/>
  <c r="Y183" i="20" s="1"/>
  <c r="H179" i="20"/>
  <c r="Y179" i="20" s="1"/>
  <c r="E314" i="2"/>
  <c r="E308" i="2"/>
  <c r="I179" i="20"/>
  <c r="Z179" i="20" s="1"/>
  <c r="I183" i="20"/>
  <c r="Z183" i="20" s="1"/>
  <c r="AD430" i="12"/>
  <c r="AD433" i="12" s="1"/>
  <c r="EM47" i="6"/>
  <c r="F142" i="2"/>
  <c r="AD267" i="12"/>
  <c r="AC304" i="12"/>
  <c r="AC300" i="12"/>
  <c r="AC274" i="12"/>
  <c r="AC269" i="12"/>
  <c r="AE544" i="7" l="1"/>
  <c r="G142" i="2"/>
  <c r="M183" i="20" s="1"/>
  <c r="AD183" i="20" s="1"/>
  <c r="AE273" i="12"/>
  <c r="AE430" i="12"/>
  <c r="AE433" i="12" s="1"/>
  <c r="ES47" i="6"/>
  <c r="ES96" i="6" s="1"/>
  <c r="EL48" i="6"/>
  <c r="EL97" i="6" s="1"/>
  <c r="AC548" i="7"/>
  <c r="AC541" i="7" s="1"/>
  <c r="AC550" i="7"/>
  <c r="AC543" i="7" s="1"/>
  <c r="EM96" i="6"/>
  <c r="AC306" i="12"/>
  <c r="AC338" i="12"/>
  <c r="AC301" i="12"/>
  <c r="AE551" i="7"/>
  <c r="AD550" i="7"/>
  <c r="AD548" i="7"/>
  <c r="L179" i="20"/>
  <c r="AC179" i="20" s="1"/>
  <c r="AD268" i="12"/>
  <c r="AE274" i="12" s="1"/>
  <c r="AD273" i="12"/>
  <c r="K179" i="20"/>
  <c r="AB179" i="20" s="1"/>
  <c r="J183" i="20"/>
  <c r="AA183" i="20" s="1"/>
  <c r="F314" i="2"/>
  <c r="J179" i="20"/>
  <c r="AA179" i="20" s="1"/>
  <c r="AW142" i="2"/>
  <c r="K183" i="20"/>
  <c r="AB183" i="20" s="1"/>
  <c r="F308" i="2"/>
  <c r="AE298" i="12"/>
  <c r="AE269" i="12"/>
  <c r="M179" i="20" l="1"/>
  <c r="AD179" i="20" s="1"/>
  <c r="AX142" i="2"/>
  <c r="G314" i="2"/>
  <c r="G308" i="2"/>
  <c r="L183" i="20"/>
  <c r="AC183" i="20" s="1"/>
  <c r="AD543" i="7"/>
  <c r="AD760" i="7" s="1"/>
  <c r="AD762" i="7" s="1"/>
  <c r="AD541" i="7"/>
  <c r="AD719" i="7" s="1"/>
  <c r="AD720" i="7" s="1"/>
  <c r="EJ47" i="6"/>
  <c r="AC760" i="7"/>
  <c r="AC762" i="7" s="1"/>
  <c r="AC563" i="7"/>
  <c r="AC719" i="7"/>
  <c r="AC720" i="7" s="1"/>
  <c r="EH47" i="6"/>
  <c r="AC542" i="7"/>
  <c r="AC545" i="7" s="1"/>
  <c r="AE300" i="12"/>
  <c r="AE548" i="7"/>
  <c r="AE550" i="7"/>
  <c r="AD298" i="12"/>
  <c r="AD269" i="12"/>
  <c r="AD274" i="12"/>
  <c r="AC345" i="12"/>
  <c r="AE543" i="7" l="1"/>
  <c r="EV47" i="6" s="1"/>
  <c r="EP47" i="6"/>
  <c r="AE541" i="7"/>
  <c r="AE719" i="7" s="1"/>
  <c r="AE720" i="7" s="1"/>
  <c r="EN47" i="6"/>
  <c r="EN96" i="6" s="1"/>
  <c r="AD563" i="7"/>
  <c r="AD542" i="7"/>
  <c r="E196" i="2"/>
  <c r="AC663" i="7"/>
  <c r="E227" i="2"/>
  <c r="AC736" i="7"/>
  <c r="EI47" i="6"/>
  <c r="EJ96" i="6"/>
  <c r="EH96" i="6"/>
  <c r="EH48" i="6"/>
  <c r="AC572" i="7"/>
  <c r="AD300" i="12"/>
  <c r="AE306" i="12" s="1"/>
  <c r="AD304" i="12"/>
  <c r="AE304" i="12"/>
  <c r="F196" i="2"/>
  <c r="EP96" i="6"/>
  <c r="AD663" i="7"/>
  <c r="F227" i="2"/>
  <c r="AE301" i="12"/>
  <c r="AE338" i="12"/>
  <c r="AE760" i="7" l="1"/>
  <c r="AE762" i="7" s="1"/>
  <c r="AE542" i="7"/>
  <c r="AE736" i="7" s="1"/>
  <c r="AE563" i="7"/>
  <c r="AE572" i="7" s="1"/>
  <c r="EN48" i="6"/>
  <c r="EN97" i="6" s="1"/>
  <c r="AD572" i="7"/>
  <c r="AD736" i="7"/>
  <c r="AD545" i="7"/>
  <c r="ET47" i="6"/>
  <c r="EO47" i="6"/>
  <c r="ER47" i="6" s="1"/>
  <c r="ER96" i="6" s="1"/>
  <c r="EL47" i="6"/>
  <c r="EL96" i="6" s="1"/>
  <c r="EI96" i="6"/>
  <c r="EH97" i="6"/>
  <c r="AV227" i="2"/>
  <c r="I427" i="20"/>
  <c r="Z427" i="20" s="1"/>
  <c r="H427" i="20"/>
  <c r="Y427" i="20" s="1"/>
  <c r="I351" i="20"/>
  <c r="Z351" i="20" s="1"/>
  <c r="AV196" i="2"/>
  <c r="H351" i="20"/>
  <c r="Y351" i="20" s="1"/>
  <c r="I353" i="20"/>
  <c r="Z353" i="20" s="1"/>
  <c r="H353" i="20"/>
  <c r="Y353" i="20" s="1"/>
  <c r="G196" i="2"/>
  <c r="AD306" i="12"/>
  <c r="AD301" i="12"/>
  <c r="AD338" i="12"/>
  <c r="AE345" i="12" s="1"/>
  <c r="AE663" i="7"/>
  <c r="G227" i="2"/>
  <c r="J351" i="20"/>
  <c r="AA351" i="20" s="1"/>
  <c r="K353" i="20"/>
  <c r="AB353" i="20" s="1"/>
  <c r="AW196" i="2"/>
  <c r="J353" i="20"/>
  <c r="AA353" i="20" s="1"/>
  <c r="K351" i="20"/>
  <c r="AB351" i="20" s="1"/>
  <c r="EU47" i="6"/>
  <c r="EV96" i="6"/>
  <c r="K427" i="20"/>
  <c r="AB427" i="20" s="1"/>
  <c r="J427" i="20"/>
  <c r="AA427" i="20" s="1"/>
  <c r="AW227" i="2"/>
  <c r="AE545" i="7" l="1"/>
  <c r="EO96" i="6"/>
  <c r="EX47" i="6"/>
  <c r="EX96" i="6" s="1"/>
  <c r="ET96" i="6"/>
  <c r="ET48" i="6"/>
  <c r="AX227" i="2"/>
  <c r="M427" i="20"/>
  <c r="AD427" i="20" s="1"/>
  <c r="L427" i="20"/>
  <c r="AC427" i="20" s="1"/>
  <c r="AX196" i="2"/>
  <c r="M353" i="20"/>
  <c r="AD353" i="20" s="1"/>
  <c r="L353" i="20"/>
  <c r="AC353" i="20" s="1"/>
  <c r="L351" i="20"/>
  <c r="AC351" i="20" s="1"/>
  <c r="M351" i="20"/>
  <c r="AD351" i="20" s="1"/>
  <c r="EU96" i="6"/>
  <c r="AD345" i="12"/>
  <c r="AC48" i="12"/>
  <c r="AC45" i="12" s="1"/>
  <c r="AD45" i="12" s="1"/>
  <c r="AE45" i="12" s="1"/>
  <c r="DN71" i="11"/>
  <c r="AC177" i="12" s="1"/>
  <c r="DP71" i="11" l="1"/>
  <c r="E128" i="2"/>
  <c r="E321" i="2" s="1"/>
  <c r="E322" i="2" s="1"/>
  <c r="ET97" i="6"/>
  <c r="DN76" i="11"/>
  <c r="DM76" i="11" s="1"/>
  <c r="AV128" i="2" l="1"/>
  <c r="E296" i="2"/>
  <c r="H146" i="20" s="1"/>
  <c r="Y146" i="20" s="1"/>
  <c r="DS71" i="11"/>
  <c r="DP73" i="11"/>
  <c r="DQ71" i="11"/>
  <c r="AC236" i="12" s="1"/>
  <c r="AC229" i="12" s="1"/>
  <c r="H147" i="20"/>
  <c r="Y147" i="20" s="1"/>
  <c r="AC565" i="7" l="1"/>
  <c r="AC424" i="12"/>
  <c r="AC427" i="12" s="1"/>
  <c r="AC763" i="7"/>
  <c r="AC764" i="7" s="1"/>
  <c r="AC662" i="7"/>
  <c r="EJ46" i="6"/>
  <c r="E226" i="2"/>
  <c r="DQ73" i="11"/>
  <c r="AC237" i="12" s="1"/>
  <c r="AC230" i="12" s="1"/>
  <c r="DP74" i="11"/>
  <c r="DS76" i="11"/>
  <c r="DR76" i="11" s="1"/>
  <c r="DU71" i="11"/>
  <c r="AD177" i="12"/>
  <c r="H431" i="20" l="1"/>
  <c r="Y431" i="20" s="1"/>
  <c r="H432" i="20"/>
  <c r="Y432" i="20" s="1"/>
  <c r="E320" i="2"/>
  <c r="H426" i="20"/>
  <c r="Y426" i="20" s="1"/>
  <c r="I426" i="20"/>
  <c r="Z426" i="20" s="1"/>
  <c r="AV226" i="2"/>
  <c r="H430" i="20"/>
  <c r="Y430" i="20" s="1"/>
  <c r="DQ74" i="11"/>
  <c r="AC238" i="12" s="1"/>
  <c r="DP76" i="11"/>
  <c r="DO76" i="11" s="1"/>
  <c r="EJ48" i="6"/>
  <c r="EJ95" i="6"/>
  <c r="DX71" i="11"/>
  <c r="DV71" i="11"/>
  <c r="AD236" i="12" s="1"/>
  <c r="AD229" i="12" s="1"/>
  <c r="DU73" i="11"/>
  <c r="DV73" i="11" s="1"/>
  <c r="AD237" i="12" s="1"/>
  <c r="AD230" i="12" s="1"/>
  <c r="F128" i="2"/>
  <c r="AC735" i="7"/>
  <c r="AC737" i="7" s="1"/>
  <c r="AC232" i="12"/>
  <c r="EI46" i="6"/>
  <c r="AC564" i="7"/>
  <c r="AC664" i="7"/>
  <c r="AC587" i="7"/>
  <c r="AC574" i="7"/>
  <c r="AC603" i="7"/>
  <c r="DU74" i="11" l="1"/>
  <c r="DU76" i="11" s="1"/>
  <c r="DT76" i="11" s="1"/>
  <c r="AC573" i="7"/>
  <c r="AC566" i="7"/>
  <c r="AC567" i="7" s="1"/>
  <c r="AC605" i="7"/>
  <c r="F296" i="2"/>
  <c r="I146" i="20" s="1"/>
  <c r="Z146" i="20" s="1"/>
  <c r="AW128" i="2"/>
  <c r="F321" i="2"/>
  <c r="F322" i="2" s="1"/>
  <c r="I147" i="20" s="1"/>
  <c r="Z147" i="20" s="1"/>
  <c r="AC589" i="7"/>
  <c r="AC592" i="7"/>
  <c r="E209" i="2"/>
  <c r="AD763" i="7"/>
  <c r="AD764" i="7" s="1"/>
  <c r="AD565" i="7"/>
  <c r="F226" i="2"/>
  <c r="AD424" i="12"/>
  <c r="AD427" i="12" s="1"/>
  <c r="EP46" i="6"/>
  <c r="AD662" i="7"/>
  <c r="EI95" i="6"/>
  <c r="EL46" i="6"/>
  <c r="EI48" i="6"/>
  <c r="DX76" i="11"/>
  <c r="DW76" i="11" s="1"/>
  <c r="AE177" i="12"/>
  <c r="DZ71" i="11"/>
  <c r="AC665" i="7"/>
  <c r="E229" i="2"/>
  <c r="AV229" i="2" s="1"/>
  <c r="AC687" i="7"/>
  <c r="AD232" i="12"/>
  <c r="AD735" i="7"/>
  <c r="AD737" i="7" s="1"/>
  <c r="EO46" i="6"/>
  <c r="EJ97" i="6"/>
  <c r="DV74" i="11" l="1"/>
  <c r="AD238" i="12" s="1"/>
  <c r="EP95" i="6"/>
  <c r="EP48" i="6"/>
  <c r="F209" i="2"/>
  <c r="J432" i="20"/>
  <c r="AA432" i="20" s="1"/>
  <c r="J431" i="20"/>
  <c r="AA431" i="20" s="1"/>
  <c r="F320" i="2"/>
  <c r="J426" i="20"/>
  <c r="AA426" i="20" s="1"/>
  <c r="J430" i="20"/>
  <c r="AA430" i="20" s="1"/>
  <c r="AW226" i="2"/>
  <c r="K426" i="20"/>
  <c r="AB426" i="20" s="1"/>
  <c r="AV209" i="2"/>
  <c r="I386" i="20"/>
  <c r="Z386" i="20" s="1"/>
  <c r="H386" i="20"/>
  <c r="Y386" i="20" s="1"/>
  <c r="H388" i="20"/>
  <c r="Y388" i="20" s="1"/>
  <c r="E237" i="2"/>
  <c r="AC594" i="7"/>
  <c r="EA71" i="11"/>
  <c r="AE236" i="12" s="1"/>
  <c r="AE229" i="12" s="1"/>
  <c r="DZ73" i="11"/>
  <c r="EA73" i="11" s="1"/>
  <c r="AE237" i="12" s="1"/>
  <c r="AE230" i="12" s="1"/>
  <c r="G128" i="2"/>
  <c r="G296" i="2" s="1"/>
  <c r="J146" i="20" s="1"/>
  <c r="AA146" i="20" s="1"/>
  <c r="ER46" i="6"/>
  <c r="EO95" i="6"/>
  <c r="EI97" i="6"/>
  <c r="AD664" i="7"/>
  <c r="AD587" i="7"/>
  <c r="AD603" i="7"/>
  <c r="AD574" i="7"/>
  <c r="E228" i="2"/>
  <c r="AD174" i="7"/>
  <c r="AC606" i="7"/>
  <c r="AD602" i="7"/>
  <c r="AD173" i="7"/>
  <c r="AC569" i="7"/>
  <c r="AC2" i="7" s="1"/>
  <c r="AC575" i="7"/>
  <c r="AE735" i="7" l="1"/>
  <c r="AE737" i="7" s="1"/>
  <c r="EU46" i="6"/>
  <c r="AE232" i="12"/>
  <c r="H433" i="20"/>
  <c r="Y433" i="20" s="1"/>
  <c r="AV237" i="2"/>
  <c r="AD605" i="7"/>
  <c r="AD592" i="7"/>
  <c r="AD589" i="7"/>
  <c r="G226" i="2"/>
  <c r="AE424" i="12"/>
  <c r="AE427" i="12" s="1"/>
  <c r="AE565" i="7"/>
  <c r="EV46" i="6"/>
  <c r="AE662" i="7"/>
  <c r="AE763" i="7"/>
  <c r="AE764" i="7" s="1"/>
  <c r="J386" i="20"/>
  <c r="AA386" i="20" s="1"/>
  <c r="K386" i="20"/>
  <c r="AB386" i="20" s="1"/>
  <c r="AW209" i="2"/>
  <c r="H435" i="20"/>
  <c r="Y435" i="20" s="1"/>
  <c r="AV228" i="2"/>
  <c r="AD665" i="7"/>
  <c r="F229" i="2"/>
  <c r="AW229" i="2" s="1"/>
  <c r="AD687" i="7"/>
  <c r="DZ74" i="11"/>
  <c r="G321" i="2"/>
  <c r="G322" i="2" s="1"/>
  <c r="J147" i="20" s="1"/>
  <c r="AA147" i="20" s="1"/>
  <c r="AX128" i="2"/>
  <c r="EP97" i="6"/>
  <c r="EU95" i="6" l="1"/>
  <c r="EX46" i="6"/>
  <c r="EV95" i="6"/>
  <c r="EV48" i="6"/>
  <c r="EA74" i="11"/>
  <c r="AE238" i="12" s="1"/>
  <c r="DZ76" i="11"/>
  <c r="DY76" i="11" s="1"/>
  <c r="L430" i="20"/>
  <c r="AC430" i="20" s="1"/>
  <c r="G320" i="2"/>
  <c r="AX226" i="2"/>
  <c r="L432" i="20"/>
  <c r="AC432" i="20" s="1"/>
  <c r="M426" i="20"/>
  <c r="AD426" i="20" s="1"/>
  <c r="L426" i="20"/>
  <c r="AC426" i="20" s="1"/>
  <c r="L431" i="20"/>
  <c r="AC431" i="20" s="1"/>
  <c r="F228" i="2"/>
  <c r="AD606" i="7"/>
  <c r="AE174" i="7"/>
  <c r="AE602" i="7"/>
  <c r="AE173" i="7"/>
  <c r="G209" i="2"/>
  <c r="AE664" i="7"/>
  <c r="AE587" i="7"/>
  <c r="AE574" i="7"/>
  <c r="AE603" i="7"/>
  <c r="F237" i="2"/>
  <c r="AD594" i="7"/>
  <c r="AE589" i="7" l="1"/>
  <c r="AE592" i="7"/>
  <c r="L386" i="20"/>
  <c r="AC386" i="20" s="1"/>
  <c r="AX209" i="2"/>
  <c r="M386" i="20"/>
  <c r="AD386" i="20" s="1"/>
  <c r="G229" i="2"/>
  <c r="AX229" i="2" s="1"/>
  <c r="AE665" i="7"/>
  <c r="AE687" i="7"/>
  <c r="AW237" i="2"/>
  <c r="J433" i="20"/>
  <c r="AA433" i="20" s="1"/>
  <c r="AE605" i="7"/>
  <c r="J435" i="20"/>
  <c r="AA435" i="20" s="1"/>
  <c r="AW228" i="2"/>
  <c r="EV97" i="6"/>
  <c r="G237" i="2" l="1"/>
  <c r="AE594" i="7"/>
  <c r="AE606" i="7"/>
  <c r="G228" i="2"/>
  <c r="AX228" i="2" l="1"/>
  <c r="L435" i="20"/>
  <c r="AC435" i="20" s="1"/>
  <c r="L433" i="20"/>
  <c r="AC433" i="20" s="1"/>
  <c r="AX237" i="2"/>
  <c r="DN16" i="11" l="1"/>
  <c r="DP16" i="11" l="1"/>
  <c r="DQ16" i="11" s="1"/>
  <c r="AC347" i="12" s="1"/>
  <c r="DS16" i="11" l="1"/>
  <c r="DU16" i="11" s="1"/>
  <c r="DV16" i="11" l="1"/>
  <c r="AD347" i="12" s="1"/>
  <c r="DX16" i="11"/>
  <c r="DZ16" i="11" l="1"/>
  <c r="EA16" i="11" l="1"/>
  <c r="AE347" i="12" s="1"/>
  <c r="AC138" i="12"/>
  <c r="DM25" i="11" s="1"/>
  <c r="AC171" i="12"/>
  <c r="DN12" i="11"/>
  <c r="DP11" i="11"/>
  <c r="DQ11" i="11" s="1"/>
  <c r="DP12" i="11" l="1"/>
  <c r="DP14" i="11" s="1"/>
  <c r="DQ14" i="11" s="1"/>
  <c r="AC139" i="12"/>
  <c r="DM26" i="11" s="1"/>
  <c r="DM12" i="11"/>
  <c r="AC78" i="12" s="1"/>
  <c r="AC72" i="12" s="1"/>
  <c r="DS11" i="11"/>
  <c r="DN14" i="11"/>
  <c r="AC73" i="12"/>
  <c r="E107" i="2"/>
  <c r="DO14" i="11" l="1"/>
  <c r="DQ12" i="11"/>
  <c r="DP17" i="11"/>
  <c r="AD140" i="12" s="1"/>
  <c r="DO12" i="11"/>
  <c r="CT146" i="17"/>
  <c r="AC74" i="12"/>
  <c r="AC152" i="12"/>
  <c r="AC92" i="12"/>
  <c r="AC98" i="12" s="1"/>
  <c r="H76" i="20"/>
  <c r="Y76" i="20" s="1"/>
  <c r="F28" i="20"/>
  <c r="W28" i="20" s="1"/>
  <c r="E315" i="2"/>
  <c r="E316" i="2" s="1"/>
  <c r="AV107" i="2"/>
  <c r="E290" i="2"/>
  <c r="E309" i="2"/>
  <c r="E310" i="2" s="1"/>
  <c r="DU11" i="11"/>
  <c r="AD171" i="12"/>
  <c r="DS12" i="11"/>
  <c r="AC141" i="12"/>
  <c r="DM28" i="11" s="1"/>
  <c r="AC95" i="12"/>
  <c r="AC2" i="12" s="1"/>
  <c r="DM4" i="11" s="1"/>
  <c r="DN17" i="11"/>
  <c r="DR78" i="11" l="1"/>
  <c r="AD138" i="12"/>
  <c r="DR25" i="11" s="1"/>
  <c r="AD134" i="12"/>
  <c r="DR21" i="11" s="1"/>
  <c r="AD136" i="12"/>
  <c r="DR23" i="11" s="1"/>
  <c r="AD142" i="12"/>
  <c r="DR29" i="11" s="1"/>
  <c r="AD137" i="12"/>
  <c r="DR24" i="11" s="1"/>
  <c r="DQ17" i="11"/>
  <c r="AC348" i="12" s="1"/>
  <c r="AC341" i="12" s="1"/>
  <c r="AD135" i="12"/>
  <c r="DR22" i="11" s="1"/>
  <c r="DM17" i="11"/>
  <c r="DM116" i="11" s="1"/>
  <c r="DN116" i="11" s="1"/>
  <c r="AC144" i="12"/>
  <c r="DM30" i="11" s="1"/>
  <c r="AC176" i="12"/>
  <c r="AD139" i="12"/>
  <c r="DR26" i="11" s="1"/>
  <c r="DR12" i="11"/>
  <c r="AD78" i="12" s="1"/>
  <c r="AD72" i="12" s="1"/>
  <c r="AD73" i="12"/>
  <c r="DS14" i="11"/>
  <c r="H65" i="20"/>
  <c r="Y65" i="20" s="1"/>
  <c r="F228" i="20"/>
  <c r="W228" i="20" s="1"/>
  <c r="DR27" i="11"/>
  <c r="F107" i="2"/>
  <c r="F290" i="2" s="1"/>
  <c r="DO17" i="11"/>
  <c r="DV11" i="11"/>
  <c r="DU12" i="11"/>
  <c r="DX11" i="11"/>
  <c r="F232" i="20"/>
  <c r="W232" i="20" s="1"/>
  <c r="H69" i="20"/>
  <c r="Y69" i="20" s="1"/>
  <c r="CT151" i="17"/>
  <c r="DE11" i="17" s="1"/>
  <c r="CS146" i="17"/>
  <c r="AC230" i="7" l="1"/>
  <c r="AC238" i="7"/>
  <c r="AC216" i="7"/>
  <c r="AD143" i="12"/>
  <c r="AC349" i="12"/>
  <c r="AC342" i="12" s="1"/>
  <c r="E236" i="2" s="1"/>
  <c r="AV236" i="2" s="1"/>
  <c r="AC217" i="7"/>
  <c r="AC244" i="7"/>
  <c r="AC245" i="7" s="1"/>
  <c r="AC218" i="7"/>
  <c r="AC231" i="7"/>
  <c r="AE171" i="12"/>
  <c r="DX12" i="11"/>
  <c r="DZ11" i="11"/>
  <c r="AD95" i="12"/>
  <c r="AD2" i="12" s="1"/>
  <c r="DR4" i="11" s="1"/>
  <c r="AD141" i="12"/>
  <c r="DR28" i="11" s="1"/>
  <c r="DS17" i="11"/>
  <c r="DR14" i="11"/>
  <c r="AD100" i="12" s="1"/>
  <c r="E112" i="2"/>
  <c r="DT12" i="11"/>
  <c r="DV12" i="11"/>
  <c r="DU14" i="11"/>
  <c r="F309" i="2"/>
  <c r="F310" i="2" s="1"/>
  <c r="F315" i="2"/>
  <c r="F316" i="2" s="1"/>
  <c r="G28" i="20"/>
  <c r="X28" i="20" s="1"/>
  <c r="AW107" i="2"/>
  <c r="AC243" i="12"/>
  <c r="AC346" i="7"/>
  <c r="AC28" i="7"/>
  <c r="AC640" i="7"/>
  <c r="AC578" i="7"/>
  <c r="AC158" i="7"/>
  <c r="AC678" i="7"/>
  <c r="AC557" i="7"/>
  <c r="AC368" i="7"/>
  <c r="AC194" i="7"/>
  <c r="AC765" i="7"/>
  <c r="AC387" i="7"/>
  <c r="AC448" i="7"/>
  <c r="AC671" i="7"/>
  <c r="AC63" i="7"/>
  <c r="AC450" i="7"/>
  <c r="AC612" i="7"/>
  <c r="AC367" i="7"/>
  <c r="AC230" i="8"/>
  <c r="AC639" i="7"/>
  <c r="AC471" i="7"/>
  <c r="AC579" i="7"/>
  <c r="AC222" i="7"/>
  <c r="AC509" i="7"/>
  <c r="AC532" i="7"/>
  <c r="AC388" i="7"/>
  <c r="AC281" i="7"/>
  <c r="AC224" i="7"/>
  <c r="AC234" i="8"/>
  <c r="AC510" i="7"/>
  <c r="AC343" i="7"/>
  <c r="AC282" i="7"/>
  <c r="AC555" i="7"/>
  <c r="AC369" i="7"/>
  <c r="AC195" i="7"/>
  <c r="AC390" i="7"/>
  <c r="AC641" i="7"/>
  <c r="AC29" i="7"/>
  <c r="AC468" i="12"/>
  <c r="AC225" i="7"/>
  <c r="AC317" i="7"/>
  <c r="AC67" i="7"/>
  <c r="AC229" i="8"/>
  <c r="AC62" i="7"/>
  <c r="AC674" i="7"/>
  <c r="AC411" i="7"/>
  <c r="AC470" i="12"/>
  <c r="AC472" i="7"/>
  <c r="AC599" i="7"/>
  <c r="AC637" i="7"/>
  <c r="AC241" i="12"/>
  <c r="AC284" i="7"/>
  <c r="AC316" i="7"/>
  <c r="AC233" i="8"/>
  <c r="AC342" i="7"/>
  <c r="AC512" i="7"/>
  <c r="AC636" i="7"/>
  <c r="AC452" i="7"/>
  <c r="AC157" i="7"/>
  <c r="AC221" i="7"/>
  <c r="AC471" i="12"/>
  <c r="AC313" i="7"/>
  <c r="AC598" i="7"/>
  <c r="AC314" i="7"/>
  <c r="AC507" i="7"/>
  <c r="AC798" i="7"/>
  <c r="AC410" i="7"/>
  <c r="AC160" i="7"/>
  <c r="AC472" i="12"/>
  <c r="AC345" i="7"/>
  <c r="AC156" i="7"/>
  <c r="AC348" i="7"/>
  <c r="AC130" i="7"/>
  <c r="AC635" i="7"/>
  <c r="AC611" i="7"/>
  <c r="AC30" i="7"/>
  <c r="AC673" i="7"/>
  <c r="AC340" i="12"/>
  <c r="AC232" i="8"/>
  <c r="AC473" i="12"/>
  <c r="AC511" i="7"/>
  <c r="AC446" i="7"/>
  <c r="AC513" i="7"/>
  <c r="AC128" i="7"/>
  <c r="AC534" i="7"/>
  <c r="AC27" i="7"/>
  <c r="AC675" i="7"/>
  <c r="AC556" i="7"/>
  <c r="AC676" i="7"/>
  <c r="AC506" i="7"/>
  <c r="AC581" i="7"/>
  <c r="AC127" i="7"/>
  <c r="AC642" i="7"/>
  <c r="AC347" i="7"/>
  <c r="AC66" i="7"/>
  <c r="AC31" i="7"/>
  <c r="AC677" i="7"/>
  <c r="AC26" i="7"/>
  <c r="AC64" i="7"/>
  <c r="AC285" i="7"/>
  <c r="AC159" i="7"/>
  <c r="AC192" i="7"/>
  <c r="AC223" i="7"/>
  <c r="AC672" i="7"/>
  <c r="AC554" i="7"/>
  <c r="AC698" i="7"/>
  <c r="AC699" i="7" s="1"/>
  <c r="AC129" i="7"/>
  <c r="AC408" i="7"/>
  <c r="AC280" i="7"/>
  <c r="AC447" i="7"/>
  <c r="AC451" i="7"/>
  <c r="AC469" i="12"/>
  <c r="AC283" i="7"/>
  <c r="AC669" i="7"/>
  <c r="AC535" i="7"/>
  <c r="AC796" i="7"/>
  <c r="AC473" i="7"/>
  <c r="AC505" i="7"/>
  <c r="AC315" i="7"/>
  <c r="AC621" i="7"/>
  <c r="AC508" i="7"/>
  <c r="AC470" i="7"/>
  <c r="AC366" i="7"/>
  <c r="AC638" i="7"/>
  <c r="AC232" i="7"/>
  <c r="AC580" i="7"/>
  <c r="AC668" i="7"/>
  <c r="AC155" i="7"/>
  <c r="AC445" i="7"/>
  <c r="AC533" i="7"/>
  <c r="AC231" i="8"/>
  <c r="AC279" i="7"/>
  <c r="AC389" i="7"/>
  <c r="AC670" i="7"/>
  <c r="U6" i="21"/>
  <c r="AC240" i="7"/>
  <c r="AC244" i="12"/>
  <c r="AC449" i="7"/>
  <c r="AC444" i="7"/>
  <c r="AC409" i="7"/>
  <c r="AC242" i="12"/>
  <c r="AC65" i="7"/>
  <c r="AC597" i="7"/>
  <c r="AC193" i="7"/>
  <c r="AC344" i="7"/>
  <c r="AC246" i="7"/>
  <c r="AC607" i="7"/>
  <c r="AC613" i="7" s="1"/>
  <c r="AC456" i="12"/>
  <c r="EG5" i="6"/>
  <c r="E147" i="2"/>
  <c r="I76" i="20" s="1"/>
  <c r="Z76" i="20" s="1"/>
  <c r="DP116" i="11"/>
  <c r="AC239" i="7"/>
  <c r="AD152" i="12"/>
  <c r="AD92" i="12"/>
  <c r="AD98" i="12" s="1"/>
  <c r="CX146" i="17"/>
  <c r="EG54" i="6" l="1"/>
  <c r="EK49" i="6"/>
  <c r="EI49" i="6"/>
  <c r="EJ49" i="6"/>
  <c r="EH49" i="6"/>
  <c r="EG8" i="6"/>
  <c r="AD112" i="12"/>
  <c r="AD94" i="12"/>
  <c r="EA11" i="11"/>
  <c r="DZ12" i="11"/>
  <c r="AC459" i="12"/>
  <c r="U9" i="21"/>
  <c r="U10" i="21" s="1"/>
  <c r="AC241" i="7"/>
  <c r="G232" i="20"/>
  <c r="X232" i="20" s="1"/>
  <c r="I69" i="20"/>
  <c r="Z69" i="20" s="1"/>
  <c r="AD144" i="12"/>
  <c r="DR30" i="11" s="1"/>
  <c r="AD176" i="12"/>
  <c r="DR17" i="11"/>
  <c r="AE73" i="12"/>
  <c r="DW12" i="11"/>
  <c r="AE78" i="12" s="1"/>
  <c r="AE72" i="12" s="1"/>
  <c r="DX14" i="11"/>
  <c r="DO116" i="11"/>
  <c r="DQ116" i="11"/>
  <c r="AC610" i="7"/>
  <c r="U25" i="21"/>
  <c r="U7" i="21"/>
  <c r="U24" i="21"/>
  <c r="G228" i="20"/>
  <c r="X228" i="20" s="1"/>
  <c r="I65" i="20"/>
  <c r="Z65" i="20" s="1"/>
  <c r="AV112" i="2"/>
  <c r="E295" i="2"/>
  <c r="F257" i="20" s="1"/>
  <c r="W257" i="20" s="1"/>
  <c r="G107" i="2"/>
  <c r="AC233" i="7"/>
  <c r="CW146" i="17"/>
  <c r="CX151" i="17"/>
  <c r="DG11" i="17" s="1"/>
  <c r="I195" i="20"/>
  <c r="Z195" i="20" s="1"/>
  <c r="I433" i="20"/>
  <c r="Z433" i="20" s="1"/>
  <c r="I429" i="20"/>
  <c r="Z429" i="20" s="1"/>
  <c r="H389" i="20"/>
  <c r="Y389" i="20" s="1"/>
  <c r="I436" i="20"/>
  <c r="Z436" i="20" s="1"/>
  <c r="I438" i="20"/>
  <c r="Z438" i="20" s="1"/>
  <c r="I201" i="20"/>
  <c r="Z201" i="20" s="1"/>
  <c r="G460" i="20"/>
  <c r="X460" i="20" s="1"/>
  <c r="AV147" i="2"/>
  <c r="I439" i="20"/>
  <c r="Z439" i="20" s="1"/>
  <c r="G513" i="20"/>
  <c r="X513" i="20" s="1"/>
  <c r="H187" i="20"/>
  <c r="Y187" i="20" s="1"/>
  <c r="H385" i="20"/>
  <c r="Y385" i="20" s="1"/>
  <c r="G518" i="20"/>
  <c r="X518" i="20" s="1"/>
  <c r="F40" i="20"/>
  <c r="W40" i="20" s="1"/>
  <c r="H178" i="20"/>
  <c r="Y178" i="20" s="1"/>
  <c r="H195" i="20"/>
  <c r="Y195" i="20" s="1"/>
  <c r="I431" i="20"/>
  <c r="Z431" i="20" s="1"/>
  <c r="H424" i="20"/>
  <c r="Y424" i="20" s="1"/>
  <c r="H354" i="20"/>
  <c r="Y354" i="20" s="1"/>
  <c r="F45" i="20"/>
  <c r="W45" i="20" s="1"/>
  <c r="I196" i="20"/>
  <c r="Z196" i="20" s="1"/>
  <c r="I75" i="20"/>
  <c r="Z75" i="20" s="1"/>
  <c r="G458" i="20"/>
  <c r="X458" i="20" s="1"/>
  <c r="I187" i="20"/>
  <c r="Z187" i="20" s="1"/>
  <c r="G503" i="20"/>
  <c r="X503" i="20" s="1"/>
  <c r="H196" i="20"/>
  <c r="Y196" i="20" s="1"/>
  <c r="G467" i="20"/>
  <c r="X467" i="20" s="1"/>
  <c r="F43" i="20"/>
  <c r="W43" i="20" s="1"/>
  <c r="I192" i="20"/>
  <c r="Z192" i="20" s="1"/>
  <c r="I77" i="20"/>
  <c r="Z77" i="20" s="1"/>
  <c r="H192" i="20"/>
  <c r="Y192" i="20" s="1"/>
  <c r="G461" i="20"/>
  <c r="X461" i="20" s="1"/>
  <c r="G509" i="20"/>
  <c r="X509" i="20" s="1"/>
  <c r="H201" i="20"/>
  <c r="Y201" i="20" s="1"/>
  <c r="G515" i="20"/>
  <c r="X515" i="20" s="1"/>
  <c r="F41" i="20"/>
  <c r="W41" i="20" s="1"/>
  <c r="I430" i="20"/>
  <c r="Z430" i="20" s="1"/>
  <c r="G455" i="20"/>
  <c r="X455" i="20" s="1"/>
  <c r="I435" i="20"/>
  <c r="Z435" i="20" s="1"/>
  <c r="G507" i="20"/>
  <c r="X507" i="20" s="1"/>
  <c r="I432" i="20"/>
  <c r="Z432" i="20" s="1"/>
  <c r="I440" i="20"/>
  <c r="Z440" i="20" s="1"/>
  <c r="AC247" i="7"/>
  <c r="DT14" i="11"/>
  <c r="DV14" i="11"/>
  <c r="DU17" i="11"/>
  <c r="F254" i="20" l="1"/>
  <c r="W254" i="20" s="1"/>
  <c r="F259" i="20"/>
  <c r="W259" i="20" s="1"/>
  <c r="F258" i="20"/>
  <c r="W258" i="20" s="1"/>
  <c r="F253" i="20"/>
  <c r="F255" i="20" s="1"/>
  <c r="W255" i="20" s="1"/>
  <c r="F256" i="20"/>
  <c r="W256" i="20" s="1"/>
  <c r="F236" i="20"/>
  <c r="W236" i="20" s="1"/>
  <c r="AE134" i="12"/>
  <c r="DW21" i="11" s="1"/>
  <c r="AE137" i="12"/>
  <c r="DW24" i="11" s="1"/>
  <c r="AE136" i="12"/>
  <c r="DW23" i="11" s="1"/>
  <c r="AE140" i="12"/>
  <c r="DV17" i="11"/>
  <c r="AD348" i="12" s="1"/>
  <c r="DT17" i="11"/>
  <c r="DT116" i="11" s="1"/>
  <c r="DT119" i="11" s="1"/>
  <c r="AE142" i="12"/>
  <c r="DW29" i="11" s="1"/>
  <c r="AE135" i="12"/>
  <c r="DW22" i="11" s="1"/>
  <c r="AE138" i="12"/>
  <c r="DW25" i="11" s="1"/>
  <c r="W253" i="20"/>
  <c r="F112" i="2"/>
  <c r="AW112" i="2" s="1"/>
  <c r="EA12" i="11"/>
  <c r="DY12" i="11"/>
  <c r="DZ14" i="11"/>
  <c r="EG12" i="6"/>
  <c r="EG61" i="6" s="1"/>
  <c r="EL8" i="6"/>
  <c r="EL57" i="6" s="1"/>
  <c r="EG57" i="6"/>
  <c r="DB146" i="17"/>
  <c r="AE152" i="12"/>
  <c r="AE92" i="12"/>
  <c r="AE98" i="12" s="1"/>
  <c r="AD154" i="12"/>
  <c r="AD122" i="12"/>
  <c r="AD128" i="12" s="1"/>
  <c r="CX203" i="17"/>
  <c r="G315" i="2"/>
  <c r="G316" i="2" s="1"/>
  <c r="AX107" i="2"/>
  <c r="G309" i="2"/>
  <c r="G310" i="2" s="1"/>
  <c r="H28" i="20"/>
  <c r="Y28" i="20" s="1"/>
  <c r="G290" i="2"/>
  <c r="AE139" i="12"/>
  <c r="DW26" i="11" s="1"/>
  <c r="F33" i="20"/>
  <c r="W33" i="20" s="1"/>
  <c r="F29" i="20"/>
  <c r="W29" i="20" s="1"/>
  <c r="H73" i="20"/>
  <c r="Y73" i="20" s="1"/>
  <c r="AE95" i="12"/>
  <c r="AE2" i="12" s="1"/>
  <c r="DW4" i="11" s="1"/>
  <c r="AE141" i="12"/>
  <c r="DW28" i="11" s="1"/>
  <c r="DX17" i="11"/>
  <c r="DW14" i="11"/>
  <c r="AE100" i="12" s="1"/>
  <c r="AE112" i="12" s="1"/>
  <c r="DR116" i="11"/>
  <c r="DS116" i="11" s="1"/>
  <c r="AD131" i="12"/>
  <c r="DU116" i="11" l="1"/>
  <c r="DV116" i="11" s="1"/>
  <c r="AE94" i="12"/>
  <c r="DB203" i="17" s="1"/>
  <c r="AD45" i="8"/>
  <c r="AD71" i="8"/>
  <c r="AD73" i="8"/>
  <c r="AD69" i="8"/>
  <c r="AD125" i="12"/>
  <c r="DW27" i="11"/>
  <c r="AE143" i="12"/>
  <c r="CX208" i="17"/>
  <c r="DG13" i="17" s="1"/>
  <c r="CW203" i="17"/>
  <c r="J69" i="20"/>
  <c r="AA69" i="20" s="1"/>
  <c r="H232" i="20"/>
  <c r="Y232" i="20" s="1"/>
  <c r="H228" i="20"/>
  <c r="Y228" i="20" s="1"/>
  <c r="J65" i="20"/>
  <c r="AA65" i="20" s="1"/>
  <c r="F295" i="2"/>
  <c r="AE144" i="12"/>
  <c r="DW30" i="11" s="1"/>
  <c r="DW17" i="11"/>
  <c r="AE176" i="12"/>
  <c r="DA146" i="17"/>
  <c r="DB151" i="17"/>
  <c r="DY14" i="11"/>
  <c r="DZ17" i="11"/>
  <c r="EA14" i="11"/>
  <c r="AD244" i="7"/>
  <c r="AD216" i="7"/>
  <c r="AD217" i="7"/>
  <c r="AD230" i="7"/>
  <c r="AD218" i="7"/>
  <c r="AD349" i="12"/>
  <c r="AD342" i="12" s="1"/>
  <c r="AD238" i="7"/>
  <c r="AD341" i="12"/>
  <c r="AE154" i="12" l="1"/>
  <c r="AE122" i="12"/>
  <c r="AE128" i="12" s="1"/>
  <c r="DU119" i="11"/>
  <c r="DS119" i="11" s="1"/>
  <c r="AD231" i="7"/>
  <c r="AD70" i="8"/>
  <c r="G112" i="2"/>
  <c r="AX112" i="2" s="1"/>
  <c r="AD74" i="8"/>
  <c r="F236" i="2"/>
  <c r="AW236" i="2" s="1"/>
  <c r="AE131" i="12"/>
  <c r="DW116" i="11"/>
  <c r="DX116" i="11" s="1"/>
  <c r="DA203" i="17"/>
  <c r="DB208" i="17"/>
  <c r="AD72" i="8"/>
  <c r="AD510" i="7"/>
  <c r="AD158" i="7"/>
  <c r="AD230" i="8"/>
  <c r="AD240" i="7"/>
  <c r="AD471" i="12"/>
  <c r="AD244" i="12"/>
  <c r="AD535" i="7"/>
  <c r="AD30" i="7"/>
  <c r="AD280" i="7"/>
  <c r="AD509" i="7"/>
  <c r="AD231" i="8"/>
  <c r="AD194" i="7"/>
  <c r="AD674" i="7"/>
  <c r="AD345" i="7"/>
  <c r="AD279" i="7"/>
  <c r="AD67" i="7"/>
  <c r="AD129" i="7"/>
  <c r="AD533" i="7"/>
  <c r="AD449" i="7"/>
  <c r="AD448" i="7"/>
  <c r="AD242" i="12"/>
  <c r="AD66" i="7"/>
  <c r="AD798" i="7"/>
  <c r="AD157" i="7"/>
  <c r="AD65" i="7"/>
  <c r="AD62" i="7"/>
  <c r="AD282" i="7"/>
  <c r="AD450" i="7"/>
  <c r="AD638" i="7"/>
  <c r="AD26" i="7"/>
  <c r="AD408" i="7"/>
  <c r="AD621" i="7"/>
  <c r="AD578" i="7"/>
  <c r="AD796" i="7"/>
  <c r="AD232" i="7"/>
  <c r="AD469" i="12"/>
  <c r="AD556" i="7"/>
  <c r="AD445" i="7"/>
  <c r="AD284" i="7"/>
  <c r="AD28" i="7"/>
  <c r="AD192" i="7"/>
  <c r="AD316" i="7"/>
  <c r="AD281" i="7"/>
  <c r="AD472" i="7"/>
  <c r="AD31" i="7"/>
  <c r="AD314" i="7"/>
  <c r="AD29" i="7"/>
  <c r="AD246" i="7"/>
  <c r="AD313" i="7"/>
  <c r="AD532" i="7"/>
  <c r="AD507" i="7"/>
  <c r="AD446" i="7"/>
  <c r="AD470" i="12"/>
  <c r="AD468" i="12"/>
  <c r="AD669" i="7"/>
  <c r="AD513" i="7"/>
  <c r="AD160" i="7"/>
  <c r="AD554" i="7"/>
  <c r="AD597" i="7"/>
  <c r="AD639" i="7"/>
  <c r="AD508" i="7"/>
  <c r="AD642" i="7"/>
  <c r="AD447" i="7"/>
  <c r="AD229" i="8"/>
  <c r="AD580" i="7"/>
  <c r="AD241" i="12"/>
  <c r="AD315" i="7"/>
  <c r="AD557" i="7"/>
  <c r="AD505" i="7"/>
  <c r="AD673" i="7"/>
  <c r="AD343" i="7"/>
  <c r="AD637" i="7"/>
  <c r="AD347" i="7"/>
  <c r="AD387" i="7"/>
  <c r="AD636" i="7"/>
  <c r="AD222" i="7"/>
  <c r="AD283" i="7"/>
  <c r="AD127" i="7"/>
  <c r="AD678" i="7"/>
  <c r="AD243" i="12"/>
  <c r="AD765" i="7"/>
  <c r="AD452" i="7"/>
  <c r="AD285" i="7"/>
  <c r="AD234" i="8"/>
  <c r="AD472" i="12"/>
  <c r="AD155" i="7"/>
  <c r="AD27" i="7"/>
  <c r="AD342" i="7"/>
  <c r="AD63" i="7"/>
  <c r="AD641" i="7"/>
  <c r="AD444" i="7"/>
  <c r="AD675" i="7"/>
  <c r="AD555" i="7"/>
  <c r="AD668" i="7"/>
  <c r="AD635" i="7"/>
  <c r="AD225" i="7"/>
  <c r="AD346" i="7"/>
  <c r="AD451" i="7"/>
  <c r="AD612" i="7"/>
  <c r="AD506" i="7"/>
  <c r="AD159" i="7"/>
  <c r="AD640" i="7"/>
  <c r="AD671" i="7"/>
  <c r="AD389" i="7"/>
  <c r="AD534" i="7"/>
  <c r="AD410" i="7"/>
  <c r="AD232" i="8"/>
  <c r="AD672" i="7"/>
  <c r="AD317" i="7"/>
  <c r="AD677" i="7"/>
  <c r="AD340" i="12"/>
  <c r="AD223" i="7"/>
  <c r="AD676" i="7"/>
  <c r="AD473" i="12"/>
  <c r="AD156" i="7"/>
  <c r="AD599" i="7"/>
  <c r="AD411" i="7"/>
  <c r="AD221" i="7"/>
  <c r="AD348" i="7"/>
  <c r="AD366" i="7"/>
  <c r="AD511" i="7"/>
  <c r="AD64" i="7"/>
  <c r="AD409" i="7"/>
  <c r="AD224" i="7"/>
  <c r="AD598" i="7"/>
  <c r="AD344" i="7"/>
  <c r="AD470" i="7"/>
  <c r="AD611" i="7"/>
  <c r="AD670" i="7"/>
  <c r="AD233" i="8"/>
  <c r="AD368" i="7"/>
  <c r="AD512" i="7"/>
  <c r="AD456" i="12"/>
  <c r="AD459" i="12" s="1"/>
  <c r="AD607" i="7"/>
  <c r="AD613" i="7" s="1"/>
  <c r="EM5" i="6"/>
  <c r="F147" i="2"/>
  <c r="AD698" i="7"/>
  <c r="AD699" i="7" s="1"/>
  <c r="AD88" i="7"/>
  <c r="G29" i="20"/>
  <c r="X29" i="20" s="1"/>
  <c r="G33" i="20"/>
  <c r="X33" i="20" s="1"/>
  <c r="I73" i="20"/>
  <c r="Z73" i="20" s="1"/>
  <c r="AD239" i="7"/>
  <c r="EA17" i="11"/>
  <c r="AE348" i="12" s="1"/>
  <c r="AE341" i="12" s="1"/>
  <c r="DY17" i="11"/>
  <c r="DY116" i="11" s="1"/>
  <c r="DY119" i="11" s="1"/>
  <c r="AD245" i="7"/>
  <c r="AD156" i="12"/>
  <c r="CX260" i="17"/>
  <c r="DV119" i="11" l="1"/>
  <c r="CW260" i="17"/>
  <c r="CX265" i="17"/>
  <c r="DG15" i="17" s="1"/>
  <c r="K195" i="20"/>
  <c r="AB195" i="20" s="1"/>
  <c r="G259" i="20"/>
  <c r="X259" i="20" s="1"/>
  <c r="I458" i="20"/>
  <c r="Z458" i="20" s="1"/>
  <c r="AW147" i="2"/>
  <c r="K432" i="20"/>
  <c r="AB432" i="20" s="1"/>
  <c r="J75" i="20"/>
  <c r="AA75" i="20" s="1"/>
  <c r="J192" i="20"/>
  <c r="AA192" i="20" s="1"/>
  <c r="J201" i="20"/>
  <c r="AA201" i="20" s="1"/>
  <c r="K433" i="20"/>
  <c r="AB433" i="20" s="1"/>
  <c r="G258" i="20"/>
  <c r="X258" i="20" s="1"/>
  <c r="K429" i="20"/>
  <c r="AB429" i="20" s="1"/>
  <c r="K435" i="20"/>
  <c r="AB435" i="20" s="1"/>
  <c r="I461" i="20"/>
  <c r="Z461" i="20" s="1"/>
  <c r="J77" i="20"/>
  <c r="AA77" i="20" s="1"/>
  <c r="I460" i="20"/>
  <c r="Z460" i="20" s="1"/>
  <c r="J196" i="20"/>
  <c r="AA196" i="20" s="1"/>
  <c r="I515" i="20"/>
  <c r="Z515" i="20" s="1"/>
  <c r="K201" i="20"/>
  <c r="AB201" i="20" s="1"/>
  <c r="J354" i="20"/>
  <c r="AA354" i="20" s="1"/>
  <c r="K438" i="20"/>
  <c r="AB438" i="20" s="1"/>
  <c r="K431" i="20"/>
  <c r="AB431" i="20" s="1"/>
  <c r="G45" i="20"/>
  <c r="X45" i="20" s="1"/>
  <c r="K192" i="20"/>
  <c r="AB192" i="20" s="1"/>
  <c r="G257" i="20"/>
  <c r="X257" i="20" s="1"/>
  <c r="G236" i="20"/>
  <c r="X236" i="20" s="1"/>
  <c r="I518" i="20"/>
  <c r="Z518" i="20" s="1"/>
  <c r="J178" i="20"/>
  <c r="AA178" i="20" s="1"/>
  <c r="G40" i="20"/>
  <c r="X40" i="20" s="1"/>
  <c r="G43" i="20"/>
  <c r="X43" i="20" s="1"/>
  <c r="I507" i="20"/>
  <c r="Z507" i="20" s="1"/>
  <c r="G253" i="20"/>
  <c r="I509" i="20"/>
  <c r="Z509" i="20" s="1"/>
  <c r="G256" i="20"/>
  <c r="X256" i="20" s="1"/>
  <c r="I467" i="20"/>
  <c r="Z467" i="20" s="1"/>
  <c r="K430" i="20"/>
  <c r="AB430" i="20" s="1"/>
  <c r="J195" i="20"/>
  <c r="AA195" i="20" s="1"/>
  <c r="J424" i="20"/>
  <c r="AA424" i="20" s="1"/>
  <c r="K436" i="20"/>
  <c r="AB436" i="20" s="1"/>
  <c r="K440" i="20"/>
  <c r="AB440" i="20" s="1"/>
  <c r="I455" i="20"/>
  <c r="Z455" i="20" s="1"/>
  <c r="K439" i="20"/>
  <c r="AB439" i="20" s="1"/>
  <c r="K196" i="20"/>
  <c r="AB196" i="20" s="1"/>
  <c r="J187" i="20"/>
  <c r="AA187" i="20" s="1"/>
  <c r="I513" i="20"/>
  <c r="Z513" i="20" s="1"/>
  <c r="G254" i="20"/>
  <c r="X254" i="20" s="1"/>
  <c r="I503" i="20"/>
  <c r="Z503" i="20" s="1"/>
  <c r="K187" i="20"/>
  <c r="AB187" i="20" s="1"/>
  <c r="J76" i="20"/>
  <c r="AA76" i="20" s="1"/>
  <c r="AE69" i="8"/>
  <c r="AE70" i="8" s="1"/>
  <c r="AE71" i="8"/>
  <c r="AE72" i="8" s="1"/>
  <c r="AE45" i="8"/>
  <c r="AE73" i="8"/>
  <c r="AE74" i="8" s="1"/>
  <c r="EN49" i="6"/>
  <c r="EQ49" i="6"/>
  <c r="EM54" i="6"/>
  <c r="EP49" i="6"/>
  <c r="EM8" i="6"/>
  <c r="AD247" i="7"/>
  <c r="AE238" i="7"/>
  <c r="AE239" i="7" s="1"/>
  <c r="AE216" i="7"/>
  <c r="AE217" i="7"/>
  <c r="AE244" i="7"/>
  <c r="AE245" i="7" s="1"/>
  <c r="AE218" i="7"/>
  <c r="AE230" i="7"/>
  <c r="AE231" i="7" s="1"/>
  <c r="AE349" i="12"/>
  <c r="AE342" i="12" s="1"/>
  <c r="AD100" i="7"/>
  <c r="AD95" i="7"/>
  <c r="AD101" i="7"/>
  <c r="F157" i="2"/>
  <c r="AW157" i="2" s="1"/>
  <c r="AD78" i="7"/>
  <c r="AD98" i="7"/>
  <c r="AD352" i="12"/>
  <c r="AD355" i="12" s="1"/>
  <c r="AD610" i="7"/>
  <c r="AD233" i="7"/>
  <c r="AE125" i="12"/>
  <c r="G295" i="2"/>
  <c r="AE232" i="7"/>
  <c r="AE233" i="7" s="1"/>
  <c r="AE26" i="7"/>
  <c r="AE506" i="7"/>
  <c r="AE554" i="7"/>
  <c r="AE509" i="7"/>
  <c r="AE281" i="7"/>
  <c r="AE192" i="7"/>
  <c r="AE348" i="7"/>
  <c r="AE233" i="8"/>
  <c r="AE621" i="7"/>
  <c r="AE638" i="7"/>
  <c r="AE452" i="7"/>
  <c r="AE678" i="7"/>
  <c r="AE765" i="7"/>
  <c r="AE313" i="7"/>
  <c r="AE27" i="7"/>
  <c r="AE448" i="7"/>
  <c r="AE675" i="7"/>
  <c r="AE533" i="7"/>
  <c r="AE597" i="7"/>
  <c r="AE508" i="7"/>
  <c r="AE451" i="7"/>
  <c r="AE346" i="7"/>
  <c r="AE158" i="7"/>
  <c r="AE599" i="7"/>
  <c r="AE637" i="7"/>
  <c r="AE240" i="7"/>
  <c r="AE241" i="7" s="1"/>
  <c r="AE505" i="7"/>
  <c r="AE555" i="7"/>
  <c r="AE317" i="7"/>
  <c r="AE231" i="8"/>
  <c r="AE224" i="7"/>
  <c r="AE468" i="12"/>
  <c r="AE129" i="7"/>
  <c r="AE446" i="7"/>
  <c r="AE640" i="7"/>
  <c r="AE246" i="7"/>
  <c r="AE247" i="7" s="1"/>
  <c r="AE642" i="7"/>
  <c r="AE408" i="7"/>
  <c r="AE532" i="7"/>
  <c r="AE242" i="12"/>
  <c r="AE65" i="7"/>
  <c r="AE67" i="7"/>
  <c r="AE234" i="8"/>
  <c r="AE578" i="7"/>
  <c r="AE347" i="7"/>
  <c r="AE241" i="12"/>
  <c r="AE387" i="7"/>
  <c r="AE225" i="7"/>
  <c r="AE157" i="7"/>
  <c r="AE668" i="7"/>
  <c r="AE510" i="7"/>
  <c r="AE243" i="12"/>
  <c r="AE639" i="7"/>
  <c r="AE344" i="7"/>
  <c r="AE580" i="7"/>
  <c r="AE470" i="12"/>
  <c r="AE282" i="7"/>
  <c r="AE28" i="7"/>
  <c r="AE285" i="7"/>
  <c r="AE673" i="7"/>
  <c r="AE636" i="7"/>
  <c r="AE534" i="7"/>
  <c r="AE796" i="7"/>
  <c r="AE472" i="7"/>
  <c r="AE512" i="7"/>
  <c r="AE669" i="7"/>
  <c r="AE471" i="12"/>
  <c r="AE345" i="7"/>
  <c r="AE611" i="7"/>
  <c r="AE156" i="7"/>
  <c r="AE221" i="7"/>
  <c r="AE342" i="7"/>
  <c r="AE409" i="7"/>
  <c r="AE315" i="7"/>
  <c r="AE511" i="7"/>
  <c r="AE66" i="7"/>
  <c r="AE29" i="7"/>
  <c r="AE159" i="7"/>
  <c r="AE677" i="7"/>
  <c r="AE127" i="7"/>
  <c r="AE676" i="7"/>
  <c r="AE194" i="7"/>
  <c r="AE469" i="12"/>
  <c r="AE314" i="7"/>
  <c r="AE635" i="7"/>
  <c r="AE389" i="7"/>
  <c r="AE366" i="7"/>
  <c r="AE472" i="12"/>
  <c r="AE64" i="7"/>
  <c r="AE31" i="7"/>
  <c r="AE473" i="12"/>
  <c r="AE62" i="7"/>
  <c r="AE340" i="12"/>
  <c r="AE368" i="7"/>
  <c r="AE343" i="7"/>
  <c r="AE316" i="7"/>
  <c r="AE244" i="12"/>
  <c r="AE280" i="7"/>
  <c r="AE556" i="7"/>
  <c r="AE30" i="7"/>
  <c r="AE223" i="7"/>
  <c r="AE449" i="7"/>
  <c r="AE411" i="7"/>
  <c r="AE507" i="7"/>
  <c r="AE557" i="7"/>
  <c r="AE513" i="7"/>
  <c r="AE230" i="8"/>
  <c r="AE445" i="7"/>
  <c r="AE598" i="7"/>
  <c r="AE535" i="7"/>
  <c r="AE410" i="7"/>
  <c r="AE284" i="7"/>
  <c r="AE641" i="7"/>
  <c r="AE470" i="7"/>
  <c r="AE798" i="7"/>
  <c r="AE444" i="7"/>
  <c r="AE155" i="7"/>
  <c r="AE698" i="7"/>
  <c r="AE699" i="7" s="1"/>
  <c r="AE607" i="7"/>
  <c r="AE613" i="7" s="1"/>
  <c r="AE232" i="8"/>
  <c r="AE160" i="7"/>
  <c r="AE447" i="7"/>
  <c r="AE674" i="7"/>
  <c r="AE672" i="7"/>
  <c r="AE450" i="7"/>
  <c r="AE612" i="7"/>
  <c r="AE229" i="8"/>
  <c r="AE670" i="7"/>
  <c r="AE283" i="7"/>
  <c r="ES5" i="6"/>
  <c r="G147" i="2"/>
  <c r="AE88" i="7"/>
  <c r="AE63" i="7"/>
  <c r="AE671" i="7"/>
  <c r="AE279" i="7"/>
  <c r="AE222" i="7"/>
  <c r="AD241" i="7"/>
  <c r="AD179" i="12"/>
  <c r="DR119" i="11"/>
  <c r="AD162" i="12" s="1"/>
  <c r="AD159" i="12" s="1"/>
  <c r="DZ116" i="11"/>
  <c r="AD243" i="8" l="1"/>
  <c r="AD245" i="8" s="1"/>
  <c r="AE101" i="7"/>
  <c r="AE100" i="7"/>
  <c r="AE98" i="7"/>
  <c r="AE95" i="7"/>
  <c r="AE352" i="12"/>
  <c r="AE355" i="12" s="1"/>
  <c r="G157" i="2"/>
  <c r="AX157" i="2" s="1"/>
  <c r="AE78" i="7"/>
  <c r="DB260" i="17"/>
  <c r="AE156" i="12"/>
  <c r="G236" i="2"/>
  <c r="AX236" i="2" s="1"/>
  <c r="F158" i="2"/>
  <c r="L196" i="20"/>
  <c r="AC196" i="20" s="1"/>
  <c r="AX147" i="2"/>
  <c r="K461" i="20"/>
  <c r="AB461" i="20" s="1"/>
  <c r="L178" i="20"/>
  <c r="AC178" i="20" s="1"/>
  <c r="H258" i="20"/>
  <c r="Y258" i="20" s="1"/>
  <c r="M430" i="20"/>
  <c r="AD430" i="20" s="1"/>
  <c r="K518" i="20"/>
  <c r="AB518" i="20" s="1"/>
  <c r="M195" i="20"/>
  <c r="AD195" i="20" s="1"/>
  <c r="H256" i="20"/>
  <c r="Y256" i="20" s="1"/>
  <c r="M435" i="20"/>
  <c r="AD435" i="20" s="1"/>
  <c r="K458" i="20"/>
  <c r="AB458" i="20" s="1"/>
  <c r="M192" i="20"/>
  <c r="AD192" i="20" s="1"/>
  <c r="H40" i="20"/>
  <c r="Y40" i="20" s="1"/>
  <c r="L187" i="20"/>
  <c r="AC187" i="20" s="1"/>
  <c r="K467" i="20"/>
  <c r="AB467" i="20" s="1"/>
  <c r="M440" i="20"/>
  <c r="AD440" i="20" s="1"/>
  <c r="K503" i="20"/>
  <c r="AB503" i="20" s="1"/>
  <c r="K460" i="20"/>
  <c r="AB460" i="20" s="1"/>
  <c r="L195" i="20"/>
  <c r="AC195" i="20" s="1"/>
  <c r="K509" i="20"/>
  <c r="AB509" i="20" s="1"/>
  <c r="H254" i="20"/>
  <c r="Y254" i="20" s="1"/>
  <c r="K513" i="20"/>
  <c r="AB513" i="20" s="1"/>
  <c r="H253" i="20"/>
  <c r="M436" i="20"/>
  <c r="AD436" i="20" s="1"/>
  <c r="M201" i="20"/>
  <c r="AD201" i="20" s="1"/>
  <c r="L424" i="20"/>
  <c r="AC424" i="20" s="1"/>
  <c r="K455" i="20"/>
  <c r="AB455" i="20" s="1"/>
  <c r="H43" i="20"/>
  <c r="Y43" i="20" s="1"/>
  <c r="M433" i="20"/>
  <c r="AD433" i="20" s="1"/>
  <c r="M429" i="20"/>
  <c r="AD429" i="20" s="1"/>
  <c r="L354" i="20"/>
  <c r="AC354" i="20" s="1"/>
  <c r="K515" i="20"/>
  <c r="AB515" i="20" s="1"/>
  <c r="M432" i="20"/>
  <c r="AD432" i="20" s="1"/>
  <c r="M439" i="20"/>
  <c r="AD439" i="20" s="1"/>
  <c r="K507" i="20"/>
  <c r="AB507" i="20" s="1"/>
  <c r="H45" i="20"/>
  <c r="Y45" i="20" s="1"/>
  <c r="M438" i="20"/>
  <c r="AD438" i="20" s="1"/>
  <c r="H257" i="20"/>
  <c r="Y257" i="20" s="1"/>
  <c r="M196" i="20"/>
  <c r="AD196" i="20" s="1"/>
  <c r="H236" i="20"/>
  <c r="Y236" i="20" s="1"/>
  <c r="M187" i="20"/>
  <c r="AD187" i="20" s="1"/>
  <c r="M431" i="20"/>
  <c r="AD431" i="20" s="1"/>
  <c r="L201" i="20"/>
  <c r="AC201" i="20" s="1"/>
  <c r="L192" i="20"/>
  <c r="AC192" i="20" s="1"/>
  <c r="H259" i="20"/>
  <c r="Y259" i="20" s="1"/>
  <c r="EM57" i="6"/>
  <c r="EM12" i="6"/>
  <c r="EM61" i="6" s="1"/>
  <c r="ET49" i="6"/>
  <c r="EW49" i="6"/>
  <c r="ES54" i="6"/>
  <c r="ES8" i="6"/>
  <c r="EV49" i="6"/>
  <c r="AE610" i="7"/>
  <c r="AD81" i="7"/>
  <c r="AD99" i="7"/>
  <c r="AD80" i="7"/>
  <c r="AD108" i="7"/>
  <c r="F200" i="2"/>
  <c r="AD93" i="7"/>
  <c r="EO8" i="6"/>
  <c r="ER8" i="6" s="1"/>
  <c r="ER57" i="6" s="1"/>
  <c r="AD89" i="7"/>
  <c r="DZ119" i="11"/>
  <c r="EA116" i="11"/>
  <c r="AE456" i="12"/>
  <c r="AE459" i="12" s="1"/>
  <c r="H33" i="20"/>
  <c r="Y33" i="20" s="1"/>
  <c r="H29" i="20"/>
  <c r="Y29" i="20" s="1"/>
  <c r="J73" i="20"/>
  <c r="AA73" i="20" s="1"/>
  <c r="G255" i="20"/>
  <c r="X255" i="20" s="1"/>
  <c r="X253" i="20"/>
  <c r="AE81" i="7" l="1"/>
  <c r="AE99" i="7"/>
  <c r="AE93" i="7"/>
  <c r="AE80" i="7"/>
  <c r="AE89" i="7"/>
  <c r="G200" i="2"/>
  <c r="EU8" i="6"/>
  <c r="AE108" i="7"/>
  <c r="EA119" i="11"/>
  <c r="DX119" i="11"/>
  <c r="J389" i="20"/>
  <c r="AA389" i="20" s="1"/>
  <c r="J385" i="20"/>
  <c r="AA385" i="20" s="1"/>
  <c r="K379" i="20"/>
  <c r="AB379" i="20" s="1"/>
  <c r="J384" i="20"/>
  <c r="AA384" i="20" s="1"/>
  <c r="G41" i="20"/>
  <c r="X41" i="20" s="1"/>
  <c r="J379" i="20"/>
  <c r="AA379" i="20" s="1"/>
  <c r="K384" i="20"/>
  <c r="AB384" i="20" s="1"/>
  <c r="J375" i="20"/>
  <c r="AA375" i="20" s="1"/>
  <c r="J388" i="20"/>
  <c r="AA388" i="20" s="1"/>
  <c r="AW200" i="2"/>
  <c r="K375" i="20"/>
  <c r="AB375" i="20" s="1"/>
  <c r="ES57" i="6"/>
  <c r="ES12" i="6"/>
  <c r="ES61" i="6" s="1"/>
  <c r="AW158" i="2"/>
  <c r="F301" i="2"/>
  <c r="AD82" i="7"/>
  <c r="AD114" i="7"/>
  <c r="AD115" i="7" s="1"/>
  <c r="AD181" i="7"/>
  <c r="AD128" i="7"/>
  <c r="AD119" i="7"/>
  <c r="AD236" i="7" s="1"/>
  <c r="F204" i="2"/>
  <c r="AW204" i="2" s="1"/>
  <c r="H255" i="20"/>
  <c r="Y255" i="20" s="1"/>
  <c r="Y253" i="20"/>
  <c r="DB265" i="17"/>
  <c r="DB120" i="17" s="1"/>
  <c r="DA260" i="17"/>
  <c r="EO57" i="6"/>
  <c r="EO12" i="6"/>
  <c r="AD253" i="8"/>
  <c r="AD249" i="8"/>
  <c r="AD250" i="8" s="1"/>
  <c r="AD254" i="8" s="1"/>
  <c r="AD130" i="7" l="1"/>
  <c r="AD124" i="7"/>
  <c r="L375" i="20"/>
  <c r="AC375" i="20" s="1"/>
  <c r="AX200" i="2"/>
  <c r="L389" i="20"/>
  <c r="AC389" i="20" s="1"/>
  <c r="M379" i="20"/>
  <c r="AD379" i="20" s="1"/>
  <c r="L385" i="20"/>
  <c r="AC385" i="20" s="1"/>
  <c r="M384" i="20"/>
  <c r="AD384" i="20" s="1"/>
  <c r="H41" i="20"/>
  <c r="Y41" i="20" s="1"/>
  <c r="L384" i="20"/>
  <c r="AC384" i="20" s="1"/>
  <c r="L379" i="20"/>
  <c r="AC379" i="20" s="1"/>
  <c r="M375" i="20"/>
  <c r="AD375" i="20" s="1"/>
  <c r="L388" i="20"/>
  <c r="AC388" i="20" s="1"/>
  <c r="EO61" i="6"/>
  <c r="EO22" i="6"/>
  <c r="EU57" i="6"/>
  <c r="EU12" i="6"/>
  <c r="AD237" i="7"/>
  <c r="K284" i="20"/>
  <c r="AB284" i="20" s="1"/>
  <c r="G35" i="20"/>
  <c r="X35" i="20" s="1"/>
  <c r="J284" i="20"/>
  <c r="AA284" i="20" s="1"/>
  <c r="K278" i="20"/>
  <c r="AB278" i="20" s="1"/>
  <c r="K280" i="20"/>
  <c r="AB280" i="20" s="1"/>
  <c r="J278" i="20"/>
  <c r="AA278" i="20" s="1"/>
  <c r="J280" i="20"/>
  <c r="AA280" i="20" s="1"/>
  <c r="AE179" i="12"/>
  <c r="DW119" i="11"/>
  <c r="AE162" i="12" s="1"/>
  <c r="AE159" i="12" s="1"/>
  <c r="AE243" i="8" s="1"/>
  <c r="AE245" i="8" s="1"/>
  <c r="AD193" i="7"/>
  <c r="AD187" i="7"/>
  <c r="AD355" i="7"/>
  <c r="AD183" i="7"/>
  <c r="AD376" i="7"/>
  <c r="EX8" i="6"/>
  <c r="EX57" i="6" s="1"/>
  <c r="AE128" i="7"/>
  <c r="AE119" i="7"/>
  <c r="AE236" i="7" s="1"/>
  <c r="AE237" i="7" s="1"/>
  <c r="AE181" i="7"/>
  <c r="AE82" i="7"/>
  <c r="AE114" i="7"/>
  <c r="G204" i="2"/>
  <c r="AX204" i="2" s="1"/>
  <c r="AE124" i="7" l="1"/>
  <c r="AE130" i="7"/>
  <c r="AD388" i="7"/>
  <c r="AD382" i="7"/>
  <c r="AD378" i="7"/>
  <c r="AD459" i="7"/>
  <c r="AD189" i="7"/>
  <c r="AD195" i="7"/>
  <c r="AE249" i="8"/>
  <c r="AE250" i="8" s="1"/>
  <c r="AE254" i="8" s="1"/>
  <c r="AE253" i="8"/>
  <c r="EU61" i="6"/>
  <c r="EU22" i="6"/>
  <c r="AE187" i="7"/>
  <c r="AE183" i="7"/>
  <c r="AE355" i="7"/>
  <c r="AE193" i="7"/>
  <c r="AE376" i="7"/>
  <c r="AD361" i="7"/>
  <c r="AD367" i="7"/>
  <c r="AD357" i="7"/>
  <c r="G158" i="2"/>
  <c r="EO71" i="6"/>
  <c r="EM22" i="6"/>
  <c r="EM71" i="6" s="1"/>
  <c r="EO29" i="6"/>
  <c r="AE115" i="7"/>
  <c r="AD363" i="7" l="1"/>
  <c r="AD369" i="7"/>
  <c r="AE189" i="7"/>
  <c r="AE195" i="7"/>
  <c r="AD564" i="7"/>
  <c r="AD471" i="7"/>
  <c r="AD465" i="7"/>
  <c r="AD461" i="7"/>
  <c r="EU71" i="6"/>
  <c r="EU29" i="6"/>
  <c r="ES22" i="6"/>
  <c r="ES71" i="6" s="1"/>
  <c r="AE357" i="7"/>
  <c r="AE367" i="7"/>
  <c r="AE361" i="7"/>
  <c r="EO78" i="6"/>
  <c r="EO34" i="6"/>
  <c r="EM29" i="6"/>
  <c r="EM78" i="6" s="1"/>
  <c r="AX158" i="2"/>
  <c r="G301" i="2"/>
  <c r="AE382" i="7"/>
  <c r="AE388" i="7"/>
  <c r="AE378" i="7"/>
  <c r="AE459" i="7"/>
  <c r="AD390" i="7"/>
  <c r="AD384" i="7"/>
  <c r="M280" i="20" l="1"/>
  <c r="AD280" i="20" s="1"/>
  <c r="M284" i="20"/>
  <c r="AD284" i="20" s="1"/>
  <c r="L284" i="20"/>
  <c r="AC284" i="20" s="1"/>
  <c r="L280" i="20"/>
  <c r="AC280" i="20" s="1"/>
  <c r="L278" i="20"/>
  <c r="AC278" i="20" s="1"/>
  <c r="H35" i="20"/>
  <c r="Y35" i="20" s="1"/>
  <c r="M278" i="20"/>
  <c r="AD278" i="20" s="1"/>
  <c r="AE390" i="7"/>
  <c r="AE384" i="7"/>
  <c r="ES29" i="6"/>
  <c r="ES78" i="6" s="1"/>
  <c r="EU78" i="6"/>
  <c r="EU34" i="6"/>
  <c r="AD573" i="7"/>
  <c r="AD566" i="7"/>
  <c r="AD567" i="7" s="1"/>
  <c r="AD579" i="7"/>
  <c r="AE471" i="7"/>
  <c r="AE564" i="7"/>
  <c r="AE461" i="7"/>
  <c r="AE465" i="7"/>
  <c r="EO83" i="6"/>
  <c r="EM34" i="6"/>
  <c r="EM83" i="6" s="1"/>
  <c r="EO39" i="6"/>
  <c r="AE363" i="7"/>
  <c r="AE369" i="7"/>
  <c r="AD467" i="7"/>
  <c r="AD473" i="7"/>
  <c r="ES34" i="6" l="1"/>
  <c r="ES83" i="6" s="1"/>
  <c r="EU39" i="6"/>
  <c r="EU83" i="6"/>
  <c r="AE579" i="7"/>
  <c r="AE566" i="7"/>
  <c r="AE567" i="7" s="1"/>
  <c r="AE573" i="7"/>
  <c r="AD575" i="7"/>
  <c r="AD569" i="7"/>
  <c r="AD2" i="7" s="1"/>
  <c r="AD581" i="7"/>
  <c r="EO88" i="6"/>
  <c r="EM39" i="6"/>
  <c r="EO48" i="6"/>
  <c r="AE473" i="7"/>
  <c r="AE467" i="7"/>
  <c r="EO97" i="6" l="1"/>
  <c r="EO49" i="6"/>
  <c r="AE569" i="7"/>
  <c r="AE2" i="7" s="1"/>
  <c r="AE575" i="7"/>
  <c r="AE581" i="7"/>
  <c r="EU88" i="6"/>
  <c r="ES39" i="6"/>
  <c r="EU48" i="6"/>
  <c r="EM48" i="6"/>
  <c r="EM88" i="6"/>
  <c r="ES88" i="6" l="1"/>
  <c r="ES48" i="6"/>
  <c r="ER48" i="6"/>
  <c r="ER97" i="6" s="1"/>
  <c r="EM97" i="6"/>
  <c r="EU49" i="6"/>
  <c r="EU97" i="6"/>
  <c r="EX48" i="6" l="1"/>
  <c r="EX97" i="6" s="1"/>
  <c r="ES97" i="6"/>
</calcChain>
</file>

<file path=xl/comments1.xml><?xml version="1.0" encoding="utf-8"?>
<comments xmlns="http://schemas.openxmlformats.org/spreadsheetml/2006/main">
  <authors>
    <author>bethuge</author>
    <author>FLORIAN Miroslav (ECFIN)</author>
  </authors>
  <commentList>
    <comment ref="A9" authorId="0">
      <text>
        <r>
          <rPr>
            <b/>
            <sz val="8"/>
            <color indexed="81"/>
            <rFont val="Tahoma"/>
            <family val="2"/>
          </rPr>
          <t>bethuge:</t>
        </r>
        <r>
          <rPr>
            <sz val="8"/>
            <color indexed="81"/>
            <rFont val="Tahoma"/>
            <family val="2"/>
          </rPr>
          <t xml:space="preserve">
For BE no FTE data exists. We use totals instead.</t>
        </r>
      </text>
    </comment>
    <comment ref="A10" authorId="0">
      <text>
        <r>
          <rPr>
            <b/>
            <sz val="8"/>
            <color indexed="81"/>
            <rFont val="Tahoma"/>
            <family val="2"/>
          </rPr>
          <t>bethuge:</t>
        </r>
        <r>
          <rPr>
            <sz val="8"/>
            <color indexed="81"/>
            <rFont val="Tahoma"/>
            <family val="2"/>
          </rPr>
          <t xml:space="preserve">
For BE no FTE data exists. We use totals instead.</t>
        </r>
      </text>
    </comment>
    <comment ref="A24" authorId="0">
      <text>
        <r>
          <rPr>
            <b/>
            <sz val="8"/>
            <color indexed="81"/>
            <rFont val="Tahoma"/>
            <family val="2"/>
          </rPr>
          <t>bethuge:</t>
        </r>
        <r>
          <rPr>
            <sz val="8"/>
            <color indexed="81"/>
            <rFont val="Tahoma"/>
            <family val="2"/>
          </rPr>
          <t xml:space="preserve">
Not available for BE</t>
        </r>
      </text>
    </comment>
    <comment ref="A25" authorId="0">
      <text>
        <r>
          <rPr>
            <b/>
            <sz val="8"/>
            <color indexed="81"/>
            <rFont val="Tahoma"/>
            <family val="2"/>
          </rPr>
          <t>bethuge:</t>
        </r>
        <r>
          <rPr>
            <sz val="8"/>
            <color indexed="81"/>
            <rFont val="Tahoma"/>
            <family val="2"/>
          </rPr>
          <t xml:space="preserve">
Not available for BE</t>
        </r>
      </text>
    </comment>
    <comment ref="A30" authorId="0">
      <text>
        <r>
          <rPr>
            <b/>
            <sz val="8"/>
            <color indexed="81"/>
            <rFont val="Tahoma"/>
            <family val="2"/>
          </rPr>
          <t>bethuge:</t>
        </r>
        <r>
          <rPr>
            <sz val="8"/>
            <color indexed="81"/>
            <rFont val="Tahoma"/>
            <family val="2"/>
          </rPr>
          <t xml:space="preserve">
Not available for BE</t>
        </r>
      </text>
    </comment>
    <comment ref="A31" authorId="0">
      <text>
        <r>
          <rPr>
            <b/>
            <sz val="8"/>
            <color indexed="81"/>
            <rFont val="Tahoma"/>
            <family val="2"/>
          </rPr>
          <t>bethuge:</t>
        </r>
        <r>
          <rPr>
            <sz val="8"/>
            <color indexed="81"/>
            <rFont val="Tahoma"/>
            <family val="2"/>
          </rPr>
          <t xml:space="preserve">
Not available for BE</t>
        </r>
      </text>
    </comment>
    <comment ref="A36" authorId="0">
      <text>
        <r>
          <rPr>
            <b/>
            <sz val="8"/>
            <color indexed="81"/>
            <rFont val="Tahoma"/>
            <family val="2"/>
          </rPr>
          <t>bethuge:</t>
        </r>
        <r>
          <rPr>
            <sz val="8"/>
            <color indexed="81"/>
            <rFont val="Tahoma"/>
            <family val="2"/>
          </rPr>
          <t xml:space="preserve">
PROBLEM WITH CHAINLINKING:
This variable needs to be loaded separately when chainlinking, instead of as an aggregation of two other variables</t>
        </r>
      </text>
    </comment>
    <comment ref="A41" authorId="0">
      <text>
        <r>
          <rPr>
            <b/>
            <sz val="8"/>
            <color indexed="81"/>
            <rFont val="Tahoma"/>
            <family val="2"/>
          </rPr>
          <t>bethuge:</t>
        </r>
        <r>
          <rPr>
            <sz val="8"/>
            <color indexed="81"/>
            <rFont val="Tahoma"/>
            <family val="2"/>
          </rPr>
          <t xml:space="preserve">
For BE this is constructed on the basis of Belgostat as total consumption plus GFCF, assuming additivity !!!</t>
        </r>
      </text>
    </comment>
    <comment ref="E64" authorId="1">
      <text>
        <r>
          <rPr>
            <b/>
            <sz val="9"/>
            <color indexed="81"/>
            <rFont val="Tahoma"/>
            <family val="2"/>
          </rPr>
          <t>19/10/2012</t>
        </r>
        <r>
          <rPr>
            <sz val="9"/>
            <color indexed="81"/>
            <rFont val="Tahoma"/>
            <family val="2"/>
          </rPr>
          <t xml:space="preserve">
added with Martin due to an inconsistency in the fiscal deficit forecast - this line now feeds into Sector1 line 427</t>
        </r>
      </text>
    </comment>
    <comment ref="A66" authorId="0">
      <text>
        <r>
          <rPr>
            <b/>
            <sz val="8"/>
            <color indexed="81"/>
            <rFont val="Tahoma"/>
            <family val="2"/>
          </rPr>
          <t>bethuge:</t>
        </r>
        <r>
          <rPr>
            <sz val="8"/>
            <color indexed="81"/>
            <rFont val="Tahoma"/>
            <family val="2"/>
          </rPr>
          <t xml:space="preserve">
Not available for BE</t>
        </r>
      </text>
    </comment>
    <comment ref="A67" authorId="0">
      <text>
        <r>
          <rPr>
            <b/>
            <sz val="8"/>
            <color indexed="81"/>
            <rFont val="Tahoma"/>
            <family val="2"/>
          </rPr>
          <t>bethuge:</t>
        </r>
        <r>
          <rPr>
            <sz val="8"/>
            <color indexed="81"/>
            <rFont val="Tahoma"/>
            <family val="2"/>
          </rPr>
          <t xml:space="preserve">
Not available for BE</t>
        </r>
      </text>
    </comment>
    <comment ref="A71" authorId="0">
      <text>
        <r>
          <rPr>
            <b/>
            <sz val="8"/>
            <color indexed="81"/>
            <rFont val="Tahoma"/>
            <family val="2"/>
          </rPr>
          <t>bethuge:</t>
        </r>
        <r>
          <rPr>
            <sz val="8"/>
            <color indexed="81"/>
            <rFont val="Tahoma"/>
            <family val="2"/>
          </rPr>
          <t xml:space="preserve">
Not available for BE</t>
        </r>
      </text>
    </comment>
    <comment ref="A72" authorId="0">
      <text>
        <r>
          <rPr>
            <b/>
            <sz val="8"/>
            <color indexed="81"/>
            <rFont val="Tahoma"/>
            <family val="2"/>
          </rPr>
          <t>bethuge:</t>
        </r>
        <r>
          <rPr>
            <sz val="8"/>
            <color indexed="81"/>
            <rFont val="Tahoma"/>
            <family val="2"/>
          </rPr>
          <t xml:space="preserve">
Not available for BE</t>
        </r>
      </text>
    </comment>
    <comment ref="A85" authorId="0">
      <text>
        <r>
          <rPr>
            <b/>
            <sz val="8"/>
            <color indexed="81"/>
            <rFont val="Tahoma"/>
            <family val="2"/>
          </rPr>
          <t>bethuge:</t>
        </r>
        <r>
          <rPr>
            <sz val="8"/>
            <color indexed="81"/>
            <rFont val="Tahoma"/>
            <family val="2"/>
          </rPr>
          <t xml:space="preserve">
If there are no historical data for this variable, it could also be defined as the residual in the Sector1 sheet. 
However, if there are historical data we encourage you to use them because it provides a stronger check on consistency. </t>
        </r>
      </text>
    </comment>
    <comment ref="A94" authorId="0">
      <text>
        <r>
          <rPr>
            <b/>
            <sz val="8"/>
            <color indexed="81"/>
            <rFont val="Tahoma"/>
            <family val="2"/>
          </rPr>
          <t>bethuge:</t>
        </r>
        <r>
          <rPr>
            <sz val="8"/>
            <color indexed="81"/>
            <rFont val="Tahoma"/>
            <family val="2"/>
          </rPr>
          <t xml:space="preserve">
This variable is for consistency checking only. </t>
        </r>
      </text>
    </comment>
    <comment ref="A95" authorId="0">
      <text>
        <r>
          <rPr>
            <b/>
            <sz val="8"/>
            <color indexed="81"/>
            <rFont val="Tahoma"/>
            <family val="2"/>
          </rPr>
          <t>bethuge:</t>
        </r>
        <r>
          <rPr>
            <sz val="8"/>
            <color indexed="81"/>
            <rFont val="Tahoma"/>
            <family val="2"/>
          </rPr>
          <t xml:space="preserve">
This variable is for consistency checking only. </t>
        </r>
      </text>
    </comment>
    <comment ref="A96" authorId="0">
      <text>
        <r>
          <rPr>
            <b/>
            <sz val="8"/>
            <color indexed="81"/>
            <rFont val="Tahoma"/>
            <family val="2"/>
          </rPr>
          <t>bethuge:</t>
        </r>
        <r>
          <rPr>
            <sz val="8"/>
            <color indexed="81"/>
            <rFont val="Tahoma"/>
            <family val="2"/>
          </rPr>
          <t xml:space="preserve">
This variable is for consistency checking only. </t>
        </r>
      </text>
    </comment>
    <comment ref="A100" authorId="0">
      <text>
        <r>
          <rPr>
            <b/>
            <sz val="8"/>
            <color indexed="81"/>
            <rFont val="Tahoma"/>
            <family val="2"/>
          </rPr>
          <t>bethuge:</t>
        </r>
        <r>
          <rPr>
            <sz val="8"/>
            <color indexed="81"/>
            <rFont val="Tahoma"/>
            <family val="2"/>
          </rPr>
          <t xml:space="preserve">
If there are no historical data for this variable, it could also be defined as the residual in the Sector1 sheet. 
However, if there are historical data we encourage you to use them because it provides a stronger check on consistency. </t>
        </r>
      </text>
    </comment>
    <comment ref="A101" authorId="0">
      <text>
        <r>
          <rPr>
            <b/>
            <sz val="8"/>
            <color indexed="81"/>
            <rFont val="Tahoma"/>
            <family val="2"/>
          </rPr>
          <t>bethuge:</t>
        </r>
        <r>
          <rPr>
            <sz val="8"/>
            <color indexed="81"/>
            <rFont val="Tahoma"/>
            <family val="2"/>
          </rPr>
          <t xml:space="preserve">
If there are no historical data for this variable, it could also be defined as the residual in the Sector1 sheet. 
However, if there are historical data we encourage you to use them because it provides a stronger check on consistency. </t>
        </r>
      </text>
    </comment>
    <comment ref="A106" authorId="0">
      <text>
        <r>
          <rPr>
            <b/>
            <sz val="8"/>
            <color indexed="81"/>
            <rFont val="Tahoma"/>
            <family val="2"/>
          </rPr>
          <t>bethuge:</t>
        </r>
        <r>
          <rPr>
            <sz val="8"/>
            <color indexed="81"/>
            <rFont val="Tahoma"/>
            <family val="2"/>
          </rPr>
          <t xml:space="preserve">
If there are no historical data for this variable, it could also be defined as the residual in the Sector1 sheet. 
However, if there are historical data we encourage you to use them because it provides a stronger check on consistency. </t>
        </r>
      </text>
    </comment>
    <comment ref="A231" authorId="0">
      <text>
        <r>
          <rPr>
            <b/>
            <sz val="8"/>
            <color indexed="81"/>
            <rFont val="Tahoma"/>
            <family val="2"/>
          </rPr>
          <t>bethuge:</t>
        </r>
        <r>
          <rPr>
            <sz val="8"/>
            <color indexed="81"/>
            <rFont val="Tahoma"/>
            <family val="2"/>
          </rPr>
          <t xml:space="preserve">
If there are no historical data for this variable, it could also be defined as the residual in the Sector1 sheet. 
However, if there are historical data we encourage you to use them because it provides a stronger check on consistency. </t>
        </r>
      </text>
    </comment>
    <comment ref="A233" authorId="0">
      <text>
        <r>
          <rPr>
            <b/>
            <sz val="8"/>
            <color indexed="81"/>
            <rFont val="Tahoma"/>
            <family val="2"/>
          </rPr>
          <t>bethuge:</t>
        </r>
        <r>
          <rPr>
            <sz val="8"/>
            <color indexed="81"/>
            <rFont val="Tahoma"/>
            <family val="2"/>
          </rPr>
          <t xml:space="preserve">
If there are no historical data for this variable, it could also be defined as the residual in the Sector1 sheet. 
However, if there are historical data we encourage you to use them because it provides a stronger check on consistency. </t>
        </r>
      </text>
    </comment>
    <comment ref="A235" authorId="0">
      <text>
        <r>
          <rPr>
            <b/>
            <sz val="8"/>
            <color indexed="81"/>
            <rFont val="Tahoma"/>
            <family val="2"/>
          </rPr>
          <t>bethuge:</t>
        </r>
        <r>
          <rPr>
            <sz val="8"/>
            <color indexed="81"/>
            <rFont val="Tahoma"/>
            <family val="2"/>
          </rPr>
          <t xml:space="preserve">
If there are no historical data for this variable, it could also be defined as the residual in the Sector1 sheet. 
However, if there are historical data we encourage you to use them because it provides a stronger check on consistency. </t>
        </r>
      </text>
    </comment>
    <comment ref="A238" authorId="0">
      <text>
        <r>
          <rPr>
            <b/>
            <sz val="8"/>
            <color indexed="81"/>
            <rFont val="Tahoma"/>
            <family val="2"/>
          </rPr>
          <t>bethuge:</t>
        </r>
        <r>
          <rPr>
            <sz val="8"/>
            <color indexed="81"/>
            <rFont val="Tahoma"/>
            <family val="2"/>
          </rPr>
          <t xml:space="preserve">
If there are no historical data for this variable, it could also be defined as the residual in the Sector1 sheet. 
However, if there are historical data we encourage you to use them because it provides a stronger check on consistency. </t>
        </r>
      </text>
    </comment>
    <comment ref="A242" authorId="0">
      <text>
        <r>
          <rPr>
            <b/>
            <sz val="8"/>
            <color indexed="81"/>
            <rFont val="Tahoma"/>
            <family val="2"/>
          </rPr>
          <t>bethuge:</t>
        </r>
        <r>
          <rPr>
            <sz val="8"/>
            <color indexed="81"/>
            <rFont val="Tahoma"/>
            <family val="2"/>
          </rPr>
          <t xml:space="preserve">
If there are no historical data for this variable, it could also be defined as the residual in the Sector1 sheet. 
However, if there are historical data we encourage you to use them because it provides a stronger check on consistency. </t>
        </r>
      </text>
    </comment>
    <comment ref="A246" authorId="0">
      <text>
        <r>
          <rPr>
            <b/>
            <sz val="8"/>
            <color indexed="81"/>
            <rFont val="Tahoma"/>
            <family val="2"/>
          </rPr>
          <t>bethuge:</t>
        </r>
        <r>
          <rPr>
            <sz val="8"/>
            <color indexed="81"/>
            <rFont val="Tahoma"/>
            <family val="2"/>
          </rPr>
          <t xml:space="preserve">
If there are no historical data for this variable, it could also be defined as the residual in the Sector1 sheet. 
However, if there are historical data we encourage you to use them because it provides a stronger check on consistency. </t>
        </r>
      </text>
    </comment>
    <comment ref="A250" authorId="0">
      <text>
        <r>
          <rPr>
            <b/>
            <sz val="8"/>
            <color indexed="81"/>
            <rFont val="Tahoma"/>
            <family val="2"/>
          </rPr>
          <t>bethuge:</t>
        </r>
        <r>
          <rPr>
            <sz val="8"/>
            <color indexed="81"/>
            <rFont val="Tahoma"/>
            <family val="2"/>
          </rPr>
          <t xml:space="preserve">
If there are no historical data for this variable, it could also be defined as the residual in the Sector1 sheet. 
However, if there are historical data we encourage you to use them because it provides a stronger check on consistency. </t>
        </r>
      </text>
    </comment>
    <comment ref="A254" authorId="0">
      <text>
        <r>
          <rPr>
            <b/>
            <sz val="8"/>
            <color indexed="81"/>
            <rFont val="Tahoma"/>
            <family val="2"/>
          </rPr>
          <t>bethuge:</t>
        </r>
        <r>
          <rPr>
            <sz val="8"/>
            <color indexed="81"/>
            <rFont val="Tahoma"/>
            <family val="2"/>
          </rPr>
          <t xml:space="preserve">
If there are no historical data for this variable, it could also be defined as the residual in the Sector1 sheet. 
However, if there are historical data we encourage you to use them because it provides a stronger check on consistency. </t>
        </r>
      </text>
    </comment>
    <comment ref="A256" authorId="0">
      <text>
        <r>
          <rPr>
            <b/>
            <sz val="8"/>
            <color indexed="81"/>
            <rFont val="Tahoma"/>
            <family val="2"/>
          </rPr>
          <t>bethuge:</t>
        </r>
        <r>
          <rPr>
            <sz val="8"/>
            <color indexed="81"/>
            <rFont val="Tahoma"/>
            <family val="2"/>
          </rPr>
          <t xml:space="preserve">
If there are no historical data for this variable, it could also be defined as the residual in the Sector1 sheet. 
However, if there are historical data we encourage you to use them because it provides a stronger check on consistency. </t>
        </r>
      </text>
    </comment>
    <comment ref="A257" authorId="0">
      <text>
        <r>
          <rPr>
            <b/>
            <sz val="8"/>
            <color indexed="81"/>
            <rFont val="Tahoma"/>
            <family val="2"/>
          </rPr>
          <t>bethuge:</t>
        </r>
        <r>
          <rPr>
            <sz val="8"/>
            <color indexed="81"/>
            <rFont val="Tahoma"/>
            <family val="2"/>
          </rPr>
          <t xml:space="preserve">
If there are no historical data for this variable, it could also be defined as the residual in the Sector1 sheet. 
However, if there are historical data we encourage you to use them because it provides a stronger check on consistency. </t>
        </r>
      </text>
    </comment>
    <comment ref="A268" authorId="0">
      <text>
        <r>
          <rPr>
            <b/>
            <sz val="8"/>
            <color indexed="81"/>
            <rFont val="Tahoma"/>
            <family val="2"/>
          </rPr>
          <t>bethuge:</t>
        </r>
        <r>
          <rPr>
            <sz val="8"/>
            <color indexed="81"/>
            <rFont val="Tahoma"/>
            <family val="2"/>
          </rPr>
          <t xml:space="preserve">
No longer in use for BE</t>
        </r>
      </text>
    </comment>
  </commentList>
</comments>
</file>

<file path=xl/comments2.xml><?xml version="1.0" encoding="utf-8"?>
<comments xmlns="http://schemas.openxmlformats.org/spreadsheetml/2006/main">
  <authors>
    <author>bethuge</author>
  </authors>
  <commentList>
    <comment ref="A25" authorId="0">
      <text>
        <r>
          <rPr>
            <b/>
            <sz val="8"/>
            <color indexed="81"/>
            <rFont val="Tahoma"/>
            <family val="2"/>
          </rPr>
          <t>bethuge:</t>
        </r>
        <r>
          <rPr>
            <sz val="8"/>
            <color indexed="81"/>
            <rFont val="Tahoma"/>
            <family val="2"/>
          </rPr>
          <t xml:space="preserve">
This line is only required in the sheet Q1b1 and Q1b2.
It can be left empty if you use the simplified sheet Q1a. </t>
        </r>
      </text>
    </comment>
    <comment ref="A26" authorId="0">
      <text>
        <r>
          <rPr>
            <b/>
            <sz val="8"/>
            <color indexed="81"/>
            <rFont val="Tahoma"/>
            <family val="2"/>
          </rPr>
          <t>bethuge:</t>
        </r>
        <r>
          <rPr>
            <sz val="8"/>
            <color indexed="81"/>
            <rFont val="Tahoma"/>
            <family val="2"/>
          </rPr>
          <t xml:space="preserve">
This line is only required in the sheet Q1b1 and Q1b2.
It can be left empty if you use the simplified sheet Q1a. </t>
        </r>
      </text>
    </comment>
    <comment ref="A27" authorId="0">
      <text>
        <r>
          <rPr>
            <b/>
            <sz val="8"/>
            <color indexed="81"/>
            <rFont val="Tahoma"/>
            <family val="2"/>
          </rPr>
          <t>bethuge:</t>
        </r>
        <r>
          <rPr>
            <sz val="8"/>
            <color indexed="81"/>
            <rFont val="Tahoma"/>
            <family val="2"/>
          </rPr>
          <t xml:space="preserve">
This line is only required in the sheet Q1b1 and Q1b2.
It can be left empty if you use the simplified sheet Q1a. </t>
        </r>
      </text>
    </comment>
    <comment ref="A28" authorId="0">
      <text>
        <r>
          <rPr>
            <b/>
            <sz val="8"/>
            <color indexed="81"/>
            <rFont val="Tahoma"/>
            <family val="2"/>
          </rPr>
          <t>bethuge:</t>
        </r>
        <r>
          <rPr>
            <sz val="8"/>
            <color indexed="81"/>
            <rFont val="Tahoma"/>
            <family val="2"/>
          </rPr>
          <t xml:space="preserve">
This line is only required in the sheet Q1b1 and Q1b2.
It can be left empty if you use the simplified sheet Q1a. </t>
        </r>
      </text>
    </comment>
    <comment ref="A29" authorId="0">
      <text>
        <r>
          <rPr>
            <b/>
            <sz val="8"/>
            <color indexed="81"/>
            <rFont val="Tahoma"/>
            <family val="2"/>
          </rPr>
          <t>bethuge:</t>
        </r>
        <r>
          <rPr>
            <sz val="8"/>
            <color indexed="81"/>
            <rFont val="Tahoma"/>
            <family val="2"/>
          </rPr>
          <t xml:space="preserve">
This line is only required in the sheet Q1b1 and Q1b2.
It can be left empty if you use the simplified sheet Q1a. </t>
        </r>
      </text>
    </comment>
    <comment ref="A30" authorId="0">
      <text>
        <r>
          <rPr>
            <b/>
            <sz val="8"/>
            <color indexed="81"/>
            <rFont val="Tahoma"/>
            <family val="2"/>
          </rPr>
          <t>bethuge:</t>
        </r>
        <r>
          <rPr>
            <sz val="8"/>
            <color indexed="81"/>
            <rFont val="Tahoma"/>
            <family val="2"/>
          </rPr>
          <t xml:space="preserve">
This line is only required in the sheet Q1b1 and Q1b2.
It can be left empty if you use the simplified sheet Q1a. </t>
        </r>
      </text>
    </comment>
    <comment ref="A31" authorId="0">
      <text>
        <r>
          <rPr>
            <b/>
            <sz val="8"/>
            <color indexed="81"/>
            <rFont val="Tahoma"/>
            <family val="2"/>
          </rPr>
          <t>bethuge:</t>
        </r>
        <r>
          <rPr>
            <sz val="8"/>
            <color indexed="81"/>
            <rFont val="Tahoma"/>
            <family val="2"/>
          </rPr>
          <t xml:space="preserve">
This line is only required in the sheet Q1b1 and Q1b2.
It can be left empty if you use the simplified sheet Q1a. </t>
        </r>
      </text>
    </comment>
    <comment ref="A32" authorId="0">
      <text>
        <r>
          <rPr>
            <b/>
            <sz val="8"/>
            <color indexed="81"/>
            <rFont val="Tahoma"/>
            <family val="2"/>
          </rPr>
          <t>bethuge:</t>
        </r>
        <r>
          <rPr>
            <sz val="8"/>
            <color indexed="81"/>
            <rFont val="Tahoma"/>
            <family val="2"/>
          </rPr>
          <t xml:space="preserve">
This line is only required in the sheet Q1b1 and Q1b2.
It can be left empty if you use the simplified sheet Q1a. </t>
        </r>
      </text>
    </comment>
    <comment ref="A34"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35"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36"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37"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38"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39"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40"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41"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42"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43"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44"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45"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46"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47"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48"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49"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50"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51"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53"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54"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55"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56"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57"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58"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59"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60"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61"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62"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63"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64"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65"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66"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67"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68"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69"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70"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List>
</comments>
</file>

<file path=xl/comments3.xml><?xml version="1.0" encoding="utf-8"?>
<comments xmlns="http://schemas.openxmlformats.org/spreadsheetml/2006/main">
  <authors>
    <author>bethuge</author>
    <author>ECFIN F4 (Sidlauskas)</author>
  </authors>
  <commentList>
    <comment ref="E2" authorId="0">
      <text>
        <r>
          <rPr>
            <b/>
            <sz val="8"/>
            <color indexed="81"/>
            <rFont val="Tahoma"/>
            <family val="2"/>
          </rPr>
          <t>bethuge:</t>
        </r>
        <r>
          <rPr>
            <sz val="8"/>
            <color indexed="81"/>
            <rFont val="Tahoma"/>
            <family val="2"/>
          </rPr>
          <t xml:space="preserve">
If the country </t>
        </r>
        <r>
          <rPr>
            <u/>
            <sz val="8"/>
            <color indexed="81"/>
            <rFont val="Tahoma"/>
            <family val="2"/>
          </rPr>
          <t>does not use chain linking</t>
        </r>
        <r>
          <rPr>
            <sz val="8"/>
            <color indexed="81"/>
            <rFont val="Tahoma"/>
            <family val="2"/>
          </rPr>
          <t>, all aggregates (AG) are calculated in VVP2, because previous year prices is non-additive.
If the</t>
        </r>
        <r>
          <rPr>
            <sz val="8"/>
            <color indexed="81"/>
            <rFont val="Tahoma"/>
            <family val="2"/>
          </rPr>
          <t xml:space="preserve"> country </t>
        </r>
        <r>
          <rPr>
            <u/>
            <sz val="8"/>
            <color indexed="81"/>
            <rFont val="Tahoma"/>
            <family val="2"/>
          </rPr>
          <t>uses chain linking</t>
        </r>
        <r>
          <rPr>
            <sz val="8"/>
            <color indexed="81"/>
            <rFont val="Tahoma"/>
            <family val="2"/>
          </rPr>
          <t>, all a</t>
        </r>
        <r>
          <rPr>
            <sz val="8"/>
            <color indexed="81"/>
            <rFont val="Tahoma"/>
            <family val="2"/>
          </rPr>
          <t xml:space="preserve">ggregates (AG) are calculated in previous year's prices, because constant prices is non-additive.
Aggregates are marked as </t>
        </r>
        <r>
          <rPr>
            <b/>
            <sz val="8"/>
            <color indexed="10"/>
            <rFont val="Tahoma"/>
            <family val="2"/>
          </rPr>
          <t>AG</t>
        </r>
        <r>
          <rPr>
            <sz val="8"/>
            <color indexed="81"/>
            <rFont val="Tahoma"/>
            <family val="2"/>
          </rPr>
          <t xml:space="preserve">. 
</t>
        </r>
      </text>
    </comment>
    <comment ref="E16" authorId="0">
      <text>
        <r>
          <rPr>
            <b/>
            <sz val="10"/>
            <color indexed="81"/>
            <rFont val="Tahoma"/>
            <family val="2"/>
          </rPr>
          <t>bethuge:</t>
        </r>
        <r>
          <rPr>
            <sz val="10"/>
            <color indexed="81"/>
            <rFont val="Tahoma"/>
            <family val="2"/>
          </rPr>
          <t xml:space="preserve">
In a limited number of countries expenditure components do not add up to GDP. If this is the case, this line captures the residu. 
However, in most cases a statistical discrepancy shown in this line indicates inconsistent input data. Please verify that your country really has statistical discrepancies before proceeding. 
As for the forecast years, unless there is compelling evidence that the statistical discrepancy is changing, it is usually best to assume that growth of this component is 0. 
Note: This should not be confused with a chainlinking residual, which is the difference between the sum of expenditure compenents and GDP due to non-additivity of chainlinked data.</t>
        </r>
      </text>
    </comment>
    <comment ref="E41" authorId="0">
      <text>
        <r>
          <rPr>
            <b/>
            <sz val="8"/>
            <color indexed="81"/>
            <rFont val="Tahoma"/>
            <family val="2"/>
          </rPr>
          <t>bethuge:</t>
        </r>
        <r>
          <rPr>
            <sz val="8"/>
            <color indexed="81"/>
            <rFont val="Tahoma"/>
            <family val="2"/>
          </rPr>
          <t xml:space="preserve">
Annual forecast is automatically linked to the cumulative forecast for the corresponding quarters.</t>
        </r>
      </text>
    </comment>
    <comment ref="E42" authorId="0">
      <text>
        <r>
          <rPr>
            <b/>
            <sz val="8"/>
            <color indexed="81"/>
            <rFont val="Tahoma"/>
            <family val="2"/>
          </rPr>
          <t>bethuge:</t>
        </r>
        <r>
          <rPr>
            <sz val="8"/>
            <color indexed="81"/>
            <rFont val="Tahoma"/>
            <family val="2"/>
          </rPr>
          <t xml:space="preserve">
This line is optional if HICP is forecasted</t>
        </r>
      </text>
    </comment>
    <comment ref="DH71" authorId="1">
      <text>
        <r>
          <rPr>
            <b/>
            <sz val="9"/>
            <color indexed="81"/>
            <rFont val="Tahoma"/>
            <family val="2"/>
          </rPr>
          <t>ECFIN F4 (Sidlauskas):</t>
        </r>
        <r>
          <rPr>
            <sz val="9"/>
            <color indexed="81"/>
            <rFont val="Tahoma"/>
            <family val="2"/>
          </rPr>
          <t xml:space="preserve">
updatedpost TCE5 AF</t>
        </r>
      </text>
    </comment>
    <comment ref="DI71" authorId="1">
      <text>
        <r>
          <rPr>
            <b/>
            <sz val="9"/>
            <color indexed="81"/>
            <rFont val="Tahoma"/>
            <family val="2"/>
          </rPr>
          <t>ECFIN F4 (Sidlauskas):</t>
        </r>
        <r>
          <rPr>
            <sz val="9"/>
            <color indexed="81"/>
            <rFont val="Tahoma"/>
            <family val="2"/>
          </rPr>
          <t xml:space="preserve">
Post TCE2017 - perkopijuota ant virsaus formule is 2015 m</t>
        </r>
      </text>
    </comment>
    <comment ref="E73" authorId="0">
      <text>
        <r>
          <rPr>
            <b/>
            <sz val="8"/>
            <color indexed="81"/>
            <rFont val="Tahoma"/>
            <family val="2"/>
          </rPr>
          <t>bethuge:</t>
        </r>
        <r>
          <rPr>
            <sz val="8"/>
            <color indexed="81"/>
            <rFont val="Tahoma"/>
            <family val="2"/>
          </rPr>
          <t xml:space="preserve">
Implicit residual.
</t>
        </r>
      </text>
    </comment>
    <comment ref="CQ75" authorId="0">
      <text>
        <r>
          <rPr>
            <b/>
            <sz val="8"/>
            <color indexed="81"/>
            <rFont val="Tahoma"/>
            <family val="2"/>
          </rPr>
          <t>bethuge:</t>
        </r>
        <r>
          <rPr>
            <sz val="8"/>
            <color indexed="81"/>
            <rFont val="Tahoma"/>
            <family val="2"/>
          </rPr>
          <t xml:space="preserve">
This is a check to see if historical values are consistent (i.e. if total per asset type is equal to total per sector).</t>
        </r>
      </text>
    </comment>
    <comment ref="CV75" authorId="0">
      <text>
        <r>
          <rPr>
            <b/>
            <sz val="8"/>
            <color indexed="81"/>
            <rFont val="Tahoma"/>
            <family val="2"/>
          </rPr>
          <t>bethuge:</t>
        </r>
        <r>
          <rPr>
            <sz val="8"/>
            <color indexed="81"/>
            <rFont val="Tahoma"/>
            <family val="2"/>
          </rPr>
          <t xml:space="preserve">
This is a check to see if historical values are consistent (i.e. if total per asset type is equal to total per sector).</t>
        </r>
      </text>
    </comment>
    <comment ref="DA75" authorId="0">
      <text>
        <r>
          <rPr>
            <b/>
            <sz val="8"/>
            <color indexed="81"/>
            <rFont val="Tahoma"/>
            <family val="2"/>
          </rPr>
          <t>bethuge:</t>
        </r>
        <r>
          <rPr>
            <sz val="8"/>
            <color indexed="81"/>
            <rFont val="Tahoma"/>
            <family val="2"/>
          </rPr>
          <t xml:space="preserve">
This is a check to see if historical values are consistent (i.e. if total per asset type is equal to total per sector).</t>
        </r>
      </text>
    </comment>
    <comment ref="DF75" authorId="0">
      <text>
        <r>
          <rPr>
            <b/>
            <sz val="8"/>
            <color indexed="81"/>
            <rFont val="Tahoma"/>
            <family val="2"/>
          </rPr>
          <t>bethuge:</t>
        </r>
        <r>
          <rPr>
            <sz val="8"/>
            <color indexed="81"/>
            <rFont val="Tahoma"/>
            <family val="2"/>
          </rPr>
          <t xml:space="preserve">
This is a check to see if historical values are consistent (i.e. if total per asset type is equal to total per sector).</t>
        </r>
      </text>
    </comment>
    <comment ref="DK75" authorId="0">
      <text>
        <r>
          <rPr>
            <b/>
            <sz val="8"/>
            <color indexed="81"/>
            <rFont val="Tahoma"/>
            <family val="2"/>
          </rPr>
          <t>bethuge:</t>
        </r>
        <r>
          <rPr>
            <sz val="8"/>
            <color indexed="81"/>
            <rFont val="Tahoma"/>
            <family val="2"/>
          </rPr>
          <t xml:space="preserve">
This is a check to see if historical values are consistent (i.e. if total per asset type is equal to total per sector).</t>
        </r>
      </text>
    </comment>
    <comment ref="DP75" authorId="0">
      <text>
        <r>
          <rPr>
            <b/>
            <sz val="8"/>
            <color indexed="81"/>
            <rFont val="Tahoma"/>
            <family val="2"/>
          </rPr>
          <t>bethuge:</t>
        </r>
        <r>
          <rPr>
            <sz val="8"/>
            <color indexed="81"/>
            <rFont val="Tahoma"/>
            <family val="2"/>
          </rPr>
          <t xml:space="preserve">
This is a check to see if historical values are consistent (i.e. if total per asset type is equal to total per sector).</t>
        </r>
      </text>
    </comment>
    <comment ref="DU75" authorId="0">
      <text>
        <r>
          <rPr>
            <b/>
            <sz val="8"/>
            <color indexed="81"/>
            <rFont val="Tahoma"/>
            <family val="2"/>
          </rPr>
          <t>bethuge:</t>
        </r>
        <r>
          <rPr>
            <sz val="8"/>
            <color indexed="81"/>
            <rFont val="Tahoma"/>
            <family val="2"/>
          </rPr>
          <t xml:space="preserve">
This is a check to see if historical values are consistent (i.e. if total per asset type is equal to total per sector).</t>
        </r>
      </text>
    </comment>
    <comment ref="DZ75" authorId="0">
      <text>
        <r>
          <rPr>
            <b/>
            <sz val="8"/>
            <color indexed="81"/>
            <rFont val="Tahoma"/>
            <family val="2"/>
          </rPr>
          <t>bethuge:</t>
        </r>
        <r>
          <rPr>
            <sz val="8"/>
            <color indexed="81"/>
            <rFont val="Tahoma"/>
            <family val="2"/>
          </rPr>
          <t xml:space="preserve">
This is a check to see if historical values are consistent (i.e. if total per asset type is equal to total per sector).</t>
        </r>
      </text>
    </comment>
    <comment ref="EE75" authorId="0">
      <text>
        <r>
          <rPr>
            <b/>
            <sz val="8"/>
            <color indexed="81"/>
            <rFont val="Tahoma"/>
            <family val="2"/>
          </rPr>
          <t>bethuge:</t>
        </r>
        <r>
          <rPr>
            <sz val="8"/>
            <color indexed="81"/>
            <rFont val="Tahoma"/>
            <family val="2"/>
          </rPr>
          <t xml:space="preserve">
This is a check to see if historical values are consistent (i.e. if total per asset type is equal to total per sector).</t>
        </r>
      </text>
    </comment>
    <comment ref="EJ75" authorId="0">
      <text>
        <r>
          <rPr>
            <b/>
            <sz val="8"/>
            <color indexed="81"/>
            <rFont val="Tahoma"/>
            <family val="2"/>
          </rPr>
          <t>bethuge:</t>
        </r>
        <r>
          <rPr>
            <sz val="8"/>
            <color indexed="81"/>
            <rFont val="Tahoma"/>
            <family val="2"/>
          </rPr>
          <t xml:space="preserve">
This is a check to see if historical values are consistent (i.e. if total per asset type is equal to total per sector).</t>
        </r>
      </text>
    </comment>
    <comment ref="EO75" authorId="0">
      <text>
        <r>
          <rPr>
            <b/>
            <sz val="8"/>
            <color indexed="81"/>
            <rFont val="Tahoma"/>
            <family val="2"/>
          </rPr>
          <t>bethuge:</t>
        </r>
        <r>
          <rPr>
            <sz val="8"/>
            <color indexed="81"/>
            <rFont val="Tahoma"/>
            <family val="2"/>
          </rPr>
          <t xml:space="preserve">
This is a check to see if historical values are consistent (i.e. if total per asset type is equal to total per sector).</t>
        </r>
      </text>
    </comment>
    <comment ref="ET75" authorId="0">
      <text>
        <r>
          <rPr>
            <b/>
            <sz val="8"/>
            <color indexed="81"/>
            <rFont val="Tahoma"/>
            <family val="2"/>
          </rPr>
          <t>bethuge:</t>
        </r>
        <r>
          <rPr>
            <sz val="8"/>
            <color indexed="81"/>
            <rFont val="Tahoma"/>
            <family val="2"/>
          </rPr>
          <t xml:space="preserve">
This is a check to see if historical values are consistent (i.e. if total per asset type is equal to total per sector).</t>
        </r>
      </text>
    </comment>
    <comment ref="E110" authorId="0">
      <text>
        <r>
          <rPr>
            <b/>
            <sz val="8"/>
            <color indexed="81"/>
            <rFont val="Tahoma"/>
            <family val="2"/>
          </rPr>
          <t>bethuge:</t>
        </r>
        <r>
          <rPr>
            <sz val="8"/>
            <color indexed="81"/>
            <rFont val="Tahoma"/>
            <family val="2"/>
          </rPr>
          <t xml:space="preserve">
Attention: this variable is used by DG BUDG for the estimation of import duties.</t>
        </r>
      </text>
    </comment>
  </commentList>
</comments>
</file>

<file path=xl/comments4.xml><?xml version="1.0" encoding="utf-8"?>
<comments xmlns="http://schemas.openxmlformats.org/spreadsheetml/2006/main">
  <authors>
    <author>bethuge</author>
    <author>ECFIN F4 (Sidlauskas)</author>
    <author>ANCIUTE Aurelija (ECFIN)</author>
  </authors>
  <commentList>
    <comment ref="F2" authorId="0">
      <text>
        <r>
          <rPr>
            <b/>
            <sz val="8"/>
            <color indexed="81"/>
            <rFont val="Tahoma"/>
            <family val="2"/>
          </rPr>
          <t>bethuge:</t>
        </r>
        <r>
          <rPr>
            <sz val="8"/>
            <color indexed="81"/>
            <rFont val="Tahoma"/>
            <family val="2"/>
          </rPr>
          <t xml:space="preserve">
Sets the maximum tolerance for inconsistencies to be ignored (in bn euro).</t>
        </r>
      </text>
    </comment>
    <comment ref="E54" authorId="0">
      <text>
        <r>
          <rPr>
            <b/>
            <sz val="8"/>
            <color indexed="81"/>
            <rFont val="Tahoma"/>
            <family val="2"/>
          </rPr>
          <t>bethuge:</t>
        </r>
        <r>
          <rPr>
            <sz val="8"/>
            <color indexed="81"/>
            <rFont val="Tahoma"/>
            <family val="2"/>
          </rPr>
          <t xml:space="preserve">
Constructed on the basis of Belgostat as total consumption plus GFCF, assuming additivity !!!</t>
        </r>
      </text>
    </comment>
    <comment ref="E194" authorId="0">
      <text>
        <r>
          <rPr>
            <b/>
            <sz val="8"/>
            <color indexed="81"/>
            <rFont val="Tahoma"/>
            <family val="2"/>
          </rPr>
          <t>bethuge:</t>
        </r>
        <r>
          <rPr>
            <sz val="8"/>
            <color indexed="81"/>
            <rFont val="Tahoma"/>
            <family val="2"/>
          </rPr>
          <t xml:space="preserve">
Inconsistent data can result from different vintages of nationa accounts data</t>
        </r>
      </text>
    </comment>
    <comment ref="E213" authorId="0">
      <text>
        <r>
          <rPr>
            <b/>
            <sz val="8"/>
            <color indexed="81"/>
            <rFont val="Tahoma"/>
            <family val="2"/>
          </rPr>
          <t>bethuge:</t>
        </r>
        <r>
          <rPr>
            <sz val="8"/>
            <color indexed="81"/>
            <rFont val="Tahoma"/>
            <family val="2"/>
          </rPr>
          <t xml:space="preserve">
Inconsistent data can result from different vintages of nationa accounts data</t>
        </r>
      </text>
    </comment>
    <comment ref="AB228" authorId="1">
      <text>
        <r>
          <rPr>
            <b/>
            <sz val="9"/>
            <color indexed="81"/>
            <rFont val="Tahoma"/>
            <family val="2"/>
          </rPr>
          <t>ECFIN F4 (Sidlauskas):</t>
        </r>
        <r>
          <rPr>
            <sz val="9"/>
            <color indexed="81"/>
            <rFont val="Tahoma"/>
            <family val="2"/>
          </rPr>
          <t xml:space="preserve">
Updated post TCE5 AF2017</t>
        </r>
      </text>
    </comment>
    <comment ref="Y230" authorId="2">
      <text>
        <r>
          <rPr>
            <b/>
            <sz val="9"/>
            <color indexed="81"/>
            <rFont val="Tahoma"/>
            <family val="2"/>
          </rPr>
          <t>ANCIUTE Aurelija (ECFIN):</t>
        </r>
        <r>
          <rPr>
            <sz val="9"/>
            <color indexed="81"/>
            <rFont val="Tahoma"/>
            <family val="2"/>
          </rPr>
          <t xml:space="preserve">
There was inconsistency with factual data as series are not cleared up. Later change to the factual numbers</t>
        </r>
      </text>
    </comment>
    <comment ref="Z230" authorId="2">
      <text>
        <r>
          <rPr>
            <b/>
            <sz val="9"/>
            <color indexed="81"/>
            <rFont val="Tahoma"/>
            <family val="2"/>
          </rPr>
          <t xml:space="preserve">ANCIUTE Aurelija (ECFIN):
</t>
        </r>
        <r>
          <rPr>
            <sz val="9"/>
            <color indexed="81"/>
            <rFont val="Tahoma"/>
            <family val="2"/>
          </rPr>
          <t>There was inconsistency with factual data as series are not cleared up. Later change to the factual numbers</t>
        </r>
      </text>
    </comment>
    <comment ref="AA230" authorId="2">
      <text>
        <r>
          <rPr>
            <b/>
            <sz val="9"/>
            <color indexed="81"/>
            <rFont val="Tahoma"/>
            <family val="2"/>
          </rPr>
          <t xml:space="preserve">ANCIUTE Aurelija (ECFIN):
</t>
        </r>
        <r>
          <rPr>
            <sz val="9"/>
            <color indexed="81"/>
            <rFont val="Tahoma"/>
            <family val="2"/>
          </rPr>
          <t>There was inconsistency with factual data as series are not cleared up. Later change to the factual numbers</t>
        </r>
      </text>
    </comment>
    <comment ref="AB230" authorId="1">
      <text>
        <r>
          <rPr>
            <b/>
            <sz val="9"/>
            <color indexed="81"/>
            <rFont val="Tahoma"/>
            <family val="2"/>
          </rPr>
          <t>ECFIN F4 (Sidlauskas):</t>
        </r>
        <r>
          <rPr>
            <sz val="9"/>
            <color indexed="81"/>
            <rFont val="Tahoma"/>
            <family val="2"/>
          </rPr>
          <t xml:space="preserve">
Updated post TCE5 AF2017 - no incosistencies:)</t>
        </r>
      </text>
    </comment>
    <comment ref="AC230" authorId="2">
      <text>
        <r>
          <rPr>
            <b/>
            <sz val="9"/>
            <color indexed="81"/>
            <rFont val="Tahoma"/>
            <family val="2"/>
          </rPr>
          <t>ANCIUTE Aurelija (ECFIN):</t>
        </r>
        <r>
          <rPr>
            <sz val="9"/>
            <color indexed="81"/>
            <rFont val="Tahoma"/>
            <family val="2"/>
          </rPr>
          <t xml:space="preserve">
Correct later</t>
        </r>
      </text>
    </comment>
    <comment ref="E232" authorId="0">
      <text>
        <r>
          <rPr>
            <b/>
            <sz val="8"/>
            <color indexed="81"/>
            <rFont val="Tahoma"/>
            <family val="2"/>
          </rPr>
          <t>bethuge:</t>
        </r>
        <r>
          <rPr>
            <sz val="8"/>
            <color indexed="81"/>
            <rFont val="Tahoma"/>
            <family val="2"/>
          </rPr>
          <t xml:space="preserve">
Inconsistent data can result from different vintages of nationa accounts data</t>
        </r>
      </text>
    </comment>
    <comment ref="E251" authorId="0">
      <text>
        <r>
          <rPr>
            <b/>
            <sz val="8"/>
            <color indexed="81"/>
            <rFont val="Tahoma"/>
            <family val="2"/>
          </rPr>
          <t>bethuge:</t>
        </r>
        <r>
          <rPr>
            <sz val="8"/>
            <color indexed="81"/>
            <rFont val="Tahoma"/>
            <family val="2"/>
          </rPr>
          <t xml:space="preserve">
Inconsistent data can result from different vintages of nationa accounts data</t>
        </r>
      </text>
    </comment>
  </commentList>
</comments>
</file>

<file path=xl/comments5.xml><?xml version="1.0" encoding="utf-8"?>
<comments xmlns="http://schemas.openxmlformats.org/spreadsheetml/2006/main">
  <authors>
    <author>FLORIAN Miroslav (ECFIN)</author>
    <author>bethuge</author>
    <author>SIDLAUSKAS Giedrius (ECFIN)</author>
    <author>Author</author>
    <author>ECFIN F4 (Sidlauskas)</author>
  </authors>
  <commentList>
    <comment ref="BY18" authorId="0">
      <text>
        <r>
          <rPr>
            <b/>
            <sz val="9"/>
            <color indexed="81"/>
            <rFont val="Tahoma"/>
            <family val="2"/>
          </rPr>
          <t>FLORIAN Miroslav (ECFIN):</t>
        </r>
        <r>
          <rPr>
            <sz val="9"/>
            <color indexed="81"/>
            <rFont val="Tahoma"/>
            <family val="2"/>
          </rPr>
          <t xml:space="preserve">
.7</t>
        </r>
      </text>
    </comment>
    <comment ref="BZ18" authorId="0">
      <text>
        <r>
          <rPr>
            <b/>
            <sz val="9"/>
            <color indexed="81"/>
            <rFont val="Tahoma"/>
            <family val="2"/>
          </rPr>
          <t>FLORIAN Miroslav (ECFIN):</t>
        </r>
        <r>
          <rPr>
            <sz val="9"/>
            <color indexed="81"/>
            <rFont val="Tahoma"/>
            <family val="2"/>
          </rPr>
          <t xml:space="preserve">
.5
</t>
        </r>
      </text>
    </comment>
    <comment ref="F87" authorId="1">
      <text>
        <r>
          <rPr>
            <b/>
            <sz val="8"/>
            <color indexed="81"/>
            <rFont val="Tahoma"/>
            <family val="2"/>
          </rPr>
          <t>bethuge:</t>
        </r>
        <r>
          <rPr>
            <sz val="8"/>
            <color indexed="81"/>
            <rFont val="Tahoma"/>
            <family val="2"/>
          </rPr>
          <t xml:space="preserve">
Insert "N" in case the aggregate is forecast directly.
Insert "Y" in case of forecast by components. In that case, the growth rate is calculated as a weighted average of the subcomponents (by default, these lines are hidden). 
</t>
        </r>
      </text>
    </comment>
    <comment ref="CD88" authorId="2">
      <text>
        <r>
          <rPr>
            <b/>
            <sz val="9"/>
            <color indexed="81"/>
            <rFont val="Tahoma"/>
            <family val="2"/>
          </rPr>
          <t>SIDLAUSKAS Giedrius (ECFIN):</t>
        </r>
        <r>
          <rPr>
            <sz val="9"/>
            <color indexed="81"/>
            <rFont val="Tahoma"/>
            <family val="2"/>
          </rPr>
          <t xml:space="preserve">
AMECO Q data not consistent with annual data</t>
        </r>
      </text>
    </comment>
    <comment ref="B105" authorId="1">
      <text>
        <r>
          <rPr>
            <b/>
            <sz val="8"/>
            <color indexed="81"/>
            <rFont val="Tahoma"/>
            <family val="2"/>
          </rPr>
          <t>bethuge:</t>
        </r>
        <r>
          <rPr>
            <sz val="8"/>
            <color indexed="81"/>
            <rFont val="Tahoma"/>
            <family val="2"/>
          </rPr>
          <t xml:space="preserve">
With chainlinked data, these should not add up. 
However, for BE this aggregate is not published. </t>
        </r>
      </text>
    </comment>
    <comment ref="CH124" authorId="3">
      <text>
        <r>
          <rPr>
            <b/>
            <sz val="8"/>
            <color indexed="81"/>
            <rFont val="Tahoma"/>
            <family val="2"/>
          </rPr>
          <t xml:space="preserve">GS: historical data = </t>
        </r>
        <r>
          <rPr>
            <sz val="8"/>
            <color indexed="81"/>
            <rFont val="Tahoma"/>
            <family val="2"/>
          </rPr>
          <t>0, adjusted to avoid/0 errors in formulas for 1st SF15 storage</t>
        </r>
        <r>
          <rPr>
            <sz val="8"/>
            <color indexed="81"/>
            <rFont val="Tahoma"/>
            <family val="2"/>
          </rPr>
          <t xml:space="preserve">
</t>
        </r>
      </text>
    </comment>
    <comment ref="B144" authorId="1">
      <text>
        <r>
          <rPr>
            <b/>
            <sz val="8"/>
            <color indexed="81"/>
            <rFont val="Tahoma"/>
            <family val="2"/>
          </rPr>
          <t>bethuge:</t>
        </r>
        <r>
          <rPr>
            <sz val="8"/>
            <color indexed="81"/>
            <rFont val="Tahoma"/>
            <family val="2"/>
          </rPr>
          <t xml:space="preserve">
With chainlinked data, these should not add up. 
However, for BE this aggregate is not published. </t>
        </r>
      </text>
    </comment>
    <comment ref="CQ144" authorId="4">
      <text>
        <r>
          <rPr>
            <b/>
            <sz val="9"/>
            <color indexed="81"/>
            <rFont val="Tahoma"/>
            <family val="2"/>
          </rPr>
          <t>ECFIN F4 (Sidlauskas):</t>
        </r>
        <r>
          <rPr>
            <sz val="9"/>
            <color indexed="81"/>
            <rFont val="Tahoma"/>
            <family val="2"/>
          </rPr>
          <t xml:space="preserve">
Updated post TCE5 AF2017</t>
        </r>
      </text>
    </comment>
    <comment ref="CR144" authorId="4">
      <text>
        <r>
          <rPr>
            <b/>
            <sz val="9"/>
            <color indexed="81"/>
            <rFont val="Tahoma"/>
            <family val="2"/>
          </rPr>
          <t>ECFIN F4 (Sidlauskas):</t>
        </r>
        <r>
          <rPr>
            <sz val="9"/>
            <color indexed="81"/>
            <rFont val="Tahoma"/>
            <family val="2"/>
          </rPr>
          <t xml:space="preserve">
Updated post TCE5 AF2017</t>
        </r>
      </text>
    </comment>
    <comment ref="F184" authorId="1">
      <text>
        <r>
          <rPr>
            <b/>
            <sz val="8"/>
            <color indexed="81"/>
            <rFont val="Tahoma"/>
            <family val="2"/>
          </rPr>
          <t>bethuge:</t>
        </r>
        <r>
          <rPr>
            <sz val="8"/>
            <color indexed="81"/>
            <rFont val="Tahoma"/>
            <family val="2"/>
          </rPr>
          <t xml:space="preserve">
Insert "N" in case the aggregate is forecast directly.
Insert "Y" in case of forecast by components. In that case, the growth rate is calculated as a weighted average of the subcomponents (by default, these lines are hidden). 
</t>
        </r>
      </text>
    </comment>
    <comment ref="B201" authorId="1">
      <text>
        <r>
          <rPr>
            <b/>
            <sz val="8"/>
            <color indexed="81"/>
            <rFont val="Tahoma"/>
            <family val="2"/>
          </rPr>
          <t>bethuge:</t>
        </r>
        <r>
          <rPr>
            <sz val="8"/>
            <color indexed="81"/>
            <rFont val="Tahoma"/>
            <family val="2"/>
          </rPr>
          <t xml:space="preserve">
With chainlinked data, these should not add up. 
However, for BE this aggregate is not published. </t>
        </r>
      </text>
    </comment>
    <comment ref="F241" authorId="1">
      <text>
        <r>
          <rPr>
            <b/>
            <sz val="8"/>
            <color indexed="81"/>
            <rFont val="Tahoma"/>
            <family val="2"/>
          </rPr>
          <t>bethuge:</t>
        </r>
        <r>
          <rPr>
            <sz val="8"/>
            <color indexed="81"/>
            <rFont val="Tahoma"/>
            <family val="2"/>
          </rPr>
          <t xml:space="preserve">
Insert "N" in case the aggregate is forecast directly.
Insert "Y" in case of forecast by components. In that case, the growth rate is calculated as a weighted average of the subcomponents (by default, these lines are hidden). 
</t>
        </r>
      </text>
    </comment>
    <comment ref="B258" authorId="1">
      <text>
        <r>
          <rPr>
            <b/>
            <sz val="8"/>
            <color indexed="81"/>
            <rFont val="Tahoma"/>
            <family val="2"/>
          </rPr>
          <t>bethuge:</t>
        </r>
        <r>
          <rPr>
            <sz val="8"/>
            <color indexed="81"/>
            <rFont val="Tahoma"/>
            <family val="2"/>
          </rPr>
          <t xml:space="preserve">
With chainlinked data, these should not add up precisely. </t>
        </r>
      </text>
    </comment>
    <comment ref="CE307" authorId="1">
      <text>
        <r>
          <rPr>
            <b/>
            <sz val="8"/>
            <color indexed="81"/>
            <rFont val="Tahoma"/>
            <family val="2"/>
          </rPr>
          <t>bethuge:</t>
        </r>
        <r>
          <rPr>
            <sz val="8"/>
            <color indexed="81"/>
            <rFont val="Tahoma"/>
            <family val="2"/>
          </rPr>
          <t xml:space="preserve">
Weight adjusts automatically to ensure sum of weights equals 1000</t>
        </r>
      </text>
    </comment>
    <comment ref="CI307" authorId="1">
      <text>
        <r>
          <rPr>
            <b/>
            <sz val="8"/>
            <color indexed="81"/>
            <rFont val="Tahoma"/>
            <family val="2"/>
          </rPr>
          <t>bethuge:</t>
        </r>
        <r>
          <rPr>
            <sz val="8"/>
            <color indexed="81"/>
            <rFont val="Tahoma"/>
            <family val="2"/>
          </rPr>
          <t xml:space="preserve">
Weight adjusts automatically to ensure sum of weights equals 1000</t>
        </r>
      </text>
    </comment>
    <comment ref="E317" authorId="1">
      <text>
        <r>
          <rPr>
            <b/>
            <sz val="8"/>
            <color indexed="81"/>
            <rFont val="Tahoma"/>
            <family val="2"/>
          </rPr>
          <t>bethuge:</t>
        </r>
        <r>
          <rPr>
            <sz val="8"/>
            <color indexed="81"/>
            <rFont val="Tahoma"/>
            <family val="2"/>
          </rPr>
          <t xml:space="preserve">
By default, HICP forecast is identical to the aggregate on a quarterly basis. 
However, this is only approximately correct (need to make a forecast on a monthly basis to do it entirely correct). 
Calculated growth rates can be overwritten manually if desired. </t>
        </r>
      </text>
    </comment>
    <comment ref="E320" authorId="1">
      <text>
        <r>
          <rPr>
            <b/>
            <sz val="8"/>
            <color indexed="81"/>
            <rFont val="Tahoma"/>
            <family val="2"/>
          </rPr>
          <t>bethuge:</t>
        </r>
        <r>
          <rPr>
            <sz val="8"/>
            <color indexed="81"/>
            <rFont val="Tahoma"/>
            <family val="2"/>
          </rPr>
          <t xml:space="preserve">
By default, HICP forecast is identical to the aggregate on a quarterly basis. 
However, this is only approximately correct (need to make a forecast on a monthly basis to do it entirely correct). 
Calculated growth rates can be overwritten manually if desired. </t>
        </r>
      </text>
    </comment>
  </commentList>
</comments>
</file>

<file path=xl/comments6.xml><?xml version="1.0" encoding="utf-8"?>
<comments xmlns="http://schemas.openxmlformats.org/spreadsheetml/2006/main">
  <authors>
    <author>bethuge</author>
    <author>SIDLAUSKAS Giedrius (ECFIN)</author>
    <author>ECFIN F4 (Sidlauskas)</author>
    <author>FLORIAN Miroslav (ECFIN)</author>
    <author>Author</author>
  </authors>
  <commentList>
    <comment ref="E40" authorId="0">
      <text>
        <r>
          <rPr>
            <b/>
            <sz val="8"/>
            <color indexed="81"/>
            <rFont val="Tahoma"/>
            <family val="2"/>
          </rPr>
          <t>bethuge:</t>
        </r>
        <r>
          <rPr>
            <sz val="8"/>
            <color indexed="81"/>
            <rFont val="Tahoma"/>
            <family val="2"/>
          </rPr>
          <t xml:space="preserve">
For BE this overestimates true unemployment due to long-term unemployed, no longer looking for a job.</t>
        </r>
      </text>
    </comment>
    <comment ref="Y48" authorId="1">
      <text>
        <r>
          <rPr>
            <b/>
            <sz val="9"/>
            <color indexed="81"/>
            <rFont val="Tahoma"/>
            <family val="2"/>
          </rPr>
          <t>Giedrius:</t>
        </r>
        <r>
          <rPr>
            <sz val="9"/>
            <color indexed="81"/>
            <rFont val="Tahoma"/>
            <family val="2"/>
          </rPr>
          <t xml:space="preserve">
adjusted to avoid inconsistencies</t>
        </r>
      </text>
    </comment>
    <comment ref="AB120" authorId="2">
      <text>
        <r>
          <rPr>
            <b/>
            <sz val="9"/>
            <color indexed="81"/>
            <rFont val="Tahoma"/>
            <family val="2"/>
          </rPr>
          <t>ECFIN F4 (Sidlauskas):</t>
        </r>
        <r>
          <rPr>
            <sz val="9"/>
            <color indexed="81"/>
            <rFont val="Tahoma"/>
            <family val="2"/>
          </rPr>
          <t xml:space="preserve">
Updated 2017.10.20</t>
        </r>
      </text>
    </comment>
    <comment ref="E125" authorId="0">
      <text>
        <r>
          <rPr>
            <b/>
            <sz val="8"/>
            <color indexed="81"/>
            <rFont val="Tahoma"/>
            <family val="2"/>
          </rPr>
          <t>bethuge:</t>
        </r>
        <r>
          <rPr>
            <sz val="8"/>
            <color indexed="81"/>
            <rFont val="Tahoma"/>
            <family val="2"/>
          </rPr>
          <t xml:space="preserve">
Bit unorthodox, I know.</t>
        </r>
      </text>
    </comment>
    <comment ref="X135" authorId="3">
      <text>
        <r>
          <rPr>
            <b/>
            <sz val="9"/>
            <color indexed="81"/>
            <rFont val="Tahoma"/>
            <family val="2"/>
          </rPr>
          <t>34782</t>
        </r>
        <r>
          <rPr>
            <sz val="9"/>
            <color indexed="81"/>
            <rFont val="Tahoma"/>
            <family val="2"/>
          </rPr>
          <t xml:space="preserve">
</t>
        </r>
      </text>
    </comment>
    <comment ref="Y136" authorId="4">
      <text>
        <r>
          <rPr>
            <b/>
            <sz val="9"/>
            <color indexed="81"/>
            <rFont val="Tahoma"/>
            <family val="2"/>
          </rPr>
          <t xml:space="preserve">GS WF2015: Adjusted to get </t>
        </r>
        <r>
          <rPr>
            <sz val="9"/>
            <color indexed="81"/>
            <rFont val="Tahoma"/>
            <family val="2"/>
          </rPr>
          <t xml:space="preserve">
Sector 1 line 569 value=0</t>
        </r>
      </text>
    </comment>
    <comment ref="Z136" authorId="4">
      <text>
        <r>
          <rPr>
            <b/>
            <sz val="8"/>
            <color indexed="81"/>
            <rFont val="Tahoma"/>
            <family val="2"/>
          </rPr>
          <t>Author:</t>
        </r>
        <r>
          <rPr>
            <sz val="8"/>
            <color indexed="81"/>
            <rFont val="Tahoma"/>
            <family val="2"/>
          </rPr>
          <t xml:space="preserve">
To get CAB</t>
        </r>
      </text>
    </comment>
    <comment ref="AB151" authorId="2">
      <text>
        <r>
          <rPr>
            <b/>
            <sz val="9"/>
            <color indexed="81"/>
            <rFont val="Tahoma"/>
            <family val="2"/>
          </rPr>
          <t>ECFIN F4 (Sidlauskas):</t>
        </r>
        <r>
          <rPr>
            <sz val="9"/>
            <color indexed="81"/>
            <rFont val="Tahoma"/>
            <family val="2"/>
          </rPr>
          <t xml:space="preserve">
Atnujinta post TCE5 AF2017</t>
        </r>
      </text>
    </comment>
    <comment ref="E166" authorId="0">
      <text>
        <r>
          <rPr>
            <b/>
            <sz val="8"/>
            <color indexed="81"/>
            <rFont val="Tahoma"/>
            <family val="2"/>
          </rPr>
          <t>bethuge:</t>
        </r>
        <r>
          <rPr>
            <sz val="8"/>
            <color indexed="81"/>
            <rFont val="Tahoma"/>
            <family val="2"/>
          </rPr>
          <t xml:space="preserve">
In ESA95, employers' social contributions are treated as if they were received by households as parrt of compensation of employees (D.1r) and then paid to the government as social contributions (D.61p), even though the social contributions paid by the employer is never actually received by households.
This implies that employers' social contributions is not at the expenditure side for corporations (at least not explicitly), since it is already integrated in compensation paid (D.1p).
</t>
        </r>
      </text>
    </comment>
    <comment ref="E168" authorId="0">
      <text>
        <r>
          <rPr>
            <b/>
            <sz val="8"/>
            <color indexed="81"/>
            <rFont val="Tahoma"/>
            <family val="2"/>
          </rPr>
          <t>bethuge:</t>
        </r>
        <r>
          <rPr>
            <sz val="8"/>
            <color indexed="81"/>
            <rFont val="Tahoma"/>
            <family val="2"/>
          </rPr>
          <t xml:space="preserve">
In ESA95, employers' social contributions are treated as if they were received by households as parrt of compensation of employees (D.1r) and then paid to the government as social contributions (D.61p), even though the social contributions paid by the employer is never actually received by households.
This implies that employers' social contributions is not at the expenditure side for corporations (at least not explicitly), since it is already integrated in compensation paid (D.1p).
</t>
        </r>
      </text>
    </comment>
    <comment ref="AB192" authorId="2">
      <text>
        <r>
          <rPr>
            <b/>
            <sz val="9"/>
            <color indexed="81"/>
            <rFont val="Tahoma"/>
            <family val="2"/>
          </rPr>
          <t>ECFIN F4 (Sidlauskas):</t>
        </r>
        <r>
          <rPr>
            <sz val="9"/>
            <color indexed="81"/>
            <rFont val="Tahoma"/>
            <family val="2"/>
          </rPr>
          <t xml:space="preserve">
Updated post TCE5 AF2017</t>
        </r>
      </text>
    </comment>
    <comment ref="E210" authorId="0">
      <text>
        <r>
          <rPr>
            <b/>
            <sz val="8"/>
            <color indexed="81"/>
            <rFont val="Tahoma"/>
            <family val="2"/>
          </rPr>
          <t>bethuge:</t>
        </r>
        <r>
          <rPr>
            <sz val="8"/>
            <color indexed="81"/>
            <rFont val="Tahoma"/>
            <family val="2"/>
          </rPr>
          <t xml:space="preserve">
Implicit residual</t>
        </r>
      </text>
    </comment>
    <comment ref="E211" authorId="0">
      <text>
        <r>
          <rPr>
            <b/>
            <sz val="8"/>
            <color indexed="81"/>
            <rFont val="Tahoma"/>
            <family val="2"/>
          </rPr>
          <t>bethuge:</t>
        </r>
        <r>
          <rPr>
            <sz val="8"/>
            <color indexed="81"/>
            <rFont val="Tahoma"/>
            <family val="2"/>
          </rPr>
          <t xml:space="preserve">
GVT D.1p is part of government final consumption expenditure (P.3) - See link.</t>
        </r>
      </text>
    </comment>
    <comment ref="E213" authorId="0">
      <text>
        <r>
          <rPr>
            <b/>
            <sz val="8"/>
            <color indexed="81"/>
            <rFont val="Tahoma"/>
            <family val="2"/>
          </rPr>
          <t>bethuge:</t>
        </r>
        <r>
          <rPr>
            <sz val="8"/>
            <color indexed="81"/>
            <rFont val="Tahoma"/>
            <family val="2"/>
          </rPr>
          <t xml:space="preserve">
Inconsistent data can result from different vintages of national accounts data</t>
        </r>
      </text>
    </comment>
    <comment ref="A214" authorId="0">
      <text>
        <r>
          <rPr>
            <b/>
            <sz val="8"/>
            <color indexed="81"/>
            <rFont val="Tahoma"/>
            <family val="2"/>
          </rPr>
          <t>bethuge:</t>
        </r>
        <r>
          <rPr>
            <sz val="8"/>
            <color indexed="81"/>
            <rFont val="Tahoma"/>
            <family val="2"/>
          </rPr>
          <t xml:space="preserve">
If there are no historical data for this variable, it could also be defined as the residual. 
However, if there are historical data we encourage you to use them because it provides a stronger check on consistency. </t>
        </r>
      </text>
    </comment>
    <comment ref="E215" authorId="0">
      <text>
        <r>
          <rPr>
            <b/>
            <sz val="8"/>
            <color indexed="81"/>
            <rFont val="Tahoma"/>
            <family val="2"/>
          </rPr>
          <t>bethuge:</t>
        </r>
        <r>
          <rPr>
            <sz val="8"/>
            <color indexed="81"/>
            <rFont val="Tahoma"/>
            <family val="2"/>
          </rPr>
          <t xml:space="preserve">
Inconsistent data can result from different vintages of nationa accounts data</t>
        </r>
      </text>
    </comment>
    <comment ref="A216" authorId="0">
      <text>
        <r>
          <rPr>
            <b/>
            <sz val="8"/>
            <color indexed="81"/>
            <rFont val="Tahoma"/>
            <family val="2"/>
          </rPr>
          <t>bethuge:</t>
        </r>
        <r>
          <rPr>
            <sz val="8"/>
            <color indexed="81"/>
            <rFont val="Tahoma"/>
            <family val="2"/>
          </rPr>
          <t xml:space="preserve">
If there are no historical data for this variable, it could also be defined as the residual. 
However, if there are historical data we encourage you to use them because it provides a stronger check on consistency. </t>
        </r>
      </text>
    </comment>
    <comment ref="Y216" authorId="4">
      <text>
        <r>
          <rPr>
            <b/>
            <sz val="9"/>
            <color indexed="81"/>
            <rFont val="Tahoma"/>
            <family val="2"/>
          </rPr>
          <t>Author:</t>
        </r>
        <r>
          <rPr>
            <sz val="9"/>
            <color indexed="81"/>
            <rFont val="Tahoma"/>
            <family val="2"/>
          </rPr>
          <t xml:space="preserve">
GS WF2015: residual-adjust? Check!</t>
        </r>
      </text>
    </comment>
    <comment ref="E218" authorId="0">
      <text>
        <r>
          <rPr>
            <b/>
            <sz val="8"/>
            <color indexed="81"/>
            <rFont val="Tahoma"/>
            <family val="2"/>
          </rPr>
          <t>bethuge:</t>
        </r>
        <r>
          <rPr>
            <sz val="8"/>
            <color indexed="81"/>
            <rFont val="Tahoma"/>
            <family val="2"/>
          </rPr>
          <t xml:space="preserve">
Inconsistent data can result from different vintages of national accounts data</t>
        </r>
      </text>
    </comment>
    <comment ref="E222" authorId="0">
      <text>
        <r>
          <rPr>
            <b/>
            <sz val="8"/>
            <color indexed="81"/>
            <rFont val="Tahoma"/>
            <family val="2"/>
          </rPr>
          <t>bethuge:</t>
        </r>
        <r>
          <rPr>
            <sz val="8"/>
            <color indexed="81"/>
            <rFont val="Tahoma"/>
            <family val="2"/>
          </rPr>
          <t xml:space="preserve">
Implicit residual</t>
        </r>
      </text>
    </comment>
  </commentList>
</comments>
</file>

<file path=xl/comments7.xml><?xml version="1.0" encoding="utf-8"?>
<comments xmlns="http://schemas.openxmlformats.org/spreadsheetml/2006/main">
  <authors>
    <author>SIDLAUSKAS Giedrius (ECFIN)</author>
    <author>Author</author>
    <author>ANCIUTE Aurelija (ECFIN)</author>
    <author>ECFIN F4 (Sidlauskas)</author>
    <author>KIELYTE Julda (ECFIN)</author>
    <author>SCHROEDER Martin (ECFIN)</author>
    <author>Martin Hradisky</author>
    <author>FLORIAN Miroslav (ECFIN)</author>
  </authors>
  <commentList>
    <comment ref="Z17" authorId="0">
      <text>
        <r>
          <rPr>
            <b/>
            <sz val="9"/>
            <color indexed="81"/>
            <rFont val="Tahoma"/>
            <family val="2"/>
          </rPr>
          <t>Giedrius:</t>
        </r>
        <r>
          <rPr>
            <sz val="9"/>
            <color indexed="81"/>
            <rFont val="Tahoma"/>
            <family val="2"/>
          </rPr>
          <t xml:space="preserve">
MoF planned growth (10% for VAT), reflecting poor '13 collection 200 mn from better administration not fully taken into account/ +increase in tobaco and alco exises from spring 2014// AF: factual yoy increase in 9 months VAT+Excise - 6,77%, adjusted down to normal elasticity for whole year due worsening sentiment and outlook
WF 2015 So far: closer to 6,5</t>
        </r>
      </text>
    </comment>
    <comment ref="AA17" authorId="0">
      <text>
        <r>
          <rPr>
            <sz val="9"/>
            <color indexed="81"/>
            <rFont val="Tahoma"/>
            <family val="2"/>
          </rPr>
          <t>Giedrius AF2015: drop VAT from 21% to 9%  for hotels from 2015. Increase in excise for tobacco and alcohol</t>
        </r>
        <r>
          <rPr>
            <b/>
            <sz val="9"/>
            <color indexed="81"/>
            <rFont val="Tahoma"/>
            <family val="2"/>
          </rPr>
          <t>, good excize collection. Up from 4,81</t>
        </r>
        <r>
          <rPr>
            <sz val="9"/>
            <color indexed="81"/>
            <rFont val="Tahoma"/>
            <family val="2"/>
          </rPr>
          <t xml:space="preserve">
</t>
        </r>
      </text>
    </comment>
    <comment ref="AC17" authorId="1">
      <text>
        <r>
          <rPr>
            <sz val="9"/>
            <color indexed="81"/>
            <rFont val="Tahoma"/>
            <family val="2"/>
          </rPr>
          <t xml:space="preserve">VAT pref. rate for residential heating taken as unchanged, +accelerated increase in alcochol exises
</t>
        </r>
      </text>
    </comment>
    <comment ref="F36" authorId="0">
      <text>
        <r>
          <rPr>
            <b/>
            <sz val="9"/>
            <color indexed="81"/>
            <rFont val="Tahoma"/>
            <family val="2"/>
          </rPr>
          <t xml:space="preserve"> 2014AF-Giedrius: OECD calc. of year 2005=2014 (taxes on production and imports to revenue base)</t>
        </r>
        <r>
          <rPr>
            <sz val="9"/>
            <color indexed="81"/>
            <rFont val="Tahoma"/>
            <family val="2"/>
          </rPr>
          <t xml:space="preserve">
</t>
        </r>
      </text>
    </comment>
    <comment ref="Z36" authorId="0">
      <text>
        <r>
          <rPr>
            <b/>
            <sz val="9"/>
            <color indexed="81"/>
            <rFont val="Tahoma"/>
            <family val="2"/>
          </rPr>
          <t>SIDLAUSKAS Giedrius (ECFIN):</t>
        </r>
        <r>
          <rPr>
            <sz val="9"/>
            <color indexed="81"/>
            <rFont val="Tahoma"/>
            <family val="2"/>
          </rPr>
          <t xml:space="preserve">
Increase in exise on tobacco and alcohol, + some eefect from increased enforcement</t>
        </r>
      </text>
    </comment>
    <comment ref="AA36" authorId="0">
      <text>
        <r>
          <rPr>
            <b/>
            <sz val="9"/>
            <color indexed="81"/>
            <rFont val="Tahoma"/>
            <family val="2"/>
          </rPr>
          <t>Giedrius AF2014: drop VAT to 5%  for hotels from 2015. Botched cancellation of pref. VAT rate (9% to 21%, +61,4 m eur in VAT revenues for 2015) was not taken in to account</t>
        </r>
      </text>
    </comment>
    <comment ref="AB58" authorId="2">
      <text>
        <r>
          <rPr>
            <sz val="9"/>
            <color indexed="81"/>
            <rFont val="Tahoma"/>
            <family val="2"/>
          </rPr>
          <t xml:space="preserve">Adjusted to residual in line 50
</t>
        </r>
      </text>
    </comment>
    <comment ref="Z150" authorId="0">
      <text>
        <r>
          <rPr>
            <b/>
            <sz val="9"/>
            <color indexed="81"/>
            <rFont val="Tahoma"/>
            <family val="2"/>
          </rPr>
          <t>Giedrius (ECFIN):</t>
        </r>
        <r>
          <rPr>
            <sz val="9"/>
            <color indexed="81"/>
            <rFont val="Tahoma"/>
            <family val="2"/>
          </rPr>
          <t xml:space="preserve">
2014/10 - Treasury planned to pay 655,5 mn euros in 2014</t>
        </r>
      </text>
    </comment>
    <comment ref="AA150" authorId="0">
      <text>
        <r>
          <rPr>
            <b/>
            <sz val="9"/>
            <color indexed="81"/>
            <rFont val="Tahoma"/>
            <family val="2"/>
          </rPr>
          <t>:</t>
        </r>
        <r>
          <rPr>
            <sz val="9"/>
            <color indexed="81"/>
            <rFont val="Tahoma"/>
            <family val="2"/>
          </rPr>
          <t xml:space="preserve">
2015 MoF plan 09.2015 - 617 mn euros</t>
        </r>
      </text>
    </comment>
    <comment ref="AB151" authorId="3">
      <text>
        <r>
          <rPr>
            <b/>
            <sz val="9"/>
            <color indexed="81"/>
            <rFont val="Tahoma"/>
            <family val="2"/>
          </rPr>
          <t>ECFIN F4 (Sidlauskas):</t>
        </r>
        <r>
          <rPr>
            <sz val="9"/>
            <color indexed="81"/>
            <rFont val="Tahoma"/>
            <family val="2"/>
          </rPr>
          <t xml:space="preserve">
Adjusted to minimise residual in line 144</t>
        </r>
      </text>
    </comment>
    <comment ref="AC202" authorId="2">
      <text>
        <r>
          <rPr>
            <b/>
            <sz val="9"/>
            <color indexed="81"/>
            <rFont val="Tahoma"/>
            <family val="2"/>
          </rPr>
          <t>ANCIUTE Aurelija (ECFIN):</t>
        </r>
        <r>
          <rPr>
            <sz val="9"/>
            <color indexed="81"/>
            <rFont val="Tahoma"/>
            <family val="2"/>
          </rPr>
          <t xml:space="preserve">
Updated 23/01</t>
        </r>
      </text>
    </comment>
    <comment ref="AB209" authorId="1">
      <text>
        <r>
          <rPr>
            <b/>
            <sz val="8"/>
            <color indexed="81"/>
            <rFont val="Tahoma"/>
            <family val="2"/>
          </rPr>
          <t>2015AF;</t>
        </r>
        <r>
          <rPr>
            <sz val="8"/>
            <color indexed="81"/>
            <rFont val="Tahoma"/>
            <family val="2"/>
          </rPr>
          <t xml:space="preserve">
(Non-tax-allowance increased = minus 65 mn eur in 2016 for PIT, all in all - 19 m., CIP growth of 7% looks optimistic// -1,45 = 19 m decrease) </t>
        </r>
        <r>
          <rPr>
            <b/>
            <sz val="8"/>
            <color indexed="81"/>
            <rFont val="Tahoma"/>
            <family val="2"/>
          </rPr>
          <t>2016AF</t>
        </r>
        <r>
          <rPr>
            <sz val="8"/>
            <color indexed="81"/>
            <rFont val="Tahoma"/>
            <family val="2"/>
          </rPr>
          <t xml:space="preserve"> up from 0.47 percen</t>
        </r>
      </text>
    </comment>
    <comment ref="AC209" authorId="1">
      <text>
        <r>
          <rPr>
            <b/>
            <sz val="9"/>
            <color indexed="81"/>
            <rFont val="Tahoma"/>
            <family val="2"/>
          </rPr>
          <t>Author:</t>
        </r>
        <r>
          <rPr>
            <sz val="9"/>
            <color indexed="81"/>
            <rFont val="Tahoma"/>
            <family val="2"/>
          </rPr>
          <t xml:space="preserve">
1.09 elasticty to wages minus 144 mn eur due to increase in mom-taxabe treshold</t>
        </r>
      </text>
    </comment>
    <comment ref="AD209" authorId="3">
      <text>
        <r>
          <rPr>
            <b/>
            <sz val="9"/>
            <color indexed="81"/>
            <rFont val="Tahoma"/>
            <family val="2"/>
          </rPr>
          <t>ECFIN F4 (Sidlauskas):</t>
        </r>
        <r>
          <rPr>
            <sz val="9"/>
            <color indexed="81"/>
            <rFont val="Tahoma"/>
            <family val="2"/>
          </rPr>
          <t xml:space="preserve">
-100mn eur due to an increase in non-taxable treshold</t>
        </r>
      </text>
    </comment>
    <comment ref="X210" authorId="0">
      <text>
        <r>
          <rPr>
            <b/>
            <sz val="9"/>
            <color indexed="81"/>
            <rFont val="Tahoma"/>
            <family val="2"/>
          </rPr>
          <t>SIDLAUSKAS Giedrius (ECFIN):</t>
        </r>
        <r>
          <rPr>
            <sz val="9"/>
            <color indexed="81"/>
            <rFont val="Tahoma"/>
            <family val="2"/>
          </rPr>
          <t xml:space="preserve">
2012  was around 1,2273 bn LTL</t>
        </r>
      </text>
    </comment>
    <comment ref="AA210" authorId="0">
      <text>
        <r>
          <rPr>
            <b/>
            <sz val="9"/>
            <color indexed="81"/>
            <rFont val="Tahoma"/>
            <family val="2"/>
          </rPr>
          <t>WF16 cash data for 2015- +14.8%, First time tax on dividends and interest income over 10thnd LT has to be paid, 9 mnt 2015 +12,5 yoy</t>
        </r>
      </text>
    </comment>
    <comment ref="AB210" authorId="1">
      <text>
        <r>
          <rPr>
            <b/>
            <sz val="9"/>
            <color indexed="81"/>
            <rFont val="Tahoma"/>
            <family val="2"/>
          </rPr>
          <t>Author:</t>
        </r>
        <r>
          <rPr>
            <sz val="9"/>
            <color indexed="81"/>
            <rFont val="Tahoma"/>
            <family val="2"/>
          </rPr>
          <t xml:space="preserve">
Up from 7.05%. 2016 8 month data so far 11.6%</t>
        </r>
      </text>
    </comment>
    <comment ref="Y238" authorId="0">
      <text>
        <r>
          <rPr>
            <b/>
            <sz val="9"/>
            <color indexed="81"/>
            <rFont val="Tahoma"/>
            <family val="2"/>
          </rPr>
          <t>SIDLAUSKAS Giedrius (ECFIN):</t>
        </r>
        <r>
          <rPr>
            <sz val="9"/>
            <color indexed="81"/>
            <rFont val="Tahoma"/>
            <family val="2"/>
          </rPr>
          <t xml:space="preserve">
CIT strong growth in 2013, 2014 - flat</t>
        </r>
      </text>
    </comment>
    <comment ref="X265" authorId="4">
      <text>
        <r>
          <rPr>
            <b/>
            <sz val="9"/>
            <color indexed="81"/>
            <rFont val="Tahoma"/>
            <family val="2"/>
            <charset val="238"/>
          </rPr>
          <t xml:space="preserve">0.1pp discretion, decrease in transfers to II pillar pension funds/ </t>
        </r>
        <r>
          <rPr>
            <b/>
            <u val="double"/>
            <sz val="9"/>
            <color indexed="81"/>
            <rFont val="Tahoma"/>
            <family val="2"/>
          </rPr>
          <t>Giedrius</t>
        </r>
        <r>
          <rPr>
            <b/>
            <sz val="9"/>
            <color indexed="81"/>
            <rFont val="Tahoma"/>
            <family val="2"/>
            <charset val="238"/>
          </rPr>
          <t>: deacresed a bit to reflect actual revenue-11,56bn</t>
        </r>
      </text>
    </comment>
    <comment ref="Y265" authorId="4">
      <text>
        <r>
          <rPr>
            <b/>
            <sz val="9"/>
            <color indexed="81"/>
            <rFont val="Tahoma"/>
            <family val="2"/>
            <charset val="238"/>
          </rPr>
          <t>2014wf ADJUST UP BY 10PRCN. -0.2 discretion, restoration of second pillar to 2.5% //Giedrius: plus small increase to reflect 180 mn. from min wage increase</t>
        </r>
      </text>
    </comment>
    <comment ref="Z265" authorId="5">
      <text>
        <r>
          <rPr>
            <b/>
            <sz val="9"/>
            <color indexed="81"/>
            <rFont val="Tahoma"/>
            <family val="2"/>
          </rPr>
          <t>Giedrius:</t>
        </r>
        <r>
          <rPr>
            <sz val="9"/>
            <color indexed="81"/>
            <rFont val="Tahoma"/>
            <family val="2"/>
          </rPr>
          <t xml:space="preserve">
reduced payments by SODRA to private pension funds from 2.5 to 2.0 in 2014
// Sodra's plan 5,38%// AF2014 - in 9 mnth growth 7,3% i.e.2,5%above sodras plan// down reflect worsening sentiments</t>
        </r>
      </text>
    </comment>
    <comment ref="AC265" authorId="1">
      <text>
        <r>
          <rPr>
            <b/>
            <sz val="9"/>
            <color indexed="81"/>
            <rFont val="Tahoma"/>
            <family val="2"/>
          </rPr>
          <t>Author: elast=1 minus 40 mn due social reform
AA atnaujinau</t>
        </r>
      </text>
    </comment>
    <comment ref="F289" authorId="0">
      <text>
        <r>
          <rPr>
            <b/>
            <sz val="9"/>
            <color indexed="81"/>
            <rFont val="Tahoma"/>
            <family val="2"/>
          </rPr>
          <t xml:space="preserve"> Giedrius: in 2005 was 1.1, updated in 2014</t>
        </r>
        <r>
          <rPr>
            <sz val="9"/>
            <color indexed="81"/>
            <rFont val="Tahoma"/>
            <family val="2"/>
          </rPr>
          <t xml:space="preserve">
</t>
        </r>
      </text>
    </comment>
    <comment ref="Z289" authorId="0">
      <text>
        <r>
          <rPr>
            <b/>
            <sz val="9"/>
            <color indexed="81"/>
            <rFont val="Tahoma"/>
            <family val="2"/>
          </rPr>
          <t xml:space="preserve"> Giedrius: adjust compoensation of employees in Labour1</t>
        </r>
        <r>
          <rPr>
            <sz val="9"/>
            <color indexed="81"/>
            <rFont val="Tahoma"/>
            <family val="2"/>
          </rPr>
          <t xml:space="preserve">
</t>
        </r>
      </text>
    </comment>
    <comment ref="Y308" authorId="0">
      <text>
        <r>
          <rPr>
            <b/>
            <sz val="9"/>
            <color indexed="81"/>
            <rFont val="Tahoma"/>
            <family val="2"/>
          </rPr>
          <t>SIDLAUSKAS Giedrius (ECFIN):</t>
        </r>
        <r>
          <rPr>
            <sz val="9"/>
            <color indexed="81"/>
            <rFont val="Tahoma"/>
            <family val="2"/>
          </rPr>
          <t xml:space="preserve">
SODRA </t>
        </r>
      </text>
    </comment>
    <comment ref="AA308" authorId="0">
      <text>
        <r>
          <rPr>
            <b/>
            <sz val="9"/>
            <color indexed="81"/>
            <rFont val="Tahoma"/>
            <family val="2"/>
          </rPr>
          <t xml:space="preserve">SIDLAUSKAS Giedrius (ECFIN): </t>
        </r>
        <r>
          <rPr>
            <sz val="9"/>
            <color indexed="81"/>
            <rFont val="Tahoma"/>
            <family val="2"/>
          </rPr>
          <t xml:space="preserve"> Increase by 0,3 for gov. incentives for II tier pensions// sodra plan sligtly negative exp. Growth//AF2014 - rounding of pensions, +increase in pensions+increase in sickness leave benefits//9 mnth of 2015 +3,6% yoy
</t>
        </r>
      </text>
    </comment>
    <comment ref="AB308" authorId="1">
      <text>
        <r>
          <rPr>
            <sz val="8"/>
            <color indexed="81"/>
            <rFont val="Tahoma"/>
            <family val="2"/>
          </rPr>
          <t xml:space="preserve">Including 75 mn extra for pesnion increase from 01.2016// down from 6.7%
</t>
        </r>
      </text>
    </comment>
    <comment ref="AC308" authorId="1">
      <text>
        <r>
          <rPr>
            <b/>
            <sz val="9"/>
            <color indexed="81"/>
            <rFont val="Tahoma"/>
            <family val="2"/>
          </rPr>
          <t>Author:</t>
        </r>
        <r>
          <rPr>
            <sz val="9"/>
            <color indexed="81"/>
            <rFont val="Tahoma"/>
            <family val="2"/>
          </rPr>
          <t xml:space="preserve">
extra 167 in expenditures due to indexation of pensions
AA pataisiau</t>
        </r>
      </text>
    </comment>
    <comment ref="AE308" authorId="1">
      <text>
        <r>
          <rPr>
            <b/>
            <sz val="9"/>
            <color indexed="81"/>
            <rFont val="Tahoma"/>
            <family val="2"/>
          </rPr>
          <t>2016.10 - sodra's plans</t>
        </r>
        <r>
          <rPr>
            <sz val="9"/>
            <color indexed="81"/>
            <rFont val="Tahoma"/>
            <family val="2"/>
          </rPr>
          <t xml:space="preserve">
</t>
        </r>
      </text>
    </comment>
    <comment ref="AB436" authorId="6">
      <text>
        <r>
          <rPr>
            <b/>
            <sz val="8"/>
            <color indexed="81"/>
            <rFont val="Tahoma"/>
            <family val="2"/>
          </rPr>
          <t>Martin Hradisky:</t>
        </r>
        <r>
          <rPr>
            <sz val="8"/>
            <color indexed="81"/>
            <rFont val="Tahoma"/>
            <family val="2"/>
          </rPr>
          <t xml:space="preserve">
Linear convergence to long-term average</t>
        </r>
      </text>
    </comment>
    <comment ref="AC436" authorId="6">
      <text>
        <r>
          <rPr>
            <b/>
            <sz val="8"/>
            <color indexed="81"/>
            <rFont val="Tahoma"/>
            <family val="2"/>
          </rPr>
          <t>Martin Hradisky:</t>
        </r>
        <r>
          <rPr>
            <sz val="8"/>
            <color indexed="81"/>
            <rFont val="Tahoma"/>
            <family val="2"/>
          </rPr>
          <t xml:space="preserve">
Linear convergence to long-term average</t>
        </r>
      </text>
    </comment>
    <comment ref="AD436" authorId="6">
      <text>
        <r>
          <rPr>
            <b/>
            <sz val="8"/>
            <color indexed="81"/>
            <rFont val="Tahoma"/>
            <family val="2"/>
          </rPr>
          <t>Martin Hradisky:</t>
        </r>
        <r>
          <rPr>
            <sz val="8"/>
            <color indexed="81"/>
            <rFont val="Tahoma"/>
            <family val="2"/>
          </rPr>
          <t xml:space="preserve">
Linear convergence to long-term average</t>
        </r>
      </text>
    </comment>
    <comment ref="AE436" authorId="6">
      <text>
        <r>
          <rPr>
            <b/>
            <sz val="8"/>
            <color indexed="81"/>
            <rFont val="Tahoma"/>
            <family val="2"/>
          </rPr>
          <t>Martin Hradisky:</t>
        </r>
        <r>
          <rPr>
            <sz val="8"/>
            <color indexed="81"/>
            <rFont val="Tahoma"/>
            <family val="2"/>
          </rPr>
          <t xml:space="preserve">
Linear convergence to long-term average</t>
        </r>
      </text>
    </comment>
    <comment ref="Z478" authorId="7">
      <text>
        <r>
          <rPr>
            <b/>
            <sz val="9"/>
            <color indexed="81"/>
            <rFont val="Tahoma"/>
            <family val="2"/>
          </rPr>
          <t xml:space="preserve">3.7
</t>
        </r>
      </text>
    </comment>
    <comment ref="AA478" authorId="7">
      <text>
        <r>
          <rPr>
            <b/>
            <sz val="9"/>
            <color indexed="81"/>
            <rFont val="Tahoma"/>
            <family val="2"/>
          </rPr>
          <t xml:space="preserve">3.7
</t>
        </r>
      </text>
    </comment>
    <comment ref="Z484" authorId="0">
      <text>
        <r>
          <rPr>
            <b/>
            <sz val="9"/>
            <color indexed="81"/>
            <rFont val="Tahoma"/>
            <family val="2"/>
          </rPr>
          <t>Giedrius:</t>
        </r>
        <r>
          <rPr>
            <sz val="9"/>
            <color indexed="81"/>
            <rFont val="Tahoma"/>
            <family val="2"/>
          </rPr>
          <t xml:space="preserve">
+ 1,89bn litas returned to DIF from Snoras assets</t>
        </r>
      </text>
    </comment>
    <comment ref="AA484" authorId="0">
      <text>
        <r>
          <rPr>
            <b/>
            <sz val="9"/>
            <color indexed="81"/>
            <rFont val="Tahoma"/>
            <family val="2"/>
          </rPr>
          <t xml:space="preserve"> + [ 0,162 bn euro to be returned to DIF from Snoras/Ukio assets (MoF 09.2015 estimates)]</t>
        </r>
      </text>
    </comment>
    <comment ref="AC484" authorId="0">
      <text>
        <r>
          <rPr>
            <b/>
            <sz val="9"/>
            <color indexed="81"/>
            <rFont val="Tahoma"/>
            <family val="2"/>
          </rPr>
          <t>Giedrius:
0,7 bn euro + 0,031bn euro (107 m litas) to be returned to DIF from Snoras assets</t>
        </r>
      </text>
    </comment>
    <comment ref="AD484" authorId="0">
      <text>
        <r>
          <rPr>
            <b/>
            <sz val="9"/>
            <color indexed="81"/>
            <rFont val="Tahoma"/>
            <family val="2"/>
          </rPr>
          <t>Giedrius:
0,7 bn euro + 0,031bn euro (107 m litas) to be returned to DIF from Snoras assets</t>
        </r>
      </text>
    </comment>
    <comment ref="AE484" authorId="0">
      <text>
        <r>
          <rPr>
            <b/>
            <sz val="9"/>
            <color indexed="81"/>
            <rFont val="Tahoma"/>
            <family val="2"/>
          </rPr>
          <t>Giedrius:
0,7 bn euro + 0,031bn euro (107 m litas) to be returned to DIF from Snoras assets</t>
        </r>
      </text>
    </comment>
    <comment ref="W486" authorId="0">
      <text>
        <r>
          <rPr>
            <b/>
            <sz val="9"/>
            <color indexed="81"/>
            <rFont val="Tahoma"/>
            <family val="2"/>
          </rPr>
          <t>SIDLAUSKAS Giedrius (ECFIN):</t>
        </r>
        <r>
          <rPr>
            <sz val="9"/>
            <color indexed="81"/>
            <rFont val="Tahoma"/>
            <family val="2"/>
          </rPr>
          <t xml:space="preserve">
DIF paymemts to Snoras depositors</t>
        </r>
      </text>
    </comment>
    <comment ref="Y486" authorId="0">
      <text>
        <r>
          <rPr>
            <b/>
            <sz val="9"/>
            <color indexed="81"/>
            <rFont val="Tahoma"/>
            <family val="2"/>
          </rPr>
          <t>SIDLAUSKAS Giedrius (ECFIN):</t>
        </r>
        <r>
          <rPr>
            <sz val="9"/>
            <color indexed="81"/>
            <rFont val="Tahoma"/>
            <family val="2"/>
          </rPr>
          <t xml:space="preserve">
DIF payment to Ukio bankas and Credit Union depositors</t>
        </r>
      </text>
    </comment>
    <comment ref="Z486" authorId="0">
      <text>
        <r>
          <rPr>
            <sz val="9"/>
            <color indexed="81"/>
            <rFont val="Tahoma"/>
            <family val="2"/>
          </rPr>
          <t>Giedrius: + 220,9 mn litas in deposit insurance payments by DIF for CU depositors (ESA10) +(?) EUR 302 mn Sodra pension compensation (?)</t>
        </r>
      </text>
    </comment>
    <comment ref="AA486" authorId="1">
      <text>
        <r>
          <rPr>
            <sz val="8"/>
            <color indexed="81"/>
            <rFont val="Tahoma"/>
            <family val="2"/>
          </rPr>
          <t xml:space="preserve">Giedrius WF2016: back to normal levels of ≈0,1 bn euro, just 30 (istead of AF 2015 12 mn) mn DIF insurance payouts + 121 mn accrual wage compnesation imposed by Const. court
</t>
        </r>
      </text>
    </comment>
    <comment ref="AB486" authorId="1">
      <text>
        <r>
          <rPr>
            <b/>
            <sz val="8"/>
            <color indexed="81"/>
            <rFont val="Tahoma"/>
            <family val="2"/>
          </rPr>
          <t>+21mn paid by DIF to banckrupt CU depositors</t>
        </r>
      </text>
    </comment>
    <comment ref="AC486" authorId="1">
      <text>
        <r>
          <rPr>
            <b/>
            <sz val="9"/>
            <color indexed="81"/>
            <rFont val="Tahoma"/>
            <family val="2"/>
          </rPr>
          <t>to normal levels of to normal levels of ≈0,1 bn euro, + 60 mn DIF insurance payouts for CU depositors</t>
        </r>
        <r>
          <rPr>
            <sz val="9"/>
            <color indexed="81"/>
            <rFont val="Tahoma"/>
            <family val="2"/>
          </rPr>
          <t xml:space="preserve">
</t>
        </r>
      </text>
    </comment>
    <comment ref="X496" authorId="5">
      <text>
        <r>
          <rPr>
            <b/>
            <sz val="9"/>
            <color indexed="81"/>
            <rFont val="Tahoma"/>
            <family val="2"/>
          </rPr>
          <t>SCHROEDER Martin (ECFIN):</t>
        </r>
        <r>
          <rPr>
            <sz val="9"/>
            <color indexed="81"/>
            <rFont val="Tahoma"/>
            <family val="2"/>
          </rPr>
          <t xml:space="preserve">
CHECK?//Giedrius-down from 15% to reflect lower CO2 revenues</t>
        </r>
      </text>
    </comment>
    <comment ref="Y496" authorId="0">
      <text>
        <r>
          <rPr>
            <b/>
            <sz val="9"/>
            <color indexed="81"/>
            <rFont val="Tahoma"/>
            <family val="2"/>
          </rPr>
          <t>SIDLAUSKAS Giedrius (ECFIN):</t>
        </r>
        <r>
          <rPr>
            <sz val="9"/>
            <color indexed="81"/>
            <rFont val="Tahoma"/>
            <family val="2"/>
          </rPr>
          <t xml:space="preserve">
Up from 4% to add 50mn from hiher CO2 rev//back to 4%, sinc no C02 increase for 2013</t>
        </r>
      </text>
    </comment>
    <comment ref="Z496" authorId="7">
      <text>
        <r>
          <rPr>
            <b/>
            <sz val="9"/>
            <color indexed="81"/>
            <rFont val="Tahoma"/>
            <family val="2"/>
          </rPr>
          <t>Giedrius:
+ 1,89bn litas returned to DIF from Snoras assets</t>
        </r>
      </text>
    </comment>
    <comment ref="AA496" authorId="0">
      <text>
        <r>
          <rPr>
            <b/>
            <sz val="9"/>
            <color indexed="81"/>
            <rFont val="Tahoma"/>
            <family val="2"/>
          </rPr>
          <t>bn euro + [ 0,166 bn euro returned to DIF from Snoras/Ukio assets (MoF 09.2015 estimates)]</t>
        </r>
        <r>
          <rPr>
            <sz val="9"/>
            <color indexed="81"/>
            <rFont val="Tahoma"/>
            <family val="2"/>
          </rPr>
          <t xml:space="preserve">
</t>
        </r>
      </text>
    </comment>
    <comment ref="AB496" authorId="1">
      <text>
        <r>
          <rPr>
            <b/>
            <sz val="9"/>
            <color indexed="81"/>
            <rFont val="Tahoma"/>
            <family val="2"/>
          </rPr>
          <t>+79.232 mn from liquidation for assest by DIIF (fact)</t>
        </r>
        <r>
          <rPr>
            <sz val="9"/>
            <color indexed="81"/>
            <rFont val="Tahoma"/>
            <family val="2"/>
          </rPr>
          <t xml:space="preserve">
</t>
        </r>
      </text>
    </comment>
    <comment ref="AC496" authorId="1">
      <text>
        <r>
          <rPr>
            <b/>
            <sz val="9"/>
            <color indexed="81"/>
            <rFont val="Tahoma"/>
            <family val="2"/>
          </rPr>
          <t>Author:</t>
        </r>
        <r>
          <rPr>
            <sz val="9"/>
            <color indexed="81"/>
            <rFont val="Tahoma"/>
            <family val="2"/>
          </rPr>
          <t xml:space="preserve">
+47 mn from liquidation for assest by DIIF</t>
        </r>
      </text>
    </comment>
    <comment ref="W498" authorId="0">
      <text>
        <r>
          <rPr>
            <b/>
            <sz val="9"/>
            <color indexed="81"/>
            <rFont val="Tahoma"/>
            <family val="2"/>
          </rPr>
          <t>Giedrius: payment of 4 bn litas by DIF to Snoras depositors</t>
        </r>
        <r>
          <rPr>
            <sz val="9"/>
            <color indexed="81"/>
            <rFont val="Tahoma"/>
            <family val="2"/>
          </rPr>
          <t xml:space="preserve">
</t>
        </r>
      </text>
    </comment>
    <comment ref="Y498" authorId="0">
      <text>
        <r>
          <rPr>
            <b/>
            <sz val="9"/>
            <color indexed="81"/>
            <rFont val="Tahoma"/>
            <family val="2"/>
          </rPr>
          <t xml:space="preserve"> Giedrius: ESA10: DIF insurance payments to UB and CU depositors</t>
        </r>
        <r>
          <rPr>
            <sz val="9"/>
            <color indexed="81"/>
            <rFont val="Tahoma"/>
            <family val="2"/>
          </rPr>
          <t xml:space="preserve">
</t>
        </r>
      </text>
    </comment>
    <comment ref="Z498" authorId="0">
      <text>
        <r>
          <rPr>
            <b/>
            <sz val="9"/>
            <color indexed="81"/>
            <rFont val="Tahoma"/>
            <family val="2"/>
          </rPr>
          <t>Giedrius:+ 220,9 mn litas in deposit insurance payments by DIF for CU depositors (ESA10)</t>
        </r>
        <r>
          <rPr>
            <sz val="9"/>
            <color indexed="81"/>
            <rFont val="Tahoma"/>
            <family val="2"/>
          </rPr>
          <t xml:space="preserve">
</t>
        </r>
      </text>
    </comment>
    <comment ref="AA498" authorId="0">
      <text>
        <r>
          <rPr>
            <sz val="9"/>
            <color indexed="81"/>
            <rFont val="Tahoma"/>
            <family val="2"/>
          </rPr>
          <t>Giedrius WF2016: back to normal levels of ≈0,1 bn euro, just 30 mn DIF insurance payouts + 121 mn accrual wage compnesation imposed by Const. court</t>
        </r>
      </text>
    </comment>
    <comment ref="AB498" authorId="1">
      <text>
        <r>
          <rPr>
            <b/>
            <sz val="8"/>
            <color indexed="81"/>
            <rFont val="Tahoma"/>
            <family val="2"/>
          </rPr>
          <t>Giedrius WF2016: back to normal levels of ≈0,1 bn euro, + 25 mn DIF insurance payouts for CU depositors</t>
        </r>
      </text>
    </comment>
    <comment ref="AC498" authorId="1">
      <text>
        <r>
          <rPr>
            <b/>
            <sz val="9"/>
            <color indexed="81"/>
            <rFont val="Tahoma"/>
            <family val="2"/>
          </rPr>
          <t>to normal levels of ≈0,1 bn euro, + 25 mn DIF insurance payouts for CU depositors</t>
        </r>
        <r>
          <rPr>
            <sz val="9"/>
            <color indexed="81"/>
            <rFont val="Tahoma"/>
            <family val="2"/>
          </rPr>
          <t xml:space="preserve">
</t>
        </r>
      </text>
    </comment>
    <comment ref="Y567" authorId="0">
      <text>
        <r>
          <rPr>
            <b/>
            <sz val="9"/>
            <color indexed="81"/>
            <rFont val="Tahoma"/>
            <family val="2"/>
          </rPr>
          <t>SIDLAUSKAS Giedrius (ECFIN):</t>
        </r>
        <r>
          <rPr>
            <sz val="9"/>
            <color indexed="81"/>
            <rFont val="Tahoma"/>
            <family val="2"/>
          </rPr>
          <t xml:space="preserve">
adjust via Y501</t>
        </r>
      </text>
    </comment>
    <comment ref="Y569" authorId="0">
      <text>
        <r>
          <rPr>
            <b/>
            <sz val="9"/>
            <color indexed="81"/>
            <rFont val="Tahoma"/>
            <family val="2"/>
          </rPr>
          <t>SIDLAUSKAS Giedrius (ECFIN):</t>
        </r>
        <r>
          <rPr>
            <sz val="9"/>
            <color indexed="81"/>
            <rFont val="Tahoma"/>
            <family val="2"/>
          </rPr>
          <t xml:space="preserve">
adjust via Labour 136</t>
        </r>
      </text>
    </comment>
    <comment ref="AA605" authorId="1">
      <text>
        <r>
          <rPr>
            <b/>
            <sz val="8"/>
            <color indexed="81"/>
            <rFont val="Tahoma"/>
            <family val="2"/>
          </rPr>
          <t>WF2015: 15,901566</t>
        </r>
        <r>
          <rPr>
            <sz val="8"/>
            <color indexed="81"/>
            <rFont val="Tahoma"/>
            <family val="2"/>
          </rPr>
          <t xml:space="preserve">
</t>
        </r>
      </text>
    </comment>
    <comment ref="Y616" authorId="0">
      <text>
        <r>
          <rPr>
            <b/>
            <sz val="9"/>
            <color indexed="81"/>
            <rFont val="Tahoma"/>
            <family val="2"/>
          </rPr>
          <t>SIDLAUSKAS Giedrius (ECFIN):</t>
        </r>
        <r>
          <rPr>
            <sz val="9"/>
            <color indexed="81"/>
            <rFont val="Tahoma"/>
            <family val="2"/>
          </rPr>
          <t xml:space="preserve">
C02 + 142mn in windfall from land sales+392,58m lt DIF recovered ammount</t>
        </r>
      </text>
    </comment>
    <comment ref="Z616" authorId="0">
      <text>
        <r>
          <rPr>
            <b/>
            <sz val="9"/>
            <color indexed="81"/>
            <rFont val="Tahoma"/>
            <family val="2"/>
          </rPr>
          <t>SIDLAUSKAS Giedrius (ECFIN):</t>
        </r>
        <r>
          <rPr>
            <sz val="9"/>
            <color indexed="81"/>
            <rFont val="Tahoma"/>
            <family val="2"/>
          </rPr>
          <t xml:space="preserve">
+1,86bn Snoras repayment to DIF</t>
        </r>
      </text>
    </comment>
    <comment ref="AA616" authorId="0">
      <text>
        <r>
          <rPr>
            <b/>
            <sz val="9"/>
            <color indexed="81"/>
            <rFont val="Tahoma"/>
            <family val="2"/>
          </rPr>
          <t>SIDLAUSKAS Giedrius (ECFIN):</t>
        </r>
        <r>
          <rPr>
            <sz val="9"/>
            <color indexed="81"/>
            <rFont val="Tahoma"/>
            <family val="2"/>
          </rPr>
          <t xml:space="preserve">
+76 mn euro to DIF from assest (MoF plans)</t>
        </r>
      </text>
    </comment>
    <comment ref="AB616" authorId="0">
      <text>
        <r>
          <rPr>
            <b/>
            <sz val="9"/>
            <color indexed="81"/>
            <rFont val="Tahoma"/>
            <family val="2"/>
          </rPr>
          <t>+107mn LT MoF plans for DIF to receibed from sale of Snoras/Ukio/CU assests</t>
        </r>
        <r>
          <rPr>
            <sz val="9"/>
            <color indexed="81"/>
            <rFont val="Tahoma"/>
            <family val="2"/>
          </rPr>
          <t xml:space="preserve">
</t>
        </r>
      </text>
    </comment>
    <comment ref="AC616" authorId="0">
      <text>
        <r>
          <rPr>
            <b/>
            <sz val="9"/>
            <color indexed="81"/>
            <rFont val="Tahoma"/>
            <family val="2"/>
          </rPr>
          <t>+107mn LT MoF plans for DIF to receibed from sale of Snoras/Ukio/CU assests</t>
        </r>
        <r>
          <rPr>
            <sz val="9"/>
            <color indexed="81"/>
            <rFont val="Tahoma"/>
            <family val="2"/>
          </rPr>
          <t xml:space="preserve">
</t>
        </r>
      </text>
    </comment>
    <comment ref="AD616" authorId="0">
      <text>
        <r>
          <rPr>
            <b/>
            <sz val="9"/>
            <color indexed="81"/>
            <rFont val="Tahoma"/>
            <family val="2"/>
          </rPr>
          <t>+107mn LT MoF plans for DIF to receibed from sale of Snoras/Ukio/CU assests</t>
        </r>
        <r>
          <rPr>
            <sz val="9"/>
            <color indexed="81"/>
            <rFont val="Tahoma"/>
            <family val="2"/>
          </rPr>
          <t xml:space="preserve">
</t>
        </r>
      </text>
    </comment>
    <comment ref="AE616" authorId="0">
      <text>
        <r>
          <rPr>
            <b/>
            <sz val="9"/>
            <color indexed="81"/>
            <rFont val="Tahoma"/>
            <family val="2"/>
          </rPr>
          <t>+107mn LT MoF plans for DIF to receibed from sale of Snoras/Ukio/CU assests</t>
        </r>
        <r>
          <rPr>
            <sz val="9"/>
            <color indexed="81"/>
            <rFont val="Tahoma"/>
            <family val="2"/>
          </rPr>
          <t xml:space="preserve">
</t>
        </r>
      </text>
    </comment>
    <comment ref="W618" authorId="0">
      <text>
        <r>
          <rPr>
            <b/>
            <sz val="9"/>
            <color indexed="81"/>
            <rFont val="Tahoma"/>
            <family val="2"/>
          </rPr>
          <t>Giedrius: as of AF2014 (ESA2010) added compensation to Snoras depositors (eur1,1595bn-4bn litas) by LT DIF</t>
        </r>
        <r>
          <rPr>
            <sz val="9"/>
            <color indexed="81"/>
            <rFont val="Tahoma"/>
            <family val="2"/>
          </rPr>
          <t xml:space="preserve">
</t>
        </r>
      </text>
    </comment>
    <comment ref="X618" authorId="0">
      <text>
        <r>
          <rPr>
            <b/>
            <sz val="9"/>
            <color indexed="81"/>
            <rFont val="Tahoma"/>
            <family val="2"/>
          </rPr>
          <t>Giedrius: as of AF2014 (ESA2010) added compensation to Snoras depositors (38 m litas) by LT DIF (snoras not takent into account for 2014AF)</t>
        </r>
        <r>
          <rPr>
            <sz val="9"/>
            <color indexed="81"/>
            <rFont val="Tahoma"/>
            <family val="2"/>
          </rPr>
          <t xml:space="preserve">
</t>
        </r>
      </text>
    </comment>
    <comment ref="Y618" authorId="5">
      <text>
        <r>
          <rPr>
            <b/>
            <sz val="9"/>
            <color indexed="81"/>
            <rFont val="Tahoma"/>
            <family val="2"/>
          </rPr>
          <t>SCHROEDER Martin (ECFIN):</t>
        </r>
        <r>
          <rPr>
            <sz val="9"/>
            <color indexed="81"/>
            <rFont val="Tahoma"/>
            <family val="2"/>
          </rPr>
          <t xml:space="preserve">
Factual CO2 revenue spent, MoF data//Giedrius: as of AF2014 (ESA2010) added compensation to UB and CUs depositors (1bn litas) by LT DIF</t>
        </r>
      </text>
    </comment>
    <comment ref="Z618" authorId="0">
      <text>
        <r>
          <rPr>
            <b/>
            <sz val="9"/>
            <color indexed="81"/>
            <rFont val="Tahoma"/>
            <family val="2"/>
          </rPr>
          <t>SIDLAUSKAS Giedrius (ECFIN):</t>
        </r>
        <r>
          <rPr>
            <sz val="9"/>
            <color indexed="81"/>
            <rFont val="Tahoma"/>
            <family val="2"/>
          </rPr>
          <t xml:space="preserve">
Plans to spend accumulated C02 revenues-</t>
        </r>
        <r>
          <rPr>
            <b/>
            <sz val="9"/>
            <color indexed="81"/>
            <rFont val="Tahoma"/>
            <family val="2"/>
          </rPr>
          <t>check fact</t>
        </r>
        <r>
          <rPr>
            <sz val="9"/>
            <color indexed="81"/>
            <rFont val="Tahoma"/>
            <family val="2"/>
          </rPr>
          <t xml:space="preserve"> // 855,4 m LT of pension compensations //  220mn Lt DIF payments to closed CU depositors</t>
        </r>
      </text>
    </comment>
    <comment ref="AA618" authorId="0">
      <text>
        <r>
          <rPr>
            <b/>
            <sz val="9"/>
            <color indexed="81"/>
            <rFont val="Tahoma"/>
            <family val="2"/>
          </rPr>
          <t>SIDLAUSKAS Giedrius (ECFIN):</t>
        </r>
        <r>
          <rPr>
            <sz val="9"/>
            <color indexed="81"/>
            <rFont val="Tahoma"/>
            <family val="2"/>
          </rPr>
          <t xml:space="preserve">
Plans to spend accumulated C02 revenue</t>
        </r>
      </text>
    </comment>
    <comment ref="AB618" authorId="0">
      <text>
        <r>
          <rPr>
            <b/>
            <sz val="9"/>
            <color indexed="81"/>
            <rFont val="Tahoma"/>
            <family val="2"/>
          </rPr>
          <t>SIDLAUSKAS Giedrius (ECFIN):</t>
        </r>
        <r>
          <rPr>
            <sz val="9"/>
            <color indexed="81"/>
            <rFont val="Tahoma"/>
            <family val="2"/>
          </rPr>
          <t xml:space="preserve">
85 mn Lt to be received for CO2 sale in 2015 spent in 2016</t>
        </r>
      </text>
    </comment>
    <comment ref="AC618" authorId="0">
      <text>
        <r>
          <rPr>
            <b/>
            <sz val="9"/>
            <color indexed="81"/>
            <rFont val="Tahoma"/>
            <family val="2"/>
          </rPr>
          <t>SIDLAUSKAS Giedrius (ECFIN):</t>
        </r>
        <r>
          <rPr>
            <sz val="9"/>
            <color indexed="81"/>
            <rFont val="Tahoma"/>
            <family val="2"/>
          </rPr>
          <t xml:space="preserve">
85 mn Lt to be received for CO2 sale in 2015 spent in 2016</t>
        </r>
      </text>
    </comment>
    <comment ref="AD618" authorId="0">
      <text>
        <r>
          <rPr>
            <b/>
            <sz val="9"/>
            <color indexed="81"/>
            <rFont val="Tahoma"/>
            <family val="2"/>
          </rPr>
          <t>SIDLAUSKAS Giedrius (ECFIN):</t>
        </r>
        <r>
          <rPr>
            <sz val="9"/>
            <color indexed="81"/>
            <rFont val="Tahoma"/>
            <family val="2"/>
          </rPr>
          <t xml:space="preserve">
85 mn Lt to be received for CO2 sale in 2015 spent in 2016</t>
        </r>
      </text>
    </comment>
    <comment ref="AE618" authorId="0">
      <text>
        <r>
          <rPr>
            <b/>
            <sz val="9"/>
            <color indexed="81"/>
            <rFont val="Tahoma"/>
            <family val="2"/>
          </rPr>
          <t>SIDLAUSKAS Giedrius (ECFIN):</t>
        </r>
        <r>
          <rPr>
            <sz val="9"/>
            <color indexed="81"/>
            <rFont val="Tahoma"/>
            <family val="2"/>
          </rPr>
          <t xml:space="preserve">
85 mn Lt to be received for CO2 sale in 2015 spent in 2016</t>
        </r>
      </text>
    </comment>
    <comment ref="Y645" authorId="5">
      <text>
        <r>
          <rPr>
            <b/>
            <sz val="9"/>
            <color indexed="81"/>
            <rFont val="Tahoma"/>
            <family val="2"/>
          </rPr>
          <t>SCHROEDER Martin (ECFIN):</t>
        </r>
        <r>
          <rPr>
            <sz val="9"/>
            <color indexed="81"/>
            <rFont val="Tahoma"/>
            <family val="2"/>
          </rPr>
          <t xml:space="preserve">
VAT reduction 0.05, Excise increase of 0.1 SODRA increase to 2.5% from 1.5% //Giedrius: +LTL200mn from PIT&amp;Soc.cntrbt due increase in min. wages</t>
        </r>
      </text>
    </comment>
    <comment ref="Z645" authorId="5">
      <text>
        <r>
          <rPr>
            <b/>
            <sz val="9"/>
            <color indexed="81"/>
            <rFont val="Tahoma"/>
            <family val="2"/>
          </rPr>
          <t>SCHROEDER Martin (ECFIN):</t>
        </r>
        <r>
          <rPr>
            <sz val="9"/>
            <color indexed="81"/>
            <rFont val="Tahoma"/>
            <family val="2"/>
          </rPr>
          <t xml:space="preserve">
reduction of 2nd pillar contribution 2.5% to 2.0%</t>
        </r>
      </text>
    </comment>
    <comment ref="AA645" authorId="5">
      <text>
        <r>
          <rPr>
            <sz val="9"/>
            <color indexed="81"/>
            <rFont val="Tahoma"/>
            <family val="2"/>
          </rPr>
          <t>reduction of 2nd pillar contribution 2.5% to 2.0%//AF2014 - increase inexcises for alcohol and tobacco (in 2015+15 m eur) and increase in social ins. Contributions of self-employed (in 2015+ 22 m eur)
Limit on loss from ealier years transfer to the next year for CIT reduction to 70% (14 m euro, MoF estimate 50 mn LT)</t>
        </r>
      </text>
    </comment>
    <comment ref="U681" authorId="0">
      <text>
        <r>
          <rPr>
            <b/>
            <sz val="9"/>
            <color indexed="81"/>
            <rFont val="Tahoma"/>
            <family val="2"/>
          </rPr>
          <t>This is not entered in DFM detabase</t>
        </r>
      </text>
    </comment>
    <comment ref="Y681" authorId="5">
      <text>
        <r>
          <rPr>
            <b/>
            <sz val="9"/>
            <color indexed="81"/>
            <rFont val="Tahoma"/>
            <family val="2"/>
          </rPr>
          <t>SCHROEDER Martin (ECFIN):</t>
        </r>
        <r>
          <rPr>
            <sz val="9"/>
            <color indexed="81"/>
            <rFont val="Tahoma"/>
            <family val="2"/>
          </rPr>
          <t xml:space="preserve">
[partial] extension of wage freeze, EU presidency costs //Giedrius: +LTL200mn for public sector wages due min wage increase//</t>
        </r>
      </text>
    </comment>
    <comment ref="Z681" authorId="5">
      <text>
        <r>
          <rPr>
            <b/>
            <sz val="9"/>
            <color indexed="81"/>
            <rFont val="Tahoma"/>
            <family val="2"/>
          </rPr>
          <t>SCHROEDER Martin (ECFIN):</t>
        </r>
        <r>
          <rPr>
            <sz val="9"/>
            <color indexed="81"/>
            <rFont val="Tahoma"/>
            <family val="2"/>
          </rPr>
          <t xml:space="preserve">
subsidies to contributions to private pensions//partial restoration of public wages
+SODRA accrual conpensation 855,4 mn litas</t>
        </r>
      </text>
    </comment>
    <comment ref="AA681" authorId="5">
      <text>
        <r>
          <rPr>
            <sz val="9"/>
            <color indexed="81"/>
            <rFont val="Tahoma"/>
            <family val="2"/>
          </rPr>
          <t>including 300mn lt estimated cost of motivational pension contribution
------------
+0,075bn litas:
Increase of the insured income by LTL 0.16 up to LTL 1488.16 (EUR 431) and EUR 3 from 1 July  2015
Increase of gross income by LTL 2.54  up to LTL 362.55 Lt (EUR 105) and EUR 3 from 1 July    2015
Increase of the basic amount of widows PENSION by LTL 2.51 Lt up to LTL 72.51 (EUR 21)    
Recovery of sickness allowances up to 80% from 40%    
Pensions for mothers who raised 5 or more children 
+END of ONE OFF (-855,4 mn litas) from Sodra compensation</t>
        </r>
      </text>
    </comment>
    <comment ref="U682" authorId="0">
      <text>
        <r>
          <rPr>
            <b/>
            <sz val="9"/>
            <color indexed="81"/>
            <rFont val="Tahoma"/>
            <family val="2"/>
          </rPr>
          <t>Not in line with DFM database</t>
        </r>
      </text>
    </comment>
    <comment ref="W682" authorId="0">
      <text>
        <r>
          <rPr>
            <b/>
            <sz val="9"/>
            <color indexed="81"/>
            <rFont val="Tahoma"/>
            <family val="2"/>
          </rPr>
          <t>Snoras one-off</t>
        </r>
        <r>
          <rPr>
            <sz val="9"/>
            <color indexed="81"/>
            <rFont val="Tahoma"/>
            <family val="2"/>
          </rPr>
          <t xml:space="preserve">
</t>
        </r>
      </text>
    </comment>
    <comment ref="X682" authorId="5">
      <text>
        <r>
          <rPr>
            <b/>
            <sz val="9"/>
            <color indexed="81"/>
            <rFont val="Tahoma"/>
            <family val="2"/>
          </rPr>
          <t>SCHROEDER Martin (ECFIN):</t>
        </r>
        <r>
          <rPr>
            <sz val="9"/>
            <color indexed="81"/>
            <rFont val="Tahoma"/>
            <family val="2"/>
          </rPr>
          <t xml:space="preserve">
CO2 quotas</t>
        </r>
      </text>
    </comment>
    <comment ref="X782" authorId="7">
      <text>
        <r>
          <rPr>
            <b/>
            <sz val="9"/>
            <color indexed="81"/>
            <rFont val="Tahoma"/>
            <family val="2"/>
          </rPr>
          <t>FLORIAN Miroslav (ECFIN):</t>
        </r>
        <r>
          <rPr>
            <sz val="9"/>
            <color indexed="81"/>
            <rFont val="Tahoma"/>
            <family val="2"/>
          </rPr>
          <t xml:space="preserve">
Should be 3.4375</t>
        </r>
      </text>
    </comment>
    <comment ref="X789" authorId="7">
      <text>
        <r>
          <rPr>
            <b/>
            <sz val="9"/>
            <color indexed="81"/>
            <rFont val="Tahoma"/>
            <family val="2"/>
            <charset val="238"/>
          </rPr>
          <t>AMECO 2.6055</t>
        </r>
      </text>
    </comment>
  </commentList>
</comments>
</file>

<file path=xl/comments8.xml><?xml version="1.0" encoding="utf-8"?>
<comments xmlns="http://schemas.openxmlformats.org/spreadsheetml/2006/main">
  <authors>
    <author>Author</author>
  </authors>
  <commentList>
    <comment ref="E236" authorId="0">
      <text>
        <r>
          <rPr>
            <b/>
            <sz val="8"/>
            <color indexed="81"/>
            <rFont val="Tahoma"/>
            <family val="2"/>
          </rPr>
          <t>Different from EDP notification !!</t>
        </r>
        <r>
          <rPr>
            <sz val="8"/>
            <color indexed="81"/>
            <rFont val="Tahoma"/>
            <family val="2"/>
          </rPr>
          <t xml:space="preserve">
</t>
        </r>
      </text>
    </comment>
  </commentList>
</comments>
</file>

<file path=xl/comments9.xml><?xml version="1.0" encoding="utf-8"?>
<comments xmlns="http://schemas.openxmlformats.org/spreadsheetml/2006/main">
  <authors>
    <author>Author</author>
    <author>H.2</author>
  </authors>
  <commentList>
    <comment ref="H415" authorId="0">
      <text>
        <r>
          <rPr>
            <b/>
            <sz val="8"/>
            <color indexed="81"/>
            <rFont val="Tahoma"/>
            <family val="2"/>
          </rPr>
          <t>6-7-8 adjust together</t>
        </r>
        <r>
          <rPr>
            <sz val="8"/>
            <color indexed="81"/>
            <rFont val="Tahoma"/>
            <family val="2"/>
          </rPr>
          <t xml:space="preserve">
</t>
        </r>
      </text>
    </comment>
    <comment ref="H431" authorId="1">
      <text>
        <r>
          <rPr>
            <b/>
            <sz val="8"/>
            <color indexed="81"/>
            <rFont val="Tahoma"/>
            <family val="2"/>
          </rPr>
          <t>H.2:</t>
        </r>
        <r>
          <rPr>
            <sz val="8"/>
            <color indexed="81"/>
            <rFont val="Tahoma"/>
            <family val="2"/>
          </rPr>
          <t xml:space="preserve">
Check-inconsistent with Sector 1! For 2013-15</t>
        </r>
      </text>
    </comment>
  </commentList>
</comments>
</file>

<file path=xl/comments10.xml><?xml version="1.0" encoding="utf-8"?>
<comments xmlns="http://schemas.openxmlformats.org/spreadsheetml/2006/main">
  <authors>
    <author>RODRIGUEZ DEL RIO Carlos (ECFIN)</author>
  </authors>
  <commentList>
    <comment ref="A11" authorId="0">
      <text>
        <r>
          <rPr>
            <sz val="9"/>
            <color indexed="81"/>
            <rFont val="Tahoma"/>
            <family val="2"/>
          </rPr>
          <t>Saved by NET1\RODCARL on 26/06/2018 15:43:23
Latest revision date 26/06/2018 15:43:21</t>
        </r>
      </text>
    </comment>
    <comment ref="H24" authorId="0">
      <text>
        <r>
          <rPr>
            <sz val="9"/>
            <color indexed="81"/>
            <rFont val="Tahoma"/>
            <family val="2"/>
          </rPr>
          <t>Invalid value</t>
        </r>
      </text>
    </comment>
    <comment ref="I24" authorId="0">
      <text>
        <r>
          <rPr>
            <sz val="9"/>
            <color indexed="81"/>
            <rFont val="Tahoma"/>
            <family val="2"/>
          </rPr>
          <t>Invalid value</t>
        </r>
      </text>
    </comment>
    <comment ref="J24" authorId="0">
      <text>
        <r>
          <rPr>
            <sz val="9"/>
            <color indexed="81"/>
            <rFont val="Tahoma"/>
            <family val="2"/>
          </rPr>
          <t>Invalid value</t>
        </r>
      </text>
    </comment>
    <comment ref="K24" authorId="0">
      <text>
        <r>
          <rPr>
            <sz val="9"/>
            <color indexed="81"/>
            <rFont val="Tahoma"/>
            <family val="2"/>
          </rPr>
          <t>Invalid value</t>
        </r>
      </text>
    </comment>
    <comment ref="H45" authorId="0">
      <text>
        <r>
          <rPr>
            <sz val="9"/>
            <color indexed="81"/>
            <rFont val="Tahoma"/>
            <family val="2"/>
          </rPr>
          <t>Invalid value</t>
        </r>
      </text>
    </comment>
    <comment ref="I45" authorId="0">
      <text>
        <r>
          <rPr>
            <sz val="9"/>
            <color indexed="81"/>
            <rFont val="Tahoma"/>
            <family val="2"/>
          </rPr>
          <t>Invalid value</t>
        </r>
      </text>
    </comment>
    <comment ref="J45" authorId="0">
      <text>
        <r>
          <rPr>
            <sz val="9"/>
            <color indexed="81"/>
            <rFont val="Tahoma"/>
            <family val="2"/>
          </rPr>
          <t>Invalid value</t>
        </r>
      </text>
    </comment>
    <comment ref="K45" authorId="0">
      <text>
        <r>
          <rPr>
            <sz val="9"/>
            <color indexed="81"/>
            <rFont val="Tahoma"/>
            <family val="2"/>
          </rPr>
          <t>Invalid value</t>
        </r>
      </text>
    </comment>
    <comment ref="H46" authorId="0">
      <text>
        <r>
          <rPr>
            <sz val="9"/>
            <color indexed="81"/>
            <rFont val="Tahoma"/>
            <family val="2"/>
          </rPr>
          <t>Invalid value</t>
        </r>
      </text>
    </comment>
    <comment ref="I46" authorId="0">
      <text>
        <r>
          <rPr>
            <sz val="9"/>
            <color indexed="81"/>
            <rFont val="Tahoma"/>
            <family val="2"/>
          </rPr>
          <t>Invalid value</t>
        </r>
      </text>
    </comment>
    <comment ref="J46" authorId="0">
      <text>
        <r>
          <rPr>
            <sz val="9"/>
            <color indexed="81"/>
            <rFont val="Tahoma"/>
            <family val="2"/>
          </rPr>
          <t>Invalid value</t>
        </r>
      </text>
    </comment>
    <comment ref="K46" authorId="0">
      <text>
        <r>
          <rPr>
            <sz val="9"/>
            <color indexed="81"/>
            <rFont val="Tahoma"/>
            <family val="2"/>
          </rPr>
          <t>Invalid value</t>
        </r>
      </text>
    </comment>
    <comment ref="L46" authorId="0">
      <text>
        <r>
          <rPr>
            <sz val="9"/>
            <color indexed="81"/>
            <rFont val="Tahoma"/>
            <family val="2"/>
          </rPr>
          <t>Invalid value</t>
        </r>
      </text>
    </comment>
    <comment ref="M46" authorId="0">
      <text>
        <r>
          <rPr>
            <sz val="9"/>
            <color indexed="81"/>
            <rFont val="Tahoma"/>
            <family val="2"/>
          </rPr>
          <t>Invalid value</t>
        </r>
      </text>
    </comment>
    <comment ref="N46" authorId="0">
      <text>
        <r>
          <rPr>
            <sz val="9"/>
            <color indexed="81"/>
            <rFont val="Tahoma"/>
            <family val="2"/>
          </rPr>
          <t>Invalid value</t>
        </r>
      </text>
    </comment>
    <comment ref="O46" authorId="0">
      <text>
        <r>
          <rPr>
            <sz val="9"/>
            <color indexed="81"/>
            <rFont val="Tahoma"/>
            <family val="2"/>
          </rPr>
          <t>Invalid value</t>
        </r>
      </text>
    </comment>
    <comment ref="P46" authorId="0">
      <text>
        <r>
          <rPr>
            <sz val="9"/>
            <color indexed="81"/>
            <rFont val="Tahoma"/>
            <family val="2"/>
          </rPr>
          <t>Invalid value</t>
        </r>
      </text>
    </comment>
    <comment ref="Q46" authorId="0">
      <text>
        <r>
          <rPr>
            <sz val="9"/>
            <color indexed="81"/>
            <rFont val="Tahoma"/>
            <family val="2"/>
          </rPr>
          <t>Invalid value</t>
        </r>
      </text>
    </comment>
    <comment ref="R46" authorId="0">
      <text>
        <r>
          <rPr>
            <sz val="9"/>
            <color indexed="81"/>
            <rFont val="Tahoma"/>
            <family val="2"/>
          </rPr>
          <t>Invalid value</t>
        </r>
      </text>
    </comment>
    <comment ref="S46" authorId="0">
      <text>
        <r>
          <rPr>
            <sz val="9"/>
            <color indexed="81"/>
            <rFont val="Tahoma"/>
            <family val="2"/>
          </rPr>
          <t>Invalid value</t>
        </r>
      </text>
    </comment>
    <comment ref="T46" authorId="0">
      <text>
        <r>
          <rPr>
            <sz val="9"/>
            <color indexed="81"/>
            <rFont val="Tahoma"/>
            <family val="2"/>
          </rPr>
          <t>Invalid value</t>
        </r>
      </text>
    </comment>
    <comment ref="U46" authorId="0">
      <text>
        <r>
          <rPr>
            <sz val="9"/>
            <color indexed="81"/>
            <rFont val="Tahoma"/>
            <family val="2"/>
          </rPr>
          <t>Invalid value</t>
        </r>
      </text>
    </comment>
    <comment ref="V46" authorId="0">
      <text>
        <r>
          <rPr>
            <sz val="9"/>
            <color indexed="81"/>
            <rFont val="Tahoma"/>
            <family val="2"/>
          </rPr>
          <t>Invalid value</t>
        </r>
      </text>
    </comment>
    <comment ref="W46" authorId="0">
      <text>
        <r>
          <rPr>
            <sz val="9"/>
            <color indexed="81"/>
            <rFont val="Tahoma"/>
            <family val="2"/>
          </rPr>
          <t>Invalid value</t>
        </r>
      </text>
    </comment>
    <comment ref="X46" authorId="0">
      <text>
        <r>
          <rPr>
            <sz val="9"/>
            <color indexed="81"/>
            <rFont val="Tahoma"/>
            <family val="2"/>
          </rPr>
          <t>Invalid value</t>
        </r>
      </text>
    </comment>
    <comment ref="Y46" authorId="0">
      <text>
        <r>
          <rPr>
            <sz val="9"/>
            <color indexed="81"/>
            <rFont val="Tahoma"/>
            <family val="2"/>
          </rPr>
          <t>Invalid value</t>
        </r>
      </text>
    </comment>
    <comment ref="Z46" authorId="0">
      <text>
        <r>
          <rPr>
            <sz val="9"/>
            <color indexed="81"/>
            <rFont val="Tahoma"/>
            <family val="2"/>
          </rPr>
          <t>Invalid value</t>
        </r>
      </text>
    </comment>
    <comment ref="AA46" authorId="0">
      <text>
        <r>
          <rPr>
            <sz val="9"/>
            <color indexed="81"/>
            <rFont val="Tahoma"/>
            <family val="2"/>
          </rPr>
          <t>Invalid value</t>
        </r>
      </text>
    </comment>
    <comment ref="AB46" authorId="0">
      <text>
        <r>
          <rPr>
            <sz val="9"/>
            <color indexed="81"/>
            <rFont val="Tahoma"/>
            <family val="2"/>
          </rPr>
          <t>Invalid value</t>
        </r>
      </text>
    </comment>
    <comment ref="AC46" authorId="0">
      <text>
        <r>
          <rPr>
            <sz val="9"/>
            <color indexed="81"/>
            <rFont val="Tahoma"/>
            <family val="2"/>
          </rPr>
          <t>Invalid value</t>
        </r>
      </text>
    </comment>
    <comment ref="AD46" authorId="0">
      <text>
        <r>
          <rPr>
            <sz val="9"/>
            <color indexed="81"/>
            <rFont val="Tahoma"/>
            <family val="2"/>
          </rPr>
          <t>Invalid value</t>
        </r>
      </text>
    </comment>
    <comment ref="AE46" authorId="0">
      <text>
        <r>
          <rPr>
            <sz val="9"/>
            <color indexed="81"/>
            <rFont val="Tahoma"/>
            <family val="2"/>
          </rPr>
          <t>Invalid value</t>
        </r>
      </text>
    </comment>
    <comment ref="H49" authorId="0">
      <text>
        <r>
          <rPr>
            <sz val="9"/>
            <color indexed="81"/>
            <rFont val="Tahoma"/>
            <family val="2"/>
          </rPr>
          <t>Invalid value</t>
        </r>
      </text>
    </comment>
    <comment ref="I49" authorId="0">
      <text>
        <r>
          <rPr>
            <sz val="9"/>
            <color indexed="81"/>
            <rFont val="Tahoma"/>
            <family val="2"/>
          </rPr>
          <t>Invalid value</t>
        </r>
      </text>
    </comment>
    <comment ref="J49" authorId="0">
      <text>
        <r>
          <rPr>
            <sz val="9"/>
            <color indexed="81"/>
            <rFont val="Tahoma"/>
            <family val="2"/>
          </rPr>
          <t>Invalid value</t>
        </r>
      </text>
    </comment>
    <comment ref="K49" authorId="0">
      <text>
        <r>
          <rPr>
            <sz val="9"/>
            <color indexed="81"/>
            <rFont val="Tahoma"/>
            <family val="2"/>
          </rPr>
          <t>Invalid value</t>
        </r>
      </text>
    </comment>
    <comment ref="H50" authorId="0">
      <text>
        <r>
          <rPr>
            <sz val="9"/>
            <color indexed="81"/>
            <rFont val="Tahoma"/>
            <family val="2"/>
          </rPr>
          <t>Invalid value</t>
        </r>
      </text>
    </comment>
    <comment ref="I50" authorId="0">
      <text>
        <r>
          <rPr>
            <sz val="9"/>
            <color indexed="81"/>
            <rFont val="Tahoma"/>
            <family val="2"/>
          </rPr>
          <t>Invalid value</t>
        </r>
      </text>
    </comment>
    <comment ref="J50" authorId="0">
      <text>
        <r>
          <rPr>
            <sz val="9"/>
            <color indexed="81"/>
            <rFont val="Tahoma"/>
            <family val="2"/>
          </rPr>
          <t>Invalid value</t>
        </r>
      </text>
    </comment>
    <comment ref="K50" authorId="0">
      <text>
        <r>
          <rPr>
            <sz val="9"/>
            <color indexed="81"/>
            <rFont val="Tahoma"/>
            <family val="2"/>
          </rPr>
          <t>Invalid value</t>
        </r>
      </text>
    </comment>
    <comment ref="L50" authorId="0">
      <text>
        <r>
          <rPr>
            <sz val="9"/>
            <color indexed="81"/>
            <rFont val="Tahoma"/>
            <family val="2"/>
          </rPr>
          <t>Invalid value</t>
        </r>
      </text>
    </comment>
    <comment ref="M50" authorId="0">
      <text>
        <r>
          <rPr>
            <sz val="9"/>
            <color indexed="81"/>
            <rFont val="Tahoma"/>
            <family val="2"/>
          </rPr>
          <t>Invalid value</t>
        </r>
      </text>
    </comment>
    <comment ref="N50" authorId="0">
      <text>
        <r>
          <rPr>
            <sz val="9"/>
            <color indexed="81"/>
            <rFont val="Tahoma"/>
            <family val="2"/>
          </rPr>
          <t>Invalid value</t>
        </r>
      </text>
    </comment>
    <comment ref="O50" authorId="0">
      <text>
        <r>
          <rPr>
            <sz val="9"/>
            <color indexed="81"/>
            <rFont val="Tahoma"/>
            <family val="2"/>
          </rPr>
          <t>Invalid value</t>
        </r>
      </text>
    </comment>
    <comment ref="P50" authorId="0">
      <text>
        <r>
          <rPr>
            <sz val="9"/>
            <color indexed="81"/>
            <rFont val="Tahoma"/>
            <family val="2"/>
          </rPr>
          <t>Invalid value</t>
        </r>
      </text>
    </comment>
    <comment ref="Q50" authorId="0">
      <text>
        <r>
          <rPr>
            <sz val="9"/>
            <color indexed="81"/>
            <rFont val="Tahoma"/>
            <family val="2"/>
          </rPr>
          <t>Invalid value</t>
        </r>
      </text>
    </comment>
    <comment ref="R50" authorId="0">
      <text>
        <r>
          <rPr>
            <sz val="9"/>
            <color indexed="81"/>
            <rFont val="Tahoma"/>
            <family val="2"/>
          </rPr>
          <t>Invalid value</t>
        </r>
      </text>
    </comment>
    <comment ref="S50" authorId="0">
      <text>
        <r>
          <rPr>
            <sz val="9"/>
            <color indexed="81"/>
            <rFont val="Tahoma"/>
            <family val="2"/>
          </rPr>
          <t>Invalid value</t>
        </r>
      </text>
    </comment>
    <comment ref="T50" authorId="0">
      <text>
        <r>
          <rPr>
            <sz val="9"/>
            <color indexed="81"/>
            <rFont val="Tahoma"/>
            <family val="2"/>
          </rPr>
          <t>Invalid value</t>
        </r>
      </text>
    </comment>
    <comment ref="U50" authorId="0">
      <text>
        <r>
          <rPr>
            <sz val="9"/>
            <color indexed="81"/>
            <rFont val="Tahoma"/>
            <family val="2"/>
          </rPr>
          <t>Invalid value</t>
        </r>
      </text>
    </comment>
    <comment ref="V50" authorId="0">
      <text>
        <r>
          <rPr>
            <sz val="9"/>
            <color indexed="81"/>
            <rFont val="Tahoma"/>
            <family val="2"/>
          </rPr>
          <t>Invalid value</t>
        </r>
      </text>
    </comment>
    <comment ref="W50" authorId="0">
      <text>
        <r>
          <rPr>
            <sz val="9"/>
            <color indexed="81"/>
            <rFont val="Tahoma"/>
            <family val="2"/>
          </rPr>
          <t>Invalid value</t>
        </r>
      </text>
    </comment>
    <comment ref="X50" authorId="0">
      <text>
        <r>
          <rPr>
            <sz val="9"/>
            <color indexed="81"/>
            <rFont val="Tahoma"/>
            <family val="2"/>
          </rPr>
          <t>Invalid value</t>
        </r>
      </text>
    </comment>
    <comment ref="Y50" authorId="0">
      <text>
        <r>
          <rPr>
            <sz val="9"/>
            <color indexed="81"/>
            <rFont val="Tahoma"/>
            <family val="2"/>
          </rPr>
          <t>Invalid value</t>
        </r>
      </text>
    </comment>
    <comment ref="Z50" authorId="0">
      <text>
        <r>
          <rPr>
            <sz val="9"/>
            <color indexed="81"/>
            <rFont val="Tahoma"/>
            <family val="2"/>
          </rPr>
          <t>Invalid value</t>
        </r>
      </text>
    </comment>
    <comment ref="AA50" authorId="0">
      <text>
        <r>
          <rPr>
            <sz val="9"/>
            <color indexed="81"/>
            <rFont val="Tahoma"/>
            <family val="2"/>
          </rPr>
          <t>Invalid value</t>
        </r>
      </text>
    </comment>
    <comment ref="AB50" authorId="0">
      <text>
        <r>
          <rPr>
            <sz val="9"/>
            <color indexed="81"/>
            <rFont val="Tahoma"/>
            <family val="2"/>
          </rPr>
          <t>Invalid value</t>
        </r>
      </text>
    </comment>
    <comment ref="AC50" authorId="0">
      <text>
        <r>
          <rPr>
            <sz val="9"/>
            <color indexed="81"/>
            <rFont val="Tahoma"/>
            <family val="2"/>
          </rPr>
          <t>Invalid value</t>
        </r>
      </text>
    </comment>
    <comment ref="AD50" authorId="0">
      <text>
        <r>
          <rPr>
            <sz val="9"/>
            <color indexed="81"/>
            <rFont val="Tahoma"/>
            <family val="2"/>
          </rPr>
          <t>Invalid value</t>
        </r>
      </text>
    </comment>
    <comment ref="AE50" authorId="0">
      <text>
        <r>
          <rPr>
            <sz val="9"/>
            <color indexed="81"/>
            <rFont val="Tahoma"/>
            <family val="2"/>
          </rPr>
          <t>Invalid value</t>
        </r>
      </text>
    </comment>
    <comment ref="H55" authorId="0">
      <text>
        <r>
          <rPr>
            <sz val="9"/>
            <color indexed="81"/>
            <rFont val="Tahoma"/>
            <family val="2"/>
          </rPr>
          <t>Invalid value</t>
        </r>
      </text>
    </comment>
    <comment ref="I55" authorId="0">
      <text>
        <r>
          <rPr>
            <sz val="9"/>
            <color indexed="81"/>
            <rFont val="Tahoma"/>
            <family val="2"/>
          </rPr>
          <t>Invalid value</t>
        </r>
      </text>
    </comment>
    <comment ref="J55" authorId="0">
      <text>
        <r>
          <rPr>
            <sz val="9"/>
            <color indexed="81"/>
            <rFont val="Tahoma"/>
            <family val="2"/>
          </rPr>
          <t>Invalid value</t>
        </r>
      </text>
    </comment>
    <comment ref="K55" authorId="0">
      <text>
        <r>
          <rPr>
            <sz val="9"/>
            <color indexed="81"/>
            <rFont val="Tahoma"/>
            <family val="2"/>
          </rPr>
          <t>Invalid value</t>
        </r>
      </text>
    </comment>
    <comment ref="H56" authorId="0">
      <text>
        <r>
          <rPr>
            <sz val="9"/>
            <color indexed="81"/>
            <rFont val="Tahoma"/>
            <family val="2"/>
          </rPr>
          <t>Invalid value</t>
        </r>
      </text>
    </comment>
    <comment ref="I56" authorId="0">
      <text>
        <r>
          <rPr>
            <sz val="9"/>
            <color indexed="81"/>
            <rFont val="Tahoma"/>
            <family val="2"/>
          </rPr>
          <t>Invalid value</t>
        </r>
      </text>
    </comment>
    <comment ref="J56" authorId="0">
      <text>
        <r>
          <rPr>
            <sz val="9"/>
            <color indexed="81"/>
            <rFont val="Tahoma"/>
            <family val="2"/>
          </rPr>
          <t>Invalid value</t>
        </r>
      </text>
    </comment>
    <comment ref="K56" authorId="0">
      <text>
        <r>
          <rPr>
            <sz val="9"/>
            <color indexed="81"/>
            <rFont val="Tahoma"/>
            <family val="2"/>
          </rPr>
          <t>Invalid value</t>
        </r>
      </text>
    </comment>
    <comment ref="H59" authorId="0">
      <text>
        <r>
          <rPr>
            <sz val="9"/>
            <color indexed="81"/>
            <rFont val="Tahoma"/>
            <family val="2"/>
          </rPr>
          <t>Invalid value</t>
        </r>
      </text>
    </comment>
    <comment ref="I59" authorId="0">
      <text>
        <r>
          <rPr>
            <sz val="9"/>
            <color indexed="81"/>
            <rFont val="Tahoma"/>
            <family val="2"/>
          </rPr>
          <t>Invalid value</t>
        </r>
      </text>
    </comment>
    <comment ref="J59" authorId="0">
      <text>
        <r>
          <rPr>
            <sz val="9"/>
            <color indexed="81"/>
            <rFont val="Tahoma"/>
            <family val="2"/>
          </rPr>
          <t>Invalid value</t>
        </r>
      </text>
    </comment>
    <comment ref="H60" authorId="0">
      <text>
        <r>
          <rPr>
            <sz val="9"/>
            <color indexed="81"/>
            <rFont val="Tahoma"/>
            <family val="2"/>
          </rPr>
          <t>Invalid value</t>
        </r>
      </text>
    </comment>
    <comment ref="I60" authorId="0">
      <text>
        <r>
          <rPr>
            <sz val="9"/>
            <color indexed="81"/>
            <rFont val="Tahoma"/>
            <family val="2"/>
          </rPr>
          <t>Invalid value</t>
        </r>
      </text>
    </comment>
    <comment ref="J60" authorId="0">
      <text>
        <r>
          <rPr>
            <sz val="9"/>
            <color indexed="81"/>
            <rFont val="Tahoma"/>
            <family val="2"/>
          </rPr>
          <t>Invalid value</t>
        </r>
      </text>
    </comment>
    <comment ref="H61" authorId="0">
      <text>
        <r>
          <rPr>
            <sz val="9"/>
            <color indexed="81"/>
            <rFont val="Tahoma"/>
            <family val="2"/>
          </rPr>
          <t>Invalid value</t>
        </r>
      </text>
    </comment>
    <comment ref="I61" authorId="0">
      <text>
        <r>
          <rPr>
            <sz val="9"/>
            <color indexed="81"/>
            <rFont val="Tahoma"/>
            <family val="2"/>
          </rPr>
          <t>Invalid value</t>
        </r>
      </text>
    </comment>
    <comment ref="J61" authorId="0">
      <text>
        <r>
          <rPr>
            <sz val="9"/>
            <color indexed="81"/>
            <rFont val="Tahoma"/>
            <family val="2"/>
          </rPr>
          <t>Invalid value</t>
        </r>
      </text>
    </comment>
    <comment ref="K61" authorId="0">
      <text>
        <r>
          <rPr>
            <sz val="9"/>
            <color indexed="81"/>
            <rFont val="Tahoma"/>
            <family val="2"/>
          </rPr>
          <t>Invalid value</t>
        </r>
      </text>
    </comment>
    <comment ref="H62" authorId="0">
      <text>
        <r>
          <rPr>
            <sz val="9"/>
            <color indexed="81"/>
            <rFont val="Tahoma"/>
            <family val="2"/>
          </rPr>
          <t>Invalid value</t>
        </r>
      </text>
    </comment>
    <comment ref="I62" authorId="0">
      <text>
        <r>
          <rPr>
            <sz val="9"/>
            <color indexed="81"/>
            <rFont val="Tahoma"/>
            <family val="2"/>
          </rPr>
          <t>Invalid value</t>
        </r>
      </text>
    </comment>
    <comment ref="J62" authorId="0">
      <text>
        <r>
          <rPr>
            <sz val="9"/>
            <color indexed="81"/>
            <rFont val="Tahoma"/>
            <family val="2"/>
          </rPr>
          <t>Invalid value</t>
        </r>
      </text>
    </comment>
    <comment ref="K62" authorId="0">
      <text>
        <r>
          <rPr>
            <sz val="9"/>
            <color indexed="81"/>
            <rFont val="Tahoma"/>
            <family val="2"/>
          </rPr>
          <t>Invalid value</t>
        </r>
      </text>
    </comment>
    <comment ref="H63" authorId="0">
      <text>
        <r>
          <rPr>
            <sz val="9"/>
            <color indexed="81"/>
            <rFont val="Tahoma"/>
            <family val="2"/>
          </rPr>
          <t>Invalid value</t>
        </r>
      </text>
    </comment>
    <comment ref="I63" authorId="0">
      <text>
        <r>
          <rPr>
            <sz val="9"/>
            <color indexed="81"/>
            <rFont val="Tahoma"/>
            <family val="2"/>
          </rPr>
          <t>Invalid value</t>
        </r>
      </text>
    </comment>
    <comment ref="J63" authorId="0">
      <text>
        <r>
          <rPr>
            <sz val="9"/>
            <color indexed="81"/>
            <rFont val="Tahoma"/>
            <family val="2"/>
          </rPr>
          <t>Invalid value</t>
        </r>
      </text>
    </comment>
    <comment ref="K63" authorId="0">
      <text>
        <r>
          <rPr>
            <sz val="9"/>
            <color indexed="81"/>
            <rFont val="Tahoma"/>
            <family val="2"/>
          </rPr>
          <t>Invalid value</t>
        </r>
      </text>
    </comment>
    <comment ref="H64" authorId="0">
      <text>
        <r>
          <rPr>
            <sz val="9"/>
            <color indexed="81"/>
            <rFont val="Tahoma"/>
            <family val="2"/>
          </rPr>
          <t>Invalid value</t>
        </r>
      </text>
    </comment>
    <comment ref="I64" authorId="0">
      <text>
        <r>
          <rPr>
            <sz val="9"/>
            <color indexed="81"/>
            <rFont val="Tahoma"/>
            <family val="2"/>
          </rPr>
          <t>Invalid value</t>
        </r>
      </text>
    </comment>
    <comment ref="J64" authorId="0">
      <text>
        <r>
          <rPr>
            <sz val="9"/>
            <color indexed="81"/>
            <rFont val="Tahoma"/>
            <family val="2"/>
          </rPr>
          <t>Invalid value</t>
        </r>
      </text>
    </comment>
    <comment ref="K64" authorId="0">
      <text>
        <r>
          <rPr>
            <sz val="9"/>
            <color indexed="81"/>
            <rFont val="Tahoma"/>
            <family val="2"/>
          </rPr>
          <t>Invalid value</t>
        </r>
      </text>
    </comment>
    <comment ref="H65" authorId="0">
      <text>
        <r>
          <rPr>
            <sz val="9"/>
            <color indexed="81"/>
            <rFont val="Tahoma"/>
            <family val="2"/>
          </rPr>
          <t>Invalid value</t>
        </r>
      </text>
    </comment>
    <comment ref="I65" authorId="0">
      <text>
        <r>
          <rPr>
            <sz val="9"/>
            <color indexed="81"/>
            <rFont val="Tahoma"/>
            <family val="2"/>
          </rPr>
          <t>Invalid value</t>
        </r>
      </text>
    </comment>
    <comment ref="J65" authorId="0">
      <text>
        <r>
          <rPr>
            <sz val="9"/>
            <color indexed="81"/>
            <rFont val="Tahoma"/>
            <family val="2"/>
          </rPr>
          <t>Invalid value</t>
        </r>
      </text>
    </comment>
    <comment ref="K65" authorId="0">
      <text>
        <r>
          <rPr>
            <sz val="9"/>
            <color indexed="81"/>
            <rFont val="Tahoma"/>
            <family val="2"/>
          </rPr>
          <t>Invalid value</t>
        </r>
      </text>
    </comment>
    <comment ref="H66" authorId="0">
      <text>
        <r>
          <rPr>
            <sz val="9"/>
            <color indexed="81"/>
            <rFont val="Tahoma"/>
            <family val="2"/>
          </rPr>
          <t>Invalid value</t>
        </r>
      </text>
    </comment>
    <comment ref="I66" authorId="0">
      <text>
        <r>
          <rPr>
            <sz val="9"/>
            <color indexed="81"/>
            <rFont val="Tahoma"/>
            <family val="2"/>
          </rPr>
          <t>Invalid value</t>
        </r>
      </text>
    </comment>
    <comment ref="J66" authorId="0">
      <text>
        <r>
          <rPr>
            <sz val="9"/>
            <color indexed="81"/>
            <rFont val="Tahoma"/>
            <family val="2"/>
          </rPr>
          <t>Invalid value</t>
        </r>
      </text>
    </comment>
    <comment ref="K66" authorId="0">
      <text>
        <r>
          <rPr>
            <sz val="9"/>
            <color indexed="81"/>
            <rFont val="Tahoma"/>
            <family val="2"/>
          </rPr>
          <t>Invalid value</t>
        </r>
      </text>
    </comment>
    <comment ref="H67" authorId="0">
      <text>
        <r>
          <rPr>
            <sz val="9"/>
            <color indexed="81"/>
            <rFont val="Tahoma"/>
            <family val="2"/>
          </rPr>
          <t>Invalid value</t>
        </r>
      </text>
    </comment>
    <comment ref="I67" authorId="0">
      <text>
        <r>
          <rPr>
            <sz val="9"/>
            <color indexed="81"/>
            <rFont val="Tahoma"/>
            <family val="2"/>
          </rPr>
          <t>Invalid value</t>
        </r>
      </text>
    </comment>
    <comment ref="J67" authorId="0">
      <text>
        <r>
          <rPr>
            <sz val="9"/>
            <color indexed="81"/>
            <rFont val="Tahoma"/>
            <family val="2"/>
          </rPr>
          <t>Invalid value</t>
        </r>
      </text>
    </comment>
    <comment ref="K67" authorId="0">
      <text>
        <r>
          <rPr>
            <sz val="9"/>
            <color indexed="81"/>
            <rFont val="Tahoma"/>
            <family val="2"/>
          </rPr>
          <t>Invalid value</t>
        </r>
      </text>
    </comment>
    <comment ref="H68" authorId="0">
      <text>
        <r>
          <rPr>
            <sz val="9"/>
            <color indexed="81"/>
            <rFont val="Tahoma"/>
            <family val="2"/>
          </rPr>
          <t>Invalid value</t>
        </r>
      </text>
    </comment>
    <comment ref="I68" authorId="0">
      <text>
        <r>
          <rPr>
            <sz val="9"/>
            <color indexed="81"/>
            <rFont val="Tahoma"/>
            <family val="2"/>
          </rPr>
          <t>Invalid value</t>
        </r>
      </text>
    </comment>
    <comment ref="J68" authorId="0">
      <text>
        <r>
          <rPr>
            <sz val="9"/>
            <color indexed="81"/>
            <rFont val="Tahoma"/>
            <family val="2"/>
          </rPr>
          <t>Invalid value</t>
        </r>
      </text>
    </comment>
    <comment ref="K68" authorId="0">
      <text>
        <r>
          <rPr>
            <sz val="9"/>
            <color indexed="81"/>
            <rFont val="Tahoma"/>
            <family val="2"/>
          </rPr>
          <t>Invalid value</t>
        </r>
      </text>
    </comment>
    <comment ref="H69" authorId="0">
      <text>
        <r>
          <rPr>
            <sz val="9"/>
            <color indexed="81"/>
            <rFont val="Tahoma"/>
            <family val="2"/>
          </rPr>
          <t>Invalid value</t>
        </r>
      </text>
    </comment>
    <comment ref="I69" authorId="0">
      <text>
        <r>
          <rPr>
            <sz val="9"/>
            <color indexed="81"/>
            <rFont val="Tahoma"/>
            <family val="2"/>
          </rPr>
          <t>Invalid value</t>
        </r>
      </text>
    </comment>
    <comment ref="J69" authorId="0">
      <text>
        <r>
          <rPr>
            <sz val="9"/>
            <color indexed="81"/>
            <rFont val="Tahoma"/>
            <family val="2"/>
          </rPr>
          <t>Invalid value</t>
        </r>
      </text>
    </comment>
    <comment ref="K69" authorId="0">
      <text>
        <r>
          <rPr>
            <sz val="9"/>
            <color indexed="81"/>
            <rFont val="Tahoma"/>
            <family val="2"/>
          </rPr>
          <t>Invalid value</t>
        </r>
      </text>
    </comment>
    <comment ref="H70" authorId="0">
      <text>
        <r>
          <rPr>
            <sz val="9"/>
            <color indexed="81"/>
            <rFont val="Tahoma"/>
            <family val="2"/>
          </rPr>
          <t>Invalid value</t>
        </r>
      </text>
    </comment>
    <comment ref="I70" authorId="0">
      <text>
        <r>
          <rPr>
            <sz val="9"/>
            <color indexed="81"/>
            <rFont val="Tahoma"/>
            <family val="2"/>
          </rPr>
          <t>Invalid value</t>
        </r>
      </text>
    </comment>
    <comment ref="J70" authorId="0">
      <text>
        <r>
          <rPr>
            <sz val="9"/>
            <color indexed="81"/>
            <rFont val="Tahoma"/>
            <family val="2"/>
          </rPr>
          <t>Invalid value</t>
        </r>
      </text>
    </comment>
    <comment ref="K70" authorId="0">
      <text>
        <r>
          <rPr>
            <sz val="9"/>
            <color indexed="81"/>
            <rFont val="Tahoma"/>
            <family val="2"/>
          </rPr>
          <t>Invalid value</t>
        </r>
      </text>
    </comment>
    <comment ref="H71" authorId="0">
      <text>
        <r>
          <rPr>
            <sz val="9"/>
            <color indexed="81"/>
            <rFont val="Tahoma"/>
            <family val="2"/>
          </rPr>
          <t>Invalid value</t>
        </r>
      </text>
    </comment>
    <comment ref="I71" authorId="0">
      <text>
        <r>
          <rPr>
            <sz val="9"/>
            <color indexed="81"/>
            <rFont val="Tahoma"/>
            <family val="2"/>
          </rPr>
          <t>Invalid value</t>
        </r>
      </text>
    </comment>
    <comment ref="J71" authorId="0">
      <text>
        <r>
          <rPr>
            <sz val="9"/>
            <color indexed="81"/>
            <rFont val="Tahoma"/>
            <family val="2"/>
          </rPr>
          <t>Invalid value</t>
        </r>
      </text>
    </comment>
    <comment ref="K71" authorId="0">
      <text>
        <r>
          <rPr>
            <sz val="9"/>
            <color indexed="81"/>
            <rFont val="Tahoma"/>
            <family val="2"/>
          </rPr>
          <t>Invalid value</t>
        </r>
      </text>
    </comment>
    <comment ref="H72" authorId="0">
      <text>
        <r>
          <rPr>
            <sz val="9"/>
            <color indexed="81"/>
            <rFont val="Tahoma"/>
            <family val="2"/>
          </rPr>
          <t>Invalid value</t>
        </r>
      </text>
    </comment>
    <comment ref="I72" authorId="0">
      <text>
        <r>
          <rPr>
            <sz val="9"/>
            <color indexed="81"/>
            <rFont val="Tahoma"/>
            <family val="2"/>
          </rPr>
          <t>Invalid value</t>
        </r>
      </text>
    </comment>
    <comment ref="J72" authorId="0">
      <text>
        <r>
          <rPr>
            <sz val="9"/>
            <color indexed="81"/>
            <rFont val="Tahoma"/>
            <family val="2"/>
          </rPr>
          <t>Invalid value</t>
        </r>
      </text>
    </comment>
    <comment ref="K72" authorId="0">
      <text>
        <r>
          <rPr>
            <sz val="9"/>
            <color indexed="81"/>
            <rFont val="Tahoma"/>
            <family val="2"/>
          </rPr>
          <t>Invalid value</t>
        </r>
      </text>
    </comment>
    <comment ref="H73" authorId="0">
      <text>
        <r>
          <rPr>
            <sz val="9"/>
            <color indexed="81"/>
            <rFont val="Tahoma"/>
            <family val="2"/>
          </rPr>
          <t>Invalid value</t>
        </r>
      </text>
    </comment>
    <comment ref="I73" authorId="0">
      <text>
        <r>
          <rPr>
            <sz val="9"/>
            <color indexed="81"/>
            <rFont val="Tahoma"/>
            <family val="2"/>
          </rPr>
          <t>Invalid value</t>
        </r>
      </text>
    </comment>
    <comment ref="J73" authorId="0">
      <text>
        <r>
          <rPr>
            <sz val="9"/>
            <color indexed="81"/>
            <rFont val="Tahoma"/>
            <family val="2"/>
          </rPr>
          <t>Invalid value</t>
        </r>
      </text>
    </comment>
    <comment ref="K73" authorId="0">
      <text>
        <r>
          <rPr>
            <sz val="9"/>
            <color indexed="81"/>
            <rFont val="Tahoma"/>
            <family val="2"/>
          </rPr>
          <t>Invalid value</t>
        </r>
      </text>
    </comment>
    <comment ref="H74" authorId="0">
      <text>
        <r>
          <rPr>
            <sz val="9"/>
            <color indexed="81"/>
            <rFont val="Tahoma"/>
            <family val="2"/>
          </rPr>
          <t>Invalid value</t>
        </r>
      </text>
    </comment>
    <comment ref="I74" authorId="0">
      <text>
        <r>
          <rPr>
            <sz val="9"/>
            <color indexed="81"/>
            <rFont val="Tahoma"/>
            <family val="2"/>
          </rPr>
          <t>Invalid value</t>
        </r>
      </text>
    </comment>
    <comment ref="J74" authorId="0">
      <text>
        <r>
          <rPr>
            <sz val="9"/>
            <color indexed="81"/>
            <rFont val="Tahoma"/>
            <family val="2"/>
          </rPr>
          <t>Invalid value</t>
        </r>
      </text>
    </comment>
    <comment ref="K74" authorId="0">
      <text>
        <r>
          <rPr>
            <sz val="9"/>
            <color indexed="81"/>
            <rFont val="Tahoma"/>
            <family val="2"/>
          </rPr>
          <t>Invalid value</t>
        </r>
      </text>
    </comment>
    <comment ref="H75" authorId="0">
      <text>
        <r>
          <rPr>
            <sz val="9"/>
            <color indexed="81"/>
            <rFont val="Tahoma"/>
            <family val="2"/>
          </rPr>
          <t>Invalid value</t>
        </r>
      </text>
    </comment>
    <comment ref="I75" authorId="0">
      <text>
        <r>
          <rPr>
            <sz val="9"/>
            <color indexed="81"/>
            <rFont val="Tahoma"/>
            <family val="2"/>
          </rPr>
          <t>Invalid value</t>
        </r>
      </text>
    </comment>
    <comment ref="J75" authorId="0">
      <text>
        <r>
          <rPr>
            <sz val="9"/>
            <color indexed="81"/>
            <rFont val="Tahoma"/>
            <family val="2"/>
          </rPr>
          <t>Invalid value</t>
        </r>
      </text>
    </comment>
    <comment ref="K75" authorId="0">
      <text>
        <r>
          <rPr>
            <sz val="9"/>
            <color indexed="81"/>
            <rFont val="Tahoma"/>
            <family val="2"/>
          </rPr>
          <t>Invalid value</t>
        </r>
      </text>
    </comment>
    <comment ref="H76" authorId="0">
      <text>
        <r>
          <rPr>
            <sz val="9"/>
            <color indexed="81"/>
            <rFont val="Tahoma"/>
            <family val="2"/>
          </rPr>
          <t>Invalid value</t>
        </r>
      </text>
    </comment>
    <comment ref="I76" authorId="0">
      <text>
        <r>
          <rPr>
            <sz val="9"/>
            <color indexed="81"/>
            <rFont val="Tahoma"/>
            <family val="2"/>
          </rPr>
          <t>Invalid value</t>
        </r>
      </text>
    </comment>
    <comment ref="J76" authorId="0">
      <text>
        <r>
          <rPr>
            <sz val="9"/>
            <color indexed="81"/>
            <rFont val="Tahoma"/>
            <family val="2"/>
          </rPr>
          <t>Invalid value</t>
        </r>
      </text>
    </comment>
    <comment ref="K76" authorId="0">
      <text>
        <r>
          <rPr>
            <sz val="9"/>
            <color indexed="81"/>
            <rFont val="Tahoma"/>
            <family val="2"/>
          </rPr>
          <t>Invalid value</t>
        </r>
      </text>
    </comment>
    <comment ref="H77" authorId="0">
      <text>
        <r>
          <rPr>
            <sz val="9"/>
            <color indexed="81"/>
            <rFont val="Tahoma"/>
            <family val="2"/>
          </rPr>
          <t>Invalid value</t>
        </r>
      </text>
    </comment>
    <comment ref="I77" authorId="0">
      <text>
        <r>
          <rPr>
            <sz val="9"/>
            <color indexed="81"/>
            <rFont val="Tahoma"/>
            <family val="2"/>
          </rPr>
          <t>Invalid value</t>
        </r>
      </text>
    </comment>
    <comment ref="J77" authorId="0">
      <text>
        <r>
          <rPr>
            <sz val="9"/>
            <color indexed="81"/>
            <rFont val="Tahoma"/>
            <family val="2"/>
          </rPr>
          <t>Invalid value</t>
        </r>
      </text>
    </comment>
    <comment ref="K77" authorId="0">
      <text>
        <r>
          <rPr>
            <sz val="9"/>
            <color indexed="81"/>
            <rFont val="Tahoma"/>
            <family val="2"/>
          </rPr>
          <t>Invalid value</t>
        </r>
      </text>
    </comment>
    <comment ref="H78" authorId="0">
      <text>
        <r>
          <rPr>
            <sz val="9"/>
            <color indexed="81"/>
            <rFont val="Tahoma"/>
            <family val="2"/>
          </rPr>
          <t>Invalid value</t>
        </r>
      </text>
    </comment>
    <comment ref="I78" authorId="0">
      <text>
        <r>
          <rPr>
            <sz val="9"/>
            <color indexed="81"/>
            <rFont val="Tahoma"/>
            <family val="2"/>
          </rPr>
          <t>Invalid value</t>
        </r>
      </text>
    </comment>
    <comment ref="J78" authorId="0">
      <text>
        <r>
          <rPr>
            <sz val="9"/>
            <color indexed="81"/>
            <rFont val="Tahoma"/>
            <family val="2"/>
          </rPr>
          <t>Invalid value</t>
        </r>
      </text>
    </comment>
    <comment ref="K78" authorId="0">
      <text>
        <r>
          <rPr>
            <sz val="9"/>
            <color indexed="81"/>
            <rFont val="Tahoma"/>
            <family val="2"/>
          </rPr>
          <t>Invalid value</t>
        </r>
      </text>
    </comment>
    <comment ref="H79" authorId="0">
      <text>
        <r>
          <rPr>
            <sz val="9"/>
            <color indexed="81"/>
            <rFont val="Tahoma"/>
            <family val="2"/>
          </rPr>
          <t>Invalid value</t>
        </r>
      </text>
    </comment>
    <comment ref="I79" authorId="0">
      <text>
        <r>
          <rPr>
            <sz val="9"/>
            <color indexed="81"/>
            <rFont val="Tahoma"/>
            <family val="2"/>
          </rPr>
          <t>Invalid value</t>
        </r>
      </text>
    </comment>
    <comment ref="J79" authorId="0">
      <text>
        <r>
          <rPr>
            <sz val="9"/>
            <color indexed="81"/>
            <rFont val="Tahoma"/>
            <family val="2"/>
          </rPr>
          <t>Invalid value</t>
        </r>
      </text>
    </comment>
    <comment ref="K79" authorId="0">
      <text>
        <r>
          <rPr>
            <sz val="9"/>
            <color indexed="81"/>
            <rFont val="Tahoma"/>
            <family val="2"/>
          </rPr>
          <t>Invalid value</t>
        </r>
      </text>
    </comment>
    <comment ref="Q98" authorId="0">
      <text>
        <r>
          <rPr>
            <sz val="9"/>
            <color indexed="81"/>
            <rFont val="Tahoma"/>
            <family val="2"/>
          </rPr>
          <t>Invalid value</t>
        </r>
      </text>
    </comment>
    <comment ref="R98" authorId="0">
      <text>
        <r>
          <rPr>
            <sz val="9"/>
            <color indexed="81"/>
            <rFont val="Tahoma"/>
            <family val="2"/>
          </rPr>
          <t>Invalid value</t>
        </r>
      </text>
    </comment>
    <comment ref="S98" authorId="0">
      <text>
        <r>
          <rPr>
            <sz val="9"/>
            <color indexed="81"/>
            <rFont val="Tahoma"/>
            <family val="2"/>
          </rPr>
          <t>Invalid value</t>
        </r>
      </text>
    </comment>
    <comment ref="H103" authorId="0">
      <text>
        <r>
          <rPr>
            <sz val="9"/>
            <color indexed="81"/>
            <rFont val="Tahoma"/>
            <family val="2"/>
          </rPr>
          <t>Invalid value</t>
        </r>
      </text>
    </comment>
    <comment ref="I103" authorId="0">
      <text>
        <r>
          <rPr>
            <sz val="9"/>
            <color indexed="81"/>
            <rFont val="Tahoma"/>
            <family val="2"/>
          </rPr>
          <t>Invalid value</t>
        </r>
      </text>
    </comment>
    <comment ref="J103" authorId="0">
      <text>
        <r>
          <rPr>
            <sz val="9"/>
            <color indexed="81"/>
            <rFont val="Tahoma"/>
            <family val="2"/>
          </rPr>
          <t>Invalid value</t>
        </r>
      </text>
    </comment>
    <comment ref="K103" authorId="0">
      <text>
        <r>
          <rPr>
            <sz val="9"/>
            <color indexed="81"/>
            <rFont val="Tahoma"/>
            <family val="2"/>
          </rPr>
          <t>Invalid value</t>
        </r>
      </text>
    </comment>
    <comment ref="L103" authorId="0">
      <text>
        <r>
          <rPr>
            <sz val="9"/>
            <color indexed="81"/>
            <rFont val="Tahoma"/>
            <family val="2"/>
          </rPr>
          <t>Invalid value</t>
        </r>
      </text>
    </comment>
    <comment ref="M103" authorId="0">
      <text>
        <r>
          <rPr>
            <sz val="9"/>
            <color indexed="81"/>
            <rFont val="Tahoma"/>
            <family val="2"/>
          </rPr>
          <t>Invalid value</t>
        </r>
      </text>
    </comment>
    <comment ref="N103" authorId="0">
      <text>
        <r>
          <rPr>
            <sz val="9"/>
            <color indexed="81"/>
            <rFont val="Tahoma"/>
            <family val="2"/>
          </rPr>
          <t>Invalid value</t>
        </r>
      </text>
    </comment>
    <comment ref="O103" authorId="0">
      <text>
        <r>
          <rPr>
            <sz val="9"/>
            <color indexed="81"/>
            <rFont val="Tahoma"/>
            <family val="2"/>
          </rPr>
          <t>Invalid value</t>
        </r>
      </text>
    </comment>
    <comment ref="P103" authorId="0">
      <text>
        <r>
          <rPr>
            <sz val="9"/>
            <color indexed="81"/>
            <rFont val="Tahoma"/>
            <family val="2"/>
          </rPr>
          <t>Invalid value</t>
        </r>
      </text>
    </comment>
    <comment ref="Q103" authorId="0">
      <text>
        <r>
          <rPr>
            <sz val="9"/>
            <color indexed="81"/>
            <rFont val="Tahoma"/>
            <family val="2"/>
          </rPr>
          <t>Invalid value</t>
        </r>
      </text>
    </comment>
    <comment ref="R103" authorId="0">
      <text>
        <r>
          <rPr>
            <sz val="9"/>
            <color indexed="81"/>
            <rFont val="Tahoma"/>
            <family val="2"/>
          </rPr>
          <t>Invalid value</t>
        </r>
      </text>
    </comment>
    <comment ref="S103" authorId="0">
      <text>
        <r>
          <rPr>
            <sz val="9"/>
            <color indexed="81"/>
            <rFont val="Tahoma"/>
            <family val="2"/>
          </rPr>
          <t>Invalid value</t>
        </r>
      </text>
    </comment>
    <comment ref="T103" authorId="0">
      <text>
        <r>
          <rPr>
            <sz val="9"/>
            <color indexed="81"/>
            <rFont val="Tahoma"/>
            <family val="2"/>
          </rPr>
          <t>Invalid value</t>
        </r>
      </text>
    </comment>
    <comment ref="U103" authorId="0">
      <text>
        <r>
          <rPr>
            <sz val="9"/>
            <color indexed="81"/>
            <rFont val="Tahoma"/>
            <family val="2"/>
          </rPr>
          <t>Invalid value</t>
        </r>
      </text>
    </comment>
    <comment ref="V103" authorId="0">
      <text>
        <r>
          <rPr>
            <sz val="9"/>
            <color indexed="81"/>
            <rFont val="Tahoma"/>
            <family val="2"/>
          </rPr>
          <t>Invalid value</t>
        </r>
      </text>
    </comment>
    <comment ref="W103" authorId="0">
      <text>
        <r>
          <rPr>
            <sz val="9"/>
            <color indexed="81"/>
            <rFont val="Tahoma"/>
            <family val="2"/>
          </rPr>
          <t>Invalid value</t>
        </r>
      </text>
    </comment>
    <comment ref="X103" authorId="0">
      <text>
        <r>
          <rPr>
            <sz val="9"/>
            <color indexed="81"/>
            <rFont val="Tahoma"/>
            <family val="2"/>
          </rPr>
          <t>Invalid value</t>
        </r>
      </text>
    </comment>
    <comment ref="Y103" authorId="0">
      <text>
        <r>
          <rPr>
            <sz val="9"/>
            <color indexed="81"/>
            <rFont val="Tahoma"/>
            <family val="2"/>
          </rPr>
          <t>Invalid value</t>
        </r>
      </text>
    </comment>
    <comment ref="H104" authorId="0">
      <text>
        <r>
          <rPr>
            <sz val="9"/>
            <color indexed="81"/>
            <rFont val="Tahoma"/>
            <family val="2"/>
          </rPr>
          <t>Invalid value</t>
        </r>
      </text>
    </comment>
    <comment ref="I104" authorId="0">
      <text>
        <r>
          <rPr>
            <sz val="9"/>
            <color indexed="81"/>
            <rFont val="Tahoma"/>
            <family val="2"/>
          </rPr>
          <t>Invalid value</t>
        </r>
      </text>
    </comment>
    <comment ref="J104" authorId="0">
      <text>
        <r>
          <rPr>
            <sz val="9"/>
            <color indexed="81"/>
            <rFont val="Tahoma"/>
            <family val="2"/>
          </rPr>
          <t>Invalid value</t>
        </r>
      </text>
    </comment>
    <comment ref="K104" authorId="0">
      <text>
        <r>
          <rPr>
            <sz val="9"/>
            <color indexed="81"/>
            <rFont val="Tahoma"/>
            <family val="2"/>
          </rPr>
          <t>Invalid value</t>
        </r>
      </text>
    </comment>
    <comment ref="L104" authorId="0">
      <text>
        <r>
          <rPr>
            <sz val="9"/>
            <color indexed="81"/>
            <rFont val="Tahoma"/>
            <family val="2"/>
          </rPr>
          <t>Invalid value</t>
        </r>
      </text>
    </comment>
    <comment ref="M104" authorId="0">
      <text>
        <r>
          <rPr>
            <sz val="9"/>
            <color indexed="81"/>
            <rFont val="Tahoma"/>
            <family val="2"/>
          </rPr>
          <t>Invalid value</t>
        </r>
      </text>
    </comment>
    <comment ref="N104" authorId="0">
      <text>
        <r>
          <rPr>
            <sz val="9"/>
            <color indexed="81"/>
            <rFont val="Tahoma"/>
            <family val="2"/>
          </rPr>
          <t>Invalid value</t>
        </r>
      </text>
    </comment>
    <comment ref="O104" authorId="0">
      <text>
        <r>
          <rPr>
            <sz val="9"/>
            <color indexed="81"/>
            <rFont val="Tahoma"/>
            <family val="2"/>
          </rPr>
          <t>Invalid value</t>
        </r>
      </text>
    </comment>
    <comment ref="P104" authorId="0">
      <text>
        <r>
          <rPr>
            <sz val="9"/>
            <color indexed="81"/>
            <rFont val="Tahoma"/>
            <family val="2"/>
          </rPr>
          <t>Invalid value</t>
        </r>
      </text>
    </comment>
    <comment ref="Q104" authorId="0">
      <text>
        <r>
          <rPr>
            <sz val="9"/>
            <color indexed="81"/>
            <rFont val="Tahoma"/>
            <family val="2"/>
          </rPr>
          <t>Invalid value</t>
        </r>
      </text>
    </comment>
    <comment ref="R104" authorId="0">
      <text>
        <r>
          <rPr>
            <sz val="9"/>
            <color indexed="81"/>
            <rFont val="Tahoma"/>
            <family val="2"/>
          </rPr>
          <t>Invalid value</t>
        </r>
      </text>
    </comment>
    <comment ref="S104" authorId="0">
      <text>
        <r>
          <rPr>
            <sz val="9"/>
            <color indexed="81"/>
            <rFont val="Tahoma"/>
            <family val="2"/>
          </rPr>
          <t>Invalid value</t>
        </r>
      </text>
    </comment>
    <comment ref="T104" authorId="0">
      <text>
        <r>
          <rPr>
            <sz val="9"/>
            <color indexed="81"/>
            <rFont val="Tahoma"/>
            <family val="2"/>
          </rPr>
          <t>Invalid value</t>
        </r>
      </text>
    </comment>
    <comment ref="U104" authorId="0">
      <text>
        <r>
          <rPr>
            <sz val="9"/>
            <color indexed="81"/>
            <rFont val="Tahoma"/>
            <family val="2"/>
          </rPr>
          <t>Invalid value</t>
        </r>
      </text>
    </comment>
    <comment ref="V104" authorId="0">
      <text>
        <r>
          <rPr>
            <sz val="9"/>
            <color indexed="81"/>
            <rFont val="Tahoma"/>
            <family val="2"/>
          </rPr>
          <t>Invalid value</t>
        </r>
      </text>
    </comment>
    <comment ref="W104" authorId="0">
      <text>
        <r>
          <rPr>
            <sz val="9"/>
            <color indexed="81"/>
            <rFont val="Tahoma"/>
            <family val="2"/>
          </rPr>
          <t>Invalid value</t>
        </r>
      </text>
    </comment>
    <comment ref="X104" authorId="0">
      <text>
        <r>
          <rPr>
            <sz val="9"/>
            <color indexed="81"/>
            <rFont val="Tahoma"/>
            <family val="2"/>
          </rPr>
          <t>Invalid value</t>
        </r>
      </text>
    </comment>
    <comment ref="Y104" authorId="0">
      <text>
        <r>
          <rPr>
            <sz val="9"/>
            <color indexed="81"/>
            <rFont val="Tahoma"/>
            <family val="2"/>
          </rPr>
          <t>Invalid value</t>
        </r>
      </text>
    </comment>
    <comment ref="Q105" authorId="0">
      <text>
        <r>
          <rPr>
            <sz val="9"/>
            <color indexed="81"/>
            <rFont val="Tahoma"/>
            <family val="2"/>
          </rPr>
          <t>Invalid value</t>
        </r>
      </text>
    </comment>
    <comment ref="R105" authorId="0">
      <text>
        <r>
          <rPr>
            <sz val="9"/>
            <color indexed="81"/>
            <rFont val="Tahoma"/>
            <family val="2"/>
          </rPr>
          <t>Invalid value</t>
        </r>
      </text>
    </comment>
    <comment ref="S105" authorId="0">
      <text>
        <r>
          <rPr>
            <sz val="9"/>
            <color indexed="81"/>
            <rFont val="Tahoma"/>
            <family val="2"/>
          </rPr>
          <t>Invalid value</t>
        </r>
      </text>
    </comment>
    <comment ref="H106" authorId="0">
      <text>
        <r>
          <rPr>
            <sz val="9"/>
            <color indexed="81"/>
            <rFont val="Tahoma"/>
            <family val="2"/>
          </rPr>
          <t>Invalid value</t>
        </r>
      </text>
    </comment>
    <comment ref="I106" authorId="0">
      <text>
        <r>
          <rPr>
            <sz val="9"/>
            <color indexed="81"/>
            <rFont val="Tahoma"/>
            <family val="2"/>
          </rPr>
          <t>Invalid value</t>
        </r>
      </text>
    </comment>
    <comment ref="J106" authorId="0">
      <text>
        <r>
          <rPr>
            <sz val="9"/>
            <color indexed="81"/>
            <rFont val="Tahoma"/>
            <family val="2"/>
          </rPr>
          <t>Invalid value</t>
        </r>
      </text>
    </comment>
    <comment ref="K106" authorId="0">
      <text>
        <r>
          <rPr>
            <sz val="9"/>
            <color indexed="81"/>
            <rFont val="Tahoma"/>
            <family val="2"/>
          </rPr>
          <t>Invalid value</t>
        </r>
      </text>
    </comment>
    <comment ref="L106" authorId="0">
      <text>
        <r>
          <rPr>
            <sz val="9"/>
            <color indexed="81"/>
            <rFont val="Tahoma"/>
            <family val="2"/>
          </rPr>
          <t>Invalid value</t>
        </r>
      </text>
    </comment>
    <comment ref="M106" authorId="0">
      <text>
        <r>
          <rPr>
            <sz val="9"/>
            <color indexed="81"/>
            <rFont val="Tahoma"/>
            <family val="2"/>
          </rPr>
          <t>Invalid value</t>
        </r>
      </text>
    </comment>
    <comment ref="N106" authorId="0">
      <text>
        <r>
          <rPr>
            <sz val="9"/>
            <color indexed="81"/>
            <rFont val="Tahoma"/>
            <family val="2"/>
          </rPr>
          <t>Invalid value</t>
        </r>
      </text>
    </comment>
    <comment ref="O106" authorId="0">
      <text>
        <r>
          <rPr>
            <sz val="9"/>
            <color indexed="81"/>
            <rFont val="Tahoma"/>
            <family val="2"/>
          </rPr>
          <t>Invalid value</t>
        </r>
      </text>
    </comment>
    <comment ref="P106" authorId="0">
      <text>
        <r>
          <rPr>
            <sz val="9"/>
            <color indexed="81"/>
            <rFont val="Tahoma"/>
            <family val="2"/>
          </rPr>
          <t>Invalid value</t>
        </r>
      </text>
    </comment>
    <comment ref="Q106" authorId="0">
      <text>
        <r>
          <rPr>
            <sz val="9"/>
            <color indexed="81"/>
            <rFont val="Tahoma"/>
            <family val="2"/>
          </rPr>
          <t>Invalid value</t>
        </r>
      </text>
    </comment>
    <comment ref="R106" authorId="0">
      <text>
        <r>
          <rPr>
            <sz val="9"/>
            <color indexed="81"/>
            <rFont val="Tahoma"/>
            <family val="2"/>
          </rPr>
          <t>Invalid value</t>
        </r>
      </text>
    </comment>
    <comment ref="S106" authorId="0">
      <text>
        <r>
          <rPr>
            <sz val="9"/>
            <color indexed="81"/>
            <rFont val="Tahoma"/>
            <family val="2"/>
          </rPr>
          <t>Invalid value</t>
        </r>
      </text>
    </comment>
    <comment ref="H107" authorId="0">
      <text>
        <r>
          <rPr>
            <sz val="9"/>
            <color indexed="81"/>
            <rFont val="Tahoma"/>
            <family val="2"/>
          </rPr>
          <t>Invalid value</t>
        </r>
      </text>
    </comment>
    <comment ref="I107" authorId="0">
      <text>
        <r>
          <rPr>
            <sz val="9"/>
            <color indexed="81"/>
            <rFont val="Tahoma"/>
            <family val="2"/>
          </rPr>
          <t>Invalid value</t>
        </r>
      </text>
    </comment>
    <comment ref="J107" authorId="0">
      <text>
        <r>
          <rPr>
            <sz val="9"/>
            <color indexed="81"/>
            <rFont val="Tahoma"/>
            <family val="2"/>
          </rPr>
          <t>Invalid value</t>
        </r>
      </text>
    </comment>
    <comment ref="K107" authorId="0">
      <text>
        <r>
          <rPr>
            <sz val="9"/>
            <color indexed="81"/>
            <rFont val="Tahoma"/>
            <family val="2"/>
          </rPr>
          <t>Invalid value</t>
        </r>
      </text>
    </comment>
    <comment ref="L107" authorId="0">
      <text>
        <r>
          <rPr>
            <sz val="9"/>
            <color indexed="81"/>
            <rFont val="Tahoma"/>
            <family val="2"/>
          </rPr>
          <t>Invalid value</t>
        </r>
      </text>
    </comment>
    <comment ref="M107" authorId="0">
      <text>
        <r>
          <rPr>
            <sz val="9"/>
            <color indexed="81"/>
            <rFont val="Tahoma"/>
            <family val="2"/>
          </rPr>
          <t>Invalid value</t>
        </r>
      </text>
    </comment>
    <comment ref="N107" authorId="0">
      <text>
        <r>
          <rPr>
            <sz val="9"/>
            <color indexed="81"/>
            <rFont val="Tahoma"/>
            <family val="2"/>
          </rPr>
          <t>Invalid value</t>
        </r>
      </text>
    </comment>
    <comment ref="O107" authorId="0">
      <text>
        <r>
          <rPr>
            <sz val="9"/>
            <color indexed="81"/>
            <rFont val="Tahoma"/>
            <family val="2"/>
          </rPr>
          <t>Invalid value</t>
        </r>
      </text>
    </comment>
    <comment ref="P107" authorId="0">
      <text>
        <r>
          <rPr>
            <sz val="9"/>
            <color indexed="81"/>
            <rFont val="Tahoma"/>
            <family val="2"/>
          </rPr>
          <t>Invalid value</t>
        </r>
      </text>
    </comment>
    <comment ref="Q107" authorId="0">
      <text>
        <r>
          <rPr>
            <sz val="9"/>
            <color indexed="81"/>
            <rFont val="Tahoma"/>
            <family val="2"/>
          </rPr>
          <t>Invalid value</t>
        </r>
      </text>
    </comment>
    <comment ref="R107" authorId="0">
      <text>
        <r>
          <rPr>
            <sz val="9"/>
            <color indexed="81"/>
            <rFont val="Tahoma"/>
            <family val="2"/>
          </rPr>
          <t>Invalid value</t>
        </r>
      </text>
    </comment>
    <comment ref="S107" authorId="0">
      <text>
        <r>
          <rPr>
            <sz val="9"/>
            <color indexed="81"/>
            <rFont val="Tahoma"/>
            <family val="2"/>
          </rPr>
          <t>Invalid value</t>
        </r>
      </text>
    </comment>
    <comment ref="H112" authorId="0">
      <text>
        <r>
          <rPr>
            <sz val="9"/>
            <color indexed="81"/>
            <rFont val="Tahoma"/>
            <family val="2"/>
          </rPr>
          <t>Invalid value</t>
        </r>
      </text>
    </comment>
    <comment ref="I112" authorId="0">
      <text>
        <r>
          <rPr>
            <sz val="9"/>
            <color indexed="81"/>
            <rFont val="Tahoma"/>
            <family val="2"/>
          </rPr>
          <t>Invalid value</t>
        </r>
      </text>
    </comment>
    <comment ref="J112" authorId="0">
      <text>
        <r>
          <rPr>
            <sz val="9"/>
            <color indexed="81"/>
            <rFont val="Tahoma"/>
            <family val="2"/>
          </rPr>
          <t>Invalid value</t>
        </r>
      </text>
    </comment>
    <comment ref="H114" authorId="0">
      <text>
        <r>
          <rPr>
            <sz val="9"/>
            <color indexed="81"/>
            <rFont val="Tahoma"/>
            <family val="2"/>
          </rPr>
          <t>Invalid value</t>
        </r>
      </text>
    </comment>
    <comment ref="I114" authorId="0">
      <text>
        <r>
          <rPr>
            <sz val="9"/>
            <color indexed="81"/>
            <rFont val="Tahoma"/>
            <family val="2"/>
          </rPr>
          <t>Invalid value</t>
        </r>
      </text>
    </comment>
    <comment ref="J114" authorId="0">
      <text>
        <r>
          <rPr>
            <sz val="9"/>
            <color indexed="81"/>
            <rFont val="Tahoma"/>
            <family val="2"/>
          </rPr>
          <t>Invalid value</t>
        </r>
      </text>
    </comment>
    <comment ref="H115" authorId="0">
      <text>
        <r>
          <rPr>
            <sz val="9"/>
            <color indexed="81"/>
            <rFont val="Tahoma"/>
            <family val="2"/>
          </rPr>
          <t>Invalid value</t>
        </r>
      </text>
    </comment>
    <comment ref="I115" authorId="0">
      <text>
        <r>
          <rPr>
            <sz val="9"/>
            <color indexed="81"/>
            <rFont val="Tahoma"/>
            <family val="2"/>
          </rPr>
          <t>Invalid value</t>
        </r>
      </text>
    </comment>
    <comment ref="J115" authorId="0">
      <text>
        <r>
          <rPr>
            <sz val="9"/>
            <color indexed="81"/>
            <rFont val="Tahoma"/>
            <family val="2"/>
          </rPr>
          <t>Invalid value</t>
        </r>
      </text>
    </comment>
    <comment ref="H116" authorId="0">
      <text>
        <r>
          <rPr>
            <sz val="9"/>
            <color indexed="81"/>
            <rFont val="Tahoma"/>
            <family val="2"/>
          </rPr>
          <t>Invalid value</t>
        </r>
      </text>
    </comment>
    <comment ref="I116" authorId="0">
      <text>
        <r>
          <rPr>
            <sz val="9"/>
            <color indexed="81"/>
            <rFont val="Tahoma"/>
            <family val="2"/>
          </rPr>
          <t>Invalid value</t>
        </r>
      </text>
    </comment>
    <comment ref="J116" authorId="0">
      <text>
        <r>
          <rPr>
            <sz val="9"/>
            <color indexed="81"/>
            <rFont val="Tahoma"/>
            <family val="2"/>
          </rPr>
          <t>Invalid value</t>
        </r>
      </text>
    </comment>
    <comment ref="H117" authorId="0">
      <text>
        <r>
          <rPr>
            <sz val="9"/>
            <color indexed="81"/>
            <rFont val="Tahoma"/>
            <family val="2"/>
          </rPr>
          <t>Invalid value</t>
        </r>
      </text>
    </comment>
    <comment ref="I117" authorId="0">
      <text>
        <r>
          <rPr>
            <sz val="9"/>
            <color indexed="81"/>
            <rFont val="Tahoma"/>
            <family val="2"/>
          </rPr>
          <t>Invalid value</t>
        </r>
      </text>
    </comment>
    <comment ref="J117" authorId="0">
      <text>
        <r>
          <rPr>
            <sz val="9"/>
            <color indexed="81"/>
            <rFont val="Tahoma"/>
            <family val="2"/>
          </rPr>
          <t>Invalid value</t>
        </r>
      </text>
    </comment>
    <comment ref="K117" authorId="0">
      <text>
        <r>
          <rPr>
            <sz val="9"/>
            <color indexed="81"/>
            <rFont val="Tahoma"/>
            <family val="2"/>
          </rPr>
          <t>Invalid value</t>
        </r>
      </text>
    </comment>
    <comment ref="L117" authorId="0">
      <text>
        <r>
          <rPr>
            <sz val="9"/>
            <color indexed="81"/>
            <rFont val="Tahoma"/>
            <family val="2"/>
          </rPr>
          <t>Invalid value</t>
        </r>
      </text>
    </comment>
    <comment ref="M117" authorId="0">
      <text>
        <r>
          <rPr>
            <sz val="9"/>
            <color indexed="81"/>
            <rFont val="Tahoma"/>
            <family val="2"/>
          </rPr>
          <t>Invalid value</t>
        </r>
      </text>
    </comment>
    <comment ref="N117" authorId="0">
      <text>
        <r>
          <rPr>
            <sz val="9"/>
            <color indexed="81"/>
            <rFont val="Tahoma"/>
            <family val="2"/>
          </rPr>
          <t>Invalid value</t>
        </r>
      </text>
    </comment>
    <comment ref="O117" authorId="0">
      <text>
        <r>
          <rPr>
            <sz val="9"/>
            <color indexed="81"/>
            <rFont val="Tahoma"/>
            <family val="2"/>
          </rPr>
          <t>Invalid value</t>
        </r>
      </text>
    </comment>
    <comment ref="P117" authorId="0">
      <text>
        <r>
          <rPr>
            <sz val="9"/>
            <color indexed="81"/>
            <rFont val="Tahoma"/>
            <family val="2"/>
          </rPr>
          <t>Invalid value</t>
        </r>
      </text>
    </comment>
    <comment ref="Q117" authorId="0">
      <text>
        <r>
          <rPr>
            <sz val="9"/>
            <color indexed="81"/>
            <rFont val="Tahoma"/>
            <family val="2"/>
          </rPr>
          <t>Invalid value</t>
        </r>
      </text>
    </comment>
    <comment ref="R117" authorId="0">
      <text>
        <r>
          <rPr>
            <sz val="9"/>
            <color indexed="81"/>
            <rFont val="Tahoma"/>
            <family val="2"/>
          </rPr>
          <t>Invalid value</t>
        </r>
      </text>
    </comment>
    <comment ref="S117" authorId="0">
      <text>
        <r>
          <rPr>
            <sz val="9"/>
            <color indexed="81"/>
            <rFont val="Tahoma"/>
            <family val="2"/>
          </rPr>
          <t>Invalid value</t>
        </r>
      </text>
    </comment>
    <comment ref="T117" authorId="0">
      <text>
        <r>
          <rPr>
            <sz val="9"/>
            <color indexed="81"/>
            <rFont val="Tahoma"/>
            <family val="2"/>
          </rPr>
          <t>Invalid value</t>
        </r>
      </text>
    </comment>
    <comment ref="U117" authorId="0">
      <text>
        <r>
          <rPr>
            <sz val="9"/>
            <color indexed="81"/>
            <rFont val="Tahoma"/>
            <family val="2"/>
          </rPr>
          <t>Invalid value</t>
        </r>
      </text>
    </comment>
    <comment ref="V117" authorId="0">
      <text>
        <r>
          <rPr>
            <sz val="9"/>
            <color indexed="81"/>
            <rFont val="Tahoma"/>
            <family val="2"/>
          </rPr>
          <t>Invalid value</t>
        </r>
      </text>
    </comment>
    <comment ref="W117" authorId="0">
      <text>
        <r>
          <rPr>
            <sz val="9"/>
            <color indexed="81"/>
            <rFont val="Tahoma"/>
            <family val="2"/>
          </rPr>
          <t>Invalid value</t>
        </r>
      </text>
    </comment>
    <comment ref="X117" authorId="0">
      <text>
        <r>
          <rPr>
            <sz val="9"/>
            <color indexed="81"/>
            <rFont val="Tahoma"/>
            <family val="2"/>
          </rPr>
          <t>Invalid value</t>
        </r>
      </text>
    </comment>
    <comment ref="Y117" authorId="0">
      <text>
        <r>
          <rPr>
            <sz val="9"/>
            <color indexed="81"/>
            <rFont val="Tahoma"/>
            <family val="2"/>
          </rPr>
          <t>Invalid value</t>
        </r>
      </text>
    </comment>
    <comment ref="H118" authorId="0">
      <text>
        <r>
          <rPr>
            <sz val="9"/>
            <color indexed="81"/>
            <rFont val="Tahoma"/>
            <family val="2"/>
          </rPr>
          <t>Invalid value</t>
        </r>
      </text>
    </comment>
    <comment ref="I118" authorId="0">
      <text>
        <r>
          <rPr>
            <sz val="9"/>
            <color indexed="81"/>
            <rFont val="Tahoma"/>
            <family val="2"/>
          </rPr>
          <t>Invalid value</t>
        </r>
      </text>
    </comment>
    <comment ref="J118" authorId="0">
      <text>
        <r>
          <rPr>
            <sz val="9"/>
            <color indexed="81"/>
            <rFont val="Tahoma"/>
            <family val="2"/>
          </rPr>
          <t>Invalid value</t>
        </r>
      </text>
    </comment>
    <comment ref="K118" authorId="0">
      <text>
        <r>
          <rPr>
            <sz val="9"/>
            <color indexed="81"/>
            <rFont val="Tahoma"/>
            <family val="2"/>
          </rPr>
          <t>Invalid value</t>
        </r>
      </text>
    </comment>
    <comment ref="L118" authorId="0">
      <text>
        <r>
          <rPr>
            <sz val="9"/>
            <color indexed="81"/>
            <rFont val="Tahoma"/>
            <family val="2"/>
          </rPr>
          <t>Invalid value</t>
        </r>
      </text>
    </comment>
    <comment ref="M118" authorId="0">
      <text>
        <r>
          <rPr>
            <sz val="9"/>
            <color indexed="81"/>
            <rFont val="Tahoma"/>
            <family val="2"/>
          </rPr>
          <t>Invalid value</t>
        </r>
      </text>
    </comment>
    <comment ref="N118" authorId="0">
      <text>
        <r>
          <rPr>
            <sz val="9"/>
            <color indexed="81"/>
            <rFont val="Tahoma"/>
            <family val="2"/>
          </rPr>
          <t>Invalid value</t>
        </r>
      </text>
    </comment>
    <comment ref="O118" authorId="0">
      <text>
        <r>
          <rPr>
            <sz val="9"/>
            <color indexed="81"/>
            <rFont val="Tahoma"/>
            <family val="2"/>
          </rPr>
          <t>Invalid value</t>
        </r>
      </text>
    </comment>
    <comment ref="P118" authorId="0">
      <text>
        <r>
          <rPr>
            <sz val="9"/>
            <color indexed="81"/>
            <rFont val="Tahoma"/>
            <family val="2"/>
          </rPr>
          <t>Invalid value</t>
        </r>
      </text>
    </comment>
    <comment ref="Q118" authorId="0">
      <text>
        <r>
          <rPr>
            <sz val="9"/>
            <color indexed="81"/>
            <rFont val="Tahoma"/>
            <family val="2"/>
          </rPr>
          <t>Invalid value</t>
        </r>
      </text>
    </comment>
    <comment ref="R118" authorId="0">
      <text>
        <r>
          <rPr>
            <sz val="9"/>
            <color indexed="81"/>
            <rFont val="Tahoma"/>
            <family val="2"/>
          </rPr>
          <t>Invalid value</t>
        </r>
      </text>
    </comment>
    <comment ref="S118" authorId="0">
      <text>
        <r>
          <rPr>
            <sz val="9"/>
            <color indexed="81"/>
            <rFont val="Tahoma"/>
            <family val="2"/>
          </rPr>
          <t>Invalid value</t>
        </r>
      </text>
    </comment>
    <comment ref="T118" authorId="0">
      <text>
        <r>
          <rPr>
            <sz val="9"/>
            <color indexed="81"/>
            <rFont val="Tahoma"/>
            <family val="2"/>
          </rPr>
          <t>Invalid value</t>
        </r>
      </text>
    </comment>
    <comment ref="U118" authorId="0">
      <text>
        <r>
          <rPr>
            <sz val="9"/>
            <color indexed="81"/>
            <rFont val="Tahoma"/>
            <family val="2"/>
          </rPr>
          <t>Invalid value</t>
        </r>
      </text>
    </comment>
    <comment ref="V118" authorId="0">
      <text>
        <r>
          <rPr>
            <sz val="9"/>
            <color indexed="81"/>
            <rFont val="Tahoma"/>
            <family val="2"/>
          </rPr>
          <t>Invalid value</t>
        </r>
      </text>
    </comment>
    <comment ref="W118" authorId="0">
      <text>
        <r>
          <rPr>
            <sz val="9"/>
            <color indexed="81"/>
            <rFont val="Tahoma"/>
            <family val="2"/>
          </rPr>
          <t>Invalid value</t>
        </r>
      </text>
    </comment>
    <comment ref="X118" authorId="0">
      <text>
        <r>
          <rPr>
            <sz val="9"/>
            <color indexed="81"/>
            <rFont val="Tahoma"/>
            <family val="2"/>
          </rPr>
          <t>Invalid value</t>
        </r>
      </text>
    </comment>
    <comment ref="Y118" authorId="0">
      <text>
        <r>
          <rPr>
            <sz val="9"/>
            <color indexed="81"/>
            <rFont val="Tahoma"/>
            <family val="2"/>
          </rPr>
          <t>Invalid value</t>
        </r>
      </text>
    </comment>
    <comment ref="H119" authorId="0">
      <text>
        <r>
          <rPr>
            <sz val="9"/>
            <color indexed="81"/>
            <rFont val="Tahoma"/>
            <family val="2"/>
          </rPr>
          <t>Invalid value</t>
        </r>
      </text>
    </comment>
    <comment ref="I119" authorId="0">
      <text>
        <r>
          <rPr>
            <sz val="9"/>
            <color indexed="81"/>
            <rFont val="Tahoma"/>
            <family val="2"/>
          </rPr>
          <t>Invalid value</t>
        </r>
      </text>
    </comment>
    <comment ref="J119" authorId="0">
      <text>
        <r>
          <rPr>
            <sz val="9"/>
            <color indexed="81"/>
            <rFont val="Tahoma"/>
            <family val="2"/>
          </rPr>
          <t>Invalid value</t>
        </r>
      </text>
    </comment>
    <comment ref="K119" authorId="0">
      <text>
        <r>
          <rPr>
            <sz val="9"/>
            <color indexed="81"/>
            <rFont val="Tahoma"/>
            <family val="2"/>
          </rPr>
          <t>Invalid value</t>
        </r>
      </text>
    </comment>
    <comment ref="L119" authorId="0">
      <text>
        <r>
          <rPr>
            <sz val="9"/>
            <color indexed="81"/>
            <rFont val="Tahoma"/>
            <family val="2"/>
          </rPr>
          <t>Invalid value</t>
        </r>
      </text>
    </comment>
    <comment ref="M119" authorId="0">
      <text>
        <r>
          <rPr>
            <sz val="9"/>
            <color indexed="81"/>
            <rFont val="Tahoma"/>
            <family val="2"/>
          </rPr>
          <t>Invalid value</t>
        </r>
      </text>
    </comment>
    <comment ref="N119" authorId="0">
      <text>
        <r>
          <rPr>
            <sz val="9"/>
            <color indexed="81"/>
            <rFont val="Tahoma"/>
            <family val="2"/>
          </rPr>
          <t>Invalid value</t>
        </r>
      </text>
    </comment>
    <comment ref="O119" authorId="0">
      <text>
        <r>
          <rPr>
            <sz val="9"/>
            <color indexed="81"/>
            <rFont val="Tahoma"/>
            <family val="2"/>
          </rPr>
          <t>Invalid value</t>
        </r>
      </text>
    </comment>
    <comment ref="P119" authorId="0">
      <text>
        <r>
          <rPr>
            <sz val="9"/>
            <color indexed="81"/>
            <rFont val="Tahoma"/>
            <family val="2"/>
          </rPr>
          <t>Invalid value</t>
        </r>
      </text>
    </comment>
    <comment ref="Q119" authorId="0">
      <text>
        <r>
          <rPr>
            <sz val="9"/>
            <color indexed="81"/>
            <rFont val="Tahoma"/>
            <family val="2"/>
          </rPr>
          <t>Invalid value</t>
        </r>
      </text>
    </comment>
    <comment ref="R119" authorId="0">
      <text>
        <r>
          <rPr>
            <sz val="9"/>
            <color indexed="81"/>
            <rFont val="Tahoma"/>
            <family val="2"/>
          </rPr>
          <t>Invalid value</t>
        </r>
      </text>
    </comment>
    <comment ref="S119" authorId="0">
      <text>
        <r>
          <rPr>
            <sz val="9"/>
            <color indexed="81"/>
            <rFont val="Tahoma"/>
            <family val="2"/>
          </rPr>
          <t>Invalid value</t>
        </r>
      </text>
    </comment>
    <comment ref="T119" authorId="0">
      <text>
        <r>
          <rPr>
            <sz val="9"/>
            <color indexed="81"/>
            <rFont val="Tahoma"/>
            <family val="2"/>
          </rPr>
          <t>Invalid value</t>
        </r>
      </text>
    </comment>
    <comment ref="U119" authorId="0">
      <text>
        <r>
          <rPr>
            <sz val="9"/>
            <color indexed="81"/>
            <rFont val="Tahoma"/>
            <family val="2"/>
          </rPr>
          <t>Invalid value</t>
        </r>
      </text>
    </comment>
    <comment ref="V119" authorId="0">
      <text>
        <r>
          <rPr>
            <sz val="9"/>
            <color indexed="81"/>
            <rFont val="Tahoma"/>
            <family val="2"/>
          </rPr>
          <t>Invalid value</t>
        </r>
      </text>
    </comment>
    <comment ref="W119" authorId="0">
      <text>
        <r>
          <rPr>
            <sz val="9"/>
            <color indexed="81"/>
            <rFont val="Tahoma"/>
            <family val="2"/>
          </rPr>
          <t>Invalid value</t>
        </r>
      </text>
    </comment>
    <comment ref="X119" authorId="0">
      <text>
        <r>
          <rPr>
            <sz val="9"/>
            <color indexed="81"/>
            <rFont val="Tahoma"/>
            <family val="2"/>
          </rPr>
          <t>Invalid value</t>
        </r>
      </text>
    </comment>
    <comment ref="Y119" authorId="0">
      <text>
        <r>
          <rPr>
            <sz val="9"/>
            <color indexed="81"/>
            <rFont val="Tahoma"/>
            <family val="2"/>
          </rPr>
          <t>Invalid value</t>
        </r>
      </text>
    </comment>
    <comment ref="H120" authorId="0">
      <text>
        <r>
          <rPr>
            <sz val="9"/>
            <color indexed="81"/>
            <rFont val="Tahoma"/>
            <family val="2"/>
          </rPr>
          <t>Invalid value</t>
        </r>
      </text>
    </comment>
    <comment ref="I120" authorId="0">
      <text>
        <r>
          <rPr>
            <sz val="9"/>
            <color indexed="81"/>
            <rFont val="Tahoma"/>
            <family val="2"/>
          </rPr>
          <t>Invalid value</t>
        </r>
      </text>
    </comment>
    <comment ref="J120" authorId="0">
      <text>
        <r>
          <rPr>
            <sz val="9"/>
            <color indexed="81"/>
            <rFont val="Tahoma"/>
            <family val="2"/>
          </rPr>
          <t>Invalid value</t>
        </r>
      </text>
    </comment>
    <comment ref="K120" authorId="0">
      <text>
        <r>
          <rPr>
            <sz val="9"/>
            <color indexed="81"/>
            <rFont val="Tahoma"/>
            <family val="2"/>
          </rPr>
          <t>Invalid value</t>
        </r>
      </text>
    </comment>
    <comment ref="L120" authorId="0">
      <text>
        <r>
          <rPr>
            <sz val="9"/>
            <color indexed="81"/>
            <rFont val="Tahoma"/>
            <family val="2"/>
          </rPr>
          <t>Invalid value</t>
        </r>
      </text>
    </comment>
    <comment ref="M120" authorId="0">
      <text>
        <r>
          <rPr>
            <sz val="9"/>
            <color indexed="81"/>
            <rFont val="Tahoma"/>
            <family val="2"/>
          </rPr>
          <t>Invalid value</t>
        </r>
      </text>
    </comment>
    <comment ref="N120" authorId="0">
      <text>
        <r>
          <rPr>
            <sz val="9"/>
            <color indexed="81"/>
            <rFont val="Tahoma"/>
            <family val="2"/>
          </rPr>
          <t>Invalid value</t>
        </r>
      </text>
    </comment>
    <comment ref="O120" authorId="0">
      <text>
        <r>
          <rPr>
            <sz val="9"/>
            <color indexed="81"/>
            <rFont val="Tahoma"/>
            <family val="2"/>
          </rPr>
          <t>Invalid value</t>
        </r>
      </text>
    </comment>
    <comment ref="P120" authorId="0">
      <text>
        <r>
          <rPr>
            <sz val="9"/>
            <color indexed="81"/>
            <rFont val="Tahoma"/>
            <family val="2"/>
          </rPr>
          <t>Invalid value</t>
        </r>
      </text>
    </comment>
    <comment ref="Q120" authorId="0">
      <text>
        <r>
          <rPr>
            <sz val="9"/>
            <color indexed="81"/>
            <rFont val="Tahoma"/>
            <family val="2"/>
          </rPr>
          <t>Invalid value</t>
        </r>
      </text>
    </comment>
    <comment ref="R120" authorId="0">
      <text>
        <r>
          <rPr>
            <sz val="9"/>
            <color indexed="81"/>
            <rFont val="Tahoma"/>
            <family val="2"/>
          </rPr>
          <t>Invalid value</t>
        </r>
      </text>
    </comment>
    <comment ref="S120" authorId="0">
      <text>
        <r>
          <rPr>
            <sz val="9"/>
            <color indexed="81"/>
            <rFont val="Tahoma"/>
            <family val="2"/>
          </rPr>
          <t>Invalid value</t>
        </r>
      </text>
    </comment>
    <comment ref="T120" authorId="0">
      <text>
        <r>
          <rPr>
            <sz val="9"/>
            <color indexed="81"/>
            <rFont val="Tahoma"/>
            <family val="2"/>
          </rPr>
          <t>Invalid value</t>
        </r>
      </text>
    </comment>
    <comment ref="U120" authorId="0">
      <text>
        <r>
          <rPr>
            <sz val="9"/>
            <color indexed="81"/>
            <rFont val="Tahoma"/>
            <family val="2"/>
          </rPr>
          <t>Invalid value</t>
        </r>
      </text>
    </comment>
    <comment ref="V120" authorId="0">
      <text>
        <r>
          <rPr>
            <sz val="9"/>
            <color indexed="81"/>
            <rFont val="Tahoma"/>
            <family val="2"/>
          </rPr>
          <t>Invalid value</t>
        </r>
      </text>
    </comment>
    <comment ref="W120" authorId="0">
      <text>
        <r>
          <rPr>
            <sz val="9"/>
            <color indexed="81"/>
            <rFont val="Tahoma"/>
            <family val="2"/>
          </rPr>
          <t>Invalid value</t>
        </r>
      </text>
    </comment>
    <comment ref="X120" authorId="0">
      <text>
        <r>
          <rPr>
            <sz val="9"/>
            <color indexed="81"/>
            <rFont val="Tahoma"/>
            <family val="2"/>
          </rPr>
          <t>Invalid value</t>
        </r>
      </text>
    </comment>
    <comment ref="Y120" authorId="0">
      <text>
        <r>
          <rPr>
            <sz val="9"/>
            <color indexed="81"/>
            <rFont val="Tahoma"/>
            <family val="2"/>
          </rPr>
          <t>Invalid value</t>
        </r>
      </text>
    </comment>
    <comment ref="H121" authorId="0">
      <text>
        <r>
          <rPr>
            <sz val="9"/>
            <color indexed="81"/>
            <rFont val="Tahoma"/>
            <family val="2"/>
          </rPr>
          <t>Invalid value</t>
        </r>
      </text>
    </comment>
    <comment ref="I121" authorId="0">
      <text>
        <r>
          <rPr>
            <sz val="9"/>
            <color indexed="81"/>
            <rFont val="Tahoma"/>
            <family val="2"/>
          </rPr>
          <t>Invalid value</t>
        </r>
      </text>
    </comment>
    <comment ref="Q121" authorId="0">
      <text>
        <r>
          <rPr>
            <sz val="9"/>
            <color indexed="81"/>
            <rFont val="Tahoma"/>
            <family val="2"/>
          </rPr>
          <t>Invalid value</t>
        </r>
      </text>
    </comment>
    <comment ref="R121" authorId="0">
      <text>
        <r>
          <rPr>
            <sz val="9"/>
            <color indexed="81"/>
            <rFont val="Tahoma"/>
            <family val="2"/>
          </rPr>
          <t>Invalid value</t>
        </r>
      </text>
    </comment>
    <comment ref="S121" authorId="0">
      <text>
        <r>
          <rPr>
            <sz val="9"/>
            <color indexed="81"/>
            <rFont val="Tahoma"/>
            <family val="2"/>
          </rPr>
          <t>Invalid value</t>
        </r>
      </text>
    </comment>
    <comment ref="T121" authorId="0">
      <text>
        <r>
          <rPr>
            <sz val="9"/>
            <color indexed="81"/>
            <rFont val="Tahoma"/>
            <family val="2"/>
          </rPr>
          <t>Invalid value</t>
        </r>
      </text>
    </comment>
    <comment ref="U121" authorId="0">
      <text>
        <r>
          <rPr>
            <sz val="9"/>
            <color indexed="81"/>
            <rFont val="Tahoma"/>
            <family val="2"/>
          </rPr>
          <t>Invalid value</t>
        </r>
      </text>
    </comment>
    <comment ref="W121" authorId="0">
      <text>
        <r>
          <rPr>
            <sz val="9"/>
            <color indexed="81"/>
            <rFont val="Tahoma"/>
            <family val="2"/>
          </rPr>
          <t>Invalid value</t>
        </r>
      </text>
    </comment>
    <comment ref="X121" authorId="0">
      <text>
        <r>
          <rPr>
            <sz val="9"/>
            <color indexed="81"/>
            <rFont val="Tahoma"/>
            <family val="2"/>
          </rPr>
          <t>Invalid value</t>
        </r>
      </text>
    </comment>
    <comment ref="Y121" authorId="0">
      <text>
        <r>
          <rPr>
            <sz val="9"/>
            <color indexed="81"/>
            <rFont val="Tahoma"/>
            <family val="2"/>
          </rPr>
          <t>Invalid value</t>
        </r>
      </text>
    </comment>
    <comment ref="Z121" authorId="0">
      <text>
        <r>
          <rPr>
            <sz val="9"/>
            <color indexed="81"/>
            <rFont val="Tahoma"/>
            <family val="2"/>
          </rPr>
          <t>Invalid value</t>
        </r>
      </text>
    </comment>
    <comment ref="AA121" authorId="0">
      <text>
        <r>
          <rPr>
            <sz val="9"/>
            <color indexed="81"/>
            <rFont val="Tahoma"/>
            <family val="2"/>
          </rPr>
          <t>Invalid value</t>
        </r>
      </text>
    </comment>
    <comment ref="AB121" authorId="0">
      <text>
        <r>
          <rPr>
            <sz val="9"/>
            <color indexed="81"/>
            <rFont val="Tahoma"/>
            <family val="2"/>
          </rPr>
          <t>Invalid value</t>
        </r>
      </text>
    </comment>
    <comment ref="AC121" authorId="0">
      <text>
        <r>
          <rPr>
            <sz val="9"/>
            <color indexed="81"/>
            <rFont val="Tahoma"/>
            <family val="2"/>
          </rPr>
          <t>Invalid value</t>
        </r>
      </text>
    </comment>
    <comment ref="AD121" authorId="0">
      <text>
        <r>
          <rPr>
            <sz val="9"/>
            <color indexed="81"/>
            <rFont val="Tahoma"/>
            <family val="2"/>
          </rPr>
          <t>Invalid value</t>
        </r>
      </text>
    </comment>
    <comment ref="AE121" authorId="0">
      <text>
        <r>
          <rPr>
            <sz val="9"/>
            <color indexed="81"/>
            <rFont val="Tahoma"/>
            <family val="2"/>
          </rPr>
          <t>Invalid value</t>
        </r>
      </text>
    </comment>
    <comment ref="H122" authorId="0">
      <text>
        <r>
          <rPr>
            <sz val="9"/>
            <color indexed="81"/>
            <rFont val="Tahoma"/>
            <family val="2"/>
          </rPr>
          <t>Invalid value</t>
        </r>
      </text>
    </comment>
    <comment ref="I122" authorId="0">
      <text>
        <r>
          <rPr>
            <sz val="9"/>
            <color indexed="81"/>
            <rFont val="Tahoma"/>
            <family val="2"/>
          </rPr>
          <t>Invalid value</t>
        </r>
      </text>
    </comment>
    <comment ref="W122" authorId="0">
      <text>
        <r>
          <rPr>
            <sz val="9"/>
            <color indexed="81"/>
            <rFont val="Tahoma"/>
            <family val="2"/>
          </rPr>
          <t>Invalid value</t>
        </r>
      </text>
    </comment>
    <comment ref="X122" authorId="0">
      <text>
        <r>
          <rPr>
            <sz val="9"/>
            <color indexed="81"/>
            <rFont val="Tahoma"/>
            <family val="2"/>
          </rPr>
          <t>Invalid value</t>
        </r>
      </text>
    </comment>
    <comment ref="Y122" authorId="0">
      <text>
        <r>
          <rPr>
            <sz val="9"/>
            <color indexed="81"/>
            <rFont val="Tahoma"/>
            <family val="2"/>
          </rPr>
          <t>Invalid value</t>
        </r>
      </text>
    </comment>
    <comment ref="Z122" authorId="0">
      <text>
        <r>
          <rPr>
            <sz val="9"/>
            <color indexed="81"/>
            <rFont val="Tahoma"/>
            <family val="2"/>
          </rPr>
          <t>Invalid value</t>
        </r>
      </text>
    </comment>
    <comment ref="AA122" authorId="0">
      <text>
        <r>
          <rPr>
            <sz val="9"/>
            <color indexed="81"/>
            <rFont val="Tahoma"/>
            <family val="2"/>
          </rPr>
          <t>Invalid value</t>
        </r>
      </text>
    </comment>
    <comment ref="AB122" authorId="0">
      <text>
        <r>
          <rPr>
            <sz val="9"/>
            <color indexed="81"/>
            <rFont val="Tahoma"/>
            <family val="2"/>
          </rPr>
          <t>Invalid value</t>
        </r>
      </text>
    </comment>
    <comment ref="AC122" authorId="0">
      <text>
        <r>
          <rPr>
            <sz val="9"/>
            <color indexed="81"/>
            <rFont val="Tahoma"/>
            <family val="2"/>
          </rPr>
          <t>Invalid value</t>
        </r>
      </text>
    </comment>
    <comment ref="AD122" authorId="0">
      <text>
        <r>
          <rPr>
            <sz val="9"/>
            <color indexed="81"/>
            <rFont val="Tahoma"/>
            <family val="2"/>
          </rPr>
          <t>Invalid value</t>
        </r>
      </text>
    </comment>
    <comment ref="AE122" authorId="0">
      <text>
        <r>
          <rPr>
            <sz val="9"/>
            <color indexed="81"/>
            <rFont val="Tahoma"/>
            <family val="2"/>
          </rPr>
          <t>Invalid value</t>
        </r>
      </text>
    </comment>
    <comment ref="H123" authorId="0">
      <text>
        <r>
          <rPr>
            <sz val="9"/>
            <color indexed="81"/>
            <rFont val="Tahoma"/>
            <family val="2"/>
          </rPr>
          <t>Invalid value</t>
        </r>
      </text>
    </comment>
    <comment ref="I123" authorId="0">
      <text>
        <r>
          <rPr>
            <sz val="9"/>
            <color indexed="81"/>
            <rFont val="Tahoma"/>
            <family val="2"/>
          </rPr>
          <t>Invalid value</t>
        </r>
      </text>
    </comment>
    <comment ref="W123" authorId="0">
      <text>
        <r>
          <rPr>
            <sz val="9"/>
            <color indexed="81"/>
            <rFont val="Tahoma"/>
            <family val="2"/>
          </rPr>
          <t>Invalid value</t>
        </r>
      </text>
    </comment>
    <comment ref="X123" authorId="0">
      <text>
        <r>
          <rPr>
            <sz val="9"/>
            <color indexed="81"/>
            <rFont val="Tahoma"/>
            <family val="2"/>
          </rPr>
          <t>Invalid value</t>
        </r>
      </text>
    </comment>
    <comment ref="Y123" authorId="0">
      <text>
        <r>
          <rPr>
            <sz val="9"/>
            <color indexed="81"/>
            <rFont val="Tahoma"/>
            <family val="2"/>
          </rPr>
          <t>Invalid value</t>
        </r>
      </text>
    </comment>
    <comment ref="Z123" authorId="0">
      <text>
        <r>
          <rPr>
            <sz val="9"/>
            <color indexed="81"/>
            <rFont val="Tahoma"/>
            <family val="2"/>
          </rPr>
          <t>Invalid value</t>
        </r>
      </text>
    </comment>
    <comment ref="AA123" authorId="0">
      <text>
        <r>
          <rPr>
            <sz val="9"/>
            <color indexed="81"/>
            <rFont val="Tahoma"/>
            <family val="2"/>
          </rPr>
          <t>Invalid value</t>
        </r>
      </text>
    </comment>
    <comment ref="AB123" authorId="0">
      <text>
        <r>
          <rPr>
            <sz val="9"/>
            <color indexed="81"/>
            <rFont val="Tahoma"/>
            <family val="2"/>
          </rPr>
          <t>Invalid value</t>
        </r>
      </text>
    </comment>
    <comment ref="AC123" authorId="0">
      <text>
        <r>
          <rPr>
            <sz val="9"/>
            <color indexed="81"/>
            <rFont val="Tahoma"/>
            <family val="2"/>
          </rPr>
          <t>Invalid value</t>
        </r>
      </text>
    </comment>
    <comment ref="AD123" authorId="0">
      <text>
        <r>
          <rPr>
            <sz val="9"/>
            <color indexed="81"/>
            <rFont val="Tahoma"/>
            <family val="2"/>
          </rPr>
          <t>Invalid value</t>
        </r>
      </text>
    </comment>
    <comment ref="AE123" authorId="0">
      <text>
        <r>
          <rPr>
            <sz val="9"/>
            <color indexed="81"/>
            <rFont val="Tahoma"/>
            <family val="2"/>
          </rPr>
          <t>Invalid value</t>
        </r>
      </text>
    </comment>
    <comment ref="H135" authorId="0">
      <text>
        <r>
          <rPr>
            <sz val="9"/>
            <color indexed="81"/>
            <rFont val="Tahoma"/>
            <family val="2"/>
          </rPr>
          <t>Invalid value</t>
        </r>
      </text>
    </comment>
    <comment ref="I135" authorId="0">
      <text>
        <r>
          <rPr>
            <sz val="9"/>
            <color indexed="81"/>
            <rFont val="Tahoma"/>
            <family val="2"/>
          </rPr>
          <t>Invalid value</t>
        </r>
      </text>
    </comment>
    <comment ref="J135" authorId="0">
      <text>
        <r>
          <rPr>
            <sz val="9"/>
            <color indexed="81"/>
            <rFont val="Tahoma"/>
            <family val="2"/>
          </rPr>
          <t>Invalid value</t>
        </r>
      </text>
    </comment>
    <comment ref="K135" authorId="0">
      <text>
        <r>
          <rPr>
            <sz val="9"/>
            <color indexed="81"/>
            <rFont val="Tahoma"/>
            <family val="2"/>
          </rPr>
          <t>Invalid value</t>
        </r>
      </text>
    </comment>
    <comment ref="L135" authorId="0">
      <text>
        <r>
          <rPr>
            <sz val="9"/>
            <color indexed="81"/>
            <rFont val="Tahoma"/>
            <family val="2"/>
          </rPr>
          <t>Invalid value</t>
        </r>
      </text>
    </comment>
    <comment ref="M135" authorId="0">
      <text>
        <r>
          <rPr>
            <sz val="9"/>
            <color indexed="81"/>
            <rFont val="Tahoma"/>
            <family val="2"/>
          </rPr>
          <t>Invalid value</t>
        </r>
      </text>
    </comment>
    <comment ref="N135" authorId="0">
      <text>
        <r>
          <rPr>
            <sz val="9"/>
            <color indexed="81"/>
            <rFont val="Tahoma"/>
            <family val="2"/>
          </rPr>
          <t>Invalid value</t>
        </r>
      </text>
    </comment>
    <comment ref="O135" authorId="0">
      <text>
        <r>
          <rPr>
            <sz val="9"/>
            <color indexed="81"/>
            <rFont val="Tahoma"/>
            <family val="2"/>
          </rPr>
          <t>Invalid value</t>
        </r>
      </text>
    </comment>
    <comment ref="H136" authorId="0">
      <text>
        <r>
          <rPr>
            <sz val="9"/>
            <color indexed="81"/>
            <rFont val="Tahoma"/>
            <family val="2"/>
          </rPr>
          <t>Invalid value</t>
        </r>
      </text>
    </comment>
    <comment ref="I136" authorId="0">
      <text>
        <r>
          <rPr>
            <sz val="9"/>
            <color indexed="81"/>
            <rFont val="Tahoma"/>
            <family val="2"/>
          </rPr>
          <t>Invalid value</t>
        </r>
      </text>
    </comment>
    <comment ref="J136" authorId="0">
      <text>
        <r>
          <rPr>
            <sz val="9"/>
            <color indexed="81"/>
            <rFont val="Tahoma"/>
            <family val="2"/>
          </rPr>
          <t>Invalid value</t>
        </r>
      </text>
    </comment>
    <comment ref="K136" authorId="0">
      <text>
        <r>
          <rPr>
            <sz val="9"/>
            <color indexed="81"/>
            <rFont val="Tahoma"/>
            <family val="2"/>
          </rPr>
          <t>Invalid value</t>
        </r>
      </text>
    </comment>
    <comment ref="L136" authorId="0">
      <text>
        <r>
          <rPr>
            <sz val="9"/>
            <color indexed="81"/>
            <rFont val="Tahoma"/>
            <family val="2"/>
          </rPr>
          <t>Invalid value</t>
        </r>
      </text>
    </comment>
    <comment ref="M136" authorId="0">
      <text>
        <r>
          <rPr>
            <sz val="9"/>
            <color indexed="81"/>
            <rFont val="Tahoma"/>
            <family val="2"/>
          </rPr>
          <t>Invalid value</t>
        </r>
      </text>
    </comment>
    <comment ref="N136" authorId="0">
      <text>
        <r>
          <rPr>
            <sz val="9"/>
            <color indexed="81"/>
            <rFont val="Tahoma"/>
            <family val="2"/>
          </rPr>
          <t>Invalid value</t>
        </r>
      </text>
    </comment>
    <comment ref="O136" authorId="0">
      <text>
        <r>
          <rPr>
            <sz val="9"/>
            <color indexed="81"/>
            <rFont val="Tahoma"/>
            <family val="2"/>
          </rPr>
          <t>Invalid value</t>
        </r>
      </text>
    </comment>
    <comment ref="H137" authorId="0">
      <text>
        <r>
          <rPr>
            <sz val="9"/>
            <color indexed="81"/>
            <rFont val="Tahoma"/>
            <family val="2"/>
          </rPr>
          <t>Invalid value</t>
        </r>
      </text>
    </comment>
    <comment ref="I137" authorId="0">
      <text>
        <r>
          <rPr>
            <sz val="9"/>
            <color indexed="81"/>
            <rFont val="Tahoma"/>
            <family val="2"/>
          </rPr>
          <t>Invalid value</t>
        </r>
      </text>
    </comment>
    <comment ref="J137" authorId="0">
      <text>
        <r>
          <rPr>
            <sz val="9"/>
            <color indexed="81"/>
            <rFont val="Tahoma"/>
            <family val="2"/>
          </rPr>
          <t>Invalid value</t>
        </r>
      </text>
    </comment>
    <comment ref="K137" authorId="0">
      <text>
        <r>
          <rPr>
            <sz val="9"/>
            <color indexed="81"/>
            <rFont val="Tahoma"/>
            <family val="2"/>
          </rPr>
          <t>Invalid value</t>
        </r>
      </text>
    </comment>
    <comment ref="L137" authorId="0">
      <text>
        <r>
          <rPr>
            <sz val="9"/>
            <color indexed="81"/>
            <rFont val="Tahoma"/>
            <family val="2"/>
          </rPr>
          <t>Invalid value</t>
        </r>
      </text>
    </comment>
    <comment ref="M137" authorId="0">
      <text>
        <r>
          <rPr>
            <sz val="9"/>
            <color indexed="81"/>
            <rFont val="Tahoma"/>
            <family val="2"/>
          </rPr>
          <t>Invalid value</t>
        </r>
      </text>
    </comment>
    <comment ref="N137" authorId="0">
      <text>
        <r>
          <rPr>
            <sz val="9"/>
            <color indexed="81"/>
            <rFont val="Tahoma"/>
            <family val="2"/>
          </rPr>
          <t>Invalid value</t>
        </r>
      </text>
    </comment>
    <comment ref="O137" authorId="0">
      <text>
        <r>
          <rPr>
            <sz val="9"/>
            <color indexed="81"/>
            <rFont val="Tahoma"/>
            <family val="2"/>
          </rPr>
          <t>Invalid value</t>
        </r>
      </text>
    </comment>
    <comment ref="H138" authorId="0">
      <text>
        <r>
          <rPr>
            <sz val="9"/>
            <color indexed="81"/>
            <rFont val="Tahoma"/>
            <family val="2"/>
          </rPr>
          <t>Invalid value</t>
        </r>
      </text>
    </comment>
    <comment ref="I138" authorId="0">
      <text>
        <r>
          <rPr>
            <sz val="9"/>
            <color indexed="81"/>
            <rFont val="Tahoma"/>
            <family val="2"/>
          </rPr>
          <t>Invalid value</t>
        </r>
      </text>
    </comment>
    <comment ref="J138" authorId="0">
      <text>
        <r>
          <rPr>
            <sz val="9"/>
            <color indexed="81"/>
            <rFont val="Tahoma"/>
            <family val="2"/>
          </rPr>
          <t>Invalid value</t>
        </r>
      </text>
    </comment>
    <comment ref="K138" authorId="0">
      <text>
        <r>
          <rPr>
            <sz val="9"/>
            <color indexed="81"/>
            <rFont val="Tahoma"/>
            <family val="2"/>
          </rPr>
          <t>Invalid value</t>
        </r>
      </text>
    </comment>
    <comment ref="L138" authorId="0">
      <text>
        <r>
          <rPr>
            <sz val="9"/>
            <color indexed="81"/>
            <rFont val="Tahoma"/>
            <family val="2"/>
          </rPr>
          <t>Invalid value</t>
        </r>
      </text>
    </comment>
    <comment ref="M138" authorId="0">
      <text>
        <r>
          <rPr>
            <sz val="9"/>
            <color indexed="81"/>
            <rFont val="Tahoma"/>
            <family val="2"/>
          </rPr>
          <t>Invalid value</t>
        </r>
      </text>
    </comment>
    <comment ref="N138" authorId="0">
      <text>
        <r>
          <rPr>
            <sz val="9"/>
            <color indexed="81"/>
            <rFont val="Tahoma"/>
            <family val="2"/>
          </rPr>
          <t>Invalid value</t>
        </r>
      </text>
    </comment>
    <comment ref="O138" authorId="0">
      <text>
        <r>
          <rPr>
            <sz val="9"/>
            <color indexed="81"/>
            <rFont val="Tahoma"/>
            <family val="2"/>
          </rPr>
          <t>Invalid value</t>
        </r>
      </text>
    </comment>
    <comment ref="H139" authorId="0">
      <text>
        <r>
          <rPr>
            <sz val="9"/>
            <color indexed="81"/>
            <rFont val="Tahoma"/>
            <family val="2"/>
          </rPr>
          <t>Invalid value</t>
        </r>
      </text>
    </comment>
    <comment ref="I139" authorId="0">
      <text>
        <r>
          <rPr>
            <sz val="9"/>
            <color indexed="81"/>
            <rFont val="Tahoma"/>
            <family val="2"/>
          </rPr>
          <t>Invalid value</t>
        </r>
      </text>
    </comment>
    <comment ref="J139" authorId="0">
      <text>
        <r>
          <rPr>
            <sz val="9"/>
            <color indexed="81"/>
            <rFont val="Tahoma"/>
            <family val="2"/>
          </rPr>
          <t>Invalid value</t>
        </r>
      </text>
    </comment>
    <comment ref="K139" authorId="0">
      <text>
        <r>
          <rPr>
            <sz val="9"/>
            <color indexed="81"/>
            <rFont val="Tahoma"/>
            <family val="2"/>
          </rPr>
          <t>Invalid value</t>
        </r>
      </text>
    </comment>
    <comment ref="L139" authorId="0">
      <text>
        <r>
          <rPr>
            <sz val="9"/>
            <color indexed="81"/>
            <rFont val="Tahoma"/>
            <family val="2"/>
          </rPr>
          <t>Invalid value</t>
        </r>
      </text>
    </comment>
    <comment ref="M139" authorId="0">
      <text>
        <r>
          <rPr>
            <sz val="9"/>
            <color indexed="81"/>
            <rFont val="Tahoma"/>
            <family val="2"/>
          </rPr>
          <t>Invalid value</t>
        </r>
      </text>
    </comment>
    <comment ref="N139" authorId="0">
      <text>
        <r>
          <rPr>
            <sz val="9"/>
            <color indexed="81"/>
            <rFont val="Tahoma"/>
            <family val="2"/>
          </rPr>
          <t>Invalid value</t>
        </r>
      </text>
    </comment>
    <comment ref="O139" authorId="0">
      <text>
        <r>
          <rPr>
            <sz val="9"/>
            <color indexed="81"/>
            <rFont val="Tahoma"/>
            <family val="2"/>
          </rPr>
          <t>Invalid value</t>
        </r>
      </text>
    </comment>
    <comment ref="H140" authorId="0">
      <text>
        <r>
          <rPr>
            <sz val="9"/>
            <color indexed="81"/>
            <rFont val="Tahoma"/>
            <family val="2"/>
          </rPr>
          <t>Invalid value</t>
        </r>
      </text>
    </comment>
    <comment ref="I140" authorId="0">
      <text>
        <r>
          <rPr>
            <sz val="9"/>
            <color indexed="81"/>
            <rFont val="Tahoma"/>
            <family val="2"/>
          </rPr>
          <t>Invalid value</t>
        </r>
      </text>
    </comment>
    <comment ref="J140" authorId="0">
      <text>
        <r>
          <rPr>
            <sz val="9"/>
            <color indexed="81"/>
            <rFont val="Tahoma"/>
            <family val="2"/>
          </rPr>
          <t>Invalid value</t>
        </r>
      </text>
    </comment>
    <comment ref="K140" authorId="0">
      <text>
        <r>
          <rPr>
            <sz val="9"/>
            <color indexed="81"/>
            <rFont val="Tahoma"/>
            <family val="2"/>
          </rPr>
          <t>Invalid value</t>
        </r>
      </text>
    </comment>
    <comment ref="L140" authorId="0">
      <text>
        <r>
          <rPr>
            <sz val="9"/>
            <color indexed="81"/>
            <rFont val="Tahoma"/>
            <family val="2"/>
          </rPr>
          <t>Invalid value</t>
        </r>
      </text>
    </comment>
    <comment ref="M140" authorId="0">
      <text>
        <r>
          <rPr>
            <sz val="9"/>
            <color indexed="81"/>
            <rFont val="Tahoma"/>
            <family val="2"/>
          </rPr>
          <t>Invalid value</t>
        </r>
      </text>
    </comment>
    <comment ref="N140" authorId="0">
      <text>
        <r>
          <rPr>
            <sz val="9"/>
            <color indexed="81"/>
            <rFont val="Tahoma"/>
            <family val="2"/>
          </rPr>
          <t>Invalid value</t>
        </r>
      </text>
    </comment>
    <comment ref="O140" authorId="0">
      <text>
        <r>
          <rPr>
            <sz val="9"/>
            <color indexed="81"/>
            <rFont val="Tahoma"/>
            <family val="2"/>
          </rPr>
          <t>Invalid value</t>
        </r>
      </text>
    </comment>
    <comment ref="H141" authorId="0">
      <text>
        <r>
          <rPr>
            <sz val="9"/>
            <color indexed="81"/>
            <rFont val="Tahoma"/>
            <family val="2"/>
          </rPr>
          <t>Invalid value</t>
        </r>
      </text>
    </comment>
    <comment ref="I141" authorId="0">
      <text>
        <r>
          <rPr>
            <sz val="9"/>
            <color indexed="81"/>
            <rFont val="Tahoma"/>
            <family val="2"/>
          </rPr>
          <t>Invalid value</t>
        </r>
      </text>
    </comment>
    <comment ref="J141" authorId="0">
      <text>
        <r>
          <rPr>
            <sz val="9"/>
            <color indexed="81"/>
            <rFont val="Tahoma"/>
            <family val="2"/>
          </rPr>
          <t>Invalid value</t>
        </r>
      </text>
    </comment>
    <comment ref="K141" authorId="0">
      <text>
        <r>
          <rPr>
            <sz val="9"/>
            <color indexed="81"/>
            <rFont val="Tahoma"/>
            <family val="2"/>
          </rPr>
          <t>Invalid value</t>
        </r>
      </text>
    </comment>
    <comment ref="L141" authorId="0">
      <text>
        <r>
          <rPr>
            <sz val="9"/>
            <color indexed="81"/>
            <rFont val="Tahoma"/>
            <family val="2"/>
          </rPr>
          <t>Invalid value</t>
        </r>
      </text>
    </comment>
    <comment ref="M141" authorId="0">
      <text>
        <r>
          <rPr>
            <sz val="9"/>
            <color indexed="81"/>
            <rFont val="Tahoma"/>
            <family val="2"/>
          </rPr>
          <t>Invalid value</t>
        </r>
      </text>
    </comment>
    <comment ref="N141" authorId="0">
      <text>
        <r>
          <rPr>
            <sz val="9"/>
            <color indexed="81"/>
            <rFont val="Tahoma"/>
            <family val="2"/>
          </rPr>
          <t>Invalid value</t>
        </r>
      </text>
    </comment>
    <comment ref="O141" authorId="0">
      <text>
        <r>
          <rPr>
            <sz val="9"/>
            <color indexed="81"/>
            <rFont val="Tahoma"/>
            <family val="2"/>
          </rPr>
          <t>Invalid value</t>
        </r>
      </text>
    </comment>
    <comment ref="H142" authorId="0">
      <text>
        <r>
          <rPr>
            <sz val="9"/>
            <color indexed="81"/>
            <rFont val="Tahoma"/>
            <family val="2"/>
          </rPr>
          <t>Invalid value</t>
        </r>
      </text>
    </comment>
    <comment ref="I142" authorId="0">
      <text>
        <r>
          <rPr>
            <sz val="9"/>
            <color indexed="81"/>
            <rFont val="Tahoma"/>
            <family val="2"/>
          </rPr>
          <t>Invalid value</t>
        </r>
      </text>
    </comment>
    <comment ref="J142" authorId="0">
      <text>
        <r>
          <rPr>
            <sz val="9"/>
            <color indexed="81"/>
            <rFont val="Tahoma"/>
            <family val="2"/>
          </rPr>
          <t>Invalid value</t>
        </r>
      </text>
    </comment>
    <comment ref="K142" authorId="0">
      <text>
        <r>
          <rPr>
            <sz val="9"/>
            <color indexed="81"/>
            <rFont val="Tahoma"/>
            <family val="2"/>
          </rPr>
          <t>Invalid value</t>
        </r>
      </text>
    </comment>
    <comment ref="L142" authorId="0">
      <text>
        <r>
          <rPr>
            <sz val="9"/>
            <color indexed="81"/>
            <rFont val="Tahoma"/>
            <family val="2"/>
          </rPr>
          <t>Invalid value</t>
        </r>
      </text>
    </comment>
    <comment ref="M142" authorId="0">
      <text>
        <r>
          <rPr>
            <sz val="9"/>
            <color indexed="81"/>
            <rFont val="Tahoma"/>
            <family val="2"/>
          </rPr>
          <t>Invalid value</t>
        </r>
      </text>
    </comment>
    <comment ref="N142" authorId="0">
      <text>
        <r>
          <rPr>
            <sz val="9"/>
            <color indexed="81"/>
            <rFont val="Tahoma"/>
            <family val="2"/>
          </rPr>
          <t>Invalid value</t>
        </r>
      </text>
    </comment>
    <comment ref="O142" authorId="0">
      <text>
        <r>
          <rPr>
            <sz val="9"/>
            <color indexed="81"/>
            <rFont val="Tahoma"/>
            <family val="2"/>
          </rPr>
          <t>Invalid value</t>
        </r>
      </text>
    </comment>
    <comment ref="H143" authorId="0">
      <text>
        <r>
          <rPr>
            <sz val="9"/>
            <color indexed="81"/>
            <rFont val="Tahoma"/>
            <family val="2"/>
          </rPr>
          <t>Invalid value</t>
        </r>
      </text>
    </comment>
    <comment ref="I143" authorId="0">
      <text>
        <r>
          <rPr>
            <sz val="9"/>
            <color indexed="81"/>
            <rFont val="Tahoma"/>
            <family val="2"/>
          </rPr>
          <t>Invalid value</t>
        </r>
      </text>
    </comment>
    <comment ref="J143" authorId="0">
      <text>
        <r>
          <rPr>
            <sz val="9"/>
            <color indexed="81"/>
            <rFont val="Tahoma"/>
            <family val="2"/>
          </rPr>
          <t>Invalid value</t>
        </r>
      </text>
    </comment>
    <comment ref="K143" authorId="0">
      <text>
        <r>
          <rPr>
            <sz val="9"/>
            <color indexed="81"/>
            <rFont val="Tahoma"/>
            <family val="2"/>
          </rPr>
          <t>Invalid value</t>
        </r>
      </text>
    </comment>
    <comment ref="L143" authorId="0">
      <text>
        <r>
          <rPr>
            <sz val="9"/>
            <color indexed="81"/>
            <rFont val="Tahoma"/>
            <family val="2"/>
          </rPr>
          <t>Invalid value</t>
        </r>
      </text>
    </comment>
    <comment ref="M143" authorId="0">
      <text>
        <r>
          <rPr>
            <sz val="9"/>
            <color indexed="81"/>
            <rFont val="Tahoma"/>
            <family val="2"/>
          </rPr>
          <t>Invalid value</t>
        </r>
      </text>
    </comment>
    <comment ref="N143" authorId="0">
      <text>
        <r>
          <rPr>
            <sz val="9"/>
            <color indexed="81"/>
            <rFont val="Tahoma"/>
            <family val="2"/>
          </rPr>
          <t>Invalid value</t>
        </r>
      </text>
    </comment>
    <comment ref="O143" authorId="0">
      <text>
        <r>
          <rPr>
            <sz val="9"/>
            <color indexed="81"/>
            <rFont val="Tahoma"/>
            <family val="2"/>
          </rPr>
          <t>Invalid value</t>
        </r>
      </text>
    </comment>
    <comment ref="H144" authorId="0">
      <text>
        <r>
          <rPr>
            <sz val="9"/>
            <color indexed="81"/>
            <rFont val="Tahoma"/>
            <family val="2"/>
          </rPr>
          <t>Invalid value</t>
        </r>
      </text>
    </comment>
    <comment ref="I144" authorId="0">
      <text>
        <r>
          <rPr>
            <sz val="9"/>
            <color indexed="81"/>
            <rFont val="Tahoma"/>
            <family val="2"/>
          </rPr>
          <t>Invalid value</t>
        </r>
      </text>
    </comment>
    <comment ref="J144" authorId="0">
      <text>
        <r>
          <rPr>
            <sz val="9"/>
            <color indexed="81"/>
            <rFont val="Tahoma"/>
            <family val="2"/>
          </rPr>
          <t>Invalid value</t>
        </r>
      </text>
    </comment>
    <comment ref="K144" authorId="0">
      <text>
        <r>
          <rPr>
            <sz val="9"/>
            <color indexed="81"/>
            <rFont val="Tahoma"/>
            <family val="2"/>
          </rPr>
          <t>Invalid value</t>
        </r>
      </text>
    </comment>
    <comment ref="L144" authorId="0">
      <text>
        <r>
          <rPr>
            <sz val="9"/>
            <color indexed="81"/>
            <rFont val="Tahoma"/>
            <family val="2"/>
          </rPr>
          <t>Invalid value</t>
        </r>
      </text>
    </comment>
    <comment ref="M144" authorId="0">
      <text>
        <r>
          <rPr>
            <sz val="9"/>
            <color indexed="81"/>
            <rFont val="Tahoma"/>
            <family val="2"/>
          </rPr>
          <t>Invalid value</t>
        </r>
      </text>
    </comment>
    <comment ref="N144" authorId="0">
      <text>
        <r>
          <rPr>
            <sz val="9"/>
            <color indexed="81"/>
            <rFont val="Tahoma"/>
            <family val="2"/>
          </rPr>
          <t>Invalid value</t>
        </r>
      </text>
    </comment>
    <comment ref="O144" authorId="0">
      <text>
        <r>
          <rPr>
            <sz val="9"/>
            <color indexed="81"/>
            <rFont val="Tahoma"/>
            <family val="2"/>
          </rPr>
          <t>Invalid value</t>
        </r>
      </text>
    </comment>
    <comment ref="H145" authorId="0">
      <text>
        <r>
          <rPr>
            <sz val="9"/>
            <color indexed="81"/>
            <rFont val="Tahoma"/>
            <family val="2"/>
          </rPr>
          <t>Invalid value</t>
        </r>
      </text>
    </comment>
    <comment ref="I145" authorId="0">
      <text>
        <r>
          <rPr>
            <sz val="9"/>
            <color indexed="81"/>
            <rFont val="Tahoma"/>
            <family val="2"/>
          </rPr>
          <t>Invalid value</t>
        </r>
      </text>
    </comment>
    <comment ref="J145" authorId="0">
      <text>
        <r>
          <rPr>
            <sz val="9"/>
            <color indexed="81"/>
            <rFont val="Tahoma"/>
            <family val="2"/>
          </rPr>
          <t>Invalid value</t>
        </r>
      </text>
    </comment>
    <comment ref="K145" authorId="0">
      <text>
        <r>
          <rPr>
            <sz val="9"/>
            <color indexed="81"/>
            <rFont val="Tahoma"/>
            <family val="2"/>
          </rPr>
          <t>Invalid value</t>
        </r>
      </text>
    </comment>
    <comment ref="L145" authorId="0">
      <text>
        <r>
          <rPr>
            <sz val="9"/>
            <color indexed="81"/>
            <rFont val="Tahoma"/>
            <family val="2"/>
          </rPr>
          <t>Invalid value</t>
        </r>
      </text>
    </comment>
    <comment ref="M145" authorId="0">
      <text>
        <r>
          <rPr>
            <sz val="9"/>
            <color indexed="81"/>
            <rFont val="Tahoma"/>
            <family val="2"/>
          </rPr>
          <t>Invalid value</t>
        </r>
      </text>
    </comment>
    <comment ref="N145" authorId="0">
      <text>
        <r>
          <rPr>
            <sz val="9"/>
            <color indexed="81"/>
            <rFont val="Tahoma"/>
            <family val="2"/>
          </rPr>
          <t>Invalid value</t>
        </r>
      </text>
    </comment>
    <comment ref="O145" authorId="0">
      <text>
        <r>
          <rPr>
            <sz val="9"/>
            <color indexed="81"/>
            <rFont val="Tahoma"/>
            <family val="2"/>
          </rPr>
          <t>Invalid value</t>
        </r>
      </text>
    </comment>
    <comment ref="H146" authorId="0">
      <text>
        <r>
          <rPr>
            <sz val="9"/>
            <color indexed="81"/>
            <rFont val="Tahoma"/>
            <family val="2"/>
          </rPr>
          <t>Invalid value</t>
        </r>
      </text>
    </comment>
    <comment ref="I146" authorId="0">
      <text>
        <r>
          <rPr>
            <sz val="9"/>
            <color indexed="81"/>
            <rFont val="Tahoma"/>
            <family val="2"/>
          </rPr>
          <t>Invalid value</t>
        </r>
      </text>
    </comment>
    <comment ref="J146" authorId="0">
      <text>
        <r>
          <rPr>
            <sz val="9"/>
            <color indexed="81"/>
            <rFont val="Tahoma"/>
            <family val="2"/>
          </rPr>
          <t>Invalid value</t>
        </r>
      </text>
    </comment>
    <comment ref="K146" authorId="0">
      <text>
        <r>
          <rPr>
            <sz val="9"/>
            <color indexed="81"/>
            <rFont val="Tahoma"/>
            <family val="2"/>
          </rPr>
          <t>Invalid value</t>
        </r>
      </text>
    </comment>
    <comment ref="L146" authorId="0">
      <text>
        <r>
          <rPr>
            <sz val="9"/>
            <color indexed="81"/>
            <rFont val="Tahoma"/>
            <family val="2"/>
          </rPr>
          <t>Invalid value</t>
        </r>
      </text>
    </comment>
    <comment ref="M146" authorId="0">
      <text>
        <r>
          <rPr>
            <sz val="9"/>
            <color indexed="81"/>
            <rFont val="Tahoma"/>
            <family val="2"/>
          </rPr>
          <t>Invalid value</t>
        </r>
      </text>
    </comment>
    <comment ref="N146" authorId="0">
      <text>
        <r>
          <rPr>
            <sz val="9"/>
            <color indexed="81"/>
            <rFont val="Tahoma"/>
            <family val="2"/>
          </rPr>
          <t>Invalid value</t>
        </r>
      </text>
    </comment>
    <comment ref="O146" authorId="0">
      <text>
        <r>
          <rPr>
            <sz val="9"/>
            <color indexed="81"/>
            <rFont val="Tahoma"/>
            <family val="2"/>
          </rPr>
          <t>Invalid value</t>
        </r>
      </text>
    </comment>
    <comment ref="H147" authorId="0">
      <text>
        <r>
          <rPr>
            <sz val="9"/>
            <color indexed="81"/>
            <rFont val="Tahoma"/>
            <family val="2"/>
          </rPr>
          <t>Invalid value</t>
        </r>
      </text>
    </comment>
    <comment ref="I147" authorId="0">
      <text>
        <r>
          <rPr>
            <sz val="9"/>
            <color indexed="81"/>
            <rFont val="Tahoma"/>
            <family val="2"/>
          </rPr>
          <t>Invalid value</t>
        </r>
      </text>
    </comment>
    <comment ref="J147" authorId="0">
      <text>
        <r>
          <rPr>
            <sz val="9"/>
            <color indexed="81"/>
            <rFont val="Tahoma"/>
            <family val="2"/>
          </rPr>
          <t>Invalid value</t>
        </r>
      </text>
    </comment>
    <comment ref="K147" authorId="0">
      <text>
        <r>
          <rPr>
            <sz val="9"/>
            <color indexed="81"/>
            <rFont val="Tahoma"/>
            <family val="2"/>
          </rPr>
          <t>Invalid value</t>
        </r>
      </text>
    </comment>
    <comment ref="L147" authorId="0">
      <text>
        <r>
          <rPr>
            <sz val="9"/>
            <color indexed="81"/>
            <rFont val="Tahoma"/>
            <family val="2"/>
          </rPr>
          <t>Invalid value</t>
        </r>
      </text>
    </comment>
    <comment ref="M147" authorId="0">
      <text>
        <r>
          <rPr>
            <sz val="9"/>
            <color indexed="81"/>
            <rFont val="Tahoma"/>
            <family val="2"/>
          </rPr>
          <t>Invalid value</t>
        </r>
      </text>
    </comment>
    <comment ref="N147" authorId="0">
      <text>
        <r>
          <rPr>
            <sz val="9"/>
            <color indexed="81"/>
            <rFont val="Tahoma"/>
            <family val="2"/>
          </rPr>
          <t>Invalid value</t>
        </r>
      </text>
    </comment>
    <comment ref="O147" authorId="0">
      <text>
        <r>
          <rPr>
            <sz val="9"/>
            <color indexed="81"/>
            <rFont val="Tahoma"/>
            <family val="2"/>
          </rPr>
          <t>Invalid value</t>
        </r>
      </text>
    </comment>
    <comment ref="H148" authorId="0">
      <text>
        <r>
          <rPr>
            <sz val="9"/>
            <color indexed="81"/>
            <rFont val="Tahoma"/>
            <family val="2"/>
          </rPr>
          <t>Invalid value</t>
        </r>
      </text>
    </comment>
    <comment ref="I148" authorId="0">
      <text>
        <r>
          <rPr>
            <sz val="9"/>
            <color indexed="81"/>
            <rFont val="Tahoma"/>
            <family val="2"/>
          </rPr>
          <t>Invalid value</t>
        </r>
      </text>
    </comment>
    <comment ref="J148" authorId="0">
      <text>
        <r>
          <rPr>
            <sz val="9"/>
            <color indexed="81"/>
            <rFont val="Tahoma"/>
            <family val="2"/>
          </rPr>
          <t>Invalid value</t>
        </r>
      </text>
    </comment>
    <comment ref="K148" authorId="0">
      <text>
        <r>
          <rPr>
            <sz val="9"/>
            <color indexed="81"/>
            <rFont val="Tahoma"/>
            <family val="2"/>
          </rPr>
          <t>Invalid value</t>
        </r>
      </text>
    </comment>
    <comment ref="L148" authorId="0">
      <text>
        <r>
          <rPr>
            <sz val="9"/>
            <color indexed="81"/>
            <rFont val="Tahoma"/>
            <family val="2"/>
          </rPr>
          <t>Invalid value</t>
        </r>
      </text>
    </comment>
    <comment ref="M148" authorId="0">
      <text>
        <r>
          <rPr>
            <sz val="9"/>
            <color indexed="81"/>
            <rFont val="Tahoma"/>
            <family val="2"/>
          </rPr>
          <t>Invalid value</t>
        </r>
      </text>
    </comment>
    <comment ref="N148" authorId="0">
      <text>
        <r>
          <rPr>
            <sz val="9"/>
            <color indexed="81"/>
            <rFont val="Tahoma"/>
            <family val="2"/>
          </rPr>
          <t>Invalid value</t>
        </r>
      </text>
    </comment>
    <comment ref="O148" authorId="0">
      <text>
        <r>
          <rPr>
            <sz val="9"/>
            <color indexed="81"/>
            <rFont val="Tahoma"/>
            <family val="2"/>
          </rPr>
          <t>Invalid value</t>
        </r>
      </text>
    </comment>
    <comment ref="H149" authorId="0">
      <text>
        <r>
          <rPr>
            <sz val="9"/>
            <color indexed="81"/>
            <rFont val="Tahoma"/>
            <family val="2"/>
          </rPr>
          <t>Invalid value</t>
        </r>
      </text>
    </comment>
    <comment ref="I149" authorId="0">
      <text>
        <r>
          <rPr>
            <sz val="9"/>
            <color indexed="81"/>
            <rFont val="Tahoma"/>
            <family val="2"/>
          </rPr>
          <t>Invalid value</t>
        </r>
      </text>
    </comment>
    <comment ref="J149" authorId="0">
      <text>
        <r>
          <rPr>
            <sz val="9"/>
            <color indexed="81"/>
            <rFont val="Tahoma"/>
            <family val="2"/>
          </rPr>
          <t>Invalid value</t>
        </r>
      </text>
    </comment>
    <comment ref="K149" authorId="0">
      <text>
        <r>
          <rPr>
            <sz val="9"/>
            <color indexed="81"/>
            <rFont val="Tahoma"/>
            <family val="2"/>
          </rPr>
          <t>Invalid value</t>
        </r>
      </text>
    </comment>
    <comment ref="L149" authorId="0">
      <text>
        <r>
          <rPr>
            <sz val="9"/>
            <color indexed="81"/>
            <rFont val="Tahoma"/>
            <family val="2"/>
          </rPr>
          <t>Invalid value</t>
        </r>
      </text>
    </comment>
    <comment ref="M149" authorId="0">
      <text>
        <r>
          <rPr>
            <sz val="9"/>
            <color indexed="81"/>
            <rFont val="Tahoma"/>
            <family val="2"/>
          </rPr>
          <t>Invalid value</t>
        </r>
      </text>
    </comment>
    <comment ref="N149" authorId="0">
      <text>
        <r>
          <rPr>
            <sz val="9"/>
            <color indexed="81"/>
            <rFont val="Tahoma"/>
            <family val="2"/>
          </rPr>
          <t>Invalid value</t>
        </r>
      </text>
    </comment>
    <comment ref="O149" authorId="0">
      <text>
        <r>
          <rPr>
            <sz val="9"/>
            <color indexed="81"/>
            <rFont val="Tahoma"/>
            <family val="2"/>
          </rPr>
          <t>Invalid value</t>
        </r>
      </text>
    </comment>
    <comment ref="H150" authorId="0">
      <text>
        <r>
          <rPr>
            <sz val="9"/>
            <color indexed="81"/>
            <rFont val="Tahoma"/>
            <family val="2"/>
          </rPr>
          <t>Invalid value</t>
        </r>
      </text>
    </comment>
    <comment ref="I150" authorId="0">
      <text>
        <r>
          <rPr>
            <sz val="9"/>
            <color indexed="81"/>
            <rFont val="Tahoma"/>
            <family val="2"/>
          </rPr>
          <t>Invalid value</t>
        </r>
      </text>
    </comment>
    <comment ref="J150" authorId="0">
      <text>
        <r>
          <rPr>
            <sz val="9"/>
            <color indexed="81"/>
            <rFont val="Tahoma"/>
            <family val="2"/>
          </rPr>
          <t>Invalid value</t>
        </r>
      </text>
    </comment>
    <comment ref="K150" authorId="0">
      <text>
        <r>
          <rPr>
            <sz val="9"/>
            <color indexed="81"/>
            <rFont val="Tahoma"/>
            <family val="2"/>
          </rPr>
          <t>Invalid value</t>
        </r>
      </text>
    </comment>
    <comment ref="L150" authorId="0">
      <text>
        <r>
          <rPr>
            <sz val="9"/>
            <color indexed="81"/>
            <rFont val="Tahoma"/>
            <family val="2"/>
          </rPr>
          <t>Invalid value</t>
        </r>
      </text>
    </comment>
    <comment ref="M150" authorId="0">
      <text>
        <r>
          <rPr>
            <sz val="9"/>
            <color indexed="81"/>
            <rFont val="Tahoma"/>
            <family val="2"/>
          </rPr>
          <t>Invalid value</t>
        </r>
      </text>
    </comment>
    <comment ref="N150" authorId="0">
      <text>
        <r>
          <rPr>
            <sz val="9"/>
            <color indexed="81"/>
            <rFont val="Tahoma"/>
            <family val="2"/>
          </rPr>
          <t>Invalid value</t>
        </r>
      </text>
    </comment>
    <comment ref="O150" authorId="0">
      <text>
        <r>
          <rPr>
            <sz val="9"/>
            <color indexed="81"/>
            <rFont val="Tahoma"/>
            <family val="2"/>
          </rPr>
          <t>Invalid value</t>
        </r>
      </text>
    </comment>
    <comment ref="H151" authorId="0">
      <text>
        <r>
          <rPr>
            <sz val="9"/>
            <color indexed="81"/>
            <rFont val="Tahoma"/>
            <family val="2"/>
          </rPr>
          <t>Invalid value</t>
        </r>
      </text>
    </comment>
    <comment ref="I151" authorId="0">
      <text>
        <r>
          <rPr>
            <sz val="9"/>
            <color indexed="81"/>
            <rFont val="Tahoma"/>
            <family val="2"/>
          </rPr>
          <t>Invalid value</t>
        </r>
      </text>
    </comment>
    <comment ref="J151" authorId="0">
      <text>
        <r>
          <rPr>
            <sz val="9"/>
            <color indexed="81"/>
            <rFont val="Tahoma"/>
            <family val="2"/>
          </rPr>
          <t>Invalid value</t>
        </r>
      </text>
    </comment>
    <comment ref="K151" authorId="0">
      <text>
        <r>
          <rPr>
            <sz val="9"/>
            <color indexed="81"/>
            <rFont val="Tahoma"/>
            <family val="2"/>
          </rPr>
          <t>Invalid value</t>
        </r>
      </text>
    </comment>
    <comment ref="L151" authorId="0">
      <text>
        <r>
          <rPr>
            <sz val="9"/>
            <color indexed="81"/>
            <rFont val="Tahoma"/>
            <family val="2"/>
          </rPr>
          <t>Invalid value</t>
        </r>
      </text>
    </comment>
    <comment ref="M151" authorId="0">
      <text>
        <r>
          <rPr>
            <sz val="9"/>
            <color indexed="81"/>
            <rFont val="Tahoma"/>
            <family val="2"/>
          </rPr>
          <t>Invalid value</t>
        </r>
      </text>
    </comment>
    <comment ref="N151" authorId="0">
      <text>
        <r>
          <rPr>
            <sz val="9"/>
            <color indexed="81"/>
            <rFont val="Tahoma"/>
            <family val="2"/>
          </rPr>
          <t>Invalid value</t>
        </r>
      </text>
    </comment>
    <comment ref="O151" authorId="0">
      <text>
        <r>
          <rPr>
            <sz val="9"/>
            <color indexed="81"/>
            <rFont val="Tahoma"/>
            <family val="2"/>
          </rPr>
          <t>Invalid value</t>
        </r>
      </text>
    </comment>
    <comment ref="H152" authorId="0">
      <text>
        <r>
          <rPr>
            <sz val="9"/>
            <color indexed="81"/>
            <rFont val="Tahoma"/>
            <family val="2"/>
          </rPr>
          <t>Invalid value</t>
        </r>
      </text>
    </comment>
    <comment ref="I152" authorId="0">
      <text>
        <r>
          <rPr>
            <sz val="9"/>
            <color indexed="81"/>
            <rFont val="Tahoma"/>
            <family val="2"/>
          </rPr>
          <t>Invalid value</t>
        </r>
      </text>
    </comment>
    <comment ref="J152" authorId="0">
      <text>
        <r>
          <rPr>
            <sz val="9"/>
            <color indexed="81"/>
            <rFont val="Tahoma"/>
            <family val="2"/>
          </rPr>
          <t>Invalid value</t>
        </r>
      </text>
    </comment>
    <comment ref="K152" authorId="0">
      <text>
        <r>
          <rPr>
            <sz val="9"/>
            <color indexed="81"/>
            <rFont val="Tahoma"/>
            <family val="2"/>
          </rPr>
          <t>Invalid value</t>
        </r>
      </text>
    </comment>
    <comment ref="L152" authorId="0">
      <text>
        <r>
          <rPr>
            <sz val="9"/>
            <color indexed="81"/>
            <rFont val="Tahoma"/>
            <family val="2"/>
          </rPr>
          <t>Invalid value</t>
        </r>
      </text>
    </comment>
    <comment ref="M152" authorId="0">
      <text>
        <r>
          <rPr>
            <sz val="9"/>
            <color indexed="81"/>
            <rFont val="Tahoma"/>
            <family val="2"/>
          </rPr>
          <t>Invalid value</t>
        </r>
      </text>
    </comment>
    <comment ref="N152" authorId="0">
      <text>
        <r>
          <rPr>
            <sz val="9"/>
            <color indexed="81"/>
            <rFont val="Tahoma"/>
            <family val="2"/>
          </rPr>
          <t>Invalid value</t>
        </r>
      </text>
    </comment>
    <comment ref="O152" authorId="0">
      <text>
        <r>
          <rPr>
            <sz val="9"/>
            <color indexed="81"/>
            <rFont val="Tahoma"/>
            <family val="2"/>
          </rPr>
          <t>Invalid value</t>
        </r>
      </text>
    </comment>
    <comment ref="P152" authorId="0">
      <text>
        <r>
          <rPr>
            <sz val="9"/>
            <color indexed="81"/>
            <rFont val="Tahoma"/>
            <family val="2"/>
          </rPr>
          <t>Invalid value</t>
        </r>
      </text>
    </comment>
    <comment ref="Q152" authorId="0">
      <text>
        <r>
          <rPr>
            <sz val="9"/>
            <color indexed="81"/>
            <rFont val="Tahoma"/>
            <family val="2"/>
          </rPr>
          <t>Invalid value</t>
        </r>
      </text>
    </comment>
    <comment ref="R152" authorId="0">
      <text>
        <r>
          <rPr>
            <sz val="9"/>
            <color indexed="81"/>
            <rFont val="Tahoma"/>
            <family val="2"/>
          </rPr>
          <t>Invalid value</t>
        </r>
      </text>
    </comment>
    <comment ref="S152" authorId="0">
      <text>
        <r>
          <rPr>
            <sz val="9"/>
            <color indexed="81"/>
            <rFont val="Tahoma"/>
            <family val="2"/>
          </rPr>
          <t>Invalid value</t>
        </r>
      </text>
    </comment>
    <comment ref="T152" authorId="0">
      <text>
        <r>
          <rPr>
            <sz val="9"/>
            <color indexed="81"/>
            <rFont val="Tahoma"/>
            <family val="2"/>
          </rPr>
          <t>Invalid value</t>
        </r>
      </text>
    </comment>
    <comment ref="U152" authorId="0">
      <text>
        <r>
          <rPr>
            <sz val="9"/>
            <color indexed="81"/>
            <rFont val="Tahoma"/>
            <family val="2"/>
          </rPr>
          <t>Invalid value</t>
        </r>
      </text>
    </comment>
    <comment ref="V152" authorId="0">
      <text>
        <r>
          <rPr>
            <sz val="9"/>
            <color indexed="81"/>
            <rFont val="Tahoma"/>
            <family val="2"/>
          </rPr>
          <t>Invalid value</t>
        </r>
      </text>
    </comment>
    <comment ref="W152" authorId="0">
      <text>
        <r>
          <rPr>
            <sz val="9"/>
            <color indexed="81"/>
            <rFont val="Tahoma"/>
            <family val="2"/>
          </rPr>
          <t>Invalid value</t>
        </r>
      </text>
    </comment>
    <comment ref="X152" authorId="0">
      <text>
        <r>
          <rPr>
            <sz val="9"/>
            <color indexed="81"/>
            <rFont val="Tahoma"/>
            <family val="2"/>
          </rPr>
          <t>Invalid value</t>
        </r>
      </text>
    </comment>
    <comment ref="Y152" authorId="0">
      <text>
        <r>
          <rPr>
            <sz val="9"/>
            <color indexed="81"/>
            <rFont val="Tahoma"/>
            <family val="2"/>
          </rPr>
          <t>Invalid value</t>
        </r>
      </text>
    </comment>
    <comment ref="Z152" authorId="0">
      <text>
        <r>
          <rPr>
            <sz val="9"/>
            <color indexed="81"/>
            <rFont val="Tahoma"/>
            <family val="2"/>
          </rPr>
          <t>Invalid value</t>
        </r>
      </text>
    </comment>
    <comment ref="AA152" authorId="0">
      <text>
        <r>
          <rPr>
            <sz val="9"/>
            <color indexed="81"/>
            <rFont val="Tahoma"/>
            <family val="2"/>
          </rPr>
          <t>Invalid value</t>
        </r>
      </text>
    </comment>
    <comment ref="AB152" authorId="0">
      <text>
        <r>
          <rPr>
            <sz val="9"/>
            <color indexed="81"/>
            <rFont val="Tahoma"/>
            <family val="2"/>
          </rPr>
          <t>Invalid value</t>
        </r>
      </text>
    </comment>
    <comment ref="AC152" authorId="0">
      <text>
        <r>
          <rPr>
            <sz val="9"/>
            <color indexed="81"/>
            <rFont val="Tahoma"/>
            <family val="2"/>
          </rPr>
          <t>Invalid value</t>
        </r>
      </text>
    </comment>
    <comment ref="AD152" authorId="0">
      <text>
        <r>
          <rPr>
            <sz val="9"/>
            <color indexed="81"/>
            <rFont val="Tahoma"/>
            <family val="2"/>
          </rPr>
          <t>Invalid value</t>
        </r>
      </text>
    </comment>
    <comment ref="AE152" authorId="0">
      <text>
        <r>
          <rPr>
            <sz val="9"/>
            <color indexed="81"/>
            <rFont val="Tahoma"/>
            <family val="2"/>
          </rPr>
          <t>Invalid value</t>
        </r>
      </text>
    </comment>
    <comment ref="H153" authorId="0">
      <text>
        <r>
          <rPr>
            <sz val="9"/>
            <color indexed="81"/>
            <rFont val="Tahoma"/>
            <family val="2"/>
          </rPr>
          <t>Invalid value</t>
        </r>
      </text>
    </comment>
    <comment ref="I153" authorId="0">
      <text>
        <r>
          <rPr>
            <sz val="9"/>
            <color indexed="81"/>
            <rFont val="Tahoma"/>
            <family val="2"/>
          </rPr>
          <t>Invalid value</t>
        </r>
      </text>
    </comment>
    <comment ref="J153" authorId="0">
      <text>
        <r>
          <rPr>
            <sz val="9"/>
            <color indexed="81"/>
            <rFont val="Tahoma"/>
            <family val="2"/>
          </rPr>
          <t>Invalid value</t>
        </r>
      </text>
    </comment>
    <comment ref="K153" authorId="0">
      <text>
        <r>
          <rPr>
            <sz val="9"/>
            <color indexed="81"/>
            <rFont val="Tahoma"/>
            <family val="2"/>
          </rPr>
          <t>Invalid value</t>
        </r>
      </text>
    </comment>
    <comment ref="L153" authorId="0">
      <text>
        <r>
          <rPr>
            <sz val="9"/>
            <color indexed="81"/>
            <rFont val="Tahoma"/>
            <family val="2"/>
          </rPr>
          <t>Invalid value</t>
        </r>
      </text>
    </comment>
    <comment ref="M153" authorId="0">
      <text>
        <r>
          <rPr>
            <sz val="9"/>
            <color indexed="81"/>
            <rFont val="Tahoma"/>
            <family val="2"/>
          </rPr>
          <t>Invalid value</t>
        </r>
      </text>
    </comment>
    <comment ref="N153" authorId="0">
      <text>
        <r>
          <rPr>
            <sz val="9"/>
            <color indexed="81"/>
            <rFont val="Tahoma"/>
            <family val="2"/>
          </rPr>
          <t>Invalid value</t>
        </r>
      </text>
    </comment>
    <comment ref="O153" authorId="0">
      <text>
        <r>
          <rPr>
            <sz val="9"/>
            <color indexed="81"/>
            <rFont val="Tahoma"/>
            <family val="2"/>
          </rPr>
          <t>Invalid value</t>
        </r>
      </text>
    </comment>
    <comment ref="H154" authorId="0">
      <text>
        <r>
          <rPr>
            <sz val="9"/>
            <color indexed="81"/>
            <rFont val="Tahoma"/>
            <family val="2"/>
          </rPr>
          <t>Invalid value</t>
        </r>
      </text>
    </comment>
    <comment ref="I154" authorId="0">
      <text>
        <r>
          <rPr>
            <sz val="9"/>
            <color indexed="81"/>
            <rFont val="Tahoma"/>
            <family val="2"/>
          </rPr>
          <t>Invalid value</t>
        </r>
      </text>
    </comment>
    <comment ref="J154" authorId="0">
      <text>
        <r>
          <rPr>
            <sz val="9"/>
            <color indexed="81"/>
            <rFont val="Tahoma"/>
            <family val="2"/>
          </rPr>
          <t>Invalid value</t>
        </r>
      </text>
    </comment>
    <comment ref="K154" authorId="0">
      <text>
        <r>
          <rPr>
            <sz val="9"/>
            <color indexed="81"/>
            <rFont val="Tahoma"/>
            <family val="2"/>
          </rPr>
          <t>Invalid value</t>
        </r>
      </text>
    </comment>
    <comment ref="L154" authorId="0">
      <text>
        <r>
          <rPr>
            <sz val="9"/>
            <color indexed="81"/>
            <rFont val="Tahoma"/>
            <family val="2"/>
          </rPr>
          <t>Invalid value</t>
        </r>
      </text>
    </comment>
    <comment ref="M154" authorId="0">
      <text>
        <r>
          <rPr>
            <sz val="9"/>
            <color indexed="81"/>
            <rFont val="Tahoma"/>
            <family val="2"/>
          </rPr>
          <t>Invalid value</t>
        </r>
      </text>
    </comment>
    <comment ref="N154" authorId="0">
      <text>
        <r>
          <rPr>
            <sz val="9"/>
            <color indexed="81"/>
            <rFont val="Tahoma"/>
            <family val="2"/>
          </rPr>
          <t>Invalid value</t>
        </r>
      </text>
    </comment>
    <comment ref="O154" authorId="0">
      <text>
        <r>
          <rPr>
            <sz val="9"/>
            <color indexed="81"/>
            <rFont val="Tahoma"/>
            <family val="2"/>
          </rPr>
          <t>Invalid value</t>
        </r>
      </text>
    </comment>
    <comment ref="H155" authorId="0">
      <text>
        <r>
          <rPr>
            <sz val="9"/>
            <color indexed="81"/>
            <rFont val="Tahoma"/>
            <family val="2"/>
          </rPr>
          <t>Invalid value</t>
        </r>
      </text>
    </comment>
    <comment ref="I155" authorId="0">
      <text>
        <r>
          <rPr>
            <sz val="9"/>
            <color indexed="81"/>
            <rFont val="Tahoma"/>
            <family val="2"/>
          </rPr>
          <t>Invalid value</t>
        </r>
      </text>
    </comment>
    <comment ref="J155" authorId="0">
      <text>
        <r>
          <rPr>
            <sz val="9"/>
            <color indexed="81"/>
            <rFont val="Tahoma"/>
            <family val="2"/>
          </rPr>
          <t>Invalid value</t>
        </r>
      </text>
    </comment>
    <comment ref="K155" authorId="0">
      <text>
        <r>
          <rPr>
            <sz val="9"/>
            <color indexed="81"/>
            <rFont val="Tahoma"/>
            <family val="2"/>
          </rPr>
          <t>Invalid value</t>
        </r>
      </text>
    </comment>
    <comment ref="L155" authorId="0">
      <text>
        <r>
          <rPr>
            <sz val="9"/>
            <color indexed="81"/>
            <rFont val="Tahoma"/>
            <family val="2"/>
          </rPr>
          <t>Invalid value</t>
        </r>
      </text>
    </comment>
    <comment ref="M155" authorId="0">
      <text>
        <r>
          <rPr>
            <sz val="9"/>
            <color indexed="81"/>
            <rFont val="Tahoma"/>
            <family val="2"/>
          </rPr>
          <t>Invalid value</t>
        </r>
      </text>
    </comment>
    <comment ref="N155" authorId="0">
      <text>
        <r>
          <rPr>
            <sz val="9"/>
            <color indexed="81"/>
            <rFont val="Tahoma"/>
            <family val="2"/>
          </rPr>
          <t>Invalid value</t>
        </r>
      </text>
    </comment>
    <comment ref="O155" authorId="0">
      <text>
        <r>
          <rPr>
            <sz val="9"/>
            <color indexed="81"/>
            <rFont val="Tahoma"/>
            <family val="2"/>
          </rPr>
          <t>Invalid value</t>
        </r>
      </text>
    </comment>
    <comment ref="H156" authorId="0">
      <text>
        <r>
          <rPr>
            <sz val="9"/>
            <color indexed="81"/>
            <rFont val="Tahoma"/>
            <family val="2"/>
          </rPr>
          <t>Invalid value</t>
        </r>
      </text>
    </comment>
    <comment ref="I156" authorId="0">
      <text>
        <r>
          <rPr>
            <sz val="9"/>
            <color indexed="81"/>
            <rFont val="Tahoma"/>
            <family val="2"/>
          </rPr>
          <t>Invalid value</t>
        </r>
      </text>
    </comment>
    <comment ref="J156" authorId="0">
      <text>
        <r>
          <rPr>
            <sz val="9"/>
            <color indexed="81"/>
            <rFont val="Tahoma"/>
            <family val="2"/>
          </rPr>
          <t>Invalid value</t>
        </r>
      </text>
    </comment>
    <comment ref="K156" authorId="0">
      <text>
        <r>
          <rPr>
            <sz val="9"/>
            <color indexed="81"/>
            <rFont val="Tahoma"/>
            <family val="2"/>
          </rPr>
          <t>Invalid value</t>
        </r>
      </text>
    </comment>
    <comment ref="L156" authorId="0">
      <text>
        <r>
          <rPr>
            <sz val="9"/>
            <color indexed="81"/>
            <rFont val="Tahoma"/>
            <family val="2"/>
          </rPr>
          <t>Invalid value</t>
        </r>
      </text>
    </comment>
    <comment ref="M156" authorId="0">
      <text>
        <r>
          <rPr>
            <sz val="9"/>
            <color indexed="81"/>
            <rFont val="Tahoma"/>
            <family val="2"/>
          </rPr>
          <t>Invalid value</t>
        </r>
      </text>
    </comment>
    <comment ref="N156" authorId="0">
      <text>
        <r>
          <rPr>
            <sz val="9"/>
            <color indexed="81"/>
            <rFont val="Tahoma"/>
            <family val="2"/>
          </rPr>
          <t>Invalid value</t>
        </r>
      </text>
    </comment>
    <comment ref="O156" authorId="0">
      <text>
        <r>
          <rPr>
            <sz val="9"/>
            <color indexed="81"/>
            <rFont val="Tahoma"/>
            <family val="2"/>
          </rPr>
          <t>Invalid value</t>
        </r>
      </text>
    </comment>
    <comment ref="H157" authorId="0">
      <text>
        <r>
          <rPr>
            <sz val="9"/>
            <color indexed="81"/>
            <rFont val="Tahoma"/>
            <family val="2"/>
          </rPr>
          <t>Invalid value</t>
        </r>
      </text>
    </comment>
    <comment ref="I157" authorId="0">
      <text>
        <r>
          <rPr>
            <sz val="9"/>
            <color indexed="81"/>
            <rFont val="Tahoma"/>
            <family val="2"/>
          </rPr>
          <t>Invalid value</t>
        </r>
      </text>
    </comment>
    <comment ref="J157" authorId="0">
      <text>
        <r>
          <rPr>
            <sz val="9"/>
            <color indexed="81"/>
            <rFont val="Tahoma"/>
            <family val="2"/>
          </rPr>
          <t>Invalid value</t>
        </r>
      </text>
    </comment>
    <comment ref="K157" authorId="0">
      <text>
        <r>
          <rPr>
            <sz val="9"/>
            <color indexed="81"/>
            <rFont val="Tahoma"/>
            <family val="2"/>
          </rPr>
          <t>Invalid value</t>
        </r>
      </text>
    </comment>
    <comment ref="L157" authorId="0">
      <text>
        <r>
          <rPr>
            <sz val="9"/>
            <color indexed="81"/>
            <rFont val="Tahoma"/>
            <family val="2"/>
          </rPr>
          <t>Invalid value</t>
        </r>
      </text>
    </comment>
    <comment ref="M157" authorId="0">
      <text>
        <r>
          <rPr>
            <sz val="9"/>
            <color indexed="81"/>
            <rFont val="Tahoma"/>
            <family val="2"/>
          </rPr>
          <t>Invalid value</t>
        </r>
      </text>
    </comment>
    <comment ref="N157" authorId="0">
      <text>
        <r>
          <rPr>
            <sz val="9"/>
            <color indexed="81"/>
            <rFont val="Tahoma"/>
            <family val="2"/>
          </rPr>
          <t>Invalid value</t>
        </r>
      </text>
    </comment>
    <comment ref="O157" authorId="0">
      <text>
        <r>
          <rPr>
            <sz val="9"/>
            <color indexed="81"/>
            <rFont val="Tahoma"/>
            <family val="2"/>
          </rPr>
          <t>Invalid value</t>
        </r>
      </text>
    </comment>
    <comment ref="H158" authorId="0">
      <text>
        <r>
          <rPr>
            <sz val="9"/>
            <color indexed="81"/>
            <rFont val="Tahoma"/>
            <family val="2"/>
          </rPr>
          <t>Invalid value</t>
        </r>
      </text>
    </comment>
    <comment ref="I158" authorId="0">
      <text>
        <r>
          <rPr>
            <sz val="9"/>
            <color indexed="81"/>
            <rFont val="Tahoma"/>
            <family val="2"/>
          </rPr>
          <t>Invalid value</t>
        </r>
      </text>
    </comment>
    <comment ref="J158" authorId="0">
      <text>
        <r>
          <rPr>
            <sz val="9"/>
            <color indexed="81"/>
            <rFont val="Tahoma"/>
            <family val="2"/>
          </rPr>
          <t>Invalid value</t>
        </r>
      </text>
    </comment>
    <comment ref="K158" authorId="0">
      <text>
        <r>
          <rPr>
            <sz val="9"/>
            <color indexed="81"/>
            <rFont val="Tahoma"/>
            <family val="2"/>
          </rPr>
          <t>Invalid value</t>
        </r>
      </text>
    </comment>
    <comment ref="L158" authorId="0">
      <text>
        <r>
          <rPr>
            <sz val="9"/>
            <color indexed="81"/>
            <rFont val="Tahoma"/>
            <family val="2"/>
          </rPr>
          <t>Invalid value</t>
        </r>
      </text>
    </comment>
    <comment ref="M158" authorId="0">
      <text>
        <r>
          <rPr>
            <sz val="9"/>
            <color indexed="81"/>
            <rFont val="Tahoma"/>
            <family val="2"/>
          </rPr>
          <t>Invalid value</t>
        </r>
      </text>
    </comment>
    <comment ref="N158" authorId="0">
      <text>
        <r>
          <rPr>
            <sz val="9"/>
            <color indexed="81"/>
            <rFont val="Tahoma"/>
            <family val="2"/>
          </rPr>
          <t>Invalid value</t>
        </r>
      </text>
    </comment>
    <comment ref="O158" authorId="0">
      <text>
        <r>
          <rPr>
            <sz val="9"/>
            <color indexed="81"/>
            <rFont val="Tahoma"/>
            <family val="2"/>
          </rPr>
          <t>Invalid value</t>
        </r>
      </text>
    </comment>
    <comment ref="H159" authorId="0">
      <text>
        <r>
          <rPr>
            <sz val="9"/>
            <color indexed="81"/>
            <rFont val="Tahoma"/>
            <family val="2"/>
          </rPr>
          <t>Invalid value</t>
        </r>
      </text>
    </comment>
    <comment ref="I159" authorId="0">
      <text>
        <r>
          <rPr>
            <sz val="9"/>
            <color indexed="81"/>
            <rFont val="Tahoma"/>
            <family val="2"/>
          </rPr>
          <t>Invalid value</t>
        </r>
      </text>
    </comment>
    <comment ref="J159" authorId="0">
      <text>
        <r>
          <rPr>
            <sz val="9"/>
            <color indexed="81"/>
            <rFont val="Tahoma"/>
            <family val="2"/>
          </rPr>
          <t>Invalid value</t>
        </r>
      </text>
    </comment>
    <comment ref="K159" authorId="0">
      <text>
        <r>
          <rPr>
            <sz val="9"/>
            <color indexed="81"/>
            <rFont val="Tahoma"/>
            <family val="2"/>
          </rPr>
          <t>Invalid value</t>
        </r>
      </text>
    </comment>
    <comment ref="L159" authorId="0">
      <text>
        <r>
          <rPr>
            <sz val="9"/>
            <color indexed="81"/>
            <rFont val="Tahoma"/>
            <family val="2"/>
          </rPr>
          <t>Invalid value</t>
        </r>
      </text>
    </comment>
    <comment ref="M159" authorId="0">
      <text>
        <r>
          <rPr>
            <sz val="9"/>
            <color indexed="81"/>
            <rFont val="Tahoma"/>
            <family val="2"/>
          </rPr>
          <t>Invalid value</t>
        </r>
      </text>
    </comment>
    <comment ref="N159" authorId="0">
      <text>
        <r>
          <rPr>
            <sz val="9"/>
            <color indexed="81"/>
            <rFont val="Tahoma"/>
            <family val="2"/>
          </rPr>
          <t>Invalid value</t>
        </r>
      </text>
    </comment>
    <comment ref="O159" authorId="0">
      <text>
        <r>
          <rPr>
            <sz val="9"/>
            <color indexed="81"/>
            <rFont val="Tahoma"/>
            <family val="2"/>
          </rPr>
          <t>Invalid value</t>
        </r>
      </text>
    </comment>
  </commentList>
</comments>
</file>

<file path=xl/comments11.xml><?xml version="1.0" encoding="utf-8"?>
<comments xmlns="http://schemas.openxmlformats.org/spreadsheetml/2006/main">
  <authors>
    <author>RODRIGUEZ DEL RIO Carlos (ECFIN)</author>
  </authors>
  <commentList>
    <comment ref="A11" authorId="0">
      <text>
        <r>
          <rPr>
            <sz val="9"/>
            <color indexed="81"/>
            <rFont val="Tahoma"/>
            <family val="2"/>
          </rPr>
          <t>Saved by NET1\RODCARL on 26/06/2018 15:43:26
Latest revision date 26/06/2018 15:43:25</t>
        </r>
      </text>
    </comment>
  </commentList>
</comments>
</file>

<file path=xl/connections.xml><?xml version="1.0" encoding="utf-8"?>
<connections xmlns="http://schemas.openxmlformats.org/spreadsheetml/2006/main">
  <connection id="1" name="Connection34" type="4" refreshedVersion="4" background="1" saveData="1">
    <webPr sourceData="1" parsePre="1" consecutive="1" xl2000="1" url="http://intragate.ec.europa.eu/scopax/dfm/web_query/qy_transfer_matrix.cfm?cty=LT" htmlTables="1" htmlFormat="all"/>
  </connection>
  <connection id="2" name="Connection341" type="4" refreshedVersion="4" background="1" saveData="1">
    <webPr sourceData="1" parsePre="1" consecutive="1" xl2000="1" url="http://intragate.ec.europa.eu/scopax/dfm/web_query/qy_transfer_matrix.cfm?cty=LT&amp;cvt=1" htmlTables="1" htmlFormat="all"/>
  </connection>
  <connection id="3" name="Connection342" type="4" refreshedVersion="4" background="1" saveData="1">
    <webPr sourceData="1" parsePre="1" consecutive="1" xl2000="1" url="http://intragate.ec.europa.eu/scopax/dfm/web_query/qy_transfer_matrix.cfm?cty=LT&amp;cvt=1" htmlTables="1" htmlFormat="all"/>
  </connection>
  <connection id="4" name="Connection35" type="4" refreshedVersion="4" background="1" saveData="1">
    <webPr sourceData="1" parsePre="1" consecutive="1" xl2000="1" url="http://intragate.ec.europa.eu/scopax/dfm/web_query/qy_additional_impact.cfm?cty=LT" htmlTables="1" htmlFormat="all"/>
  </connection>
  <connection id="5" name="Connection351" type="4" refreshedVersion="4" background="1" saveData="1">
    <webPr sourceData="1" parsePre="1" consecutive="1" xl2000="1" url="http://intragate.ec.europa.eu/scopax/dfm/web_query/qy_additional_impact.cfm?cty=LT&amp;cvt=1" htmlTables="1" htmlFormat="all"/>
  </connection>
  <connection id="6" name="Connection352" type="4" refreshedVersion="4" background="1" saveData="1">
    <webPr sourceData="1" parsePre="1" consecutive="1" xl2000="1" url="http://intragate.ec.europa.eu/scopax/dfm/web_query/qy_additional_impact.cfm?cty=LT&amp;cvt=1" htmlTables="1" htmlFormat="all"/>
  </connection>
</connections>
</file>

<file path=xl/sharedStrings.xml><?xml version="1.0" encoding="utf-8"?>
<sst xmlns="http://schemas.openxmlformats.org/spreadsheetml/2006/main" count="13016" uniqueCount="2610">
  <si>
    <t>Other current transfers (Net) (D.7)</t>
  </si>
  <si>
    <t>RowTON</t>
  </si>
  <si>
    <t xml:space="preserve"> L36+L37+L38+L42+L43+L44</t>
  </si>
  <si>
    <t xml:space="preserve"> L45+L46</t>
  </si>
  <si>
    <t xml:space="preserve"> L61</t>
  </si>
  <si>
    <t xml:space="preserve"> L36:L1</t>
  </si>
  <si>
    <t xml:space="preserve"> L37:L2</t>
  </si>
  <si>
    <t xml:space="preserve"> L38:L3</t>
  </si>
  <si>
    <t xml:space="preserve"> L39:L4</t>
  </si>
  <si>
    <t xml:space="preserve"> L40:L5</t>
  </si>
  <si>
    <t>$HComp</t>
  </si>
  <si>
    <t>YHTSoc(1)</t>
  </si>
  <si>
    <t>YHTSoc(2)</t>
  </si>
  <si>
    <t>YHTO</t>
  </si>
  <si>
    <t>$HTaxSoc</t>
  </si>
  <si>
    <t>$HTO</t>
  </si>
  <si>
    <t>HChEqPenR</t>
  </si>
  <si>
    <t>YHTCap</t>
  </si>
  <si>
    <t>$HTCap</t>
  </si>
  <si>
    <t>HNonFinN</t>
  </si>
  <si>
    <t>B.1g (HH)</t>
  </si>
  <si>
    <t>D.29p (HH)</t>
  </si>
  <si>
    <t>D.39r (HH)</t>
  </si>
  <si>
    <t>D.1r (HH)</t>
  </si>
  <si>
    <r>
      <t>Quart</t>
    </r>
    <r>
      <rPr>
        <sz val="11"/>
        <rFont val="Arial"/>
        <family val="2"/>
      </rPr>
      <t xml:space="preserve"> contains all variables to be forecasted on a quarterly basis and has </t>
    </r>
    <r>
      <rPr>
        <b/>
        <sz val="11"/>
        <rFont val="Arial"/>
        <family val="2"/>
      </rPr>
      <t>one column per quarter</t>
    </r>
    <r>
      <rPr>
        <sz val="11"/>
        <rFont val="Arial"/>
        <family val="2"/>
      </rPr>
      <t>.</t>
    </r>
  </si>
  <si>
    <r>
      <t xml:space="preserve">The sheet also checks the </t>
    </r>
    <r>
      <rPr>
        <b/>
        <sz val="11"/>
        <rFont val="Arial"/>
        <family val="2"/>
      </rPr>
      <t>consistency</t>
    </r>
    <r>
      <rPr>
        <sz val="11"/>
        <rFont val="Arial"/>
        <family val="2"/>
      </rPr>
      <t xml:space="preserve"> between annual figures and quarters.</t>
    </r>
  </si>
  <si>
    <t>HICP Q UNPROCESSED FOOD</t>
  </si>
  <si>
    <t>2007Q2</t>
  </si>
  <si>
    <t>2007Q3</t>
  </si>
  <si>
    <t>2007Q4</t>
  </si>
  <si>
    <t>2008Q1</t>
  </si>
  <si>
    <t>2008Q2</t>
  </si>
  <si>
    <t>2008Q3</t>
  </si>
  <si>
    <t>2008Q4</t>
  </si>
  <si>
    <t>D.11r (HH)</t>
  </si>
  <si>
    <t>D.1p</t>
  </si>
  <si>
    <t>D.4r (HH)</t>
  </si>
  <si>
    <t>D.4p (HH)</t>
  </si>
  <si>
    <t>D.61r (HH)</t>
  </si>
  <si>
    <t>D.62r (HH)</t>
  </si>
  <si>
    <t>Contribution to % change in cost</t>
  </si>
  <si>
    <r>
      <t xml:space="preserve">All variables (aggregates) affected by chain linking are marked in </t>
    </r>
    <r>
      <rPr>
        <b/>
        <sz val="11"/>
        <color indexed="10"/>
        <rFont val="Arial"/>
        <family val="2"/>
      </rPr>
      <t xml:space="preserve">red </t>
    </r>
    <r>
      <rPr>
        <sz val="11"/>
        <rFont val="Arial"/>
        <family val="2"/>
      </rPr>
      <t xml:space="preserve">and have </t>
    </r>
    <r>
      <rPr>
        <b/>
        <sz val="11"/>
        <color indexed="10"/>
        <rFont val="Arial"/>
        <family val="2"/>
      </rPr>
      <t>AG</t>
    </r>
    <r>
      <rPr>
        <sz val="11"/>
        <rFont val="Arial"/>
        <family val="2"/>
      </rPr>
      <t xml:space="preserve"> in the left margin. </t>
    </r>
  </si>
  <si>
    <t>Hours worked per person</t>
  </si>
  <si>
    <t>Other capital transfers (D.9r-D.91r)</t>
  </si>
  <si>
    <t xml:space="preserve">   6. Export markets total</t>
  </si>
  <si>
    <t xml:space="preserve">   Domestic demand</t>
  </si>
  <si>
    <t>VDDE</t>
  </si>
  <si>
    <t>VDDI</t>
  </si>
  <si>
    <t>VFD</t>
  </si>
  <si>
    <t xml:space="preserve">   Consumption expenditure (P.3)</t>
  </si>
  <si>
    <t xml:space="preserve">   Employment</t>
  </si>
  <si>
    <t xml:space="preserve">   Hours worked / FTE Employment</t>
  </si>
  <si>
    <t>HICP (calculated)</t>
  </si>
  <si>
    <t>*172</t>
  </si>
  <si>
    <t>*173</t>
  </si>
  <si>
    <t>*174</t>
  </si>
  <si>
    <t>*175</t>
  </si>
  <si>
    <t>In sheet Transfer: change the global setting 'Last forecast year' to the desired value.</t>
  </si>
  <si>
    <t>Employer's social contr. / employee (private)</t>
  </si>
  <si>
    <t>Employer's social contr. / employee (public)</t>
  </si>
  <si>
    <t>Table 3</t>
  </si>
  <si>
    <t xml:space="preserve">  By sector</t>
  </si>
  <si>
    <t xml:space="preserve">  1. General government</t>
  </si>
  <si>
    <t>S13</t>
  </si>
  <si>
    <t xml:space="preserve">  2. Other domestic sectors</t>
  </si>
  <si>
    <t>S1-S13</t>
  </si>
  <si>
    <t>This table is used for ...</t>
  </si>
  <si>
    <t>wages and salaries</t>
  </si>
  <si>
    <t>Global settings:</t>
  </si>
  <si>
    <t xml:space="preserve">VAL. Exports of goods and services </t>
  </si>
  <si>
    <t>The growth rates will then be calculated in VVP1 (in previous year's prices) and used to calculate aggregates in constant prices.</t>
  </si>
  <si>
    <r>
      <t xml:space="preserve">The labour sheet is used to forecast all variables related to the </t>
    </r>
    <r>
      <rPr>
        <b/>
        <sz val="11"/>
        <rFont val="Arial"/>
        <family val="2"/>
      </rPr>
      <t>labour market</t>
    </r>
    <r>
      <rPr>
        <sz val="11"/>
        <rFont val="Arial"/>
        <family val="2"/>
      </rPr>
      <t xml:space="preserve"> (population, employment, wages &amp; productivity).</t>
    </r>
  </si>
  <si>
    <t>Here, volumes are expressed in constant prices (e.g. prices of 2000).</t>
  </si>
  <si>
    <t>HICP mid-year index average</t>
  </si>
  <si>
    <t xml:space="preserve">   20. Gross domestic product at market prices ( 16 + 17 )</t>
  </si>
  <si>
    <t xml:space="preserve"> L47-L50+L51</t>
  </si>
  <si>
    <t>volumes (only for the major expenditure variables)</t>
  </si>
  <si>
    <t>values (euro, persons, ...), and in some cases also:</t>
  </si>
  <si>
    <t>EXPORTS OF GOODS INTRA-EU (FOB)</t>
  </si>
  <si>
    <t>$XGIntr</t>
  </si>
  <si>
    <t>EXPORTS OF GOODS EXTRA-EU (FOB)</t>
  </si>
  <si>
    <t>$XGExtr</t>
  </si>
  <si>
    <t>IMPORTS OF GOODS INTRA-EU (CIF)</t>
  </si>
  <si>
    <t>$MGIntr</t>
  </si>
  <si>
    <t>IMPORTS OF GOODS EXTRA-EU (CIF)</t>
  </si>
  <si>
    <t>$MGExtr</t>
  </si>
  <si>
    <t xml:space="preserve">  25. One-off measures (expenditure side)</t>
  </si>
  <si>
    <t xml:space="preserve">  24. One-off measures (revenue side)</t>
  </si>
  <si>
    <t>GG COLLECTIVE CONSUMPTION EXPENDITURE</t>
  </si>
  <si>
    <t>GG SOCIAL TRANSFERS IN KIND</t>
  </si>
  <si>
    <t>GG COMPENSATION OF EMPLOYEES</t>
  </si>
  <si>
    <t>[Table 8.12]</t>
  </si>
  <si>
    <t xml:space="preserve">   Gross savings (B.8g - private sector)</t>
  </si>
  <si>
    <t>growth rates</t>
  </si>
  <si>
    <t>Structure</t>
  </si>
  <si>
    <t>Balances (constant prices)</t>
  </si>
  <si>
    <t>Imports (current prices)</t>
  </si>
  <si>
    <t>Balances (current prices)</t>
  </si>
  <si>
    <t>$Pr$ICstNonR</t>
  </si>
  <si>
    <t>$Pr$Eq</t>
  </si>
  <si>
    <t>Table 11</t>
  </si>
  <si>
    <t>This will store the matrix as a txt file on your local D:\data folder.</t>
  </si>
  <si>
    <t>((L113+L131 t ÷ L113+L131 t-1) - (L162 col 1 × (L36 t ÷ L36 t-1))) × (L113+L131 t-1 ÷ L47 t)</t>
  </si>
  <si>
    <t>Try this only if you feel lucky or if you are a very experienced user who is fully aware of the deep consequences.</t>
  </si>
  <si>
    <r>
      <t>Important remark 1</t>
    </r>
    <r>
      <rPr>
        <sz val="11"/>
        <rFont val="Arial"/>
        <family val="2"/>
      </rPr>
      <t xml:space="preserve">: indicate if the country uses </t>
    </r>
    <r>
      <rPr>
        <b/>
        <sz val="11"/>
        <color indexed="10"/>
        <rFont val="Arial"/>
        <family val="2"/>
      </rPr>
      <t>chain linking</t>
    </r>
    <r>
      <rPr>
        <sz val="11"/>
        <rFont val="Arial"/>
        <family val="2"/>
      </rPr>
      <t xml:space="preserve"> (YES / NO) in VVP1 (top left corner)</t>
    </r>
  </si>
  <si>
    <r>
      <t>Important remark 2</t>
    </r>
    <r>
      <rPr>
        <sz val="11"/>
        <rFont val="Arial"/>
        <family val="2"/>
      </rPr>
      <t xml:space="preserve">: indicate if you want to report in </t>
    </r>
    <r>
      <rPr>
        <b/>
        <sz val="11"/>
        <color indexed="10"/>
        <rFont val="Arial"/>
        <family val="2"/>
      </rPr>
      <t>previous year prices</t>
    </r>
    <r>
      <rPr>
        <sz val="11"/>
        <rFont val="Arial"/>
        <family val="2"/>
      </rPr>
      <t xml:space="preserve"> (YES / NO) in VVP1 (top left corner)</t>
    </r>
  </si>
  <si>
    <t xml:space="preserve">   11. - of wich, external balance of goods and services</t>
  </si>
  <si>
    <t xml:space="preserve">   11a. - of wich, goods</t>
  </si>
  <si>
    <t xml:space="preserve">   11b. - of wich, services</t>
  </si>
  <si>
    <t xml:space="preserve">   13. Gross national income at market prices (10+12)</t>
  </si>
  <si>
    <t xml:space="preserve">   14. Compensation of employees</t>
  </si>
  <si>
    <t xml:space="preserve">   15. Gross operating surplus and mixed income</t>
  </si>
  <si>
    <t xml:space="preserve">If you choose NO your volume data will be transfered in constant prices. </t>
  </si>
  <si>
    <t>$IO(2)</t>
  </si>
  <si>
    <t>ETCapN</t>
  </si>
  <si>
    <t>D.9 (E)</t>
  </si>
  <si>
    <t>D.4 (E)</t>
  </si>
  <si>
    <r>
      <t xml:space="preserve">Then use the shortcut </t>
    </r>
    <r>
      <rPr>
        <b/>
        <sz val="11"/>
        <rFont val="Arial"/>
        <family val="2"/>
      </rPr>
      <t>EU4CAST</t>
    </r>
    <r>
      <rPr>
        <sz val="11"/>
        <rFont val="Arial"/>
        <family val="2"/>
      </rPr>
      <t xml:space="preserve"> on your desktop to store this file into the central forecast system. </t>
    </r>
  </si>
  <si>
    <r>
      <t xml:space="preserve">The information in Sectors 1 is </t>
    </r>
    <r>
      <rPr>
        <b/>
        <sz val="11"/>
        <rFont val="Arial"/>
        <family val="2"/>
      </rPr>
      <t>a more detailed version of standard output tables</t>
    </r>
    <r>
      <rPr>
        <sz val="11"/>
        <rFont val="Arial"/>
        <family val="2"/>
      </rPr>
      <t xml:space="preserve"> 8 - 11.</t>
    </r>
  </si>
  <si>
    <t xml:space="preserve">  9a.  - of which, services</t>
  </si>
  <si>
    <t xml:space="preserve"> L46</t>
  </si>
  <si>
    <t xml:space="preserve"> L47</t>
  </si>
  <si>
    <t>B.11</t>
  </si>
  <si>
    <t>HH GROSS OPERATION SURPLUS</t>
  </si>
  <si>
    <t>YHGos</t>
  </si>
  <si>
    <t xml:space="preserve"> (L113+L114+L115+L117+L143) - (L120+L121+L122+L123+L124+L145+L146)</t>
  </si>
  <si>
    <t xml:space="preserve"> L126</t>
  </si>
  <si>
    <t xml:space="preserve"> L100</t>
  </si>
  <si>
    <t xml:space="preserve"> L101</t>
  </si>
  <si>
    <t xml:space="preserve"> L102</t>
  </si>
  <si>
    <t xml:space="preserve"> L103</t>
  </si>
  <si>
    <t xml:space="preserve"> L105</t>
  </si>
  <si>
    <t xml:space="preserve"> L106</t>
  </si>
  <si>
    <t xml:space="preserve"> L108</t>
  </si>
  <si>
    <t>2. Taxes less subsidies on products (D.21 - D.31) are forecasted for the total economy in Sector1</t>
  </si>
  <si>
    <t>At sectoral level:</t>
  </si>
  <si>
    <t>Implicitly, GVA for the total economy is forecasted as B.1g - (D.21 - D.31)</t>
  </si>
  <si>
    <t xml:space="preserve"> External files XXXKEY (XXX : 3-letter country name) created in ECFIN A-4 Consistency exercise</t>
  </si>
  <si>
    <t>a. Volumes, value and prices</t>
  </si>
  <si>
    <t>b. Quarterly sheet</t>
  </si>
  <si>
    <t>c. Labour sheet</t>
  </si>
  <si>
    <t>As a rule, the user can insert as many additional lines as needed without impact on the transfer matrix.</t>
  </si>
  <si>
    <t>Extra-EU imports of goods</t>
  </si>
  <si>
    <t>Imports of goods (P.61)</t>
  </si>
  <si>
    <t>MGIntr</t>
  </si>
  <si>
    <t>$MFob</t>
  </si>
  <si>
    <t>MGExtr</t>
  </si>
  <si>
    <t>In sheets VVP2, Labour1 and Sector1: select the column for t-2 and copy it to the right (overwriting the old forecast column for t-1).</t>
  </si>
  <si>
    <t>External balance as % of GDP</t>
  </si>
  <si>
    <t>C.</t>
  </si>
  <si>
    <t>International investment position</t>
  </si>
  <si>
    <t>Gross assets</t>
  </si>
  <si>
    <t>BoL</t>
  </si>
  <si>
    <t>AMECO: USLFRW</t>
  </si>
  <si>
    <t xml:space="preserve">  of which, equity</t>
  </si>
  <si>
    <t>AMECO: USLF5RW</t>
  </si>
  <si>
    <t xml:space="preserve">  4. Equipment</t>
  </si>
  <si>
    <t>Pi6(2+3)</t>
  </si>
  <si>
    <t>Total current resources</t>
  </si>
  <si>
    <t>Total current expenditure</t>
  </si>
  <si>
    <t>[Table 10.5]</t>
  </si>
  <si>
    <t>$AO</t>
  </si>
  <si>
    <t>[Table 10.14]</t>
  </si>
  <si>
    <t>Total expenditure</t>
  </si>
  <si>
    <t>Capital expenditure</t>
  </si>
  <si>
    <t>INDUSTRIAL PRODUCTION</t>
  </si>
  <si>
    <t>Debt dynamics</t>
  </si>
  <si>
    <t>Gross value added</t>
  </si>
  <si>
    <t>XFob</t>
  </si>
  <si>
    <t>XG</t>
  </si>
  <si>
    <t xml:space="preserve">MCif </t>
  </si>
  <si>
    <t>XS</t>
  </si>
  <si>
    <t>MS</t>
  </si>
  <si>
    <t>MG</t>
  </si>
  <si>
    <t>ATaxProd</t>
  </si>
  <si>
    <t xml:space="preserve"> 15. Compensation of employees</t>
  </si>
  <si>
    <t xml:space="preserve"> 10. Output gap (relative to trend)</t>
  </si>
  <si>
    <t xml:space="preserve"> 11. Employment</t>
  </si>
  <si>
    <t xml:space="preserve"> 12. Unemployment rate (level) (Eurostat)</t>
  </si>
  <si>
    <r>
      <t>&lt;</t>
    </r>
    <r>
      <rPr>
        <sz val="12"/>
        <color indexed="9"/>
        <rFont val="Arial"/>
        <family val="2"/>
      </rPr>
      <t>===</t>
    </r>
  </si>
  <si>
    <t>and here is the comparison matrix.</t>
  </si>
  <si>
    <t xml:space="preserve"> 21. Net lending (EDP)</t>
  </si>
  <si>
    <t xml:space="preserve">   4. Exports of services (a)</t>
  </si>
  <si>
    <t xml:space="preserve">   8a. - of which, balance of primary income</t>
  </si>
  <si>
    <t xml:space="preserve"> 13. GDP per person employed</t>
  </si>
  <si>
    <t>Capital transfers (D.9p)</t>
  </si>
  <si>
    <t xml:space="preserve"> (((L47+L123+L133) - (L113+L131)) : L47) x (((L47+L123+L133) - (L113+L131)) : L12)</t>
  </si>
  <si>
    <t>Table 6</t>
  </si>
  <si>
    <t>ESA</t>
  </si>
  <si>
    <t>WHOLE ECONOMY</t>
  </si>
  <si>
    <t>Table 7</t>
  </si>
  <si>
    <t xml:space="preserve">   2b.  - of which, paid by corporations</t>
  </si>
  <si>
    <t xml:space="preserve">   5. Total current revenue (1+2+3+4)</t>
  </si>
  <si>
    <t xml:space="preserve">   Wages and salaries, employer's social contributions and compensation of employees</t>
  </si>
  <si>
    <t xml:space="preserve"> ((L43-L45) + (L44-L46)) + (L140+L141)</t>
  </si>
  <si>
    <t xml:space="preserve"> Table-line 8 : L47</t>
  </si>
  <si>
    <t xml:space="preserve"> L43</t>
  </si>
  <si>
    <t xml:space="preserve"> L45</t>
  </si>
  <si>
    <t xml:space="preserve"> Table-line 3 : L47</t>
  </si>
  <si>
    <t xml:space="preserve"> Table-line 6 : L47</t>
  </si>
  <si>
    <t xml:space="preserve"> (L43-L45) + (L44-L46)</t>
  </si>
  <si>
    <t xml:space="preserve"> Table-line 7 : L47</t>
  </si>
  <si>
    <t xml:space="preserve"> L140+L141</t>
  </si>
  <si>
    <t xml:space="preserve"> L141</t>
  </si>
  <si>
    <t xml:space="preserve"> L147</t>
  </si>
  <si>
    <t>CONSISTENCY ANALYSIS OF REVENUE FORECASTS</t>
  </si>
  <si>
    <t>Capital transfers (paid - received) (D.9)</t>
  </si>
  <si>
    <t>YECapN</t>
  </si>
  <si>
    <t>Current transfers (Net)</t>
  </si>
  <si>
    <t>ETN</t>
  </si>
  <si>
    <t>Swaps</t>
  </si>
  <si>
    <t>$Swap</t>
  </si>
  <si>
    <t>Interest paid (D.41p - EDP)</t>
  </si>
  <si>
    <t xml:space="preserve">   18. - taxes on products</t>
  </si>
  <si>
    <t xml:space="preserve">   19. - subsidies on products</t>
  </si>
  <si>
    <t>$ATaxProd</t>
  </si>
  <si>
    <t>D.29p (GVT)</t>
  </si>
  <si>
    <t>D.39r (GVT)</t>
  </si>
  <si>
    <t>YASubProd</t>
  </si>
  <si>
    <t>Check:</t>
  </si>
  <si>
    <t>Employer's social contributions (% of total compensation)</t>
  </si>
  <si>
    <t xml:space="preserve">  10. Gross domestic product at market prices</t>
  </si>
  <si>
    <t xml:space="preserve"> L24</t>
  </si>
  <si>
    <t>VAL. FIXED INVESTMENT MANUFACTURING</t>
  </si>
  <si>
    <t xml:space="preserve">   1. Taxes on production and imports</t>
  </si>
  <si>
    <t>D2</t>
  </si>
  <si>
    <t>International investment position (external assets and liabilities)</t>
  </si>
  <si>
    <r>
      <t>Capital transfers (</t>
    </r>
    <r>
      <rPr>
        <b/>
        <sz val="10"/>
        <color indexed="10"/>
        <rFont val="Arial"/>
        <family val="2"/>
      </rPr>
      <t>paid - received</t>
    </r>
    <r>
      <rPr>
        <sz val="10"/>
        <rFont val="Arial"/>
        <family val="2"/>
      </rPr>
      <t>) (D.9)</t>
    </r>
  </si>
  <si>
    <t>Employer's social contr. / employee (in % of wages)</t>
  </si>
  <si>
    <t xml:space="preserve"> 12. HICP</t>
  </si>
  <si>
    <t xml:space="preserve">   8. Social transfers in kind supplied via market producers</t>
  </si>
  <si>
    <t xml:space="preserve">  10. Interest</t>
  </si>
  <si>
    <t xml:space="preserve">  11. Subsidies</t>
  </si>
  <si>
    <t xml:space="preserve">  12. Other current expenditure</t>
  </si>
  <si>
    <t xml:space="preserve">  13. Total current expenditure (6+7+8+9+10+11+12)</t>
  </si>
  <si>
    <t>N</t>
  </si>
  <si>
    <t>p.m. Employers' social contributions</t>
  </si>
  <si>
    <t>$ETSocD</t>
  </si>
  <si>
    <t>Self employed</t>
  </si>
  <si>
    <t>$AIswap / $Debt(t-1)</t>
  </si>
  <si>
    <t>Government consumption</t>
  </si>
  <si>
    <t>ACIndv</t>
  </si>
  <si>
    <t>ACColl</t>
  </si>
  <si>
    <r>
      <t>You can make as many '</t>
    </r>
    <r>
      <rPr>
        <b/>
        <sz val="11"/>
        <rFont val="Arial"/>
        <family val="2"/>
      </rPr>
      <t>private storages</t>
    </r>
    <r>
      <rPr>
        <sz val="11"/>
        <rFont val="Arial"/>
        <family val="2"/>
      </rPr>
      <t>' as you wish. However, a '</t>
    </r>
    <r>
      <rPr>
        <b/>
        <sz val="11"/>
        <rFont val="Arial"/>
        <family val="2"/>
      </rPr>
      <t>shared storage</t>
    </r>
    <r>
      <rPr>
        <sz val="11"/>
        <rFont val="Arial"/>
        <family val="2"/>
      </rPr>
      <t>' is final and irreversible.</t>
    </r>
  </si>
  <si>
    <t>For example: In the quarterly sheet, usually information on HICP available sooner than data on expenditure.</t>
  </si>
  <si>
    <t>*1</t>
  </si>
  <si>
    <t>*2</t>
  </si>
  <si>
    <t>*4</t>
  </si>
  <si>
    <t>*5</t>
  </si>
  <si>
    <t>*6</t>
  </si>
  <si>
    <t>*3</t>
  </si>
  <si>
    <t>*7</t>
  </si>
  <si>
    <t>*9</t>
  </si>
  <si>
    <t>*8</t>
  </si>
  <si>
    <t>*11</t>
  </si>
  <si>
    <t>*10</t>
  </si>
  <si>
    <t>*12</t>
  </si>
  <si>
    <t>*28</t>
  </si>
  <si>
    <t>*58</t>
  </si>
  <si>
    <t xml:space="preserve">   2. Intermediate consumption</t>
  </si>
  <si>
    <t xml:space="preserve">   3. Social transfers in kind via market producers</t>
  </si>
  <si>
    <t xml:space="preserve">   2. Non-labour income, net</t>
  </si>
  <si>
    <t>B2g+B3g+D4</t>
  </si>
  <si>
    <t xml:space="preserve">   9. Imports of goods and services </t>
  </si>
  <si>
    <t>P7</t>
  </si>
  <si>
    <t>European Commission, Office BU-1 01/111</t>
  </si>
  <si>
    <t>Year total implicit in quarterly profile</t>
  </si>
  <si>
    <t>USE AND SUPPLY OF GOODS AND SERVICES, VOLUMES (ESA, AT 1995 PRICES)</t>
  </si>
  <si>
    <t>Percentage change from previous quarter</t>
  </si>
  <si>
    <t xml:space="preserve"> L16</t>
  </si>
  <si>
    <t xml:space="preserve"> L19</t>
  </si>
  <si>
    <t xml:space="preserve"> L21</t>
  </si>
  <si>
    <t>LempRow</t>
  </si>
  <si>
    <t>LempD</t>
  </si>
  <si>
    <t>Wages &amp; salaries / employee (private)</t>
  </si>
  <si>
    <t>Wages &amp; salaries / employee (public)</t>
  </si>
  <si>
    <t>--</t>
  </si>
  <si>
    <t xml:space="preserve">  5. Other</t>
  </si>
  <si>
    <t>GG ONE-OFF MEASURES</t>
  </si>
  <si>
    <t>Volumes</t>
  </si>
  <si>
    <t>AC</t>
  </si>
  <si>
    <t>GDP</t>
  </si>
  <si>
    <t>TC</t>
  </si>
  <si>
    <t>Avg. ann. hours worked / person</t>
  </si>
  <si>
    <t>Growth rate</t>
  </si>
  <si>
    <t>IIP as percentages of GDP</t>
  </si>
  <si>
    <t>H.</t>
  </si>
  <si>
    <t>In the input sheets, fill in the name of the sheet in data_p where a variable is stored (in column D) and its identifying number (in column E).</t>
  </si>
  <si>
    <t xml:space="preserve">  3b.  - of which, equipment </t>
  </si>
  <si>
    <t>ACTIVITY RATE (Struct. Ind. def, calc by B-5)</t>
  </si>
  <si>
    <t xml:space="preserve">   6. Compensation of employees</t>
  </si>
  <si>
    <t xml:space="preserve">   7. Intermediate consumption</t>
  </si>
  <si>
    <t>GG OTHER CAPITAL EXPENDITURE, NET</t>
  </si>
  <si>
    <t xml:space="preserve"> (L113+L114+L115+L117+L125+L143)-(L120+L121+L123+L124+L126+L127+L145+L146)</t>
  </si>
  <si>
    <t xml:space="preserve">   6. Total imports (4 + 5)</t>
  </si>
  <si>
    <t xml:space="preserve">   7. Trade balance (fob/cif) (3 - 6)</t>
  </si>
  <si>
    <t>Table 0</t>
  </si>
  <si>
    <t>ESA 95</t>
  </si>
  <si>
    <t>Level</t>
  </si>
  <si>
    <t>Exchange rates, annual average</t>
  </si>
  <si>
    <t xml:space="preserve">   1. Effective (%change)</t>
  </si>
  <si>
    <t xml:space="preserve"> 11. Terms of trade of goods and services</t>
  </si>
  <si>
    <t>LUemp (Eurostat)</t>
  </si>
  <si>
    <t xml:space="preserve"> % GDP. Value divided by L47 (current GDP)</t>
  </si>
  <si>
    <t>GG UNPAID TAXES</t>
  </si>
  <si>
    <t xml:space="preserve"> ((L1+L2+L3(T)) - (L1+L2+L3(T-1))) : L12(T-1)</t>
  </si>
  <si>
    <t xml:space="preserve"> ((L7(T)) - (L7(T-1))) : L12(T-1)</t>
  </si>
  <si>
    <t xml:space="preserve"> ((L8+L9-L10-L11(T)) - (L8+L9-L10-L11(T-1))) : L12(T-1)</t>
  </si>
  <si>
    <t>Registered unemployment (Eurostat)</t>
  </si>
  <si>
    <t>LUempEstat</t>
  </si>
  <si>
    <t>Unemployment rate (Eurostat)</t>
  </si>
  <si>
    <t>p.m. Registered unemployment (national definition)</t>
  </si>
  <si>
    <t>B.1g</t>
  </si>
  <si>
    <t>B.1g (E)</t>
  </si>
  <si>
    <t>D.29p (E)</t>
  </si>
  <si>
    <t>D.1p (E)</t>
  </si>
  <si>
    <t>D.7r (E)</t>
  </si>
  <si>
    <t>YATO</t>
  </si>
  <si>
    <t>$ATO</t>
  </si>
  <si>
    <t>YACapTax</t>
  </si>
  <si>
    <t>YACapTO</t>
  </si>
  <si>
    <t>$AComp</t>
  </si>
  <si>
    <t xml:space="preserve">  12. Other capital expenditure, net</t>
  </si>
  <si>
    <t xml:space="preserve">  13a. p.m. 13 as % of GDP</t>
  </si>
  <si>
    <t>Table 10</t>
  </si>
  <si>
    <t>RESOURCES AND EXPENDITURE OF GENERAL GOVERNMENT (S13)</t>
  </si>
  <si>
    <t xml:space="preserve">   2. Current taxes on income and wealth</t>
  </si>
  <si>
    <t>Property income from ROW (negative means paid) (D.4)</t>
  </si>
  <si>
    <t>Net liability dynamics (percentages of GDP)</t>
  </si>
  <si>
    <t xml:space="preserve">  o/w real GDP growth</t>
  </si>
  <si>
    <t xml:space="preserve">  o/w price and ER changes</t>
  </si>
  <si>
    <t>Change in NL ratio</t>
  </si>
  <si>
    <t>Table 10b</t>
  </si>
  <si>
    <t>HH GROSS WAGES AND SALARIES</t>
  </si>
  <si>
    <t>YHW</t>
  </si>
  <si>
    <t xml:space="preserve">   1. Ex ante elasticity with respect to nominal GDP</t>
  </si>
  <si>
    <t xml:space="preserve">   1. Ex ante elasticity with respect to compensation of employees</t>
  </si>
  <si>
    <t>GVT+EXT</t>
  </si>
  <si>
    <t>/</t>
  </si>
  <si>
    <t>YCompAvD</t>
  </si>
  <si>
    <t xml:space="preserve">   3a.  - of which, actual social contributions</t>
  </si>
  <si>
    <t>D611</t>
  </si>
  <si>
    <t>Table 9</t>
  </si>
  <si>
    <t>YHComp</t>
  </si>
  <si>
    <t>Employer's social contributions</t>
  </si>
  <si>
    <t>Productivity</t>
  </si>
  <si>
    <t xml:space="preserve">  By type of asset</t>
  </si>
  <si>
    <t>Pi6</t>
  </si>
  <si>
    <t xml:space="preserve">  3. Construction</t>
  </si>
  <si>
    <t>HARMONISED INDEX OF CONSUMER PRICES</t>
  </si>
  <si>
    <t>Percentage change from four quarters earlier</t>
  </si>
  <si>
    <t xml:space="preserve">Although the previous example is still relatively easy, integrating partial historical data can in some cases cause some complications. </t>
  </si>
  <si>
    <t>Annual HICP INDEX</t>
  </si>
  <si>
    <t>HICP Y INDEX NON-ENERGY INDUSTRIAL GOODS</t>
  </si>
  <si>
    <t>HICP Y INDEX ENERGY</t>
  </si>
  <si>
    <t>HICP Y INDEX PROCESSED FOOD INCL. ALCOHOL AND TOBACCO</t>
  </si>
  <si>
    <t>HICP Y INDEX UNPROCESSED FOOD</t>
  </si>
  <si>
    <t>HICP Y INDEX SERVICES</t>
  </si>
  <si>
    <t>Employer's social contributions (growth rates)</t>
  </si>
  <si>
    <t xml:space="preserve"> L1</t>
  </si>
  <si>
    <t xml:space="preserve"> L2</t>
  </si>
  <si>
    <t xml:space="preserve"> L1+L2+L3</t>
  </si>
  <si>
    <t xml:space="preserve"> L1+L2+L3+L7</t>
  </si>
  <si>
    <t xml:space="preserve"> L8+L9</t>
  </si>
  <si>
    <t xml:space="preserve"> L8</t>
  </si>
  <si>
    <t xml:space="preserve"> L9</t>
  </si>
  <si>
    <t xml:space="preserve"> L1+L2+L3+L7+L8+L9</t>
  </si>
  <si>
    <t xml:space="preserve"> L10+L11</t>
  </si>
  <si>
    <t xml:space="preserve"> L10</t>
  </si>
  <si>
    <t xml:space="preserve"> L11</t>
  </si>
  <si>
    <t xml:space="preserve"> L12</t>
  </si>
  <si>
    <t xml:space="preserve">  19. Total government expenditure (13+16+17)</t>
  </si>
  <si>
    <t xml:space="preserve">  18. Total government revenue (5+15)</t>
  </si>
  <si>
    <r>
      <t>VVP</t>
    </r>
    <r>
      <rPr>
        <sz val="11"/>
        <rFont val="Arial"/>
        <family val="2"/>
      </rPr>
      <t xml:space="preserve"> contains all variables for which volume, value and price developments have to be forecasted.</t>
    </r>
  </si>
  <si>
    <t>GVT: Capital transfers (D.9p)</t>
  </si>
  <si>
    <t>Acq. less disp. of non-fin. non-prod. assets (K.2)</t>
  </si>
  <si>
    <t>Gross fixed capital formation (P.51)</t>
  </si>
  <si>
    <t>Changes in inventories / valuables (P.52 + P.53)</t>
  </si>
  <si>
    <t>Net lending / net borrowing (B.9)</t>
  </si>
  <si>
    <t>As % of GDP</t>
  </si>
  <si>
    <t>The information in columns A, B and C of the input sheets is optional and for information only.</t>
  </si>
  <si>
    <t>P.53 (E)</t>
  </si>
  <si>
    <t>$EIny</t>
  </si>
  <si>
    <t>YESubProd</t>
  </si>
  <si>
    <t>$ATaxDir</t>
  </si>
  <si>
    <t>YATaxSocImp</t>
  </si>
  <si>
    <t>AChEqPenR</t>
  </si>
  <si>
    <t>YAProp</t>
  </si>
  <si>
    <t>COSTS AND PRICES</t>
  </si>
  <si>
    <t>PRODUCTIVITY AND UNIT LABOUR COSTS</t>
  </si>
  <si>
    <t>Compared to:</t>
  </si>
  <si>
    <t xml:space="preserve">  7b.  - of which, services</t>
  </si>
  <si>
    <t xml:space="preserve">  8. Final demand</t>
  </si>
  <si>
    <t xml:space="preserve">The identifying number is a unique code assigned to each variable in data_p. </t>
  </si>
  <si>
    <t>YHSubOth</t>
  </si>
  <si>
    <t>1. The input sheets</t>
  </si>
  <si>
    <t xml:space="preserve">   6. Services balance (a) (4-5)</t>
  </si>
  <si>
    <t>QUART. VOL. G.F.C.F. TOTAL (cols 2-13)</t>
  </si>
  <si>
    <r>
      <t xml:space="preserve">There is </t>
    </r>
    <r>
      <rPr>
        <b/>
        <sz val="11"/>
        <rFont val="Arial"/>
        <family val="2"/>
      </rPr>
      <t>no forecasting</t>
    </r>
    <r>
      <rPr>
        <sz val="11"/>
        <rFont val="Arial"/>
        <family val="2"/>
      </rPr>
      <t xml:space="preserve"> in Sectors2. All variables are forecasted in previous sheets.</t>
    </r>
  </si>
  <si>
    <t>3. Transfer matrix and tables</t>
  </si>
  <si>
    <t>VOL. FIXED INVESTMENT MANUFACTURING</t>
  </si>
  <si>
    <t>-</t>
  </si>
  <si>
    <t>Intra-EU imports of goods</t>
  </si>
  <si>
    <t>D.31p (GVT)</t>
  </si>
  <si>
    <t>$IO(1)</t>
  </si>
  <si>
    <t xml:space="preserve"> External file EFFC (ECFIN A-4 database)</t>
  </si>
  <si>
    <t xml:space="preserve">GG CAPITAL TRANSFERS, RECEIVED </t>
  </si>
  <si>
    <t>GG GROSS FIXED CAPITAL FORMATION</t>
  </si>
  <si>
    <t>% change on previous year</t>
  </si>
  <si>
    <t xml:space="preserve">  14. Other capital expenditure, net</t>
  </si>
  <si>
    <t>D9+K2</t>
  </si>
  <si>
    <t>D.5p (E)</t>
  </si>
  <si>
    <t>D.9r (E)</t>
  </si>
  <si>
    <t>UC</t>
  </si>
  <si>
    <t>YETCap</t>
  </si>
  <si>
    <t>D.9p (E)</t>
  </si>
  <si>
    <t>K.2</t>
  </si>
  <si>
    <t>P.51</t>
  </si>
  <si>
    <t>YEProp</t>
  </si>
  <si>
    <t>$Eprop</t>
  </si>
  <si>
    <t>D.39r (E)</t>
  </si>
  <si>
    <t>D.4r (E)</t>
  </si>
  <si>
    <t>D.4p (E)</t>
  </si>
  <si>
    <t>P.52 (E)</t>
  </si>
  <si>
    <t>2. The forecast sheets</t>
  </si>
  <si>
    <t xml:space="preserve"> External file USDM  (ECFIN A-4 database)</t>
  </si>
  <si>
    <t xml:space="preserve"> External file ECUS  (ECFIN A-4 database)</t>
  </si>
  <si>
    <t>HH GROSS CAPITAL FORMATION</t>
  </si>
  <si>
    <t>$HI</t>
  </si>
  <si>
    <t>HH OTHER CAPITAL EXPENDITURE (PAID-REC.)</t>
  </si>
  <si>
    <t xml:space="preserve">COR GROSS VALUE ADDED </t>
  </si>
  <si>
    <t xml:space="preserve">   3. Other taxes on production</t>
  </si>
  <si>
    <t>D29</t>
  </si>
  <si>
    <t xml:space="preserve">   4. Compensation of employees</t>
  </si>
  <si>
    <r>
      <t xml:space="preserve">The sheet </t>
    </r>
    <r>
      <rPr>
        <b/>
        <sz val="11"/>
        <rFont val="Arial"/>
        <family val="2"/>
      </rPr>
      <t xml:space="preserve">Transfer </t>
    </r>
    <r>
      <rPr>
        <sz val="11"/>
        <rFont val="Arial"/>
        <family val="2"/>
      </rPr>
      <t>contains</t>
    </r>
    <r>
      <rPr>
        <b/>
        <sz val="11"/>
        <rFont val="Arial"/>
        <family val="2"/>
      </rPr>
      <t xml:space="preserve"> </t>
    </r>
    <r>
      <rPr>
        <sz val="11"/>
        <rFont val="Arial"/>
        <family val="2"/>
      </rPr>
      <t>the matrix of country variables and forecasts that will be sent to the central system.</t>
    </r>
  </si>
  <si>
    <t>Non-energy industrial goods</t>
  </si>
  <si>
    <t>Energy</t>
  </si>
  <si>
    <t xml:space="preserve">   7a.  - of which, services</t>
  </si>
  <si>
    <t xml:space="preserve">   8. Final demand (6+7)</t>
  </si>
  <si>
    <t xml:space="preserve">   9a.  - of which, services</t>
  </si>
  <si>
    <t xml:space="preserve">   10. Gross domestic product at market prices ( 8-9 )</t>
  </si>
  <si>
    <t>QUART. VOL. PRIV. CONS. EXP. (cols 2-13)</t>
  </si>
  <si>
    <t>QUART. VOL. GVMNT CONS. EXP. (cols 2-13)</t>
  </si>
  <si>
    <t>HICP Index</t>
  </si>
  <si>
    <t>HICP Index unprocessed food</t>
  </si>
  <si>
    <t>HICP Index processed food incl. alcohol and tobacco</t>
  </si>
  <si>
    <t>HICP Index energy</t>
  </si>
  <si>
    <r>
      <t xml:space="preserve">All forecasts are grouped by variable, to ensure </t>
    </r>
    <r>
      <rPr>
        <b/>
        <sz val="11"/>
        <rFont val="Arial"/>
        <family val="2"/>
      </rPr>
      <t>consistency</t>
    </r>
    <r>
      <rPr>
        <sz val="11"/>
        <rFont val="Arial"/>
        <family val="2"/>
      </rPr>
      <t xml:space="preserve">. </t>
    </r>
  </si>
  <si>
    <t>Gross real wage growth per employee in public sector (July - July estimates)</t>
  </si>
  <si>
    <t>Employer's social contr. (private)</t>
  </si>
  <si>
    <t>Employer's social contr. (public)</t>
  </si>
  <si>
    <t>Employer's social contr. (domestic)</t>
  </si>
  <si>
    <t xml:space="preserve">  7. Unemployment (3 - 5)</t>
  </si>
  <si>
    <t xml:space="preserve">- Households and non-profit institutions serving households (S.14 + S.15) </t>
  </si>
  <si>
    <t>- Rest of the world (S.2)</t>
  </si>
  <si>
    <t>d. Sector sheets</t>
  </si>
  <si>
    <t>Exports of goods by region</t>
  </si>
  <si>
    <t>Sheets with blue tabs are for information or (in some cases) contain necessary calculations.</t>
  </si>
  <si>
    <t>EDP B9</t>
  </si>
  <si>
    <t>Table 10a</t>
  </si>
  <si>
    <t>ASubProd</t>
  </si>
  <si>
    <t>GVA</t>
  </si>
  <si>
    <t>Gross value added (constant prices)</t>
  </si>
  <si>
    <t>GVAdd</t>
  </si>
  <si>
    <t>$GVAdd</t>
  </si>
  <si>
    <t>VGVAdd</t>
  </si>
  <si>
    <t>INDICATOR CHAINED INDEX (col 1)</t>
  </si>
  <si>
    <t xml:space="preserve">  13. Net lending (+) or net borrowing (-) (10-11-12)</t>
  </si>
  <si>
    <t>P62</t>
  </si>
  <si>
    <t>$AIEq</t>
  </si>
  <si>
    <t>$PrvIEq</t>
  </si>
  <si>
    <t>$IEq</t>
  </si>
  <si>
    <t>$X</t>
  </si>
  <si>
    <t>$M</t>
  </si>
  <si>
    <t>YCompD</t>
  </si>
  <si>
    <t>UN</t>
  </si>
  <si>
    <t>P.52 + P.53</t>
  </si>
  <si>
    <t xml:space="preserve">   6. Property income, net</t>
  </si>
  <si>
    <t>D4</t>
  </si>
  <si>
    <t xml:space="preserve">   7. Current Transfers, net receipts</t>
  </si>
  <si>
    <t>D7+D6</t>
  </si>
  <si>
    <t xml:space="preserve"> L78 : (L78 + L79)</t>
  </si>
  <si>
    <t xml:space="preserve">  6. Calculated employment rate (5:2)</t>
  </si>
  <si>
    <t>ADebt[t-1]</t>
  </si>
  <si>
    <t>D.8r (HH)</t>
  </si>
  <si>
    <t>D.8p (E)</t>
  </si>
  <si>
    <t>Adj. for change in net eq. of pens. fund res. (D.8r)</t>
  </si>
  <si>
    <t>Adj. for change in net eq. of pens. fund res. (D.8p)</t>
  </si>
  <si>
    <t>QUART. VOL. FINAL DOM. DEMAND (cols 2-13)</t>
  </si>
  <si>
    <t>Investment by type of asset (constant prices)</t>
  </si>
  <si>
    <t xml:space="preserve">   7. Exports of goods and services </t>
  </si>
  <si>
    <t>P6</t>
  </si>
  <si>
    <t>P.61</t>
  </si>
  <si>
    <t>P.62</t>
  </si>
  <si>
    <t>P.6</t>
  </si>
  <si>
    <t>P.71</t>
  </si>
  <si>
    <t>P.72</t>
  </si>
  <si>
    <t>P.7</t>
  </si>
  <si>
    <t>Investment by sector (constant prices)</t>
  </si>
  <si>
    <t>Investment in inventories (constant prices)</t>
  </si>
  <si>
    <t>Disposable income (B.6g)</t>
  </si>
  <si>
    <t>Other subsidies on production received (D.39r)</t>
  </si>
  <si>
    <t>Other taxes on production paid (D.29p)</t>
  </si>
  <si>
    <t>$Einy</t>
  </si>
  <si>
    <t>$Ainy</t>
  </si>
  <si>
    <t>HLend</t>
  </si>
  <si>
    <t>Elend</t>
  </si>
  <si>
    <t>Alend</t>
  </si>
  <si>
    <t>RowLend</t>
  </si>
  <si>
    <t>VAL GROSS VALUE ADDED</t>
  </si>
  <si>
    <t>VOL GROSS VALUE ADDED</t>
  </si>
  <si>
    <t>D.7r (HH)</t>
  </si>
  <si>
    <t>Values as percent of GDP</t>
  </si>
  <si>
    <t xml:space="preserve"> (L47+L123+L133) - (L61+L113+L131)</t>
  </si>
  <si>
    <t>B1g</t>
  </si>
  <si>
    <t xml:space="preserve"> (L59xL61) : L63</t>
  </si>
  <si>
    <t xml:space="preserve"> L50-L51</t>
  </si>
  <si>
    <t>D21</t>
  </si>
  <si>
    <t xml:space="preserve"> L50</t>
  </si>
  <si>
    <t>D31</t>
  </si>
  <si>
    <t xml:space="preserve"> L51</t>
  </si>
  <si>
    <t>Last forecast year</t>
  </si>
  <si>
    <t xml:space="preserve"> L47 (repeat of line 10)</t>
  </si>
  <si>
    <t>Table 5</t>
  </si>
  <si>
    <t>% change in implicit price deflator</t>
  </si>
  <si>
    <t xml:space="preserve">  1. Private consumption expenditure</t>
  </si>
  <si>
    <t xml:space="preserve">   5. Other</t>
  </si>
  <si>
    <t xml:space="preserve">   6. Sales</t>
  </si>
  <si>
    <t>Country acronym:</t>
  </si>
  <si>
    <t>Label part</t>
  </si>
  <si>
    <t>T row</t>
  </si>
  <si>
    <t>ESA code</t>
  </si>
  <si>
    <t xml:space="preserve">VOL. GOVERNMENT CONSUMPTION EXPEND. </t>
  </si>
  <si>
    <t>VAC</t>
  </si>
  <si>
    <t>VOL. G.F.C.F. TOTAL</t>
  </si>
  <si>
    <t xml:space="preserve"> (((L47+L123+L133) - (L61+L113+L131)) : L47) x (((L47+L123+L133) - (L61+L113+L131)) : L12)</t>
  </si>
  <si>
    <t xml:space="preserve"> ((L50-L51) : L47) x ((L50-L51) : L12)</t>
  </si>
  <si>
    <t xml:space="preserve"> 12. Change in inventories + net acq. of valuables</t>
  </si>
  <si>
    <t xml:space="preserve"> 13. External balance of goods and services </t>
  </si>
  <si>
    <t>INCOME AND EXPENDITURE OF HOUSEHOLDS AND NON-PROFIT INSTITUTIONS SERVING HOUSEHOLDS (S14+S15)</t>
  </si>
  <si>
    <t>ESA -95</t>
  </si>
  <si>
    <t>Code</t>
  </si>
  <si>
    <t xml:space="preserve">   1. Compensation of employees</t>
  </si>
  <si>
    <t>European Commission</t>
  </si>
  <si>
    <t>Directorate-General for Economic and Financial Affairs</t>
  </si>
  <si>
    <t>Economies of the Member States</t>
  </si>
  <si>
    <t>Desk Belgium</t>
  </si>
  <si>
    <t>Author: G. Bethuyne</t>
  </si>
  <si>
    <t xml:space="preserve">Last update: </t>
  </si>
  <si>
    <t>Avenue de Beaulieu 1, B-1160 Brussels</t>
  </si>
  <si>
    <t>Email:</t>
  </si>
  <si>
    <t>CPI</t>
  </si>
  <si>
    <t>TOT. EMPLOYMENT PERSONS</t>
  </si>
  <si>
    <t>LEmpTotD</t>
  </si>
  <si>
    <t>TOT. COMPENSATION OF EMPLOYEES</t>
  </si>
  <si>
    <t>TOT. WAGES AND SALARIES</t>
  </si>
  <si>
    <t>TOT. WAGE AND SALARY EARNERS PERSONS</t>
  </si>
  <si>
    <t>LEmpD</t>
  </si>
  <si>
    <t>TOT. WAGE AND SALARY EARNERS F.T.E.</t>
  </si>
  <si>
    <t>MAN. EMPLOYMENT PERSONS</t>
  </si>
  <si>
    <t>MAN. COMPENSATION OF EMPLOYEES</t>
  </si>
  <si>
    <t>MAN. WAGES AND SALARIES</t>
  </si>
  <si>
    <t>MAN. WAGE AND SALARY EARNERS PERSONS</t>
  </si>
  <si>
    <t>QPrvC</t>
  </si>
  <si>
    <t>QAC</t>
  </si>
  <si>
    <t xml:space="preserve">Sheets with yellow tabs contain the actual forecast. </t>
  </si>
  <si>
    <t>Final consumption expenditure (P.3 - Notification)</t>
  </si>
  <si>
    <t>Social contributions (D.61r)</t>
  </si>
  <si>
    <t xml:space="preserve"> 17. HICP</t>
  </si>
  <si>
    <t xml:space="preserve"> L54</t>
  </si>
  <si>
    <t xml:space="preserve"> 18. National CPI</t>
  </si>
  <si>
    <t>TOTAL EMPLOYMENT LAB. FORCE STATISTICS</t>
  </si>
  <si>
    <t>Net exports</t>
  </si>
  <si>
    <t>VNX</t>
  </si>
  <si>
    <t xml:space="preserve"> Structural Indicators definitions</t>
  </si>
  <si>
    <t>Household consumption (constant prices)</t>
  </si>
  <si>
    <t>Government net-lending (EDP definition) - Growth rate</t>
  </si>
  <si>
    <t>Government net-lending (EDP definition) - as % of GDP</t>
  </si>
  <si>
    <t>Debt current year - as % of GDP</t>
  </si>
  <si>
    <t>Debt current year - Growth rate</t>
  </si>
  <si>
    <t>VAL. Gross value added (non-manufacturing)</t>
  </si>
  <si>
    <t>MAN. GROSS VALUE ADDED (VAL)</t>
  </si>
  <si>
    <t>MAN. GROSS VALUE ADDED (VOL)</t>
  </si>
  <si>
    <t>Gross capital formation (P.5)</t>
  </si>
  <si>
    <t>VAL</t>
  </si>
  <si>
    <t>Net-lending (EDP)</t>
  </si>
  <si>
    <t>Debt previous year</t>
  </si>
  <si>
    <t>Stock-flow adjustment</t>
  </si>
  <si>
    <t>Debt current year</t>
  </si>
  <si>
    <t>Wages &amp; salaries / employee (frontier workers)</t>
  </si>
  <si>
    <t>Wages &amp; salaries / employee (domestic)</t>
  </si>
  <si>
    <t xml:space="preserve"> 17. Gross value added at basic prices</t>
  </si>
  <si>
    <t xml:space="preserve"> 18. Taxes net of subsidies</t>
  </si>
  <si>
    <t xml:space="preserve"> 19. Gross domestic product at market prices</t>
  </si>
  <si>
    <r>
      <t xml:space="preserve">A very </t>
    </r>
    <r>
      <rPr>
        <b/>
        <sz val="11"/>
        <rFont val="Arial"/>
        <family val="2"/>
      </rPr>
      <t>useful feature</t>
    </r>
    <r>
      <rPr>
        <sz val="11"/>
        <rFont val="Arial"/>
        <family val="2"/>
      </rPr>
      <t xml:space="preserve"> is the "save values" button.</t>
    </r>
  </si>
  <si>
    <t>This allows you to store the values of up to five transfer matrices.</t>
  </si>
  <si>
    <t>You can use them to save the values as they were transfered in the preliminary or provisional storage (or any other you prefer).</t>
  </si>
  <si>
    <t xml:space="preserve">These can be used for comparison, to see what has changed between two storages. </t>
  </si>
  <si>
    <t>CONSUMER PRICE HARMONIZED INDEX</t>
  </si>
  <si>
    <t>HICP</t>
  </si>
  <si>
    <t>CONSUMER PRICE GENERAL INDEX</t>
  </si>
  <si>
    <t>REVENUE AND EXPENDITURE OF GENERAL GOVERNMENT (S13)</t>
  </si>
  <si>
    <t>TR</t>
  </si>
  <si>
    <t>TE</t>
  </si>
  <si>
    <t xml:space="preserve">   7a. - individual consumption = social transfers in kind</t>
  </si>
  <si>
    <t xml:space="preserve">   7b. - collective consumption</t>
  </si>
  <si>
    <t xml:space="preserve">  20a. - primary balance (20+10)</t>
  </si>
  <si>
    <t xml:space="preserve"> L107</t>
  </si>
  <si>
    <t xml:space="preserve"> L143+L117</t>
  </si>
  <si>
    <t xml:space="preserve"> L113+L114+L115+L117+L143</t>
  </si>
  <si>
    <t xml:space="preserve"> L120</t>
  </si>
  <si>
    <t xml:space="preserve"> L146</t>
  </si>
  <si>
    <t xml:space="preserve"> L120+L121+L122+L123+L124+L145+L146</t>
  </si>
  <si>
    <t xml:space="preserve"> 10. Gross domestic product at market prices</t>
  </si>
  <si>
    <t xml:space="preserve">Current taxes on income and wealth (D.5r)  </t>
  </si>
  <si>
    <t>Forecast file LT</t>
  </si>
  <si>
    <t>Residual due to chainlinking</t>
  </si>
  <si>
    <t>POPULATION OF WORKING AGE (15-64)</t>
  </si>
  <si>
    <t>CIVILIAN LABOUR FORCE</t>
  </si>
  <si>
    <t>REGISTERED UNEMPLOYED PERSONS</t>
  </si>
  <si>
    <t>LUemp</t>
  </si>
  <si>
    <r>
      <t xml:space="preserve">Data_p can also contain </t>
    </r>
    <r>
      <rPr>
        <u/>
        <sz val="11"/>
        <rFont val="Arial"/>
        <family val="2"/>
      </rPr>
      <t>additional sheets</t>
    </r>
    <r>
      <rPr>
        <sz val="11"/>
        <rFont val="Arial"/>
        <family val="2"/>
      </rPr>
      <t xml:space="preserve"> (at least two, although it is possible to add more).</t>
    </r>
  </si>
  <si>
    <t>XGIntr</t>
  </si>
  <si>
    <t>XGExtr</t>
  </si>
  <si>
    <t>Intra-EU exports of goods</t>
  </si>
  <si>
    <t>Extra-EU exports of goods</t>
  </si>
  <si>
    <t>Imports of goods by region</t>
  </si>
  <si>
    <t xml:space="preserve">TRADE IN GOODS BY REGION (CUSTOMS BASIS) </t>
  </si>
  <si>
    <t>% trade</t>
  </si>
  <si>
    <t xml:space="preserve">   Exports of goods (fob)</t>
  </si>
  <si>
    <t xml:space="preserve">   Imports of goods (cif)</t>
  </si>
  <si>
    <t xml:space="preserve">  11. Net lending (+)/ net borrowing (-) (9+10)</t>
  </si>
  <si>
    <t xml:space="preserve">   3. Total exports (1 + 2)</t>
  </si>
  <si>
    <t>historical year = a year for which data is available in the input sheet</t>
  </si>
  <si>
    <t>forecast year = a year for which a variable needs to be forecasted</t>
  </si>
  <si>
    <t xml:space="preserve"> L100+L101-L102-L103 (or if any of these 4 line are missing : L104)</t>
  </si>
  <si>
    <t>Investment in inventories</t>
  </si>
  <si>
    <t xml:space="preserve">  3a.  - of which, construction </t>
  </si>
  <si>
    <t xml:space="preserve">   7. Government consumption (1+2+3+4+5-6)</t>
  </si>
  <si>
    <t>P31=D63</t>
  </si>
  <si>
    <r>
      <t>DO NOT INSERT OR DELETE COLUMNS (NEVER, NEVER, NEVER !!!)</t>
    </r>
    <r>
      <rPr>
        <sz val="11"/>
        <rFont val="Arial"/>
        <family val="2"/>
      </rPr>
      <t>. Such operation will inevitably damage the transfer matrix.</t>
    </r>
  </si>
  <si>
    <t>These contain quarterly data (usually in QUART) and additional annual data which is not in Ameco (usually in Data_A11).</t>
  </si>
  <si>
    <t>When forecasting a variable (e.g. social contributions - D.61), the sheet automatically enforces consistency between</t>
  </si>
  <si>
    <t xml:space="preserve">sums received and paid and between the aggregates and their components. </t>
  </si>
  <si>
    <t>Non-residential construction and civil engineering</t>
  </si>
  <si>
    <t>D.4 (EXT)</t>
  </si>
  <si>
    <t>D.5r (EXT)</t>
  </si>
  <si>
    <t>Percentage change</t>
  </si>
  <si>
    <t xml:space="preserve">   1. Private consumption expenditure</t>
  </si>
  <si>
    <t>P3</t>
  </si>
  <si>
    <r>
      <t xml:space="preserve">Historical data should be put in a file called </t>
    </r>
    <r>
      <rPr>
        <b/>
        <sz val="11"/>
        <color indexed="10"/>
        <rFont val="Arial"/>
        <family val="2"/>
      </rPr>
      <t>data_p.xls</t>
    </r>
    <r>
      <rPr>
        <sz val="11"/>
        <rFont val="Arial"/>
        <family val="2"/>
      </rPr>
      <t xml:space="preserve">, stored in the </t>
    </r>
    <r>
      <rPr>
        <b/>
        <sz val="11"/>
        <color indexed="10"/>
        <rFont val="Arial"/>
        <family val="2"/>
      </rPr>
      <t>same folder as the forecast sheet</t>
    </r>
    <r>
      <rPr>
        <sz val="11"/>
        <rFont val="Arial"/>
        <family val="2"/>
      </rPr>
      <t xml:space="preserve">. </t>
    </r>
  </si>
  <si>
    <t xml:space="preserve">This file is produced by the Ameco team. </t>
  </si>
  <si>
    <t>Currency:</t>
  </si>
  <si>
    <t>Formats and colour codes</t>
  </si>
  <si>
    <t>4 year average</t>
  </si>
  <si>
    <t>Taxes on production and imports (D.2r)</t>
  </si>
  <si>
    <t>Elasticity w.r.t. GDP</t>
  </si>
  <si>
    <t>D61+D7</t>
  </si>
  <si>
    <t xml:space="preserve">   6. Gross disposable income (1+2+3-4-5)</t>
  </si>
  <si>
    <t>B6g</t>
  </si>
  <si>
    <t>Value according to theoretical OECD elasticity</t>
  </si>
  <si>
    <t>OECD</t>
  </si>
  <si>
    <t>Tax rate relative to GDP</t>
  </si>
  <si>
    <t>There are no further forecasts below this line</t>
  </si>
  <si>
    <t>Consumption price indices</t>
  </si>
  <si>
    <t>Harmonized index</t>
  </si>
  <si>
    <t>IND</t>
  </si>
  <si>
    <t>Household consumption prices</t>
  </si>
  <si>
    <t>Deflator</t>
  </si>
  <si>
    <t>*110</t>
  </si>
  <si>
    <t>YACapTN</t>
  </si>
  <si>
    <t>**125</t>
  </si>
  <si>
    <t>*127</t>
  </si>
  <si>
    <t>YANonFinN</t>
  </si>
  <si>
    <t>???</t>
  </si>
  <si>
    <t>*96</t>
  </si>
  <si>
    <t>*109</t>
  </si>
  <si>
    <t>$Hiny</t>
  </si>
  <si>
    <t>Gross value added (current prices)</t>
  </si>
  <si>
    <t>$HTaxSoc(1)</t>
  </si>
  <si>
    <t>$HTaxSoc(2)</t>
  </si>
  <si>
    <t>D.4 (HH)</t>
  </si>
  <si>
    <t>HPropN</t>
  </si>
  <si>
    <t>$Hprop</t>
  </si>
  <si>
    <t>ECO</t>
  </si>
  <si>
    <t>HH</t>
  </si>
  <si>
    <t>E</t>
  </si>
  <si>
    <t>GVT</t>
  </si>
  <si>
    <t>EXT</t>
  </si>
  <si>
    <t>CHK</t>
  </si>
  <si>
    <t>Total employment (domestic - full time equivalent)</t>
  </si>
  <si>
    <t xml:space="preserve"> L152</t>
  </si>
  <si>
    <t xml:space="preserve"> L150+L152</t>
  </si>
  <si>
    <t xml:space="preserve">   5. Gross operating surplus (1+2-3-4)</t>
  </si>
  <si>
    <t>B2g</t>
  </si>
  <si>
    <t>Debt increase as % of GDP</t>
  </si>
  <si>
    <t>Stock-flow adjustment as % of GDP</t>
  </si>
  <si>
    <t>Snowball effect</t>
  </si>
  <si>
    <t>Net borrowing as % of GDP</t>
  </si>
  <si>
    <t>- ALend</t>
  </si>
  <si>
    <t>ADebt[t] - ADebt[t-1]</t>
  </si>
  <si>
    <t>- growth rate in values</t>
  </si>
  <si>
    <t>The reference storage is one of the five storages you have savedusing the "save values" button described above.</t>
  </si>
  <si>
    <t>PPrvC</t>
  </si>
  <si>
    <t>PAIEq</t>
  </si>
  <si>
    <t>PIEq</t>
  </si>
  <si>
    <t>PIO</t>
  </si>
  <si>
    <t>PI</t>
  </si>
  <si>
    <t>PAI</t>
  </si>
  <si>
    <t>Net-lending</t>
  </si>
  <si>
    <t>Employer's social contr. / employee (domestic)</t>
  </si>
  <si>
    <t>Employer's social contr. / employee (frontier workers)</t>
  </si>
  <si>
    <t>Participation ratio</t>
  </si>
  <si>
    <t>UL</t>
  </si>
  <si>
    <t>Total labour force</t>
  </si>
  <si>
    <t>L</t>
  </si>
  <si>
    <t>Wage and salary earners (domestic)</t>
  </si>
  <si>
    <t>LEmpSelfD</t>
  </si>
  <si>
    <t>Employment (domestic)</t>
  </si>
  <si>
    <t>Frontier workers</t>
  </si>
  <si>
    <t>LEmp</t>
  </si>
  <si>
    <t>VOL. GFCF in other domestic sectors</t>
  </si>
  <si>
    <t>QUART. VOL. FINAL DEMAND (cols 2-13)</t>
  </si>
  <si>
    <t>QUART. VOL. IMPORTS G AND S (cols 2-13)</t>
  </si>
  <si>
    <t>short-term 2010</t>
  </si>
  <si>
    <t>Follow this link to the detailed breakdown of nominal government consumption in the sector sheet</t>
  </si>
  <si>
    <t>Follow this link to the total consumption forecast in VVP1</t>
  </si>
  <si>
    <t>Of which:</t>
  </si>
  <si>
    <t>Gross operating surplus / mixed income (B.2g)</t>
  </si>
  <si>
    <t xml:space="preserve">Compensation of employees (D.1p) </t>
  </si>
  <si>
    <t>Net operating surplus (B.2n)</t>
  </si>
  <si>
    <t>Consumption of fixed capital (K.1)</t>
  </si>
  <si>
    <t>Gross operating surplus (B.2g) / Mixed income</t>
  </si>
  <si>
    <t>Wage &amp; salary earners (private sector)</t>
  </si>
  <si>
    <t>LEmpDPriv</t>
  </si>
  <si>
    <t>D62+D7</t>
  </si>
  <si>
    <t>Report in transfer in PYP (Y / N)?</t>
  </si>
  <si>
    <t>CHECK: Residual should be zero for consistency</t>
  </si>
  <si>
    <t>Consistency checks</t>
  </si>
  <si>
    <t>Imports (constant prices)</t>
  </si>
  <si>
    <t xml:space="preserve"> L137 : L47</t>
  </si>
  <si>
    <t>Tel. +32-2-29 52214</t>
  </si>
  <si>
    <t>ON</t>
  </si>
  <si>
    <t>VIO</t>
  </si>
  <si>
    <t>$ACIndv</t>
  </si>
  <si>
    <t>$ACColl</t>
  </si>
  <si>
    <t>36/95</t>
  </si>
  <si>
    <t>*137</t>
  </si>
  <si>
    <t>Imports  (deflator)</t>
  </si>
  <si>
    <t>Gross domestic product (B.1g - deflator)</t>
  </si>
  <si>
    <t>FOR INFORMATION ONLY - There are no forecasts in this sheet</t>
  </si>
  <si>
    <t>Pi6(1,6)</t>
  </si>
  <si>
    <t>Total employment (domestic)</t>
  </si>
  <si>
    <t>Total employment (national)</t>
  </si>
  <si>
    <t xml:space="preserve">  11. Gross capital formation</t>
  </si>
  <si>
    <t>Select the entire column for Qn(t-1) and copy it over the old forecast column for Qn(t), for all quarters with historical data.</t>
  </si>
  <si>
    <t>How to overwrite forecast columns with columns linking to historical data?</t>
  </si>
  <si>
    <t>calendar factor:</t>
  </si>
  <si>
    <t>p.m. corresponding number in quarterly sheet</t>
  </si>
  <si>
    <t>USE AND SUPPLY OF GOODS AND SERVICES</t>
  </si>
  <si>
    <r>
      <t xml:space="preserve">The Labour sheet has </t>
    </r>
    <r>
      <rPr>
        <b/>
        <sz val="11"/>
        <rFont val="Arial"/>
        <family val="2"/>
      </rPr>
      <t>one column for each year</t>
    </r>
    <r>
      <rPr>
        <sz val="11"/>
        <rFont val="Arial"/>
        <family val="2"/>
      </rPr>
      <t xml:space="preserve"> (historical and forecast years).</t>
    </r>
  </si>
  <si>
    <t>QUART. VOL. GROSS DOM. PRODUCT (cols 2-13)</t>
  </si>
  <si>
    <t>Growth rates (quarter-on-quarter)</t>
  </si>
  <si>
    <t>Yearly growth implicit in quarterly profile</t>
  </si>
  <si>
    <t xml:space="preserve">Government final consumption expenditure                                        </t>
  </si>
  <si>
    <t xml:space="preserve"> 12c. Processed food (incl. alcohol and tobacco)</t>
  </si>
  <si>
    <t xml:space="preserve"> 12d. Unprocessed food</t>
  </si>
  <si>
    <t>Although not strictly necessary, the storage will be executed much faster if you close Excel before you use EU4CAST.</t>
  </si>
  <si>
    <t>Taxes on products (D.2r) (Taxes paid to RoW)</t>
  </si>
  <si>
    <t>Adding forecast years / changing old forecast years into historical years</t>
  </si>
  <si>
    <t>Sales (P.11 + P.12 + P.131)</t>
  </si>
  <si>
    <t>P.11 + P.12</t>
  </si>
  <si>
    <t>P.131</t>
  </si>
  <si>
    <t>P.11 + P.12 + P.131</t>
  </si>
  <si>
    <t>D.6311p + D.63121p + D.63131p</t>
  </si>
  <si>
    <t>GG SALES</t>
  </si>
  <si>
    <t xml:space="preserve"> 12e. Services</t>
  </si>
  <si>
    <t xml:space="preserve"> 13. HICP excl. energy and unprocessed food</t>
  </si>
  <si>
    <t xml:space="preserve">  5. Total employment</t>
  </si>
  <si>
    <t xml:space="preserve">  5a. - of which, employees</t>
  </si>
  <si>
    <t xml:space="preserve">  5b. - of which, self-employed</t>
  </si>
  <si>
    <t>Wage and salary earners (domestic - full time equivalent)</t>
  </si>
  <si>
    <t>Wage &amp; salary earners (national)</t>
  </si>
  <si>
    <t>Elasticity w.r.t. GOS</t>
  </si>
  <si>
    <t xml:space="preserve">Note: </t>
  </si>
  <si>
    <t>To see labels attached to the data points,</t>
  </si>
  <si>
    <t>VBG</t>
  </si>
  <si>
    <t>VGDP</t>
  </si>
  <si>
    <t>Total compensation per employee (values in 1000 euro)</t>
  </si>
  <si>
    <t>GG SOC TRANSF IN KIND VIA MARKET PRODUCERS</t>
  </si>
  <si>
    <t>Other current revenue</t>
  </si>
  <si>
    <t>p.m. growth of total social transfers in kind (D.63 = P.31)</t>
  </si>
  <si>
    <t>YATotRev</t>
  </si>
  <si>
    <t>Total government revenue (harmonised)</t>
  </si>
  <si>
    <t>Total government expenditure (harmonised)</t>
  </si>
  <si>
    <t>HICP Q SERVICES</t>
  </si>
  <si>
    <t xml:space="preserve">  5. Inventories</t>
  </si>
  <si>
    <t xml:space="preserve">  6. Domestic demand (incl. inventories)</t>
  </si>
  <si>
    <t xml:space="preserve">   17. Taxes net of subsidies (18-19)</t>
  </si>
  <si>
    <t>GG ONE-OFF MEASURES (REVENUE SIDE)</t>
  </si>
  <si>
    <t>GG ONE-OFF MEASURES (EXPENDITURE SIDE)</t>
  </si>
  <si>
    <t>1OFS (REVENUE SIDE)</t>
  </si>
  <si>
    <t>1OFS (EXPENDITURE SIDE)</t>
  </si>
  <si>
    <t>One-offs (Revenue side)</t>
  </si>
  <si>
    <t>One-offs (Expenditure side)</t>
  </si>
  <si>
    <t>1FSR</t>
  </si>
  <si>
    <t>1FSE</t>
  </si>
  <si>
    <t>p.m. implicit values for private sector</t>
  </si>
  <si>
    <t>HICP Y WEIGHT NON-ENERGY INDUSTRIAL GOODS</t>
  </si>
  <si>
    <t>HICP Y WEIGHT ENERGY</t>
  </si>
  <si>
    <t>HICP Y WEIGHT PROCESSED FOOD INCL. ALCOHOL AND TOBACCO</t>
  </si>
  <si>
    <t>HICP Y WEIGHT UNPROCESSED FOOD</t>
  </si>
  <si>
    <t>HICP Y WEIGHT SERVICES</t>
  </si>
  <si>
    <t>HICP Y INDEX EXCL. ENERGY AND UNPROCESSED FOOD</t>
  </si>
  <si>
    <t>Residual</t>
  </si>
  <si>
    <t>*161</t>
  </si>
  <si>
    <t>*162</t>
  </si>
  <si>
    <t>*163</t>
  </si>
  <si>
    <t>*164</t>
  </si>
  <si>
    <t>*165</t>
  </si>
  <si>
    <t>Growth July - July</t>
  </si>
  <si>
    <t>Final consumption expenditure (P.3)</t>
  </si>
  <si>
    <r>
      <t xml:space="preserve">Don't forget to fill in the </t>
    </r>
    <r>
      <rPr>
        <b/>
        <sz val="11"/>
        <rFont val="Arial"/>
        <family val="2"/>
      </rPr>
      <t>global settings</t>
    </r>
    <r>
      <rPr>
        <sz val="11"/>
        <rFont val="Arial"/>
        <family val="2"/>
      </rPr>
      <t xml:space="preserve"> at the top before you decide to store your data in the central system.</t>
    </r>
  </si>
  <si>
    <t>GVA[ECO] = B.1g - (D.21 - D.31)</t>
  </si>
  <si>
    <t>GVA[E] = GVA[ECO]
 - GVA[HH] - GVA[GVT]</t>
  </si>
  <si>
    <t>B.2g[E] = GVA[E] - D.1p[E] - (D.29p[E] - D.39r[E])</t>
  </si>
  <si>
    <t>D.1p[HH]</t>
  </si>
  <si>
    <t>D29p[HH] - D39r[HH]</t>
  </si>
  <si>
    <t>B.2g[HH]</t>
  </si>
  <si>
    <t xml:space="preserve"> ((L100+L101-L102-L103) + L105 + L106 - L107 - L108) - L109 - L110</t>
  </si>
  <si>
    <t xml:space="preserve"> Table-line 13 : L47</t>
  </si>
  <si>
    <t xml:space="preserve">   Social contributions (D.61r)</t>
  </si>
  <si>
    <t xml:space="preserve">   Government and EDP</t>
  </si>
  <si>
    <t>Hours / year</t>
  </si>
  <si>
    <t>GG VOL. COLLECTIVE CONSUMPT. EXPENDITURE</t>
  </si>
  <si>
    <t>EXPORTS OF TOURISM</t>
  </si>
  <si>
    <t>IMPORTS OF TOURISM</t>
  </si>
  <si>
    <t>BALANCE OF PRIMARY INCOME</t>
  </si>
  <si>
    <t>NET CURRENT TRANSFERS</t>
  </si>
  <si>
    <t>NTRow</t>
  </si>
  <si>
    <t>Social contributions (Net) (D.61)</t>
  </si>
  <si>
    <t>RowTaxSocN</t>
  </si>
  <si>
    <t>RowTSocN</t>
  </si>
  <si>
    <t>GG SOCIAL TRANSFERS OTHER THAN IN KIND</t>
  </si>
  <si>
    <t>$ATToH</t>
  </si>
  <si>
    <t>GG INTEREST excl SWAPS</t>
  </si>
  <si>
    <t>$AInt</t>
  </si>
  <si>
    <t>If YES, aggregates are not additive in constant prices, but they are additive in previous year's prices.</t>
  </si>
  <si>
    <t>VHI</t>
  </si>
  <si>
    <t>VEI</t>
  </si>
  <si>
    <t>VI</t>
  </si>
  <si>
    <t>Property income (paid, excluding interests) (D.4p-D.41p)</t>
  </si>
  <si>
    <t>Property income (received) (D.4r)</t>
  </si>
  <si>
    <t>D.4p - D.41p (GVT)</t>
  </si>
  <si>
    <t>$AProp - $AInt</t>
  </si>
  <si>
    <t xml:space="preserve"> (L36+L37+L38+L42+L43+L44) : (L1+L2+L3+L7+L8+L9)</t>
  </si>
  <si>
    <t xml:space="preserve"> (L45+L46) : (L10+L11)</t>
  </si>
  <si>
    <t xml:space="preserve"> L46:L11</t>
  </si>
  <si>
    <t xml:space="preserve"> L47:L12</t>
  </si>
  <si>
    <t xml:space="preserve"> ((L43+L44) : (L8+L9)) : ((L45+L46) : (L10+L11))</t>
  </si>
  <si>
    <t xml:space="preserve"> (L43:L8) : (L45:L10)</t>
  </si>
  <si>
    <t xml:space="preserve"> (L44:L9) : (L46:L11)</t>
  </si>
  <si>
    <t xml:space="preserve">  5. Change in inventories and net-acquisition of valuables</t>
  </si>
  <si>
    <t xml:space="preserve">  7a.  - of which goods</t>
  </si>
  <si>
    <t xml:space="preserve">  7b.  - of which services</t>
  </si>
  <si>
    <t xml:space="preserve">  6. Domestic demand (incl. inventories) (4+5)</t>
  </si>
  <si>
    <t xml:space="preserve">  9a.  - of which goods</t>
  </si>
  <si>
    <t xml:space="preserve">  9b.  - of which services</t>
  </si>
  <si>
    <t xml:space="preserve">  11c. Processed food (incl. alcohol and tobacco)</t>
  </si>
  <si>
    <t xml:space="preserve">  11d. Unprocessed food</t>
  </si>
  <si>
    <t xml:space="preserve">  11e. Services</t>
  </si>
  <si>
    <t xml:space="preserve">  11b. Energy</t>
  </si>
  <si>
    <t>2. Taxes less subsidies on production (D.29 - D.39) is forecasted for HH, E and GVT (in Sector1)</t>
  </si>
  <si>
    <t>3. Gross operating surplus (B.2g) is forecasted for HH and GVT in Sector1 (but not for E !)</t>
  </si>
  <si>
    <t>1. Gross value added of HH and GVT = B.2g + (D.29 - D.39) + D.1p</t>
  </si>
  <si>
    <t>2. Gross value added of E = GVA(ECO) - GVA(GVT) - GVA(HH)</t>
  </si>
  <si>
    <t xml:space="preserve">   Private consumption expenditure (P.3)</t>
  </si>
  <si>
    <t xml:space="preserve">   Gross fixed capital formation (P.51)</t>
  </si>
  <si>
    <t>P.53 (HH)</t>
  </si>
  <si>
    <t>DATA_A11</t>
  </si>
  <si>
    <t>YCompD W&amp;S</t>
  </si>
  <si>
    <t>LEmpTot</t>
  </si>
  <si>
    <t>CompFrRow</t>
  </si>
  <si>
    <t>CompToRow</t>
  </si>
  <si>
    <t>GDP (EDP)</t>
  </si>
  <si>
    <t>PropFrRowN</t>
  </si>
  <si>
    <t>CapTRowN</t>
  </si>
  <si>
    <t>RowNonFinN</t>
  </si>
  <si>
    <t>$ASubProd</t>
  </si>
  <si>
    <t>AvHoursWorked</t>
  </si>
  <si>
    <t>D.1p (EXT)</t>
  </si>
  <si>
    <t>D.1r (EXT)</t>
  </si>
  <si>
    <t>B.1g (EDP)</t>
  </si>
  <si>
    <t>$RowTaxDir</t>
  </si>
  <si>
    <t>TOFrRow</t>
  </si>
  <si>
    <t>TOToRow</t>
  </si>
  <si>
    <t xml:space="preserve"> (L61:L47) x (L61:L12)</t>
  </si>
  <si>
    <t xml:space="preserve"> (L62:L47) x (L62:L12)</t>
  </si>
  <si>
    <t xml:space="preserve"> ((L61:L47) x (L61:L12)) : ((L62:L47) x (L62:L12))</t>
  </si>
  <si>
    <r>
      <t xml:space="preserve">In the </t>
    </r>
    <r>
      <rPr>
        <b/>
        <sz val="11"/>
        <rFont val="Arial"/>
        <family val="2"/>
      </rPr>
      <t xml:space="preserve">Autumn </t>
    </r>
    <r>
      <rPr>
        <sz val="11"/>
        <rFont val="Arial"/>
        <family val="2"/>
      </rPr>
      <t>and</t>
    </r>
    <r>
      <rPr>
        <b/>
        <sz val="11"/>
        <rFont val="Arial"/>
        <family val="2"/>
      </rPr>
      <t xml:space="preserve"> Spring forecast</t>
    </r>
    <r>
      <rPr>
        <sz val="11"/>
        <rFont val="Arial"/>
        <family val="2"/>
      </rPr>
      <t>, you should have historical data for the early quarters of the first forecast year.</t>
    </r>
  </si>
  <si>
    <t>To integrate historical data for Qn(t) (the n'th quarter of year t), use the following procedure:</t>
  </si>
  <si>
    <t xml:space="preserve">  3a. -of which, housing</t>
  </si>
  <si>
    <t>Pi6(4)</t>
  </si>
  <si>
    <t>RES</t>
  </si>
  <si>
    <t>National index (optional)</t>
  </si>
  <si>
    <t>Property income to ROW (D.4)</t>
  </si>
  <si>
    <t>Total compensation / employee (domestic)</t>
  </si>
  <si>
    <t>Total compensation / employee (frontier workers)</t>
  </si>
  <si>
    <t>Other current expenditure</t>
  </si>
  <si>
    <t>Residual summary needed for transfer matrix</t>
  </si>
  <si>
    <t>Government &amp; EDP</t>
  </si>
  <si>
    <t>Dom. demand incl. ch. in invent. &amp; incl. net acq. of val.</t>
  </si>
  <si>
    <t>Exports of goods and services</t>
  </si>
  <si>
    <t>If NO, aggregates (like GDP) are additive in constant prices and therefore they will be calculated in VVP2.</t>
  </si>
  <si>
    <t>Country:</t>
  </si>
  <si>
    <t>Employment rate</t>
  </si>
  <si>
    <t>Household consumption</t>
  </si>
  <si>
    <t>Quarter on quarter growth rates</t>
  </si>
  <si>
    <t>You can store a transfer matrix for later comparison</t>
  </si>
  <si>
    <t>and here are all stored transfer matrices (up to five).</t>
  </si>
  <si>
    <t>This matrix is transfered to the central forecast system</t>
  </si>
  <si>
    <t>Volumes are stored in constant or previous year prices</t>
  </si>
  <si>
    <t>depending on your choice in sheet VVP1</t>
  </si>
  <si>
    <t>by pressing "save values" in the Transfer sheet</t>
  </si>
  <si>
    <t>Core inflation</t>
  </si>
  <si>
    <t>Core inflation (calculated)</t>
  </si>
  <si>
    <t>HICP Index core inflation</t>
  </si>
  <si>
    <t xml:space="preserve"> L87+L89+L90+L91-L92-L93</t>
  </si>
  <si>
    <t xml:space="preserve"> L94</t>
  </si>
  <si>
    <r>
      <t>Labour</t>
    </r>
    <r>
      <rPr>
        <sz val="11"/>
        <rFont val="Arial"/>
        <family val="2"/>
      </rPr>
      <t xml:space="preserve"> contains all data related to population and labour market (employment, wages &amp; productivity)</t>
    </r>
  </si>
  <si>
    <t>Total compensation / employee (public)</t>
  </si>
  <si>
    <t>((L115 t ÷ L115 t-1) - (L164 col 1 × (L61 t ÷ L61 t-1))) × (L115 t-1 ÷ L47 t)</t>
  </si>
  <si>
    <t xml:space="preserve"> L113</t>
  </si>
  <si>
    <t xml:space="preserve"> L114</t>
  </si>
  <si>
    <t xml:space="preserve"> L92</t>
  </si>
  <si>
    <t xml:space="preserve"> L115</t>
  </si>
  <si>
    <t xml:space="preserve"> L116</t>
  </si>
  <si>
    <t xml:space="preserve"> L145</t>
  </si>
  <si>
    <t xml:space="preserve"> L121</t>
  </si>
  <si>
    <t xml:space="preserve"> L122</t>
  </si>
  <si>
    <t xml:space="preserve"> L123</t>
  </si>
  <si>
    <t xml:space="preserve"> L124</t>
  </si>
  <si>
    <t xml:space="preserve"> External file UNEMPLR (ECFIN A-4 database, source : Ameco + nat. uneployment rates)</t>
  </si>
  <si>
    <t xml:space="preserve"> L12:L59</t>
  </si>
  <si>
    <t xml:space="preserve"> L61:L63</t>
  </si>
  <si>
    <t xml:space="preserve"> (L61:L63) : (L58:L59)</t>
  </si>
  <si>
    <t xml:space="preserve"> External file RULCU (ECFIN A-4 database, source : Ameco)</t>
  </si>
  <si>
    <t xml:space="preserve"> L55</t>
  </si>
  <si>
    <t xml:space="preserve"> L15</t>
  </si>
  <si>
    <t xml:space="preserve"> L17</t>
  </si>
  <si>
    <t xml:space="preserve"> L18</t>
  </si>
  <si>
    <t xml:space="preserve"> L20</t>
  </si>
  <si>
    <t xml:space="preserve"> L22</t>
  </si>
  <si>
    <t xml:space="preserve"> L23</t>
  </si>
  <si>
    <t xml:space="preserve"> L36</t>
  </si>
  <si>
    <t xml:space="preserve"> L37</t>
  </si>
  <si>
    <t xml:space="preserve"> L38</t>
  </si>
  <si>
    <t xml:space="preserve"> L36+L37+L38</t>
  </si>
  <si>
    <t xml:space="preserve"> L36+L37+L38+L42</t>
  </si>
  <si>
    <t xml:space="preserve"> L43+L44</t>
  </si>
  <si>
    <t xml:space="preserve"> 10. Unemployment rate, Eurostat definition (%)</t>
  </si>
  <si>
    <t xml:space="preserve"> 11. Activity rate (%)</t>
  </si>
  <si>
    <t xml:space="preserve"> 12. Employment rate (%)</t>
  </si>
  <si>
    <t>Table 8</t>
  </si>
  <si>
    <t>Government net-lending (EDP definition) - Values</t>
  </si>
  <si>
    <t>Employment / Unemployment</t>
  </si>
  <si>
    <t>Registered unemployment</t>
  </si>
  <si>
    <t>ULUemp</t>
  </si>
  <si>
    <t>LEmpTot / Lage</t>
  </si>
  <si>
    <t>1000 persons</t>
  </si>
  <si>
    <t>x</t>
  </si>
  <si>
    <t>Growth (1000 persons)</t>
  </si>
  <si>
    <t>ULage</t>
  </si>
  <si>
    <t xml:space="preserve">   3. Gross fixed capital formation</t>
  </si>
  <si>
    <t xml:space="preserve">Current taxes on income and wealth (D.5)  </t>
  </si>
  <si>
    <t>Compensation of employees (D.1)</t>
  </si>
  <si>
    <t>Taxes on production and imports (D.2 = D.21+D.29)</t>
  </si>
  <si>
    <t>Subsidies (D.3 = D.31+D.39)</t>
  </si>
  <si>
    <t xml:space="preserve">Current taxes on income and wealth (D.5p)  </t>
  </si>
  <si>
    <t xml:space="preserve">Current taxes on income and wealth (Net) (D.5)  </t>
  </si>
  <si>
    <t>RowTaxDirN</t>
  </si>
  <si>
    <t>Social contributions (D.61)</t>
  </si>
  <si>
    <t>Actual social contributions (D.611r)</t>
  </si>
  <si>
    <r>
      <t>Sector</t>
    </r>
    <r>
      <rPr>
        <sz val="11"/>
        <rFont val="Arial"/>
        <family val="2"/>
      </rPr>
      <t xml:space="preserve"> contains all data attributed to different sectors (government, households, corporations and rest of the world).</t>
    </r>
  </si>
  <si>
    <t>VOL. CHANGE IN INVENTORIES</t>
  </si>
  <si>
    <t>GVT: Property income (received) (D.4r)</t>
  </si>
  <si>
    <t>GVT: Property income (paid, excluding interests) (D.4-D.41p)</t>
  </si>
  <si>
    <t>Scrolling down, the first part of the sheet contains all volumes developments, the second part values and the third implicit prices.</t>
  </si>
  <si>
    <t>*141</t>
  </si>
  <si>
    <t>YTaxDir</t>
  </si>
  <si>
    <t>YRowTaxDir</t>
  </si>
  <si>
    <t>*93</t>
  </si>
  <si>
    <t>*106</t>
  </si>
  <si>
    <t>YHTSoc (*)</t>
  </si>
  <si>
    <t>YESoc (*)</t>
  </si>
  <si>
    <t>AYTaxSoc</t>
  </si>
  <si>
    <t>TSocToRow (*)</t>
  </si>
  <si>
    <t>*91</t>
  </si>
  <si>
    <t>YHTot</t>
  </si>
  <si>
    <t>YETot</t>
  </si>
  <si>
    <t>YATot</t>
  </si>
  <si>
    <t xml:space="preserve"> ((L115 t - L115 t-1) ÷ L115 t-1) ÷ ((L61 t - L61 t-1) ÷ L61 t-1)</t>
  </si>
  <si>
    <t xml:space="preserve"> L160 col 1</t>
  </si>
  <si>
    <t xml:space="preserve"> L115 ÷ L61</t>
  </si>
  <si>
    <t>Net current transfers (rest of the world)</t>
  </si>
  <si>
    <t xml:space="preserve"> L87</t>
  </si>
  <si>
    <t xml:space="preserve"> L88</t>
  </si>
  <si>
    <t>GG SUBSIDIES</t>
  </si>
  <si>
    <t>AGG. Final demand</t>
  </si>
  <si>
    <t>VOL. Final demand</t>
  </si>
  <si>
    <t xml:space="preserve">VAL. Imports of goods and services </t>
  </si>
  <si>
    <t xml:space="preserve">AGG. Imports of goods and services </t>
  </si>
  <si>
    <t>EXTERNAL TRANSACTIONS ACCOUNT OF THE NATION (S2)</t>
  </si>
  <si>
    <t xml:space="preserve">   1. Exports of goods (fob)</t>
  </si>
  <si>
    <t>KEY POINTS OF THE FORECAST</t>
  </si>
  <si>
    <t>VOLUMES</t>
  </si>
  <si>
    <t>VOL. PRIVATE CONSUMPTION EXPEND.</t>
  </si>
  <si>
    <t>VPrvC</t>
  </si>
  <si>
    <t>gerrit.bethuyne@ec.europa.eu</t>
  </si>
  <si>
    <t>Compare with the following saved matrix</t>
  </si>
  <si>
    <t>EDP</t>
  </si>
  <si>
    <t xml:space="preserve">   3. Current Transfers received</t>
  </si>
  <si>
    <t>Wage &amp; salary earners (public sector)</t>
  </si>
  <si>
    <t>LEmpDPubl</t>
  </si>
  <si>
    <t>Between here</t>
  </si>
  <si>
    <r>
      <t>===</t>
    </r>
    <r>
      <rPr>
        <b/>
        <sz val="12"/>
        <color indexed="9"/>
        <rFont val="Arial"/>
        <family val="2"/>
      </rPr>
      <t>&gt;</t>
    </r>
  </si>
  <si>
    <t>ANonFinN</t>
  </si>
  <si>
    <t>YAGVadd</t>
  </si>
  <si>
    <t>$Aiswap</t>
  </si>
  <si>
    <t>D.2r (GVT)</t>
  </si>
  <si>
    <t>In that case, you can use the procedure explained in 3., but instead of selecting an entire column, only select the relevant part.</t>
  </si>
  <si>
    <t>QUARTERLY PROFILES</t>
  </si>
  <si>
    <t>FURTHER ANALYSIS OF FIXED INVESTMENT</t>
  </si>
  <si>
    <t>USE AND SUPPLY OF GOODS AND SERVICES (VALUES)</t>
  </si>
  <si>
    <t xml:space="preserve">  11. HICP</t>
  </si>
  <si>
    <t>The forecast system contains four actual forecast sheets:</t>
  </si>
  <si>
    <t xml:space="preserve">  L120</t>
  </si>
  <si>
    <t xml:space="preserve">  L145</t>
  </si>
  <si>
    <t xml:space="preserve">  L146</t>
  </si>
  <si>
    <t xml:space="preserve">  L144</t>
  </si>
  <si>
    <t xml:space="preserve">  L143</t>
  </si>
  <si>
    <t xml:space="preserve">   1. Intra-EU</t>
  </si>
  <si>
    <t xml:space="preserve">   2. Extra-EU</t>
  </si>
  <si>
    <t xml:space="preserve">   4. Intra-EU</t>
  </si>
  <si>
    <t xml:space="preserve">   5. Extra-EU</t>
  </si>
  <si>
    <t>P32</t>
  </si>
  <si>
    <t>$RowTaxDirNet</t>
  </si>
  <si>
    <t>D.5 (EXT)</t>
  </si>
  <si>
    <t>D.61 (EXT)</t>
  </si>
  <si>
    <t>D.62 (EXT)</t>
  </si>
  <si>
    <t>D.7</t>
  </si>
  <si>
    <t>CompRowNet</t>
  </si>
  <si>
    <t>D.1 (EXT)</t>
  </si>
  <si>
    <t xml:space="preserve">   9. Change in HH's net equity in pension funds</t>
  </si>
  <si>
    <t xml:space="preserve">  10. Gross saving (5+6+7-8-9)</t>
  </si>
  <si>
    <t>In sheet Quart1: select the block of 4 columns for t-2 and copy to the right (overwriting the old forecast columns for t-1).</t>
  </si>
  <si>
    <t>Somewhat longer instructions:</t>
  </si>
  <si>
    <r>
      <t xml:space="preserve">Fields marked in </t>
    </r>
    <r>
      <rPr>
        <b/>
        <sz val="11"/>
        <rFont val="Arial"/>
        <family val="2"/>
      </rPr>
      <t>yellow</t>
    </r>
    <r>
      <rPr>
        <sz val="11"/>
        <rFont val="Arial"/>
        <family val="2"/>
      </rPr>
      <t xml:space="preserve"> need</t>
    </r>
    <r>
      <rPr>
        <sz val="11"/>
        <rFont val="Arial"/>
        <family val="2"/>
      </rPr>
      <t xml:space="preserve"> to be filled in by the forecaster. These are the </t>
    </r>
    <r>
      <rPr>
        <b/>
        <sz val="11"/>
        <color indexed="10"/>
        <rFont val="Arial"/>
        <family val="2"/>
      </rPr>
      <t>ONLY</t>
    </r>
    <r>
      <rPr>
        <sz val="11"/>
        <rFont val="Arial"/>
        <family val="2"/>
      </rPr>
      <t xml:space="preserve"> fields that should be filled in. </t>
    </r>
  </si>
  <si>
    <t xml:space="preserve">VAL. FIXED INVESTMENT HOUSING </t>
  </si>
  <si>
    <t>$ETaxProd</t>
  </si>
  <si>
    <t xml:space="preserve">  1. Gross value added in volumes</t>
  </si>
  <si>
    <t xml:space="preserve">  13. Gross capital formation</t>
  </si>
  <si>
    <t>P5</t>
  </si>
  <si>
    <t>D.9 (HH)</t>
  </si>
  <si>
    <t>HTCapN</t>
  </si>
  <si>
    <t>Gross operating surplus (B.2g) / Mixed income (implicit residual)</t>
  </si>
  <si>
    <t>The easiest way is to fill the sheet from left to right, top to bottom (in that case new inputs do not affect your previous forecasts).</t>
  </si>
  <si>
    <t>Gross fixed capital formation</t>
  </si>
  <si>
    <t>Domestic demand (excl. Inventories)</t>
  </si>
  <si>
    <t>Household final consumption expenditure</t>
  </si>
  <si>
    <t>Contributions to growth</t>
  </si>
  <si>
    <t>Domestic demand</t>
  </si>
  <si>
    <t>Text</t>
  </si>
  <si>
    <t>Lpop</t>
  </si>
  <si>
    <t>Lage</t>
  </si>
  <si>
    <t>NP</t>
  </si>
  <si>
    <t>NN</t>
  </si>
  <si>
    <t>GG TAXES ON PRODUCTION AND IMPORTS</t>
  </si>
  <si>
    <t>Elasticity w.r.t. private consumption</t>
  </si>
  <si>
    <t>Implicit employees' social contributions</t>
  </si>
  <si>
    <t>Elasticity w.r.t. compensation of employees</t>
  </si>
  <si>
    <t>Tax rate relative to compensation of employees</t>
  </si>
  <si>
    <t>Fields in this colour contain forecasts made elsewhere in the workbook</t>
  </si>
  <si>
    <t>Other capital expenditure (K.2 + P.52 + P.53 + D.9p)</t>
  </si>
  <si>
    <t>Other current expenditure (D.29p + D.4p - D.41p + D.5p + D.7p + D.8p)</t>
  </si>
  <si>
    <t xml:space="preserve">Final demand                                                                    </t>
  </si>
  <si>
    <t>Imports of goods and services</t>
  </si>
  <si>
    <t>FOR INTERNAL CALCULATIONS BY A4</t>
  </si>
  <si>
    <t xml:space="preserve">  of which, debt</t>
  </si>
  <si>
    <t xml:space="preserve">  of which, dom. crncy.</t>
  </si>
  <si>
    <t xml:space="preserve">  % in dom. currency</t>
  </si>
  <si>
    <t>Gross liabilities</t>
  </si>
  <si>
    <t>AMECO: USAFRW</t>
  </si>
  <si>
    <t>AMECO: USAF5RW</t>
  </si>
  <si>
    <t>All equity +% of debt close to that of EE</t>
  </si>
  <si>
    <t>Net liabilities</t>
  </si>
  <si>
    <t>NB different formulas between outturns and forecast periods!</t>
  </si>
  <si>
    <t xml:space="preserve">  of which, dom. currency</t>
  </si>
  <si>
    <t xml:space="preserve">  % in dom.currency</t>
  </si>
  <si>
    <t>D.</t>
  </si>
  <si>
    <t>D.1p[GVT]</t>
  </si>
  <si>
    <t>D29p[GVT] - D39r[GVT]</t>
  </si>
  <si>
    <t>B.2g[GVT]</t>
  </si>
  <si>
    <t>D.1p[E]</t>
  </si>
  <si>
    <t>D29p[E] - D39r[E]</t>
  </si>
  <si>
    <t>Taxes on income and wealth (direct taxes)</t>
  </si>
  <si>
    <t>Social contributions</t>
  </si>
  <si>
    <t>Ygos</t>
  </si>
  <si>
    <t>$GNI</t>
  </si>
  <si>
    <t>GOVERNMENT CONSUMPTION EXPENDITURE</t>
  </si>
  <si>
    <t>EMPLOYMENT RATE (Struct. Ind. def, calc by B-5)</t>
  </si>
  <si>
    <t>AV. HOURS WORKED</t>
  </si>
  <si>
    <t>HH COMPENSATION OF EMPLOYEES</t>
  </si>
  <si>
    <t xml:space="preserve">  7. Exports of goods and services </t>
  </si>
  <si>
    <t xml:space="preserve">   3. Trade balance (goods, fob/fob) (1-2)</t>
  </si>
  <si>
    <t>Other capital transfers (D.9r-D.91r-D.995)</t>
  </si>
  <si>
    <t>Unpaid taxes (D.995)</t>
  </si>
  <si>
    <t xml:space="preserve"> (L43+L44) - (L45+L46)</t>
  </si>
  <si>
    <t xml:space="preserve"> L43-L45</t>
  </si>
  <si>
    <t xml:space="preserve"> L44-L46</t>
  </si>
  <si>
    <t xml:space="preserve">Gross value added (B.1g-D.21+D.31 - Volumes) </t>
  </si>
  <si>
    <t>GG GEN. GVMNT CONSOLIDATED GROSS DEBT</t>
  </si>
  <si>
    <t>MFob</t>
  </si>
  <si>
    <t>QDDE</t>
  </si>
  <si>
    <t>QDDI</t>
  </si>
  <si>
    <t>QIny</t>
  </si>
  <si>
    <t>QFD</t>
  </si>
  <si>
    <t>Total revenue (harmonised)</t>
  </si>
  <si>
    <t>Total expenditure (harmonised)</t>
  </si>
  <si>
    <t>Transfer sheet</t>
  </si>
  <si>
    <t>P2</t>
  </si>
  <si>
    <t xml:space="preserve"> L142                                                                </t>
  </si>
  <si>
    <t xml:space="preserve"> (((L43-L45) + (L44-L46)) + (L140+L141)) + L142</t>
  </si>
  <si>
    <t xml:space="preserve">  11a. p.m. 11 as % of GDP</t>
  </si>
  <si>
    <t>Table 12</t>
  </si>
  <si>
    <r>
      <t xml:space="preserve">When the </t>
    </r>
    <r>
      <rPr>
        <b/>
        <sz val="11"/>
        <rFont val="Arial"/>
        <family val="2"/>
      </rPr>
      <t>forecast is finished</t>
    </r>
    <r>
      <rPr>
        <sz val="11"/>
        <rFont val="Arial"/>
        <family val="2"/>
      </rPr>
      <t>, press the button "transfer forecast".</t>
    </r>
  </si>
  <si>
    <t>Pi6(4+5)</t>
  </si>
  <si>
    <t>QGDP</t>
  </si>
  <si>
    <t xml:space="preserve">   7. Import prices of goods</t>
  </si>
  <si>
    <t xml:space="preserve">   8. Final demand</t>
  </si>
  <si>
    <t xml:space="preserve">   9. GDP</t>
  </si>
  <si>
    <t>GG TOTAL GOVERNMENT EXPENDITURE</t>
  </si>
  <si>
    <t>$ATotExp</t>
  </si>
  <si>
    <t>GG CAPITAL TAXES</t>
  </si>
  <si>
    <t>GG TAXES TO EU</t>
  </si>
  <si>
    <t>GG INTEREST incl. SWAPS</t>
  </si>
  <si>
    <t>GG SUBSIDIES FROM EU</t>
  </si>
  <si>
    <t>GG VOL. INDIVIDUAL CONSUMPT. EXPENDITURE</t>
  </si>
  <si>
    <t>A.</t>
  </si>
  <si>
    <t>Nominal GDP</t>
  </si>
  <si>
    <t>Total population</t>
  </si>
  <si>
    <t>*176</t>
  </si>
  <si>
    <t>When copying formulas, always copy Q1 into Q1 etc. (instead of Q1 into Q2)</t>
  </si>
  <si>
    <t>YACap</t>
  </si>
  <si>
    <t>D.9r (GVT)</t>
  </si>
  <si>
    <t>D.995</t>
  </si>
  <si>
    <t>GVT: Unpaid taxes (D.995)</t>
  </si>
  <si>
    <t xml:space="preserve">COR COMPENSATION OF EMPLOYEES </t>
  </si>
  <si>
    <t>$EComp</t>
  </si>
  <si>
    <t>COR GROSS OPERATING SURPLUS</t>
  </si>
  <si>
    <t>YEGos</t>
  </si>
  <si>
    <t>COR PROPERTY INCOME (NET)</t>
  </si>
  <si>
    <t>YEPropN</t>
  </si>
  <si>
    <t>Compensation of employees (D.1p) (Domestic)</t>
  </si>
  <si>
    <t>Compensation of employees (Net) (D.1)</t>
  </si>
  <si>
    <t>CompRowN</t>
  </si>
  <si>
    <t>Gross domestic product (B.1g)</t>
  </si>
  <si>
    <t>Sectors as % of total economy</t>
  </si>
  <si>
    <t>Value at current prices</t>
  </si>
  <si>
    <t>level</t>
  </si>
  <si>
    <t>% change</t>
  </si>
  <si>
    <r>
      <t xml:space="preserve">In the </t>
    </r>
    <r>
      <rPr>
        <b/>
        <sz val="11"/>
        <rFont val="Arial"/>
        <family val="2"/>
      </rPr>
      <t>Autumn forecast</t>
    </r>
    <r>
      <rPr>
        <sz val="11"/>
        <rFont val="Arial"/>
        <family val="2"/>
      </rPr>
      <t xml:space="preserve"> of year t, historical data should be available for t-1 (see also item 1).</t>
    </r>
  </si>
  <si>
    <t xml:space="preserve">   2. US dollar (1 USD = )</t>
  </si>
  <si>
    <t>Interest rates, annual average</t>
  </si>
  <si>
    <t>$ADebt[t-1]</t>
  </si>
  <si>
    <t>$ACapT</t>
  </si>
  <si>
    <t>$AI</t>
  </si>
  <si>
    <t>$AIny</t>
  </si>
  <si>
    <t>Gross domestic product (constant prices)</t>
  </si>
  <si>
    <t>D.21r (GVT)</t>
  </si>
  <si>
    <t>need to check 2011 and 2012</t>
  </si>
  <si>
    <t>Implicit FTE per employed person</t>
  </si>
  <si>
    <t>Social benefits (D.62)</t>
  </si>
  <si>
    <t xml:space="preserve">Note: A positive sign indicates an expenditure increasing measure. Incremental impact compared to previous year, in national currency. </t>
  </si>
  <si>
    <t>03.08.2009</t>
  </si>
  <si>
    <t>Auxiliary table (constant prices)</t>
  </si>
  <si>
    <t xml:space="preserve">AGG. Exports of goods and services </t>
  </si>
  <si>
    <t xml:space="preserve">VOL. Exports of goods and services </t>
  </si>
  <si>
    <t>Other current transfers (D.7)</t>
  </si>
  <si>
    <t>GROWTH RATES</t>
  </si>
  <si>
    <t xml:space="preserve"> L42:L47</t>
  </si>
  <si>
    <t xml:space="preserve"> L28</t>
  </si>
  <si>
    <t xml:space="preserve"> External file CYCLPBAL (ECFIN B-5 database, source : Ameco)</t>
  </si>
  <si>
    <t xml:space="preserve"> ((L43+L44+L140+L141) - (L45+L46)) : L47</t>
  </si>
  <si>
    <t xml:space="preserve">   Social benefits (D.61)</t>
  </si>
  <si>
    <t>Values as % of GDP</t>
  </si>
  <si>
    <t xml:space="preserve">HSav </t>
  </si>
  <si>
    <t>Household savings rate</t>
  </si>
  <si>
    <t>Gross saving (B.8g) / Adj. Disp. Income (B.6g + D.8)</t>
  </si>
  <si>
    <t xml:space="preserve">   7a.  - of which, goods</t>
  </si>
  <si>
    <t xml:space="preserve">  14. Gross saving (5-13)</t>
  </si>
  <si>
    <r>
      <t>Sectors2</t>
    </r>
    <r>
      <rPr>
        <sz val="11"/>
        <rFont val="Arial"/>
        <family val="2"/>
      </rPr>
      <t xml:space="preserve"> is</t>
    </r>
    <r>
      <rPr>
        <b/>
        <sz val="11"/>
        <rFont val="Arial"/>
        <family val="2"/>
      </rPr>
      <t xml:space="preserve"> </t>
    </r>
    <r>
      <rPr>
        <sz val="11"/>
        <rFont val="Arial"/>
        <family val="2"/>
      </rPr>
      <t>an</t>
    </r>
    <r>
      <rPr>
        <b/>
        <sz val="11"/>
        <rFont val="Arial"/>
        <family val="2"/>
      </rPr>
      <t xml:space="preserve"> </t>
    </r>
    <r>
      <rPr>
        <sz val="11"/>
        <rFont val="Arial"/>
        <family val="2"/>
      </rPr>
      <t xml:space="preserve">overview sheet </t>
    </r>
    <r>
      <rPr>
        <sz val="11"/>
        <rFont val="Arial"/>
        <family val="2"/>
      </rPr>
      <t>and follows the standard order of ESA95. It groups information in 4 economic sectors</t>
    </r>
  </si>
  <si>
    <t xml:space="preserve">   Taxes on production and imports (D.2r = D.21r+D.29r)</t>
  </si>
  <si>
    <t xml:space="preserve">   Current taxes on income and wealth (D.5r)  </t>
  </si>
  <si>
    <t>Gross operating surplus (B.2g) / Mixed income (implicit)</t>
  </si>
  <si>
    <t>Interest paid (D.41p)</t>
  </si>
  <si>
    <t>Previous year prices series</t>
  </si>
  <si>
    <t>D.3p (GVT)</t>
  </si>
  <si>
    <t>D.62p (GVT)</t>
  </si>
  <si>
    <t>D.91r (GVT)</t>
  </si>
  <si>
    <t>D.1p (GVT)</t>
  </si>
  <si>
    <t>D.9p</t>
  </si>
  <si>
    <t>P.51 (GVT)</t>
  </si>
  <si>
    <t>D.41p (GVT - EDP)</t>
  </si>
  <si>
    <t>UG</t>
  </si>
  <si>
    <t>YHGrVadd</t>
  </si>
  <si>
    <t>UH</t>
  </si>
  <si>
    <t>$HTaxOth</t>
  </si>
  <si>
    <t>Comment: differences are usually the result of seasonal or working day adjustments in the quarterly pattern.</t>
  </si>
  <si>
    <t xml:space="preserve"> External file NOMM  (ECFIN A-4 database)</t>
  </si>
  <si>
    <t xml:space="preserve"> External file LONGM  (ECFIN A-4 database)</t>
  </si>
  <si>
    <t xml:space="preserve"> L45:L10</t>
  </si>
  <si>
    <t xml:space="preserve"> External file GDPGAP (ECFIN A-4 database, source : Ameco)</t>
  </si>
  <si>
    <t xml:space="preserve"> L59</t>
  </si>
  <si>
    <t>Impact of discretionary measures on revenue</t>
  </si>
  <si>
    <t>Current revenue</t>
  </si>
  <si>
    <t>Capital transfers received</t>
  </si>
  <si>
    <t>Impact of discretionary measures on expenditure</t>
  </si>
  <si>
    <t>Current expenditure</t>
  </si>
  <si>
    <t>Capital expenditure (GFCF and other)</t>
  </si>
  <si>
    <t>DISCRETIONARY MEASURES CURRENT EXPENDITURE</t>
  </si>
  <si>
    <t xml:space="preserve"> ((L87+89+90+91+94+100+101+105+106) - (L92+93+95+96+97+102+103+107+108+109+110)) : L47</t>
  </si>
  <si>
    <t>Taxes on production and imports (Indirect taxes)</t>
  </si>
  <si>
    <t xml:space="preserve"> (L100+L101-L102-L103) + L105 + L106 - L107 - L108</t>
  </si>
  <si>
    <t xml:space="preserve"> Table-line 10 : L47</t>
  </si>
  <si>
    <t xml:space="preserve"> L109</t>
  </si>
  <si>
    <t>LT_</t>
  </si>
  <si>
    <r>
      <t>Sectors1</t>
    </r>
    <r>
      <rPr>
        <sz val="11"/>
        <rFont val="Arial"/>
        <family val="2"/>
      </rPr>
      <t xml:space="preserve"> is used to forecast variables on a sectoral basis. It contains </t>
    </r>
    <r>
      <rPr>
        <b/>
        <sz val="11"/>
        <rFont val="Arial"/>
        <family val="2"/>
      </rPr>
      <t>one column per year</t>
    </r>
    <r>
      <rPr>
        <sz val="11"/>
        <rFont val="Arial"/>
        <family val="2"/>
      </rPr>
      <t xml:space="preserve">. </t>
    </r>
  </si>
  <si>
    <t>Processed food (incl. Alcohol and tobacco)</t>
  </si>
  <si>
    <t>Unprocessed food</t>
  </si>
  <si>
    <t>Services</t>
  </si>
  <si>
    <t>Index</t>
  </si>
  <si>
    <t>HICP Index services</t>
  </si>
  <si>
    <t xml:space="preserve">   6. Domestic demand (incl. inventories) (4+5)</t>
  </si>
  <si>
    <t xml:space="preserve">   8. Balance of primary incomes and current Transfers</t>
  </si>
  <si>
    <t xml:space="preserve">  9. Imports of goods and services </t>
  </si>
  <si>
    <t xml:space="preserve">  9a.  - of which, goods</t>
  </si>
  <si>
    <t xml:space="preserve">   3. euro (1 EUR = )</t>
  </si>
  <si>
    <t>Columns F and following will be filled automatically. The sheet can hold data till 2020.</t>
  </si>
  <si>
    <t xml:space="preserve">  8c. p.m. 8 as % of GDP</t>
  </si>
  <si>
    <t xml:space="preserve">  9a. p.m. 9 as % of GDP</t>
  </si>
  <si>
    <t xml:space="preserve">  10. Net capital transactions</t>
  </si>
  <si>
    <t xml:space="preserve">   6a. p.m. 6 as % of GDP</t>
  </si>
  <si>
    <t xml:space="preserve">   7a. p.m. 7 as % of GDP</t>
  </si>
  <si>
    <t xml:space="preserve">   4. Short-term interest rate</t>
  </si>
  <si>
    <t xml:space="preserve">   5. Long-term interest rate</t>
  </si>
  <si>
    <r>
      <t xml:space="preserve">This is a technical feature that should not be used lightly: people from Ameco </t>
    </r>
    <r>
      <rPr>
        <b/>
        <sz val="11"/>
        <color indexed="10"/>
        <rFont val="Arial"/>
        <family val="2"/>
      </rPr>
      <t>DO NOT LIKE IT AT ALL</t>
    </r>
    <r>
      <rPr>
        <sz val="11"/>
        <rFont val="Arial"/>
        <family val="2"/>
      </rPr>
      <t>!!!</t>
    </r>
  </si>
  <si>
    <t>HH OTHER NON-LABOUR INCOME (NET)</t>
  </si>
  <si>
    <t>YHProp</t>
  </si>
  <si>
    <t>HH CURRENT TRANSFERS RECEIVED</t>
  </si>
  <si>
    <t>YHT</t>
  </si>
  <si>
    <t xml:space="preserve">   Labour productivity and unit labour cost</t>
  </si>
  <si>
    <t>Values as percent of HH disposable income</t>
  </si>
  <si>
    <t>Discrepancies due to calendar effects</t>
  </si>
  <si>
    <t>GG CONSUMPTION OF FIXED CAPITAL</t>
  </si>
  <si>
    <t xml:space="preserve"> L91</t>
  </si>
  <si>
    <t xml:space="preserve"> L93</t>
  </si>
  <si>
    <t>Real total compensation per employee (GDP deflator)</t>
  </si>
  <si>
    <t xml:space="preserve">  26. One-off measures (total)</t>
  </si>
  <si>
    <t>Gross domestic product at market prices</t>
  </si>
  <si>
    <t>Private consumption expenditure</t>
  </si>
  <si>
    <t>Government consumption expenditure</t>
  </si>
  <si>
    <t>Changes in inventories / valuables (P.52+P.53)</t>
  </si>
  <si>
    <t>Household consumption (current prices)</t>
  </si>
  <si>
    <t>Government consumption (current prices)</t>
  </si>
  <si>
    <t>Investment by type of asset (current prices)</t>
  </si>
  <si>
    <t>Investment by sector (current prices)</t>
  </si>
  <si>
    <t>DISCRETIONARY MEASURES CURRENT REVENUE</t>
  </si>
  <si>
    <t>DISCRETIONARY MEASURES CAPITAL EXPENDITURE</t>
  </si>
  <si>
    <t>DISCRETIONARY MEASURES CAPITAL TRANSFERS RECEIVED</t>
  </si>
  <si>
    <r>
      <t xml:space="preserve">Note: A positive sign means that expenditure </t>
    </r>
    <r>
      <rPr>
        <b/>
        <u/>
        <sz val="10"/>
        <color indexed="10"/>
        <rFont val="Arial"/>
        <family val="2"/>
      </rPr>
      <t>decreases</t>
    </r>
    <r>
      <rPr>
        <b/>
        <sz val="10"/>
        <color indexed="10"/>
        <rFont val="Arial"/>
        <family val="2"/>
      </rPr>
      <t xml:space="preserve">. Total amount, in national currency. </t>
    </r>
  </si>
  <si>
    <t xml:space="preserve">Note: A positive sign means that revenue increases. Total amount, in national currency. </t>
  </si>
  <si>
    <t>Implicit interest rates</t>
  </si>
  <si>
    <t>$AInt / $Debt(t-1)</t>
  </si>
  <si>
    <t xml:space="preserve">  L37</t>
  </si>
  <si>
    <t xml:space="preserve"> Table-line 11 : L47</t>
  </si>
  <si>
    <t xml:space="preserve"> Table-line 9 : L47</t>
  </si>
  <si>
    <t>Productivity and unit labour cost</t>
  </si>
  <si>
    <t>Unit labour cost</t>
  </si>
  <si>
    <t>Unit labour productivity</t>
  </si>
  <si>
    <t>ULCost</t>
  </si>
  <si>
    <t>YWAvDPu x LEmpDPu</t>
  </si>
  <si>
    <t>YWAvDPr x LempDpr</t>
  </si>
  <si>
    <t>YWAvRow x LEmpRow</t>
  </si>
  <si>
    <r>
      <t xml:space="preserve">Statistical discrepancy </t>
    </r>
    <r>
      <rPr>
        <b/>
        <sz val="10"/>
        <color indexed="10"/>
        <rFont val="Arial"/>
        <family val="2"/>
      </rPr>
      <t>(read comment)</t>
    </r>
  </si>
  <si>
    <t>Adjustment for change in net equity of pension fund reserves (D.8)</t>
  </si>
  <si>
    <t>Employer's social contr. / employee (national)</t>
  </si>
  <si>
    <t>Wages &amp; salaries (values)</t>
  </si>
  <si>
    <t>Wages &amp; salaries (private)</t>
  </si>
  <si>
    <t>Wages &amp; salaries (public)</t>
  </si>
  <si>
    <t>Wages &amp; salaries (domestic)</t>
  </si>
  <si>
    <t>Wages &amp; salaries (frontier workers)</t>
  </si>
  <si>
    <t>Wages &amp; salaries (national)</t>
  </si>
  <si>
    <t xml:space="preserve"> Levels as % of GDP</t>
  </si>
  <si>
    <t xml:space="preserve"> 19. Current external balance</t>
  </si>
  <si>
    <t>VOL. G.F.C.F. CONSTRUCTION</t>
  </si>
  <si>
    <t>VICst</t>
  </si>
  <si>
    <t>VOL. G.F.C.F. EQUIPMENT</t>
  </si>
  <si>
    <t>VOL. G.F.C.F. OTHER</t>
  </si>
  <si>
    <t xml:space="preserve"> L113+L114+L115+L117+L125+L143</t>
  </si>
  <si>
    <t xml:space="preserve"> L120+L121+L122+L123+L124+L126+L127+L145+L146</t>
  </si>
  <si>
    <t>Growth rates</t>
  </si>
  <si>
    <r>
      <t>PLEASE MAKE SURE THAT THE DATA_P.XLS FILE IS IN THE SAME FOLDER AS THIS FORECAST SHEET!</t>
    </r>
    <r>
      <rPr>
        <b/>
        <sz val="10"/>
        <rFont val="Arial"/>
        <family val="2"/>
      </rPr>
      <t xml:space="preserve"> </t>
    </r>
    <r>
      <rPr>
        <b/>
        <u/>
        <sz val="10"/>
        <rFont val="Arial"/>
        <family val="2"/>
      </rPr>
      <t>Instruction</t>
    </r>
    <r>
      <rPr>
        <b/>
        <sz val="10"/>
        <rFont val="Arial"/>
        <family val="2"/>
      </rPr>
      <t>: To create a link to data_p, enter the data_p sheetname (e.g. UG) in column D and the data_p row number in column E. Columns F - AF will be filled automatically.</t>
    </r>
    <r>
      <rPr>
        <b/>
        <sz val="10"/>
        <color indexed="10"/>
        <rFont val="Arial"/>
        <family val="2"/>
      </rPr>
      <t xml:space="preserve"> </t>
    </r>
  </si>
  <si>
    <t>Employer's social contr. (frontier workers)</t>
  </si>
  <si>
    <t>Employer's social contr. (national)</t>
  </si>
  <si>
    <t>YWD</t>
  </si>
  <si>
    <t>ETSocAvDPr</t>
  </si>
  <si>
    <t>ETSocAvDPu</t>
  </si>
  <si>
    <t>ETSocAvD</t>
  </si>
  <si>
    <t>ETSocAvRow</t>
  </si>
  <si>
    <t>ETSocAv</t>
  </si>
  <si>
    <t>ETSocAvDPr x LempDpr</t>
  </si>
  <si>
    <t>ETSocAvDPu x LEmpDPu</t>
  </si>
  <si>
    <t>Gross saving (B.8g)</t>
  </si>
  <si>
    <t>Capital transfers (net) (D.9)</t>
  </si>
  <si>
    <t xml:space="preserve">   9a.  - of which goods</t>
  </si>
  <si>
    <t>P71</t>
  </si>
  <si>
    <t>P72</t>
  </si>
  <si>
    <t>B1*g</t>
  </si>
  <si>
    <t xml:space="preserve">TAX RATE DIRECT TAXES PAST 4-Y AVG (col 1) </t>
  </si>
  <si>
    <t>TAX RATE SOCIAL CONTR. PAST 4-Y AVG (col 1)</t>
  </si>
  <si>
    <t>TAX ELASTICITY OECD INDIRECT TAXES (col 1)</t>
  </si>
  <si>
    <t>VXG</t>
  </si>
  <si>
    <t>TAX ELASTICITY OECD DIRECT TAXES (col 1)</t>
  </si>
  <si>
    <t>GVT: Imputed social contributions (D.612r)</t>
  </si>
  <si>
    <t>Social benefits (D.62r)</t>
  </si>
  <si>
    <t>Other current transfers (D.7r)</t>
  </si>
  <si>
    <t>Total revenue</t>
  </si>
  <si>
    <t>Current taxes on income and wealth (D.5p)</t>
  </si>
  <si>
    <t>Social contributions (D.61p)</t>
  </si>
  <si>
    <t>Social benefits (D.62p)</t>
  </si>
  <si>
    <t>Other current transfers (D.7p)</t>
  </si>
  <si>
    <t xml:space="preserve">   1. Ex ante elasticity with respect to private consumption</t>
  </si>
  <si>
    <t>Final domestic demand</t>
  </si>
  <si>
    <t>in columns A and B means that the variable comes from row 11 in the input sheet and goes to row 23 of the transfer matrix.</t>
  </si>
  <si>
    <t xml:space="preserve"> From line 18 onwards : % GDP instead of % change in every second column. Value divided by L47 (current GDP)</t>
  </si>
  <si>
    <t>Primary ext. deficit</t>
  </si>
  <si>
    <t xml:space="preserve">  o/w rate of return</t>
  </si>
  <si>
    <t xml:space="preserve">  o/w ER changes</t>
  </si>
  <si>
    <t>Total identified</t>
  </si>
  <si>
    <t>Stock-flow residual</t>
  </si>
  <si>
    <t>Change in net liab.</t>
  </si>
  <si>
    <t>G.</t>
  </si>
  <si>
    <t xml:space="preserve"> 15a. - of which, gross wages and salaries</t>
  </si>
  <si>
    <t xml:space="preserve"> 15b. - of which, employers' social contributions</t>
  </si>
  <si>
    <t xml:space="preserve"> 16. Gross operating surplus/mixed income</t>
  </si>
  <si>
    <r>
      <t xml:space="preserve">Information is </t>
    </r>
    <r>
      <rPr>
        <b/>
        <sz val="11"/>
        <rFont val="Arial"/>
        <family val="2"/>
      </rPr>
      <t>grouped by type of variable</t>
    </r>
    <r>
      <rPr>
        <sz val="11"/>
        <rFont val="Arial"/>
        <family val="2"/>
      </rPr>
      <t xml:space="preserve">, to ensure that aggregates are equal to the sum of the components. </t>
    </r>
  </si>
  <si>
    <r>
      <t xml:space="preserve">In the </t>
    </r>
    <r>
      <rPr>
        <b/>
        <sz val="11"/>
        <rFont val="Arial"/>
        <family val="2"/>
      </rPr>
      <t>Autumn forecast</t>
    </r>
    <r>
      <rPr>
        <sz val="11"/>
        <rFont val="Arial"/>
        <family val="2"/>
      </rPr>
      <t xml:space="preserve"> of year t, an </t>
    </r>
    <r>
      <rPr>
        <b/>
        <sz val="11"/>
        <rFont val="Arial"/>
        <family val="2"/>
      </rPr>
      <t>additional forecast year</t>
    </r>
    <r>
      <rPr>
        <sz val="11"/>
        <rFont val="Arial"/>
        <family val="2"/>
      </rPr>
      <t xml:space="preserve"> is added: t, t+1 and</t>
    </r>
    <r>
      <rPr>
        <b/>
        <sz val="11"/>
        <rFont val="Arial"/>
        <family val="2"/>
      </rPr>
      <t xml:space="preserve"> t+2.</t>
    </r>
  </si>
  <si>
    <t>Exports of goods and services (P.6)</t>
  </si>
  <si>
    <t>Final demand</t>
  </si>
  <si>
    <t>Final consumption expenditure</t>
  </si>
  <si>
    <t xml:space="preserve">   2a.  - of which, paid by households and NPISH</t>
  </si>
  <si>
    <r>
      <t xml:space="preserve">There are </t>
    </r>
    <r>
      <rPr>
        <b/>
        <sz val="11"/>
        <rFont val="Arial"/>
        <family val="2"/>
      </rPr>
      <t xml:space="preserve">two input sheets </t>
    </r>
    <r>
      <rPr>
        <sz val="11"/>
        <rFont val="Arial"/>
        <family val="2"/>
      </rPr>
      <t>for historical data; one for annual data and one for quarterly data.</t>
    </r>
  </si>
  <si>
    <r>
      <t xml:space="preserve">In principle, data_p has the same </t>
    </r>
    <r>
      <rPr>
        <b/>
        <sz val="11"/>
        <rFont val="Arial"/>
        <family val="2"/>
      </rPr>
      <t>structure</t>
    </r>
    <r>
      <rPr>
        <sz val="11"/>
        <rFont val="Arial"/>
        <family val="2"/>
      </rPr>
      <t xml:space="preserve"> for all countries.</t>
    </r>
  </si>
  <si>
    <r>
      <t>Capital transfers (</t>
    </r>
    <r>
      <rPr>
        <b/>
        <sz val="10"/>
        <color indexed="10"/>
        <rFont val="Arial"/>
        <family val="2"/>
      </rPr>
      <t>received - paid</t>
    </r>
    <r>
      <rPr>
        <sz val="10"/>
        <rFont val="Arial"/>
        <family val="2"/>
      </rPr>
      <t>) (D.9)</t>
    </r>
  </si>
  <si>
    <t>D.8p (GVT)</t>
  </si>
  <si>
    <t>RowChEqPenR</t>
  </si>
  <si>
    <t>Taxes on production and imports (D.2r) - Elasticities table 10a</t>
  </si>
  <si>
    <t>D3</t>
  </si>
  <si>
    <t>D9</t>
  </si>
  <si>
    <t xml:space="preserve"> L125</t>
  </si>
  <si>
    <t xml:space="preserve"> L127</t>
  </si>
  <si>
    <t>% of GDP</t>
  </si>
  <si>
    <t>Gross value added (B.1g-D.21+D.31)</t>
  </si>
  <si>
    <t>Other taxes on production (D.29p)</t>
  </si>
  <si>
    <t>Other subsidies on production (D.39r)</t>
  </si>
  <si>
    <t>Compensation of employees (D.1p)</t>
  </si>
  <si>
    <t>Gross operating surplus (B.2g) / mixed income (B.3g)</t>
  </si>
  <si>
    <t>Compensation of employees (D.1r)</t>
  </si>
  <si>
    <t>HH: Wages and salaries (D.11r)</t>
  </si>
  <si>
    <t>HH: Employer's social contributions (D.12r)</t>
  </si>
  <si>
    <t>Taxes on production and imports (D.2r = D.21r+D.29r)</t>
  </si>
  <si>
    <t>Short instructions:</t>
  </si>
  <si>
    <t xml:space="preserve">   2. Imports of goods (fob) </t>
  </si>
  <si>
    <t>Values</t>
  </si>
  <si>
    <t>!!!</t>
  </si>
  <si>
    <r>
      <t xml:space="preserve">Above all: </t>
    </r>
    <r>
      <rPr>
        <b/>
        <sz val="11"/>
        <color indexed="10"/>
        <rFont val="Arial"/>
        <family val="2"/>
      </rPr>
      <t>DO NOT INSERT OR DELETE COLUMNS (NEVER, NEVER, NEVER !!!)</t>
    </r>
    <r>
      <rPr>
        <sz val="11"/>
        <rFont val="Arial"/>
        <family val="2"/>
      </rPr>
      <t xml:space="preserve">. </t>
    </r>
  </si>
  <si>
    <t xml:space="preserve">   2. Apparent elasticity of forecast</t>
  </si>
  <si>
    <t xml:space="preserve">   3. Past average tax rate</t>
  </si>
  <si>
    <t xml:space="preserve">   4. Average tax rate of forecast (in percent)</t>
  </si>
  <si>
    <t xml:space="preserve">   5. Other factors including discretionary measures implied by forecast (% GDP)</t>
  </si>
  <si>
    <t xml:space="preserve"> L43-L45                                                                    </t>
  </si>
  <si>
    <t xml:space="preserve">   3a. p.m. (3) as % of GDP</t>
  </si>
  <si>
    <t>B11</t>
  </si>
  <si>
    <t>Table 2</t>
  </si>
  <si>
    <t>I</t>
  </si>
  <si>
    <t>II</t>
  </si>
  <si>
    <t>III</t>
  </si>
  <si>
    <t>IV</t>
  </si>
  <si>
    <t>Harmonized consumer price index</t>
  </si>
  <si>
    <t>INCOME AND EXPENDITURE OF CORPORATIONS (S11+S12)</t>
  </si>
  <si>
    <t>code</t>
  </si>
  <si>
    <t xml:space="preserve">   12. Balance of primary income with rest of the world</t>
  </si>
  <si>
    <t>B5</t>
  </si>
  <si>
    <t xml:space="preserve"> L140</t>
  </si>
  <si>
    <t>B5*g</t>
  </si>
  <si>
    <t xml:space="preserve"> L47+L140</t>
  </si>
  <si>
    <t>D1</t>
  </si>
  <si>
    <t>B2g+B3g</t>
  </si>
  <si>
    <t>PIny</t>
  </si>
  <si>
    <t>PXS</t>
  </si>
  <si>
    <t>PXG</t>
  </si>
  <si>
    <t>PXFob</t>
  </si>
  <si>
    <t xml:space="preserve">  2. Government consumption expenditure</t>
  </si>
  <si>
    <t xml:space="preserve">  3. Gross fixed capital formation</t>
  </si>
  <si>
    <t>For the first forecast year, it often happens that you have historical data for some variables (but not for all).</t>
  </si>
  <si>
    <t xml:space="preserve">   4. Sales and other current revenue</t>
  </si>
  <si>
    <t>HICP Index non-energy industrial goods</t>
  </si>
  <si>
    <t>Weights</t>
  </si>
  <si>
    <t>Contributions</t>
  </si>
  <si>
    <t>Corresponding annual index</t>
  </si>
  <si>
    <t>Corresponding annual growth rate</t>
  </si>
  <si>
    <t>HICP Non-energy industrial goods - weight</t>
  </si>
  <si>
    <t>HICP Energy - weight</t>
  </si>
  <si>
    <t>HICP Unprocessed food - weight</t>
  </si>
  <si>
    <t>HICP Processed food incl. alcohol and tobacco - weight</t>
  </si>
  <si>
    <t>HICP Services - weight</t>
  </si>
  <si>
    <t xml:space="preserve">   9. Social transfers other than in kind</t>
  </si>
  <si>
    <t>D.61r (EXT)</t>
  </si>
  <si>
    <t>D.62r (EXT)</t>
  </si>
  <si>
    <t>D.7r (EXT)</t>
  </si>
  <si>
    <t>D.5p (EXT)</t>
  </si>
  <si>
    <t>D.61p (EXT)</t>
  </si>
  <si>
    <t>D.62p (EXT)</t>
  </si>
  <si>
    <t>D.7p (EXT)</t>
  </si>
  <si>
    <t>K.2 (EXT)</t>
  </si>
  <si>
    <t>$MG</t>
  </si>
  <si>
    <t>HH CURRENT TAXES ON INCOME AND WEALTH</t>
  </si>
  <si>
    <t>$HTaxDir</t>
  </si>
  <si>
    <t>HH CURRENT TRANSFERS PAID</t>
  </si>
  <si>
    <t>$HT</t>
  </si>
  <si>
    <t>HH CHANGE IN NET EQUITY IN PENSION FUNDS</t>
  </si>
  <si>
    <t>HH FINAL CONSUMPTION EXPENDITURE</t>
  </si>
  <si>
    <t>Dwellings</t>
  </si>
  <si>
    <t>Construction</t>
  </si>
  <si>
    <t>Equipment</t>
  </si>
  <si>
    <t>Others</t>
  </si>
  <si>
    <t>HH+E</t>
  </si>
  <si>
    <t>==</t>
  </si>
  <si>
    <t>Changes in inventories / valuables (P.51+P.52)</t>
  </si>
  <si>
    <t>Exports of services (P.62)</t>
  </si>
  <si>
    <t>Exports of goods (P.61)</t>
  </si>
  <si>
    <t>Exports (P.6)</t>
  </si>
  <si>
    <t>Imports of services (P.72)</t>
  </si>
  <si>
    <t>Imports of goods (P.71)</t>
  </si>
  <si>
    <t>Imports of goods and services (P.7)</t>
  </si>
  <si>
    <t xml:space="preserve">  15. Capital Transfers, received</t>
  </si>
  <si>
    <t xml:space="preserve">  16. Gross fixed capital formation</t>
  </si>
  <si>
    <t xml:space="preserve">  17. Other capital expenditure</t>
  </si>
  <si>
    <t xml:space="preserve">  14a. p.m. as % of GDP</t>
  </si>
  <si>
    <t xml:space="preserve">  20. Net lending (+) / net borrowing (-) (18-19)</t>
  </si>
  <si>
    <t>GVT: Actual social contributions (D.611r)</t>
  </si>
  <si>
    <t>EYDisp</t>
  </si>
  <si>
    <t>YADisp</t>
  </si>
  <si>
    <t>ERR</t>
  </si>
  <si>
    <t>Hsav</t>
  </si>
  <si>
    <t>Esav</t>
  </si>
  <si>
    <t>Asav</t>
  </si>
  <si>
    <t>*97</t>
  </si>
  <si>
    <t>(This description may seem somewhat long, but in practice most procedures will only take a couple of seconds for an experienced user)</t>
  </si>
  <si>
    <t xml:space="preserve">VOL. Imports of goods and services </t>
  </si>
  <si>
    <t>VAL. GFCF in other domestic sectors</t>
  </si>
  <si>
    <t>AGG. GFCF in other domestic sectors</t>
  </si>
  <si>
    <t>In sheets VVP2, Labour1 and Sector1: select the last column and copy it to the right.</t>
  </si>
  <si>
    <t>In sheet Quart1: select the last block of 4 columns and copy it to the right.</t>
  </si>
  <si>
    <t>In sheet VVP1: select the last block of 5 columns and copy it to the right.</t>
  </si>
  <si>
    <t>Capital taxes (D.91r)</t>
  </si>
  <si>
    <t>RoWTCapN</t>
  </si>
  <si>
    <t>Acquisition less disposal of non-fin. non-prod. assets (K.2)</t>
  </si>
  <si>
    <t>Capital transfers (D.9r)</t>
  </si>
  <si>
    <t xml:space="preserve"> L149</t>
  </si>
  <si>
    <t xml:space="preserve"> L147+L149</t>
  </si>
  <si>
    <t xml:space="preserve"> L150</t>
  </si>
  <si>
    <t>(in the example: only select the part of the column covering HICP).</t>
  </si>
  <si>
    <r>
      <t>VVP2</t>
    </r>
    <r>
      <rPr>
        <sz val="11"/>
        <rFont val="Arial"/>
        <family val="2"/>
      </rPr>
      <t xml:space="preserve"> has only </t>
    </r>
    <r>
      <rPr>
        <b/>
        <sz val="11"/>
        <rFont val="Arial"/>
        <family val="2"/>
      </rPr>
      <t>one column for each year</t>
    </r>
    <r>
      <rPr>
        <sz val="11"/>
        <rFont val="Arial"/>
        <family val="2"/>
      </rPr>
      <t>.</t>
    </r>
  </si>
  <si>
    <t>Non-residential construction</t>
  </si>
  <si>
    <r>
      <t xml:space="preserve">% vol </t>
    </r>
    <r>
      <rPr>
        <b/>
        <sz val="10"/>
        <color indexed="9"/>
        <rFont val="Symbol"/>
        <family val="1"/>
        <charset val="2"/>
      </rPr>
      <t>D</t>
    </r>
  </si>
  <si>
    <t>Unless better / earlier data are available from an alternative source, these Ameco figures can be copied directly in data_p.</t>
  </si>
  <si>
    <t>Subsidies (D.3p = D.31p+D.39p)</t>
  </si>
  <si>
    <t>Property income (net) (D.4)</t>
  </si>
  <si>
    <t>GVT: Interest paid (D.41p)</t>
  </si>
  <si>
    <t>Balance of primary income (gross) / Gross national income (B.5g)</t>
  </si>
  <si>
    <t>VAL. GROSS DOMESTIC PRODUCT</t>
  </si>
  <si>
    <t>TAXES ON PRODUCTS</t>
  </si>
  <si>
    <t>YATaxProd</t>
  </si>
  <si>
    <t>SUBSIDIES ON PRODUCTS</t>
  </si>
  <si>
    <t>Total imports of goods</t>
  </si>
  <si>
    <t>Gross domestic product (B.1g - current prices)</t>
  </si>
  <si>
    <t>Before you start making a forecast, some preparations need to be made:</t>
  </si>
  <si>
    <r>
      <t xml:space="preserve">1. </t>
    </r>
    <r>
      <rPr>
        <b/>
        <sz val="11"/>
        <rFont val="Arial"/>
        <family val="2"/>
      </rPr>
      <t>Update data_p</t>
    </r>
    <r>
      <rPr>
        <sz val="11"/>
        <rFont val="Arial"/>
        <family val="2"/>
      </rPr>
      <t xml:space="preserve"> with the latest available historical data</t>
    </r>
  </si>
  <si>
    <t xml:space="preserve">  10a. p.m. 10 as % of GDP</t>
  </si>
  <si>
    <t>Y</t>
  </si>
  <si>
    <t xml:space="preserve">  21. Net lending/borrowing for EDP purposes</t>
  </si>
  <si>
    <t>Elasticity of domestic employment w.r.t. GDP growth</t>
  </si>
  <si>
    <t>Employer's social contr. / employee (values in 1000 euro)</t>
  </si>
  <si>
    <t>Wages &amp; salaries</t>
  </si>
  <si>
    <t xml:space="preserve"> ((L87+L89+L90+L91-L92-L93) + L94) : (L36:L1)    L36:L1 = private consumption deflator</t>
  </si>
  <si>
    <t xml:space="preserve"> L95</t>
  </si>
  <si>
    <t>Wages &amp; salaries / employee (national)</t>
  </si>
  <si>
    <t>YWAvDPr</t>
  </si>
  <si>
    <t>YWAvDPu</t>
  </si>
  <si>
    <t>YWAvD</t>
  </si>
  <si>
    <t>YWAvRow</t>
  </si>
  <si>
    <t>YWAv</t>
  </si>
  <si>
    <r>
      <t xml:space="preserve">For each year there is a </t>
    </r>
    <r>
      <rPr>
        <b/>
        <sz val="11"/>
        <rFont val="Arial"/>
        <family val="2"/>
      </rPr>
      <t>consistency check</t>
    </r>
    <r>
      <rPr>
        <sz val="11"/>
        <rFont val="Arial"/>
        <family val="2"/>
      </rPr>
      <t>, which makes sure that:</t>
    </r>
  </si>
  <si>
    <t>$AICstNonR</t>
  </si>
  <si>
    <t>$PrvICstNonR</t>
  </si>
  <si>
    <t>$ICstNonR</t>
  </si>
  <si>
    <t>$ICstR</t>
  </si>
  <si>
    <t>Exports (constant prices)</t>
  </si>
  <si>
    <t>TAX ELASTICITY OECD SOCIAL CONTR. (col 1)</t>
  </si>
  <si>
    <t>VMG</t>
  </si>
  <si>
    <t>$XG</t>
  </si>
  <si>
    <r>
      <t xml:space="preserve">Normally, in the </t>
    </r>
    <r>
      <rPr>
        <b/>
        <sz val="11"/>
        <rFont val="Arial"/>
        <family val="2"/>
      </rPr>
      <t>Spring forecast</t>
    </r>
    <r>
      <rPr>
        <sz val="11"/>
        <rFont val="Arial"/>
        <family val="2"/>
      </rPr>
      <t xml:space="preserve"> of year t, columns should be available for t-1 (which is estimated), t and t+1 (forecasted).</t>
    </r>
  </si>
  <si>
    <r>
      <t xml:space="preserve">The sheet </t>
    </r>
    <r>
      <rPr>
        <b/>
        <sz val="11"/>
        <rFont val="Arial"/>
        <family val="2"/>
      </rPr>
      <t>Tables</t>
    </r>
    <r>
      <rPr>
        <sz val="11"/>
        <rFont val="Arial"/>
        <family val="2"/>
      </rPr>
      <t xml:space="preserve"> gives the main tables that will be produced centrally after a storage.</t>
    </r>
  </si>
  <si>
    <r>
      <t xml:space="preserve">The </t>
    </r>
    <r>
      <rPr>
        <u/>
        <sz val="11"/>
        <rFont val="Arial"/>
        <family val="2"/>
      </rPr>
      <t>first sheets</t>
    </r>
    <r>
      <rPr>
        <sz val="11"/>
        <rFont val="Arial"/>
        <family val="2"/>
      </rPr>
      <t xml:space="preserve"> of data_p have a structure identical to a file ( XXX-Ameco.xls, where XXX is a country code).</t>
    </r>
  </si>
  <si>
    <t>D.612r (GVT)</t>
  </si>
  <si>
    <t>K.2 (GVT)</t>
  </si>
  <si>
    <t>P.52 + P.53 (GVT)</t>
  </si>
  <si>
    <t>D.9 (EXT)</t>
  </si>
  <si>
    <t>other useful information (% of GDP, elasticities, ...)</t>
  </si>
  <si>
    <t>Tax rate relative to private consumption expenditure</t>
  </si>
  <si>
    <t xml:space="preserve">Current taxes on income and wealth (D.5p) </t>
  </si>
  <si>
    <t>VAL. G.F.C.F. OTHER</t>
  </si>
  <si>
    <t>$IO</t>
  </si>
  <si>
    <t>VAL. CHANGE IN INVENTORIES</t>
  </si>
  <si>
    <t>$Iny</t>
  </si>
  <si>
    <t>VAL. EXPORTS OF GOODS (FOB)</t>
  </si>
  <si>
    <t>VAL. EXPORTS OF SERVICES</t>
  </si>
  <si>
    <t>$XS</t>
  </si>
  <si>
    <t>VAL. IMPORTS OF GOODS (FOB)</t>
  </si>
  <si>
    <t>VAL. IMPORTS OF SERVICES</t>
  </si>
  <si>
    <t>$MS</t>
  </si>
  <si>
    <t>Hint: updating charts is easier if you do it before all the empty values are filled.</t>
  </si>
  <si>
    <t>YATaxIndir + TaxToRow(1)</t>
  </si>
  <si>
    <t>(although somehow, in real life, it may take slightly longer than this box seems to suggest).</t>
  </si>
  <si>
    <t xml:space="preserve"> Special calculation A-4 based on Benchmark activity rates</t>
  </si>
  <si>
    <t xml:space="preserve"> Special calculation A-4 based on Benchmark employment rates</t>
  </si>
  <si>
    <t>Unit: '000 persons</t>
  </si>
  <si>
    <t>ETSocAvRow x LEmpRow</t>
  </si>
  <si>
    <t>Changes in inventories / net acq. of valuables</t>
  </si>
  <si>
    <t>YEGrVadd</t>
  </si>
  <si>
    <t>EChEqPenR</t>
  </si>
  <si>
    <t>YETO</t>
  </si>
  <si>
    <t>$ETO</t>
  </si>
  <si>
    <t>YESoc</t>
  </si>
  <si>
    <t>$ETSoc</t>
  </si>
  <si>
    <t>ENonFinN</t>
  </si>
  <si>
    <t>$EI</t>
  </si>
  <si>
    <t xml:space="preserve">   7. External balance of goods &amp; services (3+6)</t>
  </si>
  <si>
    <t xml:space="preserve">   9. Current external balance (7+8)</t>
  </si>
  <si>
    <t xml:space="preserve">   8. Current taxes on income and wealth</t>
  </si>
  <si>
    <t xml:space="preserve">  15a. p.m. 15 as % of GDP</t>
  </si>
  <si>
    <t xml:space="preserve">  15. Net lending (+) or net borrowing (-) (11-13-14)</t>
  </si>
  <si>
    <t>B9</t>
  </si>
  <si>
    <t>Change in civil servants purchasing power (July - July estimates)</t>
  </si>
  <si>
    <t>However, after that new forecast years will no longer be shown in the charts unless the data range in all charts is updated.</t>
  </si>
  <si>
    <t xml:space="preserve">Changes in inventories and net acquisition of valuables                         </t>
  </si>
  <si>
    <t>in % GDP</t>
  </si>
  <si>
    <t>Change in inventories in % of GDP</t>
  </si>
  <si>
    <t>If necessary ask someone who is more familiar with the system.</t>
  </si>
  <si>
    <r>
      <t xml:space="preserve">5. Updating the </t>
    </r>
    <r>
      <rPr>
        <b/>
        <sz val="11"/>
        <rFont val="Arial"/>
        <family val="2"/>
      </rPr>
      <t>charts.</t>
    </r>
  </si>
  <si>
    <t>====&gt;  ADDITIONAL COUNTRY SPECIFIC DATA SERIES:</t>
  </si>
  <si>
    <t>to 2704</t>
  </si>
  <si>
    <t>Government consumption (constant prices)</t>
  </si>
  <si>
    <t>- sums received are equal to sums paid</t>
  </si>
  <si>
    <t>- the sum of the domestic sectors is equal to the total economy</t>
  </si>
  <si>
    <t>- Government (S.13)</t>
  </si>
  <si>
    <t>GVA[HH] 
= B.2g[HH] + D.29[HH] - D.39[HH] + D.1p[HH]</t>
  </si>
  <si>
    <t>GVA[GVT] 
= B.2g[GVT] + D.29[GVT] - D.39[GVT] + D.1p[GVT]</t>
  </si>
  <si>
    <t xml:space="preserve">   1a.  - of which, gross wages and salaries</t>
  </si>
  <si>
    <t>D11</t>
  </si>
  <si>
    <t>Sheets with green tabs contain charts for illustration.</t>
  </si>
  <si>
    <t>- price growth</t>
  </si>
  <si>
    <t>GG INTERMEDIATE CONSUMPTION</t>
  </si>
  <si>
    <t>D62</t>
  </si>
  <si>
    <t>Investment by type of asset</t>
  </si>
  <si>
    <t>Investment by sector</t>
  </si>
  <si>
    <t>Exports</t>
  </si>
  <si>
    <t>Imports</t>
  </si>
  <si>
    <t>VXFob</t>
  </si>
  <si>
    <t xml:space="preserve">VMCif </t>
  </si>
  <si>
    <t xml:space="preserve">  L37-L120-L144-L145-L146+L143</t>
  </si>
  <si>
    <t xml:space="preserve">  L119</t>
  </si>
  <si>
    <t xml:space="preserve">  L118</t>
  </si>
  <si>
    <t xml:space="preserve"> L137</t>
  </si>
  <si>
    <t xml:space="preserve">   7. Change in net equity in pension funds</t>
  </si>
  <si>
    <t>D8</t>
  </si>
  <si>
    <t xml:space="preserve">   8. Adjusted gross disposable income (6+7)</t>
  </si>
  <si>
    <t>B7g</t>
  </si>
  <si>
    <t xml:space="preserve">   9. Real adjusted gross disposable income</t>
  </si>
  <si>
    <t xml:space="preserve">  10. Final consumption expenditure</t>
  </si>
  <si>
    <t xml:space="preserve">  11. Gross saving (8-10)</t>
  </si>
  <si>
    <t>B8g</t>
  </si>
  <si>
    <t>HSav</t>
  </si>
  <si>
    <t>ESav</t>
  </si>
  <si>
    <t>ASav</t>
  </si>
  <si>
    <t>Sav</t>
  </si>
  <si>
    <t>ELend</t>
  </si>
  <si>
    <t>RoWLend</t>
  </si>
  <si>
    <t>Country uses chain linking (Y / N) ?</t>
  </si>
  <si>
    <t xml:space="preserve">   HICP</t>
  </si>
  <si>
    <t xml:space="preserve"> L89+L90</t>
  </si>
  <si>
    <t xml:space="preserve"> (L36+L37+L38+L42) : (L1+L2+L3+L7)</t>
  </si>
  <si>
    <t xml:space="preserve"> (L43+L44) : (L8+L9)</t>
  </si>
  <si>
    <t xml:space="preserve"> L43:L8</t>
  </si>
  <si>
    <t xml:space="preserve"> L44:L9</t>
  </si>
  <si>
    <t xml:space="preserve"> (L113+L114+L115+L117+L125+L143)-(L120+L121+L122+L123+L124+L126+L127+L145+L146)</t>
  </si>
  <si>
    <t>Balance of goods</t>
  </si>
  <si>
    <t>Balance of goods and services</t>
  </si>
  <si>
    <t>Gross domestic product (B.1g - constant prices)</t>
  </si>
  <si>
    <t>VB</t>
  </si>
  <si>
    <t>to correct formulas</t>
  </si>
  <si>
    <t>Intermediate consumption (P.2)</t>
  </si>
  <si>
    <t>Social transfers in kind via market producers (D.6311+D.63121+D.63122)</t>
  </si>
  <si>
    <t>p.m. as % of total social transfers in kind (D.63 = P.31)</t>
  </si>
  <si>
    <t>K.1</t>
  </si>
  <si>
    <t>P.2</t>
  </si>
  <si>
    <t>P.51 (HH)</t>
  </si>
  <si>
    <t>K.2 (HH)</t>
  </si>
  <si>
    <t>P.52 (HH)</t>
  </si>
  <si>
    <t>D.5p (HH)</t>
  </si>
  <si>
    <t>D.61p (HH)</t>
  </si>
  <si>
    <t>D.62p (HH)</t>
  </si>
  <si>
    <t>D.7p (HH)</t>
  </si>
  <si>
    <t>D.9r (HH)</t>
  </si>
  <si>
    <t>D.9p (HH)</t>
  </si>
  <si>
    <t xml:space="preserve"> 20. Private sector net lending</t>
  </si>
  <si>
    <t>General Government</t>
  </si>
  <si>
    <t xml:space="preserve"> 21. Net lending</t>
  </si>
  <si>
    <t xml:space="preserve"> 22. Cyclically-adjusted primary balance</t>
  </si>
  <si>
    <t xml:space="preserve"> 23. Gross debt</t>
  </si>
  <si>
    <t xml:space="preserve"> L128:L47</t>
  </si>
  <si>
    <t>Table 1</t>
  </si>
  <si>
    <t>GVT: Individual consumption expenditure (P.31)</t>
  </si>
  <si>
    <t>GVT: Collective consumption expenditure (P.32)</t>
  </si>
  <si>
    <t>$AProp</t>
  </si>
  <si>
    <t>TAX RATE INDIRECT TAXES PAST 4-Y AVG (col 1)</t>
  </si>
  <si>
    <t xml:space="preserve">   4. Consumption of fixed capital</t>
  </si>
  <si>
    <t>K1</t>
  </si>
  <si>
    <t>Follow this link to GVT final consumption expenditure</t>
  </si>
  <si>
    <t>Follow this link to GVT final consumption expenditure (P.3)</t>
  </si>
  <si>
    <t>Tax burden as % of GDP</t>
  </si>
  <si>
    <t>Other current resources</t>
  </si>
  <si>
    <t xml:space="preserve">   4. Domestic demand (excl. inventories)</t>
  </si>
  <si>
    <t xml:space="preserve">   6. Domestic demand (incl. inventories)</t>
  </si>
  <si>
    <t xml:space="preserve">   5. Change in inventories + net acquisition of valuables</t>
  </si>
  <si>
    <t xml:space="preserve">       (as % of GDP)</t>
  </si>
  <si>
    <t xml:space="preserve">   5. Change in inventories + net acq. of valuables (% of GDP)</t>
  </si>
  <si>
    <t xml:space="preserve"> 11b. - of which, terms of trade of services</t>
  </si>
  <si>
    <t>PAC</t>
  </si>
  <si>
    <t>PAICstNonR</t>
  </si>
  <si>
    <t>PPr$ICstNonR</t>
  </si>
  <si>
    <t>PICstNonR</t>
  </si>
  <si>
    <t>PICstR</t>
  </si>
  <si>
    <t>PICst</t>
  </si>
  <si>
    <t xml:space="preserve">   Domestic demand (Excl. Inventories)</t>
  </si>
  <si>
    <t xml:space="preserve">   Domestic demand (Incl. Inventories)</t>
  </si>
  <si>
    <t xml:space="preserve">   Exports (P.6)</t>
  </si>
  <si>
    <t xml:space="preserve">   Final demand</t>
  </si>
  <si>
    <t xml:space="preserve">   Imports (P.7)</t>
  </si>
  <si>
    <t xml:space="preserve">   Gross domestic product (B.1g)</t>
  </si>
  <si>
    <t>Net operating surplus</t>
  </si>
  <si>
    <r>
      <t xml:space="preserve">To </t>
    </r>
    <r>
      <rPr>
        <b/>
        <sz val="11"/>
        <rFont val="Arial"/>
        <family val="2"/>
      </rPr>
      <t>make a forecast</t>
    </r>
    <r>
      <rPr>
        <sz val="11"/>
        <rFont val="Arial"/>
        <family val="2"/>
      </rPr>
      <t>, fill the yellow cells, go to the transfer sheet, press the button 'transfer forecast data' and you're done.</t>
    </r>
  </si>
  <si>
    <t xml:space="preserve">   Government consumption expenditure (P.3)</t>
  </si>
  <si>
    <t xml:space="preserve"> L79:L76</t>
  </si>
  <si>
    <t xml:space="preserve"> L78</t>
  </si>
  <si>
    <t xml:space="preserve"> L58:L59</t>
  </si>
  <si>
    <t>ALend</t>
  </si>
  <si>
    <t>AStockflow</t>
  </si>
  <si>
    <t>ADebt [t]</t>
  </si>
  <si>
    <t>ALend (EDP)</t>
  </si>
  <si>
    <t>Tax burden</t>
  </si>
  <si>
    <r>
      <t xml:space="preserve">To </t>
    </r>
    <r>
      <rPr>
        <b/>
        <sz val="11"/>
        <rFont val="Arial"/>
        <family val="2"/>
      </rPr>
      <t xml:space="preserve">add additional years </t>
    </r>
    <r>
      <rPr>
        <sz val="11"/>
        <rFont val="Arial"/>
        <family val="2"/>
      </rPr>
      <t>or change forecast year into historical year, read the somewhat longer instructions (sorry for that).</t>
    </r>
  </si>
  <si>
    <t xml:space="preserve">The growth rates obtained in VVP2 will then be used to determine the volume growth in previous year's prices. </t>
  </si>
  <si>
    <t xml:space="preserve">   3. Social contributions</t>
  </si>
  <si>
    <t>D61</t>
  </si>
  <si>
    <r>
      <t>Quart</t>
    </r>
    <r>
      <rPr>
        <sz val="11"/>
        <rFont val="Arial"/>
        <family val="2"/>
      </rPr>
      <t xml:space="preserve"> contains all variables forecasted on a quarterly basis.</t>
    </r>
  </si>
  <si>
    <r>
      <t>PLEASE MAKE SURE THAT THE DATA_P.XLS FILE IS IN THE SAME FOLDER AS THIS FORECAST SHEET!</t>
    </r>
    <r>
      <rPr>
        <b/>
        <sz val="10"/>
        <rFont val="Arial"/>
        <family val="2"/>
      </rPr>
      <t xml:space="preserve"> </t>
    </r>
    <r>
      <rPr>
        <b/>
        <u/>
        <sz val="10"/>
        <rFont val="Arial"/>
        <family val="2"/>
      </rPr>
      <t>Instruction</t>
    </r>
    <r>
      <rPr>
        <b/>
        <sz val="10"/>
        <rFont val="Arial"/>
        <family val="2"/>
      </rPr>
      <t>: To create a link to data_p, enter the data_p sheetname (e.g. UG) in column D and the data_p row number in column E. Columns F - AF will be filled automatically</t>
    </r>
    <r>
      <rPr>
        <b/>
        <sz val="10"/>
        <color indexed="10"/>
        <rFont val="Arial"/>
        <family val="2"/>
      </rPr>
      <t/>
    </r>
  </si>
  <si>
    <t xml:space="preserve"> L47:L12 (repeat of line 10)</t>
  </si>
  <si>
    <t xml:space="preserve"> L75</t>
  </si>
  <si>
    <r>
      <t xml:space="preserve">2. In the forecast sheet, make sure all sheets have </t>
    </r>
    <r>
      <rPr>
        <b/>
        <sz val="11"/>
        <rFont val="Arial"/>
        <family val="2"/>
      </rPr>
      <t>sufficient forecast columns</t>
    </r>
    <r>
      <rPr>
        <sz val="11"/>
        <rFont val="Arial"/>
        <family val="2"/>
      </rPr>
      <t xml:space="preserve"> to reach the forecast horizon.</t>
    </r>
  </si>
  <si>
    <t>Property income (net - negative means paid) (D.4)</t>
  </si>
  <si>
    <t>UNEMPLOYMENT RATE (Eurostat def, calc by B-5)</t>
  </si>
  <si>
    <t>How to add a forecast year?</t>
  </si>
  <si>
    <t>*124</t>
  </si>
  <si>
    <t>$HTSoc (*)</t>
  </si>
  <si>
    <t>TSocFrRow (*)</t>
  </si>
  <si>
    <t>$ATH</t>
  </si>
  <si>
    <t>YHDisp</t>
  </si>
  <si>
    <r>
      <t>VVP1</t>
    </r>
    <r>
      <rPr>
        <sz val="11"/>
        <rFont val="Arial"/>
        <family val="2"/>
      </rPr>
      <t xml:space="preserve"> contains </t>
    </r>
    <r>
      <rPr>
        <b/>
        <sz val="11"/>
        <rFont val="Arial"/>
        <family val="2"/>
      </rPr>
      <t>five columns for every year</t>
    </r>
    <r>
      <rPr>
        <sz val="11"/>
        <rFont val="Arial"/>
        <family val="2"/>
      </rPr>
      <t>, expressing:</t>
    </r>
  </si>
  <si>
    <t>VOL. IMPORTS OF GOODS (FOB)</t>
  </si>
  <si>
    <t>VOL. IMPORTS OF SERVICES</t>
  </si>
  <si>
    <t>VMS</t>
  </si>
  <si>
    <t>VOL. GROSS DOMESTIC PRODUCT</t>
  </si>
  <si>
    <t>FOR FUTURE USE</t>
  </si>
  <si>
    <t xml:space="preserve"> </t>
  </si>
  <si>
    <t>CompAvRowN</t>
  </si>
  <si>
    <t>YCompAv</t>
  </si>
  <si>
    <t>LEmpPrivD</t>
  </si>
  <si>
    <t>LEmpPublD</t>
  </si>
  <si>
    <t>Wage &amp; salary earners (domestic)</t>
  </si>
  <si>
    <t>Domestic demand (incl. inventories)</t>
  </si>
  <si>
    <t>Overview table</t>
  </si>
  <si>
    <t>HICP Q EXCL. ENERGY AND UNPROCESSED FOOD</t>
  </si>
  <si>
    <t>HICP Q NON-ENERGY INDUSTRIAL GOODS</t>
  </si>
  <si>
    <t>HICP Q ENERGY</t>
  </si>
  <si>
    <t>HICP Q PROCESSED FOOD INCL. ALCOHOL AND TOBACCO</t>
  </si>
  <si>
    <t>VAL. G.F.C.F. EQUIPMENT</t>
  </si>
  <si>
    <t xml:space="preserve"> ((L87+L89+L90+L91-L92-L93) + L94) - L95</t>
  </si>
  <si>
    <t xml:space="preserve"> (((L87+L89+L90+L91-L92-L93) + L94) - L95) : ((L87+L89+L90+L91-L92-L93) + L94)</t>
  </si>
  <si>
    <t xml:space="preserve"> L96</t>
  </si>
  <si>
    <t xml:space="preserve"> L97</t>
  </si>
  <si>
    <t xml:space="preserve"> (((L87+L89+L90+L91-L92-L93) + L94) - L95) - L96 - L97</t>
  </si>
  <si>
    <t xml:space="preserve"> Table-line 15 : L47</t>
  </si>
  <si>
    <t xml:space="preserve"> L76</t>
  </si>
  <si>
    <t xml:space="preserve"> L78+L79</t>
  </si>
  <si>
    <t xml:space="preserve"> (L78+L79) : L76</t>
  </si>
  <si>
    <t xml:space="preserve"> L79</t>
  </si>
  <si>
    <t xml:space="preserve"> L83 or L63 (if L83 is not filled)</t>
  </si>
  <si>
    <t xml:space="preserve"> L79-L83 or L79-L63 (if L83 is not filled)</t>
  </si>
  <si>
    <t>PrvC</t>
  </si>
  <si>
    <t>PYP</t>
  </si>
  <si>
    <t xml:space="preserve"> Special calculation A-4 based on Eurostat unemployment rates</t>
  </si>
  <si>
    <t>MAN. WAGE AND SALARY EARNERS F.T.E.</t>
  </si>
  <si>
    <t>TOTAL POPULATION</t>
  </si>
  <si>
    <t>GG OTHER CURRENT EXPENDITURE</t>
  </si>
  <si>
    <t>Be careful: you should normally use previous year prices if the country uses chain linking, and constant prices otherwise.</t>
  </si>
  <si>
    <t>D.7p (E)</t>
  </si>
  <si>
    <t>D.61r (E)</t>
  </si>
  <si>
    <t>D.62p (E)</t>
  </si>
  <si>
    <t>Individual consumption expenditure (P.31)</t>
  </si>
  <si>
    <t>Collective consumption expenditure (P.32)</t>
  </si>
  <si>
    <t>Pi6(5)</t>
  </si>
  <si>
    <t xml:space="preserve"> (L147+L149) - (L150-L152)</t>
  </si>
  <si>
    <t xml:space="preserve"> L58</t>
  </si>
  <si>
    <t xml:space="preserve"> L60</t>
  </si>
  <si>
    <t xml:space="preserve"> L58:L60</t>
  </si>
  <si>
    <t xml:space="preserve"> L61:L64</t>
  </si>
  <si>
    <t xml:space="preserve"> L62:L64</t>
  </si>
  <si>
    <t xml:space="preserve"> (L61-L62) : L64</t>
  </si>
  <si>
    <t xml:space="preserve"> (L61:L64) : (L58:L60)</t>
  </si>
  <si>
    <t>NET CAPITAL TRANSACTIONS (RECEIV - PAYED)</t>
  </si>
  <si>
    <t>It is selected from the stored transfer matrices</t>
  </si>
  <si>
    <t>by selecting an option in the Tables sheet</t>
  </si>
  <si>
    <t>Difference matrix</t>
  </si>
  <si>
    <t>2006Q1</t>
  </si>
  <si>
    <t>2006Q2</t>
  </si>
  <si>
    <t>2006Q3</t>
  </si>
  <si>
    <t>2006Q4</t>
  </si>
  <si>
    <t>2007Q1</t>
  </si>
  <si>
    <t xml:space="preserve">   1. Gross value added at basic prices</t>
  </si>
  <si>
    <t xml:space="preserve">   2. Other subsidies on production </t>
  </si>
  <si>
    <t>D39</t>
  </si>
  <si>
    <t>Removing sheets can damage the workbook beyond repair.</t>
  </si>
  <si>
    <t>Gross value added / Gross domestic product (B.1g)</t>
  </si>
  <si>
    <t>Taxes on products (D.21p)</t>
  </si>
  <si>
    <t>+</t>
  </si>
  <si>
    <t>Subsidies on products (D.31r)</t>
  </si>
  <si>
    <t>=</t>
  </si>
  <si>
    <t>CODE</t>
  </si>
  <si>
    <t>EMPLOYMENT AND UNEMPLOYMENT</t>
  </si>
  <si>
    <t xml:space="preserve">  1. Total population</t>
  </si>
  <si>
    <t xml:space="preserve"> 14. Compensation of employees per head</t>
  </si>
  <si>
    <t xml:space="preserve"> 15. Unit labour costs</t>
  </si>
  <si>
    <t xml:space="preserve"> 16. Relative unit labour costs in USD</t>
  </si>
  <si>
    <t xml:space="preserve">  8. Final demand (6+7)</t>
  </si>
  <si>
    <t xml:space="preserve"> 10. Gross domestic product at market prices (8-9)</t>
  </si>
  <si>
    <t>per unit of real GDP at market prices</t>
  </si>
  <si>
    <t>In sheet Sector2, select the block of 6 columns for t-2 ad copy it to the right (overwriting the old forecast columns for t-1).</t>
  </si>
  <si>
    <t>In principle, for a variable we report:</t>
  </si>
  <si>
    <t>Residual due to chainlinking and statistical discrepancy</t>
  </si>
  <si>
    <t>Export of goods</t>
  </si>
  <si>
    <t>Export of services</t>
  </si>
  <si>
    <t xml:space="preserve">Careful: The sheet approximates chainlinked aggregates with weighted averages of growth rates. </t>
  </si>
  <si>
    <t>Import of services</t>
  </si>
  <si>
    <t>Import of goods</t>
  </si>
  <si>
    <t>Import of goods and services</t>
  </si>
  <si>
    <t>Export of goods and services</t>
  </si>
  <si>
    <t>GFCF: Equipment</t>
  </si>
  <si>
    <t>GFCF: Construction</t>
  </si>
  <si>
    <t>GFCF: Other</t>
  </si>
  <si>
    <t>Total revenue (excluding impact of discretionary measures)</t>
  </si>
  <si>
    <t xml:space="preserve">Note: A positive sign indicates a revenue increasing measure. Incremental impact compared to previous year, in national currency. </t>
  </si>
  <si>
    <t xml:space="preserve">COR OTHER SUBSIDIES ON PRODUCTION </t>
  </si>
  <si>
    <t>COR OTHER TAXES ON PRODUCTS</t>
  </si>
  <si>
    <t>National consumer price index</t>
  </si>
  <si>
    <t>A particular section is the calculation of gross value added (GVA) and Gross operating surplus (GOS)</t>
  </si>
  <si>
    <t>In doing so, we also implicitly forecast:</t>
  </si>
  <si>
    <t>1. Compensation of employees (D.1p) is forecasted for HH, E and GVT (in Labour1)</t>
  </si>
  <si>
    <t xml:space="preserve">  4. Domestic demand (excl. inventories)</t>
  </si>
  <si>
    <t>YATaxIndir</t>
  </si>
  <si>
    <t xml:space="preserve">GG CURRENT TAXES ON INCOME AND WEALTH </t>
  </si>
  <si>
    <t>YATaxDir</t>
  </si>
  <si>
    <t>GG SOCIAL CONTRIBUTIONS</t>
  </si>
  <si>
    <t>YATaxSoc</t>
  </si>
  <si>
    <t>GG ACTUAL SOCIAL CONTRIBUTIONS</t>
  </si>
  <si>
    <t>Carry-over to next year</t>
  </si>
  <si>
    <r>
      <t xml:space="preserve">Fields marked in this colour need to be filled in by the forecaster. These are the </t>
    </r>
    <r>
      <rPr>
        <b/>
        <sz val="11"/>
        <color indexed="10"/>
        <rFont val="Arial"/>
        <family val="2"/>
      </rPr>
      <t>ONLY</t>
    </r>
    <r>
      <rPr>
        <sz val="11"/>
        <rFont val="Arial"/>
        <family val="2"/>
      </rPr>
      <t xml:space="preserve"> fields that should be filled in. </t>
    </r>
  </si>
  <si>
    <t xml:space="preserve">  2. Population of working age (15-64 years)</t>
  </si>
  <si>
    <t xml:space="preserve">  3. Total labour force</t>
  </si>
  <si>
    <t>D41</t>
  </si>
  <si>
    <t>Statistical discrepancy</t>
  </si>
  <si>
    <t>GVT: Capital taxes (D.91r)</t>
  </si>
  <si>
    <t xml:space="preserve">  5. Unit labour costs (4:3)</t>
  </si>
  <si>
    <t>Total current revenue</t>
  </si>
  <si>
    <t>[Table 10.15]</t>
  </si>
  <si>
    <t>[Table 10.13]</t>
  </si>
  <si>
    <t>[Table 10.17]</t>
  </si>
  <si>
    <t xml:space="preserve">  12. Saving rate (%) (11:8)</t>
  </si>
  <si>
    <t>per unit of real GDP at market prices*</t>
  </si>
  <si>
    <r>
      <t xml:space="preserve">4. You can also </t>
    </r>
    <r>
      <rPr>
        <b/>
        <sz val="11"/>
        <rFont val="Arial"/>
        <family val="2"/>
      </rPr>
      <t>integrate partial historical data</t>
    </r>
  </si>
  <si>
    <t xml:space="preserve">When this system was created (2007), charts were created to cover the period 1995 - 2014. </t>
  </si>
  <si>
    <t xml:space="preserve"> (L87+L89+L90+L91-L92-L93) + L94</t>
  </si>
  <si>
    <t xml:space="preserve">   4. Exports of services</t>
  </si>
  <si>
    <t xml:space="preserve">   5. Imports of services</t>
  </si>
  <si>
    <t xml:space="preserve">   6. Services balance (4-5)</t>
  </si>
  <si>
    <t xml:space="preserve">  8. Calculated unemployment rate (%) (7:3)</t>
  </si>
  <si>
    <t>The sheet also provides comparison tables, which clearly indicate all cells that have changed compared to a reference storage.</t>
  </si>
  <si>
    <t xml:space="preserve">  12. HICP excl. energy and unprocessed food</t>
  </si>
  <si>
    <t>You will find pup6 on your c drive under program files</t>
  </si>
  <si>
    <t>Investment in inventories  (deflator)</t>
  </si>
  <si>
    <t>Exports  (deflator)</t>
  </si>
  <si>
    <t>Exports (deflator)</t>
  </si>
  <si>
    <t xml:space="preserve">   2. Government consumption expenditure</t>
  </si>
  <si>
    <t xml:space="preserve">  4. Calculated activity rate (%) (3:2)</t>
  </si>
  <si>
    <t>P51</t>
  </si>
  <si>
    <t>P52+P53</t>
  </si>
  <si>
    <r>
      <t xml:space="preserve">3. Also in the forecast sheet, </t>
    </r>
    <r>
      <rPr>
        <b/>
        <sz val="11"/>
        <rFont val="Arial"/>
        <family val="2"/>
      </rPr>
      <t>overwrite previous forecast years</t>
    </r>
    <r>
      <rPr>
        <sz val="11"/>
        <rFont val="Arial"/>
        <family val="2"/>
      </rPr>
      <t xml:space="preserve"> for which you now have a full set of historical data.</t>
    </r>
  </si>
  <si>
    <t xml:space="preserve">  8b. - of which, net current Transfers</t>
  </si>
  <si>
    <t xml:space="preserve">Gross domestic product at market prices                                         </t>
  </si>
  <si>
    <t>QUART</t>
  </si>
  <si>
    <t>Q1</t>
  </si>
  <si>
    <t>Q2</t>
  </si>
  <si>
    <t>Q3</t>
  </si>
  <si>
    <t>Q4</t>
  </si>
  <si>
    <t>Government final consumption expenditure</t>
  </si>
  <si>
    <t>Year total from annual forecast</t>
  </si>
  <si>
    <t>Growth rate (year-on-year)</t>
  </si>
  <si>
    <t>ULPdty</t>
  </si>
  <si>
    <t>Balance of primary income (gross) / GNI (B.5g)</t>
  </si>
  <si>
    <t>COR CURRENT TRANSFERS (NET RECEIPTS)</t>
  </si>
  <si>
    <t>COR CURRENT TAXES ON INCOME AND WEALTH</t>
  </si>
  <si>
    <t>QUART. HICP (cols 2-13)</t>
  </si>
  <si>
    <t xml:space="preserve">VOL. FIXED INVESTMENT GOVERNMENT  </t>
  </si>
  <si>
    <t>VAI</t>
  </si>
  <si>
    <t xml:space="preserve">VOL. FIXED INVESTMENT CORPORATIONS </t>
  </si>
  <si>
    <t>VOL. FIXED INVESTMENT HH AND NPISH</t>
  </si>
  <si>
    <t>VOL. FIXED INVESTMENT HOUSING</t>
  </si>
  <si>
    <t xml:space="preserve">   4. Domestic demand (excl. inventories) (1+2+3)</t>
  </si>
  <si>
    <t xml:space="preserve"> 12a. Non-energy industrial goods</t>
  </si>
  <si>
    <t xml:space="preserve"> 12b. Energy</t>
  </si>
  <si>
    <t>It ensures the consistency between GDP from expenditure and income side. The forecast of this section is set up as follows:</t>
  </si>
  <si>
    <t>1. GDP (B.1g) is first forecasted from the expenditure side in VVP1</t>
  </si>
  <si>
    <t>you need to install pup6 add in.</t>
  </si>
  <si>
    <t>Go to Tools, Add-in and browse.</t>
  </si>
  <si>
    <t>Nominal GDP % ch</t>
  </si>
  <si>
    <t>Real GDP % ch</t>
  </si>
  <si>
    <t>GDP deflator %</t>
  </si>
  <si>
    <t xml:space="preserve"> in euro terms, %</t>
  </si>
  <si>
    <t>B.</t>
  </si>
  <si>
    <t>External account balances</t>
  </si>
  <si>
    <t>Current balance</t>
  </si>
  <si>
    <t xml:space="preserve"> of which, net prop credits</t>
  </si>
  <si>
    <t xml:space="preserve"> L25</t>
  </si>
  <si>
    <t xml:space="preserve">   Balance of goods and services</t>
  </si>
  <si>
    <t xml:space="preserve">   GDP and GVA</t>
  </si>
  <si>
    <t>D.2r (EXT)</t>
  </si>
  <si>
    <t>D.3p (EXT)</t>
  </si>
  <si>
    <t>133/*141</t>
  </si>
  <si>
    <t>Subsidies on products (D.3p) (Subsidies from RoW)</t>
  </si>
  <si>
    <t>Nevertheless, the system is capable to transfer in constant prices when using chain linking (or vice versa).</t>
  </si>
  <si>
    <t>LEmpTotDFTE</t>
  </si>
  <si>
    <t xml:space="preserve">  8. Calculated unemployment rate (%) (8:5)</t>
  </si>
  <si>
    <t>$I</t>
  </si>
  <si>
    <t>$XFob</t>
  </si>
  <si>
    <t xml:space="preserve">$MCif </t>
  </si>
  <si>
    <t>$BG</t>
  </si>
  <si>
    <t>$B</t>
  </si>
  <si>
    <t xml:space="preserve">  6. Gross fixed capital formation</t>
  </si>
  <si>
    <t xml:space="preserve">      (whole economy)  (=1+2=3+4+5)</t>
  </si>
  <si>
    <t>Table 4</t>
  </si>
  <si>
    <t>Volume</t>
  </si>
  <si>
    <t>EMPLOYEES LAB. FORCE STATISTICS</t>
  </si>
  <si>
    <t xml:space="preserve">VAL. PRIVATE CONSUMPTION EXPEND. </t>
  </si>
  <si>
    <t>$PrvC</t>
  </si>
  <si>
    <t xml:space="preserve">VAL. GOVERNMENT CONSUMPTION EXPEND. </t>
  </si>
  <si>
    <t>$AC</t>
  </si>
  <si>
    <t>VAL. G.F.C.F. TOTAL</t>
  </si>
  <si>
    <t>VAL. G.F.C.F. CONSTRUCTION</t>
  </si>
  <si>
    <t>$ICst</t>
  </si>
  <si>
    <t>Consumption of fixed capital</t>
  </si>
  <si>
    <t>Taxes on products (D.21)</t>
  </si>
  <si>
    <t>Subsidies on products (D.31)</t>
  </si>
  <si>
    <t>CORRESPONDANCE</t>
  </si>
  <si>
    <t>TRANSFER MATRIX</t>
  </si>
  <si>
    <t>VARIABLES</t>
  </si>
  <si>
    <t>$GDP</t>
  </si>
  <si>
    <t>$Gvadd</t>
  </si>
  <si>
    <t>*140</t>
  </si>
  <si>
    <t>$Hcomp</t>
  </si>
  <si>
    <t>$Ecomp</t>
  </si>
  <si>
    <t>$Acomp</t>
  </si>
  <si>
    <t>*117</t>
  </si>
  <si>
    <t>YAGos</t>
  </si>
  <si>
    <t>$ETaxSoc</t>
  </si>
  <si>
    <t>131/*140</t>
  </si>
  <si>
    <t xml:space="preserve">   prop inc credits</t>
  </si>
  <si>
    <t xml:space="preserve">   prop inc debits</t>
  </si>
  <si>
    <t xml:space="preserve"> of which, primary</t>
  </si>
  <si>
    <t>Capital balance</t>
  </si>
  <si>
    <t>External balance</t>
  </si>
  <si>
    <t>Current balance as % of GDP</t>
  </si>
  <si>
    <t>Effective rates of return on international investment position</t>
  </si>
  <si>
    <t>On assets</t>
  </si>
  <si>
    <t>Forecast</t>
  </si>
  <si>
    <t>On liabilities</t>
  </si>
  <si>
    <t>On net liabilities</t>
  </si>
  <si>
    <t>E.</t>
  </si>
  <si>
    <t>Exchange rate against euro</t>
  </si>
  <si>
    <t>Dom. crncy per euro</t>
  </si>
  <si>
    <t>AMECO: XNE / External assumptions</t>
  </si>
  <si>
    <t>Euro per dom. crncy</t>
  </si>
  <si>
    <t>F.</t>
  </si>
  <si>
    <t>Net liability dynamics (nominal, domestic currency)</t>
  </si>
  <si>
    <t>Annual HICP WEIGHTS</t>
  </si>
  <si>
    <t>*177</t>
  </si>
  <si>
    <t xml:space="preserve">  11a. Non-energy industrial goods</t>
  </si>
  <si>
    <t>Ann. growth if qoq growth is zero in the next quarters</t>
  </si>
  <si>
    <t>YACapT</t>
  </si>
  <si>
    <t>AG</t>
  </si>
  <si>
    <t>Domestic demand excluding inventories</t>
  </si>
  <si>
    <t>Domestic demand including inventories</t>
  </si>
  <si>
    <t>If you start with the autumn forecast from the previous year, these columns should already be present.</t>
  </si>
  <si>
    <t>Contribution to change in GDP</t>
  </si>
  <si>
    <t>Other current revenue (D.39r + D.4r + D.7r)</t>
  </si>
  <si>
    <t>3. Gross operating surplus (B.2g) of E = GVA[E] - D.1p - (D.29 - D.39)</t>
  </si>
  <si>
    <t>For the total economy (ECO):</t>
  </si>
  <si>
    <t>D.21 - D.31</t>
  </si>
  <si>
    <t xml:space="preserve"> (L36+L37+L38) : (L1+L2+L3)</t>
  </si>
  <si>
    <t>Lithuania</t>
  </si>
  <si>
    <t xml:space="preserve"> L110</t>
  </si>
  <si>
    <t>Taxes on production to the rest of the world</t>
  </si>
  <si>
    <t>NYPrimRow</t>
  </si>
  <si>
    <t>Balance of primary income (rest of the world)</t>
  </si>
  <si>
    <t xml:space="preserve">In sheet Sector2: select the last block of 6 columns and copy it to the right. </t>
  </si>
  <si>
    <t xml:space="preserve"> L62:L63</t>
  </si>
  <si>
    <t xml:space="preserve"> (L61-L62) : L63</t>
  </si>
  <si>
    <t xml:space="preserve">  3b. - of which other construction</t>
  </si>
  <si>
    <t>* Note: Contributions are non-additive and may differ from results in official forecast tables</t>
  </si>
  <si>
    <t>MAN. EMPLOYMENT F.T.E.</t>
  </si>
  <si>
    <t>TOT. EMPLOYMENT F.T.E.</t>
  </si>
  <si>
    <t>One-off measures</t>
  </si>
  <si>
    <t>One-offs</t>
  </si>
  <si>
    <t>1FS</t>
  </si>
  <si>
    <t xml:space="preserve">  4. Domestic demand (excl. inventories) (1+2+3)</t>
  </si>
  <si>
    <t>$ETaxDir</t>
  </si>
  <si>
    <t>COR CHANGE IN NET EQUITY IN PENSION FUNDS</t>
  </si>
  <si>
    <t>COR GROSS CAPITAL FORMATION</t>
  </si>
  <si>
    <t>COR OTHER CAPITAL EXPENDITURE (PAID-REC.)</t>
  </si>
  <si>
    <t>$ETCap</t>
  </si>
  <si>
    <t>To use these data, you need to overwrite the forecast columns for t-1 with columns linking to historical data.</t>
  </si>
  <si>
    <t>Subsidies on production from the rest of the world</t>
  </si>
  <si>
    <t>VAL. Domestic demand excl. Inventories</t>
  </si>
  <si>
    <t>AGG. Domestic demand excl. Inventories</t>
  </si>
  <si>
    <t>VOL. Domestic demand excl. Inventories</t>
  </si>
  <si>
    <t xml:space="preserve">   5. Imports of services (a)</t>
  </si>
  <si>
    <t>p.m. Total labour force</t>
  </si>
  <si>
    <t xml:space="preserve"> 11. Domestic demand (excl. inventories)</t>
  </si>
  <si>
    <t xml:space="preserve"> 14. Consumer prices national index)</t>
  </si>
  <si>
    <t xml:space="preserve"> L167</t>
  </si>
  <si>
    <t xml:space="preserve"> L168</t>
  </si>
  <si>
    <t xml:space="preserve"> L169</t>
  </si>
  <si>
    <t xml:space="preserve"> L170</t>
  </si>
  <si>
    <t xml:space="preserve"> L171</t>
  </si>
  <si>
    <t xml:space="preserve"> L166</t>
  </si>
  <si>
    <t xml:space="preserve"> L172</t>
  </si>
  <si>
    <t xml:space="preserve"> L173</t>
  </si>
  <si>
    <t xml:space="preserve"> L174</t>
  </si>
  <si>
    <t xml:space="preserve"> L175</t>
  </si>
  <si>
    <t xml:space="preserve"> L176</t>
  </si>
  <si>
    <t xml:space="preserve"> L177</t>
  </si>
  <si>
    <t>VIny</t>
  </si>
  <si>
    <t>VOL. EXPORTS OF GOODS (FOB)</t>
  </si>
  <si>
    <t>VOL. EXPORTS OF SERVICES</t>
  </si>
  <si>
    <t>VXS</t>
  </si>
  <si>
    <r>
      <t xml:space="preserve">All </t>
    </r>
    <r>
      <rPr>
        <b/>
        <sz val="11"/>
        <rFont val="Arial"/>
        <family val="2"/>
      </rPr>
      <t>forecasts</t>
    </r>
    <r>
      <rPr>
        <sz val="11"/>
        <rFont val="Arial"/>
        <family val="2"/>
      </rPr>
      <t xml:space="preserve"> are made in VVP1. The second sheet is only used for calculations and to make the charts.</t>
    </r>
  </si>
  <si>
    <t>Differences exceeding a chosen tolerance level will be highlighted.</t>
  </si>
  <si>
    <t>Sheet</t>
  </si>
  <si>
    <t>Row</t>
  </si>
  <si>
    <t>Database Text</t>
  </si>
  <si>
    <t xml:space="preserve">   16. Gross value added at basic prices* </t>
  </si>
  <si>
    <t>* Note: 16 = 14 + 15 + Other taxes less subsidies on production (D.29r - D.39p)</t>
  </si>
  <si>
    <t>Employer's social contributions (values)</t>
  </si>
  <si>
    <t>Domestic demand (incl. Inventories)</t>
  </si>
  <si>
    <r>
      <t xml:space="preserve">Growth rates </t>
    </r>
    <r>
      <rPr>
        <b/>
        <sz val="10"/>
        <color indexed="10"/>
        <rFont val="Arial"/>
        <family val="2"/>
      </rPr>
      <t>(year-on-year)</t>
    </r>
  </si>
  <si>
    <t>YATaxActSoc</t>
  </si>
  <si>
    <t>GG OTHER CURRENT RESOURCES</t>
  </si>
  <si>
    <t>YAO</t>
  </si>
  <si>
    <t>Total compensation / employee (national)</t>
  </si>
  <si>
    <t>YCompAvDPr</t>
  </si>
  <si>
    <t>YCompAvDPu</t>
  </si>
  <si>
    <t>Employment / Wage &amp; salary earners (FTE)</t>
  </si>
  <si>
    <t>Implicit FTE per salary earner</t>
  </si>
  <si>
    <t>All links should be updated automatically.</t>
  </si>
  <si>
    <t>Property income (net, excluding interests paid) (D.4-D.41p)</t>
  </si>
  <si>
    <t xml:space="preserve"> L128</t>
  </si>
  <si>
    <t xml:space="preserve"> L113+L114+L116+L130+L131</t>
  </si>
  <si>
    <t>Other taxes less subsidies on production (D.29p - D.39r)</t>
  </si>
  <si>
    <t>- growth rate in volumes</t>
  </si>
  <si>
    <t>- level, expressed in previous year's prices (PYP)</t>
  </si>
  <si>
    <t>- level in values</t>
  </si>
  <si>
    <r>
      <t xml:space="preserve">% p </t>
    </r>
    <r>
      <rPr>
        <b/>
        <sz val="10"/>
        <color indexed="9"/>
        <rFont val="Symbol"/>
        <family val="1"/>
        <charset val="2"/>
      </rPr>
      <t>D</t>
    </r>
  </si>
  <si>
    <r>
      <t xml:space="preserve">% val </t>
    </r>
    <r>
      <rPr>
        <b/>
        <sz val="10"/>
        <color indexed="9"/>
        <rFont val="Symbol"/>
        <family val="1"/>
        <charset val="2"/>
      </rPr>
      <t>D</t>
    </r>
  </si>
  <si>
    <t>YEDisp</t>
  </si>
  <si>
    <t>YDisp</t>
  </si>
  <si>
    <t xml:space="preserve">   Subsidies (D.3 = D.31+D.39)</t>
  </si>
  <si>
    <t xml:space="preserve">   Gross value added (B.1g-D.21+D.31)</t>
  </si>
  <si>
    <t xml:space="preserve"> 11a. - of which, terms of trade of goods</t>
  </si>
  <si>
    <t>GG NOTIFIED GDP FOR PUBLIC FINANCE</t>
  </si>
  <si>
    <t>GG EDP REPORTED DEFICIT / SURPLUS</t>
  </si>
  <si>
    <t>Prices</t>
  </si>
  <si>
    <t>Household consumption (deflator)</t>
  </si>
  <si>
    <t>Government consumption (deflator)</t>
  </si>
  <si>
    <t>Investment by type of asset  (deflator)</t>
  </si>
  <si>
    <t>Investment by sector  (deflator)</t>
  </si>
  <si>
    <t>Investment in inventories (current prices)</t>
  </si>
  <si>
    <t>Exports (current prices)</t>
  </si>
  <si>
    <t xml:space="preserve"> ((L114 t - L114 t-1) ÷ L114 t-1) ÷ ((L47 t - L47 t-1) ÷ L47 t-1)</t>
  </si>
  <si>
    <t xml:space="preserve"> L159 col 1</t>
  </si>
  <si>
    <t xml:space="preserve"> L114 ÷ L47</t>
  </si>
  <si>
    <t>((L114 t ÷ L114 t-1) - (L163 col 1 × (L47 t ÷ L47 t-1))) × (L114 t-1 ÷ L47 t)</t>
  </si>
  <si>
    <t>Total compensation / employee (private)</t>
  </si>
  <si>
    <t xml:space="preserve"> L29+L30 or L3-L28 if these lines are missing</t>
  </si>
  <si>
    <t xml:space="preserve"> L4</t>
  </si>
  <si>
    <t xml:space="preserve"> L31</t>
  </si>
  <si>
    <t xml:space="preserve"> L4-L31</t>
  </si>
  <si>
    <t xml:space="preserve"> L5</t>
  </si>
  <si>
    <t xml:space="preserve"> L6</t>
  </si>
  <si>
    <t xml:space="preserve"> L3</t>
  </si>
  <si>
    <t>LEmpDFTE</t>
  </si>
  <si>
    <t>VAICstNonR</t>
  </si>
  <si>
    <t>VPrvICstNonR</t>
  </si>
  <si>
    <t>VICstNonR</t>
  </si>
  <si>
    <t>VICstR</t>
  </si>
  <si>
    <t>VAIEq</t>
  </si>
  <si>
    <t>VPrvEq</t>
  </si>
  <si>
    <t>VIEq</t>
  </si>
  <si>
    <t>VIO(1)</t>
  </si>
  <si>
    <t>VIO(2)</t>
  </si>
  <si>
    <t>Viny</t>
  </si>
  <si>
    <t>VX</t>
  </si>
  <si>
    <t>VM</t>
  </si>
  <si>
    <t>VGrVadd</t>
  </si>
  <si>
    <t>P.3 (HH)</t>
  </si>
  <si>
    <t>P.31 (GVT)</t>
  </si>
  <si>
    <t>P.32 (GVT)</t>
  </si>
  <si>
    <t>P.3 (GVT)</t>
  </si>
  <si>
    <t>P61</t>
  </si>
  <si>
    <t>$Aint</t>
  </si>
  <si>
    <t>$HGNI</t>
  </si>
  <si>
    <t>$EGNI</t>
  </si>
  <si>
    <t>$AGNI</t>
  </si>
  <si>
    <t xml:space="preserve"> ((L113+L131 t - L113+L131 t-1) ÷ L113+L131 t-1) ÷ ((L36 t - L36 t-1) ÷ L36 t-1)</t>
  </si>
  <si>
    <t xml:space="preserve"> L158 col 1</t>
  </si>
  <si>
    <t xml:space="preserve"> (L113+L131) ÷ L36</t>
  </si>
  <si>
    <t>$HIny</t>
  </si>
  <si>
    <t xml:space="preserve">   16a. - of which, labour costs, including self-employed</t>
  </si>
  <si>
    <t>- Non-financial and financial corporations (S.11 + S.12)</t>
  </si>
  <si>
    <t>Imputed social contributions (D.612r)</t>
  </si>
  <si>
    <t>QUART. VOL. CHANGE IN INVENTORIES (cols 2-13)</t>
  </si>
  <si>
    <t>QUART. VOL. DOMESTIC DEMAND (cols 2-13)</t>
  </si>
  <si>
    <t>QUART. VOL. EXPORTS G AND S (cols 2-13)</t>
  </si>
  <si>
    <t>GVT: Other capital transfers (D.9r-D.91r-D.995)</t>
  </si>
  <si>
    <t>TaxToRow</t>
  </si>
  <si>
    <t>133/*140</t>
  </si>
  <si>
    <t>$ATE</t>
  </si>
  <si>
    <t>SubFrRow</t>
  </si>
  <si>
    <t>YHPropN</t>
  </si>
  <si>
    <t>D.5r (GVT)</t>
  </si>
  <si>
    <t>D.5p (GVT)</t>
  </si>
  <si>
    <t>D.4r (GVT)</t>
  </si>
  <si>
    <t>D.4p (GVT)</t>
  </si>
  <si>
    <t>D.41p (GVT)</t>
  </si>
  <si>
    <t>YAPropN</t>
  </si>
  <si>
    <t>D.7r (GVT)</t>
  </si>
  <si>
    <t>D.7p (GVT)</t>
  </si>
  <si>
    <t>D.611r (GVT)</t>
  </si>
  <si>
    <t xml:space="preserve">   4. Current taxes on income and wealth</t>
  </si>
  <si>
    <t>D5K</t>
  </si>
  <si>
    <t>D5</t>
  </si>
  <si>
    <t xml:space="preserve">   5. Current Transfers paid</t>
  </si>
  <si>
    <t>*142</t>
  </si>
  <si>
    <t>Net capital transactions (rest of the world)</t>
  </si>
  <si>
    <t xml:space="preserve">  22. General government consolidated gross debt</t>
  </si>
  <si>
    <t xml:space="preserve">  23. Tax burden = D2(incl. paid to EU)+D5+D611+D91-D995</t>
  </si>
  <si>
    <t xml:space="preserve">  23. Tax burden = D2 (incl. paid to EU)+D5+D611+D91-D995</t>
  </si>
  <si>
    <t>Final domestic demand (excl. inventories)</t>
  </si>
  <si>
    <t xml:space="preserve">Changes in inventories and net acquisition of valuables as % of GDP                        </t>
  </si>
  <si>
    <t>However, some of the variables are not filled in because they are produced by the central system.</t>
  </si>
  <si>
    <t>VAL. Domestic demand</t>
  </si>
  <si>
    <t>AGG. Domestic demand</t>
  </si>
  <si>
    <t>VOL. Domestic demand</t>
  </si>
  <si>
    <t>VAL. Final demand</t>
  </si>
  <si>
    <t>Auxiliary table (aggregates)</t>
  </si>
  <si>
    <t>*31</t>
  </si>
  <si>
    <t>Current transfers received</t>
  </si>
  <si>
    <t>Current transfers paid</t>
  </si>
  <si>
    <t>Other capital expenditure</t>
  </si>
  <si>
    <t>YHCapN</t>
  </si>
  <si>
    <t>- ACapTN</t>
  </si>
  <si>
    <t>- HTCapN</t>
  </si>
  <si>
    <t>- ETCapN</t>
  </si>
  <si>
    <t>Capital transfers (received - paid) (D.9)</t>
  </si>
  <si>
    <t xml:space="preserve">  7a.  - of which, goods</t>
  </si>
  <si>
    <t xml:space="preserve"> L44</t>
  </si>
  <si>
    <t>In sheet VVP1, select the block of 5 columns for t-2 and copy to the right (overwriting the old forecast columns for t-1).</t>
  </si>
  <si>
    <t>Unemployment rate (national definition)</t>
  </si>
  <si>
    <t>Difference with Eurostat</t>
  </si>
  <si>
    <t>Now</t>
  </si>
  <si>
    <t>Wages &amp; salaries / employee (nominal growth rates)</t>
  </si>
  <si>
    <t xml:space="preserve">Household final consumption expenditure (domestic HH + NPISH)            </t>
  </si>
  <si>
    <t>POPULATION OF WORKING AGE (15-74)</t>
  </si>
  <si>
    <t>Fraction at working age (15-74)</t>
  </si>
  <si>
    <t>Population at working age (15-64)</t>
  </si>
  <si>
    <t>Fraction at working age (15-64)</t>
  </si>
  <si>
    <t>Population at working age (15-74)</t>
  </si>
  <si>
    <t>Saving rate</t>
  </si>
  <si>
    <t>AF2012</t>
  </si>
  <si>
    <t>\\DG ECFIN\Forecast\Country databases\Desk transfer databases\</t>
  </si>
  <si>
    <t>Variable code</t>
  </si>
  <si>
    <t>Unit</t>
  </si>
  <si>
    <t>TM line</t>
  </si>
  <si>
    <t>EcDatabase</t>
  </si>
  <si>
    <t>Country</t>
  </si>
  <si>
    <t>Frequency</t>
  </si>
  <si>
    <t>Variable</t>
  </si>
  <si>
    <t>Annual</t>
  </si>
  <si>
    <t>OCPH</t>
  </si>
  <si>
    <t>billions</t>
  </si>
  <si>
    <t>OCTG</t>
  </si>
  <si>
    <t>OIGT</t>
  </si>
  <si>
    <t>OIGCO</t>
  </si>
  <si>
    <t>OIGEQ</t>
  </si>
  <si>
    <t>OIGOT</t>
  </si>
  <si>
    <t>OIST</t>
  </si>
  <si>
    <t>OXGN</t>
  </si>
  <si>
    <t>OXSN</t>
  </si>
  <si>
    <t>OMGN</t>
  </si>
  <si>
    <t>OMSN</t>
  </si>
  <si>
    <t>OVGD</t>
  </si>
  <si>
    <t>OIGG</t>
  </si>
  <si>
    <t>OIGDW</t>
  </si>
  <si>
    <t>UIGDW</t>
  </si>
  <si>
    <t>UCPH</t>
  </si>
  <si>
    <t>UCTG</t>
  </si>
  <si>
    <t>UIGT</t>
  </si>
  <si>
    <t>UIGCO</t>
  </si>
  <si>
    <t>UIGEQ</t>
  </si>
  <si>
    <t>UIGOT</t>
  </si>
  <si>
    <t>UIST</t>
  </si>
  <si>
    <t>UXGN</t>
  </si>
  <si>
    <t>UXSN</t>
  </si>
  <si>
    <t>UMGN</t>
  </si>
  <si>
    <t>UMSN</t>
  </si>
  <si>
    <t>UVGD</t>
  </si>
  <si>
    <t>UTVTBP</t>
  </si>
  <si>
    <t>UYVTBP</t>
  </si>
  <si>
    <t>ZCPIH</t>
  </si>
  <si>
    <t>ZCPIN</t>
  </si>
  <si>
    <t>n.a.</t>
  </si>
  <si>
    <t>UVGE</t>
  </si>
  <si>
    <t>OVGE</t>
  </si>
  <si>
    <t>NETD</t>
  </si>
  <si>
    <t>thousands</t>
  </si>
  <si>
    <t>FETD</t>
  </si>
  <si>
    <t>UWCD</t>
  </si>
  <si>
    <t>UWWD</t>
  </si>
  <si>
    <t>NWTD</t>
  </si>
  <si>
    <t>FWTD</t>
  </si>
  <si>
    <t>NPTD</t>
  </si>
  <si>
    <t>NPAN</t>
  </si>
  <si>
    <t>NPAN1</t>
  </si>
  <si>
    <t>NUTN</t>
  </si>
  <si>
    <t>NETN</t>
  </si>
  <si>
    <t>NLFS</t>
  </si>
  <si>
    <t>NLHA</t>
  </si>
  <si>
    <t>UWCH</t>
  </si>
  <si>
    <t>UWSH</t>
  </si>
  <si>
    <t>UOGH</t>
  </si>
  <si>
    <t>UYNH</t>
  </si>
  <si>
    <t>UCTRH</t>
  </si>
  <si>
    <t>UTYH</t>
  </si>
  <si>
    <t>UCTPH</t>
  </si>
  <si>
    <t>UEHH</t>
  </si>
  <si>
    <t>UCPH0</t>
  </si>
  <si>
    <t>UITH</t>
  </si>
  <si>
    <t>UKOH</t>
  </si>
  <si>
    <t>UGVAC</t>
  </si>
  <si>
    <t>UYVC</t>
  </si>
  <si>
    <t>UTVC</t>
  </si>
  <si>
    <t>UWCC</t>
  </si>
  <si>
    <t>UOGC</t>
  </si>
  <si>
    <t>UYNC</t>
  </si>
  <si>
    <t>UCTRC</t>
  </si>
  <si>
    <t>UTYC</t>
  </si>
  <si>
    <t>UEHC</t>
  </si>
  <si>
    <t>UITC</t>
  </si>
  <si>
    <t>UKOC</t>
  </si>
  <si>
    <t>UTVG</t>
  </si>
  <si>
    <t>UTYG</t>
  </si>
  <si>
    <t>UTSG</t>
  </si>
  <si>
    <t>UTAG</t>
  </si>
  <si>
    <t>UROG</t>
  </si>
  <si>
    <t>UCCG0</t>
  </si>
  <si>
    <t>UCIG0</t>
  </si>
  <si>
    <t>UWCG</t>
  </si>
  <si>
    <t>UYTGH</t>
  </si>
  <si>
    <t>UYIG</t>
  </si>
  <si>
    <t>UYVG</t>
  </si>
  <si>
    <t>UUOG</t>
  </si>
  <si>
    <t>UKTTG</t>
  </si>
  <si>
    <t>UIGG0</t>
  </si>
  <si>
    <t>UKOG</t>
  </si>
  <si>
    <t>UDGG</t>
  </si>
  <si>
    <t>UUTG</t>
  </si>
  <si>
    <t>UTKG</t>
  </si>
  <si>
    <t>UTEU</t>
  </si>
  <si>
    <t>GG TAXES TO THE REST OF THE WORLD</t>
  </si>
  <si>
    <t>UYIGE</t>
  </si>
  <si>
    <t>UYEU</t>
  </si>
  <si>
    <t>GG SUBSIDIES FROM THE REST OF THE WORLD</t>
  </si>
  <si>
    <t>UVGDH</t>
  </si>
  <si>
    <t>UBLGE</t>
  </si>
  <si>
    <t>UOOMSR</t>
  </si>
  <si>
    <t>UOOMSE</t>
  </si>
  <si>
    <t>UBRA</t>
  </si>
  <si>
    <t>UBTA</t>
  </si>
  <si>
    <t>UBKA</t>
  </si>
  <si>
    <t>UPOMN</t>
  </si>
  <si>
    <t>UKCG0</t>
  </si>
  <si>
    <t>UCTGI</t>
  </si>
  <si>
    <t>UYTGM</t>
  </si>
  <si>
    <t>DXGI</t>
  </si>
  <si>
    <t>UKTG995</t>
  </si>
  <si>
    <t>DXGE</t>
  </si>
  <si>
    <t>DMGI</t>
  </si>
  <si>
    <t>DMGE</t>
  </si>
  <si>
    <t>UDMGCE</t>
  </si>
  <si>
    <t>UDMGCR</t>
  </si>
  <si>
    <t>UDMGKE</t>
  </si>
  <si>
    <t>UDMGKTR</t>
  </si>
  <si>
    <t>TRIT</t>
  </si>
  <si>
    <t>TAX RATE INDIRECT TAXES PAST 4-Y AVG</t>
  </si>
  <si>
    <t>TRDT</t>
  </si>
  <si>
    <t xml:space="preserve">TAX RATE DIRECT TAXES PAST 4-Y AVG </t>
  </si>
  <si>
    <t>TRSC</t>
  </si>
  <si>
    <t>TAX RATE SOCIAL CONTR. PAST 4-Y AVG</t>
  </si>
  <si>
    <t>WCPINEG</t>
  </si>
  <si>
    <t>WCPIENG</t>
  </si>
  <si>
    <t>WCPIFOO</t>
  </si>
  <si>
    <t>WCPIUNF</t>
  </si>
  <si>
    <t>WCPISER</t>
  </si>
  <si>
    <t>ZCPINEG</t>
  </si>
  <si>
    <t>ZCPIENG</t>
  </si>
  <si>
    <t>ZCPIFOO</t>
  </si>
  <si>
    <t>ZCPIUNF</t>
  </si>
  <si>
    <t>ZCPISER</t>
  </si>
  <si>
    <t>ZCPIXEF</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</si>
  <si>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</si>
  <si>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</si>
  <si>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</si>
  <si>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</si>
  <si>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</si>
  <si>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</si>
  <si>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</si>
  <si>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</si>
  <si>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</si>
  <si>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</si>
  <si>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</si>
  <si>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</si>
  <si>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</si>
  <si>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</si>
  <si>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</si>
  <si>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</si>
  <si>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</si>
  <si>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</si>
  <si>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</si>
  <si>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</si>
  <si>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</si>
  <si>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</si>
  <si>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</si>
  <si>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</si>
  <si>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</si>
  <si>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</si>
  <si>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</si>
  <si>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</si>
  <si>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</si>
  <si>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</si>
  <si>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</si>
  <si>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</si>
  <si>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</si>
  <si>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</si>
  <si>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</si>
  <si>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</si>
  <si>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</si>
  <si>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</si>
  <si>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</si>
  <si>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</si>
  <si>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</si>
  <si>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</si>
  <si>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</si>
  <si>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</si>
  <si>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</si>
  <si>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</si>
  <si>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</si>
  <si>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</si>
  <si>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</si>
  <si>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</si>
  <si>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</si>
  <si>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</si>
  <si>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</si>
  <si>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</si>
  <si>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</si>
  <si>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</si>
  <si>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</si>
  <si>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</si>
  <si>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</si>
  <si>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</si>
  <si>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2014Q1</t>
  </si>
  <si>
    <t>2014Q2</t>
  </si>
  <si>
    <t>2014Q3</t>
  </si>
  <si>
    <t>2014Q4</t>
  </si>
  <si>
    <t>Quarterly</t>
  </si>
  <si>
    <t>OUNF</t>
  </si>
  <si>
    <t>OUNT</t>
  </si>
  <si>
    <t>OXGS</t>
  </si>
  <si>
    <t>OUTT</t>
  </si>
  <si>
    <t>OMGS</t>
  </si>
  <si>
    <t>growth of nominal wages in the economy</t>
  </si>
  <si>
    <t>WF2012</t>
  </si>
  <si>
    <t>2015Q1</t>
  </si>
  <si>
    <t>2015Q2</t>
  </si>
  <si>
    <t>2015Q3</t>
  </si>
  <si>
    <t>2015Q4</t>
  </si>
  <si>
    <t>W</t>
  </si>
  <si>
    <t>CAB</t>
  </si>
  <si>
    <t>TCE1</t>
  </si>
  <si>
    <t>1st storage</t>
  </si>
  <si>
    <t>TCE3</t>
  </si>
  <si>
    <t>2nd storage</t>
  </si>
  <si>
    <t>Final storage</t>
  </si>
  <si>
    <t>Scale</t>
  </si>
  <si>
    <t>units</t>
  </si>
  <si>
    <t>UTNXTMR</t>
  </si>
  <si>
    <t>millions</t>
  </si>
  <si>
    <t>dNFAmfi_Mon</t>
  </si>
  <si>
    <t>Net foreign assets (MFI)</t>
  </si>
  <si>
    <t>UTNDCMG</t>
  </si>
  <si>
    <t>dNDCgvt</t>
  </si>
  <si>
    <t>Net credit to the general government (MFI)</t>
  </si>
  <si>
    <t>UTADCMY</t>
  </si>
  <si>
    <t>dDCprv</t>
  </si>
  <si>
    <t>Credit to the domestic private sector (MFI)</t>
  </si>
  <si>
    <t>UTLCDMY</t>
  </si>
  <si>
    <t>d(C+D)</t>
  </si>
  <si>
    <t>Currency and deposits (MFI)</t>
  </si>
  <si>
    <t>UTNOIMU</t>
  </si>
  <si>
    <t>OINmfi</t>
  </si>
  <si>
    <t>UTNFBRG</t>
  </si>
  <si>
    <t>NFBgvt</t>
  </si>
  <si>
    <t>Net foreign borrowing of the general government</t>
  </si>
  <si>
    <t>UTNFBRY</t>
  </si>
  <si>
    <t>NFBprv</t>
  </si>
  <si>
    <t>Net foreign borrowing of the private sector</t>
  </si>
  <si>
    <t>UTNNBYG</t>
  </si>
  <si>
    <t>NB</t>
  </si>
  <si>
    <t>Non-bank domestic borrowing (GVT)</t>
  </si>
  <si>
    <t>UTNOIGU</t>
  </si>
  <si>
    <t>OINgvt</t>
  </si>
  <si>
    <t>UTNOIYU</t>
  </si>
  <si>
    <t>OINprv</t>
  </si>
  <si>
    <t>NFAmfi</t>
  </si>
  <si>
    <t>USNXTMRB</t>
  </si>
  <si>
    <t>Net foreign assets of MFI sector (BoP)</t>
  </si>
  <si>
    <t>USNDCMG</t>
  </si>
  <si>
    <t>NDCgvt</t>
  </si>
  <si>
    <t>Net claims of MFI sector on government</t>
  </si>
  <si>
    <t>USADCMY</t>
  </si>
  <si>
    <t>DCprv</t>
  </si>
  <si>
    <t>Credit (all instruments) of the MFI sector to the domestic private sector</t>
  </si>
  <si>
    <t>USLCUMY</t>
  </si>
  <si>
    <t>C</t>
  </si>
  <si>
    <t>Currency in circulation</t>
  </si>
  <si>
    <t>USLDPMY</t>
  </si>
  <si>
    <t>D</t>
  </si>
  <si>
    <t>Deposits of the domestic private sector with MFI</t>
  </si>
  <si>
    <t>USLCDMY</t>
  </si>
  <si>
    <t>C+D</t>
  </si>
  <si>
    <t>Currency and deposits (MFI liabilities)</t>
  </si>
  <si>
    <t>USNOIMU</t>
  </si>
  <si>
    <t>ONAmfi</t>
  </si>
  <si>
    <t>Other net assets of the MFI sector</t>
  </si>
  <si>
    <t>USNFBTR</t>
  </si>
  <si>
    <t>2016Q1</t>
  </si>
  <si>
    <t>2016Q2</t>
  </si>
  <si>
    <t>2016Q3</t>
  </si>
  <si>
    <t>2016Q4</t>
  </si>
  <si>
    <t>2017Q1</t>
  </si>
  <si>
    <t>2017Q2</t>
  </si>
  <si>
    <t>bn EUR</t>
  </si>
  <si>
    <r>
      <t>Wages &amp; salaries / employee (values in 1000</t>
    </r>
    <r>
      <rPr>
        <b/>
        <sz val="10"/>
        <color indexed="10"/>
        <rFont val="Arial"/>
        <family val="2"/>
      </rPr>
      <t xml:space="preserve"> EUROS?</t>
    </r>
    <r>
      <rPr>
        <b/>
        <sz val="10"/>
        <rFont val="Arial"/>
        <family val="2"/>
      </rPr>
      <t>)</t>
    </r>
  </si>
  <si>
    <t>78.5</t>
  </si>
  <si>
    <t>corrected</t>
  </si>
  <si>
    <t>Transfer!E240;Transfer!E241)/Transfer!E147</t>
  </si>
  <si>
    <t>SF 2015</t>
  </si>
  <si>
    <t>WF 2015</t>
  </si>
  <si>
    <t>delta</t>
  </si>
  <si>
    <t>Carry over</t>
  </si>
  <si>
    <t>Possibel breakdown of series due to ESA2010 available only from 2004 while data needed from 1995-INVESTIGATE</t>
  </si>
  <si>
    <t>2017Q3</t>
  </si>
  <si>
    <t>2017Q4</t>
  </si>
  <si>
    <t>Indicator</t>
  </si>
  <si>
    <t>Description</t>
  </si>
  <si>
    <t xml:space="preserve">GG CAPITAL TRANSFERS; RECEIVED </t>
  </si>
  <si>
    <t>GG OTHER CAPITAL EXPENDITURE; NET</t>
  </si>
  <si>
    <t>Other items; net (MFI)</t>
  </si>
  <si>
    <t>Other items; net (GVT)</t>
  </si>
  <si>
    <t>Other items; net (PRV)</t>
  </si>
  <si>
    <t>External debt; net</t>
  </si>
  <si>
    <t>TRADE BALANCE</t>
  </si>
  <si>
    <t>PRIMARY INCOME BALANCE</t>
  </si>
  <si>
    <t>CAB, % of GDP</t>
  </si>
  <si>
    <t>TRADE BALANCE, % of GDP</t>
  </si>
  <si>
    <t>PRIMARY INCOME BALANCE, % of GDP</t>
  </si>
  <si>
    <t>NET CURRENT TRANSFERS, % of GDP</t>
  </si>
  <si>
    <t>&lt;-delete</t>
  </si>
  <si>
    <t>CAPITAL ACCOUNT</t>
  </si>
  <si>
    <t>CAPITAL ACCOUNT, % of GDP</t>
  </si>
  <si>
    <t>TRADE BALANCE (goods)</t>
  </si>
  <si>
    <t>TRADE BALANCE (goods), % of GDP</t>
  </si>
  <si>
    <t>consistency check (tot.comp/empl.=comp.per.empl)</t>
  </si>
  <si>
    <t>2018Q1</t>
  </si>
  <si>
    <t>2018Q2</t>
  </si>
  <si>
    <t>2018Q3</t>
  </si>
  <si>
    <t>2018Q4</t>
  </si>
  <si>
    <t>Import consistency</t>
  </si>
  <si>
    <t>goods exports x 60% = intermediate imports</t>
  </si>
  <si>
    <t>investment x 50% = capital imports</t>
  </si>
  <si>
    <t>total value change</t>
  </si>
  <si>
    <t>HH consumption x 28% = consumption imports</t>
  </si>
  <si>
    <t>forecast value change</t>
  </si>
  <si>
    <t>VAT+Excise+import duties</t>
  </si>
  <si>
    <t>taxes on production</t>
  </si>
  <si>
    <t>taxes to EU, up by 0.13 bn for 2013 according to MoF</t>
  </si>
  <si>
    <t>Q</t>
  </si>
  <si>
    <t>A</t>
  </si>
  <si>
    <t>NL example</t>
  </si>
  <si>
    <t>Use these additives to arrive at the needed annual growth rate. They help to smooth out the growth</t>
  </si>
  <si>
    <t>D.29r-G</t>
  </si>
  <si>
    <t>D.2p</t>
  </si>
  <si>
    <t>D.39r</t>
  </si>
  <si>
    <t>D.4r</t>
  </si>
  <si>
    <t>D.5r-H</t>
  </si>
  <si>
    <t>D.5r-C</t>
  </si>
  <si>
    <t>D.5r-R</t>
  </si>
  <si>
    <t>D.611r</t>
  </si>
  <si>
    <t>D.621r</t>
  </si>
  <si>
    <t>D.7r</t>
  </si>
  <si>
    <t>D.9r</t>
  </si>
  <si>
    <t>P.2 - Intermediate consumption</t>
  </si>
  <si>
    <t>D.29p</t>
  </si>
  <si>
    <t>D.31p</t>
  </si>
  <si>
    <t>D.39p-H</t>
  </si>
  <si>
    <t>D.39p-C</t>
  </si>
  <si>
    <t>D.39-G</t>
  </si>
  <si>
    <t>D.3r</t>
  </si>
  <si>
    <t>D.4p</t>
  </si>
  <si>
    <t>D.41p</t>
  </si>
  <si>
    <t>D.5p</t>
  </si>
  <si>
    <t>D.62p</t>
  </si>
  <si>
    <t>D.63p</t>
  </si>
  <si>
    <t>D.7p</t>
  </si>
  <si>
    <t>D.8</t>
  </si>
  <si>
    <t>P.52-53</t>
  </si>
  <si>
    <t>P.52/53 - Changes in inventories / valuables</t>
  </si>
  <si>
    <t>UBCABOP</t>
  </si>
  <si>
    <t>Current account balance (BPM6 - Balance of payments statistics)</t>
  </si>
  <si>
    <t>Current account balance (NA)</t>
  </si>
  <si>
    <t>Current account balance (NA) as % of GDP</t>
  </si>
  <si>
    <t>Current account balance (BOP)</t>
  </si>
  <si>
    <t>Current account balance (BOP) as % of GDP</t>
  </si>
  <si>
    <t>USADCMYH</t>
  </si>
  <si>
    <t>Credit (all instruments) of the MFI sector to the domestic private sector - households</t>
  </si>
  <si>
    <t>USADCMYC</t>
  </si>
  <si>
    <t>Credit (all instruments) of the MFI sector to the domestic private sector - domestic non-financial corporations (inc. securities)</t>
  </si>
  <si>
    <t>USADCMYO</t>
  </si>
  <si>
    <t>Credit (all instruments) of the MFI sector to the domestic private sector - other domestic financial intermediaries and auxiliaries</t>
  </si>
  <si>
    <t>UTADCMYH</t>
  </si>
  <si>
    <t>Credit to the domestic private sector (MFI) - households</t>
  </si>
  <si>
    <t>UTADCMYC</t>
  </si>
  <si>
    <t>Credit to the domestic private sector (MFI) - domestic non-financial corporations (inc. securities)</t>
  </si>
  <si>
    <t>UTADCMYO</t>
  </si>
  <si>
    <t>Credit to the domestic private sector (MFI) - other domestic financial intermediaries and auxiliaries</t>
  </si>
  <si>
    <t>56 Current transfers from EU Institutions</t>
  </si>
  <si>
    <t>57 Capital transfers from EU Institutions</t>
  </si>
  <si>
    <t>Capital transfers from EU Institutions</t>
  </si>
  <si>
    <t>Current transfers from EU Institutions</t>
  </si>
  <si>
    <t>UOOMSR.1.0.0.0</t>
  </si>
  <si>
    <t>138 GG ONE-OFF MEASURES (REVENUE SIDE)</t>
  </si>
  <si>
    <t>UOOMSE.1.0.0.0</t>
  </si>
  <si>
    <t>139 GG ONE-OFF MEASURES (EXPENDITURE SIDE)</t>
  </si>
  <si>
    <t>UDMGCE.1.0.0.0</t>
  </si>
  <si>
    <t>153 DISCRETIONARY MEASURES CURRENT EXPENDITURE</t>
  </si>
  <si>
    <t>UDMGCR.1.0.0.0</t>
  </si>
  <si>
    <t>154 DISCRETIONARY MEASURES CURRENT REVENUE</t>
  </si>
  <si>
    <t>UDMGKE.1.0.0.0</t>
  </si>
  <si>
    <t>155 DISCRETIONARY MEASURES CAPITAL EXPENDITURE</t>
  </si>
  <si>
    <t>UDMGKTR.1.0.0.0</t>
  </si>
  <si>
    <t>156 DISCRETIONARY MEASURES CAPITAL TRANSFERS RECEIVED</t>
  </si>
  <si>
    <t>2019Q1</t>
  </si>
  <si>
    <t>2019Q2</t>
  </si>
  <si>
    <t>2019Q3</t>
  </si>
  <si>
    <t>2019Q4</t>
  </si>
  <si>
    <t>P.11+P.12+</t>
  </si>
  <si>
    <t>P.11+P.12+P.131 - 'Total sales of goods and services'</t>
  </si>
  <si>
    <t>D.21</t>
  </si>
  <si>
    <t>D.21 - Taxes on products (received from the domestic economy)</t>
  </si>
  <si>
    <t>D.29</t>
  </si>
  <si>
    <t>D.29 - Other taxes on production (received from households)</t>
  </si>
  <si>
    <t>D.29 - Other taxes on production (received from corporations)</t>
  </si>
  <si>
    <t>D.29 - Other taxes on production (received from government)</t>
  </si>
  <si>
    <t>D.2</t>
  </si>
  <si>
    <t>D.2 - Taxes on production and imports (received from RoW)</t>
  </si>
  <si>
    <t>D.39</t>
  </si>
  <si>
    <t>D.39 - Other subsidies on production (received from government)</t>
  </si>
  <si>
    <t>D.3</t>
  </si>
  <si>
    <t>D.3 - Subsidies (received from RoW)</t>
  </si>
  <si>
    <t>D.4</t>
  </si>
  <si>
    <t>D.4 - Property income (received)</t>
  </si>
  <si>
    <t>D.5</t>
  </si>
  <si>
    <t>D.5 - Current taxes on income and wealth (received from households)</t>
  </si>
  <si>
    <t>D.5 - Current taxes on income and wealth (received from corporations)</t>
  </si>
  <si>
    <t>D.5 - Current taxes on income and wealth (received from government)</t>
  </si>
  <si>
    <t>D.5 - Current taxes on income and wealth (received from RoW)</t>
  </si>
  <si>
    <t>D.611+D.61</t>
  </si>
  <si>
    <t>D.611+D.613 - Actual social contributions (received)</t>
  </si>
  <si>
    <t>D.612+D.61</t>
  </si>
  <si>
    <t>D.612+D.614-D.61SC - Imputed and other social contributions (received)</t>
  </si>
  <si>
    <t>D.7 - Other current transfers (received)</t>
  </si>
  <si>
    <t>D.9</t>
  </si>
  <si>
    <t>D.9 - Capital transfers (received)</t>
  </si>
  <si>
    <t>D.1</t>
  </si>
  <si>
    <t>D.1 - Compensation of employees</t>
  </si>
  <si>
    <t>D.29 - Other taxes on production (paid to government)</t>
  </si>
  <si>
    <t>D.2 - Taxes on production and imports (paid to RoW)</t>
  </si>
  <si>
    <t>D.31</t>
  </si>
  <si>
    <t>D.31 - Subsidies on products (paid to the domestic economy)</t>
  </si>
  <si>
    <t>D.39 - Other subsidies on production (paid to households)</t>
  </si>
  <si>
    <t>D.39 - Other subsidies on production (paid to corporations)</t>
  </si>
  <si>
    <t>D.39 - Other subsidies on production (paid to government)</t>
  </si>
  <si>
    <t>D.3 - Subsidies (paid to RoW)</t>
  </si>
  <si>
    <t>D.4-D.41</t>
  </si>
  <si>
    <t>D.4-D.41 - Property income (paid, excluding interests)</t>
  </si>
  <si>
    <t>D.41</t>
  </si>
  <si>
    <t>D.41 - Interest (paid)</t>
  </si>
  <si>
    <t>D.5 - Current taxes on income and wealth (paid to government)</t>
  </si>
  <si>
    <t>D.5 - Current taxes on income and wealth (paid to RoW)</t>
  </si>
  <si>
    <t>D.62</t>
  </si>
  <si>
    <t>D.62 - Social benefits other than in kind (paid)</t>
  </si>
  <si>
    <t>D.632</t>
  </si>
  <si>
    <t>D.632 - Social transfers in kind supplied via market producers (paid)</t>
  </si>
  <si>
    <t>D.7 - Other current transfers (paid)</t>
  </si>
  <si>
    <t>D.8 - Adjustment for change in pension entitlements</t>
  </si>
  <si>
    <t>D.9 - Capital transfers (paid)</t>
  </si>
  <si>
    <t>P.51g</t>
  </si>
  <si>
    <t>P.51g - Gross fixed capital expenditure</t>
  </si>
  <si>
    <t>P.52/53</t>
  </si>
  <si>
    <t>NP - Acquisition less disposal of non-produced assets</t>
  </si>
  <si>
    <t>Makes no sense</t>
  </si>
  <si>
    <t>UPDATE</t>
  </si>
  <si>
    <t>Almost no effect</t>
  </si>
  <si>
    <t>Kas tai?</t>
  </si>
  <si>
    <t>ES fondai??</t>
  </si>
  <si>
    <t>Iždo duomenys</t>
  </si>
  <si>
    <t>CIT</t>
  </si>
  <si>
    <t>PIT</t>
  </si>
  <si>
    <t>diskrecin priemon?</t>
  </si>
  <si>
    <t>Surast</t>
  </si>
  <si>
    <t>likutinis dydis</t>
  </si>
  <si>
    <t>SVARBU</t>
  </si>
  <si>
    <t>Indėlių draudimo išmokos</t>
  </si>
  <si>
    <t>atgauti indėliai</t>
  </si>
  <si>
    <t>Nominalus balansas</t>
  </si>
  <si>
    <t>Užimtųjų skaičius</t>
  </si>
  <si>
    <t>Neaišku</t>
  </si>
  <si>
    <t>Perbalansuoti</t>
  </si>
  <si>
    <t>Country: LT - Scale: Billions - Last update (server time): 2017.10.23 - 15:31:51</t>
  </si>
  <si>
    <t>AA calculations</t>
  </si>
  <si>
    <t>BE</t>
  </si>
</sst>
</file>

<file path=xl/styles.xml><?xml version="1.0" encoding="utf-8"?>
<styleSheet xmlns="http://schemas.openxmlformats.org/spreadsheetml/2006/main" xmlns:mc="http://schemas.openxmlformats.org/markup-compatibility/2006" xmlns:x14ac="http://schemas.microsoft.com/office/spreadsheetml/2009/9/ac" mc:Ignorable="x14ac">
  <numFmts count="27">
    <numFmt numFmtId="164" formatCode="_-* #,##0.00_-;\-* #,##0.00_-;_-* &quot;-&quot;??_-;_-@_-"/>
    <numFmt numFmtId="165" formatCode="_-* #,##0.00\ _€_-;\-* #,##0.00\ _€_-;_-* &quot;-&quot;??\ _€_-;_-@_-"/>
    <numFmt numFmtId="166" formatCode="0.0"/>
    <numFmt numFmtId="167" formatCode="0.0%"/>
    <numFmt numFmtId="168" formatCode="0.000"/>
    <numFmt numFmtId="169" formatCode="0.0000"/>
    <numFmt numFmtId="170" formatCode="0.0_)"/>
    <numFmt numFmtId="171" formatCode="0.0_);[Red]\-0.0_)"/>
    <numFmt numFmtId="172" formatCode="0.00_);[Red]\-0.00_)"/>
    <numFmt numFmtId="173" formatCode="#,##0.0"/>
    <numFmt numFmtId="174" formatCode="0.0000000"/>
    <numFmt numFmtId="175" formatCode="dd/mm/yyyy\ hh:mm:ss"/>
    <numFmt numFmtId="176" formatCode="#,##0\ &quot;Kč&quot;;\-#,##0\ &quot;Kč&quot;"/>
    <numFmt numFmtId="177" formatCode="0.000000"/>
    <numFmt numFmtId="178" formatCode="0.00_#"/>
    <numFmt numFmtId="179" formatCode="0.00000"/>
    <numFmt numFmtId="180" formatCode="0.00000000"/>
    <numFmt numFmtId="181" formatCode="0.0000000000"/>
    <numFmt numFmtId="182" formatCode="0.000000000"/>
    <numFmt numFmtId="183" formatCode="&quot;€&quot;\ #,##0;&quot;€&quot;\ \-#,##0"/>
    <numFmt numFmtId="184" formatCode="#\ ###\ ##0;&quot;-&quot;#\ ###\ ##0"/>
    <numFmt numFmtId="185" formatCode="&quot;€&quot;\ #,##0_-;&quot;€&quot;\ #,##0\-"/>
    <numFmt numFmtId="186" formatCode="0.0000%"/>
    <numFmt numFmtId="187" formatCode="0.00000%"/>
    <numFmt numFmtId="188" formatCode="0.000%"/>
    <numFmt numFmtId="189" formatCode="#,##0.0000"/>
    <numFmt numFmtId="190" formatCode="0.000000000000000"/>
  </numFmts>
  <fonts count="166">
    <font>
      <sz val="10"/>
      <name val="Arial"/>
    </font>
    <font>
      <sz val="10"/>
      <name val="Arial"/>
      <family val="2"/>
    </font>
    <font>
      <sz val="10"/>
      <color indexed="9"/>
      <name val="Arial"/>
      <family val="2"/>
    </font>
    <font>
      <sz val="8"/>
      <name val="Arial"/>
      <family val="2"/>
    </font>
    <font>
      <b/>
      <sz val="8"/>
      <name val="Arial"/>
      <family val="2"/>
    </font>
    <font>
      <sz val="8"/>
      <name val="Tms Rmn"/>
    </font>
    <font>
      <b/>
      <sz val="11"/>
      <name val="Gentle Sans"/>
    </font>
    <font>
      <sz val="10"/>
      <color indexed="14"/>
      <name val="Arial MT"/>
    </font>
    <font>
      <sz val="10"/>
      <color indexed="8"/>
      <name val="Arial MT"/>
    </font>
    <font>
      <b/>
      <i/>
      <sz val="12"/>
      <name val="Gentle Sans"/>
    </font>
    <font>
      <u/>
      <sz val="10"/>
      <color indexed="20"/>
      <name val="Arial"/>
      <family val="2"/>
    </font>
    <font>
      <sz val="10"/>
      <name val="Helv"/>
    </font>
    <font>
      <u/>
      <sz val="7.5"/>
      <color indexed="12"/>
      <name val="Arial"/>
      <family val="2"/>
    </font>
    <font>
      <u/>
      <sz val="10"/>
      <color indexed="12"/>
      <name val="Arial"/>
      <family val="2"/>
    </font>
    <font>
      <b/>
      <sz val="10"/>
      <color indexed="8"/>
      <name val="Arial MT"/>
    </font>
    <font>
      <sz val="12"/>
      <name val="Arial CE"/>
      <family val="2"/>
      <charset val="238"/>
    </font>
    <font>
      <sz val="9"/>
      <name val="Times New Roman"/>
      <family val="1"/>
    </font>
    <font>
      <sz val="11"/>
      <name val="Tms Rmn"/>
    </font>
    <font>
      <i/>
      <sz val="12"/>
      <name val="Gentle Sans"/>
    </font>
    <font>
      <sz val="9"/>
      <name val="Gentle Sans"/>
    </font>
    <font>
      <sz val="9"/>
      <name val="Gentle Sans Light"/>
    </font>
    <font>
      <sz val="8"/>
      <name val="Helvetica"/>
      <family val="2"/>
    </font>
    <font>
      <sz val="10"/>
      <name val="Gentle Sans"/>
    </font>
    <font>
      <i/>
      <sz val="8"/>
      <name val="Tms Rmn"/>
    </font>
    <font>
      <b/>
      <sz val="14"/>
      <color indexed="8"/>
      <name val="CG Times (WN)"/>
    </font>
    <font>
      <b/>
      <sz val="8"/>
      <name val="Tms Rmn"/>
    </font>
    <font>
      <b/>
      <sz val="10"/>
      <color indexed="9"/>
      <name val="Arial MT"/>
    </font>
    <font>
      <sz val="10"/>
      <name val="New Baskerville"/>
    </font>
    <font>
      <sz val="10"/>
      <name val="Arial"/>
      <family val="2"/>
    </font>
    <font>
      <b/>
      <sz val="10"/>
      <color indexed="9"/>
      <name val="Arial"/>
      <family val="2"/>
    </font>
    <font>
      <b/>
      <sz val="10"/>
      <name val="Arial"/>
      <family val="2"/>
    </font>
    <font>
      <sz val="10"/>
      <color indexed="12"/>
      <name val="Arial"/>
      <family val="2"/>
    </font>
    <font>
      <b/>
      <sz val="10"/>
      <name val="Arial"/>
      <family val="2"/>
    </font>
    <font>
      <i/>
      <sz val="10"/>
      <name val="Arial"/>
      <family val="2"/>
    </font>
    <font>
      <sz val="10"/>
      <color indexed="8"/>
      <name val="Arial"/>
      <family val="2"/>
    </font>
    <font>
      <sz val="10"/>
      <name val="Arial MT"/>
    </font>
    <font>
      <sz val="9"/>
      <color indexed="8"/>
      <name val="Arial"/>
      <family val="2"/>
    </font>
    <font>
      <b/>
      <sz val="9"/>
      <color indexed="9"/>
      <name val="Arial"/>
      <family val="2"/>
    </font>
    <font>
      <b/>
      <sz val="9"/>
      <color indexed="8"/>
      <name val="Arial"/>
      <family val="2"/>
    </font>
    <font>
      <b/>
      <sz val="10"/>
      <color indexed="8"/>
      <name val="Arial"/>
      <family val="2"/>
    </font>
    <font>
      <b/>
      <sz val="10"/>
      <color indexed="8"/>
      <name val="Arial"/>
      <family val="2"/>
    </font>
    <font>
      <b/>
      <sz val="12"/>
      <color indexed="8"/>
      <name val="Arial"/>
      <family val="2"/>
    </font>
    <font>
      <sz val="8"/>
      <color indexed="8"/>
      <name val="Arial"/>
      <family val="2"/>
    </font>
    <font>
      <i/>
      <sz val="10"/>
      <color indexed="8"/>
      <name val="Arial"/>
      <family val="2"/>
    </font>
    <font>
      <sz val="12"/>
      <color indexed="8"/>
      <name val="Arial"/>
      <family val="2"/>
    </font>
    <font>
      <sz val="10"/>
      <color indexed="55"/>
      <name val="Arial"/>
      <family val="2"/>
    </font>
    <font>
      <sz val="10"/>
      <color indexed="11"/>
      <name val="Arial"/>
      <family val="2"/>
    </font>
    <font>
      <sz val="8"/>
      <color indexed="10"/>
      <name val="Arial"/>
      <family val="2"/>
    </font>
    <font>
      <b/>
      <sz val="8"/>
      <color indexed="8"/>
      <name val="Arial"/>
      <family val="2"/>
    </font>
    <font>
      <sz val="10"/>
      <color indexed="10"/>
      <name val="Arial"/>
      <family val="2"/>
    </font>
    <font>
      <b/>
      <i/>
      <sz val="10"/>
      <color indexed="8"/>
      <name val="Arial"/>
      <family val="2"/>
    </font>
    <font>
      <sz val="12"/>
      <name val="Arial"/>
      <family val="2"/>
    </font>
    <font>
      <i/>
      <sz val="8"/>
      <color indexed="8"/>
      <name val="Arial"/>
      <family val="2"/>
    </font>
    <font>
      <u/>
      <sz val="10"/>
      <color indexed="8"/>
      <name val="Arial"/>
      <family val="2"/>
    </font>
    <font>
      <sz val="7"/>
      <name val="Arial"/>
      <family val="2"/>
    </font>
    <font>
      <b/>
      <sz val="10"/>
      <color indexed="10"/>
      <name val="Arial"/>
      <family val="2"/>
    </font>
    <font>
      <sz val="8"/>
      <color indexed="81"/>
      <name val="Tahoma"/>
      <family val="2"/>
    </font>
    <font>
      <b/>
      <sz val="8"/>
      <color indexed="81"/>
      <name val="Tahoma"/>
      <family val="2"/>
    </font>
    <font>
      <b/>
      <i/>
      <sz val="8"/>
      <name val="Arial"/>
      <family val="2"/>
    </font>
    <font>
      <i/>
      <sz val="8"/>
      <name val="Arial"/>
      <family val="2"/>
    </font>
    <font>
      <sz val="8"/>
      <name val="Arial"/>
      <family val="2"/>
    </font>
    <font>
      <sz val="8"/>
      <color indexed="9"/>
      <name val="Arial"/>
      <family val="2"/>
    </font>
    <font>
      <b/>
      <sz val="10"/>
      <color indexed="62"/>
      <name val="Arial"/>
      <family val="2"/>
    </font>
    <font>
      <b/>
      <sz val="10"/>
      <color indexed="9"/>
      <name val="Arial"/>
      <family val="2"/>
    </font>
    <font>
      <b/>
      <sz val="8"/>
      <name val="Arial"/>
      <family val="2"/>
    </font>
    <font>
      <sz val="7"/>
      <color indexed="9"/>
      <name val="Arial"/>
      <family val="2"/>
    </font>
    <font>
      <b/>
      <i/>
      <sz val="12"/>
      <color indexed="9"/>
      <name val="Arial"/>
      <family val="2"/>
    </font>
    <font>
      <b/>
      <i/>
      <sz val="10"/>
      <name val="Arial"/>
      <family val="2"/>
    </font>
    <font>
      <b/>
      <sz val="8"/>
      <color indexed="10"/>
      <name val="Arial"/>
      <family val="2"/>
    </font>
    <font>
      <sz val="10"/>
      <name val="Arial CE"/>
      <charset val="238"/>
    </font>
    <font>
      <sz val="10"/>
      <name val="Times New Roman CE"/>
      <charset val="238"/>
    </font>
    <font>
      <b/>
      <sz val="18"/>
      <name val="Arial CE"/>
      <charset val="238"/>
    </font>
    <font>
      <b/>
      <sz val="12"/>
      <name val="Arial CE"/>
      <charset val="238"/>
    </font>
    <font>
      <b/>
      <sz val="14"/>
      <name val="Arial"/>
      <family val="2"/>
    </font>
    <font>
      <i/>
      <sz val="12"/>
      <name val="Arial"/>
      <family val="2"/>
    </font>
    <font>
      <sz val="24"/>
      <name val="Arial"/>
      <family val="2"/>
    </font>
    <font>
      <b/>
      <sz val="12"/>
      <name val="Arial"/>
      <family val="2"/>
    </font>
    <font>
      <b/>
      <sz val="6"/>
      <name val="Arial"/>
      <family val="2"/>
    </font>
    <font>
      <b/>
      <sz val="8"/>
      <color indexed="9"/>
      <name val="Arial"/>
      <family val="2"/>
    </font>
    <font>
      <sz val="10"/>
      <color indexed="9"/>
      <name val="Arial"/>
      <family val="2"/>
    </font>
    <font>
      <sz val="10"/>
      <name val="Arial"/>
      <family val="2"/>
    </font>
    <font>
      <b/>
      <sz val="10"/>
      <color indexed="9"/>
      <name val="Symbol"/>
      <family val="1"/>
      <charset val="2"/>
    </font>
    <font>
      <b/>
      <u/>
      <sz val="10"/>
      <name val="Arial"/>
      <family val="2"/>
    </font>
    <font>
      <b/>
      <sz val="14"/>
      <color indexed="9"/>
      <name val="Arial"/>
      <family val="2"/>
    </font>
    <font>
      <i/>
      <sz val="8"/>
      <color indexed="17"/>
      <name val="Arial"/>
      <family val="2"/>
    </font>
    <font>
      <b/>
      <i/>
      <sz val="8"/>
      <color indexed="17"/>
      <name val="Arial"/>
      <family val="2"/>
    </font>
    <font>
      <sz val="12"/>
      <color indexed="12"/>
      <name val="Arial"/>
      <family val="2"/>
    </font>
    <font>
      <b/>
      <sz val="12"/>
      <color indexed="10"/>
      <name val="Arial"/>
      <family val="2"/>
    </font>
    <font>
      <sz val="12"/>
      <color indexed="13"/>
      <name val="Arial"/>
      <family val="2"/>
    </font>
    <font>
      <u/>
      <sz val="8"/>
      <color indexed="81"/>
      <name val="Tahoma"/>
      <family val="2"/>
    </font>
    <font>
      <b/>
      <sz val="8"/>
      <color indexed="10"/>
      <name val="Tahoma"/>
      <family val="2"/>
    </font>
    <font>
      <sz val="10"/>
      <color indexed="8"/>
      <name val="Arial"/>
      <family val="2"/>
    </font>
    <font>
      <sz val="10"/>
      <name val="Arial"/>
      <family val="2"/>
    </font>
    <font>
      <sz val="11"/>
      <name val="Arial"/>
      <family val="2"/>
    </font>
    <font>
      <b/>
      <sz val="11"/>
      <name val="Arial"/>
      <family val="2"/>
    </font>
    <font>
      <b/>
      <sz val="11"/>
      <color indexed="10"/>
      <name val="Arial"/>
      <family val="2"/>
    </font>
    <font>
      <b/>
      <i/>
      <sz val="11"/>
      <name val="Arial"/>
      <family val="2"/>
    </font>
    <font>
      <b/>
      <sz val="11"/>
      <color indexed="10"/>
      <name val="Arial"/>
      <family val="2"/>
    </font>
    <font>
      <u/>
      <sz val="11"/>
      <name val="Arial"/>
      <family val="2"/>
    </font>
    <font>
      <b/>
      <sz val="11"/>
      <name val="Arial"/>
      <family val="2"/>
    </font>
    <font>
      <sz val="11"/>
      <name val="Arial"/>
      <family val="2"/>
    </font>
    <font>
      <sz val="10"/>
      <name val="Arial"/>
      <family val="2"/>
    </font>
    <font>
      <sz val="11"/>
      <color indexed="9"/>
      <name val="Arial"/>
      <family val="2"/>
    </font>
    <font>
      <b/>
      <i/>
      <sz val="14"/>
      <color indexed="9"/>
      <name val="Arial"/>
      <family val="2"/>
    </font>
    <font>
      <b/>
      <i/>
      <sz val="10"/>
      <color indexed="9"/>
      <name val="Arial"/>
      <family val="2"/>
    </font>
    <font>
      <b/>
      <sz val="10"/>
      <color indexed="12"/>
      <name val="Arial"/>
      <family val="2"/>
    </font>
    <font>
      <b/>
      <sz val="12"/>
      <color indexed="9"/>
      <name val="Arial"/>
      <family val="2"/>
    </font>
    <font>
      <sz val="12"/>
      <color indexed="9"/>
      <name val="Arial"/>
      <family val="2"/>
    </font>
    <font>
      <b/>
      <u/>
      <sz val="12"/>
      <color indexed="9"/>
      <name val="Arial"/>
      <family val="2"/>
    </font>
    <font>
      <sz val="8"/>
      <color indexed="9"/>
      <name val="Arial"/>
      <family val="2"/>
    </font>
    <font>
      <i/>
      <sz val="10"/>
      <color indexed="12"/>
      <name val="Arial"/>
      <family val="2"/>
    </font>
    <font>
      <sz val="8"/>
      <color indexed="12"/>
      <name val="Arial"/>
      <family val="2"/>
    </font>
    <font>
      <i/>
      <sz val="8"/>
      <color indexed="12"/>
      <name val="Arial"/>
      <family val="2"/>
    </font>
    <font>
      <b/>
      <sz val="8"/>
      <color indexed="12"/>
      <name val="Arial"/>
      <family val="2"/>
    </font>
    <font>
      <b/>
      <i/>
      <sz val="8"/>
      <color indexed="8"/>
      <name val="Arial"/>
      <family val="2"/>
    </font>
    <font>
      <sz val="10"/>
      <color indexed="48"/>
      <name val="Arial"/>
      <family val="2"/>
    </font>
    <font>
      <b/>
      <u/>
      <sz val="10"/>
      <color indexed="10"/>
      <name val="Arial"/>
      <family val="2"/>
    </font>
    <font>
      <b/>
      <i/>
      <sz val="10"/>
      <color indexed="10"/>
      <name val="Arial"/>
      <family val="2"/>
    </font>
    <font>
      <b/>
      <sz val="10"/>
      <color indexed="81"/>
      <name val="Tahoma"/>
      <family val="2"/>
    </font>
    <font>
      <sz val="10"/>
      <color indexed="81"/>
      <name val="Tahoma"/>
      <family val="2"/>
    </font>
    <font>
      <b/>
      <sz val="8"/>
      <color indexed="53"/>
      <name val="Arial"/>
      <family val="2"/>
    </font>
    <font>
      <b/>
      <sz val="10"/>
      <color indexed="10"/>
      <name val="Arial"/>
      <family val="2"/>
    </font>
    <font>
      <b/>
      <sz val="9"/>
      <color indexed="81"/>
      <name val="Tahoma"/>
      <family val="2"/>
      <charset val="238"/>
    </font>
    <font>
      <b/>
      <sz val="10"/>
      <color indexed="10"/>
      <name val="Arial"/>
      <family val="2"/>
    </font>
    <font>
      <sz val="9"/>
      <color indexed="63"/>
      <name val="Arial"/>
      <family val="2"/>
    </font>
    <font>
      <b/>
      <sz val="10"/>
      <color indexed="10"/>
      <name val="Arial"/>
      <family val="2"/>
    </font>
    <font>
      <sz val="10"/>
      <color indexed="10"/>
      <name val="Arial"/>
      <family val="2"/>
    </font>
    <font>
      <sz val="9"/>
      <color indexed="81"/>
      <name val="Tahoma"/>
      <family val="2"/>
    </font>
    <font>
      <b/>
      <sz val="9"/>
      <color indexed="81"/>
      <name val="Tahoma"/>
      <family val="2"/>
    </font>
    <font>
      <b/>
      <u val="double"/>
      <sz val="9"/>
      <color indexed="81"/>
      <name val="Tahoma"/>
      <family val="2"/>
    </font>
    <font>
      <sz val="11"/>
      <color indexed="8"/>
      <name val="Calibri"/>
      <family val="2"/>
    </font>
    <font>
      <b/>
      <sz val="10"/>
      <color indexed="23"/>
      <name val="Arial"/>
      <family val="2"/>
    </font>
    <font>
      <b/>
      <i/>
      <sz val="10"/>
      <color indexed="55"/>
      <name val="Arial"/>
      <family val="2"/>
    </font>
    <font>
      <b/>
      <sz val="10"/>
      <color indexed="10"/>
      <name val="Arial"/>
      <family val="2"/>
    </font>
    <font>
      <b/>
      <sz val="10"/>
      <color indexed="17"/>
      <name val="Arial"/>
      <family val="2"/>
    </font>
    <font>
      <sz val="10"/>
      <name val="Arial"/>
      <family val="2"/>
    </font>
    <font>
      <b/>
      <sz val="10"/>
      <color indexed="10"/>
      <name val="Arial"/>
      <family val="2"/>
    </font>
    <font>
      <b/>
      <sz val="10"/>
      <color indexed="17"/>
      <name val="Arial"/>
      <family val="2"/>
    </font>
    <font>
      <sz val="10"/>
      <color indexed="10"/>
      <name val="Arial"/>
      <family val="2"/>
    </font>
    <font>
      <b/>
      <sz val="8"/>
      <color indexed="10"/>
      <name val="Arial"/>
      <family val="2"/>
    </font>
    <font>
      <sz val="8"/>
      <color indexed="10"/>
      <name val="Arial"/>
      <family val="2"/>
    </font>
    <font>
      <b/>
      <sz val="10"/>
      <color indexed="9"/>
      <name val="Arial"/>
      <family val="2"/>
    </font>
    <font>
      <b/>
      <sz val="10"/>
      <color indexed="10"/>
      <name val="Arial"/>
      <family val="2"/>
    </font>
    <font>
      <b/>
      <sz val="10"/>
      <color indexed="9"/>
      <name val="Arial"/>
      <family val="2"/>
    </font>
    <font>
      <sz val="10"/>
      <color indexed="10"/>
      <name val="Arial"/>
      <family val="2"/>
    </font>
    <font>
      <b/>
      <sz val="10"/>
      <color indexed="17"/>
      <name val="Arial"/>
      <family val="2"/>
    </font>
    <font>
      <b/>
      <i/>
      <sz val="10"/>
      <color indexed="10"/>
      <name val="Arial"/>
      <family val="2"/>
    </font>
    <font>
      <b/>
      <sz val="8"/>
      <color indexed="10"/>
      <name val="Arial"/>
      <family val="2"/>
    </font>
    <font>
      <i/>
      <sz val="10"/>
      <color indexed="10"/>
      <name val="Arial"/>
      <family val="2"/>
    </font>
    <font>
      <sz val="12"/>
      <name val="Times New Roman"/>
      <family val="1"/>
      <charset val="186"/>
    </font>
    <font>
      <sz val="11"/>
      <color indexed="8"/>
      <name val="Calibri"/>
      <family val="2"/>
      <charset val="134"/>
    </font>
    <font>
      <sz val="11"/>
      <color indexed="8"/>
      <name val="Calibri"/>
      <family val="2"/>
    </font>
    <font>
      <sz val="11"/>
      <color indexed="8"/>
      <name val="Calibri"/>
      <family val="2"/>
    </font>
    <font>
      <sz val="6.5"/>
      <name val="Univers"/>
      <family val="2"/>
    </font>
    <font>
      <b/>
      <sz val="18"/>
      <name val="Arial"/>
      <family val="2"/>
    </font>
    <font>
      <sz val="11"/>
      <color theme="1"/>
      <name val="Calibri"/>
      <family val="2"/>
      <scheme val="minor"/>
    </font>
    <font>
      <u/>
      <sz val="11"/>
      <color theme="10"/>
      <name val="Calibri"/>
      <family val="2"/>
      <scheme val="minor"/>
    </font>
    <font>
      <sz val="10"/>
      <color theme="1"/>
      <name val="Calibri"/>
      <family val="2"/>
    </font>
    <font>
      <sz val="10"/>
      <color theme="1"/>
      <name val="Arial"/>
      <family val="2"/>
    </font>
    <font>
      <b/>
      <sz val="10"/>
      <color rgb="FFFF0000"/>
      <name val="Arial"/>
      <family val="2"/>
    </font>
    <font>
      <b/>
      <i/>
      <sz val="12"/>
      <color indexed="13"/>
      <name val="Arial"/>
      <family val="2"/>
    </font>
    <font>
      <sz val="10"/>
      <color rgb="FFFF0000"/>
      <name val="Arial"/>
      <family val="2"/>
    </font>
    <font>
      <sz val="10"/>
      <color theme="0"/>
      <name val="Arial"/>
      <family val="2"/>
    </font>
    <font>
      <sz val="10"/>
      <name val="Arial"/>
      <family val="2"/>
    </font>
    <font>
      <b/>
      <sz val="12"/>
      <color rgb="FF000000"/>
      <name val="Arial"/>
      <family val="2"/>
      <charset val="238"/>
    </font>
    <font>
      <sz val="10"/>
      <color rgb="FF000000"/>
      <name val="Arial"/>
      <family val="2"/>
      <charset val="238"/>
    </font>
  </fonts>
  <fills count="49">
    <fill>
      <patternFill patternType="none"/>
    </fill>
    <fill>
      <patternFill patternType="gray125"/>
    </fill>
    <fill>
      <patternFill patternType="solid">
        <fgColor indexed="22"/>
      </patternFill>
    </fill>
    <fill>
      <patternFill patternType="solid">
        <fgColor indexed="43"/>
      </patternFill>
    </fill>
    <fill>
      <patternFill patternType="solid">
        <fgColor indexed="52"/>
      </patternFill>
    </fill>
    <fill>
      <patternFill patternType="solid">
        <fgColor indexed="55"/>
      </patternFill>
    </fill>
    <fill>
      <patternFill patternType="solid">
        <fgColor indexed="19"/>
      </patternFill>
    </fill>
    <fill>
      <patternFill patternType="solid">
        <fgColor indexed="13"/>
      </patternFill>
    </fill>
    <fill>
      <patternFill patternType="solid">
        <fgColor indexed="9"/>
      </patternFill>
    </fill>
    <fill>
      <patternFill patternType="solid">
        <fgColor indexed="9"/>
        <bgColor indexed="8"/>
      </patternFill>
    </fill>
    <fill>
      <patternFill patternType="solid">
        <fgColor indexed="48"/>
        <bgColor indexed="64"/>
      </patternFill>
    </fill>
    <fill>
      <patternFill patternType="solid">
        <fgColor indexed="43"/>
        <bgColor indexed="64"/>
      </patternFill>
    </fill>
    <fill>
      <patternFill patternType="solid">
        <fgColor indexed="9"/>
        <bgColor indexed="64"/>
      </patternFill>
    </fill>
    <fill>
      <patternFill patternType="solid">
        <fgColor indexed="22"/>
        <bgColor indexed="64"/>
      </patternFill>
    </fill>
    <fill>
      <patternFill patternType="solid">
        <fgColor indexed="55"/>
        <bgColor indexed="64"/>
      </patternFill>
    </fill>
    <fill>
      <patternFill patternType="solid">
        <fgColor indexed="44"/>
        <bgColor indexed="64"/>
      </patternFill>
    </fill>
    <fill>
      <patternFill patternType="solid">
        <fgColor indexed="30"/>
        <bgColor indexed="64"/>
      </patternFill>
    </fill>
    <fill>
      <patternFill patternType="solid">
        <fgColor indexed="65"/>
        <bgColor indexed="44"/>
      </patternFill>
    </fill>
    <fill>
      <patternFill patternType="lightUp">
        <fgColor indexed="41"/>
        <bgColor indexed="30"/>
      </patternFill>
    </fill>
    <fill>
      <patternFill patternType="solid">
        <fgColor indexed="41"/>
        <bgColor indexed="64"/>
      </patternFill>
    </fill>
    <fill>
      <patternFill patternType="solid">
        <fgColor indexed="31"/>
        <bgColor indexed="64"/>
      </patternFill>
    </fill>
    <fill>
      <patternFill patternType="solid">
        <fgColor indexed="42"/>
        <bgColor indexed="64"/>
      </patternFill>
    </fill>
    <fill>
      <patternFill patternType="solid">
        <fgColor indexed="31"/>
        <bgColor indexed="12"/>
      </patternFill>
    </fill>
    <fill>
      <patternFill patternType="solid">
        <fgColor indexed="45"/>
        <bgColor indexed="64"/>
      </patternFill>
    </fill>
    <fill>
      <patternFill patternType="solid">
        <fgColor indexed="43"/>
        <bgColor indexed="44"/>
      </patternFill>
    </fill>
    <fill>
      <patternFill patternType="solid">
        <fgColor indexed="51"/>
        <bgColor indexed="44"/>
      </patternFill>
    </fill>
    <fill>
      <patternFill patternType="solid">
        <fgColor indexed="62"/>
        <bgColor indexed="64"/>
      </patternFill>
    </fill>
    <fill>
      <patternFill patternType="gray125">
        <bgColor indexed="41"/>
      </patternFill>
    </fill>
    <fill>
      <patternFill patternType="gray125">
        <bgColor indexed="42"/>
      </patternFill>
    </fill>
    <fill>
      <patternFill patternType="solid">
        <fgColor indexed="65"/>
        <bgColor indexed="64"/>
      </patternFill>
    </fill>
    <fill>
      <patternFill patternType="gray125">
        <bgColor indexed="31"/>
      </patternFill>
    </fill>
    <fill>
      <patternFill patternType="solid">
        <fgColor indexed="47"/>
        <bgColor indexed="64"/>
      </patternFill>
    </fill>
    <fill>
      <patternFill patternType="gray125">
        <bgColor indexed="44"/>
      </patternFill>
    </fill>
    <fill>
      <patternFill patternType="gray125">
        <bgColor indexed="22"/>
      </patternFill>
    </fill>
    <fill>
      <patternFill patternType="solid">
        <fgColor indexed="51"/>
        <bgColor indexed="64"/>
      </patternFill>
    </fill>
    <fill>
      <patternFill patternType="solid">
        <fgColor indexed="31"/>
        <bgColor indexed="44"/>
      </patternFill>
    </fill>
    <fill>
      <patternFill patternType="solid">
        <fgColor indexed="22"/>
        <bgColor indexed="42"/>
      </patternFill>
    </fill>
    <fill>
      <patternFill patternType="gray125">
        <bgColor indexed="43"/>
      </patternFill>
    </fill>
    <fill>
      <patternFill patternType="solid">
        <fgColor indexed="13"/>
        <bgColor indexed="64"/>
      </patternFill>
    </fill>
    <fill>
      <patternFill patternType="solid">
        <fgColor indexed="10"/>
        <bgColor indexed="64"/>
      </patternFill>
    </fill>
    <fill>
      <patternFill patternType="solid">
        <fgColor indexed="53"/>
        <bgColor indexed="64"/>
      </patternFill>
    </fill>
    <fill>
      <patternFill patternType="solid">
        <fgColor indexed="31"/>
        <bgColor indexed="8"/>
      </patternFill>
    </fill>
    <fill>
      <patternFill patternType="solid">
        <fgColor rgb="FFFFFFCC"/>
      </patternFill>
    </fill>
    <fill>
      <patternFill patternType="solid">
        <fgColor rgb="FFFFFF00"/>
        <bgColor indexed="64"/>
      </patternFill>
    </fill>
    <fill>
      <patternFill patternType="solid">
        <fgColor theme="6" tint="0.79998168889431442"/>
        <bgColor indexed="64"/>
      </patternFill>
    </fill>
    <fill>
      <patternFill patternType="solid">
        <fgColor rgb="FFFF0000"/>
        <bgColor indexed="64"/>
      </patternFill>
    </fill>
    <fill>
      <patternFill patternType="solid">
        <fgColor theme="0"/>
        <bgColor indexed="64"/>
      </patternFill>
    </fill>
    <fill>
      <patternFill patternType="solid">
        <fgColor theme="9" tint="-0.249977111117893"/>
        <bgColor indexed="64"/>
      </patternFill>
    </fill>
    <fill>
      <patternFill patternType="solid">
        <fgColor rgb="FFFFC000"/>
        <bgColor indexed="64"/>
      </patternFill>
    </fill>
  </fills>
  <borders count="160">
    <border>
      <left/>
      <right/>
      <top/>
      <bottom/>
      <diagonal/>
    </border>
    <border>
      <left/>
      <right/>
      <top style="double">
        <color indexed="8"/>
      </top>
      <bottom/>
      <diagonal/>
    </border>
    <border>
      <left style="thin">
        <color indexed="64"/>
      </left>
      <right/>
      <top/>
      <bottom/>
      <diagonal/>
    </border>
    <border>
      <left/>
      <right/>
      <top/>
      <bottom style="medium">
        <color indexed="64"/>
      </bottom>
      <diagonal/>
    </border>
    <border>
      <left/>
      <right/>
      <top/>
      <bottom style="thin">
        <color indexed="8"/>
      </bottom>
      <diagonal/>
    </border>
    <border>
      <left/>
      <right/>
      <top style="double">
        <color indexed="0"/>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style="medium">
        <color indexed="64"/>
      </top>
      <bottom style="thin">
        <color indexed="64"/>
      </bottom>
      <diagonal/>
    </border>
    <border>
      <left style="medium">
        <color indexed="64"/>
      </left>
      <right/>
      <top style="thin">
        <color indexed="64"/>
      </top>
      <bottom style="hair">
        <color indexed="64"/>
      </bottom>
      <diagonal/>
    </border>
    <border>
      <left/>
      <right style="medium">
        <color indexed="64"/>
      </right>
      <top style="thin">
        <color indexed="64"/>
      </top>
      <bottom style="hair">
        <color indexed="64"/>
      </bottom>
      <diagonal/>
    </border>
    <border>
      <left style="medium">
        <color indexed="64"/>
      </left>
      <right style="medium">
        <color indexed="64"/>
      </right>
      <top style="thin">
        <color indexed="64"/>
      </top>
      <bottom style="hair">
        <color indexed="64"/>
      </bottom>
      <diagonal/>
    </border>
    <border>
      <left style="medium">
        <color indexed="64"/>
      </left>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style="hair">
        <color indexed="64"/>
      </top>
      <bottom style="hair">
        <color indexed="64"/>
      </bottom>
      <diagonal/>
    </border>
    <border>
      <left/>
      <right/>
      <top style="thin">
        <color indexed="64"/>
      </top>
      <bottom/>
      <diagonal/>
    </border>
    <border>
      <left style="medium">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bottom style="medium">
        <color indexed="64"/>
      </bottom>
      <diagonal/>
    </border>
    <border>
      <left style="thin">
        <color indexed="64"/>
      </left>
      <right/>
      <top/>
      <bottom style="medium">
        <color indexed="64"/>
      </bottom>
      <diagonal/>
    </border>
    <border>
      <left style="thin">
        <color indexed="64"/>
      </left>
      <right style="medium">
        <color indexed="64"/>
      </right>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medium">
        <color indexed="64"/>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style="thin">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thin">
        <color indexed="64"/>
      </top>
      <bottom/>
      <diagonal/>
    </border>
    <border>
      <left/>
      <right style="medium">
        <color indexed="64"/>
      </right>
      <top/>
      <bottom/>
      <diagonal/>
    </border>
    <border>
      <left/>
      <right style="medium">
        <color indexed="64"/>
      </right>
      <top/>
      <bottom style="thin">
        <color indexed="64"/>
      </bottom>
      <diagonal/>
    </border>
    <border>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diagonal/>
    </border>
    <border>
      <left/>
      <right style="thin">
        <color indexed="64"/>
      </right>
      <top/>
      <bottom style="medium">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medium">
        <color indexed="64"/>
      </top>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right/>
      <top style="thin">
        <color indexed="64"/>
      </top>
      <bottom style="hair">
        <color indexed="64"/>
      </bottom>
      <diagonal/>
    </border>
    <border>
      <left/>
      <right/>
      <top style="hair">
        <color indexed="64"/>
      </top>
      <bottom style="hair">
        <color indexed="64"/>
      </bottom>
      <diagonal/>
    </border>
    <border>
      <left style="thin">
        <color indexed="44"/>
      </left>
      <right style="thin">
        <color indexed="44"/>
      </right>
      <top style="thin">
        <color indexed="44"/>
      </top>
      <bottom/>
      <diagonal/>
    </border>
    <border>
      <left style="thin">
        <color indexed="12"/>
      </left>
      <right/>
      <top style="thin">
        <color indexed="12"/>
      </top>
      <bottom/>
      <diagonal/>
    </border>
    <border>
      <left style="thin">
        <color indexed="12"/>
      </left>
      <right style="thin">
        <color indexed="12"/>
      </right>
      <top style="thin">
        <color indexed="12"/>
      </top>
      <bottom/>
      <diagonal/>
    </border>
    <border>
      <left style="thin">
        <color indexed="12"/>
      </left>
      <right style="thin">
        <color indexed="12"/>
      </right>
      <top/>
      <bottom/>
      <diagonal/>
    </border>
    <border>
      <left style="thin">
        <color indexed="12"/>
      </left>
      <right/>
      <top/>
      <bottom/>
      <diagonal/>
    </border>
    <border>
      <left/>
      <right style="thin">
        <color indexed="12"/>
      </right>
      <top/>
      <bottom/>
      <diagonal/>
    </border>
    <border>
      <left style="medium">
        <color indexed="12"/>
      </left>
      <right style="medium">
        <color indexed="12"/>
      </right>
      <top/>
      <bottom/>
      <diagonal/>
    </border>
    <border>
      <left style="medium">
        <color indexed="12"/>
      </left>
      <right style="medium">
        <color indexed="12"/>
      </right>
      <top/>
      <bottom style="medium">
        <color indexed="12"/>
      </bottom>
      <diagonal/>
    </border>
    <border>
      <left/>
      <right/>
      <top/>
      <bottom style="thin">
        <color indexed="12"/>
      </bottom>
      <diagonal/>
    </border>
    <border>
      <left/>
      <right/>
      <top style="thin">
        <color indexed="12"/>
      </top>
      <bottom style="thin">
        <color indexed="12"/>
      </bottom>
      <diagonal/>
    </border>
    <border>
      <left style="medium">
        <color indexed="12"/>
      </left>
      <right style="medium">
        <color indexed="12"/>
      </right>
      <top style="medium">
        <color indexed="12"/>
      </top>
      <bottom/>
      <diagonal/>
    </border>
    <border>
      <left style="thin">
        <color indexed="12"/>
      </left>
      <right style="thin">
        <color indexed="12"/>
      </right>
      <top/>
      <bottom style="thin">
        <color indexed="12"/>
      </bottom>
      <diagonal/>
    </border>
    <border>
      <left style="thin">
        <color indexed="12"/>
      </left>
      <right style="thin">
        <color indexed="12"/>
      </right>
      <top style="thin">
        <color indexed="12"/>
      </top>
      <bottom style="thin">
        <color indexed="12"/>
      </bottom>
      <diagonal/>
    </border>
    <border>
      <left/>
      <right/>
      <top style="thin">
        <color indexed="12"/>
      </top>
      <bottom/>
      <diagonal/>
    </border>
    <border>
      <left style="thin">
        <color indexed="12"/>
      </left>
      <right/>
      <top/>
      <bottom style="thin">
        <color indexed="12"/>
      </bottom>
      <diagonal/>
    </border>
    <border>
      <left style="thin">
        <color indexed="12"/>
      </left>
      <right/>
      <top style="thin">
        <color indexed="12"/>
      </top>
      <bottom style="thin">
        <color indexed="12"/>
      </bottom>
      <diagonal/>
    </border>
    <border>
      <left style="thin">
        <color indexed="17"/>
      </left>
      <right/>
      <top style="thin">
        <color indexed="17"/>
      </top>
      <bottom/>
      <diagonal/>
    </border>
    <border>
      <left/>
      <right/>
      <top style="thin">
        <color indexed="17"/>
      </top>
      <bottom/>
      <diagonal/>
    </border>
    <border>
      <left style="thin">
        <color indexed="17"/>
      </left>
      <right/>
      <top/>
      <bottom style="thin">
        <color indexed="17"/>
      </bottom>
      <diagonal/>
    </border>
    <border>
      <left/>
      <right/>
      <top/>
      <bottom style="thin">
        <color indexed="17"/>
      </bottom>
      <diagonal/>
    </border>
    <border>
      <left style="thin">
        <color indexed="57"/>
      </left>
      <right/>
      <top/>
      <bottom/>
      <diagonal/>
    </border>
    <border>
      <left style="thin">
        <color indexed="57"/>
      </left>
      <right/>
      <top style="thin">
        <color indexed="57"/>
      </top>
      <bottom style="thin">
        <color indexed="57"/>
      </bottom>
      <diagonal/>
    </border>
    <border>
      <left/>
      <right/>
      <top style="thin">
        <color indexed="57"/>
      </top>
      <bottom style="thin">
        <color indexed="57"/>
      </bottom>
      <diagonal/>
    </border>
    <border>
      <left style="thin">
        <color indexed="57"/>
      </left>
      <right/>
      <top style="thin">
        <color indexed="57"/>
      </top>
      <bottom/>
      <diagonal/>
    </border>
    <border>
      <left/>
      <right/>
      <top style="thin">
        <color indexed="57"/>
      </top>
      <bottom/>
      <diagonal/>
    </border>
    <border>
      <left style="thin">
        <color indexed="17"/>
      </left>
      <right/>
      <top style="thin">
        <color indexed="17"/>
      </top>
      <bottom style="thin">
        <color indexed="17"/>
      </bottom>
      <diagonal/>
    </border>
    <border>
      <left/>
      <right/>
      <top style="thin">
        <color indexed="17"/>
      </top>
      <bottom style="thin">
        <color indexed="17"/>
      </bottom>
      <diagonal/>
    </border>
    <border>
      <left style="thin">
        <color indexed="17"/>
      </left>
      <right/>
      <top/>
      <bottom/>
      <diagonal/>
    </border>
    <border>
      <left style="thin">
        <color indexed="8"/>
      </left>
      <right/>
      <top style="thin">
        <color indexed="8"/>
      </top>
      <bottom/>
      <diagonal/>
    </border>
    <border>
      <left/>
      <right/>
      <top style="thin">
        <color indexed="8"/>
      </top>
      <bottom/>
      <diagonal/>
    </border>
    <border>
      <left style="thin">
        <color indexed="8"/>
      </left>
      <right/>
      <top/>
      <bottom style="thin">
        <color indexed="8"/>
      </bottom>
      <diagonal/>
    </border>
    <border>
      <left style="thin">
        <color indexed="57"/>
      </left>
      <right/>
      <top/>
      <bottom style="thin">
        <color indexed="17"/>
      </bottom>
      <diagonal/>
    </border>
    <border>
      <left style="thin">
        <color indexed="8"/>
      </left>
      <right/>
      <top/>
      <bottom/>
      <diagonal/>
    </border>
    <border>
      <left style="thin">
        <color indexed="8"/>
      </left>
      <right/>
      <top style="thin">
        <color indexed="8"/>
      </top>
      <bottom style="thin">
        <color indexed="64"/>
      </bottom>
      <diagonal/>
    </border>
    <border>
      <left/>
      <right/>
      <top style="thin">
        <color indexed="8"/>
      </top>
      <bottom style="thin">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top/>
      <bottom style="thin">
        <color indexed="9"/>
      </bottom>
      <diagonal/>
    </border>
    <border>
      <left/>
      <right/>
      <top style="thin">
        <color indexed="9"/>
      </top>
      <bottom style="thin">
        <color indexed="9"/>
      </bottom>
      <diagonal/>
    </border>
    <border>
      <left/>
      <right/>
      <top style="thin">
        <color indexed="9"/>
      </top>
      <bottom/>
      <diagonal/>
    </border>
    <border>
      <left/>
      <right style="thin">
        <color indexed="12"/>
      </right>
      <top/>
      <bottom style="thin">
        <color indexed="12"/>
      </bottom>
      <diagonal/>
    </border>
    <border>
      <left/>
      <right style="thin">
        <color indexed="12"/>
      </right>
      <top style="thin">
        <color indexed="12"/>
      </top>
      <bottom/>
      <diagonal/>
    </border>
    <border>
      <left style="thin">
        <color indexed="41"/>
      </left>
      <right style="thin">
        <color indexed="41"/>
      </right>
      <top style="thin">
        <color indexed="41"/>
      </top>
      <bottom style="thin">
        <color indexed="12"/>
      </bottom>
      <diagonal/>
    </border>
    <border>
      <left style="thin">
        <color indexed="41"/>
      </left>
      <right style="thin">
        <color indexed="41"/>
      </right>
      <top style="thin">
        <color indexed="41"/>
      </top>
      <bottom/>
      <diagonal/>
    </border>
    <border>
      <left style="thin">
        <color indexed="12"/>
      </left>
      <right style="thin">
        <color indexed="41"/>
      </right>
      <top style="thin">
        <color indexed="41"/>
      </top>
      <bottom style="thin">
        <color indexed="12"/>
      </bottom>
      <diagonal/>
    </border>
    <border>
      <left style="thin">
        <color indexed="12"/>
      </left>
      <right style="thin">
        <color indexed="41"/>
      </right>
      <top style="thin">
        <color indexed="41"/>
      </top>
      <bottom/>
      <diagonal/>
    </border>
    <border>
      <left/>
      <right style="thin">
        <color indexed="12"/>
      </right>
      <top style="thin">
        <color indexed="12"/>
      </top>
      <bottom style="thin">
        <color indexed="12"/>
      </bottom>
      <diagonal/>
    </border>
    <border>
      <left style="thin">
        <color indexed="48"/>
      </left>
      <right/>
      <top style="thin">
        <color indexed="48"/>
      </top>
      <bottom/>
      <diagonal/>
    </border>
    <border>
      <left/>
      <right/>
      <top style="thin">
        <color indexed="48"/>
      </top>
      <bottom/>
      <diagonal/>
    </border>
    <border>
      <left style="thin">
        <color indexed="48"/>
      </left>
      <right/>
      <top/>
      <bottom style="thin">
        <color indexed="48"/>
      </bottom>
      <diagonal/>
    </border>
    <border>
      <left/>
      <right/>
      <top/>
      <bottom style="thin">
        <color indexed="48"/>
      </bottom>
      <diagonal/>
    </border>
    <border>
      <left style="medium">
        <color indexed="64"/>
      </left>
      <right/>
      <top/>
      <bottom style="hair">
        <color indexed="64"/>
      </bottom>
      <diagonal/>
    </border>
    <border>
      <left/>
      <right style="medium">
        <color indexed="64"/>
      </right>
      <top/>
      <bottom style="hair">
        <color indexed="64"/>
      </bottom>
      <diagonal/>
    </border>
    <border>
      <left style="medium">
        <color indexed="64"/>
      </left>
      <right style="medium">
        <color indexed="64"/>
      </right>
      <top/>
      <bottom style="hair">
        <color indexed="64"/>
      </bottom>
      <diagonal/>
    </border>
    <border>
      <left/>
      <right/>
      <top/>
      <bottom style="hair">
        <color indexed="64"/>
      </bottom>
      <diagonal/>
    </border>
    <border>
      <left/>
      <right style="thin">
        <color indexed="17"/>
      </right>
      <top/>
      <bottom style="thin">
        <color indexed="57"/>
      </bottom>
      <diagonal/>
    </border>
    <border>
      <left style="thin">
        <color indexed="17"/>
      </left>
      <right/>
      <top/>
      <bottom style="thin">
        <color indexed="57"/>
      </bottom>
      <diagonal/>
    </border>
    <border>
      <left style="thin">
        <color indexed="8"/>
      </left>
      <right/>
      <top/>
      <bottom style="thin">
        <color indexed="64"/>
      </bottom>
      <diagonal/>
    </border>
    <border>
      <left/>
      <right style="thin">
        <color indexed="57"/>
      </right>
      <top/>
      <bottom/>
      <diagonal/>
    </border>
    <border>
      <left style="thin">
        <color indexed="57"/>
      </left>
      <right/>
      <top/>
      <bottom style="thin">
        <color indexed="57"/>
      </bottom>
      <diagonal/>
    </border>
    <border>
      <left/>
      <right style="thin">
        <color indexed="17"/>
      </right>
      <top style="thin">
        <color indexed="17"/>
      </top>
      <bottom style="thin">
        <color indexed="17"/>
      </bottom>
      <diagonal/>
    </border>
    <border>
      <left/>
      <right/>
      <top/>
      <bottom style="thin">
        <color indexed="57"/>
      </bottom>
      <diagonal/>
    </border>
    <border>
      <left style="thin">
        <color indexed="17"/>
      </left>
      <right style="thin">
        <color indexed="17"/>
      </right>
      <top style="thin">
        <color indexed="17"/>
      </top>
      <bottom style="thin">
        <color indexed="17"/>
      </bottom>
      <diagonal/>
    </border>
    <border>
      <left style="thin">
        <color indexed="17"/>
      </left>
      <right style="thin">
        <color indexed="17"/>
      </right>
      <top/>
      <bottom style="thin">
        <color indexed="17"/>
      </bottom>
      <diagonal/>
    </border>
    <border>
      <left/>
      <right style="thin">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style="thin">
        <color indexed="64"/>
      </right>
      <top/>
      <bottom/>
      <diagonal/>
    </border>
    <border>
      <left/>
      <right style="thin">
        <color indexed="9"/>
      </right>
      <top/>
      <bottom/>
      <diagonal/>
    </border>
    <border>
      <left style="medium">
        <color indexed="10"/>
      </left>
      <right style="medium">
        <color indexed="10"/>
      </right>
      <top style="medium">
        <color indexed="10"/>
      </top>
      <bottom style="medium">
        <color indexed="10"/>
      </bottom>
      <diagonal/>
    </border>
    <border>
      <left/>
      <right style="medium">
        <color indexed="64"/>
      </right>
      <top style="medium">
        <color indexed="64"/>
      </top>
      <bottom style="thin">
        <color indexed="64"/>
      </bottom>
      <diagonal/>
    </border>
    <border>
      <left style="medium">
        <color indexed="42"/>
      </left>
      <right style="medium">
        <color indexed="42"/>
      </right>
      <top style="medium">
        <color indexed="42"/>
      </top>
      <bottom style="medium">
        <color indexed="42"/>
      </bottom>
      <diagonal/>
    </border>
    <border>
      <left style="thin">
        <color indexed="12"/>
      </left>
      <right/>
      <top style="thin">
        <color indexed="12"/>
      </top>
      <bottom style="thin">
        <color indexed="64"/>
      </bottom>
      <diagonal/>
    </border>
    <border>
      <left style="thin">
        <color rgb="FFB2B2B2"/>
      </left>
      <right style="thin">
        <color rgb="FFB2B2B2"/>
      </right>
      <top style="thin">
        <color rgb="FFB2B2B2"/>
      </top>
      <bottom style="thin">
        <color rgb="FFB2B2B2"/>
      </bottom>
      <diagonal/>
    </border>
    <border>
      <left/>
      <right/>
      <top/>
      <bottom style="thin">
        <color indexed="41"/>
      </bottom>
      <diagonal/>
    </border>
    <border>
      <left/>
      <right style="thin">
        <color indexed="41"/>
      </right>
      <top/>
      <bottom style="thin">
        <color indexed="41"/>
      </bottom>
      <diagonal/>
    </border>
    <border>
      <left style="thin">
        <color indexed="41"/>
      </left>
      <right/>
      <top style="thin">
        <color indexed="41"/>
      </top>
      <bottom/>
      <diagonal/>
    </border>
    <border>
      <left/>
      <right/>
      <top style="thin">
        <color indexed="41"/>
      </top>
      <bottom/>
      <diagonal/>
    </border>
    <border>
      <left/>
      <right style="thin">
        <color indexed="41"/>
      </right>
      <top style="thin">
        <color indexed="41"/>
      </top>
      <bottom/>
      <diagonal/>
    </border>
    <border>
      <left style="thin">
        <color indexed="41"/>
      </left>
      <right/>
      <top style="thin">
        <color indexed="12"/>
      </top>
      <bottom style="thin">
        <color indexed="41"/>
      </bottom>
      <diagonal/>
    </border>
    <border>
      <left/>
      <right/>
      <top style="thin">
        <color indexed="12"/>
      </top>
      <bottom style="thin">
        <color indexed="41"/>
      </bottom>
      <diagonal/>
    </border>
    <border>
      <left/>
      <right style="thin">
        <color indexed="41"/>
      </right>
      <top style="thin">
        <color indexed="12"/>
      </top>
      <bottom style="thin">
        <color indexed="41"/>
      </bottom>
      <diagonal/>
    </border>
    <border>
      <left style="thin">
        <color indexed="44"/>
      </left>
      <right/>
      <top style="thin">
        <color indexed="44"/>
      </top>
      <bottom style="thin">
        <color indexed="12"/>
      </bottom>
      <diagonal/>
    </border>
    <border>
      <left/>
      <right/>
      <top style="thin">
        <color indexed="44"/>
      </top>
      <bottom style="thin">
        <color indexed="12"/>
      </bottom>
      <diagonal/>
    </border>
    <border>
      <left/>
      <right style="thin">
        <color indexed="44"/>
      </right>
      <top style="thin">
        <color indexed="44"/>
      </top>
      <bottom style="thin">
        <color indexed="12"/>
      </bottom>
      <diagonal/>
    </border>
    <border>
      <left style="thin">
        <color indexed="44"/>
      </left>
      <right/>
      <top style="thin">
        <color indexed="44"/>
      </top>
      <bottom/>
      <diagonal/>
    </border>
    <border>
      <left/>
      <right/>
      <top style="thin">
        <color indexed="44"/>
      </top>
      <bottom/>
      <diagonal/>
    </border>
    <border>
      <left/>
      <right style="thin">
        <color indexed="44"/>
      </right>
      <top style="thin">
        <color indexed="44"/>
      </top>
      <bottom/>
      <diagonal/>
    </border>
    <border>
      <left style="thin">
        <color indexed="44"/>
      </left>
      <right/>
      <top/>
      <bottom style="thin">
        <color indexed="44"/>
      </bottom>
      <diagonal/>
    </border>
    <border>
      <left/>
      <right/>
      <top/>
      <bottom style="thin">
        <color indexed="44"/>
      </bottom>
      <diagonal/>
    </border>
    <border>
      <left/>
      <right style="thin">
        <color indexed="44"/>
      </right>
      <top/>
      <bottom style="thin">
        <color indexed="44"/>
      </bottom>
      <diagonal/>
    </border>
  </borders>
  <cellStyleXfs count="493">
    <xf numFmtId="0" fontId="0" fillId="0" borderId="0"/>
    <xf numFmtId="0" fontId="1" fillId="0" borderId="0" applyFont="0" applyFill="0" applyBorder="0" applyAlignment="0" applyProtection="0"/>
    <xf numFmtId="0" fontId="28" fillId="0" borderId="0" applyFont="0" applyFill="0" applyBorder="0" applyAlignment="0" applyProtection="0"/>
    <xf numFmtId="0" fontId="1" fillId="0" borderId="0" applyFont="0" applyFill="0" applyBorder="0" applyAlignment="0" applyProtection="0"/>
    <xf numFmtId="0" fontId="28" fillId="0" borderId="0" applyFont="0" applyFill="0" applyBorder="0" applyAlignment="0" applyProtection="0"/>
    <xf numFmtId="0" fontId="1" fillId="0" borderId="0" applyFont="0" applyFill="0" applyBorder="0" applyAlignment="0" applyProtection="0"/>
    <xf numFmtId="0" fontId="28" fillId="0" borderId="0" applyFont="0" applyFill="0" applyBorder="0" applyAlignment="0" applyProtection="0"/>
    <xf numFmtId="0" fontId="1" fillId="0" borderId="0" applyFont="0" applyFill="0" applyBorder="0" applyAlignment="0" applyProtection="0"/>
    <xf numFmtId="0" fontId="28" fillId="0" borderId="0" applyFont="0" applyFill="0" applyBorder="0" applyAlignment="0" applyProtection="0"/>
    <xf numFmtId="0" fontId="1" fillId="0" borderId="0" applyFont="0" applyFill="0" applyBorder="0" applyAlignment="0" applyProtection="0"/>
    <xf numFmtId="0" fontId="28" fillId="0" borderId="0" applyFont="0" applyFill="0" applyBorder="0" applyAlignment="0" applyProtection="0"/>
    <xf numFmtId="0" fontId="5" fillId="0" borderId="0">
      <alignment horizontal="left" vertical="center"/>
    </xf>
    <xf numFmtId="0" fontId="6" fillId="0" borderId="0">
      <alignment horizontal="right"/>
    </xf>
    <xf numFmtId="0" fontId="69" fillId="0" borderId="1" applyNumberFormat="0" applyFont="0" applyFill="0" applyAlignment="0" applyProtection="0"/>
    <xf numFmtId="165" fontId="28" fillId="0" borderId="0" applyFont="0" applyFill="0" applyBorder="0" applyAlignment="0" applyProtection="0"/>
    <xf numFmtId="165" fontId="28" fillId="0" borderId="0" applyFont="0" applyFill="0" applyBorder="0" applyAlignment="0" applyProtection="0"/>
    <xf numFmtId="172" fontId="7" fillId="2" borderId="0"/>
    <xf numFmtId="172" fontId="8" fillId="3" borderId="0"/>
    <xf numFmtId="0" fontId="69" fillId="0" borderId="0" applyFont="0" applyFill="0" applyBorder="0" applyAlignment="0" applyProtection="0"/>
    <xf numFmtId="14" fontId="28" fillId="0" borderId="0" applyFont="0" applyFill="0" applyBorder="0" applyAlignment="0" applyProtection="0"/>
    <xf numFmtId="178" fontId="1" fillId="0" borderId="0" applyBorder="0" applyProtection="0"/>
    <xf numFmtId="178" fontId="28" fillId="0" borderId="0" applyBorder="0" applyProtection="0"/>
    <xf numFmtId="0" fontId="5" fillId="0" borderId="0"/>
    <xf numFmtId="0" fontId="5" fillId="0" borderId="2"/>
    <xf numFmtId="171" fontId="8" fillId="6" borderId="0">
      <protection locked="0"/>
    </xf>
    <xf numFmtId="172" fontId="8" fillId="6" borderId="0">
      <protection locked="0"/>
    </xf>
    <xf numFmtId="0" fontId="9" fillId="0" borderId="0"/>
    <xf numFmtId="3" fontId="69" fillId="0" borderId="0" applyFont="0" applyFill="0" applyBorder="0" applyAlignment="0" applyProtection="0"/>
    <xf numFmtId="0" fontId="10" fillId="0" borderId="0" applyNumberFormat="0" applyFill="0" applyBorder="0" applyAlignment="0" applyProtection="0">
      <alignment vertical="top"/>
      <protection locked="0"/>
    </xf>
    <xf numFmtId="0" fontId="11" fillId="7" borderId="0" applyNumberFormat="0" applyFont="0" applyBorder="0" applyAlignment="0" applyProtection="0"/>
    <xf numFmtId="166" fontId="49" fillId="0" borderId="0"/>
    <xf numFmtId="0" fontId="12" fillId="0" borderId="0" applyNumberFormat="0" applyFill="0" applyBorder="0" applyAlignment="0" applyProtection="0">
      <alignment vertical="top"/>
      <protection locked="0"/>
    </xf>
    <xf numFmtId="0" fontId="13" fillId="0" borderId="0" applyNumberFormat="0" applyFill="0" applyBorder="0" applyAlignment="0" applyProtection="0">
      <alignment vertical="top"/>
      <protection locked="0"/>
    </xf>
    <xf numFmtId="0" fontId="13" fillId="0" borderId="0" applyNumberFormat="0" applyFill="0" applyBorder="0" applyAlignment="0" applyProtection="0">
      <alignment vertical="top"/>
      <protection locked="0"/>
    </xf>
    <xf numFmtId="0" fontId="156" fillId="0" borderId="0" applyNumberFormat="0" applyFill="0" applyBorder="0" applyAlignment="0" applyProtection="0"/>
    <xf numFmtId="0" fontId="150" fillId="0" borderId="0">
      <alignment vertical="center"/>
    </xf>
    <xf numFmtId="0" fontId="149" fillId="0" borderId="0">
      <alignment vertical="center"/>
    </xf>
    <xf numFmtId="3" fontId="28" fillId="0" borderId="0" applyFont="0" applyFill="0" applyBorder="0" applyAlignment="0" applyProtection="0"/>
    <xf numFmtId="0" fontId="154" fillId="0" borderId="0" applyNumberFormat="0" applyFont="0" applyFill="0" applyAlignment="0" applyProtection="0"/>
    <xf numFmtId="0" fontId="76" fillId="0" borderId="0" applyNumberFormat="0" applyFont="0" applyFill="0" applyAlignment="0" applyProtection="0"/>
    <xf numFmtId="0" fontId="115" fillId="0" borderId="0"/>
    <xf numFmtId="176" fontId="69" fillId="0" borderId="0" applyFont="0" applyFill="0" applyBorder="0" applyAlignment="0" applyProtection="0"/>
    <xf numFmtId="0" fontId="80" fillId="0" borderId="0"/>
    <xf numFmtId="0" fontId="28" fillId="0" borderId="0"/>
    <xf numFmtId="170" fontId="14" fillId="0" borderId="0">
      <alignment horizontal="center" vertical="center"/>
    </xf>
    <xf numFmtId="0" fontId="28"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28" fillId="0" borderId="0"/>
    <xf numFmtId="0" fontId="155" fillId="0" borderId="0"/>
    <xf numFmtId="0" fontId="28" fillId="0" borderId="0"/>
    <xf numFmtId="0" fontId="155" fillId="0" borderId="0"/>
    <xf numFmtId="0" fontId="155" fillId="0" borderId="0"/>
    <xf numFmtId="0" fontId="155" fillId="0" borderId="0"/>
    <xf numFmtId="0" fontId="28" fillId="0" borderId="0"/>
    <xf numFmtId="0" fontId="28" fillId="0" borderId="0"/>
    <xf numFmtId="0" fontId="28" fillId="0" borderId="0"/>
    <xf numFmtId="0" fontId="28" fillId="0" borderId="0"/>
    <xf numFmtId="0" fontId="28" fillId="0" borderId="0"/>
    <xf numFmtId="0" fontId="152" fillId="0" borderId="0"/>
    <xf numFmtId="0" fontId="28" fillId="0" borderId="0"/>
    <xf numFmtId="0" fontId="28" fillId="0" borderId="0"/>
    <xf numFmtId="0" fontId="157"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93"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158"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8"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28" fillId="0" borderId="0"/>
    <xf numFmtId="0" fontId="152"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28" fillId="0" borderId="0"/>
    <xf numFmtId="0" fontId="158" fillId="0" borderId="0"/>
    <xf numFmtId="0" fontId="28"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28"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35" fillId="0" borderId="0"/>
    <xf numFmtId="0" fontId="15" fillId="0" borderId="0"/>
    <xf numFmtId="166" fontId="1" fillId="0" borderId="0"/>
    <xf numFmtId="166" fontId="28" fillId="0" borderId="0"/>
    <xf numFmtId="0" fontId="70" fillId="0" borderId="0"/>
    <xf numFmtId="0" fontId="5" fillId="0" borderId="2"/>
    <xf numFmtId="0" fontId="130" fillId="42" borderId="142" applyNumberFormat="0" applyFont="0" applyAlignment="0" applyProtection="0"/>
    <xf numFmtId="0" fontId="151" fillId="42" borderId="142" applyNumberFormat="0" applyFont="0" applyAlignment="0" applyProtection="0"/>
    <xf numFmtId="0" fontId="151" fillId="42" borderId="142" applyNumberFormat="0" applyFont="0" applyAlignment="0" applyProtection="0"/>
    <xf numFmtId="0" fontId="151" fillId="42" borderId="142" applyNumberFormat="0" applyFont="0" applyAlignment="0" applyProtection="0"/>
    <xf numFmtId="0" fontId="151" fillId="42" borderId="142" applyNumberFormat="0" applyFont="0" applyAlignment="0" applyProtection="0"/>
    <xf numFmtId="0" fontId="151" fillId="42" borderId="142" applyNumberFormat="0" applyFont="0" applyAlignment="0" applyProtection="0"/>
    <xf numFmtId="0" fontId="151" fillId="42" borderId="142" applyNumberFormat="0" applyFont="0" applyAlignment="0" applyProtection="0"/>
    <xf numFmtId="0" fontId="151" fillId="42" borderId="142" applyNumberFormat="0" applyFont="0" applyAlignment="0" applyProtection="0"/>
    <xf numFmtId="0" fontId="151" fillId="42" borderId="142" applyNumberFormat="0" applyFont="0" applyAlignment="0" applyProtection="0"/>
    <xf numFmtId="0" fontId="151" fillId="42" borderId="142" applyNumberFormat="0" applyFont="0" applyAlignment="0" applyProtection="0"/>
    <xf numFmtId="0" fontId="151" fillId="42" borderId="142" applyNumberFormat="0" applyFont="0" applyAlignment="0" applyProtection="0"/>
    <xf numFmtId="0" fontId="151" fillId="42" borderId="142" applyNumberFormat="0" applyFont="0" applyAlignment="0" applyProtection="0"/>
    <xf numFmtId="0" fontId="151" fillId="42" borderId="142" applyNumberFormat="0" applyFont="0" applyAlignment="0" applyProtection="0"/>
    <xf numFmtId="0" fontId="151" fillId="42" borderId="142" applyNumberFormat="0" applyFont="0" applyAlignment="0" applyProtection="0"/>
    <xf numFmtId="0" fontId="151" fillId="42" borderId="142" applyNumberFormat="0" applyFont="0" applyAlignment="0" applyProtection="0"/>
    <xf numFmtId="0" fontId="151" fillId="42" borderId="142" applyNumberFormat="0" applyFont="0" applyAlignment="0" applyProtection="0"/>
    <xf numFmtId="0" fontId="151" fillId="42" borderId="142" applyNumberFormat="0" applyFont="0" applyAlignment="0" applyProtection="0"/>
    <xf numFmtId="0" fontId="151" fillId="42" borderId="142" applyNumberFormat="0" applyFont="0" applyAlignment="0" applyProtection="0"/>
    <xf numFmtId="0" fontId="151" fillId="42" borderId="142" applyNumberFormat="0" applyFont="0" applyAlignment="0" applyProtection="0"/>
    <xf numFmtId="0" fontId="151" fillId="42" borderId="142" applyNumberFormat="0" applyFont="0" applyAlignment="0" applyProtection="0"/>
    <xf numFmtId="0" fontId="151" fillId="42" borderId="142" applyNumberFormat="0" applyFont="0" applyAlignment="0" applyProtection="0"/>
    <xf numFmtId="0" fontId="151" fillId="42" borderId="142" applyNumberFormat="0" applyFont="0" applyAlignment="0" applyProtection="0"/>
    <xf numFmtId="0" fontId="151" fillId="42" borderId="142" applyNumberFormat="0" applyFont="0" applyAlignment="0" applyProtection="0"/>
    <xf numFmtId="0" fontId="151" fillId="42" borderId="142" applyNumberFormat="0" applyFont="0" applyAlignment="0" applyProtection="0"/>
    <xf numFmtId="0" fontId="151" fillId="42" borderId="142" applyNumberFormat="0" applyFont="0" applyAlignment="0" applyProtection="0"/>
    <xf numFmtId="0" fontId="151" fillId="42" borderId="142" applyNumberFormat="0" applyFont="0" applyAlignment="0" applyProtection="0"/>
    <xf numFmtId="0" fontId="151" fillId="42" borderId="142" applyNumberFormat="0" applyFont="0" applyAlignment="0" applyProtection="0"/>
    <xf numFmtId="0" fontId="151" fillId="42" borderId="142" applyNumberFormat="0" applyFont="0" applyAlignment="0" applyProtection="0"/>
    <xf numFmtId="0" fontId="151" fillId="42" borderId="142" applyNumberFormat="0" applyFont="0" applyAlignment="0" applyProtection="0"/>
    <xf numFmtId="0" fontId="151" fillId="42" borderId="142" applyNumberFormat="0" applyFont="0" applyAlignment="0" applyProtection="0"/>
    <xf numFmtId="0" fontId="151" fillId="42" borderId="142" applyNumberFormat="0" applyFont="0" applyAlignment="0" applyProtection="0"/>
    <xf numFmtId="0" fontId="151" fillId="42" borderId="142" applyNumberFormat="0" applyFont="0" applyAlignment="0" applyProtection="0"/>
    <xf numFmtId="0" fontId="151" fillId="42" borderId="142" applyNumberFormat="0" applyFont="0" applyAlignment="0" applyProtection="0"/>
    <xf numFmtId="0" fontId="151" fillId="42" borderId="142" applyNumberFormat="0" applyFont="0" applyAlignment="0" applyProtection="0"/>
    <xf numFmtId="0" fontId="151" fillId="42" borderId="142" applyNumberFormat="0" applyFont="0" applyAlignment="0" applyProtection="0"/>
    <xf numFmtId="0" fontId="151" fillId="42" borderId="142" applyNumberFormat="0" applyFont="0" applyAlignment="0" applyProtection="0"/>
    <xf numFmtId="0" fontId="151" fillId="42" borderId="142" applyNumberFormat="0" applyFont="0" applyAlignment="0" applyProtection="0"/>
    <xf numFmtId="0" fontId="151" fillId="42" borderId="142" applyNumberFormat="0" applyFont="0" applyAlignment="0" applyProtection="0"/>
    <xf numFmtId="0" fontId="16" fillId="0" borderId="0"/>
    <xf numFmtId="0" fontId="17" fillId="0" borderId="0"/>
    <xf numFmtId="9" fontId="1" fillId="0" borderId="0" applyFont="0" applyFill="0" applyBorder="0" applyAlignment="0" applyProtection="0"/>
    <xf numFmtId="9" fontId="28" fillId="0" borderId="0" applyFont="0" applyFill="0" applyBorder="0" applyAlignment="0" applyProtection="0"/>
    <xf numFmtId="9" fontId="28" fillId="0" borderId="0" applyFont="0" applyFill="0" applyBorder="0" applyAlignment="0" applyProtection="0"/>
    <xf numFmtId="9" fontId="28" fillId="0" borderId="0" applyFont="0" applyFill="0" applyBorder="0" applyAlignment="0" applyProtection="0"/>
    <xf numFmtId="9" fontId="28" fillId="0" borderId="0" applyFont="0" applyFill="0" applyBorder="0" applyAlignment="0" applyProtection="0"/>
    <xf numFmtId="9" fontId="151" fillId="0" borderId="0" applyFont="0" applyFill="0" applyBorder="0" applyAlignment="0" applyProtection="0"/>
    <xf numFmtId="9" fontId="151" fillId="0" borderId="0" applyFont="0" applyFill="0" applyBorder="0" applyAlignment="0" applyProtection="0"/>
    <xf numFmtId="9" fontId="28" fillId="0" borderId="0" applyFont="0" applyFill="0" applyBorder="0" applyAlignment="0" applyProtection="0"/>
    <xf numFmtId="9" fontId="28" fillId="0" borderId="0" applyFont="0" applyFill="0" applyBorder="0" applyAlignment="0" applyProtection="0"/>
    <xf numFmtId="9" fontId="28" fillId="0" borderId="0" applyFont="0" applyFill="0" applyBorder="0" applyAlignment="0" applyProtection="0"/>
    <xf numFmtId="9" fontId="152" fillId="0" borderId="0" applyFont="0" applyFill="0" applyBorder="0" applyAlignment="0" applyProtection="0"/>
    <xf numFmtId="9" fontId="28" fillId="0" borderId="0" applyFont="0" applyFill="0" applyBorder="0" applyAlignment="0" applyProtection="0"/>
    <xf numFmtId="9" fontId="28" fillId="0" borderId="0" applyFont="0" applyFill="0" applyBorder="0" applyAlignment="0" applyProtection="0"/>
    <xf numFmtId="9" fontId="28" fillId="0" borderId="0" applyFont="0" applyFill="0" applyBorder="0" applyAlignment="0" applyProtection="0"/>
    <xf numFmtId="9" fontId="28" fillId="0" borderId="0" applyFont="0" applyFill="0" applyBorder="0" applyAlignment="0" applyProtection="0"/>
    <xf numFmtId="9" fontId="28" fillId="0" borderId="0" applyFont="0" applyFill="0" applyBorder="0" applyAlignment="0" applyProtection="0"/>
    <xf numFmtId="9" fontId="28" fillId="0" borderId="0" applyFont="0" applyFill="0" applyBorder="0" applyAlignment="0" applyProtection="0"/>
    <xf numFmtId="9" fontId="28" fillId="0" borderId="0" applyFont="0" applyFill="0" applyBorder="0" applyAlignment="0" applyProtection="0"/>
    <xf numFmtId="2" fontId="69" fillId="0" borderId="0" applyFont="0" applyFill="0" applyBorder="0" applyAlignment="0" applyProtection="0"/>
    <xf numFmtId="9" fontId="1" fillId="0" borderId="0" applyFont="0" applyFill="0" applyProtection="0"/>
    <xf numFmtId="0" fontId="18" fillId="0" borderId="0"/>
    <xf numFmtId="0" fontId="19" fillId="0" borderId="0"/>
    <xf numFmtId="0" fontId="20" fillId="0" borderId="0"/>
    <xf numFmtId="0" fontId="5" fillId="0" borderId="3">
      <alignment horizontal="right" vertical="center"/>
    </xf>
    <xf numFmtId="172" fontId="8" fillId="8" borderId="0"/>
    <xf numFmtId="184" fontId="153" fillId="0" borderId="0"/>
    <xf numFmtId="0" fontId="21" fillId="0" borderId="0"/>
    <xf numFmtId="0" fontId="1" fillId="0" borderId="0" applyFont="0" applyFill="0" applyBorder="0" applyAlignment="0" applyProtection="0"/>
    <xf numFmtId="0" fontId="28" fillId="0" borderId="0" applyFont="0" applyFill="0" applyBorder="0" applyAlignment="0" applyProtection="0"/>
    <xf numFmtId="0" fontId="9" fillId="0" borderId="0"/>
    <xf numFmtId="0" fontId="22" fillId="0" borderId="0"/>
    <xf numFmtId="0" fontId="19" fillId="0" borderId="0"/>
    <xf numFmtId="0" fontId="20" fillId="0" borderId="0"/>
    <xf numFmtId="0" fontId="23" fillId="0" borderId="0"/>
    <xf numFmtId="170" fontId="24" fillId="5" borderId="4">
      <alignment vertical="center"/>
    </xf>
    <xf numFmtId="0" fontId="25" fillId="0" borderId="0"/>
    <xf numFmtId="0" fontId="28" fillId="0" borderId="5" applyNumberFormat="0" applyFont="0" applyBorder="0" applyAlignment="0" applyProtection="0"/>
    <xf numFmtId="170" fontId="26" fillId="4" borderId="0">
      <alignment horizontal="center" vertical="center"/>
    </xf>
    <xf numFmtId="0" fontId="27" fillId="0" borderId="0" applyFont="0" applyFill="0" applyBorder="0" applyAlignment="0" applyProtection="0"/>
    <xf numFmtId="0" fontId="27" fillId="0" borderId="0" applyFont="0" applyFill="0" applyBorder="0" applyAlignment="0" applyProtection="0"/>
    <xf numFmtId="0" fontId="27" fillId="0" borderId="0" applyFont="0" applyFill="0" applyBorder="0" applyAlignment="0" applyProtection="0"/>
    <xf numFmtId="183" fontId="28" fillId="0" borderId="0" applyFont="0" applyFill="0" applyBorder="0" applyAlignment="0" applyProtection="0"/>
    <xf numFmtId="183" fontId="28" fillId="0" borderId="0" applyFont="0" applyFill="0" applyBorder="0" applyAlignment="0" applyProtection="0"/>
    <xf numFmtId="183" fontId="28" fillId="0" borderId="0" applyFont="0" applyFill="0" applyBorder="0" applyAlignment="0" applyProtection="0"/>
    <xf numFmtId="183" fontId="28" fillId="0" borderId="0" applyFont="0" applyFill="0" applyBorder="0" applyAlignment="0" applyProtection="0"/>
    <xf numFmtId="185" fontId="28" fillId="0" borderId="0" applyFont="0" applyFill="0" applyBorder="0" applyAlignment="0" applyProtection="0"/>
    <xf numFmtId="183" fontId="28" fillId="0" borderId="0" applyFont="0" applyFill="0" applyBorder="0" applyAlignment="0" applyProtection="0"/>
    <xf numFmtId="185" fontId="28" fillId="0" borderId="0" applyFont="0" applyFill="0" applyBorder="0" applyAlignment="0" applyProtection="0"/>
    <xf numFmtId="185" fontId="28" fillId="0" borderId="0" applyFont="0" applyFill="0" applyBorder="0" applyAlignment="0" applyProtection="0"/>
    <xf numFmtId="183" fontId="28" fillId="0" borderId="0" applyFont="0" applyFill="0" applyBorder="0" applyAlignment="0" applyProtection="0"/>
    <xf numFmtId="183" fontId="28" fillId="0" borderId="0" applyFont="0" applyFill="0" applyBorder="0" applyAlignment="0" applyProtection="0"/>
    <xf numFmtId="185" fontId="28" fillId="0" borderId="0" applyFont="0" applyFill="0" applyBorder="0" applyAlignment="0" applyProtection="0"/>
    <xf numFmtId="183" fontId="28" fillId="0" borderId="0" applyFont="0" applyFill="0" applyBorder="0" applyAlignment="0" applyProtection="0"/>
    <xf numFmtId="185" fontId="28" fillId="0" borderId="0" applyFont="0" applyFill="0" applyBorder="0" applyAlignment="0" applyProtection="0"/>
    <xf numFmtId="185" fontId="28" fillId="0" borderId="0" applyFont="0" applyFill="0" applyBorder="0" applyAlignment="0" applyProtection="0"/>
    <xf numFmtId="183" fontId="28" fillId="0" borderId="0" applyFont="0" applyFill="0" applyBorder="0" applyAlignment="0" applyProtection="0"/>
    <xf numFmtId="183" fontId="28" fillId="0" borderId="0" applyFont="0" applyFill="0" applyBorder="0" applyAlignment="0" applyProtection="0"/>
    <xf numFmtId="185" fontId="28" fillId="0" borderId="0" applyFont="0" applyFill="0" applyBorder="0" applyAlignment="0" applyProtection="0"/>
    <xf numFmtId="183" fontId="28" fillId="0" borderId="0" applyFont="0" applyFill="0" applyBorder="0" applyAlignment="0" applyProtection="0"/>
    <xf numFmtId="185" fontId="28" fillId="0" borderId="0" applyFont="0" applyFill="0" applyBorder="0" applyAlignment="0" applyProtection="0"/>
    <xf numFmtId="185" fontId="28" fillId="0" borderId="0" applyFont="0" applyFill="0" applyBorder="0" applyAlignment="0" applyProtection="0"/>
    <xf numFmtId="183" fontId="28" fillId="0" borderId="0" applyFont="0" applyFill="0" applyBorder="0" applyAlignment="0" applyProtection="0"/>
    <xf numFmtId="185" fontId="28" fillId="0" borderId="0" applyFont="0" applyFill="0" applyBorder="0" applyAlignment="0" applyProtection="0"/>
    <xf numFmtId="183" fontId="28" fillId="0" borderId="0" applyFont="0" applyFill="0" applyBorder="0" applyAlignment="0" applyProtection="0"/>
    <xf numFmtId="185" fontId="28" fillId="0" borderId="0" applyFont="0" applyFill="0" applyBorder="0" applyAlignment="0" applyProtection="0"/>
    <xf numFmtId="185" fontId="28" fillId="0" borderId="0" applyFont="0" applyFill="0" applyBorder="0" applyAlignment="0" applyProtection="0"/>
    <xf numFmtId="183" fontId="28" fillId="0" borderId="0" applyFont="0" applyFill="0" applyBorder="0" applyAlignment="0" applyProtection="0"/>
    <xf numFmtId="183" fontId="28" fillId="0" borderId="0" applyFont="0" applyFill="0" applyBorder="0" applyAlignment="0" applyProtection="0"/>
    <xf numFmtId="185" fontId="28" fillId="0" borderId="0" applyFont="0" applyFill="0" applyBorder="0" applyAlignment="0" applyProtection="0"/>
    <xf numFmtId="183" fontId="28" fillId="0" borderId="0" applyFont="0" applyFill="0" applyBorder="0" applyAlignment="0" applyProtection="0"/>
    <xf numFmtId="185" fontId="28" fillId="0" borderId="0" applyFont="0" applyFill="0" applyBorder="0" applyAlignment="0" applyProtection="0"/>
    <xf numFmtId="185" fontId="28" fillId="0" borderId="0" applyFont="0" applyFill="0" applyBorder="0" applyAlignment="0" applyProtection="0"/>
    <xf numFmtId="183" fontId="28" fillId="0" borderId="0" applyFont="0" applyFill="0" applyBorder="0" applyAlignment="0" applyProtection="0"/>
    <xf numFmtId="183" fontId="28" fillId="0" borderId="0" applyFont="0" applyFill="0" applyBorder="0" applyAlignment="0" applyProtection="0"/>
    <xf numFmtId="185" fontId="28" fillId="0" borderId="0" applyFont="0" applyFill="0" applyBorder="0" applyAlignment="0" applyProtection="0"/>
    <xf numFmtId="183" fontId="28" fillId="0" borderId="0" applyFont="0" applyFill="0" applyBorder="0" applyAlignment="0" applyProtection="0"/>
    <xf numFmtId="185" fontId="28" fillId="0" borderId="0" applyFont="0" applyFill="0" applyBorder="0" applyAlignment="0" applyProtection="0"/>
    <xf numFmtId="185" fontId="28" fillId="0" borderId="0" applyFont="0" applyFill="0" applyBorder="0" applyAlignment="0" applyProtection="0"/>
    <xf numFmtId="183" fontId="28" fillId="0" borderId="0" applyFont="0" applyFill="0" applyBorder="0" applyAlignment="0" applyProtection="0"/>
    <xf numFmtId="183" fontId="28" fillId="0" borderId="0" applyFont="0" applyFill="0" applyBorder="0" applyAlignment="0" applyProtection="0"/>
    <xf numFmtId="185" fontId="28" fillId="0" borderId="0" applyFont="0" applyFill="0" applyBorder="0" applyAlignment="0" applyProtection="0"/>
    <xf numFmtId="183" fontId="28" fillId="0" borderId="0" applyFont="0" applyFill="0" applyBorder="0" applyAlignment="0" applyProtection="0"/>
    <xf numFmtId="185" fontId="28" fillId="0" borderId="0" applyFont="0" applyFill="0" applyBorder="0" applyAlignment="0" applyProtection="0"/>
    <xf numFmtId="185" fontId="28" fillId="0" borderId="0" applyFont="0" applyFill="0" applyBorder="0" applyAlignment="0" applyProtection="0"/>
    <xf numFmtId="183" fontId="28" fillId="0" borderId="0" applyFont="0" applyFill="0" applyBorder="0" applyAlignment="0" applyProtection="0"/>
    <xf numFmtId="185" fontId="28" fillId="0" borderId="0" applyFont="0" applyFill="0" applyBorder="0" applyAlignment="0" applyProtection="0"/>
    <xf numFmtId="183" fontId="28" fillId="0" borderId="0" applyFont="0" applyFill="0" applyBorder="0" applyAlignment="0" applyProtection="0"/>
    <xf numFmtId="185" fontId="28" fillId="0" borderId="0" applyFont="0" applyFill="0" applyBorder="0" applyAlignment="0" applyProtection="0"/>
    <xf numFmtId="185" fontId="28" fillId="0" borderId="0" applyFont="0" applyFill="0" applyBorder="0" applyAlignment="0" applyProtection="0"/>
    <xf numFmtId="2" fontId="28" fillId="0" borderId="0" applyFont="0" applyFill="0" applyBorder="0" applyAlignment="0" applyProtection="0"/>
    <xf numFmtId="166" fontId="28" fillId="9" borderId="0"/>
    <xf numFmtId="0" fontId="71" fillId="0" borderId="0" applyNumberFormat="0" applyFill="0" applyBorder="0" applyAlignment="0" applyProtection="0"/>
    <xf numFmtId="0" fontId="72" fillId="0" borderId="0" applyNumberFormat="0" applyFill="0" applyBorder="0" applyAlignment="0" applyProtection="0"/>
    <xf numFmtId="0" fontId="1" fillId="0" borderId="0"/>
    <xf numFmtId="164" fontId="163" fillId="0" borderId="0" applyFont="0" applyFill="0" applyBorder="0" applyAlignment="0" applyProtection="0"/>
  </cellStyleXfs>
  <cellXfs count="3791">
    <xf numFmtId="0" fontId="0" fillId="0" borderId="0" xfId="0"/>
    <xf numFmtId="0" fontId="0" fillId="0" borderId="0" xfId="42" applyFont="1" applyBorder="1"/>
    <xf numFmtId="0" fontId="0" fillId="0" borderId="0" xfId="42" applyFont="1" applyBorder="1" applyAlignment="1">
      <alignment horizontal="left"/>
    </xf>
    <xf numFmtId="0" fontId="0" fillId="0" borderId="0" xfId="42" applyFont="1" applyBorder="1" applyAlignment="1">
      <alignment horizontal="center"/>
    </xf>
    <xf numFmtId="0" fontId="2" fillId="10" borderId="6" xfId="42" applyFont="1" applyFill="1" applyBorder="1" applyAlignment="1">
      <alignment horizontal="center"/>
    </xf>
    <xf numFmtId="0" fontId="2" fillId="10" borderId="7" xfId="42" applyFont="1" applyFill="1" applyBorder="1" applyAlignment="1">
      <alignment horizontal="center"/>
    </xf>
    <xf numFmtId="0" fontId="2" fillId="10" borderId="8" xfId="42" applyFont="1" applyFill="1" applyBorder="1" applyAlignment="1">
      <alignment horizontal="center"/>
    </xf>
    <xf numFmtId="0" fontId="2" fillId="10" borderId="9" xfId="42" applyFont="1" applyFill="1" applyBorder="1"/>
    <xf numFmtId="0" fontId="2" fillId="10" borderId="10" xfId="42" applyFont="1" applyFill="1" applyBorder="1" applyAlignment="1">
      <alignment horizontal="left"/>
    </xf>
    <xf numFmtId="0" fontId="0" fillId="11" borderId="11" xfId="42" applyFont="1" applyFill="1" applyBorder="1" applyAlignment="1">
      <alignment horizontal="center"/>
    </xf>
    <xf numFmtId="0" fontId="0" fillId="11" borderId="12" xfId="42" applyFont="1" applyFill="1" applyBorder="1" applyAlignment="1">
      <alignment horizontal="center"/>
    </xf>
    <xf numFmtId="0" fontId="4" fillId="0" borderId="13" xfId="42" applyFont="1" applyFill="1" applyBorder="1"/>
    <xf numFmtId="0" fontId="0" fillId="11" borderId="14" xfId="42" applyFont="1" applyFill="1" applyBorder="1" applyAlignment="1">
      <alignment horizontal="center"/>
    </xf>
    <xf numFmtId="0" fontId="0" fillId="11" borderId="15" xfId="42" applyFont="1" applyFill="1" applyBorder="1" applyAlignment="1">
      <alignment horizontal="center"/>
    </xf>
    <xf numFmtId="0" fontId="4" fillId="0" borderId="16" xfId="42" applyFont="1" applyFill="1" applyBorder="1"/>
    <xf numFmtId="0" fontId="28" fillId="0" borderId="0" xfId="42" applyFont="1" applyProtection="1"/>
    <xf numFmtId="0" fontId="0" fillId="0" borderId="0" xfId="42" applyFont="1" applyProtection="1"/>
    <xf numFmtId="0" fontId="31" fillId="0" borderId="0" xfId="42" applyFont="1" applyProtection="1"/>
    <xf numFmtId="0" fontId="0" fillId="0" borderId="0" xfId="42" applyFont="1" applyAlignment="1" applyProtection="1">
      <alignment horizontal="center"/>
    </xf>
    <xf numFmtId="1" fontId="0" fillId="0" borderId="0" xfId="42" applyNumberFormat="1" applyFont="1" applyBorder="1" applyAlignment="1" applyProtection="1">
      <alignment horizontal="center"/>
    </xf>
    <xf numFmtId="1" fontId="0" fillId="0" borderId="0" xfId="42" applyNumberFormat="1" applyFont="1" applyBorder="1" applyProtection="1"/>
    <xf numFmtId="0" fontId="0" fillId="0" borderId="0" xfId="42" applyFont="1" applyBorder="1" applyProtection="1"/>
    <xf numFmtId="0" fontId="32" fillId="12" borderId="0" xfId="42" applyFont="1" applyFill="1" applyAlignment="1">
      <alignment horizontal="center"/>
    </xf>
    <xf numFmtId="0" fontId="0" fillId="0" borderId="17" xfId="42" applyFont="1" applyBorder="1"/>
    <xf numFmtId="168" fontId="0" fillId="0" borderId="0" xfId="42" applyNumberFormat="1" applyFont="1" applyBorder="1" applyProtection="1"/>
    <xf numFmtId="0" fontId="0" fillId="13" borderId="0" xfId="42" applyNumberFormat="1" applyFont="1" applyFill="1" applyBorder="1" applyProtection="1"/>
    <xf numFmtId="0" fontId="33" fillId="0" borderId="0" xfId="42" applyFont="1"/>
    <xf numFmtId="0" fontId="28" fillId="0" borderId="0" xfId="42" applyFont="1" applyBorder="1" applyAlignment="1">
      <alignment horizontal="left"/>
    </xf>
    <xf numFmtId="0" fontId="0" fillId="0" borderId="0" xfId="42" applyFont="1" applyFill="1"/>
    <xf numFmtId="0" fontId="0" fillId="0" borderId="0" xfId="42" applyFont="1" applyFill="1" applyBorder="1"/>
    <xf numFmtId="0" fontId="0" fillId="13" borderId="0" xfId="42" applyFont="1" applyFill="1" applyBorder="1" applyAlignment="1">
      <alignment horizontal="center"/>
    </xf>
    <xf numFmtId="0" fontId="28" fillId="0" borderId="0" xfId="42" applyFont="1" applyAlignment="1" applyProtection="1">
      <alignment horizontal="left"/>
    </xf>
    <xf numFmtId="0" fontId="33" fillId="0" borderId="0" xfId="42" applyFont="1" applyFill="1" applyProtection="1"/>
    <xf numFmtId="0" fontId="0" fillId="0" borderId="0" xfId="42" applyFont="1" applyFill="1" applyBorder="1" applyAlignment="1">
      <alignment horizontal="left"/>
    </xf>
    <xf numFmtId="0" fontId="0" fillId="0" borderId="0" xfId="42" applyNumberFormat="1" applyFont="1" applyFill="1" applyBorder="1" applyProtection="1"/>
    <xf numFmtId="168" fontId="0" fillId="0" borderId="0" xfId="42" applyNumberFormat="1" applyFont="1" applyFill="1" applyBorder="1" applyProtection="1"/>
    <xf numFmtId="0" fontId="28" fillId="13" borderId="0" xfId="42" applyFont="1" applyFill="1" applyBorder="1" applyAlignment="1">
      <alignment horizontal="left"/>
    </xf>
    <xf numFmtId="0" fontId="0" fillId="13" borderId="0" xfId="42" applyFont="1" applyFill="1" applyBorder="1" applyAlignment="1">
      <alignment horizontal="left"/>
    </xf>
    <xf numFmtId="0" fontId="0" fillId="0" borderId="0" xfId="42" applyNumberFormat="1" applyFont="1" applyBorder="1" applyProtection="1"/>
    <xf numFmtId="0" fontId="0" fillId="0" borderId="18" xfId="42" applyFont="1" applyBorder="1"/>
    <xf numFmtId="0" fontId="34" fillId="0" borderId="18" xfId="42" applyFont="1" applyBorder="1" applyProtection="1"/>
    <xf numFmtId="0" fontId="0" fillId="14" borderId="0" xfId="42" applyFont="1" applyFill="1"/>
    <xf numFmtId="0" fontId="38" fillId="14" borderId="0" xfId="42" applyFont="1" applyFill="1" applyProtection="1"/>
    <xf numFmtId="0" fontId="28" fillId="14" borderId="0" xfId="42" applyFont="1" applyFill="1"/>
    <xf numFmtId="0" fontId="36" fillId="0" borderId="0" xfId="42" applyFont="1" applyFill="1" applyBorder="1" applyProtection="1"/>
    <xf numFmtId="0" fontId="0" fillId="13" borderId="0" xfId="42" applyFont="1" applyFill="1"/>
    <xf numFmtId="0" fontId="0" fillId="14" borderId="0" xfId="42" applyFont="1" applyFill="1" applyBorder="1"/>
    <xf numFmtId="0" fontId="38" fillId="14" borderId="0" xfId="42" applyFont="1" applyFill="1" applyBorder="1" applyProtection="1"/>
    <xf numFmtId="0" fontId="39" fillId="0" borderId="0" xfId="42" applyFont="1" applyFill="1" applyBorder="1" applyProtection="1"/>
    <xf numFmtId="0" fontId="34" fillId="0" borderId="0" xfId="42" applyFont="1" applyFill="1" applyBorder="1" applyProtection="1"/>
    <xf numFmtId="0" fontId="0" fillId="13" borderId="0" xfId="42" applyFont="1" applyFill="1" applyBorder="1"/>
    <xf numFmtId="14" fontId="37" fillId="13" borderId="0" xfId="42" applyNumberFormat="1" applyFont="1" applyFill="1" applyBorder="1" applyAlignment="1" applyProtection="1">
      <alignment horizontal="left"/>
    </xf>
    <xf numFmtId="0" fontId="38" fillId="13" borderId="0" xfId="42" applyFont="1" applyFill="1" applyBorder="1" applyProtection="1"/>
    <xf numFmtId="0" fontId="38" fillId="13" borderId="0" xfId="42" applyFont="1" applyFill="1" applyProtection="1"/>
    <xf numFmtId="0" fontId="28" fillId="13" borderId="0" xfId="42" applyFont="1" applyFill="1"/>
    <xf numFmtId="0" fontId="0" fillId="0" borderId="19" xfId="42" applyFont="1" applyBorder="1"/>
    <xf numFmtId="0" fontId="40" fillId="0" borderId="17" xfId="42" applyFont="1" applyFill="1" applyBorder="1" applyProtection="1"/>
    <xf numFmtId="0" fontId="34" fillId="0" borderId="17" xfId="42" applyFont="1" applyBorder="1" applyProtection="1"/>
    <xf numFmtId="15" fontId="40" fillId="0" borderId="17" xfId="42" applyNumberFormat="1" applyFont="1" applyFill="1" applyBorder="1" applyAlignment="1" applyProtection="1">
      <alignment horizontal="left"/>
    </xf>
    <xf numFmtId="0" fontId="40" fillId="0" borderId="20" xfId="42" applyFont="1" applyFill="1" applyBorder="1" applyProtection="1"/>
    <xf numFmtId="0" fontId="0" fillId="0" borderId="2" xfId="42" applyFont="1" applyBorder="1"/>
    <xf numFmtId="0" fontId="41" fillId="0" borderId="21" xfId="42" applyFont="1" applyBorder="1" applyAlignment="1" applyProtection="1">
      <alignment horizontal="center"/>
    </xf>
    <xf numFmtId="0" fontId="40" fillId="0" borderId="21" xfId="42" applyFont="1" applyBorder="1" applyAlignment="1" applyProtection="1">
      <alignment horizontal="center"/>
    </xf>
    <xf numFmtId="0" fontId="34" fillId="0" borderId="0" xfId="42" quotePrefix="1" applyFont="1" applyBorder="1" applyAlignment="1" applyProtection="1">
      <alignment horizontal="left"/>
    </xf>
    <xf numFmtId="0" fontId="40" fillId="0" borderId="0" xfId="42" applyFont="1" applyBorder="1" applyAlignment="1" applyProtection="1">
      <alignment horizontal="left"/>
    </xf>
    <xf numFmtId="0" fontId="34" fillId="0" borderId="0" xfId="42" applyFont="1" applyBorder="1" applyProtection="1"/>
    <xf numFmtId="3" fontId="34" fillId="0" borderId="21" xfId="42" applyNumberFormat="1" applyFont="1" applyBorder="1" applyProtection="1"/>
    <xf numFmtId="0" fontId="40" fillId="0" borderId="0" xfId="42" applyFont="1" applyBorder="1" applyProtection="1"/>
    <xf numFmtId="3" fontId="34" fillId="0" borderId="0" xfId="42" applyNumberFormat="1" applyFont="1" applyBorder="1" applyProtection="1"/>
    <xf numFmtId="0" fontId="34" fillId="0" borderId="0" xfId="42" applyFont="1" applyBorder="1" applyAlignment="1" applyProtection="1">
      <alignment horizontal="left"/>
    </xf>
    <xf numFmtId="0" fontId="34" fillId="0" borderId="0" xfId="42" applyFont="1" applyBorder="1" applyAlignment="1" applyProtection="1">
      <alignment horizontal="right"/>
    </xf>
    <xf numFmtId="15" fontId="42" fillId="0" borderId="21" xfId="42" applyNumberFormat="1" applyFont="1" applyBorder="1" applyAlignment="1" applyProtection="1">
      <alignment horizontal="left"/>
    </xf>
    <xf numFmtId="0" fontId="34" fillId="0" borderId="7" xfId="42" applyFont="1" applyFill="1" applyBorder="1" applyProtection="1"/>
    <xf numFmtId="0" fontId="34" fillId="0" borderId="6" xfId="42" applyFont="1" applyBorder="1" applyProtection="1"/>
    <xf numFmtId="1" fontId="40" fillId="0" borderId="22" xfId="42" applyNumberFormat="1" applyFont="1" applyBorder="1" applyAlignment="1" applyProtection="1">
      <alignment horizontal="center"/>
    </xf>
    <xf numFmtId="1" fontId="40" fillId="0" borderId="23" xfId="42" applyNumberFormat="1" applyFont="1" applyBorder="1" applyAlignment="1" applyProtection="1">
      <alignment horizontal="center"/>
    </xf>
    <xf numFmtId="1" fontId="40" fillId="0" borderId="21" xfId="42" applyNumberFormat="1" applyFont="1" applyFill="1" applyBorder="1" applyProtection="1"/>
    <xf numFmtId="0" fontId="40" fillId="0" borderId="21" xfId="42" applyFont="1" applyFill="1" applyBorder="1" applyAlignment="1" applyProtection="1">
      <alignment horizontal="centerContinuous"/>
    </xf>
    <xf numFmtId="0" fontId="43" fillId="0" borderId="24" xfId="42" applyFont="1" applyBorder="1" applyProtection="1"/>
    <xf numFmtId="166" fontId="34" fillId="0" borderId="25" xfId="42" applyNumberFormat="1" applyFont="1" applyFill="1" applyBorder="1" applyAlignment="1" applyProtection="1">
      <alignment horizontal="right"/>
    </xf>
    <xf numFmtId="166" fontId="34" fillId="0" borderId="17" xfId="42" applyNumberFormat="1" applyFont="1" applyFill="1" applyBorder="1" applyAlignment="1" applyProtection="1">
      <alignment horizontal="right"/>
    </xf>
    <xf numFmtId="166" fontId="34" fillId="0" borderId="26" xfId="42" applyNumberFormat="1" applyFont="1" applyFill="1" applyBorder="1" applyAlignment="1" applyProtection="1">
      <alignment horizontal="right"/>
    </xf>
    <xf numFmtId="0" fontId="34" fillId="0" borderId="21" xfId="42" applyFont="1" applyFill="1" applyBorder="1" applyAlignment="1" applyProtection="1">
      <alignment horizontal="right"/>
    </xf>
    <xf numFmtId="0" fontId="0" fillId="0" borderId="27" xfId="42" applyFont="1" applyBorder="1"/>
    <xf numFmtId="0" fontId="0" fillId="0" borderId="28" xfId="42" applyFont="1" applyFill="1" applyBorder="1"/>
    <xf numFmtId="0" fontId="40" fillId="0" borderId="21" xfId="42" applyFont="1" applyFill="1" applyBorder="1" applyAlignment="1" applyProtection="1">
      <alignment horizontal="right"/>
    </xf>
    <xf numFmtId="0" fontId="43" fillId="0" borderId="18" xfId="42" applyFont="1" applyBorder="1" applyProtection="1"/>
    <xf numFmtId="166" fontId="28" fillId="0" borderId="27" xfId="42" applyNumberFormat="1" applyFont="1" applyBorder="1"/>
    <xf numFmtId="166" fontId="28" fillId="0" borderId="27" xfId="42" applyNumberFormat="1" applyFont="1" applyFill="1" applyBorder="1"/>
    <xf numFmtId="166" fontId="28" fillId="0" borderId="28" xfId="42" applyNumberFormat="1" applyFont="1" applyBorder="1"/>
    <xf numFmtId="0" fontId="0" fillId="0" borderId="21" xfId="42" applyFont="1" applyBorder="1"/>
    <xf numFmtId="166" fontId="34" fillId="0" borderId="27" xfId="42" applyNumberFormat="1" applyFont="1" applyFill="1" applyBorder="1" applyAlignment="1" applyProtection="1">
      <alignment horizontal="right"/>
    </xf>
    <xf numFmtId="166" fontId="34" fillId="0" borderId="0" xfId="42" applyNumberFormat="1" applyFont="1" applyFill="1" applyBorder="1" applyAlignment="1" applyProtection="1">
      <alignment horizontal="right"/>
    </xf>
    <xf numFmtId="166" fontId="34" fillId="0" borderId="28" xfId="42" applyNumberFormat="1" applyFont="1" applyFill="1" applyBorder="1" applyAlignment="1" applyProtection="1">
      <alignment horizontal="right"/>
    </xf>
    <xf numFmtId="0" fontId="34" fillId="0" borderId="29" xfId="42" applyFont="1" applyBorder="1" applyProtection="1"/>
    <xf numFmtId="0" fontId="34" fillId="0" borderId="30" xfId="42" applyFont="1" applyFill="1" applyBorder="1" applyProtection="1"/>
    <xf numFmtId="166" fontId="34" fillId="0" borderId="31" xfId="42" applyNumberFormat="1" applyFont="1" applyFill="1" applyBorder="1" applyAlignment="1" applyProtection="1">
      <alignment horizontal="right"/>
    </xf>
    <xf numFmtId="166" fontId="34" fillId="0" borderId="30" xfId="42" applyNumberFormat="1" applyFont="1" applyFill="1" applyBorder="1" applyAlignment="1" applyProtection="1">
      <alignment horizontal="right"/>
    </xf>
    <xf numFmtId="166" fontId="34" fillId="0" borderId="32" xfId="42" applyNumberFormat="1" applyFont="1" applyFill="1" applyBorder="1" applyAlignment="1" applyProtection="1">
      <alignment horizontal="right"/>
    </xf>
    <xf numFmtId="0" fontId="34" fillId="0" borderId="24" xfId="42" applyFont="1" applyFill="1" applyBorder="1" applyProtection="1"/>
    <xf numFmtId="0" fontId="34" fillId="0" borderId="17" xfId="42" applyFont="1" applyFill="1" applyBorder="1" applyProtection="1"/>
    <xf numFmtId="0" fontId="34" fillId="0" borderId="18" xfId="42" applyFont="1" applyFill="1" applyBorder="1" applyProtection="1"/>
    <xf numFmtId="0" fontId="43" fillId="0" borderId="0" xfId="42" applyFont="1" applyFill="1" applyBorder="1" applyProtection="1"/>
    <xf numFmtId="0" fontId="43" fillId="0" borderId="21" xfId="42" applyFont="1" applyFill="1" applyBorder="1" applyAlignment="1" applyProtection="1">
      <alignment horizontal="right"/>
    </xf>
    <xf numFmtId="0" fontId="40" fillId="0" borderId="0" xfId="42" applyFont="1" applyFill="1" applyBorder="1" applyProtection="1"/>
    <xf numFmtId="0" fontId="43" fillId="0" borderId="0" xfId="42" applyFont="1" applyBorder="1" applyProtection="1"/>
    <xf numFmtId="0" fontId="40" fillId="0" borderId="21" xfId="42" applyFont="1" applyFill="1" applyBorder="1" applyAlignment="1" applyProtection="1">
      <alignment horizontal="center"/>
    </xf>
    <xf numFmtId="166" fontId="34" fillId="0" borderId="2" xfId="42" applyNumberFormat="1" applyFont="1" applyFill="1" applyBorder="1" applyAlignment="1" applyProtection="1">
      <alignment horizontal="right"/>
    </xf>
    <xf numFmtId="0" fontId="36" fillId="13" borderId="0" xfId="42" applyFont="1" applyFill="1" applyBorder="1" applyProtection="1"/>
    <xf numFmtId="0" fontId="34" fillId="0" borderId="33" xfId="42" applyFont="1" applyFill="1" applyBorder="1" applyProtection="1"/>
    <xf numFmtId="0" fontId="36" fillId="0" borderId="3" xfId="42" applyFont="1" applyFill="1" applyBorder="1" applyProtection="1"/>
    <xf numFmtId="166" fontId="34" fillId="0" borderId="34" xfId="42" applyNumberFormat="1" applyFont="1" applyFill="1" applyBorder="1" applyAlignment="1" applyProtection="1">
      <alignment horizontal="right"/>
    </xf>
    <xf numFmtId="166" fontId="34" fillId="0" borderId="35" xfId="42" applyNumberFormat="1" applyFont="1" applyFill="1" applyBorder="1" applyAlignment="1" applyProtection="1">
      <alignment horizontal="right"/>
    </xf>
    <xf numFmtId="0" fontId="0" fillId="0" borderId="30" xfId="42" applyFont="1" applyBorder="1"/>
    <xf numFmtId="0" fontId="0" fillId="0" borderId="36" xfId="42" applyFont="1" applyBorder="1"/>
    <xf numFmtId="0" fontId="34" fillId="0" borderId="30" xfId="42" applyFont="1" applyBorder="1" applyProtection="1"/>
    <xf numFmtId="0" fontId="28" fillId="0" borderId="30" xfId="42" applyFont="1" applyBorder="1"/>
    <xf numFmtId="0" fontId="28" fillId="0" borderId="30" xfId="42" applyFont="1" applyFill="1" applyBorder="1"/>
    <xf numFmtId="0" fontId="40" fillId="0" borderId="30" xfId="42" applyFont="1" applyBorder="1" applyAlignment="1" applyProtection="1">
      <alignment horizontal="right"/>
    </xf>
    <xf numFmtId="0" fontId="28" fillId="0" borderId="37" xfId="42" applyFont="1" applyBorder="1"/>
    <xf numFmtId="168" fontId="36" fillId="13" borderId="0" xfId="42" applyNumberFormat="1" applyFont="1" applyFill="1" applyBorder="1" applyProtection="1"/>
    <xf numFmtId="0" fontId="44" fillId="13" borderId="0" xfId="42" quotePrefix="1" applyFont="1" applyFill="1" applyBorder="1" applyProtection="1"/>
    <xf numFmtId="174" fontId="36" fillId="13" borderId="0" xfId="42" applyNumberFormat="1" applyFont="1" applyFill="1" applyBorder="1" applyProtection="1"/>
    <xf numFmtId="0" fontId="40" fillId="13" borderId="0" xfId="42" applyFont="1" applyFill="1" applyProtection="1"/>
    <xf numFmtId="0" fontId="40" fillId="0" borderId="0" xfId="42" quotePrefix="1" applyFont="1" applyFill="1" applyBorder="1" applyAlignment="1" applyProtection="1">
      <alignment horizontal="left"/>
    </xf>
    <xf numFmtId="0" fontId="39" fillId="0" borderId="0" xfId="42" quotePrefix="1" applyFont="1" applyFill="1" applyBorder="1" applyAlignment="1" applyProtection="1">
      <alignment horizontal="left"/>
    </xf>
    <xf numFmtId="0" fontId="40" fillId="0" borderId="0" xfId="42" applyFont="1" applyBorder="1" applyAlignment="1" applyProtection="1">
      <alignment horizontal="center"/>
    </xf>
    <xf numFmtId="0" fontId="34" fillId="0" borderId="21" xfId="42" applyNumberFormat="1" applyFont="1" applyBorder="1" applyAlignment="1" applyProtection="1">
      <alignment horizontal="centerContinuous"/>
    </xf>
    <xf numFmtId="0" fontId="34" fillId="13" borderId="2" xfId="42" applyNumberFormat="1" applyFont="1" applyFill="1" applyBorder="1" applyAlignment="1" applyProtection="1">
      <alignment horizontal="centerContinuous"/>
    </xf>
    <xf numFmtId="0" fontId="34" fillId="13" borderId="0" xfId="42" applyNumberFormat="1" applyFont="1" applyFill="1" applyAlignment="1" applyProtection="1">
      <alignment horizontal="centerContinuous"/>
    </xf>
    <xf numFmtId="0" fontId="34" fillId="0" borderId="0" xfId="42" quotePrefix="1" applyFont="1" applyFill="1" applyBorder="1" applyAlignment="1" applyProtection="1">
      <alignment horizontal="left"/>
    </xf>
    <xf numFmtId="0" fontId="34" fillId="0" borderId="21" xfId="42" applyNumberFormat="1" applyFont="1" applyBorder="1" applyProtection="1"/>
    <xf numFmtId="0" fontId="34" fillId="13" borderId="0" xfId="42" applyNumberFormat="1" applyFont="1" applyFill="1" applyProtection="1"/>
    <xf numFmtId="3" fontId="34" fillId="13" borderId="0" xfId="42" applyNumberFormat="1" applyFont="1" applyFill="1" applyProtection="1"/>
    <xf numFmtId="0" fontId="34" fillId="0" borderId="0" xfId="42" applyFont="1" applyFill="1" applyBorder="1" applyAlignment="1" applyProtection="1">
      <alignment horizontal="left"/>
    </xf>
    <xf numFmtId="3" fontId="46" fillId="13" borderId="0" xfId="42" applyNumberFormat="1" applyFont="1" applyFill="1" applyProtection="1"/>
    <xf numFmtId="0" fontId="34" fillId="0" borderId="0" xfId="42" applyFont="1" applyFill="1" applyBorder="1" applyAlignment="1" applyProtection="1">
      <alignment horizontal="right"/>
    </xf>
    <xf numFmtId="0" fontId="38" fillId="0" borderId="0" xfId="42" applyFont="1" applyFill="1" applyBorder="1" applyAlignment="1" applyProtection="1">
      <alignment horizontal="center"/>
    </xf>
    <xf numFmtId="0" fontId="42" fillId="0" borderId="21" xfId="42" applyFont="1" applyBorder="1" applyProtection="1"/>
    <xf numFmtId="0" fontId="42" fillId="13" borderId="0" xfId="42" applyFont="1" applyFill="1" applyProtection="1"/>
    <xf numFmtId="0" fontId="34" fillId="0" borderId="0" xfId="42" applyFont="1" applyFill="1" applyBorder="1" applyAlignment="1" applyProtection="1">
      <alignment horizontal="center"/>
    </xf>
    <xf numFmtId="166" fontId="34" fillId="0" borderId="0" xfId="42" applyNumberFormat="1" applyFont="1" applyFill="1" applyBorder="1" applyProtection="1"/>
    <xf numFmtId="0" fontId="40" fillId="0" borderId="38" xfId="42" applyFont="1" applyBorder="1" applyAlignment="1" applyProtection="1">
      <alignment horizontal="center"/>
    </xf>
    <xf numFmtId="1" fontId="40" fillId="13" borderId="0" xfId="42" applyNumberFormat="1" applyFont="1" applyFill="1" applyBorder="1" applyProtection="1"/>
    <xf numFmtId="0" fontId="28" fillId="0" borderId="0" xfId="42" applyFont="1" applyFill="1" applyBorder="1" applyProtection="1"/>
    <xf numFmtId="166" fontId="28" fillId="0" borderId="0" xfId="42" applyNumberFormat="1" applyFont="1" applyFill="1" applyBorder="1" applyProtection="1"/>
    <xf numFmtId="0" fontId="40" fillId="0" borderId="27" xfId="42" applyFont="1" applyBorder="1" applyAlignment="1" applyProtection="1">
      <alignment horizontal="center"/>
    </xf>
    <xf numFmtId="0" fontId="40" fillId="13" borderId="0" xfId="42" applyFont="1" applyFill="1" applyBorder="1" applyAlignment="1" applyProtection="1">
      <alignment horizontal="centerContinuous"/>
    </xf>
    <xf numFmtId="0" fontId="34" fillId="0" borderId="24" xfId="42" applyFont="1" applyBorder="1" applyProtection="1"/>
    <xf numFmtId="0" fontId="42" fillId="0" borderId="25" xfId="42" applyFont="1" applyBorder="1" applyAlignment="1" applyProtection="1">
      <alignment horizontal="center"/>
    </xf>
    <xf numFmtId="0" fontId="34" fillId="13" borderId="0" xfId="42" applyFont="1" applyFill="1" applyBorder="1" applyAlignment="1" applyProtection="1">
      <alignment horizontal="right"/>
    </xf>
    <xf numFmtId="0" fontId="43" fillId="0" borderId="0" xfId="42" applyFont="1" applyFill="1" applyBorder="1" applyAlignment="1" applyProtection="1">
      <alignment horizontal="center"/>
    </xf>
    <xf numFmtId="0" fontId="42" fillId="0" borderId="27" xfId="42" applyFont="1" applyBorder="1" applyAlignment="1" applyProtection="1">
      <alignment horizontal="center"/>
    </xf>
    <xf numFmtId="0" fontId="42" fillId="0" borderId="0" xfId="42" applyFont="1" applyBorder="1" applyProtection="1"/>
    <xf numFmtId="0" fontId="40" fillId="0" borderId="29" xfId="42" applyFont="1" applyBorder="1" applyAlignment="1" applyProtection="1"/>
    <xf numFmtId="0" fontId="42" fillId="0" borderId="31" xfId="42" applyFont="1" applyBorder="1" applyAlignment="1" applyProtection="1">
      <alignment horizontal="center"/>
    </xf>
    <xf numFmtId="166" fontId="40" fillId="0" borderId="31" xfId="42" applyNumberFormat="1" applyFont="1" applyFill="1" applyBorder="1" applyAlignment="1" applyProtection="1">
      <alignment horizontal="right"/>
    </xf>
    <xf numFmtId="0" fontId="40" fillId="13" borderId="0" xfId="42" applyFont="1" applyFill="1" applyBorder="1" applyAlignment="1" applyProtection="1">
      <alignment horizontal="right"/>
    </xf>
    <xf numFmtId="0" fontId="34" fillId="0" borderId="18" xfId="42" applyFont="1" applyBorder="1" applyAlignment="1" applyProtection="1"/>
    <xf numFmtId="0" fontId="40" fillId="0" borderId="29" xfId="42" applyFont="1" applyFill="1" applyBorder="1" applyProtection="1"/>
    <xf numFmtId="0" fontId="42" fillId="0" borderId="31" xfId="42" applyFont="1" applyFill="1" applyBorder="1" applyAlignment="1" applyProtection="1">
      <alignment horizontal="center"/>
    </xf>
    <xf numFmtId="0" fontId="42" fillId="0" borderId="25" xfId="42" applyFont="1" applyFill="1" applyBorder="1" applyAlignment="1" applyProtection="1">
      <alignment horizontal="center"/>
    </xf>
    <xf numFmtId="0" fontId="43" fillId="0" borderId="18" xfId="42" applyFont="1" applyFill="1" applyBorder="1" applyProtection="1"/>
    <xf numFmtId="0" fontId="52" fillId="0" borderId="27" xfId="42" applyFont="1" applyFill="1" applyBorder="1" applyAlignment="1" applyProtection="1">
      <alignment horizontal="center"/>
    </xf>
    <xf numFmtId="0" fontId="40" fillId="0" borderId="18" xfId="42" quotePrefix="1" applyFont="1" applyFill="1" applyBorder="1" applyAlignment="1" applyProtection="1">
      <alignment horizontal="left"/>
    </xf>
    <xf numFmtId="0" fontId="48" fillId="0" borderId="27" xfId="42" applyFont="1" applyFill="1" applyBorder="1" applyAlignment="1" applyProtection="1">
      <alignment horizontal="center"/>
    </xf>
    <xf numFmtId="0" fontId="34" fillId="0" borderId="24" xfId="42" quotePrefix="1" applyFont="1" applyBorder="1" applyAlignment="1" applyProtection="1">
      <alignment horizontal="left"/>
    </xf>
    <xf numFmtId="0" fontId="28" fillId="0" borderId="0" xfId="42" applyFont="1" applyFill="1" applyBorder="1"/>
    <xf numFmtId="0" fontId="43" fillId="0" borderId="18" xfId="42" quotePrefix="1" applyFont="1" applyBorder="1" applyAlignment="1" applyProtection="1">
      <alignment horizontal="left"/>
    </xf>
    <xf numFmtId="0" fontId="52" fillId="0" borderId="27" xfId="42" applyFont="1" applyBorder="1" applyAlignment="1" applyProtection="1">
      <alignment horizontal="center"/>
    </xf>
    <xf numFmtId="0" fontId="43" fillId="0" borderId="29" xfId="42" quotePrefix="1" applyFont="1" applyBorder="1" applyAlignment="1" applyProtection="1">
      <alignment horizontal="left"/>
    </xf>
    <xf numFmtId="0" fontId="43" fillId="0" borderId="30" xfId="42" applyFont="1" applyBorder="1" applyProtection="1"/>
    <xf numFmtId="0" fontId="52" fillId="0" borderId="31" xfId="42" applyFont="1" applyBorder="1" applyAlignment="1" applyProtection="1">
      <alignment horizontal="center"/>
    </xf>
    <xf numFmtId="0" fontId="40" fillId="0" borderId="39" xfId="42" applyFont="1" applyBorder="1" applyAlignment="1" applyProtection="1">
      <alignment horizontal="left"/>
    </xf>
    <xf numFmtId="0" fontId="40" fillId="0" borderId="40" xfId="42" applyFont="1" applyBorder="1" applyProtection="1"/>
    <xf numFmtId="0" fontId="48" fillId="0" borderId="41" xfId="42" applyFont="1" applyBorder="1" applyAlignment="1" applyProtection="1">
      <alignment horizontal="center"/>
    </xf>
    <xf numFmtId="0" fontId="0" fillId="0" borderId="0" xfId="42" applyFont="1" applyFill="1" applyBorder="1" applyAlignment="1">
      <alignment horizontal="center"/>
    </xf>
    <xf numFmtId="166" fontId="28" fillId="0" borderId="0" xfId="42" applyNumberFormat="1" applyFont="1" applyFill="1" applyBorder="1" applyAlignment="1" applyProtection="1">
      <alignment horizontal="right"/>
    </xf>
    <xf numFmtId="0" fontId="40" fillId="13" borderId="0" xfId="42" applyFont="1" applyFill="1" applyBorder="1" applyAlignment="1" applyProtection="1">
      <alignment horizontal="center"/>
    </xf>
    <xf numFmtId="0" fontId="34" fillId="0" borderId="18" xfId="42" quotePrefix="1" applyFont="1" applyBorder="1" applyAlignment="1" applyProtection="1">
      <alignment horizontal="left"/>
    </xf>
    <xf numFmtId="0" fontId="34" fillId="0" borderId="18" xfId="42" quotePrefix="1" applyFont="1" applyFill="1" applyBorder="1" applyAlignment="1" applyProtection="1">
      <alignment horizontal="left"/>
    </xf>
    <xf numFmtId="0" fontId="42" fillId="0" borderId="27" xfId="42" applyFont="1" applyFill="1" applyBorder="1" applyAlignment="1" applyProtection="1">
      <alignment horizontal="center"/>
    </xf>
    <xf numFmtId="0" fontId="34" fillId="0" borderId="33" xfId="42" quotePrefix="1" applyFont="1" applyFill="1" applyBorder="1" applyAlignment="1" applyProtection="1">
      <alignment horizontal="left"/>
    </xf>
    <xf numFmtId="0" fontId="34" fillId="0" borderId="3" xfId="42" applyFont="1" applyFill="1" applyBorder="1" applyProtection="1"/>
    <xf numFmtId="0" fontId="42" fillId="0" borderId="42" xfId="42" applyFont="1" applyFill="1" applyBorder="1" applyAlignment="1" applyProtection="1">
      <alignment horizontal="center"/>
    </xf>
    <xf numFmtId="0" fontId="28" fillId="13" borderId="17" xfId="42" applyFont="1" applyFill="1" applyBorder="1"/>
    <xf numFmtId="0" fontId="0" fillId="13" borderId="17" xfId="42" applyFont="1" applyFill="1" applyBorder="1"/>
    <xf numFmtId="0" fontId="28" fillId="13" borderId="0" xfId="42" applyFont="1" applyFill="1" applyBorder="1" applyAlignment="1">
      <alignment horizontal="center"/>
    </xf>
    <xf numFmtId="0" fontId="0" fillId="0" borderId="19" xfId="42" applyFont="1" applyFill="1" applyBorder="1"/>
    <xf numFmtId="0" fontId="0" fillId="0" borderId="20" xfId="42" applyFont="1" applyBorder="1"/>
    <xf numFmtId="0" fontId="0" fillId="0" borderId="2" xfId="42" applyFont="1" applyFill="1" applyBorder="1"/>
    <xf numFmtId="0" fontId="34" fillId="0" borderId="7" xfId="42" applyFont="1" applyBorder="1" applyProtection="1"/>
    <xf numFmtId="1" fontId="40" fillId="0" borderId="21" xfId="42" applyNumberFormat="1" applyFont="1" applyBorder="1" applyAlignment="1" applyProtection="1">
      <alignment horizontal="center"/>
    </xf>
    <xf numFmtId="1" fontId="40" fillId="0" borderId="41" xfId="42" applyNumberFormat="1" applyFont="1" applyBorder="1" applyAlignment="1" applyProtection="1">
      <alignment horizontal="center"/>
    </xf>
    <xf numFmtId="1" fontId="40" fillId="0" borderId="43" xfId="42" applyNumberFormat="1" applyFont="1" applyBorder="1" applyAlignment="1" applyProtection="1">
      <alignment horizontal="center"/>
    </xf>
    <xf numFmtId="166" fontId="34" fillId="0" borderId="25" xfId="42" applyNumberFormat="1" applyFont="1" applyBorder="1" applyProtection="1"/>
    <xf numFmtId="0" fontId="34" fillId="0" borderId="21" xfId="42" applyFont="1" applyBorder="1" applyProtection="1"/>
    <xf numFmtId="166" fontId="34" fillId="0" borderId="27" xfId="42" applyNumberFormat="1" applyFont="1" applyBorder="1" applyProtection="1"/>
    <xf numFmtId="0" fontId="28" fillId="0" borderId="0" xfId="42" applyFont="1" applyBorder="1" applyProtection="1"/>
    <xf numFmtId="0" fontId="34" fillId="0" borderId="21" xfId="42" applyFont="1" applyFill="1" applyBorder="1" applyProtection="1"/>
    <xf numFmtId="0" fontId="32" fillId="0" borderId="29" xfId="42" applyFont="1" applyBorder="1" applyAlignment="1" applyProtection="1">
      <alignment horizontal="left"/>
    </xf>
    <xf numFmtId="0" fontId="32" fillId="0" borderId="30" xfId="42" applyFont="1" applyBorder="1" applyAlignment="1" applyProtection="1">
      <alignment horizontal="left"/>
    </xf>
    <xf numFmtId="166" fontId="40" fillId="0" borderId="31" xfId="42" applyNumberFormat="1" applyFont="1" applyBorder="1" applyProtection="1"/>
    <xf numFmtId="0" fontId="40" fillId="0" borderId="21" xfId="42" applyFont="1" applyBorder="1" applyProtection="1"/>
    <xf numFmtId="0" fontId="28" fillId="0" borderId="18" xfId="42" applyFont="1" applyBorder="1" applyAlignment="1" applyProtection="1">
      <alignment horizontal="left"/>
    </xf>
    <xf numFmtId="0" fontId="28" fillId="0" borderId="0" xfId="42" applyFont="1" applyBorder="1" applyAlignment="1" applyProtection="1">
      <alignment horizontal="left"/>
    </xf>
    <xf numFmtId="0" fontId="40" fillId="0" borderId="29" xfId="42" applyFont="1" applyBorder="1" applyProtection="1"/>
    <xf numFmtId="0" fontId="40" fillId="0" borderId="30" xfId="42" applyFont="1" applyBorder="1" applyProtection="1"/>
    <xf numFmtId="0" fontId="32" fillId="0" borderId="21" xfId="42" applyFont="1" applyBorder="1" applyProtection="1"/>
    <xf numFmtId="0" fontId="40" fillId="0" borderId="29" xfId="42" applyFont="1" applyBorder="1" applyAlignment="1" applyProtection="1">
      <alignment horizontal="left"/>
    </xf>
    <xf numFmtId="0" fontId="40" fillId="0" borderId="30" xfId="42" quotePrefix="1" applyFont="1" applyBorder="1" applyAlignment="1" applyProtection="1">
      <alignment horizontal="left"/>
    </xf>
    <xf numFmtId="0" fontId="34" fillId="0" borderId="6" xfId="42" applyFont="1" applyFill="1" applyBorder="1" applyProtection="1"/>
    <xf numFmtId="0" fontId="34" fillId="0" borderId="23" xfId="42" quotePrefix="1" applyFont="1" applyBorder="1" applyAlignment="1" applyProtection="1">
      <alignment horizontal="left"/>
    </xf>
    <xf numFmtId="0" fontId="34" fillId="0" borderId="33" xfId="42" applyFont="1" applyBorder="1" applyAlignment="1" applyProtection="1">
      <alignment horizontal="left"/>
    </xf>
    <xf numFmtId="0" fontId="34" fillId="0" borderId="3" xfId="42" quotePrefix="1" applyFont="1" applyBorder="1" applyAlignment="1" applyProtection="1">
      <alignment horizontal="left"/>
    </xf>
    <xf numFmtId="0" fontId="0" fillId="0" borderId="36" xfId="42" applyFont="1" applyFill="1" applyBorder="1"/>
    <xf numFmtId="0" fontId="40" fillId="0" borderId="37" xfId="42" applyFont="1" applyBorder="1" applyAlignment="1" applyProtection="1">
      <alignment horizontal="right"/>
    </xf>
    <xf numFmtId="0" fontId="28" fillId="0" borderId="0" xfId="42" applyFont="1"/>
    <xf numFmtId="0" fontId="28" fillId="0" borderId="17" xfId="42" applyFont="1" applyBorder="1"/>
    <xf numFmtId="0" fontId="28" fillId="0" borderId="20" xfId="42" applyFont="1" applyBorder="1"/>
    <xf numFmtId="0" fontId="28" fillId="0" borderId="0" xfId="42" applyFont="1" applyBorder="1"/>
    <xf numFmtId="0" fontId="28" fillId="0" borderId="21" xfId="42" applyFont="1" applyBorder="1"/>
    <xf numFmtId="0" fontId="40" fillId="0" borderId="0" xfId="42" quotePrefix="1" applyFont="1" applyBorder="1" applyAlignment="1" applyProtection="1">
      <alignment horizontal="left"/>
    </xf>
    <xf numFmtId="3" fontId="34" fillId="0" borderId="7" xfId="42" applyNumberFormat="1" applyFont="1" applyFill="1" applyBorder="1" applyProtection="1"/>
    <xf numFmtId="3" fontId="34" fillId="0" borderId="23" xfId="42" applyNumberFormat="1" applyFont="1" applyFill="1" applyBorder="1" applyProtection="1"/>
    <xf numFmtId="3" fontId="40" fillId="0" borderId="38" xfId="42" applyNumberFormat="1" applyFont="1" applyFill="1" applyBorder="1" applyAlignment="1" applyProtection="1">
      <alignment horizontal="center"/>
    </xf>
    <xf numFmtId="1" fontId="40" fillId="0" borderId="44" xfId="42" applyNumberFormat="1" applyFont="1" applyFill="1" applyBorder="1" applyAlignment="1" applyProtection="1">
      <alignment horizontal="center"/>
    </xf>
    <xf numFmtId="1" fontId="40" fillId="0" borderId="21" xfId="42" applyNumberFormat="1" applyFont="1" applyFill="1" applyBorder="1" applyAlignment="1" applyProtection="1">
      <alignment horizontal="center"/>
    </xf>
    <xf numFmtId="1" fontId="40" fillId="13" borderId="0" xfId="42" applyNumberFormat="1" applyFont="1" applyFill="1" applyBorder="1" applyAlignment="1" applyProtection="1">
      <alignment horizontal="center"/>
    </xf>
    <xf numFmtId="3" fontId="34" fillId="0" borderId="18" xfId="42" applyNumberFormat="1" applyFont="1" applyFill="1" applyBorder="1" applyProtection="1"/>
    <xf numFmtId="3" fontId="34" fillId="0" borderId="21" xfId="42" applyNumberFormat="1" applyFont="1" applyFill="1" applyBorder="1" applyProtection="1"/>
    <xf numFmtId="3" fontId="40" fillId="0" borderId="27" xfId="42" applyNumberFormat="1" applyFont="1" applyFill="1" applyBorder="1" applyAlignment="1" applyProtection="1">
      <alignment horizontal="center"/>
    </xf>
    <xf numFmtId="3" fontId="53" fillId="0" borderId="24" xfId="42" applyNumberFormat="1" applyFont="1" applyFill="1" applyBorder="1" applyProtection="1"/>
    <xf numFmtId="3" fontId="53" fillId="0" borderId="20" xfId="42" applyNumberFormat="1" applyFont="1" applyFill="1" applyBorder="1" applyProtection="1"/>
    <xf numFmtId="3" fontId="53" fillId="0" borderId="25" xfId="42" applyNumberFormat="1" applyFont="1" applyFill="1" applyBorder="1" applyAlignment="1" applyProtection="1">
      <alignment horizontal="center"/>
    </xf>
    <xf numFmtId="173" fontId="34" fillId="0" borderId="20" xfId="42" applyNumberFormat="1" applyFont="1" applyFill="1" applyBorder="1" applyProtection="1"/>
    <xf numFmtId="3" fontId="34" fillId="0" borderId="17" xfId="42" applyNumberFormat="1" applyFont="1" applyFill="1" applyBorder="1" applyProtection="1"/>
    <xf numFmtId="3" fontId="34" fillId="0" borderId="25" xfId="42" applyNumberFormat="1" applyFont="1" applyFill="1" applyBorder="1" applyProtection="1"/>
    <xf numFmtId="0" fontId="34" fillId="0" borderId="20" xfId="42" applyFont="1" applyFill="1" applyBorder="1" applyProtection="1"/>
    <xf numFmtId="0" fontId="34" fillId="0" borderId="45" xfId="42" applyFont="1" applyFill="1" applyBorder="1" applyProtection="1"/>
    <xf numFmtId="0" fontId="34" fillId="13" borderId="0" xfId="42" applyFont="1" applyFill="1" applyBorder="1" applyProtection="1"/>
    <xf numFmtId="3" fontId="34" fillId="0" borderId="27" xfId="42" applyNumberFormat="1" applyFont="1" applyFill="1" applyBorder="1" applyAlignment="1" applyProtection="1">
      <alignment horizontal="center"/>
    </xf>
    <xf numFmtId="166" fontId="34" fillId="0" borderId="21" xfId="42" applyNumberFormat="1" applyFont="1" applyFill="1" applyBorder="1" applyAlignment="1" applyProtection="1">
      <alignment horizontal="right"/>
    </xf>
    <xf numFmtId="166" fontId="34" fillId="0" borderId="46" xfId="42" applyNumberFormat="1" applyFont="1" applyFill="1" applyBorder="1" applyAlignment="1" applyProtection="1">
      <alignment horizontal="right"/>
    </xf>
    <xf numFmtId="3" fontId="43" fillId="0" borderId="18" xfId="42" applyNumberFormat="1" applyFont="1" applyFill="1" applyBorder="1" applyProtection="1"/>
    <xf numFmtId="166" fontId="34" fillId="0" borderId="27" xfId="42" applyNumberFormat="1" applyFont="1" applyFill="1" applyBorder="1" applyProtection="1"/>
    <xf numFmtId="3" fontId="53" fillId="0" borderId="18" xfId="42" applyNumberFormat="1" applyFont="1" applyFill="1" applyBorder="1" applyProtection="1"/>
    <xf numFmtId="3" fontId="53" fillId="0" borderId="21" xfId="42" applyNumberFormat="1" applyFont="1" applyFill="1" applyBorder="1" applyProtection="1"/>
    <xf numFmtId="166" fontId="34" fillId="0" borderId="21" xfId="42" applyNumberFormat="1" applyFont="1" applyFill="1" applyBorder="1" applyProtection="1"/>
    <xf numFmtId="166" fontId="34" fillId="0" borderId="46" xfId="42" applyNumberFormat="1" applyFont="1" applyFill="1" applyBorder="1" applyProtection="1"/>
    <xf numFmtId="3" fontId="43" fillId="0" borderId="27" xfId="42" applyNumberFormat="1" applyFont="1" applyFill="1" applyBorder="1" applyAlignment="1" applyProtection="1">
      <alignment horizontal="center"/>
    </xf>
    <xf numFmtId="3" fontId="34" fillId="0" borderId="24" xfId="42" applyNumberFormat="1" applyFont="1" applyFill="1" applyBorder="1" applyProtection="1"/>
    <xf numFmtId="3" fontId="34" fillId="0" borderId="20" xfId="42" applyNumberFormat="1" applyFont="1" applyFill="1" applyBorder="1" applyProtection="1"/>
    <xf numFmtId="3" fontId="34" fillId="0" borderId="25" xfId="42" applyNumberFormat="1" applyFont="1" applyFill="1" applyBorder="1" applyAlignment="1" applyProtection="1">
      <alignment horizontal="center"/>
    </xf>
    <xf numFmtId="0" fontId="34" fillId="0" borderId="27" xfId="42" applyFont="1" applyFill="1" applyBorder="1" applyAlignment="1" applyProtection="1">
      <alignment horizontal="center"/>
    </xf>
    <xf numFmtId="0" fontId="0" fillId="0" borderId="30" xfId="42" applyFont="1" applyFill="1" applyBorder="1"/>
    <xf numFmtId="0" fontId="40" fillId="13" borderId="0" xfId="42" applyFont="1" applyFill="1" applyAlignment="1" applyProtection="1">
      <alignment horizontal="right"/>
    </xf>
    <xf numFmtId="0" fontId="28" fillId="0" borderId="19" xfId="42" applyFont="1" applyFill="1" applyBorder="1"/>
    <xf numFmtId="0" fontId="34" fillId="13" borderId="0" xfId="42" applyFont="1" applyFill="1" applyProtection="1"/>
    <xf numFmtId="0" fontId="28" fillId="0" borderId="2" xfId="42" applyFont="1" applyFill="1" applyBorder="1"/>
    <xf numFmtId="0" fontId="34" fillId="0" borderId="21" xfId="42" applyFont="1" applyBorder="1" applyAlignment="1" applyProtection="1">
      <alignment horizontal="centerContinuous"/>
    </xf>
    <xf numFmtId="0" fontId="34" fillId="13" borderId="0" xfId="42" applyFont="1" applyFill="1" applyAlignment="1" applyProtection="1">
      <alignment horizontal="centerContinuous"/>
    </xf>
    <xf numFmtId="0" fontId="34" fillId="0" borderId="38" xfId="42" applyFont="1" applyBorder="1" applyProtection="1"/>
    <xf numFmtId="0" fontId="0" fillId="0" borderId="6" xfId="42" applyFont="1" applyBorder="1"/>
    <xf numFmtId="0" fontId="40" fillId="0" borderId="6" xfId="42" applyFont="1" applyBorder="1" applyAlignment="1" applyProtection="1">
      <alignment horizontal="left"/>
    </xf>
    <xf numFmtId="0" fontId="40" fillId="0" borderId="6" xfId="42" applyFont="1" applyBorder="1" applyAlignment="1" applyProtection="1">
      <alignment horizontal="centerContinuous"/>
    </xf>
    <xf numFmtId="0" fontId="40" fillId="0" borderId="8" xfId="42" applyFont="1" applyBorder="1" applyAlignment="1" applyProtection="1">
      <alignment horizontal="centerContinuous"/>
    </xf>
    <xf numFmtId="0" fontId="40" fillId="0" borderId="21" xfId="42" applyFont="1" applyBorder="1" applyAlignment="1" applyProtection="1">
      <alignment horizontal="centerContinuous"/>
    </xf>
    <xf numFmtId="1" fontId="40" fillId="0" borderId="2" xfId="42" applyNumberFormat="1" applyFont="1" applyFill="1" applyBorder="1" applyAlignment="1" applyProtection="1">
      <alignment horizontal="center"/>
    </xf>
    <xf numFmtId="0" fontId="40" fillId="0" borderId="31" xfId="42" applyFont="1" applyBorder="1" applyAlignment="1" applyProtection="1">
      <alignment horizontal="center"/>
    </xf>
    <xf numFmtId="0" fontId="48" fillId="0" borderId="41" xfId="42" applyFont="1" applyBorder="1" applyAlignment="1" applyProtection="1">
      <alignment horizontal="left"/>
    </xf>
    <xf numFmtId="0" fontId="48" fillId="0" borderId="31" xfId="42" applyFont="1" applyBorder="1" applyAlignment="1" applyProtection="1">
      <alignment horizontal="center"/>
    </xf>
    <xf numFmtId="0" fontId="48" fillId="0" borderId="43" xfId="42" applyFont="1" applyBorder="1" applyAlignment="1" applyProtection="1">
      <alignment horizontal="center"/>
    </xf>
    <xf numFmtId="0" fontId="48" fillId="0" borderId="21" xfId="42" applyFont="1" applyBorder="1" applyAlignment="1" applyProtection="1">
      <alignment horizontal="center"/>
    </xf>
    <xf numFmtId="0" fontId="40" fillId="0" borderId="2" xfId="42" applyFont="1" applyFill="1" applyBorder="1" applyAlignment="1" applyProtection="1">
      <alignment horizontal="centerContinuous"/>
    </xf>
    <xf numFmtId="0" fontId="34" fillId="0" borderId="2" xfId="42" applyFont="1" applyFill="1" applyBorder="1" applyProtection="1"/>
    <xf numFmtId="0" fontId="34" fillId="0" borderId="2" xfId="42" applyFont="1" applyFill="1" applyBorder="1" applyAlignment="1" applyProtection="1">
      <alignment horizontal="right"/>
    </xf>
    <xf numFmtId="0" fontId="34" fillId="0" borderId="30" xfId="42" quotePrefix="1" applyFont="1" applyBorder="1" applyAlignment="1" applyProtection="1">
      <alignment horizontal="left"/>
    </xf>
    <xf numFmtId="166" fontId="34" fillId="0" borderId="25" xfId="42" quotePrefix="1" applyNumberFormat="1" applyFont="1" applyFill="1" applyBorder="1" applyAlignment="1" applyProtection="1">
      <alignment horizontal="center"/>
    </xf>
    <xf numFmtId="166" fontId="34" fillId="0" borderId="17" xfId="42" quotePrefix="1" applyNumberFormat="1" applyFont="1" applyFill="1" applyBorder="1" applyAlignment="1" applyProtection="1">
      <alignment horizontal="right"/>
    </xf>
    <xf numFmtId="166" fontId="34" fillId="0" borderId="26" xfId="42" applyNumberFormat="1" applyFont="1" applyFill="1" applyBorder="1" applyAlignment="1" applyProtection="1">
      <alignment horizontal="center"/>
    </xf>
    <xf numFmtId="0" fontId="34" fillId="0" borderId="21" xfId="42" applyFont="1" applyFill="1" applyBorder="1" applyAlignment="1" applyProtection="1">
      <alignment horizontal="center"/>
    </xf>
    <xf numFmtId="166" fontId="40" fillId="0" borderId="37" xfId="42" applyNumberFormat="1" applyFont="1" applyFill="1" applyBorder="1" applyAlignment="1" applyProtection="1">
      <alignment horizontal="right"/>
    </xf>
    <xf numFmtId="166" fontId="40" fillId="0" borderId="32" xfId="42" applyNumberFormat="1" applyFont="1" applyFill="1" applyBorder="1" applyAlignment="1" applyProtection="1">
      <alignment horizontal="right"/>
    </xf>
    <xf numFmtId="0" fontId="48" fillId="0" borderId="31" xfId="42" applyFont="1" applyFill="1" applyBorder="1" applyAlignment="1" applyProtection="1">
      <alignment horizontal="center"/>
    </xf>
    <xf numFmtId="0" fontId="34" fillId="0" borderId="24" xfId="42" quotePrefix="1" applyFont="1" applyFill="1" applyBorder="1" applyAlignment="1" applyProtection="1">
      <alignment horizontal="left"/>
    </xf>
    <xf numFmtId="0" fontId="34" fillId="0" borderId="17" xfId="42" quotePrefix="1" applyFont="1" applyFill="1" applyBorder="1" applyAlignment="1" applyProtection="1">
      <alignment horizontal="left"/>
    </xf>
    <xf numFmtId="0" fontId="43" fillId="0" borderId="18" xfId="42" applyFont="1" applyFill="1" applyBorder="1" applyAlignment="1" applyProtection="1">
      <alignment horizontal="left"/>
    </xf>
    <xf numFmtId="0" fontId="40" fillId="0" borderId="29" xfId="42" quotePrefix="1" applyFont="1" applyBorder="1" applyAlignment="1" applyProtection="1">
      <alignment horizontal="left"/>
    </xf>
    <xf numFmtId="0" fontId="48" fillId="0" borderId="27" xfId="42" applyFont="1" applyBorder="1" applyAlignment="1" applyProtection="1">
      <alignment horizontal="center"/>
    </xf>
    <xf numFmtId="166" fontId="40" fillId="0" borderId="27" xfId="42" applyNumberFormat="1" applyFont="1" applyFill="1" applyBorder="1" applyAlignment="1" applyProtection="1">
      <alignment horizontal="right"/>
    </xf>
    <xf numFmtId="0" fontId="40" fillId="0" borderId="2" xfId="42" applyFont="1" applyFill="1" applyBorder="1" applyAlignment="1" applyProtection="1">
      <alignment horizontal="right"/>
    </xf>
    <xf numFmtId="166" fontId="34" fillId="0" borderId="45" xfId="42" applyNumberFormat="1" applyFont="1" applyFill="1" applyBorder="1" applyAlignment="1" applyProtection="1">
      <alignment horizontal="center"/>
    </xf>
    <xf numFmtId="0" fontId="0" fillId="0" borderId="27" xfId="42" applyFont="1" applyFill="1" applyBorder="1"/>
    <xf numFmtId="166" fontId="0" fillId="0" borderId="27" xfId="42" applyNumberFormat="1" applyFont="1" applyFill="1" applyBorder="1"/>
    <xf numFmtId="166" fontId="0" fillId="0" borderId="27" xfId="42" quotePrefix="1" applyNumberFormat="1" applyFont="1" applyFill="1" applyBorder="1" applyAlignment="1">
      <alignment horizontal="center"/>
    </xf>
    <xf numFmtId="166" fontId="0" fillId="0" borderId="46" xfId="42" applyNumberFormat="1" applyFont="1" applyFill="1" applyBorder="1" applyAlignment="1">
      <alignment horizontal="center"/>
    </xf>
    <xf numFmtId="0" fontId="0" fillId="0" borderId="21" xfId="42" applyFont="1" applyFill="1" applyBorder="1" applyAlignment="1">
      <alignment horizontal="center"/>
    </xf>
    <xf numFmtId="0" fontId="43" fillId="0" borderId="29" xfId="42" applyFont="1" applyFill="1" applyBorder="1" applyAlignment="1" applyProtection="1">
      <alignment horizontal="left"/>
    </xf>
    <xf numFmtId="0" fontId="0" fillId="0" borderId="31" xfId="42" applyFont="1" applyFill="1" applyBorder="1"/>
    <xf numFmtId="166" fontId="0" fillId="0" borderId="31" xfId="42" applyNumberFormat="1" applyFont="1" applyFill="1" applyBorder="1"/>
    <xf numFmtId="166" fontId="0" fillId="0" borderId="31" xfId="42" quotePrefix="1" applyNumberFormat="1" applyFont="1" applyFill="1" applyBorder="1" applyAlignment="1">
      <alignment horizontal="center"/>
    </xf>
    <xf numFmtId="166" fontId="0" fillId="0" borderId="47" xfId="42" applyNumberFormat="1" applyFont="1" applyFill="1" applyBorder="1" applyAlignment="1">
      <alignment horizontal="center"/>
    </xf>
    <xf numFmtId="0" fontId="3" fillId="0" borderId="36" xfId="42" applyFont="1" applyBorder="1" applyAlignment="1">
      <alignment horizontal="center"/>
    </xf>
    <xf numFmtId="0" fontId="40" fillId="0" borderId="48" xfId="42" quotePrefix="1" applyFont="1" applyBorder="1" applyAlignment="1" applyProtection="1">
      <alignment horizontal="left"/>
    </xf>
    <xf numFmtId="0" fontId="48" fillId="0" borderId="49" xfId="42" applyFont="1" applyBorder="1" applyAlignment="1" applyProtection="1">
      <alignment horizontal="center"/>
    </xf>
    <xf numFmtId="166" fontId="40" fillId="0" borderId="49" xfId="42" applyNumberFormat="1" applyFont="1" applyFill="1" applyBorder="1" applyAlignment="1" applyProtection="1">
      <alignment horizontal="right"/>
    </xf>
    <xf numFmtId="166" fontId="40" fillId="0" borderId="50" xfId="42" applyNumberFormat="1" applyFont="1" applyFill="1" applyBorder="1" applyAlignment="1" applyProtection="1">
      <alignment horizontal="right"/>
    </xf>
    <xf numFmtId="0" fontId="42" fillId="0" borderId="0" xfId="42" applyFont="1" applyBorder="1" applyAlignment="1" applyProtection="1">
      <alignment horizontal="center"/>
    </xf>
    <xf numFmtId="0" fontId="34" fillId="0" borderId="7" xfId="42" applyFont="1" applyFill="1" applyBorder="1" applyAlignment="1" applyProtection="1">
      <alignment horizontal="left"/>
    </xf>
    <xf numFmtId="0" fontId="34" fillId="0" borderId="6" xfId="42" quotePrefix="1" applyFont="1" applyFill="1" applyBorder="1" applyAlignment="1" applyProtection="1">
      <alignment horizontal="left"/>
    </xf>
    <xf numFmtId="0" fontId="42" fillId="0" borderId="38" xfId="42" applyFont="1" applyFill="1" applyBorder="1" applyAlignment="1" applyProtection="1">
      <alignment horizontal="center"/>
    </xf>
    <xf numFmtId="166" fontId="34" fillId="0" borderId="38" xfId="42" applyNumberFormat="1" applyFont="1" applyFill="1" applyBorder="1" applyAlignment="1" applyProtection="1">
      <alignment horizontal="right"/>
    </xf>
    <xf numFmtId="166" fontId="34" fillId="0" borderId="6" xfId="42" applyNumberFormat="1" applyFont="1" applyFill="1" applyBorder="1" applyAlignment="1" applyProtection="1">
      <alignment horizontal="right"/>
    </xf>
    <xf numFmtId="166" fontId="34" fillId="0" borderId="51" xfId="42" applyNumberFormat="1" applyFont="1" applyFill="1" applyBorder="1" applyAlignment="1" applyProtection="1">
      <alignment horizontal="right"/>
    </xf>
    <xf numFmtId="0" fontId="34" fillId="0" borderId="18" xfId="42" applyFont="1" applyFill="1" applyBorder="1" applyAlignment="1" applyProtection="1">
      <alignment horizontal="left"/>
    </xf>
    <xf numFmtId="0" fontId="40" fillId="0" borderId="18" xfId="42" applyFont="1" applyBorder="1" applyAlignment="1" applyProtection="1">
      <alignment horizontal="left"/>
    </xf>
    <xf numFmtId="166" fontId="40" fillId="0" borderId="28" xfId="42" applyNumberFormat="1" applyFont="1" applyFill="1" applyBorder="1" applyAlignment="1" applyProtection="1">
      <alignment horizontal="right"/>
    </xf>
    <xf numFmtId="0" fontId="43" fillId="0" borderId="18" xfId="42" applyFont="1" applyBorder="1" applyAlignment="1" applyProtection="1">
      <alignment horizontal="left"/>
    </xf>
    <xf numFmtId="0" fontId="43" fillId="0" borderId="0" xfId="42" quotePrefix="1" applyFont="1" applyBorder="1" applyAlignment="1" applyProtection="1">
      <alignment horizontal="left"/>
    </xf>
    <xf numFmtId="166" fontId="34" fillId="0" borderId="28" xfId="42" applyNumberFormat="1" applyFont="1" applyFill="1" applyBorder="1" applyProtection="1"/>
    <xf numFmtId="0" fontId="40" fillId="0" borderId="33" xfId="42" applyFont="1" applyFill="1" applyBorder="1" applyAlignment="1" applyProtection="1">
      <alignment horizontal="left"/>
    </xf>
    <xf numFmtId="0" fontId="40" fillId="0" borderId="3" xfId="42" quotePrefix="1" applyFont="1" applyFill="1" applyBorder="1" applyAlignment="1" applyProtection="1">
      <alignment horizontal="left"/>
    </xf>
    <xf numFmtId="0" fontId="48" fillId="0" borderId="42" xfId="42" applyFont="1" applyFill="1" applyBorder="1" applyAlignment="1" applyProtection="1">
      <alignment horizontal="center"/>
    </xf>
    <xf numFmtId="166" fontId="40" fillId="0" borderId="42" xfId="42" applyNumberFormat="1" applyFont="1" applyFill="1" applyBorder="1" applyAlignment="1" applyProtection="1">
      <alignment horizontal="right"/>
    </xf>
    <xf numFmtId="166" fontId="40" fillId="0" borderId="3" xfId="42" applyNumberFormat="1" applyFont="1" applyFill="1" applyBorder="1" applyAlignment="1" applyProtection="1">
      <alignment horizontal="right"/>
    </xf>
    <xf numFmtId="166" fontId="40" fillId="0" borderId="35" xfId="42" applyNumberFormat="1" applyFont="1" applyFill="1" applyBorder="1" applyAlignment="1" applyProtection="1">
      <alignment horizontal="right"/>
    </xf>
    <xf numFmtId="0" fontId="28" fillId="0" borderId="36" xfId="42" applyFont="1" applyFill="1" applyBorder="1"/>
    <xf numFmtId="0" fontId="34" fillId="0" borderId="30" xfId="42" applyFont="1" applyBorder="1" applyAlignment="1" applyProtection="1">
      <alignment horizontal="left"/>
    </xf>
    <xf numFmtId="0" fontId="40" fillId="0" borderId="30" xfId="42" quotePrefix="1" applyFont="1" applyBorder="1" applyAlignment="1" applyProtection="1">
      <alignment horizontal="right"/>
    </xf>
    <xf numFmtId="0" fontId="40" fillId="0" borderId="37" xfId="42" quotePrefix="1" applyFont="1" applyBorder="1" applyAlignment="1" applyProtection="1">
      <alignment horizontal="right"/>
    </xf>
    <xf numFmtId="0" fontId="40" fillId="13" borderId="0" xfId="42" quotePrefix="1" applyFont="1" applyFill="1" applyAlignment="1" applyProtection="1">
      <alignment horizontal="left"/>
    </xf>
    <xf numFmtId="0" fontId="34" fillId="13" borderId="0" xfId="42" applyFont="1" applyFill="1" applyBorder="1" applyAlignment="1" applyProtection="1">
      <alignment horizontal="left"/>
    </xf>
    <xf numFmtId="0" fontId="34" fillId="13" borderId="0" xfId="42" quotePrefix="1" applyFont="1" applyFill="1" applyBorder="1" applyAlignment="1" applyProtection="1">
      <alignment horizontal="left"/>
    </xf>
    <xf numFmtId="0" fontId="28" fillId="13" borderId="0" xfId="42" applyFont="1" applyFill="1" applyBorder="1"/>
    <xf numFmtId="0" fontId="34" fillId="0" borderId="19" xfId="42" applyFont="1" applyFill="1" applyBorder="1" applyProtection="1"/>
    <xf numFmtId="0" fontId="39" fillId="0" borderId="17" xfId="42" applyFont="1" applyFill="1" applyBorder="1" applyProtection="1"/>
    <xf numFmtId="14" fontId="36" fillId="0" borderId="21" xfId="42" applyNumberFormat="1" applyFont="1" applyBorder="1" applyAlignment="1" applyProtection="1">
      <alignment horizontal="center"/>
    </xf>
    <xf numFmtId="1" fontId="39" fillId="0" borderId="22" xfId="42" applyNumberFormat="1" applyFont="1" applyBorder="1" applyAlignment="1" applyProtection="1">
      <alignment horizontal="center"/>
    </xf>
    <xf numFmtId="1" fontId="39" fillId="0" borderId="21" xfId="42" applyNumberFormat="1" applyFont="1" applyBorder="1" applyAlignment="1" applyProtection="1">
      <alignment horizontal="center"/>
    </xf>
    <xf numFmtId="166" fontId="34" fillId="0" borderId="21" xfId="42" applyNumberFormat="1" applyFont="1" applyBorder="1" applyProtection="1"/>
    <xf numFmtId="166" fontId="34" fillId="0" borderId="28" xfId="42" applyNumberFormat="1" applyFont="1" applyBorder="1" applyProtection="1"/>
    <xf numFmtId="0" fontId="43" fillId="0" borderId="0" xfId="42" applyFont="1" applyBorder="1" applyAlignment="1" applyProtection="1">
      <alignment horizontal="left"/>
    </xf>
    <xf numFmtId="0" fontId="43" fillId="0" borderId="21" xfId="42" applyFont="1" applyBorder="1" applyProtection="1"/>
    <xf numFmtId="0" fontId="43" fillId="0" borderId="2" xfId="42" applyFont="1" applyFill="1" applyBorder="1" applyProtection="1"/>
    <xf numFmtId="166" fontId="40" fillId="0" borderId="32" xfId="42" applyNumberFormat="1" applyFont="1" applyBorder="1" applyProtection="1"/>
    <xf numFmtId="0" fontId="43" fillId="0" borderId="2" xfId="42" quotePrefix="1" applyFont="1" applyFill="1" applyBorder="1" applyAlignment="1" applyProtection="1">
      <alignment horizontal="left"/>
    </xf>
    <xf numFmtId="0" fontId="34" fillId="0" borderId="2" xfId="42" applyFont="1" applyFill="1" applyBorder="1" applyAlignment="1" applyProtection="1">
      <alignment horizontal="left"/>
    </xf>
    <xf numFmtId="0" fontId="43" fillId="0" borderId="2" xfId="42" applyFont="1" applyFill="1" applyBorder="1" applyAlignment="1" applyProtection="1">
      <alignment horizontal="left"/>
    </xf>
    <xf numFmtId="0" fontId="34" fillId="0" borderId="18" xfId="42" applyFont="1" applyBorder="1" applyAlignment="1" applyProtection="1">
      <alignment horizontal="left"/>
    </xf>
    <xf numFmtId="0" fontId="43" fillId="0" borderId="33" xfId="42" applyFont="1" applyBorder="1" applyAlignment="1" applyProtection="1">
      <alignment horizontal="left"/>
    </xf>
    <xf numFmtId="0" fontId="43" fillId="0" borderId="3" xfId="42" applyFont="1" applyBorder="1" applyAlignment="1" applyProtection="1">
      <alignment horizontal="left"/>
    </xf>
    <xf numFmtId="0" fontId="32" fillId="0" borderId="0" xfId="42" applyFont="1" applyBorder="1"/>
    <xf numFmtId="166" fontId="40" fillId="0" borderId="25" xfId="42" applyNumberFormat="1" applyFont="1" applyBorder="1" applyProtection="1"/>
    <xf numFmtId="166" fontId="40" fillId="0" borderId="46" xfId="42" applyNumberFormat="1" applyFont="1" applyBorder="1" applyProtection="1"/>
    <xf numFmtId="0" fontId="34" fillId="0" borderId="23" xfId="42" applyFont="1" applyBorder="1" applyProtection="1"/>
    <xf numFmtId="0" fontId="34" fillId="0" borderId="2" xfId="42" applyFont="1" applyFill="1" applyBorder="1" applyAlignment="1" applyProtection="1">
      <alignment horizontal="center"/>
    </xf>
    <xf numFmtId="0" fontId="34" fillId="0" borderId="20" xfId="42" quotePrefix="1" applyFont="1" applyFill="1" applyBorder="1" applyAlignment="1" applyProtection="1">
      <alignment horizontal="left"/>
    </xf>
    <xf numFmtId="166" fontId="34" fillId="0" borderId="26" xfId="42" applyNumberFormat="1" applyFont="1" applyBorder="1" applyProtection="1"/>
    <xf numFmtId="166" fontId="34" fillId="0" borderId="27" xfId="42" applyNumberFormat="1" applyFont="1" applyBorder="1" applyAlignment="1" applyProtection="1">
      <alignment horizontal="right"/>
    </xf>
    <xf numFmtId="166" fontId="34" fillId="0" borderId="28" xfId="42" applyNumberFormat="1" applyFont="1" applyBorder="1" applyAlignment="1" applyProtection="1">
      <alignment horizontal="right"/>
    </xf>
    <xf numFmtId="0" fontId="43" fillId="0" borderId="21" xfId="42" applyFont="1" applyBorder="1" applyAlignment="1" applyProtection="1">
      <alignment horizontal="right"/>
    </xf>
    <xf numFmtId="166" fontId="34" fillId="0" borderId="27" xfId="42" quotePrefix="1" applyNumberFormat="1" applyFont="1" applyBorder="1" applyAlignment="1" applyProtection="1">
      <alignment horizontal="right"/>
    </xf>
    <xf numFmtId="0" fontId="34" fillId="0" borderId="21" xfId="42" quotePrefix="1" applyFont="1" applyFill="1" applyBorder="1" applyAlignment="1" applyProtection="1">
      <alignment horizontal="left"/>
    </xf>
    <xf numFmtId="0" fontId="34" fillId="0" borderId="21" xfId="42" applyFont="1" applyBorder="1" applyAlignment="1" applyProtection="1">
      <alignment horizontal="right"/>
    </xf>
    <xf numFmtId="0" fontId="40" fillId="0" borderId="37" xfId="42" quotePrefix="1" applyFont="1" applyBorder="1" applyAlignment="1" applyProtection="1">
      <alignment horizontal="left"/>
    </xf>
    <xf numFmtId="0" fontId="40" fillId="0" borderId="21" xfId="42" applyFont="1" applyBorder="1" applyAlignment="1" applyProtection="1">
      <alignment horizontal="right"/>
    </xf>
    <xf numFmtId="166" fontId="34" fillId="0" borderId="25" xfId="42" applyNumberFormat="1" applyFont="1" applyBorder="1" applyAlignment="1" applyProtection="1">
      <alignment horizontal="right"/>
    </xf>
    <xf numFmtId="166" fontId="34" fillId="0" borderId="26" xfId="42" applyNumberFormat="1" applyFont="1" applyBorder="1" applyAlignment="1" applyProtection="1">
      <alignment horizontal="right"/>
    </xf>
    <xf numFmtId="0" fontId="40" fillId="0" borderId="33" xfId="42" quotePrefix="1" applyFont="1" applyBorder="1" applyAlignment="1" applyProtection="1">
      <alignment horizontal="left"/>
    </xf>
    <xf numFmtId="0" fontId="40" fillId="0" borderId="52" xfId="42" quotePrefix="1" applyFont="1" applyBorder="1" applyAlignment="1" applyProtection="1">
      <alignment horizontal="left"/>
    </xf>
    <xf numFmtId="166" fontId="40" fillId="0" borderId="42" xfId="42" applyNumberFormat="1" applyFont="1" applyBorder="1" applyProtection="1"/>
    <xf numFmtId="166" fontId="40" fillId="0" borderId="35" xfId="42" applyNumberFormat="1" applyFont="1" applyBorder="1" applyProtection="1"/>
    <xf numFmtId="0" fontId="45" fillId="13" borderId="0" xfId="42" applyFont="1" applyFill="1"/>
    <xf numFmtId="14" fontId="34" fillId="0" borderId="0" xfId="42" applyNumberFormat="1" applyFont="1" applyBorder="1" applyProtection="1"/>
    <xf numFmtId="14" fontId="34" fillId="0" borderId="21" xfId="42" applyNumberFormat="1" applyFont="1" applyBorder="1" applyProtection="1"/>
    <xf numFmtId="14" fontId="34" fillId="13" borderId="0" xfId="42" applyNumberFormat="1" applyFont="1" applyFill="1" applyProtection="1"/>
    <xf numFmtId="0" fontId="28" fillId="0" borderId="27" xfId="42" applyFont="1" applyBorder="1" applyProtection="1"/>
    <xf numFmtId="0" fontId="40" fillId="0" borderId="21" xfId="42" quotePrefix="1" applyFont="1" applyBorder="1" applyAlignment="1" applyProtection="1">
      <alignment horizontal="center"/>
    </xf>
    <xf numFmtId="0" fontId="34" fillId="0" borderId="25" xfId="42" applyFont="1" applyBorder="1" applyAlignment="1" applyProtection="1">
      <alignment horizontal="center"/>
    </xf>
    <xf numFmtId="0" fontId="34" fillId="0" borderId="53" xfId="42" applyFont="1" applyBorder="1" applyAlignment="1" applyProtection="1">
      <alignment horizontal="center"/>
    </xf>
    <xf numFmtId="0" fontId="40" fillId="0" borderId="54" xfId="42" applyFont="1" applyBorder="1" applyAlignment="1" applyProtection="1">
      <alignment horizontal="centerContinuous"/>
    </xf>
    <xf numFmtId="0" fontId="34" fillId="0" borderId="27" xfId="42" applyFont="1" applyBorder="1" applyAlignment="1" applyProtection="1">
      <alignment horizontal="center"/>
    </xf>
    <xf numFmtId="0" fontId="43" fillId="0" borderId="27" xfId="42" applyFont="1" applyFill="1" applyBorder="1" applyAlignment="1" applyProtection="1">
      <alignment horizontal="center"/>
    </xf>
    <xf numFmtId="0" fontId="34" fillId="0" borderId="31" xfId="42" applyFont="1" applyFill="1" applyBorder="1" applyAlignment="1" applyProtection="1">
      <alignment horizontal="center"/>
    </xf>
    <xf numFmtId="0" fontId="34" fillId="0" borderId="3" xfId="42" quotePrefix="1" applyFont="1" applyFill="1" applyBorder="1" applyAlignment="1" applyProtection="1">
      <alignment horizontal="left"/>
    </xf>
    <xf numFmtId="0" fontId="34" fillId="0" borderId="42" xfId="42" applyFont="1" applyFill="1" applyBorder="1" applyAlignment="1" applyProtection="1">
      <alignment horizontal="center"/>
    </xf>
    <xf numFmtId="0" fontId="43" fillId="0" borderId="36" xfId="42" applyFont="1" applyFill="1" applyBorder="1" applyProtection="1"/>
    <xf numFmtId="0" fontId="34" fillId="0" borderId="0" xfId="42" quotePrefix="1" applyFont="1" applyBorder="1" applyProtection="1"/>
    <xf numFmtId="0" fontId="28" fillId="0" borderId="2" xfId="42" applyFont="1" applyFill="1" applyBorder="1" applyAlignment="1" applyProtection="1">
      <alignment horizontal="centerContinuous"/>
    </xf>
    <xf numFmtId="0" fontId="38" fillId="0" borderId="41" xfId="42" applyFont="1" applyFill="1" applyBorder="1" applyAlignment="1" applyProtection="1">
      <alignment horizontal="center"/>
    </xf>
    <xf numFmtId="0" fontId="38" fillId="0" borderId="41" xfId="42" quotePrefix="1" applyFont="1" applyFill="1" applyBorder="1" applyAlignment="1" applyProtection="1">
      <alignment horizontal="center"/>
    </xf>
    <xf numFmtId="0" fontId="38" fillId="0" borderId="43" xfId="42" quotePrefix="1" applyFont="1" applyFill="1" applyBorder="1" applyAlignment="1" applyProtection="1">
      <alignment horizontal="center"/>
    </xf>
    <xf numFmtId="0" fontId="38" fillId="0" borderId="21" xfId="42" quotePrefix="1" applyFont="1" applyFill="1" applyBorder="1" applyAlignment="1" applyProtection="1">
      <alignment horizontal="center"/>
    </xf>
    <xf numFmtId="166" fontId="34" fillId="0" borderId="19" xfId="42" applyNumberFormat="1" applyFont="1" applyBorder="1" applyAlignment="1" applyProtection="1">
      <alignment horizontal="right"/>
    </xf>
    <xf numFmtId="166" fontId="34" fillId="0" borderId="17" xfId="42" applyNumberFormat="1" applyFont="1" applyBorder="1" applyAlignment="1" applyProtection="1">
      <alignment horizontal="right"/>
    </xf>
    <xf numFmtId="166" fontId="34" fillId="0" borderId="2" xfId="42" applyNumberFormat="1" applyFont="1" applyBorder="1" applyAlignment="1" applyProtection="1">
      <alignment horizontal="right"/>
    </xf>
    <xf numFmtId="166" fontId="34" fillId="0" borderId="0" xfId="42" applyNumberFormat="1" applyFont="1" applyBorder="1" applyAlignment="1" applyProtection="1">
      <alignment horizontal="right"/>
    </xf>
    <xf numFmtId="0" fontId="40" fillId="0" borderId="18" xfId="42" applyFont="1" applyBorder="1" applyProtection="1"/>
    <xf numFmtId="166" fontId="40" fillId="0" borderId="2" xfId="42" applyNumberFormat="1" applyFont="1" applyBorder="1" applyAlignment="1" applyProtection="1">
      <alignment horizontal="right"/>
    </xf>
    <xf numFmtId="166" fontId="40" fillId="0" borderId="27" xfId="42" applyNumberFormat="1" applyFont="1" applyBorder="1" applyAlignment="1" applyProtection="1">
      <alignment horizontal="right"/>
    </xf>
    <xf numFmtId="166" fontId="40" fillId="0" borderId="0" xfId="42" applyNumberFormat="1" applyFont="1" applyBorder="1" applyAlignment="1" applyProtection="1">
      <alignment horizontal="right"/>
    </xf>
    <xf numFmtId="166" fontId="40" fillId="0" borderId="28" xfId="42" applyNumberFormat="1" applyFont="1" applyBorder="1" applyAlignment="1" applyProtection="1">
      <alignment horizontal="right"/>
    </xf>
    <xf numFmtId="0" fontId="43" fillId="0" borderId="3" xfId="42" applyFont="1" applyBorder="1" applyProtection="1"/>
    <xf numFmtId="166" fontId="34" fillId="0" borderId="34" xfId="42" applyNumberFormat="1" applyFont="1" applyBorder="1" applyAlignment="1" applyProtection="1">
      <alignment horizontal="right"/>
    </xf>
    <xf numFmtId="166" fontId="34" fillId="0" borderId="42" xfId="42" applyNumberFormat="1" applyFont="1" applyFill="1" applyBorder="1" applyAlignment="1" applyProtection="1">
      <alignment horizontal="right"/>
    </xf>
    <xf numFmtId="166" fontId="34" fillId="0" borderId="3" xfId="42" applyNumberFormat="1" applyFont="1" applyBorder="1" applyAlignment="1" applyProtection="1">
      <alignment horizontal="right"/>
    </xf>
    <xf numFmtId="0" fontId="0" fillId="0" borderId="46" xfId="42" applyFont="1" applyBorder="1"/>
    <xf numFmtId="0" fontId="0" fillId="0" borderId="55" xfId="42" applyFont="1" applyBorder="1"/>
    <xf numFmtId="0" fontId="0" fillId="0" borderId="51" xfId="42" applyFont="1" applyBorder="1"/>
    <xf numFmtId="0" fontId="40" fillId="0" borderId="2" xfId="42" quotePrefix="1" applyFont="1" applyBorder="1" applyAlignment="1" applyProtection="1">
      <alignment horizontal="right"/>
    </xf>
    <xf numFmtId="0" fontId="40" fillId="0" borderId="27" xfId="42" applyFont="1" applyBorder="1" applyAlignment="1" applyProtection="1">
      <alignment horizontal="right"/>
    </xf>
    <xf numFmtId="0" fontId="40" fillId="0" borderId="0" xfId="42" quotePrefix="1" applyFont="1" applyBorder="1" applyAlignment="1" applyProtection="1">
      <alignment horizontal="right"/>
    </xf>
    <xf numFmtId="0" fontId="40" fillId="0" borderId="28" xfId="42" applyFont="1" applyBorder="1" applyAlignment="1" applyProtection="1">
      <alignment horizontal="right"/>
    </xf>
    <xf numFmtId="0" fontId="34" fillId="0" borderId="2" xfId="42" applyFont="1" applyBorder="1" applyAlignment="1" applyProtection="1">
      <alignment horizontal="right"/>
    </xf>
    <xf numFmtId="0" fontId="40" fillId="0" borderId="3" xfId="42" applyFont="1" applyBorder="1" applyProtection="1"/>
    <xf numFmtId="0" fontId="34" fillId="0" borderId="34" xfId="42" applyFont="1" applyBorder="1" applyAlignment="1" applyProtection="1">
      <alignment horizontal="right"/>
    </xf>
    <xf numFmtId="0" fontId="40" fillId="0" borderId="42" xfId="42" applyFont="1" applyBorder="1" applyAlignment="1" applyProtection="1">
      <alignment horizontal="right"/>
    </xf>
    <xf numFmtId="0" fontId="40" fillId="0" borderId="35" xfId="42" applyFont="1" applyBorder="1" applyAlignment="1" applyProtection="1">
      <alignment horizontal="right"/>
    </xf>
    <xf numFmtId="0" fontId="34" fillId="0" borderId="23" xfId="42" applyFont="1" applyFill="1" applyBorder="1" applyProtection="1"/>
    <xf numFmtId="0" fontId="40" fillId="0" borderId="38" xfId="42" applyFont="1" applyFill="1" applyBorder="1" applyAlignment="1" applyProtection="1">
      <alignment horizontal="center"/>
    </xf>
    <xf numFmtId="1" fontId="40" fillId="0" borderId="55" xfId="42" applyNumberFormat="1" applyFont="1" applyBorder="1" applyAlignment="1" applyProtection="1">
      <alignment horizontal="center"/>
    </xf>
    <xf numFmtId="0" fontId="34" fillId="0" borderId="37" xfId="42" applyFont="1" applyFill="1" applyBorder="1" applyProtection="1"/>
    <xf numFmtId="0" fontId="40" fillId="0" borderId="27" xfId="42" applyFont="1" applyFill="1" applyBorder="1" applyAlignment="1" applyProtection="1">
      <alignment horizontal="center"/>
    </xf>
    <xf numFmtId="0" fontId="40" fillId="0" borderId="24" xfId="42" applyFont="1" applyFill="1" applyBorder="1" applyProtection="1"/>
    <xf numFmtId="0" fontId="40" fillId="0" borderId="25" xfId="42" applyFont="1" applyFill="1" applyBorder="1" applyAlignment="1" applyProtection="1">
      <alignment horizontal="center"/>
    </xf>
    <xf numFmtId="166" fontId="40" fillId="0" borderId="25" xfId="42" applyNumberFormat="1" applyFont="1" applyFill="1" applyBorder="1" applyProtection="1"/>
    <xf numFmtId="0" fontId="34" fillId="0" borderId="29" xfId="42" applyFont="1" applyFill="1" applyBorder="1" applyProtection="1"/>
    <xf numFmtId="166" fontId="34" fillId="0" borderId="31" xfId="42" applyNumberFormat="1" applyFont="1" applyFill="1" applyBorder="1" applyProtection="1"/>
    <xf numFmtId="166" fontId="34" fillId="0" borderId="37" xfId="42" applyNumberFormat="1" applyFont="1" applyFill="1" applyBorder="1" applyProtection="1"/>
    <xf numFmtId="166" fontId="34" fillId="0" borderId="30" xfId="42" applyNumberFormat="1" applyFont="1" applyFill="1" applyBorder="1" applyProtection="1"/>
    <xf numFmtId="166" fontId="34" fillId="0" borderId="47" xfId="42" applyNumberFormat="1" applyFont="1" applyFill="1" applyBorder="1" applyProtection="1"/>
    <xf numFmtId="0" fontId="32" fillId="0" borderId="29" xfId="42" applyFont="1" applyFill="1" applyBorder="1" applyProtection="1"/>
    <xf numFmtId="0" fontId="40" fillId="0" borderId="31" xfId="42" applyFont="1" applyFill="1" applyBorder="1" applyAlignment="1" applyProtection="1">
      <alignment horizontal="center"/>
    </xf>
    <xf numFmtId="0" fontId="28" fillId="0" borderId="18" xfId="42" applyFont="1" applyFill="1" applyBorder="1" applyProtection="1"/>
    <xf numFmtId="166" fontId="28" fillId="0" borderId="21" xfId="42" applyNumberFormat="1" applyFont="1" applyFill="1" applyBorder="1" applyAlignment="1" applyProtection="1">
      <alignment horizontal="right"/>
    </xf>
    <xf numFmtId="0" fontId="40" fillId="0" borderId="33" xfId="42" applyFont="1" applyFill="1" applyBorder="1" applyProtection="1"/>
    <xf numFmtId="0" fontId="50" fillId="0" borderId="42" xfId="42" applyFont="1" applyFill="1" applyBorder="1" applyProtection="1"/>
    <xf numFmtId="166" fontId="40" fillId="0" borderId="52" xfId="42" applyNumberFormat="1" applyFont="1" applyFill="1" applyBorder="1" applyAlignment="1" applyProtection="1">
      <alignment horizontal="right"/>
    </xf>
    <xf numFmtId="0" fontId="34" fillId="0" borderId="21" xfId="42" applyFont="1" applyFill="1" applyBorder="1" applyAlignment="1" applyProtection="1">
      <alignment horizontal="centerContinuous"/>
    </xf>
    <xf numFmtId="1" fontId="39" fillId="0" borderId="21" xfId="42" applyNumberFormat="1" applyFont="1" applyFill="1" applyBorder="1" applyAlignment="1" applyProtection="1">
      <alignment horizontal="center"/>
    </xf>
    <xf numFmtId="166" fontId="40" fillId="0" borderId="26" xfId="42" applyNumberFormat="1" applyFont="1" applyFill="1" applyBorder="1" applyProtection="1"/>
    <xf numFmtId="0" fontId="40" fillId="0" borderId="21" xfId="42" applyFont="1" applyFill="1" applyBorder="1" applyProtection="1"/>
    <xf numFmtId="166" fontId="40" fillId="0" borderId="31" xfId="42" applyNumberFormat="1" applyFont="1" applyFill="1" applyBorder="1" applyProtection="1"/>
    <xf numFmtId="166" fontId="40" fillId="0" borderId="32" xfId="42" applyNumberFormat="1" applyFont="1" applyFill="1" applyBorder="1" applyProtection="1"/>
    <xf numFmtId="0" fontId="50" fillId="0" borderId="29" xfId="42" applyFont="1" applyFill="1" applyBorder="1" applyProtection="1"/>
    <xf numFmtId="0" fontId="50" fillId="0" borderId="31" xfId="42" applyFont="1" applyFill="1" applyBorder="1" applyAlignment="1" applyProtection="1">
      <alignment horizontal="center"/>
    </xf>
    <xf numFmtId="166" fontId="50" fillId="0" borderId="37" xfId="42" applyNumberFormat="1" applyFont="1" applyFill="1" applyBorder="1" applyProtection="1"/>
    <xf numFmtId="0" fontId="50" fillId="0" borderId="21" xfId="42" applyFont="1" applyFill="1" applyBorder="1" applyProtection="1"/>
    <xf numFmtId="0" fontId="28" fillId="0" borderId="27" xfId="42" applyFont="1" applyFill="1" applyBorder="1" applyAlignment="1" applyProtection="1">
      <alignment horizontal="center"/>
    </xf>
    <xf numFmtId="166" fontId="28" fillId="0" borderId="27" xfId="42" applyNumberFormat="1" applyFont="1" applyFill="1" applyBorder="1" applyProtection="1"/>
    <xf numFmtId="166" fontId="28" fillId="0" borderId="21" xfId="42" applyNumberFormat="1" applyFont="1" applyFill="1" applyBorder="1" applyProtection="1"/>
    <xf numFmtId="166" fontId="28" fillId="0" borderId="46" xfId="42" applyNumberFormat="1" applyFont="1" applyFill="1" applyBorder="1" applyProtection="1"/>
    <xf numFmtId="0" fontId="28" fillId="0" borderId="21" xfId="42" applyFont="1" applyFill="1" applyBorder="1" applyProtection="1"/>
    <xf numFmtId="0" fontId="50" fillId="0" borderId="33" xfId="42" applyFont="1" applyFill="1" applyBorder="1" applyProtection="1"/>
    <xf numFmtId="166" fontId="50" fillId="0" borderId="42" xfId="42" applyNumberFormat="1" applyFont="1" applyFill="1" applyBorder="1" applyProtection="1"/>
    <xf numFmtId="166" fontId="50" fillId="0" borderId="35" xfId="42" applyNumberFormat="1" applyFont="1" applyFill="1" applyBorder="1" applyProtection="1"/>
    <xf numFmtId="0" fontId="39" fillId="0" borderId="17" xfId="42" applyFont="1" applyBorder="1" applyProtection="1"/>
    <xf numFmtId="0" fontId="0" fillId="0" borderId="17" xfId="42" applyFont="1" applyBorder="1" applyProtection="1"/>
    <xf numFmtId="0" fontId="0" fillId="0" borderId="20" xfId="42" applyFont="1" applyBorder="1" applyProtection="1"/>
    <xf numFmtId="0" fontId="39" fillId="0" borderId="38" xfId="42" applyFont="1" applyBorder="1" applyAlignment="1" applyProtection="1">
      <alignment horizontal="center"/>
    </xf>
    <xf numFmtId="0" fontId="30" fillId="0" borderId="31" xfId="42" applyFont="1" applyBorder="1" applyAlignment="1" applyProtection="1">
      <alignment horizontal="center"/>
    </xf>
    <xf numFmtId="166" fontId="34" fillId="0" borderId="0" xfId="42" applyNumberFormat="1" applyFont="1" applyBorder="1" applyProtection="1"/>
    <xf numFmtId="166" fontId="34" fillId="0" borderId="46" xfId="42" applyNumberFormat="1" applyFont="1" applyBorder="1" applyProtection="1"/>
    <xf numFmtId="0" fontId="43" fillId="0" borderId="21" xfId="42" applyFont="1" applyFill="1" applyBorder="1" applyProtection="1"/>
    <xf numFmtId="0" fontId="43" fillId="0" borderId="30" xfId="42" applyFont="1" applyFill="1" applyBorder="1" applyProtection="1"/>
    <xf numFmtId="0" fontId="43" fillId="0" borderId="31" xfId="42" applyFont="1" applyFill="1" applyBorder="1" applyAlignment="1" applyProtection="1">
      <alignment horizontal="center"/>
    </xf>
    <xf numFmtId="166" fontId="34" fillId="0" borderId="32" xfId="42" applyNumberFormat="1" applyFont="1" applyFill="1" applyBorder="1" applyProtection="1"/>
    <xf numFmtId="0" fontId="34" fillId="0" borderId="21" xfId="42" quotePrefix="1" applyFont="1" applyFill="1" applyBorder="1" applyAlignment="1" applyProtection="1">
      <alignment horizontal="right"/>
    </xf>
    <xf numFmtId="166" fontId="34" fillId="0" borderId="3" xfId="42" applyNumberFormat="1" applyFont="1" applyFill="1" applyBorder="1" applyProtection="1"/>
    <xf numFmtId="166" fontId="34" fillId="0" borderId="42" xfId="42" applyNumberFormat="1" applyFont="1" applyFill="1" applyBorder="1" applyProtection="1"/>
    <xf numFmtId="166" fontId="34" fillId="0" borderId="35" xfId="42" applyNumberFormat="1" applyFont="1" applyFill="1" applyBorder="1" applyProtection="1"/>
    <xf numFmtId="166" fontId="40" fillId="0" borderId="27" xfId="42" applyNumberFormat="1" applyFont="1" applyFill="1" applyBorder="1" applyProtection="1"/>
    <xf numFmtId="166" fontId="40" fillId="0" borderId="56" xfId="42" applyNumberFormat="1" applyFont="1" applyFill="1" applyBorder="1" applyProtection="1"/>
    <xf numFmtId="166" fontId="34" fillId="0" borderId="38" xfId="42" applyNumberFormat="1" applyFont="1" applyFill="1" applyBorder="1" applyProtection="1"/>
    <xf numFmtId="166" fontId="40" fillId="0" borderId="28" xfId="42" applyNumberFormat="1" applyFont="1" applyFill="1" applyBorder="1" applyProtection="1"/>
    <xf numFmtId="0" fontId="40" fillId="0" borderId="49" xfId="42" applyFont="1" applyFill="1" applyBorder="1" applyAlignment="1" applyProtection="1">
      <alignment horizontal="center"/>
    </xf>
    <xf numFmtId="166" fontId="34" fillId="0" borderId="49" xfId="42" applyNumberFormat="1" applyFont="1" applyFill="1" applyBorder="1" applyProtection="1"/>
    <xf numFmtId="0" fontId="40" fillId="0" borderId="21" xfId="42" quotePrefix="1" applyFont="1" applyFill="1" applyBorder="1" applyAlignment="1" applyProtection="1">
      <alignment horizontal="right"/>
    </xf>
    <xf numFmtId="0" fontId="34" fillId="0" borderId="57" xfId="42" applyFont="1" applyFill="1" applyBorder="1" applyProtection="1"/>
    <xf numFmtId="0" fontId="40" fillId="0" borderId="46" xfId="42" quotePrefix="1" applyFont="1" applyFill="1" applyBorder="1" applyAlignment="1" applyProtection="1">
      <alignment horizontal="right"/>
    </xf>
    <xf numFmtId="166" fontId="34" fillId="0" borderId="57" xfId="42" applyNumberFormat="1" applyFont="1" applyFill="1" applyBorder="1" applyProtection="1"/>
    <xf numFmtId="0" fontId="34" fillId="0" borderId="57" xfId="42" quotePrefix="1" applyFont="1" applyFill="1" applyBorder="1" applyAlignment="1" applyProtection="1">
      <alignment horizontal="left"/>
    </xf>
    <xf numFmtId="0" fontId="34" fillId="0" borderId="58" xfId="42" applyFont="1" applyFill="1" applyBorder="1" applyAlignment="1" applyProtection="1">
      <alignment horizontal="center"/>
    </xf>
    <xf numFmtId="0" fontId="34" fillId="0" borderId="57" xfId="42" quotePrefix="1" applyFont="1" applyFill="1" applyBorder="1" applyAlignment="1" applyProtection="1">
      <alignment horizontal="center"/>
    </xf>
    <xf numFmtId="166" fontId="34" fillId="0" borderId="58" xfId="42" applyNumberFormat="1" applyFont="1" applyFill="1" applyBorder="1" applyAlignment="1" applyProtection="1">
      <alignment horizontal="right"/>
    </xf>
    <xf numFmtId="166" fontId="34" fillId="0" borderId="57" xfId="42" quotePrefix="1" applyNumberFormat="1" applyFont="1" applyFill="1" applyBorder="1" applyAlignment="1" applyProtection="1">
      <alignment horizontal="center"/>
    </xf>
    <xf numFmtId="166" fontId="34" fillId="0" borderId="56" xfId="42" applyNumberFormat="1" applyFont="1" applyFill="1" applyBorder="1" applyAlignment="1" applyProtection="1">
      <alignment horizontal="right"/>
    </xf>
    <xf numFmtId="0" fontId="34" fillId="0" borderId="37" xfId="42" applyFont="1" applyBorder="1" applyProtection="1"/>
    <xf numFmtId="0" fontId="38" fillId="0" borderId="41" xfId="42" applyFont="1" applyBorder="1" applyAlignment="1" applyProtection="1">
      <alignment horizontal="center"/>
    </xf>
    <xf numFmtId="0" fontId="39" fillId="0" borderId="21" xfId="42" applyFont="1" applyBorder="1" applyAlignment="1" applyProtection="1">
      <alignment horizontal="center"/>
    </xf>
    <xf numFmtId="166" fontId="34" fillId="0" borderId="20" xfId="42" applyNumberFormat="1" applyFont="1" applyBorder="1" applyProtection="1"/>
    <xf numFmtId="166" fontId="34" fillId="0" borderId="45" xfId="42" applyNumberFormat="1" applyFont="1" applyBorder="1" applyProtection="1"/>
    <xf numFmtId="166" fontId="40" fillId="0" borderId="21" xfId="42" applyNumberFormat="1" applyFont="1" applyBorder="1" applyAlignment="1" applyProtection="1">
      <alignment horizontal="center"/>
    </xf>
    <xf numFmtId="166" fontId="40" fillId="0" borderId="46" xfId="42" applyNumberFormat="1" applyFont="1" applyBorder="1" applyAlignment="1" applyProtection="1">
      <alignment horizontal="center"/>
    </xf>
    <xf numFmtId="0" fontId="50" fillId="0" borderId="18" xfId="42" applyFont="1" applyBorder="1" applyProtection="1"/>
    <xf numFmtId="0" fontId="50" fillId="0" borderId="21" xfId="42" applyFont="1" applyBorder="1" applyAlignment="1" applyProtection="1">
      <alignment horizontal="center"/>
    </xf>
    <xf numFmtId="166" fontId="34" fillId="0" borderId="21" xfId="42" applyNumberFormat="1" applyFont="1" applyBorder="1" applyAlignment="1" applyProtection="1">
      <alignment horizontal="right"/>
    </xf>
    <xf numFmtId="166" fontId="34" fillId="0" borderId="46" xfId="42" applyNumberFormat="1" applyFont="1" applyBorder="1" applyAlignment="1" applyProtection="1">
      <alignment horizontal="right"/>
    </xf>
    <xf numFmtId="166" fontId="40" fillId="0" borderId="37" xfId="42" applyNumberFormat="1" applyFont="1" applyBorder="1" applyAlignment="1" applyProtection="1">
      <alignment horizontal="center"/>
    </xf>
    <xf numFmtId="166" fontId="40" fillId="0" borderId="37" xfId="42" quotePrefix="1" applyNumberFormat="1" applyFont="1" applyBorder="1" applyAlignment="1" applyProtection="1">
      <alignment horizontal="center"/>
    </xf>
    <xf numFmtId="0" fontId="50" fillId="0" borderId="29" xfId="42" applyFont="1" applyBorder="1" applyProtection="1"/>
    <xf numFmtId="166" fontId="50" fillId="0" borderId="47" xfId="42" quotePrefix="1" applyNumberFormat="1" applyFont="1" applyBorder="1" applyAlignment="1" applyProtection="1">
      <alignment horizontal="center"/>
    </xf>
    <xf numFmtId="0" fontId="50" fillId="0" borderId="21" xfId="42" quotePrefix="1" applyFont="1" applyBorder="1" applyAlignment="1" applyProtection="1">
      <alignment horizontal="center"/>
    </xf>
    <xf numFmtId="166" fontId="40" fillId="0" borderId="20" xfId="42" applyNumberFormat="1" applyFont="1" applyBorder="1" applyAlignment="1" applyProtection="1">
      <alignment horizontal="center"/>
    </xf>
    <xf numFmtId="166" fontId="40" fillId="0" borderId="45" xfId="42" applyNumberFormat="1" applyFont="1" applyBorder="1" applyAlignment="1" applyProtection="1">
      <alignment horizontal="center"/>
    </xf>
    <xf numFmtId="166" fontId="34" fillId="0" borderId="21" xfId="42" applyNumberFormat="1" applyFont="1" applyBorder="1" applyAlignment="1" applyProtection="1">
      <alignment horizontal="center"/>
    </xf>
    <xf numFmtId="166" fontId="34" fillId="0" borderId="46" xfId="42" applyNumberFormat="1" applyFont="1" applyBorder="1" applyAlignment="1" applyProtection="1">
      <alignment horizontal="center"/>
    </xf>
    <xf numFmtId="0" fontId="34" fillId="0" borderId="21" xfId="42" applyFont="1" applyBorder="1" applyAlignment="1" applyProtection="1">
      <alignment horizontal="center"/>
    </xf>
    <xf numFmtId="166" fontId="43" fillId="0" borderId="46" xfId="42" applyNumberFormat="1" applyFont="1" applyBorder="1" applyAlignment="1" applyProtection="1">
      <alignment horizontal="center"/>
    </xf>
    <xf numFmtId="0" fontId="43" fillId="0" borderId="21" xfId="42" applyFont="1" applyBorder="1" applyAlignment="1" applyProtection="1">
      <alignment horizontal="center"/>
    </xf>
    <xf numFmtId="166" fontId="40" fillId="0" borderId="21" xfId="42" applyNumberFormat="1" applyFont="1" applyBorder="1" applyProtection="1"/>
    <xf numFmtId="166" fontId="50" fillId="0" borderId="46" xfId="42" applyNumberFormat="1" applyFont="1" applyBorder="1" applyProtection="1"/>
    <xf numFmtId="0" fontId="50" fillId="0" borderId="21" xfId="42" applyFont="1" applyBorder="1" applyProtection="1"/>
    <xf numFmtId="166" fontId="34" fillId="0" borderId="20" xfId="42" applyNumberFormat="1" applyFont="1" applyBorder="1" applyAlignment="1" applyProtection="1">
      <alignment horizontal="center"/>
    </xf>
    <xf numFmtId="0" fontId="50" fillId="0" borderId="33" xfId="42" applyFont="1" applyBorder="1" applyProtection="1"/>
    <xf numFmtId="166" fontId="40" fillId="0" borderId="52" xfId="42" applyNumberFormat="1" applyFont="1" applyBorder="1" applyProtection="1"/>
    <xf numFmtId="166" fontId="50" fillId="0" borderId="59" xfId="42" applyNumberFormat="1" applyFont="1" applyBorder="1" applyProtection="1"/>
    <xf numFmtId="0" fontId="48" fillId="0" borderId="21" xfId="42" quotePrefix="1" applyFont="1" applyBorder="1" applyAlignment="1" applyProtection="1">
      <alignment horizontal="right"/>
    </xf>
    <xf numFmtId="0" fontId="34" fillId="0" borderId="25" xfId="42" applyFont="1" applyBorder="1" applyProtection="1"/>
    <xf numFmtId="166" fontId="2" fillId="10" borderId="6" xfId="42" applyNumberFormat="1" applyFont="1" applyFill="1" applyBorder="1" applyAlignment="1">
      <alignment horizontal="right"/>
    </xf>
    <xf numFmtId="0" fontId="3" fillId="15" borderId="39" xfId="42" applyFont="1" applyFill="1" applyBorder="1" applyAlignment="1">
      <alignment horizontal="center" vertical="top"/>
    </xf>
    <xf numFmtId="0" fontId="3" fillId="15" borderId="40" xfId="42" applyFont="1" applyFill="1" applyBorder="1" applyAlignment="1">
      <alignment horizontal="center" vertical="top"/>
    </xf>
    <xf numFmtId="0" fontId="3" fillId="15" borderId="39" xfId="42" applyFont="1" applyFill="1" applyBorder="1" applyAlignment="1">
      <alignment horizontal="left" vertical="top"/>
    </xf>
    <xf numFmtId="0" fontId="3" fillId="15" borderId="54" xfId="42" applyFont="1" applyFill="1" applyBorder="1" applyAlignment="1">
      <alignment horizontal="left" vertical="top"/>
    </xf>
    <xf numFmtId="0" fontId="3" fillId="15" borderId="60" xfId="42" applyFont="1" applyFill="1" applyBorder="1" applyAlignment="1">
      <alignment vertical="top"/>
    </xf>
    <xf numFmtId="1" fontId="3" fillId="15" borderId="40" xfId="42" applyNumberFormat="1" applyFont="1" applyFill="1" applyBorder="1" applyAlignment="1">
      <alignment horizontal="right" vertical="top"/>
    </xf>
    <xf numFmtId="0" fontId="0" fillId="0" borderId="0" xfId="42" applyFont="1" applyBorder="1" applyAlignment="1">
      <alignment vertical="top"/>
    </xf>
    <xf numFmtId="0" fontId="33" fillId="11" borderId="14" xfId="42" applyFont="1" applyFill="1" applyBorder="1" applyAlignment="1">
      <alignment horizontal="center"/>
    </xf>
    <xf numFmtId="0" fontId="33" fillId="11" borderId="15" xfId="42" applyFont="1" applyFill="1" applyBorder="1" applyAlignment="1">
      <alignment horizontal="center"/>
    </xf>
    <xf numFmtId="0" fontId="4" fillId="11" borderId="11" xfId="42" applyFont="1" applyFill="1" applyBorder="1" applyAlignment="1">
      <alignment horizontal="center"/>
    </xf>
    <xf numFmtId="0" fontId="4" fillId="11" borderId="61" xfId="42" applyFont="1" applyFill="1" applyBorder="1"/>
    <xf numFmtId="0" fontId="0" fillId="11" borderId="61" xfId="42" applyFont="1" applyFill="1" applyBorder="1"/>
    <xf numFmtId="0" fontId="4" fillId="11" borderId="14" xfId="42" applyFont="1" applyFill="1" applyBorder="1" applyAlignment="1">
      <alignment horizontal="center"/>
    </xf>
    <xf numFmtId="0" fontId="4" fillId="11" borderId="62" xfId="42" applyFont="1" applyFill="1" applyBorder="1"/>
    <xf numFmtId="0" fontId="0" fillId="11" borderId="62" xfId="42" applyFont="1" applyFill="1" applyBorder="1"/>
    <xf numFmtId="0" fontId="58" fillId="11" borderId="14" xfId="42" applyFont="1" applyFill="1" applyBorder="1" applyAlignment="1">
      <alignment horizontal="center"/>
    </xf>
    <xf numFmtId="0" fontId="58" fillId="11" borderId="62" xfId="42" applyFont="1" applyFill="1" applyBorder="1"/>
    <xf numFmtId="0" fontId="33" fillId="11" borderId="62" xfId="42" applyFont="1" applyFill="1" applyBorder="1"/>
    <xf numFmtId="0" fontId="58" fillId="11" borderId="16" xfId="42" applyFont="1" applyFill="1" applyBorder="1"/>
    <xf numFmtId="0" fontId="33" fillId="11" borderId="0" xfId="42" applyFont="1" applyFill="1" applyBorder="1"/>
    <xf numFmtId="166" fontId="55" fillId="0" borderId="3" xfId="42" applyNumberFormat="1" applyFont="1" applyBorder="1" applyAlignment="1">
      <alignment horizontal="right"/>
    </xf>
    <xf numFmtId="166" fontId="0" fillId="0" borderId="0" xfId="42" applyNumberFormat="1" applyFont="1" applyBorder="1" applyAlignment="1">
      <alignment horizontal="right"/>
    </xf>
    <xf numFmtId="166" fontId="3" fillId="0" borderId="61" xfId="42" applyNumberFormat="1" applyFont="1" applyFill="1" applyBorder="1" applyAlignment="1">
      <alignment horizontal="right"/>
    </xf>
    <xf numFmtId="166" fontId="3" fillId="0" borderId="62" xfId="42" applyNumberFormat="1" applyFont="1" applyFill="1" applyBorder="1" applyAlignment="1">
      <alignment horizontal="right"/>
    </xf>
    <xf numFmtId="166" fontId="59" fillId="11" borderId="62" xfId="42" applyNumberFormat="1" applyFont="1" applyFill="1" applyBorder="1" applyAlignment="1">
      <alignment horizontal="right"/>
    </xf>
    <xf numFmtId="0" fontId="0" fillId="0" borderId="0" xfId="42" applyFont="1" applyAlignment="1">
      <alignment horizontal="center"/>
    </xf>
    <xf numFmtId="0" fontId="1" fillId="0" borderId="0" xfId="42" applyFont="1" applyAlignment="1"/>
    <xf numFmtId="0" fontId="0" fillId="0" borderId="0" xfId="42" applyFont="1" applyAlignment="1">
      <alignment horizontal="center" wrapText="1"/>
    </xf>
    <xf numFmtId="175" fontId="0" fillId="0" borderId="0" xfId="42" applyNumberFormat="1" applyFont="1" applyAlignment="1">
      <alignment horizontal="center" wrapText="1"/>
    </xf>
    <xf numFmtId="0" fontId="29" fillId="16" borderId="63" xfId="42" applyFont="1" applyFill="1" applyBorder="1" applyAlignment="1" applyProtection="1">
      <alignment horizontal="center"/>
    </xf>
    <xf numFmtId="15" fontId="2" fillId="0" borderId="0" xfId="42" applyNumberFormat="1" applyFont="1" applyFill="1" applyAlignment="1" applyProtection="1">
      <alignment horizontal="center" vertical="center"/>
    </xf>
    <xf numFmtId="15" fontId="28" fillId="0" borderId="64" xfId="42" applyNumberFormat="1" applyFont="1" applyFill="1" applyBorder="1" applyAlignment="1" applyProtection="1">
      <alignment horizontal="center" vertical="center"/>
    </xf>
    <xf numFmtId="15" fontId="2" fillId="0" borderId="0" xfId="42" applyNumberFormat="1" applyFont="1" applyFill="1" applyAlignment="1" applyProtection="1">
      <alignment horizontal="center"/>
    </xf>
    <xf numFmtId="15" fontId="28" fillId="0" borderId="67" xfId="42" applyNumberFormat="1" applyFont="1" applyFill="1" applyBorder="1" applyAlignment="1" applyProtection="1">
      <alignment horizontal="center" vertical="center"/>
    </xf>
    <xf numFmtId="15" fontId="29" fillId="0" borderId="0" xfId="42" applyNumberFormat="1" applyFont="1" applyFill="1" applyAlignment="1" applyProtection="1">
      <alignment horizontal="center"/>
    </xf>
    <xf numFmtId="166" fontId="29" fillId="16" borderId="68" xfId="42" applyNumberFormat="1" applyFont="1" applyFill="1" applyBorder="1" applyAlignment="1" applyProtection="1">
      <alignment horizontal="center" wrapText="1"/>
    </xf>
    <xf numFmtId="0" fontId="32" fillId="0" borderId="0" xfId="42" applyFont="1"/>
    <xf numFmtId="0" fontId="60" fillId="0" borderId="0" xfId="42" applyFont="1"/>
    <xf numFmtId="15" fontId="60" fillId="0" borderId="67" xfId="42" applyNumberFormat="1" applyFont="1" applyFill="1" applyBorder="1" applyAlignment="1" applyProtection="1">
      <alignment horizontal="center" vertical="center"/>
    </xf>
    <xf numFmtId="14" fontId="60" fillId="0" borderId="0" xfId="42" applyNumberFormat="1" applyFont="1" applyFill="1" applyBorder="1" applyAlignment="1" applyProtection="1">
      <alignment horizontal="left" vertical="center" wrapText="1"/>
    </xf>
    <xf numFmtId="14" fontId="60" fillId="0" borderId="68" xfId="42" applyNumberFormat="1" applyFont="1" applyFill="1" applyBorder="1" applyAlignment="1" applyProtection="1">
      <alignment horizontal="left" vertical="center" wrapText="1"/>
    </xf>
    <xf numFmtId="166" fontId="3" fillId="0" borderId="69" xfId="42" applyNumberFormat="1" applyFont="1" applyFill="1" applyBorder="1" applyAlignment="1" applyProtection="1">
      <alignment vertical="center"/>
    </xf>
    <xf numFmtId="15" fontId="61" fillId="0" borderId="0" xfId="42" applyNumberFormat="1" applyFont="1" applyFill="1" applyAlignment="1" applyProtection="1">
      <alignment horizontal="center"/>
    </xf>
    <xf numFmtId="15" fontId="3" fillId="0" borderId="67" xfId="42" applyNumberFormat="1" applyFont="1" applyFill="1" applyBorder="1" applyAlignment="1" applyProtection="1">
      <alignment horizontal="center" vertical="center"/>
    </xf>
    <xf numFmtId="14" fontId="3" fillId="0" borderId="0" xfId="42" applyNumberFormat="1" applyFont="1" applyFill="1" applyBorder="1" applyAlignment="1" applyProtection="1">
      <alignment horizontal="left" vertical="center" wrapText="1"/>
    </xf>
    <xf numFmtId="14" fontId="3" fillId="0" borderId="68" xfId="42" applyNumberFormat="1" applyFont="1" applyFill="1" applyBorder="1" applyAlignment="1" applyProtection="1">
      <alignment horizontal="left" vertical="center" wrapText="1"/>
    </xf>
    <xf numFmtId="166" fontId="3" fillId="19" borderId="66" xfId="42" applyNumberFormat="1" applyFont="1" applyFill="1" applyBorder="1" applyAlignment="1" applyProtection="1">
      <alignment vertical="center"/>
    </xf>
    <xf numFmtId="0" fontId="3" fillId="0" borderId="0" xfId="42" applyFont="1"/>
    <xf numFmtId="166" fontId="3" fillId="0" borderId="70" xfId="42" applyNumberFormat="1" applyFont="1" applyFill="1" applyBorder="1" applyAlignment="1" applyProtection="1">
      <alignment vertical="center"/>
    </xf>
    <xf numFmtId="166" fontId="29" fillId="16" borderId="66" xfId="42" applyNumberFormat="1" applyFont="1" applyFill="1" applyBorder="1" applyAlignment="1" applyProtection="1">
      <alignment horizontal="center" vertical="center"/>
    </xf>
    <xf numFmtId="0" fontId="3" fillId="0" borderId="0" xfId="42" applyFont="1" applyAlignment="1">
      <alignment wrapText="1"/>
    </xf>
    <xf numFmtId="14" fontId="3" fillId="0" borderId="68" xfId="42" applyNumberFormat="1" applyFont="1" applyFill="1" applyBorder="1" applyAlignment="1" applyProtection="1">
      <alignment vertical="center" wrapText="1"/>
    </xf>
    <xf numFmtId="15" fontId="61" fillId="0" borderId="0" xfId="42" applyNumberFormat="1" applyFont="1" applyFill="1" applyAlignment="1" applyProtection="1"/>
    <xf numFmtId="0" fontId="3" fillId="0" borderId="0" xfId="42" applyFont="1" applyAlignment="1"/>
    <xf numFmtId="166" fontId="3" fillId="0" borderId="66" xfId="42" applyNumberFormat="1" applyFont="1" applyFill="1" applyBorder="1" applyAlignment="1" applyProtection="1">
      <alignment vertical="center"/>
    </xf>
    <xf numFmtId="166" fontId="3" fillId="0" borderId="67" xfId="42" applyNumberFormat="1" applyFont="1" applyFill="1" applyBorder="1" applyAlignment="1" applyProtection="1">
      <alignment vertical="center"/>
    </xf>
    <xf numFmtId="166" fontId="3" fillId="0" borderId="69" xfId="42" applyNumberFormat="1" applyFont="1" applyFill="1" applyBorder="1" applyAlignment="1" applyProtection="1">
      <alignment horizontal="right" vertical="center"/>
    </xf>
    <xf numFmtId="166" fontId="3" fillId="0" borderId="68" xfId="42" applyNumberFormat="1" applyFont="1" applyFill="1" applyBorder="1" applyAlignment="1" applyProtection="1">
      <alignment vertical="center"/>
    </xf>
    <xf numFmtId="166" fontId="4" fillId="18" borderId="66" xfId="42" applyNumberFormat="1" applyFont="1" applyFill="1" applyBorder="1" applyAlignment="1" applyProtection="1">
      <alignment horizontal="center" vertical="center"/>
    </xf>
    <xf numFmtId="166" fontId="3" fillId="0" borderId="70" xfId="42" applyNumberFormat="1" applyFont="1" applyFill="1" applyBorder="1" applyAlignment="1" applyProtection="1">
      <alignment horizontal="right" vertical="center"/>
    </xf>
    <xf numFmtId="166" fontId="29" fillId="16" borderId="68" xfId="42" applyNumberFormat="1" applyFont="1" applyFill="1" applyBorder="1" applyAlignment="1" applyProtection="1">
      <alignment horizontal="center" vertical="center" wrapText="1"/>
    </xf>
    <xf numFmtId="14" fontId="3" fillId="0" borderId="0" xfId="42" applyNumberFormat="1" applyFont="1" applyFill="1" applyBorder="1" applyAlignment="1" applyProtection="1">
      <alignment vertical="center" wrapText="1"/>
    </xf>
    <xf numFmtId="15" fontId="3" fillId="0" borderId="0" xfId="42" applyNumberFormat="1" applyFont="1" applyFill="1" applyBorder="1" applyAlignment="1" applyProtection="1">
      <alignment horizontal="left" vertical="center" wrapText="1"/>
    </xf>
    <xf numFmtId="166" fontId="4" fillId="18" borderId="68" xfId="42" applyNumberFormat="1" applyFont="1" applyFill="1" applyBorder="1" applyAlignment="1" applyProtection="1">
      <alignment horizontal="center" vertical="center"/>
    </xf>
    <xf numFmtId="166" fontId="3" fillId="19" borderId="66" xfId="42" applyNumberFormat="1" applyFont="1" applyFill="1" applyBorder="1" applyAlignment="1" applyProtection="1">
      <alignment horizontal="right" vertical="center"/>
    </xf>
    <xf numFmtId="166" fontId="29" fillId="16" borderId="66" xfId="42" applyNumberFormat="1" applyFont="1" applyFill="1" applyBorder="1" applyAlignment="1" applyProtection="1">
      <alignment horizontal="center" vertical="center" wrapText="1"/>
    </xf>
    <xf numFmtId="166" fontId="29" fillId="16" borderId="71" xfId="42" applyNumberFormat="1" applyFont="1" applyFill="1" applyBorder="1" applyAlignment="1" applyProtection="1">
      <alignment horizontal="center"/>
    </xf>
    <xf numFmtId="166" fontId="29" fillId="16" borderId="71" xfId="42" applyNumberFormat="1" applyFont="1" applyFill="1" applyBorder="1" applyProtection="1"/>
    <xf numFmtId="166" fontId="29" fillId="16" borderId="71" xfId="42" applyNumberFormat="1" applyFont="1" applyFill="1" applyBorder="1" applyAlignment="1" applyProtection="1">
      <alignment horizontal="center" wrapText="1"/>
    </xf>
    <xf numFmtId="9" fontId="32" fillId="0" borderId="0" xfId="398" applyFont="1" applyFill="1" applyBorder="1" applyAlignment="1" applyProtection="1">
      <alignment horizontal="center"/>
    </xf>
    <xf numFmtId="9" fontId="32" fillId="0" borderId="0" xfId="398" applyFont="1" applyFill="1" applyAlignment="1" applyProtection="1">
      <alignment horizontal="center" vertical="center"/>
    </xf>
    <xf numFmtId="9" fontId="62" fillId="0" borderId="72" xfId="398" quotePrefix="1" applyFont="1" applyFill="1" applyBorder="1" applyAlignment="1" applyProtection="1">
      <alignment horizontal="center" wrapText="1"/>
    </xf>
    <xf numFmtId="0" fontId="1" fillId="0" borderId="0" xfId="42" applyFont="1" applyAlignment="1">
      <alignment wrapText="1"/>
    </xf>
    <xf numFmtId="1" fontId="3" fillId="21" borderId="67" xfId="42" applyNumberFormat="1" applyFont="1" applyFill="1" applyBorder="1" applyAlignment="1" applyProtection="1">
      <alignment horizontal="right" vertical="center"/>
    </xf>
    <xf numFmtId="1" fontId="3" fillId="0" borderId="68" xfId="42" applyNumberFormat="1" applyFont="1" applyFill="1" applyBorder="1" applyAlignment="1" applyProtection="1">
      <alignment horizontal="right"/>
    </xf>
    <xf numFmtId="1" fontId="3" fillId="0" borderId="66" xfId="42" applyNumberFormat="1" applyFont="1" applyFill="1" applyBorder="1" applyAlignment="1" applyProtection="1">
      <alignment horizontal="right"/>
    </xf>
    <xf numFmtId="166" fontId="47" fillId="0" borderId="70" xfId="42" applyNumberFormat="1" applyFont="1" applyFill="1" applyBorder="1" applyAlignment="1" applyProtection="1">
      <alignment horizontal="right" vertical="center"/>
    </xf>
    <xf numFmtId="166" fontId="3" fillId="21" borderId="66" xfId="42" applyNumberFormat="1" applyFont="1" applyFill="1" applyBorder="1" applyAlignment="1" applyProtection="1">
      <alignment horizontal="right" vertical="center"/>
    </xf>
    <xf numFmtId="0" fontId="1" fillId="0" borderId="0" xfId="42" applyFont="1"/>
    <xf numFmtId="15" fontId="1" fillId="0" borderId="67" xfId="42" applyNumberFormat="1" applyFont="1" applyFill="1" applyBorder="1" applyAlignment="1" applyProtection="1">
      <alignment horizontal="center" vertical="center"/>
    </xf>
    <xf numFmtId="166" fontId="1" fillId="21" borderId="66" xfId="42" applyNumberFormat="1" applyFont="1" applyFill="1" applyBorder="1" applyAlignment="1" applyProtection="1">
      <alignment horizontal="right" vertical="center"/>
    </xf>
    <xf numFmtId="166" fontId="1" fillId="0" borderId="66" xfId="42" applyNumberFormat="1" applyFont="1" applyFill="1" applyBorder="1" applyAlignment="1" applyProtection="1">
      <alignment horizontal="right"/>
    </xf>
    <xf numFmtId="166" fontId="1" fillId="0" borderId="66" xfId="42" applyNumberFormat="1" applyFont="1" applyFill="1" applyBorder="1" applyAlignment="1" applyProtection="1">
      <alignment horizontal="right" vertical="center"/>
    </xf>
    <xf numFmtId="166" fontId="30" fillId="18" borderId="66" xfId="42" applyNumberFormat="1" applyFont="1" applyFill="1" applyBorder="1" applyAlignment="1" applyProtection="1">
      <alignment horizontal="center" vertical="center"/>
    </xf>
    <xf numFmtId="166" fontId="3" fillId="0" borderId="66" xfId="42" applyNumberFormat="1" applyFont="1" applyFill="1" applyBorder="1" applyAlignment="1" applyProtection="1">
      <alignment horizontal="right" vertical="center"/>
    </xf>
    <xf numFmtId="166" fontId="3" fillId="0" borderId="67" xfId="42" applyNumberFormat="1" applyFont="1" applyFill="1" applyBorder="1" applyAlignment="1" applyProtection="1">
      <alignment horizontal="right" vertical="center"/>
    </xf>
    <xf numFmtId="166" fontId="3" fillId="0" borderId="68" xfId="42" applyNumberFormat="1" applyFont="1" applyFill="1" applyBorder="1" applyAlignment="1" applyProtection="1">
      <alignment horizontal="right" vertical="center"/>
    </xf>
    <xf numFmtId="166" fontId="2" fillId="16" borderId="71" xfId="42" applyNumberFormat="1" applyFont="1" applyFill="1" applyBorder="1" applyAlignment="1" applyProtection="1">
      <alignment horizontal="center"/>
    </xf>
    <xf numFmtId="1" fontId="32" fillId="23" borderId="65" xfId="42" applyNumberFormat="1" applyFont="1" applyFill="1" applyBorder="1" applyAlignment="1" applyProtection="1">
      <alignment horizontal="center" vertical="center"/>
    </xf>
    <xf numFmtId="1" fontId="32" fillId="17" borderId="65" xfId="42" applyNumberFormat="1" applyFont="1" applyFill="1" applyBorder="1" applyAlignment="1" applyProtection="1">
      <alignment horizontal="center" vertical="center"/>
    </xf>
    <xf numFmtId="1" fontId="29" fillId="16" borderId="68" xfId="42" applyNumberFormat="1" applyFont="1" applyFill="1" applyBorder="1" applyAlignment="1" applyProtection="1">
      <alignment horizontal="center" wrapText="1"/>
    </xf>
    <xf numFmtId="1" fontId="54" fillId="23" borderId="65" xfId="42" applyNumberFormat="1" applyFont="1" applyFill="1" applyBorder="1" applyAlignment="1" applyProtection="1">
      <alignment horizontal="center" vertical="center"/>
    </xf>
    <xf numFmtId="1" fontId="54" fillId="17" borderId="65" xfId="42" applyNumberFormat="1" applyFont="1" applyFill="1" applyBorder="1" applyAlignment="1" applyProtection="1">
      <alignment horizontal="center" vertical="center"/>
    </xf>
    <xf numFmtId="1" fontId="32" fillId="11" borderId="67" xfId="42" applyNumberFormat="1" applyFont="1" applyFill="1" applyBorder="1" applyAlignment="1" applyProtection="1">
      <alignment horizontal="center"/>
    </xf>
    <xf numFmtId="1" fontId="32" fillId="17" borderId="66" xfId="42" applyNumberFormat="1" applyFont="1" applyFill="1" applyBorder="1" applyAlignment="1" applyProtection="1">
      <alignment horizontal="center"/>
    </xf>
    <xf numFmtId="1" fontId="54" fillId="11" borderId="67" xfId="42" applyNumberFormat="1" applyFont="1" applyFill="1" applyBorder="1" applyAlignment="1" applyProtection="1">
      <alignment horizontal="center"/>
    </xf>
    <xf numFmtId="1" fontId="54" fillId="17" borderId="66" xfId="42" applyNumberFormat="1" applyFont="1" applyFill="1" applyBorder="1" applyAlignment="1" applyProtection="1">
      <alignment horizontal="center"/>
    </xf>
    <xf numFmtId="1" fontId="32" fillId="11" borderId="66" xfId="42" applyNumberFormat="1" applyFont="1" applyFill="1" applyBorder="1" applyAlignment="1" applyProtection="1">
      <alignment horizontal="center"/>
    </xf>
    <xf numFmtId="1" fontId="54" fillId="11" borderId="66" xfId="42" applyNumberFormat="1" applyFont="1" applyFill="1" applyBorder="1" applyAlignment="1" applyProtection="1">
      <alignment horizontal="center"/>
    </xf>
    <xf numFmtId="1" fontId="32" fillId="20" borderId="66" xfId="42" applyNumberFormat="1" applyFont="1" applyFill="1" applyBorder="1" applyAlignment="1" applyProtection="1">
      <alignment horizontal="center"/>
    </xf>
    <xf numFmtId="1" fontId="32" fillId="11" borderId="75" xfId="42" applyNumberFormat="1" applyFont="1" applyFill="1" applyBorder="1" applyAlignment="1" applyProtection="1">
      <alignment horizontal="center"/>
    </xf>
    <xf numFmtId="1" fontId="32" fillId="22" borderId="66" xfId="42" applyNumberFormat="1" applyFont="1" applyFill="1" applyBorder="1" applyAlignment="1" applyProtection="1">
      <alignment horizontal="center"/>
    </xf>
    <xf numFmtId="1" fontId="54" fillId="20" borderId="66" xfId="42" applyNumberFormat="1" applyFont="1" applyFill="1" applyBorder="1" applyAlignment="1" applyProtection="1">
      <alignment horizontal="center"/>
    </xf>
    <xf numFmtId="1" fontId="54" fillId="11" borderId="75" xfId="42" applyNumberFormat="1" applyFont="1" applyFill="1" applyBorder="1" applyAlignment="1" applyProtection="1">
      <alignment horizontal="center"/>
    </xf>
    <xf numFmtId="1" fontId="54" fillId="22" borderId="66" xfId="42" applyNumberFormat="1" applyFont="1" applyFill="1" applyBorder="1" applyAlignment="1" applyProtection="1">
      <alignment horizontal="center"/>
    </xf>
    <xf numFmtId="1" fontId="32" fillId="19" borderId="66" xfId="42" applyNumberFormat="1" applyFont="1" applyFill="1" applyBorder="1" applyAlignment="1" applyProtection="1">
      <alignment horizontal="center" vertical="center"/>
    </xf>
    <xf numFmtId="1" fontId="32" fillId="11" borderId="66" xfId="42" applyNumberFormat="1" applyFont="1" applyFill="1" applyBorder="1" applyAlignment="1" applyProtection="1">
      <alignment horizontal="center" vertical="center"/>
    </xf>
    <xf numFmtId="1" fontId="54" fillId="19" borderId="66" xfId="42" applyNumberFormat="1" applyFont="1" applyFill="1" applyBorder="1" applyAlignment="1" applyProtection="1">
      <alignment horizontal="center" vertical="center"/>
    </xf>
    <xf numFmtId="1" fontId="54" fillId="11" borderId="66" xfId="42" applyNumberFormat="1" applyFont="1" applyFill="1" applyBorder="1" applyAlignment="1" applyProtection="1">
      <alignment horizontal="center" vertical="center"/>
    </xf>
    <xf numFmtId="1" fontId="32" fillId="24" borderId="66" xfId="42" applyNumberFormat="1" applyFont="1" applyFill="1" applyBorder="1" applyAlignment="1" applyProtection="1">
      <alignment horizontal="center" vertical="center"/>
    </xf>
    <xf numFmtId="1" fontId="54" fillId="24" borderId="66" xfId="42" applyNumberFormat="1" applyFont="1" applyFill="1" applyBorder="1" applyAlignment="1" applyProtection="1">
      <alignment horizontal="center" vertical="center"/>
    </xf>
    <xf numFmtId="1" fontId="32" fillId="20" borderId="66" xfId="42" applyNumberFormat="1" applyFont="1" applyFill="1" applyBorder="1" applyAlignment="1" applyProtection="1">
      <alignment horizontal="center" vertical="center"/>
    </xf>
    <xf numFmtId="1" fontId="54" fillId="20" borderId="66" xfId="42" applyNumberFormat="1" applyFont="1" applyFill="1" applyBorder="1" applyAlignment="1" applyProtection="1">
      <alignment horizontal="center" vertical="center"/>
    </xf>
    <xf numFmtId="1" fontId="64" fillId="19" borderId="66" xfId="42" applyNumberFormat="1" applyFont="1" applyFill="1" applyBorder="1" applyAlignment="1" applyProtection="1">
      <alignment horizontal="center" vertical="center"/>
    </xf>
    <xf numFmtId="1" fontId="64" fillId="11" borderId="66" xfId="42" applyNumberFormat="1" applyFont="1" applyFill="1" applyBorder="1" applyAlignment="1" applyProtection="1">
      <alignment horizontal="center" vertical="center"/>
    </xf>
    <xf numFmtId="1" fontId="64" fillId="17" borderId="66" xfId="42" applyNumberFormat="1" applyFont="1" applyFill="1" applyBorder="1" applyAlignment="1" applyProtection="1">
      <alignment horizontal="center"/>
    </xf>
    <xf numFmtId="1" fontId="32" fillId="19" borderId="73" xfId="42" applyNumberFormat="1" applyFont="1" applyFill="1" applyBorder="1" applyAlignment="1" applyProtection="1">
      <alignment horizontal="center" vertical="center"/>
    </xf>
    <xf numFmtId="1" fontId="54" fillId="19" borderId="73" xfId="42" applyNumberFormat="1" applyFont="1" applyFill="1" applyBorder="1" applyAlignment="1" applyProtection="1">
      <alignment horizontal="center" vertical="center"/>
    </xf>
    <xf numFmtId="1" fontId="4" fillId="11" borderId="69" xfId="42" applyNumberFormat="1" applyFont="1" applyFill="1" applyBorder="1" applyAlignment="1" applyProtection="1">
      <alignment horizontal="center" vertical="center"/>
    </xf>
    <xf numFmtId="1" fontId="54" fillId="11" borderId="69" xfId="42" applyNumberFormat="1" applyFont="1" applyFill="1" applyBorder="1" applyAlignment="1" applyProtection="1">
      <alignment horizontal="center" vertical="center"/>
    </xf>
    <xf numFmtId="1" fontId="4" fillId="11" borderId="70" xfId="42" applyNumberFormat="1" applyFont="1" applyFill="1" applyBorder="1" applyAlignment="1" applyProtection="1">
      <alignment horizontal="center" vertical="center"/>
    </xf>
    <xf numFmtId="1" fontId="54" fillId="11" borderId="70" xfId="42" applyNumberFormat="1" applyFont="1" applyFill="1" applyBorder="1" applyAlignment="1" applyProtection="1">
      <alignment horizontal="center" vertical="center"/>
    </xf>
    <xf numFmtId="1" fontId="4" fillId="19" borderId="66" xfId="42" applyNumberFormat="1" applyFont="1" applyFill="1" applyBorder="1" applyAlignment="1" applyProtection="1">
      <alignment horizontal="center" vertical="center"/>
    </xf>
    <xf numFmtId="1" fontId="32" fillId="25" borderId="66" xfId="42" applyNumberFormat="1" applyFont="1" applyFill="1" applyBorder="1" applyAlignment="1" applyProtection="1">
      <alignment horizontal="center"/>
    </xf>
    <xf numFmtId="1" fontId="54" fillId="25" borderId="66" xfId="42" applyNumberFormat="1" applyFont="1" applyFill="1" applyBorder="1" applyAlignment="1" applyProtection="1">
      <alignment horizontal="center"/>
    </xf>
    <xf numFmtId="1" fontId="4" fillId="0" borderId="66" xfId="42" applyNumberFormat="1" applyFont="1" applyFill="1" applyBorder="1" applyAlignment="1" applyProtection="1">
      <alignment horizontal="center" vertical="center"/>
    </xf>
    <xf numFmtId="1" fontId="54" fillId="0" borderId="66" xfId="42" applyNumberFormat="1" applyFont="1" applyFill="1" applyBorder="1" applyAlignment="1" applyProtection="1">
      <alignment horizontal="center" vertical="center"/>
    </xf>
    <xf numFmtId="1" fontId="32" fillId="23" borderId="66" xfId="42" applyNumberFormat="1" applyFont="1" applyFill="1" applyBorder="1" applyAlignment="1" applyProtection="1">
      <alignment horizontal="center" vertical="center"/>
    </xf>
    <xf numFmtId="1" fontId="32" fillId="17" borderId="67" xfId="42" applyNumberFormat="1" applyFont="1" applyFill="1" applyBorder="1" applyAlignment="1" applyProtection="1">
      <alignment horizontal="center"/>
    </xf>
    <xf numFmtId="1" fontId="32" fillId="17" borderId="68" xfId="42" applyNumberFormat="1" applyFont="1" applyFill="1" applyBorder="1" applyAlignment="1" applyProtection="1">
      <alignment horizontal="center"/>
    </xf>
    <xf numFmtId="1" fontId="54" fillId="23" borderId="66" xfId="42" applyNumberFormat="1" applyFont="1" applyFill="1" applyBorder="1" applyAlignment="1" applyProtection="1">
      <alignment horizontal="center" vertical="center"/>
    </xf>
    <xf numFmtId="1" fontId="54" fillId="17" borderId="67" xfId="42" applyNumberFormat="1" applyFont="1" applyFill="1" applyBorder="1" applyAlignment="1" applyProtection="1">
      <alignment horizontal="center"/>
    </xf>
    <xf numFmtId="1" fontId="54" fillId="17" borderId="68" xfId="42" applyNumberFormat="1" applyFont="1" applyFill="1" applyBorder="1" applyAlignment="1" applyProtection="1">
      <alignment horizontal="center"/>
    </xf>
    <xf numFmtId="1" fontId="4" fillId="23" borderId="69" xfId="42" applyNumberFormat="1" applyFont="1" applyFill="1" applyBorder="1" applyAlignment="1" applyProtection="1">
      <alignment horizontal="center" vertical="center"/>
    </xf>
    <xf numFmtId="1" fontId="54" fillId="23" borderId="69" xfId="42" applyNumberFormat="1" applyFont="1" applyFill="1" applyBorder="1" applyAlignment="1" applyProtection="1">
      <alignment horizontal="center" vertical="center"/>
    </xf>
    <xf numFmtId="1" fontId="4" fillId="23" borderId="70" xfId="42" applyNumberFormat="1" applyFont="1" applyFill="1" applyBorder="1" applyAlignment="1" applyProtection="1">
      <alignment horizontal="center" vertical="center"/>
    </xf>
    <xf numFmtId="1" fontId="54" fillId="23" borderId="70" xfId="42" applyNumberFormat="1" applyFont="1" applyFill="1" applyBorder="1" applyAlignment="1" applyProtection="1">
      <alignment horizontal="center" vertical="center"/>
    </xf>
    <xf numFmtId="1" fontId="4" fillId="11" borderId="66" xfId="42" applyNumberFormat="1" applyFont="1" applyFill="1" applyBorder="1" applyAlignment="1" applyProtection="1">
      <alignment horizontal="center" vertical="center"/>
    </xf>
    <xf numFmtId="1" fontId="63" fillId="16" borderId="71" xfId="42" applyNumberFormat="1" applyFont="1" applyFill="1" applyBorder="1" applyAlignment="1" applyProtection="1">
      <alignment horizontal="center"/>
    </xf>
    <xf numFmtId="1" fontId="65" fillId="16" borderId="71" xfId="42" applyNumberFormat="1" applyFont="1" applyFill="1" applyBorder="1" applyAlignment="1" applyProtection="1">
      <alignment horizontal="center"/>
    </xf>
    <xf numFmtId="1" fontId="32" fillId="0" borderId="72" xfId="398" applyNumberFormat="1" applyFont="1" applyBorder="1" applyAlignment="1" applyProtection="1">
      <alignment horizontal="center"/>
    </xf>
    <xf numFmtId="1" fontId="32" fillId="0" borderId="72" xfId="398" applyNumberFormat="1" applyFont="1" applyFill="1" applyBorder="1" applyAlignment="1" applyProtection="1">
      <alignment horizontal="center"/>
    </xf>
    <xf numFmtId="1" fontId="4" fillId="0" borderId="0" xfId="42" applyNumberFormat="1" applyFont="1" applyAlignment="1">
      <alignment horizontal="center"/>
    </xf>
    <xf numFmtId="1" fontId="4" fillId="0" borderId="0" xfId="42" applyNumberFormat="1" applyFont="1" applyFill="1" applyBorder="1" applyAlignment="1" applyProtection="1">
      <alignment horizontal="center" vertical="center"/>
    </xf>
    <xf numFmtId="0" fontId="4" fillId="0" borderId="0" xfId="42" applyFont="1" applyAlignment="1">
      <alignment horizontal="center"/>
    </xf>
    <xf numFmtId="14" fontId="3" fillId="0" borderId="0" xfId="42" applyNumberFormat="1" applyFont="1" applyFill="1" applyBorder="1" applyAlignment="1" applyProtection="1">
      <alignment horizontal="center" vertical="center"/>
    </xf>
    <xf numFmtId="14" fontId="3" fillId="0" borderId="64" xfId="42" applyNumberFormat="1" applyFont="1" applyFill="1" applyBorder="1" applyAlignment="1" applyProtection="1">
      <alignment horizontal="center" vertical="center"/>
    </xf>
    <xf numFmtId="0" fontId="3" fillId="0" borderId="76" xfId="42" applyFont="1" applyBorder="1" applyAlignment="1">
      <alignment horizontal="center"/>
    </xf>
    <xf numFmtId="14" fontId="3" fillId="0" borderId="76" xfId="42" applyNumberFormat="1" applyFont="1" applyFill="1" applyBorder="1" applyAlignment="1" applyProtection="1">
      <alignment horizontal="center" vertical="center"/>
    </xf>
    <xf numFmtId="0" fontId="3" fillId="0" borderId="0" xfId="42" applyFont="1" applyAlignment="1">
      <alignment horizontal="center"/>
    </xf>
    <xf numFmtId="0" fontId="3" fillId="0" borderId="67" xfId="42" applyFont="1" applyBorder="1" applyAlignment="1">
      <alignment horizontal="center"/>
    </xf>
    <xf numFmtId="0" fontId="3" fillId="0" borderId="77" xfId="42" applyFont="1" applyBorder="1" applyAlignment="1">
      <alignment horizontal="center"/>
    </xf>
    <xf numFmtId="0" fontId="58" fillId="0" borderId="0" xfId="42" applyFont="1" applyAlignment="1">
      <alignment horizontal="center"/>
    </xf>
    <xf numFmtId="0" fontId="3" fillId="0" borderId="0" xfId="42" applyFont="1" applyBorder="1" applyAlignment="1">
      <alignment horizontal="center"/>
    </xf>
    <xf numFmtId="0" fontId="3" fillId="0" borderId="64" xfId="42" applyFont="1" applyBorder="1" applyAlignment="1">
      <alignment horizontal="center"/>
    </xf>
    <xf numFmtId="0" fontId="3" fillId="0" borderId="71" xfId="42" applyFont="1" applyBorder="1" applyAlignment="1">
      <alignment horizontal="center"/>
    </xf>
    <xf numFmtId="0" fontId="3" fillId="0" borderId="78" xfId="42" applyFont="1" applyBorder="1" applyAlignment="1">
      <alignment horizontal="center"/>
    </xf>
    <xf numFmtId="0" fontId="3" fillId="0" borderId="72" xfId="42" applyFont="1" applyBorder="1" applyAlignment="1">
      <alignment horizontal="center"/>
    </xf>
    <xf numFmtId="0" fontId="59" fillId="19" borderId="0" xfId="42" applyFont="1" applyFill="1" applyBorder="1" applyAlignment="1">
      <alignment horizontal="center"/>
    </xf>
    <xf numFmtId="0" fontId="33" fillId="19" borderId="0" xfId="42" applyFont="1" applyFill="1" applyBorder="1"/>
    <xf numFmtId="166" fontId="33" fillId="19" borderId="0" xfId="42" applyNumberFormat="1" applyFont="1" applyFill="1" applyBorder="1" applyAlignment="1">
      <alignment horizontal="center"/>
    </xf>
    <xf numFmtId="167" fontId="33" fillId="19" borderId="0" xfId="398" applyNumberFormat="1" applyFont="1" applyFill="1" applyBorder="1" applyAlignment="1"/>
    <xf numFmtId="0" fontId="59" fillId="19" borderId="71" xfId="42" applyFont="1" applyFill="1" applyBorder="1" applyAlignment="1">
      <alignment horizontal="center"/>
    </xf>
    <xf numFmtId="0" fontId="33" fillId="19" borderId="71" xfId="42" applyFont="1" applyFill="1" applyBorder="1"/>
    <xf numFmtId="0" fontId="33" fillId="19" borderId="71" xfId="42" applyFont="1" applyFill="1" applyBorder="1" applyAlignment="1">
      <alignment horizontal="center"/>
    </xf>
    <xf numFmtId="167" fontId="33" fillId="19" borderId="71" xfId="398" applyNumberFormat="1" applyFont="1" applyFill="1" applyBorder="1"/>
    <xf numFmtId="0" fontId="59" fillId="0" borderId="77" xfId="42" applyFont="1" applyBorder="1" applyAlignment="1">
      <alignment horizontal="center"/>
    </xf>
    <xf numFmtId="14" fontId="3" fillId="0" borderId="79" xfId="42" applyNumberFormat="1" applyFont="1" applyFill="1" applyBorder="1" applyAlignment="1" applyProtection="1">
      <alignment horizontal="center" vertical="center"/>
    </xf>
    <xf numFmtId="0" fontId="3" fillId="0" borderId="80" xfId="42" applyFont="1" applyBorder="1" applyAlignment="1">
      <alignment horizontal="center"/>
    </xf>
    <xf numFmtId="0" fontId="3" fillId="0" borderId="81" xfId="42" applyFont="1" applyBorder="1" applyAlignment="1">
      <alignment horizontal="center"/>
    </xf>
    <xf numFmtId="0" fontId="3" fillId="0" borderId="82" xfId="42" applyFont="1" applyBorder="1" applyAlignment="1">
      <alignment horizontal="center"/>
    </xf>
    <xf numFmtId="14" fontId="3" fillId="0" borderId="83" xfId="42" applyNumberFormat="1" applyFont="1" applyFill="1" applyBorder="1" applyAlignment="1" applyProtection="1">
      <alignment horizontal="center" vertical="center"/>
    </xf>
    <xf numFmtId="0" fontId="3" fillId="0" borderId="83" xfId="42" applyFont="1" applyBorder="1" applyAlignment="1">
      <alignment horizontal="center"/>
    </xf>
    <xf numFmtId="0" fontId="28" fillId="0" borderId="0" xfId="42" applyFont="1" applyAlignment="1">
      <alignment horizontal="center"/>
    </xf>
    <xf numFmtId="0" fontId="4" fillId="15" borderId="64" xfId="42" applyFont="1" applyFill="1" applyBorder="1" applyAlignment="1">
      <alignment horizontal="center"/>
    </xf>
    <xf numFmtId="0" fontId="32" fillId="15" borderId="76" xfId="42" applyFont="1" applyFill="1" applyBorder="1" applyAlignment="1"/>
    <xf numFmtId="0" fontId="32" fillId="15" borderId="76" xfId="42" applyFont="1" applyFill="1" applyBorder="1" applyAlignment="1">
      <alignment horizontal="center"/>
    </xf>
    <xf numFmtId="1" fontId="32" fillId="15" borderId="76" xfId="42" applyNumberFormat="1" applyFont="1" applyFill="1" applyBorder="1" applyAlignment="1"/>
    <xf numFmtId="0" fontId="28" fillId="0" borderId="0" xfId="42" applyFont="1" applyAlignment="1"/>
    <xf numFmtId="14" fontId="28" fillId="0" borderId="76" xfId="42" applyNumberFormat="1" applyFont="1" applyBorder="1" applyAlignment="1"/>
    <xf numFmtId="166" fontId="28" fillId="0" borderId="76" xfId="42" applyNumberFormat="1" applyFont="1" applyBorder="1" applyAlignment="1">
      <alignment horizontal="center"/>
    </xf>
    <xf numFmtId="1" fontId="28" fillId="0" borderId="76" xfId="42" applyNumberFormat="1" applyFont="1" applyBorder="1" applyAlignment="1"/>
    <xf numFmtId="166" fontId="28" fillId="0" borderId="0" xfId="42" applyNumberFormat="1" applyFont="1" applyAlignment="1"/>
    <xf numFmtId="166" fontId="28" fillId="0" borderId="0" xfId="42" applyNumberFormat="1" applyFont="1" applyBorder="1" applyAlignment="1">
      <alignment horizontal="center"/>
    </xf>
    <xf numFmtId="1" fontId="28" fillId="0" borderId="0" xfId="42" applyNumberFormat="1" applyFont="1" applyBorder="1" applyAlignment="1"/>
    <xf numFmtId="166" fontId="28" fillId="0" borderId="0" xfId="42" applyNumberFormat="1" applyFont="1" applyBorder="1" applyAlignment="1"/>
    <xf numFmtId="1" fontId="32" fillId="20" borderId="76" xfId="42" applyNumberFormat="1" applyFont="1" applyFill="1" applyBorder="1" applyAlignment="1"/>
    <xf numFmtId="0" fontId="28" fillId="0" borderId="76" xfId="42" applyFont="1" applyBorder="1"/>
    <xf numFmtId="1" fontId="28" fillId="0" borderId="76" xfId="42" applyNumberFormat="1" applyFont="1" applyBorder="1" applyAlignment="1">
      <alignment horizontal="center"/>
    </xf>
    <xf numFmtId="0" fontId="28" fillId="0" borderId="0" xfId="42" applyFont="1" applyBorder="1" applyAlignment="1">
      <alignment horizontal="center"/>
    </xf>
    <xf numFmtId="0" fontId="28" fillId="0" borderId="71" xfId="42" applyFont="1" applyBorder="1"/>
    <xf numFmtId="1" fontId="28" fillId="0" borderId="71" xfId="42" applyNumberFormat="1" applyFont="1" applyBorder="1"/>
    <xf numFmtId="0" fontId="4" fillId="21" borderId="84" xfId="42" applyFont="1" applyFill="1" applyBorder="1" applyAlignment="1">
      <alignment horizontal="center"/>
    </xf>
    <xf numFmtId="0" fontId="32" fillId="21" borderId="85" xfId="42" applyFont="1" applyFill="1" applyBorder="1" applyAlignment="1"/>
    <xf numFmtId="0" fontId="32" fillId="21" borderId="85" xfId="42" applyFont="1" applyFill="1" applyBorder="1" applyAlignment="1">
      <alignment horizontal="center"/>
    </xf>
    <xf numFmtId="1" fontId="32" fillId="21" borderId="85" xfId="42" applyNumberFormat="1" applyFont="1" applyFill="1" applyBorder="1" applyAlignment="1"/>
    <xf numFmtId="0" fontId="3" fillId="21" borderId="0" xfId="42" applyFont="1" applyFill="1" applyBorder="1" applyAlignment="1">
      <alignment horizontal="center"/>
    </xf>
    <xf numFmtId="0" fontId="28" fillId="21" borderId="0" xfId="42" applyFont="1" applyFill="1" applyBorder="1"/>
    <xf numFmtId="1" fontId="28" fillId="21" borderId="0" xfId="42" applyNumberFormat="1" applyFont="1" applyFill="1" applyBorder="1" applyAlignment="1">
      <alignment horizontal="center"/>
    </xf>
    <xf numFmtId="1" fontId="28" fillId="21" borderId="0" xfId="42" applyNumberFormat="1" applyFont="1" applyFill="1" applyBorder="1" applyAlignment="1"/>
    <xf numFmtId="166" fontId="28" fillId="21" borderId="0" xfId="42" applyNumberFormat="1" applyFont="1" applyFill="1" applyBorder="1" applyAlignment="1"/>
    <xf numFmtId="14" fontId="28" fillId="21" borderId="0" xfId="42" applyNumberFormat="1" applyFont="1" applyFill="1" applyBorder="1" applyAlignment="1"/>
    <xf numFmtId="166" fontId="28" fillId="21" borderId="0" xfId="42" applyNumberFormat="1" applyFont="1" applyFill="1" applyBorder="1" applyAlignment="1">
      <alignment horizontal="center"/>
    </xf>
    <xf numFmtId="0" fontId="28" fillId="0" borderId="76" xfId="42" applyFont="1" applyBorder="1" applyAlignment="1">
      <alignment horizontal="center"/>
    </xf>
    <xf numFmtId="1" fontId="28" fillId="0" borderId="0" xfId="42" applyNumberFormat="1" applyFont="1" applyBorder="1" applyAlignment="1">
      <alignment horizontal="center"/>
    </xf>
    <xf numFmtId="0" fontId="28" fillId="0" borderId="72" xfId="42" applyFont="1" applyBorder="1"/>
    <xf numFmtId="1" fontId="28" fillId="0" borderId="72" xfId="42" applyNumberFormat="1" applyFont="1" applyBorder="1" applyAlignment="1"/>
    <xf numFmtId="0" fontId="4" fillId="21" borderId="86" xfId="42" applyFont="1" applyFill="1" applyBorder="1" applyAlignment="1">
      <alignment horizontal="center"/>
    </xf>
    <xf numFmtId="0" fontId="32" fillId="21" borderId="87" xfId="42" applyFont="1" applyFill="1" applyBorder="1" applyAlignment="1"/>
    <xf numFmtId="0" fontId="32" fillId="21" borderId="87" xfId="42" applyFont="1" applyFill="1" applyBorder="1" applyAlignment="1">
      <alignment horizontal="center"/>
    </xf>
    <xf numFmtId="1" fontId="32" fillId="21" borderId="87" xfId="42" applyNumberFormat="1" applyFont="1" applyFill="1" applyBorder="1" applyAlignment="1"/>
    <xf numFmtId="0" fontId="28" fillId="0" borderId="80" xfId="42" applyFont="1" applyBorder="1"/>
    <xf numFmtId="166" fontId="28" fillId="0" borderId="80" xfId="42" applyNumberFormat="1" applyFont="1" applyBorder="1" applyAlignment="1">
      <alignment horizontal="center"/>
    </xf>
    <xf numFmtId="1" fontId="28" fillId="0" borderId="80" xfId="42" applyNumberFormat="1" applyFont="1" applyBorder="1" applyAlignment="1"/>
    <xf numFmtId="0" fontId="28" fillId="0" borderId="82" xfId="42" applyFont="1" applyBorder="1"/>
    <xf numFmtId="166" fontId="28" fillId="0" borderId="82" xfId="42" applyNumberFormat="1" applyFont="1" applyBorder="1" applyAlignment="1">
      <alignment horizontal="center"/>
    </xf>
    <xf numFmtId="1" fontId="28" fillId="0" borderId="82" xfId="42" applyNumberFormat="1" applyFont="1" applyBorder="1" applyAlignment="1"/>
    <xf numFmtId="14" fontId="28" fillId="0" borderId="80" xfId="42" applyNumberFormat="1" applyFont="1" applyBorder="1" applyAlignment="1"/>
    <xf numFmtId="166" fontId="28" fillId="0" borderId="80" xfId="42" applyNumberFormat="1" applyFont="1" applyBorder="1" applyAlignment="1"/>
    <xf numFmtId="2" fontId="32" fillId="11" borderId="80" xfId="42" applyNumberFormat="1" applyFont="1" applyFill="1" applyBorder="1" applyAlignment="1"/>
    <xf numFmtId="166" fontId="28" fillId="0" borderId="82" xfId="42" applyNumberFormat="1" applyFont="1" applyBorder="1" applyAlignment="1"/>
    <xf numFmtId="0" fontId="4" fillId="21" borderId="88" xfId="42" applyFont="1" applyFill="1" applyBorder="1" applyAlignment="1">
      <alignment horizontal="center"/>
    </xf>
    <xf numFmtId="0" fontId="32" fillId="21" borderId="89" xfId="42" applyFont="1" applyFill="1" applyBorder="1" applyAlignment="1"/>
    <xf numFmtId="0" fontId="32" fillId="21" borderId="89" xfId="42" applyFont="1" applyFill="1" applyBorder="1" applyAlignment="1">
      <alignment horizontal="center"/>
    </xf>
    <xf numFmtId="1" fontId="32" fillId="21" borderId="89" xfId="42" applyNumberFormat="1" applyFont="1" applyFill="1" applyBorder="1" applyAlignment="1"/>
    <xf numFmtId="0" fontId="3" fillId="15" borderId="0" xfId="42" applyFont="1" applyFill="1" applyBorder="1" applyAlignment="1">
      <alignment horizontal="center"/>
    </xf>
    <xf numFmtId="14" fontId="28" fillId="15" borderId="0" xfId="42" applyNumberFormat="1" applyFont="1" applyFill="1" applyBorder="1" applyAlignment="1"/>
    <xf numFmtId="166" fontId="28" fillId="15" borderId="0" xfId="42" applyNumberFormat="1" applyFont="1" applyFill="1" applyBorder="1" applyAlignment="1">
      <alignment horizontal="center"/>
    </xf>
    <xf numFmtId="1" fontId="28" fillId="15" borderId="0" xfId="42" applyNumberFormat="1" applyFont="1" applyFill="1" applyBorder="1" applyAlignment="1"/>
    <xf numFmtId="0" fontId="28" fillId="15" borderId="0" xfId="42" applyFont="1" applyFill="1" applyBorder="1"/>
    <xf numFmtId="1" fontId="28" fillId="15" borderId="0" xfId="42" applyNumberFormat="1" applyFont="1" applyFill="1" applyBorder="1" applyAlignment="1">
      <alignment horizontal="center"/>
    </xf>
    <xf numFmtId="0" fontId="3" fillId="15" borderId="76" xfId="42" applyFont="1" applyFill="1" applyBorder="1" applyAlignment="1">
      <alignment horizontal="center"/>
    </xf>
    <xf numFmtId="14" fontId="28" fillId="15" borderId="76" xfId="42" applyNumberFormat="1" applyFont="1" applyFill="1" applyBorder="1" applyAlignment="1"/>
    <xf numFmtId="166" fontId="28" fillId="15" borderId="76" xfId="42" applyNumberFormat="1" applyFont="1" applyFill="1" applyBorder="1" applyAlignment="1">
      <alignment horizontal="center"/>
    </xf>
    <xf numFmtId="1" fontId="28" fillId="15" borderId="76" xfId="42" applyNumberFormat="1" applyFont="1" applyFill="1" applyBorder="1" applyAlignment="1"/>
    <xf numFmtId="14" fontId="3" fillId="0" borderId="84" xfId="42" applyNumberFormat="1" applyFont="1" applyFill="1" applyBorder="1" applyAlignment="1" applyProtection="1">
      <alignment horizontal="center" vertical="center"/>
    </xf>
    <xf numFmtId="0" fontId="3" fillId="0" borderId="85" xfId="42" applyFont="1" applyBorder="1" applyAlignment="1">
      <alignment horizontal="center"/>
    </xf>
    <xf numFmtId="0" fontId="28" fillId="0" borderId="85" xfId="42" applyFont="1" applyBorder="1"/>
    <xf numFmtId="166" fontId="28" fillId="0" borderId="85" xfId="42" applyNumberFormat="1" applyFont="1" applyBorder="1" applyAlignment="1">
      <alignment horizontal="center"/>
    </xf>
    <xf numFmtId="1" fontId="28" fillId="0" borderId="85" xfId="42" applyNumberFormat="1" applyFont="1" applyBorder="1" applyAlignment="1"/>
    <xf numFmtId="2" fontId="28" fillId="0" borderId="85" xfId="42" applyNumberFormat="1" applyFont="1" applyBorder="1" applyAlignment="1"/>
    <xf numFmtId="0" fontId="3" fillId="0" borderId="79" xfId="42" applyFont="1" applyBorder="1" applyAlignment="1">
      <alignment horizontal="center"/>
    </xf>
    <xf numFmtId="0" fontId="28" fillId="0" borderId="80" xfId="42" applyFont="1" applyBorder="1" applyAlignment="1">
      <alignment horizontal="center"/>
    </xf>
    <xf numFmtId="1" fontId="28" fillId="0" borderId="82" xfId="42" applyNumberFormat="1" applyFont="1" applyBorder="1" applyAlignment="1">
      <alignment horizontal="center"/>
    </xf>
    <xf numFmtId="2" fontId="28" fillId="0" borderId="82" xfId="42" applyNumberFormat="1" applyFont="1" applyBorder="1" applyAlignment="1"/>
    <xf numFmtId="1" fontId="28" fillId="0" borderId="71" xfId="42" applyNumberFormat="1" applyFont="1" applyBorder="1" applyAlignment="1">
      <alignment horizontal="center"/>
    </xf>
    <xf numFmtId="1" fontId="33" fillId="19" borderId="71" xfId="42" applyNumberFormat="1" applyFont="1" applyFill="1" applyBorder="1" applyAlignment="1">
      <alignment horizontal="center"/>
    </xf>
    <xf numFmtId="0" fontId="3" fillId="0" borderId="77" xfId="42" quotePrefix="1" applyFont="1" applyBorder="1" applyAlignment="1">
      <alignment horizontal="center"/>
    </xf>
    <xf numFmtId="0" fontId="3" fillId="15" borderId="0" xfId="42" applyFont="1" applyFill="1" applyAlignment="1">
      <alignment horizontal="center"/>
    </xf>
    <xf numFmtId="0" fontId="28" fillId="15" borderId="0" xfId="42" applyFont="1" applyFill="1"/>
    <xf numFmtId="0" fontId="28" fillId="15" borderId="0" xfId="42" applyFont="1" applyFill="1" applyAlignment="1">
      <alignment horizontal="center"/>
    </xf>
    <xf numFmtId="166" fontId="28" fillId="15" borderId="0" xfId="42" applyNumberFormat="1" applyFont="1" applyFill="1"/>
    <xf numFmtId="0" fontId="3" fillId="0" borderId="76" xfId="42" applyFont="1" applyFill="1" applyBorder="1" applyAlignment="1">
      <alignment horizontal="center"/>
    </xf>
    <xf numFmtId="14" fontId="28" fillId="0" borderId="0" xfId="42" applyNumberFormat="1" applyFont="1" applyFill="1" applyBorder="1" applyAlignment="1" applyProtection="1">
      <alignment horizontal="center" vertical="center"/>
    </xf>
    <xf numFmtId="0" fontId="4" fillId="15" borderId="78" xfId="42" applyFont="1" applyFill="1" applyBorder="1" applyAlignment="1">
      <alignment horizontal="center"/>
    </xf>
    <xf numFmtId="0" fontId="32" fillId="15" borderId="72" xfId="42" applyFont="1" applyFill="1" applyBorder="1" applyAlignment="1"/>
    <xf numFmtId="0" fontId="32" fillId="15" borderId="72" xfId="42" applyFont="1" applyFill="1" applyBorder="1" applyAlignment="1">
      <alignment horizontal="center"/>
    </xf>
    <xf numFmtId="1" fontId="32" fillId="15" borderId="72" xfId="42" applyNumberFormat="1" applyFont="1" applyFill="1" applyBorder="1" applyAlignment="1"/>
    <xf numFmtId="14" fontId="28" fillId="0" borderId="64" xfId="42" applyNumberFormat="1" applyFont="1" applyFill="1" applyBorder="1" applyAlignment="1" applyProtection="1">
      <alignment horizontal="center" vertical="center"/>
    </xf>
    <xf numFmtId="166" fontId="28" fillId="0" borderId="76" xfId="42" applyNumberFormat="1" applyFont="1" applyBorder="1" applyAlignment="1"/>
    <xf numFmtId="166" fontId="32" fillId="20" borderId="76" xfId="42" applyNumberFormat="1" applyFont="1" applyFill="1" applyBorder="1" applyAlignment="1"/>
    <xf numFmtId="14" fontId="28" fillId="0" borderId="67" xfId="42" applyNumberFormat="1" applyFont="1" applyFill="1" applyBorder="1" applyAlignment="1" applyProtection="1">
      <alignment horizontal="center" vertical="center"/>
    </xf>
    <xf numFmtId="14" fontId="28" fillId="0" borderId="0" xfId="42" applyNumberFormat="1" applyFont="1" applyBorder="1" applyAlignment="1"/>
    <xf numFmtId="14" fontId="28" fillId="0" borderId="76" xfId="42" applyNumberFormat="1" applyFont="1" applyFill="1" applyBorder="1" applyAlignment="1" applyProtection="1">
      <alignment horizontal="center" vertical="center"/>
    </xf>
    <xf numFmtId="166" fontId="28" fillId="15" borderId="76" xfId="42" applyNumberFormat="1" applyFont="1" applyFill="1" applyBorder="1" applyAlignment="1"/>
    <xf numFmtId="14" fontId="28" fillId="0" borderId="0" xfId="42" applyNumberFormat="1" applyFont="1" applyAlignment="1"/>
    <xf numFmtId="14" fontId="28" fillId="0" borderId="0" xfId="42" applyNumberFormat="1" applyFont="1" applyAlignment="1">
      <alignment horizontal="center"/>
    </xf>
    <xf numFmtId="2" fontId="28" fillId="0" borderId="0" xfId="42" applyNumberFormat="1" applyFont="1" applyAlignment="1"/>
    <xf numFmtId="14" fontId="28" fillId="0" borderId="78" xfId="42" applyNumberFormat="1" applyFont="1" applyFill="1" applyBorder="1" applyAlignment="1" applyProtection="1">
      <alignment horizontal="center" vertical="center"/>
    </xf>
    <xf numFmtId="14" fontId="28" fillId="0" borderId="72" xfId="42" applyNumberFormat="1" applyFont="1" applyBorder="1" applyAlignment="1"/>
    <xf numFmtId="166" fontId="28" fillId="0" borderId="72" xfId="42" applyNumberFormat="1" applyFont="1" applyBorder="1" applyAlignment="1">
      <alignment horizontal="center"/>
    </xf>
    <xf numFmtId="166" fontId="32" fillId="0" borderId="0" xfId="42" applyNumberFormat="1" applyFont="1" applyBorder="1" applyAlignment="1"/>
    <xf numFmtId="0" fontId="32" fillId="0" borderId="0" xfId="42" applyFont="1" applyBorder="1" applyAlignment="1"/>
    <xf numFmtId="14" fontId="28" fillId="0" borderId="79" xfId="42" applyNumberFormat="1" applyFont="1" applyFill="1" applyBorder="1" applyAlignment="1" applyProtection="1">
      <alignment horizontal="center" vertical="center"/>
    </xf>
    <xf numFmtId="14" fontId="28" fillId="0" borderId="90" xfId="42" applyNumberFormat="1" applyFont="1" applyFill="1" applyBorder="1" applyAlignment="1" applyProtection="1">
      <alignment horizontal="center" vertical="center"/>
    </xf>
    <xf numFmtId="14" fontId="28" fillId="0" borderId="81" xfId="42" applyNumberFormat="1" applyFont="1" applyFill="1" applyBorder="1" applyAlignment="1" applyProtection="1">
      <alignment horizontal="center" vertical="center"/>
    </xf>
    <xf numFmtId="14" fontId="28" fillId="0" borderId="82" xfId="42" applyNumberFormat="1" applyFont="1" applyBorder="1" applyAlignment="1"/>
    <xf numFmtId="14" fontId="28" fillId="0" borderId="88" xfId="42" applyNumberFormat="1" applyFont="1" applyFill="1" applyBorder="1" applyAlignment="1" applyProtection="1">
      <alignment horizontal="center" vertical="center"/>
    </xf>
    <xf numFmtId="166" fontId="28" fillId="15" borderId="0" xfId="42" applyNumberFormat="1" applyFont="1" applyFill="1" applyBorder="1" applyAlignment="1"/>
    <xf numFmtId="166" fontId="32" fillId="15" borderId="0" xfId="42" applyNumberFormat="1" applyFont="1" applyFill="1" applyBorder="1" applyAlignment="1"/>
    <xf numFmtId="166" fontId="32" fillId="21" borderId="0" xfId="42" applyNumberFormat="1" applyFont="1" applyFill="1" applyBorder="1" applyAlignment="1"/>
    <xf numFmtId="2" fontId="32" fillId="13" borderId="0" xfId="42" applyNumberFormat="1" applyFont="1" applyFill="1" applyBorder="1" applyAlignment="1">
      <alignment horizontal="right"/>
    </xf>
    <xf numFmtId="0" fontId="4" fillId="13" borderId="0" xfId="42" applyFont="1" applyFill="1" applyBorder="1" applyAlignment="1">
      <alignment horizontal="center"/>
    </xf>
    <xf numFmtId="14" fontId="32" fillId="13" borderId="0" xfId="42" applyNumberFormat="1" applyFont="1" applyFill="1" applyBorder="1" applyAlignment="1"/>
    <xf numFmtId="166" fontId="32" fillId="13" borderId="0" xfId="42" applyNumberFormat="1" applyFont="1" applyFill="1" applyBorder="1" applyAlignment="1">
      <alignment horizontal="center"/>
    </xf>
    <xf numFmtId="0" fontId="3" fillId="13" borderId="0" xfId="42" applyFont="1" applyFill="1" applyBorder="1" applyAlignment="1">
      <alignment horizontal="center"/>
    </xf>
    <xf numFmtId="14" fontId="28" fillId="13" borderId="0" xfId="42" applyNumberFormat="1" applyFont="1" applyFill="1" applyBorder="1" applyAlignment="1"/>
    <xf numFmtId="166" fontId="28" fillId="13" borderId="0" xfId="42" applyNumberFormat="1" applyFont="1" applyFill="1" applyBorder="1" applyAlignment="1">
      <alignment horizontal="center"/>
    </xf>
    <xf numFmtId="166" fontId="28" fillId="13" borderId="0" xfId="42" applyNumberFormat="1" applyFont="1" applyFill="1" applyBorder="1" applyAlignment="1"/>
    <xf numFmtId="14" fontId="28" fillId="0" borderId="53" xfId="42" applyNumberFormat="1" applyFont="1" applyFill="1" applyBorder="1" applyAlignment="1" applyProtection="1">
      <alignment horizontal="center" vertical="center"/>
    </xf>
    <xf numFmtId="0" fontId="3" fillId="0" borderId="40" xfId="42" applyFont="1" applyFill="1" applyBorder="1" applyAlignment="1">
      <alignment horizontal="center"/>
    </xf>
    <xf numFmtId="14" fontId="28" fillId="0" borderId="40" xfId="42" applyNumberFormat="1" applyFont="1" applyFill="1" applyBorder="1" applyAlignment="1"/>
    <xf numFmtId="166" fontId="28" fillId="0" borderId="40" xfId="42" applyNumberFormat="1" applyFont="1" applyFill="1" applyBorder="1" applyAlignment="1">
      <alignment horizontal="center"/>
    </xf>
    <xf numFmtId="0" fontId="4" fillId="13" borderId="53" xfId="42" applyFont="1" applyFill="1" applyBorder="1" applyAlignment="1">
      <alignment horizontal="center"/>
    </xf>
    <xf numFmtId="0" fontId="32" fillId="13" borderId="40" xfId="42" applyFont="1" applyFill="1" applyBorder="1" applyAlignment="1"/>
    <xf numFmtId="0" fontId="32" fillId="13" borderId="40" xfId="42" applyFont="1" applyFill="1" applyBorder="1" applyAlignment="1">
      <alignment horizontal="center"/>
    </xf>
    <xf numFmtId="1" fontId="32" fillId="13" borderId="40" xfId="42" applyNumberFormat="1" applyFont="1" applyFill="1" applyBorder="1" applyAlignment="1"/>
    <xf numFmtId="0" fontId="4" fillId="13" borderId="19" xfId="42" applyFont="1" applyFill="1" applyBorder="1" applyAlignment="1">
      <alignment horizontal="center"/>
    </xf>
    <xf numFmtId="0" fontId="32" fillId="13" borderId="17" xfId="42" applyFont="1" applyFill="1" applyBorder="1" applyAlignment="1"/>
    <xf numFmtId="0" fontId="32" fillId="13" borderId="17" xfId="42" applyFont="1" applyFill="1" applyBorder="1" applyAlignment="1">
      <alignment horizontal="center"/>
    </xf>
    <xf numFmtId="1" fontId="32" fillId="13" borderId="17" xfId="42" applyNumberFormat="1" applyFont="1" applyFill="1" applyBorder="1" applyAlignment="1"/>
    <xf numFmtId="14" fontId="28" fillId="0" borderId="19" xfId="42" applyNumberFormat="1" applyFont="1" applyFill="1" applyBorder="1" applyAlignment="1" applyProtection="1">
      <alignment horizontal="center" vertical="center"/>
    </xf>
    <xf numFmtId="0" fontId="3" fillId="0" borderId="17" xfId="42" applyFont="1" applyBorder="1" applyAlignment="1">
      <alignment horizontal="center"/>
    </xf>
    <xf numFmtId="14" fontId="28" fillId="0" borderId="17" xfId="42" applyNumberFormat="1" applyFont="1" applyBorder="1" applyAlignment="1"/>
    <xf numFmtId="166" fontId="28" fillId="0" borderId="17" xfId="42" applyNumberFormat="1" applyFont="1" applyBorder="1" applyAlignment="1">
      <alignment horizontal="center"/>
    </xf>
    <xf numFmtId="14" fontId="28" fillId="0" borderId="2" xfId="42" applyNumberFormat="1" applyFont="1" applyFill="1" applyBorder="1" applyAlignment="1" applyProtection="1">
      <alignment horizontal="center" vertical="center"/>
    </xf>
    <xf numFmtId="14" fontId="28" fillId="0" borderId="36" xfId="42" applyNumberFormat="1" applyFont="1" applyFill="1" applyBorder="1" applyAlignment="1" applyProtection="1">
      <alignment horizontal="center" vertical="center"/>
    </xf>
    <xf numFmtId="0" fontId="3" fillId="0" borderId="30" xfId="42" applyFont="1" applyBorder="1" applyAlignment="1">
      <alignment horizontal="center"/>
    </xf>
    <xf numFmtId="14" fontId="28" fillId="0" borderId="30" xfId="42" applyNumberFormat="1" applyFont="1" applyBorder="1" applyAlignment="1"/>
    <xf numFmtId="166" fontId="28" fillId="0" borderId="30" xfId="42" applyNumberFormat="1" applyFont="1" applyBorder="1" applyAlignment="1">
      <alignment horizontal="center"/>
    </xf>
    <xf numFmtId="0" fontId="68" fillId="0" borderId="0" xfId="42" applyFont="1" applyBorder="1" applyAlignment="1">
      <alignment horizontal="center"/>
    </xf>
    <xf numFmtId="14" fontId="55" fillId="0" borderId="0" xfId="42" applyNumberFormat="1" applyFont="1" applyBorder="1" applyAlignment="1"/>
    <xf numFmtId="0" fontId="3" fillId="0" borderId="89" xfId="42" applyFont="1" applyBorder="1" applyAlignment="1">
      <alignment horizontal="center"/>
    </xf>
    <xf numFmtId="14" fontId="28" fillId="0" borderId="89" xfId="42" applyNumberFormat="1" applyFont="1" applyBorder="1" applyAlignment="1"/>
    <xf numFmtId="166" fontId="28" fillId="0" borderId="89" xfId="42" applyNumberFormat="1" applyFont="1" applyBorder="1" applyAlignment="1">
      <alignment horizontal="center"/>
    </xf>
    <xf numFmtId="166" fontId="28" fillId="0" borderId="89" xfId="42" applyNumberFormat="1" applyFont="1" applyBorder="1" applyAlignment="1"/>
    <xf numFmtId="166" fontId="55" fillId="0" borderId="0" xfId="42" applyNumberFormat="1" applyFont="1" applyBorder="1" applyAlignment="1"/>
    <xf numFmtId="167" fontId="28" fillId="0" borderId="17" xfId="398" applyNumberFormat="1" applyFont="1" applyBorder="1" applyAlignment="1"/>
    <xf numFmtId="167" fontId="28" fillId="0" borderId="0" xfId="398" applyNumberFormat="1" applyFont="1" applyBorder="1" applyAlignment="1"/>
    <xf numFmtId="167" fontId="28" fillId="0" borderId="30" xfId="398" applyNumberFormat="1" applyFont="1" applyBorder="1" applyAlignment="1"/>
    <xf numFmtId="167" fontId="28" fillId="13" borderId="0" xfId="398" applyNumberFormat="1" applyFont="1" applyFill="1" applyBorder="1" applyAlignment="1"/>
    <xf numFmtId="14" fontId="28" fillId="0" borderId="77" xfId="42" applyNumberFormat="1" applyFont="1" applyFill="1" applyBorder="1" applyAlignment="1" applyProtection="1">
      <alignment horizontal="center" vertical="center"/>
    </xf>
    <xf numFmtId="0" fontId="32" fillId="0" borderId="0" xfId="42" applyFont="1" applyAlignment="1"/>
    <xf numFmtId="166" fontId="32" fillId="15" borderId="76" xfId="42" applyNumberFormat="1" applyFont="1" applyFill="1" applyBorder="1" applyAlignment="1"/>
    <xf numFmtId="166" fontId="32" fillId="0" borderId="0" xfId="42" applyNumberFormat="1" applyFont="1" applyAlignment="1"/>
    <xf numFmtId="166" fontId="32" fillId="0" borderId="76" xfId="42" applyNumberFormat="1" applyFont="1" applyBorder="1" applyAlignment="1"/>
    <xf numFmtId="0" fontId="4" fillId="23" borderId="14" xfId="42" applyFont="1" applyFill="1" applyBorder="1" applyAlignment="1">
      <alignment horizontal="center"/>
    </xf>
    <xf numFmtId="2" fontId="32" fillId="0" borderId="0" xfId="42" applyNumberFormat="1" applyFont="1" applyAlignment="1"/>
    <xf numFmtId="169" fontId="28" fillId="0" borderId="0" xfId="42" applyNumberFormat="1" applyFont="1" applyAlignment="1"/>
    <xf numFmtId="0" fontId="73" fillId="0" borderId="0" xfId="42" applyFont="1"/>
    <xf numFmtId="0" fontId="74" fillId="0" borderId="0" xfId="42" applyFont="1"/>
    <xf numFmtId="0" fontId="51" fillId="0" borderId="0" xfId="42" applyFont="1"/>
    <xf numFmtId="0" fontId="75" fillId="0" borderId="0" xfId="42" applyFont="1" applyProtection="1">
      <protection locked="0"/>
    </xf>
    <xf numFmtId="14" fontId="0" fillId="0" borderId="0" xfId="42" applyNumberFormat="1" applyFont="1" applyAlignment="1" applyProtection="1">
      <alignment horizontal="center"/>
      <protection locked="0"/>
    </xf>
    <xf numFmtId="0" fontId="0" fillId="0" borderId="0" xfId="42" applyFont="1" applyProtection="1">
      <protection locked="0"/>
    </xf>
    <xf numFmtId="0" fontId="13" fillId="0" borderId="0" xfId="32" applyAlignment="1" applyProtection="1">
      <protection locked="0"/>
    </xf>
    <xf numFmtId="1" fontId="28" fillId="13" borderId="0" xfId="42" applyNumberFormat="1" applyFont="1" applyFill="1" applyBorder="1" applyAlignment="1"/>
    <xf numFmtId="0" fontId="4" fillId="13" borderId="91" xfId="42" applyFont="1" applyFill="1" applyBorder="1" applyAlignment="1">
      <alignment horizontal="center"/>
    </xf>
    <xf numFmtId="0" fontId="32" fillId="13" borderId="92" xfId="42" applyFont="1" applyFill="1" applyBorder="1" applyAlignment="1"/>
    <xf numFmtId="0" fontId="32" fillId="13" borderId="92" xfId="42" applyFont="1" applyFill="1" applyBorder="1" applyAlignment="1">
      <alignment horizontal="center"/>
    </xf>
    <xf numFmtId="1" fontId="32" fillId="13" borderId="92" xfId="42" applyNumberFormat="1" applyFont="1" applyFill="1" applyBorder="1" applyAlignment="1"/>
    <xf numFmtId="14" fontId="3" fillId="0" borderId="91" xfId="42" applyNumberFormat="1" applyFont="1" applyFill="1" applyBorder="1" applyAlignment="1" applyProtection="1">
      <alignment horizontal="center" vertical="center"/>
    </xf>
    <xf numFmtId="0" fontId="3" fillId="0" borderId="92" xfId="42" applyFont="1" applyBorder="1" applyAlignment="1">
      <alignment horizontal="center"/>
    </xf>
    <xf numFmtId="14" fontId="28" fillId="0" borderId="92" xfId="42" applyNumberFormat="1" applyFont="1" applyBorder="1" applyAlignment="1"/>
    <xf numFmtId="166" fontId="28" fillId="0" borderId="92" xfId="42" applyNumberFormat="1" applyFont="1" applyBorder="1" applyAlignment="1">
      <alignment horizontal="center"/>
    </xf>
    <xf numFmtId="1" fontId="28" fillId="0" borderId="92" xfId="42" applyNumberFormat="1" applyFont="1" applyBorder="1" applyAlignment="1"/>
    <xf numFmtId="0" fontId="3" fillId="0" borderId="93" xfId="42" applyFont="1" applyBorder="1" applyAlignment="1">
      <alignment horizontal="center"/>
    </xf>
    <xf numFmtId="0" fontId="3" fillId="0" borderId="4" xfId="42" applyFont="1" applyBorder="1" applyAlignment="1">
      <alignment horizontal="center"/>
    </xf>
    <xf numFmtId="0" fontId="28" fillId="0" borderId="4" xfId="42" applyFont="1" applyBorder="1"/>
    <xf numFmtId="166" fontId="28" fillId="0" borderId="4" xfId="42" applyNumberFormat="1" applyFont="1" applyBorder="1" applyAlignment="1">
      <alignment horizontal="center"/>
    </xf>
    <xf numFmtId="1" fontId="28" fillId="0" borderId="4" xfId="42" applyNumberFormat="1" applyFont="1" applyBorder="1" applyAlignment="1"/>
    <xf numFmtId="166" fontId="32" fillId="15" borderId="0" xfId="42" applyNumberFormat="1" applyFont="1" applyFill="1"/>
    <xf numFmtId="1" fontId="28" fillId="13" borderId="0" xfId="42" applyNumberFormat="1" applyFont="1" applyFill="1" applyBorder="1" applyAlignment="1">
      <alignment horizontal="center"/>
    </xf>
    <xf numFmtId="14" fontId="3" fillId="0" borderId="2" xfId="42" applyNumberFormat="1" applyFont="1" applyFill="1" applyBorder="1" applyAlignment="1" applyProtection="1">
      <alignment horizontal="center" vertical="center"/>
    </xf>
    <xf numFmtId="0" fontId="3" fillId="0" borderId="2" xfId="42" applyFont="1" applyBorder="1" applyAlignment="1">
      <alignment horizontal="center"/>
    </xf>
    <xf numFmtId="1" fontId="28" fillId="0" borderId="30" xfId="42" applyNumberFormat="1" applyFont="1" applyBorder="1" applyAlignment="1"/>
    <xf numFmtId="1" fontId="28" fillId="0" borderId="0" xfId="42" applyNumberFormat="1" applyFont="1" applyBorder="1"/>
    <xf numFmtId="14" fontId="3" fillId="0" borderId="67" xfId="42" applyNumberFormat="1" applyFont="1" applyFill="1" applyBorder="1" applyAlignment="1" applyProtection="1">
      <alignment horizontal="center" vertical="center"/>
    </xf>
    <xf numFmtId="0" fontId="59" fillId="0" borderId="67" xfId="42" applyFont="1" applyBorder="1" applyAlignment="1">
      <alignment horizontal="center"/>
    </xf>
    <xf numFmtId="0" fontId="3" fillId="0" borderId="94" xfId="42" applyFont="1" applyBorder="1" applyAlignment="1">
      <alignment horizontal="center"/>
    </xf>
    <xf numFmtId="166" fontId="28" fillId="1" borderId="0" xfId="42" applyNumberFormat="1" applyFont="1" applyFill="1" applyBorder="1" applyAlignment="1"/>
    <xf numFmtId="1" fontId="28" fillId="0" borderId="30" xfId="42" applyNumberFormat="1" applyFont="1" applyBorder="1" applyAlignment="1">
      <alignment horizontal="center"/>
    </xf>
    <xf numFmtId="2" fontId="28" fillId="0" borderId="30" xfId="42" applyNumberFormat="1" applyFont="1" applyBorder="1" applyAlignment="1"/>
    <xf numFmtId="0" fontId="28" fillId="0" borderId="0" xfId="42" applyFont="1" applyFill="1" applyAlignment="1"/>
    <xf numFmtId="0" fontId="28" fillId="0" borderId="0" xfId="42" applyFont="1" applyFill="1" applyBorder="1" applyAlignment="1"/>
    <xf numFmtId="14" fontId="3" fillId="0" borderId="77" xfId="42" applyNumberFormat="1" applyFont="1" applyFill="1" applyBorder="1" applyAlignment="1" applyProtection="1">
      <alignment horizontal="center" vertical="center"/>
    </xf>
    <xf numFmtId="0" fontId="28" fillId="0" borderId="76" xfId="42" applyFont="1" applyFill="1" applyBorder="1" applyAlignment="1"/>
    <xf numFmtId="0" fontId="28" fillId="0" borderId="76" xfId="42" applyFont="1" applyFill="1" applyBorder="1" applyAlignment="1">
      <alignment horizontal="center"/>
    </xf>
    <xf numFmtId="1" fontId="28" fillId="0" borderId="76" xfId="42" applyNumberFormat="1" applyFont="1" applyFill="1" applyBorder="1" applyAlignment="1"/>
    <xf numFmtId="0" fontId="3" fillId="0" borderId="71" xfId="42" applyFont="1" applyFill="1" applyBorder="1" applyAlignment="1">
      <alignment horizontal="center"/>
    </xf>
    <xf numFmtId="0" fontId="28" fillId="0" borderId="71" xfId="42" applyFont="1" applyFill="1" applyBorder="1" applyAlignment="1"/>
    <xf numFmtId="0" fontId="28" fillId="0" borderId="71" xfId="42" applyFont="1" applyFill="1" applyBorder="1" applyAlignment="1">
      <alignment horizontal="center"/>
    </xf>
    <xf numFmtId="1" fontId="28" fillId="0" borderId="71" xfId="42" applyNumberFormat="1" applyFont="1" applyFill="1" applyBorder="1" applyAlignment="1"/>
    <xf numFmtId="0" fontId="28" fillId="15" borderId="0" xfId="42" applyFont="1" applyFill="1" applyBorder="1" applyAlignment="1"/>
    <xf numFmtId="0" fontId="28" fillId="15" borderId="0" xfId="42" applyFont="1" applyFill="1" applyBorder="1" applyAlignment="1">
      <alignment horizontal="center"/>
    </xf>
    <xf numFmtId="1" fontId="32" fillId="21" borderId="80" xfId="42" applyNumberFormat="1" applyFont="1" applyFill="1" applyBorder="1" applyAlignment="1"/>
    <xf numFmtId="0" fontId="4" fillId="0" borderId="0" xfId="42" applyFont="1" applyAlignment="1">
      <alignment horizontal="center" vertical="center"/>
    </xf>
    <xf numFmtId="0" fontId="28" fillId="0" borderId="0" xfId="42" applyFont="1" applyAlignment="1">
      <alignment vertical="center"/>
    </xf>
    <xf numFmtId="0" fontId="28" fillId="0" borderId="71" xfId="42" applyFont="1" applyBorder="1" applyAlignment="1">
      <alignment horizontal="center"/>
    </xf>
    <xf numFmtId="0" fontId="3" fillId="15" borderId="78" xfId="42" applyFont="1" applyFill="1" applyBorder="1" applyAlignment="1">
      <alignment horizontal="center"/>
    </xf>
    <xf numFmtId="0" fontId="32" fillId="15" borderId="72" xfId="42" applyFont="1" applyFill="1" applyBorder="1"/>
    <xf numFmtId="0" fontId="28" fillId="15" borderId="72" xfId="42" applyFont="1" applyFill="1" applyBorder="1" applyAlignment="1">
      <alignment horizontal="center"/>
    </xf>
    <xf numFmtId="0" fontId="4" fillId="0" borderId="0" xfId="42" applyFont="1" applyBorder="1" applyAlignment="1">
      <alignment horizontal="center"/>
    </xf>
    <xf numFmtId="0" fontId="3" fillId="0" borderId="64" xfId="42" applyFont="1" applyBorder="1" applyAlignment="1">
      <alignment horizontal="center" vertical="center"/>
    </xf>
    <xf numFmtId="0" fontId="3" fillId="0" borderId="76" xfId="42" applyFont="1" applyBorder="1" applyAlignment="1">
      <alignment horizontal="center" vertical="center"/>
    </xf>
    <xf numFmtId="0" fontId="28" fillId="0" borderId="76" xfId="42" applyFont="1" applyBorder="1" applyAlignment="1">
      <alignment vertical="center"/>
    </xf>
    <xf numFmtId="0" fontId="3" fillId="0" borderId="67" xfId="42" applyFont="1" applyBorder="1" applyAlignment="1">
      <alignment horizontal="center" vertical="center"/>
    </xf>
    <xf numFmtId="0" fontId="3" fillId="0" borderId="0" xfId="42" applyFont="1" applyBorder="1" applyAlignment="1">
      <alignment horizontal="center" vertical="center"/>
    </xf>
    <xf numFmtId="0" fontId="28" fillId="0" borderId="0" xfId="42" applyFont="1" applyBorder="1" applyAlignment="1">
      <alignment vertical="center"/>
    </xf>
    <xf numFmtId="0" fontId="3" fillId="15" borderId="0" xfId="42" applyFont="1" applyFill="1" applyBorder="1" applyAlignment="1">
      <alignment horizontal="center" vertical="center"/>
    </xf>
    <xf numFmtId="0" fontId="28" fillId="15" borderId="0" xfId="42" applyFont="1" applyFill="1" applyBorder="1" applyAlignment="1">
      <alignment vertical="center"/>
    </xf>
    <xf numFmtId="0" fontId="3" fillId="0" borderId="77" xfId="42" applyFont="1" applyBorder="1" applyAlignment="1">
      <alignment horizontal="center" vertical="center"/>
    </xf>
    <xf numFmtId="0" fontId="3" fillId="0" borderId="71" xfId="42" applyFont="1" applyBorder="1" applyAlignment="1">
      <alignment horizontal="center" vertical="center"/>
    </xf>
    <xf numFmtId="0" fontId="28" fillId="0" borderId="71" xfId="42" applyFont="1" applyBorder="1" applyAlignment="1">
      <alignment vertical="center"/>
    </xf>
    <xf numFmtId="0" fontId="4" fillId="0" borderId="0" xfId="42" applyFont="1" applyBorder="1" applyAlignment="1">
      <alignment horizontal="center" vertical="center"/>
    </xf>
    <xf numFmtId="0" fontId="28" fillId="15" borderId="0" xfId="42" applyFont="1" applyFill="1" applyBorder="1" applyAlignment="1">
      <alignment horizontal="center" vertical="center" wrapText="1"/>
    </xf>
    <xf numFmtId="0" fontId="3" fillId="0" borderId="76" xfId="42" applyFont="1" applyBorder="1" applyAlignment="1">
      <alignment horizontal="center" vertical="center" wrapText="1"/>
    </xf>
    <xf numFmtId="0" fontId="3" fillId="0" borderId="0" xfId="42" applyFont="1" applyBorder="1" applyAlignment="1">
      <alignment horizontal="center" vertical="center" wrapText="1"/>
    </xf>
    <xf numFmtId="0" fontId="3" fillId="0" borderId="71" xfId="42" applyFont="1" applyBorder="1" applyAlignment="1">
      <alignment horizontal="center" vertical="center" wrapText="1"/>
    </xf>
    <xf numFmtId="166" fontId="28" fillId="15" borderId="0" xfId="42" applyNumberFormat="1" applyFont="1" applyFill="1" applyBorder="1" applyAlignment="1">
      <alignment vertical="center"/>
    </xf>
    <xf numFmtId="166" fontId="28" fillId="0" borderId="71" xfId="42" applyNumberFormat="1" applyFont="1" applyBorder="1" applyAlignment="1">
      <alignment vertical="center"/>
    </xf>
    <xf numFmtId="166" fontId="28" fillId="15" borderId="0" xfId="42" applyNumberFormat="1" applyFont="1" applyFill="1" applyBorder="1"/>
    <xf numFmtId="166" fontId="28" fillId="0" borderId="71" xfId="42" applyNumberFormat="1" applyFont="1" applyBorder="1"/>
    <xf numFmtId="0" fontId="28" fillId="21" borderId="0" xfId="42" applyFont="1" applyFill="1" applyBorder="1" applyAlignment="1">
      <alignment horizontal="center"/>
    </xf>
    <xf numFmtId="166" fontId="28" fillId="21" borderId="0" xfId="42" applyNumberFormat="1" applyFont="1" applyFill="1" applyBorder="1"/>
    <xf numFmtId="0" fontId="3" fillId="21" borderId="88" xfId="42" applyFont="1" applyFill="1" applyBorder="1" applyAlignment="1">
      <alignment horizontal="center"/>
    </xf>
    <xf numFmtId="0" fontId="32" fillId="21" borderId="89" xfId="42" applyFont="1" applyFill="1" applyBorder="1"/>
    <xf numFmtId="0" fontId="28" fillId="21" borderId="89" xfId="42" applyFont="1" applyFill="1" applyBorder="1" applyAlignment="1">
      <alignment horizontal="center"/>
    </xf>
    <xf numFmtId="0" fontId="3" fillId="21" borderId="79" xfId="42" applyFont="1" applyFill="1" applyBorder="1" applyAlignment="1">
      <alignment horizontal="center"/>
    </xf>
    <xf numFmtId="0" fontId="32" fillId="21" borderId="80" xfId="42" applyFont="1" applyFill="1" applyBorder="1"/>
    <xf numFmtId="0" fontId="28" fillId="21" borderId="80" xfId="42" applyFont="1" applyFill="1" applyBorder="1" applyAlignment="1">
      <alignment horizontal="center"/>
    </xf>
    <xf numFmtId="0" fontId="3" fillId="0" borderId="90" xfId="42" applyFont="1" applyBorder="1" applyAlignment="1">
      <alignment horizontal="center"/>
    </xf>
    <xf numFmtId="0" fontId="28" fillId="0" borderId="82" xfId="42" applyFont="1" applyBorder="1" applyAlignment="1">
      <alignment horizontal="center"/>
    </xf>
    <xf numFmtId="166" fontId="28" fillId="0" borderId="82" xfId="42" applyNumberFormat="1" applyFont="1" applyBorder="1"/>
    <xf numFmtId="166" fontId="32" fillId="1" borderId="0" xfId="42" applyNumberFormat="1" applyFont="1" applyFill="1" applyBorder="1" applyAlignment="1"/>
    <xf numFmtId="2" fontId="32" fillId="0" borderId="80" xfId="42" applyNumberFormat="1" applyFont="1" applyBorder="1" applyAlignment="1"/>
    <xf numFmtId="166" fontId="32" fillId="15" borderId="0" xfId="42" applyNumberFormat="1" applyFont="1" applyFill="1" applyBorder="1"/>
    <xf numFmtId="166" fontId="32" fillId="0" borderId="71" xfId="42" applyNumberFormat="1" applyFont="1" applyBorder="1"/>
    <xf numFmtId="166" fontId="32" fillId="20" borderId="0" xfId="42" applyNumberFormat="1" applyFont="1" applyFill="1" applyBorder="1"/>
    <xf numFmtId="166" fontId="32" fillId="20" borderId="71" xfId="42" applyNumberFormat="1" applyFont="1" applyFill="1" applyBorder="1"/>
    <xf numFmtId="14" fontId="28" fillId="0" borderId="82" xfId="42" applyNumberFormat="1" applyFont="1" applyBorder="1" applyAlignment="1">
      <alignment horizontal="center"/>
    </xf>
    <xf numFmtId="14" fontId="3" fillId="0" borderId="90" xfId="42" applyNumberFormat="1" applyFont="1" applyFill="1" applyBorder="1" applyAlignment="1" applyProtection="1">
      <alignment horizontal="center" vertical="center"/>
    </xf>
    <xf numFmtId="0" fontId="3" fillId="0" borderId="95" xfId="42" applyFont="1" applyBorder="1" applyAlignment="1">
      <alignment horizontal="center"/>
    </xf>
    <xf numFmtId="14" fontId="3" fillId="0" borderId="95" xfId="42" applyNumberFormat="1" applyFont="1" applyFill="1" applyBorder="1" applyAlignment="1" applyProtection="1">
      <alignment horizontal="center" vertical="center"/>
    </xf>
    <xf numFmtId="0" fontId="3" fillId="21" borderId="0" xfId="42" applyFont="1" applyFill="1" applyBorder="1" applyAlignment="1">
      <alignment horizontal="center" vertical="center"/>
    </xf>
    <xf numFmtId="0" fontId="28" fillId="21" borderId="0" xfId="42" applyFont="1" applyFill="1" applyBorder="1" applyAlignment="1">
      <alignment vertical="center"/>
    </xf>
    <xf numFmtId="0" fontId="28" fillId="21" borderId="0" xfId="42" applyFont="1" applyFill="1" applyBorder="1" applyAlignment="1">
      <alignment horizontal="center" vertical="center" wrapText="1"/>
    </xf>
    <xf numFmtId="166" fontId="28" fillId="21" borderId="0" xfId="42" applyNumberFormat="1" applyFont="1" applyFill="1" applyBorder="1" applyAlignment="1">
      <alignment vertical="center"/>
    </xf>
    <xf numFmtId="0" fontId="3" fillId="0" borderId="79" xfId="42" applyFont="1" applyBorder="1" applyAlignment="1">
      <alignment horizontal="center" vertical="center"/>
    </xf>
    <xf numFmtId="0" fontId="3" fillId="0" borderId="80" xfId="42" applyFont="1" applyBorder="1" applyAlignment="1">
      <alignment horizontal="center" vertical="center"/>
    </xf>
    <xf numFmtId="0" fontId="28" fillId="0" borderId="80" xfId="42" applyFont="1" applyBorder="1" applyAlignment="1">
      <alignment vertical="center"/>
    </xf>
    <xf numFmtId="0" fontId="3" fillId="0" borderId="80" xfId="42" applyFont="1" applyBorder="1" applyAlignment="1">
      <alignment horizontal="center" vertical="center" wrapText="1"/>
    </xf>
    <xf numFmtId="0" fontId="3" fillId="0" borderId="90" xfId="42" applyFont="1" applyBorder="1" applyAlignment="1">
      <alignment horizontal="center" vertical="center"/>
    </xf>
    <xf numFmtId="0" fontId="3" fillId="0" borderId="81" xfId="42" applyFont="1" applyBorder="1" applyAlignment="1">
      <alignment horizontal="center" vertical="center"/>
    </xf>
    <xf numFmtId="0" fontId="3" fillId="0" borderId="82" xfId="42" applyFont="1" applyBorder="1" applyAlignment="1">
      <alignment horizontal="center" vertical="center"/>
    </xf>
    <xf numFmtId="0" fontId="28" fillId="0" borderId="82" xfId="42" applyFont="1" applyBorder="1" applyAlignment="1">
      <alignment vertical="center"/>
    </xf>
    <xf numFmtId="0" fontId="3" fillId="0" borderId="82" xfId="42" applyFont="1" applyBorder="1" applyAlignment="1">
      <alignment horizontal="center" vertical="center" wrapText="1"/>
    </xf>
    <xf numFmtId="166" fontId="28" fillId="0" borderId="82" xfId="42" applyNumberFormat="1" applyFont="1" applyBorder="1" applyAlignment="1">
      <alignment vertical="center"/>
    </xf>
    <xf numFmtId="0" fontId="3" fillId="13" borderId="0" xfId="42" applyFont="1" applyFill="1" applyBorder="1" applyAlignment="1">
      <alignment horizontal="center" vertical="center"/>
    </xf>
    <xf numFmtId="0" fontId="28" fillId="13" borderId="0" xfId="42" applyFont="1" applyFill="1" applyBorder="1" applyAlignment="1">
      <alignment vertical="center"/>
    </xf>
    <xf numFmtId="0" fontId="28" fillId="13" borderId="0" xfId="42" applyFont="1" applyFill="1" applyBorder="1" applyAlignment="1">
      <alignment horizontal="center" vertical="center" wrapText="1"/>
    </xf>
    <xf numFmtId="0" fontId="3" fillId="0" borderId="19" xfId="42" applyFont="1" applyBorder="1" applyAlignment="1">
      <alignment horizontal="center" vertical="center"/>
    </xf>
    <xf numFmtId="0" fontId="3" fillId="0" borderId="17" xfId="42" applyFont="1" applyBorder="1" applyAlignment="1">
      <alignment horizontal="center" vertical="center"/>
    </xf>
    <xf numFmtId="0" fontId="28" fillId="0" borderId="17" xfId="42" applyFont="1" applyBorder="1" applyAlignment="1">
      <alignment vertical="center"/>
    </xf>
    <xf numFmtId="0" fontId="3" fillId="0" borderId="17" xfId="42" applyFont="1" applyBorder="1" applyAlignment="1">
      <alignment horizontal="center" vertical="center" wrapText="1"/>
    </xf>
    <xf numFmtId="0" fontId="3" fillId="0" borderId="2" xfId="42" applyFont="1" applyBorder="1" applyAlignment="1">
      <alignment horizontal="center" vertical="center"/>
    </xf>
    <xf numFmtId="0" fontId="3" fillId="0" borderId="36" xfId="42" applyFont="1" applyBorder="1" applyAlignment="1">
      <alignment horizontal="center" vertical="center"/>
    </xf>
    <xf numFmtId="0" fontId="3" fillId="0" borderId="30" xfId="42" applyFont="1" applyBorder="1" applyAlignment="1">
      <alignment horizontal="center" vertical="center"/>
    </xf>
    <xf numFmtId="0" fontId="28" fillId="0" borderId="30" xfId="42" applyFont="1" applyBorder="1" applyAlignment="1">
      <alignment vertical="center"/>
    </xf>
    <xf numFmtId="0" fontId="3" fillId="0" borderId="30" xfId="42" applyFont="1" applyBorder="1" applyAlignment="1">
      <alignment horizontal="center" vertical="center" wrapText="1"/>
    </xf>
    <xf numFmtId="0" fontId="3" fillId="13" borderId="96" xfId="42" applyFont="1" applyFill="1" applyBorder="1" applyAlignment="1">
      <alignment horizontal="center"/>
    </xf>
    <xf numFmtId="0" fontId="32" fillId="13" borderId="97" xfId="42" applyFont="1" applyFill="1" applyBorder="1"/>
    <xf numFmtId="0" fontId="28" fillId="13" borderId="97" xfId="42" applyFont="1" applyFill="1" applyBorder="1" applyAlignment="1">
      <alignment horizontal="center"/>
    </xf>
    <xf numFmtId="1" fontId="32" fillId="13" borderId="97" xfId="42" applyNumberFormat="1" applyFont="1" applyFill="1" applyBorder="1" applyAlignment="1"/>
    <xf numFmtId="167" fontId="28" fillId="13" borderId="0" xfId="398" applyNumberFormat="1" applyFont="1" applyFill="1" applyBorder="1" applyAlignment="1">
      <alignment vertical="center"/>
    </xf>
    <xf numFmtId="167" fontId="28" fillId="0" borderId="30" xfId="398" applyNumberFormat="1" applyFont="1" applyBorder="1" applyAlignment="1">
      <alignment vertical="center"/>
    </xf>
    <xf numFmtId="166" fontId="28" fillId="0" borderId="76" xfId="42" applyNumberFormat="1" applyFont="1" applyBorder="1"/>
    <xf numFmtId="2" fontId="28" fillId="0" borderId="80" xfId="42" applyNumberFormat="1" applyFont="1" applyBorder="1" applyAlignment="1"/>
    <xf numFmtId="0" fontId="28" fillId="0" borderId="81" xfId="42" applyFont="1" applyBorder="1" applyAlignment="1">
      <alignment horizontal="center"/>
    </xf>
    <xf numFmtId="0" fontId="28" fillId="0" borderId="82" xfId="42" applyFont="1" applyBorder="1" applyAlignment="1"/>
    <xf numFmtId="166" fontId="3" fillId="0" borderId="0" xfId="42" applyNumberFormat="1" applyFont="1" applyBorder="1" applyAlignment="1">
      <alignment horizontal="center"/>
    </xf>
    <xf numFmtId="0" fontId="4" fillId="13" borderId="98" xfId="42" applyFont="1" applyFill="1" applyBorder="1" applyAlignment="1">
      <alignment horizontal="center"/>
    </xf>
    <xf numFmtId="0" fontId="32" fillId="13" borderId="99" xfId="42" applyFont="1" applyFill="1" applyBorder="1" applyAlignment="1"/>
    <xf numFmtId="1" fontId="32" fillId="13" borderId="99" xfId="42" applyNumberFormat="1" applyFont="1" applyFill="1" applyBorder="1" applyAlignment="1"/>
    <xf numFmtId="0" fontId="3" fillId="0" borderId="64" xfId="42" applyFont="1" applyFill="1" applyBorder="1" applyAlignment="1">
      <alignment horizontal="center"/>
    </xf>
    <xf numFmtId="0" fontId="28" fillId="0" borderId="76" xfId="42" applyFont="1" applyFill="1" applyBorder="1"/>
    <xf numFmtId="166" fontId="28" fillId="1" borderId="80" xfId="42" applyNumberFormat="1" applyFont="1" applyFill="1" applyBorder="1" applyAlignment="1"/>
    <xf numFmtId="166" fontId="32" fillId="1" borderId="80" xfId="42" applyNumberFormat="1" applyFont="1" applyFill="1" applyBorder="1" applyAlignment="1"/>
    <xf numFmtId="0" fontId="3" fillId="0" borderId="80" xfId="42" applyFont="1" applyFill="1" applyBorder="1" applyAlignment="1">
      <alignment horizontal="center"/>
    </xf>
    <xf numFmtId="0" fontId="28" fillId="0" borderId="80" xfId="42" applyFont="1" applyFill="1" applyBorder="1"/>
    <xf numFmtId="1" fontId="28" fillId="0" borderId="80" xfId="42" applyNumberFormat="1" applyFont="1" applyFill="1" applyBorder="1" applyAlignment="1">
      <alignment horizontal="center"/>
    </xf>
    <xf numFmtId="0" fontId="3" fillId="0" borderId="91" xfId="42" applyFont="1" applyBorder="1" applyAlignment="1">
      <alignment horizontal="center"/>
    </xf>
    <xf numFmtId="0" fontId="3" fillId="0" borderId="92" xfId="42" applyFont="1" applyFill="1" applyBorder="1" applyAlignment="1">
      <alignment horizontal="center"/>
    </xf>
    <xf numFmtId="0" fontId="28" fillId="0" borderId="92" xfId="42" applyFont="1" applyFill="1" applyBorder="1"/>
    <xf numFmtId="1" fontId="28" fillId="0" borderId="92" xfId="42" applyNumberFormat="1" applyFont="1" applyFill="1" applyBorder="1" applyAlignment="1">
      <alignment horizontal="center"/>
    </xf>
    <xf numFmtId="166" fontId="28" fillId="0" borderId="76" xfId="42" applyNumberFormat="1" applyFont="1" applyFill="1" applyBorder="1" applyAlignment="1"/>
    <xf numFmtId="166" fontId="32" fillId="20" borderId="0" xfId="42" applyNumberFormat="1" applyFont="1" applyFill="1"/>
    <xf numFmtId="1" fontId="58" fillId="0" borderId="0" xfId="42" applyNumberFormat="1" applyFont="1" applyFill="1" applyBorder="1" applyAlignment="1" applyProtection="1">
      <alignment horizontal="center" vertical="center"/>
    </xf>
    <xf numFmtId="14" fontId="59" fillId="0" borderId="90" xfId="42" applyNumberFormat="1" applyFont="1" applyFill="1" applyBorder="1" applyAlignment="1" applyProtection="1">
      <alignment horizontal="center" vertical="center"/>
    </xf>
    <xf numFmtId="0" fontId="59" fillId="21" borderId="0" xfId="42" applyFont="1" applyFill="1" applyBorder="1" applyAlignment="1">
      <alignment horizontal="center"/>
    </xf>
    <xf numFmtId="166" fontId="59" fillId="21" borderId="0" xfId="42" applyNumberFormat="1" applyFont="1" applyFill="1" applyBorder="1" applyAlignment="1">
      <alignment horizontal="center"/>
    </xf>
    <xf numFmtId="166" fontId="59" fillId="19" borderId="0" xfId="42" applyNumberFormat="1" applyFont="1" applyFill="1" applyBorder="1" applyAlignment="1">
      <alignment horizontal="right"/>
    </xf>
    <xf numFmtId="0" fontId="59" fillId="0" borderId="0" xfId="42" applyFont="1"/>
    <xf numFmtId="14" fontId="59" fillId="21" borderId="0" xfId="42" applyNumberFormat="1" applyFont="1" applyFill="1" applyBorder="1" applyAlignment="1"/>
    <xf numFmtId="166" fontId="59" fillId="21" borderId="0" xfId="42" applyNumberFormat="1" applyFont="1" applyFill="1" applyBorder="1" applyAlignment="1"/>
    <xf numFmtId="0" fontId="59" fillId="0" borderId="0" xfId="42" applyFont="1" applyAlignment="1"/>
    <xf numFmtId="0" fontId="59" fillId="0" borderId="0" xfId="42" applyFont="1" applyAlignment="1">
      <alignment horizontal="center"/>
    </xf>
    <xf numFmtId="0" fontId="59" fillId="19" borderId="0" xfId="42" applyFont="1" applyFill="1" applyAlignment="1">
      <alignment horizontal="center"/>
    </xf>
    <xf numFmtId="0" fontId="59" fillId="19" borderId="0" xfId="42" applyFont="1" applyFill="1"/>
    <xf numFmtId="166" fontId="59" fillId="19" borderId="0" xfId="42" applyNumberFormat="1" applyFont="1" applyFill="1" applyAlignment="1">
      <alignment horizontal="right"/>
    </xf>
    <xf numFmtId="0" fontId="59" fillId="19" borderId="0" xfId="42" applyFont="1" applyFill="1" applyAlignment="1"/>
    <xf numFmtId="166" fontId="59" fillId="19" borderId="0" xfId="42" applyNumberFormat="1" applyFont="1" applyFill="1" applyAlignment="1"/>
    <xf numFmtId="0" fontId="59" fillId="21" borderId="0" xfId="42" applyFont="1" applyFill="1" applyAlignment="1">
      <alignment horizontal="center"/>
    </xf>
    <xf numFmtId="0" fontId="59" fillId="21" borderId="0" xfId="42" applyFont="1" applyFill="1" applyAlignment="1"/>
    <xf numFmtId="166" fontId="59" fillId="21" borderId="0" xfId="42" applyNumberFormat="1" applyFont="1" applyFill="1" applyAlignment="1"/>
    <xf numFmtId="14" fontId="28" fillId="0" borderId="76" xfId="42" applyNumberFormat="1" applyFont="1" applyBorder="1" applyAlignment="1">
      <alignment horizontal="center"/>
    </xf>
    <xf numFmtId="14" fontId="28" fillId="0" borderId="0" xfId="42" applyNumberFormat="1" applyFont="1" applyBorder="1" applyAlignment="1">
      <alignment horizontal="center"/>
    </xf>
    <xf numFmtId="166" fontId="28" fillId="0" borderId="76" xfId="42" applyNumberFormat="1" applyFont="1" applyBorder="1" applyAlignment="1">
      <alignment horizontal="right"/>
    </xf>
    <xf numFmtId="166" fontId="28" fillId="0" borderId="0" xfId="42" applyNumberFormat="1" applyFont="1" applyBorder="1" applyAlignment="1">
      <alignment horizontal="right"/>
    </xf>
    <xf numFmtId="166" fontId="28" fillId="15" borderId="0" xfId="42" quotePrefix="1" applyNumberFormat="1" applyFont="1" applyFill="1" applyBorder="1" applyAlignment="1">
      <alignment horizontal="center"/>
    </xf>
    <xf numFmtId="166" fontId="28" fillId="0" borderId="0" xfId="42" quotePrefix="1" applyNumberFormat="1" applyFont="1" applyBorder="1" applyAlignment="1">
      <alignment horizontal="center"/>
    </xf>
    <xf numFmtId="14" fontId="28" fillId="15" borderId="76" xfId="42" applyNumberFormat="1" applyFont="1" applyFill="1" applyBorder="1" applyAlignment="1">
      <alignment horizontal="center"/>
    </xf>
    <xf numFmtId="2" fontId="28" fillId="0" borderId="0" xfId="42" applyNumberFormat="1" applyFont="1" applyAlignment="1">
      <alignment horizontal="center"/>
    </xf>
    <xf numFmtId="14" fontId="28" fillId="0" borderId="67" xfId="42" quotePrefix="1" applyNumberFormat="1" applyFont="1" applyFill="1" applyBorder="1" applyAlignment="1" applyProtection="1">
      <alignment horizontal="center" vertical="center"/>
    </xf>
    <xf numFmtId="166" fontId="28" fillId="0" borderId="0" xfId="42" applyNumberFormat="1" applyFont="1" applyBorder="1" applyAlignment="1">
      <alignment horizontal="left"/>
    </xf>
    <xf numFmtId="166" fontId="28" fillId="15" borderId="76" xfId="42" applyNumberFormat="1" applyFont="1" applyFill="1" applyBorder="1" applyAlignment="1">
      <alignment horizontal="left"/>
    </xf>
    <xf numFmtId="0" fontId="30" fillId="26" borderId="0" xfId="42" applyFont="1" applyFill="1" applyProtection="1"/>
    <xf numFmtId="0" fontId="0" fillId="26" borderId="0" xfId="42" applyFont="1" applyFill="1" applyProtection="1"/>
    <xf numFmtId="0" fontId="31" fillId="26" borderId="0" xfId="42" applyFont="1" applyFill="1" applyProtection="1"/>
    <xf numFmtId="0" fontId="28" fillId="26" borderId="0" xfId="42" applyFont="1" applyFill="1" applyProtection="1"/>
    <xf numFmtId="14" fontId="29" fillId="26" borderId="0" xfId="42" applyNumberFormat="1" applyFont="1" applyFill="1" applyAlignment="1" applyProtection="1">
      <alignment horizontal="left"/>
    </xf>
    <xf numFmtId="0" fontId="2" fillId="26" borderId="0" xfId="42" applyFont="1" applyFill="1" applyProtection="1"/>
    <xf numFmtId="0" fontId="29" fillId="26" borderId="0" xfId="42" applyFont="1" applyFill="1" applyBorder="1" applyProtection="1"/>
    <xf numFmtId="0" fontId="28" fillId="26" borderId="0" xfId="42" applyFont="1" applyFill="1" applyBorder="1" applyProtection="1"/>
    <xf numFmtId="0" fontId="55" fillId="0" borderId="0" xfId="42" applyFont="1" applyFill="1" applyBorder="1" applyAlignment="1">
      <alignment horizontal="left"/>
    </xf>
    <xf numFmtId="0" fontId="32" fillId="0" borderId="0" xfId="42" applyFont="1" applyAlignment="1">
      <alignment horizontal="center"/>
    </xf>
    <xf numFmtId="0" fontId="0" fillId="15" borderId="72" xfId="42" applyFont="1" applyFill="1" applyBorder="1"/>
    <xf numFmtId="0" fontId="0" fillId="0" borderId="76" xfId="42" applyFont="1" applyFill="1" applyBorder="1"/>
    <xf numFmtId="0" fontId="0" fillId="0" borderId="71" xfId="42" applyFont="1" applyFill="1" applyBorder="1"/>
    <xf numFmtId="2" fontId="0" fillId="0" borderId="0" xfId="42" applyNumberFormat="1" applyFont="1" applyFill="1" applyBorder="1" applyProtection="1"/>
    <xf numFmtId="0" fontId="3" fillId="0" borderId="0" xfId="42" applyFont="1" applyFill="1" applyBorder="1" applyAlignment="1">
      <alignment horizontal="center"/>
    </xf>
    <xf numFmtId="14" fontId="28" fillId="0" borderId="0" xfId="42" applyNumberFormat="1" applyFont="1" applyFill="1" applyBorder="1" applyAlignment="1"/>
    <xf numFmtId="166" fontId="28" fillId="0" borderId="0" xfId="42" applyNumberFormat="1" applyFont="1" applyFill="1" applyBorder="1" applyAlignment="1">
      <alignment horizontal="center"/>
    </xf>
    <xf numFmtId="166" fontId="28" fillId="0" borderId="0" xfId="42" applyNumberFormat="1" applyFont="1" applyFill="1" applyBorder="1" applyAlignment="1"/>
    <xf numFmtId="0" fontId="3" fillId="0" borderId="17" xfId="42" applyFont="1" applyFill="1" applyBorder="1" applyAlignment="1">
      <alignment horizontal="center"/>
    </xf>
    <xf numFmtId="14" fontId="28" fillId="0" borderId="17" xfId="42" applyNumberFormat="1" applyFont="1" applyFill="1" applyBorder="1" applyAlignment="1"/>
    <xf numFmtId="166" fontId="28" fillId="0" borderId="17" xfId="42" applyNumberFormat="1" applyFont="1" applyFill="1" applyBorder="1" applyAlignment="1">
      <alignment horizontal="center"/>
    </xf>
    <xf numFmtId="166" fontId="28" fillId="0" borderId="17" xfId="42" applyNumberFormat="1" applyFont="1" applyFill="1" applyBorder="1" applyAlignment="1"/>
    <xf numFmtId="0" fontId="3" fillId="13" borderId="30" xfId="42" applyFont="1" applyFill="1" applyBorder="1" applyAlignment="1">
      <alignment horizontal="center"/>
    </xf>
    <xf numFmtId="14" fontId="28" fillId="13" borderId="30" xfId="42" applyNumberFormat="1" applyFont="1" applyFill="1" applyBorder="1" applyAlignment="1"/>
    <xf numFmtId="166" fontId="28" fillId="13" borderId="30" xfId="42" applyNumberFormat="1" applyFont="1" applyFill="1" applyBorder="1" applyAlignment="1">
      <alignment horizontal="center"/>
    </xf>
    <xf numFmtId="14" fontId="32" fillId="13" borderId="17" xfId="42" applyNumberFormat="1" applyFont="1" applyFill="1" applyBorder="1" applyAlignment="1"/>
    <xf numFmtId="168" fontId="0" fillId="0" borderId="0" xfId="42" applyNumberFormat="1" applyFont="1"/>
    <xf numFmtId="166" fontId="28" fillId="1" borderId="76" xfId="42" applyNumberFormat="1" applyFont="1" applyFill="1" applyBorder="1" applyAlignment="1"/>
    <xf numFmtId="0" fontId="0" fillId="15" borderId="0" xfId="42" applyFont="1" applyFill="1" applyAlignment="1">
      <alignment horizontal="center"/>
    </xf>
    <xf numFmtId="0" fontId="0" fillId="15" borderId="0" xfId="42" applyFont="1" applyFill="1"/>
    <xf numFmtId="166" fontId="0" fillId="15" borderId="0" xfId="42" applyNumberFormat="1" applyFont="1" applyFill="1"/>
    <xf numFmtId="0" fontId="0" fillId="0" borderId="76" xfId="42" applyFont="1" applyBorder="1" applyAlignment="1">
      <alignment horizontal="center"/>
    </xf>
    <xf numFmtId="0" fontId="0" fillId="0" borderId="76" xfId="42" applyFont="1" applyBorder="1"/>
    <xf numFmtId="0" fontId="0" fillId="15" borderId="0" xfId="42" applyFont="1" applyFill="1" applyBorder="1"/>
    <xf numFmtId="166" fontId="0" fillId="15" borderId="0" xfId="42" applyNumberFormat="1" applyFont="1" applyFill="1" applyBorder="1"/>
    <xf numFmtId="166" fontId="0" fillId="0" borderId="0" xfId="42" applyNumberFormat="1" applyFont="1" applyBorder="1"/>
    <xf numFmtId="0" fontId="0" fillId="15" borderId="71" xfId="42" applyFont="1" applyFill="1" applyBorder="1"/>
    <xf numFmtId="166" fontId="0" fillId="15" borderId="71" xfId="42" applyNumberFormat="1" applyFont="1" applyFill="1" applyBorder="1"/>
    <xf numFmtId="0" fontId="0" fillId="15" borderId="72" xfId="42" applyFont="1" applyFill="1" applyBorder="1" applyAlignment="1">
      <alignment horizontal="center"/>
    </xf>
    <xf numFmtId="166" fontId="0" fillId="15" borderId="72" xfId="42" applyNumberFormat="1" applyFont="1" applyFill="1" applyBorder="1"/>
    <xf numFmtId="0" fontId="0" fillId="19" borderId="0" xfId="42" applyFont="1" applyFill="1" applyBorder="1"/>
    <xf numFmtId="166" fontId="0" fillId="19" borderId="0" xfId="42" applyNumberFormat="1" applyFont="1" applyFill="1" applyBorder="1"/>
    <xf numFmtId="0" fontId="60" fillId="0" borderId="76" xfId="42" applyFont="1" applyBorder="1" applyAlignment="1">
      <alignment horizontal="center"/>
    </xf>
    <xf numFmtId="0" fontId="60" fillId="0" borderId="0" xfId="42" applyFont="1" applyBorder="1" applyAlignment="1">
      <alignment horizontal="center"/>
    </xf>
    <xf numFmtId="0" fontId="0" fillId="19" borderId="0" xfId="42" applyFont="1" applyFill="1" applyBorder="1" applyAlignment="1">
      <alignment horizontal="center"/>
    </xf>
    <xf numFmtId="0" fontId="0" fillId="15" borderId="71" xfId="42" applyFont="1" applyFill="1" applyBorder="1" applyAlignment="1">
      <alignment horizontal="center"/>
    </xf>
    <xf numFmtId="0" fontId="0" fillId="15" borderId="78" xfId="42" applyFont="1" applyFill="1" applyBorder="1" applyAlignment="1">
      <alignment horizontal="center"/>
    </xf>
    <xf numFmtId="0" fontId="0" fillId="15" borderId="64" xfId="42" applyFont="1" applyFill="1" applyBorder="1" applyAlignment="1">
      <alignment horizontal="center"/>
    </xf>
    <xf numFmtId="0" fontId="32" fillId="15" borderId="76" xfId="42" applyFont="1" applyFill="1" applyBorder="1"/>
    <xf numFmtId="0" fontId="0" fillId="15" borderId="76" xfId="42" applyFont="1" applyFill="1" applyBorder="1" applyAlignment="1">
      <alignment horizontal="center"/>
    </xf>
    <xf numFmtId="0" fontId="0" fillId="0" borderId="71" xfId="42" applyFont="1" applyBorder="1" applyAlignment="1">
      <alignment horizontal="center"/>
    </xf>
    <xf numFmtId="0" fontId="0" fillId="0" borderId="71" xfId="42" applyFont="1" applyBorder="1"/>
    <xf numFmtId="0" fontId="28" fillId="0" borderId="64" xfId="42" applyFont="1" applyBorder="1" applyAlignment="1">
      <alignment horizontal="center"/>
    </xf>
    <xf numFmtId="0" fontId="28" fillId="0" borderId="67" xfId="42" applyFont="1" applyBorder="1" applyAlignment="1">
      <alignment horizontal="center"/>
    </xf>
    <xf numFmtId="0" fontId="28" fillId="0" borderId="77" xfId="42" applyFont="1" applyBorder="1" applyAlignment="1">
      <alignment horizontal="center"/>
    </xf>
    <xf numFmtId="0" fontId="28" fillId="0" borderId="78" xfId="42" applyFont="1" applyBorder="1" applyAlignment="1">
      <alignment horizontal="center"/>
    </xf>
    <xf numFmtId="0" fontId="28" fillId="0" borderId="0" xfId="42" quotePrefix="1" applyFont="1" applyAlignment="1">
      <alignment horizontal="center"/>
    </xf>
    <xf numFmtId="166" fontId="0" fillId="0" borderId="76" xfId="42" applyNumberFormat="1" applyFont="1" applyBorder="1"/>
    <xf numFmtId="166" fontId="0" fillId="0" borderId="71" xfId="42" applyNumberFormat="1" applyFont="1" applyBorder="1"/>
    <xf numFmtId="0" fontId="0" fillId="0" borderId="72" xfId="42" applyFont="1" applyBorder="1" applyAlignment="1">
      <alignment horizontal="center"/>
    </xf>
    <xf numFmtId="0" fontId="0" fillId="0" borderId="72" xfId="42" applyFont="1" applyBorder="1"/>
    <xf numFmtId="166" fontId="0" fillId="0" borderId="72" xfId="42" applyNumberFormat="1" applyFont="1" applyBorder="1"/>
    <xf numFmtId="0" fontId="60" fillId="0" borderId="72" xfId="42" applyFont="1" applyBorder="1" applyAlignment="1">
      <alignment horizontal="center"/>
    </xf>
    <xf numFmtId="0" fontId="28" fillId="0" borderId="64" xfId="42" applyFont="1" applyFill="1" applyBorder="1" applyAlignment="1">
      <alignment horizontal="center"/>
    </xf>
    <xf numFmtId="0" fontId="0" fillId="0" borderId="76" xfId="42" applyFont="1" applyFill="1" applyBorder="1" applyAlignment="1">
      <alignment horizontal="center"/>
    </xf>
    <xf numFmtId="0" fontId="4" fillId="21" borderId="79" xfId="42" applyFont="1" applyFill="1" applyBorder="1" applyAlignment="1">
      <alignment horizontal="center"/>
    </xf>
    <xf numFmtId="0" fontId="32" fillId="21" borderId="80" xfId="42" applyFont="1" applyFill="1" applyBorder="1" applyAlignment="1"/>
    <xf numFmtId="0" fontId="32" fillId="21" borderId="80" xfId="42" applyFont="1" applyFill="1" applyBorder="1" applyAlignment="1">
      <alignment horizontal="center"/>
    </xf>
    <xf numFmtId="166" fontId="28" fillId="0" borderId="80" xfId="42" applyNumberFormat="1" applyFont="1" applyFill="1" applyBorder="1" applyAlignment="1"/>
    <xf numFmtId="166" fontId="28" fillId="0" borderId="82" xfId="42" applyNumberFormat="1" applyFont="1" applyFill="1" applyBorder="1" applyAlignment="1"/>
    <xf numFmtId="0" fontId="0" fillId="21" borderId="0" xfId="42" applyFont="1" applyFill="1" applyAlignment="1">
      <alignment horizontal="center"/>
    </xf>
    <xf numFmtId="0" fontId="0" fillId="21" borderId="0" xfId="42" applyFont="1" applyFill="1"/>
    <xf numFmtId="166" fontId="0" fillId="21" borderId="0" xfId="42" applyNumberFormat="1" applyFont="1" applyFill="1"/>
    <xf numFmtId="0" fontId="28" fillId="0" borderId="90" xfId="42" applyFont="1" applyBorder="1" applyAlignment="1">
      <alignment horizontal="center"/>
    </xf>
    <xf numFmtId="0" fontId="0" fillId="21" borderId="82" xfId="42" applyFont="1" applyFill="1" applyBorder="1" applyAlignment="1">
      <alignment horizontal="center"/>
    </xf>
    <xf numFmtId="0" fontId="0" fillId="21" borderId="82" xfId="42" applyFont="1" applyFill="1" applyBorder="1"/>
    <xf numFmtId="166" fontId="0" fillId="21" borderId="82" xfId="42" applyNumberFormat="1" applyFont="1" applyFill="1" applyBorder="1"/>
    <xf numFmtId="0" fontId="28" fillId="0" borderId="79" xfId="42" applyFont="1" applyBorder="1" applyAlignment="1">
      <alignment horizontal="center"/>
    </xf>
    <xf numFmtId="0" fontId="0" fillId="0" borderId="80" xfId="42" applyFont="1" applyBorder="1" applyAlignment="1">
      <alignment horizontal="center"/>
    </xf>
    <xf numFmtId="0" fontId="0" fillId="0" borderId="80" xfId="42" applyFont="1" applyFill="1" applyBorder="1"/>
    <xf numFmtId="0" fontId="28" fillId="0" borderId="88" xfId="42" applyFont="1" applyBorder="1" applyAlignment="1">
      <alignment horizontal="center"/>
    </xf>
    <xf numFmtId="0" fontId="0" fillId="21" borderId="89" xfId="42" applyFont="1" applyFill="1" applyBorder="1" applyAlignment="1">
      <alignment horizontal="center"/>
    </xf>
    <xf numFmtId="0" fontId="0" fillId="21" borderId="89" xfId="42" applyFont="1" applyFill="1" applyBorder="1"/>
    <xf numFmtId="166" fontId="0" fillId="21" borderId="89" xfId="42" applyNumberFormat="1" applyFont="1" applyFill="1" applyBorder="1"/>
    <xf numFmtId="0" fontId="0" fillId="21" borderId="0" xfId="42" applyFont="1" applyFill="1" applyBorder="1" applyAlignment="1">
      <alignment horizontal="center"/>
    </xf>
    <xf numFmtId="0" fontId="0" fillId="21" borderId="0" xfId="42" applyFont="1" applyFill="1" applyBorder="1"/>
    <xf numFmtId="166" fontId="0" fillId="21" borderId="0" xfId="42" applyNumberFormat="1" applyFont="1" applyFill="1" applyBorder="1"/>
    <xf numFmtId="166" fontId="3" fillId="0" borderId="89" xfId="42" applyNumberFormat="1" applyFont="1" applyBorder="1" applyAlignment="1">
      <alignment horizontal="center"/>
    </xf>
    <xf numFmtId="166" fontId="28" fillId="0" borderId="89" xfId="42" applyNumberFormat="1" applyFont="1" applyFill="1" applyBorder="1" applyAlignment="1"/>
    <xf numFmtId="0" fontId="0" fillId="21" borderId="88" xfId="42" applyFont="1" applyFill="1" applyBorder="1" applyAlignment="1">
      <alignment horizontal="center"/>
    </xf>
    <xf numFmtId="0" fontId="0" fillId="21" borderId="79" xfId="42" applyFont="1" applyFill="1" applyBorder="1" applyAlignment="1">
      <alignment horizontal="center"/>
    </xf>
    <xf numFmtId="0" fontId="0" fillId="21" borderId="80" xfId="42" applyFont="1" applyFill="1" applyBorder="1" applyAlignment="1">
      <alignment horizontal="center"/>
    </xf>
    <xf numFmtId="0" fontId="28" fillId="0" borderId="79" xfId="42" applyFont="1" applyFill="1" applyBorder="1" applyAlignment="1">
      <alignment horizontal="center"/>
    </xf>
    <xf numFmtId="0" fontId="0" fillId="0" borderId="80" xfId="42" applyFont="1" applyFill="1" applyBorder="1" applyAlignment="1">
      <alignment horizontal="center"/>
    </xf>
    <xf numFmtId="0" fontId="0" fillId="0" borderId="82" xfId="42" applyFont="1" applyBorder="1" applyAlignment="1">
      <alignment horizontal="center"/>
    </xf>
    <xf numFmtId="0" fontId="0" fillId="0" borderId="82" xfId="42" applyFont="1" applyBorder="1"/>
    <xf numFmtId="166" fontId="0" fillId="0" borderId="82" xfId="42" applyNumberFormat="1" applyFont="1" applyBorder="1"/>
    <xf numFmtId="166" fontId="0" fillId="0" borderId="82" xfId="42" applyNumberFormat="1" applyFont="1" applyFill="1" applyBorder="1"/>
    <xf numFmtId="1" fontId="32" fillId="20" borderId="72" xfId="42" applyNumberFormat="1" applyFont="1" applyFill="1" applyBorder="1" applyAlignment="1"/>
    <xf numFmtId="0" fontId="4" fillId="20" borderId="64" xfId="42" applyFont="1" applyFill="1" applyBorder="1" applyAlignment="1">
      <alignment horizontal="center"/>
    </xf>
    <xf numFmtId="0" fontId="32" fillId="20" borderId="76" xfId="42" applyFont="1" applyFill="1" applyBorder="1" applyAlignment="1"/>
    <xf numFmtId="0" fontId="32" fillId="20" borderId="76" xfId="42" applyFont="1" applyFill="1" applyBorder="1" applyAlignment="1">
      <alignment horizontal="center"/>
    </xf>
    <xf numFmtId="0" fontId="32" fillId="20" borderId="76" xfId="42" applyFont="1" applyFill="1" applyBorder="1"/>
    <xf numFmtId="0" fontId="4" fillId="0" borderId="0" xfId="42" applyFont="1" applyFill="1" applyAlignment="1">
      <alignment horizontal="center"/>
    </xf>
    <xf numFmtId="1" fontId="4" fillId="0" borderId="0" xfId="42" applyNumberFormat="1" applyFont="1" applyFill="1" applyAlignment="1">
      <alignment horizontal="center"/>
    </xf>
    <xf numFmtId="1" fontId="4" fillId="0" borderId="0" xfId="42" quotePrefix="1" applyNumberFormat="1" applyFont="1" applyFill="1" applyBorder="1" applyAlignment="1" applyProtection="1">
      <alignment horizontal="center" vertical="center"/>
    </xf>
    <xf numFmtId="166" fontId="28" fillId="0" borderId="71" xfId="42" applyNumberFormat="1" applyFont="1" applyBorder="1" applyAlignment="1"/>
    <xf numFmtId="0" fontId="78" fillId="16" borderId="78" xfId="42" applyFont="1" applyFill="1" applyBorder="1" applyAlignment="1">
      <alignment horizontal="center"/>
    </xf>
    <xf numFmtId="0" fontId="29" fillId="16" borderId="72" xfId="42" applyFont="1" applyFill="1" applyBorder="1" applyAlignment="1"/>
    <xf numFmtId="0" fontId="29" fillId="16" borderId="72" xfId="42" applyFont="1" applyFill="1" applyBorder="1" applyAlignment="1">
      <alignment horizontal="center"/>
    </xf>
    <xf numFmtId="1" fontId="29" fillId="16" borderId="72" xfId="42" applyNumberFormat="1" applyFont="1" applyFill="1" applyBorder="1" applyAlignment="1"/>
    <xf numFmtId="0" fontId="78" fillId="16" borderId="64" xfId="42" applyFont="1" applyFill="1" applyBorder="1" applyAlignment="1">
      <alignment horizontal="center"/>
    </xf>
    <xf numFmtId="0" fontId="29" fillId="16" borderId="76" xfId="42" applyFont="1" applyFill="1" applyBorder="1" applyAlignment="1"/>
    <xf numFmtId="0" fontId="29" fillId="16" borderId="76" xfId="42" applyFont="1" applyFill="1" applyBorder="1" applyAlignment="1">
      <alignment horizontal="center"/>
    </xf>
    <xf numFmtId="1" fontId="29" fillId="16" borderId="76" xfId="42" applyNumberFormat="1" applyFont="1" applyFill="1" applyBorder="1" applyAlignment="1"/>
    <xf numFmtId="0" fontId="2" fillId="16" borderId="71" xfId="42" applyFont="1" applyFill="1" applyBorder="1" applyAlignment="1">
      <alignment horizontal="center"/>
    </xf>
    <xf numFmtId="0" fontId="2" fillId="16" borderId="71" xfId="42" applyFont="1" applyFill="1" applyBorder="1"/>
    <xf numFmtId="166" fontId="2" fillId="16" borderId="71" xfId="42" applyNumberFormat="1" applyFont="1" applyFill="1" applyBorder="1"/>
    <xf numFmtId="0" fontId="2" fillId="16" borderId="72" xfId="42" applyFont="1" applyFill="1" applyBorder="1" applyAlignment="1">
      <alignment horizontal="center"/>
    </xf>
    <xf numFmtId="0" fontId="2" fillId="16" borderId="0" xfId="42" applyFont="1" applyFill="1" applyAlignment="1">
      <alignment horizontal="center"/>
    </xf>
    <xf numFmtId="0" fontId="2" fillId="16" borderId="0" xfId="42" applyFont="1" applyFill="1"/>
    <xf numFmtId="166" fontId="2" fillId="16" borderId="0" xfId="42" applyNumberFormat="1" applyFont="1" applyFill="1"/>
    <xf numFmtId="0" fontId="2" fillId="16" borderId="64" xfId="42" applyFont="1" applyFill="1" applyBorder="1" applyAlignment="1">
      <alignment horizontal="center"/>
    </xf>
    <xf numFmtId="0" fontId="29" fillId="16" borderId="76" xfId="42" applyFont="1" applyFill="1" applyBorder="1"/>
    <xf numFmtId="0" fontId="2" fillId="16" borderId="76" xfId="42" applyFont="1" applyFill="1" applyBorder="1" applyAlignment="1">
      <alignment horizontal="center"/>
    </xf>
    <xf numFmtId="0" fontId="79" fillId="16" borderId="64" xfId="42" applyFont="1" applyFill="1" applyBorder="1" applyAlignment="1">
      <alignment horizontal="center"/>
    </xf>
    <xf numFmtId="0" fontId="63" fillId="16" borderId="76" xfId="42" applyFont="1" applyFill="1" applyBorder="1"/>
    <xf numFmtId="1" fontId="63" fillId="16" borderId="72" xfId="42" applyNumberFormat="1" applyFont="1" applyFill="1" applyBorder="1" applyAlignment="1"/>
    <xf numFmtId="0" fontId="79" fillId="16" borderId="76" xfId="42" applyFont="1" applyFill="1" applyBorder="1" applyAlignment="1">
      <alignment horizontal="center"/>
    </xf>
    <xf numFmtId="0" fontId="2" fillId="16" borderId="100" xfId="42" applyFont="1" applyFill="1" applyBorder="1" applyAlignment="1">
      <alignment horizontal="center"/>
    </xf>
    <xf numFmtId="0" fontId="2" fillId="16" borderId="100" xfId="42" applyFont="1" applyFill="1" applyBorder="1"/>
    <xf numFmtId="166" fontId="2" fillId="16" borderId="100" xfId="42" applyNumberFormat="1" applyFont="1" applyFill="1" applyBorder="1"/>
    <xf numFmtId="0" fontId="2" fillId="16" borderId="101" xfId="42" applyFont="1" applyFill="1" applyBorder="1" applyAlignment="1">
      <alignment horizontal="center"/>
    </xf>
    <xf numFmtId="0" fontId="2" fillId="16" borderId="101" xfId="42" applyFont="1" applyFill="1" applyBorder="1"/>
    <xf numFmtId="166" fontId="2" fillId="16" borderId="101" xfId="42" applyNumberFormat="1" applyFont="1" applyFill="1" applyBorder="1"/>
    <xf numFmtId="0" fontId="2" fillId="16" borderId="102" xfId="42" applyFont="1" applyFill="1" applyBorder="1" applyAlignment="1">
      <alignment horizontal="center"/>
    </xf>
    <xf numFmtId="0" fontId="2" fillId="16" borderId="102" xfId="42" applyFont="1" applyFill="1" applyBorder="1"/>
    <xf numFmtId="166" fontId="2" fillId="16" borderId="102" xfId="42" applyNumberFormat="1" applyFont="1" applyFill="1" applyBorder="1"/>
    <xf numFmtId="0" fontId="1" fillId="20" borderId="64" xfId="42" applyFont="1" applyFill="1" applyBorder="1" applyAlignment="1">
      <alignment horizontal="center"/>
    </xf>
    <xf numFmtId="0" fontId="30" fillId="20" borderId="76" xfId="42" applyFont="1" applyFill="1" applyBorder="1"/>
    <xf numFmtId="0" fontId="80" fillId="20" borderId="76" xfId="42" applyFont="1" applyFill="1" applyBorder="1" applyAlignment="1">
      <alignment horizontal="center"/>
    </xf>
    <xf numFmtId="1" fontId="30" fillId="20" borderId="72" xfId="42" applyNumberFormat="1" applyFont="1" applyFill="1" applyBorder="1" applyAlignment="1"/>
    <xf numFmtId="0" fontId="80" fillId="20" borderId="64" xfId="42" applyFont="1" applyFill="1" applyBorder="1" applyAlignment="1">
      <alignment horizontal="center"/>
    </xf>
    <xf numFmtId="0" fontId="80" fillId="20" borderId="72" xfId="42" applyFont="1" applyFill="1" applyBorder="1" applyAlignment="1">
      <alignment horizontal="center"/>
    </xf>
    <xf numFmtId="0" fontId="80" fillId="20" borderId="0" xfId="42" applyFont="1" applyFill="1" applyAlignment="1">
      <alignment horizontal="center"/>
    </xf>
    <xf numFmtId="166" fontId="80" fillId="20" borderId="0" xfId="42" applyNumberFormat="1" applyFont="1" applyFill="1"/>
    <xf numFmtId="0" fontId="80" fillId="20" borderId="78" xfId="42" applyFont="1" applyFill="1" applyBorder="1" applyAlignment="1">
      <alignment horizontal="center"/>
    </xf>
    <xf numFmtId="0" fontId="30" fillId="20" borderId="72" xfId="42" applyFont="1" applyFill="1" applyBorder="1"/>
    <xf numFmtId="0" fontId="28" fillId="20" borderId="64" xfId="42" applyFont="1" applyFill="1" applyBorder="1" applyAlignment="1">
      <alignment horizontal="center"/>
    </xf>
    <xf numFmtId="0" fontId="28" fillId="20" borderId="76" xfId="42" applyFont="1" applyFill="1" applyBorder="1" applyAlignment="1">
      <alignment horizontal="center"/>
    </xf>
    <xf numFmtId="0" fontId="28" fillId="20" borderId="0" xfId="42" applyFont="1" applyFill="1" applyAlignment="1">
      <alignment horizontal="center"/>
    </xf>
    <xf numFmtId="0" fontId="28" fillId="20" borderId="71" xfId="42" applyFont="1" applyFill="1" applyBorder="1" applyAlignment="1">
      <alignment horizontal="center"/>
    </xf>
    <xf numFmtId="0" fontId="28" fillId="20" borderId="71" xfId="42" applyFont="1" applyFill="1" applyBorder="1"/>
    <xf numFmtId="166" fontId="28" fillId="20" borderId="71" xfId="42" applyNumberFormat="1" applyFont="1" applyFill="1" applyBorder="1"/>
    <xf numFmtId="0" fontId="28" fillId="20" borderId="72" xfId="42" applyFont="1" applyFill="1" applyBorder="1" applyAlignment="1">
      <alignment horizontal="center"/>
    </xf>
    <xf numFmtId="0" fontId="28" fillId="20" borderId="72" xfId="42" applyFont="1" applyFill="1" applyBorder="1"/>
    <xf numFmtId="166" fontId="28" fillId="20" borderId="72" xfId="42" applyNumberFormat="1" applyFont="1" applyFill="1" applyBorder="1"/>
    <xf numFmtId="166" fontId="28" fillId="20" borderId="76" xfId="42" applyNumberFormat="1" applyFont="1" applyFill="1" applyBorder="1"/>
    <xf numFmtId="0" fontId="2" fillId="16" borderId="78" xfId="42" applyFont="1" applyFill="1" applyBorder="1" applyAlignment="1">
      <alignment horizontal="center"/>
    </xf>
    <xf numFmtId="0" fontId="29" fillId="16" borderId="72" xfId="42" applyFont="1" applyFill="1" applyBorder="1"/>
    <xf numFmtId="0" fontId="55" fillId="0" borderId="0" xfId="42" applyFont="1"/>
    <xf numFmtId="166" fontId="3" fillId="15" borderId="69" xfId="42" applyNumberFormat="1" applyFont="1" applyFill="1" applyBorder="1" applyAlignment="1" applyProtection="1">
      <alignment vertical="center"/>
    </xf>
    <xf numFmtId="166" fontId="47" fillId="15" borderId="70" xfId="42" applyNumberFormat="1" applyFont="1" applyFill="1" applyBorder="1" applyAlignment="1" applyProtection="1">
      <alignment vertical="center"/>
    </xf>
    <xf numFmtId="166" fontId="3" fillId="15" borderId="69" xfId="42" applyNumberFormat="1" applyFont="1" applyFill="1" applyBorder="1" applyAlignment="1" applyProtection="1">
      <alignment horizontal="right" vertical="center"/>
    </xf>
    <xf numFmtId="166" fontId="3" fillId="15" borderId="70" xfId="42" applyNumberFormat="1" applyFont="1" applyFill="1" applyBorder="1" applyAlignment="1" applyProtection="1">
      <alignment horizontal="right" vertical="center"/>
    </xf>
    <xf numFmtId="169" fontId="0" fillId="0" borderId="0" xfId="42" applyNumberFormat="1" applyFont="1"/>
    <xf numFmtId="166" fontId="3" fillId="19" borderId="67" xfId="42" applyNumberFormat="1" applyFont="1" applyFill="1" applyBorder="1" applyAlignment="1" applyProtection="1">
      <alignment horizontal="center" vertical="center"/>
    </xf>
    <xf numFmtId="166" fontId="3" fillId="0" borderId="68" xfId="42" applyNumberFormat="1" applyFont="1" applyFill="1" applyBorder="1" applyAlignment="1" applyProtection="1">
      <alignment horizontal="center"/>
    </xf>
    <xf numFmtId="166" fontId="3" fillId="0" borderId="66" xfId="42" applyNumberFormat="1" applyFont="1" applyFill="1" applyBorder="1" applyAlignment="1" applyProtection="1">
      <alignment horizontal="center"/>
    </xf>
    <xf numFmtId="0" fontId="77" fillId="0" borderId="0" xfId="42" applyFont="1" applyFill="1" applyAlignment="1">
      <alignment horizontal="center"/>
    </xf>
    <xf numFmtId="0" fontId="0" fillId="1" borderId="76" xfId="42" applyFont="1" applyFill="1" applyBorder="1"/>
    <xf numFmtId="0" fontId="0" fillId="1" borderId="0" xfId="42" applyFont="1" applyFill="1" applyBorder="1"/>
    <xf numFmtId="0" fontId="78" fillId="16" borderId="0" xfId="42" applyFont="1" applyFill="1" applyBorder="1" applyAlignment="1">
      <alignment horizontal="center"/>
    </xf>
    <xf numFmtId="0" fontId="29" fillId="16" borderId="0" xfId="42" applyFont="1" applyFill="1" applyBorder="1" applyAlignment="1">
      <alignment horizontal="center"/>
    </xf>
    <xf numFmtId="0" fontId="28" fillId="0" borderId="0" xfId="42" quotePrefix="1" applyFont="1" applyBorder="1" applyAlignment="1">
      <alignment horizontal="center"/>
    </xf>
    <xf numFmtId="0" fontId="60" fillId="0" borderId="0" xfId="42" applyFont="1" applyFill="1" applyBorder="1" applyAlignment="1">
      <alignment horizontal="center"/>
    </xf>
    <xf numFmtId="0" fontId="0" fillId="20" borderId="0" xfId="42" applyFont="1" applyFill="1" applyBorder="1"/>
    <xf numFmtId="0" fontId="60" fillId="1" borderId="67" xfId="42" applyFont="1" applyFill="1" applyBorder="1" applyAlignment="1">
      <alignment horizontal="center"/>
    </xf>
    <xf numFmtId="166" fontId="28" fillId="1" borderId="67" xfId="42" applyNumberFormat="1" applyFont="1" applyFill="1" applyBorder="1" applyAlignment="1"/>
    <xf numFmtId="0" fontId="0" fillId="21" borderId="68" xfId="42" applyFont="1" applyFill="1" applyBorder="1" applyAlignment="1">
      <alignment horizontal="right"/>
    </xf>
    <xf numFmtId="166" fontId="0" fillId="15" borderId="0" xfId="42" applyNumberFormat="1" applyFont="1" applyFill="1" applyBorder="1" applyAlignment="1">
      <alignment horizontal="right"/>
    </xf>
    <xf numFmtId="166" fontId="0" fillId="15" borderId="71" xfId="42" applyNumberFormat="1" applyFont="1" applyFill="1" applyBorder="1" applyAlignment="1">
      <alignment horizontal="right"/>
    </xf>
    <xf numFmtId="166" fontId="32" fillId="0" borderId="0" xfId="42" applyNumberFormat="1" applyFont="1" applyFill="1" applyBorder="1" applyAlignment="1">
      <alignment horizontal="right"/>
    </xf>
    <xf numFmtId="166" fontId="28" fillId="15" borderId="0" xfId="42" applyNumberFormat="1" applyFont="1" applyFill="1" applyBorder="1" applyAlignment="1">
      <alignment horizontal="right"/>
    </xf>
    <xf numFmtId="166" fontId="28" fillId="15" borderId="71" xfId="42" applyNumberFormat="1" applyFont="1" applyFill="1" applyBorder="1" applyAlignment="1">
      <alignment horizontal="right"/>
    </xf>
    <xf numFmtId="166" fontId="28" fillId="20" borderId="0" xfId="42" applyNumberFormat="1" applyFont="1" applyFill="1" applyBorder="1" applyAlignment="1">
      <alignment horizontal="right"/>
    </xf>
    <xf numFmtId="166" fontId="32" fillId="0" borderId="71" xfId="42" applyNumberFormat="1" applyFont="1" applyFill="1" applyBorder="1" applyAlignment="1">
      <alignment horizontal="right"/>
    </xf>
    <xf numFmtId="166" fontId="28" fillId="20" borderId="71" xfId="42" applyNumberFormat="1" applyFont="1" applyFill="1" applyBorder="1" applyAlignment="1">
      <alignment horizontal="right"/>
    </xf>
    <xf numFmtId="0" fontId="60" fillId="0" borderId="71" xfId="42" applyFont="1" applyBorder="1" applyAlignment="1">
      <alignment horizontal="center"/>
    </xf>
    <xf numFmtId="166" fontId="0" fillId="20" borderId="0" xfId="42" applyNumberFormat="1" applyFont="1" applyFill="1" applyBorder="1" applyAlignment="1">
      <alignment horizontal="right"/>
    </xf>
    <xf numFmtId="166" fontId="0" fillId="21" borderId="68" xfId="42" applyNumberFormat="1" applyFont="1" applyFill="1" applyBorder="1" applyAlignment="1">
      <alignment horizontal="right"/>
    </xf>
    <xf numFmtId="166" fontId="0" fillId="21" borderId="103" xfId="42" applyNumberFormat="1" applyFont="1" applyFill="1" applyBorder="1" applyAlignment="1">
      <alignment horizontal="right"/>
    </xf>
    <xf numFmtId="14" fontId="28" fillId="0" borderId="76" xfId="42" applyNumberFormat="1" applyFont="1" applyFill="1" applyBorder="1" applyAlignment="1"/>
    <xf numFmtId="166" fontId="28" fillId="0" borderId="76" xfId="42" applyNumberFormat="1" applyFont="1" applyFill="1" applyBorder="1" applyAlignment="1">
      <alignment horizontal="center"/>
    </xf>
    <xf numFmtId="166" fontId="28" fillId="21" borderId="104" xfId="42" applyNumberFormat="1" applyFont="1" applyFill="1" applyBorder="1" applyAlignment="1">
      <alignment horizontal="right"/>
    </xf>
    <xf numFmtId="166" fontId="32" fillId="0" borderId="76" xfId="42" applyNumberFormat="1" applyFont="1" applyFill="1" applyBorder="1" applyAlignment="1">
      <alignment horizontal="right"/>
    </xf>
    <xf numFmtId="166" fontId="28" fillId="15" borderId="76" xfId="42" applyNumberFormat="1" applyFont="1" applyFill="1" applyBorder="1" applyAlignment="1">
      <alignment horizontal="right"/>
    </xf>
    <xf numFmtId="0" fontId="0" fillId="0" borderId="67" xfId="42" applyFont="1" applyBorder="1" applyAlignment="1">
      <alignment horizontal="center"/>
    </xf>
    <xf numFmtId="166" fontId="28" fillId="1" borderId="71" xfId="42" applyNumberFormat="1" applyFont="1" applyFill="1" applyBorder="1" applyAlignment="1"/>
    <xf numFmtId="166" fontId="28" fillId="0" borderId="71" xfId="42" applyNumberFormat="1" applyFont="1" applyBorder="1" applyAlignment="1">
      <alignment horizontal="center"/>
    </xf>
    <xf numFmtId="0" fontId="0" fillId="20" borderId="0" xfId="42" applyFont="1" applyFill="1" applyBorder="1" applyAlignment="1">
      <alignment horizontal="center"/>
    </xf>
    <xf numFmtId="166" fontId="28" fillId="19" borderId="76" xfId="42" applyNumberFormat="1" applyFont="1" applyFill="1" applyBorder="1" applyAlignment="1">
      <alignment horizontal="right"/>
    </xf>
    <xf numFmtId="0" fontId="0" fillId="19" borderId="71" xfId="42" applyFont="1" applyFill="1" applyBorder="1" applyAlignment="1">
      <alignment horizontal="right"/>
    </xf>
    <xf numFmtId="166" fontId="0" fillId="20" borderId="68" xfId="42" applyNumberFormat="1" applyFont="1" applyFill="1" applyBorder="1" applyAlignment="1">
      <alignment horizontal="right"/>
    </xf>
    <xf numFmtId="166" fontId="28" fillId="19" borderId="71" xfId="42" applyNumberFormat="1" applyFont="1" applyFill="1" applyBorder="1" applyAlignment="1">
      <alignment horizontal="right"/>
    </xf>
    <xf numFmtId="166" fontId="28" fillId="19" borderId="0" xfId="42" applyNumberFormat="1" applyFont="1" applyFill="1" applyBorder="1" applyAlignment="1">
      <alignment horizontal="right"/>
    </xf>
    <xf numFmtId="0" fontId="29" fillId="16" borderId="76" xfId="42" applyFont="1" applyFill="1" applyBorder="1" applyAlignment="1">
      <alignment horizontal="right"/>
    </xf>
    <xf numFmtId="166" fontId="29" fillId="16" borderId="76" xfId="42" applyNumberFormat="1" applyFont="1" applyFill="1" applyBorder="1" applyAlignment="1">
      <alignment horizontal="right"/>
    </xf>
    <xf numFmtId="166" fontId="0" fillId="19" borderId="0" xfId="42" applyNumberFormat="1" applyFont="1" applyFill="1" applyBorder="1" applyAlignment="1">
      <alignment horizontal="right"/>
    </xf>
    <xf numFmtId="166" fontId="0" fillId="19" borderId="71" xfId="42" applyNumberFormat="1" applyFont="1" applyFill="1" applyBorder="1" applyAlignment="1">
      <alignment horizontal="right"/>
    </xf>
    <xf numFmtId="166" fontId="28" fillId="1" borderId="64" xfId="42" applyNumberFormat="1" applyFont="1" applyFill="1" applyBorder="1" applyAlignment="1">
      <alignment horizontal="right"/>
    </xf>
    <xf numFmtId="166" fontId="28" fillId="27" borderId="76" xfId="42" applyNumberFormat="1" applyFont="1" applyFill="1" applyBorder="1" applyAlignment="1">
      <alignment horizontal="right"/>
    </xf>
    <xf numFmtId="166" fontId="28" fillId="1" borderId="76" xfId="42" applyNumberFormat="1" applyFont="1" applyFill="1" applyBorder="1" applyAlignment="1">
      <alignment horizontal="right"/>
    </xf>
    <xf numFmtId="166" fontId="28" fillId="28" borderId="104" xfId="42" applyNumberFormat="1" applyFont="1" applyFill="1" applyBorder="1" applyAlignment="1">
      <alignment horizontal="right"/>
    </xf>
    <xf numFmtId="0" fontId="0" fillId="1" borderId="67" xfId="42" applyFont="1" applyFill="1" applyBorder="1" applyAlignment="1">
      <alignment horizontal="right"/>
    </xf>
    <xf numFmtId="0" fontId="0" fillId="27" borderId="0" xfId="42" applyFont="1" applyFill="1" applyBorder="1" applyAlignment="1">
      <alignment horizontal="right"/>
    </xf>
    <xf numFmtId="0" fontId="0" fillId="1" borderId="0" xfId="42" applyFont="1" applyFill="1" applyBorder="1" applyAlignment="1">
      <alignment horizontal="right"/>
    </xf>
    <xf numFmtId="166" fontId="28" fillId="27" borderId="0" xfId="42" applyNumberFormat="1" applyFont="1" applyFill="1" applyBorder="1" applyAlignment="1">
      <alignment horizontal="right"/>
    </xf>
    <xf numFmtId="0" fontId="0" fillId="28" borderId="68" xfId="42" applyFont="1" applyFill="1" applyBorder="1" applyAlignment="1">
      <alignment horizontal="right"/>
    </xf>
    <xf numFmtId="0" fontId="0" fillId="1" borderId="77" xfId="42" applyFont="1" applyFill="1" applyBorder="1" applyAlignment="1">
      <alignment horizontal="right"/>
    </xf>
    <xf numFmtId="0" fontId="0" fillId="27" borderId="71" xfId="42" applyFont="1" applyFill="1" applyBorder="1" applyAlignment="1">
      <alignment horizontal="right"/>
    </xf>
    <xf numFmtId="0" fontId="0" fillId="1" borderId="71" xfId="42" applyFont="1" applyFill="1" applyBorder="1" applyAlignment="1">
      <alignment horizontal="right"/>
    </xf>
    <xf numFmtId="0" fontId="0" fillId="28" borderId="103" xfId="42" applyFont="1" applyFill="1" applyBorder="1" applyAlignment="1">
      <alignment horizontal="right"/>
    </xf>
    <xf numFmtId="2" fontId="29" fillId="16" borderId="105" xfId="42" applyNumberFormat="1" applyFont="1" applyFill="1" applyBorder="1" applyAlignment="1" applyProtection="1">
      <alignment horizontal="center"/>
    </xf>
    <xf numFmtId="0" fontId="29" fillId="16" borderId="105" xfId="42" applyFont="1" applyFill="1" applyBorder="1" applyAlignment="1" applyProtection="1">
      <alignment horizontal="center"/>
    </xf>
    <xf numFmtId="2" fontId="29" fillId="16" borderId="106" xfId="42" applyNumberFormat="1" applyFont="1" applyFill="1" applyBorder="1" applyAlignment="1" applyProtection="1">
      <alignment horizontal="center"/>
    </xf>
    <xf numFmtId="0" fontId="29" fillId="16" borderId="106" xfId="42" applyFont="1" applyFill="1" applyBorder="1" applyAlignment="1" applyProtection="1">
      <alignment horizontal="center"/>
    </xf>
    <xf numFmtId="0" fontId="0" fillId="16" borderId="0" xfId="42" applyFont="1" applyFill="1"/>
    <xf numFmtId="2" fontId="29" fillId="16" borderId="107" xfId="42" applyNumberFormat="1" applyFont="1" applyFill="1" applyBorder="1" applyAlignment="1" applyProtection="1">
      <alignment horizontal="center"/>
    </xf>
    <xf numFmtId="2" fontId="29" fillId="16" borderId="108" xfId="42" applyNumberFormat="1" applyFont="1" applyFill="1" applyBorder="1" applyAlignment="1" applyProtection="1">
      <alignment horizontal="center"/>
    </xf>
    <xf numFmtId="0" fontId="29" fillId="16" borderId="0" xfId="42" applyFont="1" applyFill="1" applyBorder="1"/>
    <xf numFmtId="0" fontId="29" fillId="16" borderId="0" xfId="42" applyFont="1" applyFill="1" applyBorder="1" applyAlignment="1">
      <alignment horizontal="right"/>
    </xf>
    <xf numFmtId="166" fontId="29" fillId="16" borderId="0" xfId="42" applyNumberFormat="1" applyFont="1" applyFill="1" applyBorder="1" applyAlignment="1">
      <alignment horizontal="right"/>
    </xf>
    <xf numFmtId="14" fontId="28" fillId="0" borderId="71" xfId="42" applyNumberFormat="1" applyFont="1" applyBorder="1" applyAlignment="1"/>
    <xf numFmtId="0" fontId="0" fillId="1" borderId="64" xfId="42" applyFont="1" applyFill="1" applyBorder="1" applyAlignment="1">
      <alignment horizontal="center"/>
    </xf>
    <xf numFmtId="0" fontId="0" fillId="20" borderId="71" xfId="42" applyFont="1" applyFill="1" applyBorder="1"/>
    <xf numFmtId="0" fontId="0" fillId="20" borderId="71" xfId="42" applyFont="1" applyFill="1" applyBorder="1" applyAlignment="1">
      <alignment horizontal="center"/>
    </xf>
    <xf numFmtId="166" fontId="32" fillId="20" borderId="71" xfId="42" applyNumberFormat="1" applyFont="1" applyFill="1" applyBorder="1" applyAlignment="1">
      <alignment horizontal="right"/>
    </xf>
    <xf numFmtId="166" fontId="0" fillId="20" borderId="71" xfId="42" applyNumberFormat="1" applyFont="1" applyFill="1" applyBorder="1" applyAlignment="1">
      <alignment horizontal="right"/>
    </xf>
    <xf numFmtId="166" fontId="0" fillId="20" borderId="103" xfId="42" applyNumberFormat="1" applyFont="1" applyFill="1" applyBorder="1" applyAlignment="1">
      <alignment horizontal="right"/>
    </xf>
    <xf numFmtId="0" fontId="0" fillId="20" borderId="72" xfId="42" applyFont="1" applyFill="1" applyBorder="1"/>
    <xf numFmtId="0" fontId="0" fillId="20" borderId="72" xfId="42" applyFont="1" applyFill="1" applyBorder="1" applyAlignment="1">
      <alignment horizontal="center"/>
    </xf>
    <xf numFmtId="166" fontId="28" fillId="20" borderId="72" xfId="42" applyNumberFormat="1" applyFont="1" applyFill="1" applyBorder="1" applyAlignment="1">
      <alignment horizontal="right"/>
    </xf>
    <xf numFmtId="166" fontId="32" fillId="20" borderId="72" xfId="42" applyNumberFormat="1" applyFont="1" applyFill="1" applyBorder="1" applyAlignment="1">
      <alignment horizontal="right"/>
    </xf>
    <xf numFmtId="166" fontId="0" fillId="20" borderId="72" xfId="42" applyNumberFormat="1" applyFont="1" applyFill="1" applyBorder="1" applyAlignment="1">
      <alignment horizontal="right"/>
    </xf>
    <xf numFmtId="166" fontId="0" fillId="20" borderId="109" xfId="42" applyNumberFormat="1" applyFont="1" applyFill="1" applyBorder="1" applyAlignment="1">
      <alignment horizontal="right"/>
    </xf>
    <xf numFmtId="0" fontId="0" fillId="27" borderId="76" xfId="42" applyFont="1" applyFill="1" applyBorder="1"/>
    <xf numFmtId="0" fontId="0" fillId="27" borderId="0" xfId="42" applyFont="1" applyFill="1" applyBorder="1"/>
    <xf numFmtId="0" fontId="0" fillId="28" borderId="104" xfId="42" applyFont="1" applyFill="1" applyBorder="1"/>
    <xf numFmtId="0" fontId="0" fillId="28" borderId="68" xfId="42" applyFont="1" applyFill="1" applyBorder="1"/>
    <xf numFmtId="166" fontId="32" fillId="1" borderId="64" xfId="42" applyNumberFormat="1" applyFont="1" applyFill="1" applyBorder="1" applyAlignment="1">
      <alignment horizontal="right"/>
    </xf>
    <xf numFmtId="166" fontId="4" fillId="1" borderId="67" xfId="42" applyNumberFormat="1" applyFont="1" applyFill="1" applyBorder="1" applyAlignment="1">
      <alignment horizontal="right"/>
    </xf>
    <xf numFmtId="166" fontId="32" fillId="20" borderId="67" xfId="42" applyNumberFormat="1" applyFont="1" applyFill="1" applyBorder="1" applyAlignment="1">
      <alignment horizontal="right"/>
    </xf>
    <xf numFmtId="166" fontId="32" fillId="0" borderId="67" xfId="42" applyNumberFormat="1" applyFont="1" applyBorder="1" applyAlignment="1">
      <alignment horizontal="right"/>
    </xf>
    <xf numFmtId="166" fontId="0" fillId="21" borderId="68" xfId="42" applyNumberFormat="1" applyFont="1" applyFill="1" applyBorder="1"/>
    <xf numFmtId="166" fontId="0" fillId="28" borderId="104" xfId="42" applyNumberFormat="1" applyFont="1" applyFill="1" applyBorder="1"/>
    <xf numFmtId="166" fontId="0" fillId="28" borderId="68" xfId="42" applyNumberFormat="1" applyFont="1" applyFill="1" applyBorder="1"/>
    <xf numFmtId="166" fontId="30" fillId="0" borderId="0" xfId="42" applyNumberFormat="1" applyFont="1" applyBorder="1" applyAlignment="1">
      <alignment horizontal="right"/>
    </xf>
    <xf numFmtId="166" fontId="30" fillId="0" borderId="71" xfId="42" applyNumberFormat="1" applyFont="1" applyBorder="1" applyAlignment="1">
      <alignment horizontal="right"/>
    </xf>
    <xf numFmtId="166" fontId="30" fillId="20" borderId="0" xfId="42" applyNumberFormat="1" applyFont="1" applyFill="1" applyBorder="1" applyAlignment="1">
      <alignment horizontal="right"/>
    </xf>
    <xf numFmtId="0" fontId="30" fillId="0" borderId="0" xfId="42" applyFont="1"/>
    <xf numFmtId="0" fontId="30" fillId="1" borderId="76" xfId="42" applyFont="1" applyFill="1" applyBorder="1"/>
    <xf numFmtId="0" fontId="30" fillId="1" borderId="0" xfId="42" applyFont="1" applyFill="1" applyBorder="1"/>
    <xf numFmtId="166" fontId="30" fillId="0" borderId="0" xfId="42" applyNumberFormat="1" applyFont="1" applyBorder="1"/>
    <xf numFmtId="166" fontId="30" fillId="20" borderId="71" xfId="42" applyNumberFormat="1" applyFont="1" applyFill="1" applyBorder="1" applyAlignment="1">
      <alignment horizontal="right"/>
    </xf>
    <xf numFmtId="166" fontId="30" fillId="1" borderId="76" xfId="42" applyNumberFormat="1" applyFont="1" applyFill="1" applyBorder="1"/>
    <xf numFmtId="166" fontId="30" fillId="1" borderId="0" xfId="42" applyNumberFormat="1" applyFont="1" applyFill="1" applyBorder="1"/>
    <xf numFmtId="166" fontId="30" fillId="20" borderId="72" xfId="42" applyNumberFormat="1" applyFont="1" applyFill="1" applyBorder="1" applyAlignment="1">
      <alignment horizontal="right"/>
    </xf>
    <xf numFmtId="0" fontId="0" fillId="29" borderId="0" xfId="42" applyFont="1" applyFill="1"/>
    <xf numFmtId="14" fontId="28" fillId="29" borderId="64" xfId="42" applyNumberFormat="1" applyFont="1" applyFill="1" applyBorder="1" applyAlignment="1" applyProtection="1">
      <alignment horizontal="center" vertical="center"/>
    </xf>
    <xf numFmtId="166" fontId="28" fillId="29" borderId="0" xfId="42" applyNumberFormat="1" applyFont="1" applyFill="1" applyBorder="1" applyAlignment="1"/>
    <xf numFmtId="166" fontId="28" fillId="29" borderId="0" xfId="42" applyNumberFormat="1" applyFont="1" applyFill="1" applyBorder="1" applyAlignment="1">
      <alignment horizontal="center"/>
    </xf>
    <xf numFmtId="166" fontId="32" fillId="29" borderId="76" xfId="42" applyNumberFormat="1" applyFont="1" applyFill="1" applyBorder="1" applyAlignment="1">
      <alignment horizontal="right"/>
    </xf>
    <xf numFmtId="14" fontId="28" fillId="29" borderId="67" xfId="42" applyNumberFormat="1" applyFont="1" applyFill="1" applyBorder="1" applyAlignment="1" applyProtection="1">
      <alignment horizontal="center" vertical="center"/>
    </xf>
    <xf numFmtId="14" fontId="28" fillId="29" borderId="77" xfId="42" applyNumberFormat="1" applyFont="1" applyFill="1" applyBorder="1" applyAlignment="1" applyProtection="1">
      <alignment horizontal="center" vertical="center"/>
    </xf>
    <xf numFmtId="166" fontId="28" fillId="29" borderId="71" xfId="42" applyNumberFormat="1" applyFont="1" applyFill="1" applyBorder="1" applyAlignment="1"/>
    <xf numFmtId="166" fontId="28" fillId="29" borderId="71" xfId="42" applyNumberFormat="1" applyFont="1" applyFill="1" applyBorder="1" applyAlignment="1">
      <alignment horizontal="center"/>
    </xf>
    <xf numFmtId="0" fontId="0" fillId="29" borderId="77" xfId="42" applyFont="1" applyFill="1" applyBorder="1" applyAlignment="1">
      <alignment horizontal="right"/>
    </xf>
    <xf numFmtId="0" fontId="0" fillId="29" borderId="71" xfId="42" applyFont="1" applyFill="1" applyBorder="1" applyAlignment="1">
      <alignment horizontal="right"/>
    </xf>
    <xf numFmtId="166" fontId="28" fillId="27" borderId="0" xfId="42" applyNumberFormat="1" applyFont="1" applyFill="1" applyBorder="1" applyAlignment="1"/>
    <xf numFmtId="166" fontId="28" fillId="21" borderId="68" xfId="42" applyNumberFormat="1" applyFont="1" applyFill="1" applyBorder="1" applyAlignment="1"/>
    <xf numFmtId="166" fontId="28" fillId="1" borderId="64" xfId="42" applyNumberFormat="1" applyFont="1" applyFill="1" applyBorder="1" applyAlignment="1"/>
    <xf numFmtId="166" fontId="28" fillId="27" borderId="76" xfId="42" applyNumberFormat="1" applyFont="1" applyFill="1" applyBorder="1" applyAlignment="1"/>
    <xf numFmtId="166" fontId="28" fillId="21" borderId="104" xfId="42" applyNumberFormat="1" applyFont="1" applyFill="1" applyBorder="1" applyAlignment="1"/>
    <xf numFmtId="166" fontId="28" fillId="0" borderId="72" xfId="42" applyNumberFormat="1" applyFont="1" applyFill="1" applyBorder="1" applyAlignment="1"/>
    <xf numFmtId="166" fontId="32" fillId="0" borderId="0" xfId="42" applyNumberFormat="1" applyFont="1" applyFill="1" applyBorder="1" applyAlignment="1"/>
    <xf numFmtId="0" fontId="28" fillId="15" borderId="0" xfId="42" applyFont="1" applyFill="1" applyAlignment="1"/>
    <xf numFmtId="166" fontId="28" fillId="15" borderId="0" xfId="42" applyNumberFormat="1" applyFont="1" applyFill="1" applyAlignment="1"/>
    <xf numFmtId="2" fontId="28" fillId="15" borderId="0" xfId="42" applyNumberFormat="1" applyFont="1" applyFill="1" applyAlignment="1">
      <alignment horizontal="center"/>
    </xf>
    <xf numFmtId="0" fontId="28" fillId="0" borderId="110" xfId="42" applyFont="1" applyBorder="1" applyAlignment="1">
      <alignment horizontal="center"/>
    </xf>
    <xf numFmtId="0" fontId="3" fillId="0" borderId="111" xfId="42" applyFont="1" applyBorder="1" applyAlignment="1">
      <alignment horizontal="center"/>
    </xf>
    <xf numFmtId="0" fontId="28" fillId="0" borderId="111" xfId="42" applyFont="1" applyBorder="1" applyAlignment="1"/>
    <xf numFmtId="0" fontId="28" fillId="0" borderId="111" xfId="42" applyFont="1" applyBorder="1" applyAlignment="1">
      <alignment horizontal="center"/>
    </xf>
    <xf numFmtId="166" fontId="28" fillId="0" borderId="111" xfId="42" applyNumberFormat="1" applyFont="1" applyBorder="1" applyAlignment="1"/>
    <xf numFmtId="0" fontId="28" fillId="0" borderId="112" xfId="42" applyFont="1" applyBorder="1" applyAlignment="1">
      <alignment horizontal="center"/>
    </xf>
    <xf numFmtId="0" fontId="3" fillId="0" borderId="113" xfId="42" applyFont="1" applyBorder="1" applyAlignment="1">
      <alignment horizontal="center"/>
    </xf>
    <xf numFmtId="166" fontId="28" fillId="0" borderId="113" xfId="42" applyNumberFormat="1" applyFont="1" applyBorder="1" applyAlignment="1"/>
    <xf numFmtId="166" fontId="28" fillId="0" borderId="113" xfId="42" applyNumberFormat="1" applyFont="1" applyBorder="1" applyAlignment="1">
      <alignment horizontal="center"/>
    </xf>
    <xf numFmtId="0" fontId="28" fillId="0" borderId="76" xfId="42" applyFont="1" applyBorder="1" applyAlignment="1"/>
    <xf numFmtId="2" fontId="28" fillId="0" borderId="76" xfId="42" applyNumberFormat="1" applyFont="1" applyBorder="1" applyAlignment="1">
      <alignment horizontal="center"/>
    </xf>
    <xf numFmtId="0" fontId="28" fillId="0" borderId="0" xfId="42" applyFont="1" applyBorder="1" applyAlignment="1"/>
    <xf numFmtId="2" fontId="28" fillId="0" borderId="0" xfId="42" applyNumberFormat="1" applyFont="1" applyBorder="1" applyAlignment="1">
      <alignment horizontal="center"/>
    </xf>
    <xf numFmtId="0" fontId="28" fillId="0" borderId="71" xfId="42" applyFont="1" applyBorder="1" applyAlignment="1"/>
    <xf numFmtId="2" fontId="28" fillId="0" borderId="71" xfId="42" applyNumberFormat="1" applyFont="1" applyBorder="1" applyAlignment="1">
      <alignment horizontal="center"/>
    </xf>
    <xf numFmtId="0" fontId="3" fillId="13" borderId="76" xfId="42" applyFont="1" applyFill="1" applyBorder="1" applyAlignment="1">
      <alignment horizontal="center"/>
    </xf>
    <xf numFmtId="167" fontId="28" fillId="13" borderId="76" xfId="398" applyNumberFormat="1" applyFont="1" applyFill="1" applyBorder="1" applyAlignment="1"/>
    <xf numFmtId="0" fontId="3" fillId="21" borderId="0" xfId="42" applyFont="1" applyFill="1" applyAlignment="1">
      <alignment horizontal="center"/>
    </xf>
    <xf numFmtId="0" fontId="28" fillId="21" borderId="0" xfId="42" applyFont="1" applyFill="1" applyAlignment="1"/>
    <xf numFmtId="2" fontId="28" fillId="21" borderId="0" xfId="42" applyNumberFormat="1" applyFont="1" applyFill="1" applyAlignment="1">
      <alignment horizontal="center"/>
    </xf>
    <xf numFmtId="0" fontId="3" fillId="13" borderId="0" xfId="42" applyFont="1" applyFill="1" applyAlignment="1">
      <alignment horizontal="center"/>
    </xf>
    <xf numFmtId="0" fontId="28" fillId="13" borderId="0" xfId="42" applyFont="1" applyFill="1" applyAlignment="1"/>
    <xf numFmtId="2" fontId="28" fillId="13" borderId="0" xfId="42" applyNumberFormat="1" applyFont="1" applyFill="1" applyAlignment="1">
      <alignment horizontal="center"/>
    </xf>
    <xf numFmtId="166" fontId="32" fillId="1" borderId="76" xfId="42" applyNumberFormat="1" applyFont="1" applyFill="1" applyBorder="1" applyAlignment="1"/>
    <xf numFmtId="166" fontId="32" fillId="20" borderId="72" xfId="42" applyNumberFormat="1" applyFont="1" applyFill="1" applyBorder="1"/>
    <xf numFmtId="166" fontId="32" fillId="20" borderId="76" xfId="42" applyNumberFormat="1" applyFont="1" applyFill="1" applyBorder="1"/>
    <xf numFmtId="166" fontId="32" fillId="15" borderId="71" xfId="42" applyNumberFormat="1" applyFont="1" applyFill="1" applyBorder="1"/>
    <xf numFmtId="166" fontId="32" fillId="15" borderId="72" xfId="42" applyNumberFormat="1" applyFont="1" applyFill="1" applyBorder="1"/>
    <xf numFmtId="168" fontId="1" fillId="0" borderId="0" xfId="42" applyNumberFormat="1" applyFont="1" applyBorder="1" applyProtection="1"/>
    <xf numFmtId="166" fontId="28" fillId="21" borderId="0" xfId="42" applyNumberFormat="1" applyFont="1" applyFill="1" applyAlignment="1"/>
    <xf numFmtId="0" fontId="28" fillId="11" borderId="62" xfId="42" applyFont="1" applyFill="1" applyBorder="1"/>
    <xf numFmtId="0" fontId="28" fillId="11" borderId="14" xfId="42" applyFont="1" applyFill="1" applyBorder="1" applyAlignment="1">
      <alignment horizontal="center"/>
    </xf>
    <xf numFmtId="0" fontId="28" fillId="11" borderId="15" xfId="42" applyFont="1" applyFill="1" applyBorder="1" applyAlignment="1">
      <alignment horizontal="center"/>
    </xf>
    <xf numFmtId="166" fontId="0" fillId="19" borderId="72" xfId="42" applyNumberFormat="1" applyFont="1" applyFill="1" applyBorder="1"/>
    <xf numFmtId="166" fontId="0" fillId="20" borderId="0" xfId="42" applyNumberFormat="1" applyFont="1" applyFill="1" applyBorder="1"/>
    <xf numFmtId="166" fontId="0" fillId="19" borderId="71" xfId="42" applyNumberFormat="1" applyFont="1" applyFill="1" applyBorder="1"/>
    <xf numFmtId="166" fontId="28" fillId="19" borderId="76" xfId="42" applyNumberFormat="1" applyFont="1" applyFill="1" applyBorder="1" applyAlignment="1"/>
    <xf numFmtId="166" fontId="28" fillId="19" borderId="0" xfId="42" applyNumberFormat="1" applyFont="1" applyFill="1" applyBorder="1" applyAlignment="1"/>
    <xf numFmtId="14" fontId="29" fillId="16" borderId="0" xfId="42" applyNumberFormat="1" applyFont="1" applyFill="1" applyBorder="1"/>
    <xf numFmtId="166" fontId="30" fillId="0" borderId="78" xfId="42" applyNumberFormat="1" applyFont="1" applyBorder="1"/>
    <xf numFmtId="166" fontId="30" fillId="0" borderId="72" xfId="42" applyNumberFormat="1" applyFont="1" applyBorder="1"/>
    <xf numFmtId="166" fontId="0" fillId="21" borderId="109" xfId="42" applyNumberFormat="1" applyFont="1" applyFill="1" applyBorder="1"/>
    <xf numFmtId="166" fontId="0" fillId="21" borderId="103" xfId="42" applyNumberFormat="1" applyFont="1" applyFill="1" applyBorder="1"/>
    <xf numFmtId="166" fontId="30" fillId="0" borderId="77" xfId="42" applyNumberFormat="1" applyFont="1" applyBorder="1"/>
    <xf numFmtId="166" fontId="30" fillId="0" borderId="71" xfId="42" applyNumberFormat="1" applyFont="1" applyBorder="1"/>
    <xf numFmtId="166" fontId="32" fillId="29" borderId="64" xfId="42" applyNumberFormat="1" applyFont="1" applyFill="1" applyBorder="1" applyAlignment="1"/>
    <xf numFmtId="166" fontId="32" fillId="29" borderId="76" xfId="42" applyNumberFormat="1" applyFont="1" applyFill="1" applyBorder="1" applyAlignment="1"/>
    <xf numFmtId="166" fontId="28" fillId="1" borderId="67" xfId="42" applyNumberFormat="1" applyFont="1" applyFill="1" applyBorder="1" applyAlignment="1">
      <alignment horizontal="right"/>
    </xf>
    <xf numFmtId="166" fontId="28" fillId="1" borderId="0" xfId="42" applyNumberFormat="1" applyFont="1" applyFill="1" applyBorder="1" applyAlignment="1">
      <alignment horizontal="right"/>
    </xf>
    <xf numFmtId="0" fontId="0" fillId="30" borderId="67" xfId="42" applyFont="1" applyFill="1" applyBorder="1" applyAlignment="1">
      <alignment horizontal="right"/>
    </xf>
    <xf numFmtId="0" fontId="0" fillId="30" borderId="0" xfId="42" applyFont="1" applyFill="1" applyBorder="1" applyAlignment="1">
      <alignment horizontal="right"/>
    </xf>
    <xf numFmtId="166" fontId="28" fillId="28" borderId="68" xfId="42" applyNumberFormat="1" applyFont="1" applyFill="1" applyBorder="1" applyAlignment="1">
      <alignment horizontal="right"/>
    </xf>
    <xf numFmtId="0" fontId="0" fillId="30" borderId="68" xfId="42" applyFont="1" applyFill="1" applyBorder="1" applyAlignment="1">
      <alignment horizontal="right"/>
    </xf>
    <xf numFmtId="0" fontId="0" fillId="1" borderId="67" xfId="42" applyFont="1" applyFill="1" applyBorder="1"/>
    <xf numFmtId="0" fontId="0" fillId="30" borderId="77" xfId="42" applyFont="1" applyFill="1" applyBorder="1" applyAlignment="1">
      <alignment horizontal="right"/>
    </xf>
    <xf numFmtId="0" fontId="0" fillId="30" borderId="71" xfId="42" applyFont="1" applyFill="1" applyBorder="1" applyAlignment="1">
      <alignment horizontal="right"/>
    </xf>
    <xf numFmtId="0" fontId="0" fillId="30" borderId="78" xfId="42" applyFont="1" applyFill="1" applyBorder="1" applyAlignment="1">
      <alignment horizontal="right"/>
    </xf>
    <xf numFmtId="0" fontId="0" fillId="30" borderId="72" xfId="42" applyFont="1" applyFill="1" applyBorder="1" applyAlignment="1">
      <alignment horizontal="right"/>
    </xf>
    <xf numFmtId="0" fontId="0" fillId="30" borderId="103" xfId="42" applyFont="1" applyFill="1" applyBorder="1" applyAlignment="1">
      <alignment horizontal="right"/>
    </xf>
    <xf numFmtId="0" fontId="0" fillId="30" borderId="109" xfId="42" applyFont="1" applyFill="1" applyBorder="1" applyAlignment="1">
      <alignment horizontal="right"/>
    </xf>
    <xf numFmtId="0" fontId="0" fillId="1" borderId="78" xfId="42" applyFont="1" applyFill="1" applyBorder="1"/>
    <xf numFmtId="0" fontId="0" fillId="27" borderId="72" xfId="42" applyFont="1" applyFill="1" applyBorder="1"/>
    <xf numFmtId="0" fontId="0" fillId="1" borderId="72" xfId="42" applyFont="1" applyFill="1" applyBorder="1"/>
    <xf numFmtId="0" fontId="0" fillId="28" borderId="109" xfId="42" applyFont="1" applyFill="1" applyBorder="1"/>
    <xf numFmtId="166" fontId="28" fillId="28" borderId="104" xfId="42" applyNumberFormat="1" applyFont="1" applyFill="1" applyBorder="1" applyAlignment="1"/>
    <xf numFmtId="166" fontId="28" fillId="28" borderId="68" xfId="42" applyNumberFormat="1" applyFont="1" applyFill="1" applyBorder="1" applyAlignment="1"/>
    <xf numFmtId="166" fontId="0" fillId="28" borderId="103" xfId="42" applyNumberFormat="1" applyFont="1" applyFill="1" applyBorder="1"/>
    <xf numFmtId="0" fontId="30" fillId="1" borderId="77" xfId="42" applyFont="1" applyFill="1" applyBorder="1"/>
    <xf numFmtId="0" fontId="0" fillId="27" borderId="71" xfId="42" applyFont="1" applyFill="1" applyBorder="1"/>
    <xf numFmtId="0" fontId="30" fillId="1" borderId="71" xfId="42" applyFont="1" applyFill="1" applyBorder="1"/>
    <xf numFmtId="166" fontId="0" fillId="27" borderId="71" xfId="42" applyNumberFormat="1" applyFont="1" applyFill="1" applyBorder="1"/>
    <xf numFmtId="0" fontId="0" fillId="28" borderId="103" xfId="42" applyFont="1" applyFill="1" applyBorder="1"/>
    <xf numFmtId="166" fontId="32" fillId="0" borderId="72" xfId="42" applyNumberFormat="1" applyFont="1" applyFill="1" applyBorder="1" applyAlignment="1"/>
    <xf numFmtId="0" fontId="28" fillId="0" borderId="78" xfId="42" applyFont="1" applyFill="1" applyBorder="1" applyAlignment="1">
      <alignment horizontal="center"/>
    </xf>
    <xf numFmtId="0" fontId="0" fillId="0" borderId="72" xfId="42" applyFont="1" applyFill="1" applyBorder="1" applyAlignment="1">
      <alignment horizontal="center"/>
    </xf>
    <xf numFmtId="166" fontId="28" fillId="1" borderId="78" xfId="42" applyNumberFormat="1" applyFont="1" applyFill="1" applyBorder="1" applyAlignment="1"/>
    <xf numFmtId="166" fontId="28" fillId="1" borderId="72" xfId="42" applyNumberFormat="1" applyFont="1" applyFill="1" applyBorder="1" applyAlignment="1"/>
    <xf numFmtId="166" fontId="28" fillId="19" borderId="72" xfId="42" applyNumberFormat="1" applyFont="1" applyFill="1" applyBorder="1" applyAlignment="1"/>
    <xf numFmtId="167" fontId="0" fillId="0" borderId="0" xfId="398" applyNumberFormat="1" applyFont="1"/>
    <xf numFmtId="2" fontId="28" fillId="21" borderId="104" xfId="42" applyNumberFormat="1" applyFont="1" applyFill="1" applyBorder="1" applyAlignment="1">
      <alignment horizontal="right"/>
    </xf>
    <xf numFmtId="2" fontId="0" fillId="21" borderId="68" xfId="42" applyNumberFormat="1" applyFont="1" applyFill="1" applyBorder="1" applyAlignment="1">
      <alignment horizontal="right"/>
    </xf>
    <xf numFmtId="2" fontId="0" fillId="21" borderId="103" xfId="42" applyNumberFormat="1" applyFont="1" applyFill="1" applyBorder="1" applyAlignment="1">
      <alignment horizontal="right"/>
    </xf>
    <xf numFmtId="166" fontId="32" fillId="15" borderId="72" xfId="42" applyNumberFormat="1" applyFont="1" applyFill="1" applyBorder="1" applyAlignment="1">
      <alignment horizontal="right"/>
    </xf>
    <xf numFmtId="2" fontId="32" fillId="15" borderId="109" xfId="42" applyNumberFormat="1" applyFont="1" applyFill="1" applyBorder="1" applyAlignment="1">
      <alignment horizontal="right"/>
    </xf>
    <xf numFmtId="166" fontId="0" fillId="15" borderId="72" xfId="42" applyNumberFormat="1" applyFont="1" applyFill="1" applyBorder="1" applyAlignment="1">
      <alignment horizontal="right"/>
    </xf>
    <xf numFmtId="166" fontId="28" fillId="15" borderId="72" xfId="42" applyNumberFormat="1" applyFont="1" applyFill="1" applyBorder="1" applyAlignment="1">
      <alignment horizontal="right"/>
    </xf>
    <xf numFmtId="166" fontId="0" fillId="21" borderId="109" xfId="42" applyNumberFormat="1" applyFont="1" applyFill="1" applyBorder="1" applyAlignment="1">
      <alignment horizontal="right"/>
    </xf>
    <xf numFmtId="166" fontId="0" fillId="15" borderId="103" xfId="42" applyNumberFormat="1" applyFont="1" applyFill="1" applyBorder="1" applyAlignment="1">
      <alignment horizontal="right"/>
    </xf>
    <xf numFmtId="166" fontId="32" fillId="15" borderId="78" xfId="42" applyNumberFormat="1" applyFont="1" applyFill="1" applyBorder="1" applyAlignment="1">
      <alignment horizontal="right"/>
    </xf>
    <xf numFmtId="166" fontId="32" fillId="15" borderId="109" xfId="42" applyNumberFormat="1" applyFont="1" applyFill="1" applyBorder="1" applyAlignment="1">
      <alignment horizontal="right"/>
    </xf>
    <xf numFmtId="166" fontId="32" fillId="31" borderId="64" xfId="42" applyNumberFormat="1" applyFont="1" applyFill="1" applyBorder="1" applyAlignment="1"/>
    <xf numFmtId="166" fontId="32" fillId="31" borderId="76" xfId="42" applyNumberFormat="1" applyFont="1" applyFill="1" applyBorder="1" applyAlignment="1"/>
    <xf numFmtId="166" fontId="28" fillId="32" borderId="0" xfId="42" applyNumberFormat="1" applyFont="1" applyFill="1" applyBorder="1" applyAlignment="1"/>
    <xf numFmtId="166" fontId="32" fillId="31" borderId="72" xfId="42" applyNumberFormat="1" applyFont="1" applyFill="1" applyBorder="1" applyAlignment="1">
      <alignment horizontal="right"/>
    </xf>
    <xf numFmtId="2" fontId="32" fillId="31" borderId="0" xfId="42" applyNumberFormat="1" applyFont="1" applyFill="1" applyBorder="1" applyAlignment="1"/>
    <xf numFmtId="166" fontId="32" fillId="31" borderId="80" xfId="42" applyNumberFormat="1" applyFont="1" applyFill="1" applyBorder="1" applyAlignment="1"/>
    <xf numFmtId="166" fontId="32" fillId="31" borderId="82" xfId="42" applyNumberFormat="1" applyFont="1" applyFill="1" applyBorder="1" applyAlignment="1"/>
    <xf numFmtId="166" fontId="32" fillId="31" borderId="0" xfId="42" applyNumberFormat="1" applyFont="1" applyFill="1" applyBorder="1" applyAlignment="1"/>
    <xf numFmtId="0" fontId="0" fillId="32" borderId="76" xfId="42" applyFont="1" applyFill="1" applyBorder="1"/>
    <xf numFmtId="0" fontId="0" fillId="32" borderId="0" xfId="42" applyFont="1" applyFill="1" applyBorder="1"/>
    <xf numFmtId="166" fontId="32" fillId="15" borderId="76" xfId="42" applyNumberFormat="1" applyFont="1" applyFill="1" applyBorder="1"/>
    <xf numFmtId="0" fontId="28" fillId="15" borderId="64" xfId="42" applyFont="1" applyFill="1" applyBorder="1" applyAlignment="1">
      <alignment horizontal="center"/>
    </xf>
    <xf numFmtId="0" fontId="28" fillId="15" borderId="76" xfId="42" applyFont="1" applyFill="1" applyBorder="1" applyAlignment="1">
      <alignment horizontal="center"/>
    </xf>
    <xf numFmtId="166" fontId="28" fillId="15" borderId="76" xfId="42" applyNumberFormat="1" applyFont="1" applyFill="1" applyBorder="1"/>
    <xf numFmtId="166" fontId="32" fillId="31" borderId="78" xfId="42" applyNumberFormat="1" applyFont="1" applyFill="1" applyBorder="1" applyAlignment="1">
      <alignment horizontal="right"/>
    </xf>
    <xf numFmtId="2" fontId="32" fillId="31" borderId="80" xfId="42" applyNumberFormat="1" applyFont="1" applyFill="1" applyBorder="1" applyAlignment="1"/>
    <xf numFmtId="2" fontId="32" fillId="31" borderId="82" xfId="42" applyNumberFormat="1" applyFont="1" applyFill="1" applyBorder="1" applyAlignment="1"/>
    <xf numFmtId="2" fontId="32" fillId="31" borderId="0" xfId="42" applyNumberFormat="1" applyFont="1" applyFill="1" applyBorder="1"/>
    <xf numFmtId="2" fontId="32" fillId="31" borderId="82" xfId="42" applyNumberFormat="1" applyFont="1" applyFill="1" applyBorder="1"/>
    <xf numFmtId="2" fontId="32" fillId="31" borderId="89" xfId="42" applyNumberFormat="1" applyFont="1" applyFill="1" applyBorder="1"/>
    <xf numFmtId="2" fontId="32" fillId="31" borderId="0" xfId="42" applyNumberFormat="1" applyFont="1" applyFill="1"/>
    <xf numFmtId="2" fontId="32" fillId="31" borderId="89" xfId="42" applyNumberFormat="1" applyFont="1" applyFill="1" applyBorder="1" applyAlignment="1"/>
    <xf numFmtId="166" fontId="32" fillId="20" borderId="71" xfId="42" applyNumberFormat="1" applyFont="1" applyFill="1" applyBorder="1" applyAlignment="1"/>
    <xf numFmtId="166" fontId="28" fillId="32" borderId="76" xfId="42" applyNumberFormat="1" applyFont="1" applyFill="1" applyBorder="1" applyAlignment="1"/>
    <xf numFmtId="2" fontId="55" fillId="31" borderId="68" xfId="42" applyNumberFormat="1" applyFont="1" applyFill="1" applyBorder="1" applyAlignment="1">
      <alignment horizontal="right"/>
    </xf>
    <xf numFmtId="2" fontId="29" fillId="16" borderId="76" xfId="42" applyNumberFormat="1" applyFont="1" applyFill="1" applyBorder="1" applyAlignment="1">
      <alignment horizontal="right"/>
    </xf>
    <xf numFmtId="2" fontId="0" fillId="20" borderId="68" xfId="42" applyNumberFormat="1" applyFont="1" applyFill="1" applyBorder="1" applyAlignment="1">
      <alignment horizontal="right"/>
    </xf>
    <xf numFmtId="0" fontId="68" fillId="0" borderId="0" xfId="42" applyFont="1" applyAlignment="1">
      <alignment horizontal="left"/>
    </xf>
    <xf numFmtId="167" fontId="28" fillId="13" borderId="0" xfId="398" applyNumberFormat="1" applyFont="1" applyFill="1" applyAlignment="1"/>
    <xf numFmtId="1" fontId="55" fillId="0" borderId="0" xfId="42" applyNumberFormat="1" applyFont="1" applyAlignment="1">
      <alignment horizontal="left"/>
    </xf>
    <xf numFmtId="166" fontId="28" fillId="1" borderId="109" xfId="42" applyNumberFormat="1" applyFont="1" applyFill="1" applyBorder="1" applyAlignment="1"/>
    <xf numFmtId="166" fontId="28" fillId="15" borderId="72" xfId="42" applyNumberFormat="1" applyFont="1" applyFill="1" applyBorder="1" applyAlignment="1"/>
    <xf numFmtId="166" fontId="28" fillId="0" borderId="71" xfId="42" applyNumberFormat="1" applyFont="1" applyFill="1" applyBorder="1" applyAlignment="1"/>
    <xf numFmtId="166" fontId="28" fillId="0" borderId="71" xfId="42" applyNumberFormat="1" applyFont="1" applyFill="1" applyBorder="1" applyAlignment="1">
      <alignment horizontal="center"/>
    </xf>
    <xf numFmtId="166" fontId="28" fillId="0" borderId="82" xfId="42" applyNumberFormat="1" applyFont="1" applyFill="1" applyBorder="1" applyAlignment="1">
      <alignment horizontal="center"/>
    </xf>
    <xf numFmtId="166" fontId="32" fillId="19" borderId="76" xfId="42" applyNumberFormat="1" applyFont="1" applyFill="1" applyBorder="1" applyAlignment="1"/>
    <xf numFmtId="166" fontId="32" fillId="19" borderId="0" xfId="42" applyNumberFormat="1" applyFont="1" applyFill="1" applyBorder="1" applyAlignment="1"/>
    <xf numFmtId="166" fontId="32" fillId="19" borderId="71" xfId="42" applyNumberFormat="1" applyFont="1" applyFill="1" applyBorder="1" applyAlignment="1"/>
    <xf numFmtId="166" fontId="0" fillId="0" borderId="0" xfId="42" applyNumberFormat="1" applyFont="1"/>
    <xf numFmtId="0" fontId="60" fillId="13" borderId="0" xfId="42" applyFont="1" applyFill="1" applyBorder="1" applyAlignment="1">
      <alignment horizontal="center"/>
    </xf>
    <xf numFmtId="0" fontId="1" fillId="13" borderId="0" xfId="42" applyFont="1" applyFill="1" applyBorder="1" applyAlignment="1">
      <alignment horizontal="center"/>
    </xf>
    <xf numFmtId="167" fontId="28" fillId="33" borderId="0" xfId="398" applyNumberFormat="1" applyFont="1" applyFill="1" applyAlignment="1"/>
    <xf numFmtId="1" fontId="4" fillId="29" borderId="0" xfId="42" applyNumberFormat="1" applyFont="1" applyFill="1" applyBorder="1" applyAlignment="1" applyProtection="1">
      <alignment horizontal="center" vertical="center"/>
    </xf>
    <xf numFmtId="0" fontId="0" fillId="29" borderId="0" xfId="42" applyFont="1" applyFill="1" applyBorder="1" applyAlignment="1">
      <alignment horizontal="center"/>
    </xf>
    <xf numFmtId="0" fontId="28" fillId="29" borderId="79" xfId="42" applyFont="1" applyFill="1" applyBorder="1" applyAlignment="1">
      <alignment horizontal="center"/>
    </xf>
    <xf numFmtId="166" fontId="28" fillId="29" borderId="80" xfId="42" applyNumberFormat="1" applyFont="1" applyFill="1" applyBorder="1" applyAlignment="1"/>
    <xf numFmtId="0" fontId="0" fillId="29" borderId="80" xfId="42" applyFont="1" applyFill="1" applyBorder="1" applyAlignment="1">
      <alignment horizontal="center"/>
    </xf>
    <xf numFmtId="0" fontId="32" fillId="23" borderId="0" xfId="42" applyFont="1" applyFill="1" applyAlignment="1">
      <alignment horizontal="center"/>
    </xf>
    <xf numFmtId="166" fontId="28" fillId="0" borderId="76" xfId="42" applyNumberFormat="1" applyFont="1" applyFill="1" applyBorder="1"/>
    <xf numFmtId="168" fontId="28" fillId="0" borderId="0" xfId="42" applyNumberFormat="1" applyFont="1" applyBorder="1" applyAlignment="1"/>
    <xf numFmtId="0" fontId="55" fillId="0" borderId="0" xfId="42" applyFont="1" applyAlignment="1">
      <alignment horizontal="center"/>
    </xf>
    <xf numFmtId="0" fontId="55" fillId="0" borderId="0" xfId="42" applyFont="1" applyFill="1" applyAlignment="1">
      <alignment horizontal="center"/>
    </xf>
    <xf numFmtId="0" fontId="55" fillId="29" borderId="0" xfId="42" applyFont="1" applyFill="1" applyAlignment="1">
      <alignment horizontal="center"/>
    </xf>
    <xf numFmtId="0" fontId="55" fillId="20" borderId="76" xfId="42" applyFont="1" applyFill="1" applyBorder="1" applyAlignment="1">
      <alignment horizontal="center"/>
    </xf>
    <xf numFmtId="0" fontId="55" fillId="20" borderId="0" xfId="42" applyFont="1" applyFill="1" applyAlignment="1">
      <alignment horizontal="center"/>
    </xf>
    <xf numFmtId="0" fontId="55" fillId="20" borderId="0" xfId="42" applyFont="1" applyFill="1"/>
    <xf numFmtId="0" fontId="55" fillId="20" borderId="76" xfId="42" applyFont="1" applyFill="1" applyBorder="1"/>
    <xf numFmtId="2" fontId="55" fillId="31" borderId="0" xfId="42" applyNumberFormat="1" applyFont="1" applyFill="1" applyBorder="1" applyAlignment="1"/>
    <xf numFmtId="166" fontId="55" fillId="15" borderId="76" xfId="42" applyNumberFormat="1" applyFont="1" applyFill="1" applyBorder="1"/>
    <xf numFmtId="2" fontId="55" fillId="31" borderId="82" xfId="42" applyNumberFormat="1" applyFont="1" applyFill="1" applyBorder="1"/>
    <xf numFmtId="2" fontId="55" fillId="31" borderId="0" xfId="42" applyNumberFormat="1" applyFont="1" applyFill="1"/>
    <xf numFmtId="166" fontId="55" fillId="15" borderId="0" xfId="42" applyNumberFormat="1" applyFont="1" applyFill="1"/>
    <xf numFmtId="14" fontId="55" fillId="21" borderId="0" xfId="42" applyNumberFormat="1" applyFont="1" applyFill="1" applyBorder="1" applyAlignment="1"/>
    <xf numFmtId="0" fontId="55" fillId="21" borderId="82" xfId="42" applyFont="1" applyFill="1" applyBorder="1"/>
    <xf numFmtId="0" fontId="55" fillId="21" borderId="0" xfId="42" applyFont="1" applyFill="1"/>
    <xf numFmtId="166" fontId="55" fillId="16" borderId="76" xfId="42" applyNumberFormat="1" applyFont="1" applyFill="1" applyBorder="1" applyAlignment="1">
      <alignment horizontal="right"/>
    </xf>
    <xf numFmtId="166" fontId="55" fillId="16" borderId="0" xfId="42" applyNumberFormat="1" applyFont="1" applyFill="1" applyBorder="1" applyAlignment="1">
      <alignment horizontal="right"/>
    </xf>
    <xf numFmtId="166" fontId="55" fillId="20" borderId="77" xfId="42" applyNumberFormat="1" applyFont="1" applyFill="1" applyBorder="1" applyAlignment="1">
      <alignment horizontal="right"/>
    </xf>
    <xf numFmtId="166" fontId="49" fillId="20" borderId="71" xfId="42" applyNumberFormat="1" applyFont="1" applyFill="1" applyBorder="1" applyAlignment="1">
      <alignment horizontal="right"/>
    </xf>
    <xf numFmtId="0" fontId="55" fillId="21" borderId="0" xfId="42" applyFont="1" applyFill="1" applyAlignment="1">
      <alignment horizontal="center"/>
    </xf>
    <xf numFmtId="0" fontId="0" fillId="13" borderId="0" xfId="42" applyFont="1" applyFill="1" applyAlignment="1">
      <alignment horizontal="center"/>
    </xf>
    <xf numFmtId="0" fontId="28" fillId="13" borderId="19" xfId="42" applyFont="1" applyFill="1" applyBorder="1"/>
    <xf numFmtId="0" fontId="32" fillId="13" borderId="17" xfId="42" applyFont="1" applyFill="1" applyBorder="1" applyAlignment="1">
      <alignment vertical="center"/>
    </xf>
    <xf numFmtId="0" fontId="0" fillId="0" borderId="19" xfId="42" applyFont="1" applyBorder="1" applyAlignment="1">
      <alignment horizontal="center"/>
    </xf>
    <xf numFmtId="0" fontId="0" fillId="0" borderId="2" xfId="42" applyFont="1" applyBorder="1" applyAlignment="1">
      <alignment horizontal="center"/>
    </xf>
    <xf numFmtId="0" fontId="0" fillId="0" borderId="21" xfId="42" applyFont="1" applyBorder="1" applyAlignment="1">
      <alignment horizontal="center"/>
    </xf>
    <xf numFmtId="0" fontId="0" fillId="0" borderId="37" xfId="42" applyFont="1" applyBorder="1" applyAlignment="1">
      <alignment horizontal="center"/>
    </xf>
    <xf numFmtId="0" fontId="0" fillId="13" borderId="21" xfId="42" applyFont="1" applyFill="1" applyBorder="1" applyAlignment="1">
      <alignment horizontal="center"/>
    </xf>
    <xf numFmtId="0" fontId="0" fillId="0" borderId="36" xfId="42" applyFont="1" applyBorder="1" applyAlignment="1">
      <alignment horizontal="center"/>
    </xf>
    <xf numFmtId="0" fontId="0" fillId="13" borderId="30" xfId="42" applyFont="1" applyFill="1" applyBorder="1"/>
    <xf numFmtId="0" fontId="0" fillId="1" borderId="17" xfId="42" applyFont="1" applyFill="1" applyBorder="1"/>
    <xf numFmtId="0" fontId="0" fillId="1" borderId="20" xfId="42" applyFont="1" applyFill="1" applyBorder="1"/>
    <xf numFmtId="0" fontId="0" fillId="1" borderId="21" xfId="42" applyFont="1" applyFill="1" applyBorder="1"/>
    <xf numFmtId="0" fontId="0" fillId="1" borderId="30" xfId="42" applyFont="1" applyFill="1" applyBorder="1"/>
    <xf numFmtId="0" fontId="0" fillId="1" borderId="37" xfId="42" applyFont="1" applyFill="1" applyBorder="1"/>
    <xf numFmtId="0" fontId="0" fillId="33" borderId="0" xfId="42" applyFont="1" applyFill="1" applyBorder="1"/>
    <xf numFmtId="0" fontId="0" fillId="33" borderId="21" xfId="42" applyFont="1" applyFill="1" applyBorder="1"/>
    <xf numFmtId="0" fontId="32" fillId="13" borderId="20" xfId="42" applyFont="1" applyFill="1" applyBorder="1" applyAlignment="1">
      <alignment horizontal="center" vertical="center"/>
    </xf>
    <xf numFmtId="0" fontId="0" fillId="0" borderId="20" xfId="42" applyFont="1" applyBorder="1" applyAlignment="1">
      <alignment horizontal="center"/>
    </xf>
    <xf numFmtId="166" fontId="55" fillId="15" borderId="72" xfId="42" applyNumberFormat="1" applyFont="1" applyFill="1" applyBorder="1" applyAlignment="1">
      <alignment horizontal="right"/>
    </xf>
    <xf numFmtId="166" fontId="49" fillId="15" borderId="71" xfId="42" applyNumberFormat="1" applyFont="1" applyFill="1" applyBorder="1" applyAlignment="1">
      <alignment horizontal="right"/>
    </xf>
    <xf numFmtId="2" fontId="55" fillId="15" borderId="77" xfId="42" applyNumberFormat="1" applyFont="1" applyFill="1" applyBorder="1" applyAlignment="1">
      <alignment horizontal="right"/>
    </xf>
    <xf numFmtId="2" fontId="30" fillId="15" borderId="71" xfId="42" applyNumberFormat="1" applyFont="1" applyFill="1" applyBorder="1" applyAlignment="1">
      <alignment horizontal="right"/>
    </xf>
    <xf numFmtId="2" fontId="55" fillId="15" borderId="78" xfId="42" applyNumberFormat="1" applyFont="1" applyFill="1" applyBorder="1" applyAlignment="1">
      <alignment horizontal="right"/>
    </xf>
    <xf numFmtId="167" fontId="28" fillId="13" borderId="30" xfId="42" applyNumberFormat="1" applyFont="1" applyFill="1" applyBorder="1" applyAlignment="1"/>
    <xf numFmtId="167" fontId="28" fillId="13" borderId="30" xfId="398" applyNumberFormat="1" applyFont="1" applyFill="1" applyBorder="1" applyAlignment="1"/>
    <xf numFmtId="167" fontId="28" fillId="0" borderId="0" xfId="398" applyNumberFormat="1" applyFont="1" applyFill="1" applyBorder="1" applyAlignment="1"/>
    <xf numFmtId="0" fontId="79" fillId="16" borderId="0" xfId="42" applyFont="1" applyFill="1"/>
    <xf numFmtId="14" fontId="83" fillId="16" borderId="0" xfId="42" applyNumberFormat="1" applyFont="1" applyFill="1" applyBorder="1" applyAlignment="1"/>
    <xf numFmtId="2" fontId="32" fillId="11" borderId="41" xfId="42" applyNumberFormat="1" applyFont="1" applyFill="1" applyBorder="1" applyAlignment="1">
      <alignment horizontal="center"/>
    </xf>
    <xf numFmtId="0" fontId="3" fillId="0" borderId="30" xfId="42" applyFont="1" applyFill="1" applyBorder="1" applyAlignment="1">
      <alignment horizontal="center"/>
    </xf>
    <xf numFmtId="14" fontId="28" fillId="0" borderId="30" xfId="42" applyNumberFormat="1" applyFont="1" applyFill="1" applyBorder="1" applyAlignment="1"/>
    <xf numFmtId="166" fontId="28" fillId="0" borderId="30" xfId="42" applyNumberFormat="1" applyFont="1" applyFill="1" applyBorder="1" applyAlignment="1">
      <alignment horizontal="center"/>
    </xf>
    <xf numFmtId="166" fontId="28" fillId="0" borderId="30" xfId="42" applyNumberFormat="1" applyFont="1" applyFill="1" applyBorder="1" applyAlignment="1"/>
    <xf numFmtId="2" fontId="0" fillId="13" borderId="17" xfId="42" applyNumberFormat="1" applyFont="1" applyFill="1" applyBorder="1"/>
    <xf numFmtId="0" fontId="32" fillId="13" borderId="40" xfId="42" applyFont="1" applyFill="1" applyBorder="1" applyAlignment="1">
      <alignment vertical="center"/>
    </xf>
    <xf numFmtId="0" fontId="32" fillId="13" borderId="40" xfId="42" applyFont="1" applyFill="1" applyBorder="1" applyAlignment="1">
      <alignment horizontal="center" vertical="center"/>
    </xf>
    <xf numFmtId="0" fontId="0" fillId="0" borderId="30" xfId="42" applyFont="1" applyBorder="1" applyAlignment="1">
      <alignment horizontal="center"/>
    </xf>
    <xf numFmtId="166" fontId="0" fillId="0" borderId="30" xfId="42" applyNumberFormat="1" applyFont="1" applyBorder="1"/>
    <xf numFmtId="2" fontId="0" fillId="13" borderId="0" xfId="42" applyNumberFormat="1" applyFont="1" applyFill="1" applyBorder="1"/>
    <xf numFmtId="2" fontId="0" fillId="13" borderId="30" xfId="42" applyNumberFormat="1" applyFont="1" applyFill="1" applyBorder="1"/>
    <xf numFmtId="2" fontId="0" fillId="13" borderId="0" xfId="42" applyNumberFormat="1" applyFont="1" applyFill="1"/>
    <xf numFmtId="2" fontId="32" fillId="0" borderId="0" xfId="42" applyNumberFormat="1" applyFont="1" applyBorder="1"/>
    <xf numFmtId="2" fontId="32" fillId="0" borderId="0" xfId="42" applyNumberFormat="1" applyFont="1" applyBorder="1" applyAlignment="1">
      <alignment horizontal="right"/>
    </xf>
    <xf numFmtId="0" fontId="0" fillId="33" borderId="17" xfId="42" applyFont="1" applyFill="1" applyBorder="1"/>
    <xf numFmtId="0" fontId="0" fillId="33" borderId="30" xfId="42" applyFont="1" applyFill="1" applyBorder="1"/>
    <xf numFmtId="0" fontId="0" fillId="13" borderId="30" xfId="42" applyFont="1" applyFill="1" applyBorder="1" applyAlignment="1">
      <alignment horizontal="center"/>
    </xf>
    <xf numFmtId="166" fontId="0" fillId="0" borderId="30" xfId="42" applyNumberFormat="1" applyFont="1" applyBorder="1" applyAlignment="1">
      <alignment horizontal="right"/>
    </xf>
    <xf numFmtId="166" fontId="0" fillId="13" borderId="0" xfId="42" applyNumberFormat="1" applyFont="1" applyFill="1" applyBorder="1" applyAlignment="1">
      <alignment horizontal="right"/>
    </xf>
    <xf numFmtId="166" fontId="0" fillId="13" borderId="30" xfId="42" applyNumberFormat="1" applyFont="1" applyFill="1" applyBorder="1" applyAlignment="1">
      <alignment horizontal="right"/>
    </xf>
    <xf numFmtId="167" fontId="28" fillId="13" borderId="0" xfId="398" applyNumberFormat="1" applyFont="1" applyFill="1" applyBorder="1" applyAlignment="1">
      <alignment horizontal="right"/>
    </xf>
    <xf numFmtId="167" fontId="28" fillId="0" borderId="40" xfId="398" applyNumberFormat="1" applyFont="1" applyFill="1" applyBorder="1" applyAlignment="1"/>
    <xf numFmtId="167" fontId="28" fillId="13" borderId="76" xfId="398" applyNumberFormat="1" applyFont="1" applyFill="1" applyBorder="1" applyAlignment="1">
      <alignment horizontal="center"/>
    </xf>
    <xf numFmtId="166" fontId="28" fillId="0" borderId="71" xfId="42" applyNumberFormat="1" applyFont="1" applyBorder="1" applyAlignment="1">
      <alignment horizontal="right"/>
    </xf>
    <xf numFmtId="1" fontId="4" fillId="0" borderId="0" xfId="42" applyNumberFormat="1" applyFont="1" applyAlignment="1">
      <alignment horizontal="center" vertical="center"/>
    </xf>
    <xf numFmtId="0" fontId="28" fillId="0" borderId="0" xfId="42" applyFont="1" applyAlignment="1">
      <alignment horizontal="center" vertical="center"/>
    </xf>
    <xf numFmtId="167" fontId="28" fillId="13" borderId="0" xfId="398" applyNumberFormat="1" applyFont="1" applyFill="1" applyAlignment="1">
      <alignment vertical="center"/>
    </xf>
    <xf numFmtId="2" fontId="28" fillId="0" borderId="0" xfId="42" quotePrefix="1" applyNumberFormat="1" applyFont="1" applyBorder="1" applyAlignment="1">
      <alignment horizontal="center"/>
    </xf>
    <xf numFmtId="0" fontId="28" fillId="0" borderId="19" xfId="42" applyFont="1" applyBorder="1" applyAlignment="1">
      <alignment horizontal="center"/>
    </xf>
    <xf numFmtId="0" fontId="28" fillId="0" borderId="17" xfId="42" applyFont="1" applyBorder="1" applyAlignment="1"/>
    <xf numFmtId="2" fontId="28" fillId="0" borderId="17" xfId="42" quotePrefix="1" applyNumberFormat="1" applyFont="1" applyBorder="1" applyAlignment="1">
      <alignment horizontal="center"/>
    </xf>
    <xf numFmtId="0" fontId="28" fillId="0" borderId="2" xfId="42" applyFont="1" applyBorder="1" applyAlignment="1">
      <alignment horizontal="center"/>
    </xf>
    <xf numFmtId="0" fontId="28" fillId="0" borderId="36" xfId="42" applyFont="1" applyBorder="1" applyAlignment="1">
      <alignment horizontal="center"/>
    </xf>
    <xf numFmtId="0" fontId="28" fillId="0" borderId="30" xfId="42" applyFont="1" applyBorder="1" applyAlignment="1"/>
    <xf numFmtId="2" fontId="28" fillId="0" borderId="30" xfId="42" applyNumberFormat="1" applyFont="1" applyBorder="1" applyAlignment="1">
      <alignment horizontal="center"/>
    </xf>
    <xf numFmtId="0" fontId="3" fillId="13" borderId="0" xfId="42" applyFont="1" applyFill="1" applyAlignment="1">
      <alignment horizontal="center" vertical="center"/>
    </xf>
    <xf numFmtId="0" fontId="28" fillId="13" borderId="0" xfId="42" applyFont="1" applyFill="1" applyAlignment="1">
      <alignment vertical="center"/>
    </xf>
    <xf numFmtId="2" fontId="28" fillId="13" borderId="0" xfId="42" applyNumberFormat="1" applyFont="1" applyFill="1" applyAlignment="1">
      <alignment horizontal="center" vertical="center" wrapText="1"/>
    </xf>
    <xf numFmtId="166" fontId="28" fillId="13" borderId="0" xfId="42" applyNumberFormat="1" applyFont="1" applyFill="1" applyAlignment="1">
      <alignment vertical="center"/>
    </xf>
    <xf numFmtId="167" fontId="28" fillId="0" borderId="30" xfId="398" applyNumberFormat="1" applyFont="1" applyFill="1" applyBorder="1" applyAlignment="1"/>
    <xf numFmtId="0" fontId="4" fillId="11" borderId="114" xfId="42" applyFont="1" applyFill="1" applyBorder="1" applyAlignment="1">
      <alignment horizontal="center"/>
    </xf>
    <xf numFmtId="0" fontId="0" fillId="11" borderId="114" xfId="42" applyFont="1" applyFill="1" applyBorder="1" applyAlignment="1">
      <alignment horizontal="center"/>
    </xf>
    <xf numFmtId="0" fontId="0" fillId="11" borderId="115" xfId="42" applyFont="1" applyFill="1" applyBorder="1" applyAlignment="1">
      <alignment horizontal="center"/>
    </xf>
    <xf numFmtId="0" fontId="4" fillId="0" borderId="116" xfId="42" applyFont="1" applyFill="1" applyBorder="1"/>
    <xf numFmtId="166" fontId="3" fillId="0" borderId="117" xfId="42" applyNumberFormat="1" applyFont="1" applyFill="1" applyBorder="1" applyAlignment="1">
      <alignment horizontal="right"/>
    </xf>
    <xf numFmtId="0" fontId="4" fillId="11" borderId="117" xfId="42" applyFont="1" applyFill="1" applyBorder="1"/>
    <xf numFmtId="0" fontId="0" fillId="11" borderId="117" xfId="42" applyFont="1" applyFill="1" applyBorder="1"/>
    <xf numFmtId="14" fontId="3" fillId="0" borderId="118" xfId="42" applyNumberFormat="1" applyFont="1" applyFill="1" applyBorder="1" applyAlignment="1" applyProtection="1">
      <alignment horizontal="center" vertical="center"/>
    </xf>
    <xf numFmtId="1" fontId="32" fillId="21" borderId="89" xfId="42" applyNumberFormat="1" applyFont="1" applyFill="1" applyBorder="1" applyAlignment="1">
      <alignment horizontal="right"/>
    </xf>
    <xf numFmtId="0" fontId="3" fillId="0" borderId="119" xfId="42" applyFont="1" applyBorder="1" applyAlignment="1">
      <alignment horizontal="center"/>
    </xf>
    <xf numFmtId="1" fontId="32" fillId="13" borderId="92" xfId="42" applyNumberFormat="1" applyFont="1" applyFill="1" applyBorder="1" applyAlignment="1">
      <alignment horizontal="right"/>
    </xf>
    <xf numFmtId="0" fontId="3" fillId="0" borderId="120" xfId="42" applyFont="1" applyBorder="1" applyAlignment="1">
      <alignment horizontal="center"/>
    </xf>
    <xf numFmtId="0" fontId="28" fillId="0" borderId="0" xfId="42" applyFont="1" applyFill="1" applyBorder="1" applyAlignment="1">
      <alignment horizontal="left"/>
    </xf>
    <xf numFmtId="1" fontId="28" fillId="0" borderId="0" xfId="42" applyNumberFormat="1" applyFont="1" applyFill="1" applyBorder="1" applyAlignment="1"/>
    <xf numFmtId="1" fontId="32" fillId="0" borderId="0" xfId="42" applyNumberFormat="1" applyFont="1" applyFill="1" applyBorder="1" applyAlignment="1"/>
    <xf numFmtId="14" fontId="3" fillId="0" borderId="64" xfId="42" quotePrefix="1" applyNumberFormat="1" applyFont="1" applyFill="1" applyBorder="1" applyAlignment="1" applyProtection="1">
      <alignment horizontal="center" vertical="center"/>
    </xf>
    <xf numFmtId="14" fontId="3" fillId="0" borderId="67" xfId="42" quotePrefix="1" applyNumberFormat="1" applyFont="1" applyFill="1" applyBorder="1" applyAlignment="1" applyProtection="1">
      <alignment horizontal="center" vertical="center"/>
    </xf>
    <xf numFmtId="1" fontId="4" fillId="0" borderId="121" xfId="42" applyNumberFormat="1" applyFont="1" applyFill="1" applyBorder="1" applyAlignment="1" applyProtection="1">
      <alignment horizontal="center" vertical="center"/>
    </xf>
    <xf numFmtId="2" fontId="28" fillId="0" borderId="0" xfId="42" applyNumberFormat="1" applyFont="1" applyBorder="1" applyAlignment="1"/>
    <xf numFmtId="166" fontId="28" fillId="0" borderId="64" xfId="42" applyNumberFormat="1" applyFont="1" applyBorder="1" applyAlignment="1"/>
    <xf numFmtId="1" fontId="32" fillId="15" borderId="64" xfId="42" applyNumberFormat="1" applyFont="1" applyFill="1" applyBorder="1" applyAlignment="1">
      <alignment horizontal="center"/>
    </xf>
    <xf numFmtId="1" fontId="32" fillId="15" borderId="76" xfId="42" applyNumberFormat="1" applyFont="1" applyFill="1" applyBorder="1" applyAlignment="1">
      <alignment horizontal="center"/>
    </xf>
    <xf numFmtId="1" fontId="32" fillId="15" borderId="104" xfId="42" applyNumberFormat="1" applyFont="1" applyFill="1" applyBorder="1" applyAlignment="1">
      <alignment horizontal="center"/>
    </xf>
    <xf numFmtId="2" fontId="28" fillId="0" borderId="79" xfId="42" applyNumberFormat="1" applyFont="1" applyBorder="1" applyAlignment="1"/>
    <xf numFmtId="166" fontId="33" fillId="19" borderId="77" xfId="398" applyNumberFormat="1" applyFont="1" applyFill="1" applyBorder="1"/>
    <xf numFmtId="166" fontId="33" fillId="19" borderId="71" xfId="398" applyNumberFormat="1" applyFont="1" applyFill="1" applyBorder="1"/>
    <xf numFmtId="0" fontId="33" fillId="19" borderId="0" xfId="42" applyFont="1" applyFill="1" applyBorder="1" applyAlignment="1">
      <alignment horizontal="left"/>
    </xf>
    <xf numFmtId="166" fontId="33" fillId="19" borderId="76" xfId="42" applyNumberFormat="1" applyFont="1" applyFill="1" applyBorder="1" applyAlignment="1"/>
    <xf numFmtId="166" fontId="33" fillId="19" borderId="75" xfId="42" applyNumberFormat="1" applyFont="1" applyFill="1" applyBorder="1" applyAlignment="1">
      <alignment horizontal="right"/>
    </xf>
    <xf numFmtId="166" fontId="33" fillId="19" borderId="75" xfId="398" applyNumberFormat="1" applyFont="1" applyFill="1" applyBorder="1"/>
    <xf numFmtId="14" fontId="3" fillId="0" borderId="86" xfId="42" applyNumberFormat="1" applyFont="1" applyFill="1" applyBorder="1" applyAlignment="1" applyProtection="1">
      <alignment horizontal="center" vertical="center"/>
    </xf>
    <xf numFmtId="0" fontId="3" fillId="0" borderId="122" xfId="42" applyFont="1" applyBorder="1" applyAlignment="1">
      <alignment horizontal="center"/>
    </xf>
    <xf numFmtId="1" fontId="32" fillId="21" borderId="88" xfId="42" applyNumberFormat="1" applyFont="1" applyFill="1" applyBorder="1" applyAlignment="1">
      <alignment horizontal="center"/>
    </xf>
    <xf numFmtId="1" fontId="32" fillId="21" borderId="89" xfId="42" applyNumberFormat="1" applyFont="1" applyFill="1" applyBorder="1" applyAlignment="1">
      <alignment horizontal="center"/>
    </xf>
    <xf numFmtId="1" fontId="32" fillId="21" borderId="123" xfId="42" applyNumberFormat="1" applyFont="1" applyFill="1" applyBorder="1" applyAlignment="1">
      <alignment horizontal="center"/>
    </xf>
    <xf numFmtId="0" fontId="3" fillId="21" borderId="124" xfId="42" applyFont="1" applyFill="1" applyBorder="1" applyAlignment="1">
      <alignment horizontal="center"/>
    </xf>
    <xf numFmtId="0" fontId="33" fillId="21" borderId="124" xfId="42" applyFont="1" applyFill="1" applyBorder="1"/>
    <xf numFmtId="2" fontId="28" fillId="21" borderId="82" xfId="42" applyNumberFormat="1" applyFont="1" applyFill="1" applyBorder="1" applyAlignment="1"/>
    <xf numFmtId="2" fontId="28" fillId="21" borderId="0" xfId="42" applyNumberFormat="1" applyFont="1" applyFill="1" applyBorder="1" applyAlignment="1"/>
    <xf numFmtId="2" fontId="28" fillId="21" borderId="0" xfId="42" applyNumberFormat="1" applyFont="1" applyFill="1" applyBorder="1" applyAlignment="1">
      <alignment horizontal="right"/>
    </xf>
    <xf numFmtId="2" fontId="28" fillId="21" borderId="125" xfId="42" applyNumberFormat="1" applyFont="1" applyFill="1" applyBorder="1" applyAlignment="1"/>
    <xf numFmtId="2" fontId="28" fillId="21" borderId="126" xfId="42" applyNumberFormat="1" applyFont="1" applyFill="1" applyBorder="1" applyAlignment="1">
      <alignment horizontal="right"/>
    </xf>
    <xf numFmtId="1" fontId="32" fillId="13" borderId="40" xfId="42" applyNumberFormat="1" applyFont="1" applyFill="1" applyBorder="1" applyAlignment="1">
      <alignment horizontal="center"/>
    </xf>
    <xf numFmtId="166" fontId="28" fillId="0" borderId="72" xfId="42" applyNumberFormat="1" applyFont="1" applyBorder="1" applyAlignment="1"/>
    <xf numFmtId="2" fontId="28" fillId="0" borderId="89" xfId="42" applyNumberFormat="1" applyFont="1" applyBorder="1" applyAlignment="1"/>
    <xf numFmtId="2" fontId="32" fillId="20" borderId="76" xfId="42" applyNumberFormat="1" applyFont="1" applyFill="1" applyBorder="1" applyAlignment="1"/>
    <xf numFmtId="2" fontId="67" fillId="19" borderId="75" xfId="398" applyNumberFormat="1" applyFont="1" applyFill="1" applyBorder="1"/>
    <xf numFmtId="1" fontId="32" fillId="13" borderId="53" xfId="42" applyNumberFormat="1" applyFont="1" applyFill="1" applyBorder="1" applyAlignment="1">
      <alignment horizontal="center"/>
    </xf>
    <xf numFmtId="1" fontId="32" fillId="13" borderId="127" xfId="42" applyNumberFormat="1" applyFont="1" applyFill="1" applyBorder="1" applyAlignment="1">
      <alignment horizontal="center"/>
    </xf>
    <xf numFmtId="14" fontId="59" fillId="0" borderId="0" xfId="42" applyNumberFormat="1" applyFont="1" applyFill="1" applyBorder="1" applyAlignment="1" applyProtection="1">
      <alignment horizontal="center" vertical="center"/>
    </xf>
    <xf numFmtId="0" fontId="33" fillId="21" borderId="0" xfId="42" applyFont="1" applyFill="1" applyBorder="1" applyAlignment="1">
      <alignment horizontal="left"/>
    </xf>
    <xf numFmtId="2" fontId="33" fillId="21" borderId="0" xfId="42" applyNumberFormat="1" applyFont="1" applyFill="1" applyBorder="1" applyAlignment="1"/>
    <xf numFmtId="2" fontId="33" fillId="21" borderId="0" xfId="42" applyNumberFormat="1" applyFont="1" applyFill="1" applyBorder="1" applyAlignment="1">
      <alignment horizontal="right"/>
    </xf>
    <xf numFmtId="2" fontId="33" fillId="21" borderId="126" xfId="42" applyNumberFormat="1" applyFont="1" applyFill="1" applyBorder="1" applyAlignment="1">
      <alignment horizontal="right"/>
    </xf>
    <xf numFmtId="0" fontId="33" fillId="0" borderId="0" xfId="42" applyFont="1" applyAlignment="1"/>
    <xf numFmtId="0" fontId="33" fillId="0" borderId="0" xfId="42" applyFont="1" applyAlignment="1">
      <alignment horizontal="center"/>
    </xf>
    <xf numFmtId="0" fontId="67" fillId="0" borderId="0" xfId="42" applyFont="1"/>
    <xf numFmtId="0" fontId="59" fillId="0" borderId="122" xfId="42" applyFont="1" applyBorder="1" applyAlignment="1">
      <alignment horizontal="center"/>
    </xf>
    <xf numFmtId="0" fontId="59" fillId="21" borderId="124" xfId="42" applyFont="1" applyFill="1" applyBorder="1" applyAlignment="1">
      <alignment horizontal="center"/>
    </xf>
    <xf numFmtId="2" fontId="33" fillId="21" borderId="81" xfId="42" applyNumberFormat="1" applyFont="1" applyFill="1" applyBorder="1" applyAlignment="1"/>
    <xf numFmtId="2" fontId="33" fillId="21" borderId="82" xfId="42" applyNumberFormat="1" applyFont="1" applyFill="1" applyBorder="1" applyAlignment="1"/>
    <xf numFmtId="2" fontId="84" fillId="21" borderId="82" xfId="42" applyNumberFormat="1" applyFont="1" applyFill="1" applyBorder="1" applyAlignment="1"/>
    <xf numFmtId="2" fontId="33" fillId="21" borderId="125" xfId="42" applyNumberFormat="1" applyFont="1" applyFill="1" applyBorder="1" applyAlignment="1"/>
    <xf numFmtId="2" fontId="85" fillId="21" borderId="82" xfId="42" applyNumberFormat="1" applyFont="1" applyFill="1" applyBorder="1" applyAlignment="1"/>
    <xf numFmtId="2" fontId="67" fillId="21" borderId="125" xfId="42" applyNumberFormat="1" applyFont="1" applyFill="1" applyBorder="1" applyAlignment="1"/>
    <xf numFmtId="2" fontId="67" fillId="21" borderId="0" xfId="42" applyNumberFormat="1" applyFont="1" applyFill="1" applyBorder="1" applyAlignment="1"/>
    <xf numFmtId="2" fontId="67" fillId="21" borderId="126" xfId="42" applyNumberFormat="1" applyFont="1" applyFill="1" applyBorder="1" applyAlignment="1">
      <alignment horizontal="right"/>
    </xf>
    <xf numFmtId="0" fontId="59" fillId="0" borderId="77" xfId="42" quotePrefix="1" applyFont="1" applyBorder="1" applyAlignment="1">
      <alignment horizontal="center"/>
    </xf>
    <xf numFmtId="14" fontId="59" fillId="0" borderId="76" xfId="42" applyNumberFormat="1" applyFont="1" applyFill="1" applyBorder="1" applyAlignment="1" applyProtection="1">
      <alignment horizontal="center" vertical="center"/>
    </xf>
    <xf numFmtId="166" fontId="33" fillId="19" borderId="74" xfId="42" applyNumberFormat="1" applyFont="1" applyFill="1" applyBorder="1" applyAlignment="1">
      <alignment horizontal="right"/>
    </xf>
    <xf numFmtId="2" fontId="33" fillId="19" borderId="75" xfId="398" applyNumberFormat="1" applyFont="1" applyFill="1" applyBorder="1"/>
    <xf numFmtId="2" fontId="33" fillId="19" borderId="75" xfId="42" applyNumberFormat="1" applyFont="1" applyFill="1" applyBorder="1" applyAlignment="1">
      <alignment horizontal="right"/>
    </xf>
    <xf numFmtId="2" fontId="67" fillId="19" borderId="71" xfId="398" applyNumberFormat="1" applyFont="1" applyFill="1" applyBorder="1"/>
    <xf numFmtId="2" fontId="67" fillId="19" borderId="74" xfId="42" applyNumberFormat="1" applyFont="1" applyFill="1" applyBorder="1" applyAlignment="1">
      <alignment horizontal="right"/>
    </xf>
    <xf numFmtId="2" fontId="28" fillId="1" borderId="30" xfId="42" applyNumberFormat="1" applyFont="1" applyFill="1" applyBorder="1" applyAlignment="1"/>
    <xf numFmtId="2" fontId="28" fillId="1" borderId="0" xfId="42" applyNumberFormat="1" applyFont="1" applyFill="1" applyBorder="1" applyAlignment="1"/>
    <xf numFmtId="1" fontId="32" fillId="13" borderId="17" xfId="42" applyNumberFormat="1" applyFont="1" applyFill="1" applyBorder="1" applyAlignment="1">
      <alignment horizontal="center"/>
    </xf>
    <xf numFmtId="1" fontId="32" fillId="13" borderId="19" xfId="42" applyNumberFormat="1" applyFont="1" applyFill="1" applyBorder="1" applyAlignment="1">
      <alignment horizontal="center"/>
    </xf>
    <xf numFmtId="1" fontId="32" fillId="13" borderId="20" xfId="42" applyNumberFormat="1" applyFont="1" applyFill="1" applyBorder="1" applyAlignment="1">
      <alignment horizontal="center"/>
    </xf>
    <xf numFmtId="14" fontId="3" fillId="0" borderId="98" xfId="42" applyNumberFormat="1" applyFont="1" applyFill="1" applyBorder="1" applyAlignment="1" applyProtection="1">
      <alignment horizontal="center" vertical="center"/>
    </xf>
    <xf numFmtId="0" fontId="3" fillId="0" borderId="99" xfId="42" applyFont="1" applyBorder="1" applyAlignment="1">
      <alignment horizontal="center"/>
    </xf>
    <xf numFmtId="2" fontId="28" fillId="0" borderId="99" xfId="42" applyNumberFormat="1" applyFont="1" applyBorder="1" applyAlignment="1"/>
    <xf numFmtId="2" fontId="32" fillId="0" borderId="99" xfId="42" applyNumberFormat="1" applyFont="1" applyBorder="1" applyAlignment="1"/>
    <xf numFmtId="0" fontId="51" fillId="26" borderId="0" xfId="42" applyFont="1" applyFill="1" applyProtection="1"/>
    <xf numFmtId="0" fontId="86" fillId="26" borderId="0" xfId="42" applyFont="1" applyFill="1" applyProtection="1"/>
    <xf numFmtId="0" fontId="41" fillId="15" borderId="53" xfId="42" applyFont="1" applyFill="1" applyBorder="1" applyAlignment="1" applyProtection="1">
      <alignment horizontal="left"/>
    </xf>
    <xf numFmtId="0" fontId="51" fillId="15" borderId="40" xfId="42" applyFont="1" applyFill="1" applyBorder="1" applyProtection="1"/>
    <xf numFmtId="0" fontId="51" fillId="15" borderId="40" xfId="42" applyFont="1" applyFill="1" applyBorder="1"/>
    <xf numFmtId="0" fontId="51" fillId="15" borderId="127" xfId="42" applyFont="1" applyFill="1" applyBorder="1" applyProtection="1"/>
    <xf numFmtId="0" fontId="44" fillId="12" borderId="36" xfId="42" applyFont="1" applyFill="1" applyBorder="1" applyAlignment="1" applyProtection="1">
      <alignment horizontal="left"/>
    </xf>
    <xf numFmtId="0" fontId="51" fillId="12" borderId="30" xfId="42" applyFont="1" applyFill="1" applyBorder="1" applyProtection="1"/>
    <xf numFmtId="0" fontId="76" fillId="11" borderId="37" xfId="42" applyFont="1" applyFill="1" applyBorder="1" applyAlignment="1" applyProtection="1">
      <alignment horizontal="center"/>
    </xf>
    <xf numFmtId="0" fontId="44" fillId="12" borderId="19" xfId="42" applyFont="1" applyFill="1" applyBorder="1" applyAlignment="1" applyProtection="1">
      <alignment horizontal="left"/>
    </xf>
    <xf numFmtId="0" fontId="51" fillId="12" borderId="17" xfId="42" applyFont="1" applyFill="1" applyBorder="1" applyProtection="1"/>
    <xf numFmtId="14" fontId="76" fillId="11" borderId="20" xfId="42" applyNumberFormat="1" applyFont="1" applyFill="1" applyBorder="1" applyAlignment="1" applyProtection="1">
      <alignment horizontal="center"/>
    </xf>
    <xf numFmtId="0" fontId="76" fillId="11" borderId="109" xfId="42" applyFont="1" applyFill="1" applyBorder="1" applyAlignment="1">
      <alignment horizontal="center"/>
    </xf>
    <xf numFmtId="1" fontId="61" fillId="10" borderId="6" xfId="42" applyNumberFormat="1" applyFont="1" applyFill="1" applyBorder="1" applyAlignment="1">
      <alignment horizontal="right"/>
    </xf>
    <xf numFmtId="0" fontId="61" fillId="10" borderId="10" xfId="42" applyFont="1" applyFill="1" applyBorder="1" applyAlignment="1">
      <alignment horizontal="left"/>
    </xf>
    <xf numFmtId="0" fontId="61" fillId="10" borderId="6" xfId="42" applyFont="1" applyFill="1" applyBorder="1" applyAlignment="1">
      <alignment horizontal="center"/>
    </xf>
    <xf numFmtId="0" fontId="61" fillId="10" borderId="7" xfId="42" applyFont="1" applyFill="1" applyBorder="1" applyAlignment="1">
      <alignment horizontal="center"/>
    </xf>
    <xf numFmtId="0" fontId="61" fillId="10" borderId="8" xfId="42" applyFont="1" applyFill="1" applyBorder="1" applyAlignment="1">
      <alignment horizontal="center"/>
    </xf>
    <xf numFmtId="0" fontId="61" fillId="10" borderId="9" xfId="42" applyFont="1" applyFill="1" applyBorder="1"/>
    <xf numFmtId="0" fontId="3" fillId="0" borderId="0" xfId="42" applyFont="1" applyBorder="1"/>
    <xf numFmtId="0" fontId="33" fillId="21" borderId="124" xfId="42" applyFont="1" applyFill="1" applyBorder="1" applyAlignment="1">
      <alignment horizontal="center"/>
    </xf>
    <xf numFmtId="0" fontId="87" fillId="19" borderId="78" xfId="42" applyFont="1" applyFill="1" applyBorder="1" applyAlignment="1" applyProtection="1">
      <alignment horizontal="left"/>
    </xf>
    <xf numFmtId="0" fontId="88" fillId="19" borderId="72" xfId="42" applyFont="1" applyFill="1" applyBorder="1"/>
    <xf numFmtId="166" fontId="28" fillId="0" borderId="76" xfId="42" applyNumberFormat="1" applyFont="1" applyFill="1" applyBorder="1" applyAlignment="1">
      <alignment horizontal="right"/>
    </xf>
    <xf numFmtId="166" fontId="28" fillId="0" borderId="0" xfId="42" applyNumberFormat="1" applyFont="1" applyFill="1" applyBorder="1" applyAlignment="1">
      <alignment horizontal="right"/>
    </xf>
    <xf numFmtId="166" fontId="28" fillId="0" borderId="71" xfId="42" applyNumberFormat="1" applyFont="1" applyFill="1" applyBorder="1" applyAlignment="1">
      <alignment horizontal="right"/>
    </xf>
    <xf numFmtId="0" fontId="3" fillId="0" borderId="40" xfId="42" applyFont="1" applyBorder="1" applyAlignment="1">
      <alignment horizontal="center"/>
    </xf>
    <xf numFmtId="14" fontId="28" fillId="0" borderId="40" xfId="42" applyNumberFormat="1" applyFont="1" applyBorder="1" applyAlignment="1"/>
    <xf numFmtId="166" fontId="28" fillId="0" borderId="40" xfId="42" applyNumberFormat="1" applyFont="1" applyBorder="1" applyAlignment="1">
      <alignment horizontal="center"/>
    </xf>
    <xf numFmtId="167" fontId="28" fillId="0" borderId="40" xfId="398" applyNumberFormat="1" applyFont="1" applyBorder="1" applyAlignment="1"/>
    <xf numFmtId="166" fontId="28" fillId="13" borderId="0" xfId="398" applyNumberFormat="1" applyFont="1" applyFill="1" applyBorder="1" applyAlignment="1"/>
    <xf numFmtId="166" fontId="28" fillId="0" borderId="30" xfId="398" applyNumberFormat="1" applyFont="1" applyBorder="1" applyAlignment="1"/>
    <xf numFmtId="14" fontId="28" fillId="0" borderId="17" xfId="42" applyNumberFormat="1" applyFont="1" applyBorder="1" applyAlignment="1">
      <alignment horizontal="center"/>
    </xf>
    <xf numFmtId="14" fontId="28" fillId="13" borderId="0" xfId="42" applyNumberFormat="1" applyFont="1" applyFill="1" applyBorder="1" applyAlignment="1">
      <alignment horizontal="center"/>
    </xf>
    <xf numFmtId="14" fontId="28" fillId="0" borderId="30" xfId="42" applyNumberFormat="1" applyFont="1" applyBorder="1" applyAlignment="1">
      <alignment horizontal="center"/>
    </xf>
    <xf numFmtId="0" fontId="0" fillId="12" borderId="21" xfId="42" applyFont="1" applyFill="1" applyBorder="1"/>
    <xf numFmtId="0" fontId="0" fillId="12" borderId="2" xfId="42" applyFont="1" applyFill="1" applyBorder="1"/>
    <xf numFmtId="0" fontId="34" fillId="12" borderId="18" xfId="42" applyFont="1" applyFill="1" applyBorder="1" applyProtection="1"/>
    <xf numFmtId="0" fontId="36" fillId="12" borderId="0" xfId="42" applyFont="1" applyFill="1" applyBorder="1" applyProtection="1"/>
    <xf numFmtId="166" fontId="28" fillId="12" borderId="27" xfId="42" applyNumberFormat="1" applyFont="1" applyFill="1" applyBorder="1" applyAlignment="1" applyProtection="1">
      <alignment horizontal="right"/>
    </xf>
    <xf numFmtId="166" fontId="28" fillId="12" borderId="28" xfId="42" applyNumberFormat="1" applyFont="1" applyFill="1" applyBorder="1" applyAlignment="1" applyProtection="1">
      <alignment horizontal="right"/>
    </xf>
    <xf numFmtId="0" fontId="34" fillId="0" borderId="19" xfId="42" applyFont="1" applyBorder="1" applyProtection="1"/>
    <xf numFmtId="0" fontId="34" fillId="0" borderId="2" xfId="42" applyFont="1" applyBorder="1" applyProtection="1"/>
    <xf numFmtId="0" fontId="28" fillId="0" borderId="2" xfId="42" applyFont="1" applyBorder="1"/>
    <xf numFmtId="0" fontId="34" fillId="12" borderId="2" xfId="42" applyFont="1" applyFill="1" applyBorder="1" applyProtection="1"/>
    <xf numFmtId="0" fontId="34" fillId="0" borderId="36" xfId="42" applyFont="1" applyBorder="1" applyProtection="1"/>
    <xf numFmtId="1" fontId="40" fillId="0" borderId="8" xfId="42" applyNumberFormat="1" applyFont="1" applyBorder="1" applyAlignment="1" applyProtection="1">
      <alignment horizontal="center"/>
    </xf>
    <xf numFmtId="0" fontId="34" fillId="0" borderId="20" xfId="42" applyFont="1" applyBorder="1" applyProtection="1"/>
    <xf numFmtId="0" fontId="34" fillId="0" borderId="27" xfId="42" applyFont="1" applyBorder="1" applyProtection="1"/>
    <xf numFmtId="0" fontId="34" fillId="0" borderId="31" xfId="42" applyFont="1" applyBorder="1" applyProtection="1"/>
    <xf numFmtId="0" fontId="40" fillId="0" borderId="18" xfId="42" applyFont="1" applyFill="1" applyBorder="1" applyAlignment="1" applyProtection="1">
      <alignment horizontal="left"/>
    </xf>
    <xf numFmtId="0" fontId="40" fillId="0" borderId="128" xfId="42" applyFont="1" applyBorder="1" applyAlignment="1" applyProtection="1">
      <alignment horizontal="left"/>
    </xf>
    <xf numFmtId="0" fontId="43" fillId="0" borderId="129" xfId="42" applyFont="1" applyFill="1" applyBorder="1" applyAlignment="1" applyProtection="1">
      <alignment horizontal="left"/>
    </xf>
    <xf numFmtId="0" fontId="0" fillId="0" borderId="57" xfId="42" applyFont="1" applyBorder="1"/>
    <xf numFmtId="0" fontId="0" fillId="0" borderId="57" xfId="42" applyFont="1" applyFill="1" applyBorder="1"/>
    <xf numFmtId="0" fontId="0" fillId="0" borderId="130" xfId="42" applyFont="1" applyBorder="1"/>
    <xf numFmtId="168" fontId="28" fillId="0" borderId="30" xfId="42" applyNumberFormat="1" applyFont="1" applyBorder="1"/>
    <xf numFmtId="1" fontId="28" fillId="0" borderId="80" xfId="42" applyNumberFormat="1" applyFont="1" applyFill="1" applyBorder="1" applyAlignment="1"/>
    <xf numFmtId="1" fontId="28" fillId="0" borderId="92" xfId="42" applyNumberFormat="1" applyFont="1" applyFill="1" applyBorder="1" applyAlignment="1"/>
    <xf numFmtId="1" fontId="28" fillId="0" borderId="80" xfId="42" applyNumberFormat="1" applyFont="1" applyFill="1" applyBorder="1"/>
    <xf numFmtId="166" fontId="28" fillId="0" borderId="80" xfId="42" applyNumberFormat="1" applyFont="1" applyFill="1" applyBorder="1"/>
    <xf numFmtId="166" fontId="28" fillId="0" borderId="0" xfId="42" applyNumberFormat="1" applyFont="1" applyFill="1" applyBorder="1"/>
    <xf numFmtId="167" fontId="28" fillId="0" borderId="17" xfId="398" applyNumberFormat="1" applyFont="1" applyFill="1" applyBorder="1"/>
    <xf numFmtId="166" fontId="28" fillId="0" borderId="0" xfId="42" applyNumberFormat="1" applyFont="1"/>
    <xf numFmtId="2" fontId="32" fillId="0" borderId="0" xfId="42" applyNumberFormat="1" applyFont="1"/>
    <xf numFmtId="0" fontId="0" fillId="0" borderId="129" xfId="42" applyFont="1" applyBorder="1"/>
    <xf numFmtId="0" fontId="0" fillId="0" borderId="130" xfId="42" applyFont="1" applyFill="1" applyBorder="1"/>
    <xf numFmtId="0" fontId="1" fillId="12" borderId="19" xfId="42" applyFont="1" applyFill="1" applyBorder="1"/>
    <xf numFmtId="0" fontId="28" fillId="12" borderId="20" xfId="42" applyFont="1" applyFill="1" applyBorder="1"/>
    <xf numFmtId="0" fontId="92" fillId="12" borderId="2" xfId="42" applyFont="1" applyFill="1" applyBorder="1"/>
    <xf numFmtId="0" fontId="28" fillId="12" borderId="21" xfId="42" applyFont="1" applyFill="1" applyBorder="1"/>
    <xf numFmtId="0" fontId="91" fillId="12" borderId="2" xfId="42" applyFont="1" applyFill="1" applyBorder="1" applyProtection="1"/>
    <xf numFmtId="0" fontId="0" fillId="12" borderId="36" xfId="42" applyFont="1" applyFill="1" applyBorder="1"/>
    <xf numFmtId="0" fontId="28" fillId="12" borderId="37" xfId="42" applyFont="1" applyFill="1" applyBorder="1"/>
    <xf numFmtId="0" fontId="32" fillId="0" borderId="30" xfId="42" applyFont="1" applyFill="1" applyBorder="1" applyProtection="1"/>
    <xf numFmtId="0" fontId="40" fillId="0" borderId="30" xfId="42" applyFont="1" applyFill="1" applyBorder="1" applyProtection="1"/>
    <xf numFmtId="0" fontId="40" fillId="0" borderId="3" xfId="42" applyFont="1" applyFill="1" applyBorder="1" applyProtection="1"/>
    <xf numFmtId="0" fontId="1" fillId="0" borderId="25" xfId="42" applyFont="1" applyBorder="1"/>
    <xf numFmtId="0" fontId="92" fillId="0" borderId="27" xfId="42" applyFont="1" applyBorder="1"/>
    <xf numFmtId="0" fontId="92" fillId="0" borderId="31" xfId="42" applyFont="1" applyBorder="1"/>
    <xf numFmtId="166" fontId="34" fillId="0" borderId="49" xfId="42" applyNumberFormat="1" applyFont="1" applyBorder="1" applyProtection="1"/>
    <xf numFmtId="166" fontId="34" fillId="0" borderId="50" xfId="42" applyNumberFormat="1" applyFont="1" applyBorder="1" applyProtection="1"/>
    <xf numFmtId="0" fontId="40" fillId="0" borderId="37" xfId="42" applyFont="1" applyFill="1" applyBorder="1" applyProtection="1"/>
    <xf numFmtId="0" fontId="50" fillId="0" borderId="37" xfId="42" applyFont="1" applyFill="1" applyBorder="1" applyProtection="1"/>
    <xf numFmtId="0" fontId="50" fillId="0" borderId="52" xfId="42" applyFont="1" applyFill="1" applyBorder="1" applyProtection="1"/>
    <xf numFmtId="0" fontId="40" fillId="0" borderId="6" xfId="42" applyFont="1" applyFill="1" applyBorder="1" applyProtection="1"/>
    <xf numFmtId="166" fontId="40" fillId="0" borderId="8" xfId="42" applyNumberFormat="1" applyFont="1" applyFill="1" applyBorder="1" applyProtection="1"/>
    <xf numFmtId="166" fontId="40" fillId="0" borderId="46" xfId="42" applyNumberFormat="1" applyFont="1" applyFill="1" applyBorder="1" applyProtection="1"/>
    <xf numFmtId="166" fontId="40" fillId="0" borderId="38" xfId="42" applyNumberFormat="1" applyFont="1" applyFill="1" applyBorder="1" applyProtection="1"/>
    <xf numFmtId="0" fontId="40" fillId="0" borderId="42" xfId="42" applyFont="1" applyFill="1" applyBorder="1" applyAlignment="1" applyProtection="1">
      <alignment horizontal="center"/>
    </xf>
    <xf numFmtId="166" fontId="40" fillId="0" borderId="42" xfId="42" applyNumberFormat="1" applyFont="1" applyFill="1" applyBorder="1" applyProtection="1"/>
    <xf numFmtId="168" fontId="0" fillId="13" borderId="0" xfId="42" applyNumberFormat="1" applyFont="1" applyFill="1"/>
    <xf numFmtId="166" fontId="0" fillId="13" borderId="0" xfId="42" applyNumberFormat="1" applyFont="1" applyFill="1"/>
    <xf numFmtId="0" fontId="30" fillId="0" borderId="0" xfId="42" applyFont="1" applyBorder="1" applyAlignment="1" applyProtection="1">
      <alignment horizontal="center"/>
    </xf>
    <xf numFmtId="0" fontId="34" fillId="0" borderId="0" xfId="42" applyFont="1" applyBorder="1" applyAlignment="1" applyProtection="1">
      <alignment horizontal="center"/>
    </xf>
    <xf numFmtId="3" fontId="40" fillId="0" borderId="20" xfId="42" applyNumberFormat="1" applyFont="1" applyFill="1" applyBorder="1" applyAlignment="1" applyProtection="1">
      <alignment horizontal="center"/>
    </xf>
    <xf numFmtId="0" fontId="34" fillId="0" borderId="3" xfId="42" applyFont="1" applyFill="1" applyBorder="1" applyAlignment="1" applyProtection="1">
      <alignment horizontal="center"/>
    </xf>
    <xf numFmtId="0" fontId="40" fillId="0" borderId="129" xfId="42" applyFont="1" applyFill="1" applyBorder="1" applyProtection="1"/>
    <xf numFmtId="0" fontId="34" fillId="0" borderId="57" xfId="42" applyFont="1" applyFill="1" applyBorder="1" applyAlignment="1" applyProtection="1">
      <alignment horizontal="center"/>
    </xf>
    <xf numFmtId="166" fontId="34" fillId="0" borderId="57" xfId="42" applyNumberFormat="1" applyFont="1" applyFill="1" applyBorder="1" applyAlignment="1" applyProtection="1">
      <alignment horizontal="right"/>
    </xf>
    <xf numFmtId="0" fontId="40" fillId="0" borderId="129" xfId="42" applyFont="1" applyBorder="1" applyProtection="1"/>
    <xf numFmtId="0" fontId="34" fillId="0" borderId="57" xfId="42" applyFont="1" applyBorder="1" applyProtection="1"/>
    <xf numFmtId="0" fontId="39" fillId="0" borderId="57" xfId="42" applyFont="1" applyBorder="1" applyAlignment="1" applyProtection="1">
      <alignment horizontal="center"/>
    </xf>
    <xf numFmtId="1" fontId="40" fillId="0" borderId="57" xfId="42" applyNumberFormat="1" applyFont="1" applyBorder="1" applyAlignment="1" applyProtection="1">
      <alignment horizontal="center"/>
    </xf>
    <xf numFmtId="0" fontId="28" fillId="13" borderId="0" xfId="42" applyFont="1" applyFill="1" applyBorder="1" applyAlignment="1"/>
    <xf numFmtId="0" fontId="1" fillId="12" borderId="2" xfId="42" applyFont="1" applyFill="1" applyBorder="1"/>
    <xf numFmtId="0" fontId="92" fillId="12" borderId="21" xfId="42" applyFont="1" applyFill="1" applyBorder="1"/>
    <xf numFmtId="0" fontId="92" fillId="12" borderId="36" xfId="42" applyFont="1" applyFill="1" applyBorder="1"/>
    <xf numFmtId="0" fontId="34" fillId="0" borderId="21" xfId="42" quotePrefix="1" applyFont="1" applyBorder="1" applyAlignment="1" applyProtection="1">
      <alignment horizontal="left"/>
    </xf>
    <xf numFmtId="0" fontId="34" fillId="0" borderId="20" xfId="42" quotePrefix="1" applyFont="1" applyBorder="1" applyAlignment="1" applyProtection="1">
      <alignment horizontal="left"/>
    </xf>
    <xf numFmtId="0" fontId="50" fillId="0" borderId="37" xfId="42" applyFont="1" applyBorder="1" applyProtection="1"/>
    <xf numFmtId="0" fontId="34" fillId="0" borderId="21" xfId="42" applyFont="1" applyBorder="1" applyAlignment="1" applyProtection="1">
      <alignment horizontal="left"/>
    </xf>
    <xf numFmtId="0" fontId="43" fillId="0" borderId="21" xfId="42" applyFont="1" applyBorder="1" applyAlignment="1" applyProtection="1">
      <alignment horizontal="left"/>
    </xf>
    <xf numFmtId="0" fontId="50" fillId="0" borderId="52" xfId="42" applyFont="1" applyBorder="1" applyProtection="1"/>
    <xf numFmtId="0" fontId="38" fillId="0" borderId="41" xfId="42" applyFont="1" applyBorder="1" applyAlignment="1" applyProtection="1">
      <alignment horizontal="center" wrapText="1"/>
    </xf>
    <xf numFmtId="166" fontId="40" fillId="0" borderId="21" xfId="42" quotePrefix="1" applyNumberFormat="1" applyFont="1" applyBorder="1" applyAlignment="1" applyProtection="1">
      <alignment horizontal="center"/>
    </xf>
    <xf numFmtId="166" fontId="40" fillId="0" borderId="46" xfId="42" quotePrefix="1" applyNumberFormat="1" applyFont="1" applyBorder="1" applyAlignment="1" applyProtection="1">
      <alignment horizontal="center"/>
    </xf>
    <xf numFmtId="0" fontId="38" fillId="0" borderId="127" xfId="42" applyFont="1" applyBorder="1" applyAlignment="1" applyProtection="1">
      <alignment horizontal="center" wrapText="1"/>
    </xf>
    <xf numFmtId="0" fontId="38" fillId="0" borderId="43" xfId="42" applyFont="1" applyBorder="1" applyAlignment="1" applyProtection="1">
      <alignment horizontal="center" wrapText="1"/>
    </xf>
    <xf numFmtId="0" fontId="38" fillId="0" borderId="41" xfId="42" quotePrefix="1" applyFont="1" applyBorder="1" applyAlignment="1" applyProtection="1">
      <alignment horizontal="center"/>
    </xf>
    <xf numFmtId="0" fontId="38" fillId="0" borderId="43" xfId="42" quotePrefix="1" applyFont="1" applyBorder="1" applyAlignment="1" applyProtection="1">
      <alignment horizontal="center"/>
    </xf>
    <xf numFmtId="0" fontId="38" fillId="0" borderId="0" xfId="42" quotePrefix="1" applyFont="1" applyBorder="1" applyAlignment="1" applyProtection="1">
      <alignment horizontal="center"/>
    </xf>
    <xf numFmtId="0" fontId="38" fillId="0" borderId="0" xfId="42" applyFont="1" applyBorder="1" applyAlignment="1" applyProtection="1">
      <alignment horizontal="center"/>
    </xf>
    <xf numFmtId="0" fontId="38" fillId="0" borderId="2" xfId="42" applyFont="1" applyBorder="1" applyAlignment="1" applyProtection="1">
      <alignment horizontal="center"/>
    </xf>
    <xf numFmtId="0" fontId="38" fillId="0" borderId="21" xfId="42" quotePrefix="1" applyFont="1" applyBorder="1" applyAlignment="1" applyProtection="1">
      <alignment horizontal="center"/>
    </xf>
    <xf numFmtId="0" fontId="40" fillId="0" borderId="0" xfId="42" applyFont="1" applyBorder="1" applyAlignment="1" applyProtection="1">
      <alignment horizontal="right"/>
    </xf>
    <xf numFmtId="166" fontId="40" fillId="0" borderId="21" xfId="42" applyNumberFormat="1" applyFont="1" applyBorder="1" applyAlignment="1" applyProtection="1">
      <alignment horizontal="right"/>
    </xf>
    <xf numFmtId="0" fontId="34" fillId="0" borderId="17" xfId="42" applyFont="1" applyBorder="1" applyAlignment="1" applyProtection="1">
      <alignment horizontal="right"/>
    </xf>
    <xf numFmtId="0" fontId="34" fillId="0" borderId="19" xfId="42" applyFont="1" applyBorder="1" applyAlignment="1" applyProtection="1">
      <alignment horizontal="right"/>
    </xf>
    <xf numFmtId="0" fontId="43" fillId="0" borderId="20" xfId="42" applyFont="1" applyBorder="1" applyAlignment="1" applyProtection="1">
      <alignment horizontal="right"/>
    </xf>
    <xf numFmtId="0" fontId="34" fillId="0" borderId="20" xfId="42" applyFont="1" applyBorder="1" applyAlignment="1" applyProtection="1">
      <alignment horizontal="right"/>
    </xf>
    <xf numFmtId="0" fontId="34" fillId="0" borderId="30" xfId="42" applyFont="1" applyBorder="1" applyAlignment="1" applyProtection="1">
      <alignment horizontal="right"/>
    </xf>
    <xf numFmtId="166" fontId="34" fillId="0" borderId="36" xfId="42" applyNumberFormat="1" applyFont="1" applyBorder="1" applyAlignment="1" applyProtection="1">
      <alignment horizontal="right"/>
    </xf>
    <xf numFmtId="166" fontId="34" fillId="0" borderId="37" xfId="42" applyNumberFormat="1" applyFont="1" applyBorder="1" applyAlignment="1" applyProtection="1">
      <alignment horizontal="right"/>
    </xf>
    <xf numFmtId="166" fontId="34" fillId="0" borderId="30" xfId="42" applyNumberFormat="1" applyFont="1" applyBorder="1" applyAlignment="1" applyProtection="1">
      <alignment horizontal="right"/>
    </xf>
    <xf numFmtId="166" fontId="34" fillId="0" borderId="20" xfId="42" applyNumberFormat="1" applyFont="1" applyBorder="1" applyAlignment="1" applyProtection="1">
      <alignment horizontal="right"/>
    </xf>
    <xf numFmtId="0" fontId="38" fillId="0" borderId="27" xfId="42" quotePrefix="1" applyFont="1" applyBorder="1" applyAlignment="1" applyProtection="1">
      <alignment horizontal="center"/>
    </xf>
    <xf numFmtId="0" fontId="38" fillId="0" borderId="46" xfId="42" quotePrefix="1" applyFont="1" applyBorder="1" applyAlignment="1" applyProtection="1">
      <alignment horizontal="center"/>
    </xf>
    <xf numFmtId="0" fontId="43" fillId="0" borderId="45" xfId="42" applyFont="1" applyBorder="1" applyAlignment="1" applyProtection="1">
      <alignment horizontal="right"/>
    </xf>
    <xf numFmtId="0" fontId="34" fillId="0" borderId="29" xfId="42" applyFont="1" applyBorder="1" applyAlignment="1" applyProtection="1">
      <alignment horizontal="left"/>
    </xf>
    <xf numFmtId="166" fontId="34" fillId="0" borderId="47" xfId="42" applyNumberFormat="1" applyFont="1" applyBorder="1" applyAlignment="1" applyProtection="1">
      <alignment horizontal="right"/>
    </xf>
    <xf numFmtId="166" fontId="40" fillId="0" borderId="46" xfId="42" applyNumberFormat="1" applyFont="1" applyBorder="1" applyAlignment="1" applyProtection="1">
      <alignment horizontal="right"/>
    </xf>
    <xf numFmtId="166" fontId="34" fillId="0" borderId="45" xfId="42" applyNumberFormat="1" applyFont="1" applyBorder="1" applyAlignment="1" applyProtection="1">
      <alignment horizontal="right"/>
    </xf>
    <xf numFmtId="0" fontId="40" fillId="0" borderId="48" xfId="42" applyFont="1" applyBorder="1" applyAlignment="1" applyProtection="1">
      <alignment horizontal="right"/>
    </xf>
    <xf numFmtId="166" fontId="40" fillId="0" borderId="48" xfId="42" applyNumberFormat="1" applyFont="1" applyBorder="1" applyAlignment="1" applyProtection="1">
      <alignment horizontal="right"/>
    </xf>
    <xf numFmtId="166" fontId="40" fillId="0" borderId="131" xfId="42" applyNumberFormat="1" applyFont="1" applyBorder="1" applyAlignment="1" applyProtection="1">
      <alignment horizontal="right"/>
    </xf>
    <xf numFmtId="166" fontId="40" fillId="0" borderId="132" xfId="42" applyNumberFormat="1" applyFont="1" applyBorder="1" applyAlignment="1" applyProtection="1">
      <alignment horizontal="right"/>
    </xf>
    <xf numFmtId="166" fontId="40" fillId="0" borderId="133" xfId="42" applyNumberFormat="1" applyFont="1" applyBorder="1" applyAlignment="1" applyProtection="1">
      <alignment horizontal="right"/>
    </xf>
    <xf numFmtId="167" fontId="0" fillId="0" borderId="27" xfId="398" applyNumberFormat="1" applyFont="1" applyBorder="1" applyAlignment="1">
      <alignment horizontal="center"/>
    </xf>
    <xf numFmtId="167" fontId="0" fillId="0" borderId="31" xfId="398" applyNumberFormat="1" applyFont="1" applyBorder="1" applyAlignment="1">
      <alignment horizontal="center"/>
    </xf>
    <xf numFmtId="0" fontId="0" fillId="0" borderId="25" xfId="42" applyFont="1" applyBorder="1" applyAlignment="1">
      <alignment horizontal="center"/>
    </xf>
    <xf numFmtId="0" fontId="0" fillId="0" borderId="49" xfId="42" applyFont="1" applyBorder="1" applyAlignment="1">
      <alignment horizontal="center"/>
    </xf>
    <xf numFmtId="0" fontId="40" fillId="0" borderId="24" xfId="42" applyFont="1" applyBorder="1" applyAlignment="1" applyProtection="1">
      <alignment horizontal="left"/>
    </xf>
    <xf numFmtId="0" fontId="28" fillId="19" borderId="0" xfId="42" applyFont="1" applyFill="1" applyBorder="1"/>
    <xf numFmtId="0" fontId="34" fillId="0" borderId="46" xfId="42" applyFont="1" applyBorder="1" applyProtection="1"/>
    <xf numFmtId="0" fontId="40" fillId="0" borderId="3" xfId="42" quotePrefix="1" applyFont="1" applyBorder="1" applyAlignment="1" applyProtection="1">
      <alignment horizontal="left"/>
    </xf>
    <xf numFmtId="166" fontId="32" fillId="21" borderId="80" xfId="42" applyNumberFormat="1" applyFont="1" applyFill="1" applyBorder="1" applyAlignment="1"/>
    <xf numFmtId="0" fontId="93" fillId="0" borderId="0" xfId="42" applyFont="1"/>
    <xf numFmtId="0" fontId="93" fillId="0" borderId="0" xfId="42" applyFont="1" applyAlignment="1"/>
    <xf numFmtId="0" fontId="94" fillId="0" borderId="0" xfId="42" applyFont="1" applyAlignment="1">
      <alignment horizontal="center"/>
    </xf>
    <xf numFmtId="0" fontId="93" fillId="11" borderId="0" xfId="42" applyFont="1" applyFill="1"/>
    <xf numFmtId="0" fontId="93" fillId="31" borderId="0" xfId="42" applyFont="1" applyFill="1"/>
    <xf numFmtId="0" fontId="93" fillId="15" borderId="78" xfId="42" applyFont="1" applyFill="1" applyBorder="1"/>
    <xf numFmtId="0" fontId="93" fillId="20" borderId="78" xfId="42" applyFont="1" applyFill="1" applyBorder="1" applyAlignment="1">
      <alignment horizontal="center"/>
    </xf>
    <xf numFmtId="0" fontId="93" fillId="21" borderId="88" xfId="42" applyFont="1" applyFill="1" applyBorder="1"/>
    <xf numFmtId="0" fontId="93" fillId="13" borderId="53" xfId="42" applyFont="1" applyFill="1" applyBorder="1"/>
    <xf numFmtId="0" fontId="94" fillId="0" borderId="0" xfId="42" applyFont="1"/>
    <xf numFmtId="0" fontId="94" fillId="0" borderId="0" xfId="42" applyFont="1" applyAlignment="1"/>
    <xf numFmtId="0" fontId="93" fillId="0" borderId="0" xfId="42" quotePrefix="1" applyFont="1" applyAlignment="1"/>
    <xf numFmtId="0" fontId="93" fillId="0" borderId="0" xfId="42" applyFont="1" applyAlignment="1">
      <alignment wrapText="1"/>
    </xf>
    <xf numFmtId="0" fontId="93" fillId="13" borderId="7" xfId="42" applyFont="1" applyFill="1" applyBorder="1"/>
    <xf numFmtId="0" fontId="93" fillId="13" borderId="6" xfId="42" applyFont="1" applyFill="1" applyBorder="1"/>
    <xf numFmtId="0" fontId="93" fillId="13" borderId="6" xfId="42" applyFont="1" applyFill="1" applyBorder="1" applyAlignment="1"/>
    <xf numFmtId="0" fontId="93" fillId="13" borderId="8" xfId="42" applyFont="1" applyFill="1" applyBorder="1"/>
    <xf numFmtId="0" fontId="93" fillId="13" borderId="18" xfId="42" applyFont="1" applyFill="1" applyBorder="1"/>
    <xf numFmtId="0" fontId="93" fillId="11" borderId="0" xfId="42" applyFont="1" applyFill="1" applyBorder="1" applyAlignment="1"/>
    <xf numFmtId="0" fontId="93" fillId="11" borderId="0" xfId="42" applyFont="1" applyFill="1" applyAlignment="1"/>
    <xf numFmtId="0" fontId="93" fillId="11" borderId="0" xfId="42" applyFont="1" applyFill="1" applyBorder="1"/>
    <xf numFmtId="0" fontId="93" fillId="13" borderId="46" xfId="42" applyFont="1" applyFill="1" applyBorder="1"/>
    <xf numFmtId="0" fontId="93" fillId="13" borderId="0" xfId="42" applyFont="1" applyFill="1" applyBorder="1"/>
    <xf numFmtId="0" fontId="93" fillId="13" borderId="0" xfId="42" applyFont="1" applyFill="1" applyBorder="1" applyAlignment="1"/>
    <xf numFmtId="0" fontId="93" fillId="13" borderId="0" xfId="42" applyFont="1" applyFill="1"/>
    <xf numFmtId="0" fontId="93" fillId="13" borderId="0" xfId="42" applyFont="1" applyFill="1" applyAlignment="1"/>
    <xf numFmtId="0" fontId="93" fillId="13" borderId="33" xfId="42" applyFont="1" applyFill="1" applyBorder="1"/>
    <xf numFmtId="0" fontId="99" fillId="13" borderId="3" xfId="42" applyFont="1" applyFill="1" applyBorder="1"/>
    <xf numFmtId="0" fontId="93" fillId="13" borderId="3" xfId="42" applyFont="1" applyFill="1" applyBorder="1" applyAlignment="1"/>
    <xf numFmtId="0" fontId="93" fillId="13" borderId="3" xfId="42" applyFont="1" applyFill="1" applyBorder="1"/>
    <xf numFmtId="0" fontId="93" fillId="13" borderId="59" xfId="42" applyFont="1" applyFill="1" applyBorder="1"/>
    <xf numFmtId="0" fontId="93" fillId="15" borderId="72" xfId="42" applyFont="1" applyFill="1" applyBorder="1"/>
    <xf numFmtId="0" fontId="93" fillId="0" borderId="0" xfId="42" applyFont="1" applyBorder="1" applyAlignment="1"/>
    <xf numFmtId="0" fontId="93" fillId="21" borderId="89" xfId="42" applyFont="1" applyFill="1" applyBorder="1"/>
    <xf numFmtId="0" fontId="93" fillId="13" borderId="40" xfId="42" applyFont="1" applyFill="1" applyBorder="1"/>
    <xf numFmtId="0" fontId="99" fillId="0" borderId="0" xfId="42" applyFont="1" applyAlignment="1"/>
    <xf numFmtId="0" fontId="97" fillId="0" borderId="0" xfId="42" applyFont="1" applyAlignment="1"/>
    <xf numFmtId="0" fontId="95" fillId="0" borderId="0" xfId="42" applyFont="1"/>
    <xf numFmtId="0" fontId="99" fillId="0" borderId="0" xfId="42" applyFont="1"/>
    <xf numFmtId="0" fontId="93" fillId="0" borderId="0" xfId="42" quotePrefix="1" applyFont="1"/>
    <xf numFmtId="0" fontId="93" fillId="0" borderId="0" xfId="42" applyFont="1" applyAlignment="1">
      <alignment horizontal="center"/>
    </xf>
    <xf numFmtId="0" fontId="101" fillId="0" borderId="0" xfId="42" applyFont="1"/>
    <xf numFmtId="0" fontId="102" fillId="16" borderId="0" xfId="42" applyFont="1" applyFill="1"/>
    <xf numFmtId="0" fontId="102" fillId="16" borderId="0" xfId="42" applyFont="1" applyFill="1" applyAlignment="1"/>
    <xf numFmtId="0" fontId="103" fillId="16" borderId="0" xfId="42" applyFont="1" applyFill="1"/>
    <xf numFmtId="0" fontId="104" fillId="16" borderId="0" xfId="42" applyFont="1" applyFill="1"/>
    <xf numFmtId="0" fontId="79" fillId="16" borderId="0" xfId="42" applyFont="1" applyFill="1" applyAlignment="1"/>
    <xf numFmtId="0" fontId="102" fillId="16" borderId="0" xfId="42" applyFont="1" applyFill="1" applyAlignment="1">
      <alignment vertical="center"/>
    </xf>
    <xf numFmtId="0" fontId="93" fillId="0" borderId="0" xfId="42" applyFont="1" applyAlignment="1">
      <alignment vertical="center"/>
    </xf>
    <xf numFmtId="0" fontId="3" fillId="0" borderId="17" xfId="42" applyFont="1" applyBorder="1" applyAlignment="1">
      <alignment horizontal="right" vertical="center"/>
    </xf>
    <xf numFmtId="14" fontId="28" fillId="0" borderId="17" xfId="42" applyNumberFormat="1" applyFont="1" applyFill="1" applyBorder="1" applyAlignment="1">
      <alignment vertical="center"/>
    </xf>
    <xf numFmtId="0" fontId="28" fillId="0" borderId="17" xfId="42" applyFont="1" applyBorder="1" applyAlignment="1">
      <alignment horizontal="center" vertical="center" wrapText="1"/>
    </xf>
    <xf numFmtId="166" fontId="28" fillId="0" borderId="17" xfId="42" applyNumberFormat="1" applyFont="1" applyBorder="1" applyAlignment="1">
      <alignment vertical="center"/>
    </xf>
    <xf numFmtId="0" fontId="66" fillId="16" borderId="0" xfId="42" applyFont="1" applyFill="1" applyAlignment="1">
      <alignment vertical="center"/>
    </xf>
    <xf numFmtId="0" fontId="96" fillId="19" borderId="53" xfId="42" applyFont="1" applyFill="1" applyBorder="1"/>
    <xf numFmtId="0" fontId="93" fillId="19" borderId="40" xfId="42" applyFont="1" applyFill="1" applyBorder="1" applyAlignment="1"/>
    <xf numFmtId="0" fontId="93" fillId="19" borderId="40" xfId="42" applyFont="1" applyFill="1" applyBorder="1"/>
    <xf numFmtId="0" fontId="93" fillId="19" borderId="127" xfId="42" applyFont="1" applyFill="1" applyBorder="1"/>
    <xf numFmtId="0" fontId="94" fillId="15" borderId="53" xfId="42" applyFont="1" applyFill="1" applyBorder="1"/>
    <xf numFmtId="0" fontId="93" fillId="15" borderId="40" xfId="42" applyFont="1" applyFill="1" applyBorder="1"/>
    <xf numFmtId="0" fontId="93" fillId="15" borderId="40" xfId="42" applyFont="1" applyFill="1" applyBorder="1" applyAlignment="1"/>
    <xf numFmtId="0" fontId="93" fillId="15" borderId="127" xfId="42" applyFont="1" applyFill="1" applyBorder="1"/>
    <xf numFmtId="2" fontId="32" fillId="31" borderId="72" xfId="42" applyNumberFormat="1" applyFont="1" applyFill="1" applyBorder="1" applyAlignment="1" applyProtection="1">
      <protection locked="0"/>
    </xf>
    <xf numFmtId="0" fontId="59" fillId="0" borderId="0" xfId="42" applyFont="1" applyBorder="1" applyAlignment="1">
      <alignment horizontal="center"/>
    </xf>
    <xf numFmtId="1" fontId="33" fillId="19" borderId="0" xfId="42" applyNumberFormat="1" applyFont="1" applyFill="1" applyBorder="1" applyAlignment="1">
      <alignment horizontal="center"/>
    </xf>
    <xf numFmtId="0" fontId="58" fillId="0" borderId="68" xfId="42" applyFont="1" applyBorder="1" applyAlignment="1">
      <alignment horizontal="center"/>
    </xf>
    <xf numFmtId="14" fontId="3" fillId="0" borderId="122" xfId="42" applyNumberFormat="1" applyFont="1" applyFill="1" applyBorder="1" applyAlignment="1" applyProtection="1">
      <alignment horizontal="center" vertical="center"/>
    </xf>
    <xf numFmtId="0" fontId="3" fillId="0" borderId="124" xfId="42" applyFont="1" applyBorder="1" applyAlignment="1">
      <alignment horizontal="center"/>
    </xf>
    <xf numFmtId="0" fontId="28" fillId="0" borderId="124" xfId="42" applyFont="1" applyBorder="1"/>
    <xf numFmtId="166" fontId="28" fillId="0" borderId="124" xfId="42" applyNumberFormat="1" applyFont="1" applyBorder="1" applyAlignment="1">
      <alignment horizontal="center"/>
    </xf>
    <xf numFmtId="0" fontId="3" fillId="0" borderId="87" xfId="42" applyFont="1" applyBorder="1" applyAlignment="1">
      <alignment horizontal="center"/>
    </xf>
    <xf numFmtId="0" fontId="28" fillId="0" borderId="87" xfId="42" applyFont="1" applyBorder="1"/>
    <xf numFmtId="166" fontId="28" fillId="0" borderId="87" xfId="42" applyNumberFormat="1" applyFont="1" applyBorder="1" applyAlignment="1">
      <alignment horizontal="center"/>
    </xf>
    <xf numFmtId="168" fontId="0" fillId="12" borderId="0" xfId="42" applyNumberFormat="1" applyFont="1" applyFill="1" applyBorder="1" applyProtection="1"/>
    <xf numFmtId="1" fontId="28" fillId="1" borderId="76" xfId="42" applyNumberFormat="1" applyFont="1" applyFill="1" applyBorder="1" applyAlignment="1"/>
    <xf numFmtId="166" fontId="33" fillId="27" borderId="0" xfId="42" applyNumberFormat="1" applyFont="1" applyFill="1" applyBorder="1" applyAlignment="1"/>
    <xf numFmtId="1" fontId="28" fillId="1" borderId="0" xfId="42" applyNumberFormat="1" applyFont="1" applyFill="1" applyBorder="1" applyAlignment="1"/>
    <xf numFmtId="166" fontId="33" fillId="27" borderId="71" xfId="42" applyNumberFormat="1" applyFont="1" applyFill="1" applyBorder="1" applyAlignment="1"/>
    <xf numFmtId="1" fontId="28" fillId="1" borderId="87" xfId="42" applyNumberFormat="1" applyFont="1" applyFill="1" applyBorder="1" applyAlignment="1"/>
    <xf numFmtId="2" fontId="28" fillId="1" borderId="87" xfId="42" applyNumberFormat="1" applyFont="1" applyFill="1" applyBorder="1" applyAlignment="1"/>
    <xf numFmtId="1" fontId="28" fillId="1" borderId="124" xfId="42" applyNumberFormat="1" applyFont="1" applyFill="1" applyBorder="1" applyAlignment="1"/>
    <xf numFmtId="2" fontId="28" fillId="1" borderId="124" xfId="42" applyNumberFormat="1" applyFont="1" applyFill="1" applyBorder="1" applyAlignment="1"/>
    <xf numFmtId="9" fontId="32" fillId="0" borderId="0" xfId="398" applyFont="1" applyAlignment="1"/>
    <xf numFmtId="2" fontId="55" fillId="0" borderId="0" xfId="42" applyNumberFormat="1" applyFont="1" applyAlignment="1"/>
    <xf numFmtId="2" fontId="55" fillId="0" borderId="0" xfId="42" applyNumberFormat="1" applyFont="1" applyBorder="1"/>
    <xf numFmtId="2" fontId="32" fillId="29" borderId="64" xfId="42" applyNumberFormat="1" applyFont="1" applyFill="1" applyBorder="1" applyAlignment="1"/>
    <xf numFmtId="1" fontId="32" fillId="0" borderId="0" xfId="398" applyNumberFormat="1" applyFont="1" applyAlignment="1"/>
    <xf numFmtId="14" fontId="28" fillId="0" borderId="91" xfId="42" applyNumberFormat="1" applyFont="1" applyFill="1" applyBorder="1" applyAlignment="1" applyProtection="1">
      <alignment horizontal="center" vertical="center"/>
    </xf>
    <xf numFmtId="14" fontId="28" fillId="0" borderId="95" xfId="42" applyNumberFormat="1" applyFont="1" applyFill="1" applyBorder="1" applyAlignment="1" applyProtection="1">
      <alignment horizontal="center" vertical="center"/>
    </xf>
    <xf numFmtId="14" fontId="28" fillId="0" borderId="93" xfId="42" applyNumberFormat="1" applyFont="1" applyFill="1" applyBorder="1" applyAlignment="1" applyProtection="1">
      <alignment horizontal="center" vertical="center"/>
    </xf>
    <xf numFmtId="0" fontId="32" fillId="13" borderId="99" xfId="42" applyFont="1" applyFill="1" applyBorder="1" applyAlignment="1">
      <alignment horizontal="center"/>
    </xf>
    <xf numFmtId="167" fontId="28" fillId="0" borderId="92" xfId="398" applyNumberFormat="1" applyFont="1" applyFill="1" applyBorder="1" applyAlignment="1"/>
    <xf numFmtId="167" fontId="28" fillId="0" borderId="4" xfId="398" applyNumberFormat="1" applyFont="1" applyFill="1" applyBorder="1" applyAlignment="1"/>
    <xf numFmtId="167" fontId="28" fillId="13" borderId="0" xfId="398" applyNumberFormat="1" applyFont="1" applyFill="1" applyBorder="1"/>
    <xf numFmtId="0" fontId="28" fillId="0" borderId="92" xfId="42" applyFont="1" applyBorder="1"/>
    <xf numFmtId="0" fontId="28" fillId="0" borderId="92" xfId="42" applyFont="1" applyBorder="1" applyAlignment="1">
      <alignment horizontal="center"/>
    </xf>
    <xf numFmtId="167" fontId="28" fillId="0" borderId="92" xfId="398" applyNumberFormat="1" applyFont="1" applyFill="1" applyBorder="1"/>
    <xf numFmtId="0" fontId="28" fillId="0" borderId="4" xfId="42" applyFont="1" applyBorder="1" applyAlignment="1">
      <alignment horizontal="center"/>
    </xf>
    <xf numFmtId="167" fontId="28" fillId="0" borderId="4" xfId="398" applyNumberFormat="1" applyFont="1" applyBorder="1"/>
    <xf numFmtId="0" fontId="3" fillId="13" borderId="98" xfId="42" applyFont="1" applyFill="1" applyBorder="1" applyAlignment="1">
      <alignment horizontal="center"/>
    </xf>
    <xf numFmtId="0" fontId="32" fillId="13" borderId="99" xfId="42" applyFont="1" applyFill="1" applyBorder="1"/>
    <xf numFmtId="0" fontId="28" fillId="13" borderId="99" xfId="42" applyFont="1" applyFill="1" applyBorder="1" applyAlignment="1">
      <alignment horizontal="center"/>
    </xf>
    <xf numFmtId="166" fontId="28" fillId="0" borderId="92" xfId="42" applyNumberFormat="1" applyFont="1" applyBorder="1" applyAlignment="1"/>
    <xf numFmtId="0" fontId="3" fillId="0" borderId="4" xfId="42" applyFont="1" applyFill="1" applyBorder="1" applyAlignment="1">
      <alignment horizontal="center"/>
    </xf>
    <xf numFmtId="166" fontId="28" fillId="0" borderId="4" xfId="42" applyNumberFormat="1" applyFont="1" applyFill="1" applyBorder="1" applyAlignment="1"/>
    <xf numFmtId="166" fontId="28" fillId="0" borderId="4" xfId="42" applyNumberFormat="1" applyFont="1" applyFill="1" applyBorder="1" applyAlignment="1">
      <alignment horizontal="center"/>
    </xf>
    <xf numFmtId="167" fontId="28" fillId="0" borderId="92" xfId="398" applyNumberFormat="1" applyFont="1" applyBorder="1" applyAlignment="1"/>
    <xf numFmtId="167" fontId="28" fillId="0" borderId="0" xfId="42" applyNumberFormat="1" applyFont="1" applyBorder="1" applyAlignment="1"/>
    <xf numFmtId="167" fontId="28" fillId="13" borderId="0" xfId="42" applyNumberFormat="1" applyFont="1" applyFill="1" applyBorder="1" applyAlignment="1"/>
    <xf numFmtId="167" fontId="28" fillId="0" borderId="4" xfId="42" applyNumberFormat="1" applyFont="1" applyFill="1" applyBorder="1" applyAlignment="1"/>
    <xf numFmtId="167" fontId="32" fillId="0" borderId="0" xfId="42" applyNumberFormat="1" applyFont="1" applyAlignment="1"/>
    <xf numFmtId="166" fontId="40" fillId="0" borderId="66" xfId="42" applyNumberFormat="1" applyFont="1" applyFill="1" applyBorder="1" applyProtection="1"/>
    <xf numFmtId="166" fontId="40" fillId="0" borderId="59" xfId="42" applyNumberFormat="1" applyFont="1" applyFill="1" applyBorder="1" applyProtection="1"/>
    <xf numFmtId="166" fontId="55" fillId="19" borderId="0" xfId="42" applyNumberFormat="1" applyFont="1" applyFill="1" applyBorder="1" applyAlignment="1">
      <alignment horizontal="right"/>
    </xf>
    <xf numFmtId="166" fontId="55" fillId="29" borderId="71" xfId="42" applyNumberFormat="1" applyFont="1" applyFill="1" applyBorder="1" applyAlignment="1"/>
    <xf numFmtId="166" fontId="55" fillId="29" borderId="71" xfId="42" applyNumberFormat="1" applyFont="1" applyFill="1" applyBorder="1" applyAlignment="1">
      <alignment horizontal="center"/>
    </xf>
    <xf numFmtId="0" fontId="4" fillId="0" borderId="0" xfId="42" applyFont="1" applyFill="1" applyAlignment="1">
      <alignment horizontal="center" vertical="center"/>
    </xf>
    <xf numFmtId="0" fontId="58" fillId="0" borderId="0" xfId="42" applyFont="1" applyFill="1" applyAlignment="1">
      <alignment horizontal="center"/>
    </xf>
    <xf numFmtId="168" fontId="34" fillId="0" borderId="0" xfId="42" applyNumberFormat="1" applyFont="1" applyBorder="1" applyProtection="1"/>
    <xf numFmtId="166" fontId="0" fillId="0" borderId="17" xfId="42" applyNumberFormat="1" applyFont="1" applyBorder="1"/>
    <xf numFmtId="0" fontId="32" fillId="0" borderId="0" xfId="42" applyFont="1" applyFill="1" applyAlignment="1">
      <alignment horizontal="center"/>
    </xf>
    <xf numFmtId="168" fontId="32" fillId="0" borderId="0" xfId="42" applyNumberFormat="1" applyFont="1" applyAlignment="1"/>
    <xf numFmtId="0" fontId="33" fillId="19" borderId="0" xfId="42" applyFont="1" applyFill="1" applyBorder="1" applyAlignment="1">
      <alignment horizontal="center"/>
    </xf>
    <xf numFmtId="167" fontId="33" fillId="19" borderId="0" xfId="398" applyNumberFormat="1" applyFont="1" applyFill="1" applyBorder="1"/>
    <xf numFmtId="0" fontId="59" fillId="15" borderId="71" xfId="42" applyFont="1" applyFill="1" applyBorder="1" applyAlignment="1">
      <alignment horizontal="center"/>
    </xf>
    <xf numFmtId="0" fontId="59" fillId="15" borderId="0" xfId="42" applyFont="1" applyFill="1" applyBorder="1" applyAlignment="1">
      <alignment horizontal="center"/>
    </xf>
    <xf numFmtId="0" fontId="59" fillId="15" borderId="0" xfId="42" applyFont="1" applyFill="1" applyBorder="1"/>
    <xf numFmtId="1" fontId="59" fillId="15" borderId="0" xfId="42" applyNumberFormat="1" applyFont="1" applyFill="1" applyBorder="1" applyAlignment="1">
      <alignment horizontal="center"/>
    </xf>
    <xf numFmtId="1" fontId="59" fillId="15" borderId="0" xfId="42" applyNumberFormat="1" applyFont="1" applyFill="1" applyBorder="1" applyAlignment="1"/>
    <xf numFmtId="0" fontId="59" fillId="15" borderId="71" xfId="42" applyFont="1" applyFill="1" applyBorder="1"/>
    <xf numFmtId="167" fontId="59" fillId="15" borderId="71" xfId="398" applyNumberFormat="1" applyFont="1" applyFill="1" applyBorder="1" applyAlignment="1"/>
    <xf numFmtId="2" fontId="55" fillId="0" borderId="0" xfId="42" applyNumberFormat="1" applyFont="1"/>
    <xf numFmtId="0" fontId="55" fillId="0" borderId="0" xfId="42" applyFont="1" applyFill="1"/>
    <xf numFmtId="2" fontId="28" fillId="0" borderId="92" xfId="398" applyNumberFormat="1" applyFont="1" applyFill="1" applyBorder="1" applyAlignment="1"/>
    <xf numFmtId="2" fontId="28" fillId="13" borderId="0" xfId="398" applyNumberFormat="1" applyFont="1" applyFill="1" applyBorder="1" applyAlignment="1"/>
    <xf numFmtId="2" fontId="28" fillId="13" borderId="4" xfId="398" applyNumberFormat="1" applyFont="1" applyFill="1" applyBorder="1" applyAlignment="1"/>
    <xf numFmtId="2" fontId="28" fillId="0" borderId="0" xfId="398" applyNumberFormat="1" applyFont="1" applyFill="1" applyBorder="1" applyAlignment="1"/>
    <xf numFmtId="0" fontId="3" fillId="13" borderId="4" xfId="42" applyFont="1" applyFill="1" applyBorder="1" applyAlignment="1">
      <alignment horizontal="center"/>
    </xf>
    <xf numFmtId="0" fontId="28" fillId="13" borderId="4" xfId="42" applyFont="1" applyFill="1" applyBorder="1"/>
    <xf numFmtId="1" fontId="28" fillId="13" borderId="4" xfId="42" applyNumberFormat="1" applyFont="1" applyFill="1" applyBorder="1" applyAlignment="1">
      <alignment horizontal="center"/>
    </xf>
    <xf numFmtId="1" fontId="28" fillId="13" borderId="4" xfId="42" applyNumberFormat="1" applyFont="1" applyFill="1" applyBorder="1" applyAlignment="1"/>
    <xf numFmtId="166" fontId="28" fillId="0" borderId="0" xfId="42" applyNumberFormat="1" applyFont="1" applyBorder="1"/>
    <xf numFmtId="0" fontId="3" fillId="0" borderId="19" xfId="42" applyFont="1" applyBorder="1" applyAlignment="1">
      <alignment horizontal="center"/>
    </xf>
    <xf numFmtId="0" fontId="28" fillId="0" borderId="17" xfId="42" applyFont="1" applyBorder="1" applyAlignment="1">
      <alignment horizontal="center"/>
    </xf>
    <xf numFmtId="166" fontId="28" fillId="0" borderId="17" xfId="42" applyNumberFormat="1" applyFont="1" applyBorder="1"/>
    <xf numFmtId="0" fontId="58" fillId="0" borderId="0" xfId="42" applyFont="1" applyBorder="1" applyAlignment="1">
      <alignment horizontal="center"/>
    </xf>
    <xf numFmtId="0" fontId="59" fillId="0" borderId="2" xfId="42" applyFont="1" applyBorder="1" applyAlignment="1">
      <alignment horizontal="center"/>
    </xf>
    <xf numFmtId="0" fontId="33" fillId="0" borderId="0" xfId="42" applyFont="1" applyBorder="1"/>
    <xf numFmtId="0" fontId="59" fillId="0" borderId="36" xfId="42" applyFont="1" applyBorder="1" applyAlignment="1">
      <alignment horizontal="center"/>
    </xf>
    <xf numFmtId="0" fontId="28" fillId="0" borderId="0" xfId="42" applyFont="1" applyAlignment="1">
      <alignment horizontal="right" vertical="top"/>
    </xf>
    <xf numFmtId="0" fontId="4" fillId="34" borderId="19" xfId="42" applyFont="1" applyFill="1" applyBorder="1" applyAlignment="1">
      <alignment horizontal="center"/>
    </xf>
    <xf numFmtId="0" fontId="32" fillId="34" borderId="17" xfId="42" applyFont="1" applyFill="1" applyBorder="1"/>
    <xf numFmtId="0" fontId="32" fillId="34" borderId="17" xfId="42" applyFont="1" applyFill="1" applyBorder="1" applyAlignment="1">
      <alignment horizontal="center"/>
    </xf>
    <xf numFmtId="1" fontId="32" fillId="34" borderId="17" xfId="42" applyNumberFormat="1" applyFont="1" applyFill="1" applyBorder="1" applyAlignment="1"/>
    <xf numFmtId="0" fontId="4" fillId="34" borderId="17" xfId="42" applyFont="1" applyFill="1" applyBorder="1" applyAlignment="1">
      <alignment horizontal="right"/>
    </xf>
    <xf numFmtId="0" fontId="59" fillId="34" borderId="0" xfId="42" applyFont="1" applyFill="1" applyBorder="1" applyAlignment="1">
      <alignment horizontal="center"/>
    </xf>
    <xf numFmtId="0" fontId="33" fillId="34" borderId="0" xfId="42" applyFont="1" applyFill="1" applyBorder="1"/>
    <xf numFmtId="0" fontId="33" fillId="34" borderId="0" xfId="42" applyFont="1" applyFill="1" applyBorder="1" applyAlignment="1">
      <alignment horizontal="center"/>
    </xf>
    <xf numFmtId="167" fontId="33" fillId="34" borderId="0" xfId="398" applyNumberFormat="1" applyFont="1" applyFill="1" applyBorder="1"/>
    <xf numFmtId="0" fontId="59" fillId="34" borderId="30" xfId="42" applyFont="1" applyFill="1" applyBorder="1" applyAlignment="1">
      <alignment horizontal="center"/>
    </xf>
    <xf numFmtId="0" fontId="33" fillId="34" borderId="30" xfId="42" applyFont="1" applyFill="1" applyBorder="1"/>
    <xf numFmtId="0" fontId="33" fillId="34" borderId="30" xfId="42" applyFont="1" applyFill="1" applyBorder="1" applyAlignment="1">
      <alignment horizontal="center"/>
    </xf>
    <xf numFmtId="167" fontId="33" fillId="34" borderId="30" xfId="398" applyNumberFormat="1" applyFont="1" applyFill="1" applyBorder="1"/>
    <xf numFmtId="0" fontId="3" fillId="34" borderId="0" xfId="42" applyFont="1" applyFill="1" applyBorder="1" applyAlignment="1">
      <alignment horizontal="center"/>
    </xf>
    <xf numFmtId="0" fontId="28" fillId="34" borderId="0" xfId="42" applyFont="1" applyFill="1" applyBorder="1"/>
    <xf numFmtId="0" fontId="28" fillId="34" borderId="0" xfId="42" applyFont="1" applyFill="1" applyBorder="1" applyAlignment="1">
      <alignment horizontal="center"/>
    </xf>
    <xf numFmtId="167" fontId="28" fillId="34" borderId="0" xfId="42" applyNumberFormat="1" applyFont="1" applyFill="1" applyBorder="1"/>
    <xf numFmtId="1" fontId="68" fillId="0" borderId="0" xfId="42" applyNumberFormat="1" applyFont="1" applyFill="1" applyBorder="1" applyAlignment="1" applyProtection="1">
      <alignment horizontal="center" vertical="center"/>
    </xf>
    <xf numFmtId="0" fontId="4" fillId="19" borderId="14" xfId="42" applyFont="1" applyFill="1" applyBorder="1" applyAlignment="1">
      <alignment horizontal="center"/>
    </xf>
    <xf numFmtId="167" fontId="32" fillId="0" borderId="0" xfId="398" applyNumberFormat="1" applyFont="1"/>
    <xf numFmtId="168" fontId="0" fillId="0" borderId="0" xfId="42" applyNumberFormat="1" applyFont="1" applyBorder="1"/>
    <xf numFmtId="2" fontId="4" fillId="0" borderId="0" xfId="42" applyNumberFormat="1" applyFont="1" applyFill="1" applyBorder="1" applyAlignment="1" applyProtection="1">
      <alignment horizontal="center" vertical="center"/>
    </xf>
    <xf numFmtId="2" fontId="3" fillId="0" borderId="0" xfId="42" applyNumberFormat="1" applyFont="1" applyBorder="1" applyAlignment="1">
      <alignment horizontal="center"/>
    </xf>
    <xf numFmtId="2" fontId="59" fillId="0" borderId="0" xfId="42" applyNumberFormat="1" applyFont="1" applyBorder="1" applyAlignment="1"/>
    <xf numFmtId="2" fontId="3" fillId="0" borderId="0" xfId="42" applyNumberFormat="1" applyFont="1" applyAlignment="1"/>
    <xf numFmtId="2" fontId="3" fillId="0" borderId="67" xfId="42" applyNumberFormat="1" applyFont="1" applyFill="1" applyBorder="1" applyAlignment="1" applyProtection="1">
      <alignment horizontal="center" vertical="center"/>
    </xf>
    <xf numFmtId="2" fontId="32" fillId="21" borderId="80" xfId="42" applyNumberFormat="1" applyFont="1" applyFill="1" applyBorder="1" applyAlignment="1"/>
    <xf numFmtId="0" fontId="60" fillId="0" borderId="17" xfId="42" applyFont="1" applyBorder="1" applyAlignment="1">
      <alignment horizontal="center"/>
    </xf>
    <xf numFmtId="0" fontId="60" fillId="0" borderId="30" xfId="42" applyFont="1" applyBorder="1" applyAlignment="1">
      <alignment horizontal="center"/>
    </xf>
    <xf numFmtId="0" fontId="60" fillId="13" borderId="30" xfId="42" applyFont="1" applyFill="1" applyBorder="1" applyAlignment="1">
      <alignment horizontal="center"/>
    </xf>
    <xf numFmtId="0" fontId="60" fillId="13" borderId="0" xfId="42" applyFont="1" applyFill="1" applyAlignment="1">
      <alignment horizontal="center"/>
    </xf>
    <xf numFmtId="167" fontId="0" fillId="0" borderId="17" xfId="398" applyNumberFormat="1" applyFont="1" applyBorder="1"/>
    <xf numFmtId="167" fontId="0" fillId="0" borderId="0" xfId="398" applyNumberFormat="1" applyFont="1" applyBorder="1" applyAlignment="1">
      <alignment horizontal="right"/>
    </xf>
    <xf numFmtId="167" fontId="0" fillId="0" borderId="30" xfId="398" applyNumberFormat="1" applyFont="1" applyBorder="1" applyAlignment="1">
      <alignment horizontal="right"/>
    </xf>
    <xf numFmtId="167" fontId="0" fillId="13" borderId="0" xfId="398" applyNumberFormat="1" applyFont="1" applyFill="1" applyBorder="1" applyAlignment="1">
      <alignment horizontal="right"/>
    </xf>
    <xf numFmtId="167" fontId="32" fillId="13" borderId="0" xfId="398" applyNumberFormat="1" applyFont="1" applyFill="1" applyBorder="1" applyAlignment="1">
      <alignment horizontal="right"/>
    </xf>
    <xf numFmtId="0" fontId="59" fillId="0" borderId="0" xfId="42" applyFont="1" applyFill="1" applyAlignment="1"/>
    <xf numFmtId="0" fontId="59" fillId="19" borderId="0" xfId="42" applyFont="1" applyFill="1" applyBorder="1" applyAlignment="1">
      <alignment horizontal="left"/>
    </xf>
    <xf numFmtId="166" fontId="59" fillId="19" borderId="0" xfId="42" applyNumberFormat="1" applyFont="1" applyFill="1" applyBorder="1" applyAlignment="1">
      <alignment horizontal="center"/>
    </xf>
    <xf numFmtId="0" fontId="59" fillId="19" borderId="0" xfId="42" applyFont="1" applyFill="1" applyBorder="1" applyAlignment="1"/>
    <xf numFmtId="0" fontId="59" fillId="0" borderId="0" xfId="42" applyFont="1" applyFill="1" applyBorder="1" applyAlignment="1"/>
    <xf numFmtId="0" fontId="29" fillId="16" borderId="0" xfId="42" applyFont="1" applyFill="1" applyAlignment="1">
      <alignment horizontal="center" vertical="center"/>
    </xf>
    <xf numFmtId="166" fontId="28" fillId="20" borderId="0" xfId="42" applyNumberFormat="1" applyFont="1" applyFill="1" applyBorder="1"/>
    <xf numFmtId="0" fontId="106" fillId="26" borderId="0" xfId="42" applyFont="1" applyFill="1" applyProtection="1"/>
    <xf numFmtId="0" fontId="61" fillId="26" borderId="0" xfId="42" applyFont="1" applyFill="1" applyProtection="1"/>
    <xf numFmtId="0" fontId="32" fillId="0" borderId="0" xfId="42" applyNumberFormat="1" applyFont="1" applyFill="1" applyBorder="1" applyProtection="1"/>
    <xf numFmtId="166" fontId="28" fillId="0" borderId="27" xfId="42" applyNumberFormat="1" applyFont="1" applyFill="1" applyBorder="1" applyAlignment="1" applyProtection="1">
      <alignment horizontal="right"/>
    </xf>
    <xf numFmtId="166" fontId="28" fillId="0" borderId="28" xfId="42" applyNumberFormat="1" applyFont="1" applyFill="1" applyBorder="1" applyAlignment="1" applyProtection="1">
      <alignment horizontal="right"/>
    </xf>
    <xf numFmtId="166" fontId="3" fillId="0" borderId="0" xfId="42" applyNumberFormat="1" applyFont="1" applyFill="1" applyBorder="1" applyAlignment="1" applyProtection="1">
      <alignment horizontal="center"/>
    </xf>
    <xf numFmtId="166" fontId="28" fillId="0" borderId="46" xfId="42" applyNumberFormat="1" applyFont="1" applyFill="1" applyBorder="1" applyAlignment="1" applyProtection="1">
      <alignment horizontal="right"/>
    </xf>
    <xf numFmtId="0" fontId="28" fillId="0" borderId="27" xfId="42" applyFont="1" applyBorder="1"/>
    <xf numFmtId="0" fontId="34" fillId="12" borderId="25" xfId="42" applyFont="1" applyFill="1" applyBorder="1" applyProtection="1"/>
    <xf numFmtId="0" fontId="34" fillId="12" borderId="27" xfId="42" applyFont="1" applyFill="1" applyBorder="1" applyProtection="1"/>
    <xf numFmtId="0" fontId="28" fillId="12" borderId="27" xfId="42" applyFont="1" applyFill="1" applyBorder="1"/>
    <xf numFmtId="0" fontId="28" fillId="12" borderId="31" xfId="42" applyFont="1" applyFill="1" applyBorder="1"/>
    <xf numFmtId="0" fontId="34" fillId="12" borderId="19" xfId="42" applyFont="1" applyFill="1" applyBorder="1" applyProtection="1"/>
    <xf numFmtId="0" fontId="28" fillId="12" borderId="2" xfId="42" applyFont="1" applyFill="1" applyBorder="1"/>
    <xf numFmtId="0" fontId="40" fillId="12" borderId="2" xfId="42" applyFont="1" applyFill="1" applyBorder="1" applyProtection="1"/>
    <xf numFmtId="0" fontId="34" fillId="12" borderId="36" xfId="42" applyFont="1" applyFill="1" applyBorder="1" applyProtection="1"/>
    <xf numFmtId="0" fontId="55" fillId="0" borderId="27" xfId="42" applyFont="1" applyBorder="1"/>
    <xf numFmtId="0" fontId="55" fillId="12" borderId="2" xfId="42" applyFont="1" applyFill="1" applyBorder="1" applyProtection="1"/>
    <xf numFmtId="0" fontId="92" fillId="12" borderId="20" xfId="42" applyFont="1" applyFill="1" applyBorder="1"/>
    <xf numFmtId="0" fontId="0" fillId="12" borderId="37" xfId="42" applyFont="1" applyFill="1" applyBorder="1"/>
    <xf numFmtId="0" fontId="1" fillId="12" borderId="25" xfId="42" applyFont="1" applyFill="1" applyBorder="1"/>
    <xf numFmtId="0" fontId="92" fillId="12" borderId="27" xfId="42" applyFont="1" applyFill="1" applyBorder="1"/>
    <xf numFmtId="0" fontId="92" fillId="12" borderId="31" xfId="42" applyFont="1" applyFill="1" applyBorder="1"/>
    <xf numFmtId="0" fontId="91" fillId="12" borderId="36" xfId="42" applyFont="1" applyFill="1" applyBorder="1" applyProtection="1"/>
    <xf numFmtId="0" fontId="34" fillId="12" borderId="31" xfId="42" applyFont="1" applyFill="1" applyBorder="1" applyProtection="1"/>
    <xf numFmtId="0" fontId="28" fillId="13" borderId="2" xfId="42" applyFont="1" applyFill="1" applyBorder="1"/>
    <xf numFmtId="0" fontId="108" fillId="26" borderId="0" xfId="42" applyFont="1" applyFill="1" applyProtection="1"/>
    <xf numFmtId="0" fontId="87" fillId="0" borderId="0" xfId="42" applyFont="1" applyBorder="1" applyProtection="1"/>
    <xf numFmtId="169" fontId="34" fillId="0" borderId="27" xfId="42" applyNumberFormat="1" applyFont="1" applyFill="1" applyBorder="1" applyAlignment="1" applyProtection="1">
      <alignment horizontal="right"/>
    </xf>
    <xf numFmtId="166" fontId="34" fillId="0" borderId="19" xfId="42" applyNumberFormat="1" applyFont="1" applyFill="1" applyBorder="1" applyAlignment="1" applyProtection="1">
      <alignment horizontal="right"/>
    </xf>
    <xf numFmtId="166" fontId="40" fillId="0" borderId="30" xfId="42" applyNumberFormat="1" applyFont="1" applyFill="1" applyBorder="1" applyAlignment="1" applyProtection="1">
      <alignment horizontal="right"/>
    </xf>
    <xf numFmtId="166" fontId="42" fillId="0" borderId="25" xfId="42" applyNumberFormat="1" applyFont="1" applyFill="1" applyBorder="1" applyAlignment="1" applyProtection="1">
      <alignment horizontal="center"/>
    </xf>
    <xf numFmtId="1" fontId="40" fillId="0" borderId="134" xfId="42" applyNumberFormat="1" applyFont="1" applyFill="1" applyBorder="1" applyAlignment="1" applyProtection="1">
      <alignment horizontal="center"/>
    </xf>
    <xf numFmtId="166" fontId="34" fillId="0" borderId="37" xfId="42" applyNumberFormat="1" applyFont="1" applyFill="1" applyBorder="1" applyAlignment="1" applyProtection="1">
      <alignment horizontal="right"/>
    </xf>
    <xf numFmtId="166" fontId="34" fillId="0" borderId="3" xfId="42" applyNumberFormat="1" applyFont="1" applyFill="1" applyBorder="1" applyAlignment="1" applyProtection="1">
      <alignment horizontal="right"/>
    </xf>
    <xf numFmtId="0" fontId="34" fillId="0" borderId="59" xfId="42" applyFont="1" applyFill="1" applyBorder="1" applyAlignment="1" applyProtection="1">
      <alignment horizontal="right"/>
    </xf>
    <xf numFmtId="166" fontId="40" fillId="0" borderId="26" xfId="42" applyNumberFormat="1" applyFont="1" applyFill="1" applyBorder="1" applyAlignment="1" applyProtection="1">
      <alignment horizontal="right"/>
    </xf>
    <xf numFmtId="166" fontId="34" fillId="0" borderId="35" xfId="42" applyNumberFormat="1" applyFont="1" applyBorder="1" applyAlignment="1" applyProtection="1">
      <alignment horizontal="right"/>
    </xf>
    <xf numFmtId="0" fontId="0" fillId="0" borderId="59" xfId="42" applyFont="1" applyBorder="1"/>
    <xf numFmtId="166" fontId="50" fillId="0" borderId="32" xfId="42" applyNumberFormat="1" applyFont="1" applyFill="1" applyBorder="1" applyProtection="1"/>
    <xf numFmtId="166" fontId="34" fillId="0" borderId="20" xfId="42" applyNumberFormat="1" applyFont="1" applyFill="1" applyBorder="1" applyProtection="1"/>
    <xf numFmtId="166" fontId="34" fillId="0" borderId="25" xfId="42" applyNumberFormat="1" applyFont="1" applyFill="1" applyBorder="1" applyProtection="1"/>
    <xf numFmtId="166" fontId="34" fillId="0" borderId="135" xfId="42" applyNumberFormat="1" applyFont="1" applyFill="1" applyBorder="1" applyProtection="1"/>
    <xf numFmtId="166" fontId="34" fillId="0" borderId="58" xfId="42" applyNumberFormat="1" applyFont="1" applyFill="1" applyBorder="1" applyProtection="1"/>
    <xf numFmtId="166" fontId="34" fillId="0" borderId="52" xfId="42" applyNumberFormat="1" applyFont="1" applyFill="1" applyBorder="1" applyProtection="1"/>
    <xf numFmtId="166" fontId="34" fillId="0" borderId="59" xfId="42" applyNumberFormat="1" applyFont="1" applyFill="1" applyBorder="1" applyProtection="1"/>
    <xf numFmtId="166" fontId="34" fillId="0" borderId="130" xfId="42" applyNumberFormat="1" applyFont="1" applyFill="1" applyBorder="1" applyProtection="1"/>
    <xf numFmtId="166" fontId="40" fillId="0" borderId="27" xfId="42" applyNumberFormat="1" applyFont="1" applyBorder="1" applyProtection="1"/>
    <xf numFmtId="166" fontId="40" fillId="0" borderId="28" xfId="42" applyNumberFormat="1" applyFont="1" applyBorder="1" applyAlignment="1" applyProtection="1">
      <alignment horizontal="center"/>
    </xf>
    <xf numFmtId="166" fontId="50" fillId="0" borderId="28" xfId="42" applyNumberFormat="1" applyFont="1" applyBorder="1" applyAlignment="1" applyProtection="1">
      <alignment horizontal="center"/>
    </xf>
    <xf numFmtId="0" fontId="38" fillId="0" borderId="54" xfId="42" quotePrefix="1" applyFont="1" applyBorder="1" applyAlignment="1" applyProtection="1">
      <alignment horizontal="center"/>
    </xf>
    <xf numFmtId="0" fontId="48" fillId="0" borderId="136" xfId="42" quotePrefix="1" applyFont="1" applyBorder="1" applyAlignment="1" applyProtection="1">
      <alignment horizontal="right"/>
    </xf>
    <xf numFmtId="167" fontId="32" fillId="0" borderId="27" xfId="398" applyNumberFormat="1" applyFont="1" applyBorder="1" applyAlignment="1">
      <alignment horizontal="center"/>
    </xf>
    <xf numFmtId="167" fontId="0" fillId="0" borderId="25" xfId="398" applyNumberFormat="1" applyFont="1" applyBorder="1" applyAlignment="1">
      <alignment horizontal="center"/>
    </xf>
    <xf numFmtId="166" fontId="40" fillId="0" borderId="53" xfId="42" applyNumberFormat="1" applyFont="1" applyBorder="1" applyAlignment="1" applyProtection="1">
      <alignment horizontal="right"/>
    </xf>
    <xf numFmtId="166" fontId="40" fillId="0" borderId="127" xfId="42" applyNumberFormat="1" applyFont="1" applyBorder="1" applyAlignment="1" applyProtection="1">
      <alignment horizontal="right"/>
    </xf>
    <xf numFmtId="166" fontId="40" fillId="0" borderId="40" xfId="42" applyNumberFormat="1" applyFont="1" applyBorder="1" applyAlignment="1" applyProtection="1">
      <alignment horizontal="right"/>
    </xf>
    <xf numFmtId="166" fontId="40" fillId="0" borderId="54" xfId="42" applyNumberFormat="1" applyFont="1" applyBorder="1" applyAlignment="1" applyProtection="1">
      <alignment horizontal="right"/>
    </xf>
    <xf numFmtId="0" fontId="32" fillId="0" borderId="49" xfId="42" applyFont="1" applyBorder="1" applyAlignment="1">
      <alignment horizontal="center"/>
    </xf>
    <xf numFmtId="166" fontId="40" fillId="0" borderId="59" xfId="42" applyNumberFormat="1" applyFont="1" applyBorder="1" applyAlignment="1" applyProtection="1">
      <alignment horizontal="right"/>
    </xf>
    <xf numFmtId="0" fontId="29" fillId="14" borderId="0" xfId="42" applyFont="1" applyFill="1"/>
    <xf numFmtId="166" fontId="40" fillId="0" borderId="27" xfId="42" quotePrefix="1" applyNumberFormat="1" applyFont="1" applyBorder="1" applyAlignment="1" applyProtection="1">
      <alignment horizontal="right"/>
    </xf>
    <xf numFmtId="166" fontId="50" fillId="0" borderId="46" xfId="42" applyNumberFormat="1" applyFont="1" applyBorder="1" applyAlignment="1" applyProtection="1">
      <alignment horizontal="right"/>
    </xf>
    <xf numFmtId="166" fontId="40" fillId="0" borderId="21" xfId="42" quotePrefix="1" applyNumberFormat="1" applyFont="1" applyBorder="1" applyAlignment="1" applyProtection="1">
      <alignment horizontal="right"/>
    </xf>
    <xf numFmtId="166" fontId="40" fillId="0" borderId="46" xfId="42" quotePrefix="1" applyNumberFormat="1" applyFont="1" applyBorder="1" applyAlignment="1" applyProtection="1">
      <alignment horizontal="right"/>
    </xf>
    <xf numFmtId="166" fontId="40" fillId="0" borderId="31" xfId="42" quotePrefix="1" applyNumberFormat="1" applyFont="1" applyBorder="1" applyAlignment="1" applyProtection="1">
      <alignment horizontal="right"/>
    </xf>
    <xf numFmtId="166" fontId="40" fillId="0" borderId="37" xfId="42" applyNumberFormat="1" applyFont="1" applyBorder="1" applyAlignment="1" applyProtection="1">
      <alignment horizontal="right"/>
    </xf>
    <xf numFmtId="166" fontId="40" fillId="0" borderId="37" xfId="42" quotePrefix="1" applyNumberFormat="1" applyFont="1" applyBorder="1" applyAlignment="1" applyProtection="1">
      <alignment horizontal="right"/>
    </xf>
    <xf numFmtId="166" fontId="50" fillId="0" borderId="47" xfId="42" quotePrefix="1" applyNumberFormat="1" applyFont="1" applyBorder="1" applyAlignment="1" applyProtection="1">
      <alignment horizontal="right"/>
    </xf>
    <xf numFmtId="166" fontId="40" fillId="0" borderId="25" xfId="42" quotePrefix="1" applyNumberFormat="1" applyFont="1" applyBorder="1" applyAlignment="1" applyProtection="1">
      <alignment horizontal="right"/>
    </xf>
    <xf numFmtId="166" fontId="40" fillId="0" borderId="20" xfId="42" applyNumberFormat="1" applyFont="1" applyBorder="1" applyAlignment="1" applyProtection="1">
      <alignment horizontal="right"/>
    </xf>
    <xf numFmtId="166" fontId="40" fillId="0" borderId="45" xfId="42" applyNumberFormat="1" applyFont="1" applyBorder="1" applyAlignment="1" applyProtection="1">
      <alignment horizontal="right"/>
    </xf>
    <xf numFmtId="166" fontId="43" fillId="0" borderId="46" xfId="42" applyNumberFormat="1" applyFont="1" applyBorder="1" applyAlignment="1" applyProtection="1">
      <alignment horizontal="right"/>
    </xf>
    <xf numFmtId="166" fontId="34" fillId="0" borderId="25" xfId="42" quotePrefix="1" applyNumberFormat="1" applyFont="1" applyBorder="1" applyAlignment="1" applyProtection="1">
      <alignment horizontal="right"/>
    </xf>
    <xf numFmtId="166" fontId="40" fillId="0" borderId="42" xfId="42" quotePrefix="1" applyNumberFormat="1" applyFont="1" applyBorder="1" applyAlignment="1" applyProtection="1">
      <alignment horizontal="right"/>
    </xf>
    <xf numFmtId="166" fontId="40" fillId="0" borderId="52" xfId="42" applyNumberFormat="1" applyFont="1" applyBorder="1" applyAlignment="1" applyProtection="1">
      <alignment horizontal="right"/>
    </xf>
    <xf numFmtId="166" fontId="50" fillId="0" borderId="59" xfId="42" applyNumberFormat="1" applyFont="1" applyBorder="1" applyAlignment="1" applyProtection="1">
      <alignment horizontal="right"/>
    </xf>
    <xf numFmtId="166" fontId="34" fillId="0" borderId="47" xfId="42" applyNumberFormat="1" applyFont="1" applyFill="1" applyBorder="1" applyAlignment="1" applyProtection="1">
      <alignment horizontal="right"/>
    </xf>
    <xf numFmtId="166" fontId="40" fillId="0" borderId="25" xfId="42" applyNumberFormat="1" applyFont="1" applyFill="1" applyBorder="1" applyAlignment="1" applyProtection="1">
      <alignment horizontal="right"/>
    </xf>
    <xf numFmtId="166" fontId="40" fillId="0" borderId="20" xfId="42" applyNumberFormat="1" applyFont="1" applyFill="1" applyBorder="1" applyAlignment="1" applyProtection="1">
      <alignment horizontal="right"/>
    </xf>
    <xf numFmtId="166" fontId="50" fillId="0" borderId="37" xfId="42" applyNumberFormat="1" applyFont="1" applyFill="1" applyBorder="1" applyAlignment="1" applyProtection="1">
      <alignment horizontal="right"/>
    </xf>
    <xf numFmtId="166" fontId="50" fillId="0" borderId="47" xfId="42" applyNumberFormat="1" applyFont="1" applyFill="1" applyBorder="1" applyAlignment="1" applyProtection="1">
      <alignment horizontal="right"/>
    </xf>
    <xf numFmtId="166" fontId="50" fillId="0" borderId="42" xfId="42" applyNumberFormat="1" applyFont="1" applyFill="1" applyBorder="1" applyAlignment="1" applyProtection="1">
      <alignment horizontal="right"/>
    </xf>
    <xf numFmtId="166" fontId="50" fillId="0" borderId="35" xfId="42" applyNumberFormat="1" applyFont="1" applyFill="1" applyBorder="1" applyAlignment="1" applyProtection="1">
      <alignment horizontal="right"/>
    </xf>
    <xf numFmtId="166" fontId="40" fillId="0" borderId="17" xfId="42" applyNumberFormat="1" applyFont="1" applyFill="1" applyBorder="1" applyAlignment="1" applyProtection="1">
      <alignment horizontal="right"/>
    </xf>
    <xf numFmtId="166" fontId="40" fillId="0" borderId="45" xfId="42" applyNumberFormat="1" applyFont="1" applyFill="1" applyBorder="1" applyAlignment="1" applyProtection="1">
      <alignment horizontal="right"/>
    </xf>
    <xf numFmtId="166" fontId="34" fillId="0" borderId="42" xfId="42" applyNumberFormat="1" applyFont="1" applyBorder="1" applyAlignment="1" applyProtection="1">
      <alignment horizontal="right"/>
    </xf>
    <xf numFmtId="0" fontId="107" fillId="26" borderId="137" xfId="42" quotePrefix="1" applyFont="1" applyFill="1" applyBorder="1" applyAlignment="1" applyProtection="1">
      <alignment horizontal="right"/>
    </xf>
    <xf numFmtId="0" fontId="106" fillId="26" borderId="137" xfId="42" applyFont="1" applyFill="1" applyBorder="1" applyAlignment="1" applyProtection="1">
      <alignment horizontal="right"/>
    </xf>
    <xf numFmtId="1" fontId="0" fillId="0" borderId="0" xfId="42" applyNumberFormat="1" applyFont="1" applyFill="1" applyBorder="1" applyProtection="1"/>
    <xf numFmtId="0" fontId="28" fillId="0" borderId="0" xfId="42" applyNumberFormat="1" applyFont="1" applyFill="1" applyBorder="1" applyProtection="1"/>
    <xf numFmtId="1" fontId="28" fillId="0" borderId="0" xfId="42" applyNumberFormat="1" applyFont="1" applyFill="1" applyBorder="1" applyProtection="1"/>
    <xf numFmtId="0" fontId="109" fillId="26" borderId="0" xfId="42" applyFont="1" applyFill="1" applyProtection="1"/>
    <xf numFmtId="0" fontId="100" fillId="0" borderId="0" xfId="42" applyFont="1" applyAlignment="1"/>
    <xf numFmtId="0" fontId="28" fillId="14" borderId="0" xfId="42" applyFont="1" applyFill="1" applyBorder="1"/>
    <xf numFmtId="0" fontId="0" fillId="14" borderId="30" xfId="42" applyFont="1" applyFill="1" applyBorder="1"/>
    <xf numFmtId="0" fontId="38" fillId="14" borderId="30" xfId="42" applyFont="1" applyFill="1" applyBorder="1" applyProtection="1"/>
    <xf numFmtId="0" fontId="28" fillId="14" borderId="30" xfId="42" applyFont="1" applyFill="1" applyBorder="1"/>
    <xf numFmtId="0" fontId="29" fillId="14" borderId="0" xfId="42" applyFont="1" applyFill="1" applyBorder="1"/>
    <xf numFmtId="0" fontId="32" fillId="11" borderId="41" xfId="42" applyFont="1" applyFill="1" applyBorder="1" applyAlignment="1" applyProtection="1">
      <alignment horizontal="center"/>
    </xf>
    <xf numFmtId="0" fontId="28" fillId="14" borderId="0" xfId="42" applyFont="1" applyFill="1" applyAlignment="1">
      <alignment horizontal="left"/>
    </xf>
    <xf numFmtId="49" fontId="2" fillId="26" borderId="0" xfId="42" applyNumberFormat="1" applyFont="1" applyFill="1" applyProtection="1"/>
    <xf numFmtId="166" fontId="34" fillId="0" borderId="27" xfId="42" applyNumberFormat="1" applyFont="1" applyFill="1" applyBorder="1" applyAlignment="1" applyProtection="1"/>
    <xf numFmtId="166" fontId="34" fillId="0" borderId="26" xfId="42" applyNumberFormat="1" applyFont="1" applyFill="1" applyBorder="1" applyAlignment="1" applyProtection="1"/>
    <xf numFmtId="166" fontId="34" fillId="0" borderId="28" xfId="42" applyNumberFormat="1" applyFont="1" applyFill="1" applyBorder="1" applyAlignment="1" applyProtection="1"/>
    <xf numFmtId="166" fontId="34" fillId="0" borderId="31" xfId="42" applyNumberFormat="1" applyFont="1" applyFill="1" applyBorder="1" applyAlignment="1" applyProtection="1"/>
    <xf numFmtId="166" fontId="34" fillId="0" borderId="32" xfId="42" applyNumberFormat="1" applyFont="1" applyFill="1" applyBorder="1" applyAlignment="1" applyProtection="1"/>
    <xf numFmtId="166" fontId="34" fillId="0" borderId="27" xfId="42" quotePrefix="1" applyNumberFormat="1" applyFont="1" applyFill="1" applyBorder="1" applyAlignment="1" applyProtection="1"/>
    <xf numFmtId="166" fontId="34" fillId="0" borderId="46" xfId="42" applyNumberFormat="1" applyFont="1" applyFill="1" applyBorder="1" applyAlignment="1" applyProtection="1"/>
    <xf numFmtId="166" fontId="0" fillId="0" borderId="27" xfId="42" quotePrefix="1" applyNumberFormat="1" applyFont="1" applyFill="1" applyBorder="1" applyAlignment="1"/>
    <xf numFmtId="166" fontId="0" fillId="0" borderId="46" xfId="42" applyNumberFormat="1" applyFont="1" applyFill="1" applyBorder="1" applyAlignment="1"/>
    <xf numFmtId="166" fontId="0" fillId="0" borderId="31" xfId="42" quotePrefix="1" applyNumberFormat="1" applyFont="1" applyFill="1" applyBorder="1" applyAlignment="1"/>
    <xf numFmtId="166" fontId="0" fillId="0" borderId="47" xfId="42" applyNumberFormat="1" applyFont="1" applyFill="1" applyBorder="1" applyAlignment="1"/>
    <xf numFmtId="166" fontId="34" fillId="0" borderId="41" xfId="42" applyNumberFormat="1" applyFont="1" applyFill="1" applyBorder="1" applyAlignment="1" applyProtection="1"/>
    <xf numFmtId="166" fontId="34" fillId="0" borderId="42" xfId="42" applyNumberFormat="1" applyFont="1" applyFill="1" applyBorder="1" applyAlignment="1" applyProtection="1"/>
    <xf numFmtId="166" fontId="34" fillId="0" borderId="35" xfId="42" applyNumberFormat="1" applyFont="1" applyFill="1" applyBorder="1" applyAlignment="1" applyProtection="1"/>
    <xf numFmtId="0" fontId="43" fillId="0" borderId="52" xfId="42" applyFont="1" applyBorder="1" applyProtection="1"/>
    <xf numFmtId="2" fontId="29" fillId="14" borderId="0" xfId="42" applyNumberFormat="1" applyFont="1" applyFill="1"/>
    <xf numFmtId="2" fontId="32" fillId="11" borderId="31" xfId="42" applyNumberFormat="1" applyFont="1" applyFill="1" applyBorder="1" applyAlignment="1">
      <alignment horizontal="center"/>
    </xf>
    <xf numFmtId="14" fontId="32" fillId="13" borderId="40" xfId="42" applyNumberFormat="1" applyFont="1" applyFill="1" applyBorder="1" applyAlignment="1"/>
    <xf numFmtId="168" fontId="28" fillId="15" borderId="76" xfId="42" applyNumberFormat="1" applyFont="1" applyFill="1" applyBorder="1" applyAlignment="1"/>
    <xf numFmtId="166" fontId="28" fillId="13" borderId="26" xfId="42" applyNumberFormat="1" applyFont="1" applyFill="1" applyBorder="1" applyAlignment="1" applyProtection="1">
      <alignment horizontal="right"/>
    </xf>
    <xf numFmtId="166" fontId="28" fillId="13" borderId="28" xfId="42" applyNumberFormat="1" applyFont="1" applyFill="1" applyBorder="1" applyAlignment="1" applyProtection="1">
      <alignment horizontal="right"/>
    </xf>
    <xf numFmtId="166" fontId="28" fillId="13" borderId="2" xfId="42" applyNumberFormat="1" applyFont="1" applyFill="1" applyBorder="1" applyAlignment="1" applyProtection="1">
      <alignment horizontal="right"/>
    </xf>
    <xf numFmtId="166" fontId="28" fillId="13" borderId="34" xfId="42" applyNumberFormat="1" applyFont="1" applyFill="1" applyBorder="1" applyAlignment="1" applyProtection="1">
      <alignment horizontal="right"/>
    </xf>
    <xf numFmtId="166" fontId="28" fillId="13" borderId="19" xfId="42" applyNumberFormat="1" applyFont="1" applyFill="1" applyBorder="1" applyAlignment="1" applyProtection="1">
      <alignment horizontal="right"/>
    </xf>
    <xf numFmtId="166" fontId="28" fillId="13" borderId="35" xfId="42" applyNumberFormat="1" applyFont="1" applyFill="1" applyBorder="1" applyAlignment="1" applyProtection="1">
      <alignment horizontal="right"/>
    </xf>
    <xf numFmtId="0" fontId="32" fillId="12" borderId="0" xfId="42" applyFont="1" applyFill="1" applyAlignment="1" applyProtection="1">
      <alignment horizontal="center"/>
    </xf>
    <xf numFmtId="0" fontId="32" fillId="13" borderId="0" xfId="42" applyFont="1" applyFill="1" applyBorder="1" applyAlignment="1" applyProtection="1">
      <alignment horizontal="left"/>
    </xf>
    <xf numFmtId="0" fontId="0" fillId="13" borderId="0" xfId="42" applyFont="1" applyFill="1" applyProtection="1"/>
    <xf numFmtId="0" fontId="0" fillId="20" borderId="0" xfId="42" applyFont="1" applyFill="1" applyProtection="1"/>
    <xf numFmtId="168" fontId="0" fillId="20" borderId="0" xfId="42" applyNumberFormat="1" applyFont="1" applyFill="1" applyProtection="1"/>
    <xf numFmtId="0" fontId="31" fillId="0" borderId="18" xfId="42" applyFont="1" applyFill="1" applyBorder="1" applyProtection="1"/>
    <xf numFmtId="0" fontId="110" fillId="0" borderId="0" xfId="42" applyFont="1" applyFill="1" applyBorder="1" applyProtection="1"/>
    <xf numFmtId="166" fontId="31" fillId="0" borderId="27" xfId="42" applyNumberFormat="1" applyFont="1" applyFill="1" applyBorder="1" applyAlignment="1" applyProtection="1">
      <alignment horizontal="right"/>
    </xf>
    <xf numFmtId="166" fontId="31" fillId="0" borderId="0" xfId="42" applyNumberFormat="1" applyFont="1" applyFill="1" applyBorder="1" applyAlignment="1" applyProtection="1">
      <alignment horizontal="right"/>
    </xf>
    <xf numFmtId="166" fontId="31" fillId="0" borderId="28" xfId="42" applyNumberFormat="1" applyFont="1" applyFill="1" applyBorder="1" applyAlignment="1" applyProtection="1">
      <alignment horizontal="right"/>
    </xf>
    <xf numFmtId="0" fontId="31" fillId="0" borderId="24" xfId="42" applyFont="1" applyBorder="1" applyProtection="1"/>
    <xf numFmtId="0" fontId="31" fillId="0" borderId="17" xfId="42" applyFont="1" applyBorder="1" applyProtection="1"/>
    <xf numFmtId="0" fontId="111" fillId="0" borderId="25" xfId="42" applyFont="1" applyBorder="1" applyAlignment="1" applyProtection="1">
      <alignment horizontal="center"/>
    </xf>
    <xf numFmtId="166" fontId="31" fillId="0" borderId="19" xfId="42" applyNumberFormat="1" applyFont="1" applyFill="1" applyBorder="1" applyAlignment="1" applyProtection="1">
      <alignment horizontal="right"/>
    </xf>
    <xf numFmtId="166" fontId="31" fillId="0" borderId="25" xfId="42" applyNumberFormat="1" applyFont="1" applyFill="1" applyBorder="1" applyAlignment="1" applyProtection="1">
      <alignment horizontal="right"/>
    </xf>
    <xf numFmtId="166" fontId="31" fillId="0" borderId="26" xfId="42" applyNumberFormat="1" applyFont="1" applyFill="1" applyBorder="1" applyAlignment="1" applyProtection="1">
      <alignment horizontal="right"/>
    </xf>
    <xf numFmtId="0" fontId="31" fillId="0" borderId="18" xfId="42" applyFont="1" applyBorder="1" applyProtection="1"/>
    <xf numFmtId="0" fontId="31" fillId="0" borderId="0" xfId="42" applyFont="1" applyBorder="1" applyProtection="1"/>
    <xf numFmtId="0" fontId="111" fillId="0" borderId="27" xfId="42" applyFont="1" applyBorder="1" applyAlignment="1" applyProtection="1">
      <alignment horizontal="center"/>
    </xf>
    <xf numFmtId="0" fontId="110" fillId="0" borderId="18" xfId="42" applyFont="1" applyFill="1" applyBorder="1" applyProtection="1"/>
    <xf numFmtId="0" fontId="112" fillId="0" borderId="27" xfId="42" applyFont="1" applyFill="1" applyBorder="1" applyAlignment="1" applyProtection="1">
      <alignment horizontal="center"/>
    </xf>
    <xf numFmtId="166" fontId="31" fillId="0" borderId="30" xfId="42" applyNumberFormat="1" applyFont="1" applyFill="1" applyBorder="1" applyAlignment="1" applyProtection="1">
      <alignment horizontal="right"/>
    </xf>
    <xf numFmtId="0" fontId="105" fillId="0" borderId="39" xfId="42" applyFont="1" applyBorder="1" applyAlignment="1" applyProtection="1">
      <alignment horizontal="left"/>
    </xf>
    <xf numFmtId="0" fontId="105" fillId="0" borderId="40" xfId="42" applyFont="1" applyBorder="1" applyProtection="1"/>
    <xf numFmtId="0" fontId="113" fillId="0" borderId="41" xfId="42" applyFont="1" applyBorder="1" applyAlignment="1" applyProtection="1">
      <alignment horizontal="center"/>
    </xf>
    <xf numFmtId="166" fontId="105" fillId="0" borderId="40" xfId="42" applyNumberFormat="1" applyFont="1" applyFill="1" applyBorder="1" applyAlignment="1" applyProtection="1">
      <alignment horizontal="right"/>
    </xf>
    <xf numFmtId="166" fontId="105" fillId="0" borderId="41" xfId="42" applyNumberFormat="1" applyFont="1" applyFill="1" applyBorder="1" applyAlignment="1" applyProtection="1">
      <alignment horizontal="right"/>
    </xf>
    <xf numFmtId="166" fontId="105" fillId="0" borderId="43" xfId="42" applyNumberFormat="1" applyFont="1" applyFill="1" applyBorder="1" applyAlignment="1" applyProtection="1">
      <alignment horizontal="right"/>
    </xf>
    <xf numFmtId="0" fontId="28" fillId="13" borderId="18" xfId="42" quotePrefix="1" applyFont="1" applyFill="1" applyBorder="1" applyAlignment="1" applyProtection="1">
      <alignment horizontal="left"/>
    </xf>
    <xf numFmtId="0" fontId="28" fillId="13" borderId="0" xfId="42" applyFont="1" applyFill="1" applyBorder="1" applyProtection="1"/>
    <xf numFmtId="0" fontId="3" fillId="13" borderId="27" xfId="42" applyFont="1" applyFill="1" applyBorder="1" applyAlignment="1" applyProtection="1">
      <alignment horizontal="center"/>
    </xf>
    <xf numFmtId="0" fontId="28" fillId="13" borderId="33" xfId="42" quotePrefix="1" applyFont="1" applyFill="1" applyBorder="1" applyAlignment="1" applyProtection="1">
      <alignment horizontal="left"/>
    </xf>
    <xf numFmtId="0" fontId="28" fillId="13" borderId="3" xfId="42" applyFont="1" applyFill="1" applyBorder="1" applyProtection="1"/>
    <xf numFmtId="0" fontId="3" fillId="13" borderId="42" xfId="42" applyFont="1" applyFill="1" applyBorder="1" applyAlignment="1" applyProtection="1">
      <alignment horizontal="center"/>
    </xf>
    <xf numFmtId="166" fontId="31" fillId="0" borderId="2" xfId="42" applyNumberFormat="1" applyFont="1" applyFill="1" applyBorder="1" applyAlignment="1" applyProtection="1">
      <alignment horizontal="right"/>
    </xf>
    <xf numFmtId="3" fontId="110" fillId="0" borderId="18" xfId="42" applyNumberFormat="1" applyFont="1" applyFill="1" applyBorder="1" applyProtection="1"/>
    <xf numFmtId="3" fontId="110" fillId="0" borderId="21" xfId="42" applyNumberFormat="1" applyFont="1" applyFill="1" applyBorder="1" applyProtection="1"/>
    <xf numFmtId="3" fontId="112" fillId="0" borderId="27" xfId="42" applyNumberFormat="1" applyFont="1" applyFill="1" applyBorder="1" applyAlignment="1" applyProtection="1">
      <alignment horizontal="center"/>
    </xf>
    <xf numFmtId="166" fontId="31" fillId="0" borderId="21" xfId="42" applyNumberFormat="1" applyFont="1" applyFill="1" applyBorder="1" applyAlignment="1" applyProtection="1">
      <alignment horizontal="right"/>
    </xf>
    <xf numFmtId="166" fontId="31" fillId="0" borderId="27" xfId="42" applyNumberFormat="1" applyFont="1" applyFill="1" applyBorder="1" applyProtection="1"/>
    <xf numFmtId="166" fontId="31" fillId="0" borderId="46" xfId="42" applyNumberFormat="1" applyFont="1" applyFill="1" applyBorder="1" applyAlignment="1" applyProtection="1">
      <alignment horizontal="right"/>
    </xf>
    <xf numFmtId="166" fontId="31" fillId="0" borderId="37" xfId="42" applyNumberFormat="1" applyFont="1" applyFill="1" applyBorder="1" applyAlignment="1" applyProtection="1">
      <alignment horizontal="right"/>
    </xf>
    <xf numFmtId="166" fontId="31" fillId="0" borderId="47" xfId="42" applyNumberFormat="1" applyFont="1" applyFill="1" applyBorder="1" applyAlignment="1" applyProtection="1">
      <alignment horizontal="right"/>
    </xf>
    <xf numFmtId="1" fontId="39" fillId="0" borderId="134" xfId="42" applyNumberFormat="1" applyFont="1" applyBorder="1" applyAlignment="1" applyProtection="1">
      <alignment horizontal="center"/>
    </xf>
    <xf numFmtId="0" fontId="110" fillId="0" borderId="18" xfId="42" applyFont="1" applyBorder="1" applyAlignment="1" applyProtection="1">
      <alignment horizontal="left"/>
    </xf>
    <xf numFmtId="0" fontId="110" fillId="0" borderId="0" xfId="42" applyFont="1" applyBorder="1" applyAlignment="1" applyProtection="1">
      <alignment horizontal="left"/>
    </xf>
    <xf numFmtId="0" fontId="110" fillId="0" borderId="33" xfId="42" applyFont="1" applyBorder="1" applyAlignment="1" applyProtection="1">
      <alignment horizontal="left"/>
    </xf>
    <xf numFmtId="0" fontId="110" fillId="0" borderId="3" xfId="42" applyFont="1" applyBorder="1" applyAlignment="1" applyProtection="1">
      <alignment horizontal="left"/>
    </xf>
    <xf numFmtId="0" fontId="34" fillId="0" borderId="7" xfId="42" applyFont="1" applyBorder="1" applyAlignment="1" applyProtection="1">
      <alignment horizontal="left"/>
    </xf>
    <xf numFmtId="0" fontId="34" fillId="0" borderId="6" xfId="42" applyFont="1" applyBorder="1" applyAlignment="1" applyProtection="1">
      <alignment horizontal="left"/>
    </xf>
    <xf numFmtId="0" fontId="105" fillId="0" borderId="29" xfId="42" applyFont="1" applyBorder="1"/>
    <xf numFmtId="0" fontId="105" fillId="0" borderId="30" xfId="42" applyFont="1" applyBorder="1"/>
    <xf numFmtId="0" fontId="0" fillId="19" borderId="0" xfId="42" applyFont="1" applyFill="1" applyProtection="1"/>
    <xf numFmtId="168" fontId="0" fillId="19" borderId="0" xfId="42" applyNumberFormat="1" applyFont="1" applyFill="1" applyProtection="1"/>
    <xf numFmtId="1" fontId="0" fillId="19" borderId="0" xfId="42" applyNumberFormat="1" applyFont="1" applyFill="1" applyProtection="1"/>
    <xf numFmtId="0" fontId="105" fillId="0" borderId="29" xfId="42" applyFont="1" applyFill="1" applyBorder="1" applyAlignment="1" applyProtection="1"/>
    <xf numFmtId="0" fontId="31" fillId="0" borderId="30" xfId="42" applyFont="1" applyFill="1" applyBorder="1" applyProtection="1"/>
    <xf numFmtId="0" fontId="111" fillId="0" borderId="31" xfId="42" applyFont="1" applyFill="1" applyBorder="1" applyAlignment="1" applyProtection="1">
      <alignment horizontal="center"/>
    </xf>
    <xf numFmtId="166" fontId="105" fillId="0" borderId="30" xfId="42" applyNumberFormat="1" applyFont="1" applyFill="1" applyBorder="1" applyAlignment="1" applyProtection="1">
      <alignment horizontal="right"/>
    </xf>
    <xf numFmtId="166" fontId="105" fillId="0" borderId="31" xfId="42" applyNumberFormat="1" applyFont="1" applyFill="1" applyBorder="1" applyAlignment="1" applyProtection="1">
      <alignment horizontal="right"/>
    </xf>
    <xf numFmtId="166" fontId="105" fillId="0" borderId="32" xfId="42" applyNumberFormat="1" applyFont="1" applyFill="1" applyBorder="1" applyAlignment="1" applyProtection="1">
      <alignment horizontal="right"/>
    </xf>
    <xf numFmtId="3" fontId="31" fillId="0" borderId="18" xfId="42" applyNumberFormat="1" applyFont="1" applyFill="1" applyBorder="1" applyProtection="1"/>
    <xf numFmtId="3" fontId="31" fillId="0" borderId="21" xfId="42" applyNumberFormat="1" applyFont="1" applyFill="1" applyBorder="1" applyProtection="1"/>
    <xf numFmtId="3" fontId="31" fillId="0" borderId="27" xfId="42" applyNumberFormat="1" applyFont="1" applyFill="1" applyBorder="1" applyAlignment="1" applyProtection="1">
      <alignment horizontal="center"/>
    </xf>
    <xf numFmtId="166" fontId="31" fillId="0" borderId="0" xfId="42" applyNumberFormat="1" applyFont="1" applyFill="1" applyBorder="1" applyProtection="1"/>
    <xf numFmtId="3" fontId="31" fillId="0" borderId="29" xfId="42" applyNumberFormat="1" applyFont="1" applyFill="1" applyBorder="1" applyProtection="1"/>
    <xf numFmtId="3" fontId="31" fillId="0" borderId="37" xfId="42" applyNumberFormat="1" applyFont="1" applyFill="1" applyBorder="1" applyProtection="1"/>
    <xf numFmtId="3" fontId="31" fillId="0" borderId="31" xfId="42" applyNumberFormat="1" applyFont="1" applyFill="1" applyBorder="1" applyAlignment="1" applyProtection="1">
      <alignment horizontal="center"/>
    </xf>
    <xf numFmtId="166" fontId="31" fillId="0" borderId="31" xfId="42" applyNumberFormat="1" applyFont="1" applyFill="1" applyBorder="1" applyProtection="1"/>
    <xf numFmtId="3" fontId="31" fillId="0" borderId="33" xfId="42" applyNumberFormat="1" applyFont="1" applyFill="1" applyBorder="1" applyProtection="1"/>
    <xf numFmtId="3" fontId="31" fillId="0" borderId="52" xfId="42" applyNumberFormat="1" applyFont="1" applyFill="1" applyBorder="1" applyProtection="1"/>
    <xf numFmtId="3" fontId="31" fillId="0" borderId="42" xfId="42" applyNumberFormat="1" applyFont="1" applyFill="1" applyBorder="1" applyAlignment="1" applyProtection="1">
      <alignment horizontal="center"/>
    </xf>
    <xf numFmtId="166" fontId="31" fillId="0" borderId="52" xfId="42" applyNumberFormat="1" applyFont="1" applyFill="1" applyBorder="1" applyAlignment="1" applyProtection="1">
      <alignment horizontal="right"/>
    </xf>
    <xf numFmtId="166" fontId="31" fillId="0" borderId="3" xfId="42" applyNumberFormat="1" applyFont="1" applyFill="1" applyBorder="1" applyAlignment="1" applyProtection="1">
      <alignment horizontal="right"/>
    </xf>
    <xf numFmtId="166" fontId="31" fillId="0" borderId="42" xfId="42" applyNumberFormat="1" applyFont="1" applyFill="1" applyBorder="1" applyProtection="1"/>
    <xf numFmtId="166" fontId="31" fillId="0" borderId="59" xfId="42" applyNumberFormat="1" applyFont="1" applyFill="1" applyBorder="1" applyAlignment="1" applyProtection="1">
      <alignment horizontal="right"/>
    </xf>
    <xf numFmtId="0" fontId="105" fillId="0" borderId="29" xfId="42" applyFont="1" applyFill="1" applyBorder="1"/>
    <xf numFmtId="0" fontId="105" fillId="0" borderId="30" xfId="42" applyFont="1" applyFill="1" applyBorder="1"/>
    <xf numFmtId="166" fontId="105" fillId="0" borderId="36" xfId="42" applyNumberFormat="1" applyFont="1" applyFill="1" applyBorder="1" applyProtection="1"/>
    <xf numFmtId="166" fontId="105" fillId="0" borderId="31" xfId="42" applyNumberFormat="1" applyFont="1" applyFill="1" applyBorder="1" applyProtection="1"/>
    <xf numFmtId="166" fontId="105" fillId="0" borderId="47" xfId="42" applyNumberFormat="1" applyFont="1" applyFill="1" applyBorder="1" applyProtection="1"/>
    <xf numFmtId="0" fontId="31" fillId="0" borderId="18" xfId="42" quotePrefix="1" applyFont="1" applyBorder="1" applyAlignment="1" applyProtection="1">
      <alignment horizontal="left"/>
    </xf>
    <xf numFmtId="0" fontId="31" fillId="0" borderId="0" xfId="42" quotePrefix="1" applyFont="1" applyBorder="1" applyAlignment="1" applyProtection="1">
      <alignment horizontal="left"/>
    </xf>
    <xf numFmtId="0" fontId="31" fillId="0" borderId="27" xfId="42" applyFont="1" applyBorder="1" applyAlignment="1" applyProtection="1">
      <alignment horizontal="center"/>
    </xf>
    <xf numFmtId="0" fontId="31" fillId="0" borderId="33" xfId="42" quotePrefix="1" applyFont="1" applyBorder="1" applyAlignment="1" applyProtection="1">
      <alignment horizontal="left"/>
    </xf>
    <xf numFmtId="0" fontId="31" fillId="0" borderId="3" xfId="42" quotePrefix="1" applyFont="1" applyBorder="1" applyAlignment="1" applyProtection="1">
      <alignment horizontal="left"/>
    </xf>
    <xf numFmtId="0" fontId="31" fillId="0" borderId="42" xfId="42" applyFont="1" applyBorder="1" applyAlignment="1" applyProtection="1">
      <alignment horizontal="center"/>
    </xf>
    <xf numFmtId="166" fontId="31" fillId="0" borderId="34" xfId="42" applyNumberFormat="1" applyFont="1" applyFill="1" applyBorder="1" applyAlignment="1" applyProtection="1">
      <alignment horizontal="right"/>
    </xf>
    <xf numFmtId="166" fontId="31" fillId="0" borderId="42" xfId="42" applyNumberFormat="1" applyFont="1" applyFill="1" applyBorder="1" applyAlignment="1" applyProtection="1">
      <alignment horizontal="right"/>
    </xf>
    <xf numFmtId="166" fontId="31" fillId="0" borderId="35" xfId="42" applyNumberFormat="1" applyFont="1" applyFill="1" applyBorder="1" applyAlignment="1" applyProtection="1">
      <alignment horizontal="right"/>
    </xf>
    <xf numFmtId="168" fontId="0" fillId="0" borderId="0" xfId="42" applyNumberFormat="1" applyFont="1" applyProtection="1"/>
    <xf numFmtId="1" fontId="0" fillId="0" borderId="0" xfId="42" applyNumberFormat="1" applyFont="1" applyProtection="1"/>
    <xf numFmtId="166" fontId="31" fillId="0" borderId="21" xfId="42" applyNumberFormat="1" applyFont="1" applyFill="1" applyBorder="1" applyProtection="1"/>
    <xf numFmtId="166" fontId="31" fillId="0" borderId="28" xfId="42" applyNumberFormat="1" applyFont="1" applyFill="1" applyBorder="1" applyProtection="1"/>
    <xf numFmtId="166" fontId="31" fillId="0" borderId="35" xfId="42" applyNumberFormat="1" applyFont="1" applyFill="1" applyBorder="1" applyProtection="1"/>
    <xf numFmtId="0" fontId="43" fillId="0" borderId="46" xfId="42" applyFont="1" applyFill="1" applyBorder="1" applyProtection="1"/>
    <xf numFmtId="0" fontId="34" fillId="0" borderId="8" xfId="42" applyFont="1" applyFill="1" applyBorder="1" applyProtection="1"/>
    <xf numFmtId="166" fontId="55" fillId="0" borderId="0" xfId="42" applyNumberFormat="1" applyFont="1" applyAlignment="1"/>
    <xf numFmtId="14" fontId="59" fillId="0" borderId="67" xfId="42" applyNumberFormat="1" applyFont="1" applyFill="1" applyBorder="1" applyAlignment="1" applyProtection="1">
      <alignment horizontal="center" vertical="center"/>
    </xf>
    <xf numFmtId="167" fontId="59" fillId="19" borderId="0" xfId="398" applyNumberFormat="1" applyFont="1" applyFill="1" applyBorder="1" applyAlignment="1"/>
    <xf numFmtId="0" fontId="4" fillId="0" borderId="0" xfId="42" applyFont="1" applyFill="1" applyBorder="1" applyAlignment="1">
      <alignment horizontal="center"/>
    </xf>
    <xf numFmtId="0" fontId="60" fillId="15" borderId="0" xfId="42" applyFont="1" applyFill="1" applyBorder="1" applyAlignment="1">
      <alignment horizontal="center"/>
    </xf>
    <xf numFmtId="0" fontId="1" fillId="15" borderId="0" xfId="42" applyFont="1" applyFill="1" applyBorder="1" applyAlignment="1">
      <alignment horizontal="center"/>
    </xf>
    <xf numFmtId="2" fontId="59" fillId="19" borderId="0" xfId="42" applyNumberFormat="1" applyFont="1" applyFill="1" applyBorder="1" applyAlignment="1">
      <alignment horizontal="right"/>
    </xf>
    <xf numFmtId="1" fontId="40" fillId="15" borderId="76" xfId="42" applyNumberFormat="1" applyFont="1" applyFill="1" applyBorder="1" applyAlignment="1"/>
    <xf numFmtId="1" fontId="40" fillId="21" borderId="89" xfId="42" applyNumberFormat="1" applyFont="1" applyFill="1" applyBorder="1" applyAlignment="1"/>
    <xf numFmtId="166" fontId="34" fillId="0" borderId="80" xfId="42" applyNumberFormat="1" applyFont="1" applyBorder="1" applyAlignment="1"/>
    <xf numFmtId="2" fontId="40" fillId="11" borderId="80" xfId="42" applyNumberFormat="1" applyFont="1" applyFill="1" applyBorder="1" applyAlignment="1"/>
    <xf numFmtId="2" fontId="40" fillId="11" borderId="82" xfId="42" applyNumberFormat="1" applyFont="1" applyFill="1" applyBorder="1" applyAlignment="1"/>
    <xf numFmtId="2" fontId="40" fillId="11" borderId="0" xfId="42" applyNumberFormat="1" applyFont="1" applyFill="1" applyBorder="1" applyAlignment="1"/>
    <xf numFmtId="1" fontId="40" fillId="13" borderId="92" xfId="42" applyNumberFormat="1" applyFont="1" applyFill="1" applyBorder="1" applyAlignment="1"/>
    <xf numFmtId="166" fontId="40" fillId="20" borderId="0" xfId="42" applyNumberFormat="1" applyFont="1" applyFill="1" applyBorder="1" applyAlignment="1"/>
    <xf numFmtId="167" fontId="40" fillId="0" borderId="0" xfId="398" applyNumberFormat="1" applyFont="1" applyBorder="1" applyAlignment="1"/>
    <xf numFmtId="166" fontId="34" fillId="0" borderId="0" xfId="42" applyNumberFormat="1" applyFont="1" applyBorder="1" applyAlignment="1"/>
    <xf numFmtId="2" fontId="40" fillId="21" borderId="0" xfId="42" applyNumberFormat="1" applyFont="1" applyFill="1" applyBorder="1" applyAlignment="1"/>
    <xf numFmtId="0" fontId="40" fillId="0" borderId="0" xfId="42" applyFont="1" applyAlignment="1"/>
    <xf numFmtId="1" fontId="40" fillId="15" borderId="72" xfId="42" applyNumberFormat="1" applyFont="1" applyFill="1" applyBorder="1" applyAlignment="1"/>
    <xf numFmtId="166" fontId="40" fillId="20" borderId="0" xfId="42" applyNumberFormat="1" applyFont="1" applyFill="1" applyBorder="1"/>
    <xf numFmtId="166" fontId="34" fillId="0" borderId="17" xfId="42" applyNumberFormat="1" applyFont="1" applyBorder="1"/>
    <xf numFmtId="167" fontId="43" fillId="34" borderId="0" xfId="398" applyNumberFormat="1" applyFont="1" applyFill="1" applyBorder="1"/>
    <xf numFmtId="167" fontId="43" fillId="34" borderId="30" xfId="398" applyNumberFormat="1" applyFont="1" applyFill="1" applyBorder="1"/>
    <xf numFmtId="167" fontId="34" fillId="34" borderId="0" xfId="42" applyNumberFormat="1" applyFont="1" applyFill="1" applyBorder="1"/>
    <xf numFmtId="1" fontId="40" fillId="13" borderId="99" xfId="42" applyNumberFormat="1" applyFont="1" applyFill="1" applyBorder="1" applyAlignment="1"/>
    <xf numFmtId="167" fontId="40" fillId="0" borderId="0" xfId="398" applyNumberFormat="1" applyFont="1" applyFill="1" applyBorder="1" applyAlignment="1"/>
    <xf numFmtId="1" fontId="40" fillId="13" borderId="40" xfId="42" applyNumberFormat="1" applyFont="1" applyFill="1" applyBorder="1" applyAlignment="1"/>
    <xf numFmtId="0" fontId="34" fillId="0" borderId="0" xfId="42" applyFont="1" applyAlignment="1">
      <alignment horizontal="right" vertical="top"/>
    </xf>
    <xf numFmtId="166" fontId="40" fillId="20" borderId="76" xfId="42" applyNumberFormat="1" applyFont="1" applyFill="1" applyBorder="1" applyAlignment="1"/>
    <xf numFmtId="166" fontId="52" fillId="19" borderId="0" xfId="42" applyNumberFormat="1" applyFont="1" applyFill="1" applyBorder="1" applyAlignment="1">
      <alignment horizontal="right"/>
    </xf>
    <xf numFmtId="166" fontId="40" fillId="0" borderId="82" xfId="42" applyNumberFormat="1" applyFont="1" applyBorder="1" applyAlignment="1"/>
    <xf numFmtId="167" fontId="40" fillId="0" borderId="17" xfId="398" applyNumberFormat="1" applyFont="1" applyBorder="1" applyAlignment="1"/>
    <xf numFmtId="167" fontId="40" fillId="13" borderId="0" xfId="398" applyNumberFormat="1" applyFont="1" applyFill="1" applyBorder="1" applyAlignment="1"/>
    <xf numFmtId="167" fontId="40" fillId="0" borderId="30" xfId="398" applyNumberFormat="1" applyFont="1" applyBorder="1" applyAlignment="1"/>
    <xf numFmtId="2" fontId="40" fillId="34" borderId="82" xfId="42" applyNumberFormat="1" applyFont="1" applyFill="1" applyBorder="1" applyAlignment="1"/>
    <xf numFmtId="2" fontId="40" fillId="11" borderId="78" xfId="42" applyNumberFormat="1" applyFont="1" applyFill="1" applyBorder="1" applyAlignment="1" applyProtection="1">
      <alignment horizontal="right"/>
      <protection locked="0"/>
    </xf>
    <xf numFmtId="2" fontId="40" fillId="11" borderId="72" xfId="42" applyNumberFormat="1" applyFont="1" applyFill="1" applyBorder="1" applyAlignment="1" applyProtection="1">
      <alignment horizontal="right"/>
      <protection locked="0"/>
    </xf>
    <xf numFmtId="166" fontId="91" fillId="15" borderId="0" xfId="42" applyNumberFormat="1" applyFont="1" applyFill="1" applyBorder="1" applyAlignment="1">
      <alignment horizontal="right"/>
    </xf>
    <xf numFmtId="2" fontId="40" fillId="11" borderId="67" xfId="42" applyNumberFormat="1" applyFont="1" applyFill="1" applyBorder="1" applyAlignment="1" applyProtection="1">
      <alignment horizontal="right"/>
      <protection locked="0"/>
    </xf>
    <xf numFmtId="166" fontId="34" fillId="15" borderId="0" xfId="42" applyNumberFormat="1" applyFont="1" applyFill="1" applyBorder="1" applyAlignment="1">
      <alignment horizontal="right"/>
    </xf>
    <xf numFmtId="2" fontId="40" fillId="11" borderId="0" xfId="42" applyNumberFormat="1" applyFont="1" applyFill="1" applyBorder="1" applyAlignment="1" applyProtection="1">
      <alignment horizontal="right"/>
      <protection locked="0"/>
    </xf>
    <xf numFmtId="166" fontId="34" fillId="21" borderId="68" xfId="42" applyNumberFormat="1" applyFont="1" applyFill="1" applyBorder="1" applyAlignment="1">
      <alignment horizontal="right"/>
    </xf>
    <xf numFmtId="166" fontId="34" fillId="15" borderId="0" xfId="42" applyNumberFormat="1" applyFont="1" applyFill="1" applyBorder="1"/>
    <xf numFmtId="166" fontId="34" fillId="21" borderId="68" xfId="42" applyNumberFormat="1" applyFont="1" applyFill="1" applyBorder="1"/>
    <xf numFmtId="166" fontId="91" fillId="21" borderId="68" xfId="42" applyNumberFormat="1" applyFont="1" applyFill="1" applyBorder="1" applyAlignment="1">
      <alignment horizontal="right"/>
    </xf>
    <xf numFmtId="2" fontId="39" fillId="11" borderId="0" xfId="42" applyNumberFormat="1" applyFont="1" applyFill="1" applyBorder="1" applyAlignment="1" applyProtection="1">
      <alignment horizontal="right"/>
      <protection locked="0"/>
    </xf>
    <xf numFmtId="166" fontId="34" fillId="15" borderId="72" xfId="42" applyNumberFormat="1" applyFont="1" applyFill="1" applyBorder="1"/>
    <xf numFmtId="166" fontId="34" fillId="21" borderId="109" xfId="42" applyNumberFormat="1" applyFont="1" applyFill="1" applyBorder="1"/>
    <xf numFmtId="2" fontId="39" fillId="11" borderId="103" xfId="42" applyNumberFormat="1" applyFont="1" applyFill="1" applyBorder="1" applyAlignment="1" applyProtection="1">
      <alignment horizontal="right"/>
      <protection locked="0"/>
    </xf>
    <xf numFmtId="2" fontId="40" fillId="13" borderId="0" xfId="42" applyNumberFormat="1" applyFont="1" applyFill="1" applyBorder="1" applyAlignment="1"/>
    <xf numFmtId="166" fontId="40" fillId="0" borderId="0" xfId="42" applyNumberFormat="1" applyFont="1" applyAlignment="1"/>
    <xf numFmtId="1" fontId="40" fillId="13" borderId="17" xfId="42" applyNumberFormat="1" applyFont="1" applyFill="1" applyBorder="1" applyAlignment="1"/>
    <xf numFmtId="166" fontId="40" fillId="0" borderId="17" xfId="42" applyNumberFormat="1" applyFont="1" applyBorder="1" applyAlignment="1">
      <alignment vertical="center"/>
    </xf>
    <xf numFmtId="2" fontId="40" fillId="34" borderId="138" xfId="398" applyNumberFormat="1" applyFont="1" applyFill="1" applyBorder="1" applyAlignment="1"/>
    <xf numFmtId="167" fontId="40" fillId="13" borderId="30" xfId="398" applyNumberFormat="1" applyFont="1" applyFill="1" applyBorder="1" applyAlignment="1"/>
    <xf numFmtId="2" fontId="40" fillId="34" borderId="0" xfId="42" applyNumberFormat="1" applyFont="1" applyFill="1" applyBorder="1" applyAlignment="1"/>
    <xf numFmtId="166" fontId="40" fillId="21" borderId="0" xfId="42" applyNumberFormat="1" applyFont="1" applyFill="1" applyBorder="1" applyAlignment="1"/>
    <xf numFmtId="10" fontId="40" fillId="0" borderId="17" xfId="398" applyNumberFormat="1" applyFont="1" applyBorder="1" applyAlignment="1"/>
    <xf numFmtId="10" fontId="40" fillId="0" borderId="0" xfId="398" applyNumberFormat="1" applyFont="1" applyBorder="1" applyAlignment="1"/>
    <xf numFmtId="10" fontId="40" fillId="0" borderId="30" xfId="398" applyNumberFormat="1" applyFont="1" applyBorder="1" applyAlignment="1"/>
    <xf numFmtId="10" fontId="40" fillId="13" borderId="0" xfId="398" applyNumberFormat="1" applyFont="1" applyFill="1" applyBorder="1" applyAlignment="1"/>
    <xf numFmtId="166" fontId="40" fillId="0" borderId="0" xfId="42" applyNumberFormat="1" applyFont="1" applyBorder="1" applyAlignment="1"/>
    <xf numFmtId="166" fontId="34" fillId="0" borderId="82" xfId="42" applyNumberFormat="1" applyFont="1" applyBorder="1" applyAlignment="1"/>
    <xf numFmtId="166" fontId="40" fillId="0" borderId="76" xfId="42" applyNumberFormat="1" applyFont="1" applyBorder="1" applyAlignment="1"/>
    <xf numFmtId="166" fontId="40" fillId="0" borderId="80" xfId="42" applyNumberFormat="1" applyFont="1" applyBorder="1" applyAlignment="1"/>
    <xf numFmtId="166" fontId="34" fillId="0" borderId="0" xfId="42" applyNumberFormat="1" applyFont="1" applyFill="1" applyBorder="1" applyAlignment="1"/>
    <xf numFmtId="168" fontId="40" fillId="0" borderId="0" xfId="42" applyNumberFormat="1" applyFont="1" applyAlignment="1"/>
    <xf numFmtId="167" fontId="40" fillId="0" borderId="0" xfId="398" applyNumberFormat="1" applyFont="1" applyAlignment="1"/>
    <xf numFmtId="166" fontId="34" fillId="21" borderId="0" xfId="42" applyNumberFormat="1" applyFont="1" applyFill="1" applyBorder="1" applyAlignment="1"/>
    <xf numFmtId="166" fontId="40" fillId="15" borderId="76" xfId="42" applyNumberFormat="1" applyFont="1" applyFill="1" applyBorder="1" applyAlignment="1"/>
    <xf numFmtId="2" fontId="40" fillId="0" borderId="0" xfId="42" applyNumberFormat="1" applyFont="1" applyAlignment="1"/>
    <xf numFmtId="2" fontId="40" fillId="20" borderId="0" xfId="42" applyNumberFormat="1" applyFont="1" applyFill="1" applyBorder="1" applyAlignment="1"/>
    <xf numFmtId="0" fontId="34" fillId="0" borderId="0" xfId="42" quotePrefix="1" applyFont="1" applyAlignment="1"/>
    <xf numFmtId="166" fontId="34" fillId="0" borderId="17" xfId="42" applyNumberFormat="1" applyFont="1" applyFill="1" applyBorder="1" applyAlignment="1"/>
    <xf numFmtId="166" fontId="34" fillId="0" borderId="30" xfId="42" applyNumberFormat="1" applyFont="1" applyFill="1" applyBorder="1" applyAlignment="1"/>
    <xf numFmtId="167" fontId="34" fillId="0" borderId="17" xfId="398" applyNumberFormat="1" applyFont="1" applyBorder="1" applyAlignment="1"/>
    <xf numFmtId="167" fontId="34" fillId="0" borderId="0" xfId="398" applyNumberFormat="1" applyFont="1" applyBorder="1" applyAlignment="1"/>
    <xf numFmtId="167" fontId="34" fillId="0" borderId="30" xfId="398" applyNumberFormat="1" applyFont="1" applyBorder="1" applyAlignment="1"/>
    <xf numFmtId="167" fontId="34" fillId="13" borderId="0" xfId="398" applyNumberFormat="1" applyFont="1" applyFill="1" applyBorder="1" applyAlignment="1"/>
    <xf numFmtId="166" fontId="34" fillId="13" borderId="0" xfId="42" applyNumberFormat="1" applyFont="1" applyFill="1" applyBorder="1" applyAlignment="1"/>
    <xf numFmtId="167" fontId="34" fillId="0" borderId="0" xfId="398" applyNumberFormat="1" applyFont="1" applyFill="1" applyBorder="1" applyAlignment="1"/>
    <xf numFmtId="167" fontId="34" fillId="13" borderId="30" xfId="398" applyNumberFormat="1" applyFont="1" applyFill="1" applyBorder="1" applyAlignment="1"/>
    <xf numFmtId="0" fontId="34" fillId="0" borderId="0" xfId="42" applyFont="1" applyAlignment="1"/>
    <xf numFmtId="166" fontId="114" fillId="19" borderId="0" xfId="42" applyNumberFormat="1" applyFont="1" applyFill="1" applyAlignment="1"/>
    <xf numFmtId="2" fontId="114" fillId="21" borderId="0" xfId="42" applyNumberFormat="1" applyFont="1" applyFill="1" applyAlignment="1"/>
    <xf numFmtId="2" fontId="40" fillId="34" borderId="80" xfId="42" applyNumberFormat="1" applyFont="1" applyFill="1" applyBorder="1" applyAlignment="1"/>
    <xf numFmtId="166" fontId="34" fillId="0" borderId="0" xfId="42" applyNumberFormat="1" applyFont="1" applyAlignment="1"/>
    <xf numFmtId="167" fontId="52" fillId="19" borderId="0" xfId="398" applyNumberFormat="1" applyFont="1" applyFill="1" applyBorder="1" applyAlignment="1"/>
    <xf numFmtId="166" fontId="52" fillId="21" borderId="0" xfId="42" applyNumberFormat="1" applyFont="1" applyFill="1" applyBorder="1" applyAlignment="1"/>
    <xf numFmtId="10" fontId="34" fillId="13" borderId="0" xfId="398" applyNumberFormat="1" applyFont="1" applyFill="1" applyBorder="1" applyAlignment="1"/>
    <xf numFmtId="166" fontId="40" fillId="11" borderId="80" xfId="42" applyNumberFormat="1" applyFont="1" applyFill="1" applyBorder="1" applyAlignment="1"/>
    <xf numFmtId="166" fontId="40" fillId="11" borderId="0" xfId="42" applyNumberFormat="1" applyFont="1" applyFill="1" applyBorder="1" applyAlignment="1"/>
    <xf numFmtId="168" fontId="40" fillId="20" borderId="0" xfId="42" applyNumberFormat="1" applyFont="1" applyFill="1" applyAlignment="1"/>
    <xf numFmtId="166" fontId="40" fillId="21" borderId="0" xfId="42" applyNumberFormat="1" applyFont="1" applyFill="1" applyAlignment="1"/>
    <xf numFmtId="167" fontId="40" fillId="34" borderId="138" xfId="398" applyNumberFormat="1" applyFont="1" applyFill="1" applyBorder="1" applyAlignment="1"/>
    <xf numFmtId="10" fontId="34" fillId="0" borderId="30" xfId="398" applyNumberFormat="1" applyFont="1" applyBorder="1" applyAlignment="1"/>
    <xf numFmtId="167" fontId="34" fillId="13" borderId="0" xfId="398" applyNumberFormat="1" applyFont="1" applyFill="1" applyAlignment="1">
      <alignment vertical="center"/>
    </xf>
    <xf numFmtId="10" fontId="40" fillId="13" borderId="0" xfId="398" applyNumberFormat="1" applyFont="1" applyFill="1" applyAlignment="1"/>
    <xf numFmtId="166" fontId="40" fillId="15" borderId="0" xfId="42" applyNumberFormat="1" applyFont="1" applyFill="1" applyBorder="1" applyAlignment="1"/>
    <xf numFmtId="166" fontId="40" fillId="0" borderId="71" xfId="42" applyNumberFormat="1" applyFont="1" applyFill="1" applyBorder="1" applyAlignment="1"/>
    <xf numFmtId="167" fontId="40" fillId="0" borderId="0" xfId="42" applyNumberFormat="1" applyFont="1" applyAlignment="1"/>
    <xf numFmtId="167" fontId="40" fillId="13" borderId="76" xfId="398" applyNumberFormat="1" applyFont="1" applyFill="1" applyBorder="1" applyAlignment="1"/>
    <xf numFmtId="2" fontId="40" fillId="11" borderId="41" xfId="42" applyNumberFormat="1" applyFont="1" applyFill="1" applyBorder="1" applyAlignment="1">
      <alignment horizontal="center" vertical="center"/>
    </xf>
    <xf numFmtId="168" fontId="28" fillId="0" borderId="0" xfId="42" applyNumberFormat="1" applyFont="1" applyAlignment="1"/>
    <xf numFmtId="166" fontId="34" fillId="0" borderId="19" xfId="42" applyNumberFormat="1" applyFont="1" applyFill="1" applyBorder="1" applyProtection="1"/>
    <xf numFmtId="166" fontId="34" fillId="0" borderId="17" xfId="42" applyNumberFormat="1" applyFont="1" applyFill="1" applyBorder="1" applyProtection="1"/>
    <xf numFmtId="166" fontId="34" fillId="0" borderId="26" xfId="42" applyNumberFormat="1" applyFont="1" applyFill="1" applyBorder="1" applyProtection="1"/>
    <xf numFmtId="166" fontId="34" fillId="0" borderId="2" xfId="42" applyNumberFormat="1" applyFont="1" applyFill="1" applyBorder="1" applyProtection="1"/>
    <xf numFmtId="0" fontId="43" fillId="0" borderId="33" xfId="42" applyFont="1" applyFill="1" applyBorder="1" applyProtection="1"/>
    <xf numFmtId="0" fontId="43" fillId="0" borderId="3" xfId="42" applyFont="1" applyFill="1" applyBorder="1" applyProtection="1"/>
    <xf numFmtId="0" fontId="34" fillId="0" borderId="37" xfId="42" applyFont="1" applyFill="1" applyBorder="1" applyAlignment="1" applyProtection="1">
      <alignment horizontal="right"/>
    </xf>
    <xf numFmtId="0" fontId="28" fillId="0" borderId="17" xfId="42" applyFont="1" applyFill="1" applyBorder="1" applyProtection="1"/>
    <xf numFmtId="0" fontId="28" fillId="0" borderId="20" xfId="42" applyFont="1" applyFill="1" applyBorder="1" applyProtection="1"/>
    <xf numFmtId="168" fontId="34" fillId="0" borderId="0" xfId="42" applyNumberFormat="1" applyFont="1" applyFill="1" applyBorder="1" applyProtection="1"/>
    <xf numFmtId="0" fontId="28" fillId="0" borderId="21" xfId="42" applyFont="1" applyFill="1" applyBorder="1"/>
    <xf numFmtId="14" fontId="36" fillId="0" borderId="21" xfId="42" applyNumberFormat="1" applyFont="1" applyFill="1" applyBorder="1" applyAlignment="1" applyProtection="1">
      <alignment horizontal="center"/>
    </xf>
    <xf numFmtId="0" fontId="32" fillId="0" borderId="31" xfId="42" applyFont="1" applyFill="1" applyBorder="1" applyAlignment="1" applyProtection="1">
      <alignment horizontal="center"/>
    </xf>
    <xf numFmtId="0" fontId="34" fillId="0" borderId="25" xfId="42" applyFont="1" applyFill="1" applyBorder="1" applyAlignment="1" applyProtection="1">
      <alignment horizontal="center"/>
    </xf>
    <xf numFmtId="166" fontId="28" fillId="0" borderId="30" xfId="42" applyNumberFormat="1" applyFont="1" applyFill="1" applyBorder="1"/>
    <xf numFmtId="0" fontId="40" fillId="0" borderId="30" xfId="42" applyFont="1" applyFill="1" applyBorder="1" applyAlignment="1" applyProtection="1">
      <alignment horizontal="right"/>
    </xf>
    <xf numFmtId="166" fontId="34" fillId="0" borderId="25" xfId="42" quotePrefix="1" applyNumberFormat="1" applyFont="1" applyFill="1" applyBorder="1" applyAlignment="1" applyProtection="1">
      <alignment horizontal="right"/>
    </xf>
    <xf numFmtId="166" fontId="34" fillId="0" borderId="26" xfId="42" quotePrefix="1" applyNumberFormat="1" applyFont="1" applyFill="1" applyBorder="1" applyAlignment="1" applyProtection="1">
      <alignment horizontal="right"/>
    </xf>
    <xf numFmtId="0" fontId="40" fillId="0" borderId="6" xfId="42" applyFont="1" applyFill="1" applyBorder="1" applyAlignment="1" applyProtection="1">
      <alignment horizontal="center"/>
    </xf>
    <xf numFmtId="0" fontId="40" fillId="0" borderId="6" xfId="42" quotePrefix="1" applyFont="1" applyFill="1" applyBorder="1" applyAlignment="1" applyProtection="1">
      <alignment horizontal="right"/>
    </xf>
    <xf numFmtId="0" fontId="40" fillId="0" borderId="57" xfId="42" quotePrefix="1" applyFont="1" applyFill="1" applyBorder="1" applyAlignment="1" applyProtection="1">
      <alignment horizontal="left"/>
    </xf>
    <xf numFmtId="0" fontId="40" fillId="0" borderId="58" xfId="42" applyFont="1" applyFill="1" applyBorder="1" applyAlignment="1" applyProtection="1">
      <alignment horizontal="center"/>
    </xf>
    <xf numFmtId="166" fontId="40" fillId="0" borderId="58" xfId="42" applyNumberFormat="1" applyFont="1" applyFill="1" applyBorder="1" applyProtection="1"/>
    <xf numFmtId="168" fontId="34" fillId="0" borderId="57" xfId="42" applyNumberFormat="1" applyFont="1" applyFill="1" applyBorder="1" applyProtection="1"/>
    <xf numFmtId="166" fontId="40" fillId="0" borderId="58" xfId="42" quotePrefix="1" applyNumberFormat="1" applyFont="1" applyFill="1" applyBorder="1" applyAlignment="1" applyProtection="1">
      <alignment horizontal="right"/>
    </xf>
    <xf numFmtId="166" fontId="40" fillId="0" borderId="130" xfId="42" quotePrefix="1" applyNumberFormat="1" applyFont="1" applyFill="1" applyBorder="1" applyAlignment="1" applyProtection="1">
      <alignment horizontal="right"/>
    </xf>
    <xf numFmtId="166" fontId="0" fillId="0" borderId="25" xfId="42" applyNumberFormat="1" applyFont="1" applyFill="1" applyBorder="1"/>
    <xf numFmtId="166" fontId="0" fillId="0" borderId="26" xfId="42" applyNumberFormat="1" applyFont="1" applyFill="1" applyBorder="1"/>
    <xf numFmtId="166" fontId="40" fillId="0" borderId="31" xfId="42" quotePrefix="1" applyNumberFormat="1" applyFont="1" applyFill="1" applyBorder="1" applyAlignment="1" applyProtection="1">
      <alignment horizontal="right"/>
    </xf>
    <xf numFmtId="166" fontId="40" fillId="0" borderId="32" xfId="42" quotePrefix="1" applyNumberFormat="1" applyFont="1" applyFill="1" applyBorder="1" applyAlignment="1" applyProtection="1">
      <alignment horizontal="right"/>
    </xf>
    <xf numFmtId="166" fontId="34" fillId="0" borderId="45" xfId="42" applyNumberFormat="1" applyFont="1" applyFill="1" applyBorder="1" applyProtection="1"/>
    <xf numFmtId="166" fontId="34" fillId="0" borderId="131" xfId="42" applyNumberFormat="1" applyFont="1" applyFill="1" applyBorder="1" applyProtection="1"/>
    <xf numFmtId="166" fontId="34" fillId="0" borderId="133" xfId="42" applyNumberFormat="1" applyFont="1" applyFill="1" applyBorder="1" applyProtection="1"/>
    <xf numFmtId="0" fontId="0" fillId="12" borderId="19" xfId="42" applyFont="1" applyFill="1" applyBorder="1"/>
    <xf numFmtId="0" fontId="40" fillId="12" borderId="17" xfId="42" applyFont="1" applyFill="1" applyBorder="1" applyProtection="1"/>
    <xf numFmtId="0" fontId="34" fillId="12" borderId="17" xfId="42" applyFont="1" applyFill="1" applyBorder="1" applyProtection="1"/>
    <xf numFmtId="15" fontId="40" fillId="12" borderId="17" xfId="42" applyNumberFormat="1" applyFont="1" applyFill="1" applyBorder="1" applyAlignment="1" applyProtection="1">
      <alignment horizontal="left"/>
    </xf>
    <xf numFmtId="0" fontId="40" fillId="12" borderId="20" xfId="42" applyFont="1" applyFill="1" applyBorder="1" applyProtection="1"/>
    <xf numFmtId="0" fontId="41" fillId="12" borderId="21" xfId="42" applyFont="1" applyFill="1" applyBorder="1" applyAlignment="1" applyProtection="1">
      <alignment horizontal="center"/>
    </xf>
    <xf numFmtId="0" fontId="40" fillId="12" borderId="0" xfId="42" applyFont="1" applyFill="1" applyBorder="1" applyAlignment="1" applyProtection="1">
      <alignment horizontal="center"/>
    </xf>
    <xf numFmtId="0" fontId="40" fillId="12" borderId="21" xfId="42" applyFont="1" applyFill="1" applyBorder="1" applyAlignment="1" applyProtection="1">
      <alignment horizontal="center"/>
    </xf>
    <xf numFmtId="0" fontId="34" fillId="12" borderId="0" xfId="42" quotePrefix="1" applyFont="1" applyFill="1" applyBorder="1" applyAlignment="1" applyProtection="1">
      <alignment horizontal="left"/>
    </xf>
    <xf numFmtId="0" fontId="40" fillId="12" borderId="0" xfId="42" applyFont="1" applyFill="1" applyBorder="1" applyAlignment="1" applyProtection="1">
      <alignment horizontal="left"/>
    </xf>
    <xf numFmtId="0" fontId="34" fillId="12" borderId="0" xfId="42" applyFont="1" applyFill="1" applyBorder="1" applyProtection="1"/>
    <xf numFmtId="3" fontId="34" fillId="12" borderId="21" xfId="42" applyNumberFormat="1" applyFont="1" applyFill="1" applyBorder="1" applyProtection="1"/>
    <xf numFmtId="0" fontId="40" fillId="12" borderId="0" xfId="42" applyFont="1" applyFill="1" applyBorder="1" applyProtection="1"/>
    <xf numFmtId="3" fontId="34" fillId="12" borderId="0" xfId="42" applyNumberFormat="1" applyFont="1" applyFill="1" applyBorder="1" applyProtection="1"/>
    <xf numFmtId="0" fontId="34" fillId="12" borderId="0" xfId="42" applyFont="1" applyFill="1" applyBorder="1" applyAlignment="1" applyProtection="1">
      <alignment horizontal="left"/>
    </xf>
    <xf numFmtId="15" fontId="42" fillId="12" borderId="21" xfId="42" applyNumberFormat="1" applyFont="1" applyFill="1" applyBorder="1" applyAlignment="1" applyProtection="1">
      <alignment horizontal="left"/>
    </xf>
    <xf numFmtId="0" fontId="34" fillId="12" borderId="7" xfId="42" applyFont="1" applyFill="1" applyBorder="1" applyProtection="1"/>
    <xf numFmtId="0" fontId="34" fillId="12" borderId="6" xfId="42" applyFont="1" applyFill="1" applyBorder="1" applyProtection="1"/>
    <xf numFmtId="1" fontId="40" fillId="12" borderId="22" xfId="42" applyNumberFormat="1" applyFont="1" applyFill="1" applyBorder="1" applyAlignment="1" applyProtection="1">
      <alignment horizontal="center"/>
    </xf>
    <xf numFmtId="1" fontId="40" fillId="12" borderId="23" xfId="42" applyNumberFormat="1" applyFont="1" applyFill="1" applyBorder="1" applyAlignment="1" applyProtection="1">
      <alignment horizontal="center"/>
    </xf>
    <xf numFmtId="1" fontId="40" fillId="12" borderId="8" xfId="42" applyNumberFormat="1" applyFont="1" applyFill="1" applyBorder="1" applyAlignment="1" applyProtection="1">
      <alignment horizontal="center"/>
    </xf>
    <xf numFmtId="1" fontId="40" fillId="12" borderId="21" xfId="42" applyNumberFormat="1" applyFont="1" applyFill="1" applyBorder="1" applyProtection="1"/>
    <xf numFmtId="0" fontId="40" fillId="12" borderId="21" xfId="42" applyFont="1" applyFill="1" applyBorder="1" applyAlignment="1" applyProtection="1">
      <alignment horizontal="centerContinuous"/>
    </xf>
    <xf numFmtId="0" fontId="43" fillId="12" borderId="24" xfId="42" applyFont="1" applyFill="1" applyBorder="1" applyProtection="1"/>
    <xf numFmtId="166" fontId="34" fillId="12" borderId="25" xfId="42" applyNumberFormat="1" applyFont="1" applyFill="1" applyBorder="1" applyAlignment="1" applyProtection="1">
      <alignment horizontal="right"/>
    </xf>
    <xf numFmtId="166" fontId="34" fillId="12" borderId="17" xfId="42" applyNumberFormat="1" applyFont="1" applyFill="1" applyBorder="1" applyAlignment="1" applyProtection="1">
      <alignment horizontal="right"/>
    </xf>
    <xf numFmtId="166" fontId="34" fillId="12" borderId="26" xfId="42" applyNumberFormat="1" applyFont="1" applyFill="1" applyBorder="1" applyAlignment="1" applyProtection="1">
      <alignment horizontal="right"/>
    </xf>
    <xf numFmtId="0" fontId="34" fillId="12" borderId="21" xfId="42" applyFont="1" applyFill="1" applyBorder="1" applyAlignment="1" applyProtection="1">
      <alignment horizontal="right"/>
    </xf>
    <xf numFmtId="0" fontId="0" fillId="12" borderId="27" xfId="42" applyFont="1" applyFill="1" applyBorder="1"/>
    <xf numFmtId="0" fontId="0" fillId="12" borderId="28" xfId="42" applyFont="1" applyFill="1" applyBorder="1"/>
    <xf numFmtId="0" fontId="34" fillId="12" borderId="18" xfId="42" applyFont="1" applyFill="1" applyBorder="1" applyAlignment="1" applyProtection="1"/>
    <xf numFmtId="0" fontId="40" fillId="12" borderId="21" xfId="42" applyFont="1" applyFill="1" applyBorder="1" applyAlignment="1" applyProtection="1">
      <alignment horizontal="right"/>
    </xf>
    <xf numFmtId="0" fontId="43" fillId="12" borderId="18" xfId="42" applyFont="1" applyFill="1" applyBorder="1" applyProtection="1"/>
    <xf numFmtId="166" fontId="28" fillId="12" borderId="27" xfId="42" applyNumberFormat="1" applyFont="1" applyFill="1" applyBorder="1"/>
    <xf numFmtId="166" fontId="28" fillId="12" borderId="28" xfId="42" applyNumberFormat="1" applyFont="1" applyFill="1" applyBorder="1"/>
    <xf numFmtId="166" fontId="34" fillId="12" borderId="27" xfId="42" applyNumberFormat="1" applyFont="1" applyFill="1" applyBorder="1" applyAlignment="1" applyProtection="1">
      <alignment horizontal="right"/>
    </xf>
    <xf numFmtId="166" fontId="34" fillId="12" borderId="0" xfId="42" applyNumberFormat="1" applyFont="1" applyFill="1" applyBorder="1" applyAlignment="1" applyProtection="1">
      <alignment horizontal="right"/>
    </xf>
    <xf numFmtId="166" fontId="34" fillId="12" borderId="28" xfId="42" applyNumberFormat="1" applyFont="1" applyFill="1" applyBorder="1" applyAlignment="1" applyProtection="1">
      <alignment horizontal="right"/>
    </xf>
    <xf numFmtId="0" fontId="34" fillId="12" borderId="29" xfId="42" applyFont="1" applyFill="1" applyBorder="1" applyProtection="1"/>
    <xf numFmtId="0" fontId="34" fillId="12" borderId="30" xfId="42" applyFont="1" applyFill="1" applyBorder="1" applyProtection="1"/>
    <xf numFmtId="166" fontId="34" fillId="12" borderId="31" xfId="42" applyNumberFormat="1" applyFont="1" applyFill="1" applyBorder="1" applyAlignment="1" applyProtection="1">
      <alignment horizontal="right"/>
    </xf>
    <xf numFmtId="166" fontId="34" fillId="12" borderId="30" xfId="42" applyNumberFormat="1" applyFont="1" applyFill="1" applyBorder="1" applyAlignment="1" applyProtection="1">
      <alignment horizontal="right"/>
    </xf>
    <xf numFmtId="166" fontId="34" fillId="12" borderId="32" xfId="42" applyNumberFormat="1" applyFont="1" applyFill="1" applyBorder="1" applyAlignment="1" applyProtection="1">
      <alignment horizontal="right"/>
    </xf>
    <xf numFmtId="0" fontId="34" fillId="12" borderId="24" xfId="42" applyFont="1" applyFill="1" applyBorder="1" applyProtection="1"/>
    <xf numFmtId="0" fontId="31" fillId="12" borderId="18" xfId="42" applyFont="1" applyFill="1" applyBorder="1" applyProtection="1"/>
    <xf numFmtId="0" fontId="110" fillId="12" borderId="0" xfId="42" applyFont="1" applyFill="1" applyBorder="1" applyProtection="1"/>
    <xf numFmtId="166" fontId="31" fillId="12" borderId="27" xfId="42" applyNumberFormat="1" applyFont="1" applyFill="1" applyBorder="1" applyAlignment="1" applyProtection="1">
      <alignment horizontal="right"/>
    </xf>
    <xf numFmtId="166" fontId="31" fillId="12" borderId="0" xfId="42" applyNumberFormat="1" applyFont="1" applyFill="1" applyBorder="1" applyAlignment="1" applyProtection="1">
      <alignment horizontal="right"/>
    </xf>
    <xf numFmtId="166" fontId="31" fillId="12" borderId="28" xfId="42" applyNumberFormat="1" applyFont="1" applyFill="1" applyBorder="1" applyAlignment="1" applyProtection="1">
      <alignment horizontal="right"/>
    </xf>
    <xf numFmtId="0" fontId="43" fillId="12" borderId="21" xfId="42" applyFont="1" applyFill="1" applyBorder="1" applyAlignment="1" applyProtection="1">
      <alignment horizontal="right"/>
    </xf>
    <xf numFmtId="166" fontId="28" fillId="12" borderId="0" xfId="42" applyNumberFormat="1" applyFont="1" applyFill="1" applyBorder="1" applyAlignment="1" applyProtection="1">
      <alignment horizontal="right"/>
    </xf>
    <xf numFmtId="0" fontId="43" fillId="12" borderId="0" xfId="42" applyFont="1" applyFill="1" applyBorder="1" applyProtection="1"/>
    <xf numFmtId="166" fontId="34" fillId="12" borderId="2" xfId="42" applyNumberFormat="1" applyFont="1" applyFill="1" applyBorder="1" applyAlignment="1" applyProtection="1">
      <alignment horizontal="right"/>
    </xf>
    <xf numFmtId="166" fontId="34" fillId="12" borderId="21" xfId="42" applyNumberFormat="1" applyFont="1" applyFill="1" applyBorder="1" applyAlignment="1" applyProtection="1">
      <alignment horizontal="right"/>
    </xf>
    <xf numFmtId="0" fontId="34" fillId="12" borderId="33" xfId="42" applyFont="1" applyFill="1" applyBorder="1" applyProtection="1"/>
    <xf numFmtId="0" fontId="36" fillId="12" borderId="3" xfId="42" applyFont="1" applyFill="1" applyBorder="1" applyProtection="1"/>
    <xf numFmtId="166" fontId="34" fillId="12" borderId="34" xfId="42" applyNumberFormat="1" applyFont="1" applyFill="1" applyBorder="1" applyAlignment="1" applyProtection="1">
      <alignment horizontal="right"/>
    </xf>
    <xf numFmtId="166" fontId="34" fillId="12" borderId="35" xfId="42" applyNumberFormat="1" applyFont="1" applyFill="1" applyBorder="1" applyAlignment="1" applyProtection="1">
      <alignment horizontal="right"/>
    </xf>
    <xf numFmtId="0" fontId="28" fillId="12" borderId="30" xfId="42" applyFont="1" applyFill="1" applyBorder="1"/>
    <xf numFmtId="0" fontId="40" fillId="12" borderId="30" xfId="42" applyFont="1" applyFill="1" applyBorder="1" applyAlignment="1" applyProtection="1">
      <alignment horizontal="right"/>
    </xf>
    <xf numFmtId="0" fontId="34" fillId="12" borderId="21" xfId="42" applyNumberFormat="1" applyFont="1" applyFill="1" applyBorder="1" applyAlignment="1" applyProtection="1">
      <alignment horizontal="centerContinuous"/>
    </xf>
    <xf numFmtId="0" fontId="34" fillId="12" borderId="21" xfId="42" applyNumberFormat="1" applyFont="1" applyFill="1" applyBorder="1" applyProtection="1"/>
    <xf numFmtId="0" fontId="42" fillId="12" borderId="21" xfId="42" applyFont="1" applyFill="1" applyBorder="1" applyProtection="1"/>
    <xf numFmtId="0" fontId="40" fillId="12" borderId="38" xfId="42" applyFont="1" applyFill="1" applyBorder="1" applyAlignment="1" applyProtection="1">
      <alignment horizontal="center"/>
    </xf>
    <xf numFmtId="1" fontId="40" fillId="12" borderId="44" xfId="42" applyNumberFormat="1" applyFont="1" applyFill="1" applyBorder="1" applyAlignment="1" applyProtection="1">
      <alignment horizontal="center"/>
    </xf>
    <xf numFmtId="0" fontId="40" fillId="12" borderId="27" xfId="42" applyFont="1" applyFill="1" applyBorder="1" applyAlignment="1" applyProtection="1">
      <alignment horizontal="center"/>
    </xf>
    <xf numFmtId="0" fontId="31" fillId="12" borderId="24" xfId="42" applyFont="1" applyFill="1" applyBorder="1" applyProtection="1"/>
    <xf numFmtId="0" fontId="31" fillId="12" borderId="17" xfId="42" applyFont="1" applyFill="1" applyBorder="1" applyProtection="1"/>
    <xf numFmtId="0" fontId="111" fillId="12" borderId="25" xfId="42" applyFont="1" applyFill="1" applyBorder="1" applyAlignment="1" applyProtection="1">
      <alignment horizontal="center"/>
    </xf>
    <xf numFmtId="166" fontId="31" fillId="12" borderId="19" xfId="42" applyNumberFormat="1" applyFont="1" applyFill="1" applyBorder="1" applyAlignment="1" applyProtection="1">
      <alignment horizontal="right"/>
    </xf>
    <xf numFmtId="166" fontId="31" fillId="12" borderId="25" xfId="42" applyNumberFormat="1" applyFont="1" applyFill="1" applyBorder="1" applyAlignment="1" applyProtection="1">
      <alignment horizontal="right"/>
    </xf>
    <xf numFmtId="166" fontId="31" fillId="12" borderId="26" xfId="42" applyNumberFormat="1" applyFont="1" applyFill="1" applyBorder="1" applyAlignment="1" applyProtection="1">
      <alignment horizontal="right"/>
    </xf>
    <xf numFmtId="0" fontId="31" fillId="12" borderId="0" xfId="42" applyFont="1" applyFill="1" applyBorder="1" applyProtection="1"/>
    <xf numFmtId="0" fontId="111" fillId="12" borderId="27" xfId="42" applyFont="1" applyFill="1" applyBorder="1" applyAlignment="1" applyProtection="1">
      <alignment horizontal="center"/>
    </xf>
    <xf numFmtId="166" fontId="31" fillId="12" borderId="2" xfId="42" applyNumberFormat="1" applyFont="1" applyFill="1" applyBorder="1" applyAlignment="1" applyProtection="1">
      <alignment horizontal="right"/>
    </xf>
    <xf numFmtId="0" fontId="105" fillId="12" borderId="29" xfId="42" applyFont="1" applyFill="1" applyBorder="1" applyAlignment="1" applyProtection="1"/>
    <xf numFmtId="0" fontId="31" fillId="12" borderId="30" xfId="42" applyFont="1" applyFill="1" applyBorder="1" applyProtection="1"/>
    <xf numFmtId="0" fontId="111" fillId="12" borderId="31" xfId="42" applyFont="1" applyFill="1" applyBorder="1" applyAlignment="1" applyProtection="1">
      <alignment horizontal="center"/>
    </xf>
    <xf numFmtId="166" fontId="105" fillId="12" borderId="30" xfId="42" applyNumberFormat="1" applyFont="1" applyFill="1" applyBorder="1" applyAlignment="1" applyProtection="1">
      <alignment horizontal="right"/>
    </xf>
    <xf numFmtId="166" fontId="105" fillId="12" borderId="31" xfId="42" applyNumberFormat="1" applyFont="1" applyFill="1" applyBorder="1" applyAlignment="1" applyProtection="1">
      <alignment horizontal="right"/>
    </xf>
    <xf numFmtId="166" fontId="105" fillId="12" borderId="32" xfId="42" applyNumberFormat="1" applyFont="1" applyFill="1" applyBorder="1" applyAlignment="1" applyProtection="1">
      <alignment horizontal="right"/>
    </xf>
    <xf numFmtId="0" fontId="42" fillId="12" borderId="27" xfId="42" applyFont="1" applyFill="1" applyBorder="1" applyAlignment="1" applyProtection="1">
      <alignment horizontal="center"/>
    </xf>
    <xf numFmtId="0" fontId="110" fillId="12" borderId="18" xfId="42" applyFont="1" applyFill="1" applyBorder="1" applyProtection="1"/>
    <xf numFmtId="0" fontId="112" fillId="12" borderId="27" xfId="42" applyFont="1" applyFill="1" applyBorder="1" applyAlignment="1" applyProtection="1">
      <alignment horizontal="center"/>
    </xf>
    <xf numFmtId="0" fontId="105" fillId="12" borderId="39" xfId="42" applyFont="1" applyFill="1" applyBorder="1" applyAlignment="1" applyProtection="1">
      <alignment horizontal="left"/>
    </xf>
    <xf numFmtId="0" fontId="105" fillId="12" borderId="40" xfId="42" applyFont="1" applyFill="1" applyBorder="1" applyProtection="1"/>
    <xf numFmtId="0" fontId="113" fillId="12" borderId="41" xfId="42" applyFont="1" applyFill="1" applyBorder="1" applyAlignment="1" applyProtection="1">
      <alignment horizontal="center"/>
    </xf>
    <xf numFmtId="166" fontId="105" fillId="12" borderId="40" xfId="42" applyNumberFormat="1" applyFont="1" applyFill="1" applyBorder="1" applyAlignment="1" applyProtection="1">
      <alignment horizontal="right"/>
    </xf>
    <xf numFmtId="166" fontId="105" fillId="12" borderId="41" xfId="42" applyNumberFormat="1" applyFont="1" applyFill="1" applyBorder="1" applyAlignment="1" applyProtection="1">
      <alignment horizontal="right"/>
    </xf>
    <xf numFmtId="166" fontId="105" fillId="12" borderId="43" xfId="42" applyNumberFormat="1" applyFont="1" applyFill="1" applyBorder="1" applyAlignment="1" applyProtection="1">
      <alignment horizontal="right"/>
    </xf>
    <xf numFmtId="166" fontId="3" fillId="12" borderId="0" xfId="42" applyNumberFormat="1" applyFont="1" applyFill="1" applyBorder="1" applyAlignment="1" applyProtection="1">
      <alignment horizontal="center"/>
    </xf>
    <xf numFmtId="0" fontId="28" fillId="12" borderId="18" xfId="42" quotePrefix="1" applyFont="1" applyFill="1" applyBorder="1" applyAlignment="1" applyProtection="1">
      <alignment horizontal="left"/>
    </xf>
    <xf numFmtId="0" fontId="28" fillId="12" borderId="0" xfId="42" applyFont="1" applyFill="1" applyBorder="1" applyProtection="1"/>
    <xf numFmtId="0" fontId="3" fillId="12" borderId="27" xfId="42" applyFont="1" applyFill="1" applyBorder="1" applyAlignment="1" applyProtection="1">
      <alignment horizontal="center"/>
    </xf>
    <xf numFmtId="166" fontId="28" fillId="12" borderId="2" xfId="42" applyNumberFormat="1" applyFont="1" applyFill="1" applyBorder="1" applyAlignment="1" applyProtection="1">
      <alignment horizontal="right"/>
    </xf>
    <xf numFmtId="166" fontId="28" fillId="12" borderId="19" xfId="42" applyNumberFormat="1" applyFont="1" applyFill="1" applyBorder="1" applyAlignment="1" applyProtection="1">
      <alignment horizontal="right"/>
    </xf>
    <xf numFmtId="166" fontId="28" fillId="12" borderId="26" xfId="42" applyNumberFormat="1" applyFont="1" applyFill="1" applyBorder="1" applyAlignment="1" applyProtection="1">
      <alignment horizontal="right"/>
    </xf>
    <xf numFmtId="0" fontId="28" fillId="12" borderId="33" xfId="42" quotePrefix="1" applyFont="1" applyFill="1" applyBorder="1" applyAlignment="1" applyProtection="1">
      <alignment horizontal="left"/>
    </xf>
    <xf numFmtId="0" fontId="28" fillId="12" borderId="3" xfId="42" applyFont="1" applyFill="1" applyBorder="1" applyProtection="1"/>
    <xf numFmtId="0" fontId="3" fillId="12" borderId="42" xfId="42" applyFont="1" applyFill="1" applyBorder="1" applyAlignment="1" applyProtection="1">
      <alignment horizontal="center"/>
    </xf>
    <xf numFmtId="166" fontId="28" fillId="12" borderId="34" xfId="42" applyNumberFormat="1" applyFont="1" applyFill="1" applyBorder="1" applyAlignment="1" applyProtection="1">
      <alignment horizontal="right"/>
    </xf>
    <xf numFmtId="166" fontId="28" fillId="12" borderId="35" xfId="42" applyNumberFormat="1" applyFont="1" applyFill="1" applyBorder="1" applyAlignment="1" applyProtection="1">
      <alignment horizontal="right"/>
    </xf>
    <xf numFmtId="0" fontId="0" fillId="12" borderId="17" xfId="42" applyFont="1" applyFill="1" applyBorder="1"/>
    <xf numFmtId="0" fontId="0" fillId="12" borderId="20" xfId="42" applyFont="1" applyFill="1" applyBorder="1"/>
    <xf numFmtId="0" fontId="0" fillId="12" borderId="0" xfId="42" applyFont="1" applyFill="1" applyBorder="1"/>
    <xf numFmtId="1" fontId="40" fillId="12" borderId="139" xfId="42" applyNumberFormat="1" applyFont="1" applyFill="1" applyBorder="1" applyAlignment="1" applyProtection="1">
      <alignment horizontal="center"/>
    </xf>
    <xf numFmtId="1" fontId="40" fillId="12" borderId="21" xfId="42" applyNumberFormat="1" applyFont="1" applyFill="1" applyBorder="1" applyAlignment="1" applyProtection="1">
      <alignment horizontal="center"/>
    </xf>
    <xf numFmtId="1" fontId="40" fillId="12" borderId="41" xfId="42" applyNumberFormat="1" applyFont="1" applyFill="1" applyBorder="1" applyAlignment="1" applyProtection="1">
      <alignment horizontal="center"/>
    </xf>
    <xf numFmtId="1" fontId="40" fillId="12" borderId="43" xfId="42" applyNumberFormat="1" applyFont="1" applyFill="1" applyBorder="1" applyAlignment="1" applyProtection="1">
      <alignment horizontal="center"/>
    </xf>
    <xf numFmtId="166" fontId="34" fillId="12" borderId="25" xfId="42" applyNumberFormat="1" applyFont="1" applyFill="1" applyBorder="1" applyProtection="1"/>
    <xf numFmtId="166" fontId="34" fillId="12" borderId="26" xfId="42" applyNumberFormat="1" applyFont="1" applyFill="1" applyBorder="1" applyProtection="1"/>
    <xf numFmtId="0" fontId="34" fillId="12" borderId="21" xfId="42" applyFont="1" applyFill="1" applyBorder="1" applyProtection="1"/>
    <xf numFmtId="166" fontId="34" fillId="12" borderId="27" xfId="42" applyNumberFormat="1" applyFont="1" applyFill="1" applyBorder="1" applyProtection="1"/>
    <xf numFmtId="166" fontId="34" fillId="12" borderId="28" xfId="42" applyNumberFormat="1" applyFont="1" applyFill="1" applyBorder="1" applyProtection="1"/>
    <xf numFmtId="0" fontId="28" fillId="12" borderId="18" xfId="42" applyFont="1" applyFill="1" applyBorder="1" applyProtection="1"/>
    <xf numFmtId="0" fontId="32" fillId="12" borderId="29" xfId="42" applyFont="1" applyFill="1" applyBorder="1" applyAlignment="1" applyProtection="1">
      <alignment horizontal="left"/>
    </xf>
    <xf numFmtId="0" fontId="32" fillId="12" borderId="30" xfId="42" applyFont="1" applyFill="1" applyBorder="1" applyAlignment="1" applyProtection="1">
      <alignment horizontal="left"/>
    </xf>
    <xf numFmtId="166" fontId="40" fillId="12" borderId="31" xfId="42" applyNumberFormat="1" applyFont="1" applyFill="1" applyBorder="1" applyProtection="1"/>
    <xf numFmtId="166" fontId="40" fillId="12" borderId="32" xfId="42" applyNumberFormat="1" applyFont="1" applyFill="1" applyBorder="1" applyProtection="1"/>
    <xf numFmtId="0" fontId="40" fillId="12" borderId="21" xfId="42" applyFont="1" applyFill="1" applyBorder="1" applyProtection="1"/>
    <xf numFmtId="0" fontId="28" fillId="12" borderId="18" xfId="42" applyFont="1" applyFill="1" applyBorder="1" applyAlignment="1" applyProtection="1">
      <alignment horizontal="left"/>
    </xf>
    <xf numFmtId="0" fontId="28" fillId="12" borderId="0" xfId="42" applyFont="1" applyFill="1" applyBorder="1" applyAlignment="1" applyProtection="1">
      <alignment horizontal="left"/>
    </xf>
    <xf numFmtId="0" fontId="40" fillId="12" borderId="29" xfId="42" applyFont="1" applyFill="1" applyBorder="1" applyProtection="1"/>
    <xf numFmtId="0" fontId="40" fillId="12" borderId="30" xfId="42" applyFont="1" applyFill="1" applyBorder="1" applyProtection="1"/>
    <xf numFmtId="0" fontId="32" fillId="12" borderId="21" xfId="42" applyFont="1" applyFill="1" applyBorder="1" applyProtection="1"/>
    <xf numFmtId="0" fontId="40" fillId="12" borderId="29" xfId="42" applyFont="1" applyFill="1" applyBorder="1" applyAlignment="1" applyProtection="1">
      <alignment horizontal="left"/>
    </xf>
    <xf numFmtId="0" fontId="40" fillId="12" borderId="30" xfId="42" quotePrefix="1" applyFont="1" applyFill="1" applyBorder="1" applyAlignment="1" applyProtection="1">
      <alignment horizontal="left"/>
    </xf>
    <xf numFmtId="0" fontId="34" fillId="12" borderId="18" xfId="42" quotePrefix="1" applyFont="1" applyFill="1" applyBorder="1" applyAlignment="1" applyProtection="1">
      <alignment horizontal="left"/>
    </xf>
    <xf numFmtId="0" fontId="40" fillId="12" borderId="33" xfId="42" applyFont="1" applyFill="1" applyBorder="1" applyAlignment="1" applyProtection="1">
      <alignment horizontal="left"/>
    </xf>
    <xf numFmtId="0" fontId="40" fillId="12" borderId="3" xfId="42" quotePrefix="1" applyFont="1" applyFill="1" applyBorder="1" applyAlignment="1" applyProtection="1">
      <alignment horizontal="left"/>
    </xf>
    <xf numFmtId="166" fontId="40" fillId="12" borderId="42" xfId="42" applyNumberFormat="1" applyFont="1" applyFill="1" applyBorder="1" applyProtection="1"/>
    <xf numFmtId="166" fontId="40" fillId="12" borderId="35" xfId="42" applyNumberFormat="1" applyFont="1" applyFill="1" applyBorder="1" applyProtection="1"/>
    <xf numFmtId="0" fontId="34" fillId="12" borderId="46" xfId="42" applyFont="1" applyFill="1" applyBorder="1" applyProtection="1"/>
    <xf numFmtId="0" fontId="34" fillId="12" borderId="7" xfId="42" quotePrefix="1" applyFont="1" applyFill="1" applyBorder="1" applyAlignment="1" applyProtection="1">
      <alignment horizontal="left"/>
    </xf>
    <xf numFmtId="0" fontId="34" fillId="12" borderId="23" xfId="42" quotePrefix="1" applyFont="1" applyFill="1" applyBorder="1" applyAlignment="1" applyProtection="1">
      <alignment horizontal="left"/>
    </xf>
    <xf numFmtId="0" fontId="40" fillId="12" borderId="6" xfId="42" applyFont="1" applyFill="1" applyBorder="1" applyAlignment="1" applyProtection="1">
      <alignment horizontal="center"/>
    </xf>
    <xf numFmtId="0" fontId="0" fillId="12" borderId="30" xfId="42" applyFont="1" applyFill="1" applyBorder="1"/>
    <xf numFmtId="0" fontId="40" fillId="12" borderId="37" xfId="42" applyFont="1" applyFill="1" applyBorder="1" applyAlignment="1" applyProtection="1">
      <alignment horizontal="right"/>
    </xf>
    <xf numFmtId="0" fontId="28" fillId="12" borderId="17" xfId="42" applyFont="1" applyFill="1" applyBorder="1"/>
    <xf numFmtId="0" fontId="40" fillId="12" borderId="0" xfId="42" quotePrefix="1" applyFont="1" applyFill="1" applyBorder="1" applyAlignment="1" applyProtection="1">
      <alignment horizontal="left"/>
    </xf>
    <xf numFmtId="0" fontId="28" fillId="12" borderId="0" xfId="42" applyFont="1" applyFill="1" applyBorder="1"/>
    <xf numFmtId="0" fontId="42" fillId="12" borderId="0" xfId="42" applyFont="1" applyFill="1" applyBorder="1" applyProtection="1"/>
    <xf numFmtId="3" fontId="34" fillId="12" borderId="7" xfId="42" applyNumberFormat="1" applyFont="1" applyFill="1" applyBorder="1" applyProtection="1"/>
    <xf numFmtId="3" fontId="34" fillId="12" borderId="23" xfId="42" applyNumberFormat="1" applyFont="1" applyFill="1" applyBorder="1" applyProtection="1"/>
    <xf numFmtId="3" fontId="40" fillId="12" borderId="38" xfId="42" applyNumberFormat="1" applyFont="1" applyFill="1" applyBorder="1" applyAlignment="1" applyProtection="1">
      <alignment horizontal="center"/>
    </xf>
    <xf numFmtId="3" fontId="34" fillId="12" borderId="18" xfId="42" applyNumberFormat="1" applyFont="1" applyFill="1" applyBorder="1" applyProtection="1"/>
    <xf numFmtId="3" fontId="40" fillId="12" borderId="27" xfId="42" applyNumberFormat="1" applyFont="1" applyFill="1" applyBorder="1" applyAlignment="1" applyProtection="1">
      <alignment horizontal="center"/>
    </xf>
    <xf numFmtId="3" fontId="40" fillId="12" borderId="20" xfId="42" applyNumberFormat="1" applyFont="1" applyFill="1" applyBorder="1" applyAlignment="1" applyProtection="1">
      <alignment horizontal="center"/>
    </xf>
    <xf numFmtId="3" fontId="53" fillId="12" borderId="24" xfId="42" applyNumberFormat="1" applyFont="1" applyFill="1" applyBorder="1" applyProtection="1"/>
    <xf numFmtId="3" fontId="53" fillId="12" borderId="20" xfId="42" applyNumberFormat="1" applyFont="1" applyFill="1" applyBorder="1" applyProtection="1"/>
    <xf numFmtId="3" fontId="53" fillId="12" borderId="25" xfId="42" applyNumberFormat="1" applyFont="1" applyFill="1" applyBorder="1" applyAlignment="1" applyProtection="1">
      <alignment horizontal="center"/>
    </xf>
    <xf numFmtId="173" fontId="34" fillId="12" borderId="20" xfId="42" applyNumberFormat="1" applyFont="1" applyFill="1" applyBorder="1" applyProtection="1"/>
    <xf numFmtId="3" fontId="34" fillId="12" borderId="17" xfId="42" applyNumberFormat="1" applyFont="1" applyFill="1" applyBorder="1" applyProtection="1"/>
    <xf numFmtId="3" fontId="34" fillId="12" borderId="25" xfId="42" applyNumberFormat="1" applyFont="1" applyFill="1" applyBorder="1" applyProtection="1"/>
    <xf numFmtId="0" fontId="34" fillId="12" borderId="20" xfId="42" applyFont="1" applyFill="1" applyBorder="1" applyProtection="1"/>
    <xf numFmtId="0" fontId="34" fillId="12" borderId="45" xfId="42" applyFont="1" applyFill="1" applyBorder="1" applyProtection="1"/>
    <xf numFmtId="3" fontId="31" fillId="12" borderId="18" xfId="42" applyNumberFormat="1" applyFont="1" applyFill="1" applyBorder="1" applyProtection="1"/>
    <xf numFmtId="3" fontId="31" fillId="12" borderId="21" xfId="42" applyNumberFormat="1" applyFont="1" applyFill="1" applyBorder="1" applyProtection="1"/>
    <xf numFmtId="3" fontId="31" fillId="12" borderId="27" xfId="42" applyNumberFormat="1" applyFont="1" applyFill="1" applyBorder="1" applyAlignment="1" applyProtection="1">
      <alignment horizontal="center"/>
    </xf>
    <xf numFmtId="166" fontId="31" fillId="12" borderId="21" xfId="42" applyNumberFormat="1" applyFont="1" applyFill="1" applyBorder="1" applyAlignment="1" applyProtection="1">
      <alignment horizontal="right"/>
    </xf>
    <xf numFmtId="166" fontId="31" fillId="12" borderId="0" xfId="42" applyNumberFormat="1" applyFont="1" applyFill="1" applyBorder="1" applyProtection="1"/>
    <xf numFmtId="166" fontId="31" fillId="12" borderId="27" xfId="42" applyNumberFormat="1" applyFont="1" applyFill="1" applyBorder="1" applyProtection="1"/>
    <xf numFmtId="166" fontId="31" fillId="12" borderId="46" xfId="42" applyNumberFormat="1" applyFont="1" applyFill="1" applyBorder="1" applyAlignment="1" applyProtection="1">
      <alignment horizontal="right"/>
    </xf>
    <xf numFmtId="3" fontId="110" fillId="12" borderId="18" xfId="42" applyNumberFormat="1" applyFont="1" applyFill="1" applyBorder="1" applyProtection="1"/>
    <xf numFmtId="3" fontId="110" fillId="12" borderId="21" xfId="42" applyNumberFormat="1" applyFont="1" applyFill="1" applyBorder="1" applyProtection="1"/>
    <xf numFmtId="3" fontId="112" fillId="12" borderId="27" xfId="42" applyNumberFormat="1" applyFont="1" applyFill="1" applyBorder="1" applyAlignment="1" applyProtection="1">
      <alignment horizontal="center"/>
    </xf>
    <xf numFmtId="3" fontId="53" fillId="12" borderId="18" xfId="42" applyNumberFormat="1" applyFont="1" applyFill="1" applyBorder="1" applyProtection="1"/>
    <xf numFmtId="3" fontId="53" fillId="12" borderId="21" xfId="42" applyNumberFormat="1" applyFont="1" applyFill="1" applyBorder="1" applyProtection="1"/>
    <xf numFmtId="3" fontId="34" fillId="12" borderId="27" xfId="42" applyNumberFormat="1" applyFont="1" applyFill="1" applyBorder="1" applyAlignment="1" applyProtection="1">
      <alignment horizontal="center"/>
    </xf>
    <xf numFmtId="166" fontId="28" fillId="12" borderId="21" xfId="42" applyNumberFormat="1" applyFont="1" applyFill="1" applyBorder="1" applyProtection="1"/>
    <xf numFmtId="166" fontId="28" fillId="12" borderId="0" xfId="42" applyNumberFormat="1" applyFont="1" applyFill="1" applyBorder="1" applyProtection="1"/>
    <xf numFmtId="166" fontId="28" fillId="12" borderId="27" xfId="42" applyNumberFormat="1" applyFont="1" applyFill="1" applyBorder="1" applyProtection="1"/>
    <xf numFmtId="166" fontId="28" fillId="12" borderId="46" xfId="42" applyNumberFormat="1" applyFont="1" applyFill="1" applyBorder="1" applyProtection="1"/>
    <xf numFmtId="3" fontId="31" fillId="12" borderId="29" xfId="42" applyNumberFormat="1" applyFont="1" applyFill="1" applyBorder="1" applyProtection="1"/>
    <xf numFmtId="3" fontId="31" fillId="12" borderId="37" xfId="42" applyNumberFormat="1" applyFont="1" applyFill="1" applyBorder="1" applyProtection="1"/>
    <xf numFmtId="3" fontId="31" fillId="12" borderId="31" xfId="42" applyNumberFormat="1" applyFont="1" applyFill="1" applyBorder="1" applyAlignment="1" applyProtection="1">
      <alignment horizontal="center"/>
    </xf>
    <xf numFmtId="166" fontId="31" fillId="12" borderId="37" xfId="42" applyNumberFormat="1" applyFont="1" applyFill="1" applyBorder="1" applyAlignment="1" applyProtection="1">
      <alignment horizontal="right"/>
    </xf>
    <xf numFmtId="166" fontId="31" fillId="12" borderId="30" xfId="42" applyNumberFormat="1" applyFont="1" applyFill="1" applyBorder="1" applyAlignment="1" applyProtection="1">
      <alignment horizontal="right"/>
    </xf>
    <xf numFmtId="166" fontId="31" fillId="12" borderId="31" xfId="42" applyNumberFormat="1" applyFont="1" applyFill="1" applyBorder="1" applyProtection="1"/>
    <xf numFmtId="166" fontId="31" fillId="12" borderId="47" xfId="42" applyNumberFormat="1" applyFont="1" applyFill="1" applyBorder="1" applyAlignment="1" applyProtection="1">
      <alignment horizontal="right"/>
    </xf>
    <xf numFmtId="0" fontId="34" fillId="12" borderId="27" xfId="42" applyFont="1" applyFill="1" applyBorder="1" applyAlignment="1" applyProtection="1">
      <alignment horizontal="center"/>
    </xf>
    <xf numFmtId="3" fontId="31" fillId="12" borderId="33" xfId="42" applyNumberFormat="1" applyFont="1" applyFill="1" applyBorder="1" applyProtection="1"/>
    <xf numFmtId="3" fontId="31" fillId="12" borderId="52" xfId="42" applyNumberFormat="1" applyFont="1" applyFill="1" applyBorder="1" applyProtection="1"/>
    <xf numFmtId="3" fontId="31" fillId="12" borderId="42" xfId="42" applyNumberFormat="1" applyFont="1" applyFill="1" applyBorder="1" applyAlignment="1" applyProtection="1">
      <alignment horizontal="center"/>
    </xf>
    <xf numFmtId="166" fontId="31" fillId="12" borderId="52" xfId="42" applyNumberFormat="1" applyFont="1" applyFill="1" applyBorder="1" applyAlignment="1" applyProtection="1">
      <alignment horizontal="right"/>
    </xf>
    <xf numFmtId="166" fontId="31" fillId="12" borderId="3" xfId="42" applyNumberFormat="1" applyFont="1" applyFill="1" applyBorder="1" applyAlignment="1" applyProtection="1">
      <alignment horizontal="right"/>
    </xf>
    <xf numFmtId="166" fontId="31" fillId="12" borderId="42" xfId="42" applyNumberFormat="1" applyFont="1" applyFill="1" applyBorder="1" applyProtection="1"/>
    <xf numFmtId="166" fontId="31" fillId="12" borderId="59" xfId="42" applyNumberFormat="1" applyFont="1" applyFill="1" applyBorder="1" applyAlignment="1" applyProtection="1">
      <alignment horizontal="right"/>
    </xf>
    <xf numFmtId="0" fontId="28" fillId="12" borderId="19" xfId="42" applyFont="1" applyFill="1" applyBorder="1"/>
    <xf numFmtId="0" fontId="34" fillId="12" borderId="21" xfId="42" applyFont="1" applyFill="1" applyBorder="1" applyAlignment="1" applyProtection="1">
      <alignment horizontal="centerContinuous"/>
    </xf>
    <xf numFmtId="0" fontId="34" fillId="12" borderId="38" xfId="42" applyFont="1" applyFill="1" applyBorder="1" applyProtection="1"/>
    <xf numFmtId="0" fontId="0" fillId="12" borderId="6" xfId="42" applyFont="1" applyFill="1" applyBorder="1"/>
    <xf numFmtId="0" fontId="40" fillId="12" borderId="6" xfId="42" applyFont="1" applyFill="1" applyBorder="1" applyAlignment="1" applyProtection="1">
      <alignment horizontal="left"/>
    </xf>
    <xf numFmtId="0" fontId="40" fillId="12" borderId="6" xfId="42" applyFont="1" applyFill="1" applyBorder="1" applyAlignment="1" applyProtection="1">
      <alignment horizontal="centerContinuous"/>
    </xf>
    <xf numFmtId="0" fontId="40" fillId="12" borderId="8" xfId="42" applyFont="1" applyFill="1" applyBorder="1" applyAlignment="1" applyProtection="1">
      <alignment horizontal="centerContinuous"/>
    </xf>
    <xf numFmtId="1" fontId="40" fillId="12" borderId="2" xfId="42" applyNumberFormat="1" applyFont="1" applyFill="1" applyBorder="1" applyAlignment="1" applyProtection="1">
      <alignment horizontal="center"/>
    </xf>
    <xf numFmtId="0" fontId="40" fillId="12" borderId="31" xfId="42" applyFont="1" applyFill="1" applyBorder="1" applyAlignment="1" applyProtection="1">
      <alignment horizontal="center"/>
    </xf>
    <xf numFmtId="0" fontId="48" fillId="12" borderId="41" xfId="42" applyFont="1" applyFill="1" applyBorder="1" applyAlignment="1" applyProtection="1">
      <alignment horizontal="left"/>
    </xf>
    <xf numFmtId="0" fontId="48" fillId="12" borderId="31" xfId="42" applyFont="1" applyFill="1" applyBorder="1" applyAlignment="1" applyProtection="1">
      <alignment horizontal="center"/>
    </xf>
    <xf numFmtId="0" fontId="48" fillId="12" borderId="43" xfId="42" applyFont="1" applyFill="1" applyBorder="1" applyAlignment="1" applyProtection="1">
      <alignment horizontal="center"/>
    </xf>
    <xf numFmtId="0" fontId="48" fillId="12" borderId="21" xfId="42" applyFont="1" applyFill="1" applyBorder="1" applyAlignment="1" applyProtection="1">
      <alignment horizontal="center"/>
    </xf>
    <xf numFmtId="0" fontId="40" fillId="12" borderId="2" xfId="42" applyFont="1" applyFill="1" applyBorder="1" applyAlignment="1" applyProtection="1">
      <alignment horizontal="centerContinuous"/>
    </xf>
    <xf numFmtId="0" fontId="34" fillId="12" borderId="2" xfId="42" applyFont="1" applyFill="1" applyBorder="1" applyAlignment="1" applyProtection="1">
      <alignment horizontal="right"/>
    </xf>
    <xf numFmtId="0" fontId="40" fillId="12" borderId="29" xfId="42" applyFont="1" applyFill="1" applyBorder="1" applyAlignment="1" applyProtection="1"/>
    <xf numFmtId="0" fontId="34" fillId="12" borderId="30" xfId="42" quotePrefix="1" applyFont="1" applyFill="1" applyBorder="1" applyAlignment="1" applyProtection="1">
      <alignment horizontal="left"/>
    </xf>
    <xf numFmtId="0" fontId="42" fillId="12" borderId="31" xfId="42" applyFont="1" applyFill="1" applyBorder="1" applyAlignment="1" applyProtection="1">
      <alignment horizontal="center"/>
    </xf>
    <xf numFmtId="0" fontId="42" fillId="12" borderId="25" xfId="42" applyFont="1" applyFill="1" applyBorder="1" applyAlignment="1" applyProtection="1">
      <alignment horizontal="center"/>
    </xf>
    <xf numFmtId="166" fontId="34" fillId="12" borderId="25" xfId="42" quotePrefix="1" applyNumberFormat="1" applyFont="1" applyFill="1" applyBorder="1" applyAlignment="1" applyProtection="1">
      <alignment horizontal="center"/>
    </xf>
    <xf numFmtId="166" fontId="34" fillId="12" borderId="17" xfId="42" quotePrefix="1" applyNumberFormat="1" applyFont="1" applyFill="1" applyBorder="1" applyAlignment="1" applyProtection="1">
      <alignment horizontal="right"/>
    </xf>
    <xf numFmtId="166" fontId="34" fillId="12" borderId="26" xfId="42" applyNumberFormat="1" applyFont="1" applyFill="1" applyBorder="1" applyAlignment="1" applyProtection="1">
      <alignment horizontal="center"/>
    </xf>
    <xf numFmtId="0" fontId="34" fillId="12" borderId="21" xfId="42" applyFont="1" applyFill="1" applyBorder="1" applyAlignment="1" applyProtection="1">
      <alignment horizontal="center"/>
    </xf>
    <xf numFmtId="166" fontId="40" fillId="12" borderId="31" xfId="42" applyNumberFormat="1" applyFont="1" applyFill="1" applyBorder="1" applyAlignment="1" applyProtection="1">
      <alignment horizontal="right"/>
    </xf>
    <xf numFmtId="166" fontId="40" fillId="12" borderId="37" xfId="42" applyNumberFormat="1" applyFont="1" applyFill="1" applyBorder="1" applyAlignment="1" applyProtection="1">
      <alignment horizontal="right"/>
    </xf>
    <xf numFmtId="166" fontId="40" fillId="12" borderId="32" xfId="42" applyNumberFormat="1" applyFont="1" applyFill="1" applyBorder="1" applyAlignment="1" applyProtection="1">
      <alignment horizontal="right"/>
    </xf>
    <xf numFmtId="0" fontId="40" fillId="12" borderId="18" xfId="42" applyFont="1" applyFill="1" applyBorder="1" applyAlignment="1" applyProtection="1">
      <alignment horizontal="left"/>
    </xf>
    <xf numFmtId="0" fontId="34" fillId="12" borderId="24" xfId="42" quotePrefix="1" applyFont="1" applyFill="1" applyBorder="1" applyAlignment="1" applyProtection="1">
      <alignment horizontal="left"/>
    </xf>
    <xf numFmtId="0" fontId="34" fillId="12" borderId="17" xfId="42" quotePrefix="1" applyFont="1" applyFill="1" applyBorder="1" applyAlignment="1" applyProtection="1">
      <alignment horizontal="left"/>
    </xf>
    <xf numFmtId="0" fontId="43" fillId="12" borderId="18" xfId="42" applyFont="1" applyFill="1" applyBorder="1" applyAlignment="1" applyProtection="1">
      <alignment horizontal="left"/>
    </xf>
    <xf numFmtId="0" fontId="48" fillId="12" borderId="27" xfId="42" applyFont="1" applyFill="1" applyBorder="1" applyAlignment="1" applyProtection="1">
      <alignment horizontal="center"/>
    </xf>
    <xf numFmtId="166" fontId="40" fillId="12" borderId="27" xfId="42" applyNumberFormat="1" applyFont="1" applyFill="1" applyBorder="1" applyAlignment="1" applyProtection="1">
      <alignment horizontal="right"/>
    </xf>
    <xf numFmtId="0" fontId="40" fillId="12" borderId="2" xfId="42" applyFont="1" applyFill="1" applyBorder="1" applyAlignment="1" applyProtection="1">
      <alignment horizontal="right"/>
    </xf>
    <xf numFmtId="166" fontId="34" fillId="12" borderId="45" xfId="42" applyNumberFormat="1" applyFont="1" applyFill="1" applyBorder="1" applyAlignment="1" applyProtection="1">
      <alignment horizontal="center"/>
    </xf>
    <xf numFmtId="166" fontId="0" fillId="12" borderId="27" xfId="42" applyNumberFormat="1" applyFont="1" applyFill="1" applyBorder="1"/>
    <xf numFmtId="166" fontId="0" fillId="12" borderId="27" xfId="42" quotePrefix="1" applyNumberFormat="1" applyFont="1" applyFill="1" applyBorder="1" applyAlignment="1">
      <alignment horizontal="center"/>
    </xf>
    <xf numFmtId="166" fontId="0" fillId="12" borderId="46" xfId="42" applyNumberFormat="1" applyFont="1" applyFill="1" applyBorder="1" applyAlignment="1">
      <alignment horizontal="center"/>
    </xf>
    <xf numFmtId="0" fontId="0" fillId="12" borderId="21" xfId="42" applyFont="1" applyFill="1" applyBorder="1" applyAlignment="1">
      <alignment horizontal="center"/>
    </xf>
    <xf numFmtId="0" fontId="43" fillId="12" borderId="29" xfId="42" applyFont="1" applyFill="1" applyBorder="1" applyAlignment="1" applyProtection="1">
      <alignment horizontal="left"/>
    </xf>
    <xf numFmtId="0" fontId="0" fillId="12" borderId="31" xfId="42" applyFont="1" applyFill="1" applyBorder="1"/>
    <xf numFmtId="166" fontId="0" fillId="12" borderId="31" xfId="42" applyNumberFormat="1" applyFont="1" applyFill="1" applyBorder="1"/>
    <xf numFmtId="166" fontId="0" fillId="12" borderId="31" xfId="42" quotePrefix="1" applyNumberFormat="1" applyFont="1" applyFill="1" applyBorder="1" applyAlignment="1">
      <alignment horizontal="center"/>
    </xf>
    <xf numFmtId="166" fontId="0" fillId="12" borderId="47" xfId="42" applyNumberFormat="1" applyFont="1" applyFill="1" applyBorder="1" applyAlignment="1">
      <alignment horizontal="center"/>
    </xf>
    <xf numFmtId="0" fontId="3" fillId="12" borderId="36" xfId="42" applyFont="1" applyFill="1" applyBorder="1" applyAlignment="1">
      <alignment horizontal="center"/>
    </xf>
    <xf numFmtId="0" fontId="40" fillId="12" borderId="128" xfId="42" applyFont="1" applyFill="1" applyBorder="1" applyAlignment="1" applyProtection="1">
      <alignment horizontal="left"/>
    </xf>
    <xf numFmtId="0" fontId="40" fillId="12" borderId="48" xfId="42" quotePrefix="1" applyFont="1" applyFill="1" applyBorder="1" applyAlignment="1" applyProtection="1">
      <alignment horizontal="left"/>
    </xf>
    <xf numFmtId="0" fontId="48" fillId="12" borderId="49" xfId="42" applyFont="1" applyFill="1" applyBorder="1" applyAlignment="1" applyProtection="1">
      <alignment horizontal="center"/>
    </xf>
    <xf numFmtId="166" fontId="40" fillId="12" borderId="49" xfId="42" applyNumberFormat="1" applyFont="1" applyFill="1" applyBorder="1" applyAlignment="1" applyProtection="1">
      <alignment horizontal="right"/>
    </xf>
    <xf numFmtId="166" fontId="40" fillId="12" borderId="50" xfId="42" applyNumberFormat="1" applyFont="1" applyFill="1" applyBorder="1" applyAlignment="1" applyProtection="1">
      <alignment horizontal="right"/>
    </xf>
    <xf numFmtId="0" fontId="42" fillId="12" borderId="0" xfId="42" applyFont="1" applyFill="1" applyBorder="1" applyAlignment="1" applyProtection="1">
      <alignment horizontal="center"/>
    </xf>
    <xf numFmtId="0" fontId="34" fillId="12" borderId="0" xfId="42" applyFont="1" applyFill="1" applyBorder="1" applyAlignment="1" applyProtection="1">
      <alignment horizontal="right"/>
    </xf>
    <xf numFmtId="0" fontId="34" fillId="12" borderId="7" xfId="42" applyFont="1" applyFill="1" applyBorder="1" applyAlignment="1" applyProtection="1">
      <alignment horizontal="left"/>
    </xf>
    <xf numFmtId="0" fontId="34" fillId="12" borderId="6" xfId="42" quotePrefix="1" applyFont="1" applyFill="1" applyBorder="1" applyAlignment="1" applyProtection="1">
      <alignment horizontal="left"/>
    </xf>
    <xf numFmtId="0" fontId="42" fillId="12" borderId="38" xfId="42" applyFont="1" applyFill="1" applyBorder="1" applyAlignment="1" applyProtection="1">
      <alignment horizontal="center"/>
    </xf>
    <xf numFmtId="166" fontId="34" fillId="12" borderId="38" xfId="42" applyNumberFormat="1" applyFont="1" applyFill="1" applyBorder="1" applyAlignment="1" applyProtection="1">
      <alignment horizontal="right"/>
    </xf>
    <xf numFmtId="166" fontId="34" fillId="12" borderId="6" xfId="42" applyNumberFormat="1" applyFont="1" applyFill="1" applyBorder="1" applyAlignment="1" applyProtection="1">
      <alignment horizontal="right"/>
    </xf>
    <xf numFmtId="166" fontId="34" fillId="12" borderId="51" xfId="42" applyNumberFormat="1" applyFont="1" applyFill="1" applyBorder="1" applyAlignment="1" applyProtection="1">
      <alignment horizontal="right"/>
    </xf>
    <xf numFmtId="0" fontId="34" fillId="12" borderId="18" xfId="42" applyFont="1" applyFill="1" applyBorder="1" applyAlignment="1" applyProtection="1">
      <alignment horizontal="left"/>
    </xf>
    <xf numFmtId="166" fontId="40" fillId="12" borderId="28" xfId="42" applyNumberFormat="1" applyFont="1" applyFill="1" applyBorder="1" applyAlignment="1" applyProtection="1">
      <alignment horizontal="right"/>
    </xf>
    <xf numFmtId="0" fontId="43" fillId="12" borderId="0" xfId="42" quotePrefix="1" applyFont="1" applyFill="1" applyBorder="1" applyAlignment="1" applyProtection="1">
      <alignment horizontal="left"/>
    </xf>
    <xf numFmtId="0" fontId="52" fillId="12" borderId="27" xfId="42" applyFont="1" applyFill="1" applyBorder="1" applyAlignment="1" applyProtection="1">
      <alignment horizontal="center"/>
    </xf>
    <xf numFmtId="0" fontId="48" fillId="12" borderId="42" xfId="42" applyFont="1" applyFill="1" applyBorder="1" applyAlignment="1" applyProtection="1">
      <alignment horizontal="center"/>
    </xf>
    <xf numFmtId="166" fontId="40" fillId="12" borderId="42" xfId="42" applyNumberFormat="1" applyFont="1" applyFill="1" applyBorder="1" applyAlignment="1" applyProtection="1">
      <alignment horizontal="right"/>
    </xf>
    <xf numFmtId="166" fontId="40" fillId="12" borderId="3" xfId="42" applyNumberFormat="1" applyFont="1" applyFill="1" applyBorder="1" applyAlignment="1" applyProtection="1">
      <alignment horizontal="right"/>
    </xf>
    <xf numFmtId="166" fontId="40" fillId="12" borderId="35" xfId="42" applyNumberFormat="1" applyFont="1" applyFill="1" applyBorder="1" applyAlignment="1" applyProtection="1">
      <alignment horizontal="right"/>
    </xf>
    <xf numFmtId="0" fontId="43" fillId="12" borderId="129" xfId="42" applyFont="1" applyFill="1" applyBorder="1" applyAlignment="1" applyProtection="1">
      <alignment horizontal="left"/>
    </xf>
    <xf numFmtId="0" fontId="0" fillId="12" borderId="57" xfId="42" applyFont="1" applyFill="1" applyBorder="1"/>
    <xf numFmtId="0" fontId="0" fillId="12" borderId="130" xfId="42" applyFont="1" applyFill="1" applyBorder="1"/>
    <xf numFmtId="0" fontId="28" fillId="12" borderId="36" xfId="42" applyFont="1" applyFill="1" applyBorder="1"/>
    <xf numFmtId="0" fontId="34" fillId="12" borderId="30" xfId="42" applyFont="1" applyFill="1" applyBorder="1" applyAlignment="1" applyProtection="1">
      <alignment horizontal="left"/>
    </xf>
    <xf numFmtId="0" fontId="40" fillId="12" borderId="30" xfId="42" quotePrefix="1" applyFont="1" applyFill="1" applyBorder="1" applyAlignment="1" applyProtection="1">
      <alignment horizontal="right"/>
    </xf>
    <xf numFmtId="0" fontId="40" fillId="12" borderId="37" xfId="42" quotePrefix="1" applyFont="1" applyFill="1" applyBorder="1" applyAlignment="1" applyProtection="1">
      <alignment horizontal="right"/>
    </xf>
    <xf numFmtId="0" fontId="39" fillId="12" borderId="17" xfId="42" applyFont="1" applyFill="1" applyBorder="1" applyProtection="1"/>
    <xf numFmtId="14" fontId="36" fillId="12" borderId="21" xfId="42" applyNumberFormat="1" applyFont="1" applyFill="1" applyBorder="1" applyAlignment="1" applyProtection="1">
      <alignment horizontal="center"/>
    </xf>
    <xf numFmtId="1" fontId="39" fillId="12" borderId="22" xfId="42" applyNumberFormat="1" applyFont="1" applyFill="1" applyBorder="1" applyAlignment="1" applyProtection="1">
      <alignment horizontal="center"/>
    </xf>
    <xf numFmtId="1" fontId="39" fillId="12" borderId="134" xfId="42" applyNumberFormat="1" applyFont="1" applyFill="1" applyBorder="1" applyAlignment="1" applyProtection="1">
      <alignment horizontal="center"/>
    </xf>
    <xf numFmtId="1" fontId="39" fillId="12" borderId="21" xfId="42" applyNumberFormat="1" applyFont="1" applyFill="1" applyBorder="1" applyAlignment="1" applyProtection="1">
      <alignment horizontal="center"/>
    </xf>
    <xf numFmtId="166" fontId="31" fillId="12" borderId="21" xfId="42" applyNumberFormat="1" applyFont="1" applyFill="1" applyBorder="1" applyProtection="1"/>
    <xf numFmtId="166" fontId="31" fillId="12" borderId="28" xfId="42" applyNumberFormat="1" applyFont="1" applyFill="1" applyBorder="1" applyProtection="1"/>
    <xf numFmtId="0" fontId="110" fillId="12" borderId="18" xfId="42" applyFont="1" applyFill="1" applyBorder="1" applyAlignment="1" applyProtection="1">
      <alignment horizontal="left"/>
    </xf>
    <xf numFmtId="0" fontId="110" fillId="12" borderId="0" xfId="42" applyFont="1" applyFill="1" applyBorder="1" applyAlignment="1" applyProtection="1">
      <alignment horizontal="left"/>
    </xf>
    <xf numFmtId="0" fontId="43" fillId="12" borderId="21" xfId="42" applyFont="1" applyFill="1" applyBorder="1" applyProtection="1"/>
    <xf numFmtId="0" fontId="43" fillId="12" borderId="2" xfId="42" applyFont="1" applyFill="1" applyBorder="1" applyProtection="1"/>
    <xf numFmtId="0" fontId="105" fillId="12" borderId="29" xfId="42" applyFont="1" applyFill="1" applyBorder="1"/>
    <xf numFmtId="0" fontId="105" fillId="12" borderId="30" xfId="42" applyFont="1" applyFill="1" applyBorder="1"/>
    <xf numFmtId="166" fontId="105" fillId="12" borderId="36" xfId="42" applyNumberFormat="1" applyFont="1" applyFill="1" applyBorder="1" applyProtection="1"/>
    <xf numFmtId="166" fontId="105" fillId="12" borderId="31" xfId="42" applyNumberFormat="1" applyFont="1" applyFill="1" applyBorder="1" applyProtection="1"/>
    <xf numFmtId="166" fontId="105" fillId="12" borderId="47" xfId="42" applyNumberFormat="1" applyFont="1" applyFill="1" applyBorder="1" applyProtection="1"/>
    <xf numFmtId="0" fontId="43" fillId="12" borderId="2" xfId="42" quotePrefix="1" applyFont="1" applyFill="1" applyBorder="1" applyAlignment="1" applyProtection="1">
      <alignment horizontal="left"/>
    </xf>
    <xf numFmtId="0" fontId="34" fillId="12" borderId="2" xfId="42" applyFont="1" applyFill="1" applyBorder="1" applyAlignment="1" applyProtection="1">
      <alignment horizontal="left"/>
    </xf>
    <xf numFmtId="0" fontId="43" fillId="12" borderId="2" xfId="42" applyFont="1" applyFill="1" applyBorder="1" applyAlignment="1" applyProtection="1">
      <alignment horizontal="left"/>
    </xf>
    <xf numFmtId="0" fontId="110" fillId="12" borderId="33" xfId="42" applyFont="1" applyFill="1" applyBorder="1" applyAlignment="1" applyProtection="1">
      <alignment horizontal="left"/>
    </xf>
    <xf numFmtId="0" fontId="110" fillId="12" borderId="3" xfId="42" applyFont="1" applyFill="1" applyBorder="1" applyAlignment="1" applyProtection="1">
      <alignment horizontal="left"/>
    </xf>
    <xf numFmtId="166" fontId="31" fillId="12" borderId="35" xfId="42" applyNumberFormat="1" applyFont="1" applyFill="1" applyBorder="1" applyProtection="1"/>
    <xf numFmtId="0" fontId="43" fillId="12" borderId="0" xfId="42" applyFont="1" applyFill="1" applyBorder="1" applyAlignment="1" applyProtection="1">
      <alignment horizontal="left"/>
    </xf>
    <xf numFmtId="0" fontId="43" fillId="12" borderId="46" xfId="42" applyFont="1" applyFill="1" applyBorder="1" applyProtection="1"/>
    <xf numFmtId="0" fontId="34" fillId="12" borderId="10" xfId="42" applyFont="1" applyFill="1" applyBorder="1" applyProtection="1"/>
    <xf numFmtId="0" fontId="34" fillId="12" borderId="44" xfId="42" applyFont="1" applyFill="1" applyBorder="1" applyProtection="1"/>
    <xf numFmtId="166" fontId="40" fillId="12" borderId="19" xfId="42" applyNumberFormat="1" applyFont="1" applyFill="1" applyBorder="1" applyProtection="1"/>
    <xf numFmtId="166" fontId="40" fillId="12" borderId="25" xfId="42" applyNumberFormat="1" applyFont="1" applyFill="1" applyBorder="1" applyProtection="1"/>
    <xf numFmtId="166" fontId="40" fillId="12" borderId="46" xfId="42" applyNumberFormat="1" applyFont="1" applyFill="1" applyBorder="1" applyProtection="1"/>
    <xf numFmtId="166" fontId="34" fillId="12" borderId="42" xfId="42" applyNumberFormat="1" applyFont="1" applyFill="1" applyBorder="1" applyProtection="1"/>
    <xf numFmtId="0" fontId="34" fillId="12" borderId="6" xfId="42" applyFont="1" applyFill="1" applyBorder="1" applyAlignment="1" applyProtection="1">
      <alignment horizontal="left"/>
    </xf>
    <xf numFmtId="0" fontId="34" fillId="12" borderId="8" xfId="42" applyFont="1" applyFill="1" applyBorder="1" applyProtection="1"/>
    <xf numFmtId="0" fontId="34" fillId="12" borderId="23" xfId="42" applyFont="1" applyFill="1" applyBorder="1" applyProtection="1"/>
    <xf numFmtId="0" fontId="34" fillId="12" borderId="2" xfId="42" applyFont="1" applyFill="1" applyBorder="1" applyAlignment="1" applyProtection="1">
      <alignment horizontal="center"/>
    </xf>
    <xf numFmtId="0" fontId="0" fillId="12" borderId="18" xfId="42" applyFont="1" applyFill="1" applyBorder="1"/>
    <xf numFmtId="0" fontId="0" fillId="12" borderId="129" xfId="42" applyFont="1" applyFill="1" applyBorder="1"/>
    <xf numFmtId="168" fontId="28" fillId="12" borderId="30" xfId="42" applyNumberFormat="1" applyFont="1" applyFill="1" applyBorder="1"/>
    <xf numFmtId="14" fontId="34" fillId="12" borderId="0" xfId="42" applyNumberFormat="1" applyFont="1" applyFill="1" applyBorder="1" applyProtection="1"/>
    <xf numFmtId="14" fontId="34" fillId="12" borderId="21" xfId="42" applyNumberFormat="1" applyFont="1" applyFill="1" applyBorder="1" applyProtection="1"/>
    <xf numFmtId="0" fontId="28" fillId="12" borderId="27" xfId="42" applyFont="1" applyFill="1" applyBorder="1" applyProtection="1"/>
    <xf numFmtId="0" fontId="38" fillId="12" borderId="41" xfId="42" applyFont="1" applyFill="1" applyBorder="1" applyAlignment="1" applyProtection="1">
      <alignment horizontal="center"/>
    </xf>
    <xf numFmtId="0" fontId="38" fillId="12" borderId="41" xfId="42" quotePrefix="1" applyFont="1" applyFill="1" applyBorder="1" applyAlignment="1" applyProtection="1">
      <alignment horizontal="center"/>
    </xf>
    <xf numFmtId="0" fontId="38" fillId="12" borderId="43" xfId="42" quotePrefix="1" applyFont="1" applyFill="1" applyBorder="1" applyAlignment="1" applyProtection="1">
      <alignment horizontal="center"/>
    </xf>
    <xf numFmtId="0" fontId="40" fillId="12" borderId="21" xfId="42" quotePrefix="1" applyFont="1" applyFill="1" applyBorder="1" applyAlignment="1" applyProtection="1">
      <alignment horizontal="center"/>
    </xf>
    <xf numFmtId="0" fontId="34" fillId="12" borderId="25" xfId="42" applyFont="1" applyFill="1" applyBorder="1" applyAlignment="1" applyProtection="1">
      <alignment horizontal="center"/>
    </xf>
    <xf numFmtId="0" fontId="34" fillId="12" borderId="53" xfId="42" applyFont="1" applyFill="1" applyBorder="1" applyAlignment="1" applyProtection="1">
      <alignment horizontal="center"/>
    </xf>
    <xf numFmtId="0" fontId="40" fillId="12" borderId="54" xfId="42" applyFont="1" applyFill="1" applyBorder="1" applyAlignment="1" applyProtection="1">
      <alignment horizontal="centerContinuous"/>
    </xf>
    <xf numFmtId="0" fontId="31" fillId="12" borderId="18" xfId="42" quotePrefix="1" applyFont="1" applyFill="1" applyBorder="1" applyAlignment="1" applyProtection="1">
      <alignment horizontal="left"/>
    </xf>
    <xf numFmtId="0" fontId="31" fillId="12" borderId="0" xfId="42" quotePrefix="1" applyFont="1" applyFill="1" applyBorder="1" applyAlignment="1" applyProtection="1">
      <alignment horizontal="left"/>
    </xf>
    <xf numFmtId="0" fontId="31" fillId="12" borderId="27" xfId="42" applyFont="1" applyFill="1" applyBorder="1" applyAlignment="1" applyProtection="1">
      <alignment horizontal="center"/>
    </xf>
    <xf numFmtId="0" fontId="43" fillId="12" borderId="27" xfId="42" applyFont="1" applyFill="1" applyBorder="1" applyAlignment="1" applyProtection="1">
      <alignment horizontal="center"/>
    </xf>
    <xf numFmtId="0" fontId="31" fillId="12" borderId="33" xfId="42" quotePrefix="1" applyFont="1" applyFill="1" applyBorder="1" applyAlignment="1" applyProtection="1">
      <alignment horizontal="left"/>
    </xf>
    <xf numFmtId="0" fontId="31" fillId="12" borderId="3" xfId="42" quotePrefix="1" applyFont="1" applyFill="1" applyBorder="1" applyAlignment="1" applyProtection="1">
      <alignment horizontal="left"/>
    </xf>
    <xf numFmtId="0" fontId="31" fillId="12" borderId="42" xfId="42" applyFont="1" applyFill="1" applyBorder="1" applyAlignment="1" applyProtection="1">
      <alignment horizontal="center"/>
    </xf>
    <xf numFmtId="166" fontId="31" fillId="12" borderId="34" xfId="42" applyNumberFormat="1" applyFont="1" applyFill="1" applyBorder="1" applyAlignment="1" applyProtection="1">
      <alignment horizontal="right"/>
    </xf>
    <xf numFmtId="166" fontId="31" fillId="12" borderId="42" xfId="42" applyNumberFormat="1" applyFont="1" applyFill="1" applyBorder="1" applyAlignment="1" applyProtection="1">
      <alignment horizontal="right"/>
    </xf>
    <xf numFmtId="166" fontId="31" fillId="12" borderId="35" xfId="42" applyNumberFormat="1" applyFont="1" applyFill="1" applyBorder="1" applyAlignment="1" applyProtection="1">
      <alignment horizontal="right"/>
    </xf>
    <xf numFmtId="0" fontId="43" fillId="12" borderId="36" xfId="42" applyFont="1" applyFill="1" applyBorder="1" applyProtection="1"/>
    <xf numFmtId="0" fontId="34" fillId="12" borderId="0" xfId="42" quotePrefix="1" applyFont="1" applyFill="1" applyBorder="1" applyProtection="1"/>
    <xf numFmtId="0" fontId="28" fillId="12" borderId="2" xfId="42" applyFont="1" applyFill="1" applyBorder="1" applyAlignment="1" applyProtection="1">
      <alignment horizontal="centerContinuous"/>
    </xf>
    <xf numFmtId="0" fontId="38" fillId="12" borderId="21" xfId="42" quotePrefix="1" applyFont="1" applyFill="1" applyBorder="1" applyAlignment="1" applyProtection="1">
      <alignment horizontal="center"/>
    </xf>
    <xf numFmtId="166" fontId="34" fillId="12" borderId="19" xfId="42" applyNumberFormat="1" applyFont="1" applyFill="1" applyBorder="1" applyAlignment="1" applyProtection="1">
      <alignment horizontal="right"/>
    </xf>
    <xf numFmtId="0" fontId="40" fillId="12" borderId="18" xfId="42" applyFont="1" applyFill="1" applyBorder="1" applyProtection="1"/>
    <xf numFmtId="166" fontId="40" fillId="12" borderId="2" xfId="42" applyNumberFormat="1" applyFont="1" applyFill="1" applyBorder="1" applyAlignment="1" applyProtection="1">
      <alignment horizontal="right"/>
    </xf>
    <xf numFmtId="166" fontId="40" fillId="12" borderId="0" xfId="42" applyNumberFormat="1" applyFont="1" applyFill="1" applyBorder="1" applyAlignment="1" applyProtection="1">
      <alignment horizontal="right"/>
    </xf>
    <xf numFmtId="0" fontId="43" fillId="12" borderId="33" xfId="42" applyFont="1" applyFill="1" applyBorder="1" applyProtection="1"/>
    <xf numFmtId="0" fontId="43" fillId="12" borderId="3" xfId="42" applyFont="1" applyFill="1" applyBorder="1" applyProtection="1"/>
    <xf numFmtId="166" fontId="34" fillId="12" borderId="42" xfId="42" applyNumberFormat="1" applyFont="1" applyFill="1" applyBorder="1" applyAlignment="1" applyProtection="1">
      <alignment horizontal="right"/>
    </xf>
    <xf numFmtId="166" fontId="34" fillId="12" borderId="3" xfId="42" applyNumberFormat="1" applyFont="1" applyFill="1" applyBorder="1" applyAlignment="1" applyProtection="1">
      <alignment horizontal="right"/>
    </xf>
    <xf numFmtId="0" fontId="0" fillId="12" borderId="46" xfId="42" applyFont="1" applyFill="1" applyBorder="1"/>
    <xf numFmtId="0" fontId="32" fillId="12" borderId="7" xfId="42" applyFont="1" applyFill="1" applyBorder="1"/>
    <xf numFmtId="0" fontId="0" fillId="12" borderId="55" xfId="42" applyFont="1" applyFill="1" applyBorder="1"/>
    <xf numFmtId="0" fontId="0" fillId="12" borderId="51" xfId="42" applyFont="1" applyFill="1" applyBorder="1"/>
    <xf numFmtId="0" fontId="40" fillId="12" borderId="2" xfId="42" quotePrefix="1" applyFont="1" applyFill="1" applyBorder="1" applyAlignment="1" applyProtection="1">
      <alignment horizontal="right"/>
    </xf>
    <xf numFmtId="0" fontId="40" fillId="12" borderId="27" xfId="42" applyFont="1" applyFill="1" applyBorder="1" applyAlignment="1" applyProtection="1">
      <alignment horizontal="right"/>
    </xf>
    <xf numFmtId="0" fontId="40" fillId="12" borderId="0" xfId="42" quotePrefix="1" applyFont="1" applyFill="1" applyBorder="1" applyAlignment="1" applyProtection="1">
      <alignment horizontal="right"/>
    </xf>
    <xf numFmtId="0" fontId="40" fillId="12" borderId="28" xfId="42" applyFont="1" applyFill="1" applyBorder="1" applyAlignment="1" applyProtection="1">
      <alignment horizontal="right"/>
    </xf>
    <xf numFmtId="0" fontId="40" fillId="12" borderId="33" xfId="42" applyFont="1" applyFill="1" applyBorder="1" applyProtection="1"/>
    <xf numFmtId="0" fontId="40" fillId="12" borderId="3" xfId="42" applyFont="1" applyFill="1" applyBorder="1" applyProtection="1"/>
    <xf numFmtId="0" fontId="34" fillId="12" borderId="34" xfId="42" applyFont="1" applyFill="1" applyBorder="1" applyAlignment="1" applyProtection="1">
      <alignment horizontal="right"/>
    </xf>
    <xf numFmtId="0" fontId="40" fillId="12" borderId="42" xfId="42" applyFont="1" applyFill="1" applyBorder="1" applyAlignment="1" applyProtection="1">
      <alignment horizontal="right"/>
    </xf>
    <xf numFmtId="0" fontId="40" fillId="12" borderId="35" xfId="42" applyFont="1" applyFill="1" applyBorder="1" applyAlignment="1" applyProtection="1">
      <alignment horizontal="right"/>
    </xf>
    <xf numFmtId="0" fontId="39" fillId="12" borderId="0" xfId="42" quotePrefix="1" applyFont="1" applyFill="1" applyBorder="1" applyAlignment="1" applyProtection="1">
      <alignment horizontal="left"/>
    </xf>
    <xf numFmtId="0" fontId="39" fillId="12" borderId="0" xfId="42" applyFont="1" applyFill="1" applyBorder="1" applyProtection="1"/>
    <xf numFmtId="0" fontId="34" fillId="12" borderId="37" xfId="42" applyFont="1" applyFill="1" applyBorder="1" applyProtection="1"/>
    <xf numFmtId="0" fontId="40" fillId="12" borderId="24" xfId="42" applyFont="1" applyFill="1" applyBorder="1" applyProtection="1"/>
    <xf numFmtId="0" fontId="40" fillId="12" borderId="25" xfId="42" applyFont="1" applyFill="1" applyBorder="1" applyAlignment="1" applyProtection="1">
      <alignment horizontal="center"/>
    </xf>
    <xf numFmtId="166" fontId="40" fillId="12" borderId="20" xfId="42" applyNumberFormat="1" applyFont="1" applyFill="1" applyBorder="1" applyProtection="1"/>
    <xf numFmtId="166" fontId="40" fillId="12" borderId="17" xfId="42" applyNumberFormat="1" applyFont="1" applyFill="1" applyBorder="1" applyProtection="1"/>
    <xf numFmtId="166" fontId="40" fillId="12" borderId="45" xfId="42" applyNumberFormat="1" applyFont="1" applyFill="1" applyBorder="1" applyProtection="1"/>
    <xf numFmtId="166" fontId="34" fillId="12" borderId="21" xfId="42" applyNumberFormat="1" applyFont="1" applyFill="1" applyBorder="1" applyProtection="1"/>
    <xf numFmtId="166" fontId="34" fillId="12" borderId="0" xfId="42" applyNumberFormat="1" applyFont="1" applyFill="1" applyBorder="1" applyProtection="1"/>
    <xf numFmtId="166" fontId="34" fillId="12" borderId="46" xfId="42" applyNumberFormat="1" applyFont="1" applyFill="1" applyBorder="1" applyProtection="1"/>
    <xf numFmtId="0" fontId="34" fillId="12" borderId="31" xfId="42" applyFont="1" applyFill="1" applyBorder="1" applyAlignment="1" applyProtection="1">
      <alignment horizontal="center"/>
    </xf>
    <xf numFmtId="166" fontId="34" fillId="12" borderId="31" xfId="42" applyNumberFormat="1" applyFont="1" applyFill="1" applyBorder="1" applyProtection="1"/>
    <xf numFmtId="166" fontId="34" fillId="12" borderId="37" xfId="42" applyNumberFormat="1" applyFont="1" applyFill="1" applyBorder="1" applyProtection="1"/>
    <xf numFmtId="166" fontId="34" fillId="12" borderId="30" xfId="42" applyNumberFormat="1" applyFont="1" applyFill="1" applyBorder="1" applyProtection="1"/>
    <xf numFmtId="166" fontId="34" fillId="12" borderId="47" xfId="42" applyNumberFormat="1" applyFont="1" applyFill="1" applyBorder="1" applyProtection="1"/>
    <xf numFmtId="166" fontId="40" fillId="12" borderId="37" xfId="42" applyNumberFormat="1" applyFont="1" applyFill="1" applyBorder="1" applyProtection="1"/>
    <xf numFmtId="166" fontId="28" fillId="12" borderId="21" xfId="42" applyNumberFormat="1" applyFont="1" applyFill="1" applyBorder="1" applyAlignment="1" applyProtection="1">
      <alignment horizontal="right"/>
    </xf>
    <xf numFmtId="0" fontId="50" fillId="12" borderId="42" xfId="42" applyFont="1" applyFill="1" applyBorder="1" applyProtection="1"/>
    <xf numFmtId="166" fontId="40" fillId="12" borderId="52" xfId="42" applyNumberFormat="1" applyFont="1" applyFill="1" applyBorder="1" applyAlignment="1" applyProtection="1">
      <alignment horizontal="right"/>
    </xf>
    <xf numFmtId="0" fontId="0" fillId="12" borderId="0" xfId="42" applyFont="1" applyFill="1"/>
    <xf numFmtId="166" fontId="40" fillId="12" borderId="26" xfId="42" applyNumberFormat="1" applyFont="1" applyFill="1" applyBorder="1" applyProtection="1"/>
    <xf numFmtId="0" fontId="40" fillId="12" borderId="37" xfId="42" applyFont="1" applyFill="1" applyBorder="1" applyProtection="1"/>
    <xf numFmtId="166" fontId="40" fillId="12" borderId="30" xfId="42" applyNumberFormat="1" applyFont="1" applyFill="1" applyBorder="1" applyProtection="1"/>
    <xf numFmtId="0" fontId="50" fillId="12" borderId="29" xfId="42" applyFont="1" applyFill="1" applyBorder="1" applyProtection="1"/>
    <xf numFmtId="0" fontId="50" fillId="12" borderId="37" xfId="42" applyFont="1" applyFill="1" applyBorder="1" applyProtection="1"/>
    <xf numFmtId="0" fontId="50" fillId="12" borderId="31" xfId="42" applyFont="1" applyFill="1" applyBorder="1" applyAlignment="1" applyProtection="1">
      <alignment horizontal="center"/>
    </xf>
    <xf numFmtId="166" fontId="50" fillId="12" borderId="37" xfId="42" applyNumberFormat="1" applyFont="1" applyFill="1" applyBorder="1" applyProtection="1"/>
    <xf numFmtId="166" fontId="50" fillId="12" borderId="47" xfId="42" applyNumberFormat="1" applyFont="1" applyFill="1" applyBorder="1" applyProtection="1"/>
    <xf numFmtId="0" fontId="50" fillId="12" borderId="21" xfId="42" applyFont="1" applyFill="1" applyBorder="1" applyProtection="1"/>
    <xf numFmtId="0" fontId="28" fillId="12" borderId="21" xfId="42" applyFont="1" applyFill="1" applyBorder="1" applyProtection="1"/>
    <xf numFmtId="0" fontId="28" fillId="12" borderId="27" xfId="42" applyFont="1" applyFill="1" applyBorder="1" applyAlignment="1" applyProtection="1">
      <alignment horizontal="center"/>
    </xf>
    <xf numFmtId="0" fontId="50" fillId="12" borderId="33" xfId="42" applyFont="1" applyFill="1" applyBorder="1" applyProtection="1"/>
    <xf numFmtId="0" fontId="50" fillId="12" borderId="52" xfId="42" applyFont="1" applyFill="1" applyBorder="1" applyProtection="1"/>
    <xf numFmtId="166" fontId="40" fillId="12" borderId="52" xfId="42" applyNumberFormat="1" applyFont="1" applyFill="1" applyBorder="1" applyProtection="1"/>
    <xf numFmtId="166" fontId="50" fillId="12" borderId="42" xfId="42" applyNumberFormat="1" applyFont="1" applyFill="1" applyBorder="1" applyProtection="1"/>
    <xf numFmtId="166" fontId="50" fillId="12" borderId="35" xfId="42" applyNumberFormat="1" applyFont="1" applyFill="1" applyBorder="1" applyProtection="1"/>
    <xf numFmtId="0" fontId="0" fillId="12" borderId="17" xfId="42" applyFont="1" applyFill="1" applyBorder="1" applyProtection="1"/>
    <xf numFmtId="0" fontId="0" fillId="12" borderId="20" xfId="42" applyFont="1" applyFill="1" applyBorder="1" applyProtection="1"/>
    <xf numFmtId="168" fontId="34" fillId="12" borderId="0" xfId="42" applyNumberFormat="1" applyFont="1" applyFill="1" applyBorder="1" applyProtection="1"/>
    <xf numFmtId="0" fontId="39" fillId="12" borderId="38" xfId="42" applyFont="1" applyFill="1" applyBorder="1" applyAlignment="1" applyProtection="1">
      <alignment horizontal="center"/>
    </xf>
    <xf numFmtId="0" fontId="30" fillId="12" borderId="31" xfId="42" applyFont="1" applyFill="1" applyBorder="1" applyAlignment="1" applyProtection="1">
      <alignment horizontal="center"/>
    </xf>
    <xf numFmtId="166" fontId="34" fillId="12" borderId="19" xfId="42" applyNumberFormat="1" applyFont="1" applyFill="1" applyBorder="1" applyProtection="1"/>
    <xf numFmtId="166" fontId="34" fillId="12" borderId="17" xfId="42" applyNumberFormat="1" applyFont="1" applyFill="1" applyBorder="1" applyProtection="1"/>
    <xf numFmtId="166" fontId="34" fillId="12" borderId="2" xfId="42" applyNumberFormat="1" applyFont="1" applyFill="1" applyBorder="1" applyProtection="1"/>
    <xf numFmtId="166" fontId="34" fillId="12" borderId="46" xfId="42" applyNumberFormat="1" applyFont="1" applyFill="1" applyBorder="1" applyAlignment="1" applyProtection="1">
      <alignment horizontal="right"/>
    </xf>
    <xf numFmtId="166" fontId="0" fillId="12" borderId="25" xfId="42" applyNumberFormat="1" applyFont="1" applyFill="1" applyBorder="1"/>
    <xf numFmtId="166" fontId="0" fillId="12" borderId="26" xfId="42" applyNumberFormat="1" applyFont="1" applyFill="1" applyBorder="1"/>
    <xf numFmtId="0" fontId="34" fillId="12" borderId="21" xfId="42" quotePrefix="1" applyFont="1" applyFill="1" applyBorder="1" applyAlignment="1" applyProtection="1">
      <alignment horizontal="right"/>
    </xf>
    <xf numFmtId="166" fontId="40" fillId="12" borderId="31" xfId="42" quotePrefix="1" applyNumberFormat="1" applyFont="1" applyFill="1" applyBorder="1" applyAlignment="1" applyProtection="1">
      <alignment horizontal="right"/>
    </xf>
    <xf numFmtId="166" fontId="40" fillId="12" borderId="32" xfId="42" quotePrefix="1" applyNumberFormat="1" applyFont="1" applyFill="1" applyBorder="1" applyAlignment="1" applyProtection="1">
      <alignment horizontal="right"/>
    </xf>
    <xf numFmtId="166" fontId="34" fillId="12" borderId="25" xfId="42" quotePrefix="1" applyNumberFormat="1" applyFont="1" applyFill="1" applyBorder="1" applyAlignment="1" applyProtection="1">
      <alignment horizontal="right"/>
    </xf>
    <xf numFmtId="166" fontId="34" fillId="12" borderId="26" xfId="42" quotePrefix="1" applyNumberFormat="1" applyFont="1" applyFill="1" applyBorder="1" applyAlignment="1" applyProtection="1">
      <alignment horizontal="right"/>
    </xf>
    <xf numFmtId="0" fontId="34" fillId="12" borderId="3" xfId="42" applyFont="1" applyFill="1" applyBorder="1" applyProtection="1"/>
    <xf numFmtId="0" fontId="34" fillId="12" borderId="42" xfId="42" applyFont="1" applyFill="1" applyBorder="1" applyAlignment="1" applyProtection="1">
      <alignment horizontal="center"/>
    </xf>
    <xf numFmtId="166" fontId="34" fillId="12" borderId="3" xfId="42" applyNumberFormat="1" applyFont="1" applyFill="1" applyBorder="1" applyProtection="1"/>
    <xf numFmtId="166" fontId="34" fillId="12" borderId="35" xfId="42" applyNumberFormat="1" applyFont="1" applyFill="1" applyBorder="1" applyProtection="1"/>
    <xf numFmtId="166" fontId="40" fillId="12" borderId="27" xfId="42" applyNumberFormat="1" applyFont="1" applyFill="1" applyBorder="1" applyProtection="1"/>
    <xf numFmtId="166" fontId="40" fillId="12" borderId="56" xfId="42" applyNumberFormat="1" applyFont="1" applyFill="1" applyBorder="1" applyProtection="1"/>
    <xf numFmtId="0" fontId="40" fillId="12" borderId="7" xfId="42" applyFont="1" applyFill="1" applyBorder="1" applyProtection="1"/>
    <xf numFmtId="0" fontId="40" fillId="12" borderId="6" xfId="42" applyFont="1" applyFill="1" applyBorder="1" applyProtection="1"/>
    <xf numFmtId="166" fontId="34" fillId="12" borderId="38" xfId="42" applyNumberFormat="1" applyFont="1" applyFill="1" applyBorder="1" applyProtection="1"/>
    <xf numFmtId="166" fontId="40" fillId="12" borderId="38" xfId="42" applyNumberFormat="1" applyFont="1" applyFill="1" applyBorder="1" applyProtection="1"/>
    <xf numFmtId="166" fontId="40" fillId="12" borderId="28" xfId="42" applyNumberFormat="1" applyFont="1" applyFill="1" applyBorder="1" applyProtection="1"/>
    <xf numFmtId="0" fontId="43" fillId="12" borderId="29" xfId="42" applyFont="1" applyFill="1" applyBorder="1" applyProtection="1"/>
    <xf numFmtId="0" fontId="43" fillId="12" borderId="30" xfId="42" applyFont="1" applyFill="1" applyBorder="1" applyProtection="1"/>
    <xf numFmtId="0" fontId="43" fillId="12" borderId="31" xfId="42" applyFont="1" applyFill="1" applyBorder="1" applyAlignment="1" applyProtection="1">
      <alignment horizontal="center"/>
    </xf>
    <xf numFmtId="166" fontId="34" fillId="12" borderId="32" xfId="42" applyNumberFormat="1" applyFont="1" applyFill="1" applyBorder="1" applyProtection="1"/>
    <xf numFmtId="0" fontId="40" fillId="12" borderId="18" xfId="42" quotePrefix="1" applyFont="1" applyFill="1" applyBorder="1" applyAlignment="1" applyProtection="1">
      <alignment horizontal="left"/>
    </xf>
    <xf numFmtId="0" fontId="40" fillId="12" borderId="6" xfId="42" quotePrefix="1" applyFont="1" applyFill="1" applyBorder="1" applyAlignment="1" applyProtection="1">
      <alignment horizontal="right"/>
    </xf>
    <xf numFmtId="0" fontId="40" fillId="12" borderId="21" xfId="42" quotePrefix="1" applyFont="1" applyFill="1" applyBorder="1" applyAlignment="1" applyProtection="1">
      <alignment horizontal="right"/>
    </xf>
    <xf numFmtId="0" fontId="40" fillId="12" borderId="129" xfId="42" applyFont="1" applyFill="1" applyBorder="1" applyAlignment="1" applyProtection="1">
      <alignment horizontal="left"/>
    </xf>
    <xf numFmtId="166" fontId="34" fillId="12" borderId="57" xfId="42" applyNumberFormat="1" applyFont="1" applyFill="1" applyBorder="1" applyProtection="1"/>
    <xf numFmtId="0" fontId="34" fillId="12" borderId="129" xfId="42" applyFont="1" applyFill="1" applyBorder="1" applyAlignment="1" applyProtection="1">
      <alignment horizontal="left"/>
    </xf>
    <xf numFmtId="0" fontId="34" fillId="12" borderId="57" xfId="42" quotePrefix="1" applyFont="1" applyFill="1" applyBorder="1" applyAlignment="1" applyProtection="1">
      <alignment horizontal="left"/>
    </xf>
    <xf numFmtId="0" fontId="34" fillId="12" borderId="58" xfId="42" applyFont="1" applyFill="1" applyBorder="1" applyAlignment="1" applyProtection="1">
      <alignment horizontal="center"/>
    </xf>
    <xf numFmtId="0" fontId="34" fillId="12" borderId="57" xfId="42" quotePrefix="1" applyFont="1" applyFill="1" applyBorder="1" applyAlignment="1" applyProtection="1">
      <alignment horizontal="center"/>
    </xf>
    <xf numFmtId="166" fontId="34" fillId="12" borderId="58" xfId="42" applyNumberFormat="1" applyFont="1" applyFill="1" applyBorder="1" applyAlignment="1" applyProtection="1">
      <alignment horizontal="right"/>
    </xf>
    <xf numFmtId="166" fontId="0" fillId="12" borderId="30" xfId="42" applyNumberFormat="1" applyFont="1" applyFill="1" applyBorder="1"/>
    <xf numFmtId="0" fontId="40" fillId="12" borderId="129" xfId="42" applyFont="1" applyFill="1" applyBorder="1" applyProtection="1"/>
    <xf numFmtId="0" fontId="34" fillId="12" borderId="57" xfId="42" applyFont="1" applyFill="1" applyBorder="1" applyProtection="1"/>
    <xf numFmtId="0" fontId="39" fillId="12" borderId="57" xfId="42" applyFont="1" applyFill="1" applyBorder="1" applyAlignment="1" applyProtection="1">
      <alignment horizontal="center"/>
    </xf>
    <xf numFmtId="1" fontId="40" fillId="12" borderId="57" xfId="42" applyNumberFormat="1" applyFont="1" applyFill="1" applyBorder="1" applyAlignment="1" applyProtection="1">
      <alignment horizontal="center"/>
    </xf>
    <xf numFmtId="0" fontId="30" fillId="12" borderId="0" xfId="42" applyFont="1" applyFill="1" applyBorder="1" applyAlignment="1" applyProtection="1">
      <alignment horizontal="center"/>
    </xf>
    <xf numFmtId="0" fontId="38" fillId="12" borderId="0" xfId="42" applyFont="1" applyFill="1" applyBorder="1" applyAlignment="1" applyProtection="1">
      <alignment horizontal="center"/>
    </xf>
    <xf numFmtId="0" fontId="34" fillId="12" borderId="0" xfId="42" applyFont="1" applyFill="1" applyBorder="1" applyAlignment="1" applyProtection="1">
      <alignment horizontal="center"/>
    </xf>
    <xf numFmtId="0" fontId="43" fillId="12" borderId="0" xfId="42" applyFont="1" applyFill="1" applyBorder="1" applyAlignment="1" applyProtection="1">
      <alignment horizontal="center"/>
    </xf>
    <xf numFmtId="0" fontId="34" fillId="12" borderId="57" xfId="42" applyFont="1" applyFill="1" applyBorder="1" applyAlignment="1" applyProtection="1">
      <alignment horizontal="center"/>
    </xf>
    <xf numFmtId="166" fontId="34" fillId="12" borderId="57" xfId="42" applyNumberFormat="1" applyFont="1" applyFill="1" applyBorder="1" applyAlignment="1" applyProtection="1">
      <alignment horizontal="right"/>
    </xf>
    <xf numFmtId="0" fontId="34" fillId="12" borderId="3" xfId="42" applyFont="1" applyFill="1" applyBorder="1" applyAlignment="1" applyProtection="1">
      <alignment horizontal="center"/>
    </xf>
    <xf numFmtId="0" fontId="28" fillId="12" borderId="17" xfId="42" applyFont="1" applyFill="1" applyBorder="1" applyProtection="1"/>
    <xf numFmtId="0" fontId="28" fillId="12" borderId="20" xfId="42" applyFont="1" applyFill="1" applyBorder="1" applyProtection="1"/>
    <xf numFmtId="0" fontId="32" fillId="12" borderId="31" xfId="42" applyFont="1" applyFill="1" applyBorder="1" applyAlignment="1" applyProtection="1">
      <alignment horizontal="center"/>
    </xf>
    <xf numFmtId="166" fontId="28" fillId="12" borderId="30" xfId="42" applyNumberFormat="1" applyFont="1" applyFill="1" applyBorder="1"/>
    <xf numFmtId="0" fontId="34" fillId="12" borderId="37" xfId="42" applyFont="1" applyFill="1" applyBorder="1" applyAlignment="1" applyProtection="1">
      <alignment horizontal="right"/>
    </xf>
    <xf numFmtId="0" fontId="38" fillId="12" borderId="41" xfId="42" applyFont="1" applyFill="1" applyBorder="1" applyAlignment="1" applyProtection="1">
      <alignment horizontal="center" wrapText="1"/>
    </xf>
    <xf numFmtId="0" fontId="38" fillId="12" borderId="127" xfId="42" applyFont="1" applyFill="1" applyBorder="1" applyAlignment="1" applyProtection="1">
      <alignment horizontal="center" wrapText="1"/>
    </xf>
    <xf numFmtId="0" fontId="38" fillId="12" borderId="43" xfId="42" applyFont="1" applyFill="1" applyBorder="1" applyAlignment="1" applyProtection="1">
      <alignment horizontal="center" wrapText="1"/>
    </xf>
    <xf numFmtId="0" fontId="39" fillId="12" borderId="21" xfId="42" applyFont="1" applyFill="1" applyBorder="1" applyAlignment="1" applyProtection="1">
      <alignment horizontal="center"/>
    </xf>
    <xf numFmtId="166" fontId="34" fillId="12" borderId="20" xfId="42" applyNumberFormat="1" applyFont="1" applyFill="1" applyBorder="1" applyProtection="1"/>
    <xf numFmtId="166" fontId="34" fillId="12" borderId="45" xfId="42" applyNumberFormat="1" applyFont="1" applyFill="1" applyBorder="1" applyProtection="1"/>
    <xf numFmtId="0" fontId="34" fillId="12" borderId="21" xfId="42" quotePrefix="1" applyFont="1" applyFill="1" applyBorder="1" applyAlignment="1" applyProtection="1">
      <alignment horizontal="left"/>
    </xf>
    <xf numFmtId="166" fontId="40" fillId="12" borderId="27" xfId="42" quotePrefix="1" applyNumberFormat="1" applyFont="1" applyFill="1" applyBorder="1" applyAlignment="1" applyProtection="1"/>
    <xf numFmtId="166" fontId="40" fillId="12" borderId="21" xfId="42" applyNumberFormat="1" applyFont="1" applyFill="1" applyBorder="1" applyAlignment="1" applyProtection="1">
      <alignment horizontal="center"/>
    </xf>
    <xf numFmtId="166" fontId="40" fillId="12" borderId="46" xfId="42" applyNumberFormat="1" applyFont="1" applyFill="1" applyBorder="1" applyAlignment="1" applyProtection="1">
      <alignment horizontal="center"/>
    </xf>
    <xf numFmtId="0" fontId="50" fillId="12" borderId="18" xfId="42" applyFont="1" applyFill="1" applyBorder="1" applyProtection="1"/>
    <xf numFmtId="166" fontId="50" fillId="12" borderId="46" xfId="42" applyNumberFormat="1" applyFont="1" applyFill="1" applyBorder="1" applyAlignment="1" applyProtection="1">
      <alignment horizontal="center"/>
    </xf>
    <xf numFmtId="0" fontId="50" fillId="12" borderId="21" xfId="42" applyFont="1" applyFill="1" applyBorder="1" applyAlignment="1" applyProtection="1">
      <alignment horizontal="center"/>
    </xf>
    <xf numFmtId="0" fontId="34" fillId="12" borderId="20" xfId="42" quotePrefix="1" applyFont="1" applyFill="1" applyBorder="1" applyAlignment="1" applyProtection="1">
      <alignment horizontal="left"/>
    </xf>
    <xf numFmtId="166" fontId="40" fillId="12" borderId="21" xfId="42" quotePrefix="1" applyNumberFormat="1" applyFont="1" applyFill="1" applyBorder="1" applyAlignment="1" applyProtection="1">
      <alignment horizontal="center"/>
    </xf>
    <xf numFmtId="166" fontId="40" fillId="12" borderId="46" xfId="42" quotePrefix="1" applyNumberFormat="1" applyFont="1" applyFill="1" applyBorder="1" applyAlignment="1" applyProtection="1">
      <alignment horizontal="center"/>
    </xf>
    <xf numFmtId="166" fontId="40" fillId="12" borderId="31" xfId="42" quotePrefix="1" applyNumberFormat="1" applyFont="1" applyFill="1" applyBorder="1" applyAlignment="1" applyProtection="1"/>
    <xf numFmtId="166" fontId="40" fillId="12" borderId="37" xfId="42" applyNumberFormat="1" applyFont="1" applyFill="1" applyBorder="1" applyAlignment="1" applyProtection="1">
      <alignment horizontal="center"/>
    </xf>
    <xf numFmtId="166" fontId="40" fillId="12" borderId="37" xfId="42" quotePrefix="1" applyNumberFormat="1" applyFont="1" applyFill="1" applyBorder="1" applyAlignment="1" applyProtection="1">
      <alignment horizontal="center"/>
    </xf>
    <xf numFmtId="166" fontId="50" fillId="12" borderId="47" xfId="42" quotePrefix="1" applyNumberFormat="1" applyFont="1" applyFill="1" applyBorder="1" applyAlignment="1" applyProtection="1">
      <alignment horizontal="center"/>
    </xf>
    <xf numFmtId="0" fontId="50" fillId="12" borderId="21" xfId="42" quotePrefix="1" applyFont="1" applyFill="1" applyBorder="1" applyAlignment="1" applyProtection="1">
      <alignment horizontal="center"/>
    </xf>
    <xf numFmtId="166" fontId="40" fillId="12" borderId="25" xfId="42" quotePrefix="1" applyNumberFormat="1" applyFont="1" applyFill="1" applyBorder="1" applyAlignment="1" applyProtection="1"/>
    <xf numFmtId="166" fontId="40" fillId="12" borderId="20" xfId="42" applyNumberFormat="1" applyFont="1" applyFill="1" applyBorder="1" applyAlignment="1" applyProtection="1">
      <alignment horizontal="center"/>
    </xf>
    <xf numFmtId="166" fontId="40" fillId="12" borderId="45" xfId="42" applyNumberFormat="1" applyFont="1" applyFill="1" applyBorder="1" applyAlignment="1" applyProtection="1">
      <alignment horizontal="center"/>
    </xf>
    <xf numFmtId="0" fontId="34" fillId="12" borderId="21" xfId="42" applyFont="1" applyFill="1" applyBorder="1" applyAlignment="1" applyProtection="1">
      <alignment horizontal="left"/>
    </xf>
    <xf numFmtId="166" fontId="34" fillId="12" borderId="27" xfId="42" quotePrefix="1" applyNumberFormat="1" applyFont="1" applyFill="1" applyBorder="1" applyAlignment="1" applyProtection="1"/>
    <xf numFmtId="166" fontId="34" fillId="12" borderId="21" xfId="42" applyNumberFormat="1" applyFont="1" applyFill="1" applyBorder="1" applyAlignment="1" applyProtection="1">
      <alignment horizontal="center"/>
    </xf>
    <xf numFmtId="166" fontId="34" fillId="12" borderId="46" xfId="42" applyNumberFormat="1" applyFont="1" applyFill="1" applyBorder="1" applyAlignment="1" applyProtection="1">
      <alignment horizontal="center"/>
    </xf>
    <xf numFmtId="166" fontId="43" fillId="12" borderId="46" xfId="42" applyNumberFormat="1" applyFont="1" applyFill="1" applyBorder="1" applyAlignment="1" applyProtection="1">
      <alignment horizontal="center"/>
    </xf>
    <xf numFmtId="0" fontId="43" fillId="12" borderId="21" xfId="42" applyFont="1" applyFill="1" applyBorder="1" applyAlignment="1" applyProtection="1">
      <alignment horizontal="center"/>
    </xf>
    <xf numFmtId="0" fontId="43" fillId="12" borderId="21" xfId="42" applyFont="1" applyFill="1" applyBorder="1" applyAlignment="1" applyProtection="1">
      <alignment horizontal="left"/>
    </xf>
    <xf numFmtId="166" fontId="40" fillId="12" borderId="21" xfId="42" applyNumberFormat="1" applyFont="1" applyFill="1" applyBorder="1" applyProtection="1"/>
    <xf numFmtId="166" fontId="50" fillId="12" borderId="46" xfId="42" applyNumberFormat="1" applyFont="1" applyFill="1" applyBorder="1" applyProtection="1"/>
    <xf numFmtId="166" fontId="34" fillId="12" borderId="25" xfId="42" quotePrefix="1" applyNumberFormat="1" applyFont="1" applyFill="1" applyBorder="1" applyAlignment="1" applyProtection="1"/>
    <xf numFmtId="166" fontId="34" fillId="12" borderId="20" xfId="42" applyNumberFormat="1" applyFont="1" applyFill="1" applyBorder="1" applyAlignment="1" applyProtection="1">
      <alignment horizontal="center"/>
    </xf>
    <xf numFmtId="166" fontId="40" fillId="12" borderId="42" xfId="42" quotePrefix="1" applyNumberFormat="1" applyFont="1" applyFill="1" applyBorder="1" applyAlignment="1" applyProtection="1"/>
    <xf numFmtId="166" fontId="50" fillId="12" borderId="59" xfId="42" applyNumberFormat="1" applyFont="1" applyFill="1" applyBorder="1" applyProtection="1"/>
    <xf numFmtId="0" fontId="38" fillId="12" borderId="27" xfId="42" quotePrefix="1" applyFont="1" applyFill="1" applyBorder="1" applyAlignment="1" applyProtection="1">
      <alignment horizontal="center"/>
    </xf>
    <xf numFmtId="0" fontId="38" fillId="12" borderId="0" xfId="42" quotePrefix="1" applyFont="1" applyFill="1" applyBorder="1" applyAlignment="1" applyProtection="1">
      <alignment horizontal="center"/>
    </xf>
    <xf numFmtId="0" fontId="38" fillId="12" borderId="2" xfId="42" applyFont="1" applyFill="1" applyBorder="1" applyAlignment="1" applyProtection="1">
      <alignment horizontal="center"/>
    </xf>
    <xf numFmtId="0" fontId="38" fillId="12" borderId="46" xfId="42" quotePrefix="1" applyFont="1" applyFill="1" applyBorder="1" applyAlignment="1" applyProtection="1">
      <alignment horizontal="center"/>
    </xf>
    <xf numFmtId="0" fontId="48" fillId="12" borderId="21" xfId="42" quotePrefix="1" applyFont="1" applyFill="1" applyBorder="1" applyAlignment="1" applyProtection="1">
      <alignment horizontal="right"/>
    </xf>
    <xf numFmtId="0" fontId="40" fillId="12" borderId="24" xfId="42" applyFont="1" applyFill="1" applyBorder="1" applyAlignment="1" applyProtection="1">
      <alignment horizontal="left"/>
    </xf>
    <xf numFmtId="0" fontId="34" fillId="12" borderId="17" xfId="42" applyFont="1" applyFill="1" applyBorder="1" applyAlignment="1" applyProtection="1">
      <alignment horizontal="right"/>
    </xf>
    <xf numFmtId="0" fontId="43" fillId="12" borderId="20" xfId="42" applyFont="1" applyFill="1" applyBorder="1" applyAlignment="1" applyProtection="1">
      <alignment horizontal="right"/>
    </xf>
    <xf numFmtId="0" fontId="34" fillId="12" borderId="19" xfId="42" applyFont="1" applyFill="1" applyBorder="1" applyAlignment="1" applyProtection="1">
      <alignment horizontal="right"/>
    </xf>
    <xf numFmtId="0" fontId="34" fillId="12" borderId="20" xfId="42" applyFont="1" applyFill="1" applyBorder="1" applyAlignment="1" applyProtection="1">
      <alignment horizontal="right"/>
    </xf>
    <xf numFmtId="0" fontId="43" fillId="12" borderId="45" xfId="42" applyFont="1" applyFill="1" applyBorder="1" applyAlignment="1" applyProtection="1">
      <alignment horizontal="right"/>
    </xf>
    <xf numFmtId="167" fontId="0" fillId="12" borderId="27" xfId="398" applyNumberFormat="1" applyFont="1" applyFill="1" applyBorder="1" applyAlignment="1">
      <alignment horizontal="center"/>
    </xf>
    <xf numFmtId="0" fontId="34" fillId="12" borderId="29" xfId="42" applyFont="1" applyFill="1" applyBorder="1" applyAlignment="1" applyProtection="1">
      <alignment horizontal="left"/>
    </xf>
    <xf numFmtId="0" fontId="34" fillId="12" borderId="30" xfId="42" applyFont="1" applyFill="1" applyBorder="1" applyAlignment="1" applyProtection="1">
      <alignment horizontal="right"/>
    </xf>
    <xf numFmtId="167" fontId="0" fillId="12" borderId="31" xfId="398" applyNumberFormat="1" applyFont="1" applyFill="1" applyBorder="1" applyAlignment="1">
      <alignment horizontal="center"/>
    </xf>
    <xf numFmtId="166" fontId="34" fillId="12" borderId="37" xfId="42" applyNumberFormat="1" applyFont="1" applyFill="1" applyBorder="1" applyAlignment="1" applyProtection="1">
      <alignment horizontal="right"/>
    </xf>
    <xf numFmtId="166" fontId="34" fillId="12" borderId="36" xfId="42" applyNumberFormat="1" applyFont="1" applyFill="1" applyBorder="1" applyAlignment="1" applyProtection="1">
      <alignment horizontal="right"/>
    </xf>
    <xf numFmtId="166" fontId="34" fillId="12" borderId="47" xfId="42" applyNumberFormat="1" applyFont="1" applyFill="1" applyBorder="1" applyAlignment="1" applyProtection="1">
      <alignment horizontal="right"/>
    </xf>
    <xf numFmtId="0" fontId="40" fillId="12" borderId="0" xfId="42" applyFont="1" applyFill="1" applyBorder="1" applyAlignment="1" applyProtection="1">
      <alignment horizontal="right"/>
    </xf>
    <xf numFmtId="166" fontId="40" fillId="12" borderId="21" xfId="42" applyNumberFormat="1" applyFont="1" applyFill="1" applyBorder="1" applyAlignment="1" applyProtection="1">
      <alignment horizontal="right"/>
    </xf>
    <xf numFmtId="166" fontId="40" fillId="12" borderId="46" xfId="42" applyNumberFormat="1" applyFont="1" applyFill="1" applyBorder="1" applyAlignment="1" applyProtection="1">
      <alignment horizontal="right"/>
    </xf>
    <xf numFmtId="0" fontId="0" fillId="12" borderId="25" xfId="42" applyFont="1" applyFill="1" applyBorder="1" applyAlignment="1">
      <alignment horizontal="center"/>
    </xf>
    <xf numFmtId="166" fontId="34" fillId="12" borderId="20" xfId="42" applyNumberFormat="1" applyFont="1" applyFill="1" applyBorder="1" applyAlignment="1" applyProtection="1">
      <alignment horizontal="right"/>
    </xf>
    <xf numFmtId="166" fontId="34" fillId="12" borderId="45" xfId="42" applyNumberFormat="1" applyFont="1" applyFill="1" applyBorder="1" applyAlignment="1" applyProtection="1">
      <alignment horizontal="right"/>
    </xf>
    <xf numFmtId="166" fontId="33" fillId="19" borderId="76" xfId="42" applyNumberFormat="1" applyFont="1" applyFill="1" applyBorder="1" applyAlignment="1">
      <alignment horizontal="right"/>
    </xf>
    <xf numFmtId="166" fontId="33" fillId="19" borderId="104" xfId="42" applyNumberFormat="1" applyFont="1" applyFill="1" applyBorder="1" applyAlignment="1">
      <alignment horizontal="right"/>
    </xf>
    <xf numFmtId="0" fontId="28" fillId="0" borderId="0" xfId="42" applyFont="1" applyFill="1" applyAlignment="1">
      <alignment horizontal="center"/>
    </xf>
    <xf numFmtId="0" fontId="28" fillId="0" borderId="0" xfId="42" applyFont="1" applyFill="1"/>
    <xf numFmtId="0" fontId="28" fillId="0" borderId="0" xfId="42" applyFont="1" applyFill="1" applyBorder="1" applyAlignment="1">
      <alignment horizontal="center"/>
    </xf>
    <xf numFmtId="0" fontId="28" fillId="19" borderId="0" xfId="42" applyFont="1" applyFill="1" applyBorder="1" applyAlignment="1">
      <alignment horizontal="center"/>
    </xf>
    <xf numFmtId="0" fontId="28" fillId="19" borderId="0" xfId="42" applyFont="1" applyFill="1" applyBorder="1" applyAlignment="1">
      <alignment horizontal="right"/>
    </xf>
    <xf numFmtId="2" fontId="28" fillId="19" borderId="0" xfId="42" applyNumberFormat="1" applyFont="1" applyFill="1" applyBorder="1" applyAlignment="1">
      <alignment horizontal="right"/>
    </xf>
    <xf numFmtId="166" fontId="28" fillId="19" borderId="75" xfId="42" applyNumberFormat="1" applyFont="1" applyFill="1" applyBorder="1" applyAlignment="1">
      <alignment horizontal="right"/>
    </xf>
    <xf numFmtId="14" fontId="28" fillId="0" borderId="4" xfId="42" applyNumberFormat="1" applyFont="1" applyBorder="1" applyAlignment="1"/>
    <xf numFmtId="0" fontId="4" fillId="0" borderId="0" xfId="42" applyFont="1" applyAlignment="1">
      <alignment horizontal="left"/>
    </xf>
    <xf numFmtId="168" fontId="0" fillId="12" borderId="30" xfId="42" applyNumberFormat="1" applyFont="1" applyFill="1" applyBorder="1"/>
    <xf numFmtId="166" fontId="34" fillId="12" borderId="6" xfId="42" applyNumberFormat="1" applyFont="1" applyFill="1" applyBorder="1" applyProtection="1"/>
    <xf numFmtId="2" fontId="28" fillId="0" borderId="80" xfId="42" applyNumberFormat="1" applyFont="1" applyBorder="1"/>
    <xf numFmtId="2" fontId="28" fillId="0" borderId="0" xfId="42" applyNumberFormat="1" applyFont="1" applyBorder="1"/>
    <xf numFmtId="2" fontId="28" fillId="21" borderId="0" xfId="42" applyNumberFormat="1" applyFont="1" applyFill="1" applyBorder="1"/>
    <xf numFmtId="2" fontId="28" fillId="0" borderId="82" xfId="42" applyNumberFormat="1" applyFont="1" applyBorder="1"/>
    <xf numFmtId="2" fontId="28" fillId="13" borderId="0" xfId="42" applyNumberFormat="1" applyFont="1" applyFill="1" applyBorder="1"/>
    <xf numFmtId="0" fontId="68" fillId="0" borderId="0" xfId="42" applyFont="1" applyAlignment="1">
      <alignment horizontal="center"/>
    </xf>
    <xf numFmtId="166" fontId="55" fillId="0" borderId="71" xfId="42" applyNumberFormat="1" applyFont="1" applyFill="1" applyBorder="1" applyAlignment="1">
      <alignment horizontal="right"/>
    </xf>
    <xf numFmtId="168" fontId="49" fillId="19" borderId="71" xfId="42" applyNumberFormat="1" applyFont="1" applyFill="1" applyBorder="1" applyAlignment="1">
      <alignment horizontal="right"/>
    </xf>
    <xf numFmtId="2" fontId="28" fillId="0" borderId="0" xfId="42" applyNumberFormat="1" applyFont="1"/>
    <xf numFmtId="0" fontId="28" fillId="0" borderId="0" xfId="42" applyNumberFormat="1" applyFont="1" applyAlignment="1"/>
    <xf numFmtId="10" fontId="40" fillId="0" borderId="92" xfId="398" applyNumberFormat="1" applyFont="1" applyBorder="1" applyAlignment="1"/>
    <xf numFmtId="10" fontId="40" fillId="0" borderId="4" xfId="398" applyNumberFormat="1" applyFont="1" applyFill="1" applyBorder="1" applyAlignment="1"/>
    <xf numFmtId="10" fontId="40" fillId="0" borderId="0" xfId="42" applyNumberFormat="1" applyFont="1" applyBorder="1" applyAlignment="1"/>
    <xf numFmtId="2" fontId="28" fillId="19" borderId="75" xfId="42" applyNumberFormat="1" applyFont="1" applyFill="1" applyBorder="1" applyAlignment="1">
      <alignment horizontal="right"/>
    </xf>
    <xf numFmtId="2" fontId="32" fillId="21" borderId="0" xfId="42" applyNumberFormat="1" applyFont="1" applyFill="1" applyBorder="1"/>
    <xf numFmtId="169" fontId="40" fillId="0" borderId="0" xfId="42" applyNumberFormat="1" applyFont="1" applyAlignment="1"/>
    <xf numFmtId="2" fontId="40" fillId="0" borderId="111" xfId="42" applyNumberFormat="1" applyFont="1" applyBorder="1" applyAlignment="1"/>
    <xf numFmtId="2" fontId="40" fillId="0" borderId="113" xfId="42" applyNumberFormat="1" applyFont="1" applyBorder="1" applyAlignment="1"/>
    <xf numFmtId="2" fontId="40" fillId="15" borderId="0" xfId="42" applyNumberFormat="1" applyFont="1" applyFill="1" applyAlignment="1"/>
    <xf numFmtId="166" fontId="40" fillId="34" borderId="82" xfId="42" applyNumberFormat="1" applyFont="1" applyFill="1" applyBorder="1" applyAlignment="1"/>
    <xf numFmtId="2" fontId="28" fillId="0" borderId="76" xfId="42" applyNumberFormat="1" applyFont="1" applyBorder="1" applyAlignment="1"/>
    <xf numFmtId="2" fontId="40" fillId="20" borderId="76" xfId="42" applyNumberFormat="1" applyFont="1" applyFill="1" applyBorder="1" applyAlignment="1"/>
    <xf numFmtId="2" fontId="28" fillId="15" borderId="76" xfId="42" applyNumberFormat="1" applyFont="1" applyFill="1" applyBorder="1" applyAlignment="1"/>
    <xf numFmtId="2" fontId="40" fillId="15" borderId="76" xfId="42" applyNumberFormat="1" applyFont="1" applyFill="1" applyBorder="1" applyAlignment="1"/>
    <xf numFmtId="2" fontId="40" fillId="15" borderId="0" xfId="42" applyNumberFormat="1" applyFont="1" applyFill="1" applyBorder="1" applyAlignment="1"/>
    <xf numFmtId="2" fontId="32" fillId="0" borderId="0" xfId="398" applyNumberFormat="1" applyFont="1" applyAlignment="1"/>
    <xf numFmtId="2" fontId="28" fillId="15" borderId="0" xfId="42" applyNumberFormat="1" applyFont="1" applyFill="1" applyBorder="1" applyAlignment="1"/>
    <xf numFmtId="2" fontId="28" fillId="0" borderId="80" xfId="42" applyNumberFormat="1" applyFont="1" applyBorder="1" applyAlignment="1">
      <alignment horizontal="right"/>
    </xf>
    <xf numFmtId="2" fontId="32" fillId="11" borderId="0" xfId="42" applyNumberFormat="1" applyFont="1" applyFill="1" applyBorder="1" applyAlignment="1">
      <alignment horizontal="right"/>
    </xf>
    <xf numFmtId="2" fontId="28" fillId="0" borderId="0" xfId="42" applyNumberFormat="1" applyFont="1" applyBorder="1" applyAlignment="1">
      <alignment horizontal="right"/>
    </xf>
    <xf numFmtId="2" fontId="28" fillId="0" borderId="82" xfId="42" applyNumberFormat="1" applyFont="1" applyBorder="1" applyAlignment="1">
      <alignment horizontal="right"/>
    </xf>
    <xf numFmtId="2" fontId="40" fillId="11" borderId="82" xfId="42" applyNumberFormat="1" applyFont="1" applyFill="1" applyBorder="1" applyAlignment="1">
      <alignment horizontal="right"/>
    </xf>
    <xf numFmtId="1" fontId="28" fillId="0" borderId="0" xfId="42" applyNumberFormat="1" applyFont="1" applyBorder="1" applyAlignment="1">
      <alignment horizontal="right"/>
    </xf>
    <xf numFmtId="0" fontId="0" fillId="13" borderId="0" xfId="42" applyFont="1" applyFill="1" applyBorder="1" applyAlignment="1">
      <alignment horizontal="right"/>
    </xf>
    <xf numFmtId="168" fontId="59" fillId="19" borderId="0" xfId="42" applyNumberFormat="1" applyFont="1" applyFill="1" applyAlignment="1">
      <alignment horizontal="right"/>
    </xf>
    <xf numFmtId="2" fontId="0" fillId="13" borderId="0" xfId="42" applyNumberFormat="1" applyFont="1" applyFill="1" applyBorder="1" applyAlignment="1">
      <alignment horizontal="right"/>
    </xf>
    <xf numFmtId="1" fontId="28" fillId="0" borderId="92" xfId="42" applyNumberFormat="1" applyFont="1" applyBorder="1" applyAlignment="1">
      <alignment horizontal="right"/>
    </xf>
    <xf numFmtId="2" fontId="28" fillId="0" borderId="92" xfId="42" applyNumberFormat="1" applyFont="1" applyBorder="1" applyAlignment="1">
      <alignment horizontal="right"/>
    </xf>
    <xf numFmtId="1" fontId="28" fillId="0" borderId="4" xfId="42" applyNumberFormat="1" applyFont="1" applyBorder="1" applyAlignment="1">
      <alignment horizontal="right"/>
    </xf>
    <xf numFmtId="2" fontId="28" fillId="0" borderId="4" xfId="42" applyNumberFormat="1" applyFont="1" applyBorder="1" applyAlignment="1">
      <alignment horizontal="right"/>
    </xf>
    <xf numFmtId="168" fontId="58" fillId="19" borderId="0" xfId="42" applyNumberFormat="1" applyFont="1" applyFill="1" applyAlignment="1">
      <alignment horizontal="right"/>
    </xf>
    <xf numFmtId="2" fontId="32" fillId="0" borderId="80" xfId="42" applyNumberFormat="1" applyFont="1" applyBorder="1" applyAlignment="1">
      <alignment horizontal="right"/>
    </xf>
    <xf numFmtId="2" fontId="32" fillId="0" borderId="82" xfId="42" applyNumberFormat="1" applyFont="1" applyBorder="1" applyAlignment="1">
      <alignment horizontal="right"/>
    </xf>
    <xf numFmtId="2" fontId="32" fillId="0" borderId="92" xfId="42" applyNumberFormat="1" applyFont="1" applyBorder="1" applyAlignment="1">
      <alignment horizontal="right"/>
    </xf>
    <xf numFmtId="2" fontId="32" fillId="0" borderId="4" xfId="42" applyNumberFormat="1" applyFont="1" applyBorder="1" applyAlignment="1">
      <alignment horizontal="right"/>
    </xf>
    <xf numFmtId="0" fontId="13" fillId="19" borderId="0" xfId="32" applyFill="1" applyBorder="1" applyAlignment="1" applyProtection="1"/>
    <xf numFmtId="167" fontId="59" fillId="19" borderId="0" xfId="398" applyNumberFormat="1" applyFont="1" applyFill="1" applyBorder="1" applyAlignment="1">
      <alignment horizontal="right"/>
    </xf>
    <xf numFmtId="167" fontId="28" fillId="0" borderId="0" xfId="42" applyNumberFormat="1" applyFont="1" applyAlignment="1"/>
    <xf numFmtId="0" fontId="59" fillId="21" borderId="0" xfId="42" applyFont="1" applyFill="1" applyBorder="1" applyAlignment="1">
      <alignment horizontal="left"/>
    </xf>
    <xf numFmtId="167" fontId="59" fillId="21" borderId="0" xfId="398" applyNumberFormat="1" applyFont="1" applyFill="1" applyBorder="1" applyAlignment="1">
      <alignment horizontal="right"/>
    </xf>
    <xf numFmtId="0" fontId="59" fillId="21" borderId="82" xfId="42" applyFont="1" applyFill="1" applyBorder="1" applyAlignment="1">
      <alignment horizontal="left"/>
    </xf>
    <xf numFmtId="166" fontId="59" fillId="21" borderId="82" xfId="42" applyNumberFormat="1" applyFont="1" applyFill="1" applyBorder="1" applyAlignment="1"/>
    <xf numFmtId="166" fontId="58" fillId="19" borderId="0" xfId="42" applyNumberFormat="1" applyFont="1" applyFill="1" applyBorder="1" applyAlignment="1">
      <alignment horizontal="right"/>
    </xf>
    <xf numFmtId="167" fontId="58" fillId="19" borderId="0" xfId="398" applyNumberFormat="1" applyFont="1" applyFill="1" applyBorder="1" applyAlignment="1">
      <alignment horizontal="right"/>
    </xf>
    <xf numFmtId="166" fontId="114" fillId="19" borderId="0" xfId="42" applyNumberFormat="1" applyFont="1" applyFill="1" applyBorder="1" applyAlignment="1">
      <alignment horizontal="right"/>
    </xf>
    <xf numFmtId="166" fontId="32" fillId="0" borderId="80" xfId="42" applyNumberFormat="1" applyFont="1" applyBorder="1" applyAlignment="1"/>
    <xf numFmtId="166" fontId="32" fillId="0" borderId="82" xfId="42" applyNumberFormat="1" applyFont="1" applyBorder="1" applyAlignment="1"/>
    <xf numFmtId="167" fontId="32" fillId="0" borderId="17" xfId="398" applyNumberFormat="1" applyFont="1" applyBorder="1" applyAlignment="1"/>
    <xf numFmtId="167" fontId="32" fillId="0" borderId="0" xfId="398" applyNumberFormat="1" applyFont="1" applyBorder="1" applyAlignment="1"/>
    <xf numFmtId="167" fontId="32" fillId="0" borderId="30" xfId="398" applyNumberFormat="1" applyFont="1" applyBorder="1" applyAlignment="1"/>
    <xf numFmtId="167" fontId="32" fillId="13" borderId="0" xfId="398" applyNumberFormat="1" applyFont="1" applyFill="1" applyBorder="1" applyAlignment="1"/>
    <xf numFmtId="166" fontId="58" fillId="19" borderId="0" xfId="42" applyNumberFormat="1" applyFont="1" applyFill="1" applyAlignment="1"/>
    <xf numFmtId="167" fontId="58" fillId="21" borderId="0" xfId="398" applyNumberFormat="1" applyFont="1" applyFill="1" applyBorder="1" applyAlignment="1">
      <alignment horizontal="right"/>
    </xf>
    <xf numFmtId="166" fontId="58" fillId="21" borderId="82" xfId="42" applyNumberFormat="1" applyFont="1" applyFill="1" applyBorder="1" applyAlignment="1"/>
    <xf numFmtId="167" fontId="114" fillId="19" borderId="0" xfId="398" applyNumberFormat="1" applyFont="1" applyFill="1" applyBorder="1" applyAlignment="1"/>
    <xf numFmtId="0" fontId="32" fillId="19" borderId="0" xfId="42" applyFont="1" applyFill="1" applyBorder="1"/>
    <xf numFmtId="166" fontId="114" fillId="21" borderId="0" xfId="42" applyNumberFormat="1" applyFont="1" applyFill="1" applyBorder="1" applyAlignment="1"/>
    <xf numFmtId="167" fontId="32" fillId="0" borderId="30" xfId="398" applyNumberFormat="1" applyFont="1" applyFill="1" applyBorder="1" applyAlignment="1"/>
    <xf numFmtId="167" fontId="40" fillId="13" borderId="0" xfId="398" applyNumberFormat="1" applyFont="1" applyFill="1" applyAlignment="1">
      <alignment vertical="center"/>
    </xf>
    <xf numFmtId="2" fontId="114" fillId="19" borderId="0" xfId="42" applyNumberFormat="1" applyFont="1" applyFill="1" applyBorder="1" applyAlignment="1">
      <alignment horizontal="right"/>
    </xf>
    <xf numFmtId="0" fontId="13" fillId="19" borderId="0" xfId="32" applyFill="1" applyBorder="1" applyAlignment="1" applyProtection="1">
      <alignment horizontal="left"/>
    </xf>
    <xf numFmtId="0" fontId="105" fillId="0" borderId="29" xfId="42" applyFont="1" applyFill="1" applyBorder="1" applyProtection="1"/>
    <xf numFmtId="0" fontId="105" fillId="0" borderId="30" xfId="42" applyFont="1" applyFill="1" applyBorder="1" applyProtection="1"/>
    <xf numFmtId="0" fontId="105" fillId="0" borderId="31" xfId="42" applyFont="1" applyFill="1" applyBorder="1" applyAlignment="1" applyProtection="1">
      <alignment horizontal="center"/>
    </xf>
    <xf numFmtId="166" fontId="105" fillId="0" borderId="30" xfId="42" quotePrefix="1" applyNumberFormat="1" applyFont="1" applyFill="1" applyBorder="1" applyAlignment="1" applyProtection="1">
      <alignment horizontal="right"/>
    </xf>
    <xf numFmtId="166" fontId="105" fillId="0" borderId="31" xfId="352" applyNumberFormat="1" applyFont="1" applyBorder="1" applyAlignment="1" applyProtection="1">
      <alignment horizontal="right"/>
    </xf>
    <xf numFmtId="166" fontId="105" fillId="0" borderId="37" xfId="42" applyNumberFormat="1" applyFont="1" applyFill="1" applyBorder="1" applyAlignment="1" applyProtection="1">
      <alignment horizontal="right"/>
    </xf>
    <xf numFmtId="166" fontId="105" fillId="0" borderId="47" xfId="42" applyNumberFormat="1" applyFont="1" applyFill="1" applyBorder="1" applyAlignment="1" applyProtection="1">
      <alignment horizontal="right"/>
    </xf>
    <xf numFmtId="0" fontId="34" fillId="0" borderId="0" xfId="42" applyFont="1"/>
    <xf numFmtId="1" fontId="34" fillId="15" borderId="76" xfId="42" applyNumberFormat="1" applyFont="1" applyFill="1" applyBorder="1" applyAlignment="1"/>
    <xf numFmtId="1" fontId="34" fillId="20" borderId="76" xfId="42" applyNumberFormat="1" applyFont="1" applyFill="1" applyBorder="1" applyAlignment="1"/>
    <xf numFmtId="167" fontId="43" fillId="19" borderId="0" xfId="398" applyNumberFormat="1" applyFont="1" applyFill="1" applyBorder="1" applyAlignment="1"/>
    <xf numFmtId="1" fontId="34" fillId="20" borderId="0" xfId="42" applyNumberFormat="1" applyFont="1" applyFill="1" applyBorder="1" applyAlignment="1"/>
    <xf numFmtId="167" fontId="43" fillId="19" borderId="71" xfId="398" applyNumberFormat="1" applyFont="1" applyFill="1" applyBorder="1"/>
    <xf numFmtId="1" fontId="34" fillId="21" borderId="89" xfId="42" applyNumberFormat="1" applyFont="1" applyFill="1" applyBorder="1" applyAlignment="1"/>
    <xf numFmtId="2" fontId="34" fillId="11" borderId="80" xfId="42" applyNumberFormat="1" applyFont="1" applyFill="1" applyBorder="1" applyAlignment="1"/>
    <xf numFmtId="2" fontId="34" fillId="11" borderId="0" xfId="42" applyNumberFormat="1" applyFont="1" applyFill="1" applyBorder="1" applyAlignment="1"/>
    <xf numFmtId="1" fontId="34" fillId="13" borderId="92" xfId="42" applyNumberFormat="1" applyFont="1" applyFill="1" applyBorder="1" applyAlignment="1"/>
    <xf numFmtId="166" fontId="34" fillId="13" borderId="92" xfId="42" applyNumberFormat="1" applyFont="1" applyFill="1" applyBorder="1" applyAlignment="1"/>
    <xf numFmtId="166" fontId="34" fillId="13" borderId="4" xfId="42" applyNumberFormat="1" applyFont="1" applyFill="1" applyBorder="1" applyAlignment="1"/>
    <xf numFmtId="1" fontId="34" fillId="0" borderId="0" xfId="42" applyNumberFormat="1" applyFont="1"/>
    <xf numFmtId="166" fontId="34" fillId="20" borderId="0" xfId="42" applyNumberFormat="1" applyFont="1" applyFill="1" applyBorder="1" applyAlignment="1"/>
    <xf numFmtId="1" fontId="34" fillId="35" borderId="0" xfId="42" applyNumberFormat="1" applyFont="1" applyFill="1" applyBorder="1" applyAlignment="1"/>
    <xf numFmtId="10" fontId="43" fillId="19" borderId="0" xfId="398" applyNumberFormat="1" applyFont="1" applyFill="1" applyBorder="1"/>
    <xf numFmtId="1" fontId="52" fillId="15" borderId="0" xfId="42" applyNumberFormat="1" applyFont="1" applyFill="1" applyBorder="1" applyAlignment="1"/>
    <xf numFmtId="167" fontId="52" fillId="15" borderId="71" xfId="398" applyNumberFormat="1" applyFont="1" applyFill="1" applyBorder="1" applyAlignment="1"/>
    <xf numFmtId="2" fontId="34" fillId="21" borderId="0" xfId="42" applyNumberFormat="1" applyFont="1" applyFill="1" applyBorder="1" applyAlignment="1"/>
    <xf numFmtId="2" fontId="34" fillId="21" borderId="82" xfId="42" applyNumberFormat="1" applyFont="1" applyFill="1" applyBorder="1" applyAlignment="1"/>
    <xf numFmtId="1" fontId="34" fillId="0" borderId="0" xfId="42" applyNumberFormat="1" applyFont="1" applyBorder="1" applyAlignment="1"/>
    <xf numFmtId="1" fontId="34" fillId="13" borderId="0" xfId="42" applyNumberFormat="1" applyFont="1" applyFill="1" applyBorder="1" applyAlignment="1"/>
    <xf numFmtId="1" fontId="34" fillId="36" borderId="0" xfId="42" applyNumberFormat="1" applyFont="1" applyFill="1" applyBorder="1" applyAlignment="1"/>
    <xf numFmtId="1" fontId="34" fillId="13" borderId="30" xfId="42" applyNumberFormat="1" applyFont="1" applyFill="1" applyBorder="1" applyAlignment="1"/>
    <xf numFmtId="2" fontId="34" fillId="13" borderId="92" xfId="398" applyNumberFormat="1" applyFont="1" applyFill="1" applyBorder="1" applyAlignment="1"/>
    <xf numFmtId="2" fontId="34" fillId="13" borderId="0" xfId="398" applyNumberFormat="1" applyFont="1" applyFill="1" applyBorder="1" applyAlignment="1"/>
    <xf numFmtId="2" fontId="34" fillId="13" borderId="4" xfId="398" applyNumberFormat="1" applyFont="1" applyFill="1" applyBorder="1" applyAlignment="1"/>
    <xf numFmtId="1" fontId="34" fillId="0" borderId="76" xfId="42" applyNumberFormat="1" applyFont="1" applyFill="1" applyBorder="1" applyAlignment="1"/>
    <xf numFmtId="1" fontId="34" fillId="0" borderId="71" xfId="42" applyNumberFormat="1" applyFont="1" applyFill="1" applyBorder="1" applyAlignment="1"/>
    <xf numFmtId="1" fontId="34" fillId="15" borderId="0" xfId="42" applyNumberFormat="1" applyFont="1" applyFill="1" applyBorder="1" applyAlignment="1"/>
    <xf numFmtId="2" fontId="34" fillId="0" borderId="80" xfId="42" applyNumberFormat="1" applyFont="1" applyBorder="1" applyAlignment="1"/>
    <xf numFmtId="2" fontId="34" fillId="0" borderId="82" xfId="42" applyNumberFormat="1" applyFont="1" applyBorder="1" applyAlignment="1"/>
    <xf numFmtId="1" fontId="34" fillId="20" borderId="72" xfId="42" applyNumberFormat="1" applyFont="1" applyFill="1" applyBorder="1"/>
    <xf numFmtId="1" fontId="34" fillId="30" borderId="76" xfId="42" applyNumberFormat="1" applyFont="1" applyFill="1" applyBorder="1"/>
    <xf numFmtId="166" fontId="43" fillId="27" borderId="0" xfId="42" applyNumberFormat="1" applyFont="1" applyFill="1" applyBorder="1" applyAlignment="1"/>
    <xf numFmtId="1" fontId="34" fillId="30" borderId="0" xfId="42" applyNumberFormat="1" applyFont="1" applyFill="1" applyBorder="1"/>
    <xf numFmtId="166" fontId="43" fillId="27" borderId="71" xfId="42" applyNumberFormat="1" applyFont="1" applyFill="1" applyBorder="1" applyAlignment="1"/>
    <xf numFmtId="2" fontId="34" fillId="37" borderId="87" xfId="42" applyNumberFormat="1" applyFont="1" applyFill="1" applyBorder="1" applyAlignment="1"/>
    <xf numFmtId="2" fontId="34" fillId="37" borderId="124" xfId="42" applyNumberFormat="1" applyFont="1" applyFill="1" applyBorder="1" applyAlignment="1"/>
    <xf numFmtId="166" fontId="34" fillId="20" borderId="0" xfId="42" applyNumberFormat="1" applyFont="1" applyFill="1" applyBorder="1"/>
    <xf numFmtId="166" fontId="34" fillId="20" borderId="71" xfId="42" applyNumberFormat="1" applyFont="1" applyFill="1" applyBorder="1"/>
    <xf numFmtId="0" fontId="34" fillId="0" borderId="0" xfId="42" applyFont="1" applyBorder="1"/>
    <xf numFmtId="2" fontId="34" fillId="21" borderId="0" xfId="42" applyNumberFormat="1" applyFont="1" applyFill="1" applyBorder="1"/>
    <xf numFmtId="2" fontId="34" fillId="11" borderId="82" xfId="42" applyNumberFormat="1" applyFont="1" applyFill="1" applyBorder="1"/>
    <xf numFmtId="167" fontId="34" fillId="0" borderId="0" xfId="42" applyNumberFormat="1" applyFont="1" applyBorder="1"/>
    <xf numFmtId="166" fontId="34" fillId="20" borderId="76" xfId="42" applyNumberFormat="1" applyFont="1" applyFill="1" applyBorder="1"/>
    <xf numFmtId="166" fontId="34" fillId="20" borderId="0" xfId="42" applyNumberFormat="1" applyFont="1" applyFill="1" applyBorder="1" applyAlignment="1">
      <alignment vertical="center"/>
    </xf>
    <xf numFmtId="2" fontId="34" fillId="0" borderId="0" xfId="42" applyNumberFormat="1" applyFont="1" applyBorder="1"/>
    <xf numFmtId="167" fontId="34" fillId="0" borderId="92" xfId="398" applyNumberFormat="1" applyFont="1" applyFill="1" applyBorder="1"/>
    <xf numFmtId="167" fontId="34" fillId="13" borderId="0" xfId="398" applyNumberFormat="1" applyFont="1" applyFill="1" applyBorder="1"/>
    <xf numFmtId="167" fontId="34" fillId="0" borderId="4" xfId="398" applyNumberFormat="1" applyFont="1" applyBorder="1"/>
    <xf numFmtId="166" fontId="34" fillId="0" borderId="80" xfId="42" applyNumberFormat="1" applyFont="1" applyFill="1" applyBorder="1"/>
    <xf numFmtId="166" fontId="34" fillId="21" borderId="0" xfId="42" applyNumberFormat="1" applyFont="1" applyFill="1" applyBorder="1" applyAlignment="1">
      <alignment vertical="center"/>
    </xf>
    <xf numFmtId="166" fontId="34" fillId="0" borderId="82" xfId="42" applyNumberFormat="1" applyFont="1" applyBorder="1" applyAlignment="1">
      <alignment vertical="center"/>
    </xf>
    <xf numFmtId="167" fontId="34" fillId="0" borderId="17" xfId="398" applyNumberFormat="1" applyFont="1" applyFill="1" applyBorder="1"/>
    <xf numFmtId="167" fontId="34" fillId="13" borderId="0" xfId="398" applyNumberFormat="1" applyFont="1" applyFill="1" applyBorder="1" applyAlignment="1">
      <alignment vertical="center"/>
    </xf>
    <xf numFmtId="167" fontId="34" fillId="0" borderId="30" xfId="398" applyNumberFormat="1" applyFont="1" applyBorder="1" applyAlignment="1">
      <alignment vertical="center"/>
    </xf>
    <xf numFmtId="166" fontId="34" fillId="20" borderId="0" xfId="42" applyNumberFormat="1" applyFont="1" applyFill="1"/>
    <xf numFmtId="2" fontId="34" fillId="20" borderId="0" xfId="42" applyNumberFormat="1" applyFont="1" applyFill="1"/>
    <xf numFmtId="2" fontId="34" fillId="0" borderId="0" xfId="42" applyNumberFormat="1" applyFont="1"/>
    <xf numFmtId="2" fontId="34" fillId="0" borderId="82" xfId="42" applyNumberFormat="1" applyFont="1" applyBorder="1"/>
    <xf numFmtId="1" fontId="34" fillId="13" borderId="40" xfId="42" applyNumberFormat="1" applyFont="1" applyFill="1" applyBorder="1" applyAlignment="1"/>
    <xf numFmtId="166" fontId="34" fillId="13" borderId="0" xfId="398" applyNumberFormat="1" applyFont="1" applyFill="1" applyBorder="1" applyAlignment="1"/>
    <xf numFmtId="166" fontId="34" fillId="0" borderId="30" xfId="398" applyNumberFormat="1" applyFont="1" applyBorder="1" applyAlignment="1"/>
    <xf numFmtId="166" fontId="34" fillId="20" borderId="76" xfId="42" applyNumberFormat="1" applyFont="1" applyFill="1" applyBorder="1" applyAlignment="1"/>
    <xf numFmtId="166" fontId="49" fillId="20" borderId="0" xfId="42" applyNumberFormat="1" applyFont="1" applyFill="1" applyBorder="1" applyAlignment="1"/>
    <xf numFmtId="2" fontId="34" fillId="0" borderId="0" xfId="42" applyNumberFormat="1" applyFont="1" applyBorder="1" applyAlignment="1"/>
    <xf numFmtId="177" fontId="32" fillId="0" borderId="0" xfId="42" applyNumberFormat="1" applyFont="1"/>
    <xf numFmtId="0" fontId="1" fillId="0" borderId="76" xfId="42" applyFont="1" applyBorder="1" applyAlignment="1">
      <alignment horizontal="center"/>
    </xf>
    <xf numFmtId="166" fontId="0" fillId="1" borderId="76" xfId="42" applyNumberFormat="1" applyFont="1" applyFill="1" applyBorder="1"/>
    <xf numFmtId="168" fontId="40" fillId="11" borderId="76" xfId="42" applyNumberFormat="1" applyFont="1" applyFill="1" applyBorder="1"/>
    <xf numFmtId="167" fontId="32" fillId="0" borderId="40" xfId="398" applyNumberFormat="1" applyFont="1" applyFill="1" applyBorder="1" applyAlignment="1"/>
    <xf numFmtId="166" fontId="32" fillId="0" borderId="17" xfId="42" applyNumberFormat="1" applyFont="1" applyFill="1" applyBorder="1" applyAlignment="1"/>
    <xf numFmtId="166" fontId="40" fillId="0" borderId="17" xfId="42" applyNumberFormat="1" applyFont="1" applyFill="1" applyBorder="1" applyAlignment="1"/>
    <xf numFmtId="166" fontId="40" fillId="0" borderId="0" xfId="42" applyNumberFormat="1" applyFont="1" applyFill="1" applyBorder="1" applyAlignment="1"/>
    <xf numFmtId="166" fontId="32" fillId="0" borderId="30" xfId="42" applyNumberFormat="1" applyFont="1" applyFill="1" applyBorder="1" applyAlignment="1"/>
    <xf numFmtId="166" fontId="40" fillId="0" borderId="30" xfId="42" applyNumberFormat="1" applyFont="1" applyFill="1" applyBorder="1" applyAlignment="1"/>
    <xf numFmtId="166" fontId="32" fillId="13" borderId="0" xfId="42" applyNumberFormat="1" applyFont="1" applyFill="1" applyBorder="1" applyAlignment="1"/>
    <xf numFmtId="166" fontId="40" fillId="13" borderId="0" xfId="42" applyNumberFormat="1" applyFont="1" applyFill="1" applyBorder="1" applyAlignment="1"/>
    <xf numFmtId="167" fontId="32" fillId="0" borderId="0" xfId="398" applyNumberFormat="1" applyFont="1" applyFill="1" applyBorder="1" applyAlignment="1"/>
    <xf numFmtId="167" fontId="32" fillId="13" borderId="30" xfId="398" applyNumberFormat="1" applyFont="1" applyFill="1" applyBorder="1" applyAlignment="1"/>
    <xf numFmtId="166" fontId="32" fillId="0" borderId="76" xfId="42" applyNumberFormat="1" applyFont="1" applyBorder="1" applyAlignment="1">
      <alignment horizontal="right"/>
    </xf>
    <xf numFmtId="166" fontId="32" fillId="0" borderId="0" xfId="42" applyNumberFormat="1" applyFont="1" applyBorder="1" applyAlignment="1">
      <alignment horizontal="right"/>
    </xf>
    <xf numFmtId="166" fontId="32" fillId="0" borderId="71" xfId="42" applyNumberFormat="1" applyFont="1" applyBorder="1" applyAlignment="1">
      <alignment horizontal="right"/>
    </xf>
    <xf numFmtId="0" fontId="32" fillId="12" borderId="24" xfId="42" applyFont="1" applyFill="1" applyBorder="1"/>
    <xf numFmtId="0" fontId="32" fillId="12" borderId="17" xfId="42" applyFont="1" applyFill="1" applyBorder="1"/>
    <xf numFmtId="166" fontId="31" fillId="12" borderId="27" xfId="42" quotePrefix="1" applyNumberFormat="1" applyFont="1" applyFill="1" applyBorder="1" applyAlignment="1" applyProtection="1">
      <alignment horizontal="right"/>
    </xf>
    <xf numFmtId="0" fontId="32" fillId="12" borderId="39" xfId="42" applyFont="1" applyFill="1" applyBorder="1"/>
    <xf numFmtId="0" fontId="32" fillId="12" borderId="40" xfId="42" applyFont="1" applyFill="1" applyBorder="1"/>
    <xf numFmtId="166" fontId="40" fillId="12" borderId="53" xfId="42" applyNumberFormat="1" applyFont="1" applyFill="1" applyBorder="1" applyProtection="1"/>
    <xf numFmtId="166" fontId="40" fillId="12" borderId="41" xfId="42" applyNumberFormat="1" applyFont="1" applyFill="1" applyBorder="1" applyProtection="1"/>
    <xf numFmtId="166" fontId="40" fillId="12" borderId="54" xfId="42" applyNumberFormat="1" applyFont="1" applyFill="1" applyBorder="1" applyProtection="1"/>
    <xf numFmtId="0" fontId="40" fillId="12" borderId="3" xfId="42" applyFont="1" applyFill="1" applyBorder="1" applyAlignment="1" applyProtection="1">
      <alignment horizontal="left"/>
    </xf>
    <xf numFmtId="166" fontId="40" fillId="12" borderId="34" xfId="42" applyNumberFormat="1" applyFont="1" applyFill="1" applyBorder="1" applyAlignment="1" applyProtection="1">
      <alignment horizontal="right"/>
    </xf>
    <xf numFmtId="166" fontId="40" fillId="12" borderId="59" xfId="42" applyNumberFormat="1" applyFont="1" applyFill="1" applyBorder="1" applyAlignment="1" applyProtection="1">
      <alignment horizontal="right"/>
    </xf>
    <xf numFmtId="0" fontId="32" fillId="12" borderId="18" xfId="42" applyFont="1" applyFill="1" applyBorder="1" applyAlignment="1" applyProtection="1">
      <alignment horizontal="left"/>
    </xf>
    <xf numFmtId="0" fontId="32" fillId="12" borderId="0" xfId="42" applyFont="1" applyFill="1" applyBorder="1" applyAlignment="1" applyProtection="1">
      <alignment horizontal="left"/>
    </xf>
    <xf numFmtId="0" fontId="34" fillId="12" borderId="29" xfId="42" quotePrefix="1" applyFont="1" applyFill="1" applyBorder="1" applyAlignment="1" applyProtection="1">
      <alignment horizontal="left"/>
    </xf>
    <xf numFmtId="166" fontId="34" fillId="0" borderId="20" xfId="42" applyNumberFormat="1" applyFont="1" applyFill="1" applyBorder="1" applyAlignment="1" applyProtection="1">
      <alignment horizontal="right"/>
    </xf>
    <xf numFmtId="0" fontId="34" fillId="0" borderId="52" xfId="42" applyFont="1" applyFill="1" applyBorder="1" applyProtection="1"/>
    <xf numFmtId="166" fontId="34" fillId="0" borderId="52" xfId="42" applyNumberFormat="1" applyFont="1" applyFill="1" applyBorder="1" applyAlignment="1" applyProtection="1">
      <alignment horizontal="right"/>
    </xf>
    <xf numFmtId="0" fontId="31" fillId="0" borderId="18" xfId="42" applyFont="1" applyFill="1" applyBorder="1"/>
    <xf numFmtId="0" fontId="31" fillId="0" borderId="0" xfId="42" applyFont="1" applyFill="1" applyBorder="1"/>
    <xf numFmtId="166" fontId="40" fillId="0" borderId="41" xfId="42" applyNumberFormat="1" applyFont="1" applyFill="1" applyBorder="1" applyAlignment="1" applyProtection="1">
      <alignment horizontal="right"/>
    </xf>
    <xf numFmtId="166" fontId="40" fillId="0" borderId="43" xfId="42" applyNumberFormat="1" applyFont="1" applyFill="1" applyBorder="1" applyAlignment="1" applyProtection="1">
      <alignment horizontal="right"/>
    </xf>
    <xf numFmtId="0" fontId="28" fillId="12" borderId="18" xfId="42" applyFont="1" applyFill="1" applyBorder="1"/>
    <xf numFmtId="166" fontId="31" fillId="12" borderId="21" xfId="42" quotePrefix="1" applyNumberFormat="1" applyFont="1" applyFill="1" applyBorder="1" applyAlignment="1" applyProtection="1">
      <alignment horizontal="right"/>
    </xf>
    <xf numFmtId="166" fontId="31" fillId="12" borderId="37" xfId="42" quotePrefix="1" applyNumberFormat="1" applyFont="1" applyFill="1" applyBorder="1" applyAlignment="1" applyProtection="1">
      <alignment horizontal="right"/>
    </xf>
    <xf numFmtId="0" fontId="34" fillId="12" borderId="48" xfId="42" quotePrefix="1" applyFont="1" applyFill="1" applyBorder="1" applyAlignment="1" applyProtection="1">
      <alignment horizontal="left"/>
    </xf>
    <xf numFmtId="0" fontId="34" fillId="12" borderId="49" xfId="42" applyFont="1" applyFill="1" applyBorder="1" applyAlignment="1" applyProtection="1">
      <alignment horizontal="center"/>
    </xf>
    <xf numFmtId="166" fontId="34" fillId="12" borderId="49" xfId="42" applyNumberFormat="1" applyFont="1" applyFill="1" applyBorder="1" applyAlignment="1" applyProtection="1">
      <alignment horizontal="right"/>
    </xf>
    <xf numFmtId="166" fontId="34" fillId="12" borderId="50" xfId="42" applyNumberFormat="1" applyFont="1" applyFill="1" applyBorder="1" applyAlignment="1" applyProtection="1">
      <alignment horizontal="right"/>
    </xf>
    <xf numFmtId="0" fontId="34" fillId="12" borderId="38" xfId="42" applyFont="1" applyFill="1" applyBorder="1" applyAlignment="1" applyProtection="1">
      <alignment horizontal="center"/>
    </xf>
    <xf numFmtId="166" fontId="34" fillId="12" borderId="48" xfId="42" quotePrefix="1" applyNumberFormat="1" applyFont="1" applyFill="1" applyBorder="1" applyAlignment="1" applyProtection="1">
      <alignment horizontal="right"/>
    </xf>
    <xf numFmtId="0" fontId="40" fillId="12" borderId="7" xfId="42" quotePrefix="1" applyFont="1" applyFill="1" applyBorder="1" applyAlignment="1" applyProtection="1">
      <alignment horizontal="left"/>
    </xf>
    <xf numFmtId="0" fontId="40" fillId="12" borderId="6" xfId="42" quotePrefix="1" applyFont="1" applyFill="1" applyBorder="1" applyAlignment="1" applyProtection="1">
      <alignment horizontal="left"/>
    </xf>
    <xf numFmtId="0" fontId="40" fillId="12" borderId="8" xfId="42" quotePrefix="1" applyFont="1" applyFill="1" applyBorder="1" applyAlignment="1" applyProtection="1">
      <alignment horizontal="right"/>
    </xf>
    <xf numFmtId="166" fontId="34" fillId="12" borderId="51" xfId="42" applyNumberFormat="1" applyFont="1" applyFill="1" applyBorder="1" applyProtection="1"/>
    <xf numFmtId="166" fontId="34" fillId="0" borderId="23" xfId="42" applyNumberFormat="1" applyFont="1" applyFill="1" applyBorder="1" applyProtection="1"/>
    <xf numFmtId="166" fontId="34" fillId="0" borderId="8" xfId="42" applyNumberFormat="1" applyFont="1" applyFill="1" applyBorder="1" applyProtection="1"/>
    <xf numFmtId="0" fontId="48" fillId="34" borderId="17" xfId="42" applyFont="1" applyFill="1" applyBorder="1" applyAlignment="1">
      <alignment horizontal="right"/>
    </xf>
    <xf numFmtId="0" fontId="28" fillId="20" borderId="0" xfId="42" applyFont="1" applyFill="1" applyBorder="1" applyAlignment="1">
      <alignment horizontal="center"/>
    </xf>
    <xf numFmtId="0" fontId="55" fillId="20" borderId="0" xfId="42" applyFont="1" applyFill="1" applyBorder="1"/>
    <xf numFmtId="0" fontId="55" fillId="20" borderId="0" xfId="42" applyFont="1" applyFill="1" applyBorder="1" applyAlignment="1">
      <alignment horizontal="center"/>
    </xf>
    <xf numFmtId="166" fontId="55" fillId="15" borderId="0" xfId="42" applyNumberFormat="1" applyFont="1" applyFill="1" applyBorder="1"/>
    <xf numFmtId="166" fontId="32" fillId="20" borderId="0" xfId="42" applyNumberFormat="1" applyFont="1" applyFill="1" applyBorder="1" applyAlignment="1">
      <alignment horizontal="right"/>
    </xf>
    <xf numFmtId="166" fontId="32" fillId="0" borderId="0" xfId="42" applyNumberFormat="1" applyFont="1"/>
    <xf numFmtId="0" fontId="1" fillId="0" borderId="0" xfId="42" applyFont="1" applyBorder="1" applyAlignment="1">
      <alignment horizontal="center"/>
    </xf>
    <xf numFmtId="166" fontId="0" fillId="1" borderId="0" xfId="42" applyNumberFormat="1" applyFont="1" applyFill="1" applyBorder="1"/>
    <xf numFmtId="0" fontId="55" fillId="0" borderId="71" xfId="42" applyFont="1" applyBorder="1" applyAlignment="1"/>
    <xf numFmtId="166" fontId="0" fillId="0" borderId="72" xfId="42" applyNumberFormat="1" applyFont="1" applyBorder="1" applyAlignment="1">
      <alignment horizontal="right"/>
    </xf>
    <xf numFmtId="166" fontId="28" fillId="0" borderId="89" xfId="42" applyNumberFormat="1" applyFont="1" applyFill="1" applyBorder="1" applyAlignment="1">
      <alignment horizontal="right"/>
    </xf>
    <xf numFmtId="14" fontId="3" fillId="0" borderId="78" xfId="42" applyNumberFormat="1" applyFont="1" applyFill="1" applyBorder="1" applyAlignment="1" applyProtection="1">
      <alignment horizontal="center" vertical="center"/>
    </xf>
    <xf numFmtId="2" fontId="59" fillId="0" borderId="72" xfId="42" applyNumberFormat="1" applyFont="1" applyBorder="1" applyAlignment="1"/>
    <xf numFmtId="166" fontId="33" fillId="19" borderId="0" xfId="398" applyNumberFormat="1" applyFont="1" applyFill="1" applyBorder="1"/>
    <xf numFmtId="2" fontId="32" fillId="20" borderId="0" xfId="42" applyNumberFormat="1" applyFont="1" applyFill="1" applyBorder="1" applyAlignment="1"/>
    <xf numFmtId="166" fontId="33" fillId="19" borderId="68" xfId="398" applyNumberFormat="1" applyFont="1" applyFill="1" applyBorder="1"/>
    <xf numFmtId="166" fontId="33" fillId="19" borderId="0" xfId="398" applyNumberFormat="1" applyFont="1" applyFill="1" applyBorder="1" applyAlignment="1">
      <alignment horizontal="right"/>
    </xf>
    <xf numFmtId="0" fontId="33" fillId="21" borderId="0" xfId="42" applyFont="1" applyFill="1" applyBorder="1"/>
    <xf numFmtId="14" fontId="3" fillId="15" borderId="64" xfId="42" applyNumberFormat="1" applyFont="1" applyFill="1" applyBorder="1" applyAlignment="1" applyProtection="1">
      <alignment horizontal="center" vertical="center"/>
    </xf>
    <xf numFmtId="14" fontId="3" fillId="15" borderId="67" xfId="42" applyNumberFormat="1" applyFont="1" applyFill="1" applyBorder="1" applyAlignment="1" applyProtection="1">
      <alignment horizontal="center" vertical="center"/>
    </xf>
    <xf numFmtId="14" fontId="3" fillId="15" borderId="67" xfId="42" quotePrefix="1" applyNumberFormat="1" applyFont="1" applyFill="1" applyBorder="1" applyAlignment="1" applyProtection="1">
      <alignment horizontal="center" vertical="center"/>
    </xf>
    <xf numFmtId="0" fontId="3" fillId="21" borderId="90" xfId="42" applyFont="1" applyFill="1" applyBorder="1" applyAlignment="1">
      <alignment horizontal="center"/>
    </xf>
    <xf numFmtId="2" fontId="40" fillId="11" borderId="64" xfId="42" applyNumberFormat="1" applyFont="1" applyFill="1" applyBorder="1" applyAlignment="1" applyProtection="1">
      <alignment horizontal="right"/>
      <protection locked="0"/>
    </xf>
    <xf numFmtId="2" fontId="40" fillId="34" borderId="67" xfId="42" applyNumberFormat="1" applyFont="1" applyFill="1" applyBorder="1" applyAlignment="1" applyProtection="1">
      <alignment horizontal="right"/>
      <protection locked="0"/>
    </xf>
    <xf numFmtId="2" fontId="40" fillId="34" borderId="0" xfId="42" applyNumberFormat="1" applyFont="1" applyFill="1" applyBorder="1" applyProtection="1">
      <protection locked="0"/>
    </xf>
    <xf numFmtId="166" fontId="55" fillId="0" borderId="82" xfId="42" applyNumberFormat="1" applyFont="1" applyBorder="1" applyAlignment="1"/>
    <xf numFmtId="2" fontId="55" fillId="34" borderId="0" xfId="42" applyNumberFormat="1" applyFont="1" applyFill="1" applyBorder="1" applyAlignment="1"/>
    <xf numFmtId="2" fontId="55" fillId="11" borderId="82" xfId="42" applyNumberFormat="1" applyFont="1" applyFill="1" applyBorder="1" applyAlignment="1"/>
    <xf numFmtId="0" fontId="4" fillId="21" borderId="14" xfId="42" applyFont="1" applyFill="1" applyBorder="1" applyAlignment="1">
      <alignment horizontal="center"/>
    </xf>
    <xf numFmtId="0" fontId="55" fillId="21" borderId="0" xfId="42" quotePrefix="1" applyFont="1" applyFill="1"/>
    <xf numFmtId="0" fontId="0" fillId="21" borderId="62" xfId="42" applyFont="1" applyFill="1" applyBorder="1"/>
    <xf numFmtId="0" fontId="0" fillId="21" borderId="14" xfId="42" applyFont="1" applyFill="1" applyBorder="1" applyAlignment="1">
      <alignment horizontal="center"/>
    </xf>
    <xf numFmtId="0" fontId="0" fillId="21" borderId="15" xfId="42" applyFont="1" applyFill="1" applyBorder="1" applyAlignment="1">
      <alignment horizontal="center"/>
    </xf>
    <xf numFmtId="0" fontId="4" fillId="21" borderId="62" xfId="42" applyFont="1" applyFill="1" applyBorder="1"/>
    <xf numFmtId="0" fontId="4" fillId="21" borderId="16" xfId="42" applyFont="1" applyFill="1" applyBorder="1"/>
    <xf numFmtId="166" fontId="3" fillId="21" borderId="62" xfId="42" applyNumberFormat="1" applyFont="1" applyFill="1" applyBorder="1" applyAlignment="1">
      <alignment horizontal="right"/>
    </xf>
    <xf numFmtId="166" fontId="47" fillId="21" borderId="62" xfId="42" applyNumberFormat="1" applyFont="1" applyFill="1" applyBorder="1" applyAlignment="1">
      <alignment horizontal="right"/>
    </xf>
    <xf numFmtId="1" fontId="0" fillId="13" borderId="0" xfId="42" applyNumberFormat="1" applyFont="1" applyFill="1" applyBorder="1" applyProtection="1"/>
    <xf numFmtId="2" fontId="55" fillId="11" borderId="0" xfId="42" applyNumberFormat="1" applyFont="1" applyFill="1" applyBorder="1" applyAlignment="1"/>
    <xf numFmtId="168" fontId="40" fillId="11" borderId="0" xfId="42" applyNumberFormat="1" applyFont="1" applyFill="1" applyBorder="1"/>
    <xf numFmtId="0" fontId="0" fillId="38" borderId="0" xfId="42" applyFont="1" applyFill="1"/>
    <xf numFmtId="0" fontId="0" fillId="0" borderId="0" xfId="42" applyFont="1" applyFill="1" applyAlignment="1" applyProtection="1">
      <alignment horizontal="right"/>
    </xf>
    <xf numFmtId="0" fontId="40" fillId="15" borderId="0" xfId="42" applyFont="1" applyFill="1" applyProtection="1"/>
    <xf numFmtId="0" fontId="0" fillId="15" borderId="0" xfId="42" applyFont="1" applyFill="1" applyProtection="1"/>
    <xf numFmtId="0" fontId="63" fillId="10" borderId="0" xfId="42" applyFont="1" applyFill="1" applyProtection="1">
      <protection locked="0"/>
    </xf>
    <xf numFmtId="0" fontId="0" fillId="10" borderId="0" xfId="42" applyFont="1" applyFill="1" applyProtection="1">
      <protection locked="0"/>
    </xf>
    <xf numFmtId="0" fontId="28" fillId="10" borderId="0" xfId="42" applyFont="1" applyFill="1" applyBorder="1" applyProtection="1"/>
    <xf numFmtId="0" fontId="63" fillId="10" borderId="0" xfId="42" applyFont="1" applyFill="1" applyAlignment="1" applyProtection="1">
      <alignment horizontal="right"/>
    </xf>
    <xf numFmtId="0" fontId="63" fillId="10" borderId="0" xfId="42" applyFont="1" applyFill="1" applyProtection="1"/>
    <xf numFmtId="0" fontId="63" fillId="10" borderId="0" xfId="42" applyFont="1" applyFill="1"/>
    <xf numFmtId="0" fontId="0" fillId="0" borderId="64" xfId="42" applyFont="1" applyBorder="1"/>
    <xf numFmtId="0" fontId="0" fillId="0" borderId="67" xfId="42" applyFont="1" applyBorder="1"/>
    <xf numFmtId="166" fontId="0" fillId="0" borderId="68" xfId="42" applyNumberFormat="1" applyFont="1" applyBorder="1"/>
    <xf numFmtId="0" fontId="0" fillId="0" borderId="77" xfId="42" applyFont="1" applyBorder="1"/>
    <xf numFmtId="166" fontId="0" fillId="0" borderId="103" xfId="42" applyNumberFormat="1" applyFont="1" applyBorder="1"/>
    <xf numFmtId="0" fontId="55" fillId="0" borderId="0" xfId="42" applyFont="1" applyBorder="1" applyAlignment="1"/>
    <xf numFmtId="166" fontId="0" fillId="0" borderId="68" xfId="42" applyNumberFormat="1" applyFont="1" applyFill="1" applyBorder="1"/>
    <xf numFmtId="2" fontId="0" fillId="0" borderId="0" xfId="42" applyNumberFormat="1" applyFont="1"/>
    <xf numFmtId="4" fontId="0" fillId="21" borderId="0" xfId="42" applyNumberFormat="1" applyFont="1" applyFill="1" applyAlignment="1">
      <alignment horizontal="right"/>
    </xf>
    <xf numFmtId="2" fontId="34" fillId="21" borderId="0" xfId="42" applyNumberFormat="1" applyFont="1" applyFill="1" applyBorder="1" applyAlignment="1" applyProtection="1">
      <alignment horizontal="right"/>
      <protection locked="0"/>
    </xf>
    <xf numFmtId="2" fontId="55" fillId="11" borderId="0" xfId="42" applyNumberFormat="1" applyFont="1" applyFill="1" applyBorder="1" applyAlignment="1" applyProtection="1">
      <alignment horizontal="right"/>
      <protection locked="0"/>
    </xf>
    <xf numFmtId="2" fontId="0" fillId="11" borderId="0" xfId="42" applyNumberFormat="1" applyFont="1" applyFill="1"/>
    <xf numFmtId="0" fontId="0" fillId="11" borderId="0" xfId="42" applyFont="1" applyFill="1"/>
    <xf numFmtId="1" fontId="4" fillId="21" borderId="0" xfId="42" applyNumberFormat="1" applyFont="1" applyFill="1" applyBorder="1" applyAlignment="1" applyProtection="1">
      <alignment horizontal="center" vertical="center"/>
    </xf>
    <xf numFmtId="14" fontId="28" fillId="21" borderId="67" xfId="42" applyNumberFormat="1" applyFont="1" applyFill="1" applyBorder="1" applyAlignment="1" applyProtection="1">
      <alignment horizontal="center" vertical="center"/>
    </xf>
    <xf numFmtId="166" fontId="55" fillId="21" borderId="0" xfId="42" applyNumberFormat="1" applyFont="1" applyFill="1" applyBorder="1" applyAlignment="1"/>
    <xf numFmtId="166" fontId="55" fillId="21" borderId="82" xfId="42" applyNumberFormat="1" applyFont="1" applyFill="1" applyBorder="1" applyAlignment="1"/>
    <xf numFmtId="168" fontId="29" fillId="16" borderId="76" xfId="42" applyNumberFormat="1" applyFont="1" applyFill="1" applyBorder="1" applyAlignment="1">
      <alignment horizontal="right"/>
    </xf>
    <xf numFmtId="169" fontId="29" fillId="16" borderId="76" xfId="42" applyNumberFormat="1" applyFont="1" applyFill="1" applyBorder="1" applyAlignment="1">
      <alignment horizontal="right"/>
    </xf>
    <xf numFmtId="0" fontId="55" fillId="0" borderId="0" xfId="42" applyFont="1" applyAlignment="1"/>
    <xf numFmtId="166" fontId="34" fillId="0" borderId="0" xfId="42" applyNumberFormat="1" applyFont="1" applyAlignment="1">
      <alignment horizontal="right" vertical="top"/>
    </xf>
    <xf numFmtId="168" fontId="40" fillId="20" borderId="76" xfId="42" applyNumberFormat="1" applyFont="1" applyFill="1" applyBorder="1" applyAlignment="1"/>
    <xf numFmtId="168" fontId="55" fillId="0" borderId="0" xfId="42" applyNumberFormat="1" applyFont="1" applyAlignment="1"/>
    <xf numFmtId="166" fontId="40" fillId="0" borderId="0" xfId="42" applyNumberFormat="1" applyFont="1" applyAlignment="1">
      <alignment horizontal="center"/>
    </xf>
    <xf numFmtId="168" fontId="114" fillId="19" borderId="0" xfId="42" applyNumberFormat="1" applyFont="1" applyFill="1" applyBorder="1" applyAlignment="1">
      <alignment horizontal="right"/>
    </xf>
    <xf numFmtId="2" fontId="0" fillId="0" borderId="0" xfId="42" quotePrefix="1" applyNumberFormat="1" applyFont="1" applyFill="1" applyBorder="1" applyProtection="1"/>
    <xf numFmtId="2" fontId="29" fillId="16" borderId="0" xfId="42" applyNumberFormat="1" applyFont="1" applyFill="1" applyBorder="1" applyAlignment="1">
      <alignment horizontal="right"/>
    </xf>
    <xf numFmtId="2" fontId="55" fillId="0" borderId="0" xfId="398" applyNumberFormat="1" applyFont="1" applyAlignment="1"/>
    <xf numFmtId="166" fontId="49" fillId="0" borderId="0" xfId="42" applyNumberFormat="1" applyFont="1" applyBorder="1" applyAlignment="1"/>
    <xf numFmtId="168" fontId="58" fillId="19" borderId="0" xfId="42" applyNumberFormat="1" applyFont="1" applyFill="1" applyBorder="1" applyAlignment="1">
      <alignment horizontal="right"/>
    </xf>
    <xf numFmtId="166" fontId="32" fillId="38" borderId="0" xfId="42" applyNumberFormat="1" applyFont="1" applyFill="1" applyBorder="1"/>
    <xf numFmtId="0" fontId="117" fillId="0" borderId="0" xfId="42" applyFont="1" applyFill="1" applyProtection="1"/>
    <xf numFmtId="166" fontId="55" fillId="19" borderId="0" xfId="42" applyNumberFormat="1" applyFont="1" applyFill="1" applyBorder="1"/>
    <xf numFmtId="0" fontId="55" fillId="19" borderId="0" xfId="42" applyFont="1" applyFill="1" applyBorder="1"/>
    <xf numFmtId="179" fontId="28" fillId="0" borderId="113" xfId="42" applyNumberFormat="1" applyFont="1" applyBorder="1" applyAlignment="1"/>
    <xf numFmtId="2" fontId="40" fillId="15" borderId="104" xfId="42" applyNumberFormat="1" applyFont="1" applyFill="1" applyBorder="1" applyAlignment="1">
      <alignment horizontal="right"/>
    </xf>
    <xf numFmtId="168" fontId="40" fillId="15" borderId="0" xfId="42" applyNumberFormat="1" applyFont="1" applyFill="1" applyAlignment="1"/>
    <xf numFmtId="2" fontId="55" fillId="10" borderId="78" xfId="42" applyNumberFormat="1" applyFont="1" applyFill="1" applyBorder="1" applyAlignment="1">
      <alignment horizontal="right"/>
    </xf>
    <xf numFmtId="166" fontId="55" fillId="10" borderId="72" xfId="42" applyNumberFormat="1" applyFont="1" applyFill="1" applyBorder="1" applyAlignment="1">
      <alignment horizontal="right"/>
    </xf>
    <xf numFmtId="166" fontId="32" fillId="10" borderId="72" xfId="42" applyNumberFormat="1" applyFont="1" applyFill="1" applyBorder="1" applyAlignment="1">
      <alignment horizontal="right"/>
    </xf>
    <xf numFmtId="166" fontId="32" fillId="10" borderId="109" xfId="42" applyNumberFormat="1" applyFont="1" applyFill="1" applyBorder="1" applyAlignment="1">
      <alignment horizontal="right"/>
    </xf>
    <xf numFmtId="166" fontId="3" fillId="31" borderId="62" xfId="42" applyNumberFormat="1" applyFont="1" applyFill="1" applyBorder="1" applyAlignment="1">
      <alignment horizontal="right"/>
    </xf>
    <xf numFmtId="166" fontId="3" fillId="0" borderId="62" xfId="42" applyNumberFormat="1" applyFont="1" applyFill="1" applyBorder="1" applyAlignment="1">
      <alignment horizontal="left"/>
    </xf>
    <xf numFmtId="166" fontId="28" fillId="0" borderId="80" xfId="42" applyNumberFormat="1" applyFont="1" applyBorder="1" applyAlignment="1">
      <alignment horizontal="right"/>
    </xf>
    <xf numFmtId="169" fontId="58" fillId="19" borderId="0" xfId="42" applyNumberFormat="1" applyFont="1" applyFill="1" applyBorder="1" applyAlignment="1">
      <alignment horizontal="right"/>
    </xf>
    <xf numFmtId="169" fontId="114" fillId="19" borderId="0" xfId="42" applyNumberFormat="1" applyFont="1" applyFill="1" applyBorder="1" applyAlignment="1">
      <alignment horizontal="right"/>
    </xf>
    <xf numFmtId="166" fontId="34" fillId="0" borderId="0" xfId="42" applyNumberFormat="1" applyFont="1"/>
    <xf numFmtId="1" fontId="3" fillId="0" borderId="0" xfId="42" applyNumberFormat="1" applyFont="1" applyFill="1" applyBorder="1" applyAlignment="1" applyProtection="1">
      <alignment horizontal="center" vertical="center"/>
    </xf>
    <xf numFmtId="0" fontId="32" fillId="38" borderId="0" xfId="42" applyFont="1" applyFill="1" applyAlignment="1">
      <alignment horizontal="center"/>
    </xf>
    <xf numFmtId="0" fontId="0" fillId="38" borderId="0" xfId="42" applyFont="1" applyFill="1" applyBorder="1" applyAlignment="1">
      <alignment horizontal="left"/>
    </xf>
    <xf numFmtId="168" fontId="0" fillId="38" borderId="0" xfId="42" applyNumberFormat="1" applyFont="1" applyFill="1" applyBorder="1" applyProtection="1"/>
    <xf numFmtId="0" fontId="0" fillId="38" borderId="0" xfId="42" applyNumberFormat="1" applyFont="1" applyFill="1" applyBorder="1" applyProtection="1"/>
    <xf numFmtId="0" fontId="33" fillId="38" borderId="0" xfId="42" applyFont="1" applyFill="1"/>
    <xf numFmtId="0" fontId="0" fillId="38" borderId="0" xfId="42" applyFont="1" applyFill="1" applyProtection="1"/>
    <xf numFmtId="2" fontId="0" fillId="38" borderId="0" xfId="42" applyNumberFormat="1" applyFont="1" applyFill="1" applyBorder="1" applyProtection="1"/>
    <xf numFmtId="0" fontId="0" fillId="38" borderId="0" xfId="42" applyFont="1" applyFill="1" applyBorder="1" applyAlignment="1">
      <alignment horizontal="center"/>
    </xf>
    <xf numFmtId="1" fontId="0" fillId="38" borderId="0" xfId="42" applyNumberFormat="1" applyFont="1" applyFill="1" applyProtection="1"/>
    <xf numFmtId="0" fontId="0" fillId="38" borderId="0" xfId="42" applyFont="1" applyFill="1" applyBorder="1"/>
    <xf numFmtId="168" fontId="0" fillId="38" borderId="0" xfId="42" applyNumberFormat="1" applyFont="1" applyFill="1" applyProtection="1"/>
    <xf numFmtId="168" fontId="0" fillId="0" borderId="76" xfId="42" applyNumberFormat="1" applyFont="1" applyBorder="1"/>
    <xf numFmtId="168" fontId="0" fillId="0" borderId="71" xfId="42" applyNumberFormat="1" applyFont="1" applyBorder="1"/>
    <xf numFmtId="168" fontId="32" fillId="0" borderId="0" xfId="42" applyNumberFormat="1" applyFont="1"/>
    <xf numFmtId="168" fontId="28" fillId="19" borderId="0" xfId="42" applyNumberFormat="1" applyFont="1" applyFill="1" applyBorder="1" applyProtection="1"/>
    <xf numFmtId="2" fontId="39" fillId="19" borderId="0" xfId="42" applyNumberFormat="1" applyFont="1" applyFill="1" applyBorder="1" applyAlignment="1" applyProtection="1">
      <alignment horizontal="right"/>
      <protection locked="0"/>
    </xf>
    <xf numFmtId="180" fontId="0" fillId="0" borderId="72" xfId="42" applyNumberFormat="1" applyFont="1" applyBorder="1"/>
    <xf numFmtId="182" fontId="0" fillId="0" borderId="72" xfId="42" applyNumberFormat="1" applyFont="1" applyBorder="1"/>
    <xf numFmtId="166" fontId="3" fillId="39" borderId="62" xfId="42" applyNumberFormat="1" applyFont="1" applyFill="1" applyBorder="1" applyAlignment="1">
      <alignment horizontal="right"/>
    </xf>
    <xf numFmtId="168" fontId="28" fillId="19" borderId="76" xfId="42" applyNumberFormat="1" applyFont="1" applyFill="1" applyBorder="1" applyAlignment="1">
      <alignment horizontal="right"/>
    </xf>
    <xf numFmtId="0" fontId="40" fillId="0" borderId="0" xfId="42" applyFont="1" applyFill="1" applyAlignment="1"/>
    <xf numFmtId="1" fontId="59" fillId="21" borderId="82" xfId="42" applyNumberFormat="1" applyFont="1" applyFill="1" applyBorder="1" applyAlignment="1"/>
    <xf numFmtId="1" fontId="120" fillId="0" borderId="0" xfId="42" applyNumberFormat="1" applyFont="1" applyFill="1" applyBorder="1" applyAlignment="1" applyProtection="1">
      <alignment horizontal="center" vertical="center"/>
    </xf>
    <xf numFmtId="166" fontId="121" fillId="0" borderId="0" xfId="42" applyNumberFormat="1" applyFont="1" applyAlignment="1"/>
    <xf numFmtId="166" fontId="0" fillId="0" borderId="0" xfId="42" applyNumberFormat="1" applyFont="1" applyBorder="1" applyProtection="1"/>
    <xf numFmtId="168" fontId="55" fillId="15" borderId="76" xfId="42" applyNumberFormat="1" applyFont="1" applyFill="1" applyBorder="1" applyAlignment="1"/>
    <xf numFmtId="166" fontId="55" fillId="15" borderId="76" xfId="42" applyNumberFormat="1" applyFont="1" applyFill="1" applyBorder="1" applyAlignment="1"/>
    <xf numFmtId="1" fontId="123" fillId="0" borderId="0" xfId="42" applyNumberFormat="1" applyFont="1" applyAlignment="1"/>
    <xf numFmtId="0" fontId="123" fillId="0" borderId="0" xfId="42" applyFont="1" applyAlignment="1"/>
    <xf numFmtId="10" fontId="123" fillId="0" borderId="0" xfId="42" applyNumberFormat="1" applyFont="1" applyAlignment="1"/>
    <xf numFmtId="2" fontId="123" fillId="11" borderId="82" xfId="42" applyNumberFormat="1" applyFont="1" applyFill="1" applyBorder="1" applyAlignment="1"/>
    <xf numFmtId="2" fontId="28" fillId="0" borderId="72" xfId="42" applyNumberFormat="1" applyFont="1" applyBorder="1" applyAlignment="1"/>
    <xf numFmtId="166" fontId="0" fillId="23" borderId="0" xfId="42" applyNumberFormat="1" applyFont="1" applyFill="1"/>
    <xf numFmtId="166" fontId="28" fillId="23" borderId="0" xfId="42" applyNumberFormat="1" applyFont="1" applyFill="1" applyBorder="1"/>
    <xf numFmtId="0" fontId="124" fillId="0" borderId="140" xfId="0" applyFont="1" applyBorder="1" applyAlignment="1">
      <alignment horizontal="right"/>
    </xf>
    <xf numFmtId="4" fontId="80" fillId="21" borderId="0" xfId="42" applyNumberFormat="1" applyFont="1" applyFill="1" applyAlignment="1">
      <alignment horizontal="right"/>
    </xf>
    <xf numFmtId="2" fontId="91" fillId="21" borderId="0" xfId="42" applyNumberFormat="1" applyFont="1" applyFill="1" applyBorder="1" applyAlignment="1" applyProtection="1">
      <alignment horizontal="right"/>
      <protection locked="0"/>
    </xf>
    <xf numFmtId="166" fontId="0" fillId="11" borderId="0" xfId="42" applyNumberFormat="1" applyFont="1" applyFill="1"/>
    <xf numFmtId="2" fontId="34" fillId="11" borderId="68" xfId="42" applyNumberFormat="1" applyFont="1" applyFill="1" applyBorder="1" applyAlignment="1" applyProtection="1">
      <alignment horizontal="right"/>
      <protection locked="0"/>
    </xf>
    <xf numFmtId="169" fontId="32" fillId="0" borderId="0" xfId="42" applyNumberFormat="1" applyFont="1" applyBorder="1" applyAlignment="1"/>
    <xf numFmtId="168" fontId="34" fillId="12" borderId="25" xfId="42" quotePrefix="1" applyNumberFormat="1" applyFont="1" applyFill="1" applyBorder="1" applyAlignment="1" applyProtection="1"/>
    <xf numFmtId="168" fontId="52" fillId="19" borderId="0" xfId="42" applyNumberFormat="1" applyFont="1" applyFill="1" applyBorder="1" applyAlignment="1">
      <alignment horizontal="right"/>
    </xf>
    <xf numFmtId="166" fontId="28" fillId="12" borderId="76" xfId="42" applyNumberFormat="1" applyFont="1" applyFill="1" applyBorder="1" applyAlignment="1"/>
    <xf numFmtId="179" fontId="114" fillId="19" borderId="0" xfId="42" applyNumberFormat="1" applyFont="1" applyFill="1" applyBorder="1" applyAlignment="1">
      <alignment horizontal="right"/>
    </xf>
    <xf numFmtId="2" fontId="34" fillId="12" borderId="0" xfId="42" applyNumberFormat="1" applyFont="1" applyFill="1" applyBorder="1" applyProtection="1"/>
    <xf numFmtId="2" fontId="0" fillId="0" borderId="0" xfId="0" applyNumberFormat="1"/>
    <xf numFmtId="166" fontId="55" fillId="15" borderId="71" xfId="42" applyNumberFormat="1" applyFont="1" applyFill="1" applyBorder="1"/>
    <xf numFmtId="166" fontId="131" fillId="0" borderId="0" xfId="42" applyNumberFormat="1" applyFont="1"/>
    <xf numFmtId="166" fontId="40" fillId="11" borderId="141" xfId="42" applyNumberFormat="1" applyFont="1" applyFill="1" applyBorder="1" applyAlignment="1" applyProtection="1">
      <alignment horizontal="right"/>
      <protection locked="0"/>
    </xf>
    <xf numFmtId="9" fontId="0" fillId="0" borderId="0" xfId="398" applyFont="1"/>
    <xf numFmtId="0" fontId="132" fillId="0" borderId="0" xfId="42" applyFont="1"/>
    <xf numFmtId="0" fontId="132" fillId="0" borderId="0" xfId="42" applyFont="1" applyAlignment="1">
      <alignment horizontal="right"/>
    </xf>
    <xf numFmtId="174" fontId="40" fillId="0" borderId="0" xfId="42" applyNumberFormat="1" applyFont="1" applyAlignment="1"/>
    <xf numFmtId="182" fontId="40" fillId="0" borderId="0" xfId="42" applyNumberFormat="1" applyFont="1" applyAlignment="1"/>
    <xf numFmtId="2" fontId="133" fillId="11" borderId="0" xfId="42" applyNumberFormat="1" applyFont="1" applyFill="1" applyBorder="1" applyAlignment="1" applyProtection="1">
      <alignment horizontal="right"/>
      <protection locked="0"/>
    </xf>
    <xf numFmtId="168" fontId="0" fillId="19" borderId="72" xfId="42" applyNumberFormat="1" applyFont="1" applyFill="1" applyBorder="1"/>
    <xf numFmtId="169" fontId="0" fillId="19" borderId="72" xfId="42" applyNumberFormat="1" applyFont="1" applyFill="1" applyBorder="1"/>
    <xf numFmtId="166" fontId="30" fillId="0" borderId="0" xfId="42" applyNumberFormat="1" applyFont="1" applyFill="1" applyBorder="1" applyAlignment="1"/>
    <xf numFmtId="0" fontId="40" fillId="23" borderId="33" xfId="42" applyFont="1" applyFill="1" applyBorder="1" applyProtection="1"/>
    <xf numFmtId="0" fontId="40" fillId="23" borderId="3" xfId="42" applyFont="1" applyFill="1" applyBorder="1" applyProtection="1"/>
    <xf numFmtId="0" fontId="40" fillId="23" borderId="42" xfId="42" applyFont="1" applyFill="1" applyBorder="1" applyAlignment="1" applyProtection="1">
      <alignment horizontal="center"/>
    </xf>
    <xf numFmtId="166" fontId="34" fillId="23" borderId="42" xfId="42" applyNumberFormat="1" applyFont="1" applyFill="1" applyBorder="1" applyProtection="1"/>
    <xf numFmtId="166" fontId="40" fillId="23" borderId="42" xfId="42" applyNumberFormat="1" applyFont="1" applyFill="1" applyBorder="1" applyProtection="1"/>
    <xf numFmtId="0" fontId="30" fillId="21" borderId="80" xfId="42" applyFont="1" applyFill="1" applyBorder="1"/>
    <xf numFmtId="0" fontId="40" fillId="23" borderId="57" xfId="42" quotePrefix="1" applyFont="1" applyFill="1" applyBorder="1" applyAlignment="1" applyProtection="1">
      <alignment horizontal="left"/>
    </xf>
    <xf numFmtId="0" fontId="40" fillId="23" borderId="58" xfId="42" applyFont="1" applyFill="1" applyBorder="1" applyAlignment="1" applyProtection="1">
      <alignment horizontal="center"/>
    </xf>
    <xf numFmtId="166" fontId="40" fillId="23" borderId="58" xfId="42" applyNumberFormat="1" applyFont="1" applyFill="1" applyBorder="1" applyProtection="1"/>
    <xf numFmtId="168" fontId="34" fillId="23" borderId="57" xfId="42" applyNumberFormat="1" applyFont="1" applyFill="1" applyBorder="1" applyProtection="1"/>
    <xf numFmtId="2" fontId="58" fillId="19" borderId="0" xfId="42" applyNumberFormat="1" applyFont="1" applyFill="1" applyBorder="1" applyAlignment="1">
      <alignment horizontal="right"/>
    </xf>
    <xf numFmtId="0" fontId="28" fillId="0" borderId="0" xfId="0" applyFont="1"/>
    <xf numFmtId="1" fontId="4" fillId="0" borderId="0" xfId="0" applyNumberFormat="1" applyFont="1" applyFill="1" applyBorder="1" applyAlignment="1" applyProtection="1">
      <alignment horizontal="center" vertical="center"/>
    </xf>
    <xf numFmtId="0" fontId="58" fillId="0" borderId="0" xfId="0" applyFont="1" applyAlignment="1">
      <alignment horizontal="center"/>
    </xf>
    <xf numFmtId="0" fontId="4" fillId="0" borderId="0" xfId="0" applyFont="1" applyAlignment="1">
      <alignment horizontal="center"/>
    </xf>
    <xf numFmtId="0" fontId="58" fillId="0" borderId="0" xfId="0" applyFont="1" applyFill="1" applyAlignment="1">
      <alignment horizontal="center"/>
    </xf>
    <xf numFmtId="166" fontId="39" fillId="13" borderId="0" xfId="398" applyNumberFormat="1" applyFont="1" applyFill="1" applyBorder="1" applyAlignment="1"/>
    <xf numFmtId="2" fontId="134" fillId="11" borderId="0" xfId="42" applyNumberFormat="1" applyFont="1" applyFill="1" applyBorder="1" applyAlignment="1"/>
    <xf numFmtId="167" fontId="40" fillId="0" borderId="0" xfId="398" applyNumberFormat="1" applyFont="1" applyFill="1" applyAlignment="1"/>
    <xf numFmtId="0" fontId="30" fillId="0" borderId="0" xfId="42" applyFont="1" applyAlignment="1"/>
    <xf numFmtId="169" fontId="32" fillId="15" borderId="76" xfId="42" applyNumberFormat="1" applyFont="1" applyFill="1" applyBorder="1" applyAlignment="1"/>
    <xf numFmtId="4" fontId="155" fillId="0" borderId="0" xfId="65" applyNumberFormat="1" applyAlignment="1">
      <alignment vertical="center" wrapText="1"/>
    </xf>
    <xf numFmtId="2" fontId="28" fillId="0" borderId="0" xfId="42" applyNumberFormat="1" applyFont="1" applyFill="1" applyBorder="1" applyAlignment="1"/>
    <xf numFmtId="0" fontId="30" fillId="13" borderId="99" xfId="42" applyFont="1" applyFill="1" applyBorder="1" applyAlignment="1"/>
    <xf numFmtId="0" fontId="0" fillId="26" borderId="0" xfId="0" applyFill="1" applyProtection="1"/>
    <xf numFmtId="0" fontId="0" fillId="26" borderId="0" xfId="0" applyFill="1" applyAlignment="1" applyProtection="1">
      <alignment horizontal="center"/>
    </xf>
    <xf numFmtId="0" fontId="28" fillId="26" borderId="0" xfId="0" applyFont="1" applyFill="1" applyProtection="1"/>
    <xf numFmtId="0" fontId="31" fillId="26" borderId="0" xfId="0" applyFont="1" applyFill="1" applyProtection="1"/>
    <xf numFmtId="0" fontId="108" fillId="26" borderId="0" xfId="0" applyFont="1" applyFill="1" applyProtection="1"/>
    <xf numFmtId="0" fontId="51" fillId="26" borderId="0" xfId="0" applyFont="1" applyFill="1" applyProtection="1"/>
    <xf numFmtId="0" fontId="51" fillId="26" borderId="0" xfId="0" applyFont="1" applyFill="1" applyAlignment="1" applyProtection="1">
      <alignment horizontal="center"/>
    </xf>
    <xf numFmtId="0" fontId="61" fillId="26" borderId="0" xfId="0" applyFont="1" applyFill="1" applyProtection="1"/>
    <xf numFmtId="0" fontId="41" fillId="15" borderId="53" xfId="0" applyFont="1" applyFill="1" applyBorder="1" applyAlignment="1" applyProtection="1">
      <alignment horizontal="left"/>
    </xf>
    <xf numFmtId="0" fontId="51" fillId="15" borderId="40" xfId="0" applyFont="1" applyFill="1" applyBorder="1" applyProtection="1"/>
    <xf numFmtId="0" fontId="51" fillId="15" borderId="40" xfId="0" applyFont="1" applyFill="1" applyBorder="1"/>
    <xf numFmtId="0" fontId="51" fillId="15" borderId="127" xfId="0" applyFont="1" applyFill="1" applyBorder="1" applyProtection="1"/>
    <xf numFmtId="0" fontId="86" fillId="26" borderId="0" xfId="0" applyFont="1" applyFill="1" applyProtection="1"/>
    <xf numFmtId="0" fontId="44" fillId="12" borderId="19" xfId="0" applyFont="1" applyFill="1" applyBorder="1" applyAlignment="1" applyProtection="1">
      <alignment horizontal="left"/>
    </xf>
    <xf numFmtId="0" fontId="51" fillId="12" borderId="17" xfId="0" applyFont="1" applyFill="1" applyBorder="1" applyProtection="1"/>
    <xf numFmtId="14" fontId="76" fillId="11" borderId="20" xfId="0" applyNumberFormat="1" applyFont="1" applyFill="1" applyBorder="1" applyAlignment="1" applyProtection="1">
      <alignment horizontal="center"/>
    </xf>
    <xf numFmtId="0" fontId="44" fillId="12" borderId="36" xfId="0" applyFont="1" applyFill="1" applyBorder="1" applyAlignment="1" applyProtection="1">
      <alignment horizontal="left"/>
    </xf>
    <xf numFmtId="0" fontId="51" fillId="12" borderId="30" xfId="0" applyFont="1" applyFill="1" applyBorder="1" applyProtection="1"/>
    <xf numFmtId="0" fontId="76" fillId="11" borderId="37" xfId="0" applyFont="1" applyFill="1" applyBorder="1" applyAlignment="1" applyProtection="1">
      <alignment horizontal="center"/>
    </xf>
    <xf numFmtId="0" fontId="28" fillId="26" borderId="0" xfId="0" applyFont="1" applyFill="1" applyBorder="1" applyProtection="1"/>
    <xf numFmtId="0" fontId="30" fillId="26" borderId="0" xfId="0" applyFont="1" applyFill="1" applyProtection="1"/>
    <xf numFmtId="0" fontId="2" fillId="26" borderId="0" xfId="0" applyFont="1" applyFill="1" applyProtection="1"/>
    <xf numFmtId="0" fontId="2" fillId="26" borderId="0" xfId="0" applyFont="1" applyFill="1" applyAlignment="1" applyProtection="1">
      <alignment horizontal="center"/>
    </xf>
    <xf numFmtId="14" fontId="29" fillId="26" borderId="0" xfId="0" applyNumberFormat="1" applyFont="1" applyFill="1" applyAlignment="1" applyProtection="1">
      <alignment horizontal="left"/>
    </xf>
    <xf numFmtId="0" fontId="29" fillId="26" borderId="0" xfId="0" applyFont="1" applyFill="1" applyBorder="1" applyProtection="1"/>
    <xf numFmtId="0" fontId="0" fillId="0" borderId="0" xfId="0" applyProtection="1"/>
    <xf numFmtId="0" fontId="0" fillId="0" borderId="0" xfId="0" applyAlignment="1" applyProtection="1">
      <alignment horizontal="center"/>
    </xf>
    <xf numFmtId="0" fontId="28" fillId="0" borderId="0" xfId="0" applyFont="1" applyAlignment="1" applyProtection="1">
      <alignment horizontal="center"/>
    </xf>
    <xf numFmtId="0" fontId="28" fillId="0" borderId="0" xfId="0" applyFont="1" applyProtection="1"/>
    <xf numFmtId="0" fontId="31" fillId="0" borderId="0" xfId="0" applyFont="1" applyProtection="1"/>
    <xf numFmtId="0" fontId="0" fillId="0" borderId="0" xfId="0" applyAlignment="1" applyProtection="1">
      <alignment horizontal="right"/>
    </xf>
    <xf numFmtId="167" fontId="43" fillId="19" borderId="0" xfId="398" applyNumberFormat="1" applyFont="1" applyFill="1" applyBorder="1"/>
    <xf numFmtId="2" fontId="34" fillId="12" borderId="27" xfId="42" applyNumberFormat="1" applyFont="1" applyFill="1" applyBorder="1" applyAlignment="1" applyProtection="1">
      <alignment horizontal="right"/>
    </xf>
    <xf numFmtId="168" fontId="32" fillId="15" borderId="76" xfId="42" applyNumberFormat="1" applyFont="1" applyFill="1" applyBorder="1" applyAlignment="1"/>
    <xf numFmtId="166" fontId="0" fillId="0" borderId="0" xfId="0" applyNumberFormat="1"/>
    <xf numFmtId="166" fontId="136" fillId="11" borderId="71" xfId="42" applyNumberFormat="1" applyFont="1" applyFill="1" applyBorder="1" applyAlignment="1"/>
    <xf numFmtId="0" fontId="0" fillId="0" borderId="0" xfId="0" applyAlignment="1">
      <alignment horizontal="right"/>
    </xf>
    <xf numFmtId="181" fontId="40" fillId="0" borderId="0" xfId="42" applyNumberFormat="1" applyFont="1" applyAlignment="1"/>
    <xf numFmtId="2" fontId="136" fillId="11" borderId="80" xfId="42" applyNumberFormat="1" applyFont="1" applyFill="1" applyBorder="1" applyAlignment="1"/>
    <xf numFmtId="0" fontId="30" fillId="15" borderId="72" xfId="42" applyFont="1" applyFill="1" applyBorder="1" applyAlignment="1"/>
    <xf numFmtId="0" fontId="28" fillId="0" borderId="0" xfId="72"/>
    <xf numFmtId="0" fontId="28" fillId="0" borderId="0" xfId="72" applyAlignment="1">
      <alignment horizontal="center"/>
    </xf>
    <xf numFmtId="0" fontId="28" fillId="0" borderId="0" xfId="72" applyAlignment="1">
      <alignment horizontal="right"/>
    </xf>
    <xf numFmtId="2" fontId="30" fillId="11" borderId="0" xfId="42" applyNumberFormat="1" applyFont="1" applyFill="1" applyBorder="1" applyAlignment="1"/>
    <xf numFmtId="166" fontId="30" fillId="0" borderId="76" xfId="42" applyNumberFormat="1" applyFont="1" applyBorder="1" applyAlignment="1"/>
    <xf numFmtId="168" fontId="30" fillId="11" borderId="0" xfId="42" applyNumberFormat="1" applyFont="1" applyFill="1" applyBorder="1"/>
    <xf numFmtId="2" fontId="136" fillId="34" borderId="138" xfId="398" applyNumberFormat="1" applyFont="1" applyFill="1" applyBorder="1" applyAlignment="1"/>
    <xf numFmtId="166" fontId="136" fillId="20" borderId="0" xfId="42" applyNumberFormat="1" applyFont="1" applyFill="1" applyBorder="1" applyAlignment="1"/>
    <xf numFmtId="166" fontId="136" fillId="20" borderId="76" xfId="42" applyNumberFormat="1" applyFont="1" applyFill="1" applyBorder="1" applyAlignment="1"/>
    <xf numFmtId="168" fontId="34" fillId="12" borderId="27" xfId="42" applyNumberFormat="1" applyFont="1" applyFill="1" applyBorder="1" applyAlignment="1" applyProtection="1">
      <alignment horizontal="right"/>
    </xf>
    <xf numFmtId="2" fontId="34" fillId="12" borderId="28" xfId="42" applyNumberFormat="1" applyFont="1" applyFill="1" applyBorder="1" applyAlignment="1" applyProtection="1">
      <alignment horizontal="right"/>
    </xf>
    <xf numFmtId="168" fontId="137" fillId="11" borderId="0" xfId="42" applyNumberFormat="1" applyFont="1" applyFill="1" applyBorder="1"/>
    <xf numFmtId="14" fontId="30" fillId="13" borderId="40" xfId="42" applyNumberFormat="1" applyFont="1" applyFill="1" applyBorder="1" applyAlignment="1"/>
    <xf numFmtId="168" fontId="34" fillId="12" borderId="38" xfId="42" applyNumberFormat="1" applyFont="1" applyFill="1" applyBorder="1" applyProtection="1"/>
    <xf numFmtId="168" fontId="34" fillId="12" borderId="27" xfId="42" applyNumberFormat="1" applyFont="1" applyFill="1" applyBorder="1" applyProtection="1"/>
    <xf numFmtId="168" fontId="40" fillId="12" borderId="27" xfId="42" applyNumberFormat="1" applyFont="1" applyFill="1" applyBorder="1" applyProtection="1"/>
    <xf numFmtId="168" fontId="40" fillId="12" borderId="66" xfId="42" applyNumberFormat="1" applyFont="1" applyFill="1" applyBorder="1" applyProtection="1"/>
    <xf numFmtId="168" fontId="40" fillId="12" borderId="28" xfId="42" applyNumberFormat="1" applyFont="1" applyFill="1" applyBorder="1" applyProtection="1"/>
    <xf numFmtId="168" fontId="34" fillId="12" borderId="30" xfId="42" applyNumberFormat="1" applyFont="1" applyFill="1" applyBorder="1" applyProtection="1"/>
    <xf numFmtId="168" fontId="34" fillId="12" borderId="31" xfId="42" applyNumberFormat="1" applyFont="1" applyFill="1" applyBorder="1" applyProtection="1"/>
    <xf numFmtId="168" fontId="34" fillId="12" borderId="32" xfId="42" applyNumberFormat="1" applyFont="1" applyFill="1" applyBorder="1" applyProtection="1"/>
    <xf numFmtId="168" fontId="34" fillId="23" borderId="42" xfId="42" applyNumberFormat="1" applyFont="1" applyFill="1" applyBorder="1" applyProtection="1"/>
    <xf numFmtId="168" fontId="34" fillId="12" borderId="6" xfId="42" applyNumberFormat="1" applyFont="1" applyFill="1" applyBorder="1" applyProtection="1"/>
    <xf numFmtId="168" fontId="40" fillId="12" borderId="6" xfId="42" quotePrefix="1" applyNumberFormat="1" applyFont="1" applyFill="1" applyBorder="1" applyAlignment="1" applyProtection="1">
      <alignment horizontal="right"/>
    </xf>
    <xf numFmtId="168" fontId="40" fillId="12" borderId="46" xfId="42" quotePrefix="1" applyNumberFormat="1" applyFont="1" applyFill="1" applyBorder="1" applyAlignment="1" applyProtection="1">
      <alignment horizontal="right"/>
    </xf>
    <xf numFmtId="168" fontId="40" fillId="23" borderId="58" xfId="42" quotePrefix="1" applyNumberFormat="1" applyFont="1" applyFill="1" applyBorder="1" applyAlignment="1" applyProtection="1">
      <alignment horizontal="right"/>
    </xf>
    <xf numFmtId="168" fontId="34" fillId="23" borderId="58" xfId="42" applyNumberFormat="1" applyFont="1" applyFill="1" applyBorder="1" applyProtection="1"/>
    <xf numFmtId="168" fontId="34" fillId="12" borderId="57" xfId="42" quotePrefix="1" applyNumberFormat="1" applyFont="1" applyFill="1" applyBorder="1" applyAlignment="1" applyProtection="1">
      <alignment horizontal="center"/>
    </xf>
    <xf numFmtId="168" fontId="34" fillId="12" borderId="58" xfId="42" applyNumberFormat="1" applyFont="1" applyFill="1" applyBorder="1" applyAlignment="1" applyProtection="1">
      <alignment horizontal="right"/>
    </xf>
    <xf numFmtId="168" fontId="34" fillId="12" borderId="56" xfId="42" applyNumberFormat="1" applyFont="1" applyFill="1" applyBorder="1" applyAlignment="1" applyProtection="1">
      <alignment horizontal="right"/>
    </xf>
    <xf numFmtId="168" fontId="40" fillId="12" borderId="31" xfId="42" applyNumberFormat="1" applyFont="1" applyFill="1" applyBorder="1" applyAlignment="1" applyProtection="1">
      <alignment horizontal="right"/>
    </xf>
    <xf numFmtId="168" fontId="138" fillId="0" borderId="0" xfId="42" applyNumberFormat="1" applyFont="1" applyBorder="1" applyProtection="1"/>
    <xf numFmtId="169" fontId="40" fillId="15" borderId="0" xfId="42" applyNumberFormat="1" applyFont="1" applyFill="1" applyAlignment="1"/>
    <xf numFmtId="179" fontId="40" fillId="15" borderId="0" xfId="42" applyNumberFormat="1" applyFont="1" applyFill="1" applyAlignment="1"/>
    <xf numFmtId="177" fontId="40" fillId="0" borderId="113" xfId="42" applyNumberFormat="1" applyFont="1" applyBorder="1" applyAlignment="1"/>
    <xf numFmtId="179" fontId="0" fillId="15" borderId="0" xfId="42" applyNumberFormat="1" applyFont="1" applyFill="1" applyBorder="1"/>
    <xf numFmtId="179" fontId="40" fillId="20" borderId="0" xfId="42" applyNumberFormat="1" applyFont="1" applyFill="1" applyBorder="1"/>
    <xf numFmtId="179" fontId="136" fillId="0" borderId="71" xfId="42" applyNumberFormat="1" applyFont="1" applyBorder="1" applyAlignment="1"/>
    <xf numFmtId="168" fontId="28" fillId="0" borderId="0" xfId="42" applyNumberFormat="1" applyFont="1" applyBorder="1" applyProtection="1"/>
    <xf numFmtId="168" fontId="28" fillId="38" borderId="0" xfId="42" applyNumberFormat="1" applyFont="1" applyFill="1" applyBorder="1" applyProtection="1"/>
    <xf numFmtId="168" fontId="135" fillId="39" borderId="0" xfId="42" applyNumberFormat="1" applyFont="1" applyFill="1" applyProtection="1"/>
    <xf numFmtId="179" fontId="136" fillId="12" borderId="0" xfId="42" applyNumberFormat="1" applyFont="1" applyFill="1" applyBorder="1" applyProtection="1"/>
    <xf numFmtId="169" fontId="40" fillId="23" borderId="42" xfId="42" applyNumberFormat="1" applyFont="1" applyFill="1" applyBorder="1" applyProtection="1"/>
    <xf numFmtId="0" fontId="39" fillId="23" borderId="129" xfId="42" applyFont="1" applyFill="1" applyBorder="1" applyAlignment="1" applyProtection="1">
      <alignment horizontal="left"/>
    </xf>
    <xf numFmtId="168" fontId="136" fillId="23" borderId="58" xfId="42" quotePrefix="1" applyNumberFormat="1" applyFont="1" applyFill="1" applyBorder="1" applyAlignment="1" applyProtection="1">
      <alignment horizontal="right"/>
    </xf>
    <xf numFmtId="168" fontId="136" fillId="23" borderId="130" xfId="42" quotePrefix="1" applyNumberFormat="1" applyFont="1" applyFill="1" applyBorder="1" applyAlignment="1" applyProtection="1">
      <alignment horizontal="right"/>
    </xf>
    <xf numFmtId="2" fontId="136" fillId="11" borderId="76" xfId="42" applyNumberFormat="1" applyFont="1" applyFill="1" applyBorder="1" applyAlignment="1" applyProtection="1">
      <alignment horizontal="right"/>
      <protection locked="0"/>
    </xf>
    <xf numFmtId="0" fontId="0" fillId="39" borderId="0" xfId="0" applyFill="1"/>
    <xf numFmtId="166" fontId="136" fillId="0" borderId="0" xfId="42" applyNumberFormat="1" applyFont="1" applyBorder="1" applyAlignment="1"/>
    <xf numFmtId="2" fontId="39" fillId="0" borderId="0" xfId="42" applyNumberFormat="1" applyFont="1" applyAlignment="1"/>
    <xf numFmtId="166" fontId="40" fillId="12" borderId="8" xfId="42" applyNumberFormat="1" applyFont="1" applyFill="1" applyBorder="1" applyProtection="1"/>
    <xf numFmtId="0" fontId="30" fillId="15" borderId="72" xfId="42" applyFont="1" applyFill="1" applyBorder="1"/>
    <xf numFmtId="0" fontId="139" fillId="0" borderId="0" xfId="42" applyFont="1" applyAlignment="1">
      <alignment horizontal="center"/>
    </xf>
    <xf numFmtId="0" fontId="140" fillId="0" borderId="67" xfId="42" applyFont="1" applyBorder="1" applyAlignment="1">
      <alignment horizontal="center"/>
    </xf>
    <xf numFmtId="0" fontId="140" fillId="0" borderId="0" xfId="42" applyFont="1" applyBorder="1" applyAlignment="1">
      <alignment horizontal="center"/>
    </xf>
    <xf numFmtId="0" fontId="138" fillId="0" borderId="0" xfId="42" applyFont="1" applyBorder="1"/>
    <xf numFmtId="0" fontId="138" fillId="0" borderId="0" xfId="42" applyFont="1" applyBorder="1" applyAlignment="1">
      <alignment horizontal="center"/>
    </xf>
    <xf numFmtId="166" fontId="138" fillId="0" borderId="0" xfId="42" applyNumberFormat="1" applyFont="1" applyFill="1" applyBorder="1" applyAlignment="1"/>
    <xf numFmtId="0" fontId="138" fillId="0" borderId="0" xfId="0" applyFont="1"/>
    <xf numFmtId="0" fontId="138" fillId="0" borderId="0" xfId="42" applyFont="1"/>
    <xf numFmtId="0" fontId="140" fillId="0" borderId="64" xfId="42" applyFont="1" applyBorder="1" applyAlignment="1">
      <alignment horizontal="center"/>
    </xf>
    <xf numFmtId="0" fontId="140" fillId="0" borderId="76" xfId="42" applyFont="1" applyBorder="1" applyAlignment="1">
      <alignment horizontal="center"/>
    </xf>
    <xf numFmtId="0" fontId="138" fillId="0" borderId="76" xfId="42" applyFont="1" applyBorder="1"/>
    <xf numFmtId="0" fontId="138" fillId="0" borderId="76" xfId="42" applyFont="1" applyBorder="1" applyAlignment="1">
      <alignment horizontal="center"/>
    </xf>
    <xf numFmtId="166" fontId="141" fillId="16" borderId="76" xfId="42" applyNumberFormat="1" applyFont="1" applyFill="1" applyBorder="1" applyAlignment="1">
      <alignment horizontal="right"/>
    </xf>
    <xf numFmtId="2" fontId="30" fillId="11" borderId="78" xfId="42" applyNumberFormat="1" applyFont="1" applyFill="1" applyBorder="1" applyAlignment="1" applyProtection="1">
      <alignment horizontal="right"/>
      <protection locked="0"/>
    </xf>
    <xf numFmtId="168" fontId="13" fillId="12" borderId="28" xfId="42" applyNumberFormat="1" applyFont="1" applyFill="1" applyBorder="1" applyAlignment="1" applyProtection="1">
      <alignment horizontal="right"/>
    </xf>
    <xf numFmtId="166" fontId="138" fillId="12" borderId="0" xfId="42" applyNumberFormat="1" applyFont="1" applyFill="1" applyBorder="1" applyProtection="1"/>
    <xf numFmtId="166" fontId="138" fillId="12" borderId="3" xfId="42" applyNumberFormat="1" applyFont="1" applyFill="1" applyBorder="1" applyProtection="1"/>
    <xf numFmtId="166" fontId="138" fillId="12" borderId="25" xfId="42" applyNumberFormat="1" applyFont="1" applyFill="1" applyBorder="1" applyProtection="1"/>
    <xf numFmtId="2" fontId="125" fillId="20" borderId="0" xfId="42" applyNumberFormat="1" applyFont="1" applyFill="1" applyBorder="1" applyAlignment="1"/>
    <xf numFmtId="0" fontId="28" fillId="0" borderId="0" xfId="72" applyFill="1"/>
    <xf numFmtId="0" fontId="28" fillId="0" borderId="0" xfId="72" applyFill="1" applyAlignment="1">
      <alignment horizontal="right"/>
    </xf>
    <xf numFmtId="0" fontId="0" fillId="0" borderId="0" xfId="0" applyFill="1"/>
    <xf numFmtId="2" fontId="30" fillId="20" borderId="0" xfId="42" applyNumberFormat="1" applyFont="1" applyFill="1" applyBorder="1" applyAlignment="1"/>
    <xf numFmtId="2" fontId="32" fillId="39" borderId="80" xfId="42" applyNumberFormat="1" applyFont="1" applyFill="1" applyBorder="1" applyAlignment="1"/>
    <xf numFmtId="2" fontId="67" fillId="39" borderId="126" xfId="42" applyNumberFormat="1" applyFont="1" applyFill="1" applyBorder="1" applyAlignment="1">
      <alignment horizontal="right"/>
    </xf>
    <xf numFmtId="166" fontId="143" fillId="16" borderId="76" xfId="42" applyNumberFormat="1" applyFont="1" applyFill="1" applyBorder="1" applyAlignment="1">
      <alignment horizontal="right"/>
    </xf>
    <xf numFmtId="166" fontId="30" fillId="38" borderId="67" xfId="42" applyNumberFormat="1" applyFont="1" applyFill="1" applyBorder="1" applyAlignment="1" applyProtection="1">
      <alignment horizontal="right"/>
      <protection locked="0"/>
    </xf>
    <xf numFmtId="2" fontId="30" fillId="11" borderId="0" xfId="42" applyNumberFormat="1" applyFont="1" applyFill="1" applyBorder="1" applyAlignment="1" applyProtection="1">
      <alignment horizontal="right"/>
      <protection locked="0"/>
    </xf>
    <xf numFmtId="166" fontId="144" fillId="19" borderId="75" xfId="42" applyNumberFormat="1" applyFont="1" applyFill="1" applyBorder="1" applyAlignment="1">
      <alignment horizontal="right"/>
    </xf>
    <xf numFmtId="2" fontId="30" fillId="38" borderId="67" xfId="42" applyNumberFormat="1" applyFont="1" applyFill="1" applyBorder="1" applyAlignment="1" applyProtection="1">
      <alignment horizontal="right"/>
      <protection locked="0"/>
    </xf>
    <xf numFmtId="2" fontId="142" fillId="11" borderId="80" xfId="42" applyNumberFormat="1" applyFont="1" applyFill="1" applyBorder="1" applyAlignment="1"/>
    <xf numFmtId="2" fontId="145" fillId="11" borderId="80" xfId="42" applyNumberFormat="1" applyFont="1" applyFill="1" applyBorder="1" applyAlignment="1"/>
    <xf numFmtId="2" fontId="146" fillId="21" borderId="125" xfId="42" applyNumberFormat="1" applyFont="1" applyFill="1" applyBorder="1" applyAlignment="1"/>
    <xf numFmtId="2" fontId="30" fillId="21" borderId="0" xfId="42" applyNumberFormat="1" applyFont="1" applyFill="1" applyBorder="1"/>
    <xf numFmtId="169" fontId="40" fillId="23" borderId="59" xfId="42" applyNumberFormat="1" applyFont="1" applyFill="1" applyBorder="1" applyProtection="1"/>
    <xf numFmtId="169" fontId="136" fillId="11" borderId="0" xfId="42" applyNumberFormat="1" applyFont="1" applyFill="1" applyBorder="1"/>
    <xf numFmtId="179" fontId="40" fillId="11" borderId="76" xfId="42" applyNumberFormat="1" applyFont="1" applyFill="1" applyBorder="1"/>
    <xf numFmtId="179" fontId="126" fillId="0" borderId="0" xfId="42" applyNumberFormat="1" applyFont="1" applyFill="1" applyBorder="1"/>
    <xf numFmtId="179" fontId="30" fillId="11" borderId="0" xfId="42" applyNumberFormat="1" applyFont="1" applyFill="1" applyBorder="1"/>
    <xf numFmtId="179" fontId="30" fillId="38" borderId="76" xfId="42" applyNumberFormat="1" applyFont="1" applyFill="1" applyBorder="1"/>
    <xf numFmtId="179" fontId="30" fillId="11" borderId="76" xfId="42" applyNumberFormat="1" applyFont="1" applyFill="1" applyBorder="1"/>
    <xf numFmtId="179" fontId="30" fillId="38" borderId="0" xfId="42" applyNumberFormat="1" applyFont="1" applyFill="1" applyBorder="1"/>
    <xf numFmtId="179" fontId="30" fillId="34" borderId="0" xfId="42" applyNumberFormat="1" applyFont="1" applyFill="1" applyBorder="1"/>
    <xf numFmtId="169" fontId="142" fillId="11" borderId="71" xfId="42" applyNumberFormat="1" applyFont="1" applyFill="1" applyBorder="1" applyAlignment="1"/>
    <xf numFmtId="169" fontId="136" fillId="11" borderId="71" xfId="42" applyNumberFormat="1" applyFont="1" applyFill="1" applyBorder="1" applyAlignment="1"/>
    <xf numFmtId="1" fontId="147" fillId="0" borderId="0" xfId="42" applyNumberFormat="1" applyFont="1" applyFill="1" applyBorder="1" applyAlignment="1" applyProtection="1">
      <alignment horizontal="center" vertical="center"/>
    </xf>
    <xf numFmtId="2" fontId="142" fillId="11" borderId="76" xfId="42" applyNumberFormat="1" applyFont="1" applyFill="1" applyBorder="1" applyAlignment="1"/>
    <xf numFmtId="169" fontId="137" fillId="11" borderId="76" xfId="42" applyNumberFormat="1" applyFont="1" applyFill="1" applyBorder="1" applyAlignment="1"/>
    <xf numFmtId="2" fontId="142" fillId="11" borderId="71" xfId="42" applyNumberFormat="1" applyFont="1" applyFill="1" applyBorder="1" applyAlignment="1"/>
    <xf numFmtId="2" fontId="145" fillId="11" borderId="71" xfId="42" applyNumberFormat="1" applyFont="1" applyFill="1" applyBorder="1" applyAlignment="1"/>
    <xf numFmtId="1" fontId="139" fillId="0" borderId="0" xfId="42" applyNumberFormat="1" applyFont="1" applyFill="1" applyBorder="1" applyAlignment="1" applyProtection="1">
      <alignment horizontal="center" vertical="center"/>
    </xf>
    <xf numFmtId="14" fontId="138" fillId="0" borderId="64" xfId="42" applyNumberFormat="1" applyFont="1" applyFill="1" applyBorder="1" applyAlignment="1" applyProtection="1">
      <alignment horizontal="center" vertical="center"/>
    </xf>
    <xf numFmtId="0" fontId="140" fillId="0" borderId="76" xfId="42" applyFont="1" applyFill="1" applyBorder="1" applyAlignment="1">
      <alignment horizontal="center"/>
    </xf>
    <xf numFmtId="14" fontId="138" fillId="0" borderId="76" xfId="42" applyNumberFormat="1" applyFont="1" applyFill="1" applyBorder="1" applyAlignment="1"/>
    <xf numFmtId="166" fontId="138" fillId="0" borderId="76" xfId="42" applyNumberFormat="1" applyFont="1" applyFill="1" applyBorder="1" applyAlignment="1">
      <alignment horizontal="center"/>
    </xf>
    <xf numFmtId="166" fontId="138" fillId="0" borderId="76" xfId="42" applyNumberFormat="1" applyFont="1" applyFill="1" applyBorder="1" applyAlignment="1"/>
    <xf numFmtId="0" fontId="142" fillId="0" borderId="0" xfId="42" applyFont="1" applyAlignment="1">
      <alignment vertical="top"/>
    </xf>
    <xf numFmtId="166" fontId="30" fillId="12" borderId="25" xfId="42" applyNumberFormat="1" applyFont="1" applyFill="1" applyBorder="1" applyProtection="1"/>
    <xf numFmtId="0" fontId="39" fillId="12" borderId="18" xfId="42" applyFont="1" applyFill="1" applyBorder="1" applyProtection="1"/>
    <xf numFmtId="0" fontId="144" fillId="0" borderId="0" xfId="0" applyFont="1"/>
    <xf numFmtId="10" fontId="0" fillId="0" borderId="0" xfId="0" applyNumberFormat="1"/>
    <xf numFmtId="0" fontId="30" fillId="21" borderId="89" xfId="42" applyFont="1" applyFill="1" applyBorder="1" applyAlignment="1"/>
    <xf numFmtId="1" fontId="30" fillId="21" borderId="88" xfId="42" applyNumberFormat="1" applyFont="1" applyFill="1" applyBorder="1" applyAlignment="1">
      <alignment horizontal="center"/>
    </xf>
    <xf numFmtId="1" fontId="30" fillId="21" borderId="89" xfId="42" applyNumberFormat="1" applyFont="1" applyFill="1" applyBorder="1" applyAlignment="1">
      <alignment horizontal="center"/>
    </xf>
    <xf numFmtId="1" fontId="30" fillId="21" borderId="123" xfId="42" applyNumberFormat="1" applyFont="1" applyFill="1" applyBorder="1" applyAlignment="1">
      <alignment horizontal="center"/>
    </xf>
    <xf numFmtId="0" fontId="28" fillId="0" borderId="0" xfId="0" applyFont="1" applyAlignment="1">
      <alignment vertical="center" wrapText="1"/>
    </xf>
    <xf numFmtId="168" fontId="144" fillId="0" borderId="0" xfId="42" applyNumberFormat="1" applyFont="1" applyBorder="1" applyProtection="1"/>
    <xf numFmtId="2" fontId="148" fillId="21" borderId="125" xfId="42" applyNumberFormat="1" applyFont="1" applyFill="1" applyBorder="1" applyAlignment="1"/>
    <xf numFmtId="2" fontId="148" fillId="21" borderId="126" xfId="42" applyNumberFormat="1" applyFont="1" applyFill="1" applyBorder="1" applyAlignment="1">
      <alignment horizontal="right"/>
    </xf>
    <xf numFmtId="1" fontId="142" fillId="0" borderId="0" xfId="42" applyNumberFormat="1" applyFont="1" applyFill="1" applyBorder="1" applyAlignment="1"/>
    <xf numFmtId="2" fontId="144" fillId="0" borderId="0" xfId="42" applyNumberFormat="1" applyFont="1" applyFill="1" applyBorder="1" applyAlignment="1"/>
    <xf numFmtId="2" fontId="146" fillId="21" borderId="126" xfId="42" applyNumberFormat="1" applyFont="1" applyFill="1" applyBorder="1" applyAlignment="1">
      <alignment horizontal="right"/>
    </xf>
    <xf numFmtId="166" fontId="114" fillId="20" borderId="0" xfId="42" applyNumberFormat="1" applyFont="1" applyFill="1" applyBorder="1" applyAlignment="1"/>
    <xf numFmtId="2" fontId="142" fillId="15" borderId="76" xfId="42" applyNumberFormat="1" applyFont="1" applyFill="1" applyBorder="1" applyAlignment="1"/>
    <xf numFmtId="168" fontId="0" fillId="21" borderId="0" xfId="42" applyNumberFormat="1" applyFont="1" applyFill="1"/>
    <xf numFmtId="166" fontId="34" fillId="15" borderId="0" xfId="42" applyNumberFormat="1" applyFont="1" applyFill="1" applyBorder="1" applyAlignment="1"/>
    <xf numFmtId="0" fontId="142" fillId="0" borderId="0" xfId="42" applyFont="1"/>
    <xf numFmtId="166" fontId="144" fillId="0" borderId="89" xfId="42" applyNumberFormat="1" applyFont="1" applyFill="1" applyBorder="1" applyAlignment="1"/>
    <xf numFmtId="166" fontId="30" fillId="0" borderId="71" xfId="42" applyNumberFormat="1" applyFont="1" applyFill="1" applyBorder="1" applyAlignment="1">
      <alignment horizontal="right"/>
    </xf>
    <xf numFmtId="168" fontId="28" fillId="19" borderId="71" xfId="42" applyNumberFormat="1" applyFont="1" applyFill="1" applyBorder="1" applyAlignment="1">
      <alignment horizontal="right"/>
    </xf>
    <xf numFmtId="2" fontId="143" fillId="16" borderId="76" xfId="42" applyNumberFormat="1" applyFont="1" applyFill="1" applyBorder="1" applyAlignment="1">
      <alignment horizontal="right"/>
    </xf>
    <xf numFmtId="2" fontId="30" fillId="0" borderId="76" xfId="42" applyNumberFormat="1" applyFont="1" applyFill="1" applyBorder="1" applyAlignment="1">
      <alignment horizontal="right"/>
    </xf>
    <xf numFmtId="2" fontId="30" fillId="0" borderId="0" xfId="42" applyNumberFormat="1" applyFont="1" applyFill="1" applyBorder="1" applyAlignment="1">
      <alignment horizontal="right"/>
    </xf>
    <xf numFmtId="2" fontId="30" fillId="0" borderId="71" xfId="42" applyNumberFormat="1" applyFont="1" applyFill="1" applyBorder="1" applyAlignment="1">
      <alignment horizontal="right"/>
    </xf>
    <xf numFmtId="2" fontId="30" fillId="20" borderId="0" xfId="42" applyNumberFormat="1" applyFont="1" applyFill="1" applyBorder="1" applyAlignment="1">
      <alignment horizontal="right"/>
    </xf>
    <xf numFmtId="166" fontId="28" fillId="15" borderId="72" xfId="42" applyNumberFormat="1" applyFont="1" applyFill="1" applyBorder="1"/>
    <xf numFmtId="2" fontId="30" fillId="0" borderId="77" xfId="42" applyNumberFormat="1" applyFont="1" applyFill="1" applyBorder="1" applyAlignment="1">
      <alignment horizontal="right"/>
    </xf>
    <xf numFmtId="0" fontId="30" fillId="0" borderId="0" xfId="42" applyFont="1" applyFill="1" applyAlignment="1">
      <alignment horizontal="center"/>
    </xf>
    <xf numFmtId="166" fontId="30" fillId="0" borderId="76" xfId="42" applyNumberFormat="1" applyFont="1" applyBorder="1" applyAlignment="1">
      <alignment horizontal="center"/>
    </xf>
    <xf numFmtId="0" fontId="28" fillId="29" borderId="64" xfId="42" applyFont="1" applyFill="1" applyBorder="1" applyAlignment="1">
      <alignment horizontal="right"/>
    </xf>
    <xf numFmtId="0" fontId="28" fillId="19" borderId="76" xfId="42" applyFont="1" applyFill="1" applyBorder="1" applyAlignment="1">
      <alignment horizontal="right"/>
    </xf>
    <xf numFmtId="0" fontId="28" fillId="29" borderId="76" xfId="42" applyFont="1" applyFill="1" applyBorder="1" applyAlignment="1">
      <alignment horizontal="right"/>
    </xf>
    <xf numFmtId="0" fontId="28" fillId="1" borderId="67" xfId="42" applyFont="1" applyFill="1" applyBorder="1" applyAlignment="1">
      <alignment horizontal="right"/>
    </xf>
    <xf numFmtId="0" fontId="28" fillId="27" borderId="0" xfId="42" applyFont="1" applyFill="1" applyBorder="1" applyAlignment="1">
      <alignment horizontal="right"/>
    </xf>
    <xf numFmtId="166" fontId="30" fillId="19" borderId="0" xfId="42" applyNumberFormat="1" applyFont="1" applyFill="1" applyBorder="1" applyAlignment="1">
      <alignment horizontal="right"/>
    </xf>
    <xf numFmtId="166" fontId="1" fillId="21" borderId="68" xfId="42" applyNumberFormat="1" applyFont="1" applyFill="1" applyBorder="1" applyAlignment="1">
      <alignment horizontal="right"/>
    </xf>
    <xf numFmtId="166" fontId="34" fillId="15" borderId="71" xfId="42" applyNumberFormat="1" applyFont="1" applyFill="1" applyBorder="1" applyAlignment="1">
      <alignment horizontal="right"/>
    </xf>
    <xf numFmtId="166" fontId="1" fillId="19" borderId="71" xfId="42" applyNumberFormat="1" applyFont="1" applyFill="1" applyBorder="1" applyAlignment="1">
      <alignment horizontal="right"/>
    </xf>
    <xf numFmtId="169" fontId="0" fillId="0" borderId="0" xfId="0" applyNumberFormat="1"/>
    <xf numFmtId="169" fontId="32" fillId="0" borderId="0" xfId="42" applyNumberFormat="1" applyFont="1" applyFill="1" applyBorder="1" applyAlignment="1"/>
    <xf numFmtId="187" fontId="28" fillId="13" borderId="0" xfId="398" applyNumberFormat="1" applyFont="1" applyFill="1" applyBorder="1" applyAlignment="1"/>
    <xf numFmtId="186" fontId="40" fillId="34" borderId="138" xfId="398" applyNumberFormat="1" applyFont="1" applyFill="1" applyBorder="1" applyAlignment="1"/>
    <xf numFmtId="2" fontId="34" fillId="20" borderId="0" xfId="42" applyNumberFormat="1" applyFont="1" applyFill="1" applyBorder="1" applyAlignment="1"/>
    <xf numFmtId="10" fontId="32" fillId="0" borderId="0" xfId="42" applyNumberFormat="1" applyFont="1"/>
    <xf numFmtId="169" fontId="32" fillId="0" borderId="0" xfId="42" applyNumberFormat="1" applyFont="1"/>
    <xf numFmtId="168" fontId="32" fillId="0" borderId="0" xfId="42" applyNumberFormat="1" applyFont="1" applyFill="1" applyBorder="1" applyAlignment="1"/>
    <xf numFmtId="166" fontId="39" fillId="11" borderId="80" xfId="42" applyNumberFormat="1" applyFont="1" applyFill="1" applyBorder="1" applyAlignment="1"/>
    <xf numFmtId="166" fontId="39" fillId="11" borderId="82" xfId="42" applyNumberFormat="1" applyFont="1" applyFill="1" applyBorder="1" applyAlignment="1"/>
    <xf numFmtId="166" fontId="39" fillId="11" borderId="0" xfId="42" applyNumberFormat="1" applyFont="1" applyFill="1" applyBorder="1" applyAlignment="1"/>
    <xf numFmtId="0" fontId="1" fillId="0" borderId="0" xfId="0" applyFont="1" applyFill="1"/>
    <xf numFmtId="0" fontId="1" fillId="0" borderId="0" xfId="0" applyFont="1" applyFill="1" applyProtection="1"/>
    <xf numFmtId="0" fontId="30" fillId="0" borderId="0" xfId="0" applyFont="1" applyAlignment="1">
      <alignment horizontal="center" vertical="center" wrapText="1"/>
    </xf>
    <xf numFmtId="0" fontId="1" fillId="0" borderId="0" xfId="0" applyFont="1" applyAlignment="1">
      <alignment vertical="center" wrapText="1"/>
    </xf>
    <xf numFmtId="0" fontId="0" fillId="0" borderId="0" xfId="0"/>
    <xf numFmtId="169" fontId="34" fillId="12" borderId="0" xfId="42" applyNumberFormat="1" applyFont="1" applyFill="1" applyBorder="1" applyProtection="1"/>
    <xf numFmtId="15" fontId="1" fillId="0" borderId="64" xfId="42" applyNumberFormat="1" applyFont="1" applyFill="1" applyBorder="1" applyAlignment="1" applyProtection="1">
      <alignment horizontal="center" vertical="center"/>
    </xf>
    <xf numFmtId="166" fontId="1" fillId="15" borderId="67" xfId="42" applyNumberFormat="1" applyFont="1" applyFill="1" applyBorder="1" applyProtection="1"/>
    <xf numFmtId="166" fontId="1" fillId="17" borderId="65" xfId="42" applyNumberFormat="1" applyFont="1" applyFill="1" applyBorder="1" applyAlignment="1" applyProtection="1">
      <alignment vertical="center"/>
    </xf>
    <xf numFmtId="166" fontId="30" fillId="18" borderId="66" xfId="42" applyNumberFormat="1" applyFont="1" applyFill="1" applyBorder="1" applyAlignment="1" applyProtection="1">
      <alignment horizontal="center"/>
    </xf>
    <xf numFmtId="166" fontId="1" fillId="19" borderId="67" xfId="42" applyNumberFormat="1" applyFont="1" applyFill="1" applyBorder="1" applyProtection="1"/>
    <xf numFmtId="166" fontId="1" fillId="17" borderId="66" xfId="42" applyNumberFormat="1" applyFont="1" applyFill="1" applyBorder="1" applyProtection="1"/>
    <xf numFmtId="166" fontId="1" fillId="17" borderId="66" xfId="42" applyNumberFormat="1" applyFont="1" applyFill="1" applyBorder="1" applyAlignment="1" applyProtection="1">
      <alignment vertical="center"/>
    </xf>
    <xf numFmtId="15" fontId="30" fillId="0" borderId="67" xfId="42" applyNumberFormat="1" applyFont="1" applyFill="1" applyBorder="1" applyAlignment="1" applyProtection="1">
      <alignment horizontal="center" vertical="center"/>
    </xf>
    <xf numFmtId="166" fontId="30" fillId="20" borderId="66" xfId="42" applyNumberFormat="1" applyFont="1" applyFill="1" applyBorder="1" applyProtection="1"/>
    <xf numFmtId="166" fontId="30" fillId="20" borderId="66" xfId="42" applyNumberFormat="1" applyFont="1" applyFill="1" applyBorder="1" applyAlignment="1" applyProtection="1">
      <alignment horizontal="right"/>
    </xf>
    <xf numFmtId="166" fontId="1" fillId="0" borderId="66" xfId="42" applyNumberFormat="1" applyFont="1" applyFill="1" applyBorder="1" applyProtection="1"/>
    <xf numFmtId="166" fontId="1" fillId="0" borderId="66" xfId="42" applyNumberFormat="1" applyFont="1" applyFill="1" applyBorder="1" applyAlignment="1" applyProtection="1">
      <alignment vertical="center"/>
    </xf>
    <xf numFmtId="166" fontId="1" fillId="19" borderId="67" xfId="42" applyNumberFormat="1" applyFont="1" applyFill="1" applyBorder="1" applyAlignment="1" applyProtection="1">
      <alignment vertical="center"/>
    </xf>
    <xf numFmtId="166" fontId="1" fillId="15" borderId="66" xfId="42" applyNumberFormat="1" applyFont="1" applyFill="1" applyBorder="1" applyProtection="1"/>
    <xf numFmtId="166" fontId="1" fillId="15" borderId="66" xfId="42" applyNumberFormat="1" applyFont="1" applyFill="1" applyBorder="1" applyAlignment="1" applyProtection="1">
      <alignment vertical="center"/>
    </xf>
    <xf numFmtId="169" fontId="1" fillId="15" borderId="66" xfId="42" applyNumberFormat="1" applyFont="1" applyFill="1" applyBorder="1" applyAlignment="1" applyProtection="1">
      <alignment vertical="center"/>
    </xf>
    <xf numFmtId="166" fontId="30" fillId="20" borderId="66" xfId="42" applyNumberFormat="1" applyFont="1" applyFill="1" applyBorder="1" applyAlignment="1" applyProtection="1">
      <alignment vertical="center"/>
    </xf>
    <xf numFmtId="166" fontId="30" fillId="20" borderId="66" xfId="42" applyNumberFormat="1" applyFont="1" applyFill="1" applyBorder="1" applyAlignment="1" applyProtection="1">
      <alignment horizontal="right" vertical="center"/>
    </xf>
    <xf numFmtId="166" fontId="1" fillId="15" borderId="73" xfId="42" applyNumberFormat="1" applyFont="1" applyFill="1" applyBorder="1" applyAlignment="1" applyProtection="1">
      <alignment vertical="center"/>
    </xf>
    <xf numFmtId="166" fontId="1" fillId="0" borderId="68" xfId="42" applyNumberFormat="1" applyFont="1" applyFill="1" applyBorder="1" applyProtection="1"/>
    <xf numFmtId="166" fontId="1" fillId="19" borderId="66" xfId="42" applyNumberFormat="1" applyFont="1" applyFill="1" applyBorder="1" applyAlignment="1" applyProtection="1">
      <alignment vertical="center"/>
    </xf>
    <xf numFmtId="166" fontId="1" fillId="19" borderId="73" xfId="42" applyNumberFormat="1" applyFont="1" applyFill="1" applyBorder="1" applyAlignment="1" applyProtection="1">
      <alignment horizontal="right" vertical="center"/>
    </xf>
    <xf numFmtId="169" fontId="1" fillId="0" borderId="66" xfId="42" applyNumberFormat="1" applyFont="1" applyFill="1" applyBorder="1" applyAlignment="1" applyProtection="1">
      <alignment vertical="center"/>
    </xf>
    <xf numFmtId="166" fontId="1" fillId="0" borderId="67" xfId="42" applyNumberFormat="1" applyFont="1" applyFill="1" applyBorder="1" applyProtection="1"/>
    <xf numFmtId="9" fontId="1" fillId="0" borderId="66" xfId="42" applyNumberFormat="1" applyFont="1" applyFill="1" applyBorder="1" applyProtection="1"/>
    <xf numFmtId="168" fontId="30" fillId="18" borderId="66" xfId="42" applyNumberFormat="1" applyFont="1" applyFill="1" applyBorder="1" applyAlignment="1" applyProtection="1">
      <alignment horizontal="center" vertical="center"/>
    </xf>
    <xf numFmtId="166" fontId="1" fillId="19" borderId="73" xfId="42" applyNumberFormat="1" applyFont="1" applyFill="1" applyBorder="1" applyAlignment="1" applyProtection="1">
      <alignment vertical="center"/>
    </xf>
    <xf numFmtId="9" fontId="30" fillId="0" borderId="0" xfId="398" applyFont="1" applyFill="1" applyAlignment="1" applyProtection="1">
      <alignment horizontal="center" vertical="center"/>
    </xf>
    <xf numFmtId="9" fontId="1" fillId="0" borderId="72" xfId="398" applyFont="1" applyBorder="1" applyProtection="1"/>
    <xf numFmtId="167" fontId="1" fillId="0" borderId="72" xfId="398" applyNumberFormat="1" applyFont="1" applyFill="1" applyBorder="1" applyProtection="1"/>
    <xf numFmtId="10" fontId="1" fillId="0" borderId="72" xfId="398" applyNumberFormat="1" applyFont="1" applyFill="1" applyBorder="1" applyProtection="1"/>
    <xf numFmtId="188" fontId="1" fillId="0" borderId="72" xfId="398" applyNumberFormat="1" applyFont="1" applyFill="1" applyBorder="1" applyProtection="1"/>
    <xf numFmtId="175" fontId="30" fillId="0" borderId="0" xfId="42" applyNumberFormat="1" applyFont="1" applyAlignment="1">
      <alignment horizontal="center" wrapText="1"/>
    </xf>
    <xf numFmtId="166" fontId="1" fillId="21" borderId="65" xfId="42" applyNumberFormat="1" applyFont="1" applyFill="1" applyBorder="1" applyAlignment="1" applyProtection="1">
      <alignment horizontal="right" vertical="center"/>
    </xf>
    <xf numFmtId="166" fontId="1" fillId="17" borderId="65" xfId="42" applyNumberFormat="1" applyFont="1" applyFill="1" applyBorder="1" applyAlignment="1" applyProtection="1">
      <alignment horizontal="right" vertical="center"/>
    </xf>
    <xf numFmtId="166" fontId="1" fillId="21" borderId="67" xfId="42" applyNumberFormat="1" applyFont="1" applyFill="1" applyBorder="1" applyAlignment="1" applyProtection="1">
      <alignment horizontal="right"/>
    </xf>
    <xf numFmtId="166" fontId="1" fillId="17" borderId="66" xfId="42" applyNumberFormat="1" applyFont="1" applyFill="1" applyBorder="1" applyAlignment="1" applyProtection="1">
      <alignment horizontal="right"/>
    </xf>
    <xf numFmtId="166" fontId="1" fillId="17" borderId="66" xfId="42" applyNumberFormat="1" applyFont="1" applyFill="1" applyBorder="1" applyAlignment="1" applyProtection="1">
      <alignment horizontal="right" vertical="center"/>
    </xf>
    <xf numFmtId="166" fontId="30" fillId="22" borderId="66" xfId="42" applyNumberFormat="1" applyFont="1" applyFill="1" applyBorder="1" applyAlignment="1" applyProtection="1">
      <alignment horizontal="right"/>
    </xf>
    <xf numFmtId="166" fontId="1" fillId="21" borderId="67" xfId="42" applyNumberFormat="1" applyFont="1" applyFill="1" applyBorder="1" applyAlignment="1" applyProtection="1">
      <alignment horizontal="right" vertical="center"/>
    </xf>
    <xf numFmtId="166" fontId="1" fillId="0" borderId="68" xfId="42" applyNumberFormat="1" applyFont="1" applyFill="1" applyBorder="1" applyAlignment="1" applyProtection="1">
      <alignment horizontal="right" vertical="center"/>
    </xf>
    <xf numFmtId="166" fontId="1" fillId="21" borderId="73" xfId="42" applyNumberFormat="1" applyFont="1" applyFill="1" applyBorder="1" applyAlignment="1" applyProtection="1">
      <alignment horizontal="right" vertical="center"/>
    </xf>
    <xf numFmtId="166" fontId="1" fillId="0" borderId="68" xfId="42" applyNumberFormat="1" applyFont="1" applyFill="1" applyBorder="1" applyAlignment="1" applyProtection="1">
      <alignment horizontal="right"/>
    </xf>
    <xf numFmtId="166" fontId="1" fillId="0" borderId="67" xfId="42" applyNumberFormat="1" applyFont="1" applyFill="1" applyBorder="1" applyAlignment="1" applyProtection="1">
      <alignment horizontal="right" vertical="center"/>
    </xf>
    <xf numFmtId="166" fontId="1" fillId="0" borderId="67" xfId="42" applyNumberFormat="1" applyFont="1" applyFill="1" applyBorder="1" applyAlignment="1" applyProtection="1">
      <alignment horizontal="right"/>
    </xf>
    <xf numFmtId="166" fontId="1" fillId="0" borderId="74" xfId="42" applyNumberFormat="1" applyFont="1" applyFill="1" applyBorder="1" applyAlignment="1" applyProtection="1">
      <alignment horizontal="right" vertical="center"/>
    </xf>
    <xf numFmtId="166" fontId="29" fillId="16" borderId="71" xfId="42" applyNumberFormat="1" applyFont="1" applyFill="1" applyBorder="1" applyAlignment="1" applyProtection="1">
      <alignment horizontal="right"/>
    </xf>
    <xf numFmtId="167" fontId="30" fillId="0" borderId="72" xfId="398" applyNumberFormat="1" applyFont="1" applyFill="1" applyBorder="1" applyProtection="1"/>
    <xf numFmtId="0" fontId="39" fillId="0" borderId="0" xfId="42" applyFont="1"/>
    <xf numFmtId="0" fontId="1" fillId="0" borderId="0" xfId="42" applyNumberFormat="1" applyFont="1"/>
    <xf numFmtId="166" fontId="1" fillId="0" borderId="0" xfId="42" applyNumberFormat="1" applyFont="1"/>
    <xf numFmtId="1" fontId="1" fillId="0" borderId="0" xfId="42" applyNumberFormat="1" applyFont="1"/>
    <xf numFmtId="1" fontId="30" fillId="15" borderId="76" xfId="42" applyNumberFormat="1" applyFont="1" applyFill="1" applyBorder="1" applyAlignment="1"/>
    <xf numFmtId="1" fontId="39" fillId="15" borderId="76" xfId="42" applyNumberFormat="1" applyFont="1" applyFill="1" applyBorder="1" applyAlignment="1"/>
    <xf numFmtId="1" fontId="1" fillId="0" borderId="76" xfId="42" applyNumberFormat="1" applyFont="1" applyBorder="1" applyAlignment="1"/>
    <xf numFmtId="1" fontId="1" fillId="0" borderId="0" xfId="42" applyNumberFormat="1" applyFont="1" applyBorder="1" applyAlignment="1"/>
    <xf numFmtId="1" fontId="1" fillId="15" borderId="76" xfId="42" applyNumberFormat="1" applyFont="1" applyFill="1" applyBorder="1" applyAlignment="1"/>
    <xf numFmtId="1" fontId="30" fillId="21" borderId="89" xfId="42" applyNumberFormat="1" applyFont="1" applyFill="1" applyBorder="1" applyAlignment="1"/>
    <xf numFmtId="1" fontId="39" fillId="21" borderId="89" xfId="42" applyNumberFormat="1" applyFont="1" applyFill="1" applyBorder="1" applyAlignment="1"/>
    <xf numFmtId="166" fontId="1" fillId="0" borderId="80" xfId="42" applyNumberFormat="1" applyFont="1" applyBorder="1" applyAlignment="1"/>
    <xf numFmtId="2" fontId="1" fillId="0" borderId="80" xfId="42" applyNumberFormat="1" applyFont="1" applyBorder="1" applyAlignment="1"/>
    <xf numFmtId="166" fontId="1" fillId="0" borderId="82" xfId="42" applyNumberFormat="1" applyFont="1" applyBorder="1" applyAlignment="1"/>
    <xf numFmtId="166" fontId="1" fillId="21" borderId="0" xfId="42" applyNumberFormat="1" applyFont="1" applyFill="1" applyBorder="1" applyAlignment="1"/>
    <xf numFmtId="1" fontId="30" fillId="13" borderId="92" xfId="42" applyNumberFormat="1" applyFont="1" applyFill="1" applyBorder="1" applyAlignment="1"/>
    <xf numFmtId="1" fontId="39" fillId="13" borderId="92" xfId="42" applyNumberFormat="1" applyFont="1" applyFill="1" applyBorder="1" applyAlignment="1"/>
    <xf numFmtId="1" fontId="1" fillId="0" borderId="92" xfId="42" applyNumberFormat="1" applyFont="1" applyBorder="1" applyAlignment="1"/>
    <xf numFmtId="1" fontId="1" fillId="0" borderId="4" xfId="42" applyNumberFormat="1" applyFont="1" applyBorder="1" applyAlignment="1"/>
    <xf numFmtId="1" fontId="1" fillId="13" borderId="0" xfId="42" applyNumberFormat="1" applyFont="1" applyFill="1" applyBorder="1" applyAlignment="1"/>
    <xf numFmtId="1" fontId="1" fillId="0" borderId="76" xfId="42" applyNumberFormat="1" applyFont="1" applyFill="1" applyBorder="1" applyAlignment="1"/>
    <xf numFmtId="1" fontId="1" fillId="0" borderId="0" xfId="42" applyNumberFormat="1" applyFont="1" applyFill="1" applyBorder="1" applyAlignment="1"/>
    <xf numFmtId="166" fontId="1" fillId="0" borderId="0" xfId="42" applyNumberFormat="1" applyFont="1" applyFill="1" applyBorder="1" applyAlignment="1"/>
    <xf numFmtId="1" fontId="1" fillId="15" borderId="0" xfId="42" applyNumberFormat="1" applyFont="1" applyFill="1" applyBorder="1" applyAlignment="1"/>
    <xf numFmtId="1" fontId="1" fillId="0" borderId="0" xfId="42" applyNumberFormat="1" applyFont="1" applyBorder="1"/>
    <xf numFmtId="166" fontId="1" fillId="0" borderId="0" xfId="42" applyNumberFormat="1" applyFont="1" applyBorder="1" applyAlignment="1"/>
    <xf numFmtId="167" fontId="1" fillId="0" borderId="0" xfId="398" applyNumberFormat="1" applyFont="1" applyBorder="1" applyAlignment="1"/>
    <xf numFmtId="167" fontId="39" fillId="0" borderId="0" xfId="398" applyNumberFormat="1" applyFont="1" applyBorder="1" applyAlignment="1"/>
    <xf numFmtId="1" fontId="30" fillId="21" borderId="87" xfId="42" applyNumberFormat="1" applyFont="1" applyFill="1" applyBorder="1" applyAlignment="1"/>
    <xf numFmtId="1" fontId="39" fillId="21" borderId="87" xfId="42" applyNumberFormat="1" applyFont="1" applyFill="1" applyBorder="1" applyAlignment="1"/>
    <xf numFmtId="166" fontId="1" fillId="0" borderId="80" xfId="42" applyNumberFormat="1" applyFont="1" applyFill="1" applyBorder="1" applyAlignment="1"/>
    <xf numFmtId="2" fontId="49" fillId="11" borderId="80" xfId="42" applyNumberFormat="1" applyFont="1" applyFill="1" applyBorder="1" applyAlignment="1"/>
    <xf numFmtId="2" fontId="49" fillId="11" borderId="0" xfId="42" applyNumberFormat="1" applyFont="1" applyFill="1" applyBorder="1" applyAlignment="1"/>
    <xf numFmtId="1" fontId="1" fillId="0" borderId="92" xfId="42" applyNumberFormat="1" applyFont="1" applyFill="1" applyBorder="1" applyAlignment="1"/>
    <xf numFmtId="1" fontId="1" fillId="0" borderId="30" xfId="42" applyNumberFormat="1" applyFont="1" applyBorder="1" applyAlignment="1"/>
    <xf numFmtId="2" fontId="1" fillId="0" borderId="92" xfId="398" applyNumberFormat="1" applyFont="1" applyFill="1" applyBorder="1" applyAlignment="1"/>
    <xf numFmtId="2" fontId="1" fillId="13" borderId="0" xfId="398" applyNumberFormat="1" applyFont="1" applyFill="1" applyBorder="1" applyAlignment="1"/>
    <xf numFmtId="2" fontId="1" fillId="0" borderId="0" xfId="398" applyNumberFormat="1" applyFont="1" applyFill="1" applyBorder="1" applyAlignment="1"/>
    <xf numFmtId="2" fontId="1" fillId="13" borderId="4" xfId="398" applyNumberFormat="1" applyFont="1" applyFill="1" applyBorder="1" applyAlignment="1"/>
    <xf numFmtId="1" fontId="30" fillId="0" borderId="0" xfId="42" applyNumberFormat="1" applyFont="1" applyBorder="1" applyAlignment="1"/>
    <xf numFmtId="1" fontId="39" fillId="0" borderId="0" xfId="42" applyNumberFormat="1" applyFont="1" applyBorder="1" applyAlignment="1"/>
    <xf numFmtId="1" fontId="1" fillId="0" borderId="71" xfId="42" applyNumberFormat="1" applyFont="1" applyFill="1" applyBorder="1" applyAlignment="1"/>
    <xf numFmtId="1" fontId="1" fillId="0" borderId="72" xfId="42" applyNumberFormat="1" applyFont="1" applyBorder="1" applyAlignment="1"/>
    <xf numFmtId="1" fontId="30" fillId="21" borderId="85" xfId="42" applyNumberFormat="1" applyFont="1" applyFill="1" applyBorder="1" applyAlignment="1"/>
    <xf numFmtId="1" fontId="39" fillId="21" borderId="85" xfId="42" applyNumberFormat="1" applyFont="1" applyFill="1" applyBorder="1" applyAlignment="1"/>
    <xf numFmtId="2" fontId="1" fillId="0" borderId="85" xfId="42" applyNumberFormat="1" applyFont="1" applyBorder="1" applyAlignment="1"/>
    <xf numFmtId="2" fontId="39" fillId="11" borderId="85" xfId="42" applyNumberFormat="1" applyFont="1" applyFill="1" applyBorder="1" applyAlignment="1"/>
    <xf numFmtId="1" fontId="1" fillId="1" borderId="76" xfId="42" applyNumberFormat="1" applyFont="1" applyFill="1" applyBorder="1" applyAlignment="1"/>
    <xf numFmtId="1" fontId="1" fillId="1" borderId="0" xfId="42" applyNumberFormat="1" applyFont="1" applyFill="1" applyBorder="1" applyAlignment="1"/>
    <xf numFmtId="2" fontId="1" fillId="1" borderId="87" xfId="42" applyNumberFormat="1" applyFont="1" applyFill="1" applyBorder="1" applyAlignment="1"/>
    <xf numFmtId="2" fontId="1" fillId="1" borderId="124" xfId="42" applyNumberFormat="1" applyFont="1" applyFill="1" applyBorder="1" applyAlignment="1"/>
    <xf numFmtId="0" fontId="39" fillId="0" borderId="0" xfId="42" applyFont="1" applyAlignment="1"/>
    <xf numFmtId="1" fontId="30" fillId="15" borderId="72" xfId="42" applyNumberFormat="1" applyFont="1" applyFill="1" applyBorder="1" applyAlignment="1"/>
    <xf numFmtId="1" fontId="39" fillId="15" borderId="72" xfId="42" applyNumberFormat="1" applyFont="1" applyFill="1" applyBorder="1" applyAlignment="1"/>
    <xf numFmtId="166" fontId="49" fillId="0" borderId="0" xfId="42" applyNumberFormat="1" applyFont="1" applyFill="1" applyBorder="1" applyAlignment="1"/>
    <xf numFmtId="166" fontId="49" fillId="41" borderId="76" xfId="42" applyNumberFormat="1" applyFont="1" applyFill="1" applyBorder="1"/>
    <xf numFmtId="166" fontId="49" fillId="41" borderId="0" xfId="42" applyNumberFormat="1" applyFont="1" applyFill="1" applyBorder="1" applyAlignment="1"/>
    <xf numFmtId="166" fontId="1" fillId="15" borderId="0" xfId="42" applyNumberFormat="1" applyFont="1" applyFill="1" applyBorder="1"/>
    <xf numFmtId="166" fontId="1" fillId="0" borderId="71" xfId="42" applyNumberFormat="1" applyFont="1" applyBorder="1"/>
    <xf numFmtId="0" fontId="1" fillId="0" borderId="0" xfId="42" applyFont="1" applyBorder="1"/>
    <xf numFmtId="1" fontId="30" fillId="21" borderId="80" xfId="42" applyNumberFormat="1" applyFont="1" applyFill="1" applyBorder="1" applyAlignment="1"/>
    <xf numFmtId="166" fontId="1" fillId="0" borderId="0" xfId="42" applyNumberFormat="1" applyFont="1" applyFill="1" applyBorder="1"/>
    <xf numFmtId="166" fontId="1" fillId="0" borderId="80" xfId="42" applyNumberFormat="1" applyFont="1" applyFill="1" applyBorder="1"/>
    <xf numFmtId="166" fontId="1" fillId="21" borderId="0" xfId="42" applyNumberFormat="1" applyFont="1" applyFill="1" applyBorder="1"/>
    <xf numFmtId="166" fontId="1" fillId="0" borderId="82" xfId="42" applyNumberFormat="1" applyFont="1" applyBorder="1"/>
    <xf numFmtId="166" fontId="1" fillId="0" borderId="17" xfId="42" applyNumberFormat="1" applyFont="1" applyBorder="1"/>
    <xf numFmtId="166" fontId="1" fillId="0" borderId="0" xfId="42" applyNumberFormat="1" applyFont="1" applyBorder="1"/>
    <xf numFmtId="167" fontId="1" fillId="34" borderId="0" xfId="42" applyNumberFormat="1" applyFont="1" applyFill="1" applyBorder="1"/>
    <xf numFmtId="0" fontId="30" fillId="0" borderId="0" xfId="42" applyFont="1" applyBorder="1"/>
    <xf numFmtId="0" fontId="39" fillId="0" borderId="0" xfId="42" applyFont="1" applyBorder="1"/>
    <xf numFmtId="166" fontId="1" fillId="0" borderId="76" xfId="42" applyNumberFormat="1" applyFont="1" applyFill="1" applyBorder="1"/>
    <xf numFmtId="166" fontId="1" fillId="15" borderId="0" xfId="42" applyNumberFormat="1" applyFont="1" applyFill="1" applyBorder="1" applyAlignment="1">
      <alignment vertical="center"/>
    </xf>
    <xf numFmtId="166" fontId="1" fillId="0" borderId="71" xfId="42" applyNumberFormat="1" applyFont="1" applyBorder="1" applyAlignment="1">
      <alignment vertical="center"/>
    </xf>
    <xf numFmtId="2" fontId="39" fillId="11" borderId="0" xfId="42" applyNumberFormat="1" applyFont="1" applyFill="1" applyBorder="1"/>
    <xf numFmtId="169" fontId="1" fillId="15" borderId="0" xfId="42" applyNumberFormat="1" applyFont="1" applyFill="1" applyBorder="1" applyAlignment="1">
      <alignment vertical="center"/>
    </xf>
    <xf numFmtId="9" fontId="34" fillId="0" borderId="0" xfId="42" applyNumberFormat="1" applyFont="1" applyAlignment="1"/>
    <xf numFmtId="10" fontId="34" fillId="0" borderId="0" xfId="42" applyNumberFormat="1" applyFont="1" applyAlignment="1"/>
    <xf numFmtId="2" fontId="30" fillId="0" borderId="0" xfId="42" applyNumberFormat="1" applyFont="1" applyBorder="1"/>
    <xf numFmtId="1" fontId="30" fillId="13" borderId="99" xfId="42" applyNumberFormat="1" applyFont="1" applyFill="1" applyBorder="1" applyAlignment="1"/>
    <xf numFmtId="1" fontId="39" fillId="13" borderId="99" xfId="42" applyNumberFormat="1" applyFont="1" applyFill="1" applyBorder="1" applyAlignment="1"/>
    <xf numFmtId="167" fontId="1" fillId="0" borderId="92" xfId="398" applyNumberFormat="1" applyFont="1" applyFill="1" applyBorder="1"/>
    <xf numFmtId="167" fontId="1" fillId="0" borderId="0" xfId="398" applyNumberFormat="1" applyFont="1" applyFill="1" applyBorder="1" applyAlignment="1"/>
    <xf numFmtId="167" fontId="1" fillId="13" borderId="0" xfId="398" applyNumberFormat="1" applyFont="1" applyFill="1" applyBorder="1"/>
    <xf numFmtId="167" fontId="1" fillId="0" borderId="4" xfId="398" applyNumberFormat="1" applyFont="1" applyBorder="1"/>
    <xf numFmtId="2" fontId="1" fillId="0" borderId="71" xfId="42" applyNumberFormat="1" applyFont="1" applyBorder="1" applyAlignment="1">
      <alignment vertical="center"/>
    </xf>
    <xf numFmtId="2" fontId="1" fillId="38" borderId="71" xfId="42" applyNumberFormat="1" applyFont="1" applyFill="1" applyBorder="1" applyAlignment="1">
      <alignment vertical="center"/>
    </xf>
    <xf numFmtId="167" fontId="1" fillId="0" borderId="0" xfId="42" applyNumberFormat="1" applyFont="1" applyAlignment="1"/>
    <xf numFmtId="189" fontId="1" fillId="0" borderId="0" xfId="42" applyNumberFormat="1" applyFont="1" applyAlignment="1"/>
    <xf numFmtId="166" fontId="1" fillId="21" borderId="0" xfId="42" applyNumberFormat="1" applyFont="1" applyFill="1" applyBorder="1" applyAlignment="1">
      <alignment vertical="center"/>
    </xf>
    <xf numFmtId="166" fontId="1" fillId="0" borderId="82" xfId="42" applyNumberFormat="1" applyFont="1" applyBorder="1" applyAlignment="1">
      <alignment vertical="center"/>
    </xf>
    <xf numFmtId="1" fontId="30" fillId="13" borderId="97" xfId="42" applyNumberFormat="1" applyFont="1" applyFill="1" applyBorder="1" applyAlignment="1"/>
    <xf numFmtId="1" fontId="39" fillId="13" borderId="97" xfId="42" applyNumberFormat="1" applyFont="1" applyFill="1" applyBorder="1" applyAlignment="1"/>
    <xf numFmtId="167" fontId="1" fillId="0" borderId="17" xfId="398" applyNumberFormat="1" applyFont="1" applyFill="1" applyBorder="1"/>
    <xf numFmtId="167" fontId="1" fillId="13" borderId="0" xfId="398" applyNumberFormat="1" applyFont="1" applyFill="1" applyBorder="1" applyAlignment="1">
      <alignment vertical="center"/>
    </xf>
    <xf numFmtId="167" fontId="1" fillId="0" borderId="30" xfId="398" applyNumberFormat="1" applyFont="1" applyBorder="1" applyAlignment="1">
      <alignment vertical="center"/>
    </xf>
    <xf numFmtId="0" fontId="43" fillId="0" borderId="0" xfId="42" applyFont="1" applyBorder="1"/>
    <xf numFmtId="168" fontId="43" fillId="0" borderId="0" xfId="42" applyNumberFormat="1" applyFont="1" applyBorder="1"/>
    <xf numFmtId="1" fontId="30" fillId="13" borderId="40" xfId="42" applyNumberFormat="1" applyFont="1" applyFill="1" applyBorder="1" applyAlignment="1"/>
    <xf numFmtId="1" fontId="39" fillId="13" borderId="40" xfId="42" applyNumberFormat="1" applyFont="1" applyFill="1" applyBorder="1" applyAlignment="1"/>
    <xf numFmtId="166" fontId="1" fillId="13" borderId="0" xfId="398" applyNumberFormat="1" applyFont="1" applyFill="1" applyBorder="1" applyAlignment="1"/>
    <xf numFmtId="166" fontId="1" fillId="0" borderId="30" xfId="398" applyNumberFormat="1" applyFont="1" applyBorder="1" applyAlignment="1"/>
    <xf numFmtId="0" fontId="1" fillId="0" borderId="0" xfId="42" applyFont="1" applyAlignment="1">
      <alignment horizontal="right" vertical="top"/>
    </xf>
    <xf numFmtId="166" fontId="1" fillId="0" borderId="76" xfId="42" applyNumberFormat="1" applyFont="1" applyBorder="1" applyAlignment="1"/>
    <xf numFmtId="166" fontId="1" fillId="15" borderId="0" xfId="42" applyNumberFormat="1" applyFont="1" applyFill="1" applyBorder="1" applyAlignment="1"/>
    <xf numFmtId="168" fontId="1" fillId="0" borderId="0" xfId="42" applyNumberFormat="1" applyFont="1" applyBorder="1" applyAlignment="1"/>
    <xf numFmtId="166" fontId="1" fillId="15" borderId="76" xfId="42" applyNumberFormat="1" applyFont="1" applyFill="1" applyBorder="1" applyAlignment="1"/>
    <xf numFmtId="2" fontId="39" fillId="11" borderId="80" xfId="42" applyNumberFormat="1" applyFont="1" applyFill="1" applyBorder="1" applyAlignment="1"/>
    <xf numFmtId="167" fontId="1" fillId="0" borderId="17" xfId="398" applyNumberFormat="1" applyFont="1" applyBorder="1" applyAlignment="1"/>
    <xf numFmtId="167" fontId="1" fillId="13" borderId="0" xfId="398" applyNumberFormat="1" applyFont="1" applyFill="1" applyBorder="1" applyAlignment="1"/>
    <xf numFmtId="167" fontId="1" fillId="0" borderId="30" xfId="398" applyNumberFormat="1" applyFont="1" applyBorder="1" applyAlignment="1"/>
    <xf numFmtId="167" fontId="1" fillId="0" borderId="40" xfId="398" applyNumberFormat="1" applyFont="1" applyBorder="1" applyAlignment="1"/>
    <xf numFmtId="167" fontId="39" fillId="0" borderId="40" xfId="398" applyNumberFormat="1" applyFont="1" applyBorder="1" applyAlignment="1"/>
    <xf numFmtId="1" fontId="1" fillId="0" borderId="71" xfId="42" applyNumberFormat="1" applyFont="1" applyBorder="1"/>
    <xf numFmtId="166" fontId="1" fillId="15" borderId="0" xfId="42" applyNumberFormat="1" applyFont="1" applyFill="1"/>
    <xf numFmtId="166" fontId="1" fillId="0" borderId="76" xfId="42" applyNumberFormat="1" applyFont="1" applyBorder="1"/>
    <xf numFmtId="2" fontId="1" fillId="0" borderId="82" xfId="42" applyNumberFormat="1" applyFont="1" applyBorder="1" applyAlignment="1"/>
    <xf numFmtId="0" fontId="0" fillId="0" borderId="0" xfId="0"/>
    <xf numFmtId="0" fontId="0" fillId="0" borderId="0" xfId="0"/>
    <xf numFmtId="0" fontId="0" fillId="44" borderId="62" xfId="42" applyFont="1" applyFill="1" applyBorder="1"/>
    <xf numFmtId="0" fontId="0" fillId="43" borderId="0" xfId="0" applyFill="1"/>
    <xf numFmtId="0" fontId="0" fillId="0" borderId="0" xfId="0"/>
    <xf numFmtId="179" fontId="28" fillId="0" borderId="0" xfId="42" applyNumberFormat="1" applyFont="1" applyBorder="1" applyAlignment="1"/>
    <xf numFmtId="179" fontId="28" fillId="19" borderId="0" xfId="42" applyNumberFormat="1" applyFont="1" applyFill="1" applyBorder="1" applyAlignment="1">
      <alignment horizontal="right"/>
    </xf>
    <xf numFmtId="0" fontId="0" fillId="0" borderId="0" xfId="0"/>
    <xf numFmtId="2" fontId="137" fillId="11" borderId="30" xfId="42" applyNumberFormat="1" applyFont="1" applyFill="1" applyBorder="1" applyAlignment="1"/>
    <xf numFmtId="179" fontId="28" fillId="15" borderId="76" xfId="42" applyNumberFormat="1" applyFont="1" applyFill="1" applyBorder="1" applyAlignment="1"/>
    <xf numFmtId="169" fontId="28" fillId="0" borderId="0" xfId="42" applyNumberFormat="1" applyFont="1" applyBorder="1" applyAlignment="1"/>
    <xf numFmtId="169" fontId="30" fillId="20" borderId="0" xfId="42" applyNumberFormat="1" applyFont="1" applyFill="1" applyBorder="1" applyAlignment="1"/>
    <xf numFmtId="179" fontId="40" fillId="20" borderId="0" xfId="42" applyNumberFormat="1" applyFont="1" applyFill="1" applyBorder="1" applyAlignment="1"/>
    <xf numFmtId="0" fontId="1" fillId="15" borderId="0" xfId="42" applyFont="1" applyFill="1" applyBorder="1" applyAlignment="1">
      <alignment horizontal="left"/>
    </xf>
    <xf numFmtId="0" fontId="0" fillId="0" borderId="0" xfId="0"/>
    <xf numFmtId="0" fontId="1" fillId="0" borderId="0" xfId="42" applyFont="1" applyAlignment="1">
      <alignment horizontal="center"/>
    </xf>
    <xf numFmtId="0" fontId="30" fillId="15" borderId="76" xfId="42" applyFont="1" applyFill="1" applyBorder="1" applyAlignment="1"/>
    <xf numFmtId="0" fontId="30" fillId="15" borderId="76" xfId="42" applyFont="1" applyFill="1" applyBorder="1" applyAlignment="1">
      <alignment horizontal="center"/>
    </xf>
    <xf numFmtId="14" fontId="1" fillId="0" borderId="76" xfId="42" applyNumberFormat="1" applyFont="1" applyBorder="1" applyAlignment="1"/>
    <xf numFmtId="166" fontId="1" fillId="0" borderId="76" xfId="42" applyNumberFormat="1" applyFont="1" applyBorder="1" applyAlignment="1">
      <alignment horizontal="center"/>
    </xf>
    <xf numFmtId="0" fontId="30" fillId="21" borderId="89" xfId="42" applyFont="1" applyFill="1" applyBorder="1" applyAlignment="1">
      <alignment horizontal="center"/>
    </xf>
    <xf numFmtId="14" fontId="1" fillId="0" borderId="80" xfId="42" applyNumberFormat="1" applyFont="1" applyBorder="1" applyAlignment="1"/>
    <xf numFmtId="166" fontId="1" fillId="0" borderId="80" xfId="42" applyNumberFormat="1" applyFont="1" applyBorder="1" applyAlignment="1">
      <alignment horizontal="center"/>
    </xf>
    <xf numFmtId="0" fontId="30" fillId="13" borderId="92" xfId="42" applyFont="1" applyFill="1" applyBorder="1" applyAlignment="1"/>
    <xf numFmtId="0" fontId="30" fillId="13" borderId="92" xfId="42" applyFont="1" applyFill="1" applyBorder="1" applyAlignment="1">
      <alignment horizontal="center"/>
    </xf>
    <xf numFmtId="14" fontId="1" fillId="0" borderId="92" xfId="42" applyNumberFormat="1" applyFont="1" applyBorder="1" applyAlignment="1"/>
    <xf numFmtId="166" fontId="1" fillId="0" borderId="92" xfId="42" applyNumberFormat="1" applyFont="1" applyBorder="1" applyAlignment="1">
      <alignment horizontal="center"/>
    </xf>
    <xf numFmtId="14" fontId="1" fillId="0" borderId="0" xfId="42" applyNumberFormat="1" applyFont="1" applyBorder="1" applyAlignment="1"/>
    <xf numFmtId="166" fontId="1" fillId="0" borderId="0" xfId="42" applyNumberFormat="1" applyFont="1" applyBorder="1" applyAlignment="1">
      <alignment horizontal="center"/>
    </xf>
    <xf numFmtId="0" fontId="1" fillId="0" borderId="30" xfId="42" applyFont="1" applyBorder="1" applyAlignment="1">
      <alignment horizontal="left"/>
    </xf>
    <xf numFmtId="0" fontId="1" fillId="0" borderId="0" xfId="42" applyFont="1" applyFill="1" applyBorder="1" applyAlignment="1">
      <alignment horizontal="left"/>
    </xf>
    <xf numFmtId="166" fontId="1" fillId="15" borderId="0" xfId="42" applyNumberFormat="1" applyFont="1" applyFill="1" applyBorder="1" applyAlignment="1">
      <alignment horizontal="center"/>
    </xf>
    <xf numFmtId="0" fontId="1" fillId="21" borderId="0" xfId="42" applyFont="1" applyFill="1" applyBorder="1" applyAlignment="1">
      <alignment horizontal="center"/>
    </xf>
    <xf numFmtId="2" fontId="1" fillId="0" borderId="0" xfId="42" applyNumberFormat="1" applyFont="1" applyBorder="1"/>
    <xf numFmtId="0" fontId="1" fillId="21" borderId="0" xfId="42" applyFont="1" applyFill="1" applyBorder="1"/>
    <xf numFmtId="2" fontId="30" fillId="11" borderId="80" xfId="42" applyNumberFormat="1" applyFont="1" applyFill="1" applyBorder="1" applyAlignment="1">
      <alignment horizontal="center"/>
    </xf>
    <xf numFmtId="1" fontId="1" fillId="15" borderId="0" xfId="42" applyNumberFormat="1" applyFont="1" applyFill="1" applyBorder="1" applyAlignment="1">
      <alignment horizontal="left"/>
    </xf>
    <xf numFmtId="14" fontId="1" fillId="0" borderId="99" xfId="42" applyNumberFormat="1" applyFont="1" applyBorder="1" applyAlignment="1"/>
    <xf numFmtId="166" fontId="1" fillId="0" borderId="99" xfId="42" applyNumberFormat="1" applyFont="1" applyBorder="1" applyAlignment="1">
      <alignment horizontal="center"/>
    </xf>
    <xf numFmtId="14" fontId="1" fillId="0" borderId="72" xfId="42" applyNumberFormat="1" applyFont="1" applyBorder="1" applyAlignment="1"/>
    <xf numFmtId="166" fontId="1" fillId="0" borderId="72" xfId="42" applyNumberFormat="1" applyFont="1" applyBorder="1" applyAlignment="1">
      <alignment horizontal="center"/>
    </xf>
    <xf numFmtId="0" fontId="1" fillId="0" borderId="77" xfId="42" applyFont="1" applyBorder="1" applyAlignment="1">
      <alignment horizontal="center"/>
    </xf>
    <xf numFmtId="0" fontId="1" fillId="0" borderId="82" xfId="42" applyFont="1" applyBorder="1"/>
    <xf numFmtId="0" fontId="1" fillId="0" borderId="82" xfId="42" applyFont="1" applyBorder="1" applyAlignment="1">
      <alignment horizontal="center"/>
    </xf>
    <xf numFmtId="0" fontId="1" fillId="0" borderId="4" xfId="42" applyFont="1" applyBorder="1" applyAlignment="1">
      <alignment horizontal="left"/>
    </xf>
    <xf numFmtId="166" fontId="1" fillId="0" borderId="0" xfId="0" applyNumberFormat="1" applyFont="1" applyFill="1"/>
    <xf numFmtId="166" fontId="159" fillId="0" borderId="71" xfId="42" applyNumberFormat="1" applyFont="1" applyFill="1" applyBorder="1" applyAlignment="1">
      <alignment horizontal="right"/>
    </xf>
    <xf numFmtId="0" fontId="161" fillId="43" borderId="0" xfId="0" applyFont="1" applyFill="1"/>
    <xf numFmtId="0" fontId="0" fillId="0" borderId="0" xfId="0"/>
    <xf numFmtId="0" fontId="0" fillId="0" borderId="0" xfId="0"/>
    <xf numFmtId="0" fontId="0" fillId="0" borderId="0" xfId="0"/>
    <xf numFmtId="166" fontId="1" fillId="0" borderId="92" xfId="42" applyNumberFormat="1" applyFont="1" applyBorder="1" applyAlignment="1"/>
    <xf numFmtId="0" fontId="1" fillId="0" borderId="0" xfId="0" applyFont="1"/>
    <xf numFmtId="0" fontId="0" fillId="45" borderId="0" xfId="0" applyFill="1"/>
    <xf numFmtId="1" fontId="1" fillId="0" borderId="76" xfId="42" applyNumberFormat="1" applyFont="1" applyFill="1" applyBorder="1" applyAlignment="1">
      <alignment horizontal="center"/>
    </xf>
    <xf numFmtId="2" fontId="49" fillId="0" borderId="0" xfId="42" applyNumberFormat="1" applyFont="1" applyFill="1" applyBorder="1" applyAlignment="1"/>
    <xf numFmtId="0" fontId="0" fillId="0" borderId="0" xfId="0" applyBorder="1"/>
    <xf numFmtId="0" fontId="0" fillId="0" borderId="0" xfId="0"/>
    <xf numFmtId="0" fontId="0" fillId="46" borderId="0" xfId="0" applyFill="1"/>
    <xf numFmtId="0" fontId="1" fillId="45" borderId="0" xfId="0" applyFont="1" applyFill="1"/>
    <xf numFmtId="0" fontId="138" fillId="0" borderId="0" xfId="0" applyFont="1" applyFill="1"/>
    <xf numFmtId="0" fontId="49" fillId="0" borderId="0" xfId="0" applyFont="1"/>
    <xf numFmtId="0" fontId="0" fillId="0" borderId="0" xfId="0"/>
    <xf numFmtId="0" fontId="34" fillId="0" borderId="0" xfId="42" applyFont="1" applyFill="1"/>
    <xf numFmtId="1" fontId="1" fillId="0" borderId="0" xfId="42" applyNumberFormat="1" applyFont="1" applyAlignment="1">
      <alignment horizontal="center"/>
    </xf>
    <xf numFmtId="167" fontId="1" fillId="0" borderId="0" xfId="398" applyNumberFormat="1" applyFont="1"/>
    <xf numFmtId="166" fontId="39" fillId="0" borderId="0" xfId="42" applyNumberFormat="1" applyFont="1" applyAlignment="1"/>
    <xf numFmtId="0" fontId="1" fillId="47" borderId="0" xfId="0" applyFont="1" applyFill="1"/>
    <xf numFmtId="2" fontId="159" fillId="11" borderId="78" xfId="42" applyNumberFormat="1" applyFont="1" applyFill="1" applyBorder="1" applyAlignment="1" applyProtection="1">
      <alignment horizontal="right"/>
      <protection locked="0"/>
    </xf>
    <xf numFmtId="2" fontId="159" fillId="11" borderId="0" xfId="42" applyNumberFormat="1" applyFont="1" applyFill="1" applyBorder="1" applyAlignment="1"/>
    <xf numFmtId="0" fontId="162" fillId="45" borderId="0" xfId="0" applyFont="1" applyFill="1"/>
    <xf numFmtId="2" fontId="159" fillId="21" borderId="0" xfId="42" applyNumberFormat="1" applyFont="1" applyFill="1" applyBorder="1"/>
    <xf numFmtId="166" fontId="159" fillId="12" borderId="37" xfId="42" applyNumberFormat="1" applyFont="1" applyFill="1" applyBorder="1" applyProtection="1"/>
    <xf numFmtId="166" fontId="159" fillId="12" borderId="37" xfId="42" applyNumberFormat="1" applyFont="1" applyFill="1" applyBorder="1" applyAlignment="1" applyProtection="1">
      <alignment horizontal="right"/>
    </xf>
    <xf numFmtId="166" fontId="159" fillId="12" borderId="32" xfId="42" applyNumberFormat="1" applyFont="1" applyFill="1" applyBorder="1" applyAlignment="1" applyProtection="1">
      <alignment horizontal="right"/>
    </xf>
    <xf numFmtId="166" fontId="34" fillId="46" borderId="25" xfId="42" applyNumberFormat="1" applyFont="1" applyFill="1" applyBorder="1" applyProtection="1"/>
    <xf numFmtId="166" fontId="34" fillId="46" borderId="27" xfId="42" applyNumberFormat="1" applyFont="1" applyFill="1" applyBorder="1" applyProtection="1"/>
    <xf numFmtId="166" fontId="34" fillId="43" borderId="27" xfId="42" applyNumberFormat="1" applyFont="1" applyFill="1" applyBorder="1" applyProtection="1"/>
    <xf numFmtId="166" fontId="34" fillId="43" borderId="46" xfId="42" applyNumberFormat="1" applyFont="1" applyFill="1" applyBorder="1" applyProtection="1"/>
    <xf numFmtId="2" fontId="32" fillId="0" borderId="80" xfId="42" applyNumberFormat="1" applyFont="1" applyFill="1" applyBorder="1" applyAlignment="1"/>
    <xf numFmtId="0" fontId="32" fillId="0" borderId="0" xfId="42" applyFont="1" applyFill="1"/>
    <xf numFmtId="0" fontId="0" fillId="0" borderId="0" xfId="0"/>
    <xf numFmtId="2" fontId="1" fillId="0" borderId="76" xfId="42" applyNumberFormat="1" applyFont="1" applyBorder="1" applyAlignment="1"/>
    <xf numFmtId="168" fontId="39" fillId="0" borderId="0" xfId="42" applyNumberFormat="1" applyFont="1" applyAlignment="1"/>
    <xf numFmtId="2" fontId="32" fillId="15" borderId="76" xfId="42" applyNumberFormat="1" applyFont="1" applyFill="1" applyBorder="1" applyAlignment="1"/>
    <xf numFmtId="2" fontId="32" fillId="0" borderId="76" xfId="42" applyNumberFormat="1" applyFont="1" applyBorder="1" applyAlignment="1"/>
    <xf numFmtId="168" fontId="40" fillId="20" borderId="0" xfId="42" applyNumberFormat="1" applyFont="1" applyFill="1" applyBorder="1" applyAlignment="1"/>
    <xf numFmtId="2" fontId="39" fillId="21" borderId="0" xfId="42" applyNumberFormat="1" applyFont="1" applyFill="1" applyBorder="1" applyAlignment="1"/>
    <xf numFmtId="169" fontId="28" fillId="0" borderId="76" xfId="42" applyNumberFormat="1" applyFont="1" applyBorder="1" applyAlignment="1"/>
    <xf numFmtId="169" fontId="138" fillId="0" borderId="76" xfId="42" applyNumberFormat="1" applyFont="1" applyFill="1" applyBorder="1" applyAlignment="1"/>
    <xf numFmtId="166" fontId="34" fillId="0" borderId="0" xfId="42" applyNumberFormat="1" applyFont="1" applyBorder="1"/>
    <xf numFmtId="168" fontId="34" fillId="0" borderId="0" xfId="398" applyNumberFormat="1" applyFont="1" applyAlignment="1"/>
    <xf numFmtId="169" fontId="52" fillId="19" borderId="0" xfId="42" applyNumberFormat="1" applyFont="1" applyFill="1" applyBorder="1" applyAlignment="1">
      <alignment horizontal="right"/>
    </xf>
    <xf numFmtId="168" fontId="138" fillId="0" borderId="76" xfId="42" applyNumberFormat="1" applyFont="1" applyFill="1" applyBorder="1" applyAlignment="1"/>
    <xf numFmtId="168" fontId="136" fillId="40" borderId="76" xfId="42" applyNumberFormat="1" applyFont="1" applyFill="1" applyBorder="1" applyAlignment="1"/>
    <xf numFmtId="179" fontId="32" fillId="15" borderId="0" xfId="42" applyNumberFormat="1" applyFont="1" applyFill="1" applyBorder="1" applyAlignment="1"/>
    <xf numFmtId="169" fontId="159" fillId="20" borderId="0" xfId="42" applyNumberFormat="1" applyFont="1" applyFill="1" applyBorder="1" applyAlignment="1"/>
    <xf numFmtId="168" fontId="34" fillId="15" borderId="0" xfId="42" applyNumberFormat="1" applyFont="1" applyFill="1" applyBorder="1"/>
    <xf numFmtId="168" fontId="0" fillId="0" borderId="0" xfId="0" applyNumberFormat="1"/>
    <xf numFmtId="168" fontId="34" fillId="20" borderId="0" xfId="42" applyNumberFormat="1" applyFont="1" applyFill="1"/>
    <xf numFmtId="0" fontId="0" fillId="0" borderId="0" xfId="0"/>
    <xf numFmtId="2" fontId="91" fillId="21" borderId="68" xfId="42" applyNumberFormat="1" applyFont="1" applyFill="1" applyBorder="1" applyAlignment="1">
      <alignment horizontal="right"/>
    </xf>
    <xf numFmtId="2" fontId="55" fillId="19" borderId="0" xfId="42" applyNumberFormat="1" applyFont="1" applyFill="1" applyBorder="1" applyAlignment="1">
      <alignment horizontal="right"/>
    </xf>
    <xf numFmtId="168" fontId="34" fillId="15" borderId="0" xfId="42" applyNumberFormat="1" applyFont="1" applyFill="1" applyBorder="1" applyAlignment="1"/>
    <xf numFmtId="168" fontId="28" fillId="21" borderId="104" xfId="42" applyNumberFormat="1" applyFont="1" applyFill="1" applyBorder="1" applyAlignment="1">
      <alignment horizontal="right"/>
    </xf>
    <xf numFmtId="168" fontId="0" fillId="21" borderId="68" xfId="42" applyNumberFormat="1" applyFont="1" applyFill="1" applyBorder="1" applyAlignment="1">
      <alignment horizontal="right"/>
    </xf>
    <xf numFmtId="168" fontId="0" fillId="21" borderId="103" xfId="42" applyNumberFormat="1" applyFont="1" applyFill="1" applyBorder="1" applyAlignment="1">
      <alignment horizontal="right"/>
    </xf>
    <xf numFmtId="168" fontId="28" fillId="0" borderId="80" xfId="42" applyNumberFormat="1" applyFont="1" applyFill="1" applyBorder="1" applyAlignment="1"/>
    <xf numFmtId="168" fontId="28" fillId="0" borderId="0" xfId="42" applyNumberFormat="1" applyFont="1" applyFill="1" applyBorder="1" applyAlignment="1"/>
    <xf numFmtId="168" fontId="28" fillId="0" borderId="82" xfId="42" applyNumberFormat="1" applyFont="1" applyFill="1" applyBorder="1" applyAlignment="1"/>
    <xf numFmtId="168" fontId="28" fillId="21" borderId="0" xfId="42" applyNumberFormat="1" applyFont="1" applyFill="1" applyBorder="1" applyAlignment="1"/>
    <xf numFmtId="168" fontId="28" fillId="19" borderId="75" xfId="42" applyNumberFormat="1" applyFont="1" applyFill="1" applyBorder="1" applyAlignment="1">
      <alignment horizontal="right"/>
    </xf>
    <xf numFmtId="169" fontId="34" fillId="15" borderId="0" xfId="42" applyNumberFormat="1" applyFont="1" applyFill="1" applyBorder="1" applyAlignment="1"/>
    <xf numFmtId="169" fontId="0" fillId="0" borderId="71" xfId="42" applyNumberFormat="1" applyFont="1" applyBorder="1"/>
    <xf numFmtId="0" fontId="34" fillId="0" borderId="0" xfId="42" applyFont="1" applyFill="1" applyAlignment="1"/>
    <xf numFmtId="168" fontId="32" fillId="11" borderId="80" xfId="42" applyNumberFormat="1" applyFont="1" applyFill="1" applyBorder="1" applyAlignment="1"/>
    <xf numFmtId="168" fontId="32" fillId="20" borderId="76" xfId="42" applyNumberFormat="1" applyFont="1" applyFill="1" applyBorder="1"/>
    <xf numFmtId="168" fontId="32" fillId="20" borderId="0" xfId="42" applyNumberFormat="1" applyFont="1" applyFill="1" applyBorder="1"/>
    <xf numFmtId="168" fontId="32" fillId="20" borderId="71" xfId="42" applyNumberFormat="1" applyFont="1" applyFill="1" applyBorder="1"/>
    <xf numFmtId="186" fontId="43" fillId="19" borderId="0" xfId="398" applyNumberFormat="1" applyFont="1" applyFill="1" applyBorder="1"/>
    <xf numFmtId="190" fontId="32" fillId="0" borderId="0" xfId="42" applyNumberFormat="1" applyFont="1"/>
    <xf numFmtId="169" fontId="67" fillId="21" borderId="125" xfId="42" applyNumberFormat="1" applyFont="1" applyFill="1" applyBorder="1" applyAlignment="1"/>
    <xf numFmtId="169" fontId="67" fillId="21" borderId="126" xfId="42" applyNumberFormat="1" applyFont="1" applyFill="1" applyBorder="1" applyAlignment="1">
      <alignment horizontal="right"/>
    </xf>
    <xf numFmtId="168" fontId="40" fillId="15" borderId="0" xfId="42" applyNumberFormat="1" applyFont="1" applyFill="1" applyBorder="1" applyAlignment="1"/>
    <xf numFmtId="168" fontId="0" fillId="15" borderId="0" xfId="42" applyNumberFormat="1" applyFont="1" applyFill="1"/>
    <xf numFmtId="168" fontId="91" fillId="15" borderId="0" xfId="42" applyNumberFormat="1" applyFont="1" applyFill="1" applyBorder="1" applyAlignment="1">
      <alignment horizontal="right"/>
    </xf>
    <xf numFmtId="168" fontId="55" fillId="19" borderId="0" xfId="42" applyNumberFormat="1" applyFont="1" applyFill="1" applyBorder="1" applyAlignment="1">
      <alignment horizontal="right"/>
    </xf>
    <xf numFmtId="0" fontId="0" fillId="0" borderId="0" xfId="0"/>
    <xf numFmtId="2" fontId="32" fillId="0" borderId="0" xfId="42" applyNumberFormat="1" applyFont="1" applyFill="1" applyBorder="1" applyAlignment="1"/>
    <xf numFmtId="0" fontId="0" fillId="48" borderId="0" xfId="0" applyFill="1"/>
    <xf numFmtId="169" fontId="40" fillId="20" borderId="0" xfId="42" applyNumberFormat="1" applyFont="1" applyFill="1" applyBorder="1" applyAlignment="1"/>
    <xf numFmtId="179" fontId="29" fillId="16" borderId="71" xfId="42" applyNumberFormat="1" applyFont="1" applyFill="1" applyBorder="1" applyAlignment="1" applyProtection="1">
      <alignment horizontal="center" wrapText="1"/>
    </xf>
    <xf numFmtId="169" fontId="13" fillId="12" borderId="27" xfId="42" applyNumberFormat="1" applyFont="1" applyFill="1" applyBorder="1" applyAlignment="1" applyProtection="1">
      <alignment horizontal="right"/>
    </xf>
    <xf numFmtId="164" fontId="141" fillId="16" borderId="76" xfId="492" applyFont="1" applyFill="1" applyBorder="1" applyAlignment="1">
      <alignment horizontal="right"/>
    </xf>
    <xf numFmtId="164" fontId="28" fillId="19" borderId="75" xfId="492" applyFont="1" applyFill="1" applyBorder="1" applyAlignment="1">
      <alignment horizontal="right"/>
    </xf>
    <xf numFmtId="168" fontId="28" fillId="21" borderId="0" xfId="42" applyNumberFormat="1" applyFont="1" applyFill="1" applyBorder="1"/>
    <xf numFmtId="2" fontId="138" fillId="19" borderId="75" xfId="42" applyNumberFormat="1" applyFont="1" applyFill="1" applyBorder="1" applyAlignment="1">
      <alignment horizontal="right"/>
    </xf>
    <xf numFmtId="168" fontId="67" fillId="21" borderId="125" xfId="42" applyNumberFormat="1" applyFont="1" applyFill="1" applyBorder="1" applyAlignment="1"/>
    <xf numFmtId="168" fontId="67" fillId="21" borderId="126" xfId="42" applyNumberFormat="1" applyFont="1" applyFill="1" applyBorder="1" applyAlignment="1">
      <alignment horizontal="right"/>
    </xf>
    <xf numFmtId="0" fontId="67" fillId="45" borderId="0" xfId="42" applyFont="1" applyFill="1"/>
    <xf numFmtId="166" fontId="30" fillId="16" borderId="0" xfId="42" applyNumberFormat="1" applyFont="1" applyFill="1" applyBorder="1" applyAlignment="1">
      <alignment horizontal="right"/>
    </xf>
    <xf numFmtId="168" fontId="34" fillId="0" borderId="0" xfId="398" applyNumberFormat="1" applyFont="1" applyFill="1" applyAlignment="1"/>
    <xf numFmtId="166" fontId="13" fillId="12" borderId="0" xfId="42" applyNumberFormat="1" applyFont="1" applyFill="1" applyBorder="1" applyAlignment="1" applyProtection="1">
      <alignment horizontal="right"/>
    </xf>
    <xf numFmtId="168" fontId="28" fillId="0" borderId="76" xfId="42" applyNumberFormat="1" applyFont="1" applyBorder="1" applyAlignment="1"/>
    <xf numFmtId="0" fontId="40" fillId="45" borderId="0" xfId="42" applyFont="1" applyFill="1" applyAlignment="1"/>
    <xf numFmtId="0" fontId="0" fillId="0" borderId="0" xfId="0"/>
    <xf numFmtId="2" fontId="0" fillId="21" borderId="0" xfId="42" applyNumberFormat="1" applyFont="1" applyFill="1"/>
    <xf numFmtId="0" fontId="0" fillId="0" borderId="0" xfId="0" applyAlignment="1"/>
    <xf numFmtId="0" fontId="1" fillId="0" borderId="0" xfId="0" applyFont="1"/>
    <xf numFmtId="0" fontId="0" fillId="0" borderId="0" xfId="0"/>
    <xf numFmtId="0" fontId="0" fillId="0" borderId="0" xfId="0"/>
    <xf numFmtId="0" fontId="0" fillId="0" borderId="3" xfId="0" applyBorder="1" applyAlignment="1">
      <alignment vertical="top" wrapText="1"/>
    </xf>
    <xf numFmtId="1" fontId="29" fillId="16" borderId="148" xfId="42" applyNumberFormat="1" applyFont="1" applyFill="1" applyBorder="1" applyAlignment="1" applyProtection="1">
      <alignment horizontal="center" vertical="center"/>
    </xf>
    <xf numFmtId="1" fontId="29" fillId="16" borderId="149" xfId="42" applyNumberFormat="1" applyFont="1" applyFill="1" applyBorder="1" applyAlignment="1" applyProtection="1">
      <alignment horizontal="center" vertical="center"/>
    </xf>
    <xf numFmtId="1" fontId="29" fillId="16" borderId="150" xfId="42" applyNumberFormat="1" applyFont="1" applyFill="1" applyBorder="1" applyAlignment="1" applyProtection="1">
      <alignment horizontal="center" vertical="center"/>
    </xf>
    <xf numFmtId="0" fontId="29" fillId="16" borderId="143" xfId="43" applyFont="1" applyFill="1" applyBorder="1" applyAlignment="1">
      <alignment horizontal="center" vertical="center"/>
    </xf>
    <xf numFmtId="0" fontId="29" fillId="16" borderId="144" xfId="43" applyFont="1" applyFill="1" applyBorder="1" applyAlignment="1">
      <alignment horizontal="center" vertical="center"/>
    </xf>
    <xf numFmtId="1" fontId="29" fillId="16" borderId="145" xfId="43" applyNumberFormat="1" applyFont="1" applyFill="1" applyBorder="1" applyAlignment="1" applyProtection="1">
      <alignment horizontal="center" vertical="center"/>
    </xf>
    <xf numFmtId="1" fontId="29" fillId="16" borderId="146" xfId="43" applyNumberFormat="1" applyFont="1" applyFill="1" applyBorder="1" applyAlignment="1" applyProtection="1">
      <alignment horizontal="center" vertical="center"/>
    </xf>
    <xf numFmtId="1" fontId="29" fillId="16" borderId="147" xfId="43" applyNumberFormat="1" applyFont="1" applyFill="1" applyBorder="1" applyAlignment="1" applyProtection="1">
      <alignment horizontal="center" vertical="center"/>
    </xf>
    <xf numFmtId="1" fontId="30" fillId="13" borderId="41" xfId="42" applyNumberFormat="1" applyFont="1" applyFill="1" applyBorder="1" applyAlignment="1" applyProtection="1">
      <alignment horizontal="center" vertical="center"/>
    </xf>
    <xf numFmtId="0" fontId="1" fillId="0" borderId="0" xfId="0" applyFont="1"/>
    <xf numFmtId="1" fontId="29" fillId="16" borderId="151" xfId="42" applyNumberFormat="1" applyFont="1" applyFill="1" applyBorder="1" applyAlignment="1" applyProtection="1">
      <alignment horizontal="center" vertical="center"/>
    </xf>
    <xf numFmtId="0" fontId="29" fillId="16" borderId="152" xfId="42" applyFont="1" applyFill="1" applyBorder="1" applyAlignment="1" applyProtection="1">
      <alignment horizontal="center" vertical="center"/>
    </xf>
    <xf numFmtId="0" fontId="29" fillId="16" borderId="153" xfId="42" applyFont="1" applyFill="1" applyBorder="1" applyAlignment="1" applyProtection="1">
      <alignment horizontal="center" vertical="center"/>
    </xf>
    <xf numFmtId="1" fontId="66" fillId="16" borderId="0" xfId="42" applyNumberFormat="1" applyFont="1" applyFill="1" applyBorder="1" applyAlignment="1" applyProtection="1">
      <alignment horizontal="center" vertical="center"/>
    </xf>
    <xf numFmtId="1" fontId="160" fillId="39" borderId="0" xfId="42" applyNumberFormat="1" applyFont="1" applyFill="1" applyBorder="1" applyAlignment="1" applyProtection="1">
      <alignment horizontal="center" vertical="center"/>
    </xf>
    <xf numFmtId="1" fontId="160" fillId="16" borderId="0" xfId="42" applyNumberFormat="1" applyFont="1" applyFill="1" applyBorder="1" applyAlignment="1" applyProtection="1">
      <alignment horizontal="center" vertical="center"/>
    </xf>
    <xf numFmtId="0" fontId="0" fillId="0" borderId="21" xfId="0" applyBorder="1"/>
    <xf numFmtId="1" fontId="29" fillId="16" borderId="154" xfId="42" applyNumberFormat="1" applyFont="1" applyFill="1" applyBorder="1" applyAlignment="1" applyProtection="1">
      <alignment horizontal="center" vertical="center"/>
    </xf>
    <xf numFmtId="0" fontId="29" fillId="16" borderId="155" xfId="42" applyFont="1" applyFill="1" applyBorder="1" applyAlignment="1" applyProtection="1">
      <alignment horizontal="center" vertical="center"/>
    </xf>
    <xf numFmtId="0" fontId="29" fillId="16" borderId="156" xfId="42" applyFont="1" applyFill="1" applyBorder="1" applyAlignment="1" applyProtection="1">
      <alignment horizontal="center" vertical="center"/>
    </xf>
    <xf numFmtId="0" fontId="29" fillId="16" borderId="157" xfId="42" applyFont="1" applyFill="1" applyBorder="1" applyAlignment="1" applyProtection="1">
      <alignment horizontal="center" vertical="center"/>
    </xf>
    <xf numFmtId="0" fontId="29" fillId="16" borderId="158" xfId="42" applyFont="1" applyFill="1" applyBorder="1" applyAlignment="1" applyProtection="1">
      <alignment horizontal="center" vertical="center"/>
    </xf>
    <xf numFmtId="0" fontId="29" fillId="16" borderId="159" xfId="42" applyFont="1" applyFill="1" applyBorder="1" applyAlignment="1" applyProtection="1">
      <alignment horizontal="center" vertical="center"/>
    </xf>
    <xf numFmtId="0" fontId="29" fillId="16" borderId="154" xfId="42" applyFont="1" applyFill="1" applyBorder="1" applyAlignment="1" applyProtection="1">
      <alignment horizontal="center" vertical="center"/>
    </xf>
    <xf numFmtId="14" fontId="29" fillId="16" borderId="76" xfId="42" applyNumberFormat="1" applyFont="1" applyFill="1" applyBorder="1" applyAlignment="1" applyProtection="1">
      <alignment horizontal="left" vertical="center" wrapText="1"/>
    </xf>
    <xf numFmtId="9" fontId="30" fillId="0" borderId="77" xfId="398" applyFont="1" applyFill="1" applyBorder="1" applyAlignment="1" applyProtection="1">
      <alignment horizontal="left" vertical="center" wrapText="1"/>
    </xf>
    <xf numFmtId="9" fontId="30" fillId="0" borderId="71" xfId="398" applyFont="1" applyFill="1" applyBorder="1" applyAlignment="1" applyProtection="1">
      <alignment horizontal="left" vertical="center" wrapText="1"/>
    </xf>
    <xf numFmtId="14" fontId="1" fillId="0" borderId="0" xfId="42" applyNumberFormat="1" applyFont="1" applyFill="1" applyBorder="1" applyAlignment="1" applyProtection="1">
      <alignment horizontal="left" vertical="center" wrapText="1"/>
    </xf>
    <xf numFmtId="14" fontId="1" fillId="0" borderId="68" xfId="42" applyNumberFormat="1" applyFont="1" applyFill="1" applyBorder="1" applyAlignment="1" applyProtection="1">
      <alignment horizontal="left" vertical="center" wrapText="1"/>
    </xf>
    <xf numFmtId="14" fontId="1" fillId="0" borderId="71" xfId="42" applyNumberFormat="1" applyFont="1" applyFill="1" applyBorder="1" applyAlignment="1" applyProtection="1">
      <alignment horizontal="left" vertical="center" wrapText="1"/>
    </xf>
    <xf numFmtId="14" fontId="1" fillId="0" borderId="103" xfId="42" applyNumberFormat="1" applyFont="1" applyFill="1" applyBorder="1" applyAlignment="1" applyProtection="1">
      <alignment horizontal="left" vertical="center" wrapText="1"/>
    </xf>
    <xf numFmtId="14" fontId="30" fillId="20" borderId="0" xfId="42" applyNumberFormat="1" applyFont="1" applyFill="1" applyBorder="1" applyAlignment="1" applyProtection="1">
      <alignment horizontal="left" vertical="center" wrapText="1"/>
    </xf>
    <xf numFmtId="14" fontId="30" fillId="20" borderId="68" xfId="42" applyNumberFormat="1" applyFont="1" applyFill="1" applyBorder="1" applyAlignment="1" applyProtection="1">
      <alignment horizontal="left" vertical="center" wrapText="1"/>
    </xf>
    <xf numFmtId="14" fontId="1" fillId="0" borderId="76" xfId="42" applyNumberFormat="1" applyFont="1" applyFill="1" applyBorder="1" applyAlignment="1" applyProtection="1">
      <alignment horizontal="left" vertical="center" wrapText="1"/>
    </xf>
    <xf numFmtId="14" fontId="1" fillId="0" borderId="104" xfId="42" applyNumberFormat="1" applyFont="1" applyFill="1" applyBorder="1" applyAlignment="1" applyProtection="1">
      <alignment horizontal="left" vertical="center" wrapText="1"/>
    </xf>
    <xf numFmtId="0" fontId="30" fillId="0" borderId="0" xfId="0" applyFont="1" applyAlignment="1">
      <alignment horizontal="left" vertical="center" wrapText="1"/>
    </xf>
    <xf numFmtId="14" fontId="0" fillId="0" borderId="0" xfId="0" applyNumberFormat="1"/>
  </cellXfs>
  <cellStyles count="493">
    <cellStyle name="_D 52-54" xfId="1"/>
    <cellStyle name="_D 52-54 2" xfId="2"/>
    <cellStyle name="_D 52-54_Transfermatrix" xfId="3"/>
    <cellStyle name="_D 52-54_Transfermatrix 2" xfId="4"/>
    <cellStyle name="_D 52-54_Transfermatrix_1" xfId="5"/>
    <cellStyle name="_D 52-54_Transfermatrix_1 2" xfId="6"/>
    <cellStyle name="_Transfermatrix" xfId="7"/>
    <cellStyle name="_Transfermatrix 2" xfId="8"/>
    <cellStyle name="_Transfermatrix_1" xfId="9"/>
    <cellStyle name="_Transfermatrix_1 2" xfId="10"/>
    <cellStyle name="annee semestre" xfId="11"/>
    <cellStyle name="Årtal" xfId="12"/>
    <cellStyle name="Celkem" xfId="13"/>
    <cellStyle name="Comma" xfId="492" builtinId="3"/>
    <cellStyle name="Comma 2" xfId="14"/>
    <cellStyle name="Comma 3" xfId="15"/>
    <cellStyle name="controle variabele" xfId="16"/>
    <cellStyle name="database" xfId="17"/>
    <cellStyle name="Datum" xfId="18"/>
    <cellStyle name="Datum 2" xfId="19"/>
    <cellStyle name="Dezimal [2]" xfId="20"/>
    <cellStyle name="Dezimal [2] 2" xfId="21"/>
    <cellStyle name="données" xfId="22"/>
    <cellStyle name="données­border" xfId="23"/>
    <cellStyle name="exogeen percentage" xfId="24"/>
    <cellStyle name="exogene waarde" xfId="25"/>
    <cellStyle name="Fetrubrik" xfId="26"/>
    <cellStyle name="Finanční0" xfId="27"/>
    <cellStyle name="Följde hyperlänken_FinPolDia" xfId="28"/>
    <cellStyle name="Gul" xfId="29"/>
    <cellStyle name="High" xfId="30"/>
    <cellStyle name="Hyperlänk_Alla textsiffror OH U" xfId="31"/>
    <cellStyle name="Hyperlink" xfId="32" builtinId="8"/>
    <cellStyle name="Hyperlink 2" xfId="33"/>
    <cellStyle name="Hyperlink 2 2" xfId="34"/>
    <cellStyle name="Įprastas 5" xfId="35"/>
    <cellStyle name="Įprastas 7" xfId="36"/>
    <cellStyle name="Komma0" xfId="37"/>
    <cellStyle name="Koptekst 1" xfId="38"/>
    <cellStyle name="Koptekst 2" xfId="39"/>
    <cellStyle name="Low" xfId="40"/>
    <cellStyle name="Měna0" xfId="41"/>
    <cellStyle name="Motif" xfId="42"/>
    <cellStyle name="Motif 2" xfId="43"/>
    <cellStyle name="naam van variabele" xfId="44"/>
    <cellStyle name="Normal" xfId="0" builtinId="0"/>
    <cellStyle name="Normal 10" xfId="45"/>
    <cellStyle name="Normal 10 2" xfId="46"/>
    <cellStyle name="Normal 10 3" xfId="47"/>
    <cellStyle name="Normal 10 3 2" xfId="48"/>
    <cellStyle name="Normal 10 3 2 2" xfId="49"/>
    <cellStyle name="Normal 10 3 2 2 2" xfId="50"/>
    <cellStyle name="Normal 10 3 2 2 2 2" xfId="51"/>
    <cellStyle name="Normal 10 3 2 2 2 2 2" xfId="52"/>
    <cellStyle name="Normal 10 3 2 2 2 2 3" xfId="53"/>
    <cellStyle name="Normal 10 3 2 2 2 2 4" xfId="54"/>
    <cellStyle name="Normal 10 3 2 2 2 2 5" xfId="55"/>
    <cellStyle name="Normal 10 3 2 2 2 2 6" xfId="56"/>
    <cellStyle name="Normal 10 3 2 2 2 2 7" xfId="57"/>
    <cellStyle name="Normal 10 3 2 2 2 2 8" xfId="58"/>
    <cellStyle name="Normal 10 3 2 2 2 2 9" xfId="59"/>
    <cellStyle name="Normal 11" xfId="60"/>
    <cellStyle name="Normal 12" xfId="61"/>
    <cellStyle name="Normal 13" xfId="62"/>
    <cellStyle name="Normal 14" xfId="63"/>
    <cellStyle name="Normal 15" xfId="64"/>
    <cellStyle name="Normal 16" xfId="491"/>
    <cellStyle name="Normal 2" xfId="65"/>
    <cellStyle name="Normal 2 10" xfId="66"/>
    <cellStyle name="Normal 2 11" xfId="67"/>
    <cellStyle name="Normal 2 12" xfId="68"/>
    <cellStyle name="Normal 2 13" xfId="69"/>
    <cellStyle name="Normal 2 14" xfId="70"/>
    <cellStyle name="Normal 2 15" xfId="71"/>
    <cellStyle name="Normal 2 2" xfId="72"/>
    <cellStyle name="Normal 2 2 10" xfId="73"/>
    <cellStyle name="Normal 2 2 11" xfId="74"/>
    <cellStyle name="Normal 2 2 2" xfId="75"/>
    <cellStyle name="Normal 2 2 2 2" xfId="76"/>
    <cellStyle name="Normal 2 2 2 2 2" xfId="77"/>
    <cellStyle name="Normal 2 2 2 3" xfId="78"/>
    <cellStyle name="Normal 2 2 2 4" xfId="79"/>
    <cellStyle name="Normal 2 2 2 5" xfId="80"/>
    <cellStyle name="Normal 2 2 2 6" xfId="81"/>
    <cellStyle name="Normal 2 2 2 7" xfId="82"/>
    <cellStyle name="Normal 2 2 2 8" xfId="83"/>
    <cellStyle name="Normal 2 2 3" xfId="84"/>
    <cellStyle name="Normal 2 2 4" xfId="85"/>
    <cellStyle name="Normal 2 2 5" xfId="86"/>
    <cellStyle name="Normal 2 2 6" xfId="87"/>
    <cellStyle name="Normal 2 2 7" xfId="88"/>
    <cellStyle name="Normal 2 2 8" xfId="89"/>
    <cellStyle name="Normal 2 2 9" xfId="90"/>
    <cellStyle name="Normal 2 3" xfId="91"/>
    <cellStyle name="Normal 2 3 2" xfId="92"/>
    <cellStyle name="Normal 2 3 2 2" xfId="93"/>
    <cellStyle name="Normal 2 3 2 3" xfId="94"/>
    <cellStyle name="Normal 2 3 2 4" xfId="95"/>
    <cellStyle name="Normal 2 3 2 5" xfId="96"/>
    <cellStyle name="Normal 2 3 2 6" xfId="97"/>
    <cellStyle name="Normal 2 3 2 7" xfId="98"/>
    <cellStyle name="Normal 2 3 2 8" xfId="99"/>
    <cellStyle name="Normal 2 3 3" xfId="100"/>
    <cellStyle name="Normal 2 3 3 2" xfId="101"/>
    <cellStyle name="Normal 2 3 3 3" xfId="102"/>
    <cellStyle name="Normal 2 3 3 4" xfId="103"/>
    <cellStyle name="Normal 2 3 3 5" xfId="104"/>
    <cellStyle name="Normal 2 3 3 6" xfId="105"/>
    <cellStyle name="Normal 2 3 3 7" xfId="106"/>
    <cellStyle name="Normal 2 3 4" xfId="107"/>
    <cellStyle name="Normal 2 3 5" xfId="108"/>
    <cellStyle name="Normal 2 3 6" xfId="109"/>
    <cellStyle name="Normal 2 3 7" xfId="110"/>
    <cellStyle name="Normal 2 3 7 2" xfId="111"/>
    <cellStyle name="Normal 2 3 7 3" xfId="112"/>
    <cellStyle name="Normal 2 3 7 4" xfId="113"/>
    <cellStyle name="Normal 2 3 7 5" xfId="114"/>
    <cellStyle name="Normal 2 3 7 6" xfId="115"/>
    <cellStyle name="Normal 2 3 7 7" xfId="116"/>
    <cellStyle name="Normal 2 3 8" xfId="117"/>
    <cellStyle name="Normal 2 4" xfId="118"/>
    <cellStyle name="Normal 2 5" xfId="119"/>
    <cellStyle name="Normal 2 6" xfId="120"/>
    <cellStyle name="Normal 2 7" xfId="121"/>
    <cellStyle name="Normal 2 8" xfId="122"/>
    <cellStyle name="Normal 2 9" xfId="123"/>
    <cellStyle name="Normal 3" xfId="124"/>
    <cellStyle name="Normal 3 10" xfId="125"/>
    <cellStyle name="Normal 3 10 2" xfId="126"/>
    <cellStyle name="Normal 3 10 2 2" xfId="127"/>
    <cellStyle name="Normal 3 10 2 3" xfId="128"/>
    <cellStyle name="Normal 3 10 3" xfId="129"/>
    <cellStyle name="Normal 3 10 3 2" xfId="130"/>
    <cellStyle name="Normal 3 10 3 3" xfId="131"/>
    <cellStyle name="Normal 3 10 4" xfId="132"/>
    <cellStyle name="Normal 3 10 4 2" xfId="133"/>
    <cellStyle name="Normal 3 10 4 3" xfId="134"/>
    <cellStyle name="Normal 3 10 5" xfId="135"/>
    <cellStyle name="Normal 3 10 6" xfId="136"/>
    <cellStyle name="Normal 3 11" xfId="137"/>
    <cellStyle name="Normal 3 11 2" xfId="138"/>
    <cellStyle name="Normal 3 11 2 2" xfId="139"/>
    <cellStyle name="Normal 3 11 2 3" xfId="140"/>
    <cellStyle name="Normal 3 11 3" xfId="141"/>
    <cellStyle name="Normal 3 11 3 2" xfId="142"/>
    <cellStyle name="Normal 3 11 3 3" xfId="143"/>
    <cellStyle name="Normal 3 11 4" xfId="144"/>
    <cellStyle name="Normal 3 11 4 2" xfId="145"/>
    <cellStyle name="Normal 3 11 4 3" xfId="146"/>
    <cellStyle name="Normal 3 11 5" xfId="147"/>
    <cellStyle name="Normal 3 11 6" xfId="148"/>
    <cellStyle name="Normal 3 12" xfId="149"/>
    <cellStyle name="Normal 3 12 2" xfId="150"/>
    <cellStyle name="Normal 3 12 2 2" xfId="151"/>
    <cellStyle name="Normal 3 12 2 3" xfId="152"/>
    <cellStyle name="Normal 3 12 3" xfId="153"/>
    <cellStyle name="Normal 3 12 3 2" xfId="154"/>
    <cellStyle name="Normal 3 12 3 3" xfId="155"/>
    <cellStyle name="Normal 3 12 4" xfId="156"/>
    <cellStyle name="Normal 3 12 4 2" xfId="157"/>
    <cellStyle name="Normal 3 12 4 3" xfId="158"/>
    <cellStyle name="Normal 3 12 5" xfId="159"/>
    <cellStyle name="Normal 3 12 6" xfId="160"/>
    <cellStyle name="Normal 3 13" xfId="161"/>
    <cellStyle name="Normal 3 13 2" xfId="162"/>
    <cellStyle name="Normal 3 13 2 2" xfId="163"/>
    <cellStyle name="Normal 3 13 2 3" xfId="164"/>
    <cellStyle name="Normal 3 13 3" xfId="165"/>
    <cellStyle name="Normal 3 13 3 2" xfId="166"/>
    <cellStyle name="Normal 3 13 3 3" xfId="167"/>
    <cellStyle name="Normal 3 13 4" xfId="168"/>
    <cellStyle name="Normal 3 13 4 2" xfId="169"/>
    <cellStyle name="Normal 3 13 4 3" xfId="170"/>
    <cellStyle name="Normal 3 13 5" xfId="171"/>
    <cellStyle name="Normal 3 13 6" xfId="172"/>
    <cellStyle name="Normal 3 14" xfId="173"/>
    <cellStyle name="Normal 3 14 2" xfId="174"/>
    <cellStyle name="Normal 3 14 2 2" xfId="175"/>
    <cellStyle name="Normal 3 14 2 3" xfId="176"/>
    <cellStyle name="Normal 3 14 3" xfId="177"/>
    <cellStyle name="Normal 3 14 3 2" xfId="178"/>
    <cellStyle name="Normal 3 14 3 3" xfId="179"/>
    <cellStyle name="Normal 3 14 4" xfId="180"/>
    <cellStyle name="Normal 3 14 4 2" xfId="181"/>
    <cellStyle name="Normal 3 14 4 3" xfId="182"/>
    <cellStyle name="Normal 3 14 5" xfId="183"/>
    <cellStyle name="Normal 3 14 6" xfId="184"/>
    <cellStyle name="Normal 3 15" xfId="185"/>
    <cellStyle name="Normal 3 15 2" xfId="186"/>
    <cellStyle name="Normal 3 15 3" xfId="187"/>
    <cellStyle name="Normal 3 16" xfId="188"/>
    <cellStyle name="Normal 3 16 2" xfId="189"/>
    <cellStyle name="Normal 3 16 3" xfId="190"/>
    <cellStyle name="Normal 3 17" xfId="191"/>
    <cellStyle name="Normal 3 17 2" xfId="192"/>
    <cellStyle name="Normal 3 17 3" xfId="193"/>
    <cellStyle name="Normal 3 18" xfId="194"/>
    <cellStyle name="Normal 3 18 2" xfId="195"/>
    <cellStyle name="Normal 3 18 3" xfId="196"/>
    <cellStyle name="Normal 3 19" xfId="197"/>
    <cellStyle name="Normal 3 2" xfId="198"/>
    <cellStyle name="Normal 3 2 2" xfId="199"/>
    <cellStyle name="Normal 3 2 2 2" xfId="200"/>
    <cellStyle name="Normal 3 2 2 3" xfId="201"/>
    <cellStyle name="Normal 3 2 3" xfId="202"/>
    <cellStyle name="Normal 3 2 3 2" xfId="203"/>
    <cellStyle name="Normal 3 2 3 3" xfId="204"/>
    <cellStyle name="Normal 3 2 4" xfId="205"/>
    <cellStyle name="Normal 3 2 4 2" xfId="206"/>
    <cellStyle name="Normal 3 2 4 3" xfId="207"/>
    <cellStyle name="Normal 3 2 5" xfId="208"/>
    <cellStyle name="Normal 3 2 6" xfId="209"/>
    <cellStyle name="Normal 3 2 7" xfId="210"/>
    <cellStyle name="Normal 3 20" xfId="211"/>
    <cellStyle name="Normal 3 21" xfId="212"/>
    <cellStyle name="Normal 3 22" xfId="213"/>
    <cellStyle name="Normal 3 23" xfId="214"/>
    <cellStyle name="Normal 3 24" xfId="215"/>
    <cellStyle name="Normal 3 25" xfId="216"/>
    <cellStyle name="Normal 3 3" xfId="217"/>
    <cellStyle name="Normal 3 3 2" xfId="218"/>
    <cellStyle name="Normal 3 3 2 2" xfId="219"/>
    <cellStyle name="Normal 3 3 2 3" xfId="220"/>
    <cellStyle name="Normal 3 3 3" xfId="221"/>
    <cellStyle name="Normal 3 3 3 2" xfId="222"/>
    <cellStyle name="Normal 3 3 3 3" xfId="223"/>
    <cellStyle name="Normal 3 3 4" xfId="224"/>
    <cellStyle name="Normal 3 3 4 2" xfId="225"/>
    <cellStyle name="Normal 3 3 4 3" xfId="226"/>
    <cellStyle name="Normal 3 3 5" xfId="227"/>
    <cellStyle name="Normal 3 3 6" xfId="228"/>
    <cellStyle name="Normal 3 4" xfId="229"/>
    <cellStyle name="Normal 3 4 2" xfId="230"/>
    <cellStyle name="Normal 3 4 2 2" xfId="231"/>
    <cellStyle name="Normal 3 4 2 3" xfId="232"/>
    <cellStyle name="Normal 3 4 3" xfId="233"/>
    <cellStyle name="Normal 3 4 3 2" xfId="234"/>
    <cellStyle name="Normal 3 4 3 3" xfId="235"/>
    <cellStyle name="Normal 3 4 4" xfId="236"/>
    <cellStyle name="Normal 3 4 4 2" xfId="237"/>
    <cellStyle name="Normal 3 4 4 3" xfId="238"/>
    <cellStyle name="Normal 3 4 5" xfId="239"/>
    <cellStyle name="Normal 3 4 6" xfId="240"/>
    <cellStyle name="Normal 3 5" xfId="241"/>
    <cellStyle name="Normal 3 5 2" xfId="242"/>
    <cellStyle name="Normal 3 5 2 2" xfId="243"/>
    <cellStyle name="Normal 3 5 2 3" xfId="244"/>
    <cellStyle name="Normal 3 5 3" xfId="245"/>
    <cellStyle name="Normal 3 5 3 2" xfId="246"/>
    <cellStyle name="Normal 3 5 3 3" xfId="247"/>
    <cellStyle name="Normal 3 5 4" xfId="248"/>
    <cellStyle name="Normal 3 5 4 2" xfId="249"/>
    <cellStyle name="Normal 3 5 4 3" xfId="250"/>
    <cellStyle name="Normal 3 5 5" xfId="251"/>
    <cellStyle name="Normal 3 5 6" xfId="252"/>
    <cellStyle name="Normal 3 6" xfId="253"/>
    <cellStyle name="Normal 3 6 2" xfId="254"/>
    <cellStyle name="Normal 3 6 2 2" xfId="255"/>
    <cellStyle name="Normal 3 6 2 3" xfId="256"/>
    <cellStyle name="Normal 3 6 3" xfId="257"/>
    <cellStyle name="Normal 3 6 3 2" xfId="258"/>
    <cellStyle name="Normal 3 6 3 3" xfId="259"/>
    <cellStyle name="Normal 3 6 4" xfId="260"/>
    <cellStyle name="Normal 3 6 4 2" xfId="261"/>
    <cellStyle name="Normal 3 6 4 3" xfId="262"/>
    <cellStyle name="Normal 3 6 5" xfId="263"/>
    <cellStyle name="Normal 3 6 6" xfId="264"/>
    <cellStyle name="Normal 3 7" xfId="265"/>
    <cellStyle name="Normal 3 7 2" xfId="266"/>
    <cellStyle name="Normal 3 7 2 2" xfId="267"/>
    <cellStyle name="Normal 3 7 2 3" xfId="268"/>
    <cellStyle name="Normal 3 7 3" xfId="269"/>
    <cellStyle name="Normal 3 7 3 2" xfId="270"/>
    <cellStyle name="Normal 3 7 3 3" xfId="271"/>
    <cellStyle name="Normal 3 7 4" xfId="272"/>
    <cellStyle name="Normal 3 7 4 2" xfId="273"/>
    <cellStyle name="Normal 3 7 4 3" xfId="274"/>
    <cellStyle name="Normal 3 7 5" xfId="275"/>
    <cellStyle name="Normal 3 7 6" xfId="276"/>
    <cellStyle name="Normal 3 8" xfId="277"/>
    <cellStyle name="Normal 3 8 2" xfId="278"/>
    <cellStyle name="Normal 3 8 2 2" xfId="279"/>
    <cellStyle name="Normal 3 8 2 3" xfId="280"/>
    <cellStyle name="Normal 3 8 3" xfId="281"/>
    <cellStyle name="Normal 3 8 3 2" xfId="282"/>
    <cellStyle name="Normal 3 8 3 3" xfId="283"/>
    <cellStyle name="Normal 3 8 4" xfId="284"/>
    <cellStyle name="Normal 3 8 4 2" xfId="285"/>
    <cellStyle name="Normal 3 8 4 3" xfId="286"/>
    <cellStyle name="Normal 3 8 5" xfId="287"/>
    <cellStyle name="Normal 3 8 6" xfId="288"/>
    <cellStyle name="Normal 3 9" xfId="289"/>
    <cellStyle name="Normal 3 9 2" xfId="290"/>
    <cellStyle name="Normal 3 9 2 2" xfId="291"/>
    <cellStyle name="Normal 3 9 2 3" xfId="292"/>
    <cellStyle name="Normal 3 9 3" xfId="293"/>
    <cellStyle name="Normal 3 9 3 2" xfId="294"/>
    <cellStyle name="Normal 3 9 3 3" xfId="295"/>
    <cellStyle name="Normal 3 9 4" xfId="296"/>
    <cellStyle name="Normal 3 9 4 2" xfId="297"/>
    <cellStyle name="Normal 3 9 4 3" xfId="298"/>
    <cellStyle name="Normal 3 9 5" xfId="299"/>
    <cellStyle name="Normal 3 9 6" xfId="300"/>
    <cellStyle name="Normal 4" xfId="301"/>
    <cellStyle name="Normal 4 2" xfId="302"/>
    <cellStyle name="Normal 4 3" xfId="303"/>
    <cellStyle name="Normal 4 4" xfId="304"/>
    <cellStyle name="Normal 4 4 2" xfId="305"/>
    <cellStyle name="Normal 4 4 2 2" xfId="306"/>
    <cellStyle name="Normal 4 4 2 2 2" xfId="307"/>
    <cellStyle name="Normal 4 4 2 3" xfId="308"/>
    <cellStyle name="Normal 4 4 2 3 2" xfId="309"/>
    <cellStyle name="Normal 4 4 2 3 2 2" xfId="310"/>
    <cellStyle name="Normal 4 4 2 3 2 3" xfId="311"/>
    <cellStyle name="Normal 4 4 2 3 2 4" xfId="312"/>
    <cellStyle name="Normal 4 5" xfId="313"/>
    <cellStyle name="Normal 4 6" xfId="314"/>
    <cellStyle name="Normal 5" xfId="315"/>
    <cellStyle name="Normal 5 2" xfId="316"/>
    <cellStyle name="Normal 5 2 2" xfId="317"/>
    <cellStyle name="Normal 5 2 3" xfId="318"/>
    <cellStyle name="Normal 5 2 4" xfId="319"/>
    <cellStyle name="Normal 5 2 4 2" xfId="320"/>
    <cellStyle name="Normal 5 3" xfId="321"/>
    <cellStyle name="Normal 5 3 2" xfId="322"/>
    <cellStyle name="Normal 5 3 3" xfId="323"/>
    <cellStyle name="Normal 5 4" xfId="324"/>
    <cellStyle name="Normal 5 4 2" xfId="325"/>
    <cellStyle name="Normal 5 4 3" xfId="326"/>
    <cellStyle name="Normal 5 5" xfId="327"/>
    <cellStyle name="Normal 5 6" xfId="328"/>
    <cellStyle name="Normal 5 7" xfId="329"/>
    <cellStyle name="Normal 6" xfId="330"/>
    <cellStyle name="Normal 7" xfId="331"/>
    <cellStyle name="Normal 7 2" xfId="332"/>
    <cellStyle name="Normal 7 2 2" xfId="333"/>
    <cellStyle name="Normal 7 2 3" xfId="334"/>
    <cellStyle name="Normal 7 3" xfId="335"/>
    <cellStyle name="Normal 7 3 2" xfId="336"/>
    <cellStyle name="Normal 7 3 3" xfId="337"/>
    <cellStyle name="Normal 7 4" xfId="338"/>
    <cellStyle name="Normal 7 4 2" xfId="339"/>
    <cellStyle name="Normal 7 4 3" xfId="340"/>
    <cellStyle name="Normal 7 5" xfId="341"/>
    <cellStyle name="Normal 7 6" xfId="342"/>
    <cellStyle name="Normal 8" xfId="343"/>
    <cellStyle name="Normal 8 2" xfId="344"/>
    <cellStyle name="Normal 8 3" xfId="345"/>
    <cellStyle name="Normal 9" xfId="346"/>
    <cellStyle name="Normal 9 2" xfId="347"/>
    <cellStyle name="Normal 9 2 2" xfId="348"/>
    <cellStyle name="Normal 9 2 3" xfId="349"/>
    <cellStyle name="Normal 9 3" xfId="350"/>
    <cellStyle name="Normal 9 4" xfId="351"/>
    <cellStyle name="Normal_Output tables_CDTforecastDG2" xfId="352"/>
    <cellStyle name="Normál_uzlidnk" xfId="353"/>
    <cellStyle name="Normale" xfId="354"/>
    <cellStyle name="Normale 2" xfId="355"/>
    <cellStyle name="normální_GFSod93podleVR new1" xfId="356"/>
    <cellStyle name="normleftborder" xfId="357"/>
    <cellStyle name="Note 2" xfId="358"/>
    <cellStyle name="Note 2 2" xfId="359"/>
    <cellStyle name="Note 2 2 2" xfId="360"/>
    <cellStyle name="Note 2 2 3" xfId="361"/>
    <cellStyle name="Note 2 3" xfId="362"/>
    <cellStyle name="Note 2 3 2" xfId="363"/>
    <cellStyle name="Note 2 3 3" xfId="364"/>
    <cellStyle name="Note 2 4" xfId="365"/>
    <cellStyle name="Note 2 4 2" xfId="366"/>
    <cellStyle name="Note 2 4 3" xfId="367"/>
    <cellStyle name="Note 2 5" xfId="368"/>
    <cellStyle name="Note 2 6" xfId="369"/>
    <cellStyle name="Note 2 7" xfId="370"/>
    <cellStyle name="Note 2 8" xfId="371"/>
    <cellStyle name="Note 3" xfId="372"/>
    <cellStyle name="Note 3 2" xfId="373"/>
    <cellStyle name="Note 3 2 2" xfId="374"/>
    <cellStyle name="Note 3 2 3" xfId="375"/>
    <cellStyle name="Note 3 3" xfId="376"/>
    <cellStyle name="Note 3 3 2" xfId="377"/>
    <cellStyle name="Note 3 3 3" xfId="378"/>
    <cellStyle name="Note 3 4" xfId="379"/>
    <cellStyle name="Note 3 4 2" xfId="380"/>
    <cellStyle name="Note 3 4 3" xfId="381"/>
    <cellStyle name="Note 3 5" xfId="382"/>
    <cellStyle name="Note 3 6" xfId="383"/>
    <cellStyle name="Note 4" xfId="384"/>
    <cellStyle name="Note 4 2" xfId="385"/>
    <cellStyle name="Note 4 2 2" xfId="386"/>
    <cellStyle name="Note 4 2 3" xfId="387"/>
    <cellStyle name="Note 4 3" xfId="388"/>
    <cellStyle name="Note 4 3 2" xfId="389"/>
    <cellStyle name="Note 4 3 3" xfId="390"/>
    <cellStyle name="Note 4 4" xfId="391"/>
    <cellStyle name="Note 4 4 2" xfId="392"/>
    <cellStyle name="Note 4 4 3" xfId="393"/>
    <cellStyle name="Note 4 5" xfId="394"/>
    <cellStyle name="Note 4 6" xfId="395"/>
    <cellStyle name="Notes" xfId="396"/>
    <cellStyle name="pays" xfId="397"/>
    <cellStyle name="Percent" xfId="398" builtinId="5"/>
    <cellStyle name="Percent 10" xfId="399"/>
    <cellStyle name="Percent 11" xfId="400"/>
    <cellStyle name="Percent 12" xfId="401"/>
    <cellStyle name="Percent 13" xfId="402"/>
    <cellStyle name="Percent 14" xfId="403"/>
    <cellStyle name="Percent 15" xfId="404"/>
    <cellStyle name="Percent 16" xfId="405"/>
    <cellStyle name="Percent 2" xfId="406"/>
    <cellStyle name="Percent 2 2" xfId="407"/>
    <cellStyle name="Percent 3" xfId="408"/>
    <cellStyle name="Percent 3 2" xfId="409"/>
    <cellStyle name="Percent 4" xfId="410"/>
    <cellStyle name="Percent 5" xfId="411"/>
    <cellStyle name="Percent 6" xfId="412"/>
    <cellStyle name="Percent 7" xfId="413"/>
    <cellStyle name="Percent 8" xfId="414"/>
    <cellStyle name="Percent 9" xfId="415"/>
    <cellStyle name="Pevný" xfId="416"/>
    <cellStyle name="Procent_WDI" xfId="417"/>
    <cellStyle name="Rubrik 1" xfId="418"/>
    <cellStyle name="Rubrik2" xfId="419"/>
    <cellStyle name="Rubrik3" xfId="420"/>
    <cellStyle name="semestre" xfId="421"/>
    <cellStyle name="standaard" xfId="422"/>
    <cellStyle name="Standaard2" xfId="423"/>
    <cellStyle name="Standard_9.01" xfId="424"/>
    <cellStyle name="Style 1" xfId="425"/>
    <cellStyle name="Style 1 2" xfId="426"/>
    <cellStyle name="Tabellrubrik" xfId="427"/>
    <cellStyle name="Tal1" xfId="428"/>
    <cellStyle name="Tal2" xfId="429"/>
    <cellStyle name="Tal3" xfId="430"/>
    <cellStyle name="tête chapitre" xfId="431"/>
    <cellStyle name="titel van tabel" xfId="432"/>
    <cellStyle name="titre" xfId="433"/>
    <cellStyle name="Totaal" xfId="434"/>
    <cellStyle name="transfer variabele" xfId="435"/>
    <cellStyle name="Tusental (0)_ADMIN" xfId="436"/>
    <cellStyle name="Tusental_ADMIN" xfId="437"/>
    <cellStyle name="Valuta (0)_ADMIN" xfId="438"/>
    <cellStyle name="Valuta0" xfId="439"/>
    <cellStyle name="Valuta0 2" xfId="440"/>
    <cellStyle name="Valuta0 2 2" xfId="441"/>
    <cellStyle name="Valuta0 2 2 2" xfId="442"/>
    <cellStyle name="Valuta0 2 2 2 2" xfId="443"/>
    <cellStyle name="Valuta0 2 2 3" xfId="444"/>
    <cellStyle name="Valuta0 2 2 3 2" xfId="445"/>
    <cellStyle name="Valuta0 2 2 4" xfId="446"/>
    <cellStyle name="Valuta0 2 3" xfId="447"/>
    <cellStyle name="Valuta0 2 3 2" xfId="448"/>
    <cellStyle name="Valuta0 2 3 2 2" xfId="449"/>
    <cellStyle name="Valuta0 2 3 3" xfId="450"/>
    <cellStyle name="Valuta0 2 3 3 2" xfId="451"/>
    <cellStyle name="Valuta0 2 3 4" xfId="452"/>
    <cellStyle name="Valuta0 2 4" xfId="453"/>
    <cellStyle name="Valuta0 2 4 2" xfId="454"/>
    <cellStyle name="Valuta0 2 4 2 2" xfId="455"/>
    <cellStyle name="Valuta0 2 4 3" xfId="456"/>
    <cellStyle name="Valuta0 2 4 3 2" xfId="457"/>
    <cellStyle name="Valuta0 2 4 4" xfId="458"/>
    <cellStyle name="Valuta0 2 5" xfId="459"/>
    <cellStyle name="Valuta0 2 5 2" xfId="460"/>
    <cellStyle name="Valuta0 2 6" xfId="461"/>
    <cellStyle name="Valuta0 2 6 2" xfId="462"/>
    <cellStyle name="Valuta0 2 7" xfId="463"/>
    <cellStyle name="Valuta0 3" xfId="464"/>
    <cellStyle name="Valuta0 3 2" xfId="465"/>
    <cellStyle name="Valuta0 3 2 2" xfId="466"/>
    <cellStyle name="Valuta0 3 3" xfId="467"/>
    <cellStyle name="Valuta0 3 3 2" xfId="468"/>
    <cellStyle name="Valuta0 3 4" xfId="469"/>
    <cellStyle name="Valuta0 4" xfId="470"/>
    <cellStyle name="Valuta0 4 2" xfId="471"/>
    <cellStyle name="Valuta0 4 2 2" xfId="472"/>
    <cellStyle name="Valuta0 4 3" xfId="473"/>
    <cellStyle name="Valuta0 4 3 2" xfId="474"/>
    <cellStyle name="Valuta0 4 4" xfId="475"/>
    <cellStyle name="Valuta0 5" xfId="476"/>
    <cellStyle name="Valuta0 5 2" xfId="477"/>
    <cellStyle name="Valuta0 5 2 2" xfId="478"/>
    <cellStyle name="Valuta0 5 3" xfId="479"/>
    <cellStyle name="Valuta0 5 3 2" xfId="480"/>
    <cellStyle name="Valuta0 5 4" xfId="481"/>
    <cellStyle name="Valuta0 6" xfId="482"/>
    <cellStyle name="Valuta0 6 2" xfId="483"/>
    <cellStyle name="Valuta0 7" xfId="484"/>
    <cellStyle name="Valuta0 7 2" xfId="485"/>
    <cellStyle name="Valuta0 8" xfId="486"/>
    <cellStyle name="Vast" xfId="487"/>
    <cellStyle name="Vast1" xfId="488"/>
    <cellStyle name="Záhlaví 1" xfId="489"/>
    <cellStyle name="Záhlaví 2" xfId="490"/>
  </cellStyles>
  <dxfs count="66">
    <dxf>
      <fill>
        <patternFill>
          <bgColor indexed="52"/>
        </patternFill>
      </fill>
    </dxf>
    <dxf>
      <fill>
        <patternFill>
          <bgColor indexed="52"/>
        </patternFill>
      </fill>
    </dxf>
    <dxf>
      <fill>
        <patternFill>
          <bgColor indexed="52"/>
        </patternFill>
      </fill>
    </dxf>
    <dxf>
      <font>
        <b/>
        <i val="0"/>
        <strike val="0"/>
        <condense val="0"/>
        <extend val="0"/>
        <color indexed="10"/>
      </font>
      <fill>
        <patternFill patternType="none">
          <bgColor indexed="65"/>
        </patternFill>
      </fill>
    </dxf>
    <dxf>
      <font>
        <b/>
        <i val="0"/>
        <condense val="0"/>
        <extend val="0"/>
        <color indexed="10"/>
      </font>
      <fill>
        <patternFill patternType="none">
          <bgColor indexed="65"/>
        </patternFill>
      </fill>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10"/>
      </font>
    </dxf>
    <dxf>
      <font>
        <b/>
        <i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10"/>
      </font>
    </dxf>
    <dxf>
      <font>
        <b/>
        <i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10"/>
      </font>
    </dxf>
    <dxf>
      <font>
        <b/>
        <i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10"/>
      </font>
    </dxf>
    <dxf>
      <font>
        <b/>
        <i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10"/>
      </font>
    </dxf>
    <dxf>
      <font>
        <b/>
        <i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10"/>
      </font>
    </dxf>
    <dxf>
      <font>
        <b/>
        <i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10"/>
      </font>
    </dxf>
    <dxf>
      <font>
        <b/>
        <i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10"/>
      </font>
    </dxf>
    <dxf>
      <font>
        <b/>
        <i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10"/>
      </font>
    </dxf>
    <dxf>
      <font>
        <b/>
        <i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strike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13"/>
      </font>
      <fill>
        <patternFill>
          <bgColor indexed="1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7.xml"/><Relationship Id="rId26"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xlMacrosheet" Target="macrosheets/sheet1.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19.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2.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1.xml"/><Relationship Id="rId27" Type="http://schemas.openxmlformats.org/officeDocument/2006/relationships/styles" Target="styles.xml"/><Relationship Id="rId3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Household consumption and disposable income (VAL)</a:t>
            </a:r>
          </a:p>
        </c:rich>
      </c:tx>
      <c:layout>
        <c:manualLayout>
          <c:xMode val="edge"/>
          <c:yMode val="edge"/>
          <c:x val="0.11607166291713535"/>
          <c:y val="3.3613445378151259E-2"/>
        </c:manualLayout>
      </c:layout>
      <c:overlay val="0"/>
      <c:spPr>
        <a:noFill/>
        <a:ln w="25400">
          <a:noFill/>
        </a:ln>
      </c:spPr>
    </c:title>
    <c:autoTitleDeleted val="0"/>
    <c:plotArea>
      <c:layout>
        <c:manualLayout>
          <c:layoutTarget val="inner"/>
          <c:xMode val="edge"/>
          <c:yMode val="edge"/>
          <c:x val="0.10044653804946686"/>
          <c:y val="0.17647107096647127"/>
          <c:w val="0.83259019316558092"/>
          <c:h val="0.61624818432735995"/>
        </c:manualLayout>
      </c:layout>
      <c:lineChart>
        <c:grouping val="standard"/>
        <c:varyColors val="0"/>
        <c:ser>
          <c:idx val="0"/>
          <c:order val="0"/>
          <c:tx>
            <c:strRef>
              <c:f>'VVP2'!$D$188:$E$188</c:f>
              <c:strCache>
                <c:ptCount val="1"/>
                <c:pt idx="0">
                  <c:v>HH Final consumption expenditure (P.3)</c:v>
                </c:pt>
              </c:strCache>
            </c:strRef>
          </c:tx>
          <c:spPr>
            <a:ln w="25400">
              <a:solidFill>
                <a:srgbClr val="FF0000"/>
              </a:solidFill>
              <a:prstDash val="solid"/>
            </a:ln>
          </c:spPr>
          <c:marker>
            <c:symbol val="diamond"/>
            <c:size val="5"/>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'VVP2'!$G$188:$AA$188</c:f>
              <c:numCache>
                <c:formatCode>0.0</c:formatCode>
                <c:ptCount val="4"/>
                <c:pt idx="0">
                  <c:v>6.2742499558684717</c:v>
                </c:pt>
                <c:pt idx="1">
                  <c:v>5.3520737522436024</c:v>
                </c:pt>
                <c:pt idx="2">
                  <c:v>4.0906766427303953</c:v>
                </c:pt>
                <c:pt idx="3">
                  <c:v>3.0593383975462629</c:v>
                </c:pt>
              </c:numCache>
            </c:numRef>
          </c:val>
          <c:smooth val="0"/>
        </c:ser>
        <c:ser>
          <c:idx val="1"/>
          <c:order val="1"/>
          <c:tx>
            <c:strRef>
              <c:f>Sector1!$D$381:$E$381</c:f>
              <c:strCache>
                <c:ptCount val="1"/>
                <c:pt idx="0">
                  <c:v>HH Disposable income (B.6g)</c:v>
                </c:pt>
              </c:strCache>
            </c:strRef>
          </c:tx>
          <c:spPr>
            <a:ln w="25400">
              <a:solidFill>
                <a:srgbClr val="0000FF"/>
              </a:solidFill>
              <a:prstDash val="solid"/>
            </a:ln>
          </c:spPr>
          <c:marker>
            <c:symbol val="circle"/>
            <c:size val="5"/>
            <c:spPr>
              <a:solidFill>
                <a:srgbClr val="FFFFFF"/>
              </a:solidFill>
              <a:ln>
                <a:solidFill>
                  <a:srgbClr val="0000FF"/>
                </a:solidFill>
                <a:prstDash val="solid"/>
              </a:ln>
            </c:spPr>
          </c:marker>
          <c:val>
            <c:numRef>
              <c:f>Sector1!$G$381:$AC$381</c:f>
              <c:numCache>
                <c:formatCode>0.0</c:formatCode>
                <c:ptCount val="12"/>
                <c:pt idx="0">
                  <c:v>15.14239020482211</c:v>
                </c:pt>
                <c:pt idx="1">
                  <c:v>8.0089717770564395</c:v>
                </c:pt>
                <c:pt idx="2">
                  <c:v>19.154704479239705</c:v>
                </c:pt>
                <c:pt idx="3">
                  <c:v>-7.8940715550444907</c:v>
                </c:pt>
                <c:pt idx="4">
                  <c:v>0.86462686046331338</c:v>
                </c:pt>
                <c:pt idx="5">
                  <c:v>5.250126509072528</c:v>
                </c:pt>
                <c:pt idx="6">
                  <c:v>3.3819442229902963</c:v>
                </c:pt>
                <c:pt idx="7">
                  <c:v>5.7181255573077072</c:v>
                </c:pt>
                <c:pt idx="8">
                  <c:v>1.8678264757333141</c:v>
                </c:pt>
                <c:pt idx="9">
                  <c:v>2.8710198106667972</c:v>
                </c:pt>
                <c:pt idx="10">
                  <c:v>5.4297177194466029</c:v>
                </c:pt>
                <c:pt idx="11">
                  <c:v>6.8482848708878441</c:v>
                </c:pt>
              </c:numCache>
            </c:numRef>
          </c:val>
          <c:smooth val="0"/>
        </c:ser>
        <c:dLbls>
          <c:showLegendKey val="0"/>
          <c:showVal val="0"/>
          <c:showCatName val="0"/>
          <c:showSerName val="0"/>
          <c:showPercent val="0"/>
          <c:showBubbleSize val="0"/>
        </c:dLbls>
        <c:marker val="1"/>
        <c:smooth val="0"/>
        <c:axId val="310776576"/>
        <c:axId val="310778496"/>
      </c:lineChart>
      <c:catAx>
        <c:axId val="310776576"/>
        <c:scaling>
          <c:orientation val="minMax"/>
        </c:scaling>
        <c:delete val="0"/>
        <c:axPos val="b"/>
        <c:majorGridlines>
          <c:spPr>
            <a:ln w="3175">
              <a:solidFill>
                <a:srgbClr val="000000"/>
              </a:solidFill>
              <a:prstDash val="solid"/>
            </a:ln>
          </c:spPr>
        </c:majorGridlines>
        <c:numFmt formatCode="0" sourceLinked="1"/>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10778496"/>
        <c:crosses val="autoZero"/>
        <c:auto val="1"/>
        <c:lblAlgn val="ctr"/>
        <c:lblOffset val="100"/>
        <c:tickLblSkip val="2"/>
        <c:tickMarkSkip val="1"/>
        <c:noMultiLvlLbl val="0"/>
      </c:catAx>
      <c:valAx>
        <c:axId val="310778496"/>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10776576"/>
        <c:crosses val="autoZero"/>
        <c:crossBetween val="midCat"/>
      </c:valAx>
      <c:spPr>
        <a:noFill/>
        <a:ln w="12700">
          <a:solidFill>
            <a:srgbClr val="808080"/>
          </a:solidFill>
          <a:prstDash val="solid"/>
        </a:ln>
      </c:spPr>
    </c:plotArea>
    <c:legend>
      <c:legendPos val="r"/>
      <c:layout>
        <c:manualLayout>
          <c:xMode val="edge"/>
          <c:yMode val="edge"/>
          <c:x val="0.21651809148856391"/>
          <c:y val="0.85434408934177342"/>
          <c:w val="0.6004471316085489"/>
          <c:h val="0.126050714248954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Household consumption related to household disposable income</a:t>
            </a:r>
          </a:p>
        </c:rich>
      </c:tx>
      <c:layout>
        <c:manualLayout>
          <c:xMode val="edge"/>
          <c:yMode val="edge"/>
          <c:x val="0.17633952005999248"/>
          <c:y val="3.3613445378151259E-2"/>
        </c:manualLayout>
      </c:layout>
      <c:overlay val="0"/>
      <c:spPr>
        <a:noFill/>
        <a:ln w="25400">
          <a:noFill/>
        </a:ln>
      </c:spPr>
    </c:title>
    <c:autoTitleDeleted val="0"/>
    <c:plotArea>
      <c:layout>
        <c:manualLayout>
          <c:layoutTarget val="inner"/>
          <c:xMode val="edge"/>
          <c:yMode val="edge"/>
          <c:x val="5.8035777539691968E-2"/>
          <c:y val="0.17366994285589235"/>
          <c:w val="0.88616168012529661"/>
          <c:h val="0.62185044054851779"/>
        </c:manualLayout>
      </c:layout>
      <c:scatterChart>
        <c:scatterStyle val="lineMarker"/>
        <c:varyColors val="0"/>
        <c:ser>
          <c:idx val="0"/>
          <c:order val="0"/>
          <c:tx>
            <c:strRef>
              <c:f>'VVP2'!$D$185:$E$185</c:f>
              <c:strCache>
                <c:ptCount val="1"/>
                <c:pt idx="0">
                  <c:v>GVT Final consumption expenditure (P.3)</c:v>
                </c:pt>
              </c:strCache>
            </c:strRef>
          </c:tx>
          <c:spPr>
            <a:ln w="28575">
              <a:noFill/>
            </a:ln>
          </c:spPr>
          <c:marker>
            <c:symbol val="circle"/>
            <c:size val="7"/>
            <c:spPr>
              <a:solidFill>
                <a:srgbClr val="FFFFFF"/>
              </a:solidFill>
              <a:ln>
                <a:solidFill>
                  <a:srgbClr val="339966"/>
                </a:solidFill>
                <a:prstDash val="solid"/>
              </a:ln>
            </c:spPr>
          </c:marker>
          <c:dLbls>
            <c:dLbl>
              <c:idx val="1"/>
              <c:tx>
                <c:rich>
                  <a:bodyPr/>
                  <a:lstStyle/>
                  <a:p>
                    <a:r>
                      <a:rPr lang="en-GB"/>
                      <a:t>1996</a:t>
                    </a:r>
                  </a:p>
                </c:rich>
              </c:tx>
              <c:showLegendKey val="0"/>
              <c:showVal val="0"/>
              <c:showCatName val="0"/>
              <c:showSerName val="0"/>
              <c:showPercent val="0"/>
              <c:showBubbleSize val="0"/>
            </c:dLbl>
            <c:dLbl>
              <c:idx val="2"/>
              <c:tx>
                <c:rich>
                  <a:bodyPr/>
                  <a:lstStyle/>
                  <a:p>
                    <a:r>
                      <a:rPr lang="en-GB"/>
                      <a:t>1997</a:t>
                    </a:r>
                  </a:p>
                </c:rich>
              </c:tx>
              <c:showLegendKey val="0"/>
              <c:showVal val="0"/>
              <c:showCatName val="0"/>
              <c:showSerName val="0"/>
              <c:showPercent val="0"/>
              <c:showBubbleSize val="0"/>
            </c:dLbl>
            <c:dLbl>
              <c:idx val="3"/>
              <c:tx>
                <c:rich>
                  <a:bodyPr/>
                  <a:lstStyle/>
                  <a:p>
                    <a:r>
                      <a:rPr lang="en-GB"/>
                      <a:t>1998</a:t>
                    </a:r>
                  </a:p>
                </c:rich>
              </c:tx>
              <c:showLegendKey val="0"/>
              <c:showVal val="0"/>
              <c:showCatName val="0"/>
              <c:showSerName val="0"/>
              <c:showPercent val="0"/>
              <c:showBubbleSize val="0"/>
            </c:dLbl>
            <c:dLbl>
              <c:idx val="4"/>
              <c:tx>
                <c:rich>
                  <a:bodyPr/>
                  <a:lstStyle/>
                  <a:p>
                    <a:r>
                      <a:rPr lang="en-GB"/>
                      <a:t>1999</a:t>
                    </a:r>
                  </a:p>
                </c:rich>
              </c:tx>
              <c:showLegendKey val="0"/>
              <c:showVal val="0"/>
              <c:showCatName val="0"/>
              <c:showSerName val="0"/>
              <c:showPercent val="0"/>
              <c:showBubbleSize val="0"/>
            </c:dLbl>
            <c:dLbl>
              <c:idx val="5"/>
              <c:tx>
                <c:rich>
                  <a:bodyPr/>
                  <a:lstStyle/>
                  <a:p>
                    <a:r>
                      <a:rPr lang="en-GB"/>
                      <a:t>2000</a:t>
                    </a:r>
                  </a:p>
                </c:rich>
              </c:tx>
              <c:showLegendKey val="0"/>
              <c:showVal val="0"/>
              <c:showCatName val="0"/>
              <c:showSerName val="0"/>
              <c:showPercent val="0"/>
              <c:showBubbleSize val="0"/>
            </c:dLbl>
            <c:dLbl>
              <c:idx val="6"/>
              <c:tx>
                <c:rich>
                  <a:bodyPr/>
                  <a:lstStyle/>
                  <a:p>
                    <a:r>
                      <a:rPr lang="en-GB"/>
                      <a:t>2001</a:t>
                    </a:r>
                  </a:p>
                </c:rich>
              </c:tx>
              <c:showLegendKey val="0"/>
              <c:showVal val="0"/>
              <c:showCatName val="0"/>
              <c:showSerName val="0"/>
              <c:showPercent val="0"/>
              <c:showBubbleSize val="0"/>
            </c:dLbl>
            <c:dLbl>
              <c:idx val="7"/>
              <c:tx>
                <c:rich>
                  <a:bodyPr/>
                  <a:lstStyle/>
                  <a:p>
                    <a:r>
                      <a:rPr lang="en-GB"/>
                      <a:t>2002</a:t>
                    </a:r>
                  </a:p>
                </c:rich>
              </c:tx>
              <c:showLegendKey val="0"/>
              <c:showVal val="0"/>
              <c:showCatName val="0"/>
              <c:showSerName val="0"/>
              <c:showPercent val="0"/>
              <c:showBubbleSize val="0"/>
            </c:dLbl>
            <c:dLbl>
              <c:idx val="8"/>
              <c:tx>
                <c:rich>
                  <a:bodyPr/>
                  <a:lstStyle/>
                  <a:p>
                    <a:r>
                      <a:rPr lang="en-GB"/>
                      <a:t>2003</a:t>
                    </a:r>
                  </a:p>
                </c:rich>
              </c:tx>
              <c:showLegendKey val="0"/>
              <c:showVal val="0"/>
              <c:showCatName val="0"/>
              <c:showSerName val="0"/>
              <c:showPercent val="0"/>
              <c:showBubbleSize val="0"/>
            </c:dLbl>
            <c:dLbl>
              <c:idx val="9"/>
              <c:tx>
                <c:rich>
                  <a:bodyPr/>
                  <a:lstStyle/>
                  <a:p>
                    <a:r>
                      <a:rPr lang="en-GB"/>
                      <a:t>2004</a:t>
                    </a:r>
                  </a:p>
                </c:rich>
              </c:tx>
              <c:showLegendKey val="0"/>
              <c:showVal val="0"/>
              <c:showCatName val="0"/>
              <c:showSerName val="0"/>
              <c:showPercent val="0"/>
              <c:showBubbleSize val="0"/>
            </c:dLbl>
            <c:dLbl>
              <c:idx val="10"/>
              <c:tx>
                <c:rich>
                  <a:bodyPr/>
                  <a:lstStyle/>
                  <a:p>
                    <a:r>
                      <a:rPr lang="en-GB"/>
                      <a:t>2005</a:t>
                    </a:r>
                  </a:p>
                </c:rich>
              </c:tx>
              <c:showLegendKey val="0"/>
              <c:showVal val="0"/>
              <c:showCatName val="0"/>
              <c:showSerName val="0"/>
              <c:showPercent val="0"/>
              <c:showBubbleSize val="0"/>
            </c:dLbl>
            <c:dLbl>
              <c:idx val="11"/>
              <c:tx>
                <c:rich>
                  <a:bodyPr/>
                  <a:lstStyle/>
                  <a:p>
                    <a:r>
                      <a:rPr lang="en-GB"/>
                      <a:t>2006</a:t>
                    </a:r>
                  </a:p>
                </c:rich>
              </c:tx>
              <c:showLegendKey val="0"/>
              <c:showVal val="0"/>
              <c:showCatName val="0"/>
              <c:showSerName val="0"/>
              <c:showPercent val="0"/>
              <c:showBubbleSize val="0"/>
            </c:dLbl>
            <c:dLbl>
              <c:idx val="12"/>
              <c:tx>
                <c:rich>
                  <a:bodyPr/>
                  <a:lstStyle/>
                  <a:p>
                    <a:r>
                      <a:t>2007</a:t>
                    </a:r>
                  </a:p>
                </c:rich>
              </c:tx>
              <c:showLegendKey val="0"/>
              <c:showVal val="0"/>
              <c:showCatName val="0"/>
              <c:showSerName val="0"/>
              <c:showPercent val="0"/>
              <c:showBubbleSize val="0"/>
            </c:dLbl>
            <c:dLbl>
              <c:idx val="13"/>
              <c:tx>
                <c:rich>
                  <a:bodyPr/>
                  <a:lstStyle/>
                  <a:p>
                    <a:r>
                      <a:t>2008</a:t>
                    </a:r>
                  </a:p>
                </c:rich>
              </c:tx>
              <c:showLegendKey val="0"/>
              <c:showVal val="0"/>
              <c:showCatName val="0"/>
              <c:showSerName val="0"/>
              <c:showPercent val="0"/>
              <c:showBubbleSize val="0"/>
            </c:dLbl>
            <c:dLbl>
              <c:idx val="14"/>
              <c:tx>
                <c:rich>
                  <a:bodyPr/>
                  <a:lstStyle/>
                  <a:p>
                    <a:r>
                      <a:t>2009</a:t>
                    </a:r>
                  </a:p>
                </c:rich>
              </c:tx>
              <c:showLegendKey val="0"/>
              <c:showVal val="0"/>
              <c:showCatName val="0"/>
              <c:showSerName val="0"/>
              <c:showPercent val="0"/>
              <c:showBubbleSize val="0"/>
            </c:dLbl>
            <c:spPr>
              <a:noFill/>
              <a:ln w="25400">
                <a:noFill/>
              </a:ln>
            </c:spPr>
            <c:txPr>
              <a:bodyPr/>
              <a:lstStyle/>
              <a:p>
                <a:pPr>
                  <a:defRPr sz="8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trendline>
            <c:spPr>
              <a:ln w="25400">
                <a:solidFill>
                  <a:srgbClr val="008000"/>
                </a:solidFill>
                <a:prstDash val="solid"/>
              </a:ln>
            </c:spPr>
            <c:trendlineType val="linear"/>
            <c:dispRSqr val="0"/>
            <c:dispEq val="0"/>
          </c:trendline>
          <c:xVal>
            <c:numRef>
              <c:f>Sector1!$G$381:$AC$381</c:f>
              <c:numCache>
                <c:formatCode>0.0</c:formatCode>
                <c:ptCount val="12"/>
                <c:pt idx="0">
                  <c:v>15.14239020482211</c:v>
                </c:pt>
                <c:pt idx="1">
                  <c:v>8.0089717770564395</c:v>
                </c:pt>
                <c:pt idx="2">
                  <c:v>19.154704479239705</c:v>
                </c:pt>
                <c:pt idx="3">
                  <c:v>-7.8940715550444907</c:v>
                </c:pt>
                <c:pt idx="4">
                  <c:v>0.86462686046331338</c:v>
                </c:pt>
                <c:pt idx="5">
                  <c:v>5.250126509072528</c:v>
                </c:pt>
                <c:pt idx="6">
                  <c:v>3.3819442229902963</c:v>
                </c:pt>
                <c:pt idx="7">
                  <c:v>5.7181255573077072</c:v>
                </c:pt>
                <c:pt idx="8">
                  <c:v>1.8678264757333141</c:v>
                </c:pt>
                <c:pt idx="9">
                  <c:v>2.8710198106667972</c:v>
                </c:pt>
                <c:pt idx="10">
                  <c:v>5.4297177194466029</c:v>
                </c:pt>
                <c:pt idx="11">
                  <c:v>6.8482848708878441</c:v>
                </c:pt>
              </c:numCache>
            </c:numRef>
          </c:xVal>
          <c:yVal>
            <c:numRef>
              <c:f>'VVP2'!$G$188:$AA$188</c:f>
              <c:numCache>
                <c:formatCode>0.0</c:formatCode>
                <c:ptCount val="4"/>
                <c:pt idx="0">
                  <c:v>6.2742499558684717</c:v>
                </c:pt>
                <c:pt idx="1">
                  <c:v>5.3520737522436024</c:v>
                </c:pt>
                <c:pt idx="2">
                  <c:v>4.0906766427303953</c:v>
                </c:pt>
                <c:pt idx="3">
                  <c:v>3.0593383975462629</c:v>
                </c:pt>
              </c:numCache>
            </c:numRef>
          </c:yVal>
          <c:smooth val="0"/>
        </c:ser>
        <c:dLbls>
          <c:showLegendKey val="0"/>
          <c:showVal val="0"/>
          <c:showCatName val="0"/>
          <c:showSerName val="0"/>
          <c:showPercent val="0"/>
          <c:showBubbleSize val="0"/>
        </c:dLbls>
        <c:axId val="312964992"/>
        <c:axId val="312966528"/>
      </c:scatterChart>
      <c:valAx>
        <c:axId val="312964992"/>
        <c:scaling>
          <c:orientation val="minMax"/>
        </c:scaling>
        <c:delete val="0"/>
        <c:axPos val="b"/>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12966528"/>
        <c:crosses val="autoZero"/>
        <c:crossBetween val="midCat"/>
      </c:valAx>
      <c:valAx>
        <c:axId val="312966528"/>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12964992"/>
        <c:crosses val="autoZero"/>
        <c:crossBetween val="midCat"/>
      </c:valAx>
      <c:spPr>
        <a:noFill/>
        <a:ln w="12700">
          <a:solidFill>
            <a:srgbClr val="808080"/>
          </a:solidFill>
          <a:prstDash val="solid"/>
        </a:ln>
      </c:spPr>
    </c:plotArea>
    <c:legend>
      <c:legendPos val="r"/>
      <c:layout>
        <c:manualLayout>
          <c:xMode val="edge"/>
          <c:yMode val="edge"/>
          <c:x val="0.14285737720284963"/>
          <c:y val="0.85714520978995268"/>
          <c:w val="0.7165185601799775"/>
          <c:h val="0.126050714248954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Consumer prices</a:t>
            </a:r>
          </a:p>
        </c:rich>
      </c:tx>
      <c:layout>
        <c:manualLayout>
          <c:xMode val="edge"/>
          <c:yMode val="edge"/>
          <c:x val="0.37723261154855642"/>
          <c:y val="3.3613445378151259E-2"/>
        </c:manualLayout>
      </c:layout>
      <c:overlay val="0"/>
      <c:spPr>
        <a:noFill/>
        <a:ln w="25400">
          <a:noFill/>
        </a:ln>
      </c:spPr>
    </c:title>
    <c:autoTitleDeleted val="0"/>
    <c:plotArea>
      <c:layout>
        <c:manualLayout>
          <c:layoutTarget val="inner"/>
          <c:xMode val="edge"/>
          <c:yMode val="edge"/>
          <c:x val="0.12500013623933653"/>
          <c:y val="0.17647107096647127"/>
          <c:w val="0.80803659497571123"/>
          <c:h val="0.67507187464951701"/>
        </c:manualLayout>
      </c:layout>
      <c:lineChart>
        <c:grouping val="standard"/>
        <c:varyColors val="0"/>
        <c:ser>
          <c:idx val="0"/>
          <c:order val="0"/>
          <c:tx>
            <c:strRef>
              <c:f>'VVP2'!$F$367</c:f>
              <c:strCache>
                <c:ptCount val="1"/>
                <c:pt idx="0">
                  <c:v>CPI</c:v>
                </c:pt>
              </c:strCache>
            </c:strRef>
          </c:tx>
          <c:spPr>
            <a:ln w="25400">
              <a:solidFill>
                <a:srgbClr val="FF0000"/>
              </a:solidFill>
              <a:prstDash val="solid"/>
            </a:ln>
          </c:spPr>
          <c:marker>
            <c:symbol val="diamond"/>
            <c:size val="5"/>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'VVP2'!$G$367:$AA$367</c:f>
              <c:numCache>
                <c:formatCode>0.0</c:formatCode>
                <c:ptCount val="4"/>
                <c:pt idx="0">
                  <c:v>3.1000000000005024</c:v>
                </c:pt>
                <c:pt idx="1">
                  <c:v>0.99999999999949019</c:v>
                </c:pt>
                <c:pt idx="2">
                  <c:v>0.10378991446344799</c:v>
                </c:pt>
                <c:pt idx="3">
                  <c:v>-0.8841084346517758</c:v>
                </c:pt>
              </c:numCache>
            </c:numRef>
          </c:val>
          <c:smooth val="0"/>
        </c:ser>
        <c:ser>
          <c:idx val="1"/>
          <c:order val="1"/>
          <c:tx>
            <c:strRef>
              <c:f>'VVP2'!$F$368</c:f>
              <c:strCache>
                <c:ptCount val="1"/>
                <c:pt idx="0">
                  <c:v>HICP</c:v>
                </c:pt>
              </c:strCache>
            </c:strRef>
          </c:tx>
          <c:spPr>
            <a:ln w="25400">
              <a:solidFill>
                <a:srgbClr val="0000FF"/>
              </a:solidFill>
              <a:prstDash val="solid"/>
            </a:ln>
          </c:spPr>
          <c:marker>
            <c:symbol val="circle"/>
            <c:size val="5"/>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'VVP2'!$G$368:$AA$368</c:f>
              <c:numCache>
                <c:formatCode>0.0</c:formatCode>
                <c:ptCount val="4"/>
                <c:pt idx="0">
                  <c:v>3.1640472788673879</c:v>
                </c:pt>
                <c:pt idx="1">
                  <c:v>1.1641863705416533</c:v>
                </c:pt>
                <c:pt idx="2">
                  <c:v>0.24227137713090929</c:v>
                </c:pt>
                <c:pt idx="3">
                  <c:v>-0.67705143273386614</c:v>
                </c:pt>
              </c:numCache>
            </c:numRef>
          </c:val>
          <c:smooth val="0"/>
        </c:ser>
        <c:ser>
          <c:idx val="2"/>
          <c:order val="2"/>
          <c:tx>
            <c:v>HH Private Consumption Deflator</c:v>
          </c:tx>
          <c:spPr>
            <a:ln w="25400">
              <a:solidFill>
                <a:srgbClr val="008000"/>
              </a:solidFill>
              <a:prstDash val="solid"/>
            </a:ln>
          </c:spPr>
          <c:marker>
            <c:symbol val="square"/>
            <c:size val="5"/>
            <c:spPr>
              <a:solidFill>
                <a:srgbClr val="FFFFFF"/>
              </a:solidFill>
              <a:ln>
                <a:solidFill>
                  <a:srgbClr val="008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'VVP2'!$G$366:$AA$366</c:f>
              <c:numCache>
                <c:formatCode>0.0</c:formatCode>
                <c:ptCount val="4"/>
                <c:pt idx="0">
                  <c:v>3.0842672994858988</c:v>
                </c:pt>
                <c:pt idx="1">
                  <c:v>0.99570099620622798</c:v>
                </c:pt>
                <c:pt idx="2">
                  <c:v>0.11940834992987259</c:v>
                </c:pt>
                <c:pt idx="3">
                  <c:v>-0.88207624615264102</c:v>
                </c:pt>
              </c:numCache>
            </c:numRef>
          </c:val>
          <c:smooth val="0"/>
        </c:ser>
        <c:ser>
          <c:idx val="3"/>
          <c:order val="3"/>
          <c:tx>
            <c:strRef>
              <c:f>'VVP2'!$E$459</c:f>
              <c:strCache>
                <c:ptCount val="1"/>
                <c:pt idx="0">
                  <c:v>GDP</c:v>
                </c:pt>
              </c:strCache>
            </c:strRef>
          </c:tx>
          <c:spPr>
            <a:ln w="25400">
              <a:solidFill>
                <a:srgbClr val="CC99FF"/>
              </a:solidFill>
              <a:prstDash val="solid"/>
            </a:ln>
          </c:spPr>
          <c:marker>
            <c:symbol val="circle"/>
            <c:size val="5"/>
            <c:spPr>
              <a:solidFill>
                <a:srgbClr val="FFFFFF"/>
              </a:solidFill>
              <a:ln>
                <a:solidFill>
                  <a:srgbClr val="CC99FF"/>
                </a:solidFill>
                <a:prstDash val="solid"/>
              </a:ln>
            </c:spPr>
          </c:marker>
          <c:val>
            <c:numRef>
              <c:f>'VVP2'!$G$459:$AA$459</c:f>
              <c:numCache>
                <c:formatCode>0.0</c:formatCode>
                <c:ptCount val="4"/>
                <c:pt idx="0">
                  <c:v>2.6985317613326787</c:v>
                </c:pt>
                <c:pt idx="1">
                  <c:v>1.2876867061512698</c:v>
                </c:pt>
                <c:pt idx="2">
                  <c:v>1.0274576903502863</c:v>
                </c:pt>
                <c:pt idx="3">
                  <c:v>0.30629837646263258</c:v>
                </c:pt>
              </c:numCache>
            </c:numRef>
          </c:val>
          <c:smooth val="0"/>
        </c:ser>
        <c:dLbls>
          <c:showLegendKey val="0"/>
          <c:showVal val="0"/>
          <c:showCatName val="0"/>
          <c:showSerName val="0"/>
          <c:showPercent val="0"/>
          <c:showBubbleSize val="0"/>
        </c:dLbls>
        <c:marker val="1"/>
        <c:smooth val="0"/>
        <c:axId val="317770368"/>
        <c:axId val="318932864"/>
      </c:lineChart>
      <c:catAx>
        <c:axId val="317770368"/>
        <c:scaling>
          <c:orientation val="minMax"/>
        </c:scaling>
        <c:delete val="0"/>
        <c:axPos val="b"/>
        <c:majorGridlines>
          <c:spPr>
            <a:ln w="3175">
              <a:solidFill>
                <a:srgbClr val="000000"/>
              </a:solidFill>
              <a:prstDash val="solid"/>
            </a:ln>
          </c:spPr>
        </c:majorGridlines>
        <c:numFmt formatCode="0" sourceLinked="1"/>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18932864"/>
        <c:crosses val="autoZero"/>
        <c:auto val="1"/>
        <c:lblAlgn val="ctr"/>
        <c:lblOffset val="100"/>
        <c:tickLblSkip val="2"/>
        <c:tickMarkSkip val="1"/>
        <c:noMultiLvlLbl val="0"/>
      </c:catAx>
      <c:valAx>
        <c:axId val="318932864"/>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17770368"/>
        <c:crosses val="autoZero"/>
        <c:crossBetween val="midCat"/>
      </c:valAx>
      <c:spPr>
        <a:noFill/>
        <a:ln w="12700">
          <a:solidFill>
            <a:srgbClr val="808080"/>
          </a:solidFill>
          <a:prstDash val="solid"/>
        </a:ln>
      </c:spPr>
    </c:plotArea>
    <c:legend>
      <c:legendPos val="r"/>
      <c:layout>
        <c:manualLayout>
          <c:xMode val="edge"/>
          <c:yMode val="edge"/>
          <c:x val="3.3482142857142856E-2"/>
          <c:y val="0.91316761875353814"/>
          <c:w val="0.93080450881139853"/>
          <c:h val="6.722718483718948E-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Government consumption expenditure (VOL &amp; VAL)</a:t>
            </a:r>
          </a:p>
        </c:rich>
      </c:tx>
      <c:layout>
        <c:manualLayout>
          <c:xMode val="edge"/>
          <c:yMode val="edge"/>
          <c:x val="0.13169666291713536"/>
          <c:y val="3.3613445378151259E-2"/>
        </c:manualLayout>
      </c:layout>
      <c:overlay val="0"/>
      <c:spPr>
        <a:noFill/>
        <a:ln w="25400">
          <a:noFill/>
        </a:ln>
      </c:spPr>
    </c:title>
    <c:autoTitleDeleted val="0"/>
    <c:plotArea>
      <c:layout>
        <c:manualLayout>
          <c:layoutTarget val="inner"/>
          <c:xMode val="edge"/>
          <c:yMode val="edge"/>
          <c:x val="0.10044653804946686"/>
          <c:y val="0.17366994285589235"/>
          <c:w val="0.83259019316558092"/>
          <c:h val="0.61344705621678108"/>
        </c:manualLayout>
      </c:layout>
      <c:lineChart>
        <c:grouping val="standard"/>
        <c:varyColors val="0"/>
        <c:ser>
          <c:idx val="0"/>
          <c:order val="0"/>
          <c:tx>
            <c:v>VAL GVT Individual consumption expenditure (P.31)</c:v>
          </c:tx>
          <c:spPr>
            <a:ln w="25400">
              <a:solidFill>
                <a:srgbClr val="FF0000"/>
              </a:solidFill>
              <a:prstDash val="solid"/>
            </a:ln>
          </c:spPr>
          <c:marker>
            <c:symbol val="diamond"/>
            <c:size val="5"/>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'VVP2'!$G$197:$AA$197</c:f>
              <c:numCache>
                <c:formatCode>0.0</c:formatCode>
                <c:ptCount val="4"/>
                <c:pt idx="0">
                  <c:v>-1.0931650187193998</c:v>
                </c:pt>
                <c:pt idx="1">
                  <c:v>0.39278131634818969</c:v>
                </c:pt>
                <c:pt idx="2">
                  <c:v>2.4909741839000743</c:v>
                </c:pt>
                <c:pt idx="3">
                  <c:v>7.2535667963683492</c:v>
                </c:pt>
              </c:numCache>
            </c:numRef>
          </c:val>
          <c:smooth val="0"/>
        </c:ser>
        <c:ser>
          <c:idx val="1"/>
          <c:order val="1"/>
          <c:tx>
            <c:v>VAL GVT Collective consumption expenditure (P.32)</c:v>
          </c:tx>
          <c:spPr>
            <a:ln w="25400">
              <a:solidFill>
                <a:srgbClr val="0000FF"/>
              </a:solidFill>
              <a:prstDash val="solid"/>
            </a:ln>
          </c:spPr>
          <c:marker>
            <c:symbol val="circle"/>
            <c:size val="5"/>
            <c:spPr>
              <a:solidFill>
                <a:srgbClr val="FFFFFF"/>
              </a:solidFill>
              <a:ln>
                <a:solidFill>
                  <a:srgbClr val="0000FF"/>
                </a:solidFill>
                <a:prstDash val="solid"/>
              </a:ln>
            </c:spPr>
          </c:marker>
          <c:val>
            <c:numRef>
              <c:f>'VVP2'!$G$198:$AA$198</c:f>
              <c:numCache>
                <c:formatCode>0.0</c:formatCode>
                <c:ptCount val="4"/>
                <c:pt idx="0">
                  <c:v>5.3996039735760393</c:v>
                </c:pt>
                <c:pt idx="1">
                  <c:v>-0.26325344952794483</c:v>
                </c:pt>
                <c:pt idx="2">
                  <c:v>6.090992912572557</c:v>
                </c:pt>
                <c:pt idx="3">
                  <c:v>4.0791814780691826</c:v>
                </c:pt>
              </c:numCache>
            </c:numRef>
          </c:val>
          <c:smooth val="0"/>
        </c:ser>
        <c:dLbls>
          <c:showLegendKey val="0"/>
          <c:showVal val="0"/>
          <c:showCatName val="0"/>
          <c:showSerName val="0"/>
          <c:showPercent val="0"/>
          <c:showBubbleSize val="0"/>
        </c:dLbls>
        <c:marker val="1"/>
        <c:smooth val="0"/>
        <c:axId val="234915328"/>
        <c:axId val="234917248"/>
      </c:lineChart>
      <c:catAx>
        <c:axId val="234915328"/>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34917248"/>
        <c:crosses val="autoZero"/>
        <c:auto val="1"/>
        <c:lblAlgn val="ctr"/>
        <c:lblOffset val="100"/>
        <c:tickLblSkip val="2"/>
        <c:tickMarkSkip val="1"/>
        <c:noMultiLvlLbl val="0"/>
      </c:catAx>
      <c:valAx>
        <c:axId val="234917248"/>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34915328"/>
        <c:crosses val="autoZero"/>
        <c:crossBetween val="midCat"/>
      </c:valAx>
      <c:spPr>
        <a:noFill/>
        <a:ln w="12700">
          <a:solidFill>
            <a:srgbClr val="808080"/>
          </a:solidFill>
          <a:prstDash val="solid"/>
        </a:ln>
      </c:spPr>
    </c:plotArea>
    <c:legend>
      <c:legendPos val="r"/>
      <c:layout>
        <c:manualLayout>
          <c:xMode val="edge"/>
          <c:yMode val="edge"/>
          <c:x val="0.12946452005999248"/>
          <c:y val="0.89075865516810404"/>
          <c:w val="0.78348308023996993"/>
          <c:h val="9.5238389318982208E-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Investment - total and government (VOL)</a:t>
            </a:r>
          </a:p>
        </c:rich>
      </c:tx>
      <c:layout>
        <c:manualLayout>
          <c:xMode val="edge"/>
          <c:yMode val="edge"/>
          <c:x val="0.20982166291713536"/>
          <c:y val="3.3519553072625698E-2"/>
        </c:manualLayout>
      </c:layout>
      <c:overlay val="0"/>
      <c:spPr>
        <a:noFill/>
        <a:ln w="25400">
          <a:noFill/>
        </a:ln>
      </c:spPr>
    </c:title>
    <c:autoTitleDeleted val="0"/>
    <c:plotArea>
      <c:layout>
        <c:manualLayout>
          <c:layoutTarget val="inner"/>
          <c:xMode val="edge"/>
          <c:yMode val="edge"/>
          <c:x val="0.10044653804946686"/>
          <c:y val="0.17597789365001643"/>
          <c:w val="0.83259019316558092"/>
          <c:h val="0.56145327974052861"/>
        </c:manualLayout>
      </c:layout>
      <c:lineChart>
        <c:grouping val="standard"/>
        <c:varyColors val="0"/>
        <c:ser>
          <c:idx val="1"/>
          <c:order val="0"/>
          <c:tx>
            <c:strRef>
              <c:f>'VVP2'!$D$48:$E$48</c:f>
              <c:strCache>
                <c:ptCount val="1"/>
                <c:pt idx="0">
                  <c:v>GVT Gross fixed capital formation (P.51)</c:v>
                </c:pt>
              </c:strCache>
            </c:strRef>
          </c:tx>
          <c:spPr>
            <a:ln w="25400">
              <a:solidFill>
                <a:srgbClr val="0000FF"/>
              </a:solidFill>
              <a:prstDash val="solid"/>
            </a:ln>
          </c:spPr>
          <c:marker>
            <c:symbol val="circle"/>
            <c:size val="5"/>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'VVP2'!$G$48:$AA$48</c:f>
              <c:numCache>
                <c:formatCode>0.00</c:formatCode>
                <c:ptCount val="4"/>
                <c:pt idx="0">
                  <c:v>-12.52337447152383</c:v>
                </c:pt>
                <c:pt idx="1">
                  <c:v>-3.6784613622074303</c:v>
                </c:pt>
                <c:pt idx="2">
                  <c:v>-4.4133698202302512</c:v>
                </c:pt>
                <c:pt idx="3">
                  <c:v>4.5211434202917067</c:v>
                </c:pt>
              </c:numCache>
            </c:numRef>
          </c:val>
          <c:smooth val="0"/>
        </c:ser>
        <c:ser>
          <c:idx val="0"/>
          <c:order val="1"/>
          <c:tx>
            <c:strRef>
              <c:f>'VVP2'!$E$42</c:f>
              <c:strCache>
                <c:ptCount val="1"/>
                <c:pt idx="0">
                  <c:v>Gross fixed capital formation (P.51)</c:v>
                </c:pt>
              </c:strCache>
            </c:strRef>
          </c:tx>
          <c:spPr>
            <a:ln w="25400">
              <a:solidFill>
                <a:srgbClr val="FF0000"/>
              </a:solidFill>
              <a:prstDash val="solid"/>
            </a:ln>
          </c:spPr>
          <c:marker>
            <c:symbol val="diamond"/>
            <c:size val="5"/>
            <c:spPr>
              <a:solidFill>
                <a:srgbClr val="FFFFFF"/>
              </a:solidFill>
              <a:ln>
                <a:solidFill>
                  <a:srgbClr val="FF0000"/>
                </a:solidFill>
                <a:prstDash val="solid"/>
              </a:ln>
            </c:spPr>
          </c:marker>
          <c:val>
            <c:numRef>
              <c:f>'VVP2'!$G$42:$AA$42</c:f>
              <c:numCache>
                <c:formatCode>0.0</c:formatCode>
                <c:ptCount val="4"/>
                <c:pt idx="0">
                  <c:v>-1.7782896509459301</c:v>
                </c:pt>
                <c:pt idx="1">
                  <c:v>8.2995817129866154</c:v>
                </c:pt>
                <c:pt idx="2">
                  <c:v>5.75191791299281</c:v>
                </c:pt>
                <c:pt idx="3">
                  <c:v>4.8264990153196852</c:v>
                </c:pt>
              </c:numCache>
            </c:numRef>
          </c:val>
          <c:smooth val="0"/>
        </c:ser>
        <c:dLbls>
          <c:showLegendKey val="0"/>
          <c:showVal val="0"/>
          <c:showCatName val="0"/>
          <c:showSerName val="0"/>
          <c:showPercent val="0"/>
          <c:showBubbleSize val="0"/>
        </c:dLbls>
        <c:marker val="1"/>
        <c:smooth val="0"/>
        <c:axId val="234942464"/>
        <c:axId val="234944384"/>
      </c:lineChart>
      <c:catAx>
        <c:axId val="234942464"/>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34944384"/>
        <c:crosses val="autoZero"/>
        <c:auto val="1"/>
        <c:lblAlgn val="ctr"/>
        <c:lblOffset val="100"/>
        <c:tickLblSkip val="2"/>
        <c:tickMarkSkip val="1"/>
        <c:noMultiLvlLbl val="0"/>
      </c:catAx>
      <c:valAx>
        <c:axId val="234944384"/>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34942464"/>
        <c:crosses val="autoZero"/>
        <c:crossBetween val="midCat"/>
      </c:valAx>
      <c:spPr>
        <a:noFill/>
        <a:ln w="12700">
          <a:solidFill>
            <a:srgbClr val="808080"/>
          </a:solidFill>
          <a:prstDash val="solid"/>
        </a:ln>
      </c:spPr>
    </c:plotArea>
    <c:legend>
      <c:legendPos val="r"/>
      <c:layout>
        <c:manualLayout>
          <c:xMode val="edge"/>
          <c:yMode val="edge"/>
          <c:x val="0.21205380577427821"/>
          <c:y val="0.85474977638968308"/>
          <c:w val="0.60714356017997739"/>
          <c:h val="0.12569861728177834"/>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Investment by product (VOL)</a:t>
            </a:r>
          </a:p>
        </c:rich>
      </c:tx>
      <c:layout>
        <c:manualLayout>
          <c:xMode val="edge"/>
          <c:yMode val="edge"/>
          <c:x val="0.29687523434570678"/>
          <c:y val="3.3707865168539325E-2"/>
        </c:manualLayout>
      </c:layout>
      <c:overlay val="0"/>
      <c:spPr>
        <a:noFill/>
        <a:ln w="25400">
          <a:noFill/>
        </a:ln>
      </c:spPr>
    </c:title>
    <c:autoTitleDeleted val="0"/>
    <c:plotArea>
      <c:layout>
        <c:manualLayout>
          <c:layoutTarget val="inner"/>
          <c:xMode val="edge"/>
          <c:yMode val="edge"/>
          <c:x val="0.10044653804946686"/>
          <c:y val="0.17696629213483145"/>
          <c:w val="0.83259019316558092"/>
          <c:h val="0.4410112359550562"/>
        </c:manualLayout>
      </c:layout>
      <c:lineChart>
        <c:grouping val="standard"/>
        <c:varyColors val="0"/>
        <c:ser>
          <c:idx val="0"/>
          <c:order val="0"/>
          <c:tx>
            <c:strRef>
              <c:f>'VVP2'!$D$35:$E$35</c:f>
              <c:strCache>
                <c:ptCount val="1"/>
                <c:pt idx="0">
                  <c:v>HH+E Non-residential construction and civil engineering</c:v>
                </c:pt>
              </c:strCache>
            </c:strRef>
          </c:tx>
          <c:spPr>
            <a:ln w="25400">
              <a:solidFill>
                <a:srgbClr val="FF0000"/>
              </a:solidFill>
              <a:prstDash val="solid"/>
            </a:ln>
          </c:spPr>
          <c:marker>
            <c:symbol val="diamond"/>
            <c:size val="5"/>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'VVP2'!$G$35:$AA$35</c:f>
              <c:numCache>
                <c:formatCode>0.0</c:formatCode>
                <c:ptCount val="4"/>
                <c:pt idx="0">
                  <c:v>-5.8693764247941367</c:v>
                </c:pt>
                <c:pt idx="1">
                  <c:v>7.1093482925784546</c:v>
                </c:pt>
                <c:pt idx="2">
                  <c:v>6.2033270013151176</c:v>
                </c:pt>
                <c:pt idx="3">
                  <c:v>-4.1921024237289384</c:v>
                </c:pt>
              </c:numCache>
            </c:numRef>
          </c:val>
          <c:smooth val="0"/>
        </c:ser>
        <c:ser>
          <c:idx val="1"/>
          <c:order val="1"/>
          <c:tx>
            <c:strRef>
              <c:f>'VVP2'!$D$36:$E$36</c:f>
              <c:strCache>
                <c:ptCount val="1"/>
                <c:pt idx="0">
                  <c:v>HH+E Dwellings</c:v>
                </c:pt>
              </c:strCache>
            </c:strRef>
          </c:tx>
          <c:spPr>
            <a:ln w="25400">
              <a:solidFill>
                <a:srgbClr val="0000FF"/>
              </a:solidFill>
              <a:prstDash val="solid"/>
            </a:ln>
          </c:spPr>
          <c:marker>
            <c:symbol val="circle"/>
            <c:size val="5"/>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'VVP2'!$G$36:$AA$36</c:f>
              <c:numCache>
                <c:formatCode>0.0</c:formatCode>
                <c:ptCount val="4"/>
                <c:pt idx="0">
                  <c:v>2.2547401744518636</c:v>
                </c:pt>
                <c:pt idx="1">
                  <c:v>11.5240839851791</c:v>
                </c:pt>
                <c:pt idx="2">
                  <c:v>16.917443113860877</c:v>
                </c:pt>
                <c:pt idx="3">
                  <c:v>14.887597878252091</c:v>
                </c:pt>
              </c:numCache>
            </c:numRef>
          </c:val>
          <c:smooth val="0"/>
        </c:ser>
        <c:ser>
          <c:idx val="2"/>
          <c:order val="2"/>
          <c:tx>
            <c:strRef>
              <c:f>'VVP2'!$D$40:$E$40</c:f>
              <c:strCache>
                <c:ptCount val="1"/>
                <c:pt idx="0">
                  <c:v>HH+E Equipment</c:v>
                </c:pt>
              </c:strCache>
            </c:strRef>
          </c:tx>
          <c:spPr>
            <a:ln w="25400">
              <a:solidFill>
                <a:srgbClr val="008000"/>
              </a:solidFill>
              <a:prstDash val="solid"/>
            </a:ln>
          </c:spPr>
          <c:marker>
            <c:symbol val="triangle"/>
            <c:size val="5"/>
            <c:spPr>
              <a:solidFill>
                <a:srgbClr val="FFFFFF"/>
              </a:solidFill>
              <a:ln>
                <a:solidFill>
                  <a:srgbClr val="008000"/>
                </a:solidFill>
                <a:prstDash val="solid"/>
              </a:ln>
            </c:spPr>
          </c:marker>
          <c:val>
            <c:numRef>
              <c:f>'VVP2'!$G$40:$AA$40</c:f>
              <c:numCache>
                <c:formatCode>0.0</c:formatCode>
                <c:ptCount val="4"/>
                <c:pt idx="0">
                  <c:v>2.0960838861545206</c:v>
                </c:pt>
                <c:pt idx="1">
                  <c:v>12.348693656399657</c:v>
                </c:pt>
                <c:pt idx="2">
                  <c:v>-0.21174978078767337</c:v>
                </c:pt>
                <c:pt idx="3">
                  <c:v>13.386772610423003</c:v>
                </c:pt>
              </c:numCache>
            </c:numRef>
          </c:val>
          <c:smooth val="0"/>
        </c:ser>
        <c:ser>
          <c:idx val="3"/>
          <c:order val="3"/>
          <c:tx>
            <c:strRef>
              <c:f>'VVP2'!$D$41:$E$41</c:f>
              <c:strCache>
                <c:ptCount val="1"/>
                <c:pt idx="0">
                  <c:v>HH+E Others</c:v>
                </c:pt>
              </c:strCache>
            </c:strRef>
          </c:tx>
          <c:spPr>
            <a:ln w="25400">
              <a:solidFill>
                <a:srgbClr val="993300"/>
              </a:solidFill>
              <a:prstDash val="solid"/>
            </a:ln>
          </c:spPr>
          <c:marker>
            <c:symbol val="square"/>
            <c:size val="5"/>
            <c:spPr>
              <a:solidFill>
                <a:srgbClr val="FFFFFF"/>
              </a:solidFill>
              <a:ln>
                <a:solidFill>
                  <a:srgbClr val="993300"/>
                </a:solidFill>
                <a:prstDash val="solid"/>
              </a:ln>
            </c:spPr>
          </c:marker>
          <c:val>
            <c:numRef>
              <c:f>'VVP2'!$G$41:$AA$41</c:f>
              <c:numCache>
                <c:formatCode>0.0</c:formatCode>
                <c:ptCount val="4"/>
                <c:pt idx="0">
                  <c:v>0.23737659561089419</c:v>
                </c:pt>
                <c:pt idx="1">
                  <c:v>-3.9364521744585379</c:v>
                </c:pt>
                <c:pt idx="2">
                  <c:v>11.403523092746482</c:v>
                </c:pt>
                <c:pt idx="3">
                  <c:v>6.0171751809842133</c:v>
                </c:pt>
              </c:numCache>
            </c:numRef>
          </c:val>
          <c:smooth val="0"/>
        </c:ser>
        <c:dLbls>
          <c:showLegendKey val="0"/>
          <c:showVal val="0"/>
          <c:showCatName val="0"/>
          <c:showSerName val="0"/>
          <c:showPercent val="0"/>
          <c:showBubbleSize val="0"/>
        </c:dLbls>
        <c:marker val="1"/>
        <c:smooth val="0"/>
        <c:axId val="235061248"/>
        <c:axId val="235063168"/>
      </c:lineChart>
      <c:catAx>
        <c:axId val="235061248"/>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35063168"/>
        <c:crosses val="autoZero"/>
        <c:auto val="1"/>
        <c:lblAlgn val="ctr"/>
        <c:lblOffset val="100"/>
        <c:tickLblSkip val="2"/>
        <c:tickMarkSkip val="1"/>
        <c:noMultiLvlLbl val="0"/>
      </c:catAx>
      <c:valAx>
        <c:axId val="235063168"/>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35061248"/>
        <c:crosses val="autoZero"/>
        <c:crossBetween val="midCat"/>
      </c:valAx>
      <c:spPr>
        <a:noFill/>
        <a:ln w="12700">
          <a:solidFill>
            <a:srgbClr val="808080"/>
          </a:solidFill>
          <a:prstDash val="solid"/>
        </a:ln>
      </c:spPr>
    </c:plotArea>
    <c:legend>
      <c:legendPos val="r"/>
      <c:layout>
        <c:manualLayout>
          <c:xMode val="edge"/>
          <c:yMode val="edge"/>
          <c:x val="0.11607166291713535"/>
          <c:y val="0.7443820224719101"/>
          <c:w val="0.80134022309711284"/>
          <c:h val="0.2471910112359551"/>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Investment deflator - total and government</a:t>
            </a:r>
          </a:p>
        </c:rich>
      </c:tx>
      <c:layout>
        <c:manualLayout>
          <c:xMode val="edge"/>
          <c:yMode val="edge"/>
          <c:x val="0.19419666291713536"/>
          <c:y val="3.3519553072625698E-2"/>
        </c:manualLayout>
      </c:layout>
      <c:overlay val="0"/>
      <c:spPr>
        <a:noFill/>
        <a:ln w="25400">
          <a:noFill/>
        </a:ln>
      </c:spPr>
    </c:title>
    <c:autoTitleDeleted val="0"/>
    <c:plotArea>
      <c:layout>
        <c:manualLayout>
          <c:layoutTarget val="inner"/>
          <c:xMode val="edge"/>
          <c:yMode val="edge"/>
          <c:x val="0.10044653804946686"/>
          <c:y val="0.17597789365001643"/>
          <c:w val="0.83259019316558092"/>
          <c:h val="0.56145327974052861"/>
        </c:manualLayout>
      </c:layout>
      <c:lineChart>
        <c:grouping val="standard"/>
        <c:varyColors val="0"/>
        <c:ser>
          <c:idx val="1"/>
          <c:order val="0"/>
          <c:tx>
            <c:strRef>
              <c:f>'VVP2'!$D$427:$E$427</c:f>
              <c:strCache>
                <c:ptCount val="1"/>
                <c:pt idx="0">
                  <c:v>GVT Gross fixed capital formation (P.51)</c:v>
                </c:pt>
              </c:strCache>
            </c:strRef>
          </c:tx>
          <c:spPr>
            <a:ln w="25400">
              <a:solidFill>
                <a:srgbClr val="0000FF"/>
              </a:solidFill>
              <a:prstDash val="solid"/>
            </a:ln>
          </c:spPr>
          <c:marker>
            <c:symbol val="circle"/>
            <c:size val="5"/>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'VVP2'!$G$427:$AA$427</c:f>
              <c:numCache>
                <c:formatCode>0.0</c:formatCode>
                <c:ptCount val="4"/>
                <c:pt idx="0">
                  <c:v>1.9416019111292648</c:v>
                </c:pt>
                <c:pt idx="1">
                  <c:v>2.986863365274206</c:v>
                </c:pt>
                <c:pt idx="2">
                  <c:v>1.1235993196623495</c:v>
                </c:pt>
                <c:pt idx="3">
                  <c:v>1.1597464082638176</c:v>
                </c:pt>
              </c:numCache>
            </c:numRef>
          </c:val>
          <c:smooth val="0"/>
        </c:ser>
        <c:ser>
          <c:idx val="0"/>
          <c:order val="1"/>
          <c:tx>
            <c:strRef>
              <c:f>'VVP2'!$E$409</c:f>
              <c:strCache>
                <c:ptCount val="1"/>
                <c:pt idx="0">
                  <c:v>Gross fixed capital formation (P.51)</c:v>
                </c:pt>
              </c:strCache>
            </c:strRef>
          </c:tx>
          <c:spPr>
            <a:ln w="25400">
              <a:solidFill>
                <a:srgbClr val="FF0000"/>
              </a:solidFill>
              <a:prstDash val="solid"/>
            </a:ln>
          </c:spPr>
          <c:marker>
            <c:symbol val="diamond"/>
            <c:size val="5"/>
            <c:spPr>
              <a:solidFill>
                <a:srgbClr val="FFFFFF"/>
              </a:solidFill>
              <a:ln>
                <a:solidFill>
                  <a:srgbClr val="FF0000"/>
                </a:solidFill>
                <a:prstDash val="solid"/>
              </a:ln>
            </c:spPr>
          </c:marker>
          <c:val>
            <c:numRef>
              <c:f>'VVP2'!$G$421:$AA$421</c:f>
              <c:numCache>
                <c:formatCode>0.0</c:formatCode>
                <c:ptCount val="4"/>
                <c:pt idx="0">
                  <c:v>1.9323526745605557</c:v>
                </c:pt>
                <c:pt idx="1">
                  <c:v>2.9747201087897857</c:v>
                </c:pt>
                <c:pt idx="2">
                  <c:v>1.1621557069065647</c:v>
                </c:pt>
                <c:pt idx="3">
                  <c:v>1.1940762458118481</c:v>
                </c:pt>
              </c:numCache>
            </c:numRef>
          </c:val>
          <c:smooth val="0"/>
        </c:ser>
        <c:dLbls>
          <c:showLegendKey val="0"/>
          <c:showVal val="0"/>
          <c:showCatName val="0"/>
          <c:showSerName val="0"/>
          <c:showPercent val="0"/>
          <c:showBubbleSize val="0"/>
        </c:dLbls>
        <c:marker val="1"/>
        <c:smooth val="0"/>
        <c:axId val="235075840"/>
        <c:axId val="235299200"/>
      </c:lineChart>
      <c:catAx>
        <c:axId val="235075840"/>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35299200"/>
        <c:crosses val="autoZero"/>
        <c:auto val="1"/>
        <c:lblAlgn val="ctr"/>
        <c:lblOffset val="100"/>
        <c:tickLblSkip val="2"/>
        <c:tickMarkSkip val="1"/>
        <c:noMultiLvlLbl val="0"/>
      </c:catAx>
      <c:valAx>
        <c:axId val="235299200"/>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35075840"/>
        <c:crosses val="autoZero"/>
        <c:crossBetween val="midCat"/>
      </c:valAx>
      <c:spPr>
        <a:noFill/>
        <a:ln w="12700">
          <a:solidFill>
            <a:srgbClr val="808080"/>
          </a:solidFill>
          <a:prstDash val="solid"/>
        </a:ln>
      </c:spPr>
    </c:plotArea>
    <c:legend>
      <c:legendPos val="r"/>
      <c:layout>
        <c:manualLayout>
          <c:xMode val="edge"/>
          <c:yMode val="edge"/>
          <c:x val="0.21205380577427821"/>
          <c:y val="0.85474977638968308"/>
          <c:w val="0.60714356017997739"/>
          <c:h val="0.12569861728177834"/>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GB"/>
              <a:t>Contributions to GDP growth</a:t>
            </a:r>
          </a:p>
        </c:rich>
      </c:tx>
      <c:layout>
        <c:manualLayout>
          <c:xMode val="edge"/>
          <c:yMode val="edge"/>
          <c:x val="0.37388392857142855"/>
          <c:y val="3.0588235294117649E-2"/>
        </c:manualLayout>
      </c:layout>
      <c:overlay val="0"/>
      <c:spPr>
        <a:noFill/>
        <a:ln w="25400">
          <a:noFill/>
        </a:ln>
      </c:spPr>
    </c:title>
    <c:autoTitleDeleted val="0"/>
    <c:plotArea>
      <c:layout>
        <c:manualLayout>
          <c:layoutTarget val="inner"/>
          <c:xMode val="edge"/>
          <c:yMode val="edge"/>
          <c:x val="5.0223214285714288E-2"/>
          <c:y val="0.17411764705882352"/>
          <c:w val="0.9006696428571429"/>
          <c:h val="0.59294117647058819"/>
        </c:manualLayout>
      </c:layout>
      <c:barChart>
        <c:barDir val="col"/>
        <c:grouping val="stacked"/>
        <c:varyColors val="0"/>
        <c:ser>
          <c:idx val="6"/>
          <c:order val="4"/>
          <c:tx>
            <c:strRef>
              <c:f>'VVP2'!$E$144</c:f>
              <c:strCache>
                <c:ptCount val="1"/>
                <c:pt idx="0">
                  <c:v>Gross domestic product (B.1g)</c:v>
                </c:pt>
              </c:strCache>
            </c:strRef>
          </c:tx>
          <c:spPr>
            <a:solidFill>
              <a:srgbClr val="0066CC"/>
            </a:solidFill>
            <a:ln w="12700">
              <a:solidFill>
                <a:srgbClr val="000000"/>
              </a:solidFill>
              <a:prstDash val="solid"/>
            </a:ln>
          </c:spPr>
          <c:invertIfNegative val="0"/>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'VVP2'!$G$144:$AA$144</c:f>
              <c:numCache>
                <c:formatCode>0.0</c:formatCode>
                <c:ptCount val="4"/>
                <c:pt idx="0">
                  <c:v>3.8269382239940808</c:v>
                </c:pt>
                <c:pt idx="1">
                  <c:v>3.4985772305690102</c:v>
                </c:pt>
                <c:pt idx="2">
                  <c:v>3.5375855747539444</c:v>
                </c:pt>
                <c:pt idx="3">
                  <c:v>2.0346676424249104</c:v>
                </c:pt>
              </c:numCache>
            </c:numRef>
          </c:val>
        </c:ser>
        <c:dLbls>
          <c:showLegendKey val="0"/>
          <c:showVal val="0"/>
          <c:showCatName val="0"/>
          <c:showSerName val="0"/>
          <c:showPercent val="0"/>
          <c:showBubbleSize val="0"/>
        </c:dLbls>
        <c:gapWidth val="30"/>
        <c:overlap val="100"/>
        <c:axId val="235337216"/>
        <c:axId val="235338752"/>
      </c:barChart>
      <c:barChart>
        <c:barDir val="col"/>
        <c:grouping val="stacked"/>
        <c:varyColors val="0"/>
        <c:ser>
          <c:idx val="0"/>
          <c:order val="0"/>
          <c:tx>
            <c:strRef>
              <c:f>'VVP2'!$E$134</c:f>
              <c:strCache>
                <c:ptCount val="1"/>
                <c:pt idx="0">
                  <c:v>Final consumption expenditure (P.3)</c:v>
                </c:pt>
              </c:strCache>
            </c:strRef>
          </c:tx>
          <c:spPr>
            <a:solidFill>
              <a:srgbClr val="FFCC99"/>
            </a:solidFill>
            <a:ln w="12700">
              <a:solidFill>
                <a:srgbClr val="000000"/>
              </a:solidFill>
              <a:prstDash val="solid"/>
            </a:ln>
          </c:spPr>
          <c:invertIfNegative val="0"/>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'VVP2'!$G$134:$AA$134</c:f>
              <c:numCache>
                <c:formatCode>0.0</c:formatCode>
                <c:ptCount val="4"/>
                <c:pt idx="0">
                  <c:v>1.933767657054497</c:v>
                </c:pt>
                <c:pt idx="1">
                  <c:v>2.6864840775891077</c:v>
                </c:pt>
                <c:pt idx="2">
                  <c:v>2.4827050966901307</c:v>
                </c:pt>
                <c:pt idx="3">
                  <c:v>2.4767860084189945</c:v>
                </c:pt>
              </c:numCache>
            </c:numRef>
          </c:val>
        </c:ser>
        <c:ser>
          <c:idx val="1"/>
          <c:order val="1"/>
          <c:tx>
            <c:strRef>
              <c:f>'VVP2'!$E$135</c:f>
              <c:strCache>
                <c:ptCount val="1"/>
                <c:pt idx="0">
                  <c:v>Final consumption expenditure (P.3)</c:v>
                </c:pt>
              </c:strCache>
            </c:strRef>
          </c:tx>
          <c:spPr>
            <a:solidFill>
              <a:srgbClr val="FFFF99"/>
            </a:solidFill>
            <a:ln w="12700">
              <a:solidFill>
                <a:srgbClr val="000000"/>
              </a:solidFill>
              <a:prstDash val="solid"/>
            </a:ln>
          </c:spPr>
          <c:invertIfNegative val="0"/>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'VVP2'!$G$135:$AA$135</c:f>
              <c:numCache>
                <c:formatCode>0.0</c:formatCode>
                <c:ptCount val="4"/>
                <c:pt idx="0">
                  <c:v>0.23577722985146193</c:v>
                </c:pt>
                <c:pt idx="1">
                  <c:v>0.12636261192536491</c:v>
                </c:pt>
                <c:pt idx="2">
                  <c:v>4.7974411398629797E-2</c:v>
                </c:pt>
                <c:pt idx="3">
                  <c:v>2.7291541722860111E-2</c:v>
                </c:pt>
              </c:numCache>
            </c:numRef>
          </c:val>
        </c:ser>
        <c:ser>
          <c:idx val="2"/>
          <c:order val="2"/>
          <c:tx>
            <c:strRef>
              <c:f>'VVP2'!$E$136</c:f>
              <c:strCache>
                <c:ptCount val="1"/>
                <c:pt idx="0">
                  <c:v>Gross fixed capital formation (P.51)</c:v>
                </c:pt>
              </c:strCache>
            </c:strRef>
          </c:tx>
          <c:spPr>
            <a:solidFill>
              <a:srgbClr val="CCFFCC"/>
            </a:solidFill>
            <a:ln w="12700">
              <a:solidFill>
                <a:srgbClr val="000000"/>
              </a:solidFill>
              <a:prstDash val="solid"/>
            </a:ln>
          </c:spPr>
          <c:invertIfNegative val="0"/>
          <c:val>
            <c:numRef>
              <c:f>'VVP2'!$G$136:$AA$136</c:f>
              <c:numCache>
                <c:formatCode>0.0</c:formatCode>
                <c:ptCount val="4"/>
                <c:pt idx="0">
                  <c:v>-0.32870928527605825</c:v>
                </c:pt>
                <c:pt idx="1">
                  <c:v>1.4404922785751533</c:v>
                </c:pt>
                <c:pt idx="2">
                  <c:v>1.0620226431963415</c:v>
                </c:pt>
                <c:pt idx="3">
                  <c:v>0.91142762758598306</c:v>
                </c:pt>
              </c:numCache>
            </c:numRef>
          </c:val>
        </c:ser>
        <c:ser>
          <c:idx val="3"/>
          <c:order val="3"/>
          <c:tx>
            <c:strRef>
              <c:f>'VVP2'!$E$138</c:f>
              <c:strCache>
                <c:ptCount val="1"/>
                <c:pt idx="0">
                  <c:v>Changes in inventories / valuables (P.52+P.53)</c:v>
                </c:pt>
              </c:strCache>
            </c:strRef>
          </c:tx>
          <c:spPr>
            <a:solidFill>
              <a:srgbClr val="CCFFFF"/>
            </a:solidFill>
            <a:ln w="12700">
              <a:solidFill>
                <a:srgbClr val="000000"/>
              </a:solidFill>
              <a:prstDash val="solid"/>
            </a:ln>
          </c:spPr>
          <c:invertIfNegative val="0"/>
          <c:val>
            <c:numRef>
              <c:f>'VVP2'!$G$138:$S$138</c:f>
            </c:numRef>
          </c:val>
        </c:ser>
        <c:ser>
          <c:idx val="4"/>
          <c:order val="5"/>
          <c:tx>
            <c:strRef>
              <c:f>'VVP2'!$E$143</c:f>
              <c:strCache>
                <c:ptCount val="1"/>
                <c:pt idx="0">
                  <c:v>Net exports</c:v>
                </c:pt>
              </c:strCache>
            </c:strRef>
          </c:tx>
          <c:spPr>
            <a:solidFill>
              <a:srgbClr val="FF99CC"/>
            </a:solidFill>
            <a:ln w="12700">
              <a:solidFill>
                <a:srgbClr val="000000"/>
              </a:solidFill>
              <a:prstDash val="solid"/>
            </a:ln>
          </c:spPr>
          <c:invertIfNegative val="0"/>
          <c:val>
            <c:numRef>
              <c:f>'VVP2'!$G$143:$AA$143</c:f>
              <c:numCache>
                <c:formatCode>0.0</c:formatCode>
                <c:ptCount val="4"/>
                <c:pt idx="0">
                  <c:v>4.1379763532346994</c:v>
                </c:pt>
                <c:pt idx="1">
                  <c:v>0.68814118466482288</c:v>
                </c:pt>
                <c:pt idx="2">
                  <c:v>0.18357248352468503</c:v>
                </c:pt>
                <c:pt idx="3">
                  <c:v>-5.1941064773000667</c:v>
                </c:pt>
              </c:numCache>
            </c:numRef>
          </c:val>
        </c:ser>
        <c:dLbls>
          <c:showLegendKey val="0"/>
          <c:showVal val="0"/>
          <c:showCatName val="0"/>
          <c:showSerName val="0"/>
          <c:showPercent val="0"/>
          <c:showBubbleSize val="0"/>
        </c:dLbls>
        <c:gapWidth val="150"/>
        <c:overlap val="100"/>
        <c:axId val="252314368"/>
        <c:axId val="252315904"/>
      </c:barChart>
      <c:catAx>
        <c:axId val="235337216"/>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235338752"/>
        <c:crosses val="autoZero"/>
        <c:auto val="1"/>
        <c:lblAlgn val="ctr"/>
        <c:lblOffset val="100"/>
        <c:tickLblSkip val="2"/>
        <c:tickMarkSkip val="1"/>
        <c:noMultiLvlLbl val="0"/>
      </c:catAx>
      <c:valAx>
        <c:axId val="235338752"/>
        <c:scaling>
          <c:orientation val="minMax"/>
          <c:max val="5"/>
          <c:min val="-2"/>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235337216"/>
        <c:crosses val="autoZero"/>
        <c:crossBetween val="between"/>
      </c:valAx>
      <c:catAx>
        <c:axId val="252314368"/>
        <c:scaling>
          <c:orientation val="minMax"/>
        </c:scaling>
        <c:delete val="1"/>
        <c:axPos val="b"/>
        <c:numFmt formatCode="0" sourceLinked="1"/>
        <c:majorTickMark val="out"/>
        <c:minorTickMark val="none"/>
        <c:tickLblPos val="nextTo"/>
        <c:crossAx val="252315904"/>
        <c:crosses val="autoZero"/>
        <c:auto val="1"/>
        <c:lblAlgn val="ctr"/>
        <c:lblOffset val="100"/>
        <c:noMultiLvlLbl val="0"/>
      </c:catAx>
      <c:valAx>
        <c:axId val="252315904"/>
        <c:scaling>
          <c:orientation val="minMax"/>
          <c:max val="5"/>
          <c:min val="-2"/>
        </c:scaling>
        <c:delete val="0"/>
        <c:axPos val="r"/>
        <c:numFmt formatCode="0" sourceLinked="0"/>
        <c:majorTickMark val="out"/>
        <c:minorTickMark val="none"/>
        <c:tickLblPos val="nextTo"/>
        <c:spPr>
          <a:ln w="25400">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252314368"/>
        <c:crosses val="max"/>
        <c:crossBetween val="between"/>
      </c:valAx>
      <c:spPr>
        <a:noFill/>
        <a:ln w="12700">
          <a:solidFill>
            <a:srgbClr val="808080"/>
          </a:solidFill>
          <a:prstDash val="solid"/>
        </a:ln>
      </c:spPr>
    </c:plotArea>
    <c:legend>
      <c:legendPos val="r"/>
      <c:layout>
        <c:manualLayout>
          <c:xMode val="edge"/>
          <c:yMode val="edge"/>
          <c:x val="3.5714285714285712E-2"/>
          <c:y val="0.87764705882352945"/>
          <c:w val="0.9598214285714286"/>
          <c:h val="0.10588235294117643"/>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2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GB"/>
              <a:t>Domestic demand (Excl. and incl. inventories - VOL)</a:t>
            </a:r>
          </a:p>
        </c:rich>
      </c:tx>
      <c:layout>
        <c:manualLayout>
          <c:xMode val="edge"/>
          <c:yMode val="edge"/>
          <c:x val="0.12946452005999248"/>
          <c:y val="3.3519553072625698E-2"/>
        </c:manualLayout>
      </c:layout>
      <c:overlay val="0"/>
      <c:spPr>
        <a:noFill/>
        <a:ln w="25400">
          <a:noFill/>
        </a:ln>
      </c:spPr>
    </c:title>
    <c:autoTitleDeleted val="0"/>
    <c:plotArea>
      <c:layout>
        <c:manualLayout>
          <c:layoutTarget val="inner"/>
          <c:xMode val="edge"/>
          <c:yMode val="edge"/>
          <c:x val="0.12500013623933653"/>
          <c:y val="0.17597789365001643"/>
          <c:w val="0.80803659497571123"/>
          <c:h val="0.56145327974052861"/>
        </c:manualLayout>
      </c:layout>
      <c:lineChart>
        <c:grouping val="standard"/>
        <c:varyColors val="0"/>
        <c:ser>
          <c:idx val="2"/>
          <c:order val="0"/>
          <c:tx>
            <c:strRef>
              <c:f>'VVP2'!$D$61:$E$61</c:f>
              <c:strCache>
                <c:ptCount val="1"/>
                <c:pt idx="0">
                  <c:v>  Domestic demand excluding inventories</c:v>
                </c:pt>
              </c:strCache>
            </c:strRef>
          </c:tx>
          <c:spPr>
            <a:ln w="25400">
              <a:solidFill>
                <a:srgbClr val="0000FF"/>
              </a:solidFill>
              <a:prstDash val="solid"/>
            </a:ln>
          </c:spPr>
          <c:marker>
            <c:symbol val="square"/>
            <c:size val="5"/>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'VVP2'!$G$61:$AA$61</c:f>
              <c:numCache>
                <c:formatCode>0.0</c:formatCode>
                <c:ptCount val="4"/>
                <c:pt idx="0">
                  <c:v>1.8534463179261218</c:v>
                </c:pt>
                <c:pt idx="1">
                  <c:v>4.3793729421538252</c:v>
                </c:pt>
                <c:pt idx="2">
                  <c:v>3.6753768570909839</c:v>
                </c:pt>
                <c:pt idx="3">
                  <c:v>3.4931110607300253</c:v>
                </c:pt>
              </c:numCache>
            </c:numRef>
          </c:val>
          <c:smooth val="0"/>
        </c:ser>
        <c:ser>
          <c:idx val="0"/>
          <c:order val="1"/>
          <c:tx>
            <c:strRef>
              <c:f>'VVP2'!$D$78:$E$78</c:f>
              <c:strCache>
                <c:ptCount val="1"/>
                <c:pt idx="0">
                  <c:v>  Domestic demand including inventories</c:v>
                </c:pt>
              </c:strCache>
            </c:strRef>
          </c:tx>
          <c:spPr>
            <a:ln w="25400">
              <a:solidFill>
                <a:srgbClr val="FF0000"/>
              </a:solidFill>
              <a:prstDash val="solid"/>
            </a:ln>
          </c:spPr>
          <c:marker>
            <c:symbol val="circle"/>
            <c:size val="5"/>
            <c:spPr>
              <a:solidFill>
                <a:srgbClr val="FFFFFF"/>
              </a:solidFill>
              <a:ln>
                <a:solidFill>
                  <a:srgbClr val="FF0000"/>
                </a:solidFill>
                <a:prstDash val="solid"/>
              </a:ln>
            </c:spPr>
          </c:marker>
          <c:val>
            <c:numRef>
              <c:f>'VVP2'!$G$78:$AA$78</c:f>
              <c:numCache>
                <c:formatCode>0.0</c:formatCode>
                <c:ptCount val="4"/>
                <c:pt idx="0">
                  <c:v>-0.30327952407929182</c:v>
                </c:pt>
                <c:pt idx="1">
                  <c:v>2.8348069403326015</c:v>
                </c:pt>
                <c:pt idx="2">
                  <c:v>3.3964905192808814</c:v>
                </c:pt>
                <c:pt idx="3">
                  <c:v>7.3820736449621061</c:v>
                </c:pt>
              </c:numCache>
            </c:numRef>
          </c:val>
          <c:smooth val="0"/>
        </c:ser>
        <c:dLbls>
          <c:showLegendKey val="0"/>
          <c:showVal val="0"/>
          <c:showCatName val="0"/>
          <c:showSerName val="0"/>
          <c:showPercent val="0"/>
          <c:showBubbleSize val="0"/>
        </c:dLbls>
        <c:marker val="1"/>
        <c:smooth val="0"/>
        <c:axId val="252336768"/>
        <c:axId val="252359424"/>
      </c:lineChart>
      <c:catAx>
        <c:axId val="252336768"/>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52359424"/>
        <c:crosses val="autoZero"/>
        <c:auto val="1"/>
        <c:lblAlgn val="ctr"/>
        <c:lblOffset val="100"/>
        <c:tickLblSkip val="2"/>
        <c:tickMarkSkip val="1"/>
        <c:noMultiLvlLbl val="0"/>
      </c:catAx>
      <c:valAx>
        <c:axId val="252359424"/>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52336768"/>
        <c:crosses val="autoZero"/>
        <c:crossBetween val="midCat"/>
      </c:valAx>
      <c:spPr>
        <a:noFill/>
        <a:ln w="12700">
          <a:solidFill>
            <a:srgbClr val="808080"/>
          </a:solidFill>
          <a:prstDash val="solid"/>
        </a:ln>
      </c:spPr>
    </c:plotArea>
    <c:legend>
      <c:legendPos val="r"/>
      <c:layout>
        <c:manualLayout>
          <c:xMode val="edge"/>
          <c:yMode val="edge"/>
          <c:x val="0.22098237720284963"/>
          <c:y val="0.85474977638968308"/>
          <c:w val="0.613839988751406"/>
          <c:h val="0.12569861728177834"/>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GB"/>
              <a:t>Domestic demand and its main components (VOL)</a:t>
            </a:r>
          </a:p>
        </c:rich>
      </c:tx>
      <c:layout>
        <c:manualLayout>
          <c:xMode val="edge"/>
          <c:yMode val="edge"/>
          <c:x val="0.14285737720284963"/>
          <c:y val="3.3519553072625698E-2"/>
        </c:manualLayout>
      </c:layout>
      <c:overlay val="0"/>
      <c:spPr>
        <a:noFill/>
        <a:ln w="25400">
          <a:noFill/>
        </a:ln>
      </c:spPr>
    </c:title>
    <c:autoTitleDeleted val="0"/>
    <c:plotArea>
      <c:layout>
        <c:manualLayout>
          <c:layoutTarget val="inner"/>
          <c:xMode val="edge"/>
          <c:yMode val="edge"/>
          <c:x val="0.10044653804946686"/>
          <c:y val="0.17597789365001643"/>
          <c:w val="0.83259019316558092"/>
          <c:h val="0.44413468397385103"/>
        </c:manualLayout>
      </c:layout>
      <c:lineChart>
        <c:grouping val="standard"/>
        <c:varyColors val="0"/>
        <c:ser>
          <c:idx val="0"/>
          <c:order val="0"/>
          <c:tx>
            <c:strRef>
              <c:f>'VVP2'!$D$61:$E$61</c:f>
              <c:strCache>
                <c:ptCount val="1"/>
                <c:pt idx="0">
                  <c:v>  Domestic demand excluding inventories</c:v>
                </c:pt>
              </c:strCache>
            </c:strRef>
          </c:tx>
          <c:spPr>
            <a:ln w="25400">
              <a:solidFill>
                <a:srgbClr val="FF0000"/>
              </a:solidFill>
              <a:prstDash val="solid"/>
            </a:ln>
          </c:spPr>
          <c:marker>
            <c:symbol val="diamond"/>
            <c:size val="5"/>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'VVP2'!$G$61:$AA$61</c:f>
              <c:numCache>
                <c:formatCode>0.0</c:formatCode>
                <c:ptCount val="4"/>
                <c:pt idx="0">
                  <c:v>1.8534463179261218</c:v>
                </c:pt>
                <c:pt idx="1">
                  <c:v>4.3793729421538252</c:v>
                </c:pt>
                <c:pt idx="2">
                  <c:v>3.6753768570909839</c:v>
                </c:pt>
                <c:pt idx="3">
                  <c:v>3.4931110607300253</c:v>
                </c:pt>
              </c:numCache>
            </c:numRef>
          </c:val>
          <c:smooth val="0"/>
        </c:ser>
        <c:ser>
          <c:idx val="1"/>
          <c:order val="1"/>
          <c:tx>
            <c:strRef>
              <c:f>'VVP2'!$D$58:$E$58</c:f>
              <c:strCache>
                <c:ptCount val="1"/>
                <c:pt idx="0">
                  <c:v>HH Final consumption expenditure (P.3)</c:v>
                </c:pt>
              </c:strCache>
            </c:strRef>
          </c:tx>
          <c:spPr>
            <a:ln w="25400">
              <a:solidFill>
                <a:srgbClr val="0000FF"/>
              </a:solidFill>
              <a:prstDash val="solid"/>
            </a:ln>
          </c:spPr>
          <c:marker>
            <c:symbol val="circle"/>
            <c:size val="5"/>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'VVP2'!$G$58:$AA$58</c:f>
              <c:numCache>
                <c:formatCode>0.0</c:formatCode>
                <c:ptCount val="4"/>
                <c:pt idx="0">
                  <c:v>3.0945388078617908</c:v>
                </c:pt>
                <c:pt idx="1">
                  <c:v>4.3134239507887751</c:v>
                </c:pt>
                <c:pt idx="2">
                  <c:v>3.9665319224824414</c:v>
                </c:pt>
                <c:pt idx="3">
                  <c:v>3.9764903202443636</c:v>
                </c:pt>
              </c:numCache>
            </c:numRef>
          </c:val>
          <c:smooth val="0"/>
        </c:ser>
        <c:ser>
          <c:idx val="2"/>
          <c:order val="2"/>
          <c:tx>
            <c:strRef>
              <c:f>'VVP2'!$D$59:$E$59</c:f>
              <c:strCache>
                <c:ptCount val="1"/>
                <c:pt idx="0">
                  <c:v>GVT Final consumption expenditure (P.3)</c:v>
                </c:pt>
              </c:strCache>
            </c:strRef>
          </c:tx>
          <c:spPr>
            <a:ln w="25400">
              <a:solidFill>
                <a:srgbClr val="008000"/>
              </a:solidFill>
              <a:prstDash val="solid"/>
            </a:ln>
          </c:spPr>
          <c:marker>
            <c:symbol val="square"/>
            <c:size val="5"/>
            <c:spPr>
              <a:solidFill>
                <a:srgbClr val="FFFFFF"/>
              </a:solidFill>
              <a:ln>
                <a:solidFill>
                  <a:srgbClr val="008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'VVP2'!$G$59:$AA$59</c:f>
              <c:numCache>
                <c:formatCode>0.0</c:formatCode>
                <c:ptCount val="4"/>
                <c:pt idx="0">
                  <c:v>1.2852705291526378</c:v>
                </c:pt>
                <c:pt idx="1">
                  <c:v>0.72272891610254408</c:v>
                </c:pt>
                <c:pt idx="2">
                  <c:v>0.28733548938097986</c:v>
                </c:pt>
                <c:pt idx="3">
                  <c:v>0.16432578821721222</c:v>
                </c:pt>
              </c:numCache>
            </c:numRef>
          </c:val>
          <c:smooth val="0"/>
        </c:ser>
        <c:ser>
          <c:idx val="3"/>
          <c:order val="3"/>
          <c:tx>
            <c:strRef>
              <c:f>'VVP2'!$D$60:$E$60</c:f>
              <c:strCache>
                <c:ptCount val="1"/>
                <c:pt idx="0">
                  <c:v>  Gross fixed capital formation (P.51)</c:v>
                </c:pt>
              </c:strCache>
            </c:strRef>
          </c:tx>
          <c:spPr>
            <a:ln w="25400">
              <a:solidFill>
                <a:srgbClr val="993366"/>
              </a:solidFill>
              <a:prstDash val="solid"/>
            </a:ln>
          </c:spPr>
          <c:marker>
            <c:symbol val="circle"/>
            <c:size val="5"/>
            <c:spPr>
              <a:solidFill>
                <a:srgbClr val="FFFFFF"/>
              </a:solidFill>
              <a:ln>
                <a:solidFill>
                  <a:srgbClr val="993366"/>
                </a:solidFill>
                <a:prstDash val="solid"/>
              </a:ln>
            </c:spPr>
          </c:marker>
          <c:val>
            <c:numRef>
              <c:f>'VVP2'!$G$60:$AA$60</c:f>
              <c:numCache>
                <c:formatCode>0.0</c:formatCode>
                <c:ptCount val="4"/>
                <c:pt idx="0">
                  <c:v>-1.7782896509459301</c:v>
                </c:pt>
                <c:pt idx="1">
                  <c:v>8.2995817129866154</c:v>
                </c:pt>
                <c:pt idx="2">
                  <c:v>5.75191791299281</c:v>
                </c:pt>
                <c:pt idx="3">
                  <c:v>4.8264990153196852</c:v>
                </c:pt>
              </c:numCache>
            </c:numRef>
          </c:val>
          <c:smooth val="0"/>
        </c:ser>
        <c:dLbls>
          <c:showLegendKey val="0"/>
          <c:showVal val="0"/>
          <c:showCatName val="0"/>
          <c:showSerName val="0"/>
          <c:showPercent val="0"/>
          <c:showBubbleSize val="0"/>
        </c:dLbls>
        <c:marker val="1"/>
        <c:smooth val="0"/>
        <c:axId val="252976128"/>
        <c:axId val="252986496"/>
      </c:lineChart>
      <c:catAx>
        <c:axId val="252976128"/>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52986496"/>
        <c:crosses val="autoZero"/>
        <c:auto val="1"/>
        <c:lblAlgn val="ctr"/>
        <c:lblOffset val="100"/>
        <c:tickLblSkip val="2"/>
        <c:tickMarkSkip val="1"/>
        <c:noMultiLvlLbl val="0"/>
      </c:catAx>
      <c:valAx>
        <c:axId val="252986496"/>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52976128"/>
        <c:crosses val="autoZero"/>
        <c:crossBetween val="midCat"/>
      </c:valAx>
      <c:spPr>
        <a:noFill/>
        <a:ln w="12700">
          <a:solidFill>
            <a:srgbClr val="808080"/>
          </a:solidFill>
          <a:prstDash val="solid"/>
        </a:ln>
      </c:spPr>
    </c:plotArea>
    <c:legend>
      <c:legendPos val="r"/>
      <c:layout>
        <c:manualLayout>
          <c:xMode val="edge"/>
          <c:yMode val="edge"/>
          <c:x val="0.20758952005999248"/>
          <c:y val="0.73743104737606124"/>
          <c:w val="0.61830427446569169"/>
          <c:h val="0.24581034912535371"/>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GB"/>
              <a:t>Exports and GDP (VOL)</a:t>
            </a:r>
          </a:p>
        </c:rich>
      </c:tx>
      <c:layout>
        <c:manualLayout>
          <c:xMode val="edge"/>
          <c:yMode val="edge"/>
          <c:x val="0.33258975440569927"/>
          <c:y val="3.3613445378151259E-2"/>
        </c:manualLayout>
      </c:layout>
      <c:overlay val="0"/>
      <c:spPr>
        <a:noFill/>
        <a:ln w="25400">
          <a:noFill/>
        </a:ln>
      </c:spPr>
    </c:title>
    <c:autoTitleDeleted val="0"/>
    <c:plotArea>
      <c:layout>
        <c:manualLayout>
          <c:layoutTarget val="inner"/>
          <c:xMode val="edge"/>
          <c:yMode val="edge"/>
          <c:x val="0.10044653804946686"/>
          <c:y val="0.17647107096647127"/>
          <c:w val="0.83259019316558092"/>
          <c:h val="0.56022562211578175"/>
        </c:manualLayout>
      </c:layout>
      <c:lineChart>
        <c:grouping val="standard"/>
        <c:varyColors val="0"/>
        <c:ser>
          <c:idx val="2"/>
          <c:order val="0"/>
          <c:tx>
            <c:strRef>
              <c:f>'VVP2'!$D$89:$E$89</c:f>
              <c:strCache>
                <c:ptCount val="1"/>
                <c:pt idx="0">
                  <c:v>  Exports (P.6)</c:v>
                </c:pt>
              </c:strCache>
            </c:strRef>
          </c:tx>
          <c:spPr>
            <a:ln w="25400">
              <a:solidFill>
                <a:srgbClr val="FF0000"/>
              </a:solidFill>
              <a:prstDash val="solid"/>
            </a:ln>
          </c:spPr>
          <c:marker>
            <c:symbol val="square"/>
            <c:size val="5"/>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'VVP2'!$G$89:$AA$89</c:f>
              <c:numCache>
                <c:formatCode>0.0</c:formatCode>
                <c:ptCount val="4"/>
                <c:pt idx="0">
                  <c:v>12.388585390503515</c:v>
                </c:pt>
                <c:pt idx="1">
                  <c:v>9.8597881982962718</c:v>
                </c:pt>
                <c:pt idx="2">
                  <c:v>3.2687395240077022</c:v>
                </c:pt>
                <c:pt idx="3">
                  <c:v>-0.36250801068858918</c:v>
                </c:pt>
              </c:numCache>
            </c:numRef>
          </c:val>
          <c:smooth val="0"/>
        </c:ser>
        <c:ser>
          <c:idx val="0"/>
          <c:order val="1"/>
          <c:tx>
            <c:strRef>
              <c:f>'VVP2'!$D$131:$E$131</c:f>
              <c:strCache>
                <c:ptCount val="1"/>
                <c:pt idx="0">
                  <c:v>  Gross domestic product (B.1g - constant prices)</c:v>
                </c:pt>
              </c:strCache>
            </c:strRef>
          </c:tx>
          <c:spPr>
            <a:ln w="25400">
              <a:solidFill>
                <a:srgbClr val="0000FF"/>
              </a:solidFill>
              <a:prstDash val="solid"/>
            </a:ln>
          </c:spPr>
          <c:marker>
            <c:symbol val="circle"/>
            <c:size val="5"/>
            <c:spPr>
              <a:solidFill>
                <a:srgbClr val="FFFFFF"/>
              </a:solidFill>
              <a:ln>
                <a:solidFill>
                  <a:srgbClr val="0000FF"/>
                </a:solidFill>
                <a:prstDash val="solid"/>
              </a:ln>
            </c:spPr>
          </c:marker>
          <c:val>
            <c:numRef>
              <c:f>'VVP2'!$G$131:$AA$131</c:f>
              <c:numCache>
                <c:formatCode>0.0</c:formatCode>
                <c:ptCount val="4"/>
                <c:pt idx="0">
                  <c:v>3.8269382239940919</c:v>
                </c:pt>
                <c:pt idx="1">
                  <c:v>3.498577230569011</c:v>
                </c:pt>
                <c:pt idx="2" formatCode="0.000">
                  <c:v>3.5375855747539431</c:v>
                </c:pt>
                <c:pt idx="3" formatCode="0.000">
                  <c:v>2.0346676424249033</c:v>
                </c:pt>
              </c:numCache>
            </c:numRef>
          </c:val>
          <c:smooth val="0"/>
        </c:ser>
        <c:dLbls>
          <c:showLegendKey val="0"/>
          <c:showVal val="0"/>
          <c:showCatName val="0"/>
          <c:showSerName val="0"/>
          <c:showPercent val="0"/>
          <c:showBubbleSize val="0"/>
        </c:dLbls>
        <c:marker val="1"/>
        <c:smooth val="0"/>
        <c:axId val="253019648"/>
        <c:axId val="253021568"/>
      </c:lineChart>
      <c:catAx>
        <c:axId val="253019648"/>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53021568"/>
        <c:crosses val="autoZero"/>
        <c:auto val="1"/>
        <c:lblAlgn val="ctr"/>
        <c:lblOffset val="100"/>
        <c:tickLblSkip val="2"/>
        <c:tickMarkSkip val="1"/>
        <c:noMultiLvlLbl val="0"/>
      </c:catAx>
      <c:valAx>
        <c:axId val="253021568"/>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53019648"/>
        <c:crosses val="autoZero"/>
        <c:crossBetween val="midCat"/>
      </c:valAx>
      <c:spPr>
        <a:noFill/>
        <a:ln w="12700">
          <a:solidFill>
            <a:srgbClr val="808080"/>
          </a:solidFill>
          <a:prstDash val="solid"/>
        </a:ln>
      </c:spPr>
    </c:plotArea>
    <c:legend>
      <c:legendPos val="r"/>
      <c:layout>
        <c:manualLayout>
          <c:xMode val="edge"/>
          <c:yMode val="edge"/>
          <c:x val="0.15401809148856391"/>
          <c:y val="0.85434408934177342"/>
          <c:w val="0.7254471316085489"/>
          <c:h val="0.1260507142489542"/>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GB"/>
              <a:t>Exports of goods and services (VOL)</a:t>
            </a:r>
          </a:p>
        </c:rich>
      </c:tx>
      <c:layout>
        <c:manualLayout>
          <c:xMode val="edge"/>
          <c:yMode val="edge"/>
          <c:x val="0.24330380577427821"/>
          <c:y val="3.3707865168539325E-2"/>
        </c:manualLayout>
      </c:layout>
      <c:overlay val="0"/>
      <c:spPr>
        <a:noFill/>
        <a:ln w="25400">
          <a:noFill/>
        </a:ln>
      </c:spPr>
    </c:title>
    <c:autoTitleDeleted val="0"/>
    <c:plotArea>
      <c:layout>
        <c:manualLayout>
          <c:layoutTarget val="inner"/>
          <c:xMode val="edge"/>
          <c:yMode val="edge"/>
          <c:x val="0.10044653804946686"/>
          <c:y val="0.17696629213483145"/>
          <c:w val="0.83259019316558092"/>
          <c:h val="0.6179775280898876"/>
        </c:manualLayout>
      </c:layout>
      <c:lineChart>
        <c:grouping val="standard"/>
        <c:varyColors val="0"/>
        <c:ser>
          <c:idx val="1"/>
          <c:order val="0"/>
          <c:tx>
            <c:strRef>
              <c:f>'VVP2'!$D$87:$E$87</c:f>
              <c:strCache>
                <c:ptCount val="1"/>
                <c:pt idx="0">
                  <c:v>  Exports of services (P.62)</c:v>
                </c:pt>
              </c:strCache>
            </c:strRef>
          </c:tx>
          <c:spPr>
            <a:ln w="25400">
              <a:solidFill>
                <a:srgbClr val="0000FF"/>
              </a:solidFill>
              <a:prstDash val="solid"/>
            </a:ln>
          </c:spPr>
          <c:marker>
            <c:symbol val="circle"/>
            <c:size val="5"/>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'VVP2'!$G$87:$AA$87</c:f>
              <c:numCache>
                <c:formatCode>0.0</c:formatCode>
                <c:ptCount val="4"/>
                <c:pt idx="0">
                  <c:v>16.130370068823385</c:v>
                </c:pt>
                <c:pt idx="1">
                  <c:v>12.494933538986007</c:v>
                </c:pt>
                <c:pt idx="2">
                  <c:v>9.7412866335322423</c:v>
                </c:pt>
                <c:pt idx="3">
                  <c:v>1.3292350066195668</c:v>
                </c:pt>
              </c:numCache>
            </c:numRef>
          </c:val>
          <c:smooth val="0"/>
        </c:ser>
        <c:ser>
          <c:idx val="2"/>
          <c:order val="1"/>
          <c:tx>
            <c:strRef>
              <c:f>'VVP2'!$D$88:$E$88</c:f>
              <c:strCache>
                <c:ptCount val="1"/>
                <c:pt idx="0">
                  <c:v>  Exports of goods (P.61)</c:v>
                </c:pt>
              </c:strCache>
            </c:strRef>
          </c:tx>
          <c:spPr>
            <a:ln w="25400">
              <a:solidFill>
                <a:srgbClr val="008000"/>
              </a:solidFill>
              <a:prstDash val="solid"/>
            </a:ln>
          </c:spPr>
          <c:marker>
            <c:symbol val="square"/>
            <c:size val="5"/>
            <c:spPr>
              <a:solidFill>
                <a:srgbClr val="FFFFFF"/>
              </a:solidFill>
              <a:ln>
                <a:solidFill>
                  <a:srgbClr val="008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'VVP2'!$G$88:$AA$88</c:f>
              <c:numCache>
                <c:formatCode>0.0</c:formatCode>
                <c:ptCount val="4"/>
                <c:pt idx="0">
                  <c:v>11.611556629682539</c:v>
                </c:pt>
                <c:pt idx="1">
                  <c:v>9.2966504186976717</c:v>
                </c:pt>
                <c:pt idx="2">
                  <c:v>1.814930544636395</c:v>
                </c:pt>
                <c:pt idx="3">
                  <c:v>-0.78339648707045351</c:v>
                </c:pt>
              </c:numCache>
            </c:numRef>
          </c:val>
          <c:smooth val="0"/>
        </c:ser>
        <c:dLbls>
          <c:showLegendKey val="0"/>
          <c:showVal val="0"/>
          <c:showCatName val="0"/>
          <c:showSerName val="0"/>
          <c:showPercent val="0"/>
          <c:showBubbleSize val="0"/>
        </c:dLbls>
        <c:marker val="1"/>
        <c:smooth val="0"/>
        <c:axId val="253067264"/>
        <c:axId val="253069184"/>
      </c:lineChart>
      <c:catAx>
        <c:axId val="253067264"/>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53069184"/>
        <c:crosses val="autoZero"/>
        <c:auto val="1"/>
        <c:lblAlgn val="ctr"/>
        <c:lblOffset val="100"/>
        <c:tickLblSkip val="2"/>
        <c:tickMarkSkip val="1"/>
        <c:noMultiLvlLbl val="0"/>
      </c:catAx>
      <c:valAx>
        <c:axId val="253069184"/>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53067264"/>
        <c:crosses val="autoZero"/>
        <c:crossBetween val="midCat"/>
      </c:valAx>
      <c:spPr>
        <a:noFill/>
        <a:ln w="12700">
          <a:solidFill>
            <a:srgbClr val="808080"/>
          </a:solidFill>
          <a:prstDash val="solid"/>
        </a:ln>
      </c:spPr>
    </c:plotArea>
    <c:legend>
      <c:legendPos val="r"/>
      <c:layout>
        <c:manualLayout>
          <c:xMode val="edge"/>
          <c:yMode val="edge"/>
          <c:x val="7.5892857142857137E-2"/>
          <c:y val="0.9129213483146067"/>
          <c:w val="0.84598308023997004"/>
          <c:h val="6.7415730337078705E-2"/>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GB"/>
              <a:t>Imports and final demand (VOL)</a:t>
            </a:r>
          </a:p>
        </c:rich>
      </c:tx>
      <c:layout>
        <c:manualLayout>
          <c:xMode val="edge"/>
          <c:yMode val="edge"/>
          <c:x val="0.27008952005999248"/>
          <c:y val="3.3613445378151259E-2"/>
        </c:manualLayout>
      </c:layout>
      <c:overlay val="0"/>
      <c:spPr>
        <a:noFill/>
        <a:ln w="25400">
          <a:noFill/>
        </a:ln>
      </c:spPr>
    </c:title>
    <c:autoTitleDeleted val="0"/>
    <c:plotArea>
      <c:layout>
        <c:manualLayout>
          <c:layoutTarget val="inner"/>
          <c:xMode val="edge"/>
          <c:yMode val="edge"/>
          <c:x val="0.10044653804946686"/>
          <c:y val="0.17647107096647127"/>
          <c:w val="0.83259019316558092"/>
          <c:h val="0.61904931243793893"/>
        </c:manualLayout>
      </c:layout>
      <c:lineChart>
        <c:grouping val="standard"/>
        <c:varyColors val="0"/>
        <c:ser>
          <c:idx val="2"/>
          <c:order val="0"/>
          <c:tx>
            <c:strRef>
              <c:f>'VVP2'!$D$111:$E$111</c:f>
              <c:strCache>
                <c:ptCount val="1"/>
                <c:pt idx="0">
                  <c:v>  Imports of goods and services (P.7)</c:v>
                </c:pt>
              </c:strCache>
            </c:strRef>
          </c:tx>
          <c:spPr>
            <a:ln w="25400">
              <a:solidFill>
                <a:srgbClr val="0000FF"/>
              </a:solidFill>
              <a:prstDash val="solid"/>
            </a:ln>
          </c:spPr>
          <c:marker>
            <c:symbol val="square"/>
            <c:size val="5"/>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'VVP2'!$G$111:$AA$111</c:f>
              <c:numCache>
                <c:formatCode>0.0</c:formatCode>
                <c:ptCount val="4"/>
                <c:pt idx="0">
                  <c:v>6.6449627758580876</c:v>
                </c:pt>
                <c:pt idx="1">
                  <c:v>9.1127519671375001</c:v>
                </c:pt>
                <c:pt idx="2">
                  <c:v>3.0964332515761805</c:v>
                </c:pt>
                <c:pt idx="3">
                  <c:v>6.2006079962821703</c:v>
                </c:pt>
              </c:numCache>
            </c:numRef>
          </c:val>
          <c:smooth val="0"/>
        </c:ser>
        <c:ser>
          <c:idx val="0"/>
          <c:order val="1"/>
          <c:tx>
            <c:strRef>
              <c:f>'VVP2'!$D$100:$E$100</c:f>
              <c:strCache>
                <c:ptCount val="1"/>
                <c:pt idx="0">
                  <c:v>  Final demand</c:v>
                </c:pt>
              </c:strCache>
            </c:strRef>
          </c:tx>
          <c:spPr>
            <a:ln w="25400">
              <a:solidFill>
                <a:srgbClr val="FF0000"/>
              </a:solidFill>
              <a:prstDash val="solid"/>
            </a:ln>
          </c:spPr>
          <c:marker>
            <c:symbol val="circle"/>
            <c:size val="5"/>
            <c:spPr>
              <a:solidFill>
                <a:srgbClr val="FFFFFF"/>
              </a:solidFill>
              <a:ln>
                <a:solidFill>
                  <a:srgbClr val="FF0000"/>
                </a:solidFill>
                <a:prstDash val="solid"/>
              </a:ln>
            </c:spPr>
          </c:marker>
          <c:val>
            <c:numRef>
              <c:f>'VVP2'!$G$100:$AA$100</c:f>
              <c:numCache>
                <c:formatCode>0.0</c:formatCode>
                <c:ptCount val="4"/>
                <c:pt idx="0">
                  <c:v>5.0577675096519004</c:v>
                </c:pt>
                <c:pt idx="1">
                  <c:v>6.0069223963111984</c:v>
                </c:pt>
                <c:pt idx="2">
                  <c:v>3.3377467649213566</c:v>
                </c:pt>
                <c:pt idx="3">
                  <c:v>3.8735925824965767</c:v>
                </c:pt>
              </c:numCache>
            </c:numRef>
          </c:val>
          <c:smooth val="0"/>
        </c:ser>
        <c:dLbls>
          <c:showLegendKey val="0"/>
          <c:showVal val="0"/>
          <c:showCatName val="0"/>
          <c:showSerName val="0"/>
          <c:showPercent val="0"/>
          <c:showBubbleSize val="0"/>
        </c:dLbls>
        <c:marker val="1"/>
        <c:smooth val="0"/>
        <c:axId val="253171968"/>
        <c:axId val="253174144"/>
      </c:lineChart>
      <c:catAx>
        <c:axId val="253171968"/>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53174144"/>
        <c:crosses val="autoZero"/>
        <c:auto val="1"/>
        <c:lblAlgn val="ctr"/>
        <c:lblOffset val="100"/>
        <c:tickLblSkip val="2"/>
        <c:tickMarkSkip val="1"/>
        <c:noMultiLvlLbl val="0"/>
      </c:catAx>
      <c:valAx>
        <c:axId val="253174144"/>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53171968"/>
        <c:crosses val="autoZero"/>
        <c:crossBetween val="midCat"/>
      </c:valAx>
      <c:spPr>
        <a:noFill/>
        <a:ln w="12700">
          <a:solidFill>
            <a:srgbClr val="808080"/>
          </a:solidFill>
          <a:prstDash val="solid"/>
        </a:ln>
      </c:spPr>
    </c:plotArea>
    <c:legend>
      <c:legendPos val="r"/>
      <c:layout>
        <c:manualLayout>
          <c:xMode val="edge"/>
          <c:yMode val="edge"/>
          <c:x val="8.0357142857142863E-2"/>
          <c:y val="0.91316761875353814"/>
          <c:w val="0.83705450881139853"/>
          <c:h val="6.722718483718948E-2"/>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GB"/>
              <a:t>Imports of goods and services (VOL)</a:t>
            </a:r>
          </a:p>
        </c:rich>
      </c:tx>
      <c:layout>
        <c:manualLayout>
          <c:xMode val="edge"/>
          <c:yMode val="edge"/>
          <c:x val="0.24330380577427821"/>
          <c:y val="3.3519553072625698E-2"/>
        </c:manualLayout>
      </c:layout>
      <c:overlay val="0"/>
      <c:spPr>
        <a:noFill/>
        <a:ln w="25400">
          <a:noFill/>
        </a:ln>
      </c:spPr>
    </c:title>
    <c:autoTitleDeleted val="0"/>
    <c:plotArea>
      <c:layout>
        <c:manualLayout>
          <c:layoutTarget val="inner"/>
          <c:xMode val="edge"/>
          <c:yMode val="edge"/>
          <c:x val="0.10044653804946686"/>
          <c:y val="0.17597789365001643"/>
          <c:w val="0.83259019316558092"/>
          <c:h val="0.6201125776238674"/>
        </c:manualLayout>
      </c:layout>
      <c:lineChart>
        <c:grouping val="standard"/>
        <c:varyColors val="0"/>
        <c:ser>
          <c:idx val="1"/>
          <c:order val="0"/>
          <c:tx>
            <c:strRef>
              <c:f>'VVP2'!$D$109:$E$109</c:f>
              <c:strCache>
                <c:ptCount val="1"/>
                <c:pt idx="0">
                  <c:v>  Imports of services (P.72)</c:v>
                </c:pt>
              </c:strCache>
            </c:strRef>
          </c:tx>
          <c:spPr>
            <a:ln w="25400">
              <a:solidFill>
                <a:srgbClr val="0000FF"/>
              </a:solidFill>
              <a:prstDash val="solid"/>
            </a:ln>
          </c:spPr>
          <c:marker>
            <c:symbol val="circle"/>
            <c:size val="5"/>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'VVP2'!$G$109:$AA$109</c:f>
              <c:numCache>
                <c:formatCode>0.0</c:formatCode>
                <c:ptCount val="4"/>
                <c:pt idx="0">
                  <c:v>21.155166590580965</c:v>
                </c:pt>
                <c:pt idx="1">
                  <c:v>18.897044407411023</c:v>
                </c:pt>
                <c:pt idx="2">
                  <c:v>5.0226992821770677</c:v>
                </c:pt>
                <c:pt idx="3">
                  <c:v>-0.2087769741813128</c:v>
                </c:pt>
              </c:numCache>
            </c:numRef>
          </c:val>
          <c:smooth val="0"/>
        </c:ser>
        <c:ser>
          <c:idx val="2"/>
          <c:order val="1"/>
          <c:tx>
            <c:strRef>
              <c:f>'VVP2'!$D$110:$E$110</c:f>
              <c:strCache>
                <c:ptCount val="1"/>
                <c:pt idx="0">
                  <c:v>  Imports of goods (P.71)</c:v>
                </c:pt>
              </c:strCache>
            </c:strRef>
          </c:tx>
          <c:spPr>
            <a:ln w="25400">
              <a:solidFill>
                <a:srgbClr val="008000"/>
              </a:solidFill>
              <a:prstDash val="solid"/>
            </a:ln>
          </c:spPr>
          <c:marker>
            <c:symbol val="square"/>
            <c:size val="5"/>
            <c:spPr>
              <a:solidFill>
                <a:srgbClr val="FFFFFF"/>
              </a:solidFill>
              <a:ln>
                <a:solidFill>
                  <a:srgbClr val="008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'VVP2'!$G$110:$AA$110</c:f>
              <c:numCache>
                <c:formatCode>0.0</c:formatCode>
                <c:ptCount val="4"/>
                <c:pt idx="0">
                  <c:v>4.7772473180393682</c:v>
                </c:pt>
                <c:pt idx="1">
                  <c:v>7.697496661124914</c:v>
                </c:pt>
                <c:pt idx="2">
                  <c:v>2.7845828543830997</c:v>
                </c:pt>
                <c:pt idx="3">
                  <c:v>7.2942455275508689</c:v>
                </c:pt>
              </c:numCache>
            </c:numRef>
          </c:val>
          <c:smooth val="0"/>
        </c:ser>
        <c:dLbls>
          <c:showLegendKey val="0"/>
          <c:showVal val="0"/>
          <c:showCatName val="0"/>
          <c:showSerName val="0"/>
          <c:showPercent val="0"/>
          <c:showBubbleSize val="0"/>
        </c:dLbls>
        <c:marker val="1"/>
        <c:smooth val="0"/>
        <c:axId val="253199104"/>
        <c:axId val="253201024"/>
      </c:lineChart>
      <c:catAx>
        <c:axId val="253199104"/>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53201024"/>
        <c:crosses val="autoZero"/>
        <c:auto val="1"/>
        <c:lblAlgn val="ctr"/>
        <c:lblOffset val="100"/>
        <c:tickLblSkip val="2"/>
        <c:tickMarkSkip val="1"/>
        <c:noMultiLvlLbl val="0"/>
      </c:catAx>
      <c:valAx>
        <c:axId val="253201024"/>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53199104"/>
        <c:crosses val="autoZero"/>
        <c:crossBetween val="midCat"/>
      </c:valAx>
      <c:spPr>
        <a:noFill/>
        <a:ln w="12700">
          <a:solidFill>
            <a:srgbClr val="808080"/>
          </a:solidFill>
          <a:prstDash val="solid"/>
        </a:ln>
      </c:spPr>
    </c:plotArea>
    <c:legend>
      <c:legendPos val="r"/>
      <c:layout>
        <c:manualLayout>
          <c:xMode val="edge"/>
          <c:yMode val="edge"/>
          <c:x val="8.0357142857142863E-2"/>
          <c:y val="0.91340899426677802"/>
          <c:w val="0.83705450881139853"/>
          <c:h val="6.7039106145251437E-2"/>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GB"/>
              <a:t>Imports related to final demand (VOL)</a:t>
            </a:r>
          </a:p>
        </c:rich>
      </c:tx>
      <c:layout>
        <c:manualLayout>
          <c:xMode val="edge"/>
          <c:yMode val="edge"/>
          <c:x val="0.22991094863142106"/>
          <c:y val="3.3613445378151259E-2"/>
        </c:manualLayout>
      </c:layout>
      <c:overlay val="0"/>
      <c:spPr>
        <a:noFill/>
        <a:ln w="25400">
          <a:noFill/>
        </a:ln>
      </c:spPr>
    </c:title>
    <c:autoTitleDeleted val="0"/>
    <c:plotArea>
      <c:layout>
        <c:manualLayout>
          <c:layoutTarget val="inner"/>
          <c:xMode val="edge"/>
          <c:yMode val="edge"/>
          <c:x val="5.8035777539691968E-2"/>
          <c:y val="0.17647107096647127"/>
          <c:w val="0.88616168012529661"/>
          <c:h val="0.61624818432735995"/>
        </c:manualLayout>
      </c:layout>
      <c:scatterChart>
        <c:scatterStyle val="lineMarker"/>
        <c:varyColors val="0"/>
        <c:ser>
          <c:idx val="2"/>
          <c:order val="0"/>
          <c:tx>
            <c:strRef>
              <c:f>'VVP2'!$D$111:$E$111</c:f>
              <c:strCache>
                <c:ptCount val="1"/>
                <c:pt idx="0">
                  <c:v>  Imports of goods and services (P.7)</c:v>
                </c:pt>
              </c:strCache>
            </c:strRef>
          </c:tx>
          <c:spPr>
            <a:ln w="28575">
              <a:noFill/>
            </a:ln>
          </c:spPr>
          <c:marker>
            <c:symbol val="circle"/>
            <c:size val="7"/>
            <c:spPr>
              <a:solidFill>
                <a:srgbClr val="FFFFFF"/>
              </a:solidFill>
              <a:ln>
                <a:solidFill>
                  <a:srgbClr val="0000FF"/>
                </a:solidFill>
                <a:prstDash val="solid"/>
              </a:ln>
            </c:spPr>
          </c:marker>
          <c:dLbls>
            <c:dLbl>
              <c:idx val="1"/>
              <c:tx>
                <c:rich>
                  <a:bodyPr/>
                  <a:lstStyle/>
                  <a:p>
                    <a:r>
                      <a:t>1996</a:t>
                    </a:r>
                  </a:p>
                </c:rich>
              </c:tx>
              <c:showLegendKey val="0"/>
              <c:showVal val="0"/>
              <c:showCatName val="0"/>
              <c:showSerName val="0"/>
              <c:showPercent val="0"/>
              <c:showBubbleSize val="0"/>
            </c:dLbl>
            <c:dLbl>
              <c:idx val="2"/>
              <c:tx>
                <c:rich>
                  <a:bodyPr/>
                  <a:lstStyle/>
                  <a:p>
                    <a:r>
                      <a:t>1997</a:t>
                    </a:r>
                  </a:p>
                </c:rich>
              </c:tx>
              <c:showLegendKey val="0"/>
              <c:showVal val="0"/>
              <c:showCatName val="0"/>
              <c:showSerName val="0"/>
              <c:showPercent val="0"/>
              <c:showBubbleSize val="0"/>
            </c:dLbl>
            <c:dLbl>
              <c:idx val="3"/>
              <c:tx>
                <c:rich>
                  <a:bodyPr/>
                  <a:lstStyle/>
                  <a:p>
                    <a:r>
                      <a:t>1998</a:t>
                    </a:r>
                  </a:p>
                </c:rich>
              </c:tx>
              <c:showLegendKey val="0"/>
              <c:showVal val="0"/>
              <c:showCatName val="0"/>
              <c:showSerName val="0"/>
              <c:showPercent val="0"/>
              <c:showBubbleSize val="0"/>
            </c:dLbl>
            <c:dLbl>
              <c:idx val="4"/>
              <c:tx>
                <c:rich>
                  <a:bodyPr/>
                  <a:lstStyle/>
                  <a:p>
                    <a:r>
                      <a:t>1999</a:t>
                    </a:r>
                  </a:p>
                </c:rich>
              </c:tx>
              <c:showLegendKey val="0"/>
              <c:showVal val="0"/>
              <c:showCatName val="0"/>
              <c:showSerName val="0"/>
              <c:showPercent val="0"/>
              <c:showBubbleSize val="0"/>
            </c:dLbl>
            <c:dLbl>
              <c:idx val="5"/>
              <c:tx>
                <c:rich>
                  <a:bodyPr/>
                  <a:lstStyle/>
                  <a:p>
                    <a:r>
                      <a:t>2000</a:t>
                    </a:r>
                  </a:p>
                </c:rich>
              </c:tx>
              <c:showLegendKey val="0"/>
              <c:showVal val="0"/>
              <c:showCatName val="0"/>
              <c:showSerName val="0"/>
              <c:showPercent val="0"/>
              <c:showBubbleSize val="0"/>
            </c:dLbl>
            <c:dLbl>
              <c:idx val="6"/>
              <c:tx>
                <c:rich>
                  <a:bodyPr/>
                  <a:lstStyle/>
                  <a:p>
                    <a:r>
                      <a:t>2001</a:t>
                    </a:r>
                  </a:p>
                </c:rich>
              </c:tx>
              <c:showLegendKey val="0"/>
              <c:showVal val="0"/>
              <c:showCatName val="0"/>
              <c:showSerName val="0"/>
              <c:showPercent val="0"/>
              <c:showBubbleSize val="0"/>
            </c:dLbl>
            <c:dLbl>
              <c:idx val="7"/>
              <c:tx>
                <c:rich>
                  <a:bodyPr/>
                  <a:lstStyle/>
                  <a:p>
                    <a:r>
                      <a:t>2002</a:t>
                    </a:r>
                  </a:p>
                </c:rich>
              </c:tx>
              <c:showLegendKey val="0"/>
              <c:showVal val="0"/>
              <c:showCatName val="0"/>
              <c:showSerName val="0"/>
              <c:showPercent val="0"/>
              <c:showBubbleSize val="0"/>
            </c:dLbl>
            <c:dLbl>
              <c:idx val="8"/>
              <c:tx>
                <c:rich>
                  <a:bodyPr/>
                  <a:lstStyle/>
                  <a:p>
                    <a:r>
                      <a:t>2003</a:t>
                    </a:r>
                  </a:p>
                </c:rich>
              </c:tx>
              <c:showLegendKey val="0"/>
              <c:showVal val="0"/>
              <c:showCatName val="0"/>
              <c:showSerName val="0"/>
              <c:showPercent val="0"/>
              <c:showBubbleSize val="0"/>
            </c:dLbl>
            <c:dLbl>
              <c:idx val="9"/>
              <c:tx>
                <c:rich>
                  <a:bodyPr/>
                  <a:lstStyle/>
                  <a:p>
                    <a:r>
                      <a:t>2004</a:t>
                    </a:r>
                  </a:p>
                </c:rich>
              </c:tx>
              <c:showLegendKey val="0"/>
              <c:showVal val="0"/>
              <c:showCatName val="0"/>
              <c:showSerName val="0"/>
              <c:showPercent val="0"/>
              <c:showBubbleSize val="0"/>
            </c:dLbl>
            <c:dLbl>
              <c:idx val="10"/>
              <c:tx>
                <c:rich>
                  <a:bodyPr/>
                  <a:lstStyle/>
                  <a:p>
                    <a:r>
                      <a:t>2005</a:t>
                    </a:r>
                  </a:p>
                </c:rich>
              </c:tx>
              <c:showLegendKey val="0"/>
              <c:showVal val="0"/>
              <c:showCatName val="0"/>
              <c:showSerName val="0"/>
              <c:showPercent val="0"/>
              <c:showBubbleSize val="0"/>
            </c:dLbl>
            <c:dLbl>
              <c:idx val="11"/>
              <c:tx>
                <c:rich>
                  <a:bodyPr/>
                  <a:lstStyle/>
                  <a:p>
                    <a:r>
                      <a:t>2006</a:t>
                    </a:r>
                  </a:p>
                </c:rich>
              </c:tx>
              <c:showLegendKey val="0"/>
              <c:showVal val="0"/>
              <c:showCatName val="0"/>
              <c:showSerName val="0"/>
              <c:showPercent val="0"/>
              <c:showBubbleSize val="0"/>
            </c:dLbl>
            <c:dLbl>
              <c:idx val="12"/>
              <c:tx>
                <c:rich>
                  <a:bodyPr/>
                  <a:lstStyle/>
                  <a:p>
                    <a:r>
                      <a:t>2007</a:t>
                    </a:r>
                  </a:p>
                </c:rich>
              </c:tx>
              <c:showLegendKey val="0"/>
              <c:showVal val="0"/>
              <c:showCatName val="0"/>
              <c:showSerName val="0"/>
              <c:showPercent val="0"/>
              <c:showBubbleSize val="0"/>
            </c:dLbl>
            <c:dLbl>
              <c:idx val="13"/>
              <c:tx>
                <c:rich>
                  <a:bodyPr/>
                  <a:lstStyle/>
                  <a:p>
                    <a:r>
                      <a:t>2008</a:t>
                    </a:r>
                  </a:p>
                </c:rich>
              </c:tx>
              <c:showLegendKey val="0"/>
              <c:showVal val="0"/>
              <c:showCatName val="0"/>
              <c:showSerName val="0"/>
              <c:showPercent val="0"/>
              <c:showBubbleSize val="0"/>
            </c:dLbl>
            <c:dLbl>
              <c:idx val="14"/>
              <c:tx>
                <c:rich>
                  <a:bodyPr/>
                  <a:lstStyle/>
                  <a:p>
                    <a:r>
                      <a:t>2009</a:t>
                    </a:r>
                  </a:p>
                </c:rich>
              </c:tx>
              <c:showLegendKey val="0"/>
              <c:showVal val="0"/>
              <c:showCatName val="0"/>
              <c:showSerName val="0"/>
              <c:showPercent val="0"/>
              <c:showBubbleSize val="0"/>
            </c:dLbl>
            <c:spPr>
              <a:noFill/>
              <a:ln w="25400">
                <a:noFill/>
              </a:ln>
            </c:spPr>
            <c:txPr>
              <a:bodyPr/>
              <a:lstStyle/>
              <a:p>
                <a:pPr>
                  <a:defRPr sz="8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trendline>
            <c:spPr>
              <a:ln w="25400">
                <a:solidFill>
                  <a:srgbClr val="0000FF"/>
                </a:solidFill>
                <a:prstDash val="solid"/>
              </a:ln>
            </c:spPr>
            <c:trendlineType val="linear"/>
            <c:dispRSqr val="0"/>
            <c:dispEq val="0"/>
          </c:trendline>
          <c:xVal>
            <c:numRef>
              <c:f>'VVP2'!$G$100:$AA$100</c:f>
              <c:numCache>
                <c:formatCode>0.0</c:formatCode>
                <c:ptCount val="4"/>
                <c:pt idx="0">
                  <c:v>5.0577675096519004</c:v>
                </c:pt>
                <c:pt idx="1">
                  <c:v>6.0069223963111984</c:v>
                </c:pt>
                <c:pt idx="2">
                  <c:v>3.3377467649213566</c:v>
                </c:pt>
                <c:pt idx="3">
                  <c:v>3.8735925824965767</c:v>
                </c:pt>
              </c:numCache>
            </c:numRef>
          </c:xVal>
          <c:yVal>
            <c:numRef>
              <c:f>'VVP2'!$G$111:$AA$111</c:f>
              <c:numCache>
                <c:formatCode>0.0</c:formatCode>
                <c:ptCount val="4"/>
                <c:pt idx="0">
                  <c:v>6.6449627758580876</c:v>
                </c:pt>
                <c:pt idx="1">
                  <c:v>9.1127519671375001</c:v>
                </c:pt>
                <c:pt idx="2">
                  <c:v>3.0964332515761805</c:v>
                </c:pt>
                <c:pt idx="3">
                  <c:v>6.2006079962821703</c:v>
                </c:pt>
              </c:numCache>
            </c:numRef>
          </c:yVal>
          <c:smooth val="0"/>
        </c:ser>
        <c:dLbls>
          <c:showLegendKey val="0"/>
          <c:showVal val="0"/>
          <c:showCatName val="0"/>
          <c:showSerName val="0"/>
          <c:showPercent val="0"/>
          <c:showBubbleSize val="0"/>
        </c:dLbls>
        <c:axId val="253222272"/>
        <c:axId val="253236352"/>
      </c:scatterChart>
      <c:valAx>
        <c:axId val="253222272"/>
        <c:scaling>
          <c:orientation val="minMax"/>
        </c:scaling>
        <c:delete val="0"/>
        <c:axPos val="b"/>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53236352"/>
        <c:crosses val="autoZero"/>
        <c:crossBetween val="midCat"/>
      </c:valAx>
      <c:valAx>
        <c:axId val="253236352"/>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53222272"/>
        <c:crosses val="autoZero"/>
        <c:crossBetween val="midCat"/>
      </c:valAx>
      <c:spPr>
        <a:noFill/>
        <a:ln w="12700">
          <a:solidFill>
            <a:srgbClr val="808080"/>
          </a:solidFill>
          <a:prstDash val="solid"/>
        </a:ln>
      </c:spPr>
    </c:plotArea>
    <c:legend>
      <c:legendPos val="r"/>
      <c:layout>
        <c:manualLayout>
          <c:xMode val="edge"/>
          <c:yMode val="edge"/>
          <c:x val="0.17187523434570678"/>
          <c:y val="0.85434408934177342"/>
          <c:w val="0.65848284589426309"/>
          <c:h val="0.1260507142489542"/>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GB"/>
              <a:t>Exports of goods and services (DEFLATOR)</a:t>
            </a:r>
          </a:p>
        </c:rich>
      </c:tx>
      <c:layout>
        <c:manualLayout>
          <c:xMode val="edge"/>
          <c:yMode val="edge"/>
          <c:x val="0.19642880577427821"/>
          <c:y val="3.3707865168539325E-2"/>
        </c:manualLayout>
      </c:layout>
      <c:overlay val="0"/>
      <c:spPr>
        <a:noFill/>
        <a:ln w="25400">
          <a:noFill/>
        </a:ln>
      </c:spPr>
    </c:title>
    <c:autoTitleDeleted val="0"/>
    <c:plotArea>
      <c:layout>
        <c:manualLayout>
          <c:layoutTarget val="inner"/>
          <c:xMode val="edge"/>
          <c:yMode val="edge"/>
          <c:x val="0.10044653804946686"/>
          <c:y val="0.17696629213483145"/>
          <c:w val="0.83259019316558092"/>
          <c:h val="0.6179775280898876"/>
        </c:manualLayout>
      </c:layout>
      <c:lineChart>
        <c:grouping val="standard"/>
        <c:varyColors val="0"/>
        <c:ser>
          <c:idx val="0"/>
          <c:order val="0"/>
          <c:tx>
            <c:strRef>
              <c:f>'VVP2'!$D$441:$E$441</c:f>
              <c:strCache>
                <c:ptCount val="1"/>
                <c:pt idx="0">
                  <c:v>GVT Exports of services (P.62)</c:v>
                </c:pt>
              </c:strCache>
            </c:strRef>
          </c:tx>
          <c:spPr>
            <a:ln w="25400">
              <a:solidFill>
                <a:srgbClr val="3366FF"/>
              </a:solidFill>
              <a:prstDash val="solid"/>
            </a:ln>
          </c:spPr>
          <c:marker>
            <c:symbol val="circle"/>
            <c:size val="5"/>
            <c:spPr>
              <a:solidFill>
                <a:srgbClr val="FFFFFF"/>
              </a:solidFill>
              <a:ln>
                <a:solidFill>
                  <a:srgbClr val="3366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'VVP2'!$G$441:$AA$441</c:f>
              <c:numCache>
                <c:formatCode>0.0</c:formatCode>
                <c:ptCount val="4"/>
                <c:pt idx="0">
                  <c:v>2.3327095852569535</c:v>
                </c:pt>
                <c:pt idx="1">
                  <c:v>-2.9135439792327134E-2</c:v>
                </c:pt>
                <c:pt idx="2">
                  <c:v>-0.11589983094432155</c:v>
                </c:pt>
                <c:pt idx="3">
                  <c:v>1.449867374577285</c:v>
                </c:pt>
              </c:numCache>
            </c:numRef>
          </c:val>
          <c:smooth val="0"/>
        </c:ser>
        <c:ser>
          <c:idx val="2"/>
          <c:order val="1"/>
          <c:tx>
            <c:strRef>
              <c:f>'VVP2'!$D$442:$E$442</c:f>
              <c:strCache>
                <c:ptCount val="1"/>
                <c:pt idx="0">
                  <c:v>GVT Exports of goods (P.61)</c:v>
                </c:pt>
              </c:strCache>
            </c:strRef>
          </c:tx>
          <c:spPr>
            <a:ln w="25400">
              <a:solidFill>
                <a:srgbClr val="99CC00"/>
              </a:solidFill>
              <a:prstDash val="solid"/>
            </a:ln>
          </c:spPr>
          <c:marker>
            <c:symbol val="square"/>
            <c:size val="5"/>
            <c:spPr>
              <a:solidFill>
                <a:srgbClr val="FFFFFF"/>
              </a:solidFill>
              <a:ln>
                <a:solidFill>
                  <a:srgbClr val="99CC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'VVP2'!$G$442:$AA$442</c:f>
              <c:numCache>
                <c:formatCode>0.0</c:formatCode>
                <c:ptCount val="4"/>
                <c:pt idx="0">
                  <c:v>3.4599548286881054</c:v>
                </c:pt>
                <c:pt idx="1">
                  <c:v>-2.0988570399652073</c:v>
                </c:pt>
                <c:pt idx="2">
                  <c:v>-2.7978358841214912</c:v>
                </c:pt>
                <c:pt idx="3">
                  <c:v>-5.3224435872370019</c:v>
                </c:pt>
              </c:numCache>
            </c:numRef>
          </c:val>
          <c:smooth val="0"/>
        </c:ser>
        <c:dLbls>
          <c:showLegendKey val="0"/>
          <c:showVal val="0"/>
          <c:showCatName val="0"/>
          <c:showSerName val="0"/>
          <c:showPercent val="0"/>
          <c:showBubbleSize val="0"/>
        </c:dLbls>
        <c:marker val="1"/>
        <c:smooth val="0"/>
        <c:axId val="253285888"/>
        <c:axId val="253287808"/>
      </c:lineChart>
      <c:catAx>
        <c:axId val="253285888"/>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53287808"/>
        <c:crosses val="autoZero"/>
        <c:auto val="1"/>
        <c:lblAlgn val="ctr"/>
        <c:lblOffset val="100"/>
        <c:tickLblSkip val="2"/>
        <c:tickMarkSkip val="1"/>
        <c:noMultiLvlLbl val="0"/>
      </c:catAx>
      <c:valAx>
        <c:axId val="253287808"/>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53285888"/>
        <c:crosses val="autoZero"/>
        <c:crossBetween val="midCat"/>
      </c:valAx>
      <c:spPr>
        <a:noFill/>
        <a:ln w="12700">
          <a:solidFill>
            <a:srgbClr val="808080"/>
          </a:solidFill>
          <a:prstDash val="solid"/>
        </a:ln>
      </c:spPr>
    </c:plotArea>
    <c:legend>
      <c:legendPos val="r"/>
      <c:layout>
        <c:manualLayout>
          <c:xMode val="edge"/>
          <c:yMode val="edge"/>
          <c:x val="2.6785714285714284E-2"/>
          <c:y val="0.9129213483146067"/>
          <c:w val="0.94419736595425563"/>
          <c:h val="6.7415730337078705E-2"/>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GB"/>
              <a:t>Imports of goods and services (DEFLATOR)</a:t>
            </a:r>
          </a:p>
        </c:rich>
      </c:tx>
      <c:layout>
        <c:manualLayout>
          <c:xMode val="edge"/>
          <c:yMode val="edge"/>
          <c:x val="0.19642880577427821"/>
          <c:y val="3.3519553072625698E-2"/>
        </c:manualLayout>
      </c:layout>
      <c:overlay val="0"/>
      <c:spPr>
        <a:noFill/>
        <a:ln w="25400">
          <a:noFill/>
        </a:ln>
      </c:spPr>
    </c:title>
    <c:autoTitleDeleted val="0"/>
    <c:plotArea>
      <c:layout>
        <c:manualLayout>
          <c:layoutTarget val="inner"/>
          <c:xMode val="edge"/>
          <c:yMode val="edge"/>
          <c:x val="0.10044653804946686"/>
          <c:y val="0.17597789365001643"/>
          <c:w val="0.83259019316558092"/>
          <c:h val="0.6201125776238674"/>
        </c:manualLayout>
      </c:layout>
      <c:lineChart>
        <c:grouping val="standard"/>
        <c:varyColors val="0"/>
        <c:ser>
          <c:idx val="0"/>
          <c:order val="0"/>
          <c:tx>
            <c:strRef>
              <c:f>'VVP2'!$E$451</c:f>
              <c:strCache>
                <c:ptCount val="1"/>
                <c:pt idx="0">
                  <c:v>Imports of services (P.72)</c:v>
                </c:pt>
              </c:strCache>
            </c:strRef>
          </c:tx>
          <c:spPr>
            <a:ln w="25400">
              <a:solidFill>
                <a:srgbClr val="3366FF"/>
              </a:solidFill>
              <a:prstDash val="solid"/>
            </a:ln>
          </c:spPr>
          <c:marker>
            <c:symbol val="circle"/>
            <c:size val="5"/>
            <c:spPr>
              <a:solidFill>
                <a:srgbClr val="FFFFFF"/>
              </a:solidFill>
              <a:ln>
                <a:solidFill>
                  <a:srgbClr val="3366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'VVP2'!$G$451:$AA$451</c:f>
              <c:numCache>
                <c:formatCode>0.0</c:formatCode>
                <c:ptCount val="4"/>
                <c:pt idx="0">
                  <c:v>1.574991662602887</c:v>
                </c:pt>
                <c:pt idx="1">
                  <c:v>-0.33977147555490639</c:v>
                </c:pt>
                <c:pt idx="2">
                  <c:v>-0.55427768582771986</c:v>
                </c:pt>
                <c:pt idx="3">
                  <c:v>1.499858343969751</c:v>
                </c:pt>
              </c:numCache>
            </c:numRef>
          </c:val>
          <c:smooth val="0"/>
        </c:ser>
        <c:ser>
          <c:idx val="2"/>
          <c:order val="1"/>
          <c:tx>
            <c:strRef>
              <c:f>'VVP2'!$E$452</c:f>
              <c:strCache>
                <c:ptCount val="1"/>
                <c:pt idx="0">
                  <c:v>Imports of goods (P.71)</c:v>
                </c:pt>
              </c:strCache>
            </c:strRef>
          </c:tx>
          <c:spPr>
            <a:ln w="25400">
              <a:solidFill>
                <a:srgbClr val="99CC00"/>
              </a:solidFill>
              <a:prstDash val="solid"/>
            </a:ln>
          </c:spPr>
          <c:marker>
            <c:symbol val="square"/>
            <c:size val="5"/>
            <c:spPr>
              <a:solidFill>
                <a:srgbClr val="FFFFFF"/>
              </a:solidFill>
              <a:ln>
                <a:solidFill>
                  <a:srgbClr val="99CC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'VVP2'!$G$452:$AA$452</c:f>
              <c:numCache>
                <c:formatCode>0.0</c:formatCode>
                <c:ptCount val="4"/>
                <c:pt idx="0">
                  <c:v>4.5134490455121634</c:v>
                </c:pt>
                <c:pt idx="1">
                  <c:v>-1.6700354308760712</c:v>
                </c:pt>
                <c:pt idx="2">
                  <c:v>-3.6119050898916538</c:v>
                </c:pt>
                <c:pt idx="3">
                  <c:v>-8.2711510508267416</c:v>
                </c:pt>
              </c:numCache>
            </c:numRef>
          </c:val>
          <c:smooth val="0"/>
        </c:ser>
        <c:dLbls>
          <c:showLegendKey val="0"/>
          <c:showVal val="0"/>
          <c:showCatName val="0"/>
          <c:showSerName val="0"/>
          <c:showPercent val="0"/>
          <c:showBubbleSize val="0"/>
        </c:dLbls>
        <c:marker val="1"/>
        <c:smooth val="0"/>
        <c:axId val="253329408"/>
        <c:axId val="253331328"/>
      </c:lineChart>
      <c:catAx>
        <c:axId val="253329408"/>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53331328"/>
        <c:crosses val="autoZero"/>
        <c:auto val="1"/>
        <c:lblAlgn val="ctr"/>
        <c:lblOffset val="100"/>
        <c:tickLblSkip val="2"/>
        <c:tickMarkSkip val="1"/>
        <c:noMultiLvlLbl val="0"/>
      </c:catAx>
      <c:valAx>
        <c:axId val="253331328"/>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53329408"/>
        <c:crosses val="autoZero"/>
        <c:crossBetween val="midCat"/>
      </c:valAx>
      <c:spPr>
        <a:noFill/>
        <a:ln w="12700">
          <a:solidFill>
            <a:srgbClr val="808080"/>
          </a:solidFill>
          <a:prstDash val="solid"/>
        </a:ln>
      </c:spPr>
    </c:plotArea>
    <c:legend>
      <c:legendPos val="r"/>
      <c:layout>
        <c:manualLayout>
          <c:xMode val="edge"/>
          <c:yMode val="edge"/>
          <c:x val="0.11607166291713535"/>
          <c:y val="0.91340899426677802"/>
          <c:w val="0.80134022309711284"/>
          <c:h val="6.7039106145251437E-2"/>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GB"/>
              <a:t>Balance of goods and services 
(mrd. Euro - current prices)</a:t>
            </a:r>
          </a:p>
        </c:rich>
      </c:tx>
      <c:layout>
        <c:manualLayout>
          <c:xMode val="edge"/>
          <c:yMode val="edge"/>
          <c:x val="0.28125023434570678"/>
          <c:y val="3.3707865168539325E-2"/>
        </c:manualLayout>
      </c:layout>
      <c:overlay val="0"/>
      <c:spPr>
        <a:noFill/>
        <a:ln w="25400">
          <a:noFill/>
        </a:ln>
      </c:spPr>
    </c:title>
    <c:autoTitleDeleted val="0"/>
    <c:plotArea>
      <c:layout>
        <c:manualLayout>
          <c:layoutTarget val="inner"/>
          <c:xMode val="edge"/>
          <c:yMode val="edge"/>
          <c:x val="0.10044653804946686"/>
          <c:y val="0.2247191011235955"/>
          <c:w val="0.83259019316558092"/>
          <c:h val="0.5702247191011236"/>
        </c:manualLayout>
      </c:layout>
      <c:lineChart>
        <c:grouping val="standard"/>
        <c:varyColors val="0"/>
        <c:ser>
          <c:idx val="1"/>
          <c:order val="0"/>
          <c:tx>
            <c:strRef>
              <c:f>'VVP2'!$E$330</c:f>
              <c:strCache>
                <c:ptCount val="1"/>
                <c:pt idx="0">
                  <c:v>Balance of goods</c:v>
                </c:pt>
              </c:strCache>
            </c:strRef>
          </c:tx>
          <c:spPr>
            <a:ln w="25400">
              <a:solidFill>
                <a:srgbClr val="0000FF"/>
              </a:solidFill>
              <a:prstDash val="solid"/>
            </a:ln>
          </c:spPr>
          <c:marker>
            <c:symbol val="circle"/>
            <c:size val="5"/>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'VVP2'!$G$330:$AA$330</c:f>
              <c:numCache>
                <c:formatCode>0.0</c:formatCode>
                <c:ptCount val="4"/>
                <c:pt idx="0">
                  <c:v>-1.1024399999999979</c:v>
                </c:pt>
                <c:pt idx="1">
                  <c:v>-0.9199300000000008</c:v>
                </c:pt>
                <c:pt idx="2">
                  <c:v>-0.93678000000000239</c:v>
                </c:pt>
                <c:pt idx="3">
                  <c:v>-1.9868899999999989</c:v>
                </c:pt>
              </c:numCache>
            </c:numRef>
          </c:val>
          <c:smooth val="0"/>
        </c:ser>
        <c:ser>
          <c:idx val="2"/>
          <c:order val="1"/>
          <c:tx>
            <c:strRef>
              <c:f>'VVP2'!$E$331</c:f>
              <c:strCache>
                <c:ptCount val="1"/>
                <c:pt idx="0">
                  <c:v>Balance of goods and services</c:v>
                </c:pt>
              </c:strCache>
            </c:strRef>
          </c:tx>
          <c:spPr>
            <a:ln w="25400">
              <a:solidFill>
                <a:srgbClr val="008000"/>
              </a:solidFill>
              <a:prstDash val="solid"/>
            </a:ln>
          </c:spPr>
          <c:marker>
            <c:symbol val="square"/>
            <c:size val="5"/>
            <c:spPr>
              <a:solidFill>
                <a:srgbClr val="FFFFFF"/>
              </a:solidFill>
              <a:ln>
                <a:solidFill>
                  <a:srgbClr val="008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'VVP2'!$G$331:$AA$331</c:f>
              <c:numCache>
                <c:formatCode>0.0</c:formatCode>
                <c:ptCount val="4"/>
                <c:pt idx="0">
                  <c:v>0.28686000000000078</c:v>
                </c:pt>
                <c:pt idx="1">
                  <c:v>0.43724999999999881</c:v>
                </c:pt>
                <c:pt idx="2">
                  <c:v>0.75952000000000197</c:v>
                </c:pt>
                <c:pt idx="3">
                  <c:v>-0.17949000000000126</c:v>
                </c:pt>
              </c:numCache>
            </c:numRef>
          </c:val>
          <c:smooth val="0"/>
        </c:ser>
        <c:dLbls>
          <c:showLegendKey val="0"/>
          <c:showVal val="0"/>
          <c:showCatName val="0"/>
          <c:showSerName val="0"/>
          <c:showPercent val="0"/>
          <c:showBubbleSize val="0"/>
        </c:dLbls>
        <c:marker val="1"/>
        <c:smooth val="0"/>
        <c:axId val="253348096"/>
        <c:axId val="253358464"/>
      </c:lineChart>
      <c:catAx>
        <c:axId val="253348096"/>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53358464"/>
        <c:crosses val="autoZero"/>
        <c:auto val="1"/>
        <c:lblAlgn val="ctr"/>
        <c:lblOffset val="100"/>
        <c:tickLblSkip val="2"/>
        <c:tickMarkSkip val="1"/>
        <c:noMultiLvlLbl val="0"/>
      </c:catAx>
      <c:valAx>
        <c:axId val="253358464"/>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53348096"/>
        <c:crosses val="autoZero"/>
        <c:crossBetween val="midCat"/>
      </c:valAx>
      <c:spPr>
        <a:noFill/>
        <a:ln w="12700">
          <a:solidFill>
            <a:srgbClr val="808080"/>
          </a:solidFill>
          <a:prstDash val="solid"/>
        </a:ln>
      </c:spPr>
    </c:plotArea>
    <c:legend>
      <c:legendPos val="r"/>
      <c:layout>
        <c:manualLayout>
          <c:xMode val="edge"/>
          <c:yMode val="edge"/>
          <c:x val="0.12276809148856392"/>
          <c:y val="0.9129213483146067"/>
          <c:w val="0.78794736595425563"/>
          <c:h val="6.7415730337078705E-2"/>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GB"/>
              <a:t>Balance of goods and services 
(mrd. Euro - constant prices)</a:t>
            </a:r>
          </a:p>
        </c:rich>
      </c:tx>
      <c:layout>
        <c:manualLayout>
          <c:xMode val="edge"/>
          <c:yMode val="edge"/>
          <c:x val="0.28125023434570678"/>
          <c:y val="3.3707865168539325E-2"/>
        </c:manualLayout>
      </c:layout>
      <c:overlay val="0"/>
      <c:spPr>
        <a:noFill/>
        <a:ln w="25400">
          <a:noFill/>
        </a:ln>
      </c:spPr>
    </c:title>
    <c:autoTitleDeleted val="0"/>
    <c:plotArea>
      <c:layout>
        <c:manualLayout>
          <c:layoutTarget val="inner"/>
          <c:xMode val="edge"/>
          <c:yMode val="edge"/>
          <c:x val="0.10044653804946686"/>
          <c:y val="0.2247191011235955"/>
          <c:w val="0.83259019316558092"/>
          <c:h val="0.5702247191011236"/>
        </c:manualLayout>
      </c:layout>
      <c:lineChart>
        <c:grouping val="standard"/>
        <c:varyColors val="0"/>
        <c:ser>
          <c:idx val="1"/>
          <c:order val="0"/>
          <c:tx>
            <c:strRef>
              <c:f>'VVP2'!$E$114</c:f>
              <c:strCache>
                <c:ptCount val="1"/>
                <c:pt idx="0">
                  <c:v>Balance of goods</c:v>
                </c:pt>
              </c:strCache>
            </c:strRef>
          </c:tx>
          <c:spPr>
            <a:ln w="25400">
              <a:solidFill>
                <a:srgbClr val="993366"/>
              </a:solidFill>
              <a:prstDash val="solid"/>
            </a:ln>
          </c:spPr>
          <c:marker>
            <c:symbol val="circle"/>
            <c:size val="5"/>
            <c:spPr>
              <a:solidFill>
                <a:srgbClr val="FFFFFF"/>
              </a:solidFill>
              <a:ln>
                <a:solidFill>
                  <a:srgbClr val="993366"/>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'VVP2'!$G$114:$AA$114</c:f>
              <c:numCache>
                <c:formatCode>0.0</c:formatCode>
                <c:ptCount val="4"/>
                <c:pt idx="0">
                  <c:v>-0.67705000000000126</c:v>
                </c:pt>
                <c:pt idx="1">
                  <c:v>-0.42208999999999719</c:v>
                </c:pt>
                <c:pt idx="2">
                  <c:v>-0.63734999999999786</c:v>
                </c:pt>
                <c:pt idx="3">
                  <c:v>-2.40991</c:v>
                </c:pt>
              </c:numCache>
            </c:numRef>
          </c:val>
          <c:smooth val="0"/>
        </c:ser>
        <c:ser>
          <c:idx val="2"/>
          <c:order val="1"/>
          <c:tx>
            <c:strRef>
              <c:f>'VVP2'!$E$115</c:f>
              <c:strCache>
                <c:ptCount val="1"/>
                <c:pt idx="0">
                  <c:v>Balance of goods and services</c:v>
                </c:pt>
              </c:strCache>
            </c:strRef>
          </c:tx>
          <c:spPr>
            <a:ln w="25400">
              <a:solidFill>
                <a:srgbClr val="FF9900"/>
              </a:solidFill>
              <a:prstDash val="solid"/>
            </a:ln>
          </c:spPr>
          <c:marker>
            <c:symbol val="square"/>
            <c:size val="5"/>
            <c:spPr>
              <a:solidFill>
                <a:srgbClr val="FFFFFF"/>
              </a:solidFill>
              <a:ln>
                <a:solidFill>
                  <a:srgbClr val="FF99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'VVP2'!$G$115:$AA$115</c:f>
              <c:numCache>
                <c:formatCode>0.0</c:formatCode>
                <c:ptCount val="4"/>
                <c:pt idx="0">
                  <c:v>0.64616999999999791</c:v>
                </c:pt>
                <c:pt idx="1">
                  <c:v>0.88250000000000028</c:v>
                </c:pt>
                <c:pt idx="2">
                  <c:v>0.95478999999999914</c:v>
                </c:pt>
                <c:pt idx="3">
                  <c:v>-0.75466000000000122</c:v>
                </c:pt>
              </c:numCache>
            </c:numRef>
          </c:val>
          <c:smooth val="0"/>
        </c:ser>
        <c:dLbls>
          <c:showLegendKey val="0"/>
          <c:showVal val="0"/>
          <c:showCatName val="0"/>
          <c:showSerName val="0"/>
          <c:showPercent val="0"/>
          <c:showBubbleSize val="0"/>
        </c:dLbls>
        <c:marker val="1"/>
        <c:smooth val="0"/>
        <c:axId val="253461248"/>
        <c:axId val="253463168"/>
      </c:lineChart>
      <c:catAx>
        <c:axId val="253461248"/>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53463168"/>
        <c:crosses val="autoZero"/>
        <c:auto val="1"/>
        <c:lblAlgn val="ctr"/>
        <c:lblOffset val="100"/>
        <c:tickLblSkip val="2"/>
        <c:tickMarkSkip val="1"/>
        <c:noMultiLvlLbl val="0"/>
      </c:catAx>
      <c:valAx>
        <c:axId val="253463168"/>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53461248"/>
        <c:crosses val="autoZero"/>
        <c:crossBetween val="midCat"/>
      </c:valAx>
      <c:spPr>
        <a:noFill/>
        <a:ln w="12700">
          <a:solidFill>
            <a:srgbClr val="808080"/>
          </a:solidFill>
          <a:prstDash val="solid"/>
        </a:ln>
      </c:spPr>
    </c:plotArea>
    <c:legend>
      <c:legendPos val="r"/>
      <c:layout>
        <c:manualLayout>
          <c:xMode val="edge"/>
          <c:yMode val="edge"/>
          <c:x val="0.12276809148856392"/>
          <c:y val="0.9129213483146067"/>
          <c:w val="0.78794736595425563"/>
          <c:h val="6.7415730337078705E-2"/>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GB"/>
              <a:t>GDP and GVA (VAL)</a:t>
            </a:r>
          </a:p>
        </c:rich>
      </c:tx>
      <c:layout>
        <c:manualLayout>
          <c:xMode val="edge"/>
          <c:yMode val="edge"/>
          <c:x val="0.35491118297712781"/>
          <c:y val="3.3707865168539325E-2"/>
        </c:manualLayout>
      </c:layout>
      <c:overlay val="0"/>
      <c:spPr>
        <a:noFill/>
        <a:ln w="25400">
          <a:noFill/>
        </a:ln>
      </c:spPr>
    </c:title>
    <c:autoTitleDeleted val="0"/>
    <c:plotArea>
      <c:layout>
        <c:manualLayout>
          <c:layoutTarget val="inner"/>
          <c:xMode val="edge"/>
          <c:yMode val="edge"/>
          <c:x val="0.11607155507938394"/>
          <c:y val="0.17696629213483145"/>
          <c:w val="0.81696517613566388"/>
          <c:h val="0.6179775280898876"/>
        </c:manualLayout>
      </c:layout>
      <c:lineChart>
        <c:grouping val="standard"/>
        <c:varyColors val="0"/>
        <c:ser>
          <c:idx val="1"/>
          <c:order val="0"/>
          <c:tx>
            <c:strRef>
              <c:f>'VVP2'!$E$348</c:f>
              <c:strCache>
                <c:ptCount val="1"/>
                <c:pt idx="0">
                  <c:v>GDP</c:v>
                </c:pt>
              </c:strCache>
            </c:strRef>
          </c:tx>
          <c:spPr>
            <a:ln w="25400">
              <a:solidFill>
                <a:srgbClr val="0000FF"/>
              </a:solidFill>
              <a:prstDash val="solid"/>
            </a:ln>
          </c:spPr>
          <c:marker>
            <c:symbol val="circle"/>
            <c:size val="5"/>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'VVP2'!$G$348:$AA$348</c:f>
              <c:numCache>
                <c:formatCode>0.0</c:formatCode>
                <c:ptCount val="4"/>
                <c:pt idx="0">
                  <c:v>6.6287411287878184</c:v>
                </c:pt>
                <c:pt idx="1">
                  <c:v>4.8313146506227644</c:v>
                </c:pt>
                <c:pt idx="2">
                  <c:v>4.6013904601447608</c:v>
                </c:pt>
                <c:pt idx="3">
                  <c:v>2.3471981728427016</c:v>
                </c:pt>
              </c:numCache>
            </c:numRef>
          </c:val>
          <c:smooth val="0"/>
        </c:ser>
        <c:ser>
          <c:idx val="2"/>
          <c:order val="1"/>
          <c:tx>
            <c:strRef>
              <c:f>'VVP2'!$E$355</c:f>
              <c:strCache>
                <c:ptCount val="1"/>
                <c:pt idx="0">
                  <c:v>GVA</c:v>
                </c:pt>
              </c:strCache>
            </c:strRef>
          </c:tx>
          <c:spPr>
            <a:ln w="25400">
              <a:solidFill>
                <a:srgbClr val="008000"/>
              </a:solidFill>
              <a:prstDash val="solid"/>
            </a:ln>
          </c:spPr>
          <c:marker>
            <c:symbol val="square"/>
            <c:size val="5"/>
            <c:spPr>
              <a:solidFill>
                <a:srgbClr val="FFFFFF"/>
              </a:solidFill>
              <a:ln>
                <a:solidFill>
                  <a:srgbClr val="008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'VVP2'!$G$355:$AA$355</c:f>
              <c:numCache>
                <c:formatCode>0.0</c:formatCode>
                <c:ptCount val="4"/>
                <c:pt idx="0">
                  <c:v>7.1203683514878824</c:v>
                </c:pt>
                <c:pt idx="1">
                  <c:v>5.0552359079149678</c:v>
                </c:pt>
                <c:pt idx="2">
                  <c:v>4.3471016797685724</c:v>
                </c:pt>
                <c:pt idx="3">
                  <c:v>1.9398699878552028</c:v>
                </c:pt>
              </c:numCache>
            </c:numRef>
          </c:val>
          <c:smooth val="0"/>
        </c:ser>
        <c:dLbls>
          <c:showLegendKey val="0"/>
          <c:showVal val="0"/>
          <c:showCatName val="0"/>
          <c:showSerName val="0"/>
          <c:showPercent val="0"/>
          <c:showBubbleSize val="0"/>
        </c:dLbls>
        <c:marker val="1"/>
        <c:smooth val="0"/>
        <c:axId val="253475840"/>
        <c:axId val="253490304"/>
      </c:lineChart>
      <c:catAx>
        <c:axId val="253475840"/>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53490304"/>
        <c:crosses val="autoZero"/>
        <c:auto val="1"/>
        <c:lblAlgn val="ctr"/>
        <c:lblOffset val="100"/>
        <c:tickLblSkip val="2"/>
        <c:tickMarkSkip val="1"/>
        <c:noMultiLvlLbl val="0"/>
      </c:catAx>
      <c:valAx>
        <c:axId val="253490304"/>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53475840"/>
        <c:crosses val="autoZero"/>
        <c:crossBetween val="midCat"/>
      </c:valAx>
      <c:spPr>
        <a:noFill/>
        <a:ln w="12700">
          <a:solidFill>
            <a:srgbClr val="808080"/>
          </a:solidFill>
          <a:prstDash val="solid"/>
        </a:ln>
      </c:spPr>
    </c:plotArea>
    <c:legend>
      <c:legendPos val="r"/>
      <c:layout>
        <c:manualLayout>
          <c:xMode val="edge"/>
          <c:yMode val="edge"/>
          <c:x val="0.37500046869141357"/>
          <c:y val="0.9129213483146067"/>
          <c:w val="0.29687523434570673"/>
          <c:h val="6.7415730337078705E-2"/>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GB"/>
              <a:t>GDP and GVA (VOL)</a:t>
            </a:r>
          </a:p>
        </c:rich>
      </c:tx>
      <c:layout>
        <c:manualLayout>
          <c:xMode val="edge"/>
          <c:yMode val="edge"/>
          <c:x val="0.35491118297712781"/>
          <c:y val="3.3707865168539325E-2"/>
        </c:manualLayout>
      </c:layout>
      <c:overlay val="0"/>
      <c:spPr>
        <a:noFill/>
        <a:ln w="25400">
          <a:noFill/>
        </a:ln>
      </c:spPr>
    </c:title>
    <c:autoTitleDeleted val="0"/>
    <c:plotArea>
      <c:layout>
        <c:manualLayout>
          <c:layoutTarget val="inner"/>
          <c:xMode val="edge"/>
          <c:yMode val="edge"/>
          <c:x val="0.10044653804946686"/>
          <c:y val="0.17696629213483145"/>
          <c:w val="0.83259019316558092"/>
          <c:h val="0.6179775280898876"/>
        </c:manualLayout>
      </c:layout>
      <c:lineChart>
        <c:grouping val="standard"/>
        <c:varyColors val="0"/>
        <c:ser>
          <c:idx val="1"/>
          <c:order val="0"/>
          <c:tx>
            <c:strRef>
              <c:f>'VVP2'!$E$131</c:f>
              <c:strCache>
                <c:ptCount val="1"/>
                <c:pt idx="0">
                  <c:v>Gross domestic product (B.1g - constant prices)</c:v>
                </c:pt>
              </c:strCache>
            </c:strRef>
          </c:tx>
          <c:spPr>
            <a:ln w="25400">
              <a:solidFill>
                <a:srgbClr val="FF0000"/>
              </a:solidFill>
              <a:prstDash val="solid"/>
            </a:ln>
          </c:spPr>
          <c:marker>
            <c:symbol val="circle"/>
            <c:size val="5"/>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'VVP2'!$G$131:$AA$131</c:f>
              <c:numCache>
                <c:formatCode>0.0</c:formatCode>
                <c:ptCount val="4"/>
                <c:pt idx="0">
                  <c:v>3.8269382239940919</c:v>
                </c:pt>
                <c:pt idx="1">
                  <c:v>3.498577230569011</c:v>
                </c:pt>
                <c:pt idx="2" formatCode="0.000">
                  <c:v>3.5375855747539431</c:v>
                </c:pt>
                <c:pt idx="3" formatCode="0.000">
                  <c:v>2.0346676424249033</c:v>
                </c:pt>
              </c:numCache>
            </c:numRef>
          </c:val>
          <c:smooth val="0"/>
        </c:ser>
        <c:ser>
          <c:idx val="2"/>
          <c:order val="1"/>
          <c:tx>
            <c:strRef>
              <c:f>'VVP2'!$E$162</c:f>
              <c:strCache>
                <c:ptCount val="1"/>
                <c:pt idx="0">
                  <c:v>GVA</c:v>
                </c:pt>
              </c:strCache>
            </c:strRef>
          </c:tx>
          <c:spPr>
            <a:ln w="25400">
              <a:solidFill>
                <a:srgbClr val="FF9900"/>
              </a:solidFill>
              <a:prstDash val="solid"/>
            </a:ln>
          </c:spPr>
          <c:marker>
            <c:symbol val="square"/>
            <c:size val="5"/>
            <c:spPr>
              <a:solidFill>
                <a:srgbClr val="FFFFFF"/>
              </a:solidFill>
              <a:ln>
                <a:solidFill>
                  <a:srgbClr val="FF99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'VVP2'!$G$162:$AA$162</c:f>
              <c:numCache>
                <c:formatCode>0.0</c:formatCode>
                <c:ptCount val="4"/>
                <c:pt idx="0">
                  <c:v>3.8269627927211225</c:v>
                </c:pt>
                <c:pt idx="1">
                  <c:v>3.4985596052496959</c:v>
                </c:pt>
                <c:pt idx="2">
                  <c:v>3.5376044083425873</c:v>
                </c:pt>
                <c:pt idx="3">
                  <c:v>2.0346555108811559</c:v>
                </c:pt>
              </c:numCache>
            </c:numRef>
          </c:val>
          <c:smooth val="0"/>
        </c:ser>
        <c:dLbls>
          <c:showLegendKey val="0"/>
          <c:showVal val="0"/>
          <c:showCatName val="0"/>
          <c:showSerName val="0"/>
          <c:showPercent val="0"/>
          <c:showBubbleSize val="0"/>
        </c:dLbls>
        <c:marker val="1"/>
        <c:smooth val="0"/>
        <c:axId val="253532032"/>
        <c:axId val="253534208"/>
      </c:lineChart>
      <c:catAx>
        <c:axId val="253532032"/>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53534208"/>
        <c:crosses val="autoZero"/>
        <c:auto val="1"/>
        <c:lblAlgn val="ctr"/>
        <c:lblOffset val="100"/>
        <c:tickLblSkip val="2"/>
        <c:tickMarkSkip val="1"/>
        <c:noMultiLvlLbl val="0"/>
      </c:catAx>
      <c:valAx>
        <c:axId val="253534208"/>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53532032"/>
        <c:crosses val="autoZero"/>
        <c:crossBetween val="midCat"/>
      </c:valAx>
      <c:spPr>
        <a:noFill/>
        <a:ln w="12700">
          <a:solidFill>
            <a:srgbClr val="808080"/>
          </a:solidFill>
          <a:prstDash val="solid"/>
        </a:ln>
      </c:spPr>
    </c:plotArea>
    <c:legend>
      <c:legendPos val="r"/>
      <c:layout>
        <c:manualLayout>
          <c:xMode val="edge"/>
          <c:yMode val="edge"/>
          <c:x val="7.1428571428571425E-2"/>
          <c:y val="0.9129213483146067"/>
          <c:w val="0.85714379452568423"/>
          <c:h val="6.7415730337078705E-2"/>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Public investment as % of GDP</a:t>
            </a:r>
          </a:p>
        </c:rich>
      </c:tx>
      <c:layout>
        <c:manualLayout>
          <c:xMode val="edge"/>
          <c:yMode val="edge"/>
          <c:x val="0.28125023434570678"/>
          <c:y val="3.3707865168539325E-2"/>
        </c:manualLayout>
      </c:layout>
      <c:overlay val="0"/>
      <c:spPr>
        <a:noFill/>
        <a:ln w="25400">
          <a:noFill/>
        </a:ln>
      </c:spPr>
    </c:title>
    <c:autoTitleDeleted val="0"/>
    <c:plotArea>
      <c:layout>
        <c:manualLayout>
          <c:layoutTarget val="inner"/>
          <c:xMode val="edge"/>
          <c:yMode val="edge"/>
          <c:x val="0.14285729855924176"/>
          <c:y val="0.17696629213483145"/>
          <c:w val="0.79017943265580604"/>
          <c:h val="0.6179775280898876"/>
        </c:manualLayout>
      </c:layout>
      <c:lineChart>
        <c:grouping val="standard"/>
        <c:varyColors val="0"/>
        <c:ser>
          <c:idx val="0"/>
          <c:order val="0"/>
          <c:tx>
            <c:strRef>
              <c:f>'VVP2'!$D$242:$E$242</c:f>
              <c:strCache>
                <c:ptCount val="1"/>
                <c:pt idx="0">
                  <c:v>GVT Gross fixed capital formation (P.51)</c:v>
                </c:pt>
              </c:strCache>
            </c:strRef>
          </c:tx>
          <c:spPr>
            <a:ln w="25400">
              <a:solidFill>
                <a:srgbClr val="FF0000"/>
              </a:solidFill>
              <a:prstDash val="solid"/>
            </a:ln>
          </c:spPr>
          <c:marker>
            <c:symbol val="diamond"/>
            <c:size val="5"/>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'VVP2'!$G$242:$AA$242</c:f>
              <c:numCache>
                <c:formatCode>0.0%</c:formatCode>
                <c:ptCount val="4"/>
                <c:pt idx="0">
                  <c:v>3.9771827681501525E-2</c:v>
                </c:pt>
                <c:pt idx="1">
                  <c:v>3.7456896736666412E-2</c:v>
                </c:pt>
                <c:pt idx="2">
                  <c:v>3.5084504931596455E-2</c:v>
                </c:pt>
                <c:pt idx="3">
                  <c:v>3.6725474201377034E-2</c:v>
                </c:pt>
              </c:numCache>
            </c:numRef>
          </c:val>
          <c:smooth val="0"/>
        </c:ser>
        <c:dLbls>
          <c:showLegendKey val="0"/>
          <c:showVal val="0"/>
          <c:showCatName val="0"/>
          <c:showSerName val="0"/>
          <c:showPercent val="0"/>
          <c:showBubbleSize val="0"/>
        </c:dLbls>
        <c:marker val="1"/>
        <c:smooth val="0"/>
        <c:axId val="254152704"/>
        <c:axId val="254154624"/>
      </c:lineChart>
      <c:catAx>
        <c:axId val="254152704"/>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54154624"/>
        <c:crosses val="autoZero"/>
        <c:auto val="1"/>
        <c:lblAlgn val="ctr"/>
        <c:lblOffset val="100"/>
        <c:tickLblSkip val="2"/>
        <c:tickMarkSkip val="1"/>
        <c:noMultiLvlLbl val="0"/>
      </c:catAx>
      <c:valAx>
        <c:axId val="254154624"/>
        <c:scaling>
          <c:orientation val="minMax"/>
          <c:min val="1.4999999999999999E-2"/>
        </c:scaling>
        <c:delete val="0"/>
        <c:axPos val="l"/>
        <c:majorGridlines>
          <c:spPr>
            <a:ln w="3175">
              <a:solidFill>
                <a:srgbClr val="000000"/>
              </a:solidFill>
              <a:prstDash val="solid"/>
            </a:ln>
          </c:spPr>
        </c:majorGridlines>
        <c:numFmt formatCode="0.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54152704"/>
        <c:crosses val="autoZero"/>
        <c:crossBetween val="midCat"/>
      </c:valAx>
      <c:spPr>
        <a:noFill/>
        <a:ln w="12700">
          <a:solidFill>
            <a:srgbClr val="808080"/>
          </a:solidFill>
          <a:prstDash val="solid"/>
        </a:ln>
      </c:spPr>
    </c:plotArea>
    <c:legend>
      <c:legendPos val="r"/>
      <c:layout>
        <c:manualLayout>
          <c:xMode val="edge"/>
          <c:yMode val="edge"/>
          <c:x val="0.22991094863142106"/>
          <c:y val="0.9129213483146067"/>
          <c:w val="0.61383998875140611"/>
          <c:h val="6.7415730337078705E-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Corporate investment as % of GDP</a:t>
            </a:r>
          </a:p>
        </c:rich>
      </c:tx>
      <c:layout>
        <c:manualLayout>
          <c:xMode val="edge"/>
          <c:yMode val="edge"/>
          <c:x val="0.25446452005999248"/>
          <c:y val="3.3707865168539325E-2"/>
        </c:manualLayout>
      </c:layout>
      <c:overlay val="0"/>
      <c:spPr>
        <a:noFill/>
        <a:ln w="25400">
          <a:noFill/>
        </a:ln>
      </c:spPr>
    </c:title>
    <c:autoTitleDeleted val="0"/>
    <c:plotArea>
      <c:layout>
        <c:manualLayout>
          <c:layoutTarget val="inner"/>
          <c:xMode val="edge"/>
          <c:yMode val="edge"/>
          <c:x val="0.14285729855924176"/>
          <c:y val="0.17696629213483145"/>
          <c:w val="0.79017943265580604"/>
          <c:h val="0.6179775280898876"/>
        </c:manualLayout>
      </c:layout>
      <c:lineChart>
        <c:grouping val="standard"/>
        <c:varyColors val="0"/>
        <c:ser>
          <c:idx val="2"/>
          <c:order val="0"/>
          <c:tx>
            <c:strRef>
              <c:f>'VVP2'!$D$243:$E$243</c:f>
              <c:strCache>
                <c:ptCount val="1"/>
                <c:pt idx="0">
                  <c:v>E Gross fixed capital formation (P.51)</c:v>
                </c:pt>
              </c:strCache>
            </c:strRef>
          </c:tx>
          <c:spPr>
            <a:ln w="25400">
              <a:solidFill>
                <a:srgbClr val="339966"/>
              </a:solidFill>
              <a:prstDash val="solid"/>
            </a:ln>
          </c:spPr>
          <c:marker>
            <c:symbol val="diamond"/>
            <c:size val="7"/>
            <c:spPr>
              <a:solidFill>
                <a:srgbClr val="FFFFFF"/>
              </a:solidFill>
              <a:ln>
                <a:solidFill>
                  <a:srgbClr val="008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'VVP2'!$G$243:$AA$243</c:f>
              <c:numCache>
                <c:formatCode>0.0%</c:formatCode>
                <c:ptCount val="4"/>
                <c:pt idx="0">
                  <c:v>0.10371417228011591</c:v>
                </c:pt>
                <c:pt idx="1">
                  <c:v>0.11167245667505252</c:v>
                </c:pt>
                <c:pt idx="2">
                  <c:v>0.1162428202803085</c:v>
                </c:pt>
                <c:pt idx="3">
                  <c:v>0.11722141011435445</c:v>
                </c:pt>
              </c:numCache>
            </c:numRef>
          </c:val>
          <c:smooth val="0"/>
        </c:ser>
        <c:dLbls>
          <c:showLegendKey val="0"/>
          <c:showVal val="0"/>
          <c:showCatName val="0"/>
          <c:showSerName val="0"/>
          <c:showPercent val="0"/>
          <c:showBubbleSize val="0"/>
        </c:dLbls>
        <c:marker val="1"/>
        <c:smooth val="0"/>
        <c:axId val="254162432"/>
        <c:axId val="254164352"/>
      </c:lineChart>
      <c:catAx>
        <c:axId val="254162432"/>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54164352"/>
        <c:crosses val="autoZero"/>
        <c:auto val="1"/>
        <c:lblAlgn val="ctr"/>
        <c:lblOffset val="100"/>
        <c:tickLblSkip val="2"/>
        <c:tickMarkSkip val="1"/>
        <c:noMultiLvlLbl val="0"/>
      </c:catAx>
      <c:valAx>
        <c:axId val="254164352"/>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54162432"/>
        <c:crosses val="autoZero"/>
        <c:crossBetween val="midCat"/>
      </c:valAx>
      <c:spPr>
        <a:noFill/>
        <a:ln w="12700">
          <a:solidFill>
            <a:srgbClr val="808080"/>
          </a:solidFill>
          <a:prstDash val="solid"/>
        </a:ln>
      </c:spPr>
    </c:plotArea>
    <c:legend>
      <c:legendPos val="r"/>
      <c:layout>
        <c:manualLayout>
          <c:xMode val="edge"/>
          <c:yMode val="edge"/>
          <c:x val="0.24776809148856391"/>
          <c:y val="0.9129213483146067"/>
          <c:w val="0.5781257030371203"/>
          <c:h val="6.7415730337078705E-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GB"/>
              <a:t>Public investment (VAL)</a:t>
            </a:r>
          </a:p>
        </c:rich>
      </c:tx>
      <c:layout>
        <c:manualLayout>
          <c:xMode val="edge"/>
          <c:yMode val="edge"/>
          <c:x val="0.32812546869141357"/>
          <c:y val="3.3707865168539325E-2"/>
        </c:manualLayout>
      </c:layout>
      <c:overlay val="0"/>
      <c:spPr>
        <a:noFill/>
        <a:ln w="25400">
          <a:noFill/>
        </a:ln>
      </c:spPr>
    </c:title>
    <c:autoTitleDeleted val="0"/>
    <c:plotArea>
      <c:layout>
        <c:manualLayout>
          <c:layoutTarget val="inner"/>
          <c:xMode val="edge"/>
          <c:yMode val="edge"/>
          <c:x val="0.10044653804946686"/>
          <c:y val="0.17696629213483145"/>
          <c:w val="0.83259019316558092"/>
          <c:h val="0.5589887640449438"/>
        </c:manualLayout>
      </c:layout>
      <c:lineChart>
        <c:grouping val="standard"/>
        <c:varyColors val="0"/>
        <c:ser>
          <c:idx val="0"/>
          <c:order val="0"/>
          <c:tx>
            <c:strRef>
              <c:f>'VVP2'!$D$229:$E$229</c:f>
              <c:strCache>
                <c:ptCount val="1"/>
                <c:pt idx="0">
                  <c:v>GVT Gross fixed capital formation (P.51)</c:v>
                </c:pt>
              </c:strCache>
            </c:strRef>
          </c:tx>
          <c:spPr>
            <a:ln w="25400">
              <a:solidFill>
                <a:srgbClr val="0000FF"/>
              </a:solidFill>
              <a:prstDash val="solid"/>
            </a:ln>
          </c:spPr>
          <c:marker>
            <c:symbol val="diamond"/>
            <c:size val="5"/>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'VVP2'!$G$236:$AA$236</c:f>
              <c:numCache>
                <c:formatCode>0.000</c:formatCode>
                <c:ptCount val="4"/>
                <c:pt idx="0" formatCode="0.0">
                  <c:v>-10.336458833311923</c:v>
                </c:pt>
                <c:pt idx="1">
                  <c:v>-1.2704228962626241</c:v>
                </c:pt>
                <c:pt idx="2" formatCode="0.0">
                  <c:v>-2.0237040657360095</c:v>
                </c:pt>
                <c:pt idx="3" formatCode="0.0">
                  <c:v>7.1341720057989999</c:v>
                </c:pt>
              </c:numCache>
            </c:numRef>
          </c:val>
          <c:smooth val="0"/>
        </c:ser>
        <c:ser>
          <c:idx val="1"/>
          <c:order val="1"/>
          <c:tx>
            <c:v>GVT Gross Fixed capital formation (P.51), excl. real estate</c:v>
          </c:tx>
          <c:spPr>
            <a:ln w="25400">
              <a:solidFill>
                <a:srgbClr val="FF9900"/>
              </a:solidFill>
              <a:prstDash val="solid"/>
            </a:ln>
          </c:spPr>
          <c:marker>
            <c:symbol val="circle"/>
            <c:size val="5"/>
            <c:spPr>
              <a:solidFill>
                <a:srgbClr val="FFFFFF"/>
              </a:solidFill>
              <a:ln>
                <a:solidFill>
                  <a:srgbClr val="FF9900"/>
                </a:solidFill>
                <a:prstDash val="solid"/>
              </a:ln>
            </c:spPr>
          </c:marker>
          <c:val>
            <c:numRef>
              <c:f>'VVP2'!#REF!</c:f>
              <c:numCache>
                <c:formatCode>General</c:formatCode>
                <c:ptCount val="1"/>
                <c:pt idx="0">
                  <c:v>1</c:v>
                </c:pt>
              </c:numCache>
            </c:numRef>
          </c:val>
          <c:smooth val="0"/>
        </c:ser>
        <c:dLbls>
          <c:showLegendKey val="0"/>
          <c:showVal val="0"/>
          <c:showCatName val="0"/>
          <c:showSerName val="0"/>
          <c:showPercent val="0"/>
          <c:showBubbleSize val="0"/>
        </c:dLbls>
        <c:marker val="1"/>
        <c:smooth val="0"/>
        <c:axId val="254754816"/>
        <c:axId val="254756736"/>
      </c:lineChart>
      <c:catAx>
        <c:axId val="254754816"/>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54756736"/>
        <c:crosses val="autoZero"/>
        <c:auto val="1"/>
        <c:lblAlgn val="ctr"/>
        <c:lblOffset val="100"/>
        <c:tickLblSkip val="2"/>
        <c:tickMarkSkip val="1"/>
        <c:noMultiLvlLbl val="0"/>
      </c:catAx>
      <c:valAx>
        <c:axId val="254756736"/>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54754816"/>
        <c:crosses val="autoZero"/>
        <c:crossBetween val="midCat"/>
      </c:valAx>
      <c:spPr>
        <a:noFill/>
        <a:ln w="12700">
          <a:solidFill>
            <a:srgbClr val="808080"/>
          </a:solidFill>
          <a:prstDash val="solid"/>
        </a:ln>
      </c:spPr>
    </c:plotArea>
    <c:legend>
      <c:legendPos val="r"/>
      <c:layout>
        <c:manualLayout>
          <c:xMode val="edge"/>
          <c:yMode val="edge"/>
          <c:x val="7.8125E-2"/>
          <c:y val="0.8539325842696629"/>
          <c:w val="0.84598308023996993"/>
          <c:h val="0.1264044943820225"/>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GB"/>
              <a:t>Private consumption (QoQ)</a:t>
            </a:r>
          </a:p>
        </c:rich>
      </c:tx>
      <c:layout>
        <c:manualLayout>
          <c:xMode val="edge"/>
          <c:yMode val="edge"/>
          <c:x val="0.41517857142857145"/>
          <c:y val="3.5947712418300651E-2"/>
        </c:manualLayout>
      </c:layout>
      <c:overlay val="0"/>
      <c:spPr>
        <a:noFill/>
        <a:ln w="25400">
          <a:noFill/>
        </a:ln>
      </c:spPr>
    </c:title>
    <c:autoTitleDeleted val="0"/>
    <c:plotArea>
      <c:layout>
        <c:manualLayout>
          <c:layoutTarget val="inner"/>
          <c:xMode val="edge"/>
          <c:yMode val="edge"/>
          <c:x val="6.1383928571428568E-2"/>
          <c:y val="0.19281107284988017"/>
          <c:w val="0.9229910714285714"/>
          <c:h val="0.69608065283092335"/>
        </c:manualLayout>
      </c:layout>
      <c:barChart>
        <c:barDir val="col"/>
        <c:grouping val="stacked"/>
        <c:varyColors val="0"/>
        <c:ser>
          <c:idx val="0"/>
          <c:order val="0"/>
          <c:tx>
            <c:strRef>
              <c:f>'Q1'!$F$27</c:f>
              <c:strCache>
                <c:ptCount val="1"/>
                <c:pt idx="0">
                  <c:v>QPrvC</c:v>
                </c:pt>
              </c:strCache>
            </c:strRef>
          </c:tx>
          <c:spPr>
            <a:solidFill>
              <a:srgbClr val="9999FF"/>
            </a:solidFill>
            <a:ln w="12700">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6">
                  <c:v>2019</c:v>
                </c:pt>
                <c:pt idx="100">
                  <c:v>2020</c:v>
                </c:pt>
              </c:numCache>
            </c:numRef>
          </c:cat>
          <c:val>
            <c:numRef>
              <c:f>'Q1'!$G$27:$DB$27</c:f>
              <c:numCache>
                <c:formatCode>0.00</c:formatCode>
                <c:ptCount val="25"/>
                <c:pt idx="0">
                  <c:v>1.0682877884672148</c:v>
                </c:pt>
                <c:pt idx="1">
                  <c:v>1.3703963248462347</c:v>
                </c:pt>
                <c:pt idx="2">
                  <c:v>0.35717028957675812</c:v>
                </c:pt>
                <c:pt idx="3">
                  <c:v>0.31380352837626635</c:v>
                </c:pt>
                <c:pt idx="4">
                  <c:v>1.5164231488193014</c:v>
                </c:pt>
                <c:pt idx="5">
                  <c:v>1.1987749196745501</c:v>
                </c:pt>
                <c:pt idx="6">
                  <c:v>0.27664828533766617</c:v>
                </c:pt>
                <c:pt idx="7">
                  <c:v>2.0885794697081961</c:v>
                </c:pt>
                <c:pt idx="8">
                  <c:v>0.46067904817177485</c:v>
                </c:pt>
                <c:pt idx="9">
                  <c:v>0.24372630438709297</c:v>
                </c:pt>
                <c:pt idx="10">
                  <c:v>2.5970283656010729</c:v>
                </c:pt>
                <c:pt idx="11">
                  <c:v>1.4043218003405578</c:v>
                </c:pt>
                <c:pt idx="12">
                  <c:v>0.96421832534145935</c:v>
                </c:pt>
                <c:pt idx="13">
                  <c:v>0.71497153830328841</c:v>
                </c:pt>
                <c:pt idx="14">
                  <c:v>1.1508145928738056</c:v>
                </c:pt>
                <c:pt idx="15">
                  <c:v>-2.1879260144408441E-2</c:v>
                </c:pt>
                <c:pt idx="16">
                  <c:v>1.7574574102754204</c:v>
                </c:pt>
                <c:pt idx="17">
                  <c:v>0.75</c:v>
                </c:pt>
                <c:pt idx="18">
                  <c:v>0.75</c:v>
                </c:pt>
                <c:pt idx="19">
                  <c:v>0.75</c:v>
                </c:pt>
                <c:pt idx="20">
                  <c:v>0.75</c:v>
                </c:pt>
                <c:pt idx="21">
                  <c:v>0.84</c:v>
                </c:pt>
                <c:pt idx="22">
                  <c:v>0.84</c:v>
                </c:pt>
                <c:pt idx="23">
                  <c:v>0.84</c:v>
                </c:pt>
                <c:pt idx="24">
                  <c:v>0.84</c:v>
                </c:pt>
              </c:numCache>
            </c:numRef>
          </c:val>
        </c:ser>
        <c:dLbls>
          <c:showLegendKey val="0"/>
          <c:showVal val="0"/>
          <c:showCatName val="0"/>
          <c:showSerName val="0"/>
          <c:showPercent val="0"/>
          <c:showBubbleSize val="0"/>
        </c:dLbls>
        <c:gapWidth val="10"/>
        <c:overlap val="100"/>
        <c:axId val="257499520"/>
        <c:axId val="257501056"/>
      </c:barChart>
      <c:catAx>
        <c:axId val="257499520"/>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57501056"/>
        <c:crosses val="autoZero"/>
        <c:auto val="1"/>
        <c:lblAlgn val="ctr"/>
        <c:lblOffset val="100"/>
        <c:tickLblSkip val="4"/>
        <c:tickMarkSkip val="4"/>
        <c:noMultiLvlLbl val="0"/>
      </c:catAx>
      <c:valAx>
        <c:axId val="257501056"/>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57499520"/>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4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GB"/>
              <a:t>Private consumption (YoY)</a:t>
            </a:r>
          </a:p>
        </c:rich>
      </c:tx>
      <c:layout>
        <c:manualLayout>
          <c:xMode val="edge"/>
          <c:yMode val="edge"/>
          <c:x val="0.41629464285714285"/>
          <c:y val="3.5947712418300651E-2"/>
        </c:manualLayout>
      </c:layout>
      <c:overlay val="0"/>
      <c:spPr>
        <a:noFill/>
        <a:ln w="25400">
          <a:noFill/>
        </a:ln>
      </c:spPr>
    </c:title>
    <c:autoTitleDeleted val="0"/>
    <c:plotArea>
      <c:layout>
        <c:manualLayout>
          <c:layoutTarget val="inner"/>
          <c:xMode val="edge"/>
          <c:yMode val="edge"/>
          <c:x val="6.1383928571428568E-2"/>
          <c:y val="0.19281107284988017"/>
          <c:w val="0.9229910714285714"/>
          <c:h val="0.69608065283092335"/>
        </c:manualLayout>
      </c:layout>
      <c:barChart>
        <c:barDir val="col"/>
        <c:grouping val="stacked"/>
        <c:varyColors val="0"/>
        <c:ser>
          <c:idx val="0"/>
          <c:order val="0"/>
          <c:tx>
            <c:strRef>
              <c:f>'Q1'!$F$27</c:f>
              <c:strCache>
                <c:ptCount val="1"/>
                <c:pt idx="0">
                  <c:v>QPrvC</c:v>
                </c:pt>
              </c:strCache>
            </c:strRef>
          </c:tx>
          <c:spPr>
            <a:solidFill>
              <a:srgbClr val="FFCC99"/>
            </a:solidFill>
            <a:ln w="12700">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6">
                  <c:v>2019</c:v>
                </c:pt>
                <c:pt idx="100">
                  <c:v>2020</c:v>
                </c:pt>
              </c:numCache>
            </c:numRef>
          </c:cat>
          <c:val>
            <c:numRef>
              <c:f>'Q1'!$G$32:$DB$32</c:f>
              <c:numCache>
                <c:formatCode>0.00</c:formatCode>
                <c:ptCount val="25"/>
                <c:pt idx="0">
                  <c:v>4.9672054105964092</c:v>
                </c:pt>
                <c:pt idx="1">
                  <c:v>4.4863563402889328</c:v>
                </c:pt>
                <c:pt idx="2">
                  <c:v>4.2529423498902874</c:v>
                </c:pt>
                <c:pt idx="3">
                  <c:v>3.1419071789726472</c:v>
                </c:pt>
                <c:pt idx="4">
                  <c:v>3.5992369384100442</c:v>
                </c:pt>
                <c:pt idx="5">
                  <c:v>3.4238420769644229</c:v>
                </c:pt>
                <c:pt idx="6">
                  <c:v>3.340859515517991</c:v>
                </c:pt>
                <c:pt idx="7">
                  <c:v>5.1691908594971858</c:v>
                </c:pt>
                <c:pt idx="8">
                  <c:v>4.0754589353826365</c:v>
                </c:pt>
                <c:pt idx="9">
                  <c:v>3.0932620360571317</c:v>
                </c:pt>
                <c:pt idx="10">
                  <c:v>5.4788179528958647</c:v>
                </c:pt>
                <c:pt idx="11">
                  <c:v>4.7718369123621596</c:v>
                </c:pt>
                <c:pt idx="12">
                  <c:v>5.2969850153457232</c:v>
                </c:pt>
                <c:pt idx="13">
                  <c:v>5.7919855920756325</c:v>
                </c:pt>
                <c:pt idx="14">
                  <c:v>4.3007355135429304</c:v>
                </c:pt>
                <c:pt idx="15">
                  <c:v>2.8337978430591715</c:v>
                </c:pt>
                <c:pt idx="16">
                  <c:v>3.6417255332281906</c:v>
                </c:pt>
                <c:pt idx="17">
                  <c:v>3.6777719139953424</c:v>
                </c:pt>
                <c:pt idx="18">
                  <c:v>3.2669441405658528</c:v>
                </c:pt>
                <c:pt idx="19">
                  <c:v>4.064214701871971</c:v>
                </c:pt>
                <c:pt idx="20">
                  <c:v>3.0339190664062654</c:v>
                </c:pt>
                <c:pt idx="21">
                  <c:v>3.1259592918750023</c:v>
                </c:pt>
                <c:pt idx="22">
                  <c:v>3.2180817368999914</c:v>
                </c:pt>
                <c:pt idx="23">
                  <c:v>3.3102864749279926</c:v>
                </c:pt>
                <c:pt idx="24">
                  <c:v>3.4025735794713574</c:v>
                </c:pt>
              </c:numCache>
            </c:numRef>
          </c:val>
        </c:ser>
        <c:dLbls>
          <c:showLegendKey val="0"/>
          <c:showVal val="0"/>
          <c:showCatName val="0"/>
          <c:showSerName val="0"/>
          <c:showPercent val="0"/>
          <c:showBubbleSize val="0"/>
        </c:dLbls>
        <c:gapWidth val="10"/>
        <c:overlap val="100"/>
        <c:axId val="257889792"/>
        <c:axId val="257891328"/>
      </c:barChart>
      <c:catAx>
        <c:axId val="257889792"/>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57891328"/>
        <c:crosses val="autoZero"/>
        <c:auto val="1"/>
        <c:lblAlgn val="ctr"/>
        <c:lblOffset val="100"/>
        <c:tickLblSkip val="4"/>
        <c:tickMarkSkip val="4"/>
        <c:noMultiLvlLbl val="0"/>
      </c:catAx>
      <c:valAx>
        <c:axId val="257891328"/>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57889792"/>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4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GB"/>
              <a:t>Government consumption (QoQ)</a:t>
            </a:r>
          </a:p>
        </c:rich>
      </c:tx>
      <c:layout>
        <c:manualLayout>
          <c:xMode val="edge"/>
          <c:yMode val="edge"/>
          <c:x val="0.3984375"/>
          <c:y val="3.5947712418300651E-2"/>
        </c:manualLayout>
      </c:layout>
      <c:overlay val="0"/>
      <c:spPr>
        <a:noFill/>
        <a:ln w="25400">
          <a:noFill/>
        </a:ln>
      </c:spPr>
    </c:title>
    <c:autoTitleDeleted val="0"/>
    <c:plotArea>
      <c:layout>
        <c:manualLayout>
          <c:layoutTarget val="inner"/>
          <c:xMode val="edge"/>
          <c:yMode val="edge"/>
          <c:x val="5.3571428571428568E-2"/>
          <c:y val="0.19281107284988017"/>
          <c:w val="0.9308035714285714"/>
          <c:h val="0.69608065283092335"/>
        </c:manualLayout>
      </c:layout>
      <c:barChart>
        <c:barDir val="col"/>
        <c:grouping val="stacked"/>
        <c:varyColors val="0"/>
        <c:ser>
          <c:idx val="0"/>
          <c:order val="0"/>
          <c:tx>
            <c:strRef>
              <c:f>'Q1'!$F$46</c:f>
              <c:strCache>
                <c:ptCount val="1"/>
                <c:pt idx="0">
                  <c:v>QAC</c:v>
                </c:pt>
              </c:strCache>
            </c:strRef>
          </c:tx>
          <c:spPr>
            <a:solidFill>
              <a:srgbClr val="9999FF"/>
            </a:solidFill>
            <a:ln w="12700">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6">
                  <c:v>2019</c:v>
                </c:pt>
                <c:pt idx="100">
                  <c:v>2020</c:v>
                </c:pt>
              </c:numCache>
            </c:numRef>
          </c:cat>
          <c:val>
            <c:numRef>
              <c:f>'Q1'!$G$46:$DB$46</c:f>
              <c:numCache>
                <c:formatCode>0.00</c:formatCode>
                <c:ptCount val="25"/>
                <c:pt idx="0">
                  <c:v>-0.21175972330063075</c:v>
                </c:pt>
                <c:pt idx="1">
                  <c:v>0.14854636768761864</c:v>
                </c:pt>
                <c:pt idx="2">
                  <c:v>0.10594716767906576</c:v>
                </c:pt>
                <c:pt idx="3">
                  <c:v>-1.4111338460465195E-2</c:v>
                </c:pt>
                <c:pt idx="4">
                  <c:v>0.35283325100559093</c:v>
                </c:pt>
                <c:pt idx="5">
                  <c:v>-0.30236973489908836</c:v>
                </c:pt>
                <c:pt idx="6">
                  <c:v>0.23275497249257704</c:v>
                </c:pt>
                <c:pt idx="7">
                  <c:v>7.0368024769784654E-3</c:v>
                </c:pt>
                <c:pt idx="8">
                  <c:v>-0.11258091753447719</c:v>
                </c:pt>
                <c:pt idx="9">
                  <c:v>0.69033530571991353</c:v>
                </c:pt>
                <c:pt idx="10">
                  <c:v>0.23786204001678968</c:v>
                </c:pt>
                <c:pt idx="11">
                  <c:v>0.63512004466781402</c:v>
                </c:pt>
                <c:pt idx="12">
                  <c:v>0.58949996532353666</c:v>
                </c:pt>
                <c:pt idx="13">
                  <c:v>8.9630446773303341E-2</c:v>
                </c:pt>
                <c:pt idx="14">
                  <c:v>0.22731969415168418</c:v>
                </c:pt>
                <c:pt idx="15">
                  <c:v>9.6219931271490644E-2</c:v>
                </c:pt>
                <c:pt idx="16">
                  <c:v>0.15105740181267091</c:v>
                </c:pt>
                <c:pt idx="17">
                  <c:v>0.5</c:v>
                </c:pt>
                <c:pt idx="18">
                  <c:v>0.6</c:v>
                </c:pt>
                <c:pt idx="19">
                  <c:v>0.6</c:v>
                </c:pt>
                <c:pt idx="20">
                  <c:v>0.6</c:v>
                </c:pt>
                <c:pt idx="21">
                  <c:v>0.3</c:v>
                </c:pt>
                <c:pt idx="22">
                  <c:v>0.25</c:v>
                </c:pt>
                <c:pt idx="23">
                  <c:v>0.2</c:v>
                </c:pt>
                <c:pt idx="24">
                  <c:v>0.18</c:v>
                </c:pt>
              </c:numCache>
            </c:numRef>
          </c:val>
        </c:ser>
        <c:dLbls>
          <c:showLegendKey val="0"/>
          <c:showVal val="0"/>
          <c:showCatName val="0"/>
          <c:showSerName val="0"/>
          <c:showPercent val="0"/>
          <c:showBubbleSize val="0"/>
        </c:dLbls>
        <c:gapWidth val="10"/>
        <c:overlap val="100"/>
        <c:axId val="257907328"/>
        <c:axId val="257925504"/>
      </c:barChart>
      <c:catAx>
        <c:axId val="257907328"/>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n-US"/>
          </a:p>
        </c:txPr>
        <c:crossAx val="257925504"/>
        <c:crosses val="autoZero"/>
        <c:auto val="1"/>
        <c:lblAlgn val="ctr"/>
        <c:lblOffset val="100"/>
        <c:tickLblSkip val="4"/>
        <c:tickMarkSkip val="4"/>
        <c:noMultiLvlLbl val="0"/>
      </c:catAx>
      <c:valAx>
        <c:axId val="257925504"/>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n-US"/>
          </a:p>
        </c:txPr>
        <c:crossAx val="257907328"/>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GB"/>
              <a:t>Government consumption (YoY)</a:t>
            </a:r>
          </a:p>
        </c:rich>
      </c:tx>
      <c:layout>
        <c:manualLayout>
          <c:xMode val="edge"/>
          <c:yMode val="edge"/>
          <c:x val="0.39955357142857145"/>
          <c:y val="3.6065573770491806E-2"/>
        </c:manualLayout>
      </c:layout>
      <c:overlay val="0"/>
      <c:spPr>
        <a:noFill/>
        <a:ln w="25400">
          <a:noFill/>
        </a:ln>
      </c:spPr>
    </c:title>
    <c:autoTitleDeleted val="0"/>
    <c:plotArea>
      <c:layout>
        <c:manualLayout>
          <c:layoutTarget val="inner"/>
          <c:xMode val="edge"/>
          <c:yMode val="edge"/>
          <c:x val="5.6919642857142856E-2"/>
          <c:y val="0.19672131147540983"/>
          <c:w val="0.9274553571428571"/>
          <c:h val="0.69180327868852454"/>
        </c:manualLayout>
      </c:layout>
      <c:barChart>
        <c:barDir val="col"/>
        <c:grouping val="stacked"/>
        <c:varyColors val="0"/>
        <c:ser>
          <c:idx val="0"/>
          <c:order val="0"/>
          <c:tx>
            <c:strRef>
              <c:f>'Q1'!$F$46</c:f>
              <c:strCache>
                <c:ptCount val="1"/>
                <c:pt idx="0">
                  <c:v>QAC</c:v>
                </c:pt>
              </c:strCache>
            </c:strRef>
          </c:tx>
          <c:spPr>
            <a:solidFill>
              <a:srgbClr val="FFCC99"/>
            </a:solidFill>
            <a:ln w="12700">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6">
                  <c:v>2019</c:v>
                </c:pt>
                <c:pt idx="100">
                  <c:v>2020</c:v>
                </c:pt>
              </c:numCache>
            </c:numRef>
          </c:cat>
          <c:val>
            <c:numRef>
              <c:f>'Q1'!$G$51:$DB$51</c:f>
              <c:numCache>
                <c:formatCode>0.00</c:formatCode>
                <c:ptCount val="25"/>
                <c:pt idx="0">
                  <c:v>0.39769902705775184</c:v>
                </c:pt>
                <c:pt idx="1">
                  <c:v>0.34729605216528014</c:v>
                </c:pt>
                <c:pt idx="2">
                  <c:v>0.30431705590940883</c:v>
                </c:pt>
                <c:pt idx="3">
                  <c:v>2.8234629773393749E-2</c:v>
                </c:pt>
                <c:pt idx="4">
                  <c:v>0.59418547075051897</c:v>
                </c:pt>
                <c:pt idx="5">
                  <c:v>0.14126289023872474</c:v>
                </c:pt>
                <c:pt idx="6">
                  <c:v>0.26811543074858335</c:v>
                </c:pt>
                <c:pt idx="7">
                  <c:v>0.28932326582458145</c:v>
                </c:pt>
                <c:pt idx="8">
                  <c:v>-0.1757963574994692</c:v>
                </c:pt>
                <c:pt idx="9">
                  <c:v>0.8181689942164061</c:v>
                </c:pt>
                <c:pt idx="10">
                  <c:v>0.82330588980368269</c:v>
                </c:pt>
                <c:pt idx="11">
                  <c:v>1.4565156206023167</c:v>
                </c:pt>
                <c:pt idx="12">
                  <c:v>2.1696252465483346</c:v>
                </c:pt>
                <c:pt idx="13">
                  <c:v>1.5600951448160094</c:v>
                </c:pt>
                <c:pt idx="14">
                  <c:v>1.5494137353434079</c:v>
                </c:pt>
                <c:pt idx="15">
                  <c:v>1.0056175879048501</c:v>
                </c:pt>
                <c:pt idx="16">
                  <c:v>0.56536127964696981</c:v>
                </c:pt>
                <c:pt idx="17">
                  <c:v>0.97768133911964039</c:v>
                </c:pt>
                <c:pt idx="18">
                  <c:v>1.3531517525772863</c:v>
                </c:pt>
                <c:pt idx="19">
                  <c:v>1.8632579063443622</c:v>
                </c:pt>
                <c:pt idx="20">
                  <c:v>2.3198757079999632</c:v>
                </c:pt>
                <c:pt idx="21">
                  <c:v>2.1162540647999828</c:v>
                </c:pt>
                <c:pt idx="22">
                  <c:v>1.7609788269999704</c:v>
                </c:pt>
                <c:pt idx="23">
                  <c:v>1.3563626089999836</c:v>
                </c:pt>
                <c:pt idx="24">
                  <c:v>0.93320483269998533</c:v>
                </c:pt>
              </c:numCache>
            </c:numRef>
          </c:val>
        </c:ser>
        <c:dLbls>
          <c:showLegendKey val="0"/>
          <c:showVal val="0"/>
          <c:showCatName val="0"/>
          <c:showSerName val="0"/>
          <c:showPercent val="0"/>
          <c:showBubbleSize val="0"/>
        </c:dLbls>
        <c:gapWidth val="10"/>
        <c:overlap val="100"/>
        <c:axId val="258146304"/>
        <c:axId val="258147840"/>
      </c:barChart>
      <c:catAx>
        <c:axId val="258146304"/>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n-US"/>
          </a:p>
        </c:txPr>
        <c:crossAx val="258147840"/>
        <c:crosses val="autoZero"/>
        <c:auto val="1"/>
        <c:lblAlgn val="ctr"/>
        <c:lblOffset val="100"/>
        <c:tickLblSkip val="4"/>
        <c:tickMarkSkip val="4"/>
        <c:noMultiLvlLbl val="0"/>
      </c:catAx>
      <c:valAx>
        <c:axId val="258147840"/>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n-US"/>
          </a:p>
        </c:txPr>
        <c:crossAx val="258146304"/>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GB"/>
              <a:t>Gross fixed capital formation (QoQ)</a:t>
            </a:r>
          </a:p>
        </c:rich>
      </c:tx>
      <c:layout>
        <c:manualLayout>
          <c:xMode val="edge"/>
          <c:yMode val="edge"/>
          <c:x val="0.390625"/>
          <c:y val="3.5947712418300651E-2"/>
        </c:manualLayout>
      </c:layout>
      <c:overlay val="0"/>
      <c:spPr>
        <a:noFill/>
        <a:ln w="25400">
          <a:noFill/>
        </a:ln>
      </c:spPr>
    </c:title>
    <c:autoTitleDeleted val="0"/>
    <c:plotArea>
      <c:layout>
        <c:manualLayout>
          <c:layoutTarget val="inner"/>
          <c:xMode val="edge"/>
          <c:yMode val="edge"/>
          <c:x val="4.9107142857142856E-2"/>
          <c:y val="0.19281107284988017"/>
          <c:w val="0.9352678571428571"/>
          <c:h val="0.69608065283092335"/>
        </c:manualLayout>
      </c:layout>
      <c:barChart>
        <c:barDir val="col"/>
        <c:grouping val="stacked"/>
        <c:varyColors val="0"/>
        <c:ser>
          <c:idx val="0"/>
          <c:order val="0"/>
          <c:tx>
            <c:strRef>
              <c:f>'Q1'!#REF!</c:f>
              <c:strCache>
                <c:ptCount val="1"/>
                <c:pt idx="0">
                  <c:v>#REF!</c:v>
                </c:pt>
              </c:strCache>
            </c:strRef>
          </c:tx>
          <c:spPr>
            <a:solidFill>
              <a:srgbClr val="9999FF"/>
            </a:solidFill>
            <a:ln w="12700">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6">
                  <c:v>2019</c:v>
                </c:pt>
                <c:pt idx="100">
                  <c:v>2020</c:v>
                </c:pt>
              </c:numCache>
            </c:numRef>
          </c:cat>
          <c:val>
            <c:numRef>
              <c:f>'Q1'!#REF!</c:f>
              <c:numCache>
                <c:formatCode>General</c:formatCode>
                <c:ptCount val="1"/>
                <c:pt idx="0">
                  <c:v>1</c:v>
                </c:pt>
              </c:numCache>
            </c:numRef>
          </c:val>
        </c:ser>
        <c:dLbls>
          <c:showLegendKey val="0"/>
          <c:showVal val="0"/>
          <c:showCatName val="0"/>
          <c:showSerName val="0"/>
          <c:showPercent val="0"/>
          <c:showBubbleSize val="0"/>
        </c:dLbls>
        <c:gapWidth val="10"/>
        <c:overlap val="100"/>
        <c:axId val="258172032"/>
        <c:axId val="258173568"/>
      </c:barChart>
      <c:catAx>
        <c:axId val="258172032"/>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n-US"/>
          </a:p>
        </c:txPr>
        <c:crossAx val="258173568"/>
        <c:crosses val="autoZero"/>
        <c:auto val="1"/>
        <c:lblAlgn val="ctr"/>
        <c:lblOffset val="100"/>
        <c:tickLblSkip val="4"/>
        <c:tickMarkSkip val="4"/>
        <c:noMultiLvlLbl val="0"/>
      </c:catAx>
      <c:valAx>
        <c:axId val="258173568"/>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n-US"/>
          </a:p>
        </c:txPr>
        <c:crossAx val="258172032"/>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GB"/>
              <a:t>Gross fixed capital formation (YoY)</a:t>
            </a:r>
          </a:p>
        </c:rich>
      </c:tx>
      <c:layout>
        <c:manualLayout>
          <c:xMode val="edge"/>
          <c:yMode val="edge"/>
          <c:x val="0.39174107142857145"/>
          <c:y val="3.6065573770491806E-2"/>
        </c:manualLayout>
      </c:layout>
      <c:overlay val="0"/>
      <c:spPr>
        <a:noFill/>
        <a:ln w="25400">
          <a:noFill/>
        </a:ln>
      </c:spPr>
    </c:title>
    <c:autoTitleDeleted val="0"/>
    <c:plotArea>
      <c:layout>
        <c:manualLayout>
          <c:layoutTarget val="inner"/>
          <c:xMode val="edge"/>
          <c:yMode val="edge"/>
          <c:x val="4.9107142857142856E-2"/>
          <c:y val="0.19672131147540983"/>
          <c:w val="0.9352678571428571"/>
          <c:h val="0.69180327868852454"/>
        </c:manualLayout>
      </c:layout>
      <c:barChart>
        <c:barDir val="col"/>
        <c:grouping val="stacked"/>
        <c:varyColors val="0"/>
        <c:ser>
          <c:idx val="0"/>
          <c:order val="0"/>
          <c:tx>
            <c:strRef>
              <c:f>'Q1'!#REF!</c:f>
              <c:strCache>
                <c:ptCount val="1"/>
                <c:pt idx="0">
                  <c:v>#REF!</c:v>
                </c:pt>
              </c:strCache>
            </c:strRef>
          </c:tx>
          <c:spPr>
            <a:solidFill>
              <a:srgbClr val="FFCC99"/>
            </a:solidFill>
            <a:ln w="12700">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6">
                  <c:v>2019</c:v>
                </c:pt>
                <c:pt idx="100">
                  <c:v>2020</c:v>
                </c:pt>
              </c:numCache>
            </c:numRef>
          </c:cat>
          <c:val>
            <c:numRef>
              <c:f>'Q1'!#REF!</c:f>
              <c:numCache>
                <c:formatCode>General</c:formatCode>
                <c:ptCount val="1"/>
                <c:pt idx="0">
                  <c:v>1</c:v>
                </c:pt>
              </c:numCache>
            </c:numRef>
          </c:val>
        </c:ser>
        <c:dLbls>
          <c:showLegendKey val="0"/>
          <c:showVal val="0"/>
          <c:showCatName val="0"/>
          <c:showSerName val="0"/>
          <c:showPercent val="0"/>
          <c:showBubbleSize val="0"/>
        </c:dLbls>
        <c:gapWidth val="10"/>
        <c:overlap val="100"/>
        <c:axId val="258357504"/>
        <c:axId val="258359296"/>
      </c:barChart>
      <c:catAx>
        <c:axId val="258357504"/>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n-US"/>
          </a:p>
        </c:txPr>
        <c:crossAx val="258359296"/>
        <c:crosses val="autoZero"/>
        <c:auto val="1"/>
        <c:lblAlgn val="ctr"/>
        <c:lblOffset val="100"/>
        <c:tickLblSkip val="4"/>
        <c:tickMarkSkip val="4"/>
        <c:noMultiLvlLbl val="0"/>
      </c:catAx>
      <c:valAx>
        <c:axId val="258359296"/>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n-US"/>
          </a:p>
        </c:txPr>
        <c:crossAx val="258357504"/>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GB"/>
              <a:t>Domestic demand (Excl. Inventories, QoQ)</a:t>
            </a:r>
          </a:p>
        </c:rich>
      </c:tx>
      <c:layout>
        <c:manualLayout>
          <c:xMode val="edge"/>
          <c:yMode val="edge"/>
          <c:x val="0.36941964285714285"/>
          <c:y val="3.5947712418300651E-2"/>
        </c:manualLayout>
      </c:layout>
      <c:overlay val="0"/>
      <c:spPr>
        <a:noFill/>
        <a:ln w="25400">
          <a:noFill/>
        </a:ln>
      </c:spPr>
    </c:title>
    <c:autoTitleDeleted val="0"/>
    <c:plotArea>
      <c:layout>
        <c:manualLayout>
          <c:layoutTarget val="inner"/>
          <c:xMode val="edge"/>
          <c:yMode val="edge"/>
          <c:x val="6.1383928571428568E-2"/>
          <c:y val="0.19281107284988017"/>
          <c:w val="0.9229910714285714"/>
          <c:h val="0.69608065283092335"/>
        </c:manualLayout>
      </c:layout>
      <c:barChart>
        <c:barDir val="col"/>
        <c:grouping val="clustered"/>
        <c:varyColors val="0"/>
        <c:ser>
          <c:idx val="1"/>
          <c:order val="0"/>
          <c:tx>
            <c:strRef>
              <c:f>'Q1'!$F$110</c:f>
              <c:strCache>
                <c:ptCount val="1"/>
                <c:pt idx="0">
                  <c:v>QDDE</c:v>
                </c:pt>
              </c:strCache>
            </c:strRef>
          </c:tx>
          <c:spPr>
            <a:solidFill>
              <a:srgbClr val="CCFFCC"/>
            </a:solidFill>
            <a:ln w="12700">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6">
                  <c:v>2019</c:v>
                </c:pt>
                <c:pt idx="100">
                  <c:v>2020</c:v>
                </c:pt>
              </c:numCache>
            </c:numRef>
          </c:cat>
          <c:val>
            <c:numRef>
              <c:f>'Q1'!$G$110:$DB$110</c:f>
              <c:numCache>
                <c:formatCode>0.00</c:formatCode>
                <c:ptCount val="25"/>
                <c:pt idx="0">
                  <c:v>0.64238500936297793</c:v>
                </c:pt>
                <c:pt idx="1">
                  <c:v>1.1410264309038132</c:v>
                </c:pt>
                <c:pt idx="2">
                  <c:v>0.25949976242980455</c:v>
                </c:pt>
                <c:pt idx="3">
                  <c:v>0.31107978710478434</c:v>
                </c:pt>
                <c:pt idx="4">
                  <c:v>1.1980617807389571</c:v>
                </c:pt>
                <c:pt idx="5">
                  <c:v>1.7033960186260133</c:v>
                </c:pt>
                <c:pt idx="6">
                  <c:v>0.60968432946493234</c:v>
                </c:pt>
                <c:pt idx="7">
                  <c:v>0.78380907814694645</c:v>
                </c:pt>
                <c:pt idx="8">
                  <c:v>-0.68136970400464181</c:v>
                </c:pt>
                <c:pt idx="9">
                  <c:v>1.0062760772763912</c:v>
                </c:pt>
                <c:pt idx="10">
                  <c:v>1.9948162547440473</c:v>
                </c:pt>
                <c:pt idx="11">
                  <c:v>0.33806779507192797</c:v>
                </c:pt>
                <c:pt idx="12">
                  <c:v>1.7547430070325332</c:v>
                </c:pt>
                <c:pt idx="13">
                  <c:v>0.34778550634460004</c:v>
                </c:pt>
                <c:pt idx="14">
                  <c:v>1.3021669564062144</c:v>
                </c:pt>
                <c:pt idx="15">
                  <c:v>0.24156437526641206</c:v>
                </c:pt>
                <c:pt idx="16">
                  <c:v>2.6224538753434778</c:v>
                </c:pt>
                <c:pt idx="17">
                  <c:v>0.25512415925536319</c:v>
                </c:pt>
                <c:pt idx="18">
                  <c:v>0.73665440050966002</c:v>
                </c:pt>
                <c:pt idx="19">
                  <c:v>0.77655240047236962</c:v>
                </c:pt>
                <c:pt idx="20">
                  <c:v>0.80666502587561029</c:v>
                </c:pt>
                <c:pt idx="21">
                  <c:v>0.79461665962858952</c:v>
                </c:pt>
                <c:pt idx="22">
                  <c:v>0.7813982376775449</c:v>
                </c:pt>
                <c:pt idx="23">
                  <c:v>0.77429678563838522</c:v>
                </c:pt>
                <c:pt idx="24">
                  <c:v>0.77188451507112787</c:v>
                </c:pt>
              </c:numCache>
            </c:numRef>
          </c:val>
        </c:ser>
        <c:dLbls>
          <c:showLegendKey val="0"/>
          <c:showVal val="0"/>
          <c:showCatName val="0"/>
          <c:showSerName val="0"/>
          <c:showPercent val="0"/>
          <c:showBubbleSize val="0"/>
        </c:dLbls>
        <c:gapWidth val="10"/>
        <c:overlap val="50"/>
        <c:axId val="258366848"/>
        <c:axId val="258401408"/>
      </c:barChart>
      <c:catAx>
        <c:axId val="258366848"/>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n-US"/>
          </a:p>
        </c:txPr>
        <c:crossAx val="258401408"/>
        <c:crosses val="autoZero"/>
        <c:auto val="1"/>
        <c:lblAlgn val="ctr"/>
        <c:lblOffset val="100"/>
        <c:tickLblSkip val="4"/>
        <c:tickMarkSkip val="4"/>
        <c:noMultiLvlLbl val="0"/>
      </c:catAx>
      <c:valAx>
        <c:axId val="258401408"/>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n-US"/>
          </a:p>
        </c:txPr>
        <c:crossAx val="258366848"/>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GB"/>
              <a:t>Domestic demand (Excl. inventories, YoY)</a:t>
            </a:r>
          </a:p>
        </c:rich>
      </c:tx>
      <c:layout>
        <c:manualLayout>
          <c:xMode val="edge"/>
          <c:yMode val="edge"/>
          <c:x val="0.3705357142857143"/>
          <c:y val="3.5947712418300651E-2"/>
        </c:manualLayout>
      </c:layout>
      <c:overlay val="0"/>
      <c:spPr>
        <a:noFill/>
        <a:ln w="25400">
          <a:noFill/>
        </a:ln>
      </c:spPr>
    </c:title>
    <c:autoTitleDeleted val="0"/>
    <c:plotArea>
      <c:layout>
        <c:manualLayout>
          <c:layoutTarget val="inner"/>
          <c:xMode val="edge"/>
          <c:yMode val="edge"/>
          <c:x val="6.1383928571428568E-2"/>
          <c:y val="0.19281107284988017"/>
          <c:w val="0.9229910714285714"/>
          <c:h val="0.69608065283092335"/>
        </c:manualLayout>
      </c:layout>
      <c:barChart>
        <c:barDir val="col"/>
        <c:grouping val="stacked"/>
        <c:varyColors val="0"/>
        <c:ser>
          <c:idx val="0"/>
          <c:order val="0"/>
          <c:tx>
            <c:strRef>
              <c:f>'Q1'!$C$97:$F$97</c:f>
              <c:strCache>
                <c:ptCount val="1"/>
                <c:pt idx="0">
                  <c:v>Domestic demand (excl. Inventories)</c:v>
                </c:pt>
              </c:strCache>
            </c:strRef>
          </c:tx>
          <c:spPr>
            <a:solidFill>
              <a:srgbClr val="FF8080"/>
            </a:solidFill>
            <a:ln w="12700">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6">
                  <c:v>2019</c:v>
                </c:pt>
                <c:pt idx="100">
                  <c:v>2020</c:v>
                </c:pt>
              </c:numCache>
            </c:numRef>
          </c:cat>
          <c:val>
            <c:numRef>
              <c:f>'Q1'!$G$115:$DB$115</c:f>
              <c:numCache>
                <c:formatCode>0.00</c:formatCode>
                <c:ptCount val="25"/>
                <c:pt idx="0">
                  <c:v>5.6664453211463073</c:v>
                </c:pt>
                <c:pt idx="1">
                  <c:v>4.8422531613232955</c:v>
                </c:pt>
                <c:pt idx="2">
                  <c:v>4.1129511784724793</c:v>
                </c:pt>
                <c:pt idx="3">
                  <c:v>2.3723600828404079</c:v>
                </c:pt>
                <c:pt idx="4">
                  <c:v>2.9375885650914979</c:v>
                </c:pt>
                <c:pt idx="5">
                  <c:v>3.5099474908931505</c:v>
                </c:pt>
                <c:pt idx="6">
                  <c:v>3.8714851629523483</c:v>
                </c:pt>
                <c:pt idx="7">
                  <c:v>4.3609933373712773</c:v>
                </c:pt>
                <c:pt idx="8">
                  <c:v>2.4228204790576635</c:v>
                </c:pt>
                <c:pt idx="9">
                  <c:v>1.7207692850921719</c:v>
                </c:pt>
                <c:pt idx="10">
                  <c:v>3.1211979410388446</c:v>
                </c:pt>
                <c:pt idx="11">
                  <c:v>2.6651189785258156</c:v>
                </c:pt>
                <c:pt idx="12">
                  <c:v>5.183315218026463</c:v>
                </c:pt>
                <c:pt idx="13">
                  <c:v>4.497593261131172</c:v>
                </c:pt>
                <c:pt idx="14">
                  <c:v>3.7879475427689879</c:v>
                </c:pt>
                <c:pt idx="15">
                  <c:v>3.6881260882346334</c:v>
                </c:pt>
                <c:pt idx="16">
                  <c:v>4.5723238294184343</c:v>
                </c:pt>
                <c:pt idx="17">
                  <c:v>4.4757615351396884</c:v>
                </c:pt>
                <c:pt idx="18">
                  <c:v>3.8925326002601013</c:v>
                </c:pt>
                <c:pt idx="19">
                  <c:v>4.4470057990360301</c:v>
                </c:pt>
                <c:pt idx="20">
                  <c:v>2.5989335562833116</c:v>
                </c:pt>
                <c:pt idx="21">
                  <c:v>3.1510385550460596</c:v>
                </c:pt>
                <c:pt idx="22">
                  <c:v>3.1968547805329317</c:v>
                </c:pt>
                <c:pt idx="23">
                  <c:v>3.1945449936736203</c:v>
                </c:pt>
                <c:pt idx="24">
                  <c:v>3.1589406118979424</c:v>
                </c:pt>
              </c:numCache>
            </c:numRef>
          </c:val>
        </c:ser>
        <c:dLbls>
          <c:showLegendKey val="0"/>
          <c:showVal val="0"/>
          <c:showCatName val="0"/>
          <c:showSerName val="0"/>
          <c:showPercent val="0"/>
          <c:showBubbleSize val="0"/>
        </c:dLbls>
        <c:gapWidth val="10"/>
        <c:overlap val="100"/>
        <c:axId val="258568960"/>
        <c:axId val="258570496"/>
      </c:barChart>
      <c:catAx>
        <c:axId val="258568960"/>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n-US"/>
          </a:p>
        </c:txPr>
        <c:crossAx val="258570496"/>
        <c:crosses val="autoZero"/>
        <c:auto val="1"/>
        <c:lblAlgn val="ctr"/>
        <c:lblOffset val="100"/>
        <c:tickLblSkip val="4"/>
        <c:tickMarkSkip val="4"/>
        <c:noMultiLvlLbl val="0"/>
      </c:catAx>
      <c:valAx>
        <c:axId val="258570496"/>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n-US"/>
          </a:p>
        </c:txPr>
        <c:crossAx val="258568960"/>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000000"/>
                </a:solidFill>
                <a:latin typeface="Arial"/>
                <a:ea typeface="Arial"/>
                <a:cs typeface="Arial"/>
              </a:defRPr>
            </a:pPr>
            <a:r>
              <a:rPr lang="en-GB"/>
              <a:t>Domestic demand (Incl. Inventories, QoQ)</a:t>
            </a:r>
          </a:p>
        </c:rich>
      </c:tx>
      <c:layout>
        <c:manualLayout>
          <c:xMode val="edge"/>
          <c:yMode val="edge"/>
          <c:x val="0.3705357142857143"/>
          <c:y val="3.5947712418300651E-2"/>
        </c:manualLayout>
      </c:layout>
      <c:overlay val="0"/>
      <c:spPr>
        <a:noFill/>
        <a:ln w="25400">
          <a:noFill/>
        </a:ln>
      </c:spPr>
    </c:title>
    <c:autoTitleDeleted val="0"/>
    <c:plotArea>
      <c:layout>
        <c:manualLayout>
          <c:layoutTarget val="inner"/>
          <c:xMode val="edge"/>
          <c:yMode val="edge"/>
          <c:x val="1.6741071428571428E-2"/>
          <c:y val="0.15686324570837709"/>
          <c:w val="0.9676339285714286"/>
          <c:h val="0.83006800854016205"/>
        </c:manualLayout>
      </c:layout>
      <c:barChart>
        <c:barDir val="col"/>
        <c:grouping val="clustered"/>
        <c:varyColors val="0"/>
        <c:ser>
          <c:idx val="0"/>
          <c:order val="0"/>
          <c:tx>
            <c:strRef>
              <c:f>'Q1'!$F$149</c:f>
              <c:strCache>
                <c:ptCount val="1"/>
                <c:pt idx="0">
                  <c:v>QDDI</c:v>
                </c:pt>
              </c:strCache>
            </c:strRef>
          </c:tx>
          <c:spPr>
            <a:solidFill>
              <a:srgbClr val="CCFFCC"/>
            </a:solidFill>
            <a:ln w="3175">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6">
                  <c:v>2019</c:v>
                </c:pt>
                <c:pt idx="100">
                  <c:v>2020</c:v>
                </c:pt>
              </c:numCache>
            </c:numRef>
          </c:cat>
          <c:val>
            <c:numRef>
              <c:f>'Q1'!$G$149:$DB$149</c:f>
              <c:numCache>
                <c:formatCode>0.00</c:formatCode>
                <c:ptCount val="25"/>
                <c:pt idx="0">
                  <c:v>0.97828015307803717</c:v>
                </c:pt>
                <c:pt idx="1">
                  <c:v>-2.7608362824094179E-2</c:v>
                </c:pt>
                <c:pt idx="2">
                  <c:v>-1.8829082145011E-2</c:v>
                </c:pt>
                <c:pt idx="3">
                  <c:v>0.21594746952253718</c:v>
                </c:pt>
                <c:pt idx="4">
                  <c:v>2.8313351123137931</c:v>
                </c:pt>
                <c:pt idx="5">
                  <c:v>4.355453759091632</c:v>
                </c:pt>
                <c:pt idx="6">
                  <c:v>2.2356869337816443</c:v>
                </c:pt>
                <c:pt idx="7">
                  <c:v>-1.7905470989254657</c:v>
                </c:pt>
                <c:pt idx="8">
                  <c:v>-0.21859702568514106</c:v>
                </c:pt>
                <c:pt idx="9">
                  <c:v>-0.94156033327507105</c:v>
                </c:pt>
                <c:pt idx="10">
                  <c:v>3.8514475278506488</c:v>
                </c:pt>
                <c:pt idx="11">
                  <c:v>0.4089215119901235</c:v>
                </c:pt>
                <c:pt idx="12">
                  <c:v>1.4541639403442996</c:v>
                </c:pt>
                <c:pt idx="13">
                  <c:v>0.96963227363200399</c:v>
                </c:pt>
                <c:pt idx="14">
                  <c:v>-0.78411506227766825</c:v>
                </c:pt>
                <c:pt idx="15">
                  <c:v>2.0301694952880922</c:v>
                </c:pt>
                <c:pt idx="16">
                  <c:v>0.52436901653614143</c:v>
                </c:pt>
                <c:pt idx="17">
                  <c:v>0.99892643016384974</c:v>
                </c:pt>
                <c:pt idx="18">
                  <c:v>0.99737581391350105</c:v>
                </c:pt>
                <c:pt idx="19">
                  <c:v>0.86426948405353454</c:v>
                </c:pt>
                <c:pt idx="20">
                  <c:v>0.59457503831887559</c:v>
                </c:pt>
                <c:pt idx="21">
                  <c:v>0.8079110092352495</c:v>
                </c:pt>
                <c:pt idx="22">
                  <c:v>0.93684187936210372</c:v>
                </c:pt>
                <c:pt idx="23">
                  <c:v>0.94052166190287134</c:v>
                </c:pt>
                <c:pt idx="24">
                  <c:v>0.92032399104302232</c:v>
                </c:pt>
              </c:numCache>
            </c:numRef>
          </c:val>
        </c:ser>
        <c:dLbls>
          <c:showLegendKey val="0"/>
          <c:showVal val="0"/>
          <c:showCatName val="0"/>
          <c:showSerName val="0"/>
          <c:showPercent val="0"/>
          <c:showBubbleSize val="0"/>
        </c:dLbls>
        <c:gapWidth val="10"/>
        <c:overlap val="50"/>
        <c:axId val="258598784"/>
        <c:axId val="258600320"/>
      </c:barChart>
      <c:catAx>
        <c:axId val="258598784"/>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58600320"/>
        <c:crosses val="autoZero"/>
        <c:auto val="1"/>
        <c:lblAlgn val="ctr"/>
        <c:lblOffset val="100"/>
        <c:tickLblSkip val="4"/>
        <c:tickMarkSkip val="4"/>
        <c:noMultiLvlLbl val="0"/>
      </c:catAx>
      <c:valAx>
        <c:axId val="258600320"/>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58598784"/>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000000"/>
                </a:solidFill>
                <a:latin typeface="Arial"/>
                <a:ea typeface="Arial"/>
                <a:cs typeface="Arial"/>
              </a:defRPr>
            </a:pPr>
            <a:r>
              <a:rPr lang="en-GB"/>
              <a:t>Domestic demand (Incl. inventories, YoY)</a:t>
            </a:r>
          </a:p>
        </c:rich>
      </c:tx>
      <c:layout>
        <c:manualLayout>
          <c:xMode val="edge"/>
          <c:yMode val="edge"/>
          <c:x val="0.3716517857142857"/>
          <c:y val="3.5947712418300651E-2"/>
        </c:manualLayout>
      </c:layout>
      <c:overlay val="0"/>
      <c:spPr>
        <a:noFill/>
        <a:ln w="25400">
          <a:noFill/>
        </a:ln>
      </c:spPr>
    </c:title>
    <c:autoTitleDeleted val="0"/>
    <c:plotArea>
      <c:layout>
        <c:manualLayout>
          <c:layoutTarget val="inner"/>
          <c:xMode val="edge"/>
          <c:yMode val="edge"/>
          <c:x val="1.6741071428571428E-2"/>
          <c:y val="0.15686324570837709"/>
          <c:w val="0.9676339285714286"/>
          <c:h val="0.83006800854016205"/>
        </c:manualLayout>
      </c:layout>
      <c:barChart>
        <c:barDir val="col"/>
        <c:grouping val="stacked"/>
        <c:varyColors val="0"/>
        <c:ser>
          <c:idx val="0"/>
          <c:order val="0"/>
          <c:tx>
            <c:strRef>
              <c:f>'Q1'!$F$149</c:f>
              <c:strCache>
                <c:ptCount val="1"/>
                <c:pt idx="0">
                  <c:v>QDDI</c:v>
                </c:pt>
              </c:strCache>
            </c:strRef>
          </c:tx>
          <c:spPr>
            <a:solidFill>
              <a:srgbClr val="FF8080"/>
            </a:solidFill>
            <a:ln w="3175">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6">
                  <c:v>2019</c:v>
                </c:pt>
                <c:pt idx="100">
                  <c:v>2020</c:v>
                </c:pt>
              </c:numCache>
            </c:numRef>
          </c:cat>
          <c:val>
            <c:numRef>
              <c:f>'Q1'!$G$154:$DB$154</c:f>
              <c:numCache>
                <c:formatCode>0.00</c:formatCode>
                <c:ptCount val="25"/>
                <c:pt idx="0">
                  <c:v>6.1418581418581475</c:v>
                </c:pt>
                <c:pt idx="1">
                  <c:v>5.3352549947771166</c:v>
                </c:pt>
                <c:pt idx="2">
                  <c:v>3.9926362105207946</c:v>
                </c:pt>
                <c:pt idx="3">
                  <c:v>1.1493524596396076</c:v>
                </c:pt>
                <c:pt idx="4">
                  <c:v>3.0055467710764727</c:v>
                </c:pt>
                <c:pt idx="5">
                  <c:v>7.5215906808596245</c:v>
                </c:pt>
                <c:pt idx="6">
                  <c:v>9.9461386834737588</c:v>
                </c:pt>
                <c:pt idx="7">
                  <c:v>7.7448290550105714</c:v>
                </c:pt>
                <c:pt idx="8">
                  <c:v>4.5491648493561243</c:v>
                </c:pt>
                <c:pt idx="9">
                  <c:v>-0.75768189035210209</c:v>
                </c:pt>
                <c:pt idx="10">
                  <c:v>0.81077068892669857</c:v>
                </c:pt>
                <c:pt idx="11">
                  <c:v>3.0684976105484818</c:v>
                </c:pt>
                <c:pt idx="12">
                  <c:v>4.7963642719804245</c:v>
                </c:pt>
                <c:pt idx="13">
                  <c:v>6.8182620254802373</c:v>
                </c:pt>
                <c:pt idx="14">
                  <c:v>2.0502712928036404</c:v>
                </c:pt>
                <c:pt idx="15">
                  <c:v>3.6980212540330681</c:v>
                </c:pt>
                <c:pt idx="16">
                  <c:v>2.7476620964962173</c:v>
                </c:pt>
                <c:pt idx="17">
                  <c:v>2.7774721099523392</c:v>
                </c:pt>
                <c:pt idx="18">
                  <c:v>4.6229137845068102</c:v>
                </c:pt>
                <c:pt idx="19">
                  <c:v>3.4273864521486619</c:v>
                </c:pt>
                <c:pt idx="20">
                  <c:v>3.4996199356037927</c:v>
                </c:pt>
                <c:pt idx="21">
                  <c:v>3.303875048338889</c:v>
                </c:pt>
                <c:pt idx="22">
                  <c:v>3.2419586870405137</c:v>
                </c:pt>
                <c:pt idx="23">
                  <c:v>3.320008369406624</c:v>
                </c:pt>
                <c:pt idx="24">
                  <c:v>3.6545829178747047</c:v>
                </c:pt>
              </c:numCache>
            </c:numRef>
          </c:val>
        </c:ser>
        <c:dLbls>
          <c:showLegendKey val="0"/>
          <c:showVal val="0"/>
          <c:showCatName val="0"/>
          <c:showSerName val="0"/>
          <c:showPercent val="0"/>
          <c:showBubbleSize val="0"/>
        </c:dLbls>
        <c:gapWidth val="10"/>
        <c:overlap val="100"/>
        <c:axId val="258608128"/>
        <c:axId val="258630400"/>
      </c:barChart>
      <c:catAx>
        <c:axId val="258608128"/>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58630400"/>
        <c:crosses val="autoZero"/>
        <c:auto val="1"/>
        <c:lblAlgn val="ctr"/>
        <c:lblOffset val="100"/>
        <c:tickLblSkip val="4"/>
        <c:tickMarkSkip val="4"/>
        <c:noMultiLvlLbl val="0"/>
      </c:catAx>
      <c:valAx>
        <c:axId val="258630400"/>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58608128"/>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000000"/>
                </a:solidFill>
                <a:latin typeface="Arial"/>
                <a:ea typeface="Arial"/>
                <a:cs typeface="Arial"/>
              </a:defRPr>
            </a:pPr>
            <a:r>
              <a:rPr lang="en-GB"/>
              <a:t>Exports (QoQ)</a:t>
            </a:r>
          </a:p>
        </c:rich>
      </c:tx>
      <c:layout>
        <c:manualLayout>
          <c:xMode val="edge"/>
          <c:yMode val="edge"/>
          <c:x val="0.45535714285714285"/>
          <c:y val="3.5947712418300651E-2"/>
        </c:manualLayout>
      </c:layout>
      <c:overlay val="0"/>
      <c:spPr>
        <a:noFill/>
        <a:ln w="25400">
          <a:noFill/>
        </a:ln>
      </c:spPr>
    </c:title>
    <c:autoTitleDeleted val="0"/>
    <c:plotArea>
      <c:layout>
        <c:manualLayout>
          <c:layoutTarget val="inner"/>
          <c:xMode val="edge"/>
          <c:yMode val="edge"/>
          <c:x val="4.9107142857142856E-2"/>
          <c:y val="0.19281107284988017"/>
          <c:w val="0.9352678571428571"/>
          <c:h val="0.69608065283092335"/>
        </c:manualLayout>
      </c:layout>
      <c:barChart>
        <c:barDir val="col"/>
        <c:grouping val="stacked"/>
        <c:varyColors val="0"/>
        <c:ser>
          <c:idx val="0"/>
          <c:order val="0"/>
          <c:tx>
            <c:strRef>
              <c:f>'Q1'!#REF!</c:f>
              <c:strCache>
                <c:ptCount val="1"/>
                <c:pt idx="0">
                  <c:v>#REF!</c:v>
                </c:pt>
              </c:strCache>
            </c:strRef>
          </c:tx>
          <c:spPr>
            <a:solidFill>
              <a:srgbClr val="9999FF"/>
            </a:solidFill>
            <a:ln w="12700">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6">
                  <c:v>2019</c:v>
                </c:pt>
                <c:pt idx="100">
                  <c:v>2020</c:v>
                </c:pt>
              </c:numCache>
            </c:numRef>
          </c:cat>
          <c:val>
            <c:numRef>
              <c:f>'Q1'!#REF!</c:f>
              <c:numCache>
                <c:formatCode>General</c:formatCode>
                <c:ptCount val="1"/>
                <c:pt idx="0">
                  <c:v>1</c:v>
                </c:pt>
              </c:numCache>
            </c:numRef>
          </c:val>
        </c:ser>
        <c:dLbls>
          <c:showLegendKey val="0"/>
          <c:showVal val="0"/>
          <c:showCatName val="0"/>
          <c:showSerName val="0"/>
          <c:showPercent val="0"/>
          <c:showBubbleSize val="0"/>
        </c:dLbls>
        <c:gapWidth val="10"/>
        <c:overlap val="100"/>
        <c:axId val="259064192"/>
        <c:axId val="259065728"/>
      </c:barChart>
      <c:catAx>
        <c:axId val="259064192"/>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59065728"/>
        <c:crosses val="autoZero"/>
        <c:auto val="1"/>
        <c:lblAlgn val="ctr"/>
        <c:lblOffset val="100"/>
        <c:tickLblSkip val="4"/>
        <c:tickMarkSkip val="4"/>
        <c:noMultiLvlLbl val="0"/>
      </c:catAx>
      <c:valAx>
        <c:axId val="259065728"/>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59064192"/>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000000"/>
                </a:solidFill>
                <a:latin typeface="Arial"/>
                <a:ea typeface="Arial"/>
                <a:cs typeface="Arial"/>
              </a:defRPr>
            </a:pPr>
            <a:r>
              <a:rPr lang="en-GB"/>
              <a:t>Exports (YoY)</a:t>
            </a:r>
          </a:p>
        </c:rich>
      </c:tx>
      <c:layout>
        <c:manualLayout>
          <c:xMode val="edge"/>
          <c:yMode val="edge"/>
          <c:x val="0.4564732142857143"/>
          <c:y val="3.6065573770491806E-2"/>
        </c:manualLayout>
      </c:layout>
      <c:overlay val="0"/>
      <c:spPr>
        <a:noFill/>
        <a:ln w="25400">
          <a:noFill/>
        </a:ln>
      </c:spPr>
    </c:title>
    <c:autoTitleDeleted val="0"/>
    <c:plotArea>
      <c:layout>
        <c:manualLayout>
          <c:layoutTarget val="inner"/>
          <c:xMode val="edge"/>
          <c:yMode val="edge"/>
          <c:x val="1.6741071428571428E-2"/>
          <c:y val="0.16065573770491803"/>
          <c:w val="0.9676339285714286"/>
          <c:h val="0.82622950819672136"/>
        </c:manualLayout>
      </c:layout>
      <c:barChart>
        <c:barDir val="col"/>
        <c:grouping val="stacked"/>
        <c:varyColors val="0"/>
        <c:ser>
          <c:idx val="0"/>
          <c:order val="0"/>
          <c:tx>
            <c:strRef>
              <c:f>'Q1'!$C$159:$F$159</c:f>
              <c:strCache>
                <c:ptCount val="1"/>
                <c:pt idx="0">
                  <c:v>Exports of goods and services</c:v>
                </c:pt>
              </c:strCache>
            </c:strRef>
          </c:tx>
          <c:spPr>
            <a:solidFill>
              <a:srgbClr val="FFCC99"/>
            </a:solidFill>
            <a:ln w="3175">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6">
                  <c:v>2019</c:v>
                </c:pt>
                <c:pt idx="100">
                  <c:v>2020</c:v>
                </c:pt>
              </c:numCache>
            </c:numRef>
          </c:cat>
          <c:val>
            <c:numRef>
              <c:f>'Q1'!$G$189:$DB$189</c:f>
              <c:numCache>
                <c:formatCode>0.00</c:formatCode>
                <c:ptCount val="25"/>
                <c:pt idx="0">
                  <c:v>5.3893644782484262</c:v>
                </c:pt>
                <c:pt idx="1">
                  <c:v>2.7275684215417373</c:v>
                </c:pt>
                <c:pt idx="2">
                  <c:v>4.7366303540480326</c:v>
                </c:pt>
                <c:pt idx="3">
                  <c:v>3.7470797514162157</c:v>
                </c:pt>
                <c:pt idx="4">
                  <c:v>2.1107303006054456</c:v>
                </c:pt>
                <c:pt idx="5">
                  <c:v>0.61968518183463939</c:v>
                </c:pt>
                <c:pt idx="6">
                  <c:v>-1.0534091748541141</c:v>
                </c:pt>
                <c:pt idx="7">
                  <c:v>-1.2377658400176683</c:v>
                </c:pt>
                <c:pt idx="8">
                  <c:v>-0.10202421966258868</c:v>
                </c:pt>
                <c:pt idx="9">
                  <c:v>1.8820708773507278</c:v>
                </c:pt>
                <c:pt idx="10">
                  <c:v>2.1785223675566012</c:v>
                </c:pt>
                <c:pt idx="11">
                  <c:v>4.0042322365283933</c:v>
                </c:pt>
                <c:pt idx="12">
                  <c:v>5.8331606524377744</c:v>
                </c:pt>
                <c:pt idx="13">
                  <c:v>10.204291744495597</c:v>
                </c:pt>
                <c:pt idx="14">
                  <c:v>13.645862255410535</c:v>
                </c:pt>
                <c:pt idx="15">
                  <c:v>14.547721052857799</c:v>
                </c:pt>
                <c:pt idx="16">
                  <c:v>14.704278142175852</c:v>
                </c:pt>
                <c:pt idx="17">
                  <c:v>9.8974602623817187</c:v>
                </c:pt>
                <c:pt idx="18">
                  <c:v>6.3077167920379651</c:v>
                </c:pt>
                <c:pt idx="19">
                  <c:v>3.9842361371660306</c:v>
                </c:pt>
                <c:pt idx="20">
                  <c:v>2.2682128792000045</c:v>
                </c:pt>
                <c:pt idx="21">
                  <c:v>3.2257041153199939</c:v>
                </c:pt>
                <c:pt idx="22">
                  <c:v>4.151034132289988</c:v>
                </c:pt>
                <c:pt idx="23">
                  <c:v>4.9278941581399449</c:v>
                </c:pt>
                <c:pt idx="24">
                  <c:v>5.3438620239799617</c:v>
                </c:pt>
              </c:numCache>
            </c:numRef>
          </c:val>
        </c:ser>
        <c:dLbls>
          <c:showLegendKey val="0"/>
          <c:showVal val="0"/>
          <c:showCatName val="0"/>
          <c:showSerName val="0"/>
          <c:showPercent val="0"/>
          <c:showBubbleSize val="0"/>
        </c:dLbls>
        <c:gapWidth val="10"/>
        <c:overlap val="100"/>
        <c:axId val="259081728"/>
        <c:axId val="259083264"/>
      </c:barChart>
      <c:catAx>
        <c:axId val="259081728"/>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59083264"/>
        <c:crosses val="autoZero"/>
        <c:auto val="1"/>
        <c:lblAlgn val="ctr"/>
        <c:lblOffset val="100"/>
        <c:tickLblSkip val="4"/>
        <c:tickMarkSkip val="4"/>
        <c:noMultiLvlLbl val="0"/>
      </c:catAx>
      <c:valAx>
        <c:axId val="259083264"/>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59081728"/>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000000"/>
                </a:solidFill>
                <a:latin typeface="Arial"/>
                <a:ea typeface="Arial"/>
                <a:cs typeface="Arial"/>
              </a:defRPr>
            </a:pPr>
            <a:r>
              <a:rPr lang="en-GB"/>
              <a:t>Final demand (QoQ)</a:t>
            </a:r>
          </a:p>
        </c:rich>
      </c:tx>
      <c:layout>
        <c:manualLayout>
          <c:xMode val="edge"/>
          <c:yMode val="edge"/>
          <c:x val="0.43861607142857145"/>
          <c:y val="3.5947712418300651E-2"/>
        </c:manualLayout>
      </c:layout>
      <c:overlay val="0"/>
      <c:spPr>
        <a:noFill/>
        <a:ln w="25400">
          <a:noFill/>
        </a:ln>
      </c:spPr>
    </c:title>
    <c:autoTitleDeleted val="0"/>
    <c:plotArea>
      <c:layout>
        <c:manualLayout>
          <c:layoutTarget val="inner"/>
          <c:xMode val="edge"/>
          <c:yMode val="edge"/>
          <c:x val="1.6741071428571428E-2"/>
          <c:y val="0.15686324570837709"/>
          <c:w val="0.9676339285714286"/>
          <c:h val="0.83006800854016205"/>
        </c:manualLayout>
      </c:layout>
      <c:barChart>
        <c:barDir val="col"/>
        <c:grouping val="stacked"/>
        <c:varyColors val="0"/>
        <c:ser>
          <c:idx val="0"/>
          <c:order val="0"/>
          <c:tx>
            <c:strRef>
              <c:f>'Q1'!$F$206</c:f>
              <c:strCache>
                <c:ptCount val="1"/>
                <c:pt idx="0">
                  <c:v>QFD</c:v>
                </c:pt>
              </c:strCache>
            </c:strRef>
          </c:tx>
          <c:spPr>
            <a:solidFill>
              <a:srgbClr val="CCFFCC"/>
            </a:solidFill>
            <a:ln w="3175">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6">
                  <c:v>2019</c:v>
                </c:pt>
                <c:pt idx="100">
                  <c:v>2020</c:v>
                </c:pt>
              </c:numCache>
            </c:numRef>
          </c:cat>
          <c:val>
            <c:numRef>
              <c:f>'Q1'!$G$206:$DB$206</c:f>
              <c:numCache>
                <c:formatCode>0.00</c:formatCode>
                <c:ptCount val="25"/>
                <c:pt idx="0">
                  <c:v>1.0484401509643027</c:v>
                </c:pt>
                <c:pt idx="1">
                  <c:v>4.728650826826275E-2</c:v>
                </c:pt>
                <c:pt idx="2">
                  <c:v>0.92199358851412505</c:v>
                </c:pt>
                <c:pt idx="3">
                  <c:v>0.29321134293509576</c:v>
                </c:pt>
                <c:pt idx="4">
                  <c:v>1.316947064954066</c:v>
                </c:pt>
                <c:pt idx="5">
                  <c:v>1.7894357165758157</c:v>
                </c:pt>
                <c:pt idx="6">
                  <c:v>1.4121568859053246</c:v>
                </c:pt>
                <c:pt idx="7">
                  <c:v>-0.92919122833128309</c:v>
                </c:pt>
                <c:pt idx="8">
                  <c:v>0.17634726041266813</c:v>
                </c:pt>
                <c:pt idx="9">
                  <c:v>-0.24710354225209175</c:v>
                </c:pt>
                <c:pt idx="10">
                  <c:v>2.4274827121923082</c:v>
                </c:pt>
                <c:pt idx="11">
                  <c:v>1.0981928633416738</c:v>
                </c:pt>
                <c:pt idx="12">
                  <c:v>1.894176087052557</c:v>
                </c:pt>
                <c:pt idx="13">
                  <c:v>2.6623883444627463</c:v>
                </c:pt>
                <c:pt idx="14">
                  <c:v>1.2840006757898377</c:v>
                </c:pt>
                <c:pt idx="15">
                  <c:v>2.385321100917432</c:v>
                </c:pt>
                <c:pt idx="16">
                  <c:v>1.4866405995438448</c:v>
                </c:pt>
                <c:pt idx="17">
                  <c:v>0.7172934141349282</c:v>
                </c:pt>
                <c:pt idx="18">
                  <c:v>0.71735688560220434</c:v>
                </c:pt>
                <c:pt idx="19">
                  <c:v>0.71742036040082702</c:v>
                </c:pt>
                <c:pt idx="20">
                  <c:v>0.73705413590036328</c:v>
                </c:pt>
                <c:pt idx="21">
                  <c:v>1.0565291535579697</c:v>
                </c:pt>
                <c:pt idx="22">
                  <c:v>1.107003192825434</c:v>
                </c:pt>
                <c:pt idx="23">
                  <c:v>1.1092802960500661</c:v>
                </c:pt>
                <c:pt idx="24">
                  <c:v>1.0989007179173624</c:v>
                </c:pt>
              </c:numCache>
            </c:numRef>
          </c:val>
        </c:ser>
        <c:dLbls>
          <c:showLegendKey val="0"/>
          <c:showVal val="0"/>
          <c:showCatName val="0"/>
          <c:showSerName val="0"/>
          <c:showPercent val="0"/>
          <c:showBubbleSize val="0"/>
        </c:dLbls>
        <c:gapWidth val="10"/>
        <c:overlap val="100"/>
        <c:axId val="259127936"/>
        <c:axId val="259268992"/>
      </c:barChart>
      <c:catAx>
        <c:axId val="259127936"/>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59268992"/>
        <c:crosses val="autoZero"/>
        <c:auto val="1"/>
        <c:lblAlgn val="ctr"/>
        <c:lblOffset val="100"/>
        <c:tickLblSkip val="4"/>
        <c:tickMarkSkip val="4"/>
        <c:noMultiLvlLbl val="0"/>
      </c:catAx>
      <c:valAx>
        <c:axId val="259268992"/>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59127936"/>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000000"/>
                </a:solidFill>
                <a:latin typeface="Arial"/>
                <a:ea typeface="Arial"/>
                <a:cs typeface="Arial"/>
              </a:defRPr>
            </a:pPr>
            <a:r>
              <a:rPr lang="en-GB"/>
              <a:t>Final demand (YoY)</a:t>
            </a:r>
          </a:p>
        </c:rich>
      </c:tx>
      <c:layout>
        <c:manualLayout>
          <c:xMode val="edge"/>
          <c:yMode val="edge"/>
          <c:x val="0.43973214285714285"/>
          <c:y val="3.5947712418300651E-2"/>
        </c:manualLayout>
      </c:layout>
      <c:overlay val="0"/>
      <c:spPr>
        <a:noFill/>
        <a:ln w="25400">
          <a:noFill/>
        </a:ln>
      </c:spPr>
    </c:title>
    <c:autoTitleDeleted val="0"/>
    <c:plotArea>
      <c:layout>
        <c:manualLayout>
          <c:layoutTarget val="inner"/>
          <c:xMode val="edge"/>
          <c:yMode val="edge"/>
          <c:x val="1.6741071428571428E-2"/>
          <c:y val="0.15686324570837709"/>
          <c:w val="0.9676339285714286"/>
          <c:h val="0.83006800854016205"/>
        </c:manualLayout>
      </c:layout>
      <c:barChart>
        <c:barDir val="col"/>
        <c:grouping val="stacked"/>
        <c:varyColors val="0"/>
        <c:ser>
          <c:idx val="0"/>
          <c:order val="0"/>
          <c:tx>
            <c:strRef>
              <c:f>'Q1'!$F$206</c:f>
              <c:strCache>
                <c:ptCount val="1"/>
                <c:pt idx="0">
                  <c:v>QFD</c:v>
                </c:pt>
              </c:strCache>
            </c:strRef>
          </c:tx>
          <c:spPr>
            <a:solidFill>
              <a:srgbClr val="FF8080"/>
            </a:solidFill>
            <a:ln w="3175">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6">
                  <c:v>2019</c:v>
                </c:pt>
                <c:pt idx="100">
                  <c:v>2020</c:v>
                </c:pt>
              </c:numCache>
            </c:numRef>
          </c:cat>
          <c:val>
            <c:numRef>
              <c:f>'Q1'!$G$189:$DB$189</c:f>
              <c:numCache>
                <c:formatCode>0.00</c:formatCode>
                <c:ptCount val="25"/>
                <c:pt idx="0">
                  <c:v>5.3893644782484262</c:v>
                </c:pt>
                <c:pt idx="1">
                  <c:v>2.7275684215417373</c:v>
                </c:pt>
                <c:pt idx="2">
                  <c:v>4.7366303540480326</c:v>
                </c:pt>
                <c:pt idx="3">
                  <c:v>3.7470797514162157</c:v>
                </c:pt>
                <c:pt idx="4">
                  <c:v>2.1107303006054456</c:v>
                </c:pt>
                <c:pt idx="5">
                  <c:v>0.61968518183463939</c:v>
                </c:pt>
                <c:pt idx="6">
                  <c:v>-1.0534091748541141</c:v>
                </c:pt>
                <c:pt idx="7">
                  <c:v>-1.2377658400176683</c:v>
                </c:pt>
                <c:pt idx="8">
                  <c:v>-0.10202421966258868</c:v>
                </c:pt>
                <c:pt idx="9">
                  <c:v>1.8820708773507278</c:v>
                </c:pt>
                <c:pt idx="10">
                  <c:v>2.1785223675566012</c:v>
                </c:pt>
                <c:pt idx="11">
                  <c:v>4.0042322365283933</c:v>
                </c:pt>
                <c:pt idx="12">
                  <c:v>5.8331606524377744</c:v>
                </c:pt>
                <c:pt idx="13">
                  <c:v>10.204291744495597</c:v>
                </c:pt>
                <c:pt idx="14">
                  <c:v>13.645862255410535</c:v>
                </c:pt>
                <c:pt idx="15">
                  <c:v>14.547721052857799</c:v>
                </c:pt>
                <c:pt idx="16">
                  <c:v>14.704278142175852</c:v>
                </c:pt>
                <c:pt idx="17">
                  <c:v>9.8974602623817187</c:v>
                </c:pt>
                <c:pt idx="18">
                  <c:v>6.3077167920379651</c:v>
                </c:pt>
                <c:pt idx="19">
                  <c:v>3.9842361371660306</c:v>
                </c:pt>
                <c:pt idx="20">
                  <c:v>2.2682128792000045</c:v>
                </c:pt>
                <c:pt idx="21">
                  <c:v>3.2257041153199939</c:v>
                </c:pt>
                <c:pt idx="22">
                  <c:v>4.151034132289988</c:v>
                </c:pt>
                <c:pt idx="23">
                  <c:v>4.9278941581399449</c:v>
                </c:pt>
                <c:pt idx="24">
                  <c:v>5.3438620239799617</c:v>
                </c:pt>
              </c:numCache>
            </c:numRef>
          </c:val>
        </c:ser>
        <c:dLbls>
          <c:showLegendKey val="0"/>
          <c:showVal val="0"/>
          <c:showCatName val="0"/>
          <c:showSerName val="0"/>
          <c:showPercent val="0"/>
          <c:showBubbleSize val="0"/>
        </c:dLbls>
        <c:gapWidth val="10"/>
        <c:overlap val="100"/>
        <c:axId val="259301760"/>
        <c:axId val="259303296"/>
      </c:barChart>
      <c:catAx>
        <c:axId val="259301760"/>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59303296"/>
        <c:crosses val="autoZero"/>
        <c:auto val="1"/>
        <c:lblAlgn val="ctr"/>
        <c:lblOffset val="100"/>
        <c:tickLblSkip val="4"/>
        <c:tickMarkSkip val="4"/>
        <c:noMultiLvlLbl val="0"/>
      </c:catAx>
      <c:valAx>
        <c:axId val="259303296"/>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59301760"/>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000000"/>
                </a:solidFill>
                <a:latin typeface="Arial"/>
                <a:ea typeface="Arial"/>
                <a:cs typeface="Arial"/>
              </a:defRPr>
            </a:pPr>
            <a:r>
              <a:rPr lang="en-GB"/>
              <a:t>Imports and final demand (QoQ)</a:t>
            </a:r>
          </a:p>
        </c:rich>
      </c:tx>
      <c:layout>
        <c:manualLayout>
          <c:xMode val="edge"/>
          <c:yMode val="edge"/>
          <c:x val="0.40066964285714285"/>
          <c:y val="2.9978586723768737E-2"/>
        </c:manualLayout>
      </c:layout>
      <c:overlay val="0"/>
      <c:spPr>
        <a:noFill/>
        <a:ln w="25400">
          <a:noFill/>
        </a:ln>
      </c:spPr>
    </c:title>
    <c:autoTitleDeleted val="0"/>
    <c:plotArea>
      <c:layout>
        <c:manualLayout>
          <c:layoutTarget val="inner"/>
          <c:xMode val="edge"/>
          <c:yMode val="edge"/>
          <c:x val="4.9107142857142856E-2"/>
          <c:y val="0.14132762312633834"/>
          <c:w val="0.9363839285714286"/>
          <c:h val="0.78586723768736622"/>
        </c:manualLayout>
      </c:layout>
      <c:barChart>
        <c:barDir val="col"/>
        <c:grouping val="stacked"/>
        <c:varyColors val="0"/>
        <c:ser>
          <c:idx val="0"/>
          <c:order val="0"/>
          <c:tx>
            <c:strRef>
              <c:f>'Q1'!#REF!</c:f>
              <c:strCache>
                <c:ptCount val="1"/>
                <c:pt idx="0">
                  <c:v>#REF!</c:v>
                </c:pt>
              </c:strCache>
            </c:strRef>
          </c:tx>
          <c:spPr>
            <a:solidFill>
              <a:srgbClr val="9999FF"/>
            </a:solidFill>
            <a:ln w="12700">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6">
                  <c:v>2019</c:v>
                </c:pt>
                <c:pt idx="100">
                  <c:v>2020</c:v>
                </c:pt>
              </c:numCache>
            </c:numRef>
          </c:cat>
          <c:val>
            <c:numRef>
              <c:f>'Q1'!#REF!</c:f>
              <c:numCache>
                <c:formatCode>General</c:formatCode>
                <c:ptCount val="1"/>
                <c:pt idx="0">
                  <c:v>1</c:v>
                </c:pt>
              </c:numCache>
            </c:numRef>
          </c:val>
        </c:ser>
        <c:dLbls>
          <c:showLegendKey val="0"/>
          <c:showVal val="0"/>
          <c:showCatName val="0"/>
          <c:showSerName val="0"/>
          <c:showPercent val="0"/>
          <c:showBubbleSize val="0"/>
        </c:dLbls>
        <c:gapWidth val="10"/>
        <c:overlap val="100"/>
        <c:axId val="259476096"/>
        <c:axId val="259477888"/>
      </c:barChart>
      <c:lineChart>
        <c:grouping val="standard"/>
        <c:varyColors val="0"/>
        <c:ser>
          <c:idx val="1"/>
          <c:order val="1"/>
          <c:tx>
            <c:strRef>
              <c:f>'Q1'!$F$206</c:f>
              <c:strCache>
                <c:ptCount val="1"/>
                <c:pt idx="0">
                  <c:v>QFD</c:v>
                </c:pt>
              </c:strCache>
            </c:strRef>
          </c:tx>
          <c:val>
            <c:numRef>
              <c:f>'Q1'!$G$206:$CH$206</c:f>
              <c:numCache>
                <c:formatCode>0.00</c:formatCode>
                <c:ptCount val="5"/>
                <c:pt idx="0">
                  <c:v>1.0484401509643027</c:v>
                </c:pt>
                <c:pt idx="1">
                  <c:v>4.728650826826275E-2</c:v>
                </c:pt>
                <c:pt idx="2">
                  <c:v>0.92199358851412505</c:v>
                </c:pt>
                <c:pt idx="3">
                  <c:v>0.29321134293509576</c:v>
                </c:pt>
                <c:pt idx="4">
                  <c:v>1.316947064954066</c:v>
                </c:pt>
              </c:numCache>
            </c:numRef>
          </c:val>
          <c:smooth val="0"/>
        </c:ser>
        <c:dLbls>
          <c:showLegendKey val="0"/>
          <c:showVal val="0"/>
          <c:showCatName val="0"/>
          <c:showSerName val="0"/>
          <c:showPercent val="0"/>
          <c:showBubbleSize val="0"/>
        </c:dLbls>
        <c:marker val="1"/>
        <c:smooth val="0"/>
        <c:axId val="259476096"/>
        <c:axId val="259477888"/>
      </c:lineChart>
      <c:catAx>
        <c:axId val="259476096"/>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59477888"/>
        <c:crosses val="autoZero"/>
        <c:auto val="1"/>
        <c:lblAlgn val="ctr"/>
        <c:lblOffset val="100"/>
        <c:tickLblSkip val="4"/>
        <c:tickMarkSkip val="4"/>
        <c:noMultiLvlLbl val="0"/>
      </c:catAx>
      <c:valAx>
        <c:axId val="259477888"/>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59476096"/>
        <c:crosses val="autoZero"/>
        <c:crossBetween val="between"/>
      </c:valAx>
      <c:spPr>
        <a:noFill/>
        <a:ln w="12700">
          <a:solidFill>
            <a:srgbClr val="808080"/>
          </a:solidFill>
          <a:prstDash val="solid"/>
        </a:ln>
      </c:spPr>
    </c:plotArea>
    <c:legend>
      <c:legendPos val="r"/>
      <c:layout>
        <c:manualLayout>
          <c:xMode val="edge"/>
          <c:yMode val="edge"/>
          <c:x val="0.13169642857142858"/>
          <c:y val="0.8137044967880086"/>
          <c:w val="7.2544642857142849E-2"/>
          <c:h val="5.3533190578158418E-2"/>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000000"/>
                </a:solidFill>
                <a:latin typeface="Arial"/>
                <a:ea typeface="Arial"/>
                <a:cs typeface="Arial"/>
              </a:defRPr>
            </a:pPr>
            <a:r>
              <a:rPr lang="en-GB"/>
              <a:t>Imports and final demand (YoY)</a:t>
            </a:r>
          </a:p>
        </c:rich>
      </c:tx>
      <c:layout>
        <c:manualLayout>
          <c:xMode val="edge"/>
          <c:yMode val="edge"/>
          <c:x val="0.4017857142857143"/>
          <c:y val="3.5947712418300651E-2"/>
        </c:manualLayout>
      </c:layout>
      <c:overlay val="0"/>
      <c:spPr>
        <a:noFill/>
        <a:ln w="25400">
          <a:noFill/>
        </a:ln>
      </c:spPr>
    </c:title>
    <c:autoTitleDeleted val="0"/>
    <c:plotArea>
      <c:layout>
        <c:manualLayout>
          <c:layoutTarget val="inner"/>
          <c:xMode val="edge"/>
          <c:yMode val="edge"/>
          <c:x val="4.9107142857142856E-2"/>
          <c:y val="0.19281107284988017"/>
          <c:w val="0.9363839285714286"/>
          <c:h val="0.69608065283092335"/>
        </c:manualLayout>
      </c:layout>
      <c:barChart>
        <c:barDir val="col"/>
        <c:grouping val="stacked"/>
        <c:varyColors val="0"/>
        <c:ser>
          <c:idx val="0"/>
          <c:order val="0"/>
          <c:tx>
            <c:strRef>
              <c:f>'Q1'!#REF!</c:f>
              <c:strCache>
                <c:ptCount val="1"/>
                <c:pt idx="0">
                  <c:v>#REF!</c:v>
                </c:pt>
              </c:strCache>
            </c:strRef>
          </c:tx>
          <c:spPr>
            <a:solidFill>
              <a:srgbClr val="FFCC99"/>
            </a:solidFill>
            <a:ln w="12700">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6">
                  <c:v>2019</c:v>
                </c:pt>
                <c:pt idx="100">
                  <c:v>2020</c:v>
                </c:pt>
              </c:numCache>
            </c:numRef>
          </c:cat>
          <c:val>
            <c:numRef>
              <c:f>'Q1'!#REF!</c:f>
              <c:numCache>
                <c:formatCode>General</c:formatCode>
                <c:ptCount val="1"/>
                <c:pt idx="0">
                  <c:v>1</c:v>
                </c:pt>
              </c:numCache>
            </c:numRef>
          </c:val>
        </c:ser>
        <c:dLbls>
          <c:showLegendKey val="0"/>
          <c:showVal val="0"/>
          <c:showCatName val="0"/>
          <c:showSerName val="0"/>
          <c:showPercent val="0"/>
          <c:showBubbleSize val="0"/>
        </c:dLbls>
        <c:gapWidth val="10"/>
        <c:overlap val="100"/>
        <c:axId val="259737088"/>
        <c:axId val="259738624"/>
      </c:barChart>
      <c:lineChart>
        <c:grouping val="standard"/>
        <c:varyColors val="0"/>
        <c:ser>
          <c:idx val="1"/>
          <c:order val="1"/>
          <c:tx>
            <c:strRef>
              <c:f>'Q1'!$F$206</c:f>
              <c:strCache>
                <c:ptCount val="1"/>
                <c:pt idx="0">
                  <c:v>QFD</c:v>
                </c:pt>
              </c:strCache>
            </c:strRef>
          </c:tx>
          <c:val>
            <c:numRef>
              <c:f>'Q1'!$G$211:$CH$211</c:f>
              <c:numCache>
                <c:formatCode>0.00</c:formatCode>
                <c:ptCount val="5"/>
                <c:pt idx="0">
                  <c:v>5.7989718752039288</c:v>
                </c:pt>
                <c:pt idx="1">
                  <c:v>4.134330061629754</c:v>
                </c:pt>
                <c:pt idx="2">
                  <c:v>4.3331090889777935</c:v>
                </c:pt>
                <c:pt idx="3">
                  <c:v>2.3274817353969635</c:v>
                </c:pt>
                <c:pt idx="4">
                  <c:v>2.5993873313276517</c:v>
                </c:pt>
              </c:numCache>
            </c:numRef>
          </c:val>
          <c:smooth val="0"/>
        </c:ser>
        <c:dLbls>
          <c:showLegendKey val="0"/>
          <c:showVal val="0"/>
          <c:showCatName val="0"/>
          <c:showSerName val="0"/>
          <c:showPercent val="0"/>
          <c:showBubbleSize val="0"/>
        </c:dLbls>
        <c:marker val="1"/>
        <c:smooth val="0"/>
        <c:axId val="259737088"/>
        <c:axId val="259738624"/>
      </c:lineChart>
      <c:catAx>
        <c:axId val="259737088"/>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59738624"/>
        <c:crosses val="autoZero"/>
        <c:auto val="1"/>
        <c:lblAlgn val="ctr"/>
        <c:lblOffset val="100"/>
        <c:tickLblSkip val="4"/>
        <c:tickMarkSkip val="4"/>
        <c:noMultiLvlLbl val="0"/>
      </c:catAx>
      <c:valAx>
        <c:axId val="259738624"/>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59737088"/>
        <c:crosses val="autoZero"/>
        <c:crossBetween val="between"/>
      </c:valAx>
      <c:spPr>
        <a:noFill/>
        <a:ln w="12700">
          <a:solidFill>
            <a:srgbClr val="808080"/>
          </a:solidFill>
          <a:prstDash val="solid"/>
        </a:ln>
      </c:spPr>
    </c:plotArea>
    <c:legend>
      <c:legendPos val="r"/>
      <c:layout>
        <c:manualLayout>
          <c:xMode val="edge"/>
          <c:yMode val="edge"/>
          <c:x val="0.12834821428571427"/>
          <c:y val="0.7745122055821454"/>
          <c:w val="7.2544642857142849E-2"/>
          <c:h val="8.1699689499596828E-2"/>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000000"/>
                </a:solidFill>
                <a:latin typeface="Arial"/>
                <a:ea typeface="Arial"/>
                <a:cs typeface="Arial"/>
              </a:defRPr>
            </a:pPr>
            <a:r>
              <a:rPr lang="en-GB"/>
              <a:t>Gross domestic product (QoQ)</a:t>
            </a:r>
          </a:p>
        </c:rich>
      </c:tx>
      <c:layout>
        <c:manualLayout>
          <c:xMode val="edge"/>
          <c:yMode val="edge"/>
          <c:x val="0.40401785714285715"/>
          <c:y val="3.6065573770491806E-2"/>
        </c:manualLayout>
      </c:layout>
      <c:overlay val="0"/>
      <c:spPr>
        <a:noFill/>
        <a:ln w="25400">
          <a:noFill/>
        </a:ln>
      </c:spPr>
    </c:title>
    <c:autoTitleDeleted val="0"/>
    <c:plotArea>
      <c:layout>
        <c:manualLayout>
          <c:layoutTarget val="inner"/>
          <c:xMode val="edge"/>
          <c:yMode val="edge"/>
          <c:x val="6.1383928571428568E-2"/>
          <c:y val="0.19672131147540983"/>
          <c:w val="0.9229910714285714"/>
          <c:h val="0.69180327868852454"/>
        </c:manualLayout>
      </c:layout>
      <c:barChart>
        <c:barDir val="col"/>
        <c:grouping val="stacked"/>
        <c:varyColors val="0"/>
        <c:ser>
          <c:idx val="0"/>
          <c:order val="0"/>
          <c:tx>
            <c:strRef>
              <c:f>'Q1'!$F$263</c:f>
              <c:strCache>
                <c:ptCount val="1"/>
                <c:pt idx="0">
                  <c:v>QGDP</c:v>
                </c:pt>
              </c:strCache>
            </c:strRef>
          </c:tx>
          <c:spPr>
            <a:solidFill>
              <a:srgbClr val="CCFFCC"/>
            </a:solidFill>
            <a:ln w="12700">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6">
                  <c:v>2019</c:v>
                </c:pt>
                <c:pt idx="100">
                  <c:v>2020</c:v>
                </c:pt>
              </c:numCache>
            </c:numRef>
          </c:cat>
          <c:val>
            <c:numRef>
              <c:f>'Q1'!$G$263:$DB$263</c:f>
              <c:numCache>
                <c:formatCode>0.00</c:formatCode>
                <c:ptCount val="25"/>
                <c:pt idx="0">
                  <c:v>0.89201293854193064</c:v>
                </c:pt>
                <c:pt idx="1">
                  <c:v>1.2330912364205915</c:v>
                </c:pt>
                <c:pt idx="2">
                  <c:v>0.66628500432412974</c:v>
                </c:pt>
                <c:pt idx="3">
                  <c:v>0.29040220705676134</c:v>
                </c:pt>
                <c:pt idx="4">
                  <c:v>0.23526856811930674</c:v>
                </c:pt>
                <c:pt idx="5">
                  <c:v>0.47424740307415725</c:v>
                </c:pt>
                <c:pt idx="6">
                  <c:v>0.85776239023396261</c:v>
                </c:pt>
                <c:pt idx="7">
                  <c:v>0.74237727018968691</c:v>
                </c:pt>
                <c:pt idx="8">
                  <c:v>0.14030702478364798</c:v>
                </c:pt>
                <c:pt idx="9">
                  <c:v>0.33909081275829145</c:v>
                </c:pt>
                <c:pt idx="10">
                  <c:v>0.63482005608945791</c:v>
                </c:pt>
                <c:pt idx="11">
                  <c:v>1.033091579021006</c:v>
                </c:pt>
                <c:pt idx="12">
                  <c:v>1.1714061490167182</c:v>
                </c:pt>
                <c:pt idx="13">
                  <c:v>1.0859769800257935</c:v>
                </c:pt>
                <c:pt idx="14">
                  <c:v>0.71771144840040435</c:v>
                </c:pt>
                <c:pt idx="15">
                  <c:v>0.54789302080648916</c:v>
                </c:pt>
                <c:pt idx="16">
                  <c:v>1.3505683084466202</c:v>
                </c:pt>
                <c:pt idx="17">
                  <c:v>0.64000000000000046</c:v>
                </c:pt>
                <c:pt idx="18">
                  <c:v>0.64000000000000268</c:v>
                </c:pt>
                <c:pt idx="19">
                  <c:v>0.63999999999999979</c:v>
                </c:pt>
                <c:pt idx="20">
                  <c:v>0.72489778708730856</c:v>
                </c:pt>
                <c:pt idx="21">
                  <c:v>0.64000000000000046</c:v>
                </c:pt>
                <c:pt idx="22">
                  <c:v>0.64000000000000123</c:v>
                </c:pt>
                <c:pt idx="23">
                  <c:v>0.64000000000000123</c:v>
                </c:pt>
                <c:pt idx="24">
                  <c:v>0.61512319845919095</c:v>
                </c:pt>
              </c:numCache>
            </c:numRef>
          </c:val>
        </c:ser>
        <c:dLbls>
          <c:showLegendKey val="0"/>
          <c:showVal val="0"/>
          <c:showCatName val="0"/>
          <c:showSerName val="0"/>
          <c:showPercent val="0"/>
          <c:showBubbleSize val="0"/>
        </c:dLbls>
        <c:gapWidth val="10"/>
        <c:overlap val="100"/>
        <c:axId val="259746816"/>
        <c:axId val="259773184"/>
      </c:barChart>
      <c:catAx>
        <c:axId val="259746816"/>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59773184"/>
        <c:crosses val="autoZero"/>
        <c:auto val="1"/>
        <c:lblAlgn val="ctr"/>
        <c:lblOffset val="100"/>
        <c:tickLblSkip val="4"/>
        <c:tickMarkSkip val="4"/>
        <c:noMultiLvlLbl val="0"/>
      </c:catAx>
      <c:valAx>
        <c:axId val="259773184"/>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59746816"/>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000000"/>
                </a:solidFill>
                <a:latin typeface="Arial"/>
                <a:ea typeface="Arial"/>
                <a:cs typeface="Arial"/>
              </a:defRPr>
            </a:pPr>
            <a:r>
              <a:rPr lang="en-GB"/>
              <a:t>Gross domestic product (YoY)</a:t>
            </a:r>
          </a:p>
        </c:rich>
      </c:tx>
      <c:layout>
        <c:manualLayout>
          <c:xMode val="edge"/>
          <c:yMode val="edge"/>
          <c:x val="0.40513392857142855"/>
          <c:y val="3.5947712418300651E-2"/>
        </c:manualLayout>
      </c:layout>
      <c:overlay val="0"/>
      <c:spPr>
        <a:noFill/>
        <a:ln w="25400">
          <a:noFill/>
        </a:ln>
      </c:spPr>
    </c:title>
    <c:autoTitleDeleted val="0"/>
    <c:plotArea>
      <c:layout>
        <c:manualLayout>
          <c:layoutTarget val="inner"/>
          <c:xMode val="edge"/>
          <c:yMode val="edge"/>
          <c:x val="6.1383928571428568E-2"/>
          <c:y val="0.19281107284988017"/>
          <c:w val="0.9229910714285714"/>
          <c:h val="0.69608065283092335"/>
        </c:manualLayout>
      </c:layout>
      <c:barChart>
        <c:barDir val="col"/>
        <c:grouping val="stacked"/>
        <c:varyColors val="0"/>
        <c:ser>
          <c:idx val="0"/>
          <c:order val="0"/>
          <c:tx>
            <c:strRef>
              <c:f>'Q1'!$F$263</c:f>
              <c:strCache>
                <c:ptCount val="1"/>
                <c:pt idx="0">
                  <c:v>QGDP</c:v>
                </c:pt>
              </c:strCache>
            </c:strRef>
          </c:tx>
          <c:spPr>
            <a:solidFill>
              <a:srgbClr val="FF8080"/>
            </a:solidFill>
            <a:ln w="12700">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6">
                  <c:v>2019</c:v>
                </c:pt>
                <c:pt idx="100">
                  <c:v>2020</c:v>
                </c:pt>
              </c:numCache>
            </c:numRef>
          </c:cat>
          <c:val>
            <c:numRef>
              <c:f>'Q1'!$G$268:$DB$268</c:f>
              <c:numCache>
                <c:formatCode>0.00</c:formatCode>
                <c:ptCount val="25"/>
                <c:pt idx="0">
                  <c:v>3.401802904537865</c:v>
                </c:pt>
                <c:pt idx="1">
                  <c:v>4.457083237906212</c:v>
                </c:pt>
                <c:pt idx="2">
                  <c:v>4.2050713033829901</c:v>
                </c:pt>
                <c:pt idx="3">
                  <c:v>3.1152027867628718</c:v>
                </c:pt>
                <c:pt idx="4">
                  <c:v>2.4439868305855983</c:v>
                </c:pt>
                <c:pt idx="5">
                  <c:v>1.6760661169104463</c:v>
                </c:pt>
                <c:pt idx="6">
                  <c:v>1.8694642079279733</c:v>
                </c:pt>
                <c:pt idx="7">
                  <c:v>2.3285555716422879</c:v>
                </c:pt>
                <c:pt idx="8">
                  <c:v>2.2316108763947407</c:v>
                </c:pt>
                <c:pt idx="9">
                  <c:v>2.0940903046494208</c:v>
                </c:pt>
                <c:pt idx="10">
                  <c:v>1.8684151136134197</c:v>
                </c:pt>
                <c:pt idx="11">
                  <c:v>2.1623788525479304</c:v>
                </c:pt>
                <c:pt idx="12">
                  <c:v>3.2142983292713145</c:v>
                </c:pt>
                <c:pt idx="13">
                  <c:v>3.9825864516961795</c:v>
                </c:pt>
                <c:pt idx="14">
                  <c:v>4.0682353489890577</c:v>
                </c:pt>
                <c:pt idx="15">
                  <c:v>3.5684608992706091</c:v>
                </c:pt>
                <c:pt idx="16">
                  <c:v>3.7518679488495854</c:v>
                </c:pt>
                <c:pt idx="17">
                  <c:v>3.2941294363256768</c:v>
                </c:pt>
                <c:pt idx="18">
                  <c:v>3.2144300836068895</c:v>
                </c:pt>
                <c:pt idx="19">
                  <c:v>3.3089797462459103</c:v>
                </c:pt>
                <c:pt idx="20">
                  <c:v>2.6712193044670762</c:v>
                </c:pt>
                <c:pt idx="21">
                  <c:v>2.6712193044670762</c:v>
                </c:pt>
                <c:pt idx="22">
                  <c:v>2.671219304467054</c:v>
                </c:pt>
                <c:pt idx="23">
                  <c:v>2.671219304467054</c:v>
                </c:pt>
                <c:pt idx="24">
                  <c:v>2.5593235258590807</c:v>
                </c:pt>
              </c:numCache>
            </c:numRef>
          </c:val>
        </c:ser>
        <c:dLbls>
          <c:showLegendKey val="0"/>
          <c:showVal val="0"/>
          <c:showCatName val="0"/>
          <c:showSerName val="0"/>
          <c:showPercent val="0"/>
          <c:showBubbleSize val="0"/>
        </c:dLbls>
        <c:gapWidth val="10"/>
        <c:overlap val="100"/>
        <c:axId val="260583808"/>
        <c:axId val="260585344"/>
      </c:barChart>
      <c:catAx>
        <c:axId val="260583808"/>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60585344"/>
        <c:crosses val="autoZero"/>
        <c:auto val="1"/>
        <c:lblAlgn val="ctr"/>
        <c:lblOffset val="100"/>
        <c:tickLblSkip val="4"/>
        <c:tickMarkSkip val="4"/>
        <c:noMultiLvlLbl val="0"/>
      </c:catAx>
      <c:valAx>
        <c:axId val="260585344"/>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60583808"/>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000000"/>
                </a:solidFill>
                <a:latin typeface="Arial"/>
                <a:ea typeface="Arial"/>
                <a:cs typeface="Arial"/>
              </a:defRPr>
            </a:pPr>
            <a:r>
              <a:rPr lang="en-GB"/>
              <a:t>HICP (YoY)</a:t>
            </a:r>
          </a:p>
        </c:rich>
      </c:tx>
      <c:layout>
        <c:manualLayout>
          <c:xMode val="edge"/>
          <c:yMode val="edge"/>
          <c:x val="0.46651785714285715"/>
          <c:y val="3.5947712418300651E-2"/>
        </c:manualLayout>
      </c:layout>
      <c:overlay val="0"/>
      <c:spPr>
        <a:noFill/>
        <a:ln w="25400">
          <a:noFill/>
        </a:ln>
      </c:spPr>
    </c:title>
    <c:autoTitleDeleted val="0"/>
    <c:plotArea>
      <c:layout>
        <c:manualLayout>
          <c:layoutTarget val="inner"/>
          <c:xMode val="edge"/>
          <c:yMode val="edge"/>
          <c:x val="5.6919642857142856E-2"/>
          <c:y val="0.19281107284988017"/>
          <c:w val="0.9274553571428571"/>
          <c:h val="0.69608065283092335"/>
        </c:manualLayout>
      </c:layout>
      <c:barChart>
        <c:barDir val="col"/>
        <c:grouping val="stacked"/>
        <c:varyColors val="0"/>
        <c:ser>
          <c:idx val="0"/>
          <c:order val="0"/>
          <c:tx>
            <c:strRef>
              <c:f>'Q1'!$F$316</c:f>
              <c:strCache>
                <c:ptCount val="1"/>
              </c:strCache>
            </c:strRef>
          </c:tx>
          <c:spPr>
            <a:solidFill>
              <a:srgbClr val="0066CC"/>
            </a:solidFill>
            <a:ln w="12700">
              <a:solidFill>
                <a:srgbClr val="000000"/>
              </a:solidFill>
              <a:prstDash val="solid"/>
            </a:ln>
          </c:spPr>
          <c:invertIfNegative val="0"/>
          <c:cat>
            <c:numRef>
              <c:f>InputQ!$G$2:$DB$2</c:f>
              <c:numCache>
                <c:formatCode>0</c:formatCode>
                <c:ptCount val="100"/>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6">
                  <c:v>2019</c:v>
                </c:pt>
              </c:numCache>
            </c:numRef>
          </c:cat>
          <c:val>
            <c:numRef>
              <c:f>'Q1'!$G$316:$DB$316</c:f>
              <c:numCache>
                <c:formatCode>0.00</c:formatCode>
                <c:ptCount val="25"/>
                <c:pt idx="0">
                  <c:v>0.49826460621136448</c:v>
                </c:pt>
                <c:pt idx="1">
                  <c:v>0.30778324993059414</c:v>
                </c:pt>
                <c:pt idx="2">
                  <c:v>0.21688232448298095</c:v>
                </c:pt>
                <c:pt idx="3">
                  <c:v>0.24228140837416845</c:v>
                </c:pt>
                <c:pt idx="4">
                  <c:v>0.17429873938439755</c:v>
                </c:pt>
                <c:pt idx="5">
                  <c:v>-1.2991271504266138</c:v>
                </c:pt>
                <c:pt idx="6">
                  <c:v>-0.29226033802027018</c:v>
                </c:pt>
                <c:pt idx="7">
                  <c:v>-0.66403430877610958</c:v>
                </c:pt>
                <c:pt idx="8">
                  <c:v>-0.37025413901122306</c:v>
                </c:pt>
                <c:pt idx="9">
                  <c:v>0.6874463859162887</c:v>
                </c:pt>
                <c:pt idx="10">
                  <c:v>0.46646439800738904</c:v>
                </c:pt>
                <c:pt idx="11">
                  <c:v>0.40148688455245463</c:v>
                </c:pt>
                <c:pt idx="12">
                  <c:v>1.2463909081876494</c:v>
                </c:pt>
                <c:pt idx="13">
                  <c:v>2.9554663441353313</c:v>
                </c:pt>
                <c:pt idx="14">
                  <c:v>3.4071082454399431</c:v>
                </c:pt>
                <c:pt idx="15">
                  <c:v>4.4491285396125306</c:v>
                </c:pt>
                <c:pt idx="16">
                  <c:v>4.0591318491850217</c:v>
                </c:pt>
                <c:pt idx="17">
                  <c:v>3.2003427940795461</c:v>
                </c:pt>
                <c:pt idx="18">
                  <c:v>2.7000996405354982</c:v>
                </c:pt>
                <c:pt idx="19">
                  <c:v>2.6728413706528471</c:v>
                </c:pt>
                <c:pt idx="20">
                  <c:v>2.6731374763846674</c:v>
                </c:pt>
                <c:pt idx="21">
                  <c:v>2.7085884536913909</c:v>
                </c:pt>
                <c:pt idx="22">
                  <c:v>2.5208338919720461</c:v>
                </c:pt>
                <c:pt idx="23">
                  <c:v>2.2255013487630464</c:v>
                </c:pt>
                <c:pt idx="24">
                  <c:v>1.939395359138814</c:v>
                </c:pt>
              </c:numCache>
            </c:numRef>
          </c:val>
        </c:ser>
        <c:dLbls>
          <c:showLegendKey val="0"/>
          <c:showVal val="0"/>
          <c:showCatName val="0"/>
          <c:showSerName val="0"/>
          <c:showPercent val="0"/>
          <c:showBubbleSize val="0"/>
        </c:dLbls>
        <c:gapWidth val="10"/>
        <c:overlap val="100"/>
        <c:axId val="260838912"/>
        <c:axId val="260840448"/>
      </c:barChart>
      <c:catAx>
        <c:axId val="260838912"/>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60840448"/>
        <c:crosses val="autoZero"/>
        <c:auto val="1"/>
        <c:lblAlgn val="ctr"/>
        <c:lblOffset val="100"/>
        <c:tickLblSkip val="4"/>
        <c:tickMarkSkip val="4"/>
        <c:noMultiLvlLbl val="0"/>
      </c:catAx>
      <c:valAx>
        <c:axId val="260840448"/>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60838912"/>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000000"/>
                </a:solidFill>
                <a:latin typeface="Arial"/>
                <a:ea typeface="Arial"/>
                <a:cs typeface="Arial"/>
              </a:defRPr>
            </a:pPr>
            <a:r>
              <a:rPr lang="en-GB"/>
              <a:t>HICP (QoQ)</a:t>
            </a:r>
          </a:p>
        </c:rich>
      </c:tx>
      <c:layout>
        <c:manualLayout>
          <c:xMode val="edge"/>
          <c:yMode val="edge"/>
          <c:x val="0.4654017857142857"/>
          <c:y val="3.5947712418300651E-2"/>
        </c:manualLayout>
      </c:layout>
      <c:overlay val="0"/>
      <c:spPr>
        <a:noFill/>
        <a:ln w="25400">
          <a:noFill/>
        </a:ln>
      </c:spPr>
    </c:title>
    <c:autoTitleDeleted val="0"/>
    <c:plotArea>
      <c:layout>
        <c:manualLayout>
          <c:layoutTarget val="inner"/>
          <c:xMode val="edge"/>
          <c:yMode val="edge"/>
          <c:x val="5.46875E-2"/>
          <c:y val="0.11111146571010043"/>
          <c:w val="0.9296875"/>
          <c:h val="0.77778025997070299"/>
        </c:manualLayout>
      </c:layout>
      <c:barChart>
        <c:barDir val="col"/>
        <c:grouping val="stacked"/>
        <c:varyColors val="0"/>
        <c:ser>
          <c:idx val="4"/>
          <c:order val="0"/>
          <c:tx>
            <c:strRef>
              <c:f>'Q1'!$E$337</c:f>
              <c:strCache>
                <c:ptCount val="1"/>
                <c:pt idx="0">
                  <c:v>Services</c:v>
                </c:pt>
              </c:strCache>
            </c:strRef>
          </c:tx>
          <c:spPr>
            <a:solidFill>
              <a:srgbClr val="FFCC99"/>
            </a:solidFill>
            <a:ln w="12700">
              <a:solidFill>
                <a:srgbClr val="000000"/>
              </a:solidFill>
              <a:prstDash val="solid"/>
            </a:ln>
          </c:spPr>
          <c:invertIfNegative val="0"/>
          <c:cat>
            <c:numRef>
              <c:f>InputQ!$G$2:$DB$2</c:f>
              <c:numCache>
                <c:formatCode>0</c:formatCode>
                <c:ptCount val="100"/>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6">
                  <c:v>2019</c:v>
                </c:pt>
              </c:numCache>
            </c:numRef>
          </c:cat>
          <c:val>
            <c:numRef>
              <c:f>'Q1'!$G$337:$DB$337</c:f>
              <c:numCache>
                <c:formatCode>0.00</c:formatCode>
                <c:ptCount val="25"/>
                <c:pt idx="0">
                  <c:v>0.30699542664216467</c:v>
                </c:pt>
                <c:pt idx="1">
                  <c:v>0.25433945571008859</c:v>
                </c:pt>
                <c:pt idx="2">
                  <c:v>0.20728414937178077</c:v>
                </c:pt>
                <c:pt idx="3">
                  <c:v>0.45145711213624123</c:v>
                </c:pt>
                <c:pt idx="4">
                  <c:v>0.58512724603230193</c:v>
                </c:pt>
                <c:pt idx="5">
                  <c:v>0.77376943005181087</c:v>
                </c:pt>
                <c:pt idx="6">
                  <c:v>0.8092867550128362</c:v>
                </c:pt>
                <c:pt idx="7">
                  <c:v>0.79301902201653884</c:v>
                </c:pt>
                <c:pt idx="8">
                  <c:v>0.85796187033183413</c:v>
                </c:pt>
                <c:pt idx="9">
                  <c:v>0.90175239968795518</c:v>
                </c:pt>
                <c:pt idx="10">
                  <c:v>0.79368525976641213</c:v>
                </c:pt>
                <c:pt idx="11">
                  <c:v>0.72662343523521011</c:v>
                </c:pt>
                <c:pt idx="12">
                  <c:v>0.66992824447591603</c:v>
                </c:pt>
                <c:pt idx="13">
                  <c:v>0.88983322974255108</c:v>
                </c:pt>
                <c:pt idx="14">
                  <c:v>1.3944612183863203</c:v>
                </c:pt>
                <c:pt idx="15">
                  <c:v>1.7006289791086822</c:v>
                </c:pt>
                <c:pt idx="16">
                  <c:v>1.349479325597793</c:v>
                </c:pt>
                <c:pt idx="17">
                  <c:v>1.1994224726754119</c:v>
                </c:pt>
                <c:pt idx="18">
                  <c:v>1.0019541011903119</c:v>
                </c:pt>
                <c:pt idx="19">
                  <c:v>0.84484727666108561</c:v>
                </c:pt>
                <c:pt idx="20">
                  <c:v>1.3109288523047955</c:v>
                </c:pt>
                <c:pt idx="21">
                  <c:v>1.4120855514122825</c:v>
                </c:pt>
                <c:pt idx="22">
                  <c:v>1.2449278112761195</c:v>
                </c:pt>
                <c:pt idx="23">
                  <c:v>1.0800550738723405</c:v>
                </c:pt>
                <c:pt idx="24">
                  <c:v>0.91492797538906401</c:v>
                </c:pt>
              </c:numCache>
            </c:numRef>
          </c:val>
        </c:ser>
        <c:ser>
          <c:idx val="0"/>
          <c:order val="1"/>
          <c:tx>
            <c:strRef>
              <c:f>'Q1'!$E$333</c:f>
              <c:strCache>
                <c:ptCount val="1"/>
                <c:pt idx="0">
                  <c:v>Non-energy industrial goods</c:v>
                </c:pt>
              </c:strCache>
            </c:strRef>
          </c:tx>
          <c:spPr>
            <a:solidFill>
              <a:srgbClr val="339966"/>
            </a:solidFill>
            <a:ln w="12700">
              <a:solidFill>
                <a:srgbClr val="000000"/>
              </a:solidFill>
              <a:prstDash val="solid"/>
            </a:ln>
          </c:spPr>
          <c:invertIfNegative val="0"/>
          <c:cat>
            <c:numRef>
              <c:f>InputQ!$G$2:$DB$2</c:f>
              <c:numCache>
                <c:formatCode>0</c:formatCode>
                <c:ptCount val="100"/>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6">
                  <c:v>2019</c:v>
                </c:pt>
              </c:numCache>
            </c:numRef>
          </c:cat>
          <c:val>
            <c:numRef>
              <c:f>'Q1'!$G$333:$DB$333</c:f>
              <c:numCache>
                <c:formatCode>0.00</c:formatCode>
                <c:ptCount val="25"/>
                <c:pt idx="0">
                  <c:v>0.11808376251731553</c:v>
                </c:pt>
                <c:pt idx="1">
                  <c:v>0.11743534921605235</c:v>
                </c:pt>
                <c:pt idx="2">
                  <c:v>2.4141204787056378E-2</c:v>
                </c:pt>
                <c:pt idx="3">
                  <c:v>1.3244286439817997E-2</c:v>
                </c:pt>
                <c:pt idx="4">
                  <c:v>-6.1016222325636769E-2</c:v>
                </c:pt>
                <c:pt idx="5">
                  <c:v>1.1958655893977066E-2</c:v>
                </c:pt>
                <c:pt idx="6">
                  <c:v>0.17079567773398344</c:v>
                </c:pt>
                <c:pt idx="7">
                  <c:v>0.2884166441045003</c:v>
                </c:pt>
                <c:pt idx="8">
                  <c:v>0.51097042070550858</c:v>
                </c:pt>
                <c:pt idx="9">
                  <c:v>0.48170711678832917</c:v>
                </c:pt>
                <c:pt idx="10">
                  <c:v>0.36613526265077145</c:v>
                </c:pt>
                <c:pt idx="11">
                  <c:v>4.7474524536271122E-2</c:v>
                </c:pt>
                <c:pt idx="12">
                  <c:v>3.5358646468617021E-2</c:v>
                </c:pt>
                <c:pt idx="13">
                  <c:v>9.8421889055476483E-2</c:v>
                </c:pt>
                <c:pt idx="14">
                  <c:v>0.24541447541414732</c:v>
                </c:pt>
                <c:pt idx="15">
                  <c:v>0.30989633227265573</c:v>
                </c:pt>
                <c:pt idx="16">
                  <c:v>0.27965178512938355</c:v>
                </c:pt>
                <c:pt idx="17">
                  <c:v>0.16237321602035895</c:v>
                </c:pt>
                <c:pt idx="18">
                  <c:v>8.4543791186346459E-2</c:v>
                </c:pt>
                <c:pt idx="19">
                  <c:v>0.38900146055135254</c:v>
                </c:pt>
                <c:pt idx="20">
                  <c:v>0.3776858533564153</c:v>
                </c:pt>
                <c:pt idx="21">
                  <c:v>0.55896247356586293</c:v>
                </c:pt>
                <c:pt idx="22">
                  <c:v>0.40856730432284527</c:v>
                </c:pt>
                <c:pt idx="23">
                  <c:v>0.26025252764769913</c:v>
                </c:pt>
                <c:pt idx="24">
                  <c:v>0.11457449010578011</c:v>
                </c:pt>
              </c:numCache>
            </c:numRef>
          </c:val>
        </c:ser>
        <c:ser>
          <c:idx val="2"/>
          <c:order val="2"/>
          <c:tx>
            <c:strRef>
              <c:f>'Q1'!$E$335</c:f>
              <c:strCache>
                <c:ptCount val="1"/>
                <c:pt idx="0">
                  <c:v>Unprocessed food</c:v>
                </c:pt>
              </c:strCache>
            </c:strRef>
          </c:tx>
          <c:spPr>
            <a:solidFill>
              <a:srgbClr val="99CC00"/>
            </a:solidFill>
            <a:ln w="12700">
              <a:solidFill>
                <a:srgbClr val="000000"/>
              </a:solidFill>
              <a:prstDash val="solid"/>
            </a:ln>
          </c:spPr>
          <c:invertIfNegative val="0"/>
          <c:cat>
            <c:numRef>
              <c:f>InputQ!$G$2:$DB$2</c:f>
              <c:numCache>
                <c:formatCode>0</c:formatCode>
                <c:ptCount val="100"/>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6">
                  <c:v>2019</c:v>
                </c:pt>
              </c:numCache>
            </c:numRef>
          </c:cat>
          <c:val>
            <c:numRef>
              <c:f>'Q1'!$G$335:$DB$335</c:f>
              <c:numCache>
                <c:formatCode>0.00</c:formatCode>
                <c:ptCount val="25"/>
                <c:pt idx="0">
                  <c:v>5.9958392687376107E-2</c:v>
                </c:pt>
                <c:pt idx="1">
                  <c:v>6.8627595692574719E-2</c:v>
                </c:pt>
                <c:pt idx="2">
                  <c:v>4.7401356959360669E-3</c:v>
                </c:pt>
                <c:pt idx="3">
                  <c:v>3.6057892048359387E-2</c:v>
                </c:pt>
                <c:pt idx="4">
                  <c:v>2.9617231444641498E-2</c:v>
                </c:pt>
                <c:pt idx="5">
                  <c:v>-0.13251506264995974</c:v>
                </c:pt>
                <c:pt idx="6">
                  <c:v>0.1748601527521739</c:v>
                </c:pt>
                <c:pt idx="7">
                  <c:v>-5.1776842676808793E-3</c:v>
                </c:pt>
                <c:pt idx="8">
                  <c:v>0.25601094391245099</c:v>
                </c:pt>
                <c:pt idx="9">
                  <c:v>0.2240026021425465</c:v>
                </c:pt>
                <c:pt idx="10">
                  <c:v>0.21607264086897363</c:v>
                </c:pt>
                <c:pt idx="11">
                  <c:v>0.15494380687219733</c:v>
                </c:pt>
                <c:pt idx="12">
                  <c:v>-3.7152339716901753E-2</c:v>
                </c:pt>
                <c:pt idx="13">
                  <c:v>0.21558162322665422</c:v>
                </c:pt>
                <c:pt idx="14">
                  <c:v>-0.11049036578432049</c:v>
                </c:pt>
                <c:pt idx="15">
                  <c:v>0.15168187130597355</c:v>
                </c:pt>
                <c:pt idx="16">
                  <c:v>0.28674167335473333</c:v>
                </c:pt>
                <c:pt idx="17">
                  <c:v>7.1358706741579667E-2</c:v>
                </c:pt>
                <c:pt idx="18">
                  <c:v>0.14033466870192973</c:v>
                </c:pt>
                <c:pt idx="19">
                  <c:v>4.3712640950246094E-2</c:v>
                </c:pt>
                <c:pt idx="20">
                  <c:v>-8.4983983219820605E-2</c:v>
                </c:pt>
                <c:pt idx="21">
                  <c:v>4.272241873313337E-3</c:v>
                </c:pt>
                <c:pt idx="22">
                  <c:v>7.0490713842085523E-2</c:v>
                </c:pt>
                <c:pt idx="23">
                  <c:v>9.5320221316485057E-2</c:v>
                </c:pt>
                <c:pt idx="24">
                  <c:v>0.11996806038938111</c:v>
                </c:pt>
              </c:numCache>
            </c:numRef>
          </c:val>
        </c:ser>
        <c:ser>
          <c:idx val="3"/>
          <c:order val="3"/>
          <c:tx>
            <c:strRef>
              <c:f>'Q1'!$E$336</c:f>
              <c:strCache>
                <c:ptCount val="1"/>
                <c:pt idx="0">
                  <c:v>Processed food (incl. Alcohol and tobacco)</c:v>
                </c:pt>
              </c:strCache>
            </c:strRef>
          </c:tx>
          <c:spPr>
            <a:solidFill>
              <a:srgbClr val="00FF00"/>
            </a:solidFill>
            <a:ln w="12700">
              <a:solidFill>
                <a:srgbClr val="000000"/>
              </a:solidFill>
              <a:prstDash val="solid"/>
            </a:ln>
          </c:spPr>
          <c:invertIfNegative val="0"/>
          <c:cat>
            <c:numRef>
              <c:f>InputQ!$G$2:$DB$2</c:f>
              <c:numCache>
                <c:formatCode>0</c:formatCode>
                <c:ptCount val="100"/>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6">
                  <c:v>2019</c:v>
                </c:pt>
              </c:numCache>
            </c:numRef>
          </c:cat>
          <c:val>
            <c:numRef>
              <c:f>'Q1'!$G$336:$DB$336</c:f>
              <c:numCache>
                <c:formatCode>0.00</c:formatCode>
                <c:ptCount val="25"/>
                <c:pt idx="0">
                  <c:v>0.36691798031524991</c:v>
                </c:pt>
                <c:pt idx="1">
                  <c:v>0.40845418326693039</c:v>
                </c:pt>
                <c:pt idx="2">
                  <c:v>0.50192663108149527</c:v>
                </c:pt>
                <c:pt idx="3">
                  <c:v>0.53575677321156923</c:v>
                </c:pt>
                <c:pt idx="4">
                  <c:v>0.44253248896823411</c:v>
                </c:pt>
                <c:pt idx="5">
                  <c:v>0.14845084077157181</c:v>
                </c:pt>
                <c:pt idx="6">
                  <c:v>-7.1398238324747759E-2</c:v>
                </c:pt>
                <c:pt idx="7">
                  <c:v>-0.24550749521230905</c:v>
                </c:pt>
                <c:pt idx="8">
                  <c:v>-0.21823609047383408</c:v>
                </c:pt>
                <c:pt idx="9">
                  <c:v>0.11330523101434316</c:v>
                </c:pt>
                <c:pt idx="10">
                  <c:v>0.44086338014075788</c:v>
                </c:pt>
                <c:pt idx="11">
                  <c:v>0.58078343246675379</c:v>
                </c:pt>
                <c:pt idx="12">
                  <c:v>0.72312414483564635</c:v>
                </c:pt>
                <c:pt idx="13">
                  <c:v>1.0788580153175726</c:v>
                </c:pt>
                <c:pt idx="14">
                  <c:v>1.5202323621635703</c:v>
                </c:pt>
                <c:pt idx="15">
                  <c:v>1.6660043236565774</c:v>
                </c:pt>
                <c:pt idx="16">
                  <c:v>1.6818372573050389</c:v>
                </c:pt>
                <c:pt idx="17">
                  <c:v>1.2237131424508214</c:v>
                </c:pt>
                <c:pt idx="18">
                  <c:v>0.76489316202357349</c:v>
                </c:pt>
                <c:pt idx="19">
                  <c:v>0.56629812265914514</c:v>
                </c:pt>
                <c:pt idx="20">
                  <c:v>0.48081681906568091</c:v>
                </c:pt>
                <c:pt idx="21">
                  <c:v>0.60818644523100351</c:v>
                </c:pt>
                <c:pt idx="22">
                  <c:v>0.64490092911566277</c:v>
                </c:pt>
                <c:pt idx="23">
                  <c:v>0.64490092911566277</c:v>
                </c:pt>
                <c:pt idx="24">
                  <c:v>0.64490092911566277</c:v>
                </c:pt>
              </c:numCache>
            </c:numRef>
          </c:val>
        </c:ser>
        <c:ser>
          <c:idx val="1"/>
          <c:order val="4"/>
          <c:tx>
            <c:strRef>
              <c:f>'Q1'!$E$334</c:f>
              <c:strCache>
                <c:ptCount val="1"/>
                <c:pt idx="0">
                  <c:v>Energy</c:v>
                </c:pt>
              </c:strCache>
            </c:strRef>
          </c:tx>
          <c:spPr>
            <a:solidFill>
              <a:srgbClr val="FFFF99"/>
            </a:solidFill>
            <a:ln w="12700">
              <a:solidFill>
                <a:srgbClr val="000000"/>
              </a:solidFill>
              <a:prstDash val="solid"/>
            </a:ln>
          </c:spPr>
          <c:invertIfNegative val="0"/>
          <c:cat>
            <c:numRef>
              <c:f>InputQ!$G$2:$DB$2</c:f>
              <c:numCache>
                <c:formatCode>0</c:formatCode>
                <c:ptCount val="100"/>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6">
                  <c:v>2019</c:v>
                </c:pt>
              </c:numCache>
            </c:numRef>
          </c:cat>
          <c:val>
            <c:numRef>
              <c:f>'Q1'!$G$334:$DB$334</c:f>
              <c:numCache>
                <c:formatCode>0.00</c:formatCode>
                <c:ptCount val="25"/>
                <c:pt idx="0">
                  <c:v>-0.35268596325474993</c:v>
                </c:pt>
                <c:pt idx="1">
                  <c:v>-0.35789821091232582</c:v>
                </c:pt>
                <c:pt idx="2">
                  <c:v>-0.43022797167282678</c:v>
                </c:pt>
                <c:pt idx="3">
                  <c:v>-0.6541164097760368</c:v>
                </c:pt>
                <c:pt idx="4">
                  <c:v>-0.82196200473514702</c:v>
                </c:pt>
                <c:pt idx="5">
                  <c:v>-1.9301544511569559</c:v>
                </c:pt>
                <c:pt idx="6">
                  <c:v>-1.2994409565647471</c:v>
                </c:pt>
                <c:pt idx="7">
                  <c:v>-1.4296183803403539</c:v>
                </c:pt>
                <c:pt idx="8">
                  <c:v>-1.7769612834872095</c:v>
                </c:pt>
                <c:pt idx="9">
                  <c:v>-0.94680971041445239</c:v>
                </c:pt>
                <c:pt idx="10">
                  <c:v>-1.2085872173437555</c:v>
                </c:pt>
                <c:pt idx="11">
                  <c:v>-1.0426724957611626</c:v>
                </c:pt>
                <c:pt idx="12">
                  <c:v>-0.14486778787562263</c:v>
                </c:pt>
                <c:pt idx="13">
                  <c:v>0.71741620626150981</c:v>
                </c:pt>
                <c:pt idx="14">
                  <c:v>0.47945044980466955</c:v>
                </c:pt>
                <c:pt idx="15">
                  <c:v>0.59661021956379012</c:v>
                </c:pt>
                <c:pt idx="16">
                  <c:v>0.46142180779806985</c:v>
                </c:pt>
                <c:pt idx="17">
                  <c:v>0.53783939661282476</c:v>
                </c:pt>
                <c:pt idx="18">
                  <c:v>0.70379340283456648</c:v>
                </c:pt>
                <c:pt idx="19">
                  <c:v>0.84620215989902769</c:v>
                </c:pt>
                <c:pt idx="20">
                  <c:v>0.5886899348776008</c:v>
                </c:pt>
                <c:pt idx="21">
                  <c:v>0.1298693429936284</c:v>
                </c:pt>
                <c:pt idx="22">
                  <c:v>0.14502390413891844</c:v>
                </c:pt>
                <c:pt idx="23">
                  <c:v>0.14502390413891844</c:v>
                </c:pt>
                <c:pt idx="24">
                  <c:v>0.14502390413891844</c:v>
                </c:pt>
              </c:numCache>
            </c:numRef>
          </c:val>
        </c:ser>
        <c:dLbls>
          <c:showLegendKey val="0"/>
          <c:showVal val="0"/>
          <c:showCatName val="0"/>
          <c:showSerName val="0"/>
          <c:showPercent val="0"/>
          <c:showBubbleSize val="0"/>
        </c:dLbls>
        <c:gapWidth val="10"/>
        <c:overlap val="100"/>
        <c:axId val="260892544"/>
        <c:axId val="260894080"/>
      </c:barChart>
      <c:catAx>
        <c:axId val="260892544"/>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60894080"/>
        <c:crosses val="autoZero"/>
        <c:auto val="1"/>
        <c:lblAlgn val="ctr"/>
        <c:lblOffset val="100"/>
        <c:tickLblSkip val="4"/>
        <c:tickMarkSkip val="4"/>
        <c:noMultiLvlLbl val="0"/>
      </c:catAx>
      <c:valAx>
        <c:axId val="260894080"/>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60892544"/>
        <c:crosses val="autoZero"/>
        <c:crossBetween val="between"/>
      </c:valAx>
      <c:spPr>
        <a:noFill/>
        <a:ln w="12700">
          <a:solidFill>
            <a:srgbClr val="808080"/>
          </a:solidFill>
          <a:prstDash val="solid"/>
        </a:ln>
      </c:spPr>
    </c:plotArea>
    <c:legend>
      <c:legendPos val="b"/>
      <c:layout>
        <c:manualLayout>
          <c:xMode val="edge"/>
          <c:yMode val="edge"/>
          <c:x val="0.6272321428571429"/>
          <c:y val="3.2679738562091505E-2"/>
          <c:w val="0.3448660714285714"/>
          <c:h val="0.24183075154821332"/>
        </c:manualLayout>
      </c:layout>
      <c:overlay val="0"/>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Wage &amp; salary earners and GDP (VOL)</a:t>
            </a:r>
          </a:p>
        </c:rich>
      </c:tx>
      <c:layout>
        <c:manualLayout>
          <c:xMode val="edge"/>
          <c:yMode val="edge"/>
          <c:x val="0.22544666291713536"/>
          <c:y val="3.3613445378151259E-2"/>
        </c:manualLayout>
      </c:layout>
      <c:overlay val="0"/>
      <c:spPr>
        <a:noFill/>
        <a:ln w="25400">
          <a:noFill/>
        </a:ln>
      </c:spPr>
    </c:title>
    <c:autoTitleDeleted val="0"/>
    <c:plotArea>
      <c:layout>
        <c:manualLayout>
          <c:layoutTarget val="inner"/>
          <c:xMode val="edge"/>
          <c:yMode val="edge"/>
          <c:x val="0.12500013623933653"/>
          <c:y val="0.17647107096647127"/>
          <c:w val="0.80803659497571123"/>
          <c:h val="0.56022562211578175"/>
        </c:manualLayout>
      </c:layout>
      <c:lineChart>
        <c:grouping val="standard"/>
        <c:varyColors val="0"/>
        <c:ser>
          <c:idx val="0"/>
          <c:order val="0"/>
          <c:tx>
            <c:strRef>
              <c:f>Labour1!$D$49:$E$49</c:f>
              <c:strCache>
                <c:ptCount val="1"/>
                <c:pt idx="0">
                  <c:v>Wage and salary earners (domestic)</c:v>
                </c:pt>
              </c:strCache>
            </c:strRef>
          </c:tx>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Labour1!$G$49:$U$49</c:f>
              <c:numCache>
                <c:formatCode>0.0</c:formatCode>
                <c:ptCount val="6"/>
                <c:pt idx="0">
                  <c:v>1.2393411365923646</c:v>
                </c:pt>
                <c:pt idx="1">
                  <c:v>2.4125904612433358</c:v>
                </c:pt>
                <c:pt idx="2">
                  <c:v>-9.1097167474052387E-2</c:v>
                </c:pt>
                <c:pt idx="3">
                  <c:v>5.1265445249254471</c:v>
                </c:pt>
                <c:pt idx="4" formatCode="0.00">
                  <c:v>2.1051181038535649</c:v>
                </c:pt>
                <c:pt idx="5" formatCode="0.00">
                  <c:v>-8.0102887355810957</c:v>
                </c:pt>
              </c:numCache>
            </c:numRef>
          </c:val>
          <c:smooth val="0"/>
        </c:ser>
        <c:ser>
          <c:idx val="1"/>
          <c:order val="1"/>
          <c:tx>
            <c:strRef>
              <c:f>'VVP2'!$E$131</c:f>
              <c:strCache>
                <c:ptCount val="1"/>
                <c:pt idx="0">
                  <c:v>Gross domestic product (B.1g - constant prices)</c:v>
                </c:pt>
              </c:strCache>
            </c:strRef>
          </c:tx>
          <c:spPr>
            <a:ln w="25400">
              <a:solidFill>
                <a:srgbClr val="0000FF"/>
              </a:solidFill>
              <a:prstDash val="solid"/>
            </a:ln>
          </c:spPr>
          <c:marker>
            <c:symbol val="circle"/>
            <c:size val="5"/>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'VVP2'!$G$131:$AA$131</c:f>
              <c:numCache>
                <c:formatCode>0.0</c:formatCode>
                <c:ptCount val="4"/>
                <c:pt idx="0">
                  <c:v>3.8269382239940919</c:v>
                </c:pt>
                <c:pt idx="1">
                  <c:v>3.498577230569011</c:v>
                </c:pt>
                <c:pt idx="2" formatCode="0.000">
                  <c:v>3.5375855747539431</c:v>
                </c:pt>
                <c:pt idx="3" formatCode="0.000">
                  <c:v>2.0346676424249033</c:v>
                </c:pt>
              </c:numCache>
            </c:numRef>
          </c:val>
          <c:smooth val="0"/>
        </c:ser>
        <c:dLbls>
          <c:showLegendKey val="0"/>
          <c:showVal val="0"/>
          <c:showCatName val="0"/>
          <c:showSerName val="0"/>
          <c:showPercent val="0"/>
          <c:showBubbleSize val="0"/>
        </c:dLbls>
        <c:marker val="1"/>
        <c:smooth val="0"/>
        <c:axId val="261589632"/>
        <c:axId val="262087424"/>
      </c:lineChart>
      <c:catAx>
        <c:axId val="261589632"/>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62087424"/>
        <c:crosses val="autoZero"/>
        <c:auto val="1"/>
        <c:lblAlgn val="ctr"/>
        <c:lblOffset val="100"/>
        <c:tickLblSkip val="2"/>
        <c:tickMarkSkip val="1"/>
        <c:noMultiLvlLbl val="0"/>
      </c:catAx>
      <c:valAx>
        <c:axId val="262087424"/>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61589632"/>
        <c:crosses val="autoZero"/>
        <c:crossBetween val="midCat"/>
      </c:valAx>
      <c:spPr>
        <a:noFill/>
        <a:ln w="12700">
          <a:solidFill>
            <a:srgbClr val="808080"/>
          </a:solidFill>
          <a:prstDash val="solid"/>
        </a:ln>
      </c:spPr>
    </c:plotArea>
    <c:legend>
      <c:legendPos val="b"/>
      <c:layout>
        <c:manualLayout>
          <c:xMode val="edge"/>
          <c:yMode val="edge"/>
          <c:x val="0.17410737720284963"/>
          <c:y val="0.85434408934177342"/>
          <c:w val="0.707589988751406"/>
          <c:h val="0.126050714248954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Self-employed and GDP (VOL)</a:t>
            </a:r>
          </a:p>
        </c:rich>
      </c:tx>
      <c:layout>
        <c:manualLayout>
          <c:xMode val="edge"/>
          <c:yMode val="edge"/>
          <c:x val="0.28348237720284963"/>
          <c:y val="3.3613445378151259E-2"/>
        </c:manualLayout>
      </c:layout>
      <c:overlay val="0"/>
      <c:spPr>
        <a:noFill/>
        <a:ln w="25400">
          <a:noFill/>
        </a:ln>
      </c:spPr>
    </c:title>
    <c:autoTitleDeleted val="0"/>
    <c:plotArea>
      <c:layout>
        <c:manualLayout>
          <c:layoutTarget val="inner"/>
          <c:xMode val="edge"/>
          <c:yMode val="edge"/>
          <c:x val="0.12500013623933653"/>
          <c:y val="0.17647107096647127"/>
          <c:w val="0.80803659497571123"/>
          <c:h val="0.56022562211578175"/>
        </c:manualLayout>
      </c:layout>
      <c:lineChart>
        <c:grouping val="standard"/>
        <c:varyColors val="0"/>
        <c:ser>
          <c:idx val="0"/>
          <c:order val="0"/>
          <c:tx>
            <c:strRef>
              <c:f>Labour1!$D$50:$E$50</c:f>
              <c:strCache>
                <c:ptCount val="1"/>
                <c:pt idx="0">
                  <c:v>Self employed</c:v>
                </c:pt>
              </c:strCache>
            </c:strRef>
          </c:tx>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Labour1!$G$50:$U$50</c:f>
              <c:numCache>
                <c:formatCode>0.0</c:formatCode>
                <c:ptCount val="6"/>
                <c:pt idx="0">
                  <c:v>-10.124637186272945</c:v>
                </c:pt>
                <c:pt idx="1">
                  <c:v>-6.4779635258357722</c:v>
                </c:pt>
                <c:pt idx="2">
                  <c:v>-1.3772090188909569</c:v>
                </c:pt>
                <c:pt idx="3">
                  <c:v>-12.885154061624638</c:v>
                </c:pt>
                <c:pt idx="4">
                  <c:v>-21.288065065254493</c:v>
                </c:pt>
                <c:pt idx="5">
                  <c:v>-5.2144659377627356</c:v>
                </c:pt>
              </c:numCache>
            </c:numRef>
          </c:val>
          <c:smooth val="0"/>
        </c:ser>
        <c:ser>
          <c:idx val="1"/>
          <c:order val="1"/>
          <c:tx>
            <c:strRef>
              <c:f>'VVP2'!$D$131:$E$131</c:f>
              <c:strCache>
                <c:ptCount val="1"/>
                <c:pt idx="0">
                  <c:v>  Gross domestic product (B.1g - constant prices)</c:v>
                </c:pt>
              </c:strCache>
            </c:strRef>
          </c:tx>
          <c:spPr>
            <a:ln w="25400">
              <a:solidFill>
                <a:srgbClr val="0000FF"/>
              </a:solidFill>
              <a:prstDash val="solid"/>
            </a:ln>
          </c:spPr>
          <c:marker>
            <c:symbol val="circle"/>
            <c:size val="5"/>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'VVP2'!$G$131:$AA$131</c:f>
              <c:numCache>
                <c:formatCode>0.0</c:formatCode>
                <c:ptCount val="4"/>
                <c:pt idx="0">
                  <c:v>3.8269382239940919</c:v>
                </c:pt>
                <c:pt idx="1">
                  <c:v>3.498577230569011</c:v>
                </c:pt>
                <c:pt idx="2" formatCode="0.000">
                  <c:v>3.5375855747539431</c:v>
                </c:pt>
                <c:pt idx="3" formatCode="0.000">
                  <c:v>2.0346676424249033</c:v>
                </c:pt>
              </c:numCache>
            </c:numRef>
          </c:val>
          <c:smooth val="0"/>
        </c:ser>
        <c:dLbls>
          <c:showLegendKey val="0"/>
          <c:showVal val="0"/>
          <c:showCatName val="0"/>
          <c:showSerName val="0"/>
          <c:showPercent val="0"/>
          <c:showBubbleSize val="0"/>
        </c:dLbls>
        <c:marker val="1"/>
        <c:smooth val="0"/>
        <c:axId val="262136576"/>
        <c:axId val="262138496"/>
      </c:lineChart>
      <c:catAx>
        <c:axId val="262136576"/>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62138496"/>
        <c:crosses val="autoZero"/>
        <c:auto val="1"/>
        <c:lblAlgn val="ctr"/>
        <c:lblOffset val="100"/>
        <c:tickLblSkip val="2"/>
        <c:tickMarkSkip val="1"/>
        <c:noMultiLvlLbl val="0"/>
      </c:catAx>
      <c:valAx>
        <c:axId val="262138496"/>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62136576"/>
        <c:crosses val="autoZero"/>
        <c:crossBetween val="midCat"/>
      </c:valAx>
      <c:spPr>
        <a:noFill/>
        <a:ln w="12700">
          <a:solidFill>
            <a:srgbClr val="808080"/>
          </a:solidFill>
          <a:prstDash val="solid"/>
        </a:ln>
      </c:spPr>
    </c:plotArea>
    <c:legend>
      <c:legendPos val="b"/>
      <c:layout>
        <c:manualLayout>
          <c:xMode val="edge"/>
          <c:yMode val="edge"/>
          <c:x val="0.16517880577427821"/>
          <c:y val="0.85434408934177342"/>
          <c:w val="0.7254471316085489"/>
          <c:h val="0.126050714248954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Labour force and total employment 
(changes in 1000 persons)</a:t>
            </a:r>
          </a:p>
        </c:rich>
      </c:tx>
      <c:layout>
        <c:manualLayout>
          <c:xMode val="edge"/>
          <c:yMode val="edge"/>
          <c:x val="0.24553594863142106"/>
          <c:y val="3.3613445378151259E-2"/>
        </c:manualLayout>
      </c:layout>
      <c:overlay val="0"/>
      <c:spPr>
        <a:noFill/>
        <a:ln w="25400">
          <a:noFill/>
        </a:ln>
      </c:spPr>
    </c:title>
    <c:autoTitleDeleted val="0"/>
    <c:plotArea>
      <c:layout>
        <c:manualLayout>
          <c:layoutTarget val="inner"/>
          <c:xMode val="edge"/>
          <c:yMode val="edge"/>
          <c:x val="0.11607155507938394"/>
          <c:y val="0.17647107096647127"/>
          <c:w val="0.81696517613566388"/>
          <c:h val="0.61904931243793893"/>
        </c:manualLayout>
      </c:layout>
      <c:lineChart>
        <c:grouping val="standard"/>
        <c:varyColors val="0"/>
        <c:ser>
          <c:idx val="0"/>
          <c:order val="0"/>
          <c:tx>
            <c:strRef>
              <c:f>Labour1!$D$24:$E$24</c:f>
              <c:strCache>
                <c:ptCount val="1"/>
                <c:pt idx="0">
                  <c:v>Total labour force</c:v>
                </c:pt>
              </c:strCache>
            </c:strRef>
          </c:tx>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Labour1!$G$24:$U$24</c:f>
              <c:numCache>
                <c:formatCode>0</c:formatCode>
                <c:ptCount val="6"/>
                <c:pt idx="0">
                  <c:v>-48.650000000000091</c:v>
                </c:pt>
                <c:pt idx="1">
                  <c:v>-30.579999999999927</c:v>
                </c:pt>
                <c:pt idx="2">
                  <c:v>-48.509999999999991</c:v>
                </c:pt>
                <c:pt idx="3">
                  <c:v>-1</c:v>
                </c:pt>
                <c:pt idx="4" formatCode="0.0">
                  <c:v>-1.2200000000000273</c:v>
                </c:pt>
                <c:pt idx="5" formatCode="0.0">
                  <c:v>12.299999999999955</c:v>
                </c:pt>
              </c:numCache>
            </c:numRef>
          </c:val>
          <c:smooth val="0"/>
        </c:ser>
        <c:ser>
          <c:idx val="1"/>
          <c:order val="1"/>
          <c:tx>
            <c:strRef>
              <c:f>Labour1!$D$64:$E$64</c:f>
              <c:strCache>
                <c:ptCount val="1"/>
                <c:pt idx="0">
                  <c:v>Total employment (national)</c:v>
                </c:pt>
              </c:strCache>
            </c:strRef>
          </c:tx>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Labour1!$G$64:$U$64</c:f>
              <c:numCache>
                <c:formatCode>0</c:formatCode>
                <c:ptCount val="6"/>
                <c:pt idx="0">
                  <c:v>-17.650000000000091</c:v>
                </c:pt>
                <c:pt idx="1">
                  <c:v>12.420000000000073</c:v>
                </c:pt>
                <c:pt idx="2">
                  <c:v>-6.5099999999999909</c:v>
                </c:pt>
                <c:pt idx="3">
                  <c:v>23</c:v>
                </c:pt>
                <c:pt idx="4">
                  <c:v>-25.220000000000027</c:v>
                </c:pt>
                <c:pt idx="5">
                  <c:v>-110.70000000000005</c:v>
                </c:pt>
              </c:numCache>
            </c:numRef>
          </c:val>
          <c:smooth val="0"/>
        </c:ser>
        <c:dLbls>
          <c:showLegendKey val="0"/>
          <c:showVal val="0"/>
          <c:showCatName val="0"/>
          <c:showSerName val="0"/>
          <c:showPercent val="0"/>
          <c:showBubbleSize val="0"/>
        </c:dLbls>
        <c:marker val="1"/>
        <c:smooth val="0"/>
        <c:axId val="262421888"/>
        <c:axId val="262452352"/>
      </c:lineChart>
      <c:catAx>
        <c:axId val="262421888"/>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62452352"/>
        <c:crosses val="autoZero"/>
        <c:auto val="1"/>
        <c:lblAlgn val="ctr"/>
        <c:lblOffset val="100"/>
        <c:tickLblSkip val="2"/>
        <c:tickMarkSkip val="1"/>
        <c:noMultiLvlLbl val="0"/>
      </c:catAx>
      <c:valAx>
        <c:axId val="262452352"/>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62421888"/>
        <c:crosses val="autoZero"/>
        <c:crossBetween val="midCat"/>
      </c:valAx>
      <c:spPr>
        <a:noFill/>
        <a:ln w="12700">
          <a:solidFill>
            <a:srgbClr val="808080"/>
          </a:solidFill>
          <a:prstDash val="solid"/>
        </a:ln>
      </c:spPr>
    </c:plotArea>
    <c:legend>
      <c:legendPos val="b"/>
      <c:layout>
        <c:manualLayout>
          <c:xMode val="edge"/>
          <c:yMode val="edge"/>
          <c:x val="0.14732166291713536"/>
          <c:y val="0.91316761875353814"/>
          <c:w val="0.75446522309711284"/>
          <c:h val="6.722718483718948E-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Unemployed (changes in 1000 persons)</a:t>
            </a:r>
          </a:p>
        </c:rich>
      </c:tx>
      <c:layout>
        <c:manualLayout>
          <c:xMode val="edge"/>
          <c:yMode val="edge"/>
          <c:x val="0.22098237720284963"/>
          <c:y val="3.3613445378151259E-2"/>
        </c:manualLayout>
      </c:layout>
      <c:overlay val="0"/>
      <c:spPr>
        <a:noFill/>
        <a:ln w="25400">
          <a:noFill/>
        </a:ln>
      </c:spPr>
    </c:title>
    <c:autoTitleDeleted val="0"/>
    <c:plotArea>
      <c:layout>
        <c:manualLayout>
          <c:layoutTarget val="inner"/>
          <c:xMode val="edge"/>
          <c:yMode val="edge"/>
          <c:x val="0.11607155507938394"/>
          <c:y val="0.17647107096647127"/>
          <c:w val="0.81696517613566388"/>
          <c:h val="0.61904931243793893"/>
        </c:manualLayout>
      </c:layout>
      <c:lineChart>
        <c:grouping val="standard"/>
        <c:varyColors val="0"/>
        <c:ser>
          <c:idx val="0"/>
          <c:order val="0"/>
          <c:tx>
            <c:strRef>
              <c:f>Labour1!$D$65:$E$65</c:f>
              <c:strCache>
                <c:ptCount val="1"/>
                <c:pt idx="0">
                  <c:v>Registered unemployment</c:v>
                </c:pt>
              </c:strCache>
            </c:strRef>
          </c:tx>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Labour1!$G$65:$U$65</c:f>
              <c:numCache>
                <c:formatCode>0</c:formatCode>
                <c:ptCount val="6"/>
                <c:pt idx="0">
                  <c:v>-31</c:v>
                </c:pt>
                <c:pt idx="1">
                  <c:v>-43</c:v>
                </c:pt>
                <c:pt idx="2">
                  <c:v>-42</c:v>
                </c:pt>
                <c:pt idx="3">
                  <c:v>-24</c:v>
                </c:pt>
                <c:pt idx="4">
                  <c:v>24</c:v>
                </c:pt>
                <c:pt idx="5">
                  <c:v>123</c:v>
                </c:pt>
              </c:numCache>
            </c:numRef>
          </c:val>
          <c:smooth val="0"/>
        </c:ser>
        <c:dLbls>
          <c:showLegendKey val="0"/>
          <c:showVal val="0"/>
          <c:showCatName val="0"/>
          <c:showSerName val="0"/>
          <c:showPercent val="0"/>
          <c:showBubbleSize val="0"/>
        </c:dLbls>
        <c:marker val="1"/>
        <c:smooth val="0"/>
        <c:axId val="262468736"/>
        <c:axId val="262470272"/>
      </c:lineChart>
      <c:catAx>
        <c:axId val="262468736"/>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62470272"/>
        <c:crosses val="autoZero"/>
        <c:auto val="1"/>
        <c:lblAlgn val="ctr"/>
        <c:lblOffset val="100"/>
        <c:tickLblSkip val="2"/>
        <c:tickMarkSkip val="1"/>
        <c:noMultiLvlLbl val="0"/>
      </c:catAx>
      <c:valAx>
        <c:axId val="262470272"/>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62468736"/>
        <c:crosses val="autoZero"/>
        <c:crossBetween val="midCat"/>
      </c:valAx>
      <c:spPr>
        <a:noFill/>
        <a:ln w="12700">
          <a:solidFill>
            <a:srgbClr val="808080"/>
          </a:solidFill>
          <a:prstDash val="solid"/>
        </a:ln>
      </c:spPr>
    </c:plotArea>
    <c:legend>
      <c:legendPos val="b"/>
      <c:layout>
        <c:manualLayout>
          <c:xMode val="edge"/>
          <c:yMode val="edge"/>
          <c:x val="0.30803594863142109"/>
          <c:y val="0.91316761875353814"/>
          <c:w val="0.43080404011998502"/>
          <c:h val="6.722718483718948E-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Average hours worked</a:t>
            </a:r>
          </a:p>
        </c:rich>
      </c:tx>
      <c:layout>
        <c:manualLayout>
          <c:xMode val="edge"/>
          <c:yMode val="edge"/>
          <c:x val="0.33705404011998497"/>
          <c:y val="3.3613445378151259E-2"/>
        </c:manualLayout>
      </c:layout>
      <c:overlay val="0"/>
      <c:spPr>
        <a:noFill/>
        <a:ln w="25400">
          <a:noFill/>
        </a:ln>
      </c:spPr>
    </c:title>
    <c:autoTitleDeleted val="0"/>
    <c:plotArea>
      <c:layout>
        <c:manualLayout>
          <c:layoutTarget val="inner"/>
          <c:xMode val="edge"/>
          <c:yMode val="edge"/>
          <c:x val="0.10937511920941947"/>
          <c:y val="0.17647107096647127"/>
          <c:w val="0.82366161200562837"/>
          <c:h val="0.61904931243793893"/>
        </c:manualLayout>
      </c:layout>
      <c:lineChart>
        <c:grouping val="standard"/>
        <c:varyColors val="0"/>
        <c:ser>
          <c:idx val="0"/>
          <c:order val="0"/>
          <c:tx>
            <c:strRef>
              <c:f>Labour1!$E$93</c:f>
              <c:strCache>
                <c:ptCount val="1"/>
                <c:pt idx="0">
                  <c:v>Avg. ann. hours worked / person</c:v>
                </c:pt>
              </c:strCache>
            </c:strRef>
          </c:tx>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Labour1!$G$93:$U$93</c:f>
              <c:numCache>
                <c:formatCode>0.00</c:formatCode>
                <c:ptCount val="6"/>
                <c:pt idx="0">
                  <c:v>5.1889990553889431</c:v>
                </c:pt>
                <c:pt idx="1">
                  <c:v>2.2136976930031693E-2</c:v>
                </c:pt>
                <c:pt idx="2">
                  <c:v>-0.25341560346412439</c:v>
                </c:pt>
                <c:pt idx="3">
                  <c:v>1.576457931836539</c:v>
                </c:pt>
                <c:pt idx="4">
                  <c:v>1.5661019265520437</c:v>
                </c:pt>
                <c:pt idx="5">
                  <c:v>-3.6527018749196727</c:v>
                </c:pt>
              </c:numCache>
            </c:numRef>
          </c:val>
          <c:smooth val="0"/>
        </c:ser>
        <c:dLbls>
          <c:showLegendKey val="0"/>
          <c:showVal val="0"/>
          <c:showCatName val="0"/>
          <c:showSerName val="0"/>
          <c:showPercent val="0"/>
          <c:showBubbleSize val="0"/>
        </c:dLbls>
        <c:marker val="1"/>
        <c:smooth val="0"/>
        <c:axId val="262523520"/>
        <c:axId val="262525312"/>
      </c:lineChart>
      <c:catAx>
        <c:axId val="262523520"/>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62525312"/>
        <c:crosses val="autoZero"/>
        <c:auto val="1"/>
        <c:lblAlgn val="ctr"/>
        <c:lblOffset val="100"/>
        <c:tickLblSkip val="2"/>
        <c:tickMarkSkip val="1"/>
        <c:noMultiLvlLbl val="0"/>
      </c:catAx>
      <c:valAx>
        <c:axId val="262525312"/>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62523520"/>
        <c:crosses val="autoZero"/>
        <c:crossBetween val="midCat"/>
      </c:valAx>
      <c:spPr>
        <a:noFill/>
        <a:ln w="12700">
          <a:solidFill>
            <a:srgbClr val="808080"/>
          </a:solidFill>
          <a:prstDash val="solid"/>
        </a:ln>
      </c:spPr>
    </c:plotArea>
    <c:legend>
      <c:legendPos val="b"/>
      <c:layout>
        <c:manualLayout>
          <c:xMode val="edge"/>
          <c:yMode val="edge"/>
          <c:x val="0.26785737720284963"/>
          <c:y val="0.91316761875353814"/>
          <c:w val="0.50669689726284217"/>
          <c:h val="6.722718483718948E-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Employment - Total and FTE</a:t>
            </a:r>
          </a:p>
        </c:rich>
      </c:tx>
      <c:layout>
        <c:manualLayout>
          <c:xMode val="edge"/>
          <c:yMode val="edge"/>
          <c:x val="0.29687523434570678"/>
          <c:y val="3.3613445378151259E-2"/>
        </c:manualLayout>
      </c:layout>
      <c:overlay val="0"/>
      <c:spPr>
        <a:noFill/>
        <a:ln w="25400">
          <a:noFill/>
        </a:ln>
      </c:spPr>
    </c:title>
    <c:autoTitleDeleted val="0"/>
    <c:plotArea>
      <c:layout>
        <c:manualLayout>
          <c:layoutTarget val="inner"/>
          <c:xMode val="edge"/>
          <c:yMode val="edge"/>
          <c:x val="0.12500013623933653"/>
          <c:y val="0.17647107096647127"/>
          <c:w val="0.80803659497571123"/>
          <c:h val="0.61904931243793893"/>
        </c:manualLayout>
      </c:layout>
      <c:lineChart>
        <c:grouping val="standard"/>
        <c:varyColors val="0"/>
        <c:ser>
          <c:idx val="1"/>
          <c:order val="0"/>
          <c:tx>
            <c:strRef>
              <c:f>Labour1!$D$49:$E$49</c:f>
              <c:strCache>
                <c:ptCount val="1"/>
                <c:pt idx="0">
                  <c:v>Wage and salary earners (domestic)</c:v>
                </c:pt>
              </c:strCache>
            </c:strRef>
          </c:tx>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Labour1!$G$49:$U$49</c:f>
              <c:numCache>
                <c:formatCode>0.0</c:formatCode>
                <c:ptCount val="6"/>
                <c:pt idx="0">
                  <c:v>1.2393411365923646</c:v>
                </c:pt>
                <c:pt idx="1">
                  <c:v>2.4125904612433358</c:v>
                </c:pt>
                <c:pt idx="2">
                  <c:v>-9.1097167474052387E-2</c:v>
                </c:pt>
                <c:pt idx="3">
                  <c:v>5.1265445249254471</c:v>
                </c:pt>
                <c:pt idx="4" formatCode="0.00">
                  <c:v>2.1051181038535649</c:v>
                </c:pt>
                <c:pt idx="5" formatCode="0.00">
                  <c:v>-8.0102887355810957</c:v>
                </c:pt>
              </c:numCache>
            </c:numRef>
          </c:val>
          <c:smooth val="0"/>
        </c:ser>
        <c:dLbls>
          <c:showLegendKey val="0"/>
          <c:showVal val="0"/>
          <c:showCatName val="0"/>
          <c:showSerName val="0"/>
          <c:showPercent val="0"/>
          <c:showBubbleSize val="0"/>
        </c:dLbls>
        <c:marker val="1"/>
        <c:smooth val="0"/>
        <c:axId val="262627712"/>
        <c:axId val="262629248"/>
      </c:lineChart>
      <c:catAx>
        <c:axId val="262627712"/>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62629248"/>
        <c:crosses val="autoZero"/>
        <c:auto val="1"/>
        <c:lblAlgn val="ctr"/>
        <c:lblOffset val="100"/>
        <c:tickLblSkip val="2"/>
        <c:tickMarkSkip val="1"/>
        <c:noMultiLvlLbl val="0"/>
      </c:catAx>
      <c:valAx>
        <c:axId val="262629248"/>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62627712"/>
        <c:crosses val="autoZero"/>
        <c:crossBetween val="midCat"/>
      </c:valAx>
      <c:spPr>
        <a:noFill/>
        <a:ln w="12700">
          <a:solidFill>
            <a:srgbClr val="808080"/>
          </a:solidFill>
          <a:prstDash val="solid"/>
        </a:ln>
      </c:spPr>
    </c:plotArea>
    <c:legend>
      <c:legendPos val="b"/>
      <c:layout>
        <c:manualLayout>
          <c:xMode val="edge"/>
          <c:yMode val="edge"/>
          <c:x val="0.24776809148856391"/>
          <c:y val="0.91316761875353814"/>
          <c:w val="0.56026856017997739"/>
          <c:h val="6.722718483718948E-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Wages &amp; salaries / employee (domestic)</a:t>
            </a:r>
          </a:p>
        </c:rich>
      </c:tx>
      <c:layout>
        <c:manualLayout>
          <c:xMode val="edge"/>
          <c:yMode val="edge"/>
          <c:x val="0.21428594863142106"/>
          <c:y val="3.3613445378151259E-2"/>
        </c:manualLayout>
      </c:layout>
      <c:overlay val="0"/>
      <c:spPr>
        <a:noFill/>
        <a:ln w="25400">
          <a:noFill/>
        </a:ln>
      </c:spPr>
    </c:title>
    <c:autoTitleDeleted val="0"/>
    <c:plotArea>
      <c:layout>
        <c:manualLayout>
          <c:layoutTarget val="inner"/>
          <c:xMode val="edge"/>
          <c:yMode val="edge"/>
          <c:x val="0.12500013623933653"/>
          <c:y val="0.17647107096647127"/>
          <c:w val="0.80803659497571123"/>
          <c:h val="0.61904931243793893"/>
        </c:manualLayout>
      </c:layout>
      <c:lineChart>
        <c:grouping val="standard"/>
        <c:varyColors val="0"/>
        <c:ser>
          <c:idx val="0"/>
          <c:order val="0"/>
          <c:tx>
            <c:strRef>
              <c:f>Labour1!$D$121:$E$121</c:f>
              <c:strCache>
                <c:ptCount val="1"/>
                <c:pt idx="0">
                  <c:v>Wages &amp; salaries / employee (domestic)</c:v>
                </c:pt>
              </c:strCache>
            </c:strRef>
          </c:tx>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Labour1!$G$121:$U$121</c:f>
              <c:numCache>
                <c:formatCode>0.0</c:formatCode>
                <c:ptCount val="6"/>
                <c:pt idx="0">
                  <c:v>11.46522370570322</c:v>
                </c:pt>
                <c:pt idx="1">
                  <c:v>13.10176929477176</c:v>
                </c:pt>
                <c:pt idx="2">
                  <c:v>20.488628088127637</c:v>
                </c:pt>
                <c:pt idx="3">
                  <c:v>13.016112294863103</c:v>
                </c:pt>
                <c:pt idx="4" formatCode="0.00">
                  <c:v>13.383021046914179</c:v>
                </c:pt>
                <c:pt idx="5" formatCode="0.00">
                  <c:v>-9.4425470396757856</c:v>
                </c:pt>
              </c:numCache>
            </c:numRef>
          </c:val>
          <c:smooth val="0"/>
        </c:ser>
        <c:ser>
          <c:idx val="1"/>
          <c:order val="1"/>
          <c:tx>
            <c:strRef>
              <c:f>'VVP2'!$F$367</c:f>
              <c:strCache>
                <c:ptCount val="1"/>
                <c:pt idx="0">
                  <c:v>CPI</c:v>
                </c:pt>
              </c:strCache>
            </c:strRef>
          </c:tx>
          <c:spPr>
            <a:ln w="25400">
              <a:solidFill>
                <a:srgbClr val="0000FF"/>
              </a:solidFill>
              <a:prstDash val="solid"/>
            </a:ln>
          </c:spPr>
          <c:marker>
            <c:symbol val="square"/>
            <c:size val="7"/>
            <c:spPr>
              <a:solidFill>
                <a:srgbClr val="FFFFFF"/>
              </a:solidFill>
              <a:ln>
                <a:solidFill>
                  <a:srgbClr val="0000FF"/>
                </a:solidFill>
                <a:prstDash val="solid"/>
              </a:ln>
            </c:spPr>
          </c:marker>
          <c:val>
            <c:numRef>
              <c:f>'VVP2'!$G$367:$AA$367</c:f>
              <c:numCache>
                <c:formatCode>0.0</c:formatCode>
                <c:ptCount val="4"/>
                <c:pt idx="0">
                  <c:v>3.1000000000005024</c:v>
                </c:pt>
                <c:pt idx="1">
                  <c:v>0.99999999999949019</c:v>
                </c:pt>
                <c:pt idx="2">
                  <c:v>0.10378991446344799</c:v>
                </c:pt>
                <c:pt idx="3">
                  <c:v>-0.8841084346517758</c:v>
                </c:pt>
              </c:numCache>
            </c:numRef>
          </c:val>
          <c:smooth val="0"/>
        </c:ser>
        <c:dLbls>
          <c:showLegendKey val="0"/>
          <c:showVal val="0"/>
          <c:showCatName val="0"/>
          <c:showSerName val="0"/>
          <c:showPercent val="0"/>
          <c:showBubbleSize val="0"/>
        </c:dLbls>
        <c:marker val="1"/>
        <c:smooth val="0"/>
        <c:axId val="262650112"/>
        <c:axId val="262664576"/>
      </c:lineChart>
      <c:catAx>
        <c:axId val="262650112"/>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62664576"/>
        <c:crosses val="autoZero"/>
        <c:auto val="1"/>
        <c:lblAlgn val="ctr"/>
        <c:lblOffset val="100"/>
        <c:tickLblSkip val="2"/>
        <c:tickMarkSkip val="1"/>
        <c:noMultiLvlLbl val="0"/>
      </c:catAx>
      <c:valAx>
        <c:axId val="262664576"/>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62650112"/>
        <c:crosses val="autoZero"/>
        <c:crossBetween val="midCat"/>
      </c:valAx>
      <c:spPr>
        <a:noFill/>
        <a:ln w="12700">
          <a:solidFill>
            <a:srgbClr val="808080"/>
          </a:solidFill>
          <a:prstDash val="solid"/>
        </a:ln>
      </c:spPr>
    </c:plotArea>
    <c:legend>
      <c:legendPos val="b"/>
      <c:layout>
        <c:manualLayout>
          <c:xMode val="edge"/>
          <c:yMode val="edge"/>
          <c:x val="0.15401809148856391"/>
          <c:y val="0.91316761875353814"/>
          <c:w val="0.7500007030371203"/>
          <c:h val="6.722718483718948E-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Total compensation / employee and its components</a:t>
            </a:r>
          </a:p>
        </c:rich>
      </c:tx>
      <c:layout>
        <c:manualLayout>
          <c:xMode val="edge"/>
          <c:yMode val="edge"/>
          <c:x val="0.13169666291713536"/>
          <c:y val="3.3613445378151259E-2"/>
        </c:manualLayout>
      </c:layout>
      <c:overlay val="0"/>
      <c:spPr>
        <a:noFill/>
        <a:ln w="25400">
          <a:noFill/>
        </a:ln>
      </c:spPr>
    </c:title>
    <c:autoTitleDeleted val="0"/>
    <c:plotArea>
      <c:layout>
        <c:manualLayout>
          <c:layoutTarget val="inner"/>
          <c:xMode val="edge"/>
          <c:yMode val="edge"/>
          <c:x val="0.12500013623933653"/>
          <c:y val="0.17647107096647127"/>
          <c:w val="0.80803659497571123"/>
          <c:h val="0.52941321289941379"/>
        </c:manualLayout>
      </c:layout>
      <c:lineChart>
        <c:grouping val="standard"/>
        <c:varyColors val="0"/>
        <c:ser>
          <c:idx val="1"/>
          <c:order val="0"/>
          <c:tx>
            <c:strRef>
              <c:f>Labour1!$D$152:$E$152</c:f>
              <c:strCache>
                <c:ptCount val="1"/>
                <c:pt idx="0">
                  <c:v>Employer's social contr. / employee (domestic)</c:v>
                </c:pt>
              </c:strCache>
            </c:strRef>
          </c:tx>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Labour1!$G$152:$U$152</c:f>
              <c:numCache>
                <c:formatCode>0.0</c:formatCode>
                <c:ptCount val="6"/>
                <c:pt idx="0">
                  <c:v>14.51585054493969</c:v>
                </c:pt>
                <c:pt idx="1">
                  <c:v>16.587431181780566</c:v>
                </c:pt>
                <c:pt idx="2">
                  <c:v>21.680653984147781</c:v>
                </c:pt>
                <c:pt idx="3">
                  <c:v>18.139841197243854</c:v>
                </c:pt>
                <c:pt idx="4">
                  <c:v>16.524812882128593</c:v>
                </c:pt>
                <c:pt idx="5" formatCode="0.00">
                  <c:v>-8.7571369216577821</c:v>
                </c:pt>
              </c:numCache>
            </c:numRef>
          </c:val>
          <c:smooth val="0"/>
        </c:ser>
        <c:ser>
          <c:idx val="0"/>
          <c:order val="1"/>
          <c:tx>
            <c:strRef>
              <c:f>Labour1!$D$121:$E$121</c:f>
              <c:strCache>
                <c:ptCount val="1"/>
                <c:pt idx="0">
                  <c:v>Wages &amp; salaries / employee (domestic)</c:v>
                </c:pt>
              </c:strCache>
            </c:strRef>
          </c:tx>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Labour1!$G$121:$U$121</c:f>
              <c:numCache>
                <c:formatCode>0.0</c:formatCode>
                <c:ptCount val="6"/>
                <c:pt idx="0">
                  <c:v>11.46522370570322</c:v>
                </c:pt>
                <c:pt idx="1">
                  <c:v>13.10176929477176</c:v>
                </c:pt>
                <c:pt idx="2">
                  <c:v>20.488628088127637</c:v>
                </c:pt>
                <c:pt idx="3">
                  <c:v>13.016112294863103</c:v>
                </c:pt>
                <c:pt idx="4" formatCode="0.00">
                  <c:v>13.383021046914179</c:v>
                </c:pt>
                <c:pt idx="5" formatCode="0.00">
                  <c:v>-9.4425470396757856</c:v>
                </c:pt>
              </c:numCache>
            </c:numRef>
          </c:val>
          <c:smooth val="0"/>
        </c:ser>
        <c:ser>
          <c:idx val="2"/>
          <c:order val="2"/>
          <c:tx>
            <c:strRef>
              <c:f>Labour1!$D$197:$E$197</c:f>
              <c:strCache>
                <c:ptCount val="1"/>
                <c:pt idx="0">
                  <c:v>Total compensation / employee (domestic)</c:v>
                </c:pt>
              </c:strCache>
            </c:strRef>
          </c:tx>
          <c:val>
            <c:numRef>
              <c:f>Labour1!$G$197:$U$197</c:f>
              <c:numCache>
                <c:formatCode>0.0</c:formatCode>
                <c:ptCount val="6"/>
                <c:pt idx="0">
                  <c:v>12.068248959633454</c:v>
                </c:pt>
                <c:pt idx="1">
                  <c:v>13.805837427687461</c:v>
                </c:pt>
                <c:pt idx="2">
                  <c:v>20.73529012591646</c:v>
                </c:pt>
                <c:pt idx="3">
                  <c:v>14.084650544838562</c:v>
                </c:pt>
                <c:pt idx="4" formatCode="0.00">
                  <c:v>14.061522063972355</c:v>
                </c:pt>
                <c:pt idx="5" formatCode="0.00">
                  <c:v>-9.2913292593047263</c:v>
                </c:pt>
              </c:numCache>
            </c:numRef>
          </c:val>
          <c:smooth val="0"/>
        </c:ser>
        <c:dLbls>
          <c:showLegendKey val="0"/>
          <c:showVal val="0"/>
          <c:showCatName val="0"/>
          <c:showSerName val="0"/>
          <c:showPercent val="0"/>
          <c:showBubbleSize val="0"/>
        </c:dLbls>
        <c:marker val="1"/>
        <c:smooth val="0"/>
        <c:axId val="267241344"/>
        <c:axId val="267242880"/>
      </c:lineChart>
      <c:catAx>
        <c:axId val="267241344"/>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67242880"/>
        <c:crosses val="autoZero"/>
        <c:auto val="1"/>
        <c:lblAlgn val="ctr"/>
        <c:lblOffset val="100"/>
        <c:tickLblSkip val="2"/>
        <c:tickMarkSkip val="1"/>
        <c:noMultiLvlLbl val="0"/>
      </c:catAx>
      <c:valAx>
        <c:axId val="267242880"/>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67241344"/>
        <c:crosses val="autoZero"/>
        <c:crossBetween val="midCat"/>
      </c:valAx>
      <c:spPr>
        <a:noFill/>
        <a:ln w="12700">
          <a:solidFill>
            <a:srgbClr val="808080"/>
          </a:solidFill>
          <a:prstDash val="solid"/>
        </a:ln>
      </c:spPr>
    </c:plotArea>
    <c:legend>
      <c:legendPos val="b"/>
      <c:layout>
        <c:manualLayout>
          <c:xMode val="edge"/>
          <c:yMode val="edge"/>
          <c:x val="0.18303594863142106"/>
          <c:y val="0.79552026584912183"/>
          <c:w val="0.69196498875140611"/>
          <c:h val="0.18487453774160578"/>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Compensation of employees as % of GDP</a:t>
            </a:r>
          </a:p>
        </c:rich>
      </c:tx>
      <c:layout>
        <c:manualLayout>
          <c:xMode val="edge"/>
          <c:yMode val="edge"/>
          <c:x val="0.20535737720284963"/>
          <c:y val="3.3613445378151259E-2"/>
        </c:manualLayout>
      </c:layout>
      <c:overlay val="0"/>
      <c:spPr>
        <a:noFill/>
        <a:ln w="25400">
          <a:noFill/>
        </a:ln>
      </c:spPr>
    </c:title>
    <c:autoTitleDeleted val="0"/>
    <c:plotArea>
      <c:layout>
        <c:manualLayout>
          <c:layoutTarget val="inner"/>
          <c:xMode val="edge"/>
          <c:yMode val="edge"/>
          <c:x val="0.14285729855924176"/>
          <c:y val="0.17647107096647127"/>
          <c:w val="0.79017943265580604"/>
          <c:h val="0.61904931243793893"/>
        </c:manualLayout>
      </c:layout>
      <c:lineChart>
        <c:grouping val="standard"/>
        <c:varyColors val="0"/>
        <c:ser>
          <c:idx val="0"/>
          <c:order val="0"/>
          <c:tx>
            <c:strRef>
              <c:f>Labour1!$D$232:$E$232</c:f>
              <c:strCache>
                <c:ptCount val="1"/>
                <c:pt idx="0">
                  <c:v>GVT Compensation of employees (D.1p) (Domestic)</c:v>
                </c:pt>
              </c:strCache>
            </c:strRef>
          </c:tx>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Labour1!$G$232:$U$232</c:f>
              <c:numCache>
                <c:formatCode>0.0%</c:formatCode>
                <c:ptCount val="6"/>
                <c:pt idx="0">
                  <c:v>0.40082258089278705</c:v>
                </c:pt>
                <c:pt idx="1">
                  <c:v>0.40566984170818982</c:v>
                </c:pt>
                <c:pt idx="2">
                  <c:v>0.42681270707723429</c:v>
                </c:pt>
                <c:pt idx="3">
                  <c:v>0.42443594601500101</c:v>
                </c:pt>
                <c:pt idx="4">
                  <c:v>0.43904291252705197</c:v>
                </c:pt>
                <c:pt idx="5">
                  <c:v>0.44471245770344853</c:v>
                </c:pt>
              </c:numCache>
            </c:numRef>
          </c:val>
          <c:smooth val="0"/>
        </c:ser>
        <c:dLbls>
          <c:showLegendKey val="0"/>
          <c:showVal val="0"/>
          <c:showCatName val="0"/>
          <c:showSerName val="0"/>
          <c:showPercent val="0"/>
          <c:showBubbleSize val="0"/>
        </c:dLbls>
        <c:marker val="1"/>
        <c:smooth val="0"/>
        <c:axId val="267259264"/>
        <c:axId val="267281536"/>
      </c:lineChart>
      <c:catAx>
        <c:axId val="267259264"/>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67281536"/>
        <c:crosses val="autoZero"/>
        <c:auto val="1"/>
        <c:lblAlgn val="ctr"/>
        <c:lblOffset val="100"/>
        <c:tickLblSkip val="2"/>
        <c:tickMarkSkip val="1"/>
        <c:noMultiLvlLbl val="0"/>
      </c:catAx>
      <c:valAx>
        <c:axId val="267281536"/>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67259264"/>
        <c:crosses val="autoZero"/>
        <c:crossBetween val="midCat"/>
      </c:valAx>
      <c:spPr>
        <a:noFill/>
        <a:ln w="12700">
          <a:solidFill>
            <a:srgbClr val="808080"/>
          </a:solidFill>
          <a:prstDash val="solid"/>
        </a:ln>
      </c:spPr>
    </c:plotArea>
    <c:legend>
      <c:legendPos val="b"/>
      <c:layout>
        <c:manualLayout>
          <c:xMode val="edge"/>
          <c:yMode val="edge"/>
          <c:x val="0.15625023434570678"/>
          <c:y val="0.91316761875353814"/>
          <c:w val="0.76339379452568434"/>
          <c:h val="6.722718483718948E-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Compensation of employees as % of HH gross disposable income</a:t>
            </a:r>
          </a:p>
        </c:rich>
      </c:tx>
      <c:layout>
        <c:manualLayout>
          <c:xMode val="edge"/>
          <c:yMode val="edge"/>
          <c:x val="0.17633952005999248"/>
          <c:y val="3.3613445378151259E-2"/>
        </c:manualLayout>
      </c:layout>
      <c:overlay val="0"/>
      <c:spPr>
        <a:noFill/>
        <a:ln w="25400">
          <a:noFill/>
        </a:ln>
      </c:spPr>
    </c:title>
    <c:autoTitleDeleted val="0"/>
    <c:plotArea>
      <c:layout>
        <c:manualLayout>
          <c:layoutTarget val="inner"/>
          <c:xMode val="edge"/>
          <c:yMode val="edge"/>
          <c:x val="0.11830370036937209"/>
          <c:y val="0.17647107096647127"/>
          <c:w val="0.81473303084567572"/>
          <c:h val="0.61904931243793893"/>
        </c:manualLayout>
      </c:layout>
      <c:lineChart>
        <c:grouping val="standard"/>
        <c:varyColors val="0"/>
        <c:ser>
          <c:idx val="2"/>
          <c:order val="0"/>
          <c:tx>
            <c:strRef>
              <c:f>Labour1!$D$237:$E$237</c:f>
              <c:strCache>
                <c:ptCount val="1"/>
                <c:pt idx="0">
                  <c:v>HH Compensation of employees (D.1r)</c:v>
                </c:pt>
              </c:strCache>
            </c:strRef>
          </c:tx>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Labour1!$G$237:$U$237</c:f>
              <c:numCache>
                <c:formatCode>0.0%</c:formatCode>
                <c:ptCount val="6"/>
                <c:pt idx="0">
                  <c:v>0.58046608909079311</c:v>
                </c:pt>
                <c:pt idx="1">
                  <c:v>0.61885091200675613</c:v>
                </c:pt>
                <c:pt idx="2">
                  <c:v>0.64699650439019463</c:v>
                </c:pt>
                <c:pt idx="3">
                  <c:v>0.71364829711381306</c:v>
                </c:pt>
                <c:pt idx="4">
                  <c:v>0.6947088066307936</c:v>
                </c:pt>
                <c:pt idx="5">
                  <c:v>0.6262063031667916</c:v>
                </c:pt>
              </c:numCache>
            </c:numRef>
          </c:val>
          <c:smooth val="0"/>
        </c:ser>
        <c:dLbls>
          <c:showLegendKey val="0"/>
          <c:showVal val="0"/>
          <c:showCatName val="0"/>
          <c:showSerName val="0"/>
          <c:showPercent val="0"/>
          <c:showBubbleSize val="0"/>
        </c:dLbls>
        <c:marker val="1"/>
        <c:smooth val="0"/>
        <c:axId val="267310208"/>
        <c:axId val="267311744"/>
      </c:lineChart>
      <c:catAx>
        <c:axId val="267310208"/>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67311744"/>
        <c:crosses val="autoZero"/>
        <c:auto val="1"/>
        <c:lblAlgn val="ctr"/>
        <c:lblOffset val="100"/>
        <c:tickLblSkip val="2"/>
        <c:tickMarkSkip val="1"/>
        <c:noMultiLvlLbl val="0"/>
      </c:catAx>
      <c:valAx>
        <c:axId val="267311744"/>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67310208"/>
        <c:crosses val="autoZero"/>
        <c:crossBetween val="midCat"/>
      </c:valAx>
      <c:spPr>
        <a:noFill/>
        <a:ln w="12700">
          <a:solidFill>
            <a:srgbClr val="808080"/>
          </a:solidFill>
          <a:prstDash val="solid"/>
        </a:ln>
      </c:spPr>
    </c:plotArea>
    <c:legend>
      <c:legendPos val="b"/>
      <c:layout>
        <c:manualLayout>
          <c:xMode val="edge"/>
          <c:yMode val="edge"/>
          <c:x val="0.22991094863142106"/>
          <c:y val="0.91316761875353814"/>
          <c:w val="0.5892864173228346"/>
          <c:h val="6.722718483718948E-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Unit labour productivity and real compensation / employee (domestic) </a:t>
            </a:r>
          </a:p>
        </c:rich>
      </c:tx>
      <c:layout>
        <c:manualLayout>
          <c:xMode val="edge"/>
          <c:yMode val="edge"/>
          <c:x val="0.15401809148856391"/>
          <c:y val="3.3613445378151259E-2"/>
        </c:manualLayout>
      </c:layout>
      <c:overlay val="0"/>
      <c:spPr>
        <a:noFill/>
        <a:ln w="25400">
          <a:noFill/>
        </a:ln>
      </c:spPr>
    </c:title>
    <c:autoTitleDeleted val="0"/>
    <c:plotArea>
      <c:layout>
        <c:manualLayout>
          <c:layoutTarget val="inner"/>
          <c:xMode val="edge"/>
          <c:yMode val="edge"/>
          <c:x val="0.12500013623933653"/>
          <c:y val="0.17086881474531346"/>
          <c:w val="0.80803659497571123"/>
          <c:h val="0.5182087004570981"/>
        </c:manualLayout>
      </c:layout>
      <c:lineChart>
        <c:grouping val="standard"/>
        <c:varyColors val="0"/>
        <c:ser>
          <c:idx val="0"/>
          <c:order val="0"/>
          <c:tx>
            <c:strRef>
              <c:f>Labour1!$D$253:$E$253</c:f>
              <c:strCache>
                <c:ptCount val="1"/>
                <c:pt idx="0">
                  <c:v>HH Unit labour productivity</c:v>
                </c:pt>
              </c:strCache>
            </c:strRef>
          </c:tx>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Labour1!$G$253:$U$253</c:f>
              <c:numCache>
                <c:formatCode>0.00</c:formatCode>
                <c:ptCount val="6"/>
                <c:pt idx="0">
                  <c:v>8.6428400667096774</c:v>
                </c:pt>
                <c:pt idx="1">
                  <c:v>6.9221270962612103</c:v>
                </c:pt>
                <c:pt idx="2">
                  <c:v>7.7446654716959884</c:v>
                </c:pt>
                <c:pt idx="3">
                  <c:v>8.866991367609355</c:v>
                </c:pt>
                <c:pt idx="4">
                  <c:v>3.9989834145354619</c:v>
                </c:pt>
                <c:pt idx="5">
                  <c:v>-7.7236768578227917</c:v>
                </c:pt>
              </c:numCache>
            </c:numRef>
          </c:val>
          <c:smooth val="0"/>
        </c:ser>
        <c:ser>
          <c:idx val="1"/>
          <c:order val="1"/>
          <c:tx>
            <c:strRef>
              <c:f>Labour1!$D$204:$E$204</c:f>
              <c:strCache>
                <c:ptCount val="1"/>
                <c:pt idx="0">
                  <c:v>Total compensation / employee (domestic)</c:v>
                </c:pt>
              </c:strCache>
            </c:strRef>
          </c:tx>
          <c:val>
            <c:numRef>
              <c:f>Labour1!$G$204:$U$204</c:f>
              <c:numCache>
                <c:formatCode>0.0</c:formatCode>
                <c:ptCount val="6"/>
                <c:pt idx="0">
                  <c:v>12.945872399665015</c:v>
                </c:pt>
                <c:pt idx="1">
                  <c:v>11.436574170284008</c:v>
                </c:pt>
                <c:pt idx="2">
                  <c:v>16.072589208332367</c:v>
                </c:pt>
                <c:pt idx="3">
                  <c:v>8.2074912528719892</c:v>
                </c:pt>
                <c:pt idx="4">
                  <c:v>3.1664857255991663</c:v>
                </c:pt>
                <c:pt idx="5">
                  <c:v>-13.637706329178656</c:v>
                </c:pt>
              </c:numCache>
            </c:numRef>
          </c:val>
          <c:smooth val="0"/>
        </c:ser>
        <c:dLbls>
          <c:showLegendKey val="0"/>
          <c:showVal val="0"/>
          <c:showCatName val="0"/>
          <c:showSerName val="0"/>
          <c:showPercent val="0"/>
          <c:showBubbleSize val="0"/>
        </c:dLbls>
        <c:marker val="1"/>
        <c:smooth val="0"/>
        <c:axId val="267464064"/>
        <c:axId val="267478144"/>
      </c:lineChart>
      <c:catAx>
        <c:axId val="267464064"/>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67478144"/>
        <c:crosses val="autoZero"/>
        <c:auto val="1"/>
        <c:lblAlgn val="ctr"/>
        <c:lblOffset val="100"/>
        <c:tickLblSkip val="2"/>
        <c:tickMarkSkip val="1"/>
        <c:noMultiLvlLbl val="0"/>
      </c:catAx>
      <c:valAx>
        <c:axId val="267478144"/>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67464064"/>
        <c:crosses val="autoZero"/>
        <c:crossBetween val="midCat"/>
      </c:valAx>
      <c:spPr>
        <a:noFill/>
        <a:ln w="12700">
          <a:solidFill>
            <a:srgbClr val="808080"/>
          </a:solidFill>
          <a:prstDash val="solid"/>
        </a:ln>
      </c:spPr>
    </c:plotArea>
    <c:legend>
      <c:legendPos val="b"/>
      <c:layout>
        <c:manualLayout>
          <c:xMode val="edge"/>
          <c:yMode val="edge"/>
          <c:x val="0.21205380577427821"/>
          <c:y val="0.85434408934177342"/>
          <c:w val="0.63392927446569169"/>
          <c:h val="0.126050714248954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Unit labour cost</a:t>
            </a:r>
          </a:p>
        </c:rich>
      </c:tx>
      <c:layout>
        <c:manualLayout>
          <c:xMode val="edge"/>
          <c:yMode val="edge"/>
          <c:x val="0.38616118297712781"/>
          <c:y val="3.3613445378151259E-2"/>
        </c:manualLayout>
      </c:layout>
      <c:overlay val="0"/>
      <c:spPr>
        <a:noFill/>
        <a:ln w="25400">
          <a:noFill/>
        </a:ln>
      </c:spPr>
    </c:title>
    <c:autoTitleDeleted val="0"/>
    <c:plotArea>
      <c:layout>
        <c:manualLayout>
          <c:layoutTarget val="inner"/>
          <c:xMode val="edge"/>
          <c:yMode val="edge"/>
          <c:x val="0.12500013623933653"/>
          <c:y val="0.17647107096647127"/>
          <c:w val="0.80803659497571123"/>
          <c:h val="0.61904931243793893"/>
        </c:manualLayout>
      </c:layout>
      <c:lineChart>
        <c:grouping val="standard"/>
        <c:varyColors val="0"/>
        <c:ser>
          <c:idx val="0"/>
          <c:order val="0"/>
          <c:tx>
            <c:strRef>
              <c:f>Labour1!$D$254:$E$254</c:f>
              <c:strCache>
                <c:ptCount val="1"/>
                <c:pt idx="0">
                  <c:v>HH Unit labour cost</c:v>
                </c:pt>
              </c:strCache>
            </c:strRef>
          </c:tx>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Labour1!$G$254:$U$254</c:f>
              <c:numCache>
                <c:formatCode>0.00</c:formatCode>
                <c:ptCount val="6"/>
                <c:pt idx="0">
                  <c:v>3.1529080893140105</c:v>
                </c:pt>
                <c:pt idx="1">
                  <c:v>6.438059659277906</c:v>
                </c:pt>
                <c:pt idx="2">
                  <c:v>12.056861095951943</c:v>
                </c:pt>
                <c:pt idx="3">
                  <c:v>4.7926916245997875</c:v>
                </c:pt>
                <c:pt idx="4">
                  <c:v>9.675612509910847</c:v>
                </c:pt>
                <c:pt idx="5">
                  <c:v>-1.6988674321868458</c:v>
                </c:pt>
              </c:numCache>
            </c:numRef>
          </c:val>
          <c:smooth val="0"/>
        </c:ser>
        <c:dLbls>
          <c:showLegendKey val="0"/>
          <c:showVal val="0"/>
          <c:showCatName val="0"/>
          <c:showSerName val="0"/>
          <c:showPercent val="0"/>
          <c:showBubbleSize val="0"/>
        </c:dLbls>
        <c:marker val="1"/>
        <c:smooth val="0"/>
        <c:axId val="268698752"/>
        <c:axId val="268700288"/>
      </c:lineChart>
      <c:catAx>
        <c:axId val="268698752"/>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68700288"/>
        <c:crosses val="autoZero"/>
        <c:auto val="1"/>
        <c:lblAlgn val="ctr"/>
        <c:lblOffset val="100"/>
        <c:tickLblSkip val="2"/>
        <c:tickMarkSkip val="1"/>
        <c:noMultiLvlLbl val="0"/>
      </c:catAx>
      <c:valAx>
        <c:axId val="268700288"/>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68698752"/>
        <c:crosses val="autoZero"/>
        <c:crossBetween val="midCat"/>
      </c:valAx>
      <c:spPr>
        <a:noFill/>
        <a:ln w="12700">
          <a:solidFill>
            <a:srgbClr val="808080"/>
          </a:solidFill>
          <a:prstDash val="solid"/>
        </a:ln>
      </c:spPr>
    </c:plotArea>
    <c:legend>
      <c:legendPos val="b"/>
      <c:layout>
        <c:manualLayout>
          <c:xMode val="edge"/>
          <c:yMode val="edge"/>
          <c:x val="0.35714332583427072"/>
          <c:y val="0.91316761875353814"/>
          <c:w val="0.34375046869141351"/>
          <c:h val="6.722718483718948E-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Wage &amp; salary earners - public and private sector</a:t>
            </a:r>
          </a:p>
        </c:rich>
      </c:tx>
      <c:layout>
        <c:manualLayout>
          <c:xMode val="edge"/>
          <c:yMode val="edge"/>
          <c:x val="0.14732166291713536"/>
          <c:y val="3.3613445378151259E-2"/>
        </c:manualLayout>
      </c:layout>
      <c:overlay val="0"/>
      <c:spPr>
        <a:noFill/>
        <a:ln w="25400">
          <a:noFill/>
        </a:ln>
      </c:spPr>
    </c:title>
    <c:autoTitleDeleted val="0"/>
    <c:plotArea>
      <c:layout>
        <c:manualLayout>
          <c:layoutTarget val="inner"/>
          <c:xMode val="edge"/>
          <c:yMode val="edge"/>
          <c:x val="0.12500013623933653"/>
          <c:y val="0.17647107096647127"/>
          <c:w val="0.80803659497571123"/>
          <c:h val="0.59664028755330756"/>
        </c:manualLayout>
      </c:layout>
      <c:lineChart>
        <c:grouping val="standard"/>
        <c:varyColors val="0"/>
        <c:ser>
          <c:idx val="0"/>
          <c:order val="0"/>
          <c:tx>
            <c:strRef>
              <c:f>Labour1!$D$47:$E$47</c:f>
              <c:strCache>
                <c:ptCount val="1"/>
                <c:pt idx="0">
                  <c:v>Wage &amp; salary earners (private sector)</c:v>
                </c:pt>
              </c:strCache>
            </c:strRef>
          </c:tx>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Labour1!$G$47:$U$47</c:f>
              <c:numCache>
                <c:formatCode>0.0</c:formatCode>
                <c:ptCount val="6"/>
                <c:pt idx="0">
                  <c:v>0.39713712141049573</c:v>
                </c:pt>
                <c:pt idx="1">
                  <c:v>3.0993262334275018</c:v>
                </c:pt>
                <c:pt idx="2">
                  <c:v>3.0419934227169154</c:v>
                </c:pt>
                <c:pt idx="3">
                  <c:v>3.2570224431760275</c:v>
                </c:pt>
                <c:pt idx="4">
                  <c:v>2.5787085653147246</c:v>
                </c:pt>
                <c:pt idx="5">
                  <c:v>-9.4722101501762523</c:v>
                </c:pt>
              </c:numCache>
            </c:numRef>
          </c:val>
          <c:smooth val="0"/>
        </c:ser>
        <c:ser>
          <c:idx val="1"/>
          <c:order val="1"/>
          <c:tx>
            <c:strRef>
              <c:f>Labour1!$D$48:$E$48</c:f>
              <c:strCache>
                <c:ptCount val="1"/>
                <c:pt idx="0">
                  <c:v>Wage &amp; salary earners (public sector)</c:v>
                </c:pt>
              </c:strCache>
            </c:strRef>
          </c:tx>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Labour1!$G$48:$U$48</c:f>
              <c:numCache>
                <c:formatCode>0.0</c:formatCode>
                <c:ptCount val="6"/>
                <c:pt idx="0">
                  <c:v>4.8081368469717889</c:v>
                </c:pt>
                <c:pt idx="1">
                  <c:v>-0.37494486104983071</c:v>
                </c:pt>
                <c:pt idx="2">
                  <c:v>-13.252158512286915</c:v>
                </c:pt>
                <c:pt idx="3">
                  <c:v>14.454879542670461</c:v>
                </c:pt>
                <c:pt idx="4">
                  <c:v>-2.6757046022118924E-2</c:v>
                </c:pt>
                <c:pt idx="5">
                  <c:v>-1.2579177446694567</c:v>
                </c:pt>
              </c:numCache>
            </c:numRef>
          </c:val>
          <c:smooth val="0"/>
        </c:ser>
        <c:dLbls>
          <c:showLegendKey val="0"/>
          <c:showVal val="0"/>
          <c:showCatName val="0"/>
          <c:showSerName val="0"/>
          <c:showPercent val="0"/>
          <c:showBubbleSize val="0"/>
        </c:dLbls>
        <c:marker val="1"/>
        <c:smooth val="0"/>
        <c:axId val="268750208"/>
        <c:axId val="268752000"/>
      </c:lineChart>
      <c:catAx>
        <c:axId val="268750208"/>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68752000"/>
        <c:crosses val="autoZero"/>
        <c:auto val="1"/>
        <c:lblAlgn val="ctr"/>
        <c:lblOffset val="100"/>
        <c:tickLblSkip val="2"/>
        <c:tickMarkSkip val="1"/>
        <c:noMultiLvlLbl val="0"/>
      </c:catAx>
      <c:valAx>
        <c:axId val="268752000"/>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68750208"/>
        <c:crosses val="autoZero"/>
        <c:crossBetween val="midCat"/>
      </c:valAx>
      <c:spPr>
        <a:noFill/>
        <a:ln w="12700">
          <a:solidFill>
            <a:srgbClr val="808080"/>
          </a:solidFill>
          <a:prstDash val="solid"/>
        </a:ln>
      </c:spPr>
    </c:plotArea>
    <c:legend>
      <c:legendPos val="b"/>
      <c:layout>
        <c:manualLayout>
          <c:xMode val="edge"/>
          <c:yMode val="edge"/>
          <c:x val="0.23883952005999248"/>
          <c:y val="0.86554857113449057"/>
          <c:w val="0.58258998875140611"/>
          <c:h val="0.11484623245623704"/>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Employment by sector (changes in 1000 persons)</a:t>
            </a:r>
          </a:p>
        </c:rich>
      </c:tx>
      <c:layout>
        <c:manualLayout>
          <c:xMode val="edge"/>
          <c:yMode val="edge"/>
          <c:x val="0.15401809148856391"/>
          <c:y val="3.3613445378151259E-2"/>
        </c:manualLayout>
      </c:layout>
      <c:overlay val="0"/>
      <c:spPr>
        <a:noFill/>
        <a:ln w="25400">
          <a:noFill/>
        </a:ln>
      </c:spPr>
    </c:title>
    <c:autoTitleDeleted val="0"/>
    <c:plotArea>
      <c:layout>
        <c:manualLayout>
          <c:layoutTarget val="inner"/>
          <c:xMode val="edge"/>
          <c:yMode val="edge"/>
          <c:x val="0.11607155507938394"/>
          <c:y val="0.17647107096647127"/>
          <c:w val="0.81696517613566388"/>
          <c:h val="0.56022562211578175"/>
        </c:manualLayout>
      </c:layout>
      <c:lineChart>
        <c:grouping val="standard"/>
        <c:varyColors val="0"/>
        <c:ser>
          <c:idx val="0"/>
          <c:order val="0"/>
          <c:tx>
            <c:strRef>
              <c:f>Labour1!$D$58:$E$58</c:f>
              <c:strCache>
                <c:ptCount val="1"/>
                <c:pt idx="0">
                  <c:v>Wage &amp; salary earners (private sector)</c:v>
                </c:pt>
              </c:strCache>
            </c:strRef>
          </c:tx>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Labour1!$G$58:$U$58</c:f>
              <c:numCache>
                <c:formatCode>0</c:formatCode>
                <c:ptCount val="6"/>
                <c:pt idx="0">
                  <c:v>3.6400000000001</c:v>
                </c:pt>
                <c:pt idx="1">
                  <c:v>28.519999999999868</c:v>
                </c:pt>
                <c:pt idx="2">
                  <c:v>28.860000000000014</c:v>
                </c:pt>
                <c:pt idx="3">
                  <c:v>31.840000000000146</c:v>
                </c:pt>
                <c:pt idx="4">
                  <c:v>26.029999999999973</c:v>
                </c:pt>
                <c:pt idx="5">
                  <c:v>-98.080000000000041</c:v>
                </c:pt>
              </c:numCache>
            </c:numRef>
          </c:val>
          <c:smooth val="0"/>
        </c:ser>
        <c:ser>
          <c:idx val="1"/>
          <c:order val="1"/>
          <c:tx>
            <c:strRef>
              <c:f>Labour1!$D$59:$E$59</c:f>
              <c:strCache>
                <c:ptCount val="1"/>
                <c:pt idx="0">
                  <c:v>Wage &amp; salary earners (public sector)</c:v>
                </c:pt>
              </c:strCache>
            </c:strRef>
          </c:tx>
          <c:val>
            <c:numRef>
              <c:f>Labour1!$G$59:$U$59</c:f>
              <c:numCache>
                <c:formatCode>0</c:formatCode>
                <c:ptCount val="6"/>
                <c:pt idx="0">
                  <c:v>10.399999999999977</c:v>
                </c:pt>
                <c:pt idx="1">
                  <c:v>-0.84999999999996589</c:v>
                </c:pt>
                <c:pt idx="2">
                  <c:v>-29.930000000000007</c:v>
                </c:pt>
                <c:pt idx="3">
                  <c:v>28.319999999999993</c:v>
                </c:pt>
                <c:pt idx="4">
                  <c:v>-6.0000000000002274E-2</c:v>
                </c:pt>
                <c:pt idx="5">
                  <c:v>-2.8199999999999932</c:v>
                </c:pt>
              </c:numCache>
            </c:numRef>
          </c:val>
          <c:smooth val="0"/>
        </c:ser>
        <c:dLbls>
          <c:showLegendKey val="0"/>
          <c:showVal val="0"/>
          <c:showCatName val="0"/>
          <c:showSerName val="0"/>
          <c:showPercent val="0"/>
          <c:showBubbleSize val="0"/>
        </c:dLbls>
        <c:marker val="1"/>
        <c:smooth val="0"/>
        <c:axId val="268781440"/>
        <c:axId val="268782976"/>
      </c:lineChart>
      <c:catAx>
        <c:axId val="268781440"/>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68782976"/>
        <c:crosses val="autoZero"/>
        <c:auto val="1"/>
        <c:lblAlgn val="ctr"/>
        <c:lblOffset val="100"/>
        <c:tickLblSkip val="2"/>
        <c:tickMarkSkip val="1"/>
        <c:noMultiLvlLbl val="0"/>
      </c:catAx>
      <c:valAx>
        <c:axId val="268782976"/>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68781440"/>
        <c:crosses val="autoZero"/>
        <c:crossBetween val="midCat"/>
      </c:valAx>
      <c:spPr>
        <a:noFill/>
        <a:ln w="12700">
          <a:solidFill>
            <a:srgbClr val="808080"/>
          </a:solidFill>
          <a:prstDash val="solid"/>
        </a:ln>
      </c:spPr>
    </c:plotArea>
    <c:legend>
      <c:legendPos val="b"/>
      <c:layout>
        <c:manualLayout>
          <c:xMode val="edge"/>
          <c:yMode val="edge"/>
          <c:x val="0.23214309148856391"/>
          <c:y val="0.85434408934177342"/>
          <c:w val="0.582589988751406"/>
          <c:h val="0.126050714248954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Total compensation / employee (private sector)</a:t>
            </a:r>
          </a:p>
        </c:rich>
      </c:tx>
      <c:layout>
        <c:manualLayout>
          <c:xMode val="edge"/>
          <c:yMode val="edge"/>
          <c:x val="0.16294666291713536"/>
          <c:y val="3.3613445378151259E-2"/>
        </c:manualLayout>
      </c:layout>
      <c:overlay val="0"/>
      <c:spPr>
        <a:noFill/>
        <a:ln w="25400">
          <a:noFill/>
        </a:ln>
      </c:spPr>
    </c:title>
    <c:autoTitleDeleted val="0"/>
    <c:plotArea>
      <c:layout>
        <c:manualLayout>
          <c:layoutTarget val="inner"/>
          <c:xMode val="edge"/>
          <c:yMode val="edge"/>
          <c:x val="0.12500013623933653"/>
          <c:y val="0.17647107096647127"/>
          <c:w val="0.80803659497571123"/>
          <c:h val="0.44257824147146763"/>
        </c:manualLayout>
      </c:layout>
      <c:lineChart>
        <c:grouping val="standard"/>
        <c:varyColors val="0"/>
        <c:ser>
          <c:idx val="0"/>
          <c:order val="0"/>
          <c:tx>
            <c:strRef>
              <c:f>Labour1!$D$119:$E$119</c:f>
              <c:strCache>
                <c:ptCount val="1"/>
                <c:pt idx="0">
                  <c:v>Wages &amp; salaries / employee (private)</c:v>
                </c:pt>
              </c:strCache>
            </c:strRef>
          </c:tx>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Labour1!$G$119:$U$119</c:f>
              <c:numCache>
                <c:formatCode>0.0</c:formatCode>
                <c:ptCount val="6"/>
                <c:pt idx="0">
                  <c:v>14.316131925152774</c:v>
                </c:pt>
                <c:pt idx="1">
                  <c:v>13.854529300596896</c:v>
                </c:pt>
                <c:pt idx="2">
                  <c:v>18.839405183533685</c:v>
                </c:pt>
                <c:pt idx="3">
                  <c:v>17.191022208847674</c:v>
                </c:pt>
                <c:pt idx="4">
                  <c:v>11.31483931929016</c:v>
                </c:pt>
                <c:pt idx="5">
                  <c:v>-12.72600526625517</c:v>
                </c:pt>
              </c:numCache>
            </c:numRef>
          </c:val>
          <c:smooth val="0"/>
        </c:ser>
        <c:ser>
          <c:idx val="1"/>
          <c:order val="1"/>
          <c:tx>
            <c:strRef>
              <c:f>Labour1!$E$150:$E$150</c:f>
              <c:strCache>
                <c:ptCount val="1"/>
                <c:pt idx="0">
                  <c:v>Employer's social contr. / employee (private)</c:v>
                </c:pt>
              </c:strCache>
            </c:strRef>
          </c:tx>
          <c:val>
            <c:numRef>
              <c:f>Labour1!$G$150:$U$150</c:f>
              <c:numCache>
                <c:formatCode>0.0</c:formatCode>
                <c:ptCount val="6"/>
                <c:pt idx="0">
                  <c:v>13.986245118739582</c:v>
                </c:pt>
                <c:pt idx="1">
                  <c:v>23.368208567319314</c:v>
                </c:pt>
                <c:pt idx="2">
                  <c:v>16.994480129912361</c:v>
                </c:pt>
                <c:pt idx="3">
                  <c:v>22.673323098625353</c:v>
                </c:pt>
                <c:pt idx="4">
                  <c:v>13.418986021601942</c:v>
                </c:pt>
                <c:pt idx="5">
                  <c:v>-14.081230534123323</c:v>
                </c:pt>
              </c:numCache>
            </c:numRef>
          </c:val>
          <c:smooth val="0"/>
        </c:ser>
        <c:ser>
          <c:idx val="2"/>
          <c:order val="2"/>
          <c:tx>
            <c:strRef>
              <c:f>Labour1!$D$195:$E$195</c:f>
              <c:strCache>
                <c:ptCount val="1"/>
                <c:pt idx="0">
                  <c:v>Total compensation / employee (private)</c:v>
                </c:pt>
              </c:strCache>
            </c:strRef>
          </c:tx>
          <c:val>
            <c:numRef>
              <c:f>Labour1!$G$195:$U$195</c:f>
              <c:numCache>
                <c:formatCode>0.0</c:formatCode>
                <c:ptCount val="6"/>
                <c:pt idx="0">
                  <c:v>14.254906547622092</c:v>
                </c:pt>
                <c:pt idx="1">
                  <c:v>15.61606974681915</c:v>
                </c:pt>
                <c:pt idx="2">
                  <c:v>18.474896483600567</c:v>
                </c:pt>
                <c:pt idx="3">
                  <c:v>18.260521445174472</c:v>
                </c:pt>
                <c:pt idx="4" formatCode="0.00">
                  <c:v>11.740804548038897</c:v>
                </c:pt>
                <c:pt idx="5" formatCode="0.00">
                  <c:v>-13.004300378080202</c:v>
                </c:pt>
              </c:numCache>
            </c:numRef>
          </c:val>
          <c:smooth val="0"/>
        </c:ser>
        <c:ser>
          <c:idx val="3"/>
          <c:order val="3"/>
          <c:tx>
            <c:strRef>
              <c:f>Labour1!#REF!</c:f>
              <c:strCache>
                <c:ptCount val="1"/>
                <c:pt idx="0">
                  <c:v>#REF!</c:v>
                </c:pt>
              </c:strCache>
            </c:strRef>
          </c:tx>
          <c:spPr>
            <a:ln w="12700">
              <a:solidFill>
                <a:srgbClr val="FF0000"/>
              </a:solidFill>
              <a:prstDash val="solid"/>
            </a:ln>
          </c:spPr>
          <c:marker>
            <c:symbol val="diamond"/>
            <c:size val="5"/>
            <c:spPr>
              <a:solidFill>
                <a:srgbClr val="FFFFFF"/>
              </a:solidFill>
              <a:ln>
                <a:solidFill>
                  <a:srgbClr val="FF0000"/>
                </a:solidFill>
                <a:prstDash val="solid"/>
              </a:ln>
            </c:spPr>
          </c:marker>
          <c:val>
            <c:numRef>
              <c:f>Labour1!#REF!</c:f>
              <c:numCache>
                <c:formatCode>General</c:formatCode>
                <c:ptCount val="1"/>
                <c:pt idx="0">
                  <c:v>1</c:v>
                </c:pt>
              </c:numCache>
            </c:numRef>
          </c:val>
          <c:smooth val="0"/>
        </c:ser>
        <c:dLbls>
          <c:showLegendKey val="0"/>
          <c:showVal val="0"/>
          <c:showCatName val="0"/>
          <c:showSerName val="0"/>
          <c:showPercent val="0"/>
          <c:showBubbleSize val="0"/>
        </c:dLbls>
        <c:marker val="1"/>
        <c:smooth val="0"/>
        <c:axId val="268916224"/>
        <c:axId val="268918144"/>
      </c:lineChart>
      <c:catAx>
        <c:axId val="268916224"/>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68918144"/>
        <c:crosses val="autoZero"/>
        <c:auto val="1"/>
        <c:lblAlgn val="ctr"/>
        <c:lblOffset val="100"/>
        <c:tickLblSkip val="2"/>
        <c:tickMarkSkip val="1"/>
        <c:noMultiLvlLbl val="0"/>
      </c:catAx>
      <c:valAx>
        <c:axId val="268918144"/>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68916224"/>
        <c:crosses val="autoZero"/>
        <c:crossBetween val="midCat"/>
      </c:valAx>
      <c:spPr>
        <a:noFill/>
        <a:ln w="12700">
          <a:solidFill>
            <a:srgbClr val="808080"/>
          </a:solidFill>
          <a:prstDash val="solid"/>
        </a:ln>
      </c:spPr>
    </c:plotArea>
    <c:legend>
      <c:legendPos val="b"/>
      <c:layout>
        <c:manualLayout>
          <c:xMode val="edge"/>
          <c:yMode val="edge"/>
          <c:x val="0.19866094863142106"/>
          <c:y val="0.73669673643735711"/>
          <c:w val="0.6584828458942632"/>
          <c:h val="0.2436980671533705"/>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Total compensation / employee (public sector)</a:t>
            </a:r>
          </a:p>
        </c:rich>
      </c:tx>
      <c:layout>
        <c:manualLayout>
          <c:xMode val="edge"/>
          <c:yMode val="edge"/>
          <c:x val="0.16964309148856391"/>
          <c:y val="3.3613445378151259E-2"/>
        </c:manualLayout>
      </c:layout>
      <c:overlay val="0"/>
      <c:spPr>
        <a:noFill/>
        <a:ln w="25400">
          <a:noFill/>
        </a:ln>
      </c:spPr>
    </c:title>
    <c:autoTitleDeleted val="0"/>
    <c:plotArea>
      <c:layout>
        <c:manualLayout>
          <c:layoutTarget val="inner"/>
          <c:xMode val="edge"/>
          <c:yMode val="edge"/>
          <c:x val="0.12500013623933653"/>
          <c:y val="0.17647107096647127"/>
          <c:w val="0.80803659497571123"/>
          <c:h val="0.50140193179362469"/>
        </c:manualLayout>
      </c:layout>
      <c:lineChart>
        <c:grouping val="standard"/>
        <c:varyColors val="0"/>
        <c:ser>
          <c:idx val="0"/>
          <c:order val="0"/>
          <c:tx>
            <c:strRef>
              <c:f>Labour1!$D$120:$E$120</c:f>
              <c:strCache>
                <c:ptCount val="1"/>
                <c:pt idx="0">
                  <c:v>Wages &amp; salaries / employee (public)</c:v>
                </c:pt>
              </c:strCache>
            </c:strRef>
          </c:tx>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Labour1!$G$120:$U$120</c:f>
              <c:numCache>
                <c:formatCode>0.0</c:formatCode>
                <c:ptCount val="6"/>
                <c:pt idx="0">
                  <c:v>2.6160283535961781</c:v>
                </c:pt>
                <c:pt idx="1">
                  <c:v>11.686152965432161</c:v>
                </c:pt>
                <c:pt idx="2">
                  <c:v>31.351020155839326</c:v>
                </c:pt>
                <c:pt idx="3">
                  <c:v>-2.5931906485933687</c:v>
                </c:pt>
                <c:pt idx="4">
                  <c:v>21.532399062705167</c:v>
                </c:pt>
                <c:pt idx="5">
                  <c:v>-0.84820726529328816</c:v>
                </c:pt>
              </c:numCache>
            </c:numRef>
          </c:val>
          <c:smooth val="0"/>
        </c:ser>
        <c:ser>
          <c:idx val="1"/>
          <c:order val="1"/>
          <c:tx>
            <c:strRef>
              <c:f>Labour1!$D$151:$E$151</c:f>
              <c:strCache>
                <c:ptCount val="1"/>
                <c:pt idx="0">
                  <c:v>Employer's social contr. / employee (public)</c:v>
                </c:pt>
              </c:strCache>
            </c:strRef>
          </c:tx>
          <c:val>
            <c:numRef>
              <c:f>Labour1!$G$151:$U$151</c:f>
              <c:numCache>
                <c:formatCode>0.0</c:formatCode>
                <c:ptCount val="6"/>
                <c:pt idx="0">
                  <c:v>13.630046647189541</c:v>
                </c:pt>
                <c:pt idx="1">
                  <c:v>3.9847287667555298</c:v>
                </c:pt>
                <c:pt idx="2">
                  <c:v>43.05962011912419</c:v>
                </c:pt>
                <c:pt idx="3">
                  <c:v>3.2847628885726454</c:v>
                </c:pt>
                <c:pt idx="4">
                  <c:v>25.840035620497371</c:v>
                </c:pt>
                <c:pt idx="5">
                  <c:v>-5.580722070976929E-2</c:v>
                </c:pt>
              </c:numCache>
            </c:numRef>
          </c:val>
          <c:smooth val="0"/>
        </c:ser>
        <c:ser>
          <c:idx val="2"/>
          <c:order val="2"/>
          <c:tx>
            <c:strRef>
              <c:f>Labour1!$D$196:$E$196</c:f>
              <c:strCache>
                <c:ptCount val="1"/>
                <c:pt idx="0">
                  <c:v>Total compensation / employee (public)</c:v>
                </c:pt>
              </c:strCache>
            </c:strRef>
          </c:tx>
          <c:val>
            <c:numRef>
              <c:f>Labour1!$G$196:$U$196</c:f>
              <c:numCache>
                <c:formatCode>0.0</c:formatCode>
                <c:ptCount val="6"/>
                <c:pt idx="0">
                  <c:v>5.1399119911579305</c:v>
                </c:pt>
                <c:pt idx="1">
                  <c:v>9.7788479286490482</c:v>
                </c:pt>
                <c:pt idx="2">
                  <c:v>34.09768060015903</c:v>
                </c:pt>
                <c:pt idx="3">
                  <c:v>-1.1221592079175502</c:v>
                </c:pt>
                <c:pt idx="4" formatCode="0.00">
                  <c:v>22.658486576673464</c:v>
                </c:pt>
                <c:pt idx="5" formatCode="0.00">
                  <c:v>-0.63568775278945999</c:v>
                </c:pt>
              </c:numCache>
            </c:numRef>
          </c:val>
          <c:smooth val="0"/>
        </c:ser>
        <c:dLbls>
          <c:showLegendKey val="0"/>
          <c:showVal val="0"/>
          <c:showCatName val="0"/>
          <c:showSerName val="0"/>
          <c:showPercent val="0"/>
          <c:showBubbleSize val="0"/>
        </c:dLbls>
        <c:marker val="1"/>
        <c:smooth val="0"/>
        <c:axId val="268953088"/>
        <c:axId val="268954624"/>
      </c:lineChart>
      <c:catAx>
        <c:axId val="268953088"/>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68954624"/>
        <c:crosses val="autoZero"/>
        <c:auto val="1"/>
        <c:lblAlgn val="ctr"/>
        <c:lblOffset val="100"/>
        <c:tickLblSkip val="2"/>
        <c:tickMarkSkip val="1"/>
        <c:noMultiLvlLbl val="0"/>
      </c:catAx>
      <c:valAx>
        <c:axId val="268954624"/>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68953088"/>
        <c:crosses val="autoZero"/>
        <c:crossBetween val="midCat"/>
      </c:valAx>
      <c:spPr>
        <a:noFill/>
        <a:ln w="12700">
          <a:solidFill>
            <a:srgbClr val="808080"/>
          </a:solidFill>
          <a:prstDash val="solid"/>
        </a:ln>
      </c:spPr>
    </c:plotArea>
    <c:legend>
      <c:legendPos val="b"/>
      <c:layout>
        <c:manualLayout>
          <c:xMode val="edge"/>
          <c:yMode val="edge"/>
          <c:x val="0.20312523434570678"/>
          <c:y val="0.79552026584912183"/>
          <c:w val="0.65178641732283471"/>
          <c:h val="0.18487453774160578"/>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Participation ratio and employment rate</a:t>
            </a:r>
          </a:p>
        </c:rich>
      </c:tx>
      <c:layout>
        <c:manualLayout>
          <c:xMode val="edge"/>
          <c:yMode val="edge"/>
          <c:x val="0.21205380577427821"/>
          <c:y val="3.3613445378151259E-2"/>
        </c:manualLayout>
      </c:layout>
      <c:overlay val="0"/>
      <c:spPr>
        <a:noFill/>
        <a:ln w="25400">
          <a:noFill/>
        </a:ln>
      </c:spPr>
    </c:title>
    <c:autoTitleDeleted val="0"/>
    <c:plotArea>
      <c:layout>
        <c:manualLayout>
          <c:layoutTarget val="inner"/>
          <c:xMode val="edge"/>
          <c:yMode val="edge"/>
          <c:x val="0.11830370036937209"/>
          <c:y val="0.17647107096647127"/>
          <c:w val="0.81473303084567572"/>
          <c:h val="0.61904931243793893"/>
        </c:manualLayout>
      </c:layout>
      <c:lineChart>
        <c:grouping val="standard"/>
        <c:varyColors val="0"/>
        <c:ser>
          <c:idx val="0"/>
          <c:order val="0"/>
          <c:tx>
            <c:strRef>
              <c:f>Labour1!$E$8</c:f>
              <c:strCache>
                <c:ptCount val="1"/>
                <c:pt idx="0">
                  <c:v>Participation ratio</c:v>
                </c:pt>
              </c:strCache>
            </c:strRef>
          </c:tx>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Labour1!$G$8:$U$8</c:f>
              <c:numCache>
                <c:formatCode>0.0%</c:formatCode>
                <c:ptCount val="6"/>
                <c:pt idx="0">
                  <c:v>0.70623568378485369</c:v>
                </c:pt>
                <c:pt idx="1">
                  <c:v>0.70311897342611673</c:v>
                </c:pt>
                <c:pt idx="2">
                  <c:v>0.69101420903766564</c:v>
                </c:pt>
                <c:pt idx="3">
                  <c:v>0.69687367535180711</c:v>
                </c:pt>
                <c:pt idx="4">
                  <c:v>0.70175097744249604</c:v>
                </c:pt>
                <c:pt idx="5">
                  <c:v>0.71438948362176202</c:v>
                </c:pt>
              </c:numCache>
            </c:numRef>
          </c:val>
          <c:smooth val="0"/>
        </c:ser>
        <c:ser>
          <c:idx val="1"/>
          <c:order val="1"/>
          <c:tx>
            <c:strRef>
              <c:f>Labour1!$E$37</c:f>
              <c:strCache>
                <c:ptCount val="1"/>
                <c:pt idx="0">
                  <c:v>Employment rate</c:v>
                </c:pt>
              </c:strCache>
            </c:strRef>
          </c:tx>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Labour1!$G$37:$U$37</c:f>
              <c:numCache>
                <c:formatCode>0.0%</c:formatCode>
                <c:ptCount val="6"/>
                <c:pt idx="0">
                  <c:v>0.62979416464000904</c:v>
                </c:pt>
                <c:pt idx="1">
                  <c:v>0.64481537492801744</c:v>
                </c:pt>
                <c:pt idx="2">
                  <c:v>0.65098811020185654</c:v>
                </c:pt>
                <c:pt idx="3">
                  <c:v>0.66749761147355624</c:v>
                </c:pt>
                <c:pt idx="4">
                  <c:v>0.66104348115705502</c:v>
                </c:pt>
                <c:pt idx="5">
                  <c:v>0.6158252975493953</c:v>
                </c:pt>
              </c:numCache>
            </c:numRef>
          </c:val>
          <c:smooth val="0"/>
        </c:ser>
        <c:dLbls>
          <c:showLegendKey val="0"/>
          <c:showVal val="0"/>
          <c:showCatName val="0"/>
          <c:showSerName val="0"/>
          <c:showPercent val="0"/>
          <c:showBubbleSize val="0"/>
        </c:dLbls>
        <c:marker val="1"/>
        <c:smooth val="0"/>
        <c:axId val="304062464"/>
        <c:axId val="304064000"/>
      </c:lineChart>
      <c:catAx>
        <c:axId val="304062464"/>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04064000"/>
        <c:crosses val="autoZero"/>
        <c:auto val="1"/>
        <c:lblAlgn val="ctr"/>
        <c:lblOffset val="100"/>
        <c:tickLblSkip val="2"/>
        <c:tickMarkSkip val="1"/>
        <c:noMultiLvlLbl val="0"/>
      </c:catAx>
      <c:valAx>
        <c:axId val="304064000"/>
        <c:scaling>
          <c:orientation val="minMax"/>
          <c:min val="0.55000000000000004"/>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04062464"/>
        <c:crosses val="autoZero"/>
        <c:crossBetween val="midCat"/>
      </c:valAx>
      <c:spPr>
        <a:noFill/>
        <a:ln w="12700">
          <a:solidFill>
            <a:srgbClr val="808080"/>
          </a:solidFill>
          <a:prstDash val="solid"/>
        </a:ln>
      </c:spPr>
    </c:plotArea>
    <c:legend>
      <c:legendPos val="b"/>
      <c:layout>
        <c:manualLayout>
          <c:xMode val="edge"/>
          <c:yMode val="edge"/>
          <c:x val="0.21428594863142106"/>
          <c:y val="0.91316761875353814"/>
          <c:w val="0.6227685601799775"/>
          <c:h val="6.722718483718948E-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Unemployment rate</a:t>
            </a:r>
          </a:p>
        </c:rich>
      </c:tx>
      <c:layout>
        <c:manualLayout>
          <c:xMode val="edge"/>
          <c:yMode val="edge"/>
          <c:x val="0.35714332583427072"/>
          <c:y val="3.3613445378151259E-2"/>
        </c:manualLayout>
      </c:layout>
      <c:overlay val="0"/>
      <c:spPr>
        <a:noFill/>
        <a:ln w="25400">
          <a:noFill/>
        </a:ln>
      </c:spPr>
    </c:title>
    <c:autoTitleDeleted val="0"/>
    <c:plotArea>
      <c:layout>
        <c:manualLayout>
          <c:layoutTarget val="inner"/>
          <c:xMode val="edge"/>
          <c:yMode val="edge"/>
          <c:x val="0.14285729855924176"/>
          <c:y val="0.17647107096647127"/>
          <c:w val="0.79017943265580604"/>
          <c:h val="0.61904931243793893"/>
        </c:manualLayout>
      </c:layout>
      <c:lineChart>
        <c:grouping val="standard"/>
        <c:varyColors val="0"/>
        <c:ser>
          <c:idx val="1"/>
          <c:order val="0"/>
          <c:tx>
            <c:strRef>
              <c:f>Labour1!$E$39</c:f>
              <c:strCache>
                <c:ptCount val="1"/>
                <c:pt idx="0">
                  <c:v>Unemployment rate (Eurostat)</c:v>
                </c:pt>
              </c:strCache>
            </c:strRef>
          </c:tx>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Labour1!$G$39:$U$39</c:f>
              <c:numCache>
                <c:formatCode>0.0%</c:formatCode>
                <c:ptCount val="6"/>
                <c:pt idx="0">
                  <c:v>0.10823797338472031</c:v>
                </c:pt>
                <c:pt idx="1">
                  <c:v>8.2921384149258495E-2</c:v>
                </c:pt>
                <c:pt idx="2">
                  <c:v>5.7923698691450989E-2</c:v>
                </c:pt>
                <c:pt idx="3">
                  <c:v>4.2154073137316894E-2</c:v>
                </c:pt>
                <c:pt idx="4">
                  <c:v>5.8008463962241762E-2</c:v>
                </c:pt>
                <c:pt idx="5">
                  <c:v>0.13796981665053751</c:v>
                </c:pt>
              </c:numCache>
            </c:numRef>
          </c:val>
          <c:smooth val="0"/>
        </c:ser>
        <c:dLbls>
          <c:showLegendKey val="0"/>
          <c:showVal val="0"/>
          <c:showCatName val="0"/>
          <c:showSerName val="0"/>
          <c:showPercent val="0"/>
          <c:showBubbleSize val="0"/>
        </c:dLbls>
        <c:marker val="1"/>
        <c:smooth val="0"/>
        <c:axId val="304162304"/>
        <c:axId val="304163840"/>
      </c:lineChart>
      <c:catAx>
        <c:axId val="304162304"/>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04163840"/>
        <c:crosses val="autoZero"/>
        <c:auto val="1"/>
        <c:lblAlgn val="ctr"/>
        <c:lblOffset val="100"/>
        <c:tickLblSkip val="2"/>
        <c:tickMarkSkip val="1"/>
        <c:noMultiLvlLbl val="0"/>
      </c:catAx>
      <c:valAx>
        <c:axId val="304163840"/>
        <c:scaling>
          <c:orientation val="minMax"/>
          <c:min val="0.05"/>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04162304"/>
        <c:crosses val="autoZero"/>
        <c:crossBetween val="midCat"/>
      </c:valAx>
      <c:spPr>
        <a:noFill/>
        <a:ln w="12700">
          <a:solidFill>
            <a:srgbClr val="808080"/>
          </a:solidFill>
          <a:prstDash val="solid"/>
        </a:ln>
      </c:spPr>
    </c:plotArea>
    <c:legend>
      <c:legendPos val="b"/>
      <c:layout>
        <c:manualLayout>
          <c:xMode val="edge"/>
          <c:yMode val="edge"/>
          <c:x val="0.29687523434570678"/>
          <c:y val="0.91316761875353814"/>
          <c:w val="0.48214332583427072"/>
          <c:h val="6.722718483718948E-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300" verticalDpi="300"/>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Employment and GDP growth</a:t>
            </a:r>
          </a:p>
        </c:rich>
      </c:tx>
      <c:layout>
        <c:manualLayout>
          <c:xMode val="edge"/>
          <c:yMode val="edge"/>
          <c:x val="0.28794666291713533"/>
          <c:y val="3.3707865168539325E-2"/>
        </c:manualLayout>
      </c:layout>
      <c:overlay val="0"/>
      <c:spPr>
        <a:noFill/>
        <a:ln w="25400">
          <a:noFill/>
        </a:ln>
      </c:spPr>
    </c:title>
    <c:autoTitleDeleted val="0"/>
    <c:plotArea>
      <c:layout>
        <c:manualLayout>
          <c:layoutTarget val="inner"/>
          <c:xMode val="edge"/>
          <c:yMode val="edge"/>
          <c:x val="6.9196503989632729E-2"/>
          <c:y val="0.17696629213483145"/>
          <c:w val="0.86384022722541509"/>
          <c:h val="0.6151685393258427"/>
        </c:manualLayout>
      </c:layout>
      <c:scatterChart>
        <c:scatterStyle val="lineMarker"/>
        <c:varyColors val="0"/>
        <c:ser>
          <c:idx val="0"/>
          <c:order val="0"/>
          <c:tx>
            <c:strRef>
              <c:f>Labour1!$E$49</c:f>
              <c:strCache>
                <c:ptCount val="1"/>
                <c:pt idx="0">
                  <c:v>Wage and salary earners (domestic)</c:v>
                </c:pt>
              </c:strCache>
            </c:strRef>
          </c:tx>
          <c:spPr>
            <a:ln w="28575">
              <a:noFill/>
            </a:ln>
          </c:spPr>
          <c:marker>
            <c:symbol val="circle"/>
            <c:size val="7"/>
            <c:spPr>
              <a:solidFill>
                <a:srgbClr val="FFFFFF"/>
              </a:solidFill>
              <a:ln>
                <a:solidFill>
                  <a:srgbClr val="FF0000"/>
                </a:solidFill>
                <a:prstDash val="solid"/>
              </a:ln>
            </c:spPr>
          </c:marker>
          <c:dLbls>
            <c:dLbl>
              <c:idx val="1"/>
              <c:tx>
                <c:rich>
                  <a:bodyPr/>
                  <a:lstStyle/>
                  <a:p>
                    <a:r>
                      <a:rPr lang="en-GB"/>
                      <a:t>1996</a:t>
                    </a:r>
                  </a:p>
                </c:rich>
              </c:tx>
              <c:showLegendKey val="0"/>
              <c:showVal val="0"/>
              <c:showCatName val="0"/>
              <c:showSerName val="0"/>
              <c:showPercent val="0"/>
              <c:showBubbleSize val="0"/>
            </c:dLbl>
            <c:dLbl>
              <c:idx val="2"/>
              <c:tx>
                <c:rich>
                  <a:bodyPr/>
                  <a:lstStyle/>
                  <a:p>
                    <a:r>
                      <a:rPr lang="en-GB"/>
                      <a:t>1997</a:t>
                    </a:r>
                  </a:p>
                </c:rich>
              </c:tx>
              <c:showLegendKey val="0"/>
              <c:showVal val="0"/>
              <c:showCatName val="0"/>
              <c:showSerName val="0"/>
              <c:showPercent val="0"/>
              <c:showBubbleSize val="0"/>
            </c:dLbl>
            <c:dLbl>
              <c:idx val="3"/>
              <c:tx>
                <c:rich>
                  <a:bodyPr/>
                  <a:lstStyle/>
                  <a:p>
                    <a:r>
                      <a:rPr lang="en-GB"/>
                      <a:t>1998</a:t>
                    </a:r>
                  </a:p>
                </c:rich>
              </c:tx>
              <c:showLegendKey val="0"/>
              <c:showVal val="0"/>
              <c:showCatName val="0"/>
              <c:showSerName val="0"/>
              <c:showPercent val="0"/>
              <c:showBubbleSize val="0"/>
            </c:dLbl>
            <c:dLbl>
              <c:idx val="4"/>
              <c:tx>
                <c:rich>
                  <a:bodyPr/>
                  <a:lstStyle/>
                  <a:p>
                    <a:r>
                      <a:rPr lang="en-GB"/>
                      <a:t>1999</a:t>
                    </a:r>
                  </a:p>
                </c:rich>
              </c:tx>
              <c:showLegendKey val="0"/>
              <c:showVal val="0"/>
              <c:showCatName val="0"/>
              <c:showSerName val="0"/>
              <c:showPercent val="0"/>
              <c:showBubbleSize val="0"/>
            </c:dLbl>
            <c:dLbl>
              <c:idx val="5"/>
              <c:tx>
                <c:rich>
                  <a:bodyPr/>
                  <a:lstStyle/>
                  <a:p>
                    <a:r>
                      <a:rPr lang="en-GB"/>
                      <a:t>2000</a:t>
                    </a:r>
                  </a:p>
                </c:rich>
              </c:tx>
              <c:showLegendKey val="0"/>
              <c:showVal val="0"/>
              <c:showCatName val="0"/>
              <c:showSerName val="0"/>
              <c:showPercent val="0"/>
              <c:showBubbleSize val="0"/>
            </c:dLbl>
            <c:dLbl>
              <c:idx val="6"/>
              <c:tx>
                <c:rich>
                  <a:bodyPr/>
                  <a:lstStyle/>
                  <a:p>
                    <a:r>
                      <a:rPr lang="en-GB"/>
                      <a:t>2001</a:t>
                    </a:r>
                  </a:p>
                </c:rich>
              </c:tx>
              <c:showLegendKey val="0"/>
              <c:showVal val="0"/>
              <c:showCatName val="0"/>
              <c:showSerName val="0"/>
              <c:showPercent val="0"/>
              <c:showBubbleSize val="0"/>
            </c:dLbl>
            <c:dLbl>
              <c:idx val="7"/>
              <c:tx>
                <c:rich>
                  <a:bodyPr/>
                  <a:lstStyle/>
                  <a:p>
                    <a:r>
                      <a:rPr lang="en-GB"/>
                      <a:t>2002</a:t>
                    </a:r>
                  </a:p>
                </c:rich>
              </c:tx>
              <c:showLegendKey val="0"/>
              <c:showVal val="0"/>
              <c:showCatName val="0"/>
              <c:showSerName val="0"/>
              <c:showPercent val="0"/>
              <c:showBubbleSize val="0"/>
            </c:dLbl>
            <c:dLbl>
              <c:idx val="8"/>
              <c:tx>
                <c:rich>
                  <a:bodyPr/>
                  <a:lstStyle/>
                  <a:p>
                    <a:r>
                      <a:rPr lang="en-GB"/>
                      <a:t>2003</a:t>
                    </a:r>
                  </a:p>
                </c:rich>
              </c:tx>
              <c:showLegendKey val="0"/>
              <c:showVal val="0"/>
              <c:showCatName val="0"/>
              <c:showSerName val="0"/>
              <c:showPercent val="0"/>
              <c:showBubbleSize val="0"/>
            </c:dLbl>
            <c:dLbl>
              <c:idx val="9"/>
              <c:tx>
                <c:rich>
                  <a:bodyPr/>
                  <a:lstStyle/>
                  <a:p>
                    <a:r>
                      <a:rPr lang="en-GB"/>
                      <a:t>2004</a:t>
                    </a:r>
                  </a:p>
                </c:rich>
              </c:tx>
              <c:showLegendKey val="0"/>
              <c:showVal val="0"/>
              <c:showCatName val="0"/>
              <c:showSerName val="0"/>
              <c:showPercent val="0"/>
              <c:showBubbleSize val="0"/>
            </c:dLbl>
            <c:dLbl>
              <c:idx val="10"/>
              <c:tx>
                <c:rich>
                  <a:bodyPr/>
                  <a:lstStyle/>
                  <a:p>
                    <a:r>
                      <a:rPr lang="en-GB"/>
                      <a:t>2005</a:t>
                    </a:r>
                  </a:p>
                </c:rich>
              </c:tx>
              <c:showLegendKey val="0"/>
              <c:showVal val="0"/>
              <c:showCatName val="0"/>
              <c:showSerName val="0"/>
              <c:showPercent val="0"/>
              <c:showBubbleSize val="0"/>
            </c:dLbl>
            <c:dLbl>
              <c:idx val="11"/>
              <c:tx>
                <c:rich>
                  <a:bodyPr/>
                  <a:lstStyle/>
                  <a:p>
                    <a:r>
                      <a:rPr lang="en-GB"/>
                      <a:t>2006</a:t>
                    </a:r>
                  </a:p>
                </c:rich>
              </c:tx>
              <c:showLegendKey val="0"/>
              <c:showVal val="0"/>
              <c:showCatName val="0"/>
              <c:showSerName val="0"/>
              <c:showPercent val="0"/>
              <c:showBubbleSize val="0"/>
            </c:dLbl>
            <c:dLbl>
              <c:idx val="12"/>
              <c:tx>
                <c:rich>
                  <a:bodyPr/>
                  <a:lstStyle/>
                  <a:p>
                    <a:r>
                      <a:t>2007</a:t>
                    </a:r>
                  </a:p>
                </c:rich>
              </c:tx>
              <c:showLegendKey val="0"/>
              <c:showVal val="0"/>
              <c:showCatName val="0"/>
              <c:showSerName val="0"/>
              <c:showPercent val="0"/>
              <c:showBubbleSize val="0"/>
            </c:dLbl>
            <c:dLbl>
              <c:idx val="13"/>
              <c:tx>
                <c:rich>
                  <a:bodyPr/>
                  <a:lstStyle/>
                  <a:p>
                    <a:r>
                      <a:t>2008</a:t>
                    </a:r>
                  </a:p>
                </c:rich>
              </c:tx>
              <c:showLegendKey val="0"/>
              <c:showVal val="0"/>
              <c:showCatName val="0"/>
              <c:showSerName val="0"/>
              <c:showPercent val="0"/>
              <c:showBubbleSize val="0"/>
            </c:dLbl>
            <c:dLbl>
              <c:idx val="14"/>
              <c:tx>
                <c:rich>
                  <a:bodyPr/>
                  <a:lstStyle/>
                  <a:p>
                    <a:r>
                      <a:t>2009</a:t>
                    </a:r>
                  </a:p>
                </c:rich>
              </c:tx>
              <c:showLegendKey val="0"/>
              <c:showVal val="0"/>
              <c:showCatName val="0"/>
              <c:showSerName val="0"/>
              <c:showPercent val="0"/>
              <c:showBubbleSize val="0"/>
            </c:dLbl>
            <c:spPr>
              <a:noFill/>
              <a:ln w="25400">
                <a:noFill/>
              </a:ln>
            </c:spPr>
            <c:txPr>
              <a:bodyPr/>
              <a:lstStyle/>
              <a:p>
                <a:pPr>
                  <a:defRPr sz="8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trendline>
            <c:spPr>
              <a:ln w="25400">
                <a:solidFill>
                  <a:srgbClr val="FF0000"/>
                </a:solidFill>
                <a:prstDash val="solid"/>
              </a:ln>
            </c:spPr>
            <c:trendlineType val="linear"/>
            <c:dispRSqr val="0"/>
            <c:dispEq val="0"/>
          </c:trendline>
          <c:xVal>
            <c:numRef>
              <c:f>'VVP2'!$G$131:$AA$131</c:f>
              <c:numCache>
                <c:formatCode>0.0</c:formatCode>
                <c:ptCount val="4"/>
                <c:pt idx="0">
                  <c:v>3.8269382239940919</c:v>
                </c:pt>
                <c:pt idx="1">
                  <c:v>3.498577230569011</c:v>
                </c:pt>
                <c:pt idx="2" formatCode="0.000">
                  <c:v>3.5375855747539431</c:v>
                </c:pt>
                <c:pt idx="3" formatCode="0.000">
                  <c:v>2.0346676424249033</c:v>
                </c:pt>
              </c:numCache>
            </c:numRef>
          </c:xVal>
          <c:yVal>
            <c:numRef>
              <c:f>Labour1!$G$49:$AC$49</c:f>
              <c:numCache>
                <c:formatCode>0.0</c:formatCode>
                <c:ptCount val="14"/>
                <c:pt idx="0">
                  <c:v>1.2393411365923646</c:v>
                </c:pt>
                <c:pt idx="1">
                  <c:v>2.4125904612433358</c:v>
                </c:pt>
                <c:pt idx="2">
                  <c:v>-9.1097167474052387E-2</c:v>
                </c:pt>
                <c:pt idx="3">
                  <c:v>5.1265445249254471</c:v>
                </c:pt>
                <c:pt idx="4" formatCode="0.00">
                  <c:v>2.1051181038535649</c:v>
                </c:pt>
                <c:pt idx="5" formatCode="0.00">
                  <c:v>-8.0102887355810957</c:v>
                </c:pt>
                <c:pt idx="6" formatCode="0.00">
                  <c:v>-4.1122608372960112</c:v>
                </c:pt>
                <c:pt idx="7" formatCode="0.00">
                  <c:v>0.79832235302590426</c:v>
                </c:pt>
                <c:pt idx="8" formatCode="0.00">
                  <c:v>1.2446984240367831</c:v>
                </c:pt>
                <c:pt idx="9" formatCode="0.00">
                  <c:v>0.51239538226812709</c:v>
                </c:pt>
                <c:pt idx="10" formatCode="0.00">
                  <c:v>1.6214793366675417</c:v>
                </c:pt>
                <c:pt idx="11" formatCode="0.00">
                  <c:v>1.1069091160268663</c:v>
                </c:pt>
                <c:pt idx="12" formatCode="0.00">
                  <c:v>1.9043552519214302</c:v>
                </c:pt>
                <c:pt idx="13" formatCode="0.00">
                  <c:v>-0.13408195759657682</c:v>
                </c:pt>
              </c:numCache>
            </c:numRef>
          </c:yVal>
          <c:smooth val="0"/>
        </c:ser>
        <c:dLbls>
          <c:showLegendKey val="0"/>
          <c:showVal val="0"/>
          <c:showCatName val="0"/>
          <c:showSerName val="0"/>
          <c:showPercent val="0"/>
          <c:showBubbleSize val="0"/>
        </c:dLbls>
        <c:axId val="304365952"/>
        <c:axId val="304367488"/>
      </c:scatterChart>
      <c:valAx>
        <c:axId val="304365952"/>
        <c:scaling>
          <c:orientation val="minMax"/>
        </c:scaling>
        <c:delete val="0"/>
        <c:axPos val="b"/>
        <c:majorGridlines>
          <c:spPr>
            <a:ln w="3175">
              <a:solidFill>
                <a:srgbClr val="000000"/>
              </a:solidFill>
              <a:prstDash val="solid"/>
            </a:ln>
          </c:spPr>
        </c:majorGridlines>
        <c:numFmt formatCode="0.0" sourceLinked="1"/>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04367488"/>
        <c:crosses val="autoZero"/>
        <c:crossBetween val="midCat"/>
      </c:valAx>
      <c:valAx>
        <c:axId val="304367488"/>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04365952"/>
        <c:crosses val="autoZero"/>
        <c:crossBetween val="midCat"/>
      </c:valAx>
      <c:spPr>
        <a:noFill/>
        <a:ln w="12700">
          <a:solidFill>
            <a:srgbClr val="808080"/>
          </a:solidFill>
          <a:prstDash val="solid"/>
        </a:ln>
      </c:spPr>
    </c:plotArea>
    <c:legend>
      <c:legendPos val="b"/>
      <c:layout>
        <c:manualLayout>
          <c:xMode val="edge"/>
          <c:yMode val="edge"/>
          <c:x val="0.17410737720284963"/>
          <c:y val="0.8539325842696629"/>
          <c:w val="0.6517864173228346"/>
          <c:h val="0.1264044943820225"/>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Public sector gross real wage growth (DG BUDG)</a:t>
            </a:r>
          </a:p>
        </c:rich>
      </c:tx>
      <c:layout>
        <c:manualLayout>
          <c:xMode val="edge"/>
          <c:yMode val="edge"/>
          <c:x val="0.15401809148856391"/>
          <c:y val="3.3707865168539325E-2"/>
        </c:manualLayout>
      </c:layout>
      <c:overlay val="0"/>
      <c:spPr>
        <a:noFill/>
        <a:ln w="25400">
          <a:noFill/>
        </a:ln>
      </c:spPr>
    </c:title>
    <c:autoTitleDeleted val="0"/>
    <c:plotArea>
      <c:layout>
        <c:manualLayout>
          <c:layoutTarget val="inner"/>
          <c:xMode val="edge"/>
          <c:yMode val="edge"/>
          <c:x val="0.15178587971919438"/>
          <c:y val="0.17696629213483145"/>
          <c:w val="0.77678656091587717"/>
          <c:h val="0.5252808988764045"/>
        </c:manualLayout>
      </c:layout>
      <c:lineChart>
        <c:grouping val="standard"/>
        <c:varyColors val="0"/>
        <c:ser>
          <c:idx val="0"/>
          <c:order val="0"/>
          <c:tx>
            <c:strRef>
              <c:f>Labour1!$E$130</c:f>
              <c:strCache>
                <c:ptCount val="1"/>
                <c:pt idx="0">
                  <c:v>Gross real wage growth per employee in public sector (July - July estimates)</c:v>
                </c:pt>
              </c:strCache>
            </c:strRef>
          </c:tx>
          <c:cat>
            <c:strRef>
              <c:f>Labour1!$G$125:$U$125</c:f>
              <c:strCache>
                <c:ptCount val="6"/>
                <c:pt idx="0">
                  <c:v>2003-2004</c:v>
                </c:pt>
                <c:pt idx="1">
                  <c:v>2004-2005</c:v>
                </c:pt>
                <c:pt idx="2">
                  <c:v>2005-2006</c:v>
                </c:pt>
                <c:pt idx="3">
                  <c:v>2006-2007</c:v>
                </c:pt>
                <c:pt idx="4">
                  <c:v>2007-2008</c:v>
                </c:pt>
                <c:pt idx="5">
                  <c:v>2008-2009</c:v>
                </c:pt>
              </c:strCache>
            </c:strRef>
          </c:cat>
          <c:val>
            <c:numRef>
              <c:f>Labour1!$G$130:$U$130</c:f>
              <c:numCache>
                <c:formatCode>0.0%</c:formatCode>
                <c:ptCount val="6"/>
                <c:pt idx="0">
                  <c:v>6.4512929566207244E-2</c:v>
                </c:pt>
                <c:pt idx="1">
                  <c:v>4.3987722922095518E-2</c:v>
                </c:pt>
                <c:pt idx="2">
                  <c:v>0.18479283641529065</c:v>
                </c:pt>
                <c:pt idx="3">
                  <c:v>7.3784768911020704E-2</c:v>
                </c:pt>
                <c:pt idx="4">
                  <c:v>4.6580475685642497E-4</c:v>
                </c:pt>
                <c:pt idx="5">
                  <c:v>6.1448125632581618E-3</c:v>
                </c:pt>
              </c:numCache>
            </c:numRef>
          </c:val>
          <c:smooth val="0"/>
        </c:ser>
        <c:dLbls>
          <c:showLegendKey val="0"/>
          <c:showVal val="0"/>
          <c:showCatName val="0"/>
          <c:showSerName val="0"/>
          <c:showPercent val="0"/>
          <c:showBubbleSize val="0"/>
        </c:dLbls>
        <c:marker val="1"/>
        <c:smooth val="0"/>
        <c:axId val="304945024"/>
        <c:axId val="304946560"/>
      </c:lineChart>
      <c:catAx>
        <c:axId val="304945024"/>
        <c:scaling>
          <c:orientation val="minMax"/>
        </c:scaling>
        <c:delete val="0"/>
        <c:axPos val="b"/>
        <c:majorGridlines>
          <c:spPr>
            <a:ln w="3175">
              <a:solidFill>
                <a:srgbClr val="000000"/>
              </a:solidFill>
              <a:prstDash val="solid"/>
            </a:ln>
          </c:spPr>
        </c:majorGridlines>
        <c:numFmt formatCode="General"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04946560"/>
        <c:crosses val="autoZero"/>
        <c:auto val="1"/>
        <c:lblAlgn val="ctr"/>
        <c:lblOffset val="100"/>
        <c:tickLblSkip val="2"/>
        <c:tickMarkSkip val="1"/>
        <c:noMultiLvlLbl val="0"/>
      </c:catAx>
      <c:valAx>
        <c:axId val="304946560"/>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04945024"/>
        <c:crosses val="autoZero"/>
        <c:crossBetween val="midCat"/>
      </c:valAx>
      <c:spPr>
        <a:noFill/>
        <a:ln w="12700">
          <a:solidFill>
            <a:srgbClr val="808080"/>
          </a:solidFill>
          <a:prstDash val="solid"/>
        </a:ln>
      </c:spPr>
    </c:plotArea>
    <c:legend>
      <c:legendPos val="b"/>
      <c:layout>
        <c:manualLayout>
          <c:xMode val="edge"/>
          <c:yMode val="edge"/>
          <c:x val="3.3482142857142856E-2"/>
          <c:y val="0.8679775280898876"/>
          <c:w val="0.93303665166854133"/>
          <c:h val="0.11235955056179781"/>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Indirect taxes, GDP and private consumption</a:t>
            </a:r>
          </a:p>
        </c:rich>
      </c:tx>
      <c:layout>
        <c:manualLayout>
          <c:xMode val="edge"/>
          <c:yMode val="edge"/>
          <c:x val="0.18080380577427821"/>
          <c:y val="3.3613445378151259E-2"/>
        </c:manualLayout>
      </c:layout>
      <c:overlay val="0"/>
      <c:spPr>
        <a:noFill/>
        <a:ln w="25400">
          <a:noFill/>
        </a:ln>
      </c:spPr>
    </c:title>
    <c:autoTitleDeleted val="0"/>
    <c:plotArea>
      <c:layout>
        <c:manualLayout>
          <c:layoutTarget val="inner"/>
          <c:xMode val="edge"/>
          <c:yMode val="edge"/>
          <c:x val="0.10044653804946686"/>
          <c:y val="0.17366994285589235"/>
          <c:w val="0.83259019316558092"/>
          <c:h val="0.52100982856767708"/>
        </c:manualLayout>
      </c:layout>
      <c:lineChart>
        <c:grouping val="standard"/>
        <c:varyColors val="0"/>
        <c:ser>
          <c:idx val="0"/>
          <c:order val="0"/>
          <c:tx>
            <c:strRef>
              <c:f>Sector1!$D$22:$E$22</c:f>
              <c:strCache>
                <c:ptCount val="1"/>
                <c:pt idx="0">
                  <c:v>GVT Taxes on production and imports (D.2r = D.21r+D.29r)</c:v>
                </c:pt>
              </c:strCache>
            </c:strRef>
          </c:tx>
          <c:spPr>
            <a:ln w="25400">
              <a:solidFill>
                <a:srgbClr val="FF0000"/>
              </a:solidFill>
              <a:prstDash val="solid"/>
            </a:ln>
          </c:spPr>
          <c:marker>
            <c:symbol val="diamond"/>
            <c:size val="5"/>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Sector1!$G$22:$AC$22</c:f>
              <c:numCache>
                <c:formatCode>0.0</c:formatCode>
                <c:ptCount val="12"/>
                <c:pt idx="0">
                  <c:v>15.667895487904326</c:v>
                </c:pt>
                <c:pt idx="1">
                  <c:v>24.009076655883852</c:v>
                </c:pt>
                <c:pt idx="2">
                  <c:v>12.240069877270642</c:v>
                </c:pt>
                <c:pt idx="3">
                  <c:v>-17.840843740272348</c:v>
                </c:pt>
                <c:pt idx="4">
                  <c:v>6.5764631843927113</c:v>
                </c:pt>
                <c:pt idx="5">
                  <c:v>9.3195471279742925</c:v>
                </c:pt>
                <c:pt idx="6">
                  <c:v>2.6310422752576779</c:v>
                </c:pt>
                <c:pt idx="7">
                  <c:v>3.1489741062869392</c:v>
                </c:pt>
                <c:pt idx="8">
                  <c:v>6.2009611229414618</c:v>
                </c:pt>
                <c:pt idx="9">
                  <c:v>6.4735239757423679</c:v>
                </c:pt>
                <c:pt idx="10">
                  <c:v>4.3541922309220826</c:v>
                </c:pt>
                <c:pt idx="11" formatCode="0.00">
                  <c:v>8.7193167077012532</c:v>
                </c:pt>
              </c:numCache>
            </c:numRef>
          </c:val>
          <c:smooth val="0"/>
        </c:ser>
        <c:ser>
          <c:idx val="1"/>
          <c:order val="1"/>
          <c:tx>
            <c:strRef>
              <c:f>'VVP2'!$E$348</c:f>
              <c:strCache>
                <c:ptCount val="1"/>
                <c:pt idx="0">
                  <c:v>GDP</c:v>
                </c:pt>
              </c:strCache>
            </c:strRef>
          </c:tx>
          <c:spPr>
            <a:ln w="25400">
              <a:solidFill>
                <a:srgbClr val="0000FF"/>
              </a:solidFill>
              <a:prstDash val="solid"/>
            </a:ln>
          </c:spPr>
          <c:marker>
            <c:symbol val="circle"/>
            <c:size val="5"/>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'VVP2'!$G$348:$AA$348</c:f>
              <c:numCache>
                <c:formatCode>0.0</c:formatCode>
                <c:ptCount val="4"/>
                <c:pt idx="0">
                  <c:v>6.6287411287878184</c:v>
                </c:pt>
                <c:pt idx="1">
                  <c:v>4.8313146506227644</c:v>
                </c:pt>
                <c:pt idx="2">
                  <c:v>4.6013904601447608</c:v>
                </c:pt>
                <c:pt idx="3">
                  <c:v>2.3471981728427016</c:v>
                </c:pt>
              </c:numCache>
            </c:numRef>
          </c:val>
          <c:smooth val="0"/>
        </c:ser>
        <c:ser>
          <c:idx val="2"/>
          <c:order val="2"/>
          <c:tx>
            <c:strRef>
              <c:f>'VVP2'!$D$188:$E$188</c:f>
              <c:strCache>
                <c:ptCount val="1"/>
                <c:pt idx="0">
                  <c:v>HH Final consumption expenditure (P.3)</c:v>
                </c:pt>
              </c:strCache>
            </c:strRef>
          </c:tx>
          <c:spPr>
            <a:ln w="25400">
              <a:solidFill>
                <a:srgbClr val="008000"/>
              </a:solidFill>
              <a:prstDash val="solid"/>
            </a:ln>
          </c:spPr>
          <c:marker>
            <c:symbol val="circle"/>
            <c:size val="5"/>
            <c:spPr>
              <a:solidFill>
                <a:srgbClr val="FFFFFF"/>
              </a:solidFill>
              <a:ln>
                <a:solidFill>
                  <a:srgbClr val="008000"/>
                </a:solidFill>
                <a:prstDash val="solid"/>
              </a:ln>
            </c:spPr>
          </c:marker>
          <c:val>
            <c:numRef>
              <c:f>'VVP2'!$G$188:$AA$188</c:f>
              <c:numCache>
                <c:formatCode>0.0</c:formatCode>
                <c:ptCount val="4"/>
                <c:pt idx="0">
                  <c:v>6.2742499558684717</c:v>
                </c:pt>
                <c:pt idx="1">
                  <c:v>5.3520737522436024</c:v>
                </c:pt>
                <c:pt idx="2">
                  <c:v>4.0906766427303953</c:v>
                </c:pt>
                <c:pt idx="3">
                  <c:v>3.0593383975462629</c:v>
                </c:pt>
              </c:numCache>
            </c:numRef>
          </c:val>
          <c:smooth val="0"/>
        </c:ser>
        <c:dLbls>
          <c:showLegendKey val="0"/>
          <c:showVal val="0"/>
          <c:showCatName val="0"/>
          <c:showSerName val="0"/>
          <c:showPercent val="0"/>
          <c:showBubbleSize val="0"/>
        </c:dLbls>
        <c:marker val="1"/>
        <c:smooth val="0"/>
        <c:axId val="310788480"/>
        <c:axId val="310790400"/>
      </c:lineChart>
      <c:catAx>
        <c:axId val="310788480"/>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10790400"/>
        <c:crosses val="autoZero"/>
        <c:auto val="1"/>
        <c:lblAlgn val="ctr"/>
        <c:lblOffset val="100"/>
        <c:tickLblSkip val="2"/>
        <c:tickMarkSkip val="1"/>
        <c:noMultiLvlLbl val="0"/>
      </c:catAx>
      <c:valAx>
        <c:axId val="310790400"/>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10788480"/>
        <c:crosses val="autoZero"/>
        <c:crossBetween val="midCat"/>
      </c:valAx>
      <c:spPr>
        <a:noFill/>
        <a:ln w="12700">
          <a:solidFill>
            <a:srgbClr val="808080"/>
          </a:solidFill>
          <a:prstDash val="solid"/>
        </a:ln>
      </c:spPr>
    </c:plotArea>
    <c:legend>
      <c:legendPos val="r"/>
      <c:layout>
        <c:manualLayout>
          <c:xMode val="edge"/>
          <c:yMode val="edge"/>
          <c:x val="5.3571428571428568E-2"/>
          <c:y val="0.81232728261908438"/>
          <c:w val="0.89509022309711284"/>
          <c:h val="0.16806781505253021"/>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Indirect taxes related to private consumption</a:t>
            </a:r>
          </a:p>
        </c:rich>
      </c:tx>
      <c:layout>
        <c:manualLayout>
          <c:xMode val="edge"/>
          <c:yMode val="edge"/>
          <c:x val="0.17857166291713536"/>
          <c:y val="3.3613445378151259E-2"/>
        </c:manualLayout>
      </c:layout>
      <c:overlay val="0"/>
      <c:spPr>
        <a:noFill/>
        <a:ln w="25400">
          <a:noFill/>
        </a:ln>
      </c:spPr>
    </c:title>
    <c:autoTitleDeleted val="0"/>
    <c:plotArea>
      <c:layout>
        <c:manualLayout>
          <c:layoutTarget val="inner"/>
          <c:xMode val="edge"/>
          <c:yMode val="edge"/>
          <c:x val="5.8035777539691968E-2"/>
          <c:y val="0.17366994285589235"/>
          <c:w val="0.88616168012529661"/>
          <c:h val="0.61344705621678108"/>
        </c:manualLayout>
      </c:layout>
      <c:scatterChart>
        <c:scatterStyle val="lineMarker"/>
        <c:varyColors val="0"/>
        <c:ser>
          <c:idx val="0"/>
          <c:order val="0"/>
          <c:tx>
            <c:strRef>
              <c:f>Sector1!$D$34:$E$34</c:f>
              <c:strCache>
                <c:ptCount val="1"/>
                <c:pt idx="0">
                  <c:v>GVT+EXT Taxes on production and imports (D.2r)</c:v>
                </c:pt>
              </c:strCache>
            </c:strRef>
          </c:tx>
          <c:spPr>
            <a:ln w="28575">
              <a:noFill/>
            </a:ln>
          </c:spPr>
          <c:marker>
            <c:symbol val="circle"/>
            <c:size val="7"/>
            <c:spPr>
              <a:solidFill>
                <a:srgbClr val="FFFFFF"/>
              </a:solidFill>
              <a:ln>
                <a:solidFill>
                  <a:srgbClr val="008080"/>
                </a:solidFill>
                <a:prstDash val="solid"/>
              </a:ln>
            </c:spPr>
          </c:marker>
          <c:dLbls>
            <c:dLbl>
              <c:idx val="1"/>
              <c:tx>
                <c:rich>
                  <a:bodyPr/>
                  <a:lstStyle/>
                  <a:p>
                    <a:r>
                      <a:t>1996</a:t>
                    </a:r>
                  </a:p>
                </c:rich>
              </c:tx>
              <c:showLegendKey val="0"/>
              <c:showVal val="0"/>
              <c:showCatName val="0"/>
              <c:showSerName val="0"/>
              <c:showPercent val="0"/>
              <c:showBubbleSize val="0"/>
            </c:dLbl>
            <c:dLbl>
              <c:idx val="2"/>
              <c:tx>
                <c:rich>
                  <a:bodyPr/>
                  <a:lstStyle/>
                  <a:p>
                    <a:r>
                      <a:t>1997</a:t>
                    </a:r>
                  </a:p>
                </c:rich>
              </c:tx>
              <c:showLegendKey val="0"/>
              <c:showVal val="0"/>
              <c:showCatName val="0"/>
              <c:showSerName val="0"/>
              <c:showPercent val="0"/>
              <c:showBubbleSize val="0"/>
            </c:dLbl>
            <c:dLbl>
              <c:idx val="3"/>
              <c:tx>
                <c:rich>
                  <a:bodyPr/>
                  <a:lstStyle/>
                  <a:p>
                    <a:r>
                      <a:t>1998</a:t>
                    </a:r>
                  </a:p>
                </c:rich>
              </c:tx>
              <c:showLegendKey val="0"/>
              <c:showVal val="0"/>
              <c:showCatName val="0"/>
              <c:showSerName val="0"/>
              <c:showPercent val="0"/>
              <c:showBubbleSize val="0"/>
            </c:dLbl>
            <c:dLbl>
              <c:idx val="4"/>
              <c:tx>
                <c:rich>
                  <a:bodyPr/>
                  <a:lstStyle/>
                  <a:p>
                    <a:r>
                      <a:t>1999</a:t>
                    </a:r>
                  </a:p>
                </c:rich>
              </c:tx>
              <c:showLegendKey val="0"/>
              <c:showVal val="0"/>
              <c:showCatName val="0"/>
              <c:showSerName val="0"/>
              <c:showPercent val="0"/>
              <c:showBubbleSize val="0"/>
            </c:dLbl>
            <c:dLbl>
              <c:idx val="5"/>
              <c:tx>
                <c:rich>
                  <a:bodyPr/>
                  <a:lstStyle/>
                  <a:p>
                    <a:r>
                      <a:t>2000</a:t>
                    </a:r>
                  </a:p>
                </c:rich>
              </c:tx>
              <c:showLegendKey val="0"/>
              <c:showVal val="0"/>
              <c:showCatName val="0"/>
              <c:showSerName val="0"/>
              <c:showPercent val="0"/>
              <c:showBubbleSize val="0"/>
            </c:dLbl>
            <c:dLbl>
              <c:idx val="6"/>
              <c:tx>
                <c:rich>
                  <a:bodyPr/>
                  <a:lstStyle/>
                  <a:p>
                    <a:r>
                      <a:t>2001</a:t>
                    </a:r>
                  </a:p>
                </c:rich>
              </c:tx>
              <c:showLegendKey val="0"/>
              <c:showVal val="0"/>
              <c:showCatName val="0"/>
              <c:showSerName val="0"/>
              <c:showPercent val="0"/>
              <c:showBubbleSize val="0"/>
            </c:dLbl>
            <c:dLbl>
              <c:idx val="7"/>
              <c:tx>
                <c:rich>
                  <a:bodyPr/>
                  <a:lstStyle/>
                  <a:p>
                    <a:r>
                      <a:t>2002</a:t>
                    </a:r>
                  </a:p>
                </c:rich>
              </c:tx>
              <c:showLegendKey val="0"/>
              <c:showVal val="0"/>
              <c:showCatName val="0"/>
              <c:showSerName val="0"/>
              <c:showPercent val="0"/>
              <c:showBubbleSize val="0"/>
            </c:dLbl>
            <c:dLbl>
              <c:idx val="8"/>
              <c:tx>
                <c:rich>
                  <a:bodyPr/>
                  <a:lstStyle/>
                  <a:p>
                    <a:r>
                      <a:t>2003</a:t>
                    </a:r>
                  </a:p>
                </c:rich>
              </c:tx>
              <c:showLegendKey val="0"/>
              <c:showVal val="0"/>
              <c:showCatName val="0"/>
              <c:showSerName val="0"/>
              <c:showPercent val="0"/>
              <c:showBubbleSize val="0"/>
            </c:dLbl>
            <c:dLbl>
              <c:idx val="9"/>
              <c:tx>
                <c:rich>
                  <a:bodyPr/>
                  <a:lstStyle/>
                  <a:p>
                    <a:r>
                      <a:t>2004</a:t>
                    </a:r>
                  </a:p>
                </c:rich>
              </c:tx>
              <c:showLegendKey val="0"/>
              <c:showVal val="0"/>
              <c:showCatName val="0"/>
              <c:showSerName val="0"/>
              <c:showPercent val="0"/>
              <c:showBubbleSize val="0"/>
            </c:dLbl>
            <c:dLbl>
              <c:idx val="10"/>
              <c:tx>
                <c:rich>
                  <a:bodyPr/>
                  <a:lstStyle/>
                  <a:p>
                    <a:r>
                      <a:t>2005</a:t>
                    </a:r>
                  </a:p>
                </c:rich>
              </c:tx>
              <c:showLegendKey val="0"/>
              <c:showVal val="0"/>
              <c:showCatName val="0"/>
              <c:showSerName val="0"/>
              <c:showPercent val="0"/>
              <c:showBubbleSize val="0"/>
            </c:dLbl>
            <c:dLbl>
              <c:idx val="11"/>
              <c:tx>
                <c:rich>
                  <a:bodyPr/>
                  <a:lstStyle/>
                  <a:p>
                    <a:r>
                      <a:t>2006</a:t>
                    </a:r>
                  </a:p>
                </c:rich>
              </c:tx>
              <c:showLegendKey val="0"/>
              <c:showVal val="0"/>
              <c:showCatName val="0"/>
              <c:showSerName val="0"/>
              <c:showPercent val="0"/>
              <c:showBubbleSize val="0"/>
            </c:dLbl>
            <c:dLbl>
              <c:idx val="12"/>
              <c:tx>
                <c:rich>
                  <a:bodyPr/>
                  <a:lstStyle/>
                  <a:p>
                    <a:r>
                      <a:t>2007</a:t>
                    </a:r>
                  </a:p>
                </c:rich>
              </c:tx>
              <c:showLegendKey val="0"/>
              <c:showVal val="0"/>
              <c:showCatName val="0"/>
              <c:showSerName val="0"/>
              <c:showPercent val="0"/>
              <c:showBubbleSize val="0"/>
            </c:dLbl>
            <c:dLbl>
              <c:idx val="13"/>
              <c:tx>
                <c:rich>
                  <a:bodyPr/>
                  <a:lstStyle/>
                  <a:p>
                    <a:r>
                      <a:t>2008</a:t>
                    </a:r>
                  </a:p>
                </c:rich>
              </c:tx>
              <c:showLegendKey val="0"/>
              <c:showVal val="0"/>
              <c:showCatName val="0"/>
              <c:showSerName val="0"/>
              <c:showPercent val="0"/>
              <c:showBubbleSize val="0"/>
            </c:dLbl>
            <c:dLbl>
              <c:idx val="14"/>
              <c:tx>
                <c:rich>
                  <a:bodyPr/>
                  <a:lstStyle/>
                  <a:p>
                    <a:r>
                      <a:t>2009</a:t>
                    </a:r>
                  </a:p>
                </c:rich>
              </c:tx>
              <c:showLegendKey val="0"/>
              <c:showVal val="0"/>
              <c:showCatName val="0"/>
              <c:showSerName val="0"/>
              <c:showPercent val="0"/>
              <c:showBubbleSize val="0"/>
            </c:dLbl>
            <c:spPr>
              <a:noFill/>
              <a:ln w="25400">
                <a:noFill/>
              </a:ln>
            </c:spPr>
            <c:txPr>
              <a:bodyPr/>
              <a:lstStyle/>
              <a:p>
                <a:pPr>
                  <a:defRPr sz="8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trendline>
            <c:spPr>
              <a:ln w="25400">
                <a:solidFill>
                  <a:srgbClr val="008080"/>
                </a:solidFill>
                <a:prstDash val="solid"/>
              </a:ln>
            </c:spPr>
            <c:trendlineType val="linear"/>
            <c:dispRSqr val="0"/>
            <c:dispEq val="0"/>
          </c:trendline>
          <c:xVal>
            <c:numRef>
              <c:f>'VVP2'!$G$188:$AA$188</c:f>
              <c:numCache>
                <c:formatCode>0.0</c:formatCode>
                <c:ptCount val="4"/>
                <c:pt idx="0">
                  <c:v>6.2742499558684717</c:v>
                </c:pt>
                <c:pt idx="1">
                  <c:v>5.3520737522436024</c:v>
                </c:pt>
                <c:pt idx="2">
                  <c:v>4.0906766427303953</c:v>
                </c:pt>
                <c:pt idx="3">
                  <c:v>3.0593383975462629</c:v>
                </c:pt>
              </c:numCache>
            </c:numRef>
          </c:xVal>
          <c:yVal>
            <c:numRef>
              <c:f>Sector1!$G$35:$AC$35</c:f>
              <c:numCache>
                <c:formatCode>0.0</c:formatCode>
                <c:ptCount val="12"/>
                <c:pt idx="0">
                  <c:v>0</c:v>
                </c:pt>
                <c:pt idx="1">
                  <c:v>0</c:v>
                </c:pt>
                <c:pt idx="2">
                  <c:v>0</c:v>
                </c:pt>
                <c:pt idx="3" formatCode="0.00">
                  <c:v>-18.300014838541312</c:v>
                </c:pt>
                <c:pt idx="4" formatCode="0.00">
                  <c:v>6.695600982013139</c:v>
                </c:pt>
                <c:pt idx="5" formatCode="0.00">
                  <c:v>9.1962456636710996</c:v>
                </c:pt>
                <c:pt idx="6" formatCode="0.00">
                  <c:v>2.4315970542385656</c:v>
                </c:pt>
                <c:pt idx="7" formatCode="0.00">
                  <c:v>3.4182001380189675</c:v>
                </c:pt>
                <c:pt idx="8" formatCode="0.00">
                  <c:v>6.1197460762075551</c:v>
                </c:pt>
                <c:pt idx="9" formatCode="0.00">
                  <c:v>6.7922841144376633</c:v>
                </c:pt>
                <c:pt idx="10" formatCode="0.00">
                  <c:v>3.9880178120865306</c:v>
                </c:pt>
                <c:pt idx="11" formatCode="0.00">
                  <c:v>8.6055189073278129</c:v>
                </c:pt>
              </c:numCache>
            </c:numRef>
          </c:yVal>
          <c:smooth val="0"/>
        </c:ser>
        <c:ser>
          <c:idx val="1"/>
          <c:order val="1"/>
          <c:tx>
            <c:strRef>
              <c:f>Sector1!$F$23</c:f>
              <c:strCache>
                <c:ptCount val="1"/>
                <c:pt idx="0">
                  <c:v>OECD</c:v>
                </c:pt>
              </c:strCache>
            </c:strRef>
          </c:tx>
          <c:spPr>
            <a:ln w="25400">
              <a:solidFill>
                <a:srgbClr val="FF0000"/>
              </a:solidFill>
              <a:prstDash val="solid"/>
            </a:ln>
          </c:spPr>
          <c:marker>
            <c:symbol val="none"/>
          </c:marker>
          <c:xVal>
            <c:numRef>
              <c:f>'VVP2'!$G$188:$AA$188</c:f>
              <c:numCache>
                <c:formatCode>0.0</c:formatCode>
                <c:ptCount val="4"/>
                <c:pt idx="0">
                  <c:v>6.2742499558684717</c:v>
                </c:pt>
                <c:pt idx="1">
                  <c:v>5.3520737522436024</c:v>
                </c:pt>
                <c:pt idx="2">
                  <c:v>4.0906766427303953</c:v>
                </c:pt>
                <c:pt idx="3">
                  <c:v>3.0593383975462629</c:v>
                </c:pt>
              </c:numCache>
            </c:numRef>
          </c:xVal>
          <c:yVal>
            <c:numRef>
              <c:f>Sector1!$G$23:$AC$23</c:f>
              <c:numCache>
                <c:formatCode>0.0</c:formatCode>
                <c:ptCount val="12"/>
                <c:pt idx="0">
                  <c:v>14.18500075093425</c:v>
                </c:pt>
                <c:pt idx="1">
                  <c:v>19.025147906103477</c:v>
                </c:pt>
                <c:pt idx="2" formatCode="0.00">
                  <c:v>15.168621188573962</c:v>
                </c:pt>
                <c:pt idx="3" formatCode="0.00">
                  <c:v>-13.759763847413298</c:v>
                </c:pt>
                <c:pt idx="4" formatCode="0.00">
                  <c:v>-2.1262160226752647</c:v>
                </c:pt>
                <c:pt idx="5" formatCode="0.00">
                  <c:v>8.9064469500499612</c:v>
                </c:pt>
                <c:pt idx="6" formatCode="0.00">
                  <c:v>6.2742499558684717</c:v>
                </c:pt>
                <c:pt idx="7" formatCode="0.00">
                  <c:v>5.3520737522436024</c:v>
                </c:pt>
                <c:pt idx="8" formatCode="0.00">
                  <c:v>4.0906766427303953</c:v>
                </c:pt>
                <c:pt idx="9" formatCode="0.00">
                  <c:v>3.0593383975462629</c:v>
                </c:pt>
                <c:pt idx="10" formatCode="0.00">
                  <c:v>5.9202577870326012</c:v>
                </c:pt>
                <c:pt idx="11" formatCode="0.00">
                  <c:v>7.790787561124124</c:v>
                </c:pt>
              </c:numCache>
            </c:numRef>
          </c:yVal>
          <c:smooth val="0"/>
        </c:ser>
        <c:dLbls>
          <c:showLegendKey val="0"/>
          <c:showVal val="0"/>
          <c:showCatName val="0"/>
          <c:showSerName val="0"/>
          <c:showPercent val="0"/>
          <c:showBubbleSize val="0"/>
        </c:dLbls>
        <c:axId val="310976896"/>
        <c:axId val="310978432"/>
      </c:scatterChart>
      <c:valAx>
        <c:axId val="310976896"/>
        <c:scaling>
          <c:orientation val="minMax"/>
        </c:scaling>
        <c:delete val="0"/>
        <c:axPos val="b"/>
        <c:majorGridlines>
          <c:spPr>
            <a:ln w="3175">
              <a:solidFill>
                <a:srgbClr val="000000"/>
              </a:solidFill>
              <a:prstDash val="solid"/>
            </a:ln>
          </c:spPr>
        </c:majorGridlines>
        <c:numFmt formatCode="0" sourceLinked="0"/>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10978432"/>
        <c:crosses val="autoZero"/>
        <c:crossBetween val="midCat"/>
      </c:valAx>
      <c:valAx>
        <c:axId val="310978432"/>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10976896"/>
        <c:crosses val="autoZero"/>
        <c:crossBetween val="midCat"/>
      </c:valAx>
      <c:spPr>
        <a:noFill/>
        <a:ln w="12700">
          <a:solidFill>
            <a:srgbClr val="808080"/>
          </a:solidFill>
          <a:prstDash val="solid"/>
        </a:ln>
      </c:spPr>
    </c:plotArea>
    <c:legend>
      <c:legendPos val="r"/>
      <c:layout>
        <c:manualLayout>
          <c:xMode val="edge"/>
          <c:yMode val="edge"/>
          <c:x val="1.7857142857142856E-2"/>
          <c:y val="0.87955417337538688"/>
          <c:w val="0.94642950881139853"/>
          <c:h val="0.10644287111169926"/>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Indirect taxes and its main components</a:t>
            </a:r>
          </a:p>
        </c:rich>
      </c:tx>
      <c:layout>
        <c:manualLayout>
          <c:xMode val="edge"/>
          <c:yMode val="edge"/>
          <c:x val="0.21875023434570678"/>
          <c:y val="3.3613445378151259E-2"/>
        </c:manualLayout>
      </c:layout>
      <c:overlay val="0"/>
      <c:spPr>
        <a:noFill/>
        <a:ln w="25400">
          <a:noFill/>
        </a:ln>
      </c:spPr>
    </c:title>
    <c:autoTitleDeleted val="0"/>
    <c:plotArea>
      <c:layout>
        <c:manualLayout>
          <c:layoutTarget val="inner"/>
          <c:xMode val="edge"/>
          <c:yMode val="edge"/>
          <c:x val="0.11607155507938394"/>
          <c:y val="0.17366994285589235"/>
          <c:w val="0.81696517613566388"/>
          <c:h val="0.4677883944666778"/>
        </c:manualLayout>
      </c:layout>
      <c:lineChart>
        <c:grouping val="standard"/>
        <c:varyColors val="0"/>
        <c:ser>
          <c:idx val="0"/>
          <c:order val="0"/>
          <c:tx>
            <c:strRef>
              <c:f>Sector1!$D$22:$E$22</c:f>
              <c:strCache>
                <c:ptCount val="1"/>
                <c:pt idx="0">
                  <c:v>GVT Taxes on production and imports (D.2r = D.21r+D.29r)</c:v>
                </c:pt>
              </c:strCache>
            </c:strRef>
          </c:tx>
          <c:spPr>
            <a:ln w="25400">
              <a:solidFill>
                <a:srgbClr val="FF0000"/>
              </a:solidFill>
              <a:prstDash val="solid"/>
            </a:ln>
          </c:spPr>
          <c:marker>
            <c:symbol val="diamond"/>
            <c:size val="5"/>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Sector1!$G$22:$AC$22</c:f>
              <c:numCache>
                <c:formatCode>0.0</c:formatCode>
                <c:ptCount val="12"/>
                <c:pt idx="0">
                  <c:v>15.667895487904326</c:v>
                </c:pt>
                <c:pt idx="1">
                  <c:v>24.009076655883852</c:v>
                </c:pt>
                <c:pt idx="2">
                  <c:v>12.240069877270642</c:v>
                </c:pt>
                <c:pt idx="3">
                  <c:v>-17.840843740272348</c:v>
                </c:pt>
                <c:pt idx="4">
                  <c:v>6.5764631843927113</c:v>
                </c:pt>
                <c:pt idx="5">
                  <c:v>9.3195471279742925</c:v>
                </c:pt>
                <c:pt idx="6">
                  <c:v>2.6310422752576779</c:v>
                </c:pt>
                <c:pt idx="7">
                  <c:v>3.1489741062869392</c:v>
                </c:pt>
                <c:pt idx="8">
                  <c:v>6.2009611229414618</c:v>
                </c:pt>
                <c:pt idx="9">
                  <c:v>6.4735239757423679</c:v>
                </c:pt>
                <c:pt idx="10">
                  <c:v>4.3541922309220826</c:v>
                </c:pt>
                <c:pt idx="11" formatCode="0.00">
                  <c:v>8.7193167077012532</c:v>
                </c:pt>
              </c:numCache>
            </c:numRef>
          </c:val>
          <c:smooth val="0"/>
        </c:ser>
        <c:ser>
          <c:idx val="2"/>
          <c:order val="1"/>
          <c:tx>
            <c:strRef>
              <c:f>Sector1!$D$17:$E$17</c:f>
              <c:strCache>
                <c:ptCount val="1"/>
                <c:pt idx="0">
                  <c:v>ECO Taxes on products (D.21p)</c:v>
                </c:pt>
              </c:strCache>
            </c:strRef>
          </c:tx>
          <c:spPr>
            <a:ln w="25400">
              <a:solidFill>
                <a:srgbClr val="0000FF"/>
              </a:solidFill>
              <a:prstDash val="solid"/>
            </a:ln>
          </c:spPr>
          <c:marker>
            <c:symbol val="circle"/>
            <c:size val="5"/>
            <c:spPr>
              <a:solidFill>
                <a:srgbClr val="FFFFFF"/>
              </a:solidFill>
              <a:ln>
                <a:solidFill>
                  <a:srgbClr val="0000FF"/>
                </a:solidFill>
                <a:prstDash val="solid"/>
              </a:ln>
            </c:spPr>
          </c:marker>
          <c:val>
            <c:numRef>
              <c:f>Sector1!$G$17:$AC$17</c:f>
              <c:numCache>
                <c:formatCode>0.0</c:formatCode>
                <c:ptCount val="12"/>
                <c:pt idx="0">
                  <c:v>15.406158752876831</c:v>
                </c:pt>
                <c:pt idx="1">
                  <c:v>24.993397205008172</c:v>
                </c:pt>
                <c:pt idx="2">
                  <c:v>13.342254914270146</c:v>
                </c:pt>
                <c:pt idx="3">
                  <c:v>-19.048519661297213</c:v>
                </c:pt>
                <c:pt idx="4">
                  <c:v>6.5523870554309749</c:v>
                </c:pt>
                <c:pt idx="5">
                  <c:v>9.6996692226732684</c:v>
                </c:pt>
                <c:pt idx="6">
                  <c:v>2.6169713375250536</c:v>
                </c:pt>
                <c:pt idx="7">
                  <c:v>3.2099816628128108</c:v>
                </c:pt>
                <c:pt idx="8">
                  <c:v>6.2326948222638512</c:v>
                </c:pt>
                <c:pt idx="9">
                  <c:v>6.8715056860719992</c:v>
                </c:pt>
                <c:pt idx="10">
                  <c:v>4.8932699134903057</c:v>
                </c:pt>
                <c:pt idx="11">
                  <c:v>8.9684525089707368</c:v>
                </c:pt>
              </c:numCache>
            </c:numRef>
          </c:val>
          <c:smooth val="0"/>
        </c:ser>
        <c:ser>
          <c:idx val="3"/>
          <c:order val="2"/>
          <c:tx>
            <c:strRef>
              <c:f>Sector1!$D$18:$E$18</c:f>
              <c:strCache>
                <c:ptCount val="1"/>
                <c:pt idx="0">
                  <c:v>HH Other taxes on production (D.29p)</c:v>
                </c:pt>
              </c:strCache>
            </c:strRef>
          </c:tx>
          <c:spPr>
            <a:ln w="12700">
              <a:solidFill>
                <a:srgbClr val="339966"/>
              </a:solidFill>
              <a:prstDash val="solid"/>
            </a:ln>
          </c:spPr>
          <c:marker>
            <c:symbol val="square"/>
            <c:size val="5"/>
            <c:spPr>
              <a:solidFill>
                <a:srgbClr val="FFFFFF"/>
              </a:solidFill>
              <a:ln>
                <a:solidFill>
                  <a:srgbClr val="339966"/>
                </a:solidFill>
                <a:prstDash val="solid"/>
              </a:ln>
            </c:spPr>
          </c:marker>
          <c:val>
            <c:numRef>
              <c:f>Sector1!$G$18:$AC$18</c:f>
              <c:numCache>
                <c:formatCode>0.0</c:formatCode>
                <c:ptCount val="12"/>
                <c:pt idx="0">
                  <c:v>-6.8614431164231942</c:v>
                </c:pt>
                <c:pt idx="1">
                  <c:v>16.730038022813677</c:v>
                </c:pt>
                <c:pt idx="2">
                  <c:v>17.38599348534202</c:v>
                </c:pt>
                <c:pt idx="3">
                  <c:v>-23.864030523759961</c:v>
                </c:pt>
                <c:pt idx="4">
                  <c:v>34.123006833712985</c:v>
                </c:pt>
                <c:pt idx="5">
                  <c:v>-19.327445652173914</c:v>
                </c:pt>
                <c:pt idx="6">
                  <c:v>-6.7789473684210506</c:v>
                </c:pt>
                <c:pt idx="7">
                  <c:v>-9.033423667569318E-2</c:v>
                </c:pt>
                <c:pt idx="8">
                  <c:v>-19.620253164556967</c:v>
                </c:pt>
                <c:pt idx="9">
                  <c:v>36.895388076490441</c:v>
                </c:pt>
                <c:pt idx="10">
                  <c:v>0.90386195562859317</c:v>
                </c:pt>
                <c:pt idx="11" formatCode="0.00">
                  <c:v>7</c:v>
                </c:pt>
              </c:numCache>
            </c:numRef>
          </c:val>
          <c:smooth val="0"/>
        </c:ser>
        <c:ser>
          <c:idx val="4"/>
          <c:order val="3"/>
          <c:tx>
            <c:strRef>
              <c:f>Sector1!$D$19:$E$19</c:f>
              <c:strCache>
                <c:ptCount val="1"/>
                <c:pt idx="0">
                  <c:v>E Other taxes on production (D.29p)</c:v>
                </c:pt>
              </c:strCache>
            </c:strRef>
          </c:tx>
          <c:spPr>
            <a:ln w="12700">
              <a:solidFill>
                <a:srgbClr val="993366"/>
              </a:solidFill>
              <a:prstDash val="solid"/>
            </a:ln>
          </c:spPr>
          <c:marker>
            <c:symbol val="square"/>
            <c:size val="5"/>
            <c:spPr>
              <a:solidFill>
                <a:srgbClr val="FFFFFF"/>
              </a:solidFill>
              <a:ln>
                <a:solidFill>
                  <a:srgbClr val="993366"/>
                </a:solidFill>
                <a:prstDash val="solid"/>
              </a:ln>
            </c:spPr>
          </c:marker>
          <c:val>
            <c:numRef>
              <c:f>Sector1!$G$19:$AC$19</c:f>
              <c:numCache>
                <c:formatCode>0.0</c:formatCode>
                <c:ptCount val="12"/>
                <c:pt idx="0">
                  <c:v>25.043351282285297</c:v>
                </c:pt>
                <c:pt idx="1">
                  <c:v>14.787241807167373</c:v>
                </c:pt>
                <c:pt idx="2">
                  <c:v>-2.8486043110574455</c:v>
                </c:pt>
                <c:pt idx="3">
                  <c:v>0.37960599515676208</c:v>
                </c:pt>
                <c:pt idx="4">
                  <c:v>-2.8623590011084388</c:v>
                </c:pt>
                <c:pt idx="5">
                  <c:v>8.3501141092763973</c:v>
                </c:pt>
                <c:pt idx="6">
                  <c:v>4.9374303060339519</c:v>
                </c:pt>
                <c:pt idx="7">
                  <c:v>6.5824428832870874</c:v>
                </c:pt>
                <c:pt idx="8">
                  <c:v>12.678630774343658</c:v>
                </c:pt>
                <c:pt idx="9">
                  <c:v>6.0168116796932569</c:v>
                </c:pt>
                <c:pt idx="10">
                  <c:v>-10.775722168127222</c:v>
                </c:pt>
                <c:pt idx="11" formatCode="0.00">
                  <c:v>5</c:v>
                </c:pt>
              </c:numCache>
            </c:numRef>
          </c:val>
          <c:smooth val="0"/>
        </c:ser>
        <c:dLbls>
          <c:showLegendKey val="0"/>
          <c:showVal val="0"/>
          <c:showCatName val="0"/>
          <c:showSerName val="0"/>
          <c:showPercent val="0"/>
          <c:showBubbleSize val="0"/>
        </c:dLbls>
        <c:marker val="1"/>
        <c:smooth val="0"/>
        <c:axId val="311046144"/>
        <c:axId val="311048064"/>
      </c:lineChart>
      <c:catAx>
        <c:axId val="311046144"/>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11048064"/>
        <c:crosses val="autoZero"/>
        <c:auto val="1"/>
        <c:lblAlgn val="ctr"/>
        <c:lblOffset val="100"/>
        <c:tickLblSkip val="2"/>
        <c:tickMarkSkip val="1"/>
        <c:noMultiLvlLbl val="0"/>
      </c:catAx>
      <c:valAx>
        <c:axId val="311048064"/>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11046144"/>
        <c:crosses val="autoZero"/>
        <c:crossBetween val="midCat"/>
      </c:valAx>
      <c:spPr>
        <a:noFill/>
        <a:ln w="12700">
          <a:solidFill>
            <a:srgbClr val="808080"/>
          </a:solidFill>
          <a:prstDash val="solid"/>
        </a:ln>
      </c:spPr>
    </c:plotArea>
    <c:legend>
      <c:legendPos val="r"/>
      <c:layout>
        <c:manualLayout>
          <c:xMode val="edge"/>
          <c:yMode val="edge"/>
          <c:x val="0.12500023434570678"/>
          <c:y val="0.75910570002279132"/>
          <c:w val="0.85491165166854133"/>
          <c:h val="0.22409022401611567"/>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Direct taxes and GDP</a:t>
            </a:r>
          </a:p>
        </c:rich>
      </c:tx>
      <c:layout>
        <c:manualLayout>
          <c:xMode val="edge"/>
          <c:yMode val="edge"/>
          <c:x val="0.34598261154855642"/>
          <c:y val="3.3613445378151259E-2"/>
        </c:manualLayout>
      </c:layout>
      <c:overlay val="0"/>
      <c:spPr>
        <a:noFill/>
        <a:ln w="25400">
          <a:noFill/>
        </a:ln>
      </c:spPr>
    </c:title>
    <c:autoTitleDeleted val="0"/>
    <c:plotArea>
      <c:layout>
        <c:manualLayout>
          <c:layoutTarget val="inner"/>
          <c:xMode val="edge"/>
          <c:yMode val="edge"/>
          <c:x val="0.10044653804946686"/>
          <c:y val="0.17647107096647127"/>
          <c:w val="0.83259019316558092"/>
          <c:h val="0.61904931243793893"/>
        </c:manualLayout>
      </c:layout>
      <c:lineChart>
        <c:grouping val="standard"/>
        <c:varyColors val="0"/>
        <c:ser>
          <c:idx val="0"/>
          <c:order val="0"/>
          <c:tx>
            <c:strRef>
              <c:f>Sector1!$D$213:$E$213</c:f>
              <c:strCache>
                <c:ptCount val="1"/>
                <c:pt idx="0">
                  <c:v>GVT Current taxes on income and wealth (D.5r)  </c:v>
                </c:pt>
              </c:strCache>
            </c:strRef>
          </c:tx>
          <c:spPr>
            <a:ln w="25400">
              <a:solidFill>
                <a:srgbClr val="FF0000"/>
              </a:solidFill>
              <a:prstDash val="solid"/>
            </a:ln>
          </c:spPr>
          <c:marker>
            <c:symbol val="diamond"/>
            <c:size val="5"/>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Sector1!$G$213:$AC$213</c:f>
              <c:numCache>
                <c:formatCode>0.0</c:formatCode>
                <c:ptCount val="12"/>
                <c:pt idx="0">
                  <c:v>22.41120480388399</c:v>
                </c:pt>
                <c:pt idx="1">
                  <c:v>14.534653637577355</c:v>
                </c:pt>
                <c:pt idx="2">
                  <c:v>14.538916880878162</c:v>
                </c:pt>
                <c:pt idx="3">
                  <c:v>-47.016177153086261</c:v>
                </c:pt>
                <c:pt idx="4">
                  <c:v>-19.036357152242054</c:v>
                </c:pt>
                <c:pt idx="5">
                  <c:v>5.0253081411073763</c:v>
                </c:pt>
                <c:pt idx="6">
                  <c:v>18.282220325514341</c:v>
                </c:pt>
                <c:pt idx="7">
                  <c:v>8.0022394326770616</c:v>
                </c:pt>
                <c:pt idx="8">
                  <c:v>5.7908408641911269</c:v>
                </c:pt>
                <c:pt idx="9">
                  <c:v>10.64173830666455</c:v>
                </c:pt>
                <c:pt idx="10">
                  <c:v>7.9869500391203774</c:v>
                </c:pt>
                <c:pt idx="11" formatCode="0.00">
                  <c:v>5.5073768056504768</c:v>
                </c:pt>
              </c:numCache>
            </c:numRef>
          </c:val>
          <c:smooth val="0"/>
        </c:ser>
        <c:ser>
          <c:idx val="1"/>
          <c:order val="1"/>
          <c:tx>
            <c:strRef>
              <c:f>'VVP2'!$E$348</c:f>
              <c:strCache>
                <c:ptCount val="1"/>
                <c:pt idx="0">
                  <c:v>GDP</c:v>
                </c:pt>
              </c:strCache>
            </c:strRef>
          </c:tx>
          <c:spPr>
            <a:ln w="25400">
              <a:solidFill>
                <a:srgbClr val="0000FF"/>
              </a:solidFill>
              <a:prstDash val="solid"/>
            </a:ln>
          </c:spPr>
          <c:marker>
            <c:symbol val="circle"/>
            <c:size val="5"/>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'VVP2'!$G$348:$AA$348</c:f>
              <c:numCache>
                <c:formatCode>0.0</c:formatCode>
                <c:ptCount val="4"/>
                <c:pt idx="0">
                  <c:v>6.6287411287878184</c:v>
                </c:pt>
                <c:pt idx="1">
                  <c:v>4.8313146506227644</c:v>
                </c:pt>
                <c:pt idx="2">
                  <c:v>4.6013904601447608</c:v>
                </c:pt>
                <c:pt idx="3">
                  <c:v>2.3471981728427016</c:v>
                </c:pt>
              </c:numCache>
            </c:numRef>
          </c:val>
          <c:smooth val="0"/>
        </c:ser>
        <c:dLbls>
          <c:showLegendKey val="0"/>
          <c:showVal val="0"/>
          <c:showCatName val="0"/>
          <c:showSerName val="0"/>
          <c:showPercent val="0"/>
          <c:showBubbleSize val="0"/>
        </c:dLbls>
        <c:marker val="1"/>
        <c:smooth val="0"/>
        <c:axId val="311077120"/>
        <c:axId val="311087488"/>
      </c:lineChart>
      <c:catAx>
        <c:axId val="311077120"/>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11087488"/>
        <c:crosses val="autoZero"/>
        <c:auto val="1"/>
        <c:lblAlgn val="ctr"/>
        <c:lblOffset val="100"/>
        <c:tickLblSkip val="2"/>
        <c:tickMarkSkip val="1"/>
        <c:noMultiLvlLbl val="0"/>
      </c:catAx>
      <c:valAx>
        <c:axId val="311087488"/>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11077120"/>
        <c:crosses val="autoZero"/>
        <c:crossBetween val="midCat"/>
      </c:valAx>
      <c:spPr>
        <a:noFill/>
        <a:ln w="12700">
          <a:solidFill>
            <a:srgbClr val="808080"/>
          </a:solidFill>
          <a:prstDash val="solid"/>
        </a:ln>
      </c:spPr>
    </c:plotArea>
    <c:legend>
      <c:legendPos val="r"/>
      <c:layout>
        <c:manualLayout>
          <c:xMode val="edge"/>
          <c:yMode val="edge"/>
          <c:x val="6.6964285714285712E-2"/>
          <c:y val="0.91316761875353814"/>
          <c:w val="0.86384022309711284"/>
          <c:h val="6.722718483718948E-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Direct taxes related to GDP</a:t>
            </a:r>
          </a:p>
        </c:rich>
      </c:tx>
      <c:layout>
        <c:manualLayout>
          <c:xMode val="edge"/>
          <c:yMode val="edge"/>
          <c:x val="0.30357166291713533"/>
          <c:y val="3.3613445378151259E-2"/>
        </c:manualLayout>
      </c:layout>
      <c:overlay val="0"/>
      <c:spPr>
        <a:noFill/>
        <a:ln w="25400">
          <a:noFill/>
        </a:ln>
      </c:spPr>
    </c:title>
    <c:autoTitleDeleted val="0"/>
    <c:plotArea>
      <c:layout>
        <c:manualLayout>
          <c:layoutTarget val="inner"/>
          <c:xMode val="edge"/>
          <c:yMode val="edge"/>
          <c:x val="5.8035777539691968E-2"/>
          <c:y val="0.17647107096647127"/>
          <c:w val="0.88616168012529661"/>
          <c:h val="0.50140193179362469"/>
        </c:manualLayout>
      </c:layout>
      <c:scatterChart>
        <c:scatterStyle val="lineMarker"/>
        <c:varyColors val="0"/>
        <c:ser>
          <c:idx val="0"/>
          <c:order val="0"/>
          <c:tx>
            <c:strRef>
              <c:f>Sector1!$D$213:$E$213</c:f>
              <c:strCache>
                <c:ptCount val="1"/>
                <c:pt idx="0">
                  <c:v>GVT Current taxes on income and wealth (D.5r)  </c:v>
                </c:pt>
              </c:strCache>
            </c:strRef>
          </c:tx>
          <c:spPr>
            <a:ln w="28575">
              <a:noFill/>
            </a:ln>
          </c:spPr>
          <c:marker>
            <c:symbol val="circle"/>
            <c:size val="7"/>
            <c:spPr>
              <a:solidFill>
                <a:srgbClr val="FFFFFF"/>
              </a:solidFill>
              <a:ln>
                <a:solidFill>
                  <a:srgbClr val="800080"/>
                </a:solidFill>
                <a:prstDash val="solid"/>
              </a:ln>
            </c:spPr>
          </c:marker>
          <c:dLbls>
            <c:dLbl>
              <c:idx val="1"/>
              <c:tx>
                <c:rich>
                  <a:bodyPr/>
                  <a:lstStyle/>
                  <a:p>
                    <a:r>
                      <a:t>1996</a:t>
                    </a:r>
                  </a:p>
                </c:rich>
              </c:tx>
              <c:showLegendKey val="0"/>
              <c:showVal val="0"/>
              <c:showCatName val="0"/>
              <c:showSerName val="0"/>
              <c:showPercent val="0"/>
              <c:showBubbleSize val="0"/>
            </c:dLbl>
            <c:dLbl>
              <c:idx val="2"/>
              <c:tx>
                <c:rich>
                  <a:bodyPr/>
                  <a:lstStyle/>
                  <a:p>
                    <a:r>
                      <a:t>1997</a:t>
                    </a:r>
                  </a:p>
                </c:rich>
              </c:tx>
              <c:showLegendKey val="0"/>
              <c:showVal val="0"/>
              <c:showCatName val="0"/>
              <c:showSerName val="0"/>
              <c:showPercent val="0"/>
              <c:showBubbleSize val="0"/>
            </c:dLbl>
            <c:dLbl>
              <c:idx val="3"/>
              <c:tx>
                <c:rich>
                  <a:bodyPr/>
                  <a:lstStyle/>
                  <a:p>
                    <a:r>
                      <a:t>1998</a:t>
                    </a:r>
                  </a:p>
                </c:rich>
              </c:tx>
              <c:showLegendKey val="0"/>
              <c:showVal val="0"/>
              <c:showCatName val="0"/>
              <c:showSerName val="0"/>
              <c:showPercent val="0"/>
              <c:showBubbleSize val="0"/>
            </c:dLbl>
            <c:dLbl>
              <c:idx val="4"/>
              <c:tx>
                <c:rich>
                  <a:bodyPr/>
                  <a:lstStyle/>
                  <a:p>
                    <a:r>
                      <a:t>1999</a:t>
                    </a:r>
                  </a:p>
                </c:rich>
              </c:tx>
              <c:showLegendKey val="0"/>
              <c:showVal val="0"/>
              <c:showCatName val="0"/>
              <c:showSerName val="0"/>
              <c:showPercent val="0"/>
              <c:showBubbleSize val="0"/>
            </c:dLbl>
            <c:dLbl>
              <c:idx val="5"/>
              <c:tx>
                <c:rich>
                  <a:bodyPr/>
                  <a:lstStyle/>
                  <a:p>
                    <a:r>
                      <a:t>2000</a:t>
                    </a:r>
                  </a:p>
                </c:rich>
              </c:tx>
              <c:showLegendKey val="0"/>
              <c:showVal val="0"/>
              <c:showCatName val="0"/>
              <c:showSerName val="0"/>
              <c:showPercent val="0"/>
              <c:showBubbleSize val="0"/>
            </c:dLbl>
            <c:dLbl>
              <c:idx val="6"/>
              <c:tx>
                <c:rich>
                  <a:bodyPr/>
                  <a:lstStyle/>
                  <a:p>
                    <a:r>
                      <a:t>2001</a:t>
                    </a:r>
                  </a:p>
                </c:rich>
              </c:tx>
              <c:showLegendKey val="0"/>
              <c:showVal val="0"/>
              <c:showCatName val="0"/>
              <c:showSerName val="0"/>
              <c:showPercent val="0"/>
              <c:showBubbleSize val="0"/>
            </c:dLbl>
            <c:dLbl>
              <c:idx val="7"/>
              <c:tx>
                <c:rich>
                  <a:bodyPr/>
                  <a:lstStyle/>
                  <a:p>
                    <a:r>
                      <a:t>2002</a:t>
                    </a:r>
                  </a:p>
                </c:rich>
              </c:tx>
              <c:showLegendKey val="0"/>
              <c:showVal val="0"/>
              <c:showCatName val="0"/>
              <c:showSerName val="0"/>
              <c:showPercent val="0"/>
              <c:showBubbleSize val="0"/>
            </c:dLbl>
            <c:dLbl>
              <c:idx val="8"/>
              <c:tx>
                <c:rich>
                  <a:bodyPr/>
                  <a:lstStyle/>
                  <a:p>
                    <a:r>
                      <a:t>2003</a:t>
                    </a:r>
                  </a:p>
                </c:rich>
              </c:tx>
              <c:showLegendKey val="0"/>
              <c:showVal val="0"/>
              <c:showCatName val="0"/>
              <c:showSerName val="0"/>
              <c:showPercent val="0"/>
              <c:showBubbleSize val="0"/>
            </c:dLbl>
            <c:dLbl>
              <c:idx val="9"/>
              <c:tx>
                <c:rich>
                  <a:bodyPr/>
                  <a:lstStyle/>
                  <a:p>
                    <a:r>
                      <a:t>2004</a:t>
                    </a:r>
                  </a:p>
                </c:rich>
              </c:tx>
              <c:showLegendKey val="0"/>
              <c:showVal val="0"/>
              <c:showCatName val="0"/>
              <c:showSerName val="0"/>
              <c:showPercent val="0"/>
              <c:showBubbleSize val="0"/>
            </c:dLbl>
            <c:dLbl>
              <c:idx val="10"/>
              <c:tx>
                <c:rich>
                  <a:bodyPr/>
                  <a:lstStyle/>
                  <a:p>
                    <a:r>
                      <a:t>2005</a:t>
                    </a:r>
                  </a:p>
                </c:rich>
              </c:tx>
              <c:showLegendKey val="0"/>
              <c:showVal val="0"/>
              <c:showCatName val="0"/>
              <c:showSerName val="0"/>
              <c:showPercent val="0"/>
              <c:showBubbleSize val="0"/>
            </c:dLbl>
            <c:dLbl>
              <c:idx val="11"/>
              <c:tx>
                <c:rich>
                  <a:bodyPr/>
                  <a:lstStyle/>
                  <a:p>
                    <a:r>
                      <a:t>2006</a:t>
                    </a:r>
                  </a:p>
                </c:rich>
              </c:tx>
              <c:showLegendKey val="0"/>
              <c:showVal val="0"/>
              <c:showCatName val="0"/>
              <c:showSerName val="0"/>
              <c:showPercent val="0"/>
              <c:showBubbleSize val="0"/>
            </c:dLbl>
            <c:dLbl>
              <c:idx val="12"/>
              <c:tx>
                <c:rich>
                  <a:bodyPr/>
                  <a:lstStyle/>
                  <a:p>
                    <a:r>
                      <a:t>2007</a:t>
                    </a:r>
                  </a:p>
                </c:rich>
              </c:tx>
              <c:showLegendKey val="0"/>
              <c:showVal val="0"/>
              <c:showCatName val="0"/>
              <c:showSerName val="0"/>
              <c:showPercent val="0"/>
              <c:showBubbleSize val="0"/>
            </c:dLbl>
            <c:dLbl>
              <c:idx val="13"/>
              <c:tx>
                <c:rich>
                  <a:bodyPr/>
                  <a:lstStyle/>
                  <a:p>
                    <a:r>
                      <a:t>2008</a:t>
                    </a:r>
                  </a:p>
                </c:rich>
              </c:tx>
              <c:showLegendKey val="0"/>
              <c:showVal val="0"/>
              <c:showCatName val="0"/>
              <c:showSerName val="0"/>
              <c:showPercent val="0"/>
              <c:showBubbleSize val="0"/>
            </c:dLbl>
            <c:dLbl>
              <c:idx val="14"/>
              <c:tx>
                <c:rich>
                  <a:bodyPr/>
                  <a:lstStyle/>
                  <a:p>
                    <a:r>
                      <a:t>2009</a:t>
                    </a:r>
                  </a:p>
                </c:rich>
              </c:tx>
              <c:showLegendKey val="0"/>
              <c:showVal val="0"/>
              <c:showCatName val="0"/>
              <c:showSerName val="0"/>
              <c:showPercent val="0"/>
              <c:showBubbleSize val="0"/>
            </c:dLbl>
            <c:spPr>
              <a:noFill/>
              <a:ln w="25400">
                <a:noFill/>
              </a:ln>
            </c:spPr>
            <c:txPr>
              <a:bodyPr/>
              <a:lstStyle/>
              <a:p>
                <a:pPr>
                  <a:defRPr sz="8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trendline>
            <c:spPr>
              <a:ln w="25400">
                <a:solidFill>
                  <a:srgbClr val="800080"/>
                </a:solidFill>
                <a:prstDash val="solid"/>
              </a:ln>
            </c:spPr>
            <c:trendlineType val="linear"/>
            <c:dispRSqr val="0"/>
            <c:dispEq val="0"/>
          </c:trendline>
          <c:xVal>
            <c:numRef>
              <c:f>'VVP2'!$G$348:$AA$348</c:f>
              <c:numCache>
                <c:formatCode>0.0</c:formatCode>
                <c:ptCount val="4"/>
                <c:pt idx="0">
                  <c:v>6.6287411287878184</c:v>
                </c:pt>
                <c:pt idx="1">
                  <c:v>4.8313146506227644</c:v>
                </c:pt>
                <c:pt idx="2">
                  <c:v>4.6013904601447608</c:v>
                </c:pt>
                <c:pt idx="3">
                  <c:v>2.3471981728427016</c:v>
                </c:pt>
              </c:numCache>
            </c:numRef>
          </c:xVal>
          <c:yVal>
            <c:numRef>
              <c:f>Sector1!$G$213:$AC$213</c:f>
              <c:numCache>
                <c:formatCode>0.0</c:formatCode>
                <c:ptCount val="12"/>
                <c:pt idx="0">
                  <c:v>22.41120480388399</c:v>
                </c:pt>
                <c:pt idx="1">
                  <c:v>14.534653637577355</c:v>
                </c:pt>
                <c:pt idx="2">
                  <c:v>14.538916880878162</c:v>
                </c:pt>
                <c:pt idx="3">
                  <c:v>-47.016177153086261</c:v>
                </c:pt>
                <c:pt idx="4">
                  <c:v>-19.036357152242054</c:v>
                </c:pt>
                <c:pt idx="5">
                  <c:v>5.0253081411073763</c:v>
                </c:pt>
                <c:pt idx="6">
                  <c:v>18.282220325514341</c:v>
                </c:pt>
                <c:pt idx="7">
                  <c:v>8.0022394326770616</c:v>
                </c:pt>
                <c:pt idx="8">
                  <c:v>5.7908408641911269</c:v>
                </c:pt>
                <c:pt idx="9">
                  <c:v>10.64173830666455</c:v>
                </c:pt>
                <c:pt idx="10">
                  <c:v>7.9869500391203774</c:v>
                </c:pt>
                <c:pt idx="11" formatCode="0.00">
                  <c:v>5.5073768056504768</c:v>
                </c:pt>
              </c:numCache>
            </c:numRef>
          </c:yVal>
          <c:smooth val="0"/>
        </c:ser>
        <c:ser>
          <c:idx val="1"/>
          <c:order val="1"/>
          <c:tx>
            <c:strRef>
              <c:f>Sector1!$F$218</c:f>
              <c:strCache>
                <c:ptCount val="1"/>
                <c:pt idx="0">
                  <c:v>OECD</c:v>
                </c:pt>
              </c:strCache>
            </c:strRef>
          </c:tx>
          <c:spPr>
            <a:ln w="25400">
              <a:solidFill>
                <a:srgbClr val="FF0000"/>
              </a:solidFill>
              <a:prstDash val="solid"/>
            </a:ln>
          </c:spPr>
          <c:marker>
            <c:symbol val="none"/>
          </c:marker>
          <c:xVal>
            <c:numRef>
              <c:f>'VVP2'!$G$348:$AA$348</c:f>
              <c:numCache>
                <c:formatCode>0.0</c:formatCode>
                <c:ptCount val="4"/>
                <c:pt idx="0">
                  <c:v>6.6287411287878184</c:v>
                </c:pt>
                <c:pt idx="1">
                  <c:v>4.8313146506227644</c:v>
                </c:pt>
                <c:pt idx="2">
                  <c:v>4.6013904601447608</c:v>
                </c:pt>
                <c:pt idx="3">
                  <c:v>2.3471981728427016</c:v>
                </c:pt>
              </c:numCache>
            </c:numRef>
          </c:xVal>
          <c:yVal>
            <c:numRef>
              <c:f>Sector1!$G$218:$AC$218</c:f>
              <c:numCache>
                <c:formatCode>0.0</c:formatCode>
                <c:ptCount val="12"/>
                <c:pt idx="0">
                  <c:v>17.301166382093701</c:v>
                </c:pt>
                <c:pt idx="1">
                  <c:v>24.33376584589848</c:v>
                </c:pt>
                <c:pt idx="2">
                  <c:v>14.866007081804277</c:v>
                </c:pt>
                <c:pt idx="3">
                  <c:v>-20.81009103630657</c:v>
                </c:pt>
                <c:pt idx="4">
                  <c:v>4.7916189955983279</c:v>
                </c:pt>
                <c:pt idx="5">
                  <c:v>13.684328425201629</c:v>
                </c:pt>
                <c:pt idx="6">
                  <c:v>7.8283607682993699</c:v>
                </c:pt>
                <c:pt idx="7">
                  <c:v>5.7056495849554327</c:v>
                </c:pt>
                <c:pt idx="8">
                  <c:v>5.4341154463534416</c:v>
                </c:pt>
                <c:pt idx="9">
                  <c:v>2.7719764182533262</c:v>
                </c:pt>
                <c:pt idx="10">
                  <c:v>3.9181355800318345</c:v>
                </c:pt>
                <c:pt idx="11">
                  <c:v>9.502171253426873</c:v>
                </c:pt>
              </c:numCache>
            </c:numRef>
          </c:yVal>
          <c:smooth val="0"/>
        </c:ser>
        <c:dLbls>
          <c:showLegendKey val="0"/>
          <c:showVal val="0"/>
          <c:showCatName val="0"/>
          <c:showSerName val="0"/>
          <c:showPercent val="0"/>
          <c:showBubbleSize val="0"/>
        </c:dLbls>
        <c:axId val="311175424"/>
        <c:axId val="311209984"/>
      </c:scatterChart>
      <c:valAx>
        <c:axId val="311175424"/>
        <c:scaling>
          <c:orientation val="minMax"/>
        </c:scaling>
        <c:delete val="0"/>
        <c:axPos val="b"/>
        <c:majorGridlines>
          <c:spPr>
            <a:ln w="3175">
              <a:solidFill>
                <a:srgbClr val="000000"/>
              </a:solidFill>
              <a:prstDash val="solid"/>
            </a:ln>
          </c:spPr>
        </c:majorGridlines>
        <c:numFmt formatCode="0" sourceLinked="0"/>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11209984"/>
        <c:crosses val="autoZero"/>
        <c:crossBetween val="midCat"/>
      </c:valAx>
      <c:valAx>
        <c:axId val="311209984"/>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11175424"/>
        <c:crosses val="autoZero"/>
        <c:crossBetween val="midCat"/>
      </c:valAx>
      <c:spPr>
        <a:noFill/>
        <a:ln w="12700">
          <a:solidFill>
            <a:srgbClr val="808080"/>
          </a:solidFill>
          <a:prstDash val="solid"/>
        </a:ln>
      </c:spPr>
    </c:plotArea>
    <c:legend>
      <c:legendPos val="r"/>
      <c:layout>
        <c:manualLayout>
          <c:xMode val="edge"/>
          <c:yMode val="edge"/>
          <c:x val="8.9285714285714288E-2"/>
          <c:y val="0.79552026584912183"/>
          <c:w val="0.81919736595425563"/>
          <c:h val="0.18487453774160578"/>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Direct taxes and its main components</a:t>
            </a:r>
          </a:p>
        </c:rich>
      </c:tx>
      <c:layout>
        <c:manualLayout>
          <c:xMode val="edge"/>
          <c:yMode val="edge"/>
          <c:x val="0.22991094863142106"/>
          <c:y val="3.3613445378151259E-2"/>
        </c:manualLayout>
      </c:layout>
      <c:overlay val="0"/>
      <c:spPr>
        <a:noFill/>
        <a:ln w="25400">
          <a:noFill/>
        </a:ln>
      </c:spPr>
    </c:title>
    <c:autoTitleDeleted val="0"/>
    <c:plotArea>
      <c:layout>
        <c:manualLayout>
          <c:layoutTarget val="inner"/>
          <c:xMode val="edge"/>
          <c:yMode val="edge"/>
          <c:x val="0.11607155507938394"/>
          <c:y val="0.17647107096647127"/>
          <c:w val="0.81696517613566388"/>
          <c:h val="0.50140193179362469"/>
        </c:manualLayout>
      </c:layout>
      <c:lineChart>
        <c:grouping val="standard"/>
        <c:varyColors val="0"/>
        <c:ser>
          <c:idx val="0"/>
          <c:order val="0"/>
          <c:tx>
            <c:strRef>
              <c:f>Sector1!$D$213:$E$213</c:f>
              <c:strCache>
                <c:ptCount val="1"/>
                <c:pt idx="0">
                  <c:v>GVT Current taxes on income and wealth (D.5r)  </c:v>
                </c:pt>
              </c:strCache>
            </c:strRef>
          </c:tx>
          <c:spPr>
            <a:ln w="25400">
              <a:solidFill>
                <a:srgbClr val="FF0000"/>
              </a:solidFill>
              <a:prstDash val="solid"/>
            </a:ln>
          </c:spPr>
          <c:marker>
            <c:symbol val="diamond"/>
            <c:size val="5"/>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Sector1!$G$213:$AC$213</c:f>
              <c:numCache>
                <c:formatCode>0.0</c:formatCode>
                <c:ptCount val="12"/>
                <c:pt idx="0">
                  <c:v>22.41120480388399</c:v>
                </c:pt>
                <c:pt idx="1">
                  <c:v>14.534653637577355</c:v>
                </c:pt>
                <c:pt idx="2">
                  <c:v>14.538916880878162</c:v>
                </c:pt>
                <c:pt idx="3">
                  <c:v>-47.016177153086261</c:v>
                </c:pt>
                <c:pt idx="4">
                  <c:v>-19.036357152242054</c:v>
                </c:pt>
                <c:pt idx="5">
                  <c:v>5.0253081411073763</c:v>
                </c:pt>
                <c:pt idx="6">
                  <c:v>18.282220325514341</c:v>
                </c:pt>
                <c:pt idx="7">
                  <c:v>8.0022394326770616</c:v>
                </c:pt>
                <c:pt idx="8">
                  <c:v>5.7908408641911269</c:v>
                </c:pt>
                <c:pt idx="9">
                  <c:v>10.64173830666455</c:v>
                </c:pt>
                <c:pt idx="10">
                  <c:v>7.9869500391203774</c:v>
                </c:pt>
                <c:pt idx="11" formatCode="0.00">
                  <c:v>5.5073768056504768</c:v>
                </c:pt>
              </c:numCache>
            </c:numRef>
          </c:val>
          <c:smooth val="0"/>
        </c:ser>
        <c:ser>
          <c:idx val="2"/>
          <c:order val="1"/>
          <c:tx>
            <c:strRef>
              <c:f>Sector1!$D$209:$E$209</c:f>
              <c:strCache>
                <c:ptCount val="1"/>
                <c:pt idx="0">
                  <c:v>HH Current taxes on income and wealth (D.5p)  </c:v>
                </c:pt>
              </c:strCache>
            </c:strRef>
          </c:tx>
          <c:spPr>
            <a:ln w="25400">
              <a:solidFill>
                <a:srgbClr val="0000FF"/>
              </a:solidFill>
              <a:prstDash val="solid"/>
            </a:ln>
          </c:spPr>
          <c:marker>
            <c:symbol val="circle"/>
            <c:size val="5"/>
            <c:spPr>
              <a:solidFill>
                <a:srgbClr val="FFFFFF"/>
              </a:solidFill>
              <a:ln>
                <a:solidFill>
                  <a:srgbClr val="0000FF"/>
                </a:solidFill>
                <a:prstDash val="solid"/>
              </a:ln>
            </c:spPr>
          </c:marker>
          <c:val>
            <c:numRef>
              <c:f>Sector1!$G$209:$AC$209</c:f>
              <c:numCache>
                <c:formatCode>0.0</c:formatCode>
                <c:ptCount val="12"/>
                <c:pt idx="0">
                  <c:v>13.489304720077167</c:v>
                </c:pt>
                <c:pt idx="1">
                  <c:v>16.076810681600051</c:v>
                </c:pt>
                <c:pt idx="2">
                  <c:v>12.589272547243358</c:v>
                </c:pt>
                <c:pt idx="3">
                  <c:v>-48.260053983000503</c:v>
                </c:pt>
                <c:pt idx="4">
                  <c:v>-5.9924958184530475</c:v>
                </c:pt>
                <c:pt idx="5">
                  <c:v>8.0267751521970965</c:v>
                </c:pt>
                <c:pt idx="6">
                  <c:v>4.9028248889363635</c:v>
                </c:pt>
                <c:pt idx="7">
                  <c:v>7.4335907663583445</c:v>
                </c:pt>
                <c:pt idx="8">
                  <c:v>5.3677649716799891</c:v>
                </c:pt>
                <c:pt idx="9">
                  <c:v>9.2312421279913792</c:v>
                </c:pt>
                <c:pt idx="10">
                  <c:v>6.8903271858720361</c:v>
                </c:pt>
                <c:pt idx="11" formatCode="0.00">
                  <c:v>7.44</c:v>
                </c:pt>
              </c:numCache>
            </c:numRef>
          </c:val>
          <c:smooth val="0"/>
        </c:ser>
        <c:ser>
          <c:idx val="3"/>
          <c:order val="2"/>
          <c:tx>
            <c:strRef>
              <c:f>Sector1!$D$210:$E$210</c:f>
              <c:strCache>
                <c:ptCount val="1"/>
                <c:pt idx="0">
                  <c:v>E Current taxes on income and wealth (D.5p)  </c:v>
                </c:pt>
              </c:strCache>
            </c:strRef>
          </c:tx>
          <c:spPr>
            <a:ln w="25400">
              <a:solidFill>
                <a:srgbClr val="339966"/>
              </a:solidFill>
              <a:prstDash val="solid"/>
            </a:ln>
          </c:spPr>
          <c:marker>
            <c:symbol val="square"/>
            <c:size val="5"/>
            <c:spPr>
              <a:solidFill>
                <a:srgbClr val="FFFFFF"/>
              </a:solidFill>
              <a:ln>
                <a:solidFill>
                  <a:srgbClr val="339966"/>
                </a:solidFill>
                <a:prstDash val="solid"/>
              </a:ln>
            </c:spPr>
          </c:marker>
          <c:val>
            <c:numRef>
              <c:f>Sector1!$G$210:$AC$210</c:f>
              <c:numCache>
                <c:formatCode>0.0</c:formatCode>
                <c:ptCount val="12"/>
                <c:pt idx="0">
                  <c:v>51.755189954630843</c:v>
                </c:pt>
                <c:pt idx="1">
                  <c:v>10.740008153527913</c:v>
                </c:pt>
                <c:pt idx="2">
                  <c:v>20.816176270077193</c:v>
                </c:pt>
                <c:pt idx="3">
                  <c:v>-44.864517148370943</c:v>
                </c:pt>
                <c:pt idx="4">
                  <c:v>-43.516528502712113</c:v>
                </c:pt>
                <c:pt idx="5">
                  <c:v>-8.6936039137524794</c:v>
                </c:pt>
                <c:pt idx="6">
                  <c:v>70.741387521828841</c:v>
                </c:pt>
                <c:pt idx="7">
                  <c:v>10.471873547187371</c:v>
                </c:pt>
                <c:pt idx="8">
                  <c:v>4.8963703314045093</c:v>
                </c:pt>
                <c:pt idx="9">
                  <c:v>14.87202118270079</c:v>
                </c:pt>
                <c:pt idx="10">
                  <c:v>9.2375929871127518</c:v>
                </c:pt>
                <c:pt idx="11" formatCode="0.00">
                  <c:v>0.8696208197455102</c:v>
                </c:pt>
              </c:numCache>
            </c:numRef>
          </c:val>
          <c:smooth val="0"/>
        </c:ser>
        <c:dLbls>
          <c:showLegendKey val="0"/>
          <c:showVal val="0"/>
          <c:showCatName val="0"/>
          <c:showSerName val="0"/>
          <c:showPercent val="0"/>
          <c:showBubbleSize val="0"/>
        </c:dLbls>
        <c:marker val="1"/>
        <c:smooth val="0"/>
        <c:axId val="311239808"/>
        <c:axId val="311241728"/>
      </c:lineChart>
      <c:catAx>
        <c:axId val="311239808"/>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11241728"/>
        <c:crosses val="autoZero"/>
        <c:auto val="1"/>
        <c:lblAlgn val="ctr"/>
        <c:lblOffset val="100"/>
        <c:tickLblSkip val="2"/>
        <c:tickMarkSkip val="1"/>
        <c:noMultiLvlLbl val="0"/>
      </c:catAx>
      <c:valAx>
        <c:axId val="311241728"/>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11239808"/>
        <c:crosses val="autoZero"/>
        <c:crossBetween val="midCat"/>
      </c:valAx>
      <c:spPr>
        <a:noFill/>
        <a:ln w="12700">
          <a:solidFill>
            <a:srgbClr val="808080"/>
          </a:solidFill>
          <a:prstDash val="solid"/>
        </a:ln>
      </c:spPr>
    </c:plotArea>
    <c:legend>
      <c:legendPos val="r"/>
      <c:layout>
        <c:manualLayout>
          <c:xMode val="edge"/>
          <c:yMode val="edge"/>
          <c:x val="0.17633952005999248"/>
          <c:y val="0.79552026584912183"/>
          <c:w val="0.71428641732283471"/>
          <c:h val="0.18487453774160578"/>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Household income tax related to HH compensation of employees (domestic)</a:t>
            </a:r>
          </a:p>
        </c:rich>
      </c:tx>
      <c:layout>
        <c:manualLayout>
          <c:xMode val="edge"/>
          <c:yMode val="edge"/>
          <c:x val="0.11830380577427821"/>
          <c:y val="3.3613445378151259E-2"/>
        </c:manualLayout>
      </c:layout>
      <c:overlay val="0"/>
      <c:spPr>
        <a:noFill/>
        <a:ln w="25400">
          <a:noFill/>
        </a:ln>
      </c:spPr>
    </c:title>
    <c:autoTitleDeleted val="0"/>
    <c:plotArea>
      <c:layout>
        <c:manualLayout>
          <c:layoutTarget val="inner"/>
          <c:xMode val="edge"/>
          <c:yMode val="edge"/>
          <c:x val="0.10044653804946686"/>
          <c:y val="0.22409024884631271"/>
          <c:w val="0.84375091961552173"/>
          <c:h val="0.51260644423594037"/>
        </c:manualLayout>
      </c:layout>
      <c:scatterChart>
        <c:scatterStyle val="lineMarker"/>
        <c:varyColors val="0"/>
        <c:ser>
          <c:idx val="0"/>
          <c:order val="0"/>
          <c:tx>
            <c:strRef>
              <c:f>Sector1!$D$209:$E$209</c:f>
              <c:strCache>
                <c:ptCount val="1"/>
                <c:pt idx="0">
                  <c:v>HH Current taxes on income and wealth (D.5p)  </c:v>
                </c:pt>
              </c:strCache>
            </c:strRef>
          </c:tx>
          <c:spPr>
            <a:ln w="28575">
              <a:noFill/>
            </a:ln>
          </c:spPr>
          <c:marker>
            <c:symbol val="circle"/>
            <c:size val="7"/>
            <c:spPr>
              <a:solidFill>
                <a:srgbClr val="FFFFFF"/>
              </a:solidFill>
              <a:ln>
                <a:solidFill>
                  <a:srgbClr val="0000FF"/>
                </a:solidFill>
                <a:prstDash val="solid"/>
              </a:ln>
            </c:spPr>
          </c:marker>
          <c:dLbls>
            <c:dLbl>
              <c:idx val="1"/>
              <c:tx>
                <c:rich>
                  <a:bodyPr/>
                  <a:lstStyle/>
                  <a:p>
                    <a:r>
                      <a:t>1996</a:t>
                    </a:r>
                  </a:p>
                </c:rich>
              </c:tx>
              <c:showLegendKey val="0"/>
              <c:showVal val="0"/>
              <c:showCatName val="0"/>
              <c:showSerName val="0"/>
              <c:showPercent val="0"/>
              <c:showBubbleSize val="0"/>
            </c:dLbl>
            <c:dLbl>
              <c:idx val="2"/>
              <c:tx>
                <c:rich>
                  <a:bodyPr/>
                  <a:lstStyle/>
                  <a:p>
                    <a:r>
                      <a:t>1997</a:t>
                    </a:r>
                  </a:p>
                </c:rich>
              </c:tx>
              <c:showLegendKey val="0"/>
              <c:showVal val="0"/>
              <c:showCatName val="0"/>
              <c:showSerName val="0"/>
              <c:showPercent val="0"/>
              <c:showBubbleSize val="0"/>
            </c:dLbl>
            <c:dLbl>
              <c:idx val="3"/>
              <c:tx>
                <c:rich>
                  <a:bodyPr/>
                  <a:lstStyle/>
                  <a:p>
                    <a:r>
                      <a:t>1998</a:t>
                    </a:r>
                  </a:p>
                </c:rich>
              </c:tx>
              <c:showLegendKey val="0"/>
              <c:showVal val="0"/>
              <c:showCatName val="0"/>
              <c:showSerName val="0"/>
              <c:showPercent val="0"/>
              <c:showBubbleSize val="0"/>
            </c:dLbl>
            <c:dLbl>
              <c:idx val="4"/>
              <c:tx>
                <c:rich>
                  <a:bodyPr/>
                  <a:lstStyle/>
                  <a:p>
                    <a:r>
                      <a:t>1999</a:t>
                    </a:r>
                  </a:p>
                </c:rich>
              </c:tx>
              <c:showLegendKey val="0"/>
              <c:showVal val="0"/>
              <c:showCatName val="0"/>
              <c:showSerName val="0"/>
              <c:showPercent val="0"/>
              <c:showBubbleSize val="0"/>
            </c:dLbl>
            <c:dLbl>
              <c:idx val="5"/>
              <c:tx>
                <c:rich>
                  <a:bodyPr/>
                  <a:lstStyle/>
                  <a:p>
                    <a:r>
                      <a:t>2000</a:t>
                    </a:r>
                  </a:p>
                </c:rich>
              </c:tx>
              <c:showLegendKey val="0"/>
              <c:showVal val="0"/>
              <c:showCatName val="0"/>
              <c:showSerName val="0"/>
              <c:showPercent val="0"/>
              <c:showBubbleSize val="0"/>
            </c:dLbl>
            <c:dLbl>
              <c:idx val="6"/>
              <c:tx>
                <c:rich>
                  <a:bodyPr/>
                  <a:lstStyle/>
                  <a:p>
                    <a:r>
                      <a:t>2001</a:t>
                    </a:r>
                  </a:p>
                </c:rich>
              </c:tx>
              <c:showLegendKey val="0"/>
              <c:showVal val="0"/>
              <c:showCatName val="0"/>
              <c:showSerName val="0"/>
              <c:showPercent val="0"/>
              <c:showBubbleSize val="0"/>
            </c:dLbl>
            <c:dLbl>
              <c:idx val="7"/>
              <c:tx>
                <c:rich>
                  <a:bodyPr/>
                  <a:lstStyle/>
                  <a:p>
                    <a:r>
                      <a:t>2002</a:t>
                    </a:r>
                  </a:p>
                </c:rich>
              </c:tx>
              <c:showLegendKey val="0"/>
              <c:showVal val="0"/>
              <c:showCatName val="0"/>
              <c:showSerName val="0"/>
              <c:showPercent val="0"/>
              <c:showBubbleSize val="0"/>
            </c:dLbl>
            <c:dLbl>
              <c:idx val="8"/>
              <c:tx>
                <c:rich>
                  <a:bodyPr/>
                  <a:lstStyle/>
                  <a:p>
                    <a:r>
                      <a:t>2003</a:t>
                    </a:r>
                  </a:p>
                </c:rich>
              </c:tx>
              <c:showLegendKey val="0"/>
              <c:showVal val="0"/>
              <c:showCatName val="0"/>
              <c:showSerName val="0"/>
              <c:showPercent val="0"/>
              <c:showBubbleSize val="0"/>
            </c:dLbl>
            <c:dLbl>
              <c:idx val="9"/>
              <c:tx>
                <c:rich>
                  <a:bodyPr/>
                  <a:lstStyle/>
                  <a:p>
                    <a:r>
                      <a:t>2004</a:t>
                    </a:r>
                  </a:p>
                </c:rich>
              </c:tx>
              <c:showLegendKey val="0"/>
              <c:showVal val="0"/>
              <c:showCatName val="0"/>
              <c:showSerName val="0"/>
              <c:showPercent val="0"/>
              <c:showBubbleSize val="0"/>
            </c:dLbl>
            <c:dLbl>
              <c:idx val="10"/>
              <c:tx>
                <c:rich>
                  <a:bodyPr/>
                  <a:lstStyle/>
                  <a:p>
                    <a:r>
                      <a:t>2005</a:t>
                    </a:r>
                  </a:p>
                </c:rich>
              </c:tx>
              <c:showLegendKey val="0"/>
              <c:showVal val="0"/>
              <c:showCatName val="0"/>
              <c:showSerName val="0"/>
              <c:showPercent val="0"/>
              <c:showBubbleSize val="0"/>
            </c:dLbl>
            <c:dLbl>
              <c:idx val="11"/>
              <c:tx>
                <c:rich>
                  <a:bodyPr/>
                  <a:lstStyle/>
                  <a:p>
                    <a:r>
                      <a:t>2006</a:t>
                    </a:r>
                  </a:p>
                </c:rich>
              </c:tx>
              <c:showLegendKey val="0"/>
              <c:showVal val="0"/>
              <c:showCatName val="0"/>
              <c:showSerName val="0"/>
              <c:showPercent val="0"/>
              <c:showBubbleSize val="0"/>
            </c:dLbl>
            <c:dLbl>
              <c:idx val="12"/>
              <c:tx>
                <c:rich>
                  <a:bodyPr/>
                  <a:lstStyle/>
                  <a:p>
                    <a:r>
                      <a:t>2007</a:t>
                    </a:r>
                  </a:p>
                </c:rich>
              </c:tx>
              <c:showLegendKey val="0"/>
              <c:showVal val="0"/>
              <c:showCatName val="0"/>
              <c:showSerName val="0"/>
              <c:showPercent val="0"/>
              <c:showBubbleSize val="0"/>
            </c:dLbl>
            <c:dLbl>
              <c:idx val="13"/>
              <c:tx>
                <c:rich>
                  <a:bodyPr/>
                  <a:lstStyle/>
                  <a:p>
                    <a:r>
                      <a:t>2008</a:t>
                    </a:r>
                  </a:p>
                </c:rich>
              </c:tx>
              <c:showLegendKey val="0"/>
              <c:showVal val="0"/>
              <c:showCatName val="0"/>
              <c:showSerName val="0"/>
              <c:showPercent val="0"/>
              <c:showBubbleSize val="0"/>
            </c:dLbl>
            <c:dLbl>
              <c:idx val="14"/>
              <c:tx>
                <c:rich>
                  <a:bodyPr/>
                  <a:lstStyle/>
                  <a:p>
                    <a:r>
                      <a:t>2009</a:t>
                    </a:r>
                  </a:p>
                </c:rich>
              </c:tx>
              <c:showLegendKey val="0"/>
              <c:showVal val="0"/>
              <c:showCatName val="0"/>
              <c:showSerName val="0"/>
              <c:showPercent val="0"/>
              <c:showBubbleSize val="0"/>
            </c:dLbl>
            <c:spPr>
              <a:noFill/>
              <a:ln w="25400">
                <a:noFill/>
              </a:ln>
            </c:spPr>
            <c:txPr>
              <a:bodyPr/>
              <a:lstStyle/>
              <a:p>
                <a:pPr>
                  <a:defRPr sz="8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trendline>
            <c:spPr>
              <a:ln w="25400">
                <a:solidFill>
                  <a:srgbClr val="0000FF"/>
                </a:solidFill>
                <a:prstDash val="solid"/>
              </a:ln>
            </c:spPr>
            <c:trendlineType val="linear"/>
            <c:dispRSqr val="0"/>
            <c:dispEq val="0"/>
          </c:trendline>
          <c:xVal>
            <c:numRef>
              <c:f>Labour1!$G$224:$AC$224</c:f>
              <c:numCache>
                <c:formatCode>0.0</c:formatCode>
                <c:ptCount val="14"/>
                <c:pt idx="0">
                  <c:v>13.457156870048914</c:v>
                </c:pt>
                <c:pt idx="1">
                  <c:v>16.551506205805964</c:v>
                </c:pt>
                <c:pt idx="2">
                  <c:v>20.625303696470176</c:v>
                </c:pt>
                <c:pt idx="3">
                  <c:v>19.933250951125302</c:v>
                </c:pt>
                <c:pt idx="4" formatCode="0.00">
                  <c:v>16.462651814471975</c:v>
                </c:pt>
                <c:pt idx="5" formatCode="0.00">
                  <c:v>-16.55735569384197</c:v>
                </c:pt>
                <c:pt idx="6" formatCode="0.00">
                  <c:v>-4.2433577525932353</c:v>
                </c:pt>
                <c:pt idx="7" formatCode="0.00">
                  <c:v>7.2024599889973562</c:v>
                </c:pt>
                <c:pt idx="8" formatCode="0.00">
                  <c:v>5.5380206228158535</c:v>
                </c:pt>
                <c:pt idx="9" formatCode="0.00">
                  <c:v>5.8994147360147409</c:v>
                </c:pt>
                <c:pt idx="10" formatCode="0.00">
                  <c:v>6.4129692882434197</c:v>
                </c:pt>
                <c:pt idx="11" formatCode="0.00">
                  <c:v>6.9293958600731953</c:v>
                </c:pt>
                <c:pt idx="12" formatCode="0.00">
                  <c:v>8.2608995937912368</c:v>
                </c:pt>
                <c:pt idx="13" formatCode="0.00">
                  <c:v>8.9820108145402209</c:v>
                </c:pt>
              </c:numCache>
            </c:numRef>
          </c:xVal>
          <c:yVal>
            <c:numRef>
              <c:f>Sector1!$G$209:$AC$209</c:f>
              <c:numCache>
                <c:formatCode>0.0</c:formatCode>
                <c:ptCount val="12"/>
                <c:pt idx="0">
                  <c:v>13.489304720077167</c:v>
                </c:pt>
                <c:pt idx="1">
                  <c:v>16.076810681600051</c:v>
                </c:pt>
                <c:pt idx="2">
                  <c:v>12.589272547243358</c:v>
                </c:pt>
                <c:pt idx="3">
                  <c:v>-48.260053983000503</c:v>
                </c:pt>
                <c:pt idx="4">
                  <c:v>-5.9924958184530475</c:v>
                </c:pt>
                <c:pt idx="5">
                  <c:v>8.0267751521970965</c:v>
                </c:pt>
                <c:pt idx="6">
                  <c:v>4.9028248889363635</c:v>
                </c:pt>
                <c:pt idx="7">
                  <c:v>7.4335907663583445</c:v>
                </c:pt>
                <c:pt idx="8">
                  <c:v>5.3677649716799891</c:v>
                </c:pt>
                <c:pt idx="9">
                  <c:v>9.2312421279913792</c:v>
                </c:pt>
                <c:pt idx="10">
                  <c:v>6.8903271858720361</c:v>
                </c:pt>
                <c:pt idx="11" formatCode="0.00">
                  <c:v>7.44</c:v>
                </c:pt>
              </c:numCache>
            </c:numRef>
          </c:yVal>
          <c:smooth val="0"/>
        </c:ser>
        <c:dLbls>
          <c:showLegendKey val="0"/>
          <c:showVal val="0"/>
          <c:showCatName val="0"/>
          <c:showSerName val="0"/>
          <c:showPercent val="0"/>
          <c:showBubbleSize val="0"/>
        </c:dLbls>
        <c:axId val="311284096"/>
        <c:axId val="311285632"/>
      </c:scatterChart>
      <c:valAx>
        <c:axId val="311284096"/>
        <c:scaling>
          <c:orientation val="minMax"/>
        </c:scaling>
        <c:delete val="0"/>
        <c:axPos val="b"/>
        <c:majorGridlines>
          <c:spPr>
            <a:ln w="3175">
              <a:solidFill>
                <a:srgbClr val="000000"/>
              </a:solidFill>
              <a:prstDash val="solid"/>
            </a:ln>
          </c:spPr>
        </c:majorGridlines>
        <c:numFmt formatCode="0" sourceLinked="0"/>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11285632"/>
        <c:crosses val="autoZero"/>
        <c:crossBetween val="midCat"/>
      </c:valAx>
      <c:valAx>
        <c:axId val="311285632"/>
        <c:scaling>
          <c:orientation val="minMax"/>
        </c:scaling>
        <c:delete val="0"/>
        <c:axPos val="l"/>
        <c:majorGridlines>
          <c:spPr>
            <a:ln w="3175">
              <a:solidFill>
                <a:srgbClr val="000000"/>
              </a:solidFill>
              <a:prstDash val="solid"/>
            </a:ln>
          </c:spPr>
        </c:majorGridlines>
        <c:numFmt formatCode="0" sourceLinked="0"/>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11284096"/>
        <c:crosses val="autoZero"/>
        <c:crossBetween val="midCat"/>
      </c:valAx>
      <c:spPr>
        <a:noFill/>
        <a:ln w="12700">
          <a:solidFill>
            <a:srgbClr val="808080"/>
          </a:solidFill>
          <a:prstDash val="solid"/>
        </a:ln>
      </c:spPr>
    </c:plotArea>
    <c:legend>
      <c:legendPos val="r"/>
      <c:layout>
        <c:manualLayout>
          <c:xMode val="edge"/>
          <c:yMode val="edge"/>
          <c:x val="0.12053594863142106"/>
          <c:y val="0.85434408934177342"/>
          <c:w val="0.80134022309711284"/>
          <c:h val="0.126050714248954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7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Indirect taxes as % of GDP</a:t>
            </a:r>
          </a:p>
        </c:rich>
      </c:tx>
      <c:layout>
        <c:manualLayout>
          <c:xMode val="edge"/>
          <c:yMode val="edge"/>
          <c:x val="0.31026809148856394"/>
          <c:y val="3.3613445378151259E-2"/>
        </c:manualLayout>
      </c:layout>
      <c:overlay val="0"/>
      <c:spPr>
        <a:noFill/>
        <a:ln w="25400">
          <a:noFill/>
        </a:ln>
      </c:spPr>
    </c:title>
    <c:autoTitleDeleted val="0"/>
    <c:plotArea>
      <c:layout>
        <c:manualLayout>
          <c:layoutTarget val="inner"/>
          <c:xMode val="edge"/>
          <c:yMode val="edge"/>
          <c:x val="0.14285729855924176"/>
          <c:y val="0.17366994285589235"/>
          <c:w val="0.79017943265580604"/>
          <c:h val="0.62465156865909666"/>
        </c:manualLayout>
      </c:layout>
      <c:lineChart>
        <c:grouping val="standard"/>
        <c:varyColors val="0"/>
        <c:ser>
          <c:idx val="0"/>
          <c:order val="0"/>
          <c:tx>
            <c:strRef>
              <c:f>Sector1!$D$31:$E$31</c:f>
              <c:strCache>
                <c:ptCount val="1"/>
                <c:pt idx="0">
                  <c:v>GVT Taxes on production and imports (D.2r = D.21r+D.29r)</c:v>
                </c:pt>
              </c:strCache>
            </c:strRef>
          </c:tx>
          <c:spPr>
            <a:ln w="25400">
              <a:solidFill>
                <a:srgbClr val="0000FF"/>
              </a:solidFill>
              <a:prstDash val="solid"/>
            </a:ln>
          </c:spPr>
          <c:marker>
            <c:symbol val="circle"/>
            <c:size val="7"/>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Sector1!$G$31:$AC$31</c:f>
              <c:numCache>
                <c:formatCode>0.0%</c:formatCode>
                <c:ptCount val="12"/>
                <c:pt idx="0">
                  <c:v>0.11310476519549252</c:v>
                </c:pt>
                <c:pt idx="1">
                  <c:v>0.11629728800929455</c:v>
                </c:pt>
                <c:pt idx="2">
                  <c:v>0.11593795991470589</c:v>
                </c:pt>
                <c:pt idx="3">
                  <c:v>0.11562876603593417</c:v>
                </c:pt>
                <c:pt idx="4">
                  <c:v>0.11842801004436333</c:v>
                </c:pt>
                <c:pt idx="5">
                  <c:v>0.11602119498697375</c:v>
                </c:pt>
                <c:pt idx="6">
                  <c:v>0.11167135653559022</c:v>
                </c:pt>
                <c:pt idx="7">
                  <c:v>0.10987924650275388</c:v>
                </c:pt>
                <c:pt idx="8">
                  <c:v>0.11155952645298055</c:v>
                </c:pt>
                <c:pt idx="9">
                  <c:v>0.11605726513836011</c:v>
                </c:pt>
                <c:pt idx="10">
                  <c:v>0.11722153949279411</c:v>
                </c:pt>
                <c:pt idx="11">
                  <c:v>0.11795197422789411</c:v>
                </c:pt>
              </c:numCache>
            </c:numRef>
          </c:val>
          <c:smooth val="0"/>
        </c:ser>
        <c:dLbls>
          <c:showLegendKey val="0"/>
          <c:showVal val="0"/>
          <c:showCatName val="0"/>
          <c:showSerName val="0"/>
          <c:showPercent val="0"/>
          <c:showBubbleSize val="0"/>
        </c:dLbls>
        <c:marker val="1"/>
        <c:smooth val="0"/>
        <c:axId val="311342592"/>
        <c:axId val="311344512"/>
      </c:lineChart>
      <c:catAx>
        <c:axId val="311342592"/>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11344512"/>
        <c:crosses val="autoZero"/>
        <c:auto val="1"/>
        <c:lblAlgn val="ctr"/>
        <c:lblOffset val="100"/>
        <c:tickLblSkip val="2"/>
        <c:tickMarkSkip val="1"/>
        <c:noMultiLvlLbl val="0"/>
      </c:catAx>
      <c:valAx>
        <c:axId val="311344512"/>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11342592"/>
        <c:crosses val="autoZero"/>
        <c:crossBetween val="midCat"/>
      </c:valAx>
      <c:spPr>
        <a:noFill/>
        <a:ln w="12700">
          <a:solidFill>
            <a:srgbClr val="808080"/>
          </a:solidFill>
          <a:prstDash val="solid"/>
        </a:ln>
      </c:spPr>
    </c:plotArea>
    <c:legend>
      <c:legendPos val="r"/>
      <c:layout>
        <c:manualLayout>
          <c:xMode val="edge"/>
          <c:yMode val="edge"/>
          <c:x val="4.6875E-2"/>
          <c:y val="0.91316761875353814"/>
          <c:w val="0.88616165166854144"/>
          <c:h val="6.722718483718948E-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Household income tax as % of GDP</a:t>
            </a:r>
          </a:p>
        </c:rich>
      </c:tx>
      <c:layout>
        <c:manualLayout>
          <c:xMode val="edge"/>
          <c:yMode val="edge"/>
          <c:x val="0.24776809148856391"/>
          <c:y val="3.3613445378151259E-2"/>
        </c:manualLayout>
      </c:layout>
      <c:overlay val="0"/>
      <c:spPr>
        <a:noFill/>
        <a:ln w="25400">
          <a:noFill/>
        </a:ln>
      </c:spPr>
    </c:title>
    <c:autoTitleDeleted val="0"/>
    <c:plotArea>
      <c:layout>
        <c:manualLayout>
          <c:layoutTarget val="inner"/>
          <c:xMode val="edge"/>
          <c:yMode val="edge"/>
          <c:x val="0.1272322815293247"/>
          <c:y val="0.17647107096647127"/>
          <c:w val="0.80580444968572307"/>
          <c:h val="0.61904931243793893"/>
        </c:manualLayout>
      </c:layout>
      <c:lineChart>
        <c:grouping val="standard"/>
        <c:varyColors val="0"/>
        <c:ser>
          <c:idx val="0"/>
          <c:order val="0"/>
          <c:tx>
            <c:strRef>
              <c:f>Sector1!$D$221:$E$221</c:f>
              <c:strCache>
                <c:ptCount val="1"/>
                <c:pt idx="0">
                  <c:v>HH Current taxes on income and wealth (D.5p)  </c:v>
                </c:pt>
              </c:strCache>
            </c:strRef>
          </c:tx>
          <c:spPr>
            <a:ln w="25400">
              <a:solidFill>
                <a:srgbClr val="0000FF"/>
              </a:solidFill>
              <a:prstDash val="solid"/>
            </a:ln>
          </c:spPr>
          <c:marker>
            <c:symbol val="circle"/>
            <c:size val="7"/>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Sector1!$G$221:$AC$221</c:f>
              <c:numCache>
                <c:formatCode>0.0%</c:formatCode>
                <c:ptCount val="12"/>
                <c:pt idx="0">
                  <c:v>6.793046939306073E-2</c:v>
                </c:pt>
                <c:pt idx="1">
                  <c:v>6.5380056789342944E-2</c:v>
                </c:pt>
                <c:pt idx="2">
                  <c:v>6.5380832314868853E-2</c:v>
                </c:pt>
                <c:pt idx="3">
                  <c:v>4.1063946222770376E-2</c:v>
                </c:pt>
                <c:pt idx="4">
                  <c:v>3.7097995337463066E-2</c:v>
                </c:pt>
                <c:pt idx="5">
                  <c:v>3.5914260829305662E-2</c:v>
                </c:pt>
                <c:pt idx="6">
                  <c:v>3.5332944709923805E-2</c:v>
                </c:pt>
                <c:pt idx="7">
                  <c:v>3.6210030706829162E-2</c:v>
                </c:pt>
                <c:pt idx="8">
                  <c:v>3.6475327797752581E-2</c:v>
                </c:pt>
                <c:pt idx="9">
                  <c:v>3.8928719432510715E-2</c:v>
                </c:pt>
                <c:pt idx="10">
                  <c:v>4.0274829627974525E-2</c:v>
                </c:pt>
                <c:pt idx="11">
                  <c:v>4.0048918337033633E-2</c:v>
                </c:pt>
              </c:numCache>
            </c:numRef>
          </c:val>
          <c:smooth val="0"/>
        </c:ser>
        <c:dLbls>
          <c:showLegendKey val="0"/>
          <c:showVal val="0"/>
          <c:showCatName val="0"/>
          <c:showSerName val="0"/>
          <c:showPercent val="0"/>
          <c:showBubbleSize val="0"/>
        </c:dLbls>
        <c:marker val="1"/>
        <c:smooth val="0"/>
        <c:axId val="311364608"/>
        <c:axId val="311395456"/>
      </c:lineChart>
      <c:catAx>
        <c:axId val="311364608"/>
        <c:scaling>
          <c:orientation val="minMax"/>
        </c:scaling>
        <c:delete val="0"/>
        <c:axPos val="b"/>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11395456"/>
        <c:crosses val="autoZero"/>
        <c:auto val="1"/>
        <c:lblAlgn val="ctr"/>
        <c:lblOffset val="100"/>
        <c:tickLblSkip val="2"/>
        <c:tickMarkSkip val="1"/>
        <c:noMultiLvlLbl val="0"/>
      </c:catAx>
      <c:valAx>
        <c:axId val="311395456"/>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11364608"/>
        <c:crosses val="autoZero"/>
        <c:crossBetween val="midCat"/>
      </c:valAx>
      <c:spPr>
        <a:noFill/>
        <a:ln w="12700">
          <a:solidFill>
            <a:srgbClr val="808080"/>
          </a:solidFill>
          <a:prstDash val="solid"/>
        </a:ln>
      </c:spPr>
    </c:plotArea>
    <c:legend>
      <c:legendPos val="r"/>
      <c:layout>
        <c:manualLayout>
          <c:xMode val="edge"/>
          <c:yMode val="edge"/>
          <c:x val="0.17410737720284963"/>
          <c:y val="0.91316761875353814"/>
          <c:w val="0.71205427446569181"/>
          <c:h val="6.722718483718948E-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7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Direct taxes as % of GDP</a:t>
            </a:r>
          </a:p>
        </c:rich>
      </c:tx>
      <c:layout>
        <c:manualLayout>
          <c:xMode val="edge"/>
          <c:yMode val="edge"/>
          <c:x val="0.32366118297712781"/>
          <c:y val="3.3613445378151259E-2"/>
        </c:manualLayout>
      </c:layout>
      <c:overlay val="0"/>
      <c:spPr>
        <a:noFill/>
        <a:ln w="25400">
          <a:noFill/>
        </a:ln>
      </c:spPr>
    </c:title>
    <c:autoTitleDeleted val="0"/>
    <c:plotArea>
      <c:layout>
        <c:manualLayout>
          <c:layoutTarget val="inner"/>
          <c:xMode val="edge"/>
          <c:yMode val="edge"/>
          <c:x val="0.14285729855924176"/>
          <c:y val="0.17647107096647127"/>
          <c:w val="0.79017943265580604"/>
          <c:h val="0.61904931243793893"/>
        </c:manualLayout>
      </c:layout>
      <c:lineChart>
        <c:grouping val="standard"/>
        <c:varyColors val="0"/>
        <c:ser>
          <c:idx val="0"/>
          <c:order val="0"/>
          <c:tx>
            <c:strRef>
              <c:f>Sector1!$D$225:$E$225</c:f>
              <c:strCache>
                <c:ptCount val="1"/>
                <c:pt idx="0">
                  <c:v>GVT Current taxes on income and wealth (D.5r)  </c:v>
                </c:pt>
              </c:strCache>
            </c:strRef>
          </c:tx>
          <c:spPr>
            <a:ln w="25400">
              <a:solidFill>
                <a:srgbClr val="800080"/>
              </a:solidFill>
              <a:prstDash val="solid"/>
            </a:ln>
          </c:spPr>
          <c:marker>
            <c:symbol val="circle"/>
            <c:size val="7"/>
            <c:spPr>
              <a:solidFill>
                <a:srgbClr val="FFFFFF"/>
              </a:solidFill>
              <a:ln>
                <a:solidFill>
                  <a:srgbClr val="80008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Sector1!$G$225:$AC$225</c:f>
              <c:numCache>
                <c:formatCode>0.0%</c:formatCode>
                <c:ptCount val="12"/>
                <c:pt idx="0">
                  <c:v>9.549619214607806E-2</c:v>
                </c:pt>
                <c:pt idx="1">
                  <c:v>9.0689743277184473E-2</c:v>
                </c:pt>
                <c:pt idx="2">
                  <c:v>9.2261260302395245E-2</c:v>
                </c:pt>
                <c:pt idx="3">
                  <c:v>5.9339917623358905E-2</c:v>
                </c:pt>
                <c:pt idx="4">
                  <c:v>4.617046160828267E-2</c:v>
                </c:pt>
                <c:pt idx="5">
                  <c:v>4.3455350736619158E-2</c:v>
                </c:pt>
                <c:pt idx="6">
                  <c:v>4.8204595831654096E-2</c:v>
                </c:pt>
                <c:pt idx="7">
                  <c:v>4.9662682549739483E-2</c:v>
                </c:pt>
                <c:pt idx="8">
                  <c:v>5.0227410203597216E-2</c:v>
                </c:pt>
                <c:pt idx="9">
                  <c:v>5.429799813555114E-2</c:v>
                </c:pt>
                <c:pt idx="10">
                  <c:v>5.6751883712558501E-2</c:v>
                </c:pt>
                <c:pt idx="11">
                  <c:v>5.5418425907745789E-2</c:v>
                </c:pt>
              </c:numCache>
            </c:numRef>
          </c:val>
          <c:smooth val="0"/>
        </c:ser>
        <c:dLbls>
          <c:showLegendKey val="0"/>
          <c:showVal val="0"/>
          <c:showCatName val="0"/>
          <c:showSerName val="0"/>
          <c:showPercent val="0"/>
          <c:showBubbleSize val="0"/>
        </c:dLbls>
        <c:marker val="1"/>
        <c:smooth val="0"/>
        <c:axId val="311505664"/>
        <c:axId val="311507584"/>
      </c:lineChart>
      <c:catAx>
        <c:axId val="311505664"/>
        <c:scaling>
          <c:orientation val="minMax"/>
        </c:scaling>
        <c:delete val="0"/>
        <c:axPos val="b"/>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11507584"/>
        <c:crosses val="autoZero"/>
        <c:auto val="1"/>
        <c:lblAlgn val="ctr"/>
        <c:lblOffset val="100"/>
        <c:tickLblSkip val="2"/>
        <c:tickMarkSkip val="1"/>
        <c:noMultiLvlLbl val="0"/>
      </c:catAx>
      <c:valAx>
        <c:axId val="311507584"/>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11505664"/>
        <c:crosses val="autoZero"/>
        <c:crossBetween val="midCat"/>
      </c:valAx>
      <c:spPr>
        <a:noFill/>
        <a:ln w="12700">
          <a:solidFill>
            <a:srgbClr val="808080"/>
          </a:solidFill>
          <a:prstDash val="solid"/>
        </a:ln>
      </c:spPr>
    </c:plotArea>
    <c:legend>
      <c:legendPos val="r"/>
      <c:layout>
        <c:manualLayout>
          <c:xMode val="edge"/>
          <c:yMode val="edge"/>
          <c:x val="0.18526809148856391"/>
          <c:y val="0.91316761875353814"/>
          <c:w val="0.723214988751406"/>
          <c:h val="6.722718483718948E-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Indirect taxes and GDP</a:t>
            </a:r>
          </a:p>
        </c:rich>
      </c:tx>
      <c:layout>
        <c:manualLayout>
          <c:xMode val="edge"/>
          <c:yMode val="edge"/>
          <c:x val="0.33258975440569927"/>
          <c:y val="3.3613445378151259E-2"/>
        </c:manualLayout>
      </c:layout>
      <c:overlay val="0"/>
      <c:spPr>
        <a:noFill/>
        <a:ln w="25400">
          <a:noFill/>
        </a:ln>
      </c:spPr>
    </c:title>
    <c:autoTitleDeleted val="0"/>
    <c:plotArea>
      <c:layout>
        <c:manualLayout>
          <c:layoutTarget val="inner"/>
          <c:xMode val="edge"/>
          <c:yMode val="edge"/>
          <c:x val="0.14285729855924176"/>
          <c:y val="0.17647107096647127"/>
          <c:w val="0.79017943265580604"/>
          <c:h val="0.61904931243793893"/>
        </c:manualLayout>
      </c:layout>
      <c:lineChart>
        <c:grouping val="standard"/>
        <c:varyColors val="0"/>
        <c:ser>
          <c:idx val="2"/>
          <c:order val="0"/>
          <c:tx>
            <c:strRef>
              <c:f>Sector1!$D$34:$E$34</c:f>
              <c:strCache>
                <c:ptCount val="1"/>
                <c:pt idx="0">
                  <c:v>GVT+EXT Taxes on production and imports (D.2r)</c:v>
                </c:pt>
              </c:strCache>
            </c:strRef>
          </c:tx>
          <c:spPr>
            <a:ln w="25400">
              <a:solidFill>
                <a:srgbClr val="008080"/>
              </a:solidFill>
              <a:prstDash val="solid"/>
            </a:ln>
          </c:spPr>
          <c:marker>
            <c:symbol val="circle"/>
            <c:size val="7"/>
            <c:spPr>
              <a:solidFill>
                <a:srgbClr val="FFFFFF"/>
              </a:solidFill>
              <a:ln>
                <a:solidFill>
                  <a:srgbClr val="00808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Sector1!$G$38:$AC$38</c:f>
              <c:numCache>
                <c:formatCode>0.0%</c:formatCode>
                <c:ptCount val="12"/>
                <c:pt idx="0">
                  <c:v>0</c:v>
                </c:pt>
                <c:pt idx="1">
                  <c:v>0</c:v>
                </c:pt>
                <c:pt idx="2">
                  <c:v>0.18384700879504701</c:v>
                </c:pt>
                <c:pt idx="3">
                  <c:v>0.17416809786974807</c:v>
                </c:pt>
                <c:pt idx="4">
                  <c:v>0.1898666743937491</c:v>
                </c:pt>
                <c:pt idx="5">
                  <c:v>0.19037190727517866</c:v>
                </c:pt>
                <c:pt idx="6">
                  <c:v>0.18348846032369642</c:v>
                </c:pt>
                <c:pt idx="7">
                  <c:v>0.18012029224407053</c:v>
                </c:pt>
                <c:pt idx="8">
                  <c:v>0.1836314287947132</c:v>
                </c:pt>
                <c:pt idx="9">
                  <c:v>0.19028280232635417</c:v>
                </c:pt>
                <c:pt idx="10">
                  <c:v>0.18681158685840279</c:v>
                </c:pt>
                <c:pt idx="11">
                  <c:v>0.18822359301487776</c:v>
                </c:pt>
              </c:numCache>
            </c:numRef>
          </c:val>
          <c:smooth val="0"/>
        </c:ser>
        <c:dLbls>
          <c:showLegendKey val="0"/>
          <c:showVal val="0"/>
          <c:showCatName val="0"/>
          <c:showSerName val="0"/>
          <c:showPercent val="0"/>
          <c:showBubbleSize val="0"/>
        </c:dLbls>
        <c:marker val="1"/>
        <c:smooth val="0"/>
        <c:axId val="311527680"/>
        <c:axId val="311546240"/>
      </c:lineChart>
      <c:catAx>
        <c:axId val="311527680"/>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311546240"/>
        <c:crosses val="autoZero"/>
        <c:auto val="1"/>
        <c:lblAlgn val="ctr"/>
        <c:lblOffset val="100"/>
        <c:tickLblSkip val="2"/>
        <c:tickMarkSkip val="1"/>
        <c:noMultiLvlLbl val="0"/>
      </c:catAx>
      <c:valAx>
        <c:axId val="311546240"/>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311527680"/>
        <c:crosses val="autoZero"/>
        <c:crossBetween val="midCat"/>
      </c:valAx>
      <c:spPr>
        <a:noFill/>
        <a:ln w="12700">
          <a:solidFill>
            <a:srgbClr val="808080"/>
          </a:solidFill>
          <a:prstDash val="solid"/>
        </a:ln>
      </c:spPr>
    </c:plotArea>
    <c:legend>
      <c:legendPos val="r"/>
      <c:layout>
        <c:manualLayout>
          <c:xMode val="edge"/>
          <c:yMode val="edge"/>
          <c:x val="0.17187523434570678"/>
          <c:y val="0.91316761875353814"/>
          <c:w val="0.7321435601799775"/>
          <c:h val="6.722718483718948E-2"/>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7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Corporate tax as % of GDP</a:t>
            </a:r>
          </a:p>
        </c:rich>
      </c:tx>
      <c:layout>
        <c:manualLayout>
          <c:xMode val="edge"/>
          <c:yMode val="edge"/>
          <c:x val="0.31026809148856394"/>
          <c:y val="3.3613445378151259E-2"/>
        </c:manualLayout>
      </c:layout>
      <c:overlay val="0"/>
      <c:spPr>
        <a:noFill/>
        <a:ln w="25400">
          <a:noFill/>
        </a:ln>
      </c:spPr>
    </c:title>
    <c:autoTitleDeleted val="0"/>
    <c:plotArea>
      <c:layout>
        <c:manualLayout>
          <c:layoutTarget val="inner"/>
          <c:xMode val="edge"/>
          <c:yMode val="edge"/>
          <c:x val="0.1272322815293247"/>
          <c:y val="0.17647107096647127"/>
          <c:w val="0.80580444968572307"/>
          <c:h val="0.61904931243793893"/>
        </c:manualLayout>
      </c:layout>
      <c:lineChart>
        <c:grouping val="standard"/>
        <c:varyColors val="0"/>
        <c:ser>
          <c:idx val="0"/>
          <c:order val="0"/>
          <c:tx>
            <c:strRef>
              <c:f>Sector1!$D$222:$E$222</c:f>
              <c:strCache>
                <c:ptCount val="1"/>
                <c:pt idx="0">
                  <c:v>E Current taxes on income and wealth (D.5p)  </c:v>
                </c:pt>
              </c:strCache>
            </c:strRef>
          </c:tx>
          <c:spPr>
            <a:ln w="25400">
              <a:solidFill>
                <a:srgbClr val="339966"/>
              </a:solidFill>
              <a:prstDash val="solid"/>
            </a:ln>
          </c:spPr>
          <c:marker>
            <c:symbol val="circle"/>
            <c:size val="7"/>
            <c:spPr>
              <a:solidFill>
                <a:srgbClr val="FFFFFF"/>
              </a:solidFill>
              <a:ln>
                <a:solidFill>
                  <a:srgbClr val="339966"/>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Sector1!$G$222:$AC$222</c:f>
              <c:numCache>
                <c:formatCode>0.0%</c:formatCode>
                <c:ptCount val="12"/>
                <c:pt idx="0">
                  <c:v>2.7504674162492242E-2</c:v>
                </c:pt>
                <c:pt idx="1">
                  <c:v>2.5254935666062687E-2</c:v>
                </c:pt>
                <c:pt idx="2">
                  <c:v>2.7100636525011407E-2</c:v>
                </c:pt>
                <c:pt idx="3">
                  <c:v>1.8138231478806988E-2</c:v>
                </c:pt>
                <c:pt idx="4">
                  <c:v>9.8456310658827737E-3</c:v>
                </c:pt>
                <c:pt idx="5">
                  <c:v>8.0561925505478436E-3</c:v>
                </c:pt>
                <c:pt idx="6">
                  <c:v>1.2900138177212273E-2</c:v>
                </c:pt>
                <c:pt idx="7">
                  <c:v>1.3594243649464453E-2</c:v>
                </c:pt>
                <c:pt idx="8">
                  <c:v>1.3632579929928342E-2</c:v>
                </c:pt>
                <c:pt idx="9">
                  <c:v>1.530087817197443E-2</c:v>
                </c:pt>
                <c:pt idx="10">
                  <c:v>1.6177584130885436E-2</c:v>
                </c:pt>
                <c:pt idx="11">
                  <c:v>1.5103066499929409E-2</c:v>
                </c:pt>
              </c:numCache>
            </c:numRef>
          </c:val>
          <c:smooth val="0"/>
        </c:ser>
        <c:dLbls>
          <c:showLegendKey val="0"/>
          <c:showVal val="0"/>
          <c:showCatName val="0"/>
          <c:showSerName val="0"/>
          <c:showPercent val="0"/>
          <c:showBubbleSize val="0"/>
        </c:dLbls>
        <c:marker val="1"/>
        <c:smooth val="0"/>
        <c:axId val="311590912"/>
        <c:axId val="311592832"/>
      </c:lineChart>
      <c:catAx>
        <c:axId val="311590912"/>
        <c:scaling>
          <c:orientation val="minMax"/>
        </c:scaling>
        <c:delete val="0"/>
        <c:axPos val="b"/>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11592832"/>
        <c:crosses val="autoZero"/>
        <c:auto val="1"/>
        <c:lblAlgn val="ctr"/>
        <c:lblOffset val="100"/>
        <c:tickLblSkip val="2"/>
        <c:tickMarkSkip val="1"/>
        <c:noMultiLvlLbl val="0"/>
      </c:catAx>
      <c:valAx>
        <c:axId val="311592832"/>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11590912"/>
        <c:crosses val="autoZero"/>
        <c:crossBetween val="midCat"/>
      </c:valAx>
      <c:spPr>
        <a:noFill/>
        <a:ln w="12700">
          <a:solidFill>
            <a:srgbClr val="808080"/>
          </a:solidFill>
          <a:prstDash val="solid"/>
        </a:ln>
      </c:spPr>
    </c:plotArea>
    <c:legend>
      <c:legendPos val="r"/>
      <c:layout>
        <c:manualLayout>
          <c:xMode val="edge"/>
          <c:yMode val="edge"/>
          <c:x val="0.18303594863142106"/>
          <c:y val="0.91316761875353814"/>
          <c:w val="0.6941971316085489"/>
          <c:h val="6.722718483718948E-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Indirect taxes related to GDP</a:t>
            </a:r>
          </a:p>
        </c:rich>
      </c:tx>
      <c:layout>
        <c:manualLayout>
          <c:xMode val="edge"/>
          <c:yMode val="edge"/>
          <c:x val="0.29241094863142109"/>
          <c:y val="3.3613445378151259E-2"/>
        </c:manualLayout>
      </c:layout>
      <c:overlay val="0"/>
      <c:spPr>
        <a:noFill/>
        <a:ln w="25400">
          <a:noFill/>
        </a:ln>
      </c:spPr>
    </c:title>
    <c:autoTitleDeleted val="0"/>
    <c:plotArea>
      <c:layout>
        <c:manualLayout>
          <c:layoutTarget val="inner"/>
          <c:xMode val="edge"/>
          <c:yMode val="edge"/>
          <c:x val="5.8035777539691968E-2"/>
          <c:y val="0.17366994285589235"/>
          <c:w val="0.88616168012529661"/>
          <c:h val="0.56582787833693959"/>
        </c:manualLayout>
      </c:layout>
      <c:scatterChart>
        <c:scatterStyle val="lineMarker"/>
        <c:varyColors val="0"/>
        <c:ser>
          <c:idx val="0"/>
          <c:order val="0"/>
          <c:tx>
            <c:strRef>
              <c:f>Sector1!$D$22:$E$22</c:f>
              <c:strCache>
                <c:ptCount val="1"/>
                <c:pt idx="0">
                  <c:v>GVT Taxes on production and imports (D.2r = D.21r+D.29r)</c:v>
                </c:pt>
              </c:strCache>
            </c:strRef>
          </c:tx>
          <c:spPr>
            <a:ln w="28575">
              <a:noFill/>
            </a:ln>
          </c:spPr>
          <c:marker>
            <c:symbol val="circle"/>
            <c:size val="7"/>
            <c:spPr>
              <a:solidFill>
                <a:srgbClr val="FFFFFF"/>
              </a:solidFill>
              <a:ln>
                <a:solidFill>
                  <a:srgbClr val="0000FF"/>
                </a:solidFill>
                <a:prstDash val="solid"/>
              </a:ln>
            </c:spPr>
          </c:marker>
          <c:dLbls>
            <c:dLbl>
              <c:idx val="1"/>
              <c:tx>
                <c:rich>
                  <a:bodyPr/>
                  <a:lstStyle/>
                  <a:p>
                    <a:r>
                      <a:t>1996</a:t>
                    </a:r>
                  </a:p>
                </c:rich>
              </c:tx>
              <c:showLegendKey val="0"/>
              <c:showVal val="0"/>
              <c:showCatName val="0"/>
              <c:showSerName val="0"/>
              <c:showPercent val="0"/>
              <c:showBubbleSize val="0"/>
            </c:dLbl>
            <c:dLbl>
              <c:idx val="2"/>
              <c:tx>
                <c:rich>
                  <a:bodyPr/>
                  <a:lstStyle/>
                  <a:p>
                    <a:r>
                      <a:t>1997</a:t>
                    </a:r>
                  </a:p>
                </c:rich>
              </c:tx>
              <c:showLegendKey val="0"/>
              <c:showVal val="0"/>
              <c:showCatName val="0"/>
              <c:showSerName val="0"/>
              <c:showPercent val="0"/>
              <c:showBubbleSize val="0"/>
            </c:dLbl>
            <c:dLbl>
              <c:idx val="3"/>
              <c:tx>
                <c:rich>
                  <a:bodyPr/>
                  <a:lstStyle/>
                  <a:p>
                    <a:r>
                      <a:t>1998</a:t>
                    </a:r>
                  </a:p>
                </c:rich>
              </c:tx>
              <c:showLegendKey val="0"/>
              <c:showVal val="0"/>
              <c:showCatName val="0"/>
              <c:showSerName val="0"/>
              <c:showPercent val="0"/>
              <c:showBubbleSize val="0"/>
            </c:dLbl>
            <c:dLbl>
              <c:idx val="4"/>
              <c:tx>
                <c:rich>
                  <a:bodyPr/>
                  <a:lstStyle/>
                  <a:p>
                    <a:r>
                      <a:t>1999</a:t>
                    </a:r>
                  </a:p>
                </c:rich>
              </c:tx>
              <c:showLegendKey val="0"/>
              <c:showVal val="0"/>
              <c:showCatName val="0"/>
              <c:showSerName val="0"/>
              <c:showPercent val="0"/>
              <c:showBubbleSize val="0"/>
            </c:dLbl>
            <c:dLbl>
              <c:idx val="5"/>
              <c:tx>
                <c:rich>
                  <a:bodyPr/>
                  <a:lstStyle/>
                  <a:p>
                    <a:r>
                      <a:t>2000</a:t>
                    </a:r>
                  </a:p>
                </c:rich>
              </c:tx>
              <c:showLegendKey val="0"/>
              <c:showVal val="0"/>
              <c:showCatName val="0"/>
              <c:showSerName val="0"/>
              <c:showPercent val="0"/>
              <c:showBubbleSize val="0"/>
            </c:dLbl>
            <c:dLbl>
              <c:idx val="6"/>
              <c:tx>
                <c:rich>
                  <a:bodyPr/>
                  <a:lstStyle/>
                  <a:p>
                    <a:r>
                      <a:t>2001</a:t>
                    </a:r>
                  </a:p>
                </c:rich>
              </c:tx>
              <c:showLegendKey val="0"/>
              <c:showVal val="0"/>
              <c:showCatName val="0"/>
              <c:showSerName val="0"/>
              <c:showPercent val="0"/>
              <c:showBubbleSize val="0"/>
            </c:dLbl>
            <c:dLbl>
              <c:idx val="7"/>
              <c:tx>
                <c:rich>
                  <a:bodyPr/>
                  <a:lstStyle/>
                  <a:p>
                    <a:r>
                      <a:t>2002</a:t>
                    </a:r>
                  </a:p>
                </c:rich>
              </c:tx>
              <c:showLegendKey val="0"/>
              <c:showVal val="0"/>
              <c:showCatName val="0"/>
              <c:showSerName val="0"/>
              <c:showPercent val="0"/>
              <c:showBubbleSize val="0"/>
            </c:dLbl>
            <c:dLbl>
              <c:idx val="8"/>
              <c:tx>
                <c:rich>
                  <a:bodyPr/>
                  <a:lstStyle/>
                  <a:p>
                    <a:r>
                      <a:t>2003</a:t>
                    </a:r>
                  </a:p>
                </c:rich>
              </c:tx>
              <c:showLegendKey val="0"/>
              <c:showVal val="0"/>
              <c:showCatName val="0"/>
              <c:showSerName val="0"/>
              <c:showPercent val="0"/>
              <c:showBubbleSize val="0"/>
            </c:dLbl>
            <c:dLbl>
              <c:idx val="9"/>
              <c:tx>
                <c:rich>
                  <a:bodyPr/>
                  <a:lstStyle/>
                  <a:p>
                    <a:r>
                      <a:t>2004</a:t>
                    </a:r>
                  </a:p>
                </c:rich>
              </c:tx>
              <c:showLegendKey val="0"/>
              <c:showVal val="0"/>
              <c:showCatName val="0"/>
              <c:showSerName val="0"/>
              <c:showPercent val="0"/>
              <c:showBubbleSize val="0"/>
            </c:dLbl>
            <c:dLbl>
              <c:idx val="10"/>
              <c:tx>
                <c:rich>
                  <a:bodyPr/>
                  <a:lstStyle/>
                  <a:p>
                    <a:r>
                      <a:t>2005</a:t>
                    </a:r>
                  </a:p>
                </c:rich>
              </c:tx>
              <c:showLegendKey val="0"/>
              <c:showVal val="0"/>
              <c:showCatName val="0"/>
              <c:showSerName val="0"/>
              <c:showPercent val="0"/>
              <c:showBubbleSize val="0"/>
            </c:dLbl>
            <c:dLbl>
              <c:idx val="11"/>
              <c:tx>
                <c:rich>
                  <a:bodyPr/>
                  <a:lstStyle/>
                  <a:p>
                    <a:r>
                      <a:t>2006</a:t>
                    </a:r>
                  </a:p>
                </c:rich>
              </c:tx>
              <c:showLegendKey val="0"/>
              <c:showVal val="0"/>
              <c:showCatName val="0"/>
              <c:showSerName val="0"/>
              <c:showPercent val="0"/>
              <c:showBubbleSize val="0"/>
            </c:dLbl>
            <c:dLbl>
              <c:idx val="12"/>
              <c:tx>
                <c:rich>
                  <a:bodyPr/>
                  <a:lstStyle/>
                  <a:p>
                    <a:r>
                      <a:t>2007</a:t>
                    </a:r>
                  </a:p>
                </c:rich>
              </c:tx>
              <c:showLegendKey val="0"/>
              <c:showVal val="0"/>
              <c:showCatName val="0"/>
              <c:showSerName val="0"/>
              <c:showPercent val="0"/>
              <c:showBubbleSize val="0"/>
            </c:dLbl>
            <c:dLbl>
              <c:idx val="13"/>
              <c:tx>
                <c:rich>
                  <a:bodyPr/>
                  <a:lstStyle/>
                  <a:p>
                    <a:r>
                      <a:t>2008</a:t>
                    </a:r>
                  </a:p>
                </c:rich>
              </c:tx>
              <c:showLegendKey val="0"/>
              <c:showVal val="0"/>
              <c:showCatName val="0"/>
              <c:showSerName val="0"/>
              <c:showPercent val="0"/>
              <c:showBubbleSize val="0"/>
            </c:dLbl>
            <c:dLbl>
              <c:idx val="14"/>
              <c:tx>
                <c:rich>
                  <a:bodyPr/>
                  <a:lstStyle/>
                  <a:p>
                    <a:r>
                      <a:t>2009</a:t>
                    </a:r>
                  </a:p>
                </c:rich>
              </c:tx>
              <c:showLegendKey val="0"/>
              <c:showVal val="0"/>
              <c:showCatName val="0"/>
              <c:showSerName val="0"/>
              <c:showPercent val="0"/>
              <c:showBubbleSize val="0"/>
            </c:dLbl>
            <c:spPr>
              <a:noFill/>
              <a:ln w="25400">
                <a:noFill/>
              </a:ln>
            </c:spPr>
            <c:txPr>
              <a:bodyPr/>
              <a:lstStyle/>
              <a:p>
                <a:pPr>
                  <a:defRPr sz="8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trendline>
            <c:spPr>
              <a:ln w="25400">
                <a:solidFill>
                  <a:srgbClr val="0000FF"/>
                </a:solidFill>
                <a:prstDash val="solid"/>
              </a:ln>
            </c:spPr>
            <c:trendlineType val="linear"/>
            <c:dispRSqr val="0"/>
            <c:dispEq val="0"/>
          </c:trendline>
          <c:xVal>
            <c:numRef>
              <c:f>'VVP2'!$G$348:$AA$348</c:f>
              <c:numCache>
                <c:formatCode>0.0</c:formatCode>
                <c:ptCount val="4"/>
                <c:pt idx="0">
                  <c:v>6.6287411287878184</c:v>
                </c:pt>
                <c:pt idx="1">
                  <c:v>4.8313146506227644</c:v>
                </c:pt>
                <c:pt idx="2">
                  <c:v>4.6013904601447608</c:v>
                </c:pt>
                <c:pt idx="3">
                  <c:v>2.3471981728427016</c:v>
                </c:pt>
              </c:numCache>
            </c:numRef>
          </c:xVal>
          <c:yVal>
            <c:numRef>
              <c:f>Sector1!$G$22:$AC$22</c:f>
              <c:numCache>
                <c:formatCode>0.0</c:formatCode>
                <c:ptCount val="12"/>
                <c:pt idx="0">
                  <c:v>15.667895487904326</c:v>
                </c:pt>
                <c:pt idx="1">
                  <c:v>24.009076655883852</c:v>
                </c:pt>
                <c:pt idx="2">
                  <c:v>12.240069877270642</c:v>
                </c:pt>
                <c:pt idx="3">
                  <c:v>-17.840843740272348</c:v>
                </c:pt>
                <c:pt idx="4">
                  <c:v>6.5764631843927113</c:v>
                </c:pt>
                <c:pt idx="5">
                  <c:v>9.3195471279742925</c:v>
                </c:pt>
                <c:pt idx="6">
                  <c:v>2.6310422752576779</c:v>
                </c:pt>
                <c:pt idx="7">
                  <c:v>3.1489741062869392</c:v>
                </c:pt>
                <c:pt idx="8">
                  <c:v>6.2009611229414618</c:v>
                </c:pt>
                <c:pt idx="9">
                  <c:v>6.4735239757423679</c:v>
                </c:pt>
                <c:pt idx="10">
                  <c:v>4.3541922309220826</c:v>
                </c:pt>
                <c:pt idx="11" formatCode="0.00">
                  <c:v>8.7193167077012532</c:v>
                </c:pt>
              </c:numCache>
            </c:numRef>
          </c:yVal>
          <c:smooth val="0"/>
        </c:ser>
        <c:dLbls>
          <c:showLegendKey val="0"/>
          <c:showVal val="0"/>
          <c:showCatName val="0"/>
          <c:showSerName val="0"/>
          <c:showPercent val="0"/>
          <c:showBubbleSize val="0"/>
        </c:dLbls>
        <c:axId val="311610368"/>
        <c:axId val="311866112"/>
      </c:scatterChart>
      <c:valAx>
        <c:axId val="311610368"/>
        <c:scaling>
          <c:orientation val="minMax"/>
        </c:scaling>
        <c:delete val="0"/>
        <c:axPos val="b"/>
        <c:majorGridlines>
          <c:spPr>
            <a:ln w="3175">
              <a:solidFill>
                <a:srgbClr val="000000"/>
              </a:solidFill>
              <a:prstDash val="solid"/>
            </a:ln>
          </c:spPr>
        </c:majorGridlines>
        <c:numFmt formatCode="0" sourceLinked="0"/>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11866112"/>
        <c:crosses val="autoZero"/>
        <c:crossBetween val="midCat"/>
      </c:valAx>
      <c:valAx>
        <c:axId val="311866112"/>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11610368"/>
        <c:crosses val="autoZero"/>
        <c:crossBetween val="midCat"/>
      </c:valAx>
      <c:spPr>
        <a:noFill/>
        <a:ln w="12700">
          <a:solidFill>
            <a:srgbClr val="808080"/>
          </a:solidFill>
          <a:prstDash val="solid"/>
        </a:ln>
      </c:spPr>
    </c:plotArea>
    <c:legend>
      <c:legendPos val="r"/>
      <c:layout>
        <c:manualLayout>
          <c:xMode val="edge"/>
          <c:yMode val="edge"/>
          <c:x val="1.1160714285714286E-2"/>
          <c:y val="0.85714520978995268"/>
          <c:w val="0.97321545744281968"/>
          <c:h val="0.126050714248954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en-GB"/>
              <a:t>Social contributions (GVT, received), GDP and compensation of employees</a:t>
            </a:r>
          </a:p>
        </c:rich>
      </c:tx>
      <c:layout>
        <c:manualLayout>
          <c:xMode val="edge"/>
          <c:yMode val="edge"/>
          <c:x val="0.11607166291713535"/>
          <c:y val="3.3613445378151259E-2"/>
        </c:manualLayout>
      </c:layout>
      <c:overlay val="0"/>
      <c:spPr>
        <a:noFill/>
        <a:ln w="25400">
          <a:noFill/>
        </a:ln>
      </c:spPr>
    </c:title>
    <c:autoTitleDeleted val="0"/>
    <c:plotArea>
      <c:layout>
        <c:manualLayout>
          <c:layoutTarget val="inner"/>
          <c:xMode val="edge"/>
          <c:yMode val="edge"/>
          <c:x val="0.10044653804946686"/>
          <c:y val="0.21848799262515489"/>
          <c:w val="0.83259019316558092"/>
          <c:h val="0.45938501013494104"/>
        </c:manualLayout>
      </c:layout>
      <c:lineChart>
        <c:grouping val="standard"/>
        <c:varyColors val="0"/>
        <c:ser>
          <c:idx val="0"/>
          <c:order val="0"/>
          <c:tx>
            <c:strRef>
              <c:f>Sector1!$D$267:$E$267</c:f>
              <c:strCache>
                <c:ptCount val="1"/>
                <c:pt idx="0">
                  <c:v>GVT Social contributions (D.61r)</c:v>
                </c:pt>
              </c:strCache>
            </c:strRef>
          </c:tx>
          <c:spPr>
            <a:ln w="25400">
              <a:solidFill>
                <a:srgbClr val="FF0000"/>
              </a:solidFill>
              <a:prstDash val="solid"/>
            </a:ln>
          </c:spPr>
          <c:marker>
            <c:symbol val="diamond"/>
            <c:size val="5"/>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Sector1!$G$267:$AC$267</c:f>
              <c:numCache>
                <c:formatCode>0.0</c:formatCode>
                <c:ptCount val="12"/>
                <c:pt idx="0">
                  <c:v>17.849818542420557</c:v>
                </c:pt>
                <c:pt idx="1">
                  <c:v>20.569900478882055</c:v>
                </c:pt>
                <c:pt idx="2">
                  <c:v>17.89292526253481</c:v>
                </c:pt>
                <c:pt idx="3">
                  <c:v>9.1387801529225534</c:v>
                </c:pt>
                <c:pt idx="4">
                  <c:v>-3.4887386300062828</c:v>
                </c:pt>
                <c:pt idx="5">
                  <c:v>5.4409618417645467</c:v>
                </c:pt>
                <c:pt idx="6">
                  <c:v>3.9652396194664874</c:v>
                </c:pt>
                <c:pt idx="7">
                  <c:v>4.4898912354917941</c:v>
                </c:pt>
                <c:pt idx="8">
                  <c:v>7.2180335238584581</c:v>
                </c:pt>
                <c:pt idx="9" formatCode="0.00">
                  <c:v>6.7711615269794967</c:v>
                </c:pt>
                <c:pt idx="10" formatCode="0.00">
                  <c:v>8.7013109412656942</c:v>
                </c:pt>
                <c:pt idx="11" formatCode="0.00">
                  <c:v>12.388380313796855</c:v>
                </c:pt>
              </c:numCache>
            </c:numRef>
          </c:val>
          <c:smooth val="0"/>
        </c:ser>
        <c:ser>
          <c:idx val="1"/>
          <c:order val="1"/>
          <c:tx>
            <c:strRef>
              <c:f>'VVP2'!$E$348</c:f>
              <c:strCache>
                <c:ptCount val="1"/>
                <c:pt idx="0">
                  <c:v>GDP</c:v>
                </c:pt>
              </c:strCache>
            </c:strRef>
          </c:tx>
          <c:spPr>
            <a:ln w="25400">
              <a:solidFill>
                <a:srgbClr val="0000FF"/>
              </a:solidFill>
              <a:prstDash val="solid"/>
            </a:ln>
          </c:spPr>
          <c:marker>
            <c:symbol val="circle"/>
            <c:size val="5"/>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'VVP2'!$G$348:$AA$348</c:f>
              <c:numCache>
                <c:formatCode>0.0</c:formatCode>
                <c:ptCount val="4"/>
                <c:pt idx="0">
                  <c:v>6.6287411287878184</c:v>
                </c:pt>
                <c:pt idx="1">
                  <c:v>4.8313146506227644</c:v>
                </c:pt>
                <c:pt idx="2">
                  <c:v>4.6013904601447608</c:v>
                </c:pt>
                <c:pt idx="3">
                  <c:v>2.3471981728427016</c:v>
                </c:pt>
              </c:numCache>
            </c:numRef>
          </c:val>
          <c:smooth val="0"/>
        </c:ser>
        <c:ser>
          <c:idx val="2"/>
          <c:order val="2"/>
          <c:tx>
            <c:strRef>
              <c:f>Labour1!$D$224:$E$224</c:f>
              <c:strCache>
                <c:ptCount val="1"/>
                <c:pt idx="0">
                  <c:v>GVT Compensation of employees (D.1p) (Domestic)</c:v>
                </c:pt>
              </c:strCache>
            </c:strRef>
          </c:tx>
          <c:val>
            <c:numRef>
              <c:f>Labour1!$G$224:$U$224</c:f>
              <c:numCache>
                <c:formatCode>0.0</c:formatCode>
                <c:ptCount val="6"/>
                <c:pt idx="0">
                  <c:v>13.457156870048914</c:v>
                </c:pt>
                <c:pt idx="1">
                  <c:v>16.551506205805964</c:v>
                </c:pt>
                <c:pt idx="2">
                  <c:v>20.625303696470176</c:v>
                </c:pt>
                <c:pt idx="3">
                  <c:v>19.933250951125302</c:v>
                </c:pt>
                <c:pt idx="4" formatCode="0.00">
                  <c:v>16.462651814471975</c:v>
                </c:pt>
                <c:pt idx="5" formatCode="0.00">
                  <c:v>-16.55735569384197</c:v>
                </c:pt>
              </c:numCache>
            </c:numRef>
          </c:val>
          <c:smooth val="0"/>
        </c:ser>
        <c:dLbls>
          <c:showLegendKey val="0"/>
          <c:showVal val="0"/>
          <c:showCatName val="0"/>
          <c:showSerName val="0"/>
          <c:showPercent val="0"/>
          <c:showBubbleSize val="0"/>
        </c:dLbls>
        <c:marker val="1"/>
        <c:smooth val="0"/>
        <c:axId val="311900416"/>
        <c:axId val="311906304"/>
      </c:lineChart>
      <c:catAx>
        <c:axId val="311900416"/>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311906304"/>
        <c:crosses val="autoZero"/>
        <c:auto val="1"/>
        <c:lblAlgn val="ctr"/>
        <c:lblOffset val="100"/>
        <c:tickLblSkip val="2"/>
        <c:tickMarkSkip val="1"/>
        <c:noMultiLvlLbl val="0"/>
      </c:catAx>
      <c:valAx>
        <c:axId val="311906304"/>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311900416"/>
        <c:crosses val="autoZero"/>
        <c:crossBetween val="midCat"/>
      </c:valAx>
      <c:spPr>
        <a:noFill/>
        <a:ln w="12700">
          <a:solidFill>
            <a:srgbClr val="808080"/>
          </a:solidFill>
          <a:prstDash val="solid"/>
        </a:ln>
      </c:spPr>
    </c:plotArea>
    <c:legend>
      <c:legendPos val="r"/>
      <c:layout>
        <c:manualLayout>
          <c:xMode val="edge"/>
          <c:yMode val="edge"/>
          <c:x val="0.13839309148856391"/>
          <c:y val="0.79552026584912183"/>
          <c:w val="0.75669736595425563"/>
          <c:h val="0.18487453774160578"/>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GB"/>
              <a:t>Social contributions (GVT, received) related to GDP</a:t>
            </a:r>
          </a:p>
        </c:rich>
      </c:tx>
      <c:layout>
        <c:manualLayout>
          <c:xMode val="edge"/>
          <c:yMode val="edge"/>
          <c:x val="0.13392880577427821"/>
          <c:y val="3.3613445378151259E-2"/>
        </c:manualLayout>
      </c:layout>
      <c:overlay val="0"/>
      <c:spPr>
        <a:noFill/>
        <a:ln w="25400">
          <a:noFill/>
        </a:ln>
      </c:spPr>
    </c:title>
    <c:autoTitleDeleted val="0"/>
    <c:plotArea>
      <c:layout>
        <c:manualLayout>
          <c:layoutTarget val="inner"/>
          <c:xMode val="edge"/>
          <c:yMode val="edge"/>
          <c:x val="5.8035777539691968E-2"/>
          <c:y val="0.17647107096647127"/>
          <c:w val="0.88616168012529661"/>
          <c:h val="0.56022562211578175"/>
        </c:manualLayout>
      </c:layout>
      <c:scatterChart>
        <c:scatterStyle val="lineMarker"/>
        <c:varyColors val="0"/>
        <c:ser>
          <c:idx val="0"/>
          <c:order val="0"/>
          <c:tx>
            <c:strRef>
              <c:f>Sector1!$D$213:$E$213</c:f>
              <c:strCache>
                <c:ptCount val="1"/>
                <c:pt idx="0">
                  <c:v>GVT Current taxes on income and wealth (D.5r)  </c:v>
                </c:pt>
              </c:strCache>
            </c:strRef>
          </c:tx>
          <c:spPr>
            <a:ln w="28575">
              <a:noFill/>
            </a:ln>
          </c:spPr>
          <c:marker>
            <c:symbol val="circle"/>
            <c:size val="7"/>
            <c:spPr>
              <a:solidFill>
                <a:srgbClr val="FFFFFF"/>
              </a:solidFill>
              <a:ln>
                <a:solidFill>
                  <a:srgbClr val="0000FF"/>
                </a:solidFill>
                <a:prstDash val="solid"/>
              </a:ln>
            </c:spPr>
          </c:marker>
          <c:dLbls>
            <c:dLbl>
              <c:idx val="1"/>
              <c:tx>
                <c:strRef>
                  <c:f>Sector1!$H$252</c:f>
                  <c:strCache>
                    <c:ptCount val="1"/>
                    <c:pt idx="0">
                      <c:v>1996</c:v>
                    </c:pt>
                  </c:strCache>
                </c:strRef>
              </c:tx>
              <c:showLegendKey val="0"/>
              <c:showVal val="0"/>
              <c:showCatName val="0"/>
              <c:showSerName val="0"/>
              <c:showPercent val="0"/>
              <c:showBubbleSize val="0"/>
            </c:dLbl>
            <c:dLbl>
              <c:idx val="2"/>
              <c:tx>
                <c:strRef>
                  <c:f>Sector1!$I$252</c:f>
                  <c:strCache>
                    <c:ptCount val="1"/>
                    <c:pt idx="0">
                      <c:v>1997</c:v>
                    </c:pt>
                  </c:strCache>
                </c:strRef>
              </c:tx>
              <c:showLegendKey val="0"/>
              <c:showVal val="0"/>
              <c:showCatName val="0"/>
              <c:showSerName val="0"/>
              <c:showPercent val="0"/>
              <c:showBubbleSize val="0"/>
            </c:dLbl>
            <c:dLbl>
              <c:idx val="3"/>
              <c:tx>
                <c:strRef>
                  <c:f>Sector1!$J$252</c:f>
                  <c:strCache>
                    <c:ptCount val="1"/>
                    <c:pt idx="0">
                      <c:v>1998</c:v>
                    </c:pt>
                  </c:strCache>
                </c:strRef>
              </c:tx>
              <c:showLegendKey val="0"/>
              <c:showVal val="0"/>
              <c:showCatName val="0"/>
              <c:showSerName val="0"/>
              <c:showPercent val="0"/>
              <c:showBubbleSize val="0"/>
            </c:dLbl>
            <c:dLbl>
              <c:idx val="4"/>
              <c:tx>
                <c:strRef>
                  <c:f>Sector1!$K$252</c:f>
                  <c:strCache>
                    <c:ptCount val="1"/>
                    <c:pt idx="0">
                      <c:v>1999</c:v>
                    </c:pt>
                  </c:strCache>
                </c:strRef>
              </c:tx>
              <c:showLegendKey val="0"/>
              <c:showVal val="0"/>
              <c:showCatName val="0"/>
              <c:showSerName val="0"/>
              <c:showPercent val="0"/>
              <c:showBubbleSize val="0"/>
            </c:dLbl>
            <c:dLbl>
              <c:idx val="5"/>
              <c:tx>
                <c:strRef>
                  <c:f>Sector1!$L$252</c:f>
                  <c:strCache>
                    <c:ptCount val="1"/>
                    <c:pt idx="0">
                      <c:v>2000</c:v>
                    </c:pt>
                  </c:strCache>
                </c:strRef>
              </c:tx>
              <c:showLegendKey val="0"/>
              <c:showVal val="0"/>
              <c:showCatName val="0"/>
              <c:showSerName val="0"/>
              <c:showPercent val="0"/>
              <c:showBubbleSize val="0"/>
            </c:dLbl>
            <c:dLbl>
              <c:idx val="6"/>
              <c:tx>
                <c:strRef>
                  <c:f>Sector1!$M$252</c:f>
                  <c:strCache>
                    <c:ptCount val="1"/>
                    <c:pt idx="0">
                      <c:v>2001</c:v>
                    </c:pt>
                  </c:strCache>
                </c:strRef>
              </c:tx>
              <c:showLegendKey val="0"/>
              <c:showVal val="0"/>
              <c:showCatName val="0"/>
              <c:showSerName val="0"/>
              <c:showPercent val="0"/>
              <c:showBubbleSize val="0"/>
            </c:dLbl>
            <c:dLbl>
              <c:idx val="7"/>
              <c:tx>
                <c:strRef>
                  <c:f>Sector1!$N$252</c:f>
                  <c:strCache>
                    <c:ptCount val="1"/>
                    <c:pt idx="0">
                      <c:v>2002</c:v>
                    </c:pt>
                  </c:strCache>
                </c:strRef>
              </c:tx>
              <c:showLegendKey val="0"/>
              <c:showVal val="0"/>
              <c:showCatName val="0"/>
              <c:showSerName val="0"/>
              <c:showPercent val="0"/>
              <c:showBubbleSize val="0"/>
            </c:dLbl>
            <c:dLbl>
              <c:idx val="8"/>
              <c:tx>
                <c:strRef>
                  <c:f>Sector1!$O$252</c:f>
                  <c:strCache>
                    <c:ptCount val="1"/>
                    <c:pt idx="0">
                      <c:v>2003</c:v>
                    </c:pt>
                  </c:strCache>
                </c:strRef>
              </c:tx>
              <c:showLegendKey val="0"/>
              <c:showVal val="0"/>
              <c:showCatName val="0"/>
              <c:showSerName val="0"/>
              <c:showPercent val="0"/>
              <c:showBubbleSize val="0"/>
            </c:dLbl>
            <c:dLbl>
              <c:idx val="9"/>
              <c:tx>
                <c:strRef>
                  <c:f>Sector1!$P$252</c:f>
                  <c:strCache>
                    <c:ptCount val="1"/>
                    <c:pt idx="0">
                      <c:v>2004</c:v>
                    </c:pt>
                  </c:strCache>
                </c:strRef>
              </c:tx>
              <c:showLegendKey val="0"/>
              <c:showVal val="0"/>
              <c:showCatName val="0"/>
              <c:showSerName val="0"/>
              <c:showPercent val="0"/>
              <c:showBubbleSize val="0"/>
            </c:dLbl>
            <c:dLbl>
              <c:idx val="10"/>
              <c:tx>
                <c:strRef>
                  <c:f>Sector1!$Q$252</c:f>
                  <c:strCache>
                    <c:ptCount val="1"/>
                    <c:pt idx="0">
                      <c:v>2005</c:v>
                    </c:pt>
                  </c:strCache>
                </c:strRef>
              </c:tx>
              <c:showLegendKey val="0"/>
              <c:showVal val="0"/>
              <c:showCatName val="0"/>
              <c:showSerName val="0"/>
              <c:showPercent val="0"/>
              <c:showBubbleSize val="0"/>
            </c:dLbl>
            <c:dLbl>
              <c:idx val="11"/>
              <c:tx>
                <c:strRef>
                  <c:f>Sector1!$R$252</c:f>
                  <c:strCache>
                    <c:ptCount val="1"/>
                    <c:pt idx="0">
                      <c:v>2006</c:v>
                    </c:pt>
                  </c:strCache>
                </c:strRef>
              </c:tx>
              <c:showLegendKey val="0"/>
              <c:showVal val="0"/>
              <c:showCatName val="0"/>
              <c:showSerName val="0"/>
              <c:showPercent val="0"/>
              <c:showBubbleSize val="0"/>
            </c:dLbl>
            <c:dLbl>
              <c:idx val="12"/>
              <c:tx>
                <c:strRef>
                  <c:f>Sector1!$S$252</c:f>
                  <c:strCache>
                    <c:ptCount val="1"/>
                    <c:pt idx="0">
                      <c:v>2007</c:v>
                    </c:pt>
                  </c:strCache>
                </c:strRef>
              </c:tx>
              <c:showLegendKey val="0"/>
              <c:showVal val="0"/>
              <c:showCatName val="0"/>
              <c:showSerName val="0"/>
              <c:showPercent val="0"/>
              <c:showBubbleSize val="0"/>
            </c:dLbl>
            <c:dLbl>
              <c:idx val="13"/>
              <c:tx>
                <c:strRef>
                  <c:f>Sector1!$T$252</c:f>
                  <c:strCache>
                    <c:ptCount val="1"/>
                    <c:pt idx="0">
                      <c:v>2008</c:v>
                    </c:pt>
                  </c:strCache>
                </c:strRef>
              </c:tx>
              <c:showLegendKey val="0"/>
              <c:showVal val="0"/>
              <c:showCatName val="0"/>
              <c:showSerName val="0"/>
              <c:showPercent val="0"/>
              <c:showBubbleSize val="0"/>
            </c:dLbl>
            <c:dLbl>
              <c:idx val="14"/>
              <c:tx>
                <c:strRef>
                  <c:f>Sector1!$U$252</c:f>
                  <c:strCache>
                    <c:ptCount val="1"/>
                    <c:pt idx="0">
                      <c:v>2009</c:v>
                    </c:pt>
                  </c:strCache>
                </c:strRef>
              </c:tx>
              <c:showLegendKey val="0"/>
              <c:showVal val="0"/>
              <c:showCatName val="0"/>
              <c:showSerName val="0"/>
              <c:showPercent val="0"/>
              <c:showBubbleSize val="0"/>
            </c:dLbl>
            <c:dLbl>
              <c:idx val="15"/>
              <c:tx>
                <c:strRef>
                  <c:f>Sector1!$V$252</c:f>
                  <c:strCache>
                    <c:ptCount val="1"/>
                    <c:pt idx="0">
                      <c:v>2010</c:v>
                    </c:pt>
                  </c:strCache>
                </c:strRef>
              </c:tx>
              <c:showLegendKey val="0"/>
              <c:showVal val="0"/>
              <c:showCatName val="0"/>
              <c:showSerName val="0"/>
              <c:showPercent val="0"/>
              <c:showBubbleSize val="0"/>
            </c:dLbl>
            <c:spPr>
              <a:noFill/>
              <a:ln w="25400">
                <a:noFill/>
              </a:ln>
            </c:spPr>
            <c:txPr>
              <a:bodyPr/>
              <a:lstStyle/>
              <a:p>
                <a:pPr>
                  <a:defRPr sz="8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trendline>
            <c:spPr>
              <a:ln w="25400">
                <a:solidFill>
                  <a:srgbClr val="0000FF"/>
                </a:solidFill>
                <a:prstDash val="solid"/>
              </a:ln>
            </c:spPr>
            <c:trendlineType val="linear"/>
            <c:dispRSqr val="0"/>
            <c:dispEq val="0"/>
          </c:trendline>
          <c:xVal>
            <c:numRef>
              <c:f>'VVP2'!$G$348:$AA$348</c:f>
              <c:numCache>
                <c:formatCode>0.0</c:formatCode>
                <c:ptCount val="4"/>
                <c:pt idx="0">
                  <c:v>6.6287411287878184</c:v>
                </c:pt>
                <c:pt idx="1">
                  <c:v>4.8313146506227644</c:v>
                </c:pt>
                <c:pt idx="2">
                  <c:v>4.6013904601447608</c:v>
                </c:pt>
                <c:pt idx="3">
                  <c:v>2.3471981728427016</c:v>
                </c:pt>
              </c:numCache>
            </c:numRef>
          </c:xVal>
          <c:yVal>
            <c:numRef>
              <c:f>Sector1!$G$267:$AC$267</c:f>
              <c:numCache>
                <c:formatCode>0.0</c:formatCode>
                <c:ptCount val="12"/>
                <c:pt idx="0">
                  <c:v>17.849818542420557</c:v>
                </c:pt>
                <c:pt idx="1">
                  <c:v>20.569900478882055</c:v>
                </c:pt>
                <c:pt idx="2">
                  <c:v>17.89292526253481</c:v>
                </c:pt>
                <c:pt idx="3">
                  <c:v>9.1387801529225534</c:v>
                </c:pt>
                <c:pt idx="4">
                  <c:v>-3.4887386300062828</c:v>
                </c:pt>
                <c:pt idx="5">
                  <c:v>5.4409618417645467</c:v>
                </c:pt>
                <c:pt idx="6">
                  <c:v>3.9652396194664874</c:v>
                </c:pt>
                <c:pt idx="7">
                  <c:v>4.4898912354917941</c:v>
                </c:pt>
                <c:pt idx="8">
                  <c:v>7.2180335238584581</c:v>
                </c:pt>
                <c:pt idx="9" formatCode="0.00">
                  <c:v>6.7711615269794967</c:v>
                </c:pt>
                <c:pt idx="10" formatCode="0.00">
                  <c:v>8.7013109412656942</c:v>
                </c:pt>
                <c:pt idx="11" formatCode="0.00">
                  <c:v>12.388380313796855</c:v>
                </c:pt>
              </c:numCache>
            </c:numRef>
          </c:yVal>
          <c:smooth val="0"/>
        </c:ser>
        <c:dLbls>
          <c:showLegendKey val="0"/>
          <c:showVal val="0"/>
          <c:showCatName val="0"/>
          <c:showSerName val="0"/>
          <c:showPercent val="0"/>
          <c:showBubbleSize val="0"/>
        </c:dLbls>
        <c:axId val="312095872"/>
        <c:axId val="312097408"/>
      </c:scatterChart>
      <c:valAx>
        <c:axId val="312095872"/>
        <c:scaling>
          <c:orientation val="minMax"/>
        </c:scaling>
        <c:delete val="0"/>
        <c:axPos val="b"/>
        <c:majorGridlines>
          <c:spPr>
            <a:ln w="3175">
              <a:solidFill>
                <a:srgbClr val="000000"/>
              </a:solidFill>
              <a:prstDash val="solid"/>
            </a:ln>
          </c:spPr>
        </c:majorGridlines>
        <c:numFmt formatCode="0" sourceLinked="0"/>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312097408"/>
        <c:crosses val="autoZero"/>
        <c:crossBetween val="midCat"/>
      </c:valAx>
      <c:valAx>
        <c:axId val="312097408"/>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312095872"/>
        <c:crosses val="autoZero"/>
        <c:crossBetween val="midCat"/>
      </c:valAx>
      <c:spPr>
        <a:noFill/>
        <a:ln w="12700">
          <a:solidFill>
            <a:srgbClr val="808080"/>
          </a:solidFill>
          <a:prstDash val="solid"/>
        </a:ln>
      </c:spPr>
    </c:plotArea>
    <c:legend>
      <c:legendPos val="r"/>
      <c:layout>
        <c:manualLayout>
          <c:xMode val="edge"/>
          <c:yMode val="edge"/>
          <c:x val="9.5982142857142863E-2"/>
          <c:y val="0.85434408934177342"/>
          <c:w val="0.81250093738282703"/>
          <c:h val="0.1260507142489542"/>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en-GB"/>
              <a:t>Social contributions (GVT, received) and its main components</a:t>
            </a:r>
          </a:p>
        </c:rich>
      </c:tx>
      <c:layout>
        <c:manualLayout>
          <c:xMode val="edge"/>
          <c:yMode val="edge"/>
          <c:x val="0.18973237720284963"/>
          <c:y val="3.3613445378151259E-2"/>
        </c:manualLayout>
      </c:layout>
      <c:overlay val="0"/>
      <c:spPr>
        <a:noFill/>
        <a:ln w="25400">
          <a:noFill/>
        </a:ln>
      </c:spPr>
    </c:title>
    <c:autoTitleDeleted val="0"/>
    <c:plotArea>
      <c:layout>
        <c:manualLayout>
          <c:layoutTarget val="inner"/>
          <c:xMode val="edge"/>
          <c:yMode val="edge"/>
          <c:x val="0.1227679909493484"/>
          <c:y val="0.21848799262515489"/>
          <c:w val="0.81026874026569939"/>
          <c:h val="0.45938501013494104"/>
        </c:manualLayout>
      </c:layout>
      <c:lineChart>
        <c:grouping val="standard"/>
        <c:varyColors val="0"/>
        <c:ser>
          <c:idx val="2"/>
          <c:order val="0"/>
          <c:tx>
            <c:strRef>
              <c:f>Sector1!$D$265:$E$265</c:f>
              <c:strCache>
                <c:ptCount val="1"/>
                <c:pt idx="0">
                  <c:v>GVT Actual social contributions (D.611r)</c:v>
                </c:pt>
              </c:strCache>
            </c:strRef>
          </c:tx>
          <c:spPr>
            <a:ln w="25400">
              <a:solidFill>
                <a:srgbClr val="0000FF"/>
              </a:solidFill>
              <a:prstDash val="solid"/>
            </a:ln>
          </c:spPr>
          <c:marker>
            <c:symbol val="circle"/>
            <c:size val="5"/>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Sector1!$G$265:$AC$265</c:f>
              <c:numCache>
                <c:formatCode>0.0</c:formatCode>
                <c:ptCount val="12"/>
                <c:pt idx="0">
                  <c:v>17.810870066309658</c:v>
                </c:pt>
                <c:pt idx="1">
                  <c:v>20.387214196337155</c:v>
                </c:pt>
                <c:pt idx="2">
                  <c:v>17.725384664809638</c:v>
                </c:pt>
                <c:pt idx="3">
                  <c:v>9.2532722912298979</c:v>
                </c:pt>
                <c:pt idx="4">
                  <c:v>-3.1577926600274475</c:v>
                </c:pt>
                <c:pt idx="5">
                  <c:v>5.4640348348530487</c:v>
                </c:pt>
                <c:pt idx="6">
                  <c:v>3.9241919427325245</c:v>
                </c:pt>
                <c:pt idx="7">
                  <c:v>5.0451133856218355</c:v>
                </c:pt>
                <c:pt idx="8">
                  <c:v>7.1260647718647263</c:v>
                </c:pt>
                <c:pt idx="9">
                  <c:v>6.7775093366661876</c:v>
                </c:pt>
                <c:pt idx="10">
                  <c:v>8.6562521600884743</c:v>
                </c:pt>
                <c:pt idx="11" formatCode="0.00">
                  <c:v>12.38838031379683</c:v>
                </c:pt>
              </c:numCache>
            </c:numRef>
          </c:val>
          <c:smooth val="0"/>
        </c:ser>
        <c:ser>
          <c:idx val="3"/>
          <c:order val="1"/>
          <c:tx>
            <c:strRef>
              <c:f>Sector1!$D$266:$E$266</c:f>
              <c:strCache>
                <c:ptCount val="1"/>
                <c:pt idx="0">
                  <c:v>GVT Imputed social contributions (D.612r)</c:v>
                </c:pt>
              </c:strCache>
            </c:strRef>
          </c:tx>
          <c:spPr>
            <a:ln w="25400">
              <a:solidFill>
                <a:srgbClr val="339966"/>
              </a:solidFill>
              <a:prstDash val="solid"/>
            </a:ln>
          </c:spPr>
          <c:marker>
            <c:symbol val="square"/>
            <c:size val="5"/>
            <c:spPr>
              <a:solidFill>
                <a:srgbClr val="FFFFFF"/>
              </a:solidFill>
              <a:ln>
                <a:solidFill>
                  <a:srgbClr val="339966"/>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Sector1!$G$266:$AC$266</c:f>
              <c:numCache>
                <c:formatCode>0.0</c:formatCode>
                <c:ptCount val="12"/>
                <c:pt idx="0">
                  <c:v>19.049191152195455</c:v>
                </c:pt>
                <c:pt idx="1">
                  <c:v>26.136993899057103</c:v>
                </c:pt>
                <c:pt idx="2">
                  <c:v>22.765746949543807</c:v>
                </c:pt>
                <c:pt idx="3">
                  <c:v>5.9455587392550191</c:v>
                </c:pt>
                <c:pt idx="4">
                  <c:v>-13.007099391480725</c:v>
                </c:pt>
                <c:pt idx="5">
                  <c:v>4.7022248129796829</c:v>
                </c:pt>
                <c:pt idx="6">
                  <c:v>5.2890414772200245</c:v>
                </c:pt>
                <c:pt idx="7">
                  <c:v>-13.184101524632064</c:v>
                </c:pt>
                <c:pt idx="8">
                  <c:v>10.760328900619221</c:v>
                </c:pt>
                <c:pt idx="9">
                  <c:v>6.534689762624879</c:v>
                </c:pt>
                <c:pt idx="10">
                  <c:v>10.383688919476963</c:v>
                </c:pt>
                <c:pt idx="11" formatCode="0.00">
                  <c:v>12.38838031379683</c:v>
                </c:pt>
              </c:numCache>
            </c:numRef>
          </c:val>
          <c:smooth val="0"/>
        </c:ser>
        <c:ser>
          <c:idx val="0"/>
          <c:order val="2"/>
          <c:tx>
            <c:strRef>
              <c:f>Sector1!$D$267:$E$267</c:f>
              <c:strCache>
                <c:ptCount val="1"/>
                <c:pt idx="0">
                  <c:v>GVT Social contributions (D.61r)</c:v>
                </c:pt>
              </c:strCache>
            </c:strRef>
          </c:tx>
          <c:spPr>
            <a:ln w="25400">
              <a:solidFill>
                <a:srgbClr val="FF0000"/>
              </a:solidFill>
              <a:prstDash val="solid"/>
            </a:ln>
          </c:spPr>
          <c:marker>
            <c:symbol val="diamond"/>
            <c:size val="5"/>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Sector1!$G$267:$AC$267</c:f>
              <c:numCache>
                <c:formatCode>0.0</c:formatCode>
                <c:ptCount val="12"/>
                <c:pt idx="0">
                  <c:v>17.849818542420557</c:v>
                </c:pt>
                <c:pt idx="1">
                  <c:v>20.569900478882055</c:v>
                </c:pt>
                <c:pt idx="2">
                  <c:v>17.89292526253481</c:v>
                </c:pt>
                <c:pt idx="3">
                  <c:v>9.1387801529225534</c:v>
                </c:pt>
                <c:pt idx="4">
                  <c:v>-3.4887386300062828</c:v>
                </c:pt>
                <c:pt idx="5">
                  <c:v>5.4409618417645467</c:v>
                </c:pt>
                <c:pt idx="6">
                  <c:v>3.9652396194664874</c:v>
                </c:pt>
                <c:pt idx="7">
                  <c:v>4.4898912354917941</c:v>
                </c:pt>
                <c:pt idx="8">
                  <c:v>7.2180335238584581</c:v>
                </c:pt>
                <c:pt idx="9" formatCode="0.00">
                  <c:v>6.7711615269794967</c:v>
                </c:pt>
                <c:pt idx="10" formatCode="0.00">
                  <c:v>8.7013109412656942</c:v>
                </c:pt>
                <c:pt idx="11" formatCode="0.00">
                  <c:v>12.388380313796855</c:v>
                </c:pt>
              </c:numCache>
            </c:numRef>
          </c:val>
          <c:smooth val="0"/>
        </c:ser>
        <c:dLbls>
          <c:showLegendKey val="0"/>
          <c:showVal val="0"/>
          <c:showCatName val="0"/>
          <c:showSerName val="0"/>
          <c:showPercent val="0"/>
          <c:showBubbleSize val="0"/>
        </c:dLbls>
        <c:marker val="1"/>
        <c:smooth val="0"/>
        <c:axId val="312799232"/>
        <c:axId val="312801152"/>
      </c:lineChart>
      <c:catAx>
        <c:axId val="312799232"/>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312801152"/>
        <c:crosses val="autoZero"/>
        <c:auto val="1"/>
        <c:lblAlgn val="ctr"/>
        <c:lblOffset val="100"/>
        <c:tickLblSkip val="2"/>
        <c:tickMarkSkip val="1"/>
        <c:noMultiLvlLbl val="0"/>
      </c:catAx>
      <c:valAx>
        <c:axId val="312801152"/>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312799232"/>
        <c:crosses val="autoZero"/>
        <c:crossBetween val="midCat"/>
      </c:valAx>
      <c:spPr>
        <a:noFill/>
        <a:ln w="12700">
          <a:solidFill>
            <a:srgbClr val="808080"/>
          </a:solidFill>
          <a:prstDash val="solid"/>
        </a:ln>
      </c:spPr>
    </c:plotArea>
    <c:legend>
      <c:legendPos val="r"/>
      <c:layout>
        <c:manualLayout>
          <c:xMode val="edge"/>
          <c:yMode val="edge"/>
          <c:x val="0.22321452005999248"/>
          <c:y val="0.79552026584912183"/>
          <c:w val="0.6250007030371203"/>
          <c:h val="0.18487453774160578"/>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en-GB"/>
              <a:t>Social contributions (GVT, received) related to compensation of employees</a:t>
            </a:r>
          </a:p>
        </c:rich>
      </c:tx>
      <c:layout>
        <c:manualLayout>
          <c:xMode val="edge"/>
          <c:yMode val="edge"/>
          <c:x val="0.1138395200599925"/>
          <c:y val="3.3613445378151259E-2"/>
        </c:manualLayout>
      </c:layout>
      <c:overlay val="0"/>
      <c:spPr>
        <a:noFill/>
        <a:ln w="25400">
          <a:noFill/>
        </a:ln>
      </c:spPr>
    </c:title>
    <c:autoTitleDeleted val="0"/>
    <c:plotArea>
      <c:layout>
        <c:manualLayout>
          <c:layoutTarget val="inner"/>
          <c:xMode val="edge"/>
          <c:yMode val="edge"/>
          <c:x val="0.10044653804946686"/>
          <c:y val="0.21848799262515489"/>
          <c:w val="0.84375091961552173"/>
          <c:h val="0.45938501013494104"/>
        </c:manualLayout>
      </c:layout>
      <c:scatterChart>
        <c:scatterStyle val="lineMarker"/>
        <c:varyColors val="0"/>
        <c:ser>
          <c:idx val="0"/>
          <c:order val="0"/>
          <c:tx>
            <c:strRef>
              <c:f>Sector1!$D$267:$E$267</c:f>
              <c:strCache>
                <c:ptCount val="1"/>
                <c:pt idx="0">
                  <c:v>GVT Social contributions (D.61r)</c:v>
                </c:pt>
              </c:strCache>
            </c:strRef>
          </c:tx>
          <c:spPr>
            <a:ln w="28575">
              <a:noFill/>
            </a:ln>
          </c:spPr>
          <c:marker>
            <c:symbol val="circle"/>
            <c:size val="7"/>
            <c:spPr>
              <a:solidFill>
                <a:srgbClr val="FFFFFF"/>
              </a:solidFill>
              <a:ln>
                <a:solidFill>
                  <a:srgbClr val="008000"/>
                </a:solidFill>
                <a:prstDash val="solid"/>
              </a:ln>
            </c:spPr>
          </c:marker>
          <c:dLbls>
            <c:dLbl>
              <c:idx val="1"/>
              <c:tx>
                <c:strRef>
                  <c:f>Sector1!$H$252</c:f>
                  <c:strCache>
                    <c:ptCount val="1"/>
                    <c:pt idx="0">
                      <c:v>1996</c:v>
                    </c:pt>
                  </c:strCache>
                </c:strRef>
              </c:tx>
              <c:showLegendKey val="0"/>
              <c:showVal val="0"/>
              <c:showCatName val="0"/>
              <c:showSerName val="0"/>
              <c:showPercent val="0"/>
              <c:showBubbleSize val="0"/>
            </c:dLbl>
            <c:dLbl>
              <c:idx val="2"/>
              <c:tx>
                <c:strRef>
                  <c:f>Sector1!$I$252</c:f>
                  <c:strCache>
                    <c:ptCount val="1"/>
                    <c:pt idx="0">
                      <c:v>1997</c:v>
                    </c:pt>
                  </c:strCache>
                </c:strRef>
              </c:tx>
              <c:showLegendKey val="0"/>
              <c:showVal val="0"/>
              <c:showCatName val="0"/>
              <c:showSerName val="0"/>
              <c:showPercent val="0"/>
              <c:showBubbleSize val="0"/>
            </c:dLbl>
            <c:dLbl>
              <c:idx val="3"/>
              <c:tx>
                <c:strRef>
                  <c:f>Sector1!$J$252</c:f>
                  <c:strCache>
                    <c:ptCount val="1"/>
                    <c:pt idx="0">
                      <c:v>1998</c:v>
                    </c:pt>
                  </c:strCache>
                </c:strRef>
              </c:tx>
              <c:showLegendKey val="0"/>
              <c:showVal val="0"/>
              <c:showCatName val="0"/>
              <c:showSerName val="0"/>
              <c:showPercent val="0"/>
              <c:showBubbleSize val="0"/>
            </c:dLbl>
            <c:dLbl>
              <c:idx val="4"/>
              <c:tx>
                <c:strRef>
                  <c:f>Sector1!$K$252</c:f>
                  <c:strCache>
                    <c:ptCount val="1"/>
                    <c:pt idx="0">
                      <c:v>1999</c:v>
                    </c:pt>
                  </c:strCache>
                </c:strRef>
              </c:tx>
              <c:showLegendKey val="0"/>
              <c:showVal val="0"/>
              <c:showCatName val="0"/>
              <c:showSerName val="0"/>
              <c:showPercent val="0"/>
              <c:showBubbleSize val="0"/>
            </c:dLbl>
            <c:dLbl>
              <c:idx val="5"/>
              <c:tx>
                <c:strRef>
                  <c:f>Sector1!$L$252</c:f>
                  <c:strCache>
                    <c:ptCount val="1"/>
                    <c:pt idx="0">
                      <c:v>2000</c:v>
                    </c:pt>
                  </c:strCache>
                </c:strRef>
              </c:tx>
              <c:showLegendKey val="0"/>
              <c:showVal val="0"/>
              <c:showCatName val="0"/>
              <c:showSerName val="0"/>
              <c:showPercent val="0"/>
              <c:showBubbleSize val="0"/>
            </c:dLbl>
            <c:dLbl>
              <c:idx val="6"/>
              <c:tx>
                <c:strRef>
                  <c:f>Sector1!$M$252</c:f>
                  <c:strCache>
                    <c:ptCount val="1"/>
                    <c:pt idx="0">
                      <c:v>2001</c:v>
                    </c:pt>
                  </c:strCache>
                </c:strRef>
              </c:tx>
              <c:showLegendKey val="0"/>
              <c:showVal val="0"/>
              <c:showCatName val="0"/>
              <c:showSerName val="0"/>
              <c:showPercent val="0"/>
              <c:showBubbleSize val="0"/>
            </c:dLbl>
            <c:dLbl>
              <c:idx val="7"/>
              <c:tx>
                <c:strRef>
                  <c:f>Sector1!$N$252</c:f>
                  <c:strCache>
                    <c:ptCount val="1"/>
                    <c:pt idx="0">
                      <c:v>2002</c:v>
                    </c:pt>
                  </c:strCache>
                </c:strRef>
              </c:tx>
              <c:showLegendKey val="0"/>
              <c:showVal val="0"/>
              <c:showCatName val="0"/>
              <c:showSerName val="0"/>
              <c:showPercent val="0"/>
              <c:showBubbleSize val="0"/>
            </c:dLbl>
            <c:dLbl>
              <c:idx val="8"/>
              <c:tx>
                <c:strRef>
                  <c:f>Sector1!$O$252</c:f>
                  <c:strCache>
                    <c:ptCount val="1"/>
                    <c:pt idx="0">
                      <c:v>2003</c:v>
                    </c:pt>
                  </c:strCache>
                </c:strRef>
              </c:tx>
              <c:showLegendKey val="0"/>
              <c:showVal val="0"/>
              <c:showCatName val="0"/>
              <c:showSerName val="0"/>
              <c:showPercent val="0"/>
              <c:showBubbleSize val="0"/>
            </c:dLbl>
            <c:dLbl>
              <c:idx val="9"/>
              <c:tx>
                <c:strRef>
                  <c:f>Sector1!$P$252</c:f>
                  <c:strCache>
                    <c:ptCount val="1"/>
                    <c:pt idx="0">
                      <c:v>2004</c:v>
                    </c:pt>
                  </c:strCache>
                </c:strRef>
              </c:tx>
              <c:showLegendKey val="0"/>
              <c:showVal val="0"/>
              <c:showCatName val="0"/>
              <c:showSerName val="0"/>
              <c:showPercent val="0"/>
              <c:showBubbleSize val="0"/>
            </c:dLbl>
            <c:dLbl>
              <c:idx val="10"/>
              <c:tx>
                <c:strRef>
                  <c:f>Sector1!$Q$252</c:f>
                  <c:strCache>
                    <c:ptCount val="1"/>
                    <c:pt idx="0">
                      <c:v>2005</c:v>
                    </c:pt>
                  </c:strCache>
                </c:strRef>
              </c:tx>
              <c:showLegendKey val="0"/>
              <c:showVal val="0"/>
              <c:showCatName val="0"/>
              <c:showSerName val="0"/>
              <c:showPercent val="0"/>
              <c:showBubbleSize val="0"/>
            </c:dLbl>
            <c:dLbl>
              <c:idx val="11"/>
              <c:tx>
                <c:strRef>
                  <c:f>Sector1!$R$252</c:f>
                  <c:strCache>
                    <c:ptCount val="1"/>
                    <c:pt idx="0">
                      <c:v>2006</c:v>
                    </c:pt>
                  </c:strCache>
                </c:strRef>
              </c:tx>
              <c:showLegendKey val="0"/>
              <c:showVal val="0"/>
              <c:showCatName val="0"/>
              <c:showSerName val="0"/>
              <c:showPercent val="0"/>
              <c:showBubbleSize val="0"/>
            </c:dLbl>
            <c:dLbl>
              <c:idx val="12"/>
              <c:tx>
                <c:strRef>
                  <c:f>Sector1!$S$252</c:f>
                  <c:strCache>
                    <c:ptCount val="1"/>
                    <c:pt idx="0">
                      <c:v>2007</c:v>
                    </c:pt>
                  </c:strCache>
                </c:strRef>
              </c:tx>
              <c:showLegendKey val="0"/>
              <c:showVal val="0"/>
              <c:showCatName val="0"/>
              <c:showSerName val="0"/>
              <c:showPercent val="0"/>
              <c:showBubbleSize val="0"/>
            </c:dLbl>
            <c:dLbl>
              <c:idx val="13"/>
              <c:tx>
                <c:strRef>
                  <c:f>Sector1!$T$252</c:f>
                  <c:strCache>
                    <c:ptCount val="1"/>
                    <c:pt idx="0">
                      <c:v>2008</c:v>
                    </c:pt>
                  </c:strCache>
                </c:strRef>
              </c:tx>
              <c:showLegendKey val="0"/>
              <c:showVal val="0"/>
              <c:showCatName val="0"/>
              <c:showSerName val="0"/>
              <c:showPercent val="0"/>
              <c:showBubbleSize val="0"/>
            </c:dLbl>
            <c:dLbl>
              <c:idx val="14"/>
              <c:tx>
                <c:strRef>
                  <c:f>Sector1!$U$252</c:f>
                  <c:strCache>
                    <c:ptCount val="1"/>
                    <c:pt idx="0">
                      <c:v>2009</c:v>
                    </c:pt>
                  </c:strCache>
                </c:strRef>
              </c:tx>
              <c:showLegendKey val="0"/>
              <c:showVal val="0"/>
              <c:showCatName val="0"/>
              <c:showSerName val="0"/>
              <c:showPercent val="0"/>
              <c:showBubbleSize val="0"/>
            </c:dLbl>
            <c:dLbl>
              <c:idx val="15"/>
              <c:tx>
                <c:strRef>
                  <c:f>Sector1!$V$252</c:f>
                  <c:strCache>
                    <c:ptCount val="1"/>
                    <c:pt idx="0">
                      <c:v>2010</c:v>
                    </c:pt>
                  </c:strCache>
                </c:strRef>
              </c:tx>
              <c:showLegendKey val="0"/>
              <c:showVal val="0"/>
              <c:showCatName val="0"/>
              <c:showSerName val="0"/>
              <c:showPercent val="0"/>
              <c:showBubbleSize val="0"/>
            </c:dLbl>
            <c:spPr>
              <a:noFill/>
              <a:ln w="25400">
                <a:noFill/>
              </a:ln>
            </c:spPr>
            <c:txPr>
              <a:bodyPr/>
              <a:lstStyle/>
              <a:p>
                <a:pPr>
                  <a:defRPr sz="8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trendline>
            <c:spPr>
              <a:ln w="25400">
                <a:solidFill>
                  <a:srgbClr val="008000"/>
                </a:solidFill>
                <a:prstDash val="solid"/>
              </a:ln>
            </c:spPr>
            <c:trendlineType val="linear"/>
            <c:dispRSqr val="0"/>
            <c:dispEq val="0"/>
          </c:trendline>
          <c:xVal>
            <c:numRef>
              <c:f>Labour1!$G$224:$AC$224</c:f>
              <c:numCache>
                <c:formatCode>0.0</c:formatCode>
                <c:ptCount val="14"/>
                <c:pt idx="0">
                  <c:v>13.457156870048914</c:v>
                </c:pt>
                <c:pt idx="1">
                  <c:v>16.551506205805964</c:v>
                </c:pt>
                <c:pt idx="2">
                  <c:v>20.625303696470176</c:v>
                </c:pt>
                <c:pt idx="3">
                  <c:v>19.933250951125302</c:v>
                </c:pt>
                <c:pt idx="4" formatCode="0.00">
                  <c:v>16.462651814471975</c:v>
                </c:pt>
                <c:pt idx="5" formatCode="0.00">
                  <c:v>-16.55735569384197</c:v>
                </c:pt>
                <c:pt idx="6" formatCode="0.00">
                  <c:v>-4.2433577525932353</c:v>
                </c:pt>
                <c:pt idx="7" formatCode="0.00">
                  <c:v>7.2024599889973562</c:v>
                </c:pt>
                <c:pt idx="8" formatCode="0.00">
                  <c:v>5.5380206228158535</c:v>
                </c:pt>
                <c:pt idx="9" formatCode="0.00">
                  <c:v>5.8994147360147409</c:v>
                </c:pt>
                <c:pt idx="10" formatCode="0.00">
                  <c:v>6.4129692882434197</c:v>
                </c:pt>
                <c:pt idx="11" formatCode="0.00">
                  <c:v>6.9293958600731953</c:v>
                </c:pt>
                <c:pt idx="12" formatCode="0.00">
                  <c:v>8.2608995937912368</c:v>
                </c:pt>
                <c:pt idx="13" formatCode="0.00">
                  <c:v>8.9820108145402209</c:v>
                </c:pt>
              </c:numCache>
            </c:numRef>
          </c:xVal>
          <c:yVal>
            <c:numRef>
              <c:f>Sector1!$G$267:$AC$267</c:f>
              <c:numCache>
                <c:formatCode>0.0</c:formatCode>
                <c:ptCount val="12"/>
                <c:pt idx="0">
                  <c:v>17.849818542420557</c:v>
                </c:pt>
                <c:pt idx="1">
                  <c:v>20.569900478882055</c:v>
                </c:pt>
                <c:pt idx="2">
                  <c:v>17.89292526253481</c:v>
                </c:pt>
                <c:pt idx="3">
                  <c:v>9.1387801529225534</c:v>
                </c:pt>
                <c:pt idx="4">
                  <c:v>-3.4887386300062828</c:v>
                </c:pt>
                <c:pt idx="5">
                  <c:v>5.4409618417645467</c:v>
                </c:pt>
                <c:pt idx="6">
                  <c:v>3.9652396194664874</c:v>
                </c:pt>
                <c:pt idx="7">
                  <c:v>4.4898912354917941</c:v>
                </c:pt>
                <c:pt idx="8">
                  <c:v>7.2180335238584581</c:v>
                </c:pt>
                <c:pt idx="9" formatCode="0.00">
                  <c:v>6.7711615269794967</c:v>
                </c:pt>
                <c:pt idx="10" formatCode="0.00">
                  <c:v>8.7013109412656942</c:v>
                </c:pt>
                <c:pt idx="11" formatCode="0.00">
                  <c:v>12.388380313796855</c:v>
                </c:pt>
              </c:numCache>
            </c:numRef>
          </c:yVal>
          <c:smooth val="0"/>
        </c:ser>
        <c:ser>
          <c:idx val="1"/>
          <c:order val="1"/>
          <c:tx>
            <c:strRef>
              <c:f>Sector1!$F$276</c:f>
              <c:strCache>
                <c:ptCount val="1"/>
                <c:pt idx="0">
                  <c:v>OECD</c:v>
                </c:pt>
              </c:strCache>
            </c:strRef>
          </c:tx>
          <c:spPr>
            <a:ln w="25400">
              <a:solidFill>
                <a:srgbClr val="FF0000"/>
              </a:solidFill>
              <a:prstDash val="solid"/>
            </a:ln>
          </c:spPr>
          <c:marker>
            <c:symbol val="none"/>
          </c:marker>
          <c:xVal>
            <c:numRef>
              <c:f>Labour1!$G$224:$AC$224</c:f>
              <c:numCache>
                <c:formatCode>0.0</c:formatCode>
                <c:ptCount val="14"/>
                <c:pt idx="0">
                  <c:v>13.457156870048914</c:v>
                </c:pt>
                <c:pt idx="1">
                  <c:v>16.551506205805964</c:v>
                </c:pt>
                <c:pt idx="2">
                  <c:v>20.625303696470176</c:v>
                </c:pt>
                <c:pt idx="3">
                  <c:v>19.933250951125302</c:v>
                </c:pt>
                <c:pt idx="4" formatCode="0.00">
                  <c:v>16.462651814471975</c:v>
                </c:pt>
                <c:pt idx="5" formatCode="0.00">
                  <c:v>-16.55735569384197</c:v>
                </c:pt>
                <c:pt idx="6" formatCode="0.00">
                  <c:v>-4.2433577525932353</c:v>
                </c:pt>
                <c:pt idx="7" formatCode="0.00">
                  <c:v>7.2024599889973562</c:v>
                </c:pt>
                <c:pt idx="8" formatCode="0.00">
                  <c:v>5.5380206228158535</c:v>
                </c:pt>
                <c:pt idx="9" formatCode="0.00">
                  <c:v>5.8994147360147409</c:v>
                </c:pt>
                <c:pt idx="10" formatCode="0.00">
                  <c:v>6.4129692882434197</c:v>
                </c:pt>
                <c:pt idx="11" formatCode="0.00">
                  <c:v>6.9293958600731953</c:v>
                </c:pt>
                <c:pt idx="12" formatCode="0.00">
                  <c:v>8.2608995937912368</c:v>
                </c:pt>
                <c:pt idx="13" formatCode="0.00">
                  <c:v>8.9820108145402209</c:v>
                </c:pt>
              </c:numCache>
            </c:numRef>
          </c:xVal>
          <c:yVal>
            <c:numRef>
              <c:f>Sector1!$G$276:$AC$276</c:f>
              <c:numCache>
                <c:formatCode>0.0</c:formatCode>
                <c:ptCount val="12"/>
                <c:pt idx="0">
                  <c:v>20.625303696470176</c:v>
                </c:pt>
                <c:pt idx="1">
                  <c:v>19.933250951125302</c:v>
                </c:pt>
                <c:pt idx="2">
                  <c:v>16.462651814471975</c:v>
                </c:pt>
                <c:pt idx="3">
                  <c:v>-16.55735569384197</c:v>
                </c:pt>
                <c:pt idx="4">
                  <c:v>-4.2433577525932353</c:v>
                </c:pt>
                <c:pt idx="5">
                  <c:v>7.2024599889973562</c:v>
                </c:pt>
                <c:pt idx="6">
                  <c:v>5.5380206228158535</c:v>
                </c:pt>
                <c:pt idx="7">
                  <c:v>5.8994147360147409</c:v>
                </c:pt>
                <c:pt idx="8">
                  <c:v>6.4129692882434197</c:v>
                </c:pt>
                <c:pt idx="9">
                  <c:v>6.9293958600731953</c:v>
                </c:pt>
                <c:pt idx="10">
                  <c:v>8.2608995937912368</c:v>
                </c:pt>
                <c:pt idx="11">
                  <c:v>8.9820108145402209</c:v>
                </c:pt>
              </c:numCache>
            </c:numRef>
          </c:yVal>
          <c:smooth val="0"/>
        </c:ser>
        <c:dLbls>
          <c:showLegendKey val="0"/>
          <c:showVal val="0"/>
          <c:showCatName val="0"/>
          <c:showSerName val="0"/>
          <c:showPercent val="0"/>
          <c:showBubbleSize val="0"/>
        </c:dLbls>
        <c:axId val="312983552"/>
        <c:axId val="312985088"/>
      </c:scatterChart>
      <c:valAx>
        <c:axId val="312983552"/>
        <c:scaling>
          <c:orientation val="minMax"/>
        </c:scaling>
        <c:delete val="0"/>
        <c:axPos val="b"/>
        <c:majorGridlines>
          <c:spPr>
            <a:ln w="3175">
              <a:solidFill>
                <a:srgbClr val="000000"/>
              </a:solidFill>
              <a:prstDash val="solid"/>
            </a:ln>
          </c:spPr>
        </c:majorGridlines>
        <c:numFmt formatCode="0" sourceLinked="0"/>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312985088"/>
        <c:crosses val="autoZero"/>
        <c:crossBetween val="midCat"/>
      </c:valAx>
      <c:valAx>
        <c:axId val="312985088"/>
        <c:scaling>
          <c:orientation val="minMax"/>
        </c:scaling>
        <c:delete val="0"/>
        <c:axPos val="l"/>
        <c:majorGridlines>
          <c:spPr>
            <a:ln w="3175">
              <a:solidFill>
                <a:srgbClr val="000000"/>
              </a:solidFill>
              <a:prstDash val="solid"/>
            </a:ln>
          </c:spPr>
        </c:majorGridlines>
        <c:numFmt formatCode="0" sourceLinked="0"/>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312983552"/>
        <c:crosses val="autoZero"/>
        <c:crossBetween val="midCat"/>
      </c:valAx>
      <c:spPr>
        <a:noFill/>
        <a:ln w="12700">
          <a:solidFill>
            <a:srgbClr val="808080"/>
          </a:solidFill>
          <a:prstDash val="solid"/>
        </a:ln>
      </c:spPr>
    </c:plotArea>
    <c:legend>
      <c:legendPos val="r"/>
      <c:layout>
        <c:manualLayout>
          <c:xMode val="edge"/>
          <c:yMode val="edge"/>
          <c:x val="0.21651809148856391"/>
          <c:y val="0.79552026584912183"/>
          <c:w val="0.6093757030371203"/>
          <c:h val="0.18487453774160578"/>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en-GB"/>
              <a:t>Social contributions (GVT, received) as % of compensation of employees</a:t>
            </a:r>
          </a:p>
        </c:rich>
      </c:tx>
      <c:layout>
        <c:manualLayout>
          <c:xMode val="edge"/>
          <c:yMode val="edge"/>
          <c:x val="0.1138395200599925"/>
          <c:y val="3.3613445378151259E-2"/>
        </c:manualLayout>
      </c:layout>
      <c:overlay val="0"/>
      <c:spPr>
        <a:noFill/>
        <a:ln w="25400">
          <a:noFill/>
        </a:ln>
      </c:spPr>
    </c:title>
    <c:autoTitleDeleted val="0"/>
    <c:plotArea>
      <c:layout>
        <c:manualLayout>
          <c:layoutTarget val="inner"/>
          <c:xMode val="edge"/>
          <c:yMode val="edge"/>
          <c:x val="0.14285729855924176"/>
          <c:y val="0.21848799262515489"/>
          <c:w val="0.79017943265580604"/>
          <c:h val="0.57703239077925528"/>
        </c:manualLayout>
      </c:layout>
      <c:lineChart>
        <c:grouping val="standard"/>
        <c:varyColors val="0"/>
        <c:ser>
          <c:idx val="0"/>
          <c:order val="0"/>
          <c:tx>
            <c:strRef>
              <c:f>Sector1!$D$281:$E$281</c:f>
              <c:strCache>
                <c:ptCount val="1"/>
                <c:pt idx="0">
                  <c:v>GVT Social contributions (D.61r)</c:v>
                </c:pt>
              </c:strCache>
            </c:strRef>
          </c:tx>
          <c:spPr>
            <a:ln w="25400">
              <a:solidFill>
                <a:srgbClr val="008000"/>
              </a:solidFill>
              <a:prstDash val="solid"/>
            </a:ln>
          </c:spPr>
          <c:marker>
            <c:symbol val="circle"/>
            <c:size val="7"/>
            <c:spPr>
              <a:solidFill>
                <a:srgbClr val="FFFFFF"/>
              </a:solidFill>
              <a:ln>
                <a:solidFill>
                  <a:srgbClr val="008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Sector1!$G$291:$AC$291</c:f>
              <c:numCache>
                <c:formatCode>0.0%</c:formatCode>
                <c:ptCount val="12"/>
                <c:pt idx="0">
                  <c:v>0.22086248333706326</c:v>
                </c:pt>
                <c:pt idx="1">
                  <c:v>0.22203490211668114</c:v>
                </c:pt>
                <c:pt idx="2">
                  <c:v>0.22476170440130211</c:v>
                </c:pt>
                <c:pt idx="3">
                  <c:v>0.29397699997912891</c:v>
                </c:pt>
                <c:pt idx="4">
                  <c:v>0.29629371306115015</c:v>
                </c:pt>
                <c:pt idx="5">
                  <c:v>0.29142516035585292</c:v>
                </c:pt>
                <c:pt idx="6">
                  <c:v>0.2870821951059756</c:v>
                </c:pt>
                <c:pt idx="7">
                  <c:v>0.28326112488011745</c:v>
                </c:pt>
                <c:pt idx="8">
                  <c:v>0.2854041287123229</c:v>
                </c:pt>
                <c:pt idx="9">
                  <c:v>0.28498178711387151</c:v>
                </c:pt>
                <c:pt idx="10">
                  <c:v>0.28614110883888416</c:v>
                </c:pt>
                <c:pt idx="11">
                  <c:v>0.29508480824713734</c:v>
                </c:pt>
              </c:numCache>
            </c:numRef>
          </c:val>
          <c:smooth val="0"/>
        </c:ser>
        <c:dLbls>
          <c:showLegendKey val="0"/>
          <c:showVal val="0"/>
          <c:showCatName val="0"/>
          <c:showSerName val="0"/>
          <c:showPercent val="0"/>
          <c:showBubbleSize val="0"/>
        </c:dLbls>
        <c:marker val="1"/>
        <c:smooth val="0"/>
        <c:axId val="313963648"/>
        <c:axId val="313965568"/>
      </c:lineChart>
      <c:catAx>
        <c:axId val="313963648"/>
        <c:scaling>
          <c:orientation val="minMax"/>
        </c:scaling>
        <c:delete val="0"/>
        <c:axPos val="b"/>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313965568"/>
        <c:crosses val="autoZero"/>
        <c:auto val="1"/>
        <c:lblAlgn val="ctr"/>
        <c:lblOffset val="100"/>
        <c:tickLblSkip val="2"/>
        <c:tickMarkSkip val="1"/>
        <c:noMultiLvlLbl val="0"/>
      </c:catAx>
      <c:valAx>
        <c:axId val="313965568"/>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313963648"/>
        <c:crosses val="autoZero"/>
        <c:crossBetween val="midCat"/>
      </c:valAx>
      <c:spPr>
        <a:noFill/>
        <a:ln w="12700">
          <a:solidFill>
            <a:srgbClr val="808080"/>
          </a:solidFill>
          <a:prstDash val="solid"/>
        </a:ln>
      </c:spPr>
    </c:plotArea>
    <c:legend>
      <c:legendPos val="r"/>
      <c:layout>
        <c:manualLayout>
          <c:xMode val="edge"/>
          <c:yMode val="edge"/>
          <c:x val="0.28125023434570678"/>
          <c:y val="0.91316761875353814"/>
          <c:w val="0.51116118297712787"/>
          <c:h val="6.722718483718948E-2"/>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GB"/>
              <a:t>Social contributions (GVT, received) as % of GDP</a:t>
            </a:r>
          </a:p>
        </c:rich>
      </c:tx>
      <c:layout>
        <c:manualLayout>
          <c:xMode val="edge"/>
          <c:yMode val="edge"/>
          <c:x val="0.15178594863142106"/>
          <c:y val="3.3613445378151259E-2"/>
        </c:manualLayout>
      </c:layout>
      <c:overlay val="0"/>
      <c:spPr>
        <a:noFill/>
        <a:ln w="25400">
          <a:noFill/>
        </a:ln>
      </c:spPr>
    </c:title>
    <c:autoTitleDeleted val="0"/>
    <c:plotArea>
      <c:layout>
        <c:manualLayout>
          <c:layoutTarget val="inner"/>
          <c:xMode val="edge"/>
          <c:yMode val="edge"/>
          <c:x val="0.14285729855924176"/>
          <c:y val="0.17647107096647127"/>
          <c:w val="0.79017943265580604"/>
          <c:h val="0.61904931243793893"/>
        </c:manualLayout>
      </c:layout>
      <c:lineChart>
        <c:grouping val="standard"/>
        <c:varyColors val="0"/>
        <c:ser>
          <c:idx val="0"/>
          <c:order val="0"/>
          <c:tx>
            <c:strRef>
              <c:f>Sector1!$D$281:$E$281</c:f>
              <c:strCache>
                <c:ptCount val="1"/>
                <c:pt idx="0">
                  <c:v>GVT Social contributions (D.61r)</c:v>
                </c:pt>
              </c:strCache>
            </c:strRef>
          </c:tx>
          <c:spPr>
            <a:ln w="25400">
              <a:solidFill>
                <a:srgbClr val="0000FF"/>
              </a:solidFill>
              <a:prstDash val="solid"/>
            </a:ln>
          </c:spPr>
          <c:marker>
            <c:symbol val="circle"/>
            <c:size val="7"/>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Sector1!$G$281:$AC$281</c:f>
              <c:numCache>
                <c:formatCode>0.0%</c:formatCode>
                <c:ptCount val="12"/>
                <c:pt idx="0">
                  <c:v>9.4266914404892529E-2</c:v>
                </c:pt>
                <c:pt idx="1">
                  <c:v>9.4239593728241713E-2</c:v>
                </c:pt>
                <c:pt idx="2">
                  <c:v>9.8680033324892003E-2</c:v>
                </c:pt>
                <c:pt idx="3">
                  <c:v>0.13073523416900504</c:v>
                </c:pt>
                <c:pt idx="4">
                  <c:v>0.12125450358681389</c:v>
                </c:pt>
                <c:pt idx="5">
                  <c:v>0.11457564622839989</c:v>
                </c:pt>
                <c:pt idx="6">
                  <c:v>0.11171363732320033</c:v>
                </c:pt>
                <c:pt idx="7">
                  <c:v>0.11134979898254128</c:v>
                </c:pt>
                <c:pt idx="8">
                  <c:v>0.11413525601969794</c:v>
                </c:pt>
                <c:pt idx="9">
                  <c:v>0.11906875883228538</c:v>
                </c:pt>
                <c:pt idx="10">
                  <c:v>0.1252730917712484</c:v>
                </c:pt>
                <c:pt idx="11">
                  <c:v>0.13030776255255688</c:v>
                </c:pt>
              </c:numCache>
            </c:numRef>
          </c:val>
          <c:smooth val="0"/>
        </c:ser>
        <c:dLbls>
          <c:showLegendKey val="0"/>
          <c:showVal val="0"/>
          <c:showCatName val="0"/>
          <c:showSerName val="0"/>
          <c:showPercent val="0"/>
          <c:showBubbleSize val="0"/>
        </c:dLbls>
        <c:marker val="1"/>
        <c:smooth val="0"/>
        <c:axId val="313981952"/>
        <c:axId val="314262656"/>
      </c:lineChart>
      <c:catAx>
        <c:axId val="313981952"/>
        <c:scaling>
          <c:orientation val="minMax"/>
        </c:scaling>
        <c:delete val="0"/>
        <c:axPos val="b"/>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314262656"/>
        <c:crosses val="autoZero"/>
        <c:auto val="1"/>
        <c:lblAlgn val="ctr"/>
        <c:lblOffset val="100"/>
        <c:tickLblSkip val="2"/>
        <c:tickMarkSkip val="1"/>
        <c:noMultiLvlLbl val="0"/>
      </c:catAx>
      <c:valAx>
        <c:axId val="314262656"/>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313981952"/>
        <c:crosses val="autoZero"/>
        <c:crossBetween val="midCat"/>
      </c:valAx>
      <c:spPr>
        <a:noFill/>
        <a:ln w="12700">
          <a:solidFill>
            <a:srgbClr val="808080"/>
          </a:solidFill>
          <a:prstDash val="solid"/>
        </a:ln>
      </c:spPr>
    </c:plotArea>
    <c:legend>
      <c:legendPos val="r"/>
      <c:layout>
        <c:manualLayout>
          <c:xMode val="edge"/>
          <c:yMode val="edge"/>
          <c:x val="0.28125023434570678"/>
          <c:y val="0.91316761875353814"/>
          <c:w val="0.51116118297712787"/>
          <c:h val="6.722718483718948E-2"/>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GB"/>
              <a:t>Corporate income tax related to corporate GOS</a:t>
            </a:r>
          </a:p>
        </c:rich>
      </c:tx>
      <c:layout>
        <c:manualLayout>
          <c:xMode val="edge"/>
          <c:yMode val="edge"/>
          <c:x val="0.16071452005999248"/>
          <c:y val="3.3613445378151259E-2"/>
        </c:manualLayout>
      </c:layout>
      <c:overlay val="0"/>
      <c:spPr>
        <a:noFill/>
        <a:ln w="25400">
          <a:noFill/>
        </a:ln>
      </c:spPr>
    </c:title>
    <c:autoTitleDeleted val="0"/>
    <c:plotArea>
      <c:layout>
        <c:manualLayout>
          <c:layoutTarget val="inner"/>
          <c:xMode val="edge"/>
          <c:yMode val="edge"/>
          <c:x val="0.11607155507938394"/>
          <c:y val="0.17647107096647127"/>
          <c:w val="0.82812590258560459"/>
          <c:h val="0.56022562211578175"/>
        </c:manualLayout>
      </c:layout>
      <c:scatterChart>
        <c:scatterStyle val="lineMarker"/>
        <c:varyColors val="0"/>
        <c:ser>
          <c:idx val="0"/>
          <c:order val="0"/>
          <c:tx>
            <c:strRef>
              <c:f>Sector1!$D$210:$E$210</c:f>
              <c:strCache>
                <c:ptCount val="1"/>
                <c:pt idx="0">
                  <c:v>E Current taxes on income and wealth (D.5p)  </c:v>
                </c:pt>
              </c:strCache>
            </c:strRef>
          </c:tx>
          <c:spPr>
            <a:ln w="28575">
              <a:noFill/>
            </a:ln>
          </c:spPr>
          <c:marker>
            <c:symbol val="circle"/>
            <c:size val="7"/>
            <c:spPr>
              <a:solidFill>
                <a:srgbClr val="FFFFFF"/>
              </a:solidFill>
              <a:ln>
                <a:solidFill>
                  <a:srgbClr val="339966"/>
                </a:solidFill>
                <a:prstDash val="solid"/>
              </a:ln>
            </c:spPr>
          </c:marker>
          <c:dLbls>
            <c:dLbl>
              <c:idx val="1"/>
              <c:tx>
                <c:rich>
                  <a:bodyPr/>
                  <a:lstStyle/>
                  <a:p>
                    <a:r>
                      <a:rPr lang="en-GB"/>
                      <a:t>1996</a:t>
                    </a:r>
                  </a:p>
                </c:rich>
              </c:tx>
              <c:showLegendKey val="0"/>
              <c:showVal val="0"/>
              <c:showCatName val="0"/>
              <c:showSerName val="0"/>
              <c:showPercent val="0"/>
              <c:showBubbleSize val="0"/>
            </c:dLbl>
            <c:dLbl>
              <c:idx val="2"/>
              <c:tx>
                <c:rich>
                  <a:bodyPr/>
                  <a:lstStyle/>
                  <a:p>
                    <a:r>
                      <a:rPr lang="en-GB"/>
                      <a:t>1997</a:t>
                    </a:r>
                  </a:p>
                </c:rich>
              </c:tx>
              <c:showLegendKey val="0"/>
              <c:showVal val="0"/>
              <c:showCatName val="0"/>
              <c:showSerName val="0"/>
              <c:showPercent val="0"/>
              <c:showBubbleSize val="0"/>
            </c:dLbl>
            <c:dLbl>
              <c:idx val="3"/>
              <c:tx>
                <c:rich>
                  <a:bodyPr/>
                  <a:lstStyle/>
                  <a:p>
                    <a:r>
                      <a:rPr lang="en-GB"/>
                      <a:t>1998</a:t>
                    </a:r>
                  </a:p>
                </c:rich>
              </c:tx>
              <c:showLegendKey val="0"/>
              <c:showVal val="0"/>
              <c:showCatName val="0"/>
              <c:showSerName val="0"/>
              <c:showPercent val="0"/>
              <c:showBubbleSize val="0"/>
            </c:dLbl>
            <c:dLbl>
              <c:idx val="4"/>
              <c:tx>
                <c:rich>
                  <a:bodyPr/>
                  <a:lstStyle/>
                  <a:p>
                    <a:r>
                      <a:rPr lang="en-GB"/>
                      <a:t>1999</a:t>
                    </a:r>
                  </a:p>
                </c:rich>
              </c:tx>
              <c:showLegendKey val="0"/>
              <c:showVal val="0"/>
              <c:showCatName val="0"/>
              <c:showSerName val="0"/>
              <c:showPercent val="0"/>
              <c:showBubbleSize val="0"/>
            </c:dLbl>
            <c:dLbl>
              <c:idx val="5"/>
              <c:tx>
                <c:rich>
                  <a:bodyPr/>
                  <a:lstStyle/>
                  <a:p>
                    <a:r>
                      <a:rPr lang="en-GB"/>
                      <a:t>2000</a:t>
                    </a:r>
                  </a:p>
                </c:rich>
              </c:tx>
              <c:showLegendKey val="0"/>
              <c:showVal val="0"/>
              <c:showCatName val="0"/>
              <c:showSerName val="0"/>
              <c:showPercent val="0"/>
              <c:showBubbleSize val="0"/>
            </c:dLbl>
            <c:dLbl>
              <c:idx val="6"/>
              <c:tx>
                <c:rich>
                  <a:bodyPr/>
                  <a:lstStyle/>
                  <a:p>
                    <a:r>
                      <a:rPr lang="en-GB"/>
                      <a:t>2001</a:t>
                    </a:r>
                  </a:p>
                </c:rich>
              </c:tx>
              <c:showLegendKey val="0"/>
              <c:showVal val="0"/>
              <c:showCatName val="0"/>
              <c:showSerName val="0"/>
              <c:showPercent val="0"/>
              <c:showBubbleSize val="0"/>
            </c:dLbl>
            <c:dLbl>
              <c:idx val="7"/>
              <c:tx>
                <c:rich>
                  <a:bodyPr/>
                  <a:lstStyle/>
                  <a:p>
                    <a:r>
                      <a:rPr lang="en-GB"/>
                      <a:t>2002</a:t>
                    </a:r>
                  </a:p>
                </c:rich>
              </c:tx>
              <c:showLegendKey val="0"/>
              <c:showVal val="0"/>
              <c:showCatName val="0"/>
              <c:showSerName val="0"/>
              <c:showPercent val="0"/>
              <c:showBubbleSize val="0"/>
            </c:dLbl>
            <c:dLbl>
              <c:idx val="8"/>
              <c:tx>
                <c:rich>
                  <a:bodyPr/>
                  <a:lstStyle/>
                  <a:p>
                    <a:r>
                      <a:rPr lang="en-GB"/>
                      <a:t>2003</a:t>
                    </a:r>
                  </a:p>
                </c:rich>
              </c:tx>
              <c:showLegendKey val="0"/>
              <c:showVal val="0"/>
              <c:showCatName val="0"/>
              <c:showSerName val="0"/>
              <c:showPercent val="0"/>
              <c:showBubbleSize val="0"/>
            </c:dLbl>
            <c:dLbl>
              <c:idx val="9"/>
              <c:tx>
                <c:rich>
                  <a:bodyPr/>
                  <a:lstStyle/>
                  <a:p>
                    <a:r>
                      <a:rPr lang="en-GB"/>
                      <a:t>2004</a:t>
                    </a:r>
                  </a:p>
                </c:rich>
              </c:tx>
              <c:showLegendKey val="0"/>
              <c:showVal val="0"/>
              <c:showCatName val="0"/>
              <c:showSerName val="0"/>
              <c:showPercent val="0"/>
              <c:showBubbleSize val="0"/>
            </c:dLbl>
            <c:dLbl>
              <c:idx val="10"/>
              <c:tx>
                <c:rich>
                  <a:bodyPr/>
                  <a:lstStyle/>
                  <a:p>
                    <a:r>
                      <a:rPr lang="en-GB"/>
                      <a:t>2005</a:t>
                    </a:r>
                  </a:p>
                </c:rich>
              </c:tx>
              <c:showLegendKey val="0"/>
              <c:showVal val="0"/>
              <c:showCatName val="0"/>
              <c:showSerName val="0"/>
              <c:showPercent val="0"/>
              <c:showBubbleSize val="0"/>
            </c:dLbl>
            <c:dLbl>
              <c:idx val="11"/>
              <c:tx>
                <c:rich>
                  <a:bodyPr/>
                  <a:lstStyle/>
                  <a:p>
                    <a:r>
                      <a:rPr lang="en-GB"/>
                      <a:t>2006</a:t>
                    </a:r>
                  </a:p>
                </c:rich>
              </c:tx>
              <c:showLegendKey val="0"/>
              <c:showVal val="0"/>
              <c:showCatName val="0"/>
              <c:showSerName val="0"/>
              <c:showPercent val="0"/>
              <c:showBubbleSize val="0"/>
            </c:dLbl>
            <c:dLbl>
              <c:idx val="12"/>
              <c:tx>
                <c:rich>
                  <a:bodyPr/>
                  <a:lstStyle/>
                  <a:p>
                    <a:r>
                      <a:rPr lang="en-GB"/>
                      <a:t>2007</a:t>
                    </a:r>
                  </a:p>
                </c:rich>
              </c:tx>
              <c:showLegendKey val="0"/>
              <c:showVal val="0"/>
              <c:showCatName val="0"/>
              <c:showSerName val="0"/>
              <c:showPercent val="0"/>
              <c:showBubbleSize val="0"/>
            </c:dLbl>
            <c:dLbl>
              <c:idx val="13"/>
              <c:tx>
                <c:rich>
                  <a:bodyPr/>
                  <a:lstStyle/>
                  <a:p>
                    <a:r>
                      <a:rPr lang="en-GB"/>
                      <a:t>2008</a:t>
                    </a:r>
                  </a:p>
                </c:rich>
              </c:tx>
              <c:showLegendKey val="0"/>
              <c:showVal val="0"/>
              <c:showCatName val="0"/>
              <c:showSerName val="0"/>
              <c:showPercent val="0"/>
              <c:showBubbleSize val="0"/>
            </c:dLbl>
            <c:dLbl>
              <c:idx val="14"/>
              <c:tx>
                <c:rich>
                  <a:bodyPr/>
                  <a:lstStyle/>
                  <a:p>
                    <a:r>
                      <a:t>2009</a:t>
                    </a:r>
                  </a:p>
                </c:rich>
              </c:tx>
              <c:showLegendKey val="0"/>
              <c:showVal val="0"/>
              <c:showCatName val="0"/>
              <c:showSerName val="0"/>
              <c:showPercent val="0"/>
              <c:showBubbleSize val="0"/>
            </c:dLbl>
            <c:spPr>
              <a:noFill/>
              <a:ln w="25400">
                <a:noFill/>
              </a:ln>
            </c:spPr>
            <c:txPr>
              <a:bodyPr/>
              <a:lstStyle/>
              <a:p>
                <a:pPr>
                  <a:defRPr sz="8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trendline>
            <c:spPr>
              <a:ln w="25400">
                <a:solidFill>
                  <a:srgbClr val="339966"/>
                </a:solidFill>
                <a:prstDash val="solid"/>
              </a:ln>
            </c:spPr>
            <c:trendlineType val="linear"/>
            <c:dispRSqr val="0"/>
            <c:dispEq val="0"/>
          </c:trendline>
          <c:xVal>
            <c:numRef>
              <c:f>Sector1!$G$119:$AC$119</c:f>
              <c:numCache>
                <c:formatCode>0.0</c:formatCode>
                <c:ptCount val="12"/>
                <c:pt idx="0">
                  <c:v>10.911965293479643</c:v>
                </c:pt>
                <c:pt idx="1">
                  <c:v>25.017370960853214</c:v>
                </c:pt>
                <c:pt idx="2">
                  <c:v>8.6467192885842934</c:v>
                </c:pt>
                <c:pt idx="3">
                  <c:v>-19.40306072643444</c:v>
                </c:pt>
                <c:pt idx="4">
                  <c:v>18.564404288572579</c:v>
                </c:pt>
                <c:pt idx="5">
                  <c:v>17.96164855047553</c:v>
                </c:pt>
                <c:pt idx="6">
                  <c:v>6.637422371885493</c:v>
                </c:pt>
                <c:pt idx="7">
                  <c:v>4.5335569736098202</c:v>
                </c:pt>
                <c:pt idx="8">
                  <c:v>2.1574887613675209</c:v>
                </c:pt>
                <c:pt idx="9">
                  <c:v>-4.5899728569255949</c:v>
                </c:pt>
                <c:pt idx="10">
                  <c:v>-1.82051307598039</c:v>
                </c:pt>
                <c:pt idx="11">
                  <c:v>9.579592722492535</c:v>
                </c:pt>
              </c:numCache>
            </c:numRef>
          </c:xVal>
          <c:yVal>
            <c:numRef>
              <c:f>Sector1!$G$210:$AC$210</c:f>
              <c:numCache>
                <c:formatCode>0.0</c:formatCode>
                <c:ptCount val="12"/>
                <c:pt idx="0">
                  <c:v>51.755189954630843</c:v>
                </c:pt>
                <c:pt idx="1">
                  <c:v>10.740008153527913</c:v>
                </c:pt>
                <c:pt idx="2">
                  <c:v>20.816176270077193</c:v>
                </c:pt>
                <c:pt idx="3">
                  <c:v>-44.864517148370943</c:v>
                </c:pt>
                <c:pt idx="4">
                  <c:v>-43.516528502712113</c:v>
                </c:pt>
                <c:pt idx="5">
                  <c:v>-8.6936039137524794</c:v>
                </c:pt>
                <c:pt idx="6">
                  <c:v>70.741387521828841</c:v>
                </c:pt>
                <c:pt idx="7">
                  <c:v>10.471873547187371</c:v>
                </c:pt>
                <c:pt idx="8">
                  <c:v>4.8963703314045093</c:v>
                </c:pt>
                <c:pt idx="9">
                  <c:v>14.87202118270079</c:v>
                </c:pt>
                <c:pt idx="10">
                  <c:v>9.2375929871127518</c:v>
                </c:pt>
                <c:pt idx="11" formatCode="0.00">
                  <c:v>0.8696208197455102</c:v>
                </c:pt>
              </c:numCache>
            </c:numRef>
          </c:yVal>
          <c:smooth val="0"/>
        </c:ser>
        <c:dLbls>
          <c:showLegendKey val="0"/>
          <c:showVal val="0"/>
          <c:showCatName val="0"/>
          <c:showSerName val="0"/>
          <c:showPercent val="0"/>
          <c:showBubbleSize val="0"/>
        </c:dLbls>
        <c:axId val="314308864"/>
        <c:axId val="314515456"/>
      </c:scatterChart>
      <c:valAx>
        <c:axId val="314308864"/>
        <c:scaling>
          <c:orientation val="minMax"/>
        </c:scaling>
        <c:delete val="0"/>
        <c:axPos val="b"/>
        <c:majorGridlines>
          <c:spPr>
            <a:ln w="3175">
              <a:solidFill>
                <a:srgbClr val="000000"/>
              </a:solidFill>
              <a:prstDash val="solid"/>
            </a:ln>
          </c:spPr>
        </c:majorGridlines>
        <c:numFmt formatCode="0" sourceLinked="0"/>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314515456"/>
        <c:crosses val="autoZero"/>
        <c:crossBetween val="midCat"/>
      </c:valAx>
      <c:valAx>
        <c:axId val="314515456"/>
        <c:scaling>
          <c:orientation val="minMax"/>
        </c:scaling>
        <c:delete val="0"/>
        <c:axPos val="l"/>
        <c:majorGridlines>
          <c:spPr>
            <a:ln w="3175">
              <a:solidFill>
                <a:srgbClr val="000000"/>
              </a:solidFill>
              <a:prstDash val="solid"/>
            </a:ln>
          </c:spPr>
        </c:majorGridlines>
        <c:numFmt formatCode="0" sourceLinked="0"/>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314308864"/>
        <c:crosses val="autoZero"/>
        <c:crossBetween val="midCat"/>
      </c:valAx>
      <c:spPr>
        <a:noFill/>
        <a:ln w="12700">
          <a:solidFill>
            <a:srgbClr val="808080"/>
          </a:solidFill>
          <a:prstDash val="solid"/>
        </a:ln>
      </c:spPr>
    </c:plotArea>
    <c:legend>
      <c:legendPos val="r"/>
      <c:layout>
        <c:manualLayout>
          <c:xMode val="edge"/>
          <c:yMode val="edge"/>
          <c:x val="0.14732166291713536"/>
          <c:y val="0.85434408934177342"/>
          <c:w val="0.78348308023997004"/>
          <c:h val="0.1260507142489542"/>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Household income tax related to GDP</a:t>
            </a:r>
          </a:p>
        </c:rich>
      </c:tx>
      <c:layout>
        <c:manualLayout>
          <c:xMode val="edge"/>
          <c:yMode val="edge"/>
          <c:x val="0.22991094863142106"/>
          <c:y val="3.3613445378151259E-2"/>
        </c:manualLayout>
      </c:layout>
      <c:overlay val="0"/>
      <c:spPr>
        <a:noFill/>
        <a:ln w="25400">
          <a:noFill/>
        </a:ln>
      </c:spPr>
    </c:title>
    <c:autoTitleDeleted val="0"/>
    <c:plotArea>
      <c:layout>
        <c:manualLayout>
          <c:layoutTarget val="inner"/>
          <c:xMode val="edge"/>
          <c:yMode val="edge"/>
          <c:x val="0.10044653804946686"/>
          <c:y val="0.17647107096647127"/>
          <c:w val="0.84375091961552173"/>
          <c:h val="0.50140193179362469"/>
        </c:manualLayout>
      </c:layout>
      <c:scatterChart>
        <c:scatterStyle val="lineMarker"/>
        <c:varyColors val="0"/>
        <c:ser>
          <c:idx val="0"/>
          <c:order val="0"/>
          <c:tx>
            <c:strRef>
              <c:f>Sector1!$D$209:$E$209</c:f>
              <c:strCache>
                <c:ptCount val="1"/>
                <c:pt idx="0">
                  <c:v>HH Current taxes on income and wealth (D.5p)  </c:v>
                </c:pt>
              </c:strCache>
            </c:strRef>
          </c:tx>
          <c:spPr>
            <a:ln w="28575">
              <a:noFill/>
            </a:ln>
          </c:spPr>
          <c:marker>
            <c:symbol val="circle"/>
            <c:size val="7"/>
            <c:spPr>
              <a:solidFill>
                <a:srgbClr val="FFFFFF"/>
              </a:solidFill>
              <a:ln>
                <a:solidFill>
                  <a:srgbClr val="0000FF"/>
                </a:solidFill>
                <a:prstDash val="solid"/>
              </a:ln>
            </c:spPr>
          </c:marker>
          <c:dLbls>
            <c:dLbl>
              <c:idx val="1"/>
              <c:tx>
                <c:rich>
                  <a:bodyPr/>
                  <a:lstStyle/>
                  <a:p>
                    <a:r>
                      <a:t>1996</a:t>
                    </a:r>
                  </a:p>
                </c:rich>
              </c:tx>
              <c:showLegendKey val="0"/>
              <c:showVal val="0"/>
              <c:showCatName val="0"/>
              <c:showSerName val="0"/>
              <c:showPercent val="0"/>
              <c:showBubbleSize val="0"/>
            </c:dLbl>
            <c:dLbl>
              <c:idx val="2"/>
              <c:tx>
                <c:rich>
                  <a:bodyPr/>
                  <a:lstStyle/>
                  <a:p>
                    <a:r>
                      <a:t>1997</a:t>
                    </a:r>
                  </a:p>
                </c:rich>
              </c:tx>
              <c:showLegendKey val="0"/>
              <c:showVal val="0"/>
              <c:showCatName val="0"/>
              <c:showSerName val="0"/>
              <c:showPercent val="0"/>
              <c:showBubbleSize val="0"/>
            </c:dLbl>
            <c:dLbl>
              <c:idx val="3"/>
              <c:tx>
                <c:rich>
                  <a:bodyPr/>
                  <a:lstStyle/>
                  <a:p>
                    <a:r>
                      <a:t>1998</a:t>
                    </a:r>
                  </a:p>
                </c:rich>
              </c:tx>
              <c:showLegendKey val="0"/>
              <c:showVal val="0"/>
              <c:showCatName val="0"/>
              <c:showSerName val="0"/>
              <c:showPercent val="0"/>
              <c:showBubbleSize val="0"/>
            </c:dLbl>
            <c:dLbl>
              <c:idx val="4"/>
              <c:tx>
                <c:rich>
                  <a:bodyPr/>
                  <a:lstStyle/>
                  <a:p>
                    <a:r>
                      <a:t>1999</a:t>
                    </a:r>
                  </a:p>
                </c:rich>
              </c:tx>
              <c:showLegendKey val="0"/>
              <c:showVal val="0"/>
              <c:showCatName val="0"/>
              <c:showSerName val="0"/>
              <c:showPercent val="0"/>
              <c:showBubbleSize val="0"/>
            </c:dLbl>
            <c:dLbl>
              <c:idx val="5"/>
              <c:tx>
                <c:rich>
                  <a:bodyPr/>
                  <a:lstStyle/>
                  <a:p>
                    <a:r>
                      <a:t>2000</a:t>
                    </a:r>
                  </a:p>
                </c:rich>
              </c:tx>
              <c:showLegendKey val="0"/>
              <c:showVal val="0"/>
              <c:showCatName val="0"/>
              <c:showSerName val="0"/>
              <c:showPercent val="0"/>
              <c:showBubbleSize val="0"/>
            </c:dLbl>
            <c:dLbl>
              <c:idx val="6"/>
              <c:tx>
                <c:rich>
                  <a:bodyPr/>
                  <a:lstStyle/>
                  <a:p>
                    <a:r>
                      <a:t>2001</a:t>
                    </a:r>
                  </a:p>
                </c:rich>
              </c:tx>
              <c:showLegendKey val="0"/>
              <c:showVal val="0"/>
              <c:showCatName val="0"/>
              <c:showSerName val="0"/>
              <c:showPercent val="0"/>
              <c:showBubbleSize val="0"/>
            </c:dLbl>
            <c:dLbl>
              <c:idx val="7"/>
              <c:tx>
                <c:rich>
                  <a:bodyPr/>
                  <a:lstStyle/>
                  <a:p>
                    <a:r>
                      <a:t>2002</a:t>
                    </a:r>
                  </a:p>
                </c:rich>
              </c:tx>
              <c:showLegendKey val="0"/>
              <c:showVal val="0"/>
              <c:showCatName val="0"/>
              <c:showSerName val="0"/>
              <c:showPercent val="0"/>
              <c:showBubbleSize val="0"/>
            </c:dLbl>
            <c:dLbl>
              <c:idx val="8"/>
              <c:tx>
                <c:rich>
                  <a:bodyPr/>
                  <a:lstStyle/>
                  <a:p>
                    <a:r>
                      <a:t>2003</a:t>
                    </a:r>
                  </a:p>
                </c:rich>
              </c:tx>
              <c:showLegendKey val="0"/>
              <c:showVal val="0"/>
              <c:showCatName val="0"/>
              <c:showSerName val="0"/>
              <c:showPercent val="0"/>
              <c:showBubbleSize val="0"/>
            </c:dLbl>
            <c:dLbl>
              <c:idx val="9"/>
              <c:tx>
                <c:rich>
                  <a:bodyPr/>
                  <a:lstStyle/>
                  <a:p>
                    <a:r>
                      <a:t>2004</a:t>
                    </a:r>
                  </a:p>
                </c:rich>
              </c:tx>
              <c:showLegendKey val="0"/>
              <c:showVal val="0"/>
              <c:showCatName val="0"/>
              <c:showSerName val="0"/>
              <c:showPercent val="0"/>
              <c:showBubbleSize val="0"/>
            </c:dLbl>
            <c:dLbl>
              <c:idx val="10"/>
              <c:tx>
                <c:rich>
                  <a:bodyPr/>
                  <a:lstStyle/>
                  <a:p>
                    <a:r>
                      <a:t>2005</a:t>
                    </a:r>
                  </a:p>
                </c:rich>
              </c:tx>
              <c:showLegendKey val="0"/>
              <c:showVal val="0"/>
              <c:showCatName val="0"/>
              <c:showSerName val="0"/>
              <c:showPercent val="0"/>
              <c:showBubbleSize val="0"/>
            </c:dLbl>
            <c:dLbl>
              <c:idx val="11"/>
              <c:tx>
                <c:rich>
                  <a:bodyPr/>
                  <a:lstStyle/>
                  <a:p>
                    <a:r>
                      <a:t>2006</a:t>
                    </a:r>
                  </a:p>
                </c:rich>
              </c:tx>
              <c:showLegendKey val="0"/>
              <c:showVal val="0"/>
              <c:showCatName val="0"/>
              <c:showSerName val="0"/>
              <c:showPercent val="0"/>
              <c:showBubbleSize val="0"/>
            </c:dLbl>
            <c:dLbl>
              <c:idx val="12"/>
              <c:tx>
                <c:rich>
                  <a:bodyPr/>
                  <a:lstStyle/>
                  <a:p>
                    <a:r>
                      <a:t>2007</a:t>
                    </a:r>
                  </a:p>
                </c:rich>
              </c:tx>
              <c:showLegendKey val="0"/>
              <c:showVal val="0"/>
              <c:showCatName val="0"/>
              <c:showSerName val="0"/>
              <c:showPercent val="0"/>
              <c:showBubbleSize val="0"/>
            </c:dLbl>
            <c:dLbl>
              <c:idx val="13"/>
              <c:tx>
                <c:rich>
                  <a:bodyPr/>
                  <a:lstStyle/>
                  <a:p>
                    <a:r>
                      <a:t>2008</a:t>
                    </a:r>
                  </a:p>
                </c:rich>
              </c:tx>
              <c:showLegendKey val="0"/>
              <c:showVal val="0"/>
              <c:showCatName val="0"/>
              <c:showSerName val="0"/>
              <c:showPercent val="0"/>
              <c:showBubbleSize val="0"/>
            </c:dLbl>
            <c:dLbl>
              <c:idx val="14"/>
              <c:tx>
                <c:rich>
                  <a:bodyPr/>
                  <a:lstStyle/>
                  <a:p>
                    <a:r>
                      <a:t>2009</a:t>
                    </a:r>
                  </a:p>
                </c:rich>
              </c:tx>
              <c:showLegendKey val="0"/>
              <c:showVal val="0"/>
              <c:showCatName val="0"/>
              <c:showSerName val="0"/>
              <c:showPercent val="0"/>
              <c:showBubbleSize val="0"/>
            </c:dLbl>
            <c:spPr>
              <a:noFill/>
              <a:ln w="25400">
                <a:noFill/>
              </a:ln>
            </c:spPr>
            <c:txPr>
              <a:bodyPr/>
              <a:lstStyle/>
              <a:p>
                <a:pPr>
                  <a:defRPr sz="8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trendline>
            <c:spPr>
              <a:ln w="25400">
                <a:solidFill>
                  <a:srgbClr val="0000FF"/>
                </a:solidFill>
                <a:prstDash val="solid"/>
              </a:ln>
            </c:spPr>
            <c:trendlineType val="linear"/>
            <c:dispRSqr val="0"/>
            <c:dispEq val="0"/>
          </c:trendline>
          <c:xVal>
            <c:numRef>
              <c:f>'VVP2'!$G$348:$AA$348</c:f>
              <c:numCache>
                <c:formatCode>0.0</c:formatCode>
                <c:ptCount val="4"/>
                <c:pt idx="0">
                  <c:v>6.6287411287878184</c:v>
                </c:pt>
                <c:pt idx="1">
                  <c:v>4.8313146506227644</c:v>
                </c:pt>
                <c:pt idx="2">
                  <c:v>4.6013904601447608</c:v>
                </c:pt>
                <c:pt idx="3">
                  <c:v>2.3471981728427016</c:v>
                </c:pt>
              </c:numCache>
            </c:numRef>
          </c:xVal>
          <c:yVal>
            <c:numRef>
              <c:f>Sector1!$G$209:$AC$209</c:f>
              <c:numCache>
                <c:formatCode>0.0</c:formatCode>
                <c:ptCount val="12"/>
                <c:pt idx="0">
                  <c:v>13.489304720077167</c:v>
                </c:pt>
                <c:pt idx="1">
                  <c:v>16.076810681600051</c:v>
                </c:pt>
                <c:pt idx="2">
                  <c:v>12.589272547243358</c:v>
                </c:pt>
                <c:pt idx="3">
                  <c:v>-48.260053983000503</c:v>
                </c:pt>
                <c:pt idx="4">
                  <c:v>-5.9924958184530475</c:v>
                </c:pt>
                <c:pt idx="5">
                  <c:v>8.0267751521970965</c:v>
                </c:pt>
                <c:pt idx="6">
                  <c:v>4.9028248889363635</c:v>
                </c:pt>
                <c:pt idx="7">
                  <c:v>7.4335907663583445</c:v>
                </c:pt>
                <c:pt idx="8">
                  <c:v>5.3677649716799891</c:v>
                </c:pt>
                <c:pt idx="9">
                  <c:v>9.2312421279913792</c:v>
                </c:pt>
                <c:pt idx="10">
                  <c:v>6.8903271858720361</c:v>
                </c:pt>
                <c:pt idx="11" formatCode="0.00">
                  <c:v>7.44</c:v>
                </c:pt>
              </c:numCache>
            </c:numRef>
          </c:yVal>
          <c:smooth val="0"/>
        </c:ser>
        <c:ser>
          <c:idx val="1"/>
          <c:order val="1"/>
          <c:tx>
            <c:strRef>
              <c:f>Sector1!$F$216</c:f>
              <c:strCache>
                <c:ptCount val="1"/>
                <c:pt idx="0">
                  <c:v>OECD</c:v>
                </c:pt>
              </c:strCache>
            </c:strRef>
          </c:tx>
          <c:spPr>
            <a:ln w="25400">
              <a:solidFill>
                <a:srgbClr val="FF0000"/>
              </a:solidFill>
              <a:prstDash val="solid"/>
            </a:ln>
          </c:spPr>
          <c:marker>
            <c:symbol val="none"/>
          </c:marker>
          <c:xVal>
            <c:numRef>
              <c:f>'VVP2'!$G$348:$AA$348</c:f>
              <c:numCache>
                <c:formatCode>0.0</c:formatCode>
                <c:ptCount val="4"/>
                <c:pt idx="0">
                  <c:v>6.6287411287878184</c:v>
                </c:pt>
                <c:pt idx="1">
                  <c:v>4.8313146506227644</c:v>
                </c:pt>
                <c:pt idx="2">
                  <c:v>4.6013904601447608</c:v>
                </c:pt>
                <c:pt idx="3">
                  <c:v>2.3471981728427016</c:v>
                </c:pt>
              </c:numCache>
            </c:numRef>
          </c:xVal>
          <c:yVal>
            <c:numRef>
              <c:f>Sector1!$G$216:$AC$216</c:f>
              <c:numCache>
                <c:formatCode>0.0</c:formatCode>
                <c:ptCount val="12"/>
                <c:pt idx="0">
                  <c:v>15.968425914242934</c:v>
                </c:pt>
                <c:pt idx="1">
                  <c:v>22.459291387829648</c:v>
                </c:pt>
                <c:pt idx="2">
                  <c:v>13.720851385609009</c:v>
                </c:pt>
                <c:pt idx="3">
                  <c:v>-19.207051689060666</c:v>
                </c:pt>
                <c:pt idx="4">
                  <c:v>4.422511826698682</c:v>
                </c:pt>
                <c:pt idx="5">
                  <c:v>12.630199595685122</c:v>
                </c:pt>
                <c:pt idx="6">
                  <c:v>7.2253278303787223</c:v>
                </c:pt>
                <c:pt idx="7">
                  <c:v>5.2661329691788135</c:v>
                </c:pt>
                <c:pt idx="8">
                  <c:v>5.01551560155779</c:v>
                </c:pt>
                <c:pt idx="9">
                  <c:v>2.558446008398545</c:v>
                </c:pt>
                <c:pt idx="10">
                  <c:v>3.6163144351037753</c:v>
                </c:pt>
                <c:pt idx="11">
                  <c:v>8.7702016346041152</c:v>
                </c:pt>
              </c:numCache>
            </c:numRef>
          </c:yVal>
          <c:smooth val="0"/>
        </c:ser>
        <c:dLbls>
          <c:showLegendKey val="0"/>
          <c:showVal val="0"/>
          <c:showCatName val="0"/>
          <c:showSerName val="0"/>
          <c:showPercent val="0"/>
          <c:showBubbleSize val="0"/>
        </c:dLbls>
        <c:axId val="314738560"/>
        <c:axId val="314740096"/>
      </c:scatterChart>
      <c:valAx>
        <c:axId val="314738560"/>
        <c:scaling>
          <c:orientation val="minMax"/>
        </c:scaling>
        <c:delete val="0"/>
        <c:axPos val="b"/>
        <c:majorGridlines>
          <c:spPr>
            <a:ln w="3175">
              <a:solidFill>
                <a:srgbClr val="000000"/>
              </a:solidFill>
              <a:prstDash val="solid"/>
            </a:ln>
          </c:spPr>
        </c:majorGridlines>
        <c:numFmt formatCode="0" sourceLinked="0"/>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14740096"/>
        <c:crosses val="autoZero"/>
        <c:crossBetween val="midCat"/>
      </c:valAx>
      <c:valAx>
        <c:axId val="314740096"/>
        <c:scaling>
          <c:orientation val="minMax"/>
        </c:scaling>
        <c:delete val="0"/>
        <c:axPos val="l"/>
        <c:majorGridlines>
          <c:spPr>
            <a:ln w="3175">
              <a:solidFill>
                <a:srgbClr val="000000"/>
              </a:solidFill>
              <a:prstDash val="solid"/>
            </a:ln>
          </c:spPr>
        </c:majorGridlines>
        <c:numFmt formatCode="0" sourceLinked="0"/>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14738560"/>
        <c:crosses val="autoZero"/>
        <c:crossBetween val="midCat"/>
      </c:valAx>
      <c:spPr>
        <a:noFill/>
        <a:ln w="12700">
          <a:solidFill>
            <a:srgbClr val="808080"/>
          </a:solidFill>
          <a:prstDash val="solid"/>
        </a:ln>
      </c:spPr>
    </c:plotArea>
    <c:legend>
      <c:legendPos val="r"/>
      <c:layout>
        <c:manualLayout>
          <c:xMode val="edge"/>
          <c:yMode val="edge"/>
          <c:x val="0.11607166291713535"/>
          <c:y val="0.79552026584912183"/>
          <c:w val="0.81026879452568423"/>
          <c:h val="0.18487453774160578"/>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GB"/>
              <a:t>Corporate income tax related GDP</a:t>
            </a:r>
          </a:p>
        </c:rich>
      </c:tx>
      <c:layout>
        <c:manualLayout>
          <c:xMode val="edge"/>
          <c:yMode val="edge"/>
          <c:x val="0.25223237720284963"/>
          <c:y val="3.3613445378151259E-2"/>
        </c:manualLayout>
      </c:layout>
      <c:overlay val="0"/>
      <c:spPr>
        <a:noFill/>
        <a:ln w="25400">
          <a:noFill/>
        </a:ln>
      </c:spPr>
    </c:title>
    <c:autoTitleDeleted val="0"/>
    <c:plotArea>
      <c:layout>
        <c:manualLayout>
          <c:layoutTarget val="inner"/>
          <c:xMode val="edge"/>
          <c:yMode val="edge"/>
          <c:x val="0.11607155507938394"/>
          <c:y val="0.17647107096647127"/>
          <c:w val="0.82812590258560459"/>
          <c:h val="0.50140193179362469"/>
        </c:manualLayout>
      </c:layout>
      <c:scatterChart>
        <c:scatterStyle val="lineMarker"/>
        <c:varyColors val="0"/>
        <c:ser>
          <c:idx val="0"/>
          <c:order val="0"/>
          <c:tx>
            <c:strRef>
              <c:f>Sector1!$D$210:$E$210</c:f>
              <c:strCache>
                <c:ptCount val="1"/>
                <c:pt idx="0">
                  <c:v>E Current taxes on income and wealth (D.5p)  </c:v>
                </c:pt>
              </c:strCache>
            </c:strRef>
          </c:tx>
          <c:spPr>
            <a:ln w="28575">
              <a:noFill/>
            </a:ln>
          </c:spPr>
          <c:marker>
            <c:symbol val="circle"/>
            <c:size val="7"/>
            <c:spPr>
              <a:solidFill>
                <a:srgbClr val="FFFFFF"/>
              </a:solidFill>
              <a:ln>
                <a:solidFill>
                  <a:srgbClr val="339966"/>
                </a:solidFill>
                <a:prstDash val="solid"/>
              </a:ln>
            </c:spPr>
          </c:marker>
          <c:dLbls>
            <c:dLbl>
              <c:idx val="1"/>
              <c:tx>
                <c:rich>
                  <a:bodyPr/>
                  <a:lstStyle/>
                  <a:p>
                    <a:r>
                      <a:rPr lang="en-GB"/>
                      <a:t>1996</a:t>
                    </a:r>
                  </a:p>
                </c:rich>
              </c:tx>
              <c:showLegendKey val="0"/>
              <c:showVal val="0"/>
              <c:showCatName val="0"/>
              <c:showSerName val="0"/>
              <c:showPercent val="0"/>
              <c:showBubbleSize val="0"/>
            </c:dLbl>
            <c:dLbl>
              <c:idx val="2"/>
              <c:tx>
                <c:rich>
                  <a:bodyPr/>
                  <a:lstStyle/>
                  <a:p>
                    <a:r>
                      <a:rPr lang="en-GB"/>
                      <a:t>1997</a:t>
                    </a:r>
                  </a:p>
                </c:rich>
              </c:tx>
              <c:showLegendKey val="0"/>
              <c:showVal val="0"/>
              <c:showCatName val="0"/>
              <c:showSerName val="0"/>
              <c:showPercent val="0"/>
              <c:showBubbleSize val="0"/>
            </c:dLbl>
            <c:dLbl>
              <c:idx val="3"/>
              <c:tx>
                <c:rich>
                  <a:bodyPr/>
                  <a:lstStyle/>
                  <a:p>
                    <a:r>
                      <a:rPr lang="en-GB"/>
                      <a:t>1998</a:t>
                    </a:r>
                  </a:p>
                </c:rich>
              </c:tx>
              <c:showLegendKey val="0"/>
              <c:showVal val="0"/>
              <c:showCatName val="0"/>
              <c:showSerName val="0"/>
              <c:showPercent val="0"/>
              <c:showBubbleSize val="0"/>
            </c:dLbl>
            <c:dLbl>
              <c:idx val="4"/>
              <c:tx>
                <c:rich>
                  <a:bodyPr/>
                  <a:lstStyle/>
                  <a:p>
                    <a:r>
                      <a:rPr lang="en-GB"/>
                      <a:t>1999</a:t>
                    </a:r>
                  </a:p>
                </c:rich>
              </c:tx>
              <c:showLegendKey val="0"/>
              <c:showVal val="0"/>
              <c:showCatName val="0"/>
              <c:showSerName val="0"/>
              <c:showPercent val="0"/>
              <c:showBubbleSize val="0"/>
            </c:dLbl>
            <c:dLbl>
              <c:idx val="5"/>
              <c:tx>
                <c:rich>
                  <a:bodyPr/>
                  <a:lstStyle/>
                  <a:p>
                    <a:r>
                      <a:rPr lang="en-GB"/>
                      <a:t>2000</a:t>
                    </a:r>
                  </a:p>
                </c:rich>
              </c:tx>
              <c:showLegendKey val="0"/>
              <c:showVal val="0"/>
              <c:showCatName val="0"/>
              <c:showSerName val="0"/>
              <c:showPercent val="0"/>
              <c:showBubbleSize val="0"/>
            </c:dLbl>
            <c:dLbl>
              <c:idx val="6"/>
              <c:tx>
                <c:rich>
                  <a:bodyPr/>
                  <a:lstStyle/>
                  <a:p>
                    <a:r>
                      <a:rPr lang="en-GB"/>
                      <a:t>2001</a:t>
                    </a:r>
                  </a:p>
                </c:rich>
              </c:tx>
              <c:showLegendKey val="0"/>
              <c:showVal val="0"/>
              <c:showCatName val="0"/>
              <c:showSerName val="0"/>
              <c:showPercent val="0"/>
              <c:showBubbleSize val="0"/>
            </c:dLbl>
            <c:dLbl>
              <c:idx val="7"/>
              <c:tx>
                <c:rich>
                  <a:bodyPr/>
                  <a:lstStyle/>
                  <a:p>
                    <a:r>
                      <a:rPr lang="en-GB"/>
                      <a:t>2002</a:t>
                    </a:r>
                  </a:p>
                </c:rich>
              </c:tx>
              <c:showLegendKey val="0"/>
              <c:showVal val="0"/>
              <c:showCatName val="0"/>
              <c:showSerName val="0"/>
              <c:showPercent val="0"/>
              <c:showBubbleSize val="0"/>
            </c:dLbl>
            <c:dLbl>
              <c:idx val="8"/>
              <c:tx>
                <c:rich>
                  <a:bodyPr/>
                  <a:lstStyle/>
                  <a:p>
                    <a:r>
                      <a:rPr lang="en-GB"/>
                      <a:t>2003</a:t>
                    </a:r>
                  </a:p>
                </c:rich>
              </c:tx>
              <c:showLegendKey val="0"/>
              <c:showVal val="0"/>
              <c:showCatName val="0"/>
              <c:showSerName val="0"/>
              <c:showPercent val="0"/>
              <c:showBubbleSize val="0"/>
            </c:dLbl>
            <c:dLbl>
              <c:idx val="9"/>
              <c:tx>
                <c:rich>
                  <a:bodyPr/>
                  <a:lstStyle/>
                  <a:p>
                    <a:r>
                      <a:rPr lang="en-GB"/>
                      <a:t>2004</a:t>
                    </a:r>
                  </a:p>
                </c:rich>
              </c:tx>
              <c:showLegendKey val="0"/>
              <c:showVal val="0"/>
              <c:showCatName val="0"/>
              <c:showSerName val="0"/>
              <c:showPercent val="0"/>
              <c:showBubbleSize val="0"/>
            </c:dLbl>
            <c:dLbl>
              <c:idx val="10"/>
              <c:tx>
                <c:rich>
                  <a:bodyPr/>
                  <a:lstStyle/>
                  <a:p>
                    <a:r>
                      <a:rPr lang="en-GB"/>
                      <a:t>2005</a:t>
                    </a:r>
                  </a:p>
                </c:rich>
              </c:tx>
              <c:showLegendKey val="0"/>
              <c:showVal val="0"/>
              <c:showCatName val="0"/>
              <c:showSerName val="0"/>
              <c:showPercent val="0"/>
              <c:showBubbleSize val="0"/>
            </c:dLbl>
            <c:dLbl>
              <c:idx val="11"/>
              <c:tx>
                <c:rich>
                  <a:bodyPr/>
                  <a:lstStyle/>
                  <a:p>
                    <a:r>
                      <a:rPr lang="en-GB"/>
                      <a:t>2006</a:t>
                    </a:r>
                  </a:p>
                </c:rich>
              </c:tx>
              <c:showLegendKey val="0"/>
              <c:showVal val="0"/>
              <c:showCatName val="0"/>
              <c:showSerName val="0"/>
              <c:showPercent val="0"/>
              <c:showBubbleSize val="0"/>
            </c:dLbl>
            <c:dLbl>
              <c:idx val="12"/>
              <c:tx>
                <c:rich>
                  <a:bodyPr/>
                  <a:lstStyle/>
                  <a:p>
                    <a:r>
                      <a:t>2007</a:t>
                    </a:r>
                  </a:p>
                </c:rich>
              </c:tx>
              <c:showLegendKey val="0"/>
              <c:showVal val="0"/>
              <c:showCatName val="0"/>
              <c:showSerName val="0"/>
              <c:showPercent val="0"/>
              <c:showBubbleSize val="0"/>
            </c:dLbl>
            <c:dLbl>
              <c:idx val="13"/>
              <c:tx>
                <c:rich>
                  <a:bodyPr/>
                  <a:lstStyle/>
                  <a:p>
                    <a:r>
                      <a:t>2008</a:t>
                    </a:r>
                  </a:p>
                </c:rich>
              </c:tx>
              <c:showLegendKey val="0"/>
              <c:showVal val="0"/>
              <c:showCatName val="0"/>
              <c:showSerName val="0"/>
              <c:showPercent val="0"/>
              <c:showBubbleSize val="0"/>
            </c:dLbl>
            <c:dLbl>
              <c:idx val="14"/>
              <c:tx>
                <c:rich>
                  <a:bodyPr/>
                  <a:lstStyle/>
                  <a:p>
                    <a:r>
                      <a:t>2009</a:t>
                    </a:r>
                  </a:p>
                </c:rich>
              </c:tx>
              <c:showLegendKey val="0"/>
              <c:showVal val="0"/>
              <c:showCatName val="0"/>
              <c:showSerName val="0"/>
              <c:showPercent val="0"/>
              <c:showBubbleSize val="0"/>
            </c:dLbl>
            <c:spPr>
              <a:noFill/>
              <a:ln w="25400">
                <a:noFill/>
              </a:ln>
            </c:spPr>
            <c:txPr>
              <a:bodyPr/>
              <a:lstStyle/>
              <a:p>
                <a:pPr>
                  <a:defRPr sz="8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trendline>
            <c:spPr>
              <a:ln w="25400">
                <a:solidFill>
                  <a:srgbClr val="339966"/>
                </a:solidFill>
                <a:prstDash val="solid"/>
              </a:ln>
            </c:spPr>
            <c:trendlineType val="linear"/>
            <c:dispRSqr val="0"/>
            <c:dispEq val="0"/>
          </c:trendline>
          <c:xVal>
            <c:numRef>
              <c:f>'VVP2'!$G$348:$AA$348</c:f>
              <c:numCache>
                <c:formatCode>0.0</c:formatCode>
                <c:ptCount val="4"/>
                <c:pt idx="0">
                  <c:v>6.6287411287878184</c:v>
                </c:pt>
                <c:pt idx="1">
                  <c:v>4.8313146506227644</c:v>
                </c:pt>
                <c:pt idx="2">
                  <c:v>4.6013904601447608</c:v>
                </c:pt>
                <c:pt idx="3">
                  <c:v>2.3471981728427016</c:v>
                </c:pt>
              </c:numCache>
            </c:numRef>
          </c:xVal>
          <c:yVal>
            <c:numRef>
              <c:f>Sector1!$G$210:$AC$210</c:f>
              <c:numCache>
                <c:formatCode>0.0</c:formatCode>
                <c:ptCount val="12"/>
                <c:pt idx="0">
                  <c:v>51.755189954630843</c:v>
                </c:pt>
                <c:pt idx="1">
                  <c:v>10.740008153527913</c:v>
                </c:pt>
                <c:pt idx="2">
                  <c:v>20.816176270077193</c:v>
                </c:pt>
                <c:pt idx="3">
                  <c:v>-44.864517148370943</c:v>
                </c:pt>
                <c:pt idx="4">
                  <c:v>-43.516528502712113</c:v>
                </c:pt>
                <c:pt idx="5">
                  <c:v>-8.6936039137524794</c:v>
                </c:pt>
                <c:pt idx="6">
                  <c:v>70.741387521828841</c:v>
                </c:pt>
                <c:pt idx="7">
                  <c:v>10.471873547187371</c:v>
                </c:pt>
                <c:pt idx="8">
                  <c:v>4.8963703314045093</c:v>
                </c:pt>
                <c:pt idx="9">
                  <c:v>14.87202118270079</c:v>
                </c:pt>
                <c:pt idx="10">
                  <c:v>9.2375929871127518</c:v>
                </c:pt>
                <c:pt idx="11" formatCode="0.00">
                  <c:v>0.8696208197455102</c:v>
                </c:pt>
              </c:numCache>
            </c:numRef>
          </c:yVal>
          <c:smooth val="0"/>
        </c:ser>
        <c:ser>
          <c:idx val="1"/>
          <c:order val="1"/>
          <c:tx>
            <c:strRef>
              <c:f>Sector1!$F$217</c:f>
              <c:strCache>
                <c:ptCount val="1"/>
                <c:pt idx="0">
                  <c:v>OECD</c:v>
                </c:pt>
              </c:strCache>
            </c:strRef>
          </c:tx>
          <c:spPr>
            <a:ln w="25400">
              <a:solidFill>
                <a:srgbClr val="FF0000"/>
              </a:solidFill>
              <a:prstDash val="solid"/>
            </a:ln>
          </c:spPr>
          <c:marker>
            <c:symbol val="none"/>
          </c:marker>
          <c:xVal>
            <c:numRef>
              <c:f>'VVP2'!$G$348:$AA$348</c:f>
              <c:numCache>
                <c:formatCode>0.0</c:formatCode>
                <c:ptCount val="4"/>
                <c:pt idx="0">
                  <c:v>6.6287411287878184</c:v>
                </c:pt>
                <c:pt idx="1">
                  <c:v>4.8313146506227644</c:v>
                </c:pt>
                <c:pt idx="2">
                  <c:v>4.6013904601447608</c:v>
                </c:pt>
                <c:pt idx="3">
                  <c:v>2.3471981728427016</c:v>
                </c:pt>
              </c:numCache>
            </c:numRef>
          </c:xVal>
          <c:yVal>
            <c:numRef>
              <c:f>Sector1!$G$217:$AC$217</c:f>
              <c:numCache>
                <c:formatCode>0.0</c:formatCode>
                <c:ptCount val="12"/>
                <c:pt idx="0">
                  <c:v>23.000393289322389</c:v>
                </c:pt>
                <c:pt idx="1">
                  <c:v>32.349621540268394</c:v>
                </c:pt>
                <c:pt idx="2">
                  <c:v>19.76306117009738</c:v>
                </c:pt>
                <c:pt idx="3">
                  <c:v>-27.665202891582794</c:v>
                </c:pt>
                <c:pt idx="4">
                  <c:v>6.3700399705659914</c:v>
                </c:pt>
                <c:pt idx="5">
                  <c:v>18.192122353418018</c:v>
                </c:pt>
                <c:pt idx="6">
                  <c:v>10.407123572196875</c:v>
                </c:pt>
                <c:pt idx="7">
                  <c:v>7.5851640014777404</c:v>
                </c:pt>
                <c:pt idx="8">
                  <c:v>7.2241830224272752</c:v>
                </c:pt>
                <c:pt idx="9">
                  <c:v>3.6851011313630417</c:v>
                </c:pt>
                <c:pt idx="10">
                  <c:v>5.2088198744155294</c:v>
                </c:pt>
                <c:pt idx="11">
                  <c:v>12.632308776448129</c:v>
                </c:pt>
              </c:numCache>
            </c:numRef>
          </c:yVal>
          <c:smooth val="0"/>
        </c:ser>
        <c:dLbls>
          <c:showLegendKey val="0"/>
          <c:showVal val="0"/>
          <c:showCatName val="0"/>
          <c:showSerName val="0"/>
          <c:showPercent val="0"/>
          <c:showBubbleSize val="0"/>
        </c:dLbls>
        <c:axId val="315012608"/>
        <c:axId val="315014144"/>
      </c:scatterChart>
      <c:valAx>
        <c:axId val="315012608"/>
        <c:scaling>
          <c:orientation val="minMax"/>
        </c:scaling>
        <c:delete val="0"/>
        <c:axPos val="b"/>
        <c:majorGridlines>
          <c:spPr>
            <a:ln w="3175">
              <a:solidFill>
                <a:srgbClr val="000000"/>
              </a:solidFill>
              <a:prstDash val="solid"/>
            </a:ln>
          </c:spPr>
        </c:majorGridlines>
        <c:numFmt formatCode="0" sourceLinked="0"/>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315014144"/>
        <c:crosses val="autoZero"/>
        <c:crossBetween val="midCat"/>
      </c:valAx>
      <c:valAx>
        <c:axId val="315014144"/>
        <c:scaling>
          <c:orientation val="minMax"/>
        </c:scaling>
        <c:delete val="0"/>
        <c:axPos val="l"/>
        <c:majorGridlines>
          <c:spPr>
            <a:ln w="3175">
              <a:solidFill>
                <a:srgbClr val="000000"/>
              </a:solidFill>
              <a:prstDash val="solid"/>
            </a:ln>
          </c:spPr>
        </c:majorGridlines>
        <c:numFmt formatCode="0" sourceLinked="0"/>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315012608"/>
        <c:crosses val="autoZero"/>
        <c:crossBetween val="midCat"/>
      </c:valAx>
      <c:spPr>
        <a:noFill/>
        <a:ln w="12700">
          <a:solidFill>
            <a:srgbClr val="808080"/>
          </a:solidFill>
          <a:prstDash val="solid"/>
        </a:ln>
      </c:spPr>
    </c:plotArea>
    <c:legend>
      <c:legendPos val="r"/>
      <c:layout>
        <c:manualLayout>
          <c:xMode val="edge"/>
          <c:yMode val="edge"/>
          <c:x val="0.14732166291713536"/>
          <c:y val="0.79552026584912183"/>
          <c:w val="0.79241165166854144"/>
          <c:h val="0.18487453774160578"/>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GB"/>
              <a:t>GVT current resources and expenditure as % of GDP</a:t>
            </a:r>
          </a:p>
        </c:rich>
      </c:tx>
      <c:layout>
        <c:manualLayout>
          <c:xMode val="edge"/>
          <c:yMode val="edge"/>
          <c:x val="0.12723237720284963"/>
          <c:y val="3.3613445378151259E-2"/>
        </c:manualLayout>
      </c:layout>
      <c:overlay val="0"/>
      <c:spPr>
        <a:noFill/>
        <a:ln w="25400">
          <a:noFill/>
        </a:ln>
      </c:spPr>
    </c:title>
    <c:autoTitleDeleted val="0"/>
    <c:plotArea>
      <c:layout>
        <c:manualLayout>
          <c:layoutTarget val="inner"/>
          <c:xMode val="edge"/>
          <c:yMode val="edge"/>
          <c:x val="0.13839300797926546"/>
          <c:y val="0.17366994285589235"/>
          <c:w val="0.79464372323578236"/>
          <c:h val="0.58263464700041301"/>
        </c:manualLayout>
      </c:layout>
      <c:lineChart>
        <c:grouping val="standard"/>
        <c:varyColors val="0"/>
        <c:ser>
          <c:idx val="0"/>
          <c:order val="0"/>
          <c:tx>
            <c:strRef>
              <c:f>Sector1!$E$629</c:f>
              <c:strCache>
                <c:ptCount val="1"/>
                <c:pt idx="0">
                  <c:v>Total current revenue</c:v>
                </c:pt>
              </c:strCache>
            </c:strRef>
          </c:tx>
          <c:spPr>
            <a:ln w="25400">
              <a:solidFill>
                <a:srgbClr val="FF0000"/>
              </a:solidFill>
              <a:prstDash val="solid"/>
            </a:ln>
          </c:spPr>
          <c:marker>
            <c:symbol val="circle"/>
            <c:size val="7"/>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Sector1!$G$640:$AC$640</c:f>
              <c:numCache>
                <c:formatCode>0.0%</c:formatCode>
                <c:ptCount val="12"/>
                <c:pt idx="0">
                  <c:v>0.33076084816841772</c:v>
                </c:pt>
                <c:pt idx="1">
                  <c:v>0.3301746585649224</c:v>
                </c:pt>
                <c:pt idx="2" formatCode="0.00%">
                  <c:v>0.3395967369988267</c:v>
                </c:pt>
                <c:pt idx="3" formatCode="0.00%">
                  <c:v>0.34318328468502851</c:v>
                </c:pt>
                <c:pt idx="4" formatCode="0.00%">
                  <c:v>0.32873168862473712</c:v>
                </c:pt>
                <c:pt idx="5" formatCode="0.00%">
                  <c:v>0.31335570667222584</c:v>
                </c:pt>
                <c:pt idx="6" formatCode="0.00%">
                  <c:v>0.31050530638877694</c:v>
                </c:pt>
                <c:pt idx="7" formatCode="0.00%">
                  <c:v>0.30816898910601215</c:v>
                </c:pt>
                <c:pt idx="8" formatCode="0.00%">
                  <c:v>0.31305847581565222</c:v>
                </c:pt>
                <c:pt idx="9" formatCode="0.00%">
                  <c:v>0.32796905730975906</c:v>
                </c:pt>
                <c:pt idx="10" formatCode="0.00%">
                  <c:v>0.33661715843874268</c:v>
                </c:pt>
                <c:pt idx="11" formatCode="0.00%">
                  <c:v>0.34024452030690061</c:v>
                </c:pt>
              </c:numCache>
            </c:numRef>
          </c:val>
          <c:smooth val="0"/>
        </c:ser>
        <c:ser>
          <c:idx val="1"/>
          <c:order val="1"/>
          <c:tx>
            <c:strRef>
              <c:f>Sector1!$E$661</c:f>
              <c:strCache>
                <c:ptCount val="1"/>
                <c:pt idx="0">
                  <c:v>Total current expenditure</c:v>
                </c:pt>
              </c:strCache>
            </c:strRef>
          </c:tx>
          <c:spPr>
            <a:ln w="25400">
              <a:solidFill>
                <a:srgbClr val="0000FF"/>
              </a:solidFill>
              <a:prstDash val="solid"/>
            </a:ln>
          </c:spPr>
          <c:marker>
            <c:symbol val="circle"/>
            <c:size val="7"/>
            <c:spPr>
              <a:solidFill>
                <a:srgbClr val="FFFFFF"/>
              </a:solidFill>
              <a:ln>
                <a:solidFill>
                  <a:srgbClr val="0000FF"/>
                </a:solidFill>
                <a:prstDash val="solid"/>
              </a:ln>
            </c:spPr>
          </c:marker>
          <c:val>
            <c:numRef>
              <c:f>Sector1!$G$675:$AC$675</c:f>
              <c:numCache>
                <c:formatCode>0.0%</c:formatCode>
                <c:ptCount val="12"/>
                <c:pt idx="0">
                  <c:v>0.29697356803678532</c:v>
                </c:pt>
                <c:pt idx="1">
                  <c:v>0.28973308457865626</c:v>
                </c:pt>
                <c:pt idx="2">
                  <c:v>0.32222350677202422</c:v>
                </c:pt>
                <c:pt idx="3" formatCode="0.00%">
                  <c:v>0.40021132496894363</c:v>
                </c:pt>
                <c:pt idx="4" formatCode="0.00%">
                  <c:v>0.36962629060007146</c:v>
                </c:pt>
                <c:pt idx="5" formatCode="0.00%">
                  <c:v>0.33590319779302014</c:v>
                </c:pt>
                <c:pt idx="6" formatCode="0.00%">
                  <c:v>0.32060981490010937</c:v>
                </c:pt>
                <c:pt idx="7" formatCode="0.00%">
                  <c:v>0.30767928168617248</c:v>
                </c:pt>
                <c:pt idx="8" formatCode="0.00%">
                  <c:v>0.29928697767573431</c:v>
                </c:pt>
                <c:pt idx="9" formatCode="0.00%">
                  <c:v>0.30511820333180056</c:v>
                </c:pt>
                <c:pt idx="10" formatCode="0.00%">
                  <c:v>0.3071837617977714</c:v>
                </c:pt>
                <c:pt idx="11" formatCode="0.00%">
                  <c:v>0.30271987874878226</c:v>
                </c:pt>
              </c:numCache>
            </c:numRef>
          </c:val>
          <c:smooth val="0"/>
        </c:ser>
        <c:dLbls>
          <c:showLegendKey val="0"/>
          <c:showVal val="0"/>
          <c:showCatName val="0"/>
          <c:showSerName val="0"/>
          <c:showPercent val="0"/>
          <c:showBubbleSize val="0"/>
        </c:dLbls>
        <c:marker val="1"/>
        <c:smooth val="0"/>
        <c:axId val="315067392"/>
        <c:axId val="315081856"/>
      </c:lineChart>
      <c:catAx>
        <c:axId val="315067392"/>
        <c:scaling>
          <c:orientation val="minMax"/>
        </c:scaling>
        <c:delete val="0"/>
        <c:axPos val="b"/>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en-US"/>
          </a:p>
        </c:txPr>
        <c:crossAx val="315081856"/>
        <c:crosses val="autoZero"/>
        <c:auto val="1"/>
        <c:lblAlgn val="ctr"/>
        <c:lblOffset val="100"/>
        <c:tickLblSkip val="2"/>
        <c:tickMarkSkip val="1"/>
        <c:noMultiLvlLbl val="0"/>
      </c:catAx>
      <c:valAx>
        <c:axId val="315081856"/>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en-US"/>
          </a:p>
        </c:txPr>
        <c:crossAx val="315067392"/>
        <c:crosses val="autoZero"/>
        <c:crossBetween val="midCat"/>
      </c:valAx>
      <c:spPr>
        <a:noFill/>
        <a:ln w="12700">
          <a:solidFill>
            <a:srgbClr val="808080"/>
          </a:solidFill>
          <a:prstDash val="solid"/>
        </a:ln>
      </c:spPr>
    </c:plotArea>
    <c:legend>
      <c:legendPos val="r"/>
      <c:layout>
        <c:manualLayout>
          <c:xMode val="edge"/>
          <c:yMode val="edge"/>
          <c:x val="8.4821428571428575E-2"/>
          <c:y val="0.85994633023813205"/>
          <c:w val="0.83705450881139853"/>
          <c:h val="0.12324959380077494"/>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GB"/>
              <a:t>GVT capital transfers and expenditure as % of GDP</a:t>
            </a:r>
          </a:p>
        </c:rich>
      </c:tx>
      <c:layout>
        <c:manualLayout>
          <c:xMode val="edge"/>
          <c:yMode val="edge"/>
          <c:x val="0.13839309148856391"/>
          <c:y val="3.3613445378151259E-2"/>
        </c:manualLayout>
      </c:layout>
      <c:overlay val="0"/>
      <c:spPr>
        <a:noFill/>
        <a:ln w="25400">
          <a:noFill/>
        </a:ln>
      </c:spPr>
    </c:title>
    <c:autoTitleDeleted val="0"/>
    <c:plotArea>
      <c:layout>
        <c:manualLayout>
          <c:layoutTarget val="inner"/>
          <c:xMode val="edge"/>
          <c:yMode val="edge"/>
          <c:x val="0.1272322815293247"/>
          <c:y val="0.17086881474531346"/>
          <c:w val="0.80580444968572307"/>
          <c:h val="0.62745269676967563"/>
        </c:manualLayout>
      </c:layout>
      <c:lineChart>
        <c:grouping val="standard"/>
        <c:varyColors val="0"/>
        <c:ser>
          <c:idx val="0"/>
          <c:order val="0"/>
          <c:tx>
            <c:strRef>
              <c:f>Sector1!$E$508</c:f>
              <c:strCache>
                <c:ptCount val="1"/>
                <c:pt idx="0">
                  <c:v>Capital transfers (D.9r)</c:v>
                </c:pt>
              </c:strCache>
            </c:strRef>
          </c:tx>
          <c:spPr>
            <a:ln w="25400">
              <a:solidFill>
                <a:srgbClr val="FF0000"/>
              </a:solidFill>
              <a:prstDash val="solid"/>
            </a:ln>
          </c:spPr>
          <c:marker>
            <c:symbol val="circle"/>
            <c:size val="7"/>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Sector1!$G$508:$AC$508</c:f>
              <c:numCache>
                <c:formatCode>0.0%</c:formatCode>
                <c:ptCount val="12"/>
                <c:pt idx="0">
                  <c:v>9.6236665866528664E-3</c:v>
                </c:pt>
                <c:pt idx="1">
                  <c:v>1.4230048490633479E-2</c:v>
                </c:pt>
                <c:pt idx="2">
                  <c:v>1.0482232229476871E-2</c:v>
                </c:pt>
                <c:pt idx="3">
                  <c:v>1.4643498638565249E-2</c:v>
                </c:pt>
                <c:pt idx="4">
                  <c:v>2.5250056551278273E-2</c:v>
                </c:pt>
                <c:pt idx="5">
                  <c:v>2.1976114073333223E-2</c:v>
                </c:pt>
                <c:pt idx="6">
                  <c:v>1.906263793732128E-2</c:v>
                </c:pt>
                <c:pt idx="7">
                  <c:v>2.0661248038810451E-2</c:v>
                </c:pt>
                <c:pt idx="8">
                  <c:v>2.7153861215238998E-2</c:v>
                </c:pt>
                <c:pt idx="9">
                  <c:v>1.8470815283564285E-2</c:v>
                </c:pt>
                <c:pt idx="10">
                  <c:v>8.108705007096248E-3</c:v>
                </c:pt>
                <c:pt idx="11">
                  <c:v>7.3486638822307876E-3</c:v>
                </c:pt>
              </c:numCache>
            </c:numRef>
          </c:val>
          <c:smooth val="0"/>
        </c:ser>
        <c:ser>
          <c:idx val="1"/>
          <c:order val="1"/>
          <c:tx>
            <c:strRef>
              <c:f>Sector1!$E$764</c:f>
              <c:strCache>
                <c:ptCount val="1"/>
                <c:pt idx="0">
                  <c:v>Capital expenditure</c:v>
                </c:pt>
              </c:strCache>
            </c:strRef>
          </c:tx>
          <c:spPr>
            <a:ln w="25400">
              <a:solidFill>
                <a:srgbClr val="0000FF"/>
              </a:solidFill>
              <a:prstDash val="solid"/>
            </a:ln>
          </c:spPr>
          <c:marker>
            <c:symbol val="circle"/>
            <c:size val="7"/>
            <c:spPr>
              <a:solidFill>
                <a:srgbClr val="FFFFFF"/>
              </a:solidFill>
              <a:ln>
                <a:solidFill>
                  <a:srgbClr val="0000FF"/>
                </a:solidFill>
                <a:prstDash val="solid"/>
              </a:ln>
            </c:spPr>
          </c:marker>
          <c:val>
            <c:numRef>
              <c:f>Sector1!$G$765:$AC$765</c:f>
              <c:numCache>
                <c:formatCode>0.0%</c:formatCode>
                <c:ptCount val="12"/>
                <c:pt idx="0">
                  <c:v>4.6131969610260809E-2</c:v>
                </c:pt>
                <c:pt idx="1">
                  <c:v>6.282467409487251E-2</c:v>
                </c:pt>
                <c:pt idx="2">
                  <c:v>5.868526939456109E-2</c:v>
                </c:pt>
                <c:pt idx="3">
                  <c:v>4.8672313384681989E-2</c:v>
                </c:pt>
                <c:pt idx="4">
                  <c:v>5.3362642475326162E-2</c:v>
                </c:pt>
                <c:pt idx="5">
                  <c:v>8.8825949662545423E-2</c:v>
                </c:pt>
                <c:pt idx="6">
                  <c:v>4.0412936361717229E-2</c:v>
                </c:pt>
                <c:pt idx="7">
                  <c:v>4.7249900957246418E-2</c:v>
                </c:pt>
                <c:pt idx="8">
                  <c:v>4.7099015868397417E-2</c:v>
                </c:pt>
                <c:pt idx="9">
                  <c:v>4.3769392953302469E-2</c:v>
                </c:pt>
                <c:pt idx="10">
                  <c:v>3.4878939659131809E-2</c:v>
                </c:pt>
                <c:pt idx="11">
                  <c:v>3.6880812503530598E-2</c:v>
                </c:pt>
              </c:numCache>
            </c:numRef>
          </c:val>
          <c:smooth val="0"/>
        </c:ser>
        <c:dLbls>
          <c:showLegendKey val="0"/>
          <c:showVal val="0"/>
          <c:showCatName val="0"/>
          <c:showSerName val="0"/>
          <c:showPercent val="0"/>
          <c:showBubbleSize val="0"/>
        </c:dLbls>
        <c:marker val="1"/>
        <c:smooth val="0"/>
        <c:axId val="315307520"/>
        <c:axId val="315309440"/>
      </c:lineChart>
      <c:catAx>
        <c:axId val="315307520"/>
        <c:scaling>
          <c:orientation val="minMax"/>
        </c:scaling>
        <c:delete val="0"/>
        <c:axPos val="b"/>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315309440"/>
        <c:crosses val="autoZero"/>
        <c:auto val="1"/>
        <c:lblAlgn val="ctr"/>
        <c:lblOffset val="100"/>
        <c:tickLblSkip val="2"/>
        <c:tickMarkSkip val="1"/>
        <c:noMultiLvlLbl val="0"/>
      </c:catAx>
      <c:valAx>
        <c:axId val="315309440"/>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315307520"/>
        <c:crosses val="autoZero"/>
        <c:crossBetween val="midCat"/>
      </c:valAx>
      <c:spPr>
        <a:noFill/>
        <a:ln w="12700">
          <a:solidFill>
            <a:srgbClr val="808080"/>
          </a:solidFill>
          <a:prstDash val="solid"/>
        </a:ln>
      </c:spPr>
    </c:plotArea>
    <c:legend>
      <c:legendPos val="r"/>
      <c:layout>
        <c:manualLayout>
          <c:xMode val="edge"/>
          <c:yMode val="edge"/>
          <c:x val="5.8035714285714288E-2"/>
          <c:y val="0.91316761875353814"/>
          <c:w val="0.83928665166854133"/>
          <c:h val="7.0028305285368742E-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GB"/>
              <a:t>GVT gross saving and net lending as % of GDP</a:t>
            </a:r>
          </a:p>
        </c:rich>
      </c:tx>
      <c:layout>
        <c:manualLayout>
          <c:xMode val="edge"/>
          <c:yMode val="edge"/>
          <c:x val="0.16964309148856391"/>
          <c:y val="3.3613445378151259E-2"/>
        </c:manualLayout>
      </c:layout>
      <c:overlay val="0"/>
      <c:spPr>
        <a:noFill/>
        <a:ln w="25400">
          <a:noFill/>
        </a:ln>
      </c:spPr>
    </c:title>
    <c:autoTitleDeleted val="0"/>
    <c:plotArea>
      <c:layout>
        <c:manualLayout>
          <c:layoutTarget val="inner"/>
          <c:xMode val="edge"/>
          <c:yMode val="edge"/>
          <c:x val="0.15178587971919438"/>
          <c:y val="0.17086881474531346"/>
          <c:w val="0.78125085149585338"/>
          <c:h val="0.62745269676967563"/>
        </c:manualLayout>
      </c:layout>
      <c:lineChart>
        <c:grouping val="standard"/>
        <c:varyColors val="0"/>
        <c:ser>
          <c:idx val="0"/>
          <c:order val="0"/>
          <c:tx>
            <c:strRef>
              <c:f>Sector1!$E$472</c:f>
              <c:strCache>
                <c:ptCount val="1"/>
                <c:pt idx="0">
                  <c:v>Gross saving (B.8g)</c:v>
                </c:pt>
              </c:strCache>
            </c:strRef>
          </c:tx>
          <c:spPr>
            <a:ln w="25400">
              <a:solidFill>
                <a:srgbClr val="0000FF"/>
              </a:solidFill>
              <a:prstDash val="solid"/>
            </a:ln>
          </c:spPr>
          <c:marker>
            <c:symbol val="circle"/>
            <c:size val="7"/>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Sector1!$G$472:$AC$472</c:f>
              <c:numCache>
                <c:formatCode>0.0%</c:formatCode>
                <c:ptCount val="12"/>
                <c:pt idx="0">
                  <c:v>3.3787695428166536E-2</c:v>
                </c:pt>
                <c:pt idx="1">
                  <c:v>4.0441918331057237E-2</c:v>
                </c:pt>
                <c:pt idx="2">
                  <c:v>1.7373230226802528E-2</c:v>
                </c:pt>
                <c:pt idx="3">
                  <c:v>-5.7028040283915019E-2</c:v>
                </c:pt>
                <c:pt idx="4">
                  <c:v>-4.0894245184935153E-2</c:v>
                </c:pt>
                <c:pt idx="5">
                  <c:v>-2.2547491120794214E-2</c:v>
                </c:pt>
                <c:pt idx="6">
                  <c:v>-1.010450851133245E-2</c:v>
                </c:pt>
                <c:pt idx="7">
                  <c:v>4.8942137578605177E-4</c:v>
                </c:pt>
                <c:pt idx="8">
                  <c:v>1.377149813991802E-2</c:v>
                </c:pt>
                <c:pt idx="9">
                  <c:v>2.2850586788383986E-2</c:v>
                </c:pt>
                <c:pt idx="10">
                  <c:v>2.943339664097128E-2</c:v>
                </c:pt>
                <c:pt idx="11">
                  <c:v>3.7553004207470264E-2</c:v>
                </c:pt>
              </c:numCache>
            </c:numRef>
          </c:val>
          <c:smooth val="0"/>
        </c:ser>
        <c:ser>
          <c:idx val="1"/>
          <c:order val="1"/>
          <c:tx>
            <c:strRef>
              <c:f>Sector1!$E$597</c:f>
              <c:strCache>
                <c:ptCount val="1"/>
                <c:pt idx="0">
                  <c:v>Net-lending</c:v>
                </c:pt>
              </c:strCache>
            </c:strRef>
          </c:tx>
          <c:spPr>
            <a:ln w="25400">
              <a:solidFill>
                <a:srgbClr val="FF0000"/>
              </a:solidFill>
              <a:prstDash val="solid"/>
            </a:ln>
          </c:spPr>
          <c:marker>
            <c:symbol val="circle"/>
            <c:size val="7"/>
            <c:spPr>
              <a:solidFill>
                <a:srgbClr val="FFFFFF"/>
              </a:solidFill>
              <a:ln>
                <a:solidFill>
                  <a:srgbClr val="FF0000"/>
                </a:solidFill>
                <a:prstDash val="solid"/>
              </a:ln>
            </c:spPr>
          </c:marker>
          <c:val>
            <c:numRef>
              <c:f>Sector1!$G$597:$AC$597</c:f>
              <c:numCache>
                <c:formatCode>0.0%</c:formatCode>
                <c:ptCount val="12"/>
                <c:pt idx="0">
                  <c:v>-2.7206075954414035E-3</c:v>
                </c:pt>
                <c:pt idx="1">
                  <c:v>-8.1527072731817796E-3</c:v>
                </c:pt>
                <c:pt idx="2">
                  <c:v>-3.0829806938281693E-2</c:v>
                </c:pt>
                <c:pt idx="3">
                  <c:v>-9.1056855030031761E-2</c:v>
                </c:pt>
                <c:pt idx="4">
                  <c:v>-6.9006831108983049E-2</c:v>
                </c:pt>
                <c:pt idx="5">
                  <c:v>-8.93973267100064E-2</c:v>
                </c:pt>
                <c:pt idx="6">
                  <c:v>-3.1454806935728399E-2</c:v>
                </c:pt>
                <c:pt idx="7">
                  <c:v>-2.6099231542649919E-2</c:v>
                </c:pt>
                <c:pt idx="8">
                  <c:v>-6.1736565132403994E-3</c:v>
                </c:pt>
                <c:pt idx="9">
                  <c:v>-2.4479908813542029E-3</c:v>
                </c:pt>
                <c:pt idx="10">
                  <c:v>2.6631619889357105E-3</c:v>
                </c:pt>
                <c:pt idx="11">
                  <c:v>8.0208555861704563E-3</c:v>
                </c:pt>
              </c:numCache>
            </c:numRef>
          </c:val>
          <c:smooth val="0"/>
        </c:ser>
        <c:dLbls>
          <c:showLegendKey val="0"/>
          <c:showVal val="0"/>
          <c:showCatName val="0"/>
          <c:showSerName val="0"/>
          <c:showPercent val="0"/>
          <c:showBubbleSize val="0"/>
        </c:dLbls>
        <c:marker val="1"/>
        <c:smooth val="0"/>
        <c:axId val="315383808"/>
        <c:axId val="315385728"/>
      </c:lineChart>
      <c:catAx>
        <c:axId val="315383808"/>
        <c:scaling>
          <c:orientation val="minMax"/>
        </c:scaling>
        <c:delete val="0"/>
        <c:axPos val="b"/>
        <c:majorGridlines>
          <c:spPr>
            <a:ln w="3175">
              <a:solidFill>
                <a:srgbClr val="000000"/>
              </a:solidFill>
              <a:prstDash val="solid"/>
            </a:ln>
          </c:spPr>
        </c:majorGridlines>
        <c:numFmt formatCode="0" sourceLinked="0"/>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315385728"/>
        <c:crosses val="autoZero"/>
        <c:auto val="1"/>
        <c:lblAlgn val="ctr"/>
        <c:lblOffset val="100"/>
        <c:tickLblSkip val="3"/>
        <c:tickMarkSkip val="1"/>
        <c:noMultiLvlLbl val="0"/>
      </c:catAx>
      <c:valAx>
        <c:axId val="315385728"/>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315383808"/>
        <c:crosses val="autoZero"/>
        <c:crossBetween val="midCat"/>
      </c:valAx>
      <c:spPr>
        <a:noFill/>
        <a:ln w="12700">
          <a:solidFill>
            <a:srgbClr val="808080"/>
          </a:solidFill>
          <a:prstDash val="solid"/>
        </a:ln>
      </c:spPr>
    </c:plotArea>
    <c:legend>
      <c:legendPos val="r"/>
      <c:layout>
        <c:manualLayout>
          <c:xMode val="edge"/>
          <c:yMode val="edge"/>
          <c:x val="0.20535737720284963"/>
          <c:y val="0.91036649830535887"/>
          <c:w val="0.71205427446569181"/>
          <c:h val="7.2829425733548003E-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25" b="1" i="0" u="none" strike="noStrike" baseline="0">
                <a:solidFill>
                  <a:srgbClr val="000000"/>
                </a:solidFill>
                <a:latin typeface="Arial"/>
                <a:ea typeface="Arial"/>
                <a:cs typeface="Arial"/>
              </a:defRPr>
            </a:pPr>
            <a:r>
              <a:rPr lang="en-GB"/>
              <a:t>GVT debt reduction and net lending as % of GDP</a:t>
            </a:r>
          </a:p>
        </c:rich>
      </c:tx>
      <c:layout>
        <c:manualLayout>
          <c:xMode val="edge"/>
          <c:yMode val="edge"/>
          <c:x val="0.30580357142857145"/>
          <c:y val="3.1862745098039214E-2"/>
        </c:manualLayout>
      </c:layout>
      <c:overlay val="0"/>
      <c:spPr>
        <a:noFill/>
        <a:ln w="25400">
          <a:noFill/>
        </a:ln>
      </c:spPr>
    </c:title>
    <c:autoTitleDeleted val="0"/>
    <c:plotArea>
      <c:layout>
        <c:manualLayout>
          <c:layoutTarget val="inner"/>
          <c:xMode val="edge"/>
          <c:yMode val="edge"/>
          <c:x val="7.03125E-2"/>
          <c:y val="0.1764710106249297"/>
          <c:w val="0.8604910714285714"/>
          <c:h val="0.63970741351537008"/>
        </c:manualLayout>
      </c:layout>
      <c:barChart>
        <c:barDir val="col"/>
        <c:grouping val="stacked"/>
        <c:varyColors val="0"/>
        <c:ser>
          <c:idx val="3"/>
          <c:order val="3"/>
          <c:tx>
            <c:strRef>
              <c:f>Sector1!$E$613</c:f>
              <c:strCache>
                <c:ptCount val="1"/>
                <c:pt idx="0">
                  <c:v>Debt increase as % of GDP</c:v>
                </c:pt>
              </c:strCache>
            </c:strRef>
          </c:tx>
          <c:spPr>
            <a:solidFill>
              <a:srgbClr val="0066CC"/>
            </a:solidFill>
            <a:ln w="12700">
              <a:solidFill>
                <a:srgbClr val="000000"/>
              </a:solidFill>
              <a:prstDash val="solid"/>
            </a:ln>
          </c:spPr>
          <c:invertIfNegative val="0"/>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Sector1!$G$613:$AC$613</c:f>
              <c:numCache>
                <c:formatCode>0.0%</c:formatCode>
                <c:ptCount val="12"/>
                <c:pt idx="0">
                  <c:v>-3.8342598822290741E-3</c:v>
                </c:pt>
                <c:pt idx="1">
                  <c:v>-1.3694349692171814E-2</c:v>
                </c:pt>
                <c:pt idx="2">
                  <c:v>-1.3086079952849411E-2</c:v>
                </c:pt>
                <c:pt idx="3">
                  <c:v>0.13386154817562873</c:v>
                </c:pt>
                <c:pt idx="4">
                  <c:v>8.2662711859830929E-2</c:v>
                </c:pt>
                <c:pt idx="5">
                  <c:v>9.6623275096286432E-3</c:v>
                </c:pt>
                <c:pt idx="6">
                  <c:v>2.590913998632044E-2</c:v>
                </c:pt>
                <c:pt idx="7">
                  <c:v>-1.0152573225797545E-2</c:v>
                </c:pt>
                <c:pt idx="8">
                  <c:v>1.7816303983955006E-2</c:v>
                </c:pt>
                <c:pt idx="9">
                  <c:v>2.0480825564379801E-2</c:v>
                </c:pt>
                <c:pt idx="10">
                  <c:v>-2.4687597652025939E-2</c:v>
                </c:pt>
                <c:pt idx="11">
                  <c:v>4.9462142740028803E-3</c:v>
                </c:pt>
              </c:numCache>
            </c:numRef>
          </c:val>
        </c:ser>
        <c:dLbls>
          <c:showLegendKey val="0"/>
          <c:showVal val="0"/>
          <c:showCatName val="0"/>
          <c:showSerName val="0"/>
          <c:showPercent val="0"/>
          <c:showBubbleSize val="0"/>
        </c:dLbls>
        <c:gapWidth val="20"/>
        <c:overlap val="100"/>
        <c:axId val="315774464"/>
        <c:axId val="315776000"/>
      </c:barChart>
      <c:barChart>
        <c:barDir val="col"/>
        <c:grouping val="stacked"/>
        <c:varyColors val="0"/>
        <c:ser>
          <c:idx val="0"/>
          <c:order val="0"/>
          <c:tx>
            <c:strRef>
              <c:f>Sector1!$E$610</c:f>
              <c:strCache>
                <c:ptCount val="1"/>
                <c:pt idx="0">
                  <c:v>Snowball effect</c:v>
                </c:pt>
              </c:strCache>
            </c:strRef>
          </c:tx>
          <c:spPr>
            <a:solidFill>
              <a:srgbClr val="FFCC99"/>
            </a:solidFill>
            <a:ln w="3175">
              <a:solidFill>
                <a:srgbClr val="000000"/>
              </a:solidFill>
              <a:prstDash val="solid"/>
            </a:ln>
          </c:spPr>
          <c:invertIfNegative val="0"/>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Sector1!$G$610:$AC$610</c:f>
              <c:numCache>
                <c:formatCode>0.0%</c:formatCode>
                <c:ptCount val="12"/>
                <c:pt idx="0">
                  <c:v>-2.2522603920522709E-2</c:v>
                </c:pt>
                <c:pt idx="1">
                  <c:v>-2.9458454226986126E-2</c:v>
                </c:pt>
                <c:pt idx="2">
                  <c:v>-1.7747160662948545E-2</c:v>
                </c:pt>
                <c:pt idx="3">
                  <c:v>3.1154346122672733E-2</c:v>
                </c:pt>
                <c:pt idx="4">
                  <c:v>-1.0898434521993253E-2</c:v>
                </c:pt>
                <c:pt idx="5">
                  <c:v>-3.7608172040815672E-2</c:v>
                </c:pt>
                <c:pt idx="6">
                  <c:v>-2.3115583179473018E-2</c:v>
                </c:pt>
                <c:pt idx="7">
                  <c:v>-1.8330572719499564E-2</c:v>
                </c:pt>
                <c:pt idx="8">
                  <c:v>-1.7049979035098625E-2</c:v>
                </c:pt>
                <c:pt idx="9">
                  <c:v>-9.297452511032353E-3</c:v>
                </c:pt>
                <c:pt idx="10">
                  <c:v>-1.3675999527256085E-2</c:v>
                </c:pt>
                <c:pt idx="11">
                  <c:v>-2.9876811336139886E-2</c:v>
                </c:pt>
              </c:numCache>
            </c:numRef>
          </c:val>
        </c:ser>
        <c:ser>
          <c:idx val="2"/>
          <c:order val="1"/>
          <c:tx>
            <c:strRef>
              <c:f>Sector1!$E$611</c:f>
              <c:strCache>
                <c:ptCount val="1"/>
                <c:pt idx="0">
                  <c:v>Net borrowing as % of GDP</c:v>
                </c:pt>
              </c:strCache>
            </c:strRef>
          </c:tx>
          <c:spPr>
            <a:solidFill>
              <a:srgbClr val="FF99CC"/>
            </a:solidFill>
            <a:ln w="3175">
              <a:solidFill>
                <a:srgbClr val="000000"/>
              </a:solidFill>
              <a:prstDash val="solid"/>
            </a:ln>
          </c:spPr>
          <c:invertIfNegative val="0"/>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Sector1!$G$611:$AC$611</c:f>
              <c:numCache>
                <c:formatCode>0.0%</c:formatCode>
                <c:ptCount val="12"/>
                <c:pt idx="0">
                  <c:v>2.7206075954414035E-3</c:v>
                </c:pt>
                <c:pt idx="1">
                  <c:v>8.1527072731817796E-3</c:v>
                </c:pt>
                <c:pt idx="2">
                  <c:v>3.0829806938281693E-2</c:v>
                </c:pt>
                <c:pt idx="3">
                  <c:v>9.1056855030031761E-2</c:v>
                </c:pt>
                <c:pt idx="4">
                  <c:v>6.9006831108983049E-2</c:v>
                </c:pt>
                <c:pt idx="5">
                  <c:v>8.93973267100064E-2</c:v>
                </c:pt>
                <c:pt idx="6">
                  <c:v>3.1454806935728399E-2</c:v>
                </c:pt>
                <c:pt idx="7">
                  <c:v>2.6099231542649919E-2</c:v>
                </c:pt>
                <c:pt idx="8">
                  <c:v>6.1736565132403994E-3</c:v>
                </c:pt>
                <c:pt idx="9">
                  <c:v>2.4479908813542029E-3</c:v>
                </c:pt>
                <c:pt idx="10">
                  <c:v>-2.6631619889357105E-3</c:v>
                </c:pt>
                <c:pt idx="11">
                  <c:v>-8.0208555861704563E-3</c:v>
                </c:pt>
              </c:numCache>
            </c:numRef>
          </c:val>
        </c:ser>
        <c:ser>
          <c:idx val="1"/>
          <c:order val="2"/>
          <c:tx>
            <c:strRef>
              <c:f>Sector1!$E$612</c:f>
              <c:strCache>
                <c:ptCount val="1"/>
                <c:pt idx="0">
                  <c:v>Stock-flow adjustment as % of GDP</c:v>
                </c:pt>
              </c:strCache>
            </c:strRef>
          </c:tx>
          <c:spPr>
            <a:solidFill>
              <a:srgbClr val="FFFF99"/>
            </a:solidFill>
            <a:ln w="3175">
              <a:solidFill>
                <a:srgbClr val="000000"/>
              </a:solidFill>
              <a:prstDash val="solid"/>
            </a:ln>
          </c:spPr>
          <c:invertIfNegative val="0"/>
          <c:val>
            <c:numRef>
              <c:f>Sector1!$G$612:$AC$612</c:f>
              <c:numCache>
                <c:formatCode>0.00%</c:formatCode>
                <c:ptCount val="12"/>
                <c:pt idx="0">
                  <c:v>1.596773644285223E-2</c:v>
                </c:pt>
                <c:pt idx="1">
                  <c:v>7.611397261632534E-3</c:v>
                </c:pt>
                <c:pt idx="2">
                  <c:v>-2.6168726228182559E-2</c:v>
                </c:pt>
                <c:pt idx="3">
                  <c:v>1.1650347022924234E-2</c:v>
                </c:pt>
                <c:pt idx="4">
                  <c:v>2.4554315272841128E-2</c:v>
                </c:pt>
                <c:pt idx="5">
                  <c:v>-4.2126827159562084E-2</c:v>
                </c:pt>
                <c:pt idx="6">
                  <c:v>1.7569916230065059E-2</c:v>
                </c:pt>
                <c:pt idx="7">
                  <c:v>-1.79212320489479E-2</c:v>
                </c:pt>
                <c:pt idx="8">
                  <c:v>2.8692626505813234E-2</c:v>
                </c:pt>
                <c:pt idx="9">
                  <c:v>2.7330287194057952E-2</c:v>
                </c:pt>
                <c:pt idx="10">
                  <c:v>-8.3484361358341433E-3</c:v>
                </c:pt>
                <c:pt idx="11">
                  <c:v>4.2843881196313223E-2</c:v>
                </c:pt>
              </c:numCache>
            </c:numRef>
          </c:val>
        </c:ser>
        <c:dLbls>
          <c:showLegendKey val="0"/>
          <c:showVal val="0"/>
          <c:showCatName val="0"/>
          <c:showSerName val="0"/>
          <c:showPercent val="0"/>
          <c:showBubbleSize val="0"/>
        </c:dLbls>
        <c:gapWidth val="150"/>
        <c:overlap val="100"/>
        <c:axId val="315798272"/>
        <c:axId val="315799808"/>
      </c:barChart>
      <c:catAx>
        <c:axId val="315774464"/>
        <c:scaling>
          <c:orientation val="minMax"/>
        </c:scaling>
        <c:delete val="0"/>
        <c:axPos val="b"/>
        <c:majorGridlines>
          <c:spPr>
            <a:ln w="3175">
              <a:solidFill>
                <a:srgbClr val="000000"/>
              </a:solidFill>
              <a:prstDash val="solid"/>
            </a:ln>
          </c:spPr>
        </c:majorGridlines>
        <c:numFmt formatCode="0" sourceLinked="0"/>
        <c:majorTickMark val="out"/>
        <c:minorTickMark val="none"/>
        <c:tickLblPos val="low"/>
        <c:spPr>
          <a:ln w="25400">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en-US"/>
          </a:p>
        </c:txPr>
        <c:crossAx val="315776000"/>
        <c:crosses val="autoZero"/>
        <c:auto val="1"/>
        <c:lblAlgn val="ctr"/>
        <c:lblOffset val="100"/>
        <c:tickLblSkip val="2"/>
        <c:tickMarkSkip val="1"/>
        <c:noMultiLvlLbl val="0"/>
      </c:catAx>
      <c:valAx>
        <c:axId val="315776000"/>
        <c:scaling>
          <c:orientation val="minMax"/>
          <c:max val="0.06"/>
          <c:min val="-0.1"/>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en-US"/>
          </a:p>
        </c:txPr>
        <c:crossAx val="315774464"/>
        <c:crosses val="autoZero"/>
        <c:crossBetween val="between"/>
      </c:valAx>
      <c:catAx>
        <c:axId val="315798272"/>
        <c:scaling>
          <c:orientation val="minMax"/>
        </c:scaling>
        <c:delete val="1"/>
        <c:axPos val="b"/>
        <c:numFmt formatCode="0" sourceLinked="1"/>
        <c:majorTickMark val="out"/>
        <c:minorTickMark val="none"/>
        <c:tickLblPos val="nextTo"/>
        <c:crossAx val="315799808"/>
        <c:crosses val="autoZero"/>
        <c:auto val="1"/>
        <c:lblAlgn val="ctr"/>
        <c:lblOffset val="100"/>
        <c:noMultiLvlLbl val="0"/>
      </c:catAx>
      <c:valAx>
        <c:axId val="315799808"/>
        <c:scaling>
          <c:orientation val="minMax"/>
          <c:max val="0.06"/>
          <c:min val="-0.1"/>
        </c:scaling>
        <c:delete val="0"/>
        <c:axPos val="r"/>
        <c:numFmt formatCode="0%" sourceLinked="0"/>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en-US"/>
          </a:p>
        </c:txPr>
        <c:crossAx val="315798272"/>
        <c:crosses val="max"/>
        <c:crossBetween val="between"/>
      </c:valAx>
      <c:spPr>
        <a:noFill/>
        <a:ln w="12700">
          <a:solidFill>
            <a:srgbClr val="808080"/>
          </a:solidFill>
          <a:prstDash val="solid"/>
        </a:ln>
      </c:spPr>
    </c:plotArea>
    <c:legend>
      <c:legendPos val="r"/>
      <c:layout>
        <c:manualLayout>
          <c:xMode val="edge"/>
          <c:yMode val="edge"/>
          <c:x val="4.6875E-2"/>
          <c:y val="0.91666898255365137"/>
          <c:w val="0.9229910714285714"/>
          <c:h val="5.8823786732540739E-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9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Subsidies and GDP</a:t>
            </a:r>
          </a:p>
        </c:rich>
      </c:tx>
      <c:layout>
        <c:manualLayout>
          <c:xMode val="edge"/>
          <c:yMode val="edge"/>
          <c:x val="0.36160761154855642"/>
          <c:y val="3.3613445378151259E-2"/>
        </c:manualLayout>
      </c:layout>
      <c:overlay val="0"/>
      <c:spPr>
        <a:noFill/>
        <a:ln w="25400">
          <a:noFill/>
        </a:ln>
      </c:spPr>
    </c:title>
    <c:autoTitleDeleted val="0"/>
    <c:plotArea>
      <c:layout>
        <c:manualLayout>
          <c:layoutTarget val="inner"/>
          <c:xMode val="edge"/>
          <c:yMode val="edge"/>
          <c:x val="0.10044653804946686"/>
          <c:y val="0.17647107096647127"/>
          <c:w val="0.83259019316558092"/>
          <c:h val="0.61904931243793893"/>
        </c:manualLayout>
      </c:layout>
      <c:lineChart>
        <c:grouping val="standard"/>
        <c:varyColors val="0"/>
        <c:ser>
          <c:idx val="1"/>
          <c:order val="0"/>
          <c:tx>
            <c:strRef>
              <c:f>'VVP2'!$E$348</c:f>
              <c:strCache>
                <c:ptCount val="1"/>
                <c:pt idx="0">
                  <c:v>GDP</c:v>
                </c:pt>
              </c:strCache>
            </c:strRef>
          </c:tx>
          <c:spPr>
            <a:ln w="25400">
              <a:solidFill>
                <a:srgbClr val="0000FF"/>
              </a:solidFill>
              <a:prstDash val="solid"/>
            </a:ln>
          </c:spPr>
          <c:marker>
            <c:symbol val="circle"/>
            <c:size val="5"/>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'VVP2'!$G$348:$AA$348</c:f>
              <c:numCache>
                <c:formatCode>0.0</c:formatCode>
                <c:ptCount val="4"/>
                <c:pt idx="0">
                  <c:v>6.6287411287878184</c:v>
                </c:pt>
                <c:pt idx="1">
                  <c:v>4.8313146506227644</c:v>
                </c:pt>
                <c:pt idx="2">
                  <c:v>4.6013904601447608</c:v>
                </c:pt>
                <c:pt idx="3">
                  <c:v>2.3471981728427016</c:v>
                </c:pt>
              </c:numCache>
            </c:numRef>
          </c:val>
          <c:smooth val="0"/>
        </c:ser>
        <c:ser>
          <c:idx val="0"/>
          <c:order val="1"/>
          <c:tx>
            <c:strRef>
              <c:f>Sector1!$D$59:$E$59</c:f>
              <c:strCache>
                <c:ptCount val="1"/>
                <c:pt idx="0">
                  <c:v>GVT Subsidies (D.3p = D.31p+D.39p)</c:v>
                </c:pt>
              </c:strCache>
            </c:strRef>
          </c:tx>
          <c:spPr>
            <a:ln w="25400">
              <a:solidFill>
                <a:srgbClr val="FF0000"/>
              </a:solidFill>
              <a:prstDash val="solid"/>
            </a:ln>
          </c:spPr>
          <c:marker>
            <c:symbol val="circle"/>
            <c:size val="5"/>
            <c:spPr>
              <a:solidFill>
                <a:srgbClr val="FFFFFF"/>
              </a:solidFill>
              <a:ln>
                <a:solidFill>
                  <a:srgbClr val="FF0000"/>
                </a:solidFill>
                <a:prstDash val="solid"/>
              </a:ln>
            </c:spPr>
          </c:marker>
          <c:val>
            <c:numRef>
              <c:f>Sector1!$G$59:$AC$59</c:f>
              <c:numCache>
                <c:formatCode>0.0</c:formatCode>
                <c:ptCount val="12"/>
                <c:pt idx="0">
                  <c:v>14.207110609480832</c:v>
                </c:pt>
                <c:pt idx="1">
                  <c:v>57.8567016676961</c:v>
                </c:pt>
                <c:pt idx="2">
                  <c:v>-13.589231912978839</c:v>
                </c:pt>
                <c:pt idx="3">
                  <c:v>-22.821952544828839</c:v>
                </c:pt>
                <c:pt idx="4">
                  <c:v>-19.038957991081908</c:v>
                </c:pt>
                <c:pt idx="5">
                  <c:v>-11.174722806000437</c:v>
                </c:pt>
                <c:pt idx="6">
                  <c:v>-14.481520763645261</c:v>
                </c:pt>
                <c:pt idx="7">
                  <c:v>10.312917382178966</c:v>
                </c:pt>
                <c:pt idx="8">
                  <c:v>2.6896134221222834</c:v>
                </c:pt>
                <c:pt idx="9">
                  <c:v>24.279939363314806</c:v>
                </c:pt>
                <c:pt idx="10">
                  <c:v>10.069797384292212</c:v>
                </c:pt>
                <c:pt idx="11">
                  <c:v>-2.225574093455629</c:v>
                </c:pt>
              </c:numCache>
            </c:numRef>
          </c:val>
          <c:smooth val="0"/>
        </c:ser>
        <c:dLbls>
          <c:showLegendKey val="0"/>
          <c:showVal val="0"/>
          <c:showCatName val="0"/>
          <c:showSerName val="0"/>
          <c:showPercent val="0"/>
          <c:showBubbleSize val="0"/>
        </c:dLbls>
        <c:marker val="1"/>
        <c:smooth val="0"/>
        <c:axId val="315808384"/>
        <c:axId val="315888384"/>
      </c:lineChart>
      <c:catAx>
        <c:axId val="315808384"/>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15888384"/>
        <c:crosses val="autoZero"/>
        <c:auto val="1"/>
        <c:lblAlgn val="ctr"/>
        <c:lblOffset val="100"/>
        <c:tickLblSkip val="2"/>
        <c:tickMarkSkip val="1"/>
        <c:noMultiLvlLbl val="0"/>
      </c:catAx>
      <c:valAx>
        <c:axId val="315888384"/>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15808384"/>
        <c:crosses val="autoZero"/>
        <c:crossBetween val="midCat"/>
      </c:valAx>
      <c:spPr>
        <a:noFill/>
        <a:ln w="12700">
          <a:solidFill>
            <a:srgbClr val="808080"/>
          </a:solidFill>
          <a:prstDash val="solid"/>
        </a:ln>
      </c:spPr>
    </c:plotArea>
    <c:legend>
      <c:legendPos val="r"/>
      <c:layout>
        <c:manualLayout>
          <c:xMode val="edge"/>
          <c:yMode val="edge"/>
          <c:x val="0.15625023434570678"/>
          <c:y val="0.91316761875353814"/>
          <c:w val="0.72098284589426309"/>
          <c:h val="6.722718483718948E-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9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Subsidies as % of GDP</a:t>
            </a:r>
          </a:p>
        </c:rich>
      </c:tx>
      <c:layout>
        <c:manualLayout>
          <c:xMode val="edge"/>
          <c:yMode val="edge"/>
          <c:x val="0.33928618297712781"/>
          <c:y val="3.3613445378151259E-2"/>
        </c:manualLayout>
      </c:layout>
      <c:overlay val="0"/>
      <c:spPr>
        <a:noFill/>
        <a:ln w="25400">
          <a:noFill/>
        </a:ln>
      </c:spPr>
    </c:title>
    <c:autoTitleDeleted val="0"/>
    <c:plotArea>
      <c:layout>
        <c:manualLayout>
          <c:layoutTarget val="inner"/>
          <c:xMode val="edge"/>
          <c:yMode val="edge"/>
          <c:x val="0.1272322815293247"/>
          <c:y val="0.17647107096647127"/>
          <c:w val="0.80580444968572307"/>
          <c:h val="0.61904931243793893"/>
        </c:manualLayout>
      </c:layout>
      <c:lineChart>
        <c:grouping val="standard"/>
        <c:varyColors val="0"/>
        <c:ser>
          <c:idx val="0"/>
          <c:order val="0"/>
          <c:tx>
            <c:strRef>
              <c:f>Sector1!$D$67:$E$67</c:f>
              <c:strCache>
                <c:ptCount val="1"/>
                <c:pt idx="0">
                  <c:v>GVT Subsidies (D.3p = D.31p+D.39p)</c:v>
                </c:pt>
              </c:strCache>
            </c:strRef>
          </c:tx>
          <c:spPr>
            <a:ln w="25400">
              <a:solidFill>
                <a:srgbClr val="FF0000"/>
              </a:solidFill>
              <a:prstDash val="solid"/>
            </a:ln>
          </c:spPr>
          <c:marker>
            <c:symbol val="circle"/>
            <c:size val="7"/>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Sector1!$G$67:$AC$67</c:f>
              <c:numCache>
                <c:formatCode>0.0%</c:formatCode>
                <c:ptCount val="12"/>
                <c:pt idx="0">
                  <c:v>6.723650888443876E-3</c:v>
                </c:pt>
                <c:pt idx="1">
                  <c:v>8.8004198251692631E-3</c:v>
                </c:pt>
                <c:pt idx="2">
                  <c:v>6.7542851969704196E-3</c:v>
                </c:pt>
                <c:pt idx="3">
                  <c:v>6.3278685359694263E-3</c:v>
                </c:pt>
                <c:pt idx="4">
                  <c:v>4.9233507185401848E-3</c:v>
                </c:pt>
                <c:pt idx="5">
                  <c:v>3.9190646170846532E-3</c:v>
                </c:pt>
                <c:pt idx="6">
                  <c:v>3.1431717427600897E-3</c:v>
                </c:pt>
                <c:pt idx="7">
                  <c:v>3.3075273922936869E-3</c:v>
                </c:pt>
                <c:pt idx="8">
                  <c:v>3.2470764279862218E-3</c:v>
                </c:pt>
                <c:pt idx="9">
                  <c:v>3.9429165505505308E-3</c:v>
                </c:pt>
                <c:pt idx="10">
                  <c:v>4.2005962503672261E-3</c:v>
                </c:pt>
                <c:pt idx="11">
                  <c:v>3.801257537537702E-3</c:v>
                </c:pt>
              </c:numCache>
            </c:numRef>
          </c:val>
          <c:smooth val="0"/>
        </c:ser>
        <c:dLbls>
          <c:showLegendKey val="0"/>
          <c:showVal val="0"/>
          <c:showCatName val="0"/>
          <c:showSerName val="0"/>
          <c:showPercent val="0"/>
          <c:showBubbleSize val="0"/>
        </c:dLbls>
        <c:marker val="1"/>
        <c:smooth val="0"/>
        <c:axId val="315929344"/>
        <c:axId val="315931264"/>
      </c:lineChart>
      <c:catAx>
        <c:axId val="315929344"/>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15931264"/>
        <c:crosses val="autoZero"/>
        <c:auto val="1"/>
        <c:lblAlgn val="ctr"/>
        <c:lblOffset val="100"/>
        <c:tickLblSkip val="2"/>
        <c:tickMarkSkip val="1"/>
        <c:noMultiLvlLbl val="0"/>
      </c:catAx>
      <c:valAx>
        <c:axId val="315931264"/>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15929344"/>
        <c:crosses val="autoZero"/>
        <c:crossBetween val="midCat"/>
      </c:valAx>
      <c:spPr>
        <a:noFill/>
        <a:ln w="12700">
          <a:solidFill>
            <a:srgbClr val="808080"/>
          </a:solidFill>
          <a:prstDash val="solid"/>
        </a:ln>
      </c:spPr>
    </c:plotArea>
    <c:legend>
      <c:legendPos val="r"/>
      <c:layout>
        <c:manualLayout>
          <c:xMode val="edge"/>
          <c:yMode val="edge"/>
          <c:x val="0.23883952005999248"/>
          <c:y val="0.91316761875353814"/>
          <c:w val="0.58035784589426309"/>
          <c:h val="6.722718483718948E-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Gross value added and its components</a:t>
            </a:r>
          </a:p>
        </c:rich>
      </c:tx>
      <c:layout>
        <c:manualLayout>
          <c:xMode val="edge"/>
          <c:yMode val="edge"/>
          <c:x val="0.22321452005999248"/>
          <c:y val="3.3613445378151259E-2"/>
        </c:manualLayout>
      </c:layout>
      <c:overlay val="0"/>
      <c:spPr>
        <a:noFill/>
        <a:ln w="25400">
          <a:noFill/>
        </a:ln>
      </c:spPr>
    </c:title>
    <c:autoTitleDeleted val="0"/>
    <c:plotArea>
      <c:layout>
        <c:manualLayout>
          <c:layoutTarget val="inner"/>
          <c:xMode val="edge"/>
          <c:yMode val="edge"/>
          <c:x val="0.10044653804946686"/>
          <c:y val="0.17366994285589235"/>
          <c:w val="0.83259019316558092"/>
          <c:h val="0.44537936958204655"/>
        </c:manualLayout>
      </c:layout>
      <c:lineChart>
        <c:grouping val="standard"/>
        <c:varyColors val="0"/>
        <c:ser>
          <c:idx val="1"/>
          <c:order val="0"/>
          <c:tx>
            <c:strRef>
              <c:f>Sector1!$D$95:$E$95</c:f>
              <c:strCache>
                <c:ptCount val="1"/>
                <c:pt idx="0">
                  <c:v>GVT Gross value added (B.1g-D.21+D.31)</c:v>
                </c:pt>
              </c:strCache>
            </c:strRef>
          </c:tx>
          <c:spPr>
            <a:ln w="25400">
              <a:solidFill>
                <a:srgbClr val="FF0000"/>
              </a:solidFill>
              <a:prstDash val="solid"/>
            </a:ln>
          </c:spPr>
          <c:marker>
            <c:symbol val="circle"/>
            <c:size val="5"/>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Sector1!$G$95:$AC$95</c:f>
              <c:numCache>
                <c:formatCode>0.0</c:formatCode>
                <c:ptCount val="12"/>
                <c:pt idx="0">
                  <c:v>14.329361152800345</c:v>
                </c:pt>
                <c:pt idx="1">
                  <c:v>19.981981882497578</c:v>
                </c:pt>
                <c:pt idx="2">
                  <c:v>12.550418959599629</c:v>
                </c:pt>
                <c:pt idx="3">
                  <c:v>-17.202677687065503</c:v>
                </c:pt>
                <c:pt idx="4">
                  <c:v>3.7422902376754941</c:v>
                </c:pt>
                <c:pt idx="5">
                  <c:v>11.703051398764375</c:v>
                </c:pt>
                <c:pt idx="6">
                  <c:v>7.1203683514878824</c:v>
                </c:pt>
                <c:pt idx="7">
                  <c:v>5.0552359079149678</c:v>
                </c:pt>
                <c:pt idx="8">
                  <c:v>4.3471016797685724</c:v>
                </c:pt>
                <c:pt idx="9">
                  <c:v>1.9398699878552028</c:v>
                </c:pt>
                <c:pt idx="10">
                  <c:v>3.2045305206449992</c:v>
                </c:pt>
                <c:pt idx="11">
                  <c:v>8.0494702835952392</c:v>
                </c:pt>
              </c:numCache>
            </c:numRef>
          </c:val>
          <c:smooth val="0"/>
        </c:ser>
        <c:ser>
          <c:idx val="0"/>
          <c:order val="1"/>
          <c:tx>
            <c:strRef>
              <c:f>Sector1!$D$92:$E$92</c:f>
              <c:strCache>
                <c:ptCount val="1"/>
                <c:pt idx="0">
                  <c:v>HH Gross value added (B.1g-D.21+D.31)</c:v>
                </c:pt>
              </c:strCache>
            </c:strRef>
          </c:tx>
          <c:spPr>
            <a:ln w="25400">
              <a:solidFill>
                <a:srgbClr val="0000FF"/>
              </a:solidFill>
              <a:prstDash val="solid"/>
            </a:ln>
          </c:spPr>
          <c:marker>
            <c:symbol val="circle"/>
            <c:size val="5"/>
            <c:spPr>
              <a:solidFill>
                <a:srgbClr val="FFFFFF"/>
              </a:solidFill>
              <a:ln>
                <a:solidFill>
                  <a:srgbClr val="0000FF"/>
                </a:solidFill>
                <a:prstDash val="solid"/>
              </a:ln>
            </c:spPr>
          </c:marker>
          <c:val>
            <c:numRef>
              <c:f>Sector1!$G$92:$AC$92</c:f>
              <c:numCache>
                <c:formatCode>0.0</c:formatCode>
                <c:ptCount val="12"/>
                <c:pt idx="0">
                  <c:v>7.2836406749649418</c:v>
                </c:pt>
                <c:pt idx="1">
                  <c:v>11.868955010272163</c:v>
                </c:pt>
                <c:pt idx="2">
                  <c:v>7.3791210775286054</c:v>
                </c:pt>
                <c:pt idx="3">
                  <c:v>-19.904110148422681</c:v>
                </c:pt>
                <c:pt idx="4">
                  <c:v>-7.0634701662628085</c:v>
                </c:pt>
                <c:pt idx="5">
                  <c:v>6.5038158085803266</c:v>
                </c:pt>
                <c:pt idx="6">
                  <c:v>12.635964247841237</c:v>
                </c:pt>
                <c:pt idx="7">
                  <c:v>4.3144006133071455</c:v>
                </c:pt>
                <c:pt idx="8">
                  <c:v>3.6965502302768849</c:v>
                </c:pt>
                <c:pt idx="9">
                  <c:v>6.1748841789575293</c:v>
                </c:pt>
                <c:pt idx="10">
                  <c:v>0.10188308038223681</c:v>
                </c:pt>
                <c:pt idx="11">
                  <c:v>0.78441839516136813</c:v>
                </c:pt>
              </c:numCache>
            </c:numRef>
          </c:val>
          <c:smooth val="0"/>
        </c:ser>
        <c:ser>
          <c:idx val="2"/>
          <c:order val="2"/>
          <c:tx>
            <c:strRef>
              <c:f>Sector1!$D$93:$E$93</c:f>
              <c:strCache>
                <c:ptCount val="1"/>
                <c:pt idx="0">
                  <c:v>E Gross value added (B.1g-D.21+D.31)</c:v>
                </c:pt>
              </c:strCache>
            </c:strRef>
          </c:tx>
          <c:spPr>
            <a:ln w="25400">
              <a:solidFill>
                <a:srgbClr val="993366"/>
              </a:solidFill>
              <a:prstDash val="solid"/>
            </a:ln>
          </c:spPr>
          <c:marker>
            <c:symbol val="circle"/>
            <c:size val="5"/>
            <c:spPr>
              <a:solidFill>
                <a:srgbClr val="FFFFFF"/>
              </a:solidFill>
              <a:ln>
                <a:solidFill>
                  <a:srgbClr val="993366"/>
                </a:solidFill>
                <a:prstDash val="solid"/>
              </a:ln>
            </c:spPr>
          </c:marker>
          <c:val>
            <c:numRef>
              <c:f>Sector1!$G$93:$AC$93</c:f>
              <c:numCache>
                <c:formatCode>0.0</c:formatCode>
                <c:ptCount val="12"/>
                <c:pt idx="0">
                  <c:v>15.83202055580195</c:v>
                </c:pt>
                <c:pt idx="1">
                  <c:v>23.142836582295125</c:v>
                </c:pt>
                <c:pt idx="2">
                  <c:v>11.988434676455629</c:v>
                </c:pt>
                <c:pt idx="3">
                  <c:v>-19.88210698458429</c:v>
                </c:pt>
                <c:pt idx="4">
                  <c:v>8.9558223092766944</c:v>
                </c:pt>
                <c:pt idx="5">
                  <c:v>13.910758707831894</c:v>
                </c:pt>
                <c:pt idx="6">
                  <c:v>7.0042035235262201</c:v>
                </c:pt>
                <c:pt idx="7">
                  <c:v>5.4587322934162463</c:v>
                </c:pt>
                <c:pt idx="8">
                  <c:v>4.5283616170166185</c:v>
                </c:pt>
                <c:pt idx="9">
                  <c:v>0.93081214737402718</c:v>
                </c:pt>
                <c:pt idx="10">
                  <c:v>3.393782634858411</c:v>
                </c:pt>
                <c:pt idx="11">
                  <c:v>9.879529186306435</c:v>
                </c:pt>
              </c:numCache>
            </c:numRef>
          </c:val>
          <c:smooth val="0"/>
        </c:ser>
        <c:ser>
          <c:idx val="3"/>
          <c:order val="3"/>
          <c:tx>
            <c:strRef>
              <c:f>Sector1!$D$94:$E$94</c:f>
              <c:strCache>
                <c:ptCount val="1"/>
                <c:pt idx="0">
                  <c:v>GVT Gross value added (B.1g-D.21+D.31)</c:v>
                </c:pt>
              </c:strCache>
            </c:strRef>
          </c:tx>
          <c:spPr>
            <a:ln w="25400">
              <a:solidFill>
                <a:srgbClr val="008000"/>
              </a:solidFill>
              <a:prstDash val="solid"/>
            </a:ln>
          </c:spPr>
          <c:marker>
            <c:symbol val="circle"/>
            <c:size val="5"/>
            <c:spPr>
              <a:solidFill>
                <a:srgbClr val="FFFFFF"/>
              </a:solidFill>
              <a:ln>
                <a:solidFill>
                  <a:srgbClr val="008000"/>
                </a:solidFill>
                <a:prstDash val="solid"/>
              </a:ln>
            </c:spPr>
          </c:marker>
          <c:val>
            <c:numRef>
              <c:f>Sector1!$G$94:$AC$94</c:f>
              <c:numCache>
                <c:formatCode>0.0</c:formatCode>
                <c:ptCount val="12"/>
                <c:pt idx="0">
                  <c:v>15.479960928250058</c:v>
                </c:pt>
                <c:pt idx="1">
                  <c:v>13.650956393579182</c:v>
                </c:pt>
                <c:pt idx="2">
                  <c:v>21.158053203125892</c:v>
                </c:pt>
                <c:pt idx="3">
                  <c:v>-1.5629399186070536</c:v>
                </c:pt>
                <c:pt idx="4">
                  <c:v>-8.3642595437891547</c:v>
                </c:pt>
                <c:pt idx="5">
                  <c:v>5.4748300723562959</c:v>
                </c:pt>
                <c:pt idx="6">
                  <c:v>3.2583415058854648</c:v>
                </c:pt>
                <c:pt idx="7">
                  <c:v>3.5832709634022519</c:v>
                </c:pt>
                <c:pt idx="8">
                  <c:v>3.9527508283010215</c:v>
                </c:pt>
                <c:pt idx="9">
                  <c:v>3.6317604722982511</c:v>
                </c:pt>
                <c:pt idx="10">
                  <c:v>5.0227215322866448</c:v>
                </c:pt>
                <c:pt idx="11">
                  <c:v>4.8687574797672495</c:v>
                </c:pt>
              </c:numCache>
            </c:numRef>
          </c:val>
          <c:smooth val="0"/>
        </c:ser>
        <c:dLbls>
          <c:showLegendKey val="0"/>
          <c:showVal val="0"/>
          <c:showCatName val="0"/>
          <c:showSerName val="0"/>
          <c:showPercent val="0"/>
          <c:showBubbleSize val="0"/>
        </c:dLbls>
        <c:marker val="1"/>
        <c:smooth val="0"/>
        <c:axId val="316109568"/>
        <c:axId val="316111488"/>
      </c:lineChart>
      <c:catAx>
        <c:axId val="316109568"/>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16111488"/>
        <c:crosses val="autoZero"/>
        <c:auto val="1"/>
        <c:lblAlgn val="ctr"/>
        <c:lblOffset val="100"/>
        <c:tickLblSkip val="2"/>
        <c:tickMarkSkip val="1"/>
        <c:noMultiLvlLbl val="0"/>
      </c:catAx>
      <c:valAx>
        <c:axId val="316111488"/>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16109568"/>
        <c:crosses val="autoZero"/>
        <c:crossBetween val="midCat"/>
      </c:valAx>
      <c:spPr>
        <a:noFill/>
        <a:ln w="12700">
          <a:solidFill>
            <a:srgbClr val="808080"/>
          </a:solidFill>
          <a:prstDash val="solid"/>
        </a:ln>
      </c:spPr>
    </c:plotArea>
    <c:legend>
      <c:legendPos val="r"/>
      <c:layout>
        <c:manualLayout>
          <c:xMode val="edge"/>
          <c:yMode val="edge"/>
          <c:x val="0.12053594863142106"/>
          <c:y val="0.73669673643735711"/>
          <c:w val="0.75000070303712041"/>
          <c:h val="0.24649918760154976"/>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Government compensation of employees as % of GVA</a:t>
            </a:r>
          </a:p>
        </c:rich>
      </c:tx>
      <c:layout>
        <c:manualLayout>
          <c:xMode val="edge"/>
          <c:yMode val="edge"/>
          <c:x val="0.11607166291713535"/>
          <c:y val="3.3613445378151259E-2"/>
        </c:manualLayout>
      </c:layout>
      <c:overlay val="0"/>
      <c:spPr>
        <a:noFill/>
        <a:ln w="25400">
          <a:noFill/>
        </a:ln>
      </c:spPr>
    </c:title>
    <c:autoTitleDeleted val="0"/>
    <c:plotArea>
      <c:layout>
        <c:manualLayout>
          <c:layoutTarget val="inner"/>
          <c:xMode val="edge"/>
          <c:yMode val="edge"/>
          <c:x val="0.14285729855924176"/>
          <c:y val="0.17366994285589235"/>
          <c:w val="0.79017943265580604"/>
          <c:h val="0.62465156865909666"/>
        </c:manualLayout>
      </c:layout>
      <c:lineChart>
        <c:grouping val="standard"/>
        <c:varyColors val="0"/>
        <c:ser>
          <c:idx val="2"/>
          <c:order val="0"/>
          <c:tx>
            <c:strRef>
              <c:f>Sector1!$E$86</c:f>
              <c:strCache>
                <c:ptCount val="1"/>
                <c:pt idx="0">
                  <c:v>Compensation of employees (D.1p) </c:v>
                </c:pt>
              </c:strCache>
            </c:strRef>
          </c:tx>
          <c:spPr>
            <a:ln w="25400">
              <a:solidFill>
                <a:srgbClr val="008000"/>
              </a:solidFill>
              <a:prstDash val="solid"/>
            </a:ln>
          </c:spPr>
          <c:marker>
            <c:symbol val="circle"/>
            <c:size val="7"/>
            <c:spPr>
              <a:solidFill>
                <a:srgbClr val="FFFFFF"/>
              </a:solidFill>
              <a:ln>
                <a:solidFill>
                  <a:srgbClr val="008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Sector1!$G$86:$AC$86</c:f>
              <c:numCache>
                <c:formatCode>0.0%</c:formatCode>
                <c:ptCount val="12"/>
                <c:pt idx="0">
                  <c:v>0.80247669091025609</c:v>
                </c:pt>
                <c:pt idx="1">
                  <c:v>0.79908433789284961</c:v>
                </c:pt>
                <c:pt idx="2">
                  <c:v>0.80876381853422896</c:v>
                </c:pt>
                <c:pt idx="3">
                  <c:v>0.80611275262971283</c:v>
                </c:pt>
                <c:pt idx="4">
                  <c:v>0.78904208530561182</c:v>
                </c:pt>
                <c:pt idx="5">
                  <c:v>0.78195549403383313</c:v>
                </c:pt>
                <c:pt idx="6">
                  <c:v>0.76776832491734004</c:v>
                </c:pt>
                <c:pt idx="7">
                  <c:v>0.76335170953557985</c:v>
                </c:pt>
                <c:pt idx="8">
                  <c:v>0.7615347052975181</c:v>
                </c:pt>
                <c:pt idx="9">
                  <c:v>0.76523276570184151</c:v>
                </c:pt>
                <c:pt idx="10">
                  <c:v>0.76845734565069335</c:v>
                </c:pt>
                <c:pt idx="11">
                  <c:v>0.77125138594673559</c:v>
                </c:pt>
              </c:numCache>
            </c:numRef>
          </c:val>
          <c:smooth val="0"/>
        </c:ser>
        <c:dLbls>
          <c:showLegendKey val="0"/>
          <c:showVal val="0"/>
          <c:showCatName val="0"/>
          <c:showSerName val="0"/>
          <c:showPercent val="0"/>
          <c:showBubbleSize val="0"/>
        </c:dLbls>
        <c:marker val="1"/>
        <c:smooth val="0"/>
        <c:axId val="316139776"/>
        <c:axId val="317022592"/>
      </c:lineChart>
      <c:catAx>
        <c:axId val="316139776"/>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17022592"/>
        <c:crosses val="autoZero"/>
        <c:auto val="1"/>
        <c:lblAlgn val="ctr"/>
        <c:lblOffset val="100"/>
        <c:tickLblSkip val="2"/>
        <c:tickMarkSkip val="1"/>
        <c:noMultiLvlLbl val="0"/>
      </c:catAx>
      <c:valAx>
        <c:axId val="317022592"/>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16139776"/>
        <c:crosses val="autoZero"/>
        <c:crossBetween val="midCat"/>
      </c:valAx>
      <c:spPr>
        <a:noFill/>
        <a:ln w="12700">
          <a:solidFill>
            <a:srgbClr val="808080"/>
          </a:solidFill>
          <a:prstDash val="solid"/>
        </a:ln>
      </c:spPr>
    </c:plotArea>
    <c:legend>
      <c:legendPos val="r"/>
      <c:layout>
        <c:manualLayout>
          <c:xMode val="edge"/>
          <c:yMode val="edge"/>
          <c:x val="0.18080380577427821"/>
          <c:y val="0.91316761875353814"/>
          <c:w val="0.6718757030371203"/>
          <c:h val="6.722718483718948E-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Corporate compensation of employees as % of GVA</a:t>
            </a:r>
          </a:p>
        </c:rich>
      </c:tx>
      <c:layout>
        <c:manualLayout>
          <c:xMode val="edge"/>
          <c:yMode val="edge"/>
          <c:x val="0.13392880577427821"/>
          <c:y val="3.3613445378151259E-2"/>
        </c:manualLayout>
      </c:layout>
      <c:overlay val="0"/>
      <c:spPr>
        <a:noFill/>
        <a:ln w="25400">
          <a:noFill/>
        </a:ln>
      </c:spPr>
    </c:title>
    <c:autoTitleDeleted val="0"/>
    <c:plotArea>
      <c:layout>
        <c:manualLayout>
          <c:layoutTarget val="inner"/>
          <c:xMode val="edge"/>
          <c:yMode val="edge"/>
          <c:x val="0.14285729855924176"/>
          <c:y val="0.17366994285589235"/>
          <c:w val="0.79017943265580604"/>
          <c:h val="0.62465156865909666"/>
        </c:manualLayout>
      </c:layout>
      <c:lineChart>
        <c:grouping val="standard"/>
        <c:varyColors val="0"/>
        <c:ser>
          <c:idx val="2"/>
          <c:order val="0"/>
          <c:tx>
            <c:strRef>
              <c:f>Sector1!$E$81</c:f>
              <c:strCache>
                <c:ptCount val="1"/>
                <c:pt idx="0">
                  <c:v>Compensation of employees (D.1p) </c:v>
                </c:pt>
              </c:strCache>
            </c:strRef>
          </c:tx>
          <c:spPr>
            <a:ln w="25400">
              <a:solidFill>
                <a:srgbClr val="993366"/>
              </a:solidFill>
              <a:prstDash val="solid"/>
            </a:ln>
          </c:spPr>
          <c:marker>
            <c:symbol val="circle"/>
            <c:size val="7"/>
            <c:spPr>
              <a:solidFill>
                <a:srgbClr val="FFFFFF"/>
              </a:solidFill>
              <a:ln>
                <a:solidFill>
                  <a:srgbClr val="993366"/>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Sector1!$G$81:$AC$81</c:f>
              <c:numCache>
                <c:formatCode>0.0%</c:formatCode>
                <c:ptCount val="12"/>
                <c:pt idx="0">
                  <c:v>0.47749736084437144</c:v>
                </c:pt>
                <c:pt idx="1">
                  <c:v>0.46968123519285271</c:v>
                </c:pt>
                <c:pt idx="2">
                  <c:v>0.48440069454717277</c:v>
                </c:pt>
                <c:pt idx="3">
                  <c:v>0.47889231011922656</c:v>
                </c:pt>
                <c:pt idx="4">
                  <c:v>0.43600856853290748</c:v>
                </c:pt>
                <c:pt idx="5">
                  <c:v>0.41534336639116598</c:v>
                </c:pt>
                <c:pt idx="6">
                  <c:v>0.41733793045732631</c:v>
                </c:pt>
                <c:pt idx="7">
                  <c:v>0.42324623528929911</c:v>
                </c:pt>
                <c:pt idx="8">
                  <c:v>0.43544008577920668</c:v>
                </c:pt>
                <c:pt idx="9">
                  <c:v>0.46608765067841684</c:v>
                </c:pt>
                <c:pt idx="10">
                  <c:v>0.49427786499829079</c:v>
                </c:pt>
                <c:pt idx="11">
                  <c:v>0.4957235332392485</c:v>
                </c:pt>
              </c:numCache>
            </c:numRef>
          </c:val>
          <c:smooth val="0"/>
        </c:ser>
        <c:dLbls>
          <c:showLegendKey val="0"/>
          <c:showVal val="0"/>
          <c:showCatName val="0"/>
          <c:showSerName val="0"/>
          <c:showPercent val="0"/>
          <c:showBubbleSize val="0"/>
        </c:dLbls>
        <c:marker val="1"/>
        <c:smooth val="0"/>
        <c:axId val="317059072"/>
        <c:axId val="317060992"/>
      </c:lineChart>
      <c:catAx>
        <c:axId val="317059072"/>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17060992"/>
        <c:crosses val="autoZero"/>
        <c:auto val="1"/>
        <c:lblAlgn val="ctr"/>
        <c:lblOffset val="100"/>
        <c:tickLblSkip val="2"/>
        <c:tickMarkSkip val="1"/>
        <c:noMultiLvlLbl val="0"/>
      </c:catAx>
      <c:valAx>
        <c:axId val="317060992"/>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17059072"/>
        <c:crosses val="autoZero"/>
        <c:crossBetween val="midCat"/>
      </c:valAx>
      <c:spPr>
        <a:noFill/>
        <a:ln w="12700">
          <a:solidFill>
            <a:srgbClr val="808080"/>
          </a:solidFill>
          <a:prstDash val="solid"/>
        </a:ln>
      </c:spPr>
    </c:plotArea>
    <c:legend>
      <c:legendPos val="r"/>
      <c:layout>
        <c:manualLayout>
          <c:xMode val="edge"/>
          <c:yMode val="edge"/>
          <c:x val="0.19642880577427821"/>
          <c:y val="0.91596903328260437"/>
          <c:w val="0.6629471316085489"/>
          <c:h val="6.722718483718948E-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Household compensation of employees as % of GVA</a:t>
            </a:r>
          </a:p>
        </c:rich>
      </c:tx>
      <c:layout>
        <c:manualLayout>
          <c:xMode val="edge"/>
          <c:yMode val="edge"/>
          <c:x val="0.12946452005999248"/>
          <c:y val="3.3613445378151259E-2"/>
        </c:manualLayout>
      </c:layout>
      <c:overlay val="0"/>
      <c:spPr>
        <a:noFill/>
        <a:ln w="25400">
          <a:noFill/>
        </a:ln>
      </c:spPr>
    </c:title>
    <c:autoTitleDeleted val="0"/>
    <c:plotArea>
      <c:layout>
        <c:manualLayout>
          <c:layoutTarget val="inner"/>
          <c:xMode val="edge"/>
          <c:yMode val="edge"/>
          <c:x val="0.14285729855924176"/>
          <c:y val="0.17647107096647127"/>
          <c:w val="0.79017943265580604"/>
          <c:h val="0.61904931243793893"/>
        </c:manualLayout>
      </c:layout>
      <c:lineChart>
        <c:grouping val="standard"/>
        <c:varyColors val="0"/>
        <c:ser>
          <c:idx val="2"/>
          <c:order val="0"/>
          <c:tx>
            <c:strRef>
              <c:f>Sector1!$E$76</c:f>
              <c:strCache>
                <c:ptCount val="1"/>
                <c:pt idx="0">
                  <c:v>Compensation of employees (D.1p) </c:v>
                </c:pt>
              </c:strCache>
            </c:strRef>
          </c:tx>
          <c:spPr>
            <a:ln w="25400">
              <a:solidFill>
                <a:srgbClr val="0000FF"/>
              </a:solidFill>
              <a:prstDash val="solid"/>
            </a:ln>
          </c:spPr>
          <c:marker>
            <c:symbol val="circle"/>
            <c:size val="7"/>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Sector1!$G$76:$AC$76</c:f>
              <c:numCache>
                <c:formatCode>0.0%</c:formatCode>
                <c:ptCount val="12"/>
                <c:pt idx="0">
                  <c:v>0.15583954664019761</c:v>
                </c:pt>
                <c:pt idx="1">
                  <c:v>0.18848754971601903</c:v>
                </c:pt>
                <c:pt idx="2">
                  <c:v>0.18277201419131373</c:v>
                </c:pt>
                <c:pt idx="3">
                  <c:v>0.16601089225306492</c:v>
                </c:pt>
                <c:pt idx="4">
                  <c:v>0.14871811419997097</c:v>
                </c:pt>
                <c:pt idx="5">
                  <c:v>0.14294803817603394</c:v>
                </c:pt>
                <c:pt idx="6">
                  <c:v>0.12371050826485185</c:v>
                </c:pt>
                <c:pt idx="7">
                  <c:v>0.12476211596878754</c:v>
                </c:pt>
                <c:pt idx="8">
                  <c:v>0.12270937932852394</c:v>
                </c:pt>
                <c:pt idx="9">
                  <c:v>0.11862469552182874</c:v>
                </c:pt>
                <c:pt idx="10">
                  <c:v>0.11449127855964622</c:v>
                </c:pt>
                <c:pt idx="11">
                  <c:v>0.120984189428906</c:v>
                </c:pt>
              </c:numCache>
            </c:numRef>
          </c:val>
          <c:smooth val="0"/>
        </c:ser>
        <c:dLbls>
          <c:showLegendKey val="0"/>
          <c:showVal val="0"/>
          <c:showCatName val="0"/>
          <c:showSerName val="0"/>
          <c:showPercent val="0"/>
          <c:showBubbleSize val="0"/>
        </c:dLbls>
        <c:marker val="1"/>
        <c:smooth val="0"/>
        <c:axId val="317732352"/>
        <c:axId val="317734272"/>
      </c:lineChart>
      <c:catAx>
        <c:axId val="317732352"/>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17734272"/>
        <c:crosses val="autoZero"/>
        <c:auto val="1"/>
        <c:lblAlgn val="ctr"/>
        <c:lblOffset val="100"/>
        <c:tickLblSkip val="2"/>
        <c:tickMarkSkip val="1"/>
        <c:noMultiLvlLbl val="0"/>
      </c:catAx>
      <c:valAx>
        <c:axId val="317734272"/>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17732352"/>
        <c:crosses val="autoZero"/>
        <c:crossBetween val="midCat"/>
      </c:valAx>
      <c:spPr>
        <a:noFill/>
        <a:ln w="12700">
          <a:solidFill>
            <a:srgbClr val="808080"/>
          </a:solidFill>
          <a:prstDash val="solid"/>
        </a:ln>
      </c:spPr>
    </c:plotArea>
    <c:legend>
      <c:legendPos val="r"/>
      <c:layout>
        <c:manualLayout>
          <c:xMode val="edge"/>
          <c:yMode val="edge"/>
          <c:x val="0.25892880577427818"/>
          <c:y val="0.91316761875353814"/>
          <c:w val="0.55580427446569169"/>
          <c:h val="6.722718483718948E-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75" b="1" i="0" u="none" strike="noStrike" baseline="0">
                <a:solidFill>
                  <a:srgbClr val="000000"/>
                </a:solidFill>
                <a:latin typeface="Arial"/>
                <a:ea typeface="Arial"/>
                <a:cs typeface="Arial"/>
              </a:defRPr>
            </a:pPr>
            <a:r>
              <a:rPr lang="en-GB"/>
              <a:t>Social benefits (HH, received) and GDP</a:t>
            </a:r>
          </a:p>
        </c:rich>
      </c:tx>
      <c:layout>
        <c:manualLayout>
          <c:xMode val="edge"/>
          <c:yMode val="edge"/>
          <c:x val="0.25446452005999248"/>
          <c:y val="3.3613445378151259E-2"/>
        </c:manualLayout>
      </c:layout>
      <c:overlay val="0"/>
      <c:spPr>
        <a:noFill/>
        <a:ln w="25400">
          <a:noFill/>
        </a:ln>
      </c:spPr>
    </c:title>
    <c:autoTitleDeleted val="0"/>
    <c:plotArea>
      <c:layout>
        <c:manualLayout>
          <c:layoutTarget val="inner"/>
          <c:xMode val="edge"/>
          <c:yMode val="edge"/>
          <c:x val="0.10044653804946686"/>
          <c:y val="0.17366994285589235"/>
          <c:w val="0.83259019316558092"/>
          <c:h val="0.62185044054851779"/>
        </c:manualLayout>
      </c:layout>
      <c:lineChart>
        <c:grouping val="standard"/>
        <c:varyColors val="0"/>
        <c:ser>
          <c:idx val="0"/>
          <c:order val="0"/>
          <c:tx>
            <c:strRef>
              <c:f>Sector1!$D$302:$E$302</c:f>
              <c:strCache>
                <c:ptCount val="1"/>
                <c:pt idx="0">
                  <c:v>HH Social benefits (D.62r)</c:v>
                </c:pt>
              </c:strCache>
            </c:strRef>
          </c:tx>
          <c:spPr>
            <a:ln w="25400">
              <a:solidFill>
                <a:srgbClr val="FF0000"/>
              </a:solidFill>
              <a:prstDash val="solid"/>
            </a:ln>
          </c:spPr>
          <c:marker>
            <c:symbol val="diamond"/>
            <c:size val="5"/>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Sector1!$G$310:$AC$310</c:f>
              <c:numCache>
                <c:formatCode>0.0</c:formatCode>
                <c:ptCount val="12"/>
                <c:pt idx="0">
                  <c:v>13.033981399958638</c:v>
                </c:pt>
                <c:pt idx="1">
                  <c:v>26.632757299736088</c:v>
                </c:pt>
                <c:pt idx="2">
                  <c:v>33.085163237661796</c:v>
                </c:pt>
                <c:pt idx="3">
                  <c:v>13.844669561022682</c:v>
                </c:pt>
                <c:pt idx="4" formatCode="0.00">
                  <c:v>-7.7293903629425902</c:v>
                </c:pt>
                <c:pt idx="5" formatCode="0.00">
                  <c:v>-1.852283737939342</c:v>
                </c:pt>
                <c:pt idx="6" formatCode="0.00">
                  <c:v>1.4845118381245248</c:v>
                </c:pt>
                <c:pt idx="7" formatCode="0.00">
                  <c:v>-0.78836521634180201</c:v>
                </c:pt>
                <c:pt idx="8" formatCode="0.00">
                  <c:v>0.54086406867002168</c:v>
                </c:pt>
                <c:pt idx="9" formatCode="0.00">
                  <c:v>2.5295717659813421</c:v>
                </c:pt>
                <c:pt idx="10" formatCode="0.00">
                  <c:v>5.1755431511618211</c:v>
                </c:pt>
                <c:pt idx="11" formatCode="0.00">
                  <c:v>11.656976344945068</c:v>
                </c:pt>
              </c:numCache>
            </c:numRef>
          </c:val>
          <c:smooth val="0"/>
        </c:ser>
        <c:ser>
          <c:idx val="1"/>
          <c:order val="1"/>
          <c:tx>
            <c:strRef>
              <c:f>'VVP2'!$E$348</c:f>
              <c:strCache>
                <c:ptCount val="1"/>
                <c:pt idx="0">
                  <c:v>GDP</c:v>
                </c:pt>
              </c:strCache>
            </c:strRef>
          </c:tx>
          <c:spPr>
            <a:ln w="25400">
              <a:solidFill>
                <a:srgbClr val="0000FF"/>
              </a:solidFill>
              <a:prstDash val="solid"/>
            </a:ln>
          </c:spPr>
          <c:marker>
            <c:symbol val="circle"/>
            <c:size val="5"/>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'VVP2'!$G$348:$AA$348</c:f>
              <c:numCache>
                <c:formatCode>0.0</c:formatCode>
                <c:ptCount val="4"/>
                <c:pt idx="0">
                  <c:v>6.6287411287878184</c:v>
                </c:pt>
                <c:pt idx="1">
                  <c:v>4.8313146506227644</c:v>
                </c:pt>
                <c:pt idx="2">
                  <c:v>4.6013904601447608</c:v>
                </c:pt>
                <c:pt idx="3">
                  <c:v>2.3471981728427016</c:v>
                </c:pt>
              </c:numCache>
            </c:numRef>
          </c:val>
          <c:smooth val="0"/>
        </c:ser>
        <c:dLbls>
          <c:showLegendKey val="0"/>
          <c:showVal val="0"/>
          <c:showCatName val="0"/>
          <c:showSerName val="0"/>
          <c:showPercent val="0"/>
          <c:showBubbleSize val="0"/>
        </c:dLbls>
        <c:marker val="1"/>
        <c:smooth val="0"/>
        <c:axId val="317854848"/>
        <c:axId val="317856768"/>
      </c:lineChart>
      <c:catAx>
        <c:axId val="317854848"/>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317856768"/>
        <c:crosses val="autoZero"/>
        <c:auto val="1"/>
        <c:lblAlgn val="ctr"/>
        <c:lblOffset val="100"/>
        <c:tickLblSkip val="2"/>
        <c:tickMarkSkip val="1"/>
        <c:noMultiLvlLbl val="0"/>
      </c:catAx>
      <c:valAx>
        <c:axId val="317856768"/>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317854848"/>
        <c:crosses val="autoZero"/>
        <c:crossBetween val="midCat"/>
      </c:valAx>
      <c:spPr>
        <a:noFill/>
        <a:ln w="12700">
          <a:solidFill>
            <a:srgbClr val="808080"/>
          </a:solidFill>
          <a:prstDash val="solid"/>
        </a:ln>
      </c:spPr>
    </c:plotArea>
    <c:legend>
      <c:legendPos val="r"/>
      <c:layout>
        <c:manualLayout>
          <c:xMode val="edge"/>
          <c:yMode val="edge"/>
          <c:x val="0.23214309148856391"/>
          <c:y val="0.91316761875353814"/>
          <c:w val="0.5691971316085489"/>
          <c:h val="6.722718483718948E-2"/>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9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GB"/>
              <a:t>Social benefits (HH, received) as % of GDP</a:t>
            </a:r>
          </a:p>
        </c:rich>
      </c:tx>
      <c:layout>
        <c:manualLayout>
          <c:xMode val="edge"/>
          <c:yMode val="edge"/>
          <c:x val="0.19866094863142106"/>
          <c:y val="3.3613445378151259E-2"/>
        </c:manualLayout>
      </c:layout>
      <c:overlay val="0"/>
      <c:spPr>
        <a:noFill/>
        <a:ln w="25400">
          <a:noFill/>
        </a:ln>
      </c:spPr>
    </c:title>
    <c:autoTitleDeleted val="0"/>
    <c:plotArea>
      <c:layout>
        <c:manualLayout>
          <c:layoutTarget val="inner"/>
          <c:xMode val="edge"/>
          <c:yMode val="edge"/>
          <c:x val="0.14285729855924176"/>
          <c:y val="0.17647107096647127"/>
          <c:w val="0.79017943265580604"/>
          <c:h val="0.61904931243793893"/>
        </c:manualLayout>
      </c:layout>
      <c:lineChart>
        <c:grouping val="standard"/>
        <c:varyColors val="0"/>
        <c:ser>
          <c:idx val="0"/>
          <c:order val="0"/>
          <c:tx>
            <c:strRef>
              <c:f>Sector1!$D$317:$E$317</c:f>
              <c:strCache>
                <c:ptCount val="1"/>
                <c:pt idx="0">
                  <c:v>HH Social benefits (D.62r)</c:v>
                </c:pt>
              </c:strCache>
            </c:strRef>
          </c:tx>
          <c:spPr>
            <a:ln w="25400">
              <a:solidFill>
                <a:srgbClr val="FF0000"/>
              </a:solidFill>
              <a:prstDash val="solid"/>
            </a:ln>
          </c:spPr>
          <c:marker>
            <c:symbol val="circle"/>
            <c:size val="7"/>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Sector1!$G$317:$AC$317</c:f>
              <c:numCache>
                <c:formatCode>0.0%</c:formatCode>
                <c:ptCount val="12"/>
                <c:pt idx="0">
                  <c:v>9.7569767741260291E-2</c:v>
                </c:pt>
                <c:pt idx="1">
                  <c:v>0.10244636313362024</c:v>
                </c:pt>
                <c:pt idx="2">
                  <c:v>0.12109726244086481</c:v>
                </c:pt>
                <c:pt idx="3">
                  <c:v>0.1673521486313998</c:v>
                </c:pt>
                <c:pt idx="4">
                  <c:v>0.14839590604424341</c:v>
                </c:pt>
                <c:pt idx="5">
                  <c:v>0.13052304500801271</c:v>
                </c:pt>
                <c:pt idx="6">
                  <c:v>0.12422605168211565</c:v>
                </c:pt>
                <c:pt idx="7">
                  <c:v>0.11756668044445526</c:v>
                </c:pt>
                <c:pt idx="8">
                  <c:v>0.11300285383944773</c:v>
                </c:pt>
                <c:pt idx="9">
                  <c:v>0.11320421486209946</c:v>
                </c:pt>
                <c:pt idx="10">
                  <c:v>0.11523981388382014</c:v>
                </c:pt>
                <c:pt idx="11">
                  <c:v>0.1190911504243742</c:v>
                </c:pt>
              </c:numCache>
            </c:numRef>
          </c:val>
          <c:smooth val="0"/>
        </c:ser>
        <c:dLbls>
          <c:showLegendKey val="0"/>
          <c:showVal val="0"/>
          <c:showCatName val="0"/>
          <c:showSerName val="0"/>
          <c:showPercent val="0"/>
          <c:showBubbleSize val="0"/>
        </c:dLbls>
        <c:marker val="1"/>
        <c:smooth val="0"/>
        <c:axId val="317872768"/>
        <c:axId val="317907712"/>
      </c:lineChart>
      <c:catAx>
        <c:axId val="317872768"/>
        <c:scaling>
          <c:orientation val="minMax"/>
        </c:scaling>
        <c:delete val="0"/>
        <c:axPos val="b"/>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317907712"/>
        <c:crosses val="autoZero"/>
        <c:auto val="1"/>
        <c:lblAlgn val="ctr"/>
        <c:lblOffset val="100"/>
        <c:tickLblSkip val="2"/>
        <c:tickMarkSkip val="1"/>
        <c:noMultiLvlLbl val="0"/>
      </c:catAx>
      <c:valAx>
        <c:axId val="317907712"/>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317872768"/>
        <c:crosses val="autoZero"/>
        <c:crossBetween val="midCat"/>
      </c:valAx>
      <c:spPr>
        <a:noFill/>
        <a:ln w="12700">
          <a:solidFill>
            <a:srgbClr val="808080"/>
          </a:solidFill>
          <a:prstDash val="solid"/>
        </a:ln>
      </c:spPr>
    </c:plotArea>
    <c:legend>
      <c:legendPos val="r"/>
      <c:layout>
        <c:manualLayout>
          <c:xMode val="edge"/>
          <c:yMode val="edge"/>
          <c:x val="0.32366118297712781"/>
          <c:y val="0.91316761875353814"/>
          <c:w val="0.42857189726284212"/>
          <c:h val="6.722718483718948E-2"/>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GB"/>
              <a:t>Social benefits (HH, received) related to GDP</a:t>
            </a:r>
          </a:p>
        </c:rich>
      </c:tx>
      <c:layout>
        <c:manualLayout>
          <c:xMode val="edge"/>
          <c:yMode val="edge"/>
          <c:x val="0.17857166291713536"/>
          <c:y val="3.3613445378151259E-2"/>
        </c:manualLayout>
      </c:layout>
      <c:overlay val="0"/>
      <c:spPr>
        <a:noFill/>
        <a:ln w="25400">
          <a:noFill/>
        </a:ln>
      </c:spPr>
    </c:title>
    <c:autoTitleDeleted val="0"/>
    <c:plotArea>
      <c:layout>
        <c:manualLayout>
          <c:layoutTarget val="inner"/>
          <c:xMode val="edge"/>
          <c:yMode val="edge"/>
          <c:x val="5.8035777539691968E-2"/>
          <c:y val="0.17647107096647127"/>
          <c:w val="0.88616168012529661"/>
          <c:h val="0.61904931243793893"/>
        </c:manualLayout>
      </c:layout>
      <c:scatterChart>
        <c:scatterStyle val="lineMarker"/>
        <c:varyColors val="0"/>
        <c:ser>
          <c:idx val="0"/>
          <c:order val="0"/>
          <c:tx>
            <c:strRef>
              <c:f>Sector1!$D$310:$E$310</c:f>
              <c:strCache>
                <c:ptCount val="1"/>
                <c:pt idx="0">
                  <c:v>HH Social benefits (D.62r)</c:v>
                </c:pt>
              </c:strCache>
            </c:strRef>
          </c:tx>
          <c:spPr>
            <a:ln w="28575">
              <a:noFill/>
            </a:ln>
          </c:spPr>
          <c:marker>
            <c:symbol val="circle"/>
            <c:size val="7"/>
            <c:spPr>
              <a:solidFill>
                <a:srgbClr val="FFFFFF"/>
              </a:solidFill>
              <a:ln>
                <a:solidFill>
                  <a:srgbClr val="FF0000"/>
                </a:solidFill>
                <a:prstDash val="solid"/>
              </a:ln>
            </c:spPr>
          </c:marker>
          <c:dLbls>
            <c:dLbl>
              <c:idx val="1"/>
              <c:tx>
                <c:strRef>
                  <c:f>Sector1!$H$252</c:f>
                  <c:strCache>
                    <c:ptCount val="1"/>
                    <c:pt idx="0">
                      <c:v>1996</c:v>
                    </c:pt>
                  </c:strCache>
                </c:strRef>
              </c:tx>
              <c:showLegendKey val="0"/>
              <c:showVal val="0"/>
              <c:showCatName val="0"/>
              <c:showSerName val="0"/>
              <c:showPercent val="0"/>
              <c:showBubbleSize val="0"/>
            </c:dLbl>
            <c:dLbl>
              <c:idx val="2"/>
              <c:tx>
                <c:strRef>
                  <c:f>Sector1!$I$252</c:f>
                  <c:strCache>
                    <c:ptCount val="1"/>
                    <c:pt idx="0">
                      <c:v>1997</c:v>
                    </c:pt>
                  </c:strCache>
                </c:strRef>
              </c:tx>
              <c:showLegendKey val="0"/>
              <c:showVal val="0"/>
              <c:showCatName val="0"/>
              <c:showSerName val="0"/>
              <c:showPercent val="0"/>
              <c:showBubbleSize val="0"/>
            </c:dLbl>
            <c:dLbl>
              <c:idx val="3"/>
              <c:tx>
                <c:strRef>
                  <c:f>Sector1!$J$252</c:f>
                  <c:strCache>
                    <c:ptCount val="1"/>
                    <c:pt idx="0">
                      <c:v>1998</c:v>
                    </c:pt>
                  </c:strCache>
                </c:strRef>
              </c:tx>
              <c:showLegendKey val="0"/>
              <c:showVal val="0"/>
              <c:showCatName val="0"/>
              <c:showSerName val="0"/>
              <c:showPercent val="0"/>
              <c:showBubbleSize val="0"/>
            </c:dLbl>
            <c:dLbl>
              <c:idx val="4"/>
              <c:tx>
                <c:strRef>
                  <c:f>Sector1!$K$252</c:f>
                  <c:strCache>
                    <c:ptCount val="1"/>
                    <c:pt idx="0">
                      <c:v>1999</c:v>
                    </c:pt>
                  </c:strCache>
                </c:strRef>
              </c:tx>
              <c:showLegendKey val="0"/>
              <c:showVal val="0"/>
              <c:showCatName val="0"/>
              <c:showSerName val="0"/>
              <c:showPercent val="0"/>
              <c:showBubbleSize val="0"/>
            </c:dLbl>
            <c:dLbl>
              <c:idx val="5"/>
              <c:tx>
                <c:strRef>
                  <c:f>Sector1!$L$252</c:f>
                  <c:strCache>
                    <c:ptCount val="1"/>
                    <c:pt idx="0">
                      <c:v>2000</c:v>
                    </c:pt>
                  </c:strCache>
                </c:strRef>
              </c:tx>
              <c:showLegendKey val="0"/>
              <c:showVal val="0"/>
              <c:showCatName val="0"/>
              <c:showSerName val="0"/>
              <c:showPercent val="0"/>
              <c:showBubbleSize val="0"/>
            </c:dLbl>
            <c:dLbl>
              <c:idx val="6"/>
              <c:tx>
                <c:strRef>
                  <c:f>Sector1!$M$252</c:f>
                  <c:strCache>
                    <c:ptCount val="1"/>
                    <c:pt idx="0">
                      <c:v>2001</c:v>
                    </c:pt>
                  </c:strCache>
                </c:strRef>
              </c:tx>
              <c:showLegendKey val="0"/>
              <c:showVal val="0"/>
              <c:showCatName val="0"/>
              <c:showSerName val="0"/>
              <c:showPercent val="0"/>
              <c:showBubbleSize val="0"/>
            </c:dLbl>
            <c:dLbl>
              <c:idx val="7"/>
              <c:tx>
                <c:strRef>
                  <c:f>Sector1!$N$252</c:f>
                  <c:strCache>
                    <c:ptCount val="1"/>
                    <c:pt idx="0">
                      <c:v>2002</c:v>
                    </c:pt>
                  </c:strCache>
                </c:strRef>
              </c:tx>
              <c:showLegendKey val="0"/>
              <c:showVal val="0"/>
              <c:showCatName val="0"/>
              <c:showSerName val="0"/>
              <c:showPercent val="0"/>
              <c:showBubbleSize val="0"/>
            </c:dLbl>
            <c:dLbl>
              <c:idx val="8"/>
              <c:tx>
                <c:strRef>
                  <c:f>Sector1!$O$252</c:f>
                  <c:strCache>
                    <c:ptCount val="1"/>
                    <c:pt idx="0">
                      <c:v>2003</c:v>
                    </c:pt>
                  </c:strCache>
                </c:strRef>
              </c:tx>
              <c:showLegendKey val="0"/>
              <c:showVal val="0"/>
              <c:showCatName val="0"/>
              <c:showSerName val="0"/>
              <c:showPercent val="0"/>
              <c:showBubbleSize val="0"/>
            </c:dLbl>
            <c:dLbl>
              <c:idx val="9"/>
              <c:tx>
                <c:strRef>
                  <c:f>Sector1!$P$252</c:f>
                  <c:strCache>
                    <c:ptCount val="1"/>
                    <c:pt idx="0">
                      <c:v>2004</c:v>
                    </c:pt>
                  </c:strCache>
                </c:strRef>
              </c:tx>
              <c:showLegendKey val="0"/>
              <c:showVal val="0"/>
              <c:showCatName val="0"/>
              <c:showSerName val="0"/>
              <c:showPercent val="0"/>
              <c:showBubbleSize val="0"/>
            </c:dLbl>
            <c:dLbl>
              <c:idx val="10"/>
              <c:tx>
                <c:strRef>
                  <c:f>Sector1!$Q$252</c:f>
                  <c:strCache>
                    <c:ptCount val="1"/>
                    <c:pt idx="0">
                      <c:v>2005</c:v>
                    </c:pt>
                  </c:strCache>
                </c:strRef>
              </c:tx>
              <c:showLegendKey val="0"/>
              <c:showVal val="0"/>
              <c:showCatName val="0"/>
              <c:showSerName val="0"/>
              <c:showPercent val="0"/>
              <c:showBubbleSize val="0"/>
            </c:dLbl>
            <c:dLbl>
              <c:idx val="11"/>
              <c:tx>
                <c:strRef>
                  <c:f>Sector1!$R$252</c:f>
                  <c:strCache>
                    <c:ptCount val="1"/>
                    <c:pt idx="0">
                      <c:v>2006</c:v>
                    </c:pt>
                  </c:strCache>
                </c:strRef>
              </c:tx>
              <c:showLegendKey val="0"/>
              <c:showVal val="0"/>
              <c:showCatName val="0"/>
              <c:showSerName val="0"/>
              <c:showPercent val="0"/>
              <c:showBubbleSize val="0"/>
            </c:dLbl>
            <c:dLbl>
              <c:idx val="12"/>
              <c:tx>
                <c:strRef>
                  <c:f>Sector1!$S$252</c:f>
                  <c:strCache>
                    <c:ptCount val="1"/>
                    <c:pt idx="0">
                      <c:v>2007</c:v>
                    </c:pt>
                  </c:strCache>
                </c:strRef>
              </c:tx>
              <c:showLegendKey val="0"/>
              <c:showVal val="0"/>
              <c:showCatName val="0"/>
              <c:showSerName val="0"/>
              <c:showPercent val="0"/>
              <c:showBubbleSize val="0"/>
            </c:dLbl>
            <c:dLbl>
              <c:idx val="13"/>
              <c:tx>
                <c:strRef>
                  <c:f>Sector1!$T$252</c:f>
                  <c:strCache>
                    <c:ptCount val="1"/>
                    <c:pt idx="0">
                      <c:v>2008</c:v>
                    </c:pt>
                  </c:strCache>
                </c:strRef>
              </c:tx>
              <c:showLegendKey val="0"/>
              <c:showVal val="0"/>
              <c:showCatName val="0"/>
              <c:showSerName val="0"/>
              <c:showPercent val="0"/>
              <c:showBubbleSize val="0"/>
            </c:dLbl>
            <c:dLbl>
              <c:idx val="14"/>
              <c:tx>
                <c:strRef>
                  <c:f>Sector1!$U$252</c:f>
                  <c:strCache>
                    <c:ptCount val="1"/>
                    <c:pt idx="0">
                      <c:v>2009</c:v>
                    </c:pt>
                  </c:strCache>
                </c:strRef>
              </c:tx>
              <c:showLegendKey val="0"/>
              <c:showVal val="0"/>
              <c:showCatName val="0"/>
              <c:showSerName val="0"/>
              <c:showPercent val="0"/>
              <c:showBubbleSize val="0"/>
            </c:dLbl>
            <c:dLbl>
              <c:idx val="15"/>
              <c:tx>
                <c:strRef>
                  <c:f>Sector1!$V$252</c:f>
                  <c:strCache>
                    <c:ptCount val="1"/>
                    <c:pt idx="0">
                      <c:v>2010</c:v>
                    </c:pt>
                  </c:strCache>
                </c:strRef>
              </c:tx>
              <c:showLegendKey val="0"/>
              <c:showVal val="0"/>
              <c:showCatName val="0"/>
              <c:showSerName val="0"/>
              <c:showPercent val="0"/>
              <c:showBubbleSize val="0"/>
            </c:dLbl>
            <c:spPr>
              <a:noFill/>
              <a:ln w="25400">
                <a:noFill/>
              </a:ln>
            </c:spPr>
            <c:txPr>
              <a:bodyPr/>
              <a:lstStyle/>
              <a:p>
                <a:pPr>
                  <a:defRPr sz="8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trendline>
            <c:spPr>
              <a:ln w="25400">
                <a:solidFill>
                  <a:srgbClr val="FF0000"/>
                </a:solidFill>
                <a:prstDash val="solid"/>
              </a:ln>
            </c:spPr>
            <c:trendlineType val="linear"/>
            <c:dispRSqr val="0"/>
            <c:dispEq val="0"/>
          </c:trendline>
          <c:xVal>
            <c:numRef>
              <c:f>'VVP2'!$G$348:$AA$348</c:f>
              <c:numCache>
                <c:formatCode>0.0</c:formatCode>
                <c:ptCount val="4"/>
                <c:pt idx="0">
                  <c:v>6.6287411287878184</c:v>
                </c:pt>
                <c:pt idx="1">
                  <c:v>4.8313146506227644</c:v>
                </c:pt>
                <c:pt idx="2">
                  <c:v>4.6013904601447608</c:v>
                </c:pt>
                <c:pt idx="3">
                  <c:v>2.3471981728427016</c:v>
                </c:pt>
              </c:numCache>
            </c:numRef>
          </c:xVal>
          <c:yVal>
            <c:numRef>
              <c:f>Sector1!$G$310:$AC$310</c:f>
              <c:numCache>
                <c:formatCode>0.0</c:formatCode>
                <c:ptCount val="12"/>
                <c:pt idx="0">
                  <c:v>13.033981399958638</c:v>
                </c:pt>
                <c:pt idx="1">
                  <c:v>26.632757299736088</c:v>
                </c:pt>
                <c:pt idx="2">
                  <c:v>33.085163237661796</c:v>
                </c:pt>
                <c:pt idx="3">
                  <c:v>13.844669561022682</c:v>
                </c:pt>
                <c:pt idx="4" formatCode="0.00">
                  <c:v>-7.7293903629425902</c:v>
                </c:pt>
                <c:pt idx="5" formatCode="0.00">
                  <c:v>-1.852283737939342</c:v>
                </c:pt>
                <c:pt idx="6" formatCode="0.00">
                  <c:v>1.4845118381245248</c:v>
                </c:pt>
                <c:pt idx="7" formatCode="0.00">
                  <c:v>-0.78836521634180201</c:v>
                </c:pt>
                <c:pt idx="8" formatCode="0.00">
                  <c:v>0.54086406867002168</c:v>
                </c:pt>
                <c:pt idx="9" formatCode="0.00">
                  <c:v>2.5295717659813421</c:v>
                </c:pt>
                <c:pt idx="10" formatCode="0.00">
                  <c:v>5.1755431511618211</c:v>
                </c:pt>
                <c:pt idx="11" formatCode="0.00">
                  <c:v>11.656976344945068</c:v>
                </c:pt>
              </c:numCache>
            </c:numRef>
          </c:yVal>
          <c:smooth val="0"/>
        </c:ser>
        <c:dLbls>
          <c:showLegendKey val="0"/>
          <c:showVal val="0"/>
          <c:showCatName val="0"/>
          <c:showSerName val="0"/>
          <c:showPercent val="0"/>
          <c:showBubbleSize val="0"/>
        </c:dLbls>
        <c:axId val="317966208"/>
        <c:axId val="317967744"/>
      </c:scatterChart>
      <c:valAx>
        <c:axId val="317966208"/>
        <c:scaling>
          <c:orientation val="minMax"/>
        </c:scaling>
        <c:delete val="0"/>
        <c:axPos val="b"/>
        <c:majorGridlines>
          <c:spPr>
            <a:ln w="3175">
              <a:solidFill>
                <a:srgbClr val="000000"/>
              </a:solidFill>
              <a:prstDash val="solid"/>
            </a:ln>
          </c:spPr>
        </c:majorGridlines>
        <c:numFmt formatCode="0" sourceLinked="0"/>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317967744"/>
        <c:crosses val="autoZero"/>
        <c:crossBetween val="midCat"/>
      </c:valAx>
      <c:valAx>
        <c:axId val="317967744"/>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317966208"/>
        <c:crosses val="autoZero"/>
        <c:crossBetween val="midCat"/>
      </c:valAx>
      <c:spPr>
        <a:noFill/>
        <a:ln w="12700">
          <a:solidFill>
            <a:srgbClr val="808080"/>
          </a:solidFill>
          <a:prstDash val="solid"/>
        </a:ln>
      </c:spPr>
    </c:plotArea>
    <c:legend>
      <c:legendPos val="r"/>
      <c:layout>
        <c:manualLayout>
          <c:xMode val="edge"/>
          <c:yMode val="edge"/>
          <c:x val="3.5714285714285712E-2"/>
          <c:y val="0.91316761875353814"/>
          <c:w val="0.93526879452568423"/>
          <c:h val="6.722718483718948E-2"/>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GB"/>
              <a:t>Social benefits (GVT, paid) as % of GDP</a:t>
            </a:r>
          </a:p>
        </c:rich>
      </c:tx>
      <c:layout>
        <c:manualLayout>
          <c:xMode val="edge"/>
          <c:yMode val="edge"/>
          <c:x val="0.21875023434570678"/>
          <c:y val="3.3613445378151259E-2"/>
        </c:manualLayout>
      </c:layout>
      <c:overlay val="0"/>
      <c:spPr>
        <a:noFill/>
        <a:ln w="25400">
          <a:noFill/>
        </a:ln>
      </c:spPr>
    </c:title>
    <c:autoTitleDeleted val="0"/>
    <c:plotArea>
      <c:layout>
        <c:manualLayout>
          <c:layoutTarget val="inner"/>
          <c:xMode val="edge"/>
          <c:yMode val="edge"/>
          <c:x val="0.14285729855924176"/>
          <c:y val="0.17647107096647127"/>
          <c:w val="0.79017943265580604"/>
          <c:h val="0.61904931243793893"/>
        </c:manualLayout>
      </c:layout>
      <c:lineChart>
        <c:grouping val="standard"/>
        <c:varyColors val="0"/>
        <c:ser>
          <c:idx val="1"/>
          <c:order val="0"/>
          <c:tx>
            <c:strRef>
              <c:f>Sector1!$D$315:$E$315</c:f>
              <c:strCache>
                <c:ptCount val="1"/>
                <c:pt idx="0">
                  <c:v>GVT Social benefits (D.62p)</c:v>
                </c:pt>
              </c:strCache>
            </c:strRef>
          </c:tx>
          <c:spPr>
            <a:ln w="25400">
              <a:solidFill>
                <a:srgbClr val="008000"/>
              </a:solidFill>
              <a:prstDash val="solid"/>
            </a:ln>
          </c:spPr>
          <c:marker>
            <c:symbol val="circle"/>
            <c:size val="7"/>
            <c:spPr>
              <a:solidFill>
                <a:srgbClr val="FFFFFF"/>
              </a:solidFill>
              <a:ln>
                <a:solidFill>
                  <a:srgbClr val="008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Sector1!$G$315:$AC$315</c:f>
              <c:numCache>
                <c:formatCode>0.0%</c:formatCode>
                <c:ptCount val="12"/>
                <c:pt idx="0">
                  <c:v>9.1717824278069265E-2</c:v>
                </c:pt>
                <c:pt idx="1">
                  <c:v>9.6592846030358823E-2</c:v>
                </c:pt>
                <c:pt idx="2">
                  <c:v>0.11488921675493358</c:v>
                </c:pt>
                <c:pt idx="3">
                  <c:v>0.16167770937396281</c:v>
                </c:pt>
                <c:pt idx="4">
                  <c:v>0.14303655745788268</c:v>
                </c:pt>
                <c:pt idx="5">
                  <c:v>0.1248019204919406</c:v>
                </c:pt>
                <c:pt idx="6">
                  <c:v>0.11959825455313106</c:v>
                </c:pt>
                <c:pt idx="7">
                  <c:v>0.11311183035299265</c:v>
                </c:pt>
                <c:pt idx="8">
                  <c:v>0.10850113814486215</c:v>
                </c:pt>
                <c:pt idx="9">
                  <c:v>0.10831998944066801</c:v>
                </c:pt>
                <c:pt idx="10">
                  <c:v>0.11017209953781287</c:v>
                </c:pt>
                <c:pt idx="11">
                  <c:v>0.1142038454965528</c:v>
                </c:pt>
              </c:numCache>
            </c:numRef>
          </c:val>
          <c:smooth val="0"/>
        </c:ser>
        <c:dLbls>
          <c:showLegendKey val="0"/>
          <c:showVal val="0"/>
          <c:showCatName val="0"/>
          <c:showSerName val="0"/>
          <c:showPercent val="0"/>
          <c:showBubbleSize val="0"/>
        </c:dLbls>
        <c:marker val="1"/>
        <c:smooth val="0"/>
        <c:axId val="318204928"/>
        <c:axId val="318223488"/>
      </c:lineChart>
      <c:catAx>
        <c:axId val="318204928"/>
        <c:scaling>
          <c:orientation val="minMax"/>
        </c:scaling>
        <c:delete val="0"/>
        <c:axPos val="b"/>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318223488"/>
        <c:crosses val="autoZero"/>
        <c:auto val="1"/>
        <c:lblAlgn val="ctr"/>
        <c:lblOffset val="100"/>
        <c:tickLblSkip val="2"/>
        <c:tickMarkSkip val="1"/>
        <c:noMultiLvlLbl val="0"/>
      </c:catAx>
      <c:valAx>
        <c:axId val="318223488"/>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318204928"/>
        <c:crosses val="autoZero"/>
        <c:crossBetween val="midCat"/>
      </c:valAx>
      <c:spPr>
        <a:noFill/>
        <a:ln w="12700">
          <a:solidFill>
            <a:srgbClr val="808080"/>
          </a:solidFill>
          <a:prstDash val="solid"/>
        </a:ln>
      </c:spPr>
    </c:plotArea>
    <c:legend>
      <c:legendPos val="r"/>
      <c:layout>
        <c:manualLayout>
          <c:xMode val="edge"/>
          <c:yMode val="edge"/>
          <c:x val="0.31026809148856394"/>
          <c:y val="0.91316761875353814"/>
          <c:w val="0.45312546869141357"/>
          <c:h val="6.722718483718948E-2"/>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GB"/>
              <a:t>Social benefits (E, paid) as % of GDP</a:t>
            </a:r>
          </a:p>
        </c:rich>
      </c:tx>
      <c:layout>
        <c:manualLayout>
          <c:xMode val="edge"/>
          <c:yMode val="edge"/>
          <c:x val="0.23883952005999248"/>
          <c:y val="3.3613445378151259E-2"/>
        </c:manualLayout>
      </c:layout>
      <c:overlay val="0"/>
      <c:spPr>
        <a:noFill/>
        <a:ln w="25400">
          <a:noFill/>
        </a:ln>
      </c:spPr>
    </c:title>
    <c:autoTitleDeleted val="0"/>
    <c:plotArea>
      <c:layout>
        <c:manualLayout>
          <c:layoutTarget val="inner"/>
          <c:xMode val="edge"/>
          <c:yMode val="edge"/>
          <c:x val="0.1272322815293247"/>
          <c:y val="0.17647107096647127"/>
          <c:w val="0.80580444968572307"/>
          <c:h val="0.61904931243793893"/>
        </c:manualLayout>
      </c:layout>
      <c:lineChart>
        <c:grouping val="standard"/>
        <c:varyColors val="0"/>
        <c:ser>
          <c:idx val="1"/>
          <c:order val="0"/>
          <c:tx>
            <c:strRef>
              <c:f>Sector1!$D$314:$E$314</c:f>
              <c:strCache>
                <c:ptCount val="1"/>
                <c:pt idx="0">
                  <c:v>E Social benefits (D.62p)</c:v>
                </c:pt>
              </c:strCache>
            </c:strRef>
          </c:tx>
          <c:spPr>
            <a:ln w="25400">
              <a:solidFill>
                <a:srgbClr val="993366"/>
              </a:solidFill>
              <a:prstDash val="solid"/>
            </a:ln>
          </c:spPr>
          <c:marker>
            <c:symbol val="circle"/>
            <c:size val="7"/>
            <c:spPr>
              <a:solidFill>
                <a:srgbClr val="FFFFFF"/>
              </a:solidFill>
              <a:ln>
                <a:solidFill>
                  <a:srgbClr val="993366"/>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Sector1!$G$314:$AC$314</c:f>
              <c:numCache>
                <c:formatCode>0.0%</c:formatCode>
                <c:ptCount val="12"/>
                <c:pt idx="0">
                  <c:v>4.6646106719580973E-3</c:v>
                </c:pt>
                <c:pt idx="1">
                  <c:v>4.9623527839932017E-3</c:v>
                </c:pt>
                <c:pt idx="2">
                  <c:v>5.157161609822279E-3</c:v>
                </c:pt>
                <c:pt idx="3">
                  <c:v>4.6486295434682691E-3</c:v>
                </c:pt>
                <c:pt idx="4">
                  <c:v>4.2211872129175251E-3</c:v>
                </c:pt>
                <c:pt idx="5">
                  <c:v>5.0400763285555509E-3</c:v>
                </c:pt>
                <c:pt idx="6">
                  <c:v>4.105734354309401E-3</c:v>
                </c:pt>
                <c:pt idx="7">
                  <c:v>4.298670038172578E-3</c:v>
                </c:pt>
                <c:pt idx="8">
                  <c:v>4.3513121207778985E-3</c:v>
                </c:pt>
                <c:pt idx="9">
                  <c:v>4.6325328422745201E-3</c:v>
                </c:pt>
                <c:pt idx="10">
                  <c:v>4.8556544478787801E-3</c:v>
                </c:pt>
                <c:pt idx="11">
                  <c:v>4.6962925443707598E-3</c:v>
                </c:pt>
              </c:numCache>
            </c:numRef>
          </c:val>
          <c:smooth val="0"/>
        </c:ser>
        <c:dLbls>
          <c:showLegendKey val="0"/>
          <c:showVal val="0"/>
          <c:showCatName val="0"/>
          <c:showSerName val="0"/>
          <c:showPercent val="0"/>
          <c:showBubbleSize val="0"/>
        </c:dLbls>
        <c:marker val="1"/>
        <c:smooth val="0"/>
        <c:axId val="318383232"/>
        <c:axId val="318385152"/>
      </c:lineChart>
      <c:catAx>
        <c:axId val="318383232"/>
        <c:scaling>
          <c:orientation val="minMax"/>
        </c:scaling>
        <c:delete val="0"/>
        <c:axPos val="b"/>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318385152"/>
        <c:crosses val="autoZero"/>
        <c:auto val="1"/>
        <c:lblAlgn val="ctr"/>
        <c:lblOffset val="100"/>
        <c:tickLblSkip val="2"/>
        <c:tickMarkSkip val="1"/>
        <c:noMultiLvlLbl val="0"/>
      </c:catAx>
      <c:valAx>
        <c:axId val="318385152"/>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318383232"/>
        <c:crosses val="autoZero"/>
        <c:crossBetween val="midCat"/>
      </c:valAx>
      <c:spPr>
        <a:noFill/>
        <a:ln w="12700">
          <a:solidFill>
            <a:srgbClr val="808080"/>
          </a:solidFill>
          <a:prstDash val="solid"/>
        </a:ln>
      </c:spPr>
    </c:plotArea>
    <c:legend>
      <c:legendPos val="r"/>
      <c:layout>
        <c:manualLayout>
          <c:xMode val="edge"/>
          <c:yMode val="edge"/>
          <c:x val="0.32142880577427818"/>
          <c:y val="0.91316761875353814"/>
          <c:w val="0.41741118297712781"/>
          <c:h val="6.722718483718948E-2"/>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75" b="1" i="0" u="none" strike="noStrike" baseline="0">
                <a:solidFill>
                  <a:srgbClr val="000000"/>
                </a:solidFill>
                <a:latin typeface="Arial"/>
                <a:ea typeface="Arial"/>
                <a:cs typeface="Arial"/>
              </a:defRPr>
            </a:pPr>
            <a:r>
              <a:rPr lang="en-GB"/>
              <a:t>Social benefits (HH, received) and its main components</a:t>
            </a:r>
          </a:p>
        </c:rich>
      </c:tx>
      <c:layout>
        <c:manualLayout>
          <c:xMode val="edge"/>
          <c:yMode val="edge"/>
          <c:x val="0.14732166291713536"/>
          <c:y val="3.3613445378151259E-2"/>
        </c:manualLayout>
      </c:layout>
      <c:overlay val="0"/>
      <c:spPr>
        <a:noFill/>
        <a:ln w="25400">
          <a:noFill/>
        </a:ln>
      </c:spPr>
    </c:title>
    <c:autoTitleDeleted val="0"/>
    <c:plotArea>
      <c:layout>
        <c:manualLayout>
          <c:layoutTarget val="inner"/>
          <c:xMode val="edge"/>
          <c:yMode val="edge"/>
          <c:x val="0.1227679909493484"/>
          <c:y val="0.17366994285589235"/>
          <c:w val="0.81026874026569939"/>
          <c:h val="0.56302675022636073"/>
        </c:manualLayout>
      </c:layout>
      <c:lineChart>
        <c:grouping val="standard"/>
        <c:varyColors val="0"/>
        <c:ser>
          <c:idx val="0"/>
          <c:order val="0"/>
          <c:tx>
            <c:strRef>
              <c:f>Sector1!$D$302:$E$302</c:f>
              <c:strCache>
                <c:ptCount val="1"/>
                <c:pt idx="0">
                  <c:v>HH Social benefits (D.62r)</c:v>
                </c:pt>
              </c:strCache>
            </c:strRef>
          </c:tx>
          <c:spPr>
            <a:ln w="25400">
              <a:solidFill>
                <a:srgbClr val="FF0000"/>
              </a:solidFill>
              <a:prstDash val="solid"/>
            </a:ln>
          </c:spPr>
          <c:marker>
            <c:symbol val="diamond"/>
            <c:size val="5"/>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Sector1!$G$310:$AC$310</c:f>
              <c:numCache>
                <c:formatCode>0.0</c:formatCode>
                <c:ptCount val="12"/>
                <c:pt idx="0">
                  <c:v>13.033981399958638</c:v>
                </c:pt>
                <c:pt idx="1">
                  <c:v>26.632757299736088</c:v>
                </c:pt>
                <c:pt idx="2">
                  <c:v>33.085163237661796</c:v>
                </c:pt>
                <c:pt idx="3">
                  <c:v>13.844669561022682</c:v>
                </c:pt>
                <c:pt idx="4" formatCode="0.00">
                  <c:v>-7.7293903629425902</c:v>
                </c:pt>
                <c:pt idx="5" formatCode="0.00">
                  <c:v>-1.852283737939342</c:v>
                </c:pt>
                <c:pt idx="6" formatCode="0.00">
                  <c:v>1.4845118381245248</c:v>
                </c:pt>
                <c:pt idx="7" formatCode="0.00">
                  <c:v>-0.78836521634180201</c:v>
                </c:pt>
                <c:pt idx="8" formatCode="0.00">
                  <c:v>0.54086406867002168</c:v>
                </c:pt>
                <c:pt idx="9" formatCode="0.00">
                  <c:v>2.5295717659813421</c:v>
                </c:pt>
                <c:pt idx="10" formatCode="0.00">
                  <c:v>5.1755431511618211</c:v>
                </c:pt>
                <c:pt idx="11" formatCode="0.00">
                  <c:v>11.656976344945068</c:v>
                </c:pt>
              </c:numCache>
            </c:numRef>
          </c:val>
          <c:smooth val="0"/>
        </c:ser>
        <c:ser>
          <c:idx val="1"/>
          <c:order val="1"/>
          <c:tx>
            <c:strRef>
              <c:f>Sector1!$D$307:$E$307</c:f>
              <c:strCache>
                <c:ptCount val="1"/>
                <c:pt idx="0">
                  <c:v>E Social benefits (D.62p)</c:v>
                </c:pt>
              </c:strCache>
            </c:strRef>
          </c:tx>
          <c:spPr>
            <a:ln w="25400">
              <a:solidFill>
                <a:srgbClr val="993366"/>
              </a:solidFill>
              <a:prstDash val="solid"/>
            </a:ln>
          </c:spPr>
          <c:marker>
            <c:symbol val="circle"/>
            <c:size val="5"/>
            <c:spPr>
              <a:solidFill>
                <a:srgbClr val="FFFFFF"/>
              </a:solidFill>
              <a:ln>
                <a:solidFill>
                  <a:srgbClr val="993366"/>
                </a:solidFill>
                <a:prstDash val="solid"/>
              </a:ln>
            </c:spPr>
          </c:marker>
          <c:val>
            <c:numRef>
              <c:f>Sector1!$G$307:$AC$307</c:f>
              <c:numCache>
                <c:formatCode>0.0</c:formatCode>
                <c:ptCount val="12"/>
                <c:pt idx="0">
                  <c:v>23.891462607544668</c:v>
                </c:pt>
                <c:pt idx="1">
                  <c:v>28.303062678062709</c:v>
                </c:pt>
                <c:pt idx="2">
                  <c:v>17.007841232391897</c:v>
                </c:pt>
                <c:pt idx="3">
                  <c:v>-25.744277072707867</c:v>
                </c:pt>
                <c:pt idx="4">
                  <c:v>-5.5107419535180835</c:v>
                </c:pt>
                <c:pt idx="5">
                  <c:v>33.234722339616262</c:v>
                </c:pt>
                <c:pt idx="6">
                  <c:v>-13.138361986931423</c:v>
                </c:pt>
                <c:pt idx="7">
                  <c:v>9.7575226409582392</c:v>
                </c:pt>
                <c:pt idx="8">
                  <c:v>5.8823529411764719</c:v>
                </c:pt>
                <c:pt idx="9">
                  <c:v>8.9617898441427748</c:v>
                </c:pt>
                <c:pt idx="10">
                  <c:v>8.2939208674587483</c:v>
                </c:pt>
                <c:pt idx="11" formatCode="0.00">
                  <c:v>4.5</c:v>
                </c:pt>
              </c:numCache>
            </c:numRef>
          </c:val>
          <c:smooth val="0"/>
        </c:ser>
        <c:ser>
          <c:idx val="2"/>
          <c:order val="2"/>
          <c:tx>
            <c:strRef>
              <c:f>Sector1!$D$308:$E$308</c:f>
              <c:strCache>
                <c:ptCount val="1"/>
                <c:pt idx="0">
                  <c:v>GVT Social benefits (D.62p)</c:v>
                </c:pt>
              </c:strCache>
            </c:strRef>
          </c:tx>
          <c:spPr>
            <a:ln w="25400">
              <a:solidFill>
                <a:srgbClr val="008000"/>
              </a:solidFill>
              <a:prstDash val="solid"/>
            </a:ln>
          </c:spPr>
          <c:marker>
            <c:symbol val="circle"/>
            <c:size val="5"/>
            <c:spPr>
              <a:solidFill>
                <a:srgbClr val="FFFFFF"/>
              </a:solidFill>
              <a:ln>
                <a:solidFill>
                  <a:srgbClr val="008000"/>
                </a:solidFill>
                <a:prstDash val="solid"/>
              </a:ln>
            </c:spPr>
          </c:marker>
          <c:val>
            <c:numRef>
              <c:f>Sector1!$G$308:$AC$308</c:f>
              <c:numCache>
                <c:formatCode>0.0</c:formatCode>
                <c:ptCount val="12"/>
                <c:pt idx="0">
                  <c:v>12.805254904765073</c:v>
                </c:pt>
                <c:pt idx="1">
                  <c:v>27.015290990676899</c:v>
                </c:pt>
                <c:pt idx="2">
                  <c:v>33.914057152635159</c:v>
                </c:pt>
                <c:pt idx="3">
                  <c:v>15.92753796802835</c:v>
                </c:pt>
                <c:pt idx="4">
                  <c:v>-7.9402768464852391</c:v>
                </c:pt>
                <c:pt idx="5">
                  <c:v>-2.6380775159766445</c:v>
                </c:pt>
                <c:pt idx="6">
                  <c:v>2.1828131645154514</c:v>
                </c:pt>
                <c:pt idx="7">
                  <c:v>-0.85422297551411841</c:v>
                </c:pt>
                <c:pt idx="8">
                  <c:v>0.33760289301654201</c:v>
                </c:pt>
                <c:pt idx="9">
                  <c:v>2.1763238148045483</c:v>
                </c:pt>
                <c:pt idx="10">
                  <c:v>5.0842984176317607</c:v>
                </c:pt>
                <c:pt idx="11" formatCode="0.00">
                  <c:v>12</c:v>
                </c:pt>
              </c:numCache>
            </c:numRef>
          </c:val>
          <c:smooth val="0"/>
        </c:ser>
        <c:dLbls>
          <c:showLegendKey val="0"/>
          <c:showVal val="0"/>
          <c:showCatName val="0"/>
          <c:showSerName val="0"/>
          <c:showPercent val="0"/>
          <c:showBubbleSize val="0"/>
        </c:dLbls>
        <c:marker val="1"/>
        <c:smooth val="0"/>
        <c:axId val="318431616"/>
        <c:axId val="318433536"/>
      </c:lineChart>
      <c:catAx>
        <c:axId val="318431616"/>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318433536"/>
        <c:crosses val="autoZero"/>
        <c:auto val="1"/>
        <c:lblAlgn val="ctr"/>
        <c:lblOffset val="100"/>
        <c:tickLblSkip val="2"/>
        <c:tickMarkSkip val="1"/>
        <c:noMultiLvlLbl val="0"/>
      </c:catAx>
      <c:valAx>
        <c:axId val="318433536"/>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318431616"/>
        <c:crosses val="autoZero"/>
        <c:crossBetween val="midCat"/>
      </c:valAx>
      <c:spPr>
        <a:noFill/>
        <a:ln w="12700">
          <a:solidFill>
            <a:srgbClr val="808080"/>
          </a:solidFill>
          <a:prstDash val="solid"/>
        </a:ln>
      </c:spPr>
    </c:plotArea>
    <c:legend>
      <c:legendPos val="r"/>
      <c:layout>
        <c:manualLayout>
          <c:xMode val="edge"/>
          <c:yMode val="edge"/>
          <c:x val="6.9196428571428575E-2"/>
          <c:y val="0.85434408934177342"/>
          <c:w val="0.88392950881139853"/>
          <c:h val="0.1260507142489542"/>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75" b="1" i="0" u="none" strike="noStrike" baseline="0">
                <a:solidFill>
                  <a:srgbClr val="000000"/>
                </a:solidFill>
                <a:latin typeface="Arial"/>
                <a:ea typeface="Arial"/>
                <a:cs typeface="Arial"/>
              </a:defRPr>
            </a:pPr>
            <a:r>
              <a:rPr lang="en-GB"/>
              <a:t>Gross savings as % of GDP</a:t>
            </a:r>
          </a:p>
        </c:rich>
      </c:tx>
      <c:layout>
        <c:manualLayout>
          <c:xMode val="edge"/>
          <c:yMode val="edge"/>
          <c:x val="0.32812546869141357"/>
          <c:y val="3.3613445378151259E-2"/>
        </c:manualLayout>
      </c:layout>
      <c:overlay val="0"/>
      <c:spPr>
        <a:noFill/>
        <a:ln w="25400">
          <a:noFill/>
        </a:ln>
      </c:spPr>
    </c:title>
    <c:autoTitleDeleted val="0"/>
    <c:plotArea>
      <c:layout>
        <c:manualLayout>
          <c:layoutTarget val="inner"/>
          <c:xMode val="edge"/>
          <c:yMode val="edge"/>
          <c:x val="0.11830370036937209"/>
          <c:y val="0.17366994285589235"/>
          <c:w val="0.81473303084567572"/>
          <c:h val="0.62185044054851779"/>
        </c:manualLayout>
      </c:layout>
      <c:lineChart>
        <c:grouping val="standard"/>
        <c:varyColors val="0"/>
        <c:ser>
          <c:idx val="0"/>
          <c:order val="0"/>
          <c:tx>
            <c:strRef>
              <c:f>Sector1!$D$470:$E$470</c:f>
              <c:strCache>
                <c:ptCount val="1"/>
                <c:pt idx="0">
                  <c:v>HH Gross saving (B.8g)</c:v>
                </c:pt>
              </c:strCache>
            </c:strRef>
          </c:tx>
          <c:spPr>
            <a:ln w="25400">
              <a:solidFill>
                <a:srgbClr val="FF0000"/>
              </a:solidFill>
              <a:prstDash val="solid"/>
            </a:ln>
          </c:spPr>
          <c:marker>
            <c:symbol val="diamond"/>
            <c:size val="5"/>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Sector1!$G$470:$AC$470</c:f>
              <c:numCache>
                <c:formatCode>0.0%</c:formatCode>
                <c:ptCount val="12"/>
                <c:pt idx="0">
                  <c:v>3.4938066827856995E-2</c:v>
                </c:pt>
                <c:pt idx="1">
                  <c:v>-2.4786971095009366E-2</c:v>
                </c:pt>
                <c:pt idx="2">
                  <c:v>-3.3123034180035111E-3</c:v>
                </c:pt>
                <c:pt idx="3">
                  <c:v>3.6641789326975427E-2</c:v>
                </c:pt>
                <c:pt idx="4">
                  <c:v>5.4095489955279727E-2</c:v>
                </c:pt>
                <c:pt idx="5">
                  <c:v>2.9801133929245188E-2</c:v>
                </c:pt>
                <c:pt idx="6">
                  <c:v>1.1296466885447323E-2</c:v>
                </c:pt>
                <c:pt idx="7">
                  <c:v>1.5319089292942022E-2</c:v>
                </c:pt>
                <c:pt idx="8">
                  <c:v>9.9293704817409617E-4</c:v>
                </c:pt>
                <c:pt idx="9">
                  <c:v>-1.6031374468935671E-6</c:v>
                </c:pt>
                <c:pt idx="10">
                  <c:v>-3.0996950475220848E-3</c:v>
                </c:pt>
                <c:pt idx="11">
                  <c:v>-8.8890609336233252E-3</c:v>
                </c:pt>
              </c:numCache>
            </c:numRef>
          </c:val>
          <c:smooth val="0"/>
        </c:ser>
        <c:ser>
          <c:idx val="1"/>
          <c:order val="1"/>
          <c:tx>
            <c:strRef>
              <c:f>Sector1!$D$471:$E$471</c:f>
              <c:strCache>
                <c:ptCount val="1"/>
                <c:pt idx="0">
                  <c:v>E Gross saving (B.8g)</c:v>
                </c:pt>
              </c:strCache>
            </c:strRef>
          </c:tx>
          <c:spPr>
            <a:ln w="25400">
              <a:solidFill>
                <a:srgbClr val="0000FF"/>
              </a:solidFill>
              <a:prstDash val="solid"/>
            </a:ln>
          </c:spPr>
          <c:marker>
            <c:symbol val="circle"/>
            <c:size val="5"/>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Sector1!$G$471:$AC$471</c:f>
              <c:numCache>
                <c:formatCode>0.0%</c:formatCode>
                <c:ptCount val="12"/>
                <c:pt idx="0">
                  <c:v>9.6502870944940769E-2</c:v>
                </c:pt>
                <c:pt idx="1">
                  <c:v>0.15623439687665508</c:v>
                </c:pt>
                <c:pt idx="2">
                  <c:v>0.13323014116590634</c:v>
                </c:pt>
                <c:pt idx="3">
                  <c:v>0.16543826912524381</c:v>
                </c:pt>
                <c:pt idx="4">
                  <c:v>0.16363834868840274</c:v>
                </c:pt>
                <c:pt idx="5">
                  <c:v>0.17161742869457455</c:v>
                </c:pt>
                <c:pt idx="6">
                  <c:v>0.18307670994300188</c:v>
                </c:pt>
                <c:pt idx="7">
                  <c:v>0.19305027367264826</c:v>
                </c:pt>
                <c:pt idx="8">
                  <c:v>0.21531174012012602</c:v>
                </c:pt>
                <c:pt idx="9">
                  <c:v>0.16274810889898919</c:v>
                </c:pt>
                <c:pt idx="10">
                  <c:v>0.1400159096645523</c:v>
                </c:pt>
                <c:pt idx="11">
                  <c:v>0.14961730687190969</c:v>
                </c:pt>
              </c:numCache>
            </c:numRef>
          </c:val>
          <c:smooth val="0"/>
        </c:ser>
        <c:dLbls>
          <c:showLegendKey val="0"/>
          <c:showVal val="0"/>
          <c:showCatName val="0"/>
          <c:showSerName val="0"/>
          <c:showPercent val="0"/>
          <c:showBubbleSize val="0"/>
        </c:dLbls>
        <c:marker val="1"/>
        <c:smooth val="0"/>
        <c:axId val="318909056"/>
        <c:axId val="318960384"/>
      </c:lineChart>
      <c:catAx>
        <c:axId val="318909056"/>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318960384"/>
        <c:crosses val="autoZero"/>
        <c:auto val="1"/>
        <c:lblAlgn val="ctr"/>
        <c:lblOffset val="100"/>
        <c:tickLblSkip val="2"/>
        <c:tickMarkSkip val="1"/>
        <c:noMultiLvlLbl val="0"/>
      </c:catAx>
      <c:valAx>
        <c:axId val="318960384"/>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318909056"/>
        <c:crosses val="autoZero"/>
        <c:crossBetween val="midCat"/>
      </c:valAx>
      <c:spPr>
        <a:noFill/>
        <a:ln w="12700">
          <a:solidFill>
            <a:srgbClr val="808080"/>
          </a:solidFill>
          <a:prstDash val="solid"/>
        </a:ln>
      </c:spPr>
    </c:plotArea>
    <c:legend>
      <c:legendPos val="r"/>
      <c:layout>
        <c:manualLayout>
          <c:xMode val="edge"/>
          <c:yMode val="edge"/>
          <c:x val="0.13839309148856391"/>
          <c:y val="0.91316761875353814"/>
          <c:w val="0.75892950881139853"/>
          <c:h val="6.722718483718948E-2"/>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75" b="1" i="0" u="none" strike="noStrike" baseline="0">
                <a:solidFill>
                  <a:srgbClr val="000000"/>
                </a:solidFill>
                <a:latin typeface="Arial"/>
                <a:ea typeface="Arial"/>
                <a:cs typeface="Arial"/>
              </a:defRPr>
            </a:pPr>
            <a:r>
              <a:rPr lang="en-GB"/>
              <a:t>Household savings ratio</a:t>
            </a:r>
          </a:p>
        </c:rich>
      </c:tx>
      <c:layout>
        <c:manualLayout>
          <c:xMode val="edge"/>
          <c:yMode val="edge"/>
          <c:x val="0.34375046869141357"/>
          <c:y val="3.3613445378151259E-2"/>
        </c:manualLayout>
      </c:layout>
      <c:overlay val="0"/>
      <c:spPr>
        <a:noFill/>
        <a:ln w="25400">
          <a:noFill/>
        </a:ln>
      </c:spPr>
    </c:title>
    <c:autoTitleDeleted val="0"/>
    <c:plotArea>
      <c:layout>
        <c:manualLayout>
          <c:layoutTarget val="inner"/>
          <c:xMode val="edge"/>
          <c:yMode val="edge"/>
          <c:x val="0.11830370036937209"/>
          <c:y val="0.17366994285589235"/>
          <c:w val="0.81473303084567572"/>
          <c:h val="0.62185044054851779"/>
        </c:manualLayout>
      </c:layout>
      <c:lineChart>
        <c:grouping val="standard"/>
        <c:varyColors val="0"/>
        <c:ser>
          <c:idx val="0"/>
          <c:order val="0"/>
          <c:tx>
            <c:strRef>
              <c:f>Sector1!$E$476</c:f>
              <c:strCache>
                <c:ptCount val="1"/>
                <c:pt idx="0">
                  <c:v>Gross saving (B.8g) / Adj. Disp. Income (B.6g + D.8)</c:v>
                </c:pt>
              </c:strCache>
            </c:strRef>
          </c:tx>
          <c:spPr>
            <a:ln w="25400">
              <a:solidFill>
                <a:srgbClr val="FF0000"/>
              </a:solidFill>
              <a:prstDash val="solid"/>
            </a:ln>
          </c:spPr>
          <c:marker>
            <c:symbol val="diamond"/>
            <c:size val="5"/>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Sector1!$G$476:$AC$476</c:f>
              <c:numCache>
                <c:formatCode>0.0%</c:formatCode>
                <c:ptCount val="12"/>
                <c:pt idx="0">
                  <c:v>5.1450909784773013E-2</c:v>
                </c:pt>
                <c:pt idx="1">
                  <c:v>-4.0574878894839711E-2</c:v>
                </c:pt>
                <c:pt idx="2">
                  <c:v>-5.11995491792234E-3</c:v>
                </c:pt>
                <c:pt idx="3">
                  <c:v>5.1077690940999551E-2</c:v>
                </c:pt>
                <c:pt idx="4">
                  <c:v>7.7905281704433768E-2</c:v>
                </c:pt>
                <c:pt idx="5">
                  <c:v>4.5518900521540243E-2</c:v>
                </c:pt>
                <c:pt idx="6">
                  <c:v>1.781451567140193E-2</c:v>
                </c:pt>
                <c:pt idx="7">
                  <c:v>2.3890073987632772E-2</c:v>
                </c:pt>
                <c:pt idx="8">
                  <c:v>1.5916272778002769E-3</c:v>
                </c:pt>
                <c:pt idx="9">
                  <c:v>-2.5560651592676217E-6</c:v>
                </c:pt>
                <c:pt idx="10">
                  <c:v>-4.8441043862867787E-3</c:v>
                </c:pt>
                <c:pt idx="11">
                  <c:v>-1.4052035394385579E-2</c:v>
                </c:pt>
              </c:numCache>
            </c:numRef>
          </c:val>
          <c:smooth val="0"/>
        </c:ser>
        <c:dLbls>
          <c:showLegendKey val="0"/>
          <c:showVal val="0"/>
          <c:showCatName val="0"/>
          <c:showSerName val="0"/>
          <c:showPercent val="0"/>
          <c:showBubbleSize val="0"/>
        </c:dLbls>
        <c:marker val="1"/>
        <c:smooth val="0"/>
        <c:axId val="318980480"/>
        <c:axId val="318982400"/>
      </c:lineChart>
      <c:catAx>
        <c:axId val="318980480"/>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318982400"/>
        <c:crosses val="autoZero"/>
        <c:auto val="1"/>
        <c:lblAlgn val="ctr"/>
        <c:lblOffset val="100"/>
        <c:tickLblSkip val="2"/>
        <c:tickMarkSkip val="1"/>
        <c:noMultiLvlLbl val="0"/>
      </c:catAx>
      <c:valAx>
        <c:axId val="318982400"/>
        <c:scaling>
          <c:orientation val="minMax"/>
          <c:min val="0.1"/>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318980480"/>
        <c:crosses val="autoZero"/>
        <c:crossBetween val="midCat"/>
      </c:valAx>
      <c:spPr>
        <a:noFill/>
        <a:ln w="12700">
          <a:solidFill>
            <a:srgbClr val="808080"/>
          </a:solidFill>
          <a:prstDash val="solid"/>
        </a:ln>
      </c:spPr>
    </c:plotArea>
    <c:legend>
      <c:legendPos val="r"/>
      <c:layout>
        <c:manualLayout>
          <c:xMode val="edge"/>
          <c:yMode val="edge"/>
          <c:x val="0.13839309148856391"/>
          <c:y val="0.91316761875353814"/>
          <c:w val="0.77009022309711284"/>
          <c:h val="6.722718483718948E-2"/>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GB"/>
              <a:t>Corporate income tax related to corporate GOS</a:t>
            </a:r>
          </a:p>
        </c:rich>
      </c:tx>
      <c:layout>
        <c:manualLayout>
          <c:xMode val="edge"/>
          <c:yMode val="edge"/>
          <c:x val="0.16071452005999248"/>
          <c:y val="3.3613445378151259E-2"/>
        </c:manualLayout>
      </c:layout>
      <c:overlay val="0"/>
      <c:spPr>
        <a:noFill/>
        <a:ln w="25400">
          <a:noFill/>
        </a:ln>
      </c:spPr>
    </c:title>
    <c:autoTitleDeleted val="0"/>
    <c:plotArea>
      <c:layout>
        <c:manualLayout>
          <c:layoutTarget val="inner"/>
          <c:xMode val="edge"/>
          <c:yMode val="edge"/>
          <c:x val="0.11607155507938394"/>
          <c:y val="0.17647107096647127"/>
          <c:w val="0.85267950077547428"/>
          <c:h val="0.56022562211578175"/>
        </c:manualLayout>
      </c:layout>
      <c:lineChart>
        <c:grouping val="standard"/>
        <c:varyColors val="0"/>
        <c:ser>
          <c:idx val="0"/>
          <c:order val="0"/>
          <c:tx>
            <c:strRef>
              <c:f>Sector1!$D$210:$E$210</c:f>
              <c:strCache>
                <c:ptCount val="1"/>
                <c:pt idx="0">
                  <c:v>E Current taxes on income and wealth (D.5p)  </c:v>
                </c:pt>
              </c:strCache>
            </c:strRef>
          </c:tx>
          <c:spPr>
            <a:ln w="25400">
              <a:solidFill>
                <a:srgbClr val="008000"/>
              </a:solidFill>
              <a:prstDash val="solid"/>
            </a:ln>
          </c:spPr>
          <c:marker>
            <c:symbol val="none"/>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Sector1!$G$210:$AC$210</c:f>
              <c:numCache>
                <c:formatCode>0.0</c:formatCode>
                <c:ptCount val="12"/>
                <c:pt idx="0">
                  <c:v>51.755189954630843</c:v>
                </c:pt>
                <c:pt idx="1">
                  <c:v>10.740008153527913</c:v>
                </c:pt>
                <c:pt idx="2">
                  <c:v>20.816176270077193</c:v>
                </c:pt>
                <c:pt idx="3">
                  <c:v>-44.864517148370943</c:v>
                </c:pt>
                <c:pt idx="4">
                  <c:v>-43.516528502712113</c:v>
                </c:pt>
                <c:pt idx="5">
                  <c:v>-8.6936039137524794</c:v>
                </c:pt>
                <c:pt idx="6">
                  <c:v>70.741387521828841</c:v>
                </c:pt>
                <c:pt idx="7">
                  <c:v>10.471873547187371</c:v>
                </c:pt>
                <c:pt idx="8">
                  <c:v>4.8963703314045093</c:v>
                </c:pt>
                <c:pt idx="9">
                  <c:v>14.87202118270079</c:v>
                </c:pt>
                <c:pt idx="10">
                  <c:v>9.2375929871127518</c:v>
                </c:pt>
                <c:pt idx="11" formatCode="0.00">
                  <c:v>0.8696208197455102</c:v>
                </c:pt>
              </c:numCache>
            </c:numRef>
          </c:val>
          <c:smooth val="0"/>
        </c:ser>
        <c:ser>
          <c:idx val="1"/>
          <c:order val="1"/>
          <c:tx>
            <c:strRef>
              <c:f>Sector1!$D$108:$E$108</c:f>
              <c:strCache>
                <c:ptCount val="1"/>
                <c:pt idx="0">
                  <c:v>E Gross operating surplus (B.2g) / Mixed income (implicit residual)</c:v>
                </c:pt>
              </c:strCache>
            </c:strRef>
          </c:tx>
          <c:spPr>
            <a:ln w="25400">
              <a:solidFill>
                <a:srgbClr val="FF0000"/>
              </a:solidFill>
              <a:prstDash val="solid"/>
            </a:ln>
          </c:spPr>
          <c:marker>
            <c:symbol val="none"/>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Sector1!$G$119:$AC$119</c:f>
              <c:numCache>
                <c:formatCode>0.0</c:formatCode>
                <c:ptCount val="12"/>
                <c:pt idx="0">
                  <c:v>10.911965293479643</c:v>
                </c:pt>
                <c:pt idx="1">
                  <c:v>25.017370960853214</c:v>
                </c:pt>
                <c:pt idx="2">
                  <c:v>8.6467192885842934</c:v>
                </c:pt>
                <c:pt idx="3">
                  <c:v>-19.40306072643444</c:v>
                </c:pt>
                <c:pt idx="4">
                  <c:v>18.564404288572579</c:v>
                </c:pt>
                <c:pt idx="5">
                  <c:v>17.96164855047553</c:v>
                </c:pt>
                <c:pt idx="6">
                  <c:v>6.637422371885493</c:v>
                </c:pt>
                <c:pt idx="7">
                  <c:v>4.5335569736098202</c:v>
                </c:pt>
                <c:pt idx="8">
                  <c:v>2.1574887613675209</c:v>
                </c:pt>
                <c:pt idx="9">
                  <c:v>-4.5899728569255949</c:v>
                </c:pt>
                <c:pt idx="10">
                  <c:v>-1.82051307598039</c:v>
                </c:pt>
                <c:pt idx="11">
                  <c:v>9.579592722492535</c:v>
                </c:pt>
              </c:numCache>
            </c:numRef>
          </c:val>
          <c:smooth val="0"/>
        </c:ser>
        <c:dLbls>
          <c:showLegendKey val="0"/>
          <c:showVal val="0"/>
          <c:showCatName val="0"/>
          <c:showSerName val="0"/>
          <c:showPercent val="0"/>
          <c:showBubbleSize val="0"/>
        </c:dLbls>
        <c:marker val="1"/>
        <c:smooth val="0"/>
        <c:axId val="319233024"/>
        <c:axId val="319238912"/>
      </c:lineChart>
      <c:catAx>
        <c:axId val="319233024"/>
        <c:scaling>
          <c:orientation val="minMax"/>
        </c:scaling>
        <c:delete val="0"/>
        <c:axPos val="b"/>
        <c:majorGridlines>
          <c:spPr>
            <a:ln w="3175">
              <a:solidFill>
                <a:srgbClr val="000000"/>
              </a:solidFill>
              <a:prstDash val="solid"/>
            </a:ln>
          </c:spPr>
        </c:majorGridlines>
        <c:numFmt formatCode="0" sourceLinked="0"/>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319238912"/>
        <c:crosses val="autoZero"/>
        <c:auto val="1"/>
        <c:lblAlgn val="ctr"/>
        <c:lblOffset val="100"/>
        <c:tickLblSkip val="2"/>
        <c:tickMarkSkip val="1"/>
        <c:noMultiLvlLbl val="0"/>
      </c:catAx>
      <c:valAx>
        <c:axId val="319238912"/>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319233024"/>
        <c:crosses val="autoZero"/>
        <c:crossBetween val="between"/>
      </c:valAx>
      <c:spPr>
        <a:noFill/>
        <a:ln w="12700">
          <a:solidFill>
            <a:srgbClr val="808080"/>
          </a:solidFill>
          <a:prstDash val="solid"/>
        </a:ln>
      </c:spPr>
    </c:plotArea>
    <c:legend>
      <c:legendPos val="r"/>
      <c:layout>
        <c:manualLayout>
          <c:xMode val="edge"/>
          <c:yMode val="edge"/>
          <c:x val="4.0178571428571432E-2"/>
          <c:y val="0.85434408934177342"/>
          <c:w val="0.94642950881139853"/>
          <c:h val="0.1260507142489542"/>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Household income tax related to HH compensation of employees (domestic)</a:t>
            </a:r>
          </a:p>
        </c:rich>
      </c:tx>
      <c:layout>
        <c:manualLayout>
          <c:xMode val="edge"/>
          <c:yMode val="edge"/>
          <c:x val="0.11830380577427821"/>
          <c:y val="3.3613445378151259E-2"/>
        </c:manualLayout>
      </c:layout>
      <c:overlay val="0"/>
      <c:spPr>
        <a:noFill/>
        <a:ln w="25400">
          <a:noFill/>
        </a:ln>
      </c:spPr>
    </c:title>
    <c:autoTitleDeleted val="0"/>
    <c:plotArea>
      <c:layout>
        <c:manualLayout>
          <c:layoutTarget val="inner"/>
          <c:xMode val="edge"/>
          <c:yMode val="edge"/>
          <c:x val="0.10044653804946686"/>
          <c:y val="0.22409024884631271"/>
          <c:w val="0.86830451780539142"/>
          <c:h val="0.51260644423594037"/>
        </c:manualLayout>
      </c:layout>
      <c:lineChart>
        <c:grouping val="standard"/>
        <c:varyColors val="0"/>
        <c:ser>
          <c:idx val="0"/>
          <c:order val="0"/>
          <c:tx>
            <c:strRef>
              <c:f>Sector1!$D$209:$E$209</c:f>
              <c:strCache>
                <c:ptCount val="1"/>
                <c:pt idx="0">
                  <c:v>HH Current taxes on income and wealth (D.5p)  </c:v>
                </c:pt>
              </c:strCache>
            </c:strRef>
          </c:tx>
          <c:spPr>
            <a:ln w="25400">
              <a:solidFill>
                <a:srgbClr val="0000FF"/>
              </a:solidFill>
              <a:prstDash val="solid"/>
            </a:ln>
          </c:spPr>
          <c:marker>
            <c:symbol val="none"/>
          </c:marker>
          <c:cat>
            <c:numRef>
              <c:f>InputY!$G$3:$W$3</c:f>
              <c:numCache>
                <c:formatCode>0</c:formatCode>
                <c:ptCount val="17"/>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numCache>
            </c:numRef>
          </c:cat>
          <c:val>
            <c:numRef>
              <c:f>Sector1!$G$209:$AC$209</c:f>
              <c:numCache>
                <c:formatCode>0.0</c:formatCode>
                <c:ptCount val="12"/>
                <c:pt idx="0">
                  <c:v>13.489304720077167</c:v>
                </c:pt>
                <c:pt idx="1">
                  <c:v>16.076810681600051</c:v>
                </c:pt>
                <c:pt idx="2">
                  <c:v>12.589272547243358</c:v>
                </c:pt>
                <c:pt idx="3">
                  <c:v>-48.260053983000503</c:v>
                </c:pt>
                <c:pt idx="4">
                  <c:v>-5.9924958184530475</c:v>
                </c:pt>
                <c:pt idx="5">
                  <c:v>8.0267751521970965</c:v>
                </c:pt>
                <c:pt idx="6">
                  <c:v>4.9028248889363635</c:v>
                </c:pt>
                <c:pt idx="7">
                  <c:v>7.4335907663583445</c:v>
                </c:pt>
                <c:pt idx="8">
                  <c:v>5.3677649716799891</c:v>
                </c:pt>
                <c:pt idx="9">
                  <c:v>9.2312421279913792</c:v>
                </c:pt>
                <c:pt idx="10">
                  <c:v>6.8903271858720361</c:v>
                </c:pt>
                <c:pt idx="11" formatCode="0.00">
                  <c:v>7.44</c:v>
                </c:pt>
              </c:numCache>
            </c:numRef>
          </c:val>
          <c:smooth val="0"/>
        </c:ser>
        <c:ser>
          <c:idx val="1"/>
          <c:order val="1"/>
          <c:tx>
            <c:strRef>
              <c:f>Labour1!$D$224:$E$224</c:f>
              <c:strCache>
                <c:ptCount val="1"/>
                <c:pt idx="0">
                  <c:v>GVT Compensation of employees (D.1p) (Domestic)</c:v>
                </c:pt>
              </c:strCache>
            </c:strRef>
          </c:tx>
          <c:spPr>
            <a:ln w="25400">
              <a:solidFill>
                <a:srgbClr val="FF0000"/>
              </a:solidFill>
              <a:prstDash val="solid"/>
            </a:ln>
          </c:spPr>
          <c:marker>
            <c:symbol val="none"/>
          </c:marker>
          <c:cat>
            <c:numRef>
              <c:f>InputY!$G$3:$W$3</c:f>
              <c:numCache>
                <c:formatCode>0</c:formatCode>
                <c:ptCount val="17"/>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numCache>
            </c:numRef>
          </c:cat>
          <c:val>
            <c:numRef>
              <c:f>Labour1!$G$224:$AC$224</c:f>
              <c:numCache>
                <c:formatCode>0.0</c:formatCode>
                <c:ptCount val="14"/>
                <c:pt idx="0">
                  <c:v>13.457156870048914</c:v>
                </c:pt>
                <c:pt idx="1">
                  <c:v>16.551506205805964</c:v>
                </c:pt>
                <c:pt idx="2">
                  <c:v>20.625303696470176</c:v>
                </c:pt>
                <c:pt idx="3">
                  <c:v>19.933250951125302</c:v>
                </c:pt>
                <c:pt idx="4" formatCode="0.00">
                  <c:v>16.462651814471975</c:v>
                </c:pt>
                <c:pt idx="5" formatCode="0.00">
                  <c:v>-16.55735569384197</c:v>
                </c:pt>
                <c:pt idx="6" formatCode="0.00">
                  <c:v>-4.2433577525932353</c:v>
                </c:pt>
                <c:pt idx="7" formatCode="0.00">
                  <c:v>7.2024599889973562</c:v>
                </c:pt>
                <c:pt idx="8" formatCode="0.00">
                  <c:v>5.5380206228158535</c:v>
                </c:pt>
                <c:pt idx="9" formatCode="0.00">
                  <c:v>5.8994147360147409</c:v>
                </c:pt>
                <c:pt idx="10" formatCode="0.00">
                  <c:v>6.4129692882434197</c:v>
                </c:pt>
                <c:pt idx="11" formatCode="0.00">
                  <c:v>6.9293958600731953</c:v>
                </c:pt>
                <c:pt idx="12" formatCode="0.00">
                  <c:v>8.2608995937912368</c:v>
                </c:pt>
                <c:pt idx="13" formatCode="0.00">
                  <c:v>8.9820108145402209</c:v>
                </c:pt>
              </c:numCache>
            </c:numRef>
          </c:val>
          <c:smooth val="0"/>
        </c:ser>
        <c:dLbls>
          <c:showLegendKey val="0"/>
          <c:showVal val="0"/>
          <c:showCatName val="0"/>
          <c:showSerName val="0"/>
          <c:showPercent val="0"/>
          <c:showBubbleSize val="0"/>
        </c:dLbls>
        <c:marker val="1"/>
        <c:smooth val="0"/>
        <c:axId val="319272448"/>
        <c:axId val="319273984"/>
      </c:lineChart>
      <c:catAx>
        <c:axId val="319272448"/>
        <c:scaling>
          <c:orientation val="minMax"/>
        </c:scaling>
        <c:delete val="0"/>
        <c:axPos val="b"/>
        <c:majorGridlines>
          <c:spPr>
            <a:ln w="3175">
              <a:solidFill>
                <a:srgbClr val="000000"/>
              </a:solidFill>
              <a:prstDash val="solid"/>
            </a:ln>
          </c:spPr>
        </c:majorGridlines>
        <c:numFmt formatCode="0" sourceLinked="0"/>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19273984"/>
        <c:crosses val="autoZero"/>
        <c:auto val="1"/>
        <c:lblAlgn val="ctr"/>
        <c:lblOffset val="100"/>
        <c:tickLblSkip val="2"/>
        <c:tickMarkSkip val="1"/>
        <c:noMultiLvlLbl val="0"/>
      </c:catAx>
      <c:valAx>
        <c:axId val="319273984"/>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19272448"/>
        <c:crosses val="autoZero"/>
        <c:crossBetween val="between"/>
      </c:valAx>
      <c:spPr>
        <a:noFill/>
        <a:ln w="12700">
          <a:solidFill>
            <a:srgbClr val="808080"/>
          </a:solidFill>
          <a:prstDash val="solid"/>
        </a:ln>
      </c:spPr>
    </c:plotArea>
    <c:legend>
      <c:legendPos val="r"/>
      <c:layout>
        <c:manualLayout>
          <c:xMode val="edge"/>
          <c:yMode val="edge"/>
          <c:x val="0.15625023434570678"/>
          <c:y val="0.85434408934177342"/>
          <c:w val="0.75669736595425574"/>
          <c:h val="0.126050714248954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GB"/>
              <a:t>GVT total resources and expenditure as % of GDP</a:t>
            </a:r>
          </a:p>
        </c:rich>
      </c:tx>
      <c:layout>
        <c:manualLayout>
          <c:xMode val="edge"/>
          <c:yMode val="edge"/>
          <c:x val="0.14732166291713536"/>
          <c:y val="3.3613445378151259E-2"/>
        </c:manualLayout>
      </c:layout>
      <c:overlay val="0"/>
      <c:spPr>
        <a:noFill/>
        <a:ln w="25400">
          <a:noFill/>
        </a:ln>
      </c:spPr>
    </c:title>
    <c:autoTitleDeleted val="0"/>
    <c:plotArea>
      <c:layout>
        <c:manualLayout>
          <c:layoutTarget val="inner"/>
          <c:xMode val="edge"/>
          <c:yMode val="edge"/>
          <c:x val="0.14285729855924176"/>
          <c:y val="0.17366994285589235"/>
          <c:w val="0.79017943265580604"/>
          <c:h val="0.57983351888983414"/>
        </c:manualLayout>
      </c:layout>
      <c:lineChart>
        <c:grouping val="standard"/>
        <c:varyColors val="0"/>
        <c:ser>
          <c:idx val="0"/>
          <c:order val="0"/>
          <c:tx>
            <c:strRef>
              <c:f>Sector1!$E$631</c:f>
              <c:strCache>
                <c:ptCount val="1"/>
                <c:pt idx="0">
                  <c:v>Total government revenue (harmonised)</c:v>
                </c:pt>
              </c:strCache>
            </c:strRef>
          </c:tx>
          <c:spPr>
            <a:ln w="25400">
              <a:solidFill>
                <a:srgbClr val="FF0000"/>
              </a:solidFill>
              <a:prstDash val="solid"/>
            </a:ln>
          </c:spPr>
          <c:marker>
            <c:symbol val="circle"/>
            <c:size val="7"/>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Sector1!$G$642:$AC$642</c:f>
              <c:numCache>
                <c:formatCode>0.0%</c:formatCode>
                <c:ptCount val="12"/>
                <c:pt idx="0">
                  <c:v>0.34038409945853637</c:v>
                </c:pt>
                <c:pt idx="1">
                  <c:v>0.34440470705555593</c:v>
                </c:pt>
                <c:pt idx="2" formatCode="0.00%">
                  <c:v>0.35007896922830362</c:v>
                </c:pt>
                <c:pt idx="3" formatCode="0.00%">
                  <c:v>0.3578267833235938</c:v>
                </c:pt>
                <c:pt idx="4" formatCode="0.00%">
                  <c:v>0.35398174517601544</c:v>
                </c:pt>
                <c:pt idx="5" formatCode="0.00%">
                  <c:v>0.33533118126369293</c:v>
                </c:pt>
                <c:pt idx="6" formatCode="0.00%">
                  <c:v>0.32956794432609821</c:v>
                </c:pt>
                <c:pt idx="7" formatCode="0.00%">
                  <c:v>0.32883023714482268</c:v>
                </c:pt>
                <c:pt idx="8" formatCode="0.00%">
                  <c:v>0.34021233703089121</c:v>
                </c:pt>
                <c:pt idx="9" formatCode="0.00%">
                  <c:v>0.34644040697247219</c:v>
                </c:pt>
                <c:pt idx="10" formatCode="0.00%">
                  <c:v>0.34472612205547071</c:v>
                </c:pt>
                <c:pt idx="11" formatCode="0.00%">
                  <c:v>0.34759318418913143</c:v>
                </c:pt>
              </c:numCache>
            </c:numRef>
          </c:val>
          <c:smooth val="0"/>
        </c:ser>
        <c:ser>
          <c:idx val="1"/>
          <c:order val="1"/>
          <c:tx>
            <c:strRef>
              <c:f>Sector1!$E$664</c:f>
              <c:strCache>
                <c:ptCount val="1"/>
                <c:pt idx="0">
                  <c:v>Total government expenditure (harmonised)</c:v>
                </c:pt>
              </c:strCache>
            </c:strRef>
          </c:tx>
          <c:spPr>
            <a:ln w="25400">
              <a:solidFill>
                <a:srgbClr val="0000FF"/>
              </a:solidFill>
              <a:prstDash val="solid"/>
            </a:ln>
          </c:spPr>
          <c:marker>
            <c:symbol val="circle"/>
            <c:size val="7"/>
            <c:spPr>
              <a:solidFill>
                <a:srgbClr val="FFFFFF"/>
              </a:solidFill>
              <a:ln>
                <a:solidFill>
                  <a:srgbClr val="0000FF"/>
                </a:solidFill>
                <a:prstDash val="solid"/>
              </a:ln>
            </c:spPr>
          </c:marker>
          <c:val>
            <c:numRef>
              <c:f>Sector1!$G$678:$AC$678</c:f>
              <c:numCache>
                <c:formatCode>0.0%</c:formatCode>
                <c:ptCount val="12"/>
                <c:pt idx="0">
                  <c:v>0.34310512235051194</c:v>
                </c:pt>
                <c:pt idx="1">
                  <c:v>0.35255775867352879</c:v>
                </c:pt>
                <c:pt idx="2">
                  <c:v>0.38090938785696715</c:v>
                </c:pt>
                <c:pt idx="3" formatCode="0.00%">
                  <c:v>0.44888326708699006</c:v>
                </c:pt>
                <c:pt idx="4" formatCode="0.00%">
                  <c:v>0.42298893307539764</c:v>
                </c:pt>
                <c:pt idx="5" formatCode="0.00%">
                  <c:v>0.4247288277146325</c:v>
                </c:pt>
                <c:pt idx="6" formatCode="0.00%">
                  <c:v>0.36102305112556848</c:v>
                </c:pt>
                <c:pt idx="7" formatCode="0.00%">
                  <c:v>0.35492918264341888</c:v>
                </c:pt>
                <c:pt idx="8" formatCode="0.00%">
                  <c:v>0.34638599354413163</c:v>
                </c:pt>
                <c:pt idx="9" formatCode="0.00%">
                  <c:v>0.34888813066425195</c:v>
                </c:pt>
                <c:pt idx="10" formatCode="0.00%">
                  <c:v>0.34206244284727133</c:v>
                </c:pt>
                <c:pt idx="11" formatCode="0.00%">
                  <c:v>0.33960069125231285</c:v>
                </c:pt>
              </c:numCache>
            </c:numRef>
          </c:val>
          <c:smooth val="0"/>
        </c:ser>
        <c:dLbls>
          <c:showLegendKey val="0"/>
          <c:showVal val="0"/>
          <c:showCatName val="0"/>
          <c:showSerName val="0"/>
          <c:showPercent val="0"/>
          <c:showBubbleSize val="0"/>
        </c:dLbls>
        <c:marker val="1"/>
        <c:smooth val="0"/>
        <c:axId val="320588800"/>
        <c:axId val="320590976"/>
      </c:lineChart>
      <c:catAx>
        <c:axId val="320588800"/>
        <c:scaling>
          <c:orientation val="minMax"/>
        </c:scaling>
        <c:delete val="0"/>
        <c:axPos val="b"/>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320590976"/>
        <c:crosses val="autoZero"/>
        <c:auto val="1"/>
        <c:lblAlgn val="ctr"/>
        <c:lblOffset val="100"/>
        <c:tickLblSkip val="2"/>
        <c:tickMarkSkip val="1"/>
        <c:noMultiLvlLbl val="0"/>
      </c:catAx>
      <c:valAx>
        <c:axId val="320590976"/>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320588800"/>
        <c:crosses val="autoZero"/>
        <c:crossBetween val="midCat"/>
      </c:valAx>
      <c:spPr>
        <a:noFill/>
        <a:ln w="12700">
          <a:solidFill>
            <a:srgbClr val="808080"/>
          </a:solidFill>
          <a:prstDash val="solid"/>
        </a:ln>
      </c:spPr>
    </c:plotArea>
    <c:legend>
      <c:legendPos val="r"/>
      <c:layout>
        <c:manualLayout>
          <c:xMode val="edge"/>
          <c:yMode val="edge"/>
          <c:x val="8.4821428571428575E-2"/>
          <c:y val="0.86274745068631131"/>
          <c:w val="0.83705450881139853"/>
          <c:h val="0.12324959380077494"/>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21" Type="http://schemas.openxmlformats.org/officeDocument/2006/relationships/chart" Target="../charts/chart21.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s>
</file>

<file path=xl/drawings/_rels/drawing3.xml.rels><?xml version="1.0" encoding="UTF-8" standalone="yes"?>
<Relationships xmlns="http://schemas.openxmlformats.org/package/2006/relationships"><Relationship Id="rId8" Type="http://schemas.openxmlformats.org/officeDocument/2006/relationships/chart" Target="../charts/chart32.xml"/><Relationship Id="rId13" Type="http://schemas.openxmlformats.org/officeDocument/2006/relationships/chart" Target="../charts/chart37.xml"/><Relationship Id="rId18" Type="http://schemas.openxmlformats.org/officeDocument/2006/relationships/chart" Target="../charts/chart42.xml"/><Relationship Id="rId3" Type="http://schemas.openxmlformats.org/officeDocument/2006/relationships/chart" Target="../charts/chart27.xml"/><Relationship Id="rId7" Type="http://schemas.openxmlformats.org/officeDocument/2006/relationships/chart" Target="../charts/chart31.xml"/><Relationship Id="rId12" Type="http://schemas.openxmlformats.org/officeDocument/2006/relationships/chart" Target="../charts/chart36.xml"/><Relationship Id="rId17" Type="http://schemas.openxmlformats.org/officeDocument/2006/relationships/chart" Target="../charts/chart41.xml"/><Relationship Id="rId2" Type="http://schemas.openxmlformats.org/officeDocument/2006/relationships/chart" Target="../charts/chart26.xml"/><Relationship Id="rId16" Type="http://schemas.openxmlformats.org/officeDocument/2006/relationships/chart" Target="../charts/chart40.xml"/><Relationship Id="rId20" Type="http://schemas.openxmlformats.org/officeDocument/2006/relationships/chart" Target="../charts/chart44.xml"/><Relationship Id="rId1" Type="http://schemas.openxmlformats.org/officeDocument/2006/relationships/chart" Target="../charts/chart25.xml"/><Relationship Id="rId6" Type="http://schemas.openxmlformats.org/officeDocument/2006/relationships/chart" Target="../charts/chart30.xml"/><Relationship Id="rId11" Type="http://schemas.openxmlformats.org/officeDocument/2006/relationships/chart" Target="../charts/chart35.xml"/><Relationship Id="rId5" Type="http://schemas.openxmlformats.org/officeDocument/2006/relationships/chart" Target="../charts/chart29.xml"/><Relationship Id="rId15" Type="http://schemas.openxmlformats.org/officeDocument/2006/relationships/chart" Target="../charts/chart39.xml"/><Relationship Id="rId10" Type="http://schemas.openxmlformats.org/officeDocument/2006/relationships/chart" Target="../charts/chart34.xml"/><Relationship Id="rId19" Type="http://schemas.openxmlformats.org/officeDocument/2006/relationships/chart" Target="../charts/chart43.xml"/><Relationship Id="rId4" Type="http://schemas.openxmlformats.org/officeDocument/2006/relationships/chart" Target="../charts/chart28.xml"/><Relationship Id="rId9" Type="http://schemas.openxmlformats.org/officeDocument/2006/relationships/chart" Target="../charts/chart33.xml"/><Relationship Id="rId14" Type="http://schemas.openxmlformats.org/officeDocument/2006/relationships/chart" Target="../charts/chart38.xml"/></Relationships>
</file>

<file path=xl/drawings/_rels/drawing4.xml.rels><?xml version="1.0" encoding="UTF-8" standalone="yes"?>
<Relationships xmlns="http://schemas.openxmlformats.org/package/2006/relationships"><Relationship Id="rId8" Type="http://schemas.openxmlformats.org/officeDocument/2006/relationships/chart" Target="../charts/chart52.xml"/><Relationship Id="rId13" Type="http://schemas.openxmlformats.org/officeDocument/2006/relationships/chart" Target="../charts/chart57.xml"/><Relationship Id="rId18" Type="http://schemas.openxmlformats.org/officeDocument/2006/relationships/chart" Target="../charts/chart62.xml"/><Relationship Id="rId3" Type="http://schemas.openxmlformats.org/officeDocument/2006/relationships/chart" Target="../charts/chart47.xml"/><Relationship Id="rId7" Type="http://schemas.openxmlformats.org/officeDocument/2006/relationships/chart" Target="../charts/chart51.xml"/><Relationship Id="rId12" Type="http://schemas.openxmlformats.org/officeDocument/2006/relationships/chart" Target="../charts/chart56.xml"/><Relationship Id="rId17" Type="http://schemas.openxmlformats.org/officeDocument/2006/relationships/chart" Target="../charts/chart61.xml"/><Relationship Id="rId2" Type="http://schemas.openxmlformats.org/officeDocument/2006/relationships/chart" Target="../charts/chart46.xml"/><Relationship Id="rId16" Type="http://schemas.openxmlformats.org/officeDocument/2006/relationships/chart" Target="../charts/chart60.xml"/><Relationship Id="rId20" Type="http://schemas.openxmlformats.org/officeDocument/2006/relationships/chart" Target="../charts/chart64.xml"/><Relationship Id="rId1" Type="http://schemas.openxmlformats.org/officeDocument/2006/relationships/chart" Target="../charts/chart45.xml"/><Relationship Id="rId6" Type="http://schemas.openxmlformats.org/officeDocument/2006/relationships/chart" Target="../charts/chart50.xml"/><Relationship Id="rId11" Type="http://schemas.openxmlformats.org/officeDocument/2006/relationships/chart" Target="../charts/chart55.xml"/><Relationship Id="rId5" Type="http://schemas.openxmlformats.org/officeDocument/2006/relationships/chart" Target="../charts/chart49.xml"/><Relationship Id="rId15" Type="http://schemas.openxmlformats.org/officeDocument/2006/relationships/chart" Target="../charts/chart59.xml"/><Relationship Id="rId10" Type="http://schemas.openxmlformats.org/officeDocument/2006/relationships/chart" Target="../charts/chart54.xml"/><Relationship Id="rId19" Type="http://schemas.openxmlformats.org/officeDocument/2006/relationships/chart" Target="../charts/chart63.xml"/><Relationship Id="rId4" Type="http://schemas.openxmlformats.org/officeDocument/2006/relationships/chart" Target="../charts/chart48.xml"/><Relationship Id="rId9" Type="http://schemas.openxmlformats.org/officeDocument/2006/relationships/chart" Target="../charts/chart53.xml"/><Relationship Id="rId14" Type="http://schemas.openxmlformats.org/officeDocument/2006/relationships/chart" Target="../charts/chart58.xml"/></Relationships>
</file>

<file path=xl/drawings/_rels/drawing6.xml.rels><?xml version="1.0" encoding="UTF-8" standalone="yes"?>
<Relationships xmlns="http://schemas.openxmlformats.org/package/2006/relationships"><Relationship Id="rId8" Type="http://schemas.openxmlformats.org/officeDocument/2006/relationships/chart" Target="../charts/chart72.xml"/><Relationship Id="rId13" Type="http://schemas.openxmlformats.org/officeDocument/2006/relationships/chart" Target="../charts/chart77.xml"/><Relationship Id="rId18" Type="http://schemas.openxmlformats.org/officeDocument/2006/relationships/chart" Target="../charts/chart82.xml"/><Relationship Id="rId26" Type="http://schemas.openxmlformats.org/officeDocument/2006/relationships/chart" Target="../charts/chart90.xml"/><Relationship Id="rId39" Type="http://schemas.openxmlformats.org/officeDocument/2006/relationships/chart" Target="../charts/chart103.xml"/><Relationship Id="rId3" Type="http://schemas.openxmlformats.org/officeDocument/2006/relationships/chart" Target="../charts/chart67.xml"/><Relationship Id="rId21" Type="http://schemas.openxmlformats.org/officeDocument/2006/relationships/chart" Target="../charts/chart85.xml"/><Relationship Id="rId34" Type="http://schemas.openxmlformats.org/officeDocument/2006/relationships/chart" Target="../charts/chart98.xml"/><Relationship Id="rId42" Type="http://schemas.openxmlformats.org/officeDocument/2006/relationships/chart" Target="../charts/chart106.xml"/><Relationship Id="rId7" Type="http://schemas.openxmlformats.org/officeDocument/2006/relationships/chart" Target="../charts/chart71.xml"/><Relationship Id="rId12" Type="http://schemas.openxmlformats.org/officeDocument/2006/relationships/chart" Target="../charts/chart76.xml"/><Relationship Id="rId17" Type="http://schemas.openxmlformats.org/officeDocument/2006/relationships/chart" Target="../charts/chart81.xml"/><Relationship Id="rId25" Type="http://schemas.openxmlformats.org/officeDocument/2006/relationships/chart" Target="../charts/chart89.xml"/><Relationship Id="rId33" Type="http://schemas.openxmlformats.org/officeDocument/2006/relationships/chart" Target="../charts/chart97.xml"/><Relationship Id="rId38" Type="http://schemas.openxmlformats.org/officeDocument/2006/relationships/chart" Target="../charts/chart102.xml"/><Relationship Id="rId2" Type="http://schemas.openxmlformats.org/officeDocument/2006/relationships/chart" Target="../charts/chart66.xml"/><Relationship Id="rId16" Type="http://schemas.openxmlformats.org/officeDocument/2006/relationships/chart" Target="../charts/chart80.xml"/><Relationship Id="rId20" Type="http://schemas.openxmlformats.org/officeDocument/2006/relationships/chart" Target="../charts/chart84.xml"/><Relationship Id="rId29" Type="http://schemas.openxmlformats.org/officeDocument/2006/relationships/chart" Target="../charts/chart93.xml"/><Relationship Id="rId41" Type="http://schemas.openxmlformats.org/officeDocument/2006/relationships/chart" Target="../charts/chart105.xml"/><Relationship Id="rId1" Type="http://schemas.openxmlformats.org/officeDocument/2006/relationships/chart" Target="../charts/chart65.xml"/><Relationship Id="rId6" Type="http://schemas.openxmlformats.org/officeDocument/2006/relationships/chart" Target="../charts/chart70.xml"/><Relationship Id="rId11" Type="http://schemas.openxmlformats.org/officeDocument/2006/relationships/chart" Target="../charts/chart75.xml"/><Relationship Id="rId24" Type="http://schemas.openxmlformats.org/officeDocument/2006/relationships/chart" Target="../charts/chart88.xml"/><Relationship Id="rId32" Type="http://schemas.openxmlformats.org/officeDocument/2006/relationships/chart" Target="../charts/chart96.xml"/><Relationship Id="rId37" Type="http://schemas.openxmlformats.org/officeDocument/2006/relationships/chart" Target="../charts/chart101.xml"/><Relationship Id="rId40" Type="http://schemas.openxmlformats.org/officeDocument/2006/relationships/chart" Target="../charts/chart104.xml"/><Relationship Id="rId5" Type="http://schemas.openxmlformats.org/officeDocument/2006/relationships/chart" Target="../charts/chart69.xml"/><Relationship Id="rId15" Type="http://schemas.openxmlformats.org/officeDocument/2006/relationships/chart" Target="../charts/chart79.xml"/><Relationship Id="rId23" Type="http://schemas.openxmlformats.org/officeDocument/2006/relationships/chart" Target="../charts/chart87.xml"/><Relationship Id="rId28" Type="http://schemas.openxmlformats.org/officeDocument/2006/relationships/chart" Target="../charts/chart92.xml"/><Relationship Id="rId36" Type="http://schemas.openxmlformats.org/officeDocument/2006/relationships/chart" Target="../charts/chart100.xml"/><Relationship Id="rId10" Type="http://schemas.openxmlformats.org/officeDocument/2006/relationships/chart" Target="../charts/chart74.xml"/><Relationship Id="rId19" Type="http://schemas.openxmlformats.org/officeDocument/2006/relationships/chart" Target="../charts/chart83.xml"/><Relationship Id="rId31" Type="http://schemas.openxmlformats.org/officeDocument/2006/relationships/chart" Target="../charts/chart95.xml"/><Relationship Id="rId4" Type="http://schemas.openxmlformats.org/officeDocument/2006/relationships/chart" Target="../charts/chart68.xml"/><Relationship Id="rId9" Type="http://schemas.openxmlformats.org/officeDocument/2006/relationships/chart" Target="../charts/chart73.xml"/><Relationship Id="rId14" Type="http://schemas.openxmlformats.org/officeDocument/2006/relationships/chart" Target="../charts/chart78.xml"/><Relationship Id="rId22" Type="http://schemas.openxmlformats.org/officeDocument/2006/relationships/chart" Target="../charts/chart86.xml"/><Relationship Id="rId27" Type="http://schemas.openxmlformats.org/officeDocument/2006/relationships/chart" Target="../charts/chart91.xml"/><Relationship Id="rId30" Type="http://schemas.openxmlformats.org/officeDocument/2006/relationships/chart" Target="../charts/chart94.xml"/><Relationship Id="rId35" Type="http://schemas.openxmlformats.org/officeDocument/2006/relationships/chart" Target="../charts/chart99.xml"/><Relationship Id="rId43" Type="http://schemas.openxmlformats.org/officeDocument/2006/relationships/chart" Target="../charts/chart107.xml"/></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3</xdr:row>
      <xdr:rowOff>0</xdr:rowOff>
    </xdr:from>
    <xdr:to>
      <xdr:col>3</xdr:col>
      <xdr:colOff>342900</xdr:colOff>
      <xdr:row>9</xdr:row>
      <xdr:rowOff>114300</xdr:rowOff>
    </xdr:to>
    <xdr:pic>
      <xdr:nvPicPr>
        <xdr:cNvPr id="10395713" name="Picture 1" descr="EuropeFlag20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3850" y="485775"/>
          <a:ext cx="190500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12</xdr:row>
      <xdr:rowOff>0</xdr:rowOff>
    </xdr:from>
    <xdr:to>
      <xdr:col>3</xdr:col>
      <xdr:colOff>333375</xdr:colOff>
      <xdr:row>18</xdr:row>
      <xdr:rowOff>76200</xdr:rowOff>
    </xdr:to>
    <xdr:pic>
      <xdr:nvPicPr>
        <xdr:cNvPr id="10395714" name="Picture 3" descr="L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23850" y="2124075"/>
          <a:ext cx="1895475"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31</xdr:row>
      <xdr:rowOff>0</xdr:rowOff>
    </xdr:from>
    <xdr:to>
      <xdr:col>7</xdr:col>
      <xdr:colOff>0</xdr:colOff>
      <xdr:row>52</xdr:row>
      <xdr:rowOff>0</xdr:rowOff>
    </xdr:to>
    <xdr:graphicFrame macro="">
      <xdr:nvGraphicFramePr>
        <xdr:cNvPr id="10418945"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31</xdr:row>
      <xdr:rowOff>0</xdr:rowOff>
    </xdr:from>
    <xdr:to>
      <xdr:col>14</xdr:col>
      <xdr:colOff>0</xdr:colOff>
      <xdr:row>52</xdr:row>
      <xdr:rowOff>0</xdr:rowOff>
    </xdr:to>
    <xdr:graphicFrame macro="">
      <xdr:nvGraphicFramePr>
        <xdr:cNvPr id="10418946"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52</xdr:row>
      <xdr:rowOff>0</xdr:rowOff>
    </xdr:from>
    <xdr:to>
      <xdr:col>7</xdr:col>
      <xdr:colOff>0</xdr:colOff>
      <xdr:row>73</xdr:row>
      <xdr:rowOff>0</xdr:rowOff>
    </xdr:to>
    <xdr:graphicFrame macro="">
      <xdr:nvGraphicFramePr>
        <xdr:cNvPr id="10418947"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0</xdr:colOff>
      <xdr:row>52</xdr:row>
      <xdr:rowOff>0</xdr:rowOff>
    </xdr:from>
    <xdr:to>
      <xdr:col>14</xdr:col>
      <xdr:colOff>0</xdr:colOff>
      <xdr:row>73</xdr:row>
      <xdr:rowOff>0</xdr:rowOff>
    </xdr:to>
    <xdr:graphicFrame macro="">
      <xdr:nvGraphicFramePr>
        <xdr:cNvPr id="10418948"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76</xdr:row>
      <xdr:rowOff>0</xdr:rowOff>
    </xdr:from>
    <xdr:to>
      <xdr:col>7</xdr:col>
      <xdr:colOff>0</xdr:colOff>
      <xdr:row>97</xdr:row>
      <xdr:rowOff>9525</xdr:rowOff>
    </xdr:to>
    <xdr:graphicFrame macro="">
      <xdr:nvGraphicFramePr>
        <xdr:cNvPr id="10418949"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97</xdr:row>
      <xdr:rowOff>9525</xdr:rowOff>
    </xdr:from>
    <xdr:to>
      <xdr:col>7</xdr:col>
      <xdr:colOff>0</xdr:colOff>
      <xdr:row>118</xdr:row>
      <xdr:rowOff>0</xdr:rowOff>
    </xdr:to>
    <xdr:graphicFrame macro="">
      <xdr:nvGraphicFramePr>
        <xdr:cNvPr id="10418950"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76</xdr:row>
      <xdr:rowOff>0</xdr:rowOff>
    </xdr:from>
    <xdr:to>
      <xdr:col>14</xdr:col>
      <xdr:colOff>0</xdr:colOff>
      <xdr:row>97</xdr:row>
      <xdr:rowOff>9525</xdr:rowOff>
    </xdr:to>
    <xdr:graphicFrame macro="">
      <xdr:nvGraphicFramePr>
        <xdr:cNvPr id="10418951"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3</xdr:row>
      <xdr:rowOff>0</xdr:rowOff>
    </xdr:from>
    <xdr:to>
      <xdr:col>14</xdr:col>
      <xdr:colOff>0</xdr:colOff>
      <xdr:row>28</xdr:row>
      <xdr:rowOff>0</xdr:rowOff>
    </xdr:to>
    <xdr:graphicFrame macro="">
      <xdr:nvGraphicFramePr>
        <xdr:cNvPr id="10418952"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142</xdr:row>
      <xdr:rowOff>0</xdr:rowOff>
    </xdr:from>
    <xdr:to>
      <xdr:col>7</xdr:col>
      <xdr:colOff>0</xdr:colOff>
      <xdr:row>163</xdr:row>
      <xdr:rowOff>9525</xdr:rowOff>
    </xdr:to>
    <xdr:graphicFrame macro="">
      <xdr:nvGraphicFramePr>
        <xdr:cNvPr id="10418953"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142</xdr:row>
      <xdr:rowOff>0</xdr:rowOff>
    </xdr:from>
    <xdr:to>
      <xdr:col>14</xdr:col>
      <xdr:colOff>0</xdr:colOff>
      <xdr:row>163</xdr:row>
      <xdr:rowOff>9525</xdr:rowOff>
    </xdr:to>
    <xdr:graphicFrame macro="">
      <xdr:nvGraphicFramePr>
        <xdr:cNvPr id="10418954"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166</xdr:row>
      <xdr:rowOff>0</xdr:rowOff>
    </xdr:from>
    <xdr:to>
      <xdr:col>7</xdr:col>
      <xdr:colOff>0</xdr:colOff>
      <xdr:row>187</xdr:row>
      <xdr:rowOff>0</xdr:rowOff>
    </xdr:to>
    <xdr:graphicFrame macro="">
      <xdr:nvGraphicFramePr>
        <xdr:cNvPr id="10418955"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187</xdr:row>
      <xdr:rowOff>0</xdr:rowOff>
    </xdr:from>
    <xdr:to>
      <xdr:col>7</xdr:col>
      <xdr:colOff>0</xdr:colOff>
      <xdr:row>207</xdr:row>
      <xdr:rowOff>152400</xdr:rowOff>
    </xdr:to>
    <xdr:graphicFrame macro="">
      <xdr:nvGraphicFramePr>
        <xdr:cNvPr id="10418956"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0</xdr:colOff>
      <xdr:row>211</xdr:row>
      <xdr:rowOff>9525</xdr:rowOff>
    </xdr:from>
    <xdr:to>
      <xdr:col>7</xdr:col>
      <xdr:colOff>0</xdr:colOff>
      <xdr:row>232</xdr:row>
      <xdr:rowOff>9525</xdr:rowOff>
    </xdr:to>
    <xdr:graphicFrame macro="">
      <xdr:nvGraphicFramePr>
        <xdr:cNvPr id="10418957"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0</xdr:col>
      <xdr:colOff>0</xdr:colOff>
      <xdr:row>232</xdr:row>
      <xdr:rowOff>9525</xdr:rowOff>
    </xdr:from>
    <xdr:to>
      <xdr:col>7</xdr:col>
      <xdr:colOff>0</xdr:colOff>
      <xdr:row>253</xdr:row>
      <xdr:rowOff>19050</xdr:rowOff>
    </xdr:to>
    <xdr:graphicFrame macro="">
      <xdr:nvGraphicFramePr>
        <xdr:cNvPr id="10418958"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7</xdr:col>
      <xdr:colOff>0</xdr:colOff>
      <xdr:row>211</xdr:row>
      <xdr:rowOff>9525</xdr:rowOff>
    </xdr:from>
    <xdr:to>
      <xdr:col>14</xdr:col>
      <xdr:colOff>0</xdr:colOff>
      <xdr:row>232</xdr:row>
      <xdr:rowOff>9525</xdr:rowOff>
    </xdr:to>
    <xdr:graphicFrame macro="">
      <xdr:nvGraphicFramePr>
        <xdr:cNvPr id="10418959"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7</xdr:col>
      <xdr:colOff>0</xdr:colOff>
      <xdr:row>187</xdr:row>
      <xdr:rowOff>0</xdr:rowOff>
    </xdr:from>
    <xdr:to>
      <xdr:col>14</xdr:col>
      <xdr:colOff>0</xdr:colOff>
      <xdr:row>207</xdr:row>
      <xdr:rowOff>152400</xdr:rowOff>
    </xdr:to>
    <xdr:graphicFrame macro="">
      <xdr:nvGraphicFramePr>
        <xdr:cNvPr id="10418960"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7</xdr:col>
      <xdr:colOff>0</xdr:colOff>
      <xdr:row>232</xdr:row>
      <xdr:rowOff>9525</xdr:rowOff>
    </xdr:from>
    <xdr:to>
      <xdr:col>14</xdr:col>
      <xdr:colOff>0</xdr:colOff>
      <xdr:row>253</xdr:row>
      <xdr:rowOff>19050</xdr:rowOff>
    </xdr:to>
    <xdr:graphicFrame macro="">
      <xdr:nvGraphicFramePr>
        <xdr:cNvPr id="10418961"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0</xdr:col>
      <xdr:colOff>0</xdr:colOff>
      <xdr:row>256</xdr:row>
      <xdr:rowOff>0</xdr:rowOff>
    </xdr:from>
    <xdr:to>
      <xdr:col>7</xdr:col>
      <xdr:colOff>0</xdr:colOff>
      <xdr:row>276</xdr:row>
      <xdr:rowOff>152400</xdr:rowOff>
    </xdr:to>
    <xdr:graphicFrame macro="">
      <xdr:nvGraphicFramePr>
        <xdr:cNvPr id="10418962"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7</xdr:col>
      <xdr:colOff>0</xdr:colOff>
      <xdr:row>256</xdr:row>
      <xdr:rowOff>0</xdr:rowOff>
    </xdr:from>
    <xdr:to>
      <xdr:col>14</xdr:col>
      <xdr:colOff>0</xdr:colOff>
      <xdr:row>276</xdr:row>
      <xdr:rowOff>152400</xdr:rowOff>
    </xdr:to>
    <xdr:graphicFrame macro="">
      <xdr:nvGraphicFramePr>
        <xdr:cNvPr id="10418963"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0</xdr:col>
      <xdr:colOff>0</xdr:colOff>
      <xdr:row>280</xdr:row>
      <xdr:rowOff>0</xdr:rowOff>
    </xdr:from>
    <xdr:to>
      <xdr:col>7</xdr:col>
      <xdr:colOff>0</xdr:colOff>
      <xdr:row>300</xdr:row>
      <xdr:rowOff>152400</xdr:rowOff>
    </xdr:to>
    <xdr:graphicFrame macro="">
      <xdr:nvGraphicFramePr>
        <xdr:cNvPr id="10418964"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7</xdr:col>
      <xdr:colOff>0</xdr:colOff>
      <xdr:row>280</xdr:row>
      <xdr:rowOff>0</xdr:rowOff>
    </xdr:from>
    <xdr:to>
      <xdr:col>14</xdr:col>
      <xdr:colOff>0</xdr:colOff>
      <xdr:row>300</xdr:row>
      <xdr:rowOff>152400</xdr:rowOff>
    </xdr:to>
    <xdr:graphicFrame macro="">
      <xdr:nvGraphicFramePr>
        <xdr:cNvPr id="10418965"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0</xdr:col>
      <xdr:colOff>0</xdr:colOff>
      <xdr:row>118</xdr:row>
      <xdr:rowOff>0</xdr:rowOff>
    </xdr:from>
    <xdr:to>
      <xdr:col>7</xdr:col>
      <xdr:colOff>0</xdr:colOff>
      <xdr:row>138</xdr:row>
      <xdr:rowOff>152400</xdr:rowOff>
    </xdr:to>
    <xdr:graphicFrame macro="">
      <xdr:nvGraphicFramePr>
        <xdr:cNvPr id="10418966" name="Chart 2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xdr:col>
      <xdr:colOff>0</xdr:colOff>
      <xdr:row>118</xdr:row>
      <xdr:rowOff>0</xdr:rowOff>
    </xdr:from>
    <xdr:to>
      <xdr:col>14</xdr:col>
      <xdr:colOff>0</xdr:colOff>
      <xdr:row>138</xdr:row>
      <xdr:rowOff>152400</xdr:rowOff>
    </xdr:to>
    <xdr:graphicFrame macro="">
      <xdr:nvGraphicFramePr>
        <xdr:cNvPr id="10418967"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xdr:col>
      <xdr:colOff>0</xdr:colOff>
      <xdr:row>97</xdr:row>
      <xdr:rowOff>9525</xdr:rowOff>
    </xdr:from>
    <xdr:to>
      <xdr:col>14</xdr:col>
      <xdr:colOff>0</xdr:colOff>
      <xdr:row>118</xdr:row>
      <xdr:rowOff>0</xdr:rowOff>
    </xdr:to>
    <xdr:graphicFrame macro="">
      <xdr:nvGraphicFramePr>
        <xdr:cNvPr id="10418968" name="Chart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3</xdr:row>
      <xdr:rowOff>0</xdr:rowOff>
    </xdr:from>
    <xdr:to>
      <xdr:col>14</xdr:col>
      <xdr:colOff>0</xdr:colOff>
      <xdr:row>21</xdr:row>
      <xdr:rowOff>0</xdr:rowOff>
    </xdr:to>
    <xdr:graphicFrame macro="">
      <xdr:nvGraphicFramePr>
        <xdr:cNvPr id="10502785"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0</xdr:rowOff>
    </xdr:from>
    <xdr:to>
      <xdr:col>14</xdr:col>
      <xdr:colOff>0</xdr:colOff>
      <xdr:row>39</xdr:row>
      <xdr:rowOff>0</xdr:rowOff>
    </xdr:to>
    <xdr:graphicFrame macro="">
      <xdr:nvGraphicFramePr>
        <xdr:cNvPr id="10502786"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42</xdr:row>
      <xdr:rowOff>0</xdr:rowOff>
    </xdr:from>
    <xdr:to>
      <xdr:col>14</xdr:col>
      <xdr:colOff>0</xdr:colOff>
      <xdr:row>60</xdr:row>
      <xdr:rowOff>0</xdr:rowOff>
    </xdr:to>
    <xdr:graphicFrame macro="">
      <xdr:nvGraphicFramePr>
        <xdr:cNvPr id="10502787"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60</xdr:row>
      <xdr:rowOff>0</xdr:rowOff>
    </xdr:from>
    <xdr:to>
      <xdr:col>14</xdr:col>
      <xdr:colOff>0</xdr:colOff>
      <xdr:row>77</xdr:row>
      <xdr:rowOff>152400</xdr:rowOff>
    </xdr:to>
    <xdr:graphicFrame macro="">
      <xdr:nvGraphicFramePr>
        <xdr:cNvPr id="10502788"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81</xdr:row>
      <xdr:rowOff>0</xdr:rowOff>
    </xdr:from>
    <xdr:to>
      <xdr:col>14</xdr:col>
      <xdr:colOff>0</xdr:colOff>
      <xdr:row>99</xdr:row>
      <xdr:rowOff>0</xdr:rowOff>
    </xdr:to>
    <xdr:graphicFrame macro="">
      <xdr:nvGraphicFramePr>
        <xdr:cNvPr id="10502789"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99</xdr:row>
      <xdr:rowOff>0</xdr:rowOff>
    </xdr:from>
    <xdr:to>
      <xdr:col>14</xdr:col>
      <xdr:colOff>0</xdr:colOff>
      <xdr:row>116</xdr:row>
      <xdr:rowOff>152400</xdr:rowOff>
    </xdr:to>
    <xdr:graphicFrame macro="">
      <xdr:nvGraphicFramePr>
        <xdr:cNvPr id="10502790"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120</xdr:row>
      <xdr:rowOff>0</xdr:rowOff>
    </xdr:from>
    <xdr:to>
      <xdr:col>14</xdr:col>
      <xdr:colOff>0</xdr:colOff>
      <xdr:row>138</xdr:row>
      <xdr:rowOff>0</xdr:rowOff>
    </xdr:to>
    <xdr:graphicFrame macro="">
      <xdr:nvGraphicFramePr>
        <xdr:cNvPr id="10502791"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138</xdr:row>
      <xdr:rowOff>0</xdr:rowOff>
    </xdr:from>
    <xdr:to>
      <xdr:col>14</xdr:col>
      <xdr:colOff>0</xdr:colOff>
      <xdr:row>156</xdr:row>
      <xdr:rowOff>0</xdr:rowOff>
    </xdr:to>
    <xdr:graphicFrame macro="">
      <xdr:nvGraphicFramePr>
        <xdr:cNvPr id="10502792"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159</xdr:row>
      <xdr:rowOff>0</xdr:rowOff>
    </xdr:from>
    <xdr:to>
      <xdr:col>14</xdr:col>
      <xdr:colOff>0</xdr:colOff>
      <xdr:row>177</xdr:row>
      <xdr:rowOff>0</xdr:rowOff>
    </xdr:to>
    <xdr:graphicFrame macro="">
      <xdr:nvGraphicFramePr>
        <xdr:cNvPr id="10502793"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177</xdr:row>
      <xdr:rowOff>0</xdr:rowOff>
    </xdr:from>
    <xdr:to>
      <xdr:col>14</xdr:col>
      <xdr:colOff>0</xdr:colOff>
      <xdr:row>195</xdr:row>
      <xdr:rowOff>0</xdr:rowOff>
    </xdr:to>
    <xdr:graphicFrame macro="">
      <xdr:nvGraphicFramePr>
        <xdr:cNvPr id="10502794"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198</xdr:row>
      <xdr:rowOff>0</xdr:rowOff>
    </xdr:from>
    <xdr:to>
      <xdr:col>14</xdr:col>
      <xdr:colOff>0</xdr:colOff>
      <xdr:row>216</xdr:row>
      <xdr:rowOff>0</xdr:rowOff>
    </xdr:to>
    <xdr:graphicFrame macro="">
      <xdr:nvGraphicFramePr>
        <xdr:cNvPr id="10502795"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216</xdr:row>
      <xdr:rowOff>0</xdr:rowOff>
    </xdr:from>
    <xdr:to>
      <xdr:col>14</xdr:col>
      <xdr:colOff>0</xdr:colOff>
      <xdr:row>233</xdr:row>
      <xdr:rowOff>152400</xdr:rowOff>
    </xdr:to>
    <xdr:graphicFrame macro="">
      <xdr:nvGraphicFramePr>
        <xdr:cNvPr id="10502796"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0</xdr:colOff>
      <xdr:row>237</xdr:row>
      <xdr:rowOff>0</xdr:rowOff>
    </xdr:from>
    <xdr:to>
      <xdr:col>14</xdr:col>
      <xdr:colOff>0</xdr:colOff>
      <xdr:row>255</xdr:row>
      <xdr:rowOff>0</xdr:rowOff>
    </xdr:to>
    <xdr:graphicFrame macro="">
      <xdr:nvGraphicFramePr>
        <xdr:cNvPr id="10502797"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0</xdr:col>
      <xdr:colOff>0</xdr:colOff>
      <xdr:row>255</xdr:row>
      <xdr:rowOff>0</xdr:rowOff>
    </xdr:from>
    <xdr:to>
      <xdr:col>14</xdr:col>
      <xdr:colOff>0</xdr:colOff>
      <xdr:row>273</xdr:row>
      <xdr:rowOff>0</xdr:rowOff>
    </xdr:to>
    <xdr:graphicFrame macro="">
      <xdr:nvGraphicFramePr>
        <xdr:cNvPr id="10502798"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0</xdr:col>
      <xdr:colOff>0</xdr:colOff>
      <xdr:row>276</xdr:row>
      <xdr:rowOff>9525</xdr:rowOff>
    </xdr:from>
    <xdr:to>
      <xdr:col>14</xdr:col>
      <xdr:colOff>0</xdr:colOff>
      <xdr:row>294</xdr:row>
      <xdr:rowOff>0</xdr:rowOff>
    </xdr:to>
    <xdr:graphicFrame macro="">
      <xdr:nvGraphicFramePr>
        <xdr:cNvPr id="10502799"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0</xdr:col>
      <xdr:colOff>0</xdr:colOff>
      <xdr:row>294</xdr:row>
      <xdr:rowOff>0</xdr:rowOff>
    </xdr:from>
    <xdr:to>
      <xdr:col>14</xdr:col>
      <xdr:colOff>0</xdr:colOff>
      <xdr:row>312</xdr:row>
      <xdr:rowOff>0</xdr:rowOff>
    </xdr:to>
    <xdr:graphicFrame macro="">
      <xdr:nvGraphicFramePr>
        <xdr:cNvPr id="10502800"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0</xdr:colOff>
      <xdr:row>315</xdr:row>
      <xdr:rowOff>9525</xdr:rowOff>
    </xdr:from>
    <xdr:to>
      <xdr:col>14</xdr:col>
      <xdr:colOff>0</xdr:colOff>
      <xdr:row>333</xdr:row>
      <xdr:rowOff>0</xdr:rowOff>
    </xdr:to>
    <xdr:graphicFrame macro="">
      <xdr:nvGraphicFramePr>
        <xdr:cNvPr id="10502801" name="Chart 2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0</xdr:col>
      <xdr:colOff>0</xdr:colOff>
      <xdr:row>333</xdr:row>
      <xdr:rowOff>0</xdr:rowOff>
    </xdr:from>
    <xdr:to>
      <xdr:col>14</xdr:col>
      <xdr:colOff>0</xdr:colOff>
      <xdr:row>351</xdr:row>
      <xdr:rowOff>0</xdr:rowOff>
    </xdr:to>
    <xdr:graphicFrame macro="">
      <xdr:nvGraphicFramePr>
        <xdr:cNvPr id="10502802"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0</xdr:col>
      <xdr:colOff>0</xdr:colOff>
      <xdr:row>372</xdr:row>
      <xdr:rowOff>9525</xdr:rowOff>
    </xdr:from>
    <xdr:to>
      <xdr:col>14</xdr:col>
      <xdr:colOff>0</xdr:colOff>
      <xdr:row>390</xdr:row>
      <xdr:rowOff>9525</xdr:rowOff>
    </xdr:to>
    <xdr:graphicFrame macro="">
      <xdr:nvGraphicFramePr>
        <xdr:cNvPr id="10502803" name="Chart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0</xdr:col>
      <xdr:colOff>0</xdr:colOff>
      <xdr:row>354</xdr:row>
      <xdr:rowOff>9525</xdr:rowOff>
    </xdr:from>
    <xdr:to>
      <xdr:col>14</xdr:col>
      <xdr:colOff>0</xdr:colOff>
      <xdr:row>372</xdr:row>
      <xdr:rowOff>9525</xdr:rowOff>
    </xdr:to>
    <xdr:graphicFrame macro="">
      <xdr:nvGraphicFramePr>
        <xdr:cNvPr id="10502804" name="Chart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3</xdr:row>
      <xdr:rowOff>0</xdr:rowOff>
    </xdr:from>
    <xdr:to>
      <xdr:col>7</xdr:col>
      <xdr:colOff>0</xdr:colOff>
      <xdr:row>24</xdr:row>
      <xdr:rowOff>0</xdr:rowOff>
    </xdr:to>
    <xdr:graphicFrame macro="">
      <xdr:nvGraphicFramePr>
        <xdr:cNvPr id="10559105"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3</xdr:row>
      <xdr:rowOff>0</xdr:rowOff>
    </xdr:from>
    <xdr:to>
      <xdr:col>14</xdr:col>
      <xdr:colOff>0</xdr:colOff>
      <xdr:row>24</xdr:row>
      <xdr:rowOff>0</xdr:rowOff>
    </xdr:to>
    <xdr:graphicFrame macro="">
      <xdr:nvGraphicFramePr>
        <xdr:cNvPr id="1055910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66</xdr:row>
      <xdr:rowOff>0</xdr:rowOff>
    </xdr:from>
    <xdr:to>
      <xdr:col>7</xdr:col>
      <xdr:colOff>0</xdr:colOff>
      <xdr:row>87</xdr:row>
      <xdr:rowOff>0</xdr:rowOff>
    </xdr:to>
    <xdr:graphicFrame macro="">
      <xdr:nvGraphicFramePr>
        <xdr:cNvPr id="1055910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0</xdr:colOff>
      <xdr:row>66</xdr:row>
      <xdr:rowOff>0</xdr:rowOff>
    </xdr:from>
    <xdr:to>
      <xdr:col>14</xdr:col>
      <xdr:colOff>0</xdr:colOff>
      <xdr:row>87</xdr:row>
      <xdr:rowOff>0</xdr:rowOff>
    </xdr:to>
    <xdr:graphicFrame macro="">
      <xdr:nvGraphicFramePr>
        <xdr:cNvPr id="1055910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111</xdr:row>
      <xdr:rowOff>0</xdr:rowOff>
    </xdr:from>
    <xdr:to>
      <xdr:col>7</xdr:col>
      <xdr:colOff>0</xdr:colOff>
      <xdr:row>132</xdr:row>
      <xdr:rowOff>0</xdr:rowOff>
    </xdr:to>
    <xdr:graphicFrame macro="">
      <xdr:nvGraphicFramePr>
        <xdr:cNvPr id="1055910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0</xdr:colOff>
      <xdr:row>111</xdr:row>
      <xdr:rowOff>0</xdr:rowOff>
    </xdr:from>
    <xdr:to>
      <xdr:col>14</xdr:col>
      <xdr:colOff>0</xdr:colOff>
      <xdr:row>132</xdr:row>
      <xdr:rowOff>0</xdr:rowOff>
    </xdr:to>
    <xdr:graphicFrame macro="">
      <xdr:nvGraphicFramePr>
        <xdr:cNvPr id="105591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135</xdr:row>
      <xdr:rowOff>0</xdr:rowOff>
    </xdr:from>
    <xdr:to>
      <xdr:col>7</xdr:col>
      <xdr:colOff>0</xdr:colOff>
      <xdr:row>156</xdr:row>
      <xdr:rowOff>0</xdr:rowOff>
    </xdr:to>
    <xdr:graphicFrame macro="">
      <xdr:nvGraphicFramePr>
        <xdr:cNvPr id="105591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0</xdr:colOff>
      <xdr:row>135</xdr:row>
      <xdr:rowOff>0</xdr:rowOff>
    </xdr:from>
    <xdr:to>
      <xdr:col>14</xdr:col>
      <xdr:colOff>0</xdr:colOff>
      <xdr:row>156</xdr:row>
      <xdr:rowOff>0</xdr:rowOff>
    </xdr:to>
    <xdr:graphicFrame macro="">
      <xdr:nvGraphicFramePr>
        <xdr:cNvPr id="105591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177</xdr:row>
      <xdr:rowOff>0</xdr:rowOff>
    </xdr:from>
    <xdr:to>
      <xdr:col>7</xdr:col>
      <xdr:colOff>0</xdr:colOff>
      <xdr:row>198</xdr:row>
      <xdr:rowOff>0</xdr:rowOff>
    </xdr:to>
    <xdr:graphicFrame macro="">
      <xdr:nvGraphicFramePr>
        <xdr:cNvPr id="105591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177</xdr:row>
      <xdr:rowOff>0</xdr:rowOff>
    </xdr:from>
    <xdr:to>
      <xdr:col>14</xdr:col>
      <xdr:colOff>0</xdr:colOff>
      <xdr:row>198</xdr:row>
      <xdr:rowOff>0</xdr:rowOff>
    </xdr:to>
    <xdr:graphicFrame macro="">
      <xdr:nvGraphicFramePr>
        <xdr:cNvPr id="105591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222</xdr:row>
      <xdr:rowOff>0</xdr:rowOff>
    </xdr:from>
    <xdr:to>
      <xdr:col>7</xdr:col>
      <xdr:colOff>0</xdr:colOff>
      <xdr:row>243</xdr:row>
      <xdr:rowOff>0</xdr:rowOff>
    </xdr:to>
    <xdr:graphicFrame macro="">
      <xdr:nvGraphicFramePr>
        <xdr:cNvPr id="105591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0</xdr:colOff>
      <xdr:row>222</xdr:row>
      <xdr:rowOff>0</xdr:rowOff>
    </xdr:from>
    <xdr:to>
      <xdr:col>14</xdr:col>
      <xdr:colOff>0</xdr:colOff>
      <xdr:row>243</xdr:row>
      <xdr:rowOff>0</xdr:rowOff>
    </xdr:to>
    <xdr:graphicFrame macro="">
      <xdr:nvGraphicFramePr>
        <xdr:cNvPr id="105591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7</xdr:col>
      <xdr:colOff>0</xdr:colOff>
      <xdr:row>24</xdr:row>
      <xdr:rowOff>0</xdr:rowOff>
    </xdr:from>
    <xdr:to>
      <xdr:col>14</xdr:col>
      <xdr:colOff>0</xdr:colOff>
      <xdr:row>45</xdr:row>
      <xdr:rowOff>0</xdr:rowOff>
    </xdr:to>
    <xdr:graphicFrame macro="">
      <xdr:nvGraphicFramePr>
        <xdr:cNvPr id="105591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0</xdr:col>
      <xdr:colOff>0</xdr:colOff>
      <xdr:row>24</xdr:row>
      <xdr:rowOff>0</xdr:rowOff>
    </xdr:from>
    <xdr:to>
      <xdr:col>7</xdr:col>
      <xdr:colOff>0</xdr:colOff>
      <xdr:row>45</xdr:row>
      <xdr:rowOff>0</xdr:rowOff>
    </xdr:to>
    <xdr:graphicFrame macro="">
      <xdr:nvGraphicFramePr>
        <xdr:cNvPr id="105591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0</xdr:col>
      <xdr:colOff>0</xdr:colOff>
      <xdr:row>156</xdr:row>
      <xdr:rowOff>0</xdr:rowOff>
    </xdr:from>
    <xdr:to>
      <xdr:col>7</xdr:col>
      <xdr:colOff>0</xdr:colOff>
      <xdr:row>177</xdr:row>
      <xdr:rowOff>0</xdr:rowOff>
    </xdr:to>
    <xdr:graphicFrame macro="">
      <xdr:nvGraphicFramePr>
        <xdr:cNvPr id="105591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7</xdr:col>
      <xdr:colOff>0</xdr:colOff>
      <xdr:row>156</xdr:row>
      <xdr:rowOff>0</xdr:rowOff>
    </xdr:from>
    <xdr:to>
      <xdr:col>14</xdr:col>
      <xdr:colOff>0</xdr:colOff>
      <xdr:row>177</xdr:row>
      <xdr:rowOff>0</xdr:rowOff>
    </xdr:to>
    <xdr:graphicFrame macro="">
      <xdr:nvGraphicFramePr>
        <xdr:cNvPr id="10559120"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0</xdr:colOff>
      <xdr:row>45</xdr:row>
      <xdr:rowOff>0</xdr:rowOff>
    </xdr:from>
    <xdr:to>
      <xdr:col>7</xdr:col>
      <xdr:colOff>0</xdr:colOff>
      <xdr:row>66</xdr:row>
      <xdr:rowOff>0</xdr:rowOff>
    </xdr:to>
    <xdr:graphicFrame macro="">
      <xdr:nvGraphicFramePr>
        <xdr:cNvPr id="10559121"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7</xdr:col>
      <xdr:colOff>0</xdr:colOff>
      <xdr:row>45</xdr:row>
      <xdr:rowOff>0</xdr:rowOff>
    </xdr:from>
    <xdr:to>
      <xdr:col>14</xdr:col>
      <xdr:colOff>0</xdr:colOff>
      <xdr:row>66</xdr:row>
      <xdr:rowOff>0</xdr:rowOff>
    </xdr:to>
    <xdr:graphicFrame macro="">
      <xdr:nvGraphicFramePr>
        <xdr:cNvPr id="10559122"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0</xdr:col>
      <xdr:colOff>0</xdr:colOff>
      <xdr:row>87</xdr:row>
      <xdr:rowOff>0</xdr:rowOff>
    </xdr:from>
    <xdr:to>
      <xdr:col>7</xdr:col>
      <xdr:colOff>0</xdr:colOff>
      <xdr:row>107</xdr:row>
      <xdr:rowOff>152400</xdr:rowOff>
    </xdr:to>
    <xdr:graphicFrame macro="">
      <xdr:nvGraphicFramePr>
        <xdr:cNvPr id="10559123"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0</xdr:col>
      <xdr:colOff>0</xdr:colOff>
      <xdr:row>198</xdr:row>
      <xdr:rowOff>0</xdr:rowOff>
    </xdr:from>
    <xdr:to>
      <xdr:col>7</xdr:col>
      <xdr:colOff>0</xdr:colOff>
      <xdr:row>218</xdr:row>
      <xdr:rowOff>152400</xdr:rowOff>
    </xdr:to>
    <xdr:graphicFrame macro="">
      <xdr:nvGraphicFramePr>
        <xdr:cNvPr id="10559124"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22</xdr:col>
      <xdr:colOff>466725</xdr:colOff>
      <xdr:row>146</xdr:row>
      <xdr:rowOff>66675</xdr:rowOff>
    </xdr:from>
    <xdr:to>
      <xdr:col>24</xdr:col>
      <xdr:colOff>533400</xdr:colOff>
      <xdr:row>155</xdr:row>
      <xdr:rowOff>104775</xdr:rowOff>
    </xdr:to>
    <xdr:sp macro="" textlink="">
      <xdr:nvSpPr>
        <xdr:cNvPr id="1763330" name="Text Box 86018" hidden="1"/>
        <xdr:cNvSpPr txBox="1">
          <a:spLocks noChangeArrowheads="1"/>
        </xdr:cNvSpPr>
      </xdr:nvSpPr>
      <xdr:spPr bwMode="auto">
        <a:xfrm>
          <a:off x="8972550" y="25488900"/>
          <a:ext cx="1724025" cy="149542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29</xdr:col>
      <xdr:colOff>161925</xdr:colOff>
      <xdr:row>148</xdr:row>
      <xdr:rowOff>66675</xdr:rowOff>
    </xdr:from>
    <xdr:to>
      <xdr:col>30</xdr:col>
      <xdr:colOff>257175</xdr:colOff>
      <xdr:row>152</xdr:row>
      <xdr:rowOff>123825</xdr:rowOff>
    </xdr:to>
    <xdr:sp macro="" textlink="">
      <xdr:nvSpPr>
        <xdr:cNvPr id="5570561" name="Text Box 282625" hidden="1"/>
        <xdr:cNvSpPr txBox="1">
          <a:spLocks noChangeArrowheads="1"/>
        </xdr:cNvSpPr>
      </xdr:nvSpPr>
      <xdr:spPr bwMode="auto">
        <a:xfrm>
          <a:off x="14658975" y="25812750"/>
          <a:ext cx="1219200" cy="70485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3</xdr:row>
      <xdr:rowOff>0</xdr:rowOff>
    </xdr:from>
    <xdr:to>
      <xdr:col>7</xdr:col>
      <xdr:colOff>0</xdr:colOff>
      <xdr:row>24</xdr:row>
      <xdr:rowOff>0</xdr:rowOff>
    </xdr:to>
    <xdr:graphicFrame macro="">
      <xdr:nvGraphicFramePr>
        <xdr:cNvPr id="10789217"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45</xdr:row>
      <xdr:rowOff>0</xdr:rowOff>
    </xdr:from>
    <xdr:to>
      <xdr:col>14</xdr:col>
      <xdr:colOff>0</xdr:colOff>
      <xdr:row>66</xdr:row>
      <xdr:rowOff>0</xdr:rowOff>
    </xdr:to>
    <xdr:graphicFrame macro="">
      <xdr:nvGraphicFramePr>
        <xdr:cNvPr id="10789218"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3</xdr:row>
      <xdr:rowOff>0</xdr:rowOff>
    </xdr:from>
    <xdr:to>
      <xdr:col>14</xdr:col>
      <xdr:colOff>0</xdr:colOff>
      <xdr:row>24</xdr:row>
      <xdr:rowOff>0</xdr:rowOff>
    </xdr:to>
    <xdr:graphicFrame macro="">
      <xdr:nvGraphicFramePr>
        <xdr:cNvPr id="10789219"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138</xdr:row>
      <xdr:rowOff>0</xdr:rowOff>
    </xdr:from>
    <xdr:to>
      <xdr:col>7</xdr:col>
      <xdr:colOff>0</xdr:colOff>
      <xdr:row>159</xdr:row>
      <xdr:rowOff>0</xdr:rowOff>
    </xdr:to>
    <xdr:graphicFrame macro="">
      <xdr:nvGraphicFramePr>
        <xdr:cNvPr id="10789220"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0</xdr:colOff>
      <xdr:row>159</xdr:row>
      <xdr:rowOff>0</xdr:rowOff>
    </xdr:from>
    <xdr:to>
      <xdr:col>14</xdr:col>
      <xdr:colOff>0</xdr:colOff>
      <xdr:row>180</xdr:row>
      <xdr:rowOff>0</xdr:rowOff>
    </xdr:to>
    <xdr:graphicFrame macro="">
      <xdr:nvGraphicFramePr>
        <xdr:cNvPr id="10789221"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0</xdr:colOff>
      <xdr:row>138</xdr:row>
      <xdr:rowOff>0</xdr:rowOff>
    </xdr:from>
    <xdr:to>
      <xdr:col>14</xdr:col>
      <xdr:colOff>0</xdr:colOff>
      <xdr:row>159</xdr:row>
      <xdr:rowOff>0</xdr:rowOff>
    </xdr:to>
    <xdr:graphicFrame macro="">
      <xdr:nvGraphicFramePr>
        <xdr:cNvPr id="10789222"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201</xdr:row>
      <xdr:rowOff>0</xdr:rowOff>
    </xdr:from>
    <xdr:to>
      <xdr:col>14</xdr:col>
      <xdr:colOff>0</xdr:colOff>
      <xdr:row>222</xdr:row>
      <xdr:rowOff>0</xdr:rowOff>
    </xdr:to>
    <xdr:graphicFrame macro="">
      <xdr:nvGraphicFramePr>
        <xdr:cNvPr id="10789223"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0</xdr:col>
      <xdr:colOff>0</xdr:colOff>
      <xdr:row>24</xdr:row>
      <xdr:rowOff>0</xdr:rowOff>
    </xdr:from>
    <xdr:to>
      <xdr:col>7</xdr:col>
      <xdr:colOff>0</xdr:colOff>
      <xdr:row>45</xdr:row>
      <xdr:rowOff>0</xdr:rowOff>
    </xdr:to>
    <xdr:graphicFrame macro="">
      <xdr:nvGraphicFramePr>
        <xdr:cNvPr id="10789224"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180</xdr:row>
      <xdr:rowOff>0</xdr:rowOff>
    </xdr:from>
    <xdr:to>
      <xdr:col>7</xdr:col>
      <xdr:colOff>0</xdr:colOff>
      <xdr:row>201</xdr:row>
      <xdr:rowOff>0</xdr:rowOff>
    </xdr:to>
    <xdr:graphicFrame macro="">
      <xdr:nvGraphicFramePr>
        <xdr:cNvPr id="10789225"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159</xdr:row>
      <xdr:rowOff>0</xdr:rowOff>
    </xdr:from>
    <xdr:to>
      <xdr:col>7</xdr:col>
      <xdr:colOff>0</xdr:colOff>
      <xdr:row>180</xdr:row>
      <xdr:rowOff>0</xdr:rowOff>
    </xdr:to>
    <xdr:graphicFrame macro="">
      <xdr:nvGraphicFramePr>
        <xdr:cNvPr id="10789226"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45</xdr:row>
      <xdr:rowOff>0</xdr:rowOff>
    </xdr:from>
    <xdr:to>
      <xdr:col>7</xdr:col>
      <xdr:colOff>0</xdr:colOff>
      <xdr:row>66</xdr:row>
      <xdr:rowOff>0</xdr:rowOff>
    </xdr:to>
    <xdr:graphicFrame macro="">
      <xdr:nvGraphicFramePr>
        <xdr:cNvPr id="10789227"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222</xdr:row>
      <xdr:rowOff>0</xdr:rowOff>
    </xdr:from>
    <xdr:to>
      <xdr:col>7</xdr:col>
      <xdr:colOff>0</xdr:colOff>
      <xdr:row>243</xdr:row>
      <xdr:rowOff>0</xdr:rowOff>
    </xdr:to>
    <xdr:graphicFrame macro="">
      <xdr:nvGraphicFramePr>
        <xdr:cNvPr id="10789228"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7</xdr:col>
      <xdr:colOff>0</xdr:colOff>
      <xdr:row>24</xdr:row>
      <xdr:rowOff>0</xdr:rowOff>
    </xdr:from>
    <xdr:to>
      <xdr:col>14</xdr:col>
      <xdr:colOff>0</xdr:colOff>
      <xdr:row>45</xdr:row>
      <xdr:rowOff>0</xdr:rowOff>
    </xdr:to>
    <xdr:graphicFrame macro="">
      <xdr:nvGraphicFramePr>
        <xdr:cNvPr id="10789229"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0</xdr:col>
      <xdr:colOff>0</xdr:colOff>
      <xdr:row>267</xdr:row>
      <xdr:rowOff>0</xdr:rowOff>
    </xdr:from>
    <xdr:to>
      <xdr:col>7</xdr:col>
      <xdr:colOff>0</xdr:colOff>
      <xdr:row>288</xdr:row>
      <xdr:rowOff>0</xdr:rowOff>
    </xdr:to>
    <xdr:graphicFrame macro="">
      <xdr:nvGraphicFramePr>
        <xdr:cNvPr id="10789230"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7</xdr:col>
      <xdr:colOff>0</xdr:colOff>
      <xdr:row>288</xdr:row>
      <xdr:rowOff>0</xdr:rowOff>
    </xdr:from>
    <xdr:to>
      <xdr:col>14</xdr:col>
      <xdr:colOff>0</xdr:colOff>
      <xdr:row>309</xdr:row>
      <xdr:rowOff>0</xdr:rowOff>
    </xdr:to>
    <xdr:graphicFrame macro="">
      <xdr:nvGraphicFramePr>
        <xdr:cNvPr id="10789231"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7</xdr:col>
      <xdr:colOff>0</xdr:colOff>
      <xdr:row>267</xdr:row>
      <xdr:rowOff>0</xdr:rowOff>
    </xdr:from>
    <xdr:to>
      <xdr:col>14</xdr:col>
      <xdr:colOff>0</xdr:colOff>
      <xdr:row>288</xdr:row>
      <xdr:rowOff>0</xdr:rowOff>
    </xdr:to>
    <xdr:graphicFrame macro="">
      <xdr:nvGraphicFramePr>
        <xdr:cNvPr id="10789232"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7</xdr:col>
      <xdr:colOff>0</xdr:colOff>
      <xdr:row>309</xdr:row>
      <xdr:rowOff>0</xdr:rowOff>
    </xdr:from>
    <xdr:to>
      <xdr:col>14</xdr:col>
      <xdr:colOff>0</xdr:colOff>
      <xdr:row>330</xdr:row>
      <xdr:rowOff>0</xdr:rowOff>
    </xdr:to>
    <xdr:graphicFrame macro="">
      <xdr:nvGraphicFramePr>
        <xdr:cNvPr id="1078923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0</xdr:col>
      <xdr:colOff>0</xdr:colOff>
      <xdr:row>309</xdr:row>
      <xdr:rowOff>0</xdr:rowOff>
    </xdr:from>
    <xdr:to>
      <xdr:col>7</xdr:col>
      <xdr:colOff>0</xdr:colOff>
      <xdr:row>330</xdr:row>
      <xdr:rowOff>0</xdr:rowOff>
    </xdr:to>
    <xdr:graphicFrame macro="">
      <xdr:nvGraphicFramePr>
        <xdr:cNvPr id="1078923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0</xdr:col>
      <xdr:colOff>0</xdr:colOff>
      <xdr:row>288</xdr:row>
      <xdr:rowOff>0</xdr:rowOff>
    </xdr:from>
    <xdr:to>
      <xdr:col>7</xdr:col>
      <xdr:colOff>0</xdr:colOff>
      <xdr:row>309</xdr:row>
      <xdr:rowOff>0</xdr:rowOff>
    </xdr:to>
    <xdr:graphicFrame macro="">
      <xdr:nvGraphicFramePr>
        <xdr:cNvPr id="1078923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7</xdr:col>
      <xdr:colOff>0</xdr:colOff>
      <xdr:row>243</xdr:row>
      <xdr:rowOff>0</xdr:rowOff>
    </xdr:from>
    <xdr:to>
      <xdr:col>14</xdr:col>
      <xdr:colOff>0</xdr:colOff>
      <xdr:row>264</xdr:row>
      <xdr:rowOff>0</xdr:rowOff>
    </xdr:to>
    <xdr:graphicFrame macro="">
      <xdr:nvGraphicFramePr>
        <xdr:cNvPr id="10789236" name="Chart 2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7</xdr:col>
      <xdr:colOff>0</xdr:colOff>
      <xdr:row>180</xdr:row>
      <xdr:rowOff>0</xdr:rowOff>
    </xdr:from>
    <xdr:to>
      <xdr:col>14</xdr:col>
      <xdr:colOff>0</xdr:colOff>
      <xdr:row>201</xdr:row>
      <xdr:rowOff>0</xdr:rowOff>
    </xdr:to>
    <xdr:graphicFrame macro="">
      <xdr:nvGraphicFramePr>
        <xdr:cNvPr id="10789237" name="Chart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xdr:col>
      <xdr:colOff>0</xdr:colOff>
      <xdr:row>222</xdr:row>
      <xdr:rowOff>0</xdr:rowOff>
    </xdr:from>
    <xdr:to>
      <xdr:col>14</xdr:col>
      <xdr:colOff>0</xdr:colOff>
      <xdr:row>243</xdr:row>
      <xdr:rowOff>0</xdr:rowOff>
    </xdr:to>
    <xdr:graphicFrame macro="">
      <xdr:nvGraphicFramePr>
        <xdr:cNvPr id="10789238" name="Chart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0</xdr:col>
      <xdr:colOff>0</xdr:colOff>
      <xdr:row>423</xdr:row>
      <xdr:rowOff>0</xdr:rowOff>
    </xdr:from>
    <xdr:to>
      <xdr:col>7</xdr:col>
      <xdr:colOff>0</xdr:colOff>
      <xdr:row>444</xdr:row>
      <xdr:rowOff>0</xdr:rowOff>
    </xdr:to>
    <xdr:graphicFrame macro="">
      <xdr:nvGraphicFramePr>
        <xdr:cNvPr id="10789239"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xdr:col>
      <xdr:colOff>0</xdr:colOff>
      <xdr:row>423</xdr:row>
      <xdr:rowOff>0</xdr:rowOff>
    </xdr:from>
    <xdr:to>
      <xdr:col>14</xdr:col>
      <xdr:colOff>0</xdr:colOff>
      <xdr:row>444</xdr:row>
      <xdr:rowOff>0</xdr:rowOff>
    </xdr:to>
    <xdr:graphicFrame macro="">
      <xdr:nvGraphicFramePr>
        <xdr:cNvPr id="10789240" name="Chart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7</xdr:col>
      <xdr:colOff>0</xdr:colOff>
      <xdr:row>444</xdr:row>
      <xdr:rowOff>0</xdr:rowOff>
    </xdr:from>
    <xdr:to>
      <xdr:col>14</xdr:col>
      <xdr:colOff>0</xdr:colOff>
      <xdr:row>465</xdr:row>
      <xdr:rowOff>0</xdr:rowOff>
    </xdr:to>
    <xdr:graphicFrame macro="">
      <xdr:nvGraphicFramePr>
        <xdr:cNvPr id="10789241" name="Chart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0</xdr:col>
      <xdr:colOff>0</xdr:colOff>
      <xdr:row>465</xdr:row>
      <xdr:rowOff>0</xdr:rowOff>
    </xdr:from>
    <xdr:to>
      <xdr:col>14</xdr:col>
      <xdr:colOff>0</xdr:colOff>
      <xdr:row>489</xdr:row>
      <xdr:rowOff>0</xdr:rowOff>
    </xdr:to>
    <xdr:graphicFrame macro="">
      <xdr:nvGraphicFramePr>
        <xdr:cNvPr id="10789242" name="Chart 3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0</xdr:col>
      <xdr:colOff>0</xdr:colOff>
      <xdr:row>69</xdr:row>
      <xdr:rowOff>0</xdr:rowOff>
    </xdr:from>
    <xdr:to>
      <xdr:col>7</xdr:col>
      <xdr:colOff>0</xdr:colOff>
      <xdr:row>90</xdr:row>
      <xdr:rowOff>0</xdr:rowOff>
    </xdr:to>
    <xdr:graphicFrame macro="">
      <xdr:nvGraphicFramePr>
        <xdr:cNvPr id="10789243" name="Chart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7</xdr:col>
      <xdr:colOff>0</xdr:colOff>
      <xdr:row>69</xdr:row>
      <xdr:rowOff>0</xdr:rowOff>
    </xdr:from>
    <xdr:to>
      <xdr:col>14</xdr:col>
      <xdr:colOff>0</xdr:colOff>
      <xdr:row>90</xdr:row>
      <xdr:rowOff>0</xdr:rowOff>
    </xdr:to>
    <xdr:graphicFrame macro="">
      <xdr:nvGraphicFramePr>
        <xdr:cNvPr id="10789244" name="Chart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0</xdr:col>
      <xdr:colOff>0</xdr:colOff>
      <xdr:row>93</xdr:row>
      <xdr:rowOff>0</xdr:rowOff>
    </xdr:from>
    <xdr:to>
      <xdr:col>7</xdr:col>
      <xdr:colOff>0</xdr:colOff>
      <xdr:row>114</xdr:row>
      <xdr:rowOff>0</xdr:rowOff>
    </xdr:to>
    <xdr:graphicFrame macro="">
      <xdr:nvGraphicFramePr>
        <xdr:cNvPr id="10789245" name="Chart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0</xdr:col>
      <xdr:colOff>0</xdr:colOff>
      <xdr:row>114</xdr:row>
      <xdr:rowOff>0</xdr:rowOff>
    </xdr:from>
    <xdr:to>
      <xdr:col>7</xdr:col>
      <xdr:colOff>0</xdr:colOff>
      <xdr:row>135</xdr:row>
      <xdr:rowOff>0</xdr:rowOff>
    </xdr:to>
    <xdr:graphicFrame macro="">
      <xdr:nvGraphicFramePr>
        <xdr:cNvPr id="10789246" name="Chart 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xdr:col>
      <xdr:colOff>0</xdr:colOff>
      <xdr:row>114</xdr:row>
      <xdr:rowOff>0</xdr:rowOff>
    </xdr:from>
    <xdr:to>
      <xdr:col>14</xdr:col>
      <xdr:colOff>0</xdr:colOff>
      <xdr:row>135</xdr:row>
      <xdr:rowOff>0</xdr:rowOff>
    </xdr:to>
    <xdr:graphicFrame macro="">
      <xdr:nvGraphicFramePr>
        <xdr:cNvPr id="10789247" name="Chart 4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xdr:col>
      <xdr:colOff>0</xdr:colOff>
      <xdr:row>93</xdr:row>
      <xdr:rowOff>0</xdr:rowOff>
    </xdr:from>
    <xdr:to>
      <xdr:col>14</xdr:col>
      <xdr:colOff>0</xdr:colOff>
      <xdr:row>114</xdr:row>
      <xdr:rowOff>0</xdr:rowOff>
    </xdr:to>
    <xdr:graphicFrame macro="">
      <xdr:nvGraphicFramePr>
        <xdr:cNvPr id="10789248" name="Chart 4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0</xdr:col>
      <xdr:colOff>0</xdr:colOff>
      <xdr:row>333</xdr:row>
      <xdr:rowOff>0</xdr:rowOff>
    </xdr:from>
    <xdr:to>
      <xdr:col>7</xdr:col>
      <xdr:colOff>0</xdr:colOff>
      <xdr:row>354</xdr:row>
      <xdr:rowOff>0</xdr:rowOff>
    </xdr:to>
    <xdr:graphicFrame macro="">
      <xdr:nvGraphicFramePr>
        <xdr:cNvPr id="10789249" name="Chart 4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0</xdr:col>
      <xdr:colOff>0</xdr:colOff>
      <xdr:row>354</xdr:row>
      <xdr:rowOff>0</xdr:rowOff>
    </xdr:from>
    <xdr:to>
      <xdr:col>7</xdr:col>
      <xdr:colOff>0</xdr:colOff>
      <xdr:row>375</xdr:row>
      <xdr:rowOff>0</xdr:rowOff>
    </xdr:to>
    <xdr:graphicFrame macro="">
      <xdr:nvGraphicFramePr>
        <xdr:cNvPr id="10789250" name="Chart 4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xdr:col>
      <xdr:colOff>0</xdr:colOff>
      <xdr:row>354</xdr:row>
      <xdr:rowOff>0</xdr:rowOff>
    </xdr:from>
    <xdr:to>
      <xdr:col>14</xdr:col>
      <xdr:colOff>0</xdr:colOff>
      <xdr:row>375</xdr:row>
      <xdr:rowOff>0</xdr:rowOff>
    </xdr:to>
    <xdr:graphicFrame macro="">
      <xdr:nvGraphicFramePr>
        <xdr:cNvPr id="10789251" name="Chart 4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0</xdr:col>
      <xdr:colOff>0</xdr:colOff>
      <xdr:row>375</xdr:row>
      <xdr:rowOff>0</xdr:rowOff>
    </xdr:from>
    <xdr:to>
      <xdr:col>7</xdr:col>
      <xdr:colOff>0</xdr:colOff>
      <xdr:row>396</xdr:row>
      <xdr:rowOff>0</xdr:rowOff>
    </xdr:to>
    <xdr:graphicFrame macro="">
      <xdr:nvGraphicFramePr>
        <xdr:cNvPr id="10789252" name="Chart 4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7</xdr:col>
      <xdr:colOff>0</xdr:colOff>
      <xdr:row>375</xdr:row>
      <xdr:rowOff>0</xdr:rowOff>
    </xdr:from>
    <xdr:to>
      <xdr:col>14</xdr:col>
      <xdr:colOff>0</xdr:colOff>
      <xdr:row>396</xdr:row>
      <xdr:rowOff>0</xdr:rowOff>
    </xdr:to>
    <xdr:graphicFrame macro="">
      <xdr:nvGraphicFramePr>
        <xdr:cNvPr id="10789253" name="Chart 5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7</xdr:col>
      <xdr:colOff>0</xdr:colOff>
      <xdr:row>333</xdr:row>
      <xdr:rowOff>0</xdr:rowOff>
    </xdr:from>
    <xdr:to>
      <xdr:col>14</xdr:col>
      <xdr:colOff>0</xdr:colOff>
      <xdr:row>354</xdr:row>
      <xdr:rowOff>0</xdr:rowOff>
    </xdr:to>
    <xdr:graphicFrame macro="">
      <xdr:nvGraphicFramePr>
        <xdr:cNvPr id="10789254" name="Chart 5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0</xdr:col>
      <xdr:colOff>0</xdr:colOff>
      <xdr:row>399</xdr:row>
      <xdr:rowOff>0</xdr:rowOff>
    </xdr:from>
    <xdr:to>
      <xdr:col>7</xdr:col>
      <xdr:colOff>0</xdr:colOff>
      <xdr:row>420</xdr:row>
      <xdr:rowOff>0</xdr:rowOff>
    </xdr:to>
    <xdr:graphicFrame macro="">
      <xdr:nvGraphicFramePr>
        <xdr:cNvPr id="10789255" name="Chart 5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7</xdr:col>
      <xdr:colOff>0</xdr:colOff>
      <xdr:row>399</xdr:row>
      <xdr:rowOff>0</xdr:rowOff>
    </xdr:from>
    <xdr:to>
      <xdr:col>14</xdr:col>
      <xdr:colOff>0</xdr:colOff>
      <xdr:row>420</xdr:row>
      <xdr:rowOff>0</xdr:rowOff>
    </xdr:to>
    <xdr:graphicFrame macro="">
      <xdr:nvGraphicFramePr>
        <xdr:cNvPr id="10789256" name="Chart 5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0</xdr:col>
      <xdr:colOff>0</xdr:colOff>
      <xdr:row>243</xdr:row>
      <xdr:rowOff>0</xdr:rowOff>
    </xdr:from>
    <xdr:to>
      <xdr:col>7</xdr:col>
      <xdr:colOff>0</xdr:colOff>
      <xdr:row>264</xdr:row>
      <xdr:rowOff>0</xdr:rowOff>
    </xdr:to>
    <xdr:graphicFrame macro="">
      <xdr:nvGraphicFramePr>
        <xdr:cNvPr id="10789257" name="Chart 5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0</xdr:col>
      <xdr:colOff>0</xdr:colOff>
      <xdr:row>201</xdr:row>
      <xdr:rowOff>0</xdr:rowOff>
    </xdr:from>
    <xdr:to>
      <xdr:col>7</xdr:col>
      <xdr:colOff>0</xdr:colOff>
      <xdr:row>222</xdr:row>
      <xdr:rowOff>0</xdr:rowOff>
    </xdr:to>
    <xdr:graphicFrame macro="">
      <xdr:nvGraphicFramePr>
        <xdr:cNvPr id="10789258" name="Chart 5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twoCellAnchor>
    <xdr:from>
      <xdr:col>0</xdr:col>
      <xdr:colOff>0</xdr:colOff>
      <xdr:row>444</xdr:row>
      <xdr:rowOff>0</xdr:rowOff>
    </xdr:from>
    <xdr:to>
      <xdr:col>7</xdr:col>
      <xdr:colOff>0</xdr:colOff>
      <xdr:row>465</xdr:row>
      <xdr:rowOff>0</xdr:rowOff>
    </xdr:to>
    <xdr:graphicFrame macro="">
      <xdr:nvGraphicFramePr>
        <xdr:cNvPr id="10789259" name="Chart 5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95250</xdr:colOff>
          <xdr:row>92</xdr:row>
          <xdr:rowOff>0</xdr:rowOff>
        </xdr:from>
        <xdr:to>
          <xdr:col>9</xdr:col>
          <xdr:colOff>285750</xdr:colOff>
          <xdr:row>95</xdr:row>
          <xdr:rowOff>9525</xdr:rowOff>
        </xdr:to>
        <xdr:sp macro="" textlink="">
          <xdr:nvSpPr>
            <xdr:cNvPr id="17409" name="Button 1" hidden="1">
              <a:extLst>
                <a:ext uri="{63B3BB69-23CF-44E3-9099-C40C66FF867C}">
                  <a14:compatExt spid="_x0000_s1740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Transfer forecast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352425</xdr:colOff>
          <xdr:row>92</xdr:row>
          <xdr:rowOff>0</xdr:rowOff>
        </xdr:from>
        <xdr:to>
          <xdr:col>10</xdr:col>
          <xdr:colOff>542925</xdr:colOff>
          <xdr:row>95</xdr:row>
          <xdr:rowOff>9525</xdr:rowOff>
        </xdr:to>
        <xdr:sp macro="" textlink="">
          <xdr:nvSpPr>
            <xdr:cNvPr id="17416" name="Button 8" hidden="1">
              <a:extLst>
                <a:ext uri="{63B3BB69-23CF-44E3-9099-C40C66FF867C}">
                  <a14:compatExt spid="_x0000_s17416"/>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Save </a:t>
              </a:r>
            </a:p>
            <a:p>
              <a:pPr algn="ctr" rtl="0">
                <a:defRPr sz="1000"/>
              </a:pPr>
              <a:r>
                <a:rPr lang="en-GB" sz="1200" b="1" i="0" u="none" strike="noStrike" baseline="0">
                  <a:solidFill>
                    <a:srgbClr val="000000"/>
                  </a:solidFill>
                  <a:latin typeface="Arial"/>
                  <a:cs typeface="Arial"/>
                </a:rPr>
                <a:t>values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6</xdr:col>
      <xdr:colOff>552450</xdr:colOff>
      <xdr:row>0</xdr:row>
      <xdr:rowOff>9525</xdr:rowOff>
    </xdr:from>
    <xdr:to>
      <xdr:col>13</xdr:col>
      <xdr:colOff>161925</xdr:colOff>
      <xdr:row>1</xdr:row>
      <xdr:rowOff>38100</xdr:rowOff>
    </xdr:to>
    <xdr:sp macro="" textlink="">
      <xdr:nvSpPr>
        <xdr:cNvPr id="23570" name="Text Box 18"/>
        <xdr:cNvSpPr txBox="1">
          <a:spLocks noChangeArrowheads="1"/>
        </xdr:cNvSpPr>
      </xdr:nvSpPr>
      <xdr:spPr bwMode="auto">
        <a:xfrm>
          <a:off x="5638800" y="9525"/>
          <a:ext cx="3676650" cy="1905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Go to Table No. (</a:t>
          </a:r>
          <a:r>
            <a:rPr lang="en-GB" sz="1000" b="0" i="1" u="none" strike="noStrike" baseline="0">
              <a:solidFill>
                <a:srgbClr val="000000"/>
              </a:solidFill>
              <a:latin typeface="Arial"/>
              <a:cs typeface="Arial"/>
            </a:rPr>
            <a:t>push button</a:t>
          </a:r>
          <a:r>
            <a:rPr lang="en-GB" sz="1000" b="0" i="0" u="none" strike="noStrike" baseline="0">
              <a:solidFill>
                <a:srgbClr val="000000"/>
              </a:solidFill>
              <a:latin typeface="Arial"/>
              <a:cs typeface="Arial"/>
            </a:rPr>
            <a:t>)</a:t>
          </a:r>
        </a:p>
      </xdr:txBody>
    </xdr:sp>
    <xdr:clientData/>
  </xdr:twoCellAnchor>
  <mc:AlternateContent xmlns:mc="http://schemas.openxmlformats.org/markup-compatibility/2006">
    <mc:Choice xmlns:a14="http://schemas.microsoft.com/office/drawing/2010/main" Requires="a14">
      <xdr:twoCellAnchor>
        <xdr:from>
          <xdr:col>3</xdr:col>
          <xdr:colOff>704850</xdr:colOff>
          <xdr:row>5</xdr:row>
          <xdr:rowOff>28575</xdr:rowOff>
        </xdr:from>
        <xdr:to>
          <xdr:col>4</xdr:col>
          <xdr:colOff>200025</xdr:colOff>
          <xdr:row>6</xdr:row>
          <xdr:rowOff>76200</xdr:rowOff>
        </xdr:to>
        <xdr:sp macro="" textlink="">
          <xdr:nvSpPr>
            <xdr:cNvPr id="23553" name="Button 1" hidden="1">
              <a:extLst>
                <a:ext uri="{63B3BB69-23CF-44E3-9099-C40C66FF867C}">
                  <a14:compatExt spid="_x0000_s235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Print this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476250</xdr:colOff>
          <xdr:row>17</xdr:row>
          <xdr:rowOff>0</xdr:rowOff>
        </xdr:from>
        <xdr:to>
          <xdr:col>5</xdr:col>
          <xdr:colOff>333375</xdr:colOff>
          <xdr:row>17</xdr:row>
          <xdr:rowOff>0</xdr:rowOff>
        </xdr:to>
        <xdr:sp macro="" textlink="">
          <xdr:nvSpPr>
            <xdr:cNvPr id="23554" name="Button 2" hidden="1">
              <a:extLst>
                <a:ext uri="{63B3BB69-23CF-44E3-9099-C40C66FF867C}">
                  <a14:compatExt spid="_x0000_s235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Print this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285750</xdr:colOff>
          <xdr:row>55</xdr:row>
          <xdr:rowOff>28575</xdr:rowOff>
        </xdr:from>
        <xdr:to>
          <xdr:col>9</xdr:col>
          <xdr:colOff>142875</xdr:colOff>
          <xdr:row>56</xdr:row>
          <xdr:rowOff>85725</xdr:rowOff>
        </xdr:to>
        <xdr:sp macro="" textlink="">
          <xdr:nvSpPr>
            <xdr:cNvPr id="23555" name="Button 3" hidden="1">
              <a:extLst>
                <a:ext uri="{63B3BB69-23CF-44E3-9099-C40C66FF867C}">
                  <a14:compatExt spid="_x0000_s2355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Print this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82</xdr:row>
          <xdr:rowOff>66675</xdr:rowOff>
        </xdr:from>
        <xdr:to>
          <xdr:col>5</xdr:col>
          <xdr:colOff>342900</xdr:colOff>
          <xdr:row>83</xdr:row>
          <xdr:rowOff>123825</xdr:rowOff>
        </xdr:to>
        <xdr:sp macro="" textlink="">
          <xdr:nvSpPr>
            <xdr:cNvPr id="23556" name="Button 4" hidden="1">
              <a:extLst>
                <a:ext uri="{63B3BB69-23CF-44E3-9099-C40C66FF867C}">
                  <a14:compatExt spid="_x0000_s2355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Print this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390525</xdr:colOff>
          <xdr:row>100</xdr:row>
          <xdr:rowOff>66675</xdr:rowOff>
        </xdr:from>
        <xdr:to>
          <xdr:col>7</xdr:col>
          <xdr:colOff>247650</xdr:colOff>
          <xdr:row>101</xdr:row>
          <xdr:rowOff>123825</xdr:rowOff>
        </xdr:to>
        <xdr:sp macro="" textlink="">
          <xdr:nvSpPr>
            <xdr:cNvPr id="23557" name="Button 5" hidden="1">
              <a:extLst>
                <a:ext uri="{63B3BB69-23CF-44E3-9099-C40C66FF867C}">
                  <a14:compatExt spid="_x0000_s235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Print this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130</xdr:row>
          <xdr:rowOff>0</xdr:rowOff>
        </xdr:from>
        <xdr:to>
          <xdr:col>4</xdr:col>
          <xdr:colOff>209550</xdr:colOff>
          <xdr:row>131</xdr:row>
          <xdr:rowOff>57150</xdr:rowOff>
        </xdr:to>
        <xdr:sp macro="" textlink="">
          <xdr:nvSpPr>
            <xdr:cNvPr id="23558" name="Button 6" hidden="1">
              <a:extLst>
                <a:ext uri="{63B3BB69-23CF-44E3-9099-C40C66FF867C}">
                  <a14:compatExt spid="_x0000_s2355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Print this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381000</xdr:colOff>
          <xdr:row>163</xdr:row>
          <xdr:rowOff>104775</xdr:rowOff>
        </xdr:from>
        <xdr:to>
          <xdr:col>7</xdr:col>
          <xdr:colOff>238125</xdr:colOff>
          <xdr:row>165</xdr:row>
          <xdr:rowOff>0</xdr:rowOff>
        </xdr:to>
        <xdr:sp macro="" textlink="">
          <xdr:nvSpPr>
            <xdr:cNvPr id="23559" name="Button 7" hidden="1">
              <a:extLst>
                <a:ext uri="{63B3BB69-23CF-44E3-9099-C40C66FF867C}">
                  <a14:compatExt spid="_x0000_s235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Print this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179</xdr:row>
          <xdr:rowOff>142875</xdr:rowOff>
        </xdr:from>
        <xdr:to>
          <xdr:col>6</xdr:col>
          <xdr:colOff>466725</xdr:colOff>
          <xdr:row>181</xdr:row>
          <xdr:rowOff>38100</xdr:rowOff>
        </xdr:to>
        <xdr:sp macro="" textlink="">
          <xdr:nvSpPr>
            <xdr:cNvPr id="23560" name="Button 8" hidden="1">
              <a:extLst>
                <a:ext uri="{63B3BB69-23CF-44E3-9099-C40C66FF867C}">
                  <a14:compatExt spid="_x0000_s2356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Print this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381000</xdr:colOff>
          <xdr:row>200</xdr:row>
          <xdr:rowOff>57150</xdr:rowOff>
        </xdr:from>
        <xdr:to>
          <xdr:col>7</xdr:col>
          <xdr:colOff>238125</xdr:colOff>
          <xdr:row>201</xdr:row>
          <xdr:rowOff>104775</xdr:rowOff>
        </xdr:to>
        <xdr:sp macro="" textlink="">
          <xdr:nvSpPr>
            <xdr:cNvPr id="23561" name="Button 9" hidden="1">
              <a:extLst>
                <a:ext uri="{63B3BB69-23CF-44E3-9099-C40C66FF867C}">
                  <a14:compatExt spid="_x0000_s235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Print this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371475</xdr:colOff>
          <xdr:row>222</xdr:row>
          <xdr:rowOff>104775</xdr:rowOff>
        </xdr:from>
        <xdr:to>
          <xdr:col>7</xdr:col>
          <xdr:colOff>238125</xdr:colOff>
          <xdr:row>224</xdr:row>
          <xdr:rowOff>0</xdr:rowOff>
        </xdr:to>
        <xdr:sp macro="" textlink="">
          <xdr:nvSpPr>
            <xdr:cNvPr id="23562" name="Button 10" hidden="1">
              <a:extLst>
                <a:ext uri="{63B3BB69-23CF-44E3-9099-C40C66FF867C}">
                  <a14:compatExt spid="_x0000_s235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Print this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381000</xdr:colOff>
          <xdr:row>243</xdr:row>
          <xdr:rowOff>104775</xdr:rowOff>
        </xdr:from>
        <xdr:to>
          <xdr:col>7</xdr:col>
          <xdr:colOff>238125</xdr:colOff>
          <xdr:row>245</xdr:row>
          <xdr:rowOff>0</xdr:rowOff>
        </xdr:to>
        <xdr:sp macro="" textlink="">
          <xdr:nvSpPr>
            <xdr:cNvPr id="23563" name="Button 11" hidden="1">
              <a:extLst>
                <a:ext uri="{63B3BB69-23CF-44E3-9099-C40C66FF867C}">
                  <a14:compatExt spid="_x0000_s2356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Print this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271</xdr:row>
          <xdr:rowOff>180975</xdr:rowOff>
        </xdr:from>
        <xdr:to>
          <xdr:col>6</xdr:col>
          <xdr:colOff>457200</xdr:colOff>
          <xdr:row>273</xdr:row>
          <xdr:rowOff>0</xdr:rowOff>
        </xdr:to>
        <xdr:sp macro="" textlink="">
          <xdr:nvSpPr>
            <xdr:cNvPr id="23564" name="Button 12" hidden="1">
              <a:extLst>
                <a:ext uri="{63B3BB69-23CF-44E3-9099-C40C66FF867C}">
                  <a14:compatExt spid="_x0000_s235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Print this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381000</xdr:colOff>
          <xdr:row>288</xdr:row>
          <xdr:rowOff>95250</xdr:rowOff>
        </xdr:from>
        <xdr:to>
          <xdr:col>7</xdr:col>
          <xdr:colOff>238125</xdr:colOff>
          <xdr:row>290</xdr:row>
          <xdr:rowOff>0</xdr:rowOff>
        </xdr:to>
        <xdr:sp macro="" textlink="">
          <xdr:nvSpPr>
            <xdr:cNvPr id="23565" name="Button 13" hidden="1">
              <a:extLst>
                <a:ext uri="{63B3BB69-23CF-44E3-9099-C40C66FF867C}">
                  <a14:compatExt spid="_x0000_s235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Print this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300</xdr:row>
          <xdr:rowOff>95250</xdr:rowOff>
        </xdr:from>
        <xdr:to>
          <xdr:col>6</xdr:col>
          <xdr:colOff>457200</xdr:colOff>
          <xdr:row>301</xdr:row>
          <xdr:rowOff>152400</xdr:rowOff>
        </xdr:to>
        <xdr:sp macro="" textlink="">
          <xdr:nvSpPr>
            <xdr:cNvPr id="23566" name="Button 14" hidden="1">
              <a:extLst>
                <a:ext uri="{63B3BB69-23CF-44E3-9099-C40C66FF867C}">
                  <a14:compatExt spid="_x0000_s2356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Print this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381000</xdr:colOff>
          <xdr:row>321</xdr:row>
          <xdr:rowOff>85725</xdr:rowOff>
        </xdr:from>
        <xdr:to>
          <xdr:col>7</xdr:col>
          <xdr:colOff>238125</xdr:colOff>
          <xdr:row>322</xdr:row>
          <xdr:rowOff>142875</xdr:rowOff>
        </xdr:to>
        <xdr:sp macro="" textlink="">
          <xdr:nvSpPr>
            <xdr:cNvPr id="23567" name="Button 15" hidden="1">
              <a:extLst>
                <a:ext uri="{63B3BB69-23CF-44E3-9099-C40C66FF867C}">
                  <a14:compatExt spid="_x0000_s235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Print this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2495550</xdr:colOff>
          <xdr:row>0</xdr:row>
          <xdr:rowOff>123825</xdr:rowOff>
        </xdr:from>
        <xdr:to>
          <xdr:col>3</xdr:col>
          <xdr:colOff>466725</xdr:colOff>
          <xdr:row>3</xdr:row>
          <xdr:rowOff>19050</xdr:rowOff>
        </xdr:to>
        <xdr:sp macro="" textlink="">
          <xdr:nvSpPr>
            <xdr:cNvPr id="23568" name="Button 16" hidden="1">
              <a:extLst>
                <a:ext uri="{63B3BB69-23CF-44E3-9099-C40C66FF867C}">
                  <a14:compatExt spid="_x0000_s2356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Print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466725</xdr:colOff>
          <xdr:row>0</xdr:row>
          <xdr:rowOff>123825</xdr:rowOff>
        </xdr:from>
        <xdr:to>
          <xdr:col>3</xdr:col>
          <xdr:colOff>914400</xdr:colOff>
          <xdr:row>1</xdr:row>
          <xdr:rowOff>95250</xdr:rowOff>
        </xdr:to>
        <xdr:sp macro="" textlink="">
          <xdr:nvSpPr>
            <xdr:cNvPr id="23569" name="Button 17" hidden="1">
              <a:extLst>
                <a:ext uri="{63B3BB69-23CF-44E3-9099-C40C66FF867C}">
                  <a14:compatExt spid="_x0000_s235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Table 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914400</xdr:colOff>
          <xdr:row>0</xdr:row>
          <xdr:rowOff>123825</xdr:rowOff>
        </xdr:from>
        <xdr:to>
          <xdr:col>4</xdr:col>
          <xdr:colOff>419100</xdr:colOff>
          <xdr:row>1</xdr:row>
          <xdr:rowOff>95250</xdr:rowOff>
        </xdr:to>
        <xdr:sp macro="" textlink="">
          <xdr:nvSpPr>
            <xdr:cNvPr id="23571" name="Button 19" hidden="1">
              <a:extLst>
                <a:ext uri="{63B3BB69-23CF-44E3-9099-C40C66FF867C}">
                  <a14:compatExt spid="_x0000_s2357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Table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419100</xdr:colOff>
          <xdr:row>0</xdr:row>
          <xdr:rowOff>123825</xdr:rowOff>
        </xdr:from>
        <xdr:to>
          <xdr:col>5</xdr:col>
          <xdr:colOff>285750</xdr:colOff>
          <xdr:row>1</xdr:row>
          <xdr:rowOff>95250</xdr:rowOff>
        </xdr:to>
        <xdr:sp macro="" textlink="">
          <xdr:nvSpPr>
            <xdr:cNvPr id="23572" name="Button 20" hidden="1">
              <a:extLst>
                <a:ext uri="{63B3BB69-23CF-44E3-9099-C40C66FF867C}">
                  <a14:compatExt spid="_x0000_s235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Table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285750</xdr:colOff>
          <xdr:row>0</xdr:row>
          <xdr:rowOff>123825</xdr:rowOff>
        </xdr:from>
        <xdr:to>
          <xdr:col>6</xdr:col>
          <xdr:colOff>152400</xdr:colOff>
          <xdr:row>1</xdr:row>
          <xdr:rowOff>95250</xdr:rowOff>
        </xdr:to>
        <xdr:sp macro="" textlink="">
          <xdr:nvSpPr>
            <xdr:cNvPr id="23573" name="Button 21" hidden="1">
              <a:extLst>
                <a:ext uri="{63B3BB69-23CF-44E3-9099-C40C66FF867C}">
                  <a14:compatExt spid="_x0000_s2357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Table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152400</xdr:colOff>
          <xdr:row>0</xdr:row>
          <xdr:rowOff>123825</xdr:rowOff>
        </xdr:from>
        <xdr:to>
          <xdr:col>7</xdr:col>
          <xdr:colOff>19050</xdr:colOff>
          <xdr:row>1</xdr:row>
          <xdr:rowOff>95250</xdr:rowOff>
        </xdr:to>
        <xdr:sp macro="" textlink="">
          <xdr:nvSpPr>
            <xdr:cNvPr id="23574" name="Button 22" hidden="1">
              <a:extLst>
                <a:ext uri="{63B3BB69-23CF-44E3-9099-C40C66FF867C}">
                  <a14:compatExt spid="_x0000_s235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Table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466725</xdr:colOff>
          <xdr:row>1</xdr:row>
          <xdr:rowOff>85725</xdr:rowOff>
        </xdr:from>
        <xdr:to>
          <xdr:col>3</xdr:col>
          <xdr:colOff>914400</xdr:colOff>
          <xdr:row>2</xdr:row>
          <xdr:rowOff>47625</xdr:rowOff>
        </xdr:to>
        <xdr:sp macro="" textlink="">
          <xdr:nvSpPr>
            <xdr:cNvPr id="23575" name="Button 23" hidden="1">
              <a:extLst>
                <a:ext uri="{63B3BB69-23CF-44E3-9099-C40C66FF867C}">
                  <a14:compatExt spid="_x0000_s2357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Table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914400</xdr:colOff>
          <xdr:row>1</xdr:row>
          <xdr:rowOff>85725</xdr:rowOff>
        </xdr:from>
        <xdr:to>
          <xdr:col>4</xdr:col>
          <xdr:colOff>419100</xdr:colOff>
          <xdr:row>2</xdr:row>
          <xdr:rowOff>47625</xdr:rowOff>
        </xdr:to>
        <xdr:sp macro="" textlink="">
          <xdr:nvSpPr>
            <xdr:cNvPr id="23576" name="Button 24" hidden="1">
              <a:extLst>
                <a:ext uri="{63B3BB69-23CF-44E3-9099-C40C66FF867C}">
                  <a14:compatExt spid="_x0000_s235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Table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419100</xdr:colOff>
          <xdr:row>1</xdr:row>
          <xdr:rowOff>85725</xdr:rowOff>
        </xdr:from>
        <xdr:to>
          <xdr:col>5</xdr:col>
          <xdr:colOff>285750</xdr:colOff>
          <xdr:row>2</xdr:row>
          <xdr:rowOff>47625</xdr:rowOff>
        </xdr:to>
        <xdr:sp macro="" textlink="">
          <xdr:nvSpPr>
            <xdr:cNvPr id="23577" name="Button 25" hidden="1">
              <a:extLst>
                <a:ext uri="{63B3BB69-23CF-44E3-9099-C40C66FF867C}">
                  <a14:compatExt spid="_x0000_s235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Table 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285750</xdr:colOff>
          <xdr:row>1</xdr:row>
          <xdr:rowOff>85725</xdr:rowOff>
        </xdr:from>
        <xdr:to>
          <xdr:col>6</xdr:col>
          <xdr:colOff>152400</xdr:colOff>
          <xdr:row>2</xdr:row>
          <xdr:rowOff>47625</xdr:rowOff>
        </xdr:to>
        <xdr:sp macro="" textlink="">
          <xdr:nvSpPr>
            <xdr:cNvPr id="23578" name="Button 26" hidden="1">
              <a:extLst>
                <a:ext uri="{63B3BB69-23CF-44E3-9099-C40C66FF867C}">
                  <a14:compatExt spid="_x0000_s2357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Table 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152400</xdr:colOff>
          <xdr:row>1</xdr:row>
          <xdr:rowOff>85725</xdr:rowOff>
        </xdr:from>
        <xdr:to>
          <xdr:col>7</xdr:col>
          <xdr:colOff>19050</xdr:colOff>
          <xdr:row>2</xdr:row>
          <xdr:rowOff>47625</xdr:rowOff>
        </xdr:to>
        <xdr:sp macro="" textlink="">
          <xdr:nvSpPr>
            <xdr:cNvPr id="23579" name="Button 27" hidden="1">
              <a:extLst>
                <a:ext uri="{63B3BB69-23CF-44E3-9099-C40C66FF867C}">
                  <a14:compatExt spid="_x0000_s235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Table 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466725</xdr:colOff>
          <xdr:row>2</xdr:row>
          <xdr:rowOff>57150</xdr:rowOff>
        </xdr:from>
        <xdr:to>
          <xdr:col>3</xdr:col>
          <xdr:colOff>914400</xdr:colOff>
          <xdr:row>3</xdr:row>
          <xdr:rowOff>19050</xdr:rowOff>
        </xdr:to>
        <xdr:sp macro="" textlink="">
          <xdr:nvSpPr>
            <xdr:cNvPr id="23580" name="Button 28" hidden="1">
              <a:extLst>
                <a:ext uri="{63B3BB69-23CF-44E3-9099-C40C66FF867C}">
                  <a14:compatExt spid="_x0000_s2358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Table 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914400</xdr:colOff>
          <xdr:row>2</xdr:row>
          <xdr:rowOff>57150</xdr:rowOff>
        </xdr:from>
        <xdr:to>
          <xdr:col>4</xdr:col>
          <xdr:colOff>419100</xdr:colOff>
          <xdr:row>3</xdr:row>
          <xdr:rowOff>19050</xdr:rowOff>
        </xdr:to>
        <xdr:sp macro="" textlink="">
          <xdr:nvSpPr>
            <xdr:cNvPr id="23581" name="Button 29" hidden="1">
              <a:extLst>
                <a:ext uri="{63B3BB69-23CF-44E3-9099-C40C66FF867C}">
                  <a14:compatExt spid="_x0000_s2358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Table 10a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419100</xdr:colOff>
          <xdr:row>2</xdr:row>
          <xdr:rowOff>57150</xdr:rowOff>
        </xdr:from>
        <xdr:to>
          <xdr:col>5</xdr:col>
          <xdr:colOff>285750</xdr:colOff>
          <xdr:row>3</xdr:row>
          <xdr:rowOff>19050</xdr:rowOff>
        </xdr:to>
        <xdr:sp macro="" textlink="">
          <xdr:nvSpPr>
            <xdr:cNvPr id="23582" name="Button 30" hidden="1">
              <a:extLst>
                <a:ext uri="{63B3BB69-23CF-44E3-9099-C40C66FF867C}">
                  <a14:compatExt spid="_x0000_s2358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Table 10b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285750</xdr:colOff>
          <xdr:row>2</xdr:row>
          <xdr:rowOff>57150</xdr:rowOff>
        </xdr:from>
        <xdr:to>
          <xdr:col>6</xdr:col>
          <xdr:colOff>152400</xdr:colOff>
          <xdr:row>3</xdr:row>
          <xdr:rowOff>19050</xdr:rowOff>
        </xdr:to>
        <xdr:sp macro="" textlink="">
          <xdr:nvSpPr>
            <xdr:cNvPr id="23583" name="Button 31" hidden="1">
              <a:extLst>
                <a:ext uri="{63B3BB69-23CF-44E3-9099-C40C66FF867C}">
                  <a14:compatExt spid="_x0000_s235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Table 11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152400</xdr:colOff>
          <xdr:row>2</xdr:row>
          <xdr:rowOff>57150</xdr:rowOff>
        </xdr:from>
        <xdr:to>
          <xdr:col>7</xdr:col>
          <xdr:colOff>19050</xdr:colOff>
          <xdr:row>3</xdr:row>
          <xdr:rowOff>19050</xdr:rowOff>
        </xdr:to>
        <xdr:sp macro="" textlink="">
          <xdr:nvSpPr>
            <xdr:cNvPr id="23584" name="Button 32" hidden="1">
              <a:extLst>
                <a:ext uri="{63B3BB69-23CF-44E3-9099-C40C66FF867C}">
                  <a14:compatExt spid="_x0000_s2358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Table 12</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ferrsal/AppData/Local/Microsoft/Windows/Temporary%20Internet%20Files/Content.Outlook/OMZJTVD8/LT%20data_p.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
      <sheetName val="Manual"/>
      <sheetName val="NP"/>
      <sheetName val="NN"/>
      <sheetName val="NF"/>
      <sheetName val="ON"/>
      <sheetName val="UN"/>
      <sheetName val="OA"/>
      <sheetName val="UA"/>
      <sheetName val="UC"/>
      <sheetName val="UG"/>
      <sheetName val="UH"/>
      <sheetName val="QUART"/>
      <sheetName val="DATA_A11"/>
      <sheetName val="FDMS+ to data11"/>
      <sheetName val="FDMS+to_quart"/>
    </sheetNames>
  </externalBook>
</externalLink>
</file>

<file path=xl/macrosheets/sheet1.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mc:Ignorable="x14ac">
  <dimension ref="A1"/>
  <sheetViews>
    <sheetView showFormulas="1" workbookViewId="0">
      <selection activeCell="I36" sqref="I36"/>
    </sheetView>
  </sheetViews>
  <sheetFormatPr defaultRowHeight="12.75"/>
  <sheetData/>
  <pageMargins left="0.7" right="0.7" top="0.75" bottom="0.75" header="0.3" footer="0.3"/>
</xm:macrosheet>
</file>

<file path=xl/queryTables/queryTable1.xml><?xml version="1.0" encoding="utf-8"?>
<queryTable xmlns="http://schemas.openxmlformats.org/spreadsheetml/2006/main" name="fdms_web_query.cfm?cty=LT" preserveFormatting="0" connectionId="4"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y_additional_impact.cfm?cty=LT_1" preserveFormatting="0" connectionId="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y_transfer_matrix.cfm?cty=LT_2" preserveFormatting="0" connectionId="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y_transfer_matrix.cfm?cty=LT_1" preserveFormatting="0" connectionId="2"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y_additional_impact.cfm?cty=LT" preserveFormatting="0" connectionId="5"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_EPKit Theme">
      <a:dk1>
        <a:sysClr val="windowText" lastClr="000000"/>
      </a:dk1>
      <a:lt1>
        <a:sysClr val="window" lastClr="FFFFFF"/>
      </a:lt1>
      <a:dk2>
        <a:srgbClr val="4C70A7"/>
      </a:dk2>
      <a:lt2>
        <a:srgbClr val="F2F2F2"/>
      </a:lt2>
      <a:accent1>
        <a:srgbClr val="353B73"/>
      </a:accent1>
      <a:accent2>
        <a:srgbClr val="FFD724"/>
      </a:accent2>
      <a:accent3>
        <a:srgbClr val="2F9AFB"/>
      </a:accent3>
      <a:accent4>
        <a:srgbClr val="B8AAA2"/>
      </a:accent4>
      <a:accent5>
        <a:srgbClr val="E75118"/>
      </a:accent5>
      <a:accent6>
        <a:srgbClr val="6DC7A9"/>
      </a:accent6>
      <a:hlink>
        <a:srgbClr val="F29522"/>
      </a:hlink>
      <a:folHlink>
        <a:srgbClr val="2F9AD6"/>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41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41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gerrit.bethuyne@cec.eu.int"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omments" Target="../comments8.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8.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queryTable" Target="../queryTables/queryTable1.xml"/><Relationship Id="rId5" Type="http://schemas.openxmlformats.org/officeDocument/2006/relationships/queryTable" Target="../queryTables/queryTable5.xml"/><Relationship Id="rId4" Type="http://schemas.openxmlformats.org/officeDocument/2006/relationships/queryTable" Target="../queryTables/queryTable4.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18" Type="http://schemas.openxmlformats.org/officeDocument/2006/relationships/ctrlProp" Target="../ctrlProps/ctrlProp17.xml"/><Relationship Id="rId26" Type="http://schemas.openxmlformats.org/officeDocument/2006/relationships/ctrlProp" Target="../ctrlProps/ctrlProp25.xml"/><Relationship Id="rId3" Type="http://schemas.openxmlformats.org/officeDocument/2006/relationships/vmlDrawing" Target="../drawings/vmlDrawing9.vml"/><Relationship Id="rId21" Type="http://schemas.openxmlformats.org/officeDocument/2006/relationships/ctrlProp" Target="../ctrlProps/ctrlProp20.xml"/><Relationship Id="rId34" Type="http://schemas.openxmlformats.org/officeDocument/2006/relationships/ctrlProp" Target="../ctrlProps/ctrlProp33.xml"/><Relationship Id="rId7" Type="http://schemas.openxmlformats.org/officeDocument/2006/relationships/ctrlProp" Target="../ctrlProps/ctrlProp6.xml"/><Relationship Id="rId12" Type="http://schemas.openxmlformats.org/officeDocument/2006/relationships/ctrlProp" Target="../ctrlProps/ctrlProp11.xml"/><Relationship Id="rId17" Type="http://schemas.openxmlformats.org/officeDocument/2006/relationships/ctrlProp" Target="../ctrlProps/ctrlProp16.xml"/><Relationship Id="rId25" Type="http://schemas.openxmlformats.org/officeDocument/2006/relationships/ctrlProp" Target="../ctrlProps/ctrlProp24.xml"/><Relationship Id="rId33" Type="http://schemas.openxmlformats.org/officeDocument/2006/relationships/ctrlProp" Target="../ctrlProps/ctrlProp32.xml"/><Relationship Id="rId2" Type="http://schemas.openxmlformats.org/officeDocument/2006/relationships/drawing" Target="../drawings/drawing8.xml"/><Relationship Id="rId16" Type="http://schemas.openxmlformats.org/officeDocument/2006/relationships/ctrlProp" Target="../ctrlProps/ctrlProp15.xml"/><Relationship Id="rId20" Type="http://schemas.openxmlformats.org/officeDocument/2006/relationships/ctrlProp" Target="../ctrlProps/ctrlProp19.xml"/><Relationship Id="rId29" Type="http://schemas.openxmlformats.org/officeDocument/2006/relationships/ctrlProp" Target="../ctrlProps/ctrlProp28.xml"/><Relationship Id="rId1" Type="http://schemas.openxmlformats.org/officeDocument/2006/relationships/printerSettings" Target="../printerSettings/printerSettings13.bin"/><Relationship Id="rId6" Type="http://schemas.openxmlformats.org/officeDocument/2006/relationships/ctrlProp" Target="../ctrlProps/ctrlProp5.xml"/><Relationship Id="rId11" Type="http://schemas.openxmlformats.org/officeDocument/2006/relationships/ctrlProp" Target="../ctrlProps/ctrlProp10.xml"/><Relationship Id="rId24" Type="http://schemas.openxmlformats.org/officeDocument/2006/relationships/ctrlProp" Target="../ctrlProps/ctrlProp23.xml"/><Relationship Id="rId32" Type="http://schemas.openxmlformats.org/officeDocument/2006/relationships/ctrlProp" Target="../ctrlProps/ctrlProp31.xml"/><Relationship Id="rId5" Type="http://schemas.openxmlformats.org/officeDocument/2006/relationships/ctrlProp" Target="../ctrlProps/ctrlProp4.xml"/><Relationship Id="rId15" Type="http://schemas.openxmlformats.org/officeDocument/2006/relationships/ctrlProp" Target="../ctrlProps/ctrlProp14.xml"/><Relationship Id="rId23" Type="http://schemas.openxmlformats.org/officeDocument/2006/relationships/ctrlProp" Target="../ctrlProps/ctrlProp22.xml"/><Relationship Id="rId28" Type="http://schemas.openxmlformats.org/officeDocument/2006/relationships/ctrlProp" Target="../ctrlProps/ctrlProp27.xml"/><Relationship Id="rId10" Type="http://schemas.openxmlformats.org/officeDocument/2006/relationships/ctrlProp" Target="../ctrlProps/ctrlProp9.xml"/><Relationship Id="rId19" Type="http://schemas.openxmlformats.org/officeDocument/2006/relationships/ctrlProp" Target="../ctrlProps/ctrlProp18.xml"/><Relationship Id="rId31" Type="http://schemas.openxmlformats.org/officeDocument/2006/relationships/ctrlProp" Target="../ctrlProps/ctrlProp30.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 Id="rId22" Type="http://schemas.openxmlformats.org/officeDocument/2006/relationships/ctrlProp" Target="../ctrlProps/ctrlProp21.xml"/><Relationship Id="rId27" Type="http://schemas.openxmlformats.org/officeDocument/2006/relationships/ctrlProp" Target="../ctrlProps/ctrlProp26.xml"/><Relationship Id="rId30" Type="http://schemas.openxmlformats.org/officeDocument/2006/relationships/ctrlProp" Target="../ctrlProps/ctrlProp29.xml"/><Relationship Id="rId35" Type="http://schemas.openxmlformats.org/officeDocument/2006/relationships/comments" Target="../comments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1" enableFormatConditionsCalculation="0">
    <tabColor indexed="44"/>
  </sheetPr>
  <dimension ref="B4:F28"/>
  <sheetViews>
    <sheetView showGridLines="0" workbookViewId="0">
      <selection activeCell="B28" sqref="B28"/>
    </sheetView>
  </sheetViews>
  <sheetFormatPr defaultColWidth="11.7109375" defaultRowHeight="12.75"/>
  <cols>
    <col min="1" max="1" width="4.85546875" customWidth="1"/>
  </cols>
  <sheetData>
    <row r="4" spans="2:5" ht="18">
      <c r="E4" s="850" t="s">
        <v>543</v>
      </c>
    </row>
    <row r="5" spans="2:5" ht="15">
      <c r="E5" s="851" t="s">
        <v>544</v>
      </c>
    </row>
    <row r="7" spans="2:5" ht="15">
      <c r="E7" s="852"/>
    </row>
    <row r="8" spans="2:5" ht="15">
      <c r="E8" s="852" t="s">
        <v>545</v>
      </c>
    </row>
    <row r="9" spans="2:5" ht="15">
      <c r="E9" s="851" t="s">
        <v>546</v>
      </c>
    </row>
    <row r="13" spans="2:5" ht="30">
      <c r="E13" s="853" t="s">
        <v>615</v>
      </c>
    </row>
    <row r="14" spans="2:5">
      <c r="B14" s="546"/>
    </row>
    <row r="15" spans="2:5">
      <c r="B15" s="546"/>
    </row>
    <row r="17" spans="2:6">
      <c r="E17" t="s">
        <v>547</v>
      </c>
    </row>
    <row r="18" spans="2:6">
      <c r="E18" t="s">
        <v>548</v>
      </c>
      <c r="F18" s="854" t="s">
        <v>1184</v>
      </c>
    </row>
    <row r="25" spans="2:6">
      <c r="B25" s="855" t="s">
        <v>265</v>
      </c>
    </row>
    <row r="26" spans="2:6">
      <c r="B26" s="855" t="s">
        <v>549</v>
      </c>
    </row>
    <row r="27" spans="2:6">
      <c r="B27" s="855" t="s">
        <v>741</v>
      </c>
    </row>
    <row r="28" spans="2:6">
      <c r="B28" s="855" t="s">
        <v>550</v>
      </c>
      <c r="C28" s="856" t="s">
        <v>1018</v>
      </c>
      <c r="D28" s="856"/>
    </row>
  </sheetData>
  <phoneticPr fontId="60" type="noConversion"/>
  <hyperlinks>
    <hyperlink ref="C28" r:id="rId1" display="gerrit.bethuyne@cec.eu.int"/>
  </hyperlinks>
  <pageMargins left="0.75" right="0.75" top="1" bottom="1" header="0.5" footer="0.5"/>
  <pageSetup paperSize="9" orientation="landscape" r:id="rId2"/>
  <headerFooter alignWithMargins="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2">
    <tabColor indexed="44"/>
    <pageSetUpPr fitToPage="1"/>
  </sheetPr>
  <dimension ref="A1:Q1002"/>
  <sheetViews>
    <sheetView showGridLines="0" topLeftCell="A91" workbookViewId="0">
      <selection activeCell="E116" sqref="E116"/>
    </sheetView>
  </sheetViews>
  <sheetFormatPr defaultRowHeight="14.25"/>
  <cols>
    <col min="1" max="3" width="4.140625" style="1786" customWidth="1"/>
    <col min="4" max="4" width="4.140625" style="1787" customWidth="1"/>
    <col min="5" max="5" width="10.28515625" style="1787" customWidth="1"/>
    <col min="6" max="16" width="10.28515625" style="1786" customWidth="1"/>
    <col min="17" max="16384" width="9.140625" style="1786"/>
  </cols>
  <sheetData>
    <row r="1" spans="1:17">
      <c r="A1" s="1828"/>
      <c r="B1" s="1828"/>
      <c r="C1" s="1828"/>
      <c r="D1" s="1829"/>
      <c r="E1" s="1829"/>
      <c r="F1" s="1828"/>
      <c r="G1" s="1828"/>
      <c r="H1" s="1828"/>
      <c r="I1" s="1828"/>
      <c r="J1" s="1828"/>
      <c r="K1" s="1828"/>
      <c r="L1" s="1828"/>
      <c r="M1" s="1828"/>
      <c r="N1" s="1828"/>
      <c r="O1" s="1828"/>
      <c r="P1" s="1828"/>
      <c r="Q1" s="1828"/>
    </row>
    <row r="2" spans="1:17" ht="18.75">
      <c r="A2" s="1828"/>
      <c r="B2" s="1830" t="s">
        <v>1382</v>
      </c>
      <c r="C2" s="1828"/>
      <c r="D2" s="1829"/>
      <c r="E2" s="1829"/>
      <c r="F2" s="1828"/>
      <c r="G2" s="1828"/>
      <c r="H2" s="1828"/>
      <c r="I2" s="1828"/>
      <c r="J2" s="1828"/>
      <c r="K2" s="1828"/>
      <c r="L2" s="1828"/>
      <c r="M2" s="1828"/>
      <c r="N2" s="1828"/>
      <c r="O2" s="1828"/>
      <c r="P2" s="1828"/>
      <c r="Q2" s="1828"/>
    </row>
    <row r="3" spans="1:17" s="1827" customFormat="1" ht="12.75">
      <c r="A3" s="1503"/>
      <c r="B3" s="1831"/>
      <c r="C3" s="1503"/>
      <c r="D3" s="1832"/>
      <c r="E3" s="1832"/>
      <c r="F3" s="1503"/>
      <c r="G3" s="1503"/>
      <c r="H3" s="1503"/>
      <c r="I3" s="1503"/>
      <c r="J3" s="1503"/>
      <c r="K3" s="1503"/>
      <c r="L3" s="1503"/>
      <c r="M3" s="1503"/>
      <c r="N3" s="1503"/>
      <c r="O3" s="1503"/>
      <c r="P3" s="1503"/>
      <c r="Q3" s="1503"/>
    </row>
    <row r="4" spans="1:17" ht="15" thickBot="1"/>
    <row r="5" spans="1:17" ht="15">
      <c r="B5" s="1799"/>
      <c r="C5" s="1800" t="s">
        <v>650</v>
      </c>
      <c r="D5" s="1801"/>
      <c r="E5" s="1801"/>
      <c r="F5" s="1800"/>
      <c r="G5" s="1800"/>
      <c r="H5" s="1800"/>
      <c r="I5" s="1800"/>
      <c r="J5" s="1800"/>
      <c r="K5" s="1800"/>
      <c r="L5" s="1800"/>
      <c r="M5" s="1800"/>
      <c r="N5" s="1800"/>
      <c r="O5" s="1800"/>
      <c r="P5" s="1802"/>
    </row>
    <row r="6" spans="1:17" ht="15">
      <c r="B6" s="1803"/>
      <c r="C6" s="1804" t="s">
        <v>1057</v>
      </c>
      <c r="D6" s="1805"/>
      <c r="E6" s="1804"/>
      <c r="F6" s="1806"/>
      <c r="G6" s="1806"/>
      <c r="H6" s="1806"/>
      <c r="I6" s="1806"/>
      <c r="J6" s="1806"/>
      <c r="K6" s="1806"/>
      <c r="L6" s="1806"/>
      <c r="M6" s="1806"/>
      <c r="N6" s="1806"/>
      <c r="O6" s="1806"/>
      <c r="P6" s="1807"/>
    </row>
    <row r="7" spans="1:17" ht="15">
      <c r="B7" s="1803"/>
      <c r="C7" s="1808" t="s">
        <v>1683</v>
      </c>
      <c r="D7" s="1809"/>
      <c r="E7" s="1809"/>
      <c r="F7" s="1808"/>
      <c r="G7" s="1808"/>
      <c r="H7" s="1808"/>
      <c r="I7" s="1808"/>
      <c r="J7" s="1808"/>
      <c r="K7" s="1808"/>
      <c r="L7" s="1808"/>
      <c r="M7" s="1808"/>
      <c r="N7" s="1808"/>
      <c r="O7" s="1808"/>
      <c r="P7" s="1807"/>
    </row>
    <row r="8" spans="1:17" ht="15">
      <c r="B8" s="1803"/>
      <c r="C8" s="1808" t="s">
        <v>1673</v>
      </c>
      <c r="D8" s="1809"/>
      <c r="E8" s="1809"/>
      <c r="F8" s="1808"/>
      <c r="G8" s="1808"/>
      <c r="H8" s="1808"/>
      <c r="I8" s="1808"/>
      <c r="J8" s="1808"/>
      <c r="K8" s="1808"/>
      <c r="L8" s="1808"/>
      <c r="M8" s="1808"/>
      <c r="N8" s="1808"/>
      <c r="O8" s="1808"/>
      <c r="P8" s="1807"/>
    </row>
    <row r="9" spans="1:17">
      <c r="B9" s="1803"/>
      <c r="C9" s="1810"/>
      <c r="D9" s="1809" t="s">
        <v>1545</v>
      </c>
      <c r="E9" s="1809"/>
      <c r="F9" s="1808"/>
      <c r="G9" s="1808"/>
      <c r="H9" s="1808"/>
      <c r="I9" s="1808"/>
      <c r="J9" s="1808"/>
      <c r="K9" s="1808"/>
      <c r="L9" s="1808"/>
      <c r="M9" s="1808"/>
      <c r="N9" s="1808"/>
      <c r="O9" s="1808"/>
      <c r="P9" s="1807"/>
    </row>
    <row r="10" spans="1:17">
      <c r="B10" s="1803"/>
      <c r="C10" s="1808"/>
      <c r="D10" s="1811" t="s">
        <v>1066</v>
      </c>
      <c r="E10" s="1809"/>
      <c r="F10" s="1808"/>
      <c r="G10" s="1808"/>
      <c r="H10" s="1808"/>
      <c r="I10" s="1808"/>
      <c r="J10" s="1808"/>
      <c r="K10" s="1808"/>
      <c r="L10" s="1808"/>
      <c r="M10" s="1808"/>
      <c r="N10" s="1808"/>
      <c r="O10" s="1808"/>
      <c r="P10" s="1807"/>
    </row>
    <row r="11" spans="1:17" ht="15.75" thickBot="1">
      <c r="B11" s="1812"/>
      <c r="C11" s="1813" t="s">
        <v>1386</v>
      </c>
      <c r="D11" s="1814"/>
      <c r="E11" s="1814"/>
      <c r="F11" s="1815"/>
      <c r="G11" s="1815"/>
      <c r="H11" s="1815"/>
      <c r="I11" s="1815"/>
      <c r="J11" s="1815"/>
      <c r="K11" s="1815"/>
      <c r="L11" s="1815"/>
      <c r="M11" s="1815"/>
      <c r="N11" s="1815"/>
      <c r="O11" s="1815"/>
      <c r="P11" s="1816"/>
    </row>
    <row r="13" spans="1:17">
      <c r="A13" s="1828"/>
      <c r="B13" s="1828"/>
      <c r="C13" s="1828"/>
      <c r="D13" s="1829"/>
      <c r="E13" s="1829"/>
      <c r="F13" s="1828"/>
      <c r="G13" s="1828"/>
      <c r="H13" s="1828"/>
      <c r="I13" s="1828"/>
      <c r="J13" s="1828"/>
      <c r="K13" s="1828"/>
      <c r="L13" s="1828"/>
      <c r="M13" s="1828"/>
      <c r="N13" s="1828"/>
      <c r="O13" s="1828"/>
      <c r="P13" s="1828"/>
      <c r="Q13" s="1828"/>
    </row>
    <row r="14" spans="1:17" ht="18.75">
      <c r="A14" s="1828"/>
      <c r="B14" s="1830" t="s">
        <v>1056</v>
      </c>
      <c r="C14" s="1828"/>
      <c r="D14" s="1829"/>
      <c r="E14" s="1829"/>
      <c r="F14" s="1828"/>
      <c r="G14" s="1828"/>
      <c r="H14" s="1828"/>
      <c r="I14" s="1828"/>
      <c r="J14" s="1828"/>
      <c r="K14" s="1828"/>
      <c r="L14" s="1828"/>
      <c r="M14" s="1828"/>
      <c r="N14" s="1828"/>
      <c r="O14" s="1828"/>
      <c r="P14" s="1828"/>
      <c r="Q14" s="1828"/>
    </row>
    <row r="15" spans="1:17">
      <c r="A15" s="1828"/>
      <c r="B15" s="1828"/>
      <c r="C15" s="1828"/>
      <c r="D15" s="1829"/>
      <c r="E15" s="1829"/>
      <c r="F15" s="1828"/>
      <c r="G15" s="1828"/>
      <c r="H15" s="1828"/>
      <c r="I15" s="1828"/>
      <c r="J15" s="1828"/>
      <c r="K15" s="1828"/>
      <c r="L15" s="1828"/>
      <c r="M15" s="1828"/>
      <c r="N15" s="1828"/>
      <c r="O15" s="1828"/>
      <c r="P15" s="1828"/>
      <c r="Q15" s="1828"/>
    </row>
    <row r="17" spans="1:17" s="1834" customFormat="1" ht="24" customHeight="1">
      <c r="A17" s="1833"/>
      <c r="B17" s="1839" t="s">
        <v>653</v>
      </c>
      <c r="C17" s="1833"/>
      <c r="D17" s="1833"/>
      <c r="E17" s="1833"/>
      <c r="F17" s="1833"/>
      <c r="G17" s="1833"/>
      <c r="H17" s="1833"/>
      <c r="I17" s="1833"/>
      <c r="J17" s="1833"/>
      <c r="K17" s="1833"/>
      <c r="L17" s="1833"/>
      <c r="M17" s="1833"/>
      <c r="N17" s="1833"/>
      <c r="O17" s="1833"/>
      <c r="P17" s="1833"/>
      <c r="Q17" s="1833"/>
    </row>
    <row r="19" spans="1:17" ht="15">
      <c r="B19" s="1788">
        <v>11</v>
      </c>
      <c r="C19" s="1788">
        <v>23</v>
      </c>
      <c r="D19" s="1787" t="s">
        <v>1344</v>
      </c>
    </row>
    <row r="21" spans="1:17">
      <c r="B21" s="1786" t="s">
        <v>633</v>
      </c>
    </row>
    <row r="22" spans="1:17">
      <c r="B22" s="1786" t="s">
        <v>634</v>
      </c>
    </row>
    <row r="24" spans="1:17" ht="15">
      <c r="C24" s="1789"/>
      <c r="D24" s="1805"/>
      <c r="E24" s="1787" t="s">
        <v>1808</v>
      </c>
    </row>
    <row r="26" spans="1:17">
      <c r="C26" s="1790"/>
      <c r="D26" s="1790"/>
      <c r="E26" s="1787" t="s">
        <v>1082</v>
      </c>
    </row>
    <row r="28" spans="1:17">
      <c r="B28" s="1786" t="s">
        <v>1780</v>
      </c>
    </row>
    <row r="30" spans="1:17">
      <c r="C30" s="1791"/>
      <c r="D30" s="1817"/>
      <c r="E30" s="1787" t="s">
        <v>77</v>
      </c>
      <c r="J30" s="1792"/>
      <c r="K30" s="1787" t="s">
        <v>76</v>
      </c>
      <c r="M30" s="1787"/>
    </row>
    <row r="31" spans="1:17">
      <c r="D31" s="1818"/>
    </row>
    <row r="32" spans="1:17">
      <c r="C32" s="1793"/>
      <c r="D32" s="1819"/>
      <c r="E32" s="1787" t="s">
        <v>93</v>
      </c>
    </row>
    <row r="33" spans="1:17">
      <c r="D33" s="1818"/>
    </row>
    <row r="34" spans="1:17">
      <c r="C34" s="1794"/>
      <c r="D34" s="1820"/>
      <c r="E34" s="1787" t="s">
        <v>1530</v>
      </c>
    </row>
    <row r="37" spans="1:17" s="1834" customFormat="1" ht="24" customHeight="1">
      <c r="A37" s="1833"/>
      <c r="B37" s="1839" t="s">
        <v>94</v>
      </c>
      <c r="C37" s="1833"/>
      <c r="D37" s="1833"/>
      <c r="E37" s="1833"/>
      <c r="F37" s="1833"/>
      <c r="G37" s="1833"/>
      <c r="H37" s="1833"/>
      <c r="I37" s="1833"/>
      <c r="J37" s="1833"/>
      <c r="K37" s="1833"/>
      <c r="L37" s="1833"/>
      <c r="M37" s="1833"/>
      <c r="N37" s="1833"/>
      <c r="O37" s="1833"/>
      <c r="P37" s="1833"/>
      <c r="Q37" s="1833"/>
    </row>
    <row r="39" spans="1:17" ht="15">
      <c r="B39" s="1844" t="s">
        <v>395</v>
      </c>
      <c r="C39" s="1845"/>
      <c r="D39" s="1846"/>
      <c r="E39" s="1846"/>
      <c r="F39" s="1845"/>
      <c r="G39" s="1847"/>
    </row>
    <row r="40" spans="1:17" ht="15">
      <c r="B40" s="1795"/>
    </row>
    <row r="41" spans="1:17" ht="15">
      <c r="B41" s="1795"/>
      <c r="C41" s="1786" t="s">
        <v>1362</v>
      </c>
    </row>
    <row r="42" spans="1:17" ht="15">
      <c r="B42" s="1795"/>
    </row>
    <row r="43" spans="1:17" ht="15">
      <c r="B43" s="1795"/>
      <c r="C43" s="1786" t="s">
        <v>650</v>
      </c>
    </row>
    <row r="44" spans="1:17" ht="15">
      <c r="B44" s="1795"/>
    </row>
    <row r="45" spans="1:17" ht="15">
      <c r="C45" s="1786" t="s">
        <v>1363</v>
      </c>
    </row>
    <row r="46" spans="1:17">
      <c r="D46" s="1786"/>
    </row>
    <row r="47" spans="1:17">
      <c r="D47" s="1787" t="s">
        <v>1525</v>
      </c>
    </row>
    <row r="48" spans="1:17">
      <c r="D48" s="1786" t="s">
        <v>651</v>
      </c>
    </row>
    <row r="49" spans="2:7">
      <c r="D49" s="1787" t="s">
        <v>1487</v>
      </c>
    </row>
    <row r="51" spans="2:7">
      <c r="D51" s="1787" t="s">
        <v>621</v>
      </c>
    </row>
    <row r="52" spans="2:7">
      <c r="D52" s="1787" t="s">
        <v>641</v>
      </c>
    </row>
    <row r="54" spans="2:7">
      <c r="C54" s="1786" t="s">
        <v>287</v>
      </c>
    </row>
    <row r="55" spans="2:7">
      <c r="D55" s="1786" t="s">
        <v>1248</v>
      </c>
    </row>
    <row r="56" spans="2:7">
      <c r="D56" s="1787" t="s">
        <v>393</v>
      </c>
    </row>
    <row r="57" spans="2:7">
      <c r="D57" s="1787" t="s">
        <v>380</v>
      </c>
    </row>
    <row r="59" spans="2:7" ht="15">
      <c r="B59" s="1844" t="s">
        <v>424</v>
      </c>
      <c r="C59" s="1845"/>
      <c r="D59" s="1846"/>
      <c r="E59" s="1846"/>
      <c r="F59" s="1845"/>
      <c r="G59" s="1847"/>
    </row>
    <row r="61" spans="2:7">
      <c r="C61" s="1786" t="s">
        <v>1035</v>
      </c>
    </row>
    <row r="62" spans="2:7" ht="15">
      <c r="D62" s="1821" t="s">
        <v>373</v>
      </c>
    </row>
    <row r="63" spans="2:7" ht="15">
      <c r="D63" s="1821" t="s">
        <v>1687</v>
      </c>
    </row>
    <row r="64" spans="2:7" ht="15">
      <c r="D64" s="1821" t="s">
        <v>929</v>
      </c>
    </row>
    <row r="65" spans="3:7" ht="15">
      <c r="D65" s="1821" t="s">
        <v>983</v>
      </c>
    </row>
    <row r="67" spans="3:7">
      <c r="C67" s="1786" t="s">
        <v>565</v>
      </c>
    </row>
    <row r="68" spans="3:7">
      <c r="D68" s="1787" t="s">
        <v>457</v>
      </c>
    </row>
    <row r="69" spans="3:7">
      <c r="D69" s="1787" t="s">
        <v>1582</v>
      </c>
    </row>
    <row r="70" spans="3:7" ht="15">
      <c r="D70" s="1822" t="s">
        <v>1764</v>
      </c>
    </row>
    <row r="72" spans="3:7">
      <c r="C72" s="1786" t="s">
        <v>141</v>
      </c>
    </row>
    <row r="73" spans="3:7" ht="15">
      <c r="C73" s="1823" t="s">
        <v>640</v>
      </c>
    </row>
    <row r="75" spans="3:7">
      <c r="C75" s="1840" t="s">
        <v>138</v>
      </c>
      <c r="D75" s="1841"/>
      <c r="E75" s="1841"/>
      <c r="F75" s="1842"/>
      <c r="G75" s="1843"/>
    </row>
    <row r="77" spans="3:7" ht="15">
      <c r="D77" s="1821" t="s">
        <v>373</v>
      </c>
    </row>
    <row r="79" spans="3:7" ht="15">
      <c r="D79" s="1824" t="s">
        <v>1700</v>
      </c>
      <c r="E79" s="1786"/>
    </row>
    <row r="80" spans="3:7">
      <c r="D80" s="1786"/>
      <c r="E80" s="1825" t="s">
        <v>2019</v>
      </c>
    </row>
    <row r="81" spans="4:5">
      <c r="D81" s="1786"/>
      <c r="E81" s="1825" t="s">
        <v>2020</v>
      </c>
    </row>
    <row r="82" spans="4:5">
      <c r="D82" s="1786"/>
      <c r="E82" s="1825" t="s">
        <v>1583</v>
      </c>
    </row>
    <row r="83" spans="4:5">
      <c r="D83" s="1786"/>
      <c r="E83" s="1825" t="s">
        <v>2021</v>
      </c>
    </row>
    <row r="84" spans="4:5">
      <c r="D84" s="1786"/>
      <c r="E84" s="1825" t="s">
        <v>701</v>
      </c>
    </row>
    <row r="85" spans="4:5">
      <c r="D85" s="1786"/>
      <c r="E85" s="1786"/>
    </row>
    <row r="86" spans="4:5" ht="15">
      <c r="D86" s="1824" t="s">
        <v>1484</v>
      </c>
      <c r="E86" s="1786"/>
    </row>
    <row r="87" spans="4:5">
      <c r="D87" s="1786"/>
      <c r="E87" s="1786" t="s">
        <v>987</v>
      </c>
    </row>
    <row r="88" spans="4:5">
      <c r="D88" s="1786"/>
      <c r="E88" s="1786" t="s">
        <v>72</v>
      </c>
    </row>
    <row r="89" spans="4:5">
      <c r="D89" s="1786"/>
      <c r="E89" s="1786"/>
    </row>
    <row r="90" spans="4:5" ht="15">
      <c r="D90" s="1787" t="s">
        <v>1996</v>
      </c>
    </row>
    <row r="91" spans="4:5">
      <c r="D91" s="1786"/>
      <c r="E91" s="1786"/>
    </row>
    <row r="92" spans="4:5" ht="15">
      <c r="D92" s="1824" t="s">
        <v>104</v>
      </c>
      <c r="E92" s="1786"/>
    </row>
    <row r="93" spans="4:5">
      <c r="D93" s="1786"/>
      <c r="E93" s="1786"/>
    </row>
    <row r="94" spans="4:5">
      <c r="E94" s="1787" t="s">
        <v>913</v>
      </c>
    </row>
    <row r="95" spans="4:5">
      <c r="E95" s="1787" t="s">
        <v>1684</v>
      </c>
    </row>
    <row r="97" spans="3:7">
      <c r="E97" s="1787" t="s">
        <v>847</v>
      </c>
    </row>
    <row r="98" spans="3:7">
      <c r="E98" s="1787" t="s">
        <v>70</v>
      </c>
    </row>
    <row r="100" spans="3:7" ht="15">
      <c r="E100" s="1787" t="s">
        <v>41</v>
      </c>
    </row>
    <row r="102" spans="3:7" ht="15">
      <c r="D102" s="1824" t="s">
        <v>105</v>
      </c>
    </row>
    <row r="103" spans="3:7">
      <c r="D103" s="2072"/>
    </row>
    <row r="104" spans="3:7">
      <c r="D104" s="2072"/>
      <c r="E104" s="1787" t="s">
        <v>112</v>
      </c>
    </row>
    <row r="105" spans="3:7" ht="15">
      <c r="D105" s="1821"/>
      <c r="E105" s="1786" t="s">
        <v>1737</v>
      </c>
    </row>
    <row r="106" spans="3:7" ht="15">
      <c r="D106" s="1821"/>
      <c r="E106" s="1786"/>
    </row>
    <row r="107" spans="3:7">
      <c r="E107" s="1786" t="s">
        <v>1881</v>
      </c>
    </row>
    <row r="108" spans="3:7" ht="15">
      <c r="E108" s="1787" t="s">
        <v>1256</v>
      </c>
    </row>
    <row r="109" spans="3:7">
      <c r="E109" s="1786" t="s">
        <v>103</v>
      </c>
    </row>
    <row r="111" spans="3:7">
      <c r="C111" s="1840" t="s">
        <v>139</v>
      </c>
      <c r="D111" s="1841"/>
      <c r="E111" s="1841"/>
      <c r="F111" s="1842"/>
      <c r="G111" s="1843"/>
    </row>
    <row r="113" spans="3:7" ht="15">
      <c r="D113" s="1821" t="s">
        <v>24</v>
      </c>
    </row>
    <row r="115" spans="3:7" ht="15">
      <c r="D115" s="1787" t="s">
        <v>25</v>
      </c>
    </row>
    <row r="116" spans="3:7">
      <c r="D116" s="1787" t="s">
        <v>1706</v>
      </c>
      <c r="E116" s="1787" t="s">
        <v>1997</v>
      </c>
    </row>
    <row r="117" spans="3:7">
      <c r="E117" s="1787" t="s">
        <v>1218</v>
      </c>
    </row>
    <row r="119" spans="3:7">
      <c r="C119" s="1840" t="s">
        <v>140</v>
      </c>
      <c r="D119" s="1841"/>
      <c r="E119" s="1841"/>
      <c r="F119" s="1842"/>
      <c r="G119" s="1843"/>
    </row>
    <row r="121" spans="3:7" ht="15">
      <c r="D121" s="1787" t="s">
        <v>71</v>
      </c>
    </row>
    <row r="123" spans="3:7" ht="15">
      <c r="D123" s="1787" t="s">
        <v>1356</v>
      </c>
    </row>
    <row r="125" spans="3:7" ht="15">
      <c r="D125" s="1787" t="s">
        <v>760</v>
      </c>
    </row>
    <row r="127" spans="3:7">
      <c r="C127" s="1840" t="s">
        <v>455</v>
      </c>
      <c r="D127" s="1841"/>
      <c r="E127" s="1841"/>
      <c r="F127" s="1842"/>
      <c r="G127" s="1843"/>
    </row>
    <row r="129" spans="4:6" ht="15">
      <c r="D129" s="1796" t="s">
        <v>1237</v>
      </c>
      <c r="F129" s="1798"/>
    </row>
    <row r="131" spans="4:6" ht="15">
      <c r="D131" s="1787" t="s">
        <v>447</v>
      </c>
    </row>
    <row r="132" spans="4:6">
      <c r="E132" s="1787" t="s">
        <v>642</v>
      </c>
    </row>
    <row r="133" spans="4:6">
      <c r="E133" s="1787" t="s">
        <v>643</v>
      </c>
    </row>
    <row r="135" spans="4:6">
      <c r="D135" s="1787" t="s">
        <v>1797</v>
      </c>
    </row>
    <row r="136" spans="4:6">
      <c r="E136" s="1786" t="s">
        <v>1862</v>
      </c>
    </row>
    <row r="138" spans="4:6">
      <c r="E138" s="1787" t="s">
        <v>1947</v>
      </c>
    </row>
    <row r="139" spans="4:6">
      <c r="E139" s="1787" t="s">
        <v>1863</v>
      </c>
    </row>
    <row r="140" spans="4:6">
      <c r="E140" s="1787" t="s">
        <v>134</v>
      </c>
    </row>
    <row r="142" spans="4:6">
      <c r="E142" s="1787" t="s">
        <v>136</v>
      </c>
    </row>
    <row r="144" spans="4:6">
      <c r="E144" s="1787" t="s">
        <v>135</v>
      </c>
    </row>
    <row r="145" spans="5:15">
      <c r="E145" s="1787" t="s">
        <v>1799</v>
      </c>
    </row>
    <row r="146" spans="5:15">
      <c r="E146" s="1787" t="s">
        <v>872</v>
      </c>
    </row>
    <row r="147" spans="5:15">
      <c r="E147" s="1787" t="s">
        <v>873</v>
      </c>
    </row>
    <row r="148" spans="5:15">
      <c r="E148" s="1786"/>
    </row>
    <row r="149" spans="5:15">
      <c r="E149" s="1787" t="s">
        <v>1798</v>
      </c>
    </row>
    <row r="150" spans="5:15">
      <c r="E150" s="1786" t="s">
        <v>874</v>
      </c>
    </row>
    <row r="151" spans="5:15">
      <c r="E151" s="1786" t="s">
        <v>875</v>
      </c>
    </row>
    <row r="152" spans="5:15">
      <c r="E152" s="1786" t="s">
        <v>1946</v>
      </c>
    </row>
    <row r="154" spans="5:15">
      <c r="E154" s="3752" t="s">
        <v>312</v>
      </c>
      <c r="F154" s="3752"/>
      <c r="G154" s="3752"/>
      <c r="H154" s="3752"/>
      <c r="I154" s="3752"/>
      <c r="J154" s="3752"/>
      <c r="K154" s="3752"/>
      <c r="L154" s="3752"/>
      <c r="M154" s="3752"/>
      <c r="N154" s="3752"/>
      <c r="O154" s="3752"/>
    </row>
    <row r="155" spans="5:15">
      <c r="E155" s="1786"/>
    </row>
    <row r="156" spans="5:15">
      <c r="E156" s="3752" t="s">
        <v>1948</v>
      </c>
      <c r="F156" s="3752"/>
      <c r="G156" s="3752"/>
      <c r="H156" s="3752"/>
      <c r="I156" s="3752"/>
      <c r="J156" s="3752"/>
      <c r="K156" s="3752"/>
      <c r="L156" s="3752"/>
      <c r="M156" s="3752"/>
      <c r="N156" s="3752"/>
      <c r="O156" s="3752"/>
    </row>
    <row r="157" spans="5:15">
      <c r="E157" s="1786"/>
    </row>
    <row r="158" spans="5:15">
      <c r="E158" s="3752" t="s">
        <v>823</v>
      </c>
      <c r="F158" s="3752"/>
      <c r="G158" s="3752"/>
      <c r="H158" s="3752"/>
      <c r="I158" s="3752"/>
      <c r="J158" s="3752"/>
      <c r="K158" s="3752"/>
      <c r="L158" s="3752"/>
      <c r="M158" s="3752"/>
      <c r="N158" s="3752"/>
      <c r="O158" s="3752"/>
    </row>
    <row r="159" spans="5:15">
      <c r="E159" s="1786"/>
    </row>
    <row r="160" spans="5:15" ht="14.25" customHeight="1">
      <c r="E160" s="3752" t="s">
        <v>1578</v>
      </c>
      <c r="F160" s="3752"/>
      <c r="G160" s="3752"/>
      <c r="H160" s="3752" t="s">
        <v>1767</v>
      </c>
      <c r="I160" s="3752" t="s">
        <v>824</v>
      </c>
      <c r="J160" s="3752"/>
      <c r="K160" s="3752"/>
      <c r="L160" s="3752" t="s">
        <v>1767</v>
      </c>
      <c r="M160" s="3752" t="s">
        <v>1579</v>
      </c>
      <c r="N160" s="3752"/>
      <c r="O160" s="3752"/>
    </row>
    <row r="161" spans="4:15" ht="14.25" customHeight="1">
      <c r="E161" s="3752"/>
      <c r="F161" s="3752"/>
      <c r="G161" s="3752"/>
      <c r="H161" s="3752"/>
      <c r="I161" s="3752"/>
      <c r="J161" s="3752"/>
      <c r="K161" s="3752"/>
      <c r="L161" s="3752"/>
      <c r="M161" s="3752"/>
      <c r="N161" s="3752"/>
      <c r="O161" s="3752"/>
    </row>
    <row r="162" spans="4:15">
      <c r="E162" s="3752"/>
      <c r="F162" s="3752"/>
      <c r="G162" s="3752"/>
      <c r="H162" s="3752"/>
      <c r="I162" s="3752"/>
      <c r="J162" s="3752"/>
      <c r="K162" s="3752"/>
      <c r="L162" s="3752"/>
      <c r="M162" s="3752"/>
      <c r="N162" s="3752"/>
      <c r="O162" s="3752"/>
    </row>
    <row r="163" spans="4:15">
      <c r="E163" s="1786"/>
    </row>
    <row r="164" spans="4:15">
      <c r="E164" s="3752" t="s">
        <v>826</v>
      </c>
      <c r="F164" s="3752"/>
      <c r="G164" s="3752"/>
      <c r="I164" s="3752" t="s">
        <v>1103</v>
      </c>
      <c r="J164" s="3752"/>
      <c r="K164" s="3752"/>
      <c r="M164" s="3752" t="s">
        <v>1100</v>
      </c>
      <c r="N164" s="3752"/>
      <c r="O164" s="3752"/>
    </row>
    <row r="165" spans="4:15">
      <c r="E165" s="1786"/>
    </row>
    <row r="166" spans="4:15">
      <c r="E166" s="3752" t="s">
        <v>827</v>
      </c>
      <c r="F166" s="3752"/>
      <c r="G166" s="3752"/>
      <c r="I166" s="3752" t="s">
        <v>1104</v>
      </c>
      <c r="J166" s="3752"/>
      <c r="K166" s="3752"/>
      <c r="M166" s="3752" t="s">
        <v>1101</v>
      </c>
      <c r="N166" s="3752"/>
      <c r="O166" s="3752"/>
    </row>
    <row r="167" spans="4:15">
      <c r="E167" s="1786"/>
    </row>
    <row r="168" spans="4:15" ht="14.25" customHeight="1">
      <c r="E168" s="3752" t="s">
        <v>828</v>
      </c>
      <c r="F168" s="3752"/>
      <c r="G168" s="3752"/>
      <c r="I168" s="3752" t="s">
        <v>825</v>
      </c>
      <c r="J168" s="3752"/>
      <c r="K168" s="3752"/>
      <c r="M168" s="3752" t="s">
        <v>1102</v>
      </c>
      <c r="N168" s="3752"/>
      <c r="O168" s="3752"/>
    </row>
    <row r="169" spans="4:15">
      <c r="I169" s="3752"/>
      <c r="J169" s="3752"/>
      <c r="K169" s="3752"/>
    </row>
    <row r="173" spans="4:15" ht="15">
      <c r="D173" s="1821" t="s">
        <v>1201</v>
      </c>
    </row>
    <row r="174" spans="4:15">
      <c r="E174" s="1797" t="s">
        <v>2078</v>
      </c>
    </row>
    <row r="175" spans="4:15">
      <c r="E175" s="1797" t="s">
        <v>1577</v>
      </c>
    </row>
    <row r="176" spans="4:15">
      <c r="E176" s="1797" t="s">
        <v>453</v>
      </c>
    </row>
    <row r="177" spans="2:7">
      <c r="E177" s="1797" t="s">
        <v>454</v>
      </c>
    </row>
    <row r="179" spans="2:7" ht="15">
      <c r="D179" s="1787" t="s">
        <v>118</v>
      </c>
    </row>
    <row r="181" spans="2:7" ht="15">
      <c r="D181" s="1787" t="s">
        <v>398</v>
      </c>
    </row>
    <row r="182" spans="2:7" ht="15">
      <c r="D182" s="1787" t="s">
        <v>1514</v>
      </c>
    </row>
    <row r="183" spans="2:7">
      <c r="E183" s="1797" t="s">
        <v>1575</v>
      </c>
    </row>
    <row r="184" spans="2:7">
      <c r="E184" s="1797" t="s">
        <v>1576</v>
      </c>
    </row>
    <row r="186" spans="2:7" ht="15">
      <c r="B186" s="1844" t="s">
        <v>399</v>
      </c>
      <c r="C186" s="1845"/>
      <c r="D186" s="1846"/>
      <c r="E186" s="1846"/>
      <c r="F186" s="1845"/>
      <c r="G186" s="1847"/>
    </row>
    <row r="188" spans="2:7" ht="15">
      <c r="D188" s="1787" t="s">
        <v>434</v>
      </c>
    </row>
    <row r="190" spans="2:7" ht="15">
      <c r="D190" s="1787" t="s">
        <v>822</v>
      </c>
    </row>
    <row r="192" spans="2:7" ht="15">
      <c r="D192" s="1787" t="s">
        <v>1135</v>
      </c>
    </row>
    <row r="193" spans="1:17">
      <c r="E193" s="1787" t="s">
        <v>101</v>
      </c>
    </row>
    <row r="194" spans="1:17" ht="15">
      <c r="E194" s="1787" t="s">
        <v>117</v>
      </c>
    </row>
    <row r="195" spans="1:17">
      <c r="E195" s="1786" t="s">
        <v>767</v>
      </c>
    </row>
    <row r="196" spans="1:17" ht="15">
      <c r="E196" s="1787" t="s">
        <v>243</v>
      </c>
    </row>
    <row r="198" spans="1:17" ht="15">
      <c r="D198" s="1787" t="s">
        <v>594</v>
      </c>
    </row>
    <row r="199" spans="1:17">
      <c r="E199" s="1787" t="s">
        <v>595</v>
      </c>
    </row>
    <row r="200" spans="1:17">
      <c r="E200" s="1787" t="s">
        <v>596</v>
      </c>
    </row>
    <row r="201" spans="1:17">
      <c r="E201" s="1787" t="s">
        <v>597</v>
      </c>
    </row>
    <row r="203" spans="1:17" ht="15">
      <c r="D203" s="1787" t="s">
        <v>1524</v>
      </c>
    </row>
    <row r="204" spans="1:17">
      <c r="E204" s="1787" t="s">
        <v>2109</v>
      </c>
    </row>
    <row r="205" spans="1:17">
      <c r="E205" s="1787" t="s">
        <v>1828</v>
      </c>
    </row>
    <row r="206" spans="1:17">
      <c r="E206" s="1787" t="s">
        <v>702</v>
      </c>
    </row>
    <row r="208" spans="1:17" s="1834" customFormat="1" ht="24" customHeight="1">
      <c r="A208" s="1833"/>
      <c r="B208" s="1839" t="s">
        <v>769</v>
      </c>
      <c r="C208" s="1833"/>
      <c r="D208" s="1833"/>
      <c r="E208" s="1833"/>
      <c r="F208" s="1833"/>
      <c r="G208" s="1833"/>
      <c r="H208" s="1833"/>
      <c r="I208" s="1833"/>
      <c r="J208" s="1833"/>
      <c r="K208" s="1833"/>
      <c r="L208" s="1833"/>
      <c r="M208" s="1833"/>
      <c r="N208" s="1833"/>
      <c r="O208" s="1833"/>
      <c r="P208" s="1833"/>
      <c r="Q208" s="1833"/>
    </row>
    <row r="210" spans="2:4">
      <c r="B210" s="1786" t="s">
        <v>1498</v>
      </c>
    </row>
    <row r="211" spans="2:4">
      <c r="B211" s="1786" t="s">
        <v>1469</v>
      </c>
    </row>
    <row r="213" spans="2:4" ht="15">
      <c r="B213" s="1786" t="s">
        <v>1499</v>
      </c>
    </row>
    <row r="215" spans="2:4" ht="15">
      <c r="B215" s="1786" t="s">
        <v>1691</v>
      </c>
    </row>
    <row r="217" spans="2:4" ht="15">
      <c r="C217" s="1786" t="s">
        <v>1523</v>
      </c>
    </row>
    <row r="218" spans="2:4">
      <c r="C218" s="1786" t="s">
        <v>1943</v>
      </c>
    </row>
    <row r="219" spans="2:4" ht="15">
      <c r="C219" s="1786" t="s">
        <v>1357</v>
      </c>
    </row>
    <row r="221" spans="2:4" ht="15">
      <c r="C221" s="1824" t="s">
        <v>1694</v>
      </c>
    </row>
    <row r="222" spans="2:4">
      <c r="D222" s="1786" t="s">
        <v>1473</v>
      </c>
    </row>
    <row r="223" spans="2:4">
      <c r="D223" s="1786" t="s">
        <v>1474</v>
      </c>
    </row>
    <row r="224" spans="2:4">
      <c r="D224" s="1786" t="s">
        <v>1475</v>
      </c>
    </row>
    <row r="225" spans="2:4">
      <c r="D225" s="1786" t="s">
        <v>1955</v>
      </c>
    </row>
    <row r="226" spans="2:4">
      <c r="D226" s="1786" t="s">
        <v>57</v>
      </c>
    </row>
    <row r="227" spans="2:4">
      <c r="D227" s="1786"/>
    </row>
    <row r="228" spans="2:4">
      <c r="C228" s="1786" t="s">
        <v>2014</v>
      </c>
      <c r="D228" s="1786"/>
    </row>
    <row r="229" spans="2:4">
      <c r="D229" s="1786"/>
    </row>
    <row r="230" spans="2:4" ht="15">
      <c r="B230" s="1786" t="s">
        <v>1838</v>
      </c>
    </row>
    <row r="232" spans="2:4" ht="15">
      <c r="C232" s="1786" t="s">
        <v>1171</v>
      </c>
    </row>
    <row r="233" spans="2:4">
      <c r="C233" s="1786" t="s">
        <v>1971</v>
      </c>
    </row>
    <row r="235" spans="2:4" ht="15">
      <c r="C235" s="1824" t="s">
        <v>756</v>
      </c>
    </row>
    <row r="236" spans="2:4">
      <c r="D236" s="1786" t="s">
        <v>147</v>
      </c>
    </row>
    <row r="237" spans="2:4">
      <c r="D237" s="1786" t="s">
        <v>1055</v>
      </c>
    </row>
    <row r="238" spans="2:4">
      <c r="D238" s="1786" t="s">
        <v>2126</v>
      </c>
    </row>
    <row r="239" spans="2:4">
      <c r="D239" s="1786" t="s">
        <v>1779</v>
      </c>
    </row>
    <row r="240" spans="2:4">
      <c r="D240" s="1786"/>
    </row>
    <row r="241" spans="2:4" ht="15">
      <c r="C241" s="1786" t="s">
        <v>899</v>
      </c>
    </row>
    <row r="242" spans="2:4">
      <c r="D242" s="1786" t="s">
        <v>900</v>
      </c>
    </row>
    <row r="243" spans="2:4">
      <c r="D243" s="1786" t="s">
        <v>755</v>
      </c>
    </row>
    <row r="245" spans="2:4">
      <c r="C245" s="1786" t="s">
        <v>2014</v>
      </c>
      <c r="D245" s="1786"/>
    </row>
    <row r="247" spans="2:4" ht="15">
      <c r="B247" s="1786" t="s">
        <v>1821</v>
      </c>
    </row>
    <row r="249" spans="2:4">
      <c r="C249" s="1786" t="s">
        <v>1415</v>
      </c>
    </row>
    <row r="250" spans="2:4">
      <c r="C250" s="1786" t="s">
        <v>244</v>
      </c>
    </row>
    <row r="252" spans="2:4">
      <c r="C252" s="1786" t="s">
        <v>1030</v>
      </c>
    </row>
    <row r="253" spans="2:4">
      <c r="C253" s="1786" t="s">
        <v>1483</v>
      </c>
    </row>
    <row r="254" spans="2:4">
      <c r="C254" s="1787"/>
    </row>
    <row r="255" spans="2:4">
      <c r="C255" s="1786" t="s">
        <v>351</v>
      </c>
    </row>
    <row r="256" spans="2:4">
      <c r="C256" s="1786" t="s">
        <v>1570</v>
      </c>
    </row>
    <row r="258" spans="2:5" ht="15">
      <c r="B258" s="1786" t="s">
        <v>1571</v>
      </c>
      <c r="D258" s="1826"/>
    </row>
    <row r="259" spans="2:5">
      <c r="E259" s="1786"/>
    </row>
    <row r="260" spans="2:5">
      <c r="C260" s="1786" t="s">
        <v>1822</v>
      </c>
      <c r="D260" s="1826"/>
    </row>
    <row r="261" spans="2:5">
      <c r="C261" s="1786" t="s">
        <v>1566</v>
      </c>
    </row>
    <row r="262" spans="2:5">
      <c r="C262" s="1786" t="s">
        <v>1543</v>
      </c>
    </row>
    <row r="264" spans="2:5" customFormat="1" ht="12.75"/>
    <row r="265" spans="2:5" customFormat="1" ht="12.75"/>
    <row r="266" spans="2:5" customFormat="1" ht="12.75"/>
    <row r="267" spans="2:5" customFormat="1" ht="12.75"/>
    <row r="268" spans="2:5" customFormat="1" ht="12.75"/>
    <row r="269" spans="2:5" customFormat="1" ht="12.75"/>
    <row r="270" spans="2:5" customFormat="1" ht="12.75"/>
    <row r="271" spans="2:5" customFormat="1" ht="12.75"/>
    <row r="272" spans="2:5" customFormat="1" ht="12.75"/>
    <row r="273" customFormat="1" ht="12.75"/>
    <row r="274" customFormat="1" ht="12.75"/>
    <row r="275" customFormat="1" ht="12.75"/>
    <row r="276" customFormat="1" ht="12.75"/>
    <row r="277" customFormat="1" ht="12.75"/>
    <row r="278" customFormat="1" ht="12.75"/>
    <row r="279" customFormat="1" ht="12.75"/>
    <row r="280" customFormat="1" ht="12.75"/>
    <row r="281" customFormat="1" ht="12.75"/>
    <row r="282" customFormat="1" ht="12.75"/>
    <row r="283" customFormat="1" ht="12.75"/>
    <row r="284" customFormat="1" ht="12.75"/>
    <row r="285" customFormat="1" ht="12.75"/>
    <row r="286" customFormat="1" ht="12.75"/>
    <row r="287" customFormat="1" ht="12.75"/>
    <row r="288" customFormat="1" ht="12.75"/>
    <row r="289" customFormat="1" ht="12.75"/>
    <row r="290" customFormat="1" ht="12.75"/>
    <row r="291" customFormat="1" ht="12.75"/>
    <row r="292" customFormat="1" ht="12.75"/>
    <row r="293" customFormat="1" ht="12.75"/>
    <row r="294" customFormat="1" ht="12.75"/>
    <row r="295" customFormat="1" ht="12.75"/>
    <row r="296" customFormat="1" ht="12.75"/>
    <row r="297" customFormat="1" ht="12.75"/>
    <row r="298" customFormat="1" ht="12.75"/>
    <row r="299" customFormat="1" ht="12.75"/>
    <row r="300" customFormat="1" ht="12.75"/>
    <row r="301" customFormat="1" ht="12.75"/>
    <row r="302" customFormat="1" ht="12.75"/>
    <row r="303" customFormat="1" ht="12.75"/>
    <row r="304" customFormat="1" ht="12.75"/>
    <row r="305" customFormat="1" ht="12.75"/>
    <row r="306" customFormat="1" ht="12.75"/>
    <row r="307" customFormat="1" ht="12.75"/>
    <row r="308" customFormat="1" ht="12.75"/>
    <row r="309" customFormat="1" ht="12.75"/>
    <row r="310" customFormat="1" ht="12.75"/>
    <row r="311" customFormat="1" ht="12.75"/>
    <row r="312" customFormat="1" ht="12.75"/>
    <row r="313" customFormat="1" ht="12.75"/>
    <row r="314" customFormat="1" ht="12.75"/>
    <row r="315" customFormat="1" ht="12.75"/>
    <row r="316" customFormat="1" ht="12.75"/>
    <row r="317" customFormat="1" ht="12.75"/>
    <row r="318" customFormat="1" ht="12.75"/>
    <row r="319" customFormat="1" ht="12.75"/>
    <row r="320" customFormat="1" ht="12.75"/>
    <row r="321" customFormat="1" ht="12.75"/>
    <row r="322" customFormat="1" ht="12.75"/>
    <row r="323" customFormat="1" ht="12.75"/>
    <row r="324" customFormat="1" ht="12.75"/>
    <row r="325" customFormat="1" ht="12.75"/>
    <row r="326" customFormat="1" ht="12.75"/>
    <row r="327" customFormat="1" ht="12.75"/>
    <row r="328" customFormat="1" ht="12.75"/>
    <row r="329" customFormat="1" ht="12.75"/>
    <row r="330" customFormat="1" ht="12.75"/>
    <row r="331" customFormat="1" ht="12.75"/>
    <row r="332" customFormat="1" ht="12.75"/>
    <row r="333" customFormat="1" ht="12.75"/>
    <row r="334" customFormat="1" ht="12.75"/>
    <row r="335" customFormat="1" ht="12.75"/>
    <row r="336" customFormat="1" ht="12.75"/>
    <row r="337" customFormat="1" ht="12.75"/>
    <row r="338" customFormat="1" ht="12.75"/>
    <row r="339" customFormat="1" ht="12.75"/>
    <row r="340" customFormat="1" ht="12.75"/>
    <row r="341" customFormat="1" ht="12.75"/>
    <row r="342" customFormat="1" ht="12.75"/>
    <row r="343" customFormat="1" ht="12.75"/>
    <row r="344" customFormat="1" ht="12.75"/>
    <row r="345" customFormat="1" ht="12.75"/>
    <row r="346" customFormat="1" ht="12.75"/>
    <row r="347" customFormat="1" ht="12.75"/>
    <row r="348" customFormat="1" ht="12.75"/>
    <row r="349" customFormat="1" ht="12.75"/>
    <row r="350" customFormat="1" ht="12.75"/>
    <row r="351" customFormat="1" ht="12.75"/>
    <row r="352" customFormat="1" ht="12.75"/>
    <row r="353" customFormat="1" ht="12.75"/>
    <row r="354" customFormat="1" ht="12.75"/>
    <row r="355" customFormat="1" ht="12.75"/>
    <row r="356" customFormat="1" ht="12.75"/>
    <row r="357" customFormat="1" ht="12.75"/>
    <row r="358" customFormat="1" ht="12.75"/>
    <row r="359" customFormat="1" ht="12.75"/>
    <row r="360" customFormat="1" ht="12.75"/>
    <row r="361" customFormat="1" ht="12.75"/>
    <row r="362" customFormat="1" ht="12.75"/>
    <row r="363" customFormat="1" ht="12.75"/>
    <row r="364" customFormat="1" ht="12.75"/>
    <row r="365" customFormat="1" ht="12.75"/>
    <row r="366" customFormat="1" ht="12.75"/>
    <row r="367" customFormat="1" ht="12.75"/>
    <row r="368" customFormat="1" ht="12.75"/>
    <row r="369" customFormat="1" ht="12.75"/>
    <row r="370" customFormat="1" ht="12.75"/>
    <row r="371" customFormat="1" ht="12.75"/>
    <row r="372" customFormat="1" ht="12.75"/>
    <row r="373" customFormat="1" ht="12.75"/>
    <row r="374" customFormat="1" ht="12.75"/>
    <row r="375" customFormat="1" ht="12.75"/>
    <row r="376" customFormat="1" ht="12.75"/>
    <row r="377" customFormat="1" ht="12.75"/>
    <row r="378" customFormat="1" ht="12.75"/>
    <row r="379" customFormat="1" ht="12.75"/>
    <row r="380" customFormat="1" ht="12.75"/>
    <row r="381" customFormat="1" ht="12.75"/>
    <row r="382" customFormat="1" ht="12.75"/>
    <row r="383" customFormat="1" ht="12.75"/>
    <row r="384" customFormat="1" ht="12.75"/>
    <row r="385" customFormat="1" ht="12.75"/>
    <row r="386" customFormat="1" ht="12.75"/>
    <row r="387" customFormat="1" ht="12.75"/>
    <row r="388" customFormat="1" ht="12.75"/>
    <row r="389" customFormat="1" ht="12.75"/>
    <row r="390" customFormat="1" ht="12.75"/>
    <row r="391" customFormat="1" ht="12.75"/>
    <row r="392" customFormat="1" ht="12.75"/>
    <row r="393" customFormat="1" ht="12.75"/>
    <row r="394" customFormat="1" ht="12.75"/>
    <row r="395" customFormat="1" ht="12.75"/>
    <row r="396" customFormat="1" ht="12.75"/>
    <row r="397" customFormat="1" ht="12.75"/>
    <row r="398" customFormat="1" ht="12.75"/>
    <row r="399" customFormat="1" ht="12.75"/>
    <row r="400" customFormat="1" ht="12.75"/>
    <row r="401" customFormat="1" ht="12.75"/>
    <row r="402" customFormat="1" ht="12.75"/>
    <row r="403" customFormat="1" ht="12.75"/>
    <row r="404" customFormat="1" ht="12.75"/>
    <row r="405" customFormat="1" ht="12.75"/>
    <row r="406" customFormat="1" ht="12.75"/>
    <row r="407" customFormat="1" ht="12.75"/>
    <row r="408" customFormat="1" ht="12.75"/>
    <row r="409" customFormat="1" ht="12.75"/>
    <row r="410" customFormat="1" ht="12.75"/>
    <row r="411" customFormat="1" ht="12.75"/>
    <row r="412" customFormat="1" ht="12.75"/>
    <row r="413" customFormat="1" ht="12.75"/>
    <row r="414" customFormat="1" ht="12.75"/>
    <row r="415" customFormat="1" ht="12.75"/>
    <row r="416" customFormat="1" ht="12.75"/>
    <row r="417" customFormat="1" ht="12.75"/>
    <row r="418" customFormat="1" ht="12.75"/>
    <row r="419" customFormat="1" ht="12.75"/>
    <row r="420" customFormat="1" ht="12.75"/>
    <row r="421" customFormat="1" ht="12.75"/>
    <row r="422" customFormat="1" ht="12.75"/>
    <row r="423" customFormat="1" ht="12.75"/>
    <row r="424" customFormat="1" ht="12.75"/>
    <row r="425" customFormat="1" ht="12.75"/>
    <row r="426" customFormat="1" ht="12.75"/>
    <row r="427" customFormat="1" ht="12.75"/>
    <row r="428" customFormat="1" ht="12.75"/>
    <row r="429" customFormat="1" ht="12.75"/>
    <row r="430" customFormat="1" ht="12.75"/>
    <row r="431" customFormat="1" ht="12.75"/>
    <row r="432" customFormat="1" ht="12.75"/>
    <row r="433" customFormat="1" ht="12.75"/>
    <row r="434" customFormat="1" ht="12.75"/>
    <row r="435" customFormat="1" ht="12.75"/>
    <row r="436" customFormat="1" ht="12.75"/>
    <row r="437" customFormat="1" ht="12.75"/>
    <row r="438" customFormat="1" ht="12.75"/>
    <row r="439" customFormat="1" ht="12.75"/>
    <row r="440" customFormat="1" ht="12.75"/>
    <row r="441" customFormat="1" ht="12.75"/>
    <row r="442" customFormat="1" ht="12.75"/>
    <row r="443" customFormat="1" ht="12.75"/>
    <row r="444" customFormat="1" ht="12.75"/>
    <row r="445" customFormat="1" ht="12.75"/>
    <row r="446" customFormat="1" ht="12.75"/>
    <row r="447" customFormat="1" ht="12.75"/>
    <row r="448" customFormat="1" ht="12.75"/>
    <row r="449" customFormat="1" ht="12.75"/>
    <row r="450" customFormat="1" ht="12.75"/>
    <row r="451" customFormat="1" ht="12.75"/>
    <row r="452" customFormat="1" ht="12.75"/>
    <row r="453" customFormat="1" ht="12.75"/>
    <row r="454" customFormat="1" ht="12.75"/>
    <row r="455" customFormat="1" ht="12.75"/>
    <row r="456" customFormat="1" ht="12.75"/>
    <row r="457" customFormat="1" ht="12.75"/>
    <row r="458" customFormat="1" ht="12.75"/>
    <row r="459" customFormat="1" ht="12.75"/>
    <row r="460" customFormat="1" ht="12.75"/>
    <row r="461" customFormat="1" ht="12.75"/>
    <row r="462" customFormat="1" ht="12.75"/>
    <row r="463" customFormat="1" ht="12.75"/>
    <row r="464" customFormat="1" ht="12.75"/>
    <row r="465" customFormat="1" ht="12.75"/>
    <row r="466" customFormat="1" ht="12.75"/>
    <row r="467" customFormat="1" ht="12.75"/>
    <row r="468" customFormat="1" ht="12.75"/>
    <row r="469" customFormat="1" ht="12.75"/>
    <row r="470" customFormat="1" ht="12.75"/>
    <row r="471" customFormat="1" ht="12.75"/>
    <row r="472" customFormat="1" ht="12.75"/>
    <row r="473" customFormat="1" ht="12.75"/>
    <row r="474" customFormat="1" ht="12.75"/>
    <row r="475" customFormat="1" ht="12.75"/>
    <row r="476" customFormat="1" ht="12.75"/>
    <row r="477" customFormat="1" ht="12.75"/>
    <row r="478" customFormat="1" ht="12.75"/>
    <row r="479" customFormat="1" ht="12.75"/>
    <row r="480" customFormat="1" ht="12.75"/>
    <row r="481" customFormat="1" ht="12.75"/>
    <row r="482" customFormat="1" ht="12.75"/>
    <row r="483" customFormat="1" ht="12.75"/>
    <row r="484" customFormat="1" ht="12.75"/>
    <row r="485" customFormat="1" ht="12.75"/>
    <row r="486" customFormat="1" ht="12.75"/>
    <row r="487" customFormat="1" ht="12.75"/>
    <row r="488" customFormat="1" ht="12.75"/>
    <row r="489" customFormat="1" ht="12.75"/>
    <row r="490" customFormat="1" ht="12.75"/>
    <row r="491" customFormat="1" ht="12.75"/>
    <row r="492" customFormat="1" ht="12.75"/>
    <row r="493" customFormat="1" ht="12.75"/>
    <row r="494" customFormat="1" ht="12.75"/>
    <row r="495" customFormat="1" ht="12.75"/>
    <row r="496" customFormat="1" ht="12.75"/>
    <row r="497" customFormat="1" ht="12.75"/>
    <row r="498" customFormat="1" ht="12.75"/>
    <row r="499" customFormat="1" ht="12.75"/>
    <row r="500" customFormat="1" ht="12.75"/>
    <row r="501" customFormat="1" ht="12.75"/>
    <row r="502" customFormat="1" ht="12.75"/>
    <row r="503" customFormat="1" ht="12.75"/>
    <row r="504" customFormat="1" ht="12.75"/>
    <row r="505" customFormat="1" ht="12.75"/>
    <row r="506" customFormat="1" ht="12.75"/>
    <row r="507" customFormat="1" ht="12.75"/>
    <row r="508" customFormat="1" ht="12.75"/>
    <row r="509" customFormat="1" ht="12.75"/>
    <row r="510" customFormat="1" ht="12.75"/>
    <row r="511" customFormat="1" ht="12.75"/>
    <row r="512" customFormat="1" ht="12.75"/>
    <row r="513" customFormat="1" ht="12.75"/>
    <row r="514" customFormat="1" ht="12.75"/>
    <row r="515" customFormat="1" ht="12.75"/>
    <row r="516" customFormat="1" ht="12.75"/>
    <row r="517" customFormat="1" ht="12.75"/>
    <row r="518" customFormat="1" ht="12.75"/>
    <row r="519" customFormat="1" ht="12.75"/>
    <row r="520" customFormat="1" ht="12.75"/>
    <row r="521" customFormat="1" ht="12.75"/>
    <row r="522" customFormat="1" ht="12.75"/>
    <row r="523" customFormat="1" ht="12.75"/>
    <row r="524" customFormat="1" ht="12.75"/>
    <row r="525" customFormat="1" ht="12.75"/>
    <row r="526" customFormat="1" ht="12.75"/>
    <row r="527" customFormat="1" ht="12.75"/>
    <row r="528" customFormat="1" ht="12.75"/>
    <row r="529" customFormat="1" ht="12.75"/>
    <row r="530" customFormat="1" ht="12.75"/>
    <row r="531" customFormat="1" ht="12.75"/>
    <row r="532" customFormat="1" ht="12.75"/>
    <row r="533" customFormat="1" ht="12.75"/>
    <row r="534" customFormat="1" ht="12.75"/>
    <row r="535" customFormat="1" ht="12.75"/>
    <row r="536" customFormat="1" ht="12.75"/>
    <row r="537" customFormat="1" ht="12.75"/>
    <row r="538" customFormat="1" ht="12.75"/>
    <row r="539" customFormat="1" ht="12.75"/>
    <row r="540" customFormat="1" ht="12.75"/>
    <row r="541" customFormat="1" ht="12.75"/>
    <row r="542" customFormat="1" ht="12.75"/>
    <row r="543" customFormat="1" ht="12.75"/>
    <row r="544" customFormat="1" ht="12.75"/>
    <row r="545" customFormat="1" ht="12.75"/>
    <row r="546" customFormat="1" ht="12.75"/>
    <row r="547" customFormat="1" ht="12.75"/>
    <row r="548" customFormat="1" ht="12.75"/>
    <row r="549" customFormat="1" ht="12.75"/>
    <row r="550" customFormat="1" ht="12.75"/>
    <row r="551" customFormat="1" ht="12.75"/>
    <row r="552" customFormat="1" ht="12.75"/>
    <row r="553" customFormat="1" ht="12.75"/>
    <row r="554" customFormat="1" ht="12.75"/>
    <row r="555" customFormat="1" ht="12.75"/>
    <row r="556" customFormat="1" ht="12.75"/>
    <row r="557" customFormat="1" ht="12.75"/>
    <row r="558" customFormat="1" ht="12.75"/>
    <row r="559" customFormat="1" ht="12.75"/>
    <row r="560" customFormat="1" ht="12.75"/>
    <row r="561" customFormat="1" ht="12.75"/>
    <row r="562" customFormat="1" ht="12.75"/>
    <row r="563" customFormat="1" ht="12.75"/>
    <row r="564" customFormat="1" ht="12.75"/>
    <row r="565" customFormat="1" ht="12.75"/>
    <row r="566" customFormat="1" ht="12.75"/>
    <row r="567" customFormat="1" ht="12.75"/>
    <row r="568" customFormat="1" ht="12.75"/>
    <row r="569" customFormat="1" ht="12.75"/>
    <row r="570" customFormat="1" ht="12.75"/>
    <row r="571" customFormat="1" ht="12.75"/>
    <row r="572" customFormat="1" ht="12.75"/>
    <row r="573" customFormat="1" ht="12.75"/>
    <row r="574" customFormat="1" ht="12.75"/>
    <row r="575" customFormat="1" ht="12.75"/>
    <row r="576" customFormat="1" ht="12.75"/>
    <row r="577" customFormat="1" ht="12.75"/>
    <row r="578" customFormat="1" ht="12.75"/>
    <row r="579" customFormat="1" ht="12.75"/>
    <row r="580" customFormat="1" ht="12.75"/>
    <row r="581" customFormat="1" ht="12.75"/>
    <row r="582" customFormat="1" ht="12.75"/>
    <row r="583" customFormat="1" ht="12.75"/>
    <row r="584" customFormat="1" ht="12.75"/>
    <row r="585" customFormat="1" ht="12.75"/>
    <row r="586" customFormat="1" ht="12.75"/>
    <row r="587" customFormat="1" ht="12.75"/>
    <row r="588" customFormat="1" ht="12.75"/>
    <row r="589" customFormat="1" ht="12.75"/>
    <row r="590" customFormat="1" ht="12.75"/>
    <row r="591" customFormat="1" ht="12.75"/>
    <row r="592" customFormat="1" ht="12.75"/>
    <row r="593" customFormat="1" ht="12.75"/>
    <row r="594" customFormat="1" ht="12.75"/>
    <row r="595" customFormat="1" ht="12.75"/>
    <row r="596" customFormat="1" ht="12.75"/>
    <row r="597" customFormat="1" ht="12.75"/>
    <row r="598" customFormat="1" ht="12.75"/>
    <row r="599" customFormat="1" ht="12.75"/>
    <row r="600" customFormat="1" ht="12.75"/>
    <row r="601" customFormat="1" ht="12.75"/>
    <row r="602" customFormat="1" ht="12.75"/>
    <row r="603" customFormat="1" ht="12.75"/>
    <row r="604" customFormat="1" ht="12.75"/>
    <row r="605" customFormat="1" ht="12.75"/>
    <row r="606" customFormat="1" ht="12.75"/>
    <row r="607" customFormat="1" ht="12.75"/>
    <row r="608" customFormat="1" ht="12.75"/>
    <row r="609" customFormat="1" ht="12.75"/>
    <row r="610" customFormat="1" ht="12.75"/>
    <row r="611" customFormat="1" ht="12.75"/>
    <row r="612" customFormat="1" ht="12.75"/>
    <row r="613" customFormat="1" ht="12.75"/>
    <row r="614" customFormat="1" ht="12.75"/>
    <row r="615" customFormat="1" ht="12.75"/>
    <row r="616" customFormat="1" ht="12.75"/>
    <row r="617" customFormat="1" ht="12.75"/>
    <row r="618" customFormat="1" ht="12.75"/>
    <row r="619" customFormat="1" ht="12.75"/>
    <row r="620" customFormat="1" ht="12.75"/>
    <row r="621" customFormat="1" ht="12.75"/>
    <row r="622" customFormat="1" ht="12.75"/>
    <row r="623" customFormat="1" ht="12.75"/>
    <row r="624" customFormat="1" ht="12.75"/>
    <row r="625" customFormat="1" ht="12.75"/>
    <row r="626" customFormat="1" ht="12.75"/>
    <row r="627" customFormat="1" ht="12.75"/>
    <row r="628" customFormat="1" ht="12.75"/>
    <row r="629" customFormat="1" ht="12.75"/>
    <row r="630" customFormat="1" ht="12.75"/>
    <row r="631" customFormat="1" ht="12.75"/>
    <row r="632" customFormat="1" ht="12.75"/>
    <row r="633" customFormat="1" ht="12.75"/>
    <row r="634" customFormat="1" ht="12.75"/>
    <row r="635" customFormat="1" ht="12.75"/>
    <row r="636" customFormat="1" ht="12.75"/>
    <row r="637" customFormat="1" ht="12.75"/>
    <row r="638" customFormat="1" ht="12.75"/>
    <row r="639" customFormat="1" ht="12.75"/>
    <row r="640" customFormat="1" ht="12.75"/>
    <row r="641" customFormat="1" ht="12.75"/>
    <row r="642" customFormat="1" ht="12.75"/>
    <row r="643" customFormat="1" ht="12.75"/>
    <row r="644" customFormat="1" ht="12.75"/>
    <row r="645" customFormat="1" ht="12.75"/>
    <row r="646" customFormat="1" ht="12.75"/>
    <row r="647" customFormat="1" ht="12.75"/>
    <row r="648" customFormat="1" ht="12.75"/>
    <row r="649" customFormat="1" ht="12.75"/>
    <row r="650" customFormat="1" ht="12.75"/>
    <row r="651" customFormat="1" ht="12.75"/>
    <row r="652" customFormat="1" ht="12.75"/>
    <row r="653" customFormat="1" ht="12.75"/>
    <row r="654" customFormat="1" ht="12.75"/>
    <row r="655" customFormat="1" ht="12.75"/>
    <row r="656" customFormat="1" ht="12.75"/>
    <row r="657" customFormat="1" ht="12.75"/>
    <row r="658" customFormat="1" ht="12.75"/>
    <row r="659" customFormat="1" ht="12.75"/>
    <row r="660" customFormat="1" ht="12.75"/>
    <row r="661" customFormat="1" ht="12.75"/>
    <row r="662" customFormat="1" ht="12.75"/>
    <row r="663" customFormat="1" ht="12.75"/>
    <row r="664" customFormat="1" ht="12.75"/>
    <row r="665" customFormat="1" ht="12.75"/>
    <row r="666" customFormat="1" ht="12.75"/>
    <row r="667" customFormat="1" ht="12.75"/>
    <row r="668" customFormat="1" ht="12.75"/>
    <row r="669" customFormat="1" ht="12.75"/>
    <row r="670" customFormat="1" ht="12.75"/>
    <row r="671" customFormat="1" ht="12.75"/>
    <row r="672" customFormat="1" ht="12.75"/>
    <row r="673" customFormat="1" ht="12.75"/>
    <row r="674" customFormat="1" ht="12.75"/>
    <row r="675" customFormat="1" ht="12.75"/>
    <row r="676" customFormat="1" ht="12.75"/>
    <row r="677" customFormat="1" ht="12.75"/>
    <row r="678" customFormat="1" ht="12.75"/>
    <row r="679" customFormat="1" ht="12.75"/>
    <row r="680" customFormat="1" ht="12.75"/>
    <row r="681" customFormat="1" ht="12.75"/>
    <row r="682" customFormat="1" ht="12.75"/>
    <row r="683" customFormat="1" ht="12.75"/>
    <row r="684" customFormat="1" ht="12.75"/>
    <row r="685" customFormat="1" ht="12.75"/>
    <row r="686" customFormat="1" ht="12.75"/>
    <row r="687" customFormat="1" ht="12.75"/>
    <row r="688" customFormat="1" ht="12.75"/>
    <row r="689" customFormat="1" ht="12.75"/>
    <row r="690" customFormat="1" ht="12.75"/>
    <row r="691" customFormat="1" ht="12.75"/>
    <row r="692" customFormat="1" ht="12.75"/>
    <row r="693" customFormat="1" ht="12.75"/>
    <row r="694" customFormat="1" ht="12.75"/>
    <row r="695" customFormat="1" ht="12.75"/>
    <row r="696" customFormat="1" ht="12.75"/>
    <row r="697" customFormat="1" ht="12.75"/>
    <row r="698" customFormat="1" ht="12.75"/>
    <row r="699" customFormat="1" ht="12.75"/>
    <row r="700" customFormat="1" ht="12.75"/>
    <row r="701" customFormat="1" ht="12.75"/>
    <row r="702" customFormat="1" ht="12.75"/>
    <row r="703" customFormat="1" ht="12.75"/>
    <row r="704" customFormat="1" ht="12.75"/>
    <row r="705" customFormat="1" ht="12.75"/>
    <row r="706" customFormat="1" ht="12.75"/>
    <row r="707" customFormat="1" ht="12.75"/>
    <row r="708" customFormat="1" ht="12.75"/>
    <row r="709" customFormat="1" ht="12.75"/>
    <row r="710" customFormat="1" ht="12.75"/>
    <row r="711" customFormat="1" ht="12.75"/>
    <row r="712" customFormat="1" ht="12.75"/>
    <row r="713" customFormat="1" ht="12.75"/>
    <row r="714" customFormat="1" ht="12.75"/>
    <row r="715" customFormat="1" ht="12.75"/>
    <row r="716" customFormat="1" ht="12.75"/>
    <row r="717" customFormat="1" ht="12.75"/>
    <row r="718" customFormat="1" ht="12.75"/>
    <row r="719" customFormat="1" ht="12.75"/>
    <row r="720" customFormat="1" ht="12.75"/>
    <row r="721" customFormat="1" ht="12.75"/>
    <row r="722" customFormat="1" ht="12.75"/>
    <row r="723" customFormat="1" ht="12.75"/>
    <row r="724" customFormat="1" ht="12.75"/>
    <row r="725" customFormat="1" ht="12.75"/>
    <row r="726" customFormat="1" ht="12.75"/>
    <row r="727" customFormat="1" ht="12.75"/>
    <row r="728" customFormat="1" ht="12.75"/>
    <row r="729" customFormat="1" ht="12.75"/>
    <row r="730" customFormat="1" ht="12.75"/>
    <row r="731" customFormat="1" ht="12.75"/>
    <row r="732" customFormat="1" ht="12.75"/>
    <row r="733" customFormat="1" ht="12.75"/>
    <row r="734" customFormat="1" ht="12.75"/>
    <row r="735" customFormat="1" ht="12.75"/>
    <row r="736" customFormat="1" ht="12.75"/>
    <row r="737" customFormat="1" ht="12.75"/>
    <row r="738" customFormat="1" ht="12.75"/>
    <row r="739" customFormat="1" ht="12.75"/>
    <row r="740" customFormat="1" ht="12.75"/>
    <row r="741" customFormat="1" ht="12.75"/>
    <row r="742" customFormat="1" ht="12.75"/>
    <row r="743" customFormat="1" ht="12.75"/>
    <row r="744" customFormat="1" ht="12.75"/>
    <row r="745" customFormat="1" ht="12.75"/>
    <row r="746" customFormat="1" ht="12.75"/>
    <row r="747" customFormat="1" ht="12.75"/>
    <row r="748" customFormat="1" ht="12.75"/>
    <row r="749" customFormat="1" ht="12.75"/>
    <row r="750" customFormat="1" ht="12.75"/>
    <row r="751" customFormat="1" ht="12.75"/>
    <row r="752" customFormat="1" ht="12.75"/>
    <row r="753" customFormat="1" ht="12.75"/>
    <row r="754" customFormat="1" ht="12.75"/>
    <row r="755" customFormat="1" ht="12.75"/>
    <row r="756" customFormat="1" ht="12.75"/>
    <row r="757" customFormat="1" ht="12.75"/>
    <row r="758" customFormat="1" ht="12.75"/>
    <row r="759" customFormat="1" ht="12.75"/>
    <row r="760" customFormat="1" ht="12.75"/>
    <row r="761" customFormat="1" ht="12.75"/>
    <row r="762" customFormat="1" ht="12.75"/>
    <row r="763" customFormat="1" ht="12.75"/>
    <row r="764" customFormat="1" ht="12.75"/>
    <row r="765" customFormat="1" ht="12.75"/>
    <row r="766" customFormat="1" ht="12.75"/>
    <row r="767" customFormat="1" ht="12.75"/>
    <row r="768" customFormat="1" ht="12.75"/>
    <row r="769" customFormat="1" ht="12.75"/>
    <row r="770" customFormat="1" ht="12.75"/>
    <row r="771" customFormat="1" ht="12.75"/>
    <row r="772" customFormat="1" ht="12.75"/>
    <row r="773" customFormat="1" ht="12.75"/>
    <row r="774" customFormat="1" ht="12.75"/>
    <row r="775" customFormat="1" ht="12.75"/>
    <row r="776" customFormat="1" ht="12.75"/>
    <row r="777" customFormat="1" ht="12.75"/>
    <row r="778" customFormat="1" ht="12.75"/>
    <row r="779" customFormat="1" ht="12.75"/>
    <row r="780" customFormat="1" ht="12.75"/>
    <row r="781" customFormat="1" ht="12.75"/>
    <row r="782" customFormat="1" ht="12.75"/>
    <row r="783" customFormat="1" ht="12.75"/>
    <row r="784" customFormat="1" ht="12.75"/>
    <row r="785" customFormat="1" ht="12.75"/>
    <row r="786" customFormat="1" ht="12.75"/>
    <row r="787" customFormat="1" ht="12.75"/>
    <row r="788" customFormat="1" ht="12.75"/>
    <row r="789" customFormat="1" ht="12.75"/>
    <row r="790" customFormat="1" ht="12.75"/>
    <row r="791" customFormat="1" ht="12.75"/>
    <row r="792" customFormat="1" ht="12.75"/>
    <row r="793" customFormat="1" ht="12.75"/>
    <row r="794" customFormat="1" ht="12.75"/>
    <row r="795" customFormat="1" ht="12.75"/>
    <row r="796" customFormat="1" ht="12.75"/>
    <row r="797" customFormat="1" ht="12.75"/>
    <row r="798" customFormat="1" ht="12.75"/>
    <row r="799" customFormat="1" ht="12.75"/>
    <row r="800" customFormat="1" ht="12.75"/>
    <row r="801" customFormat="1" ht="12.75"/>
    <row r="802" customFormat="1" ht="12.75"/>
    <row r="803" customFormat="1" ht="12.75"/>
    <row r="804" customFormat="1" ht="12.75"/>
    <row r="805" customFormat="1" ht="12.75"/>
    <row r="806" customFormat="1" ht="12.75"/>
    <row r="807" customFormat="1" ht="12.75"/>
    <row r="808" customFormat="1" ht="12.75"/>
    <row r="809" customFormat="1" ht="12.75"/>
    <row r="810" customFormat="1" ht="12.75"/>
    <row r="811" customFormat="1" ht="12.75"/>
    <row r="812" customFormat="1" ht="12.75"/>
    <row r="813" customFormat="1" ht="12.75"/>
    <row r="814" customFormat="1" ht="12.75"/>
    <row r="815" customFormat="1" ht="12.75"/>
    <row r="816" customFormat="1" ht="12.75"/>
    <row r="817" customFormat="1" ht="12.75"/>
    <row r="818" customFormat="1" ht="12.75"/>
    <row r="819" customFormat="1" ht="12.75"/>
    <row r="820" customFormat="1" ht="12.75"/>
    <row r="821" customFormat="1" ht="12.75"/>
    <row r="822" customFormat="1" ht="12.75"/>
    <row r="823" customFormat="1" ht="12.75"/>
    <row r="824" customFormat="1" ht="12.75"/>
    <row r="825" customFormat="1" ht="12.75"/>
    <row r="826" customFormat="1" ht="12.75"/>
    <row r="827" customFormat="1" ht="12.75"/>
    <row r="828" customFormat="1" ht="12.75"/>
    <row r="829" customFormat="1" ht="12.75"/>
    <row r="830" customFormat="1" ht="12.75"/>
    <row r="831" customFormat="1" ht="12.75"/>
    <row r="832" customFormat="1" ht="12.75"/>
    <row r="833" customFormat="1" ht="12.75"/>
    <row r="834" customFormat="1" ht="12.75"/>
    <row r="835" customFormat="1" ht="12.75"/>
    <row r="836" customFormat="1" ht="12.75"/>
    <row r="837" customFormat="1" ht="12.75"/>
    <row r="838" customFormat="1" ht="12.75"/>
    <row r="839" customFormat="1" ht="12.75"/>
    <row r="840" customFormat="1" ht="12.75"/>
    <row r="841" customFormat="1" ht="12.75"/>
    <row r="842" customFormat="1" ht="12.75"/>
    <row r="843" customFormat="1" ht="12.75"/>
    <row r="844" customFormat="1" ht="12.75"/>
    <row r="845" customFormat="1" ht="12.75"/>
    <row r="846" customFormat="1" ht="12.75"/>
    <row r="847" customFormat="1" ht="12.75"/>
    <row r="848" customFormat="1" ht="12.75"/>
    <row r="849" customFormat="1" ht="12.75"/>
    <row r="850" customFormat="1" ht="12.75"/>
    <row r="851" customFormat="1" ht="12.75"/>
    <row r="852" customFormat="1" ht="12.75"/>
    <row r="853" customFormat="1" ht="12.75"/>
    <row r="854" customFormat="1" ht="12.75"/>
    <row r="855" customFormat="1" ht="12.75"/>
    <row r="856" customFormat="1" ht="12.75"/>
    <row r="857" customFormat="1" ht="12.75"/>
    <row r="858" customFormat="1" ht="12.75"/>
    <row r="859" customFormat="1" ht="12.75"/>
    <row r="860" customFormat="1" ht="12.75"/>
    <row r="861" customFormat="1" ht="12.75"/>
    <row r="862" customFormat="1" ht="12.75"/>
    <row r="863" customFormat="1" ht="12.75"/>
    <row r="864" customFormat="1" ht="12.75"/>
    <row r="865" customFormat="1" ht="12.75"/>
    <row r="866" customFormat="1" ht="12.75"/>
    <row r="867" customFormat="1" ht="12.75"/>
    <row r="868" customFormat="1" ht="12.75"/>
    <row r="869" customFormat="1" ht="12.75"/>
    <row r="870" customFormat="1" ht="12.75"/>
    <row r="871" customFormat="1" ht="12.75"/>
    <row r="872" customFormat="1" ht="12.75"/>
    <row r="873" customFormat="1" ht="12.75"/>
    <row r="874" customFormat="1" ht="12.75"/>
    <row r="875" customFormat="1" ht="12.75"/>
    <row r="876" customFormat="1" ht="12.75"/>
    <row r="877" customFormat="1" ht="12.75"/>
    <row r="878" customFormat="1" ht="12.75"/>
    <row r="879" customFormat="1" ht="12.75"/>
    <row r="880" customFormat="1" ht="12.75"/>
    <row r="881" customFormat="1" ht="12.75"/>
    <row r="882" customFormat="1" ht="12.75"/>
    <row r="883" customFormat="1" ht="12.75"/>
    <row r="884" customFormat="1" ht="12.75"/>
    <row r="885" customFormat="1" ht="12.75"/>
    <row r="886" customFormat="1" ht="12.75"/>
    <row r="887" customFormat="1" ht="12.75"/>
    <row r="888" customFormat="1" ht="12.75"/>
    <row r="889" customFormat="1" ht="12.75"/>
    <row r="890" customFormat="1" ht="12.75"/>
    <row r="891" customFormat="1" ht="12.75"/>
    <row r="892" customFormat="1" ht="12.75"/>
    <row r="893" customFormat="1" ht="12.75"/>
    <row r="894" customFormat="1" ht="12.75"/>
    <row r="895" customFormat="1" ht="12.75"/>
    <row r="896" customFormat="1" ht="12.75"/>
    <row r="897" customFormat="1" ht="12.75"/>
    <row r="898" customFormat="1" ht="12.75"/>
    <row r="899" customFormat="1" ht="12.75"/>
    <row r="900" customFormat="1" ht="12.75"/>
    <row r="901" customFormat="1" ht="12.75"/>
    <row r="902" customFormat="1" ht="12.75"/>
    <row r="903" customFormat="1" ht="12.75"/>
    <row r="904" customFormat="1" ht="12.75"/>
    <row r="905" customFormat="1" ht="12.75"/>
    <row r="906" customFormat="1" ht="12.75"/>
    <row r="907" customFormat="1" ht="12.75"/>
    <row r="908" customFormat="1" ht="12.75"/>
    <row r="909" customFormat="1" ht="12.75"/>
    <row r="910" customFormat="1" ht="12.75"/>
    <row r="911" customFormat="1" ht="12.75"/>
    <row r="912" customFormat="1" ht="12.75"/>
    <row r="913" customFormat="1" ht="12.75"/>
    <row r="914" customFormat="1" ht="12.75"/>
    <row r="915" customFormat="1" ht="12.75"/>
    <row r="916" customFormat="1" ht="12.75"/>
    <row r="917" customFormat="1" ht="12.75"/>
    <row r="918" customFormat="1" ht="12.75"/>
    <row r="919" customFormat="1" ht="12.75"/>
    <row r="920" customFormat="1" ht="12.75"/>
    <row r="921" customFormat="1" ht="12.75"/>
    <row r="922" customFormat="1" ht="12.75"/>
    <row r="923" customFormat="1" ht="12.75"/>
    <row r="924" customFormat="1" ht="12.75"/>
    <row r="925" customFormat="1" ht="12.75"/>
    <row r="926" customFormat="1" ht="12.75"/>
    <row r="927" customFormat="1" ht="12.75"/>
    <row r="928" customFormat="1" ht="12.75"/>
    <row r="929" customFormat="1" ht="12.75"/>
    <row r="930" customFormat="1" ht="12.75"/>
    <row r="931" customFormat="1" ht="12.75"/>
    <row r="932" customFormat="1" ht="12.75"/>
    <row r="933" customFormat="1" ht="12.75"/>
    <row r="934" customFormat="1" ht="12.75"/>
    <row r="935" customFormat="1" ht="12.75"/>
    <row r="936" customFormat="1" ht="12.75"/>
    <row r="937" customFormat="1" ht="12.75"/>
    <row r="938" customFormat="1" ht="12.75"/>
    <row r="939" customFormat="1" ht="12.75"/>
    <row r="940" customFormat="1" ht="12.75"/>
    <row r="941" customFormat="1" ht="12.75"/>
    <row r="942" customFormat="1" ht="12.75"/>
    <row r="943" customFormat="1" ht="12.75"/>
    <row r="944" customFormat="1" ht="12.75"/>
    <row r="945" customFormat="1" ht="12.75"/>
    <row r="946" customFormat="1" ht="12.75"/>
    <row r="947" customFormat="1" ht="12.75"/>
    <row r="948" customFormat="1" ht="12.75"/>
    <row r="949" customFormat="1" ht="12.75"/>
    <row r="950" customFormat="1" ht="12.75"/>
    <row r="951" customFormat="1" ht="12.75"/>
    <row r="952" customFormat="1" ht="12.75"/>
    <row r="953" customFormat="1" ht="12.75"/>
    <row r="954" customFormat="1" ht="12.75"/>
    <row r="955" customFormat="1" ht="12.75"/>
    <row r="956" customFormat="1" ht="12.75"/>
    <row r="957" customFormat="1" ht="12.75"/>
    <row r="958" customFormat="1" ht="12.75"/>
    <row r="959" customFormat="1" ht="12.75"/>
    <row r="960" customFormat="1" ht="12.75"/>
    <row r="961" customFormat="1" ht="12.75"/>
    <row r="962" customFormat="1" ht="12.75"/>
    <row r="963" customFormat="1" ht="12.75"/>
    <row r="964" customFormat="1" ht="12.75"/>
    <row r="965" customFormat="1" ht="12.75"/>
    <row r="966" customFormat="1" ht="12.75"/>
    <row r="967" customFormat="1" ht="12.75"/>
    <row r="968" customFormat="1" ht="12.75"/>
    <row r="969" customFormat="1" ht="12.75"/>
    <row r="970" customFormat="1" ht="12.75"/>
    <row r="971" customFormat="1" ht="12.75"/>
    <row r="972" customFormat="1" ht="12.75"/>
    <row r="973" customFormat="1" ht="12.75"/>
    <row r="974" customFormat="1" ht="12.75"/>
    <row r="975" customFormat="1" ht="12.75"/>
    <row r="976" customFormat="1" ht="12.75"/>
    <row r="977" customFormat="1" ht="12.75"/>
    <row r="978" customFormat="1" ht="12.75"/>
    <row r="979" customFormat="1" ht="12.75"/>
    <row r="980" customFormat="1" ht="12.75"/>
    <row r="981" customFormat="1" ht="12.75"/>
    <row r="982" customFormat="1" ht="12.75"/>
    <row r="983" customFormat="1" ht="12.75"/>
    <row r="984" customFormat="1" ht="12.75"/>
    <row r="985" customFormat="1" ht="12.75"/>
    <row r="986" customFormat="1" ht="12.75"/>
    <row r="987" customFormat="1" ht="12.75"/>
    <row r="988" customFormat="1" ht="12.75"/>
    <row r="989" customFormat="1" ht="12.75"/>
    <row r="990" customFormat="1" ht="12.75"/>
    <row r="991" customFormat="1" ht="12.75"/>
    <row r="992" customFormat="1" ht="12.75"/>
    <row r="993" customFormat="1" ht="12.75"/>
    <row r="994" customFormat="1" ht="12.75"/>
    <row r="995" customFormat="1" ht="12.75"/>
    <row r="996" customFormat="1" ht="12.75"/>
    <row r="997" customFormat="1" ht="12.75"/>
    <row r="998" customFormat="1" ht="12.75"/>
    <row r="999" customFormat="1" ht="12.75"/>
    <row r="1000" customFormat="1" ht="12.75"/>
    <row r="1001" customFormat="1" ht="12.75"/>
    <row r="1002" customFormat="1" ht="12.75"/>
  </sheetData>
  <mergeCells count="17">
    <mergeCell ref="M164:O164"/>
    <mergeCell ref="M166:O166"/>
    <mergeCell ref="M168:O168"/>
    <mergeCell ref="I168:K169"/>
    <mergeCell ref="E164:G164"/>
    <mergeCell ref="E166:G166"/>
    <mergeCell ref="E168:G168"/>
    <mergeCell ref="I164:K164"/>
    <mergeCell ref="I166:K166"/>
    <mergeCell ref="E154:O154"/>
    <mergeCell ref="E156:O156"/>
    <mergeCell ref="E158:O158"/>
    <mergeCell ref="E160:G162"/>
    <mergeCell ref="H160:H162"/>
    <mergeCell ref="L160:L162"/>
    <mergeCell ref="I160:K162"/>
    <mergeCell ref="M160:O162"/>
  </mergeCells>
  <phoneticPr fontId="60" type="noConversion"/>
  <pageMargins left="0.75" right="0.75" top="1" bottom="1" header="0.5" footer="0.5"/>
  <pageSetup paperSize="9" scale="59" fitToHeight="0" orientation="portrait"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
    <tabColor indexed="44"/>
  </sheetPr>
  <dimension ref="A1:AF2663"/>
  <sheetViews>
    <sheetView showGridLines="0" workbookViewId="0">
      <pane xSplit="6" ySplit="3" topLeftCell="N25" activePane="bottomRight" state="frozen"/>
      <selection pane="topRight" activeCell="G1" sqref="G1"/>
      <selection pane="bottomLeft" activeCell="A4" sqref="A4"/>
      <selection pane="bottomRight" activeCell="AC60" sqref="AC60"/>
    </sheetView>
  </sheetViews>
  <sheetFormatPr defaultRowHeight="12.75"/>
  <cols>
    <col min="1" max="1" width="4.5703125" style="3" customWidth="1"/>
    <col min="2" max="2" width="14" style="2" customWidth="1"/>
    <col min="3" max="3" width="13.42578125" style="1" customWidth="1"/>
    <col min="4" max="4" width="10.7109375" style="1" customWidth="1"/>
    <col min="5" max="5" width="6.5703125" style="1" customWidth="1"/>
    <col min="6" max="6" width="57.85546875" style="1" customWidth="1"/>
    <col min="7" max="24" width="9" style="542" customWidth="1"/>
    <col min="25" max="25" width="7.7109375" style="542" bestFit="1" customWidth="1"/>
    <col min="26" max="26" width="10" style="542" customWidth="1"/>
    <col min="27" max="32" width="9" style="542" customWidth="1"/>
    <col min="33" max="37" width="9" style="1" customWidth="1"/>
    <col min="38" max="16384" width="9.140625" style="1"/>
  </cols>
  <sheetData>
    <row r="1" spans="1:32" ht="42" customHeight="1" thickBot="1">
      <c r="A1" s="3753" t="s">
        <v>1312</v>
      </c>
      <c r="B1" s="3753"/>
      <c r="C1" s="3753"/>
      <c r="D1" s="3753"/>
      <c r="E1" s="3753"/>
      <c r="F1" s="3753"/>
      <c r="G1" s="541"/>
      <c r="H1" s="541"/>
      <c r="I1" s="541"/>
    </row>
    <row r="2" spans="1:32" ht="12" customHeight="1">
      <c r="A2" s="8" t="s">
        <v>529</v>
      </c>
      <c r="B2" s="4"/>
      <c r="C2" s="4"/>
      <c r="D2" s="5"/>
      <c r="E2" s="6"/>
      <c r="F2" s="7"/>
      <c r="G2" s="520"/>
      <c r="H2" s="520"/>
      <c r="I2" s="520"/>
      <c r="J2" s="520"/>
      <c r="K2" s="520"/>
      <c r="L2" s="520"/>
      <c r="M2" s="520"/>
      <c r="N2" s="520"/>
      <c r="O2" s="520"/>
      <c r="P2" s="520"/>
      <c r="Q2" s="520"/>
      <c r="R2" s="520"/>
      <c r="S2" s="520"/>
      <c r="T2" s="520"/>
      <c r="U2" s="520"/>
      <c r="V2" s="520"/>
      <c r="W2" s="520"/>
      <c r="X2" s="520"/>
      <c r="Y2" s="520"/>
      <c r="Z2" s="520"/>
      <c r="AA2" s="520"/>
      <c r="AB2" s="520"/>
      <c r="AC2" s="520"/>
      <c r="AD2" s="520"/>
      <c r="AE2" s="520"/>
      <c r="AF2" s="520"/>
    </row>
    <row r="3" spans="1:32" s="527" customFormat="1" ht="24.75" customHeight="1">
      <c r="A3" s="521" t="s">
        <v>530</v>
      </c>
      <c r="B3" s="522" t="s">
        <v>1072</v>
      </c>
      <c r="C3" s="522" t="s">
        <v>531</v>
      </c>
      <c r="D3" s="523" t="s">
        <v>1998</v>
      </c>
      <c r="E3" s="524" t="s">
        <v>1999</v>
      </c>
      <c r="F3" s="525" t="s">
        <v>2000</v>
      </c>
      <c r="G3" s="526">
        <v>1995</v>
      </c>
      <c r="H3" s="526">
        <f>G3+1</f>
        <v>1996</v>
      </c>
      <c r="I3" s="526">
        <f t="shared" ref="I3:AF3" si="0">H3+1</f>
        <v>1997</v>
      </c>
      <c r="J3" s="526">
        <f t="shared" si="0"/>
        <v>1998</v>
      </c>
      <c r="K3" s="526">
        <f t="shared" si="0"/>
        <v>1999</v>
      </c>
      <c r="L3" s="526">
        <f t="shared" si="0"/>
        <v>2000</v>
      </c>
      <c r="M3" s="526">
        <f t="shared" si="0"/>
        <v>2001</v>
      </c>
      <c r="N3" s="526">
        <f t="shared" si="0"/>
        <v>2002</v>
      </c>
      <c r="O3" s="526">
        <f t="shared" si="0"/>
        <v>2003</v>
      </c>
      <c r="P3" s="526">
        <f t="shared" si="0"/>
        <v>2004</v>
      </c>
      <c r="Q3" s="526">
        <f t="shared" si="0"/>
        <v>2005</v>
      </c>
      <c r="R3" s="526">
        <f t="shared" si="0"/>
        <v>2006</v>
      </c>
      <c r="S3" s="526">
        <f t="shared" si="0"/>
        <v>2007</v>
      </c>
      <c r="T3" s="526">
        <f t="shared" si="0"/>
        <v>2008</v>
      </c>
      <c r="U3" s="526">
        <f t="shared" si="0"/>
        <v>2009</v>
      </c>
      <c r="V3" s="526">
        <f t="shared" si="0"/>
        <v>2010</v>
      </c>
      <c r="W3" s="526">
        <f t="shared" si="0"/>
        <v>2011</v>
      </c>
      <c r="X3" s="526">
        <f t="shared" si="0"/>
        <v>2012</v>
      </c>
      <c r="Y3" s="526">
        <f t="shared" si="0"/>
        <v>2013</v>
      </c>
      <c r="Z3" s="526">
        <f t="shared" si="0"/>
        <v>2014</v>
      </c>
      <c r="AA3" s="526">
        <f t="shared" si="0"/>
        <v>2015</v>
      </c>
      <c r="AB3" s="526">
        <f t="shared" si="0"/>
        <v>2016</v>
      </c>
      <c r="AC3" s="526">
        <f t="shared" si="0"/>
        <v>2017</v>
      </c>
      <c r="AD3" s="526">
        <f t="shared" si="0"/>
        <v>2018</v>
      </c>
      <c r="AE3" s="526">
        <f t="shared" si="0"/>
        <v>2019</v>
      </c>
      <c r="AF3" s="526">
        <f t="shared" si="0"/>
        <v>2020</v>
      </c>
    </row>
    <row r="4" spans="1:32">
      <c r="A4" s="530">
        <v>75</v>
      </c>
      <c r="B4" s="531" t="s">
        <v>1073</v>
      </c>
      <c r="C4" s="532"/>
      <c r="D4" s="9" t="s">
        <v>1075</v>
      </c>
      <c r="E4" s="10">
        <v>10</v>
      </c>
      <c r="F4" s="11" t="str">
        <f>VLOOKUP($E$4,[1]NP!$A$2:$FA$100, 3, FALSE)</f>
        <v xml:space="preserve">10  Population; total            </v>
      </c>
      <c r="G4" s="543">
        <f>IF(VLOOKUP($E$4,[1]NP!$A$2:$FA$100, 6, FALSE)="",":",VLOOKUP($E$4,[1]NP!$A$2:$FA$100, 6, FALSE))</f>
        <v>3629.1015000000002</v>
      </c>
      <c r="H4" s="543">
        <f>IF(VLOOKUP($E$4,[1]NP!$A$2:$FA$100, 7, FALSE)="",":",VLOOKUP($E$4,[1]NP!$A$2:$FA$100, 7, FALSE))</f>
        <v>3601.6125000000002</v>
      </c>
      <c r="I4" s="543">
        <f>IF(VLOOKUP($E$4,[1]NP!$A$2:$FA$100, 8, FALSE)="",":",VLOOKUP($E$4,[1]NP!$A$2:$FA$100, 8, FALSE))</f>
        <v>3575.1370000000002</v>
      </c>
      <c r="J4" s="543">
        <f>IF(VLOOKUP($E$4,[1]NP!$A$2:$FA$100, 9, FALSE)="",":",VLOOKUP($E$4,[1]NP!$A$2:$FA$100, 9, FALSE))</f>
        <v>3549.3310000000001</v>
      </c>
      <c r="K4" s="543">
        <f>IF(VLOOKUP($E$4,[1]NP!$A$2:$FA$100, 10, FALSE)="",":",VLOOKUP($E$4,[1]NP!$A$2:$FA$100, 10, FALSE))</f>
        <v>3524.2375000000002</v>
      </c>
      <c r="L4" s="543">
        <f>IF(VLOOKUP($E$4,[1]NP!$A$2:$FA$100, 11, FALSE)="",":",VLOOKUP($E$4,[1]NP!$A$2:$FA$100, 11, FALSE))</f>
        <v>3499.5360000000001</v>
      </c>
      <c r="M4" s="543">
        <f>IF(VLOOKUP($E$4,[1]NP!$A$2:$FA$100, 12, FALSE)="",":",VLOOKUP($E$4,[1]NP!$A$2:$FA$100, 12, FALSE))</f>
        <v>3470.8175000000001</v>
      </c>
      <c r="N4" s="543">
        <f>IF(VLOOKUP($E$4,[1]NP!$A$2:$FA$100, 13, FALSE)="",":",VLOOKUP($E$4,[1]NP!$A$2:$FA$100, 13, FALSE))</f>
        <v>3443.067</v>
      </c>
      <c r="O4" s="543">
        <f>IF(VLOOKUP($E$4,[1]NP!$A$2:$FA$100, 14, FALSE)="",":",VLOOKUP($E$4,[1]NP!$A$2:$FA$100, 14, FALSE))</f>
        <v>3415.2130000000002</v>
      </c>
      <c r="P4" s="543">
        <f>IF(VLOOKUP($E$4,[1]NP!$A$2:$FA$100, 15, FALSE)="",":",VLOOKUP($E$4,[1]NP!$A$2:$FA$100, 15, FALSE))</f>
        <v>3377.0745000000002</v>
      </c>
      <c r="Q4" s="543">
        <f>IF(VLOOKUP($E$4,[1]NP!$A$2:$FA$100, 16, FALSE)="",":",VLOOKUP($E$4,[1]NP!$A$2:$FA$100, 16, FALSE))</f>
        <v>3322.5275000000001</v>
      </c>
      <c r="R4" s="543">
        <f>IF(VLOOKUP($E$4,[1]NP!$A$2:$FA$100, 17, FALSE)="",":",VLOOKUP($E$4,[1]NP!$A$2:$FA$100, 17, FALSE))</f>
        <v>3269.9090000000001</v>
      </c>
      <c r="S4" s="543">
        <f>IF(VLOOKUP($E$4,[1]NP!$A$2:$FA$100, 18, FALSE)="",":",VLOOKUP($E$4,[1]NP!$A$2:$FA$100, 18, FALSE))</f>
        <v>3231.2939999999999</v>
      </c>
      <c r="T4" s="543">
        <f>IF(VLOOKUP($E$4,[1]NP!$A$2:$FA$100, 19, FALSE)="",":",VLOOKUP($E$4,[1]NP!$A$2:$FA$100, 19, FALSE))</f>
        <v>3198.2305000000001</v>
      </c>
      <c r="U4" s="543">
        <f>IF(VLOOKUP($E$4,[1]NP!$A$2:$FA$100, 20, FALSE)="",":",VLOOKUP($E$4,[1]NP!$A$2:$FA$100, 20, FALSE))</f>
        <v>3162.9160000000002</v>
      </c>
      <c r="V4" s="543">
        <f>IF(VLOOKUP($E$4,[1]NP!$A$2:$FA$100, 21, FALSE)="",":",VLOOKUP($E$4,[1]NP!$A$2:$FA$100, 21, FALSE))</f>
        <v>3097.2820000000002</v>
      </c>
      <c r="W4" s="543">
        <f>IF(VLOOKUP($E$4,[1]NP!$A$2:$FA$100, 22, FALSE)="",":",VLOOKUP($E$4,[1]NP!$A$2:$FA$100, 22, FALSE))</f>
        <v>3028.1145000000001</v>
      </c>
      <c r="X4" s="543">
        <f>IF(VLOOKUP($E$4,[1]NP!$A$2:$FA$100, 23, FALSE)="",":",VLOOKUP($E$4,[1]NP!$A$2:$FA$100, 23, FALSE))</f>
        <v>2987.7730000000001</v>
      </c>
      <c r="Y4" s="543">
        <f>IF(VLOOKUP($E$4,[1]NP!$A$2:$FA$100, 24, FALSE)="",":",VLOOKUP($E$4,[1]NP!$A$2:$FA$100, 24, FALSE))</f>
        <v>2957.6885000000002</v>
      </c>
      <c r="Z4" s="543">
        <f>IF(VLOOKUP($E$4,[1]NP!$A$2:$FA$100, 25, FALSE)="",":",VLOOKUP($E$4,[1]NP!$A$2:$FA$100, 25, FALSE))</f>
        <v>2932.3670000000002</v>
      </c>
      <c r="AA4" s="543">
        <f>IF(VLOOKUP($E$4,[1]NP!$A$2:$FA$100, 26, FALSE)="",":",VLOOKUP($E$4,[1]NP!$A$2:$FA$100, 26, FALSE))</f>
        <v>2904.91</v>
      </c>
      <c r="AB4" s="543">
        <f>IF(VLOOKUP($E$4,[1]NP!$A$2:$FA$100, 27, FALSE)="",":",VLOOKUP($E$4,[1]NP!$A$2:$FA$100, 27, FALSE))</f>
        <v>2868.2310000000002</v>
      </c>
      <c r="AC4" s="543" t="str">
        <f>IF(VLOOKUP($E$4,[1]NP!$A$2:$FA$100, 28, FALSE)="",":",VLOOKUP($E$4,[1]NP!$A$2:$FA$100, 28, FALSE))</f>
        <v>:</v>
      </c>
      <c r="AD4" s="543" t="str">
        <f>IF(VLOOKUP($E$4,[1]NP!$A$2:$FA$100, 29, FALSE)="",":",VLOOKUP($E$4,[1]NP!$A$2:$FA$100, 29, FALSE))</f>
        <v>:</v>
      </c>
      <c r="AE4" s="543" t="str">
        <f>IF(VLOOKUP($E$4,[1]NP!$A$2:$FA$100, 30, FALSE)="",":",VLOOKUP($E$4,[1]NP!$A$2:$FA$100, 30, FALSE))</f>
        <v>:</v>
      </c>
      <c r="AF4" s="543" t="str">
        <f>IF(VLOOKUP($E$4,[1]NP!$A$2:$FA$100, 31, FALSE)="",":",VLOOKUP($E$4,[1]NP!$A$2:$FA$100, 31, FALSE))</f>
        <v>:</v>
      </c>
    </row>
    <row r="5" spans="1:32">
      <c r="A5" s="533">
        <v>76</v>
      </c>
      <c r="B5" s="534" t="s">
        <v>1074</v>
      </c>
      <c r="C5" s="535"/>
      <c r="D5" s="12" t="s">
        <v>1075</v>
      </c>
      <c r="E5" s="13">
        <v>12</v>
      </c>
      <c r="F5" s="14" t="str">
        <f>VLOOKUP($E$5,[1]NP!$A$2:$FA$300, 3, FALSE)</f>
        <v xml:space="preserve">12  Population; 15 to 64 years   </v>
      </c>
      <c r="G5" s="544">
        <f>IF(VLOOKUP($E$5,[1]NP!$A$2:$FA$300, 6, FALSE)="",":",VLOOKUP($E$5,[1]NP!$A$2:$FA$300, 6, FALSE))</f>
        <v>2391.0625</v>
      </c>
      <c r="H5" s="544">
        <f>IF(VLOOKUP($E$5,[1]NP!$A$2:$FA$300, 7, FALSE)="",":",VLOOKUP($E$5,[1]NP!$A$2:$FA$300, 7, FALSE))</f>
        <v>2371.0374999999999</v>
      </c>
      <c r="I5" s="544">
        <f>IF(VLOOKUP($E$5,[1]NP!$A$2:$FA$300, 8, FALSE)="",":",VLOOKUP($E$5,[1]NP!$A$2:$FA$300, 8, FALSE))</f>
        <v>2352.2280000000001</v>
      </c>
      <c r="J5" s="544">
        <f>IF(VLOOKUP($E$5,[1]NP!$A$2:$FA$300, 9, FALSE)="",":",VLOOKUP($E$5,[1]NP!$A$2:$FA$300, 9, FALSE))</f>
        <v>2336.0925000000002</v>
      </c>
      <c r="K5" s="544">
        <f>IF(VLOOKUP($E$5,[1]NP!$A$2:$FA$300, 10, FALSE)="",":",VLOOKUP($E$5,[1]NP!$A$2:$FA$300, 10, FALSE))</f>
        <v>2324.3265000000001</v>
      </c>
      <c r="L5" s="544">
        <f>IF(VLOOKUP($E$5,[1]NP!$A$2:$FA$300, 11, FALSE)="",":",VLOOKUP($E$5,[1]NP!$A$2:$FA$300, 11, FALSE))</f>
        <v>2317.4430000000002</v>
      </c>
      <c r="M5" s="544">
        <f>IF(VLOOKUP($E$5,[1]NP!$A$2:$FA$300, 12, FALSE)="",":",VLOOKUP($E$5,[1]NP!$A$2:$FA$300, 12, FALSE))</f>
        <v>2307.1170000000002</v>
      </c>
      <c r="N5" s="544">
        <f>IF(VLOOKUP($E$5,[1]NP!$A$2:$FA$300, 13, FALSE)="",":",VLOOKUP($E$5,[1]NP!$A$2:$FA$300, 13, FALSE))</f>
        <v>2296.346</v>
      </c>
      <c r="O5" s="544">
        <f>IF(VLOOKUP($E$5,[1]NP!$A$2:$FA$300, 14, FALSE)="",":",VLOOKUP($E$5,[1]NP!$A$2:$FA$300, 14, FALSE))</f>
        <v>2284.8705</v>
      </c>
      <c r="P5" s="544">
        <f>IF(VLOOKUP($E$5,[1]NP!$A$2:$FA$300, 15, FALSE)="",":",VLOOKUP($E$5,[1]NP!$A$2:$FA$300, 15, FALSE))</f>
        <v>2263.1680000000001</v>
      </c>
      <c r="Q5" s="544">
        <f>IF(VLOOKUP($E$5,[1]NP!$A$2:$FA$300, 16, FALSE)="",":",VLOOKUP($E$5,[1]NP!$A$2:$FA$300, 16, FALSE))</f>
        <v>2229.7080000000001</v>
      </c>
      <c r="R5" s="544">
        <f>IF(VLOOKUP($E$5,[1]NP!$A$2:$FA$300, 17, FALSE)="",":",VLOOKUP($E$5,[1]NP!$A$2:$FA$300, 17, FALSE))</f>
        <v>2198.5655000000002</v>
      </c>
      <c r="S5" s="544">
        <f>IF(VLOOKUP($E$5,[1]NP!$A$2:$FA$300, 18, FALSE)="",":",VLOOKUP($E$5,[1]NP!$A$2:$FA$300, 18, FALSE))</f>
        <v>2178.6444999999999</v>
      </c>
      <c r="T5" s="544">
        <f>IF(VLOOKUP($E$5,[1]NP!$A$2:$FA$300, 19, FALSE)="",":",VLOOKUP($E$5,[1]NP!$A$2:$FA$300, 19, FALSE))</f>
        <v>2161.7640000000001</v>
      </c>
      <c r="U5" s="544">
        <f>IF(VLOOKUP($E$5,[1]NP!$A$2:$FA$300, 20, FALSE)="",":",VLOOKUP($E$5,[1]NP!$A$2:$FA$300, 20, FALSE))</f>
        <v>2140.7370000000001</v>
      </c>
      <c r="V5" s="544">
        <f>IF(VLOOKUP($E$5,[1]NP!$A$2:$FA$300, 21, FALSE)="",":",VLOOKUP($E$5,[1]NP!$A$2:$FA$300, 21, FALSE))</f>
        <v>2089.953</v>
      </c>
      <c r="W5" s="544">
        <f>IF(VLOOKUP($E$5,[1]NP!$A$2:$FA$300, 22, FALSE)="",":",VLOOKUP($E$5,[1]NP!$A$2:$FA$300, 22, FALSE))</f>
        <v>2034.5550000000001</v>
      </c>
      <c r="X5" s="544">
        <f>IF(VLOOKUP($E$5,[1]NP!$A$2:$FA$300, 23, FALSE)="",":",VLOOKUP($E$5,[1]NP!$A$2:$FA$300, 23, FALSE))</f>
        <v>2004.6890000000001</v>
      </c>
      <c r="Y5" s="544">
        <f>IF(VLOOKUP($E$5,[1]NP!$A$2:$FA$300, 24, FALSE)="",":",VLOOKUP($E$5,[1]NP!$A$2:$FA$300, 24, FALSE))</f>
        <v>1981.8879999999999</v>
      </c>
      <c r="Z5" s="544">
        <f>IF(VLOOKUP($E$5,[1]NP!$A$2:$FA$300, 25, FALSE)="",":",VLOOKUP($E$5,[1]NP!$A$2:$FA$300, 25, FALSE))</f>
        <v>1959.665</v>
      </c>
      <c r="AA5" s="544">
        <f>IF(VLOOKUP($E$5,[1]NP!$A$2:$FA$300, 26, FALSE)="",":",VLOOKUP($E$5,[1]NP!$A$2:$FA$300, 26, FALSE))</f>
        <v>1932.4845</v>
      </c>
      <c r="AB5" s="544">
        <f>IF(VLOOKUP($E$5,[1]NP!$A$2:$FA$300, 27, FALSE)="",":",VLOOKUP($E$5,[1]NP!$A$2:$FA$300, 27, FALSE))</f>
        <v>1895.9345000000001</v>
      </c>
      <c r="AC5" s="544" t="str">
        <f>IF(VLOOKUP($E$5,[1]NP!$A$2:$FA$300, 28, FALSE)="",":",VLOOKUP($E$5,[1]NP!$A$2:$FA$300, 28, FALSE))</f>
        <v>:</v>
      </c>
      <c r="AD5" s="544" t="str">
        <f>IF(VLOOKUP($E$5,[1]NP!$A$2:$FA$300, 29, FALSE)="",":",VLOOKUP($E$5,[1]NP!$A$2:$FA$300, 29, FALSE))</f>
        <v>:</v>
      </c>
      <c r="AE5" s="544" t="str">
        <f>IF(VLOOKUP($E$5,[1]NP!$A$2:$FA$300, 30, FALSE)="",":",VLOOKUP($E$5,[1]NP!$A$2:$FA$300, 30, FALSE))</f>
        <v>:</v>
      </c>
      <c r="AF5" s="544" t="str">
        <f>IF(VLOOKUP($E$5,[1]NP!$A$2:$FA$300, 31, FALSE)="",":",VLOOKUP($E$5,[1]NP!$A$2:$FA$300, 31, FALSE))</f>
        <v>:</v>
      </c>
    </row>
    <row r="6" spans="1:32">
      <c r="A6" s="533"/>
      <c r="B6" s="534"/>
      <c r="C6" s="535"/>
      <c r="D6" s="12" t="s">
        <v>1075</v>
      </c>
      <c r="E6" s="13">
        <v>14</v>
      </c>
      <c r="F6" s="14" t="str">
        <f>VLOOKUP($E$6,[1]NP!$A$2:$FA$300, 3, FALSE)</f>
        <v xml:space="preserve">14  Population; 15 to 74 years   </v>
      </c>
      <c r="G6" s="544">
        <f>IF(VLOOKUP($E$6,[1]NP!$A$2:$FA$300, 6, FALSE)="",":",VLOOKUP($E$6,[1]NP!$A$2:$FA$300, 6, FALSE))</f>
        <v>2682.0945000000002</v>
      </c>
      <c r="H6" s="544">
        <f>IF(VLOOKUP($E$6,[1]NP!$A$2:$FA$300, 7, FALSE)="",":",VLOOKUP($E$6,[1]NP!$A$2:$FA$300, 7, FALSE))</f>
        <v>2668.8004999999998</v>
      </c>
      <c r="I6" s="544">
        <f>IF(VLOOKUP($E$6,[1]NP!$A$2:$FA$300, 8, FALSE)="",":",VLOOKUP($E$6,[1]NP!$A$2:$FA$300, 8, FALSE))</f>
        <v>2655.2939999999999</v>
      </c>
      <c r="J6" s="544">
        <f>IF(VLOOKUP($E$6,[1]NP!$A$2:$FA$300, 9, FALSE)="",":",VLOOKUP($E$6,[1]NP!$A$2:$FA$300, 9, FALSE))</f>
        <v>2642.944</v>
      </c>
      <c r="K6" s="544">
        <f>IF(VLOOKUP($E$6,[1]NP!$A$2:$FA$300, 10, FALSE)="",":",VLOOKUP($E$6,[1]NP!$A$2:$FA$300, 10, FALSE))</f>
        <v>2632.3584999999998</v>
      </c>
      <c r="L6" s="544">
        <f>IF(VLOOKUP($E$6,[1]NP!$A$2:$FA$300, 11, FALSE)="",":",VLOOKUP($E$6,[1]NP!$A$2:$FA$300, 11, FALSE))</f>
        <v>2625.9234999999999</v>
      </c>
      <c r="M6" s="544">
        <f>IF(VLOOKUP($E$6,[1]NP!$A$2:$FA$300, 12, FALSE)="",":",VLOOKUP($E$6,[1]NP!$A$2:$FA$300, 12, FALSE))</f>
        <v>2619.1475</v>
      </c>
      <c r="N6" s="544">
        <f>IF(VLOOKUP($E$6,[1]NP!$A$2:$FA$300, 13, FALSE)="",":",VLOOKUP($E$6,[1]NP!$A$2:$FA$300, 13, FALSE))</f>
        <v>2612.5324999999998</v>
      </c>
      <c r="O6" s="544">
        <f>IF(VLOOKUP($E$6,[1]NP!$A$2:$FA$300, 14, FALSE)="",":",VLOOKUP($E$6,[1]NP!$A$2:$FA$300, 14, FALSE))</f>
        <v>2602.4859999999999</v>
      </c>
      <c r="P6" s="544">
        <f>IF(VLOOKUP($E$6,[1]NP!$A$2:$FA$300, 15, FALSE)="",":",VLOOKUP($E$6,[1]NP!$A$2:$FA$300, 15, FALSE))</f>
        <v>2580.7840000000001</v>
      </c>
      <c r="Q6" s="544">
        <f>IF(VLOOKUP($E$6,[1]NP!$A$2:$FA$300, 16, FALSE)="",":",VLOOKUP($E$6,[1]NP!$A$2:$FA$300, 16, FALSE))</f>
        <v>2545.3955000000001</v>
      </c>
      <c r="R6" s="544">
        <f>IF(VLOOKUP($E$6,[1]NP!$A$2:$FA$300, 17, FALSE)="",":",VLOOKUP($E$6,[1]NP!$A$2:$FA$300, 17, FALSE))</f>
        <v>2512.1044999999999</v>
      </c>
      <c r="S6" s="544">
        <f>IF(VLOOKUP($E$6,[1]NP!$A$2:$FA$300, 18, FALSE)="",":",VLOOKUP($E$6,[1]NP!$A$2:$FA$300, 18, FALSE))</f>
        <v>2490.4475000000002</v>
      </c>
      <c r="T6" s="544">
        <f>IF(VLOOKUP($E$6,[1]NP!$A$2:$FA$300, 19, FALSE)="",":",VLOOKUP($E$6,[1]NP!$A$2:$FA$300, 19, FALSE))</f>
        <v>2470.4115000000002</v>
      </c>
      <c r="U6" s="544">
        <f>IF(VLOOKUP($E$6,[1]NP!$A$2:$FA$300, 20, FALSE)="",":",VLOOKUP($E$6,[1]NP!$A$2:$FA$300, 20, FALSE))</f>
        <v>2443.6925000000001</v>
      </c>
      <c r="V6" s="544">
        <f>IF(VLOOKUP($E$6,[1]NP!$A$2:$FA$300, 21, FALSE)="",":",VLOOKUP($E$6,[1]NP!$A$2:$FA$300, 21, FALSE))</f>
        <v>2386.9639999999999</v>
      </c>
      <c r="W6" s="544">
        <f>IF(VLOOKUP($E$6,[1]NP!$A$2:$FA$300, 22, FALSE)="",":",VLOOKUP($E$6,[1]NP!$A$2:$FA$300, 22, FALSE))</f>
        <v>2325.0210000000002</v>
      </c>
      <c r="X6" s="544">
        <f>IF(VLOOKUP($E$6,[1]NP!$A$2:$FA$300, 23, FALSE)="",":",VLOOKUP($E$6,[1]NP!$A$2:$FA$300, 23, FALSE))</f>
        <v>2287.8645000000001</v>
      </c>
      <c r="Y6" s="544">
        <f>IF(VLOOKUP($E$6,[1]NP!$A$2:$FA$300, 24, FALSE)="",":",VLOOKUP($E$6,[1]NP!$A$2:$FA$300, 24, FALSE))</f>
        <v>2260.1354999999999</v>
      </c>
      <c r="Z6" s="544">
        <f>IF(VLOOKUP($E$6,[1]NP!$A$2:$FA$300, 25, FALSE)="",":",VLOOKUP($E$6,[1]NP!$A$2:$FA$300, 25, FALSE))</f>
        <v>2236.3919999999998</v>
      </c>
      <c r="AA6" s="544">
        <f>IF(VLOOKUP($E$6,[1]NP!$A$2:$FA$300, 26, FALSE)="",":",VLOOKUP($E$6,[1]NP!$A$2:$FA$300, 26, FALSE))</f>
        <v>2209.2745</v>
      </c>
      <c r="AB6" s="544">
        <f>IF(VLOOKUP($E$6,[1]NP!$A$2:$FA$300, 27, FALSE)="",":",VLOOKUP($E$6,[1]NP!$A$2:$FA$300, 27, FALSE))</f>
        <v>2171.87</v>
      </c>
      <c r="AC6" s="544" t="str">
        <f>IF(VLOOKUP($E$6,[1]NP!$A$2:$FA$300, 28, FALSE)="",":",VLOOKUP($E$6,[1]NP!$A$2:$FA$300, 28, FALSE))</f>
        <v>:</v>
      </c>
      <c r="AD6" s="544" t="str">
        <f>IF(VLOOKUP($E$6,[1]NP!$A$2:$FA$300, 29, FALSE)="",":",VLOOKUP($E$6,[1]NP!$A$2:$FA$300, 29, FALSE))</f>
        <v>:</v>
      </c>
      <c r="AE6" s="544" t="str">
        <f>IF(VLOOKUP($E$6,[1]NP!$A$2:$FA$300, 30, FALSE)="",":",VLOOKUP($E$6,[1]NP!$A$2:$FA$300, 30, FALSE))</f>
        <v>:</v>
      </c>
      <c r="AF6" s="544" t="str">
        <f>IF(VLOOKUP($E$6,[1]NP!$A$2:$FA$300, 31, FALSE)="",":",VLOOKUP($E$6,[1]NP!$A$2:$FA$300, 31, FALSE))</f>
        <v>:</v>
      </c>
    </row>
    <row r="7" spans="1:32">
      <c r="A7" s="533">
        <v>59</v>
      </c>
      <c r="B7" s="534" t="s">
        <v>553</v>
      </c>
      <c r="C7" s="535"/>
      <c r="D7" s="12" t="s">
        <v>1076</v>
      </c>
      <c r="E7" s="13">
        <v>10</v>
      </c>
      <c r="F7" s="14" t="str">
        <f>VLOOKUP($E$7,[1]NN!$A$2:$FA$102, 3, FALSE)</f>
        <v xml:space="preserve">10  Employment - Total economy                                    </v>
      </c>
      <c r="G7" s="544" t="str">
        <f>IF(VLOOKUP($E$7,[1]NN!$A$2:$FA$102, 6, FALSE)="",":",VLOOKUP($E$7,[1]NN!$A$2:$FA$102, 6, FALSE))</f>
        <v>:</v>
      </c>
      <c r="H7" s="544" t="str">
        <f>IF(VLOOKUP($E$7,[1]NN!$A$2:$FA$102, 7, FALSE)="",":",VLOOKUP($E$7,[1]NN!$A$2:$FA$102, 7, FALSE))</f>
        <v>:</v>
      </c>
      <c r="I7" s="544" t="str">
        <f>IF(VLOOKUP($E$7,[1]NN!$A$2:$FA$102, 8, FALSE)="",":",VLOOKUP($E$7,[1]NN!$A$2:$FA$102, 8, FALSE))</f>
        <v>:</v>
      </c>
      <c r="J7" s="544" t="str">
        <f>IF(VLOOKUP($E$7,[1]NN!$A$2:$FA$102, 9, FALSE)="",":",VLOOKUP($E$7,[1]NN!$A$2:$FA$102, 9, FALSE))</f>
        <v>:</v>
      </c>
      <c r="K7" s="544" t="str">
        <f>IF(VLOOKUP($E$7,[1]NN!$A$2:$FA$102, 10, FALSE)="",":",VLOOKUP($E$7,[1]NN!$A$2:$FA$102, 10, FALSE))</f>
        <v>:</v>
      </c>
      <c r="L7" s="544">
        <f>IF(VLOOKUP($E$7,[1]NN!$A$2:$FA$102, 11, FALSE)="",":",VLOOKUP($E$7,[1]NN!$A$2:$FA$102, 11, FALSE))</f>
        <v>1399.19</v>
      </c>
      <c r="M7" s="544">
        <f>IF(VLOOKUP($E$7,[1]NN!$A$2:$FA$102, 12, FALSE)="",":",VLOOKUP($E$7,[1]NN!$A$2:$FA$102, 12, FALSE))</f>
        <v>1345.99</v>
      </c>
      <c r="N7" s="544">
        <f>IF(VLOOKUP($E$7,[1]NN!$A$2:$FA$102, 13, FALSE)="",":",VLOOKUP($E$7,[1]NN!$A$2:$FA$102, 13, FALSE))</f>
        <v>1394.68</v>
      </c>
      <c r="O7" s="544">
        <f>IF(VLOOKUP($E$7,[1]NN!$A$2:$FA$102, 14, FALSE)="",":",VLOOKUP($E$7,[1]NN!$A$2:$FA$102, 14, FALSE))</f>
        <v>1425.71</v>
      </c>
      <c r="P7" s="544">
        <f>IF(VLOOKUP($E$7,[1]NN!$A$2:$FA$102, 15, FALSE)="",":",VLOOKUP($E$7,[1]NN!$A$2:$FA$102, 15, FALSE))</f>
        <v>1410.1</v>
      </c>
      <c r="Q7" s="544">
        <f>IF(VLOOKUP($E$7,[1]NN!$A$2:$FA$102, 16, FALSE)="",":",VLOOKUP($E$7,[1]NN!$A$2:$FA$102, 16, FALSE))</f>
        <v>1420.72</v>
      </c>
      <c r="R7" s="544">
        <f>IF(VLOOKUP($E$7,[1]NN!$A$2:$FA$102, 17, FALSE)="",":",VLOOKUP($E$7,[1]NN!$A$2:$FA$102, 17, FALSE))</f>
        <v>1416.26</v>
      </c>
      <c r="S7" s="544">
        <f>IF(VLOOKUP($E$7,[1]NN!$A$2:$FA$102, 18, FALSE)="",":",VLOOKUP($E$7,[1]NN!$A$2:$FA$102, 18, FALSE))</f>
        <v>1445.14</v>
      </c>
      <c r="T7" s="544">
        <f>IF(VLOOKUP($E$7,[1]NN!$A$2:$FA$102, 19, FALSE)="",":",VLOOKUP($E$7,[1]NN!$A$2:$FA$102, 19, FALSE))</f>
        <v>1426.09</v>
      </c>
      <c r="U7" s="544">
        <f>IF(VLOOKUP($E$7,[1]NN!$A$2:$FA$102, 20, FALSE)="",":",VLOOKUP($E$7,[1]NN!$A$2:$FA$102, 20, FALSE))</f>
        <v>1316.51</v>
      </c>
      <c r="V7" s="544">
        <f>IF(VLOOKUP($E$7,[1]NN!$A$2:$FA$102, 21, FALSE)="",":",VLOOKUP($E$7,[1]NN!$A$2:$FA$102, 21, FALSE))</f>
        <v>1246.77</v>
      </c>
      <c r="W7" s="544">
        <f>IF(VLOOKUP($E$7,[1]NN!$A$2:$FA$102, 22, FALSE)="",":",VLOOKUP($E$7,[1]NN!$A$2:$FA$102, 22, FALSE))</f>
        <v>1252.7</v>
      </c>
      <c r="X7" s="544">
        <f>IF(VLOOKUP($E$7,[1]NN!$A$2:$FA$102, 23, FALSE)="",":",VLOOKUP($E$7,[1]NN!$A$2:$FA$102, 23, FALSE))</f>
        <v>1274.9000000000001</v>
      </c>
      <c r="Y7" s="544">
        <f>IF(VLOOKUP($E$7,[1]NN!$A$2:$FA$102, 24, FALSE)="",":",VLOOKUP($E$7,[1]NN!$A$2:$FA$102, 24, FALSE))</f>
        <v>1291.8900000000001</v>
      </c>
      <c r="Z7" s="544">
        <f>IF(VLOOKUP($E$7,[1]NN!$A$2:$FA$102, 25, FALSE)="",":",VLOOKUP($E$7,[1]NN!$A$2:$FA$102, 25, FALSE))</f>
        <v>1317.81</v>
      </c>
      <c r="AA7" s="544">
        <f>IF(VLOOKUP($E$7,[1]NN!$A$2:$FA$102, 26, FALSE)="",":",VLOOKUP($E$7,[1]NN!$A$2:$FA$102, 26, FALSE))</f>
        <v>1334.73</v>
      </c>
      <c r="AB7" s="544">
        <f>IF(VLOOKUP($E$7,[1]NN!$A$2:$FA$102, 27, FALSE)="",":",VLOOKUP($E$7,[1]NN!$A$2:$FA$102, 27, FALSE))</f>
        <v>1361.21</v>
      </c>
      <c r="AC7" s="544">
        <f>IF(VLOOKUP($E$7,[1]NN!$A$2:$FA$102, 28, FALSE)="",":",VLOOKUP($E$7,[1]NN!$A$2:$FA$102, 28, FALSE))</f>
        <v>1354.11</v>
      </c>
      <c r="AD7" s="544" t="str">
        <f>IF(VLOOKUP($E$7,[1]NN!$A$2:$FA$102, 29, FALSE)="",":",VLOOKUP($E$7,[1]NN!$A$2:$FA$102, 29, FALSE))</f>
        <v>:</v>
      </c>
      <c r="AE7" s="544" t="str">
        <f>IF(VLOOKUP($E$7,[1]NN!$A$2:$FA$102, 30, FALSE)="",":",VLOOKUP($E$7,[1]NN!$A$2:$FA$102, 30, FALSE))</f>
        <v>:</v>
      </c>
      <c r="AF7" s="544" t="str">
        <f>IF(VLOOKUP($E$7,[1]NN!$A$2:$FA$102, 31, FALSE)="",":",VLOOKUP($E$7,[1]NN!$A$2:$FA$102, 31, FALSE))</f>
        <v>:</v>
      </c>
    </row>
    <row r="8" spans="1:32">
      <c r="A8" s="533">
        <v>63</v>
      </c>
      <c r="B8" s="534" t="s">
        <v>557</v>
      </c>
      <c r="C8" s="535"/>
      <c r="D8" s="12" t="s">
        <v>1076</v>
      </c>
      <c r="E8" s="13">
        <v>20</v>
      </c>
      <c r="F8" s="14" t="str">
        <f>VLOOKUP($E$8,[1]NN!$A$2:$FA$102, 3, FALSE)</f>
        <v xml:space="preserve">20  Wage and salary earners - Total economy                                   </v>
      </c>
      <c r="G8" s="544" t="str">
        <f>IF(VLOOKUP($E$8,[1]NN!$A$2:$FA$102, 6, FALSE)="",":",VLOOKUP($E$8,[1]NN!$A$2:$FA$102, 6, FALSE))</f>
        <v>:</v>
      </c>
      <c r="H8" s="544" t="str">
        <f>IF(VLOOKUP($E$8,[1]NN!$A$2:$FA$102, 7, FALSE)="",":",VLOOKUP($E$8,[1]NN!$A$2:$FA$102, 7, FALSE))</f>
        <v>:</v>
      </c>
      <c r="I8" s="544" t="str">
        <f>IF(VLOOKUP($E$8,[1]NN!$A$2:$FA$102, 8, FALSE)="",":",VLOOKUP($E$8,[1]NN!$A$2:$FA$102, 8, FALSE))</f>
        <v>:</v>
      </c>
      <c r="J8" s="544" t="str">
        <f>IF(VLOOKUP($E$8,[1]NN!$A$2:$FA$102, 9, FALSE)="",":",VLOOKUP($E$8,[1]NN!$A$2:$FA$102, 9, FALSE))</f>
        <v>:</v>
      </c>
      <c r="K8" s="544" t="str">
        <f>IF(VLOOKUP($E$8,[1]NN!$A$2:$FA$102, 10, FALSE)="",":",VLOOKUP($E$8,[1]NN!$A$2:$FA$102, 10, FALSE))</f>
        <v>:</v>
      </c>
      <c r="L8" s="544">
        <f>IF(VLOOKUP($E$8,[1]NN!$A$2:$FA$102, 11, FALSE)="",":",VLOOKUP($E$8,[1]NN!$A$2:$FA$102, 11, FALSE))</f>
        <v>1123.8399999999999</v>
      </c>
      <c r="M8" s="544">
        <f>IF(VLOOKUP($E$8,[1]NN!$A$2:$FA$102, 12, FALSE)="",":",VLOOKUP($E$8,[1]NN!$A$2:$FA$102, 12, FALSE))</f>
        <v>1078.42</v>
      </c>
      <c r="N8" s="544">
        <f>IF(VLOOKUP($E$8,[1]NN!$A$2:$FA$102, 13, FALSE)="",":",VLOOKUP($E$8,[1]NN!$A$2:$FA$102, 13, FALSE))</f>
        <v>1112.6500000000001</v>
      </c>
      <c r="O8" s="544">
        <f>IF(VLOOKUP($E$8,[1]NN!$A$2:$FA$102, 14, FALSE)="",":",VLOOKUP($E$8,[1]NN!$A$2:$FA$102, 14, FALSE))</f>
        <v>1132.8599999999999</v>
      </c>
      <c r="P8" s="544">
        <f>IF(VLOOKUP($E$8,[1]NN!$A$2:$FA$102, 15, FALSE)="",":",VLOOKUP($E$8,[1]NN!$A$2:$FA$102, 15, FALSE))</f>
        <v>1146.9000000000001</v>
      </c>
      <c r="Q8" s="544">
        <f>IF(VLOOKUP($E$8,[1]NN!$A$2:$FA$102, 16, FALSE)="",":",VLOOKUP($E$8,[1]NN!$A$2:$FA$102, 16, FALSE))</f>
        <v>1174.57</v>
      </c>
      <c r="R8" s="544">
        <f>IF(VLOOKUP($E$8,[1]NN!$A$2:$FA$102, 17, FALSE)="",":",VLOOKUP($E$8,[1]NN!$A$2:$FA$102, 17, FALSE))</f>
        <v>1173.5</v>
      </c>
      <c r="S8" s="544">
        <f>IF(VLOOKUP($E$8,[1]NN!$A$2:$FA$102, 18, FALSE)="",":",VLOOKUP($E$8,[1]NN!$A$2:$FA$102, 18, FALSE))</f>
        <v>1233.6600000000001</v>
      </c>
      <c r="T8" s="544">
        <f>IF(VLOOKUP($E$8,[1]NN!$A$2:$FA$102, 19, FALSE)="",":",VLOOKUP($E$8,[1]NN!$A$2:$FA$102, 19, FALSE))</f>
        <v>1259.6300000000001</v>
      </c>
      <c r="U8" s="544">
        <f>IF(VLOOKUP($E$8,[1]NN!$A$2:$FA$102, 20, FALSE)="",":",VLOOKUP($E$8,[1]NN!$A$2:$FA$102, 20, FALSE))</f>
        <v>1158.73</v>
      </c>
      <c r="V8" s="544">
        <f>IF(VLOOKUP($E$8,[1]NN!$A$2:$FA$102, 21, FALSE)="",":",VLOOKUP($E$8,[1]NN!$A$2:$FA$102, 21, FALSE))</f>
        <v>1111.08</v>
      </c>
      <c r="W8" s="544">
        <f>IF(VLOOKUP($E$8,[1]NN!$A$2:$FA$102, 22, FALSE)="",":",VLOOKUP($E$8,[1]NN!$A$2:$FA$102, 22, FALSE))</f>
        <v>1119.95</v>
      </c>
      <c r="X8" s="544">
        <f>IF(VLOOKUP($E$8,[1]NN!$A$2:$FA$102, 23, FALSE)="",":",VLOOKUP($E$8,[1]NN!$A$2:$FA$102, 23, FALSE))</f>
        <v>1133.8900000000001</v>
      </c>
      <c r="Y8" s="544">
        <f>IF(VLOOKUP($E$8,[1]NN!$A$2:$FA$102, 24, FALSE)="",":",VLOOKUP($E$8,[1]NN!$A$2:$FA$102, 24, FALSE))</f>
        <v>1139.7</v>
      </c>
      <c r="Z8" s="544">
        <f>IF(VLOOKUP($E$8,[1]NN!$A$2:$FA$102, 25, FALSE)="",":",VLOOKUP($E$8,[1]NN!$A$2:$FA$102, 25, FALSE))</f>
        <v>1158.18</v>
      </c>
      <c r="AA8" s="544">
        <f>IF(VLOOKUP($E$8,[1]NN!$A$2:$FA$102, 26, FALSE)="",":",VLOOKUP($E$8,[1]NN!$A$2:$FA$102, 26, FALSE))</f>
        <v>1171</v>
      </c>
      <c r="AB8" s="544">
        <f>IF(VLOOKUP($E$8,[1]NN!$A$2:$FA$102, 27, FALSE)="",":",VLOOKUP($E$8,[1]NN!$A$2:$FA$102, 27, FALSE))</f>
        <v>1193.3</v>
      </c>
      <c r="AC8" s="544">
        <f>IF(VLOOKUP($E$8,[1]NN!$A$2:$FA$102, 28, FALSE)="",":",VLOOKUP($E$8,[1]NN!$A$2:$FA$102, 28, FALSE))</f>
        <v>1191.7</v>
      </c>
      <c r="AD8" s="544" t="str">
        <f>IF(VLOOKUP($E$8,[1]NN!$A$2:$FA$102, 29, FALSE)="",":",VLOOKUP($E$8,[1]NN!$A$2:$FA$102, 29, FALSE))</f>
        <v>:</v>
      </c>
      <c r="AE8" s="544" t="str">
        <f>IF(VLOOKUP($E$8,[1]NN!$A$2:$FA$102, 30, FALSE)="",":",VLOOKUP($E$8,[1]NN!$A$2:$FA$102, 30, FALSE))</f>
        <v>:</v>
      </c>
      <c r="AF8" s="544" t="str">
        <f>IF(VLOOKUP($E$8,[1]NN!$A$2:$FA$102, 31, FALSE)="",":",VLOOKUP($E$8,[1]NN!$A$2:$FA$102, 31, FALSE))</f>
        <v>:</v>
      </c>
    </row>
    <row r="9" spans="1:32">
      <c r="A9" s="533">
        <v>60</v>
      </c>
      <c r="B9" s="534" t="s">
        <v>1882</v>
      </c>
      <c r="C9" s="535"/>
      <c r="D9" s="12"/>
      <c r="E9" s="13"/>
      <c r="F9" s="14"/>
      <c r="G9" s="544"/>
      <c r="H9" s="544"/>
      <c r="I9" s="544"/>
      <c r="J9" s="544"/>
      <c r="K9" s="544"/>
      <c r="L9" s="544"/>
      <c r="M9" s="544"/>
      <c r="N9" s="544"/>
      <c r="O9" s="544"/>
      <c r="P9" s="544"/>
      <c r="Q9" s="544"/>
      <c r="R9" s="544"/>
      <c r="S9" s="544"/>
      <c r="T9" s="544"/>
      <c r="U9" s="544"/>
      <c r="V9" s="544"/>
      <c r="W9" s="544"/>
      <c r="X9" s="544"/>
      <c r="Y9" s="544"/>
      <c r="Z9" s="544"/>
      <c r="AA9" s="544"/>
      <c r="AB9" s="544"/>
      <c r="AC9" s="544"/>
      <c r="AD9" s="544"/>
      <c r="AE9" s="544"/>
      <c r="AF9" s="544"/>
    </row>
    <row r="10" spans="1:32">
      <c r="A10" s="533">
        <v>64</v>
      </c>
      <c r="B10" s="534" t="s">
        <v>2050</v>
      </c>
      <c r="C10" s="535"/>
      <c r="D10" s="12"/>
      <c r="E10" s="13"/>
      <c r="F10" s="14"/>
      <c r="G10" s="544"/>
      <c r="H10" s="544"/>
      <c r="I10" s="544"/>
      <c r="J10" s="544"/>
      <c r="K10" s="544"/>
      <c r="L10" s="544"/>
      <c r="M10" s="544"/>
      <c r="N10" s="544"/>
      <c r="O10" s="544"/>
      <c r="P10" s="544"/>
      <c r="Q10" s="544"/>
      <c r="R10" s="544"/>
      <c r="S10" s="544"/>
      <c r="T10" s="544"/>
      <c r="U10" s="544"/>
      <c r="V10" s="544"/>
      <c r="W10" s="544"/>
      <c r="X10" s="544"/>
      <c r="Y10" s="544"/>
      <c r="Z10" s="544"/>
      <c r="AA10" s="544"/>
      <c r="AB10" s="544"/>
      <c r="AC10" s="544"/>
      <c r="AD10" s="544"/>
      <c r="AE10" s="544"/>
      <c r="AF10" s="544"/>
    </row>
    <row r="11" spans="1:32">
      <c r="A11" s="535"/>
      <c r="B11" s="535"/>
      <c r="C11" s="535"/>
      <c r="D11" s="12"/>
      <c r="E11" s="13"/>
      <c r="F11" s="14"/>
      <c r="G11" s="544"/>
      <c r="H11" s="544"/>
      <c r="I11" s="544"/>
      <c r="J11" s="544"/>
      <c r="K11" s="544"/>
      <c r="L11" s="544"/>
      <c r="M11" s="544"/>
      <c r="N11" s="544"/>
      <c r="O11" s="544"/>
      <c r="P11" s="544"/>
      <c r="Q11" s="544"/>
      <c r="R11" s="544"/>
      <c r="S11" s="544"/>
      <c r="T11" s="544"/>
      <c r="U11" s="544"/>
      <c r="V11" s="544"/>
      <c r="W11" s="544"/>
      <c r="X11" s="544"/>
      <c r="Y11" s="544"/>
      <c r="Z11" s="544"/>
      <c r="AA11" s="544"/>
      <c r="AB11" s="544"/>
      <c r="AC11" s="544"/>
      <c r="AD11" s="544"/>
      <c r="AE11" s="544"/>
      <c r="AF11" s="544"/>
    </row>
    <row r="12" spans="1:32">
      <c r="A12" s="533"/>
      <c r="B12" s="534"/>
      <c r="C12" s="535"/>
      <c r="D12" s="12"/>
      <c r="E12" s="13"/>
      <c r="F12" s="14"/>
      <c r="G12" s="544"/>
      <c r="H12" s="544"/>
      <c r="I12" s="544"/>
      <c r="J12" s="544"/>
      <c r="K12" s="544"/>
      <c r="L12" s="544"/>
      <c r="M12" s="544"/>
      <c r="N12" s="544"/>
      <c r="O12" s="544"/>
      <c r="P12" s="544"/>
      <c r="Q12" s="544"/>
      <c r="R12" s="544"/>
      <c r="S12" s="544"/>
      <c r="T12" s="544"/>
      <c r="U12" s="544"/>
      <c r="V12" s="544"/>
      <c r="W12" s="544"/>
      <c r="X12" s="544"/>
      <c r="Y12" s="544"/>
      <c r="Z12" s="544"/>
      <c r="AA12" s="544"/>
      <c r="AB12" s="544"/>
      <c r="AC12" s="544"/>
      <c r="AD12" s="544"/>
      <c r="AE12" s="544"/>
      <c r="AF12" s="544"/>
    </row>
    <row r="13" spans="1:32">
      <c r="A13" s="533"/>
      <c r="B13" s="534"/>
      <c r="C13" s="535"/>
      <c r="D13" s="12"/>
      <c r="E13" s="13"/>
      <c r="F13" s="14"/>
      <c r="G13" s="544"/>
      <c r="H13" s="544"/>
      <c r="I13" s="544"/>
      <c r="J13" s="544"/>
      <c r="K13" s="544"/>
      <c r="L13" s="544"/>
      <c r="M13" s="544"/>
      <c r="N13" s="544"/>
      <c r="O13" s="544"/>
      <c r="P13" s="544"/>
      <c r="Q13" s="544"/>
      <c r="R13" s="544"/>
      <c r="S13" s="544"/>
      <c r="T13" s="544"/>
      <c r="U13" s="544"/>
      <c r="V13" s="544"/>
      <c r="W13" s="544"/>
      <c r="X13" s="544"/>
      <c r="Y13" s="544"/>
      <c r="Z13" s="544"/>
      <c r="AA13" s="544"/>
      <c r="AB13" s="544"/>
      <c r="AC13" s="544"/>
      <c r="AD13" s="544"/>
      <c r="AE13" s="544"/>
      <c r="AF13" s="544"/>
    </row>
    <row r="14" spans="1:32">
      <c r="A14" s="533"/>
      <c r="B14" s="534"/>
      <c r="C14" s="535"/>
      <c r="D14" s="12"/>
      <c r="E14" s="13"/>
      <c r="F14" s="14"/>
      <c r="G14" s="544"/>
      <c r="H14" s="544"/>
      <c r="I14" s="544"/>
      <c r="J14" s="544"/>
      <c r="K14" s="544"/>
      <c r="L14" s="544"/>
      <c r="M14" s="544"/>
      <c r="N14" s="544"/>
      <c r="O14" s="544"/>
      <c r="P14" s="544"/>
      <c r="Q14" s="544"/>
      <c r="R14" s="544"/>
      <c r="S14" s="544"/>
      <c r="T14" s="544"/>
      <c r="U14" s="544"/>
      <c r="V14" s="544"/>
      <c r="W14" s="544"/>
      <c r="X14" s="544"/>
      <c r="Y14" s="544"/>
      <c r="Z14" s="544"/>
      <c r="AA14" s="544"/>
      <c r="AB14" s="544"/>
      <c r="AC14" s="544"/>
      <c r="AD14" s="544"/>
      <c r="AE14" s="544"/>
      <c r="AF14" s="544"/>
    </row>
    <row r="15" spans="1:32">
      <c r="A15" s="533"/>
      <c r="B15" s="534"/>
      <c r="C15" s="535"/>
      <c r="D15" s="12"/>
      <c r="E15" s="13"/>
      <c r="F15" s="14"/>
      <c r="G15" s="544"/>
      <c r="H15" s="544"/>
      <c r="I15" s="544"/>
      <c r="J15" s="544"/>
      <c r="K15" s="544"/>
      <c r="L15" s="544"/>
      <c r="M15" s="544"/>
      <c r="N15" s="544"/>
      <c r="O15" s="544"/>
      <c r="P15" s="544"/>
      <c r="Q15" s="544"/>
      <c r="R15" s="544"/>
      <c r="S15" s="544"/>
      <c r="T15" s="544"/>
      <c r="U15" s="544"/>
      <c r="V15" s="544"/>
      <c r="W15" s="544"/>
      <c r="X15" s="544"/>
      <c r="Y15" s="544"/>
      <c r="Z15" s="544"/>
      <c r="AA15" s="544"/>
      <c r="AB15" s="544"/>
      <c r="AC15" s="544"/>
      <c r="AD15" s="544"/>
      <c r="AE15" s="544"/>
      <c r="AF15" s="544"/>
    </row>
    <row r="16" spans="1:32">
      <c r="A16" s="535"/>
      <c r="B16" s="534"/>
      <c r="C16" s="535"/>
      <c r="D16" s="12"/>
      <c r="E16" s="13"/>
      <c r="F16" s="14"/>
      <c r="G16" s="544"/>
      <c r="H16" s="544"/>
      <c r="I16" s="544"/>
      <c r="J16" s="544"/>
      <c r="K16" s="544"/>
      <c r="L16" s="544"/>
      <c r="M16" s="544"/>
      <c r="N16" s="544"/>
      <c r="O16" s="544"/>
      <c r="P16" s="544"/>
      <c r="Q16" s="544"/>
      <c r="R16" s="544"/>
      <c r="S16" s="544"/>
      <c r="T16" s="544"/>
      <c r="U16" s="544"/>
      <c r="V16" s="544"/>
      <c r="W16" s="544"/>
      <c r="X16" s="544"/>
      <c r="Y16" s="544"/>
      <c r="Z16" s="544"/>
      <c r="AA16" s="544"/>
      <c r="AB16" s="544"/>
      <c r="AC16" s="544"/>
      <c r="AD16" s="544"/>
      <c r="AE16" s="544"/>
      <c r="AF16" s="544"/>
    </row>
    <row r="17" spans="1:32">
      <c r="A17" s="533">
        <v>74</v>
      </c>
      <c r="B17" s="534" t="s">
        <v>302</v>
      </c>
      <c r="C17" s="535"/>
      <c r="D17" s="12" t="s">
        <v>1076</v>
      </c>
      <c r="E17" s="13">
        <v>41</v>
      </c>
      <c r="F17" s="14" t="str">
        <f>VLOOKUP($E$17,[1]NN!$A$2:$FA$102, 3, FALSE)</f>
        <v xml:space="preserve">41  Unemployed persons   </v>
      </c>
      <c r="G17" s="544">
        <f>IF(VLOOKUP($E$17,[1]NN!$A$2:$FA$102, 6, FALSE)="",":",VLOOKUP($E$17,[1]NN!$A$2:$FA$102, 6, FALSE))</f>
        <v>108.10000000000001</v>
      </c>
      <c r="H17" s="544">
        <f>IF(VLOOKUP($E$17,[1]NN!$A$2:$FA$102, 7, FALSE)="",":",VLOOKUP($E$17,[1]NN!$A$2:$FA$102, 7, FALSE))</f>
        <v>124.7</v>
      </c>
      <c r="I17" s="544">
        <f>IF(VLOOKUP($E$17,[1]NN!$A$2:$FA$102, 8, FALSE)="",":",VLOOKUP($E$17,[1]NN!$A$2:$FA$102, 8, FALSE))</f>
        <v>104.60000000000001</v>
      </c>
      <c r="J17" s="544">
        <f>IF(VLOOKUP($E$17,[1]NN!$A$2:$FA$102, 9, FALSE)="",":",VLOOKUP($E$17,[1]NN!$A$2:$FA$102, 9, FALSE))</f>
        <v>227</v>
      </c>
      <c r="K17" s="544">
        <f>IF(VLOOKUP($E$17,[1]NN!$A$2:$FA$102, 10, FALSE)="",":",VLOOKUP($E$17,[1]NN!$A$2:$FA$102, 10, FALSE))</f>
        <v>249</v>
      </c>
      <c r="L17" s="544">
        <f>IF(VLOOKUP($E$17,[1]NN!$A$2:$FA$102, 11, FALSE)="",":",VLOOKUP($E$17,[1]NN!$A$2:$FA$102, 11, FALSE))</f>
        <v>274</v>
      </c>
      <c r="M17" s="544">
        <f>IF(VLOOKUP($E$17,[1]NN!$A$2:$FA$102, 12, FALSE)="",":",VLOOKUP($E$17,[1]NN!$A$2:$FA$102, 12, FALSE))</f>
        <v>284</v>
      </c>
      <c r="N17" s="544">
        <f>IF(VLOOKUP($E$17,[1]NN!$A$2:$FA$102, 13, FALSE)="",":",VLOOKUP($E$17,[1]NN!$A$2:$FA$102, 13, FALSE))</f>
        <v>224</v>
      </c>
      <c r="O17" s="544">
        <f>IF(VLOOKUP($E$17,[1]NN!$A$2:$FA$102, 14, FALSE)="",":",VLOOKUP($E$17,[1]NN!$A$2:$FA$102, 14, FALSE))</f>
        <v>204</v>
      </c>
      <c r="P17" s="544">
        <f>IF(VLOOKUP($E$17,[1]NN!$A$2:$FA$102, 15, FALSE)="",":",VLOOKUP($E$17,[1]NN!$A$2:$FA$102, 15, FALSE))</f>
        <v>173</v>
      </c>
      <c r="Q17" s="544">
        <f>IF(VLOOKUP($E$17,[1]NN!$A$2:$FA$102, 16, FALSE)="",":",VLOOKUP($E$17,[1]NN!$A$2:$FA$102, 16, FALSE))</f>
        <v>130</v>
      </c>
      <c r="R17" s="544">
        <f>IF(VLOOKUP($E$17,[1]NN!$A$2:$FA$102, 17, FALSE)="",":",VLOOKUP($E$17,[1]NN!$A$2:$FA$102, 17, FALSE))</f>
        <v>88</v>
      </c>
      <c r="S17" s="544">
        <f>IF(VLOOKUP($E$17,[1]NN!$A$2:$FA$102, 18, FALSE)="",":",VLOOKUP($E$17,[1]NN!$A$2:$FA$102, 18, FALSE))</f>
        <v>64</v>
      </c>
      <c r="T17" s="544">
        <f>IF(VLOOKUP($E$17,[1]NN!$A$2:$FA$102, 19, FALSE)="",":",VLOOKUP($E$17,[1]NN!$A$2:$FA$102, 19, FALSE))</f>
        <v>88</v>
      </c>
      <c r="U17" s="544">
        <f>IF(VLOOKUP($E$17,[1]NN!$A$2:$FA$102, 20, FALSE)="",":",VLOOKUP($E$17,[1]NN!$A$2:$FA$102, 20, FALSE))</f>
        <v>211</v>
      </c>
      <c r="V17" s="544">
        <f>IF(VLOOKUP($E$17,[1]NN!$A$2:$FA$102, 21, FALSE)="",":",VLOOKUP($E$17,[1]NN!$A$2:$FA$102, 21, FALSE))</f>
        <v>270</v>
      </c>
      <c r="W17" s="544">
        <f>IF(VLOOKUP($E$17,[1]NN!$A$2:$FA$102, 22, FALSE)="",":",VLOOKUP($E$17,[1]NN!$A$2:$FA$102, 22, FALSE))</f>
        <v>228</v>
      </c>
      <c r="X17" s="544">
        <f>IF(VLOOKUP($E$17,[1]NN!$A$2:$FA$102, 23, FALSE)="",":",VLOOKUP($E$17,[1]NN!$A$2:$FA$102, 23, FALSE))</f>
        <v>197</v>
      </c>
      <c r="Y17" s="544">
        <f>IF(VLOOKUP($E$17,[1]NN!$A$2:$FA$102, 24, FALSE)="",":",VLOOKUP($E$17,[1]NN!$A$2:$FA$102, 24, FALSE))</f>
        <v>172</v>
      </c>
      <c r="Z17" s="544">
        <f>IF(VLOOKUP($E$17,[1]NN!$A$2:$FA$102, 25, FALSE)="",":",VLOOKUP($E$17,[1]NN!$A$2:$FA$102, 25, FALSE))</f>
        <v>158</v>
      </c>
      <c r="AA17" s="544">
        <f>IF(VLOOKUP($E$17,[1]NN!$A$2:$FA$102, 26, FALSE)="",":",VLOOKUP($E$17,[1]NN!$A$2:$FA$102, 26, FALSE))</f>
        <v>134</v>
      </c>
      <c r="AB17" s="544">
        <f>IF(VLOOKUP($E$17,[1]NN!$A$2:$FA$102, 27, FALSE)="",":",VLOOKUP($E$17,[1]NN!$A$2:$FA$102, 27, FALSE))</f>
        <v>116</v>
      </c>
      <c r="AC17" s="544">
        <f>IF(VLOOKUP($E$17,[1]NN!$A$2:$FA$102, 28, FALSE)="",":",VLOOKUP($E$17,[1]NN!$A$2:$FA$102, 28, FALSE))</f>
        <v>103</v>
      </c>
      <c r="AD17" s="544" t="str">
        <f>IF(VLOOKUP($E$17,[1]NN!$A$2:$FA$102, 29, FALSE)="",":",VLOOKUP($E$17,[1]NN!$A$2:$FA$102, 29, FALSE))</f>
        <v>:</v>
      </c>
      <c r="AE17" s="544" t="str">
        <f>IF(VLOOKUP($E$17,[1]NN!$A$2:$FA$102, 30, FALSE)="",":",VLOOKUP($E$17,[1]NN!$A$2:$FA$102, 30, FALSE))</f>
        <v>:</v>
      </c>
      <c r="AF17" s="544" t="str">
        <f>IF(VLOOKUP($E$17,[1]NN!$A$2:$FA$102, 31, FALSE)="",":",VLOOKUP($E$17,[1]NN!$A$2:$FA$102, 31, FALSE))</f>
        <v>:</v>
      </c>
    </row>
    <row r="18" spans="1:32">
      <c r="A18" s="533"/>
      <c r="B18" s="534"/>
      <c r="C18" s="535"/>
      <c r="D18" s="12"/>
      <c r="E18" s="13"/>
      <c r="F18" s="14"/>
      <c r="G18" s="544"/>
      <c r="H18" s="544"/>
      <c r="I18" s="544"/>
      <c r="J18" s="544"/>
      <c r="K18" s="544"/>
      <c r="L18" s="544"/>
      <c r="M18" s="544"/>
      <c r="N18" s="544"/>
      <c r="O18" s="544"/>
      <c r="P18" s="544"/>
      <c r="Q18" s="544"/>
      <c r="R18" s="544"/>
      <c r="S18" s="544"/>
      <c r="T18" s="544"/>
      <c r="U18" s="544"/>
      <c r="V18" s="544"/>
      <c r="W18" s="544"/>
      <c r="X18" s="544"/>
      <c r="Y18" s="544"/>
      <c r="Z18" s="544"/>
      <c r="AA18" s="544"/>
      <c r="AB18" s="544"/>
      <c r="AC18" s="544"/>
      <c r="AD18" s="544"/>
      <c r="AE18" s="544"/>
      <c r="AF18" s="544"/>
    </row>
    <row r="19" spans="1:32">
      <c r="A19" s="533">
        <v>1</v>
      </c>
      <c r="B19" s="534" t="s">
        <v>1017</v>
      </c>
      <c r="C19" s="535" t="s">
        <v>2064</v>
      </c>
      <c r="D19" s="12" t="s">
        <v>742</v>
      </c>
      <c r="E19" s="13">
        <v>200</v>
      </c>
      <c r="F19" s="14" t="str">
        <f>VLOOKUP($E$19,[1]ON!$A$2:$FA$37, 3, FALSE)</f>
        <v xml:space="preserve">200  Household final consumption expenditure (national)                              </v>
      </c>
      <c r="G19" s="544">
        <f>IF(VLOOKUP($E$19,[1]ON!$A$2:$FA$37, 6, FALSE)="",":",VLOOKUP($E$19,[1]ON!$A$2:$FA$37, 6, FALSE))</f>
        <v>8694.3311199494201</v>
      </c>
      <c r="H19" s="544">
        <f>IF(VLOOKUP($E$19,[1]ON!$A$2:$FA$37, 7, FALSE)="",":",VLOOKUP($E$19,[1]ON!$A$2:$FA$37, 7, FALSE))</f>
        <v>9257.39638303629</v>
      </c>
      <c r="I19" s="544">
        <f>IF(VLOOKUP($E$19,[1]ON!$A$2:$FA$37, 8, FALSE)="",":",VLOOKUP($E$19,[1]ON!$A$2:$FA$37, 8, FALSE))</f>
        <v>9777.7647186781778</v>
      </c>
      <c r="J19" s="544">
        <f>IF(VLOOKUP($E$19,[1]ON!$A$2:$FA$37, 9, FALSE)="",":",VLOOKUP($E$19,[1]ON!$A$2:$FA$37, 9, FALSE))</f>
        <v>10242.72505630753</v>
      </c>
      <c r="K19" s="544">
        <f>IF(VLOOKUP($E$19,[1]ON!$A$2:$FA$37, 10, FALSE)="",":",VLOOKUP($E$19,[1]ON!$A$2:$FA$37, 10, FALSE))</f>
        <v>10751.223990268769</v>
      </c>
      <c r="L19" s="544">
        <f>IF(VLOOKUP($E$19,[1]ON!$A$2:$FA$37, 11, FALSE)="",":",VLOOKUP($E$19,[1]ON!$A$2:$FA$37, 11, FALSE))</f>
        <v>11501.958970631553</v>
      </c>
      <c r="M19" s="544">
        <f>IF(VLOOKUP($E$19,[1]ON!$A$2:$FA$37, 12, FALSE)="",":",VLOOKUP($E$19,[1]ON!$A$2:$FA$37, 12, FALSE))</f>
        <v>11985.963469608585</v>
      </c>
      <c r="N19" s="544">
        <f>IF(VLOOKUP($E$19,[1]ON!$A$2:$FA$37, 13, FALSE)="",":",VLOOKUP($E$19,[1]ON!$A$2:$FA$37, 13, FALSE))</f>
        <v>12724.802863036461</v>
      </c>
      <c r="O19" s="544">
        <f>IF(VLOOKUP($E$19,[1]ON!$A$2:$FA$37, 14, FALSE)="",":",VLOOKUP($E$19,[1]ON!$A$2:$FA$37, 14, FALSE))</f>
        <v>14151.8131829006</v>
      </c>
      <c r="P19" s="544">
        <f>IF(VLOOKUP($E$19,[1]ON!$A$2:$FA$37, 15, FALSE)="",":",VLOOKUP($E$19,[1]ON!$A$2:$FA$37, 15, FALSE))</f>
        <v>15804.66</v>
      </c>
      <c r="Q19" s="544">
        <f>IF(VLOOKUP($E$19,[1]ON!$A$2:$FA$37, 16, FALSE)="",":",VLOOKUP($E$19,[1]ON!$A$2:$FA$37, 16, FALSE))</f>
        <v>17638.66</v>
      </c>
      <c r="R19" s="544">
        <f>IF(VLOOKUP($E$19,[1]ON!$A$2:$FA$37, 17, FALSE)="",":",VLOOKUP($E$19,[1]ON!$A$2:$FA$37, 17, FALSE))</f>
        <v>19243.439999999999</v>
      </c>
      <c r="S19" s="544">
        <f>IF(VLOOKUP($E$19,[1]ON!$A$2:$FA$37, 18, FALSE)="",":",VLOOKUP($E$19,[1]ON!$A$2:$FA$37, 18, FALSE))</f>
        <v>21633.119999999999</v>
      </c>
      <c r="T19" s="544">
        <f>IF(VLOOKUP($E$19,[1]ON!$A$2:$FA$37, 19, FALSE)="",":",VLOOKUP($E$19,[1]ON!$A$2:$FA$37, 19, FALSE))</f>
        <v>22466.799999999999</v>
      </c>
      <c r="U19" s="544">
        <f>IF(VLOOKUP($E$19,[1]ON!$A$2:$FA$37, 20, FALSE)="",":",VLOOKUP($E$19,[1]ON!$A$2:$FA$37, 20, FALSE))</f>
        <v>18568.37</v>
      </c>
      <c r="V19" s="544">
        <f>IF(VLOOKUP($E$19,[1]ON!$A$2:$FA$37, 21, FALSE)="",":",VLOOKUP($E$19,[1]ON!$A$2:$FA$37, 21, FALSE))</f>
        <v>17945.54</v>
      </c>
      <c r="W19" s="544">
        <f>IF(VLOOKUP($E$19,[1]ON!$A$2:$FA$37, 22, FALSE)="",":",VLOOKUP($E$19,[1]ON!$A$2:$FA$37, 22, FALSE))</f>
        <v>18770.810000000001</v>
      </c>
      <c r="X19" s="544">
        <f>IF(VLOOKUP($E$19,[1]ON!$A$2:$FA$37, 23, FALSE)="",":",VLOOKUP($E$19,[1]ON!$A$2:$FA$37, 23, FALSE))</f>
        <v>19351.68</v>
      </c>
      <c r="Y19" s="544">
        <f>IF(VLOOKUP($E$19,[1]ON!$A$2:$FA$37, 24, FALSE)="",":",VLOOKUP($E$19,[1]ON!$A$2:$FA$37, 24, FALSE))</f>
        <v>20186.400000000001</v>
      </c>
      <c r="Z19" s="544">
        <f>IF(VLOOKUP($E$19,[1]ON!$A$2:$FA$37, 25, FALSE)="",":",VLOOKUP($E$19,[1]ON!$A$2:$FA$37, 25, FALSE))</f>
        <v>20987.1</v>
      </c>
      <c r="AA19" s="544">
        <f>IF(VLOOKUP($E$19,[1]ON!$A$2:$FA$37, 26, FALSE)="",":",VLOOKUP($E$19,[1]ON!$A$2:$FA$37, 26, FALSE))</f>
        <v>21821.65</v>
      </c>
      <c r="AB19" s="544">
        <f>IF(VLOOKUP($E$19,[1]ON!$A$2:$FA$37, 27, FALSE)="",":",VLOOKUP($E$19,[1]ON!$A$2:$FA$37, 27, FALSE))</f>
        <v>22898.63</v>
      </c>
      <c r="AC19" s="544">
        <f>IF(VLOOKUP($E$19,[1]ON!$A$2:$FA$37, 28, FALSE)="",":",VLOOKUP($E$19,[1]ON!$A$2:$FA$37, 28, FALSE))</f>
        <v>23789.61</v>
      </c>
      <c r="AD19" s="544" t="str">
        <f>IF(VLOOKUP($E$19,[1]ON!$A$2:$FA$37, 29, FALSE)="",":",VLOOKUP($E$19,[1]ON!$A$2:$FA$37, 29, FALSE))</f>
        <v>:</v>
      </c>
      <c r="AE19" s="544" t="str">
        <f>IF(VLOOKUP($E$19,[1]ON!$A$2:$FA$37, 30, FALSE)="",":",VLOOKUP($E$19,[1]ON!$A$2:$FA$37, 30, FALSE))</f>
        <v>:</v>
      </c>
      <c r="AF19" s="544" t="str">
        <f>IF(VLOOKUP($E$19,[1]ON!$A$2:$FA$37, 31, FALSE)="",":",VLOOKUP($E$19,[1]ON!$A$2:$FA$37, 31, FALSE))</f>
        <v>:</v>
      </c>
    </row>
    <row r="20" spans="1:32">
      <c r="A20" s="533"/>
      <c r="B20" s="534"/>
      <c r="C20" s="535"/>
      <c r="D20" s="12"/>
      <c r="E20" s="13"/>
      <c r="F20" s="14"/>
      <c r="G20" s="544"/>
      <c r="H20" s="544"/>
      <c r="I20" s="544"/>
      <c r="J20" s="544"/>
      <c r="K20" s="544"/>
      <c r="L20" s="544"/>
      <c r="M20" s="544"/>
      <c r="N20" s="544"/>
      <c r="O20" s="544"/>
      <c r="P20" s="544"/>
      <c r="Q20" s="544"/>
      <c r="R20" s="544"/>
      <c r="S20" s="544"/>
      <c r="T20" s="544"/>
      <c r="U20" s="544"/>
      <c r="V20" s="544"/>
      <c r="W20" s="544"/>
      <c r="X20" s="544"/>
      <c r="Y20" s="544"/>
      <c r="Z20" s="544"/>
      <c r="AA20" s="544"/>
      <c r="AB20" s="544"/>
      <c r="AC20" s="544"/>
      <c r="AD20" s="544"/>
      <c r="AE20" s="544"/>
      <c r="AF20" s="544"/>
    </row>
    <row r="21" spans="1:32">
      <c r="A21" s="533"/>
      <c r="B21" s="534"/>
      <c r="C21" s="535"/>
      <c r="D21" s="12"/>
      <c r="E21" s="13"/>
      <c r="F21" s="14"/>
      <c r="G21" s="544"/>
      <c r="H21" s="544"/>
      <c r="I21" s="544"/>
      <c r="J21" s="544"/>
      <c r="K21" s="544"/>
      <c r="L21" s="544"/>
      <c r="M21" s="544"/>
      <c r="N21" s="544"/>
      <c r="O21" s="544"/>
      <c r="P21" s="544"/>
      <c r="Q21" s="544"/>
      <c r="R21" s="544"/>
      <c r="S21" s="544"/>
      <c r="T21" s="544"/>
      <c r="U21" s="544"/>
      <c r="V21" s="544"/>
      <c r="W21" s="544"/>
      <c r="X21" s="544"/>
      <c r="Y21" s="544"/>
      <c r="Z21" s="544"/>
      <c r="AA21" s="544"/>
      <c r="AB21" s="544"/>
      <c r="AC21" s="544"/>
      <c r="AD21" s="544"/>
      <c r="AE21" s="544"/>
      <c r="AF21" s="544"/>
    </row>
    <row r="22" spans="1:32">
      <c r="A22" s="533">
        <v>2</v>
      </c>
      <c r="B22" s="534" t="s">
        <v>533</v>
      </c>
      <c r="C22" s="535" t="s">
        <v>2067</v>
      </c>
      <c r="D22" s="12" t="s">
        <v>742</v>
      </c>
      <c r="E22" s="13">
        <v>100</v>
      </c>
      <c r="F22" s="14" t="str">
        <f>VLOOKUP($E$22,[1]ON!$A$2:$FA$37, 3, FALSE)</f>
        <v xml:space="preserve">100  Government final consumption expenditure                                        </v>
      </c>
      <c r="G22" s="544">
        <f>IF(VLOOKUP($E$22,[1]ON!$A$2:$FA$37, 6, FALSE)="",":",VLOOKUP($E$22,[1]ON!$A$2:$FA$37, 6, FALSE))</f>
        <v>4669.6599057177909</v>
      </c>
      <c r="H22" s="544">
        <f>IF(VLOOKUP($E$22,[1]ON!$A$2:$FA$37, 7, FALSE)="",":",VLOOKUP($E$22,[1]ON!$A$2:$FA$37, 7, FALSE))</f>
        <v>4636.8703517540853</v>
      </c>
      <c r="I22" s="544">
        <f>IF(VLOOKUP($E$22,[1]ON!$A$2:$FA$37, 8, FALSE)="",":",VLOOKUP($E$22,[1]ON!$A$2:$FA$37, 8, FALSE))</f>
        <v>4795.2674096872588</v>
      </c>
      <c r="J22" s="544">
        <f>IF(VLOOKUP($E$22,[1]ON!$A$2:$FA$37, 9, FALSE)="",":",VLOOKUP($E$22,[1]ON!$A$2:$FA$37, 9, FALSE))</f>
        <v>5035.7804145178598</v>
      </c>
      <c r="K22" s="544">
        <f>IF(VLOOKUP($E$22,[1]ON!$A$2:$FA$37, 10, FALSE)="",":",VLOOKUP($E$22,[1]ON!$A$2:$FA$37, 10, FALSE))</f>
        <v>4813.2083975837631</v>
      </c>
      <c r="L22" s="544">
        <f>IF(VLOOKUP($E$22,[1]ON!$A$2:$FA$37, 11, FALSE)="",":",VLOOKUP($E$22,[1]ON!$A$2:$FA$37, 11, FALSE))</f>
        <v>4823.9639312963336</v>
      </c>
      <c r="M22" s="544">
        <f>IF(VLOOKUP($E$22,[1]ON!$A$2:$FA$37, 12, FALSE)="",":",VLOOKUP($E$22,[1]ON!$A$2:$FA$37, 12, FALSE))</f>
        <v>4889.5965698279797</v>
      </c>
      <c r="N22" s="544">
        <f>IF(VLOOKUP($E$22,[1]ON!$A$2:$FA$37, 13, FALSE)="",":",VLOOKUP($E$22,[1]ON!$A$2:$FA$37, 13, FALSE))</f>
        <v>5009.8510133738873</v>
      </c>
      <c r="O22" s="544">
        <f>IF(VLOOKUP($E$22,[1]ON!$A$2:$FA$37, 14, FALSE)="",":",VLOOKUP($E$22,[1]ON!$A$2:$FA$37, 14, FALSE))</f>
        <v>5156.0925064067897</v>
      </c>
      <c r="P22" s="544">
        <f>IF(VLOOKUP($E$22,[1]ON!$A$2:$FA$37, 15, FALSE)="",":",VLOOKUP($E$22,[1]ON!$A$2:$FA$37, 15, FALSE))</f>
        <v>5392.96</v>
      </c>
      <c r="Q22" s="544">
        <f>IF(VLOOKUP($E$22,[1]ON!$A$2:$FA$37, 16, FALSE)="",":",VLOOKUP($E$22,[1]ON!$A$2:$FA$37, 16, FALSE))</f>
        <v>5584.81</v>
      </c>
      <c r="R22" s="544">
        <f>IF(VLOOKUP($E$22,[1]ON!$A$2:$FA$37, 17, FALSE)="",":",VLOOKUP($E$22,[1]ON!$A$2:$FA$37, 17, FALSE))</f>
        <v>5702.3</v>
      </c>
      <c r="S22" s="544">
        <f>IF(VLOOKUP($E$22,[1]ON!$A$2:$FA$37, 18, FALSE)="",":",VLOOKUP($E$22,[1]ON!$A$2:$FA$37, 18, FALSE))</f>
        <v>5807.83</v>
      </c>
      <c r="T22" s="544">
        <f>IF(VLOOKUP($E$22,[1]ON!$A$2:$FA$37, 19, FALSE)="",":",VLOOKUP($E$22,[1]ON!$A$2:$FA$37, 19, FALSE))</f>
        <v>5821.53</v>
      </c>
      <c r="U22" s="544">
        <f>IF(VLOOKUP($E$22,[1]ON!$A$2:$FA$37, 20, FALSE)="",":",VLOOKUP($E$22,[1]ON!$A$2:$FA$37, 20, FALSE))</f>
        <v>5745.01</v>
      </c>
      <c r="V22" s="544">
        <f>IF(VLOOKUP($E$22,[1]ON!$A$2:$FA$37, 21, FALSE)="",":",VLOOKUP($E$22,[1]ON!$A$2:$FA$37, 21, FALSE))</f>
        <v>5563.38</v>
      </c>
      <c r="W22" s="544">
        <f>IF(VLOOKUP($E$22,[1]ON!$A$2:$FA$37, 22, FALSE)="",":",VLOOKUP($E$22,[1]ON!$A$2:$FA$37, 22, FALSE))</f>
        <v>5543.58</v>
      </c>
      <c r="X22" s="544">
        <f>IF(VLOOKUP($E$22,[1]ON!$A$2:$FA$37, 23, FALSE)="",":",VLOOKUP($E$22,[1]ON!$A$2:$FA$37, 23, FALSE))</f>
        <v>5614.83</v>
      </c>
      <c r="Y22" s="544">
        <f>IF(VLOOKUP($E$22,[1]ON!$A$2:$FA$37, 24, FALSE)="",":",VLOOKUP($E$22,[1]ON!$A$2:$FA$37, 24, FALSE))</f>
        <v>5655.41</v>
      </c>
      <c r="Z22" s="544">
        <f>IF(VLOOKUP($E$22,[1]ON!$A$2:$FA$37, 25, FALSE)="",":",VLOOKUP($E$22,[1]ON!$A$2:$FA$37, 25, FALSE))</f>
        <v>5671.66</v>
      </c>
      <c r="AA22" s="544">
        <f>IF(VLOOKUP($E$22,[1]ON!$A$2:$FA$37, 26, FALSE)="",":",VLOOKUP($E$22,[1]ON!$A$2:$FA$37, 26, FALSE))</f>
        <v>5680.98</v>
      </c>
      <c r="AB22" s="544">
        <f>IF(VLOOKUP($E$22,[1]ON!$A$2:$FA$37, 27, FALSE)="",":",VLOOKUP($E$22,[1]ON!$A$2:$FA$37, 27, FALSE))</f>
        <v>5754.4</v>
      </c>
      <c r="AC22" s="544">
        <f>IF(VLOOKUP($E$22,[1]ON!$A$2:$FA$37, 28, FALSE)="",":",VLOOKUP($E$22,[1]ON!$A$2:$FA$37, 28, FALSE))</f>
        <v>5821.09</v>
      </c>
      <c r="AD22" s="544" t="str">
        <f>IF(VLOOKUP($E$22,[1]ON!$A$2:$FA$37, 29, FALSE)="",":",VLOOKUP($E$22,[1]ON!$A$2:$FA$37, 29, FALSE))</f>
        <v>:</v>
      </c>
      <c r="AE22" s="544" t="str">
        <f>IF(VLOOKUP($E$22,[1]ON!$A$2:$FA$37, 30, FALSE)="",":",VLOOKUP($E$22,[1]ON!$A$2:$FA$37, 30, FALSE))</f>
        <v>:</v>
      </c>
      <c r="AF22" s="544" t="str">
        <f>IF(VLOOKUP($E$22,[1]ON!$A$2:$FA$37, 31, FALSE)="",":",VLOOKUP($E$22,[1]ON!$A$2:$FA$37, 31, FALSE))</f>
        <v>:</v>
      </c>
    </row>
    <row r="23" spans="1:32">
      <c r="A23" s="533"/>
      <c r="B23" s="534"/>
      <c r="C23" s="535"/>
      <c r="D23" s="12"/>
      <c r="E23" s="13"/>
      <c r="F23" s="14"/>
      <c r="G23" s="544"/>
      <c r="H23" s="544"/>
      <c r="I23" s="544"/>
      <c r="J23" s="544"/>
      <c r="K23" s="544"/>
      <c r="L23" s="544"/>
      <c r="M23" s="544"/>
      <c r="N23" s="544"/>
      <c r="O23" s="544"/>
      <c r="P23" s="544"/>
      <c r="Q23" s="544"/>
      <c r="R23" s="544"/>
      <c r="S23" s="544"/>
      <c r="T23" s="544"/>
      <c r="U23" s="544"/>
      <c r="V23" s="544"/>
      <c r="W23" s="544"/>
      <c r="X23" s="544"/>
      <c r="Y23" s="544"/>
      <c r="Z23" s="544"/>
      <c r="AA23" s="544"/>
      <c r="AB23" s="544"/>
      <c r="AC23" s="544"/>
      <c r="AD23" s="544"/>
      <c r="AE23" s="544"/>
      <c r="AF23" s="544"/>
    </row>
    <row r="24" spans="1:32">
      <c r="A24" s="533"/>
      <c r="B24" s="534" t="s">
        <v>2051</v>
      </c>
      <c r="C24" s="535"/>
      <c r="D24" s="12"/>
      <c r="E24" s="13"/>
      <c r="F24" s="14"/>
      <c r="G24" s="544"/>
      <c r="H24" s="544"/>
      <c r="I24" s="544"/>
      <c r="J24" s="544"/>
      <c r="K24" s="544"/>
      <c r="L24" s="544"/>
      <c r="M24" s="544"/>
      <c r="N24" s="544"/>
      <c r="O24" s="544"/>
      <c r="P24" s="544"/>
      <c r="Q24" s="544"/>
      <c r="R24" s="544"/>
      <c r="S24" s="544"/>
      <c r="T24" s="544"/>
      <c r="U24" s="544"/>
      <c r="V24" s="544"/>
      <c r="W24" s="544"/>
      <c r="X24" s="544"/>
      <c r="Y24" s="544"/>
      <c r="Z24" s="544"/>
      <c r="AA24" s="544"/>
      <c r="AB24" s="544"/>
      <c r="AC24" s="544"/>
      <c r="AD24" s="544"/>
      <c r="AE24" s="544"/>
      <c r="AF24" s="544"/>
    </row>
    <row r="25" spans="1:32">
      <c r="A25" s="533"/>
      <c r="B25" s="534" t="s">
        <v>2052</v>
      </c>
      <c r="C25" s="535"/>
      <c r="D25" s="12"/>
      <c r="E25" s="13"/>
      <c r="F25" s="14"/>
      <c r="G25" s="544"/>
      <c r="H25" s="544"/>
      <c r="I25" s="544"/>
      <c r="J25" s="544"/>
      <c r="K25" s="544"/>
      <c r="L25" s="544"/>
      <c r="M25" s="544"/>
      <c r="N25" s="544"/>
      <c r="O25" s="544"/>
      <c r="P25" s="544"/>
      <c r="Q25" s="544"/>
      <c r="R25" s="544"/>
      <c r="S25" s="544"/>
      <c r="T25" s="544"/>
      <c r="U25" s="544"/>
      <c r="V25" s="544"/>
      <c r="W25" s="544"/>
      <c r="X25" s="544"/>
      <c r="Y25" s="544"/>
      <c r="Z25" s="544"/>
      <c r="AA25" s="544"/>
      <c r="AB25" s="544"/>
      <c r="AC25" s="544"/>
      <c r="AD25" s="544"/>
      <c r="AE25" s="544"/>
      <c r="AF25" s="544"/>
    </row>
    <row r="26" spans="1:32">
      <c r="A26" s="533"/>
      <c r="B26" s="534" t="s">
        <v>2053</v>
      </c>
      <c r="C26" s="535"/>
      <c r="D26" s="12" t="s">
        <v>742</v>
      </c>
      <c r="E26" s="13">
        <v>317</v>
      </c>
      <c r="F26" s="14" t="str">
        <f>VLOOKUP($E$26,[1]ON!$A$2:$FA$37, 3, FALSE)</f>
        <v xml:space="preserve">317  Non-residential construction and civil engineering                              </v>
      </c>
      <c r="G26" s="544">
        <f>IF(VLOOKUP($E$26,[1]ON!$A$2:$FA$37, 6, FALSE)="",":",VLOOKUP($E$26,[1]ON!$A$2:$FA$37, 6, FALSE))</f>
        <v>1311.5943202225908</v>
      </c>
      <c r="H26" s="544">
        <f>IF(VLOOKUP($E$26,[1]ON!$A$2:$FA$37, 7, FALSE)="",":",VLOOKUP($E$26,[1]ON!$A$2:$FA$37, 7, FALSE))</f>
        <v>1342.0618084337052</v>
      </c>
      <c r="I26" s="544">
        <f>IF(VLOOKUP($E$26,[1]ON!$A$2:$FA$37, 8, FALSE)="",":",VLOOKUP($E$26,[1]ON!$A$2:$FA$37, 8, FALSE))</f>
        <v>1685.2078551433667</v>
      </c>
      <c r="J26" s="544">
        <f>IF(VLOOKUP($E$26,[1]ON!$A$2:$FA$37, 9, FALSE)="",":",VLOOKUP($E$26,[1]ON!$A$2:$FA$37, 9, FALSE))</f>
        <v>2172.6808052469687</v>
      </c>
      <c r="K26" s="544">
        <f>IF(VLOOKUP($E$26,[1]ON!$A$2:$FA$37, 10, FALSE)="",":",VLOOKUP($E$26,[1]ON!$A$2:$FA$37, 10, FALSE))</f>
        <v>1966.0981301418369</v>
      </c>
      <c r="L26" s="544">
        <f>IF(VLOOKUP($E$26,[1]ON!$A$2:$FA$37, 11, FALSE)="",":",VLOOKUP($E$26,[1]ON!$A$2:$FA$37, 11, FALSE))</f>
        <v>1559.3823777062491</v>
      </c>
      <c r="M26" s="544">
        <f>IF(VLOOKUP($E$26,[1]ON!$A$2:$FA$37, 12, FALSE)="",":",VLOOKUP($E$26,[1]ON!$A$2:$FA$37, 12, FALSE))</f>
        <v>1734.7496857093734</v>
      </c>
      <c r="N26" s="544">
        <f>IF(VLOOKUP($E$26,[1]ON!$A$2:$FA$37, 13, FALSE)="",":",VLOOKUP($E$26,[1]ON!$A$2:$FA$37, 13, FALSE))</f>
        <v>1996.798901676716</v>
      </c>
      <c r="O26" s="544">
        <f>IF(VLOOKUP($E$26,[1]ON!$A$2:$FA$37, 14, FALSE)="",":",VLOOKUP($E$26,[1]ON!$A$2:$FA$37, 14, FALSE))</f>
        <v>2405.8783630839803</v>
      </c>
      <c r="P26" s="544">
        <f>IF(VLOOKUP($E$26,[1]ON!$A$2:$FA$37, 15, FALSE)="",":",VLOOKUP($E$26,[1]ON!$A$2:$FA$37, 15, FALSE))</f>
        <v>2354.38</v>
      </c>
      <c r="Q26" s="544">
        <f>IF(VLOOKUP($E$26,[1]ON!$A$2:$FA$37, 16, FALSE)="",":",VLOOKUP($E$26,[1]ON!$A$2:$FA$37, 16, FALSE))</f>
        <v>2681.14</v>
      </c>
      <c r="R26" s="544">
        <f>IF(VLOOKUP($E$26,[1]ON!$A$2:$FA$37, 17, FALSE)="",":",VLOOKUP($E$26,[1]ON!$A$2:$FA$37, 17, FALSE))</f>
        <v>3276.64</v>
      </c>
      <c r="S26" s="544">
        <f>IF(VLOOKUP($E$26,[1]ON!$A$2:$FA$37, 18, FALSE)="",":",VLOOKUP($E$26,[1]ON!$A$2:$FA$37, 18, FALSE))</f>
        <v>4024.31</v>
      </c>
      <c r="T26" s="544">
        <f>IF(VLOOKUP($E$26,[1]ON!$A$2:$FA$37, 19, FALSE)="",":",VLOOKUP($E$26,[1]ON!$A$2:$FA$37, 19, FALSE))</f>
        <v>3865.75</v>
      </c>
      <c r="U26" s="544">
        <f>IF(VLOOKUP($E$26,[1]ON!$A$2:$FA$37, 20, FALSE)="",":",VLOOKUP($E$26,[1]ON!$A$2:$FA$37, 20, FALSE))</f>
        <v>2147.7399999999998</v>
      </c>
      <c r="V26" s="544">
        <f>IF(VLOOKUP($E$26,[1]ON!$A$2:$FA$37, 21, FALSE)="",":",VLOOKUP($E$26,[1]ON!$A$2:$FA$37, 21, FALSE))</f>
        <v>2183.91</v>
      </c>
      <c r="W26" s="544">
        <f>IF(VLOOKUP($E$26,[1]ON!$A$2:$FA$37, 22, FALSE)="",":",VLOOKUP($E$26,[1]ON!$A$2:$FA$37, 22, FALSE))</f>
        <v>2579.3200000000002</v>
      </c>
      <c r="X26" s="544">
        <f>IF(VLOOKUP($E$26,[1]ON!$A$2:$FA$37, 23, FALSE)="",":",VLOOKUP($E$26,[1]ON!$A$2:$FA$37, 23, FALSE))</f>
        <v>2427.9299999999998</v>
      </c>
      <c r="Y26" s="544">
        <f>IF(VLOOKUP($E$26,[1]ON!$A$2:$FA$37, 24, FALSE)="",":",VLOOKUP($E$26,[1]ON!$A$2:$FA$37, 24, FALSE))</f>
        <v>2600.54</v>
      </c>
      <c r="Z26" s="544">
        <f>IF(VLOOKUP($E$26,[1]ON!$A$2:$FA$37, 25, FALSE)="",":",VLOOKUP($E$26,[1]ON!$A$2:$FA$37, 25, FALSE))</f>
        <v>2761.86</v>
      </c>
      <c r="AA26" s="544">
        <f>IF(VLOOKUP($E$26,[1]ON!$A$2:$FA$37, 26, FALSE)="",":",VLOOKUP($E$26,[1]ON!$A$2:$FA$37, 26, FALSE))</f>
        <v>2646.08</v>
      </c>
      <c r="AB26" s="544">
        <f>IF(VLOOKUP($E$26,[1]ON!$A$2:$FA$37, 27, FALSE)="",":",VLOOKUP($E$26,[1]ON!$A$2:$FA$37, 27, FALSE))</f>
        <v>2348.44</v>
      </c>
      <c r="AC26" s="544">
        <f>IF(VLOOKUP($E$26,[1]ON!$A$2:$FA$37, 28, FALSE)="",":",VLOOKUP($E$26,[1]ON!$A$2:$FA$37, 28, FALSE))</f>
        <v>2549.96</v>
      </c>
      <c r="AD26" s="544" t="str">
        <f>IF(VLOOKUP($E$26,[1]ON!$A$2:$FA$37, 29, FALSE)="",":",VLOOKUP($E$26,[1]ON!$A$2:$FA$37, 29, FALSE))</f>
        <v>:</v>
      </c>
      <c r="AE26" s="544" t="str">
        <f>IF(VLOOKUP($E$26,[1]ON!$A$2:$FA$37, 30, FALSE)="",":",VLOOKUP($E$26,[1]ON!$A$2:$FA$37, 30, FALSE))</f>
        <v>:</v>
      </c>
      <c r="AF26" s="544" t="str">
        <f>IF(VLOOKUP($E$26,[1]ON!$A$2:$FA$37, 31, FALSE)="",":",VLOOKUP($E$26,[1]ON!$A$2:$FA$37, 31, FALSE))</f>
        <v>:</v>
      </c>
    </row>
    <row r="27" spans="1:32">
      <c r="A27" s="533">
        <v>31</v>
      </c>
      <c r="B27" s="534" t="s">
        <v>2054</v>
      </c>
      <c r="C27" s="535"/>
      <c r="D27" s="12" t="s">
        <v>742</v>
      </c>
      <c r="E27" s="13">
        <v>316</v>
      </c>
      <c r="F27" s="14" t="str">
        <f>VLOOKUP($E$27,[1]ON!$A$2:$FA$37, 3, FALSE)</f>
        <v xml:space="preserve">316  Dwellings                                                                       </v>
      </c>
      <c r="G27" s="544">
        <f>IF(VLOOKUP($E$27,[1]ON!$A$2:$FA$37, 6, FALSE)="",":",VLOOKUP($E$27,[1]ON!$A$2:$FA$37, 6, FALSE))</f>
        <v>324.95167570905744</v>
      </c>
      <c r="H27" s="544">
        <f>IF(VLOOKUP($E$27,[1]ON!$A$2:$FA$37, 7, FALSE)="",":",VLOOKUP($E$27,[1]ON!$A$2:$FA$37, 7, FALSE))</f>
        <v>328.60923241274651</v>
      </c>
      <c r="I27" s="544">
        <f>IF(VLOOKUP($E$27,[1]ON!$A$2:$FA$37, 8, FALSE)="",":",VLOOKUP($E$27,[1]ON!$A$2:$FA$37, 8, FALSE))</f>
        <v>291.51257971117423</v>
      </c>
      <c r="J27" s="544">
        <f>IF(VLOOKUP($E$27,[1]ON!$A$2:$FA$37, 9, FALSE)="",":",VLOOKUP($E$27,[1]ON!$A$2:$FA$37, 9, FALSE))</f>
        <v>272.87298039364447</v>
      </c>
      <c r="K27" s="544">
        <f>IF(VLOOKUP($E$27,[1]ON!$A$2:$FA$37, 10, FALSE)="",":",VLOOKUP($E$27,[1]ON!$A$2:$FA$37, 10, FALSE))</f>
        <v>288.73456250519627</v>
      </c>
      <c r="L27" s="544">
        <f>IF(VLOOKUP($E$27,[1]ON!$A$2:$FA$37, 11, FALSE)="",":",VLOOKUP($E$27,[1]ON!$A$2:$FA$37, 11, FALSE))</f>
        <v>315.69161835579746</v>
      </c>
      <c r="M27" s="544">
        <f>IF(VLOOKUP($E$27,[1]ON!$A$2:$FA$37, 12, FALSE)="",":",VLOOKUP($E$27,[1]ON!$A$2:$FA$37, 12, FALSE))</f>
        <v>304.4567459039032</v>
      </c>
      <c r="N27" s="544">
        <f>IF(VLOOKUP($E$27,[1]ON!$A$2:$FA$37, 13, FALSE)="",":",VLOOKUP($E$27,[1]ON!$A$2:$FA$37, 13, FALSE))</f>
        <v>273.15841585327905</v>
      </c>
      <c r="O27" s="544">
        <f>IF(VLOOKUP($E$27,[1]ON!$A$2:$FA$37, 14, FALSE)="",":",VLOOKUP($E$27,[1]ON!$A$2:$FA$37, 14, FALSE))</f>
        <v>312.46553385853275</v>
      </c>
      <c r="P27" s="544">
        <f>IF(VLOOKUP($E$27,[1]ON!$A$2:$FA$37, 15, FALSE)="",":",VLOOKUP($E$27,[1]ON!$A$2:$FA$37, 15, FALSE))</f>
        <v>520.55999999999995</v>
      </c>
      <c r="Q27" s="544">
        <f>IF(VLOOKUP($E$27,[1]ON!$A$2:$FA$37, 16, FALSE)="",":",VLOOKUP($E$27,[1]ON!$A$2:$FA$37, 16, FALSE))</f>
        <v>520.45000000000005</v>
      </c>
      <c r="R27" s="544">
        <f>IF(VLOOKUP($E$27,[1]ON!$A$2:$FA$37, 17, FALSE)="",":",VLOOKUP($E$27,[1]ON!$A$2:$FA$37, 17, FALSE))</f>
        <v>630.64</v>
      </c>
      <c r="S27" s="544">
        <f>IF(VLOOKUP($E$27,[1]ON!$A$2:$FA$37, 18, FALSE)="",":",VLOOKUP($E$27,[1]ON!$A$2:$FA$37, 18, FALSE))</f>
        <v>724.47</v>
      </c>
      <c r="T27" s="544">
        <f>IF(VLOOKUP($E$27,[1]ON!$A$2:$FA$37, 19, FALSE)="",":",VLOOKUP($E$27,[1]ON!$A$2:$FA$37, 19, FALSE))</f>
        <v>900.62</v>
      </c>
      <c r="U27" s="544">
        <f>IF(VLOOKUP($E$27,[1]ON!$A$2:$FA$37, 20, FALSE)="",":",VLOOKUP($E$27,[1]ON!$A$2:$FA$37, 20, FALSE))</f>
        <v>836.04</v>
      </c>
      <c r="V27" s="544">
        <f>IF(VLOOKUP($E$27,[1]ON!$A$2:$FA$37, 21, FALSE)="",":",VLOOKUP($E$27,[1]ON!$A$2:$FA$37, 21, FALSE))</f>
        <v>588.1</v>
      </c>
      <c r="W27" s="544">
        <f>IF(VLOOKUP($E$27,[1]ON!$A$2:$FA$37, 22, FALSE)="",":",VLOOKUP($E$27,[1]ON!$A$2:$FA$37, 22, FALSE))</f>
        <v>593.86</v>
      </c>
      <c r="X27" s="544">
        <f>IF(VLOOKUP($E$27,[1]ON!$A$2:$FA$37, 23, FALSE)="",":",VLOOKUP($E$27,[1]ON!$A$2:$FA$37, 23, FALSE))</f>
        <v>607.25</v>
      </c>
      <c r="Y27" s="544">
        <f>IF(VLOOKUP($E$27,[1]ON!$A$2:$FA$37, 24, FALSE)="",":",VLOOKUP($E$27,[1]ON!$A$2:$FA$37, 24, FALSE))</f>
        <v>677.23</v>
      </c>
      <c r="Z27" s="544">
        <f>IF(VLOOKUP($E$27,[1]ON!$A$2:$FA$37, 25, FALSE)="",":",VLOOKUP($E$27,[1]ON!$A$2:$FA$37, 25, FALSE))</f>
        <v>791.8</v>
      </c>
      <c r="AA27" s="544">
        <f>IF(VLOOKUP($E$27,[1]ON!$A$2:$FA$37, 26, FALSE)="",":",VLOOKUP($E$27,[1]ON!$A$2:$FA$37, 26, FALSE))</f>
        <v>909.68</v>
      </c>
      <c r="AB27" s="544">
        <f>IF(VLOOKUP($E$27,[1]ON!$A$2:$FA$37, 27, FALSE)="",":",VLOOKUP($E$27,[1]ON!$A$2:$FA$37, 27, FALSE))</f>
        <v>971.32</v>
      </c>
      <c r="AC27" s="544">
        <f>IF(VLOOKUP($E$27,[1]ON!$A$2:$FA$37, 28, FALSE)="",":",VLOOKUP($E$27,[1]ON!$A$2:$FA$37, 28, FALSE))</f>
        <v>926.55</v>
      </c>
      <c r="AD27" s="544" t="str">
        <f>IF(VLOOKUP($E$27,[1]ON!$A$2:$FA$37, 29, FALSE)="",":",VLOOKUP($E$27,[1]ON!$A$2:$FA$37, 29, FALSE))</f>
        <v>:</v>
      </c>
      <c r="AE27" s="544" t="str">
        <f>IF(VLOOKUP($E$27,[1]ON!$A$2:$FA$37, 30, FALSE)="",":",VLOOKUP($E$27,[1]ON!$A$2:$FA$37, 30, FALSE))</f>
        <v>:</v>
      </c>
      <c r="AF27" s="544" t="str">
        <f>IF(VLOOKUP($E$27,[1]ON!$A$2:$FA$37, 31, FALSE)="",":",VLOOKUP($E$27,[1]ON!$A$2:$FA$37, 31, FALSE))</f>
        <v>:</v>
      </c>
    </row>
    <row r="28" spans="1:32">
      <c r="A28" s="533">
        <v>4</v>
      </c>
      <c r="B28" s="534" t="s">
        <v>1306</v>
      </c>
      <c r="C28" s="535"/>
      <c r="D28" s="12" t="s">
        <v>742</v>
      </c>
      <c r="E28" s="13">
        <v>315</v>
      </c>
      <c r="F28" s="14" t="str">
        <f>VLOOKUP($E$28,[1]ON!$A$2:$FA$37, 3, FALSE)</f>
        <v xml:space="preserve">315  Construction                                                                    </v>
      </c>
      <c r="G28" s="544">
        <f>IF(VLOOKUP($E$28,[1]ON!$A$2:$FA$37, 6, FALSE)="",":",VLOOKUP($E$28,[1]ON!$A$2:$FA$37, 6, FALSE))</f>
        <v>1619.0095588807721</v>
      </c>
      <c r="H28" s="544">
        <f>IF(VLOOKUP($E$28,[1]ON!$A$2:$FA$37, 7, FALSE)="",":",VLOOKUP($E$28,[1]ON!$A$2:$FA$37, 7, FALSE))</f>
        <v>1652.9379548483159</v>
      </c>
      <c r="I28" s="544">
        <f>IF(VLOOKUP($E$28,[1]ON!$A$2:$FA$37, 8, FALSE)="",":",VLOOKUP($E$28,[1]ON!$A$2:$FA$37, 8, FALSE))</f>
        <v>1959.3138492375815</v>
      </c>
      <c r="J28" s="544">
        <f>IF(VLOOKUP($E$28,[1]ON!$A$2:$FA$37, 9, FALSE)="",":",VLOOKUP($E$28,[1]ON!$A$2:$FA$37, 9, FALSE))</f>
        <v>2424.56741028839</v>
      </c>
      <c r="K28" s="544">
        <f>IF(VLOOKUP($E$28,[1]ON!$A$2:$FA$37, 10, FALSE)="",":",VLOOKUP($E$28,[1]ON!$A$2:$FA$37, 10, FALSE))</f>
        <v>2235.8684505520268</v>
      </c>
      <c r="L28" s="544">
        <f>IF(VLOOKUP($E$28,[1]ON!$A$2:$FA$37, 11, FALSE)="",":",VLOOKUP($E$28,[1]ON!$A$2:$FA$37, 11, FALSE))</f>
        <v>1860.533685773358</v>
      </c>
      <c r="M28" s="544">
        <f>IF(VLOOKUP($E$28,[1]ON!$A$2:$FA$37, 12, FALSE)="",":",VLOOKUP($E$28,[1]ON!$A$2:$FA$37, 12, FALSE))</f>
        <v>2022.9319395980099</v>
      </c>
      <c r="N28" s="544">
        <f>IF(VLOOKUP($E$28,[1]ON!$A$2:$FA$37, 13, FALSE)="",":",VLOOKUP($E$28,[1]ON!$A$2:$FA$37, 13, FALSE))</f>
        <v>2251.5572021803246</v>
      </c>
      <c r="O28" s="544">
        <f>IF(VLOOKUP($E$28,[1]ON!$A$2:$FA$37, 14, FALSE)="",":",VLOOKUP($E$28,[1]ON!$A$2:$FA$37, 14, FALSE))</f>
        <v>2696.193274199507</v>
      </c>
      <c r="P28" s="544">
        <f>IF(VLOOKUP($E$28,[1]ON!$A$2:$FA$37, 15, FALSE)="",":",VLOOKUP($E$28,[1]ON!$A$2:$FA$37, 15, FALSE))</f>
        <v>2853.3896</v>
      </c>
      <c r="Q28" s="544">
        <f>IF(VLOOKUP($E$28,[1]ON!$A$2:$FA$37, 16, FALSE)="",":",VLOOKUP($E$28,[1]ON!$A$2:$FA$37, 16, FALSE))</f>
        <v>3176.4906599999999</v>
      </c>
      <c r="R28" s="544">
        <f>IF(VLOOKUP($E$28,[1]ON!$A$2:$FA$37, 17, FALSE)="",":",VLOOKUP($E$28,[1]ON!$A$2:$FA$37, 17, FALSE))</f>
        <v>3876.5144100000002</v>
      </c>
      <c r="S28" s="544">
        <f>IF(VLOOKUP($E$28,[1]ON!$A$2:$FA$37, 18, FALSE)="",":",VLOOKUP($E$28,[1]ON!$A$2:$FA$37, 18, FALSE))</f>
        <v>4709.7032799999997</v>
      </c>
      <c r="T28" s="544">
        <f>IF(VLOOKUP($E$28,[1]ON!$A$2:$FA$37, 19, FALSE)="",":",VLOOKUP($E$28,[1]ON!$A$2:$FA$37, 19, FALSE))</f>
        <v>4739.0964299999996</v>
      </c>
      <c r="U28" s="544">
        <f>IF(VLOOKUP($E$28,[1]ON!$A$2:$FA$37, 20, FALSE)="",":",VLOOKUP($E$28,[1]ON!$A$2:$FA$37, 20, FALSE))</f>
        <v>2985.3189600000001</v>
      </c>
      <c r="V28" s="544">
        <f>IF(VLOOKUP($E$28,[1]ON!$A$2:$FA$37, 21, FALSE)="",":",VLOOKUP($E$28,[1]ON!$A$2:$FA$37, 21, FALSE))</f>
        <v>2772.01</v>
      </c>
      <c r="W28" s="544">
        <f>IF(VLOOKUP($E$28,[1]ON!$A$2:$FA$37, 22, FALSE)="",":",VLOOKUP($E$28,[1]ON!$A$2:$FA$37, 22, FALSE))</f>
        <v>3173.18</v>
      </c>
      <c r="X28" s="544">
        <f>IF(VLOOKUP($E$28,[1]ON!$A$2:$FA$37, 23, FALSE)="",":",VLOOKUP($E$28,[1]ON!$A$2:$FA$37, 23, FALSE))</f>
        <v>3035.11582</v>
      </c>
      <c r="Y28" s="544">
        <f>IF(VLOOKUP($E$28,[1]ON!$A$2:$FA$37, 24, FALSE)="",":",VLOOKUP($E$28,[1]ON!$A$2:$FA$37, 24, FALSE))</f>
        <v>3277.5326599999999</v>
      </c>
      <c r="Z28" s="544">
        <f>IF(VLOOKUP($E$28,[1]ON!$A$2:$FA$37, 25, FALSE)="",":",VLOOKUP($E$28,[1]ON!$A$2:$FA$37, 25, FALSE))</f>
        <v>3553.2021599999998</v>
      </c>
      <c r="AA28" s="544">
        <f>IF(VLOOKUP($E$28,[1]ON!$A$2:$FA$37, 26, FALSE)="",":",VLOOKUP($E$28,[1]ON!$A$2:$FA$37, 26, FALSE))</f>
        <v>3556.15389</v>
      </c>
      <c r="AB28" s="544">
        <f>IF(VLOOKUP($E$28,[1]ON!$A$2:$FA$37, 27, FALSE)="",":",VLOOKUP($E$28,[1]ON!$A$2:$FA$37, 27, FALSE))</f>
        <v>3320.9174499999999</v>
      </c>
      <c r="AC28" s="544">
        <f>IF(VLOOKUP($E$28,[1]ON!$A$2:$FA$37, 28, FALSE)="",":",VLOOKUP($E$28,[1]ON!$A$2:$FA$37, 28, FALSE))</f>
        <v>3471.56603</v>
      </c>
      <c r="AD28" s="544" t="str">
        <f>IF(VLOOKUP($E$28,[1]ON!$A$2:$FA$37, 29, FALSE)="",":",VLOOKUP($E$28,[1]ON!$A$2:$FA$37, 29, FALSE))</f>
        <v>:</v>
      </c>
      <c r="AE28" s="544" t="str">
        <f>IF(VLOOKUP($E$28,[1]ON!$A$2:$FA$37, 30, FALSE)="",":",VLOOKUP($E$28,[1]ON!$A$2:$FA$37, 30, FALSE))</f>
        <v>:</v>
      </c>
      <c r="AF28" s="544" t="str">
        <f>IF(VLOOKUP($E$28,[1]ON!$A$2:$FA$37, 31, FALSE)="",":",VLOOKUP($E$28,[1]ON!$A$2:$FA$37, 31, FALSE))</f>
        <v>:</v>
      </c>
    </row>
    <row r="29" spans="1:32">
      <c r="A29" s="533"/>
      <c r="B29" s="534"/>
      <c r="C29" s="535"/>
      <c r="D29" s="12"/>
      <c r="E29" s="13"/>
      <c r="F29" s="14"/>
      <c r="G29" s="544"/>
      <c r="H29" s="544"/>
      <c r="I29" s="544"/>
      <c r="J29" s="544"/>
      <c r="K29" s="544"/>
      <c r="L29" s="544"/>
      <c r="M29" s="544"/>
      <c r="N29" s="544"/>
      <c r="O29" s="544"/>
      <c r="P29" s="544"/>
      <c r="Q29" s="544"/>
      <c r="R29" s="544"/>
      <c r="S29" s="544"/>
      <c r="T29" s="544"/>
      <c r="U29" s="544"/>
      <c r="V29" s="544"/>
      <c r="W29" s="544"/>
      <c r="X29" s="544"/>
      <c r="Y29" s="544"/>
      <c r="Z29" s="544"/>
      <c r="AA29" s="544"/>
      <c r="AB29" s="544"/>
      <c r="AC29" s="544"/>
      <c r="AD29" s="544"/>
      <c r="AE29" s="544"/>
      <c r="AF29" s="544"/>
    </row>
    <row r="30" spans="1:32">
      <c r="A30" s="533"/>
      <c r="B30" s="534" t="s">
        <v>2055</v>
      </c>
      <c r="C30" s="535"/>
      <c r="D30" s="12"/>
      <c r="E30" s="13"/>
      <c r="F30" s="14"/>
      <c r="G30" s="544"/>
      <c r="H30" s="544"/>
      <c r="I30" s="544"/>
      <c r="J30" s="544"/>
      <c r="K30" s="544"/>
      <c r="L30" s="544"/>
      <c r="M30" s="544"/>
      <c r="N30" s="544"/>
      <c r="O30" s="544"/>
      <c r="P30" s="544"/>
      <c r="Q30" s="544"/>
      <c r="R30" s="544"/>
      <c r="S30" s="544"/>
      <c r="T30" s="544"/>
      <c r="U30" s="544"/>
      <c r="V30" s="544"/>
      <c r="W30" s="544"/>
      <c r="X30" s="544"/>
      <c r="Y30" s="544"/>
      <c r="Z30" s="544"/>
      <c r="AA30" s="544"/>
      <c r="AB30" s="544"/>
      <c r="AC30" s="544"/>
      <c r="AD30" s="544"/>
      <c r="AE30" s="544"/>
      <c r="AF30" s="544"/>
    </row>
    <row r="31" spans="1:32">
      <c r="A31" s="533"/>
      <c r="B31" s="534" t="s">
        <v>2056</v>
      </c>
      <c r="C31" s="535"/>
      <c r="D31" s="12"/>
      <c r="E31" s="13"/>
      <c r="F31" s="14"/>
      <c r="G31" s="544"/>
      <c r="H31" s="544"/>
      <c r="I31" s="544"/>
      <c r="J31" s="544"/>
      <c r="K31" s="544"/>
      <c r="L31" s="544"/>
      <c r="M31" s="544"/>
      <c r="N31" s="544"/>
      <c r="O31" s="544"/>
      <c r="P31" s="544"/>
      <c r="Q31" s="544"/>
      <c r="R31" s="544"/>
      <c r="S31" s="544"/>
      <c r="T31" s="544"/>
      <c r="U31" s="544"/>
      <c r="V31" s="544"/>
      <c r="W31" s="544"/>
      <c r="X31" s="544"/>
      <c r="Y31" s="544"/>
      <c r="Z31" s="544"/>
      <c r="AA31" s="544"/>
      <c r="AB31" s="544"/>
      <c r="AC31" s="544"/>
      <c r="AD31" s="544"/>
      <c r="AE31" s="544"/>
      <c r="AF31" s="544"/>
    </row>
    <row r="32" spans="1:32">
      <c r="A32" s="533">
        <v>5</v>
      </c>
      <c r="B32" s="534" t="s">
        <v>2057</v>
      </c>
      <c r="C32" s="535"/>
      <c r="D32" s="12" t="s">
        <v>742</v>
      </c>
      <c r="E32" s="13">
        <v>312</v>
      </c>
      <c r="F32" s="14" t="str">
        <f>VLOOKUP($E$32,[1]ON!$A$2:$FA$37, 3, FALSE)</f>
        <v xml:space="preserve">312  Equipment                                                                       </v>
      </c>
      <c r="G32" s="544">
        <f>IF(VLOOKUP($E$32,[1]ON!$A$2:$FA$37, 6, FALSE)="",":",VLOOKUP($E$32,[1]ON!$A$2:$FA$37, 6, FALSE))</f>
        <v>381.56592608430952</v>
      </c>
      <c r="H32" s="544">
        <f>IF(VLOOKUP($E$32,[1]ON!$A$2:$FA$37, 7, FALSE)="",":",VLOOKUP($E$32,[1]ON!$A$2:$FA$37, 7, FALSE))</f>
        <v>580.96263770138626</v>
      </c>
      <c r="I32" s="544">
        <f>IF(VLOOKUP($E$32,[1]ON!$A$2:$FA$37, 8, FALSE)="",":",VLOOKUP($E$32,[1]ON!$A$2:$FA$37, 8, FALSE))</f>
        <v>790.30878799724428</v>
      </c>
      <c r="J32" s="544">
        <f>IF(VLOOKUP($E$32,[1]ON!$A$2:$FA$37, 9, FALSE)="",":",VLOOKUP($E$32,[1]ON!$A$2:$FA$37, 9, FALSE))</f>
        <v>940.76973320196794</v>
      </c>
      <c r="K32" s="544">
        <f>IF(VLOOKUP($E$32,[1]ON!$A$2:$FA$37, 10, FALSE)="",":",VLOOKUP($E$32,[1]ON!$A$2:$FA$37, 10, FALSE))</f>
        <v>906.11563093673044</v>
      </c>
      <c r="L32" s="544">
        <f>IF(VLOOKUP($E$32,[1]ON!$A$2:$FA$37, 11, FALSE)="",":",VLOOKUP($E$32,[1]ON!$A$2:$FA$37, 11, FALSE))</f>
        <v>885.18725960142831</v>
      </c>
      <c r="M32" s="544">
        <f>IF(VLOOKUP($E$32,[1]ON!$A$2:$FA$37, 12, FALSE)="",":",VLOOKUP($E$32,[1]ON!$A$2:$FA$37, 12, FALSE))</f>
        <v>1090.8286114701734</v>
      </c>
      <c r="N32" s="544">
        <f>IF(VLOOKUP($E$32,[1]ON!$A$2:$FA$37, 13, FALSE)="",":",VLOOKUP($E$32,[1]ON!$A$2:$FA$37, 13, FALSE))</f>
        <v>1201.6812946178161</v>
      </c>
      <c r="O32" s="544">
        <f>IF(VLOOKUP($E$32,[1]ON!$A$2:$FA$37, 14, FALSE)="",":",VLOOKUP($E$32,[1]ON!$A$2:$FA$37, 14, FALSE))</f>
        <v>1283.0974019518255</v>
      </c>
      <c r="P32" s="544">
        <f>IF(VLOOKUP($E$32,[1]ON!$A$2:$FA$37, 15, FALSE)="",":",VLOOKUP($E$32,[1]ON!$A$2:$FA$37, 15, FALSE))</f>
        <v>1698.43</v>
      </c>
      <c r="Q32" s="544">
        <f>IF(VLOOKUP($E$32,[1]ON!$A$2:$FA$37, 16, FALSE)="",":",VLOOKUP($E$32,[1]ON!$A$2:$FA$37, 16, FALSE))</f>
        <v>1903.1</v>
      </c>
      <c r="R32" s="544">
        <f>IF(VLOOKUP($E$32,[1]ON!$A$2:$FA$37, 17, FALSE)="",":",VLOOKUP($E$32,[1]ON!$A$2:$FA$37, 17, FALSE))</f>
        <v>2227.62</v>
      </c>
      <c r="S32" s="544">
        <f>IF(VLOOKUP($E$32,[1]ON!$A$2:$FA$37, 18, FALSE)="",":",VLOOKUP($E$32,[1]ON!$A$2:$FA$37, 18, FALSE))</f>
        <v>2744.57</v>
      </c>
      <c r="T32" s="544">
        <f>IF(VLOOKUP($E$32,[1]ON!$A$2:$FA$37, 19, FALSE)="",":",VLOOKUP($E$32,[1]ON!$A$2:$FA$37, 19, FALSE))</f>
        <v>2265.41</v>
      </c>
      <c r="U32" s="544">
        <f>IF(VLOOKUP($E$32,[1]ON!$A$2:$FA$37, 20, FALSE)="",":",VLOOKUP($E$32,[1]ON!$A$2:$FA$37, 20, FALSE))</f>
        <v>1135.6300000000001</v>
      </c>
      <c r="V32" s="544">
        <f>IF(VLOOKUP($E$32,[1]ON!$A$2:$FA$37, 21, FALSE)="",":",VLOOKUP($E$32,[1]ON!$A$2:$FA$37, 21, FALSE))</f>
        <v>1370.85</v>
      </c>
      <c r="W32" s="544">
        <f>IF(VLOOKUP($E$32,[1]ON!$A$2:$FA$37, 22, FALSE)="",":",VLOOKUP($E$32,[1]ON!$A$2:$FA$37, 22, FALSE))</f>
        <v>1869.2</v>
      </c>
      <c r="X32" s="544">
        <f>IF(VLOOKUP($E$32,[1]ON!$A$2:$FA$37, 23, FALSE)="",":",VLOOKUP($E$32,[1]ON!$A$2:$FA$37, 23, FALSE))</f>
        <v>1908.38</v>
      </c>
      <c r="Y32" s="544">
        <f>IF(VLOOKUP($E$32,[1]ON!$A$2:$FA$37, 24, FALSE)="",":",VLOOKUP($E$32,[1]ON!$A$2:$FA$37, 24, FALSE))</f>
        <v>2144.04</v>
      </c>
      <c r="Z32" s="544">
        <f>IF(VLOOKUP($E$32,[1]ON!$A$2:$FA$37, 25, FALSE)="",":",VLOOKUP($E$32,[1]ON!$A$2:$FA$37, 25, FALSE))</f>
        <v>2139.5</v>
      </c>
      <c r="AA32" s="544">
        <f>IF(VLOOKUP($E$32,[1]ON!$A$2:$FA$37, 26, FALSE)="",":",VLOOKUP($E$32,[1]ON!$A$2:$FA$37, 26, FALSE))</f>
        <v>2425.91</v>
      </c>
      <c r="AB32" s="544">
        <f>IF(VLOOKUP($E$32,[1]ON!$A$2:$FA$37, 27, FALSE)="",":",VLOOKUP($E$32,[1]ON!$A$2:$FA$37, 27, FALSE))</f>
        <v>2643.64</v>
      </c>
      <c r="AC32" s="544">
        <f>IF(VLOOKUP($E$32,[1]ON!$A$2:$FA$37, 28, FALSE)="",":",VLOOKUP($E$32,[1]ON!$A$2:$FA$37, 28, FALSE))</f>
        <v>2878.11</v>
      </c>
      <c r="AD32" s="544" t="str">
        <f>IF(VLOOKUP($E$32,[1]ON!$A$2:$FA$37, 29, FALSE)="",":",VLOOKUP($E$32,[1]ON!$A$2:$FA$37, 29, FALSE))</f>
        <v>:</v>
      </c>
      <c r="AE32" s="544" t="str">
        <f>IF(VLOOKUP($E$32,[1]ON!$A$2:$FA$37, 30, FALSE)="",":",VLOOKUP($E$32,[1]ON!$A$2:$FA$37, 30, FALSE))</f>
        <v>:</v>
      </c>
      <c r="AF32" s="544" t="str">
        <f>IF(VLOOKUP($E$32,[1]ON!$A$2:$FA$37, 31, FALSE)="",":",VLOOKUP($E$32,[1]ON!$A$2:$FA$37, 31, FALSE))</f>
        <v>:</v>
      </c>
    </row>
    <row r="33" spans="1:32">
      <c r="A33" s="533"/>
      <c r="B33" s="534"/>
      <c r="C33" s="535"/>
      <c r="D33" s="12"/>
      <c r="E33" s="13"/>
      <c r="F33" s="14"/>
      <c r="G33" s="544"/>
      <c r="H33" s="544"/>
      <c r="I33" s="544"/>
      <c r="J33" s="544"/>
      <c r="K33" s="544"/>
      <c r="L33" s="544"/>
      <c r="M33" s="544"/>
      <c r="N33" s="544"/>
      <c r="O33" s="544"/>
      <c r="P33" s="544"/>
      <c r="Q33" s="544"/>
      <c r="R33" s="544"/>
      <c r="S33" s="544"/>
      <c r="T33" s="544"/>
      <c r="U33" s="544"/>
      <c r="V33" s="544"/>
      <c r="W33" s="544"/>
      <c r="X33" s="544"/>
      <c r="Y33" s="544"/>
      <c r="Z33" s="544"/>
      <c r="AA33" s="544"/>
      <c r="AB33" s="544"/>
      <c r="AC33" s="544"/>
      <c r="AD33" s="544"/>
      <c r="AE33" s="544"/>
      <c r="AF33" s="544"/>
    </row>
    <row r="34" spans="1:32">
      <c r="A34" s="533"/>
      <c r="B34" s="534" t="s">
        <v>2058</v>
      </c>
      <c r="C34" s="535"/>
      <c r="D34" s="12" t="s">
        <v>742</v>
      </c>
      <c r="E34" s="13">
        <v>311</v>
      </c>
      <c r="F34" s="14" t="str">
        <f>VLOOKUP($E$34,[1]ON!$A$2:$FA$37, 3, FALSE)</f>
        <v xml:space="preserve">311  Agricultural, forestry and fishery products                                     </v>
      </c>
      <c r="G34" s="544">
        <f>IF(VLOOKUP($E$34,[1]ON!$A$2:$FA$37, 6, FALSE)="",":",VLOOKUP($E$34,[1]ON!$A$2:$FA$37, 6, FALSE))</f>
        <v>140.23678356108084</v>
      </c>
      <c r="H34" s="544">
        <f>IF(VLOOKUP($E$34,[1]ON!$A$2:$FA$37, 7, FALSE)="",":",VLOOKUP($E$34,[1]ON!$A$2:$FA$37, 7, FALSE))</f>
        <v>134.67805579163669</v>
      </c>
      <c r="I34" s="544">
        <f>IF(VLOOKUP($E$34,[1]ON!$A$2:$FA$37, 8, FALSE)="",":",VLOOKUP($E$34,[1]ON!$A$2:$FA$37, 8, FALSE))</f>
        <v>133.62282012586047</v>
      </c>
      <c r="J34" s="544">
        <f>IF(VLOOKUP($E$34,[1]ON!$A$2:$FA$37, 9, FALSE)="",":",VLOOKUP($E$34,[1]ON!$A$2:$FA$37, 9, FALSE))</f>
        <v>123.73935602126785</v>
      </c>
      <c r="K34" s="544">
        <f>IF(VLOOKUP($E$34,[1]ON!$A$2:$FA$37, 10, FALSE)="",":",VLOOKUP($E$34,[1]ON!$A$2:$FA$37, 10, FALSE))</f>
        <v>113.89625612246995</v>
      </c>
      <c r="L34" s="544">
        <f>IF(VLOOKUP($E$34,[1]ON!$A$2:$FA$37, 11, FALSE)="",":",VLOOKUP($E$34,[1]ON!$A$2:$FA$37, 11, FALSE))</f>
        <v>98.898070512175067</v>
      </c>
      <c r="M34" s="544">
        <f>IF(VLOOKUP($E$34,[1]ON!$A$2:$FA$37, 12, FALSE)="",":",VLOOKUP($E$34,[1]ON!$A$2:$FA$37, 12, FALSE))</f>
        <v>105.09685925922119</v>
      </c>
      <c r="N34" s="544">
        <f>IF(VLOOKUP($E$34,[1]ON!$A$2:$FA$37, 13, FALSE)="",":",VLOOKUP($E$34,[1]ON!$A$2:$FA$37, 13, FALSE))</f>
        <v>108.21066942052809</v>
      </c>
      <c r="O34" s="544">
        <f>IF(VLOOKUP($E$34,[1]ON!$A$2:$FA$37, 14, FALSE)="",":",VLOOKUP($E$34,[1]ON!$A$2:$FA$37, 14, FALSE))</f>
        <v>112.76605836021781</v>
      </c>
      <c r="P34" s="544">
        <f>IF(VLOOKUP($E$34,[1]ON!$A$2:$FA$37, 15, FALSE)="",":",VLOOKUP($E$34,[1]ON!$A$2:$FA$37, 15, FALSE))</f>
        <v>112.26</v>
      </c>
      <c r="Q34" s="544">
        <f>IF(VLOOKUP($E$34,[1]ON!$A$2:$FA$37, 16, FALSE)="",":",VLOOKUP($E$34,[1]ON!$A$2:$FA$37, 16, FALSE))</f>
        <v>115.05</v>
      </c>
      <c r="R34" s="544">
        <f>IF(VLOOKUP($E$34,[1]ON!$A$2:$FA$37, 17, FALSE)="",":",VLOOKUP($E$34,[1]ON!$A$2:$FA$37, 17, FALSE))</f>
        <v>117.04</v>
      </c>
      <c r="S34" s="544">
        <f>IF(VLOOKUP($E$34,[1]ON!$A$2:$FA$37, 18, FALSE)="",":",VLOOKUP($E$34,[1]ON!$A$2:$FA$37, 18, FALSE))</f>
        <v>109.04</v>
      </c>
      <c r="T34" s="544">
        <f>IF(VLOOKUP($E$34,[1]ON!$A$2:$FA$37, 19, FALSE)="",":",VLOOKUP($E$34,[1]ON!$A$2:$FA$37, 19, FALSE))</f>
        <v>65.37</v>
      </c>
      <c r="U34" s="544">
        <f>IF(VLOOKUP($E$34,[1]ON!$A$2:$FA$37, 20, FALSE)="",":",VLOOKUP($E$34,[1]ON!$A$2:$FA$37, 20, FALSE))</f>
        <v>32.97</v>
      </c>
      <c r="V34" s="544">
        <f>IF(VLOOKUP($E$34,[1]ON!$A$2:$FA$37, 21, FALSE)="",":",VLOOKUP($E$34,[1]ON!$A$2:$FA$37, 21, FALSE))</f>
        <v>59.66</v>
      </c>
      <c r="W34" s="544">
        <f>IF(VLOOKUP($E$34,[1]ON!$A$2:$FA$37, 22, FALSE)="",":",VLOOKUP($E$34,[1]ON!$A$2:$FA$37, 22, FALSE))</f>
        <v>58.29</v>
      </c>
      <c r="X34" s="544">
        <f>IF(VLOOKUP($E$34,[1]ON!$A$2:$FA$37, 23, FALSE)="",":",VLOOKUP($E$34,[1]ON!$A$2:$FA$37, 23, FALSE))</f>
        <v>54.98</v>
      </c>
      <c r="Y34" s="544">
        <f>IF(VLOOKUP($E$34,[1]ON!$A$2:$FA$37, 24, FALSE)="",":",VLOOKUP($E$34,[1]ON!$A$2:$FA$37, 24, FALSE))</f>
        <v>48.51</v>
      </c>
      <c r="Z34" s="544">
        <f>IF(VLOOKUP($E$34,[1]ON!$A$2:$FA$37, 25, FALSE)="",":",VLOOKUP($E$34,[1]ON!$A$2:$FA$37, 25, FALSE))</f>
        <v>50.62</v>
      </c>
      <c r="AA34" s="544">
        <f>IF(VLOOKUP($E$34,[1]ON!$A$2:$FA$37, 26, FALSE)="",":",VLOOKUP($E$34,[1]ON!$A$2:$FA$37, 26, FALSE))</f>
        <v>55.69</v>
      </c>
      <c r="AB34" s="544">
        <f>IF(VLOOKUP($E$34,[1]ON!$A$2:$FA$37, 27, FALSE)="",":",VLOOKUP($E$34,[1]ON!$A$2:$FA$37, 27, FALSE))</f>
        <v>54.1</v>
      </c>
      <c r="AC34" s="544">
        <f>IF(VLOOKUP($E$34,[1]ON!$A$2:$FA$37, 28, FALSE)="",":",VLOOKUP($E$34,[1]ON!$A$2:$FA$37, 28, FALSE))</f>
        <v>56.63</v>
      </c>
      <c r="AD34" s="544" t="str">
        <f>IF(VLOOKUP($E$34,[1]ON!$A$2:$FA$37, 29, FALSE)="",":",VLOOKUP($E$34,[1]ON!$A$2:$FA$37, 29, FALSE))</f>
        <v>:</v>
      </c>
      <c r="AE34" s="544" t="str">
        <f>IF(VLOOKUP($E$34,[1]ON!$A$2:$FA$37, 30, FALSE)="",":",VLOOKUP($E$34,[1]ON!$A$2:$FA$37, 30, FALSE))</f>
        <v>:</v>
      </c>
      <c r="AF34" s="544" t="str">
        <f>IF(VLOOKUP($E$34,[1]ON!$A$2:$FA$37, 31, FALSE)="",":",VLOOKUP($E$34,[1]ON!$A$2:$FA$37, 31, FALSE))</f>
        <v>:</v>
      </c>
    </row>
    <row r="35" spans="1:32">
      <c r="A35" s="533"/>
      <c r="B35" s="534" t="s">
        <v>2059</v>
      </c>
      <c r="C35" s="535"/>
      <c r="D35" s="12" t="s">
        <v>742</v>
      </c>
      <c r="E35" s="13">
        <v>318</v>
      </c>
      <c r="F35" s="14" t="str">
        <f>VLOOKUP($E$35,[1]ON!$A$2:$FA$37, 3, FALSE)</f>
        <v xml:space="preserve">318  Other products                                                                  </v>
      </c>
      <c r="G35" s="544">
        <f>IF(VLOOKUP($E$35,[1]ON!$A$2:$FA$37, 6, FALSE)="",":",VLOOKUP($E$35,[1]ON!$A$2:$FA$37, 6, FALSE))</f>
        <v>38.472845355122395</v>
      </c>
      <c r="H35" s="544">
        <f>IF(VLOOKUP($E$35,[1]ON!$A$2:$FA$37, 7, FALSE)="",":",VLOOKUP($E$35,[1]ON!$A$2:$FA$37, 7, FALSE))</f>
        <v>56.543172909606461</v>
      </c>
      <c r="I35" s="544">
        <f>IF(VLOOKUP($E$35,[1]ON!$A$2:$FA$37, 8, FALSE)="",":",VLOOKUP($E$35,[1]ON!$A$2:$FA$37, 8, FALSE))</f>
        <v>79.918155092256498</v>
      </c>
      <c r="J35" s="544">
        <f>IF(VLOOKUP($E$35,[1]ON!$A$2:$FA$37, 9, FALSE)="",":",VLOOKUP($E$35,[1]ON!$A$2:$FA$37, 9, FALSE))</f>
        <v>97.056270044792697</v>
      </c>
      <c r="K35" s="544">
        <f>IF(VLOOKUP($E$35,[1]ON!$A$2:$FA$37, 10, FALSE)="",":",VLOOKUP($E$35,[1]ON!$A$2:$FA$37, 10, FALSE))</f>
        <v>99.385142808377751</v>
      </c>
      <c r="L35" s="544">
        <f>IF(VLOOKUP($E$35,[1]ON!$A$2:$FA$37, 11, FALSE)="",":",VLOOKUP($E$35,[1]ON!$A$2:$FA$37, 11, FALSE))</f>
        <v>217.92211248880184</v>
      </c>
      <c r="M35" s="544">
        <f>IF(VLOOKUP($E$35,[1]ON!$A$2:$FA$37, 12, FALSE)="",":",VLOOKUP($E$35,[1]ON!$A$2:$FA$37, 12, FALSE))</f>
        <v>197.13144922756604</v>
      </c>
      <c r="N35" s="544">
        <f>IF(VLOOKUP($E$35,[1]ON!$A$2:$FA$37, 13, FALSE)="",":",VLOOKUP($E$35,[1]ON!$A$2:$FA$37, 13, FALSE))</f>
        <v>219.41497964494613</v>
      </c>
      <c r="O35" s="544">
        <f>IF(VLOOKUP($E$35,[1]ON!$A$2:$FA$37, 14, FALSE)="",":",VLOOKUP($E$35,[1]ON!$A$2:$FA$37, 14, FALSE))</f>
        <v>222.60639787652565</v>
      </c>
      <c r="P35" s="544">
        <f>IF(VLOOKUP($E$35,[1]ON!$A$2:$FA$37, 15, FALSE)="",":",VLOOKUP($E$35,[1]ON!$A$2:$FA$37, 15, FALSE))</f>
        <v>242.18</v>
      </c>
      <c r="Q35" s="544">
        <f>IF(VLOOKUP($E$35,[1]ON!$A$2:$FA$37, 16, FALSE)="",":",VLOOKUP($E$35,[1]ON!$A$2:$FA$37, 16, FALSE))</f>
        <v>266.07</v>
      </c>
      <c r="R35" s="544">
        <f>IF(VLOOKUP($E$35,[1]ON!$A$2:$FA$37, 17, FALSE)="",":",VLOOKUP($E$35,[1]ON!$A$2:$FA$37, 17, FALSE))</f>
        <v>309.25</v>
      </c>
      <c r="S35" s="544">
        <f>IF(VLOOKUP($E$35,[1]ON!$A$2:$FA$37, 18, FALSE)="",":",VLOOKUP($E$35,[1]ON!$A$2:$FA$37, 18, FALSE))</f>
        <v>418.94</v>
      </c>
      <c r="T35" s="544">
        <f>IF(VLOOKUP($E$35,[1]ON!$A$2:$FA$37, 19, FALSE)="",":",VLOOKUP($E$35,[1]ON!$A$2:$FA$37, 19, FALSE))</f>
        <v>568.11</v>
      </c>
      <c r="U35" s="544">
        <f>IF(VLOOKUP($E$35,[1]ON!$A$2:$FA$37, 20, FALSE)="",":",VLOOKUP($E$35,[1]ON!$A$2:$FA$37, 20, FALSE))</f>
        <v>497.14</v>
      </c>
      <c r="V35" s="544">
        <f>IF(VLOOKUP($E$35,[1]ON!$A$2:$FA$37, 21, FALSE)="",":",VLOOKUP($E$35,[1]ON!$A$2:$FA$37, 21, FALSE))</f>
        <v>523.78</v>
      </c>
      <c r="W35" s="544">
        <f>IF(VLOOKUP($E$35,[1]ON!$A$2:$FA$37, 22, FALSE)="",":",VLOOKUP($E$35,[1]ON!$A$2:$FA$37, 22, FALSE))</f>
        <v>577.83000000000004</v>
      </c>
      <c r="X35" s="544">
        <f>IF(VLOOKUP($E$35,[1]ON!$A$2:$FA$37, 23, FALSE)="",":",VLOOKUP($E$35,[1]ON!$A$2:$FA$37, 23, FALSE))</f>
        <v>582.65</v>
      </c>
      <c r="Y35" s="544">
        <f>IF(VLOOKUP($E$35,[1]ON!$A$2:$FA$37, 24, FALSE)="",":",VLOOKUP($E$35,[1]ON!$A$2:$FA$37, 24, FALSE))</f>
        <v>564.02</v>
      </c>
      <c r="Z35" s="544">
        <f>IF(VLOOKUP($E$35,[1]ON!$A$2:$FA$37, 25, FALSE)="",":",VLOOKUP($E$35,[1]ON!$A$2:$FA$37, 25, FALSE))</f>
        <v>631.76</v>
      </c>
      <c r="AA35" s="544">
        <f>IF(VLOOKUP($E$35,[1]ON!$A$2:$FA$37, 26, FALSE)="",":",VLOOKUP($E$35,[1]ON!$A$2:$FA$37, 26, FALSE))</f>
        <v>667.75</v>
      </c>
      <c r="AB35" s="544">
        <f>IF(VLOOKUP($E$35,[1]ON!$A$2:$FA$37, 27, FALSE)="",":",VLOOKUP($E$35,[1]ON!$A$2:$FA$37, 27, FALSE))</f>
        <v>683.77</v>
      </c>
      <c r="AC35" s="544">
        <f>IF(VLOOKUP($E$35,[1]ON!$A$2:$FA$37, 28, FALSE)="",":",VLOOKUP($E$35,[1]ON!$A$2:$FA$37, 28, FALSE))</f>
        <v>795.38</v>
      </c>
      <c r="AD35" s="544" t="str">
        <f>IF(VLOOKUP($E$35,[1]ON!$A$2:$FA$37, 29, FALSE)="",":",VLOOKUP($E$35,[1]ON!$A$2:$FA$37, 29, FALSE))</f>
        <v>:</v>
      </c>
      <c r="AE35" s="544" t="str">
        <f>IF(VLOOKUP($E$35,[1]ON!$A$2:$FA$37, 30, FALSE)="",":",VLOOKUP($E$35,[1]ON!$A$2:$FA$37, 30, FALSE))</f>
        <v>:</v>
      </c>
      <c r="AF35" s="544" t="str">
        <f>IF(VLOOKUP($E$35,[1]ON!$A$2:$FA$37, 31, FALSE)="",":",VLOOKUP($E$35,[1]ON!$A$2:$FA$37, 31, FALSE))</f>
        <v>:</v>
      </c>
    </row>
    <row r="36" spans="1:32" s="540" customFormat="1">
      <c r="A36" s="1453">
        <v>6</v>
      </c>
      <c r="B36" s="537" t="s">
        <v>743</v>
      </c>
      <c r="C36" s="538"/>
      <c r="D36" s="528"/>
      <c r="E36" s="529"/>
      <c r="F36" s="539"/>
      <c r="G36" s="545">
        <f>+G34+G35</f>
        <v>178.70962891620323</v>
      </c>
      <c r="H36" s="545">
        <f t="shared" ref="H36:AF36" si="1">+H34+H35</f>
        <v>191.22122870124315</v>
      </c>
      <c r="I36" s="545">
        <f t="shared" si="1"/>
        <v>213.54097521811696</v>
      </c>
      <c r="J36" s="545">
        <f t="shared" si="1"/>
        <v>220.79562606606055</v>
      </c>
      <c r="K36" s="545">
        <f t="shared" si="1"/>
        <v>213.2813989308477</v>
      </c>
      <c r="L36" s="545">
        <f t="shared" si="1"/>
        <v>316.8201830009769</v>
      </c>
      <c r="M36" s="545">
        <f t="shared" si="1"/>
        <v>302.22830848678723</v>
      </c>
      <c r="N36" s="545">
        <f t="shared" si="1"/>
        <v>327.62564906547425</v>
      </c>
      <c r="O36" s="545">
        <f t="shared" si="1"/>
        <v>335.37245623674346</v>
      </c>
      <c r="P36" s="545">
        <f t="shared" si="1"/>
        <v>354.44</v>
      </c>
      <c r="Q36" s="545">
        <f t="shared" si="1"/>
        <v>381.12</v>
      </c>
      <c r="R36" s="545">
        <f t="shared" si="1"/>
        <v>426.29</v>
      </c>
      <c r="S36" s="545">
        <f t="shared" si="1"/>
        <v>527.98</v>
      </c>
      <c r="T36" s="545">
        <f t="shared" si="1"/>
        <v>633.48</v>
      </c>
      <c r="U36" s="545">
        <f t="shared" si="1"/>
        <v>530.11</v>
      </c>
      <c r="V36" s="545">
        <f t="shared" si="1"/>
        <v>583.43999999999994</v>
      </c>
      <c r="W36" s="545">
        <f t="shared" si="1"/>
        <v>636.12</v>
      </c>
      <c r="X36" s="545">
        <f t="shared" si="1"/>
        <v>637.63</v>
      </c>
      <c r="Y36" s="545">
        <f t="shared" si="1"/>
        <v>612.53</v>
      </c>
      <c r="Z36" s="545">
        <f t="shared" si="1"/>
        <v>682.38</v>
      </c>
      <c r="AA36" s="545">
        <f t="shared" si="1"/>
        <v>723.44</v>
      </c>
      <c r="AB36" s="545">
        <f t="shared" si="1"/>
        <v>737.87</v>
      </c>
      <c r="AC36" s="545">
        <f t="shared" si="1"/>
        <v>852.01</v>
      </c>
      <c r="AD36" s="545" t="e">
        <f t="shared" si="1"/>
        <v>#VALUE!</v>
      </c>
      <c r="AE36" s="545" t="e">
        <f t="shared" si="1"/>
        <v>#VALUE!</v>
      </c>
      <c r="AF36" s="545" t="e">
        <f t="shared" si="1"/>
        <v>#VALUE!</v>
      </c>
    </row>
    <row r="37" spans="1:32">
      <c r="A37" s="533"/>
      <c r="B37" s="534"/>
      <c r="C37" s="535"/>
      <c r="D37" s="12"/>
      <c r="E37" s="13"/>
      <c r="F37" s="14"/>
      <c r="G37" s="544"/>
      <c r="H37" s="544"/>
      <c r="I37" s="544"/>
      <c r="J37" s="544"/>
      <c r="K37" s="544"/>
      <c r="L37" s="544"/>
      <c r="M37" s="544"/>
      <c r="N37" s="544"/>
      <c r="O37" s="544"/>
      <c r="P37" s="544"/>
      <c r="Q37" s="544"/>
      <c r="R37" s="544"/>
      <c r="S37" s="544"/>
      <c r="T37" s="544"/>
      <c r="U37" s="544"/>
      <c r="V37" s="544"/>
      <c r="W37" s="544"/>
      <c r="X37" s="544"/>
      <c r="Y37" s="544"/>
      <c r="Z37" s="544"/>
      <c r="AA37" s="544"/>
      <c r="AB37" s="544"/>
      <c r="AC37" s="544"/>
      <c r="AD37" s="544"/>
      <c r="AE37" s="544"/>
      <c r="AF37" s="544"/>
    </row>
    <row r="38" spans="1:32" s="220" customFormat="1">
      <c r="A38" s="533">
        <v>3</v>
      </c>
      <c r="B38" s="534" t="s">
        <v>850</v>
      </c>
      <c r="C38" s="1346" t="s">
        <v>417</v>
      </c>
      <c r="D38" s="1347" t="s">
        <v>742</v>
      </c>
      <c r="E38" s="1348">
        <v>310</v>
      </c>
      <c r="F38" s="14" t="str">
        <f>VLOOKUP($E$38,[1]ON!$A$2:$FA$37, 3, FALSE)</f>
        <v xml:space="preserve">310  Gross fixed capital formation                                                   </v>
      </c>
      <c r="G38" s="3167">
        <f>IF(VLOOKUP($E$38,[1]ON!$A$2:$FA$37, 6, FALSE)="",":",VLOOKUP($E$38,[1]ON!$A$2:$FA$37, 6, FALSE))</f>
        <v>1865.6464365920581</v>
      </c>
      <c r="H38" s="3167">
        <f>IF(VLOOKUP($E$38,[1]ON!$A$2:$FA$37, 7, FALSE)="",":",VLOOKUP($E$38,[1]ON!$A$2:$FA$37, 7, FALSE))</f>
        <v>2258.4049991717588</v>
      </c>
      <c r="I38" s="3167">
        <f>IF(VLOOKUP($E$38,[1]ON!$A$2:$FA$37, 8, FALSE)="",":",VLOOKUP($E$38,[1]ON!$A$2:$FA$37, 8, FALSE))</f>
        <v>2835.1920988674078</v>
      </c>
      <c r="J38" s="3167">
        <f>IF(VLOOKUP($E$38,[1]ON!$A$2:$FA$37, 9, FALSE)="",":",VLOOKUP($E$38,[1]ON!$A$2:$FA$37, 9, FALSE))</f>
        <v>3433.4187190510511</v>
      </c>
      <c r="K38" s="3167">
        <f>IF(VLOOKUP($E$38,[1]ON!$A$2:$FA$37, 10, FALSE)="",":",VLOOKUP($E$38,[1]ON!$A$2:$FA$37, 10, FALSE))</f>
        <v>3229.3318550454055</v>
      </c>
      <c r="L38" s="3167">
        <f>IF(VLOOKUP($E$38,[1]ON!$A$2:$FA$37, 11, FALSE)="",":",VLOOKUP($E$38,[1]ON!$A$2:$FA$37, 11, FALSE))</f>
        <v>2958.9150459905522</v>
      </c>
      <c r="M38" s="3167">
        <f>IF(VLOOKUP($E$38,[1]ON!$A$2:$FA$37, 12, FALSE)="",":",VLOOKUP($E$38,[1]ON!$A$2:$FA$37, 12, FALSE))</f>
        <v>3349.0744830283033</v>
      </c>
      <c r="N38" s="3167">
        <f>IF(VLOOKUP($E$38,[1]ON!$A$2:$FA$37, 13, FALSE)="",":",VLOOKUP($E$38,[1]ON!$A$2:$FA$37, 13, FALSE))</f>
        <v>3707.1301482966423</v>
      </c>
      <c r="O38" s="3167">
        <f>IF(VLOOKUP($E$38,[1]ON!$A$2:$FA$37, 14, FALSE)="",":",VLOOKUP($E$38,[1]ON!$A$2:$FA$37, 14, FALSE))</f>
        <v>4207.3312057982785</v>
      </c>
      <c r="P38" s="544">
        <f>IF(VLOOKUP($E$38,[1]ON!$A$2:$FA$37, 15, FALSE)="",":",VLOOKUP($E$38,[1]ON!$A$2:$FA$37, 15, FALSE))</f>
        <v>4868.87</v>
      </c>
      <c r="Q38" s="544">
        <f>IF(VLOOKUP($E$38,[1]ON!$A$2:$FA$37, 16, FALSE)="",":",VLOOKUP($E$38,[1]ON!$A$2:$FA$37, 16, FALSE))</f>
        <v>5427.43</v>
      </c>
      <c r="R38" s="544">
        <f>IF(VLOOKUP($E$38,[1]ON!$A$2:$FA$37, 17, FALSE)="",":",VLOOKUP($E$38,[1]ON!$A$2:$FA$37, 17, FALSE))</f>
        <v>6490.85</v>
      </c>
      <c r="S38" s="544">
        <f>IF(VLOOKUP($E$38,[1]ON!$A$2:$FA$37, 18, FALSE)="",":",VLOOKUP($E$38,[1]ON!$A$2:$FA$37, 18, FALSE))</f>
        <v>7940.54</v>
      </c>
      <c r="T38" s="544">
        <f>IF(VLOOKUP($E$38,[1]ON!$A$2:$FA$37, 19, FALSE)="",":",VLOOKUP($E$38,[1]ON!$A$2:$FA$37, 19, FALSE))</f>
        <v>7623.21</v>
      </c>
      <c r="U38" s="544">
        <f>IF(VLOOKUP($E$38,[1]ON!$A$2:$FA$37, 20, FALSE)="",":",VLOOKUP($E$38,[1]ON!$A$2:$FA$37, 20, FALSE))</f>
        <v>4657.58</v>
      </c>
      <c r="V38" s="544">
        <f>IF(VLOOKUP($E$38,[1]ON!$A$2:$FA$37, 21, FALSE)="",":",VLOOKUP($E$38,[1]ON!$A$2:$FA$37, 21, FALSE))</f>
        <v>4726.3</v>
      </c>
      <c r="W38" s="544">
        <f>IF(VLOOKUP($E$38,[1]ON!$A$2:$FA$37, 22, FALSE)="",":",VLOOKUP($E$38,[1]ON!$A$2:$FA$37, 22, FALSE))</f>
        <v>5678.49</v>
      </c>
      <c r="X38" s="544">
        <f>IF(VLOOKUP($E$38,[1]ON!$A$2:$FA$37, 23, FALSE)="",":",VLOOKUP($E$38,[1]ON!$A$2:$FA$37, 23, FALSE))</f>
        <v>5577.51</v>
      </c>
      <c r="Y38" s="544">
        <f>IF(VLOOKUP($E$38,[1]ON!$A$2:$FA$37, 24, FALSE)="",":",VLOOKUP($E$38,[1]ON!$A$2:$FA$37, 24, FALSE))</f>
        <v>6040.42</v>
      </c>
      <c r="Z38" s="544">
        <f>IF(VLOOKUP($E$38,[1]ON!$A$2:$FA$37, 25, FALSE)="",":",VLOOKUP($E$38,[1]ON!$A$2:$FA$37, 25, FALSE))</f>
        <v>6387.86</v>
      </c>
      <c r="AA38" s="544">
        <f>IF(VLOOKUP($E$38,[1]ON!$A$2:$FA$37, 26, FALSE)="",":",VLOOKUP($E$38,[1]ON!$A$2:$FA$37, 26, FALSE))</f>
        <v>6696.17</v>
      </c>
      <c r="AB38" s="544">
        <f>IF(VLOOKUP($E$38,[1]ON!$A$2:$FA$37, 27, FALSE)="",":",VLOOKUP($E$38,[1]ON!$A$2:$FA$37, 27, FALSE))</f>
        <v>6664.64</v>
      </c>
      <c r="AC38" s="544">
        <f>IF(VLOOKUP($E$38,[1]ON!$A$2:$FA$37, 28, FALSE)="",":",VLOOKUP($E$38,[1]ON!$A$2:$FA$37, 28, FALSE))</f>
        <v>7151.41</v>
      </c>
      <c r="AD38" s="544" t="str">
        <f>IF(VLOOKUP($E$38,[1]ON!$A$2:$FA$37, 29, FALSE)="",":",VLOOKUP($E$38,[1]ON!$A$2:$FA$37, 29, FALSE))</f>
        <v>:</v>
      </c>
      <c r="AE38" s="544" t="str">
        <f>IF(VLOOKUP($E$38,[1]ON!$A$2:$FA$37, 30, FALSE)="",":",VLOOKUP($E$38,[1]ON!$A$2:$FA$37, 30, FALSE))</f>
        <v>:</v>
      </c>
      <c r="AF38" s="544" t="str">
        <f>IF(VLOOKUP($E$38,[1]ON!$A$2:$FA$37, 31, FALSE)="",":",VLOOKUP($E$38,[1]ON!$A$2:$FA$37, 31, FALSE))</f>
        <v>:</v>
      </c>
    </row>
    <row r="39" spans="1:32">
      <c r="A39" s="533">
        <v>7</v>
      </c>
      <c r="B39" s="534" t="s">
        <v>2060</v>
      </c>
      <c r="C39" s="535" t="s">
        <v>476</v>
      </c>
      <c r="D39" s="12" t="s">
        <v>742</v>
      </c>
      <c r="E39" s="13">
        <v>320</v>
      </c>
      <c r="F39" s="14" t="str">
        <f>VLOOKUP($E$39,[1]ON!$A$2:$FA$37, 3, FALSE)</f>
        <v xml:space="preserve">320  Changes in inventories and net acquisition of valuables                         </v>
      </c>
      <c r="G39" s="544">
        <f>IF(VLOOKUP($E$39,[1]ON!$A$2:$FA$37, 6, FALSE)="",":",VLOOKUP($E$39,[1]ON!$A$2:$FA$37, 6, FALSE))</f>
        <v>-2.5132466412478336</v>
      </c>
      <c r="H39" s="544">
        <f>IF(VLOOKUP($E$39,[1]ON!$A$2:$FA$37, 7, FALSE)="",":",VLOOKUP($E$39,[1]ON!$A$2:$FA$37, 7, FALSE))</f>
        <v>-2.5216880485268631</v>
      </c>
      <c r="I39" s="544">
        <f>IF(VLOOKUP($E$39,[1]ON!$A$2:$FA$37, 8, FALSE)="",":",VLOOKUP($E$39,[1]ON!$A$2:$FA$37, 8, FALSE))</f>
        <v>-0.41039829462738309</v>
      </c>
      <c r="J39" s="544">
        <f>IF(VLOOKUP($E$39,[1]ON!$A$2:$FA$37, 9, FALSE)="",":",VLOOKUP($E$39,[1]ON!$A$2:$FA$37, 9, FALSE))</f>
        <v>-0.76970523223570197</v>
      </c>
      <c r="K39" s="544">
        <f>IF(VLOOKUP($E$39,[1]ON!$A$2:$FA$37, 10, FALSE)="",":",VLOOKUP($E$39,[1]ON!$A$2:$FA$37, 10, FALSE))</f>
        <v>-1.8790728925476605</v>
      </c>
      <c r="L39" s="544">
        <f>IF(VLOOKUP($E$39,[1]ON!$A$2:$FA$37, 11, FALSE)="",":",VLOOKUP($E$39,[1]ON!$A$2:$FA$37, 11, FALSE))</f>
        <v>-2.2338725355285964</v>
      </c>
      <c r="M39" s="544">
        <f>IF(VLOOKUP($E$39,[1]ON!$A$2:$FA$37, 12, FALSE)="",":",VLOOKUP($E$39,[1]ON!$A$2:$FA$37, 12, FALSE))</f>
        <v>-1.7207965060658581</v>
      </c>
      <c r="N39" s="544">
        <f>IF(VLOOKUP($E$39,[1]ON!$A$2:$FA$37, 13, FALSE)="",":",VLOOKUP($E$39,[1]ON!$A$2:$FA$37, 13, FALSE))</f>
        <v>-0.19326654072790297</v>
      </c>
      <c r="O39" s="544">
        <f>IF(VLOOKUP($E$39,[1]ON!$A$2:$FA$37, 14, FALSE)="",":",VLOOKUP($E$39,[1]ON!$A$2:$FA$37, 14, FALSE))</f>
        <v>0.37629396707105722</v>
      </c>
      <c r="P39" s="544">
        <f>IF(VLOOKUP($E$39,[1]ON!$A$2:$FA$37, 15, FALSE)="",":",VLOOKUP($E$39,[1]ON!$A$2:$FA$37, 15, FALSE))</f>
        <v>13.052199999999999</v>
      </c>
      <c r="Q39" s="544">
        <f>IF(VLOOKUP($E$39,[1]ON!$A$2:$FA$37, 16, FALSE)="",":",VLOOKUP($E$39,[1]ON!$A$2:$FA$37, 16, FALSE))</f>
        <v>122.32888</v>
      </c>
      <c r="R39" s="544">
        <f>IF(VLOOKUP($E$39,[1]ON!$A$2:$FA$37, 17, FALSE)="",":",VLOOKUP($E$39,[1]ON!$A$2:$FA$37, 17, FALSE))</f>
        <v>-160.91435999999999</v>
      </c>
      <c r="S39" s="544">
        <f>IF(VLOOKUP($E$39,[1]ON!$A$2:$FA$37, 18, FALSE)="",":",VLOOKUP($E$39,[1]ON!$A$2:$FA$37, 18, FALSE))</f>
        <v>-624.09140000000002</v>
      </c>
      <c r="T39" s="544">
        <f>IF(VLOOKUP($E$39,[1]ON!$A$2:$FA$37, 19, FALSE)="",":",VLOOKUP($E$39,[1]ON!$A$2:$FA$37, 19, FALSE))</f>
        <v>-1015.19093</v>
      </c>
      <c r="U39" s="544">
        <f>IF(VLOOKUP($E$39,[1]ON!$A$2:$FA$37, 20, FALSE)="",":",VLOOKUP($E$39,[1]ON!$A$2:$FA$37, 20, FALSE))</f>
        <v>1776.3466699999999</v>
      </c>
      <c r="V39" s="544">
        <f>IF(VLOOKUP($E$39,[1]ON!$A$2:$FA$37, 21, FALSE)="",":",VLOOKUP($E$39,[1]ON!$A$2:$FA$37, 21, FALSE))</f>
        <v>318.64999999999998</v>
      </c>
      <c r="W39" s="544">
        <f>IF(VLOOKUP($E$39,[1]ON!$A$2:$FA$37, 22, FALSE)="",":",VLOOKUP($E$39,[1]ON!$A$2:$FA$37, 22, FALSE))</f>
        <v>260.89999999999998</v>
      </c>
      <c r="X39" s="544">
        <f>IF(VLOOKUP($E$39,[1]ON!$A$2:$FA$37, 23, FALSE)="",":",VLOOKUP($E$39,[1]ON!$A$2:$FA$37, 23, FALSE))</f>
        <v>87.17492</v>
      </c>
      <c r="Y39" s="544">
        <f>IF(VLOOKUP($E$39,[1]ON!$A$2:$FA$37, 24, FALSE)="",":",VLOOKUP($E$39,[1]ON!$A$2:$FA$37, 24, FALSE))</f>
        <v>24.82939</v>
      </c>
      <c r="Z39" s="544">
        <f>IF(VLOOKUP($E$39,[1]ON!$A$2:$FA$37, 25, FALSE)="",":",VLOOKUP($E$39,[1]ON!$A$2:$FA$37, 25, FALSE))</f>
        <v>18.88916</v>
      </c>
      <c r="AA39" s="544">
        <f>IF(VLOOKUP($E$39,[1]ON!$A$2:$FA$37, 26, FALSE)="",":",VLOOKUP($E$39,[1]ON!$A$2:$FA$37, 26, FALSE))</f>
        <v>514.74563000000001</v>
      </c>
      <c r="AB39" s="544">
        <f>IF(VLOOKUP($E$39,[1]ON!$A$2:$FA$37, 27, FALSE)="",":",VLOOKUP($E$39,[1]ON!$A$2:$FA$37, 27, FALSE))</f>
        <v>103.46545</v>
      </c>
      <c r="AC39" s="544">
        <f>IF(VLOOKUP($E$39,[1]ON!$A$2:$FA$37, 28, FALSE)="",":",VLOOKUP($E$39,[1]ON!$A$2:$FA$37, 28, FALSE))</f>
        <v>149.06469999999999</v>
      </c>
      <c r="AD39" s="544" t="str">
        <f>IF(VLOOKUP($E$39,[1]ON!$A$2:$FA$37, 29, FALSE)="",":",VLOOKUP($E$39,[1]ON!$A$2:$FA$37, 29, FALSE))</f>
        <v>:</v>
      </c>
      <c r="AE39" s="544" t="str">
        <f>IF(VLOOKUP($E$39,[1]ON!$A$2:$FA$37, 30, FALSE)="",":",VLOOKUP($E$39,[1]ON!$A$2:$FA$37, 30, FALSE))</f>
        <v>:</v>
      </c>
      <c r="AF39" s="544" t="str">
        <f>IF(VLOOKUP($E$39,[1]ON!$A$2:$FA$37, 31, FALSE)="",":",VLOOKUP($E$39,[1]ON!$A$2:$FA$37, 31, FALSE))</f>
        <v>:</v>
      </c>
    </row>
    <row r="40" spans="1:32">
      <c r="A40" s="533"/>
      <c r="B40" s="534"/>
      <c r="C40" s="535"/>
      <c r="D40" s="12"/>
      <c r="E40" s="13"/>
      <c r="F40" s="14"/>
      <c r="G40" s="544"/>
      <c r="H40" s="544"/>
      <c r="I40" s="544"/>
      <c r="J40" s="544"/>
      <c r="K40" s="544"/>
      <c r="L40" s="544"/>
      <c r="M40" s="544"/>
      <c r="N40" s="544"/>
      <c r="O40" s="544"/>
      <c r="P40" s="544"/>
      <c r="Q40" s="544"/>
      <c r="R40" s="544"/>
      <c r="S40" s="544"/>
      <c r="T40" s="544"/>
      <c r="U40" s="544"/>
      <c r="V40" s="544"/>
      <c r="W40" s="544"/>
      <c r="X40" s="544"/>
      <c r="Y40" s="544"/>
      <c r="Z40" s="544"/>
      <c r="AA40" s="544"/>
      <c r="AB40" s="544"/>
      <c r="AC40" s="544"/>
      <c r="AD40" s="544"/>
      <c r="AE40" s="544"/>
      <c r="AF40" s="544"/>
    </row>
    <row r="41" spans="1:32">
      <c r="A41" s="1453"/>
      <c r="B41" s="534"/>
      <c r="C41" s="535"/>
      <c r="D41" s="12" t="s">
        <v>742</v>
      </c>
      <c r="E41" s="13">
        <v>401</v>
      </c>
      <c r="F41" s="14" t="str">
        <f>VLOOKUP($E$41,[1]ON!$A$2:$FA$37, 3, FALSE)</f>
        <v>401  Domestic demand excluding change in inventories and net acquisition of valuables</v>
      </c>
      <c r="G41" s="544">
        <f>IF(VLOOKUP($E$41,[1]ON!$A$2:$FA$37, 6, FALSE)="",":",VLOOKUP($E$41,[1]ON!$A$2:$FA$37, 6, FALSE))</f>
        <v>14579.253810129012</v>
      </c>
      <c r="H41" s="544">
        <f>IF(VLOOKUP($E$41,[1]ON!$A$2:$FA$37, 7, FALSE)="",":",VLOOKUP($E$41,[1]ON!$A$2:$FA$37, 7, FALSE))</f>
        <v>15684.726189883464</v>
      </c>
      <c r="I41" s="544">
        <f>IF(VLOOKUP($E$41,[1]ON!$A$2:$FA$37, 8, FALSE)="",":",VLOOKUP($E$41,[1]ON!$A$2:$FA$37, 8, FALSE))</f>
        <v>17077.361276954041</v>
      </c>
      <c r="J41" s="544">
        <f>IF(VLOOKUP($E$41,[1]ON!$A$2:$FA$37, 9, FALSE)="",":",VLOOKUP($E$41,[1]ON!$A$2:$FA$37, 9, FALSE))</f>
        <v>18477.134009203066</v>
      </c>
      <c r="K41" s="544">
        <f>IF(VLOOKUP($E$41,[1]ON!$A$2:$FA$37, 10, FALSE)="",":",VLOOKUP($E$41,[1]ON!$A$2:$FA$37, 10, FALSE))</f>
        <v>18555.156347933964</v>
      </c>
      <c r="L41" s="544">
        <f>IF(VLOOKUP($E$41,[1]ON!$A$2:$FA$37, 11, FALSE)="",":",VLOOKUP($E$41,[1]ON!$A$2:$FA$37, 11, FALSE))</f>
        <v>19017.219898719679</v>
      </c>
      <c r="M41" s="544">
        <f>IF(VLOOKUP($E$41,[1]ON!$A$2:$FA$37, 12, FALSE)="",":",VLOOKUP($E$41,[1]ON!$A$2:$FA$37, 12, FALSE))</f>
        <v>20004.497742649204</v>
      </c>
      <c r="N41" s="544">
        <f>IF(VLOOKUP($E$41,[1]ON!$A$2:$FA$37, 13, FALSE)="",":",VLOOKUP($E$41,[1]ON!$A$2:$FA$37, 13, FALSE))</f>
        <v>21261.742027629673</v>
      </c>
      <c r="O41" s="544">
        <f>IF(VLOOKUP($E$41,[1]ON!$A$2:$FA$37, 14, FALSE)="",":",VLOOKUP($E$41,[1]ON!$A$2:$FA$37, 14, FALSE))</f>
        <v>23392.936699256752</v>
      </c>
      <c r="P41" s="544">
        <f>IF(VLOOKUP($E$41,[1]ON!$A$2:$FA$37, 15, FALSE)="",":",VLOOKUP($E$41,[1]ON!$A$2:$FA$37, 15, FALSE))</f>
        <v>26012.32113</v>
      </c>
      <c r="Q41" s="544">
        <f>IF(VLOOKUP($E$41,[1]ON!$A$2:$FA$37, 16, FALSE)="",":",VLOOKUP($E$41,[1]ON!$A$2:$FA$37, 16, FALSE))</f>
        <v>28649.44656</v>
      </c>
      <c r="R41" s="544">
        <f>IF(VLOOKUP($E$41,[1]ON!$A$2:$FA$37, 17, FALSE)="",":",VLOOKUP($E$41,[1]ON!$A$2:$FA$37, 17, FALSE))</f>
        <v>31567.883180000001</v>
      </c>
      <c r="S41" s="544">
        <f>IF(VLOOKUP($E$41,[1]ON!$A$2:$FA$37, 18, FALSE)="",":",VLOOKUP($E$41,[1]ON!$A$2:$FA$37, 18, FALSE))</f>
        <v>35646.567750000002</v>
      </c>
      <c r="T41" s="544">
        <f>IF(VLOOKUP($E$41,[1]ON!$A$2:$FA$37, 19, FALSE)="",":",VLOOKUP($E$41,[1]ON!$A$2:$FA$37, 19, FALSE))</f>
        <v>36085.323389999998</v>
      </c>
      <c r="U41" s="544">
        <f>IF(VLOOKUP($E$41,[1]ON!$A$2:$FA$37, 20, FALSE)="",":",VLOOKUP($E$41,[1]ON!$A$2:$FA$37, 20, FALSE))</f>
        <v>28962.535029999999</v>
      </c>
      <c r="V41" s="544">
        <f>IF(VLOOKUP($E$41,[1]ON!$A$2:$FA$37, 21, FALSE)="",":",VLOOKUP($E$41,[1]ON!$A$2:$FA$37, 21, FALSE))</f>
        <v>28235.22</v>
      </c>
      <c r="W41" s="544">
        <f>IF(VLOOKUP($E$41,[1]ON!$A$2:$FA$37, 22, FALSE)="",":",VLOOKUP($E$41,[1]ON!$A$2:$FA$37, 22, FALSE))</f>
        <v>29992.880000000001</v>
      </c>
      <c r="X41" s="544">
        <f>IF(VLOOKUP($E$41,[1]ON!$A$2:$FA$37, 23, FALSE)="",":",VLOOKUP($E$41,[1]ON!$A$2:$FA$37, 23, FALSE))</f>
        <v>30548.781930000001</v>
      </c>
      <c r="Y41" s="544">
        <f>IF(VLOOKUP($E$41,[1]ON!$A$2:$FA$37, 24, FALSE)="",":",VLOOKUP($E$41,[1]ON!$A$2:$FA$37, 24, FALSE))</f>
        <v>31886.62702</v>
      </c>
      <c r="Z41" s="544">
        <f>IF(VLOOKUP($E$41,[1]ON!$A$2:$FA$37, 25, FALSE)="",":",VLOOKUP($E$41,[1]ON!$A$2:$FA$37, 25, FALSE))</f>
        <v>33058.580730000001</v>
      </c>
      <c r="AA41" s="544">
        <f>IF(VLOOKUP($E$41,[1]ON!$A$2:$FA$37, 26, FALSE)="",":",VLOOKUP($E$41,[1]ON!$A$2:$FA$37, 26, FALSE))</f>
        <v>34213.353669999997</v>
      </c>
      <c r="AB41" s="544">
        <f>IF(VLOOKUP($E$41,[1]ON!$A$2:$FA$37, 27, FALSE)="",":",VLOOKUP($E$41,[1]ON!$A$2:$FA$37, 27, FALSE))</f>
        <v>35322.718180000003</v>
      </c>
      <c r="AC41" s="544">
        <f>IF(VLOOKUP($E$41,[1]ON!$A$2:$FA$37, 28, FALSE)="",":",VLOOKUP($E$41,[1]ON!$A$2:$FA$37, 28, FALSE))</f>
        <v>36759.27577</v>
      </c>
      <c r="AD41" s="544" t="str">
        <f>IF(VLOOKUP($E$41,[1]ON!$A$2:$FA$37, 29, FALSE)="",":",VLOOKUP($E$41,[1]ON!$A$2:$FA$37, 29, FALSE))</f>
        <v>:</v>
      </c>
      <c r="AE41" s="544" t="str">
        <f>IF(VLOOKUP($E$41,[1]ON!$A$2:$FA$37, 30, FALSE)="",":",VLOOKUP($E$41,[1]ON!$A$2:$FA$37, 30, FALSE))</f>
        <v>:</v>
      </c>
      <c r="AF41" s="544" t="str">
        <f>IF(VLOOKUP($E$41,[1]ON!$A$2:$FA$37, 31, FALSE)="",":",VLOOKUP($E$41,[1]ON!$A$2:$FA$37, 31, FALSE))</f>
        <v>:</v>
      </c>
    </row>
    <row r="42" spans="1:32">
      <c r="A42" s="533"/>
      <c r="B42" s="534"/>
      <c r="C42" s="535"/>
      <c r="D42" s="12" t="s">
        <v>742</v>
      </c>
      <c r="E42" s="13">
        <v>402</v>
      </c>
      <c r="F42" s="14" t="str">
        <f>VLOOKUP($E$42,[1]ON!$A$2:$FA$37, 3, FALSE)</f>
        <v>402  Domestic demand including change in inventories and net acquisition of valuables</v>
      </c>
      <c r="G42" s="544">
        <f>IF(VLOOKUP($E$42,[1]ON!$A$2:$FA$37, 6, FALSE)="",":",VLOOKUP($E$42,[1]ON!$A$2:$FA$37, 6, FALSE))</f>
        <v>13836.275402676118</v>
      </c>
      <c r="H42" s="544">
        <f>IF(VLOOKUP($E$42,[1]ON!$A$2:$FA$37, 7, FALSE)="",":",VLOOKUP($E$42,[1]ON!$A$2:$FA$37, 7, FALSE))</f>
        <v>15044.402112619391</v>
      </c>
      <c r="I42" s="544">
        <f>IF(VLOOKUP($E$42,[1]ON!$A$2:$FA$37, 8, FALSE)="",":",VLOOKUP($E$42,[1]ON!$A$2:$FA$37, 8, FALSE))</f>
        <v>16904.520540333648</v>
      </c>
      <c r="J42" s="544">
        <f>IF(VLOOKUP($E$42,[1]ON!$A$2:$FA$37, 9, FALSE)="",":",VLOOKUP($E$42,[1]ON!$A$2:$FA$37, 9, FALSE))</f>
        <v>18287.507990920549</v>
      </c>
      <c r="K42" s="544">
        <f>IF(VLOOKUP($E$42,[1]ON!$A$2:$FA$37, 10, FALSE)="",":",VLOOKUP($E$42,[1]ON!$A$2:$FA$37, 10, FALSE))</f>
        <v>18187.110671109534</v>
      </c>
      <c r="L42" s="544">
        <f>IF(VLOOKUP($E$42,[1]ON!$A$2:$FA$37, 11, FALSE)="",":",VLOOKUP($E$42,[1]ON!$A$2:$FA$37, 11, FALSE))</f>
        <v>18575.447364388692</v>
      </c>
      <c r="M42" s="544">
        <f>IF(VLOOKUP($E$42,[1]ON!$A$2:$FA$37, 12, FALSE)="",":",VLOOKUP($E$42,[1]ON!$A$2:$FA$37, 12, FALSE))</f>
        <v>19656.84720975181</v>
      </c>
      <c r="N42" s="544">
        <f>IF(VLOOKUP($E$42,[1]ON!$A$2:$FA$37, 13, FALSE)="",":",VLOOKUP($E$42,[1]ON!$A$2:$FA$37, 13, FALSE))</f>
        <v>21119.478146222798</v>
      </c>
      <c r="O42" s="544">
        <f>IF(VLOOKUP($E$42,[1]ON!$A$2:$FA$37, 14, FALSE)="",":",VLOOKUP($E$42,[1]ON!$A$2:$FA$37, 14, FALSE))</f>
        <v>23318.488136288346</v>
      </c>
      <c r="P42" s="544">
        <f>IF(VLOOKUP($E$42,[1]ON!$A$2:$FA$37, 15, FALSE)="",":",VLOOKUP($E$42,[1]ON!$A$2:$FA$37, 15, FALSE))</f>
        <v>26407.23272</v>
      </c>
      <c r="Q42" s="544">
        <f>IF(VLOOKUP($E$42,[1]ON!$A$2:$FA$37, 16, FALSE)="",":",VLOOKUP($E$42,[1]ON!$A$2:$FA$37, 16, FALSE))</f>
        <v>28643.457320000001</v>
      </c>
      <c r="R42" s="544">
        <f>IF(VLOOKUP($E$42,[1]ON!$A$2:$FA$37, 17, FALSE)="",":",VLOOKUP($E$42,[1]ON!$A$2:$FA$37, 17, FALSE))</f>
        <v>31129.45379</v>
      </c>
      <c r="S42" s="544">
        <f>IF(VLOOKUP($E$42,[1]ON!$A$2:$FA$37, 18, FALSE)="",":",VLOOKUP($E$42,[1]ON!$A$2:$FA$37, 18, FALSE))</f>
        <v>35771.46645</v>
      </c>
      <c r="T42" s="544">
        <f>IF(VLOOKUP($E$42,[1]ON!$A$2:$FA$37, 19, FALSE)="",":",VLOOKUP($E$42,[1]ON!$A$2:$FA$37, 19, FALSE))</f>
        <v>36898.166749999997</v>
      </c>
      <c r="U42" s="544">
        <f>IF(VLOOKUP($E$42,[1]ON!$A$2:$FA$37, 20, FALSE)="",":",VLOOKUP($E$42,[1]ON!$A$2:$FA$37, 20, FALSE))</f>
        <v>28053.701730000001</v>
      </c>
      <c r="V42" s="544">
        <f>IF(VLOOKUP($E$42,[1]ON!$A$2:$FA$37, 21, FALSE)="",":",VLOOKUP($E$42,[1]ON!$A$2:$FA$37, 21, FALSE))</f>
        <v>28553.87</v>
      </c>
      <c r="W42" s="544">
        <f>IF(VLOOKUP($E$42,[1]ON!$A$2:$FA$37, 22, FALSE)="",":",VLOOKUP($E$42,[1]ON!$A$2:$FA$37, 22, FALSE))</f>
        <v>30253.78</v>
      </c>
      <c r="X42" s="544">
        <f>IF(VLOOKUP($E$42,[1]ON!$A$2:$FA$37, 23, FALSE)="",":",VLOOKUP($E$42,[1]ON!$A$2:$FA$37, 23, FALSE))</f>
        <v>30162.02648</v>
      </c>
      <c r="Y42" s="544">
        <f>IF(VLOOKUP($E$42,[1]ON!$A$2:$FA$37, 24, FALSE)="",":",VLOOKUP($E$42,[1]ON!$A$2:$FA$37, 24, FALSE))</f>
        <v>31017.061699999998</v>
      </c>
      <c r="Z42" s="544">
        <f>IF(VLOOKUP($E$42,[1]ON!$A$2:$FA$37, 25, FALSE)="",":",VLOOKUP($E$42,[1]ON!$A$2:$FA$37, 25, FALSE))</f>
        <v>32070.553260000001</v>
      </c>
      <c r="AA42" s="544">
        <f>IF(VLOOKUP($E$42,[1]ON!$A$2:$FA$37, 26, FALSE)="",":",VLOOKUP($E$42,[1]ON!$A$2:$FA$37, 26, FALSE))</f>
        <v>34438.025119999998</v>
      </c>
      <c r="AB42" s="544">
        <f>IF(VLOOKUP($E$42,[1]ON!$A$2:$FA$37, 27, FALSE)="",":",VLOOKUP($E$42,[1]ON!$A$2:$FA$37, 27, FALSE))</f>
        <v>35266.515149999999</v>
      </c>
      <c r="AC42" s="544">
        <f>IF(VLOOKUP($E$42,[1]ON!$A$2:$FA$37, 28, FALSE)="",":",VLOOKUP($E$42,[1]ON!$A$2:$FA$37, 28, FALSE))</f>
        <v>36462.010459999998</v>
      </c>
      <c r="AD42" s="544" t="str">
        <f>IF(VLOOKUP($E$42,[1]ON!$A$2:$FA$37, 29, FALSE)="",":",VLOOKUP($E$42,[1]ON!$A$2:$FA$37, 29, FALSE))</f>
        <v>:</v>
      </c>
      <c r="AE42" s="544" t="str">
        <f>IF(VLOOKUP($E$42,[1]ON!$A$2:$FA$37, 30, FALSE)="",":",VLOOKUP($E$42,[1]ON!$A$2:$FA$37, 30, FALSE))</f>
        <v>:</v>
      </c>
      <c r="AF42" s="544" t="str">
        <f>IF(VLOOKUP($E$42,[1]ON!$A$2:$FA$37, 31, FALSE)="",":",VLOOKUP($E$42,[1]ON!$A$2:$FA$37, 31, FALSE))</f>
        <v>:</v>
      </c>
    </row>
    <row r="43" spans="1:32">
      <c r="A43" s="533"/>
      <c r="B43" s="534"/>
      <c r="C43" s="535"/>
      <c r="D43" s="12" t="s">
        <v>742</v>
      </c>
      <c r="E43" s="13">
        <v>403</v>
      </c>
      <c r="F43" s="14" t="str">
        <f>VLOOKUP($E$43,[1]ON!$A$2:$FA$37, 3, FALSE)</f>
        <v xml:space="preserve">403  Final demand                                                                    </v>
      </c>
      <c r="G43" s="544">
        <f>IF(VLOOKUP($E$43,[1]ON!$A$2:$FA$37, 6, FALSE)="",":",VLOOKUP($E$43,[1]ON!$A$2:$FA$37, 6, FALSE))</f>
        <v>18697.227895180971</v>
      </c>
      <c r="H43" s="544">
        <f>IF(VLOOKUP($E$43,[1]ON!$A$2:$FA$37, 7, FALSE)="",":",VLOOKUP($E$43,[1]ON!$A$2:$FA$37, 7, FALSE))</f>
        <v>20908.572512990042</v>
      </c>
      <c r="I43" s="544">
        <f>IF(VLOOKUP($E$43,[1]ON!$A$2:$FA$37, 8, FALSE)="",":",VLOOKUP($E$43,[1]ON!$A$2:$FA$37, 8, FALSE))</f>
        <v>23919.4209094416</v>
      </c>
      <c r="J43" s="544">
        <f>IF(VLOOKUP($E$43,[1]ON!$A$2:$FA$37, 9, FALSE)="",":",VLOOKUP($E$43,[1]ON!$A$2:$FA$37, 9, FALSE))</f>
        <v>25607.469229881273</v>
      </c>
      <c r="K43" s="544">
        <f>IF(VLOOKUP($E$43,[1]ON!$A$2:$FA$37, 10, FALSE)="",":",VLOOKUP($E$43,[1]ON!$A$2:$FA$37, 10, FALSE))</f>
        <v>24298.456251731583</v>
      </c>
      <c r="L43" s="544">
        <f>IF(VLOOKUP($E$43,[1]ON!$A$2:$FA$37, 11, FALSE)="",":",VLOOKUP($E$43,[1]ON!$A$2:$FA$37, 11, FALSE))</f>
        <v>25286.247982793553</v>
      </c>
      <c r="M43" s="544">
        <f>IF(VLOOKUP($E$43,[1]ON!$A$2:$FA$37, 12, FALSE)="",":",VLOOKUP($E$43,[1]ON!$A$2:$FA$37, 12, FALSE))</f>
        <v>27906.859620407777</v>
      </c>
      <c r="N43" s="544">
        <f>IF(VLOOKUP($E$43,[1]ON!$A$2:$FA$37, 13, FALSE)="",":",VLOOKUP($E$43,[1]ON!$A$2:$FA$37, 13, FALSE))</f>
        <v>30979.501856890787</v>
      </c>
      <c r="O43" s="544">
        <f>IF(VLOOKUP($E$43,[1]ON!$A$2:$FA$37, 14, FALSE)="",":",VLOOKUP($E$43,[1]ON!$A$2:$FA$37, 14, FALSE))</f>
        <v>34001.155724657146</v>
      </c>
      <c r="P43" s="544">
        <f>IF(VLOOKUP($E$43,[1]ON!$A$2:$FA$37, 15, FALSE)="",":",VLOOKUP($E$43,[1]ON!$A$2:$FA$37, 15, FALSE))</f>
        <v>37481.002540000001</v>
      </c>
      <c r="Q43" s="544">
        <f>IF(VLOOKUP($E$43,[1]ON!$A$2:$FA$37, 16, FALSE)="",":",VLOOKUP($E$43,[1]ON!$A$2:$FA$37, 16, FALSE))</f>
        <v>42042.63276</v>
      </c>
      <c r="R43" s="544">
        <f>IF(VLOOKUP($E$43,[1]ON!$A$2:$FA$37, 17, FALSE)="",":",VLOOKUP($E$43,[1]ON!$A$2:$FA$37, 17, FALSE))</f>
        <v>46248.83855</v>
      </c>
      <c r="S43" s="544">
        <f>IF(VLOOKUP($E$43,[1]ON!$A$2:$FA$37, 18, FALSE)="",":",VLOOKUP($E$43,[1]ON!$A$2:$FA$37, 18, FALSE))</f>
        <v>51325.337930000002</v>
      </c>
      <c r="T43" s="544">
        <f>IF(VLOOKUP($E$43,[1]ON!$A$2:$FA$37, 19, FALSE)="",":",VLOOKUP($E$43,[1]ON!$A$2:$FA$37, 19, FALSE))</f>
        <v>54579.444009999999</v>
      </c>
      <c r="U43" s="544">
        <f>IF(VLOOKUP($E$43,[1]ON!$A$2:$FA$37, 20, FALSE)="",":",VLOOKUP($E$43,[1]ON!$A$2:$FA$37, 20, FALSE))</f>
        <v>43563.655220000001</v>
      </c>
      <c r="V43" s="544">
        <f>IF(VLOOKUP($E$43,[1]ON!$A$2:$FA$37, 21, FALSE)="",":",VLOOKUP($E$43,[1]ON!$A$2:$FA$37, 21, FALSE))</f>
        <v>46867.75</v>
      </c>
      <c r="W43" s="544">
        <f>IF(VLOOKUP($E$43,[1]ON!$A$2:$FA$37, 22, FALSE)="",":",VLOOKUP($E$43,[1]ON!$A$2:$FA$37, 22, FALSE))</f>
        <v>51388.800000000003</v>
      </c>
      <c r="X43" s="544">
        <f>IF(VLOOKUP($E$43,[1]ON!$A$2:$FA$37, 23, FALSE)="",":",VLOOKUP($E$43,[1]ON!$A$2:$FA$37, 23, FALSE))</f>
        <v>53987.926030000002</v>
      </c>
      <c r="Y43" s="544">
        <f>IF(VLOOKUP($E$43,[1]ON!$A$2:$FA$37, 24, FALSE)="",":",VLOOKUP($E$43,[1]ON!$A$2:$FA$37, 24, FALSE))</f>
        <v>57230.938849999999</v>
      </c>
      <c r="Z43" s="544">
        <f>IF(VLOOKUP($E$43,[1]ON!$A$2:$FA$37, 25, FALSE)="",":",VLOOKUP($E$43,[1]ON!$A$2:$FA$37, 25, FALSE))</f>
        <v>59141.162660000002</v>
      </c>
      <c r="AA43" s="544">
        <f>IF(VLOOKUP($E$43,[1]ON!$A$2:$FA$37, 26, FALSE)="",":",VLOOKUP($E$43,[1]ON!$A$2:$FA$37, 26, FALSE))</f>
        <v>61432.050349999998</v>
      </c>
      <c r="AB43" s="544">
        <f>IF(VLOOKUP($E$43,[1]ON!$A$2:$FA$37, 27, FALSE)="",":",VLOOKUP($E$43,[1]ON!$A$2:$FA$37, 27, FALSE))</f>
        <v>63187.093280000001</v>
      </c>
      <c r="AC43" s="544">
        <f>IF(VLOOKUP($E$43,[1]ON!$A$2:$FA$37, 28, FALSE)="",":",VLOOKUP($E$43,[1]ON!$A$2:$FA$37, 28, FALSE))</f>
        <v>68004.727410000007</v>
      </c>
      <c r="AD43" s="544" t="str">
        <f>IF(VLOOKUP($E$43,[1]ON!$A$2:$FA$37, 29, FALSE)="",":",VLOOKUP($E$43,[1]ON!$A$2:$FA$37, 29, FALSE))</f>
        <v>:</v>
      </c>
      <c r="AE43" s="544" t="str">
        <f>IF(VLOOKUP($E$43,[1]ON!$A$2:$FA$37, 30, FALSE)="",":",VLOOKUP($E$43,[1]ON!$A$2:$FA$37, 30, FALSE))</f>
        <v>:</v>
      </c>
      <c r="AF43" s="544" t="str">
        <f>IF(VLOOKUP($E$43,[1]ON!$A$2:$FA$37, 31, FALSE)="",":",VLOOKUP($E$43,[1]ON!$A$2:$FA$37, 31, FALSE))</f>
        <v>:</v>
      </c>
    </row>
    <row r="44" spans="1:32">
      <c r="A44" s="533"/>
      <c r="B44" s="534"/>
      <c r="C44" s="535"/>
      <c r="D44" s="12"/>
      <c r="E44" s="13"/>
      <c r="F44" s="14"/>
      <c r="G44" s="544"/>
      <c r="H44" s="544"/>
      <c r="I44" s="544"/>
      <c r="J44" s="544"/>
      <c r="K44" s="544"/>
      <c r="L44" s="544"/>
      <c r="M44" s="544"/>
      <c r="N44" s="544"/>
      <c r="O44" s="544"/>
      <c r="P44" s="544"/>
      <c r="Q44" s="544"/>
      <c r="R44" s="544"/>
      <c r="S44" s="544"/>
      <c r="T44" s="544"/>
      <c r="U44" s="544"/>
      <c r="V44" s="544"/>
      <c r="W44" s="544"/>
      <c r="X44" s="544"/>
      <c r="Y44" s="544"/>
      <c r="Z44" s="544"/>
      <c r="AA44" s="544"/>
      <c r="AB44" s="544"/>
      <c r="AC44" s="544"/>
      <c r="AD44" s="544"/>
      <c r="AE44" s="544"/>
      <c r="AF44" s="544"/>
    </row>
    <row r="45" spans="1:32">
      <c r="A45" s="533">
        <v>8</v>
      </c>
      <c r="B45" s="534" t="s">
        <v>1332</v>
      </c>
      <c r="C45" s="535" t="s">
        <v>492</v>
      </c>
      <c r="D45" s="12" t="s">
        <v>742</v>
      </c>
      <c r="E45" s="13">
        <v>511</v>
      </c>
      <c r="F45" s="14" t="str">
        <f>VLOOKUP($E$45,[1]ON!$A$2:$FA$37, 3, FALSE)</f>
        <v xml:space="preserve">511  Exports of goods                                                                </v>
      </c>
      <c r="G45" s="544">
        <f>IF(VLOOKUP($E$45,[1]ON!$A$2:$FA$37, 6, FALSE)="",":",VLOOKUP($E$45,[1]ON!$A$2:$FA$37, 6, FALSE))</f>
        <v>3907.3501199141119</v>
      </c>
      <c r="H45" s="544">
        <f>IF(VLOOKUP($E$45,[1]ON!$A$2:$FA$37, 7, FALSE)="",":",VLOOKUP($E$45,[1]ON!$A$2:$FA$37, 7, FALSE))</f>
        <v>4573.9617407445858</v>
      </c>
      <c r="I45" s="544">
        <f>IF(VLOOKUP($E$45,[1]ON!$A$2:$FA$37, 8, FALSE)="",":",VLOOKUP($E$45,[1]ON!$A$2:$FA$37, 8, FALSE))</f>
        <v>5418.2026596939959</v>
      </c>
      <c r="J45" s="544">
        <f>IF(VLOOKUP($E$45,[1]ON!$A$2:$FA$37, 9, FALSE)="",":",VLOOKUP($E$45,[1]ON!$A$2:$FA$37, 9, FALSE))</f>
        <v>5572.1661905684068</v>
      </c>
      <c r="K45" s="544">
        <f>IF(VLOOKUP($E$45,[1]ON!$A$2:$FA$37, 10, FALSE)="",":",VLOOKUP($E$45,[1]ON!$A$2:$FA$37, 10, FALSE))</f>
        <v>4397.9269342993148</v>
      </c>
      <c r="L45" s="544">
        <f>IF(VLOOKUP($E$45,[1]ON!$A$2:$FA$37, 11, FALSE)="",":",VLOOKUP($E$45,[1]ON!$A$2:$FA$37, 11, FALSE))</f>
        <v>5056.0102189302843</v>
      </c>
      <c r="M45" s="544">
        <f>IF(VLOOKUP($E$45,[1]ON!$A$2:$FA$37, 12, FALSE)="",":",VLOOKUP($E$45,[1]ON!$A$2:$FA$37, 12, FALSE))</f>
        <v>6297.542875173579</v>
      </c>
      <c r="N45" s="544">
        <f>IF(VLOOKUP($E$45,[1]ON!$A$2:$FA$37, 13, FALSE)="",":",VLOOKUP($E$45,[1]ON!$A$2:$FA$37, 13, FALSE))</f>
        <v>7501.8609734554002</v>
      </c>
      <c r="O45" s="544">
        <f>IF(VLOOKUP($E$45,[1]ON!$A$2:$FA$37, 14, FALSE)="",":",VLOOKUP($E$45,[1]ON!$A$2:$FA$37, 14, FALSE))</f>
        <v>8182.3168779551888</v>
      </c>
      <c r="P45" s="544">
        <f>IF(VLOOKUP($E$45,[1]ON!$A$2:$FA$37, 15, FALSE)="",":",VLOOKUP($E$45,[1]ON!$A$2:$FA$37, 15, FALSE))</f>
        <v>8352.11</v>
      </c>
      <c r="Q45" s="544">
        <f>IF(VLOOKUP($E$45,[1]ON!$A$2:$FA$37, 16, FALSE)="",":",VLOOKUP($E$45,[1]ON!$A$2:$FA$37, 16, FALSE))</f>
        <v>10434.51</v>
      </c>
      <c r="R45" s="544">
        <f>IF(VLOOKUP($E$45,[1]ON!$A$2:$FA$37, 17, FALSE)="",":",VLOOKUP($E$45,[1]ON!$A$2:$FA$37, 17, FALSE))</f>
        <v>11827.11</v>
      </c>
      <c r="S45" s="544">
        <f>IF(VLOOKUP($E$45,[1]ON!$A$2:$FA$37, 18, FALSE)="",":",VLOOKUP($E$45,[1]ON!$A$2:$FA$37, 18, FALSE))</f>
        <v>12288.1</v>
      </c>
      <c r="T45" s="544">
        <f>IF(VLOOKUP($E$45,[1]ON!$A$2:$FA$37, 19, FALSE)="",":",VLOOKUP($E$45,[1]ON!$A$2:$FA$37, 19, FALSE))</f>
        <v>14264.49</v>
      </c>
      <c r="U45" s="544">
        <f>IF(VLOOKUP($E$45,[1]ON!$A$2:$FA$37, 20, FALSE)="",":",VLOOKUP($E$45,[1]ON!$A$2:$FA$37, 20, FALSE))</f>
        <v>12427.54</v>
      </c>
      <c r="V45" s="544">
        <f>IF(VLOOKUP($E$45,[1]ON!$A$2:$FA$37, 21, FALSE)="",":",VLOOKUP($E$45,[1]ON!$A$2:$FA$37, 21, FALSE))</f>
        <v>14891</v>
      </c>
      <c r="W45" s="544">
        <f>IF(VLOOKUP($E$45,[1]ON!$A$2:$FA$37, 22, FALSE)="",":",VLOOKUP($E$45,[1]ON!$A$2:$FA$37, 22, FALSE))</f>
        <v>17204.669999999998</v>
      </c>
      <c r="X45" s="544">
        <f>IF(VLOOKUP($E$45,[1]ON!$A$2:$FA$37, 23, FALSE)="",":",VLOOKUP($E$45,[1]ON!$A$2:$FA$37, 23, FALSE))</f>
        <v>19202.400000000001</v>
      </c>
      <c r="Y45" s="544">
        <f>IF(VLOOKUP($E$45,[1]ON!$A$2:$FA$37, 24, FALSE)="",":",VLOOKUP($E$45,[1]ON!$A$2:$FA$37, 24, FALSE))</f>
        <v>20987.58</v>
      </c>
      <c r="Z45" s="544">
        <f>IF(VLOOKUP($E$45,[1]ON!$A$2:$FA$37, 25, FALSE)="",":",VLOOKUP($E$45,[1]ON!$A$2:$FA$37, 25, FALSE))</f>
        <v>21368.49</v>
      </c>
      <c r="AA45" s="544">
        <f>IF(VLOOKUP($E$45,[1]ON!$A$2:$FA$37, 26, FALSE)="",":",VLOOKUP($E$45,[1]ON!$A$2:$FA$37, 26, FALSE))</f>
        <v>21201.09</v>
      </c>
      <c r="AB45" s="544">
        <f>IF(VLOOKUP($E$45,[1]ON!$A$2:$FA$37, 27, FALSE)="",":",VLOOKUP($E$45,[1]ON!$A$2:$FA$37, 27, FALSE))</f>
        <v>21490.98</v>
      </c>
      <c r="AC45" s="544">
        <f>IF(VLOOKUP($E$45,[1]ON!$A$2:$FA$37, 28, FALSE)="",":",VLOOKUP($E$45,[1]ON!$A$2:$FA$37, 28, FALSE))</f>
        <v>24115.1</v>
      </c>
      <c r="AD45" s="544" t="str">
        <f>IF(VLOOKUP($E$45,[1]ON!$A$2:$FA$37, 29, FALSE)="",":",VLOOKUP($E$45,[1]ON!$A$2:$FA$37, 29, FALSE))</f>
        <v>:</v>
      </c>
      <c r="AE45" s="544" t="str">
        <f>IF(VLOOKUP($E$45,[1]ON!$A$2:$FA$37, 30, FALSE)="",":",VLOOKUP($E$45,[1]ON!$A$2:$FA$37, 30, FALSE))</f>
        <v>:</v>
      </c>
      <c r="AF45" s="544" t="str">
        <f>IF(VLOOKUP($E$45,[1]ON!$A$2:$FA$37, 31, FALSE)="",":",VLOOKUP($E$45,[1]ON!$A$2:$FA$37, 31, FALSE))</f>
        <v>:</v>
      </c>
    </row>
    <row r="46" spans="1:32">
      <c r="A46" s="533">
        <v>9</v>
      </c>
      <c r="B46" s="534" t="s">
        <v>1995</v>
      </c>
      <c r="C46" s="535" t="s">
        <v>493</v>
      </c>
      <c r="D46" s="12" t="s">
        <v>742</v>
      </c>
      <c r="E46" s="13">
        <v>512</v>
      </c>
      <c r="F46" s="14" t="str">
        <f>VLOOKUP($E$46,[1]ON!$A$2:$FA$37, 3, FALSE)</f>
        <v xml:space="preserve">512  Exports of services </v>
      </c>
      <c r="G46" s="544">
        <f>IF(VLOOKUP($E$46,[1]ON!$A$2:$FA$37, 6, FALSE)="",":",VLOOKUP($E$46,[1]ON!$A$2:$FA$37, 6, FALSE))</f>
        <v>1099.8281060419638</v>
      </c>
      <c r="H46" s="544">
        <f>IF(VLOOKUP($E$46,[1]ON!$A$2:$FA$37, 7, FALSE)="",":",VLOOKUP($E$46,[1]ON!$A$2:$FA$37, 7, FALSE))</f>
        <v>1430.2389553745404</v>
      </c>
      <c r="I46" s="544">
        <f>IF(VLOOKUP($E$46,[1]ON!$A$2:$FA$37, 8, FALSE)="",":",VLOOKUP($E$46,[1]ON!$A$2:$FA$37, 8, FALSE))</f>
        <v>1722.7190172957553</v>
      </c>
      <c r="J46" s="544">
        <f>IF(VLOOKUP($E$46,[1]ON!$A$2:$FA$37, 9, FALSE)="",":",VLOOKUP($E$46,[1]ON!$A$2:$FA$37, 9, FALSE))</f>
        <v>1929.7793068012895</v>
      </c>
      <c r="K46" s="544">
        <f>IF(VLOOKUP($E$46,[1]ON!$A$2:$FA$37, 10, FALSE)="",":",VLOOKUP($E$46,[1]ON!$A$2:$FA$37, 10, FALSE))</f>
        <v>1935.4938303519414</v>
      </c>
      <c r="L46" s="544">
        <f>IF(VLOOKUP($E$46,[1]ON!$A$2:$FA$37, 11, FALSE)="",":",VLOOKUP($E$46,[1]ON!$A$2:$FA$37, 11, FALSE))</f>
        <v>1820.2071417810007</v>
      </c>
      <c r="M46" s="544">
        <f>IF(VLOOKUP($E$46,[1]ON!$A$2:$FA$37, 12, FALSE)="",":",VLOOKUP($E$46,[1]ON!$A$2:$FA$37, 12, FALSE))</f>
        <v>1975.4876509737651</v>
      </c>
      <c r="N46" s="544">
        <f>IF(VLOOKUP($E$46,[1]ON!$A$2:$FA$37, 13, FALSE)="",":",VLOOKUP($E$46,[1]ON!$A$2:$FA$37, 13, FALSE))</f>
        <v>2300.7566057456656</v>
      </c>
      <c r="O46" s="544">
        <f>IF(VLOOKUP($E$46,[1]ON!$A$2:$FA$37, 14, FALSE)="",":",VLOOKUP($E$46,[1]ON!$A$2:$FA$37, 14, FALSE))</f>
        <v>2434.689035538157</v>
      </c>
      <c r="P46" s="544">
        <f>IF(VLOOKUP($E$46,[1]ON!$A$2:$FA$37, 15, FALSE)="",":",VLOOKUP($E$46,[1]ON!$A$2:$FA$37, 15, FALSE))</f>
        <v>2722.76</v>
      </c>
      <c r="Q46" s="544">
        <f>IF(VLOOKUP($E$46,[1]ON!$A$2:$FA$37, 16, FALSE)="",":",VLOOKUP($E$46,[1]ON!$A$2:$FA$37, 16, FALSE))</f>
        <v>2938.3</v>
      </c>
      <c r="R46" s="544">
        <f>IF(VLOOKUP($E$46,[1]ON!$A$2:$FA$37, 17, FALSE)="",":",VLOOKUP($E$46,[1]ON!$A$2:$FA$37, 17, FALSE))</f>
        <v>3235.23</v>
      </c>
      <c r="S46" s="544">
        <f>IF(VLOOKUP($E$46,[1]ON!$A$2:$FA$37, 18, FALSE)="",":",VLOOKUP($E$46,[1]ON!$A$2:$FA$37, 18, FALSE))</f>
        <v>3252.69</v>
      </c>
      <c r="T46" s="544">
        <f>IF(VLOOKUP($E$46,[1]ON!$A$2:$FA$37, 19, FALSE)="",":",VLOOKUP($E$46,[1]ON!$A$2:$FA$37, 19, FALSE))</f>
        <v>3379.16</v>
      </c>
      <c r="U46" s="544">
        <f>IF(VLOOKUP($E$46,[1]ON!$A$2:$FA$37, 20, FALSE)="",":",VLOOKUP($E$46,[1]ON!$A$2:$FA$37, 20, FALSE))</f>
        <v>2960.34</v>
      </c>
      <c r="V46" s="544">
        <f>IF(VLOOKUP($E$46,[1]ON!$A$2:$FA$37, 21, FALSE)="",":",VLOOKUP($E$46,[1]ON!$A$2:$FA$37, 21, FALSE))</f>
        <v>3422.87</v>
      </c>
      <c r="W46" s="544">
        <f>IF(VLOOKUP($E$46,[1]ON!$A$2:$FA$37, 22, FALSE)="",":",VLOOKUP($E$46,[1]ON!$A$2:$FA$37, 22, FALSE))</f>
        <v>3930.35</v>
      </c>
      <c r="X46" s="544">
        <f>IF(VLOOKUP($E$46,[1]ON!$A$2:$FA$37, 23, FALSE)="",":",VLOOKUP($E$46,[1]ON!$A$2:$FA$37, 23, FALSE))</f>
        <v>4564.33</v>
      </c>
      <c r="Y46" s="544">
        <f>IF(VLOOKUP($E$46,[1]ON!$A$2:$FA$37, 24, FALSE)="",":",VLOOKUP($E$46,[1]ON!$A$2:$FA$37, 24, FALSE))</f>
        <v>5134.6400000000003</v>
      </c>
      <c r="Z46" s="544">
        <f>IF(VLOOKUP($E$46,[1]ON!$A$2:$FA$37, 25, FALSE)="",":",VLOOKUP($E$46,[1]ON!$A$2:$FA$37, 25, FALSE))</f>
        <v>5634.82</v>
      </c>
      <c r="AA46" s="544">
        <f>IF(VLOOKUP($E$46,[1]ON!$A$2:$FA$37, 26, FALSE)="",":",VLOOKUP($E$46,[1]ON!$A$2:$FA$37, 26, FALSE))</f>
        <v>5709.72</v>
      </c>
      <c r="AB46" s="544">
        <f>IF(VLOOKUP($E$46,[1]ON!$A$2:$FA$37, 27, FALSE)="",":",VLOOKUP($E$46,[1]ON!$A$2:$FA$37, 27, FALSE))</f>
        <v>6344.72</v>
      </c>
      <c r="AC46" s="544">
        <f>IF(VLOOKUP($E$46,[1]ON!$A$2:$FA$37, 28, FALSE)="",":",VLOOKUP($E$46,[1]ON!$A$2:$FA$37, 28, FALSE))</f>
        <v>7392.91</v>
      </c>
      <c r="AD46" s="544" t="str">
        <f>IF(VLOOKUP($E$46,[1]ON!$A$2:$FA$37, 29, FALSE)="",":",VLOOKUP($E$46,[1]ON!$A$2:$FA$37, 29, FALSE))</f>
        <v>:</v>
      </c>
      <c r="AE46" s="544" t="str">
        <f>IF(VLOOKUP($E$46,[1]ON!$A$2:$FA$37, 30, FALSE)="",":",VLOOKUP($E$46,[1]ON!$A$2:$FA$37, 30, FALSE))</f>
        <v>:</v>
      </c>
      <c r="AF46" s="544" t="str">
        <f>IF(VLOOKUP($E$46,[1]ON!$A$2:$FA$37, 31, FALSE)="",":",VLOOKUP($E$46,[1]ON!$A$2:$FA$37, 31, FALSE))</f>
        <v>:</v>
      </c>
    </row>
    <row r="47" spans="1:32">
      <c r="A47" s="533"/>
      <c r="B47" s="534" t="s">
        <v>2061</v>
      </c>
      <c r="C47" s="535" t="s">
        <v>494</v>
      </c>
      <c r="D47" s="12" t="s">
        <v>742</v>
      </c>
      <c r="E47" s="13">
        <v>510</v>
      </c>
      <c r="F47" s="14" t="str">
        <f>VLOOKUP($E$47,[1]ON!$A$2:$FA$37, 3, FALSE)</f>
        <v xml:space="preserve">510  Exports of goods and services                                                   </v>
      </c>
      <c r="G47" s="544">
        <f>IF(VLOOKUP($E$47,[1]ON!$A$2:$FA$37, 6, FALSE)="",":",VLOOKUP($E$47,[1]ON!$A$2:$FA$37, 6, FALSE))</f>
        <v>5048.8624980055201</v>
      </c>
      <c r="H47" s="544">
        <f>IF(VLOOKUP($E$47,[1]ON!$A$2:$FA$37, 7, FALSE)="",":",VLOOKUP($E$47,[1]ON!$A$2:$FA$37, 7, FALSE))</f>
        <v>6010.3945464491662</v>
      </c>
      <c r="I47" s="544">
        <f>IF(VLOOKUP($E$47,[1]ON!$A$2:$FA$37, 8, FALSE)="",":",VLOOKUP($E$47,[1]ON!$A$2:$FA$37, 8, FALSE))</f>
        <v>7142.6519644701457</v>
      </c>
      <c r="J47" s="544">
        <f>IF(VLOOKUP($E$47,[1]ON!$A$2:$FA$37, 9, FALSE)="",":",VLOOKUP($E$47,[1]ON!$A$2:$FA$37, 9, FALSE))</f>
        <v>7475.4434702729159</v>
      </c>
      <c r="K47" s="544">
        <f>IF(VLOOKUP($E$47,[1]ON!$A$2:$FA$37, 10, FALSE)="",":",VLOOKUP($E$47,[1]ON!$A$2:$FA$37, 10, FALSE))</f>
        <v>6251.5592078803729</v>
      </c>
      <c r="L47" s="544">
        <f>IF(VLOOKUP($E$47,[1]ON!$A$2:$FA$37, 11, FALSE)="",":",VLOOKUP($E$47,[1]ON!$A$2:$FA$37, 11, FALSE))</f>
        <v>6849.0337777093982</v>
      </c>
      <c r="M47" s="544">
        <f>IF(VLOOKUP($E$47,[1]ON!$A$2:$FA$37, 12, FALSE)="",":",VLOOKUP($E$47,[1]ON!$A$2:$FA$37, 12, FALSE))</f>
        <v>8301.6546339835877</v>
      </c>
      <c r="N47" s="544">
        <f>IF(VLOOKUP($E$47,[1]ON!$A$2:$FA$37, 13, FALSE)="",":",VLOOKUP($E$47,[1]ON!$A$2:$FA$37, 13, FALSE))</f>
        <v>9846.6792846551252</v>
      </c>
      <c r="O47" s="544">
        <f>IF(VLOOKUP($E$47,[1]ON!$A$2:$FA$37, 14, FALSE)="",":",VLOOKUP($E$47,[1]ON!$A$2:$FA$37, 14, FALSE))</f>
        <v>10676.380457755817</v>
      </c>
      <c r="P47" s="544">
        <f>IF(VLOOKUP($E$47,[1]ON!$A$2:$FA$37, 15, FALSE)="",":",VLOOKUP($E$47,[1]ON!$A$2:$FA$37, 15, FALSE))</f>
        <v>11102.8</v>
      </c>
      <c r="Q47" s="544">
        <f>IF(VLOOKUP($E$47,[1]ON!$A$2:$FA$37, 16, FALSE)="",":",VLOOKUP($E$47,[1]ON!$A$2:$FA$37, 16, FALSE))</f>
        <v>13383.35</v>
      </c>
      <c r="R47" s="544">
        <f>IF(VLOOKUP($E$47,[1]ON!$A$2:$FA$37, 17, FALSE)="",":",VLOOKUP($E$47,[1]ON!$A$2:$FA$37, 17, FALSE))</f>
        <v>15075.61</v>
      </c>
      <c r="S47" s="544">
        <f>IF(VLOOKUP($E$47,[1]ON!$A$2:$FA$37, 18, FALSE)="",":",VLOOKUP($E$47,[1]ON!$A$2:$FA$37, 18, FALSE))</f>
        <v>15554.21</v>
      </c>
      <c r="T47" s="544">
        <f>IF(VLOOKUP($E$47,[1]ON!$A$2:$FA$37, 19, FALSE)="",":",VLOOKUP($E$47,[1]ON!$A$2:$FA$37, 19, FALSE))</f>
        <v>17655.14</v>
      </c>
      <c r="U47" s="544">
        <f>IF(VLOOKUP($E$47,[1]ON!$A$2:$FA$37, 20, FALSE)="",":",VLOOKUP($E$47,[1]ON!$A$2:$FA$37, 20, FALSE))</f>
        <v>15397.29</v>
      </c>
      <c r="V47" s="544">
        <f>IF(VLOOKUP($E$47,[1]ON!$A$2:$FA$37, 21, FALSE)="",":",VLOOKUP($E$47,[1]ON!$A$2:$FA$37, 21, FALSE))</f>
        <v>18313.88</v>
      </c>
      <c r="W47" s="544">
        <f>IF(VLOOKUP($E$47,[1]ON!$A$2:$FA$37, 22, FALSE)="",":",VLOOKUP($E$47,[1]ON!$A$2:$FA$37, 22, FALSE))</f>
        <v>21135.02</v>
      </c>
      <c r="X47" s="544">
        <f>IF(VLOOKUP($E$47,[1]ON!$A$2:$FA$37, 23, FALSE)="",":",VLOOKUP($E$47,[1]ON!$A$2:$FA$37, 23, FALSE))</f>
        <v>23753.35</v>
      </c>
      <c r="Y47" s="544">
        <f>IF(VLOOKUP($E$47,[1]ON!$A$2:$FA$37, 24, FALSE)="",":",VLOOKUP($E$47,[1]ON!$A$2:$FA$37, 24, FALSE))</f>
        <v>26095.38</v>
      </c>
      <c r="Z47" s="544">
        <f>IF(VLOOKUP($E$47,[1]ON!$A$2:$FA$37, 25, FALSE)="",":",VLOOKUP($E$47,[1]ON!$A$2:$FA$37, 25, FALSE))</f>
        <v>26948.37</v>
      </c>
      <c r="AA47" s="544">
        <f>IF(VLOOKUP($E$47,[1]ON!$A$2:$FA$37, 26, FALSE)="",":",VLOOKUP($E$47,[1]ON!$A$2:$FA$37, 26, FALSE))</f>
        <v>26850.68</v>
      </c>
      <c r="AB47" s="544">
        <f>IF(VLOOKUP($E$47,[1]ON!$A$2:$FA$37, 27, FALSE)="",":",VLOOKUP($E$47,[1]ON!$A$2:$FA$37, 27, FALSE))</f>
        <v>27778.27</v>
      </c>
      <c r="AC47" s="544">
        <f>IF(VLOOKUP($E$47,[1]ON!$A$2:$FA$37, 28, FALSE)="",":",VLOOKUP($E$47,[1]ON!$A$2:$FA$37, 28, FALSE))</f>
        <v>31455.69</v>
      </c>
      <c r="AD47" s="544" t="str">
        <f>IF(VLOOKUP($E$47,[1]ON!$A$2:$FA$37, 29, FALSE)="",":",VLOOKUP($E$47,[1]ON!$A$2:$FA$37, 29, FALSE))</f>
        <v>:</v>
      </c>
      <c r="AE47" s="544" t="str">
        <f>IF(VLOOKUP($E$47,[1]ON!$A$2:$FA$37, 30, FALSE)="",":",VLOOKUP($E$47,[1]ON!$A$2:$FA$37, 30, FALSE))</f>
        <v>:</v>
      </c>
      <c r="AF47" s="544" t="str">
        <f>IF(VLOOKUP($E$47,[1]ON!$A$2:$FA$37, 31, FALSE)="",":",VLOOKUP($E$47,[1]ON!$A$2:$FA$37, 31, FALSE))</f>
        <v>:</v>
      </c>
    </row>
    <row r="48" spans="1:32">
      <c r="A48" s="533"/>
      <c r="B48" s="534"/>
      <c r="C48" s="535"/>
      <c r="D48" s="12"/>
      <c r="E48" s="13"/>
      <c r="F48" s="14"/>
      <c r="G48" s="544"/>
      <c r="H48" s="544"/>
      <c r="I48" s="544"/>
      <c r="J48" s="544"/>
      <c r="K48" s="544"/>
      <c r="L48" s="544"/>
      <c r="M48" s="544"/>
      <c r="N48" s="544"/>
      <c r="O48" s="544"/>
      <c r="P48" s="544"/>
      <c r="Q48" s="544"/>
      <c r="R48" s="544"/>
      <c r="S48" s="544"/>
      <c r="T48" s="544"/>
      <c r="U48" s="544"/>
      <c r="V48" s="544"/>
      <c r="W48" s="544"/>
      <c r="X48" s="544"/>
      <c r="Y48" s="544"/>
      <c r="Z48" s="544"/>
      <c r="AA48" s="544"/>
      <c r="AB48" s="544"/>
      <c r="AC48" s="544"/>
      <c r="AD48" s="544"/>
      <c r="AE48" s="544"/>
      <c r="AF48" s="544"/>
    </row>
    <row r="49" spans="1:32">
      <c r="A49" s="533">
        <v>10</v>
      </c>
      <c r="B49" s="534" t="s">
        <v>1521</v>
      </c>
      <c r="C49" s="535" t="s">
        <v>495</v>
      </c>
      <c r="D49" s="12" t="s">
        <v>742</v>
      </c>
      <c r="E49" s="13">
        <v>521</v>
      </c>
      <c r="F49" s="14" t="str">
        <f>VLOOKUP($E$49,[1]ON!$A$2:$FA$37, 3, FALSE)</f>
        <v xml:space="preserve">521  Imports of goods                                                                </v>
      </c>
      <c r="G49" s="544">
        <f>IF(VLOOKUP($E$49,[1]ON!$A$2:$FA$37, 6, FALSE)="",":",VLOOKUP($E$49,[1]ON!$A$2:$FA$37, 6, FALSE))</f>
        <v>4220.2361070355128</v>
      </c>
      <c r="H49" s="544">
        <f>IF(VLOOKUP($E$49,[1]ON!$A$2:$FA$37, 7, FALSE)="",":",VLOOKUP($E$49,[1]ON!$A$2:$FA$37, 7, FALSE))</f>
        <v>5145.9241982483736</v>
      </c>
      <c r="I49" s="544">
        <f>IF(VLOOKUP($E$49,[1]ON!$A$2:$FA$37, 8, FALSE)="",":",VLOOKUP($E$49,[1]ON!$A$2:$FA$37, 8, FALSE))</f>
        <v>6422.7812286901108</v>
      </c>
      <c r="J49" s="544">
        <f>IF(VLOOKUP($E$49,[1]ON!$A$2:$FA$37, 9, FALSE)="",":",VLOOKUP($E$49,[1]ON!$A$2:$FA$37, 9, FALSE))</f>
        <v>6874.6831285953276</v>
      </c>
      <c r="K49" s="544">
        <f>IF(VLOOKUP($E$49,[1]ON!$A$2:$FA$37, 10, FALSE)="",":",VLOOKUP($E$49,[1]ON!$A$2:$FA$37, 10, FALSE))</f>
        <v>5926.1647298424041</v>
      </c>
      <c r="L49" s="544">
        <f>IF(VLOOKUP($E$49,[1]ON!$A$2:$FA$37, 11, FALSE)="",":",VLOOKUP($E$49,[1]ON!$A$2:$FA$37, 11, FALSE))</f>
        <v>6444.0649774249559</v>
      </c>
      <c r="M49" s="544">
        <f>IF(VLOOKUP($E$49,[1]ON!$A$2:$FA$37, 12, FALSE)="",":",VLOOKUP($E$49,[1]ON!$A$2:$FA$37, 12, FALSE))</f>
        <v>7732.3226323786375</v>
      </c>
      <c r="N49" s="544">
        <f>IF(VLOOKUP($E$49,[1]ON!$A$2:$FA$37, 13, FALSE)="",":",VLOOKUP($E$49,[1]ON!$A$2:$FA$37, 13, FALSE))</f>
        <v>9173.0083482807513</v>
      </c>
      <c r="O49" s="544">
        <f>IF(VLOOKUP($E$49,[1]ON!$A$2:$FA$37, 14, FALSE)="",":",VLOOKUP($E$49,[1]ON!$A$2:$FA$37, 14, FALSE))</f>
        <v>9922.0561771248813</v>
      </c>
      <c r="P49" s="544">
        <f>IF(VLOOKUP($E$49,[1]ON!$A$2:$FA$37, 15, FALSE)="",":",VLOOKUP($E$49,[1]ON!$A$2:$FA$37, 15, FALSE))</f>
        <v>11380.47</v>
      </c>
      <c r="Q49" s="544">
        <f>IF(VLOOKUP($E$49,[1]ON!$A$2:$FA$37, 16, FALSE)="",":",VLOOKUP($E$49,[1]ON!$A$2:$FA$37, 16, FALSE))</f>
        <v>13640.18</v>
      </c>
      <c r="R49" s="544">
        <f>IF(VLOOKUP($E$49,[1]ON!$A$2:$FA$37, 17, FALSE)="",":",VLOOKUP($E$49,[1]ON!$A$2:$FA$37, 17, FALSE))</f>
        <v>15545.04</v>
      </c>
      <c r="S49" s="544">
        <f>IF(VLOOKUP($E$49,[1]ON!$A$2:$FA$37, 18, FALSE)="",":",VLOOKUP($E$49,[1]ON!$A$2:$FA$37, 18, FALSE))</f>
        <v>17068.759999999998</v>
      </c>
      <c r="T49" s="544">
        <f>IF(VLOOKUP($E$49,[1]ON!$A$2:$FA$37, 19, FALSE)="",":",VLOOKUP($E$49,[1]ON!$A$2:$FA$37, 19, FALSE))</f>
        <v>19235.55</v>
      </c>
      <c r="U49" s="544">
        <f>IF(VLOOKUP($E$49,[1]ON!$A$2:$FA$37, 20, FALSE)="",":",VLOOKUP($E$49,[1]ON!$A$2:$FA$37, 20, FALSE))</f>
        <v>13549.8</v>
      </c>
      <c r="V49" s="544">
        <f>IF(VLOOKUP($E$49,[1]ON!$A$2:$FA$37, 21, FALSE)="",":",VLOOKUP($E$49,[1]ON!$A$2:$FA$37, 21, FALSE))</f>
        <v>16539.330000000002</v>
      </c>
      <c r="W49" s="544">
        <f>IF(VLOOKUP($E$49,[1]ON!$A$2:$FA$37, 22, FALSE)="",":",VLOOKUP($E$49,[1]ON!$A$2:$FA$37, 22, FALSE))</f>
        <v>18973.060000000001</v>
      </c>
      <c r="X49" s="544">
        <f>IF(VLOOKUP($E$49,[1]ON!$A$2:$FA$37, 23, FALSE)="",":",VLOOKUP($E$49,[1]ON!$A$2:$FA$37, 23, FALSE))</f>
        <v>19879.45</v>
      </c>
      <c r="Y49" s="544">
        <f>IF(VLOOKUP($E$49,[1]ON!$A$2:$FA$37, 24, FALSE)="",":",VLOOKUP($E$49,[1]ON!$A$2:$FA$37, 24, FALSE))</f>
        <v>21409.67</v>
      </c>
      <c r="Z49" s="544">
        <f>IF(VLOOKUP($E$49,[1]ON!$A$2:$FA$37, 25, FALSE)="",":",VLOOKUP($E$49,[1]ON!$A$2:$FA$37, 25, FALSE))</f>
        <v>22005.84</v>
      </c>
      <c r="AA49" s="544">
        <f>IF(VLOOKUP($E$49,[1]ON!$A$2:$FA$37, 26, FALSE)="",":",VLOOKUP($E$49,[1]ON!$A$2:$FA$37, 26, FALSE))</f>
        <v>23611</v>
      </c>
      <c r="AB49" s="544">
        <f>IF(VLOOKUP($E$49,[1]ON!$A$2:$FA$37, 27, FALSE)="",":",VLOOKUP($E$49,[1]ON!$A$2:$FA$37, 27, FALSE))</f>
        <v>24316.97</v>
      </c>
      <c r="AC49" s="544">
        <f>IF(VLOOKUP($E$49,[1]ON!$A$2:$FA$37, 28, FALSE)="",":",VLOOKUP($E$49,[1]ON!$A$2:$FA$37, 28, FALSE))</f>
        <v>27416.92</v>
      </c>
      <c r="AD49" s="544" t="str">
        <f>IF(VLOOKUP($E$49,[1]ON!$A$2:$FA$37, 29, FALSE)="",":",VLOOKUP($E$49,[1]ON!$A$2:$FA$37, 29, FALSE))</f>
        <v>:</v>
      </c>
      <c r="AE49" s="544" t="str">
        <f>IF(VLOOKUP($E$49,[1]ON!$A$2:$FA$37, 30, FALSE)="",":",VLOOKUP($E$49,[1]ON!$A$2:$FA$37, 30, FALSE))</f>
        <v>:</v>
      </c>
      <c r="AF49" s="544" t="str">
        <f>IF(VLOOKUP($E$49,[1]ON!$A$2:$FA$37, 31, FALSE)="",":",VLOOKUP($E$49,[1]ON!$A$2:$FA$37, 31, FALSE))</f>
        <v>:</v>
      </c>
    </row>
    <row r="50" spans="1:32">
      <c r="A50" s="533">
        <v>11</v>
      </c>
      <c r="B50" s="534" t="s">
        <v>1703</v>
      </c>
      <c r="C50" s="535" t="s">
        <v>496</v>
      </c>
      <c r="D50" s="12" t="s">
        <v>742</v>
      </c>
      <c r="E50" s="13">
        <v>522</v>
      </c>
      <c r="F50" s="14" t="str">
        <f>VLOOKUP($E$50,[1]ON!$A$2:$FA$37, 3, FALSE)</f>
        <v xml:space="preserve">522  Imports of services </v>
      </c>
      <c r="G50" s="544">
        <f>IF(VLOOKUP($E$50,[1]ON!$A$2:$FA$37, 6, FALSE)="",":",VLOOKUP($E$50,[1]ON!$A$2:$FA$37, 6, FALSE))</f>
        <v>708.79742460775731</v>
      </c>
      <c r="H50" s="544">
        <f>IF(VLOOKUP($E$50,[1]ON!$A$2:$FA$37, 7, FALSE)="",":",VLOOKUP($E$50,[1]ON!$A$2:$FA$37, 7, FALSE))</f>
        <v>931.64550545415557</v>
      </c>
      <c r="I50" s="544">
        <f>IF(VLOOKUP($E$50,[1]ON!$A$2:$FA$37, 8, FALSE)="",":",VLOOKUP($E$50,[1]ON!$A$2:$FA$37, 8, FALSE))</f>
        <v>1173.2587156015638</v>
      </c>
      <c r="J50" s="544">
        <f>IF(VLOOKUP($E$50,[1]ON!$A$2:$FA$37, 9, FALSE)="",":",VLOOKUP($E$50,[1]ON!$A$2:$FA$37, 9, FALSE))</f>
        <v>1183.8226201112127</v>
      </c>
      <c r="K50" s="544">
        <f>IF(VLOOKUP($E$50,[1]ON!$A$2:$FA$37, 10, FALSE)="",":",VLOOKUP($E$50,[1]ON!$A$2:$FA$37, 10, FALSE))</f>
        <v>1144.3580797618031</v>
      </c>
      <c r="L50" s="544">
        <f>IF(VLOOKUP($E$50,[1]ON!$A$2:$FA$37, 11, FALSE)="",":",VLOOKUP($E$50,[1]ON!$A$2:$FA$37, 11, FALSE))</f>
        <v>954.77899588265791</v>
      </c>
      <c r="M50" s="544">
        <f>IF(VLOOKUP($E$50,[1]ON!$A$2:$FA$37, 12, FALSE)="",":",VLOOKUP($E$50,[1]ON!$A$2:$FA$37, 12, FALSE))</f>
        <v>948.45688037273612</v>
      </c>
      <c r="N50" s="544">
        <f>IF(VLOOKUP($E$50,[1]ON!$A$2:$FA$37, 13, FALSE)="",":",VLOOKUP($E$50,[1]ON!$A$2:$FA$37, 13, FALSE))</f>
        <v>1120.8351366324841</v>
      </c>
      <c r="O50" s="544">
        <f>IF(VLOOKUP($E$50,[1]ON!$A$2:$FA$37, 14, FALSE)="",":",VLOOKUP($E$50,[1]ON!$A$2:$FA$37, 14, FALSE))</f>
        <v>1278.6705799559077</v>
      </c>
      <c r="P50" s="544">
        <f>IF(VLOOKUP($E$50,[1]ON!$A$2:$FA$37, 15, FALSE)="",":",VLOOKUP($E$50,[1]ON!$A$2:$FA$37, 15, FALSE))</f>
        <v>1513.32</v>
      </c>
      <c r="Q50" s="544">
        <f>IF(VLOOKUP($E$50,[1]ON!$A$2:$FA$37, 16, FALSE)="",":",VLOOKUP($E$50,[1]ON!$A$2:$FA$37, 16, FALSE))</f>
        <v>1867.96</v>
      </c>
      <c r="R50" s="544">
        <f>IF(VLOOKUP($E$50,[1]ON!$A$2:$FA$37, 17, FALSE)="",":",VLOOKUP($E$50,[1]ON!$A$2:$FA$37, 17, FALSE))</f>
        <v>2170.91</v>
      </c>
      <c r="S50" s="544">
        <f>IF(VLOOKUP($E$50,[1]ON!$A$2:$FA$37, 18, FALSE)="",":",VLOOKUP($E$50,[1]ON!$A$2:$FA$37, 18, FALSE))</f>
        <v>2554.02</v>
      </c>
      <c r="T50" s="544">
        <f>IF(VLOOKUP($E$50,[1]ON!$A$2:$FA$37, 19, FALSE)="",":",VLOOKUP($E$50,[1]ON!$A$2:$FA$37, 19, FALSE))</f>
        <v>2782.51</v>
      </c>
      <c r="U50" s="544">
        <f>IF(VLOOKUP($E$50,[1]ON!$A$2:$FA$37, 20, FALSE)="",":",VLOOKUP($E$50,[1]ON!$A$2:$FA$37, 20, FALSE))</f>
        <v>2301</v>
      </c>
      <c r="V50" s="544">
        <f>IF(VLOOKUP($E$50,[1]ON!$A$2:$FA$37, 21, FALSE)="",":",VLOOKUP($E$50,[1]ON!$A$2:$FA$37, 21, FALSE))</f>
        <v>2300.7600000000002</v>
      </c>
      <c r="W50" s="544">
        <f>IF(VLOOKUP($E$50,[1]ON!$A$2:$FA$37, 22, FALSE)="",":",VLOOKUP($E$50,[1]ON!$A$2:$FA$37, 22, FALSE))</f>
        <v>2694.33</v>
      </c>
      <c r="X50" s="544">
        <f>IF(VLOOKUP($E$50,[1]ON!$A$2:$FA$37, 23, FALSE)="",":",VLOOKUP($E$50,[1]ON!$A$2:$FA$37, 23, FALSE))</f>
        <v>3264.32</v>
      </c>
      <c r="Y50" s="544">
        <f>IF(VLOOKUP($E$50,[1]ON!$A$2:$FA$37, 24, FALSE)="",":",VLOOKUP($E$50,[1]ON!$A$2:$FA$37, 24, FALSE))</f>
        <v>3881.18</v>
      </c>
      <c r="Z50" s="544">
        <f>IF(VLOOKUP($E$50,[1]ON!$A$2:$FA$37, 25, FALSE)="",":",VLOOKUP($E$50,[1]ON!$A$2:$FA$37, 25, FALSE))</f>
        <v>4076.12</v>
      </c>
      <c r="AA50" s="544">
        <f>IF(VLOOKUP($E$50,[1]ON!$A$2:$FA$37, 26, FALSE)="",":",VLOOKUP($E$50,[1]ON!$A$2:$FA$37, 26, FALSE))</f>
        <v>4067.61</v>
      </c>
      <c r="AB50" s="544">
        <f>IF(VLOOKUP($E$50,[1]ON!$A$2:$FA$37, 27, FALSE)="",":",VLOOKUP($E$50,[1]ON!$A$2:$FA$37, 27, FALSE))</f>
        <v>4335.68</v>
      </c>
      <c r="AC50" s="544">
        <f>IF(VLOOKUP($E$50,[1]ON!$A$2:$FA$37, 28, FALSE)="",":",VLOOKUP($E$50,[1]ON!$A$2:$FA$37, 28, FALSE))</f>
        <v>4905.53</v>
      </c>
      <c r="AD50" s="544" t="str">
        <f>IF(VLOOKUP($E$50,[1]ON!$A$2:$FA$37, 29, FALSE)="",":",VLOOKUP($E$50,[1]ON!$A$2:$FA$37, 29, FALSE))</f>
        <v>:</v>
      </c>
      <c r="AE50" s="544" t="str">
        <f>IF(VLOOKUP($E$50,[1]ON!$A$2:$FA$37, 30, FALSE)="",":",VLOOKUP($E$50,[1]ON!$A$2:$FA$37, 30, FALSE))</f>
        <v>:</v>
      </c>
      <c r="AF50" s="544" t="str">
        <f>IF(VLOOKUP($E$50,[1]ON!$A$2:$FA$37, 31, FALSE)="",":",VLOOKUP($E$50,[1]ON!$A$2:$FA$37, 31, FALSE))</f>
        <v>:</v>
      </c>
    </row>
    <row r="51" spans="1:32">
      <c r="A51" s="533"/>
      <c r="B51" s="534" t="s">
        <v>2062</v>
      </c>
      <c r="C51" s="535" t="s">
        <v>497</v>
      </c>
      <c r="D51" s="12" t="s">
        <v>742</v>
      </c>
      <c r="E51" s="13">
        <v>520</v>
      </c>
      <c r="F51" s="14" t="str">
        <f>VLOOKUP($E$51,[1]ON!$A$2:$FA$37, 3, FALSE)</f>
        <v xml:space="preserve">520  Imports of goods and services                                                   </v>
      </c>
      <c r="G51" s="544">
        <f>IF(VLOOKUP($E$51,[1]ON!$A$2:$FA$37, 6, FALSE)="",":",VLOOKUP($E$51,[1]ON!$A$2:$FA$37, 6, FALSE))</f>
        <v>4910.7185321392935</v>
      </c>
      <c r="H51" s="544">
        <f>IF(VLOOKUP($E$51,[1]ON!$A$2:$FA$37, 7, FALSE)="",":",VLOOKUP($E$51,[1]ON!$A$2:$FA$37, 7, FALSE))</f>
        <v>6048.3442153241231</v>
      </c>
      <c r="I51" s="544">
        <f>IF(VLOOKUP($E$51,[1]ON!$A$2:$FA$37, 8, FALSE)="",":",VLOOKUP($E$51,[1]ON!$A$2:$FA$37, 8, FALSE))</f>
        <v>7558.391635136144</v>
      </c>
      <c r="J51" s="544">
        <f>IF(VLOOKUP($E$51,[1]ON!$A$2:$FA$37, 9, FALSE)="",":",VLOOKUP($E$51,[1]ON!$A$2:$FA$37, 9, FALSE))</f>
        <v>8022.4920854429147</v>
      </c>
      <c r="K51" s="544">
        <f>IF(VLOOKUP($E$51,[1]ON!$A$2:$FA$37, 10, FALSE)="",":",VLOOKUP($E$51,[1]ON!$A$2:$FA$37, 10, FALSE))</f>
        <v>7031.6124846573121</v>
      </c>
      <c r="L51" s="544">
        <f>IF(VLOOKUP($E$51,[1]ON!$A$2:$FA$37, 11, FALSE)="",":",VLOOKUP($E$51,[1]ON!$A$2:$FA$37, 11, FALSE))</f>
        <v>7381.5106295693358</v>
      </c>
      <c r="M51" s="544">
        <f>IF(VLOOKUP($E$51,[1]ON!$A$2:$FA$37, 12, FALSE)="",":",VLOOKUP($E$51,[1]ON!$A$2:$FA$37, 12, FALSE))</f>
        <v>8678.9063726768891</v>
      </c>
      <c r="N51" s="544">
        <f>IF(VLOOKUP($E$51,[1]ON!$A$2:$FA$37, 13, FALSE)="",":",VLOOKUP($E$51,[1]ON!$A$2:$FA$37, 13, FALSE))</f>
        <v>10291.648566601103</v>
      </c>
      <c r="O51" s="544">
        <f>IF(VLOOKUP($E$51,[1]ON!$A$2:$FA$37, 14, FALSE)="",":",VLOOKUP($E$51,[1]ON!$A$2:$FA$37, 14, FALSE))</f>
        <v>11203.10712470802</v>
      </c>
      <c r="P51" s="544">
        <f>IF(VLOOKUP($E$51,[1]ON!$A$2:$FA$37, 15, FALSE)="",":",VLOOKUP($E$51,[1]ON!$A$2:$FA$37, 15, FALSE))</f>
        <v>12899.29</v>
      </c>
      <c r="Q51" s="544">
        <f>IF(VLOOKUP($E$51,[1]ON!$A$2:$FA$37, 16, FALSE)="",":",VLOOKUP($E$51,[1]ON!$A$2:$FA$37, 16, FALSE))</f>
        <v>15523.05</v>
      </c>
      <c r="R51" s="544">
        <f>IF(VLOOKUP($E$51,[1]ON!$A$2:$FA$37, 17, FALSE)="",":",VLOOKUP($E$51,[1]ON!$A$2:$FA$37, 17, FALSE))</f>
        <v>17736.43</v>
      </c>
      <c r="S51" s="544">
        <f>IF(VLOOKUP($E$51,[1]ON!$A$2:$FA$37, 18, FALSE)="",":",VLOOKUP($E$51,[1]ON!$A$2:$FA$37, 18, FALSE))</f>
        <v>19653.54</v>
      </c>
      <c r="T51" s="544">
        <f>IF(VLOOKUP($E$51,[1]ON!$A$2:$FA$37, 19, FALSE)="",":",VLOOKUP($E$51,[1]ON!$A$2:$FA$37, 19, FALSE))</f>
        <v>22048.82</v>
      </c>
      <c r="U51" s="544">
        <f>IF(VLOOKUP($E$51,[1]ON!$A$2:$FA$37, 20, FALSE)="",":",VLOOKUP($E$51,[1]ON!$A$2:$FA$37, 20, FALSE))</f>
        <v>15875.85</v>
      </c>
      <c r="V51" s="544">
        <f>IF(VLOOKUP($E$51,[1]ON!$A$2:$FA$37, 21, FALSE)="",":",VLOOKUP($E$51,[1]ON!$A$2:$FA$37, 21, FALSE))</f>
        <v>18840.09</v>
      </c>
      <c r="W51" s="544">
        <f>IF(VLOOKUP($E$51,[1]ON!$A$2:$FA$37, 22, FALSE)="",":",VLOOKUP($E$51,[1]ON!$A$2:$FA$37, 22, FALSE))</f>
        <v>21667.39</v>
      </c>
      <c r="X51" s="544">
        <f>IF(VLOOKUP($E$51,[1]ON!$A$2:$FA$37, 23, FALSE)="",":",VLOOKUP($E$51,[1]ON!$A$2:$FA$37, 23, FALSE))</f>
        <v>23107.18</v>
      </c>
      <c r="Y51" s="544">
        <f>IF(VLOOKUP($E$51,[1]ON!$A$2:$FA$37, 24, FALSE)="",":",VLOOKUP($E$51,[1]ON!$A$2:$FA$37, 24, FALSE))</f>
        <v>25212.880000000001</v>
      </c>
      <c r="Z51" s="544">
        <f>IF(VLOOKUP($E$51,[1]ON!$A$2:$FA$37, 25, FALSE)="",":",VLOOKUP($E$51,[1]ON!$A$2:$FA$37, 25, FALSE))</f>
        <v>25993.58</v>
      </c>
      <c r="AA51" s="544">
        <f>IF(VLOOKUP($E$51,[1]ON!$A$2:$FA$37, 26, FALSE)="",":",VLOOKUP($E$51,[1]ON!$A$2:$FA$37, 26, FALSE))</f>
        <v>27605.34</v>
      </c>
      <c r="AB51" s="544">
        <f>IF(VLOOKUP($E$51,[1]ON!$A$2:$FA$37, 27, FALSE)="",":",VLOOKUP($E$51,[1]ON!$A$2:$FA$37, 27, FALSE))</f>
        <v>28579.200000000001</v>
      </c>
      <c r="AC51" s="544">
        <f>IF(VLOOKUP($E$51,[1]ON!$A$2:$FA$37, 28, FALSE)="",":",VLOOKUP($E$51,[1]ON!$A$2:$FA$37, 28, FALSE))</f>
        <v>32240.86</v>
      </c>
      <c r="AD51" s="544" t="str">
        <f>IF(VLOOKUP($E$51,[1]ON!$A$2:$FA$37, 29, FALSE)="",":",VLOOKUP($E$51,[1]ON!$A$2:$FA$37, 29, FALSE))</f>
        <v>:</v>
      </c>
      <c r="AE51" s="544" t="str">
        <f>IF(VLOOKUP($E$51,[1]ON!$A$2:$FA$37, 30, FALSE)="",":",VLOOKUP($E$51,[1]ON!$A$2:$FA$37, 30, FALSE))</f>
        <v>:</v>
      </c>
      <c r="AF51" s="544" t="str">
        <f>IF(VLOOKUP($E$51,[1]ON!$A$2:$FA$37, 31, FALSE)="",":",VLOOKUP($E$51,[1]ON!$A$2:$FA$37, 31, FALSE))</f>
        <v>:</v>
      </c>
    </row>
    <row r="52" spans="1:32">
      <c r="A52" s="533"/>
      <c r="B52" s="534"/>
      <c r="C52" s="535"/>
      <c r="D52" s="12"/>
      <c r="E52" s="13"/>
      <c r="F52" s="14"/>
      <c r="G52" s="544"/>
      <c r="H52" s="544"/>
      <c r="I52" s="544"/>
      <c r="J52" s="544"/>
      <c r="K52" s="544"/>
      <c r="L52" s="544"/>
      <c r="M52" s="544"/>
      <c r="N52" s="544"/>
      <c r="O52" s="544"/>
      <c r="P52" s="544"/>
      <c r="Q52" s="544"/>
      <c r="R52" s="544"/>
      <c r="S52" s="544"/>
      <c r="T52" s="544"/>
      <c r="U52" s="544"/>
      <c r="V52" s="544"/>
      <c r="W52" s="544"/>
      <c r="X52" s="544"/>
      <c r="Y52" s="544"/>
      <c r="Z52" s="544"/>
      <c r="AA52" s="544"/>
      <c r="AB52" s="544"/>
      <c r="AC52" s="544"/>
      <c r="AD52" s="544"/>
      <c r="AE52" s="544"/>
      <c r="AF52" s="544"/>
    </row>
    <row r="53" spans="1:32">
      <c r="A53" s="533">
        <v>58</v>
      </c>
      <c r="B53" s="534" t="s">
        <v>2063</v>
      </c>
      <c r="C53" s="535"/>
      <c r="D53" s="12" t="s">
        <v>742</v>
      </c>
      <c r="E53" s="13">
        <v>601</v>
      </c>
      <c r="F53" s="14" t="str">
        <f>VLOOKUP($E$53,[1]ON!$A$2:$FA$37, 3, FALSE)</f>
        <v xml:space="preserve">601  Gross value added at basic prices (net of FISIM)                                </v>
      </c>
      <c r="G53" s="544">
        <f>IF(VLOOKUP($E$53,[1]ON!$A$2:$FA$37, 6, FALSE)="",":",VLOOKUP($E$53,[1]ON!$A$2:$FA$37, 6, FALSE))</f>
        <v>13007.718594954576</v>
      </c>
      <c r="H53" s="544">
        <f>IF(VLOOKUP($E$53,[1]ON!$A$2:$FA$37, 7, FALSE)="",":",VLOOKUP($E$53,[1]ON!$A$2:$FA$37, 7, FALSE))</f>
        <v>13689.21744656852</v>
      </c>
      <c r="I53" s="544">
        <f>IF(VLOOKUP($E$53,[1]ON!$A$2:$FA$37, 8, FALSE)="",":",VLOOKUP($E$53,[1]ON!$A$2:$FA$37, 8, FALSE))</f>
        <v>14803.55275774415</v>
      </c>
      <c r="J53" s="544">
        <f>IF(VLOOKUP($E$53,[1]ON!$A$2:$FA$37, 9, FALSE)="",":",VLOOKUP($E$53,[1]ON!$A$2:$FA$37, 9, FALSE))</f>
        <v>15932.074847052367</v>
      </c>
      <c r="K53" s="544">
        <f>IF(VLOOKUP($E$53,[1]ON!$A$2:$FA$37, 10, FALSE)="",":",VLOOKUP($E$53,[1]ON!$A$2:$FA$37, 10, FALSE))</f>
        <v>15769.32793178003</v>
      </c>
      <c r="L53" s="544">
        <f>IF(VLOOKUP($E$53,[1]ON!$A$2:$FA$37, 11, FALSE)="",":",VLOOKUP($E$53,[1]ON!$A$2:$FA$37, 11, FALSE))</f>
        <v>16340.395653944415</v>
      </c>
      <c r="M53" s="544">
        <f>IF(VLOOKUP($E$53,[1]ON!$A$2:$FA$37, 12, FALSE)="",":",VLOOKUP($E$53,[1]ON!$A$2:$FA$37, 12, FALSE))</f>
        <v>17435.136589285346</v>
      </c>
      <c r="N53" s="544">
        <f>IF(VLOOKUP($E$53,[1]ON!$A$2:$FA$37, 13, FALSE)="",":",VLOOKUP($E$53,[1]ON!$A$2:$FA$37, 13, FALSE))</f>
        <v>18627.352195151991</v>
      </c>
      <c r="O53" s="544">
        <f>IF(VLOOKUP($E$53,[1]ON!$A$2:$FA$37, 14, FALSE)="",":",VLOOKUP($E$53,[1]ON!$A$2:$FA$37, 14, FALSE))</f>
        <v>20541.478464990298</v>
      </c>
      <c r="P53" s="544">
        <f>IF(VLOOKUP($E$53,[1]ON!$A$2:$FA$37, 15, FALSE)="",":",VLOOKUP($E$53,[1]ON!$A$2:$FA$37, 15, FALSE))</f>
        <v>22072.5</v>
      </c>
      <c r="Q53" s="544">
        <f>IF(VLOOKUP($E$53,[1]ON!$A$2:$FA$37, 16, FALSE)="",":",VLOOKUP($E$53,[1]ON!$A$2:$FA$37, 16, FALSE))</f>
        <v>23778.13</v>
      </c>
      <c r="R53" s="544">
        <f>IF(VLOOKUP($E$53,[1]ON!$A$2:$FA$37, 17, FALSE)="",":",VLOOKUP($E$53,[1]ON!$A$2:$FA$37, 17, FALSE))</f>
        <v>25539.24</v>
      </c>
      <c r="S53" s="544">
        <f>IF(VLOOKUP($E$53,[1]ON!$A$2:$FA$37, 18, FALSE)="",":",VLOOKUP($E$53,[1]ON!$A$2:$FA$37, 18, FALSE))</f>
        <v>28370.77</v>
      </c>
      <c r="T53" s="544">
        <f>IF(VLOOKUP($E$53,[1]ON!$A$2:$FA$37, 19, FALSE)="",":",VLOOKUP($E$53,[1]ON!$A$2:$FA$37, 19, FALSE))</f>
        <v>29116.37</v>
      </c>
      <c r="U53" s="544">
        <f>IF(VLOOKUP($E$53,[1]ON!$A$2:$FA$37, 20, FALSE)="",":",VLOOKUP($E$53,[1]ON!$A$2:$FA$37, 20, FALSE))</f>
        <v>24803.03</v>
      </c>
      <c r="V53" s="544">
        <f>IF(VLOOKUP($E$53,[1]ON!$A$2:$FA$37, 21, FALSE)="",":",VLOOKUP($E$53,[1]ON!$A$2:$FA$37, 21, FALSE))</f>
        <v>25209.75</v>
      </c>
      <c r="W53" s="544">
        <f>IF(VLOOKUP($E$53,[1]ON!$A$2:$FA$37, 22, FALSE)="",":",VLOOKUP($E$53,[1]ON!$A$2:$FA$37, 22, FALSE))</f>
        <v>26733.21</v>
      </c>
      <c r="X53" s="544">
        <f>IF(VLOOKUP($E$53,[1]ON!$A$2:$FA$37, 23, FALSE)="",":",VLOOKUP($E$53,[1]ON!$A$2:$FA$37, 23, FALSE))</f>
        <v>27756.28</v>
      </c>
      <c r="Y53" s="544">
        <f>IF(VLOOKUP($E$53,[1]ON!$A$2:$FA$37, 24, FALSE)="",":",VLOOKUP($E$53,[1]ON!$A$2:$FA$37, 24, FALSE))</f>
        <v>28727.35</v>
      </c>
      <c r="Z53" s="544">
        <f>IF(VLOOKUP($E$53,[1]ON!$A$2:$FA$37, 25, FALSE)="",":",VLOOKUP($E$53,[1]ON!$A$2:$FA$37, 25, FALSE))</f>
        <v>29743.61</v>
      </c>
      <c r="AA53" s="544">
        <f>IF(VLOOKUP($E$53,[1]ON!$A$2:$FA$37, 26, FALSE)="",":",VLOOKUP($E$53,[1]ON!$A$2:$FA$37, 26, FALSE))</f>
        <v>30348.79</v>
      </c>
      <c r="AB53" s="544">
        <f>IF(VLOOKUP($E$53,[1]ON!$A$2:$FA$37, 27, FALSE)="",":",VLOOKUP($E$53,[1]ON!$A$2:$FA$37, 27, FALSE))</f>
        <v>31060.43</v>
      </c>
      <c r="AC53" s="544">
        <f>IF(VLOOKUP($E$53,[1]ON!$A$2:$FA$37, 28, FALSE)="",":",VLOOKUP($E$53,[1]ON!$A$2:$FA$37, 28, FALSE))</f>
        <v>32249.71</v>
      </c>
      <c r="AD53" s="544" t="str">
        <f>IF(VLOOKUP($E$53,[1]ON!$A$2:$FA$37, 29, FALSE)="",":",VLOOKUP($E$53,[1]ON!$A$2:$FA$37, 29, FALSE))</f>
        <v>:</v>
      </c>
      <c r="AE53" s="544" t="str">
        <f>IF(VLOOKUP($E$53,[1]ON!$A$2:$FA$37, 30, FALSE)="",":",VLOOKUP($E$53,[1]ON!$A$2:$FA$37, 30, FALSE))</f>
        <v>:</v>
      </c>
      <c r="AF53" s="544" t="str">
        <f>IF(VLOOKUP($E$53,[1]ON!$A$2:$FA$37, 31, FALSE)="",":",VLOOKUP($E$53,[1]ON!$A$2:$FA$37, 31, FALSE))</f>
        <v>:</v>
      </c>
    </row>
    <row r="54" spans="1:32">
      <c r="A54" s="533"/>
      <c r="B54" s="534"/>
      <c r="C54" s="535"/>
      <c r="D54" s="12"/>
      <c r="E54" s="13"/>
      <c r="F54" s="14"/>
      <c r="G54" s="544"/>
      <c r="H54" s="544"/>
      <c r="I54" s="544"/>
      <c r="J54" s="544"/>
      <c r="K54" s="544"/>
      <c r="L54" s="544"/>
      <c r="M54" s="544"/>
      <c r="N54" s="544"/>
      <c r="O54" s="544"/>
      <c r="P54" s="544"/>
      <c r="Q54" s="544"/>
      <c r="R54" s="544"/>
      <c r="S54" s="544"/>
      <c r="T54" s="544"/>
      <c r="U54" s="544"/>
      <c r="V54" s="544"/>
      <c r="W54" s="544"/>
      <c r="X54" s="544"/>
      <c r="Y54" s="544"/>
      <c r="Z54" s="544"/>
      <c r="AA54" s="544"/>
      <c r="AB54" s="544"/>
      <c r="AC54" s="544"/>
      <c r="AD54" s="544"/>
      <c r="AE54" s="544"/>
      <c r="AF54" s="544"/>
    </row>
    <row r="55" spans="1:32">
      <c r="A55" s="533">
        <v>12</v>
      </c>
      <c r="B55" s="534" t="s">
        <v>787</v>
      </c>
      <c r="C55" s="535" t="s">
        <v>312</v>
      </c>
      <c r="D55" s="12" t="s">
        <v>742</v>
      </c>
      <c r="E55" s="13">
        <v>600</v>
      </c>
      <c r="F55" s="14" t="str">
        <f>VLOOKUP($E$55,[1]ON!$A$2:$FA$37, 3, FALSE)</f>
        <v xml:space="preserve">600  Gross domestic product at market prices                                         </v>
      </c>
      <c r="G55" s="544">
        <f>IF(VLOOKUP($E$55,[1]ON!$A$2:$FA$37, 6, FALSE)="",":",VLOOKUP($E$55,[1]ON!$A$2:$FA$37, 6, FALSE))</f>
        <v>14462.380875625722</v>
      </c>
      <c r="H55" s="544">
        <f>IF(VLOOKUP($E$55,[1]ON!$A$2:$FA$37, 7, FALSE)="",":",VLOOKUP($E$55,[1]ON!$A$2:$FA$37, 7, FALSE))</f>
        <v>15220.090794230699</v>
      </c>
      <c r="I55" s="544">
        <f>IF(VLOOKUP($E$55,[1]ON!$A$2:$FA$37, 8, FALSE)="",":",VLOOKUP($E$55,[1]ON!$A$2:$FA$37, 8, FALSE))</f>
        <v>16459.042836240307</v>
      </c>
      <c r="J55" s="544">
        <f>IF(VLOOKUP($E$55,[1]ON!$A$2:$FA$37, 9, FALSE)="",":",VLOOKUP($E$55,[1]ON!$A$2:$FA$37, 9, FALSE))</f>
        <v>17713.769777470301</v>
      </c>
      <c r="K55" s="544">
        <f>IF(VLOOKUP($E$55,[1]ON!$A$2:$FA$37, 10, FALSE)="",":",VLOOKUP($E$55,[1]ON!$A$2:$FA$37, 10, FALSE))</f>
        <v>17532.823907310787</v>
      </c>
      <c r="L55" s="544">
        <f>IF(VLOOKUP($E$55,[1]ON!$A$2:$FA$37, 11, FALSE)="",":",VLOOKUP($E$55,[1]ON!$A$2:$FA$37, 11, FALSE))</f>
        <v>18167.755386739456</v>
      </c>
      <c r="M55" s="544">
        <f>IF(VLOOKUP($E$55,[1]ON!$A$2:$FA$37, 12, FALSE)="",":",VLOOKUP($E$55,[1]ON!$A$2:$FA$37, 12, FALSE))</f>
        <v>19384.923391802051</v>
      </c>
      <c r="N55" s="544">
        <f>IF(VLOOKUP($E$55,[1]ON!$A$2:$FA$37, 13, FALSE)="",":",VLOOKUP($E$55,[1]ON!$A$2:$FA$37, 13, FALSE))</f>
        <v>20710.463968805674</v>
      </c>
      <c r="O55" s="544">
        <f>IF(VLOOKUP($E$55,[1]ON!$A$2:$FA$37, 14, FALSE)="",":",VLOOKUP($E$55,[1]ON!$A$2:$FA$37, 14, FALSE))</f>
        <v>22838.64791954145</v>
      </c>
      <c r="P55" s="544">
        <f>IF(VLOOKUP($E$55,[1]ON!$A$2:$FA$37, 15, FALSE)="",":",VLOOKUP($E$55,[1]ON!$A$2:$FA$37, 15, FALSE))</f>
        <v>24539.73</v>
      </c>
      <c r="Q55" s="544">
        <f>IF(VLOOKUP($E$55,[1]ON!$A$2:$FA$37, 16, FALSE)="",":",VLOOKUP($E$55,[1]ON!$A$2:$FA$37, 16, FALSE))</f>
        <v>26436.01</v>
      </c>
      <c r="R55" s="544">
        <f>IF(VLOOKUP($E$55,[1]ON!$A$2:$FA$37, 17, FALSE)="",":",VLOOKUP($E$55,[1]ON!$A$2:$FA$37, 17, FALSE))</f>
        <v>28393.98</v>
      </c>
      <c r="S55" s="544">
        <f>IF(VLOOKUP($E$55,[1]ON!$A$2:$FA$37, 18, FALSE)="",":",VLOOKUP($E$55,[1]ON!$A$2:$FA$37, 18, FALSE))</f>
        <v>31542.01</v>
      </c>
      <c r="T55" s="544">
        <f>IF(VLOOKUP($E$55,[1]ON!$A$2:$FA$37, 19, FALSE)="",":",VLOOKUP($E$55,[1]ON!$A$2:$FA$37, 19, FALSE))</f>
        <v>32370.959999999999</v>
      </c>
      <c r="U55" s="544">
        <f>IF(VLOOKUP($E$55,[1]ON!$A$2:$FA$37, 20, FALSE)="",":",VLOOKUP($E$55,[1]ON!$A$2:$FA$37, 20, FALSE))</f>
        <v>27575.47</v>
      </c>
      <c r="V55" s="544">
        <f>IF(VLOOKUP($E$55,[1]ON!$A$2:$FA$37, 21, FALSE)="",":",VLOOKUP($E$55,[1]ON!$A$2:$FA$37, 21, FALSE))</f>
        <v>28027.66</v>
      </c>
      <c r="W55" s="544">
        <f>IF(VLOOKUP($E$55,[1]ON!$A$2:$FA$37, 22, FALSE)="",":",VLOOKUP($E$55,[1]ON!$A$2:$FA$37, 22, FALSE))</f>
        <v>29721.41</v>
      </c>
      <c r="X55" s="544">
        <f>IF(VLOOKUP($E$55,[1]ON!$A$2:$FA$37, 23, FALSE)="",":",VLOOKUP($E$55,[1]ON!$A$2:$FA$37, 23, FALSE))</f>
        <v>30858.83</v>
      </c>
      <c r="Y55" s="544">
        <f>IF(VLOOKUP($E$55,[1]ON!$A$2:$FA$37, 24, FALSE)="",":",VLOOKUP($E$55,[1]ON!$A$2:$FA$37, 24, FALSE))</f>
        <v>31938.45</v>
      </c>
      <c r="Z55" s="544">
        <f>IF(VLOOKUP($E$55,[1]ON!$A$2:$FA$37, 25, FALSE)="",":",VLOOKUP($E$55,[1]ON!$A$2:$FA$37, 25, FALSE))</f>
        <v>33068.300000000003</v>
      </c>
      <c r="AA55" s="544">
        <f>IF(VLOOKUP($E$55,[1]ON!$A$2:$FA$37, 26, FALSE)="",":",VLOOKUP($E$55,[1]ON!$A$2:$FA$37, 26, FALSE))</f>
        <v>33741.129999999997</v>
      </c>
      <c r="AB55" s="544">
        <f>IF(VLOOKUP($E$55,[1]ON!$A$2:$FA$37, 27, FALSE)="",":",VLOOKUP($E$55,[1]ON!$A$2:$FA$37, 27, FALSE))</f>
        <v>34532.32</v>
      </c>
      <c r="AC55" s="544">
        <f>IF(VLOOKUP($E$55,[1]ON!$A$2:$FA$37, 28, FALSE)="",":",VLOOKUP($E$55,[1]ON!$A$2:$FA$37, 28, FALSE))</f>
        <v>35854.54</v>
      </c>
      <c r="AD55" s="544" t="str">
        <f>IF(VLOOKUP($E$55,[1]ON!$A$2:$FA$37, 29, FALSE)="",":",VLOOKUP($E$55,[1]ON!$A$2:$FA$37, 29, FALSE))</f>
        <v>:</v>
      </c>
      <c r="AE55" s="544" t="str">
        <f>IF(VLOOKUP($E$55,[1]ON!$A$2:$FA$37, 30, FALSE)="",":",VLOOKUP($E$55,[1]ON!$A$2:$FA$37, 30, FALSE))</f>
        <v>:</v>
      </c>
      <c r="AF55" s="544" t="str">
        <f>IF(VLOOKUP($E$55,[1]ON!$A$2:$FA$37, 31, FALSE)="",":",VLOOKUP($E$55,[1]ON!$A$2:$FA$37, 31, FALSE))</f>
        <v>:</v>
      </c>
    </row>
    <row r="56" spans="1:32">
      <c r="A56" s="533"/>
      <c r="B56" s="534"/>
      <c r="C56" s="535"/>
      <c r="D56" s="12"/>
      <c r="E56" s="13"/>
      <c r="F56" s="14"/>
      <c r="G56" s="544"/>
      <c r="H56" s="544"/>
      <c r="I56" s="544"/>
      <c r="J56" s="544"/>
      <c r="K56" s="544"/>
      <c r="L56" s="544"/>
      <c r="M56" s="544"/>
      <c r="N56" s="544"/>
      <c r="O56" s="544"/>
      <c r="P56" s="544"/>
      <c r="Q56" s="544"/>
      <c r="R56" s="544"/>
      <c r="S56" s="544"/>
      <c r="T56" s="544"/>
      <c r="U56" s="544"/>
      <c r="V56" s="544"/>
      <c r="W56" s="544"/>
      <c r="X56" s="544"/>
      <c r="Y56" s="544"/>
      <c r="Z56" s="544"/>
      <c r="AA56" s="544"/>
      <c r="AB56" s="544"/>
      <c r="AC56" s="544"/>
      <c r="AD56" s="544"/>
      <c r="AE56" s="544"/>
      <c r="AF56" s="544"/>
    </row>
    <row r="57" spans="1:32">
      <c r="A57" s="533"/>
      <c r="B57" s="534"/>
      <c r="C57" s="535"/>
      <c r="D57" s="12"/>
      <c r="E57" s="13"/>
      <c r="F57" s="14"/>
      <c r="G57" s="544"/>
      <c r="H57" s="544"/>
      <c r="I57" s="544"/>
      <c r="J57" s="544"/>
      <c r="K57" s="544"/>
      <c r="L57" s="544"/>
      <c r="M57" s="544"/>
      <c r="N57" s="544"/>
      <c r="O57" s="544"/>
      <c r="P57" s="544"/>
      <c r="Q57" s="544"/>
      <c r="R57" s="544"/>
      <c r="S57" s="544"/>
      <c r="T57" s="544"/>
      <c r="U57" s="544"/>
      <c r="V57" s="544"/>
      <c r="W57" s="544"/>
      <c r="X57" s="544"/>
      <c r="Y57" s="544"/>
      <c r="Z57" s="544"/>
      <c r="AA57" s="544"/>
      <c r="AB57" s="544"/>
      <c r="AC57" s="544"/>
      <c r="AD57" s="544"/>
      <c r="AE57" s="544"/>
      <c r="AF57" s="544"/>
    </row>
    <row r="58" spans="1:32">
      <c r="A58" s="533"/>
      <c r="B58" s="534"/>
      <c r="C58" s="535"/>
      <c r="D58" s="12"/>
      <c r="E58" s="13"/>
      <c r="F58" s="14"/>
      <c r="G58" s="544"/>
      <c r="H58" s="544"/>
      <c r="I58" s="544"/>
      <c r="J58" s="544"/>
      <c r="K58" s="544"/>
      <c r="L58" s="544"/>
      <c r="M58" s="544"/>
      <c r="N58" s="544"/>
      <c r="O58" s="544"/>
      <c r="P58" s="544"/>
      <c r="Q58" s="544"/>
      <c r="R58" s="544"/>
      <c r="S58" s="544"/>
      <c r="T58" s="544"/>
      <c r="U58" s="544"/>
      <c r="V58" s="544"/>
      <c r="W58" s="544"/>
      <c r="X58" s="544"/>
      <c r="Y58" s="544"/>
      <c r="Z58" s="544"/>
      <c r="AA58" s="544"/>
      <c r="AB58" s="544"/>
      <c r="AC58" s="544"/>
      <c r="AD58" s="544"/>
      <c r="AE58" s="544"/>
      <c r="AF58" s="544"/>
    </row>
    <row r="59" spans="1:32">
      <c r="A59" s="533"/>
      <c r="B59" s="534"/>
      <c r="C59" s="535"/>
      <c r="D59" s="12"/>
      <c r="E59" s="13"/>
      <c r="F59" s="14"/>
      <c r="G59" s="544"/>
      <c r="H59" s="544"/>
      <c r="I59" s="544"/>
      <c r="J59" s="544"/>
      <c r="K59" s="544"/>
      <c r="L59" s="544"/>
      <c r="M59" s="544"/>
      <c r="N59" s="544"/>
      <c r="O59" s="544"/>
      <c r="P59" s="544"/>
      <c r="Q59" s="544"/>
      <c r="R59" s="544"/>
      <c r="S59" s="544"/>
      <c r="T59" s="544"/>
      <c r="U59" s="544"/>
      <c r="V59" s="544"/>
      <c r="W59" s="544"/>
      <c r="X59" s="544"/>
      <c r="Y59" s="544"/>
      <c r="Z59" s="544"/>
      <c r="AA59" s="544"/>
      <c r="AB59" s="544"/>
      <c r="AC59" s="544"/>
      <c r="AD59" s="544"/>
      <c r="AE59" s="544"/>
      <c r="AF59" s="544"/>
    </row>
    <row r="60" spans="1:32">
      <c r="A60" s="533">
        <v>36</v>
      </c>
      <c r="B60" s="534" t="s">
        <v>1895</v>
      </c>
      <c r="C60" s="535" t="s">
        <v>2064</v>
      </c>
      <c r="D60" s="12" t="s">
        <v>475</v>
      </c>
      <c r="E60" s="13">
        <v>200</v>
      </c>
      <c r="F60" s="14" t="str">
        <f>VLOOKUP($E$60,[1]UN!$A$2:$FA$67, 3, FALSE)</f>
        <v xml:space="preserve">200  Household final consumption expenditure (national)                           </v>
      </c>
      <c r="G60" s="544">
        <f>IF(VLOOKUP($E$60,[1]UN!$A$2:$FA$67, 6, FALSE)="",":",VLOOKUP($E$60,[1]UN!$A$2:$FA$67, 6, FALSE))</f>
        <v>4961.59</v>
      </c>
      <c r="H60" s="544">
        <f>IF(VLOOKUP($E$60,[1]UN!$A$2:$FA$67, 7, FALSE)="",":",VLOOKUP($E$60,[1]UN!$A$2:$FA$67, 7, FALSE))</f>
        <v>6232.86</v>
      </c>
      <c r="I60" s="544">
        <f>IF(VLOOKUP($E$60,[1]UN!$A$2:$FA$67, 8, FALSE)="",":",VLOOKUP($E$60,[1]UN!$A$2:$FA$67, 8, FALSE))</f>
        <v>7192.32</v>
      </c>
      <c r="J60" s="544">
        <f>IF(VLOOKUP($E$60,[1]UN!$A$2:$FA$67, 9, FALSE)="",":",VLOOKUP($E$60,[1]UN!$A$2:$FA$67, 9, FALSE))</f>
        <v>7967.31</v>
      </c>
      <c r="K60" s="544">
        <f>IF(VLOOKUP($E$60,[1]UN!$A$2:$FA$67, 10, FALSE)="",":",VLOOKUP($E$60,[1]UN!$A$2:$FA$67, 10, FALSE))</f>
        <v>8259.9500000000007</v>
      </c>
      <c r="L60" s="544">
        <f>IF(VLOOKUP($E$60,[1]UN!$A$2:$FA$67, 11, FALSE)="",":",VLOOKUP($E$60,[1]UN!$A$2:$FA$67, 11, FALSE))</f>
        <v>8691.89</v>
      </c>
      <c r="M60" s="544">
        <f>IF(VLOOKUP($E$60,[1]UN!$A$2:$FA$67, 12, FALSE)="",":",VLOOKUP($E$60,[1]UN!$A$2:$FA$67, 12, FALSE))</f>
        <v>9269.0300000000007</v>
      </c>
      <c r="N60" s="544">
        <f>IF(VLOOKUP($E$60,[1]UN!$A$2:$FA$67, 13, FALSE)="",":",VLOOKUP($E$60,[1]UN!$A$2:$FA$67, 13, FALSE))</f>
        <v>9802.42</v>
      </c>
      <c r="O60" s="544">
        <f>IF(VLOOKUP($E$60,[1]UN!$A$2:$FA$67, 14, FALSE)="",":",VLOOKUP($E$60,[1]UN!$A$2:$FA$67, 14, FALSE))</f>
        <v>10739.98</v>
      </c>
      <c r="P60" s="544">
        <f>IF(VLOOKUP($E$60,[1]UN!$A$2:$FA$67, 15, FALSE)="",":",VLOOKUP($E$60,[1]UN!$A$2:$FA$67, 15, FALSE))</f>
        <v>11889.08</v>
      </c>
      <c r="Q60" s="544">
        <f>IF(VLOOKUP($E$60,[1]UN!$A$2:$FA$67, 16, FALSE)="",":",VLOOKUP($E$60,[1]UN!$A$2:$FA$67, 16, FALSE))</f>
        <v>13583.08</v>
      </c>
      <c r="R60" s="544">
        <f>IF(VLOOKUP($E$60,[1]UN!$A$2:$FA$67, 17, FALSE)="",":",VLOOKUP($E$60,[1]UN!$A$2:$FA$67, 17, FALSE))</f>
        <v>15509.84</v>
      </c>
      <c r="S60" s="544">
        <f>IF(VLOOKUP($E$60,[1]UN!$A$2:$FA$67, 18, FALSE)="",":",VLOOKUP($E$60,[1]UN!$A$2:$FA$67, 18, FALSE))</f>
        <v>18460.61</v>
      </c>
      <c r="T60" s="544">
        <f>IF(VLOOKUP($E$60,[1]UN!$A$2:$FA$67, 19, FALSE)="",":",VLOOKUP($E$60,[1]UN!$A$2:$FA$67, 19, FALSE))</f>
        <v>21260.83</v>
      </c>
      <c r="U60" s="544">
        <f>IF(VLOOKUP($E$60,[1]UN!$A$2:$FA$67, 20, FALSE)="",":",VLOOKUP($E$60,[1]UN!$A$2:$FA$67, 20, FALSE))</f>
        <v>18335.39</v>
      </c>
      <c r="V60" s="544">
        <f>IF(VLOOKUP($E$60,[1]UN!$A$2:$FA$67, 21, FALSE)="",":",VLOOKUP($E$60,[1]UN!$A$2:$FA$67, 21, FALSE))</f>
        <v>17945.54</v>
      </c>
      <c r="W60" s="544">
        <f>IF(VLOOKUP($E$60,[1]UN!$A$2:$FA$67, 22, FALSE)="",":",VLOOKUP($E$60,[1]UN!$A$2:$FA$67, 22, FALSE))</f>
        <v>19543.849999999999</v>
      </c>
      <c r="X60" s="544">
        <f>IF(VLOOKUP($E$60,[1]UN!$A$2:$FA$67, 23, FALSE)="",":",VLOOKUP($E$60,[1]UN!$A$2:$FA$67, 23, FALSE))</f>
        <v>20770.080000000002</v>
      </c>
      <c r="Y60" s="544">
        <f>IF(VLOOKUP($E$60,[1]UN!$A$2:$FA$67, 24, FALSE)="",":",VLOOKUP($E$60,[1]UN!$A$2:$FA$67, 24, FALSE))</f>
        <v>21881.71</v>
      </c>
      <c r="Z60" s="544">
        <f>IF(VLOOKUP($E$60,[1]UN!$A$2:$FA$67, 25, FALSE)="",":",VLOOKUP($E$60,[1]UN!$A$2:$FA$67, 25, FALSE))</f>
        <v>22776.82</v>
      </c>
      <c r="AA60" s="544">
        <f>IF(VLOOKUP($E$60,[1]UN!$A$2:$FA$67, 26, FALSE)="",":",VLOOKUP($E$60,[1]UN!$A$2:$FA$67, 26, FALSE))</f>
        <v>23473.64</v>
      </c>
      <c r="AB60" s="544">
        <f>IF(VLOOKUP($E$60,[1]UN!$A$2:$FA$67, 27, FALSE)="",":",VLOOKUP($E$60,[1]UN!$A$2:$FA$67, 27, FALSE))</f>
        <v>24863.34</v>
      </c>
      <c r="AC60" s="544">
        <f>IF(VLOOKUP($E$60,[1]UN!$A$2:$FA$67, 28, FALSE)="",":",VLOOKUP($E$60,[1]UN!$A$2:$FA$67, 28, FALSE))</f>
        <v>26800.39</v>
      </c>
      <c r="AD60" s="544" t="str">
        <f>IF(VLOOKUP($E$60,[1]UN!$A$2:$FA$67, 29, FALSE)="",":",VLOOKUP($E$60,[1]UN!$A$2:$FA$67, 29, FALSE))</f>
        <v>:</v>
      </c>
      <c r="AE60" s="544" t="str">
        <f>IF(VLOOKUP($E$60,[1]UN!$A$2:$FA$67, 30, FALSE)="",":",VLOOKUP($E$60,[1]UN!$A$2:$FA$67, 30, FALSE))</f>
        <v>:</v>
      </c>
      <c r="AF60" s="544" t="str">
        <f>IF(VLOOKUP($E$60,[1]UN!$A$2:$FA$67, 31, FALSE)="",":",VLOOKUP($E$60,[1]UN!$A$2:$FA$67, 31, FALSE))</f>
        <v>:</v>
      </c>
    </row>
    <row r="61" spans="1:32">
      <c r="A61" s="533">
        <v>119</v>
      </c>
      <c r="B61" s="534" t="s">
        <v>744</v>
      </c>
      <c r="C61" s="535" t="s">
        <v>2065</v>
      </c>
      <c r="D61" s="12" t="s">
        <v>1214</v>
      </c>
      <c r="E61" s="13">
        <v>34</v>
      </c>
      <c r="F61" s="14" t="str">
        <f>VLOOKUP($E$61,[1]UG!$A$2:$FA$300, 3, FALSE)</f>
        <v>34. Individual consumption expenditure P.31</v>
      </c>
      <c r="G61" s="544" t="e">
        <f>IF(VLOOKUP($E$61,[1]UN!$A$2:$FA$300, 6, FALSE)="",":",VLOOKUP($E$61,[1]UN!$A$2:$FA$300, 6, FALSE))</f>
        <v>#N/A</v>
      </c>
      <c r="H61" s="544">
        <f>IF(VLOOKUP($E$61,[1]UG!$A$2:$FA$300, 7, FALSE)="",":",VLOOKUP($E$61,[1]UG!$A$2:$FA$300, 7, FALSE))</f>
        <v>1024.01</v>
      </c>
      <c r="I61" s="544">
        <f>IF(VLOOKUP($E$61,[1]UG!$A$2:$FA$300, 8, FALSE)="",":",VLOOKUP($E$61,[1]UG!$A$2:$FA$300, 8, FALSE))</f>
        <v>1352.97</v>
      </c>
      <c r="J61" s="544">
        <f>IF(VLOOKUP($E$61,[1]UG!$A$2:$FA$300, 9, FALSE)="",":",VLOOKUP($E$61,[1]UG!$A$2:$FA$300, 9, FALSE))</f>
        <v>1662.21</v>
      </c>
      <c r="K61" s="544">
        <f>IF(VLOOKUP($E$61,[1]UG!$A$2:$FA$300, 10, FALSE)="",":",VLOOKUP($E$61,[1]UG!$A$2:$FA$300, 10, FALSE))</f>
        <v>1733.1</v>
      </c>
      <c r="L61" s="544">
        <f>IF(VLOOKUP($E$61,[1]UG!$A$2:$FA$300, 11, FALSE)="",":",VLOOKUP($E$61,[1]UG!$A$2:$FA$300, 11, FALSE))</f>
        <v>1463.46</v>
      </c>
      <c r="M61" s="544">
        <f>IF(VLOOKUP($E$61,[1]UG!$A$2:$FA$300, 12, FALSE)="",":",VLOOKUP($E$61,[1]UG!$A$2:$FA$300, 12, FALSE))</f>
        <v>1520.02</v>
      </c>
      <c r="N61" s="544">
        <f>IF(VLOOKUP($E$61,[1]UG!$A$2:$FA$300, 13, FALSE)="",":",VLOOKUP($E$61,[1]UG!$A$2:$FA$300, 13, FALSE))</f>
        <v>1647.31</v>
      </c>
      <c r="O61" s="544">
        <f>IF(VLOOKUP($E$61,[1]UG!$A$2:$FA$300, 14, FALSE)="",":",VLOOKUP($E$61,[1]UG!$A$2:$FA$300, 14, FALSE))</f>
        <v>1714.97</v>
      </c>
      <c r="P61" s="544">
        <f>IF(VLOOKUP($E$61,[1]UG!$A$2:$FA$300, 15, FALSE)="",":",VLOOKUP($E$61,[1]UG!$A$2:$FA$300, 15, FALSE))</f>
        <v>1842.98</v>
      </c>
      <c r="Q61" s="544">
        <f>IF(VLOOKUP($E$61,[1]UG!$A$2:$FA$300, 16, FALSE)="",":",VLOOKUP($E$61,[1]UG!$A$2:$FA$300, 16, FALSE))</f>
        <v>2123.4</v>
      </c>
      <c r="R61" s="544">
        <f>IF(VLOOKUP($E$61,[1]UG!$A$2:$FA$300, 17, FALSE)="",":",VLOOKUP($E$61,[1]UG!$A$2:$FA$300, 17, FALSE))</f>
        <v>2442.19</v>
      </c>
      <c r="S61" s="544">
        <f>IF(VLOOKUP($E$61,[1]UG!$A$2:$FA$300, 18, FALSE)="",":",VLOOKUP($E$61,[1]UG!$A$2:$FA$300, 18, FALSE))</f>
        <v>2731.67</v>
      </c>
      <c r="T61" s="544">
        <f>IF(VLOOKUP($E$61,[1]UG!$A$2:$FA$300, 19, FALSE)="",":",VLOOKUP($E$61,[1]UG!$A$2:$FA$300, 19, FALSE))</f>
        <v>3376.12</v>
      </c>
      <c r="U61" s="544">
        <f>IF(VLOOKUP($E$61,[1]UG!$A$2:$FA$300, 20, FALSE)="",":",VLOOKUP($E$61,[1]UG!$A$2:$FA$300, 20, FALSE))</f>
        <v>3389.15</v>
      </c>
      <c r="V61" s="544">
        <f>IF(VLOOKUP($E$61,[1]UG!$A$2:$FA$300, 21, FALSE)="",":",VLOOKUP($E$61,[1]UG!$A$2:$FA$300, 21, FALSE))</f>
        <v>3192.75</v>
      </c>
      <c r="W61" s="544">
        <f>IF(VLOOKUP($E$61,[1]UG!$A$2:$FA$300, 22, FALSE)="",":",VLOOKUP($E$61,[1]UG!$A$2:$FA$300, 22, FALSE))</f>
        <v>3333.44</v>
      </c>
      <c r="X61" s="544">
        <f>IF(VLOOKUP($E$61,[1]UG!$A$2:$FA$300, 23, FALSE)="",":",VLOOKUP($E$61,[1]UG!$A$2:$FA$300, 23, FALSE))</f>
        <v>3297</v>
      </c>
      <c r="Y61" s="544">
        <f>IF(VLOOKUP($E$61,[1]UG!$A$2:$FA$300, 24, FALSE)="",":",VLOOKUP($E$61,[1]UG!$A$2:$FA$300, 24, FALSE))</f>
        <v>3309.95</v>
      </c>
      <c r="Z61" s="544">
        <f>IF(VLOOKUP($E$61,[1]UG!$A$2:$FA$300, 25, FALSE)="",":",VLOOKUP($E$61,[1]UG!$A$2:$FA$300, 25, FALSE))</f>
        <v>3392.4</v>
      </c>
      <c r="AA61" s="544">
        <f>IF(VLOOKUP($E$61,[1]UG!$A$2:$FA$300, 26, FALSE)="",":",VLOOKUP($E$61,[1]UG!$A$2:$FA$300, 26, FALSE))</f>
        <v>3638.47</v>
      </c>
      <c r="AB61" s="544">
        <f>IF(VLOOKUP($E$61,[1]UG!$A$2:$FA$300, 27, FALSE)="",":",VLOOKUP($E$61,[1]UG!$A$2:$FA$300, 27, FALSE))</f>
        <v>3776.52</v>
      </c>
      <c r="AC61" s="544" t="str">
        <f>IF(VLOOKUP($E$61,[1]UG!$A$2:$FA$300, 28, FALSE)="",":",VLOOKUP($E$61,[1]UG!$A$2:$FA$300, 28, FALSE))</f>
        <v>:</v>
      </c>
      <c r="AD61" s="544" t="str">
        <f>IF(VLOOKUP($E$61,[1]UG!$A$2:$FA$300, 29, FALSE)="",":",VLOOKUP($E$61,[1]UG!$A$2:$FA$300, 29, FALSE))</f>
        <v>:</v>
      </c>
      <c r="AE61" s="544" t="str">
        <f>IF(VLOOKUP($E$61,[1]UG!$A$2:$FA$300, 30, FALSE)="",":",VLOOKUP($E$61,[1]UG!$A$2:$FA$300, 30, FALSE))</f>
        <v>:</v>
      </c>
      <c r="AF61" s="544" t="str">
        <f>IF(VLOOKUP($E$61,[1]UG!$A$2:$FA$300, 31, FALSE)="",":",VLOOKUP($E$61,[1]UG!$A$2:$FA$300, 31, FALSE))</f>
        <v>:</v>
      </c>
    </row>
    <row r="62" spans="1:32">
      <c r="A62" s="533">
        <v>118</v>
      </c>
      <c r="B62" s="534" t="s">
        <v>745</v>
      </c>
      <c r="C62" s="535" t="s">
        <v>2066</v>
      </c>
      <c r="D62" s="12" t="s">
        <v>475</v>
      </c>
      <c r="E62" s="13">
        <v>120</v>
      </c>
      <c r="F62" s="14" t="str">
        <f>VLOOKUP($E$62,[1]UN!$A$2:$FA$300, 3, FALSE)</f>
        <v xml:space="preserve">120  Collective consumption expenditure                                           </v>
      </c>
      <c r="G62" s="544">
        <f>IF(VLOOKUP($E$62,[1]UN!$A$2:$FA$300, 6, FALSE)="",":",VLOOKUP($E$62,[1]UN!$A$2:$FA$300, 6, FALSE))</f>
        <v>1070.2</v>
      </c>
      <c r="H62" s="544">
        <f>IF(VLOOKUP($E$62,[1]UN!$A$2:$FA$300, 7, FALSE)="",":",VLOOKUP($E$62,[1]UN!$A$2:$FA$300, 7, FALSE))</f>
        <v>1314.53</v>
      </c>
      <c r="I62" s="544">
        <f>IF(VLOOKUP($E$62,[1]UN!$A$2:$FA$300, 8, FALSE)="",":",VLOOKUP($E$62,[1]UN!$A$2:$FA$300, 8, FALSE))</f>
        <v>1479.18</v>
      </c>
      <c r="J62" s="544">
        <f>IF(VLOOKUP($E$62,[1]UN!$A$2:$FA$300, 9, FALSE)="",":",VLOOKUP($E$62,[1]UN!$A$2:$FA$300, 9, FALSE))</f>
        <v>1708.26</v>
      </c>
      <c r="K62" s="544">
        <f>IF(VLOOKUP($E$62,[1]UN!$A$2:$FA$300, 10, FALSE)="",":",VLOOKUP($E$62,[1]UN!$A$2:$FA$300, 10, FALSE))</f>
        <v>1275.05</v>
      </c>
      <c r="L62" s="544">
        <f>IF(VLOOKUP($E$62,[1]UN!$A$2:$FA$300, 11, FALSE)="",":",VLOOKUP($E$62,[1]UN!$A$2:$FA$300, 11, FALSE))</f>
        <v>1531.67</v>
      </c>
      <c r="M62" s="544">
        <f>IF(VLOOKUP($E$62,[1]UN!$A$2:$FA$300, 12, FALSE)="",":",VLOOKUP($E$62,[1]UN!$A$2:$FA$300, 12, FALSE))</f>
        <v>1481.42</v>
      </c>
      <c r="N62" s="544">
        <f>IF(VLOOKUP($E$62,[1]UN!$A$2:$FA$300, 13, FALSE)="",":",VLOOKUP($E$62,[1]UN!$A$2:$FA$300, 13, FALSE))</f>
        <v>1478.61</v>
      </c>
      <c r="O62" s="544">
        <f>IF(VLOOKUP($E$62,[1]UN!$A$2:$FA$300, 14, FALSE)="",":",VLOOKUP($E$62,[1]UN!$A$2:$FA$300, 14, FALSE))</f>
        <v>1544.14</v>
      </c>
      <c r="P62" s="544">
        <f>IF(VLOOKUP($E$62,[1]UN!$A$2:$FA$300, 15, FALSE)="",":",VLOOKUP($E$62,[1]UN!$A$2:$FA$300, 15, FALSE))</f>
        <v>1652.51</v>
      </c>
      <c r="Q62" s="544">
        <f>IF(VLOOKUP($E$62,[1]UN!$A$2:$FA$300, 16, FALSE)="",":",VLOOKUP($E$62,[1]UN!$A$2:$FA$300, 16, FALSE))</f>
        <v>1763.01</v>
      </c>
      <c r="R62" s="544">
        <f>IF(VLOOKUP($E$62,[1]UN!$A$2:$FA$300, 17, FALSE)="",":",VLOOKUP($E$62,[1]UN!$A$2:$FA$300, 17, FALSE))</f>
        <v>2163.3200000000002</v>
      </c>
      <c r="S62" s="544">
        <f>IF(VLOOKUP($E$62,[1]UN!$A$2:$FA$300, 18, FALSE)="",":",VLOOKUP($E$62,[1]UN!$A$2:$FA$300, 18, FALSE))</f>
        <v>2335.16</v>
      </c>
      <c r="T62" s="544">
        <f>IF(VLOOKUP($E$62,[1]UN!$A$2:$FA$300, 19, FALSE)="",":",VLOOKUP($E$62,[1]UN!$A$2:$FA$300, 19, FALSE))</f>
        <v>2724.68</v>
      </c>
      <c r="U62" s="544">
        <f>IF(VLOOKUP($E$62,[1]UN!$A$2:$FA$300, 20, FALSE)="",":",VLOOKUP($E$62,[1]UN!$A$2:$FA$300, 20, FALSE))</f>
        <v>2330.6799999999998</v>
      </c>
      <c r="V62" s="3167">
        <f>IF(VLOOKUP($E$62,[1]UN!$A$2:$FA$300, 21, FALSE)="",":",VLOOKUP($E$62,[1]UN!$A$2:$FA$300, 21, FALSE))</f>
        <v>2370.63</v>
      </c>
      <c r="W62" s="3167">
        <f>IF(VLOOKUP($E$62,[1]UN!$A$2:$FA$300, 22, FALSE)="",":",VLOOKUP($E$62,[1]UN!$A$2:$FA$300, 22, FALSE))</f>
        <v>2403.88</v>
      </c>
      <c r="X62" s="544">
        <f>IF(VLOOKUP($E$62,[1]UN!$A$2:$FA$300, 23, FALSE)="",":",VLOOKUP($E$62,[1]UN!$A$2:$FA$300, 23, FALSE))</f>
        <v>2533.6799999999998</v>
      </c>
      <c r="Y62" s="544">
        <f>IF(VLOOKUP($E$62,[1]UN!$A$2:$FA$300, 24, FALSE)="",":",VLOOKUP($E$62,[1]UN!$A$2:$FA$300, 24, FALSE))</f>
        <v>2527.0100000000002</v>
      </c>
      <c r="Z62" s="544">
        <f>IF(VLOOKUP($E$62,[1]UN!$A$2:$FA$300, 25, FALSE)="",":",VLOOKUP($E$62,[1]UN!$A$2:$FA$300, 25, FALSE))</f>
        <v>2680.93</v>
      </c>
      <c r="AA62" s="544">
        <f>IF(VLOOKUP($E$62,[1]UN!$A$2:$FA$300, 26, FALSE)="",":",VLOOKUP($E$62,[1]UN!$A$2:$FA$300, 26, FALSE))</f>
        <v>2790.29</v>
      </c>
      <c r="AB62" s="544">
        <f>IF(VLOOKUP($E$62,[1]UN!$A$2:$FA$300, 27, FALSE)="",":",VLOOKUP($E$62,[1]UN!$A$2:$FA$300, 27, FALSE))</f>
        <v>2860.35</v>
      </c>
      <c r="AC62" s="544">
        <f>IF(VLOOKUP($E$62,[1]UN!$A$2:$FA$300, 28, FALSE)="",":",VLOOKUP($E$62,[1]UN!$A$2:$FA$300, 28, FALSE))</f>
        <v>2987.21</v>
      </c>
      <c r="AD62" s="544" t="str">
        <f>IF(VLOOKUP($E$62,[1]UN!$A$2:$FA$300, 29, FALSE)="",":",VLOOKUP($E$62,[1]UN!$A$2:$FA$300, 29, FALSE))</f>
        <v>:</v>
      </c>
      <c r="AE62" s="544" t="str">
        <f>IF(VLOOKUP($E$62,[1]UN!$A$2:$FA$300, 30, FALSE)="",":",VLOOKUP($E$62,[1]UN!$A$2:$FA$300, 30, FALSE))</f>
        <v>:</v>
      </c>
      <c r="AF62" s="544" t="str">
        <f>IF(VLOOKUP($E$62,[1]UN!$A$2:$FA$300, 31, FALSE)="",":",VLOOKUP($E$62,[1]UN!$A$2:$FA$300, 31, FALSE))</f>
        <v>:</v>
      </c>
    </row>
    <row r="63" spans="1:32">
      <c r="A63" s="533">
        <v>37</v>
      </c>
      <c r="B63" s="534" t="s">
        <v>1897</v>
      </c>
      <c r="C63" s="535" t="s">
        <v>2067</v>
      </c>
      <c r="D63" s="12" t="s">
        <v>475</v>
      </c>
      <c r="E63" s="13">
        <v>100</v>
      </c>
      <c r="F63" s="14" t="str">
        <f>VLOOKUP($E$63,[1]UN!$A$2:$FA$67, 3, FALSE)</f>
        <v xml:space="preserve">100  Government final consumption expenditure                                     </v>
      </c>
      <c r="G63" s="544">
        <f>IF(VLOOKUP($E$63,[1]UN!$A$2:$FA$67, 6, FALSE)="",":",VLOOKUP($E$63,[1]UN!$A$2:$FA$67, 6, FALSE))</f>
        <v>1862.44</v>
      </c>
      <c r="H63" s="544">
        <f>IF(VLOOKUP($E$63,[1]UN!$A$2:$FA$67, 7, FALSE)="",":",VLOOKUP($E$63,[1]UN!$A$2:$FA$67, 7, FALSE))</f>
        <v>2338.5500000000002</v>
      </c>
      <c r="I63" s="544">
        <f>IF(VLOOKUP($E$63,[1]UN!$A$2:$FA$67, 8, FALSE)="",":",VLOOKUP($E$63,[1]UN!$A$2:$FA$67, 8, FALSE))</f>
        <v>2832.16</v>
      </c>
      <c r="J63" s="544">
        <f>IF(VLOOKUP($E$63,[1]UN!$A$2:$FA$67, 9, FALSE)="",":",VLOOKUP($E$63,[1]UN!$A$2:$FA$67, 9, FALSE))</f>
        <v>3370.47</v>
      </c>
      <c r="K63" s="544">
        <f>IF(VLOOKUP($E$63,[1]UN!$A$2:$FA$67, 10, FALSE)="",":",VLOOKUP($E$63,[1]UN!$A$2:$FA$67, 10, FALSE))</f>
        <v>3008.15</v>
      </c>
      <c r="L63" s="544">
        <f>IF(VLOOKUP($E$63,[1]UN!$A$2:$FA$67, 11, FALSE)="",":",VLOOKUP($E$63,[1]UN!$A$2:$FA$67, 11, FALSE))</f>
        <v>2995.13</v>
      </c>
      <c r="M63" s="544">
        <f>IF(VLOOKUP($E$63,[1]UN!$A$2:$FA$67, 12, FALSE)="",":",VLOOKUP($E$63,[1]UN!$A$2:$FA$67, 12, FALSE))</f>
        <v>3001.44</v>
      </c>
      <c r="N63" s="544">
        <f>IF(VLOOKUP($E$63,[1]UN!$A$2:$FA$67, 13, FALSE)="",":",VLOOKUP($E$63,[1]UN!$A$2:$FA$67, 13, FALSE))</f>
        <v>3125.92</v>
      </c>
      <c r="O63" s="544">
        <f>IF(VLOOKUP($E$63,[1]UN!$A$2:$FA$67, 14, FALSE)="",":",VLOOKUP($E$63,[1]UN!$A$2:$FA$67, 14, FALSE))</f>
        <v>3259.11</v>
      </c>
      <c r="P63" s="544">
        <f>IF(VLOOKUP($E$63,[1]UN!$A$2:$FA$67, 15, FALSE)="",":",VLOOKUP($E$63,[1]UN!$A$2:$FA$67, 15, FALSE))</f>
        <v>3495.49</v>
      </c>
      <c r="Q63" s="544">
        <f>IF(VLOOKUP($E$63,[1]UN!$A$2:$FA$67, 16, FALSE)="",":",VLOOKUP($E$63,[1]UN!$A$2:$FA$67, 16, FALSE))</f>
        <v>3886.41</v>
      </c>
      <c r="R63" s="544">
        <f>IF(VLOOKUP($E$63,[1]UN!$A$2:$FA$67, 17, FALSE)="",":",VLOOKUP($E$63,[1]UN!$A$2:$FA$67, 17, FALSE))</f>
        <v>4605.5</v>
      </c>
      <c r="S63" s="544">
        <f>IF(VLOOKUP($E$63,[1]UN!$A$2:$FA$67, 18, FALSE)="",":",VLOOKUP($E$63,[1]UN!$A$2:$FA$67, 18, FALSE))</f>
        <v>5066.83</v>
      </c>
      <c r="T63" s="544">
        <f>IF(VLOOKUP($E$63,[1]UN!$A$2:$FA$67, 19, FALSE)="",":",VLOOKUP($E$63,[1]UN!$A$2:$FA$67, 19, FALSE))</f>
        <v>6100.8</v>
      </c>
      <c r="U63" s="544">
        <f>IF(VLOOKUP($E$63,[1]UN!$A$2:$FA$67, 20, FALSE)="",":",VLOOKUP($E$63,[1]UN!$A$2:$FA$67, 20, FALSE))</f>
        <v>5719.83</v>
      </c>
      <c r="V63" s="544">
        <f>IF(VLOOKUP($E$63,[1]UN!$A$2:$FA$67, 21, FALSE)="",":",VLOOKUP($E$63,[1]UN!$A$2:$FA$67, 21, FALSE))</f>
        <v>5563.38</v>
      </c>
      <c r="W63" s="544">
        <f>IF(VLOOKUP($E$63,[1]UN!$A$2:$FA$67, 22, FALSE)="",":",VLOOKUP($E$63,[1]UN!$A$2:$FA$67, 22, FALSE))</f>
        <v>5737.32</v>
      </c>
      <c r="X63" s="544">
        <f>IF(VLOOKUP($E$63,[1]UN!$A$2:$FA$67, 23, FALSE)="",":",VLOOKUP($E$63,[1]UN!$A$2:$FA$67, 23, FALSE))</f>
        <v>5830.68</v>
      </c>
      <c r="Y63" s="544">
        <f>IF(VLOOKUP($E$63,[1]UN!$A$2:$FA$67, 24, FALSE)="",":",VLOOKUP($E$63,[1]UN!$A$2:$FA$67, 24, FALSE))</f>
        <v>5836.97</v>
      </c>
      <c r="Z63" s="544">
        <f>IF(VLOOKUP($E$63,[1]UN!$A$2:$FA$67, 25, FALSE)="",":",VLOOKUP($E$63,[1]UN!$A$2:$FA$67, 25, FALSE))</f>
        <v>6073.33</v>
      </c>
      <c r="AA63" s="544">
        <f>IF(VLOOKUP($E$63,[1]UN!$A$2:$FA$67, 26, FALSE)="",":",VLOOKUP($E$63,[1]UN!$A$2:$FA$67, 26, FALSE))</f>
        <v>6428.77</v>
      </c>
      <c r="AB63" s="544">
        <f>IF(VLOOKUP($E$63,[1]UN!$A$2:$FA$67, 27, FALSE)="",":",VLOOKUP($E$63,[1]UN!$A$2:$FA$67, 27, FALSE))</f>
        <v>6636.87</v>
      </c>
      <c r="AC63" s="544">
        <f>IF(VLOOKUP($E$63,[1]UN!$A$2:$FA$67, 28, FALSE)="",":",VLOOKUP($E$63,[1]UN!$A$2:$FA$67, 28, FALSE))</f>
        <v>6908.05</v>
      </c>
      <c r="AD63" s="544" t="str">
        <f>IF(VLOOKUP($E$63,[1]UN!$A$2:$FA$67, 29, FALSE)="",":",VLOOKUP($E$63,[1]UN!$A$2:$FA$67, 29, FALSE))</f>
        <v>:</v>
      </c>
      <c r="AE63" s="544" t="str">
        <f>IF(VLOOKUP($E$63,[1]UN!$A$2:$FA$67, 30, FALSE)="",":",VLOOKUP($E$63,[1]UN!$A$2:$FA$67, 30, FALSE))</f>
        <v>:</v>
      </c>
      <c r="AF63" s="544" t="str">
        <f>IF(VLOOKUP($E$63,[1]UN!$A$2:$FA$67, 31, FALSE)="",":",VLOOKUP($E$63,[1]UN!$A$2:$FA$67, 31, FALSE))</f>
        <v>:</v>
      </c>
    </row>
    <row r="64" spans="1:32">
      <c r="A64" s="533"/>
      <c r="B64" s="534"/>
      <c r="C64" s="535"/>
      <c r="D64" s="12" t="s">
        <v>1214</v>
      </c>
      <c r="E64" s="13">
        <v>33</v>
      </c>
      <c r="F64" s="14" t="str">
        <f>VLOOKUP($E$64,[1]UG!$A$2:$FA$300, 3, FALSE)</f>
        <v>33 Final consumption expenditure P.3</v>
      </c>
      <c r="G64" s="544">
        <f>IF(VLOOKUP($E$64,[1]UG!$A$2:$FA$300, 6, FALSE)="",":",VLOOKUP($E$64,[1]UG!$A$2:$FA$300, 6, FALSE))</f>
        <v>1862.44</v>
      </c>
      <c r="H64" s="544">
        <f>IF(VLOOKUP($E$64,[1]UG!$A$2:$FA$300, 7, FALSE)="",":",VLOOKUP($E$64,[1]UG!$A$2:$FA$300, 7, FALSE))</f>
        <v>2338.5500000000002</v>
      </c>
      <c r="I64" s="544">
        <f>IF(VLOOKUP($E$64,[1]UG!$A$2:$FA$300, 8, FALSE)="",":",VLOOKUP($E$64,[1]UG!$A$2:$FA$300, 8, FALSE))</f>
        <v>2832.16</v>
      </c>
      <c r="J64" s="544">
        <f>IF(VLOOKUP($E$64,[1]UG!$A$2:$FA$300, 9, FALSE)="",":",VLOOKUP($E$64,[1]UG!$A$2:$FA$300, 9, FALSE))</f>
        <v>3370.47</v>
      </c>
      <c r="K64" s="544">
        <f>IF(VLOOKUP($E$64,[1]UG!$A$2:$FA$300, 10, FALSE)="",":",VLOOKUP($E$64,[1]UG!$A$2:$FA$300, 10, FALSE))</f>
        <v>3008.15</v>
      </c>
      <c r="L64" s="544">
        <f>IF(VLOOKUP($E$64,[1]UG!$A$2:$FA$300, 11, FALSE)="",":",VLOOKUP($E$64,[1]UG!$A$2:$FA$300, 11, FALSE))</f>
        <v>2995.13</v>
      </c>
      <c r="M64" s="544">
        <f>IF(VLOOKUP($E$64,[1]UG!$A$2:$FA$300, 12, FALSE)="",":",VLOOKUP($E$64,[1]UG!$A$2:$FA$300, 12, FALSE))</f>
        <v>3001.44</v>
      </c>
      <c r="N64" s="544">
        <f>IF(VLOOKUP($E$64,[1]UG!$A$2:$FA$300, 13, FALSE)="",":",VLOOKUP($E$64,[1]UG!$A$2:$FA$300, 13, FALSE))</f>
        <v>3125.92</v>
      </c>
      <c r="O64" s="544">
        <f>IF(VLOOKUP($E$64,[1]UG!$A$2:$FA$300, 14, FALSE)="",":",VLOOKUP($E$64,[1]UG!$A$2:$FA$300, 14, FALSE))</f>
        <v>3259.11</v>
      </c>
      <c r="P64" s="544">
        <f>IF(VLOOKUP($E$64,[1]UG!$A$2:$FA$300, 15, FALSE)="",":",VLOOKUP($E$64,[1]UG!$A$2:$FA$300, 15, FALSE))</f>
        <v>3495.49</v>
      </c>
      <c r="Q64" s="544">
        <f>IF(VLOOKUP($E$64,[1]UG!$A$2:$FA$300, 16, FALSE)="",":",VLOOKUP($E$64,[1]UG!$A$2:$FA$300, 16, FALSE))</f>
        <v>3886.41</v>
      </c>
      <c r="R64" s="544">
        <f>IF(VLOOKUP($E$64,[1]UG!$A$2:$FA$300, 17, FALSE)="",":",VLOOKUP($E$64,[1]UG!$A$2:$FA$300, 17, FALSE))</f>
        <v>4605.5</v>
      </c>
      <c r="S64" s="544">
        <f>IF(VLOOKUP($E$64,[1]UG!$A$2:$FA$300, 18, FALSE)="",":",VLOOKUP($E$64,[1]UG!$A$2:$FA$300, 18, FALSE))</f>
        <v>5066.83</v>
      </c>
      <c r="T64" s="544">
        <f>IF(VLOOKUP($E$64,[1]UG!$A$2:$FA$300, 19, FALSE)="",":",VLOOKUP($E$64,[1]UG!$A$2:$FA$300, 19, FALSE))</f>
        <v>6100.8</v>
      </c>
      <c r="U64" s="544">
        <f>IF(VLOOKUP($E$64,[1]UG!$A$2:$FA$300, 20, FALSE)="",":",VLOOKUP($E$64,[1]UG!$A$2:$FA$300, 20, FALSE))</f>
        <v>5719.83</v>
      </c>
      <c r="V64" s="544">
        <f>IF(VLOOKUP($E$64,[1]UG!$A$2:$FA$300, 21, FALSE)="",":",VLOOKUP($E$64,[1]UG!$A$2:$FA$300, 21, FALSE))</f>
        <v>5563.38</v>
      </c>
      <c r="W64" s="544">
        <f>IF(VLOOKUP($E$64,[1]UG!$A$2:$FA$300, 22, FALSE)="",":",VLOOKUP($E$64,[1]UG!$A$2:$FA$300, 22, FALSE))</f>
        <v>5737.32</v>
      </c>
      <c r="X64" s="544">
        <f>IF(VLOOKUP($E$64,[1]UG!$A$2:$FA$300, 23, FALSE)="",":",VLOOKUP($E$64,[1]UG!$A$2:$FA$300, 23, FALSE))</f>
        <v>5830.68</v>
      </c>
      <c r="Y64" s="544">
        <f>IF(VLOOKUP($E$64,[1]UG!$A$2:$FA$300, 24, FALSE)="",":",VLOOKUP($E$64,[1]UG!$A$2:$FA$300, 24, FALSE))</f>
        <v>5836.97</v>
      </c>
      <c r="Z64" s="544">
        <f>IF(VLOOKUP($E$64,[1]UG!$A$2:$FA$300, 25, FALSE)="",":",VLOOKUP($E$64,[1]UG!$A$2:$FA$300, 25, FALSE))</f>
        <v>6073.33</v>
      </c>
      <c r="AA64" s="544">
        <f>IF(VLOOKUP($E$64,[1]UG!$A$2:$FA$300, 26, FALSE)="",":",VLOOKUP($E$64,[1]UG!$A$2:$FA$300, 26, FALSE))</f>
        <v>6428.77</v>
      </c>
      <c r="AB64" s="544">
        <f>IF(VLOOKUP($E$64,[1]UG!$A$2:$FA$300, 27, FALSE)="",":",VLOOKUP($E$64,[1]UG!$A$2:$FA$300, 27, FALSE))</f>
        <v>6636.87</v>
      </c>
      <c r="AC64" s="544" t="str">
        <f>IF(VLOOKUP($E$64,[1]UG!$A$2:$FA$300, 28, FALSE)="",":",VLOOKUP($E$64,[1]UG!$A$2:$FA$300, 28, FALSE))</f>
        <v>:</v>
      </c>
      <c r="AD64" s="544" t="str">
        <f>IF(VLOOKUP($E$64,[1]UG!$A$2:$FA$300, 29, FALSE)="",":",VLOOKUP($E$64,[1]UG!$A$2:$FA$300, 29, FALSE))</f>
        <v>:</v>
      </c>
      <c r="AE64" s="544" t="str">
        <f>IF(VLOOKUP($E$64,[1]UG!$A$2:$FA$300, 30, FALSE)="",":",VLOOKUP($E$64,[1]UG!$A$2:$FA$300, 30, FALSE))</f>
        <v>:</v>
      </c>
      <c r="AF64" s="544" t="str">
        <f>IF(VLOOKUP($E$64,[1]UG!$A$2:$FA$300, 31, FALSE)="",":",VLOOKUP($E$64,[1]UG!$A$2:$FA$300, 31, FALSE))</f>
        <v>:</v>
      </c>
    </row>
    <row r="65" spans="1:32">
      <c r="A65" s="533"/>
      <c r="B65" s="534"/>
      <c r="C65" s="535"/>
      <c r="D65" s="1347" t="s">
        <v>475</v>
      </c>
      <c r="E65" s="13">
        <v>110</v>
      </c>
      <c r="F65" s="14" t="str">
        <f>VLOOKUP($E$65,[1]UN!$A$2:$FA$67, 3, FALSE)</f>
        <v xml:space="preserve">110  Individual consumption expenditure                                           </v>
      </c>
      <c r="G65" s="544">
        <f>IF(VLOOKUP($E$65,[1]UN!$A$2:$FA$67, 6, FALSE)="",":",VLOOKUP($E$65,[1]UN!$A$2:$FA$67, 6, FALSE))</f>
        <v>792.24</v>
      </c>
      <c r="H65" s="544">
        <f>IF(VLOOKUP($E$65,[1]UN!$A$2:$FA$67, 7, FALSE)="",":",VLOOKUP($E$65,[1]UN!$A$2:$FA$67, 7, FALSE))</f>
        <v>1024.01</v>
      </c>
      <c r="I65" s="544">
        <f>IF(VLOOKUP($E$65,[1]UN!$A$2:$FA$67, 8, FALSE)="",":",VLOOKUP($E$65,[1]UN!$A$2:$FA$67, 8, FALSE))</f>
        <v>1352.97</v>
      </c>
      <c r="J65" s="544">
        <f>IF(VLOOKUP($E$65,[1]UN!$A$2:$FA$67, 9, FALSE)="",":",VLOOKUP($E$65,[1]UN!$A$2:$FA$67, 9, FALSE))</f>
        <v>1662.21</v>
      </c>
      <c r="K65" s="544">
        <f>IF(VLOOKUP($E$65,[1]UN!$A$2:$FA$67, 10, FALSE)="",":",VLOOKUP($E$65,[1]UN!$A$2:$FA$67, 10, FALSE))</f>
        <v>1733.1</v>
      </c>
      <c r="L65" s="544">
        <f>IF(VLOOKUP($E$65,[1]UN!$A$2:$FA$67, 11, FALSE)="",":",VLOOKUP($E$65,[1]UN!$A$2:$FA$67, 11, FALSE))</f>
        <v>1463.46</v>
      </c>
      <c r="M65" s="544">
        <f>IF(VLOOKUP($E$65,[1]UN!$A$2:$FA$67, 12, FALSE)="",":",VLOOKUP($E$65,[1]UN!$A$2:$FA$67, 12, FALSE))</f>
        <v>1520.02</v>
      </c>
      <c r="N65" s="544">
        <f>IF(VLOOKUP($E$65,[1]UN!$A$2:$FA$67, 13, FALSE)="",":",VLOOKUP($E$65,[1]UN!$A$2:$FA$67, 13, FALSE))</f>
        <v>1647.31</v>
      </c>
      <c r="O65" s="544">
        <f>IF(VLOOKUP($E$65,[1]UN!$A$2:$FA$67, 14, FALSE)="",":",VLOOKUP($E$65,[1]UN!$A$2:$FA$67, 14, FALSE))</f>
        <v>1714.97</v>
      </c>
      <c r="P65" s="544">
        <f>IF(VLOOKUP($E$65,[1]UN!$A$2:$FA$67, 15, FALSE)="",":",VLOOKUP($E$65,[1]UN!$A$2:$FA$67, 15, FALSE))</f>
        <v>1842.98</v>
      </c>
      <c r="Q65" s="544">
        <f>IF(VLOOKUP($E$65,[1]UN!$A$2:$FA$67, 16, FALSE)="",":",VLOOKUP($E$65,[1]UN!$A$2:$FA$67, 16, FALSE))</f>
        <v>2123.4</v>
      </c>
      <c r="R65" s="544">
        <f>IF(VLOOKUP($E$65,[1]UN!$A$2:$FA$67, 17, FALSE)="",":",VLOOKUP($E$65,[1]UN!$A$2:$FA$67, 17, FALSE))</f>
        <v>2442.19</v>
      </c>
      <c r="S65" s="544">
        <f>IF(VLOOKUP($E$65,[1]UN!$A$2:$FA$67, 18, FALSE)="",":",VLOOKUP($E$65,[1]UN!$A$2:$FA$67, 18, FALSE))</f>
        <v>2731.67</v>
      </c>
      <c r="T65" s="544">
        <f>IF(VLOOKUP($E$65,[1]UN!$A$2:$FA$67, 19, FALSE)="",":",VLOOKUP($E$65,[1]UN!$A$2:$FA$67, 19, FALSE))</f>
        <v>3376.12</v>
      </c>
      <c r="U65" s="544">
        <f>IF(VLOOKUP($E$65,[1]UN!$A$2:$FA$67, 20, FALSE)="",":",VLOOKUP($E$65,[1]UN!$A$2:$FA$67, 20, FALSE))</f>
        <v>3389.15</v>
      </c>
      <c r="V65" s="544">
        <f>IF(VLOOKUP($E$65,[1]UN!$A$2:$FA$67, 21, FALSE)="",":",VLOOKUP($E$65,[1]UN!$A$2:$FA$67, 21, FALSE))</f>
        <v>3192.75</v>
      </c>
      <c r="W65" s="544">
        <f>IF(VLOOKUP($E$65,[1]UN!$A$2:$FA$67, 22, FALSE)="",":",VLOOKUP($E$65,[1]UN!$A$2:$FA$67, 22, FALSE))</f>
        <v>3333.44</v>
      </c>
      <c r="X65" s="544">
        <f>IF(VLOOKUP($E$65,[1]UN!$A$2:$FA$67, 23, FALSE)="",":",VLOOKUP($E$65,[1]UN!$A$2:$FA$67, 23, FALSE))</f>
        <v>3297</v>
      </c>
      <c r="Y65" s="544">
        <f>IF(VLOOKUP($E$65,[1]UN!$A$2:$FA$67, 24, FALSE)="",":",VLOOKUP($E$65,[1]UN!$A$2:$FA$67, 24, FALSE))</f>
        <v>3309.95</v>
      </c>
      <c r="Z65" s="544">
        <f>IF(VLOOKUP($E$65,[1]UN!$A$2:$FA$67, 25, FALSE)="",":",VLOOKUP($E$65,[1]UN!$A$2:$FA$67, 25, FALSE))</f>
        <v>3392.4</v>
      </c>
      <c r="AA65" s="544">
        <f>IF(VLOOKUP($E$65,[1]UN!$A$2:$FA$67, 26, FALSE)="",":",VLOOKUP($E$65,[1]UN!$A$2:$FA$67, 26, FALSE))</f>
        <v>3638.47</v>
      </c>
      <c r="AB65" s="544">
        <f>IF(VLOOKUP($E$65,[1]UN!$A$2:$FA$67, 27, FALSE)="",":",VLOOKUP($E$65,[1]UN!$A$2:$FA$67, 27, FALSE))</f>
        <v>3776.52</v>
      </c>
      <c r="AC65" s="544">
        <f>IF(VLOOKUP($E$65,[1]UN!$A$2:$FA$67, 28, FALSE)="",":",VLOOKUP($E$65,[1]UN!$A$2:$FA$67, 28, FALSE))</f>
        <v>3920.84</v>
      </c>
      <c r="AD65" s="544" t="str">
        <f>IF(VLOOKUP($E$65,[1]UN!$A$2:$FA$67, 29, FALSE)="",":",VLOOKUP($E$65,[1]UN!$A$2:$FA$67, 29, FALSE))</f>
        <v>:</v>
      </c>
      <c r="AE65" s="544" t="str">
        <f>IF(VLOOKUP($E$65,[1]UN!$A$2:$FA$67, 30, FALSE)="",":",VLOOKUP($E$65,[1]UN!$A$2:$FA$67, 30, FALSE))</f>
        <v>:</v>
      </c>
      <c r="AF65" s="544" t="str">
        <f>IF(VLOOKUP($E$65,[1]UN!$A$2:$FA$67, 31, FALSE)="",":",VLOOKUP($E$65,[1]UN!$A$2:$FA$67, 31, FALSE))</f>
        <v>:</v>
      </c>
    </row>
    <row r="66" spans="1:32">
      <c r="A66" s="533"/>
      <c r="B66" s="534" t="s">
        <v>1515</v>
      </c>
      <c r="C66" s="535"/>
      <c r="D66" s="12"/>
      <c r="E66" s="13"/>
      <c r="F66" s="14"/>
      <c r="G66" s="544"/>
      <c r="H66" s="544"/>
      <c r="I66" s="544"/>
      <c r="J66" s="544"/>
      <c r="K66" s="544"/>
      <c r="L66" s="544"/>
      <c r="M66" s="544"/>
      <c r="N66" s="544"/>
      <c r="O66" s="544"/>
      <c r="P66" s="544"/>
      <c r="Q66" s="544"/>
      <c r="R66" s="544"/>
      <c r="S66" s="544"/>
      <c r="T66" s="544"/>
      <c r="U66" s="544"/>
      <c r="V66" s="544"/>
      <c r="W66" s="544"/>
      <c r="X66" s="544"/>
      <c r="Y66" s="544"/>
      <c r="Z66" s="544"/>
      <c r="AA66" s="544"/>
      <c r="AB66" s="544"/>
      <c r="AC66" s="544"/>
      <c r="AD66" s="544"/>
      <c r="AE66" s="544"/>
      <c r="AF66" s="544"/>
    </row>
    <row r="67" spans="1:32">
      <c r="A67" s="533"/>
      <c r="B67" s="534" t="s">
        <v>1516</v>
      </c>
      <c r="C67" s="535"/>
      <c r="D67" s="12"/>
      <c r="E67" s="13"/>
      <c r="F67" s="14"/>
      <c r="G67" s="544"/>
      <c r="H67" s="544"/>
      <c r="I67" s="544"/>
      <c r="J67" s="544"/>
      <c r="K67" s="544"/>
      <c r="L67" s="544"/>
      <c r="M67" s="544"/>
      <c r="N67" s="544"/>
      <c r="O67" s="544"/>
      <c r="P67" s="544"/>
      <c r="Q67" s="544"/>
      <c r="R67" s="544"/>
      <c r="S67" s="544"/>
      <c r="T67" s="544"/>
      <c r="U67" s="544"/>
      <c r="V67" s="544"/>
      <c r="W67" s="544"/>
      <c r="X67" s="544"/>
      <c r="Y67" s="544"/>
      <c r="Z67" s="544"/>
      <c r="AA67" s="544"/>
      <c r="AB67" s="544"/>
      <c r="AC67" s="544"/>
      <c r="AD67" s="544"/>
      <c r="AE67" s="544"/>
      <c r="AF67" s="544"/>
    </row>
    <row r="68" spans="1:32">
      <c r="A68" s="533"/>
      <c r="B68" s="534" t="s">
        <v>1517</v>
      </c>
      <c r="C68" s="535"/>
      <c r="D68" s="12" t="s">
        <v>475</v>
      </c>
      <c r="E68" s="13">
        <v>317</v>
      </c>
      <c r="F68" s="14" t="str">
        <f>VLOOKUP($E$68,[1]UN!$A$2:$FA$67, 3, FALSE)</f>
        <v xml:space="preserve">317  Non-residential construction and civil engineering                           </v>
      </c>
      <c r="G68" s="544">
        <f>IF(VLOOKUP($E$68,[1]UN!$A$2:$FA$67, 6, FALSE)="",":",VLOOKUP($E$68,[1]UN!$A$2:$FA$67, 6, FALSE))</f>
        <v>752.56</v>
      </c>
      <c r="H68" s="544">
        <f>IF(VLOOKUP($E$68,[1]UN!$A$2:$FA$67, 7, FALSE)="",":",VLOOKUP($E$68,[1]UN!$A$2:$FA$67, 7, FALSE))</f>
        <v>873.7</v>
      </c>
      <c r="I68" s="544">
        <f>IF(VLOOKUP($E$68,[1]UN!$A$2:$FA$67, 8, FALSE)="",":",VLOOKUP($E$68,[1]UN!$A$2:$FA$67, 8, FALSE))</f>
        <v>1182.52</v>
      </c>
      <c r="J68" s="544">
        <f>IF(VLOOKUP($E$68,[1]UN!$A$2:$FA$67, 9, FALSE)="",":",VLOOKUP($E$68,[1]UN!$A$2:$FA$67, 9, FALSE))</f>
        <v>1567.89</v>
      </c>
      <c r="K68" s="544">
        <f>IF(VLOOKUP($E$68,[1]UN!$A$2:$FA$67, 10, FALSE)="",":",VLOOKUP($E$68,[1]UN!$A$2:$FA$67, 10, FALSE))</f>
        <v>1433.3</v>
      </c>
      <c r="L68" s="544">
        <f>IF(VLOOKUP($E$68,[1]UN!$A$2:$FA$67, 11, FALSE)="",":",VLOOKUP($E$68,[1]UN!$A$2:$FA$67, 11, FALSE))</f>
        <v>1148.71</v>
      </c>
      <c r="M68" s="544">
        <f>IF(VLOOKUP($E$68,[1]UN!$A$2:$FA$67, 12, FALSE)="",":",VLOOKUP($E$68,[1]UN!$A$2:$FA$67, 12, FALSE))</f>
        <v>1273.18</v>
      </c>
      <c r="N68" s="544">
        <f>IF(VLOOKUP($E$68,[1]UN!$A$2:$FA$67, 13, FALSE)="",":",VLOOKUP($E$68,[1]UN!$A$2:$FA$67, 13, FALSE))</f>
        <v>1464.95</v>
      </c>
      <c r="O68" s="544">
        <f>IF(VLOOKUP($E$68,[1]UN!$A$2:$FA$67, 14, FALSE)="",":",VLOOKUP($E$68,[1]UN!$A$2:$FA$67, 14, FALSE))</f>
        <v>1790.61</v>
      </c>
      <c r="P68" s="544">
        <f>IF(VLOOKUP($E$68,[1]UN!$A$2:$FA$67, 15, FALSE)="",":",VLOOKUP($E$68,[1]UN!$A$2:$FA$67, 15, FALSE))</f>
        <v>1858.97</v>
      </c>
      <c r="Q68" s="544">
        <f>IF(VLOOKUP($E$68,[1]UN!$A$2:$FA$67, 16, FALSE)="",":",VLOOKUP($E$68,[1]UN!$A$2:$FA$67, 16, FALSE))</f>
        <v>2271.5500000000002</v>
      </c>
      <c r="R68" s="544">
        <f>IF(VLOOKUP($E$68,[1]UN!$A$2:$FA$67, 17, FALSE)="",":",VLOOKUP($E$68,[1]UN!$A$2:$FA$67, 17, FALSE))</f>
        <v>3041.15</v>
      </c>
      <c r="S68" s="544">
        <f>IF(VLOOKUP($E$68,[1]UN!$A$2:$FA$67, 18, FALSE)="",":",VLOOKUP($E$68,[1]UN!$A$2:$FA$67, 18, FALSE))</f>
        <v>4216.71</v>
      </c>
      <c r="T68" s="544">
        <f>IF(VLOOKUP($E$68,[1]UN!$A$2:$FA$67, 19, FALSE)="",":",VLOOKUP($E$68,[1]UN!$A$2:$FA$67, 19, FALSE))</f>
        <v>4439.37</v>
      </c>
      <c r="U68" s="544">
        <f>IF(VLOOKUP($E$68,[1]UN!$A$2:$FA$67, 20, FALSE)="",":",VLOOKUP($E$68,[1]UN!$A$2:$FA$67, 20, FALSE))</f>
        <v>2238.7399999999998</v>
      </c>
      <c r="V68" s="544">
        <f>IF(VLOOKUP($E$68,[1]UN!$A$2:$FA$67, 21, FALSE)="",":",VLOOKUP($E$68,[1]UN!$A$2:$FA$67, 21, FALSE))</f>
        <v>2183.91</v>
      </c>
      <c r="W68" s="544">
        <f>IF(VLOOKUP($E$68,[1]UN!$A$2:$FA$67, 22, FALSE)="",":",VLOOKUP($E$68,[1]UN!$A$2:$FA$67, 22, FALSE))</f>
        <v>2681.04</v>
      </c>
      <c r="X68" s="544">
        <f>IF(VLOOKUP($E$68,[1]UN!$A$2:$FA$67, 23, FALSE)="",":",VLOOKUP($E$68,[1]UN!$A$2:$FA$67, 23, FALSE))</f>
        <v>2617.09</v>
      </c>
      <c r="Y68" s="544">
        <f>IF(VLOOKUP($E$68,[1]UN!$A$2:$FA$67, 24, FALSE)="",":",VLOOKUP($E$68,[1]UN!$A$2:$FA$67, 24, FALSE))</f>
        <v>2916.7</v>
      </c>
      <c r="Z68" s="544">
        <f>IF(VLOOKUP($E$68,[1]UN!$A$2:$FA$67, 25, FALSE)="",":",VLOOKUP($E$68,[1]UN!$A$2:$FA$67, 25, FALSE))</f>
        <v>3162.81</v>
      </c>
      <c r="AA68" s="544">
        <f>IF(VLOOKUP($E$68,[1]UN!$A$2:$FA$67, 26, FALSE)="",":",VLOOKUP($E$68,[1]UN!$A$2:$FA$67, 26, FALSE))</f>
        <v>3044.37</v>
      </c>
      <c r="AB68" s="544">
        <f>IF(VLOOKUP($E$68,[1]UN!$A$2:$FA$67, 27, FALSE)="",":",VLOOKUP($E$68,[1]UN!$A$2:$FA$67, 27, FALSE))</f>
        <v>2624.46</v>
      </c>
      <c r="AC68" s="544">
        <f>IF(VLOOKUP($E$68,[1]UN!$A$2:$FA$67, 28, FALSE)="",":",VLOOKUP($E$68,[1]UN!$A$2:$FA$67, 28, FALSE))</f>
        <v>2971.95</v>
      </c>
      <c r="AD68" s="544" t="str">
        <f>IF(VLOOKUP($E$68,[1]UN!$A$2:$FA$67, 29, FALSE)="",":",VLOOKUP($E$68,[1]UN!$A$2:$FA$67, 29, FALSE))</f>
        <v>:</v>
      </c>
      <c r="AE68" s="544" t="str">
        <f>IF(VLOOKUP($E$68,[1]UN!$A$2:$FA$67, 30, FALSE)="",":",VLOOKUP($E$68,[1]UN!$A$2:$FA$67, 30, FALSE))</f>
        <v>:</v>
      </c>
      <c r="AF68" s="544" t="str">
        <f>IF(VLOOKUP($E$68,[1]UN!$A$2:$FA$67, 31, FALSE)="",":",VLOOKUP($E$68,[1]UN!$A$2:$FA$67, 31, FALSE))</f>
        <v>:</v>
      </c>
    </row>
    <row r="69" spans="1:32">
      <c r="A69" s="533"/>
      <c r="B69" s="534"/>
      <c r="C69" s="535"/>
      <c r="D69" s="12"/>
      <c r="E69" s="13"/>
      <c r="F69" s="14"/>
      <c r="G69" s="544"/>
      <c r="H69" s="544"/>
      <c r="I69" s="544"/>
      <c r="J69" s="544"/>
      <c r="K69" s="544"/>
      <c r="L69" s="544"/>
      <c r="M69" s="544"/>
      <c r="N69" s="544"/>
      <c r="O69" s="544"/>
      <c r="P69" s="544"/>
      <c r="Q69" s="544"/>
      <c r="R69" s="544"/>
      <c r="S69" s="544"/>
      <c r="T69" s="544"/>
      <c r="U69" s="544"/>
      <c r="V69" s="544"/>
      <c r="W69" s="544"/>
      <c r="X69" s="544"/>
      <c r="Y69" s="544"/>
      <c r="Z69" s="544"/>
      <c r="AA69" s="544"/>
      <c r="AB69" s="544"/>
      <c r="AC69" s="544"/>
      <c r="AD69" s="544"/>
      <c r="AE69" s="544"/>
      <c r="AF69" s="544"/>
    </row>
    <row r="70" spans="1:32">
      <c r="A70" s="533">
        <v>33</v>
      </c>
      <c r="B70" s="534" t="s">
        <v>1518</v>
      </c>
      <c r="C70" s="535"/>
      <c r="D70" s="12" t="s">
        <v>475</v>
      </c>
      <c r="E70" s="13">
        <v>316</v>
      </c>
      <c r="F70" s="14" t="str">
        <f>VLOOKUP($E$70,[1]UN!$A$2:$FA$67, 3, FALSE)</f>
        <v xml:space="preserve">316  Dwellings                                                                    </v>
      </c>
      <c r="G70" s="544">
        <f>IF(VLOOKUP($E$70,[1]UN!$A$2:$FA$67, 6, FALSE)="",":",VLOOKUP($E$70,[1]UN!$A$2:$FA$67, 6, FALSE))</f>
        <v>176.34</v>
      </c>
      <c r="H70" s="544">
        <f>IF(VLOOKUP($E$70,[1]UN!$A$2:$FA$67, 7, FALSE)="",":",VLOOKUP($E$70,[1]UN!$A$2:$FA$67, 7, FALSE))</f>
        <v>206.04</v>
      </c>
      <c r="I70" s="544">
        <f>IF(VLOOKUP($E$70,[1]UN!$A$2:$FA$67, 8, FALSE)="",":",VLOOKUP($E$70,[1]UN!$A$2:$FA$67, 8, FALSE))</f>
        <v>202.93</v>
      </c>
      <c r="J70" s="544">
        <f>IF(VLOOKUP($E$70,[1]UN!$A$2:$FA$67, 9, FALSE)="",":",VLOOKUP($E$70,[1]UN!$A$2:$FA$67, 9, FALSE))</f>
        <v>198.41</v>
      </c>
      <c r="K70" s="544">
        <f>IF(VLOOKUP($E$70,[1]UN!$A$2:$FA$67, 10, FALSE)="",":",VLOOKUP($E$70,[1]UN!$A$2:$FA$67, 10, FALSE))</f>
        <v>213.08</v>
      </c>
      <c r="L70" s="544">
        <f>IF(VLOOKUP($E$70,[1]UN!$A$2:$FA$67, 11, FALSE)="",":",VLOOKUP($E$70,[1]UN!$A$2:$FA$67, 11, FALSE))</f>
        <v>234.57</v>
      </c>
      <c r="M70" s="544">
        <f>IF(VLOOKUP($E$70,[1]UN!$A$2:$FA$67, 12, FALSE)="",":",VLOOKUP($E$70,[1]UN!$A$2:$FA$67, 12, FALSE))</f>
        <v>223.57</v>
      </c>
      <c r="N70" s="544">
        <f>IF(VLOOKUP($E$70,[1]UN!$A$2:$FA$67, 13, FALSE)="",":",VLOOKUP($E$70,[1]UN!$A$2:$FA$67, 13, FALSE))</f>
        <v>201.57</v>
      </c>
      <c r="O70" s="544">
        <f>IF(VLOOKUP($E$70,[1]UN!$A$2:$FA$67, 14, FALSE)="",":",VLOOKUP($E$70,[1]UN!$A$2:$FA$67, 14, FALSE))</f>
        <v>233.41</v>
      </c>
      <c r="P70" s="544">
        <f>IF(VLOOKUP($E$70,[1]UN!$A$2:$FA$67, 15, FALSE)="",":",VLOOKUP($E$70,[1]UN!$A$2:$FA$67, 15, FALSE))</f>
        <v>418.74</v>
      </c>
      <c r="Q70" s="544">
        <f>IF(VLOOKUP($E$70,[1]UN!$A$2:$FA$67, 16, FALSE)="",":",VLOOKUP($E$70,[1]UN!$A$2:$FA$67, 16, FALSE))</f>
        <v>454.15</v>
      </c>
      <c r="R70" s="544">
        <f>IF(VLOOKUP($E$70,[1]UN!$A$2:$FA$67, 17, FALSE)="",":",VLOOKUP($E$70,[1]UN!$A$2:$FA$67, 17, FALSE))</f>
        <v>609.15</v>
      </c>
      <c r="S70" s="544">
        <f>IF(VLOOKUP($E$70,[1]UN!$A$2:$FA$67, 18, FALSE)="",":",VLOOKUP($E$70,[1]UN!$A$2:$FA$67, 18, FALSE))</f>
        <v>812.39</v>
      </c>
      <c r="T70" s="544">
        <f>IF(VLOOKUP($E$70,[1]UN!$A$2:$FA$67, 19, FALSE)="",":",VLOOKUP($E$70,[1]UN!$A$2:$FA$67, 19, FALSE))</f>
        <v>1106.31</v>
      </c>
      <c r="U70" s="544">
        <f>IF(VLOOKUP($E$70,[1]UN!$A$2:$FA$67, 20, FALSE)="",":",VLOOKUP($E$70,[1]UN!$A$2:$FA$67, 20, FALSE))</f>
        <v>878.08</v>
      </c>
      <c r="V70" s="544">
        <f>IF(VLOOKUP($E$70,[1]UN!$A$2:$FA$67, 21, FALSE)="",":",VLOOKUP($E$70,[1]UN!$A$2:$FA$67, 21, FALSE))</f>
        <v>588.1</v>
      </c>
      <c r="W70" s="544">
        <f>IF(VLOOKUP($E$70,[1]UN!$A$2:$FA$67, 22, FALSE)="",":",VLOOKUP($E$70,[1]UN!$A$2:$FA$67, 22, FALSE))</f>
        <v>616.27</v>
      </c>
      <c r="X70" s="544">
        <f>IF(VLOOKUP($E$70,[1]UN!$A$2:$FA$67, 23, FALSE)="",":",VLOOKUP($E$70,[1]UN!$A$2:$FA$67, 23, FALSE))</f>
        <v>649.44000000000005</v>
      </c>
      <c r="Y70" s="544">
        <f>IF(VLOOKUP($E$70,[1]UN!$A$2:$FA$67, 24, FALSE)="",":",VLOOKUP($E$70,[1]UN!$A$2:$FA$67, 24, FALSE))</f>
        <v>756.92</v>
      </c>
      <c r="Z70" s="544">
        <f>IF(VLOOKUP($E$70,[1]UN!$A$2:$FA$67, 25, FALSE)="",":",VLOOKUP($E$70,[1]UN!$A$2:$FA$67, 25, FALSE))</f>
        <v>913.34</v>
      </c>
      <c r="AA70" s="544">
        <f>IF(VLOOKUP($E$70,[1]UN!$A$2:$FA$67, 26, FALSE)="",":",VLOOKUP($E$70,[1]UN!$A$2:$FA$67, 26, FALSE))</f>
        <v>1053.3900000000001</v>
      </c>
      <c r="AB70" s="544">
        <f>IF(VLOOKUP($E$70,[1]UN!$A$2:$FA$67, 27, FALSE)="",":",VLOOKUP($E$70,[1]UN!$A$2:$FA$67, 27, FALSE))</f>
        <v>1160.68</v>
      </c>
      <c r="AC70" s="544">
        <f>IF(VLOOKUP($E$70,[1]UN!$A$2:$FA$67, 28, FALSE)="",":",VLOOKUP($E$70,[1]UN!$A$2:$FA$67, 28, FALSE))</f>
        <v>1125.97</v>
      </c>
      <c r="AD70" s="544" t="str">
        <f>IF(VLOOKUP($E$70,[1]UN!$A$2:$FA$67, 29, FALSE)="",":",VLOOKUP($E$70,[1]UN!$A$2:$FA$67, 29, FALSE))</f>
        <v>:</v>
      </c>
      <c r="AE70" s="544" t="str">
        <f>IF(VLOOKUP($E$70,[1]UN!$A$2:$FA$67, 30, FALSE)="",":",VLOOKUP($E$70,[1]UN!$A$2:$FA$67, 30, FALSE))</f>
        <v>:</v>
      </c>
      <c r="AF70" s="544" t="str">
        <f>IF(VLOOKUP($E$70,[1]UN!$A$2:$FA$67, 31, FALSE)="",":",VLOOKUP($E$70,[1]UN!$A$2:$FA$67, 31, FALSE))</f>
        <v>:</v>
      </c>
    </row>
    <row r="71" spans="1:32">
      <c r="A71" s="533"/>
      <c r="B71" s="534" t="s">
        <v>469</v>
      </c>
      <c r="C71" s="535"/>
      <c r="D71" s="12"/>
      <c r="E71" s="13"/>
      <c r="F71" s="14"/>
      <c r="G71" s="544"/>
      <c r="H71" s="544"/>
      <c r="I71" s="544"/>
      <c r="J71" s="544"/>
      <c r="K71" s="544"/>
      <c r="L71" s="544"/>
      <c r="M71" s="544"/>
      <c r="N71" s="544"/>
      <c r="O71" s="544"/>
      <c r="P71" s="544"/>
      <c r="Q71" s="544"/>
      <c r="R71" s="544"/>
      <c r="S71" s="544"/>
      <c r="T71" s="544"/>
      <c r="U71" s="544"/>
      <c r="V71" s="544"/>
      <c r="W71" s="544"/>
      <c r="X71" s="544"/>
      <c r="Y71" s="544"/>
      <c r="Z71" s="544"/>
      <c r="AA71" s="544"/>
      <c r="AB71" s="544"/>
      <c r="AC71" s="544"/>
      <c r="AD71" s="544"/>
      <c r="AE71" s="544"/>
      <c r="AF71" s="544"/>
    </row>
    <row r="72" spans="1:32">
      <c r="A72" s="533"/>
      <c r="B72" s="534" t="s">
        <v>470</v>
      </c>
      <c r="C72" s="535"/>
      <c r="D72" s="12"/>
      <c r="E72" s="13"/>
      <c r="F72" s="14"/>
      <c r="G72" s="544"/>
      <c r="H72" s="544"/>
      <c r="I72" s="544"/>
      <c r="J72" s="544"/>
      <c r="K72" s="544"/>
      <c r="L72" s="544"/>
      <c r="M72" s="544"/>
      <c r="N72" s="544"/>
      <c r="O72" s="544"/>
      <c r="P72" s="544"/>
      <c r="Q72" s="544"/>
      <c r="R72" s="544"/>
      <c r="S72" s="544"/>
      <c r="T72" s="544"/>
      <c r="U72" s="544"/>
      <c r="V72" s="544"/>
      <c r="W72" s="544"/>
      <c r="X72" s="544"/>
      <c r="Y72" s="544"/>
      <c r="Z72" s="544"/>
      <c r="AA72" s="544"/>
      <c r="AB72" s="544"/>
      <c r="AC72" s="544"/>
      <c r="AD72" s="544"/>
      <c r="AE72" s="544"/>
      <c r="AF72" s="544"/>
    </row>
    <row r="73" spans="1:32">
      <c r="A73" s="533">
        <v>14</v>
      </c>
      <c r="B73" s="534" t="s">
        <v>471</v>
      </c>
      <c r="C73" s="535"/>
      <c r="D73" s="12" t="s">
        <v>475</v>
      </c>
      <c r="E73" s="13">
        <v>312</v>
      </c>
      <c r="F73" s="14" t="str">
        <f>VLOOKUP($E$73,[1]UN!$A$2:$FA$67, 3, FALSE)</f>
        <v xml:space="preserve">312  Equipment                                                                    </v>
      </c>
      <c r="G73" s="544">
        <f>IF(VLOOKUP($E$73,[1]UN!$A$2:$FA$67, 6, FALSE)="",":",VLOOKUP($E$73,[1]UN!$A$2:$FA$67, 6, FALSE))</f>
        <v>579.79999999999995</v>
      </c>
      <c r="H73" s="544">
        <f>IF(VLOOKUP($E$73,[1]UN!$A$2:$FA$67, 7, FALSE)="",":",VLOOKUP($E$73,[1]UN!$A$2:$FA$67, 7, FALSE))</f>
        <v>828.04</v>
      </c>
      <c r="I73" s="544">
        <f>IF(VLOOKUP($E$73,[1]UN!$A$2:$FA$67, 8, FALSE)="",":",VLOOKUP($E$73,[1]UN!$A$2:$FA$67, 8, FALSE))</f>
        <v>1132.4100000000001</v>
      </c>
      <c r="J73" s="544">
        <f>IF(VLOOKUP($E$73,[1]UN!$A$2:$FA$67, 9, FALSE)="",":",VLOOKUP($E$73,[1]UN!$A$2:$FA$67, 9, FALSE))</f>
        <v>1247.8</v>
      </c>
      <c r="K73" s="544">
        <f>IF(VLOOKUP($E$73,[1]UN!$A$2:$FA$67, 10, FALSE)="",":",VLOOKUP($E$73,[1]UN!$A$2:$FA$67, 10, FALSE))</f>
        <v>1056.9000000000001</v>
      </c>
      <c r="L73" s="544">
        <f>IF(VLOOKUP($E$73,[1]UN!$A$2:$FA$67, 11, FALSE)="",":",VLOOKUP($E$73,[1]UN!$A$2:$FA$67, 11, FALSE))</f>
        <v>987.39</v>
      </c>
      <c r="M73" s="544">
        <f>IF(VLOOKUP($E$73,[1]UN!$A$2:$FA$67, 12, FALSE)="",":",VLOOKUP($E$73,[1]UN!$A$2:$FA$67, 12, FALSE))</f>
        <v>1204.49</v>
      </c>
      <c r="N73" s="544">
        <f>IF(VLOOKUP($E$73,[1]UN!$A$2:$FA$67, 13, FALSE)="",":",VLOOKUP($E$73,[1]UN!$A$2:$FA$67, 13, FALSE))</f>
        <v>1276.48</v>
      </c>
      <c r="O73" s="544">
        <f>IF(VLOOKUP($E$73,[1]UN!$A$2:$FA$67, 14, FALSE)="",":",VLOOKUP($E$73,[1]UN!$A$2:$FA$67, 14, FALSE))</f>
        <v>1336.81</v>
      </c>
      <c r="P73" s="544">
        <f>IF(VLOOKUP($E$73,[1]UN!$A$2:$FA$67, 15, FALSE)="",":",VLOOKUP($E$73,[1]UN!$A$2:$FA$67, 15, FALSE))</f>
        <v>1637.99</v>
      </c>
      <c r="Q73" s="544">
        <f>IF(VLOOKUP($E$73,[1]UN!$A$2:$FA$67, 16, FALSE)="",":",VLOOKUP($E$73,[1]UN!$A$2:$FA$67, 16, FALSE))</f>
        <v>1856.99</v>
      </c>
      <c r="R73" s="544">
        <f>IF(VLOOKUP($E$73,[1]UN!$A$2:$FA$67, 17, FALSE)="",":",VLOOKUP($E$73,[1]UN!$A$2:$FA$67, 17, FALSE))</f>
        <v>2161</v>
      </c>
      <c r="S73" s="544">
        <f>IF(VLOOKUP($E$73,[1]UN!$A$2:$FA$67, 18, FALSE)="",":",VLOOKUP($E$73,[1]UN!$A$2:$FA$67, 18, FALSE))</f>
        <v>2718.23</v>
      </c>
      <c r="T73" s="544">
        <f>IF(VLOOKUP($E$73,[1]UN!$A$2:$FA$67, 19, FALSE)="",":",VLOOKUP($E$73,[1]UN!$A$2:$FA$67, 19, FALSE))</f>
        <v>2309.29</v>
      </c>
      <c r="U73" s="544">
        <f>IF(VLOOKUP($E$73,[1]UN!$A$2:$FA$67, 20, FALSE)="",":",VLOOKUP($E$73,[1]UN!$A$2:$FA$67, 20, FALSE))</f>
        <v>1148.32</v>
      </c>
      <c r="V73" s="544">
        <f>IF(VLOOKUP($E$73,[1]UN!$A$2:$FA$67, 21, FALSE)="",":",VLOOKUP($E$73,[1]UN!$A$2:$FA$67, 21, FALSE))</f>
        <v>1370.85</v>
      </c>
      <c r="W73" s="544">
        <f>IF(VLOOKUP($E$73,[1]UN!$A$2:$FA$67, 22, FALSE)="",":",VLOOKUP($E$73,[1]UN!$A$2:$FA$67, 22, FALSE))</f>
        <v>1881.08</v>
      </c>
      <c r="X73" s="544">
        <f>IF(VLOOKUP($E$73,[1]UN!$A$2:$FA$67, 23, FALSE)="",":",VLOOKUP($E$73,[1]UN!$A$2:$FA$67, 23, FALSE))</f>
        <v>1943.58</v>
      </c>
      <c r="Y73" s="544">
        <f>IF(VLOOKUP($E$73,[1]UN!$A$2:$FA$67, 24, FALSE)="",":",VLOOKUP($E$73,[1]UN!$A$2:$FA$67, 24, FALSE))</f>
        <v>2188.9499999999998</v>
      </c>
      <c r="Z73" s="544">
        <f>IF(VLOOKUP($E$73,[1]UN!$A$2:$FA$67, 25, FALSE)="",":",VLOOKUP($E$73,[1]UN!$A$2:$FA$67, 25, FALSE))</f>
        <v>2171.85</v>
      </c>
      <c r="AA73" s="544">
        <f>IF(VLOOKUP($E$73,[1]UN!$A$2:$FA$67, 26, FALSE)="",":",VLOOKUP($E$73,[1]UN!$A$2:$FA$67, 26, FALSE))</f>
        <v>2474.14</v>
      </c>
      <c r="AB73" s="544">
        <f>IF(VLOOKUP($E$73,[1]UN!$A$2:$FA$67, 27, FALSE)="",":",VLOOKUP($E$73,[1]UN!$A$2:$FA$67, 27, FALSE))</f>
        <v>2682.53</v>
      </c>
      <c r="AC73" s="544">
        <f>IF(VLOOKUP($E$73,[1]UN!$A$2:$FA$67, 28, FALSE)="",":",VLOOKUP($E$73,[1]UN!$A$2:$FA$67, 28, FALSE))</f>
        <v>2859.99</v>
      </c>
      <c r="AD73" s="544" t="str">
        <f>IF(VLOOKUP($E$73,[1]UN!$A$2:$FA$67, 29, FALSE)="",":",VLOOKUP($E$73,[1]UN!$A$2:$FA$67, 29, FALSE))</f>
        <v>:</v>
      </c>
      <c r="AE73" s="544" t="str">
        <f>IF(VLOOKUP($E$73,[1]UN!$A$2:$FA$67, 30, FALSE)="",":",VLOOKUP($E$73,[1]UN!$A$2:$FA$67, 30, FALSE))</f>
        <v>:</v>
      </c>
      <c r="AF73" s="544" t="str">
        <f>IF(VLOOKUP($E$73,[1]UN!$A$2:$FA$67, 31, FALSE)="",":",VLOOKUP($E$73,[1]UN!$A$2:$FA$67, 31, FALSE))</f>
        <v>:</v>
      </c>
    </row>
    <row r="74" spans="1:32">
      <c r="A74" s="533">
        <v>39</v>
      </c>
      <c r="B74" s="534"/>
      <c r="C74" s="535"/>
      <c r="D74" s="12" t="s">
        <v>475</v>
      </c>
      <c r="E74" s="13">
        <v>315</v>
      </c>
      <c r="F74" s="14" t="str">
        <f>VLOOKUP($E$74,[1]UN!$A$2:$FA$304, 3, FALSE)</f>
        <v xml:space="preserve">315  Construction                                                                 </v>
      </c>
      <c r="G74" s="544">
        <f>IF(VLOOKUP($E$74,[1]UN!$A$2:$FA$304, 6, FALSE)="",":",VLOOKUP($E$74,[1]UN!$A$2:$FA$304, 6, FALSE))</f>
        <v>928.9</v>
      </c>
      <c r="H74" s="544">
        <f>IF(VLOOKUP($E$74,[1]UN!$A$2:$FA$304, 7, FALSE)="",":",VLOOKUP($E$74,[1]UN!$A$2:$FA$304, 7, FALSE))</f>
        <v>1079.74</v>
      </c>
      <c r="I74" s="544">
        <f>IF(VLOOKUP($E$74,[1]UN!$A$2:$FA$304, 8, FALSE)="",":",VLOOKUP($E$74,[1]UN!$A$2:$FA$304, 8, FALSE))</f>
        <v>1385.45</v>
      </c>
      <c r="J74" s="544">
        <f>IF(VLOOKUP($E$74,[1]UN!$A$2:$FA$304, 9, FALSE)="",":",VLOOKUP($E$74,[1]UN!$A$2:$FA$304, 9, FALSE))</f>
        <v>1766.3</v>
      </c>
      <c r="K74" s="544">
        <f>IF(VLOOKUP($E$74,[1]UN!$A$2:$FA$304, 10, FALSE)="",":",VLOOKUP($E$74,[1]UN!$A$2:$FA$304, 10, FALSE))</f>
        <v>1646.38</v>
      </c>
      <c r="L74" s="544">
        <f>IF(VLOOKUP($E$74,[1]UN!$A$2:$FA$304, 11, FALSE)="",":",VLOOKUP($E$74,[1]UN!$A$2:$FA$304, 11, FALSE))</f>
        <v>1383.28</v>
      </c>
      <c r="M74" s="544">
        <f>IF(VLOOKUP($E$74,[1]UN!$A$2:$FA$304, 12, FALSE)="",":",VLOOKUP($E$74,[1]UN!$A$2:$FA$304, 12, FALSE))</f>
        <v>1496.75</v>
      </c>
      <c r="N74" s="544">
        <f>IF(VLOOKUP($E$74,[1]UN!$A$2:$FA$304, 13, FALSE)="",":",VLOOKUP($E$74,[1]UN!$A$2:$FA$304, 13, FALSE))</f>
        <v>1666.52</v>
      </c>
      <c r="O74" s="544">
        <f>IF(VLOOKUP($E$74,[1]UN!$A$2:$FA$304, 14, FALSE)="",":",VLOOKUP($E$74,[1]UN!$A$2:$FA$304, 14, FALSE))</f>
        <v>2024.02</v>
      </c>
      <c r="P74" s="544">
        <f>IF(VLOOKUP($E$74,[1]UN!$A$2:$FA$304, 15, FALSE)="",":",VLOOKUP($E$74,[1]UN!$A$2:$FA$304, 15, FALSE))</f>
        <v>2277.71</v>
      </c>
      <c r="Q74" s="544">
        <f>IF(VLOOKUP($E$74,[1]UN!$A$2:$FA$304, 16, FALSE)="",":",VLOOKUP($E$74,[1]UN!$A$2:$FA$304, 16, FALSE))</f>
        <v>2725.7</v>
      </c>
      <c r="R74" s="544">
        <f>IF(VLOOKUP($E$74,[1]UN!$A$2:$FA$304, 17, FALSE)="",":",VLOOKUP($E$74,[1]UN!$A$2:$FA$304, 17, FALSE))</f>
        <v>3650.3</v>
      </c>
      <c r="S74" s="544">
        <f>IF(VLOOKUP($E$74,[1]UN!$A$2:$FA$304, 18, FALSE)="",":",VLOOKUP($E$74,[1]UN!$A$2:$FA$304, 18, FALSE))</f>
        <v>5029.1000000000004</v>
      </c>
      <c r="T74" s="544">
        <f>IF(VLOOKUP($E$74,[1]UN!$A$2:$FA$304, 19, FALSE)="",":",VLOOKUP($E$74,[1]UN!$A$2:$FA$304, 19, FALSE))</f>
        <v>5545.68</v>
      </c>
      <c r="U74" s="544">
        <f>IF(VLOOKUP($E$74,[1]UN!$A$2:$FA$304, 20, FALSE)="",":",VLOOKUP($E$74,[1]UN!$A$2:$FA$304, 20, FALSE))</f>
        <v>3116.82</v>
      </c>
      <c r="V74" s="544">
        <f>IF(VLOOKUP($E$74,[1]UN!$A$2:$FA$304, 21, FALSE)="",":",VLOOKUP($E$74,[1]UN!$A$2:$FA$304, 21, FALSE))</f>
        <v>2772.01</v>
      </c>
      <c r="W74" s="544">
        <f>IF(VLOOKUP($E$74,[1]UN!$A$2:$FA$304, 22, FALSE)="",":",VLOOKUP($E$74,[1]UN!$A$2:$FA$304, 22, FALSE))</f>
        <v>3297.31</v>
      </c>
      <c r="X74" s="544">
        <f>IF(VLOOKUP($E$74,[1]UN!$A$2:$FA$304, 23, FALSE)="",":",VLOOKUP($E$74,[1]UN!$A$2:$FA$304, 23, FALSE))</f>
        <v>3266.53</v>
      </c>
      <c r="Y74" s="544">
        <f>IF(VLOOKUP($E$74,[1]UN!$A$2:$FA$304, 24, FALSE)="",":",VLOOKUP($E$74,[1]UN!$A$2:$FA$304, 24, FALSE))</f>
        <v>3673.62</v>
      </c>
      <c r="Z74" s="544">
        <f>IF(VLOOKUP($E$74,[1]UN!$A$2:$FA$304, 25, FALSE)="",":",VLOOKUP($E$74,[1]UN!$A$2:$FA$304, 25, FALSE))</f>
        <v>4076.15</v>
      </c>
      <c r="AA74" s="544">
        <f>IF(VLOOKUP($E$74,[1]UN!$A$2:$FA$304, 26, FALSE)="",":",VLOOKUP($E$74,[1]UN!$A$2:$FA$304, 26, FALSE))</f>
        <v>4097.76</v>
      </c>
      <c r="AB74" s="544">
        <f>IF(VLOOKUP($E$74,[1]UN!$A$2:$FA$304, 27, FALSE)="",":",VLOOKUP($E$74,[1]UN!$A$2:$FA$304, 27, FALSE))</f>
        <v>3785.14</v>
      </c>
      <c r="AC74" s="544">
        <f>IF(VLOOKUP($E$74,[1]UN!$A$2:$FA$304, 28, FALSE)="",":",VLOOKUP($E$74,[1]UN!$A$2:$FA$304, 28, FALSE))</f>
        <v>4097.92</v>
      </c>
      <c r="AD74" s="544" t="str">
        <f>IF(VLOOKUP($E$74,[1]UN!$A$2:$FA$304, 29, FALSE)="",":",VLOOKUP($E$74,[1]UN!$A$2:$FA$304, 29, FALSE))</f>
        <v>:</v>
      </c>
      <c r="AE74" s="544" t="str">
        <f>IF(VLOOKUP($E$74,[1]UN!$A$2:$FA$304, 30, FALSE)="",":",VLOOKUP($E$74,[1]UN!$A$2:$FA$304, 30, FALSE))</f>
        <v>:</v>
      </c>
      <c r="AF74" s="544" t="str">
        <f>IF(VLOOKUP($E$74,[1]UN!$A$2:$FA$304, 31, FALSE)="",":",VLOOKUP($E$74,[1]UN!$A$2:$FA$304, 31, FALSE))</f>
        <v>:</v>
      </c>
    </row>
    <row r="75" spans="1:32">
      <c r="A75" s="533"/>
      <c r="B75" s="534" t="s">
        <v>404</v>
      </c>
      <c r="C75" s="535"/>
      <c r="D75" s="12" t="s">
        <v>475</v>
      </c>
      <c r="E75" s="13">
        <v>311</v>
      </c>
      <c r="F75" s="14" t="str">
        <f>VLOOKUP($E$75,[1]UN!$A$2:$FA$67, 3, FALSE)</f>
        <v xml:space="preserve">311  Agricultural, forestry and fishery products                                  </v>
      </c>
      <c r="G75" s="544">
        <f>IF(VLOOKUP($E$75,[1]UN!$A$2:$FA$67, 6, FALSE)="",":",VLOOKUP($E$75,[1]UN!$A$2:$FA$67, 6, FALSE))</f>
        <v>46.41</v>
      </c>
      <c r="H75" s="544">
        <f>IF(VLOOKUP($E$75,[1]UN!$A$2:$FA$67, 7, FALSE)="",":",VLOOKUP($E$75,[1]UN!$A$2:$FA$67, 7, FALSE))</f>
        <v>60.91</v>
      </c>
      <c r="I75" s="544">
        <f>IF(VLOOKUP($E$75,[1]UN!$A$2:$FA$67, 8, FALSE)="",":",VLOOKUP($E$75,[1]UN!$A$2:$FA$67, 8, FALSE))</f>
        <v>47.22</v>
      </c>
      <c r="J75" s="544">
        <f>IF(VLOOKUP($E$75,[1]UN!$A$2:$FA$67, 9, FALSE)="",":",VLOOKUP($E$75,[1]UN!$A$2:$FA$67, 9, FALSE))</f>
        <v>36.97</v>
      </c>
      <c r="K75" s="544">
        <f>IF(VLOOKUP($E$75,[1]UN!$A$2:$FA$67, 10, FALSE)="",":",VLOOKUP($E$75,[1]UN!$A$2:$FA$67, 10, FALSE))</f>
        <v>28.06</v>
      </c>
      <c r="L75" s="544">
        <f>IF(VLOOKUP($E$75,[1]UN!$A$2:$FA$67, 11, FALSE)="",":",VLOOKUP($E$75,[1]UN!$A$2:$FA$67, 11, FALSE))</f>
        <v>5.8100000000000005</v>
      </c>
      <c r="M75" s="544">
        <f>IF(VLOOKUP($E$75,[1]UN!$A$2:$FA$67, 12, FALSE)="",":",VLOOKUP($E$75,[1]UN!$A$2:$FA$67, 12, FALSE))</f>
        <v>47.44</v>
      </c>
      <c r="N75" s="544">
        <f>IF(VLOOKUP($E$75,[1]UN!$A$2:$FA$67, 13, FALSE)="",":",VLOOKUP($E$75,[1]UN!$A$2:$FA$67, 13, FALSE))</f>
        <v>42.76</v>
      </c>
      <c r="O75" s="544">
        <f>IF(VLOOKUP($E$75,[1]UN!$A$2:$FA$67, 14, FALSE)="",":",VLOOKUP($E$75,[1]UN!$A$2:$FA$67, 14, FALSE))</f>
        <v>36.71</v>
      </c>
      <c r="P75" s="544">
        <f>IF(VLOOKUP($E$75,[1]UN!$A$2:$FA$67, 15, FALSE)="",":",VLOOKUP($E$75,[1]UN!$A$2:$FA$67, 15, FALSE))</f>
        <v>25.96</v>
      </c>
      <c r="Q75" s="544">
        <f>IF(VLOOKUP($E$75,[1]UN!$A$2:$FA$67, 16, FALSE)="",":",VLOOKUP($E$75,[1]UN!$A$2:$FA$67, 16, FALSE))</f>
        <v>57.78</v>
      </c>
      <c r="R75" s="544">
        <f>IF(VLOOKUP($E$75,[1]UN!$A$2:$FA$67, 17, FALSE)="",":",VLOOKUP($E$75,[1]UN!$A$2:$FA$67, 17, FALSE))</f>
        <v>105.93</v>
      </c>
      <c r="S75" s="544">
        <f>IF(VLOOKUP($E$75,[1]UN!$A$2:$FA$67, 18, FALSE)="",":",VLOOKUP($E$75,[1]UN!$A$2:$FA$67, 18, FALSE))</f>
        <v>112.07</v>
      </c>
      <c r="T75" s="544">
        <f>IF(VLOOKUP($E$75,[1]UN!$A$2:$FA$67, 19, FALSE)="",":",VLOOKUP($E$75,[1]UN!$A$2:$FA$67, 19, FALSE))</f>
        <v>69.42</v>
      </c>
      <c r="U75" s="544">
        <f>IF(VLOOKUP($E$75,[1]UN!$A$2:$FA$67, 20, FALSE)="",":",VLOOKUP($E$75,[1]UN!$A$2:$FA$67, 20, FALSE))</f>
        <v>35.200000000000003</v>
      </c>
      <c r="V75" s="544">
        <f>IF(VLOOKUP($E$75,[1]UN!$A$2:$FA$67, 21, FALSE)="",":",VLOOKUP($E$75,[1]UN!$A$2:$FA$67, 21, FALSE))</f>
        <v>59.66</v>
      </c>
      <c r="W75" s="544">
        <f>IF(VLOOKUP($E$75,[1]UN!$A$2:$FA$67, 22, FALSE)="",":",VLOOKUP($E$75,[1]UN!$A$2:$FA$67, 22, FALSE))</f>
        <v>58.44</v>
      </c>
      <c r="X75" s="544">
        <f>IF(VLOOKUP($E$75,[1]UN!$A$2:$FA$67, 23, FALSE)="",":",VLOOKUP($E$75,[1]UN!$A$2:$FA$67, 23, FALSE))</f>
        <v>23.89</v>
      </c>
      <c r="Y75" s="544">
        <f>IF(VLOOKUP($E$75,[1]UN!$A$2:$FA$67, 24, FALSE)="",":",VLOOKUP($E$75,[1]UN!$A$2:$FA$67, 24, FALSE))</f>
        <v>54.77</v>
      </c>
      <c r="Z75" s="544">
        <f>IF(VLOOKUP($E$75,[1]UN!$A$2:$FA$67, 25, FALSE)="",":",VLOOKUP($E$75,[1]UN!$A$2:$FA$67, 25, FALSE))</f>
        <v>39.61</v>
      </c>
      <c r="AA75" s="544">
        <f>IF(VLOOKUP($E$75,[1]UN!$A$2:$FA$67, 26, FALSE)="",":",VLOOKUP($E$75,[1]UN!$A$2:$FA$67, 26, FALSE))</f>
        <v>67.94</v>
      </c>
      <c r="AB75" s="544">
        <f>IF(VLOOKUP($E$75,[1]UN!$A$2:$FA$67, 27, FALSE)="",":",VLOOKUP($E$75,[1]UN!$A$2:$FA$67, 27, FALSE))</f>
        <v>116.81</v>
      </c>
      <c r="AC75" s="544">
        <f>IF(VLOOKUP($E$75,[1]UN!$A$2:$FA$67, 28, FALSE)="",":",VLOOKUP($E$75,[1]UN!$A$2:$FA$67, 28, FALSE))</f>
        <v>49.05</v>
      </c>
      <c r="AD75" s="544" t="str">
        <f>IF(VLOOKUP($E$75,[1]UN!$A$2:$FA$67, 29, FALSE)="",":",VLOOKUP($E$75,[1]UN!$A$2:$FA$67, 29, FALSE))</f>
        <v>:</v>
      </c>
      <c r="AE75" s="544" t="str">
        <f>IF(VLOOKUP($E$75,[1]UN!$A$2:$FA$67, 30, FALSE)="",":",VLOOKUP($E$75,[1]UN!$A$2:$FA$67, 30, FALSE))</f>
        <v>:</v>
      </c>
      <c r="AF75" s="544" t="str">
        <f>IF(VLOOKUP($E$75,[1]UN!$A$2:$FA$67, 31, FALSE)="",":",VLOOKUP($E$75,[1]UN!$A$2:$FA$67, 31, FALSE))</f>
        <v>:</v>
      </c>
    </row>
    <row r="76" spans="1:32">
      <c r="A76" s="533"/>
      <c r="B76" s="534" t="s">
        <v>113</v>
      </c>
      <c r="C76" s="535"/>
      <c r="D76" s="12" t="s">
        <v>475</v>
      </c>
      <c r="E76" s="13">
        <v>318</v>
      </c>
      <c r="F76" s="14" t="str">
        <f>VLOOKUP($E$76,[1]UN!$A$2:$FA$67, 3, FALSE)</f>
        <v xml:space="preserve">318  Other products                                                               </v>
      </c>
      <c r="G76" s="544">
        <f>IF(VLOOKUP($E$76,[1]UN!$A$2:$FA$67, 6, FALSE)="",":",VLOOKUP($E$76,[1]UN!$A$2:$FA$67, 6, FALSE))</f>
        <v>26.11</v>
      </c>
      <c r="H76" s="544">
        <f>IF(VLOOKUP($E$76,[1]UN!$A$2:$FA$67, 7, FALSE)="",":",VLOOKUP($E$76,[1]UN!$A$2:$FA$67, 7, FALSE))</f>
        <v>30.14</v>
      </c>
      <c r="I76" s="544">
        <f>IF(VLOOKUP($E$76,[1]UN!$A$2:$FA$67, 8, FALSE)="",":",VLOOKUP($E$76,[1]UN!$A$2:$FA$67, 8, FALSE))</f>
        <v>57.65</v>
      </c>
      <c r="J76" s="544">
        <f>IF(VLOOKUP($E$76,[1]UN!$A$2:$FA$67, 9, FALSE)="",":",VLOOKUP($E$76,[1]UN!$A$2:$FA$67, 9, FALSE))</f>
        <v>59.07</v>
      </c>
      <c r="K76" s="544">
        <f>IF(VLOOKUP($E$76,[1]UN!$A$2:$FA$67, 10, FALSE)="",":",VLOOKUP($E$76,[1]UN!$A$2:$FA$67, 10, FALSE))</f>
        <v>58.98</v>
      </c>
      <c r="L76" s="544">
        <f>IF(VLOOKUP($E$76,[1]UN!$A$2:$FA$67, 11, FALSE)="",":",VLOOKUP($E$76,[1]UN!$A$2:$FA$67, 11, FALSE))</f>
        <v>180.21</v>
      </c>
      <c r="M76" s="544">
        <f>IF(VLOOKUP($E$76,[1]UN!$A$2:$FA$67, 12, FALSE)="",":",VLOOKUP($E$76,[1]UN!$A$2:$FA$67, 12, FALSE))</f>
        <v>163.35</v>
      </c>
      <c r="N76" s="544">
        <f>IF(VLOOKUP($E$76,[1]UN!$A$2:$FA$67, 13, FALSE)="",":",VLOOKUP($E$76,[1]UN!$A$2:$FA$67, 13, FALSE))</f>
        <v>160.13999999999999</v>
      </c>
      <c r="O76" s="544">
        <f>IF(VLOOKUP($E$76,[1]UN!$A$2:$FA$67, 14, FALSE)="",":",VLOOKUP($E$76,[1]UN!$A$2:$FA$67, 14, FALSE))</f>
        <v>192.74</v>
      </c>
      <c r="P76" s="544">
        <f>IF(VLOOKUP($E$76,[1]UN!$A$2:$FA$67, 15, FALSE)="",":",VLOOKUP($E$76,[1]UN!$A$2:$FA$67, 15, FALSE))</f>
        <v>234.34</v>
      </c>
      <c r="Q76" s="544">
        <f>IF(VLOOKUP($E$76,[1]UN!$A$2:$FA$67, 16, FALSE)="",":",VLOOKUP($E$76,[1]UN!$A$2:$FA$67, 16, FALSE))</f>
        <v>270.92</v>
      </c>
      <c r="R76" s="544">
        <f>IF(VLOOKUP($E$76,[1]UN!$A$2:$FA$67, 17, FALSE)="",":",VLOOKUP($E$76,[1]UN!$A$2:$FA$67, 17, FALSE))</f>
        <v>325.68</v>
      </c>
      <c r="S76" s="544">
        <f>IF(VLOOKUP($E$76,[1]UN!$A$2:$FA$67, 18, FALSE)="",":",VLOOKUP($E$76,[1]UN!$A$2:$FA$67, 18, FALSE))</f>
        <v>439.28</v>
      </c>
      <c r="T76" s="544">
        <f>IF(VLOOKUP($E$76,[1]UN!$A$2:$FA$67, 19, FALSE)="",":",VLOOKUP($E$76,[1]UN!$A$2:$FA$67, 19, FALSE))</f>
        <v>588.91999999999996</v>
      </c>
      <c r="U76" s="544">
        <f>IF(VLOOKUP($E$76,[1]UN!$A$2:$FA$67, 20, FALSE)="",":",VLOOKUP($E$76,[1]UN!$A$2:$FA$67, 20, FALSE))</f>
        <v>510.19</v>
      </c>
      <c r="V76" s="544">
        <f>IF(VLOOKUP($E$76,[1]UN!$A$2:$FA$67, 21, FALSE)="",":",VLOOKUP($E$76,[1]UN!$A$2:$FA$67, 21, FALSE))</f>
        <v>523.78</v>
      </c>
      <c r="W76" s="544">
        <f>IF(VLOOKUP($E$76,[1]UN!$A$2:$FA$67, 22, FALSE)="",":",VLOOKUP($E$76,[1]UN!$A$2:$FA$67, 22, FALSE))</f>
        <v>544.28</v>
      </c>
      <c r="X76" s="544">
        <f>IF(VLOOKUP($E$76,[1]UN!$A$2:$FA$67, 23, FALSE)="",":",VLOOKUP($E$76,[1]UN!$A$2:$FA$67, 23, FALSE))</f>
        <v>554.03</v>
      </c>
      <c r="Y76" s="544">
        <f>IF(VLOOKUP($E$76,[1]UN!$A$2:$FA$67, 24, FALSE)="",":",VLOOKUP($E$76,[1]UN!$A$2:$FA$67, 24, FALSE))</f>
        <v>537.54</v>
      </c>
      <c r="Z76" s="544">
        <f>IF(VLOOKUP($E$76,[1]UN!$A$2:$FA$67, 25, FALSE)="",":",VLOOKUP($E$76,[1]UN!$A$2:$FA$67, 25, FALSE))</f>
        <v>617.88</v>
      </c>
      <c r="AA76" s="544">
        <f>IF(VLOOKUP($E$76,[1]UN!$A$2:$FA$67, 26, FALSE)="",":",VLOOKUP($E$76,[1]UN!$A$2:$FA$67, 26, FALSE))</f>
        <v>685.38</v>
      </c>
      <c r="AB76" s="544">
        <f>IF(VLOOKUP($E$76,[1]UN!$A$2:$FA$67, 27, FALSE)="",":",VLOOKUP($E$76,[1]UN!$A$2:$FA$67, 27, FALSE))</f>
        <v>729.71</v>
      </c>
      <c r="AC76" s="544">
        <f>IF(VLOOKUP($E$76,[1]UN!$A$2:$FA$67, 28, FALSE)="",":",VLOOKUP($E$76,[1]UN!$A$2:$FA$67, 28, FALSE))</f>
        <v>873.43</v>
      </c>
      <c r="AD76" s="544" t="str">
        <f>IF(VLOOKUP($E$76,[1]UN!$A$2:$FA$67, 29, FALSE)="",":",VLOOKUP($E$76,[1]UN!$A$2:$FA$67, 29, FALSE))</f>
        <v>:</v>
      </c>
      <c r="AE76" s="544" t="str">
        <f>IF(VLOOKUP($E$76,[1]UN!$A$2:$FA$67, 30, FALSE)="",":",VLOOKUP($E$76,[1]UN!$A$2:$FA$67, 30, FALSE))</f>
        <v>:</v>
      </c>
      <c r="AF76" s="544" t="str">
        <f>IF(VLOOKUP($E$76,[1]UN!$A$2:$FA$67, 31, FALSE)="",":",VLOOKUP($E$76,[1]UN!$A$2:$FA$67, 31, FALSE))</f>
        <v>:</v>
      </c>
    </row>
    <row r="77" spans="1:32" s="540" customFormat="1">
      <c r="A77" s="536">
        <v>41</v>
      </c>
      <c r="B77" s="537" t="s">
        <v>1534</v>
      </c>
      <c r="C77" s="538"/>
      <c r="D77" s="528"/>
      <c r="E77" s="529"/>
      <c r="F77" s="539"/>
      <c r="G77" s="545">
        <f>+G75+G76</f>
        <v>72.52</v>
      </c>
      <c r="H77" s="545">
        <f t="shared" ref="H77:AF77" si="2">+H75+H76</f>
        <v>91.05</v>
      </c>
      <c r="I77" s="545">
        <f t="shared" si="2"/>
        <v>104.87</v>
      </c>
      <c r="J77" s="545">
        <f t="shared" si="2"/>
        <v>96.039999999999992</v>
      </c>
      <c r="K77" s="545">
        <f t="shared" si="2"/>
        <v>87.039999999999992</v>
      </c>
      <c r="L77" s="545">
        <f t="shared" si="2"/>
        <v>186.02</v>
      </c>
      <c r="M77" s="545">
        <f t="shared" si="2"/>
        <v>210.79</v>
      </c>
      <c r="N77" s="545">
        <f t="shared" si="2"/>
        <v>202.89999999999998</v>
      </c>
      <c r="O77" s="545">
        <f t="shared" si="2"/>
        <v>229.45000000000002</v>
      </c>
      <c r="P77" s="545">
        <f t="shared" si="2"/>
        <v>260.3</v>
      </c>
      <c r="Q77" s="545">
        <f t="shared" si="2"/>
        <v>328.70000000000005</v>
      </c>
      <c r="R77" s="545">
        <f t="shared" si="2"/>
        <v>431.61</v>
      </c>
      <c r="S77" s="545">
        <f t="shared" si="2"/>
        <v>551.34999999999991</v>
      </c>
      <c r="T77" s="545">
        <f t="shared" si="2"/>
        <v>658.33999999999992</v>
      </c>
      <c r="U77" s="545">
        <f t="shared" si="2"/>
        <v>545.39</v>
      </c>
      <c r="V77" s="545">
        <f t="shared" si="2"/>
        <v>583.43999999999994</v>
      </c>
      <c r="W77" s="545">
        <f t="shared" si="2"/>
        <v>602.72</v>
      </c>
      <c r="X77" s="545">
        <f t="shared" si="2"/>
        <v>577.91999999999996</v>
      </c>
      <c r="Y77" s="545">
        <f t="shared" si="2"/>
        <v>592.30999999999995</v>
      </c>
      <c r="Z77" s="545">
        <f t="shared" si="2"/>
        <v>657.49</v>
      </c>
      <c r="AA77" s="545">
        <f t="shared" si="2"/>
        <v>753.31999999999994</v>
      </c>
      <c r="AB77" s="545">
        <f t="shared" si="2"/>
        <v>846.52</v>
      </c>
      <c r="AC77" s="545">
        <f t="shared" si="2"/>
        <v>922.4799999999999</v>
      </c>
      <c r="AD77" s="545" t="e">
        <f t="shared" si="2"/>
        <v>#VALUE!</v>
      </c>
      <c r="AE77" s="545" t="e">
        <f t="shared" si="2"/>
        <v>#VALUE!</v>
      </c>
      <c r="AF77" s="545" t="e">
        <f t="shared" si="2"/>
        <v>#VALUE!</v>
      </c>
    </row>
    <row r="78" spans="1:32">
      <c r="A78" s="533">
        <v>38</v>
      </c>
      <c r="B78" s="534"/>
      <c r="C78" s="535" t="s">
        <v>417</v>
      </c>
      <c r="D78" s="12" t="s">
        <v>475</v>
      </c>
      <c r="E78" s="13">
        <v>310</v>
      </c>
      <c r="F78" s="14" t="str">
        <f>VLOOKUP($E$78,[1]UN!$A$2:$FA$304, 3, FALSE)</f>
        <v xml:space="preserve">310  Gross fixed capital formation                                                </v>
      </c>
      <c r="G78" s="544">
        <f>IF(VLOOKUP($E$78,[1]UN!$A$2:$FA$304, 6, FALSE)="",":",VLOOKUP($E$78,[1]UN!$A$2:$FA$304, 6, FALSE))</f>
        <v>1581.23</v>
      </c>
      <c r="H78" s="544">
        <f>IF(VLOOKUP($E$78,[1]UN!$A$2:$FA$304, 7, FALSE)="",":",VLOOKUP($E$78,[1]UN!$A$2:$FA$304, 7, FALSE))</f>
        <v>1998.84</v>
      </c>
      <c r="I78" s="544">
        <f>IF(VLOOKUP($E$78,[1]UN!$A$2:$FA$304, 8, FALSE)="",":",VLOOKUP($E$78,[1]UN!$A$2:$FA$304, 8, FALSE))</f>
        <v>2622.73</v>
      </c>
      <c r="J78" s="544">
        <f>IF(VLOOKUP($E$78,[1]UN!$A$2:$FA$304, 9, FALSE)="",":",VLOOKUP($E$78,[1]UN!$A$2:$FA$304, 9, FALSE))</f>
        <v>3110.13</v>
      </c>
      <c r="K78" s="544">
        <f>IF(VLOOKUP($E$78,[1]UN!$A$2:$FA$304, 10, FALSE)="",":",VLOOKUP($E$78,[1]UN!$A$2:$FA$304, 10, FALSE))</f>
        <v>2790.32</v>
      </c>
      <c r="L78" s="544">
        <f>IF(VLOOKUP($E$78,[1]UN!$A$2:$FA$304, 11, FALSE)="",":",VLOOKUP($E$78,[1]UN!$A$2:$FA$304, 11, FALSE))</f>
        <v>2556.69</v>
      </c>
      <c r="M78" s="544">
        <f>IF(VLOOKUP($E$78,[1]UN!$A$2:$FA$304, 12, FALSE)="",":",VLOOKUP($E$78,[1]UN!$A$2:$FA$304, 12, FALSE))</f>
        <v>2912.04</v>
      </c>
      <c r="N78" s="544">
        <f>IF(VLOOKUP($E$78,[1]UN!$A$2:$FA$304, 13, FALSE)="",":",VLOOKUP($E$78,[1]UN!$A$2:$FA$304, 13, FALSE))</f>
        <v>3145.9</v>
      </c>
      <c r="O78" s="544">
        <f>IF(VLOOKUP($E$78,[1]UN!$A$2:$FA$304, 14, FALSE)="",":",VLOOKUP($E$78,[1]UN!$A$2:$FA$304, 14, FALSE))</f>
        <v>3590.28</v>
      </c>
      <c r="P78" s="544">
        <f>IF(VLOOKUP($E$78,[1]UN!$A$2:$FA$304, 15, FALSE)="",":",VLOOKUP($E$78,[1]UN!$A$2:$FA$304, 15, FALSE))</f>
        <v>4176</v>
      </c>
      <c r="Q78" s="544">
        <f>IF(VLOOKUP($E$78,[1]UN!$A$2:$FA$304, 16, FALSE)="",":",VLOOKUP($E$78,[1]UN!$A$2:$FA$304, 16, FALSE))</f>
        <v>4911.38</v>
      </c>
      <c r="R78" s="544">
        <f>IF(VLOOKUP($E$78,[1]UN!$A$2:$FA$304, 17, FALSE)="",":",VLOOKUP($E$78,[1]UN!$A$2:$FA$304, 17, FALSE))</f>
        <v>6242.9</v>
      </c>
      <c r="S78" s="544">
        <f>IF(VLOOKUP($E$78,[1]UN!$A$2:$FA$304, 18, FALSE)="",":",VLOOKUP($E$78,[1]UN!$A$2:$FA$304, 18, FALSE))</f>
        <v>8298.67</v>
      </c>
      <c r="T78" s="544">
        <f>IF(VLOOKUP($E$78,[1]UN!$A$2:$FA$304, 19, FALSE)="",":",VLOOKUP($E$78,[1]UN!$A$2:$FA$304, 19, FALSE))</f>
        <v>8513.32</v>
      </c>
      <c r="U78" s="544">
        <f>IF(VLOOKUP($E$78,[1]UN!$A$2:$FA$304, 20, FALSE)="",":",VLOOKUP($E$78,[1]UN!$A$2:$FA$304, 20, FALSE))</f>
        <v>4810.5200000000004</v>
      </c>
      <c r="V78" s="544">
        <f>IF(VLOOKUP($E$78,[1]UN!$A$2:$FA$304, 21, FALSE)="",":",VLOOKUP($E$78,[1]UN!$A$2:$FA$304, 21, FALSE))</f>
        <v>4726.3</v>
      </c>
      <c r="W78" s="544">
        <f>IF(VLOOKUP($E$78,[1]UN!$A$2:$FA$304, 22, FALSE)="",":",VLOOKUP($E$78,[1]UN!$A$2:$FA$304, 22, FALSE))</f>
        <v>5781.11</v>
      </c>
      <c r="X78" s="544">
        <f>IF(VLOOKUP($E$78,[1]UN!$A$2:$FA$304, 23, FALSE)="",":",VLOOKUP($E$78,[1]UN!$A$2:$FA$304, 23, FALSE))</f>
        <v>5788.03</v>
      </c>
      <c r="Y78" s="544">
        <f>IF(VLOOKUP($E$78,[1]UN!$A$2:$FA$304, 24, FALSE)="",":",VLOOKUP($E$78,[1]UN!$A$2:$FA$304, 24, FALSE))</f>
        <v>6454.88</v>
      </c>
      <c r="Z78" s="544">
        <f>IF(VLOOKUP($E$78,[1]UN!$A$2:$FA$304, 25, FALSE)="",":",VLOOKUP($E$78,[1]UN!$A$2:$FA$304, 25, FALSE))</f>
        <v>6905.49</v>
      </c>
      <c r="AA78" s="544">
        <f>IF(VLOOKUP($E$78,[1]UN!$A$2:$FA$304, 26, FALSE)="",":",VLOOKUP($E$78,[1]UN!$A$2:$FA$304, 26, FALSE))</f>
        <v>7325.22</v>
      </c>
      <c r="AB78" s="544">
        <f>IF(VLOOKUP($E$78,[1]UN!$A$2:$FA$304, 27, FALSE)="",":",VLOOKUP($E$78,[1]UN!$A$2:$FA$304, 27, FALSE))</f>
        <v>7314.2</v>
      </c>
      <c r="AC78" s="544">
        <f>IF(VLOOKUP($E$78,[1]UN!$A$2:$FA$304, 28, FALSE)="",":",VLOOKUP($E$78,[1]UN!$A$2:$FA$304, 28, FALSE))</f>
        <v>7880.39</v>
      </c>
      <c r="AD78" s="544" t="str">
        <f>IF(VLOOKUP($E$78,[1]UN!$A$2:$FA$304, 29, FALSE)="",":",VLOOKUP($E$78,[1]UN!$A$2:$FA$304, 29, FALSE))</f>
        <v>:</v>
      </c>
      <c r="AE78" s="544" t="str">
        <f>IF(VLOOKUP($E$78,[1]UN!$A$2:$FA$304, 30, FALSE)="",":",VLOOKUP($E$78,[1]UN!$A$2:$FA$304, 30, FALSE))</f>
        <v>:</v>
      </c>
      <c r="AF78" s="544" t="str">
        <f>IF(VLOOKUP($E$78,[1]UN!$A$2:$FA$304, 31, FALSE)="",":",VLOOKUP($E$78,[1]UN!$A$2:$FA$304, 31, FALSE))</f>
        <v>:</v>
      </c>
    </row>
    <row r="79" spans="1:32">
      <c r="A79" s="533">
        <v>42</v>
      </c>
      <c r="B79" s="534" t="s">
        <v>1536</v>
      </c>
      <c r="C79" s="535" t="s">
        <v>476</v>
      </c>
      <c r="D79" s="12" t="s">
        <v>475</v>
      </c>
      <c r="E79" s="13">
        <v>320</v>
      </c>
      <c r="F79" s="14" t="str">
        <f>VLOOKUP($E$79,[1]UN!$A$2:$FA$67, 3, FALSE)</f>
        <v xml:space="preserve">320  Changes in inventories and net acquisition of valuables                      </v>
      </c>
      <c r="G79" s="544">
        <f>IF(VLOOKUP($E$79,[1]UN!$A$2:$FA$67, 6, FALSE)="",":",VLOOKUP($E$79,[1]UN!$A$2:$FA$67, 6, FALSE))</f>
        <v>184.46</v>
      </c>
      <c r="H79" s="544">
        <f>IF(VLOOKUP($E$79,[1]UN!$A$2:$FA$67, 7, FALSE)="",":",VLOOKUP($E$79,[1]UN!$A$2:$FA$67, 7, FALSE))</f>
        <v>46.68</v>
      </c>
      <c r="I79" s="544">
        <f>IF(VLOOKUP($E$79,[1]UN!$A$2:$FA$67, 8, FALSE)="",":",VLOOKUP($E$79,[1]UN!$A$2:$FA$67, 8, FALSE))</f>
        <v>258.45999999999998</v>
      </c>
      <c r="J79" s="544">
        <f>IF(VLOOKUP($E$79,[1]UN!$A$2:$FA$67, 9, FALSE)="",":",VLOOKUP($E$79,[1]UN!$A$2:$FA$67, 9, FALSE))</f>
        <v>58.84</v>
      </c>
      <c r="K79" s="544">
        <f>IF(VLOOKUP($E$79,[1]UN!$A$2:$FA$67, 10, FALSE)="",":",VLOOKUP($E$79,[1]UN!$A$2:$FA$67, 10, FALSE))</f>
        <v>-77.16</v>
      </c>
      <c r="L79" s="544">
        <f>IF(VLOOKUP($E$79,[1]UN!$A$2:$FA$67, 11, FALSE)="",":",VLOOKUP($E$79,[1]UN!$A$2:$FA$67, 11, FALSE))</f>
        <v>-48.98</v>
      </c>
      <c r="M79" s="544">
        <f>IF(VLOOKUP($E$79,[1]UN!$A$2:$FA$67, 12, FALSE)="",":",VLOOKUP($E$79,[1]UN!$A$2:$FA$67, 12, FALSE))</f>
        <v>-212.27</v>
      </c>
      <c r="N79" s="544">
        <f>IF(VLOOKUP($E$79,[1]UN!$A$2:$FA$67, 13, FALSE)="",":",VLOOKUP($E$79,[1]UN!$A$2:$FA$67, 13, FALSE))</f>
        <v>-9.24</v>
      </c>
      <c r="O79" s="544">
        <f>IF(VLOOKUP($E$79,[1]UN!$A$2:$FA$67, 14, FALSE)="",":",VLOOKUP($E$79,[1]UN!$A$2:$FA$67, 14, FALSE))</f>
        <v>43.63</v>
      </c>
      <c r="P79" s="544">
        <f>IF(VLOOKUP($E$79,[1]UN!$A$2:$FA$67, 15, FALSE)="",":",VLOOKUP($E$79,[1]UN!$A$2:$FA$67, 15, FALSE))</f>
        <v>-39.409999999999997</v>
      </c>
      <c r="Q79" s="544">
        <f>IF(VLOOKUP($E$79,[1]UN!$A$2:$FA$67, 16, FALSE)="",":",VLOOKUP($E$79,[1]UN!$A$2:$FA$67, 16, FALSE))</f>
        <v>140.46</v>
      </c>
      <c r="R79" s="544">
        <f>IF(VLOOKUP($E$79,[1]UN!$A$2:$FA$67, 17, FALSE)="",":",VLOOKUP($E$79,[1]UN!$A$2:$FA$67, 17, FALSE))</f>
        <v>192.34</v>
      </c>
      <c r="S79" s="544">
        <f>IF(VLOOKUP($E$79,[1]UN!$A$2:$FA$67, 18, FALSE)="",":",VLOOKUP($E$79,[1]UN!$A$2:$FA$67, 18, FALSE))</f>
        <v>1026.08</v>
      </c>
      <c r="T79" s="544">
        <f>IF(VLOOKUP($E$79,[1]UN!$A$2:$FA$67, 19, FALSE)="",":",VLOOKUP($E$79,[1]UN!$A$2:$FA$67, 19, FALSE))</f>
        <v>604.74</v>
      </c>
      <c r="U79" s="544">
        <f>IF(VLOOKUP($E$79,[1]UN!$A$2:$FA$67, 20, FALSE)="",":",VLOOKUP($E$79,[1]UN!$A$2:$FA$67, 20, FALSE))</f>
        <v>-1478.37</v>
      </c>
      <c r="V79" s="544">
        <f>IF(VLOOKUP($E$79,[1]UN!$A$2:$FA$67, 21, FALSE)="",":",VLOOKUP($E$79,[1]UN!$A$2:$FA$67, 21, FALSE))</f>
        <v>318.64999999999998</v>
      </c>
      <c r="W79" s="544">
        <f>IF(VLOOKUP($E$79,[1]UN!$A$2:$FA$67, 22, FALSE)="",":",VLOOKUP($E$79,[1]UN!$A$2:$FA$67, 22, FALSE))</f>
        <v>1010.7</v>
      </c>
      <c r="X79" s="544">
        <f>IF(VLOOKUP($E$79,[1]UN!$A$2:$FA$67, 23, FALSE)="",":",VLOOKUP($E$79,[1]UN!$A$2:$FA$67, 23, FALSE))</f>
        <v>672.82</v>
      </c>
      <c r="Y79" s="544">
        <f>IF(VLOOKUP($E$79,[1]UN!$A$2:$FA$67, 24, FALSE)="",":",VLOOKUP($E$79,[1]UN!$A$2:$FA$67, 24, FALSE))</f>
        <v>348.85</v>
      </c>
      <c r="Z79" s="544">
        <f>IF(VLOOKUP($E$79,[1]UN!$A$2:$FA$67, 25, FALSE)="",":",VLOOKUP($E$79,[1]UN!$A$2:$FA$67, 25, FALSE))</f>
        <v>53.12</v>
      </c>
      <c r="AA79" s="544">
        <f>IF(VLOOKUP($E$79,[1]UN!$A$2:$FA$67, 26, FALSE)="",":",VLOOKUP($E$79,[1]UN!$A$2:$FA$67, 26, FALSE))</f>
        <v>378.47</v>
      </c>
      <c r="AB79" s="544">
        <f>IF(VLOOKUP($E$79,[1]UN!$A$2:$FA$67, 27, FALSE)="",":",VLOOKUP($E$79,[1]UN!$A$2:$FA$67, 27, FALSE))</f>
        <v>-645.98</v>
      </c>
      <c r="AC79" s="544">
        <f>IF(VLOOKUP($E$79,[1]UN!$A$2:$FA$67, 28, FALSE)="",":",VLOOKUP($E$79,[1]UN!$A$2:$FA$67, 28, FALSE))</f>
        <v>-574.92999999999995</v>
      </c>
      <c r="AD79" s="544" t="str">
        <f>IF(VLOOKUP($E$79,[1]UN!$A$2:$FA$67, 29, FALSE)="",":",VLOOKUP($E$79,[1]UN!$A$2:$FA$67, 29, FALSE))</f>
        <v>:</v>
      </c>
      <c r="AE79" s="544" t="str">
        <f>IF(VLOOKUP($E$79,[1]UN!$A$2:$FA$67, 30, FALSE)="",":",VLOOKUP($E$79,[1]UN!$A$2:$FA$67, 30, FALSE))</f>
        <v>:</v>
      </c>
      <c r="AF79" s="544" t="str">
        <f>IF(VLOOKUP($E$79,[1]UN!$A$2:$FA$67, 31, FALSE)="",":",VLOOKUP($E$79,[1]UN!$A$2:$FA$67, 31, FALSE))</f>
        <v>:</v>
      </c>
    </row>
    <row r="80" spans="1:32">
      <c r="A80" s="533"/>
      <c r="B80" s="534"/>
      <c r="C80" s="535"/>
      <c r="D80" s="12"/>
      <c r="E80" s="13"/>
      <c r="F80" s="14"/>
      <c r="G80" s="544"/>
      <c r="H80" s="544"/>
      <c r="I80" s="544"/>
      <c r="J80" s="544"/>
      <c r="K80" s="544"/>
      <c r="L80" s="544"/>
      <c r="M80" s="544"/>
      <c r="N80" s="544"/>
      <c r="O80" s="544"/>
      <c r="P80" s="544"/>
      <c r="Q80" s="544"/>
      <c r="R80" s="544"/>
      <c r="S80" s="544"/>
      <c r="T80" s="544"/>
      <c r="U80" s="544"/>
      <c r="V80" s="544"/>
      <c r="W80" s="544"/>
      <c r="X80" s="544"/>
      <c r="Y80" s="544"/>
      <c r="Z80" s="544"/>
      <c r="AA80" s="544"/>
      <c r="AB80" s="544"/>
      <c r="AC80" s="544"/>
      <c r="AD80" s="544"/>
      <c r="AE80" s="544"/>
      <c r="AF80" s="544"/>
    </row>
    <row r="81" spans="1:32">
      <c r="A81" s="533"/>
      <c r="B81" s="534"/>
      <c r="C81" s="535"/>
      <c r="D81" s="12" t="s">
        <v>475</v>
      </c>
      <c r="E81" s="13">
        <v>401</v>
      </c>
      <c r="F81" s="14" t="str">
        <f>VLOOKUP($E$81,[1]UN!$A$2:$FA$304, 3, FALSE)</f>
        <v>401  Domestic demand excl. changes in inventories and net acquisition of valuables</v>
      </c>
      <c r="G81" s="544">
        <f>IF(VLOOKUP($E$81,[1]UN!$A$2:$FA$304, 6, FALSE)="",":",VLOOKUP($E$81,[1]UN!$A$2:$FA$304, 6, FALSE))</f>
        <v>8405.26</v>
      </c>
      <c r="H81" s="544">
        <f>IF(VLOOKUP($E$81,[1]UN!$A$2:$FA$304, 7, FALSE)="",":",VLOOKUP($E$81,[1]UN!$A$2:$FA$304, 7, FALSE))</f>
        <v>10570.25</v>
      </c>
      <c r="I81" s="544">
        <f>IF(VLOOKUP($E$81,[1]UN!$A$2:$FA$304, 8, FALSE)="",":",VLOOKUP($E$81,[1]UN!$A$2:$FA$304, 8, FALSE))</f>
        <v>12647.21</v>
      </c>
      <c r="J81" s="544">
        <f>IF(VLOOKUP($E$81,[1]UN!$A$2:$FA$304, 9, FALSE)="",":",VLOOKUP($E$81,[1]UN!$A$2:$FA$304, 9, FALSE))</f>
        <v>14447.91</v>
      </c>
      <c r="K81" s="544">
        <f>IF(VLOOKUP($E$81,[1]UN!$A$2:$FA$304, 10, FALSE)="",":",VLOOKUP($E$81,[1]UN!$A$2:$FA$304, 10, FALSE))</f>
        <v>14058.42</v>
      </c>
      <c r="L81" s="544">
        <f>IF(VLOOKUP($E$81,[1]UN!$A$2:$FA$304, 11, FALSE)="",":",VLOOKUP($E$81,[1]UN!$A$2:$FA$304, 11, FALSE))</f>
        <v>14243.71</v>
      </c>
      <c r="M81" s="544">
        <f>IF(VLOOKUP($E$81,[1]UN!$A$2:$FA$304, 12, FALSE)="",":",VLOOKUP($E$81,[1]UN!$A$2:$FA$304, 12, FALSE))</f>
        <v>15182.51</v>
      </c>
      <c r="N81" s="544">
        <f>IF(VLOOKUP($E$81,[1]UN!$A$2:$FA$304, 13, FALSE)="",":",VLOOKUP($E$81,[1]UN!$A$2:$FA$304, 13, FALSE))</f>
        <v>16074.24</v>
      </c>
      <c r="O81" s="544">
        <f>IF(VLOOKUP($E$81,[1]UN!$A$2:$FA$304, 14, FALSE)="",":",VLOOKUP($E$81,[1]UN!$A$2:$FA$304, 14, FALSE))</f>
        <v>17589.37</v>
      </c>
      <c r="P81" s="544">
        <f>IF(VLOOKUP($E$81,[1]UN!$A$2:$FA$304, 15, FALSE)="",":",VLOOKUP($E$81,[1]UN!$A$2:$FA$304, 15, FALSE))</f>
        <v>19560.57</v>
      </c>
      <c r="Q81" s="544">
        <f>IF(VLOOKUP($E$81,[1]UN!$A$2:$FA$304, 16, FALSE)="",":",VLOOKUP($E$81,[1]UN!$A$2:$FA$304, 16, FALSE))</f>
        <v>22380.87</v>
      </c>
      <c r="R81" s="544">
        <f>IF(VLOOKUP($E$81,[1]UN!$A$2:$FA$304, 17, FALSE)="",":",VLOOKUP($E$81,[1]UN!$A$2:$FA$304, 17, FALSE))</f>
        <v>26358.240000000002</v>
      </c>
      <c r="S81" s="544">
        <f>IF(VLOOKUP($E$81,[1]UN!$A$2:$FA$304, 18, FALSE)="",":",VLOOKUP($E$81,[1]UN!$A$2:$FA$304, 18, FALSE))</f>
        <v>31826.11</v>
      </c>
      <c r="T81" s="544">
        <f>IF(VLOOKUP($E$81,[1]UN!$A$2:$FA$304, 19, FALSE)="",":",VLOOKUP($E$81,[1]UN!$A$2:$FA$304, 19, FALSE))</f>
        <v>35874.949999999997</v>
      </c>
      <c r="U81" s="544">
        <f>IF(VLOOKUP($E$81,[1]UN!$A$2:$FA$304, 20, FALSE)="",":",VLOOKUP($E$81,[1]UN!$A$2:$FA$304, 20, FALSE))</f>
        <v>28865.74</v>
      </c>
      <c r="V81" s="544">
        <f>IF(VLOOKUP($E$81,[1]UN!$A$2:$FA$304, 21, FALSE)="",":",VLOOKUP($E$81,[1]UN!$A$2:$FA$304, 21, FALSE))</f>
        <v>28235.22</v>
      </c>
      <c r="W81" s="544">
        <f>IF(VLOOKUP($E$81,[1]UN!$A$2:$FA$304, 22, FALSE)="",":",VLOOKUP($E$81,[1]UN!$A$2:$FA$304, 22, FALSE))</f>
        <v>31062.28</v>
      </c>
      <c r="X81" s="544">
        <f>IF(VLOOKUP($E$81,[1]UN!$A$2:$FA$304, 23, FALSE)="",":",VLOOKUP($E$81,[1]UN!$A$2:$FA$304, 23, FALSE))</f>
        <v>32388.79</v>
      </c>
      <c r="Y81" s="544">
        <f>IF(VLOOKUP($E$81,[1]UN!$A$2:$FA$304, 24, FALSE)="",":",VLOOKUP($E$81,[1]UN!$A$2:$FA$304, 24, FALSE))</f>
        <v>34173.56</v>
      </c>
      <c r="Z81" s="544">
        <f>IF(VLOOKUP($E$81,[1]UN!$A$2:$FA$304, 25, FALSE)="",":",VLOOKUP($E$81,[1]UN!$A$2:$FA$304, 25, FALSE))</f>
        <v>35755.64</v>
      </c>
      <c r="AA81" s="544">
        <f>IF(VLOOKUP($E$81,[1]UN!$A$2:$FA$304, 26, FALSE)="",":",VLOOKUP($E$81,[1]UN!$A$2:$FA$304, 26, FALSE))</f>
        <v>37227.629999999997</v>
      </c>
      <c r="AB81" s="544">
        <f>IF(VLOOKUP($E$81,[1]UN!$A$2:$FA$304, 27, FALSE)="",":",VLOOKUP($E$81,[1]UN!$A$2:$FA$304, 27, FALSE))</f>
        <v>38814.410000000003</v>
      </c>
      <c r="AC81" s="544">
        <f>IF(VLOOKUP($E$81,[1]UN!$A$2:$FA$304, 28, FALSE)="",":",VLOOKUP($E$81,[1]UN!$A$2:$FA$304, 28, FALSE))</f>
        <v>41588.83</v>
      </c>
      <c r="AD81" s="544" t="str">
        <f>IF(VLOOKUP($E$81,[1]UN!$A$2:$FA$304, 29, FALSE)="",":",VLOOKUP($E$81,[1]UN!$A$2:$FA$304, 29, FALSE))</f>
        <v>:</v>
      </c>
      <c r="AE81" s="544" t="str">
        <f>IF(VLOOKUP($E$81,[1]UN!$A$2:$FA$304, 30, FALSE)="",":",VLOOKUP($E$81,[1]UN!$A$2:$FA$304, 30, FALSE))</f>
        <v>:</v>
      </c>
      <c r="AF81" s="544" t="str">
        <f>IF(VLOOKUP($E$81,[1]UN!$A$2:$FA$304, 31, FALSE)="",":",VLOOKUP($E$81,[1]UN!$A$2:$FA$304, 31, FALSE))</f>
        <v>:</v>
      </c>
    </row>
    <row r="82" spans="1:32">
      <c r="A82" s="533"/>
      <c r="B82" s="534"/>
      <c r="C82" s="535"/>
      <c r="D82" s="12" t="s">
        <v>475</v>
      </c>
      <c r="E82" s="13">
        <v>402</v>
      </c>
      <c r="F82" s="14" t="str">
        <f>VLOOKUP($E$82,[1]UN!$A$2:$FA$304, 3, FALSE)</f>
        <v>402  Domestic demand incl. changes in inventories and net acquisition of valuables</v>
      </c>
      <c r="G82" s="544">
        <f>IF(VLOOKUP($E$82,[1]UN!$A$2:$FA$304, 6, FALSE)="",":",VLOOKUP($E$82,[1]UN!$A$2:$FA$304, 6, FALSE))</f>
        <v>8589.7099999999991</v>
      </c>
      <c r="H82" s="544">
        <f>IF(VLOOKUP($E$82,[1]UN!$A$2:$FA$304, 7, FALSE)="",":",VLOOKUP($E$82,[1]UN!$A$2:$FA$304, 7, FALSE))</f>
        <v>10616.93</v>
      </c>
      <c r="I82" s="544">
        <f>IF(VLOOKUP($E$82,[1]UN!$A$2:$FA$304, 8, FALSE)="",":",VLOOKUP($E$82,[1]UN!$A$2:$FA$304, 8, FALSE))</f>
        <v>12905.67</v>
      </c>
      <c r="J82" s="544">
        <f>IF(VLOOKUP($E$82,[1]UN!$A$2:$FA$304, 9, FALSE)="",":",VLOOKUP($E$82,[1]UN!$A$2:$FA$304, 9, FALSE))</f>
        <v>14506.76</v>
      </c>
      <c r="K82" s="544">
        <f>IF(VLOOKUP($E$82,[1]UN!$A$2:$FA$304, 10, FALSE)="",":",VLOOKUP($E$82,[1]UN!$A$2:$FA$304, 10, FALSE))</f>
        <v>13981.25</v>
      </c>
      <c r="L82" s="544">
        <f>IF(VLOOKUP($E$82,[1]UN!$A$2:$FA$304, 11, FALSE)="",":",VLOOKUP($E$82,[1]UN!$A$2:$FA$304, 11, FALSE))</f>
        <v>14194.73</v>
      </c>
      <c r="M82" s="544">
        <f>IF(VLOOKUP($E$82,[1]UN!$A$2:$FA$304, 12, FALSE)="",":",VLOOKUP($E$82,[1]UN!$A$2:$FA$304, 12, FALSE))</f>
        <v>14970.23</v>
      </c>
      <c r="N82" s="544">
        <f>IF(VLOOKUP($E$82,[1]UN!$A$2:$FA$304, 13, FALSE)="",":",VLOOKUP($E$82,[1]UN!$A$2:$FA$304, 13, FALSE))</f>
        <v>16065</v>
      </c>
      <c r="O82" s="544">
        <f>IF(VLOOKUP($E$82,[1]UN!$A$2:$FA$304, 14, FALSE)="",":",VLOOKUP($E$82,[1]UN!$A$2:$FA$304, 14, FALSE))</f>
        <v>17633</v>
      </c>
      <c r="P82" s="544">
        <f>IF(VLOOKUP($E$82,[1]UN!$A$2:$FA$304, 15, FALSE)="",":",VLOOKUP($E$82,[1]UN!$A$2:$FA$304, 15, FALSE))</f>
        <v>19521.16</v>
      </c>
      <c r="Q82" s="544">
        <f>IF(VLOOKUP($E$82,[1]UN!$A$2:$FA$304, 16, FALSE)="",":",VLOOKUP($E$82,[1]UN!$A$2:$FA$304, 16, FALSE))</f>
        <v>22521.33</v>
      </c>
      <c r="R82" s="544">
        <f>IF(VLOOKUP($E$82,[1]UN!$A$2:$FA$304, 17, FALSE)="",":",VLOOKUP($E$82,[1]UN!$A$2:$FA$304, 17, FALSE))</f>
        <v>26550.58</v>
      </c>
      <c r="S82" s="544">
        <f>IF(VLOOKUP($E$82,[1]UN!$A$2:$FA$304, 18, FALSE)="",":",VLOOKUP($E$82,[1]UN!$A$2:$FA$304, 18, FALSE))</f>
        <v>32852.199999999997</v>
      </c>
      <c r="T82" s="544">
        <f>IF(VLOOKUP($E$82,[1]UN!$A$2:$FA$304, 19, FALSE)="",":",VLOOKUP($E$82,[1]UN!$A$2:$FA$304, 19, FALSE))</f>
        <v>36479.69</v>
      </c>
      <c r="U82" s="544">
        <f>IF(VLOOKUP($E$82,[1]UN!$A$2:$FA$304, 20, FALSE)="",":",VLOOKUP($E$82,[1]UN!$A$2:$FA$304, 20, FALSE))</f>
        <v>27387.37</v>
      </c>
      <c r="V82" s="544">
        <f>IF(VLOOKUP($E$82,[1]UN!$A$2:$FA$304, 21, FALSE)="",":",VLOOKUP($E$82,[1]UN!$A$2:$FA$304, 21, FALSE))</f>
        <v>28553.87</v>
      </c>
      <c r="W82" s="544">
        <f>IF(VLOOKUP($E$82,[1]UN!$A$2:$FA$304, 22, FALSE)="",":",VLOOKUP($E$82,[1]UN!$A$2:$FA$304, 22, FALSE))</f>
        <v>32072.98</v>
      </c>
      <c r="X82" s="544">
        <f>IF(VLOOKUP($E$82,[1]UN!$A$2:$FA$304, 23, FALSE)="",":",VLOOKUP($E$82,[1]UN!$A$2:$FA$304, 23, FALSE))</f>
        <v>33061.620000000003</v>
      </c>
      <c r="Y82" s="544">
        <f>IF(VLOOKUP($E$82,[1]UN!$A$2:$FA$304, 24, FALSE)="",":",VLOOKUP($E$82,[1]UN!$A$2:$FA$304, 24, FALSE))</f>
        <v>34522.400000000001</v>
      </c>
      <c r="Z82" s="544">
        <f>IF(VLOOKUP($E$82,[1]UN!$A$2:$FA$304, 25, FALSE)="",":",VLOOKUP($E$82,[1]UN!$A$2:$FA$304, 25, FALSE))</f>
        <v>35808.76</v>
      </c>
      <c r="AA82" s="544">
        <f>IF(VLOOKUP($E$82,[1]UN!$A$2:$FA$304, 26, FALSE)="",":",VLOOKUP($E$82,[1]UN!$A$2:$FA$304, 26, FALSE))</f>
        <v>37606.1</v>
      </c>
      <c r="AB82" s="544">
        <f>IF(VLOOKUP($E$82,[1]UN!$A$2:$FA$304, 27, FALSE)="",":",VLOOKUP($E$82,[1]UN!$A$2:$FA$304, 27, FALSE))</f>
        <v>38168.43</v>
      </c>
      <c r="AC82" s="544">
        <f>IF(VLOOKUP($E$82,[1]UN!$A$2:$FA$304, 28, FALSE)="",":",VLOOKUP($E$82,[1]UN!$A$2:$FA$304, 28, FALSE))</f>
        <v>41013.9</v>
      </c>
      <c r="AD82" s="544" t="str">
        <f>IF(VLOOKUP($E$82,[1]UN!$A$2:$FA$304, 29, FALSE)="",":",VLOOKUP($E$82,[1]UN!$A$2:$FA$304, 29, FALSE))</f>
        <v>:</v>
      </c>
      <c r="AE82" s="544" t="str">
        <f>IF(VLOOKUP($E$82,[1]UN!$A$2:$FA$304, 30, FALSE)="",":",VLOOKUP($E$82,[1]UN!$A$2:$FA$304, 30, FALSE))</f>
        <v>:</v>
      </c>
      <c r="AF82" s="544" t="str">
        <f>IF(VLOOKUP($E$82,[1]UN!$A$2:$FA$304, 31, FALSE)="",":",VLOOKUP($E$82,[1]UN!$A$2:$FA$304, 31, FALSE))</f>
        <v>:</v>
      </c>
    </row>
    <row r="83" spans="1:32">
      <c r="A83" s="533"/>
      <c r="B83" s="534"/>
      <c r="C83" s="535"/>
      <c r="D83" s="12" t="s">
        <v>475</v>
      </c>
      <c r="E83" s="13">
        <v>403</v>
      </c>
      <c r="F83" s="14" t="str">
        <f>VLOOKUP($E$83,[1]UN!$A$2:$FA$304, 3, FALSE)</f>
        <v xml:space="preserve">403  Final demand                                                                 </v>
      </c>
      <c r="G83" s="544">
        <f>IF(VLOOKUP($E$83,[1]UN!$A$2:$FA$304, 6, FALSE)="",":",VLOOKUP($E$83,[1]UN!$A$2:$FA$304, 6, FALSE))</f>
        <v>11473.81</v>
      </c>
      <c r="H83" s="544">
        <f>IF(VLOOKUP($E$83,[1]UN!$A$2:$FA$304, 7, FALSE)="",":",VLOOKUP($E$83,[1]UN!$A$2:$FA$304, 7, FALSE))</f>
        <v>14691.09</v>
      </c>
      <c r="I83" s="544">
        <f>IF(VLOOKUP($E$83,[1]UN!$A$2:$FA$304, 8, FALSE)="",":",VLOOKUP($E$83,[1]UN!$A$2:$FA$304, 8, FALSE))</f>
        <v>18177.72</v>
      </c>
      <c r="J83" s="544">
        <f>IF(VLOOKUP($E$83,[1]UN!$A$2:$FA$304, 9, FALSE)="",":",VLOOKUP($E$83,[1]UN!$A$2:$FA$304, 9, FALSE))</f>
        <v>19601.57</v>
      </c>
      <c r="K83" s="544">
        <f>IF(VLOOKUP($E$83,[1]UN!$A$2:$FA$304, 10, FALSE)="",":",VLOOKUP($E$83,[1]UN!$A$2:$FA$304, 10, FALSE))</f>
        <v>18101.79</v>
      </c>
      <c r="L83" s="544">
        <f>IF(VLOOKUP($E$83,[1]UN!$A$2:$FA$304, 11, FALSE)="",":",VLOOKUP($E$83,[1]UN!$A$2:$FA$304, 11, FALSE))</f>
        <v>19347.580000000002</v>
      </c>
      <c r="M83" s="544">
        <f>IF(VLOOKUP($E$83,[1]UN!$A$2:$FA$304, 12, FALSE)="",":",VLOOKUP($E$83,[1]UN!$A$2:$FA$304, 12, FALSE))</f>
        <v>21221.87</v>
      </c>
      <c r="N83" s="544">
        <f>IF(VLOOKUP($E$83,[1]UN!$A$2:$FA$304, 13, FALSE)="",":",VLOOKUP($E$83,[1]UN!$A$2:$FA$304, 13, FALSE))</f>
        <v>23262.03</v>
      </c>
      <c r="O83" s="544">
        <f>IF(VLOOKUP($E$83,[1]UN!$A$2:$FA$304, 14, FALSE)="",":",VLOOKUP($E$83,[1]UN!$A$2:$FA$304, 14, FALSE))</f>
        <v>25328.79</v>
      </c>
      <c r="P83" s="544">
        <f>IF(VLOOKUP($E$83,[1]UN!$A$2:$FA$304, 15, FALSE)="",":",VLOOKUP($E$83,[1]UN!$A$2:$FA$304, 15, FALSE))</f>
        <v>28156.12</v>
      </c>
      <c r="Q83" s="544">
        <f>IF(VLOOKUP($E$83,[1]UN!$A$2:$FA$304, 16, FALSE)="",":",VLOOKUP($E$83,[1]UN!$A$2:$FA$304, 16, FALSE))</f>
        <v>33829.47</v>
      </c>
      <c r="R83" s="544">
        <f>IF(VLOOKUP($E$83,[1]UN!$A$2:$FA$304, 17, FALSE)="",":",VLOOKUP($E$83,[1]UN!$A$2:$FA$304, 17, FALSE))</f>
        <v>39943.480000000003</v>
      </c>
      <c r="S83" s="544">
        <f>IF(VLOOKUP($E$83,[1]UN!$A$2:$FA$304, 18, FALSE)="",":",VLOOKUP($E$83,[1]UN!$A$2:$FA$304, 18, FALSE))</f>
        <v>47476.59</v>
      </c>
      <c r="T83" s="544">
        <f>IF(VLOOKUP($E$83,[1]UN!$A$2:$FA$304, 19, FALSE)="",":",VLOOKUP($E$83,[1]UN!$A$2:$FA$304, 19, FALSE))</f>
        <v>55162.02</v>
      </c>
      <c r="U83" s="544">
        <f>IF(VLOOKUP($E$83,[1]UN!$A$2:$FA$304, 20, FALSE)="",":",VLOOKUP($E$83,[1]UN!$A$2:$FA$304, 20, FALSE))</f>
        <v>41377.1</v>
      </c>
      <c r="V83" s="544">
        <f>IF(VLOOKUP($E$83,[1]UN!$A$2:$FA$304, 21, FALSE)="",":",VLOOKUP($E$83,[1]UN!$A$2:$FA$304, 21, FALSE))</f>
        <v>46867.75</v>
      </c>
      <c r="W83" s="544">
        <f>IF(VLOOKUP($E$83,[1]UN!$A$2:$FA$304, 22, FALSE)="",":",VLOOKUP($E$83,[1]UN!$A$2:$FA$304, 22, FALSE))</f>
        <v>55528.03</v>
      </c>
      <c r="X83" s="544">
        <f>IF(VLOOKUP($E$83,[1]UN!$A$2:$FA$304, 23, FALSE)="",":",VLOOKUP($E$83,[1]UN!$A$2:$FA$304, 23, FALSE))</f>
        <v>60281.69</v>
      </c>
      <c r="Y83" s="544">
        <f>IF(VLOOKUP($E$83,[1]UN!$A$2:$FA$304, 24, FALSE)="",":",VLOOKUP($E$83,[1]UN!$A$2:$FA$304, 24, FALSE))</f>
        <v>63910.27</v>
      </c>
      <c r="Z83" s="544">
        <f>IF(VLOOKUP($E$83,[1]UN!$A$2:$FA$304, 25, FALSE)="",":",VLOOKUP($E$83,[1]UN!$A$2:$FA$304, 25, FALSE))</f>
        <v>65466.78</v>
      </c>
      <c r="AA83" s="544">
        <f>IF(VLOOKUP($E$83,[1]UN!$A$2:$FA$304, 26, FALSE)="",":",VLOOKUP($E$83,[1]UN!$A$2:$FA$304, 26, FALSE))</f>
        <v>65989.259999999995</v>
      </c>
      <c r="AB83" s="544">
        <f>IF(VLOOKUP($E$83,[1]UN!$A$2:$FA$304, 27, FALSE)="",":",VLOOKUP($E$83,[1]UN!$A$2:$FA$304, 27, FALSE))</f>
        <v>66957.56</v>
      </c>
      <c r="AC83" s="544">
        <f>IF(VLOOKUP($E$83,[1]UN!$A$2:$FA$304, 28, FALSE)="",":",VLOOKUP($E$83,[1]UN!$A$2:$FA$304, 28, FALSE))</f>
        <v>75046.990000000005</v>
      </c>
      <c r="AD83" s="544" t="str">
        <f>IF(VLOOKUP($E$83,[1]UN!$A$2:$FA$304, 29, FALSE)="",":",VLOOKUP($E$83,[1]UN!$A$2:$FA$304, 29, FALSE))</f>
        <v>:</v>
      </c>
      <c r="AE83" s="544" t="str">
        <f>IF(VLOOKUP($E$83,[1]UN!$A$2:$FA$304, 30, FALSE)="",":",VLOOKUP($E$83,[1]UN!$A$2:$FA$304, 30, FALSE))</f>
        <v>:</v>
      </c>
      <c r="AF83" s="544" t="str">
        <f>IF(VLOOKUP($E$83,[1]UN!$A$2:$FA$304, 31, FALSE)="",":",VLOOKUP($E$83,[1]UN!$A$2:$FA$304, 31, FALSE))</f>
        <v>:</v>
      </c>
    </row>
    <row r="84" spans="1:32">
      <c r="A84" s="533"/>
      <c r="B84" s="534"/>
      <c r="C84" s="535"/>
      <c r="D84" s="12"/>
      <c r="E84" s="13"/>
      <c r="F84" s="14"/>
      <c r="G84" s="544"/>
      <c r="H84" s="544"/>
      <c r="I84" s="544"/>
      <c r="J84" s="544"/>
      <c r="K84" s="544"/>
      <c r="L84" s="544"/>
      <c r="M84" s="544"/>
      <c r="N84" s="544"/>
      <c r="O84" s="544"/>
      <c r="P84" s="544"/>
      <c r="Q84" s="544"/>
      <c r="R84" s="544"/>
      <c r="S84" s="544"/>
      <c r="T84" s="544"/>
      <c r="U84" s="544"/>
      <c r="V84" s="544"/>
      <c r="W84" s="544"/>
      <c r="X84" s="544"/>
      <c r="Y84" s="544"/>
      <c r="Z84" s="544"/>
      <c r="AA84" s="544"/>
      <c r="AB84" s="544"/>
      <c r="AC84" s="544"/>
      <c r="AD84" s="544"/>
      <c r="AE84" s="544"/>
      <c r="AF84" s="544"/>
    </row>
    <row r="85" spans="1:32">
      <c r="A85" s="1954"/>
      <c r="B85" s="534"/>
      <c r="C85" s="535"/>
      <c r="D85" s="12" t="s">
        <v>475</v>
      </c>
      <c r="E85" s="13">
        <v>500</v>
      </c>
      <c r="F85" s="14" t="str">
        <f>VLOOKUP($E$85,[1]UN!$A$2:$FA$67, 3, FALSE)</f>
        <v xml:space="preserve">500  Net lending (+) or net borrowing (-) of the nation                           </v>
      </c>
      <c r="G85" s="544">
        <f>IF(VLOOKUP($E$85,[1]UN!$A$2:$FA$67, 6, FALSE)="",":",VLOOKUP($E$85,[1]UN!$A$2:$FA$67, 6, FALSE))</f>
        <v>-756.88</v>
      </c>
      <c r="H85" s="544">
        <f>IF(VLOOKUP($E$85,[1]UN!$A$2:$FA$67, 7, FALSE)="",":",VLOOKUP($E$85,[1]UN!$A$2:$FA$67, 7, FALSE))</f>
        <v>-830.72</v>
      </c>
      <c r="I85" s="544">
        <f>IF(VLOOKUP($E$85,[1]UN!$A$2:$FA$67, 8, FALSE)="",":",VLOOKUP($E$85,[1]UN!$A$2:$FA$67, 8, FALSE))</f>
        <v>-1132.1099999999999</v>
      </c>
      <c r="J85" s="544">
        <f>IF(VLOOKUP($E$85,[1]UN!$A$2:$FA$67, 9, FALSE)="",":",VLOOKUP($E$85,[1]UN!$A$2:$FA$67, 9, FALSE))</f>
        <v>-1505.83</v>
      </c>
      <c r="K85" s="544">
        <f>IF(VLOOKUP($E$85,[1]UN!$A$2:$FA$67, 10, FALSE)="",":",VLOOKUP($E$85,[1]UN!$A$2:$FA$67, 10, FALSE))</f>
        <v>-1362.02</v>
      </c>
      <c r="L85" s="544">
        <f>IF(VLOOKUP($E$85,[1]UN!$A$2:$FA$67, 11, FALSE)="",":",VLOOKUP($E$85,[1]UN!$A$2:$FA$67, 11, FALSE))</f>
        <v>-779.47</v>
      </c>
      <c r="M85" s="544">
        <f>IF(VLOOKUP($E$85,[1]UN!$A$2:$FA$67, 12, FALSE)="",":",VLOOKUP($E$85,[1]UN!$A$2:$FA$67, 12, FALSE))</f>
        <v>-671.77</v>
      </c>
      <c r="N85" s="544">
        <f>IF(VLOOKUP($E$85,[1]UN!$A$2:$FA$67, 13, FALSE)="",":",VLOOKUP($E$85,[1]UN!$A$2:$FA$67, 13, FALSE))</f>
        <v>-731.58</v>
      </c>
      <c r="O85" s="544">
        <f>IF(VLOOKUP($E$85,[1]UN!$A$2:$FA$67, 14, FALSE)="",":",VLOOKUP($E$85,[1]UN!$A$2:$FA$67, 14, FALSE))</f>
        <v>-1070.5</v>
      </c>
      <c r="P85" s="544">
        <f>IF(VLOOKUP($E$85,[1]UN!$A$2:$FA$67, 15, FALSE)="",":",VLOOKUP($E$85,[1]UN!$A$2:$FA$67, 15, FALSE))</f>
        <v>-1219.4000000000001</v>
      </c>
      <c r="Q85" s="544">
        <f>IF(VLOOKUP($E$85,[1]UN!$A$2:$FA$67, 16, FALSE)="",":",VLOOKUP($E$85,[1]UN!$A$2:$FA$67, 16, FALSE))</f>
        <v>-1275.0999999999999</v>
      </c>
      <c r="R85" s="544">
        <f>IF(VLOOKUP($E$85,[1]UN!$A$2:$FA$67, 17, FALSE)="",":",VLOOKUP($E$85,[1]UN!$A$2:$FA$67, 17, FALSE))</f>
        <v>-2098.1</v>
      </c>
      <c r="S85" s="544">
        <f>IF(VLOOKUP($E$85,[1]UN!$A$2:$FA$67, 18, FALSE)="",":",VLOOKUP($E$85,[1]UN!$A$2:$FA$67, 18, FALSE))</f>
        <v>-3721.6</v>
      </c>
      <c r="T85" s="544">
        <f>IF(VLOOKUP($E$85,[1]UN!$A$2:$FA$67, 19, FALSE)="",":",VLOOKUP($E$85,[1]UN!$A$2:$FA$67, 19, FALSE))</f>
        <v>-3683.1</v>
      </c>
      <c r="U85" s="544">
        <f>IF(VLOOKUP($E$85,[1]UN!$A$2:$FA$67, 20, FALSE)="",":",VLOOKUP($E$85,[1]UN!$A$2:$FA$67, 20, FALSE))</f>
        <v>1733</v>
      </c>
      <c r="V85" s="544">
        <f>IF(VLOOKUP($E$85,[1]UN!$A$2:$FA$67, 21, FALSE)="",":",VLOOKUP($E$85,[1]UN!$A$2:$FA$67, 21, FALSE))</f>
        <v>969.2</v>
      </c>
      <c r="W85" s="544">
        <f>IF(VLOOKUP($E$85,[1]UN!$A$2:$FA$67, 22, FALSE)="",":",VLOOKUP($E$85,[1]UN!$A$2:$FA$67, 22, FALSE))</f>
        <v>-193.7</v>
      </c>
      <c r="X85" s="544">
        <f>IF(VLOOKUP($E$85,[1]UN!$A$2:$FA$67, 23, FALSE)="",":",VLOOKUP($E$85,[1]UN!$A$2:$FA$67, 23, FALSE))</f>
        <v>648.29999999999995</v>
      </c>
      <c r="Y85" s="544">
        <f>IF(VLOOKUP($E$85,[1]UN!$A$2:$FA$67, 24, FALSE)="",":",VLOOKUP($E$85,[1]UN!$A$2:$FA$67, 24, FALSE))</f>
        <v>1586.8</v>
      </c>
      <c r="Z85" s="544">
        <f>IF(VLOOKUP($E$85,[1]UN!$A$2:$FA$67, 25, FALSE)="",":",VLOOKUP($E$85,[1]UN!$A$2:$FA$67, 25, FALSE))</f>
        <v>2430.6</v>
      </c>
      <c r="AA85" s="544">
        <f>IF(VLOOKUP($E$85,[1]UN!$A$2:$FA$67, 26, FALSE)="",":",VLOOKUP($E$85,[1]UN!$A$2:$FA$67, 26, FALSE))</f>
        <v>359.9</v>
      </c>
      <c r="AB85" s="544">
        <f>IF(VLOOKUP($E$85,[1]UN!$A$2:$FA$67, 27, FALSE)="",":",VLOOKUP($E$85,[1]UN!$A$2:$FA$67, 27, FALSE))</f>
        <v>332.97</v>
      </c>
      <c r="AC85" s="544" t="str">
        <f>IF(VLOOKUP($E$85,[1]UN!$A$2:$FA$67, 28, FALSE)="",":",VLOOKUP($E$85,[1]UN!$A$2:$FA$67, 28, FALSE))</f>
        <v>:</v>
      </c>
      <c r="AD85" s="544" t="str">
        <f>IF(VLOOKUP($E$85,[1]UN!$A$2:$FA$67, 29, FALSE)="",":",VLOOKUP($E$85,[1]UN!$A$2:$FA$67, 29, FALSE))</f>
        <v>:</v>
      </c>
      <c r="AE85" s="544" t="str">
        <f>IF(VLOOKUP($E$85,[1]UN!$A$2:$FA$67, 30, FALSE)="",":",VLOOKUP($E$85,[1]UN!$A$2:$FA$67, 30, FALSE))</f>
        <v>:</v>
      </c>
      <c r="AF85" s="544" t="str">
        <f>IF(VLOOKUP($E$85,[1]UN!$A$2:$FA$67, 31, FALSE)="",":",VLOOKUP($E$85,[1]UN!$A$2:$FA$67, 31, FALSE))</f>
        <v>:</v>
      </c>
    </row>
    <row r="86" spans="1:32">
      <c r="A86" s="533"/>
      <c r="B86" s="534"/>
      <c r="C86" s="535"/>
      <c r="D86" s="12" t="s">
        <v>475</v>
      </c>
      <c r="E86" s="13">
        <v>502</v>
      </c>
      <c r="F86" s="14" t="str">
        <f>VLOOKUP($E$86,[1]UN!$A$2:$FA$67, 3, FALSE)</f>
        <v>502 Current account balance (BPM6 - Balance of payments statistics)</v>
      </c>
      <c r="G86" s="544" t="str">
        <f>IF(VLOOKUP($E$86,[1]UN!$A$2:$FA$67, 6, FALSE)="",":",VLOOKUP($E$86,[1]UN!$A$2:$FA$67, 6, FALSE))</f>
        <v>:</v>
      </c>
      <c r="H86" s="544" t="str">
        <f>IF(VLOOKUP($E$86,[1]UN!$A$2:$FA$67, 7, FALSE)="",":",VLOOKUP($E$86,[1]UN!$A$2:$FA$67, 7, FALSE))</f>
        <v>:</v>
      </c>
      <c r="I86" s="544" t="str">
        <f>IF(VLOOKUP($E$86,[1]UN!$A$2:$FA$67, 8, FALSE)="",":",VLOOKUP($E$86,[1]UN!$A$2:$FA$67, 8, FALSE))</f>
        <v>:</v>
      </c>
      <c r="J86" s="544" t="str">
        <f>IF(VLOOKUP($E$86,[1]UN!$A$2:$FA$67, 9, FALSE)="",":",VLOOKUP($E$86,[1]UN!$A$2:$FA$67, 9, FALSE))</f>
        <v>:</v>
      </c>
      <c r="K86" s="544" t="str">
        <f>IF(VLOOKUP($E$86,[1]UN!$A$2:$FA$67, 10, FALSE)="",":",VLOOKUP($E$86,[1]UN!$A$2:$FA$67, 10, FALSE))</f>
        <v>:</v>
      </c>
      <c r="L86" s="544" t="str">
        <f>IF(VLOOKUP($E$86,[1]UN!$A$2:$FA$67, 11, FALSE)="",":",VLOOKUP($E$86,[1]UN!$A$2:$FA$67, 11, FALSE))</f>
        <v>:</v>
      </c>
      <c r="M86" s="544" t="str">
        <f>IF(VLOOKUP($E$86,[1]UN!$A$2:$FA$67, 12, FALSE)="",":",VLOOKUP($E$86,[1]UN!$A$2:$FA$67, 12, FALSE))</f>
        <v>:</v>
      </c>
      <c r="N86" s="544" t="str">
        <f>IF(VLOOKUP($E$86,[1]UN!$A$2:$FA$67, 13, FALSE)="",":",VLOOKUP($E$86,[1]UN!$A$2:$FA$67, 13, FALSE))</f>
        <v>:</v>
      </c>
      <c r="O86" s="544" t="str">
        <f>IF(VLOOKUP($E$86,[1]UN!$A$2:$FA$67, 14, FALSE)="",":",VLOOKUP($E$86,[1]UN!$A$2:$FA$67, 14, FALSE))</f>
        <v>:</v>
      </c>
      <c r="P86" s="544">
        <f>IF(VLOOKUP($E$86,[1]UN!$A$2:$FA$67, 15, FALSE)="",":",VLOOKUP($E$86,[1]UN!$A$2:$FA$67, 15, FALSE))</f>
        <v>-1387</v>
      </c>
      <c r="Q86" s="544">
        <f>IF(VLOOKUP($E$86,[1]UN!$A$2:$FA$67, 16, FALSE)="",":",VLOOKUP($E$86,[1]UN!$A$2:$FA$67, 16, FALSE))</f>
        <v>-1526.9</v>
      </c>
      <c r="R86" s="544">
        <f>IF(VLOOKUP($E$86,[1]UN!$A$2:$FA$67, 17, FALSE)="",":",VLOOKUP($E$86,[1]UN!$A$2:$FA$67, 17, FALSE))</f>
        <v>-2623.8</v>
      </c>
      <c r="S86" s="544">
        <f>IF(VLOOKUP($E$86,[1]UN!$A$2:$FA$67, 18, FALSE)="",":",VLOOKUP($E$86,[1]UN!$A$2:$FA$67, 18, FALSE))</f>
        <v>-4496</v>
      </c>
      <c r="T86" s="544">
        <f>IF(VLOOKUP($E$86,[1]UN!$A$2:$FA$67, 19, FALSE)="",":",VLOOKUP($E$86,[1]UN!$A$2:$FA$67, 19, FALSE))</f>
        <v>-4448.6000000000004</v>
      </c>
      <c r="U86" s="544">
        <f>IF(VLOOKUP($E$86,[1]UN!$A$2:$FA$67, 20, FALSE)="",":",VLOOKUP($E$86,[1]UN!$A$2:$FA$67, 20, FALSE))</f>
        <v>385.3</v>
      </c>
      <c r="V86" s="544">
        <f>IF(VLOOKUP($E$86,[1]UN!$A$2:$FA$67, 21, FALSE)="",":",VLOOKUP($E$86,[1]UN!$A$2:$FA$67, 21, FALSE))</f>
        <v>-357.5</v>
      </c>
      <c r="W86" s="544">
        <f>IF(VLOOKUP($E$86,[1]UN!$A$2:$FA$67, 22, FALSE)="",":",VLOOKUP($E$86,[1]UN!$A$2:$FA$67, 22, FALSE))</f>
        <v>-1423.4</v>
      </c>
      <c r="X86" s="544">
        <f>IF(VLOOKUP($E$86,[1]UN!$A$2:$FA$67, 23, FALSE)="",":",VLOOKUP($E$86,[1]UN!$A$2:$FA$67, 23, FALSE))</f>
        <v>-470.2</v>
      </c>
      <c r="Y86" s="544">
        <f>IF(VLOOKUP($E$86,[1]UN!$A$2:$FA$67, 24, FALSE)="",":",VLOOKUP($E$86,[1]UN!$A$2:$FA$67, 24, FALSE))</f>
        <v>292.10000000000002</v>
      </c>
      <c r="Z86" s="544">
        <f>IF(VLOOKUP($E$86,[1]UN!$A$2:$FA$67, 25, FALSE)="",":",VLOOKUP($E$86,[1]UN!$A$2:$FA$67, 25, FALSE))</f>
        <v>1157.7</v>
      </c>
      <c r="AA86" s="544">
        <f>IF(VLOOKUP($E$86,[1]UN!$A$2:$FA$67, 26, FALSE)="",":",VLOOKUP($E$86,[1]UN!$A$2:$FA$67, 26, FALSE))</f>
        <v>-1049.8</v>
      </c>
      <c r="AB86" s="544">
        <f>IF(VLOOKUP($E$86,[1]UN!$A$2:$FA$67, 27, FALSE)="",":",VLOOKUP($E$86,[1]UN!$A$2:$FA$67, 27, FALSE))</f>
        <v>-433.3</v>
      </c>
      <c r="AC86" s="544" t="str">
        <f>IF(VLOOKUP($E$86,[1]UN!$A$2:$FA$67, 28, FALSE)="",":",VLOOKUP($E$86,[1]UN!$A$2:$FA$67, 28, FALSE))</f>
        <v>:</v>
      </c>
      <c r="AD86" s="544" t="str">
        <f>IF(VLOOKUP($E$86,[1]UN!$A$2:$FA$67, 29, FALSE)="",":",VLOOKUP($E$86,[1]UN!$A$2:$FA$67, 29, FALSE))</f>
        <v>:</v>
      </c>
      <c r="AE86" s="544" t="str">
        <f>IF(VLOOKUP($E$86,[1]UN!$A$2:$FA$67, 30, FALSE)="",":",VLOOKUP($E$86,[1]UN!$A$2:$FA$67, 30, FALSE))</f>
        <v>:</v>
      </c>
      <c r="AF86" s="544" t="str">
        <f>IF(VLOOKUP($E$86,[1]UN!$A$2:$FA$67, 31, FALSE)="",":",VLOOKUP($E$86,[1]UN!$A$2:$FA$67, 31, FALSE))</f>
        <v>:</v>
      </c>
    </row>
    <row r="87" spans="1:32">
      <c r="A87" s="533">
        <v>43</v>
      </c>
      <c r="B87" s="534" t="s">
        <v>1522</v>
      </c>
      <c r="C87" s="535" t="s">
        <v>492</v>
      </c>
      <c r="D87" s="12" t="s">
        <v>475</v>
      </c>
      <c r="E87" s="13">
        <v>511</v>
      </c>
      <c r="F87" s="14" t="str">
        <f>VLOOKUP($E$87,[1]UN!$A$2:$FA$67, 3, FALSE)</f>
        <v xml:space="preserve">511  Exports of goods                                                             </v>
      </c>
      <c r="G87" s="544">
        <f>IF(VLOOKUP($E$87,[1]UN!$A$2:$FA$67, 6, FALSE)="",":",VLOOKUP($E$87,[1]UN!$A$2:$FA$67, 6, FALSE))</f>
        <v>2171.98</v>
      </c>
      <c r="H87" s="544">
        <f>IF(VLOOKUP($E$87,[1]UN!$A$2:$FA$67, 7, FALSE)="",":",VLOOKUP($E$87,[1]UN!$A$2:$FA$67, 7, FALSE))</f>
        <v>3003.8</v>
      </c>
      <c r="I87" s="544">
        <f>IF(VLOOKUP($E$87,[1]UN!$A$2:$FA$67, 8, FALSE)="",":",VLOOKUP($E$87,[1]UN!$A$2:$FA$67, 8, FALSE))</f>
        <v>3920.68</v>
      </c>
      <c r="J87" s="544">
        <f>IF(VLOOKUP($E$87,[1]UN!$A$2:$FA$67, 9, FALSE)="",":",VLOOKUP($E$87,[1]UN!$A$2:$FA$67, 9, FALSE))</f>
        <v>3649.09</v>
      </c>
      <c r="K87" s="544">
        <f>IF(VLOOKUP($E$87,[1]UN!$A$2:$FA$67, 10, FALSE)="",":",VLOOKUP($E$87,[1]UN!$A$2:$FA$67, 10, FALSE))</f>
        <v>2690.36</v>
      </c>
      <c r="L87" s="544">
        <f>IF(VLOOKUP($E$87,[1]UN!$A$2:$FA$67, 11, FALSE)="",":",VLOOKUP($E$87,[1]UN!$A$2:$FA$67, 11, FALSE))</f>
        <v>3753.57</v>
      </c>
      <c r="M87" s="544">
        <f>IF(VLOOKUP($E$87,[1]UN!$A$2:$FA$67, 12, FALSE)="",":",VLOOKUP($E$87,[1]UN!$A$2:$FA$67, 12, FALSE))</f>
        <v>4740.09</v>
      </c>
      <c r="N87" s="544">
        <f>IF(VLOOKUP($E$87,[1]UN!$A$2:$FA$67, 13, FALSE)="",":",VLOOKUP($E$87,[1]UN!$A$2:$FA$67, 13, FALSE))</f>
        <v>5462.89</v>
      </c>
      <c r="O87" s="544">
        <f>IF(VLOOKUP($E$87,[1]UN!$A$2:$FA$67, 14, FALSE)="",":",VLOOKUP($E$87,[1]UN!$A$2:$FA$67, 14, FALSE))</f>
        <v>5866.46</v>
      </c>
      <c r="P87" s="544">
        <f>IF(VLOOKUP($E$87,[1]UN!$A$2:$FA$67, 15, FALSE)="",":",VLOOKUP($E$87,[1]UN!$A$2:$FA$67, 15, FALSE))</f>
        <v>6406.1</v>
      </c>
      <c r="Q87" s="544">
        <f>IF(VLOOKUP($E$87,[1]UN!$A$2:$FA$67, 16, FALSE)="",":",VLOOKUP($E$87,[1]UN!$A$2:$FA$67, 16, FALSE))</f>
        <v>8859.93</v>
      </c>
      <c r="R87" s="544">
        <f>IF(VLOOKUP($E$87,[1]UN!$A$2:$FA$67, 17, FALSE)="",":",VLOOKUP($E$87,[1]UN!$A$2:$FA$67, 17, FALSE))</f>
        <v>10509.17</v>
      </c>
      <c r="S87" s="544">
        <f>IF(VLOOKUP($E$87,[1]UN!$A$2:$FA$67, 18, FALSE)="",":",VLOOKUP($E$87,[1]UN!$A$2:$FA$67, 18, FALSE))</f>
        <v>11534.53</v>
      </c>
      <c r="T87" s="544">
        <f>IF(VLOOKUP($E$87,[1]UN!$A$2:$FA$67, 19, FALSE)="",":",VLOOKUP($E$87,[1]UN!$A$2:$FA$67, 19, FALSE))</f>
        <v>15235.94</v>
      </c>
      <c r="U87" s="544">
        <f>IF(VLOOKUP($E$87,[1]UN!$A$2:$FA$67, 20, FALSE)="",":",VLOOKUP($E$87,[1]UN!$A$2:$FA$67, 20, FALSE))</f>
        <v>11055.72</v>
      </c>
      <c r="V87" s="544">
        <f>IF(VLOOKUP($E$87,[1]UN!$A$2:$FA$67, 21, FALSE)="",":",VLOOKUP($E$87,[1]UN!$A$2:$FA$67, 21, FALSE))</f>
        <v>14891</v>
      </c>
      <c r="W87" s="544">
        <f>IF(VLOOKUP($E$87,[1]UN!$A$2:$FA$67, 22, FALSE)="",":",VLOOKUP($E$87,[1]UN!$A$2:$FA$67, 22, FALSE))</f>
        <v>19421.95</v>
      </c>
      <c r="X87" s="544">
        <f>IF(VLOOKUP($E$87,[1]UN!$A$2:$FA$67, 23, FALSE)="",":",VLOOKUP($E$87,[1]UN!$A$2:$FA$67, 23, FALSE))</f>
        <v>22427.16</v>
      </c>
      <c r="Y87" s="544">
        <f>IF(VLOOKUP($E$87,[1]UN!$A$2:$FA$67, 24, FALSE)="",":",VLOOKUP($E$87,[1]UN!$A$2:$FA$67, 24, FALSE))</f>
        <v>23997.66</v>
      </c>
      <c r="Z87" s="544">
        <f>IF(VLOOKUP($E$87,[1]UN!$A$2:$FA$67, 25, FALSE)="",":",VLOOKUP($E$87,[1]UN!$A$2:$FA$67, 25, FALSE))</f>
        <v>23749.599999999999</v>
      </c>
      <c r="AA87" s="544">
        <f>IF(VLOOKUP($E$87,[1]UN!$A$2:$FA$67, 26, FALSE)="",":",VLOOKUP($E$87,[1]UN!$A$2:$FA$67, 26, FALSE))</f>
        <v>22309.39</v>
      </c>
      <c r="AB87" s="544">
        <f>IF(VLOOKUP($E$87,[1]UN!$A$2:$FA$67, 27, FALSE)="",":",VLOOKUP($E$87,[1]UN!$A$2:$FA$67, 27, FALSE))</f>
        <v>21921.91</v>
      </c>
      <c r="AC87" s="544">
        <f>IF(VLOOKUP($E$87,[1]UN!$A$2:$FA$67, 28, FALSE)="",":",VLOOKUP($E$87,[1]UN!$A$2:$FA$67, 28, FALSE))</f>
        <v>25752.92</v>
      </c>
      <c r="AD87" s="544" t="str">
        <f>IF(VLOOKUP($E$87,[1]UN!$A$2:$FA$67, 29, FALSE)="",":",VLOOKUP($E$87,[1]UN!$A$2:$FA$67, 29, FALSE))</f>
        <v>:</v>
      </c>
      <c r="AE87" s="544" t="str">
        <f>IF(VLOOKUP($E$87,[1]UN!$A$2:$FA$67, 30, FALSE)="",":",VLOOKUP($E$87,[1]UN!$A$2:$FA$67, 30, FALSE))</f>
        <v>:</v>
      </c>
      <c r="AF87" s="544" t="str">
        <f>IF(VLOOKUP($E$87,[1]UN!$A$2:$FA$67, 31, FALSE)="",":",VLOOKUP($E$87,[1]UN!$A$2:$FA$67, 31, FALSE))</f>
        <v>:</v>
      </c>
    </row>
    <row r="88" spans="1:32">
      <c r="A88" s="533">
        <v>44</v>
      </c>
      <c r="B88" s="534" t="s">
        <v>1539</v>
      </c>
      <c r="C88" s="535" t="s">
        <v>493</v>
      </c>
      <c r="D88" s="12" t="s">
        <v>475</v>
      </c>
      <c r="E88" s="13">
        <v>512</v>
      </c>
      <c r="F88" s="14" t="str">
        <f>VLOOKUP($E$88,[1]UN!$A$2:$FA$67, 3, FALSE)</f>
        <v xml:space="preserve">512  Exports of services </v>
      </c>
      <c r="G88" s="544">
        <f>IF(VLOOKUP($E$88,[1]UN!$A$2:$FA$67, 6, FALSE)="",":",VLOOKUP($E$88,[1]UN!$A$2:$FA$67, 6, FALSE))</f>
        <v>712.13</v>
      </c>
      <c r="H88" s="544">
        <f>IF(VLOOKUP($E$88,[1]UN!$A$2:$FA$67, 7, FALSE)="",":",VLOOKUP($E$88,[1]UN!$A$2:$FA$67, 7, FALSE))</f>
        <v>1070.3499999999999</v>
      </c>
      <c r="I88" s="544">
        <f>IF(VLOOKUP($E$88,[1]UN!$A$2:$FA$67, 8, FALSE)="",":",VLOOKUP($E$88,[1]UN!$A$2:$FA$67, 8, FALSE))</f>
        <v>1351.38</v>
      </c>
      <c r="J88" s="544">
        <f>IF(VLOOKUP($E$88,[1]UN!$A$2:$FA$67, 9, FALSE)="",":",VLOOKUP($E$88,[1]UN!$A$2:$FA$67, 9, FALSE))</f>
        <v>1445.72</v>
      </c>
      <c r="K88" s="544">
        <f>IF(VLOOKUP($E$88,[1]UN!$A$2:$FA$67, 10, FALSE)="",":",VLOOKUP($E$88,[1]UN!$A$2:$FA$67, 10, FALSE))</f>
        <v>1430.18</v>
      </c>
      <c r="L88" s="544">
        <f>IF(VLOOKUP($E$88,[1]UN!$A$2:$FA$67, 11, FALSE)="",":",VLOOKUP($E$88,[1]UN!$A$2:$FA$67, 11, FALSE))</f>
        <v>1399.29</v>
      </c>
      <c r="M88" s="544">
        <f>IF(VLOOKUP($E$88,[1]UN!$A$2:$FA$67, 12, FALSE)="",":",VLOOKUP($E$88,[1]UN!$A$2:$FA$67, 12, FALSE))</f>
        <v>1511.55</v>
      </c>
      <c r="N88" s="544">
        <f>IF(VLOOKUP($E$88,[1]UN!$A$2:$FA$67, 13, FALSE)="",":",VLOOKUP($E$88,[1]UN!$A$2:$FA$67, 13, FALSE))</f>
        <v>1734.14</v>
      </c>
      <c r="O88" s="544">
        <f>IF(VLOOKUP($E$88,[1]UN!$A$2:$FA$67, 14, FALSE)="",":",VLOOKUP($E$88,[1]UN!$A$2:$FA$67, 14, FALSE))</f>
        <v>1829.33</v>
      </c>
      <c r="P88" s="544">
        <f>IF(VLOOKUP($E$88,[1]UN!$A$2:$FA$67, 15, FALSE)="",":",VLOOKUP($E$88,[1]UN!$A$2:$FA$67, 15, FALSE))</f>
        <v>2228.85</v>
      </c>
      <c r="Q88" s="544">
        <f>IF(VLOOKUP($E$88,[1]UN!$A$2:$FA$67, 16, FALSE)="",":",VLOOKUP($E$88,[1]UN!$A$2:$FA$67, 16, FALSE))</f>
        <v>2448.21</v>
      </c>
      <c r="R88" s="544">
        <f>IF(VLOOKUP($E$88,[1]UN!$A$2:$FA$67, 17, FALSE)="",":",VLOOKUP($E$88,[1]UN!$A$2:$FA$67, 17, FALSE))</f>
        <v>2883.73</v>
      </c>
      <c r="S88" s="544">
        <f>IF(VLOOKUP($E$88,[1]UN!$A$2:$FA$67, 18, FALSE)="",":",VLOOKUP($E$88,[1]UN!$A$2:$FA$67, 18, FALSE))</f>
        <v>3089.85</v>
      </c>
      <c r="T88" s="544">
        <f>IF(VLOOKUP($E$88,[1]UN!$A$2:$FA$67, 19, FALSE)="",":",VLOOKUP($E$88,[1]UN!$A$2:$FA$67, 19, FALSE))</f>
        <v>3446.39</v>
      </c>
      <c r="U88" s="544">
        <f>IF(VLOOKUP($E$88,[1]UN!$A$2:$FA$67, 20, FALSE)="",":",VLOOKUP($E$88,[1]UN!$A$2:$FA$67, 20, FALSE))</f>
        <v>2934.01</v>
      </c>
      <c r="V88" s="544">
        <f>IF(VLOOKUP($E$88,[1]UN!$A$2:$FA$67, 21, FALSE)="",":",VLOOKUP($E$88,[1]UN!$A$2:$FA$67, 21, FALSE))</f>
        <v>3422.87</v>
      </c>
      <c r="W88" s="544">
        <f>IF(VLOOKUP($E$88,[1]UN!$A$2:$FA$67, 22, FALSE)="",":",VLOOKUP($E$88,[1]UN!$A$2:$FA$67, 22, FALSE))</f>
        <v>4033.1</v>
      </c>
      <c r="X88" s="544">
        <f>IF(VLOOKUP($E$88,[1]UN!$A$2:$FA$67, 23, FALSE)="",":",VLOOKUP($E$88,[1]UN!$A$2:$FA$67, 23, FALSE))</f>
        <v>4792.91</v>
      </c>
      <c r="Y88" s="544">
        <f>IF(VLOOKUP($E$88,[1]UN!$A$2:$FA$67, 24, FALSE)="",":",VLOOKUP($E$88,[1]UN!$A$2:$FA$67, 24, FALSE))</f>
        <v>5390.21</v>
      </c>
      <c r="Z88" s="544">
        <f>IF(VLOOKUP($E$88,[1]UN!$A$2:$FA$67, 25, FALSE)="",":",VLOOKUP($E$88,[1]UN!$A$2:$FA$67, 25, FALSE))</f>
        <v>5908.43</v>
      </c>
      <c r="AA88" s="544">
        <f>IF(VLOOKUP($E$88,[1]UN!$A$2:$FA$67, 26, FALSE)="",":",VLOOKUP($E$88,[1]UN!$A$2:$FA$67, 26, FALSE))</f>
        <v>6073.77</v>
      </c>
      <c r="AB88" s="544">
        <f>IF(VLOOKUP($E$88,[1]UN!$A$2:$FA$67, 27, FALSE)="",":",VLOOKUP($E$88,[1]UN!$A$2:$FA$67, 27, FALSE))</f>
        <v>6867.22</v>
      </c>
      <c r="AC88" s="544">
        <f>IF(VLOOKUP($E$88,[1]UN!$A$2:$FA$67, 28, FALSE)="",":",VLOOKUP($E$88,[1]UN!$A$2:$FA$67, 28, FALSE))</f>
        <v>8280.17</v>
      </c>
      <c r="AD88" s="544" t="str">
        <f>IF(VLOOKUP($E$88,[1]UN!$A$2:$FA$67, 29, FALSE)="",":",VLOOKUP($E$88,[1]UN!$A$2:$FA$67, 29, FALSE))</f>
        <v>:</v>
      </c>
      <c r="AE88" s="544" t="str">
        <f>IF(VLOOKUP($E$88,[1]UN!$A$2:$FA$67, 30, FALSE)="",":",VLOOKUP($E$88,[1]UN!$A$2:$FA$67, 30, FALSE))</f>
        <v>:</v>
      </c>
      <c r="AF88" s="544" t="str">
        <f>IF(VLOOKUP($E$88,[1]UN!$A$2:$FA$67, 31, FALSE)="",":",VLOOKUP($E$88,[1]UN!$A$2:$FA$67, 31, FALSE))</f>
        <v>:</v>
      </c>
    </row>
    <row r="89" spans="1:32">
      <c r="A89" s="533"/>
      <c r="B89" s="534" t="s">
        <v>472</v>
      </c>
      <c r="C89" s="535" t="s">
        <v>494</v>
      </c>
      <c r="D89" s="12" t="s">
        <v>475</v>
      </c>
      <c r="E89" s="13">
        <v>510</v>
      </c>
      <c r="F89" s="14" t="str">
        <f>VLOOKUP($E$89,[1]UN!$A$2:$FA$67, 3, FALSE)</f>
        <v xml:space="preserve">510  Exports of goods and services                                                </v>
      </c>
      <c r="G89" s="544">
        <f>IF(VLOOKUP($E$89,[1]UN!$A$2:$FA$67, 6, FALSE)="",":",VLOOKUP($E$89,[1]UN!$A$2:$FA$67, 6, FALSE))</f>
        <v>2884.1</v>
      </c>
      <c r="H89" s="544">
        <f>IF(VLOOKUP($E$89,[1]UN!$A$2:$FA$67, 7, FALSE)="",":",VLOOKUP($E$89,[1]UN!$A$2:$FA$67, 7, FALSE))</f>
        <v>4074.16</v>
      </c>
      <c r="I89" s="544">
        <f>IF(VLOOKUP($E$89,[1]UN!$A$2:$FA$67, 8, FALSE)="",":",VLOOKUP($E$89,[1]UN!$A$2:$FA$67, 8, FALSE))</f>
        <v>5272.05</v>
      </c>
      <c r="J89" s="544">
        <f>IF(VLOOKUP($E$89,[1]UN!$A$2:$FA$67, 9, FALSE)="",":",VLOOKUP($E$89,[1]UN!$A$2:$FA$67, 9, FALSE))</f>
        <v>5094.8100000000004</v>
      </c>
      <c r="K89" s="544">
        <f>IF(VLOOKUP($E$89,[1]UN!$A$2:$FA$67, 10, FALSE)="",":",VLOOKUP($E$89,[1]UN!$A$2:$FA$67, 10, FALSE))</f>
        <v>4120.54</v>
      </c>
      <c r="L89" s="544">
        <f>IF(VLOOKUP($E$89,[1]UN!$A$2:$FA$67, 11, FALSE)="",":",VLOOKUP($E$89,[1]UN!$A$2:$FA$67, 11, FALSE))</f>
        <v>5152.8500000000004</v>
      </c>
      <c r="M89" s="544">
        <f>IF(VLOOKUP($E$89,[1]UN!$A$2:$FA$67, 12, FALSE)="",":",VLOOKUP($E$89,[1]UN!$A$2:$FA$67, 12, FALSE))</f>
        <v>6251.64</v>
      </c>
      <c r="N89" s="544">
        <f>IF(VLOOKUP($E$89,[1]UN!$A$2:$FA$67, 13, FALSE)="",":",VLOOKUP($E$89,[1]UN!$A$2:$FA$67, 13, FALSE))</f>
        <v>7197.03</v>
      </c>
      <c r="O89" s="544">
        <f>IF(VLOOKUP($E$89,[1]UN!$A$2:$FA$67, 14, FALSE)="",":",VLOOKUP($E$89,[1]UN!$A$2:$FA$67, 14, FALSE))</f>
        <v>7695.79</v>
      </c>
      <c r="P89" s="544">
        <f>IF(VLOOKUP($E$89,[1]UN!$A$2:$FA$67, 15, FALSE)="",":",VLOOKUP($E$89,[1]UN!$A$2:$FA$67, 15, FALSE))</f>
        <v>8634.9599999999991</v>
      </c>
      <c r="Q89" s="544">
        <f>IF(VLOOKUP($E$89,[1]UN!$A$2:$FA$67, 16, FALSE)="",":",VLOOKUP($E$89,[1]UN!$A$2:$FA$67, 16, FALSE))</f>
        <v>11308.14</v>
      </c>
      <c r="R89" s="544">
        <f>IF(VLOOKUP($E$89,[1]UN!$A$2:$FA$67, 17, FALSE)="",":",VLOOKUP($E$89,[1]UN!$A$2:$FA$67, 17, FALSE))</f>
        <v>13392.9</v>
      </c>
      <c r="S89" s="544">
        <f>IF(VLOOKUP($E$89,[1]UN!$A$2:$FA$67, 18, FALSE)="",":",VLOOKUP($E$89,[1]UN!$A$2:$FA$67, 18, FALSE))</f>
        <v>14624.39</v>
      </c>
      <c r="T89" s="544">
        <f>IF(VLOOKUP($E$89,[1]UN!$A$2:$FA$67, 19, FALSE)="",":",VLOOKUP($E$89,[1]UN!$A$2:$FA$67, 19, FALSE))</f>
        <v>18682.330000000002</v>
      </c>
      <c r="U89" s="544">
        <f>IF(VLOOKUP($E$89,[1]UN!$A$2:$FA$67, 20, FALSE)="",":",VLOOKUP($E$89,[1]UN!$A$2:$FA$67, 20, FALSE))</f>
        <v>13989.73</v>
      </c>
      <c r="V89" s="544">
        <f>IF(VLOOKUP($E$89,[1]UN!$A$2:$FA$67, 21, FALSE)="",":",VLOOKUP($E$89,[1]UN!$A$2:$FA$67, 21, FALSE))</f>
        <v>18313.88</v>
      </c>
      <c r="W89" s="544">
        <f>IF(VLOOKUP($E$89,[1]UN!$A$2:$FA$67, 22, FALSE)="",":",VLOOKUP($E$89,[1]UN!$A$2:$FA$67, 22, FALSE))</f>
        <v>23455.05</v>
      </c>
      <c r="X89" s="544">
        <f>IF(VLOOKUP($E$89,[1]UN!$A$2:$FA$67, 23, FALSE)="",":",VLOOKUP($E$89,[1]UN!$A$2:$FA$67, 23, FALSE))</f>
        <v>27220.07</v>
      </c>
      <c r="Y89" s="544">
        <f>IF(VLOOKUP($E$89,[1]UN!$A$2:$FA$67, 24, FALSE)="",":",VLOOKUP($E$89,[1]UN!$A$2:$FA$67, 24, FALSE))</f>
        <v>29387.87</v>
      </c>
      <c r="Z89" s="544">
        <f>IF(VLOOKUP($E$89,[1]UN!$A$2:$FA$67, 25, FALSE)="",":",VLOOKUP($E$89,[1]UN!$A$2:$FA$67, 25, FALSE))</f>
        <v>29658.02</v>
      </c>
      <c r="AA89" s="544">
        <f>IF(VLOOKUP($E$89,[1]UN!$A$2:$FA$67, 26, FALSE)="",":",VLOOKUP($E$89,[1]UN!$A$2:$FA$67, 26, FALSE))</f>
        <v>28383.16</v>
      </c>
      <c r="AB89" s="544">
        <f>IF(VLOOKUP($E$89,[1]UN!$A$2:$FA$67, 27, FALSE)="",":",VLOOKUP($E$89,[1]UN!$A$2:$FA$67, 27, FALSE))</f>
        <v>28789.13</v>
      </c>
      <c r="AC89" s="544">
        <f>IF(VLOOKUP($E$89,[1]UN!$A$2:$FA$67, 28, FALSE)="",":",VLOOKUP($E$89,[1]UN!$A$2:$FA$67, 28, FALSE))</f>
        <v>34033.089999999997</v>
      </c>
      <c r="AD89" s="544" t="str">
        <f>IF(VLOOKUP($E$89,[1]UN!$A$2:$FA$67, 29, FALSE)="",":",VLOOKUP($E$89,[1]UN!$A$2:$FA$67, 29, FALSE))</f>
        <v>:</v>
      </c>
      <c r="AE89" s="544" t="str">
        <f>IF(VLOOKUP($E$89,[1]UN!$A$2:$FA$67, 30, FALSE)="",":",VLOOKUP($E$89,[1]UN!$A$2:$FA$67, 30, FALSE))</f>
        <v>:</v>
      </c>
      <c r="AF89" s="544" t="str">
        <f>IF(VLOOKUP($E$89,[1]UN!$A$2:$FA$67, 31, FALSE)="",":",VLOOKUP($E$89,[1]UN!$A$2:$FA$67, 31, FALSE))</f>
        <v>:</v>
      </c>
    </row>
    <row r="90" spans="1:32">
      <c r="A90" s="533"/>
      <c r="B90" s="534"/>
      <c r="C90" s="535"/>
      <c r="D90" s="12"/>
      <c r="E90" s="13"/>
      <c r="F90" s="14"/>
      <c r="G90" s="544"/>
      <c r="H90" s="544"/>
      <c r="I90" s="544"/>
      <c r="J90" s="544"/>
      <c r="K90" s="544"/>
      <c r="L90" s="544"/>
      <c r="M90" s="544"/>
      <c r="N90" s="544"/>
      <c r="O90" s="544"/>
      <c r="P90" s="544"/>
      <c r="Q90" s="544"/>
      <c r="R90" s="544"/>
      <c r="S90" s="544"/>
      <c r="T90" s="544"/>
      <c r="U90" s="544"/>
      <c r="V90" s="544"/>
      <c r="W90" s="544"/>
      <c r="X90" s="544"/>
      <c r="Y90" s="544"/>
      <c r="Z90" s="544"/>
      <c r="AA90" s="544"/>
      <c r="AB90" s="544"/>
      <c r="AC90" s="544"/>
      <c r="AD90" s="544"/>
      <c r="AE90" s="544"/>
      <c r="AF90" s="544"/>
    </row>
    <row r="91" spans="1:32">
      <c r="A91" s="533">
        <v>45</v>
      </c>
      <c r="B91" s="534" t="s">
        <v>1436</v>
      </c>
      <c r="C91" s="535" t="s">
        <v>495</v>
      </c>
      <c r="D91" s="12" t="s">
        <v>475</v>
      </c>
      <c r="E91" s="13">
        <v>521</v>
      </c>
      <c r="F91" s="14" t="str">
        <f>VLOOKUP($E$91,[1]UN!$A$2:$FA$67, 3, FALSE)</f>
        <v xml:space="preserve">521  Imports of goods                                                             </v>
      </c>
      <c r="G91" s="544">
        <f>IF(VLOOKUP($E$91,[1]UN!$A$2:$FA$67, 6, FALSE)="",":",VLOOKUP($E$91,[1]UN!$A$2:$FA$67, 6, FALSE))</f>
        <v>3093.69</v>
      </c>
      <c r="H91" s="544">
        <f>IF(VLOOKUP($E$91,[1]UN!$A$2:$FA$67, 7, FALSE)="",":",VLOOKUP($E$91,[1]UN!$A$2:$FA$67, 7, FALSE))</f>
        <v>4160.7299999999996</v>
      </c>
      <c r="I91" s="544">
        <f>IF(VLOOKUP($E$91,[1]UN!$A$2:$FA$67, 8, FALSE)="",":",VLOOKUP($E$91,[1]UN!$A$2:$FA$67, 8, FALSE))</f>
        <v>5375.49</v>
      </c>
      <c r="J91" s="544">
        <f>IF(VLOOKUP($E$91,[1]UN!$A$2:$FA$67, 9, FALSE)="",":",VLOOKUP($E$91,[1]UN!$A$2:$FA$67, 9, FALSE))</f>
        <v>5540.55</v>
      </c>
      <c r="K91" s="544">
        <f>IF(VLOOKUP($E$91,[1]UN!$A$2:$FA$67, 10, FALSE)="",":",VLOOKUP($E$91,[1]UN!$A$2:$FA$67, 10, FALSE))</f>
        <v>4445.91</v>
      </c>
      <c r="L91" s="544">
        <f>IF(VLOOKUP($E$91,[1]UN!$A$2:$FA$67, 11, FALSE)="",":",VLOOKUP($E$91,[1]UN!$A$2:$FA$67, 11, FALSE))</f>
        <v>5162.8900000000003</v>
      </c>
      <c r="M91" s="544">
        <f>IF(VLOOKUP($E$91,[1]UN!$A$2:$FA$67, 12, FALSE)="",":",VLOOKUP($E$91,[1]UN!$A$2:$FA$67, 12, FALSE))</f>
        <v>6156.4</v>
      </c>
      <c r="N91" s="544">
        <f>IF(VLOOKUP($E$91,[1]UN!$A$2:$FA$67, 13, FALSE)="",":",VLOOKUP($E$91,[1]UN!$A$2:$FA$67, 13, FALSE))</f>
        <v>7009.42</v>
      </c>
      <c r="O91" s="544">
        <f>IF(VLOOKUP($E$91,[1]UN!$A$2:$FA$67, 14, FALSE)="",":",VLOOKUP($E$91,[1]UN!$A$2:$FA$67, 14, FALSE))</f>
        <v>7497.59</v>
      </c>
      <c r="P91" s="544">
        <f>IF(VLOOKUP($E$91,[1]UN!$A$2:$FA$67, 15, FALSE)="",":",VLOOKUP($E$91,[1]UN!$A$2:$FA$67, 15, FALSE))</f>
        <v>8575.86</v>
      </c>
      <c r="Q91" s="544">
        <f>IF(VLOOKUP($E$91,[1]UN!$A$2:$FA$67, 16, FALSE)="",":",VLOOKUP($E$91,[1]UN!$A$2:$FA$67, 16, FALSE))</f>
        <v>11156.01</v>
      </c>
      <c r="R91" s="544">
        <f>IF(VLOOKUP($E$91,[1]UN!$A$2:$FA$67, 17, FALSE)="",":",VLOOKUP($E$91,[1]UN!$A$2:$FA$67, 17, FALSE))</f>
        <v>13828.06</v>
      </c>
      <c r="S91" s="544">
        <f>IF(VLOOKUP($E$91,[1]UN!$A$2:$FA$67, 18, FALSE)="",":",VLOOKUP($E$91,[1]UN!$A$2:$FA$67, 18, FALSE))</f>
        <v>15942.17</v>
      </c>
      <c r="T91" s="544">
        <f>IF(VLOOKUP($E$91,[1]UN!$A$2:$FA$67, 19, FALSE)="",":",VLOOKUP($E$91,[1]UN!$A$2:$FA$67, 19, FALSE))</f>
        <v>19602.48</v>
      </c>
      <c r="U91" s="544">
        <f>IF(VLOOKUP($E$91,[1]UN!$A$2:$FA$67, 20, FALSE)="",":",VLOOKUP($E$91,[1]UN!$A$2:$FA$67, 20, FALSE))</f>
        <v>12223.05</v>
      </c>
      <c r="V91" s="544">
        <f>IF(VLOOKUP($E$91,[1]UN!$A$2:$FA$67, 21, FALSE)="",":",VLOOKUP($E$91,[1]UN!$A$2:$FA$67, 21, FALSE))</f>
        <v>16539.330000000002</v>
      </c>
      <c r="W91" s="544">
        <f>IF(VLOOKUP($E$91,[1]UN!$A$2:$FA$67, 22, FALSE)="",":",VLOOKUP($E$91,[1]UN!$A$2:$FA$67, 22, FALSE))</f>
        <v>21486.98</v>
      </c>
      <c r="X91" s="544">
        <f>IF(VLOOKUP($E$91,[1]UN!$A$2:$FA$67, 23, FALSE)="",":",VLOOKUP($E$91,[1]UN!$A$2:$FA$67, 23, FALSE))</f>
        <v>23529.599999999999</v>
      </c>
      <c r="Y91" s="544">
        <f>IF(VLOOKUP($E$91,[1]UN!$A$2:$FA$67, 24, FALSE)="",":",VLOOKUP($E$91,[1]UN!$A$2:$FA$67, 24, FALSE))</f>
        <v>24917.59</v>
      </c>
      <c r="Z91" s="544">
        <f>IF(VLOOKUP($E$91,[1]UN!$A$2:$FA$67, 25, FALSE)="",":",VLOOKUP($E$91,[1]UN!$A$2:$FA$67, 25, FALSE))</f>
        <v>24686.38</v>
      </c>
      <c r="AA91" s="544">
        <f>IF(VLOOKUP($E$91,[1]UN!$A$2:$FA$67, 26, FALSE)="",":",VLOOKUP($E$91,[1]UN!$A$2:$FA$67, 26, FALSE))</f>
        <v>24296.28</v>
      </c>
      <c r="AB91" s="544">
        <f>IF(VLOOKUP($E$91,[1]UN!$A$2:$FA$67, 27, FALSE)="",":",VLOOKUP($E$91,[1]UN!$A$2:$FA$67, 27, FALSE))</f>
        <v>23690.35</v>
      </c>
      <c r="AC91" s="544">
        <f>IF(VLOOKUP($E$91,[1]UN!$A$2:$FA$67, 28, FALSE)="",":",VLOOKUP($E$91,[1]UN!$A$2:$FA$67, 28, FALSE))</f>
        <v>27813.87</v>
      </c>
      <c r="AD91" s="544" t="str">
        <f>IF(VLOOKUP($E$91,[1]UN!$A$2:$FA$67, 29, FALSE)="",":",VLOOKUP($E$91,[1]UN!$A$2:$FA$67, 29, FALSE))</f>
        <v>:</v>
      </c>
      <c r="AE91" s="544" t="str">
        <f>IF(VLOOKUP($E$91,[1]UN!$A$2:$FA$67, 30, FALSE)="",":",VLOOKUP($E$91,[1]UN!$A$2:$FA$67, 30, FALSE))</f>
        <v>:</v>
      </c>
      <c r="AF91" s="544" t="str">
        <f>IF(VLOOKUP($E$91,[1]UN!$A$2:$FA$67, 31, FALSE)="",":",VLOOKUP($E$91,[1]UN!$A$2:$FA$67, 31, FALSE))</f>
        <v>:</v>
      </c>
    </row>
    <row r="92" spans="1:32">
      <c r="A92" s="533">
        <v>46</v>
      </c>
      <c r="B92" s="534" t="s">
        <v>1542</v>
      </c>
      <c r="C92" s="535" t="s">
        <v>496</v>
      </c>
      <c r="D92" s="12" t="s">
        <v>475</v>
      </c>
      <c r="E92" s="13">
        <v>522</v>
      </c>
      <c r="F92" s="14" t="str">
        <f>VLOOKUP($E$92,[1]UN!$A$2:$FA$67, 3, FALSE)</f>
        <v xml:space="preserve">522  Imports of services </v>
      </c>
      <c r="G92" s="544">
        <f>IF(VLOOKUP($E$92,[1]UN!$A$2:$FA$67, 6, FALSE)="",":",VLOOKUP($E$92,[1]UN!$A$2:$FA$67, 6, FALSE))</f>
        <v>615.6</v>
      </c>
      <c r="H92" s="544">
        <f>IF(VLOOKUP($E$92,[1]UN!$A$2:$FA$67, 7, FALSE)="",":",VLOOKUP($E$92,[1]UN!$A$2:$FA$67, 7, FALSE))</f>
        <v>816.2</v>
      </c>
      <c r="I92" s="544">
        <f>IF(VLOOKUP($E$92,[1]UN!$A$2:$FA$67, 8, FALSE)="",":",VLOOKUP($E$92,[1]UN!$A$2:$FA$67, 8, FALSE))</f>
        <v>1077.8900000000001</v>
      </c>
      <c r="J92" s="544">
        <f>IF(VLOOKUP($E$92,[1]UN!$A$2:$FA$67, 9, FALSE)="",":",VLOOKUP($E$92,[1]UN!$A$2:$FA$67, 9, FALSE))</f>
        <v>1039.06</v>
      </c>
      <c r="K92" s="544">
        <f>IF(VLOOKUP($E$92,[1]UN!$A$2:$FA$67, 10, FALSE)="",":",VLOOKUP($E$92,[1]UN!$A$2:$FA$67, 10, FALSE))</f>
        <v>943.8</v>
      </c>
      <c r="L92" s="544">
        <f>IF(VLOOKUP($E$92,[1]UN!$A$2:$FA$67, 11, FALSE)="",":",VLOOKUP($E$92,[1]UN!$A$2:$FA$67, 11, FALSE))</f>
        <v>816.51</v>
      </c>
      <c r="M92" s="544">
        <f>IF(VLOOKUP($E$92,[1]UN!$A$2:$FA$67, 12, FALSE)="",":",VLOOKUP($E$92,[1]UN!$A$2:$FA$67, 12, FALSE))</f>
        <v>870.96</v>
      </c>
      <c r="N92" s="544">
        <f>IF(VLOOKUP($E$92,[1]UN!$A$2:$FA$67, 13, FALSE)="",":",VLOOKUP($E$92,[1]UN!$A$2:$FA$67, 13, FALSE))</f>
        <v>1050.43</v>
      </c>
      <c r="O92" s="544">
        <f>IF(VLOOKUP($E$92,[1]UN!$A$2:$FA$67, 14, FALSE)="",":",VLOOKUP($E$92,[1]UN!$A$2:$FA$67, 14, FALSE))</f>
        <v>1162.73</v>
      </c>
      <c r="P92" s="544">
        <f>IF(VLOOKUP($E$92,[1]UN!$A$2:$FA$67, 15, FALSE)="",":",VLOOKUP($E$92,[1]UN!$A$2:$FA$67, 15, FALSE))</f>
        <v>1342.53</v>
      </c>
      <c r="Q92" s="544">
        <f>IF(VLOOKUP($E$92,[1]UN!$A$2:$FA$67, 16, FALSE)="",":",VLOOKUP($E$92,[1]UN!$A$2:$FA$67, 16, FALSE))</f>
        <v>1671.11</v>
      </c>
      <c r="R92" s="544">
        <f>IF(VLOOKUP($E$92,[1]UN!$A$2:$FA$67, 17, FALSE)="",":",VLOOKUP($E$92,[1]UN!$A$2:$FA$67, 17, FALSE))</f>
        <v>2036.25</v>
      </c>
      <c r="S92" s="544">
        <f>IF(VLOOKUP($E$92,[1]UN!$A$2:$FA$67, 18, FALSE)="",":",VLOOKUP($E$92,[1]UN!$A$2:$FA$67, 18, FALSE))</f>
        <v>2493.75</v>
      </c>
      <c r="T92" s="544">
        <f>IF(VLOOKUP($E$92,[1]UN!$A$2:$FA$67, 19, FALSE)="",":",VLOOKUP($E$92,[1]UN!$A$2:$FA$67, 19, FALSE))</f>
        <v>2863.26</v>
      </c>
      <c r="U92" s="544">
        <f>IF(VLOOKUP($E$92,[1]UN!$A$2:$FA$67, 20, FALSE)="",":",VLOOKUP($E$92,[1]UN!$A$2:$FA$67, 20, FALSE))</f>
        <v>2219.2399999999998</v>
      </c>
      <c r="V92" s="544">
        <f>IF(VLOOKUP($E$92,[1]UN!$A$2:$FA$67, 21, FALSE)="",":",VLOOKUP($E$92,[1]UN!$A$2:$FA$67, 21, FALSE))</f>
        <v>2300.7600000000002</v>
      </c>
      <c r="W92" s="544">
        <f>IF(VLOOKUP($E$92,[1]UN!$A$2:$FA$67, 22, FALSE)="",":",VLOOKUP($E$92,[1]UN!$A$2:$FA$67, 22, FALSE))</f>
        <v>2765.73</v>
      </c>
      <c r="X92" s="544">
        <f>IF(VLOOKUP($E$92,[1]UN!$A$2:$FA$67, 23, FALSE)="",":",VLOOKUP($E$92,[1]UN!$A$2:$FA$67, 23, FALSE))</f>
        <v>3403.6</v>
      </c>
      <c r="Y92" s="544">
        <f>IF(VLOOKUP($E$92,[1]UN!$A$2:$FA$67, 24, FALSE)="",":",VLOOKUP($E$92,[1]UN!$A$2:$FA$67, 24, FALSE))</f>
        <v>4033.03</v>
      </c>
      <c r="Z92" s="544">
        <f>IF(VLOOKUP($E$92,[1]UN!$A$2:$FA$67, 25, FALSE)="",":",VLOOKUP($E$92,[1]UN!$A$2:$FA$67, 25, FALSE))</f>
        <v>4212.12</v>
      </c>
      <c r="AA92" s="544">
        <f>IF(VLOOKUP($E$92,[1]UN!$A$2:$FA$67, 26, FALSE)="",":",VLOOKUP($E$92,[1]UN!$A$2:$FA$67, 26, FALSE))</f>
        <v>4266.37</v>
      </c>
      <c r="AB92" s="544">
        <f>IF(VLOOKUP($E$92,[1]UN!$A$2:$FA$67, 27, FALSE)="",":",VLOOKUP($E$92,[1]UN!$A$2:$FA$67, 27, FALSE))</f>
        <v>4598.88</v>
      </c>
      <c r="AC92" s="544">
        <f>IF(VLOOKUP($E$92,[1]UN!$A$2:$FA$67, 28, FALSE)="",":",VLOOKUP($E$92,[1]UN!$A$2:$FA$67, 28, FALSE))</f>
        <v>5376.09</v>
      </c>
      <c r="AD92" s="544" t="str">
        <f>IF(VLOOKUP($E$92,[1]UN!$A$2:$FA$67, 29, FALSE)="",":",VLOOKUP($E$92,[1]UN!$A$2:$FA$67, 29, FALSE))</f>
        <v>:</v>
      </c>
      <c r="AE92" s="544" t="str">
        <f>IF(VLOOKUP($E$92,[1]UN!$A$2:$FA$67, 30, FALSE)="",":",VLOOKUP($E$92,[1]UN!$A$2:$FA$67, 30, FALSE))</f>
        <v>:</v>
      </c>
      <c r="AF92" s="544" t="str">
        <f>IF(VLOOKUP($E$92,[1]UN!$A$2:$FA$67, 31, FALSE)="",":",VLOOKUP($E$92,[1]UN!$A$2:$FA$67, 31, FALSE))</f>
        <v>:</v>
      </c>
    </row>
    <row r="93" spans="1:32">
      <c r="A93" s="533"/>
      <c r="B93" s="534" t="s">
        <v>473</v>
      </c>
      <c r="C93" s="535" t="s">
        <v>497</v>
      </c>
      <c r="D93" s="12" t="s">
        <v>475</v>
      </c>
      <c r="E93" s="13">
        <v>520</v>
      </c>
      <c r="F93" s="14" t="str">
        <f>VLOOKUP($E$93,[1]UN!$A$2:$FA$67, 3, FALSE)</f>
        <v xml:space="preserve">520  Imports of goods and services                                                </v>
      </c>
      <c r="G93" s="544">
        <f>IF(VLOOKUP($E$93,[1]UN!$A$2:$FA$67, 6, FALSE)="",":",VLOOKUP($E$93,[1]UN!$A$2:$FA$67, 6, FALSE))</f>
        <v>3709.29</v>
      </c>
      <c r="H93" s="544">
        <f>IF(VLOOKUP($E$93,[1]UN!$A$2:$FA$67, 7, FALSE)="",":",VLOOKUP($E$93,[1]UN!$A$2:$FA$67, 7, FALSE))</f>
        <v>4976.9399999999996</v>
      </c>
      <c r="I93" s="544">
        <f>IF(VLOOKUP($E$93,[1]UN!$A$2:$FA$67, 8, FALSE)="",":",VLOOKUP($E$93,[1]UN!$A$2:$FA$67, 8, FALSE))</f>
        <v>6453.38</v>
      </c>
      <c r="J93" s="544">
        <f>IF(VLOOKUP($E$93,[1]UN!$A$2:$FA$67, 9, FALSE)="",":",VLOOKUP($E$93,[1]UN!$A$2:$FA$67, 9, FALSE))</f>
        <v>6579.61</v>
      </c>
      <c r="K93" s="544">
        <f>IF(VLOOKUP($E$93,[1]UN!$A$2:$FA$67, 10, FALSE)="",":",VLOOKUP($E$93,[1]UN!$A$2:$FA$67, 10, FALSE))</f>
        <v>5389.71</v>
      </c>
      <c r="L93" s="544">
        <f>IF(VLOOKUP($E$93,[1]UN!$A$2:$FA$67, 11, FALSE)="",":",VLOOKUP($E$93,[1]UN!$A$2:$FA$67, 11, FALSE))</f>
        <v>5979.4</v>
      </c>
      <c r="M93" s="544">
        <f>IF(VLOOKUP($E$93,[1]UN!$A$2:$FA$67, 12, FALSE)="",":",VLOOKUP($E$93,[1]UN!$A$2:$FA$67, 12, FALSE))</f>
        <v>7027.36</v>
      </c>
      <c r="N93" s="544">
        <f>IF(VLOOKUP($E$93,[1]UN!$A$2:$FA$67, 13, FALSE)="",":",VLOOKUP($E$93,[1]UN!$A$2:$FA$67, 13, FALSE))</f>
        <v>8059.85</v>
      </c>
      <c r="O93" s="544">
        <f>IF(VLOOKUP($E$93,[1]UN!$A$2:$FA$67, 14, FALSE)="",":",VLOOKUP($E$93,[1]UN!$A$2:$FA$67, 14, FALSE))</f>
        <v>8660.32</v>
      </c>
      <c r="P93" s="544">
        <f>IF(VLOOKUP($E$93,[1]UN!$A$2:$FA$67, 15, FALSE)="",":",VLOOKUP($E$93,[1]UN!$A$2:$FA$67, 15, FALSE))</f>
        <v>9918.39</v>
      </c>
      <c r="Q93" s="544">
        <f>IF(VLOOKUP($E$93,[1]UN!$A$2:$FA$67, 16, FALSE)="",":",VLOOKUP($E$93,[1]UN!$A$2:$FA$67, 16, FALSE))</f>
        <v>12827.12</v>
      </c>
      <c r="R93" s="544">
        <f>IF(VLOOKUP($E$93,[1]UN!$A$2:$FA$67, 17, FALSE)="",":",VLOOKUP($E$93,[1]UN!$A$2:$FA$67, 17, FALSE))</f>
        <v>15864.31</v>
      </c>
      <c r="S93" s="544">
        <f>IF(VLOOKUP($E$93,[1]UN!$A$2:$FA$67, 18, FALSE)="",":",VLOOKUP($E$93,[1]UN!$A$2:$FA$67, 18, FALSE))</f>
        <v>18435.919999999998</v>
      </c>
      <c r="T93" s="544">
        <f>IF(VLOOKUP($E$93,[1]UN!$A$2:$FA$67, 19, FALSE)="",":",VLOOKUP($E$93,[1]UN!$A$2:$FA$67, 19, FALSE))</f>
        <v>22465.75</v>
      </c>
      <c r="U93" s="544">
        <f>IF(VLOOKUP($E$93,[1]UN!$A$2:$FA$67, 20, FALSE)="",":",VLOOKUP($E$93,[1]UN!$A$2:$FA$67, 20, FALSE))</f>
        <v>14442.28</v>
      </c>
      <c r="V93" s="544">
        <f>IF(VLOOKUP($E$93,[1]UN!$A$2:$FA$67, 21, FALSE)="",":",VLOOKUP($E$93,[1]UN!$A$2:$FA$67, 21, FALSE))</f>
        <v>18840.09</v>
      </c>
      <c r="W93" s="544">
        <f>IF(VLOOKUP($E$93,[1]UN!$A$2:$FA$67, 22, FALSE)="",":",VLOOKUP($E$93,[1]UN!$A$2:$FA$67, 22, FALSE))</f>
        <v>24252.71</v>
      </c>
      <c r="X93" s="544">
        <f>IF(VLOOKUP($E$93,[1]UN!$A$2:$FA$67, 23, FALSE)="",":",VLOOKUP($E$93,[1]UN!$A$2:$FA$67, 23, FALSE))</f>
        <v>26933.21</v>
      </c>
      <c r="Y93" s="544">
        <f>IF(VLOOKUP($E$93,[1]UN!$A$2:$FA$67, 24, FALSE)="",":",VLOOKUP($E$93,[1]UN!$A$2:$FA$67, 24, FALSE))</f>
        <v>28950.62</v>
      </c>
      <c r="Z93" s="544">
        <f>IF(VLOOKUP($E$93,[1]UN!$A$2:$FA$67, 25, FALSE)="",":",VLOOKUP($E$93,[1]UN!$A$2:$FA$67, 25, FALSE))</f>
        <v>28898.5</v>
      </c>
      <c r="AA93" s="544">
        <f>IF(VLOOKUP($E$93,[1]UN!$A$2:$FA$67, 26, FALSE)="",":",VLOOKUP($E$93,[1]UN!$A$2:$FA$67, 26, FALSE))</f>
        <v>28562.65</v>
      </c>
      <c r="AB93" s="544">
        <f>IF(VLOOKUP($E$93,[1]UN!$A$2:$FA$67, 27, FALSE)="",":",VLOOKUP($E$93,[1]UN!$A$2:$FA$67, 27, FALSE))</f>
        <v>28289.23</v>
      </c>
      <c r="AC93" s="544">
        <f>IF(VLOOKUP($E$93,[1]UN!$A$2:$FA$67, 28, FALSE)="",":",VLOOKUP($E$93,[1]UN!$A$2:$FA$67, 28, FALSE))</f>
        <v>33189.96</v>
      </c>
      <c r="AD93" s="544" t="str">
        <f>IF(VLOOKUP($E$93,[1]UN!$A$2:$FA$67, 29, FALSE)="",":",VLOOKUP($E$93,[1]UN!$A$2:$FA$67, 29, FALSE))</f>
        <v>:</v>
      </c>
      <c r="AE93" s="544" t="str">
        <f>IF(VLOOKUP($E$93,[1]UN!$A$2:$FA$67, 30, FALSE)="",":",VLOOKUP($E$93,[1]UN!$A$2:$FA$67, 30, FALSE))</f>
        <v>:</v>
      </c>
      <c r="AF93" s="544" t="str">
        <f>IF(VLOOKUP($E$93,[1]UN!$A$2:$FA$67, 31, FALSE)="",":",VLOOKUP($E$93,[1]UN!$A$2:$FA$67, 31, FALSE))</f>
        <v>:</v>
      </c>
    </row>
    <row r="94" spans="1:32">
      <c r="A94" s="1954"/>
      <c r="B94" s="534"/>
      <c r="C94" s="535"/>
      <c r="D94" s="12" t="s">
        <v>475</v>
      </c>
      <c r="E94" s="13">
        <v>530</v>
      </c>
      <c r="F94" s="14" t="str">
        <f>VLOOKUP($E$94,[1]UN!$A$2:$FA$67, 3, FALSE)</f>
        <v xml:space="preserve">530  Balance of primary income with the r.o.w.                                    </v>
      </c>
      <c r="G94" s="544">
        <f>IF(VLOOKUP($E$94,[1]UN!$A$2:$FA$67, 6, FALSE)="",":",VLOOKUP($E$94,[1]UN!$A$2:$FA$67, 6, FALSE))</f>
        <v>-13.2</v>
      </c>
      <c r="H94" s="544">
        <f>IF(VLOOKUP($E$94,[1]UN!$A$2:$FA$67, 7, FALSE)="",":",VLOOKUP($E$94,[1]UN!$A$2:$FA$67, 7, FALSE))</f>
        <v>-100.87</v>
      </c>
      <c r="I94" s="544">
        <f>IF(VLOOKUP($E$94,[1]UN!$A$2:$FA$67, 8, FALSE)="",":",VLOOKUP($E$94,[1]UN!$A$2:$FA$67, 8, FALSE))</f>
        <v>-222.04</v>
      </c>
      <c r="J94" s="544">
        <f>IF(VLOOKUP($E$94,[1]UN!$A$2:$FA$67, 9, FALSE)="",":",VLOOKUP($E$94,[1]UN!$A$2:$FA$67, 9, FALSE))</f>
        <v>-291.29000000000002</v>
      </c>
      <c r="K94" s="544">
        <f>IF(VLOOKUP($E$94,[1]UN!$A$2:$FA$67, 10, FALSE)="",":",VLOOKUP($E$94,[1]UN!$A$2:$FA$67, 10, FALSE))</f>
        <v>-302.79000000000002</v>
      </c>
      <c r="L94" s="544">
        <f>IF(VLOOKUP($E$94,[1]UN!$A$2:$FA$67, 11, FALSE)="",":",VLOOKUP($E$94,[1]UN!$A$2:$FA$67, 11, FALSE))</f>
        <v>-239.89</v>
      </c>
      <c r="M94" s="544">
        <f>IF(VLOOKUP($E$94,[1]UN!$A$2:$FA$67, 12, FALSE)="",":",VLOOKUP($E$94,[1]UN!$A$2:$FA$67, 12, FALSE))</f>
        <v>-191.55</v>
      </c>
      <c r="N94" s="544">
        <f>IF(VLOOKUP($E$94,[1]UN!$A$2:$FA$67, 13, FALSE)="",":",VLOOKUP($E$94,[1]UN!$A$2:$FA$67, 13, FALSE))</f>
        <v>-160.68</v>
      </c>
      <c r="O94" s="544">
        <f>IF(VLOOKUP($E$94,[1]UN!$A$2:$FA$67, 14, FALSE)="",":",VLOOKUP($E$94,[1]UN!$A$2:$FA$67, 14, FALSE))</f>
        <v>-412.88</v>
      </c>
      <c r="P94" s="544">
        <f>IF(VLOOKUP($E$94,[1]UN!$A$2:$FA$67, 15, FALSE)="",":",VLOOKUP($E$94,[1]UN!$A$2:$FA$67, 15, FALSE))</f>
        <v>-355.07</v>
      </c>
      <c r="Q94" s="544">
        <f>IF(VLOOKUP($E$94,[1]UN!$A$2:$FA$67, 16, FALSE)="",":",VLOOKUP($E$94,[1]UN!$A$2:$FA$67, 16, FALSE))</f>
        <v>-280.81</v>
      </c>
      <c r="R94" s="544">
        <f>IF(VLOOKUP($E$94,[1]UN!$A$2:$FA$67, 17, FALSE)="",":",VLOOKUP($E$94,[1]UN!$A$2:$FA$67, 17, FALSE))</f>
        <v>-459.49</v>
      </c>
      <c r="S94" s="544">
        <f>IF(VLOOKUP($E$94,[1]UN!$A$2:$FA$67, 18, FALSE)="",":",VLOOKUP($E$94,[1]UN!$A$2:$FA$67, 18, FALSE))</f>
        <v>-1093.4000000000001</v>
      </c>
      <c r="T94" s="544">
        <f>IF(VLOOKUP($E$94,[1]UN!$A$2:$FA$67, 19, FALSE)="",":",VLOOKUP($E$94,[1]UN!$A$2:$FA$67, 19, FALSE))</f>
        <v>-1114.77</v>
      </c>
      <c r="U94" s="544">
        <f>IF(VLOOKUP($E$94,[1]UN!$A$2:$FA$67, 20, FALSE)="",":",VLOOKUP($E$94,[1]UN!$A$2:$FA$67, 20, FALSE))</f>
        <v>502.8</v>
      </c>
      <c r="V94" s="544">
        <f>IF(VLOOKUP($E$94,[1]UN!$A$2:$FA$67, 21, FALSE)="",":",VLOOKUP($E$94,[1]UN!$A$2:$FA$67, 21, FALSE))</f>
        <v>-522.07000000000005</v>
      </c>
      <c r="W94" s="544">
        <f>IF(VLOOKUP($E$94,[1]UN!$A$2:$FA$67, 22, FALSE)="",":",VLOOKUP($E$94,[1]UN!$A$2:$FA$67, 22, FALSE))</f>
        <v>-1148.03</v>
      </c>
      <c r="X94" s="544">
        <f>IF(VLOOKUP($E$94,[1]UN!$A$2:$FA$67, 23, FALSE)="",":",VLOOKUP($E$94,[1]UN!$A$2:$FA$67, 23, FALSE))</f>
        <v>-1006.17</v>
      </c>
      <c r="Y94" s="544">
        <f>IF(VLOOKUP($E$94,[1]UN!$A$2:$FA$67, 24, FALSE)="",":",VLOOKUP($E$94,[1]UN!$A$2:$FA$67, 24, FALSE))</f>
        <v>-909.69</v>
      </c>
      <c r="Z94" s="544">
        <f>IF(VLOOKUP($E$94,[1]UN!$A$2:$FA$67, 25, FALSE)="",":",VLOOKUP($E$94,[1]UN!$A$2:$FA$67, 25, FALSE))</f>
        <v>-474.8</v>
      </c>
      <c r="AA94" s="544">
        <f>IF(VLOOKUP($E$94,[1]UN!$A$2:$FA$67, 26, FALSE)="",":",VLOOKUP($E$94,[1]UN!$A$2:$FA$67, 26, FALSE))</f>
        <v>-1523.96</v>
      </c>
      <c r="AB94" s="544">
        <f>IF(VLOOKUP($E$94,[1]UN!$A$2:$FA$67, 27, FALSE)="",":",VLOOKUP($E$94,[1]UN!$A$2:$FA$67, 27, FALSE))</f>
        <v>-1525.03</v>
      </c>
      <c r="AC94" s="544" t="str">
        <f>IF(VLOOKUP($E$94,[1]UN!$A$2:$FA$67, 28, FALSE)="",":",VLOOKUP($E$94,[1]UN!$A$2:$FA$67, 28, FALSE))</f>
        <v>:</v>
      </c>
      <c r="AD94" s="544" t="str">
        <f>IF(VLOOKUP($E$94,[1]UN!$A$2:$FA$67, 29, FALSE)="",":",VLOOKUP($E$94,[1]UN!$A$2:$FA$67, 29, FALSE))</f>
        <v>:</v>
      </c>
      <c r="AE94" s="544" t="str">
        <f>IF(VLOOKUP($E$94,[1]UN!$A$2:$FA$67, 30, FALSE)="",":",VLOOKUP($E$94,[1]UN!$A$2:$FA$67, 30, FALSE))</f>
        <v>:</v>
      </c>
      <c r="AF94" s="544" t="str">
        <f>IF(VLOOKUP($E$94,[1]UN!$A$2:$FA$67, 31, FALSE)="",":",VLOOKUP($E$94,[1]UN!$A$2:$FA$67, 31, FALSE))</f>
        <v>:</v>
      </c>
    </row>
    <row r="95" spans="1:32">
      <c r="A95" s="1954"/>
      <c r="B95" s="534"/>
      <c r="C95" s="535"/>
      <c r="D95" s="12" t="s">
        <v>475</v>
      </c>
      <c r="E95" s="13">
        <v>540</v>
      </c>
      <c r="F95" s="14" t="str">
        <f>VLOOKUP($E$95,[1]UN!$A$2:$FA$67, 3, FALSE)</f>
        <v xml:space="preserve">540  Net current transfers with the r.o.w.                                        </v>
      </c>
      <c r="G95" s="544">
        <f>IF(VLOOKUP($E$95,[1]UN!$A$2:$FA$67, 6, FALSE)="",":",VLOOKUP($E$95,[1]UN!$A$2:$FA$67, 6, FALSE))</f>
        <v>126.68</v>
      </c>
      <c r="H95" s="544">
        <f>IF(VLOOKUP($E$95,[1]UN!$A$2:$FA$67, 7, FALSE)="",":",VLOOKUP($E$95,[1]UN!$A$2:$FA$67, 7, FALSE))</f>
        <v>166.56</v>
      </c>
      <c r="I95" s="544">
        <f>IF(VLOOKUP($E$95,[1]UN!$A$2:$FA$67, 8, FALSE)="",":",VLOOKUP($E$95,[1]UN!$A$2:$FA$67, 8, FALSE))</f>
        <v>266.49</v>
      </c>
      <c r="J95" s="544">
        <f>IF(VLOOKUP($E$95,[1]UN!$A$2:$FA$67, 9, FALSE)="",":",VLOOKUP($E$95,[1]UN!$A$2:$FA$67, 9, FALSE))</f>
        <v>272.24</v>
      </c>
      <c r="K95" s="544">
        <f>IF(VLOOKUP($E$95,[1]UN!$A$2:$FA$67, 10, FALSE)="",":",VLOOKUP($E$95,[1]UN!$A$2:$FA$67, 10, FALSE))</f>
        <v>213.76</v>
      </c>
      <c r="L95" s="544">
        <f>IF(VLOOKUP($E$95,[1]UN!$A$2:$FA$67, 11, FALSE)="",":",VLOOKUP($E$95,[1]UN!$A$2:$FA$67, 11, FALSE))</f>
        <v>284.48</v>
      </c>
      <c r="M95" s="544">
        <f>IF(VLOOKUP($E$95,[1]UN!$A$2:$FA$67, 12, FALSE)="",":",VLOOKUP($E$95,[1]UN!$A$2:$FA$67, 12, FALSE))</f>
        <v>293.89</v>
      </c>
      <c r="N95" s="544">
        <f>IF(VLOOKUP($E$95,[1]UN!$A$2:$FA$67, 13, FALSE)="",":",VLOOKUP($E$95,[1]UN!$A$2:$FA$67, 13, FALSE))</f>
        <v>232.89</v>
      </c>
      <c r="O95" s="544">
        <f>IF(VLOOKUP($E$95,[1]UN!$A$2:$FA$67, 14, FALSE)="",":",VLOOKUP($E$95,[1]UN!$A$2:$FA$67, 14, FALSE))</f>
        <v>247.54</v>
      </c>
      <c r="P95" s="544">
        <f>IF(VLOOKUP($E$95,[1]UN!$A$2:$FA$67, 15, FALSE)="",":",VLOOKUP($E$95,[1]UN!$A$2:$FA$67, 15, FALSE))</f>
        <v>289.42</v>
      </c>
      <c r="Q95" s="544">
        <f>IF(VLOOKUP($E$95,[1]UN!$A$2:$FA$67, 16, FALSE)="",":",VLOOKUP($E$95,[1]UN!$A$2:$FA$67, 16, FALSE))</f>
        <v>320.7</v>
      </c>
      <c r="R95" s="544">
        <f>IF(VLOOKUP($E$95,[1]UN!$A$2:$FA$67, 17, FALSE)="",":",VLOOKUP($E$95,[1]UN!$A$2:$FA$67, 17, FALSE))</f>
        <v>474.2</v>
      </c>
      <c r="S95" s="544">
        <f>IF(VLOOKUP($E$95,[1]UN!$A$2:$FA$67, 18, FALSE)="",":",VLOOKUP($E$95,[1]UN!$A$2:$FA$67, 18, FALSE))</f>
        <v>571.91999999999996</v>
      </c>
      <c r="T95" s="544">
        <f>IF(VLOOKUP($E$95,[1]UN!$A$2:$FA$67, 19, FALSE)="",":",VLOOKUP($E$95,[1]UN!$A$2:$FA$67, 19, FALSE))</f>
        <v>595.99</v>
      </c>
      <c r="U95" s="544">
        <f>IF(VLOOKUP($E$95,[1]UN!$A$2:$FA$67, 20, FALSE)="",":",VLOOKUP($E$95,[1]UN!$A$2:$FA$67, 20, FALSE))</f>
        <v>524.57000000000005</v>
      </c>
      <c r="V95" s="544">
        <f>IF(VLOOKUP($E$95,[1]UN!$A$2:$FA$67, 21, FALSE)="",":",VLOOKUP($E$95,[1]UN!$A$2:$FA$67, 21, FALSE))</f>
        <v>959.71</v>
      </c>
      <c r="W95" s="544">
        <f>IF(VLOOKUP($E$95,[1]UN!$A$2:$FA$67, 22, FALSE)="",":",VLOOKUP($E$95,[1]UN!$A$2:$FA$67, 22, FALSE))</f>
        <v>748.13</v>
      </c>
      <c r="X95" s="544">
        <f>IF(VLOOKUP($E$95,[1]UN!$A$2:$FA$67, 23, FALSE)="",":",VLOOKUP($E$95,[1]UN!$A$2:$FA$67, 23, FALSE))</f>
        <v>403.51</v>
      </c>
      <c r="Y95" s="544">
        <f>IF(VLOOKUP($E$95,[1]UN!$A$2:$FA$67, 24, FALSE)="",":",VLOOKUP($E$95,[1]UN!$A$2:$FA$67, 24, FALSE))</f>
        <v>970.36</v>
      </c>
      <c r="Z95" s="544">
        <f>IF(VLOOKUP($E$95,[1]UN!$A$2:$FA$67, 25, FALSE)="",":",VLOOKUP($E$95,[1]UN!$A$2:$FA$67, 25, FALSE))</f>
        <v>1170.18</v>
      </c>
      <c r="AA95" s="544">
        <f>IF(VLOOKUP($E$95,[1]UN!$A$2:$FA$67, 26, FALSE)="",":",VLOOKUP($E$95,[1]UN!$A$2:$FA$67, 26, FALSE))</f>
        <v>946.04</v>
      </c>
      <c r="AB95" s="544">
        <f>IF(VLOOKUP($E$95,[1]UN!$A$2:$FA$67, 27, FALSE)="",":",VLOOKUP($E$95,[1]UN!$A$2:$FA$67, 27, FALSE))</f>
        <v>789.38</v>
      </c>
      <c r="AC95" s="544" t="str">
        <f>IF(VLOOKUP($E$95,[1]UN!$A$2:$FA$67, 28, FALSE)="",":",VLOOKUP($E$95,[1]UN!$A$2:$FA$67, 28, FALSE))</f>
        <v>:</v>
      </c>
      <c r="AD95" s="544" t="str">
        <f>IF(VLOOKUP($E$95,[1]UN!$A$2:$FA$67, 29, FALSE)="",":",VLOOKUP($E$95,[1]UN!$A$2:$FA$67, 29, FALSE))</f>
        <v>:</v>
      </c>
      <c r="AE95" s="544" t="str">
        <f>IF(VLOOKUP($E$95,[1]UN!$A$2:$FA$67, 30, FALSE)="",":",VLOOKUP($E$95,[1]UN!$A$2:$FA$67, 30, FALSE))</f>
        <v>:</v>
      </c>
      <c r="AF95" s="544" t="str">
        <f>IF(VLOOKUP($E$95,[1]UN!$A$2:$FA$67, 31, FALSE)="",":",VLOOKUP($E$95,[1]UN!$A$2:$FA$67, 31, FALSE))</f>
        <v>:</v>
      </c>
    </row>
    <row r="96" spans="1:32">
      <c r="A96" s="1954"/>
      <c r="B96" s="534"/>
      <c r="C96" s="535"/>
      <c r="D96" s="12" t="s">
        <v>475</v>
      </c>
      <c r="E96" s="13">
        <v>550</v>
      </c>
      <c r="F96" s="14" t="str">
        <f>VLOOKUP($E$96,[1]UN!$A$2:$FA$67, 3, FALSE)</f>
        <v xml:space="preserve">550  Net capital transfers with the r.o.w.                                        </v>
      </c>
      <c r="G96" s="544">
        <f>IF(VLOOKUP($E$96,[1]UN!$A$2:$FA$67, 6, FALSE)="",":",VLOOKUP($E$96,[1]UN!$A$2:$FA$67, 6, FALSE))</f>
        <v>-45.17</v>
      </c>
      <c r="H96" s="544">
        <f>IF(VLOOKUP($E$96,[1]UN!$A$2:$FA$67, 7, FALSE)="",":",VLOOKUP($E$96,[1]UN!$A$2:$FA$67, 7, FALSE))</f>
        <v>6.37</v>
      </c>
      <c r="I96" s="544">
        <f>IF(VLOOKUP($E$96,[1]UN!$A$2:$FA$67, 8, FALSE)="",":",VLOOKUP($E$96,[1]UN!$A$2:$FA$67, 8, FALSE))</f>
        <v>4.7699999999999996</v>
      </c>
      <c r="J96" s="544">
        <f>IF(VLOOKUP($E$96,[1]UN!$A$2:$FA$67, 9, FALSE)="",":",VLOOKUP($E$96,[1]UN!$A$2:$FA$67, 9, FALSE))</f>
        <v>-1.98</v>
      </c>
      <c r="K96" s="544">
        <f>IF(VLOOKUP($E$96,[1]UN!$A$2:$FA$67, 10, FALSE)="",":",VLOOKUP($E$96,[1]UN!$A$2:$FA$67, 10, FALSE))</f>
        <v>-3.81</v>
      </c>
      <c r="L96" s="544">
        <f>IF(VLOOKUP($E$96,[1]UN!$A$2:$FA$67, 11, FALSE)="",":",VLOOKUP($E$96,[1]UN!$A$2:$FA$67, 11, FALSE))</f>
        <v>2.4900000000000002</v>
      </c>
      <c r="M96" s="544">
        <f>IF(VLOOKUP($E$96,[1]UN!$A$2:$FA$67, 12, FALSE)="",":",VLOOKUP($E$96,[1]UN!$A$2:$FA$67, 12, FALSE))</f>
        <v>1.61</v>
      </c>
      <c r="N96" s="544">
        <f>IF(VLOOKUP($E$96,[1]UN!$A$2:$FA$67, 13, FALSE)="",":",VLOOKUP($E$96,[1]UN!$A$2:$FA$67, 13, FALSE))</f>
        <v>59.02</v>
      </c>
      <c r="O96" s="544">
        <f>IF(VLOOKUP($E$96,[1]UN!$A$2:$FA$67, 14, FALSE)="",":",VLOOKUP($E$96,[1]UN!$A$2:$FA$67, 14, FALSE))</f>
        <v>59.36</v>
      </c>
      <c r="P96" s="544">
        <f>IF(VLOOKUP($E$96,[1]UN!$A$2:$FA$67, 15, FALSE)="",":",VLOOKUP($E$96,[1]UN!$A$2:$FA$67, 15, FALSE))</f>
        <v>129.66999999999999</v>
      </c>
      <c r="Q96" s="544">
        <f>IF(VLOOKUP($E$96,[1]UN!$A$2:$FA$67, 16, FALSE)="",":",VLOOKUP($E$96,[1]UN!$A$2:$FA$67, 16, FALSE))</f>
        <v>203.97</v>
      </c>
      <c r="R96" s="544">
        <f>IF(VLOOKUP($E$96,[1]UN!$A$2:$FA$67, 17, FALSE)="",":",VLOOKUP($E$96,[1]UN!$A$2:$FA$67, 17, FALSE))</f>
        <v>358.57</v>
      </c>
      <c r="S96" s="544">
        <f>IF(VLOOKUP($E$96,[1]UN!$A$2:$FA$67, 18, FALSE)="",":",VLOOKUP($E$96,[1]UN!$A$2:$FA$67, 18, FALSE))</f>
        <v>611.41999999999996</v>
      </c>
      <c r="T96" s="544">
        <f>IF(VLOOKUP($E$96,[1]UN!$A$2:$FA$67, 19, FALSE)="",":",VLOOKUP($E$96,[1]UN!$A$2:$FA$67, 19, FALSE))</f>
        <v>619.07000000000005</v>
      </c>
      <c r="U96" s="544">
        <f>IF(VLOOKUP($E$96,[1]UN!$A$2:$FA$67, 20, FALSE)="",":",VLOOKUP($E$96,[1]UN!$A$2:$FA$67, 20, FALSE))</f>
        <v>1158.22</v>
      </c>
      <c r="V96" s="544">
        <f>IF(VLOOKUP($E$96,[1]UN!$A$2:$FA$67, 21, FALSE)="",":",VLOOKUP($E$96,[1]UN!$A$2:$FA$67, 21, FALSE))</f>
        <v>1057.8</v>
      </c>
      <c r="W96" s="544">
        <f>IF(VLOOKUP($E$96,[1]UN!$A$2:$FA$67, 22, FALSE)="",":",VLOOKUP($E$96,[1]UN!$A$2:$FA$67, 22, FALSE))</f>
        <v>1003.81</v>
      </c>
      <c r="X96" s="544">
        <f>IF(VLOOKUP($E$96,[1]UN!$A$2:$FA$67, 23, FALSE)="",":",VLOOKUP($E$96,[1]UN!$A$2:$FA$67, 23, FALSE))</f>
        <v>964.09</v>
      </c>
      <c r="Y96" s="544">
        <f>IF(VLOOKUP($E$96,[1]UN!$A$2:$FA$67, 24, FALSE)="",":",VLOOKUP($E$96,[1]UN!$A$2:$FA$67, 24, FALSE))</f>
        <v>1088.8699999999999</v>
      </c>
      <c r="Z96" s="544">
        <f>IF(VLOOKUP($E$96,[1]UN!$A$2:$FA$67, 25, FALSE)="",":",VLOOKUP($E$96,[1]UN!$A$2:$FA$67, 25, FALSE))</f>
        <v>975.72</v>
      </c>
      <c r="AA96" s="544">
        <f>IF(VLOOKUP($E$96,[1]UN!$A$2:$FA$67, 26, FALSE)="",":",VLOOKUP($E$96,[1]UN!$A$2:$FA$67, 26, FALSE))</f>
        <v>1117.27</v>
      </c>
      <c r="AB96" s="544">
        <f>IF(VLOOKUP($E$96,[1]UN!$A$2:$FA$67, 27, FALSE)="",":",VLOOKUP($E$96,[1]UN!$A$2:$FA$67, 27, FALSE))</f>
        <v>568.72</v>
      </c>
      <c r="AC96" s="544" t="str">
        <f>IF(VLOOKUP($E$96,[1]UN!$A$2:$FA$67, 28, FALSE)="",":",VLOOKUP($E$96,[1]UN!$A$2:$FA$67, 28, FALSE))</f>
        <v>:</v>
      </c>
      <c r="AD96" s="544" t="str">
        <f>IF(VLOOKUP($E$96,[1]UN!$A$2:$FA$67, 29, FALSE)="",":",VLOOKUP($E$96,[1]UN!$A$2:$FA$67, 29, FALSE))</f>
        <v>:</v>
      </c>
      <c r="AE96" s="544" t="str">
        <f>IF(VLOOKUP($E$96,[1]UN!$A$2:$FA$67, 30, FALSE)="",":",VLOOKUP($E$96,[1]UN!$A$2:$FA$67, 30, FALSE))</f>
        <v>:</v>
      </c>
      <c r="AF96" s="544" t="str">
        <f>IF(VLOOKUP($E$96,[1]UN!$A$2:$FA$67, 31, FALSE)="",":",VLOOKUP($E$96,[1]UN!$A$2:$FA$67, 31, FALSE))</f>
        <v>:</v>
      </c>
    </row>
    <row r="97" spans="1:32">
      <c r="A97" s="533"/>
      <c r="B97" s="534"/>
      <c r="C97" s="535"/>
      <c r="D97" s="12"/>
      <c r="E97" s="13"/>
      <c r="F97" s="14"/>
      <c r="G97" s="544"/>
      <c r="H97" s="544"/>
      <c r="I97" s="544"/>
      <c r="J97" s="544"/>
      <c r="K97" s="544"/>
      <c r="L97" s="544"/>
      <c r="M97" s="544"/>
      <c r="N97" s="544"/>
      <c r="O97" s="544"/>
      <c r="P97" s="544"/>
      <c r="Q97" s="544"/>
      <c r="R97" s="544"/>
      <c r="S97" s="544"/>
      <c r="T97" s="544"/>
      <c r="U97" s="544"/>
      <c r="V97" s="544"/>
      <c r="W97" s="544"/>
      <c r="X97" s="544"/>
      <c r="Y97" s="544"/>
      <c r="Z97" s="544"/>
      <c r="AA97" s="544"/>
      <c r="AB97" s="544"/>
      <c r="AC97" s="544"/>
      <c r="AD97" s="544"/>
      <c r="AE97" s="544"/>
      <c r="AF97" s="544"/>
    </row>
    <row r="98" spans="1:32">
      <c r="A98" s="533"/>
      <c r="B98" s="534" t="s">
        <v>1907</v>
      </c>
      <c r="C98" s="535" t="s">
        <v>312</v>
      </c>
      <c r="D98" s="12" t="s">
        <v>475</v>
      </c>
      <c r="E98" s="13">
        <v>600</v>
      </c>
      <c r="F98" s="14" t="str">
        <f>VLOOKUP($E$98,[1]UN!$A$2:$FA$67, 3, FALSE)</f>
        <v xml:space="preserve">600  Gross domestic product at market prices                                      </v>
      </c>
      <c r="G98" s="544">
        <f>IF(VLOOKUP($E$98,[1]UN!$A$2:$FA$67, 6, FALSE)="",":",VLOOKUP($E$98,[1]UN!$A$2:$FA$67, 6, FALSE))</f>
        <v>7764.53</v>
      </c>
      <c r="H98" s="544">
        <f>IF(VLOOKUP($E$98,[1]UN!$A$2:$FA$67, 7, FALSE)="",":",VLOOKUP($E$98,[1]UN!$A$2:$FA$67, 7, FALSE))</f>
        <v>9714.15</v>
      </c>
      <c r="I98" s="544">
        <f>IF(VLOOKUP($E$98,[1]UN!$A$2:$FA$67, 8, FALSE)="",":",VLOOKUP($E$98,[1]UN!$A$2:$FA$67, 8, FALSE))</f>
        <v>11724.34</v>
      </c>
      <c r="J98" s="544">
        <f>IF(VLOOKUP($E$98,[1]UN!$A$2:$FA$67, 9, FALSE)="",":",VLOOKUP($E$98,[1]UN!$A$2:$FA$67, 9, FALSE))</f>
        <v>13021.96</v>
      </c>
      <c r="K98" s="544">
        <f>IF(VLOOKUP($E$98,[1]UN!$A$2:$FA$67, 10, FALSE)="",":",VLOOKUP($E$98,[1]UN!$A$2:$FA$67, 10, FALSE))</f>
        <v>12712.08</v>
      </c>
      <c r="L98" s="544">
        <f>IF(VLOOKUP($E$98,[1]UN!$A$2:$FA$67, 11, FALSE)="",":",VLOOKUP($E$98,[1]UN!$A$2:$FA$67, 11, FALSE))</f>
        <v>13368.18</v>
      </c>
      <c r="M98" s="544">
        <f>IF(VLOOKUP($E$98,[1]UN!$A$2:$FA$67, 12, FALSE)="",":",VLOOKUP($E$98,[1]UN!$A$2:$FA$67, 12, FALSE))</f>
        <v>14194.52</v>
      </c>
      <c r="N98" s="544">
        <f>IF(VLOOKUP($E$98,[1]UN!$A$2:$FA$67, 13, FALSE)="",":",VLOOKUP($E$98,[1]UN!$A$2:$FA$67, 13, FALSE))</f>
        <v>15202.17</v>
      </c>
      <c r="O98" s="544">
        <f>IF(VLOOKUP($E$98,[1]UN!$A$2:$FA$67, 14, FALSE)="",":",VLOOKUP($E$98,[1]UN!$A$2:$FA$67, 14, FALSE))</f>
        <v>16668.48</v>
      </c>
      <c r="P98" s="544">
        <f>IF(VLOOKUP($E$98,[1]UN!$A$2:$FA$67, 15, FALSE)="",":",VLOOKUP($E$98,[1]UN!$A$2:$FA$67, 15, FALSE))</f>
        <v>18237.72</v>
      </c>
      <c r="Q98" s="544">
        <f>IF(VLOOKUP($E$98,[1]UN!$A$2:$FA$67, 16, FALSE)="",":",VLOOKUP($E$98,[1]UN!$A$2:$FA$67, 16, FALSE))</f>
        <v>21002.35</v>
      </c>
      <c r="R98" s="544">
        <f>IF(VLOOKUP($E$98,[1]UN!$A$2:$FA$67, 17, FALSE)="",":",VLOOKUP($E$98,[1]UN!$A$2:$FA$67, 17, FALSE))</f>
        <v>24079.18</v>
      </c>
      <c r="S98" s="544">
        <f>IF(VLOOKUP($E$98,[1]UN!$A$2:$FA$67, 18, FALSE)="",":",VLOOKUP($E$98,[1]UN!$A$2:$FA$67, 18, FALSE))</f>
        <v>29040.66</v>
      </c>
      <c r="T98" s="544">
        <f>IF(VLOOKUP($E$98,[1]UN!$A$2:$FA$67, 19, FALSE)="",":",VLOOKUP($E$98,[1]UN!$A$2:$FA$67, 19, FALSE))</f>
        <v>32696.28</v>
      </c>
      <c r="U98" s="544">
        <f>IF(VLOOKUP($E$98,[1]UN!$A$2:$FA$67, 20, FALSE)="",":",VLOOKUP($E$98,[1]UN!$A$2:$FA$67, 20, FALSE))</f>
        <v>26934.82</v>
      </c>
      <c r="V98" s="544">
        <f>IF(VLOOKUP($E$98,[1]UN!$A$2:$FA$67, 21, FALSE)="",":",VLOOKUP($E$98,[1]UN!$A$2:$FA$67, 21, FALSE))</f>
        <v>28027.66</v>
      </c>
      <c r="W98" s="544">
        <f>IF(VLOOKUP($E$98,[1]UN!$A$2:$FA$67, 22, FALSE)="",":",VLOOKUP($E$98,[1]UN!$A$2:$FA$67, 22, FALSE))</f>
        <v>31275.32</v>
      </c>
      <c r="X98" s="544">
        <f>IF(VLOOKUP($E$98,[1]UN!$A$2:$FA$67, 23, FALSE)="",":",VLOOKUP($E$98,[1]UN!$A$2:$FA$67, 23, FALSE))</f>
        <v>33348.480000000003</v>
      </c>
      <c r="Y98" s="544">
        <f>IF(VLOOKUP($E$98,[1]UN!$A$2:$FA$67, 24, FALSE)="",":",VLOOKUP($E$98,[1]UN!$A$2:$FA$67, 24, FALSE))</f>
        <v>34959.65</v>
      </c>
      <c r="Z98" s="544">
        <f>IF(VLOOKUP($E$98,[1]UN!$A$2:$FA$67, 25, FALSE)="",":",VLOOKUP($E$98,[1]UN!$A$2:$FA$67, 25, FALSE))</f>
        <v>36568.28</v>
      </c>
      <c r="AA98" s="544">
        <f>IF(VLOOKUP($E$98,[1]UN!$A$2:$FA$67, 26, FALSE)="",":",VLOOKUP($E$98,[1]UN!$A$2:$FA$67, 26, FALSE))</f>
        <v>37426.61</v>
      </c>
      <c r="AB98" s="544">
        <f>IF(VLOOKUP($E$98,[1]UN!$A$2:$FA$67, 27, FALSE)="",":",VLOOKUP($E$98,[1]UN!$A$2:$FA$67, 27, FALSE))</f>
        <v>38668.32</v>
      </c>
      <c r="AC98" s="544">
        <f>IF(VLOOKUP($E$98,[1]UN!$A$2:$FA$67, 28, FALSE)="",":",VLOOKUP($E$98,[1]UN!$A$2:$FA$67, 28, FALSE))</f>
        <v>41857.03</v>
      </c>
      <c r="AD98" s="544" t="str">
        <f>IF(VLOOKUP($E$98,[1]UN!$A$2:$FA$67, 29, FALSE)="",":",VLOOKUP($E$98,[1]UN!$A$2:$FA$67, 29, FALSE))</f>
        <v>:</v>
      </c>
      <c r="AE98" s="544" t="str">
        <f>IF(VLOOKUP($E$98,[1]UN!$A$2:$FA$67, 30, FALSE)="",":",VLOOKUP($E$98,[1]UN!$A$2:$FA$67, 30, FALSE))</f>
        <v>:</v>
      </c>
      <c r="AF98" s="544" t="str">
        <f>IF(VLOOKUP($E$98,[1]UN!$A$2:$FA$67, 31, FALSE)="",":",VLOOKUP($E$98,[1]UN!$A$2:$FA$67, 31, FALSE))</f>
        <v>:</v>
      </c>
    </row>
    <row r="99" spans="1:32">
      <c r="A99" s="533"/>
      <c r="B99" s="534"/>
      <c r="C99" s="535"/>
      <c r="D99" s="12"/>
      <c r="E99" s="13"/>
      <c r="F99" s="14"/>
      <c r="G99" s="544"/>
      <c r="H99" s="544"/>
      <c r="I99" s="544"/>
      <c r="J99" s="544"/>
      <c r="K99" s="544"/>
      <c r="L99" s="544"/>
      <c r="M99" s="544"/>
      <c r="N99" s="544"/>
      <c r="O99" s="544"/>
      <c r="P99" s="544"/>
      <c r="Q99" s="544"/>
      <c r="R99" s="544"/>
      <c r="S99" s="544"/>
      <c r="T99" s="544"/>
      <c r="U99" s="544"/>
      <c r="V99" s="544"/>
      <c r="W99" s="544"/>
      <c r="X99" s="544"/>
      <c r="Y99" s="544"/>
      <c r="Z99" s="544"/>
      <c r="AA99" s="544"/>
      <c r="AB99" s="544"/>
      <c r="AC99" s="544"/>
      <c r="AD99" s="544"/>
      <c r="AE99" s="544"/>
      <c r="AF99" s="544"/>
    </row>
    <row r="100" spans="1:32">
      <c r="A100" s="1954"/>
      <c r="B100" s="534"/>
      <c r="C100" s="535"/>
      <c r="D100" s="12" t="s">
        <v>475</v>
      </c>
      <c r="E100" s="13">
        <v>601</v>
      </c>
      <c r="F100" s="14" t="str">
        <f>VLOOKUP($E$100,[1]UN!$A$2:$FA$67, 3, FALSE)</f>
        <v xml:space="preserve">601  Gross value added at current basic prices (net of FISIM)                             </v>
      </c>
      <c r="G100" s="544">
        <f>IF(VLOOKUP($E$100,[1]UN!$A$2:$FA$67, 6, FALSE)="",":",VLOOKUP($E$100,[1]UN!$A$2:$FA$67, 6, FALSE))</f>
        <v>6935.84</v>
      </c>
      <c r="H100" s="544">
        <f>IF(VLOOKUP($E$100,[1]UN!$A$2:$FA$67, 7, FALSE)="",":",VLOOKUP($E$100,[1]UN!$A$2:$FA$67, 7, FALSE))</f>
        <v>8733.81</v>
      </c>
      <c r="I100" s="544">
        <f>IF(VLOOKUP($E$100,[1]UN!$A$2:$FA$67, 8, FALSE)="",":",VLOOKUP($E$100,[1]UN!$A$2:$FA$67, 8, FALSE))</f>
        <v>10275.15</v>
      </c>
      <c r="J100" s="544">
        <f>IF(VLOOKUP($E$100,[1]UN!$A$2:$FA$67, 9, FALSE)="",":",VLOOKUP($E$100,[1]UN!$A$2:$FA$67, 9, FALSE))</f>
        <v>11413.13</v>
      </c>
      <c r="K100" s="544">
        <f>IF(VLOOKUP($E$100,[1]UN!$A$2:$FA$67, 10, FALSE)="",":",VLOOKUP($E$100,[1]UN!$A$2:$FA$67, 10, FALSE))</f>
        <v>11173.71</v>
      </c>
      <c r="L100" s="544">
        <f>IF(VLOOKUP($E$100,[1]UN!$A$2:$FA$67, 11, FALSE)="",":",VLOOKUP($E$100,[1]UN!$A$2:$FA$67, 11, FALSE))</f>
        <v>11880.89</v>
      </c>
      <c r="M100" s="544">
        <f>IF(VLOOKUP($E$100,[1]UN!$A$2:$FA$67, 12, FALSE)="",":",VLOOKUP($E$100,[1]UN!$A$2:$FA$67, 12, FALSE))</f>
        <v>12634.51</v>
      </c>
      <c r="N100" s="544">
        <f>IF(VLOOKUP($E$100,[1]UN!$A$2:$FA$67, 13, FALSE)="",":",VLOOKUP($E$100,[1]UN!$A$2:$FA$67, 13, FALSE))</f>
        <v>13523.92</v>
      </c>
      <c r="O100" s="544">
        <f>IF(VLOOKUP($E$100,[1]UN!$A$2:$FA$67, 14, FALSE)="",":",VLOOKUP($E$100,[1]UN!$A$2:$FA$67, 14, FALSE))</f>
        <v>14937.06</v>
      </c>
      <c r="P100" s="544">
        <f>IF(VLOOKUP($E$100,[1]UN!$A$2:$FA$67, 15, FALSE)="",":",VLOOKUP($E$100,[1]UN!$A$2:$FA$67, 15, FALSE))</f>
        <v>16499.599999999999</v>
      </c>
      <c r="Q100" s="544">
        <f>IF(VLOOKUP($E$100,[1]UN!$A$2:$FA$67, 16, FALSE)="",":",VLOOKUP($E$100,[1]UN!$A$2:$FA$67, 16, FALSE))</f>
        <v>19009.71</v>
      </c>
      <c r="R100" s="544">
        <f>IF(VLOOKUP($E$100,[1]UN!$A$2:$FA$67, 17, FALSE)="",":",VLOOKUP($E$100,[1]UN!$A$2:$FA$67, 17, FALSE))</f>
        <v>21733.68</v>
      </c>
      <c r="S100" s="544">
        <f>IF(VLOOKUP($E$100,[1]UN!$A$2:$FA$67, 18, FALSE)="",":",VLOOKUP($E$100,[1]UN!$A$2:$FA$67, 18, FALSE))</f>
        <v>26076.5</v>
      </c>
      <c r="T100" s="544">
        <f>IF(VLOOKUP($E$100,[1]UN!$A$2:$FA$67, 19, FALSE)="",":",VLOOKUP($E$100,[1]UN!$A$2:$FA$67, 19, FALSE))</f>
        <v>29349.21</v>
      </c>
      <c r="U100" s="544">
        <f>IF(VLOOKUP($E$100,[1]UN!$A$2:$FA$67, 20, FALSE)="",":",VLOOKUP($E$100,[1]UN!$A$2:$FA$67, 20, FALSE))</f>
        <v>24300.36</v>
      </c>
      <c r="V100" s="544">
        <f>IF(VLOOKUP($E$100,[1]UN!$A$2:$FA$67, 21, FALSE)="",":",VLOOKUP($E$100,[1]UN!$A$2:$FA$67, 21, FALSE))</f>
        <v>25209.75</v>
      </c>
      <c r="W100" s="544">
        <f>IF(VLOOKUP($E$100,[1]UN!$A$2:$FA$67, 22, FALSE)="",":",VLOOKUP($E$100,[1]UN!$A$2:$FA$67, 22, FALSE))</f>
        <v>28160.06</v>
      </c>
      <c r="X100" s="544">
        <f>IF(VLOOKUP($E$100,[1]UN!$A$2:$FA$67, 23, FALSE)="",":",VLOOKUP($E$100,[1]UN!$A$2:$FA$67, 23, FALSE))</f>
        <v>30165.16</v>
      </c>
      <c r="Y100" s="544">
        <f>IF(VLOOKUP($E$100,[1]UN!$A$2:$FA$67, 24, FALSE)="",":",VLOOKUP($E$100,[1]UN!$A$2:$FA$67, 24, FALSE))</f>
        <v>31690.080000000002</v>
      </c>
      <c r="Z100" s="544">
        <f>IF(VLOOKUP($E$100,[1]UN!$A$2:$FA$67, 25, FALSE)="",":",VLOOKUP($E$100,[1]UN!$A$2:$FA$67, 25, FALSE))</f>
        <v>33067.68</v>
      </c>
      <c r="AA100" s="544">
        <f>IF(VLOOKUP($E$100,[1]UN!$A$2:$FA$67, 26, FALSE)="",":",VLOOKUP($E$100,[1]UN!$A$2:$FA$67, 26, FALSE))</f>
        <v>33709.15</v>
      </c>
      <c r="AB100" s="544">
        <f>IF(VLOOKUP($E$100,[1]UN!$A$2:$FA$67, 27, FALSE)="",":",VLOOKUP($E$100,[1]UN!$A$2:$FA$67, 27, FALSE))</f>
        <v>34789.370000000003</v>
      </c>
      <c r="AC100" s="544">
        <f>IF(VLOOKUP($E$100,[1]UN!$A$2:$FA$67, 28, FALSE)="",":",VLOOKUP($E$100,[1]UN!$A$2:$FA$67, 28, FALSE))</f>
        <v>37589.730000000003</v>
      </c>
      <c r="AD100" s="544" t="str">
        <f>IF(VLOOKUP($E$100,[1]UN!$A$2:$FA$67, 29, FALSE)="",":",VLOOKUP($E$100,[1]UN!$A$2:$FA$67, 29, FALSE))</f>
        <v>:</v>
      </c>
      <c r="AE100" s="544" t="str">
        <f>IF(VLOOKUP($E$100,[1]UN!$A$2:$FA$67, 30, FALSE)="",":",VLOOKUP($E$100,[1]UN!$A$2:$FA$67, 30, FALSE))</f>
        <v>:</v>
      </c>
      <c r="AF100" s="544" t="str">
        <f>IF(VLOOKUP($E$100,[1]UN!$A$2:$FA$67, 31, FALSE)="",":",VLOOKUP($E$100,[1]UN!$A$2:$FA$67, 31, FALSE))</f>
        <v>:</v>
      </c>
    </row>
    <row r="101" spans="1:32">
      <c r="A101" s="1954"/>
      <c r="B101" s="534" t="s">
        <v>474</v>
      </c>
      <c r="C101" s="535"/>
      <c r="D101" s="12" t="s">
        <v>475</v>
      </c>
      <c r="E101" s="13">
        <v>610</v>
      </c>
      <c r="F101" s="14" t="str">
        <f>VLOOKUP($E$101,[1]UN!$A$2:$FA$67, 3, FALSE)</f>
        <v xml:space="preserve">610  Compensation of employees                                                    </v>
      </c>
      <c r="G101" s="544">
        <f>IF(VLOOKUP($E$101,[1]UN!$A$2:$FA$67, 6, FALSE)="",":",VLOOKUP($E$101,[1]UN!$A$2:$FA$67, 6, FALSE))</f>
        <v>2901.95</v>
      </c>
      <c r="H101" s="544">
        <f>IF(VLOOKUP($E$101,[1]UN!$A$2:$FA$67, 7, FALSE)="",":",VLOOKUP($E$101,[1]UN!$A$2:$FA$67, 7, FALSE))</f>
        <v>3690.65</v>
      </c>
      <c r="I101" s="544">
        <f>IF(VLOOKUP($E$101,[1]UN!$A$2:$FA$67, 8, FALSE)="",":",VLOOKUP($E$101,[1]UN!$A$2:$FA$67, 8, FALSE))</f>
        <v>4536.3999999999996</v>
      </c>
      <c r="J101" s="544">
        <f>IF(VLOOKUP($E$101,[1]UN!$A$2:$FA$67, 9, FALSE)="",":",VLOOKUP($E$101,[1]UN!$A$2:$FA$67, 9, FALSE))</f>
        <v>5415.39</v>
      </c>
      <c r="K101" s="544">
        <f>IF(VLOOKUP($E$101,[1]UN!$A$2:$FA$67, 10, FALSE)="",":",VLOOKUP($E$101,[1]UN!$A$2:$FA$67, 10, FALSE))</f>
        <v>5453.77</v>
      </c>
      <c r="L101" s="544">
        <f>IF(VLOOKUP($E$101,[1]UN!$A$2:$FA$67, 11, FALSE)="",":",VLOOKUP($E$101,[1]UN!$A$2:$FA$67, 11, FALSE))</f>
        <v>5222.8500000000004</v>
      </c>
      <c r="M101" s="544">
        <f>IF(VLOOKUP($E$101,[1]UN!$A$2:$FA$67, 12, FALSE)="",":",VLOOKUP($E$101,[1]UN!$A$2:$FA$67, 12, FALSE))</f>
        <v>5365.29</v>
      </c>
      <c r="N101" s="544">
        <f>IF(VLOOKUP($E$101,[1]UN!$A$2:$FA$67, 13, FALSE)="",":",VLOOKUP($E$101,[1]UN!$A$2:$FA$67, 13, FALSE))</f>
        <v>5810.31</v>
      </c>
      <c r="O101" s="544">
        <f>IF(VLOOKUP($E$101,[1]UN!$A$2:$FA$67, 14, FALSE)="",":",VLOOKUP($E$101,[1]UN!$A$2:$FA$67, 14, FALSE))</f>
        <v>6443.04</v>
      </c>
      <c r="P101" s="544">
        <f>IF(VLOOKUP($E$101,[1]UN!$A$2:$FA$67, 15, FALSE)="",":",VLOOKUP($E$101,[1]UN!$A$2:$FA$67, 15, FALSE))</f>
        <v>7310.09</v>
      </c>
      <c r="Q101" s="544">
        <f>IF(VLOOKUP($E$101,[1]UN!$A$2:$FA$67, 16, FALSE)="",":",VLOOKUP($E$101,[1]UN!$A$2:$FA$67, 16, FALSE))</f>
        <v>8520.02</v>
      </c>
      <c r="R101" s="544">
        <f>IF(VLOOKUP($E$101,[1]UN!$A$2:$FA$67, 17, FALSE)="",":",VLOOKUP($E$101,[1]UN!$A$2:$FA$67, 17, FALSE))</f>
        <v>10277.299999999999</v>
      </c>
      <c r="S101" s="544">
        <f>IF(VLOOKUP($E$101,[1]UN!$A$2:$FA$67, 18, FALSE)="",":",VLOOKUP($E$101,[1]UN!$A$2:$FA$67, 18, FALSE))</f>
        <v>12325.9</v>
      </c>
      <c r="T101" s="544">
        <f>IF(VLOOKUP($E$101,[1]UN!$A$2:$FA$67, 19, FALSE)="",":",VLOOKUP($E$101,[1]UN!$A$2:$FA$67, 19, FALSE))</f>
        <v>14355.07</v>
      </c>
      <c r="U101" s="544">
        <f>IF(VLOOKUP($E$101,[1]UN!$A$2:$FA$67, 20, FALSE)="",":",VLOOKUP($E$101,[1]UN!$A$2:$FA$67, 20, FALSE))</f>
        <v>11978.25</v>
      </c>
      <c r="V101" s="544">
        <f>IF(VLOOKUP($E$101,[1]UN!$A$2:$FA$67, 21, FALSE)="",":",VLOOKUP($E$101,[1]UN!$A$2:$FA$67, 21, FALSE))</f>
        <v>11469.97</v>
      </c>
      <c r="W101" s="544">
        <f>IF(VLOOKUP($E$101,[1]UN!$A$2:$FA$67, 22, FALSE)="",":",VLOOKUP($E$101,[1]UN!$A$2:$FA$67, 22, FALSE))</f>
        <v>12296.09</v>
      </c>
      <c r="X101" s="544">
        <f>IF(VLOOKUP($E$101,[1]UN!$A$2:$FA$67, 23, FALSE)="",":",VLOOKUP($E$101,[1]UN!$A$2:$FA$67, 23, FALSE))</f>
        <v>12977.05</v>
      </c>
      <c r="Y101" s="544">
        <f>IF(VLOOKUP($E$101,[1]UN!$A$2:$FA$67, 24, FALSE)="",":",VLOOKUP($E$101,[1]UN!$A$2:$FA$67, 24, FALSE))</f>
        <v>13742.62</v>
      </c>
      <c r="Z101" s="544">
        <f>IF(VLOOKUP($E$101,[1]UN!$A$2:$FA$67, 25, FALSE)="",":",VLOOKUP($E$101,[1]UN!$A$2:$FA$67, 25, FALSE))</f>
        <v>14623.93</v>
      </c>
      <c r="AA101" s="544">
        <f>IF(VLOOKUP($E$101,[1]UN!$A$2:$FA$67, 26, FALSE)="",":",VLOOKUP($E$101,[1]UN!$A$2:$FA$67, 26, FALSE))</f>
        <v>15637.28</v>
      </c>
      <c r="AB101" s="544">
        <f>IF(VLOOKUP($E$101,[1]UN!$A$2:$FA$67, 27, FALSE)="",":",VLOOKUP($E$101,[1]UN!$A$2:$FA$67, 27, FALSE))</f>
        <v>16929.060000000001</v>
      </c>
      <c r="AC101" s="544">
        <f>IF(VLOOKUP($E$101,[1]UN!$A$2:$FA$67, 28, FALSE)="",":",VLOOKUP($E$101,[1]UN!$A$2:$FA$67, 28, FALSE))</f>
        <v>18449.63</v>
      </c>
      <c r="AD101" s="544" t="str">
        <f>IF(VLOOKUP($E$101,[1]UN!$A$2:$FA$67, 29, FALSE)="",":",VLOOKUP($E$101,[1]UN!$A$2:$FA$67, 29, FALSE))</f>
        <v>:</v>
      </c>
      <c r="AE101" s="544" t="str">
        <f>IF(VLOOKUP($E$101,[1]UN!$A$2:$FA$67, 30, FALSE)="",":",VLOOKUP($E$101,[1]UN!$A$2:$FA$67, 30, FALSE))</f>
        <v>:</v>
      </c>
      <c r="AF101" s="544" t="str">
        <f>IF(VLOOKUP($E$101,[1]UN!$A$2:$FA$67, 31, FALSE)="",":",VLOOKUP($E$101,[1]UN!$A$2:$FA$67, 31, FALSE))</f>
        <v>:</v>
      </c>
    </row>
    <row r="102" spans="1:32">
      <c r="A102" s="533"/>
      <c r="B102" s="534"/>
      <c r="C102" s="535"/>
      <c r="D102" s="12"/>
      <c r="E102" s="13"/>
      <c r="F102" s="14"/>
      <c r="G102" s="544"/>
      <c r="H102" s="544"/>
      <c r="I102" s="544"/>
      <c r="J102" s="544"/>
      <c r="K102" s="544"/>
      <c r="L102" s="544"/>
      <c r="M102" s="544"/>
      <c r="N102" s="544"/>
      <c r="O102" s="544"/>
      <c r="P102" s="544"/>
      <c r="Q102" s="544"/>
      <c r="R102" s="544"/>
      <c r="S102" s="544"/>
      <c r="T102" s="544"/>
      <c r="U102" s="544"/>
      <c r="V102" s="544"/>
      <c r="W102" s="544"/>
      <c r="X102" s="544"/>
      <c r="Y102" s="544"/>
      <c r="Z102" s="544"/>
      <c r="AA102" s="544"/>
      <c r="AB102" s="544"/>
      <c r="AC102" s="544"/>
      <c r="AD102" s="544"/>
      <c r="AE102" s="544"/>
      <c r="AF102" s="544"/>
    </row>
    <row r="103" spans="1:32">
      <c r="A103" s="533">
        <v>50</v>
      </c>
      <c r="B103" s="534" t="s">
        <v>1494</v>
      </c>
      <c r="C103" s="535" t="s">
        <v>1179</v>
      </c>
      <c r="D103" s="12" t="s">
        <v>475</v>
      </c>
      <c r="E103" s="13">
        <v>634</v>
      </c>
      <c r="F103" s="14" t="str">
        <f>VLOOKUP($E$103,[1]UN!$A$2:$FA$67, 3, FALSE)</f>
        <v>634  Taxes on products (D.21)</v>
      </c>
      <c r="G103" s="544">
        <f>IF(VLOOKUP($E$103,[1]UN!$A$2:$FA$67, 6, FALSE)="",":",VLOOKUP($E$103,[1]UN!$A$2:$FA$67, 6, FALSE))</f>
        <v>898.54</v>
      </c>
      <c r="H103" s="544">
        <f>IF(VLOOKUP($E$103,[1]UN!$A$2:$FA$67, 7, FALSE)="",":",VLOOKUP($E$103,[1]UN!$A$2:$FA$67, 7, FALSE))</f>
        <v>1068.29</v>
      </c>
      <c r="I103" s="544">
        <f>IF(VLOOKUP($E$103,[1]UN!$A$2:$FA$67, 8, FALSE)="",":",VLOOKUP($E$103,[1]UN!$A$2:$FA$67, 8, FALSE))</f>
        <v>1512.29</v>
      </c>
      <c r="J103" s="544">
        <f>IF(VLOOKUP($E$103,[1]UN!$A$2:$FA$67, 9, FALSE)="",":",VLOOKUP($E$103,[1]UN!$A$2:$FA$67, 9, FALSE))</f>
        <v>1717.88</v>
      </c>
      <c r="K103" s="544">
        <f>IF(VLOOKUP($E$103,[1]UN!$A$2:$FA$67, 10, FALSE)="",":",VLOOKUP($E$103,[1]UN!$A$2:$FA$67, 10, FALSE))</f>
        <v>1654.48</v>
      </c>
      <c r="L103" s="544">
        <f>IF(VLOOKUP($E$103,[1]UN!$A$2:$FA$67, 11, FALSE)="",":",VLOOKUP($E$103,[1]UN!$A$2:$FA$67, 11, FALSE))</f>
        <v>1589.41</v>
      </c>
      <c r="M103" s="544">
        <f>IF(VLOOKUP($E$103,[1]UN!$A$2:$FA$67, 12, FALSE)="",":",VLOOKUP($E$103,[1]UN!$A$2:$FA$67, 12, FALSE))</f>
        <v>1635.85</v>
      </c>
      <c r="N103" s="544">
        <f>IF(VLOOKUP($E$103,[1]UN!$A$2:$FA$67, 13, FALSE)="",":",VLOOKUP($E$103,[1]UN!$A$2:$FA$67, 13, FALSE))</f>
        <v>1779.97</v>
      </c>
      <c r="O103" s="544">
        <f>IF(VLOOKUP($E$103,[1]UN!$A$2:$FA$67, 14, FALSE)="",":",VLOOKUP($E$103,[1]UN!$A$2:$FA$67, 14, FALSE))</f>
        <v>1839.22</v>
      </c>
      <c r="P103" s="544">
        <f>IF(VLOOKUP($E$103,[1]UN!$A$2:$FA$67, 15, FALSE)="",":",VLOOKUP($E$103,[1]UN!$A$2:$FA$67, 15, FALSE))</f>
        <v>1928.1</v>
      </c>
      <c r="Q103" s="544">
        <f>IF(VLOOKUP($E$103,[1]UN!$A$2:$FA$67, 16, FALSE)="",":",VLOOKUP($E$103,[1]UN!$A$2:$FA$67, 16, FALSE))</f>
        <v>2263.77</v>
      </c>
      <c r="R103" s="544">
        <f>IF(VLOOKUP($E$103,[1]UN!$A$2:$FA$67, 17, FALSE)="",":",VLOOKUP($E$103,[1]UN!$A$2:$FA$67, 17, FALSE))</f>
        <v>2612.5300000000002</v>
      </c>
      <c r="S103" s="544">
        <f>IF(VLOOKUP($E$103,[1]UN!$A$2:$FA$67, 18, FALSE)="",":",VLOOKUP($E$103,[1]UN!$A$2:$FA$67, 18, FALSE))</f>
        <v>3265.49</v>
      </c>
      <c r="T103" s="544">
        <f>IF(VLOOKUP($E$103,[1]UN!$A$2:$FA$67, 19, FALSE)="",":",VLOOKUP($E$103,[1]UN!$A$2:$FA$67, 19, FALSE))</f>
        <v>3701.18</v>
      </c>
      <c r="U103" s="544">
        <f>IF(VLOOKUP($E$103,[1]UN!$A$2:$FA$67, 20, FALSE)="",":",VLOOKUP($E$103,[1]UN!$A$2:$FA$67, 20, FALSE))</f>
        <v>2996.16</v>
      </c>
      <c r="V103" s="544">
        <f>IF(VLOOKUP($E$103,[1]UN!$A$2:$FA$67, 21, FALSE)="",":",VLOOKUP($E$103,[1]UN!$A$2:$FA$67, 21, FALSE))</f>
        <v>3192.48</v>
      </c>
      <c r="W103" s="544">
        <f>IF(VLOOKUP($E$103,[1]UN!$A$2:$FA$67, 22, FALSE)="",":",VLOOKUP($E$103,[1]UN!$A$2:$FA$67, 22, FALSE))</f>
        <v>3502.14</v>
      </c>
      <c r="X103" s="544">
        <f>IF(VLOOKUP($E$103,[1]UN!$A$2:$FA$67, 23, FALSE)="",":",VLOOKUP($E$103,[1]UN!$A$2:$FA$67, 23, FALSE))</f>
        <v>3593.79</v>
      </c>
      <c r="Y103" s="544">
        <f>IF(VLOOKUP($E$103,[1]UN!$A$2:$FA$67, 24, FALSE)="",":",VLOOKUP($E$103,[1]UN!$A$2:$FA$67, 24, FALSE))</f>
        <v>3709.15</v>
      </c>
      <c r="Z103" s="544">
        <f>IF(VLOOKUP($E$103,[1]UN!$A$2:$FA$67, 25, FALSE)="",":",VLOOKUP($E$103,[1]UN!$A$2:$FA$67, 25, FALSE))</f>
        <v>3940.33</v>
      </c>
      <c r="AA103" s="544">
        <f>IF(VLOOKUP($E$103,[1]UN!$A$2:$FA$67, 26, FALSE)="",":",VLOOKUP($E$103,[1]UN!$A$2:$FA$67, 26, FALSE))</f>
        <v>4211.09</v>
      </c>
      <c r="AB103" s="544">
        <f>IF(VLOOKUP($E$103,[1]UN!$A$2:$FA$67, 27, FALSE)="",":",VLOOKUP($E$103,[1]UN!$A$2:$FA$67, 27, FALSE))</f>
        <v>4417.1499999999996</v>
      </c>
      <c r="AC103" s="544">
        <f>IF(VLOOKUP($E$103,[1]UN!$A$2:$FA$67, 28, FALSE)="",":",VLOOKUP($E$103,[1]UN!$A$2:$FA$67, 28, FALSE))</f>
        <v>4813.3</v>
      </c>
      <c r="AD103" s="544" t="str">
        <f>IF(VLOOKUP($E$103,[1]UN!$A$2:$FA$67, 29, FALSE)="",":",VLOOKUP($E$103,[1]UN!$A$2:$FA$67, 29, FALSE))</f>
        <v>:</v>
      </c>
      <c r="AE103" s="544" t="str">
        <f>IF(VLOOKUP($E$103,[1]UN!$A$2:$FA$67, 30, FALSE)="",":",VLOOKUP($E$103,[1]UN!$A$2:$FA$67, 30, FALSE))</f>
        <v>:</v>
      </c>
      <c r="AF103" s="544" t="str">
        <f>IF(VLOOKUP($E$103,[1]UN!$A$2:$FA$67, 31, FALSE)="",":",VLOOKUP($E$103,[1]UN!$A$2:$FA$67, 31, FALSE))</f>
        <v>:</v>
      </c>
    </row>
    <row r="104" spans="1:32">
      <c r="A104" s="533">
        <v>51</v>
      </c>
      <c r="B104" s="534" t="s">
        <v>888</v>
      </c>
      <c r="C104" s="535" t="s">
        <v>403</v>
      </c>
      <c r="D104" s="12" t="s">
        <v>475</v>
      </c>
      <c r="E104" s="13">
        <v>635</v>
      </c>
      <c r="F104" s="14" t="str">
        <f>VLOOKUP($E$104,[1]UN!$A$2:$FA$67, 3, FALSE)</f>
        <v>635  Subsidies on products (D.31)</v>
      </c>
      <c r="G104" s="544">
        <f>IF(VLOOKUP($E$104,[1]UN!$A$2:$FA$67, 6, FALSE)="",":",VLOOKUP($E$104,[1]UN!$A$2:$FA$67, 6, FALSE))</f>
        <v>69.86</v>
      </c>
      <c r="H104" s="544">
        <f>IF(VLOOKUP($E$104,[1]UN!$A$2:$FA$67, 7, FALSE)="",":",VLOOKUP($E$104,[1]UN!$A$2:$FA$67, 7, FALSE))</f>
        <v>87.96</v>
      </c>
      <c r="I104" s="544">
        <f>IF(VLOOKUP($E$104,[1]UN!$A$2:$FA$67, 8, FALSE)="",":",VLOOKUP($E$104,[1]UN!$A$2:$FA$67, 8, FALSE))</f>
        <v>63.11</v>
      </c>
      <c r="J104" s="544">
        <f>IF(VLOOKUP($E$104,[1]UN!$A$2:$FA$67, 9, FALSE)="",":",VLOOKUP($E$104,[1]UN!$A$2:$FA$67, 9, FALSE))</f>
        <v>109.05</v>
      </c>
      <c r="K104" s="544">
        <f>IF(VLOOKUP($E$104,[1]UN!$A$2:$FA$67, 10, FALSE)="",":",VLOOKUP($E$104,[1]UN!$A$2:$FA$67, 10, FALSE))</f>
        <v>116.12</v>
      </c>
      <c r="L104" s="544">
        <f>IF(VLOOKUP($E$104,[1]UN!$A$2:$FA$67, 11, FALSE)="",":",VLOOKUP($E$104,[1]UN!$A$2:$FA$67, 11, FALSE))</f>
        <v>102.12</v>
      </c>
      <c r="M104" s="544">
        <f>IF(VLOOKUP($E$104,[1]UN!$A$2:$FA$67, 12, FALSE)="",":",VLOOKUP($E$104,[1]UN!$A$2:$FA$67, 12, FALSE))</f>
        <v>75.84</v>
      </c>
      <c r="N104" s="544">
        <f>IF(VLOOKUP($E$104,[1]UN!$A$2:$FA$67, 13, FALSE)="",":",VLOOKUP($E$104,[1]UN!$A$2:$FA$67, 13, FALSE))</f>
        <v>101.73</v>
      </c>
      <c r="O104" s="544">
        <f>IF(VLOOKUP($E$104,[1]UN!$A$2:$FA$67, 14, FALSE)="",":",VLOOKUP($E$104,[1]UN!$A$2:$FA$67, 14, FALSE))</f>
        <v>107.79</v>
      </c>
      <c r="P104" s="544">
        <f>IF(VLOOKUP($E$104,[1]UN!$A$2:$FA$67, 15, FALSE)="",":",VLOOKUP($E$104,[1]UN!$A$2:$FA$67, 15, FALSE))</f>
        <v>189.97</v>
      </c>
      <c r="Q104" s="544">
        <f>IF(VLOOKUP($E$104,[1]UN!$A$2:$FA$67, 16, FALSE)="",":",VLOOKUP($E$104,[1]UN!$A$2:$FA$67, 16, FALSE))</f>
        <v>271.13</v>
      </c>
      <c r="R104" s="544">
        <f>IF(VLOOKUP($E$104,[1]UN!$A$2:$FA$67, 17, FALSE)="",":",VLOOKUP($E$104,[1]UN!$A$2:$FA$67, 17, FALSE))</f>
        <v>267.02999999999997</v>
      </c>
      <c r="S104" s="544">
        <f>IF(VLOOKUP($E$104,[1]UN!$A$2:$FA$67, 18, FALSE)="",":",VLOOKUP($E$104,[1]UN!$A$2:$FA$67, 18, FALSE))</f>
        <v>301.32</v>
      </c>
      <c r="T104" s="544">
        <f>IF(VLOOKUP($E$104,[1]UN!$A$2:$FA$67, 19, FALSE)="",":",VLOOKUP($E$104,[1]UN!$A$2:$FA$67, 19, FALSE))</f>
        <v>354.11</v>
      </c>
      <c r="U104" s="544">
        <f>IF(VLOOKUP($E$104,[1]UN!$A$2:$FA$67, 20, FALSE)="",":",VLOOKUP($E$104,[1]UN!$A$2:$FA$67, 20, FALSE))</f>
        <v>361.7</v>
      </c>
      <c r="V104" s="544">
        <f>IF(VLOOKUP($E$104,[1]UN!$A$2:$FA$67, 21, FALSE)="",":",VLOOKUP($E$104,[1]UN!$A$2:$FA$67, 21, FALSE))</f>
        <v>374.57</v>
      </c>
      <c r="W104" s="544">
        <f>IF(VLOOKUP($E$104,[1]UN!$A$2:$FA$67, 22, FALSE)="",":",VLOOKUP($E$104,[1]UN!$A$2:$FA$67, 22, FALSE))</f>
        <v>386.88</v>
      </c>
      <c r="X104" s="544">
        <f>IF(VLOOKUP($E$104,[1]UN!$A$2:$FA$67, 23, FALSE)="",":",VLOOKUP($E$104,[1]UN!$A$2:$FA$67, 23, FALSE))</f>
        <v>410.48</v>
      </c>
      <c r="Y104" s="544">
        <f>IF(VLOOKUP($E$104,[1]UN!$A$2:$FA$67, 24, FALSE)="",":",VLOOKUP($E$104,[1]UN!$A$2:$FA$67, 24, FALSE))</f>
        <v>439.58</v>
      </c>
      <c r="Z104" s="544">
        <f>IF(VLOOKUP($E$104,[1]UN!$A$2:$FA$67, 25, FALSE)="",":",VLOOKUP($E$104,[1]UN!$A$2:$FA$67, 25, FALSE))</f>
        <v>439.72</v>
      </c>
      <c r="AA104" s="544">
        <f>IF(VLOOKUP($E$104,[1]UN!$A$2:$FA$67, 26, FALSE)="",":",VLOOKUP($E$104,[1]UN!$A$2:$FA$67, 26, FALSE))</f>
        <v>493.63</v>
      </c>
      <c r="AB104" s="544">
        <f>IF(VLOOKUP($E$104,[1]UN!$A$2:$FA$67, 27, FALSE)="",":",VLOOKUP($E$104,[1]UN!$A$2:$FA$67, 27, FALSE))</f>
        <v>538.20000000000005</v>
      </c>
      <c r="AC104" s="544">
        <f>IF(VLOOKUP($E$104,[1]UN!$A$2:$FA$67, 28, FALSE)="",":",VLOOKUP($E$104,[1]UN!$A$2:$FA$67, 28, FALSE))</f>
        <v>546</v>
      </c>
      <c r="AD104" s="544" t="str">
        <f>IF(VLOOKUP($E$104,[1]UN!$A$2:$FA$67, 29, FALSE)="",":",VLOOKUP($E$104,[1]UN!$A$2:$FA$67, 29, FALSE))</f>
        <v>:</v>
      </c>
      <c r="AE104" s="544" t="str">
        <f>IF(VLOOKUP($E$104,[1]UN!$A$2:$FA$67, 30, FALSE)="",":",VLOOKUP($E$104,[1]UN!$A$2:$FA$67, 30, FALSE))</f>
        <v>:</v>
      </c>
      <c r="AF104" s="544" t="str">
        <f>IF(VLOOKUP($E$104,[1]UN!$A$2:$FA$67, 31, FALSE)="",":",VLOOKUP($E$104,[1]UN!$A$2:$FA$67, 31, FALSE))</f>
        <v>:</v>
      </c>
    </row>
    <row r="105" spans="1:32">
      <c r="A105" s="533"/>
      <c r="B105" s="534"/>
      <c r="C105" s="535"/>
      <c r="D105" s="12"/>
      <c r="E105" s="13"/>
      <c r="F105" s="14"/>
      <c r="G105" s="544"/>
      <c r="H105" s="544"/>
      <c r="I105" s="544"/>
      <c r="J105" s="544"/>
      <c r="K105" s="544"/>
      <c r="L105" s="544"/>
      <c r="M105" s="544"/>
      <c r="N105" s="544"/>
      <c r="O105" s="544"/>
      <c r="P105" s="544"/>
      <c r="Q105" s="544"/>
      <c r="R105" s="544"/>
      <c r="S105" s="544"/>
      <c r="T105" s="544"/>
      <c r="U105" s="544"/>
      <c r="V105" s="544"/>
      <c r="W105" s="544"/>
      <c r="X105" s="544"/>
      <c r="Y105" s="544"/>
      <c r="Z105" s="544"/>
      <c r="AA105" s="544"/>
      <c r="AB105" s="544"/>
      <c r="AC105" s="544"/>
      <c r="AD105" s="544"/>
      <c r="AE105" s="544"/>
      <c r="AF105" s="544"/>
    </row>
    <row r="106" spans="1:32">
      <c r="A106" s="1954"/>
      <c r="B106" s="534"/>
      <c r="C106" s="535"/>
      <c r="D106" s="12" t="s">
        <v>475</v>
      </c>
      <c r="E106" s="13">
        <v>640</v>
      </c>
      <c r="F106" s="14" t="str">
        <f>VLOOKUP($E$106,[1]UN!$A$2:$FA$67, 3, FALSE)</f>
        <v xml:space="preserve">640  Operating surplus/mixed income (gross)                                       </v>
      </c>
      <c r="G106" s="544">
        <f>IF(VLOOKUP($E$106,[1]UN!$A$2:$FA$67, 6, FALSE)="",":",VLOOKUP($E$106,[1]UN!$A$2:$FA$67, 6, FALSE))</f>
        <v>4008.08</v>
      </c>
      <c r="H106" s="544">
        <f>IF(VLOOKUP($E$106,[1]UN!$A$2:$FA$67, 7, FALSE)="",":",VLOOKUP($E$106,[1]UN!$A$2:$FA$67, 7, FALSE))</f>
        <v>5014.58</v>
      </c>
      <c r="I106" s="544">
        <f>IF(VLOOKUP($E$106,[1]UN!$A$2:$FA$67, 8, FALSE)="",":",VLOOKUP($E$106,[1]UN!$A$2:$FA$67, 8, FALSE))</f>
        <v>5703.43</v>
      </c>
      <c r="J106" s="544">
        <f>IF(VLOOKUP($E$106,[1]UN!$A$2:$FA$67, 9, FALSE)="",":",VLOOKUP($E$106,[1]UN!$A$2:$FA$67, 9, FALSE))</f>
        <v>5948.15</v>
      </c>
      <c r="K106" s="544">
        <f>IF(VLOOKUP($E$106,[1]UN!$A$2:$FA$67, 10, FALSE)="",":",VLOOKUP($E$106,[1]UN!$A$2:$FA$67, 10, FALSE))</f>
        <v>5647.13</v>
      </c>
      <c r="L106" s="544">
        <f>IF(VLOOKUP($E$106,[1]UN!$A$2:$FA$67, 11, FALSE)="",":",VLOOKUP($E$106,[1]UN!$A$2:$FA$67, 11, FALSE))</f>
        <v>6577.36</v>
      </c>
      <c r="M106" s="544">
        <f>IF(VLOOKUP($E$106,[1]UN!$A$2:$FA$67, 12, FALSE)="",":",VLOOKUP($E$106,[1]UN!$A$2:$FA$67, 12, FALSE))</f>
        <v>7219.17</v>
      </c>
      <c r="N106" s="544">
        <f>IF(VLOOKUP($E$106,[1]UN!$A$2:$FA$67, 13, FALSE)="",":",VLOOKUP($E$106,[1]UN!$A$2:$FA$67, 13, FALSE))</f>
        <v>7628.26</v>
      </c>
      <c r="O106" s="544">
        <f>IF(VLOOKUP($E$106,[1]UN!$A$2:$FA$67, 14, FALSE)="",":",VLOOKUP($E$106,[1]UN!$A$2:$FA$67, 14, FALSE))</f>
        <v>8414.25</v>
      </c>
      <c r="P106" s="544">
        <f>IF(VLOOKUP($E$106,[1]UN!$A$2:$FA$67, 15, FALSE)="",":",VLOOKUP($E$106,[1]UN!$A$2:$FA$67, 15, FALSE))</f>
        <v>9117.44</v>
      </c>
      <c r="Q106" s="544">
        <f>IF(VLOOKUP($E$106,[1]UN!$A$2:$FA$67, 16, FALSE)="",":",VLOOKUP($E$106,[1]UN!$A$2:$FA$67, 16, FALSE))</f>
        <v>10468.870000000001</v>
      </c>
      <c r="R106" s="544">
        <f>IF(VLOOKUP($E$106,[1]UN!$A$2:$FA$67, 17, FALSE)="",":",VLOOKUP($E$106,[1]UN!$A$2:$FA$67, 17, FALSE))</f>
        <v>11424.27</v>
      </c>
      <c r="S106" s="544">
        <f>IF(VLOOKUP($E$106,[1]UN!$A$2:$FA$67, 18, FALSE)="",":",VLOOKUP($E$106,[1]UN!$A$2:$FA$67, 18, FALSE))</f>
        <v>13707.92</v>
      </c>
      <c r="T106" s="544">
        <f>IF(VLOOKUP($E$106,[1]UN!$A$2:$FA$67, 19, FALSE)="",":",VLOOKUP($E$106,[1]UN!$A$2:$FA$67, 19, FALSE))</f>
        <v>14882.71</v>
      </c>
      <c r="U106" s="544">
        <f>IF(VLOOKUP($E$106,[1]UN!$A$2:$FA$67, 20, FALSE)="",":",VLOOKUP($E$106,[1]UN!$A$2:$FA$67, 20, FALSE))</f>
        <v>12226.56</v>
      </c>
      <c r="V106" s="544">
        <f>IF(VLOOKUP($E$106,[1]UN!$A$2:$FA$67, 21, FALSE)="",":",VLOOKUP($E$106,[1]UN!$A$2:$FA$67, 21, FALSE))</f>
        <v>13627.14</v>
      </c>
      <c r="W106" s="544">
        <f>IF(VLOOKUP($E$106,[1]UN!$A$2:$FA$67, 22, FALSE)="",":",VLOOKUP($E$106,[1]UN!$A$2:$FA$67, 22, FALSE))</f>
        <v>15734.59</v>
      </c>
      <c r="X106" s="544">
        <f>IF(VLOOKUP($E$106,[1]UN!$A$2:$FA$67, 23, FALSE)="",":",VLOOKUP($E$106,[1]UN!$A$2:$FA$67, 23, FALSE))</f>
        <v>17053.64</v>
      </c>
      <c r="Y106" s="544">
        <f>IF(VLOOKUP($E$106,[1]UN!$A$2:$FA$67, 24, FALSE)="",":",VLOOKUP($E$106,[1]UN!$A$2:$FA$67, 24, FALSE))</f>
        <v>17805.41</v>
      </c>
      <c r="Z106" s="544">
        <f>IF(VLOOKUP($E$106,[1]UN!$A$2:$FA$67, 25, FALSE)="",":",VLOOKUP($E$106,[1]UN!$A$2:$FA$67, 25, FALSE))</f>
        <v>18282.46</v>
      </c>
      <c r="AA106" s="544">
        <f>IF(VLOOKUP($E$106,[1]UN!$A$2:$FA$67, 26, FALSE)="",":",VLOOKUP($E$106,[1]UN!$A$2:$FA$67, 26, FALSE))</f>
        <v>17924.57</v>
      </c>
      <c r="AB106" s="544">
        <f>IF(VLOOKUP($E$106,[1]UN!$A$2:$FA$67, 27, FALSE)="",":",VLOOKUP($E$106,[1]UN!$A$2:$FA$67, 27, FALSE))</f>
        <v>17732.099999999999</v>
      </c>
      <c r="AC106" s="544">
        <f>IF(VLOOKUP($E$106,[1]UN!$A$2:$FA$67, 28, FALSE)="",":",VLOOKUP($E$106,[1]UN!$A$2:$FA$67, 28, FALSE))</f>
        <v>19083.96</v>
      </c>
      <c r="AD106" s="544" t="str">
        <f>IF(VLOOKUP($E$106,[1]UN!$A$2:$FA$67, 29, FALSE)="",":",VLOOKUP($E$106,[1]UN!$A$2:$FA$67, 29, FALSE))</f>
        <v>:</v>
      </c>
      <c r="AE106" s="544" t="str">
        <f>IF(VLOOKUP($E$106,[1]UN!$A$2:$FA$67, 30, FALSE)="",":",VLOOKUP($E$106,[1]UN!$A$2:$FA$67, 30, FALSE))</f>
        <v>:</v>
      </c>
      <c r="AF106" s="544" t="str">
        <f>IF(VLOOKUP($E$106,[1]UN!$A$2:$FA$67, 31, FALSE)="",":",VLOOKUP($E$106,[1]UN!$A$2:$FA$67, 31, FALSE))</f>
        <v>:</v>
      </c>
    </row>
    <row r="107" spans="1:32">
      <c r="A107" s="533"/>
      <c r="B107" s="534"/>
      <c r="C107" s="535"/>
      <c r="D107" s="12"/>
      <c r="E107" s="13"/>
      <c r="F107" s="14"/>
      <c r="G107" s="544"/>
      <c r="H107" s="544"/>
      <c r="I107" s="544"/>
      <c r="J107" s="544"/>
      <c r="K107" s="544"/>
      <c r="L107" s="544"/>
      <c r="M107" s="544"/>
      <c r="N107" s="544"/>
      <c r="O107" s="544"/>
      <c r="P107" s="544"/>
      <c r="Q107" s="544"/>
      <c r="R107" s="544"/>
      <c r="S107" s="544"/>
      <c r="T107" s="544"/>
      <c r="U107" s="544"/>
      <c r="V107" s="544"/>
      <c r="W107" s="544"/>
      <c r="X107" s="544"/>
      <c r="Y107" s="544"/>
      <c r="Z107" s="544"/>
      <c r="AA107" s="544"/>
      <c r="AB107" s="544"/>
      <c r="AC107" s="544"/>
      <c r="AD107" s="544"/>
      <c r="AE107" s="544"/>
      <c r="AF107" s="544"/>
    </row>
    <row r="108" spans="1:32">
      <c r="A108" s="533"/>
      <c r="B108" s="534"/>
      <c r="C108" s="535"/>
      <c r="D108" s="12"/>
      <c r="E108" s="13"/>
      <c r="F108" s="14"/>
      <c r="G108" s="544"/>
      <c r="H108" s="544"/>
      <c r="I108" s="544"/>
      <c r="J108" s="544"/>
      <c r="K108" s="544"/>
      <c r="L108" s="544"/>
      <c r="M108" s="544"/>
      <c r="N108" s="544"/>
      <c r="O108" s="544"/>
      <c r="P108" s="544"/>
      <c r="Q108" s="544"/>
      <c r="R108" s="544"/>
      <c r="S108" s="544"/>
      <c r="T108" s="544"/>
      <c r="U108" s="544"/>
      <c r="V108" s="544"/>
      <c r="W108" s="544"/>
      <c r="X108" s="544"/>
      <c r="Y108" s="544"/>
      <c r="Z108" s="544"/>
      <c r="AA108" s="544"/>
      <c r="AB108" s="544"/>
      <c r="AC108" s="544"/>
      <c r="AD108" s="544"/>
      <c r="AE108" s="544"/>
      <c r="AF108" s="544"/>
    </row>
    <row r="109" spans="1:32">
      <c r="A109" s="533"/>
      <c r="B109" s="534"/>
      <c r="C109" s="535"/>
      <c r="D109" s="12"/>
      <c r="E109" s="13"/>
      <c r="F109" s="14"/>
      <c r="G109" s="544"/>
      <c r="H109" s="544"/>
      <c r="I109" s="544"/>
      <c r="J109" s="544"/>
      <c r="K109" s="544"/>
      <c r="L109" s="544"/>
      <c r="M109" s="544"/>
      <c r="N109" s="544"/>
      <c r="O109" s="544"/>
      <c r="P109" s="544"/>
      <c r="Q109" s="544"/>
      <c r="R109" s="544"/>
      <c r="S109" s="544"/>
      <c r="T109" s="544"/>
      <c r="U109" s="544"/>
      <c r="V109" s="544"/>
      <c r="W109" s="544"/>
      <c r="X109" s="544"/>
      <c r="Y109" s="544"/>
      <c r="Z109" s="544"/>
      <c r="AA109" s="544"/>
      <c r="AB109" s="544"/>
      <c r="AC109" s="544"/>
      <c r="AD109" s="544"/>
      <c r="AE109" s="544"/>
      <c r="AF109" s="544"/>
    </row>
    <row r="110" spans="1:32">
      <c r="A110" s="533"/>
      <c r="B110" s="534"/>
      <c r="C110" s="535"/>
      <c r="D110" s="12"/>
      <c r="E110" s="13"/>
      <c r="F110" s="14"/>
      <c r="G110" s="544"/>
      <c r="H110" s="544"/>
      <c r="I110" s="544"/>
      <c r="J110" s="544"/>
      <c r="K110" s="544"/>
      <c r="L110" s="544"/>
      <c r="M110" s="544"/>
      <c r="N110" s="544"/>
      <c r="O110" s="544"/>
      <c r="P110" s="544"/>
      <c r="Q110" s="544"/>
      <c r="R110" s="544"/>
      <c r="S110" s="544"/>
      <c r="T110" s="544"/>
      <c r="U110" s="544"/>
      <c r="V110" s="544"/>
      <c r="W110" s="544"/>
      <c r="X110" s="544"/>
      <c r="Y110" s="544"/>
      <c r="Z110" s="544"/>
      <c r="AA110" s="544"/>
      <c r="AB110" s="544"/>
      <c r="AC110" s="544"/>
      <c r="AD110" s="544"/>
      <c r="AE110" s="544"/>
      <c r="AF110" s="544"/>
    </row>
    <row r="111" spans="1:32">
      <c r="A111" s="533"/>
      <c r="B111" s="534"/>
      <c r="C111" s="535"/>
      <c r="D111" s="12"/>
      <c r="E111" s="13"/>
      <c r="F111" s="14"/>
      <c r="G111" s="544"/>
      <c r="H111" s="544"/>
      <c r="I111" s="544"/>
      <c r="J111" s="544"/>
      <c r="K111" s="544"/>
      <c r="L111" s="544"/>
      <c r="M111" s="544"/>
      <c r="N111" s="544"/>
      <c r="O111" s="544"/>
      <c r="P111" s="544"/>
      <c r="Q111" s="544"/>
      <c r="R111" s="544"/>
      <c r="S111" s="544"/>
      <c r="T111" s="544"/>
      <c r="U111" s="544"/>
      <c r="V111" s="544"/>
      <c r="W111" s="544"/>
      <c r="X111" s="544"/>
      <c r="Y111" s="544"/>
      <c r="Z111" s="544"/>
      <c r="AA111" s="544"/>
      <c r="AB111" s="544"/>
      <c r="AC111" s="544"/>
      <c r="AD111" s="544"/>
      <c r="AE111" s="544"/>
      <c r="AF111" s="544"/>
    </row>
    <row r="112" spans="1:32">
      <c r="A112" s="533"/>
      <c r="B112" s="534"/>
      <c r="C112" s="535"/>
      <c r="D112" s="12"/>
      <c r="E112" s="13"/>
      <c r="F112" s="14"/>
      <c r="G112" s="544"/>
      <c r="H112" s="544"/>
      <c r="I112" s="544"/>
      <c r="J112" s="544"/>
      <c r="K112" s="544"/>
      <c r="L112" s="544"/>
      <c r="M112" s="544"/>
      <c r="N112" s="544"/>
      <c r="O112" s="544"/>
      <c r="P112" s="544"/>
      <c r="Q112" s="544"/>
      <c r="R112" s="544"/>
      <c r="S112" s="544"/>
      <c r="T112" s="544"/>
      <c r="U112" s="544"/>
      <c r="V112" s="544"/>
      <c r="W112" s="544"/>
      <c r="X112" s="544"/>
      <c r="Y112" s="544"/>
      <c r="Z112" s="544"/>
      <c r="AA112" s="544"/>
      <c r="AB112" s="544"/>
      <c r="AC112" s="544"/>
      <c r="AD112" s="544"/>
      <c r="AE112" s="544"/>
      <c r="AF112" s="544"/>
    </row>
    <row r="113" spans="1:32">
      <c r="A113" s="533">
        <v>100</v>
      </c>
      <c r="B113" s="534" t="s">
        <v>1551</v>
      </c>
      <c r="C113" s="535" t="s">
        <v>313</v>
      </c>
      <c r="D113" s="12" t="s">
        <v>413</v>
      </c>
      <c r="E113" s="13">
        <v>3</v>
      </c>
      <c r="F113" s="14" t="str">
        <f>VLOOKUP($E$113,[1]UC!$A$2:$FA$48, 3, FALSE)</f>
        <v xml:space="preserve">3   Gross value added at basic prices  B1g                                               </v>
      </c>
      <c r="G113" s="544">
        <f>IF(VLOOKUP($E$113,[1]UC!$A$2:$FA$48, 6, FALSE)="",":",VLOOKUP($E$113,[1]UC!$A$2:$FA$48, 6, FALSE))</f>
        <v>3993.06</v>
      </c>
      <c r="H113" s="544">
        <f>IF(VLOOKUP($E$113,[1]UC!$A$2:$FA$48, 7, FALSE)="",":",VLOOKUP($E$113,[1]UC!$A$2:$FA$48, 7, FALSE))</f>
        <v>5025.9799999999996</v>
      </c>
      <c r="I113" s="544">
        <f>IF(VLOOKUP($E$113,[1]UC!$A$2:$FA$48, 8, FALSE)="",":",VLOOKUP($E$113,[1]UC!$A$2:$FA$48, 8, FALSE))</f>
        <v>5943.62</v>
      </c>
      <c r="J113" s="544">
        <f>IF(VLOOKUP($E$113,[1]UC!$A$2:$FA$48, 9, FALSE)="",":",VLOOKUP($E$113,[1]UC!$A$2:$FA$48, 9, FALSE))</f>
        <v>6482.41</v>
      </c>
      <c r="K113" s="544">
        <f>IF(VLOOKUP($E$113,[1]UC!$A$2:$FA$48, 10, FALSE)="",":",VLOOKUP($E$113,[1]UC!$A$2:$FA$48, 10, FALSE))</f>
        <v>6331.39</v>
      </c>
      <c r="L113" s="544">
        <f>IF(VLOOKUP($E$113,[1]UC!$A$2:$FA$48, 11, FALSE)="",":",VLOOKUP($E$113,[1]UC!$A$2:$FA$48, 11, FALSE))</f>
        <v>7040.54</v>
      </c>
      <c r="M113" s="544">
        <f>IF(VLOOKUP($E$113,[1]UC!$A$2:$FA$48, 12, FALSE)="",":",VLOOKUP($E$113,[1]UC!$A$2:$FA$48, 12, FALSE))</f>
        <v>7837.78</v>
      </c>
      <c r="N113" s="544">
        <f>IF(VLOOKUP($E$113,[1]UC!$A$2:$FA$48, 13, FALSE)="",":",VLOOKUP($E$113,[1]UC!$A$2:$FA$48, 13, FALSE))</f>
        <v>8652.69</v>
      </c>
      <c r="O113" s="544">
        <f>IF(VLOOKUP($E$113,[1]UC!$A$2:$FA$48, 14, FALSE)="",":",VLOOKUP($E$113,[1]UC!$A$2:$FA$48, 14, FALSE))</f>
        <v>9867.7000000000007</v>
      </c>
      <c r="P113" s="544">
        <f>IF(VLOOKUP($E$113,[1]UC!$A$2:$FA$48, 15, FALSE)="",":",VLOOKUP($E$113,[1]UC!$A$2:$FA$48, 15, FALSE))</f>
        <v>11100.08</v>
      </c>
      <c r="Q113" s="544">
        <f>IF(VLOOKUP($E$113,[1]UC!$A$2:$FA$48, 16, FALSE)="",":",VLOOKUP($E$113,[1]UC!$A$2:$FA$48, 16, FALSE))</f>
        <v>13076.6</v>
      </c>
      <c r="R113" s="544">
        <f>IF(VLOOKUP($E$113,[1]UC!$A$2:$FA$48, 17, FALSE)="",":",VLOOKUP($E$113,[1]UC!$A$2:$FA$48, 17, FALSE))</f>
        <v>15146.89</v>
      </c>
      <c r="S113" s="544">
        <f>IF(VLOOKUP($E$113,[1]UC!$A$2:$FA$48, 18, FALSE)="",":",VLOOKUP($E$113,[1]UC!$A$2:$FA$48, 18, FALSE))</f>
        <v>18652.310000000001</v>
      </c>
      <c r="T113" s="544">
        <f>IF(VLOOKUP($E$113,[1]UC!$A$2:$FA$48, 19, FALSE)="",":",VLOOKUP($E$113,[1]UC!$A$2:$FA$48, 19, FALSE))</f>
        <v>20888.43</v>
      </c>
      <c r="U113" s="544">
        <f>IF(VLOOKUP($E$113,[1]UC!$A$2:$FA$48, 20, FALSE)="",":",VLOOKUP($E$113,[1]UC!$A$2:$FA$48, 20, FALSE))</f>
        <v>16735.37</v>
      </c>
      <c r="V113" s="544">
        <f>IF(VLOOKUP($E$113,[1]UC!$A$2:$FA$48, 21, FALSE)="",":",VLOOKUP($E$113,[1]UC!$A$2:$FA$48, 21, FALSE))</f>
        <v>18234.16</v>
      </c>
      <c r="W113" s="544">
        <f>IF(VLOOKUP($E$113,[1]UC!$A$2:$FA$48, 22, FALSE)="",":",VLOOKUP($E$113,[1]UC!$A$2:$FA$48, 22, FALSE))</f>
        <v>20770.669999999998</v>
      </c>
      <c r="X113" s="544">
        <f>IF(VLOOKUP($E$113,[1]UC!$A$2:$FA$48, 23, FALSE)="",":",VLOOKUP($E$113,[1]UC!$A$2:$FA$48, 23, FALSE))</f>
        <v>22225.49</v>
      </c>
      <c r="Y113" s="544">
        <f>IF(VLOOKUP($E$113,[1]UC!$A$2:$FA$48, 24, FALSE)="",":",VLOOKUP($E$113,[1]UC!$A$2:$FA$48, 24, FALSE))</f>
        <v>23438.720000000001</v>
      </c>
      <c r="Z113" s="544">
        <f>IF(VLOOKUP($E$113,[1]UC!$A$2:$FA$48, 25, FALSE)="",":",VLOOKUP($E$113,[1]UC!$A$2:$FA$48, 25, FALSE))</f>
        <v>24500.11</v>
      </c>
      <c r="AA113" s="544">
        <f>IF(VLOOKUP($E$113,[1]UC!$A$2:$FA$48, 26, FALSE)="",":",VLOOKUP($E$113,[1]UC!$A$2:$FA$48, 26, FALSE))</f>
        <v>24728.16</v>
      </c>
      <c r="AB113" s="544">
        <f>IF(VLOOKUP($E$113,[1]UC!$A$2:$FA$48, 27, FALSE)="",":",VLOOKUP($E$113,[1]UC!$A$2:$FA$48, 27, FALSE))</f>
        <v>25567.38</v>
      </c>
      <c r="AC113" s="544" t="str">
        <f>IF(VLOOKUP($E$113,[1]UC!$A$2:$FA$48, 28, FALSE)="",":",VLOOKUP($E$113,[1]UC!$A$2:$FA$48, 28, FALSE))</f>
        <v>:</v>
      </c>
      <c r="AD113" s="544" t="str">
        <f>IF(VLOOKUP($E$113,[1]UC!$A$2:$FA$48, 29, FALSE)="",":",VLOOKUP($E$113,[1]UC!$A$2:$FA$48, 29, FALSE))</f>
        <v>:</v>
      </c>
      <c r="AE113" s="544" t="str">
        <f>IF(VLOOKUP($E$113,[1]UC!$A$2:$FA$48, 30, FALSE)="",":",VLOOKUP($E$113,[1]UC!$A$2:$FA$48, 30, FALSE))</f>
        <v>:</v>
      </c>
      <c r="AF113" s="544" t="str">
        <f>IF(VLOOKUP($E$113,[1]UC!$A$2:$FA$48, 31, FALSE)="",":",VLOOKUP($E$113,[1]UC!$A$2:$FA$48, 31, FALSE))</f>
        <v>:</v>
      </c>
    </row>
    <row r="114" spans="1:32">
      <c r="A114" s="533">
        <v>102</v>
      </c>
      <c r="B114" s="534" t="s">
        <v>1059</v>
      </c>
      <c r="C114" s="535" t="s">
        <v>314</v>
      </c>
      <c r="D114" s="12" t="s">
        <v>413</v>
      </c>
      <c r="E114" s="13">
        <v>7</v>
      </c>
      <c r="F114" s="14" t="str">
        <f>VLOOKUP($E$114,[1]UC!$A$2:$FA$48, 3, FALSE)</f>
        <v>7 Other taxes on production, payable D.29p</v>
      </c>
      <c r="G114" s="544">
        <f>IF(VLOOKUP($E$114,[1]UC!$A$2:$FA$48, 6, FALSE)="",":",VLOOKUP($E$114,[1]UC!$A$2:$FA$48, 6, FALSE))</f>
        <v>24.44</v>
      </c>
      <c r="H114" s="544">
        <f>IF(VLOOKUP($E$114,[1]UC!$A$2:$FA$48, 7, FALSE)="",":",VLOOKUP($E$114,[1]UC!$A$2:$FA$48, 7, FALSE))</f>
        <v>20.420000000000002</v>
      </c>
      <c r="I114" s="544">
        <f>IF(VLOOKUP($E$114,[1]UC!$A$2:$FA$48, 8, FALSE)="",":",VLOOKUP($E$114,[1]UC!$A$2:$FA$48, 8, FALSE))</f>
        <v>54.79</v>
      </c>
      <c r="J114" s="544">
        <f>IF(VLOOKUP($E$114,[1]UC!$A$2:$FA$48, 9, FALSE)="",":",VLOOKUP($E$114,[1]UC!$A$2:$FA$48, 9, FALSE))</f>
        <v>59.07</v>
      </c>
      <c r="K114" s="544">
        <f>IF(VLOOKUP($E$114,[1]UC!$A$2:$FA$48, 10, FALSE)="",":",VLOOKUP($E$114,[1]UC!$A$2:$FA$48, 10, FALSE))</f>
        <v>71.02</v>
      </c>
      <c r="L114" s="544">
        <f>IF(VLOOKUP($E$114,[1]UC!$A$2:$FA$48, 11, FALSE)="",":",VLOOKUP($E$114,[1]UC!$A$2:$FA$48, 11, FALSE))</f>
        <v>61.15</v>
      </c>
      <c r="M114" s="544">
        <f>IF(VLOOKUP($E$114,[1]UC!$A$2:$FA$48, 12, FALSE)="",":",VLOOKUP($E$114,[1]UC!$A$2:$FA$48, 12, FALSE))</f>
        <v>65.7</v>
      </c>
      <c r="N114" s="544">
        <f>IF(VLOOKUP($E$114,[1]UC!$A$2:$FA$48, 13, FALSE)="",":",VLOOKUP($E$114,[1]UC!$A$2:$FA$48, 13, FALSE))</f>
        <v>60.03</v>
      </c>
      <c r="O114" s="544">
        <f>IF(VLOOKUP($E$114,[1]UC!$A$2:$FA$48, 14, FALSE)="",":",VLOOKUP($E$114,[1]UC!$A$2:$FA$48, 14, FALSE))</f>
        <v>78.19</v>
      </c>
      <c r="P114" s="544">
        <f>IF(VLOOKUP($E$114,[1]UC!$A$2:$FA$48, 15, FALSE)="",":",VLOOKUP($E$114,[1]UC!$A$2:$FA$48, 15, FALSE))</f>
        <v>100.31</v>
      </c>
      <c r="Q114" s="544">
        <f>IF(VLOOKUP($E$114,[1]UC!$A$2:$FA$48, 16, FALSE)="",":",VLOOKUP($E$114,[1]UC!$A$2:$FA$48, 16, FALSE))</f>
        <v>109.57</v>
      </c>
      <c r="R114" s="544">
        <f>IF(VLOOKUP($E$114,[1]UC!$A$2:$FA$48, 17, FALSE)="",":",VLOOKUP($E$114,[1]UC!$A$2:$FA$48, 17, FALSE))</f>
        <v>137.01</v>
      </c>
      <c r="S114" s="544">
        <f>IF(VLOOKUP($E$114,[1]UC!$A$2:$FA$48, 18, FALSE)="",":",VLOOKUP($E$114,[1]UC!$A$2:$FA$48, 18, FALSE))</f>
        <v>157.27000000000001</v>
      </c>
      <c r="T114" s="544">
        <f>IF(VLOOKUP($E$114,[1]UC!$A$2:$FA$48, 19, FALSE)="",":",VLOOKUP($E$114,[1]UC!$A$2:$FA$48, 19, FALSE))</f>
        <v>152.79</v>
      </c>
      <c r="U114" s="544">
        <f>IF(VLOOKUP($E$114,[1]UC!$A$2:$FA$48, 20, FALSE)="",":",VLOOKUP($E$114,[1]UC!$A$2:$FA$48, 20, FALSE))</f>
        <v>153.37</v>
      </c>
      <c r="V114" s="544">
        <f>IF(VLOOKUP($E$114,[1]UC!$A$2:$FA$48, 21, FALSE)="",":",VLOOKUP($E$114,[1]UC!$A$2:$FA$48, 21, FALSE))</f>
        <v>148.97999999999999</v>
      </c>
      <c r="W114" s="544">
        <f>IF(VLOOKUP($E$114,[1]UC!$A$2:$FA$48, 22, FALSE)="",":",VLOOKUP($E$114,[1]UC!$A$2:$FA$48, 22, FALSE))</f>
        <v>161.41999999999999</v>
      </c>
      <c r="X114" s="544">
        <f>IF(VLOOKUP($E$114,[1]UC!$A$2:$FA$48, 23, FALSE)="",":",VLOOKUP($E$114,[1]UC!$A$2:$FA$48, 23, FALSE))</f>
        <v>169.39</v>
      </c>
      <c r="Y114" s="544">
        <f>IF(VLOOKUP($E$114,[1]UC!$A$2:$FA$48, 24, FALSE)="",":",VLOOKUP($E$114,[1]UC!$A$2:$FA$48, 24, FALSE))</f>
        <v>180.54</v>
      </c>
      <c r="Z114" s="544">
        <f>IF(VLOOKUP($E$114,[1]UC!$A$2:$FA$48, 25, FALSE)="",":",VLOOKUP($E$114,[1]UC!$A$2:$FA$48, 25, FALSE))</f>
        <v>203.43</v>
      </c>
      <c r="AA114" s="544">
        <f>IF(VLOOKUP($E$114,[1]UC!$A$2:$FA$48, 26, FALSE)="",":",VLOOKUP($E$114,[1]UC!$A$2:$FA$48, 26, FALSE))</f>
        <v>215.67</v>
      </c>
      <c r="AB114" s="544">
        <f>IF(VLOOKUP($E$114,[1]UC!$A$2:$FA$48, 27, FALSE)="",":",VLOOKUP($E$114,[1]UC!$A$2:$FA$48, 27, FALSE))</f>
        <v>192.43</v>
      </c>
      <c r="AC114" s="544" t="str">
        <f>IF(VLOOKUP($E$114,[1]UC!$A$2:$FA$48, 28, FALSE)="",":",VLOOKUP($E$114,[1]UC!$A$2:$FA$48, 28, FALSE))</f>
        <v>:</v>
      </c>
      <c r="AD114" s="544" t="str">
        <f>IF(VLOOKUP($E$114,[1]UC!$A$2:$FA$48, 29, FALSE)="",":",VLOOKUP($E$114,[1]UC!$A$2:$FA$48, 29, FALSE))</f>
        <v>:</v>
      </c>
      <c r="AE114" s="544" t="str">
        <f>IF(VLOOKUP($E$114,[1]UC!$A$2:$FA$48, 30, FALSE)="",":",VLOOKUP($E$114,[1]UC!$A$2:$FA$48, 30, FALSE))</f>
        <v>:</v>
      </c>
      <c r="AF114" s="544" t="str">
        <f>IF(VLOOKUP($E$114,[1]UC!$A$2:$FA$48, 31, FALSE)="",":",VLOOKUP($E$114,[1]UC!$A$2:$FA$48, 31, FALSE))</f>
        <v>:</v>
      </c>
    </row>
    <row r="115" spans="1:32">
      <c r="A115" s="533">
        <v>101</v>
      </c>
      <c r="B115" s="534" t="s">
        <v>383</v>
      </c>
      <c r="C115" s="535" t="s">
        <v>420</v>
      </c>
      <c r="D115" s="12" t="s">
        <v>413</v>
      </c>
      <c r="E115" s="13">
        <v>8</v>
      </c>
      <c r="F115" s="14" t="str">
        <f>VLOOKUP($E$115,[1]UC!$A$2:$FA$48, 3, FALSE)</f>
        <v>8 Other subsidies on production receivable D.39r</v>
      </c>
      <c r="G115" s="544">
        <f>IF(VLOOKUP($E$115,[1]UC!$A$2:$FA$48, 6, FALSE)="",":",VLOOKUP($E$115,[1]UC!$A$2:$FA$48, 6, FALSE))</f>
        <v>9.7899999999999991</v>
      </c>
      <c r="H115" s="544">
        <f>IF(VLOOKUP($E$115,[1]UC!$A$2:$FA$48, 7, FALSE)="",":",VLOOKUP($E$115,[1]UC!$A$2:$FA$48, 7, FALSE))</f>
        <v>26.85</v>
      </c>
      <c r="I115" s="544">
        <f>IF(VLOOKUP($E$115,[1]UC!$A$2:$FA$48, 8, FALSE)="",":",VLOOKUP($E$115,[1]UC!$A$2:$FA$48, 8, FALSE))</f>
        <v>38</v>
      </c>
      <c r="J115" s="544">
        <f>IF(VLOOKUP($E$115,[1]UC!$A$2:$FA$48, 9, FALSE)="",":",VLOOKUP($E$115,[1]UC!$A$2:$FA$48, 9, FALSE))</f>
        <v>27.57</v>
      </c>
      <c r="K115" s="544">
        <f>IF(VLOOKUP($E$115,[1]UC!$A$2:$FA$48, 10, FALSE)="",":",VLOOKUP($E$115,[1]UC!$A$2:$FA$48, 10, FALSE))</f>
        <v>16.27</v>
      </c>
      <c r="L115" s="544">
        <f>IF(VLOOKUP($E$115,[1]UC!$A$2:$FA$48, 11, FALSE)="",":",VLOOKUP($E$115,[1]UC!$A$2:$FA$48, 11, FALSE))</f>
        <v>2.5300000000000002</v>
      </c>
      <c r="M115" s="544">
        <f>IF(VLOOKUP($E$115,[1]UC!$A$2:$FA$48, 12, FALSE)="",":",VLOOKUP($E$115,[1]UC!$A$2:$FA$48, 12, FALSE))</f>
        <v>31.58</v>
      </c>
      <c r="N115" s="544">
        <f>IF(VLOOKUP($E$115,[1]UC!$A$2:$FA$48, 13, FALSE)="",":",VLOOKUP($E$115,[1]UC!$A$2:$FA$48, 13, FALSE))</f>
        <v>18.100000000000001</v>
      </c>
      <c r="O115" s="544">
        <f>IF(VLOOKUP($E$115,[1]UC!$A$2:$FA$48, 14, FALSE)="",":",VLOOKUP($E$115,[1]UC!$A$2:$FA$48, 14, FALSE))</f>
        <v>14.15</v>
      </c>
      <c r="P115" s="544">
        <f>IF(VLOOKUP($E$115,[1]UC!$A$2:$FA$48, 15, FALSE)="",":",VLOOKUP($E$115,[1]UC!$A$2:$FA$48, 15, FALSE))</f>
        <v>22.14</v>
      </c>
      <c r="Q115" s="544">
        <f>IF(VLOOKUP($E$115,[1]UC!$A$2:$FA$48, 16, FALSE)="",":",VLOOKUP($E$115,[1]UC!$A$2:$FA$48, 16, FALSE))</f>
        <v>22.51</v>
      </c>
      <c r="R115" s="544">
        <f>IF(VLOOKUP($E$115,[1]UC!$A$2:$FA$48, 17, FALSE)="",":",VLOOKUP($E$115,[1]UC!$A$2:$FA$48, 17, FALSE))</f>
        <v>66.27</v>
      </c>
      <c r="S115" s="544">
        <f>IF(VLOOKUP($E$115,[1]UC!$A$2:$FA$48, 18, FALSE)="",":",VLOOKUP($E$115,[1]UC!$A$2:$FA$48, 18, FALSE))</f>
        <v>71.400000000000006</v>
      </c>
      <c r="T115" s="544">
        <f>IF(VLOOKUP($E$115,[1]UC!$A$2:$FA$48, 19, FALSE)="",":",VLOOKUP($E$115,[1]UC!$A$2:$FA$48, 19, FALSE))</f>
        <v>36.409999999999997</v>
      </c>
      <c r="U115" s="544">
        <f>IF(VLOOKUP($E$115,[1]UC!$A$2:$FA$48, 20, FALSE)="",":",VLOOKUP($E$115,[1]UC!$A$2:$FA$48, 20, FALSE))</f>
        <v>18.98</v>
      </c>
      <c r="V115" s="544">
        <f>IF(VLOOKUP($E$115,[1]UC!$A$2:$FA$48, 21, FALSE)="",":",VLOOKUP($E$115,[1]UC!$A$2:$FA$48, 21, FALSE))</f>
        <v>45.65</v>
      </c>
      <c r="W115" s="544">
        <f>IF(VLOOKUP($E$115,[1]UC!$A$2:$FA$48, 22, FALSE)="",":",VLOOKUP($E$115,[1]UC!$A$2:$FA$48, 22, FALSE))</f>
        <v>26.89</v>
      </c>
      <c r="X115" s="544">
        <f>IF(VLOOKUP($E$115,[1]UC!$A$2:$FA$48, 23, FALSE)="",":",VLOOKUP($E$115,[1]UC!$A$2:$FA$48, 23, FALSE))</f>
        <v>25.72</v>
      </c>
      <c r="Y115" s="544">
        <f>IF(VLOOKUP($E$115,[1]UC!$A$2:$FA$48, 24, FALSE)="",":",VLOOKUP($E$115,[1]UC!$A$2:$FA$48, 24, FALSE))</f>
        <v>49.03</v>
      </c>
      <c r="Z115" s="544">
        <f>IF(VLOOKUP($E$115,[1]UC!$A$2:$FA$48, 25, FALSE)="",":",VLOOKUP($E$115,[1]UC!$A$2:$FA$48, 25, FALSE))</f>
        <v>47.33</v>
      </c>
      <c r="AA115" s="544">
        <f>IF(VLOOKUP($E$115,[1]UC!$A$2:$FA$48, 26, FALSE)="",":",VLOOKUP($E$115,[1]UC!$A$2:$FA$48, 26, FALSE))</f>
        <v>60.97</v>
      </c>
      <c r="AB115" s="544">
        <f>IF(VLOOKUP($E$115,[1]UC!$A$2:$FA$48, 27, FALSE)="",":",VLOOKUP($E$115,[1]UC!$A$2:$FA$48, 27, FALSE))</f>
        <v>72.87</v>
      </c>
      <c r="AC115" s="544" t="str">
        <f>IF(VLOOKUP($E$115,[1]UC!$A$2:$FA$48, 28, FALSE)="",":",VLOOKUP($E$115,[1]UC!$A$2:$FA$48, 28, FALSE))</f>
        <v>:</v>
      </c>
      <c r="AD115" s="544" t="str">
        <f>IF(VLOOKUP($E$115,[1]UC!$A$2:$FA$48, 29, FALSE)="",":",VLOOKUP($E$115,[1]UC!$A$2:$FA$48, 29, FALSE))</f>
        <v>:</v>
      </c>
      <c r="AE115" s="544" t="str">
        <f>IF(VLOOKUP($E$115,[1]UC!$A$2:$FA$48, 30, FALSE)="",":",VLOOKUP($E$115,[1]UC!$A$2:$FA$48, 30, FALSE))</f>
        <v>:</v>
      </c>
      <c r="AF115" s="544" t="str">
        <f>IF(VLOOKUP($E$115,[1]UC!$A$2:$FA$48, 31, FALSE)="",":",VLOOKUP($E$115,[1]UC!$A$2:$FA$48, 31, FALSE))</f>
        <v>:</v>
      </c>
    </row>
    <row r="116" spans="1:32">
      <c r="A116" s="533">
        <v>103</v>
      </c>
      <c r="B116" s="534" t="s">
        <v>1158</v>
      </c>
      <c r="C116" s="535" t="s">
        <v>315</v>
      </c>
      <c r="D116" s="12" t="s">
        <v>413</v>
      </c>
      <c r="E116" s="13">
        <v>6</v>
      </c>
      <c r="F116" s="14" t="str">
        <f>VLOOKUP($E$116,[1]UC!$A$2:$FA$48, 3, FALSE)</f>
        <v xml:space="preserve">6   Compensation of employees, payable  D.1p                                  </v>
      </c>
      <c r="G116" s="544">
        <f>IF(VLOOKUP($E$116,[1]UC!$A$2:$FA$48, 6, FALSE)="",":",VLOOKUP($E$116,[1]UC!$A$2:$FA$48, 6, FALSE))</f>
        <v>2017.06</v>
      </c>
      <c r="H116" s="544">
        <f>IF(VLOOKUP($E$116,[1]UC!$A$2:$FA$48, 7, FALSE)="",":",VLOOKUP($E$116,[1]UC!$A$2:$FA$48, 7, FALSE))</f>
        <v>2529.5700000000002</v>
      </c>
      <c r="I116" s="544">
        <f>IF(VLOOKUP($E$116,[1]UC!$A$2:$FA$48, 8, FALSE)="",":",VLOOKUP($E$116,[1]UC!$A$2:$FA$48, 8, FALSE))</f>
        <v>3048.64</v>
      </c>
      <c r="J116" s="544">
        <f>IF(VLOOKUP($E$116,[1]UC!$A$2:$FA$48, 9, FALSE)="",":",VLOOKUP($E$116,[1]UC!$A$2:$FA$48, 9, FALSE))</f>
        <v>3518.14</v>
      </c>
      <c r="K116" s="544">
        <f>IF(VLOOKUP($E$116,[1]UC!$A$2:$FA$48, 10, FALSE)="",":",VLOOKUP($E$116,[1]UC!$A$2:$FA$48, 10, FALSE))</f>
        <v>3585.65</v>
      </c>
      <c r="L116" s="544">
        <f>IF(VLOOKUP($E$116,[1]UC!$A$2:$FA$48, 11, FALSE)="",":",VLOOKUP($E$116,[1]UC!$A$2:$FA$48, 11, FALSE))</f>
        <v>3371.24</v>
      </c>
      <c r="M116" s="544">
        <f>IF(VLOOKUP($E$116,[1]UC!$A$2:$FA$48, 12, FALSE)="",":",VLOOKUP($E$116,[1]UC!$A$2:$FA$48, 12, FALSE))</f>
        <v>3419.67</v>
      </c>
      <c r="N116" s="544">
        <f>IF(VLOOKUP($E$116,[1]UC!$A$2:$FA$48, 13, FALSE)="",":",VLOOKUP($E$116,[1]UC!$A$2:$FA$48, 13, FALSE))</f>
        <v>3772.54</v>
      </c>
      <c r="O116" s="544">
        <f>IF(VLOOKUP($E$116,[1]UC!$A$2:$FA$48, 14, FALSE)="",":",VLOOKUP($E$116,[1]UC!$A$2:$FA$48, 14, FALSE))</f>
        <v>4297.9799999999996</v>
      </c>
      <c r="P116" s="544">
        <f>IF(VLOOKUP($E$116,[1]UC!$A$2:$FA$48, 15, FALSE)="",":",VLOOKUP($E$116,[1]UC!$A$2:$FA$48, 15, FALSE))</f>
        <v>4950.12</v>
      </c>
      <c r="Q116" s="544">
        <f>IF(VLOOKUP($E$116,[1]UC!$A$2:$FA$48, 16, FALSE)="",":",VLOOKUP($E$116,[1]UC!$A$2:$FA$48, 16, FALSE))</f>
        <v>5917.67</v>
      </c>
      <c r="R116" s="544">
        <f>IF(VLOOKUP($E$116,[1]UC!$A$2:$FA$48, 17, FALSE)="",":",VLOOKUP($E$116,[1]UC!$A$2:$FA$48, 17, FALSE))</f>
        <v>7232.6</v>
      </c>
      <c r="S116" s="544">
        <f>IF(VLOOKUP($E$116,[1]UC!$A$2:$FA$48, 18, FALSE)="",":",VLOOKUP($E$116,[1]UC!$A$2:$FA$48, 18, FALSE))</f>
        <v>8760.64</v>
      </c>
      <c r="T116" s="544">
        <f>IF(VLOOKUP($E$116,[1]UC!$A$2:$FA$48, 19, FALSE)="",":",VLOOKUP($E$116,[1]UC!$A$2:$FA$48, 19, FALSE))</f>
        <v>10118.370000000001</v>
      </c>
      <c r="U116" s="544">
        <f>IF(VLOOKUP($E$116,[1]UC!$A$2:$FA$48, 20, FALSE)="",":",VLOOKUP($E$116,[1]UC!$A$2:$FA$48, 20, FALSE))</f>
        <v>8014.44</v>
      </c>
      <c r="V116" s="544">
        <f>IF(VLOOKUP($E$116,[1]UC!$A$2:$FA$48, 21, FALSE)="",":",VLOOKUP($E$116,[1]UC!$A$2:$FA$48, 21, FALSE))</f>
        <v>7950.25</v>
      </c>
      <c r="W116" s="544">
        <f>IF(VLOOKUP($E$116,[1]UC!$A$2:$FA$48, 22, FALSE)="",":",VLOOKUP($E$116,[1]UC!$A$2:$FA$48, 22, FALSE))</f>
        <v>8626.9599999999991</v>
      </c>
      <c r="X116" s="544">
        <f>IF(VLOOKUP($E$116,[1]UC!$A$2:$FA$48, 23, FALSE)="",":",VLOOKUP($E$116,[1]UC!$A$2:$FA$48, 23, FALSE))</f>
        <v>9275.5400000000009</v>
      </c>
      <c r="Y116" s="544">
        <f>IF(VLOOKUP($E$116,[1]UC!$A$2:$FA$48, 24, FALSE)="",":",VLOOKUP($E$116,[1]UC!$A$2:$FA$48, 24, FALSE))</f>
        <v>9920.35</v>
      </c>
      <c r="Z116" s="544">
        <f>IF(VLOOKUP($E$116,[1]UC!$A$2:$FA$48, 25, FALSE)="",":",VLOOKUP($E$116,[1]UC!$A$2:$FA$48, 25, FALSE))</f>
        <v>10668.33</v>
      </c>
      <c r="AA116" s="544">
        <f>IF(VLOOKUP($E$116,[1]UC!$A$2:$FA$48, 26, FALSE)="",":",VLOOKUP($E$116,[1]UC!$A$2:$FA$48, 26, FALSE))</f>
        <v>11525.49</v>
      </c>
      <c r="AB116" s="544">
        <f>IF(VLOOKUP($E$116,[1]UC!$A$2:$FA$48, 27, FALSE)="",":",VLOOKUP($E$116,[1]UC!$A$2:$FA$48, 27, FALSE))</f>
        <v>12637.39</v>
      </c>
      <c r="AC116" s="544" t="str">
        <f>IF(VLOOKUP($E$116,[1]UC!$A$2:$FA$48, 28, FALSE)="",":",VLOOKUP($E$116,[1]UC!$A$2:$FA$48, 28, FALSE))</f>
        <v>:</v>
      </c>
      <c r="AD116" s="544" t="str">
        <f>IF(VLOOKUP($E$116,[1]UC!$A$2:$FA$48, 29, FALSE)="",":",VLOOKUP($E$116,[1]UC!$A$2:$FA$48, 29, FALSE))</f>
        <v>:</v>
      </c>
      <c r="AE116" s="544" t="str">
        <f>IF(VLOOKUP($E$116,[1]UC!$A$2:$FA$48, 30, FALSE)="",":",VLOOKUP($E$116,[1]UC!$A$2:$FA$48, 30, FALSE))</f>
        <v>:</v>
      </c>
      <c r="AF116" s="544" t="str">
        <f>IF(VLOOKUP($E$116,[1]UC!$A$2:$FA$48, 31, FALSE)="",":",VLOOKUP($E$116,[1]UC!$A$2:$FA$48, 31, FALSE))</f>
        <v>:</v>
      </c>
    </row>
    <row r="117" spans="1:32">
      <c r="A117" s="533"/>
      <c r="B117" s="534" t="s">
        <v>418</v>
      </c>
      <c r="C117" s="535" t="s">
        <v>421</v>
      </c>
      <c r="D117" s="12" t="s">
        <v>413</v>
      </c>
      <c r="E117" s="13">
        <v>10</v>
      </c>
      <c r="F117" s="14" t="str">
        <f>VLOOKUP($E$117,[1]UC!$A$2:$FA$48, 3, FALSE)</f>
        <v>10 Property income, receivable D.4r</v>
      </c>
      <c r="G117" s="544">
        <f>IF(VLOOKUP($E$117,[1]UC!$A$2:$FA$48, 6, FALSE)="",":",VLOOKUP($E$117,[1]UC!$A$2:$FA$48, 6, FALSE))</f>
        <v>335.13</v>
      </c>
      <c r="H117" s="544">
        <f>IF(VLOOKUP($E$117,[1]UC!$A$2:$FA$48, 7, FALSE)="",":",VLOOKUP($E$117,[1]UC!$A$2:$FA$48, 7, FALSE))</f>
        <v>219.05</v>
      </c>
      <c r="I117" s="544">
        <f>IF(VLOOKUP($E$117,[1]UC!$A$2:$FA$48, 8, FALSE)="",":",VLOOKUP($E$117,[1]UC!$A$2:$FA$48, 8, FALSE))</f>
        <v>257.66000000000003</v>
      </c>
      <c r="J117" s="544">
        <f>IF(VLOOKUP($E$117,[1]UC!$A$2:$FA$48, 9, FALSE)="",":",VLOOKUP($E$117,[1]UC!$A$2:$FA$48, 9, FALSE))</f>
        <v>379.46</v>
      </c>
      <c r="K117" s="544">
        <f>IF(VLOOKUP($E$117,[1]UC!$A$2:$FA$48, 10, FALSE)="",":",VLOOKUP($E$117,[1]UC!$A$2:$FA$48, 10, FALSE))</f>
        <v>394.08</v>
      </c>
      <c r="L117" s="544">
        <f>IF(VLOOKUP($E$117,[1]UC!$A$2:$FA$48, 11, FALSE)="",":",VLOOKUP($E$117,[1]UC!$A$2:$FA$48, 11, FALSE))</f>
        <v>409.34</v>
      </c>
      <c r="M117" s="544">
        <f>IF(VLOOKUP($E$117,[1]UC!$A$2:$FA$48, 12, FALSE)="",":",VLOOKUP($E$117,[1]UC!$A$2:$FA$48, 12, FALSE))</f>
        <v>391.75</v>
      </c>
      <c r="N117" s="544">
        <f>IF(VLOOKUP($E$117,[1]UC!$A$2:$FA$48, 13, FALSE)="",":",VLOOKUP($E$117,[1]UC!$A$2:$FA$48, 13, FALSE))</f>
        <v>390.16</v>
      </c>
      <c r="O117" s="544">
        <f>IF(VLOOKUP($E$117,[1]UC!$A$2:$FA$48, 14, FALSE)="",":",VLOOKUP($E$117,[1]UC!$A$2:$FA$48, 14, FALSE))</f>
        <v>403.54</v>
      </c>
      <c r="P117" s="544">
        <f>IF(VLOOKUP($E$117,[1]UC!$A$2:$FA$48, 15, FALSE)="",":",VLOOKUP($E$117,[1]UC!$A$2:$FA$48, 15, FALSE))</f>
        <v>711.28</v>
      </c>
      <c r="Q117" s="544">
        <f>IF(VLOOKUP($E$117,[1]UC!$A$2:$FA$48, 16, FALSE)="",":",VLOOKUP($E$117,[1]UC!$A$2:$FA$48, 16, FALSE))</f>
        <v>779.4</v>
      </c>
      <c r="R117" s="544">
        <f>IF(VLOOKUP($E$117,[1]UC!$A$2:$FA$48, 17, FALSE)="",":",VLOOKUP($E$117,[1]UC!$A$2:$FA$48, 17, FALSE))</f>
        <v>1128.52</v>
      </c>
      <c r="S117" s="544">
        <f>IF(VLOOKUP($E$117,[1]UC!$A$2:$FA$48, 18, FALSE)="",":",VLOOKUP($E$117,[1]UC!$A$2:$FA$48, 18, FALSE))</f>
        <v>1390.18</v>
      </c>
      <c r="T117" s="544">
        <f>IF(VLOOKUP($E$117,[1]UC!$A$2:$FA$48, 19, FALSE)="",":",VLOOKUP($E$117,[1]UC!$A$2:$FA$48, 19, FALSE))</f>
        <v>1970.52</v>
      </c>
      <c r="U117" s="544">
        <f>IF(VLOOKUP($E$117,[1]UC!$A$2:$FA$48, 20, FALSE)="",":",VLOOKUP($E$117,[1]UC!$A$2:$FA$48, 20, FALSE))</f>
        <v>1602.54</v>
      </c>
      <c r="V117" s="544">
        <f>IF(VLOOKUP($E$117,[1]UC!$A$2:$FA$48, 21, FALSE)="",":",VLOOKUP($E$117,[1]UC!$A$2:$FA$48, 21, FALSE))</f>
        <v>1120.44</v>
      </c>
      <c r="W117" s="544">
        <f>IF(VLOOKUP($E$117,[1]UC!$A$2:$FA$48, 22, FALSE)="",":",VLOOKUP($E$117,[1]UC!$A$2:$FA$48, 22, FALSE))</f>
        <v>1148.48</v>
      </c>
      <c r="X117" s="544">
        <f>IF(VLOOKUP($E$117,[1]UC!$A$2:$FA$48, 23, FALSE)="",":",VLOOKUP($E$117,[1]UC!$A$2:$FA$48, 23, FALSE))</f>
        <v>1277.82</v>
      </c>
      <c r="Y117" s="544">
        <f>IF(VLOOKUP($E$117,[1]UC!$A$2:$FA$48, 24, FALSE)="",":",VLOOKUP($E$117,[1]UC!$A$2:$FA$48, 24, FALSE))</f>
        <v>961.34</v>
      </c>
      <c r="Z117" s="544">
        <f>IF(VLOOKUP($E$117,[1]UC!$A$2:$FA$48, 25, FALSE)="",":",VLOOKUP($E$117,[1]UC!$A$2:$FA$48, 25, FALSE))</f>
        <v>824.64</v>
      </c>
      <c r="AA117" s="544">
        <f>IF(VLOOKUP($E$117,[1]UC!$A$2:$FA$48, 26, FALSE)="",":",VLOOKUP($E$117,[1]UC!$A$2:$FA$48, 26, FALSE))</f>
        <v>1299.0899999999999</v>
      </c>
      <c r="AB117" s="544">
        <f>IF(VLOOKUP($E$117,[1]UC!$A$2:$FA$48, 27, FALSE)="",":",VLOOKUP($E$117,[1]UC!$A$2:$FA$48, 27, FALSE))</f>
        <v>1137.06</v>
      </c>
      <c r="AC117" s="544" t="str">
        <f>IF(VLOOKUP($E$117,[1]UC!$A$2:$FA$48, 28, FALSE)="",":",VLOOKUP($E$117,[1]UC!$A$2:$FA$48, 28, FALSE))</f>
        <v>:</v>
      </c>
      <c r="AD117" s="544" t="str">
        <f>IF(VLOOKUP($E$117,[1]UC!$A$2:$FA$48, 29, FALSE)="",":",VLOOKUP($E$117,[1]UC!$A$2:$FA$48, 29, FALSE))</f>
        <v>:</v>
      </c>
      <c r="AE117" s="544" t="str">
        <f>IF(VLOOKUP($E$117,[1]UC!$A$2:$FA$48, 30, FALSE)="",":",VLOOKUP($E$117,[1]UC!$A$2:$FA$48, 30, FALSE))</f>
        <v>:</v>
      </c>
      <c r="AF117" s="544" t="str">
        <f>IF(VLOOKUP($E$117,[1]UC!$A$2:$FA$48, 31, FALSE)="",":",VLOOKUP($E$117,[1]UC!$A$2:$FA$48, 31, FALSE))</f>
        <v>:</v>
      </c>
    </row>
    <row r="118" spans="1:32">
      <c r="A118" s="533"/>
      <c r="B118" s="534" t="s">
        <v>419</v>
      </c>
      <c r="C118" s="535" t="s">
        <v>422</v>
      </c>
      <c r="D118" s="12" t="s">
        <v>413</v>
      </c>
      <c r="E118" s="13">
        <v>11</v>
      </c>
      <c r="F118" s="14" t="str">
        <f>VLOOKUP($E$118,[1]UC!$A$2:$FA$48, 3, FALSE)</f>
        <v>11 Property income, payable D.4p</v>
      </c>
      <c r="G118" s="544">
        <f>IF(VLOOKUP($E$118,[1]UC!$A$2:$FA$48, 6, FALSE)="",":",VLOOKUP($E$118,[1]UC!$A$2:$FA$48, 6, FALSE))</f>
        <v>1119.1500000000001</v>
      </c>
      <c r="H118" s="544">
        <f>IF(VLOOKUP($E$118,[1]UC!$A$2:$FA$48, 7, FALSE)="",":",VLOOKUP($E$118,[1]UC!$A$2:$FA$48, 7, FALSE))</f>
        <v>1145.18</v>
      </c>
      <c r="I118" s="544">
        <f>IF(VLOOKUP($E$118,[1]UC!$A$2:$FA$48, 8, FALSE)="",":",VLOOKUP($E$118,[1]UC!$A$2:$FA$48, 8, FALSE))</f>
        <v>1561.18</v>
      </c>
      <c r="J118" s="544">
        <f>IF(VLOOKUP($E$118,[1]UC!$A$2:$FA$48, 9, FALSE)="",":",VLOOKUP($E$118,[1]UC!$A$2:$FA$48, 9, FALSE))</f>
        <v>1998</v>
      </c>
      <c r="K118" s="544">
        <f>IF(VLOOKUP($E$118,[1]UC!$A$2:$FA$48, 10, FALSE)="",":",VLOOKUP($E$118,[1]UC!$A$2:$FA$48, 10, FALSE))</f>
        <v>1945.72</v>
      </c>
      <c r="L118" s="544">
        <f>IF(VLOOKUP($E$118,[1]UC!$A$2:$FA$48, 11, FALSE)="",":",VLOOKUP($E$118,[1]UC!$A$2:$FA$48, 11, FALSE))</f>
        <v>2851.07</v>
      </c>
      <c r="M118" s="544">
        <f>IF(VLOOKUP($E$118,[1]UC!$A$2:$FA$48, 12, FALSE)="",":",VLOOKUP($E$118,[1]UC!$A$2:$FA$48, 12, FALSE))</f>
        <v>3089.62</v>
      </c>
      <c r="N118" s="544">
        <f>IF(VLOOKUP($E$118,[1]UC!$A$2:$FA$48, 13, FALSE)="",":",VLOOKUP($E$118,[1]UC!$A$2:$FA$48, 13, FALSE))</f>
        <v>3420.42</v>
      </c>
      <c r="O118" s="544">
        <f>IF(VLOOKUP($E$118,[1]UC!$A$2:$FA$48, 14, FALSE)="",":",VLOOKUP($E$118,[1]UC!$A$2:$FA$48, 14, FALSE))</f>
        <v>3666.11</v>
      </c>
      <c r="P118" s="544">
        <f>IF(VLOOKUP($E$118,[1]UC!$A$2:$FA$48, 15, FALSE)="",":",VLOOKUP($E$118,[1]UC!$A$2:$FA$48, 15, FALSE))</f>
        <v>5035.3900000000003</v>
      </c>
      <c r="Q118" s="544">
        <f>IF(VLOOKUP($E$118,[1]UC!$A$2:$FA$48, 16, FALSE)="",":",VLOOKUP($E$118,[1]UC!$A$2:$FA$48, 16, FALSE))</f>
        <v>4871.87</v>
      </c>
      <c r="R118" s="544">
        <f>IF(VLOOKUP($E$118,[1]UC!$A$2:$FA$48, 17, FALSE)="",":",VLOOKUP($E$118,[1]UC!$A$2:$FA$48, 17, FALSE))</f>
        <v>6011.5</v>
      </c>
      <c r="S118" s="544">
        <f>IF(VLOOKUP($E$118,[1]UC!$A$2:$FA$48, 18, FALSE)="",":",VLOOKUP($E$118,[1]UC!$A$2:$FA$48, 18, FALSE))</f>
        <v>5911.55</v>
      </c>
      <c r="T118" s="544">
        <f>IF(VLOOKUP($E$118,[1]UC!$A$2:$FA$48, 19, FALSE)="",":",VLOOKUP($E$118,[1]UC!$A$2:$FA$48, 19, FALSE))</f>
        <v>7056.76</v>
      </c>
      <c r="U118" s="544">
        <f>IF(VLOOKUP($E$118,[1]UC!$A$2:$FA$48, 20, FALSE)="",":",VLOOKUP($E$118,[1]UC!$A$2:$FA$48, 20, FALSE))</f>
        <v>4949.87</v>
      </c>
      <c r="V118" s="544">
        <f>IF(VLOOKUP($E$118,[1]UC!$A$2:$FA$48, 21, FALSE)="",":",VLOOKUP($E$118,[1]UC!$A$2:$FA$48, 21, FALSE))</f>
        <v>6197.39</v>
      </c>
      <c r="W118" s="544">
        <f>IF(VLOOKUP($E$118,[1]UC!$A$2:$FA$48, 22, FALSE)="",":",VLOOKUP($E$118,[1]UC!$A$2:$FA$48, 22, FALSE))</f>
        <v>7263.86</v>
      </c>
      <c r="X118" s="544">
        <f>IF(VLOOKUP($E$118,[1]UC!$A$2:$FA$48, 23, FALSE)="",":",VLOOKUP($E$118,[1]UC!$A$2:$FA$48, 23, FALSE))</f>
        <v>7258.36</v>
      </c>
      <c r="Y118" s="544">
        <f>IF(VLOOKUP($E$118,[1]UC!$A$2:$FA$48, 24, FALSE)="",":",VLOOKUP($E$118,[1]UC!$A$2:$FA$48, 24, FALSE))</f>
        <v>6844.49</v>
      </c>
      <c r="Z118" s="544">
        <f>IF(VLOOKUP($E$118,[1]UC!$A$2:$FA$48, 25, FALSE)="",":",VLOOKUP($E$118,[1]UC!$A$2:$FA$48, 25, FALSE))</f>
        <v>5867.19</v>
      </c>
      <c r="AA118" s="544">
        <f>IF(VLOOKUP($E$118,[1]UC!$A$2:$FA$48, 26, FALSE)="",":",VLOOKUP($E$118,[1]UC!$A$2:$FA$48, 26, FALSE))</f>
        <v>7403.8</v>
      </c>
      <c r="AB118" s="544">
        <f>IF(VLOOKUP($E$118,[1]UC!$A$2:$FA$48, 27, FALSE)="",":",VLOOKUP($E$118,[1]UC!$A$2:$FA$48, 27, FALSE))</f>
        <v>7569.71</v>
      </c>
      <c r="AC118" s="544" t="str">
        <f>IF(VLOOKUP($E$118,[1]UC!$A$2:$FA$48, 28, FALSE)="",":",VLOOKUP($E$118,[1]UC!$A$2:$FA$48, 28, FALSE))</f>
        <v>:</v>
      </c>
      <c r="AD118" s="544" t="str">
        <f>IF(VLOOKUP($E$118,[1]UC!$A$2:$FA$48, 29, FALSE)="",":",VLOOKUP($E$118,[1]UC!$A$2:$FA$48, 29, FALSE))</f>
        <v>:</v>
      </c>
      <c r="AE118" s="544" t="str">
        <f>IF(VLOOKUP($E$118,[1]UC!$A$2:$FA$48, 30, FALSE)="",":",VLOOKUP($E$118,[1]UC!$A$2:$FA$48, 30, FALSE))</f>
        <v>:</v>
      </c>
      <c r="AF118" s="544" t="str">
        <f>IF(VLOOKUP($E$118,[1]UC!$A$2:$FA$48, 31, FALSE)="",":",VLOOKUP($E$118,[1]UC!$A$2:$FA$48, 31, FALSE))</f>
        <v>:</v>
      </c>
    </row>
    <row r="119" spans="1:32" s="540" customFormat="1">
      <c r="A119" s="536">
        <v>105</v>
      </c>
      <c r="B119" s="537" t="s">
        <v>1162</v>
      </c>
      <c r="C119" s="538" t="s">
        <v>116</v>
      </c>
      <c r="D119" s="528"/>
      <c r="E119" s="529"/>
      <c r="F119" s="539"/>
      <c r="G119" s="545">
        <f>+G117-G118</f>
        <v>-784.0200000000001</v>
      </c>
      <c r="H119" s="545">
        <f t="shared" ref="H119:AF119" si="3">+H117-H118</f>
        <v>-926.13000000000011</v>
      </c>
      <c r="I119" s="545">
        <f t="shared" si="3"/>
        <v>-1303.52</v>
      </c>
      <c r="J119" s="545">
        <f t="shared" si="3"/>
        <v>-1618.54</v>
      </c>
      <c r="K119" s="545">
        <f t="shared" si="3"/>
        <v>-1551.64</v>
      </c>
      <c r="L119" s="545">
        <f t="shared" si="3"/>
        <v>-2441.73</v>
      </c>
      <c r="M119" s="545">
        <f t="shared" si="3"/>
        <v>-2697.87</v>
      </c>
      <c r="N119" s="545">
        <f t="shared" si="3"/>
        <v>-3030.26</v>
      </c>
      <c r="O119" s="545">
        <f t="shared" si="3"/>
        <v>-3262.57</v>
      </c>
      <c r="P119" s="545">
        <f t="shared" si="3"/>
        <v>-4324.1100000000006</v>
      </c>
      <c r="Q119" s="545">
        <f t="shared" si="3"/>
        <v>-4092.47</v>
      </c>
      <c r="R119" s="545">
        <f t="shared" si="3"/>
        <v>-4882.9799999999996</v>
      </c>
      <c r="S119" s="545">
        <f t="shared" si="3"/>
        <v>-4521.37</v>
      </c>
      <c r="T119" s="545">
        <f>+T117-T118</f>
        <v>-5086.24</v>
      </c>
      <c r="U119" s="545">
        <f t="shared" si="3"/>
        <v>-3347.33</v>
      </c>
      <c r="V119" s="545">
        <f t="shared" si="3"/>
        <v>-5076.9500000000007</v>
      </c>
      <c r="W119" s="545">
        <f t="shared" si="3"/>
        <v>-6115.3799999999992</v>
      </c>
      <c r="X119" s="545">
        <f t="shared" si="3"/>
        <v>-5980.54</v>
      </c>
      <c r="Y119" s="545">
        <f t="shared" si="3"/>
        <v>-5883.15</v>
      </c>
      <c r="Z119" s="545">
        <f t="shared" si="3"/>
        <v>-5042.5499999999993</v>
      </c>
      <c r="AA119" s="545">
        <f t="shared" si="3"/>
        <v>-6104.71</v>
      </c>
      <c r="AB119" s="545">
        <f t="shared" si="3"/>
        <v>-6432.65</v>
      </c>
      <c r="AC119" s="545" t="e">
        <f t="shared" si="3"/>
        <v>#VALUE!</v>
      </c>
      <c r="AD119" s="545" t="e">
        <f t="shared" si="3"/>
        <v>#VALUE!</v>
      </c>
      <c r="AE119" s="545" t="e">
        <f t="shared" si="3"/>
        <v>#VALUE!</v>
      </c>
      <c r="AF119" s="545" t="e">
        <f t="shared" si="3"/>
        <v>#VALUE!</v>
      </c>
    </row>
    <row r="120" spans="1:32">
      <c r="A120" s="533"/>
      <c r="B120" s="534"/>
      <c r="C120" s="535"/>
      <c r="D120" s="12"/>
      <c r="E120" s="13"/>
      <c r="F120" s="14"/>
      <c r="G120" s="544"/>
      <c r="H120" s="544"/>
      <c r="I120" s="544"/>
      <c r="J120" s="544"/>
      <c r="K120" s="544"/>
      <c r="L120" s="544"/>
      <c r="M120" s="544"/>
      <c r="N120" s="544"/>
      <c r="O120" s="544"/>
      <c r="P120" s="544"/>
      <c r="Q120" s="544"/>
      <c r="R120" s="544"/>
      <c r="S120" s="544"/>
      <c r="T120" s="544"/>
      <c r="U120" s="544"/>
      <c r="V120" s="544"/>
      <c r="W120" s="544"/>
      <c r="X120" s="544"/>
      <c r="Y120" s="544"/>
      <c r="Z120" s="544"/>
      <c r="AA120" s="544"/>
      <c r="AB120" s="544"/>
      <c r="AC120" s="544"/>
      <c r="AD120" s="544"/>
      <c r="AE120" s="544"/>
      <c r="AF120" s="544"/>
    </row>
    <row r="121" spans="1:32">
      <c r="A121" s="533">
        <v>107</v>
      </c>
      <c r="B121" s="534" t="s">
        <v>1966</v>
      </c>
      <c r="C121" s="535" t="s">
        <v>411</v>
      </c>
      <c r="D121" s="12" t="s">
        <v>413</v>
      </c>
      <c r="E121" s="13">
        <v>16</v>
      </c>
      <c r="F121" s="14" t="str">
        <f>VLOOKUP($E$121,[1]UC!$A$2:$FA$48, 3, FALSE)</f>
        <v>16 Current taxes on income and wealth, payable D.5p</v>
      </c>
      <c r="G121" s="544">
        <f>IF(VLOOKUP($E$121,[1]UC!$A$2:$FA$48, 6, FALSE)="",":",VLOOKUP($E$121,[1]UC!$A$2:$FA$48, 6, FALSE))</f>
        <v>159.54</v>
      </c>
      <c r="H121" s="544">
        <f>IF(VLOOKUP($E$121,[1]UC!$A$2:$FA$48, 7, FALSE)="",":",VLOOKUP($E$121,[1]UC!$A$2:$FA$48, 7, FALSE))</f>
        <v>111.73</v>
      </c>
      <c r="I121" s="544">
        <f>IF(VLOOKUP($E$121,[1]UC!$A$2:$FA$48, 8, FALSE)="",":",VLOOKUP($E$121,[1]UC!$A$2:$FA$48, 8, FALSE))</f>
        <v>179.83</v>
      </c>
      <c r="J121" s="544">
        <f>IF(VLOOKUP($E$121,[1]UC!$A$2:$FA$48, 9, FALSE)="",":",VLOOKUP($E$121,[1]UC!$A$2:$FA$48, 9, FALSE))</f>
        <v>168.05</v>
      </c>
      <c r="K121" s="544">
        <f>IF(VLOOKUP($E$121,[1]UC!$A$2:$FA$48, 10, FALSE)="",":",VLOOKUP($E$121,[1]UC!$A$2:$FA$48, 10, FALSE))</f>
        <v>104.5</v>
      </c>
      <c r="L121" s="544">
        <f>IF(VLOOKUP($E$121,[1]UC!$A$2:$FA$48, 11, FALSE)="",":",VLOOKUP($E$121,[1]UC!$A$2:$FA$48, 11, FALSE))</f>
        <v>90.27</v>
      </c>
      <c r="M121" s="544">
        <f>IF(VLOOKUP($E$121,[1]UC!$A$2:$FA$48, 12, FALSE)="",":",VLOOKUP($E$121,[1]UC!$A$2:$FA$48, 12, FALSE))</f>
        <v>75.08</v>
      </c>
      <c r="N121" s="544">
        <f>IF(VLOOKUP($E$121,[1]UC!$A$2:$FA$48, 13, FALSE)="",":",VLOOKUP($E$121,[1]UC!$A$2:$FA$48, 13, FALSE))</f>
        <v>89.09</v>
      </c>
      <c r="O121" s="544">
        <f>IF(VLOOKUP($E$121,[1]UC!$A$2:$FA$48, 14, FALSE)="",":",VLOOKUP($E$121,[1]UC!$A$2:$FA$48, 14, FALSE))</f>
        <v>227.16</v>
      </c>
      <c r="P121" s="544">
        <f>IF(VLOOKUP($E$121,[1]UC!$A$2:$FA$48, 15, FALSE)="",":",VLOOKUP($E$121,[1]UC!$A$2:$FA$48, 15, FALSE))</f>
        <v>337.69</v>
      </c>
      <c r="Q121" s="544">
        <f>IF(VLOOKUP($E$121,[1]UC!$A$2:$FA$48, 16, FALSE)="",":",VLOOKUP($E$121,[1]UC!$A$2:$FA$48, 16, FALSE))</f>
        <v>436.42</v>
      </c>
      <c r="R121" s="544">
        <f>IF(VLOOKUP($E$121,[1]UC!$A$2:$FA$48, 17, FALSE)="",":",VLOOKUP($E$121,[1]UC!$A$2:$FA$48, 17, FALSE))</f>
        <v>662.29</v>
      </c>
      <c r="S121" s="544">
        <f>IF(VLOOKUP($E$121,[1]UC!$A$2:$FA$48, 18, FALSE)="",":",VLOOKUP($E$121,[1]UC!$A$2:$FA$48, 18, FALSE))</f>
        <v>733.42</v>
      </c>
      <c r="T121" s="544">
        <f>IF(VLOOKUP($E$121,[1]UC!$A$2:$FA$48, 19, FALSE)="",":",VLOOKUP($E$121,[1]UC!$A$2:$FA$48, 19, FALSE))</f>
        <v>886.09</v>
      </c>
      <c r="U121" s="544">
        <f>IF(VLOOKUP($E$121,[1]UC!$A$2:$FA$48, 20, FALSE)="",":",VLOOKUP($E$121,[1]UC!$A$2:$FA$48, 20, FALSE))</f>
        <v>488.55</v>
      </c>
      <c r="V121" s="544">
        <f>IF(VLOOKUP($E$121,[1]UC!$A$2:$FA$48, 21, FALSE)="",":",VLOOKUP($E$121,[1]UC!$A$2:$FA$48, 21, FALSE))</f>
        <v>275.95</v>
      </c>
      <c r="W121" s="544">
        <f>IF(VLOOKUP($E$121,[1]UC!$A$2:$FA$48, 22, FALSE)="",":",VLOOKUP($E$121,[1]UC!$A$2:$FA$48, 22, FALSE))</f>
        <v>251.96</v>
      </c>
      <c r="X121" s="544">
        <f>IF(VLOOKUP($E$121,[1]UC!$A$2:$FA$48, 23, FALSE)="",":",VLOOKUP($E$121,[1]UC!$A$2:$FA$48, 23, FALSE))</f>
        <v>430.2</v>
      </c>
      <c r="Y121" s="544">
        <f>IF(VLOOKUP($E$121,[1]UC!$A$2:$FA$48, 24, FALSE)="",":",VLOOKUP($E$121,[1]UC!$A$2:$FA$48, 24, FALSE))</f>
        <v>475.25</v>
      </c>
      <c r="Z121" s="544">
        <f>IF(VLOOKUP($E$121,[1]UC!$A$2:$FA$48, 25, FALSE)="",":",VLOOKUP($E$121,[1]UC!$A$2:$FA$48, 25, FALSE))</f>
        <v>498.52</v>
      </c>
      <c r="AA121" s="544">
        <f>IF(VLOOKUP($E$121,[1]UC!$A$2:$FA$48, 26, FALSE)="",":",VLOOKUP($E$121,[1]UC!$A$2:$FA$48, 26, FALSE))</f>
        <v>572.66</v>
      </c>
      <c r="AB121" s="544">
        <f>IF(VLOOKUP($E$121,[1]UC!$A$2:$FA$48, 27, FALSE)="",":",VLOOKUP($E$121,[1]UC!$A$2:$FA$48, 27, FALSE))</f>
        <v>625.55999999999995</v>
      </c>
      <c r="AC121" s="544" t="str">
        <f>IF(VLOOKUP($E$121,[1]UC!$A$2:$FA$48, 28, FALSE)="",":",VLOOKUP($E$121,[1]UC!$A$2:$FA$48, 28, FALSE))</f>
        <v>:</v>
      </c>
      <c r="AD121" s="544" t="str">
        <f>IF(VLOOKUP($E$121,[1]UC!$A$2:$FA$48, 29, FALSE)="",":",VLOOKUP($E$121,[1]UC!$A$2:$FA$48, 29, FALSE))</f>
        <v>:</v>
      </c>
      <c r="AE121" s="544" t="str">
        <f>IF(VLOOKUP($E$121,[1]UC!$A$2:$FA$48, 30, FALSE)="",":",VLOOKUP($E$121,[1]UC!$A$2:$FA$48, 30, FALSE))</f>
        <v>:</v>
      </c>
      <c r="AF121" s="544" t="str">
        <f>IF(VLOOKUP($E$121,[1]UC!$A$2:$FA$48, 31, FALSE)="",":",VLOOKUP($E$121,[1]UC!$A$2:$FA$48, 31, FALSE))</f>
        <v>:</v>
      </c>
    </row>
    <row r="122" spans="1:32">
      <c r="A122" s="533"/>
      <c r="B122" s="534" t="s">
        <v>1555</v>
      </c>
      <c r="C122" s="535" t="s">
        <v>1739</v>
      </c>
      <c r="D122" s="12" t="s">
        <v>413</v>
      </c>
      <c r="E122" s="13">
        <v>14</v>
      </c>
      <c r="F122" s="14" t="str">
        <f>VLOOKUP($E$122,[1]UC!$A$2:$FA$48, 3, FALSE)</f>
        <v>14 Social contributions, receivable D.61r</v>
      </c>
      <c r="G122" s="544">
        <f>IF(VLOOKUP($E$122,[1]UC!$A$2:$FA$48, 6, FALSE)="",":",VLOOKUP($E$122,[1]UC!$A$2:$FA$48, 6, FALSE))</f>
        <v>4.4400000000000004</v>
      </c>
      <c r="H122" s="544">
        <f>IF(VLOOKUP($E$122,[1]UC!$A$2:$FA$48, 7, FALSE)="",":",VLOOKUP($E$122,[1]UC!$A$2:$FA$48, 7, FALSE))</f>
        <v>4.1399999999999997</v>
      </c>
      <c r="I122" s="544">
        <f>IF(VLOOKUP($E$122,[1]UC!$A$2:$FA$48, 8, FALSE)="",":",VLOOKUP($E$122,[1]UC!$A$2:$FA$48, 8, FALSE))</f>
        <v>5.72</v>
      </c>
      <c r="J122" s="544">
        <f>IF(VLOOKUP($E$122,[1]UC!$A$2:$FA$48, 9, FALSE)="",":",VLOOKUP($E$122,[1]UC!$A$2:$FA$48, 9, FALSE))</f>
        <v>7.09</v>
      </c>
      <c r="K122" s="544">
        <f>IF(VLOOKUP($E$122,[1]UC!$A$2:$FA$48, 10, FALSE)="",":",VLOOKUP($E$122,[1]UC!$A$2:$FA$48, 10, FALSE))</f>
        <v>7.74</v>
      </c>
      <c r="L122" s="544">
        <f>IF(VLOOKUP($E$122,[1]UC!$A$2:$FA$48, 11, FALSE)="",":",VLOOKUP($E$122,[1]UC!$A$2:$FA$48, 11, FALSE))</f>
        <v>6.17</v>
      </c>
      <c r="M122" s="544">
        <f>IF(VLOOKUP($E$122,[1]UC!$A$2:$FA$48, 12, FALSE)="",":",VLOOKUP($E$122,[1]UC!$A$2:$FA$48, 12, FALSE))</f>
        <v>4.5999999999999996</v>
      </c>
      <c r="N122" s="544">
        <f>IF(VLOOKUP($E$122,[1]UC!$A$2:$FA$48, 13, FALSE)="",":",VLOOKUP($E$122,[1]UC!$A$2:$FA$48, 13, FALSE))</f>
        <v>4.37</v>
      </c>
      <c r="O122" s="544">
        <f>IF(VLOOKUP($E$122,[1]UC!$A$2:$FA$48, 14, FALSE)="",":",VLOOKUP($E$122,[1]UC!$A$2:$FA$48, 14, FALSE))</f>
        <v>5.29</v>
      </c>
      <c r="P122" s="544">
        <f>IF(VLOOKUP($E$122,[1]UC!$A$2:$FA$48, 15, FALSE)="",":",VLOOKUP($E$122,[1]UC!$A$2:$FA$48, 15, FALSE))</f>
        <v>56.23</v>
      </c>
      <c r="Q122" s="544">
        <f>IF(VLOOKUP($E$122,[1]UC!$A$2:$FA$48, 16, FALSE)="",":",VLOOKUP($E$122,[1]UC!$A$2:$FA$48, 16, FALSE))</f>
        <v>179.93</v>
      </c>
      <c r="R122" s="544">
        <f>IF(VLOOKUP($E$122,[1]UC!$A$2:$FA$48, 17, FALSE)="",":",VLOOKUP($E$122,[1]UC!$A$2:$FA$48, 17, FALSE))</f>
        <v>265.98</v>
      </c>
      <c r="S122" s="544">
        <f>IF(VLOOKUP($E$122,[1]UC!$A$2:$FA$48, 18, FALSE)="",":",VLOOKUP($E$122,[1]UC!$A$2:$FA$48, 18, FALSE))</f>
        <v>390.18</v>
      </c>
      <c r="T122" s="544">
        <f>IF(VLOOKUP($E$122,[1]UC!$A$2:$FA$48, 19, FALSE)="",":",VLOOKUP($E$122,[1]UC!$A$2:$FA$48, 19, FALSE))</f>
        <v>475.38</v>
      </c>
      <c r="U122" s="544">
        <f>IF(VLOOKUP($E$122,[1]UC!$A$2:$FA$48, 20, FALSE)="",":",VLOOKUP($E$122,[1]UC!$A$2:$FA$48, 20, FALSE))</f>
        <v>247.35</v>
      </c>
      <c r="V122" s="544">
        <f>IF(VLOOKUP($E$122,[1]UC!$A$2:$FA$48, 21, FALSE)="",":",VLOOKUP($E$122,[1]UC!$A$2:$FA$48, 21, FALSE))</f>
        <v>213.82</v>
      </c>
      <c r="W122" s="544">
        <f>IF(VLOOKUP($E$122,[1]UC!$A$2:$FA$48, 22, FALSE)="",":",VLOOKUP($E$122,[1]UC!$A$2:$FA$48, 22, FALSE))</f>
        <v>250.58</v>
      </c>
      <c r="X122" s="544">
        <f>IF(VLOOKUP($E$122,[1]UC!$A$2:$FA$48, 23, FALSE)="",":",VLOOKUP($E$122,[1]UC!$A$2:$FA$48, 23, FALSE))</f>
        <v>211.43</v>
      </c>
      <c r="Y122" s="544">
        <f>IF(VLOOKUP($E$122,[1]UC!$A$2:$FA$48, 24, FALSE)="",":",VLOOKUP($E$122,[1]UC!$A$2:$FA$48, 24, FALSE))</f>
        <v>290.31</v>
      </c>
      <c r="Z122" s="544">
        <f>IF(VLOOKUP($E$122,[1]UC!$A$2:$FA$48, 25, FALSE)="",":",VLOOKUP($E$122,[1]UC!$A$2:$FA$48, 25, FALSE))</f>
        <v>278.92</v>
      </c>
      <c r="AA122" s="544">
        <f>IF(VLOOKUP($E$122,[1]UC!$A$2:$FA$48, 26, FALSE)="",":",VLOOKUP($E$122,[1]UC!$A$2:$FA$48, 26, FALSE))</f>
        <v>302.10000000000002</v>
      </c>
      <c r="AB122" s="544">
        <f>IF(VLOOKUP($E$122,[1]UC!$A$2:$FA$48, 27, FALSE)="",":",VLOOKUP($E$122,[1]UC!$A$2:$FA$48, 27, FALSE))</f>
        <v>318.82</v>
      </c>
      <c r="AC122" s="544" t="str">
        <f>IF(VLOOKUP($E$122,[1]UC!$A$2:$FA$48, 28, FALSE)="",":",VLOOKUP($E$122,[1]UC!$A$2:$FA$48, 28, FALSE))</f>
        <v>:</v>
      </c>
      <c r="AD122" s="544" t="str">
        <f>IF(VLOOKUP($E$122,[1]UC!$A$2:$FA$48, 29, FALSE)="",":",VLOOKUP($E$122,[1]UC!$A$2:$FA$48, 29, FALSE))</f>
        <v>:</v>
      </c>
      <c r="AE122" s="544" t="str">
        <f>IF(VLOOKUP($E$122,[1]UC!$A$2:$FA$48, 30, FALSE)="",":",VLOOKUP($E$122,[1]UC!$A$2:$FA$48, 30, FALSE))</f>
        <v>:</v>
      </c>
      <c r="AF122" s="544" t="str">
        <f>IF(VLOOKUP($E$122,[1]UC!$A$2:$FA$48, 31, FALSE)="",":",VLOOKUP($E$122,[1]UC!$A$2:$FA$48, 31, FALSE))</f>
        <v>:</v>
      </c>
    </row>
    <row r="123" spans="1:32">
      <c r="A123" s="533"/>
      <c r="B123" s="534" t="s">
        <v>1556</v>
      </c>
      <c r="C123" s="535" t="s">
        <v>1740</v>
      </c>
      <c r="D123" s="12" t="s">
        <v>413</v>
      </c>
      <c r="E123" s="13">
        <v>17</v>
      </c>
      <c r="F123" s="14" t="str">
        <f>VLOOKUP($E$123,[1]UC!$A$2:$FA$48, 3, FALSE)</f>
        <v>17 Social benefits other than social transfers in kind, payable D.62p</v>
      </c>
      <c r="G123" s="544">
        <f>IF(VLOOKUP($E$123,[1]UC!$A$2:$FA$48, 6, FALSE)="",":",VLOOKUP($E$123,[1]UC!$A$2:$FA$48, 6, FALSE))</f>
        <v>4.4400000000000004</v>
      </c>
      <c r="H123" s="544">
        <f>IF(VLOOKUP($E$123,[1]UC!$A$2:$FA$48, 7, FALSE)="",":",VLOOKUP($E$123,[1]UC!$A$2:$FA$48, 7, FALSE))</f>
        <v>4.1399999999999997</v>
      </c>
      <c r="I123" s="544">
        <f>IF(VLOOKUP($E$123,[1]UC!$A$2:$FA$48, 8, FALSE)="",":",VLOOKUP($E$123,[1]UC!$A$2:$FA$48, 8, FALSE))</f>
        <v>5.72</v>
      </c>
      <c r="J123" s="544">
        <f>IF(VLOOKUP($E$123,[1]UC!$A$2:$FA$48, 9, FALSE)="",":",VLOOKUP($E$123,[1]UC!$A$2:$FA$48, 9, FALSE))</f>
        <v>7.09</v>
      </c>
      <c r="K123" s="544">
        <f>IF(VLOOKUP($E$123,[1]UC!$A$2:$FA$48, 10, FALSE)="",":",VLOOKUP($E$123,[1]UC!$A$2:$FA$48, 10, FALSE))</f>
        <v>7.74</v>
      </c>
      <c r="L123" s="544">
        <f>IF(VLOOKUP($E$123,[1]UC!$A$2:$FA$48, 11, FALSE)="",":",VLOOKUP($E$123,[1]UC!$A$2:$FA$48, 11, FALSE))</f>
        <v>6.17</v>
      </c>
      <c r="M123" s="544">
        <f>IF(VLOOKUP($E$123,[1]UC!$A$2:$FA$48, 12, FALSE)="",":",VLOOKUP($E$123,[1]UC!$A$2:$FA$48, 12, FALSE))</f>
        <v>4.5999999999999996</v>
      </c>
      <c r="N123" s="544">
        <f>IF(VLOOKUP($E$123,[1]UC!$A$2:$FA$48, 13, FALSE)="",":",VLOOKUP($E$123,[1]UC!$A$2:$FA$48, 13, FALSE))</f>
        <v>4.37</v>
      </c>
      <c r="O123" s="544">
        <f>IF(VLOOKUP($E$123,[1]UC!$A$2:$FA$48, 14, FALSE)="",":",VLOOKUP($E$123,[1]UC!$A$2:$FA$48, 14, FALSE))</f>
        <v>5.29</v>
      </c>
      <c r="P123" s="544">
        <f>IF(VLOOKUP($E$123,[1]UC!$A$2:$FA$48, 15, FALSE)="",":",VLOOKUP($E$123,[1]UC!$A$2:$FA$48, 15, FALSE))</f>
        <v>6.09</v>
      </c>
      <c r="Q123" s="544">
        <f>IF(VLOOKUP($E$123,[1]UC!$A$2:$FA$48, 16, FALSE)="",":",VLOOKUP($E$123,[1]UC!$A$2:$FA$48, 16, FALSE))</f>
        <v>90.66</v>
      </c>
      <c r="R123" s="544">
        <f>IF(VLOOKUP($E$123,[1]UC!$A$2:$FA$48, 17, FALSE)="",":",VLOOKUP($E$123,[1]UC!$A$2:$FA$48, 17, FALSE))</f>
        <v>112.32</v>
      </c>
      <c r="S123" s="544">
        <f>IF(VLOOKUP($E$123,[1]UC!$A$2:$FA$48, 18, FALSE)="",":",VLOOKUP($E$123,[1]UC!$A$2:$FA$48, 18, FALSE))</f>
        <v>144.11000000000001</v>
      </c>
      <c r="T123" s="544">
        <f>IF(VLOOKUP($E$123,[1]UC!$A$2:$FA$48, 19, FALSE)="",":",VLOOKUP($E$123,[1]UC!$A$2:$FA$48, 19, FALSE))</f>
        <v>168.62</v>
      </c>
      <c r="U123" s="544">
        <f>IF(VLOOKUP($E$123,[1]UC!$A$2:$FA$48, 20, FALSE)="",":",VLOOKUP($E$123,[1]UC!$A$2:$FA$48, 20, FALSE))</f>
        <v>125.21</v>
      </c>
      <c r="V123" s="544">
        <f>IF(VLOOKUP($E$123,[1]UC!$A$2:$FA$48, 21, FALSE)="",":",VLOOKUP($E$123,[1]UC!$A$2:$FA$48, 21, FALSE))</f>
        <v>118.31</v>
      </c>
      <c r="W123" s="544">
        <f>IF(VLOOKUP($E$123,[1]UC!$A$2:$FA$48, 22, FALSE)="",":",VLOOKUP($E$123,[1]UC!$A$2:$FA$48, 22, FALSE))</f>
        <v>157.63</v>
      </c>
      <c r="X123" s="544">
        <f>IF(VLOOKUP($E$123,[1]UC!$A$2:$FA$48, 23, FALSE)="",":",VLOOKUP($E$123,[1]UC!$A$2:$FA$48, 23, FALSE))</f>
        <v>136.91999999999999</v>
      </c>
      <c r="Y123" s="544">
        <f>IF(VLOOKUP($E$123,[1]UC!$A$2:$FA$48, 24, FALSE)="",":",VLOOKUP($E$123,[1]UC!$A$2:$FA$48, 24, FALSE))</f>
        <v>150.28</v>
      </c>
      <c r="Z123" s="544">
        <f>IF(VLOOKUP($E$123,[1]UC!$A$2:$FA$48, 25, FALSE)="",":",VLOOKUP($E$123,[1]UC!$A$2:$FA$48, 25, FALSE))</f>
        <v>159.12</v>
      </c>
      <c r="AA123" s="544">
        <f>IF(VLOOKUP($E$123,[1]UC!$A$2:$FA$48, 26, FALSE)="",":",VLOOKUP($E$123,[1]UC!$A$2:$FA$48, 26, FALSE))</f>
        <v>173.38</v>
      </c>
      <c r="AB123" s="544">
        <f>IF(VLOOKUP($E$123,[1]UC!$A$2:$FA$48, 27, FALSE)="",":",VLOOKUP($E$123,[1]UC!$A$2:$FA$48, 27, FALSE))</f>
        <v>187.76</v>
      </c>
      <c r="AC123" s="544" t="str">
        <f>IF(VLOOKUP($E$123,[1]UC!$A$2:$FA$48, 28, FALSE)="",":",VLOOKUP($E$123,[1]UC!$A$2:$FA$48, 28, FALSE))</f>
        <v>:</v>
      </c>
      <c r="AD123" s="544" t="str">
        <f>IF(VLOOKUP($E$123,[1]UC!$A$2:$FA$48, 29, FALSE)="",":",VLOOKUP($E$123,[1]UC!$A$2:$FA$48, 29, FALSE))</f>
        <v>:</v>
      </c>
      <c r="AE123" s="544" t="str">
        <f>IF(VLOOKUP($E$123,[1]UC!$A$2:$FA$48, 30, FALSE)="",":",VLOOKUP($E$123,[1]UC!$A$2:$FA$48, 30, FALSE))</f>
        <v>:</v>
      </c>
      <c r="AF123" s="544" t="str">
        <f>IF(VLOOKUP($E$123,[1]UC!$A$2:$FA$48, 31, FALSE)="",":",VLOOKUP($E$123,[1]UC!$A$2:$FA$48, 31, FALSE))</f>
        <v>:</v>
      </c>
    </row>
    <row r="124" spans="1:32">
      <c r="A124" s="533"/>
      <c r="B124" s="534" t="s">
        <v>1553</v>
      </c>
      <c r="C124" s="535" t="s">
        <v>316</v>
      </c>
      <c r="D124" s="12" t="s">
        <v>413</v>
      </c>
      <c r="E124" s="13">
        <v>15</v>
      </c>
      <c r="F124" s="14" t="str">
        <f>VLOOKUP($E$124,[1]UC!$A$2:$FA$48, 3, FALSE)</f>
        <v>15 Other current transfers, receivable D.7r</v>
      </c>
      <c r="G124" s="544">
        <f>IF(VLOOKUP($E$124,[1]UC!$A$2:$FA$48, 6, FALSE)="",":",VLOOKUP($E$124,[1]UC!$A$2:$FA$48, 6, FALSE))</f>
        <v>21.78</v>
      </c>
      <c r="H124" s="544">
        <f>IF(VLOOKUP($E$124,[1]UC!$A$2:$FA$48, 7, FALSE)="",":",VLOOKUP($E$124,[1]UC!$A$2:$FA$48, 7, FALSE))</f>
        <v>18.239999999999998</v>
      </c>
      <c r="I124" s="544">
        <f>IF(VLOOKUP($E$124,[1]UC!$A$2:$FA$48, 8, FALSE)="",":",VLOOKUP($E$124,[1]UC!$A$2:$FA$48, 8, FALSE))</f>
        <v>113.93</v>
      </c>
      <c r="J124" s="544">
        <f>IF(VLOOKUP($E$124,[1]UC!$A$2:$FA$48, 9, FALSE)="",":",VLOOKUP($E$124,[1]UC!$A$2:$FA$48, 9, FALSE))</f>
        <v>130.08000000000001</v>
      </c>
      <c r="K124" s="544">
        <f>IF(VLOOKUP($E$124,[1]UC!$A$2:$FA$48, 10, FALSE)="",":",VLOOKUP($E$124,[1]UC!$A$2:$FA$48, 10, FALSE))</f>
        <v>157.76</v>
      </c>
      <c r="L124" s="544">
        <f>IF(VLOOKUP($E$124,[1]UC!$A$2:$FA$48, 11, FALSE)="",":",VLOOKUP($E$124,[1]UC!$A$2:$FA$48, 11, FALSE))</f>
        <v>119.75</v>
      </c>
      <c r="M124" s="544">
        <f>IF(VLOOKUP($E$124,[1]UC!$A$2:$FA$48, 12, FALSE)="",":",VLOOKUP($E$124,[1]UC!$A$2:$FA$48, 12, FALSE))</f>
        <v>126.32</v>
      </c>
      <c r="N124" s="544">
        <f>IF(VLOOKUP($E$124,[1]UC!$A$2:$FA$48, 13, FALSE)="",":",VLOOKUP($E$124,[1]UC!$A$2:$FA$48, 13, FALSE))</f>
        <v>195.88</v>
      </c>
      <c r="O124" s="544">
        <f>IF(VLOOKUP($E$124,[1]UC!$A$2:$FA$48, 14, FALSE)="",":",VLOOKUP($E$124,[1]UC!$A$2:$FA$48, 14, FALSE))</f>
        <v>148.13</v>
      </c>
      <c r="P124" s="544">
        <f>IF(VLOOKUP($E$124,[1]UC!$A$2:$FA$48, 15, FALSE)="",":",VLOOKUP($E$124,[1]UC!$A$2:$FA$48, 15, FALSE))</f>
        <v>185.13</v>
      </c>
      <c r="Q124" s="544">
        <f>IF(VLOOKUP($E$124,[1]UC!$A$2:$FA$48, 16, FALSE)="",":",VLOOKUP($E$124,[1]UC!$A$2:$FA$48, 16, FALSE))</f>
        <v>197.78</v>
      </c>
      <c r="R124" s="544">
        <f>IF(VLOOKUP($E$124,[1]UC!$A$2:$FA$48, 17, FALSE)="",":",VLOOKUP($E$124,[1]UC!$A$2:$FA$48, 17, FALSE))</f>
        <v>355.34</v>
      </c>
      <c r="S124" s="544">
        <f>IF(VLOOKUP($E$124,[1]UC!$A$2:$FA$48, 18, FALSE)="",":",VLOOKUP($E$124,[1]UC!$A$2:$FA$48, 18, FALSE))</f>
        <v>389.28</v>
      </c>
      <c r="T124" s="544">
        <f>IF(VLOOKUP($E$124,[1]UC!$A$2:$FA$48, 19, FALSE)="",":",VLOOKUP($E$124,[1]UC!$A$2:$FA$48, 19, FALSE))</f>
        <v>466.15</v>
      </c>
      <c r="U124" s="544">
        <f>IF(VLOOKUP($E$124,[1]UC!$A$2:$FA$48, 20, FALSE)="",":",VLOOKUP($E$124,[1]UC!$A$2:$FA$48, 20, FALSE))</f>
        <v>418.81</v>
      </c>
      <c r="V124" s="544">
        <f>IF(VLOOKUP($E$124,[1]UC!$A$2:$FA$48, 21, FALSE)="",":",VLOOKUP($E$124,[1]UC!$A$2:$FA$48, 21, FALSE))</f>
        <v>401.81</v>
      </c>
      <c r="W124" s="544">
        <f>IF(VLOOKUP($E$124,[1]UC!$A$2:$FA$48, 22, FALSE)="",":",VLOOKUP($E$124,[1]UC!$A$2:$FA$48, 22, FALSE))</f>
        <v>443.27</v>
      </c>
      <c r="X124" s="544">
        <f>IF(VLOOKUP($E$124,[1]UC!$A$2:$FA$48, 23, FALSE)="",":",VLOOKUP($E$124,[1]UC!$A$2:$FA$48, 23, FALSE))</f>
        <v>399.75</v>
      </c>
      <c r="Y124" s="544">
        <f>IF(VLOOKUP($E$124,[1]UC!$A$2:$FA$48, 24, FALSE)="",":",VLOOKUP($E$124,[1]UC!$A$2:$FA$48, 24, FALSE))</f>
        <v>434.22</v>
      </c>
      <c r="Z124" s="544">
        <f>IF(VLOOKUP($E$124,[1]UC!$A$2:$FA$48, 25, FALSE)="",":",VLOOKUP($E$124,[1]UC!$A$2:$FA$48, 25, FALSE))</f>
        <v>463.85</v>
      </c>
      <c r="AA124" s="544">
        <f>IF(VLOOKUP($E$124,[1]UC!$A$2:$FA$48, 26, FALSE)="",":",VLOOKUP($E$124,[1]UC!$A$2:$FA$48, 26, FALSE))</f>
        <v>499.33</v>
      </c>
      <c r="AB124" s="544">
        <f>IF(VLOOKUP($E$124,[1]UC!$A$2:$FA$48, 27, FALSE)="",":",VLOOKUP($E$124,[1]UC!$A$2:$FA$48, 27, FALSE))</f>
        <v>493.92</v>
      </c>
      <c r="AC124" s="544" t="str">
        <f>IF(VLOOKUP($E$124,[1]UC!$A$2:$FA$48, 28, FALSE)="",":",VLOOKUP($E$124,[1]UC!$A$2:$FA$48, 28, FALSE))</f>
        <v>:</v>
      </c>
      <c r="AD124" s="544" t="str">
        <f>IF(VLOOKUP($E$124,[1]UC!$A$2:$FA$48, 29, FALSE)="",":",VLOOKUP($E$124,[1]UC!$A$2:$FA$48, 29, FALSE))</f>
        <v>:</v>
      </c>
      <c r="AE124" s="544" t="str">
        <f>IF(VLOOKUP($E$124,[1]UC!$A$2:$FA$48, 30, FALSE)="",":",VLOOKUP($E$124,[1]UC!$A$2:$FA$48, 30, FALSE))</f>
        <v>:</v>
      </c>
      <c r="AF124" s="544" t="str">
        <f>IF(VLOOKUP($E$124,[1]UC!$A$2:$FA$48, 31, FALSE)="",":",VLOOKUP($E$124,[1]UC!$A$2:$FA$48, 31, FALSE))</f>
        <v>:</v>
      </c>
    </row>
    <row r="125" spans="1:32">
      <c r="A125" s="533"/>
      <c r="B125" s="534" t="s">
        <v>1554</v>
      </c>
      <c r="C125" s="535" t="s">
        <v>1738</v>
      </c>
      <c r="D125" s="12" t="s">
        <v>413</v>
      </c>
      <c r="E125" s="13">
        <v>18</v>
      </c>
      <c r="F125" s="14" t="str">
        <f>VLOOKUP($E$125,[1]UC!$A$2:$FA$48, 3, FALSE)</f>
        <v>18 Other current transfers, payable D.7p</v>
      </c>
      <c r="G125" s="544">
        <f>IF(VLOOKUP($E$125,[1]UC!$A$2:$FA$48, 6, FALSE)="",":",VLOOKUP($E$125,[1]UC!$A$2:$FA$48, 6, FALSE))</f>
        <v>290.97000000000003</v>
      </c>
      <c r="H125" s="544">
        <f>IF(VLOOKUP($E$125,[1]UC!$A$2:$FA$48, 7, FALSE)="",":",VLOOKUP($E$125,[1]UC!$A$2:$FA$48, 7, FALSE))</f>
        <v>360.98</v>
      </c>
      <c r="I125" s="544">
        <f>IF(VLOOKUP($E$125,[1]UC!$A$2:$FA$48, 8, FALSE)="",":",VLOOKUP($E$125,[1]UC!$A$2:$FA$48, 8, FALSE))</f>
        <v>369.08</v>
      </c>
      <c r="J125" s="544">
        <f>IF(VLOOKUP($E$125,[1]UC!$A$2:$FA$48, 9, FALSE)="",":",VLOOKUP($E$125,[1]UC!$A$2:$FA$48, 9, FALSE))</f>
        <v>308.86</v>
      </c>
      <c r="K125" s="544">
        <f>IF(VLOOKUP($E$125,[1]UC!$A$2:$FA$48, 10, FALSE)="",":",VLOOKUP($E$125,[1]UC!$A$2:$FA$48, 10, FALSE))</f>
        <v>275.94</v>
      </c>
      <c r="L125" s="544">
        <f>IF(VLOOKUP($E$125,[1]UC!$A$2:$FA$48, 11, FALSE)="",":",VLOOKUP($E$125,[1]UC!$A$2:$FA$48, 11, FALSE))</f>
        <v>252.37</v>
      </c>
      <c r="M125" s="544">
        <f>IF(VLOOKUP($E$125,[1]UC!$A$2:$FA$48, 12, FALSE)="",":",VLOOKUP($E$125,[1]UC!$A$2:$FA$48, 12, FALSE))</f>
        <v>245.36</v>
      </c>
      <c r="N125" s="544">
        <f>IF(VLOOKUP($E$125,[1]UC!$A$2:$FA$48, 13, FALSE)="",":",VLOOKUP($E$125,[1]UC!$A$2:$FA$48, 13, FALSE))</f>
        <v>278.67</v>
      </c>
      <c r="O125" s="544">
        <f>IF(VLOOKUP($E$125,[1]UC!$A$2:$FA$48, 14, FALSE)="",":",VLOOKUP($E$125,[1]UC!$A$2:$FA$48, 14, FALSE))</f>
        <v>186.17</v>
      </c>
      <c r="P125" s="544">
        <f>IF(VLOOKUP($E$125,[1]UC!$A$2:$FA$48, 15, FALSE)="",":",VLOOKUP($E$125,[1]UC!$A$2:$FA$48, 15, FALSE))</f>
        <v>231.57</v>
      </c>
      <c r="Q125" s="544">
        <f>IF(VLOOKUP($E$125,[1]UC!$A$2:$FA$48, 16, FALSE)="",":",VLOOKUP($E$125,[1]UC!$A$2:$FA$48, 16, FALSE))</f>
        <v>325.92</v>
      </c>
      <c r="R125" s="544">
        <f>IF(VLOOKUP($E$125,[1]UC!$A$2:$FA$48, 17, FALSE)="",":",VLOOKUP($E$125,[1]UC!$A$2:$FA$48, 17, FALSE))</f>
        <v>329.91</v>
      </c>
      <c r="S125" s="544">
        <f>IF(VLOOKUP($E$125,[1]UC!$A$2:$FA$48, 18, FALSE)="",":",VLOOKUP($E$125,[1]UC!$A$2:$FA$48, 18, FALSE))</f>
        <v>403.14</v>
      </c>
      <c r="T125" s="544">
        <f>IF(VLOOKUP($E$125,[1]UC!$A$2:$FA$48, 19, FALSE)="",":",VLOOKUP($E$125,[1]UC!$A$2:$FA$48, 19, FALSE))</f>
        <v>791.37</v>
      </c>
      <c r="U125" s="544">
        <f>IF(VLOOKUP($E$125,[1]UC!$A$2:$FA$48, 20, FALSE)="",":",VLOOKUP($E$125,[1]UC!$A$2:$FA$48, 20, FALSE))</f>
        <v>713.42</v>
      </c>
      <c r="V125" s="544">
        <f>IF(VLOOKUP($E$125,[1]UC!$A$2:$FA$48, 21, FALSE)="",":",VLOOKUP($E$125,[1]UC!$A$2:$FA$48, 21, FALSE))</f>
        <v>643.09</v>
      </c>
      <c r="W125" s="544">
        <f>IF(VLOOKUP($E$125,[1]UC!$A$2:$FA$48, 22, FALSE)="",":",VLOOKUP($E$125,[1]UC!$A$2:$FA$48, 22, FALSE))</f>
        <v>717.73</v>
      </c>
      <c r="X125" s="544">
        <f>IF(VLOOKUP($E$125,[1]UC!$A$2:$FA$48, 23, FALSE)="",":",VLOOKUP($E$125,[1]UC!$A$2:$FA$48, 23, FALSE))</f>
        <v>689.96</v>
      </c>
      <c r="Y125" s="544">
        <f>IF(VLOOKUP($E$125,[1]UC!$A$2:$FA$48, 24, FALSE)="",":",VLOOKUP($E$125,[1]UC!$A$2:$FA$48, 24, FALSE))</f>
        <v>713.71</v>
      </c>
      <c r="Z125" s="544">
        <f>IF(VLOOKUP($E$125,[1]UC!$A$2:$FA$48, 25, FALSE)="",":",VLOOKUP($E$125,[1]UC!$A$2:$FA$48, 25, FALSE))</f>
        <v>724.88</v>
      </c>
      <c r="AA125" s="544">
        <f>IF(VLOOKUP($E$125,[1]UC!$A$2:$FA$48, 26, FALSE)="",":",VLOOKUP($E$125,[1]UC!$A$2:$FA$48, 26, FALSE))</f>
        <v>778.82</v>
      </c>
      <c r="AB125" s="544">
        <f>IF(VLOOKUP($E$125,[1]UC!$A$2:$FA$48, 27, FALSE)="",":",VLOOKUP($E$125,[1]UC!$A$2:$FA$48, 27, FALSE))</f>
        <v>831.96</v>
      </c>
      <c r="AC125" s="544" t="str">
        <f>IF(VLOOKUP($E$125,[1]UC!$A$2:$FA$48, 28, FALSE)="",":",VLOOKUP($E$125,[1]UC!$A$2:$FA$48, 28, FALSE))</f>
        <v>:</v>
      </c>
      <c r="AD125" s="544" t="str">
        <f>IF(VLOOKUP($E$125,[1]UC!$A$2:$FA$48, 29, FALSE)="",":",VLOOKUP($E$125,[1]UC!$A$2:$FA$48, 29, FALSE))</f>
        <v>:</v>
      </c>
      <c r="AE125" s="544" t="str">
        <f>IF(VLOOKUP($E$125,[1]UC!$A$2:$FA$48, 30, FALSE)="",":",VLOOKUP($E$125,[1]UC!$A$2:$FA$48, 30, FALSE))</f>
        <v>:</v>
      </c>
      <c r="AF125" s="544" t="str">
        <f>IF(VLOOKUP($E$125,[1]UC!$A$2:$FA$48, 31, FALSE)="",":",VLOOKUP($E$125,[1]UC!$A$2:$FA$48, 31, FALSE))</f>
        <v>:</v>
      </c>
    </row>
    <row r="126" spans="1:32">
      <c r="A126" s="533"/>
      <c r="B126" s="534"/>
      <c r="C126" s="535"/>
      <c r="D126" s="12"/>
      <c r="E126" s="13"/>
      <c r="F126" s="14"/>
      <c r="G126" s="544"/>
      <c r="H126" s="544"/>
      <c r="I126" s="544"/>
      <c r="J126" s="544"/>
      <c r="K126" s="544"/>
      <c r="L126" s="544"/>
      <c r="M126" s="544"/>
      <c r="N126" s="544"/>
      <c r="O126" s="544"/>
      <c r="P126" s="544"/>
      <c r="Q126" s="544"/>
      <c r="R126" s="544"/>
      <c r="S126" s="544"/>
      <c r="T126" s="544"/>
      <c r="U126" s="544"/>
      <c r="V126" s="544"/>
      <c r="W126" s="544"/>
      <c r="X126" s="544"/>
      <c r="Y126" s="544"/>
      <c r="Z126" s="544"/>
      <c r="AA126" s="544"/>
      <c r="AB126" s="544"/>
      <c r="AC126" s="544"/>
      <c r="AD126" s="544"/>
      <c r="AE126" s="544"/>
      <c r="AF126" s="544"/>
    </row>
    <row r="127" spans="1:32">
      <c r="A127" s="533"/>
      <c r="B127" s="534" t="s">
        <v>1552</v>
      </c>
      <c r="C127" s="535" t="s">
        <v>485</v>
      </c>
      <c r="D127" s="12" t="s">
        <v>413</v>
      </c>
      <c r="E127" s="13">
        <v>20</v>
      </c>
      <c r="F127" s="14" t="str">
        <f>VLOOKUP($E$127,[1]UC!$A$2:$FA$48, 3, FALSE)</f>
        <v>20 Adjustment for the change in net equity of households on pension funds D.8</v>
      </c>
      <c r="G127" s="544">
        <f>IF(VLOOKUP($E$127,[1]UC!$A$2:$FA$48, 6, FALSE)="",":",VLOOKUP($E$127,[1]UC!$A$2:$FA$48, 6, FALSE))</f>
        <v>0</v>
      </c>
      <c r="H127" s="544">
        <f>IF(VLOOKUP($E$127,[1]UC!$A$2:$FA$48, 7, FALSE)="",":",VLOOKUP($E$127,[1]UC!$A$2:$FA$48, 7, FALSE))</f>
        <v>0</v>
      </c>
      <c r="I127" s="544">
        <f>IF(VLOOKUP($E$127,[1]UC!$A$2:$FA$48, 8, FALSE)="",":",VLOOKUP($E$127,[1]UC!$A$2:$FA$48, 8, FALSE))</f>
        <v>0</v>
      </c>
      <c r="J127" s="544">
        <f>IF(VLOOKUP($E$127,[1]UC!$A$2:$FA$48, 9, FALSE)="",":",VLOOKUP($E$127,[1]UC!$A$2:$FA$48, 9, FALSE))</f>
        <v>0</v>
      </c>
      <c r="K127" s="544">
        <f>IF(VLOOKUP($E$127,[1]UC!$A$2:$FA$48, 10, FALSE)="",":",VLOOKUP($E$127,[1]UC!$A$2:$FA$48, 10, FALSE))</f>
        <v>0</v>
      </c>
      <c r="L127" s="544">
        <f>IF(VLOOKUP($E$127,[1]UC!$A$2:$FA$48, 11, FALSE)="",":",VLOOKUP($E$127,[1]UC!$A$2:$FA$48, 11, FALSE))</f>
        <v>0</v>
      </c>
      <c r="M127" s="544">
        <f>IF(VLOOKUP($E$127,[1]UC!$A$2:$FA$48, 12, FALSE)="",":",VLOOKUP($E$127,[1]UC!$A$2:$FA$48, 12, FALSE))</f>
        <v>0</v>
      </c>
      <c r="N127" s="544">
        <f>IF(VLOOKUP($E$127,[1]UC!$A$2:$FA$48, 13, FALSE)="",":",VLOOKUP($E$127,[1]UC!$A$2:$FA$48, 13, FALSE))</f>
        <v>0</v>
      </c>
      <c r="O127" s="544">
        <f>IF(VLOOKUP($E$127,[1]UC!$A$2:$FA$48, 14, FALSE)="",":",VLOOKUP($E$127,[1]UC!$A$2:$FA$48, 14, FALSE))</f>
        <v>0</v>
      </c>
      <c r="P127" s="544">
        <f>IF(VLOOKUP($E$127,[1]UC!$A$2:$FA$48, 15, FALSE)="",":",VLOOKUP($E$127,[1]UC!$A$2:$FA$48, 15, FALSE))</f>
        <v>50.14</v>
      </c>
      <c r="Q127" s="544">
        <f>IF(VLOOKUP($E$127,[1]UC!$A$2:$FA$48, 16, FALSE)="",":",VLOOKUP($E$127,[1]UC!$A$2:$FA$48, 16, FALSE))</f>
        <v>89.27</v>
      </c>
      <c r="R127" s="544">
        <f>IF(VLOOKUP($E$127,[1]UC!$A$2:$FA$48, 17, FALSE)="",":",VLOOKUP($E$127,[1]UC!$A$2:$FA$48, 17, FALSE))</f>
        <v>153.66</v>
      </c>
      <c r="S127" s="544">
        <f>IF(VLOOKUP($E$127,[1]UC!$A$2:$FA$48, 18, FALSE)="",":",VLOOKUP($E$127,[1]UC!$A$2:$FA$48, 18, FALSE))</f>
        <v>246.07</v>
      </c>
      <c r="T127" s="544">
        <f>IF(VLOOKUP($E$127,[1]UC!$A$2:$FA$48, 19, FALSE)="",":",VLOOKUP($E$127,[1]UC!$A$2:$FA$48, 19, FALSE))</f>
        <v>306.76</v>
      </c>
      <c r="U127" s="544">
        <f>IF(VLOOKUP($E$127,[1]UC!$A$2:$FA$48, 20, FALSE)="",":",VLOOKUP($E$127,[1]UC!$A$2:$FA$48, 20, FALSE))</f>
        <v>122.14</v>
      </c>
      <c r="V127" s="544">
        <f>IF(VLOOKUP($E$127,[1]UC!$A$2:$FA$48, 21, FALSE)="",":",VLOOKUP($E$127,[1]UC!$A$2:$FA$48, 21, FALSE))</f>
        <v>95.51</v>
      </c>
      <c r="W127" s="544">
        <f>IF(VLOOKUP($E$127,[1]UC!$A$2:$FA$48, 22, FALSE)="",":",VLOOKUP($E$127,[1]UC!$A$2:$FA$48, 22, FALSE))</f>
        <v>92.94</v>
      </c>
      <c r="X127" s="544">
        <f>IF(VLOOKUP($E$127,[1]UC!$A$2:$FA$48, 23, FALSE)="",":",VLOOKUP($E$127,[1]UC!$A$2:$FA$48, 23, FALSE))</f>
        <v>74.510000000000005</v>
      </c>
      <c r="Y127" s="544">
        <f>IF(VLOOKUP($E$127,[1]UC!$A$2:$FA$48, 24, FALSE)="",":",VLOOKUP($E$127,[1]UC!$A$2:$FA$48, 24, FALSE))</f>
        <v>140.03</v>
      </c>
      <c r="Z127" s="544">
        <f>IF(VLOOKUP($E$127,[1]UC!$A$2:$FA$48, 25, FALSE)="",":",VLOOKUP($E$127,[1]UC!$A$2:$FA$48, 25, FALSE))</f>
        <v>119.8</v>
      </c>
      <c r="AA127" s="544">
        <f>IF(VLOOKUP($E$127,[1]UC!$A$2:$FA$48, 26, FALSE)="",":",VLOOKUP($E$127,[1]UC!$A$2:$FA$48, 26, FALSE))</f>
        <v>128.72</v>
      </c>
      <c r="AB127" s="544">
        <f>IF(VLOOKUP($E$127,[1]UC!$A$2:$FA$48, 27, FALSE)="",":",VLOOKUP($E$127,[1]UC!$A$2:$FA$48, 27, FALSE))</f>
        <v>131.06</v>
      </c>
      <c r="AC127" s="544" t="str">
        <f>IF(VLOOKUP($E$127,[1]UC!$A$2:$FA$48, 28, FALSE)="",":",VLOOKUP($E$127,[1]UC!$A$2:$FA$48, 28, FALSE))</f>
        <v>:</v>
      </c>
      <c r="AD127" s="544" t="str">
        <f>IF(VLOOKUP($E$127,[1]UC!$A$2:$FA$48, 29, FALSE)="",":",VLOOKUP($E$127,[1]UC!$A$2:$FA$48, 29, FALSE))</f>
        <v>:</v>
      </c>
      <c r="AE127" s="544" t="str">
        <f>IF(VLOOKUP($E$127,[1]UC!$A$2:$FA$48, 30, FALSE)="",":",VLOOKUP($E$127,[1]UC!$A$2:$FA$48, 30, FALSE))</f>
        <v>:</v>
      </c>
      <c r="AF127" s="544" t="str">
        <f>IF(VLOOKUP($E$127,[1]UC!$A$2:$FA$48, 31, FALSE)="",":",VLOOKUP($E$127,[1]UC!$A$2:$FA$48, 31, FALSE))</f>
        <v>:</v>
      </c>
    </row>
    <row r="128" spans="1:32">
      <c r="A128" s="533"/>
      <c r="B128" s="534" t="s">
        <v>414</v>
      </c>
      <c r="C128" s="535" t="s">
        <v>412</v>
      </c>
      <c r="D128" s="12" t="s">
        <v>413</v>
      </c>
      <c r="E128" s="13">
        <v>22</v>
      </c>
      <c r="F128" s="14" t="str">
        <f>VLOOKUP($E$128,[1]UC!$A$2:$FA$48, 3, FALSE)</f>
        <v>22 Capital transfers, receivable D.9r</v>
      </c>
      <c r="G128" s="544">
        <f>IF(VLOOKUP($E$128,[1]UC!$A$2:$FA$48, 6, FALSE)="",":",VLOOKUP($E$128,[1]UC!$A$2:$FA$48, 6, FALSE))</f>
        <v>33.049999999999997</v>
      </c>
      <c r="H128" s="544">
        <f>IF(VLOOKUP($E$128,[1]UC!$A$2:$FA$48, 7, FALSE)="",":",VLOOKUP($E$128,[1]UC!$A$2:$FA$48, 7, FALSE))</f>
        <v>222.08</v>
      </c>
      <c r="I128" s="544">
        <f>IF(VLOOKUP($E$128,[1]UC!$A$2:$FA$48, 8, FALSE)="",":",VLOOKUP($E$128,[1]UC!$A$2:$FA$48, 8, FALSE))</f>
        <v>32.03</v>
      </c>
      <c r="J128" s="544">
        <f>IF(VLOOKUP($E$128,[1]UC!$A$2:$FA$48, 9, FALSE)="",":",VLOOKUP($E$128,[1]UC!$A$2:$FA$48, 9, FALSE))</f>
        <v>103.12</v>
      </c>
      <c r="K128" s="544">
        <f>IF(VLOOKUP($E$128,[1]UC!$A$2:$FA$48, 10, FALSE)="",":",VLOOKUP($E$128,[1]UC!$A$2:$FA$48, 10, FALSE))</f>
        <v>72.08</v>
      </c>
      <c r="L128" s="544">
        <f>IF(VLOOKUP($E$128,[1]UC!$A$2:$FA$48, 11, FALSE)="",":",VLOOKUP($E$128,[1]UC!$A$2:$FA$48, 11, FALSE))</f>
        <v>96.55</v>
      </c>
      <c r="M128" s="544">
        <f>IF(VLOOKUP($E$128,[1]UC!$A$2:$FA$48, 12, FALSE)="",":",VLOOKUP($E$128,[1]UC!$A$2:$FA$48, 12, FALSE))</f>
        <v>228.37</v>
      </c>
      <c r="N128" s="544">
        <f>IF(VLOOKUP($E$128,[1]UC!$A$2:$FA$48, 13, FALSE)="",":",VLOOKUP($E$128,[1]UC!$A$2:$FA$48, 13, FALSE))</f>
        <v>108.83</v>
      </c>
      <c r="O128" s="544">
        <f>IF(VLOOKUP($E$128,[1]UC!$A$2:$FA$48, 14, FALSE)="",":",VLOOKUP($E$128,[1]UC!$A$2:$FA$48, 14, FALSE))</f>
        <v>37.51</v>
      </c>
      <c r="P128" s="544">
        <f>IF(VLOOKUP($E$128,[1]UC!$A$2:$FA$48, 15, FALSE)="",":",VLOOKUP($E$128,[1]UC!$A$2:$FA$48, 15, FALSE))</f>
        <v>72.2</v>
      </c>
      <c r="Q128" s="544">
        <f>IF(VLOOKUP($E$128,[1]UC!$A$2:$FA$48, 16, FALSE)="",":",VLOOKUP($E$128,[1]UC!$A$2:$FA$48, 16, FALSE))</f>
        <v>69.08</v>
      </c>
      <c r="R128" s="544">
        <f>IF(VLOOKUP($E$128,[1]UC!$A$2:$FA$48, 17, FALSE)="",":",VLOOKUP($E$128,[1]UC!$A$2:$FA$48, 17, FALSE))</f>
        <v>135.58000000000001</v>
      </c>
      <c r="S128" s="544">
        <f>IF(VLOOKUP($E$128,[1]UC!$A$2:$FA$48, 18, FALSE)="",":",VLOOKUP($E$128,[1]UC!$A$2:$FA$48, 18, FALSE))</f>
        <v>269.8</v>
      </c>
      <c r="T128" s="544">
        <f>IF(VLOOKUP($E$128,[1]UC!$A$2:$FA$48, 19, FALSE)="",":",VLOOKUP($E$128,[1]UC!$A$2:$FA$48, 19, FALSE))</f>
        <v>348.25</v>
      </c>
      <c r="U128" s="544">
        <f>IF(VLOOKUP($E$128,[1]UC!$A$2:$FA$48, 20, FALSE)="",":",VLOOKUP($E$128,[1]UC!$A$2:$FA$48, 20, FALSE))</f>
        <v>799.54</v>
      </c>
      <c r="V128" s="544">
        <f>IF(VLOOKUP($E$128,[1]UC!$A$2:$FA$48, 21, FALSE)="",":",VLOOKUP($E$128,[1]UC!$A$2:$FA$48, 21, FALSE))</f>
        <v>404.59</v>
      </c>
      <c r="W128" s="544">
        <f>IF(VLOOKUP($E$128,[1]UC!$A$2:$FA$48, 22, FALSE)="",":",VLOOKUP($E$128,[1]UC!$A$2:$FA$48, 22, FALSE))</f>
        <v>458.18</v>
      </c>
      <c r="X128" s="544">
        <f>IF(VLOOKUP($E$128,[1]UC!$A$2:$FA$48, 23, FALSE)="",":",VLOOKUP($E$128,[1]UC!$A$2:$FA$48, 23, FALSE))</f>
        <v>404.61</v>
      </c>
      <c r="Y128" s="544">
        <f>IF(VLOOKUP($E$128,[1]UC!$A$2:$FA$48, 24, FALSE)="",":",VLOOKUP($E$128,[1]UC!$A$2:$FA$48, 24, FALSE))</f>
        <v>840.95</v>
      </c>
      <c r="Z128" s="544">
        <f>IF(VLOOKUP($E$128,[1]UC!$A$2:$FA$48, 25, FALSE)="",":",VLOOKUP($E$128,[1]UC!$A$2:$FA$48, 25, FALSE))</f>
        <v>570.54999999999995</v>
      </c>
      <c r="AA128" s="544">
        <f>IF(VLOOKUP($E$128,[1]UC!$A$2:$FA$48, 26, FALSE)="",":",VLOOKUP($E$128,[1]UC!$A$2:$FA$48, 26, FALSE))</f>
        <v>772.32</v>
      </c>
      <c r="AB128" s="544">
        <f>IF(VLOOKUP($E$128,[1]UC!$A$2:$FA$48, 27, FALSE)="",":",VLOOKUP($E$128,[1]UC!$A$2:$FA$48, 27, FALSE))</f>
        <v>464.52</v>
      </c>
      <c r="AC128" s="544" t="str">
        <f>IF(VLOOKUP($E$128,[1]UC!$A$2:$FA$48, 28, FALSE)="",":",VLOOKUP($E$128,[1]UC!$A$2:$FA$48, 28, FALSE))</f>
        <v>:</v>
      </c>
      <c r="AD128" s="544" t="str">
        <f>IF(VLOOKUP($E$128,[1]UC!$A$2:$FA$48, 29, FALSE)="",":",VLOOKUP($E$128,[1]UC!$A$2:$FA$48, 29, FALSE))</f>
        <v>:</v>
      </c>
      <c r="AE128" s="544" t="str">
        <f>IF(VLOOKUP($E$128,[1]UC!$A$2:$FA$48, 30, FALSE)="",":",VLOOKUP($E$128,[1]UC!$A$2:$FA$48, 30, FALSE))</f>
        <v>:</v>
      </c>
      <c r="AF128" s="544" t="str">
        <f>IF(VLOOKUP($E$128,[1]UC!$A$2:$FA$48, 31, FALSE)="",":",VLOOKUP($E$128,[1]UC!$A$2:$FA$48, 31, FALSE))</f>
        <v>:</v>
      </c>
    </row>
    <row r="129" spans="1:32">
      <c r="A129" s="533"/>
      <c r="B129" s="534" t="s">
        <v>1970</v>
      </c>
      <c r="C129" s="535" t="s">
        <v>415</v>
      </c>
      <c r="D129" s="12" t="s">
        <v>413</v>
      </c>
      <c r="E129" s="13">
        <v>23</v>
      </c>
      <c r="F129" s="14" t="str">
        <f>VLOOKUP($E$129,[1]UC!$A$2:$FA$48, 3, FALSE)</f>
        <v>23 Capital transfers, payable D.9p</v>
      </c>
      <c r="G129" s="544">
        <f>IF(VLOOKUP($E$129,[1]UC!$A$2:$FA$48, 6, FALSE)="",":",VLOOKUP($E$129,[1]UC!$A$2:$FA$48, 6, FALSE))</f>
        <v>0</v>
      </c>
      <c r="H129" s="544">
        <f>IF(VLOOKUP($E$129,[1]UC!$A$2:$FA$48, 7, FALSE)="",":",VLOOKUP($E$129,[1]UC!$A$2:$FA$48, 7, FALSE))</f>
        <v>0</v>
      </c>
      <c r="I129" s="544">
        <f>IF(VLOOKUP($E$129,[1]UC!$A$2:$FA$48, 8, FALSE)="",":",VLOOKUP($E$129,[1]UC!$A$2:$FA$48, 8, FALSE))</f>
        <v>0.42000000000000004</v>
      </c>
      <c r="J129" s="544">
        <f>IF(VLOOKUP($E$129,[1]UC!$A$2:$FA$48, 9, FALSE)="",":",VLOOKUP($E$129,[1]UC!$A$2:$FA$48, 9, FALSE))</f>
        <v>3</v>
      </c>
      <c r="K129" s="544">
        <f>IF(VLOOKUP($E$129,[1]UC!$A$2:$FA$48, 10, FALSE)="",":",VLOOKUP($E$129,[1]UC!$A$2:$FA$48, 10, FALSE))</f>
        <v>18.079999999999998</v>
      </c>
      <c r="L129" s="544">
        <f>IF(VLOOKUP($E$129,[1]UC!$A$2:$FA$48, 11, FALSE)="",":",VLOOKUP($E$129,[1]UC!$A$2:$FA$48, 11, FALSE))</f>
        <v>-29.28</v>
      </c>
      <c r="M129" s="544">
        <f>IF(VLOOKUP($E$129,[1]UC!$A$2:$FA$48, 12, FALSE)="",":",VLOOKUP($E$129,[1]UC!$A$2:$FA$48, 12, FALSE))</f>
        <v>-33.770000000000003</v>
      </c>
      <c r="N129" s="544">
        <f>IF(VLOOKUP($E$129,[1]UC!$A$2:$FA$48, 13, FALSE)="",":",VLOOKUP($E$129,[1]UC!$A$2:$FA$48, 13, FALSE))</f>
        <v>-12.9</v>
      </c>
      <c r="O129" s="544">
        <f>IF(VLOOKUP($E$129,[1]UC!$A$2:$FA$48, 14, FALSE)="",":",VLOOKUP($E$129,[1]UC!$A$2:$FA$48, 14, FALSE))</f>
        <v>-6.05</v>
      </c>
      <c r="P129" s="544">
        <f>IF(VLOOKUP($E$129,[1]UC!$A$2:$FA$48, 15, FALSE)="",":",VLOOKUP($E$129,[1]UC!$A$2:$FA$48, 15, FALSE))</f>
        <v>-3.63</v>
      </c>
      <c r="Q129" s="544">
        <f>IF(VLOOKUP($E$129,[1]UC!$A$2:$FA$48, 16, FALSE)="",":",VLOOKUP($E$129,[1]UC!$A$2:$FA$48, 16, FALSE))</f>
        <v>13.98</v>
      </c>
      <c r="R129" s="544">
        <f>IF(VLOOKUP($E$129,[1]UC!$A$2:$FA$48, 17, FALSE)="",":",VLOOKUP($E$129,[1]UC!$A$2:$FA$48, 17, FALSE))</f>
        <v>-8.3800000000000008</v>
      </c>
      <c r="S129" s="544">
        <f>IF(VLOOKUP($E$129,[1]UC!$A$2:$FA$48, 18, FALSE)="",":",VLOOKUP($E$129,[1]UC!$A$2:$FA$48, 18, FALSE))</f>
        <v>-1.73</v>
      </c>
      <c r="T129" s="544">
        <f>IF(VLOOKUP($E$129,[1]UC!$A$2:$FA$48, 19, FALSE)="",":",VLOOKUP($E$129,[1]UC!$A$2:$FA$48, 19, FALSE))</f>
        <v>-13.16</v>
      </c>
      <c r="U129" s="544">
        <f>IF(VLOOKUP($E$129,[1]UC!$A$2:$FA$48, 20, FALSE)="",":",VLOOKUP($E$129,[1]UC!$A$2:$FA$48, 20, FALSE))</f>
        <v>-44.34</v>
      </c>
      <c r="V129" s="544">
        <f>IF(VLOOKUP($E$129,[1]UC!$A$2:$FA$48, 21, FALSE)="",":",VLOOKUP($E$129,[1]UC!$A$2:$FA$48, 21, FALSE))</f>
        <v>-27.74</v>
      </c>
      <c r="W129" s="544">
        <f>IF(VLOOKUP($E$129,[1]UC!$A$2:$FA$48, 22, FALSE)="",":",VLOOKUP($E$129,[1]UC!$A$2:$FA$48, 22, FALSE))</f>
        <v>-15.53</v>
      </c>
      <c r="X129" s="544">
        <f>IF(VLOOKUP($E$129,[1]UC!$A$2:$FA$48, 23, FALSE)="",":",VLOOKUP($E$129,[1]UC!$A$2:$FA$48, 23, FALSE))</f>
        <v>23.83</v>
      </c>
      <c r="Y129" s="544">
        <f>IF(VLOOKUP($E$129,[1]UC!$A$2:$FA$48, 24, FALSE)="",":",VLOOKUP($E$129,[1]UC!$A$2:$FA$48, 24, FALSE))</f>
        <v>96.68</v>
      </c>
      <c r="Z129" s="544">
        <f>IF(VLOOKUP($E$129,[1]UC!$A$2:$FA$48, 25, FALSE)="",":",VLOOKUP($E$129,[1]UC!$A$2:$FA$48, 25, FALSE))</f>
        <v>479.61</v>
      </c>
      <c r="AA129" s="544">
        <f>IF(VLOOKUP($E$129,[1]UC!$A$2:$FA$48, 26, FALSE)="",":",VLOOKUP($E$129,[1]UC!$A$2:$FA$48, 26, FALSE))</f>
        <v>199.53</v>
      </c>
      <c r="AB129" s="544">
        <f>IF(VLOOKUP($E$129,[1]UC!$A$2:$FA$48, 27, FALSE)="",":",VLOOKUP($E$129,[1]UC!$A$2:$FA$48, 27, FALSE))</f>
        <v>80.52</v>
      </c>
      <c r="AC129" s="544" t="str">
        <f>IF(VLOOKUP($E$129,[1]UC!$A$2:$FA$48, 28, FALSE)="",":",VLOOKUP($E$129,[1]UC!$A$2:$FA$48, 28, FALSE))</f>
        <v>:</v>
      </c>
      <c r="AD129" s="544" t="str">
        <f>IF(VLOOKUP($E$129,[1]UC!$A$2:$FA$48, 29, FALSE)="",":",VLOOKUP($E$129,[1]UC!$A$2:$FA$48, 29, FALSE))</f>
        <v>:</v>
      </c>
      <c r="AE129" s="544" t="str">
        <f>IF(VLOOKUP($E$129,[1]UC!$A$2:$FA$48, 30, FALSE)="",":",VLOOKUP($E$129,[1]UC!$A$2:$FA$48, 30, FALSE))</f>
        <v>:</v>
      </c>
      <c r="AF129" s="544" t="str">
        <f>IF(VLOOKUP($E$129,[1]UC!$A$2:$FA$48, 31, FALSE)="",":",VLOOKUP($E$129,[1]UC!$A$2:$FA$48, 31, FALSE))</f>
        <v>:</v>
      </c>
    </row>
    <row r="130" spans="1:32" s="540" customFormat="1">
      <c r="A130" s="536"/>
      <c r="B130" s="537" t="s">
        <v>114</v>
      </c>
      <c r="C130" s="538" t="s">
        <v>115</v>
      </c>
      <c r="D130" s="528"/>
      <c r="E130" s="529"/>
      <c r="F130" s="539"/>
      <c r="G130" s="545">
        <f>+G128-G129</f>
        <v>33.049999999999997</v>
      </c>
      <c r="H130" s="545">
        <f t="shared" ref="H130:AF130" si="4">+H128-H129</f>
        <v>222.08</v>
      </c>
      <c r="I130" s="545">
        <f t="shared" si="4"/>
        <v>31.61</v>
      </c>
      <c r="J130" s="545">
        <f t="shared" si="4"/>
        <v>100.12</v>
      </c>
      <c r="K130" s="545">
        <f t="shared" si="4"/>
        <v>54</v>
      </c>
      <c r="L130" s="545">
        <f t="shared" si="4"/>
        <v>125.83</v>
      </c>
      <c r="M130" s="545">
        <f t="shared" si="4"/>
        <v>262.14</v>
      </c>
      <c r="N130" s="545">
        <f t="shared" si="4"/>
        <v>121.73</v>
      </c>
      <c r="O130" s="545">
        <f t="shared" si="4"/>
        <v>43.559999999999995</v>
      </c>
      <c r="P130" s="545">
        <f t="shared" si="4"/>
        <v>75.83</v>
      </c>
      <c r="Q130" s="545">
        <f t="shared" si="4"/>
        <v>55.099999999999994</v>
      </c>
      <c r="R130" s="545">
        <f t="shared" si="4"/>
        <v>143.96</v>
      </c>
      <c r="S130" s="545">
        <f t="shared" si="4"/>
        <v>271.53000000000003</v>
      </c>
      <c r="T130" s="545">
        <f t="shared" si="4"/>
        <v>361.41</v>
      </c>
      <c r="U130" s="545">
        <f t="shared" si="4"/>
        <v>843.88</v>
      </c>
      <c r="V130" s="545">
        <f t="shared" si="4"/>
        <v>432.33</v>
      </c>
      <c r="W130" s="545">
        <f t="shared" si="4"/>
        <v>473.71</v>
      </c>
      <c r="X130" s="545">
        <f t="shared" si="4"/>
        <v>380.78000000000003</v>
      </c>
      <c r="Y130" s="545">
        <f t="shared" si="4"/>
        <v>744.27</v>
      </c>
      <c r="Z130" s="545">
        <f t="shared" si="4"/>
        <v>90.939999999999941</v>
      </c>
      <c r="AA130" s="545">
        <f t="shared" si="4"/>
        <v>572.79000000000008</v>
      </c>
      <c r="AB130" s="545">
        <f t="shared" si="4"/>
        <v>384</v>
      </c>
      <c r="AC130" s="545" t="e">
        <f t="shared" si="4"/>
        <v>#VALUE!</v>
      </c>
      <c r="AD130" s="545" t="e">
        <f t="shared" si="4"/>
        <v>#VALUE!</v>
      </c>
      <c r="AE130" s="545" t="e">
        <f t="shared" si="4"/>
        <v>#VALUE!</v>
      </c>
      <c r="AF130" s="545" t="e">
        <f t="shared" si="4"/>
        <v>#VALUE!</v>
      </c>
    </row>
    <row r="131" spans="1:32">
      <c r="A131" s="533"/>
      <c r="B131" s="534"/>
      <c r="C131" s="535"/>
      <c r="D131" s="12"/>
      <c r="E131" s="13"/>
      <c r="F131" s="14"/>
      <c r="G131" s="544"/>
      <c r="H131" s="544"/>
      <c r="I131" s="544"/>
      <c r="J131" s="544"/>
      <c r="K131" s="544"/>
      <c r="L131" s="544"/>
      <c r="M131" s="544"/>
      <c r="N131" s="544"/>
      <c r="O131" s="544"/>
      <c r="P131" s="544"/>
      <c r="Q131" s="544"/>
      <c r="R131" s="544"/>
      <c r="S131" s="544"/>
      <c r="T131" s="544"/>
      <c r="U131" s="544"/>
      <c r="V131" s="544"/>
      <c r="W131" s="544"/>
      <c r="X131" s="544"/>
      <c r="Y131" s="544"/>
      <c r="Z131" s="544"/>
      <c r="AA131" s="544"/>
      <c r="AB131" s="544"/>
      <c r="AC131" s="544"/>
      <c r="AD131" s="544"/>
      <c r="AE131" s="544"/>
      <c r="AF131" s="544"/>
    </row>
    <row r="132" spans="1:32">
      <c r="A132" s="533"/>
      <c r="B132" s="534" t="s">
        <v>1557</v>
      </c>
      <c r="C132" s="535" t="s">
        <v>416</v>
      </c>
      <c r="D132" s="12" t="s">
        <v>413</v>
      </c>
      <c r="E132" s="13">
        <v>28</v>
      </c>
      <c r="F132" s="14" t="str">
        <f>VLOOKUP($E$132,[1]UC!$A$2:$FA$48, 3, FALSE)</f>
        <v>28 Net acquisitions of non-produced non-financial assets K.2</v>
      </c>
      <c r="G132" s="544">
        <f>IF(VLOOKUP($E$132,[1]UC!$A$2:$FA$48, 6, FALSE)="",":",VLOOKUP($E$132,[1]UC!$A$2:$FA$48, 6, FALSE))</f>
        <v>0</v>
      </c>
      <c r="H132" s="544">
        <f>IF(VLOOKUP($E$132,[1]UC!$A$2:$FA$48, 7, FALSE)="",":",VLOOKUP($E$132,[1]UC!$A$2:$FA$48, 7, FALSE))</f>
        <v>0</v>
      </c>
      <c r="I132" s="544">
        <f>IF(VLOOKUP($E$132,[1]UC!$A$2:$FA$48, 8, FALSE)="",":",VLOOKUP($E$132,[1]UC!$A$2:$FA$48, 8, FALSE))</f>
        <v>6.42</v>
      </c>
      <c r="J132" s="544">
        <f>IF(VLOOKUP($E$132,[1]UC!$A$2:$FA$48, 9, FALSE)="",":",VLOOKUP($E$132,[1]UC!$A$2:$FA$48, 9, FALSE))</f>
        <v>1.36</v>
      </c>
      <c r="K132" s="544">
        <f>IF(VLOOKUP($E$132,[1]UC!$A$2:$FA$48, 10, FALSE)="",":",VLOOKUP($E$132,[1]UC!$A$2:$FA$48, 10, FALSE))</f>
        <v>4.2699999999999996</v>
      </c>
      <c r="L132" s="544">
        <f>IF(VLOOKUP($E$132,[1]UC!$A$2:$FA$48, 11, FALSE)="",":",VLOOKUP($E$132,[1]UC!$A$2:$FA$48, 11, FALSE))</f>
        <v>6.53</v>
      </c>
      <c r="M132" s="544">
        <f>IF(VLOOKUP($E$132,[1]UC!$A$2:$FA$48, 12, FALSE)="",":",VLOOKUP($E$132,[1]UC!$A$2:$FA$48, 12, FALSE))</f>
        <v>17.149999999999999</v>
      </c>
      <c r="N132" s="544">
        <f>IF(VLOOKUP($E$132,[1]UC!$A$2:$FA$48, 13, FALSE)="",":",VLOOKUP($E$132,[1]UC!$A$2:$FA$48, 13, FALSE))</f>
        <v>19.89</v>
      </c>
      <c r="O132" s="544">
        <f>IF(VLOOKUP($E$132,[1]UC!$A$2:$FA$48, 14, FALSE)="",":",VLOOKUP($E$132,[1]UC!$A$2:$FA$48, 14, FALSE))</f>
        <v>23.65</v>
      </c>
      <c r="P132" s="544">
        <f>IF(VLOOKUP($E$132,[1]UC!$A$2:$FA$48, 15, FALSE)="",":",VLOOKUP($E$132,[1]UC!$A$2:$FA$48, 15, FALSE))</f>
        <v>68.23</v>
      </c>
      <c r="Q132" s="544">
        <f>IF(VLOOKUP($E$132,[1]UC!$A$2:$FA$48, 16, FALSE)="",":",VLOOKUP($E$132,[1]UC!$A$2:$FA$48, 16, FALSE))</f>
        <v>182.68</v>
      </c>
      <c r="R132" s="544">
        <f>IF(VLOOKUP($E$132,[1]UC!$A$2:$FA$48, 17, FALSE)="",":",VLOOKUP($E$132,[1]UC!$A$2:$FA$48, 17, FALSE))</f>
        <v>260.54000000000002</v>
      </c>
      <c r="S132" s="544">
        <f>IF(VLOOKUP($E$132,[1]UC!$A$2:$FA$48, 18, FALSE)="",":",VLOOKUP($E$132,[1]UC!$A$2:$FA$48, 18, FALSE))</f>
        <v>408.06</v>
      </c>
      <c r="T132" s="544">
        <f>IF(VLOOKUP($E$132,[1]UC!$A$2:$FA$48, 19, FALSE)="",":",VLOOKUP($E$132,[1]UC!$A$2:$FA$48, 19, FALSE))</f>
        <v>168.67</v>
      </c>
      <c r="U132" s="544">
        <f>IF(VLOOKUP($E$132,[1]UC!$A$2:$FA$48, 20, FALSE)="",":",VLOOKUP($E$132,[1]UC!$A$2:$FA$48, 20, FALSE))</f>
        <v>-24.57</v>
      </c>
      <c r="V132" s="544">
        <f>IF(VLOOKUP($E$132,[1]UC!$A$2:$FA$48, 21, FALSE)="",":",VLOOKUP($E$132,[1]UC!$A$2:$FA$48, 21, FALSE))</f>
        <v>-16.739999999999998</v>
      </c>
      <c r="W132" s="544">
        <f>IF(VLOOKUP($E$132,[1]UC!$A$2:$FA$48, 22, FALSE)="",":",VLOOKUP($E$132,[1]UC!$A$2:$FA$48, 22, FALSE))</f>
        <v>122.36</v>
      </c>
      <c r="X132" s="544">
        <f>IF(VLOOKUP($E$132,[1]UC!$A$2:$FA$48, 23, FALSE)="",":",VLOOKUP($E$132,[1]UC!$A$2:$FA$48, 23, FALSE))</f>
        <v>118.3</v>
      </c>
      <c r="Y132" s="544">
        <f>IF(VLOOKUP($E$132,[1]UC!$A$2:$FA$48, 24, FALSE)="",":",VLOOKUP($E$132,[1]UC!$A$2:$FA$48, 24, FALSE))</f>
        <v>94.85</v>
      </c>
      <c r="Z132" s="544">
        <f>IF(VLOOKUP($E$132,[1]UC!$A$2:$FA$48, 25, FALSE)="",":",VLOOKUP($E$132,[1]UC!$A$2:$FA$48, 25, FALSE))</f>
        <v>37.08</v>
      </c>
      <c r="AA132" s="544">
        <f>IF(VLOOKUP($E$132,[1]UC!$A$2:$FA$48, 26, FALSE)="",":",VLOOKUP($E$132,[1]UC!$A$2:$FA$48, 26, FALSE))</f>
        <v>86.23</v>
      </c>
      <c r="AB132" s="544">
        <f>IF(VLOOKUP($E$132,[1]UC!$A$2:$FA$48, 27, FALSE)="",":",VLOOKUP($E$132,[1]UC!$A$2:$FA$48, 27, FALSE))</f>
        <v>105.53</v>
      </c>
      <c r="AC132" s="544" t="str">
        <f>IF(VLOOKUP($E$132,[1]UC!$A$2:$FA$48, 28, FALSE)="",":",VLOOKUP($E$132,[1]UC!$A$2:$FA$48, 28, FALSE))</f>
        <v>:</v>
      </c>
      <c r="AD132" s="544" t="str">
        <f>IF(VLOOKUP($E$132,[1]UC!$A$2:$FA$48, 29, FALSE)="",":",VLOOKUP($E$132,[1]UC!$A$2:$FA$48, 29, FALSE))</f>
        <v>:</v>
      </c>
      <c r="AE132" s="544" t="str">
        <f>IF(VLOOKUP($E$132,[1]UC!$A$2:$FA$48, 30, FALSE)="",":",VLOOKUP($E$132,[1]UC!$A$2:$FA$48, 30, FALSE))</f>
        <v>:</v>
      </c>
      <c r="AF132" s="544" t="str">
        <f>IF(VLOOKUP($E$132,[1]UC!$A$2:$FA$48, 31, FALSE)="",":",VLOOKUP($E$132,[1]UC!$A$2:$FA$48, 31, FALSE))</f>
        <v>:</v>
      </c>
    </row>
    <row r="133" spans="1:32">
      <c r="A133" s="533"/>
      <c r="B133" s="534" t="s">
        <v>1558</v>
      </c>
      <c r="C133" s="535" t="s">
        <v>417</v>
      </c>
      <c r="D133" s="12" t="s">
        <v>413</v>
      </c>
      <c r="E133" s="13">
        <v>25</v>
      </c>
      <c r="F133" s="14" t="str">
        <f>VLOOKUP($E$133,[1]UC!$A$2:$FA$48, 3, FALSE)</f>
        <v>25. Gross fixed capital formation P.51</v>
      </c>
      <c r="G133" s="544">
        <f>IF(VLOOKUP($E$133,[1]UC!$A$2:$FA$48, 6, FALSE)="",":",VLOOKUP($E$133,[1]UC!$A$2:$FA$48, 6, FALSE))</f>
        <v>1031.51</v>
      </c>
      <c r="H133" s="544">
        <f>IF(VLOOKUP($E$133,[1]UC!$A$2:$FA$48, 7, FALSE)="",":",VLOOKUP($E$133,[1]UC!$A$2:$FA$48, 7, FALSE))</f>
        <v>1453.16</v>
      </c>
      <c r="I133" s="544">
        <f>IF(VLOOKUP($E$133,[1]UC!$A$2:$FA$48, 8, FALSE)="",":",VLOOKUP($E$133,[1]UC!$A$2:$FA$48, 8, FALSE))</f>
        <v>1930.88</v>
      </c>
      <c r="J133" s="544">
        <f>IF(VLOOKUP($E$133,[1]UC!$A$2:$FA$48, 9, FALSE)="",":",VLOOKUP($E$133,[1]UC!$A$2:$FA$48, 9, FALSE))</f>
        <v>2196.39</v>
      </c>
      <c r="K133" s="544">
        <f>IF(VLOOKUP($E$133,[1]UC!$A$2:$FA$48, 10, FALSE)="",":",VLOOKUP($E$133,[1]UC!$A$2:$FA$48, 10, FALSE))</f>
        <v>2030.02</v>
      </c>
      <c r="L133" s="544">
        <f>IF(VLOOKUP($E$133,[1]UC!$A$2:$FA$48, 11, FALSE)="",":",VLOOKUP($E$133,[1]UC!$A$2:$FA$48, 11, FALSE))</f>
        <v>1749.54</v>
      </c>
      <c r="M133" s="544">
        <f>IF(VLOOKUP($E$133,[1]UC!$A$2:$FA$48, 12, FALSE)="",":",VLOOKUP($E$133,[1]UC!$A$2:$FA$48, 12, FALSE))</f>
        <v>2053.2399999999998</v>
      </c>
      <c r="N133" s="544">
        <f>IF(VLOOKUP($E$133,[1]UC!$A$2:$FA$48, 13, FALSE)="",":",VLOOKUP($E$133,[1]UC!$A$2:$FA$48, 13, FALSE))</f>
        <v>2157.1</v>
      </c>
      <c r="O133" s="544">
        <f>IF(VLOOKUP($E$133,[1]UC!$A$2:$FA$48, 14, FALSE)="",":",VLOOKUP($E$133,[1]UC!$A$2:$FA$48, 14, FALSE))</f>
        <v>2387.41</v>
      </c>
      <c r="P133" s="544">
        <f>IF(VLOOKUP($E$133,[1]UC!$A$2:$FA$48, 15, FALSE)="",":",VLOOKUP($E$133,[1]UC!$A$2:$FA$48, 15, FALSE))</f>
        <v>2724.99</v>
      </c>
      <c r="Q133" s="544">
        <f>IF(VLOOKUP($E$133,[1]UC!$A$2:$FA$48, 16, FALSE)="",":",VLOOKUP($E$133,[1]UC!$A$2:$FA$48, 16, FALSE))</f>
        <v>3314.25</v>
      </c>
      <c r="R133" s="544">
        <f>IF(VLOOKUP($E$133,[1]UC!$A$2:$FA$48, 17, FALSE)="",":",VLOOKUP($E$133,[1]UC!$A$2:$FA$48, 17, FALSE))</f>
        <v>4335.8999999999996</v>
      </c>
      <c r="S133" s="544">
        <f>IF(VLOOKUP($E$133,[1]UC!$A$2:$FA$48, 18, FALSE)="",":",VLOOKUP($E$133,[1]UC!$A$2:$FA$48, 18, FALSE))</f>
        <v>5643.8</v>
      </c>
      <c r="T133" s="544">
        <f>IF(VLOOKUP($E$133,[1]UC!$A$2:$FA$48, 19, FALSE)="",":",VLOOKUP($E$133,[1]UC!$A$2:$FA$48, 19, FALSE))</f>
        <v>5474.98</v>
      </c>
      <c r="U133" s="544">
        <f>IF(VLOOKUP($E$133,[1]UC!$A$2:$FA$48, 20, FALSE)="",":",VLOOKUP($E$133,[1]UC!$A$2:$FA$48, 20, FALSE))</f>
        <v>2664.17</v>
      </c>
      <c r="V133" s="544">
        <f>IF(VLOOKUP($E$133,[1]UC!$A$2:$FA$48, 21, FALSE)="",":",VLOOKUP($E$133,[1]UC!$A$2:$FA$48, 21, FALSE))</f>
        <v>2413.17</v>
      </c>
      <c r="W133" s="544">
        <f>IF(VLOOKUP($E$133,[1]UC!$A$2:$FA$48, 22, FALSE)="",":",VLOOKUP($E$133,[1]UC!$A$2:$FA$48, 22, FALSE))</f>
        <v>3258.13</v>
      </c>
      <c r="X133" s="544">
        <f>IF(VLOOKUP($E$133,[1]UC!$A$2:$FA$48, 23, FALSE)="",":",VLOOKUP($E$133,[1]UC!$A$2:$FA$48, 23, FALSE))</f>
        <v>3458.71</v>
      </c>
      <c r="Y133" s="544">
        <f>IF(VLOOKUP($E$133,[1]UC!$A$2:$FA$48, 24, FALSE)="",":",VLOOKUP($E$133,[1]UC!$A$2:$FA$48, 24, FALSE))</f>
        <v>3904.03</v>
      </c>
      <c r="Z133" s="544">
        <f>IF(VLOOKUP($E$133,[1]UC!$A$2:$FA$48, 25, FALSE)="",":",VLOOKUP($E$133,[1]UC!$A$2:$FA$48, 25, FALSE))</f>
        <v>4250.8</v>
      </c>
      <c r="AA133" s="544">
        <f>IF(VLOOKUP($E$133,[1]UC!$A$2:$FA$48, 26, FALSE)="",":",VLOOKUP($E$133,[1]UC!$A$2:$FA$48, 26, FALSE))</f>
        <v>4387.2</v>
      </c>
      <c r="AB133" s="544">
        <f>IF(VLOOKUP($E$133,[1]UC!$A$2:$FA$48, 27, FALSE)="",":",VLOOKUP($E$133,[1]UC!$A$2:$FA$48, 27, FALSE))</f>
        <v>4418.33</v>
      </c>
      <c r="AC133" s="544" t="str">
        <f>IF(VLOOKUP($E$133,[1]UC!$A$2:$FA$48, 28, FALSE)="",":",VLOOKUP($E$133,[1]UC!$A$2:$FA$48, 28, FALSE))</f>
        <v>:</v>
      </c>
      <c r="AD133" s="544" t="str">
        <f>IF(VLOOKUP($E$133,[1]UC!$A$2:$FA$48, 29, FALSE)="",":",VLOOKUP($E$133,[1]UC!$A$2:$FA$48, 29, FALSE))</f>
        <v>:</v>
      </c>
      <c r="AE133" s="544" t="str">
        <f>IF(VLOOKUP($E$133,[1]UC!$A$2:$FA$48, 30, FALSE)="",":",VLOOKUP($E$133,[1]UC!$A$2:$FA$48, 30, FALSE))</f>
        <v>:</v>
      </c>
      <c r="AF133" s="544" t="str">
        <f>IF(VLOOKUP($E$133,[1]UC!$A$2:$FA$48, 31, FALSE)="",":",VLOOKUP($E$133,[1]UC!$A$2:$FA$48, 31, FALSE))</f>
        <v>:</v>
      </c>
    </row>
    <row r="134" spans="1:32">
      <c r="A134" s="533"/>
      <c r="B134" s="534"/>
      <c r="C134" s="535" t="s">
        <v>423</v>
      </c>
      <c r="D134" s="12" t="s">
        <v>413</v>
      </c>
      <c r="E134" s="13">
        <v>26</v>
      </c>
      <c r="F134" s="14" t="str">
        <f>VLOOKUP($E$134,[1]UC!$A$2:$FA$48, 3, FALSE)</f>
        <v xml:space="preserve">26 Changes in inventories P.52 </v>
      </c>
      <c r="G134" s="544">
        <f>IF(VLOOKUP($E$134,[1]UC!$A$2:$FA$48, 6, FALSE)="",":",VLOOKUP($E$134,[1]UC!$A$2:$FA$48, 6, FALSE))</f>
        <v>161.75</v>
      </c>
      <c r="H134" s="544">
        <f>IF(VLOOKUP($E$134,[1]UC!$A$2:$FA$48, 7, FALSE)="",":",VLOOKUP($E$134,[1]UC!$A$2:$FA$48, 7, FALSE))</f>
        <v>40.89</v>
      </c>
      <c r="I134" s="544">
        <f>IF(VLOOKUP($E$134,[1]UC!$A$2:$FA$48, 8, FALSE)="",":",VLOOKUP($E$134,[1]UC!$A$2:$FA$48, 8, FALSE))</f>
        <v>198.27</v>
      </c>
      <c r="J134" s="544">
        <f>IF(VLOOKUP($E$134,[1]UC!$A$2:$FA$48, 9, FALSE)="",":",VLOOKUP($E$134,[1]UC!$A$2:$FA$48, 9, FALSE))</f>
        <v>29.59</v>
      </c>
      <c r="K134" s="544">
        <f>IF(VLOOKUP($E$134,[1]UC!$A$2:$FA$48, 10, FALSE)="",":",VLOOKUP($E$134,[1]UC!$A$2:$FA$48, 10, FALSE))</f>
        <v>-42.6</v>
      </c>
      <c r="L134" s="544">
        <f>IF(VLOOKUP($E$134,[1]UC!$A$2:$FA$48, 11, FALSE)="",":",VLOOKUP($E$134,[1]UC!$A$2:$FA$48, 11, FALSE))</f>
        <v>-50.57</v>
      </c>
      <c r="M134" s="544">
        <f>IF(VLOOKUP($E$134,[1]UC!$A$2:$FA$48, 12, FALSE)="",":",VLOOKUP($E$134,[1]UC!$A$2:$FA$48, 12, FALSE))</f>
        <v>-111.42</v>
      </c>
      <c r="N134" s="544">
        <f>IF(VLOOKUP($E$134,[1]UC!$A$2:$FA$48, 13, FALSE)="",":",VLOOKUP($E$134,[1]UC!$A$2:$FA$48, 13, FALSE))</f>
        <v>-19.64</v>
      </c>
      <c r="O134" s="544">
        <f>IF(VLOOKUP($E$134,[1]UC!$A$2:$FA$48, 14, FALSE)="",":",VLOOKUP($E$134,[1]UC!$A$2:$FA$48, 14, FALSE))</f>
        <v>30.72</v>
      </c>
      <c r="P134" s="544">
        <f>IF(VLOOKUP($E$134,[1]UC!$A$2:$FA$48, 15, FALSE)="",":",VLOOKUP($E$134,[1]UC!$A$2:$FA$48, 15, FALSE))</f>
        <v>-63.61</v>
      </c>
      <c r="Q134" s="544">
        <f>IF(VLOOKUP($E$134,[1]UC!$A$2:$FA$48, 16, FALSE)="",":",VLOOKUP($E$134,[1]UC!$A$2:$FA$48, 16, FALSE))</f>
        <v>167.45</v>
      </c>
      <c r="R134" s="544">
        <f>IF(VLOOKUP($E$134,[1]UC!$A$2:$FA$48, 17, FALSE)="",":",VLOOKUP($E$134,[1]UC!$A$2:$FA$48, 17, FALSE))</f>
        <v>160.13</v>
      </c>
      <c r="S134" s="544">
        <f>IF(VLOOKUP($E$134,[1]UC!$A$2:$FA$48, 18, FALSE)="",":",VLOOKUP($E$134,[1]UC!$A$2:$FA$48, 18, FALSE))</f>
        <v>950.69</v>
      </c>
      <c r="T134" s="544">
        <f>IF(VLOOKUP($E$134,[1]UC!$A$2:$FA$48, 19, FALSE)="",":",VLOOKUP($E$134,[1]UC!$A$2:$FA$48, 19, FALSE))</f>
        <v>424.95</v>
      </c>
      <c r="U134" s="544">
        <f>IF(VLOOKUP($E$134,[1]UC!$A$2:$FA$48, 20, FALSE)="",":",VLOOKUP($E$134,[1]UC!$A$2:$FA$48, 20, FALSE))</f>
        <v>-1437.22</v>
      </c>
      <c r="V134" s="544">
        <f>IF(VLOOKUP($E$134,[1]UC!$A$2:$FA$48, 21, FALSE)="",":",VLOOKUP($E$134,[1]UC!$A$2:$FA$48, 21, FALSE))</f>
        <v>334.7</v>
      </c>
      <c r="W134" s="544">
        <f>IF(VLOOKUP($E$134,[1]UC!$A$2:$FA$48, 22, FALSE)="",":",VLOOKUP($E$134,[1]UC!$A$2:$FA$48, 22, FALSE))</f>
        <v>930.86</v>
      </c>
      <c r="X134" s="544">
        <f>IF(VLOOKUP($E$134,[1]UC!$A$2:$FA$48, 23, FALSE)="",":",VLOOKUP($E$134,[1]UC!$A$2:$FA$48, 23, FALSE))</f>
        <v>571.46</v>
      </c>
      <c r="Y134" s="544">
        <f>IF(VLOOKUP($E$134,[1]UC!$A$2:$FA$48, 24, FALSE)="",":",VLOOKUP($E$134,[1]UC!$A$2:$FA$48, 24, FALSE))</f>
        <v>226.93</v>
      </c>
      <c r="Z134" s="544">
        <f>IF(VLOOKUP($E$134,[1]UC!$A$2:$FA$48, 25, FALSE)="",":",VLOOKUP($E$134,[1]UC!$A$2:$FA$48, 25, FALSE))</f>
        <v>20.34</v>
      </c>
      <c r="AA134" s="544">
        <f>IF(VLOOKUP($E$134,[1]UC!$A$2:$FA$48, 26, FALSE)="",":",VLOOKUP($E$134,[1]UC!$A$2:$FA$48, 26, FALSE))</f>
        <v>292.39999999999998</v>
      </c>
      <c r="AB134" s="544">
        <f>IF(VLOOKUP($E$134,[1]UC!$A$2:$FA$48, 27, FALSE)="",":",VLOOKUP($E$134,[1]UC!$A$2:$FA$48, 27, FALSE))</f>
        <v>-689.19</v>
      </c>
      <c r="AC134" s="544" t="str">
        <f>IF(VLOOKUP($E$134,[1]UC!$A$2:$FA$48, 28, FALSE)="",":",VLOOKUP($E$134,[1]UC!$A$2:$FA$48, 28, FALSE))</f>
        <v>:</v>
      </c>
      <c r="AD134" s="544" t="str">
        <f>IF(VLOOKUP($E$134,[1]UC!$A$2:$FA$48, 29, FALSE)="",":",VLOOKUP($E$134,[1]UC!$A$2:$FA$48, 29, FALSE))</f>
        <v>:</v>
      </c>
      <c r="AE134" s="544" t="str">
        <f>IF(VLOOKUP($E$134,[1]UC!$A$2:$FA$48, 30, FALSE)="",":",VLOOKUP($E$134,[1]UC!$A$2:$FA$48, 30, FALSE))</f>
        <v>:</v>
      </c>
      <c r="AF134" s="544" t="str">
        <f>IF(VLOOKUP($E$134,[1]UC!$A$2:$FA$48, 31, FALSE)="",":",VLOOKUP($E$134,[1]UC!$A$2:$FA$48, 31, FALSE))</f>
        <v>:</v>
      </c>
    </row>
    <row r="135" spans="1:32">
      <c r="A135" s="533"/>
      <c r="B135" s="534"/>
      <c r="C135" s="535" t="s">
        <v>381</v>
      </c>
      <c r="D135" s="12" t="s">
        <v>413</v>
      </c>
      <c r="E135" s="13">
        <v>27</v>
      </c>
      <c r="F135" s="14" t="str">
        <f>VLOOKUP($E$135,[1]UC!$A$2:$FA$48, 3, FALSE)</f>
        <v>27 Net acquisitions of valuables P.53</v>
      </c>
      <c r="G135" s="544">
        <f>IF(VLOOKUP($E$135,[1]UC!$A$2:$FA$48, 6, FALSE)="",":",VLOOKUP($E$135,[1]UC!$A$2:$FA$48, 6, FALSE))</f>
        <v>0</v>
      </c>
      <c r="H135" s="544">
        <f>IF(VLOOKUP($E$135,[1]UC!$A$2:$FA$48, 7, FALSE)="",":",VLOOKUP($E$135,[1]UC!$A$2:$FA$48, 7, FALSE))</f>
        <v>0.45</v>
      </c>
      <c r="I135" s="544">
        <f>IF(VLOOKUP($E$135,[1]UC!$A$2:$FA$48, 8, FALSE)="",":",VLOOKUP($E$135,[1]UC!$A$2:$FA$48, 8, FALSE))</f>
        <v>0.68</v>
      </c>
      <c r="J135" s="544">
        <f>IF(VLOOKUP($E$135,[1]UC!$A$2:$FA$48, 9, FALSE)="",":",VLOOKUP($E$135,[1]UC!$A$2:$FA$48, 9, FALSE))</f>
        <v>1.52</v>
      </c>
      <c r="K135" s="544">
        <f>IF(VLOOKUP($E$135,[1]UC!$A$2:$FA$48, 10, FALSE)="",":",VLOOKUP($E$135,[1]UC!$A$2:$FA$48, 10, FALSE))</f>
        <v>1.73</v>
      </c>
      <c r="L135" s="544">
        <f>IF(VLOOKUP($E$135,[1]UC!$A$2:$FA$48, 11, FALSE)="",":",VLOOKUP($E$135,[1]UC!$A$2:$FA$48, 11, FALSE))</f>
        <v>1.35</v>
      </c>
      <c r="M135" s="544">
        <f>IF(VLOOKUP($E$135,[1]UC!$A$2:$FA$48, 12, FALSE)="",":",VLOOKUP($E$135,[1]UC!$A$2:$FA$48, 12, FALSE))</f>
        <v>1.07</v>
      </c>
      <c r="N135" s="544">
        <f>IF(VLOOKUP($E$135,[1]UC!$A$2:$FA$48, 13, FALSE)="",":",VLOOKUP($E$135,[1]UC!$A$2:$FA$48, 13, FALSE))</f>
        <v>-0.54</v>
      </c>
      <c r="O135" s="544">
        <f>IF(VLOOKUP($E$135,[1]UC!$A$2:$FA$48, 14, FALSE)="",":",VLOOKUP($E$135,[1]UC!$A$2:$FA$48, 14, FALSE))</f>
        <v>1.53</v>
      </c>
      <c r="P135" s="544">
        <f>IF(VLOOKUP($E$135,[1]UC!$A$2:$FA$48, 15, FALSE)="",":",VLOOKUP($E$135,[1]UC!$A$2:$FA$48, 15, FALSE))</f>
        <v>2.12</v>
      </c>
      <c r="Q135" s="544">
        <f>IF(VLOOKUP($E$135,[1]UC!$A$2:$FA$48, 16, FALSE)="",":",VLOOKUP($E$135,[1]UC!$A$2:$FA$48, 16, FALSE))</f>
        <v>3.12</v>
      </c>
      <c r="R135" s="544">
        <f>IF(VLOOKUP($E$135,[1]UC!$A$2:$FA$48, 17, FALSE)="",":",VLOOKUP($E$135,[1]UC!$A$2:$FA$48, 17, FALSE))</f>
        <v>5.34</v>
      </c>
      <c r="S135" s="544">
        <f>IF(VLOOKUP($E$135,[1]UC!$A$2:$FA$48, 18, FALSE)="",":",VLOOKUP($E$135,[1]UC!$A$2:$FA$48, 18, FALSE))</f>
        <v>8.5</v>
      </c>
      <c r="T135" s="544">
        <f>IF(VLOOKUP($E$135,[1]UC!$A$2:$FA$48, 19, FALSE)="",":",VLOOKUP($E$135,[1]UC!$A$2:$FA$48, 19, FALSE))</f>
        <v>9.91</v>
      </c>
      <c r="U135" s="544">
        <f>IF(VLOOKUP($E$135,[1]UC!$A$2:$FA$48, 20, FALSE)="",":",VLOOKUP($E$135,[1]UC!$A$2:$FA$48, 20, FALSE))</f>
        <v>7.54</v>
      </c>
      <c r="V135" s="544">
        <f>IF(VLOOKUP($E$135,[1]UC!$A$2:$FA$48, 21, FALSE)="",":",VLOOKUP($E$135,[1]UC!$A$2:$FA$48, 21, FALSE))</f>
        <v>7.53</v>
      </c>
      <c r="W135" s="544">
        <f>IF(VLOOKUP($E$135,[1]UC!$A$2:$FA$48, 22, FALSE)="",":",VLOOKUP($E$135,[1]UC!$A$2:$FA$48, 22, FALSE))</f>
        <v>10.39</v>
      </c>
      <c r="X135" s="544">
        <f>IF(VLOOKUP($E$135,[1]UC!$A$2:$FA$48, 23, FALSE)="",":",VLOOKUP($E$135,[1]UC!$A$2:$FA$48, 23, FALSE))</f>
        <v>6.69</v>
      </c>
      <c r="Y135" s="544">
        <f>IF(VLOOKUP($E$135,[1]UC!$A$2:$FA$48, 24, FALSE)="",":",VLOOKUP($E$135,[1]UC!$A$2:$FA$48, 24, FALSE))</f>
        <v>8.9600000000000009</v>
      </c>
      <c r="Z135" s="544">
        <f>IF(VLOOKUP($E$135,[1]UC!$A$2:$FA$48, 25, FALSE)="",":",VLOOKUP($E$135,[1]UC!$A$2:$FA$48, 25, FALSE))</f>
        <v>7.21</v>
      </c>
      <c r="AA135" s="544">
        <f>IF(VLOOKUP($E$135,[1]UC!$A$2:$FA$48, 26, FALSE)="",":",VLOOKUP($E$135,[1]UC!$A$2:$FA$48, 26, FALSE))</f>
        <v>9.02</v>
      </c>
      <c r="AB135" s="544">
        <f>IF(VLOOKUP($E$135,[1]UC!$A$2:$FA$48, 27, FALSE)="",":",VLOOKUP($E$135,[1]UC!$A$2:$FA$48, 27, FALSE))</f>
        <v>8.3699999999999992</v>
      </c>
      <c r="AC135" s="544" t="str">
        <f>IF(VLOOKUP($E$135,[1]UC!$A$2:$FA$48, 28, FALSE)="",":",VLOOKUP($E$135,[1]UC!$A$2:$FA$48, 28, FALSE))</f>
        <v>:</v>
      </c>
      <c r="AD135" s="544" t="str">
        <f>IF(VLOOKUP($E$135,[1]UC!$A$2:$FA$48, 29, FALSE)="",":",VLOOKUP($E$135,[1]UC!$A$2:$FA$48, 29, FALSE))</f>
        <v>:</v>
      </c>
      <c r="AE135" s="544" t="str">
        <f>IF(VLOOKUP($E$135,[1]UC!$A$2:$FA$48, 30, FALSE)="",":",VLOOKUP($E$135,[1]UC!$A$2:$FA$48, 30, FALSE))</f>
        <v>:</v>
      </c>
      <c r="AF135" s="544" t="str">
        <f>IF(VLOOKUP($E$135,[1]UC!$A$2:$FA$48, 31, FALSE)="",":",VLOOKUP($E$135,[1]UC!$A$2:$FA$48, 31, FALSE))</f>
        <v>:</v>
      </c>
    </row>
    <row r="136" spans="1:32" s="540" customFormat="1">
      <c r="A136" s="536"/>
      <c r="B136" s="537" t="s">
        <v>382</v>
      </c>
      <c r="C136" s="538" t="s">
        <v>476</v>
      </c>
      <c r="D136" s="528"/>
      <c r="E136" s="529"/>
      <c r="F136" s="539"/>
      <c r="G136" s="545">
        <f>+G134+G135</f>
        <v>161.75</v>
      </c>
      <c r="H136" s="545">
        <f t="shared" ref="H136:AF136" si="5">+H134+H135</f>
        <v>41.34</v>
      </c>
      <c r="I136" s="545">
        <f t="shared" si="5"/>
        <v>198.95000000000002</v>
      </c>
      <c r="J136" s="545">
        <f t="shared" si="5"/>
        <v>31.11</v>
      </c>
      <c r="K136" s="545">
        <f t="shared" si="5"/>
        <v>-40.870000000000005</v>
      </c>
      <c r="L136" s="545">
        <f t="shared" si="5"/>
        <v>-49.22</v>
      </c>
      <c r="M136" s="545">
        <f t="shared" si="5"/>
        <v>-110.35000000000001</v>
      </c>
      <c r="N136" s="545">
        <f t="shared" si="5"/>
        <v>-20.18</v>
      </c>
      <c r="O136" s="545">
        <f t="shared" si="5"/>
        <v>32.25</v>
      </c>
      <c r="P136" s="545">
        <f t="shared" si="5"/>
        <v>-61.49</v>
      </c>
      <c r="Q136" s="545">
        <f t="shared" si="5"/>
        <v>170.57</v>
      </c>
      <c r="R136" s="545">
        <f t="shared" si="5"/>
        <v>165.47</v>
      </c>
      <c r="S136" s="545">
        <f t="shared" si="5"/>
        <v>959.19</v>
      </c>
      <c r="T136" s="545">
        <f t="shared" si="5"/>
        <v>434.86</v>
      </c>
      <c r="U136" s="545">
        <f t="shared" si="5"/>
        <v>-1429.68</v>
      </c>
      <c r="V136" s="545">
        <f t="shared" si="5"/>
        <v>342.22999999999996</v>
      </c>
      <c r="W136" s="545">
        <f t="shared" si="5"/>
        <v>941.25</v>
      </c>
      <c r="X136" s="545">
        <f t="shared" si="5"/>
        <v>578.15000000000009</v>
      </c>
      <c r="Y136" s="545">
        <f t="shared" si="5"/>
        <v>235.89000000000001</v>
      </c>
      <c r="Z136" s="545">
        <f t="shared" si="5"/>
        <v>27.55</v>
      </c>
      <c r="AA136" s="545">
        <f t="shared" si="5"/>
        <v>301.41999999999996</v>
      </c>
      <c r="AB136" s="545">
        <f t="shared" si="5"/>
        <v>-680.82</v>
      </c>
      <c r="AC136" s="545" t="e">
        <f t="shared" si="5"/>
        <v>#VALUE!</v>
      </c>
      <c r="AD136" s="545" t="e">
        <f t="shared" si="5"/>
        <v>#VALUE!</v>
      </c>
      <c r="AE136" s="545" t="e">
        <f t="shared" si="5"/>
        <v>#VALUE!</v>
      </c>
      <c r="AF136" s="545" t="e">
        <f t="shared" si="5"/>
        <v>#VALUE!</v>
      </c>
    </row>
    <row r="137" spans="1:32">
      <c r="A137" s="533"/>
      <c r="B137" s="534"/>
      <c r="C137" s="535"/>
      <c r="D137" s="12"/>
      <c r="E137" s="13"/>
      <c r="F137" s="14"/>
      <c r="G137" s="544"/>
      <c r="H137" s="544"/>
      <c r="I137" s="544"/>
      <c r="J137" s="544"/>
      <c r="K137" s="544"/>
      <c r="L137" s="544"/>
      <c r="M137" s="544"/>
      <c r="N137" s="544"/>
      <c r="O137" s="544"/>
      <c r="P137" s="544"/>
      <c r="Q137" s="544"/>
      <c r="R137" s="544"/>
      <c r="S137" s="544"/>
      <c r="T137" s="544"/>
      <c r="U137" s="544"/>
      <c r="V137" s="544"/>
      <c r="W137" s="544"/>
      <c r="X137" s="544"/>
      <c r="Y137" s="544"/>
      <c r="Z137" s="544"/>
      <c r="AA137" s="544"/>
      <c r="AB137" s="544"/>
      <c r="AC137" s="544"/>
      <c r="AD137" s="544"/>
      <c r="AE137" s="544"/>
      <c r="AF137" s="544"/>
    </row>
    <row r="138" spans="1:32">
      <c r="A138" s="533"/>
      <c r="B138" s="534"/>
      <c r="C138" s="535" t="s">
        <v>771</v>
      </c>
      <c r="D138" s="12" t="s">
        <v>1214</v>
      </c>
      <c r="E138" s="13">
        <v>2</v>
      </c>
      <c r="F138" s="14" t="str">
        <f>VLOOKUP($E$138,[1]UG!$A$2:$FA$69, 3, FALSE)</f>
        <v>2 Market output  and output for own use P.11+P.12</v>
      </c>
      <c r="G138" s="544">
        <f>IF(VLOOKUP($E$138,[1]UG!$A$2:$FA$69, 6, FALSE)="",":",VLOOKUP($E$138,[1]UG!$A$2:$FA$69, 6, FALSE))</f>
        <v>0</v>
      </c>
      <c r="H138" s="544">
        <f>IF(VLOOKUP($E$138,[1]UG!$A$2:$FA$69, 7, FALSE)="",":",VLOOKUP($E$138,[1]UG!$A$2:$FA$69, 7, FALSE))</f>
        <v>0</v>
      </c>
      <c r="I138" s="544">
        <f>IF(VLOOKUP($E$138,[1]UG!$A$2:$FA$69, 8, FALSE)="",":",VLOOKUP($E$138,[1]UG!$A$2:$FA$69, 8, FALSE))</f>
        <v>0</v>
      </c>
      <c r="J138" s="544">
        <f>IF(VLOOKUP($E$138,[1]UG!$A$2:$FA$69, 9, FALSE)="",":",VLOOKUP($E$138,[1]UG!$A$2:$FA$69, 9, FALSE))</f>
        <v>0</v>
      </c>
      <c r="K138" s="544">
        <f>IF(VLOOKUP($E$138,[1]UG!$A$2:$FA$69, 10, FALSE)="",":",VLOOKUP($E$138,[1]UG!$A$2:$FA$69, 10, FALSE))</f>
        <v>0</v>
      </c>
      <c r="L138" s="544">
        <f>IF(VLOOKUP($E$138,[1]UG!$A$2:$FA$69, 11, FALSE)="",":",VLOOKUP($E$138,[1]UG!$A$2:$FA$69, 11, FALSE))</f>
        <v>5.77</v>
      </c>
      <c r="M138" s="544">
        <f>IF(VLOOKUP($E$138,[1]UG!$A$2:$FA$69, 12, FALSE)="",":",VLOOKUP($E$138,[1]UG!$A$2:$FA$69, 12, FALSE))</f>
        <v>9.23</v>
      </c>
      <c r="N138" s="544">
        <f>IF(VLOOKUP($E$138,[1]UG!$A$2:$FA$69, 13, FALSE)="",":",VLOOKUP($E$138,[1]UG!$A$2:$FA$69, 13, FALSE))</f>
        <v>8.93</v>
      </c>
      <c r="O138" s="544">
        <f>IF(VLOOKUP($E$138,[1]UG!$A$2:$FA$69, 14, FALSE)="",":",VLOOKUP($E$138,[1]UG!$A$2:$FA$69, 14, FALSE))</f>
        <v>9.7899999999999991</v>
      </c>
      <c r="P138" s="544">
        <f>IF(VLOOKUP($E$138,[1]UG!$A$2:$FA$69, 15, FALSE)="",":",VLOOKUP($E$138,[1]UG!$A$2:$FA$69, 15, FALSE))</f>
        <v>16.09</v>
      </c>
      <c r="Q138" s="544">
        <f>IF(VLOOKUP($E$138,[1]UG!$A$2:$FA$69, 16, FALSE)="",":",VLOOKUP($E$138,[1]UG!$A$2:$FA$69, 16, FALSE))</f>
        <v>19.27</v>
      </c>
      <c r="R138" s="544">
        <f>IF(VLOOKUP($E$138,[1]UG!$A$2:$FA$69, 17, FALSE)="",":",VLOOKUP($E$138,[1]UG!$A$2:$FA$69, 17, FALSE))</f>
        <v>22.15</v>
      </c>
      <c r="S138" s="544">
        <f>IF(VLOOKUP($E$138,[1]UG!$A$2:$FA$69, 18, FALSE)="",":",VLOOKUP($E$138,[1]UG!$A$2:$FA$69, 18, FALSE))</f>
        <v>85.01</v>
      </c>
      <c r="T138" s="544">
        <f>IF(VLOOKUP($E$138,[1]UG!$A$2:$FA$69, 19, FALSE)="",":",VLOOKUP($E$138,[1]UG!$A$2:$FA$69, 19, FALSE))</f>
        <v>107.72</v>
      </c>
      <c r="U138" s="544">
        <f>IF(VLOOKUP($E$138,[1]UG!$A$2:$FA$69, 20, FALSE)="",":",VLOOKUP($E$138,[1]UG!$A$2:$FA$69, 20, FALSE))</f>
        <v>104.13</v>
      </c>
      <c r="V138" s="544">
        <f>IF(VLOOKUP($E$138,[1]UG!$A$2:$FA$69, 21, FALSE)="",":",VLOOKUP($E$138,[1]UG!$A$2:$FA$69, 21, FALSE))</f>
        <v>108.68</v>
      </c>
      <c r="W138" s="544">
        <f>IF(VLOOKUP($E$138,[1]UG!$A$2:$FA$69, 22, FALSE)="",":",VLOOKUP($E$138,[1]UG!$A$2:$FA$69, 22, FALSE))</f>
        <v>114.14</v>
      </c>
      <c r="X138" s="544">
        <f>IF(VLOOKUP($E$138,[1]UG!$A$2:$FA$69, 23, FALSE)="",":",VLOOKUP($E$138,[1]UG!$A$2:$FA$69, 23, FALSE))</f>
        <v>102.71</v>
      </c>
      <c r="Y138" s="544">
        <f>IF(VLOOKUP($E$138,[1]UG!$A$2:$FA$69, 24, FALSE)="",":",VLOOKUP($E$138,[1]UG!$A$2:$FA$69, 24, FALSE))</f>
        <v>105.32</v>
      </c>
      <c r="Z138" s="544">
        <f>IF(VLOOKUP($E$138,[1]UG!$A$2:$FA$69, 25, FALSE)="",":",VLOOKUP($E$138,[1]UG!$A$2:$FA$69, 25, FALSE))</f>
        <v>121.3</v>
      </c>
      <c r="AA138" s="544">
        <f>IF(VLOOKUP($E$138,[1]UG!$A$2:$FA$69, 26, FALSE)="",":",VLOOKUP($E$138,[1]UG!$A$2:$FA$69, 26, FALSE))</f>
        <v>119.08</v>
      </c>
      <c r="AB138" s="544">
        <f>IF(VLOOKUP($E$138,[1]UG!$A$2:$FA$69, 27, FALSE)="",":",VLOOKUP($E$138,[1]UG!$A$2:$FA$69, 27, FALSE))</f>
        <v>121.23</v>
      </c>
      <c r="AC138" s="544" t="str">
        <f>IF(VLOOKUP($E$138,[1]UG!$A$2:$FA$69, 28, FALSE)="",":",VLOOKUP($E$138,[1]UG!$A$2:$FA$69, 28, FALSE))</f>
        <v>:</v>
      </c>
      <c r="AD138" s="544" t="str">
        <f>IF(VLOOKUP($E$138,[1]UG!$A$2:$FA$69, 29, FALSE)="",":",VLOOKUP($E$138,[1]UG!$A$2:$FA$69, 29, FALSE))</f>
        <v>:</v>
      </c>
      <c r="AE138" s="544" t="str">
        <f>IF(VLOOKUP($E$138,[1]UG!$A$2:$FA$69, 30, FALSE)="",":",VLOOKUP($E$138,[1]UG!$A$2:$FA$69, 30, FALSE))</f>
        <v>:</v>
      </c>
      <c r="AF138" s="544" t="str">
        <f>IF(VLOOKUP($E$138,[1]UG!$A$2:$FA$69, 31, FALSE)="",":",VLOOKUP($E$138,[1]UG!$A$2:$FA$69, 31, FALSE))</f>
        <v>:</v>
      </c>
    </row>
    <row r="139" spans="1:32">
      <c r="A139" s="533"/>
      <c r="B139" s="534"/>
      <c r="C139" s="535" t="s">
        <v>772</v>
      </c>
      <c r="D139" s="12" t="s">
        <v>1214</v>
      </c>
      <c r="E139" s="13">
        <v>4</v>
      </c>
      <c r="F139" s="14" t="str">
        <f>VLOOKUP($E$139,[1]UG!$A$2:$FA$69, 3, FALSE)</f>
        <v>4 Payments for other non-market output P.131</v>
      </c>
      <c r="G139" s="544">
        <f>IF(VLOOKUP($E$139,[1]UG!$A$2:$FA$69, 6, FALSE)="",":",VLOOKUP($E$139,[1]UG!$A$2:$FA$69, 6, FALSE))</f>
        <v>66.88</v>
      </c>
      <c r="H139" s="544">
        <f>IF(VLOOKUP($E$139,[1]UG!$A$2:$FA$69, 7, FALSE)="",":",VLOOKUP($E$139,[1]UG!$A$2:$FA$69, 7, FALSE))</f>
        <v>85.26</v>
      </c>
      <c r="I139" s="544">
        <f>IF(VLOOKUP($E$139,[1]UG!$A$2:$FA$69, 8, FALSE)="",":",VLOOKUP($E$139,[1]UG!$A$2:$FA$69, 8, FALSE))</f>
        <v>172.76</v>
      </c>
      <c r="J139" s="544">
        <f>IF(VLOOKUP($E$139,[1]UG!$A$2:$FA$69, 9, FALSE)="",":",VLOOKUP($E$139,[1]UG!$A$2:$FA$69, 9, FALSE))</f>
        <v>170.68</v>
      </c>
      <c r="K139" s="544">
        <f>IF(VLOOKUP($E$139,[1]UG!$A$2:$FA$69, 10, FALSE)="",":",VLOOKUP($E$139,[1]UG!$A$2:$FA$69, 10, FALSE))</f>
        <v>246.78</v>
      </c>
      <c r="L139" s="544">
        <f>IF(VLOOKUP($E$139,[1]UG!$A$2:$FA$69, 11, FALSE)="",":",VLOOKUP($E$139,[1]UG!$A$2:$FA$69, 11, FALSE))</f>
        <v>220.75</v>
      </c>
      <c r="M139" s="544">
        <f>IF(VLOOKUP($E$139,[1]UG!$A$2:$FA$69, 12, FALSE)="",":",VLOOKUP($E$139,[1]UG!$A$2:$FA$69, 12, FALSE))</f>
        <v>132.47</v>
      </c>
      <c r="N139" s="544">
        <f>IF(VLOOKUP($E$139,[1]UG!$A$2:$FA$69, 13, FALSE)="",":",VLOOKUP($E$139,[1]UG!$A$2:$FA$69, 13, FALSE))</f>
        <v>203.16</v>
      </c>
      <c r="O139" s="544">
        <f>IF(VLOOKUP($E$139,[1]UG!$A$2:$FA$69, 14, FALSE)="",":",VLOOKUP($E$139,[1]UG!$A$2:$FA$69, 14, FALSE))</f>
        <v>227.53</v>
      </c>
      <c r="P139" s="544">
        <f>IF(VLOOKUP($E$139,[1]UG!$A$2:$FA$69, 15, FALSE)="",":",VLOOKUP($E$139,[1]UG!$A$2:$FA$69, 15, FALSE))</f>
        <v>245.49</v>
      </c>
      <c r="Q139" s="544">
        <f>IF(VLOOKUP($E$139,[1]UG!$A$2:$FA$69, 16, FALSE)="",":",VLOOKUP($E$139,[1]UG!$A$2:$FA$69, 16, FALSE))</f>
        <v>344.26</v>
      </c>
      <c r="R139" s="544">
        <f>IF(VLOOKUP($E$139,[1]UG!$A$2:$FA$69, 17, FALSE)="",":",VLOOKUP($E$139,[1]UG!$A$2:$FA$69, 17, FALSE))</f>
        <v>295.45999999999998</v>
      </c>
      <c r="S139" s="544">
        <f>IF(VLOOKUP($E$139,[1]UG!$A$2:$FA$69, 18, FALSE)="",":",VLOOKUP($E$139,[1]UG!$A$2:$FA$69, 18, FALSE))</f>
        <v>336.68</v>
      </c>
      <c r="T139" s="544">
        <f>IF(VLOOKUP($E$139,[1]UG!$A$2:$FA$69, 19, FALSE)="",":",VLOOKUP($E$139,[1]UG!$A$2:$FA$69, 19, FALSE))</f>
        <v>473.64</v>
      </c>
      <c r="U139" s="544">
        <f>IF(VLOOKUP($E$139,[1]UG!$A$2:$FA$69, 20, FALSE)="",":",VLOOKUP($E$139,[1]UG!$A$2:$FA$69, 20, FALSE))</f>
        <v>466.36</v>
      </c>
      <c r="V139" s="544">
        <f>IF(VLOOKUP($E$139,[1]UG!$A$2:$FA$69, 21, FALSE)="",":",VLOOKUP($E$139,[1]UG!$A$2:$FA$69, 21, FALSE))</f>
        <v>499.49</v>
      </c>
      <c r="W139" s="544">
        <f>IF(VLOOKUP($E$139,[1]UG!$A$2:$FA$69, 22, FALSE)="",":",VLOOKUP($E$139,[1]UG!$A$2:$FA$69, 22, FALSE))</f>
        <v>441.94</v>
      </c>
      <c r="X139" s="544">
        <f>IF(VLOOKUP($E$139,[1]UG!$A$2:$FA$69, 23, FALSE)="",":",VLOOKUP($E$139,[1]UG!$A$2:$FA$69, 23, FALSE))</f>
        <v>515</v>
      </c>
      <c r="Y139" s="544">
        <f>IF(VLOOKUP($E$139,[1]UG!$A$2:$FA$69, 24, FALSE)="",":",VLOOKUP($E$139,[1]UG!$A$2:$FA$69, 24, FALSE))</f>
        <v>604.16</v>
      </c>
      <c r="Z139" s="544">
        <f>IF(VLOOKUP($E$139,[1]UG!$A$2:$FA$69, 25, FALSE)="",":",VLOOKUP($E$139,[1]UG!$A$2:$FA$69, 25, FALSE))</f>
        <v>639</v>
      </c>
      <c r="AA139" s="544">
        <f>IF(VLOOKUP($E$139,[1]UG!$A$2:$FA$69, 26, FALSE)="",":",VLOOKUP($E$139,[1]UG!$A$2:$FA$69, 26, FALSE))</f>
        <v>649.54</v>
      </c>
      <c r="AB139" s="544">
        <f>IF(VLOOKUP($E$139,[1]UG!$A$2:$FA$69, 27, FALSE)="",":",VLOOKUP($E$139,[1]UG!$A$2:$FA$69, 27, FALSE))</f>
        <v>679.05</v>
      </c>
      <c r="AC139" s="544" t="str">
        <f>IF(VLOOKUP($E$139,[1]UG!$A$2:$FA$69, 28, FALSE)="",":",VLOOKUP($E$139,[1]UG!$A$2:$FA$69, 28, FALSE))</f>
        <v>:</v>
      </c>
      <c r="AD139" s="544" t="str">
        <f>IF(VLOOKUP($E$139,[1]UG!$A$2:$FA$69, 29, FALSE)="",":",VLOOKUP($E$139,[1]UG!$A$2:$FA$69, 29, FALSE))</f>
        <v>:</v>
      </c>
      <c r="AE139" s="544" t="str">
        <f>IF(VLOOKUP($E$139,[1]UG!$A$2:$FA$69, 30, FALSE)="",":",VLOOKUP($E$139,[1]UG!$A$2:$FA$69, 30, FALSE))</f>
        <v>:</v>
      </c>
      <c r="AF139" s="544" t="str">
        <f>IF(VLOOKUP($E$139,[1]UG!$A$2:$FA$69, 31, FALSE)="",":",VLOOKUP($E$139,[1]UG!$A$2:$FA$69, 31, FALSE))</f>
        <v>:</v>
      </c>
    </row>
    <row r="140" spans="1:32" s="540" customFormat="1">
      <c r="A140" s="536"/>
      <c r="B140" s="537"/>
      <c r="C140" s="538" t="s">
        <v>773</v>
      </c>
      <c r="D140" s="528"/>
      <c r="E140" s="529"/>
      <c r="F140" s="539"/>
      <c r="G140" s="545">
        <f>+G138+G139</f>
        <v>66.88</v>
      </c>
      <c r="H140" s="545">
        <f t="shared" ref="H140:AF140" si="6">+H138+H139</f>
        <v>85.26</v>
      </c>
      <c r="I140" s="545">
        <f t="shared" si="6"/>
        <v>172.76</v>
      </c>
      <c r="J140" s="545">
        <f t="shared" si="6"/>
        <v>170.68</v>
      </c>
      <c r="K140" s="545">
        <f t="shared" si="6"/>
        <v>246.78</v>
      </c>
      <c r="L140" s="545">
        <f t="shared" si="6"/>
        <v>226.52</v>
      </c>
      <c r="M140" s="545">
        <f t="shared" si="6"/>
        <v>141.69999999999999</v>
      </c>
      <c r="N140" s="545">
        <f t="shared" si="6"/>
        <v>212.09</v>
      </c>
      <c r="O140" s="545">
        <f t="shared" si="6"/>
        <v>237.32</v>
      </c>
      <c r="P140" s="545">
        <f t="shared" si="6"/>
        <v>261.58</v>
      </c>
      <c r="Q140" s="545">
        <f t="shared" si="6"/>
        <v>363.53</v>
      </c>
      <c r="R140" s="545">
        <f t="shared" si="6"/>
        <v>317.60999999999996</v>
      </c>
      <c r="S140" s="545">
        <f t="shared" si="6"/>
        <v>421.69</v>
      </c>
      <c r="T140" s="545">
        <f t="shared" si="6"/>
        <v>581.36</v>
      </c>
      <c r="U140" s="545">
        <f t="shared" si="6"/>
        <v>570.49</v>
      </c>
      <c r="V140" s="545">
        <f t="shared" si="6"/>
        <v>608.17000000000007</v>
      </c>
      <c r="W140" s="545">
        <f t="shared" si="6"/>
        <v>556.08000000000004</v>
      </c>
      <c r="X140" s="545">
        <f t="shared" si="6"/>
        <v>617.71</v>
      </c>
      <c r="Y140" s="545">
        <f t="shared" si="6"/>
        <v>709.48</v>
      </c>
      <c r="Z140" s="545">
        <f t="shared" si="6"/>
        <v>760.3</v>
      </c>
      <c r="AA140" s="545">
        <f t="shared" si="6"/>
        <v>768.62</v>
      </c>
      <c r="AB140" s="545">
        <f t="shared" si="6"/>
        <v>800.28</v>
      </c>
      <c r="AC140" s="545" t="e">
        <f t="shared" si="6"/>
        <v>#VALUE!</v>
      </c>
      <c r="AD140" s="545" t="e">
        <f t="shared" si="6"/>
        <v>#VALUE!</v>
      </c>
      <c r="AE140" s="545" t="e">
        <f t="shared" si="6"/>
        <v>#VALUE!</v>
      </c>
      <c r="AF140" s="545" t="e">
        <f t="shared" si="6"/>
        <v>#VALUE!</v>
      </c>
    </row>
    <row r="141" spans="1:32">
      <c r="A141" s="533"/>
      <c r="B141" s="534"/>
      <c r="C141" s="535"/>
      <c r="D141" s="12"/>
      <c r="E141" s="13"/>
      <c r="F141" s="14"/>
      <c r="G141" s="544"/>
      <c r="H141" s="544"/>
      <c r="I141" s="544"/>
      <c r="J141" s="544"/>
      <c r="K141" s="544"/>
      <c r="L141" s="544"/>
      <c r="M141" s="544"/>
      <c r="N141" s="544"/>
      <c r="O141" s="544"/>
      <c r="P141" s="544"/>
      <c r="Q141" s="544"/>
      <c r="R141" s="544"/>
      <c r="S141" s="544"/>
      <c r="T141" s="544"/>
      <c r="U141" s="544"/>
      <c r="V141" s="544"/>
      <c r="W141" s="544"/>
      <c r="X141" s="544"/>
      <c r="Y141" s="544"/>
      <c r="Z141" s="544"/>
      <c r="AA141" s="544"/>
      <c r="AB141" s="544"/>
      <c r="AC141" s="544"/>
      <c r="AD141" s="544"/>
      <c r="AE141" s="544"/>
      <c r="AF141" s="544"/>
    </row>
    <row r="142" spans="1:32">
      <c r="A142" s="533">
        <v>145</v>
      </c>
      <c r="B142" s="534"/>
      <c r="C142" s="535" t="s">
        <v>1627</v>
      </c>
      <c r="D142" s="12" t="s">
        <v>1214</v>
      </c>
      <c r="E142" s="13">
        <v>7</v>
      </c>
      <c r="F142" s="14" t="str">
        <f>VLOOKUP($E$142,[1]UG!$A$2:$FA$69, 3, FALSE)</f>
        <v>7 Intermediate consumption P.2</v>
      </c>
      <c r="G142" s="544">
        <f>IF(VLOOKUP($E$142,[1]UG!$A$2:$FA$69, 6, FALSE)="",":",VLOOKUP($E$142,[1]UG!$A$2:$FA$69, 6, FALSE))</f>
        <v>704.91</v>
      </c>
      <c r="H142" s="544">
        <f>IF(VLOOKUP($E$142,[1]UG!$A$2:$FA$69, 7, FALSE)="",":",VLOOKUP($E$142,[1]UG!$A$2:$FA$69, 7, FALSE))</f>
        <v>837.32</v>
      </c>
      <c r="I142" s="544">
        <f>IF(VLOOKUP($E$142,[1]UG!$A$2:$FA$69, 8, FALSE)="",":",VLOOKUP($E$142,[1]UG!$A$2:$FA$69, 8, FALSE))</f>
        <v>1130.32</v>
      </c>
      <c r="J142" s="544">
        <f>IF(VLOOKUP($E$142,[1]UG!$A$2:$FA$69, 9, FALSE)="",":",VLOOKUP($E$142,[1]UG!$A$2:$FA$69, 9, FALSE))</f>
        <v>1208.6300000000001</v>
      </c>
      <c r="K142" s="544">
        <f>IF(VLOOKUP($E$142,[1]UG!$A$2:$FA$69, 10, FALSE)="",":",VLOOKUP($E$142,[1]UG!$A$2:$FA$69, 10, FALSE))</f>
        <v>883.62</v>
      </c>
      <c r="L142" s="544">
        <f>IF(VLOOKUP($E$142,[1]UG!$A$2:$FA$69, 11, FALSE)="",":",VLOOKUP($E$142,[1]UG!$A$2:$FA$69, 11, FALSE))</f>
        <v>970.5</v>
      </c>
      <c r="M142" s="544">
        <f>IF(VLOOKUP($E$142,[1]UG!$A$2:$FA$69, 12, FALSE)="",":",VLOOKUP($E$142,[1]UG!$A$2:$FA$69, 12, FALSE))</f>
        <v>856.73</v>
      </c>
      <c r="N142" s="544">
        <f>IF(VLOOKUP($E$142,[1]UG!$A$2:$FA$69, 13, FALSE)="",":",VLOOKUP($E$142,[1]UG!$A$2:$FA$69, 13, FALSE))</f>
        <v>953.12</v>
      </c>
      <c r="O142" s="544">
        <f>IF(VLOOKUP($E$142,[1]UG!$A$2:$FA$69, 14, FALSE)="",":",VLOOKUP($E$142,[1]UG!$A$2:$FA$69, 14, FALSE))</f>
        <v>987.18</v>
      </c>
      <c r="P142" s="544">
        <f>IF(VLOOKUP($E$142,[1]UG!$A$2:$FA$69, 15, FALSE)="",":",VLOOKUP($E$142,[1]UG!$A$2:$FA$69, 15, FALSE))</f>
        <v>1018.08</v>
      </c>
      <c r="Q142" s="544">
        <f>IF(VLOOKUP($E$142,[1]UG!$A$2:$FA$69, 16, FALSE)="",":",VLOOKUP($E$142,[1]UG!$A$2:$FA$69, 16, FALSE))</f>
        <v>1166.45</v>
      </c>
      <c r="R142" s="544">
        <f>IF(VLOOKUP($E$142,[1]UG!$A$2:$FA$69, 17, FALSE)="",":",VLOOKUP($E$142,[1]UG!$A$2:$FA$69, 17, FALSE))</f>
        <v>1399.47</v>
      </c>
      <c r="S142" s="544">
        <f>IF(VLOOKUP($E$142,[1]UG!$A$2:$FA$69, 18, FALSE)="",":",VLOOKUP($E$142,[1]UG!$A$2:$FA$69, 18, FALSE))</f>
        <v>1484.01</v>
      </c>
      <c r="T142" s="544">
        <f>IF(VLOOKUP($E$142,[1]UG!$A$2:$FA$69, 19, FALSE)="",":",VLOOKUP($E$142,[1]UG!$A$2:$FA$69, 19, FALSE))</f>
        <v>1819.99</v>
      </c>
      <c r="U142" s="544">
        <f>IF(VLOOKUP($E$142,[1]UG!$A$2:$FA$69, 20, FALSE)="",":",VLOOKUP($E$142,[1]UG!$A$2:$FA$69, 20, FALSE))</f>
        <v>1523.19</v>
      </c>
      <c r="V142" s="544">
        <f>IF(VLOOKUP($E$142,[1]UG!$A$2:$FA$69, 21, FALSE)="",":",VLOOKUP($E$142,[1]UG!$A$2:$FA$69, 21, FALSE))</f>
        <v>1758.29</v>
      </c>
      <c r="W142" s="544">
        <f>IF(VLOOKUP($E$142,[1]UG!$A$2:$FA$69, 22, FALSE)="",":",VLOOKUP($E$142,[1]UG!$A$2:$FA$69, 22, FALSE))</f>
        <v>1584.67</v>
      </c>
      <c r="X142" s="544">
        <f>IF(VLOOKUP($E$142,[1]UG!$A$2:$FA$69, 23, FALSE)="",":",VLOOKUP($E$142,[1]UG!$A$2:$FA$69, 23, FALSE))</f>
        <v>1641.54</v>
      </c>
      <c r="Y142" s="544">
        <f>IF(VLOOKUP($E$142,[1]UG!$A$2:$FA$69, 24, FALSE)="",":",VLOOKUP($E$142,[1]UG!$A$2:$FA$69, 24, FALSE))</f>
        <v>1619.77</v>
      </c>
      <c r="Z142" s="544">
        <f>IF(VLOOKUP($E$142,[1]UG!$A$2:$FA$69, 25, FALSE)="",":",VLOOKUP($E$142,[1]UG!$A$2:$FA$69, 25, FALSE))</f>
        <v>1709.62</v>
      </c>
      <c r="AA142" s="544">
        <f>IF(VLOOKUP($E$142,[1]UG!$A$2:$FA$69, 26, FALSE)="",":",VLOOKUP($E$142,[1]UG!$A$2:$FA$69, 26, FALSE))</f>
        <v>1867.69</v>
      </c>
      <c r="AB142" s="544">
        <f>IF(VLOOKUP($E$142,[1]UG!$A$2:$FA$69, 27, FALSE)="",":",VLOOKUP($E$142,[1]UG!$A$2:$FA$69, 27, FALSE))</f>
        <v>1846.43</v>
      </c>
      <c r="AC142" s="544" t="str">
        <f>IF(VLOOKUP($E$142,[1]UG!$A$2:$FA$69, 28, FALSE)="",":",VLOOKUP($E$142,[1]UG!$A$2:$FA$69, 28, FALSE))</f>
        <v>:</v>
      </c>
      <c r="AD142" s="544" t="str">
        <f>IF(VLOOKUP($E$142,[1]UG!$A$2:$FA$69, 29, FALSE)="",":",VLOOKUP($E$142,[1]UG!$A$2:$FA$69, 29, FALSE))</f>
        <v>:</v>
      </c>
      <c r="AE142" s="544" t="str">
        <f>IF(VLOOKUP($E$142,[1]UG!$A$2:$FA$69, 30, FALSE)="",":",VLOOKUP($E$142,[1]UG!$A$2:$FA$69, 30, FALSE))</f>
        <v>:</v>
      </c>
      <c r="AF142" s="544" t="str">
        <f>IF(VLOOKUP($E$142,[1]UG!$A$2:$FA$69, 31, FALSE)="",":",VLOOKUP($E$142,[1]UG!$A$2:$FA$69, 31, FALSE))</f>
        <v>:</v>
      </c>
    </row>
    <row r="143" spans="1:32">
      <c r="A143" s="533"/>
      <c r="B143" s="534" t="s">
        <v>1027</v>
      </c>
      <c r="C143" s="535" t="s">
        <v>312</v>
      </c>
      <c r="D143" s="12" t="s">
        <v>1214</v>
      </c>
      <c r="E143" s="13">
        <v>8</v>
      </c>
      <c r="F143" s="14" t="str">
        <f>VLOOKUP($E$143,[1]UG!$A$2:$FA$69, 3, FALSE)</f>
        <v>8 Value added, gross B.1g</v>
      </c>
      <c r="G143" s="544">
        <f>IF(VLOOKUP($E$143,[1]UG!$A$2:$FA$69, 6, FALSE)="",":",VLOOKUP($E$143,[1]UG!$A$2:$FA$69, 6, FALSE))</f>
        <v>1099.1400000000001</v>
      </c>
      <c r="H143" s="544">
        <f>IF(VLOOKUP($E$143,[1]UG!$A$2:$FA$69, 7, FALSE)="",":",VLOOKUP($E$143,[1]UG!$A$2:$FA$69, 7, FALSE))</f>
        <v>1407.67</v>
      </c>
      <c r="I143" s="544">
        <f>IF(VLOOKUP($E$143,[1]UG!$A$2:$FA$69, 8, FALSE)="",":",VLOOKUP($E$143,[1]UG!$A$2:$FA$69, 8, FALSE))</f>
        <v>1730.56</v>
      </c>
      <c r="J143" s="544">
        <f>IF(VLOOKUP($E$143,[1]UG!$A$2:$FA$69, 9, FALSE)="",":",VLOOKUP($E$143,[1]UG!$A$2:$FA$69, 9, FALSE))</f>
        <v>2092.77</v>
      </c>
      <c r="K143" s="544">
        <f>IF(VLOOKUP($E$143,[1]UG!$A$2:$FA$69, 10, FALSE)="",":",VLOOKUP($E$143,[1]UG!$A$2:$FA$69, 10, FALSE))</f>
        <v>2146.39</v>
      </c>
      <c r="L143" s="544">
        <f>IF(VLOOKUP($E$143,[1]UG!$A$2:$FA$69, 11, FALSE)="",":",VLOOKUP($E$143,[1]UG!$A$2:$FA$69, 11, FALSE))</f>
        <v>2063.48</v>
      </c>
      <c r="M143" s="544">
        <f>IF(VLOOKUP($E$143,[1]UG!$A$2:$FA$69, 12, FALSE)="",":",VLOOKUP($E$143,[1]UG!$A$2:$FA$69, 12, FALSE))</f>
        <v>2104.23</v>
      </c>
      <c r="N143" s="544">
        <f>IF(VLOOKUP($E$143,[1]UG!$A$2:$FA$69, 13, FALSE)="",":",VLOOKUP($E$143,[1]UG!$A$2:$FA$69, 13, FALSE))</f>
        <v>2165.2600000000002</v>
      </c>
      <c r="O143" s="544">
        <f>IF(VLOOKUP($E$143,[1]UG!$A$2:$FA$69, 14, FALSE)="",":",VLOOKUP($E$143,[1]UG!$A$2:$FA$69, 14, FALSE))</f>
        <v>2265.9699999999998</v>
      </c>
      <c r="P143" s="544">
        <f>IF(VLOOKUP($E$143,[1]UG!$A$2:$FA$69, 15, FALSE)="",":",VLOOKUP($E$143,[1]UG!$A$2:$FA$69, 15, FALSE))</f>
        <v>2474.09</v>
      </c>
      <c r="Q143" s="544">
        <f>IF(VLOOKUP($E$143,[1]UG!$A$2:$FA$69, 16, FALSE)="",":",VLOOKUP($E$143,[1]UG!$A$2:$FA$69, 16, FALSE))</f>
        <v>2702.72</v>
      </c>
      <c r="R143" s="544">
        <f>IF(VLOOKUP($E$143,[1]UG!$A$2:$FA$69, 17, FALSE)="",":",VLOOKUP($E$143,[1]UG!$A$2:$FA$69, 17, FALSE))</f>
        <v>3121.1</v>
      </c>
      <c r="S143" s="544">
        <f>IF(VLOOKUP($E$143,[1]UG!$A$2:$FA$69, 18, FALSE)="",":",VLOOKUP($E$143,[1]UG!$A$2:$FA$69, 18, FALSE))</f>
        <v>3547.16</v>
      </c>
      <c r="T143" s="544">
        <f>IF(VLOOKUP($E$143,[1]UG!$A$2:$FA$69, 19, FALSE)="",":",VLOOKUP($E$143,[1]UG!$A$2:$FA$69, 19, FALSE))</f>
        <v>4297.67</v>
      </c>
      <c r="U143" s="544">
        <f>IF(VLOOKUP($E$143,[1]UG!$A$2:$FA$69, 20, FALSE)="",":",VLOOKUP($E$143,[1]UG!$A$2:$FA$69, 20, FALSE))</f>
        <v>4230.5</v>
      </c>
      <c r="V143" s="544">
        <f>IF(VLOOKUP($E$143,[1]UG!$A$2:$FA$69, 21, FALSE)="",":",VLOOKUP($E$143,[1]UG!$A$2:$FA$69, 21, FALSE))</f>
        <v>3876.65</v>
      </c>
      <c r="W143" s="544">
        <f>IF(VLOOKUP($E$143,[1]UG!$A$2:$FA$69, 22, FALSE)="",":",VLOOKUP($E$143,[1]UG!$A$2:$FA$69, 22, FALSE))</f>
        <v>4088.89</v>
      </c>
      <c r="X143" s="544">
        <f>IF(VLOOKUP($E$143,[1]UG!$A$2:$FA$69, 23, FALSE)="",":",VLOOKUP($E$143,[1]UG!$A$2:$FA$69, 23, FALSE))</f>
        <v>4222.12</v>
      </c>
      <c r="Y143" s="544">
        <f>IF(VLOOKUP($E$143,[1]UG!$A$2:$FA$69, 24, FALSE)="",":",VLOOKUP($E$143,[1]UG!$A$2:$FA$69, 24, FALSE))</f>
        <v>4373.41</v>
      </c>
      <c r="Z143" s="544">
        <f>IF(VLOOKUP($E$143,[1]UG!$A$2:$FA$69, 25, FALSE)="",":",VLOOKUP($E$143,[1]UG!$A$2:$FA$69, 25, FALSE))</f>
        <v>4546.28</v>
      </c>
      <c r="AA143" s="544">
        <f>IF(VLOOKUP($E$143,[1]UG!$A$2:$FA$69, 26, FALSE)="",":",VLOOKUP($E$143,[1]UG!$A$2:$FA$69, 26, FALSE))</f>
        <v>4711.3900000000003</v>
      </c>
      <c r="AB143" s="544">
        <f>IF(VLOOKUP($E$143,[1]UG!$A$2:$FA$69, 27, FALSE)="",":",VLOOKUP($E$143,[1]UG!$A$2:$FA$69, 27, FALSE))</f>
        <v>4948.03</v>
      </c>
      <c r="AC143" s="544" t="str">
        <f>IF(VLOOKUP($E$143,[1]UG!$A$2:$FA$69, 28, FALSE)="",":",VLOOKUP($E$143,[1]UG!$A$2:$FA$69, 28, FALSE))</f>
        <v>:</v>
      </c>
      <c r="AD143" s="544" t="str">
        <f>IF(VLOOKUP($E$143,[1]UG!$A$2:$FA$69, 29, FALSE)="",":",VLOOKUP($E$143,[1]UG!$A$2:$FA$69, 29, FALSE))</f>
        <v>:</v>
      </c>
      <c r="AE143" s="544" t="str">
        <f>IF(VLOOKUP($E$143,[1]UG!$A$2:$FA$69, 30, FALSE)="",":",VLOOKUP($E$143,[1]UG!$A$2:$FA$69, 30, FALSE))</f>
        <v>:</v>
      </c>
      <c r="AF143" s="544" t="str">
        <f>IF(VLOOKUP($E$143,[1]UG!$A$2:$FA$69, 31, FALSE)="",":",VLOOKUP($E$143,[1]UG!$A$2:$FA$69, 31, FALSE))</f>
        <v>:</v>
      </c>
    </row>
    <row r="144" spans="1:32">
      <c r="A144" s="533">
        <v>144</v>
      </c>
      <c r="B144" s="534"/>
      <c r="C144" s="535" t="s">
        <v>1626</v>
      </c>
      <c r="D144" s="12" t="s">
        <v>1214</v>
      </c>
      <c r="E144" s="13">
        <v>9</v>
      </c>
      <c r="F144" s="14" t="str">
        <f>VLOOKUP($E$144,[1]UG!$A$2:$FA$69, 3, FALSE)</f>
        <v>9 Consumption of fixed capital K.1</v>
      </c>
      <c r="G144" s="544">
        <f>IF(VLOOKUP($E$144,[1]UG!$A$2:$FA$69, 6, FALSE)="",":",VLOOKUP($E$144,[1]UG!$A$2:$FA$69, 6, FALSE))</f>
        <v>348.08</v>
      </c>
      <c r="H144" s="544">
        <f>IF(VLOOKUP($E$144,[1]UG!$A$2:$FA$69, 7, FALSE)="",":",VLOOKUP($E$144,[1]UG!$A$2:$FA$69, 7, FALSE))</f>
        <v>387.89</v>
      </c>
      <c r="I144" s="544">
        <f>IF(VLOOKUP($E$144,[1]UG!$A$2:$FA$69, 8, FALSE)="",":",VLOOKUP($E$144,[1]UG!$A$2:$FA$69, 8, FALSE))</f>
        <v>426.3</v>
      </c>
      <c r="J144" s="544">
        <f>IF(VLOOKUP($E$144,[1]UG!$A$2:$FA$69, 9, FALSE)="",":",VLOOKUP($E$144,[1]UG!$A$2:$FA$69, 9, FALSE))</f>
        <v>439.6</v>
      </c>
      <c r="K144" s="544">
        <f>IF(VLOOKUP($E$144,[1]UG!$A$2:$FA$69, 10, FALSE)="",":",VLOOKUP($E$144,[1]UG!$A$2:$FA$69, 10, FALSE))</f>
        <v>443.93</v>
      </c>
      <c r="L144" s="544">
        <f>IF(VLOOKUP($E$144,[1]UG!$A$2:$FA$69, 11, FALSE)="",":",VLOOKUP($E$144,[1]UG!$A$2:$FA$69, 11, FALSE))</f>
        <v>449.7</v>
      </c>
      <c r="M144" s="544">
        <f>IF(VLOOKUP($E$144,[1]UG!$A$2:$FA$69, 12, FALSE)="",":",VLOOKUP($E$144,[1]UG!$A$2:$FA$69, 12, FALSE))</f>
        <v>447.92</v>
      </c>
      <c r="N144" s="544">
        <f>IF(VLOOKUP($E$144,[1]UG!$A$2:$FA$69, 13, FALSE)="",":",VLOOKUP($E$144,[1]UG!$A$2:$FA$69, 13, FALSE))</f>
        <v>443.73</v>
      </c>
      <c r="O144" s="544">
        <f>IF(VLOOKUP($E$144,[1]UG!$A$2:$FA$69, 14, FALSE)="",":",VLOOKUP($E$144,[1]UG!$A$2:$FA$69, 14, FALSE))</f>
        <v>471.65</v>
      </c>
      <c r="P144" s="544">
        <f>IF(VLOOKUP($E$144,[1]UG!$A$2:$FA$69, 15, FALSE)="",":",VLOOKUP($E$144,[1]UG!$A$2:$FA$69, 15, FALSE))</f>
        <v>495.76</v>
      </c>
      <c r="Q144" s="544">
        <f>IF(VLOOKUP($E$144,[1]UG!$A$2:$FA$69, 16, FALSE)="",":",VLOOKUP($E$144,[1]UG!$A$2:$FA$69, 16, FALSE))</f>
        <v>544.59</v>
      </c>
      <c r="R144" s="544">
        <f>IF(VLOOKUP($E$144,[1]UG!$A$2:$FA$69, 17, FALSE)="",":",VLOOKUP($E$144,[1]UG!$A$2:$FA$69, 17, FALSE))</f>
        <v>607.70000000000005</v>
      </c>
      <c r="S144" s="544">
        <f>IF(VLOOKUP($E$144,[1]UG!$A$2:$FA$69, 18, FALSE)="",":",VLOOKUP($E$144,[1]UG!$A$2:$FA$69, 18, FALSE))</f>
        <v>702.46</v>
      </c>
      <c r="T144" s="544">
        <f>IF(VLOOKUP($E$144,[1]UG!$A$2:$FA$69, 19, FALSE)="",":",VLOOKUP($E$144,[1]UG!$A$2:$FA$69, 19, FALSE))</f>
        <v>815.39</v>
      </c>
      <c r="U144" s="544">
        <f>IF(VLOOKUP($E$144,[1]UG!$A$2:$FA$69, 20, FALSE)="",":",VLOOKUP($E$144,[1]UG!$A$2:$FA$69, 20, FALSE))</f>
        <v>817</v>
      </c>
      <c r="V144" s="544">
        <f>IF(VLOOKUP($E$144,[1]UG!$A$2:$FA$69, 21, FALSE)="",":",VLOOKUP($E$144,[1]UG!$A$2:$FA$69, 21, FALSE))</f>
        <v>812.59</v>
      </c>
      <c r="W144" s="544">
        <f>IF(VLOOKUP($E$144,[1]UG!$A$2:$FA$69, 22, FALSE)="",":",VLOOKUP($E$144,[1]UG!$A$2:$FA$69, 22, FALSE))</f>
        <v>885.75</v>
      </c>
      <c r="X144" s="544">
        <f>IF(VLOOKUP($E$144,[1]UG!$A$2:$FA$69, 23, FALSE)="",":",VLOOKUP($E$144,[1]UG!$A$2:$FA$69, 23, FALSE))</f>
        <v>961.64</v>
      </c>
      <c r="Y144" s="544">
        <f>IF(VLOOKUP($E$144,[1]UG!$A$2:$FA$69, 24, FALSE)="",":",VLOOKUP($E$144,[1]UG!$A$2:$FA$69, 24, FALSE))</f>
        <v>1026.27</v>
      </c>
      <c r="Z144" s="544">
        <f>IF(VLOOKUP($E$144,[1]UG!$A$2:$FA$69, 25, FALSE)="",":",VLOOKUP($E$144,[1]UG!$A$2:$FA$69, 25, FALSE))</f>
        <v>1073.94</v>
      </c>
      <c r="AA144" s="544">
        <f>IF(VLOOKUP($E$144,[1]UG!$A$2:$FA$69, 26, FALSE)="",":",VLOOKUP($E$144,[1]UG!$A$2:$FA$69, 26, FALSE))</f>
        <v>1104</v>
      </c>
      <c r="AB144" s="544">
        <f>IF(VLOOKUP($E$144,[1]UG!$A$2:$FA$69, 27, FALSE)="",":",VLOOKUP($E$144,[1]UG!$A$2:$FA$69, 27, FALSE))</f>
        <v>1141.78</v>
      </c>
      <c r="AC144" s="544" t="str">
        <f>IF(VLOOKUP($E$144,[1]UG!$A$2:$FA$69, 28, FALSE)="",":",VLOOKUP($E$144,[1]UG!$A$2:$FA$69, 28, FALSE))</f>
        <v>:</v>
      </c>
      <c r="AD144" s="544" t="str">
        <f>IF(VLOOKUP($E$144,[1]UG!$A$2:$FA$69, 29, FALSE)="",":",VLOOKUP($E$144,[1]UG!$A$2:$FA$69, 29, FALSE))</f>
        <v>:</v>
      </c>
      <c r="AE144" s="544" t="str">
        <f>IF(VLOOKUP($E$144,[1]UG!$A$2:$FA$69, 30, FALSE)="",":",VLOOKUP($E$144,[1]UG!$A$2:$FA$69, 30, FALSE))</f>
        <v>:</v>
      </c>
      <c r="AF144" s="544" t="str">
        <f>IF(VLOOKUP($E$144,[1]UG!$A$2:$FA$69, 31, FALSE)="",":",VLOOKUP($E$144,[1]UG!$A$2:$FA$69, 31, FALSE))</f>
        <v>:</v>
      </c>
    </row>
    <row r="145" spans="1:32">
      <c r="A145" s="533">
        <v>120</v>
      </c>
      <c r="B145" s="534" t="s">
        <v>321</v>
      </c>
      <c r="C145" s="535" t="s">
        <v>1210</v>
      </c>
      <c r="D145" s="12" t="s">
        <v>1214</v>
      </c>
      <c r="E145" s="13">
        <v>11</v>
      </c>
      <c r="F145" s="14" t="str">
        <f>VLOOKUP($E$145,[1]UG!$A$2:$FA$69, 3, FALSE)</f>
        <v>11 Compensation of employees, payable D.1p</v>
      </c>
      <c r="G145" s="544">
        <f>IF(VLOOKUP($E$145,[1]UG!$A$2:$FA$69, 6, FALSE)="",":",VLOOKUP($E$145,[1]UG!$A$2:$FA$69, 6, FALSE))</f>
        <v>748.21</v>
      </c>
      <c r="H145" s="544">
        <f>IF(VLOOKUP($E$145,[1]UG!$A$2:$FA$69, 7, FALSE)="",":",VLOOKUP($E$145,[1]UG!$A$2:$FA$69, 7, FALSE))</f>
        <v>1015.35</v>
      </c>
      <c r="I145" s="544">
        <f>IF(VLOOKUP($E$145,[1]UG!$A$2:$FA$69, 8, FALSE)="",":",VLOOKUP($E$145,[1]UG!$A$2:$FA$69, 8, FALSE))</f>
        <v>1298.4000000000001</v>
      </c>
      <c r="J145" s="544">
        <f>IF(VLOOKUP($E$145,[1]UG!$A$2:$FA$69, 9, FALSE)="",":",VLOOKUP($E$145,[1]UG!$A$2:$FA$69, 9, FALSE))</f>
        <v>1647</v>
      </c>
      <c r="K145" s="544">
        <f>IF(VLOOKUP($E$145,[1]UG!$A$2:$FA$69, 10, FALSE)="",":",VLOOKUP($E$145,[1]UG!$A$2:$FA$69, 10, FALSE))</f>
        <v>1696.03</v>
      </c>
      <c r="L145" s="544">
        <f>IF(VLOOKUP($E$145,[1]UG!$A$2:$FA$69, 11, FALSE)="",":",VLOOKUP($E$145,[1]UG!$A$2:$FA$69, 11, FALSE))</f>
        <v>1607.58</v>
      </c>
      <c r="M145" s="544">
        <f>IF(VLOOKUP($E$145,[1]UG!$A$2:$FA$69, 12, FALSE)="",":",VLOOKUP($E$145,[1]UG!$A$2:$FA$69, 12, FALSE))</f>
        <v>1649.41</v>
      </c>
      <c r="N145" s="544">
        <f>IF(VLOOKUP($E$145,[1]UG!$A$2:$FA$69, 13, FALSE)="",":",VLOOKUP($E$145,[1]UG!$A$2:$FA$69, 13, FALSE))</f>
        <v>1714.01</v>
      </c>
      <c r="O145" s="544">
        <f>IF(VLOOKUP($E$145,[1]UG!$A$2:$FA$69, 14, FALSE)="",":",VLOOKUP($E$145,[1]UG!$A$2:$FA$69, 14, FALSE))</f>
        <v>1786.53</v>
      </c>
      <c r="P145" s="544">
        <f>IF(VLOOKUP($E$145,[1]UG!$A$2:$FA$69, 15, FALSE)="",":",VLOOKUP($E$145,[1]UG!$A$2:$FA$69, 15, FALSE))</f>
        <v>1968.67</v>
      </c>
      <c r="Q145" s="544">
        <f>IF(VLOOKUP($E$145,[1]UG!$A$2:$FA$69, 16, FALSE)="",":",VLOOKUP($E$145,[1]UG!$A$2:$FA$69, 16, FALSE))</f>
        <v>2153.08</v>
      </c>
      <c r="R145" s="544">
        <f>IF(VLOOKUP($E$145,[1]UG!$A$2:$FA$69, 17, FALSE)="",":",VLOOKUP($E$145,[1]UG!$A$2:$FA$69, 17, FALSE))</f>
        <v>2504.61</v>
      </c>
      <c r="S145" s="544">
        <f>IF(VLOOKUP($E$145,[1]UG!$A$2:$FA$69, 18, FALSE)="",":",VLOOKUP($E$145,[1]UG!$A$2:$FA$69, 18, FALSE))</f>
        <v>2834.48</v>
      </c>
      <c r="T145" s="544">
        <f>IF(VLOOKUP($E$145,[1]UG!$A$2:$FA$69, 19, FALSE)="",":",VLOOKUP($E$145,[1]UG!$A$2:$FA$69, 19, FALSE))</f>
        <v>3475.8</v>
      </c>
      <c r="U145" s="544">
        <f>IF(VLOOKUP($E$145,[1]UG!$A$2:$FA$69, 20, FALSE)="",":",VLOOKUP($E$145,[1]UG!$A$2:$FA$69, 20, FALSE))</f>
        <v>3410.26</v>
      </c>
      <c r="V145" s="544">
        <f>IF(VLOOKUP($E$145,[1]UG!$A$2:$FA$69, 21, FALSE)="",":",VLOOKUP($E$145,[1]UG!$A$2:$FA$69, 21, FALSE))</f>
        <v>3058.84</v>
      </c>
      <c r="W145" s="544">
        <f>IF(VLOOKUP($E$145,[1]UG!$A$2:$FA$69, 22, FALSE)="",":",VLOOKUP($E$145,[1]UG!$A$2:$FA$69, 22, FALSE))</f>
        <v>3197.33</v>
      </c>
      <c r="X145" s="544">
        <f>IF(VLOOKUP($E$145,[1]UG!$A$2:$FA$69, 23, FALSE)="",":",VLOOKUP($E$145,[1]UG!$A$2:$FA$69, 23, FALSE))</f>
        <v>3241.61</v>
      </c>
      <c r="Y145" s="544">
        <f>IF(VLOOKUP($E$145,[1]UG!$A$2:$FA$69, 24, FALSE)="",":",VLOOKUP($E$145,[1]UG!$A$2:$FA$69, 24, FALSE))</f>
        <v>3338.45</v>
      </c>
      <c r="Z145" s="544">
        <f>IF(VLOOKUP($E$145,[1]UG!$A$2:$FA$69, 25, FALSE)="",":",VLOOKUP($E$145,[1]UG!$A$2:$FA$69, 25, FALSE))</f>
        <v>3462.15</v>
      </c>
      <c r="AA145" s="544">
        <f>IF(VLOOKUP($E$145,[1]UG!$A$2:$FA$69, 26, FALSE)="",":",VLOOKUP($E$145,[1]UG!$A$2:$FA$69, 26, FALSE))</f>
        <v>3605.31</v>
      </c>
      <c r="AB145" s="544">
        <f>IF(VLOOKUP($E$145,[1]UG!$A$2:$FA$69, 27, FALSE)="",":",VLOOKUP($E$145,[1]UG!$A$2:$FA$69, 27, FALSE))</f>
        <v>3802.35</v>
      </c>
      <c r="AC145" s="544" t="str">
        <f>IF(VLOOKUP($E$145,[1]UG!$A$2:$FA$69, 28, FALSE)="",":",VLOOKUP($E$145,[1]UG!$A$2:$FA$69, 28, FALSE))</f>
        <v>:</v>
      </c>
      <c r="AD145" s="544" t="str">
        <f>IF(VLOOKUP($E$145,[1]UG!$A$2:$FA$69, 29, FALSE)="",":",VLOOKUP($E$145,[1]UG!$A$2:$FA$69, 29, FALSE))</f>
        <v>:</v>
      </c>
      <c r="AE145" s="544" t="str">
        <f>IF(VLOOKUP($E$145,[1]UG!$A$2:$FA$69, 30, FALSE)="",":",VLOOKUP($E$145,[1]UG!$A$2:$FA$69, 30, FALSE))</f>
        <v>:</v>
      </c>
      <c r="AF145" s="544" t="str">
        <f>IF(VLOOKUP($E$145,[1]UG!$A$2:$FA$69, 31, FALSE)="",":",VLOOKUP($E$145,[1]UG!$A$2:$FA$69, 31, FALSE))</f>
        <v>:</v>
      </c>
    </row>
    <row r="146" spans="1:32">
      <c r="A146" s="533">
        <v>113</v>
      </c>
      <c r="B146" s="534" t="s">
        <v>1801</v>
      </c>
      <c r="C146" s="535" t="s">
        <v>1029</v>
      </c>
      <c r="D146" s="12" t="s">
        <v>1214</v>
      </c>
      <c r="E146" s="13">
        <v>15</v>
      </c>
      <c r="F146" s="14" t="str">
        <f>VLOOKUP($E$146,[1]UG!$A$2:$FA$69, 3, FALSE)</f>
        <v>15 Taxes on production and imports, receivable D.2r</v>
      </c>
      <c r="G146" s="544">
        <f>IF(VLOOKUP($E$146,[1]UG!$A$2:$FA$69, 6, FALSE)="",":",VLOOKUP($E$146,[1]UG!$A$2:$FA$69, 6, FALSE))</f>
        <v>934.14</v>
      </c>
      <c r="H146" s="544">
        <f>IF(VLOOKUP($E$146,[1]UG!$A$2:$FA$69, 7, FALSE)="",":",VLOOKUP($E$146,[1]UG!$A$2:$FA$69, 7, FALSE))</f>
        <v>1123.72</v>
      </c>
      <c r="I146" s="544">
        <f>IF(VLOOKUP($E$146,[1]UG!$A$2:$FA$69, 8, FALSE)="",":",VLOOKUP($E$146,[1]UG!$A$2:$FA$69, 8, FALSE))</f>
        <v>1585.61</v>
      </c>
      <c r="J146" s="544">
        <f>IF(VLOOKUP($E$146,[1]UG!$A$2:$FA$69, 9, FALSE)="",":",VLOOKUP($E$146,[1]UG!$A$2:$FA$69, 9, FALSE))</f>
        <v>1795.03</v>
      </c>
      <c r="K146" s="544">
        <f>IF(VLOOKUP($E$146,[1]UG!$A$2:$FA$69, 10, FALSE)="",":",VLOOKUP($E$146,[1]UG!$A$2:$FA$69, 10, FALSE))</f>
        <v>1743.56</v>
      </c>
      <c r="L146" s="544">
        <f>IF(VLOOKUP($E$146,[1]UG!$A$2:$FA$69, 11, FALSE)="",":",VLOOKUP($E$146,[1]UG!$A$2:$FA$69, 11, FALSE))</f>
        <v>1672.61</v>
      </c>
      <c r="M146" s="544">
        <f>IF(VLOOKUP($E$146,[1]UG!$A$2:$FA$69, 12, FALSE)="",":",VLOOKUP($E$146,[1]UG!$A$2:$FA$69, 12, FALSE))</f>
        <v>1729.33</v>
      </c>
      <c r="N146" s="544">
        <f>IF(VLOOKUP($E$146,[1]UG!$A$2:$FA$69, 13, FALSE)="",":",VLOOKUP($E$146,[1]UG!$A$2:$FA$69, 13, FALSE))</f>
        <v>1883.42</v>
      </c>
      <c r="O146" s="544">
        <f>IF(VLOOKUP($E$146,[1]UG!$A$2:$FA$69, 14, FALSE)="",":",VLOOKUP($E$146,[1]UG!$A$2:$FA$69, 14, FALSE))</f>
        <v>1940.69</v>
      </c>
      <c r="P146" s="544">
        <f>IF(VLOOKUP($E$146,[1]UG!$A$2:$FA$69, 15, FALSE)="",":",VLOOKUP($E$146,[1]UG!$A$2:$FA$69, 15, FALSE))</f>
        <v>2038.74</v>
      </c>
      <c r="Q146" s="544">
        <f>IF(VLOOKUP($E$146,[1]UG!$A$2:$FA$69, 16, FALSE)="",":",VLOOKUP($E$146,[1]UG!$A$2:$FA$69, 16, FALSE))</f>
        <v>2354.56</v>
      </c>
      <c r="R146" s="544">
        <f>IF(VLOOKUP($E$146,[1]UG!$A$2:$FA$69, 17, FALSE)="",":",VLOOKUP($E$146,[1]UG!$A$2:$FA$69, 17, FALSE))</f>
        <v>2723.47</v>
      </c>
      <c r="S146" s="544">
        <f>IF(VLOOKUP($E$146,[1]UG!$A$2:$FA$69, 18, FALSE)="",":",VLOOKUP($E$146,[1]UG!$A$2:$FA$69, 18, FALSE))</f>
        <v>3377.35</v>
      </c>
      <c r="T146" s="544">
        <f>IF(VLOOKUP($E$146,[1]UG!$A$2:$FA$69, 19, FALSE)="",":",VLOOKUP($E$146,[1]UG!$A$2:$FA$69, 19, FALSE))</f>
        <v>3790.74</v>
      </c>
      <c r="U146" s="544">
        <f>IF(VLOOKUP($E$146,[1]UG!$A$2:$FA$69, 20, FALSE)="",":",VLOOKUP($E$146,[1]UG!$A$2:$FA$69, 20, FALSE))</f>
        <v>3114.44</v>
      </c>
      <c r="V146" s="544">
        <f>IF(VLOOKUP($E$146,[1]UG!$A$2:$FA$69, 21, FALSE)="",":",VLOOKUP($E$146,[1]UG!$A$2:$FA$69, 21, FALSE))</f>
        <v>3319.26</v>
      </c>
      <c r="W146" s="544">
        <f>IF(VLOOKUP($E$146,[1]UG!$A$2:$FA$69, 22, FALSE)="",":",VLOOKUP($E$146,[1]UG!$A$2:$FA$69, 22, FALSE))</f>
        <v>3628.6</v>
      </c>
      <c r="X146" s="544">
        <f>IF(VLOOKUP($E$146,[1]UG!$A$2:$FA$69, 23, FALSE)="",":",VLOOKUP($E$146,[1]UG!$A$2:$FA$69, 23, FALSE))</f>
        <v>3724.07</v>
      </c>
      <c r="Y146" s="544">
        <f>IF(VLOOKUP($E$146,[1]UG!$A$2:$FA$69, 24, FALSE)="",":",VLOOKUP($E$146,[1]UG!$A$2:$FA$69, 24, FALSE))</f>
        <v>3841.34</v>
      </c>
      <c r="Z146" s="544">
        <f>IF(VLOOKUP($E$146,[1]UG!$A$2:$FA$69, 25, FALSE)="",":",VLOOKUP($E$146,[1]UG!$A$2:$FA$69, 25, FALSE))</f>
        <v>4079.54</v>
      </c>
      <c r="AA146" s="544">
        <f>IF(VLOOKUP($E$146,[1]UG!$A$2:$FA$69, 26, FALSE)="",":",VLOOKUP($E$146,[1]UG!$A$2:$FA$69, 26, FALSE))</f>
        <v>4343.63</v>
      </c>
      <c r="AB146" s="544">
        <f>IF(VLOOKUP($E$146,[1]UG!$A$2:$FA$69, 27, FALSE)="",":",VLOOKUP($E$146,[1]UG!$A$2:$FA$69, 27, FALSE))</f>
        <v>4532.76</v>
      </c>
      <c r="AC146" s="544" t="str">
        <f>IF(VLOOKUP($E$146,[1]UG!$A$2:$FA$69, 28, FALSE)="",":",VLOOKUP($E$146,[1]UG!$A$2:$FA$69, 28, FALSE))</f>
        <v>:</v>
      </c>
      <c r="AD146" s="544" t="str">
        <f>IF(VLOOKUP($E$146,[1]UG!$A$2:$FA$69, 29, FALSE)="",":",VLOOKUP($E$146,[1]UG!$A$2:$FA$69, 29, FALSE))</f>
        <v>:</v>
      </c>
      <c r="AE146" s="544" t="str">
        <f>IF(VLOOKUP($E$146,[1]UG!$A$2:$FA$69, 30, FALSE)="",":",VLOOKUP($E$146,[1]UG!$A$2:$FA$69, 30, FALSE))</f>
        <v>:</v>
      </c>
      <c r="AF146" s="544" t="str">
        <f>IF(VLOOKUP($E$146,[1]UG!$A$2:$FA$69, 31, FALSE)="",":",VLOOKUP($E$146,[1]UG!$A$2:$FA$69, 31, FALSE))</f>
        <v>:</v>
      </c>
    </row>
    <row r="147" spans="1:32">
      <c r="A147" s="533">
        <v>123</v>
      </c>
      <c r="B147" s="534" t="s">
        <v>2086</v>
      </c>
      <c r="C147" s="535" t="s">
        <v>1207</v>
      </c>
      <c r="D147" s="12" t="s">
        <v>1214</v>
      </c>
      <c r="E147" s="13">
        <v>17</v>
      </c>
      <c r="F147" s="14" t="str">
        <f>VLOOKUP($E$147,[1]UG!$A$2:$FA$69, 3, FALSE)</f>
        <v>17 Subsidies, payable D.3p</v>
      </c>
      <c r="G147" s="544">
        <f>IF(VLOOKUP($E$147,[1]UG!$A$2:$FA$69, 6, FALSE)="",":",VLOOKUP($E$147,[1]UG!$A$2:$FA$69, 6, FALSE))</f>
        <v>79.650000000000006</v>
      </c>
      <c r="H147" s="544">
        <f>IF(VLOOKUP($E$147,[1]UG!$A$2:$FA$69, 7, FALSE)="",":",VLOOKUP($E$147,[1]UG!$A$2:$FA$69, 7, FALSE))</f>
        <v>114.81</v>
      </c>
      <c r="I147" s="544">
        <f>IF(VLOOKUP($E$147,[1]UG!$A$2:$FA$69, 8, FALSE)="",":",VLOOKUP($E$147,[1]UG!$A$2:$FA$69, 8, FALSE))</f>
        <v>101.11</v>
      </c>
      <c r="J147" s="544">
        <f>IF(VLOOKUP($E$147,[1]UG!$A$2:$FA$69, 9, FALSE)="",":",VLOOKUP($E$147,[1]UG!$A$2:$FA$69, 9, FALSE))</f>
        <v>136.61000000000001</v>
      </c>
      <c r="K147" s="544">
        <f>IF(VLOOKUP($E$147,[1]UG!$A$2:$FA$69, 10, FALSE)="",":",VLOOKUP($E$147,[1]UG!$A$2:$FA$69, 10, FALSE))</f>
        <v>132.38999999999999</v>
      </c>
      <c r="L147" s="544">
        <f>IF(VLOOKUP($E$147,[1]UG!$A$2:$FA$69, 11, FALSE)="",":",VLOOKUP($E$147,[1]UG!$A$2:$FA$69, 11, FALSE))</f>
        <v>104.64</v>
      </c>
      <c r="M147" s="544">
        <f>IF(VLOOKUP($E$147,[1]UG!$A$2:$FA$69, 12, FALSE)="",":",VLOOKUP($E$147,[1]UG!$A$2:$FA$69, 12, FALSE))</f>
        <v>119.26</v>
      </c>
      <c r="N147" s="544">
        <f>IF(VLOOKUP($E$147,[1]UG!$A$2:$FA$69, 13, FALSE)="",":",VLOOKUP($E$147,[1]UG!$A$2:$FA$69, 13, FALSE))</f>
        <v>119.82</v>
      </c>
      <c r="O147" s="544">
        <f>IF(VLOOKUP($E$147,[1]UG!$A$2:$FA$69, 14, FALSE)="",":",VLOOKUP($E$147,[1]UG!$A$2:$FA$69, 14, FALSE))</f>
        <v>129.5</v>
      </c>
      <c r="P147" s="544">
        <f>IF(VLOOKUP($E$147,[1]UG!$A$2:$FA$69, 15, FALSE)="",":",VLOOKUP($E$147,[1]UG!$A$2:$FA$69, 15, FALSE))</f>
        <v>125.61</v>
      </c>
      <c r="Q147" s="544">
        <f>IF(VLOOKUP($E$147,[1]UG!$A$2:$FA$69, 16, FALSE)="",":",VLOOKUP($E$147,[1]UG!$A$2:$FA$69, 16, FALSE))</f>
        <v>141.76</v>
      </c>
      <c r="R147" s="544">
        <f>IF(VLOOKUP($E$147,[1]UG!$A$2:$FA$69, 17, FALSE)="",":",VLOOKUP($E$147,[1]UG!$A$2:$FA$69, 17, FALSE))</f>
        <v>161.9</v>
      </c>
      <c r="S147" s="544">
        <f>IF(VLOOKUP($E$147,[1]UG!$A$2:$FA$69, 18, FALSE)="",":",VLOOKUP($E$147,[1]UG!$A$2:$FA$69, 18, FALSE))</f>
        <v>255.57</v>
      </c>
      <c r="T147" s="544">
        <f>IF(VLOOKUP($E$147,[1]UG!$A$2:$FA$69, 19, FALSE)="",":",VLOOKUP($E$147,[1]UG!$A$2:$FA$69, 19, FALSE))</f>
        <v>220.84</v>
      </c>
      <c r="U147" s="544">
        <f>IF(VLOOKUP($E$147,[1]UG!$A$2:$FA$69, 20, FALSE)="",":",VLOOKUP($E$147,[1]UG!$A$2:$FA$69, 20, FALSE))</f>
        <v>170.44</v>
      </c>
      <c r="V147" s="544">
        <f>IF(VLOOKUP($E$147,[1]UG!$A$2:$FA$69, 21, FALSE)="",":",VLOOKUP($E$147,[1]UG!$A$2:$FA$69, 21, FALSE))</f>
        <v>137.99</v>
      </c>
      <c r="W147" s="544">
        <f>IF(VLOOKUP($E$147,[1]UG!$A$2:$FA$69, 22, FALSE)="",":",VLOOKUP($E$147,[1]UG!$A$2:$FA$69, 22, FALSE))</f>
        <v>122.57</v>
      </c>
      <c r="X147" s="544">
        <f>IF(VLOOKUP($E$147,[1]UG!$A$2:$FA$69, 23, FALSE)="",":",VLOOKUP($E$147,[1]UG!$A$2:$FA$69, 23, FALSE))</f>
        <v>104.82</v>
      </c>
      <c r="Y147" s="544">
        <f>IF(VLOOKUP($E$147,[1]UG!$A$2:$FA$69, 24, FALSE)="",":",VLOOKUP($E$147,[1]UG!$A$2:$FA$69, 24, FALSE))</f>
        <v>115.63</v>
      </c>
      <c r="Z147" s="544">
        <f>IF(VLOOKUP($E$147,[1]UG!$A$2:$FA$69, 25, FALSE)="",":",VLOOKUP($E$147,[1]UG!$A$2:$FA$69, 25, FALSE))</f>
        <v>118.74</v>
      </c>
      <c r="AA147" s="544">
        <f>IF(VLOOKUP($E$147,[1]UG!$A$2:$FA$69, 26, FALSE)="",":",VLOOKUP($E$147,[1]UG!$A$2:$FA$69, 26, FALSE))</f>
        <v>147.57</v>
      </c>
      <c r="AB147" s="544">
        <f>IF(VLOOKUP($E$147,[1]UG!$A$2:$FA$69, 27, FALSE)="",":",VLOOKUP($E$147,[1]UG!$A$2:$FA$69, 27, FALSE))</f>
        <v>162.43</v>
      </c>
      <c r="AC147" s="544" t="str">
        <f>IF(VLOOKUP($E$147,[1]UG!$A$2:$FA$69, 28, FALSE)="",":",VLOOKUP($E$147,[1]UG!$A$2:$FA$69, 28, FALSE))</f>
        <v>:</v>
      </c>
      <c r="AD147" s="544" t="str">
        <f>IF(VLOOKUP($E$147,[1]UG!$A$2:$FA$69, 29, FALSE)="",":",VLOOKUP($E$147,[1]UG!$A$2:$FA$69, 29, FALSE))</f>
        <v>:</v>
      </c>
      <c r="AE147" s="544" t="str">
        <f>IF(VLOOKUP($E$147,[1]UG!$A$2:$FA$69, 30, FALSE)="",":",VLOOKUP($E$147,[1]UG!$A$2:$FA$69, 30, FALSE))</f>
        <v>:</v>
      </c>
      <c r="AF147" s="544" t="str">
        <f>IF(VLOOKUP($E$147,[1]UG!$A$2:$FA$69, 31, FALSE)="",":",VLOOKUP($E$147,[1]UG!$A$2:$FA$69, 31, FALSE))</f>
        <v>:</v>
      </c>
    </row>
    <row r="148" spans="1:32">
      <c r="A148" s="533"/>
      <c r="B148" s="534" t="s">
        <v>215</v>
      </c>
      <c r="C148" s="535" t="s">
        <v>216</v>
      </c>
      <c r="D148" s="12" t="s">
        <v>1214</v>
      </c>
      <c r="E148" s="13">
        <v>12</v>
      </c>
      <c r="F148" s="14" t="str">
        <f>VLOOKUP($E$148,[1]UG!$A$2:$FA$69, 3, FALSE)</f>
        <v>12 Other taxes on production, payable D.29p</v>
      </c>
      <c r="G148" s="544">
        <f>IF(VLOOKUP($E$148,[1]UG!$A$2:$FA$69, 6, FALSE)="",":",VLOOKUP($E$148,[1]UG!$A$2:$FA$69, 6, FALSE))</f>
        <v>2.85</v>
      </c>
      <c r="H148" s="544">
        <f>IF(VLOOKUP($E$148,[1]UG!$A$2:$FA$69, 7, FALSE)="",":",VLOOKUP($E$148,[1]UG!$A$2:$FA$69, 7, FALSE))</f>
        <v>4.43</v>
      </c>
      <c r="I148" s="544">
        <f>IF(VLOOKUP($E$148,[1]UG!$A$2:$FA$69, 8, FALSE)="",":",VLOOKUP($E$148,[1]UG!$A$2:$FA$69, 8, FALSE))</f>
        <v>5.87</v>
      </c>
      <c r="J148" s="544">
        <f>IF(VLOOKUP($E$148,[1]UG!$A$2:$FA$69, 9, FALSE)="",":",VLOOKUP($E$148,[1]UG!$A$2:$FA$69, 9, FALSE))</f>
        <v>6.17</v>
      </c>
      <c r="K148" s="544">
        <f>IF(VLOOKUP($E$148,[1]UG!$A$2:$FA$69, 10, FALSE)="",":",VLOOKUP($E$148,[1]UG!$A$2:$FA$69, 10, FALSE))</f>
        <v>6.43</v>
      </c>
      <c r="L148" s="544">
        <f>IF(VLOOKUP($E$148,[1]UG!$A$2:$FA$69, 11, FALSE)="",":",VLOOKUP($E$148,[1]UG!$A$2:$FA$69, 11, FALSE))</f>
        <v>6.19</v>
      </c>
      <c r="M148" s="544">
        <f>IF(VLOOKUP($E$148,[1]UG!$A$2:$FA$69, 12, FALSE)="",":",VLOOKUP($E$148,[1]UG!$A$2:$FA$69, 12, FALSE))</f>
        <v>6.95</v>
      </c>
      <c r="N148" s="544">
        <f>IF(VLOOKUP($E$148,[1]UG!$A$2:$FA$69, 13, FALSE)="",":",VLOOKUP($E$148,[1]UG!$A$2:$FA$69, 13, FALSE))</f>
        <v>7.62</v>
      </c>
      <c r="O148" s="544">
        <f>IF(VLOOKUP($E$148,[1]UG!$A$2:$FA$69, 14, FALSE)="",":",VLOOKUP($E$148,[1]UG!$A$2:$FA$69, 14, FALSE))</f>
        <v>7.67</v>
      </c>
      <c r="P148" s="544">
        <f>IF(VLOOKUP($E$148,[1]UG!$A$2:$FA$69, 15, FALSE)="",":",VLOOKUP($E$148,[1]UG!$A$2:$FA$69, 15, FALSE))</f>
        <v>9.5500000000000007</v>
      </c>
      <c r="Q148" s="544">
        <f>IF(VLOOKUP($E$148,[1]UG!$A$2:$FA$69, 16, FALSE)="",":",VLOOKUP($E$148,[1]UG!$A$2:$FA$69, 16, FALSE))</f>
        <v>4.1500000000000004</v>
      </c>
      <c r="R148" s="544">
        <f>IF(VLOOKUP($E$148,[1]UG!$A$2:$FA$69, 17, FALSE)="",":",VLOOKUP($E$148,[1]UG!$A$2:$FA$69, 17, FALSE))</f>
        <v>3.6</v>
      </c>
      <c r="S148" s="544">
        <f>IF(VLOOKUP($E$148,[1]UG!$A$2:$FA$69, 18, FALSE)="",":",VLOOKUP($E$148,[1]UG!$A$2:$FA$69, 18, FALSE))</f>
        <v>3.64</v>
      </c>
      <c r="T148" s="544">
        <f>IF(VLOOKUP($E$148,[1]UG!$A$2:$FA$69, 19, FALSE)="",":",VLOOKUP($E$148,[1]UG!$A$2:$FA$69, 19, FALSE))</f>
        <v>3.27</v>
      </c>
      <c r="U148" s="544">
        <f>IF(VLOOKUP($E$148,[1]UG!$A$2:$FA$69, 20, FALSE)="",":",VLOOKUP($E$148,[1]UG!$A$2:$FA$69, 20, FALSE))</f>
        <v>2.46</v>
      </c>
      <c r="V148" s="544">
        <f>IF(VLOOKUP($E$148,[1]UG!$A$2:$FA$69, 21, FALSE)="",":",VLOOKUP($E$148,[1]UG!$A$2:$FA$69, 21, FALSE))</f>
        <v>2.2200000000000002</v>
      </c>
      <c r="W148" s="544">
        <f>IF(VLOOKUP($E$148,[1]UG!$A$2:$FA$69, 22, FALSE)="",":",VLOOKUP($E$148,[1]UG!$A$2:$FA$69, 22, FALSE))</f>
        <v>2.8200000000000003</v>
      </c>
      <c r="X148" s="544">
        <f>IF(VLOOKUP($E$148,[1]UG!$A$2:$FA$69, 23, FALSE)="",":",VLOOKUP($E$148,[1]UG!$A$2:$FA$69, 23, FALSE))</f>
        <v>3.72</v>
      </c>
      <c r="Y148" s="544">
        <f>IF(VLOOKUP($E$148,[1]UG!$A$2:$FA$69, 24, FALSE)="",":",VLOOKUP($E$148,[1]UG!$A$2:$FA$69, 24, FALSE))</f>
        <v>4.3600000000000003</v>
      </c>
      <c r="Z148" s="544">
        <f>IF(VLOOKUP($E$148,[1]UG!$A$2:$FA$69, 25, FALSE)="",":",VLOOKUP($E$148,[1]UG!$A$2:$FA$69, 25, FALSE))</f>
        <v>5.05</v>
      </c>
      <c r="AA148" s="544">
        <f>IF(VLOOKUP($E$148,[1]UG!$A$2:$FA$69, 26, FALSE)="",":",VLOOKUP($E$148,[1]UG!$A$2:$FA$69, 26, FALSE))</f>
        <v>2.62</v>
      </c>
      <c r="AB148" s="544">
        <f>IF(VLOOKUP($E$148,[1]UG!$A$2:$FA$69, 27, FALSE)="",":",VLOOKUP($E$148,[1]UG!$A$2:$FA$69, 27, FALSE))</f>
        <v>2.7</v>
      </c>
      <c r="AC148" s="544" t="str">
        <f>IF(VLOOKUP($E$148,[1]UG!$A$2:$FA$69, 28, FALSE)="",":",VLOOKUP($E$148,[1]UG!$A$2:$FA$69, 28, FALSE))</f>
        <v>:</v>
      </c>
      <c r="AD148" s="544" t="str">
        <f>IF(VLOOKUP($E$148,[1]UG!$A$2:$FA$69, 29, FALSE)="",":",VLOOKUP($E$148,[1]UG!$A$2:$FA$69, 29, FALSE))</f>
        <v>:</v>
      </c>
      <c r="AE148" s="544" t="str">
        <f>IF(VLOOKUP($E$148,[1]UG!$A$2:$FA$69, 30, FALSE)="",":",VLOOKUP($E$148,[1]UG!$A$2:$FA$69, 30, FALSE))</f>
        <v>:</v>
      </c>
      <c r="AF148" s="544" t="str">
        <f>IF(VLOOKUP($E$148,[1]UG!$A$2:$FA$69, 31, FALSE)="",":",VLOOKUP($E$148,[1]UG!$A$2:$FA$69, 31, FALSE))</f>
        <v>:</v>
      </c>
    </row>
    <row r="149" spans="1:32">
      <c r="A149" s="533"/>
      <c r="B149" s="534" t="s">
        <v>218</v>
      </c>
      <c r="C149" s="535" t="s">
        <v>217</v>
      </c>
      <c r="D149" s="12" t="s">
        <v>1214</v>
      </c>
      <c r="E149" s="13">
        <v>13</v>
      </c>
      <c r="F149" s="14" t="str">
        <f>VLOOKUP($E$149,[1]UG!$A$2:$FA$69, 3, FALSE)</f>
        <v>13 Other subsidies on production receivable D.39r</v>
      </c>
      <c r="G149" s="544">
        <f>IF(VLOOKUP($E$149,[1]UG!$A$2:$FA$69, 6, FALSE)="",":",VLOOKUP($E$149,[1]UG!$A$2:$FA$69, 6, FALSE))</f>
        <v>0</v>
      </c>
      <c r="H149" s="544">
        <f>IF(VLOOKUP($E$149,[1]UG!$A$2:$FA$69, 7, FALSE)="",":",VLOOKUP($E$149,[1]UG!$A$2:$FA$69, 7, FALSE))</f>
        <v>0</v>
      </c>
      <c r="I149" s="544">
        <f>IF(VLOOKUP($E$149,[1]UG!$A$2:$FA$69, 8, FALSE)="",":",VLOOKUP($E$149,[1]UG!$A$2:$FA$69, 8, FALSE))</f>
        <v>0</v>
      </c>
      <c r="J149" s="544">
        <f>IF(VLOOKUP($E$149,[1]UG!$A$2:$FA$69, 9, FALSE)="",":",VLOOKUP($E$149,[1]UG!$A$2:$FA$69, 9, FALSE))</f>
        <v>0</v>
      </c>
      <c r="K149" s="544">
        <f>IF(VLOOKUP($E$149,[1]UG!$A$2:$FA$69, 10, FALSE)="",":",VLOOKUP($E$149,[1]UG!$A$2:$FA$69, 10, FALSE))</f>
        <v>0</v>
      </c>
      <c r="L149" s="544">
        <f>IF(VLOOKUP($E$149,[1]UG!$A$2:$FA$69, 11, FALSE)="",":",VLOOKUP($E$149,[1]UG!$A$2:$FA$69, 11, FALSE))</f>
        <v>0</v>
      </c>
      <c r="M149" s="544">
        <f>IF(VLOOKUP($E$149,[1]UG!$A$2:$FA$69, 12, FALSE)="",":",VLOOKUP($E$149,[1]UG!$A$2:$FA$69, 12, FALSE))</f>
        <v>0</v>
      </c>
      <c r="N149" s="544">
        <f>IF(VLOOKUP($E$149,[1]UG!$A$2:$FA$69, 13, FALSE)="",":",VLOOKUP($E$149,[1]UG!$A$2:$FA$69, 13, FALSE))</f>
        <v>0</v>
      </c>
      <c r="O149" s="544">
        <f>IF(VLOOKUP($E$149,[1]UG!$A$2:$FA$69, 14, FALSE)="",":",VLOOKUP($E$149,[1]UG!$A$2:$FA$69, 14, FALSE))</f>
        <v>0</v>
      </c>
      <c r="P149" s="544">
        <f>IF(VLOOKUP($E$149,[1]UG!$A$2:$FA$69, 15, FALSE)="",":",VLOOKUP($E$149,[1]UG!$A$2:$FA$69, 15, FALSE))</f>
        <v>0</v>
      </c>
      <c r="Q149" s="544">
        <f>IF(VLOOKUP($E$149,[1]UG!$A$2:$FA$69, 16, FALSE)="",":",VLOOKUP($E$149,[1]UG!$A$2:$FA$69, 16, FALSE))</f>
        <v>0</v>
      </c>
      <c r="R149" s="544">
        <f>IF(VLOOKUP($E$149,[1]UG!$A$2:$FA$69, 17, FALSE)="",":",VLOOKUP($E$149,[1]UG!$A$2:$FA$69, 17, FALSE))</f>
        <v>0</v>
      </c>
      <c r="S149" s="544">
        <f>IF(VLOOKUP($E$149,[1]UG!$A$2:$FA$69, 18, FALSE)="",":",VLOOKUP($E$149,[1]UG!$A$2:$FA$69, 18, FALSE))</f>
        <v>0</v>
      </c>
      <c r="T149" s="544">
        <f>IF(VLOOKUP($E$149,[1]UG!$A$2:$FA$69, 19, FALSE)="",":",VLOOKUP($E$149,[1]UG!$A$2:$FA$69, 19, FALSE))</f>
        <v>0</v>
      </c>
      <c r="U149" s="544">
        <f>IF(VLOOKUP($E$149,[1]UG!$A$2:$FA$69, 20, FALSE)="",":",VLOOKUP($E$149,[1]UG!$A$2:$FA$69, 20, FALSE))</f>
        <v>0</v>
      </c>
      <c r="V149" s="544">
        <f>IF(VLOOKUP($E$149,[1]UG!$A$2:$FA$69, 21, FALSE)="",":",VLOOKUP($E$149,[1]UG!$A$2:$FA$69, 21, FALSE))</f>
        <v>0</v>
      </c>
      <c r="W149" s="544">
        <f>IF(VLOOKUP($E$149,[1]UG!$A$2:$FA$69, 22, FALSE)="",":",VLOOKUP($E$149,[1]UG!$A$2:$FA$69, 22, FALSE))</f>
        <v>0</v>
      </c>
      <c r="X149" s="544">
        <f>IF(VLOOKUP($E$149,[1]UG!$A$2:$FA$69, 23, FALSE)="",":",VLOOKUP($E$149,[1]UG!$A$2:$FA$69, 23, FALSE))</f>
        <v>0</v>
      </c>
      <c r="Y149" s="544">
        <f>IF(VLOOKUP($E$149,[1]UG!$A$2:$FA$69, 24, FALSE)="",":",VLOOKUP($E$149,[1]UG!$A$2:$FA$69, 24, FALSE))</f>
        <v>0</v>
      </c>
      <c r="Z149" s="544">
        <f>IF(VLOOKUP($E$149,[1]UG!$A$2:$FA$69, 25, FALSE)="",":",VLOOKUP($E$149,[1]UG!$A$2:$FA$69, 25, FALSE))</f>
        <v>0</v>
      </c>
      <c r="AA149" s="544">
        <f>IF(VLOOKUP($E$149,[1]UG!$A$2:$FA$69, 26, FALSE)="",":",VLOOKUP($E$149,[1]UG!$A$2:$FA$69, 26, FALSE))</f>
        <v>0</v>
      </c>
      <c r="AB149" s="544">
        <f>IF(VLOOKUP($E$149,[1]UG!$A$2:$FA$69, 27, FALSE)="",":",VLOOKUP($E$149,[1]UG!$A$2:$FA$69, 27, FALSE))</f>
        <v>0</v>
      </c>
      <c r="AC149" s="544" t="str">
        <f>IF(VLOOKUP($E$149,[1]UG!$A$2:$FA$69, 28, FALSE)="",":",VLOOKUP($E$149,[1]UG!$A$2:$FA$69, 28, FALSE))</f>
        <v>:</v>
      </c>
      <c r="AD149" s="544" t="str">
        <f>IF(VLOOKUP($E$149,[1]UG!$A$2:$FA$69, 29, FALSE)="",":",VLOOKUP($E$149,[1]UG!$A$2:$FA$69, 29, FALSE))</f>
        <v>:</v>
      </c>
      <c r="AE149" s="544" t="str">
        <f>IF(VLOOKUP($E$149,[1]UG!$A$2:$FA$69, 30, FALSE)="",":",VLOOKUP($E$149,[1]UG!$A$2:$FA$69, 30, FALSE))</f>
        <v>:</v>
      </c>
      <c r="AF149" s="544" t="str">
        <f>IF(VLOOKUP($E$149,[1]UG!$A$2:$FA$69, 31, FALSE)="",":",VLOOKUP($E$149,[1]UG!$A$2:$FA$69, 31, FALSE))</f>
        <v>:</v>
      </c>
    </row>
    <row r="150" spans="1:32">
      <c r="A150" s="533"/>
      <c r="B150" s="534"/>
      <c r="C150" s="535"/>
      <c r="D150" s="12"/>
      <c r="E150" s="13"/>
      <c r="F150" s="14"/>
      <c r="G150" s="544"/>
      <c r="H150" s="544"/>
      <c r="I150" s="544"/>
      <c r="J150" s="544"/>
      <c r="K150" s="544"/>
      <c r="L150" s="544"/>
      <c r="M150" s="544"/>
      <c r="N150" s="544"/>
      <c r="O150" s="544"/>
      <c r="P150" s="544"/>
      <c r="Q150" s="544"/>
      <c r="R150" s="544"/>
      <c r="S150" s="544"/>
      <c r="T150" s="544"/>
      <c r="U150" s="544"/>
      <c r="V150" s="544"/>
      <c r="W150" s="544"/>
      <c r="X150" s="544"/>
      <c r="Y150" s="544"/>
      <c r="Z150" s="544"/>
      <c r="AA150" s="544"/>
      <c r="AB150" s="544"/>
      <c r="AC150" s="544"/>
      <c r="AD150" s="544"/>
      <c r="AE150" s="544"/>
      <c r="AF150" s="544"/>
    </row>
    <row r="151" spans="1:32">
      <c r="A151" s="533"/>
      <c r="B151" s="534" t="s">
        <v>387</v>
      </c>
      <c r="C151" s="535" t="s">
        <v>2091</v>
      </c>
      <c r="D151" s="12" t="s">
        <v>1214</v>
      </c>
      <c r="E151" s="13">
        <v>16</v>
      </c>
      <c r="F151" s="14" t="str">
        <f>VLOOKUP($E$151,[1]UG!$A$2:$FA$69, 3, FALSE)</f>
        <v>16 Property income, receivable D.4r</v>
      </c>
      <c r="G151" s="544">
        <f>IF(VLOOKUP($E$151,[1]UG!$A$2:$FA$69, 6, FALSE)="",":",VLOOKUP($E$151,[1]UG!$A$2:$FA$69, 6, FALSE))</f>
        <v>27.74</v>
      </c>
      <c r="H151" s="544">
        <f>IF(VLOOKUP($E$151,[1]UG!$A$2:$FA$69, 7, FALSE)="",":",VLOOKUP($E$151,[1]UG!$A$2:$FA$69, 7, FALSE))</f>
        <v>30.05</v>
      </c>
      <c r="I151" s="544">
        <f>IF(VLOOKUP($E$151,[1]UG!$A$2:$FA$69, 8, FALSE)="",":",VLOOKUP($E$151,[1]UG!$A$2:$FA$69, 8, FALSE))</f>
        <v>54.47</v>
      </c>
      <c r="J151" s="544">
        <f>IF(VLOOKUP($E$151,[1]UG!$A$2:$FA$69, 9, FALSE)="",":",VLOOKUP($E$151,[1]UG!$A$2:$FA$69, 9, FALSE))</f>
        <v>152.41999999999999</v>
      </c>
      <c r="K151" s="544">
        <f>IF(VLOOKUP($E$151,[1]UG!$A$2:$FA$69, 10, FALSE)="",":",VLOOKUP($E$151,[1]UG!$A$2:$FA$69, 10, FALSE))</f>
        <v>150.72</v>
      </c>
      <c r="L151" s="544">
        <f>IF(VLOOKUP($E$151,[1]UG!$A$2:$FA$69, 11, FALSE)="",":",VLOOKUP($E$151,[1]UG!$A$2:$FA$69, 11, FALSE))</f>
        <v>172.79</v>
      </c>
      <c r="M151" s="544">
        <f>IF(VLOOKUP($E$151,[1]UG!$A$2:$FA$69, 12, FALSE)="",":",VLOOKUP($E$151,[1]UG!$A$2:$FA$69, 12, FALSE))</f>
        <v>212.27</v>
      </c>
      <c r="N151" s="544">
        <f>IF(VLOOKUP($E$151,[1]UG!$A$2:$FA$69, 13, FALSE)="",":",VLOOKUP($E$151,[1]UG!$A$2:$FA$69, 13, FALSE))</f>
        <v>167.36</v>
      </c>
      <c r="O151" s="544">
        <f>IF(VLOOKUP($E$151,[1]UG!$A$2:$FA$69, 14, FALSE)="",":",VLOOKUP($E$151,[1]UG!$A$2:$FA$69, 14, FALSE))</f>
        <v>155.13</v>
      </c>
      <c r="P151" s="544">
        <f>IF(VLOOKUP($E$151,[1]UG!$A$2:$FA$69, 15, FALSE)="",":",VLOOKUP($E$151,[1]UG!$A$2:$FA$69, 15, FALSE))</f>
        <v>143.69</v>
      </c>
      <c r="Q151" s="544">
        <f>IF(VLOOKUP($E$151,[1]UG!$A$2:$FA$69, 16, FALSE)="",":",VLOOKUP($E$151,[1]UG!$A$2:$FA$69, 16, FALSE))</f>
        <v>161.32</v>
      </c>
      <c r="R151" s="544">
        <f>IF(VLOOKUP($E$151,[1]UG!$A$2:$FA$69, 17, FALSE)="",":",VLOOKUP($E$151,[1]UG!$A$2:$FA$69, 17, FALSE))</f>
        <v>144.07</v>
      </c>
      <c r="S151" s="544">
        <f>IF(VLOOKUP($E$151,[1]UG!$A$2:$FA$69, 18, FALSE)="",":",VLOOKUP($E$151,[1]UG!$A$2:$FA$69, 18, FALSE))</f>
        <v>172.17</v>
      </c>
      <c r="T151" s="544">
        <f>IF(VLOOKUP($E$151,[1]UG!$A$2:$FA$69, 19, FALSE)="",":",VLOOKUP($E$151,[1]UG!$A$2:$FA$69, 19, FALSE))</f>
        <v>198.49</v>
      </c>
      <c r="U151" s="544">
        <f>IF(VLOOKUP($E$151,[1]UG!$A$2:$FA$69, 20, FALSE)="",":",VLOOKUP($E$151,[1]UG!$A$2:$FA$69, 20, FALSE))</f>
        <v>167.55</v>
      </c>
      <c r="V151" s="544">
        <f>IF(VLOOKUP($E$151,[1]UG!$A$2:$FA$69, 21, FALSE)="",":",VLOOKUP($E$151,[1]UG!$A$2:$FA$69, 21, FALSE))</f>
        <v>192.3</v>
      </c>
      <c r="W151" s="544">
        <f>IF(VLOOKUP($E$151,[1]UG!$A$2:$FA$69, 22, FALSE)="",":",VLOOKUP($E$151,[1]UG!$A$2:$FA$69, 22, FALSE))</f>
        <v>172.41</v>
      </c>
      <c r="X151" s="544">
        <f>IF(VLOOKUP($E$151,[1]UG!$A$2:$FA$69, 23, FALSE)="",":",VLOOKUP($E$151,[1]UG!$A$2:$FA$69, 23, FALSE))</f>
        <v>203.12</v>
      </c>
      <c r="Y151" s="544">
        <f>IF(VLOOKUP($E$151,[1]UG!$A$2:$FA$69, 24, FALSE)="",":",VLOOKUP($E$151,[1]UG!$A$2:$FA$69, 24, FALSE))</f>
        <v>128.08000000000001</v>
      </c>
      <c r="Z151" s="544">
        <f>IF(VLOOKUP($E$151,[1]UG!$A$2:$FA$69, 25, FALSE)="",":",VLOOKUP($E$151,[1]UG!$A$2:$FA$69, 25, FALSE))</f>
        <v>137.41</v>
      </c>
      <c r="AA151" s="544">
        <f>IF(VLOOKUP($E$151,[1]UG!$A$2:$FA$69, 26, FALSE)="",":",VLOOKUP($E$151,[1]UG!$A$2:$FA$69, 26, FALSE))</f>
        <v>148.58000000000001</v>
      </c>
      <c r="AB151" s="544">
        <f>IF(VLOOKUP($E$151,[1]UG!$A$2:$FA$69, 27, FALSE)="",":",VLOOKUP($E$151,[1]UG!$A$2:$FA$69, 27, FALSE))</f>
        <v>188.26</v>
      </c>
      <c r="AC151" s="544" t="str">
        <f>IF(VLOOKUP($E$151,[1]UG!$A$2:$FA$69, 28, FALSE)="",":",VLOOKUP($E$151,[1]UG!$A$2:$FA$69, 28, FALSE))</f>
        <v>:</v>
      </c>
      <c r="AD151" s="544" t="str">
        <f>IF(VLOOKUP($E$151,[1]UG!$A$2:$FA$69, 29, FALSE)="",":",VLOOKUP($E$151,[1]UG!$A$2:$FA$69, 29, FALSE))</f>
        <v>:</v>
      </c>
      <c r="AE151" s="544" t="str">
        <f>IF(VLOOKUP($E$151,[1]UG!$A$2:$FA$69, 30, FALSE)="",":",VLOOKUP($E$151,[1]UG!$A$2:$FA$69, 30, FALSE))</f>
        <v>:</v>
      </c>
      <c r="AF151" s="544" t="str">
        <f>IF(VLOOKUP($E$151,[1]UG!$A$2:$FA$69, 31, FALSE)="",":",VLOOKUP($E$151,[1]UG!$A$2:$FA$69, 31, FALSE))</f>
        <v>:</v>
      </c>
    </row>
    <row r="152" spans="1:32">
      <c r="A152" s="533"/>
      <c r="B152" s="534" t="s">
        <v>1646</v>
      </c>
      <c r="C152" s="535" t="s">
        <v>2092</v>
      </c>
      <c r="D152" s="12" t="s">
        <v>1214</v>
      </c>
      <c r="E152" s="13">
        <v>18</v>
      </c>
      <c r="F152" s="14" t="str">
        <f>VLOOKUP($E$152,[1]UG!$A$2:$FA$69, 3, FALSE)</f>
        <v>18 Property income, payable D.4p</v>
      </c>
      <c r="G152" s="544">
        <f>IF(VLOOKUP($E$152,[1]UG!$A$2:$FA$69, 6, FALSE)="",":",VLOOKUP($E$152,[1]UG!$A$2:$FA$69, 6, FALSE))</f>
        <v>26.94</v>
      </c>
      <c r="H152" s="544">
        <f>IF(VLOOKUP($E$152,[1]UG!$A$2:$FA$69, 7, FALSE)="",":",VLOOKUP($E$152,[1]UG!$A$2:$FA$69, 7, FALSE))</f>
        <v>80.97</v>
      </c>
      <c r="I152" s="544">
        <f>IF(VLOOKUP($E$152,[1]UG!$A$2:$FA$69, 8, FALSE)="",":",VLOOKUP($E$152,[1]UG!$A$2:$FA$69, 8, FALSE))</f>
        <v>85.84</v>
      </c>
      <c r="J152" s="544">
        <f>IF(VLOOKUP($E$152,[1]UG!$A$2:$FA$69, 9, FALSE)="",":",VLOOKUP($E$152,[1]UG!$A$2:$FA$69, 9, FALSE))</f>
        <v>147.53</v>
      </c>
      <c r="K152" s="544">
        <f>IF(VLOOKUP($E$152,[1]UG!$A$2:$FA$69, 10, FALSE)="",":",VLOOKUP($E$152,[1]UG!$A$2:$FA$69, 10, FALSE))</f>
        <v>186.94</v>
      </c>
      <c r="L152" s="544">
        <f>IF(VLOOKUP($E$152,[1]UG!$A$2:$FA$69, 11, FALSE)="",":",VLOOKUP($E$152,[1]UG!$A$2:$FA$69, 11, FALSE))</f>
        <v>231.7</v>
      </c>
      <c r="M152" s="544">
        <f>IF(VLOOKUP($E$152,[1]UG!$A$2:$FA$69, 12, FALSE)="",":",VLOOKUP($E$152,[1]UG!$A$2:$FA$69, 12, FALSE))</f>
        <v>213.52</v>
      </c>
      <c r="N152" s="544">
        <f>IF(VLOOKUP($E$152,[1]UG!$A$2:$FA$69, 13, FALSE)="",":",VLOOKUP($E$152,[1]UG!$A$2:$FA$69, 13, FALSE))</f>
        <v>198.41</v>
      </c>
      <c r="O152" s="544">
        <f>IF(VLOOKUP($E$152,[1]UG!$A$2:$FA$69, 14, FALSE)="",":",VLOOKUP($E$152,[1]UG!$A$2:$FA$69, 14, FALSE))</f>
        <v>205.81</v>
      </c>
      <c r="P152" s="544">
        <f>IF(VLOOKUP($E$152,[1]UG!$A$2:$FA$69, 15, FALSE)="",":",VLOOKUP($E$152,[1]UG!$A$2:$FA$69, 15, FALSE))</f>
        <v>163.72</v>
      </c>
      <c r="Q152" s="544">
        <f>IF(VLOOKUP($E$152,[1]UG!$A$2:$FA$69, 16, FALSE)="",":",VLOOKUP($E$152,[1]UG!$A$2:$FA$69, 16, FALSE))</f>
        <v>160.72999999999999</v>
      </c>
      <c r="R152" s="544">
        <f>IF(VLOOKUP($E$152,[1]UG!$A$2:$FA$69, 17, FALSE)="",":",VLOOKUP($E$152,[1]UG!$A$2:$FA$69, 17, FALSE))</f>
        <v>168.02</v>
      </c>
      <c r="S152" s="544">
        <f>IF(VLOOKUP($E$152,[1]UG!$A$2:$FA$69, 18, FALSE)="",":",VLOOKUP($E$152,[1]UG!$A$2:$FA$69, 18, FALSE))</f>
        <v>192.32</v>
      </c>
      <c r="T152" s="544">
        <f>IF(VLOOKUP($E$152,[1]UG!$A$2:$FA$69, 19, FALSE)="",":",VLOOKUP($E$152,[1]UG!$A$2:$FA$69, 19, FALSE))</f>
        <v>214.12</v>
      </c>
      <c r="U152" s="544">
        <f>IF(VLOOKUP($E$152,[1]UG!$A$2:$FA$69, 20, FALSE)="",":",VLOOKUP($E$152,[1]UG!$A$2:$FA$69, 20, FALSE))</f>
        <v>333.22</v>
      </c>
      <c r="V152" s="544">
        <f>IF(VLOOKUP($E$152,[1]UG!$A$2:$FA$69, 21, FALSE)="",":",VLOOKUP($E$152,[1]UG!$A$2:$FA$69, 21, FALSE))</f>
        <v>509.88</v>
      </c>
      <c r="W152" s="544">
        <f>IF(VLOOKUP($E$152,[1]UG!$A$2:$FA$69, 22, FALSE)="",":",VLOOKUP($E$152,[1]UG!$A$2:$FA$69, 22, FALSE))</f>
        <v>575.66999999999996</v>
      </c>
      <c r="X152" s="544">
        <f>IF(VLOOKUP($E$152,[1]UG!$A$2:$FA$69, 23, FALSE)="",":",VLOOKUP($E$152,[1]UG!$A$2:$FA$69, 23, FALSE))</f>
        <v>658.58</v>
      </c>
      <c r="Y152" s="544">
        <f>IF(VLOOKUP($E$152,[1]UG!$A$2:$FA$69, 24, FALSE)="",":",VLOOKUP($E$152,[1]UG!$A$2:$FA$69, 24, FALSE))</f>
        <v>614.82000000000005</v>
      </c>
      <c r="Z152" s="544">
        <f>IF(VLOOKUP($E$152,[1]UG!$A$2:$FA$69, 25, FALSE)="",":",VLOOKUP($E$152,[1]UG!$A$2:$FA$69, 25, FALSE))</f>
        <v>586.77</v>
      </c>
      <c r="AA152" s="544">
        <f>IF(VLOOKUP($E$152,[1]UG!$A$2:$FA$69, 26, FALSE)="",":",VLOOKUP($E$152,[1]UG!$A$2:$FA$69, 26, FALSE))</f>
        <v>568.69000000000005</v>
      </c>
      <c r="AB152" s="544">
        <f>IF(VLOOKUP($E$152,[1]UG!$A$2:$FA$69, 27, FALSE)="",":",VLOOKUP($E$152,[1]UG!$A$2:$FA$69, 27, FALSE))</f>
        <v>516.78</v>
      </c>
      <c r="AC152" s="544" t="str">
        <f>IF(VLOOKUP($E$152,[1]UG!$A$2:$FA$69, 28, FALSE)="",":",VLOOKUP($E$152,[1]UG!$A$2:$FA$69, 28, FALSE))</f>
        <v>:</v>
      </c>
      <c r="AD152" s="544" t="str">
        <f>IF(VLOOKUP($E$152,[1]UG!$A$2:$FA$69, 29, FALSE)="",":",VLOOKUP($E$152,[1]UG!$A$2:$FA$69, 29, FALSE))</f>
        <v>:</v>
      </c>
      <c r="AE152" s="544" t="str">
        <f>IF(VLOOKUP($E$152,[1]UG!$A$2:$FA$69, 30, FALSE)="",":",VLOOKUP($E$152,[1]UG!$A$2:$FA$69, 30, FALSE))</f>
        <v>:</v>
      </c>
      <c r="AF152" s="544" t="str">
        <f>IF(VLOOKUP($E$152,[1]UG!$A$2:$FA$69, 31, FALSE)="",":",VLOOKUP($E$152,[1]UG!$A$2:$FA$69, 31, FALSE))</f>
        <v>:</v>
      </c>
    </row>
    <row r="153" spans="1:32">
      <c r="A153" s="533">
        <v>122</v>
      </c>
      <c r="B153" s="534" t="s">
        <v>846</v>
      </c>
      <c r="C153" s="535" t="s">
        <v>2093</v>
      </c>
      <c r="D153" s="12" t="s">
        <v>1214</v>
      </c>
      <c r="E153" s="13">
        <v>19</v>
      </c>
      <c r="F153" s="14" t="str">
        <f>VLOOKUP($E$153,[1]UG!$A$2:$FA$69, 3, FALSE)</f>
        <v>19 Interest D.41p</v>
      </c>
      <c r="G153" s="544">
        <f>IF(VLOOKUP($E$153,[1]UG!$A$2:$FA$69, 6, FALSE)="",":",VLOOKUP($E$153,[1]UG!$A$2:$FA$69, 6, FALSE))</f>
        <v>26.94</v>
      </c>
      <c r="H153" s="544">
        <f>IF(VLOOKUP($E$153,[1]UG!$A$2:$FA$69, 7, FALSE)="",":",VLOOKUP($E$153,[1]UG!$A$2:$FA$69, 7, FALSE))</f>
        <v>80.97</v>
      </c>
      <c r="I153" s="544">
        <f>IF(VLOOKUP($E$153,[1]UG!$A$2:$FA$69, 8, FALSE)="",":",VLOOKUP($E$153,[1]UG!$A$2:$FA$69, 8, FALSE))</f>
        <v>85.84</v>
      </c>
      <c r="J153" s="544">
        <f>IF(VLOOKUP($E$153,[1]UG!$A$2:$FA$69, 9, FALSE)="",":",VLOOKUP($E$153,[1]UG!$A$2:$FA$69, 9, FALSE))</f>
        <v>147.53</v>
      </c>
      <c r="K153" s="544">
        <f>IF(VLOOKUP($E$153,[1]UG!$A$2:$FA$69, 10, FALSE)="",":",VLOOKUP($E$153,[1]UG!$A$2:$FA$69, 10, FALSE))</f>
        <v>186.94</v>
      </c>
      <c r="L153" s="544">
        <f>IF(VLOOKUP($E$153,[1]UG!$A$2:$FA$69, 11, FALSE)="",":",VLOOKUP($E$153,[1]UG!$A$2:$FA$69, 11, FALSE))</f>
        <v>231.7</v>
      </c>
      <c r="M153" s="544">
        <f>IF(VLOOKUP($E$153,[1]UG!$A$2:$FA$69, 12, FALSE)="",":",VLOOKUP($E$153,[1]UG!$A$2:$FA$69, 12, FALSE))</f>
        <v>213.52</v>
      </c>
      <c r="N153" s="544">
        <f>IF(VLOOKUP($E$153,[1]UG!$A$2:$FA$69, 13, FALSE)="",":",VLOOKUP($E$153,[1]UG!$A$2:$FA$69, 13, FALSE))</f>
        <v>198.41</v>
      </c>
      <c r="O153" s="544">
        <f>IF(VLOOKUP($E$153,[1]UG!$A$2:$FA$69, 14, FALSE)="",":",VLOOKUP($E$153,[1]UG!$A$2:$FA$69, 14, FALSE))</f>
        <v>205.81</v>
      </c>
      <c r="P153" s="544">
        <f>IF(VLOOKUP($E$153,[1]UG!$A$2:$FA$69, 15, FALSE)="",":",VLOOKUP($E$153,[1]UG!$A$2:$FA$69, 15, FALSE))</f>
        <v>163.71</v>
      </c>
      <c r="Q153" s="544">
        <f>IF(VLOOKUP($E$153,[1]UG!$A$2:$FA$69, 16, FALSE)="",":",VLOOKUP($E$153,[1]UG!$A$2:$FA$69, 16, FALSE))</f>
        <v>160.72</v>
      </c>
      <c r="R153" s="544">
        <f>IF(VLOOKUP($E$153,[1]UG!$A$2:$FA$69, 17, FALSE)="",":",VLOOKUP($E$153,[1]UG!$A$2:$FA$69, 17, FALSE))</f>
        <v>168.01</v>
      </c>
      <c r="S153" s="544">
        <f>IF(VLOOKUP($E$153,[1]UG!$A$2:$FA$69, 18, FALSE)="",":",VLOOKUP($E$153,[1]UG!$A$2:$FA$69, 18, FALSE))</f>
        <v>192.31</v>
      </c>
      <c r="T153" s="544">
        <f>IF(VLOOKUP($E$153,[1]UG!$A$2:$FA$69, 19, FALSE)="",":",VLOOKUP($E$153,[1]UG!$A$2:$FA$69, 19, FALSE))</f>
        <v>214.1</v>
      </c>
      <c r="U153" s="544">
        <f>IF(VLOOKUP($E$153,[1]UG!$A$2:$FA$69, 20, FALSE)="",":",VLOOKUP($E$153,[1]UG!$A$2:$FA$69, 20, FALSE))</f>
        <v>333.2</v>
      </c>
      <c r="V153" s="544">
        <f>IF(VLOOKUP($E$153,[1]UG!$A$2:$FA$69, 21, FALSE)="",":",VLOOKUP($E$153,[1]UG!$A$2:$FA$69, 21, FALSE))</f>
        <v>509.86</v>
      </c>
      <c r="W153" s="544">
        <f>IF(VLOOKUP($E$153,[1]UG!$A$2:$FA$69, 22, FALSE)="",":",VLOOKUP($E$153,[1]UG!$A$2:$FA$69, 22, FALSE))</f>
        <v>575.65</v>
      </c>
      <c r="X153" s="544">
        <f>IF(VLOOKUP($E$153,[1]UG!$A$2:$FA$69, 23, FALSE)="",":",VLOOKUP($E$153,[1]UG!$A$2:$FA$69, 23, FALSE))</f>
        <v>658.57</v>
      </c>
      <c r="Y153" s="544">
        <f>IF(VLOOKUP($E$153,[1]UG!$A$2:$FA$69, 24, FALSE)="",":",VLOOKUP($E$153,[1]UG!$A$2:$FA$69, 24, FALSE))</f>
        <v>614.80999999999995</v>
      </c>
      <c r="Z153" s="544">
        <f>IF(VLOOKUP($E$153,[1]UG!$A$2:$FA$69, 25, FALSE)="",":",VLOOKUP($E$153,[1]UG!$A$2:$FA$69, 25, FALSE))</f>
        <v>586.76</v>
      </c>
      <c r="AA153" s="544">
        <f>IF(VLOOKUP($E$153,[1]UG!$A$2:$FA$69, 26, FALSE)="",":",VLOOKUP($E$153,[1]UG!$A$2:$FA$69, 26, FALSE))</f>
        <v>568.67999999999995</v>
      </c>
      <c r="AB153" s="544">
        <f>IF(VLOOKUP($E$153,[1]UG!$A$2:$FA$69, 27, FALSE)="",":",VLOOKUP($E$153,[1]UG!$A$2:$FA$69, 27, FALSE))</f>
        <v>516.77</v>
      </c>
      <c r="AC153" s="544" t="str">
        <f>IF(VLOOKUP($E$153,[1]UG!$A$2:$FA$69, 28, FALSE)="",":",VLOOKUP($E$153,[1]UG!$A$2:$FA$69, 28, FALSE))</f>
        <v>:</v>
      </c>
      <c r="AD153" s="544" t="str">
        <f>IF(VLOOKUP($E$153,[1]UG!$A$2:$FA$69, 29, FALSE)="",":",VLOOKUP($E$153,[1]UG!$A$2:$FA$69, 29, FALSE))</f>
        <v>:</v>
      </c>
      <c r="AE153" s="544" t="str">
        <f>IF(VLOOKUP($E$153,[1]UG!$A$2:$FA$69, 30, FALSE)="",":",VLOOKUP($E$153,[1]UG!$A$2:$FA$69, 30, FALSE))</f>
        <v>:</v>
      </c>
      <c r="AF153" s="544" t="str">
        <f>IF(VLOOKUP($E$153,[1]UG!$A$2:$FA$69, 31, FALSE)="",":",VLOOKUP($E$153,[1]UG!$A$2:$FA$69, 31, FALSE))</f>
        <v>:</v>
      </c>
    </row>
    <row r="154" spans="1:32" s="540" customFormat="1">
      <c r="A154" s="536"/>
      <c r="B154" s="537" t="s">
        <v>854</v>
      </c>
      <c r="C154" s="538" t="s">
        <v>853</v>
      </c>
      <c r="D154" s="12"/>
      <c r="E154" s="529"/>
      <c r="F154" s="539"/>
      <c r="G154" s="545">
        <f>+G152-G153</f>
        <v>0</v>
      </c>
      <c r="H154" s="545">
        <f t="shared" ref="H154:AF154" si="7">+H152-H153</f>
        <v>0</v>
      </c>
      <c r="I154" s="545">
        <f t="shared" si="7"/>
        <v>0</v>
      </c>
      <c r="J154" s="545">
        <f t="shared" si="7"/>
        <v>0</v>
      </c>
      <c r="K154" s="545">
        <f t="shared" si="7"/>
        <v>0</v>
      </c>
      <c r="L154" s="545">
        <f t="shared" si="7"/>
        <v>0</v>
      </c>
      <c r="M154" s="545">
        <f t="shared" si="7"/>
        <v>0</v>
      </c>
      <c r="N154" s="545">
        <f t="shared" si="7"/>
        <v>0</v>
      </c>
      <c r="O154" s="545">
        <f t="shared" si="7"/>
        <v>0</v>
      </c>
      <c r="P154" s="545">
        <f t="shared" si="7"/>
        <v>9.9999999999909051E-3</v>
      </c>
      <c r="Q154" s="545">
        <f t="shared" si="7"/>
        <v>9.9999999999909051E-3</v>
      </c>
      <c r="R154" s="545">
        <f t="shared" si="7"/>
        <v>1.0000000000019327E-2</v>
      </c>
      <c r="S154" s="545">
        <f t="shared" si="7"/>
        <v>9.9999999999909051E-3</v>
      </c>
      <c r="T154" s="545">
        <f t="shared" si="7"/>
        <v>2.0000000000010232E-2</v>
      </c>
      <c r="U154" s="545">
        <f t="shared" si="7"/>
        <v>2.0000000000038654E-2</v>
      </c>
      <c r="V154" s="545">
        <f t="shared" si="7"/>
        <v>1.999999999998181E-2</v>
      </c>
      <c r="W154" s="545">
        <f t="shared" si="7"/>
        <v>1.999999999998181E-2</v>
      </c>
      <c r="X154" s="545">
        <f t="shared" si="7"/>
        <v>9.9999999999909051E-3</v>
      </c>
      <c r="Y154" s="545">
        <f t="shared" si="7"/>
        <v>1.0000000000104592E-2</v>
      </c>
      <c r="Z154" s="545">
        <f t="shared" si="7"/>
        <v>9.9999999999909051E-3</v>
      </c>
      <c r="AA154" s="545">
        <f t="shared" si="7"/>
        <v>1.0000000000104592E-2</v>
      </c>
      <c r="AB154" s="545">
        <f t="shared" si="7"/>
        <v>9.9999999999909051E-3</v>
      </c>
      <c r="AC154" s="545" t="e">
        <f t="shared" si="7"/>
        <v>#VALUE!</v>
      </c>
      <c r="AD154" s="545" t="e">
        <f t="shared" si="7"/>
        <v>#VALUE!</v>
      </c>
      <c r="AE154" s="545" t="e">
        <f t="shared" si="7"/>
        <v>#VALUE!</v>
      </c>
      <c r="AF154" s="545" t="e">
        <f t="shared" si="7"/>
        <v>#VALUE!</v>
      </c>
    </row>
    <row r="155" spans="1:32">
      <c r="A155" s="533"/>
      <c r="B155" s="534"/>
      <c r="C155" s="535"/>
      <c r="D155" s="12"/>
      <c r="E155" s="13"/>
      <c r="F155" s="14"/>
      <c r="G155" s="544"/>
      <c r="H155" s="544"/>
      <c r="I155" s="544"/>
      <c r="J155" s="544"/>
      <c r="K155" s="544"/>
      <c r="L155" s="544"/>
      <c r="M155" s="544"/>
      <c r="N155" s="544"/>
      <c r="O155" s="544"/>
      <c r="P155" s="544"/>
      <c r="Q155" s="544"/>
      <c r="R155" s="544"/>
      <c r="S155" s="544"/>
      <c r="T155" s="544"/>
      <c r="U155" s="544"/>
      <c r="V155" s="544"/>
      <c r="W155" s="544"/>
      <c r="X155" s="544"/>
      <c r="Y155" s="544"/>
      <c r="Z155" s="544"/>
      <c r="AA155" s="544"/>
      <c r="AB155" s="544"/>
      <c r="AC155" s="544"/>
      <c r="AD155" s="544"/>
      <c r="AE155" s="544"/>
      <c r="AF155" s="544"/>
    </row>
    <row r="156" spans="1:32">
      <c r="A156" s="533">
        <v>114</v>
      </c>
      <c r="B156" s="534" t="s">
        <v>1803</v>
      </c>
      <c r="C156" s="535" t="s">
        <v>2089</v>
      </c>
      <c r="D156" s="12" t="s">
        <v>1214</v>
      </c>
      <c r="E156" s="13">
        <v>22</v>
      </c>
      <c r="F156" s="14" t="str">
        <f>VLOOKUP($E$156,[1]UG!$A$2:$FA$69, 3, FALSE)</f>
        <v>22 Current taxes on income and wealth, receivable D.5r</v>
      </c>
      <c r="G156" s="544">
        <f>IF(VLOOKUP($E$156,[1]UG!$A$2:$FA$69, 6, FALSE)="",":",VLOOKUP($E$156,[1]UG!$A$2:$FA$69, 6, FALSE))</f>
        <v>652.82000000000005</v>
      </c>
      <c r="H156" s="544">
        <f>IF(VLOOKUP($E$156,[1]UG!$A$2:$FA$69, 7, FALSE)="",":",VLOOKUP($E$156,[1]UG!$A$2:$FA$69, 7, FALSE))</f>
        <v>777.39</v>
      </c>
      <c r="I156" s="544">
        <f>IF(VLOOKUP($E$156,[1]UG!$A$2:$FA$69, 8, FALSE)="",":",VLOOKUP($E$156,[1]UG!$A$2:$FA$69, 8, FALSE))</f>
        <v>1025.21</v>
      </c>
      <c r="J156" s="544">
        <f>IF(VLOOKUP($E$156,[1]UG!$A$2:$FA$69, 9, FALSE)="",":",VLOOKUP($E$156,[1]UG!$A$2:$FA$69, 9, FALSE))</f>
        <v>1170.3900000000001</v>
      </c>
      <c r="K156" s="544">
        <f>IF(VLOOKUP($E$156,[1]UG!$A$2:$FA$69, 10, FALSE)="",":",VLOOKUP($E$156,[1]UG!$A$2:$FA$69, 10, FALSE))</f>
        <v>1159.6099999999999</v>
      </c>
      <c r="L156" s="544">
        <f>IF(VLOOKUP($E$156,[1]UG!$A$2:$FA$69, 11, FALSE)="",":",VLOOKUP($E$156,[1]UG!$A$2:$FA$69, 11, FALSE))</f>
        <v>1118.5</v>
      </c>
      <c r="M156" s="544">
        <f>IF(VLOOKUP($E$156,[1]UG!$A$2:$FA$69, 12, FALSE)="",":",VLOOKUP($E$156,[1]UG!$A$2:$FA$69, 12, FALSE))</f>
        <v>1101.47</v>
      </c>
      <c r="N156" s="544">
        <f>IF(VLOOKUP($E$156,[1]UG!$A$2:$FA$69, 13, FALSE)="",":",VLOOKUP($E$156,[1]UG!$A$2:$FA$69, 13, FALSE))</f>
        <v>1128.1500000000001</v>
      </c>
      <c r="O156" s="544">
        <f>IF(VLOOKUP($E$156,[1]UG!$A$2:$FA$69, 14, FALSE)="",":",VLOOKUP($E$156,[1]UG!$A$2:$FA$69, 14, FALSE))</f>
        <v>1313.76</v>
      </c>
      <c r="P156" s="544">
        <f>IF(VLOOKUP($E$156,[1]UG!$A$2:$FA$69, 15, FALSE)="",":",VLOOKUP($E$156,[1]UG!$A$2:$FA$69, 15, FALSE))</f>
        <v>1578.97</v>
      </c>
      <c r="Q156" s="544">
        <f>IF(VLOOKUP($E$156,[1]UG!$A$2:$FA$69, 16, FALSE)="",":",VLOOKUP($E$156,[1]UG!$A$2:$FA$69, 16, FALSE))</f>
        <v>1878.48</v>
      </c>
      <c r="R156" s="544">
        <f>IF(VLOOKUP($E$156,[1]UG!$A$2:$FA$69, 17, FALSE)="",":",VLOOKUP($E$156,[1]UG!$A$2:$FA$69, 17, FALSE))</f>
        <v>2299.4699999999998</v>
      </c>
      <c r="S156" s="544">
        <f>IF(VLOOKUP($E$156,[1]UG!$A$2:$FA$69, 18, FALSE)="",":",VLOOKUP($E$156,[1]UG!$A$2:$FA$69, 18, FALSE))</f>
        <v>2633.69</v>
      </c>
      <c r="T156" s="544">
        <f>IF(VLOOKUP($E$156,[1]UG!$A$2:$FA$69, 19, FALSE)="",":",VLOOKUP($E$156,[1]UG!$A$2:$FA$69, 19, FALSE))</f>
        <v>3016.6</v>
      </c>
      <c r="U156" s="544">
        <f>IF(VLOOKUP($E$156,[1]UG!$A$2:$FA$69, 20, FALSE)="",":",VLOOKUP($E$156,[1]UG!$A$2:$FA$69, 20, FALSE))</f>
        <v>1598.31</v>
      </c>
      <c r="V156" s="544">
        <f>IF(VLOOKUP($E$156,[1]UG!$A$2:$FA$69, 21, FALSE)="",":",VLOOKUP($E$156,[1]UG!$A$2:$FA$69, 21, FALSE))</f>
        <v>1294.05</v>
      </c>
      <c r="W156" s="544">
        <f>IF(VLOOKUP($E$156,[1]UG!$A$2:$FA$69, 22, FALSE)="",":",VLOOKUP($E$156,[1]UG!$A$2:$FA$69, 22, FALSE))</f>
        <v>1359.08</v>
      </c>
      <c r="X156" s="544">
        <f>IF(VLOOKUP($E$156,[1]UG!$A$2:$FA$69, 23, FALSE)="",":",VLOOKUP($E$156,[1]UG!$A$2:$FA$69, 23, FALSE))</f>
        <v>1607.55</v>
      </c>
      <c r="Y156" s="544">
        <f>IF(VLOOKUP($E$156,[1]UG!$A$2:$FA$69, 24, FALSE)="",":",VLOOKUP($E$156,[1]UG!$A$2:$FA$69, 24, FALSE))</f>
        <v>1736.19</v>
      </c>
      <c r="Z156" s="544">
        <f>IF(VLOOKUP($E$156,[1]UG!$A$2:$FA$69, 25, FALSE)="",":",VLOOKUP($E$156,[1]UG!$A$2:$FA$69, 25, FALSE))</f>
        <v>1836.73</v>
      </c>
      <c r="AA156" s="544">
        <f>IF(VLOOKUP($E$156,[1]UG!$A$2:$FA$69, 26, FALSE)="",":",VLOOKUP($E$156,[1]UG!$A$2:$FA$69, 26, FALSE))</f>
        <v>2032.19</v>
      </c>
      <c r="AB156" s="544">
        <f>IF(VLOOKUP($E$156,[1]UG!$A$2:$FA$69, 27, FALSE)="",":",VLOOKUP($E$156,[1]UG!$A$2:$FA$69, 27, FALSE))</f>
        <v>2194.5</v>
      </c>
      <c r="AC156" s="544" t="str">
        <f>IF(VLOOKUP($E$156,[1]UG!$A$2:$FA$69, 28, FALSE)="",":",VLOOKUP($E$156,[1]UG!$A$2:$FA$69, 28, FALSE))</f>
        <v>:</v>
      </c>
      <c r="AD156" s="544" t="str">
        <f>IF(VLOOKUP($E$156,[1]UG!$A$2:$FA$69, 29, FALSE)="",":",VLOOKUP($E$156,[1]UG!$A$2:$FA$69, 29, FALSE))</f>
        <v>:</v>
      </c>
      <c r="AE156" s="544" t="str">
        <f>IF(VLOOKUP($E$156,[1]UG!$A$2:$FA$69, 30, FALSE)="",":",VLOOKUP($E$156,[1]UG!$A$2:$FA$69, 30, FALSE))</f>
        <v>:</v>
      </c>
      <c r="AF156" s="544" t="str">
        <f>IF(VLOOKUP($E$156,[1]UG!$A$2:$FA$69, 31, FALSE)="",":",VLOOKUP($E$156,[1]UG!$A$2:$FA$69, 31, FALSE))</f>
        <v>:</v>
      </c>
    </row>
    <row r="157" spans="1:32">
      <c r="A157" s="533"/>
      <c r="B157" s="534" t="s">
        <v>384</v>
      </c>
      <c r="C157" s="535" t="s">
        <v>2090</v>
      </c>
      <c r="D157" s="12" t="s">
        <v>1214</v>
      </c>
      <c r="E157" s="13">
        <v>27</v>
      </c>
      <c r="F157" s="14" t="str">
        <f>VLOOKUP($E$157,[1]UG!$A$2:$FA$69, 3, FALSE)</f>
        <v>27 Current taxes on income and wealth, payable D.5p</v>
      </c>
      <c r="G157" s="544">
        <f>IF(VLOOKUP($E$157,[1]UG!$A$2:$FA$69, 6, FALSE)="",":",VLOOKUP($E$157,[1]UG!$A$2:$FA$69, 6, FALSE))</f>
        <v>0</v>
      </c>
      <c r="H157" s="544">
        <f>IF(VLOOKUP($E$157,[1]UG!$A$2:$FA$69, 7, FALSE)="",":",VLOOKUP($E$157,[1]UG!$A$2:$FA$69, 7, FALSE))</f>
        <v>0</v>
      </c>
      <c r="I157" s="544">
        <f>IF(VLOOKUP($E$157,[1]UG!$A$2:$FA$69, 8, FALSE)="",":",VLOOKUP($E$157,[1]UG!$A$2:$FA$69, 8, FALSE))</f>
        <v>0</v>
      </c>
      <c r="J157" s="544">
        <f>IF(VLOOKUP($E$157,[1]UG!$A$2:$FA$69, 9, FALSE)="",":",VLOOKUP($E$157,[1]UG!$A$2:$FA$69, 9, FALSE))</f>
        <v>0</v>
      </c>
      <c r="K157" s="544">
        <f>IF(VLOOKUP($E$157,[1]UG!$A$2:$FA$69, 10, FALSE)="",":",VLOOKUP($E$157,[1]UG!$A$2:$FA$69, 10, FALSE))</f>
        <v>0</v>
      </c>
      <c r="L157" s="544">
        <f>IF(VLOOKUP($E$157,[1]UG!$A$2:$FA$69, 11, FALSE)="",":",VLOOKUP($E$157,[1]UG!$A$2:$FA$69, 11, FALSE))</f>
        <v>0</v>
      </c>
      <c r="M157" s="544">
        <f>IF(VLOOKUP($E$157,[1]UG!$A$2:$FA$69, 12, FALSE)="",":",VLOOKUP($E$157,[1]UG!$A$2:$FA$69, 12, FALSE))</f>
        <v>0</v>
      </c>
      <c r="N157" s="544">
        <f>IF(VLOOKUP($E$157,[1]UG!$A$2:$FA$69, 13, FALSE)="",":",VLOOKUP($E$157,[1]UG!$A$2:$FA$69, 13, FALSE))</f>
        <v>3.0000000000000002E-2</v>
      </c>
      <c r="O157" s="544">
        <f>IF(VLOOKUP($E$157,[1]UG!$A$2:$FA$69, 14, FALSE)="",":",VLOOKUP($E$157,[1]UG!$A$2:$FA$69, 14, FALSE))</f>
        <v>0.15000000000000002</v>
      </c>
      <c r="P157" s="544">
        <f>IF(VLOOKUP($E$157,[1]UG!$A$2:$FA$69, 15, FALSE)="",":",VLOOKUP($E$157,[1]UG!$A$2:$FA$69, 15, FALSE))</f>
        <v>0.32</v>
      </c>
      <c r="Q157" s="544">
        <f>IF(VLOOKUP($E$157,[1]UG!$A$2:$FA$69, 16, FALSE)="",":",VLOOKUP($E$157,[1]UG!$A$2:$FA$69, 16, FALSE))</f>
        <v>0.24000000000000002</v>
      </c>
      <c r="R157" s="544">
        <f>IF(VLOOKUP($E$157,[1]UG!$A$2:$FA$69, 17, FALSE)="",":",VLOOKUP($E$157,[1]UG!$A$2:$FA$69, 17, FALSE))</f>
        <v>0.94000000000000006</v>
      </c>
      <c r="S157" s="544">
        <f>IF(VLOOKUP($E$157,[1]UG!$A$2:$FA$69, 18, FALSE)="",":",VLOOKUP($E$157,[1]UG!$A$2:$FA$69, 18, FALSE))</f>
        <v>0.93</v>
      </c>
      <c r="T157" s="544">
        <f>IF(VLOOKUP($E$157,[1]UG!$A$2:$FA$69, 19, FALSE)="",":",VLOOKUP($E$157,[1]UG!$A$2:$FA$69, 19, FALSE))</f>
        <v>1.69</v>
      </c>
      <c r="U157" s="544">
        <f>IF(VLOOKUP($E$157,[1]UG!$A$2:$FA$69, 20, FALSE)="",":",VLOOKUP($E$157,[1]UG!$A$2:$FA$69, 20, FALSE))</f>
        <v>0.72000000000000008</v>
      </c>
      <c r="V157" s="544">
        <f>IF(VLOOKUP($E$157,[1]UG!$A$2:$FA$69, 21, FALSE)="",":",VLOOKUP($E$157,[1]UG!$A$2:$FA$69, 21, FALSE))</f>
        <v>0.30000000000000004</v>
      </c>
      <c r="W157" s="544">
        <f>IF(VLOOKUP($E$157,[1]UG!$A$2:$FA$69, 22, FALSE)="",":",VLOOKUP($E$157,[1]UG!$A$2:$FA$69, 22, FALSE))</f>
        <v>0.91</v>
      </c>
      <c r="X157" s="544">
        <f>IF(VLOOKUP($E$157,[1]UG!$A$2:$FA$69, 23, FALSE)="",":",VLOOKUP($E$157,[1]UG!$A$2:$FA$69, 23, FALSE))</f>
        <v>2.71</v>
      </c>
      <c r="Y157" s="544">
        <f>IF(VLOOKUP($E$157,[1]UG!$A$2:$FA$69, 24, FALSE)="",":",VLOOKUP($E$157,[1]UG!$A$2:$FA$69, 24, FALSE))</f>
        <v>1.42</v>
      </c>
      <c r="Z157" s="544">
        <f>IF(VLOOKUP($E$157,[1]UG!$A$2:$FA$69, 25, FALSE)="",":",VLOOKUP($E$157,[1]UG!$A$2:$FA$69, 25, FALSE))</f>
        <v>1.25</v>
      </c>
      <c r="AA157" s="544">
        <f>IF(VLOOKUP($E$157,[1]UG!$A$2:$FA$69, 26, FALSE)="",":",VLOOKUP($E$157,[1]UG!$A$2:$FA$69, 26, FALSE))</f>
        <v>1.22</v>
      </c>
      <c r="AB157" s="544">
        <f>IF(VLOOKUP($E$157,[1]UG!$A$2:$FA$69, 27, FALSE)="",":",VLOOKUP($E$157,[1]UG!$A$2:$FA$69, 27, FALSE))</f>
        <v>2.09</v>
      </c>
      <c r="AC157" s="544" t="str">
        <f>IF(VLOOKUP($E$157,[1]UG!$A$2:$FA$69, 28, FALSE)="",":",VLOOKUP($E$157,[1]UG!$A$2:$FA$69, 28, FALSE))</f>
        <v>:</v>
      </c>
      <c r="AD157" s="544" t="str">
        <f>IF(VLOOKUP($E$157,[1]UG!$A$2:$FA$69, 29, FALSE)="",":",VLOOKUP($E$157,[1]UG!$A$2:$FA$69, 29, FALSE))</f>
        <v>:</v>
      </c>
      <c r="AE157" s="544" t="str">
        <f>IF(VLOOKUP($E$157,[1]UG!$A$2:$FA$69, 30, FALSE)="",":",VLOOKUP($E$157,[1]UG!$A$2:$FA$69, 30, FALSE))</f>
        <v>:</v>
      </c>
      <c r="AF157" s="544" t="str">
        <f>IF(VLOOKUP($E$157,[1]UG!$A$2:$FA$69, 31, FALSE)="",":",VLOOKUP($E$157,[1]UG!$A$2:$FA$69, 31, FALSE))</f>
        <v>:</v>
      </c>
    </row>
    <row r="158" spans="1:32">
      <c r="A158" s="533"/>
      <c r="B158" s="534" t="s">
        <v>385</v>
      </c>
      <c r="C158" s="535" t="s">
        <v>1526</v>
      </c>
      <c r="D158" s="12" t="s">
        <v>1214</v>
      </c>
      <c r="E158" s="13">
        <v>25</v>
      </c>
      <c r="F158" s="14" t="str">
        <f>VLOOKUP($E$158,[1]UG!$A$2:$FA$69, 3, FALSE)</f>
        <v>25 Imputed social contributions D.612</v>
      </c>
      <c r="G158" s="544">
        <f>IF(VLOOKUP($E$158,[1]UG!$A$2:$FA$69, 6, FALSE)="",":",VLOOKUP($E$158,[1]UG!$A$2:$FA$69, 6, FALSE))</f>
        <v>1.24</v>
      </c>
      <c r="H158" s="544">
        <f>IF(VLOOKUP($E$158,[1]UG!$A$2:$FA$69, 7, FALSE)="",":",VLOOKUP($E$158,[1]UG!$A$2:$FA$69, 7, FALSE))</f>
        <v>1.69</v>
      </c>
      <c r="I158" s="544">
        <f>IF(VLOOKUP($E$158,[1]UG!$A$2:$FA$69, 8, FALSE)="",":",VLOOKUP($E$158,[1]UG!$A$2:$FA$69, 8, FALSE))</f>
        <v>2.13</v>
      </c>
      <c r="J158" s="544">
        <f>IF(VLOOKUP($E$158,[1]UG!$A$2:$FA$69, 9, FALSE)="",":",VLOOKUP($E$158,[1]UG!$A$2:$FA$69, 9, FALSE))</f>
        <v>2.7</v>
      </c>
      <c r="K158" s="544">
        <f>IF(VLOOKUP($E$158,[1]UG!$A$2:$FA$69, 10, FALSE)="",":",VLOOKUP($E$158,[1]UG!$A$2:$FA$69, 10, FALSE))</f>
        <v>2.8</v>
      </c>
      <c r="L158" s="544">
        <f>IF(VLOOKUP($E$158,[1]UG!$A$2:$FA$69, 11, FALSE)="",":",VLOOKUP($E$158,[1]UG!$A$2:$FA$69, 11, FALSE))</f>
        <v>2.6100000000000003</v>
      </c>
      <c r="M158" s="544">
        <f>IF(VLOOKUP($E$158,[1]UG!$A$2:$FA$69, 12, FALSE)="",":",VLOOKUP($E$158,[1]UG!$A$2:$FA$69, 12, FALSE))</f>
        <v>2.68</v>
      </c>
      <c r="N158" s="544">
        <f>IF(VLOOKUP($E$158,[1]UG!$A$2:$FA$69, 13, FALSE)="",":",VLOOKUP($E$158,[1]UG!$A$2:$FA$69, 13, FALSE))</f>
        <v>2.7800000000000002</v>
      </c>
      <c r="O158" s="544">
        <f>IF(VLOOKUP($E$158,[1]UG!$A$2:$FA$69, 14, FALSE)="",":",VLOOKUP($E$158,[1]UG!$A$2:$FA$69, 14, FALSE))</f>
        <v>2.89</v>
      </c>
      <c r="P158" s="544">
        <f>IF(VLOOKUP($E$158,[1]UG!$A$2:$FA$69, 15, FALSE)="",":",VLOOKUP($E$158,[1]UG!$A$2:$FA$69, 15, FALSE))</f>
        <v>52.05</v>
      </c>
      <c r="Q158" s="544">
        <f>IF(VLOOKUP($E$158,[1]UG!$A$2:$FA$69, 16, FALSE)="",":",VLOOKUP($E$158,[1]UG!$A$2:$FA$69, 16, FALSE))</f>
        <v>60.58</v>
      </c>
      <c r="R158" s="544">
        <f>IF(VLOOKUP($E$158,[1]UG!$A$2:$FA$69, 17, FALSE)="",":",VLOOKUP($E$158,[1]UG!$A$2:$FA$69, 17, FALSE))</f>
        <v>72.12</v>
      </c>
      <c r="S158" s="544">
        <f>IF(VLOOKUP($E$158,[1]UG!$A$2:$FA$69, 18, FALSE)="",":",VLOOKUP($E$158,[1]UG!$A$2:$FA$69, 18, FALSE))</f>
        <v>90.97</v>
      </c>
      <c r="T158" s="544">
        <f>IF(VLOOKUP($E$158,[1]UG!$A$2:$FA$69, 19, FALSE)="",":",VLOOKUP($E$158,[1]UG!$A$2:$FA$69, 19, FALSE))</f>
        <v>111.68</v>
      </c>
      <c r="U158" s="544">
        <f>IF(VLOOKUP($E$158,[1]UG!$A$2:$FA$69, 20, FALSE)="",":",VLOOKUP($E$158,[1]UG!$A$2:$FA$69, 20, FALSE))</f>
        <v>118.32</v>
      </c>
      <c r="V158" s="544">
        <f>IF(VLOOKUP($E$158,[1]UG!$A$2:$FA$69, 21, FALSE)="",":",VLOOKUP($E$158,[1]UG!$A$2:$FA$69, 21, FALSE))</f>
        <v>102.93</v>
      </c>
      <c r="W158" s="544">
        <f>IF(VLOOKUP($E$158,[1]UG!$A$2:$FA$69, 22, FALSE)="",":",VLOOKUP($E$158,[1]UG!$A$2:$FA$69, 22, FALSE))</f>
        <v>107.77</v>
      </c>
      <c r="X158" s="544">
        <f>IF(VLOOKUP($E$158,[1]UG!$A$2:$FA$69, 23, FALSE)="",":",VLOOKUP($E$158,[1]UG!$A$2:$FA$69, 23, FALSE))</f>
        <v>113.47</v>
      </c>
      <c r="Y158" s="544">
        <f>IF(VLOOKUP($E$158,[1]UG!$A$2:$FA$69, 24, FALSE)="",":",VLOOKUP($E$158,[1]UG!$A$2:$FA$69, 24, FALSE))</f>
        <v>98.51</v>
      </c>
      <c r="Z158" s="544">
        <f>IF(VLOOKUP($E$158,[1]UG!$A$2:$FA$69, 25, FALSE)="",":",VLOOKUP($E$158,[1]UG!$A$2:$FA$69, 25, FALSE))</f>
        <v>109.11</v>
      </c>
      <c r="AA158" s="544">
        <f>IF(VLOOKUP($E$158,[1]UG!$A$2:$FA$69, 26, FALSE)="",":",VLOOKUP($E$158,[1]UG!$A$2:$FA$69, 26, FALSE))</f>
        <v>116.24</v>
      </c>
      <c r="AB158" s="544">
        <f>IF(VLOOKUP($E$158,[1]UG!$A$2:$FA$69, 27, FALSE)="",":",VLOOKUP($E$158,[1]UG!$A$2:$FA$69, 27, FALSE))</f>
        <v>128.31</v>
      </c>
      <c r="AC158" s="544" t="str">
        <f>IF(VLOOKUP($E$158,[1]UG!$A$2:$FA$69, 28, FALSE)="",":",VLOOKUP($E$158,[1]UG!$A$2:$FA$69, 28, FALSE))</f>
        <v>:</v>
      </c>
      <c r="AD158" s="544" t="str">
        <f>IF(VLOOKUP($E$158,[1]UG!$A$2:$FA$69, 29, FALSE)="",":",VLOOKUP($E$158,[1]UG!$A$2:$FA$69, 29, FALSE))</f>
        <v>:</v>
      </c>
      <c r="AE158" s="544" t="str">
        <f>IF(VLOOKUP($E$158,[1]UG!$A$2:$FA$69, 30, FALSE)="",":",VLOOKUP($E$158,[1]UG!$A$2:$FA$69, 30, FALSE))</f>
        <v>:</v>
      </c>
      <c r="AF158" s="544" t="str">
        <f>IF(VLOOKUP($E$158,[1]UG!$A$2:$FA$69, 31, FALSE)="",":",VLOOKUP($E$158,[1]UG!$A$2:$FA$69, 31, FALSE))</f>
        <v>:</v>
      </c>
    </row>
    <row r="159" spans="1:32">
      <c r="A159" s="533">
        <v>116</v>
      </c>
      <c r="B159" s="534" t="s">
        <v>2006</v>
      </c>
      <c r="C159" s="1346" t="s">
        <v>2097</v>
      </c>
      <c r="D159" s="12" t="s">
        <v>1214</v>
      </c>
      <c r="E159" s="13">
        <v>24</v>
      </c>
      <c r="F159" s="14" t="str">
        <f>VLOOKUP($E$159,[1]UG!$A$2:$FA$69, 3, FALSE)</f>
        <v>24 Actual social contributions D.611r</v>
      </c>
      <c r="G159" s="544">
        <f>IF(VLOOKUP($E$159,[1]UG!$A$2:$FA$69, 6, FALSE)="",":",VLOOKUP($E$159,[1]UG!$A$2:$FA$69, 6, FALSE))</f>
        <v>559.20000000000005</v>
      </c>
      <c r="H159" s="544">
        <f>IF(VLOOKUP($E$159,[1]UG!$A$2:$FA$69, 7, FALSE)="",":",VLOOKUP($E$159,[1]UG!$A$2:$FA$69, 7, FALSE))</f>
        <v>746.58</v>
      </c>
      <c r="I159" s="544">
        <f>IF(VLOOKUP($E$159,[1]UG!$A$2:$FA$69, 8, FALSE)="",":",VLOOKUP($E$159,[1]UG!$A$2:$FA$69, 8, FALSE))</f>
        <v>1052.33</v>
      </c>
      <c r="J159" s="544">
        <f>IF(VLOOKUP($E$159,[1]UG!$A$2:$FA$69, 9, FALSE)="",":",VLOOKUP($E$159,[1]UG!$A$2:$FA$69, 9, FALSE))</f>
        <v>1300.3599999999999</v>
      </c>
      <c r="K159" s="544">
        <f>IF(VLOOKUP($E$159,[1]UG!$A$2:$FA$69, 10, FALSE)="",":",VLOOKUP($E$159,[1]UG!$A$2:$FA$69, 10, FALSE))</f>
        <v>1284.43</v>
      </c>
      <c r="L159" s="544">
        <f>IF(VLOOKUP($E$159,[1]UG!$A$2:$FA$69, 11, FALSE)="",":",VLOOKUP($E$159,[1]UG!$A$2:$FA$69, 11, FALSE))</f>
        <v>1362.28</v>
      </c>
      <c r="M159" s="544">
        <f>IF(VLOOKUP($E$159,[1]UG!$A$2:$FA$69, 12, FALSE)="",":",VLOOKUP($E$159,[1]UG!$A$2:$FA$69, 12, FALSE))</f>
        <v>1376.43</v>
      </c>
      <c r="N159" s="544">
        <f>IF(VLOOKUP($E$159,[1]UG!$A$2:$FA$69, 13, FALSE)="",":",VLOOKUP($E$159,[1]UG!$A$2:$FA$69, 13, FALSE))</f>
        <v>1422.43</v>
      </c>
      <c r="O159" s="544">
        <f>IF(VLOOKUP($E$159,[1]UG!$A$2:$FA$69, 14, FALSE)="",":",VLOOKUP($E$159,[1]UG!$A$2:$FA$69, 14, FALSE))</f>
        <v>1532.71</v>
      </c>
      <c r="P159" s="544">
        <f>IF(VLOOKUP($E$159,[1]UG!$A$2:$FA$69, 15, FALSE)="",":",VLOOKUP($E$159,[1]UG!$A$2:$FA$69, 15, FALSE))</f>
        <v>1664.25</v>
      </c>
      <c r="Q159" s="544">
        <f>IF(VLOOKUP($E$159,[1]UG!$A$2:$FA$69, 16, FALSE)="",":",VLOOKUP($E$159,[1]UG!$A$2:$FA$69, 16, FALSE))</f>
        <v>1865.49</v>
      </c>
      <c r="R159" s="544">
        <f>IF(VLOOKUP($E$159,[1]UG!$A$2:$FA$69, 17, FALSE)="",":",VLOOKUP($E$159,[1]UG!$A$2:$FA$69, 17, FALSE))</f>
        <v>2197.75</v>
      </c>
      <c r="S159" s="544">
        <f>IF(VLOOKUP($E$159,[1]UG!$A$2:$FA$69, 18, FALSE)="",":",VLOOKUP($E$159,[1]UG!$A$2:$FA$69, 18, FALSE))</f>
        <v>2645.81</v>
      </c>
      <c r="T159" s="544">
        <f>IF(VLOOKUP($E$159,[1]UG!$A$2:$FA$69, 19, FALSE)="",":",VLOOKUP($E$159,[1]UG!$A$2:$FA$69, 19, FALSE))</f>
        <v>3114.79</v>
      </c>
      <c r="U159" s="544">
        <f>IF(VLOOKUP($E$159,[1]UG!$A$2:$FA$69, 20, FALSE)="",":",VLOOKUP($E$159,[1]UG!$A$2:$FA$69, 20, FALSE))</f>
        <v>3403.01</v>
      </c>
      <c r="V159" s="544">
        <f>IF(VLOOKUP($E$159,[1]UG!$A$2:$FA$69, 21, FALSE)="",":",VLOOKUP($E$159,[1]UG!$A$2:$FA$69, 21, FALSE))</f>
        <v>3295.55</v>
      </c>
      <c r="W159" s="544">
        <f>IF(VLOOKUP($E$159,[1]UG!$A$2:$FA$69, 22, FALSE)="",":",VLOOKUP($E$159,[1]UG!$A$2:$FA$69, 22, FALSE))</f>
        <v>3475.62</v>
      </c>
      <c r="X159" s="544">
        <f>IF(VLOOKUP($E$159,[1]UG!$A$2:$FA$69, 23, FALSE)="",":",VLOOKUP($E$159,[1]UG!$A$2:$FA$69, 23, FALSE))</f>
        <v>3612.01</v>
      </c>
      <c r="Y159" s="544">
        <f>IF(VLOOKUP($E$159,[1]UG!$A$2:$FA$69, 24, FALSE)="",":",VLOOKUP($E$159,[1]UG!$A$2:$FA$69, 24, FALSE))</f>
        <v>3794.24</v>
      </c>
      <c r="Z159" s="544">
        <f>IF(VLOOKUP($E$159,[1]UG!$A$2:$FA$69, 25, FALSE)="",":",VLOOKUP($E$159,[1]UG!$A$2:$FA$69, 25, FALSE))</f>
        <v>4064.62</v>
      </c>
      <c r="AA159" s="544">
        <f>IF(VLOOKUP($E$159,[1]UG!$A$2:$FA$69, 26, FALSE)="",":",VLOOKUP($E$159,[1]UG!$A$2:$FA$69, 26, FALSE))</f>
        <v>4340.1000000000004</v>
      </c>
      <c r="AB159" s="544">
        <f>IF(VLOOKUP($E$159,[1]UG!$A$2:$FA$69, 27, FALSE)="",":",VLOOKUP($E$159,[1]UG!$A$2:$FA$69, 27, FALSE))</f>
        <v>4715.79</v>
      </c>
      <c r="AC159" s="544" t="str">
        <f>IF(VLOOKUP($E$159,[1]UG!$A$2:$FA$69, 28, FALSE)="",":",VLOOKUP($E$159,[1]UG!$A$2:$FA$69, 28, FALSE))</f>
        <v>:</v>
      </c>
      <c r="AD159" s="544" t="str">
        <f>IF(VLOOKUP($E$159,[1]UG!$A$2:$FA$69, 29, FALSE)="",":",VLOOKUP($E$159,[1]UG!$A$2:$FA$69, 29, FALSE))</f>
        <v>:</v>
      </c>
      <c r="AE159" s="544" t="str">
        <f>IF(VLOOKUP($E$159,[1]UG!$A$2:$FA$69, 30, FALSE)="",":",VLOOKUP($E$159,[1]UG!$A$2:$FA$69, 30, FALSE))</f>
        <v>:</v>
      </c>
      <c r="AF159" s="544" t="str">
        <f>IF(VLOOKUP($E$159,[1]UG!$A$2:$FA$69, 31, FALSE)="",":",VLOOKUP($E$159,[1]UG!$A$2:$FA$69, 31, FALSE))</f>
        <v>:</v>
      </c>
    </row>
    <row r="160" spans="1:32">
      <c r="A160" s="533">
        <v>121</v>
      </c>
      <c r="B160" s="534" t="s">
        <v>844</v>
      </c>
      <c r="C160" s="535" t="s">
        <v>1208</v>
      </c>
      <c r="D160" s="12" t="s">
        <v>1214</v>
      </c>
      <c r="E160" s="13">
        <v>28</v>
      </c>
      <c r="F160" s="14" t="str">
        <f>VLOOKUP($E$160,[1]UG!$A$2:$FA$69, 3, FALSE)</f>
        <v>28 Social benefits other than social transfers in kind, payable D.62p</v>
      </c>
      <c r="G160" s="544">
        <f>IF(VLOOKUP($E$160,[1]UG!$A$2:$FA$69, 6, FALSE)="",":",VLOOKUP($E$160,[1]UG!$A$2:$FA$69, 6, FALSE))</f>
        <v>634.55999999999995</v>
      </c>
      <c r="H160" s="544">
        <f>IF(VLOOKUP($E$160,[1]UG!$A$2:$FA$69, 7, FALSE)="",":",VLOOKUP($E$160,[1]UG!$A$2:$FA$69, 7, FALSE))</f>
        <v>833.56</v>
      </c>
      <c r="I160" s="544">
        <f>IF(VLOOKUP($E$160,[1]UG!$A$2:$FA$69, 8, FALSE)="",":",VLOOKUP($E$160,[1]UG!$A$2:$FA$69, 8, FALSE))</f>
        <v>1130.78</v>
      </c>
      <c r="J160" s="544">
        <f>IF(VLOOKUP($E$160,[1]UG!$A$2:$FA$69, 9, FALSE)="",":",VLOOKUP($E$160,[1]UG!$A$2:$FA$69, 9, FALSE))</f>
        <v>1411.49</v>
      </c>
      <c r="K160" s="544">
        <f>IF(VLOOKUP($E$160,[1]UG!$A$2:$FA$69, 10, FALSE)="",":",VLOOKUP($E$160,[1]UG!$A$2:$FA$69, 10, FALSE))</f>
        <v>1551.27</v>
      </c>
      <c r="L160" s="544">
        <f>IF(VLOOKUP($E$160,[1]UG!$A$2:$FA$69, 11, FALSE)="",":",VLOOKUP($E$160,[1]UG!$A$2:$FA$69, 11, FALSE))</f>
        <v>1534.94</v>
      </c>
      <c r="M160" s="544">
        <f>IF(VLOOKUP($E$160,[1]UG!$A$2:$FA$69, 12, FALSE)="",":",VLOOKUP($E$160,[1]UG!$A$2:$FA$69, 12, FALSE))</f>
        <v>1601.96</v>
      </c>
      <c r="N160" s="544">
        <f>IF(VLOOKUP($E$160,[1]UG!$A$2:$FA$69, 13, FALSE)="",":",VLOOKUP($E$160,[1]UG!$A$2:$FA$69, 13, FALSE))</f>
        <v>1518.59</v>
      </c>
      <c r="O160" s="544">
        <f>IF(VLOOKUP($E$160,[1]UG!$A$2:$FA$69, 14, FALSE)="",":",VLOOKUP($E$160,[1]UG!$A$2:$FA$69, 14, FALSE))</f>
        <v>1629.16</v>
      </c>
      <c r="P160" s="544">
        <f>IF(VLOOKUP($E$160,[1]UG!$A$2:$FA$69, 15, FALSE)="",":",VLOOKUP($E$160,[1]UG!$A$2:$FA$69, 15, FALSE))</f>
        <v>1778.17</v>
      </c>
      <c r="Q160" s="544">
        <f>IF(VLOOKUP($E$160,[1]UG!$A$2:$FA$69, 16, FALSE)="",":",VLOOKUP($E$160,[1]UG!$A$2:$FA$69, 16, FALSE))</f>
        <v>1957.79</v>
      </c>
      <c r="R160" s="544">
        <f>IF(VLOOKUP($E$160,[1]UG!$A$2:$FA$69, 17, FALSE)="",":",VLOOKUP($E$160,[1]UG!$A$2:$FA$69, 17, FALSE))</f>
        <v>2208.4899999999998</v>
      </c>
      <c r="S160" s="544">
        <f>IF(VLOOKUP($E$160,[1]UG!$A$2:$FA$69, 18, FALSE)="",":",VLOOKUP($E$160,[1]UG!$A$2:$FA$69, 18, FALSE))</f>
        <v>2805.12</v>
      </c>
      <c r="T160" s="544">
        <f>IF(VLOOKUP($E$160,[1]UG!$A$2:$FA$69, 19, FALSE)="",":",VLOOKUP($E$160,[1]UG!$A$2:$FA$69, 19, FALSE))</f>
        <v>3756.45</v>
      </c>
      <c r="U160" s="544">
        <f>IF(VLOOKUP($E$160,[1]UG!$A$2:$FA$69, 20, FALSE)="",":",VLOOKUP($E$160,[1]UG!$A$2:$FA$69, 20, FALSE))</f>
        <v>4354.76</v>
      </c>
      <c r="V160" s="544">
        <f>IF(VLOOKUP($E$160,[1]UG!$A$2:$FA$69, 21, FALSE)="",":",VLOOKUP($E$160,[1]UG!$A$2:$FA$69, 21, FALSE))</f>
        <v>4008.98</v>
      </c>
      <c r="W160" s="544">
        <f>IF(VLOOKUP($E$160,[1]UG!$A$2:$FA$69, 22, FALSE)="",":",VLOOKUP($E$160,[1]UG!$A$2:$FA$69, 22, FALSE))</f>
        <v>3903.22</v>
      </c>
      <c r="X160" s="544">
        <f>IF(VLOOKUP($E$160,[1]UG!$A$2:$FA$69, 23, FALSE)="",":",VLOOKUP($E$160,[1]UG!$A$2:$FA$69, 23, FALSE))</f>
        <v>3988.42</v>
      </c>
      <c r="Y160" s="544">
        <f>IF(VLOOKUP($E$160,[1]UG!$A$2:$FA$69, 24, FALSE)="",":",VLOOKUP($E$160,[1]UG!$A$2:$FA$69, 24, FALSE))</f>
        <v>3954.35</v>
      </c>
      <c r="Z160" s="544">
        <f>IF(VLOOKUP($E$160,[1]UG!$A$2:$FA$69, 25, FALSE)="",":",VLOOKUP($E$160,[1]UG!$A$2:$FA$69, 25, FALSE))</f>
        <v>3967.7</v>
      </c>
      <c r="AA160" s="544">
        <f>IF(VLOOKUP($E$160,[1]UG!$A$2:$FA$69, 26, FALSE)="",":",VLOOKUP($E$160,[1]UG!$A$2:$FA$69, 26, FALSE))</f>
        <v>4054.05</v>
      </c>
      <c r="AB160" s="544">
        <f>IF(VLOOKUP($E$160,[1]UG!$A$2:$FA$69, 27, FALSE)="",":",VLOOKUP($E$160,[1]UG!$A$2:$FA$69, 27, FALSE))</f>
        <v>4260.17</v>
      </c>
      <c r="AC160" s="544" t="str">
        <f>IF(VLOOKUP($E$160,[1]UG!$A$2:$FA$69, 28, FALSE)="",":",VLOOKUP($E$160,[1]UG!$A$2:$FA$69, 28, FALSE))</f>
        <v>:</v>
      </c>
      <c r="AD160" s="544" t="str">
        <f>IF(VLOOKUP($E$160,[1]UG!$A$2:$FA$69, 29, FALSE)="",":",VLOOKUP($E$160,[1]UG!$A$2:$FA$69, 29, FALSE))</f>
        <v>:</v>
      </c>
      <c r="AE160" s="544" t="str">
        <f>IF(VLOOKUP($E$160,[1]UG!$A$2:$FA$69, 30, FALSE)="",":",VLOOKUP($E$160,[1]UG!$A$2:$FA$69, 30, FALSE))</f>
        <v>:</v>
      </c>
      <c r="AF160" s="544" t="str">
        <f>IF(VLOOKUP($E$160,[1]UG!$A$2:$FA$69, 31, FALSE)="",":",VLOOKUP($E$160,[1]UG!$A$2:$FA$69, 31, FALSE))</f>
        <v>:</v>
      </c>
    </row>
    <row r="161" spans="1:32">
      <c r="A161" s="533"/>
      <c r="B161" s="534" t="s">
        <v>317</v>
      </c>
      <c r="C161" s="535" t="s">
        <v>2095</v>
      </c>
      <c r="D161" s="12" t="s">
        <v>1214</v>
      </c>
      <c r="E161" s="13">
        <v>26</v>
      </c>
      <c r="F161" s="14" t="str">
        <f>VLOOKUP($E$161,[1]UG!$A$2:$FA$69, 3, FALSE)</f>
        <v>26 Other current transfers, receivable D.7r</v>
      </c>
      <c r="G161" s="544">
        <f>IF(VLOOKUP($E$161,[1]UG!$A$2:$FA$69, 6, FALSE)="",":",VLOOKUP($E$161,[1]UG!$A$2:$FA$69, 6, FALSE))</f>
        <v>322.74</v>
      </c>
      <c r="H161" s="544">
        <f>IF(VLOOKUP($E$161,[1]UG!$A$2:$FA$69, 7, FALSE)="",":",VLOOKUP($E$161,[1]UG!$A$2:$FA$69, 7, FALSE))</f>
        <v>470.89</v>
      </c>
      <c r="I161" s="544">
        <f>IF(VLOOKUP($E$161,[1]UG!$A$2:$FA$69, 8, FALSE)="",":",VLOOKUP($E$161,[1]UG!$A$2:$FA$69, 8, FALSE))</f>
        <v>621</v>
      </c>
      <c r="J161" s="544">
        <f>IF(VLOOKUP($E$161,[1]UG!$A$2:$FA$69, 9, FALSE)="",":",VLOOKUP($E$161,[1]UG!$A$2:$FA$69, 9, FALSE))</f>
        <v>375.46</v>
      </c>
      <c r="K161" s="544">
        <f>IF(VLOOKUP($E$161,[1]UG!$A$2:$FA$69, 10, FALSE)="",":",VLOOKUP($E$161,[1]UG!$A$2:$FA$69, 10, FALSE))</f>
        <v>233.4</v>
      </c>
      <c r="L161" s="544">
        <f>IF(VLOOKUP($E$161,[1]UG!$A$2:$FA$69, 11, FALSE)="",":",VLOOKUP($E$161,[1]UG!$A$2:$FA$69, 11, FALSE))</f>
        <v>313.13</v>
      </c>
      <c r="M161" s="544">
        <f>IF(VLOOKUP($E$161,[1]UG!$A$2:$FA$69, 12, FALSE)="",":",VLOOKUP($E$161,[1]UG!$A$2:$FA$69, 12, FALSE))</f>
        <v>229.91</v>
      </c>
      <c r="N161" s="544">
        <f>IF(VLOOKUP($E$161,[1]UG!$A$2:$FA$69, 13, FALSE)="",":",VLOOKUP($E$161,[1]UG!$A$2:$FA$69, 13, FALSE))</f>
        <v>198.96</v>
      </c>
      <c r="O161" s="544">
        <f>IF(VLOOKUP($E$161,[1]UG!$A$2:$FA$69, 14, FALSE)="",":",VLOOKUP($E$161,[1]UG!$A$2:$FA$69, 14, FALSE))</f>
        <v>150.41999999999999</v>
      </c>
      <c r="P161" s="544">
        <f>IF(VLOOKUP($E$161,[1]UG!$A$2:$FA$69, 15, FALSE)="",":",VLOOKUP($E$161,[1]UG!$A$2:$FA$69, 15, FALSE))</f>
        <v>141.99</v>
      </c>
      <c r="Q161" s="544">
        <f>IF(VLOOKUP($E$161,[1]UG!$A$2:$FA$69, 16, FALSE)="",":",VLOOKUP($E$161,[1]UG!$A$2:$FA$69, 16, FALSE))</f>
        <v>241.66</v>
      </c>
      <c r="R161" s="544">
        <f>IF(VLOOKUP($E$161,[1]UG!$A$2:$FA$69, 17, FALSE)="",":",VLOOKUP($E$161,[1]UG!$A$2:$FA$69, 17, FALSE))</f>
        <v>209.96</v>
      </c>
      <c r="S161" s="544">
        <f>IF(VLOOKUP($E$161,[1]UG!$A$2:$FA$69, 18, FALSE)="",":",VLOOKUP($E$161,[1]UG!$A$2:$FA$69, 18, FALSE))</f>
        <v>246.81</v>
      </c>
      <c r="T161" s="544">
        <f>IF(VLOOKUP($E$161,[1]UG!$A$2:$FA$69, 19, FALSE)="",":",VLOOKUP($E$161,[1]UG!$A$2:$FA$69, 19, FALSE))</f>
        <v>289.89</v>
      </c>
      <c r="U161" s="544">
        <f>IF(VLOOKUP($E$161,[1]UG!$A$2:$FA$69, 20, FALSE)="",":",VLOOKUP($E$161,[1]UG!$A$2:$FA$69, 20, FALSE))</f>
        <v>271.45999999999998</v>
      </c>
      <c r="V161" s="544">
        <f>IF(VLOOKUP($E$161,[1]UG!$A$2:$FA$69, 21, FALSE)="",":",VLOOKUP($E$161,[1]UG!$A$2:$FA$69, 21, FALSE))</f>
        <v>401.32</v>
      </c>
      <c r="W161" s="544">
        <f>IF(VLOOKUP($E$161,[1]UG!$A$2:$FA$69, 22, FALSE)="",":",VLOOKUP($E$161,[1]UG!$A$2:$FA$69, 22, FALSE))</f>
        <v>500.74</v>
      </c>
      <c r="X161" s="544">
        <f>IF(VLOOKUP($E$161,[1]UG!$A$2:$FA$69, 23, FALSE)="",":",VLOOKUP($E$161,[1]UG!$A$2:$FA$69, 23, FALSE))</f>
        <v>476.95</v>
      </c>
      <c r="Y161" s="544">
        <f>IF(VLOOKUP($E$161,[1]UG!$A$2:$FA$69, 24, FALSE)="",":",VLOOKUP($E$161,[1]UG!$A$2:$FA$69, 24, FALSE))</f>
        <v>465.64</v>
      </c>
      <c r="Z161" s="544">
        <f>IF(VLOOKUP($E$161,[1]UG!$A$2:$FA$69, 25, FALSE)="",":",VLOOKUP($E$161,[1]UG!$A$2:$FA$69, 25, FALSE))</f>
        <v>460.3</v>
      </c>
      <c r="AA161" s="544">
        <f>IF(VLOOKUP($E$161,[1]UG!$A$2:$FA$69, 26, FALSE)="",":",VLOOKUP($E$161,[1]UG!$A$2:$FA$69, 26, FALSE))</f>
        <v>525.41</v>
      </c>
      <c r="AB161" s="544">
        <f>IF(VLOOKUP($E$161,[1]UG!$A$2:$FA$69, 27, FALSE)="",":",VLOOKUP($E$161,[1]UG!$A$2:$FA$69, 27, FALSE))</f>
        <v>456.52</v>
      </c>
      <c r="AC161" s="544" t="str">
        <f>IF(VLOOKUP($E$161,[1]UG!$A$2:$FA$69, 28, FALSE)="",":",VLOOKUP($E$161,[1]UG!$A$2:$FA$69, 28, FALSE))</f>
        <v>:</v>
      </c>
      <c r="AD161" s="544" t="str">
        <f>IF(VLOOKUP($E$161,[1]UG!$A$2:$FA$69, 29, FALSE)="",":",VLOOKUP($E$161,[1]UG!$A$2:$FA$69, 29, FALSE))</f>
        <v>:</v>
      </c>
      <c r="AE161" s="544" t="str">
        <f>IF(VLOOKUP($E$161,[1]UG!$A$2:$FA$69, 30, FALSE)="",":",VLOOKUP($E$161,[1]UG!$A$2:$FA$69, 30, FALSE))</f>
        <v>:</v>
      </c>
      <c r="AF161" s="544" t="str">
        <f>IF(VLOOKUP($E$161,[1]UG!$A$2:$FA$69, 31, FALSE)="",":",VLOOKUP($E$161,[1]UG!$A$2:$FA$69, 31, FALSE))</f>
        <v>:</v>
      </c>
    </row>
    <row r="162" spans="1:32">
      <c r="A162" s="533"/>
      <c r="B162" s="534"/>
      <c r="C162" s="535" t="s">
        <v>774</v>
      </c>
      <c r="D162" s="12" t="s">
        <v>1214</v>
      </c>
      <c r="E162" s="13">
        <v>29</v>
      </c>
      <c r="F162" s="14" t="str">
        <f>VLOOKUP($E$162,[1]UG!$A$2:$FA$69, 3, FALSE)</f>
        <v>29 Social transfers in kind related to expenditure on products supplied to households via market producers D.6311p + D.63121p + D.63131p</v>
      </c>
      <c r="G162" s="544">
        <f>IF(VLOOKUP($E$162,[1]UG!$A$2:$FA$69, 6, FALSE)="",":",VLOOKUP($E$162,[1]UG!$A$2:$FA$69, 6, FALSE))</f>
        <v>125.28</v>
      </c>
      <c r="H162" s="544">
        <f>IF(VLOOKUP($E$162,[1]UG!$A$2:$FA$69, 7, FALSE)="",":",VLOOKUP($E$162,[1]UG!$A$2:$FA$69, 7, FALSE))</f>
        <v>178.81</v>
      </c>
      <c r="I162" s="544">
        <f>IF(VLOOKUP($E$162,[1]UG!$A$2:$FA$69, 8, FALSE)="",":",VLOOKUP($E$162,[1]UG!$A$2:$FA$69, 8, FALSE))</f>
        <v>144.05000000000001</v>
      </c>
      <c r="J162" s="544">
        <f>IF(VLOOKUP($E$162,[1]UG!$A$2:$FA$69, 9, FALSE)="",":",VLOOKUP($E$162,[1]UG!$A$2:$FA$69, 9, FALSE))</f>
        <v>239.77</v>
      </c>
      <c r="K162" s="544">
        <f>IF(VLOOKUP($E$162,[1]UG!$A$2:$FA$69, 10, FALSE)="",":",VLOOKUP($E$162,[1]UG!$A$2:$FA$69, 10, FALSE))</f>
        <v>224.92</v>
      </c>
      <c r="L162" s="544">
        <f>IF(VLOOKUP($E$162,[1]UG!$A$2:$FA$69, 11, FALSE)="",":",VLOOKUP($E$162,[1]UG!$A$2:$FA$69, 11, FALSE))</f>
        <v>187.68</v>
      </c>
      <c r="M162" s="544">
        <f>IF(VLOOKUP($E$162,[1]UG!$A$2:$FA$69, 12, FALSE)="",":",VLOOKUP($E$162,[1]UG!$A$2:$FA$69, 12, FALSE))</f>
        <v>182.18</v>
      </c>
      <c r="N162" s="544">
        <f>IF(VLOOKUP($E$162,[1]UG!$A$2:$FA$69, 13, FALSE)="",":",VLOOKUP($E$162,[1]UG!$A$2:$FA$69, 13, FALSE))</f>
        <v>219.63</v>
      </c>
      <c r="O162" s="544">
        <f>IF(VLOOKUP($E$162,[1]UG!$A$2:$FA$69, 14, FALSE)="",":",VLOOKUP($E$162,[1]UG!$A$2:$FA$69, 14, FALSE))</f>
        <v>243.27</v>
      </c>
      <c r="P162" s="544">
        <f>IF(VLOOKUP($E$162,[1]UG!$A$2:$FA$69, 15, FALSE)="",":",VLOOKUP($E$162,[1]UG!$A$2:$FA$69, 15, FALSE))</f>
        <v>264.91000000000003</v>
      </c>
      <c r="Q162" s="544">
        <f>IF(VLOOKUP($E$162,[1]UG!$A$2:$FA$69, 16, FALSE)="",":",VLOOKUP($E$162,[1]UG!$A$2:$FA$69, 16, FALSE))</f>
        <v>380.77</v>
      </c>
      <c r="R162" s="544">
        <f>IF(VLOOKUP($E$162,[1]UG!$A$2:$FA$69, 17, FALSE)="",":",VLOOKUP($E$162,[1]UG!$A$2:$FA$69, 17, FALSE))</f>
        <v>402.55</v>
      </c>
      <c r="S162" s="544">
        <f>IF(VLOOKUP($E$162,[1]UG!$A$2:$FA$69, 18, FALSE)="",":",VLOOKUP($E$162,[1]UG!$A$2:$FA$69, 18, FALSE))</f>
        <v>457.36</v>
      </c>
      <c r="T162" s="544">
        <f>IF(VLOOKUP($E$162,[1]UG!$A$2:$FA$69, 19, FALSE)="",":",VLOOKUP($E$162,[1]UG!$A$2:$FA$69, 19, FALSE))</f>
        <v>564.5</v>
      </c>
      <c r="U162" s="544">
        <f>IF(VLOOKUP($E$162,[1]UG!$A$2:$FA$69, 20, FALSE)="",":",VLOOKUP($E$162,[1]UG!$A$2:$FA$69, 20, FALSE))</f>
        <v>536.63</v>
      </c>
      <c r="V162" s="544">
        <f>IF(VLOOKUP($E$162,[1]UG!$A$2:$FA$69, 21, FALSE)="",":",VLOOKUP($E$162,[1]UG!$A$2:$FA$69, 21, FALSE))</f>
        <v>536.62</v>
      </c>
      <c r="W162" s="544">
        <f>IF(VLOOKUP($E$162,[1]UG!$A$2:$FA$69, 22, FALSE)="",":",VLOOKUP($E$162,[1]UG!$A$2:$FA$69, 22, FALSE))</f>
        <v>619.84</v>
      </c>
      <c r="X162" s="544">
        <f>IF(VLOOKUP($E$162,[1]UG!$A$2:$FA$69, 23, FALSE)="",":",VLOOKUP($E$162,[1]UG!$A$2:$FA$69, 23, FALSE))</f>
        <v>584.73</v>
      </c>
      <c r="Y162" s="544">
        <f>IF(VLOOKUP($E$162,[1]UG!$A$2:$FA$69, 24, FALSE)="",":",VLOOKUP($E$162,[1]UG!$A$2:$FA$69, 24, FALSE))</f>
        <v>553.26</v>
      </c>
      <c r="Z162" s="544">
        <f>IF(VLOOKUP($E$162,[1]UG!$A$2:$FA$69, 25, FALSE)="",":",VLOOKUP($E$162,[1]UG!$A$2:$FA$69, 25, FALSE))</f>
        <v>577.73</v>
      </c>
      <c r="AA162" s="544">
        <f>IF(VLOOKUP($E$162,[1]UG!$A$2:$FA$69, 26, FALSE)="",":",VLOOKUP($E$162,[1]UG!$A$2:$FA$69, 26, FALSE))</f>
        <v>618.29999999999995</v>
      </c>
      <c r="AB162" s="544">
        <f>IF(VLOOKUP($E$162,[1]UG!$A$2:$FA$69, 27, FALSE)="",":",VLOOKUP($E$162,[1]UG!$A$2:$FA$69, 27, FALSE))</f>
        <v>642.69000000000005</v>
      </c>
      <c r="AC162" s="544" t="str">
        <f>IF(VLOOKUP($E$162,[1]UG!$A$2:$FA$69, 28, FALSE)="",":",VLOOKUP($E$162,[1]UG!$A$2:$FA$69, 28, FALSE))</f>
        <v>:</v>
      </c>
      <c r="AD162" s="544" t="str">
        <f>IF(VLOOKUP($E$162,[1]UG!$A$2:$FA$69, 29, FALSE)="",":",VLOOKUP($E$162,[1]UG!$A$2:$FA$69, 29, FALSE))</f>
        <v>:</v>
      </c>
      <c r="AE162" s="544" t="str">
        <f>IF(VLOOKUP($E$162,[1]UG!$A$2:$FA$69, 30, FALSE)="",":",VLOOKUP($E$162,[1]UG!$A$2:$FA$69, 30, FALSE))</f>
        <v>:</v>
      </c>
      <c r="AF162" s="544" t="str">
        <f>IF(VLOOKUP($E$162,[1]UG!$A$2:$FA$69, 31, FALSE)="",":",VLOOKUP($E$162,[1]UG!$A$2:$FA$69, 31, FALSE))</f>
        <v>:</v>
      </c>
    </row>
    <row r="163" spans="1:32">
      <c r="A163" s="533"/>
      <c r="B163" s="534" t="s">
        <v>318</v>
      </c>
      <c r="C163" s="535" t="s">
        <v>2096</v>
      </c>
      <c r="D163" s="12" t="s">
        <v>1214</v>
      </c>
      <c r="E163" s="13">
        <v>31</v>
      </c>
      <c r="F163" s="14" t="str">
        <f>VLOOKUP($E$163,[1]UG!$A$2:$FA$69, 3, FALSE)</f>
        <v>31 Other current transfers, payable D.7p</v>
      </c>
      <c r="G163" s="544">
        <f>IF(VLOOKUP($E$163,[1]UG!$A$2:$FA$69, 6, FALSE)="",":",VLOOKUP($E$163,[1]UG!$A$2:$FA$69, 6, FALSE))</f>
        <v>5.68</v>
      </c>
      <c r="H163" s="544">
        <f>IF(VLOOKUP($E$163,[1]UG!$A$2:$FA$69, 7, FALSE)="",":",VLOOKUP($E$163,[1]UG!$A$2:$FA$69, 7, FALSE))</f>
        <v>5.5</v>
      </c>
      <c r="I163" s="544">
        <f>IF(VLOOKUP($E$163,[1]UG!$A$2:$FA$69, 8, FALSE)="",":",VLOOKUP($E$163,[1]UG!$A$2:$FA$69, 8, FALSE))</f>
        <v>229.15</v>
      </c>
      <c r="J163" s="544">
        <f>IF(VLOOKUP($E$163,[1]UG!$A$2:$FA$69, 9, FALSE)="",":",VLOOKUP($E$163,[1]UG!$A$2:$FA$69, 9, FALSE))</f>
        <v>82.86</v>
      </c>
      <c r="K163" s="544">
        <f>IF(VLOOKUP($E$163,[1]UG!$A$2:$FA$69, 10, FALSE)="",":",VLOOKUP($E$163,[1]UG!$A$2:$FA$69, 10, FALSE))</f>
        <v>64.03</v>
      </c>
      <c r="L163" s="544">
        <f>IF(VLOOKUP($E$163,[1]UG!$A$2:$FA$69, 11, FALSE)="",":",VLOOKUP($E$163,[1]UG!$A$2:$FA$69, 11, FALSE))</f>
        <v>13.25</v>
      </c>
      <c r="M163" s="544">
        <f>IF(VLOOKUP($E$163,[1]UG!$A$2:$FA$69, 12, FALSE)="",":",VLOOKUP($E$163,[1]UG!$A$2:$FA$69, 12, FALSE))</f>
        <v>52.37</v>
      </c>
      <c r="N163" s="544">
        <f>IF(VLOOKUP($E$163,[1]UG!$A$2:$FA$69, 13, FALSE)="",":",VLOOKUP($E$163,[1]UG!$A$2:$FA$69, 13, FALSE))</f>
        <v>18.09</v>
      </c>
      <c r="O163" s="544">
        <f>IF(VLOOKUP($E$163,[1]UG!$A$2:$FA$69, 14, FALSE)="",":",VLOOKUP($E$163,[1]UG!$A$2:$FA$69, 14, FALSE))</f>
        <v>27.05</v>
      </c>
      <c r="P163" s="544">
        <f>IF(VLOOKUP($E$163,[1]UG!$A$2:$FA$69, 15, FALSE)="",":",VLOOKUP($E$163,[1]UG!$A$2:$FA$69, 15, FALSE))</f>
        <v>131.55000000000001</v>
      </c>
      <c r="Q163" s="544">
        <f>IF(VLOOKUP($E$163,[1]UG!$A$2:$FA$69, 16, FALSE)="",":",VLOOKUP($E$163,[1]UG!$A$2:$FA$69, 16, FALSE))</f>
        <v>376.28</v>
      </c>
      <c r="R163" s="544">
        <f>IF(VLOOKUP($E$163,[1]UG!$A$2:$FA$69, 17, FALSE)="",":",VLOOKUP($E$163,[1]UG!$A$2:$FA$69, 17, FALSE))</f>
        <v>301.3</v>
      </c>
      <c r="S163" s="544">
        <f>IF(VLOOKUP($E$163,[1]UG!$A$2:$FA$69, 18, FALSE)="",":",VLOOKUP($E$163,[1]UG!$A$2:$FA$69, 18, FALSE))</f>
        <v>380.61</v>
      </c>
      <c r="T163" s="544">
        <f>IF(VLOOKUP($E$163,[1]UG!$A$2:$FA$69, 19, FALSE)="",":",VLOOKUP($E$163,[1]UG!$A$2:$FA$69, 19, FALSE))</f>
        <v>478.85</v>
      </c>
      <c r="U163" s="544">
        <f>IF(VLOOKUP($E$163,[1]UG!$A$2:$FA$69, 20, FALSE)="",":",VLOOKUP($E$163,[1]UG!$A$2:$FA$69, 20, FALSE))</f>
        <v>447.94</v>
      </c>
      <c r="V163" s="544">
        <f>IF(VLOOKUP($E$163,[1]UG!$A$2:$FA$69, 21, FALSE)="",":",VLOOKUP($E$163,[1]UG!$A$2:$FA$69, 21, FALSE))</f>
        <v>346.64</v>
      </c>
      <c r="W163" s="544">
        <f>IF(VLOOKUP($E$163,[1]UG!$A$2:$FA$69, 22, FALSE)="",":",VLOOKUP($E$163,[1]UG!$A$2:$FA$69, 22, FALSE))</f>
        <v>498.45</v>
      </c>
      <c r="X163" s="544">
        <f>IF(VLOOKUP($E$163,[1]UG!$A$2:$FA$69, 23, FALSE)="",":",VLOOKUP($E$163,[1]UG!$A$2:$FA$69, 23, FALSE))</f>
        <v>465.72</v>
      </c>
      <c r="Y163" s="544">
        <f>IF(VLOOKUP($E$163,[1]UG!$A$2:$FA$69, 24, FALSE)="",":",VLOOKUP($E$163,[1]UG!$A$2:$FA$69, 24, FALSE))</f>
        <v>554.29999999999995</v>
      </c>
      <c r="Z163" s="544">
        <f>IF(VLOOKUP($E$163,[1]UG!$A$2:$FA$69, 25, FALSE)="",":",VLOOKUP($E$163,[1]UG!$A$2:$FA$69, 25, FALSE))</f>
        <v>515.4</v>
      </c>
      <c r="AA163" s="544">
        <f>IF(VLOOKUP($E$163,[1]UG!$A$2:$FA$69, 26, FALSE)="",":",VLOOKUP($E$163,[1]UG!$A$2:$FA$69, 26, FALSE))</f>
        <v>554.09</v>
      </c>
      <c r="AB163" s="544">
        <f>IF(VLOOKUP($E$163,[1]UG!$A$2:$FA$69, 27, FALSE)="",":",VLOOKUP($E$163,[1]UG!$A$2:$FA$69, 27, FALSE))</f>
        <v>642.64</v>
      </c>
      <c r="AC163" s="544" t="str">
        <f>IF(VLOOKUP($E$163,[1]UG!$A$2:$FA$69, 28, FALSE)="",":",VLOOKUP($E$163,[1]UG!$A$2:$FA$69, 28, FALSE))</f>
        <v>:</v>
      </c>
      <c r="AD163" s="544" t="str">
        <f>IF(VLOOKUP($E$163,[1]UG!$A$2:$FA$69, 29, FALSE)="",":",VLOOKUP($E$163,[1]UG!$A$2:$FA$69, 29, FALSE))</f>
        <v>:</v>
      </c>
      <c r="AE163" s="544" t="str">
        <f>IF(VLOOKUP($E$163,[1]UG!$A$2:$FA$69, 30, FALSE)="",":",VLOOKUP($E$163,[1]UG!$A$2:$FA$69, 30, FALSE))</f>
        <v>:</v>
      </c>
      <c r="AF163" s="544" t="str">
        <f>IF(VLOOKUP($E$163,[1]UG!$A$2:$FA$69, 31, FALSE)="",":",VLOOKUP($E$163,[1]UG!$A$2:$FA$69, 31, FALSE))</f>
        <v>:</v>
      </c>
    </row>
    <row r="164" spans="1:32">
      <c r="A164" s="533"/>
      <c r="B164" s="534"/>
      <c r="C164" s="535"/>
      <c r="D164" s="12"/>
      <c r="E164" s="13"/>
      <c r="F164" s="14"/>
      <c r="G164" s="544"/>
      <c r="H164" s="544"/>
      <c r="I164" s="544"/>
      <c r="J164" s="544"/>
      <c r="K164" s="544"/>
      <c r="L164" s="544"/>
      <c r="M164" s="544"/>
      <c r="N164" s="544"/>
      <c r="O164" s="544"/>
      <c r="P164" s="544"/>
      <c r="Q164" s="544"/>
      <c r="R164" s="544"/>
      <c r="S164" s="544"/>
      <c r="T164" s="544"/>
      <c r="U164" s="544"/>
      <c r="V164" s="544"/>
      <c r="W164" s="544"/>
      <c r="X164" s="544"/>
      <c r="Y164" s="544"/>
      <c r="Z164" s="544"/>
      <c r="AA164" s="544"/>
      <c r="AB164" s="544"/>
      <c r="AC164" s="544"/>
      <c r="AD164" s="544"/>
      <c r="AE164" s="544"/>
      <c r="AF164" s="544"/>
    </row>
    <row r="165" spans="1:32">
      <c r="A165" s="533"/>
      <c r="B165" s="534" t="s">
        <v>386</v>
      </c>
      <c r="C165" s="535" t="s">
        <v>1365</v>
      </c>
      <c r="D165" s="12" t="s">
        <v>1214</v>
      </c>
      <c r="E165" s="13">
        <v>36</v>
      </c>
      <c r="F165" s="14" t="str">
        <f>VLOOKUP($E$165,[1]UG!$A$2:$FA$69, 3, FALSE)</f>
        <v>36 Adjustment for the change in net equity of households on pension funds D.8</v>
      </c>
      <c r="G165" s="544">
        <f>IF(VLOOKUP($E$165,[1]UG!$A$2:$FA$69, 6, FALSE)="",":",VLOOKUP($E$165,[1]UG!$A$2:$FA$69, 6, FALSE))</f>
        <v>0</v>
      </c>
      <c r="H165" s="544">
        <f>IF(VLOOKUP($E$165,[1]UG!$A$2:$FA$69, 7, FALSE)="",":",VLOOKUP($E$165,[1]UG!$A$2:$FA$69, 7, FALSE))</f>
        <v>0</v>
      </c>
      <c r="I165" s="544">
        <f>IF(VLOOKUP($E$165,[1]UG!$A$2:$FA$69, 8, FALSE)="",":",VLOOKUP($E$165,[1]UG!$A$2:$FA$69, 8, FALSE))</f>
        <v>0</v>
      </c>
      <c r="J165" s="544">
        <f>IF(VLOOKUP($E$165,[1]UG!$A$2:$FA$69, 9, FALSE)="",":",VLOOKUP($E$165,[1]UG!$A$2:$FA$69, 9, FALSE))</f>
        <v>0</v>
      </c>
      <c r="K165" s="544">
        <f>IF(VLOOKUP($E$165,[1]UG!$A$2:$FA$69, 10, FALSE)="",":",VLOOKUP($E$165,[1]UG!$A$2:$FA$69, 10, FALSE))</f>
        <v>0</v>
      </c>
      <c r="L165" s="544">
        <f>IF(VLOOKUP($E$165,[1]UG!$A$2:$FA$69, 11, FALSE)="",":",VLOOKUP($E$165,[1]UG!$A$2:$FA$69, 11, FALSE))</f>
        <v>0</v>
      </c>
      <c r="M165" s="544">
        <f>IF(VLOOKUP($E$165,[1]UG!$A$2:$FA$69, 12, FALSE)="",":",VLOOKUP($E$165,[1]UG!$A$2:$FA$69, 12, FALSE))</f>
        <v>0</v>
      </c>
      <c r="N165" s="544">
        <f>IF(VLOOKUP($E$165,[1]UG!$A$2:$FA$69, 13, FALSE)="",":",VLOOKUP($E$165,[1]UG!$A$2:$FA$69, 13, FALSE))</f>
        <v>0</v>
      </c>
      <c r="O165" s="544">
        <f>IF(VLOOKUP($E$165,[1]UG!$A$2:$FA$69, 14, FALSE)="",":",VLOOKUP($E$165,[1]UG!$A$2:$FA$69, 14, FALSE))</f>
        <v>0</v>
      </c>
      <c r="P165" s="544">
        <f>IF(VLOOKUP($E$165,[1]UG!$A$2:$FA$69, 15, FALSE)="",":",VLOOKUP($E$165,[1]UG!$A$2:$FA$69, 15, FALSE))</f>
        <v>0</v>
      </c>
      <c r="Q165" s="544">
        <f>IF(VLOOKUP($E$165,[1]UG!$A$2:$FA$69, 16, FALSE)="",":",VLOOKUP($E$165,[1]UG!$A$2:$FA$69, 16, FALSE))</f>
        <v>0</v>
      </c>
      <c r="R165" s="544">
        <f>IF(VLOOKUP($E$165,[1]UG!$A$2:$FA$69, 17, FALSE)="",":",VLOOKUP($E$165,[1]UG!$A$2:$FA$69, 17, FALSE))</f>
        <v>0</v>
      </c>
      <c r="S165" s="544">
        <f>IF(VLOOKUP($E$165,[1]UG!$A$2:$FA$69, 18, FALSE)="",":",VLOOKUP($E$165,[1]UG!$A$2:$FA$69, 18, FALSE))</f>
        <v>0</v>
      </c>
      <c r="T165" s="544">
        <f>IF(VLOOKUP($E$165,[1]UG!$A$2:$FA$69, 19, FALSE)="",":",VLOOKUP($E$165,[1]UG!$A$2:$FA$69, 19, FALSE))</f>
        <v>0</v>
      </c>
      <c r="U165" s="544">
        <f>IF(VLOOKUP($E$165,[1]UG!$A$2:$FA$69, 20, FALSE)="",":",VLOOKUP($E$165,[1]UG!$A$2:$FA$69, 20, FALSE))</f>
        <v>0</v>
      </c>
      <c r="V165" s="544">
        <f>IF(VLOOKUP($E$165,[1]UG!$A$2:$FA$69, 21, FALSE)="",":",VLOOKUP($E$165,[1]UG!$A$2:$FA$69, 21, FALSE))</f>
        <v>0</v>
      </c>
      <c r="W165" s="544">
        <f>IF(VLOOKUP($E$165,[1]UG!$A$2:$FA$69, 22, FALSE)="",":",VLOOKUP($E$165,[1]UG!$A$2:$FA$69, 22, FALSE))</f>
        <v>0</v>
      </c>
      <c r="X165" s="544">
        <f>IF(VLOOKUP($E$165,[1]UG!$A$2:$FA$69, 23, FALSE)="",":",VLOOKUP($E$165,[1]UG!$A$2:$FA$69, 23, FALSE))</f>
        <v>0</v>
      </c>
      <c r="Y165" s="544">
        <f>IF(VLOOKUP($E$165,[1]UG!$A$2:$FA$69, 24, FALSE)="",":",VLOOKUP($E$165,[1]UG!$A$2:$FA$69, 24, FALSE))</f>
        <v>0</v>
      </c>
      <c r="Z165" s="544">
        <f>IF(VLOOKUP($E$165,[1]UG!$A$2:$FA$69, 25, FALSE)="",":",VLOOKUP($E$165,[1]UG!$A$2:$FA$69, 25, FALSE))</f>
        <v>0</v>
      </c>
      <c r="AA165" s="544">
        <f>IF(VLOOKUP($E$165,[1]UG!$A$2:$FA$69, 26, FALSE)="",":",VLOOKUP($E$165,[1]UG!$A$2:$FA$69, 26, FALSE))</f>
        <v>0</v>
      </c>
      <c r="AB165" s="544">
        <f>IF(VLOOKUP($E$165,[1]UG!$A$2:$FA$69, 27, FALSE)="",":",VLOOKUP($E$165,[1]UG!$A$2:$FA$69, 27, FALSE))</f>
        <v>0</v>
      </c>
      <c r="AC165" s="544" t="str">
        <f>IF(VLOOKUP($E$165,[1]UG!$A$2:$FA$69, 28, FALSE)="",":",VLOOKUP($E$165,[1]UG!$A$2:$FA$69, 28, FALSE))</f>
        <v>:</v>
      </c>
      <c r="AD165" s="544" t="str">
        <f>IF(VLOOKUP($E$165,[1]UG!$A$2:$FA$69, 29, FALSE)="",":",VLOOKUP($E$165,[1]UG!$A$2:$FA$69, 29, FALSE))</f>
        <v>:</v>
      </c>
      <c r="AE165" s="544" t="str">
        <f>IF(VLOOKUP($E$165,[1]UG!$A$2:$FA$69, 30, FALSE)="",":",VLOOKUP($E$165,[1]UG!$A$2:$FA$69, 30, FALSE))</f>
        <v>:</v>
      </c>
      <c r="AF165" s="544" t="str">
        <f>IF(VLOOKUP($E$165,[1]UG!$A$2:$FA$69, 31, FALSE)="",":",VLOOKUP($E$165,[1]UG!$A$2:$FA$69, 31, FALSE))</f>
        <v>:</v>
      </c>
    </row>
    <row r="166" spans="1:32">
      <c r="A166" s="533"/>
      <c r="B166" s="534" t="s">
        <v>1153</v>
      </c>
      <c r="C166" s="535" t="s">
        <v>1154</v>
      </c>
      <c r="D166" s="12" t="s">
        <v>1214</v>
      </c>
      <c r="E166" s="13">
        <v>39</v>
      </c>
      <c r="F166" s="14" t="str">
        <f>VLOOKUP($E$166,[1]UG!$A$2:$FA$69, 3, FALSE)</f>
        <v>39 Capital transfers, receivable D.9r</v>
      </c>
      <c r="G166" s="544">
        <f>IF(VLOOKUP($E$166,[1]UG!$A$2:$FA$69, 6, FALSE)="",":",VLOOKUP($E$166,[1]UG!$A$2:$FA$69, 6, FALSE))</f>
        <v>0</v>
      </c>
      <c r="H166" s="544">
        <f>IF(VLOOKUP($E$166,[1]UG!$A$2:$FA$69, 7, FALSE)="",":",VLOOKUP($E$166,[1]UG!$A$2:$FA$69, 7, FALSE))</f>
        <v>0</v>
      </c>
      <c r="I166" s="544">
        <f>IF(VLOOKUP($E$166,[1]UG!$A$2:$FA$69, 8, FALSE)="",":",VLOOKUP($E$166,[1]UG!$A$2:$FA$69, 8, FALSE))</f>
        <v>2.2999999999999998</v>
      </c>
      <c r="J166" s="544">
        <f>IF(VLOOKUP($E$166,[1]UG!$A$2:$FA$69, 9, FALSE)="",":",VLOOKUP($E$166,[1]UG!$A$2:$FA$69, 9, FALSE))</f>
        <v>0.47000000000000003</v>
      </c>
      <c r="K166" s="544">
        <f>IF(VLOOKUP($E$166,[1]UG!$A$2:$FA$69, 10, FALSE)="",":",VLOOKUP($E$166,[1]UG!$A$2:$FA$69, 10, FALSE))</f>
        <v>11.89</v>
      </c>
      <c r="L166" s="544">
        <f>IF(VLOOKUP($E$166,[1]UG!$A$2:$FA$69, 11, FALSE)="",":",VLOOKUP($E$166,[1]UG!$A$2:$FA$69, 11, FALSE))</f>
        <v>-27.85</v>
      </c>
      <c r="M166" s="544">
        <f>IF(VLOOKUP($E$166,[1]UG!$A$2:$FA$69, 12, FALSE)="",":",VLOOKUP($E$166,[1]UG!$A$2:$FA$69, 12, FALSE))</f>
        <v>-29.45</v>
      </c>
      <c r="N166" s="544">
        <f>IF(VLOOKUP($E$166,[1]UG!$A$2:$FA$69, 13, FALSE)="",":",VLOOKUP($E$166,[1]UG!$A$2:$FA$69, 13, FALSE))</f>
        <v>45.9</v>
      </c>
      <c r="O166" s="544">
        <f>IF(VLOOKUP($E$166,[1]UG!$A$2:$FA$69, 14, FALSE)="",":",VLOOKUP($E$166,[1]UG!$A$2:$FA$69, 14, FALSE))</f>
        <v>53.4</v>
      </c>
      <c r="P166" s="544">
        <f>IF(VLOOKUP($E$166,[1]UG!$A$2:$FA$69, 15, FALSE)="",":",VLOOKUP($E$166,[1]UG!$A$2:$FA$69, 15, FALSE))</f>
        <v>72.19</v>
      </c>
      <c r="Q166" s="544">
        <f>IF(VLOOKUP($E$166,[1]UG!$A$2:$FA$69, 16, FALSE)="",":",VLOOKUP($E$166,[1]UG!$A$2:$FA$69, 16, FALSE))</f>
        <v>159.71</v>
      </c>
      <c r="R166" s="544">
        <f>IF(VLOOKUP($E$166,[1]UG!$A$2:$FA$69, 17, FALSE)="",":",VLOOKUP($E$166,[1]UG!$A$2:$FA$69, 17, FALSE))</f>
        <v>231.73</v>
      </c>
      <c r="S166" s="544">
        <f>IF(VLOOKUP($E$166,[1]UG!$A$2:$FA$69, 18, FALSE)="",":",VLOOKUP($E$166,[1]UG!$A$2:$FA$69, 18, FALSE))</f>
        <v>413.25</v>
      </c>
      <c r="T166" s="544">
        <f>IF(VLOOKUP($E$166,[1]UG!$A$2:$FA$69, 19, FALSE)="",":",VLOOKUP($E$166,[1]UG!$A$2:$FA$69, 19, FALSE))</f>
        <v>342.73</v>
      </c>
      <c r="U166" s="544">
        <f>IF(VLOOKUP($E$166,[1]UG!$A$2:$FA$69, 20, FALSE)="",":",VLOOKUP($E$166,[1]UG!$A$2:$FA$69, 20, FALSE))</f>
        <v>394.42</v>
      </c>
      <c r="V166" s="544">
        <f>IF(VLOOKUP($E$166,[1]UG!$A$2:$FA$69, 21, FALSE)="",":",VLOOKUP($E$166,[1]UG!$A$2:$FA$69, 21, FALSE))</f>
        <v>707.7</v>
      </c>
      <c r="W166" s="544">
        <f>IF(VLOOKUP($E$166,[1]UG!$A$2:$FA$69, 22, FALSE)="",":",VLOOKUP($E$166,[1]UG!$A$2:$FA$69, 22, FALSE))</f>
        <v>687.31</v>
      </c>
      <c r="X166" s="544">
        <f>IF(VLOOKUP($E$166,[1]UG!$A$2:$FA$69, 23, FALSE)="",":",VLOOKUP($E$166,[1]UG!$A$2:$FA$69, 23, FALSE))</f>
        <v>635.71</v>
      </c>
      <c r="Y166" s="544">
        <f>IF(VLOOKUP($E$166,[1]UG!$A$2:$FA$69, 24, FALSE)="",":",VLOOKUP($E$166,[1]UG!$A$2:$FA$69, 24, FALSE))</f>
        <v>722.31</v>
      </c>
      <c r="Z166" s="544">
        <f>IF(VLOOKUP($E$166,[1]UG!$A$2:$FA$69, 25, FALSE)="",":",VLOOKUP($E$166,[1]UG!$A$2:$FA$69, 25, FALSE))</f>
        <v>992.97</v>
      </c>
      <c r="AA166" s="544">
        <f>IF(VLOOKUP($E$166,[1]UG!$A$2:$FA$69, 26, FALSE)="",":",VLOOKUP($E$166,[1]UG!$A$2:$FA$69, 26, FALSE))</f>
        <v>691.3</v>
      </c>
      <c r="AB166" s="544">
        <f>IF(VLOOKUP($E$166,[1]UG!$A$2:$FA$69, 27, FALSE)="",":",VLOOKUP($E$166,[1]UG!$A$2:$FA$69, 27, FALSE))</f>
        <v>313.55</v>
      </c>
      <c r="AC166" s="544" t="str">
        <f>IF(VLOOKUP($E$166,[1]UG!$A$2:$FA$69, 28, FALSE)="",":",VLOOKUP($E$166,[1]UG!$A$2:$FA$69, 28, FALSE))</f>
        <v>:</v>
      </c>
      <c r="AD166" s="544" t="str">
        <f>IF(VLOOKUP($E$166,[1]UG!$A$2:$FA$69, 29, FALSE)="",":",VLOOKUP($E$166,[1]UG!$A$2:$FA$69, 29, FALSE))</f>
        <v>:</v>
      </c>
      <c r="AE166" s="544" t="str">
        <f>IF(VLOOKUP($E$166,[1]UG!$A$2:$FA$69, 30, FALSE)="",":",VLOOKUP($E$166,[1]UG!$A$2:$FA$69, 30, FALSE))</f>
        <v>:</v>
      </c>
      <c r="AF166" s="544" t="str">
        <f>IF(VLOOKUP($E$166,[1]UG!$A$2:$FA$69, 31, FALSE)="",":",VLOOKUP($E$166,[1]UG!$A$2:$FA$69, 31, FALSE))</f>
        <v>:</v>
      </c>
    </row>
    <row r="167" spans="1:32">
      <c r="A167" s="533">
        <v>130</v>
      </c>
      <c r="B167" s="534" t="s">
        <v>319</v>
      </c>
      <c r="C167" s="535" t="s">
        <v>1209</v>
      </c>
      <c r="D167" s="12" t="s">
        <v>1214</v>
      </c>
      <c r="E167" s="13">
        <v>40</v>
      </c>
      <c r="F167" s="14" t="str">
        <f>VLOOKUP($E$167,[1]UG!$A$2:$FA$69, 3, FALSE)</f>
        <v>40 Capital taxes D.91r</v>
      </c>
      <c r="G167" s="544">
        <f>IF(VLOOKUP($E$167,[1]UG!$A$2:$FA$69, 6, FALSE)="",":",VLOOKUP($E$167,[1]UG!$A$2:$FA$69, 6, FALSE))</f>
        <v>0</v>
      </c>
      <c r="H167" s="544">
        <f>IF(VLOOKUP($E$167,[1]UG!$A$2:$FA$69, 7, FALSE)="",":",VLOOKUP($E$167,[1]UG!$A$2:$FA$69, 7, FALSE))</f>
        <v>0</v>
      </c>
      <c r="I167" s="544">
        <f>IF(VLOOKUP($E$167,[1]UG!$A$2:$FA$69, 8, FALSE)="",":",VLOOKUP($E$167,[1]UG!$A$2:$FA$69, 8, FALSE))</f>
        <v>3.0000000000000002E-2</v>
      </c>
      <c r="J167" s="544">
        <f>IF(VLOOKUP($E$167,[1]UG!$A$2:$FA$69, 9, FALSE)="",":",VLOOKUP($E$167,[1]UG!$A$2:$FA$69, 9, FALSE))</f>
        <v>0.2</v>
      </c>
      <c r="K167" s="544">
        <f>IF(VLOOKUP($E$167,[1]UG!$A$2:$FA$69, 10, FALSE)="",":",VLOOKUP($E$167,[1]UG!$A$2:$FA$69, 10, FALSE))</f>
        <v>0.62</v>
      </c>
      <c r="L167" s="544">
        <f>IF(VLOOKUP($E$167,[1]UG!$A$2:$FA$69, 11, FALSE)="",":",VLOOKUP($E$167,[1]UG!$A$2:$FA$69, 11, FALSE))</f>
        <v>0.53</v>
      </c>
      <c r="M167" s="544">
        <f>IF(VLOOKUP($E$167,[1]UG!$A$2:$FA$69, 12, FALSE)="",":",VLOOKUP($E$167,[1]UG!$A$2:$FA$69, 12, FALSE))</f>
        <v>0.65</v>
      </c>
      <c r="N167" s="544">
        <f>IF(VLOOKUP($E$167,[1]UG!$A$2:$FA$69, 13, FALSE)="",":",VLOOKUP($E$167,[1]UG!$A$2:$FA$69, 13, FALSE))</f>
        <v>0.66</v>
      </c>
      <c r="O167" s="544">
        <f>IF(VLOOKUP($E$167,[1]UG!$A$2:$FA$69, 14, FALSE)="",":",VLOOKUP($E$167,[1]UG!$A$2:$FA$69, 14, FALSE))</f>
        <v>0.32</v>
      </c>
      <c r="P167" s="544">
        <f>IF(VLOOKUP($E$167,[1]UG!$A$2:$FA$69, 15, FALSE)="",":",VLOOKUP($E$167,[1]UG!$A$2:$FA$69, 15, FALSE))</f>
        <v>0.5</v>
      </c>
      <c r="Q167" s="544">
        <f>IF(VLOOKUP($E$167,[1]UG!$A$2:$FA$69, 16, FALSE)="",":",VLOOKUP($E$167,[1]UG!$A$2:$FA$69, 16, FALSE))</f>
        <v>0.67</v>
      </c>
      <c r="R167" s="544">
        <f>IF(VLOOKUP($E$167,[1]UG!$A$2:$FA$69, 17, FALSE)="",":",VLOOKUP($E$167,[1]UG!$A$2:$FA$69, 17, FALSE))</f>
        <v>1.21</v>
      </c>
      <c r="S167" s="544">
        <f>IF(VLOOKUP($E$167,[1]UG!$A$2:$FA$69, 18, FALSE)="",":",VLOOKUP($E$167,[1]UG!$A$2:$FA$69, 18, FALSE))</f>
        <v>1.82</v>
      </c>
      <c r="T167" s="544">
        <f>IF(VLOOKUP($E$167,[1]UG!$A$2:$FA$69, 19, FALSE)="",":",VLOOKUP($E$167,[1]UG!$A$2:$FA$69, 19, FALSE))</f>
        <v>1.76</v>
      </c>
      <c r="U167" s="544">
        <f>IF(VLOOKUP($E$167,[1]UG!$A$2:$FA$69, 20, FALSE)="",":",VLOOKUP($E$167,[1]UG!$A$2:$FA$69, 20, FALSE))</f>
        <v>1.78</v>
      </c>
      <c r="V167" s="544">
        <f>IF(VLOOKUP($E$167,[1]UG!$A$2:$FA$69, 21, FALSE)="",":",VLOOKUP($E$167,[1]UG!$A$2:$FA$69, 21, FALSE))</f>
        <v>1.1000000000000001</v>
      </c>
      <c r="W167" s="544">
        <f>IF(VLOOKUP($E$167,[1]UG!$A$2:$FA$69, 22, FALSE)="",":",VLOOKUP($E$167,[1]UG!$A$2:$FA$69, 22, FALSE))</f>
        <v>1</v>
      </c>
      <c r="X167" s="544">
        <f>IF(VLOOKUP($E$167,[1]UG!$A$2:$FA$69, 23, FALSE)="",":",VLOOKUP($E$167,[1]UG!$A$2:$FA$69, 23, FALSE))</f>
        <v>1.2</v>
      </c>
      <c r="Y167" s="544">
        <f>IF(VLOOKUP($E$167,[1]UG!$A$2:$FA$69, 24, FALSE)="",":",VLOOKUP($E$167,[1]UG!$A$2:$FA$69, 24, FALSE))</f>
        <v>1.28</v>
      </c>
      <c r="Z167" s="544">
        <f>IF(VLOOKUP($E$167,[1]UG!$A$2:$FA$69, 25, FALSE)="",":",VLOOKUP($E$167,[1]UG!$A$2:$FA$69, 25, FALSE))</f>
        <v>1.33</v>
      </c>
      <c r="AA167" s="544">
        <f>IF(VLOOKUP($E$167,[1]UG!$A$2:$FA$69, 26, FALSE)="",":",VLOOKUP($E$167,[1]UG!$A$2:$FA$69, 26, FALSE))</f>
        <v>1.4300000000000002</v>
      </c>
      <c r="AB167" s="544">
        <f>IF(VLOOKUP($E$167,[1]UG!$A$2:$FA$69, 27, FALSE)="",":",VLOOKUP($E$167,[1]UG!$A$2:$FA$69, 27, FALSE))</f>
        <v>1.47</v>
      </c>
      <c r="AC167" s="544" t="str">
        <f>IF(VLOOKUP($E$167,[1]UG!$A$2:$FA$69, 28, FALSE)="",":",VLOOKUP($E$167,[1]UG!$A$2:$FA$69, 28, FALSE))</f>
        <v>:</v>
      </c>
      <c r="AD167" s="544" t="str">
        <f>IF(VLOOKUP($E$167,[1]UG!$A$2:$FA$69, 29, FALSE)="",":",VLOOKUP($E$167,[1]UG!$A$2:$FA$69, 29, FALSE))</f>
        <v>:</v>
      </c>
      <c r="AE167" s="544" t="str">
        <f>IF(VLOOKUP($E$167,[1]UG!$A$2:$FA$69, 30, FALSE)="",":",VLOOKUP($E$167,[1]UG!$A$2:$FA$69, 30, FALSE))</f>
        <v>:</v>
      </c>
      <c r="AF167" s="544" t="str">
        <f>IF(VLOOKUP($E$167,[1]UG!$A$2:$FA$69, 31, FALSE)="",":",VLOOKUP($E$167,[1]UG!$A$2:$FA$69, 31, FALSE))</f>
        <v>:</v>
      </c>
    </row>
    <row r="168" spans="1:32">
      <c r="A168" s="533"/>
      <c r="B168" s="534" t="s">
        <v>1175</v>
      </c>
      <c r="C168" s="535" t="s">
        <v>1211</v>
      </c>
      <c r="D168" s="12" t="s">
        <v>1214</v>
      </c>
      <c r="E168" s="13">
        <v>42</v>
      </c>
      <c r="F168" s="14" t="str">
        <f>VLOOKUP($E$168,[1]UG!$A$2:$FA$69, 3, FALSE)</f>
        <v>42 Capital transfers, payable D.9p</v>
      </c>
      <c r="G168" s="544">
        <f>IF(VLOOKUP($E$168,[1]UG!$A$2:$FA$69, 6, FALSE)="",":",VLOOKUP($E$168,[1]UG!$A$2:$FA$69, 6, FALSE))</f>
        <v>96.12</v>
      </c>
      <c r="H168" s="544">
        <f>IF(VLOOKUP($E$168,[1]UG!$A$2:$FA$69, 7, FALSE)="",":",VLOOKUP($E$168,[1]UG!$A$2:$FA$69, 7, FALSE))</f>
        <v>246.03</v>
      </c>
      <c r="I168" s="544">
        <f>IF(VLOOKUP($E$168,[1]UG!$A$2:$FA$69, 8, FALSE)="",":",VLOOKUP($E$168,[1]UG!$A$2:$FA$69, 8, FALSE))</f>
        <v>1500.24</v>
      </c>
      <c r="J168" s="544">
        <f>IF(VLOOKUP($E$168,[1]UG!$A$2:$FA$69, 9, FALSE)="",":",VLOOKUP($E$168,[1]UG!$A$2:$FA$69, 9, FALSE))</f>
        <v>152.25</v>
      </c>
      <c r="K168" s="544">
        <f>IF(VLOOKUP($E$168,[1]UG!$A$2:$FA$69, 10, FALSE)="",":",VLOOKUP($E$168,[1]UG!$A$2:$FA$69, 10, FALSE))</f>
        <v>121.24</v>
      </c>
      <c r="L168" s="544">
        <f>IF(VLOOKUP($E$168,[1]UG!$A$2:$FA$69, 11, FALSE)="",":",VLOOKUP($E$168,[1]UG!$A$2:$FA$69, 11, FALSE))</f>
        <v>290.37</v>
      </c>
      <c r="M168" s="544">
        <f>IF(VLOOKUP($E$168,[1]UG!$A$2:$FA$69, 12, FALSE)="",":",VLOOKUP($E$168,[1]UG!$A$2:$FA$69, 12, FALSE))</f>
        <v>259.51</v>
      </c>
      <c r="N168" s="544">
        <f>IF(VLOOKUP($E$168,[1]UG!$A$2:$FA$69, 13, FALSE)="",":",VLOOKUP($E$168,[1]UG!$A$2:$FA$69, 13, FALSE))</f>
        <v>133.02000000000001</v>
      </c>
      <c r="O168" s="544">
        <f>IF(VLOOKUP($E$168,[1]UG!$A$2:$FA$69, 14, FALSE)="",":",VLOOKUP($E$168,[1]UG!$A$2:$FA$69, 14, FALSE))</f>
        <v>71.790000000000006</v>
      </c>
      <c r="P168" s="544">
        <f>IF(VLOOKUP($E$168,[1]UG!$A$2:$FA$69, 15, FALSE)="",":",VLOOKUP($E$168,[1]UG!$A$2:$FA$69, 15, FALSE))</f>
        <v>103.96</v>
      </c>
      <c r="Q168" s="544">
        <f>IF(VLOOKUP($E$168,[1]UG!$A$2:$FA$69, 16, FALSE)="",":",VLOOKUP($E$168,[1]UG!$A$2:$FA$69, 16, FALSE))</f>
        <v>83.02</v>
      </c>
      <c r="R168" s="544">
        <f>IF(VLOOKUP($E$168,[1]UG!$A$2:$FA$69, 17, FALSE)="",":",VLOOKUP($E$168,[1]UG!$A$2:$FA$69, 17, FALSE))</f>
        <v>95.53</v>
      </c>
      <c r="S168" s="544">
        <f>IF(VLOOKUP($E$168,[1]UG!$A$2:$FA$69, 18, FALSE)="",":",VLOOKUP($E$168,[1]UG!$A$2:$FA$69, 18, FALSE))</f>
        <v>257.20999999999998</v>
      </c>
      <c r="T168" s="544">
        <f>IF(VLOOKUP($E$168,[1]UG!$A$2:$FA$69, 19, FALSE)="",":",VLOOKUP($E$168,[1]UG!$A$2:$FA$69, 19, FALSE))</f>
        <v>129.53</v>
      </c>
      <c r="U168" s="544">
        <f>IF(VLOOKUP($E$168,[1]UG!$A$2:$FA$69, 20, FALSE)="",":",VLOOKUP($E$168,[1]UG!$A$2:$FA$69, 20, FALSE))</f>
        <v>110.79</v>
      </c>
      <c r="V168" s="544">
        <f>IF(VLOOKUP($E$168,[1]UG!$A$2:$FA$69, 21, FALSE)="",":",VLOOKUP($E$168,[1]UG!$A$2:$FA$69, 21, FALSE))</f>
        <v>121.55</v>
      </c>
      <c r="W168" s="544">
        <f>IF(VLOOKUP($E$168,[1]UG!$A$2:$FA$69, 22, FALSE)="",":",VLOOKUP($E$168,[1]UG!$A$2:$FA$69, 22, FALSE))</f>
        <v>1393.66</v>
      </c>
      <c r="X168" s="544">
        <f>IF(VLOOKUP($E$168,[1]UG!$A$2:$FA$69, 23, FALSE)="",":",VLOOKUP($E$168,[1]UG!$A$2:$FA$69, 23, FALSE))</f>
        <v>91.18</v>
      </c>
      <c r="Y168" s="544">
        <f>IF(VLOOKUP($E$168,[1]UG!$A$2:$FA$69, 24, FALSE)="",":",VLOOKUP($E$168,[1]UG!$A$2:$FA$69, 24, FALSE))</f>
        <v>450.8</v>
      </c>
      <c r="Z168" s="544">
        <f>IF(VLOOKUP($E$168,[1]UG!$A$2:$FA$69, 25, FALSE)="",":",VLOOKUP($E$168,[1]UG!$A$2:$FA$69, 25, FALSE))</f>
        <v>505.19</v>
      </c>
      <c r="AA168" s="544">
        <f>IF(VLOOKUP($E$168,[1]UG!$A$2:$FA$69, 26, FALSE)="",":",VLOOKUP($E$168,[1]UG!$A$2:$FA$69, 26, FALSE))</f>
        <v>267.16000000000003</v>
      </c>
      <c r="AB168" s="544">
        <f>IF(VLOOKUP($E$168,[1]UG!$A$2:$FA$69, 27, FALSE)="",":",VLOOKUP($E$168,[1]UG!$A$2:$FA$69, 27, FALSE))</f>
        <v>183.89</v>
      </c>
      <c r="AC168" s="544" t="str">
        <f>IF(VLOOKUP($E$168,[1]UG!$A$2:$FA$69, 28, FALSE)="",":",VLOOKUP($E$168,[1]UG!$A$2:$FA$69, 28, FALSE))</f>
        <v>:</v>
      </c>
      <c r="AD168" s="544" t="str">
        <f>IF(VLOOKUP($E$168,[1]UG!$A$2:$FA$69, 29, FALSE)="",":",VLOOKUP($E$168,[1]UG!$A$2:$FA$69, 29, FALSE))</f>
        <v>:</v>
      </c>
      <c r="AE168" s="544" t="str">
        <f>IF(VLOOKUP($E$168,[1]UG!$A$2:$FA$69, 30, FALSE)="",":",VLOOKUP($E$168,[1]UG!$A$2:$FA$69, 30, FALSE))</f>
        <v>:</v>
      </c>
      <c r="AF168" s="544" t="str">
        <f>IF(VLOOKUP($E$168,[1]UG!$A$2:$FA$69, 31, FALSE)="",":",VLOOKUP($E$168,[1]UG!$A$2:$FA$69, 31, FALSE))</f>
        <v>:</v>
      </c>
    </row>
    <row r="169" spans="1:32">
      <c r="A169" s="533"/>
      <c r="B169" s="534"/>
      <c r="C169" s="535" t="s">
        <v>1155</v>
      </c>
      <c r="D169" s="12" t="s">
        <v>1214</v>
      </c>
      <c r="E169" s="13">
        <v>84</v>
      </c>
      <c r="F169" s="14" t="str">
        <f>VLOOKUP($E$169,[1]UG!$A$2:$FA$69, 3, FALSE)</f>
        <v>84 Capital transfers to relevant sectors for taxes and social contributions assessed but unlikely to be collected D.995</v>
      </c>
      <c r="G169" s="544">
        <f>IF(VLOOKUP($E$169,[1]UG!$A$2:$FA$69, 6, FALSE)="",":",VLOOKUP($E$169,[1]UG!$A$2:$FA$69, 6, FALSE))</f>
        <v>0</v>
      </c>
      <c r="H169" s="544">
        <f>IF(VLOOKUP($E$169,[1]UG!$A$2:$FA$69, 7, FALSE)="",":",VLOOKUP($E$169,[1]UG!$A$2:$FA$69, 7, FALSE))</f>
        <v>0</v>
      </c>
      <c r="I169" s="544">
        <f>IF(VLOOKUP($E$169,[1]UG!$A$2:$FA$69, 8, FALSE)="",":",VLOOKUP($E$169,[1]UG!$A$2:$FA$69, 8, FALSE))</f>
        <v>0</v>
      </c>
      <c r="J169" s="544">
        <f>IF(VLOOKUP($E$169,[1]UG!$A$2:$FA$69, 9, FALSE)="",":",VLOOKUP($E$169,[1]UG!$A$2:$FA$69, 9, FALSE))</f>
        <v>0</v>
      </c>
      <c r="K169" s="544">
        <f>IF(VLOOKUP($E$169,[1]UG!$A$2:$FA$69, 10, FALSE)="",":",VLOOKUP($E$169,[1]UG!$A$2:$FA$69, 10, FALSE))</f>
        <v>0</v>
      </c>
      <c r="L169" s="544">
        <f>IF(VLOOKUP($E$169,[1]UG!$A$2:$FA$69, 11, FALSE)="",":",VLOOKUP($E$169,[1]UG!$A$2:$FA$69, 11, FALSE))</f>
        <v>38.51</v>
      </c>
      <c r="M169" s="544">
        <f>IF(VLOOKUP($E$169,[1]UG!$A$2:$FA$69, 12, FALSE)="",":",VLOOKUP($E$169,[1]UG!$A$2:$FA$69, 12, FALSE))</f>
        <v>45.68</v>
      </c>
      <c r="N169" s="544">
        <f>IF(VLOOKUP($E$169,[1]UG!$A$2:$FA$69, 13, FALSE)="",":",VLOOKUP($E$169,[1]UG!$A$2:$FA$69, 13, FALSE))</f>
        <v>26.74</v>
      </c>
      <c r="O169" s="544">
        <f>IF(VLOOKUP($E$169,[1]UG!$A$2:$FA$69, 14, FALSE)="",":",VLOOKUP($E$169,[1]UG!$A$2:$FA$69, 14, FALSE))</f>
        <v>14.32</v>
      </c>
      <c r="P169" s="544">
        <f>IF(VLOOKUP($E$169,[1]UG!$A$2:$FA$69, 15, FALSE)="",":",VLOOKUP($E$169,[1]UG!$A$2:$FA$69, 15, FALSE))</f>
        <v>11.99</v>
      </c>
      <c r="Q169" s="544">
        <f>IF(VLOOKUP($E$169,[1]UG!$A$2:$FA$69, 16, FALSE)="",":",VLOOKUP($E$169,[1]UG!$A$2:$FA$69, 16, FALSE))</f>
        <v>9.8000000000000007</v>
      </c>
      <c r="R169" s="544">
        <f>IF(VLOOKUP($E$169,[1]UG!$A$2:$FA$69, 17, FALSE)="",":",VLOOKUP($E$169,[1]UG!$A$2:$FA$69, 17, FALSE))</f>
        <v>14.98</v>
      </c>
      <c r="S169" s="544">
        <f>IF(VLOOKUP($E$169,[1]UG!$A$2:$FA$69, 18, FALSE)="",":",VLOOKUP($E$169,[1]UG!$A$2:$FA$69, 18, FALSE))</f>
        <v>8.9</v>
      </c>
      <c r="T169" s="544">
        <f>IF(VLOOKUP($E$169,[1]UG!$A$2:$FA$69, 19, FALSE)="",":",VLOOKUP($E$169,[1]UG!$A$2:$FA$69, 19, FALSE))</f>
        <v>18.670000000000002</v>
      </c>
      <c r="U169" s="544">
        <f>IF(VLOOKUP($E$169,[1]UG!$A$2:$FA$69, 20, FALSE)="",":",VLOOKUP($E$169,[1]UG!$A$2:$FA$69, 20, FALSE))</f>
        <v>47.25</v>
      </c>
      <c r="V169" s="544">
        <f>IF(VLOOKUP($E$169,[1]UG!$A$2:$FA$69, 21, FALSE)="",":",VLOOKUP($E$169,[1]UG!$A$2:$FA$69, 21, FALSE))</f>
        <v>31.95</v>
      </c>
      <c r="W169" s="544">
        <f>IF(VLOOKUP($E$169,[1]UG!$A$2:$FA$69, 22, FALSE)="",":",VLOOKUP($E$169,[1]UG!$A$2:$FA$69, 22, FALSE))</f>
        <v>15.94</v>
      </c>
      <c r="X169" s="544">
        <f>IF(VLOOKUP($E$169,[1]UG!$A$2:$FA$69, 23, FALSE)="",":",VLOOKUP($E$169,[1]UG!$A$2:$FA$69, 23, FALSE))</f>
        <v>14.12</v>
      </c>
      <c r="Y169" s="544">
        <f>IF(VLOOKUP($E$169,[1]UG!$A$2:$FA$69, 24, FALSE)="",":",VLOOKUP($E$169,[1]UG!$A$2:$FA$69, 24, FALSE))</f>
        <v>17.41</v>
      </c>
      <c r="Z169" s="544">
        <f>IF(VLOOKUP($E$169,[1]UG!$A$2:$FA$69, 25, FALSE)="",":",VLOOKUP($E$169,[1]UG!$A$2:$FA$69, 25, FALSE))</f>
        <v>15.14</v>
      </c>
      <c r="AA169" s="544">
        <f>IF(VLOOKUP($E$169,[1]UG!$A$2:$FA$69, 26, FALSE)="",":",VLOOKUP($E$169,[1]UG!$A$2:$FA$69, 26, FALSE))</f>
        <v>17.63</v>
      </c>
      <c r="AB169" s="544">
        <f>IF(VLOOKUP($E$169,[1]UG!$A$2:$FA$69, 27, FALSE)="",":",VLOOKUP($E$169,[1]UG!$A$2:$FA$69, 27, FALSE))</f>
        <v>14.21</v>
      </c>
      <c r="AC169" s="544" t="str">
        <f>IF(VLOOKUP($E$169,[1]UG!$A$2:$FA$69, 28, FALSE)="",":",VLOOKUP($E$169,[1]UG!$A$2:$FA$69, 28, FALSE))</f>
        <v>:</v>
      </c>
      <c r="AD169" s="544" t="str">
        <f>IF(VLOOKUP($E$169,[1]UG!$A$2:$FA$69, 29, FALSE)="",":",VLOOKUP($E$169,[1]UG!$A$2:$FA$69, 29, FALSE))</f>
        <v>:</v>
      </c>
      <c r="AE169" s="544" t="str">
        <f>IF(VLOOKUP($E$169,[1]UG!$A$2:$FA$69, 30, FALSE)="",":",VLOOKUP($E$169,[1]UG!$A$2:$FA$69, 30, FALSE))</f>
        <v>:</v>
      </c>
      <c r="AF169" s="544" t="str">
        <f>IF(VLOOKUP($E$169,[1]UG!$A$2:$FA$69, 31, FALSE)="",":",VLOOKUP($E$169,[1]UG!$A$2:$FA$69, 31, FALSE))</f>
        <v>:</v>
      </c>
    </row>
    <row r="170" spans="1:32">
      <c r="A170" s="533"/>
      <c r="B170" s="534"/>
      <c r="C170" s="3604"/>
      <c r="D170" s="12" t="s">
        <v>1214</v>
      </c>
      <c r="E170" s="13">
        <v>56</v>
      </c>
      <c r="F170" s="14" t="s">
        <v>2514</v>
      </c>
      <c r="G170" s="544" t="str">
        <f>IF(VLOOKUP($E$170,[1]UG!$A$2:$FA$69, 6, FALSE)="",":",VLOOKUP($E$170,[1]UG!$A$2:$FA$69, 6, FALSE))</f>
        <v>:</v>
      </c>
      <c r="H170" s="544" t="str">
        <f>IF(VLOOKUP($E$170,[1]UG!$A$2:$FA$69, 7, FALSE)="",":",VLOOKUP($E$170,[1]UG!$A$2:$FA$69, 7, FALSE))</f>
        <v>:</v>
      </c>
      <c r="I170" s="544" t="str">
        <f>IF(VLOOKUP($E$170,[1]UG!$A$2:$FA$69, 8, FALSE)="",":",VLOOKUP($E$170,[1]UG!$A$2:$FA$69, 8, FALSE))</f>
        <v>:</v>
      </c>
      <c r="J170" s="544" t="str">
        <f>IF(VLOOKUP($E$170,[1]UG!$A$2:$FA$69, 9, FALSE)="",":",VLOOKUP($E$170,[1]UG!$A$2:$FA$69, 9, FALSE))</f>
        <v>:</v>
      </c>
      <c r="K170" s="544" t="str">
        <f>IF(VLOOKUP($E$170,[1]UG!$A$2:$FA$69, 10, FALSE)="",":",VLOOKUP($E$170,[1]UG!$A$2:$FA$69, 10, FALSE))</f>
        <v>:</v>
      </c>
      <c r="L170" s="544" t="str">
        <f>IF(VLOOKUP($E$170,[1]UG!$A$2:$FA$69, 11, FALSE)="",":",VLOOKUP($E$170,[1]UG!$A$2:$FA$69, 11, FALSE))</f>
        <v>:</v>
      </c>
      <c r="M170" s="544" t="str">
        <f>IF(VLOOKUP($E$170,[1]UG!$A$2:$FA$69, 12, FALSE)="",":",VLOOKUP($E$170,[1]UG!$A$2:$FA$69, 12, FALSE))</f>
        <v>:</v>
      </c>
      <c r="N170" s="544" t="str">
        <f>IF(VLOOKUP($E$170,[1]UG!$A$2:$FA$69, 13, FALSE)="",":",VLOOKUP($E$170,[1]UG!$A$2:$FA$69, 13, FALSE))</f>
        <v>:</v>
      </c>
      <c r="O170" s="544" t="str">
        <f>IF(VLOOKUP($E$170,[1]UG!$A$2:$FA$69, 14, FALSE)="",":",VLOOKUP($E$170,[1]UG!$A$2:$FA$69, 14, FALSE))</f>
        <v>:</v>
      </c>
      <c r="P170" s="544">
        <f>IF(VLOOKUP($E$170,[1]UG!$A$2:$FA$69, 15, FALSE)="",":",VLOOKUP($E$170,[1]UG!$A$2:$FA$69, 15, FALSE))</f>
        <v>88.4</v>
      </c>
      <c r="Q170" s="544">
        <f>IF(VLOOKUP($E$170,[1]UG!$A$2:$FA$69, 16, FALSE)="",":",VLOOKUP($E$170,[1]UG!$A$2:$FA$69, 16, FALSE))</f>
        <v>58.94</v>
      </c>
      <c r="R170" s="544">
        <f>IF(VLOOKUP($E$170,[1]UG!$A$2:$FA$69, 17, FALSE)="",":",VLOOKUP($E$170,[1]UG!$A$2:$FA$69, 17, FALSE))</f>
        <v>78.02</v>
      </c>
      <c r="S170" s="544">
        <f>IF(VLOOKUP($E$170,[1]UG!$A$2:$FA$69, 18, FALSE)="",":",VLOOKUP($E$170,[1]UG!$A$2:$FA$69, 18, FALSE))</f>
        <v>96.56</v>
      </c>
      <c r="T170" s="544">
        <f>IF(VLOOKUP($E$170,[1]UG!$A$2:$FA$69, 19, FALSE)="",":",VLOOKUP($E$170,[1]UG!$A$2:$FA$69, 19, FALSE))</f>
        <v>118.72</v>
      </c>
      <c r="U170" s="544">
        <f>IF(VLOOKUP($E$170,[1]UG!$A$2:$FA$69, 20, FALSE)="",":",VLOOKUP($E$170,[1]UG!$A$2:$FA$69, 20, FALSE))</f>
        <v>121.81</v>
      </c>
      <c r="V170" s="544">
        <f>IF(VLOOKUP($E$170,[1]UG!$A$2:$FA$69, 21, FALSE)="",":",VLOOKUP($E$170,[1]UG!$A$2:$FA$69, 21, FALSE))</f>
        <v>222.34</v>
      </c>
      <c r="W170" s="544">
        <f>IF(VLOOKUP($E$170,[1]UG!$A$2:$FA$69, 22, FALSE)="",":",VLOOKUP($E$170,[1]UG!$A$2:$FA$69, 22, FALSE))</f>
        <v>273.55</v>
      </c>
      <c r="X170" s="544">
        <f>IF(VLOOKUP($E$170,[1]UG!$A$2:$FA$69, 23, FALSE)="",":",VLOOKUP($E$170,[1]UG!$A$2:$FA$69, 23, FALSE))</f>
        <v>268.83</v>
      </c>
      <c r="Y170" s="544">
        <f>IF(VLOOKUP($E$170,[1]UG!$A$2:$FA$69, 24, FALSE)="",":",VLOOKUP($E$170,[1]UG!$A$2:$FA$69, 24, FALSE))</f>
        <v>258.54000000000002</v>
      </c>
      <c r="Z170" s="544">
        <f>IF(VLOOKUP($E$170,[1]UG!$A$2:$FA$69, 25, FALSE)="",":",VLOOKUP($E$170,[1]UG!$A$2:$FA$69, 25, FALSE))</f>
        <v>257.91000000000003</v>
      </c>
      <c r="AA170" s="544">
        <f>IF(VLOOKUP($E$170,[1]UG!$A$2:$FA$69, 26, FALSE)="",":",VLOOKUP($E$170,[1]UG!$A$2:$FA$69, 26, FALSE))</f>
        <v>254.1</v>
      </c>
      <c r="AB170" s="544">
        <f>IF(VLOOKUP($E$170,[1]UG!$A$2:$FA$69, 27, FALSE)="",":",VLOOKUP($E$170,[1]UG!$A$2:$FA$69, 27, FALSE))</f>
        <v>194.4</v>
      </c>
      <c r="AC170" s="544" t="str">
        <f>IF(VLOOKUP($E$170,[1]UG!$A$2:$FA$69, 28, FALSE)="",":",VLOOKUP($E$170,[1]UG!$A$2:$FA$69, 28, FALSE))</f>
        <v>:</v>
      </c>
      <c r="AD170" s="544" t="str">
        <f>IF(VLOOKUP($E$170,[1]UG!$A$2:$FA$69, 29, FALSE)="",":",VLOOKUP($E$170,[1]UG!$A$2:$FA$69, 29, FALSE))</f>
        <v>:</v>
      </c>
      <c r="AE170" s="544" t="str">
        <f>IF(VLOOKUP($E$170,[1]UG!$A$2:$FA$69, 30, FALSE)="",":",VLOOKUP($E$170,[1]UG!$A$2:$FA$69, 30, FALSE))</f>
        <v>:</v>
      </c>
      <c r="AF170" s="544" t="str">
        <f>IF(VLOOKUP($E$170,[1]UG!$A$2:$FA$69, 31, FALSE)="",":",VLOOKUP($E$170,[1]UG!$A$2:$FA$69, 31, FALSE))</f>
        <v>:</v>
      </c>
    </row>
    <row r="171" spans="1:32" ht="12" customHeight="1">
      <c r="A171" s="533">
        <v>126</v>
      </c>
      <c r="B171" s="534" t="s">
        <v>1176</v>
      </c>
      <c r="C171" s="535" t="s">
        <v>1212</v>
      </c>
      <c r="D171" s="12" t="s">
        <v>1214</v>
      </c>
      <c r="E171" s="13">
        <v>44</v>
      </c>
      <c r="F171" s="14" t="str">
        <f>VLOOKUP($E$171,[1]UG!$A$2:$FA$69, 3, FALSE)</f>
        <v>44. Gross fixed capital formation P.51</v>
      </c>
      <c r="G171" s="544">
        <f>IF(VLOOKUP($E$171,[1]UG!$A$2:$FA$69, 6, FALSE)="",":",VLOOKUP($E$171,[1]UG!$A$2:$FA$69, 6, FALSE))</f>
        <v>250.99</v>
      </c>
      <c r="H171" s="544">
        <f>IF(VLOOKUP($E$171,[1]UG!$A$2:$FA$69, 7, FALSE)="",":",VLOOKUP($E$171,[1]UG!$A$2:$FA$69, 7, FALSE))</f>
        <v>231.19</v>
      </c>
      <c r="I171" s="544">
        <f>IF(VLOOKUP($E$171,[1]UG!$A$2:$FA$69, 8, FALSE)="",":",VLOOKUP($E$171,[1]UG!$A$2:$FA$69, 8, FALSE))</f>
        <v>265.47000000000003</v>
      </c>
      <c r="J171" s="544">
        <f>IF(VLOOKUP($E$171,[1]UG!$A$2:$FA$69, 9, FALSE)="",":",VLOOKUP($E$171,[1]UG!$A$2:$FA$69, 9, FALSE))</f>
        <v>329.52</v>
      </c>
      <c r="K171" s="544">
        <f>IF(VLOOKUP($E$171,[1]UG!$A$2:$FA$69, 10, FALSE)="",":",VLOOKUP($E$171,[1]UG!$A$2:$FA$69, 10, FALSE))</f>
        <v>326.14</v>
      </c>
      <c r="L171" s="544">
        <f>IF(VLOOKUP($E$171,[1]UG!$A$2:$FA$69, 11, FALSE)="",":",VLOOKUP($E$171,[1]UG!$A$2:$FA$69, 11, FALSE))</f>
        <v>323.95999999999998</v>
      </c>
      <c r="M171" s="544">
        <f>IF(VLOOKUP($E$171,[1]UG!$A$2:$FA$69, 12, FALSE)="",":",VLOOKUP($E$171,[1]UG!$A$2:$FA$69, 12, FALSE))</f>
        <v>323.43</v>
      </c>
      <c r="N171" s="544">
        <f>IF(VLOOKUP($E$171,[1]UG!$A$2:$FA$69, 13, FALSE)="",":",VLOOKUP($E$171,[1]UG!$A$2:$FA$69, 13, FALSE))</f>
        <v>451.68</v>
      </c>
      <c r="O171" s="544">
        <f>IF(VLOOKUP($E$171,[1]UG!$A$2:$FA$69, 14, FALSE)="",":",VLOOKUP($E$171,[1]UG!$A$2:$FA$69, 14, FALSE))</f>
        <v>512.99</v>
      </c>
      <c r="P171" s="544">
        <f>IF(VLOOKUP($E$171,[1]UG!$A$2:$FA$69, 15, FALSE)="",":",VLOOKUP($E$171,[1]UG!$A$2:$FA$69, 15, FALSE))</f>
        <v>657.77</v>
      </c>
      <c r="Q171" s="544">
        <f>IF(VLOOKUP($E$171,[1]UG!$A$2:$FA$69, 16, FALSE)="",":",VLOOKUP($E$171,[1]UG!$A$2:$FA$69, 16, FALSE))</f>
        <v>757.48</v>
      </c>
      <c r="R171" s="544">
        <f>IF(VLOOKUP($E$171,[1]UG!$A$2:$FA$69, 17, FALSE)="",":",VLOOKUP($E$171,[1]UG!$A$2:$FA$69, 17, FALSE))</f>
        <v>1029.33</v>
      </c>
      <c r="S171" s="544">
        <f>IF(VLOOKUP($E$171,[1]UG!$A$2:$FA$69, 18, FALSE)="",":",VLOOKUP($E$171,[1]UG!$A$2:$FA$69, 18, FALSE))</f>
        <v>1572.36</v>
      </c>
      <c r="T171" s="544">
        <f>IF(VLOOKUP($E$171,[1]UG!$A$2:$FA$69, 19, FALSE)="",":",VLOOKUP($E$171,[1]UG!$A$2:$FA$69, 19, FALSE))</f>
        <v>1759.15</v>
      </c>
      <c r="U171" s="544">
        <f>IF(VLOOKUP($E$171,[1]UG!$A$2:$FA$69, 20, FALSE)="",":",VLOOKUP($E$171,[1]UG!$A$2:$FA$69, 20, FALSE))</f>
        <v>1189.2</v>
      </c>
      <c r="V171" s="544">
        <f>IF(VLOOKUP($E$171,[1]UG!$A$2:$FA$69, 21, FALSE)="",":",VLOOKUP($E$171,[1]UG!$A$2:$FA$69, 21, FALSE))</f>
        <v>1390.93</v>
      </c>
      <c r="W171" s="544">
        <f>IF(VLOOKUP($E$171,[1]UG!$A$2:$FA$69, 22, FALSE)="",":",VLOOKUP($E$171,[1]UG!$A$2:$FA$69, 22, FALSE))</f>
        <v>1479.23</v>
      </c>
      <c r="X171" s="544">
        <f>IF(VLOOKUP($E$171,[1]UG!$A$2:$FA$69, 23, FALSE)="",":",VLOOKUP($E$171,[1]UG!$A$2:$FA$69, 23, FALSE))</f>
        <v>1326.33</v>
      </c>
      <c r="Y171" s="544">
        <f>IF(VLOOKUP($E$171,[1]UG!$A$2:$FA$69, 24, FALSE)="",":",VLOOKUP($E$171,[1]UG!$A$2:$FA$69, 24, FALSE))</f>
        <v>1309.48</v>
      </c>
      <c r="Z171" s="544">
        <f>IF(VLOOKUP($E$171,[1]UG!$A$2:$FA$69, 25, FALSE)="",":",VLOOKUP($E$171,[1]UG!$A$2:$FA$69, 25, FALSE))</f>
        <v>1282.98</v>
      </c>
      <c r="AA171" s="544">
        <f>IF(VLOOKUP($E$171,[1]UG!$A$2:$FA$69, 26, FALSE)="",":",VLOOKUP($E$171,[1]UG!$A$2:$FA$69, 26, FALSE))</f>
        <v>1374.51</v>
      </c>
      <c r="AB171" s="544">
        <f>IF(VLOOKUP($E$171,[1]UG!$A$2:$FA$69, 27, FALSE)="",":",VLOOKUP($E$171,[1]UG!$A$2:$FA$69, 27, FALSE))</f>
        <v>1153.5899999999999</v>
      </c>
      <c r="AC171" s="544" t="str">
        <f>IF(VLOOKUP($E$171,[1]UG!$A$2:$FA$69, 28, FALSE)="",":",VLOOKUP($E$171,[1]UG!$A$2:$FA$69, 28, FALSE))</f>
        <v>:</v>
      </c>
      <c r="AD171" s="544" t="str">
        <f>IF(VLOOKUP($E$171,[1]UG!$A$2:$FA$69, 29, FALSE)="",":",VLOOKUP($E$171,[1]UG!$A$2:$FA$69, 29, FALSE))</f>
        <v>:</v>
      </c>
      <c r="AE171" s="544" t="str">
        <f>IF(VLOOKUP($E$171,[1]UG!$A$2:$FA$69, 30, FALSE)="",":",VLOOKUP($E$171,[1]UG!$A$2:$FA$69, 30, FALSE))</f>
        <v>:</v>
      </c>
      <c r="AF171" s="544" t="str">
        <f>IF(VLOOKUP($E$171,[1]UG!$A$2:$FA$69, 31, FALSE)="",":",VLOOKUP($E$171,[1]UG!$A$2:$FA$69, 31, FALSE))</f>
        <v>:</v>
      </c>
    </row>
    <row r="172" spans="1:32">
      <c r="A172" s="533"/>
      <c r="B172" s="534" t="s">
        <v>1177</v>
      </c>
      <c r="C172" s="535" t="s">
        <v>1528</v>
      </c>
      <c r="D172" s="12" t="s">
        <v>1214</v>
      </c>
      <c r="E172" s="13">
        <v>45</v>
      </c>
      <c r="F172" s="14" t="str">
        <f>VLOOKUP($E$172,[1]UG!$A$2:$FA$69, 3, FALSE)</f>
        <v>45 Changes in inventories and Acquisitions less disposals of valuables and P.52 + P.53</v>
      </c>
      <c r="G172" s="544">
        <f>IF(VLOOKUP($E$172,[1]UG!$A$2:$FA$69, 6, FALSE)="",":",VLOOKUP($E$172,[1]UG!$A$2:$FA$69, 6, FALSE))</f>
        <v>9.69</v>
      </c>
      <c r="H172" s="544">
        <f>IF(VLOOKUP($E$172,[1]UG!$A$2:$FA$69, 7, FALSE)="",":",VLOOKUP($E$172,[1]UG!$A$2:$FA$69, 7, FALSE))</f>
        <v>3.26</v>
      </c>
      <c r="I172" s="544">
        <f>IF(VLOOKUP($E$172,[1]UG!$A$2:$FA$69, 8, FALSE)="",":",VLOOKUP($E$172,[1]UG!$A$2:$FA$69, 8, FALSE))</f>
        <v>2.6100000000000003</v>
      </c>
      <c r="J172" s="544">
        <f>IF(VLOOKUP($E$172,[1]UG!$A$2:$FA$69, 9, FALSE)="",":",VLOOKUP($E$172,[1]UG!$A$2:$FA$69, 9, FALSE))</f>
        <v>0.9</v>
      </c>
      <c r="K172" s="544">
        <f>IF(VLOOKUP($E$172,[1]UG!$A$2:$FA$69, 10, FALSE)="",":",VLOOKUP($E$172,[1]UG!$A$2:$FA$69, 10, FALSE))</f>
        <v>0.17</v>
      </c>
      <c r="L172" s="544">
        <f>IF(VLOOKUP($E$172,[1]UG!$A$2:$FA$69, 11, FALSE)="",":",VLOOKUP($E$172,[1]UG!$A$2:$FA$69, 11, FALSE))</f>
        <v>0.41000000000000003</v>
      </c>
      <c r="M172" s="544">
        <f>IF(VLOOKUP($E$172,[1]UG!$A$2:$FA$69, 12, FALSE)="",":",VLOOKUP($E$172,[1]UG!$A$2:$FA$69, 12, FALSE))</f>
        <v>2.38</v>
      </c>
      <c r="N172" s="544">
        <f>IF(VLOOKUP($E$172,[1]UG!$A$2:$FA$69, 13, FALSE)="",":",VLOOKUP($E$172,[1]UG!$A$2:$FA$69, 13, FALSE))</f>
        <v>12.8</v>
      </c>
      <c r="O172" s="544">
        <f>IF(VLOOKUP($E$172,[1]UG!$A$2:$FA$69, 14, FALSE)="",":",VLOOKUP($E$172,[1]UG!$A$2:$FA$69, 14, FALSE))</f>
        <v>2.73</v>
      </c>
      <c r="P172" s="544">
        <f>IF(VLOOKUP($E$172,[1]UG!$A$2:$FA$69, 15, FALSE)="",":",VLOOKUP($E$172,[1]UG!$A$2:$FA$69, 15, FALSE))</f>
        <v>7.63</v>
      </c>
      <c r="Q172" s="544">
        <f>IF(VLOOKUP($E$172,[1]UG!$A$2:$FA$69, 16, FALSE)="",":",VLOOKUP($E$172,[1]UG!$A$2:$FA$69, 16, FALSE))</f>
        <v>9.57</v>
      </c>
      <c r="R172" s="544">
        <f>IF(VLOOKUP($E$172,[1]UG!$A$2:$FA$69, 17, FALSE)="",":",VLOOKUP($E$172,[1]UG!$A$2:$FA$69, 17, FALSE))</f>
        <v>22.03</v>
      </c>
      <c r="S172" s="544">
        <f>IF(VLOOKUP($E$172,[1]UG!$A$2:$FA$69, 18, FALSE)="",":",VLOOKUP($E$172,[1]UG!$A$2:$FA$69, 18, FALSE))</f>
        <v>20.73</v>
      </c>
      <c r="T172" s="544">
        <f>IF(VLOOKUP($E$172,[1]UG!$A$2:$FA$69, 19, FALSE)="",":",VLOOKUP($E$172,[1]UG!$A$2:$FA$69, 19, FALSE))</f>
        <v>34.36</v>
      </c>
      <c r="U172" s="544">
        <f>IF(VLOOKUP($E$172,[1]UG!$A$2:$FA$69, 20, FALSE)="",":",VLOOKUP($E$172,[1]UG!$A$2:$FA$69, 20, FALSE))</f>
        <v>8.14</v>
      </c>
      <c r="V172" s="544">
        <f>IF(VLOOKUP($E$172,[1]UG!$A$2:$FA$69, 21, FALSE)="",":",VLOOKUP($E$172,[1]UG!$A$2:$FA$69, 21, FALSE))</f>
        <v>3.55</v>
      </c>
      <c r="W172" s="544">
        <f>IF(VLOOKUP($E$172,[1]UG!$A$2:$FA$69, 22, FALSE)="",":",VLOOKUP($E$172,[1]UG!$A$2:$FA$69, 22, FALSE))</f>
        <v>4.62</v>
      </c>
      <c r="X172" s="544">
        <f>IF(VLOOKUP($E$172,[1]UG!$A$2:$FA$69, 23, FALSE)="",":",VLOOKUP($E$172,[1]UG!$A$2:$FA$69, 23, FALSE))</f>
        <v>6.31</v>
      </c>
      <c r="Y172" s="544">
        <f>IF(VLOOKUP($E$172,[1]UG!$A$2:$FA$69, 24, FALSE)="",":",VLOOKUP($E$172,[1]UG!$A$2:$FA$69, 24, FALSE))</f>
        <v>9.6</v>
      </c>
      <c r="Z172" s="544">
        <f>IF(VLOOKUP($E$172,[1]UG!$A$2:$FA$69, 25, FALSE)="",":",VLOOKUP($E$172,[1]UG!$A$2:$FA$69, 25, FALSE))</f>
        <v>12.6</v>
      </c>
      <c r="AA172" s="544">
        <f>IF(VLOOKUP($E$172,[1]UG!$A$2:$FA$69, 26, FALSE)="",":",VLOOKUP($E$172,[1]UG!$A$2:$FA$69, 26, FALSE))</f>
        <v>48.11</v>
      </c>
      <c r="AB172" s="544">
        <f>IF(VLOOKUP($E$172,[1]UG!$A$2:$FA$69, 27, FALSE)="",":",VLOOKUP($E$172,[1]UG!$A$2:$FA$69, 27, FALSE))</f>
        <v>39.15</v>
      </c>
      <c r="AC172" s="544" t="str">
        <f>IF(VLOOKUP($E$172,[1]UG!$A$2:$FA$69, 28, FALSE)="",":",VLOOKUP($E$172,[1]UG!$A$2:$FA$69, 28, FALSE))</f>
        <v>:</v>
      </c>
      <c r="AD172" s="544" t="str">
        <f>IF(VLOOKUP($E$172,[1]UG!$A$2:$FA$69, 29, FALSE)="",":",VLOOKUP($E$172,[1]UG!$A$2:$FA$69, 29, FALSE))</f>
        <v>:</v>
      </c>
      <c r="AE172" s="544" t="str">
        <f>IF(VLOOKUP($E$172,[1]UG!$A$2:$FA$69, 30, FALSE)="",":",VLOOKUP($E$172,[1]UG!$A$2:$FA$69, 30, FALSE))</f>
        <v>:</v>
      </c>
      <c r="AF172" s="544" t="str">
        <f>IF(VLOOKUP($E$172,[1]UG!$A$2:$FA$69, 31, FALSE)="",":",VLOOKUP($E$172,[1]UG!$A$2:$FA$69, 31, FALSE))</f>
        <v>:</v>
      </c>
    </row>
    <row r="173" spans="1:32">
      <c r="A173" s="533"/>
      <c r="B173" s="534" t="s">
        <v>1026</v>
      </c>
      <c r="C173" s="535" t="s">
        <v>1527</v>
      </c>
      <c r="D173" s="12" t="s">
        <v>1214</v>
      </c>
      <c r="E173" s="13">
        <v>46</v>
      </c>
      <c r="F173" s="14" t="str">
        <f>VLOOKUP($E$173,[1]UG!$A$2:$FA$69, 3, FALSE)</f>
        <v>46 Acquisitions of non-produced non-financial assets K.2</v>
      </c>
      <c r="G173" s="544">
        <f>IF(VLOOKUP($E$173,[1]UG!$A$2:$FA$69, 6, FALSE)="",":",VLOOKUP($E$173,[1]UG!$A$2:$FA$69, 6, FALSE))</f>
        <v>0</v>
      </c>
      <c r="H173" s="544">
        <f>IF(VLOOKUP($E$173,[1]UG!$A$2:$FA$69, 7, FALSE)="",":",VLOOKUP($E$173,[1]UG!$A$2:$FA$69, 7, FALSE))</f>
        <v>0</v>
      </c>
      <c r="I173" s="544">
        <f>IF(VLOOKUP($E$173,[1]UG!$A$2:$FA$69, 8, FALSE)="",":",VLOOKUP($E$173,[1]UG!$A$2:$FA$69, 8, FALSE))</f>
        <v>0</v>
      </c>
      <c r="J173" s="544">
        <f>IF(VLOOKUP($E$173,[1]UG!$A$2:$FA$69, 9, FALSE)="",":",VLOOKUP($E$173,[1]UG!$A$2:$FA$69, 9, FALSE))</f>
        <v>-0.32</v>
      </c>
      <c r="K173" s="544">
        <f>IF(VLOOKUP($E$173,[1]UG!$A$2:$FA$69, 10, FALSE)="",":",VLOOKUP($E$173,[1]UG!$A$2:$FA$69, 10, FALSE))</f>
        <v>-1.26</v>
      </c>
      <c r="L173" s="544">
        <f>IF(VLOOKUP($E$173,[1]UG!$A$2:$FA$69, 11, FALSE)="",":",VLOOKUP($E$173,[1]UG!$A$2:$FA$69, 11, FALSE))</f>
        <v>-4.87</v>
      </c>
      <c r="M173" s="544">
        <f>IF(VLOOKUP($E$173,[1]UG!$A$2:$FA$69, 12, FALSE)="",":",VLOOKUP($E$173,[1]UG!$A$2:$FA$69, 12, FALSE))</f>
        <v>-2.76</v>
      </c>
      <c r="N173" s="544">
        <f>IF(VLOOKUP($E$173,[1]UG!$A$2:$FA$69, 13, FALSE)="",":",VLOOKUP($E$173,[1]UG!$A$2:$FA$69, 13, FALSE))</f>
        <v>-3.7</v>
      </c>
      <c r="O173" s="544">
        <f>IF(VLOOKUP($E$173,[1]UG!$A$2:$FA$69, 14, FALSE)="",":",VLOOKUP($E$173,[1]UG!$A$2:$FA$69, 14, FALSE))</f>
        <v>-6.77</v>
      </c>
      <c r="P173" s="544">
        <f>IF(VLOOKUP($E$173,[1]UG!$A$2:$FA$69, 15, FALSE)="",":",VLOOKUP($E$173,[1]UG!$A$2:$FA$69, 15, FALSE))</f>
        <v>-22.55</v>
      </c>
      <c r="Q173" s="544">
        <f>IF(VLOOKUP($E$173,[1]UG!$A$2:$FA$69, 16, FALSE)="",":",VLOOKUP($E$173,[1]UG!$A$2:$FA$69, 16, FALSE))</f>
        <v>-33.92</v>
      </c>
      <c r="R173" s="544">
        <f>IF(VLOOKUP($E$173,[1]UG!$A$2:$FA$69, 17, FALSE)="",":",VLOOKUP($E$173,[1]UG!$A$2:$FA$69, 17, FALSE))</f>
        <v>-36.07</v>
      </c>
      <c r="S173" s="544">
        <f>IF(VLOOKUP($E$173,[1]UG!$A$2:$FA$69, 18, FALSE)="",":",VLOOKUP($E$173,[1]UG!$A$2:$FA$69, 18, FALSE))</f>
        <v>-25.83</v>
      </c>
      <c r="T173" s="544">
        <f>IF(VLOOKUP($E$173,[1]UG!$A$2:$FA$69, 19, FALSE)="",":",VLOOKUP($E$173,[1]UG!$A$2:$FA$69, 19, FALSE))</f>
        <v>-4.25</v>
      </c>
      <c r="U173" s="544">
        <f>IF(VLOOKUP($E$173,[1]UG!$A$2:$FA$69, 20, FALSE)="",":",VLOOKUP($E$173,[1]UG!$A$2:$FA$69, 20, FALSE))</f>
        <v>2.85</v>
      </c>
      <c r="V173" s="544">
        <f>IF(VLOOKUP($E$173,[1]UG!$A$2:$FA$69, 21, FALSE)="",":",VLOOKUP($E$173,[1]UG!$A$2:$FA$69, 21, FALSE))</f>
        <v>-20.399999999999999</v>
      </c>
      <c r="W173" s="544">
        <f>IF(VLOOKUP($E$173,[1]UG!$A$2:$FA$69, 22, FALSE)="",":",VLOOKUP($E$173,[1]UG!$A$2:$FA$69, 22, FALSE))</f>
        <v>-99.45</v>
      </c>
      <c r="X173" s="544">
        <f>IF(VLOOKUP($E$173,[1]UG!$A$2:$FA$69, 23, FALSE)="",":",VLOOKUP($E$173,[1]UG!$A$2:$FA$69, 23, FALSE))</f>
        <v>-76.11</v>
      </c>
      <c r="Y173" s="544">
        <f>IF(VLOOKUP($E$173,[1]UG!$A$2:$FA$69, 24, FALSE)="",":",VLOOKUP($E$173,[1]UG!$A$2:$FA$69, 24, FALSE))</f>
        <v>-118.04</v>
      </c>
      <c r="Z173" s="544">
        <f>IF(VLOOKUP($E$173,[1]UG!$A$2:$FA$69, 25, FALSE)="",":",VLOOKUP($E$173,[1]UG!$A$2:$FA$69, 25, FALSE))</f>
        <v>-78.44</v>
      </c>
      <c r="AA173" s="544">
        <f>IF(VLOOKUP($E$173,[1]UG!$A$2:$FA$69, 26, FALSE)="",":",VLOOKUP($E$173,[1]UG!$A$2:$FA$69, 26, FALSE))</f>
        <v>-51.64</v>
      </c>
      <c r="AB173" s="544">
        <f>IF(VLOOKUP($E$173,[1]UG!$A$2:$FA$69, 27, FALSE)="",":",VLOOKUP($E$173,[1]UG!$A$2:$FA$69, 27, FALSE))</f>
        <v>-27.92</v>
      </c>
      <c r="AC173" s="544" t="str">
        <f>IF(VLOOKUP($E$173,[1]UG!$A$2:$FA$69, 28, FALSE)="",":",VLOOKUP($E$173,[1]UG!$A$2:$FA$69, 28, FALSE))</f>
        <v>:</v>
      </c>
      <c r="AD173" s="544" t="str">
        <f>IF(VLOOKUP($E$173,[1]UG!$A$2:$FA$69, 29, FALSE)="",":",VLOOKUP($E$173,[1]UG!$A$2:$FA$69, 29, FALSE))</f>
        <v>:</v>
      </c>
      <c r="AE173" s="544" t="str">
        <f>IF(VLOOKUP($E$173,[1]UG!$A$2:$FA$69, 30, FALSE)="",":",VLOOKUP($E$173,[1]UG!$A$2:$FA$69, 30, FALSE))</f>
        <v>:</v>
      </c>
      <c r="AF173" s="544" t="str">
        <f>IF(VLOOKUP($E$173,[1]UG!$A$2:$FA$69, 31, FALSE)="",":",VLOOKUP($E$173,[1]UG!$A$2:$FA$69, 31, FALSE))</f>
        <v>:</v>
      </c>
    </row>
    <row r="174" spans="1:32">
      <c r="A174" s="533"/>
      <c r="B174" s="534"/>
      <c r="C174" s="3604"/>
      <c r="D174" s="12" t="s">
        <v>1214</v>
      </c>
      <c r="E174" s="13">
        <v>57</v>
      </c>
      <c r="F174" s="14" t="s">
        <v>2515</v>
      </c>
      <c r="G174" s="544" t="str">
        <f>IF(VLOOKUP($E$174,[1]UG!$A$2:$FA$69, 6, FALSE)="",":",VLOOKUP($E$174,[1]UG!$A$2:$FA$69, 6, FALSE))</f>
        <v>:</v>
      </c>
      <c r="H174" s="544" t="str">
        <f>IF(VLOOKUP($E$174,[1]UG!$A$2:$FA$69, 7, FALSE)="",":",VLOOKUP($E$174,[1]UG!$A$2:$FA$69, 7, FALSE))</f>
        <v>:</v>
      </c>
      <c r="I174" s="544" t="str">
        <f>IF(VLOOKUP($E$174,[1]UG!$A$2:$FA$69, 8, FALSE)="",":",VLOOKUP($E$174,[1]UG!$A$2:$FA$69, 8, FALSE))</f>
        <v>:</v>
      </c>
      <c r="J174" s="544" t="str">
        <f>IF(VLOOKUP($E$174,[1]UG!$A$2:$FA$69, 9, FALSE)="",":",VLOOKUP($E$174,[1]UG!$A$2:$FA$69, 9, FALSE))</f>
        <v>:</v>
      </c>
      <c r="K174" s="544" t="str">
        <f>IF(VLOOKUP($E$174,[1]UG!$A$2:$FA$69, 10, FALSE)="",":",VLOOKUP($E$174,[1]UG!$A$2:$FA$69, 10, FALSE))</f>
        <v>:</v>
      </c>
      <c r="L174" s="544" t="str">
        <f>IF(VLOOKUP($E$174,[1]UG!$A$2:$FA$69, 11, FALSE)="",":",VLOOKUP($E$174,[1]UG!$A$2:$FA$69, 11, FALSE))</f>
        <v>:</v>
      </c>
      <c r="M174" s="544" t="str">
        <f>IF(VLOOKUP($E$174,[1]UG!$A$2:$FA$69, 12, FALSE)="",":",VLOOKUP($E$174,[1]UG!$A$2:$FA$69, 12, FALSE))</f>
        <v>:</v>
      </c>
      <c r="N174" s="544" t="str">
        <f>IF(VLOOKUP($E$174,[1]UG!$A$2:$FA$69, 13, FALSE)="",":",VLOOKUP($E$174,[1]UG!$A$2:$FA$69, 13, FALSE))</f>
        <v>:</v>
      </c>
      <c r="O174" s="544" t="str">
        <f>IF(VLOOKUP($E$174,[1]UG!$A$2:$FA$69, 14, FALSE)="",":",VLOOKUP($E$174,[1]UG!$A$2:$FA$69, 14, FALSE))</f>
        <v>:</v>
      </c>
      <c r="P174" s="544">
        <f>IF(VLOOKUP($E$174,[1]UG!$A$2:$FA$69, 15, FALSE)="",":",VLOOKUP($E$174,[1]UG!$A$2:$FA$69, 15, FALSE))</f>
        <v>76.08</v>
      </c>
      <c r="Q174" s="544">
        <f>IF(VLOOKUP($E$174,[1]UG!$A$2:$FA$69, 16, FALSE)="",":",VLOOKUP($E$174,[1]UG!$A$2:$FA$69, 16, FALSE))</f>
        <v>145.16</v>
      </c>
      <c r="R174" s="544">
        <f>IF(VLOOKUP($E$174,[1]UG!$A$2:$FA$69, 17, FALSE)="",":",VLOOKUP($E$174,[1]UG!$A$2:$FA$69, 17, FALSE))</f>
        <v>239.08</v>
      </c>
      <c r="S174" s="544">
        <f>IF(VLOOKUP($E$174,[1]UG!$A$2:$FA$69, 18, FALSE)="",":",VLOOKUP($E$174,[1]UG!$A$2:$FA$69, 18, FALSE))</f>
        <v>413.17</v>
      </c>
      <c r="T174" s="544">
        <f>IF(VLOOKUP($E$174,[1]UG!$A$2:$FA$69, 19, FALSE)="",":",VLOOKUP($E$174,[1]UG!$A$2:$FA$69, 19, FALSE))</f>
        <v>354.21</v>
      </c>
      <c r="U174" s="544">
        <f>IF(VLOOKUP($E$174,[1]UG!$A$2:$FA$69, 20, FALSE)="",":",VLOOKUP($E$174,[1]UG!$A$2:$FA$69, 20, FALSE))</f>
        <v>437.3</v>
      </c>
      <c r="V174" s="544">
        <f>IF(VLOOKUP($E$174,[1]UG!$A$2:$FA$69, 21, FALSE)="",":",VLOOKUP($E$174,[1]UG!$A$2:$FA$69, 21, FALSE))</f>
        <v>734.33</v>
      </c>
      <c r="W174" s="544">
        <f>IF(VLOOKUP($E$174,[1]UG!$A$2:$FA$69, 22, FALSE)="",":",VLOOKUP($E$174,[1]UG!$A$2:$FA$69, 22, FALSE))</f>
        <v>701.92</v>
      </c>
      <c r="X174" s="544">
        <f>IF(VLOOKUP($E$174,[1]UG!$A$2:$FA$69, 23, FALSE)="",":",VLOOKUP($E$174,[1]UG!$A$2:$FA$69, 23, FALSE))</f>
        <v>647.55999999999995</v>
      </c>
      <c r="Y174" s="544">
        <f>IF(VLOOKUP($E$174,[1]UG!$A$2:$FA$69, 24, FALSE)="",":",VLOOKUP($E$174,[1]UG!$A$2:$FA$69, 24, FALSE))</f>
        <v>616.77</v>
      </c>
      <c r="Z174" s="544">
        <f>IF(VLOOKUP($E$174,[1]UG!$A$2:$FA$69, 25, FALSE)="",":",VLOOKUP($E$174,[1]UG!$A$2:$FA$69, 25, FALSE))</f>
        <v>508.4</v>
      </c>
      <c r="AA174" s="544">
        <f>IF(VLOOKUP($E$174,[1]UG!$A$2:$FA$69, 26, FALSE)="",":",VLOOKUP($E$174,[1]UG!$A$2:$FA$69, 26, FALSE))</f>
        <v>457.01</v>
      </c>
      <c r="AB174" s="544">
        <f>IF(VLOOKUP($E$174,[1]UG!$A$2:$FA$69, 27, FALSE)="",":",VLOOKUP($E$174,[1]UG!$A$2:$FA$69, 27, FALSE))</f>
        <v>210.01</v>
      </c>
      <c r="AC174" s="544" t="str">
        <f>IF(VLOOKUP($E$174,[1]UG!$A$2:$FA$69, 28, FALSE)="",":",VLOOKUP($E$174,[1]UG!$A$2:$FA$69, 28, FALSE))</f>
        <v>:</v>
      </c>
      <c r="AD174" s="544" t="str">
        <f>IF(VLOOKUP($E$174,[1]UG!$A$2:$FA$69, 29, FALSE)="",":",VLOOKUP($E$174,[1]UG!$A$2:$FA$69, 29, FALSE))</f>
        <v>:</v>
      </c>
      <c r="AE174" s="544" t="str">
        <f>IF(VLOOKUP($E$174,[1]UG!$A$2:$FA$69, 30, FALSE)="",":",VLOOKUP($E$174,[1]UG!$A$2:$FA$69, 30, FALSE))</f>
        <v>:</v>
      </c>
      <c r="AF174" s="544" t="str">
        <f>IF(VLOOKUP($E$174,[1]UG!$A$2:$FA$69, 31, FALSE)="",":",VLOOKUP($E$174,[1]UG!$A$2:$FA$69, 31, FALSE))</f>
        <v>:</v>
      </c>
    </row>
    <row r="175" spans="1:32">
      <c r="A175" s="533">
        <v>128</v>
      </c>
      <c r="B175" s="534" t="s">
        <v>1174</v>
      </c>
      <c r="C175" s="535"/>
      <c r="D175" s="12" t="s">
        <v>1214</v>
      </c>
      <c r="E175" s="13">
        <v>900</v>
      </c>
      <c r="F175" s="14" t="str">
        <f>VLOOKUP($E$175,[1]UG!$A$2:$FA$300, 3, FALSE)</f>
        <v xml:space="preserve">900 Consolodated gross debt </v>
      </c>
      <c r="G175" s="544">
        <f>IF(VLOOKUP($E$175,[1]UG!$A$2:$FA$300, 6, FALSE)="",":",VLOOKUP($E$175,[1]UG!$A$2:$FA$300, 6, FALSE))</f>
        <v>894.5</v>
      </c>
      <c r="H175" s="544">
        <f>IF(VLOOKUP($E$175,[1]UG!$A$2:$FA$300, 7, FALSE)="",":",VLOOKUP($E$175,[1]UG!$A$2:$FA$300, 7, FALSE))</f>
        <v>1351.5</v>
      </c>
      <c r="I175" s="544">
        <f>IF(VLOOKUP($E$175,[1]UG!$A$2:$FA$300, 8, FALSE)="",":",VLOOKUP($E$175,[1]UG!$A$2:$FA$300, 8, FALSE))</f>
        <v>1802.2</v>
      </c>
      <c r="J175" s="544">
        <f>IF(VLOOKUP($E$175,[1]UG!$A$2:$FA$300, 9, FALSE)="",":",VLOOKUP($E$175,[1]UG!$A$2:$FA$300, 9, FALSE))</f>
        <v>2153.6999999999998</v>
      </c>
      <c r="K175" s="544">
        <f>IF(VLOOKUP($E$175,[1]UG!$A$2:$FA$300, 10, FALSE)="",":",VLOOKUP($E$175,[1]UG!$A$2:$FA$300, 10, FALSE))</f>
        <v>2885.6</v>
      </c>
      <c r="L175" s="544">
        <f>IF(VLOOKUP($E$175,[1]UG!$A$2:$FA$300, 11, FALSE)="",":",VLOOKUP($E$175,[1]UG!$A$2:$FA$300, 11, FALSE))</f>
        <v>3140</v>
      </c>
      <c r="M175" s="544">
        <f>IF(VLOOKUP($E$175,[1]UG!$A$2:$FA$300, 12, FALSE)="",":",VLOOKUP($E$175,[1]UG!$A$2:$FA$300, 12, FALSE))</f>
        <v>3249.8</v>
      </c>
      <c r="N175" s="544">
        <f>IF(VLOOKUP($E$175,[1]UG!$A$2:$FA$300, 13, FALSE)="",":",VLOOKUP($E$175,[1]UG!$A$2:$FA$300, 13, FALSE))</f>
        <v>3365.4</v>
      </c>
      <c r="O175" s="544">
        <f>IF(VLOOKUP($E$175,[1]UG!$A$2:$FA$300, 14, FALSE)="",":",VLOOKUP($E$175,[1]UG!$A$2:$FA$300, 14, FALSE))</f>
        <v>3394.7</v>
      </c>
      <c r="P175" s="544">
        <f>IF(VLOOKUP($E$175,[1]UG!$A$2:$FA$300, 15, FALSE)="",":",VLOOKUP($E$175,[1]UG!$A$2:$FA$300, 15, FALSE))</f>
        <v>3404.5</v>
      </c>
      <c r="Q175" s="544">
        <f>IF(VLOOKUP($E$175,[1]UG!$A$2:$FA$300, 16, FALSE)="",":",VLOOKUP($E$175,[1]UG!$A$2:$FA$300, 16, FALSE))</f>
        <v>3701.9</v>
      </c>
      <c r="R175" s="544">
        <f>IF(VLOOKUP($E$175,[1]UG!$A$2:$FA$300, 17, FALSE)="",":",VLOOKUP($E$175,[1]UG!$A$2:$FA$300, 17, FALSE))</f>
        <v>4151.8999999999996</v>
      </c>
      <c r="S175" s="544">
        <f>IF(VLOOKUP($E$175,[1]UG!$A$2:$FA$300, 18, FALSE)="",":",VLOOKUP($E$175,[1]UG!$A$2:$FA$300, 18, FALSE))</f>
        <v>4609.7</v>
      </c>
      <c r="T175" s="544">
        <f>IF(VLOOKUP($E$175,[1]UG!$A$2:$FA$300, 19, FALSE)="",":",VLOOKUP($E$175,[1]UG!$A$2:$FA$300, 19, FALSE))</f>
        <v>4762.1000000000004</v>
      </c>
      <c r="U175" s="544">
        <f>IF(VLOOKUP($E$175,[1]UG!$A$2:$FA$300, 20, FALSE)="",":",VLOOKUP($E$175,[1]UG!$A$2:$FA$300, 20, FALSE))</f>
        <v>7528.5</v>
      </c>
      <c r="V175" s="544">
        <f>IF(VLOOKUP($E$175,[1]UG!$A$2:$FA$300, 21, FALSE)="",":",VLOOKUP($E$175,[1]UG!$A$2:$FA$300, 21, FALSE))</f>
        <v>10150.799999999999</v>
      </c>
      <c r="W175" s="544">
        <f>IF(VLOOKUP($E$175,[1]UG!$A$2:$FA$300, 22, FALSE)="",":",VLOOKUP($E$175,[1]UG!$A$2:$FA$300, 22, FALSE))</f>
        <v>11629.2</v>
      </c>
      <c r="X175" s="544">
        <f>IF(VLOOKUP($E$175,[1]UG!$A$2:$FA$300, 23, FALSE)="",":",VLOOKUP($E$175,[1]UG!$A$2:$FA$300, 23, FALSE))</f>
        <v>13264.1</v>
      </c>
      <c r="Y175" s="544">
        <f>IF(VLOOKUP($E$175,[1]UG!$A$2:$FA$300, 24, FALSE)="",":",VLOOKUP($E$175,[1]UG!$A$2:$FA$300, 24, FALSE))</f>
        <v>13550</v>
      </c>
      <c r="Z175" s="544">
        <f>IF(VLOOKUP($E$175,[1]UG!$A$2:$FA$300, 25, FALSE)="",":",VLOOKUP($E$175,[1]UG!$A$2:$FA$300, 25, FALSE))</f>
        <v>14825</v>
      </c>
      <c r="AA175" s="544">
        <f>IF(VLOOKUP($E$175,[1]UG!$A$2:$FA$300, 26, FALSE)="",":",VLOOKUP($E$175,[1]UG!$A$2:$FA$300, 26, FALSE))</f>
        <v>15939.5</v>
      </c>
      <c r="AB175" s="544">
        <f>IF(VLOOKUP($E$175,[1]UG!$A$2:$FA$300, 27, FALSE)="",":",VLOOKUP($E$175,[1]UG!$A$2:$FA$300, 27, FALSE))</f>
        <v>15513.7</v>
      </c>
      <c r="AC175" s="544" t="str">
        <f>IF(VLOOKUP($E$175,[1]UG!$A$2:$FA$300, 28, FALSE)="",":",VLOOKUP($E$175,[1]UG!$A$2:$FA$300, 28, FALSE))</f>
        <v>:</v>
      </c>
      <c r="AD175" s="544" t="str">
        <f>IF(VLOOKUP($E$175,[1]UG!$A$2:$FA$300, 29, FALSE)="",":",VLOOKUP($E$175,[1]UG!$A$2:$FA$300, 29, FALSE))</f>
        <v>:</v>
      </c>
      <c r="AE175" s="544" t="str">
        <f>IF(VLOOKUP($E$175,[1]UG!$A$2:$FA$300, 30, FALSE)="",":",VLOOKUP($E$175,[1]UG!$A$2:$FA$300, 30, FALSE))</f>
        <v>:</v>
      </c>
      <c r="AF175" s="544" t="str">
        <f>IF(VLOOKUP($E$175,[1]UG!$A$2:$FA$300, 31, FALSE)="",":",VLOOKUP($E$175,[1]UG!$A$2:$FA$300, 31, FALSE))</f>
        <v>:</v>
      </c>
    </row>
    <row r="176" spans="1:32">
      <c r="A176" s="533">
        <v>129</v>
      </c>
      <c r="B176" s="534" t="s">
        <v>1142</v>
      </c>
      <c r="C176" s="535"/>
      <c r="D176" s="12" t="s">
        <v>1214</v>
      </c>
      <c r="E176" s="13">
        <v>49</v>
      </c>
      <c r="F176" s="14" t="str">
        <f>VLOOKUP($E$176,[1]UG!$A$2:$FA$69, 3, FALSE)</f>
        <v>49 Total General government expenditure  (harmonised) TE</v>
      </c>
      <c r="G176" s="544">
        <f>IF(VLOOKUP($E$176,[1]UG!$A$2:$FA$69, 6, FALSE)="",":",VLOOKUP($E$176,[1]UG!$A$2:$FA$69, 6, FALSE))</f>
        <v>2684.88</v>
      </c>
      <c r="H176" s="544">
        <f>IF(VLOOKUP($E$176,[1]UG!$A$2:$FA$69, 7, FALSE)="",":",VLOOKUP($E$176,[1]UG!$A$2:$FA$69, 7, FALSE))</f>
        <v>3551.23</v>
      </c>
      <c r="I176" s="544">
        <f>IF(VLOOKUP($E$176,[1]UG!$A$2:$FA$69, 8, FALSE)="",":",VLOOKUP($E$176,[1]UG!$A$2:$FA$69, 8, FALSE))</f>
        <v>5893.82</v>
      </c>
      <c r="J176" s="544">
        <f>IF(VLOOKUP($E$176,[1]UG!$A$2:$FA$69, 9, FALSE)="",":",VLOOKUP($E$176,[1]UG!$A$2:$FA$69, 9, FALSE))</f>
        <v>5362.4</v>
      </c>
      <c r="K176" s="544">
        <f>IF(VLOOKUP($E$176,[1]UG!$A$2:$FA$69, 10, FALSE)="",":",VLOOKUP($E$176,[1]UG!$A$2:$FA$69, 10, FALSE))</f>
        <v>5191.91</v>
      </c>
      <c r="L176" s="544">
        <f>IF(VLOOKUP($E$176,[1]UG!$A$2:$FA$69, 11, FALSE)="",":",VLOOKUP($E$176,[1]UG!$A$2:$FA$69, 11, FALSE))</f>
        <v>5266.35</v>
      </c>
      <c r="M176" s="544">
        <f>IF(VLOOKUP($E$176,[1]UG!$A$2:$FA$69, 12, FALSE)="",":",VLOOKUP($E$176,[1]UG!$A$2:$FA$69, 12, FALSE))</f>
        <v>5264.95</v>
      </c>
      <c r="N176" s="544">
        <f>IF(VLOOKUP($E$176,[1]UG!$A$2:$FA$69, 13, FALSE)="",":",VLOOKUP($E$176,[1]UG!$A$2:$FA$69, 13, FALSE))</f>
        <v>5343.11</v>
      </c>
      <c r="O176" s="544">
        <f>IF(VLOOKUP($E$176,[1]UG!$A$2:$FA$69, 14, FALSE)="",":",VLOOKUP($E$176,[1]UG!$A$2:$FA$69, 14, FALSE))</f>
        <v>5597.06</v>
      </c>
      <c r="P176" s="544">
        <f>IF(VLOOKUP($E$176,[1]UG!$A$2:$FA$69, 15, FALSE)="",":",VLOOKUP($E$176,[1]UG!$A$2:$FA$69, 15, FALSE))</f>
        <v>6207.38</v>
      </c>
      <c r="Q176" s="544">
        <f>IF(VLOOKUP($E$176,[1]UG!$A$2:$FA$69, 16, FALSE)="",":",VLOOKUP($E$176,[1]UG!$A$2:$FA$69, 16, FALSE))</f>
        <v>7157.39</v>
      </c>
      <c r="R176" s="544">
        <f>IF(VLOOKUP($E$176,[1]UG!$A$2:$FA$69, 17, FALSE)="",":",VLOOKUP($E$176,[1]UG!$A$2:$FA$69, 17, FALSE))</f>
        <v>8261.69</v>
      </c>
      <c r="S176" s="544">
        <f>IF(VLOOKUP($E$176,[1]UG!$A$2:$FA$69, 18, FALSE)="",":",VLOOKUP($E$176,[1]UG!$A$2:$FA$69, 18, FALSE))</f>
        <v>10238.51</v>
      </c>
      <c r="T176" s="544">
        <f>IF(VLOOKUP($E$176,[1]UG!$A$2:$FA$69, 19, FALSE)="",":",VLOOKUP($E$176,[1]UG!$A$2:$FA$69, 19, FALSE))</f>
        <v>12454.32</v>
      </c>
      <c r="U176" s="544">
        <f>IF(VLOOKUP($E$176,[1]UG!$A$2:$FA$69, 20, FALSE)="",":",VLOOKUP($E$176,[1]UG!$A$2:$FA$69, 20, FALSE))</f>
        <v>12090.59</v>
      </c>
      <c r="V176" s="544">
        <f>IF(VLOOKUP($E$176,[1]UG!$A$2:$FA$69, 21, FALSE)="",":",VLOOKUP($E$176,[1]UG!$A$2:$FA$69, 21, FALSE))</f>
        <v>11855.39</v>
      </c>
      <c r="W176" s="544">
        <f>IF(VLOOKUP($E$176,[1]UG!$A$2:$FA$69, 22, FALSE)="",":",VLOOKUP($E$176,[1]UG!$A$2:$FA$69, 22, FALSE))</f>
        <v>13283.53</v>
      </c>
      <c r="X176" s="544">
        <f>IF(VLOOKUP($E$176,[1]UG!$A$2:$FA$69, 23, FALSE)="",":",VLOOKUP($E$176,[1]UG!$A$2:$FA$69, 23, FALSE))</f>
        <v>12039.57</v>
      </c>
      <c r="Y176" s="544">
        <f>IF(VLOOKUP($E$176,[1]UG!$A$2:$FA$69, 24, FALSE)="",":",VLOOKUP($E$176,[1]UG!$A$2:$FA$69, 24, FALSE))</f>
        <v>12408.2</v>
      </c>
      <c r="Z176" s="544">
        <f>IF(VLOOKUP($E$176,[1]UG!$A$2:$FA$69, 25, FALSE)="",":",VLOOKUP($E$176,[1]UG!$A$2:$FA$69, 25, FALSE))</f>
        <v>12666.74</v>
      </c>
      <c r="AA176" s="544">
        <f>IF(VLOOKUP($E$176,[1]UG!$A$2:$FA$69, 26, FALSE)="",":",VLOOKUP($E$176,[1]UG!$A$2:$FA$69, 26, FALSE))</f>
        <v>13057.7</v>
      </c>
      <c r="AB176" s="544">
        <f>IF(VLOOKUP($E$176,[1]UG!$A$2:$FA$69, 27, FALSE)="",":",VLOOKUP($E$176,[1]UG!$A$2:$FA$69, 27, FALSE))</f>
        <v>13226.98</v>
      </c>
      <c r="AC176" s="544" t="str">
        <f>IF(VLOOKUP($E$176,[1]UG!$A$2:$FA$69, 28, FALSE)="",":",VLOOKUP($E$176,[1]UG!$A$2:$FA$69, 28, FALSE))</f>
        <v>:</v>
      </c>
      <c r="AD176" s="544" t="str">
        <f>IF(VLOOKUP($E$176,[1]UG!$A$2:$FA$69, 29, FALSE)="",":",VLOOKUP($E$176,[1]UG!$A$2:$FA$69, 29, FALSE))</f>
        <v>:</v>
      </c>
      <c r="AE176" s="544" t="str">
        <f>IF(VLOOKUP($E$176,[1]UG!$A$2:$FA$69, 30, FALSE)="",":",VLOOKUP($E$176,[1]UG!$A$2:$FA$69, 30, FALSE))</f>
        <v>:</v>
      </c>
      <c r="AF176" s="544" t="str">
        <f>IF(VLOOKUP($E$176,[1]UG!$A$2:$FA$69, 31, FALSE)="",":",VLOOKUP($E$176,[1]UG!$A$2:$FA$69, 31, FALSE))</f>
        <v>:</v>
      </c>
    </row>
    <row r="177" spans="1:32">
      <c r="A177" s="533"/>
      <c r="B177" s="534" t="s">
        <v>792</v>
      </c>
      <c r="C177" s="535"/>
      <c r="D177" s="12" t="s">
        <v>1214</v>
      </c>
      <c r="E177" s="13">
        <v>50</v>
      </c>
      <c r="F177" s="14" t="str">
        <f>VLOOKUP($E$177,[1]UG!$A$2:$FA$69, 3, FALSE)</f>
        <v>50 Total General government revenue  (harmonised) TR</v>
      </c>
      <c r="G177" s="544">
        <f>IF(VLOOKUP($E$177,[1]UG!$A$2:$FA$69, 6, FALSE)="",":",VLOOKUP($E$177,[1]UG!$A$2:$FA$69, 6, FALSE))</f>
        <v>2564.77</v>
      </c>
      <c r="H177" s="544">
        <f>IF(VLOOKUP($E$177,[1]UG!$A$2:$FA$69, 7, FALSE)="",":",VLOOKUP($E$177,[1]UG!$A$2:$FA$69, 7, FALSE))</f>
        <v>3235.58</v>
      </c>
      <c r="I177" s="544">
        <f>IF(VLOOKUP($E$177,[1]UG!$A$2:$FA$69, 8, FALSE)="",":",VLOOKUP($E$177,[1]UG!$A$2:$FA$69, 8, FALSE))</f>
        <v>4515.8100000000004</v>
      </c>
      <c r="J177" s="544">
        <f>IF(VLOOKUP($E$177,[1]UG!$A$2:$FA$69, 9, FALSE)="",":",VLOOKUP($E$177,[1]UG!$A$2:$FA$69, 9, FALSE))</f>
        <v>4967.5200000000004</v>
      </c>
      <c r="K177" s="544">
        <f>IF(VLOOKUP($E$177,[1]UG!$A$2:$FA$69, 10, FALSE)="",":",VLOOKUP($E$177,[1]UG!$A$2:$FA$69, 10, FALSE))</f>
        <v>4833.1899999999996</v>
      </c>
      <c r="L177" s="544">
        <f>IF(VLOOKUP($E$177,[1]UG!$A$2:$FA$69, 11, FALSE)="",":",VLOOKUP($E$177,[1]UG!$A$2:$FA$69, 11, FALSE))</f>
        <v>4840.6099999999997</v>
      </c>
      <c r="M177" s="544">
        <f>IF(VLOOKUP($E$177,[1]UG!$A$2:$FA$69, 12, FALSE)="",":",VLOOKUP($E$177,[1]UG!$A$2:$FA$69, 12, FALSE))</f>
        <v>4764.34</v>
      </c>
      <c r="N177" s="544">
        <f>IF(VLOOKUP($E$177,[1]UG!$A$2:$FA$69, 13, FALSE)="",":",VLOOKUP($E$177,[1]UG!$A$2:$FA$69, 13, FALSE))</f>
        <v>5061.1000000000004</v>
      </c>
      <c r="O177" s="544">
        <f>IF(VLOOKUP($E$177,[1]UG!$A$2:$FA$69, 14, FALSE)="",":",VLOOKUP($E$177,[1]UG!$A$2:$FA$69, 14, FALSE))</f>
        <v>5386.33</v>
      </c>
      <c r="P177" s="544">
        <f>IF(VLOOKUP($E$177,[1]UG!$A$2:$FA$69, 15, FALSE)="",":",VLOOKUP($E$177,[1]UG!$A$2:$FA$69, 15, FALSE))</f>
        <v>5953.47</v>
      </c>
      <c r="Q177" s="544">
        <f>IF(VLOOKUP($E$177,[1]UG!$A$2:$FA$69, 16, FALSE)="",":",VLOOKUP($E$177,[1]UG!$A$2:$FA$69, 16, FALSE))</f>
        <v>7085.33</v>
      </c>
      <c r="R177" s="544">
        <f>IF(VLOOKUP($E$177,[1]UG!$A$2:$FA$69, 17, FALSE)="",":",VLOOKUP($E$177,[1]UG!$A$2:$FA$69, 17, FALSE))</f>
        <v>8196.17</v>
      </c>
      <c r="S177" s="544">
        <f>IF(VLOOKUP($E$177,[1]UG!$A$2:$FA$69, 18, FALSE)="",":",VLOOKUP($E$177,[1]UG!$A$2:$FA$69, 18, FALSE))</f>
        <v>10001.74</v>
      </c>
      <c r="T177" s="544">
        <f>IF(VLOOKUP($E$177,[1]UG!$A$2:$FA$69, 19, FALSE)="",":",VLOOKUP($E$177,[1]UG!$A$2:$FA$69, 19, FALSE))</f>
        <v>11446.28</v>
      </c>
      <c r="U177" s="544">
        <f>IF(VLOOKUP($E$177,[1]UG!$A$2:$FA$69, 20, FALSE)="",":",VLOOKUP($E$177,[1]UG!$A$2:$FA$69, 20, FALSE))</f>
        <v>9638</v>
      </c>
      <c r="V177" s="544">
        <f>IF(VLOOKUP($E$177,[1]UG!$A$2:$FA$69, 21, FALSE)="",":",VLOOKUP($E$177,[1]UG!$A$2:$FA$69, 21, FALSE))</f>
        <v>9921.2800000000007</v>
      </c>
      <c r="W177" s="544">
        <f>IF(VLOOKUP($E$177,[1]UG!$A$2:$FA$69, 22, FALSE)="",":",VLOOKUP($E$177,[1]UG!$A$2:$FA$69, 22, FALSE))</f>
        <v>10487.59</v>
      </c>
      <c r="X177" s="544">
        <f>IF(VLOOKUP($E$177,[1]UG!$A$2:$FA$69, 23, FALSE)="",":",VLOOKUP($E$177,[1]UG!$A$2:$FA$69, 23, FALSE))</f>
        <v>10990.59</v>
      </c>
      <c r="Y177" s="544">
        <f>IF(VLOOKUP($E$177,[1]UG!$A$2:$FA$69, 24, FALSE)="",":",VLOOKUP($E$177,[1]UG!$A$2:$FA$69, 24, FALSE))</f>
        <v>11495.79</v>
      </c>
      <c r="Z177" s="544">
        <f>IF(VLOOKUP($E$177,[1]UG!$A$2:$FA$69, 25, FALSE)="",":",VLOOKUP($E$177,[1]UG!$A$2:$FA$69, 25, FALSE))</f>
        <v>12440.98</v>
      </c>
      <c r="AA177" s="544">
        <f>IF(VLOOKUP($E$177,[1]UG!$A$2:$FA$69, 26, FALSE)="",":",VLOOKUP($E$177,[1]UG!$A$2:$FA$69, 26, FALSE))</f>
        <v>12966.09</v>
      </c>
      <c r="AB177" s="544">
        <f>IF(VLOOKUP($E$177,[1]UG!$A$2:$FA$69, 27, FALSE)="",":",VLOOKUP($E$177,[1]UG!$A$2:$FA$69, 27, FALSE))</f>
        <v>13329.98</v>
      </c>
      <c r="AC177" s="544" t="str">
        <f>IF(VLOOKUP($E$177,[1]UG!$A$2:$FA$69, 28, FALSE)="",":",VLOOKUP($E$177,[1]UG!$A$2:$FA$69, 28, FALSE))</f>
        <v>:</v>
      </c>
      <c r="AD177" s="544" t="str">
        <f>IF(VLOOKUP($E$177,[1]UG!$A$2:$FA$69, 29, FALSE)="",":",VLOOKUP($E$177,[1]UG!$A$2:$FA$69, 29, FALSE))</f>
        <v>:</v>
      </c>
      <c r="AE177" s="544" t="str">
        <f>IF(VLOOKUP($E$177,[1]UG!$A$2:$FA$69, 30, FALSE)="",":",VLOOKUP($E$177,[1]UG!$A$2:$FA$69, 30, FALSE))</f>
        <v>:</v>
      </c>
      <c r="AF177" s="544" t="str">
        <f>IF(VLOOKUP($E$177,[1]UG!$A$2:$FA$69, 31, FALSE)="",":",VLOOKUP($E$177,[1]UG!$A$2:$FA$69, 31, FALSE))</f>
        <v>:</v>
      </c>
    </row>
    <row r="178" spans="1:32">
      <c r="A178" s="533">
        <v>132</v>
      </c>
      <c r="B178" s="534" t="s">
        <v>1028</v>
      </c>
      <c r="C178" s="535" t="s">
        <v>1213</v>
      </c>
      <c r="D178" s="12" t="s">
        <v>1214</v>
      </c>
      <c r="E178" s="13">
        <v>190</v>
      </c>
      <c r="F178" s="14" t="str">
        <f>VLOOKUP($E$178,[1]UG!$A$2:$FA$69, 3, FALSE)</f>
        <v>190 Interest D.41p (EDP)</v>
      </c>
      <c r="G178" s="544">
        <f>IF(VLOOKUP($E$178,[1]UG!$A$2:$FA$69, 6, FALSE)="",":",VLOOKUP($E$178,[1]UG!$A$2:$FA$69, 6, FALSE))</f>
        <v>26.94</v>
      </c>
      <c r="H178" s="544">
        <f>IF(VLOOKUP($E$178,[1]UG!$A$2:$FA$69, 7, FALSE)="",":",VLOOKUP($E$178,[1]UG!$A$2:$FA$69, 7, FALSE))</f>
        <v>80.97</v>
      </c>
      <c r="I178" s="544">
        <f>IF(VLOOKUP($E$178,[1]UG!$A$2:$FA$69, 8, FALSE)="",":",VLOOKUP($E$178,[1]UG!$A$2:$FA$69, 8, FALSE))</f>
        <v>85.84</v>
      </c>
      <c r="J178" s="544">
        <f>IF(VLOOKUP($E$178,[1]UG!$A$2:$FA$69, 9, FALSE)="",":",VLOOKUP($E$178,[1]UG!$A$2:$FA$69, 9, FALSE))</f>
        <v>147.53</v>
      </c>
      <c r="K178" s="544">
        <f>IF(VLOOKUP($E$178,[1]UG!$A$2:$FA$69, 10, FALSE)="",":",VLOOKUP($E$178,[1]UG!$A$2:$FA$69, 10, FALSE))</f>
        <v>186.94</v>
      </c>
      <c r="L178" s="544">
        <f>IF(VLOOKUP($E$178,[1]UG!$A$2:$FA$69, 11, FALSE)="",":",VLOOKUP($E$178,[1]UG!$A$2:$FA$69, 11, FALSE))</f>
        <v>231.7</v>
      </c>
      <c r="M178" s="544">
        <f>IF(VLOOKUP($E$178,[1]UG!$A$2:$FA$69, 12, FALSE)="",":",VLOOKUP($E$178,[1]UG!$A$2:$FA$69, 12, FALSE))</f>
        <v>213.52</v>
      </c>
      <c r="N178" s="544">
        <f>IF(VLOOKUP($E$178,[1]UG!$A$2:$FA$69, 13, FALSE)="",":",VLOOKUP($E$178,[1]UG!$A$2:$FA$69, 13, FALSE))</f>
        <v>198.41</v>
      </c>
      <c r="O178" s="544">
        <f>IF(VLOOKUP($E$178,[1]UG!$A$2:$FA$69, 14, FALSE)="",":",VLOOKUP($E$178,[1]UG!$A$2:$FA$69, 14, FALSE))</f>
        <v>205.81</v>
      </c>
      <c r="P178" s="544">
        <f>IF(VLOOKUP($E$178,[1]UG!$A$2:$FA$69, 15, FALSE)="",":",VLOOKUP($E$178,[1]UG!$A$2:$FA$69, 15, FALSE))</f>
        <v>163.71</v>
      </c>
      <c r="Q178" s="544">
        <f>IF(VLOOKUP($E$178,[1]UG!$A$2:$FA$69, 16, FALSE)="",":",VLOOKUP($E$178,[1]UG!$A$2:$FA$69, 16, FALSE))</f>
        <v>160.72</v>
      </c>
      <c r="R178" s="544">
        <f>IF(VLOOKUP($E$178,[1]UG!$A$2:$FA$69, 17, FALSE)="",":",VLOOKUP($E$178,[1]UG!$A$2:$FA$69, 17, FALSE))</f>
        <v>168.01</v>
      </c>
      <c r="S178" s="544">
        <f>IF(VLOOKUP($E$178,[1]UG!$A$2:$FA$69, 18, FALSE)="",":",VLOOKUP($E$178,[1]UG!$A$2:$FA$69, 18, FALSE))</f>
        <v>192.31</v>
      </c>
      <c r="T178" s="544">
        <f>IF(VLOOKUP($E$178,[1]UG!$A$2:$FA$69, 19, FALSE)="",":",VLOOKUP($E$178,[1]UG!$A$2:$FA$69, 19, FALSE))</f>
        <v>214.1</v>
      </c>
      <c r="U178" s="544">
        <f>IF(VLOOKUP($E$178,[1]UG!$A$2:$FA$69, 20, FALSE)="",":",VLOOKUP($E$178,[1]UG!$A$2:$FA$69, 20, FALSE))</f>
        <v>333.2</v>
      </c>
      <c r="V178" s="544">
        <f>IF(VLOOKUP($E$178,[1]UG!$A$2:$FA$69, 21, FALSE)="",":",VLOOKUP($E$178,[1]UG!$A$2:$FA$69, 21, FALSE))</f>
        <v>509.86</v>
      </c>
      <c r="W178" s="544">
        <f>IF(VLOOKUP($E$178,[1]UG!$A$2:$FA$69, 22, FALSE)="",":",VLOOKUP($E$178,[1]UG!$A$2:$FA$69, 22, FALSE))</f>
        <v>575.65</v>
      </c>
      <c r="X178" s="544">
        <f>IF(VLOOKUP($E$178,[1]UG!$A$2:$FA$69, 23, FALSE)="",":",VLOOKUP($E$178,[1]UG!$A$2:$FA$69, 23, FALSE))</f>
        <v>658.57</v>
      </c>
      <c r="Y178" s="544">
        <f>IF(VLOOKUP($E$178,[1]UG!$A$2:$FA$69, 24, FALSE)="",":",VLOOKUP($E$178,[1]UG!$A$2:$FA$69, 24, FALSE))</f>
        <v>614.80999999999995</v>
      </c>
      <c r="Z178" s="544">
        <f>IF(VLOOKUP($E$178,[1]UG!$A$2:$FA$69, 25, FALSE)="",":",VLOOKUP($E$178,[1]UG!$A$2:$FA$69, 25, FALSE))</f>
        <v>586.76</v>
      </c>
      <c r="AA178" s="544">
        <f>IF(VLOOKUP($E$178,[1]UG!$A$2:$FA$69, 26, FALSE)="",":",VLOOKUP($E$178,[1]UG!$A$2:$FA$69, 26, FALSE))</f>
        <v>568.67999999999995</v>
      </c>
      <c r="AB178" s="544">
        <f>IF(VLOOKUP($E$178,[1]UG!$A$2:$FA$69, 27, FALSE)="",":",VLOOKUP($E$178,[1]UG!$A$2:$FA$69, 27, FALSE))</f>
        <v>516.77</v>
      </c>
      <c r="AC178" s="544" t="str">
        <f>IF(VLOOKUP($E$178,[1]UG!$A$2:$FA$69, 28, FALSE)="",":",VLOOKUP($E$178,[1]UG!$A$2:$FA$69, 28, FALSE))</f>
        <v>:</v>
      </c>
      <c r="AD178" s="544" t="str">
        <f>IF(VLOOKUP($E$178,[1]UG!$A$2:$FA$69, 29, FALSE)="",":",VLOOKUP($E$178,[1]UG!$A$2:$FA$69, 29, FALSE))</f>
        <v>:</v>
      </c>
      <c r="AE178" s="544" t="str">
        <f>IF(VLOOKUP($E$178,[1]UG!$A$2:$FA$69, 30, FALSE)="",":",VLOOKUP($E$178,[1]UG!$A$2:$FA$69, 30, FALSE))</f>
        <v>:</v>
      </c>
      <c r="AF178" s="544" t="str">
        <f>IF(VLOOKUP($E$178,[1]UG!$A$2:$FA$69, 31, FALSE)="",":",VLOOKUP($E$178,[1]UG!$A$2:$FA$69, 31, FALSE))</f>
        <v>:</v>
      </c>
    </row>
    <row r="179" spans="1:32">
      <c r="A179" s="533"/>
      <c r="B179" s="534"/>
      <c r="C179" s="535"/>
      <c r="D179" s="12"/>
      <c r="E179" s="13"/>
      <c r="F179" s="14"/>
      <c r="G179" s="544"/>
      <c r="H179" s="544"/>
      <c r="I179" s="544"/>
      <c r="J179" s="544"/>
      <c r="K179" s="544"/>
      <c r="L179" s="544"/>
      <c r="M179" s="544"/>
      <c r="N179" s="544"/>
      <c r="O179" s="544"/>
      <c r="P179" s="544"/>
      <c r="Q179" s="544"/>
      <c r="R179" s="544"/>
      <c r="S179" s="544"/>
      <c r="T179" s="544"/>
      <c r="U179" s="544"/>
      <c r="V179" s="544"/>
      <c r="W179" s="544"/>
      <c r="X179" s="544"/>
      <c r="Y179" s="544"/>
      <c r="Z179" s="544"/>
      <c r="AA179" s="544"/>
      <c r="AB179" s="544"/>
      <c r="AC179" s="544"/>
      <c r="AD179" s="544"/>
      <c r="AE179" s="544"/>
      <c r="AF179" s="544"/>
    </row>
    <row r="180" spans="1:32">
      <c r="A180" s="533"/>
      <c r="B180" s="534" t="s">
        <v>1215</v>
      </c>
      <c r="C180" s="535" t="s">
        <v>20</v>
      </c>
      <c r="D180" s="12" t="s">
        <v>1216</v>
      </c>
      <c r="E180" s="13">
        <v>3</v>
      </c>
      <c r="F180" s="14" t="str">
        <f>VLOOKUP($E$180,[1]UH!$A$2:$FA$98, 3, FALSE)</f>
        <v xml:space="preserve">3   Gross value added at basic prices  B1g                                               </v>
      </c>
      <c r="G180" s="544">
        <f>IF(VLOOKUP($E$180,[1]UH!$A$2:$FA$98, 6, FALSE)="",":",VLOOKUP($E$180,[1]UH!$A$2:$FA$98, 6, FALSE))</f>
        <v>1843.65</v>
      </c>
      <c r="H180" s="544">
        <f>IF(VLOOKUP($E$180,[1]UH!$A$2:$FA$98, 7, FALSE)="",":",VLOOKUP($E$180,[1]UH!$A$2:$FA$98, 7, FALSE))</f>
        <v>2300.16</v>
      </c>
      <c r="I180" s="544">
        <f>IF(VLOOKUP($E$180,[1]UH!$A$2:$FA$98, 8, FALSE)="",":",VLOOKUP($E$180,[1]UH!$A$2:$FA$98, 8, FALSE))</f>
        <v>2600.98</v>
      </c>
      <c r="J180" s="544">
        <f>IF(VLOOKUP($E$180,[1]UH!$A$2:$FA$98, 9, FALSE)="",":",VLOOKUP($E$180,[1]UH!$A$2:$FA$98, 9, FALSE))</f>
        <v>2837.95</v>
      </c>
      <c r="K180" s="544">
        <f>IF(VLOOKUP($E$180,[1]UH!$A$2:$FA$98, 10, FALSE)="",":",VLOOKUP($E$180,[1]UH!$A$2:$FA$98, 10, FALSE))</f>
        <v>2695.94</v>
      </c>
      <c r="L180" s="544">
        <f>IF(VLOOKUP($E$180,[1]UH!$A$2:$FA$98, 11, FALSE)="",":",VLOOKUP($E$180,[1]UH!$A$2:$FA$98, 11, FALSE))</f>
        <v>2776.87</v>
      </c>
      <c r="M180" s="544">
        <f>IF(VLOOKUP($E$180,[1]UH!$A$2:$FA$98, 12, FALSE)="",":",VLOOKUP($E$180,[1]UH!$A$2:$FA$98, 12, FALSE))</f>
        <v>2692.49</v>
      </c>
      <c r="N180" s="544">
        <f>IF(VLOOKUP($E$180,[1]UH!$A$2:$FA$98, 13, FALSE)="",":",VLOOKUP($E$180,[1]UH!$A$2:$FA$98, 13, FALSE))</f>
        <v>2705.96</v>
      </c>
      <c r="O180" s="544">
        <f>IF(VLOOKUP($E$180,[1]UH!$A$2:$FA$98, 14, FALSE)="",":",VLOOKUP($E$180,[1]UH!$A$2:$FA$98, 14, FALSE))</f>
        <v>2803.39</v>
      </c>
      <c r="P180" s="544">
        <f>IF(VLOOKUP($E$180,[1]UH!$A$2:$FA$98, 15, FALSE)="",":",VLOOKUP($E$180,[1]UH!$A$2:$FA$98, 15, FALSE))</f>
        <v>2925.44</v>
      </c>
      <c r="Q180" s="544">
        <f>IF(VLOOKUP($E$180,[1]UH!$A$2:$FA$98, 16, FALSE)="",":",VLOOKUP($E$180,[1]UH!$A$2:$FA$98, 16, FALSE))</f>
        <v>3230.39</v>
      </c>
      <c r="R180" s="544">
        <f>IF(VLOOKUP($E$180,[1]UH!$A$2:$FA$98, 17, FALSE)="",":",VLOOKUP($E$180,[1]UH!$A$2:$FA$98, 17, FALSE))</f>
        <v>3465.68</v>
      </c>
      <c r="S180" s="544">
        <f>IF(VLOOKUP($E$180,[1]UH!$A$2:$FA$98, 18, FALSE)="",":",VLOOKUP($E$180,[1]UH!$A$2:$FA$98, 18, FALSE))</f>
        <v>3877.02</v>
      </c>
      <c r="T180" s="544">
        <f>IF(VLOOKUP($E$180,[1]UH!$A$2:$FA$98, 19, FALSE)="",":",VLOOKUP($E$180,[1]UH!$A$2:$FA$98, 19, FALSE))</f>
        <v>4163.1099999999997</v>
      </c>
      <c r="U180" s="544">
        <f>IF(VLOOKUP($E$180,[1]UH!$A$2:$FA$98, 20, FALSE)="",":",VLOOKUP($E$180,[1]UH!$A$2:$FA$98, 20, FALSE))</f>
        <v>3334.48</v>
      </c>
      <c r="V180" s="544">
        <f>IF(VLOOKUP($E$180,[1]UH!$A$2:$FA$98, 21, FALSE)="",":",VLOOKUP($E$180,[1]UH!$A$2:$FA$98, 21, FALSE))</f>
        <v>3098.95</v>
      </c>
      <c r="W180" s="544">
        <f>IF(VLOOKUP($E$180,[1]UH!$A$2:$FA$98, 22, FALSE)="",":",VLOOKUP($E$180,[1]UH!$A$2:$FA$98, 22, FALSE))</f>
        <v>3300.5</v>
      </c>
      <c r="X180" s="544">
        <f>IF(VLOOKUP($E$180,[1]UH!$A$2:$FA$98, 23, FALSE)="",":",VLOOKUP($E$180,[1]UH!$A$2:$FA$98, 23, FALSE))</f>
        <v>3717.55</v>
      </c>
      <c r="Y180" s="544">
        <f>IF(VLOOKUP($E$180,[1]UH!$A$2:$FA$98, 24, FALSE)="",":",VLOOKUP($E$180,[1]UH!$A$2:$FA$98, 24, FALSE))</f>
        <v>3877.94</v>
      </c>
      <c r="Z180" s="544">
        <f>IF(VLOOKUP($E$180,[1]UH!$A$2:$FA$98, 25, FALSE)="",":",VLOOKUP($E$180,[1]UH!$A$2:$FA$98, 25, FALSE))</f>
        <v>4021.29</v>
      </c>
      <c r="AA180" s="544">
        <f>IF(VLOOKUP($E$180,[1]UH!$A$2:$FA$98, 26, FALSE)="",":",VLOOKUP($E$180,[1]UH!$A$2:$FA$98, 26, FALSE))</f>
        <v>4269.6000000000004</v>
      </c>
      <c r="AB180" s="544">
        <f>IF(VLOOKUP($E$180,[1]UH!$A$2:$FA$98, 27, FALSE)="",":",VLOOKUP($E$180,[1]UH!$A$2:$FA$98, 27, FALSE))</f>
        <v>4273.95</v>
      </c>
      <c r="AC180" s="544" t="str">
        <f>IF(VLOOKUP($E$180,[1]UH!$A$2:$FA$98, 28, FALSE)="",":",VLOOKUP($E$180,[1]UH!$A$2:$FA$98, 28, FALSE))</f>
        <v>:</v>
      </c>
      <c r="AD180" s="544" t="str">
        <f>IF(VLOOKUP($E$180,[1]UH!$A$2:$FA$98, 29, FALSE)="",":",VLOOKUP($E$180,[1]UH!$A$2:$FA$98, 29, FALSE))</f>
        <v>:</v>
      </c>
      <c r="AE180" s="544" t="str">
        <f>IF(VLOOKUP($E$180,[1]UH!$A$2:$FA$98, 30, FALSE)="",":",VLOOKUP($E$180,[1]UH!$A$2:$FA$98, 30, FALSE))</f>
        <v>:</v>
      </c>
      <c r="AF180" s="544" t="str">
        <f>IF(VLOOKUP($E$180,[1]UH!$A$2:$FA$98, 31, FALSE)="",":",VLOOKUP($E$180,[1]UH!$A$2:$FA$98, 31, FALSE))</f>
        <v>:</v>
      </c>
    </row>
    <row r="181" spans="1:32">
      <c r="A181" s="533"/>
      <c r="B181" s="534" t="s">
        <v>1217</v>
      </c>
      <c r="C181" s="535" t="s">
        <v>21</v>
      </c>
      <c r="D181" s="12" t="s">
        <v>1216</v>
      </c>
      <c r="E181" s="13">
        <v>7</v>
      </c>
      <c r="F181" s="14" t="str">
        <f>VLOOKUP($E$181,[1]UH!$A$2:$FA$98, 3, FALSE)</f>
        <v>7 Other taxes on production, payable D.29p</v>
      </c>
      <c r="G181" s="544">
        <f>IF(VLOOKUP($E$181,[1]UH!$A$2:$FA$98, 6, FALSE)="",":",VLOOKUP($E$181,[1]UH!$A$2:$FA$98, 6, FALSE))</f>
        <v>8.31</v>
      </c>
      <c r="H181" s="544">
        <f>IF(VLOOKUP($E$181,[1]UH!$A$2:$FA$98, 7, FALSE)="",":",VLOOKUP($E$181,[1]UH!$A$2:$FA$98, 7, FALSE))</f>
        <v>30.58</v>
      </c>
      <c r="I181" s="544">
        <f>IF(VLOOKUP($E$181,[1]UH!$A$2:$FA$98, 8, FALSE)="",":",VLOOKUP($E$181,[1]UH!$A$2:$FA$98, 8, FALSE))</f>
        <v>12.67</v>
      </c>
      <c r="J181" s="544">
        <f>IF(VLOOKUP($E$181,[1]UH!$A$2:$FA$98, 9, FALSE)="",":",VLOOKUP($E$181,[1]UH!$A$2:$FA$98, 9, FALSE))</f>
        <v>11.91</v>
      </c>
      <c r="K181" s="544">
        <f>IF(VLOOKUP($E$181,[1]UH!$A$2:$FA$98, 10, FALSE)="",":",VLOOKUP($E$181,[1]UH!$A$2:$FA$98, 10, FALSE))</f>
        <v>11.63</v>
      </c>
      <c r="L181" s="544">
        <f>IF(VLOOKUP($E$181,[1]UH!$A$2:$FA$98, 11, FALSE)="",":",VLOOKUP($E$181,[1]UH!$A$2:$FA$98, 11, FALSE))</f>
        <v>15.85</v>
      </c>
      <c r="M181" s="544">
        <f>IF(VLOOKUP($E$181,[1]UH!$A$2:$FA$98, 12, FALSE)="",":",VLOOKUP($E$181,[1]UH!$A$2:$FA$98, 12, FALSE))</f>
        <v>20.83</v>
      </c>
      <c r="N181" s="544">
        <f>IF(VLOOKUP($E$181,[1]UH!$A$2:$FA$98, 13, FALSE)="",":",VLOOKUP($E$181,[1]UH!$A$2:$FA$98, 13, FALSE))</f>
        <v>35.81</v>
      </c>
      <c r="O181" s="544">
        <f>IF(VLOOKUP($E$181,[1]UH!$A$2:$FA$98, 14, FALSE)="",":",VLOOKUP($E$181,[1]UH!$A$2:$FA$98, 14, FALSE))</f>
        <v>15.62</v>
      </c>
      <c r="P181" s="544">
        <f>IF(VLOOKUP($E$181,[1]UH!$A$2:$FA$98, 15, FALSE)="",":",VLOOKUP($E$181,[1]UH!$A$2:$FA$98, 15, FALSE))</f>
        <v>19.920000000000002</v>
      </c>
      <c r="Q181" s="544">
        <f>IF(VLOOKUP($E$181,[1]UH!$A$2:$FA$98, 16, FALSE)="",":",VLOOKUP($E$181,[1]UH!$A$2:$FA$98, 16, FALSE))</f>
        <v>22.59</v>
      </c>
      <c r="R181" s="544">
        <f>IF(VLOOKUP($E$181,[1]UH!$A$2:$FA$98, 17, FALSE)="",":",VLOOKUP($E$181,[1]UH!$A$2:$FA$98, 17, FALSE))</f>
        <v>21.04</v>
      </c>
      <c r="S181" s="544">
        <f>IF(VLOOKUP($E$181,[1]UH!$A$2:$FA$98, 18, FALSE)="",":",VLOOKUP($E$181,[1]UH!$A$2:$FA$98, 18, FALSE))</f>
        <v>24.56</v>
      </c>
      <c r="T181" s="544">
        <f>IF(VLOOKUP($E$181,[1]UH!$A$2:$FA$98, 19, FALSE)="",":",VLOOKUP($E$181,[1]UH!$A$2:$FA$98, 19, FALSE))</f>
        <v>28.83</v>
      </c>
      <c r="U181" s="544">
        <f>IF(VLOOKUP($E$181,[1]UH!$A$2:$FA$98, 20, FALSE)="",":",VLOOKUP($E$181,[1]UH!$A$2:$FA$98, 20, FALSE))</f>
        <v>21.95</v>
      </c>
      <c r="V181" s="544">
        <f>IF(VLOOKUP($E$181,[1]UH!$A$2:$FA$98, 21, FALSE)="",":",VLOOKUP($E$181,[1]UH!$A$2:$FA$98, 21, FALSE))</f>
        <v>29.44</v>
      </c>
      <c r="W181" s="544">
        <f>IF(VLOOKUP($E$181,[1]UH!$A$2:$FA$98, 22, FALSE)="",":",VLOOKUP($E$181,[1]UH!$A$2:$FA$98, 22, FALSE))</f>
        <v>23.75</v>
      </c>
      <c r="X181" s="544">
        <f>IF(VLOOKUP($E$181,[1]UH!$A$2:$FA$98, 23, FALSE)="",":",VLOOKUP($E$181,[1]UH!$A$2:$FA$98, 23, FALSE))</f>
        <v>22.14</v>
      </c>
      <c r="Y181" s="544">
        <f>IF(VLOOKUP($E$181,[1]UH!$A$2:$FA$98, 24, FALSE)="",":",VLOOKUP($E$181,[1]UH!$A$2:$FA$98, 24, FALSE))</f>
        <v>22.12</v>
      </c>
      <c r="Z181" s="544">
        <f>IF(VLOOKUP($E$181,[1]UH!$A$2:$FA$98, 25, FALSE)="",":",VLOOKUP($E$181,[1]UH!$A$2:$FA$98, 25, FALSE))</f>
        <v>17.78</v>
      </c>
      <c r="AA181" s="544">
        <f>IF(VLOOKUP($E$181,[1]UH!$A$2:$FA$98, 26, FALSE)="",":",VLOOKUP($E$181,[1]UH!$A$2:$FA$98, 26, FALSE))</f>
        <v>24.34</v>
      </c>
      <c r="AB181" s="544">
        <f>IF(VLOOKUP($E$181,[1]UH!$A$2:$FA$98, 27, FALSE)="",":",VLOOKUP($E$181,[1]UH!$A$2:$FA$98, 27, FALSE))</f>
        <v>24.56</v>
      </c>
      <c r="AC181" s="544" t="str">
        <f>IF(VLOOKUP($E$181,[1]UH!$A$2:$FA$98, 28, FALSE)="",":",VLOOKUP($E$181,[1]UH!$A$2:$FA$98, 28, FALSE))</f>
        <v>:</v>
      </c>
      <c r="AD181" s="544" t="str">
        <f>IF(VLOOKUP($E$181,[1]UH!$A$2:$FA$98, 29, FALSE)="",":",VLOOKUP($E$181,[1]UH!$A$2:$FA$98, 29, FALSE))</f>
        <v>:</v>
      </c>
      <c r="AE181" s="544" t="str">
        <f>IF(VLOOKUP($E$181,[1]UH!$A$2:$FA$98, 30, FALSE)="",":",VLOOKUP($E$181,[1]UH!$A$2:$FA$98, 30, FALSE))</f>
        <v>:</v>
      </c>
      <c r="AF181" s="544" t="str">
        <f>IF(VLOOKUP($E$181,[1]UH!$A$2:$FA$98, 31, FALSE)="",":",VLOOKUP($E$181,[1]UH!$A$2:$FA$98, 31, FALSE))</f>
        <v>:</v>
      </c>
    </row>
    <row r="182" spans="1:32">
      <c r="A182" s="533"/>
      <c r="B182" s="534" t="s">
        <v>394</v>
      </c>
      <c r="C182" s="535" t="s">
        <v>22</v>
      </c>
      <c r="D182" s="12" t="s">
        <v>1216</v>
      </c>
      <c r="E182" s="13">
        <v>8</v>
      </c>
      <c r="F182" s="14" t="str">
        <f>VLOOKUP($E$182,[1]UH!$A$2:$FA$98, 3, FALSE)</f>
        <v>8 Other subsidies on production receivable D.39r</v>
      </c>
      <c r="G182" s="544">
        <f>IF(VLOOKUP($E$182,[1]UH!$A$2:$FA$98, 6, FALSE)="",":",VLOOKUP($E$182,[1]UH!$A$2:$FA$98, 6, FALSE))</f>
        <v>0</v>
      </c>
      <c r="H182" s="544">
        <f>IF(VLOOKUP($E$182,[1]UH!$A$2:$FA$98, 7, FALSE)="",":",VLOOKUP($E$182,[1]UH!$A$2:$FA$98, 7, FALSE))</f>
        <v>0</v>
      </c>
      <c r="I182" s="544">
        <f>IF(VLOOKUP($E$182,[1]UH!$A$2:$FA$98, 8, FALSE)="",":",VLOOKUP($E$182,[1]UH!$A$2:$FA$98, 8, FALSE))</f>
        <v>0</v>
      </c>
      <c r="J182" s="544">
        <f>IF(VLOOKUP($E$182,[1]UH!$A$2:$FA$98, 9, FALSE)="",":",VLOOKUP($E$182,[1]UH!$A$2:$FA$98, 9, FALSE))</f>
        <v>0</v>
      </c>
      <c r="K182" s="544">
        <f>IF(VLOOKUP($E$182,[1]UH!$A$2:$FA$98, 10, FALSE)="",":",VLOOKUP($E$182,[1]UH!$A$2:$FA$98, 10, FALSE))</f>
        <v>0</v>
      </c>
      <c r="L182" s="544">
        <f>IF(VLOOKUP($E$182,[1]UH!$A$2:$FA$98, 11, FALSE)="",":",VLOOKUP($E$182,[1]UH!$A$2:$FA$98, 11, FALSE))</f>
        <v>0</v>
      </c>
      <c r="M182" s="544">
        <f>IF(VLOOKUP($E$182,[1]UH!$A$2:$FA$98, 12, FALSE)="",":",VLOOKUP($E$182,[1]UH!$A$2:$FA$98, 12, FALSE))</f>
        <v>11.84</v>
      </c>
      <c r="N182" s="544">
        <f>IF(VLOOKUP($E$182,[1]UH!$A$2:$FA$98, 13, FALSE)="",":",VLOOKUP($E$182,[1]UH!$A$2:$FA$98, 13, FALSE))</f>
        <v>0</v>
      </c>
      <c r="O182" s="544">
        <f>IF(VLOOKUP($E$182,[1]UH!$A$2:$FA$98, 14, FALSE)="",":",VLOOKUP($E$182,[1]UH!$A$2:$FA$98, 14, FALSE))</f>
        <v>7.55</v>
      </c>
      <c r="P182" s="544">
        <f>IF(VLOOKUP($E$182,[1]UH!$A$2:$FA$98, 15, FALSE)="",":",VLOOKUP($E$182,[1]UH!$A$2:$FA$98, 15, FALSE))</f>
        <v>35.57</v>
      </c>
      <c r="Q182" s="544">
        <f>IF(VLOOKUP($E$182,[1]UH!$A$2:$FA$98, 16, FALSE)="",":",VLOOKUP($E$182,[1]UH!$A$2:$FA$98, 16, FALSE))</f>
        <v>92.98</v>
      </c>
      <c r="R182" s="544">
        <f>IF(VLOOKUP($E$182,[1]UH!$A$2:$FA$98, 17, FALSE)="",":",VLOOKUP($E$182,[1]UH!$A$2:$FA$98, 17, FALSE))</f>
        <v>63.27</v>
      </c>
      <c r="S182" s="544">
        <f>IF(VLOOKUP($E$182,[1]UH!$A$2:$FA$98, 18, FALSE)="",":",VLOOKUP($E$182,[1]UH!$A$2:$FA$98, 18, FALSE))</f>
        <v>71.400000000000006</v>
      </c>
      <c r="T182" s="544">
        <f>IF(VLOOKUP($E$182,[1]UH!$A$2:$FA$98, 19, FALSE)="",":",VLOOKUP($E$182,[1]UH!$A$2:$FA$98, 19, FALSE))</f>
        <v>37.04</v>
      </c>
      <c r="U182" s="544">
        <f>IF(VLOOKUP($E$182,[1]UH!$A$2:$FA$98, 20, FALSE)="",":",VLOOKUP($E$182,[1]UH!$A$2:$FA$98, 20, FALSE))</f>
        <v>63.25</v>
      </c>
      <c r="V182" s="544">
        <f>IF(VLOOKUP($E$182,[1]UH!$A$2:$FA$98, 21, FALSE)="",":",VLOOKUP($E$182,[1]UH!$A$2:$FA$98, 21, FALSE))</f>
        <v>22.34</v>
      </c>
      <c r="W182" s="544">
        <f>IF(VLOOKUP($E$182,[1]UH!$A$2:$FA$98, 22, FALSE)="",":",VLOOKUP($E$182,[1]UH!$A$2:$FA$98, 22, FALSE))</f>
        <v>31.73</v>
      </c>
      <c r="X182" s="544">
        <f>IF(VLOOKUP($E$182,[1]UH!$A$2:$FA$98, 23, FALSE)="",":",VLOOKUP($E$182,[1]UH!$A$2:$FA$98, 23, FALSE))</f>
        <v>35.049999999999997</v>
      </c>
      <c r="Y182" s="544">
        <f>IF(VLOOKUP($E$182,[1]UH!$A$2:$FA$98, 24, FALSE)="",":",VLOOKUP($E$182,[1]UH!$A$2:$FA$98, 24, FALSE))</f>
        <v>15.94</v>
      </c>
      <c r="Z182" s="544">
        <f>IF(VLOOKUP($E$182,[1]UH!$A$2:$FA$98, 25, FALSE)="",":",VLOOKUP($E$182,[1]UH!$A$2:$FA$98, 25, FALSE))</f>
        <v>17.649999999999999</v>
      </c>
      <c r="AA182" s="544">
        <f>IF(VLOOKUP($E$182,[1]UH!$A$2:$FA$98, 26, FALSE)="",":",VLOOKUP($E$182,[1]UH!$A$2:$FA$98, 26, FALSE))</f>
        <v>34.369999999999997</v>
      </c>
      <c r="AB182" s="544">
        <f>IF(VLOOKUP($E$182,[1]UH!$A$2:$FA$98, 27, FALSE)="",":",VLOOKUP($E$182,[1]UH!$A$2:$FA$98, 27, FALSE))</f>
        <v>18.62</v>
      </c>
      <c r="AC182" s="544" t="str">
        <f>IF(VLOOKUP($E$182,[1]UH!$A$2:$FA$98, 28, FALSE)="",":",VLOOKUP($E$182,[1]UH!$A$2:$FA$98, 28, FALSE))</f>
        <v>:</v>
      </c>
      <c r="AD182" s="544" t="str">
        <f>IF(VLOOKUP($E$182,[1]UH!$A$2:$FA$98, 29, FALSE)="",":",VLOOKUP($E$182,[1]UH!$A$2:$FA$98, 29, FALSE))</f>
        <v>:</v>
      </c>
      <c r="AE182" s="544" t="str">
        <f>IF(VLOOKUP($E$182,[1]UH!$A$2:$FA$98, 30, FALSE)="",":",VLOOKUP($E$182,[1]UH!$A$2:$FA$98, 30, FALSE))</f>
        <v>:</v>
      </c>
      <c r="AF182" s="544" t="str">
        <f>IF(VLOOKUP($E$182,[1]UH!$A$2:$FA$98, 31, FALSE)="",":",VLOOKUP($E$182,[1]UH!$A$2:$FA$98, 31, FALSE))</f>
        <v>:</v>
      </c>
    </row>
    <row r="183" spans="1:32">
      <c r="A183" s="533"/>
      <c r="B183" s="534"/>
      <c r="C183" s="535"/>
      <c r="D183" s="12"/>
      <c r="E183" s="13"/>
      <c r="F183" s="14"/>
      <c r="G183" s="544"/>
      <c r="H183" s="544"/>
      <c r="I183" s="544"/>
      <c r="J183" s="544"/>
      <c r="K183" s="544"/>
      <c r="L183" s="544"/>
      <c r="M183" s="544"/>
      <c r="N183" s="544"/>
      <c r="O183" s="544"/>
      <c r="P183" s="544"/>
      <c r="Q183" s="544"/>
      <c r="R183" s="544"/>
      <c r="S183" s="544"/>
      <c r="T183" s="544"/>
      <c r="U183" s="544"/>
      <c r="V183" s="544"/>
      <c r="W183" s="544"/>
      <c r="X183" s="544"/>
      <c r="Y183" s="544"/>
      <c r="Z183" s="544"/>
      <c r="AA183" s="544"/>
      <c r="AB183" s="544"/>
      <c r="AC183" s="544"/>
      <c r="AD183" s="544"/>
      <c r="AE183" s="544"/>
      <c r="AF183" s="544"/>
    </row>
    <row r="184" spans="1:32">
      <c r="A184" s="533">
        <v>87</v>
      </c>
      <c r="B184" s="534" t="s">
        <v>343</v>
      </c>
      <c r="C184" s="535" t="s">
        <v>23</v>
      </c>
      <c r="D184" s="12" t="s">
        <v>1216</v>
      </c>
      <c r="E184" s="13">
        <v>11</v>
      </c>
      <c r="F184" s="14" t="str">
        <f>VLOOKUP($E$184,[1]UH!$A$2:$FA$98, 3, FALSE)</f>
        <v xml:space="preserve">11 Compensation of employees, receivable D.1r                                </v>
      </c>
      <c r="G184" s="544">
        <f>IF(VLOOKUP($E$184,[1]UH!$A$2:$FA$98, 6, FALSE)="",":",VLOOKUP($E$184,[1]UH!$A$2:$FA$98, 6, FALSE))</f>
        <v>2901.5</v>
      </c>
      <c r="H184" s="544">
        <f>IF(VLOOKUP($E$184,[1]UH!$A$2:$FA$98, 7, FALSE)="",":",VLOOKUP($E$184,[1]UH!$A$2:$FA$98, 7, FALSE))</f>
        <v>3654.17</v>
      </c>
      <c r="I184" s="544">
        <f>IF(VLOOKUP($E$184,[1]UH!$A$2:$FA$98, 8, FALSE)="",":",VLOOKUP($E$184,[1]UH!$A$2:$FA$98, 8, FALSE))</f>
        <v>4471.6499999999996</v>
      </c>
      <c r="J184" s="544">
        <f>IF(VLOOKUP($E$184,[1]UH!$A$2:$FA$98, 9, FALSE)="",":",VLOOKUP($E$184,[1]UH!$A$2:$FA$98, 9, FALSE))</f>
        <v>5345.32</v>
      </c>
      <c r="K184" s="544">
        <f>IF(VLOOKUP($E$184,[1]UH!$A$2:$FA$98, 10, FALSE)="",":",VLOOKUP($E$184,[1]UH!$A$2:$FA$98, 10, FALSE))</f>
        <v>5403.22</v>
      </c>
      <c r="L184" s="544">
        <f>IF(VLOOKUP($E$184,[1]UH!$A$2:$FA$98, 11, FALSE)="",":",VLOOKUP($E$184,[1]UH!$A$2:$FA$98, 11, FALSE))</f>
        <v>5235.41</v>
      </c>
      <c r="M184" s="544">
        <f>IF(VLOOKUP($E$184,[1]UH!$A$2:$FA$98, 12, FALSE)="",":",VLOOKUP($E$184,[1]UH!$A$2:$FA$98, 12, FALSE))</f>
        <v>5420.83</v>
      </c>
      <c r="N184" s="544">
        <f>IF(VLOOKUP($E$184,[1]UH!$A$2:$FA$98, 13, FALSE)="",":",VLOOKUP($E$184,[1]UH!$A$2:$FA$98, 13, FALSE))</f>
        <v>5866.73</v>
      </c>
      <c r="O184" s="544">
        <f>IF(VLOOKUP($E$184,[1]UH!$A$2:$FA$98, 14, FALSE)="",":",VLOOKUP($E$184,[1]UH!$A$2:$FA$98, 14, FALSE))</f>
        <v>6483.43</v>
      </c>
      <c r="P184" s="544">
        <f>IF(VLOOKUP($E$184,[1]UH!$A$2:$FA$98, 15, FALSE)="",":",VLOOKUP($E$184,[1]UH!$A$2:$FA$98, 15, FALSE))</f>
        <v>7454.45</v>
      </c>
      <c r="Q184" s="544">
        <f>IF(VLOOKUP($E$184,[1]UH!$A$2:$FA$98, 16, FALSE)="",":",VLOOKUP($E$184,[1]UH!$A$2:$FA$98, 16, FALSE))</f>
        <v>8705.58</v>
      </c>
      <c r="R184" s="544">
        <f>IF(VLOOKUP($E$184,[1]UH!$A$2:$FA$98, 17, FALSE)="",":",VLOOKUP($E$184,[1]UH!$A$2:$FA$98, 17, FALSE))</f>
        <v>10479.700000000001</v>
      </c>
      <c r="S184" s="544">
        <f>IF(VLOOKUP($E$184,[1]UH!$A$2:$FA$98, 18, FALSE)="",":",VLOOKUP($E$184,[1]UH!$A$2:$FA$98, 18, FALSE))</f>
        <v>12485.07</v>
      </c>
      <c r="T184" s="544">
        <f>IF(VLOOKUP($E$184,[1]UH!$A$2:$FA$98, 19, FALSE)="",":",VLOOKUP($E$184,[1]UH!$A$2:$FA$98, 19, FALSE))</f>
        <v>14481.74</v>
      </c>
      <c r="U184" s="544">
        <f>IF(VLOOKUP($E$184,[1]UH!$A$2:$FA$98, 20, FALSE)="",":",VLOOKUP($E$184,[1]UH!$A$2:$FA$98, 20, FALSE))</f>
        <v>12023.28</v>
      </c>
      <c r="V184" s="544">
        <f>IF(VLOOKUP($E$184,[1]UH!$A$2:$FA$98, 21, FALSE)="",":",VLOOKUP($E$184,[1]UH!$A$2:$FA$98, 21, FALSE))</f>
        <v>11682.74</v>
      </c>
      <c r="W184" s="544">
        <f>IF(VLOOKUP($E$184,[1]UH!$A$2:$FA$98, 22, FALSE)="",":",VLOOKUP($E$184,[1]UH!$A$2:$FA$98, 22, FALSE))</f>
        <v>12470.51</v>
      </c>
      <c r="X184" s="544">
        <f>IF(VLOOKUP($E$184,[1]UH!$A$2:$FA$98, 23, FALSE)="",":",VLOOKUP($E$184,[1]UH!$A$2:$FA$98, 23, FALSE))</f>
        <v>13015.8</v>
      </c>
      <c r="Y184" s="544">
        <f>IF(VLOOKUP($E$184,[1]UH!$A$2:$FA$98, 24, FALSE)="",":",VLOOKUP($E$184,[1]UH!$A$2:$FA$98, 24, FALSE))</f>
        <v>13800.24</v>
      </c>
      <c r="Z184" s="544">
        <f>IF(VLOOKUP($E$184,[1]UH!$A$2:$FA$98, 25, FALSE)="",":",VLOOKUP($E$184,[1]UH!$A$2:$FA$98, 25, FALSE))</f>
        <v>14621.93</v>
      </c>
      <c r="AA184" s="544">
        <f>IF(VLOOKUP($E$184,[1]UH!$A$2:$FA$98, 26, FALSE)="",":",VLOOKUP($E$184,[1]UH!$A$2:$FA$98, 26, FALSE))</f>
        <v>15652.27</v>
      </c>
      <c r="AB184" s="544">
        <f>IF(VLOOKUP($E$184,[1]UH!$A$2:$FA$98, 27, FALSE)="",":",VLOOKUP($E$184,[1]UH!$A$2:$FA$98, 27, FALSE))</f>
        <v>16892.14</v>
      </c>
      <c r="AC184" s="544" t="str">
        <f>IF(VLOOKUP($E$184,[1]UH!$A$2:$FA$98, 28, FALSE)="",":",VLOOKUP($E$184,[1]UH!$A$2:$FA$98, 28, FALSE))</f>
        <v>:</v>
      </c>
      <c r="AD184" s="544" t="str">
        <f>IF(VLOOKUP($E$184,[1]UH!$A$2:$FA$98, 29, FALSE)="",":",VLOOKUP($E$184,[1]UH!$A$2:$FA$98, 29, FALSE))</f>
        <v>:</v>
      </c>
      <c r="AE184" s="544" t="str">
        <f>IF(VLOOKUP($E$184,[1]UH!$A$2:$FA$98, 30, FALSE)="",":",VLOOKUP($E$184,[1]UH!$A$2:$FA$98, 30, FALSE))</f>
        <v>:</v>
      </c>
      <c r="AF184" s="544" t="str">
        <f>IF(VLOOKUP($E$184,[1]UH!$A$2:$FA$98, 31, FALSE)="",":",VLOOKUP($E$184,[1]UH!$A$2:$FA$98, 31, FALSE))</f>
        <v>:</v>
      </c>
    </row>
    <row r="185" spans="1:32">
      <c r="A185" s="533">
        <v>88</v>
      </c>
      <c r="B185" s="534" t="s">
        <v>334</v>
      </c>
      <c r="C185" s="535" t="s">
        <v>34</v>
      </c>
      <c r="D185" s="12" t="s">
        <v>1216</v>
      </c>
      <c r="E185" s="13">
        <v>12</v>
      </c>
      <c r="F185" s="14" t="str">
        <f>VLOOKUP($E$185,[1]UH!$A$2:$FA$98, 3, FALSE)</f>
        <v xml:space="preserve">12 Gross wages and salaries D.11r                                            </v>
      </c>
      <c r="G185" s="544">
        <f>IF(VLOOKUP($E$185,[1]UH!$A$2:$FA$98, 6, FALSE)="",":",VLOOKUP($E$185,[1]UH!$A$2:$FA$98, 6, FALSE))</f>
        <v>2358.29</v>
      </c>
      <c r="H185" s="544">
        <f>IF(VLOOKUP($E$185,[1]UH!$A$2:$FA$98, 7, FALSE)="",":",VLOOKUP($E$185,[1]UH!$A$2:$FA$98, 7, FALSE))</f>
        <v>2931</v>
      </c>
      <c r="I185" s="544">
        <f>IF(VLOOKUP($E$185,[1]UH!$A$2:$FA$98, 8, FALSE)="",":",VLOOKUP($E$185,[1]UH!$A$2:$FA$98, 8, FALSE))</f>
        <v>3521.76</v>
      </c>
      <c r="J185" s="544">
        <f>IF(VLOOKUP($E$185,[1]UH!$A$2:$FA$98, 9, FALSE)="",":",VLOOKUP($E$185,[1]UH!$A$2:$FA$98, 9, FALSE))</f>
        <v>4211.1899999999996</v>
      </c>
      <c r="K185" s="544">
        <f>IF(VLOOKUP($E$185,[1]UH!$A$2:$FA$98, 10, FALSE)="",":",VLOOKUP($E$185,[1]UH!$A$2:$FA$98, 10, FALSE))</f>
        <v>4278.43</v>
      </c>
      <c r="L185" s="544">
        <f>IF(VLOOKUP($E$185,[1]UH!$A$2:$FA$98, 11, FALSE)="",":",VLOOKUP($E$185,[1]UH!$A$2:$FA$98, 11, FALSE))</f>
        <v>4107.33</v>
      </c>
      <c r="M185" s="544">
        <f>IF(VLOOKUP($E$185,[1]UH!$A$2:$FA$98, 12, FALSE)="",":",VLOOKUP($E$185,[1]UH!$A$2:$FA$98, 12, FALSE))</f>
        <v>4284.97</v>
      </c>
      <c r="N185" s="544">
        <f>IF(VLOOKUP($E$185,[1]UH!$A$2:$FA$98, 13, FALSE)="",":",VLOOKUP($E$185,[1]UH!$A$2:$FA$98, 13, FALSE))</f>
        <v>4689.66</v>
      </c>
      <c r="O185" s="544">
        <f>IF(VLOOKUP($E$185,[1]UH!$A$2:$FA$98, 14, FALSE)="",":",VLOOKUP($E$185,[1]UH!$A$2:$FA$98, 14, FALSE))</f>
        <v>5210.8100000000004</v>
      </c>
      <c r="P185" s="544">
        <f>IF(VLOOKUP($E$185,[1]UH!$A$2:$FA$98, 15, FALSE)="",":",VLOOKUP($E$185,[1]UH!$A$2:$FA$98, 15, FALSE))</f>
        <v>5978.06</v>
      </c>
      <c r="Q185" s="544">
        <f>IF(VLOOKUP($E$185,[1]UH!$A$2:$FA$98, 16, FALSE)="",":",VLOOKUP($E$185,[1]UH!$A$2:$FA$98, 16, FALSE))</f>
        <v>6943.23</v>
      </c>
      <c r="R185" s="544">
        <f>IF(VLOOKUP($E$185,[1]UH!$A$2:$FA$98, 17, FALSE)="",":",VLOOKUP($E$185,[1]UH!$A$2:$FA$98, 17, FALSE))</f>
        <v>8337.16</v>
      </c>
      <c r="S185" s="544">
        <f>IF(VLOOKUP($E$185,[1]UH!$A$2:$FA$98, 18, FALSE)="",":",VLOOKUP($E$185,[1]UH!$A$2:$FA$98, 18, FALSE))</f>
        <v>9823.7199999999993</v>
      </c>
      <c r="T185" s="544">
        <f>IF(VLOOKUP($E$185,[1]UH!$A$2:$FA$98, 19, FALSE)="",":",VLOOKUP($E$185,[1]UH!$A$2:$FA$98, 19, FALSE))</f>
        <v>11296.02</v>
      </c>
      <c r="U185" s="544">
        <f>IF(VLOOKUP($E$185,[1]UH!$A$2:$FA$98, 20, FALSE)="",":",VLOOKUP($E$185,[1]UH!$A$2:$FA$98, 20, FALSE))</f>
        <v>9357.83</v>
      </c>
      <c r="V185" s="544">
        <f>IF(VLOOKUP($E$185,[1]UH!$A$2:$FA$98, 21, FALSE)="",":",VLOOKUP($E$185,[1]UH!$A$2:$FA$98, 21, FALSE))</f>
        <v>9231.9500000000007</v>
      </c>
      <c r="W185" s="544">
        <f>IF(VLOOKUP($E$185,[1]UH!$A$2:$FA$98, 22, FALSE)="",":",VLOOKUP($E$185,[1]UH!$A$2:$FA$98, 22, FALSE))</f>
        <v>9839.7999999999993</v>
      </c>
      <c r="X185" s="544">
        <f>IF(VLOOKUP($E$185,[1]UH!$A$2:$FA$98, 23, FALSE)="",":",VLOOKUP($E$185,[1]UH!$A$2:$FA$98, 23, FALSE))</f>
        <v>10295.219999999999</v>
      </c>
      <c r="Y185" s="544">
        <f>IF(VLOOKUP($E$185,[1]UH!$A$2:$FA$98, 24, FALSE)="",":",VLOOKUP($E$185,[1]UH!$A$2:$FA$98, 24, FALSE))</f>
        <v>10887.61</v>
      </c>
      <c r="Z185" s="544">
        <f>IF(VLOOKUP($E$185,[1]UH!$A$2:$FA$98, 25, FALSE)="",":",VLOOKUP($E$185,[1]UH!$A$2:$FA$98, 25, FALSE))</f>
        <v>11518.12</v>
      </c>
      <c r="AA185" s="544">
        <f>IF(VLOOKUP($E$185,[1]UH!$A$2:$FA$98, 26, FALSE)="",":",VLOOKUP($E$185,[1]UH!$A$2:$FA$98, 26, FALSE))</f>
        <v>12323.56</v>
      </c>
      <c r="AB185" s="544">
        <f>IF(VLOOKUP($E$185,[1]UH!$A$2:$FA$98, 27, FALSE)="",":",VLOOKUP($E$185,[1]UH!$A$2:$FA$98, 27, FALSE))</f>
        <v>13257.75</v>
      </c>
      <c r="AC185" s="544" t="str">
        <f>IF(VLOOKUP($E$185,[1]UH!$A$2:$FA$98, 28, FALSE)="",":",VLOOKUP($E$185,[1]UH!$A$2:$FA$98, 28, FALSE))</f>
        <v>:</v>
      </c>
      <c r="AD185" s="544" t="str">
        <f>IF(VLOOKUP($E$185,[1]UH!$A$2:$FA$98, 29, FALSE)="",":",VLOOKUP($E$185,[1]UH!$A$2:$FA$98, 29, FALSE))</f>
        <v>:</v>
      </c>
      <c r="AE185" s="544" t="str">
        <f>IF(VLOOKUP($E$185,[1]UH!$A$2:$FA$98, 30, FALSE)="",":",VLOOKUP($E$185,[1]UH!$A$2:$FA$98, 30, FALSE))</f>
        <v>:</v>
      </c>
      <c r="AF185" s="544" t="str">
        <f>IF(VLOOKUP($E$185,[1]UH!$A$2:$FA$98, 31, FALSE)="",":",VLOOKUP($E$185,[1]UH!$A$2:$FA$98, 31, FALSE))</f>
        <v>:</v>
      </c>
    </row>
    <row r="186" spans="1:32">
      <c r="A186" s="533"/>
      <c r="B186" s="534" t="s">
        <v>10</v>
      </c>
      <c r="C186" s="535" t="s">
        <v>35</v>
      </c>
      <c r="D186" s="12" t="s">
        <v>1216</v>
      </c>
      <c r="E186" s="13">
        <v>6</v>
      </c>
      <c r="F186" s="14" t="str">
        <f>VLOOKUP($E$186,[1]UH!$A$2:$FA$98, 3, FALSE)</f>
        <v xml:space="preserve">6   Compensation of employees, payable  D.1p                                  </v>
      </c>
      <c r="G186" s="544">
        <f>IF(VLOOKUP($E$186,[1]UH!$A$2:$FA$98, 6, FALSE)="",":",VLOOKUP($E$186,[1]UH!$A$2:$FA$98, 6, FALSE))</f>
        <v>136.69</v>
      </c>
      <c r="H186" s="544">
        <f>IF(VLOOKUP($E$186,[1]UH!$A$2:$FA$98, 7, FALSE)="",":",VLOOKUP($E$186,[1]UH!$A$2:$FA$98, 7, FALSE))</f>
        <v>145.72999999999999</v>
      </c>
      <c r="I186" s="544">
        <f>IF(VLOOKUP($E$186,[1]UH!$A$2:$FA$98, 8, FALSE)="",":",VLOOKUP($E$186,[1]UH!$A$2:$FA$98, 8, FALSE))</f>
        <v>189.37</v>
      </c>
      <c r="J186" s="544">
        <f>IF(VLOOKUP($E$186,[1]UH!$A$2:$FA$98, 9, FALSE)="",":",VLOOKUP($E$186,[1]UH!$A$2:$FA$98, 9, FALSE))</f>
        <v>250.25</v>
      </c>
      <c r="K186" s="544">
        <f>IF(VLOOKUP($E$186,[1]UH!$A$2:$FA$98, 10, FALSE)="",":",VLOOKUP($E$186,[1]UH!$A$2:$FA$98, 10, FALSE))</f>
        <v>172.1</v>
      </c>
      <c r="L186" s="544">
        <f>IF(VLOOKUP($E$186,[1]UH!$A$2:$FA$98, 11, FALSE)="",":",VLOOKUP($E$186,[1]UH!$A$2:$FA$98, 11, FALSE))</f>
        <v>244.02</v>
      </c>
      <c r="M186" s="544">
        <f>IF(VLOOKUP($E$186,[1]UH!$A$2:$FA$98, 12, FALSE)="",":",VLOOKUP($E$186,[1]UH!$A$2:$FA$98, 12, FALSE))</f>
        <v>296.2</v>
      </c>
      <c r="N186" s="544">
        <f>IF(VLOOKUP($E$186,[1]UH!$A$2:$FA$98, 13, FALSE)="",":",VLOOKUP($E$186,[1]UH!$A$2:$FA$98, 13, FALSE))</f>
        <v>323.76</v>
      </c>
      <c r="O186" s="544">
        <f>IF(VLOOKUP($E$186,[1]UH!$A$2:$FA$98, 14, FALSE)="",":",VLOOKUP($E$186,[1]UH!$A$2:$FA$98, 14, FALSE))</f>
        <v>358.53</v>
      </c>
      <c r="P186" s="544">
        <f>IF(VLOOKUP($E$186,[1]UH!$A$2:$FA$98, 15, FALSE)="",":",VLOOKUP($E$186,[1]UH!$A$2:$FA$98, 15, FALSE))</f>
        <v>391.3</v>
      </c>
      <c r="Q186" s="544">
        <f>IF(VLOOKUP($E$186,[1]UH!$A$2:$FA$98, 16, FALSE)="",":",VLOOKUP($E$186,[1]UH!$A$2:$FA$98, 16, FALSE))</f>
        <v>449.27</v>
      </c>
      <c r="R186" s="544">
        <f>IF(VLOOKUP($E$186,[1]UH!$A$2:$FA$98, 17, FALSE)="",":",VLOOKUP($E$186,[1]UH!$A$2:$FA$98, 17, FALSE))</f>
        <v>540.09</v>
      </c>
      <c r="S186" s="544">
        <f>IF(VLOOKUP($E$186,[1]UH!$A$2:$FA$98, 18, FALSE)="",":",VLOOKUP($E$186,[1]UH!$A$2:$FA$98, 18, FALSE))</f>
        <v>730.77</v>
      </c>
      <c r="T186" s="544">
        <f>IF(VLOOKUP($E$186,[1]UH!$A$2:$FA$98, 19, FALSE)="",":",VLOOKUP($E$186,[1]UH!$A$2:$FA$98, 19, FALSE))</f>
        <v>760.9</v>
      </c>
      <c r="U186" s="544">
        <f>IF(VLOOKUP($E$186,[1]UH!$A$2:$FA$98, 20, FALSE)="",":",VLOOKUP($E$186,[1]UH!$A$2:$FA$98, 20, FALSE))</f>
        <v>553.55999999999995</v>
      </c>
      <c r="V186" s="544">
        <f>IF(VLOOKUP($E$186,[1]UH!$A$2:$FA$98, 21, FALSE)="",":",VLOOKUP($E$186,[1]UH!$A$2:$FA$98, 21, FALSE))</f>
        <v>460.87</v>
      </c>
      <c r="W186" s="544">
        <f>IF(VLOOKUP($E$186,[1]UH!$A$2:$FA$98, 22, FALSE)="",":",VLOOKUP($E$186,[1]UH!$A$2:$FA$98, 22, FALSE))</f>
        <v>471.8</v>
      </c>
      <c r="X186" s="544">
        <f>IF(VLOOKUP($E$186,[1]UH!$A$2:$FA$98, 23, FALSE)="",":",VLOOKUP($E$186,[1]UH!$A$2:$FA$98, 23, FALSE))</f>
        <v>459.9</v>
      </c>
      <c r="Y186" s="544">
        <f>IF(VLOOKUP($E$186,[1]UH!$A$2:$FA$98, 24, FALSE)="",":",VLOOKUP($E$186,[1]UH!$A$2:$FA$98, 24, FALSE))</f>
        <v>483.82</v>
      </c>
      <c r="Z186" s="544">
        <f>IF(VLOOKUP($E$186,[1]UH!$A$2:$FA$98, 25, FALSE)="",":",VLOOKUP($E$186,[1]UH!$A$2:$FA$98, 25, FALSE))</f>
        <v>493.45</v>
      </c>
      <c r="AA186" s="544">
        <f>IF(VLOOKUP($E$186,[1]UH!$A$2:$FA$98, 26, FALSE)="",":",VLOOKUP($E$186,[1]UH!$A$2:$FA$98, 26, FALSE))</f>
        <v>506.48</v>
      </c>
      <c r="AB186" s="544">
        <f>IF(VLOOKUP($E$186,[1]UH!$A$2:$FA$98, 27, FALSE)="",":",VLOOKUP($E$186,[1]UH!$A$2:$FA$98, 27, FALSE))</f>
        <v>489.33</v>
      </c>
      <c r="AC186" s="544" t="str">
        <f>IF(VLOOKUP($E$186,[1]UH!$A$2:$FA$98, 28, FALSE)="",":",VLOOKUP($E$186,[1]UH!$A$2:$FA$98, 28, FALSE))</f>
        <v>:</v>
      </c>
      <c r="AD186" s="544" t="str">
        <f>IF(VLOOKUP($E$186,[1]UH!$A$2:$FA$98, 29, FALSE)="",":",VLOOKUP($E$186,[1]UH!$A$2:$FA$98, 29, FALSE))</f>
        <v>:</v>
      </c>
      <c r="AE186" s="544" t="str">
        <f>IF(VLOOKUP($E$186,[1]UH!$A$2:$FA$98, 30, FALSE)="",":",VLOOKUP($E$186,[1]UH!$A$2:$FA$98, 30, FALSE))</f>
        <v>:</v>
      </c>
      <c r="AF186" s="544" t="str">
        <f>IF(VLOOKUP($E$186,[1]UH!$A$2:$FA$98, 31, FALSE)="",":",VLOOKUP($E$186,[1]UH!$A$2:$FA$98, 31, FALSE))</f>
        <v>:</v>
      </c>
    </row>
    <row r="187" spans="1:32">
      <c r="A187" s="533"/>
      <c r="B187" s="534" t="s">
        <v>1258</v>
      </c>
      <c r="C187" s="535" t="s">
        <v>36</v>
      </c>
      <c r="D187" s="12" t="s">
        <v>1216</v>
      </c>
      <c r="E187" s="13">
        <v>13</v>
      </c>
      <c r="F187" s="14" t="str">
        <f>VLOOKUP($E$187,[1]UH!$A$2:$FA$98, 3, FALSE)</f>
        <v>13 Property income, receivable D.4r</v>
      </c>
      <c r="G187" s="544">
        <f>IF(VLOOKUP($E$187,[1]UH!$A$2:$FA$98, 6, FALSE)="",":",VLOOKUP($E$187,[1]UH!$A$2:$FA$98, 6, FALSE))</f>
        <v>859.82</v>
      </c>
      <c r="H187" s="544">
        <f>IF(VLOOKUP($E$187,[1]UH!$A$2:$FA$98, 7, FALSE)="",":",VLOOKUP($E$187,[1]UH!$A$2:$FA$98, 7, FALSE))</f>
        <v>973.77</v>
      </c>
      <c r="I187" s="544">
        <f>IF(VLOOKUP($E$187,[1]UH!$A$2:$FA$98, 8, FALSE)="",":",VLOOKUP($E$187,[1]UH!$A$2:$FA$98, 8, FALSE))</f>
        <v>1263.6300000000001</v>
      </c>
      <c r="J187" s="544">
        <f>IF(VLOOKUP($E$187,[1]UH!$A$2:$FA$98, 9, FALSE)="",":",VLOOKUP($E$187,[1]UH!$A$2:$FA$98, 9, FALSE))</f>
        <v>1452.69</v>
      </c>
      <c r="K187" s="544">
        <f>IF(VLOOKUP($E$187,[1]UH!$A$2:$FA$98, 10, FALSE)="",":",VLOOKUP($E$187,[1]UH!$A$2:$FA$98, 10, FALSE))</f>
        <v>1387.06</v>
      </c>
      <c r="L187" s="544">
        <f>IF(VLOOKUP($E$187,[1]UH!$A$2:$FA$98, 11, FALSE)="",":",VLOOKUP($E$187,[1]UH!$A$2:$FA$98, 11, FALSE))</f>
        <v>2278.42</v>
      </c>
      <c r="M187" s="544">
        <f>IF(VLOOKUP($E$187,[1]UH!$A$2:$FA$98, 12, FALSE)="",":",VLOOKUP($E$187,[1]UH!$A$2:$FA$98, 12, FALSE))</f>
        <v>2511.3000000000002</v>
      </c>
      <c r="N187" s="544">
        <f>IF(VLOOKUP($E$187,[1]UH!$A$2:$FA$98, 13, FALSE)="",":",VLOOKUP($E$187,[1]UH!$A$2:$FA$98, 13, FALSE))</f>
        <v>2885.34</v>
      </c>
      <c r="O187" s="544">
        <f>IF(VLOOKUP($E$187,[1]UH!$A$2:$FA$98, 14, FALSE)="",":",VLOOKUP($E$187,[1]UH!$A$2:$FA$98, 14, FALSE))</f>
        <v>2891.94</v>
      </c>
      <c r="P187" s="544">
        <f>IF(VLOOKUP($E$187,[1]UH!$A$2:$FA$98, 15, FALSE)="",":",VLOOKUP($E$187,[1]UH!$A$2:$FA$98, 15, FALSE))</f>
        <v>3770.43</v>
      </c>
      <c r="Q187" s="544">
        <f>IF(VLOOKUP($E$187,[1]UH!$A$2:$FA$98, 16, FALSE)="",":",VLOOKUP($E$187,[1]UH!$A$2:$FA$98, 16, FALSE))</f>
        <v>3487.09</v>
      </c>
      <c r="R187" s="544">
        <f>IF(VLOOKUP($E$187,[1]UH!$A$2:$FA$98, 17, FALSE)="",":",VLOOKUP($E$187,[1]UH!$A$2:$FA$98, 17, FALSE))</f>
        <v>4175.0600000000004</v>
      </c>
      <c r="S187" s="544">
        <f>IF(VLOOKUP($E$187,[1]UH!$A$2:$FA$98, 18, FALSE)="",":",VLOOKUP($E$187,[1]UH!$A$2:$FA$98, 18, FALSE))</f>
        <v>3449.64</v>
      </c>
      <c r="T187" s="544">
        <f>IF(VLOOKUP($E$187,[1]UH!$A$2:$FA$98, 19, FALSE)="",":",VLOOKUP($E$187,[1]UH!$A$2:$FA$98, 19, FALSE))</f>
        <v>4251.9799999999996</v>
      </c>
      <c r="U187" s="544">
        <f>IF(VLOOKUP($E$187,[1]UH!$A$2:$FA$98, 20, FALSE)="",":",VLOOKUP($E$187,[1]UH!$A$2:$FA$98, 20, FALSE))</f>
        <v>4157.24</v>
      </c>
      <c r="V187" s="544">
        <f>IF(VLOOKUP($E$187,[1]UH!$A$2:$FA$98, 21, FALSE)="",":",VLOOKUP($E$187,[1]UH!$A$2:$FA$98, 21, FALSE))</f>
        <v>4628.7299999999996</v>
      </c>
      <c r="W187" s="544">
        <f>IF(VLOOKUP($E$187,[1]UH!$A$2:$FA$98, 22, FALSE)="",":",VLOOKUP($E$187,[1]UH!$A$2:$FA$98, 22, FALSE))</f>
        <v>5119.71</v>
      </c>
      <c r="X187" s="544">
        <f>IF(VLOOKUP($E$187,[1]UH!$A$2:$FA$98, 23, FALSE)="",":",VLOOKUP($E$187,[1]UH!$A$2:$FA$98, 23, FALSE))</f>
        <v>5280.22</v>
      </c>
      <c r="Y187" s="544">
        <f>IF(VLOOKUP($E$187,[1]UH!$A$2:$FA$98, 24, FALSE)="",":",VLOOKUP($E$187,[1]UH!$A$2:$FA$98, 24, FALSE))</f>
        <v>5189.3599999999997</v>
      </c>
      <c r="Z187" s="544">
        <f>IF(VLOOKUP($E$187,[1]UH!$A$2:$FA$98, 25, FALSE)="",":",VLOOKUP($E$187,[1]UH!$A$2:$FA$98, 25, FALSE))</f>
        <v>4890.3100000000004</v>
      </c>
      <c r="AA187" s="544">
        <f>IF(VLOOKUP($E$187,[1]UH!$A$2:$FA$98, 26, FALSE)="",":",VLOOKUP($E$187,[1]UH!$A$2:$FA$98, 26, FALSE))</f>
        <v>4813.7</v>
      </c>
      <c r="AB187" s="544">
        <f>IF(VLOOKUP($E$187,[1]UH!$A$2:$FA$98, 27, FALSE)="",":",VLOOKUP($E$187,[1]UH!$A$2:$FA$98, 27, FALSE))</f>
        <v>5014.3</v>
      </c>
      <c r="AC187" s="544" t="str">
        <f>IF(VLOOKUP($E$187,[1]UH!$A$2:$FA$98, 28, FALSE)="",":",VLOOKUP($E$187,[1]UH!$A$2:$FA$98, 28, FALSE))</f>
        <v>:</v>
      </c>
      <c r="AD187" s="544" t="str">
        <f>IF(VLOOKUP($E$187,[1]UH!$A$2:$FA$98, 29, FALSE)="",":",VLOOKUP($E$187,[1]UH!$A$2:$FA$98, 29, FALSE))</f>
        <v>:</v>
      </c>
      <c r="AE187" s="544" t="str">
        <f>IF(VLOOKUP($E$187,[1]UH!$A$2:$FA$98, 30, FALSE)="",":",VLOOKUP($E$187,[1]UH!$A$2:$FA$98, 30, FALSE))</f>
        <v>:</v>
      </c>
      <c r="AF187" s="544" t="str">
        <f>IF(VLOOKUP($E$187,[1]UH!$A$2:$FA$98, 31, FALSE)="",":",VLOOKUP($E$187,[1]UH!$A$2:$FA$98, 31, FALSE))</f>
        <v>:</v>
      </c>
    </row>
    <row r="188" spans="1:32">
      <c r="A188" s="533"/>
      <c r="B188" s="534" t="s">
        <v>683</v>
      </c>
      <c r="C188" s="535" t="s">
        <v>37</v>
      </c>
      <c r="D188" s="12" t="s">
        <v>1216</v>
      </c>
      <c r="E188" s="13">
        <v>14</v>
      </c>
      <c r="F188" s="14" t="str">
        <f>VLOOKUP($E$188,[1]UH!$A$2:$FA$98, 3, FALSE)</f>
        <v>14 Property income, payable D.4p</v>
      </c>
      <c r="G188" s="544">
        <f>IF(VLOOKUP($E$188,[1]UH!$A$2:$FA$98, 6, FALSE)="",":",VLOOKUP($E$188,[1]UH!$A$2:$FA$98, 6, FALSE))</f>
        <v>89.35</v>
      </c>
      <c r="H188" s="544">
        <f>IF(VLOOKUP($E$188,[1]UH!$A$2:$FA$98, 7, FALSE)="",":",VLOOKUP($E$188,[1]UH!$A$2:$FA$98, 7, FALSE))</f>
        <v>61.1</v>
      </c>
      <c r="I188" s="544">
        <f>IF(VLOOKUP($E$188,[1]UH!$A$2:$FA$98, 8, FALSE)="",":",VLOOKUP($E$188,[1]UH!$A$2:$FA$98, 8, FALSE))</f>
        <v>86.02</v>
      </c>
      <c r="J188" s="544">
        <f>IF(VLOOKUP($E$188,[1]UH!$A$2:$FA$98, 9, FALSE)="",":",VLOOKUP($E$188,[1]UH!$A$2:$FA$98, 9, FALSE))</f>
        <v>60.26</v>
      </c>
      <c r="K188" s="544">
        <f>IF(VLOOKUP($E$188,[1]UH!$A$2:$FA$98, 10, FALSE)="",":",VLOOKUP($E$188,[1]UH!$A$2:$FA$98, 10, FALSE))</f>
        <v>51.43</v>
      </c>
      <c r="L188" s="544">
        <f>IF(VLOOKUP($E$188,[1]UH!$A$2:$FA$98, 11, FALSE)="",":",VLOOKUP($E$188,[1]UH!$A$2:$FA$98, 11, FALSE))</f>
        <v>30.23</v>
      </c>
      <c r="M188" s="544">
        <f>IF(VLOOKUP($E$188,[1]UH!$A$2:$FA$98, 12, FALSE)="",":",VLOOKUP($E$188,[1]UH!$A$2:$FA$98, 12, FALSE))</f>
        <v>59.26</v>
      </c>
      <c r="N188" s="544">
        <f>IF(VLOOKUP($E$188,[1]UH!$A$2:$FA$98, 13, FALSE)="",":",VLOOKUP($E$188,[1]UH!$A$2:$FA$98, 13, FALSE))</f>
        <v>41.12</v>
      </c>
      <c r="O188" s="544">
        <f>IF(VLOOKUP($E$188,[1]UH!$A$2:$FA$98, 14, FALSE)="",":",VLOOKUP($E$188,[1]UH!$A$2:$FA$98, 14, FALSE))</f>
        <v>31.96</v>
      </c>
      <c r="P188" s="544">
        <f>IF(VLOOKUP($E$188,[1]UH!$A$2:$FA$98, 15, FALSE)="",":",VLOOKUP($E$188,[1]UH!$A$2:$FA$98, 15, FALSE))</f>
        <v>28.66</v>
      </c>
      <c r="Q188" s="544">
        <f>IF(VLOOKUP($E$188,[1]UH!$A$2:$FA$98, 16, FALSE)="",":",VLOOKUP($E$188,[1]UH!$A$2:$FA$98, 16, FALSE))</f>
        <v>60.92</v>
      </c>
      <c r="R188" s="544">
        <f>IF(VLOOKUP($E$188,[1]UH!$A$2:$FA$98, 17, FALSE)="",":",VLOOKUP($E$188,[1]UH!$A$2:$FA$98, 17, FALSE))</f>
        <v>113.97</v>
      </c>
      <c r="S188" s="544">
        <f>IF(VLOOKUP($E$188,[1]UH!$A$2:$FA$98, 18, FALSE)="",":",VLOOKUP($E$188,[1]UH!$A$2:$FA$98, 18, FALSE))</f>
        <v>275.62</v>
      </c>
      <c r="T188" s="544">
        <f>IF(VLOOKUP($E$188,[1]UH!$A$2:$FA$98, 19, FALSE)="",":",VLOOKUP($E$188,[1]UH!$A$2:$FA$98, 19, FALSE))</f>
        <v>502.95</v>
      </c>
      <c r="U188" s="544">
        <f>IF(VLOOKUP($E$188,[1]UH!$A$2:$FA$98, 20, FALSE)="",":",VLOOKUP($E$188,[1]UH!$A$2:$FA$98, 20, FALSE))</f>
        <v>400.46</v>
      </c>
      <c r="V188" s="544">
        <f>IF(VLOOKUP($E$188,[1]UH!$A$2:$FA$98, 21, FALSE)="",":",VLOOKUP($E$188,[1]UH!$A$2:$FA$98, 21, FALSE))</f>
        <v>219.77</v>
      </c>
      <c r="W188" s="544">
        <f>IF(VLOOKUP($E$188,[1]UH!$A$2:$FA$98, 22, FALSE)="",":",VLOOKUP($E$188,[1]UH!$A$2:$FA$98, 22, FALSE))</f>
        <v>184.91</v>
      </c>
      <c r="X188" s="544">
        <f>IF(VLOOKUP($E$188,[1]UH!$A$2:$FA$98, 23, FALSE)="",":",VLOOKUP($E$188,[1]UH!$A$2:$FA$98, 23, FALSE))</f>
        <v>190.59</v>
      </c>
      <c r="Y188" s="544">
        <f>IF(VLOOKUP($E$188,[1]UH!$A$2:$FA$98, 24, FALSE)="",":",VLOOKUP($E$188,[1]UH!$A$2:$FA$98, 24, FALSE))</f>
        <v>100.86</v>
      </c>
      <c r="Z188" s="544">
        <f>IF(VLOOKUP($E$188,[1]UH!$A$2:$FA$98, 25, FALSE)="",":",VLOOKUP($E$188,[1]UH!$A$2:$FA$98, 25, FALSE))</f>
        <v>170.12</v>
      </c>
      <c r="AA188" s="544">
        <f>IF(VLOOKUP($E$188,[1]UH!$A$2:$FA$98, 26, FALSE)="",":",VLOOKUP($E$188,[1]UH!$A$2:$FA$98, 26, FALSE))</f>
        <v>159.13999999999999</v>
      </c>
      <c r="AB188" s="544">
        <f>IF(VLOOKUP($E$188,[1]UH!$A$2:$FA$98, 27, FALSE)="",":",VLOOKUP($E$188,[1]UH!$A$2:$FA$98, 27, FALSE))</f>
        <v>104.41</v>
      </c>
      <c r="AC188" s="544" t="str">
        <f>IF(VLOOKUP($E$188,[1]UH!$A$2:$FA$98, 28, FALSE)="",":",VLOOKUP($E$188,[1]UH!$A$2:$FA$98, 28, FALSE))</f>
        <v>:</v>
      </c>
      <c r="AD188" s="544" t="str">
        <f>IF(VLOOKUP($E$188,[1]UH!$A$2:$FA$98, 29, FALSE)="",":",VLOOKUP($E$188,[1]UH!$A$2:$FA$98, 29, FALSE))</f>
        <v>:</v>
      </c>
      <c r="AE188" s="544" t="str">
        <f>IF(VLOOKUP($E$188,[1]UH!$A$2:$FA$98, 30, FALSE)="",":",VLOOKUP($E$188,[1]UH!$A$2:$FA$98, 30, FALSE))</f>
        <v>:</v>
      </c>
      <c r="AF188" s="544" t="str">
        <f>IF(VLOOKUP($E$188,[1]UH!$A$2:$FA$98, 31, FALSE)="",":",VLOOKUP($E$188,[1]UH!$A$2:$FA$98, 31, FALSE))</f>
        <v>:</v>
      </c>
    </row>
    <row r="189" spans="1:32" s="540" customFormat="1">
      <c r="A189" s="536"/>
      <c r="B189" s="537" t="s">
        <v>682</v>
      </c>
      <c r="C189" s="538" t="s">
        <v>681</v>
      </c>
      <c r="D189" s="528"/>
      <c r="E189" s="529"/>
      <c r="F189" s="539"/>
      <c r="G189" s="545">
        <f>+G187-G188</f>
        <v>770.47</v>
      </c>
      <c r="H189" s="545">
        <f t="shared" ref="H189:AF189" si="8">+H187-H188</f>
        <v>912.67</v>
      </c>
      <c r="I189" s="545">
        <f t="shared" si="8"/>
        <v>1177.6100000000001</v>
      </c>
      <c r="J189" s="545">
        <f t="shared" si="8"/>
        <v>1392.43</v>
      </c>
      <c r="K189" s="545">
        <f t="shared" si="8"/>
        <v>1335.6299999999999</v>
      </c>
      <c r="L189" s="545">
        <f t="shared" si="8"/>
        <v>2248.19</v>
      </c>
      <c r="M189" s="545">
        <f t="shared" si="8"/>
        <v>2452.04</v>
      </c>
      <c r="N189" s="545">
        <f t="shared" si="8"/>
        <v>2844.2200000000003</v>
      </c>
      <c r="O189" s="545">
        <f t="shared" si="8"/>
        <v>2859.98</v>
      </c>
      <c r="P189" s="545">
        <f t="shared" si="8"/>
        <v>3741.77</v>
      </c>
      <c r="Q189" s="545">
        <f t="shared" si="8"/>
        <v>3426.17</v>
      </c>
      <c r="R189" s="545">
        <f t="shared" si="8"/>
        <v>4061.0900000000006</v>
      </c>
      <c r="S189" s="545">
        <f t="shared" si="8"/>
        <v>3174.02</v>
      </c>
      <c r="T189" s="545">
        <f t="shared" si="8"/>
        <v>3749.0299999999997</v>
      </c>
      <c r="U189" s="545">
        <f t="shared" si="8"/>
        <v>3756.7799999999997</v>
      </c>
      <c r="V189" s="545">
        <f t="shared" si="8"/>
        <v>4408.9599999999991</v>
      </c>
      <c r="W189" s="545">
        <f t="shared" si="8"/>
        <v>4934.8</v>
      </c>
      <c r="X189" s="545">
        <f t="shared" si="8"/>
        <v>5089.63</v>
      </c>
      <c r="Y189" s="545">
        <f t="shared" si="8"/>
        <v>5088.5</v>
      </c>
      <c r="Z189" s="545">
        <f t="shared" si="8"/>
        <v>4720.1900000000005</v>
      </c>
      <c r="AA189" s="545">
        <f t="shared" si="8"/>
        <v>4654.5599999999995</v>
      </c>
      <c r="AB189" s="545">
        <f t="shared" si="8"/>
        <v>4909.8900000000003</v>
      </c>
      <c r="AC189" s="545" t="e">
        <f t="shared" si="8"/>
        <v>#VALUE!</v>
      </c>
      <c r="AD189" s="545" t="e">
        <f t="shared" si="8"/>
        <v>#VALUE!</v>
      </c>
      <c r="AE189" s="545" t="e">
        <f t="shared" si="8"/>
        <v>#VALUE!</v>
      </c>
      <c r="AF189" s="545" t="e">
        <f t="shared" si="8"/>
        <v>#VALUE!</v>
      </c>
    </row>
    <row r="190" spans="1:32">
      <c r="A190" s="533"/>
      <c r="B190" s="534"/>
      <c r="C190" s="535"/>
      <c r="D190" s="12"/>
      <c r="E190" s="13"/>
      <c r="F190" s="14"/>
      <c r="G190" s="544"/>
      <c r="H190" s="544"/>
      <c r="I190" s="544"/>
      <c r="J190" s="544"/>
      <c r="K190" s="544"/>
      <c r="L190" s="544"/>
      <c r="M190" s="544"/>
      <c r="N190" s="544"/>
      <c r="O190" s="544"/>
      <c r="P190" s="544"/>
      <c r="Q190" s="544"/>
      <c r="R190" s="544"/>
      <c r="S190" s="544"/>
      <c r="T190" s="544"/>
      <c r="U190" s="544"/>
      <c r="V190" s="544"/>
      <c r="W190" s="544"/>
      <c r="X190" s="544"/>
      <c r="Y190" s="544"/>
      <c r="Z190" s="544"/>
      <c r="AA190" s="544"/>
      <c r="AB190" s="544"/>
      <c r="AC190" s="544"/>
      <c r="AD190" s="544"/>
      <c r="AE190" s="544"/>
      <c r="AF190" s="544"/>
    </row>
    <row r="191" spans="1:32">
      <c r="A191" s="533">
        <v>92</v>
      </c>
      <c r="B191" s="534" t="s">
        <v>1438</v>
      </c>
      <c r="C191" s="535" t="s">
        <v>1631</v>
      </c>
      <c r="D191" s="12" t="s">
        <v>1216</v>
      </c>
      <c r="E191" s="13">
        <v>19</v>
      </c>
      <c r="F191" s="14" t="str">
        <f>VLOOKUP($E$191,[1]UH!$A$2:$FA$98, 3, FALSE)</f>
        <v>19 Current taxes on income and wealth, payable D.5p</v>
      </c>
      <c r="G191" s="544">
        <f>IF(VLOOKUP($E$191,[1]UH!$A$2:$FA$98, 6, FALSE)="",":",VLOOKUP($E$191,[1]UH!$A$2:$FA$98, 6, FALSE))</f>
        <v>493.29</v>
      </c>
      <c r="H191" s="544">
        <f>IF(VLOOKUP($E$191,[1]UH!$A$2:$FA$98, 7, FALSE)="",":",VLOOKUP($E$191,[1]UH!$A$2:$FA$98, 7, FALSE))</f>
        <v>665.66</v>
      </c>
      <c r="I191" s="544">
        <f>IF(VLOOKUP($E$191,[1]UH!$A$2:$FA$98, 8, FALSE)="",":",VLOOKUP($E$191,[1]UH!$A$2:$FA$98, 8, FALSE))</f>
        <v>845.38</v>
      </c>
      <c r="J191" s="544">
        <f>IF(VLOOKUP($E$191,[1]UH!$A$2:$FA$98, 9, FALSE)="",":",VLOOKUP($E$191,[1]UH!$A$2:$FA$98, 9, FALSE))</f>
        <v>1002.34</v>
      </c>
      <c r="K191" s="544">
        <f>IF(VLOOKUP($E$191,[1]UH!$A$2:$FA$98, 10, FALSE)="",":",VLOOKUP($E$191,[1]UH!$A$2:$FA$98, 10, FALSE))</f>
        <v>1055.0999999999999</v>
      </c>
      <c r="L191" s="544">
        <f>IF(VLOOKUP($E$191,[1]UH!$A$2:$FA$98, 11, FALSE)="",":",VLOOKUP($E$191,[1]UH!$A$2:$FA$98, 11, FALSE))</f>
        <v>1028.23</v>
      </c>
      <c r="M191" s="544">
        <f>IF(VLOOKUP($E$191,[1]UH!$A$2:$FA$98, 12, FALSE)="",":",VLOOKUP($E$191,[1]UH!$A$2:$FA$98, 12, FALSE))</f>
        <v>1026.4000000000001</v>
      </c>
      <c r="N191" s="544">
        <f>IF(VLOOKUP($E$191,[1]UH!$A$2:$FA$98, 13, FALSE)="",":",VLOOKUP($E$191,[1]UH!$A$2:$FA$98, 13, FALSE))</f>
        <v>1039.03</v>
      </c>
      <c r="O191" s="544">
        <f>IF(VLOOKUP($E$191,[1]UH!$A$2:$FA$98, 14, FALSE)="",":",VLOOKUP($E$191,[1]UH!$A$2:$FA$98, 14, FALSE))</f>
        <v>1086.44</v>
      </c>
      <c r="P191" s="544">
        <f>IF(VLOOKUP($E$191,[1]UH!$A$2:$FA$98, 15, FALSE)="",":",VLOOKUP($E$191,[1]UH!$A$2:$FA$98, 15, FALSE))</f>
        <v>1240.69</v>
      </c>
      <c r="Q191" s="544">
        <f>IF(VLOOKUP($E$191,[1]UH!$A$2:$FA$98, 16, FALSE)="",":",VLOOKUP($E$191,[1]UH!$A$2:$FA$98, 16, FALSE))</f>
        <v>1441.29</v>
      </c>
      <c r="R191" s="544">
        <f>IF(VLOOKUP($E$191,[1]UH!$A$2:$FA$98, 17, FALSE)="",":",VLOOKUP($E$191,[1]UH!$A$2:$FA$98, 17, FALSE))</f>
        <v>1635.71</v>
      </c>
      <c r="S191" s="544">
        <f>IF(VLOOKUP($E$191,[1]UH!$A$2:$FA$98, 18, FALSE)="",":",VLOOKUP($E$191,[1]UH!$A$2:$FA$98, 18, FALSE))</f>
        <v>1898.68</v>
      </c>
      <c r="T191" s="544">
        <f>IF(VLOOKUP($E$191,[1]UH!$A$2:$FA$98, 19, FALSE)="",":",VLOOKUP($E$191,[1]UH!$A$2:$FA$98, 19, FALSE))</f>
        <v>2137.71</v>
      </c>
      <c r="U191" s="544">
        <f>IF(VLOOKUP($E$191,[1]UH!$A$2:$FA$98, 20, FALSE)="",":",VLOOKUP($E$191,[1]UH!$A$2:$FA$98, 20, FALSE))</f>
        <v>1106.05</v>
      </c>
      <c r="V191" s="544">
        <f>IF(VLOOKUP($E$191,[1]UH!$A$2:$FA$98, 21, FALSE)="",":",VLOOKUP($E$191,[1]UH!$A$2:$FA$98, 21, FALSE))</f>
        <v>1039.77</v>
      </c>
      <c r="W191" s="544">
        <f>IF(VLOOKUP($E$191,[1]UH!$A$2:$FA$98, 22, FALSE)="",":",VLOOKUP($E$191,[1]UH!$A$2:$FA$98, 22, FALSE))</f>
        <v>1123.23</v>
      </c>
      <c r="X191" s="544">
        <f>IF(VLOOKUP($E$191,[1]UH!$A$2:$FA$98, 23, FALSE)="",":",VLOOKUP($E$191,[1]UH!$A$2:$FA$98, 23, FALSE))</f>
        <v>1178.3</v>
      </c>
      <c r="Y191" s="544">
        <f>IF(VLOOKUP($E$191,[1]UH!$A$2:$FA$98, 24, FALSE)="",":",VLOOKUP($E$191,[1]UH!$A$2:$FA$98, 24, FALSE))</f>
        <v>1265.8900000000001</v>
      </c>
      <c r="Z191" s="544">
        <f>IF(VLOOKUP($E$191,[1]UH!$A$2:$FA$98, 25, FALSE)="",":",VLOOKUP($E$191,[1]UH!$A$2:$FA$98, 25, FALSE))</f>
        <v>1333.84</v>
      </c>
      <c r="AA191" s="544">
        <f>IF(VLOOKUP($E$191,[1]UH!$A$2:$FA$98, 26, FALSE)="",":",VLOOKUP($E$191,[1]UH!$A$2:$FA$98, 26, FALSE))</f>
        <v>1456.97</v>
      </c>
      <c r="AB191" s="544">
        <f>IF(VLOOKUP($E$191,[1]UH!$A$2:$FA$98, 27, FALSE)="",":",VLOOKUP($E$191,[1]UH!$A$2:$FA$98, 27, FALSE))</f>
        <v>1557.36</v>
      </c>
      <c r="AC191" s="544" t="str">
        <f>IF(VLOOKUP($E$191,[1]UH!$A$2:$FA$98, 28, FALSE)="",":",VLOOKUP($E$191,[1]UH!$A$2:$FA$98, 28, FALSE))</f>
        <v>:</v>
      </c>
      <c r="AD191" s="544" t="str">
        <f>IF(VLOOKUP($E$191,[1]UH!$A$2:$FA$98, 29, FALSE)="",":",VLOOKUP($E$191,[1]UH!$A$2:$FA$98, 29, FALSE))</f>
        <v>:</v>
      </c>
      <c r="AE191" s="544" t="str">
        <f>IF(VLOOKUP($E$191,[1]UH!$A$2:$FA$98, 30, FALSE)="",":",VLOOKUP($E$191,[1]UH!$A$2:$FA$98, 30, FALSE))</f>
        <v>:</v>
      </c>
      <c r="AF191" s="544" t="str">
        <f>IF(VLOOKUP($E$191,[1]UH!$A$2:$FA$98, 31, FALSE)="",":",VLOOKUP($E$191,[1]UH!$A$2:$FA$98, 31, FALSE))</f>
        <v>:</v>
      </c>
    </row>
    <row r="192" spans="1:32">
      <c r="A192" s="533"/>
      <c r="B192" s="534" t="s">
        <v>11</v>
      </c>
      <c r="C192" s="535" t="s">
        <v>38</v>
      </c>
      <c r="D192" s="12" t="s">
        <v>1216</v>
      </c>
      <c r="E192" s="13">
        <v>16</v>
      </c>
      <c r="F192" s="14" t="str">
        <f>VLOOKUP($E$192,[1]UH!$A$2:$FA$98, 3, FALSE)</f>
        <v>16 Social contributions, receivable D.61r</v>
      </c>
      <c r="G192" s="544">
        <f>IF(VLOOKUP($E$192,[1]UH!$A$2:$FA$98, 6, FALSE)="",":",VLOOKUP($E$192,[1]UH!$A$2:$FA$98, 6, FALSE))</f>
        <v>0.28000000000000003</v>
      </c>
      <c r="H192" s="544">
        <f>IF(VLOOKUP($E$192,[1]UH!$A$2:$FA$98, 7, FALSE)="",":",VLOOKUP($E$192,[1]UH!$A$2:$FA$98, 7, FALSE))</f>
        <v>0.22000000000000003</v>
      </c>
      <c r="I192" s="544">
        <f>IF(VLOOKUP($E$192,[1]UH!$A$2:$FA$98, 8, FALSE)="",":",VLOOKUP($E$192,[1]UH!$A$2:$FA$98, 8, FALSE))</f>
        <v>0.33</v>
      </c>
      <c r="J192" s="544">
        <f>IF(VLOOKUP($E$192,[1]UH!$A$2:$FA$98, 9, FALSE)="",":",VLOOKUP($E$192,[1]UH!$A$2:$FA$98, 9, FALSE))</f>
        <v>0.49000000000000005</v>
      </c>
      <c r="K192" s="544">
        <f>IF(VLOOKUP($E$192,[1]UH!$A$2:$FA$98, 10, FALSE)="",":",VLOOKUP($E$192,[1]UH!$A$2:$FA$98, 10, FALSE))</f>
        <v>0.35000000000000003</v>
      </c>
      <c r="L192" s="544">
        <f>IF(VLOOKUP($E$192,[1]UH!$A$2:$FA$98, 11, FALSE)="",":",VLOOKUP($E$192,[1]UH!$A$2:$FA$98, 11, FALSE))</f>
        <v>0.46</v>
      </c>
      <c r="M192" s="544">
        <f>IF(VLOOKUP($E$192,[1]UH!$A$2:$FA$98, 12, FALSE)="",":",VLOOKUP($E$192,[1]UH!$A$2:$FA$98, 12, FALSE))</f>
        <v>0.4</v>
      </c>
      <c r="N192" s="544">
        <f>IF(VLOOKUP($E$192,[1]UH!$A$2:$FA$98, 13, FALSE)="",":",VLOOKUP($E$192,[1]UH!$A$2:$FA$98, 13, FALSE))</f>
        <v>0.37000000000000005</v>
      </c>
      <c r="O192" s="544">
        <f>IF(VLOOKUP($E$192,[1]UH!$A$2:$FA$98, 14, FALSE)="",":",VLOOKUP($E$192,[1]UH!$A$2:$FA$98, 14, FALSE))</f>
        <v>0.42000000000000004</v>
      </c>
      <c r="P192" s="544">
        <f>IF(VLOOKUP($E$192,[1]UH!$A$2:$FA$98, 15, FALSE)="",":",VLOOKUP($E$192,[1]UH!$A$2:$FA$98, 15, FALSE))</f>
        <v>0.44000000000000006</v>
      </c>
      <c r="Q192" s="544">
        <f>IF(VLOOKUP($E$192,[1]UH!$A$2:$FA$98, 16, FALSE)="",":",VLOOKUP($E$192,[1]UH!$A$2:$FA$98, 16, FALSE))</f>
        <v>0.56000000000000005</v>
      </c>
      <c r="R192" s="544">
        <f>IF(VLOOKUP($E$192,[1]UH!$A$2:$FA$98, 17, FALSE)="",":",VLOOKUP($E$192,[1]UH!$A$2:$FA$98, 17, FALSE))</f>
        <v>0.68</v>
      </c>
      <c r="S192" s="544">
        <f>IF(VLOOKUP($E$192,[1]UH!$A$2:$FA$98, 18, FALSE)="",":",VLOOKUP($E$192,[1]UH!$A$2:$FA$98, 18, FALSE))</f>
        <v>0.85000000000000009</v>
      </c>
      <c r="T192" s="544">
        <f>IF(VLOOKUP($E$192,[1]UH!$A$2:$FA$98, 19, FALSE)="",":",VLOOKUP($E$192,[1]UH!$A$2:$FA$98, 19, FALSE))</f>
        <v>0.87000000000000011</v>
      </c>
      <c r="U192" s="544">
        <f>IF(VLOOKUP($E$192,[1]UH!$A$2:$FA$98, 20, FALSE)="",":",VLOOKUP($E$192,[1]UH!$A$2:$FA$98, 20, FALSE))</f>
        <v>0.81</v>
      </c>
      <c r="V192" s="544">
        <f>IF(VLOOKUP($E$192,[1]UH!$A$2:$FA$98, 21, FALSE)="",":",VLOOKUP($E$192,[1]UH!$A$2:$FA$98, 21, FALSE))</f>
        <v>0.78</v>
      </c>
      <c r="W192" s="544">
        <f>IF(VLOOKUP($E$192,[1]UH!$A$2:$FA$98, 22, FALSE)="",":",VLOOKUP($E$192,[1]UH!$A$2:$FA$98, 22, FALSE))</f>
        <v>0.87000000000000011</v>
      </c>
      <c r="X192" s="544">
        <f>IF(VLOOKUP($E$192,[1]UH!$A$2:$FA$98, 23, FALSE)="",":",VLOOKUP($E$192,[1]UH!$A$2:$FA$98, 23, FALSE))</f>
        <v>0.85000000000000009</v>
      </c>
      <c r="Y192" s="544">
        <f>IF(VLOOKUP($E$192,[1]UH!$A$2:$FA$98, 24, FALSE)="",":",VLOOKUP($E$192,[1]UH!$A$2:$FA$98, 24, FALSE))</f>
        <v>0.88000000000000012</v>
      </c>
      <c r="Z192" s="544">
        <f>IF(VLOOKUP($E$192,[1]UH!$A$2:$FA$98, 25, FALSE)="",":",VLOOKUP($E$192,[1]UH!$A$2:$FA$98, 25, FALSE))</f>
        <v>1</v>
      </c>
      <c r="AA192" s="544">
        <f>IF(VLOOKUP($E$192,[1]UH!$A$2:$FA$98, 26, FALSE)="",":",VLOOKUP($E$192,[1]UH!$A$2:$FA$98, 26, FALSE))</f>
        <v>0.9</v>
      </c>
      <c r="AB192" s="544">
        <f>IF(VLOOKUP($E$192,[1]UH!$A$2:$FA$98, 27, FALSE)="",":",VLOOKUP($E$192,[1]UH!$A$2:$FA$98, 27, FALSE))</f>
        <v>0.94000000000000006</v>
      </c>
      <c r="AC192" s="544" t="str">
        <f>IF(VLOOKUP($E$192,[1]UH!$A$2:$FA$98, 28, FALSE)="",":",VLOOKUP($E$192,[1]UH!$A$2:$FA$98, 28, FALSE))</f>
        <v>:</v>
      </c>
      <c r="AD192" s="544" t="str">
        <f>IF(VLOOKUP($E$192,[1]UH!$A$2:$FA$98, 29, FALSE)="",":",VLOOKUP($E$192,[1]UH!$A$2:$FA$98, 29, FALSE))</f>
        <v>:</v>
      </c>
      <c r="AE192" s="544" t="str">
        <f>IF(VLOOKUP($E$192,[1]UH!$A$2:$FA$98, 30, FALSE)="",":",VLOOKUP($E$192,[1]UH!$A$2:$FA$98, 30, FALSE))</f>
        <v>:</v>
      </c>
      <c r="AF192" s="544" t="str">
        <f>IF(VLOOKUP($E$192,[1]UH!$A$2:$FA$98, 31, FALSE)="",":",VLOOKUP($E$192,[1]UH!$A$2:$FA$98, 31, FALSE))</f>
        <v>:</v>
      </c>
    </row>
    <row r="193" spans="1:32">
      <c r="A193" s="533"/>
      <c r="B193" s="534" t="s">
        <v>12</v>
      </c>
      <c r="C193" s="535" t="s">
        <v>39</v>
      </c>
      <c r="D193" s="12" t="s">
        <v>1216</v>
      </c>
      <c r="E193" s="13">
        <v>17</v>
      </c>
      <c r="F193" s="14" t="str">
        <f>VLOOKUP($E$193,[1]UH!$A$2:$FA$98, 3, FALSE)</f>
        <v xml:space="preserve">17  Social benefits other than social transfers in kind, receivable  D.62r     </v>
      </c>
      <c r="G193" s="544">
        <f>IF(VLOOKUP($E$193,[1]UH!$A$2:$FA$98, 6, FALSE)="",":",VLOOKUP($E$193,[1]UH!$A$2:$FA$98, 6, FALSE))</f>
        <v>639.29</v>
      </c>
      <c r="H193" s="544">
        <f>IF(VLOOKUP($E$193,[1]UH!$A$2:$FA$98, 7, FALSE)="",":",VLOOKUP($E$193,[1]UH!$A$2:$FA$98, 7, FALSE))</f>
        <v>837.91</v>
      </c>
      <c r="I193" s="544">
        <f>IF(VLOOKUP($E$193,[1]UH!$A$2:$FA$98, 8, FALSE)="",":",VLOOKUP($E$193,[1]UH!$A$2:$FA$98, 8, FALSE))</f>
        <v>1136.83</v>
      </c>
      <c r="J193" s="544">
        <f>IF(VLOOKUP($E$193,[1]UH!$A$2:$FA$98, 9, FALSE)="",":",VLOOKUP($E$193,[1]UH!$A$2:$FA$98, 9, FALSE))</f>
        <v>1419.08</v>
      </c>
      <c r="K193" s="544">
        <f>IF(VLOOKUP($E$193,[1]UH!$A$2:$FA$98, 10, FALSE)="",":",VLOOKUP($E$193,[1]UH!$A$2:$FA$98, 10, FALSE))</f>
        <v>1584.1</v>
      </c>
      <c r="L193" s="544">
        <f>IF(VLOOKUP($E$193,[1]UH!$A$2:$FA$98, 11, FALSE)="",":",VLOOKUP($E$193,[1]UH!$A$2:$FA$98, 11, FALSE))</f>
        <v>1567.66</v>
      </c>
      <c r="M193" s="544">
        <f>IF(VLOOKUP($E$193,[1]UH!$A$2:$FA$98, 12, FALSE)="",":",VLOOKUP($E$193,[1]UH!$A$2:$FA$98, 12, FALSE))</f>
        <v>1630.63</v>
      </c>
      <c r="N193" s="544">
        <f>IF(VLOOKUP($E$193,[1]UH!$A$2:$FA$98, 13, FALSE)="",":",VLOOKUP($E$193,[1]UH!$A$2:$FA$98, 13, FALSE))</f>
        <v>1548.47</v>
      </c>
      <c r="O193" s="544">
        <f>IF(VLOOKUP($E$193,[1]UH!$A$2:$FA$98, 14, FALSE)="",":",VLOOKUP($E$193,[1]UH!$A$2:$FA$98, 14, FALSE))</f>
        <v>1660.16</v>
      </c>
      <c r="P193" s="544">
        <f>IF(VLOOKUP($E$193,[1]UH!$A$2:$FA$98, 15, FALSE)="",":",VLOOKUP($E$193,[1]UH!$A$2:$FA$98, 15, FALSE))</f>
        <v>1810.19</v>
      </c>
      <c r="Q193" s="544">
        <f>IF(VLOOKUP($E$193,[1]UH!$A$2:$FA$98, 16, FALSE)="",":",VLOOKUP($E$193,[1]UH!$A$2:$FA$98, 16, FALSE))</f>
        <v>2078.4899999999998</v>
      </c>
      <c r="R193" s="544">
        <f>IF(VLOOKUP($E$193,[1]UH!$A$2:$FA$98, 17, FALSE)="",":",VLOOKUP($E$193,[1]UH!$A$2:$FA$98, 17, FALSE))</f>
        <v>2349.4</v>
      </c>
      <c r="S193" s="544">
        <f>IF(VLOOKUP($E$193,[1]UH!$A$2:$FA$98, 18, FALSE)="",":",VLOOKUP($E$193,[1]UH!$A$2:$FA$98, 18, FALSE))</f>
        <v>2975.11</v>
      </c>
      <c r="T193" s="544">
        <f>IF(VLOOKUP($E$193,[1]UH!$A$2:$FA$98, 19, FALSE)="",":",VLOOKUP($E$193,[1]UH!$A$2:$FA$98, 19, FALSE))</f>
        <v>3959.43</v>
      </c>
      <c r="U193" s="544">
        <f>IF(VLOOKUP($E$193,[1]UH!$A$2:$FA$98, 20, FALSE)="",":",VLOOKUP($E$193,[1]UH!$A$2:$FA$98, 20, FALSE))</f>
        <v>4507.6000000000004</v>
      </c>
      <c r="V193" s="544">
        <f>IF(VLOOKUP($E$193,[1]UH!$A$2:$FA$98, 21, FALSE)="",":",VLOOKUP($E$193,[1]UH!$A$2:$FA$98, 21, FALSE))</f>
        <v>4159.1899999999996</v>
      </c>
      <c r="W193" s="544">
        <f>IF(VLOOKUP($E$193,[1]UH!$A$2:$FA$98, 22, FALSE)="",":",VLOOKUP($E$193,[1]UH!$A$2:$FA$98, 22, FALSE))</f>
        <v>4082.15</v>
      </c>
      <c r="X193" s="544">
        <f>IF(VLOOKUP($E$193,[1]UH!$A$2:$FA$98, 23, FALSE)="",":",VLOOKUP($E$193,[1]UH!$A$2:$FA$98, 23, FALSE))</f>
        <v>4142.75</v>
      </c>
      <c r="Y193" s="544">
        <f>IF(VLOOKUP($E$193,[1]UH!$A$2:$FA$98, 24, FALSE)="",":",VLOOKUP($E$193,[1]UH!$A$2:$FA$98, 24, FALSE))</f>
        <v>4110.09</v>
      </c>
      <c r="Z193" s="544">
        <f>IF(VLOOKUP($E$193,[1]UH!$A$2:$FA$98, 25, FALSE)="",":",VLOOKUP($E$193,[1]UH!$A$2:$FA$98, 25, FALSE))</f>
        <v>4132.32</v>
      </c>
      <c r="AA193" s="544">
        <f>IF(VLOOKUP($E$193,[1]UH!$A$2:$FA$98, 26, FALSE)="",":",VLOOKUP($E$193,[1]UH!$A$2:$FA$98, 26, FALSE))</f>
        <v>4236.8500000000004</v>
      </c>
      <c r="AB193" s="544">
        <f>IF(VLOOKUP($E$193,[1]UH!$A$2:$FA$98, 27, FALSE)="",":",VLOOKUP($E$193,[1]UH!$A$2:$FA$98, 27, FALSE))</f>
        <v>4456.13</v>
      </c>
      <c r="AC193" s="544" t="str">
        <f>IF(VLOOKUP($E$193,[1]UH!$A$2:$FA$98, 28, FALSE)="",":",VLOOKUP($E$193,[1]UH!$A$2:$FA$98, 28, FALSE))</f>
        <v>:</v>
      </c>
      <c r="AD193" s="544" t="str">
        <f>IF(VLOOKUP($E$193,[1]UH!$A$2:$FA$98, 29, FALSE)="",":",VLOOKUP($E$193,[1]UH!$A$2:$FA$98, 29, FALSE))</f>
        <v>:</v>
      </c>
      <c r="AE193" s="544" t="str">
        <f>IF(VLOOKUP($E$193,[1]UH!$A$2:$FA$98, 30, FALSE)="",":",VLOOKUP($E$193,[1]UH!$A$2:$FA$98, 30, FALSE))</f>
        <v>:</v>
      </c>
      <c r="AF193" s="544" t="str">
        <f>IF(VLOOKUP($E$193,[1]UH!$A$2:$FA$98, 31, FALSE)="",":",VLOOKUP($E$193,[1]UH!$A$2:$FA$98, 31, FALSE))</f>
        <v>:</v>
      </c>
    </row>
    <row r="194" spans="1:32">
      <c r="A194" s="533"/>
      <c r="B194" s="534" t="s">
        <v>679</v>
      </c>
      <c r="C194" s="535" t="s">
        <v>1632</v>
      </c>
      <c r="D194" s="12" t="s">
        <v>1216</v>
      </c>
      <c r="E194" s="13">
        <v>20</v>
      </c>
      <c r="F194" s="14" t="str">
        <f>VLOOKUP($E$194,[1]UH!$A$2:$FA$98, 3, FALSE)</f>
        <v xml:space="preserve">20  Social contributions, payable  D.61p                                       </v>
      </c>
      <c r="G194" s="544">
        <f>IF(VLOOKUP($E$194,[1]UH!$A$2:$FA$98, 6, FALSE)="",":",VLOOKUP($E$194,[1]UH!$A$2:$FA$98, 6, FALSE))</f>
        <v>565.16999999999996</v>
      </c>
      <c r="H194" s="544">
        <f>IF(VLOOKUP($E$194,[1]UH!$A$2:$FA$98, 7, FALSE)="",":",VLOOKUP($E$194,[1]UH!$A$2:$FA$98, 7, FALSE))</f>
        <v>752.62</v>
      </c>
      <c r="I194" s="544">
        <f>IF(VLOOKUP($E$194,[1]UH!$A$2:$FA$98, 8, FALSE)="",":",VLOOKUP($E$194,[1]UH!$A$2:$FA$98, 8, FALSE))</f>
        <v>1060.51</v>
      </c>
      <c r="J194" s="544">
        <f>IF(VLOOKUP($E$194,[1]UH!$A$2:$FA$98, 9, FALSE)="",":",VLOOKUP($E$194,[1]UH!$A$2:$FA$98, 9, FALSE))</f>
        <v>1310.6500000000001</v>
      </c>
      <c r="K194" s="544">
        <f>IF(VLOOKUP($E$194,[1]UH!$A$2:$FA$98, 10, FALSE)="",":",VLOOKUP($E$194,[1]UH!$A$2:$FA$98, 10, FALSE))</f>
        <v>1294.95</v>
      </c>
      <c r="L194" s="544">
        <f>IF(VLOOKUP($E$194,[1]UH!$A$2:$FA$98, 11, FALSE)="",":",VLOOKUP($E$194,[1]UH!$A$2:$FA$98, 11, FALSE))</f>
        <v>1371.17</v>
      </c>
      <c r="M194" s="544">
        <f>IF(VLOOKUP($E$194,[1]UH!$A$2:$FA$98, 12, FALSE)="",":",VLOOKUP($E$194,[1]UH!$A$2:$FA$98, 12, FALSE))</f>
        <v>1383.69</v>
      </c>
      <c r="N194" s="544">
        <f>IF(VLOOKUP($E$194,[1]UH!$A$2:$FA$98, 13, FALSE)="",":",VLOOKUP($E$194,[1]UH!$A$2:$FA$98, 13, FALSE))</f>
        <v>1429.17</v>
      </c>
      <c r="O194" s="544">
        <f>IF(VLOOKUP($E$194,[1]UH!$A$2:$FA$98, 14, FALSE)="",":",VLOOKUP($E$194,[1]UH!$A$2:$FA$98, 14, FALSE))</f>
        <v>1540.38</v>
      </c>
      <c r="P194" s="544">
        <f>IF(VLOOKUP($E$194,[1]UH!$A$2:$FA$98, 15, FALSE)="",":",VLOOKUP($E$194,[1]UH!$A$2:$FA$98, 15, FALSE))</f>
        <v>1772.69</v>
      </c>
      <c r="Q194" s="544">
        <f>IF(VLOOKUP($E$194,[1]UH!$A$2:$FA$98, 16, FALSE)="",":",VLOOKUP($E$194,[1]UH!$A$2:$FA$98, 16, FALSE))</f>
        <v>2106.0300000000002</v>
      </c>
      <c r="R194" s="544">
        <f>IF(VLOOKUP($E$194,[1]UH!$A$2:$FA$98, 17, FALSE)="",":",VLOOKUP($E$194,[1]UH!$A$2:$FA$98, 17, FALSE))</f>
        <v>2536.02</v>
      </c>
      <c r="S194" s="544">
        <f>IF(VLOOKUP($E$194,[1]UH!$A$2:$FA$98, 18, FALSE)="",":",VLOOKUP($E$194,[1]UH!$A$2:$FA$98, 18, FALSE))</f>
        <v>3127.14</v>
      </c>
      <c r="T194" s="544">
        <f>IF(VLOOKUP($E$194,[1]UH!$A$2:$FA$98, 19, FALSE)="",":",VLOOKUP($E$194,[1]UH!$A$2:$FA$98, 19, FALSE))</f>
        <v>3721.75</v>
      </c>
      <c r="U194" s="544">
        <f>IF(VLOOKUP($E$194,[1]UH!$A$2:$FA$98, 20, FALSE)="",":",VLOOKUP($E$194,[1]UH!$A$2:$FA$98, 20, FALSE))</f>
        <v>3777.15</v>
      </c>
      <c r="V194" s="544">
        <f>IF(VLOOKUP($E$194,[1]UH!$A$2:$FA$98, 21, FALSE)="",":",VLOOKUP($E$194,[1]UH!$A$2:$FA$98, 21, FALSE))</f>
        <v>3644.91</v>
      </c>
      <c r="W194" s="544">
        <f>IF(VLOOKUP($E$194,[1]UH!$A$2:$FA$98, 22, FALSE)="",":",VLOOKUP($E$194,[1]UH!$A$2:$FA$98, 22, FALSE))</f>
        <v>3860.93</v>
      </c>
      <c r="X194" s="544">
        <f>IF(VLOOKUP($E$194,[1]UH!$A$2:$FA$98, 23, FALSE)="",":",VLOOKUP($E$194,[1]UH!$A$2:$FA$98, 23, FALSE))</f>
        <v>3939.26</v>
      </c>
      <c r="Y194" s="544">
        <f>IF(VLOOKUP($E$194,[1]UH!$A$2:$FA$98, 24, FALSE)="",":",VLOOKUP($E$194,[1]UH!$A$2:$FA$98, 24, FALSE))</f>
        <v>4187.54</v>
      </c>
      <c r="Z194" s="544">
        <f>IF(VLOOKUP($E$194,[1]UH!$A$2:$FA$98, 25, FALSE)="",":",VLOOKUP($E$194,[1]UH!$A$2:$FA$98, 25, FALSE))</f>
        <v>4450.2299999999996</v>
      </c>
      <c r="AA194" s="544">
        <f>IF(VLOOKUP($E$194,[1]UH!$A$2:$FA$98, 26, FALSE)="",":",VLOOKUP($E$194,[1]UH!$A$2:$FA$98, 26, FALSE))</f>
        <v>4760.08</v>
      </c>
      <c r="AB194" s="544">
        <f>IF(VLOOKUP($E$194,[1]UH!$A$2:$FA$98, 27, FALSE)="",":",VLOOKUP($E$194,[1]UH!$A$2:$FA$98, 27, FALSE))</f>
        <v>5158.3</v>
      </c>
      <c r="AC194" s="544" t="str">
        <f>IF(VLOOKUP($E$194,[1]UH!$A$2:$FA$98, 28, FALSE)="",":",VLOOKUP($E$194,[1]UH!$A$2:$FA$98, 28, FALSE))</f>
        <v>:</v>
      </c>
      <c r="AD194" s="544" t="str">
        <f>IF(VLOOKUP($E$194,[1]UH!$A$2:$FA$98, 29, FALSE)="",":",VLOOKUP($E$194,[1]UH!$A$2:$FA$98, 29, FALSE))</f>
        <v>:</v>
      </c>
      <c r="AE194" s="544" t="str">
        <f>IF(VLOOKUP($E$194,[1]UH!$A$2:$FA$98, 30, FALSE)="",":",VLOOKUP($E$194,[1]UH!$A$2:$FA$98, 30, FALSE))</f>
        <v>:</v>
      </c>
      <c r="AF194" s="544" t="str">
        <f>IF(VLOOKUP($E$194,[1]UH!$A$2:$FA$98, 31, FALSE)="",":",VLOOKUP($E$194,[1]UH!$A$2:$FA$98, 31, FALSE))</f>
        <v>:</v>
      </c>
    </row>
    <row r="195" spans="1:32">
      <c r="A195" s="533"/>
      <c r="B195" s="534" t="s">
        <v>680</v>
      </c>
      <c r="C195" s="535" t="s">
        <v>1633</v>
      </c>
      <c r="D195" s="12" t="s">
        <v>1216</v>
      </c>
      <c r="E195" s="13">
        <v>21</v>
      </c>
      <c r="F195" s="14" t="str">
        <f>VLOOKUP($E$195,[1]UH!$A$2:$FA$98, 3, FALSE)</f>
        <v>21 Social benefits other than social transfers in kind, payable D.62p</v>
      </c>
      <c r="G195" s="544">
        <f>IF(VLOOKUP($E$195,[1]UH!$A$2:$FA$98, 6, FALSE)="",":",VLOOKUP($E$195,[1]UH!$A$2:$FA$98, 6, FALSE))</f>
        <v>0.28000000000000003</v>
      </c>
      <c r="H195" s="544">
        <f>IF(VLOOKUP($E$195,[1]UH!$A$2:$FA$98, 7, FALSE)="",":",VLOOKUP($E$195,[1]UH!$A$2:$FA$98, 7, FALSE))</f>
        <v>0.22000000000000003</v>
      </c>
      <c r="I195" s="544">
        <f>IF(VLOOKUP($E$195,[1]UH!$A$2:$FA$98, 8, FALSE)="",":",VLOOKUP($E$195,[1]UH!$A$2:$FA$98, 8, FALSE))</f>
        <v>0.33</v>
      </c>
      <c r="J195" s="544">
        <f>IF(VLOOKUP($E$195,[1]UH!$A$2:$FA$98, 9, FALSE)="",":",VLOOKUP($E$195,[1]UH!$A$2:$FA$98, 9, FALSE))</f>
        <v>0.49000000000000005</v>
      </c>
      <c r="K195" s="544">
        <f>IF(VLOOKUP($E$195,[1]UH!$A$2:$FA$98, 10, FALSE)="",":",VLOOKUP($E$195,[1]UH!$A$2:$FA$98, 10, FALSE))</f>
        <v>0.35000000000000003</v>
      </c>
      <c r="L195" s="544">
        <f>IF(VLOOKUP($E$195,[1]UH!$A$2:$FA$98, 11, FALSE)="",":",VLOOKUP($E$195,[1]UH!$A$2:$FA$98, 11, FALSE))</f>
        <v>0.46</v>
      </c>
      <c r="M195" s="544">
        <f>IF(VLOOKUP($E$195,[1]UH!$A$2:$FA$98, 12, FALSE)="",":",VLOOKUP($E$195,[1]UH!$A$2:$FA$98, 12, FALSE))</f>
        <v>0.4</v>
      </c>
      <c r="N195" s="544">
        <f>IF(VLOOKUP($E$195,[1]UH!$A$2:$FA$98, 13, FALSE)="",":",VLOOKUP($E$195,[1]UH!$A$2:$FA$98, 13, FALSE))</f>
        <v>0.37000000000000005</v>
      </c>
      <c r="O195" s="544">
        <f>IF(VLOOKUP($E$195,[1]UH!$A$2:$FA$98, 14, FALSE)="",":",VLOOKUP($E$195,[1]UH!$A$2:$FA$98, 14, FALSE))</f>
        <v>0.42000000000000004</v>
      </c>
      <c r="P195" s="544">
        <f>IF(VLOOKUP($E$195,[1]UH!$A$2:$FA$98, 15, FALSE)="",":",VLOOKUP($E$195,[1]UH!$A$2:$FA$98, 15, FALSE))</f>
        <v>0.44000000000000006</v>
      </c>
      <c r="Q195" s="544">
        <f>IF(VLOOKUP($E$195,[1]UH!$A$2:$FA$98, 16, FALSE)="",":",VLOOKUP($E$195,[1]UH!$A$2:$FA$98, 16, FALSE))</f>
        <v>0.56000000000000005</v>
      </c>
      <c r="R195" s="544">
        <f>IF(VLOOKUP($E$195,[1]UH!$A$2:$FA$98, 17, FALSE)="",":",VLOOKUP($E$195,[1]UH!$A$2:$FA$98, 17, FALSE))</f>
        <v>0.68</v>
      </c>
      <c r="S195" s="544">
        <f>IF(VLOOKUP($E$195,[1]UH!$A$2:$FA$98, 18, FALSE)="",":",VLOOKUP($E$195,[1]UH!$A$2:$FA$98, 18, FALSE))</f>
        <v>0.85000000000000009</v>
      </c>
      <c r="T195" s="544">
        <f>IF(VLOOKUP($E$195,[1]UH!$A$2:$FA$98, 19, FALSE)="",":",VLOOKUP($E$195,[1]UH!$A$2:$FA$98, 19, FALSE))</f>
        <v>0.87000000000000011</v>
      </c>
      <c r="U195" s="544">
        <f>IF(VLOOKUP($E$195,[1]UH!$A$2:$FA$98, 20, FALSE)="",":",VLOOKUP($E$195,[1]UH!$A$2:$FA$98, 20, FALSE))</f>
        <v>0.81</v>
      </c>
      <c r="V195" s="544">
        <f>IF(VLOOKUP($E$195,[1]UH!$A$2:$FA$98, 21, FALSE)="",":",VLOOKUP($E$195,[1]UH!$A$2:$FA$98, 21, FALSE))</f>
        <v>0.78</v>
      </c>
      <c r="W195" s="544">
        <f>IF(VLOOKUP($E$195,[1]UH!$A$2:$FA$98, 22, FALSE)="",":",VLOOKUP($E$195,[1]UH!$A$2:$FA$98, 22, FALSE))</f>
        <v>0.87000000000000011</v>
      </c>
      <c r="X195" s="544">
        <f>IF(VLOOKUP($E$195,[1]UH!$A$2:$FA$98, 23, FALSE)="",":",VLOOKUP($E$195,[1]UH!$A$2:$FA$98, 23, FALSE))</f>
        <v>0.85000000000000009</v>
      </c>
      <c r="Y195" s="544">
        <f>IF(VLOOKUP($E$195,[1]UH!$A$2:$FA$98, 24, FALSE)="",":",VLOOKUP($E$195,[1]UH!$A$2:$FA$98, 24, FALSE))</f>
        <v>0.88000000000000012</v>
      </c>
      <c r="Z195" s="544">
        <f>IF(VLOOKUP($E$195,[1]UH!$A$2:$FA$98, 25, FALSE)="",":",VLOOKUP($E$195,[1]UH!$A$2:$FA$98, 25, FALSE))</f>
        <v>1</v>
      </c>
      <c r="AA195" s="544">
        <f>IF(VLOOKUP($E$195,[1]UH!$A$2:$FA$98, 26, FALSE)="",":",VLOOKUP($E$195,[1]UH!$A$2:$FA$98, 26, FALSE))</f>
        <v>0.9</v>
      </c>
      <c r="AB195" s="544">
        <f>IF(VLOOKUP($E$195,[1]UH!$A$2:$FA$98, 27, FALSE)="",":",VLOOKUP($E$195,[1]UH!$A$2:$FA$98, 27, FALSE))</f>
        <v>0.94000000000000006</v>
      </c>
      <c r="AC195" s="544" t="str">
        <f>IF(VLOOKUP($E$195,[1]UH!$A$2:$FA$98, 28, FALSE)="",":",VLOOKUP($E$195,[1]UH!$A$2:$FA$98, 28, FALSE))</f>
        <v>:</v>
      </c>
      <c r="AD195" s="544" t="str">
        <f>IF(VLOOKUP($E$195,[1]UH!$A$2:$FA$98, 29, FALSE)="",":",VLOOKUP($E$195,[1]UH!$A$2:$FA$98, 29, FALSE))</f>
        <v>:</v>
      </c>
      <c r="AE195" s="544" t="str">
        <f>IF(VLOOKUP($E$195,[1]UH!$A$2:$FA$98, 30, FALSE)="",":",VLOOKUP($E$195,[1]UH!$A$2:$FA$98, 30, FALSE))</f>
        <v>:</v>
      </c>
      <c r="AF195" s="544" t="str">
        <f>IF(VLOOKUP($E$195,[1]UH!$A$2:$FA$98, 31, FALSE)="",":",VLOOKUP($E$195,[1]UH!$A$2:$FA$98, 31, FALSE))</f>
        <v>:</v>
      </c>
    </row>
    <row r="196" spans="1:32">
      <c r="A196" s="533"/>
      <c r="B196" s="534"/>
      <c r="C196" s="535"/>
      <c r="D196" s="12"/>
      <c r="E196" s="13"/>
      <c r="F196" s="14"/>
      <c r="G196" s="544"/>
      <c r="H196" s="544"/>
      <c r="I196" s="544"/>
      <c r="J196" s="544"/>
      <c r="K196" s="544"/>
      <c r="L196" s="544"/>
      <c r="M196" s="544"/>
      <c r="N196" s="544"/>
      <c r="O196" s="544"/>
      <c r="P196" s="544"/>
      <c r="Q196" s="544"/>
      <c r="R196" s="544"/>
      <c r="S196" s="544"/>
      <c r="T196" s="544"/>
      <c r="U196" s="544"/>
      <c r="V196" s="544"/>
      <c r="W196" s="544"/>
      <c r="X196" s="544"/>
      <c r="Y196" s="544"/>
      <c r="Z196" s="544"/>
      <c r="AA196" s="544"/>
      <c r="AB196" s="544"/>
      <c r="AC196" s="544"/>
      <c r="AD196" s="544"/>
      <c r="AE196" s="544"/>
      <c r="AF196" s="544"/>
    </row>
    <row r="197" spans="1:32">
      <c r="A197" s="533"/>
      <c r="B197" s="534" t="s">
        <v>13</v>
      </c>
      <c r="C197" s="535" t="s">
        <v>511</v>
      </c>
      <c r="D197" s="12" t="s">
        <v>1216</v>
      </c>
      <c r="E197" s="13">
        <v>18</v>
      </c>
      <c r="F197" s="14" t="str">
        <f>VLOOKUP($E$197,[1]UH!$A$2:$FA$98, 3, FALSE)</f>
        <v>18 Other current transfers, receivable D.7r</v>
      </c>
      <c r="G197" s="544">
        <f>IF(VLOOKUP($E$197,[1]UH!$A$2:$FA$98, 6, FALSE)="",":",VLOOKUP($E$197,[1]UH!$A$2:$FA$98, 6, FALSE))</f>
        <v>114.65</v>
      </c>
      <c r="H197" s="544">
        <f>IF(VLOOKUP($E$197,[1]UH!$A$2:$FA$98, 7, FALSE)="",":",VLOOKUP($E$197,[1]UH!$A$2:$FA$98, 7, FALSE))</f>
        <v>90.45</v>
      </c>
      <c r="I197" s="544">
        <f>IF(VLOOKUP($E$197,[1]UH!$A$2:$FA$98, 8, FALSE)="",":",VLOOKUP($E$197,[1]UH!$A$2:$FA$98, 8, FALSE))</f>
        <v>149.49</v>
      </c>
      <c r="J197" s="544">
        <f>IF(VLOOKUP($E$197,[1]UH!$A$2:$FA$98, 9, FALSE)="",":",VLOOKUP($E$197,[1]UH!$A$2:$FA$98, 9, FALSE))</f>
        <v>183.98</v>
      </c>
      <c r="K197" s="544">
        <f>IF(VLOOKUP($E$197,[1]UH!$A$2:$FA$98, 10, FALSE)="",":",VLOOKUP($E$197,[1]UH!$A$2:$FA$98, 10, FALSE))</f>
        <v>176.71</v>
      </c>
      <c r="L197" s="544">
        <f>IF(VLOOKUP($E$197,[1]UH!$A$2:$FA$98, 11, FALSE)="",":",VLOOKUP($E$197,[1]UH!$A$2:$FA$98, 11, FALSE))</f>
        <v>127.58</v>
      </c>
      <c r="M197" s="544">
        <f>IF(VLOOKUP($E$197,[1]UH!$A$2:$FA$98, 12, FALSE)="",":",VLOOKUP($E$197,[1]UH!$A$2:$FA$98, 12, FALSE))</f>
        <v>253.1</v>
      </c>
      <c r="N197" s="544">
        <f>IF(VLOOKUP($E$197,[1]UH!$A$2:$FA$98, 13, FALSE)="",":",VLOOKUP($E$197,[1]UH!$A$2:$FA$98, 13, FALSE))</f>
        <v>199.36</v>
      </c>
      <c r="O197" s="544">
        <f>IF(VLOOKUP($E$197,[1]UH!$A$2:$FA$98, 14, FALSE)="",":",VLOOKUP($E$197,[1]UH!$A$2:$FA$98, 14, FALSE))</f>
        <v>211.55</v>
      </c>
      <c r="P197" s="544">
        <f>IF(VLOOKUP($E$197,[1]UH!$A$2:$FA$98, 15, FALSE)="",":",VLOOKUP($E$197,[1]UH!$A$2:$FA$98, 15, FALSE))</f>
        <v>355.42</v>
      </c>
      <c r="Q197" s="544">
        <f>IF(VLOOKUP($E$197,[1]UH!$A$2:$FA$98, 16, FALSE)="",":",VLOOKUP($E$197,[1]UH!$A$2:$FA$98, 16, FALSE))</f>
        <v>633.16</v>
      </c>
      <c r="R197" s="544">
        <f>IF(VLOOKUP($E$197,[1]UH!$A$2:$FA$98, 17, FALSE)="",":",VLOOKUP($E$197,[1]UH!$A$2:$FA$98, 17, FALSE))</f>
        <v>631.12</v>
      </c>
      <c r="S197" s="544">
        <f>IF(VLOOKUP($E$197,[1]UH!$A$2:$FA$98, 18, FALSE)="",":",VLOOKUP($E$197,[1]UH!$A$2:$FA$98, 18, FALSE))</f>
        <v>830.86</v>
      </c>
      <c r="T197" s="544">
        <f>IF(VLOOKUP($E$197,[1]UH!$A$2:$FA$98, 19, FALSE)="",":",VLOOKUP($E$197,[1]UH!$A$2:$FA$98, 19, FALSE))</f>
        <v>1222.7</v>
      </c>
      <c r="U197" s="544">
        <f>IF(VLOOKUP($E$197,[1]UH!$A$2:$FA$98, 20, FALSE)="",":",VLOOKUP($E$197,[1]UH!$A$2:$FA$98, 20, FALSE))</f>
        <v>1082.5999999999999</v>
      </c>
      <c r="V197" s="544">
        <f>IF(VLOOKUP($E$197,[1]UH!$A$2:$FA$98, 21, FALSE)="",":",VLOOKUP($E$197,[1]UH!$A$2:$FA$98, 21, FALSE))</f>
        <v>1282.3599999999999</v>
      </c>
      <c r="W197" s="544">
        <f>IF(VLOOKUP($E$197,[1]UH!$A$2:$FA$98, 22, FALSE)="",":",VLOOKUP($E$197,[1]UH!$A$2:$FA$98, 22, FALSE))</f>
        <v>1180.68</v>
      </c>
      <c r="X197" s="544">
        <f>IF(VLOOKUP($E$197,[1]UH!$A$2:$FA$98, 23, FALSE)="",":",VLOOKUP($E$197,[1]UH!$A$2:$FA$98, 23, FALSE))</f>
        <v>808.7</v>
      </c>
      <c r="Y197" s="544">
        <f>IF(VLOOKUP($E$197,[1]UH!$A$2:$FA$98, 24, FALSE)="",":",VLOOKUP($E$197,[1]UH!$A$2:$FA$98, 24, FALSE))</f>
        <v>1481.5</v>
      </c>
      <c r="Z197" s="544">
        <f>IF(VLOOKUP($E$197,[1]UH!$A$2:$FA$98, 25, FALSE)="",":",VLOOKUP($E$197,[1]UH!$A$2:$FA$98, 25, FALSE))</f>
        <v>1615.73</v>
      </c>
      <c r="AA197" s="544">
        <f>IF(VLOOKUP($E$197,[1]UH!$A$2:$FA$98, 26, FALSE)="",":",VLOOKUP($E$197,[1]UH!$A$2:$FA$98, 26, FALSE))</f>
        <v>1396.8</v>
      </c>
      <c r="AB197" s="544">
        <f>IF(VLOOKUP($E$197,[1]UH!$A$2:$FA$98, 27, FALSE)="",":",VLOOKUP($E$197,[1]UH!$A$2:$FA$98, 27, FALSE))</f>
        <v>1462.62</v>
      </c>
      <c r="AC197" s="544" t="str">
        <f>IF(VLOOKUP($E$197,[1]UH!$A$2:$FA$98, 28, FALSE)="",":",VLOOKUP($E$197,[1]UH!$A$2:$FA$98, 28, FALSE))</f>
        <v>:</v>
      </c>
      <c r="AD197" s="544" t="str">
        <f>IF(VLOOKUP($E$197,[1]UH!$A$2:$FA$98, 29, FALSE)="",":",VLOOKUP($E$197,[1]UH!$A$2:$FA$98, 29, FALSE))</f>
        <v>:</v>
      </c>
      <c r="AE197" s="544" t="str">
        <f>IF(VLOOKUP($E$197,[1]UH!$A$2:$FA$98, 30, FALSE)="",":",VLOOKUP($E$197,[1]UH!$A$2:$FA$98, 30, FALSE))</f>
        <v>:</v>
      </c>
      <c r="AF197" s="544" t="str">
        <f>IF(VLOOKUP($E$197,[1]UH!$A$2:$FA$98, 31, FALSE)="",":",VLOOKUP($E$197,[1]UH!$A$2:$FA$98, 31, FALSE))</f>
        <v>:</v>
      </c>
    </row>
    <row r="198" spans="1:32">
      <c r="A198" s="533"/>
      <c r="B198" s="534" t="s">
        <v>15</v>
      </c>
      <c r="C198" s="535" t="s">
        <v>1634</v>
      </c>
      <c r="D198" s="12" t="s">
        <v>1216</v>
      </c>
      <c r="E198" s="13">
        <v>22</v>
      </c>
      <c r="F198" s="14" t="str">
        <f>VLOOKUP($E$198,[1]UH!$A$2:$FA$98, 3, FALSE)</f>
        <v>22 Other current transfers, payable D.7p</v>
      </c>
      <c r="G198" s="544">
        <f>IF(VLOOKUP($E$198,[1]UH!$A$2:$FA$98, 6, FALSE)="",":",VLOOKUP($E$198,[1]UH!$A$2:$FA$98, 6, FALSE))</f>
        <v>35.85</v>
      </c>
      <c r="H198" s="544">
        <f>IF(VLOOKUP($E$198,[1]UH!$A$2:$FA$98, 7, FALSE)="",":",VLOOKUP($E$198,[1]UH!$A$2:$FA$98, 7, FALSE))</f>
        <v>46.53</v>
      </c>
      <c r="I198" s="544">
        <f>IF(VLOOKUP($E$198,[1]UH!$A$2:$FA$98, 8, FALSE)="",":",VLOOKUP($E$198,[1]UH!$A$2:$FA$98, 8, FALSE))</f>
        <v>19.690000000000001</v>
      </c>
      <c r="J198" s="544">
        <f>IF(VLOOKUP($E$198,[1]UH!$A$2:$FA$98, 9, FALSE)="",":",VLOOKUP($E$198,[1]UH!$A$2:$FA$98, 9, FALSE))</f>
        <v>25.56</v>
      </c>
      <c r="K198" s="544">
        <f>IF(VLOOKUP($E$198,[1]UH!$A$2:$FA$98, 10, FALSE)="",":",VLOOKUP($E$198,[1]UH!$A$2:$FA$98, 10, FALSE))</f>
        <v>39.26</v>
      </c>
      <c r="L198" s="544">
        <f>IF(VLOOKUP($E$198,[1]UH!$A$2:$FA$98, 11, FALSE)="",":",VLOOKUP($E$198,[1]UH!$A$2:$FA$98, 11, FALSE))</f>
        <v>36.82</v>
      </c>
      <c r="M198" s="544">
        <f>IF(VLOOKUP($E$198,[1]UH!$A$2:$FA$98, 12, FALSE)="",":",VLOOKUP($E$198,[1]UH!$A$2:$FA$98, 12, FALSE))</f>
        <v>41.79</v>
      </c>
      <c r="N198" s="544">
        <f>IF(VLOOKUP($E$198,[1]UH!$A$2:$FA$98, 13, FALSE)="",":",VLOOKUP($E$198,[1]UH!$A$2:$FA$98, 13, FALSE))</f>
        <v>90.47</v>
      </c>
      <c r="O198" s="544">
        <f>IF(VLOOKUP($E$198,[1]UH!$A$2:$FA$98, 14, FALSE)="",":",VLOOKUP($E$198,[1]UH!$A$2:$FA$98, 14, FALSE))</f>
        <v>75.569999999999993</v>
      </c>
      <c r="P198" s="544">
        <f>IF(VLOOKUP($E$198,[1]UH!$A$2:$FA$98, 15, FALSE)="",":",VLOOKUP($E$198,[1]UH!$A$2:$FA$98, 15, FALSE))</f>
        <v>56.06</v>
      </c>
      <c r="Q198" s="544">
        <f>IF(VLOOKUP($E$198,[1]UH!$A$2:$FA$98, 16, FALSE)="",":",VLOOKUP($E$198,[1]UH!$A$2:$FA$98, 16, FALSE))</f>
        <v>80.260000000000005</v>
      </c>
      <c r="R198" s="544">
        <f>IF(VLOOKUP($E$198,[1]UH!$A$2:$FA$98, 17, FALSE)="",":",VLOOKUP($E$198,[1]UH!$A$2:$FA$98, 17, FALSE))</f>
        <v>119.94</v>
      </c>
      <c r="S198" s="544">
        <f>IF(VLOOKUP($E$198,[1]UH!$A$2:$FA$98, 18, FALSE)="",":",VLOOKUP($E$198,[1]UH!$A$2:$FA$98, 18, FALSE))</f>
        <v>137.62</v>
      </c>
      <c r="T198" s="544">
        <f>IF(VLOOKUP($E$198,[1]UH!$A$2:$FA$98, 19, FALSE)="",":",VLOOKUP($E$198,[1]UH!$A$2:$FA$98, 19, FALSE))</f>
        <v>118.09</v>
      </c>
      <c r="U198" s="544">
        <f>IF(VLOOKUP($E$198,[1]UH!$A$2:$FA$98, 20, FALSE)="",":",VLOOKUP($E$198,[1]UH!$A$2:$FA$98, 20, FALSE))</f>
        <v>109.09</v>
      </c>
      <c r="V198" s="544">
        <f>IF(VLOOKUP($E$198,[1]UH!$A$2:$FA$98, 21, FALSE)="",":",VLOOKUP($E$198,[1]UH!$A$2:$FA$98, 21, FALSE))</f>
        <v>113.35</v>
      </c>
      <c r="W198" s="544">
        <f>IF(VLOOKUP($E$198,[1]UH!$A$2:$FA$98, 22, FALSE)="",":",VLOOKUP($E$198,[1]UH!$A$2:$FA$98, 22, FALSE))</f>
        <v>137.71</v>
      </c>
      <c r="X198" s="544">
        <f>IF(VLOOKUP($E$198,[1]UH!$A$2:$FA$98, 23, FALSE)="",":",VLOOKUP($E$198,[1]UH!$A$2:$FA$98, 23, FALSE))</f>
        <v>137.59</v>
      </c>
      <c r="Y198" s="544">
        <f>IF(VLOOKUP($E$198,[1]UH!$A$2:$FA$98, 24, FALSE)="",":",VLOOKUP($E$198,[1]UH!$A$2:$FA$98, 24, FALSE))</f>
        <v>137.61000000000001</v>
      </c>
      <c r="Z198" s="544">
        <f>IF(VLOOKUP($E$198,[1]UH!$A$2:$FA$98, 25, FALSE)="",":",VLOOKUP($E$198,[1]UH!$A$2:$FA$98, 25, FALSE))</f>
        <v>140.47999999999999</v>
      </c>
      <c r="AA198" s="544">
        <f>IF(VLOOKUP($E$198,[1]UH!$A$2:$FA$98, 26, FALSE)="",":",VLOOKUP($E$198,[1]UH!$A$2:$FA$98, 26, FALSE))</f>
        <v>151.72</v>
      </c>
      <c r="AB198" s="544">
        <f>IF(VLOOKUP($E$198,[1]UH!$A$2:$FA$98, 27, FALSE)="",":",VLOOKUP($E$198,[1]UH!$A$2:$FA$98, 27, FALSE))</f>
        <v>171.38</v>
      </c>
      <c r="AC198" s="544" t="str">
        <f>IF(VLOOKUP($E$198,[1]UH!$A$2:$FA$98, 28, FALSE)="",":",VLOOKUP($E$198,[1]UH!$A$2:$FA$98, 28, FALSE))</f>
        <v>:</v>
      </c>
      <c r="AD198" s="544" t="str">
        <f>IF(VLOOKUP($E$198,[1]UH!$A$2:$FA$98, 29, FALSE)="",":",VLOOKUP($E$198,[1]UH!$A$2:$FA$98, 29, FALSE))</f>
        <v>:</v>
      </c>
      <c r="AE198" s="544" t="str">
        <f>IF(VLOOKUP($E$198,[1]UH!$A$2:$FA$98, 30, FALSE)="",":",VLOOKUP($E$198,[1]UH!$A$2:$FA$98, 30, FALSE))</f>
        <v>:</v>
      </c>
      <c r="AF198" s="544" t="str">
        <f>IF(VLOOKUP($E$198,[1]UH!$A$2:$FA$98, 31, FALSE)="",":",VLOOKUP($E$198,[1]UH!$A$2:$FA$98, 31, FALSE))</f>
        <v>:</v>
      </c>
    </row>
    <row r="199" spans="1:32">
      <c r="A199" s="533"/>
      <c r="B199" s="534"/>
      <c r="C199" s="535"/>
      <c r="D199" s="12"/>
      <c r="E199" s="13"/>
      <c r="F199" s="14"/>
      <c r="G199" s="544"/>
      <c r="H199" s="544"/>
      <c r="I199" s="544"/>
      <c r="J199" s="544"/>
      <c r="K199" s="544"/>
      <c r="L199" s="544"/>
      <c r="M199" s="544"/>
      <c r="N199" s="544"/>
      <c r="O199" s="544"/>
      <c r="P199" s="544"/>
      <c r="Q199" s="544"/>
      <c r="R199" s="544"/>
      <c r="S199" s="544"/>
      <c r="T199" s="544"/>
      <c r="U199" s="544"/>
      <c r="V199" s="544"/>
      <c r="W199" s="544"/>
      <c r="X199" s="544"/>
      <c r="Y199" s="544"/>
      <c r="Z199" s="544"/>
      <c r="AA199" s="544"/>
      <c r="AB199" s="544"/>
      <c r="AC199" s="544"/>
      <c r="AD199" s="544"/>
      <c r="AE199" s="544"/>
      <c r="AF199" s="544"/>
    </row>
    <row r="200" spans="1:32">
      <c r="A200" s="533">
        <v>94</v>
      </c>
      <c r="B200" s="534" t="s">
        <v>16</v>
      </c>
      <c r="C200" s="535" t="s">
        <v>484</v>
      </c>
      <c r="D200" s="12" t="s">
        <v>1216</v>
      </c>
      <c r="E200" s="13">
        <v>24</v>
      </c>
      <c r="F200" s="14" t="str">
        <f>VLOOKUP($E$200,[1]UH!$A$2:$FA$98, 3, FALSE)</f>
        <v>24 Adjustment for the change in net equity of households on pension funds D.8</v>
      </c>
      <c r="G200" s="544">
        <f>IF(VLOOKUP($E$200,[1]UH!$A$2:$FA$98, 6, FALSE)="",":",VLOOKUP($E$200,[1]UH!$A$2:$FA$98, 6, FALSE))</f>
        <v>0</v>
      </c>
      <c r="H200" s="544">
        <f>IF(VLOOKUP($E$200,[1]UH!$A$2:$FA$98, 7, FALSE)="",":",VLOOKUP($E$200,[1]UH!$A$2:$FA$98, 7, FALSE))</f>
        <v>0</v>
      </c>
      <c r="I200" s="544">
        <f>IF(VLOOKUP($E$200,[1]UH!$A$2:$FA$98, 8, FALSE)="",":",VLOOKUP($E$200,[1]UH!$A$2:$FA$98, 8, FALSE))</f>
        <v>0</v>
      </c>
      <c r="J200" s="544">
        <f>IF(VLOOKUP($E$200,[1]UH!$A$2:$FA$98, 9, FALSE)="",":",VLOOKUP($E$200,[1]UH!$A$2:$FA$98, 9, FALSE))</f>
        <v>0</v>
      </c>
      <c r="K200" s="544">
        <f>IF(VLOOKUP($E$200,[1]UH!$A$2:$FA$98, 10, FALSE)="",":",VLOOKUP($E$200,[1]UH!$A$2:$FA$98, 10, FALSE))</f>
        <v>0</v>
      </c>
      <c r="L200" s="544">
        <f>IF(VLOOKUP($E$200,[1]UH!$A$2:$FA$98, 11, FALSE)="",":",VLOOKUP($E$200,[1]UH!$A$2:$FA$98, 11, FALSE))</f>
        <v>0</v>
      </c>
      <c r="M200" s="544">
        <f>IF(VLOOKUP($E$200,[1]UH!$A$2:$FA$98, 12, FALSE)="",":",VLOOKUP($E$200,[1]UH!$A$2:$FA$98, 12, FALSE))</f>
        <v>0</v>
      </c>
      <c r="N200" s="544">
        <f>IF(VLOOKUP($E$200,[1]UH!$A$2:$FA$98, 13, FALSE)="",":",VLOOKUP($E$200,[1]UH!$A$2:$FA$98, 13, FALSE))</f>
        <v>0</v>
      </c>
      <c r="O200" s="544">
        <f>IF(VLOOKUP($E$200,[1]UH!$A$2:$FA$98, 14, FALSE)="",":",VLOOKUP($E$200,[1]UH!$A$2:$FA$98, 14, FALSE))</f>
        <v>0</v>
      </c>
      <c r="P200" s="544">
        <f>IF(VLOOKUP($E$200,[1]UH!$A$2:$FA$98, 15, FALSE)="",":",VLOOKUP($E$200,[1]UH!$A$2:$FA$98, 15, FALSE))</f>
        <v>50.14</v>
      </c>
      <c r="Q200" s="544">
        <f>IF(VLOOKUP($E$200,[1]UH!$A$2:$FA$98, 16, FALSE)="",":",VLOOKUP($E$200,[1]UH!$A$2:$FA$98, 16, FALSE))</f>
        <v>89.27</v>
      </c>
      <c r="R200" s="544">
        <f>IF(VLOOKUP($E$200,[1]UH!$A$2:$FA$98, 17, FALSE)="",":",VLOOKUP($E$200,[1]UH!$A$2:$FA$98, 17, FALSE))</f>
        <v>153.66</v>
      </c>
      <c r="S200" s="544">
        <f>IF(VLOOKUP($E$200,[1]UH!$A$2:$FA$98, 18, FALSE)="",":",VLOOKUP($E$200,[1]UH!$A$2:$FA$98, 18, FALSE))</f>
        <v>246.07</v>
      </c>
      <c r="T200" s="544">
        <f>IF(VLOOKUP($E$200,[1]UH!$A$2:$FA$98, 19, FALSE)="",":",VLOOKUP($E$200,[1]UH!$A$2:$FA$98, 19, FALSE))</f>
        <v>306.76</v>
      </c>
      <c r="U200" s="544">
        <f>IF(VLOOKUP($E$200,[1]UH!$A$2:$FA$98, 20, FALSE)="",":",VLOOKUP($E$200,[1]UH!$A$2:$FA$98, 20, FALSE))</f>
        <v>122.14</v>
      </c>
      <c r="V200" s="544">
        <f>IF(VLOOKUP($E$200,[1]UH!$A$2:$FA$98, 21, FALSE)="",":",VLOOKUP($E$200,[1]UH!$A$2:$FA$98, 21, FALSE))</f>
        <v>95.51</v>
      </c>
      <c r="W200" s="544">
        <f>IF(VLOOKUP($E$200,[1]UH!$A$2:$FA$98, 22, FALSE)="",":",VLOOKUP($E$200,[1]UH!$A$2:$FA$98, 22, FALSE))</f>
        <v>92.94</v>
      </c>
      <c r="X200" s="544">
        <f>IF(VLOOKUP($E$200,[1]UH!$A$2:$FA$98, 23, FALSE)="",":",VLOOKUP($E$200,[1]UH!$A$2:$FA$98, 23, FALSE))</f>
        <v>74.510000000000005</v>
      </c>
      <c r="Y200" s="544">
        <f>IF(VLOOKUP($E$200,[1]UH!$A$2:$FA$98, 24, FALSE)="",":",VLOOKUP($E$200,[1]UH!$A$2:$FA$98, 24, FALSE))</f>
        <v>140.03</v>
      </c>
      <c r="Z200" s="544">
        <f>IF(VLOOKUP($E$200,[1]UH!$A$2:$FA$98, 25, FALSE)="",":",VLOOKUP($E$200,[1]UH!$A$2:$FA$98, 25, FALSE))</f>
        <v>119.8</v>
      </c>
      <c r="AA200" s="544">
        <f>IF(VLOOKUP($E$200,[1]UH!$A$2:$FA$98, 26, FALSE)="",":",VLOOKUP($E$200,[1]UH!$A$2:$FA$98, 26, FALSE))</f>
        <v>128.72</v>
      </c>
      <c r="AB200" s="544">
        <f>IF(VLOOKUP($E$200,[1]UH!$A$2:$FA$98, 27, FALSE)="",":",VLOOKUP($E$200,[1]UH!$A$2:$FA$98, 27, FALSE))</f>
        <v>131.06</v>
      </c>
      <c r="AC200" s="544" t="str">
        <f>IF(VLOOKUP($E$200,[1]UH!$A$2:$FA$98, 28, FALSE)="",":",VLOOKUP($E$200,[1]UH!$A$2:$FA$98, 28, FALSE))</f>
        <v>:</v>
      </c>
      <c r="AD200" s="544" t="str">
        <f>IF(VLOOKUP($E$200,[1]UH!$A$2:$FA$98, 29, FALSE)="",":",VLOOKUP($E$200,[1]UH!$A$2:$FA$98, 29, FALSE))</f>
        <v>:</v>
      </c>
      <c r="AE200" s="544" t="str">
        <f>IF(VLOOKUP($E$200,[1]UH!$A$2:$FA$98, 30, FALSE)="",":",VLOOKUP($E$200,[1]UH!$A$2:$FA$98, 30, FALSE))</f>
        <v>:</v>
      </c>
      <c r="AF200" s="544" t="str">
        <f>IF(VLOOKUP($E$200,[1]UH!$A$2:$FA$98, 31, FALSE)="",":",VLOOKUP($E$200,[1]UH!$A$2:$FA$98, 31, FALSE))</f>
        <v>:</v>
      </c>
    </row>
    <row r="201" spans="1:32">
      <c r="A201" s="533"/>
      <c r="B201" s="534" t="s">
        <v>17</v>
      </c>
      <c r="C201" s="535" t="s">
        <v>1635</v>
      </c>
      <c r="D201" s="12" t="s">
        <v>1216</v>
      </c>
      <c r="E201" s="13">
        <v>27</v>
      </c>
      <c r="F201" s="14" t="str">
        <f>VLOOKUP($E$201,[1]UH!$A$2:$FA$98, 3, FALSE)</f>
        <v>27 Capital transfers, receivable D.9r</v>
      </c>
      <c r="G201" s="544">
        <f>IF(VLOOKUP($E$201,[1]UH!$A$2:$FA$98, 6, FALSE)="",":",VLOOKUP($E$201,[1]UH!$A$2:$FA$98, 6, FALSE))</f>
        <v>17.899999999999999</v>
      </c>
      <c r="H201" s="544">
        <f>IF(VLOOKUP($E$201,[1]UH!$A$2:$FA$98, 7, FALSE)="",":",VLOOKUP($E$201,[1]UH!$A$2:$FA$98, 7, FALSE))</f>
        <v>30.32</v>
      </c>
      <c r="I201" s="544">
        <f>IF(VLOOKUP($E$201,[1]UH!$A$2:$FA$98, 8, FALSE)="",":",VLOOKUP($E$201,[1]UH!$A$2:$FA$98, 8, FALSE))</f>
        <v>1471.13</v>
      </c>
      <c r="J201" s="544">
        <f>IF(VLOOKUP($E$201,[1]UH!$A$2:$FA$98, 9, FALSE)="",":",VLOOKUP($E$201,[1]UH!$A$2:$FA$98, 9, FALSE))</f>
        <v>49.87</v>
      </c>
      <c r="K201" s="544">
        <f>IF(VLOOKUP($E$201,[1]UH!$A$2:$FA$98, 10, FALSE)="",":",VLOOKUP($E$201,[1]UH!$A$2:$FA$98, 10, FALSE))</f>
        <v>52.16</v>
      </c>
      <c r="L201" s="544">
        <f>IF(VLOOKUP($E$201,[1]UH!$A$2:$FA$98, 11, FALSE)="",":",VLOOKUP($E$201,[1]UH!$A$2:$FA$98, 11, FALSE))</f>
        <v>195.4</v>
      </c>
      <c r="M201" s="544">
        <f>IF(VLOOKUP($E$201,[1]UH!$A$2:$FA$98, 12, FALSE)="",":",VLOOKUP($E$201,[1]UH!$A$2:$FA$98, 12, FALSE))</f>
        <v>29.07</v>
      </c>
      <c r="N201" s="544">
        <f>IF(VLOOKUP($E$201,[1]UH!$A$2:$FA$98, 13, FALSE)="",":",VLOOKUP($E$201,[1]UH!$A$2:$FA$98, 13, FALSE))</f>
        <v>25.07</v>
      </c>
      <c r="O201" s="544">
        <f>IF(VLOOKUP($E$201,[1]UH!$A$2:$FA$98, 14, FALSE)="",":",VLOOKUP($E$201,[1]UH!$A$2:$FA$98, 14, FALSE))</f>
        <v>34.51</v>
      </c>
      <c r="P201" s="544">
        <f>IF(VLOOKUP($E$201,[1]UH!$A$2:$FA$98, 15, FALSE)="",":",VLOOKUP($E$201,[1]UH!$A$2:$FA$98, 15, FALSE))</f>
        <v>86.11</v>
      </c>
      <c r="Q201" s="544">
        <f>IF(VLOOKUP($E$201,[1]UH!$A$2:$FA$98, 16, FALSE)="",":",VLOOKUP($E$201,[1]UH!$A$2:$FA$98, 16, FALSE))</f>
        <v>72.849999999999994</v>
      </c>
      <c r="R201" s="544">
        <f>IF(VLOOKUP($E$201,[1]UH!$A$2:$FA$98, 17, FALSE)="",":",VLOOKUP($E$201,[1]UH!$A$2:$FA$98, 17, FALSE))</f>
        <v>79.62</v>
      </c>
      <c r="S201" s="544">
        <f>IF(VLOOKUP($E$201,[1]UH!$A$2:$FA$98, 18, FALSE)="",":",VLOOKUP($E$201,[1]UH!$A$2:$FA$98, 18, FALSE))</f>
        <v>185.66</v>
      </c>
      <c r="T201" s="544">
        <f>IF(VLOOKUP($E$201,[1]UH!$A$2:$FA$98, 19, FALSE)="",":",VLOOKUP($E$201,[1]UH!$A$2:$FA$98, 19, FALSE))</f>
        <v>46.22</v>
      </c>
      <c r="U201" s="544">
        <f>IF(VLOOKUP($E$201,[1]UH!$A$2:$FA$98, 20, FALSE)="",":",VLOOKUP($E$201,[1]UH!$A$2:$FA$98, 20, FALSE))</f>
        <v>32.49</v>
      </c>
      <c r="V201" s="544">
        <f>IF(VLOOKUP($E$201,[1]UH!$A$2:$FA$98, 21, FALSE)="",":",VLOOKUP($E$201,[1]UH!$A$2:$FA$98, 21, FALSE))</f>
        <v>40.43</v>
      </c>
      <c r="W201" s="544">
        <f>IF(VLOOKUP($E$201,[1]UH!$A$2:$FA$98, 22, FALSE)="",":",VLOOKUP($E$201,[1]UH!$A$2:$FA$98, 22, FALSE))</f>
        <v>1237.45</v>
      </c>
      <c r="X201" s="544">
        <f>IF(VLOOKUP($E$201,[1]UH!$A$2:$FA$98, 23, FALSE)="",":",VLOOKUP($E$201,[1]UH!$A$2:$FA$98, 23, FALSE))</f>
        <v>39.979999999999997</v>
      </c>
      <c r="Y201" s="544">
        <f>IF(VLOOKUP($E$201,[1]UH!$A$2:$FA$98, 24, FALSE)="",":",VLOOKUP($E$201,[1]UH!$A$2:$FA$98, 24, FALSE))</f>
        <v>74.349999999999994</v>
      </c>
      <c r="Z201" s="544">
        <f>IF(VLOOKUP($E$201,[1]UH!$A$2:$FA$98, 25, FALSE)="",":",VLOOKUP($E$201,[1]UH!$A$2:$FA$98, 25, FALSE))</f>
        <v>398.35</v>
      </c>
      <c r="AA201" s="544">
        <f>IF(VLOOKUP($E$201,[1]UH!$A$2:$FA$98, 26, FALSE)="",":",VLOOKUP($E$201,[1]UH!$A$2:$FA$98, 26, FALSE))</f>
        <v>143.96</v>
      </c>
      <c r="AB201" s="544">
        <f>IF(VLOOKUP($E$201,[1]UH!$A$2:$FA$98, 27, FALSE)="",":",VLOOKUP($E$201,[1]UH!$A$2:$FA$98, 27, FALSE))</f>
        <v>56.53</v>
      </c>
      <c r="AC201" s="544" t="str">
        <f>IF(VLOOKUP($E$201,[1]UH!$A$2:$FA$98, 28, FALSE)="",":",VLOOKUP($E$201,[1]UH!$A$2:$FA$98, 28, FALSE))</f>
        <v>:</v>
      </c>
      <c r="AD201" s="544" t="str">
        <f>IF(VLOOKUP($E$201,[1]UH!$A$2:$FA$98, 29, FALSE)="",":",VLOOKUP($E$201,[1]UH!$A$2:$FA$98, 29, FALSE))</f>
        <v>:</v>
      </c>
      <c r="AE201" s="544" t="str">
        <f>IF(VLOOKUP($E$201,[1]UH!$A$2:$FA$98, 30, FALSE)="",":",VLOOKUP($E$201,[1]UH!$A$2:$FA$98, 30, FALSE))</f>
        <v>:</v>
      </c>
      <c r="AF201" s="544" t="str">
        <f>IF(VLOOKUP($E$201,[1]UH!$A$2:$FA$98, 31, FALSE)="",":",VLOOKUP($E$201,[1]UH!$A$2:$FA$98, 31, FALSE))</f>
        <v>:</v>
      </c>
    </row>
    <row r="202" spans="1:32">
      <c r="A202" s="533"/>
      <c r="B202" s="534" t="s">
        <v>18</v>
      </c>
      <c r="C202" s="535" t="s">
        <v>1636</v>
      </c>
      <c r="D202" s="12" t="s">
        <v>1216</v>
      </c>
      <c r="E202" s="13">
        <v>28</v>
      </c>
      <c r="F202" s="14" t="str">
        <f>VLOOKUP($E$202,[1]UH!$A$2:$FA$98, 3, FALSE)</f>
        <v>28 Capital transfers, payable D.9p</v>
      </c>
      <c r="G202" s="544">
        <f>IF(VLOOKUP($E$202,[1]UH!$A$2:$FA$98, 6, FALSE)="",":",VLOOKUP($E$202,[1]UH!$A$2:$FA$98, 6, FALSE))</f>
        <v>0</v>
      </c>
      <c r="H202" s="544">
        <f>IF(VLOOKUP($E$202,[1]UH!$A$2:$FA$98, 7, FALSE)="",":",VLOOKUP($E$202,[1]UH!$A$2:$FA$98, 7, FALSE))</f>
        <v>0</v>
      </c>
      <c r="I202" s="544">
        <f>IF(VLOOKUP($E$202,[1]UH!$A$2:$FA$98, 8, FALSE)="",":",VLOOKUP($E$202,[1]UH!$A$2:$FA$98, 8, FALSE))</f>
        <v>3.0000000000000002E-2</v>
      </c>
      <c r="J202" s="544">
        <f>IF(VLOOKUP($E$202,[1]UH!$A$2:$FA$98, 9, FALSE)="",":",VLOOKUP($E$202,[1]UH!$A$2:$FA$98, 9, FALSE))</f>
        <v>0.2</v>
      </c>
      <c r="K202" s="544">
        <f>IF(VLOOKUP($E$202,[1]UH!$A$2:$FA$98, 10, FALSE)="",":",VLOOKUP($E$202,[1]UH!$A$2:$FA$98, 10, FALSE))</f>
        <v>0.62</v>
      </c>
      <c r="L202" s="544">
        <f>IF(VLOOKUP($E$202,[1]UH!$A$2:$FA$98, 11, FALSE)="",":",VLOOKUP($E$202,[1]UH!$A$2:$FA$98, 11, FALSE))</f>
        <v>0.53</v>
      </c>
      <c r="M202" s="544">
        <f>IF(VLOOKUP($E$202,[1]UH!$A$2:$FA$98, 12, FALSE)="",":",VLOOKUP($E$202,[1]UH!$A$2:$FA$98, 12, FALSE))</f>
        <v>0.65</v>
      </c>
      <c r="N202" s="544">
        <f>IF(VLOOKUP($E$202,[1]UH!$A$2:$FA$98, 13, FALSE)="",":",VLOOKUP($E$202,[1]UH!$A$2:$FA$98, 13, FALSE))</f>
        <v>0.66</v>
      </c>
      <c r="O202" s="544">
        <f>IF(VLOOKUP($E$202,[1]UH!$A$2:$FA$98, 14, FALSE)="",":",VLOOKUP($E$202,[1]UH!$A$2:$FA$98, 14, FALSE))</f>
        <v>0.32</v>
      </c>
      <c r="P202" s="544">
        <f>IF(VLOOKUP($E$202,[1]UH!$A$2:$FA$98, 15, FALSE)="",":",VLOOKUP($E$202,[1]UH!$A$2:$FA$98, 15, FALSE))</f>
        <v>0.5</v>
      </c>
      <c r="Q202" s="544">
        <f>IF(VLOOKUP($E$202,[1]UH!$A$2:$FA$98, 16, FALSE)="",":",VLOOKUP($E$202,[1]UH!$A$2:$FA$98, 16, FALSE))</f>
        <v>0.67</v>
      </c>
      <c r="R202" s="544">
        <f>IF(VLOOKUP($E$202,[1]UH!$A$2:$FA$98, 17, FALSE)="",":",VLOOKUP($E$202,[1]UH!$A$2:$FA$98, 17, FALSE))</f>
        <v>1.21</v>
      </c>
      <c r="S202" s="544">
        <f>IF(VLOOKUP($E$202,[1]UH!$A$2:$FA$98, 18, FALSE)="",":",VLOOKUP($E$202,[1]UH!$A$2:$FA$98, 18, FALSE))</f>
        <v>1.82</v>
      </c>
      <c r="T202" s="544">
        <f>IF(VLOOKUP($E$202,[1]UH!$A$2:$FA$98, 19, FALSE)="",":",VLOOKUP($E$202,[1]UH!$A$2:$FA$98, 19, FALSE))</f>
        <v>1.76</v>
      </c>
      <c r="U202" s="544">
        <f>IF(VLOOKUP($E$202,[1]UH!$A$2:$FA$98, 20, FALSE)="",":",VLOOKUP($E$202,[1]UH!$A$2:$FA$98, 20, FALSE))</f>
        <v>1.78</v>
      </c>
      <c r="V202" s="544">
        <f>IF(VLOOKUP($E$202,[1]UH!$A$2:$FA$98, 21, FALSE)="",":",VLOOKUP($E$202,[1]UH!$A$2:$FA$98, 21, FALSE))</f>
        <v>1.1000000000000001</v>
      </c>
      <c r="W202" s="544">
        <f>IF(VLOOKUP($E$202,[1]UH!$A$2:$FA$98, 22, FALSE)="",":",VLOOKUP($E$202,[1]UH!$A$2:$FA$98, 22, FALSE))</f>
        <v>1</v>
      </c>
      <c r="X202" s="544">
        <f>IF(VLOOKUP($E$202,[1]UH!$A$2:$FA$98, 23, FALSE)="",":",VLOOKUP($E$202,[1]UH!$A$2:$FA$98, 23, FALSE))</f>
        <v>1.2</v>
      </c>
      <c r="Y202" s="544">
        <f>IF(VLOOKUP($E$202,[1]UH!$A$2:$FA$98, 24, FALSE)="",":",VLOOKUP($E$202,[1]UH!$A$2:$FA$98, 24, FALSE))</f>
        <v>1.28</v>
      </c>
      <c r="Z202" s="544">
        <f>IF(VLOOKUP($E$202,[1]UH!$A$2:$FA$98, 25, FALSE)="",":",VLOOKUP($E$202,[1]UH!$A$2:$FA$98, 25, FALSE))</f>
        <v>1.33</v>
      </c>
      <c r="AA202" s="544">
        <f>IF(VLOOKUP($E$202,[1]UH!$A$2:$FA$98, 26, FALSE)="",":",VLOOKUP($E$202,[1]UH!$A$2:$FA$98, 26, FALSE))</f>
        <v>23.63</v>
      </c>
      <c r="AB202" s="544">
        <f>IF(VLOOKUP($E$202,[1]UH!$A$2:$FA$98, 27, FALSE)="",":",VLOOKUP($E$202,[1]UH!$A$2:$FA$98, 27, FALSE))</f>
        <v>1.47</v>
      </c>
      <c r="AC202" s="544" t="str">
        <f>IF(VLOOKUP($E$202,[1]UH!$A$2:$FA$98, 28, FALSE)="",":",VLOOKUP($E$202,[1]UH!$A$2:$FA$98, 28, FALSE))</f>
        <v>:</v>
      </c>
      <c r="AD202" s="544" t="str">
        <f>IF(VLOOKUP($E$202,[1]UH!$A$2:$FA$98, 29, FALSE)="",":",VLOOKUP($E$202,[1]UH!$A$2:$FA$98, 29, FALSE))</f>
        <v>:</v>
      </c>
      <c r="AE202" s="544" t="str">
        <f>IF(VLOOKUP($E$202,[1]UH!$A$2:$FA$98, 30, FALSE)="",":",VLOOKUP($E$202,[1]UH!$A$2:$FA$98, 30, FALSE))</f>
        <v>:</v>
      </c>
      <c r="AF202" s="544" t="str">
        <f>IF(VLOOKUP($E$202,[1]UH!$A$2:$FA$98, 31, FALSE)="",":",VLOOKUP($E$202,[1]UH!$A$2:$FA$98, 31, FALSE))</f>
        <v>:</v>
      </c>
    </row>
    <row r="203" spans="1:32" s="540" customFormat="1">
      <c r="A203" s="536"/>
      <c r="B203" s="537" t="s">
        <v>1064</v>
      </c>
      <c r="C203" s="538" t="s">
        <v>1063</v>
      </c>
      <c r="D203" s="528"/>
      <c r="E203" s="529"/>
      <c r="F203" s="539"/>
      <c r="G203" s="545">
        <f t="shared" ref="G203:AF203" si="9">+G201-G202</f>
        <v>17.899999999999999</v>
      </c>
      <c r="H203" s="545">
        <f t="shared" si="9"/>
        <v>30.32</v>
      </c>
      <c r="I203" s="545">
        <f t="shared" si="9"/>
        <v>1471.1000000000001</v>
      </c>
      <c r="J203" s="545">
        <f t="shared" si="9"/>
        <v>49.669999999999995</v>
      </c>
      <c r="K203" s="545">
        <f t="shared" si="9"/>
        <v>51.54</v>
      </c>
      <c r="L203" s="545">
        <f t="shared" si="9"/>
        <v>194.87</v>
      </c>
      <c r="M203" s="545">
        <f t="shared" si="9"/>
        <v>28.42</v>
      </c>
      <c r="N203" s="545">
        <f t="shared" si="9"/>
        <v>24.41</v>
      </c>
      <c r="O203" s="545">
        <f t="shared" si="9"/>
        <v>34.19</v>
      </c>
      <c r="P203" s="545">
        <f t="shared" si="9"/>
        <v>85.61</v>
      </c>
      <c r="Q203" s="545">
        <f t="shared" si="9"/>
        <v>72.179999999999993</v>
      </c>
      <c r="R203" s="545">
        <f t="shared" si="9"/>
        <v>78.410000000000011</v>
      </c>
      <c r="S203" s="545">
        <f t="shared" si="9"/>
        <v>183.84</v>
      </c>
      <c r="T203" s="545">
        <f t="shared" si="9"/>
        <v>44.46</v>
      </c>
      <c r="U203" s="545">
        <f t="shared" si="9"/>
        <v>30.71</v>
      </c>
      <c r="V203" s="545">
        <f t="shared" si="9"/>
        <v>39.33</v>
      </c>
      <c r="W203" s="545">
        <f t="shared" si="9"/>
        <v>1236.45</v>
      </c>
      <c r="X203" s="545">
        <f t="shared" si="9"/>
        <v>38.779999999999994</v>
      </c>
      <c r="Y203" s="545">
        <f t="shared" si="9"/>
        <v>73.069999999999993</v>
      </c>
      <c r="Z203" s="545">
        <f t="shared" si="9"/>
        <v>397.02000000000004</v>
      </c>
      <c r="AA203" s="545">
        <f t="shared" si="9"/>
        <v>120.33000000000001</v>
      </c>
      <c r="AB203" s="545">
        <f t="shared" si="9"/>
        <v>55.06</v>
      </c>
      <c r="AC203" s="545" t="e">
        <f t="shared" si="9"/>
        <v>#VALUE!</v>
      </c>
      <c r="AD203" s="545" t="e">
        <f t="shared" si="9"/>
        <v>#VALUE!</v>
      </c>
      <c r="AE203" s="545" t="e">
        <f t="shared" si="9"/>
        <v>#VALUE!</v>
      </c>
      <c r="AF203" s="545" t="e">
        <f t="shared" si="9"/>
        <v>#VALUE!</v>
      </c>
    </row>
    <row r="204" spans="1:32">
      <c r="A204" s="533"/>
      <c r="B204" s="534"/>
      <c r="C204" s="535"/>
      <c r="D204" s="12"/>
      <c r="E204" s="13"/>
      <c r="F204" s="14"/>
      <c r="G204" s="544"/>
      <c r="H204" s="544"/>
      <c r="I204" s="544"/>
      <c r="J204" s="544"/>
      <c r="K204" s="544"/>
      <c r="L204" s="544"/>
      <c r="M204" s="544"/>
      <c r="N204" s="544"/>
      <c r="O204" s="544"/>
      <c r="P204" s="544"/>
      <c r="Q204" s="544"/>
      <c r="R204" s="544"/>
      <c r="S204" s="544"/>
      <c r="T204" s="544"/>
      <c r="U204" s="544"/>
      <c r="V204" s="544"/>
      <c r="W204" s="544"/>
      <c r="X204" s="544"/>
      <c r="Y204" s="544"/>
      <c r="Z204" s="544"/>
      <c r="AA204" s="544"/>
      <c r="AB204" s="544"/>
      <c r="AC204" s="544"/>
      <c r="AD204" s="544"/>
      <c r="AE204" s="544"/>
      <c r="AF204" s="544"/>
    </row>
    <row r="205" spans="1:32">
      <c r="A205" s="533"/>
      <c r="B205" s="534" t="s">
        <v>19</v>
      </c>
      <c r="C205" s="535" t="s">
        <v>1629</v>
      </c>
      <c r="D205" s="12" t="s">
        <v>1216</v>
      </c>
      <c r="E205" s="13">
        <v>33</v>
      </c>
      <c r="F205" s="14" t="str">
        <f>VLOOKUP($E$205,[1]UH!$A$2:$FA$98, 3, FALSE)</f>
        <v>33 Net acquisitions of non-produced non-financial assets K.2</v>
      </c>
      <c r="G205" s="544">
        <f>IF(VLOOKUP($E$205,[1]UH!$A$2:$FA$98, 6, FALSE)="",":",VLOOKUP($E$205,[1]UH!$A$2:$FA$98, 6, FALSE))</f>
        <v>0</v>
      </c>
      <c r="H205" s="544">
        <f>IF(VLOOKUP($E$205,[1]UH!$A$2:$FA$98, 7, FALSE)="",":",VLOOKUP($E$205,[1]UH!$A$2:$FA$98, 7, FALSE))</f>
        <v>0</v>
      </c>
      <c r="I205" s="544">
        <f>IF(VLOOKUP($E$205,[1]UH!$A$2:$FA$98, 8, FALSE)="",":",VLOOKUP($E$205,[1]UH!$A$2:$FA$98, 8, FALSE))</f>
        <v>-6.42</v>
      </c>
      <c r="J205" s="544">
        <f>IF(VLOOKUP($E$205,[1]UH!$A$2:$FA$98, 9, FALSE)="",":",VLOOKUP($E$205,[1]UH!$A$2:$FA$98, 9, FALSE))</f>
        <v>-1.04</v>
      </c>
      <c r="K205" s="544">
        <f>IF(VLOOKUP($E$205,[1]UH!$A$2:$FA$98, 10, FALSE)="",":",VLOOKUP($E$205,[1]UH!$A$2:$FA$98, 10, FALSE))</f>
        <v>-3.01</v>
      </c>
      <c r="L205" s="544">
        <f>IF(VLOOKUP($E$205,[1]UH!$A$2:$FA$98, 11, FALSE)="",":",VLOOKUP($E$205,[1]UH!$A$2:$FA$98, 11, FALSE))</f>
        <v>-1.6600000000000001</v>
      </c>
      <c r="M205" s="544">
        <f>IF(VLOOKUP($E$205,[1]UH!$A$2:$FA$98, 12, FALSE)="",":",VLOOKUP($E$205,[1]UH!$A$2:$FA$98, 12, FALSE))</f>
        <v>-14.39</v>
      </c>
      <c r="N205" s="544">
        <f>IF(VLOOKUP($E$205,[1]UH!$A$2:$FA$98, 13, FALSE)="",":",VLOOKUP($E$205,[1]UH!$A$2:$FA$98, 13, FALSE))</f>
        <v>-16.190000000000001</v>
      </c>
      <c r="O205" s="544">
        <f>IF(VLOOKUP($E$205,[1]UH!$A$2:$FA$98, 14, FALSE)="",":",VLOOKUP($E$205,[1]UH!$A$2:$FA$98, 14, FALSE))</f>
        <v>-16.88</v>
      </c>
      <c r="P205" s="544">
        <f>IF(VLOOKUP($E$205,[1]UH!$A$2:$FA$98, 15, FALSE)="",":",VLOOKUP($E$205,[1]UH!$A$2:$FA$98, 15, FALSE))</f>
        <v>-45.68</v>
      </c>
      <c r="Q205" s="544">
        <f>IF(VLOOKUP($E$205,[1]UH!$A$2:$FA$98, 16, FALSE)="",":",VLOOKUP($E$205,[1]UH!$A$2:$FA$98, 16, FALSE))</f>
        <v>-148.76</v>
      </c>
      <c r="R205" s="544">
        <f>IF(VLOOKUP($E$205,[1]UH!$A$2:$FA$98, 17, FALSE)="",":",VLOOKUP($E$205,[1]UH!$A$2:$FA$98, 17, FALSE))</f>
        <v>-224.46</v>
      </c>
      <c r="S205" s="544">
        <f>IF(VLOOKUP($E$205,[1]UH!$A$2:$FA$98, 18, FALSE)="",":",VLOOKUP($E$205,[1]UH!$A$2:$FA$98, 18, FALSE))</f>
        <v>-382.24</v>
      </c>
      <c r="T205" s="544">
        <f>IF(VLOOKUP($E$205,[1]UH!$A$2:$FA$98, 19, FALSE)="",":",VLOOKUP($E$205,[1]UH!$A$2:$FA$98, 19, FALSE))</f>
        <v>-164.42</v>
      </c>
      <c r="U205" s="544">
        <f>IF(VLOOKUP($E$205,[1]UH!$A$2:$FA$98, 20, FALSE)="",":",VLOOKUP($E$205,[1]UH!$A$2:$FA$98, 20, FALSE))</f>
        <v>21.72</v>
      </c>
      <c r="V205" s="544">
        <f>IF(VLOOKUP($E$205,[1]UH!$A$2:$FA$98, 21, FALSE)="",":",VLOOKUP($E$205,[1]UH!$A$2:$FA$98, 21, FALSE))</f>
        <v>37.15</v>
      </c>
      <c r="W205" s="544">
        <f>IF(VLOOKUP($E$205,[1]UH!$A$2:$FA$98, 22, FALSE)="",":",VLOOKUP($E$205,[1]UH!$A$2:$FA$98, 22, FALSE))</f>
        <v>-22.91</v>
      </c>
      <c r="X205" s="544">
        <f>IF(VLOOKUP($E$205,[1]UH!$A$2:$FA$98, 23, FALSE)="",":",VLOOKUP($E$205,[1]UH!$A$2:$FA$98, 23, FALSE))</f>
        <v>-42.2</v>
      </c>
      <c r="Y205" s="544">
        <f>IF(VLOOKUP($E$205,[1]UH!$A$2:$FA$98, 24, FALSE)="",":",VLOOKUP($E$205,[1]UH!$A$2:$FA$98, 24, FALSE))</f>
        <v>23.19</v>
      </c>
      <c r="Z205" s="544">
        <f>IF(VLOOKUP($E$205,[1]UH!$A$2:$FA$98, 25, FALSE)="",":",VLOOKUP($E$205,[1]UH!$A$2:$FA$98, 25, FALSE))</f>
        <v>41.37</v>
      </c>
      <c r="AA205" s="544">
        <f>IF(VLOOKUP($E$205,[1]UH!$A$2:$FA$98, 26, FALSE)="",":",VLOOKUP($E$205,[1]UH!$A$2:$FA$98, 26, FALSE))</f>
        <v>-34.590000000000003</v>
      </c>
      <c r="AB205" s="544">
        <f>IF(VLOOKUP($E$205,[1]UH!$A$2:$FA$98, 27, FALSE)="",":",VLOOKUP($E$205,[1]UH!$A$2:$FA$98, 27, FALSE))</f>
        <v>-77.61</v>
      </c>
      <c r="AC205" s="544" t="str">
        <f>IF(VLOOKUP($E$205,[1]UH!$A$2:$FA$98, 28, FALSE)="",":",VLOOKUP($E$205,[1]UH!$A$2:$FA$98, 28, FALSE))</f>
        <v>:</v>
      </c>
      <c r="AD205" s="544" t="str">
        <f>IF(VLOOKUP($E$205,[1]UH!$A$2:$FA$98, 29, FALSE)="",":",VLOOKUP($E$205,[1]UH!$A$2:$FA$98, 29, FALSE))</f>
        <v>:</v>
      </c>
      <c r="AE205" s="544" t="str">
        <f>IF(VLOOKUP($E$205,[1]UH!$A$2:$FA$98, 30, FALSE)="",":",VLOOKUP($E$205,[1]UH!$A$2:$FA$98, 30, FALSE))</f>
        <v>:</v>
      </c>
      <c r="AF205" s="544" t="str">
        <f>IF(VLOOKUP($E$205,[1]UH!$A$2:$FA$98, 31, FALSE)="",":",VLOOKUP($E$205,[1]UH!$A$2:$FA$98, 31, FALSE))</f>
        <v>:</v>
      </c>
    </row>
    <row r="206" spans="1:32">
      <c r="A206" s="533"/>
      <c r="B206" s="534" t="s">
        <v>428</v>
      </c>
      <c r="C206" s="535" t="s">
        <v>1628</v>
      </c>
      <c r="D206" s="12" t="s">
        <v>1216</v>
      </c>
      <c r="E206" s="13">
        <v>30</v>
      </c>
      <c r="F206" s="14" t="str">
        <f>VLOOKUP($E$206,[1]UH!$A$2:$FA$98, 3, FALSE)</f>
        <v>30. Gross fixed capital formation P.51</v>
      </c>
      <c r="G206" s="544">
        <f>IF(VLOOKUP($E$206,[1]UH!$A$2:$FA$98, 6, FALSE)="",":",VLOOKUP($E$206,[1]UH!$A$2:$FA$98, 6, FALSE))</f>
        <v>298.72000000000003</v>
      </c>
      <c r="H206" s="544">
        <f>IF(VLOOKUP($E$206,[1]UH!$A$2:$FA$98, 7, FALSE)="",":",VLOOKUP($E$206,[1]UH!$A$2:$FA$98, 7, FALSE))</f>
        <v>314.49</v>
      </c>
      <c r="I206" s="544">
        <f>IF(VLOOKUP($E$206,[1]UH!$A$2:$FA$98, 8, FALSE)="",":",VLOOKUP($E$206,[1]UH!$A$2:$FA$98, 8, FALSE))</f>
        <v>426.37</v>
      </c>
      <c r="J206" s="544">
        <f>IF(VLOOKUP($E$206,[1]UH!$A$2:$FA$98, 9, FALSE)="",":",VLOOKUP($E$206,[1]UH!$A$2:$FA$98, 9, FALSE))</f>
        <v>584.22</v>
      </c>
      <c r="K206" s="544">
        <f>IF(VLOOKUP($E$206,[1]UH!$A$2:$FA$98, 10, FALSE)="",":",VLOOKUP($E$206,[1]UH!$A$2:$FA$98, 10, FALSE))</f>
        <v>434.16</v>
      </c>
      <c r="L206" s="544">
        <f>IF(VLOOKUP($E$206,[1]UH!$A$2:$FA$98, 11, FALSE)="",":",VLOOKUP($E$206,[1]UH!$A$2:$FA$98, 11, FALSE))</f>
        <v>483.19</v>
      </c>
      <c r="M206" s="544">
        <f>IF(VLOOKUP($E$206,[1]UH!$A$2:$FA$98, 12, FALSE)="",":",VLOOKUP($E$206,[1]UH!$A$2:$FA$98, 12, FALSE))</f>
        <v>535.37</v>
      </c>
      <c r="N206" s="544">
        <f>IF(VLOOKUP($E$206,[1]UH!$A$2:$FA$98, 13, FALSE)="",":",VLOOKUP($E$206,[1]UH!$A$2:$FA$98, 13, FALSE))</f>
        <v>537.12</v>
      </c>
      <c r="O206" s="544">
        <f>IF(VLOOKUP($E$206,[1]UH!$A$2:$FA$98, 14, FALSE)="",":",VLOOKUP($E$206,[1]UH!$A$2:$FA$98, 14, FALSE))</f>
        <v>689.88</v>
      </c>
      <c r="P206" s="544">
        <f>IF(VLOOKUP($E$206,[1]UH!$A$2:$FA$98, 15, FALSE)="",":",VLOOKUP($E$206,[1]UH!$A$2:$FA$98, 15, FALSE))</f>
        <v>793.24</v>
      </c>
      <c r="Q206" s="544">
        <f>IF(VLOOKUP($E$206,[1]UH!$A$2:$FA$98, 16, FALSE)="",":",VLOOKUP($E$206,[1]UH!$A$2:$FA$98, 16, FALSE))</f>
        <v>839.65</v>
      </c>
      <c r="R206" s="544">
        <f>IF(VLOOKUP($E$206,[1]UH!$A$2:$FA$98, 17, FALSE)="",":",VLOOKUP($E$206,[1]UH!$A$2:$FA$98, 17, FALSE))</f>
        <v>877.67</v>
      </c>
      <c r="S206" s="544">
        <f>IF(VLOOKUP($E$206,[1]UH!$A$2:$FA$98, 18, FALSE)="",":",VLOOKUP($E$206,[1]UH!$A$2:$FA$98, 18, FALSE))</f>
        <v>1082.52</v>
      </c>
      <c r="T206" s="544">
        <f>IF(VLOOKUP($E$206,[1]UH!$A$2:$FA$98, 19, FALSE)="",":",VLOOKUP($E$206,[1]UH!$A$2:$FA$98, 19, FALSE))</f>
        <v>1279.19</v>
      </c>
      <c r="U206" s="544">
        <f>IF(VLOOKUP($E$206,[1]UH!$A$2:$FA$98, 20, FALSE)="",":",VLOOKUP($E$206,[1]UH!$A$2:$FA$98, 20, FALSE))</f>
        <v>957.16</v>
      </c>
      <c r="V206" s="544">
        <f>IF(VLOOKUP($E$206,[1]UH!$A$2:$FA$98, 21, FALSE)="",":",VLOOKUP($E$206,[1]UH!$A$2:$FA$98, 21, FALSE))</f>
        <v>922.2</v>
      </c>
      <c r="W206" s="544">
        <f>IF(VLOOKUP($E$206,[1]UH!$A$2:$FA$98, 22, FALSE)="",":",VLOOKUP($E$206,[1]UH!$A$2:$FA$98, 22, FALSE))</f>
        <v>1043.75</v>
      </c>
      <c r="X206" s="544">
        <f>IF(VLOOKUP($E$206,[1]UH!$A$2:$FA$98, 23, FALSE)="",":",VLOOKUP($E$206,[1]UH!$A$2:$FA$98, 23, FALSE))</f>
        <v>1002.99</v>
      </c>
      <c r="Y206" s="544">
        <f>IF(VLOOKUP($E$206,[1]UH!$A$2:$FA$98, 24, FALSE)="",":",VLOOKUP($E$206,[1]UH!$A$2:$FA$98, 24, FALSE))</f>
        <v>1241.3599999999999</v>
      </c>
      <c r="Z206" s="544">
        <f>IF(VLOOKUP($E$206,[1]UH!$A$2:$FA$98, 25, FALSE)="",":",VLOOKUP($E$206,[1]UH!$A$2:$FA$98, 25, FALSE))</f>
        <v>1371.71</v>
      </c>
      <c r="AA206" s="544">
        <f>IF(VLOOKUP($E$206,[1]UH!$A$2:$FA$98, 26, FALSE)="",":",VLOOKUP($E$206,[1]UH!$A$2:$FA$98, 26, FALSE))</f>
        <v>1563.51</v>
      </c>
      <c r="AB206" s="544">
        <f>IF(VLOOKUP($E$206,[1]UH!$A$2:$FA$98, 27, FALSE)="",":",VLOOKUP($E$206,[1]UH!$A$2:$FA$98, 27, FALSE))</f>
        <v>1742.28</v>
      </c>
      <c r="AC206" s="544" t="str">
        <f>IF(VLOOKUP($E$206,[1]UH!$A$2:$FA$98, 28, FALSE)="",":",VLOOKUP($E$206,[1]UH!$A$2:$FA$98, 28, FALSE))</f>
        <v>:</v>
      </c>
      <c r="AD206" s="544" t="str">
        <f>IF(VLOOKUP($E$206,[1]UH!$A$2:$FA$98, 29, FALSE)="",":",VLOOKUP($E$206,[1]UH!$A$2:$FA$98, 29, FALSE))</f>
        <v>:</v>
      </c>
      <c r="AE206" s="544" t="str">
        <f>IF(VLOOKUP($E$206,[1]UH!$A$2:$FA$98, 30, FALSE)="",":",VLOOKUP($E$206,[1]UH!$A$2:$FA$98, 30, FALSE))</f>
        <v>:</v>
      </c>
      <c r="AF206" s="544" t="str">
        <f>IF(VLOOKUP($E$206,[1]UH!$A$2:$FA$98, 31, FALSE)="",":",VLOOKUP($E$206,[1]UH!$A$2:$FA$98, 31, FALSE))</f>
        <v>:</v>
      </c>
    </row>
    <row r="207" spans="1:32">
      <c r="A207" s="533"/>
      <c r="B207" s="534"/>
      <c r="C207" s="535" t="s">
        <v>1630</v>
      </c>
      <c r="D207" s="12" t="s">
        <v>1216</v>
      </c>
      <c r="E207" s="13">
        <v>31</v>
      </c>
      <c r="F207" s="14" t="str">
        <f>VLOOKUP($E$207,[1]UH!$A$2:$FA$98, 3, FALSE)</f>
        <v xml:space="preserve">31 Changes in inventories P.52 </v>
      </c>
      <c r="G207" s="544">
        <f>IF(VLOOKUP($E$207,[1]UH!$A$2:$FA$98, 6, FALSE)="",":",VLOOKUP($E$207,[1]UH!$A$2:$FA$98, 6, FALSE))</f>
        <v>13.18</v>
      </c>
      <c r="H207" s="544">
        <f>IF(VLOOKUP($E$207,[1]UH!$A$2:$FA$98, 7, FALSE)="",":",VLOOKUP($E$207,[1]UH!$A$2:$FA$98, 7, FALSE))</f>
        <v>1.4100000000000001</v>
      </c>
      <c r="I207" s="544">
        <f>IF(VLOOKUP($E$207,[1]UH!$A$2:$FA$98, 8, FALSE)="",":",VLOOKUP($E$207,[1]UH!$A$2:$FA$98, 8, FALSE))</f>
        <v>55.88</v>
      </c>
      <c r="J207" s="544">
        <f>IF(VLOOKUP($E$207,[1]UH!$A$2:$FA$98, 9, FALSE)="",":",VLOOKUP($E$207,[1]UH!$A$2:$FA$98, 9, FALSE))</f>
        <v>24.55</v>
      </c>
      <c r="K207" s="544">
        <f>IF(VLOOKUP($E$207,[1]UH!$A$2:$FA$98, 10, FALSE)="",":",VLOOKUP($E$207,[1]UH!$A$2:$FA$98, 10, FALSE))</f>
        <v>-39.06</v>
      </c>
      <c r="L207" s="544">
        <f>IF(VLOOKUP($E$207,[1]UH!$A$2:$FA$98, 11, FALSE)="",":",VLOOKUP($E$207,[1]UH!$A$2:$FA$98, 11, FALSE))</f>
        <v>-2.2000000000000002</v>
      </c>
      <c r="M207" s="544">
        <f>IF(VLOOKUP($E$207,[1]UH!$A$2:$FA$98, 12, FALSE)="",":",VLOOKUP($E$207,[1]UH!$A$2:$FA$98, 12, FALSE))</f>
        <v>-105.91</v>
      </c>
      <c r="N207" s="544">
        <f>IF(VLOOKUP($E$207,[1]UH!$A$2:$FA$98, 13, FALSE)="",":",VLOOKUP($E$207,[1]UH!$A$2:$FA$98, 13, FALSE))</f>
        <v>-0.85000000000000009</v>
      </c>
      <c r="O207" s="544">
        <f>IF(VLOOKUP($E$207,[1]UH!$A$2:$FA$98, 14, FALSE)="",":",VLOOKUP($E$207,[1]UH!$A$2:$FA$98, 14, FALSE))</f>
        <v>5.82</v>
      </c>
      <c r="P207" s="544">
        <f>IF(VLOOKUP($E$207,[1]UH!$A$2:$FA$98, 15, FALSE)="",":",VLOOKUP($E$207,[1]UH!$A$2:$FA$98, 15, FALSE))</f>
        <v>10.49</v>
      </c>
      <c r="Q207" s="544">
        <f>IF(VLOOKUP($E$207,[1]UH!$A$2:$FA$98, 16, FALSE)="",":",VLOOKUP($E$207,[1]UH!$A$2:$FA$98, 16, FALSE))</f>
        <v>-45.19</v>
      </c>
      <c r="R207" s="544">
        <f>IF(VLOOKUP($E$207,[1]UH!$A$2:$FA$98, 17, FALSE)="",":",VLOOKUP($E$207,[1]UH!$A$2:$FA$98, 17, FALSE))</f>
        <v>-4.4400000000000004</v>
      </c>
      <c r="S207" s="544">
        <f>IF(VLOOKUP($E$207,[1]UH!$A$2:$FA$98, 18, FALSE)="",":",VLOOKUP($E$207,[1]UH!$A$2:$FA$98, 18, FALSE))</f>
        <v>30.49</v>
      </c>
      <c r="T207" s="544">
        <f>IF(VLOOKUP($E$207,[1]UH!$A$2:$FA$98, 19, FALSE)="",":",VLOOKUP($E$207,[1]UH!$A$2:$FA$98, 19, FALSE))</f>
        <v>123.69</v>
      </c>
      <c r="U207" s="544">
        <f>IF(VLOOKUP($E$207,[1]UH!$A$2:$FA$98, 20, FALSE)="",":",VLOOKUP($E$207,[1]UH!$A$2:$FA$98, 20, FALSE))</f>
        <v>-57.79</v>
      </c>
      <c r="V207" s="544">
        <f>IF(VLOOKUP($E$207,[1]UH!$A$2:$FA$98, 21, FALSE)="",":",VLOOKUP($E$207,[1]UH!$A$2:$FA$98, 21, FALSE))</f>
        <v>-34.28</v>
      </c>
      <c r="W207" s="544">
        <f>IF(VLOOKUP($E$207,[1]UH!$A$2:$FA$98, 22, FALSE)="",":",VLOOKUP($E$207,[1]UH!$A$2:$FA$98, 22, FALSE))</f>
        <v>42.15</v>
      </c>
      <c r="X207" s="544">
        <f>IF(VLOOKUP($E$207,[1]UH!$A$2:$FA$98, 23, FALSE)="",":",VLOOKUP($E$207,[1]UH!$A$2:$FA$98, 23, FALSE))</f>
        <v>84.49</v>
      </c>
      <c r="Y207" s="544">
        <f>IF(VLOOKUP($E$207,[1]UH!$A$2:$FA$98, 24, FALSE)="",":",VLOOKUP($E$207,[1]UH!$A$2:$FA$98, 24, FALSE))</f>
        <v>90.8</v>
      </c>
      <c r="Z207" s="544">
        <f>IF(VLOOKUP($E$207,[1]UH!$A$2:$FA$98, 25, FALSE)="",":",VLOOKUP($E$207,[1]UH!$A$2:$FA$98, 25, FALSE))</f>
        <v>10.24</v>
      </c>
      <c r="AA207" s="544">
        <f>IF(VLOOKUP($E$207,[1]UH!$A$2:$FA$98, 26, FALSE)="",":",VLOOKUP($E$207,[1]UH!$A$2:$FA$98, 26, FALSE))</f>
        <v>18.649999999999999</v>
      </c>
      <c r="AB207" s="544">
        <f>IF(VLOOKUP($E$207,[1]UH!$A$2:$FA$98, 27, FALSE)="",":",VLOOKUP($E$207,[1]UH!$A$2:$FA$98, 27, FALSE))</f>
        <v>-13.99</v>
      </c>
      <c r="AC207" s="544" t="str">
        <f>IF(VLOOKUP($E$207,[1]UH!$A$2:$FA$98, 28, FALSE)="",":",VLOOKUP($E$207,[1]UH!$A$2:$FA$98, 28, FALSE))</f>
        <v>:</v>
      </c>
      <c r="AD207" s="544" t="str">
        <f>IF(VLOOKUP($E$207,[1]UH!$A$2:$FA$98, 29, FALSE)="",":",VLOOKUP($E$207,[1]UH!$A$2:$FA$98, 29, FALSE))</f>
        <v>:</v>
      </c>
      <c r="AE207" s="544" t="str">
        <f>IF(VLOOKUP($E$207,[1]UH!$A$2:$FA$98, 30, FALSE)="",":",VLOOKUP($E$207,[1]UH!$A$2:$FA$98, 30, FALSE))</f>
        <v>:</v>
      </c>
      <c r="AF207" s="544" t="str">
        <f>IF(VLOOKUP($E$207,[1]UH!$A$2:$FA$98, 31, FALSE)="",":",VLOOKUP($E$207,[1]UH!$A$2:$FA$98, 31, FALSE))</f>
        <v>:</v>
      </c>
    </row>
    <row r="208" spans="1:32">
      <c r="A208" s="533"/>
      <c r="B208" s="534"/>
      <c r="C208" s="535" t="s">
        <v>878</v>
      </c>
      <c r="D208" s="12" t="s">
        <v>1216</v>
      </c>
      <c r="E208" s="13">
        <v>32</v>
      </c>
      <c r="F208" s="14" t="str">
        <f>VLOOKUP($E$208,[1]UH!$A$2:$FA$98, 3, FALSE)</f>
        <v>32 Net acquisitions of valuables P.53</v>
      </c>
      <c r="G208" s="544">
        <f>IF(VLOOKUP($E$208,[1]UH!$A$2:$FA$98, 6, FALSE)="",":",VLOOKUP($E$208,[1]UH!$A$2:$FA$98, 6, FALSE))</f>
        <v>-0.17</v>
      </c>
      <c r="H208" s="544">
        <f>IF(VLOOKUP($E$208,[1]UH!$A$2:$FA$98, 7, FALSE)="",":",VLOOKUP($E$208,[1]UH!$A$2:$FA$98, 7, FALSE))</f>
        <v>0.67</v>
      </c>
      <c r="I208" s="544">
        <f>IF(VLOOKUP($E$208,[1]UH!$A$2:$FA$98, 8, FALSE)="",":",VLOOKUP($E$208,[1]UH!$A$2:$FA$98, 8, FALSE))</f>
        <v>1.02</v>
      </c>
      <c r="J208" s="544">
        <f>IF(VLOOKUP($E$208,[1]UH!$A$2:$FA$98, 9, FALSE)="",":",VLOOKUP($E$208,[1]UH!$A$2:$FA$98, 9, FALSE))</f>
        <v>2.2800000000000002</v>
      </c>
      <c r="K208" s="544">
        <f>IF(VLOOKUP($E$208,[1]UH!$A$2:$FA$98, 10, FALSE)="",":",VLOOKUP($E$208,[1]UH!$A$2:$FA$98, 10, FALSE))</f>
        <v>2.59</v>
      </c>
      <c r="L208" s="544">
        <f>IF(VLOOKUP($E$208,[1]UH!$A$2:$FA$98, 11, FALSE)="",":",VLOOKUP($E$208,[1]UH!$A$2:$FA$98, 11, FALSE))</f>
        <v>2.0299999999999998</v>
      </c>
      <c r="M208" s="544">
        <f>IF(VLOOKUP($E$208,[1]UH!$A$2:$FA$98, 12, FALSE)="",":",VLOOKUP($E$208,[1]UH!$A$2:$FA$98, 12, FALSE))</f>
        <v>1.61</v>
      </c>
      <c r="N208" s="544">
        <f>IF(VLOOKUP($E$208,[1]UH!$A$2:$FA$98, 13, FALSE)="",":",VLOOKUP($E$208,[1]UH!$A$2:$FA$98, 13, FALSE))</f>
        <v>-1</v>
      </c>
      <c r="O208" s="544">
        <f>IF(VLOOKUP($E$208,[1]UH!$A$2:$FA$98, 14, FALSE)="",":",VLOOKUP($E$208,[1]UH!$A$2:$FA$98, 14, FALSE))</f>
        <v>2.84</v>
      </c>
      <c r="P208" s="544">
        <f>IF(VLOOKUP($E$208,[1]UH!$A$2:$FA$98, 15, FALSE)="",":",VLOOKUP($E$208,[1]UH!$A$2:$FA$98, 15, FALSE))</f>
        <v>3.96</v>
      </c>
      <c r="Q208" s="544">
        <f>IF(VLOOKUP($E$208,[1]UH!$A$2:$FA$98, 16, FALSE)="",":",VLOOKUP($E$208,[1]UH!$A$2:$FA$98, 16, FALSE))</f>
        <v>5.51</v>
      </c>
      <c r="R208" s="544">
        <f>IF(VLOOKUP($E$208,[1]UH!$A$2:$FA$98, 17, FALSE)="",":",VLOOKUP($E$208,[1]UH!$A$2:$FA$98, 17, FALSE))</f>
        <v>9.2799999999999994</v>
      </c>
      <c r="S208" s="544">
        <f>IF(VLOOKUP($E$208,[1]UH!$A$2:$FA$98, 18, FALSE)="",":",VLOOKUP($E$208,[1]UH!$A$2:$FA$98, 18, FALSE))</f>
        <v>15.68</v>
      </c>
      <c r="T208" s="544">
        <f>IF(VLOOKUP($E$208,[1]UH!$A$2:$FA$98, 19, FALSE)="",":",VLOOKUP($E$208,[1]UH!$A$2:$FA$98, 19, FALSE))</f>
        <v>11.84</v>
      </c>
      <c r="U208" s="544">
        <f>IF(VLOOKUP($E$208,[1]UH!$A$2:$FA$98, 20, FALSE)="",":",VLOOKUP($E$208,[1]UH!$A$2:$FA$98, 20, FALSE))</f>
        <v>0.96000000000000008</v>
      </c>
      <c r="V208" s="544">
        <f>IF(VLOOKUP($E$208,[1]UH!$A$2:$FA$98, 21, FALSE)="",":",VLOOKUP($E$208,[1]UH!$A$2:$FA$98, 21, FALSE))</f>
        <v>7.14</v>
      </c>
      <c r="W208" s="544">
        <f>IF(VLOOKUP($E$208,[1]UH!$A$2:$FA$98, 22, FALSE)="",":",VLOOKUP($E$208,[1]UH!$A$2:$FA$98, 22, FALSE))</f>
        <v>22.67</v>
      </c>
      <c r="X208" s="544">
        <f>IF(VLOOKUP($E$208,[1]UH!$A$2:$FA$98, 23, FALSE)="",":",VLOOKUP($E$208,[1]UH!$A$2:$FA$98, 23, FALSE))</f>
        <v>3.87</v>
      </c>
      <c r="Y208" s="544">
        <f>IF(VLOOKUP($E$208,[1]UH!$A$2:$FA$98, 24, FALSE)="",":",VLOOKUP($E$208,[1]UH!$A$2:$FA$98, 24, FALSE))</f>
        <v>12.56</v>
      </c>
      <c r="Z208" s="544">
        <f>IF(VLOOKUP($E$208,[1]UH!$A$2:$FA$98, 25, FALSE)="",":",VLOOKUP($E$208,[1]UH!$A$2:$FA$98, 25, FALSE))</f>
        <v>2.73</v>
      </c>
      <c r="AA208" s="544">
        <f>IF(VLOOKUP($E$208,[1]UH!$A$2:$FA$98, 26, FALSE)="",":",VLOOKUP($E$208,[1]UH!$A$2:$FA$98, 26, FALSE))</f>
        <v>10.3</v>
      </c>
      <c r="AB208" s="544">
        <f>IF(VLOOKUP($E$208,[1]UH!$A$2:$FA$98, 27, FALSE)="",":",VLOOKUP($E$208,[1]UH!$A$2:$FA$98, 27, FALSE))</f>
        <v>9.68</v>
      </c>
      <c r="AC208" s="544" t="str">
        <f>IF(VLOOKUP($E$208,[1]UH!$A$2:$FA$98, 28, FALSE)="",":",VLOOKUP($E$208,[1]UH!$A$2:$FA$98, 28, FALSE))</f>
        <v>:</v>
      </c>
      <c r="AD208" s="544" t="str">
        <f>IF(VLOOKUP($E$208,[1]UH!$A$2:$FA$98, 29, FALSE)="",":",VLOOKUP($E$208,[1]UH!$A$2:$FA$98, 29, FALSE))</f>
        <v>:</v>
      </c>
      <c r="AE208" s="544" t="str">
        <f>IF(VLOOKUP($E$208,[1]UH!$A$2:$FA$98, 30, FALSE)="",":",VLOOKUP($E$208,[1]UH!$A$2:$FA$98, 30, FALSE))</f>
        <v>:</v>
      </c>
      <c r="AF208" s="544" t="str">
        <f>IF(VLOOKUP($E$208,[1]UH!$A$2:$FA$98, 31, FALSE)="",":",VLOOKUP($E$208,[1]UH!$A$2:$FA$98, 31, FALSE))</f>
        <v>:</v>
      </c>
    </row>
    <row r="209" spans="1:32" s="540" customFormat="1">
      <c r="A209" s="536"/>
      <c r="B209" s="537" t="s">
        <v>2076</v>
      </c>
      <c r="C209" s="538" t="s">
        <v>476</v>
      </c>
      <c r="D209" s="528"/>
      <c r="E209" s="529"/>
      <c r="F209" s="539"/>
      <c r="G209" s="545">
        <f t="shared" ref="G209:AF209" si="10">+G207+G208</f>
        <v>13.01</v>
      </c>
      <c r="H209" s="545">
        <f t="shared" si="10"/>
        <v>2.08</v>
      </c>
      <c r="I209" s="545">
        <f t="shared" si="10"/>
        <v>56.900000000000006</v>
      </c>
      <c r="J209" s="545">
        <f t="shared" si="10"/>
        <v>26.830000000000002</v>
      </c>
      <c r="K209" s="545">
        <f t="shared" si="10"/>
        <v>-36.47</v>
      </c>
      <c r="L209" s="545">
        <f t="shared" si="10"/>
        <v>-0.17000000000000037</v>
      </c>
      <c r="M209" s="545">
        <f t="shared" si="10"/>
        <v>-104.3</v>
      </c>
      <c r="N209" s="545">
        <f t="shared" si="10"/>
        <v>-1.85</v>
      </c>
      <c r="O209" s="545">
        <f t="shared" si="10"/>
        <v>8.66</v>
      </c>
      <c r="P209" s="545">
        <f t="shared" si="10"/>
        <v>14.45</v>
      </c>
      <c r="Q209" s="545">
        <f t="shared" si="10"/>
        <v>-39.68</v>
      </c>
      <c r="R209" s="545">
        <f t="shared" si="10"/>
        <v>4.839999999999999</v>
      </c>
      <c r="S209" s="545">
        <f t="shared" si="10"/>
        <v>46.17</v>
      </c>
      <c r="T209" s="545">
        <f t="shared" si="10"/>
        <v>135.53</v>
      </c>
      <c r="U209" s="545">
        <f t="shared" si="10"/>
        <v>-56.83</v>
      </c>
      <c r="V209" s="545">
        <f t="shared" si="10"/>
        <v>-27.14</v>
      </c>
      <c r="W209" s="545">
        <f t="shared" si="10"/>
        <v>64.819999999999993</v>
      </c>
      <c r="X209" s="545">
        <f t="shared" si="10"/>
        <v>88.36</v>
      </c>
      <c r="Y209" s="545">
        <f t="shared" si="10"/>
        <v>103.36</v>
      </c>
      <c r="Z209" s="545">
        <f t="shared" si="10"/>
        <v>12.97</v>
      </c>
      <c r="AA209" s="545">
        <f t="shared" si="10"/>
        <v>28.95</v>
      </c>
      <c r="AB209" s="545">
        <f t="shared" si="10"/>
        <v>-4.3100000000000005</v>
      </c>
      <c r="AC209" s="545" t="e">
        <f t="shared" si="10"/>
        <v>#VALUE!</v>
      </c>
      <c r="AD209" s="545" t="e">
        <f t="shared" si="10"/>
        <v>#VALUE!</v>
      </c>
      <c r="AE209" s="545" t="e">
        <f t="shared" si="10"/>
        <v>#VALUE!</v>
      </c>
      <c r="AF209" s="545" t="e">
        <f t="shared" si="10"/>
        <v>#VALUE!</v>
      </c>
    </row>
    <row r="210" spans="1:32">
      <c r="A210" s="533"/>
      <c r="B210" s="534"/>
      <c r="C210" s="535"/>
      <c r="D210" s="12"/>
      <c r="E210" s="13"/>
      <c r="F210" s="14"/>
      <c r="G210" s="544"/>
      <c r="H210" s="544"/>
      <c r="I210" s="544"/>
      <c r="J210" s="544"/>
      <c r="K210" s="544"/>
      <c r="L210" s="544"/>
      <c r="M210" s="544"/>
      <c r="N210" s="544"/>
      <c r="O210" s="544"/>
      <c r="P210" s="544"/>
      <c r="Q210" s="544"/>
      <c r="R210" s="544"/>
      <c r="S210" s="544"/>
      <c r="T210" s="544"/>
      <c r="U210" s="544"/>
      <c r="V210" s="544"/>
      <c r="W210" s="544"/>
      <c r="X210" s="544"/>
      <c r="Y210" s="544"/>
      <c r="Z210" s="544"/>
      <c r="AA210" s="544"/>
      <c r="AB210" s="544"/>
      <c r="AC210" s="544"/>
      <c r="AD210" s="544"/>
      <c r="AE210" s="544"/>
      <c r="AF210" s="544"/>
    </row>
    <row r="211" spans="1:32">
      <c r="A211" s="533"/>
      <c r="B211" s="534"/>
      <c r="C211" s="535"/>
      <c r="D211" s="12"/>
      <c r="E211" s="13"/>
      <c r="F211" s="14"/>
      <c r="G211" s="544"/>
      <c r="H211" s="544"/>
      <c r="I211" s="544"/>
      <c r="J211" s="544"/>
      <c r="K211" s="544"/>
      <c r="L211" s="544"/>
      <c r="M211" s="544"/>
      <c r="N211" s="544"/>
      <c r="O211" s="544"/>
      <c r="P211" s="544"/>
      <c r="Q211" s="544"/>
      <c r="R211" s="544"/>
      <c r="S211" s="544"/>
      <c r="T211" s="544"/>
      <c r="U211" s="544"/>
      <c r="V211" s="544"/>
      <c r="W211" s="544"/>
      <c r="X211" s="544"/>
      <c r="Y211" s="544"/>
      <c r="Z211" s="544"/>
      <c r="AA211" s="544"/>
      <c r="AB211" s="544"/>
      <c r="AC211" s="544"/>
      <c r="AD211" s="544"/>
      <c r="AE211" s="544"/>
      <c r="AF211" s="544"/>
    </row>
    <row r="212" spans="1:32">
      <c r="A212" s="533"/>
      <c r="B212" s="534"/>
      <c r="C212" s="535"/>
      <c r="D212" s="12"/>
      <c r="E212" s="13"/>
      <c r="F212" s="14"/>
      <c r="G212" s="544"/>
      <c r="H212" s="544"/>
      <c r="I212" s="544"/>
      <c r="J212" s="544"/>
      <c r="K212" s="544"/>
      <c r="L212" s="544"/>
      <c r="M212" s="544"/>
      <c r="N212" s="544"/>
      <c r="O212" s="544"/>
      <c r="P212" s="544"/>
      <c r="Q212" s="544"/>
      <c r="R212" s="544"/>
      <c r="S212" s="544"/>
      <c r="T212" s="544"/>
      <c r="U212" s="544"/>
      <c r="V212" s="544"/>
      <c r="W212" s="544"/>
      <c r="X212" s="544"/>
      <c r="Y212" s="544"/>
      <c r="Z212" s="544"/>
      <c r="AA212" s="544"/>
      <c r="AB212" s="544"/>
      <c r="AC212" s="544"/>
      <c r="AD212" s="544"/>
      <c r="AE212" s="544"/>
      <c r="AF212" s="544"/>
    </row>
    <row r="213" spans="1:32">
      <c r="A213" s="533"/>
      <c r="B213" s="534"/>
      <c r="C213" s="535"/>
      <c r="D213" s="12"/>
      <c r="E213" s="13"/>
      <c r="F213" s="14"/>
      <c r="G213" s="544"/>
      <c r="H213" s="544"/>
      <c r="I213" s="544"/>
      <c r="J213" s="544"/>
      <c r="K213" s="544"/>
      <c r="L213" s="544"/>
      <c r="M213" s="544"/>
      <c r="N213" s="544"/>
      <c r="O213" s="544"/>
      <c r="P213" s="544"/>
      <c r="Q213" s="544"/>
      <c r="R213" s="544"/>
      <c r="S213" s="544"/>
      <c r="T213" s="544"/>
      <c r="U213" s="544"/>
      <c r="V213" s="544"/>
      <c r="W213" s="544"/>
      <c r="X213" s="544"/>
      <c r="Y213" s="544"/>
      <c r="Z213" s="544"/>
      <c r="AA213" s="544"/>
      <c r="AB213" s="544"/>
      <c r="AC213" s="544"/>
      <c r="AD213" s="544"/>
      <c r="AE213" s="544"/>
      <c r="AF213" s="544"/>
    </row>
    <row r="214" spans="1:32">
      <c r="A214" s="533"/>
      <c r="B214" s="534"/>
      <c r="C214" s="535"/>
      <c r="D214" s="12"/>
      <c r="E214" s="13"/>
      <c r="F214" s="14"/>
      <c r="G214" s="544"/>
      <c r="H214" s="544"/>
      <c r="I214" s="544"/>
      <c r="J214" s="544"/>
      <c r="K214" s="544"/>
      <c r="L214" s="544"/>
      <c r="M214" s="544"/>
      <c r="N214" s="544"/>
      <c r="O214" s="544"/>
      <c r="P214" s="544"/>
      <c r="Q214" s="544"/>
      <c r="R214" s="544"/>
      <c r="S214" s="544"/>
      <c r="T214" s="544"/>
      <c r="U214" s="544"/>
      <c r="V214" s="544"/>
      <c r="W214" s="544"/>
      <c r="X214" s="544"/>
      <c r="Y214" s="544"/>
      <c r="Z214" s="544"/>
      <c r="AA214" s="544"/>
      <c r="AB214" s="544"/>
      <c r="AC214" s="544"/>
      <c r="AD214" s="544"/>
      <c r="AE214" s="544"/>
      <c r="AF214" s="544"/>
    </row>
    <row r="215" spans="1:32">
      <c r="A215" s="533"/>
      <c r="B215" s="534"/>
      <c r="C215" s="535"/>
      <c r="D215" s="12"/>
      <c r="E215" s="13"/>
      <c r="F215" s="14"/>
      <c r="G215" s="544"/>
      <c r="H215" s="544"/>
      <c r="I215" s="544"/>
      <c r="J215" s="544"/>
      <c r="K215" s="544"/>
      <c r="L215" s="544"/>
      <c r="M215" s="544"/>
      <c r="N215" s="544"/>
      <c r="O215" s="544"/>
      <c r="P215" s="544"/>
      <c r="Q215" s="544"/>
      <c r="R215" s="544"/>
      <c r="S215" s="544"/>
      <c r="T215" s="544"/>
      <c r="U215" s="544"/>
      <c r="V215" s="544"/>
      <c r="W215" s="544"/>
      <c r="X215" s="544"/>
      <c r="Y215" s="544"/>
      <c r="Z215" s="544"/>
      <c r="AA215" s="544"/>
      <c r="AB215" s="544"/>
      <c r="AC215" s="544"/>
      <c r="AD215" s="544"/>
      <c r="AE215" s="544"/>
      <c r="AF215" s="544"/>
    </row>
    <row r="216" spans="1:32">
      <c r="A216" s="533">
        <v>28</v>
      </c>
      <c r="B216" s="534" t="s">
        <v>1855</v>
      </c>
      <c r="C216" s="535"/>
      <c r="D216" s="12" t="s">
        <v>879</v>
      </c>
      <c r="E216" s="13">
        <v>2503</v>
      </c>
      <c r="F216" s="14" t="str">
        <f>VLOOKUP($E$216,[1]DATA_A11!$A$2:$FA$200, 3, FALSE)</f>
        <v>2503 Gross Fixed Capital Formation Public Administration</v>
      </c>
      <c r="G216" s="544">
        <f>IF(VLOOKUP($E$216,[1]DATA_A11!$A$2:$FA$200, 6, FALSE)="",":",VLOOKUP($E$216,[1]DATA_A11!$A$2:$FA$200, 6, FALSE))</f>
        <v>251.1005560704356</v>
      </c>
      <c r="H216" s="544">
        <f>IF(VLOOKUP($E$216,[1]DATA_A11!$A$2:$FA$200, 7, FALSE)="",":",VLOOKUP($E$216,[1]DATA_A11!$A$2:$FA$200, 7, FALSE))</f>
        <v>231.1167747914736</v>
      </c>
      <c r="I216" s="544">
        <f>IF(VLOOKUP($E$216,[1]DATA_A11!$A$2:$FA$200, 8, FALSE)="",":",VLOOKUP($E$216,[1]DATA_A11!$A$2:$FA$200, 8, FALSE))</f>
        <v>265.58155699721965</v>
      </c>
      <c r="J216" s="544">
        <f>IF(VLOOKUP($E$216,[1]DATA_A11!$A$2:$FA$200, 9, FALSE)="",":",VLOOKUP($E$216,[1]DATA_A11!$A$2:$FA$200, 9, FALSE))</f>
        <v>329.58758109360519</v>
      </c>
      <c r="K216" s="544">
        <f>IF(VLOOKUP($E$216,[1]DATA_A11!$A$2:$FA$197, 10, FALSE)="",":",VLOOKUP($E$216,[1]DATA_A11!$A$2:$FA$197, 10, FALSE))</f>
        <v>326.11214087117702</v>
      </c>
      <c r="L216" s="544">
        <f>IF(VLOOKUP($E$216,[1]DATA_A11!$A$2:$FA$197, 11, FALSE)="",":",VLOOKUP($E$216,[1]DATA_A11!$A$2:$FA$197, 11, FALSE))</f>
        <v>318.58202038924929</v>
      </c>
      <c r="M216" s="544">
        <f>IF(VLOOKUP($E$216,[1]DATA_A11!$A$2:$FA$197, 12, FALSE)="",":",VLOOKUP($E$216,[1]DATA_A11!$A$2:$FA$197, 12, FALSE))</f>
        <v>317.42354031510661</v>
      </c>
      <c r="N216" s="544">
        <f>IF(VLOOKUP($E$216,[1]DATA_A11!$A$2:$FA$197, 13, FALSE)="",":",VLOOKUP($E$216,[1]DATA_A11!$A$2:$FA$197, 13, FALSE))</f>
        <v>437.03660797034291</v>
      </c>
      <c r="O216" s="544">
        <f>IF(VLOOKUP($E$216,[1]DATA_A11!$A$2:$FA$197, 14, FALSE)="",":",VLOOKUP($E$216,[1]DATA_A11!$A$2:$FA$197, 14, FALSE))</f>
        <v>495.82947173308622</v>
      </c>
      <c r="P216" s="544">
        <f>IF(VLOOKUP($E$216,[1]DATA_A11!$A$2:$FA$197, 15, FALSE)="",":",VLOOKUP($E$216,[1]DATA_A11!$A$2:$FA$197, 15, FALSE))</f>
        <v>634.55746061167747</v>
      </c>
      <c r="Q216" s="544">
        <f>IF(VLOOKUP($E$216,[1]DATA_A11!$A$2:$FA$197, 16, FALSE)="",":",VLOOKUP($E$216,[1]DATA_A11!$A$2:$FA$197, 16, FALSE))</f>
        <v>836.53803651151475</v>
      </c>
      <c r="R216" s="544">
        <f>IF(VLOOKUP($E$216,[1]DATA_A11!$A$2:$FA$197, 17, FALSE)="",":",VLOOKUP($E$216,[1]DATA_A11!$A$2:$FA$197, 17, FALSE))</f>
        <v>1069.8689956331878</v>
      </c>
      <c r="S216" s="544">
        <f>IF(VLOOKUP($E$216,[1]DATA_A11!$A$2:$FA$197, 18, FALSE)="",":",VLOOKUP($E$216,[1]DATA_A11!$A$2:$FA$197, 18, FALSE))</f>
        <v>1504.1622811214236</v>
      </c>
      <c r="T216" s="544">
        <f>IF(VLOOKUP($E$216,[1]DATA_A11!$A$2:$FA$197, 19, FALSE)="",":",VLOOKUP($E$216,[1]DATA_A11!$A$2:$FA$197, 19, FALSE))</f>
        <v>1575.0922310971023</v>
      </c>
      <c r="U216" s="544">
        <f>IF(VLOOKUP($E$216,[1]DATA_A11!$A$2:$FA$197, 20, FALSE)="",":",VLOOKUP($E$216,[1]DATA_A11!$A$2:$FA$197, 20, FALSE))</f>
        <v>1151.1947639518221</v>
      </c>
      <c r="V216" s="544">
        <f>IF(VLOOKUP($E$216,[1]DATA_A11!$A$2:$FA$197, 21, FALSE)="",":",VLOOKUP($E$216,[1]DATA_A11!$A$2:$FA$197, 21, FALSE))</f>
        <v>1391</v>
      </c>
      <c r="W216" s="544">
        <f>IF(VLOOKUP($E$216,[1]DATA_A11!$A$2:$FA$197, 22, FALSE)="",":",VLOOKUP($E$216,[1]DATA_A11!$A$2:$FA$197, 22, FALSE))</f>
        <v>1452.7488286660052</v>
      </c>
      <c r="X216" s="544">
        <f>IF(VLOOKUP($E$216,[1]DATA_A11!$A$2:$FA$197, 23, FALSE)="",":",VLOOKUP($E$216,[1]DATA_A11!$A$2:$FA$197, 23, FALSE))</f>
        <v>1277.7767070749896</v>
      </c>
      <c r="Y216" s="544">
        <f>IF(VLOOKUP($E$216,[1]DATA_A11!$A$2:$FA$197, 24, FALSE)="",":",VLOOKUP($E$216,[1]DATA_A11!$A$2:$FA$197, 24, FALSE))</f>
        <v>1224.955783681605</v>
      </c>
      <c r="Z216" s="544">
        <f>IF(VLOOKUP($E$216,[1]DATA_A11!$A$2:$FA$197, 25, FALSE)="",":",VLOOKUP($E$216,[1]DATA_A11!$A$2:$FA$197, 25, FALSE))</f>
        <v>1186.8310777684246</v>
      </c>
      <c r="AA216" s="544">
        <f>IF(VLOOKUP($E$216,[1]DATA_A11!$A$2:$FA$197, 26, FALSE)="",":",VLOOKUP($E$216,[1]DATA_A11!$A$2:$FA$197, 26, FALSE))</f>
        <v>1256.9245113991626</v>
      </c>
      <c r="AB216" s="544">
        <f>IF(VLOOKUP($E$216,[1]DATA_A11!$A$2:$FA$197, 27, FALSE)="",":",VLOOKUP($E$216,[1]DATA_A11!$A$2:$FA$197, 27, FALSE))</f>
        <v>1051.5189619667233</v>
      </c>
      <c r="AC216" s="544" t="e">
        <f>IF(VLOOKUP($E$216,[1]DATA_A11!$A$2:$FA$197, 28, FALSE)="",":",VLOOKUP($E$216,[1]DATA_A11!$A$2:$FA$197, 28, FALSE))</f>
        <v>#VALUE!</v>
      </c>
      <c r="AD216" s="544" t="str">
        <f>IF(VLOOKUP($E$216,[1]DATA_A11!$A$2:$FA$197, 29, FALSE)="",":",VLOOKUP($E$216,[1]DATA_A11!$A$2:$FA$197, 29, FALSE))</f>
        <v>:</v>
      </c>
      <c r="AE216" s="544" t="str">
        <f>IF(VLOOKUP($E$216,[1]DATA_A11!$A$2:$FA$197, 30, FALSE)="",":",VLOOKUP($E$216,[1]DATA_A11!$A$2:$FA$197, 30, FALSE))</f>
        <v>:</v>
      </c>
      <c r="AF216" s="544" t="str">
        <f>IF(VLOOKUP($E$216,[1]DATA_A11!$A$2:$FA$197, 31, FALSE)="",":",VLOOKUP($E$216,[1]DATA_A11!$A$2:$FA$197, 31, FALSE))</f>
        <v>:</v>
      </c>
    </row>
    <row r="217" spans="1:32">
      <c r="A217" s="533"/>
      <c r="B217" s="534"/>
      <c r="C217" s="535"/>
      <c r="D217" s="12" t="s">
        <v>879</v>
      </c>
      <c r="E217" s="13">
        <v>2502</v>
      </c>
      <c r="F217" s="14" t="str">
        <f>VLOOKUP($E$217,[1]DATA_A11!$A$2:$FA$200, 3, FALSE)</f>
        <v>2502 Gross Fixed Capital Formation Households</v>
      </c>
      <c r="G217" s="544"/>
      <c r="H217" s="544"/>
      <c r="I217" s="544"/>
      <c r="J217" s="544"/>
      <c r="K217" s="544"/>
      <c r="L217" s="544"/>
      <c r="M217" s="544"/>
      <c r="N217" s="544"/>
      <c r="O217" s="544"/>
      <c r="P217" s="544"/>
      <c r="Q217" s="544"/>
      <c r="R217" s="544"/>
      <c r="S217" s="544"/>
      <c r="T217" s="544"/>
      <c r="U217" s="544"/>
      <c r="V217" s="544"/>
      <c r="W217" s="544"/>
      <c r="X217" s="544"/>
      <c r="Y217" s="544"/>
      <c r="Z217" s="544"/>
      <c r="AA217" s="544"/>
      <c r="AB217" s="544"/>
      <c r="AC217" s="544"/>
      <c r="AD217" s="544"/>
      <c r="AE217" s="544"/>
      <c r="AF217" s="544"/>
    </row>
    <row r="218" spans="1:32">
      <c r="A218" s="533"/>
      <c r="B218" s="534"/>
      <c r="C218" s="535"/>
      <c r="D218" s="12" t="s">
        <v>879</v>
      </c>
      <c r="E218" s="13">
        <v>2501</v>
      </c>
      <c r="F218" s="14" t="str">
        <f>VLOOKUP($E$218,[1]DATA_A11!$A$2:$FA$200, 3, FALSE)</f>
        <v>2501 Gross Fixed Capital Formation Corporations, Self-employed and NPISH</v>
      </c>
      <c r="G218" s="544"/>
      <c r="H218" s="544"/>
      <c r="I218" s="544"/>
      <c r="J218" s="544"/>
      <c r="K218" s="544"/>
      <c r="L218" s="544"/>
      <c r="M218" s="544"/>
      <c r="N218" s="544"/>
      <c r="O218" s="544"/>
      <c r="P218" s="544"/>
      <c r="Q218" s="544"/>
      <c r="R218" s="544"/>
      <c r="S218" s="544"/>
      <c r="T218" s="544"/>
      <c r="U218" s="544"/>
      <c r="V218" s="544"/>
      <c r="W218" s="544"/>
      <c r="X218" s="544"/>
      <c r="Y218" s="544"/>
      <c r="Z218" s="544"/>
      <c r="AA218" s="544"/>
      <c r="AB218" s="544"/>
      <c r="AC218" s="544"/>
      <c r="AD218" s="544"/>
      <c r="AE218" s="544"/>
      <c r="AF218" s="544"/>
    </row>
    <row r="219" spans="1:32">
      <c r="A219" s="533"/>
      <c r="B219" s="534"/>
      <c r="C219" s="535"/>
      <c r="D219" s="12"/>
      <c r="E219" s="13"/>
      <c r="F219" s="14"/>
      <c r="G219" s="544"/>
      <c r="H219" s="544"/>
      <c r="I219" s="544"/>
      <c r="J219" s="544"/>
      <c r="K219" s="544"/>
      <c r="L219" s="544"/>
      <c r="M219" s="544"/>
      <c r="N219" s="544"/>
      <c r="O219" s="544"/>
      <c r="P219" s="544"/>
      <c r="Q219" s="544"/>
      <c r="R219" s="544"/>
      <c r="S219" s="544"/>
      <c r="T219" s="544"/>
      <c r="U219" s="544"/>
      <c r="V219" s="544"/>
      <c r="W219" s="544"/>
      <c r="X219" s="544"/>
      <c r="Y219" s="544"/>
      <c r="Z219" s="544"/>
      <c r="AA219" s="544"/>
      <c r="AB219" s="544"/>
      <c r="AC219" s="544"/>
      <c r="AD219" s="544"/>
      <c r="AE219" s="544"/>
      <c r="AF219" s="544"/>
    </row>
    <row r="220" spans="1:32">
      <c r="A220" s="533"/>
      <c r="B220" s="534"/>
      <c r="C220" s="535"/>
      <c r="D220" s="12"/>
      <c r="E220" s="13"/>
      <c r="F220" s="14"/>
      <c r="G220" s="544"/>
      <c r="H220" s="544"/>
      <c r="I220" s="544"/>
      <c r="J220" s="544"/>
      <c r="K220" s="544"/>
      <c r="L220" s="544"/>
      <c r="M220" s="544"/>
      <c r="N220" s="544"/>
      <c r="O220" s="544"/>
      <c r="P220" s="544"/>
      <c r="Q220" s="544"/>
      <c r="R220" s="544"/>
      <c r="S220" s="544"/>
      <c r="T220" s="544"/>
      <c r="U220" s="544"/>
      <c r="V220" s="544"/>
      <c r="W220" s="544"/>
      <c r="X220" s="544"/>
      <c r="Y220" s="544"/>
      <c r="Z220" s="544"/>
      <c r="AA220" s="544"/>
      <c r="AB220" s="544"/>
      <c r="AC220" s="544"/>
      <c r="AD220" s="544"/>
      <c r="AE220" s="544"/>
      <c r="AF220" s="544"/>
    </row>
    <row r="221" spans="1:32">
      <c r="A221" s="533"/>
      <c r="B221" s="534"/>
      <c r="C221" s="535"/>
      <c r="D221" s="12"/>
      <c r="E221" s="13"/>
      <c r="F221" s="14"/>
      <c r="G221" s="544"/>
      <c r="H221" s="544"/>
      <c r="I221" s="544"/>
      <c r="J221" s="544"/>
      <c r="K221" s="544"/>
      <c r="L221" s="544"/>
      <c r="M221" s="544"/>
      <c r="N221" s="544"/>
      <c r="O221" s="544"/>
      <c r="P221" s="544"/>
      <c r="Q221" s="544"/>
      <c r="R221" s="544"/>
      <c r="S221" s="544"/>
      <c r="T221" s="544"/>
      <c r="U221" s="544"/>
      <c r="V221" s="544"/>
      <c r="W221" s="544"/>
      <c r="X221" s="544"/>
      <c r="Y221" s="544"/>
      <c r="Z221" s="544"/>
      <c r="AA221" s="544"/>
      <c r="AB221" s="544"/>
      <c r="AC221" s="544"/>
      <c r="AD221" s="544"/>
      <c r="AE221" s="544"/>
      <c r="AF221" s="544"/>
    </row>
    <row r="222" spans="1:32">
      <c r="A222" s="533">
        <v>79</v>
      </c>
      <c r="B222" s="534" t="s">
        <v>881</v>
      </c>
      <c r="C222" s="535"/>
      <c r="D222" s="12" t="s">
        <v>1076</v>
      </c>
      <c r="E222" s="13">
        <v>30</v>
      </c>
      <c r="F222" s="14" t="str">
        <f>VLOOKUP($E$222,[1]NN!$A$2:$FA$300, 3, FALSE)</f>
        <v>30  Employment - Total economy (National concept)</v>
      </c>
      <c r="G222" s="544" t="str">
        <f>IF(VLOOKUP($E$222,[1]NN!$A$2:$FA$300, 6, FALSE)="",":",VLOOKUP($E$222,[1]NN!$A$2:$FA$300, 6, FALSE))</f>
        <v>:</v>
      </c>
      <c r="H222" s="544" t="str">
        <f>IF(VLOOKUP($E$222,[1]NN!$A$2:$FA$300, 7, FALSE)="",":",VLOOKUP($E$222,[1]NN!$A$2:$FA$300, 7, FALSE))</f>
        <v>:</v>
      </c>
      <c r="I222" s="544" t="str">
        <f>IF(VLOOKUP($E$222,[1]NN!$A$2:$FA$300, 8, FALSE)="",":",VLOOKUP($E$222,[1]NN!$A$2:$FA$300, 8, FALSE))</f>
        <v>:</v>
      </c>
      <c r="J222" s="544" t="str">
        <f>IF(VLOOKUP($E$222,[1]NN!$A$2:$FA$300, 9, FALSE)="",":",VLOOKUP($E$222,[1]NN!$A$2:$FA$300, 9, FALSE))</f>
        <v>:</v>
      </c>
      <c r="K222" s="544" t="str">
        <f>IF(VLOOKUP($E$222,[1]NN!$A$2:$FA$300, 10, FALSE)="",":",VLOOKUP($E$222,[1]NN!$A$2:$FA$300, 10, FALSE))</f>
        <v>:</v>
      </c>
      <c r="L222" s="544">
        <f>IF(VLOOKUP($E$222,[1]NN!$A$2:$FA$300, 11, FALSE)="",":",VLOOKUP($E$222,[1]NN!$A$2:$FA$300, 11, FALSE))</f>
        <v>1402.75</v>
      </c>
      <c r="M222" s="544">
        <f>IF(VLOOKUP($E$222,[1]NN!$A$2:$FA$300, 12, FALSE)="",":",VLOOKUP($E$222,[1]NN!$A$2:$FA$300, 12, FALSE))</f>
        <v>1356.9</v>
      </c>
      <c r="N222" s="544">
        <f>IF(VLOOKUP($E$222,[1]NN!$A$2:$FA$300, 13, FALSE)="",":",VLOOKUP($E$222,[1]NN!$A$2:$FA$300, 13, FALSE))</f>
        <v>1410.93</v>
      </c>
      <c r="O222" s="544">
        <f>IF(VLOOKUP($E$222,[1]NN!$A$2:$FA$300, 14, FALSE)="",":",VLOOKUP($E$222,[1]NN!$A$2:$FA$300, 14, FALSE))</f>
        <v>1442.98</v>
      </c>
      <c r="P222" s="544">
        <f>IF(VLOOKUP($E$222,[1]NN!$A$2:$FA$300, 15, FALSE)="",":",VLOOKUP($E$222,[1]NN!$A$2:$FA$300, 15, FALSE))</f>
        <v>1425.33</v>
      </c>
      <c r="Q222" s="544">
        <f>IF(VLOOKUP($E$222,[1]NN!$A$2:$FA$300, 16, FALSE)="",":",VLOOKUP($E$222,[1]NN!$A$2:$FA$300, 16, FALSE))</f>
        <v>1437.75</v>
      </c>
      <c r="R222" s="544">
        <f>IF(VLOOKUP($E$222,[1]NN!$A$2:$FA$300, 17, FALSE)="",":",VLOOKUP($E$222,[1]NN!$A$2:$FA$300, 17, FALSE))</f>
        <v>1431.24</v>
      </c>
      <c r="S222" s="544">
        <f>IF(VLOOKUP($E$222,[1]NN!$A$2:$FA$300, 18, FALSE)="",":",VLOOKUP($E$222,[1]NN!$A$2:$FA$300, 18, FALSE))</f>
        <v>1454.24</v>
      </c>
      <c r="T222" s="544">
        <f>IF(VLOOKUP($E$222,[1]NN!$A$2:$FA$300, 19, FALSE)="",":",VLOOKUP($E$222,[1]NN!$A$2:$FA$300, 19, FALSE))</f>
        <v>1429.02</v>
      </c>
      <c r="U222" s="544">
        <f>IF(VLOOKUP($E$222,[1]NN!$A$2:$FA$300, 20, FALSE)="",":",VLOOKUP($E$222,[1]NN!$A$2:$FA$300, 20, FALSE))</f>
        <v>1318.32</v>
      </c>
      <c r="V222" s="544">
        <f>IF(VLOOKUP($E$222,[1]NN!$A$2:$FA$300, 21, FALSE)="",":",VLOOKUP($E$222,[1]NN!$A$2:$FA$300, 21, FALSE))</f>
        <v>1247.76</v>
      </c>
      <c r="W222" s="544">
        <f>IF(VLOOKUP($E$222,[1]NN!$A$2:$FA$300, 22, FALSE)="",":",VLOOKUP($E$222,[1]NN!$A$2:$FA$300, 22, FALSE))</f>
        <v>1253.5999999999999</v>
      </c>
      <c r="X222" s="544">
        <f>IF(VLOOKUP($E$222,[1]NN!$A$2:$FA$300, 23, FALSE)="",":",VLOOKUP($E$222,[1]NN!$A$2:$FA$300, 23, FALSE))</f>
        <v>1276</v>
      </c>
      <c r="Y222" s="544">
        <f>IF(VLOOKUP($E$222,[1]NN!$A$2:$FA$300, 24, FALSE)="",":",VLOOKUP($E$222,[1]NN!$A$2:$FA$300, 24, FALSE))</f>
        <v>1293.17</v>
      </c>
      <c r="Z222" s="544">
        <f>IF(VLOOKUP($E$222,[1]NN!$A$2:$FA$300, 25, FALSE)="",":",VLOOKUP($E$222,[1]NN!$A$2:$FA$300, 25, FALSE))</f>
        <v>1319.3</v>
      </c>
      <c r="AA222" s="544">
        <f>IF(VLOOKUP($E$222,[1]NN!$A$2:$FA$300, 26, FALSE)="",":",VLOOKUP($E$222,[1]NN!$A$2:$FA$300, 26, FALSE))</f>
        <v>1335.67</v>
      </c>
      <c r="AB222" s="544">
        <f>IF(VLOOKUP($E$222,[1]NN!$A$2:$FA$300, 27, FALSE)="",":",VLOOKUP($E$222,[1]NN!$A$2:$FA$300, 27, FALSE))</f>
        <v>1362.11</v>
      </c>
      <c r="AC222" s="544">
        <f>IF(VLOOKUP($E$222,[1]NN!$A$2:$FA$300, 28, FALSE)="",":",VLOOKUP($E$222,[1]NN!$A$2:$FA$300, 28, FALSE))</f>
        <v>1355.72</v>
      </c>
      <c r="AD222" s="544" t="str">
        <f>IF(VLOOKUP($E$222,[1]NN!$A$2:$FA$300, 29, FALSE)="",":",VLOOKUP($E$222,[1]NN!$A$2:$FA$300, 29, FALSE))</f>
        <v>:</v>
      </c>
      <c r="AE222" s="544" t="str">
        <f>IF(VLOOKUP($E$222,[1]NN!$A$2:$FA$300, 30, FALSE)="",":",VLOOKUP($E$222,[1]NN!$A$2:$FA$300, 30, FALSE))</f>
        <v>:</v>
      </c>
      <c r="AF222" s="544" t="str">
        <f>IF(VLOOKUP($E$222,[1]NN!$A$2:$FA$300, 31, FALSE)="",":",VLOOKUP($E$222,[1]NN!$A$2:$FA$300, 31, FALSE))</f>
        <v>:</v>
      </c>
    </row>
    <row r="223" spans="1:32">
      <c r="A223" s="533">
        <v>78</v>
      </c>
      <c r="B223" s="534" t="s">
        <v>620</v>
      </c>
      <c r="C223" s="535"/>
      <c r="D223" s="12" t="s">
        <v>879</v>
      </c>
      <c r="E223" s="13">
        <v>2402</v>
      </c>
      <c r="F223" s="14" t="str">
        <f>VLOOKUP($E$223,[1]DATA_A11!$A$2:$FA$200, 3, FALSE)</f>
        <v xml:space="preserve">2402 Unemployed persons   </v>
      </c>
      <c r="G223" s="544" t="str">
        <f>IF(VLOOKUP($E$223,[1]DATA_A11!$A$2:$FA$200, 6, FALSE)="",":",VLOOKUP($E$223,[1]DATA_A11!$A$2:$FA$200, 6, FALSE))</f>
        <v>:</v>
      </c>
      <c r="H223" s="544" t="str">
        <f>IF(VLOOKUP($E$223,[1]DATA_A11!$A$2:$FA$200, 7, FALSE)="",":",VLOOKUP($E$223,[1]DATA_A11!$A$2:$FA$200, 7, FALSE))</f>
        <v>:</v>
      </c>
      <c r="I223" s="544" t="str">
        <f>IF(VLOOKUP($E$223,[1]DATA_A11!$A$2:$FA$200, 8, FALSE)="",":",VLOOKUP($E$223,[1]DATA_A11!$A$2:$FA$200, 8, FALSE))</f>
        <v>:</v>
      </c>
      <c r="J223" s="544" t="str">
        <f>IF(VLOOKUP($E$223,[1]DATA_A11!$A$2:$FA$200, 9, FALSE)="",":",VLOOKUP($E$223,[1]DATA_A11!$A$2:$FA$200, 9, FALSE))</f>
        <v>:</v>
      </c>
      <c r="K223" s="544" t="str">
        <f>IF(VLOOKUP($E$223,[1]DATA_A11!$A$2:$FA$200, 10, FALSE)="",":",VLOOKUP($E$223,[1]DATA_A11!$A$2:$FA$200, 10, FALSE))</f>
        <v>:</v>
      </c>
      <c r="L223" s="544">
        <f>IF(VLOOKUP($E$223,[1]DATA_A11!$A$2:$FA$200, 11, FALSE)="",":",VLOOKUP($E$223,[1]DATA_A11!$A$2:$FA$200, 11, FALSE))</f>
        <v>274</v>
      </c>
      <c r="M223" s="544">
        <f>IF(VLOOKUP($E$223,[1]DATA_A11!$A$2:$FA$200, 12, FALSE)="",":",VLOOKUP($E$223,[1]DATA_A11!$A$2:$FA$200, 12, FALSE))</f>
        <v>284</v>
      </c>
      <c r="N223" s="544">
        <f>IF(VLOOKUP($E$223,[1]DATA_A11!$A$2:$FA$200, 13, FALSE)="",":",VLOOKUP($E$223,[1]DATA_A11!$A$2:$FA$200, 13, FALSE))</f>
        <v>224</v>
      </c>
      <c r="O223" s="544">
        <f>IF(VLOOKUP($E$223,[1]DATA_A11!$A$2:$FA$200, 14, FALSE)="",":",VLOOKUP($E$223,[1]DATA_A11!$A$2:$FA$200, 14, FALSE))</f>
        <v>204</v>
      </c>
      <c r="P223" s="544">
        <f>IF(VLOOKUP($E$223,[1]DATA_A11!$A$2:$FA$200, 15, FALSE)="",":",VLOOKUP($E$223,[1]DATA_A11!$A$2:$FA$200, 15, FALSE))</f>
        <v>173</v>
      </c>
      <c r="Q223" s="544">
        <f>IF(VLOOKUP($E$223,[1]DATA_A11!$A$2:$FA$200, 16, FALSE)="",":",VLOOKUP($E$223,[1]DATA_A11!$A$2:$FA$200, 16, FALSE))</f>
        <v>130</v>
      </c>
      <c r="R223" s="544">
        <f>IF(VLOOKUP($E$223,[1]DATA_A11!$A$2:$FA$200, 17, FALSE)="",":",VLOOKUP($E$223,[1]DATA_A11!$A$2:$FA$200, 17, FALSE))</f>
        <v>88</v>
      </c>
      <c r="S223" s="544">
        <f>IF(VLOOKUP($E$223,[1]DATA_A11!$A$2:$FA$200, 18, FALSE)="",":",VLOOKUP($E$223,[1]DATA_A11!$A$2:$FA$200, 18, FALSE))</f>
        <v>64</v>
      </c>
      <c r="T223" s="544">
        <f>IF(VLOOKUP($E$223,[1]DATA_A11!$A$2:$FA$200, 19, FALSE)="",":",VLOOKUP($E$223,[1]DATA_A11!$A$2:$FA$200, 19, FALSE))</f>
        <v>88</v>
      </c>
      <c r="U223" s="544">
        <f>IF(VLOOKUP($E$223,[1]DATA_A11!$A$2:$FA$200, 20, FALSE)="",":",VLOOKUP($E$223,[1]DATA_A11!$A$2:$FA$200, 20, FALSE))</f>
        <v>211</v>
      </c>
      <c r="V223" s="544">
        <f>IF(VLOOKUP($E$223,[1]DATA_A11!$A$2:$FA$200, 21, FALSE)="",":",VLOOKUP($E$223,[1]DATA_A11!$A$2:$FA$200, 21, FALSE))</f>
        <v>270</v>
      </c>
      <c r="W223" s="544">
        <f>IF(VLOOKUP($E$223,[1]DATA_A11!$A$2:$FA$200, 22, FALSE)="",":",VLOOKUP($E$223,[1]DATA_A11!$A$2:$FA$200, 22, FALSE))</f>
        <v>228</v>
      </c>
      <c r="X223" s="544">
        <f>IF(VLOOKUP($E$223,[1]DATA_A11!$A$2:$FA$200, 23, FALSE)="",":",VLOOKUP($E$223,[1]DATA_A11!$A$2:$FA$200, 23, FALSE))</f>
        <v>197</v>
      </c>
      <c r="Y223" s="544">
        <f>IF(VLOOKUP($E$223,[1]DATA_A11!$A$2:$FA$200, 24, FALSE)="",":",VLOOKUP($E$223,[1]DATA_A11!$A$2:$FA$200, 24, FALSE))</f>
        <v>172</v>
      </c>
      <c r="Z223" s="544">
        <f>IF(VLOOKUP($E$223,[1]DATA_A11!$A$2:$FA$200, 25, FALSE)="",":",VLOOKUP($E$223,[1]DATA_A11!$A$2:$FA$200, 25, FALSE))</f>
        <v>158</v>
      </c>
      <c r="AA223" s="544">
        <f>IF(VLOOKUP($E$223,[1]DATA_A11!$A$2:$FA$200, 26, FALSE)="",":",VLOOKUP($E$223,[1]DATA_A11!$A$2:$FA$200, 26, FALSE))</f>
        <v>134</v>
      </c>
      <c r="AB223" s="544">
        <f>IF(VLOOKUP($E$223,[1]DATA_A11!$A$2:$FA$200, 27, FALSE)="",":",VLOOKUP($E$223,[1]DATA_A11!$A$2:$FA$200, 27, FALSE))</f>
        <v>116</v>
      </c>
      <c r="AC223" s="544">
        <f>IF(VLOOKUP($E$223,[1]DATA_A11!$A$2:$FA$200, 28, FALSE)="",":",VLOOKUP($E$223,[1]DATA_A11!$A$2:$FA$200, 28, FALSE))</f>
        <v>103</v>
      </c>
      <c r="AD223" s="544" t="str">
        <f>IF(VLOOKUP($E$223,[1]DATA_A11!$A$2:$FA$200, 29, FALSE)="",":",VLOOKUP($E$223,[1]DATA_A11!$A$2:$FA$200, 29, FALSE))</f>
        <v>:</v>
      </c>
      <c r="AE223" s="544" t="str">
        <f>IF(VLOOKUP($E$223,[1]DATA_A11!$A$2:$FA$200, 30, FALSE)="",":",VLOOKUP($E$223,[1]DATA_A11!$A$2:$FA$200, 30, FALSE))</f>
        <v>:</v>
      </c>
      <c r="AF223" s="544" t="str">
        <f>IF(VLOOKUP($E$223,[1]DATA_A11!$A$2:$FA$200, 31, FALSE)="",":",VLOOKUP($E$223,[1]DATA_A11!$A$2:$FA$200, 31, FALSE))</f>
        <v>:</v>
      </c>
    </row>
    <row r="224" spans="1:32">
      <c r="A224" s="533">
        <v>85</v>
      </c>
      <c r="B224" s="534" t="s">
        <v>889</v>
      </c>
      <c r="C224" s="535"/>
      <c r="D224" s="12" t="s">
        <v>879</v>
      </c>
      <c r="E224" s="13">
        <v>2403</v>
      </c>
      <c r="F224" s="14" t="str">
        <f>VLOOKUP($E$224,[1]DATA_A11!$A$2:$FA$200, 3, FALSE)</f>
        <v>2403 Average annual hours worked per person employed</v>
      </c>
      <c r="G224" s="544">
        <f>IF(VLOOKUP($E$224,[1]DATA_A11!$A$2:$FA$200, 6, FALSE)="",":",VLOOKUP($E$224,[1]DATA_A11!$A$2:$FA$200, 6, FALSE))</f>
        <v>1729.3561604120878</v>
      </c>
      <c r="H224" s="544">
        <f>IF(VLOOKUP($E$224,[1]DATA_A11!$A$2:$FA$200, 7, FALSE)="",":",VLOOKUP($E$224,[1]DATA_A11!$A$2:$FA$200, 7, FALSE))</f>
        <v>1727.0403665925201</v>
      </c>
      <c r="I224" s="544">
        <f>IF(VLOOKUP($E$224,[1]DATA_A11!$A$2:$FA$200, 8, FALSE)="",":",VLOOKUP($E$224,[1]DATA_A11!$A$2:$FA$200, 8, FALSE))</f>
        <v>1732.6938883909304</v>
      </c>
      <c r="J224" s="544">
        <f>IF(VLOOKUP($E$224,[1]DATA_A11!$A$2:$FA$200, 9, FALSE)="",":",VLOOKUP($E$224,[1]DATA_A11!$A$2:$FA$200, 9, FALSE))</f>
        <v>1779.5935693254817</v>
      </c>
      <c r="K224" s="544">
        <f>IF(VLOOKUP($E$224,[1]DATA_A11!$A$2:$FA$200, 10, FALSE)="",":",VLOOKUP($E$224,[1]DATA_A11!$A$2:$FA$200, 10, FALSE))</f>
        <v>1726.0135615023025</v>
      </c>
      <c r="L224" s="544">
        <f>IF(VLOOKUP($E$224,[1]DATA_A11!$A$2:$FA$200, 11, FALSE)="",":",VLOOKUP($E$224,[1]DATA_A11!$A$2:$FA$200, 11, FALSE))</f>
        <v>1846.2277746410425</v>
      </c>
      <c r="M224" s="544">
        <f>IF(VLOOKUP($E$224,[1]DATA_A11!$A$2:$FA$200, 12, FALSE)="",":",VLOOKUP($E$224,[1]DATA_A11!$A$2:$FA$200, 12, FALSE))</f>
        <v>1831.2192363984873</v>
      </c>
      <c r="N224" s="544">
        <f>IF(VLOOKUP($E$224,[1]DATA_A11!$A$2:$FA$200, 13, FALSE)="",":",VLOOKUP($E$224,[1]DATA_A11!$A$2:$FA$200, 13, FALSE))</f>
        <v>1802.1709567786158</v>
      </c>
      <c r="O224" s="544">
        <f>IF(VLOOKUP($E$224,[1]DATA_A11!$A$2:$FA$200, 14, FALSE)="",":",VLOOKUP($E$224,[1]DATA_A11!$A$2:$FA$200, 14, FALSE))</f>
        <v>1785.8864635865639</v>
      </c>
      <c r="P224" s="544">
        <f>IF(VLOOKUP($E$224,[1]DATA_A11!$A$2:$FA$200, 15, FALSE)="",":",VLOOKUP($E$224,[1]DATA_A11!$A$2:$FA$200, 15, FALSE))</f>
        <v>1878.5560953123895</v>
      </c>
      <c r="Q224" s="544">
        <f>IF(VLOOKUP($E$224,[1]DATA_A11!$A$2:$FA$200, 16, FALSE)="",":",VLOOKUP($E$224,[1]DATA_A11!$A$2:$FA$200, 16, FALSE))</f>
        <v>1878.9719508418264</v>
      </c>
      <c r="R224" s="544">
        <f>IF(VLOOKUP($E$224,[1]DATA_A11!$A$2:$FA$200, 17, FALSE)="",":",VLOOKUP($E$224,[1]DATA_A11!$A$2:$FA$200, 17, FALSE))</f>
        <v>1874.210342733679</v>
      </c>
      <c r="S224" s="544">
        <f>IF(VLOOKUP($E$224,[1]DATA_A11!$A$2:$FA$200, 18, FALSE)="",":",VLOOKUP($E$224,[1]DATA_A11!$A$2:$FA$200, 18, FALSE))</f>
        <v>1903.756480341005</v>
      </c>
      <c r="T224" s="544">
        <f>IF(VLOOKUP($E$224,[1]DATA_A11!$A$2:$FA$200, 19, FALSE)="",":",VLOOKUP($E$224,[1]DATA_A11!$A$2:$FA$200, 19, FALSE))</f>
        <v>1933.5712472564849</v>
      </c>
      <c r="U224" s="544">
        <f>IF(VLOOKUP($E$224,[1]DATA_A11!$A$2:$FA$200, 20, FALSE)="",":",VLOOKUP($E$224,[1]DATA_A11!$A$2:$FA$200, 20, FALSE))</f>
        <v>1862.9436540550396</v>
      </c>
      <c r="V224" s="544">
        <f>IF(VLOOKUP($E$224,[1]DATA_A11!$A$2:$FA$200, 21, FALSE)="",":",VLOOKUP($E$224,[1]DATA_A11!$A$2:$FA$200, 21, FALSE))</f>
        <v>1884.2864281302889</v>
      </c>
      <c r="W224" s="544">
        <f>IF(VLOOKUP($E$224,[1]DATA_A11!$A$2:$FA$200, 22, FALSE)="",":",VLOOKUP($E$224,[1]DATA_A11!$A$2:$FA$200, 22, FALSE))</f>
        <v>1858.872722918496</v>
      </c>
      <c r="X224" s="544">
        <f>IF(VLOOKUP($E$224,[1]DATA_A11!$A$2:$FA$200, 23, FALSE)="",":",VLOOKUP($E$224,[1]DATA_A11!$A$2:$FA$200, 23, FALSE))</f>
        <v>1857.2941720919287</v>
      </c>
      <c r="Y224" s="544">
        <f>IF(VLOOKUP($E$224,[1]DATA_A11!$A$2:$FA$200, 24, FALSE)="",":",VLOOKUP($E$224,[1]DATA_A11!$A$2:$FA$200, 24, FALSE))</f>
        <v>1841.2473275588477</v>
      </c>
      <c r="Z224" s="544">
        <f>IF(VLOOKUP($E$224,[1]DATA_A11!$A$2:$FA$200, 25, FALSE)="",":",VLOOKUP($E$224,[1]DATA_A11!$A$2:$FA$200, 25, FALSE))</f>
        <v>1833.5296135254705</v>
      </c>
      <c r="AA224" s="544">
        <f>IF(VLOOKUP($E$224,[1]DATA_A11!$A$2:$FA$200, 26, FALSE)="",":",VLOOKUP($E$224,[1]DATA_A11!$A$2:$FA$200, 26, FALSE))</f>
        <v>1859.4973814928862</v>
      </c>
      <c r="AB224" s="544">
        <f>IF(VLOOKUP($E$224,[1]DATA_A11!$A$2:$FA$200, 27, FALSE)="",":",VLOOKUP($E$224,[1]DATA_A11!$A$2:$FA$200, 27, FALSE))</f>
        <v>1885.0091242350554</v>
      </c>
      <c r="AC224" s="544">
        <f>IF(VLOOKUP($E$224,[1]DATA_A11!$A$2:$FA$200, 28, FALSE)="",":",VLOOKUP($E$224,[1]DATA_A11!$A$2:$FA$200, 28, FALSE))</f>
        <v>1844.0169040919868</v>
      </c>
      <c r="AD224" s="544" t="str">
        <f>IF(VLOOKUP($E$224,[1]DATA_A11!$A$2:$FA$200, 29, FALSE)="",":",VLOOKUP($E$224,[1]DATA_A11!$A$2:$FA$200, 29, FALSE))</f>
        <v>:</v>
      </c>
      <c r="AE224" s="544" t="str">
        <f>IF(VLOOKUP($E$224,[1]DATA_A11!$A$2:$FA$200, 30, FALSE)="",":",VLOOKUP($E$224,[1]DATA_A11!$A$2:$FA$200, 30, FALSE))</f>
        <v>:</v>
      </c>
      <c r="AF224" s="544" t="str">
        <f>IF(VLOOKUP($E$224,[1]DATA_A11!$A$2:$FA$200, 31, FALSE)="",":",VLOOKUP($E$224,[1]DATA_A11!$A$2:$FA$200, 31, FALSE))</f>
        <v>:</v>
      </c>
    </row>
    <row r="225" spans="1:32">
      <c r="A225" s="533"/>
      <c r="B225" s="534"/>
      <c r="C225" s="535"/>
      <c r="D225" s="12"/>
      <c r="E225" s="13"/>
      <c r="F225" s="14"/>
      <c r="G225" s="544"/>
      <c r="H225" s="544"/>
      <c r="I225" s="544"/>
      <c r="J225" s="544"/>
      <c r="K225" s="544"/>
      <c r="L225" s="544"/>
      <c r="M225" s="544"/>
      <c r="N225" s="544"/>
      <c r="O225" s="544"/>
      <c r="P225" s="544"/>
      <c r="Q225" s="544"/>
      <c r="R225" s="544"/>
      <c r="S225" s="544"/>
      <c r="T225" s="544"/>
      <c r="U225" s="544"/>
      <c r="V225" s="544"/>
      <c r="W225" s="544"/>
      <c r="X225" s="544"/>
      <c r="Y225" s="544"/>
      <c r="Z225" s="544"/>
      <c r="AA225" s="544"/>
      <c r="AB225" s="544"/>
      <c r="AC225" s="544"/>
      <c r="AD225" s="544"/>
      <c r="AE225" s="544"/>
      <c r="AF225" s="544"/>
    </row>
    <row r="226" spans="1:32">
      <c r="A226" s="533"/>
      <c r="B226" s="534"/>
      <c r="C226" s="535"/>
      <c r="D226" s="12"/>
      <c r="E226" s="13"/>
      <c r="F226" s="14"/>
      <c r="G226" s="544"/>
      <c r="H226" s="544"/>
      <c r="I226" s="544"/>
      <c r="J226" s="544"/>
      <c r="K226" s="544"/>
      <c r="L226" s="544"/>
      <c r="M226" s="544"/>
      <c r="N226" s="544"/>
      <c r="O226" s="544"/>
      <c r="P226" s="544"/>
      <c r="Q226" s="544"/>
      <c r="R226" s="544"/>
      <c r="S226" s="544"/>
      <c r="T226" s="544"/>
      <c r="U226" s="544"/>
      <c r="V226" s="544"/>
      <c r="W226" s="544"/>
      <c r="X226" s="544"/>
      <c r="Y226" s="544"/>
      <c r="Z226" s="544"/>
      <c r="AA226" s="544"/>
      <c r="AB226" s="544"/>
      <c r="AC226" s="544"/>
      <c r="AD226" s="544"/>
      <c r="AE226" s="544"/>
      <c r="AF226" s="544"/>
    </row>
    <row r="227" spans="1:32">
      <c r="A227" s="533"/>
      <c r="B227" s="534"/>
      <c r="C227" s="535"/>
      <c r="D227" s="12"/>
      <c r="E227" s="13"/>
      <c r="F227" s="14"/>
      <c r="G227" s="544"/>
      <c r="H227" s="544"/>
      <c r="I227" s="544"/>
      <c r="J227" s="544"/>
      <c r="K227" s="544"/>
      <c r="L227" s="544"/>
      <c r="M227" s="544"/>
      <c r="N227" s="544"/>
      <c r="O227" s="544"/>
      <c r="P227" s="544"/>
      <c r="Q227" s="544"/>
      <c r="R227" s="544"/>
      <c r="S227" s="544"/>
      <c r="T227" s="544"/>
      <c r="U227" s="544"/>
      <c r="V227" s="544"/>
      <c r="W227" s="544"/>
      <c r="X227" s="544"/>
      <c r="Y227" s="544"/>
      <c r="Z227" s="544"/>
      <c r="AA227" s="544"/>
      <c r="AB227" s="544"/>
      <c r="AC227" s="544"/>
      <c r="AD227" s="544"/>
      <c r="AE227" s="544"/>
      <c r="AF227" s="544"/>
    </row>
    <row r="228" spans="1:32">
      <c r="A228" s="533">
        <v>62</v>
      </c>
      <c r="B228" s="534" t="s">
        <v>880</v>
      </c>
      <c r="C228" s="535"/>
      <c r="D228" s="12" t="s">
        <v>879</v>
      </c>
      <c r="E228" s="13">
        <v>2701</v>
      </c>
      <c r="F228" s="14" t="str">
        <f>VLOOKUP($E$228,[1]DATA_A11!$A$2:$FA$300, 3, FALSE)</f>
        <v>2701 Wages and salaries</v>
      </c>
      <c r="G228" s="544">
        <f>IF(VLOOKUP($E$228,[1]DATA_A11!$A$2:$FA$300, 6, FALSE)="",":",VLOOKUP($E$228,[1]DATA_A11!$A$2:$FA$300, 6, FALSE))</f>
        <v>2358.6654309545875</v>
      </c>
      <c r="H228" s="544">
        <f>IF(VLOOKUP($E$228,[1]DATA_A11!$A$2:$FA$300, 7, FALSE)="",":",VLOOKUP($E$228,[1]DATA_A11!$A$2:$FA$300, 7, FALSE))</f>
        <v>2967.4467099165895</v>
      </c>
      <c r="I228" s="544">
        <f>IF(VLOOKUP($E$228,[1]DATA_A11!$A$2:$FA$300, 8, FALSE)="",":",VLOOKUP($E$228,[1]DATA_A11!$A$2:$FA$300, 8, FALSE))</f>
        <v>3586.654309545876</v>
      </c>
      <c r="J228" s="544">
        <f>IF(VLOOKUP($E$228,[1]DATA_A11!$A$2:$FA$300, 9, FALSE)="",":",VLOOKUP($E$228,[1]DATA_A11!$A$2:$FA$300, 9, FALSE))</f>
        <v>4281.1631139944393</v>
      </c>
      <c r="K228" s="544">
        <f>IF(VLOOKUP($E$228,[1]DATA_A11!$A$2:$FA$300, 10, FALSE)="",":",VLOOKUP($E$228,[1]DATA_A11!$A$2:$FA$300, 10, FALSE))</f>
        <v>4328.6607970342911</v>
      </c>
      <c r="L228" s="544">
        <f>IF(VLOOKUP($E$228,[1]DATA_A11!$A$2:$FA$300, 11, FALSE)="",":",VLOOKUP($E$228,[1]DATA_A11!$A$2:$FA$300, 11, FALSE))</f>
        <v>4094.3582020389249</v>
      </c>
      <c r="M228" s="544">
        <f>IF(VLOOKUP($E$228,[1]DATA_A11!$A$2:$FA$300, 12, FALSE)="",":",VLOOKUP($E$228,[1]DATA_A11!$A$2:$FA$300, 12, FALSE))</f>
        <v>4229.0315106580165</v>
      </c>
      <c r="N228" s="544">
        <f>IF(VLOOKUP($E$228,[1]DATA_A11!$A$2:$FA$300, 13, FALSE)="",":",VLOOKUP($E$228,[1]DATA_A11!$A$2:$FA$300, 13, FALSE))</f>
        <v>4632.4721964782211</v>
      </c>
      <c r="O228" s="544">
        <f>IF(VLOOKUP($E$228,[1]DATA_A11!$A$2:$FA$300, 14, FALSE)="",":",VLOOKUP($E$228,[1]DATA_A11!$A$2:$FA$300, 14, FALSE))</f>
        <v>5169.4277108433735</v>
      </c>
      <c r="P228" s="544">
        <f>IF(VLOOKUP($E$228,[1]DATA_A11!$A$2:$FA$300, 15, FALSE)="",":",VLOOKUP($E$228,[1]DATA_A11!$A$2:$FA$300, 15, FALSE))</f>
        <v>5833.5264133456903</v>
      </c>
      <c r="Q228" s="544">
        <f>IF(VLOOKUP($E$228,[1]DATA_A11!$A$2:$FA$300, 16, FALSE)="",":",VLOOKUP($E$228,[1]DATA_A11!$A$2:$FA$300, 16, FALSE))</f>
        <v>6757</v>
      </c>
      <c r="R228" s="544">
        <f>IF(VLOOKUP($E$228,[1]DATA_A11!$A$2:$FA$300, 17, FALSE)="",":",VLOOKUP($E$228,[1]DATA_A11!$A$2:$FA$300, 17, FALSE))</f>
        <v>8134</v>
      </c>
      <c r="S228" s="544">
        <f>IF(VLOOKUP($E$228,[1]DATA_A11!$A$2:$FA$300, 18, FALSE)="",":",VLOOKUP($E$228,[1]DATA_A11!$A$2:$FA$300, 18, FALSE))</f>
        <v>9664</v>
      </c>
      <c r="T228" s="544">
        <f>IF(VLOOKUP($E$228,[1]DATA_A11!$A$2:$FA$300, 19, FALSE)="",":",VLOOKUP($E$228,[1]DATA_A11!$A$2:$FA$300, 19, FALSE))</f>
        <v>11188</v>
      </c>
      <c r="U228" s="544">
        <f>IF(VLOOKUP($E$228,[1]DATA_A11!$A$2:$FA$300, 20, FALSE)="",":",VLOOKUP($E$228,[1]DATA_A11!$A$2:$FA$300, 20, FALSE))</f>
        <v>9320</v>
      </c>
      <c r="V228" s="544">
        <f>IF(VLOOKUP($E$228,[1]DATA_A11!$A$2:$FA$300, 21, FALSE)="",":",VLOOKUP($E$228,[1]DATA_A11!$A$2:$FA$300, 21, FALSE))</f>
        <v>9051</v>
      </c>
      <c r="W228" s="544">
        <f>IF(VLOOKUP($E$228,[1]DATA_A11!$A$2:$FA$300, 22, FALSE)="",":",VLOOKUP($E$228,[1]DATA_A11!$A$2:$FA$300, 22, FALSE))</f>
        <v>9691</v>
      </c>
      <c r="X228" s="544">
        <f>IF(VLOOKUP($E$228,[1]DATA_A11!$A$2:$FA$300, 23, FALSE)="",":",VLOOKUP($E$228,[1]DATA_A11!$A$2:$FA$300, 23, FALSE))</f>
        <v>10258</v>
      </c>
      <c r="Y228" s="544">
        <f>IF(VLOOKUP($E$228,[1]DATA_A11!$A$2:$FA$300, 24, FALSE)="",":",VLOOKUP($E$228,[1]DATA_A11!$A$2:$FA$300, 24, FALSE))</f>
        <v>10834</v>
      </c>
      <c r="Z228" s="544">
        <f>IF(VLOOKUP($E$228,[1]DATA_A11!$A$2:$FA$300, 25, FALSE)="",":",VLOOKUP($E$228,[1]DATA_A11!$A$2:$FA$300, 25, FALSE))</f>
        <v>11517</v>
      </c>
      <c r="AA228" s="544">
        <f>IF(VLOOKUP($E$228,[1]DATA_A11!$A$2:$FA$300, 26, FALSE)="",":",VLOOKUP($E$228,[1]DATA_A11!$A$2:$FA$300, 26, FALSE))</f>
        <v>12309</v>
      </c>
      <c r="AB228" s="544">
        <f>IF(VLOOKUP($E$228,[1]DATA_A11!$A$2:$FA$300, 27, FALSE)="",":",VLOOKUP($E$228,[1]DATA_A11!$A$2:$FA$300, 27, FALSE))</f>
        <v>13289</v>
      </c>
      <c r="AC228" s="544" t="str">
        <f>IF(VLOOKUP($E$228,[1]DATA_A11!$A$2:$FA$300, 28, FALSE)="",":",VLOOKUP($E$228,[1]DATA_A11!$A$2:$FA$300, 28, FALSE))</f>
        <v>n.a.</v>
      </c>
      <c r="AD228" s="544" t="str">
        <f>IF(VLOOKUP($E$228,[1]DATA_A11!$A$2:$FA$300, 29, FALSE)="",":",VLOOKUP($E$228,[1]DATA_A11!$A$2:$FA$300, 29, FALSE))</f>
        <v>:</v>
      </c>
      <c r="AE228" s="544" t="str">
        <f>IF(VLOOKUP($E$228,[1]DATA_A11!$A$2:$FA$300, 30, FALSE)="",":",VLOOKUP($E$228,[1]DATA_A11!$A$2:$FA$300, 30, FALSE))</f>
        <v>:</v>
      </c>
      <c r="AF228" s="544" t="str">
        <f>IF(VLOOKUP($E$228,[1]DATA_A11!$A$2:$FA$300, 31, FALSE)="",":",VLOOKUP($E$228,[1]DATA_A11!$A$2:$FA$300, 31, FALSE))</f>
        <v>:</v>
      </c>
    </row>
    <row r="229" spans="1:32">
      <c r="A229" s="1954"/>
      <c r="B229" s="534" t="s">
        <v>882</v>
      </c>
      <c r="C229" s="535" t="s">
        <v>890</v>
      </c>
      <c r="D229" s="12" t="s">
        <v>879</v>
      </c>
      <c r="E229" s="13">
        <v>2702</v>
      </c>
      <c r="F229" s="14" t="str">
        <f>VLOOKUP($E$229,[1]DATA_A11!$A$2:$FA$200, 3, FALSE)</f>
        <v>2702 Compensation of employees (paid by ROW)</v>
      </c>
      <c r="G229" s="544">
        <f>IF(VLOOKUP($E$229,[1]DATA_A11!$A$2:$FA$200, 6, FALSE)="",":",VLOOKUP($E$229,[1]DATA_A11!$A$2:$FA$200, 6, FALSE))</f>
        <v>0</v>
      </c>
      <c r="H229" s="544">
        <f>IF(VLOOKUP($E$229,[1]DATA_A11!$A$2:$FA$200, 7, FALSE)="",":",VLOOKUP($E$229,[1]DATA_A11!$A$2:$FA$200, 7, FALSE))</f>
        <v>0.8688600556070436</v>
      </c>
      <c r="I229" s="544">
        <f>IF(VLOOKUP($E$229,[1]DATA_A11!$A$2:$FA$200, 8, FALSE)="",":",VLOOKUP($E$229,[1]DATA_A11!$A$2:$FA$200, 8, FALSE))</f>
        <v>1.1584800741427248</v>
      </c>
      <c r="J229" s="544">
        <f>IF(VLOOKUP($E$229,[1]DATA_A11!$A$2:$FA$200, 9, FALSE)="",":",VLOOKUP($E$229,[1]DATA_A11!$A$2:$FA$200, 9, FALSE))</f>
        <v>1.7377201112140872</v>
      </c>
      <c r="K229" s="544">
        <f>IF(VLOOKUP($E$229,[1]DATA_A11!$A$2:$FA$200, 10, FALSE)="",":",VLOOKUP($E$229,[1]DATA_A11!$A$2:$FA$200, 10, FALSE))</f>
        <v>1.7377201112140872</v>
      </c>
      <c r="L229" s="544">
        <f>IF(VLOOKUP($E$229,[1]DATA_A11!$A$2:$FA$200, 11, FALSE)="",":",VLOOKUP($E$229,[1]DATA_A11!$A$2:$FA$200, 11, FALSE))</f>
        <v>55.317423540315112</v>
      </c>
      <c r="M229" s="544">
        <f>IF(VLOOKUP($E$229,[1]DATA_A11!$A$2:$FA$200, 12, FALSE)="",":",VLOOKUP($E$229,[1]DATA_A11!$A$2:$FA$200, 12, FALSE))</f>
        <v>88.044485634847078</v>
      </c>
      <c r="N229" s="544">
        <f>IF(VLOOKUP($E$229,[1]DATA_A11!$A$2:$FA$200, 13, FALSE)="",":",VLOOKUP($E$229,[1]DATA_A11!$A$2:$FA$200, 13, FALSE))</f>
        <v>116.13762743280816</v>
      </c>
      <c r="O229" s="544">
        <f>IF(VLOOKUP($E$229,[1]DATA_A11!$A$2:$FA$200, 14, FALSE)="",":",VLOOKUP($E$229,[1]DATA_A11!$A$2:$FA$200, 14, FALSE))</f>
        <v>93.547265987025028</v>
      </c>
      <c r="P229" s="544">
        <f>IF(VLOOKUP($E$229,[1]DATA_A11!$A$2:$FA$200, 15, FALSE)="",":",VLOOKUP($E$229,[1]DATA_A11!$A$2:$FA$200, 15, FALSE))</f>
        <v>174.93049119555144</v>
      </c>
      <c r="Q229" s="544">
        <f>IF(VLOOKUP($E$229,[1]DATA_A11!$A$2:$FA$200, 16, FALSE)="",":",VLOOKUP($E$229,[1]DATA_A11!$A$2:$FA$200, 16, FALSE))</f>
        <v>238</v>
      </c>
      <c r="R229" s="544">
        <f>IF(VLOOKUP($E$229,[1]DATA_A11!$A$2:$FA$200, 17, FALSE)="",":",VLOOKUP($E$229,[1]DATA_A11!$A$2:$FA$200, 17, FALSE))</f>
        <v>263</v>
      </c>
      <c r="S229" s="544">
        <f>IF(VLOOKUP($E$229,[1]DATA_A11!$A$2:$FA$200, 18, FALSE)="",":",VLOOKUP($E$229,[1]DATA_A11!$A$2:$FA$200, 18, FALSE))</f>
        <v>251</v>
      </c>
      <c r="T229" s="544">
        <f>IF(VLOOKUP($E$229,[1]DATA_A11!$A$2:$FA$200, 19, FALSE)="",":",VLOOKUP($E$229,[1]DATA_A11!$A$2:$FA$200, 19, FALSE))</f>
        <v>173</v>
      </c>
      <c r="U229" s="544">
        <f>IF(VLOOKUP($E$229,[1]DATA_A11!$A$2:$FA$200, 20, FALSE)="",":",VLOOKUP($E$229,[1]DATA_A11!$A$2:$FA$200, 20, FALSE))</f>
        <v>152</v>
      </c>
      <c r="V229" s="544">
        <f>IF(VLOOKUP($E$229,[1]DATA_A11!$A$2:$FA$200, 21, FALSE)="",":",VLOOKUP($E$229,[1]DATA_A11!$A$2:$FA$200, 21, FALSE))</f>
        <v>243</v>
      </c>
      <c r="W229" s="544">
        <f>IF(VLOOKUP($E$229,[1]DATA_A11!$A$2:$FA$200, 22, FALSE)="",":",VLOOKUP($E$229,[1]DATA_A11!$A$2:$FA$200, 22, FALSE))</f>
        <v>216</v>
      </c>
      <c r="X229" s="544">
        <f>IF(VLOOKUP($E$229,[1]DATA_A11!$A$2:$FA$200, 23, FALSE)="",":",VLOOKUP($E$229,[1]DATA_A11!$A$2:$FA$200, 23, FALSE))</f>
        <v>127</v>
      </c>
      <c r="Y229" s="544">
        <f>IF(VLOOKUP($E$229,[1]DATA_A11!$A$2:$FA$200, 24, FALSE)="",":",VLOOKUP($E$229,[1]DATA_A11!$A$2:$FA$200, 24, FALSE))</f>
        <v>149</v>
      </c>
      <c r="Z229" s="544">
        <f>IF(VLOOKUP($E$229,[1]DATA_A11!$A$2:$FA$200, 25, FALSE)="",":",VLOOKUP($E$229,[1]DATA_A11!$A$2:$FA$200, 25, FALSE))</f>
        <v>102</v>
      </c>
      <c r="AA229" s="544">
        <f>IF(VLOOKUP($E$229,[1]DATA_A11!$A$2:$FA$200, 26, FALSE)="",":",VLOOKUP($E$229,[1]DATA_A11!$A$2:$FA$200, 26, FALSE))</f>
        <v>92</v>
      </c>
      <c r="AB229" s="544">
        <f>IF(VLOOKUP($E$229,[1]DATA_A11!$A$2:$FA$200, 27, FALSE)="",":",VLOOKUP($E$229,[1]DATA_A11!$A$2:$FA$200, 27, FALSE))</f>
        <v>55</v>
      </c>
      <c r="AC229" s="544" t="str">
        <f>IF(VLOOKUP($E$229,[1]DATA_A11!$A$2:$FA$200, 28, FALSE)="",":",VLOOKUP($E$229,[1]DATA_A11!$A$2:$FA$200, 28, FALSE))</f>
        <v>n.a.</v>
      </c>
      <c r="AD229" s="544" t="str">
        <f>IF(VLOOKUP($E$229,[1]DATA_A11!$A$2:$FA$200, 29, FALSE)="",":",VLOOKUP($E$229,[1]DATA_A11!$A$2:$FA$200, 29, FALSE))</f>
        <v>:</v>
      </c>
      <c r="AE229" s="544" t="str">
        <f>IF(VLOOKUP($E$229,[1]DATA_A11!$A$2:$FA$200, 30, FALSE)="",":",VLOOKUP($E$229,[1]DATA_A11!$A$2:$FA$200, 30, FALSE))</f>
        <v>:</v>
      </c>
      <c r="AF229" s="544" t="str">
        <f>IF(VLOOKUP($E$229,[1]DATA_A11!$A$2:$FA$200, 31, FALSE)="",":",VLOOKUP($E$229,[1]DATA_A11!$A$2:$FA$200, 31, FALSE))</f>
        <v>:</v>
      </c>
    </row>
    <row r="230" spans="1:32">
      <c r="A230" s="1954"/>
      <c r="B230" s="534" t="s">
        <v>883</v>
      </c>
      <c r="C230" s="535" t="s">
        <v>891</v>
      </c>
      <c r="D230" s="12" t="s">
        <v>879</v>
      </c>
      <c r="E230" s="13">
        <v>2703</v>
      </c>
      <c r="F230" s="14" t="str">
        <f>VLOOKUP($E$230,[1]DATA_A11!$A$2:$FA$200, 3, FALSE)</f>
        <v>2703 Compensation of employees (received by RoW)</v>
      </c>
      <c r="G230" s="544">
        <f>IF(VLOOKUP($E$230,[1]DATA_A11!$A$2:$FA$200, 6, FALSE)="",":",VLOOKUP($E$230,[1]DATA_A11!$A$2:$FA$200, 6, FALSE))</f>
        <v>0.5792400370713624</v>
      </c>
      <c r="H230" s="544">
        <f>IF(VLOOKUP($E$230,[1]DATA_A11!$A$2:$FA$200, 7, FALSE)="",":",VLOOKUP($E$230,[1]DATA_A11!$A$2:$FA$200, 7, FALSE))</f>
        <v>37.360982391102873</v>
      </c>
      <c r="I230" s="544">
        <f>IF(VLOOKUP($E$230,[1]DATA_A11!$A$2:$FA$200, 8, FALSE)="",":",VLOOKUP($E$230,[1]DATA_A11!$A$2:$FA$200, 8, FALSE))</f>
        <v>66.033364226135319</v>
      </c>
      <c r="J230" s="544">
        <f>IF(VLOOKUP($E$230,[1]DATA_A11!$A$2:$FA$200, 9, FALSE)="",":",VLOOKUP($E$230,[1]DATA_A11!$A$2:$FA$200, 9, FALSE))</f>
        <v>71.536144578313255</v>
      </c>
      <c r="K230" s="544">
        <f>IF(VLOOKUP($E$230,[1]DATA_A11!$A$2:$FA$200, 10, FALSE)="",":",VLOOKUP($E$230,[1]DATA_A11!$A$2:$FA$200, 10, FALSE))</f>
        <v>52.131603336422614</v>
      </c>
      <c r="L230" s="544">
        <f>IF(VLOOKUP($E$230,[1]DATA_A11!$A$2:$FA$200, 11, FALSE)="",":",VLOOKUP($E$230,[1]DATA_A11!$A$2:$FA$200, 11, FALSE))</f>
        <v>42.574142724745137</v>
      </c>
      <c r="M230" s="544">
        <f>IF(VLOOKUP($E$230,[1]DATA_A11!$A$2:$FA$200, 12, FALSE)="",":",VLOOKUP($E$230,[1]DATA_A11!$A$2:$FA$200, 12, FALSE))</f>
        <v>32.727062094531973</v>
      </c>
      <c r="N230" s="544">
        <f>IF(VLOOKUP($E$230,[1]DATA_A11!$A$2:$FA$200, 13, FALSE)="",":",VLOOKUP($E$230,[1]DATA_A11!$A$2:$FA$200, 13, FALSE))</f>
        <v>48.945783132530124</v>
      </c>
      <c r="O230" s="544">
        <f>IF(VLOOKUP($E$230,[1]DATA_A11!$A$2:$FA$200, 14, FALSE)="",":",VLOOKUP($E$230,[1]DATA_A11!$A$2:$FA$200, 14, FALSE))</f>
        <v>46.628822984244671</v>
      </c>
      <c r="P230" s="544">
        <f>IF(VLOOKUP($E$230,[1]DATA_A11!$A$2:$FA$200, 15, FALSE)="",":",VLOOKUP($E$230,[1]DATA_A11!$A$2:$FA$200, 15, FALSE))</f>
        <v>30.410101946246527</v>
      </c>
      <c r="Q230" s="544">
        <f>IF(VLOOKUP($E$230,[1]DATA_A11!$A$2:$FA$200, 16, FALSE)="",":",VLOOKUP($E$230,[1]DATA_A11!$A$2:$FA$200, 16, FALSE))</f>
        <v>53</v>
      </c>
      <c r="R230" s="544">
        <f>IF(VLOOKUP($E$230,[1]DATA_A11!$A$2:$FA$200, 17, FALSE)="",":",VLOOKUP($E$230,[1]DATA_A11!$A$2:$FA$200, 17, FALSE))</f>
        <v>61</v>
      </c>
      <c r="S230" s="544">
        <f>IF(VLOOKUP($E$230,[1]DATA_A11!$A$2:$FA$200, 18, FALSE)="",":",VLOOKUP($E$230,[1]DATA_A11!$A$2:$FA$200, 18, FALSE))</f>
        <v>92</v>
      </c>
      <c r="T230" s="544">
        <f>IF(VLOOKUP($E$230,[1]DATA_A11!$A$2:$FA$200, 19, FALSE)="",":",VLOOKUP($E$230,[1]DATA_A11!$A$2:$FA$200, 19, FALSE))</f>
        <v>78</v>
      </c>
      <c r="U230" s="544">
        <f>IF(VLOOKUP($E$230,[1]DATA_A11!$A$2:$FA$200, 20, FALSE)="",":",VLOOKUP($E$230,[1]DATA_A11!$A$2:$FA$200, 20, FALSE))</f>
        <v>135</v>
      </c>
      <c r="V230" s="544">
        <f>IF(VLOOKUP($E$230,[1]DATA_A11!$A$2:$FA$200, 21, FALSE)="",":",VLOOKUP($E$230,[1]DATA_A11!$A$2:$FA$200, 21, FALSE))</f>
        <v>72</v>
      </c>
      <c r="W230" s="544">
        <f>IF(VLOOKUP($E$230,[1]DATA_A11!$A$2:$FA$200, 22, FALSE)="",":",VLOOKUP($E$230,[1]DATA_A11!$A$2:$FA$200, 22, FALSE))</f>
        <v>79</v>
      </c>
      <c r="X230" s="544">
        <f>IF(VLOOKUP($E$230,[1]DATA_A11!$A$2:$FA$200, 23, FALSE)="",":",VLOOKUP($E$230,[1]DATA_A11!$A$2:$FA$200, 23, FALSE))</f>
        <v>106</v>
      </c>
      <c r="Y230" s="544">
        <f>IF(VLOOKUP($E$230,[1]DATA_A11!$A$2:$FA$200, 24, FALSE)="",":",VLOOKUP($E$230,[1]DATA_A11!$A$2:$FA$200, 24, FALSE))</f>
        <v>112</v>
      </c>
      <c r="Z230" s="544">
        <f>IF(VLOOKUP($E$230,[1]DATA_A11!$A$2:$FA$200, 25, FALSE)="",":",VLOOKUP($E$230,[1]DATA_A11!$A$2:$FA$200, 25, FALSE))</f>
        <v>120</v>
      </c>
      <c r="AA230" s="544">
        <f>IF(VLOOKUP($E$230,[1]DATA_A11!$A$2:$FA$200, 26, FALSE)="",":",VLOOKUP($E$230,[1]DATA_A11!$A$2:$FA$200, 26, FALSE))</f>
        <v>93</v>
      </c>
      <c r="AB230" s="544">
        <f>IF(VLOOKUP($E$230,[1]DATA_A11!$A$2:$FA$200, 27, FALSE)="",":",VLOOKUP($E$230,[1]DATA_A11!$A$2:$FA$200, 27, FALSE))</f>
        <v>102</v>
      </c>
      <c r="AC230" s="544" t="str">
        <f>IF(VLOOKUP($E$230,[1]DATA_A11!$A$2:$FA$200, 28, FALSE)="",":",VLOOKUP($E$230,[1]DATA_A11!$A$2:$FA$200, 28, FALSE))</f>
        <v>n.a.</v>
      </c>
      <c r="AD230" s="544" t="str">
        <f>IF(VLOOKUP($E$230,[1]DATA_A11!$A$2:$FA$200, 29, FALSE)="",":",VLOOKUP($E$230,[1]DATA_A11!$A$2:$FA$200, 29, FALSE))</f>
        <v>:</v>
      </c>
      <c r="AE230" s="544" t="str">
        <f>IF(VLOOKUP($E$230,[1]DATA_A11!$A$2:$FA$200, 30, FALSE)="",":",VLOOKUP($E$230,[1]DATA_A11!$A$2:$FA$200, 30, FALSE))</f>
        <v>:</v>
      </c>
      <c r="AF230" s="544" t="str">
        <f>IF(VLOOKUP($E$230,[1]DATA_A11!$A$2:$FA$200, 31, FALSE)="",":",VLOOKUP($E$230,[1]DATA_A11!$A$2:$FA$200, 31, FALSE))</f>
        <v>:</v>
      </c>
    </row>
    <row r="231" spans="1:32" s="540" customFormat="1">
      <c r="A231" s="1954"/>
      <c r="B231" s="537" t="s">
        <v>1051</v>
      </c>
      <c r="C231" s="538" t="s">
        <v>1052</v>
      </c>
      <c r="D231" s="528"/>
      <c r="E231" s="529"/>
      <c r="F231" s="539"/>
      <c r="G231" s="545">
        <f t="shared" ref="G231:AF231" si="11">+G229-G230</f>
        <v>-0.5792400370713624</v>
      </c>
      <c r="H231" s="545">
        <f t="shared" si="11"/>
        <v>-36.492122335495829</v>
      </c>
      <c r="I231" s="545">
        <f t="shared" si="11"/>
        <v>-64.874884151992589</v>
      </c>
      <c r="J231" s="545">
        <f t="shared" si="11"/>
        <v>-69.798424467099167</v>
      </c>
      <c r="K231" s="545">
        <f t="shared" si="11"/>
        <v>-50.393883225208526</v>
      </c>
      <c r="L231" s="545">
        <f t="shared" si="11"/>
        <v>12.743280815569975</v>
      </c>
      <c r="M231" s="545">
        <f t="shared" si="11"/>
        <v>55.317423540315104</v>
      </c>
      <c r="N231" s="545">
        <f t="shared" si="11"/>
        <v>67.191844300278035</v>
      </c>
      <c r="O231" s="545">
        <f t="shared" si="11"/>
        <v>46.918443002780357</v>
      </c>
      <c r="P231" s="545">
        <f t="shared" si="11"/>
        <v>144.52038924930491</v>
      </c>
      <c r="Q231" s="545">
        <f t="shared" si="11"/>
        <v>185</v>
      </c>
      <c r="R231" s="545">
        <f t="shared" si="11"/>
        <v>202</v>
      </c>
      <c r="S231" s="545">
        <f t="shared" si="11"/>
        <v>159</v>
      </c>
      <c r="T231" s="545">
        <f t="shared" si="11"/>
        <v>95</v>
      </c>
      <c r="U231" s="545">
        <f t="shared" si="11"/>
        <v>17</v>
      </c>
      <c r="V231" s="545">
        <f t="shared" si="11"/>
        <v>171</v>
      </c>
      <c r="W231" s="545">
        <f t="shared" si="11"/>
        <v>137</v>
      </c>
      <c r="X231" s="545">
        <f t="shared" si="11"/>
        <v>21</v>
      </c>
      <c r="Y231" s="545">
        <f t="shared" si="11"/>
        <v>37</v>
      </c>
      <c r="Z231" s="545">
        <f t="shared" si="11"/>
        <v>-18</v>
      </c>
      <c r="AA231" s="545">
        <f t="shared" si="11"/>
        <v>-1</v>
      </c>
      <c r="AB231" s="545">
        <f t="shared" si="11"/>
        <v>-47</v>
      </c>
      <c r="AC231" s="545" t="e">
        <f t="shared" si="11"/>
        <v>#VALUE!</v>
      </c>
      <c r="AD231" s="545" t="e">
        <f t="shared" si="11"/>
        <v>#VALUE!</v>
      </c>
      <c r="AE231" s="545" t="e">
        <f t="shared" si="11"/>
        <v>#VALUE!</v>
      </c>
      <c r="AF231" s="545" t="e">
        <f t="shared" si="11"/>
        <v>#VALUE!</v>
      </c>
    </row>
    <row r="232" spans="1:32">
      <c r="A232" s="533"/>
      <c r="B232" s="534"/>
      <c r="C232" s="535"/>
      <c r="D232" s="12"/>
      <c r="E232" s="13"/>
      <c r="F232" s="14"/>
      <c r="G232" s="544"/>
      <c r="H232" s="544"/>
      <c r="I232" s="544"/>
      <c r="J232" s="544"/>
      <c r="K232" s="544"/>
      <c r="L232" s="544"/>
      <c r="M232" s="544"/>
      <c r="N232" s="544"/>
      <c r="O232" s="544"/>
      <c r="P232" s="544"/>
      <c r="Q232" s="544"/>
      <c r="R232" s="544"/>
      <c r="S232" s="544"/>
      <c r="T232" s="544"/>
      <c r="U232" s="544"/>
      <c r="V232" s="544"/>
      <c r="W232" s="544"/>
      <c r="X232" s="544"/>
      <c r="Y232" s="544"/>
      <c r="Z232" s="544"/>
      <c r="AA232" s="544"/>
      <c r="AB232" s="544"/>
      <c r="AC232" s="544"/>
      <c r="AD232" s="544"/>
      <c r="AE232" s="544"/>
      <c r="AF232" s="544"/>
    </row>
    <row r="233" spans="1:32">
      <c r="A233" s="1954">
        <v>131</v>
      </c>
      <c r="B233" s="534" t="s">
        <v>2084</v>
      </c>
      <c r="C233" s="535" t="s">
        <v>1877</v>
      </c>
      <c r="D233" s="12" t="s">
        <v>879</v>
      </c>
      <c r="E233" s="13">
        <v>2602</v>
      </c>
      <c r="F233" s="14" t="str">
        <f>VLOOKUP($E$233,[1]DATA_A11!$A$2:$FA$200, 3, FALSE)</f>
        <v>2602 Taxes to RoW</v>
      </c>
      <c r="G233" s="544" t="str">
        <f>IF(VLOOKUP($E$233,[1]DATA_A11!$A$2:$FA$200, 6, FALSE)="",":",VLOOKUP($E$233,[1]DATA_A11!$A$2:$FA$200, 6, FALSE))</f>
        <v>:</v>
      </c>
      <c r="H233" s="544" t="str">
        <f>IF(VLOOKUP($E$233,[1]DATA_A11!$A$2:$FA$200, 7, FALSE)="",":",VLOOKUP($E$233,[1]DATA_A11!$A$2:$FA$200, 7, FALSE))</f>
        <v>:</v>
      </c>
      <c r="I233" s="544" t="str">
        <f>IF(VLOOKUP($E$233,[1]DATA_A11!$A$2:$FA$200, 8, FALSE)="",":",VLOOKUP($E$233,[1]DATA_A11!$A$2:$FA$200, 8, FALSE))</f>
        <v>:</v>
      </c>
      <c r="J233" s="544" t="str">
        <f>IF(VLOOKUP($E$233,[1]DATA_A11!$A$2:$FA$200, 9, FALSE)="",":",VLOOKUP($E$233,[1]DATA_A11!$A$2:$FA$200, 9, FALSE))</f>
        <v>:</v>
      </c>
      <c r="K233" s="544" t="str">
        <f>IF(VLOOKUP($E$233,[1]DATA_A11!$A$2:$FA$200, 10, FALSE)="",":",VLOOKUP($E$233,[1]DATA_A11!$A$2:$FA$200, 10, FALSE))</f>
        <v>:</v>
      </c>
      <c r="L233" s="544" t="str">
        <f>IF(VLOOKUP($E$233,[1]DATA_A11!$A$2:$FA$200, 11, FALSE)="",":",VLOOKUP($E$233,[1]DATA_A11!$A$2:$FA$200, 11, FALSE))</f>
        <v>:</v>
      </c>
      <c r="M233" s="544" t="str">
        <f>IF(VLOOKUP($E$233,[1]DATA_A11!$A$2:$FA$200, 12, FALSE)="",":",VLOOKUP($E$233,[1]DATA_A11!$A$2:$FA$200, 12, FALSE))</f>
        <v>:</v>
      </c>
      <c r="N233" s="544" t="str">
        <f>IF(VLOOKUP($E$233,[1]DATA_A11!$A$2:$FA$200, 13, FALSE)="",":",VLOOKUP($E$233,[1]DATA_A11!$A$2:$FA$200, 13, FALSE))</f>
        <v>:</v>
      </c>
      <c r="O233" s="544" t="str">
        <f>IF(VLOOKUP($E$233,[1]DATA_A11!$A$2:$FA$200, 14, FALSE)="",":",VLOOKUP($E$233,[1]DATA_A11!$A$2:$FA$200, 14, FALSE))</f>
        <v>:</v>
      </c>
      <c r="P233" s="544">
        <f>IF(VLOOKUP($E$233,[1]DATA_A11!$A$2:$FA$200, 15, FALSE)="",":",VLOOKUP($E$233,[1]DATA_A11!$A$2:$FA$200, 15, FALSE))</f>
        <v>34.464782205746062</v>
      </c>
      <c r="Q233" s="544" t="e">
        <f>IF(VLOOKUP($E$233,[1]DATA_A11!$A$2:$FA$200, 16, FALSE)="",":",VLOOKUP($E$233,[1]DATA_A11!$A$2:$FA$200, 16, FALSE))</f>
        <v>#VALUE!</v>
      </c>
      <c r="R233" s="544" t="e">
        <f>IF(VLOOKUP($E$233,[1]DATA_A11!$A$2:$FA$200, 17, FALSE)="",":",VLOOKUP($E$233,[1]DATA_A11!$A$2:$FA$200, 17, FALSE))</f>
        <v>#VALUE!</v>
      </c>
      <c r="S233" s="544" t="e">
        <f>IF(VLOOKUP($E$233,[1]DATA_A11!$A$2:$FA$200, 18, FALSE)="",":",VLOOKUP($E$233,[1]DATA_A11!$A$2:$FA$200, 18, FALSE))</f>
        <v>#VALUE!</v>
      </c>
      <c r="T233" s="544">
        <f>IF(VLOOKUP($E$233,[1]DATA_A11!$A$2:$FA$200, 19, FALSE)="",":",VLOOKUP($E$233,[1]DATA_A11!$A$2:$FA$200, 19, FALSE))</f>
        <v>118</v>
      </c>
      <c r="U233" s="544">
        <f>IF(VLOOKUP($E$233,[1]DATA_A11!$A$2:$FA$200, 20, FALSE)="",":",VLOOKUP($E$233,[1]DATA_A11!$A$2:$FA$200, 20, FALSE))</f>
        <v>79</v>
      </c>
      <c r="V233" s="544">
        <f>IF(VLOOKUP($E$233,[1]DATA_A11!$A$2:$FA$200, 21, FALSE)="",":",VLOOKUP($E$233,[1]DATA_A11!$A$2:$FA$200, 21, FALSE))</f>
        <v>88</v>
      </c>
      <c r="W233" s="544">
        <f>IF(VLOOKUP($E$233,[1]DATA_A11!$A$2:$FA$200, 22, FALSE)="",":",VLOOKUP($E$233,[1]DATA_A11!$A$2:$FA$200, 22, FALSE))</f>
        <v>92</v>
      </c>
      <c r="X233" s="544">
        <f>IF(VLOOKUP($E$233,[1]DATA_A11!$A$2:$FA$200, 23, FALSE)="",":",VLOOKUP($E$233,[1]DATA_A11!$A$2:$FA$200, 23, FALSE))</f>
        <v>87</v>
      </c>
      <c r="Y233" s="544">
        <f>IF(VLOOKUP($E$233,[1]DATA_A11!$A$2:$FA$200, 24, FALSE)="",":",VLOOKUP($E$233,[1]DATA_A11!$A$2:$FA$200, 24, FALSE))</f>
        <v>100</v>
      </c>
      <c r="Z233" s="544">
        <f>IF(VLOOKUP($E$233,[1]DATA_A11!$A$2:$FA$200, 25, FALSE)="",":",VLOOKUP($E$233,[1]DATA_A11!$A$2:$FA$200, 25, FALSE))</f>
        <v>103</v>
      </c>
      <c r="AA233" s="544">
        <f>IF(VLOOKUP($E$233,[1]DATA_A11!$A$2:$FA$200, 26, FALSE)="",":",VLOOKUP($E$233,[1]DATA_A11!$A$2:$FA$200, 26, FALSE))</f>
        <v>123</v>
      </c>
      <c r="AB233" s="544">
        <f>IF(VLOOKUP($E$233,[1]DATA_A11!$A$2:$FA$200, 27, FALSE)="",":",VLOOKUP($E$233,[1]DATA_A11!$A$2:$FA$200, 27, FALSE))</f>
        <v>112</v>
      </c>
      <c r="AC233" s="544" t="e">
        <f>IF(VLOOKUP($E$233,[1]DATA_A11!$A$2:$FA$200, 28, FALSE)="",":",VLOOKUP($E$233,[1]DATA_A11!$A$2:$FA$200, 28, FALSE))</f>
        <v>#VALUE!</v>
      </c>
      <c r="AD233" s="544" t="str">
        <f>IF(VLOOKUP($E$233,[1]DATA_A11!$A$2:$FA$200, 29, FALSE)="",":",VLOOKUP($E$233,[1]DATA_A11!$A$2:$FA$200, 29, FALSE))</f>
        <v>:</v>
      </c>
      <c r="AE233" s="544" t="str">
        <f>IF(VLOOKUP($E$233,[1]DATA_A11!$A$2:$FA$200, 30, FALSE)="",":",VLOOKUP($E$233,[1]DATA_A11!$A$2:$FA$200, 30, FALSE))</f>
        <v>:</v>
      </c>
      <c r="AF233" s="544" t="str">
        <f>IF(VLOOKUP($E$233,[1]DATA_A11!$A$2:$FA$200, 31, FALSE)="",":",VLOOKUP($E$233,[1]DATA_A11!$A$2:$FA$200, 31, FALSE))</f>
        <v>:</v>
      </c>
    </row>
    <row r="234" spans="1:32">
      <c r="A234" s="533"/>
      <c r="B234" s="534"/>
      <c r="C234" s="535"/>
      <c r="D234" s="12"/>
      <c r="E234" s="13"/>
      <c r="F234" s="14"/>
      <c r="G234" s="544"/>
      <c r="H234" s="544"/>
      <c r="I234" s="544"/>
      <c r="J234" s="544"/>
      <c r="K234" s="544"/>
      <c r="L234" s="544"/>
      <c r="M234" s="544"/>
      <c r="N234" s="544"/>
      <c r="O234" s="544"/>
      <c r="P234" s="544"/>
      <c r="Q234" s="544"/>
      <c r="R234" s="544"/>
      <c r="S234" s="544"/>
      <c r="T234" s="544"/>
      <c r="U234" s="544"/>
      <c r="V234" s="544"/>
      <c r="W234" s="544"/>
      <c r="X234" s="544"/>
      <c r="Y234" s="544"/>
      <c r="Z234" s="544"/>
      <c r="AA234" s="544"/>
      <c r="AB234" s="544"/>
      <c r="AC234" s="544"/>
      <c r="AD234" s="544"/>
      <c r="AE234" s="544"/>
      <c r="AF234" s="544"/>
    </row>
    <row r="235" spans="1:32">
      <c r="A235" s="1954">
        <v>133</v>
      </c>
      <c r="B235" s="534" t="s">
        <v>2087</v>
      </c>
      <c r="C235" s="535" t="s">
        <v>1878</v>
      </c>
      <c r="D235" s="12" t="s">
        <v>879</v>
      </c>
      <c r="E235" s="13">
        <v>2612</v>
      </c>
      <c r="F235" s="14" t="str">
        <f>VLOOKUP($E$235,[1]DATA_A11!$A$2:$FA$200, 3, FALSE)</f>
        <v>2612 Subsidies from RoW</v>
      </c>
      <c r="G235" s="544">
        <f>IF(VLOOKUP($E$235,[1]DATA_A11!$A$2:$FA$200, 6, FALSE)="",":",VLOOKUP($E$235,[1]DATA_A11!$A$2:$FA$200, 6, FALSE))</f>
        <v>0</v>
      </c>
      <c r="H235" s="544">
        <f>IF(VLOOKUP($E$235,[1]DATA_A11!$A$2:$FA$200, 7, FALSE)="",":",VLOOKUP($E$235,[1]DATA_A11!$A$2:$FA$200, 7, FALSE))</f>
        <v>0</v>
      </c>
      <c r="I235" s="544">
        <f>IF(VLOOKUP($E$235,[1]DATA_A11!$A$2:$FA$200, 8, FALSE)="",":",VLOOKUP($E$235,[1]DATA_A11!$A$2:$FA$200, 8, FALSE))</f>
        <v>0</v>
      </c>
      <c r="J235" s="544">
        <f>IF(VLOOKUP($E$235,[1]DATA_A11!$A$2:$FA$200, 9, FALSE)="",":",VLOOKUP($E$235,[1]DATA_A11!$A$2:$FA$200, 9, FALSE))</f>
        <v>0</v>
      </c>
      <c r="K235" s="544">
        <f>IF(VLOOKUP($E$235,[1]DATA_A11!$A$2:$FA$200, 10, FALSE)="",":",VLOOKUP($E$235,[1]DATA_A11!$A$2:$FA$200, 10, FALSE))</f>
        <v>0</v>
      </c>
      <c r="L235" s="544">
        <f>IF(VLOOKUP($E$235,[1]DATA_A11!$A$2:$FA$200, 11, FALSE)="",":",VLOOKUP($E$235,[1]DATA_A11!$A$2:$FA$200, 11, FALSE))</f>
        <v>0</v>
      </c>
      <c r="M235" s="544">
        <f>IF(VLOOKUP($E$235,[1]DATA_A11!$A$2:$FA$200, 12, FALSE)="",":",VLOOKUP($E$235,[1]DATA_A11!$A$2:$FA$200, 12, FALSE))</f>
        <v>0</v>
      </c>
      <c r="N235" s="544">
        <f>IF(VLOOKUP($E$235,[1]DATA_A11!$A$2:$FA$200, 13, FALSE)="",":",VLOOKUP($E$235,[1]DATA_A11!$A$2:$FA$200, 13, FALSE))</f>
        <v>0</v>
      </c>
      <c r="O235" s="544">
        <f>IF(VLOOKUP($E$235,[1]DATA_A11!$A$2:$FA$200, 14, FALSE)="",":",VLOOKUP($E$235,[1]DATA_A11!$A$2:$FA$200, 14, FALSE))</f>
        <v>0</v>
      </c>
      <c r="P235" s="544">
        <f>IF(VLOOKUP($E$235,[1]DATA_A11!$A$2:$FA$200, 15, FALSE)="",":",VLOOKUP($E$235,[1]DATA_A11!$A$2:$FA$200, 15, FALSE))</f>
        <v>121.93002780352178</v>
      </c>
      <c r="Q235" s="544">
        <f>IF(VLOOKUP($E$235,[1]DATA_A11!$A$2:$FA$200, 16, FALSE)="",":",VLOOKUP($E$235,[1]DATA_A11!$A$2:$FA$200, 16, FALSE))</f>
        <v>245</v>
      </c>
      <c r="R235" s="544">
        <f>IF(VLOOKUP($E$235,[1]DATA_A11!$A$2:$FA$200, 17, FALSE)="",":",VLOOKUP($E$235,[1]DATA_A11!$A$2:$FA$200, 17, FALSE))</f>
        <v>235</v>
      </c>
      <c r="S235" s="544">
        <f>IF(VLOOKUP($E$235,[1]DATA_A11!$A$2:$FA$200, 18, FALSE)="",":",VLOOKUP($E$235,[1]DATA_A11!$A$2:$FA$200, 18, FALSE))</f>
        <v>189</v>
      </c>
      <c r="T235" s="544">
        <f>IF(VLOOKUP($E$235,[1]DATA_A11!$A$2:$FA$200, 19, FALSE)="",":",VLOOKUP($E$235,[1]DATA_A11!$A$2:$FA$200, 19, FALSE))</f>
        <v>207</v>
      </c>
      <c r="U235" s="544">
        <f>IF(VLOOKUP($E$235,[1]DATA_A11!$A$2:$FA$200, 20, FALSE)="",":",VLOOKUP($E$235,[1]DATA_A11!$A$2:$FA$200, 20, FALSE))</f>
        <v>273</v>
      </c>
      <c r="V235" s="544">
        <f>IF(VLOOKUP($E$235,[1]DATA_A11!$A$2:$FA$200, 21, FALSE)="",":",VLOOKUP($E$235,[1]DATA_A11!$A$2:$FA$200, 21, FALSE))</f>
        <v>305</v>
      </c>
      <c r="W235" s="544">
        <f>IF(VLOOKUP($E$235,[1]DATA_A11!$A$2:$FA$200, 22, FALSE)="",":",VLOOKUP($E$235,[1]DATA_A11!$A$2:$FA$200, 22, FALSE))</f>
        <v>323</v>
      </c>
      <c r="X235" s="544">
        <f>IF(VLOOKUP($E$235,[1]DATA_A11!$A$2:$FA$200, 23, FALSE)="",":",VLOOKUP($E$235,[1]DATA_A11!$A$2:$FA$200, 23, FALSE))</f>
        <v>366</v>
      </c>
      <c r="Y235" s="544">
        <f>IF(VLOOKUP($E$235,[1]DATA_A11!$A$2:$FA$200, 24, FALSE)="",":",VLOOKUP($E$235,[1]DATA_A11!$A$2:$FA$200, 24, FALSE))</f>
        <v>389</v>
      </c>
      <c r="Z235" s="544">
        <f>IF(VLOOKUP($E$235,[1]DATA_A11!$A$2:$FA$200, 25, FALSE)="",":",VLOOKUP($E$235,[1]DATA_A11!$A$2:$FA$200, 25, FALSE))</f>
        <v>386</v>
      </c>
      <c r="AA235" s="544">
        <f>IF(VLOOKUP($E$235,[1]DATA_A11!$A$2:$FA$200, 26, FALSE)="",":",VLOOKUP($E$235,[1]DATA_A11!$A$2:$FA$200, 26, FALSE))</f>
        <v>441</v>
      </c>
      <c r="AB235" s="544">
        <f>IF(VLOOKUP($E$235,[1]DATA_A11!$A$2:$FA$200, 27, FALSE)="",":",VLOOKUP($E$235,[1]DATA_A11!$A$2:$FA$200, 27, FALSE))</f>
        <v>467</v>
      </c>
      <c r="AC235" s="544" t="str">
        <f>IF(VLOOKUP($E$235,[1]DATA_A11!$A$2:$FA$200, 28, FALSE)="",":",VLOOKUP($E$235,[1]DATA_A11!$A$2:$FA$200, 28, FALSE))</f>
        <v>n.a.</v>
      </c>
      <c r="AD235" s="544" t="str">
        <f>IF(VLOOKUP($E$235,[1]DATA_A11!$A$2:$FA$200, 29, FALSE)="",":",VLOOKUP($E$235,[1]DATA_A11!$A$2:$FA$200, 29, FALSE))</f>
        <v>:</v>
      </c>
      <c r="AE235" s="544" t="str">
        <f>IF(VLOOKUP($E$235,[1]DATA_A11!$A$2:$FA$200, 30, FALSE)="",":",VLOOKUP($E$235,[1]DATA_A11!$A$2:$FA$200, 30, FALSE))</f>
        <v>:</v>
      </c>
      <c r="AF235" s="544" t="str">
        <f>IF(VLOOKUP($E$235,[1]DATA_A11!$A$2:$FA$200, 31, FALSE)="",":",VLOOKUP($E$235,[1]DATA_A11!$A$2:$FA$200, 31, FALSE))</f>
        <v>:</v>
      </c>
    </row>
    <row r="236" spans="1:32">
      <c r="A236" s="533"/>
      <c r="B236" s="534"/>
      <c r="C236" s="535"/>
      <c r="D236" s="12"/>
      <c r="E236" s="13"/>
      <c r="F236" s="14"/>
      <c r="G236" s="544"/>
      <c r="H236" s="544"/>
      <c r="I236" s="544"/>
      <c r="J236" s="544"/>
      <c r="K236" s="544"/>
      <c r="L236" s="544"/>
      <c r="M236" s="544"/>
      <c r="N236" s="544"/>
      <c r="O236" s="544"/>
      <c r="P236" s="544"/>
      <c r="Q236" s="544"/>
      <c r="R236" s="544"/>
      <c r="S236" s="544"/>
      <c r="T236" s="544"/>
      <c r="U236" s="544"/>
      <c r="V236" s="544"/>
      <c r="W236" s="544"/>
      <c r="X236" s="544"/>
      <c r="Y236" s="544"/>
      <c r="Z236" s="544"/>
      <c r="AA236" s="544"/>
      <c r="AB236" s="544"/>
      <c r="AC236" s="544"/>
      <c r="AD236" s="544"/>
      <c r="AE236" s="544"/>
      <c r="AF236" s="544"/>
    </row>
    <row r="237" spans="1:32">
      <c r="A237" s="533"/>
      <c r="B237" s="534"/>
      <c r="C237" s="535"/>
      <c r="D237" s="12"/>
      <c r="E237" s="13"/>
      <c r="F237" s="14"/>
      <c r="G237" s="544"/>
      <c r="H237" s="544"/>
      <c r="I237" s="544"/>
      <c r="J237" s="544"/>
      <c r="K237" s="544"/>
      <c r="L237" s="544"/>
      <c r="M237" s="544"/>
      <c r="N237" s="544"/>
      <c r="O237" s="544"/>
      <c r="P237" s="544"/>
      <c r="Q237" s="544"/>
      <c r="R237" s="544"/>
      <c r="S237" s="544"/>
      <c r="T237" s="544"/>
      <c r="U237" s="544"/>
      <c r="V237" s="544"/>
      <c r="W237" s="544"/>
      <c r="X237" s="544"/>
      <c r="Y237" s="544"/>
      <c r="Z237" s="544"/>
      <c r="AA237" s="544"/>
      <c r="AB237" s="544"/>
      <c r="AC237" s="544"/>
      <c r="AD237" s="544"/>
      <c r="AE237" s="544"/>
      <c r="AF237" s="544"/>
    </row>
    <row r="238" spans="1:32">
      <c r="A238" s="1954"/>
      <c r="B238" s="534" t="s">
        <v>885</v>
      </c>
      <c r="C238" s="535" t="s">
        <v>645</v>
      </c>
      <c r="D238" s="12" t="s">
        <v>879</v>
      </c>
      <c r="E238" s="13">
        <v>2704</v>
      </c>
      <c r="F238" s="14" t="str">
        <f>VLOOKUP($E$238,[1]DATA_A11!$A$2:$FA$200, 3, FALSE)</f>
        <v xml:space="preserve">2704 Net property income                                      </v>
      </c>
      <c r="G238" s="544">
        <f>IF(VLOOKUP($E$238,[1]DATA_A11!$A$2:$FA$200, 6, FALSE)="",":",VLOOKUP($E$238,[1]DATA_A11!$A$2:$FA$200, 6, FALSE))</f>
        <v>-7.8197405004633893</v>
      </c>
      <c r="H238" s="544">
        <f>IF(VLOOKUP($E$238,[1]DATA_A11!$A$2:$FA$200, 7, FALSE)="",":",VLOOKUP($E$238,[1]DATA_A11!$A$2:$FA$200, 7, FALSE))</f>
        <v>-72.405004633920299</v>
      </c>
      <c r="I238" s="544">
        <f>IF(VLOOKUP($E$238,[1]DATA_A11!$A$2:$FA$200, 8, FALSE)="",":",VLOOKUP($E$238,[1]DATA_A11!$A$2:$FA$200, 8, FALSE))</f>
        <v>-151.18164967562558</v>
      </c>
      <c r="J238" s="544">
        <f>IF(VLOOKUP($E$238,[1]DATA_A11!$A$2:$FA$200, 9, FALSE)="",":",VLOOKUP($E$238,[1]DATA_A11!$A$2:$FA$200, 9, FALSE))</f>
        <v>-223.29703429101019</v>
      </c>
      <c r="K238" s="544">
        <f>IF(VLOOKUP($E$238,[1]DATA_A11!$A$2:$FA$200, 10, FALSE)="",":",VLOOKUP($E$238,[1]DATA_A11!$A$2:$FA$200, 10, FALSE))</f>
        <v>-243.57043558850788</v>
      </c>
      <c r="L238" s="544">
        <f>IF(VLOOKUP($E$238,[1]DATA_A11!$A$2:$FA$200, 11, FALSE)="",":",VLOOKUP($E$238,[1]DATA_A11!$A$2:$FA$200, 11, FALSE))</f>
        <v>-244.14967562557925</v>
      </c>
      <c r="M238" s="544">
        <f>IF(VLOOKUP($E$238,[1]DATA_A11!$A$2:$FA$200, 12, FALSE)="",":",VLOOKUP($E$238,[1]DATA_A11!$A$2:$FA$200, 12, FALSE))</f>
        <v>-241.25347544022247</v>
      </c>
      <c r="N238" s="544">
        <f>IF(VLOOKUP($E$238,[1]DATA_A11!$A$2:$FA$200, 13, FALSE)="",":",VLOOKUP($E$238,[1]DATA_A11!$A$2:$FA$200, 13, FALSE))</f>
        <v>-214.31881371640407</v>
      </c>
      <c r="O238" s="544">
        <f>IF(VLOOKUP($E$238,[1]DATA_A11!$A$2:$FA$200, 14, FALSE)="",":",VLOOKUP($E$238,[1]DATA_A11!$A$2:$FA$200, 14, FALSE))</f>
        <v>-452.96570898980536</v>
      </c>
      <c r="P238" s="544">
        <f>IF(VLOOKUP($E$238,[1]DATA_A11!$A$2:$FA$200, 15, FALSE)="",":",VLOOKUP($E$238,[1]DATA_A11!$A$2:$FA$200, 15, FALSE))</f>
        <v>-584.74281742354037</v>
      </c>
      <c r="Q238" s="544">
        <f>IF(VLOOKUP($E$238,[1]DATA_A11!$A$2:$FA$200, 16, FALSE)="",":",VLOOKUP($E$238,[1]DATA_A11!$A$2:$FA$200, 16, FALSE))</f>
        <v>-666</v>
      </c>
      <c r="R238" s="544">
        <f>IF(VLOOKUP($E$238,[1]DATA_A11!$A$2:$FA$200, 17, FALSE)="",":",VLOOKUP($E$238,[1]DATA_A11!$A$2:$FA$200, 17, FALSE))</f>
        <v>-845</v>
      </c>
      <c r="S238" s="544">
        <f>IF(VLOOKUP($E$238,[1]DATA_A11!$A$2:$FA$200, 18, FALSE)="",":",VLOOKUP($E$238,[1]DATA_A11!$A$2:$FA$200, 18, FALSE))</f>
        <v>-1367</v>
      </c>
      <c r="T238" s="544">
        <f>IF(VLOOKUP($E$238,[1]DATA_A11!$A$2:$FA$200, 19, FALSE)="",":",VLOOKUP($E$238,[1]DATA_A11!$A$2:$FA$200, 19, FALSE))</f>
        <v>-1353</v>
      </c>
      <c r="U238" s="544">
        <f>IF(VLOOKUP($E$238,[1]DATA_A11!$A$2:$FA$200, 20, FALSE)="",":",VLOOKUP($E$238,[1]DATA_A11!$A$2:$FA$200, 20, FALSE))</f>
        <v>243</v>
      </c>
      <c r="V238" s="544">
        <f>IF(VLOOKUP($E$238,[1]DATA_A11!$A$2:$FA$200, 21, FALSE)="",":",VLOOKUP($E$238,[1]DATA_A11!$A$2:$FA$200, 21, FALSE))</f>
        <v>-986</v>
      </c>
      <c r="W238" s="544">
        <f>IF(VLOOKUP($E$238,[1]DATA_A11!$A$2:$FA$200, 22, FALSE)="",":",VLOOKUP($E$238,[1]DATA_A11!$A$2:$FA$200, 22, FALSE))</f>
        <v>-1583</v>
      </c>
      <c r="X238" s="544">
        <f>IF(VLOOKUP($E$238,[1]DATA_A11!$A$2:$FA$200, 23, FALSE)="",":",VLOOKUP($E$238,[1]DATA_A11!$A$2:$FA$200, 23, FALSE))</f>
        <v>-1347</v>
      </c>
      <c r="Y238" s="544">
        <f>IF(VLOOKUP($E$238,[1]DATA_A11!$A$2:$FA$200, 24, FALSE)="",":",VLOOKUP($E$238,[1]DATA_A11!$A$2:$FA$200, 24, FALSE))</f>
        <v>-1281</v>
      </c>
      <c r="Z238" s="544">
        <f>IF(VLOOKUP($E$238,[1]DATA_A11!$A$2:$FA$200, 25, FALSE)="",":",VLOOKUP($E$238,[1]DATA_A11!$A$2:$FA$200, 25, FALSE))</f>
        <v>-772</v>
      </c>
      <c r="AA238" s="544">
        <f>IF(VLOOKUP($E$238,[1]DATA_A11!$A$2:$FA$200, 26, FALSE)="",":",VLOOKUP($E$238,[1]DATA_A11!$A$2:$FA$200, 26, FALSE))</f>
        <v>-1871</v>
      </c>
      <c r="AB238" s="544">
        <f>IF(VLOOKUP($E$238,[1]DATA_A11!$A$2:$FA$200, 27, FALSE)="",":",VLOOKUP($E$238,[1]DATA_A11!$A$2:$FA$200, 27, FALSE))</f>
        <v>-1851</v>
      </c>
      <c r="AC238" s="544" t="e">
        <f>IF(VLOOKUP($E$238,[1]DATA_A11!$A$2:$FA$200, 28, FALSE)="",":",VLOOKUP($E$238,[1]DATA_A11!$A$2:$FA$200, 28, FALSE))</f>
        <v>#VALUE!</v>
      </c>
      <c r="AD238" s="544" t="str">
        <f>IF(VLOOKUP($E$238,[1]DATA_A11!$A$2:$FA$200, 29, FALSE)="",":",VLOOKUP($E$238,[1]DATA_A11!$A$2:$FA$200, 29, FALSE))</f>
        <v>:</v>
      </c>
      <c r="AE238" s="544" t="str">
        <f>IF(VLOOKUP($E$238,[1]DATA_A11!$A$2:$FA$200, 30, FALSE)="",":",VLOOKUP($E$238,[1]DATA_A11!$A$2:$FA$200, 30, FALSE))</f>
        <v>:</v>
      </c>
      <c r="AF238" s="544" t="str">
        <f>IF(VLOOKUP($E$238,[1]DATA_A11!$A$2:$FA$200, 31, FALSE)="",":",VLOOKUP($E$238,[1]DATA_A11!$A$2:$FA$200, 31, FALSE))</f>
        <v>:</v>
      </c>
    </row>
    <row r="239" spans="1:32">
      <c r="A239" s="533"/>
      <c r="B239" s="534"/>
      <c r="C239" s="535"/>
      <c r="D239" s="12"/>
      <c r="E239" s="13"/>
      <c r="F239" s="14"/>
      <c r="G239" s="544"/>
      <c r="H239" s="544"/>
      <c r="I239" s="544"/>
      <c r="J239" s="544"/>
      <c r="K239" s="544"/>
      <c r="L239" s="544"/>
      <c r="M239" s="544"/>
      <c r="N239" s="544"/>
      <c r="O239" s="544"/>
      <c r="P239" s="544"/>
      <c r="Q239" s="544"/>
      <c r="R239" s="544"/>
      <c r="S239" s="544"/>
      <c r="T239" s="544"/>
      <c r="U239" s="544"/>
      <c r="V239" s="544"/>
      <c r="W239" s="544"/>
      <c r="X239" s="544"/>
      <c r="Y239" s="544"/>
      <c r="Z239" s="544"/>
      <c r="AA239" s="544"/>
      <c r="AB239" s="544"/>
      <c r="AC239" s="544"/>
      <c r="AD239" s="544"/>
      <c r="AE239" s="544"/>
      <c r="AF239" s="544"/>
    </row>
    <row r="240" spans="1:32">
      <c r="A240" s="1954"/>
      <c r="B240" s="534" t="s">
        <v>893</v>
      </c>
      <c r="C240" s="535" t="s">
        <v>646</v>
      </c>
      <c r="D240" s="12" t="s">
        <v>879</v>
      </c>
      <c r="E240" s="13">
        <v>2906</v>
      </c>
      <c r="F240" s="14" t="str">
        <f>VLOOKUP($E$240,[1]DATA_A11!$A$2:$FA$200, 3, FALSE)</f>
        <v>2906 Current taxes on income and wealth (paid by RoW)</v>
      </c>
      <c r="G240" s="544">
        <f>IF(VLOOKUP($E$240,[1]DATA_A11!$A$2:$FA$200, 6, FALSE)="",":",VLOOKUP($E$240,[1]DATA_A11!$A$2:$FA$200, 6, FALSE))</f>
        <v>0</v>
      </c>
      <c r="H240" s="544">
        <f>IF(VLOOKUP($E$240,[1]DATA_A11!$A$2:$FA$200, 7, FALSE)="",":",VLOOKUP($E$240,[1]DATA_A11!$A$2:$FA$200, 7, FALSE))</f>
        <v>0</v>
      </c>
      <c r="I240" s="544">
        <f>IF(VLOOKUP($E$240,[1]DATA_A11!$A$2:$FA$200, 8, FALSE)="",":",VLOOKUP($E$240,[1]DATA_A11!$A$2:$FA$200, 8, FALSE))</f>
        <v>0</v>
      </c>
      <c r="J240" s="544">
        <f>IF(VLOOKUP($E$240,[1]DATA_A11!$A$2:$FA$200, 9, FALSE)="",":",VLOOKUP($E$240,[1]DATA_A11!$A$2:$FA$200, 9, FALSE))</f>
        <v>0</v>
      </c>
      <c r="K240" s="544">
        <f>IF(VLOOKUP($E$240,[1]DATA_A11!$A$2:$FA$200, 10, FALSE)="",":",VLOOKUP($E$240,[1]DATA_A11!$A$2:$FA$200, 10, FALSE))</f>
        <v>0</v>
      </c>
      <c r="L240" s="544">
        <f>IF(VLOOKUP($E$240,[1]DATA_A11!$A$2:$FA$200, 11, FALSE)="",":",VLOOKUP($E$240,[1]DATA_A11!$A$2:$FA$200, 11, FALSE))</f>
        <v>0</v>
      </c>
      <c r="M240" s="544">
        <f>IF(VLOOKUP($E$240,[1]DATA_A11!$A$2:$FA$200, 12, FALSE)="",":",VLOOKUP($E$240,[1]DATA_A11!$A$2:$FA$200, 12, FALSE))</f>
        <v>0</v>
      </c>
      <c r="N240" s="544">
        <f>IF(VLOOKUP($E$240,[1]DATA_A11!$A$2:$FA$200, 13, FALSE)="",":",VLOOKUP($E$240,[1]DATA_A11!$A$2:$FA$200, 13, FALSE))</f>
        <v>0</v>
      </c>
      <c r="O240" s="544">
        <f>IF(VLOOKUP($E$240,[1]DATA_A11!$A$2:$FA$200, 14, FALSE)="",":",VLOOKUP($E$240,[1]DATA_A11!$A$2:$FA$200, 14, FALSE))</f>
        <v>0</v>
      </c>
      <c r="P240" s="544">
        <f>IF(VLOOKUP($E$240,[1]DATA_A11!$A$2:$FA$200, 15, FALSE)="",":",VLOOKUP($E$240,[1]DATA_A11!$A$2:$FA$200, 15, FALSE))</f>
        <v>0.5792400370713624</v>
      </c>
      <c r="Q240" s="544">
        <f>IF(VLOOKUP($E$240,[1]DATA_A11!$A$2:$FA$200, 16, FALSE)="",":",VLOOKUP($E$240,[1]DATA_A11!$A$2:$FA$200, 16, FALSE))</f>
        <v>1</v>
      </c>
      <c r="R240" s="544">
        <f>IF(VLOOKUP($E$240,[1]DATA_A11!$A$2:$FA$200, 17, FALSE)="",":",VLOOKUP($E$240,[1]DATA_A11!$A$2:$FA$200, 17, FALSE))</f>
        <v>1</v>
      </c>
      <c r="S240" s="544">
        <f>IF(VLOOKUP($E$240,[1]DATA_A11!$A$2:$FA$200, 18, FALSE)="",":",VLOOKUP($E$240,[1]DATA_A11!$A$2:$FA$200, 18, FALSE))</f>
        <v>1</v>
      </c>
      <c r="T240" s="544">
        <f>IF(VLOOKUP($E$240,[1]DATA_A11!$A$2:$FA$200, 19, FALSE)="",":",VLOOKUP($E$240,[1]DATA_A11!$A$2:$FA$200, 19, FALSE))</f>
        <v>14</v>
      </c>
      <c r="U240" s="544">
        <f>IF(VLOOKUP($E$240,[1]DATA_A11!$A$2:$FA$200, 20, FALSE)="",":",VLOOKUP($E$240,[1]DATA_A11!$A$2:$FA$200, 20, FALSE))</f>
        <v>23</v>
      </c>
      <c r="V240" s="544">
        <f>IF(VLOOKUP($E$240,[1]DATA_A11!$A$2:$FA$200, 21, FALSE)="",":",VLOOKUP($E$240,[1]DATA_A11!$A$2:$FA$200, 21, FALSE))</f>
        <v>12</v>
      </c>
      <c r="W240" s="544">
        <f>IF(VLOOKUP($E$240,[1]DATA_A11!$A$2:$FA$200, 22, FALSE)="",":",VLOOKUP($E$240,[1]DATA_A11!$A$2:$FA$200, 22, FALSE))</f>
        <v>13</v>
      </c>
      <c r="X240" s="544">
        <f>IF(VLOOKUP($E$240,[1]DATA_A11!$A$2:$FA$200, 23, FALSE)="",":",VLOOKUP($E$240,[1]DATA_A11!$A$2:$FA$200, 23, FALSE))</f>
        <v>18</v>
      </c>
      <c r="Y240" s="544">
        <f>IF(VLOOKUP($E$240,[1]DATA_A11!$A$2:$FA$200, 24, FALSE)="",":",VLOOKUP($E$240,[1]DATA_A11!$A$2:$FA$200, 24, FALSE))</f>
        <v>19</v>
      </c>
      <c r="Z240" s="544">
        <f>IF(VLOOKUP($E$240,[1]DATA_A11!$A$2:$FA$200, 25, FALSE)="",":",VLOOKUP($E$240,[1]DATA_A11!$A$2:$FA$200, 25, FALSE))</f>
        <v>19</v>
      </c>
      <c r="AA240" s="544">
        <f>IF(VLOOKUP($E$240,[1]DATA_A11!$A$2:$FA$200, 26, FALSE)="",":",VLOOKUP($E$240,[1]DATA_A11!$A$2:$FA$200, 26, FALSE))</f>
        <v>14</v>
      </c>
      <c r="AB240" s="544">
        <f>IF(VLOOKUP($E$240,[1]DATA_A11!$A$2:$FA$200, 27, FALSE)="",":",VLOOKUP($E$240,[1]DATA_A11!$A$2:$FA$200, 27, FALSE))</f>
        <v>17</v>
      </c>
      <c r="AC240" s="544" t="str">
        <f>IF(VLOOKUP($E$240,[1]DATA_A11!$A$2:$FA$200, 28, FALSE)="",":",VLOOKUP($E$240,[1]DATA_A11!$A$2:$FA$200, 28, FALSE))</f>
        <v>n.a.</v>
      </c>
      <c r="AD240" s="544" t="str">
        <f>IF(VLOOKUP($E$240,[1]DATA_A11!$A$2:$FA$200, 29, FALSE)="",":",VLOOKUP($E$240,[1]DATA_A11!$A$2:$FA$200, 29, FALSE))</f>
        <v>:</v>
      </c>
      <c r="AE240" s="544" t="str">
        <f>IF(VLOOKUP($E$240,[1]DATA_A11!$A$2:$FA$200, 30, FALSE)="",":",VLOOKUP($E$240,[1]DATA_A11!$A$2:$FA$200, 30, FALSE))</f>
        <v>:</v>
      </c>
      <c r="AF240" s="544" t="str">
        <f>IF(VLOOKUP($E$240,[1]DATA_A11!$A$2:$FA$200, 31, FALSE)="",":",VLOOKUP($E$240,[1]DATA_A11!$A$2:$FA$200, 31, FALSE))</f>
        <v>:</v>
      </c>
    </row>
    <row r="241" spans="1:32">
      <c r="A241" s="1954"/>
      <c r="B241" s="534" t="s">
        <v>893</v>
      </c>
      <c r="C241" s="535" t="s">
        <v>1431</v>
      </c>
      <c r="D241" s="12" t="s">
        <v>879</v>
      </c>
      <c r="E241" s="13">
        <v>2901</v>
      </c>
      <c r="F241" s="14" t="str">
        <f>VLOOKUP($E$241,[1]DATA_A11!$A$2:$FA$200, 3, FALSE)</f>
        <v>2901 Current taxes on income and wealth (received by RoW), wealth, etc.</v>
      </c>
      <c r="G241" s="544">
        <f>IF(VLOOKUP($E$241,[1]DATA_A11!$A$2:$FA$200, 6, FALSE)="",":",VLOOKUP($E$241,[1]DATA_A11!$A$2:$FA$200, 6, FALSE))</f>
        <v>0</v>
      </c>
      <c r="H241" s="544">
        <f>IF(VLOOKUP($E$241,[1]DATA_A11!$A$2:$FA$200, 7, FALSE)="",":",VLOOKUP($E$241,[1]DATA_A11!$A$2:$FA$200, 7, FALSE))</f>
        <v>0</v>
      </c>
      <c r="I241" s="544">
        <f>IF(VLOOKUP($E$241,[1]DATA_A11!$A$2:$FA$200, 8, FALSE)="",":",VLOOKUP($E$241,[1]DATA_A11!$A$2:$FA$200, 8, FALSE))</f>
        <v>0</v>
      </c>
      <c r="J241" s="544">
        <f>IF(VLOOKUP($E$241,[1]DATA_A11!$A$2:$FA$200, 9, FALSE)="",":",VLOOKUP($E$241,[1]DATA_A11!$A$2:$FA$200, 9, FALSE))</f>
        <v>0</v>
      </c>
      <c r="K241" s="544">
        <f>IF(VLOOKUP($E$241,[1]DATA_A11!$A$2:$FA$200, 10, FALSE)="",":",VLOOKUP($E$241,[1]DATA_A11!$A$2:$FA$200, 10, FALSE))</f>
        <v>0</v>
      </c>
      <c r="L241" s="544">
        <f>IF(VLOOKUP($E$241,[1]DATA_A11!$A$2:$FA$200, 11, FALSE)="",":",VLOOKUP($E$241,[1]DATA_A11!$A$2:$FA$200, 11, FALSE))</f>
        <v>0</v>
      </c>
      <c r="M241" s="544">
        <f>IF(VLOOKUP($E$241,[1]DATA_A11!$A$2:$FA$200, 12, FALSE)="",":",VLOOKUP($E$241,[1]DATA_A11!$A$2:$FA$200, 12, FALSE))</f>
        <v>0</v>
      </c>
      <c r="N241" s="544">
        <f>IF(VLOOKUP($E$241,[1]DATA_A11!$A$2:$FA$200, 13, FALSE)="",":",VLOOKUP($E$241,[1]DATA_A11!$A$2:$FA$200, 13, FALSE))</f>
        <v>0</v>
      </c>
      <c r="O241" s="544">
        <f>IF(VLOOKUP($E$241,[1]DATA_A11!$A$2:$FA$200, 14, FALSE)="",":",VLOOKUP($E$241,[1]DATA_A11!$A$2:$FA$200, 14, FALSE))</f>
        <v>0</v>
      </c>
      <c r="P241" s="544">
        <f>IF(VLOOKUP($E$241,[1]DATA_A11!$A$2:$FA$200, 15, FALSE)="",":",VLOOKUP($E$241,[1]DATA_A11!$A$2:$FA$200, 15, FALSE))</f>
        <v>0</v>
      </c>
      <c r="Q241" s="544" t="str">
        <f>IF(VLOOKUP($E$241,[1]DATA_A11!$A$2:$FA$200, 16, FALSE)="",":",VLOOKUP($E$241,[1]DATA_A11!$A$2:$FA$200, 16, FALSE))</f>
        <v>n.a.</v>
      </c>
      <c r="R241" s="544" t="str">
        <f>IF(VLOOKUP($E$241,[1]DATA_A11!$A$2:$FA$200, 17, FALSE)="",":",VLOOKUP($E$241,[1]DATA_A11!$A$2:$FA$200, 17, FALSE))</f>
        <v>n.a.</v>
      </c>
      <c r="S241" s="544" t="str">
        <f>IF(VLOOKUP($E$241,[1]DATA_A11!$A$2:$FA$200, 18, FALSE)="",":",VLOOKUP($E$241,[1]DATA_A11!$A$2:$FA$200, 18, FALSE))</f>
        <v>n.a.</v>
      </c>
      <c r="T241" s="544">
        <f>IF(VLOOKUP($E$241,[1]DATA_A11!$A$2:$FA$200, 19, FALSE)="",":",VLOOKUP($E$241,[1]DATA_A11!$A$2:$FA$200, 19, FALSE))</f>
        <v>23</v>
      </c>
      <c r="U241" s="544">
        <f>IF(VLOOKUP($E$241,[1]DATA_A11!$A$2:$FA$200, 20, FALSE)="",":",VLOOKUP($E$241,[1]DATA_A11!$A$2:$FA$200, 20, FALSE))</f>
        <v>20</v>
      </c>
      <c r="V241" s="544">
        <f>IF(VLOOKUP($E$241,[1]DATA_A11!$A$2:$FA$200, 21, FALSE)="",":",VLOOKUP($E$241,[1]DATA_A11!$A$2:$FA$200, 21, FALSE))</f>
        <v>34</v>
      </c>
      <c r="W241" s="544">
        <f>IF(VLOOKUP($E$241,[1]DATA_A11!$A$2:$FA$200, 22, FALSE)="",":",VLOOKUP($E$241,[1]DATA_A11!$A$2:$FA$200, 22, FALSE))</f>
        <v>30</v>
      </c>
      <c r="X241" s="544">
        <f>IF(VLOOKUP($E$241,[1]DATA_A11!$A$2:$FA$200, 23, FALSE)="",":",VLOOKUP($E$241,[1]DATA_A11!$A$2:$FA$200, 23, FALSE))</f>
        <v>22</v>
      </c>
      <c r="Y241" s="544">
        <f>IF(VLOOKUP($E$241,[1]DATA_A11!$A$2:$FA$200, 24, FALSE)="",":",VLOOKUP($E$241,[1]DATA_A11!$A$2:$FA$200, 24, FALSE))</f>
        <v>25</v>
      </c>
      <c r="Z241" s="544">
        <f>IF(VLOOKUP($E$241,[1]DATA_A11!$A$2:$FA$200, 25, FALSE)="",":",VLOOKUP($E$241,[1]DATA_A11!$A$2:$FA$200, 25, FALSE))</f>
        <v>16</v>
      </c>
      <c r="AA241" s="544">
        <f>IF(VLOOKUP($E$241,[1]DATA_A11!$A$2:$FA$200, 26, FALSE)="",":",VLOOKUP($E$241,[1]DATA_A11!$A$2:$FA$200, 26, FALSE))</f>
        <v>13</v>
      </c>
      <c r="AB241" s="544">
        <f>IF(VLOOKUP($E$241,[1]DATA_A11!$A$2:$FA$200, 27, FALSE)="",":",VLOOKUP($E$241,[1]DATA_A11!$A$2:$FA$200, 27, FALSE))</f>
        <v>8</v>
      </c>
      <c r="AC241" s="544" t="str">
        <f>IF(VLOOKUP($E$241,[1]DATA_A11!$A$2:$FA$200, 28, FALSE)="",":",VLOOKUP($E$241,[1]DATA_A11!$A$2:$FA$200, 28, FALSE))</f>
        <v>n.a.</v>
      </c>
      <c r="AD241" s="544" t="str">
        <f>IF(VLOOKUP($E$241,[1]DATA_A11!$A$2:$FA$200, 29, FALSE)="",":",VLOOKUP($E$241,[1]DATA_A11!$A$2:$FA$200, 29, FALSE))</f>
        <v>:</v>
      </c>
      <c r="AE241" s="544" t="str">
        <f>IF(VLOOKUP($E$241,[1]DATA_A11!$A$2:$FA$200, 30, FALSE)="",":",VLOOKUP($E$241,[1]DATA_A11!$A$2:$FA$200, 30, FALSE))</f>
        <v>:</v>
      </c>
      <c r="AF241" s="544" t="str">
        <f>IF(VLOOKUP($E$241,[1]DATA_A11!$A$2:$FA$200, 31, FALSE)="",":",VLOOKUP($E$241,[1]DATA_A11!$A$2:$FA$200, 31, FALSE))</f>
        <v>:</v>
      </c>
    </row>
    <row r="242" spans="1:32" s="540" customFormat="1">
      <c r="A242" s="1954"/>
      <c r="B242" s="537" t="s">
        <v>1046</v>
      </c>
      <c r="C242" s="538" t="s">
        <v>1047</v>
      </c>
      <c r="D242" s="528"/>
      <c r="E242" s="529"/>
      <c r="F242" s="539"/>
      <c r="G242" s="545">
        <f>+G240-G241</f>
        <v>0</v>
      </c>
      <c r="H242" s="545">
        <f t="shared" ref="H242:R242" si="12">+H240-H241</f>
        <v>0</v>
      </c>
      <c r="I242" s="545">
        <f t="shared" si="12"/>
        <v>0</v>
      </c>
      <c r="J242" s="545">
        <f t="shared" si="12"/>
        <v>0</v>
      </c>
      <c r="K242" s="545">
        <f t="shared" si="12"/>
        <v>0</v>
      </c>
      <c r="L242" s="545">
        <f t="shared" si="12"/>
        <v>0</v>
      </c>
      <c r="M242" s="545">
        <f t="shared" si="12"/>
        <v>0</v>
      </c>
      <c r="N242" s="545">
        <f t="shared" si="12"/>
        <v>0</v>
      </c>
      <c r="O242" s="545">
        <f t="shared" si="12"/>
        <v>0</v>
      </c>
      <c r="P242" s="545">
        <f t="shared" si="12"/>
        <v>0.5792400370713624</v>
      </c>
      <c r="Q242" s="545" t="e">
        <f t="shared" si="12"/>
        <v>#VALUE!</v>
      </c>
      <c r="R242" s="545" t="e">
        <f t="shared" si="12"/>
        <v>#VALUE!</v>
      </c>
      <c r="S242" s="545" t="e">
        <f t="shared" ref="S242:AF242" si="13">+S240-S241</f>
        <v>#VALUE!</v>
      </c>
      <c r="T242" s="545">
        <f t="shared" si="13"/>
        <v>-9</v>
      </c>
      <c r="U242" s="545">
        <f t="shared" si="13"/>
        <v>3</v>
      </c>
      <c r="V242" s="545">
        <f t="shared" si="13"/>
        <v>-22</v>
      </c>
      <c r="W242" s="545">
        <f t="shared" si="13"/>
        <v>-17</v>
      </c>
      <c r="X242" s="545">
        <f t="shared" si="13"/>
        <v>-4</v>
      </c>
      <c r="Y242" s="545">
        <f t="shared" si="13"/>
        <v>-6</v>
      </c>
      <c r="Z242" s="545">
        <f t="shared" si="13"/>
        <v>3</v>
      </c>
      <c r="AA242" s="545">
        <f t="shared" si="13"/>
        <v>1</v>
      </c>
      <c r="AB242" s="545">
        <f t="shared" si="13"/>
        <v>9</v>
      </c>
      <c r="AC242" s="545" t="e">
        <f t="shared" si="13"/>
        <v>#VALUE!</v>
      </c>
      <c r="AD242" s="545" t="e">
        <f t="shared" si="13"/>
        <v>#VALUE!</v>
      </c>
      <c r="AE242" s="545" t="e">
        <f t="shared" si="13"/>
        <v>#VALUE!</v>
      </c>
      <c r="AF242" s="545" t="e">
        <f t="shared" si="13"/>
        <v>#VALUE!</v>
      </c>
    </row>
    <row r="243" spans="1:32">
      <c r="A243" s="533"/>
      <c r="B243" s="534"/>
      <c r="C243" s="535"/>
      <c r="D243" s="12"/>
      <c r="E243" s="13"/>
      <c r="F243" s="14"/>
      <c r="G243" s="544"/>
      <c r="H243" s="544"/>
      <c r="I243" s="544"/>
      <c r="J243" s="544"/>
      <c r="K243" s="544"/>
      <c r="L243" s="544"/>
      <c r="M243" s="544"/>
      <c r="N243" s="544"/>
      <c r="O243" s="544"/>
      <c r="P243" s="544"/>
      <c r="Q243" s="544"/>
      <c r="R243" s="544"/>
      <c r="S243" s="544"/>
      <c r="T243" s="544"/>
      <c r="U243" s="544"/>
      <c r="V243" s="544"/>
      <c r="W243" s="544"/>
      <c r="X243" s="544"/>
      <c r="Y243" s="544"/>
      <c r="Z243" s="544"/>
      <c r="AA243" s="544"/>
      <c r="AB243" s="544"/>
      <c r="AC243" s="544"/>
      <c r="AD243" s="544"/>
      <c r="AE243" s="544"/>
      <c r="AF243" s="544"/>
    </row>
    <row r="244" spans="1:32">
      <c r="A244" s="1954"/>
      <c r="B244" s="534"/>
      <c r="C244" s="535" t="s">
        <v>1428</v>
      </c>
      <c r="D244" s="12" t="s">
        <v>879</v>
      </c>
      <c r="E244" s="13">
        <v>2902</v>
      </c>
      <c r="F244" s="14" t="str">
        <f>VLOOKUP($E$244,[1]DATA_A11!$A$2:$FA$200, 3, FALSE)</f>
        <v>2902 Social contributions (received by RoW)</v>
      </c>
      <c r="G244" s="544" t="str">
        <f>IF(VLOOKUP($E$244,[1]DATA_A11!$A$2:$FA$200, 6, FALSE)="",":",VLOOKUP($E$244,[1]DATA_A11!$A$2:$FA$200, 6, FALSE))</f>
        <v>n.a.</v>
      </c>
      <c r="H244" s="544" t="str">
        <f>IF(VLOOKUP($E$244,[1]DATA_A11!$A$2:$FA$200, 7, FALSE)="",":",VLOOKUP($E$244,[1]DATA_A11!$A$2:$FA$200, 7, FALSE))</f>
        <v>n.a.</v>
      </c>
      <c r="I244" s="544" t="str">
        <f>IF(VLOOKUP($E$244,[1]DATA_A11!$A$2:$FA$200, 8, FALSE)="",":",VLOOKUP($E$244,[1]DATA_A11!$A$2:$FA$200, 8, FALSE))</f>
        <v>n.a.</v>
      </c>
      <c r="J244" s="544" t="str">
        <f>IF(VLOOKUP($E$244,[1]DATA_A11!$A$2:$FA$200, 9, FALSE)="",":",VLOOKUP($E$244,[1]DATA_A11!$A$2:$FA$200, 9, FALSE))</f>
        <v>n.a.</v>
      </c>
      <c r="K244" s="544" t="str">
        <f>IF(VLOOKUP($E$244,[1]DATA_A11!$A$2:$FA$200, 10, FALSE)="",":",VLOOKUP($E$244,[1]DATA_A11!$A$2:$FA$200, 10, FALSE))</f>
        <v>n.a.</v>
      </c>
      <c r="L244" s="544" t="str">
        <f>IF(VLOOKUP($E$244,[1]DATA_A11!$A$2:$FA$200, 11, FALSE)="",":",VLOOKUP($E$244,[1]DATA_A11!$A$2:$FA$200, 11, FALSE))</f>
        <v>n.a.</v>
      </c>
      <c r="M244" s="544" t="str">
        <f>IF(VLOOKUP($E$244,[1]DATA_A11!$A$2:$FA$200, 12, FALSE)="",":",VLOOKUP($E$244,[1]DATA_A11!$A$2:$FA$200, 12, FALSE))</f>
        <v>n.a.</v>
      </c>
      <c r="N244" s="544" t="str">
        <f>IF(VLOOKUP($E$244,[1]DATA_A11!$A$2:$FA$200, 13, FALSE)="",":",VLOOKUP($E$244,[1]DATA_A11!$A$2:$FA$200, 13, FALSE))</f>
        <v>n.a.</v>
      </c>
      <c r="O244" s="544" t="str">
        <f>IF(VLOOKUP($E$244,[1]DATA_A11!$A$2:$FA$200, 14, FALSE)="",":",VLOOKUP($E$244,[1]DATA_A11!$A$2:$FA$200, 14, FALSE))</f>
        <v>n.a.</v>
      </c>
      <c r="P244" s="544" t="str">
        <f>IF(VLOOKUP($E$244,[1]DATA_A11!$A$2:$FA$200, 15, FALSE)="",":",VLOOKUP($E$244,[1]DATA_A11!$A$2:$FA$200, 15, FALSE))</f>
        <v>n.a.</v>
      </c>
      <c r="Q244" s="544" t="str">
        <f>IF(VLOOKUP($E$244,[1]DATA_A11!$A$2:$FA$200, 16, FALSE)="",":",VLOOKUP($E$244,[1]DATA_A11!$A$2:$FA$200, 16, FALSE))</f>
        <v>n.a.</v>
      </c>
      <c r="R244" s="544" t="str">
        <f>IF(VLOOKUP($E$244,[1]DATA_A11!$A$2:$FA$200, 17, FALSE)="",":",VLOOKUP($E$244,[1]DATA_A11!$A$2:$FA$200, 17, FALSE))</f>
        <v>n.a.</v>
      </c>
      <c r="S244" s="544" t="str">
        <f>IF(VLOOKUP($E$244,[1]DATA_A11!$A$2:$FA$200, 18, FALSE)="",":",VLOOKUP($E$244,[1]DATA_A11!$A$2:$FA$200, 18, FALSE))</f>
        <v>n.a.</v>
      </c>
      <c r="T244" s="544">
        <f>IF(VLOOKUP($E$244,[1]DATA_A11!$A$2:$FA$200, 19, FALSE)="",":",VLOOKUP($E$244,[1]DATA_A11!$A$2:$FA$200, 19, FALSE))</f>
        <v>31</v>
      </c>
      <c r="U244" s="544">
        <f>IF(VLOOKUP($E$244,[1]DATA_A11!$A$2:$FA$200, 19, FALSE)="",":",VLOOKUP($E$244,[1]DATA_A11!$A$2:$FA$200, 19, FALSE))</f>
        <v>31</v>
      </c>
      <c r="V244" s="544">
        <f>IF(VLOOKUP($E$244,[1]DATA_A11!$A$2:$FA$200, 21, FALSE)="",":",VLOOKUP($E$244,[1]DATA_A11!$A$2:$FA$200, 21, FALSE))</f>
        <v>43</v>
      </c>
      <c r="W244" s="544">
        <f>IF(VLOOKUP($E$244,[1]DATA_A11!$A$2:$FA$200, 22, FALSE)="",":",VLOOKUP($E$244,[1]DATA_A11!$A$2:$FA$200, 22, FALSE))</f>
        <v>38</v>
      </c>
      <c r="X244" s="544">
        <f>IF(VLOOKUP($E$244,[1]DATA_A11!$A$2:$FA$200, 23, FALSE)="",":",VLOOKUP($E$244,[1]DATA_A11!$A$2:$FA$200, 23, FALSE))</f>
        <v>17</v>
      </c>
      <c r="Y244" s="544">
        <f>IF(VLOOKUP($E$244,[1]DATA_A11!$A$2:$FA$200, 24, FALSE)="",":",VLOOKUP($E$244,[1]DATA_A11!$A$2:$FA$200, 24, FALSE))</f>
        <v>20</v>
      </c>
      <c r="Z244" s="544">
        <f>IF(VLOOKUP($E$244,[1]DATA_A11!$A$2:$FA$200, 25, FALSE)="",":",VLOOKUP($E$244,[1]DATA_A11!$A$2:$FA$200, 25, FALSE))</f>
        <v>16</v>
      </c>
      <c r="AA244" s="544">
        <f>IF(VLOOKUP($E$244,[1]DATA_A11!$A$2:$FA$200, 26, FALSE)="",":",VLOOKUP($E$244,[1]DATA_A11!$A$2:$FA$200, 26, FALSE))</f>
        <v>16</v>
      </c>
      <c r="AB244" s="544">
        <f>IF(VLOOKUP($E$244,[1]DATA_A11!$A$2:$FA$200, 27, FALSE)="",":",VLOOKUP($E$244,[1]DATA_A11!$A$2:$FA$200, 27, FALSE))</f>
        <v>10</v>
      </c>
      <c r="AC244" s="544" t="str">
        <f>IF(VLOOKUP($E$244,[1]DATA_A11!$A$2:$FA$200, 28, FALSE)="",":",VLOOKUP($E$244,[1]DATA_A11!$A$2:$FA$200, 28, FALSE))</f>
        <v>n.a.</v>
      </c>
      <c r="AD244" s="544" t="str">
        <f>IF(VLOOKUP($E$244,[1]DATA_A11!$A$2:$FA$200, 29, FALSE)="",":",VLOOKUP($E$244,[1]DATA_A11!$A$2:$FA$200, 29, FALSE))</f>
        <v>:</v>
      </c>
      <c r="AE244" s="544" t="str">
        <f>IF(VLOOKUP($E$244,[1]DATA_A11!$A$2:$FA$200, 30, FALSE)="",":",VLOOKUP($E$244,[1]DATA_A11!$A$2:$FA$200, 30, FALSE))</f>
        <v>:</v>
      </c>
      <c r="AF244" s="544" t="str">
        <f>IF(VLOOKUP($E$244,[1]DATA_A11!$A$2:$FA$200, 31, FALSE)="",":",VLOOKUP($E$244,[1]DATA_A11!$A$2:$FA$200, 31, FALSE))</f>
        <v>:</v>
      </c>
    </row>
    <row r="245" spans="1:32">
      <c r="A245" s="1954"/>
      <c r="B245" s="534"/>
      <c r="C245" s="535" t="s">
        <v>1432</v>
      </c>
      <c r="D245" s="12" t="s">
        <v>879</v>
      </c>
      <c r="E245" s="13">
        <v>2907</v>
      </c>
      <c r="F245" s="14" t="str">
        <f>VLOOKUP($E$245,[1]DATA_A11!$A$2:$FA$200, 3, FALSE)</f>
        <v>2907 Social contributions (paid by RoW)</v>
      </c>
      <c r="G245" s="544">
        <f>IF(VLOOKUP($E$245,[1]DATA_A11!$A$2:$FA$200, 6, FALSE)="",":",VLOOKUP($E$245,[1]DATA_A11!$A$2:$FA$200, 6, FALSE))</f>
        <v>0</v>
      </c>
      <c r="H245" s="544">
        <f>IF(VLOOKUP($E$245,[1]DATA_A11!$A$2:$FA$200, 7, FALSE)="",":",VLOOKUP($E$245,[1]DATA_A11!$A$2:$FA$200, 7, FALSE))</f>
        <v>0</v>
      </c>
      <c r="I245" s="544">
        <f>IF(VLOOKUP($E$245,[1]DATA_A11!$A$2:$FA$200, 8, FALSE)="",":",VLOOKUP($E$245,[1]DATA_A11!$A$2:$FA$200, 8, FALSE))</f>
        <v>0</v>
      </c>
      <c r="J245" s="544">
        <f>IF(VLOOKUP($E$245,[1]DATA_A11!$A$2:$FA$200, 9, FALSE)="",":",VLOOKUP($E$245,[1]DATA_A11!$A$2:$FA$200, 9, FALSE))</f>
        <v>0</v>
      </c>
      <c r="K245" s="544">
        <f>IF(VLOOKUP($E$245,[1]DATA_A11!$A$2:$FA$200, 10, FALSE)="",":",VLOOKUP($E$245,[1]DATA_A11!$A$2:$FA$200, 10, FALSE))</f>
        <v>0</v>
      </c>
      <c r="L245" s="544">
        <f>IF(VLOOKUP($E$245,[1]DATA_A11!$A$2:$FA$200, 11, FALSE)="",":",VLOOKUP($E$245,[1]DATA_A11!$A$2:$FA$200, 11, FALSE))</f>
        <v>0</v>
      </c>
      <c r="M245" s="544">
        <f>IF(VLOOKUP($E$245,[1]DATA_A11!$A$2:$FA$200, 12, FALSE)="",":",VLOOKUP($E$245,[1]DATA_A11!$A$2:$FA$200, 12, FALSE))</f>
        <v>0</v>
      </c>
      <c r="N245" s="544">
        <f>IF(VLOOKUP($E$245,[1]DATA_A11!$A$2:$FA$200, 13, FALSE)="",":",VLOOKUP($E$245,[1]DATA_A11!$A$2:$FA$200, 13, FALSE))</f>
        <v>0</v>
      </c>
      <c r="O245" s="544">
        <f>IF(VLOOKUP($E$245,[1]DATA_A11!$A$2:$FA$200, 14, FALSE)="",":",VLOOKUP($E$245,[1]DATA_A11!$A$2:$FA$200, 14, FALSE))</f>
        <v>0</v>
      </c>
      <c r="P245" s="544">
        <f>IF(VLOOKUP($E$245,[1]DATA_A11!$A$2:$FA$200, 15, FALSE)="",":",VLOOKUP($E$245,[1]DATA_A11!$A$2:$FA$200, 15, FALSE))</f>
        <v>0</v>
      </c>
      <c r="Q245" s="544">
        <f>IF(VLOOKUP($E$245,[1]DATA_A11!$A$2:$FA$200, 16, FALSE)="",":",VLOOKUP($E$245,[1]DATA_A11!$A$2:$FA$200, 16, FALSE))</f>
        <v>1</v>
      </c>
      <c r="R245" s="544">
        <f>IF(VLOOKUP($E$245,[1]DATA_A11!$A$2:$FA$200, 17, FALSE)="",":",VLOOKUP($E$245,[1]DATA_A11!$A$2:$FA$200, 17, FALSE))</f>
        <v>1</v>
      </c>
      <c r="S245" s="544">
        <f>IF(VLOOKUP($E$245,[1]DATA_A11!$A$2:$FA$200, 18, FALSE)="",":",VLOOKUP($E$245,[1]DATA_A11!$A$2:$FA$200, 18, FALSE))</f>
        <v>1</v>
      </c>
      <c r="T245" s="544">
        <f>IF(VLOOKUP($E$245,[1]DATA_A11!$A$2:$FA$200, 19, FALSE)="",":",VLOOKUP($E$245,[1]DATA_A11!$A$2:$FA$200, 19, FALSE))</f>
        <v>12</v>
      </c>
      <c r="U245" s="544">
        <f>IF(VLOOKUP($E$245,[1]DATA_A11!$A$2:$FA$200, 20, FALSE)="",":",VLOOKUP($E$245,[1]DATA_A11!$A$2:$FA$200, 20, FALSE))</f>
        <v>20</v>
      </c>
      <c r="V245" s="544">
        <f>IF(VLOOKUP($E$245,[1]DATA_A11!$A$2:$FA$200, 21, FALSE)="",":",VLOOKUP($E$245,[1]DATA_A11!$A$2:$FA$200, 21, FALSE))</f>
        <v>11</v>
      </c>
      <c r="W245" s="544">
        <f>IF(VLOOKUP($E$245,[1]DATA_A11!$A$2:$FA$200, 22, FALSE)="",":",VLOOKUP($E$245,[1]DATA_A11!$A$2:$FA$200, 22, FALSE))</f>
        <v>12</v>
      </c>
      <c r="X245" s="544">
        <f>IF(VLOOKUP($E$245,[1]DATA_A11!$A$2:$FA$200, 23, FALSE)="",":",VLOOKUP($E$245,[1]DATA_A11!$A$2:$FA$200, 23, FALSE))</f>
        <v>16</v>
      </c>
      <c r="Y245" s="544">
        <f>IF(VLOOKUP($E$245,[1]DATA_A11!$A$2:$FA$200, 24, FALSE)="",":",VLOOKUP($E$245,[1]DATA_A11!$A$2:$FA$200, 24, FALSE))</f>
        <v>17</v>
      </c>
      <c r="Z245" s="544">
        <f>IF(VLOOKUP($E$245,[1]DATA_A11!$A$2:$FA$200, 25, FALSE)="",":",VLOOKUP($E$245,[1]DATA_A11!$A$2:$FA$200, 25, FALSE))</f>
        <v>19</v>
      </c>
      <c r="AA245" s="544">
        <f>IF(VLOOKUP($E$245,[1]DATA_A11!$A$2:$FA$200, 26, FALSE)="",":",VLOOKUP($E$245,[1]DATA_A11!$A$2:$FA$200, 26, FALSE))</f>
        <v>15</v>
      </c>
      <c r="AB245" s="544">
        <f>IF(VLOOKUP($E$245,[1]DATA_A11!$A$2:$FA$200, 27, FALSE)="",":",VLOOKUP($E$245,[1]DATA_A11!$A$2:$FA$200, 27, FALSE))</f>
        <v>15</v>
      </c>
      <c r="AC245" s="544" t="str">
        <f>IF(VLOOKUP($E$245,[1]DATA_A11!$A$2:$FA$200, 28, FALSE)="",":",VLOOKUP($E$245,[1]DATA_A11!$A$2:$FA$200, 28, FALSE))</f>
        <v>n.a.</v>
      </c>
      <c r="AD245" s="544" t="str">
        <f>IF(VLOOKUP($E$245,[1]DATA_A11!$A$2:$FA$200, 29, FALSE)="",":",VLOOKUP($E$245,[1]DATA_A11!$A$2:$FA$200, 29, FALSE))</f>
        <v>:</v>
      </c>
      <c r="AE245" s="544" t="str">
        <f>IF(VLOOKUP($E$245,[1]DATA_A11!$A$2:$FA$200, 30, FALSE)="",":",VLOOKUP($E$245,[1]DATA_A11!$A$2:$FA$200, 30, FALSE))</f>
        <v>:</v>
      </c>
      <c r="AF245" s="544" t="str">
        <f>IF(VLOOKUP($E$245,[1]DATA_A11!$A$2:$FA$200, 31, FALSE)="",":",VLOOKUP($E$245,[1]DATA_A11!$A$2:$FA$200, 31, FALSE))</f>
        <v>:</v>
      </c>
    </row>
    <row r="246" spans="1:32" s="540" customFormat="1">
      <c r="A246" s="1954"/>
      <c r="B246" s="537"/>
      <c r="C246" s="538" t="s">
        <v>1048</v>
      </c>
      <c r="D246" s="528"/>
      <c r="E246" s="529"/>
      <c r="F246" s="539"/>
      <c r="G246" s="545" t="e">
        <f t="shared" ref="G246:AF246" si="14">+G244-G245</f>
        <v>#VALUE!</v>
      </c>
      <c r="H246" s="545" t="e">
        <f t="shared" si="14"/>
        <v>#VALUE!</v>
      </c>
      <c r="I246" s="545" t="e">
        <f t="shared" si="14"/>
        <v>#VALUE!</v>
      </c>
      <c r="J246" s="545" t="e">
        <f t="shared" si="14"/>
        <v>#VALUE!</v>
      </c>
      <c r="K246" s="545" t="e">
        <f t="shared" si="14"/>
        <v>#VALUE!</v>
      </c>
      <c r="L246" s="545" t="e">
        <f t="shared" si="14"/>
        <v>#VALUE!</v>
      </c>
      <c r="M246" s="545" t="e">
        <f t="shared" si="14"/>
        <v>#VALUE!</v>
      </c>
      <c r="N246" s="545" t="e">
        <f t="shared" si="14"/>
        <v>#VALUE!</v>
      </c>
      <c r="O246" s="545" t="e">
        <f t="shared" si="14"/>
        <v>#VALUE!</v>
      </c>
      <c r="P246" s="545" t="e">
        <f t="shared" si="14"/>
        <v>#VALUE!</v>
      </c>
      <c r="Q246" s="545" t="e">
        <f t="shared" si="14"/>
        <v>#VALUE!</v>
      </c>
      <c r="R246" s="545" t="e">
        <f t="shared" si="14"/>
        <v>#VALUE!</v>
      </c>
      <c r="S246" s="545" t="e">
        <f t="shared" si="14"/>
        <v>#VALUE!</v>
      </c>
      <c r="T246" s="545">
        <f t="shared" si="14"/>
        <v>19</v>
      </c>
      <c r="U246" s="545">
        <f t="shared" si="14"/>
        <v>11</v>
      </c>
      <c r="V246" s="545">
        <f t="shared" si="14"/>
        <v>32</v>
      </c>
      <c r="W246" s="545">
        <f t="shared" si="14"/>
        <v>26</v>
      </c>
      <c r="X246" s="545">
        <f t="shared" si="14"/>
        <v>1</v>
      </c>
      <c r="Y246" s="545">
        <f t="shared" si="14"/>
        <v>3</v>
      </c>
      <c r="Z246" s="545">
        <f t="shared" si="14"/>
        <v>-3</v>
      </c>
      <c r="AA246" s="545">
        <f t="shared" si="14"/>
        <v>1</v>
      </c>
      <c r="AB246" s="545">
        <f t="shared" si="14"/>
        <v>-5</v>
      </c>
      <c r="AC246" s="545" t="e">
        <f t="shared" si="14"/>
        <v>#VALUE!</v>
      </c>
      <c r="AD246" s="545" t="e">
        <f t="shared" si="14"/>
        <v>#VALUE!</v>
      </c>
      <c r="AE246" s="545" t="e">
        <f t="shared" si="14"/>
        <v>#VALUE!</v>
      </c>
      <c r="AF246" s="545" t="e">
        <f t="shared" si="14"/>
        <v>#VALUE!</v>
      </c>
    </row>
    <row r="247" spans="1:32">
      <c r="A247" s="533"/>
      <c r="B247" s="534"/>
      <c r="C247" s="535"/>
      <c r="D247" s="12"/>
      <c r="E247" s="13"/>
      <c r="F247" s="14"/>
      <c r="G247" s="544"/>
      <c r="H247" s="544"/>
      <c r="I247" s="544"/>
      <c r="J247" s="544"/>
      <c r="K247" s="544"/>
      <c r="L247" s="544"/>
      <c r="M247" s="544"/>
      <c r="N247" s="544"/>
      <c r="O247" s="544"/>
      <c r="P247" s="544"/>
      <c r="Q247" s="544"/>
      <c r="R247" s="544"/>
      <c r="S247" s="544"/>
      <c r="T247" s="544"/>
      <c r="U247" s="544"/>
      <c r="V247" s="544"/>
      <c r="W247" s="544"/>
      <c r="X247" s="544"/>
      <c r="Y247" s="544"/>
      <c r="Z247" s="544"/>
      <c r="AA247" s="544"/>
      <c r="AB247" s="544"/>
      <c r="AC247" s="544"/>
      <c r="AD247" s="544"/>
      <c r="AE247" s="544"/>
      <c r="AF247" s="544"/>
    </row>
    <row r="248" spans="1:32">
      <c r="A248" s="1954"/>
      <c r="B248" s="534"/>
      <c r="C248" s="535" t="s">
        <v>1429</v>
      </c>
      <c r="D248" s="12" t="s">
        <v>879</v>
      </c>
      <c r="E248" s="13">
        <v>2903</v>
      </c>
      <c r="F248" s="14" t="str">
        <f>VLOOKUP($E$248,[1]DATA_A11!$A$2:$FA$200, 3, FALSE)</f>
        <v>2903 Social benefits other than social transfers in kind (received by RoW)</v>
      </c>
      <c r="G248" s="544">
        <f>IF(VLOOKUP($E$248,[1]DATA_A11!$A$2:$FA$200, 6, FALSE)="",":",VLOOKUP($E$248,[1]DATA_A11!$A$2:$FA$200, 6, FALSE))</f>
        <v>0</v>
      </c>
      <c r="H248" s="544">
        <f>IF(VLOOKUP($E$248,[1]DATA_A11!$A$2:$FA$200, 7, FALSE)="",":",VLOOKUP($E$248,[1]DATA_A11!$A$2:$FA$200, 7, FALSE))</f>
        <v>0</v>
      </c>
      <c r="I248" s="544">
        <f>IF(VLOOKUP($E$248,[1]DATA_A11!$A$2:$FA$200, 8, FALSE)="",":",VLOOKUP($E$248,[1]DATA_A11!$A$2:$FA$200, 8, FALSE))</f>
        <v>0</v>
      </c>
      <c r="J248" s="544">
        <f>IF(VLOOKUP($E$248,[1]DATA_A11!$A$2:$FA$200, 9, FALSE)="",":",VLOOKUP($E$248,[1]DATA_A11!$A$2:$FA$200, 9, FALSE))</f>
        <v>0</v>
      </c>
      <c r="K248" s="544">
        <f>IF(VLOOKUP($E$248,[1]DATA_A11!$A$2:$FA$200, 10, FALSE)="",":",VLOOKUP($E$248,[1]DATA_A11!$A$2:$FA$200, 10, FALSE))</f>
        <v>0</v>
      </c>
      <c r="L248" s="544">
        <f>IF(VLOOKUP($E$248,[1]DATA_A11!$A$2:$FA$200, 11, FALSE)="",":",VLOOKUP($E$248,[1]DATA_A11!$A$2:$FA$200, 11, FALSE))</f>
        <v>0</v>
      </c>
      <c r="M248" s="544">
        <f>IF(VLOOKUP($E$248,[1]DATA_A11!$A$2:$FA$200, 12, FALSE)="",":",VLOOKUP($E$248,[1]DATA_A11!$A$2:$FA$200, 12, FALSE))</f>
        <v>0.2896200185356812</v>
      </c>
      <c r="N248" s="544">
        <f>IF(VLOOKUP($E$248,[1]DATA_A11!$A$2:$FA$200, 13, FALSE)="",":",VLOOKUP($E$248,[1]DATA_A11!$A$2:$FA$200, 13, FALSE))</f>
        <v>0.2896200185356812</v>
      </c>
      <c r="O248" s="544">
        <f>IF(VLOOKUP($E$248,[1]DATA_A11!$A$2:$FA$200, 14, FALSE)="",":",VLOOKUP($E$248,[1]DATA_A11!$A$2:$FA$200, 14, FALSE))</f>
        <v>0.2896200185356812</v>
      </c>
      <c r="P248" s="544">
        <f>IF(VLOOKUP($E$248,[1]DATA_A11!$A$2:$FA$200, 15, FALSE)="",":",VLOOKUP($E$248,[1]DATA_A11!$A$2:$FA$200, 15, FALSE))</f>
        <v>0.5792400370713624</v>
      </c>
      <c r="Q248" s="544">
        <f>IF(VLOOKUP($E$248,[1]DATA_A11!$A$2:$FA$200, 16, FALSE)="",":",VLOOKUP($E$248,[1]DATA_A11!$A$2:$FA$200, 16, FALSE))</f>
        <v>1</v>
      </c>
      <c r="R248" s="544">
        <f>IF(VLOOKUP($E$248,[1]DATA_A11!$A$2:$FA$200, 17, FALSE)="",":",VLOOKUP($E$248,[1]DATA_A11!$A$2:$FA$200, 17, FALSE))</f>
        <v>1</v>
      </c>
      <c r="S248" s="544">
        <f>IF(VLOOKUP($E$248,[1]DATA_A11!$A$2:$FA$200, 18, FALSE)="",":",VLOOKUP($E$248,[1]DATA_A11!$A$2:$FA$200, 18, FALSE))</f>
        <v>2</v>
      </c>
      <c r="T248" s="544">
        <f>IF(VLOOKUP($E$248,[1]DATA_A11!$A$2:$FA$200, 19, FALSE)="",":",VLOOKUP($E$248,[1]DATA_A11!$A$2:$FA$200, 19, FALSE))</f>
        <v>3</v>
      </c>
      <c r="U248" s="544">
        <f>IF(VLOOKUP($E$248,[1]DATA_A11!$A$2:$FA$200, 20, FALSE)="",":",VLOOKUP($E$248,[1]DATA_A11!$A$2:$FA$200, 20, FALSE))</f>
        <v>3</v>
      </c>
      <c r="V248" s="544">
        <f>IF(VLOOKUP($E$248,[1]DATA_A11!$A$2:$FA$200, 21, FALSE)="",":",VLOOKUP($E$248,[1]DATA_A11!$A$2:$FA$200, 21, FALSE))</f>
        <v>3</v>
      </c>
      <c r="W248" s="544">
        <f>IF(VLOOKUP($E$248,[1]DATA_A11!$A$2:$FA$200, 22, FALSE)="",":",VLOOKUP($E$248,[1]DATA_A11!$A$2:$FA$200, 22, FALSE))</f>
        <v>4</v>
      </c>
      <c r="X248" s="544">
        <f>IF(VLOOKUP($E$248,[1]DATA_A11!$A$2:$FA$200, 23, FALSE)="",":",VLOOKUP($E$248,[1]DATA_A11!$A$2:$FA$200, 23, FALSE))</f>
        <v>4</v>
      </c>
      <c r="Y248" s="544">
        <f>IF(VLOOKUP($E$248,[1]DATA_A11!$A$2:$FA$200, 24, FALSE)="",":",VLOOKUP($E$248,[1]DATA_A11!$A$2:$FA$200, 24, FALSE))</f>
        <v>6</v>
      </c>
      <c r="Z248" s="544">
        <f>IF(VLOOKUP($E$248,[1]DATA_A11!$A$2:$FA$200, 25, FALSE)="",":",VLOOKUP($E$248,[1]DATA_A11!$A$2:$FA$200, 25, FALSE))</f>
        <v>8</v>
      </c>
      <c r="AA248" s="544">
        <f>IF(VLOOKUP($E$248,[1]DATA_A11!$A$2:$FA$200, 26, FALSE)="",":",VLOOKUP($E$248,[1]DATA_A11!$A$2:$FA$200, 26, FALSE))</f>
        <v>8</v>
      </c>
      <c r="AB248" s="544">
        <f>IF(VLOOKUP($E$248,[1]DATA_A11!$A$2:$FA$200, 27, FALSE)="",":",VLOOKUP($E$248,[1]DATA_A11!$A$2:$FA$200, 27, FALSE))</f>
        <v>9</v>
      </c>
      <c r="AC248" s="544" t="str">
        <f>IF(VLOOKUP($E$248,[1]DATA_A11!$A$2:$FA$200, 28, FALSE)="",":",VLOOKUP($E$248,[1]DATA_A11!$A$2:$FA$200, 28, FALSE))</f>
        <v>n.a.</v>
      </c>
      <c r="AD248" s="544" t="str">
        <f>IF(VLOOKUP($E$248,[1]DATA_A11!$A$2:$FA$200, 29, FALSE)="",":",VLOOKUP($E$248,[1]DATA_A11!$A$2:$FA$200, 29, FALSE))</f>
        <v>:</v>
      </c>
      <c r="AE248" s="544" t="str">
        <f>IF(VLOOKUP($E$248,[1]DATA_A11!$A$2:$FA$200, 30, FALSE)="",":",VLOOKUP($E$248,[1]DATA_A11!$A$2:$FA$200, 30, FALSE))</f>
        <v>:</v>
      </c>
      <c r="AF248" s="544" t="str">
        <f>IF(VLOOKUP($E$248,[1]DATA_A11!$A$2:$FA$200, 31, FALSE)="",":",VLOOKUP($E$248,[1]DATA_A11!$A$2:$FA$200, 31, FALSE))</f>
        <v>:</v>
      </c>
    </row>
    <row r="249" spans="1:32">
      <c r="A249" s="1954"/>
      <c r="B249" s="534"/>
      <c r="C249" s="535" t="s">
        <v>1433</v>
      </c>
      <c r="D249" s="12" t="s">
        <v>879</v>
      </c>
      <c r="E249" s="13">
        <v>2908</v>
      </c>
      <c r="F249" s="14" t="str">
        <f>VLOOKUP($E$249,[1]DATA_A11!$A$2:$FA$200, 3, FALSE)</f>
        <v>2908 Social benefits other than social transfers in kind (paid by RoW)</v>
      </c>
      <c r="G249" s="544">
        <f>IF(VLOOKUP($E$249,[1]DATA_A11!$A$2:$FA$200, 6, FALSE)="",":",VLOOKUP($E$249,[1]DATA_A11!$A$2:$FA$200, 6, FALSE))</f>
        <v>0</v>
      </c>
      <c r="H249" s="544">
        <f>IF(VLOOKUP($E$249,[1]DATA_A11!$A$2:$FA$200, 7, FALSE)="",":",VLOOKUP($E$249,[1]DATA_A11!$A$2:$FA$200, 7, FALSE))</f>
        <v>0</v>
      </c>
      <c r="I249" s="544">
        <f>IF(VLOOKUP($E$249,[1]DATA_A11!$A$2:$FA$200, 8, FALSE)="",":",VLOOKUP($E$249,[1]DATA_A11!$A$2:$FA$200, 8, FALSE))</f>
        <v>0</v>
      </c>
      <c r="J249" s="544">
        <f>IF(VLOOKUP($E$249,[1]DATA_A11!$A$2:$FA$200, 9, FALSE)="",":",VLOOKUP($E$249,[1]DATA_A11!$A$2:$FA$200, 9, FALSE))</f>
        <v>0</v>
      </c>
      <c r="K249" s="544">
        <f>IF(VLOOKUP($E$249,[1]DATA_A11!$A$2:$FA$200, 10, FALSE)="",":",VLOOKUP($E$249,[1]DATA_A11!$A$2:$FA$200, 10, FALSE))</f>
        <v>0</v>
      </c>
      <c r="L249" s="544">
        <f>IF(VLOOKUP($E$249,[1]DATA_A11!$A$2:$FA$200, 11, FALSE)="",":",VLOOKUP($E$249,[1]DATA_A11!$A$2:$FA$200, 11, FALSE))</f>
        <v>26.35542168674699</v>
      </c>
      <c r="M249" s="544">
        <f>IF(VLOOKUP($E$249,[1]DATA_A11!$A$2:$FA$200, 12, FALSE)="",":",VLOOKUP($E$249,[1]DATA_A11!$A$2:$FA$200, 12, FALSE))</f>
        <v>23.748841519925858</v>
      </c>
      <c r="N249" s="544">
        <f>IF(VLOOKUP($E$249,[1]DATA_A11!$A$2:$FA$200, 13, FALSE)="",":",VLOOKUP($E$249,[1]DATA_A11!$A$2:$FA$200, 13, FALSE))</f>
        <v>27.513901760889713</v>
      </c>
      <c r="O249" s="544">
        <f>IF(VLOOKUP($E$249,[1]DATA_A11!$A$2:$FA$200, 14, FALSE)="",":",VLOOKUP($E$249,[1]DATA_A11!$A$2:$FA$200, 14, FALSE))</f>
        <v>25.776181649675628</v>
      </c>
      <c r="P249" s="544">
        <f>IF(VLOOKUP($E$249,[1]DATA_A11!$A$2:$FA$200, 15, FALSE)="",":",VLOOKUP($E$249,[1]DATA_A11!$A$2:$FA$200, 15, FALSE))</f>
        <v>26.065801668211307</v>
      </c>
      <c r="Q249" s="544">
        <f>IF(VLOOKUP($E$249,[1]DATA_A11!$A$2:$FA$200, 16, FALSE)="",":",VLOOKUP($E$249,[1]DATA_A11!$A$2:$FA$200, 16, FALSE))</f>
        <v>30</v>
      </c>
      <c r="R249" s="544">
        <f>IF(VLOOKUP($E$249,[1]DATA_A11!$A$2:$FA$200, 17, FALSE)="",":",VLOOKUP($E$249,[1]DATA_A11!$A$2:$FA$200, 17, FALSE))</f>
        <v>29</v>
      </c>
      <c r="S249" s="544">
        <f>IF(VLOOKUP($E$249,[1]DATA_A11!$A$2:$FA$200, 18, FALSE)="",":",VLOOKUP($E$249,[1]DATA_A11!$A$2:$FA$200, 18, FALSE))</f>
        <v>27</v>
      </c>
      <c r="T249" s="544">
        <f>IF(VLOOKUP($E$249,[1]DATA_A11!$A$2:$FA$200, 19, FALSE)="",":",VLOOKUP($E$249,[1]DATA_A11!$A$2:$FA$200, 19, FALSE))</f>
        <v>36</v>
      </c>
      <c r="U249" s="544">
        <f>IF(VLOOKUP($E$249,[1]DATA_A11!$A$2:$FA$200, 20, FALSE)="",":",VLOOKUP($E$249,[1]DATA_A11!$A$2:$FA$200, 20, FALSE))</f>
        <v>30</v>
      </c>
      <c r="V249" s="544">
        <f>IF(VLOOKUP($E$249,[1]DATA_A11!$A$2:$FA$200, 21, FALSE)="",":",VLOOKUP($E$249,[1]DATA_A11!$A$2:$FA$200, 21, FALSE))</f>
        <v>34</v>
      </c>
      <c r="W249" s="544">
        <f>IF(VLOOKUP($E$249,[1]DATA_A11!$A$2:$FA$200, 22, FALSE)="",":",VLOOKUP($E$249,[1]DATA_A11!$A$2:$FA$200, 22, FALSE))</f>
        <v>24</v>
      </c>
      <c r="X249" s="544">
        <f>IF(VLOOKUP($E$249,[1]DATA_A11!$A$2:$FA$200, 23, FALSE)="",":",VLOOKUP($E$249,[1]DATA_A11!$A$2:$FA$200, 23, FALSE))</f>
        <v>21</v>
      </c>
      <c r="Y249" s="544">
        <f>IF(VLOOKUP($E$249,[1]DATA_A11!$A$2:$FA$200, 24, FALSE)="",":",VLOOKUP($E$249,[1]DATA_A11!$A$2:$FA$200, 24, FALSE))</f>
        <v>11</v>
      </c>
      <c r="Z249" s="544">
        <f>IF(VLOOKUP($E$249,[1]DATA_A11!$A$2:$FA$200, 25, FALSE)="",":",VLOOKUP($E$249,[1]DATA_A11!$A$2:$FA$200, 25, FALSE))</f>
        <v>12</v>
      </c>
      <c r="AA249" s="544">
        <f>IF(VLOOKUP($E$249,[1]DATA_A11!$A$2:$FA$200, 26, FALSE)="",":",VLOOKUP($E$249,[1]DATA_A11!$A$2:$FA$200, 26, FALSE))</f>
        <v>17</v>
      </c>
      <c r="AB249" s="544">
        <f>IF(VLOOKUP($E$249,[1]DATA_A11!$A$2:$FA$200, 27, FALSE)="",":",VLOOKUP($E$249,[1]DATA_A11!$A$2:$FA$200, 27, FALSE))</f>
        <v>16</v>
      </c>
      <c r="AC249" s="544" t="str">
        <f>IF(VLOOKUP($E$249,[1]DATA_A11!$A$2:$FA$200, 28, FALSE)="",":",VLOOKUP($E$249,[1]DATA_A11!$A$2:$FA$200, 28, FALSE))</f>
        <v>n.a.</v>
      </c>
      <c r="AD249" s="544" t="str">
        <f>IF(VLOOKUP($E$249,[1]DATA_A11!$A$2:$FA$200, 29, FALSE)="",":",VLOOKUP($E$249,[1]DATA_A11!$A$2:$FA$200, 29, FALSE))</f>
        <v>:</v>
      </c>
      <c r="AE249" s="544" t="str">
        <f>IF(VLOOKUP($E$249,[1]DATA_A11!$A$2:$FA$200, 30, FALSE)="",":",VLOOKUP($E$249,[1]DATA_A11!$A$2:$FA$200, 30, FALSE))</f>
        <v>:</v>
      </c>
      <c r="AF249" s="544" t="str">
        <f>IF(VLOOKUP($E$249,[1]DATA_A11!$A$2:$FA$200, 31, FALSE)="",":",VLOOKUP($E$249,[1]DATA_A11!$A$2:$FA$200, 31, FALSE))</f>
        <v>:</v>
      </c>
    </row>
    <row r="250" spans="1:32" s="540" customFormat="1">
      <c r="A250" s="1954"/>
      <c r="B250" s="537"/>
      <c r="C250" s="538" t="s">
        <v>1049</v>
      </c>
      <c r="D250" s="528"/>
      <c r="E250" s="529"/>
      <c r="F250" s="539"/>
      <c r="G250" s="545">
        <f t="shared" ref="G250:AF250" si="15">+G248-G249</f>
        <v>0</v>
      </c>
      <c r="H250" s="545">
        <f t="shared" si="15"/>
        <v>0</v>
      </c>
      <c r="I250" s="545">
        <f t="shared" si="15"/>
        <v>0</v>
      </c>
      <c r="J250" s="545">
        <f t="shared" si="15"/>
        <v>0</v>
      </c>
      <c r="K250" s="545">
        <f t="shared" si="15"/>
        <v>0</v>
      </c>
      <c r="L250" s="545">
        <f t="shared" si="15"/>
        <v>-26.35542168674699</v>
      </c>
      <c r="M250" s="545">
        <f t="shared" si="15"/>
        <v>-23.459221501390175</v>
      </c>
      <c r="N250" s="545">
        <f t="shared" si="15"/>
        <v>-27.22428174235403</v>
      </c>
      <c r="O250" s="545">
        <f t="shared" si="15"/>
        <v>-25.486561631139946</v>
      </c>
      <c r="P250" s="545">
        <f t="shared" si="15"/>
        <v>-25.486561631139946</v>
      </c>
      <c r="Q250" s="545">
        <f t="shared" si="15"/>
        <v>-29</v>
      </c>
      <c r="R250" s="545">
        <f t="shared" si="15"/>
        <v>-28</v>
      </c>
      <c r="S250" s="545">
        <f t="shared" si="15"/>
        <v>-25</v>
      </c>
      <c r="T250" s="545">
        <f t="shared" si="15"/>
        <v>-33</v>
      </c>
      <c r="U250" s="545">
        <f t="shared" si="15"/>
        <v>-27</v>
      </c>
      <c r="V250" s="545">
        <f t="shared" si="15"/>
        <v>-31</v>
      </c>
      <c r="W250" s="545">
        <f t="shared" si="15"/>
        <v>-20</v>
      </c>
      <c r="X250" s="545">
        <f t="shared" si="15"/>
        <v>-17</v>
      </c>
      <c r="Y250" s="545">
        <f t="shared" si="15"/>
        <v>-5</v>
      </c>
      <c r="Z250" s="545">
        <f t="shared" si="15"/>
        <v>-4</v>
      </c>
      <c r="AA250" s="545">
        <f t="shared" si="15"/>
        <v>-9</v>
      </c>
      <c r="AB250" s="545">
        <f t="shared" si="15"/>
        <v>-7</v>
      </c>
      <c r="AC250" s="545" t="e">
        <f t="shared" si="15"/>
        <v>#VALUE!</v>
      </c>
      <c r="AD250" s="545" t="e">
        <f t="shared" si="15"/>
        <v>#VALUE!</v>
      </c>
      <c r="AE250" s="545" t="e">
        <f t="shared" si="15"/>
        <v>#VALUE!</v>
      </c>
      <c r="AF250" s="545" t="e">
        <f t="shared" si="15"/>
        <v>#VALUE!</v>
      </c>
    </row>
    <row r="251" spans="1:32">
      <c r="A251" s="533"/>
      <c r="B251" s="534"/>
      <c r="C251" s="535"/>
      <c r="D251" s="12"/>
      <c r="E251" s="13"/>
      <c r="F251" s="14"/>
      <c r="G251" s="544"/>
      <c r="H251" s="544"/>
      <c r="I251" s="544"/>
      <c r="J251" s="544"/>
      <c r="K251" s="544"/>
      <c r="L251" s="544"/>
      <c r="M251" s="544"/>
      <c r="N251" s="544"/>
      <c r="O251" s="544"/>
      <c r="P251" s="544"/>
      <c r="Q251" s="544"/>
      <c r="R251" s="544"/>
      <c r="S251" s="544"/>
      <c r="T251" s="544"/>
      <c r="U251" s="544"/>
      <c r="V251" s="544"/>
      <c r="W251" s="544"/>
      <c r="X251" s="544"/>
      <c r="Y251" s="544"/>
      <c r="Z251" s="544"/>
      <c r="AA251" s="544"/>
      <c r="AB251" s="544"/>
      <c r="AC251" s="544"/>
      <c r="AD251" s="544"/>
      <c r="AE251" s="544"/>
      <c r="AF251" s="544"/>
    </row>
    <row r="252" spans="1:32">
      <c r="A252" s="1954"/>
      <c r="B252" s="534" t="s">
        <v>895</v>
      </c>
      <c r="C252" s="535" t="s">
        <v>1430</v>
      </c>
      <c r="D252" s="12" t="s">
        <v>879</v>
      </c>
      <c r="E252" s="13">
        <v>2905</v>
      </c>
      <c r="F252" s="14" t="str">
        <f>VLOOKUP($E$252,[1]DATA_A11!$A$2:$FA$200, 3, FALSE)</f>
        <v>2905 Other current transfers (received by RoW)</v>
      </c>
      <c r="G252" s="544">
        <f>IF(VLOOKUP($E$252,[1]DATA_A11!$A$2:$FA$200, 6, FALSE)="",":",VLOOKUP($E$252,[1]DATA_A11!$A$2:$FA$200, 6, FALSE))</f>
        <v>3.4754402224281744</v>
      </c>
      <c r="H252" s="544">
        <f>IF(VLOOKUP($E$252,[1]DATA_A11!$A$2:$FA$200, 7, FALSE)="",":",VLOOKUP($E$252,[1]DATA_A11!$A$2:$FA$200, 7, FALSE))</f>
        <v>6.3716404077849864</v>
      </c>
      <c r="I252" s="544">
        <f>IF(VLOOKUP($E$252,[1]DATA_A11!$A$2:$FA$200, 8, FALSE)="",":",VLOOKUP($E$252,[1]DATA_A11!$A$2:$FA$200, 8, FALSE))</f>
        <v>8.1093605189990736</v>
      </c>
      <c r="J252" s="544">
        <f>IF(VLOOKUP($E$252,[1]DATA_A11!$A$2:$FA$200, 9, FALSE)="",":",VLOOKUP($E$252,[1]DATA_A11!$A$2:$FA$200, 9, FALSE))</f>
        <v>6.3716404077849864</v>
      </c>
      <c r="K252" s="544">
        <f>IF(VLOOKUP($E$252,[1]DATA_A11!$A$2:$FA$200, 10, FALSE)="",":",VLOOKUP($E$252,[1]DATA_A11!$A$2:$FA$200, 10, FALSE))</f>
        <v>5.2131603336422616</v>
      </c>
      <c r="L252" s="544">
        <f>IF(VLOOKUP($E$252,[1]DATA_A11!$A$2:$FA$200, 11, FALSE)="",":",VLOOKUP($E$252,[1]DATA_A11!$A$2:$FA$200, 11, FALSE))</f>
        <v>4.92354031510658</v>
      </c>
      <c r="M252" s="544">
        <f>IF(VLOOKUP($E$252,[1]DATA_A11!$A$2:$FA$200, 12, FALSE)="",":",VLOOKUP($E$252,[1]DATA_A11!$A$2:$FA$200, 12, FALSE))</f>
        <v>4.92354031510658</v>
      </c>
      <c r="N252" s="544">
        <f>IF(VLOOKUP($E$252,[1]DATA_A11!$A$2:$FA$200, 13, FALSE)="",":",VLOOKUP($E$252,[1]DATA_A11!$A$2:$FA$200, 13, FALSE))</f>
        <v>18.535681186283597</v>
      </c>
      <c r="O252" s="544">
        <f>IF(VLOOKUP($E$252,[1]DATA_A11!$A$2:$FA$200, 14, FALSE)="",":",VLOOKUP($E$252,[1]DATA_A11!$A$2:$FA$200, 14, FALSE))</f>
        <v>19.114921223354958</v>
      </c>
      <c r="P252" s="544">
        <f>IF(VLOOKUP($E$252,[1]DATA_A11!$A$2:$FA$200, 15, FALSE)="",":",VLOOKUP($E$252,[1]DATA_A11!$A$2:$FA$200, 15, FALSE))</f>
        <v>118.16496756255793</v>
      </c>
      <c r="Q252" s="544">
        <f>IF(VLOOKUP($E$252,[1]DATA_A11!$A$2:$FA$200, 16, FALSE)="",":",VLOOKUP($E$252,[1]DATA_A11!$A$2:$FA$200, 16, FALSE))</f>
        <v>370</v>
      </c>
      <c r="R252" s="544">
        <f>IF(VLOOKUP($E$252,[1]DATA_A11!$A$2:$FA$200, 17, FALSE)="",":",VLOOKUP($E$252,[1]DATA_A11!$A$2:$FA$200, 17, FALSE))</f>
        <v>523</v>
      </c>
      <c r="S252" s="544">
        <f>IF(VLOOKUP($E$252,[1]DATA_A11!$A$2:$FA$200, 18, FALSE)="",":",VLOOKUP($E$252,[1]DATA_A11!$A$2:$FA$200, 18, FALSE))</f>
        <v>594</v>
      </c>
      <c r="T252" s="544">
        <f>IF(VLOOKUP($E$252,[1]DATA_A11!$A$2:$FA$200, 19, FALSE)="",":",VLOOKUP($E$252,[1]DATA_A11!$A$2:$FA$200, 19, FALSE))</f>
        <v>658</v>
      </c>
      <c r="U252" s="544">
        <f>IF(VLOOKUP($E$252,[1]DATA_A11!$A$2:$FA$200, 20, FALSE)="",":",VLOOKUP($E$252,[1]DATA_A11!$A$2:$FA$200, 20, FALSE))</f>
        <v>671</v>
      </c>
      <c r="V252" s="544">
        <f>IF(VLOOKUP($E$252,[1]DATA_A11!$A$2:$FA$200, 21, FALSE)="",":",VLOOKUP($E$252,[1]DATA_A11!$A$2:$FA$200, 21, FALSE))</f>
        <v>667</v>
      </c>
      <c r="W252" s="544">
        <f>IF(VLOOKUP($E$252,[1]DATA_A11!$A$2:$FA$200, 22, FALSE)="",":",VLOOKUP($E$252,[1]DATA_A11!$A$2:$FA$200, 22, FALSE))</f>
        <v>993</v>
      </c>
      <c r="X252" s="544">
        <f>IF(VLOOKUP($E$252,[1]DATA_A11!$A$2:$FA$200, 23, FALSE)="",":",VLOOKUP($E$252,[1]DATA_A11!$A$2:$FA$200, 23, FALSE))</f>
        <v>1071</v>
      </c>
      <c r="Y252" s="544">
        <f>IF(VLOOKUP($E$252,[1]DATA_A11!$A$2:$FA$200, 24, FALSE)="",":",VLOOKUP($E$252,[1]DATA_A11!$A$2:$FA$200, 24, FALSE))</f>
        <v>899</v>
      </c>
      <c r="Z252" s="544">
        <f>IF(VLOOKUP($E$252,[1]DATA_A11!$A$2:$FA$200, 25, FALSE)="",":",VLOOKUP($E$252,[1]DATA_A11!$A$2:$FA$200, 25, FALSE))</f>
        <v>859</v>
      </c>
      <c r="AA252" s="544">
        <f>IF(VLOOKUP($E$252,[1]DATA_A11!$A$2:$FA$200, 26, FALSE)="",":",VLOOKUP($E$252,[1]DATA_A11!$A$2:$FA$200, 26, FALSE))</f>
        <v>800</v>
      </c>
      <c r="AB252" s="544">
        <f>IF(VLOOKUP($E$252,[1]DATA_A11!$A$2:$FA$200, 27, FALSE)="",":",VLOOKUP($E$252,[1]DATA_A11!$A$2:$FA$200, 27, FALSE))</f>
        <v>798</v>
      </c>
      <c r="AC252" s="544" t="str">
        <f>IF(VLOOKUP($E$252,[1]DATA_A11!$A$2:$FA$200, 28, FALSE)="",":",VLOOKUP($E$252,[1]DATA_A11!$A$2:$FA$200, 28, FALSE))</f>
        <v>n.a.</v>
      </c>
      <c r="AD252" s="544" t="str">
        <f>IF(VLOOKUP($E$252,[1]DATA_A11!$A$2:$FA$200, 29, FALSE)="",":",VLOOKUP($E$252,[1]DATA_A11!$A$2:$FA$200, 29, FALSE))</f>
        <v>:</v>
      </c>
      <c r="AE252" s="544" t="str">
        <f>IF(VLOOKUP($E$252,[1]DATA_A11!$A$2:$FA$200, 30, FALSE)="",":",VLOOKUP($E$252,[1]DATA_A11!$A$2:$FA$200, 30, FALSE))</f>
        <v>:</v>
      </c>
      <c r="AF252" s="544" t="str">
        <f>IF(VLOOKUP($E$252,[1]DATA_A11!$A$2:$FA$200, 31, FALSE)="",":",VLOOKUP($E$252,[1]DATA_A11!$A$2:$FA$200, 31, FALSE))</f>
        <v>:</v>
      </c>
    </row>
    <row r="253" spans="1:32">
      <c r="A253" s="1954"/>
      <c r="B253" s="534" t="s">
        <v>894</v>
      </c>
      <c r="C253" s="535" t="s">
        <v>1434</v>
      </c>
      <c r="D253" s="12" t="s">
        <v>879</v>
      </c>
      <c r="E253" s="13">
        <v>2910</v>
      </c>
      <c r="F253" s="14" t="str">
        <f>VLOOKUP($E$253,[1]DATA_A11!$A$2:$FA$200, 3, FALSE)</f>
        <v>2910 Other current transfers (paid by RoW)</v>
      </c>
      <c r="G253" s="544">
        <f>IF(VLOOKUP($E$253,[1]DATA_A11!$A$2:$FA$200, 6, FALSE)="",":",VLOOKUP($E$253,[1]DATA_A11!$A$2:$FA$200, 6, FALSE))</f>
        <v>130.03938832252086</v>
      </c>
      <c r="H253" s="544">
        <f>IF(VLOOKUP($E$253,[1]DATA_A11!$A$2:$FA$200, 7, FALSE)="",":",VLOOKUP($E$253,[1]DATA_A11!$A$2:$FA$200, 7, FALSE))</f>
        <v>172.90315106580167</v>
      </c>
      <c r="I253" s="544">
        <f>IF(VLOOKUP($E$253,[1]DATA_A11!$A$2:$FA$200, 8, FALSE)="",":",VLOOKUP($E$253,[1]DATA_A11!$A$2:$FA$200, 8, FALSE))</f>
        <v>274.55977757182575</v>
      </c>
      <c r="J253" s="544">
        <f>IF(VLOOKUP($E$253,[1]DATA_A11!$A$2:$FA$200, 9, FALSE)="",":",VLOOKUP($E$253,[1]DATA_A11!$A$2:$FA$200, 9, FALSE))</f>
        <v>278.6144578313253</v>
      </c>
      <c r="K253" s="544">
        <f>IF(VLOOKUP($E$253,[1]DATA_A11!$A$2:$FA$200, 10, FALSE)="",":",VLOOKUP($E$253,[1]DATA_A11!$A$2:$FA$200, 10, FALSE))</f>
        <v>194.04541241890641</v>
      </c>
      <c r="L253" s="544">
        <f>IF(VLOOKUP($E$253,[1]DATA_A11!$A$2:$FA$200, 11, FALSE)="",":",VLOOKUP($E$253,[1]DATA_A11!$A$2:$FA$200, 11, FALSE))</f>
        <v>259.49953660797036</v>
      </c>
      <c r="M253" s="544">
        <f>IF(VLOOKUP($E$253,[1]DATA_A11!$A$2:$FA$200, 12, FALSE)="",":",VLOOKUP($E$253,[1]DATA_A11!$A$2:$FA$200, 12, FALSE))</f>
        <v>279.19369786839667</v>
      </c>
      <c r="N253" s="544">
        <f>IF(VLOOKUP($E$253,[1]DATA_A11!$A$2:$FA$200, 13, FALSE)="",":",VLOOKUP($E$253,[1]DATA_A11!$A$2:$FA$200, 13, FALSE))</f>
        <v>227.93095458758111</v>
      </c>
      <c r="O253" s="544">
        <f>IF(VLOOKUP($E$253,[1]DATA_A11!$A$2:$FA$200, 14, FALSE)="",":",VLOOKUP($E$253,[1]DATA_A11!$A$2:$FA$200, 14, FALSE))</f>
        <v>243.86005560704356</v>
      </c>
      <c r="P253" s="544">
        <f>IF(VLOOKUP($E$253,[1]DATA_A11!$A$2:$FA$200, 15, FALSE)="",":",VLOOKUP($E$253,[1]DATA_A11!$A$2:$FA$200, 15, FALSE))</f>
        <v>379.69184430027804</v>
      </c>
      <c r="Q253" s="544">
        <f>IF(VLOOKUP($E$253,[1]DATA_A11!$A$2:$FA$200, 16, FALSE)="",":",VLOOKUP($E$253,[1]DATA_A11!$A$2:$FA$200, 16, FALSE))</f>
        <v>660</v>
      </c>
      <c r="R253" s="544">
        <f>IF(VLOOKUP($E$253,[1]DATA_A11!$A$2:$FA$200, 17, FALSE)="",":",VLOOKUP($E$253,[1]DATA_A11!$A$2:$FA$200, 17, FALSE))</f>
        <v>969</v>
      </c>
      <c r="S253" s="544">
        <f>IF(VLOOKUP($E$253,[1]DATA_A11!$A$2:$FA$200, 18, FALSE)="",":",VLOOKUP($E$253,[1]DATA_A11!$A$2:$FA$200, 18, FALSE))</f>
        <v>1139</v>
      </c>
      <c r="T253" s="544">
        <f>IF(VLOOKUP($E$253,[1]DATA_A11!$A$2:$FA$200, 19, FALSE)="",":",VLOOKUP($E$253,[1]DATA_A11!$A$2:$FA$200, 19, FALSE))</f>
        <v>1248</v>
      </c>
      <c r="U253" s="544">
        <f>IF(VLOOKUP($E$253,[1]DATA_A11!$A$2:$FA$200, 20, FALSE)="",":",VLOOKUP($E$253,[1]DATA_A11!$A$2:$FA$200, 20, FALSE))</f>
        <v>1173</v>
      </c>
      <c r="V253" s="544">
        <f>IF(VLOOKUP($E$253,[1]DATA_A11!$A$2:$FA$200, 21, FALSE)="",":",VLOOKUP($E$253,[1]DATA_A11!$A$2:$FA$200, 21, FALSE))</f>
        <v>1649</v>
      </c>
      <c r="W253" s="544">
        <f>IF(VLOOKUP($E$253,[1]DATA_A11!$A$2:$FA$200, 22, FALSE)="",":",VLOOKUP($E$253,[1]DATA_A11!$A$2:$FA$200, 22, FALSE))</f>
        <v>1764</v>
      </c>
      <c r="X253" s="544">
        <f>IF(VLOOKUP($E$253,[1]DATA_A11!$A$2:$FA$200, 23, FALSE)="",":",VLOOKUP($E$253,[1]DATA_A11!$A$2:$FA$200, 23, FALSE))</f>
        <v>1463</v>
      </c>
      <c r="Y253" s="544">
        <f>IF(VLOOKUP($E$253,[1]DATA_A11!$A$2:$FA$200, 24, FALSE)="",":",VLOOKUP($E$253,[1]DATA_A11!$A$2:$FA$200, 24, FALSE))</f>
        <v>1875</v>
      </c>
      <c r="Z253" s="544">
        <f>IF(VLOOKUP($E$253,[1]DATA_A11!$A$2:$FA$200, 25, FALSE)="",":",VLOOKUP($E$253,[1]DATA_A11!$A$2:$FA$200, 25, FALSE))</f>
        <v>2018</v>
      </c>
      <c r="AA253" s="544">
        <f>IF(VLOOKUP($E$253,[1]DATA_A11!$A$2:$FA$200, 26, FALSE)="",":",VLOOKUP($E$253,[1]DATA_A11!$A$2:$FA$200, 26, FALSE))</f>
        <v>1737</v>
      </c>
      <c r="AB253" s="544">
        <f>IF(VLOOKUP($E$253,[1]DATA_A11!$A$2:$FA$200, 27, FALSE)="",":",VLOOKUP($E$253,[1]DATA_A11!$A$2:$FA$200, 27, FALSE))</f>
        <v>1565</v>
      </c>
      <c r="AC253" s="544" t="str">
        <f>IF(VLOOKUP($E$253,[1]DATA_A11!$A$2:$FA$200, 28, FALSE)="",":",VLOOKUP($E$253,[1]DATA_A11!$A$2:$FA$200, 28, FALSE))</f>
        <v>n.a.</v>
      </c>
      <c r="AD253" s="544" t="str">
        <f>IF(VLOOKUP($E$253,[1]DATA_A11!$A$2:$FA$200, 29, FALSE)="",":",VLOOKUP($E$253,[1]DATA_A11!$A$2:$FA$200, 29, FALSE))</f>
        <v>:</v>
      </c>
      <c r="AE253" s="544" t="str">
        <f>IF(VLOOKUP($E$253,[1]DATA_A11!$A$2:$FA$200, 30, FALSE)="",":",VLOOKUP($E$253,[1]DATA_A11!$A$2:$FA$200, 30, FALSE))</f>
        <v>:</v>
      </c>
      <c r="AF253" s="544" t="str">
        <f>IF(VLOOKUP($E$253,[1]DATA_A11!$A$2:$FA$200, 31, FALSE)="",":",VLOOKUP($E$253,[1]DATA_A11!$A$2:$FA$200, 31, FALSE))</f>
        <v>:</v>
      </c>
    </row>
    <row r="254" spans="1:32" s="540" customFormat="1">
      <c r="A254" s="1954"/>
      <c r="B254" s="537"/>
      <c r="C254" s="538" t="s">
        <v>1050</v>
      </c>
      <c r="D254" s="528"/>
      <c r="E254" s="529"/>
      <c r="F254" s="539"/>
      <c r="G254" s="545">
        <f t="shared" ref="G254:AF254" si="16">+G252-G253</f>
        <v>-126.56394810009269</v>
      </c>
      <c r="H254" s="545">
        <f t="shared" si="16"/>
        <v>-166.53151065801669</v>
      </c>
      <c r="I254" s="545">
        <f t="shared" si="16"/>
        <v>-266.45041705282665</v>
      </c>
      <c r="J254" s="545">
        <f t="shared" si="16"/>
        <v>-272.24281742354032</v>
      </c>
      <c r="K254" s="545">
        <f t="shared" si="16"/>
        <v>-188.83225208526414</v>
      </c>
      <c r="L254" s="545">
        <f t="shared" si="16"/>
        <v>-254.57599629286378</v>
      </c>
      <c r="M254" s="545">
        <f t="shared" si="16"/>
        <v>-274.27015755329006</v>
      </c>
      <c r="N254" s="545">
        <f t="shared" si="16"/>
        <v>-209.39527340129752</v>
      </c>
      <c r="O254" s="545">
        <f t="shared" si="16"/>
        <v>-224.74513438368859</v>
      </c>
      <c r="P254" s="545">
        <f t="shared" si="16"/>
        <v>-261.5268767377201</v>
      </c>
      <c r="Q254" s="545">
        <f t="shared" si="16"/>
        <v>-290</v>
      </c>
      <c r="R254" s="545">
        <f t="shared" si="16"/>
        <v>-446</v>
      </c>
      <c r="S254" s="545">
        <f t="shared" si="16"/>
        <v>-545</v>
      </c>
      <c r="T254" s="545">
        <f t="shared" si="16"/>
        <v>-590</v>
      </c>
      <c r="U254" s="545">
        <f t="shared" si="16"/>
        <v>-502</v>
      </c>
      <c r="V254" s="545">
        <f t="shared" si="16"/>
        <v>-982</v>
      </c>
      <c r="W254" s="545">
        <f t="shared" si="16"/>
        <v>-771</v>
      </c>
      <c r="X254" s="545">
        <f t="shared" si="16"/>
        <v>-392</v>
      </c>
      <c r="Y254" s="545">
        <f t="shared" si="16"/>
        <v>-976</v>
      </c>
      <c r="Z254" s="545">
        <f t="shared" si="16"/>
        <v>-1159</v>
      </c>
      <c r="AA254" s="545">
        <f t="shared" si="16"/>
        <v>-937</v>
      </c>
      <c r="AB254" s="545">
        <f t="shared" si="16"/>
        <v>-767</v>
      </c>
      <c r="AC254" s="545" t="e">
        <f t="shared" si="16"/>
        <v>#VALUE!</v>
      </c>
      <c r="AD254" s="545" t="e">
        <f t="shared" si="16"/>
        <v>#VALUE!</v>
      </c>
      <c r="AE254" s="545" t="e">
        <f t="shared" si="16"/>
        <v>#VALUE!</v>
      </c>
      <c r="AF254" s="545" t="e">
        <f t="shared" si="16"/>
        <v>#VALUE!</v>
      </c>
    </row>
    <row r="255" spans="1:32">
      <c r="A255" s="533"/>
      <c r="B255" s="534"/>
      <c r="C255" s="535"/>
      <c r="D255" s="12"/>
      <c r="E255" s="13"/>
      <c r="F255" s="14"/>
      <c r="G255" s="544"/>
      <c r="H255" s="544"/>
      <c r="I255" s="544"/>
      <c r="J255" s="544"/>
      <c r="K255" s="544"/>
      <c r="L255" s="544"/>
      <c r="M255" s="544"/>
      <c r="N255" s="544"/>
      <c r="O255" s="544"/>
      <c r="P255" s="544"/>
      <c r="Q255" s="544"/>
      <c r="R255" s="544"/>
      <c r="S255" s="544"/>
      <c r="T255" s="544"/>
      <c r="U255" s="544"/>
      <c r="V255" s="544"/>
      <c r="W255" s="544"/>
      <c r="X255" s="544"/>
      <c r="Y255" s="544"/>
      <c r="Z255" s="544"/>
      <c r="AA255" s="544"/>
      <c r="AB255" s="544"/>
      <c r="AC255" s="544"/>
      <c r="AD255" s="544"/>
      <c r="AE255" s="544"/>
      <c r="AF255" s="544"/>
    </row>
    <row r="256" spans="1:32">
      <c r="A256" s="1954"/>
      <c r="B256" s="534" t="s">
        <v>886</v>
      </c>
      <c r="C256" s="535" t="s">
        <v>1529</v>
      </c>
      <c r="D256" s="12" t="s">
        <v>879</v>
      </c>
      <c r="E256" s="13">
        <v>2925</v>
      </c>
      <c r="F256" s="14" t="str">
        <f>VLOOKUP($E$256,[1]DATA_A11!$A$2:$FA$200, 3, FALSE)</f>
        <v xml:space="preserve">2925 Net capital transfers </v>
      </c>
      <c r="G256" s="544">
        <f>IF(VLOOKUP($E$256,[1]DATA_A11!$A$2:$FA$200, 6, FALSE)="",":",VLOOKUP($E$256,[1]DATA_A11!$A$2:$FA$200, 6, FALSE))</f>
        <v>-45.17</v>
      </c>
      <c r="H256" s="544">
        <f>IF(VLOOKUP($E$256,[1]DATA_A11!$A$2:$FA$200, 7, FALSE)="",":",VLOOKUP($E$256,[1]DATA_A11!$A$2:$FA$200, 7, FALSE))</f>
        <v>6.37</v>
      </c>
      <c r="I256" s="544">
        <f>IF(VLOOKUP($E$256,[1]DATA_A11!$A$2:$FA$200, 8, FALSE)="",":",VLOOKUP($E$256,[1]DATA_A11!$A$2:$FA$200, 8, FALSE))</f>
        <v>4.7699999999999996</v>
      </c>
      <c r="J256" s="544">
        <f>IF(VLOOKUP($E$256,[1]DATA_A11!$A$2:$FA$200, 9, FALSE)="",":",VLOOKUP($E$256,[1]DATA_A11!$A$2:$FA$200, 9, FALSE))</f>
        <v>-1.98</v>
      </c>
      <c r="K256" s="544">
        <f>IF(VLOOKUP($E$256,[1]DATA_A11!$A$2:$FA$200, 10, FALSE)="",":",VLOOKUP($E$256,[1]DATA_A11!$A$2:$FA$200, 10, FALSE))</f>
        <v>-3.81</v>
      </c>
      <c r="L256" s="544">
        <f>IF(VLOOKUP($E$256,[1]DATA_A11!$A$2:$FA$200, 11, FALSE)="",":",VLOOKUP($E$256,[1]DATA_A11!$A$2:$FA$200, 11, FALSE))</f>
        <v>2.4900000000000002</v>
      </c>
      <c r="M256" s="544">
        <f>IF(VLOOKUP($E$256,[1]DATA_A11!$A$2:$FA$200, 12, FALSE)="",":",VLOOKUP($E$256,[1]DATA_A11!$A$2:$FA$200, 12, FALSE))</f>
        <v>1.61</v>
      </c>
      <c r="N256" s="544">
        <f>IF(VLOOKUP($E$256,[1]DATA_A11!$A$2:$FA$200, 13, FALSE)="",":",VLOOKUP($E$256,[1]DATA_A11!$A$2:$FA$200, 13, FALSE))</f>
        <v>59.02</v>
      </c>
      <c r="O256" s="544">
        <f>IF(VLOOKUP($E$256,[1]DATA_A11!$A$2:$FA$200, 14, FALSE)="",":",VLOOKUP($E$256,[1]DATA_A11!$A$2:$FA$200, 14, FALSE))</f>
        <v>59.36</v>
      </c>
      <c r="P256" s="544">
        <f>IF(VLOOKUP($E$256,[1]DATA_A11!$A$2:$FA$200, 15, FALSE)="",":",VLOOKUP($E$256,[1]DATA_A11!$A$2:$FA$200, 15, FALSE))</f>
        <v>129.66999999999999</v>
      </c>
      <c r="Q256" s="544">
        <f>IF(VLOOKUP($E$256,[1]DATA_A11!$A$2:$FA$200, 16, FALSE)="",":",VLOOKUP($E$256,[1]DATA_A11!$A$2:$FA$200, 16, FALSE))</f>
        <v>203.97</v>
      </c>
      <c r="R256" s="544">
        <f>IF(VLOOKUP($E$256,[1]DATA_A11!$A$2:$FA$200, 17, FALSE)="",":",VLOOKUP($E$256,[1]DATA_A11!$A$2:$FA$200, 17, FALSE))</f>
        <v>358.57</v>
      </c>
      <c r="S256" s="544">
        <f>IF(VLOOKUP($E$256,[1]DATA_A11!$A$2:$FA$200, 18, FALSE)="",":",VLOOKUP($E$256,[1]DATA_A11!$A$2:$FA$200, 18, FALSE))</f>
        <v>611.41999999999996</v>
      </c>
      <c r="T256" s="544">
        <f>IF(VLOOKUP($E$256,[1]DATA_A11!$A$2:$FA$200, 19, FALSE)="",":",VLOOKUP($E$256,[1]DATA_A11!$A$2:$FA$200, 19, FALSE))</f>
        <v>619.07000000000005</v>
      </c>
      <c r="U256" s="544">
        <f>IF(VLOOKUP($E$256,[1]DATA_A11!$A$2:$FA$200, 20, FALSE)="",":",VLOOKUP($E$256,[1]DATA_A11!$A$2:$FA$200, 20, FALSE))</f>
        <v>1158.22</v>
      </c>
      <c r="V256" s="544">
        <f>IF(VLOOKUP($E$256,[1]DATA_A11!$A$2:$FA$200, 21, FALSE)="",":",VLOOKUP($E$256,[1]DATA_A11!$A$2:$FA$200, 21, FALSE))</f>
        <v>1057.8</v>
      </c>
      <c r="W256" s="544">
        <f>IF(VLOOKUP($E$256,[1]DATA_A11!$A$2:$FA$200, 22, FALSE)="",":",VLOOKUP($E$256,[1]DATA_A11!$A$2:$FA$200, 22, FALSE))</f>
        <v>1003.81</v>
      </c>
      <c r="X256" s="544">
        <f>IF(VLOOKUP($E$256,[1]DATA_A11!$A$2:$FA$200, 23, FALSE)="",":",VLOOKUP($E$256,[1]DATA_A11!$A$2:$FA$200, 23, FALSE))</f>
        <v>964.09</v>
      </c>
      <c r="Y256" s="544">
        <f>IF(VLOOKUP($E$256,[1]DATA_A11!$A$2:$FA$200, 24, FALSE)="",":",VLOOKUP($E$256,[1]DATA_A11!$A$2:$FA$200, 24, FALSE))</f>
        <v>1088.8699999999999</v>
      </c>
      <c r="Z256" s="544">
        <f>IF(VLOOKUP($E$256,[1]DATA_A11!$A$2:$FA$200, 25, FALSE)="",":",VLOOKUP($E$256,[1]DATA_A11!$A$2:$FA$200, 25, FALSE))</f>
        <v>975.72</v>
      </c>
      <c r="AA256" s="544">
        <f>IF(VLOOKUP($E$256,[1]DATA_A11!$A$2:$FA$200, 26, FALSE)="",":",VLOOKUP($E$256,[1]DATA_A11!$A$2:$FA$200, 26, FALSE))</f>
        <v>1117.27</v>
      </c>
      <c r="AB256" s="544">
        <f>IF(VLOOKUP($E$256,[1]DATA_A11!$A$2:$FA$200, 27, FALSE)="",":",VLOOKUP($E$256,[1]DATA_A11!$A$2:$FA$200, 27, FALSE))</f>
        <v>568.72</v>
      </c>
      <c r="AC256" s="544" t="str">
        <f>IF(VLOOKUP($E$256,[1]DATA_A11!$A$2:$FA$200, 28, FALSE)="",":",VLOOKUP($E$256,[1]DATA_A11!$A$2:$FA$200, 28, FALSE))</f>
        <v>:</v>
      </c>
      <c r="AD256" s="544" t="str">
        <f>IF(VLOOKUP($E$256,[1]DATA_A11!$A$2:$FA$200, 29, FALSE)="",":",VLOOKUP($E$256,[1]DATA_A11!$A$2:$FA$200, 29, FALSE))</f>
        <v>:</v>
      </c>
      <c r="AE256" s="544" t="str">
        <f>IF(VLOOKUP($E$256,[1]DATA_A11!$A$2:$FA$200, 30, FALSE)="",":",VLOOKUP($E$256,[1]DATA_A11!$A$2:$FA$200, 30, FALSE))</f>
        <v>:</v>
      </c>
      <c r="AF256" s="544" t="str">
        <f>IF(VLOOKUP($E$256,[1]DATA_A11!$A$2:$FA$200, 31, FALSE)="",":",VLOOKUP($E$256,[1]DATA_A11!$A$2:$FA$200, 31, FALSE))</f>
        <v>:</v>
      </c>
    </row>
    <row r="257" spans="1:32">
      <c r="A257" s="1954"/>
      <c r="B257" s="534" t="s">
        <v>887</v>
      </c>
      <c r="C257" s="535" t="s">
        <v>1435</v>
      </c>
      <c r="D257" s="12" t="s">
        <v>879</v>
      </c>
      <c r="E257" s="13">
        <v>2926</v>
      </c>
      <c r="F257" s="14" t="str">
        <f>VLOOKUP($E$257,[1]DATA_A11!$A$2:$FA$200, 3, FALSE)</f>
        <v>2926 Acq. less disp. of non-fin. non-prod. Assets</v>
      </c>
      <c r="G257" s="544" t="str">
        <f>IF(VLOOKUP($E$257,[1]DATA_A11!$A$2:$FA$200, 6, FALSE)="",":",VLOOKUP($E$257,[1]DATA_A11!$A$2:$FA$200, 6, FALSE))</f>
        <v>n.a.</v>
      </c>
      <c r="H257" s="544" t="str">
        <f>IF(VLOOKUP($E$257,[1]DATA_A11!$A$2:$FA$200, 7, FALSE)="",":",VLOOKUP($E$257,[1]DATA_A11!$A$2:$FA$200, 7, FALSE))</f>
        <v>n.a.</v>
      </c>
      <c r="I257" s="544" t="str">
        <f>IF(VLOOKUP($E$257,[1]DATA_A11!$A$2:$FA$200, 8, FALSE)="",":",VLOOKUP($E$257,[1]DATA_A11!$A$2:$FA$200, 8, FALSE))</f>
        <v>n.a.</v>
      </c>
      <c r="J257" s="544" t="str">
        <f>IF(VLOOKUP($E$257,[1]DATA_A11!$A$2:$FA$200, 9, FALSE)="",":",VLOOKUP($E$257,[1]DATA_A11!$A$2:$FA$200, 9, FALSE))</f>
        <v>n.a.</v>
      </c>
      <c r="K257" s="544" t="str">
        <f>IF(VLOOKUP($E$257,[1]DATA_A11!$A$2:$FA$200, 10, FALSE)="",":",VLOOKUP($E$257,[1]DATA_A11!$A$2:$FA$200, 10, FALSE))</f>
        <v>n.a.</v>
      </c>
      <c r="L257" s="544" t="str">
        <f>IF(VLOOKUP($E$257,[1]DATA_A11!$A$2:$FA$200, 11, FALSE)="",":",VLOOKUP($E$257,[1]DATA_A11!$A$2:$FA$200, 11, FALSE))</f>
        <v>n.a.</v>
      </c>
      <c r="M257" s="544" t="str">
        <f>IF(VLOOKUP($E$257,[1]DATA_A11!$A$2:$FA$200, 12, FALSE)="",":",VLOOKUP($E$257,[1]DATA_A11!$A$2:$FA$200, 12, FALSE))</f>
        <v>n.a.</v>
      </c>
      <c r="N257" s="544" t="str">
        <f>IF(VLOOKUP($E$257,[1]DATA_A11!$A$2:$FA$200, 13, FALSE)="",":",VLOOKUP($E$257,[1]DATA_A11!$A$2:$FA$200, 13, FALSE))</f>
        <v>n.a.</v>
      </c>
      <c r="O257" s="544" t="str">
        <f>IF(VLOOKUP($E$257,[1]DATA_A11!$A$2:$FA$200, 14, FALSE)="",":",VLOOKUP($E$257,[1]DATA_A11!$A$2:$FA$200, 14, FALSE))</f>
        <v>n.a.</v>
      </c>
      <c r="P257" s="544" t="str">
        <f>IF(VLOOKUP($E$257,[1]DATA_A11!$A$2:$FA$200, 15, FALSE)="",":",VLOOKUP($E$257,[1]DATA_A11!$A$2:$FA$200, 15, FALSE))</f>
        <v>n.a.</v>
      </c>
      <c r="Q257" s="544" t="str">
        <f>IF(VLOOKUP($E$257,[1]DATA_A11!$A$2:$FA$200, 16, FALSE)="",":",VLOOKUP($E$257,[1]DATA_A11!$A$2:$FA$200, 16, FALSE))</f>
        <v>n.a.</v>
      </c>
      <c r="R257" s="544" t="str">
        <f>IF(VLOOKUP($E$257,[1]DATA_A11!$A$2:$FA$200, 17, FALSE)="",":",VLOOKUP($E$257,[1]DATA_A11!$A$2:$FA$200, 17, FALSE))</f>
        <v>n.a.</v>
      </c>
      <c r="S257" s="544" t="str">
        <f>IF(VLOOKUP($E$257,[1]DATA_A11!$A$2:$FA$200, 18, FALSE)="",":",VLOOKUP($E$257,[1]DATA_A11!$A$2:$FA$200, 18, FALSE))</f>
        <v>n.a.</v>
      </c>
      <c r="T257" s="544" t="str">
        <f>IF(VLOOKUP($E$257,[1]DATA_A11!$A$2:$FA$200, 19, FALSE)="",":",VLOOKUP($E$257,[1]DATA_A11!$A$2:$FA$200, 19, FALSE))</f>
        <v>n.a.</v>
      </c>
      <c r="U257" s="544" t="str">
        <f>IF(VLOOKUP($E$257,[1]DATA_A11!$A$2:$FA$200, 20, FALSE)="",":",VLOOKUP($E$257,[1]DATA_A11!$A$2:$FA$200, 20, FALSE))</f>
        <v>n.a.</v>
      </c>
      <c r="V257" s="544" t="str">
        <f>IF(VLOOKUP($E$257,[1]DATA_A11!$A$2:$FA$200, 21, FALSE)="",":",VLOOKUP($E$257,[1]DATA_A11!$A$2:$FA$200, 21, FALSE))</f>
        <v>n.a.</v>
      </c>
      <c r="W257" s="544" t="str">
        <f>IF(VLOOKUP($E$257,[1]DATA_A11!$A$2:$FA$200, 22, FALSE)="",":",VLOOKUP($E$257,[1]DATA_A11!$A$2:$FA$200, 22, FALSE))</f>
        <v>n.a.</v>
      </c>
      <c r="X257" s="544" t="str">
        <f>IF(VLOOKUP($E$257,[1]DATA_A11!$A$2:$FA$200, 23, FALSE)="",":",VLOOKUP($E$257,[1]DATA_A11!$A$2:$FA$200, 23, FALSE))</f>
        <v>n.a.</v>
      </c>
      <c r="Y257" s="544" t="str">
        <f>IF(VLOOKUP($E$257,[1]DATA_A11!$A$2:$FA$200, 24, FALSE)="",":",VLOOKUP($E$257,[1]DATA_A11!$A$2:$FA$200, 24, FALSE))</f>
        <v>n.a.</v>
      </c>
      <c r="Z257" s="544" t="str">
        <f>IF(VLOOKUP($E$257,[1]DATA_A11!$A$2:$FA$200, 25, FALSE)="",":",VLOOKUP($E$257,[1]DATA_A11!$A$2:$FA$200, 25, FALSE))</f>
        <v>n.a.</v>
      </c>
      <c r="AA257" s="544" t="str">
        <f>IF(VLOOKUP($E$257,[1]DATA_A11!$A$2:$FA$200, 26, FALSE)="",":",VLOOKUP($E$257,[1]DATA_A11!$A$2:$FA$200, 26, FALSE))</f>
        <v>n.a.</v>
      </c>
      <c r="AB257" s="544" t="str">
        <f>IF(VLOOKUP($E$257,[1]DATA_A11!$A$2:$FA$200, 27, FALSE)="",":",VLOOKUP($E$257,[1]DATA_A11!$A$2:$FA$200, 27, FALSE))</f>
        <v>n.a.</v>
      </c>
      <c r="AC257" s="544" t="str">
        <f>IF(VLOOKUP($E$257,[1]DATA_A11!$A$2:$FA$200, 28, FALSE)="",":",VLOOKUP($E$257,[1]DATA_A11!$A$2:$FA$200, 28, FALSE))</f>
        <v>n.a.</v>
      </c>
      <c r="AD257" s="544" t="str">
        <f>IF(VLOOKUP($E$257,[1]DATA_A11!$A$2:$FA$200, 29, FALSE)="",":",VLOOKUP($E$257,[1]DATA_A11!$A$2:$FA$200, 29, FALSE))</f>
        <v>:</v>
      </c>
      <c r="AE257" s="544" t="str">
        <f>IF(VLOOKUP($E$257,[1]DATA_A11!$A$2:$FA$200, 30, FALSE)="",":",VLOOKUP($E$257,[1]DATA_A11!$A$2:$FA$200, 30, FALSE))</f>
        <v>:</v>
      </c>
      <c r="AF257" s="544" t="str">
        <f>IF(VLOOKUP($E$257,[1]DATA_A11!$A$2:$FA$200, 31, FALSE)="",":",VLOOKUP($E$257,[1]DATA_A11!$A$2:$FA$200, 31, FALSE))</f>
        <v>:</v>
      </c>
    </row>
    <row r="258" spans="1:32">
      <c r="A258" s="533"/>
      <c r="B258" s="534"/>
      <c r="C258" s="535"/>
      <c r="D258" s="12"/>
      <c r="E258" s="13"/>
      <c r="F258" s="14"/>
      <c r="G258" s="544"/>
      <c r="H258" s="544"/>
      <c r="I258" s="544"/>
      <c r="J258" s="544"/>
      <c r="K258" s="544"/>
      <c r="L258" s="544"/>
      <c r="M258" s="544"/>
      <c r="N258" s="544"/>
      <c r="O258" s="544"/>
      <c r="P258" s="544"/>
      <c r="Q258" s="544"/>
      <c r="R258" s="544"/>
      <c r="S258" s="544"/>
      <c r="T258" s="544"/>
      <c r="U258" s="544"/>
      <c r="V258" s="544"/>
      <c r="W258" s="544"/>
      <c r="X258" s="544"/>
      <c r="Y258" s="544"/>
      <c r="Z258" s="544"/>
      <c r="AA258" s="544"/>
      <c r="AB258" s="544"/>
      <c r="AC258" s="544"/>
      <c r="AD258" s="544"/>
      <c r="AE258" s="544"/>
      <c r="AF258" s="544"/>
    </row>
    <row r="259" spans="1:32">
      <c r="A259" s="533">
        <v>147</v>
      </c>
      <c r="B259" s="534" t="s">
        <v>79</v>
      </c>
      <c r="C259" s="535"/>
      <c r="D259" s="12" t="s">
        <v>879</v>
      </c>
      <c r="E259" s="13">
        <v>2221</v>
      </c>
      <c r="F259" s="14" t="str">
        <f>VLOOKUP($E$259,[1]DATA_A11!$A$2:$FA$200, 3, FALSE)</f>
        <v>2221 Nominal Expenditure Exports of Goods to EU</v>
      </c>
      <c r="G259" s="544" t="str">
        <f>IF(VLOOKUP($E$259,[1]DATA_A11!$A$2:$FA$200, 6, FALSE)="",":",VLOOKUP($E$259,[1]DATA_A11!$A$2:$FA$200, 6, FALSE))</f>
        <v>:</v>
      </c>
      <c r="H259" s="544" t="str">
        <f>IF(VLOOKUP($E$259,[1]DATA_A11!$A$2:$FA$200, 7, FALSE)="",":",VLOOKUP($E$259,[1]DATA_A11!$A$2:$FA$200, 7, FALSE))</f>
        <v>:</v>
      </c>
      <c r="I259" s="544" t="str">
        <f>IF(VLOOKUP($E$259,[1]DATA_A11!$A$2:$FA$200, 8, FALSE)="",":",VLOOKUP($E$259,[1]DATA_A11!$A$2:$FA$200, 8, FALSE))</f>
        <v>:</v>
      </c>
      <c r="J259" s="544" t="str">
        <f>IF(VLOOKUP($E$259,[1]DATA_A11!$A$2:$FA$200, 9, FALSE)="",":",VLOOKUP($E$259,[1]DATA_A11!$A$2:$FA$200, 9, FALSE))</f>
        <v>:</v>
      </c>
      <c r="K259" s="544">
        <f>IF(VLOOKUP($E$259,[1]DATA_A11!$A$2:$FA$200, 10, FALSE)="",":",VLOOKUP($E$259,[1]DATA_A11!$A$2:$FA$200, 10, FALSE))</f>
        <v>2354.9475673088223</v>
      </c>
      <c r="L259" s="544">
        <f>IF(VLOOKUP($E$259,[1]DATA_A11!$A$2:$FA$200, 11, FALSE)="",":",VLOOKUP($E$259,[1]DATA_A11!$A$2:$FA$200, 11, FALSE))</f>
        <v>3084.5246368679327</v>
      </c>
      <c r="M259" s="544">
        <f>IF(VLOOKUP($E$259,[1]DATA_A11!$A$2:$FA$200, 12, FALSE)="",":",VLOOKUP($E$259,[1]DATA_A11!$A$2:$FA$200, 12, FALSE))</f>
        <v>3637.4833151743514</v>
      </c>
      <c r="N259" s="544">
        <f>IF(VLOOKUP($E$259,[1]DATA_A11!$A$2:$FA$200, 13, FALSE)="",":",VLOOKUP($E$259,[1]DATA_A11!$A$2:$FA$200, 13, FALSE))</f>
        <v>3846.7760480538118</v>
      </c>
      <c r="O259" s="544">
        <f>IF(VLOOKUP($E$259,[1]DATA_A11!$A$2:$FA$200, 14, FALSE)="",":",VLOOKUP($E$259,[1]DATA_A11!$A$2:$FA$200, 14, FALSE))</f>
        <v>3869.3433082694628</v>
      </c>
      <c r="P259" s="544">
        <f>IF(VLOOKUP($E$259,[1]DATA_A11!$A$2:$FA$200, 15, FALSE)="",":",VLOOKUP($E$259,[1]DATA_A11!$A$2:$FA$200, 15, FALSE))</f>
        <v>5029.7894269239459</v>
      </c>
      <c r="Q259" s="544">
        <f>IF(VLOOKUP($E$259,[1]DATA_A11!$A$2:$FA$200, 16, FALSE)="",":",VLOOKUP($E$259,[1]DATA_A11!$A$2:$FA$200, 16, FALSE))</f>
        <v>6237.1992973034075</v>
      </c>
      <c r="R259" s="544">
        <f>IF(VLOOKUP($E$259,[1]DATA_A11!$A$2:$FA$200, 17, FALSE)="",":",VLOOKUP($E$259,[1]DATA_A11!$A$2:$FA$200, 17, FALSE))</f>
        <v>7174.4999999999991</v>
      </c>
      <c r="S259" s="544">
        <f>IF(VLOOKUP($E$259,[1]DATA_A11!$A$2:$FA$200, 18, FALSE)="",":",VLOOKUP($E$259,[1]DATA_A11!$A$2:$FA$200, 18, FALSE))</f>
        <v>8110.9000000000005</v>
      </c>
      <c r="T259" s="544">
        <f>IF(VLOOKUP($E$259,[1]DATA_A11!$A$2:$FA$200, 19, FALSE)="",":",VLOOKUP($E$259,[1]DATA_A11!$A$2:$FA$200, 19, FALSE))</f>
        <v>9702.7000000000007</v>
      </c>
      <c r="U259" s="544">
        <f>IF(VLOOKUP($E$259,[1]DATA_A11!$A$2:$FA$200, 20, FALSE)="",":",VLOOKUP($E$259,[1]DATA_A11!$A$2:$FA$200, 20, FALSE))</f>
        <v>7591.9</v>
      </c>
      <c r="V259" s="544">
        <f>IF(VLOOKUP($E$259,[1]DATA_A11!$A$2:$FA$200, 21, FALSE)="",":",VLOOKUP($E$259,[1]DATA_A11!$A$2:$FA$200, 21, FALSE))</f>
        <v>9553.7000000000007</v>
      </c>
      <c r="W259" s="544">
        <f>IF(VLOOKUP($E$259,[1]DATA_A11!$A$2:$FA$200, 22, FALSE)="",":",VLOOKUP($E$259,[1]DATA_A11!$A$2:$FA$200, 22, FALSE))</f>
        <v>12371.5</v>
      </c>
      <c r="X259" s="544">
        <f>IF(VLOOKUP($E$259,[1]DATA_A11!$A$2:$FA$200, 23, FALSE)="",":",VLOOKUP($E$259,[1]DATA_A11!$A$2:$FA$200, 23, FALSE))</f>
        <v>13925.5</v>
      </c>
      <c r="Y259" s="544">
        <f>IF(VLOOKUP($E$259,[1]DATA_A11!$A$2:$FA$200, 24, FALSE)="",":",VLOOKUP($E$259,[1]DATA_A11!$A$2:$FA$200, 24, FALSE))</f>
        <v>13612.3</v>
      </c>
      <c r="Z259" s="544">
        <f>IF(VLOOKUP($E$259,[1]DATA_A11!$A$2:$FA$200, 25, FALSE)="",":",VLOOKUP($E$259,[1]DATA_A11!$A$2:$FA$200, 25, FALSE))</f>
        <v>13358.299999999997</v>
      </c>
      <c r="AA259" s="544">
        <f>IF(VLOOKUP($E$259,[1]DATA_A11!$A$2:$FA$200, 26, FALSE)="",":",VLOOKUP($E$259,[1]DATA_A11!$A$2:$FA$200, 26, FALSE))</f>
        <v>14048.900000000001</v>
      </c>
      <c r="AB259" s="544">
        <f>IF(VLOOKUP($E$259,[1]DATA_A11!$A$2:$FA$200, 27, FALSE)="",":",VLOOKUP($E$259,[1]DATA_A11!$A$2:$FA$200, 27, FALSE))</f>
        <v>13721.000000000002</v>
      </c>
      <c r="AC259" s="544">
        <f>IF(VLOOKUP($E$259,[1]DATA_A11!$A$2:$FA$200, 28, FALSE)="",":",VLOOKUP($E$259,[1]DATA_A11!$A$2:$FA$200, 28, FALSE))</f>
        <v>15371</v>
      </c>
      <c r="AD259" s="544" t="str">
        <f>IF(VLOOKUP($E$259,[1]DATA_A11!$A$2:$FA$200, 29, FALSE)="",":",VLOOKUP($E$259,[1]DATA_A11!$A$2:$FA$200, 29, FALSE))</f>
        <v>:</v>
      </c>
      <c r="AE259" s="544" t="str">
        <f>IF(VLOOKUP($E$259,[1]DATA_A11!$A$2:$FA$200, 30, FALSE)="",":",VLOOKUP($E$259,[1]DATA_A11!$A$2:$FA$200, 30, FALSE))</f>
        <v>:</v>
      </c>
      <c r="AF259" s="544" t="str">
        <f>IF(VLOOKUP($E$259,[1]DATA_A11!$A$2:$FA$200, 31, FALSE)="",":",VLOOKUP($E$259,[1]DATA_A11!$A$2:$FA$200, 31, FALSE))</f>
        <v>:</v>
      </c>
    </row>
    <row r="260" spans="1:32">
      <c r="A260" s="533">
        <v>149</v>
      </c>
      <c r="B260" s="534" t="s">
        <v>81</v>
      </c>
      <c r="C260" s="535"/>
      <c r="D260" s="12" t="s">
        <v>879</v>
      </c>
      <c r="E260" s="13">
        <v>2222</v>
      </c>
      <c r="F260" s="14" t="str">
        <f>VLOOKUP($E$260,[1]DATA_A11!$A$2:$FA$200, 3, FALSE)</f>
        <v>2222 Nominal Expenditure Exports of Goods extra EU</v>
      </c>
      <c r="G260" s="544" t="str">
        <f>IF(VLOOKUP($E$260,[1]DATA_A11!$A$2:$FA$200, 6, FALSE)="",":",VLOOKUP($E$260,[1]DATA_A11!$A$2:$FA$200, 6, FALSE))</f>
        <v>:</v>
      </c>
      <c r="H260" s="544" t="str">
        <f>IF(VLOOKUP($E$260,[1]DATA_A11!$A$2:$FA$200, 7, FALSE)="",":",VLOOKUP($E$260,[1]DATA_A11!$A$2:$FA$200, 7, FALSE))</f>
        <v>:</v>
      </c>
      <c r="I260" s="544" t="str">
        <f>IF(VLOOKUP($E$260,[1]DATA_A11!$A$2:$FA$200, 8, FALSE)="",":",VLOOKUP($E$260,[1]DATA_A11!$A$2:$FA$200, 8, FALSE))</f>
        <v>:</v>
      </c>
      <c r="J260" s="544" t="str">
        <f>IF(VLOOKUP($E$260,[1]DATA_A11!$A$2:$FA$200, 9, FALSE)="",":",VLOOKUP($E$260,[1]DATA_A11!$A$2:$FA$200, 9, FALSE))</f>
        <v>:</v>
      </c>
      <c r="K260" s="544">
        <f>IF(VLOOKUP($E$260,[1]DATA_A11!$A$2:$FA$200, 10, FALSE)="",":",VLOOKUP($E$260,[1]DATA_A11!$A$2:$FA$200, 10, FALSE))</f>
        <v>836.56273642823214</v>
      </c>
      <c r="L260" s="544">
        <f>IF(VLOOKUP($E$260,[1]DATA_A11!$A$2:$FA$200, 11, FALSE)="",":",VLOOKUP($E$260,[1]DATA_A11!$A$2:$FA$200, 11, FALSE))</f>
        <v>1040.874561729843</v>
      </c>
      <c r="M260" s="544">
        <f>IF(VLOOKUP($E$260,[1]DATA_A11!$A$2:$FA$200, 12, FALSE)="",":",VLOOKUP($E$260,[1]DATA_A11!$A$2:$FA$200, 12, FALSE))</f>
        <v>1322.8155239153734</v>
      </c>
      <c r="N260" s="544">
        <f>IF(VLOOKUP($E$260,[1]DATA_A11!$A$2:$FA$200, 13, FALSE)="",":",VLOOKUP($E$260,[1]DATA_A11!$A$2:$FA$200, 13, FALSE))</f>
        <v>1700.4605690360302</v>
      </c>
      <c r="O260" s="544">
        <f>IF(VLOOKUP($E$260,[1]DATA_A11!$A$2:$FA$200, 14, FALSE)="",":",VLOOKUP($E$260,[1]DATA_A11!$A$2:$FA$200, 14, FALSE))</f>
        <v>2288.7664661102876</v>
      </c>
      <c r="P260" s="544">
        <f>IF(VLOOKUP($E$260,[1]DATA_A11!$A$2:$FA$200, 15, FALSE)="",":",VLOOKUP($E$260,[1]DATA_A11!$A$2:$FA$200, 15, FALSE))</f>
        <v>2448.2435284401058</v>
      </c>
      <c r="Q260" s="544">
        <f>IF(VLOOKUP($E$260,[1]DATA_A11!$A$2:$FA$200, 16, FALSE)="",":",VLOOKUP($E$260,[1]DATA_A11!$A$2:$FA$200, 16, FALSE))</f>
        <v>3252.6996335437047</v>
      </c>
      <c r="R260" s="544">
        <f>IF(VLOOKUP($E$260,[1]DATA_A11!$A$2:$FA$200, 17, FALSE)="",":",VLOOKUP($E$260,[1]DATA_A11!$A$2:$FA$200, 17, FALSE))</f>
        <v>4088.2000000000007</v>
      </c>
      <c r="S260" s="544">
        <f>IF(VLOOKUP($E$260,[1]DATA_A11!$A$2:$FA$200, 18, FALSE)="",":",VLOOKUP($E$260,[1]DATA_A11!$A$2:$FA$200, 18, FALSE))</f>
        <v>4398.7</v>
      </c>
      <c r="T260" s="544">
        <f>IF(VLOOKUP($E$260,[1]DATA_A11!$A$2:$FA$200, 19, FALSE)="",":",VLOOKUP($E$260,[1]DATA_A11!$A$2:$FA$200, 19, FALSE))</f>
        <v>6374.4000000000005</v>
      </c>
      <c r="U260" s="544">
        <f>IF(VLOOKUP($E$260,[1]DATA_A11!$A$2:$FA$200, 20, FALSE)="",":",VLOOKUP($E$260,[1]DATA_A11!$A$2:$FA$200, 20, FALSE))</f>
        <v>4205.1000000000013</v>
      </c>
      <c r="V260" s="544">
        <f>IF(VLOOKUP($E$260,[1]DATA_A11!$A$2:$FA$200, 21, FALSE)="",":",VLOOKUP($E$260,[1]DATA_A11!$A$2:$FA$200, 21, FALSE))</f>
        <v>6097.2999999999984</v>
      </c>
      <c r="W260" s="544">
        <f>IF(VLOOKUP($E$260,[1]DATA_A11!$A$2:$FA$200, 22, FALSE)="",":",VLOOKUP($E$260,[1]DATA_A11!$A$2:$FA$200, 22, FALSE))</f>
        <v>7779.6000000000013</v>
      </c>
      <c r="X260" s="544">
        <f>IF(VLOOKUP($E$260,[1]DATA_A11!$A$2:$FA$200, 23, FALSE)="",":",VLOOKUP($E$260,[1]DATA_A11!$A$2:$FA$200, 23, FALSE))</f>
        <v>9121.9000000000015</v>
      </c>
      <c r="Y260" s="544">
        <f>IF(VLOOKUP($E$260,[1]DATA_A11!$A$2:$FA$200, 24, FALSE)="",":",VLOOKUP($E$260,[1]DATA_A11!$A$2:$FA$200, 24, FALSE))</f>
        <v>10932.100000000004</v>
      </c>
      <c r="Z260" s="544">
        <f>IF(VLOOKUP($E$260,[1]DATA_A11!$A$2:$FA$200, 25, FALSE)="",":",VLOOKUP($E$260,[1]DATA_A11!$A$2:$FA$200, 25, FALSE))</f>
        <v>11002.800000000001</v>
      </c>
      <c r="AA260" s="544">
        <f>IF(VLOOKUP($E$260,[1]DATA_A11!$A$2:$FA$200, 26, FALSE)="",":",VLOOKUP($E$260,[1]DATA_A11!$A$2:$FA$200, 26, FALSE))</f>
        <v>8855.5000000000055</v>
      </c>
      <c r="AB260" s="544">
        <f>IF(VLOOKUP($E$260,[1]DATA_A11!$A$2:$FA$200, 27, FALSE)="",":",VLOOKUP($E$260,[1]DATA_A11!$A$2:$FA$200, 27, FALSE))</f>
        <v>8886.2000000000007</v>
      </c>
      <c r="AC260" s="544">
        <f>IF(VLOOKUP($E$260,[1]DATA_A11!$A$2:$FA$200, 28, FALSE)="",":",VLOOKUP($E$260,[1]DATA_A11!$A$2:$FA$200, 28, FALSE))</f>
        <v>11070.200000000003</v>
      </c>
      <c r="AD260" s="544" t="str">
        <f>IF(VLOOKUP($E$260,[1]DATA_A11!$A$2:$FA$200, 29, FALSE)="",":",VLOOKUP($E$260,[1]DATA_A11!$A$2:$FA$200, 29, FALSE))</f>
        <v>:</v>
      </c>
      <c r="AE260" s="544" t="str">
        <f>IF(VLOOKUP($E$260,[1]DATA_A11!$A$2:$FA$200, 30, FALSE)="",":",VLOOKUP($E$260,[1]DATA_A11!$A$2:$FA$200, 30, FALSE))</f>
        <v>:</v>
      </c>
      <c r="AF260" s="544" t="str">
        <f>IF(VLOOKUP($E$260,[1]DATA_A11!$A$2:$FA$200, 31, FALSE)="",":",VLOOKUP($E$260,[1]DATA_A11!$A$2:$FA$200, 31, FALSE))</f>
        <v>:</v>
      </c>
    </row>
    <row r="261" spans="1:32">
      <c r="A261" s="533">
        <v>150</v>
      </c>
      <c r="B261" s="534" t="s">
        <v>83</v>
      </c>
      <c r="C261" s="535"/>
      <c r="D261" s="12" t="s">
        <v>879</v>
      </c>
      <c r="E261" s="13">
        <v>2223</v>
      </c>
      <c r="F261" s="14" t="str">
        <f>VLOOKUP($E$261,[1]DATA_A11!$A$2:$FA$200, 3, FALSE)</f>
        <v xml:space="preserve">2223 Nominal Expenditure Imports of Goods from EU </v>
      </c>
      <c r="G261" s="544" t="str">
        <f>IF(VLOOKUP($E$261,[1]DATA_A11!$A$2:$FA$200, 6, FALSE)="",":",VLOOKUP($E$261,[1]DATA_A11!$A$2:$FA$200, 6, FALSE))</f>
        <v>:</v>
      </c>
      <c r="H261" s="544" t="str">
        <f>IF(VLOOKUP($E$261,[1]DATA_A11!$A$2:$FA$200, 7, FALSE)="",":",VLOOKUP($E$261,[1]DATA_A11!$A$2:$FA$200, 7, FALSE))</f>
        <v>:</v>
      </c>
      <c r="I261" s="544" t="str">
        <f>IF(VLOOKUP($E$261,[1]DATA_A11!$A$2:$FA$200, 8, FALSE)="",":",VLOOKUP($E$261,[1]DATA_A11!$A$2:$FA$200, 8, FALSE))</f>
        <v>:</v>
      </c>
      <c r="J261" s="544" t="str">
        <f>IF(VLOOKUP($E$261,[1]DATA_A11!$A$2:$FA$200, 9, FALSE)="",":",VLOOKUP($E$261,[1]DATA_A11!$A$2:$FA$200, 9, FALSE))</f>
        <v>:</v>
      </c>
      <c r="K261" s="544">
        <f>IF(VLOOKUP($E$261,[1]DATA_A11!$A$2:$FA$200, 10, FALSE)="",":",VLOOKUP($E$261,[1]DATA_A11!$A$2:$FA$200, 10, FALSE))</f>
        <v>3240.7852567684777</v>
      </c>
      <c r="L261" s="544">
        <f>IF(VLOOKUP($E$261,[1]DATA_A11!$A$2:$FA$200, 11, FALSE)="",":",VLOOKUP($E$261,[1]DATA_A11!$A$2:$FA$200, 11, FALSE))</f>
        <v>3335.1650053206672</v>
      </c>
      <c r="M261" s="544">
        <f>IF(VLOOKUP($E$261,[1]DATA_A11!$A$2:$FA$200, 12, FALSE)="",":",VLOOKUP($E$261,[1]DATA_A11!$A$2:$FA$200, 12, FALSE))</f>
        <v>3848.4075473406228</v>
      </c>
      <c r="N261" s="544">
        <f>IF(VLOOKUP($E$261,[1]DATA_A11!$A$2:$FA$200, 13, FALSE)="",":",VLOOKUP($E$261,[1]DATA_A11!$A$2:$FA$200, 13, FALSE))</f>
        <v>4536.6989492076</v>
      </c>
      <c r="O261" s="544">
        <f>IF(VLOOKUP($E$261,[1]DATA_A11!$A$2:$FA$200, 14, FALSE)="",":",VLOOKUP($E$261,[1]DATA_A11!$A$2:$FA$200, 14, FALSE))</f>
        <v>4786.3298730296565</v>
      </c>
      <c r="P261" s="544">
        <f>IF(VLOOKUP($E$261,[1]DATA_A11!$A$2:$FA$200, 15, FALSE)="",":",VLOOKUP($E$261,[1]DATA_A11!$A$2:$FA$200, 15, FALSE))</f>
        <v>6327.9125068471967</v>
      </c>
      <c r="Q261" s="544">
        <f>IF(VLOOKUP($E$261,[1]DATA_A11!$A$2:$FA$200, 16, FALSE)="",":",VLOOKUP($E$261,[1]DATA_A11!$A$2:$FA$200, 16, FALSE))</f>
        <v>7437.0991621200492</v>
      </c>
      <c r="R261" s="544">
        <f>IF(VLOOKUP($E$261,[1]DATA_A11!$A$2:$FA$200, 17, FALSE)="",":",VLOOKUP($E$261,[1]DATA_A11!$A$2:$FA$200, 17, FALSE))</f>
        <v>9687.2999999999993</v>
      </c>
      <c r="S261" s="544">
        <f>IF(VLOOKUP($E$261,[1]DATA_A11!$A$2:$FA$200, 18, FALSE)="",":",VLOOKUP($E$261,[1]DATA_A11!$A$2:$FA$200, 18, FALSE))</f>
        <v>12179.600000000002</v>
      </c>
      <c r="T261" s="544">
        <f>IF(VLOOKUP($E$261,[1]DATA_A11!$A$2:$FA$200, 19, FALSE)="",":",VLOOKUP($E$261,[1]DATA_A11!$A$2:$FA$200, 19, FALSE))</f>
        <v>12173.700000000003</v>
      </c>
      <c r="U261" s="544">
        <f>IF(VLOOKUP($E$261,[1]DATA_A11!$A$2:$FA$200, 20, FALSE)="",":",VLOOKUP($E$261,[1]DATA_A11!$A$2:$FA$200, 20, FALSE))</f>
        <v>7757.1</v>
      </c>
      <c r="V261" s="544">
        <f>IF(VLOOKUP($E$261,[1]DATA_A11!$A$2:$FA$200, 21, FALSE)="",":",VLOOKUP($E$261,[1]DATA_A11!$A$2:$FA$200, 21, FALSE))</f>
        <v>9993.4</v>
      </c>
      <c r="W261" s="544">
        <f>IF(VLOOKUP($E$261,[1]DATA_A11!$A$2:$FA$200, 22, FALSE)="",":",VLOOKUP($E$261,[1]DATA_A11!$A$2:$FA$200, 22, FALSE))</f>
        <v>12954.800000000001</v>
      </c>
      <c r="X261" s="544">
        <f>IF(VLOOKUP($E$261,[1]DATA_A11!$A$2:$FA$200, 23, FALSE)="",":",VLOOKUP($E$261,[1]DATA_A11!$A$2:$FA$200, 23, FALSE))</f>
        <v>14341.300000000001</v>
      </c>
      <c r="Y261" s="544">
        <f>IF(VLOOKUP($E$261,[1]DATA_A11!$A$2:$FA$200, 24, FALSE)="",":",VLOOKUP($E$261,[1]DATA_A11!$A$2:$FA$200, 24, FALSE))</f>
        <v>15808.8</v>
      </c>
      <c r="Z261" s="544">
        <f>IF(VLOOKUP($E$261,[1]DATA_A11!$A$2:$FA$200, 25, FALSE)="",":",VLOOKUP($E$261,[1]DATA_A11!$A$2:$FA$200, 25, FALSE))</f>
        <v>16982.3</v>
      </c>
      <c r="AA261" s="544">
        <f>IF(VLOOKUP($E$261,[1]DATA_A11!$A$2:$FA$200, 26, FALSE)="",":",VLOOKUP($E$261,[1]DATA_A11!$A$2:$FA$200, 26, FALSE))</f>
        <v>17198.7</v>
      </c>
      <c r="AB261" s="544">
        <f>IF(VLOOKUP($E$261,[1]DATA_A11!$A$2:$FA$200, 27, FALSE)="",":",VLOOKUP($E$261,[1]DATA_A11!$A$2:$FA$200, 27, FALSE))</f>
        <v>17539.599999999999</v>
      </c>
      <c r="AC261" s="544">
        <f>IF(VLOOKUP($E$261,[1]DATA_A11!$A$2:$FA$200, 28, FALSE)="",":",VLOOKUP($E$261,[1]DATA_A11!$A$2:$FA$200, 28, FALSE))</f>
        <v>20116.099999999995</v>
      </c>
      <c r="AD261" s="544" t="str">
        <f>IF(VLOOKUP($E$261,[1]DATA_A11!$A$2:$FA$200, 29, FALSE)="",":",VLOOKUP($E$261,[1]DATA_A11!$A$2:$FA$200, 29, FALSE))</f>
        <v>:</v>
      </c>
      <c r="AE261" s="544" t="str">
        <f>IF(VLOOKUP($E$261,[1]DATA_A11!$A$2:$FA$200, 30, FALSE)="",":",VLOOKUP($E$261,[1]DATA_A11!$A$2:$FA$200, 30, FALSE))</f>
        <v>:</v>
      </c>
      <c r="AF261" s="544" t="str">
        <f>IF(VLOOKUP($E$261,[1]DATA_A11!$A$2:$FA$200, 31, FALSE)="",":",VLOOKUP($E$261,[1]DATA_A11!$A$2:$FA$200, 31, FALSE))</f>
        <v>:</v>
      </c>
    </row>
    <row r="262" spans="1:32">
      <c r="A262" s="533">
        <v>152</v>
      </c>
      <c r="B262" s="534" t="s">
        <v>85</v>
      </c>
      <c r="C262" s="535"/>
      <c r="D262" s="12" t="s">
        <v>879</v>
      </c>
      <c r="E262" s="13">
        <v>2224</v>
      </c>
      <c r="F262" s="14" t="str">
        <f>VLOOKUP($E$262,[1]DATA_A11!$A$2:$FA$200, 3, FALSE)</f>
        <v xml:space="preserve">2224 Nominal Expenditure Imports of Goods extra EU </v>
      </c>
      <c r="G262" s="544" t="str">
        <f>IF(VLOOKUP($E$262,[1]DATA_A11!$A$2:$FA$200, 6, FALSE)="",":",VLOOKUP($E$262,[1]DATA_A11!$A$2:$FA$200, 6, FALSE))</f>
        <v>:</v>
      </c>
      <c r="H262" s="544" t="str">
        <f>IF(VLOOKUP($E$262,[1]DATA_A11!$A$2:$FA$200, 7, FALSE)="",":",VLOOKUP($E$262,[1]DATA_A11!$A$2:$FA$200, 7, FALSE))</f>
        <v>:</v>
      </c>
      <c r="I262" s="544" t="str">
        <f>IF(VLOOKUP($E$262,[1]DATA_A11!$A$2:$FA$200, 8, FALSE)="",":",VLOOKUP($E$262,[1]DATA_A11!$A$2:$FA$200, 8, FALSE))</f>
        <v>:</v>
      </c>
      <c r="J262" s="544" t="str">
        <f>IF(VLOOKUP($E$262,[1]DATA_A11!$A$2:$FA$200, 9, FALSE)="",":",VLOOKUP($E$262,[1]DATA_A11!$A$2:$FA$200, 9, FALSE))</f>
        <v>:</v>
      </c>
      <c r="K262" s="544">
        <f>IF(VLOOKUP($E$262,[1]DATA_A11!$A$2:$FA$200, 10, FALSE)="",":",VLOOKUP($E$262,[1]DATA_A11!$A$2:$FA$200, 10, FALSE))</f>
        <v>2130.5551120253717</v>
      </c>
      <c r="L262" s="544">
        <f>IF(VLOOKUP($E$262,[1]DATA_A11!$A$2:$FA$200, 11, FALSE)="",":",VLOOKUP($E$262,[1]DATA_A11!$A$2:$FA$200, 11, FALSE))</f>
        <v>2744.7367761346154</v>
      </c>
      <c r="M262" s="544">
        <f>IF(VLOOKUP($E$262,[1]DATA_A11!$A$2:$FA$200, 12, FALSE)="",":",VLOOKUP($E$262,[1]DATA_A11!$A$2:$FA$200, 12, FALSE))</f>
        <v>3176.2097607172723</v>
      </c>
      <c r="N262" s="544">
        <f>IF(VLOOKUP($E$262,[1]DATA_A11!$A$2:$FA$200, 13, FALSE)="",":",VLOOKUP($E$262,[1]DATA_A11!$A$2:$FA$200, 13, FALSE))</f>
        <v>3436.9902993290084</v>
      </c>
      <c r="O262" s="544">
        <f>IF(VLOOKUP($E$262,[1]DATA_A11!$A$2:$FA$200, 14, FALSE)="",":",VLOOKUP($E$262,[1]DATA_A11!$A$2:$FA$200, 14, FALSE))</f>
        <v>3739.345212938138</v>
      </c>
      <c r="P262" s="544">
        <f>IF(VLOOKUP($E$262,[1]DATA_A11!$A$2:$FA$200, 15, FALSE)="",":",VLOOKUP($E$262,[1]DATA_A11!$A$2:$FA$200, 15, FALSE))</f>
        <v>3630.5645494656515</v>
      </c>
      <c r="Q262" s="544">
        <f>IF(VLOOKUP($E$262,[1]DATA_A11!$A$2:$FA$200, 16, FALSE)="",":",VLOOKUP($E$262,[1]DATA_A11!$A$2:$FA$200, 16, FALSE))</f>
        <v>5060.599429861737</v>
      </c>
      <c r="R262" s="544">
        <f>IF(VLOOKUP($E$262,[1]DATA_A11!$A$2:$FA$200, 17, FALSE)="",":",VLOOKUP($E$262,[1]DATA_A11!$A$2:$FA$200, 17, FALSE))</f>
        <v>5742.2000000000007</v>
      </c>
      <c r="S262" s="544">
        <f>IF(VLOOKUP($E$262,[1]DATA_A11!$A$2:$FA$200, 18, FALSE)="",":",VLOOKUP($E$262,[1]DATA_A11!$A$2:$FA$200, 18, FALSE))</f>
        <v>5633.0999999999985</v>
      </c>
      <c r="T262" s="544">
        <f>IF(VLOOKUP($E$262,[1]DATA_A11!$A$2:$FA$200, 19, FALSE)="",":",VLOOKUP($E$262,[1]DATA_A11!$A$2:$FA$200, 19, FALSE))</f>
        <v>8970.2000000000007</v>
      </c>
      <c r="U262" s="544">
        <f>IF(VLOOKUP($E$262,[1]DATA_A11!$A$2:$FA$200, 20, FALSE)="",":",VLOOKUP($E$262,[1]DATA_A11!$A$2:$FA$200, 20, FALSE))</f>
        <v>5365.7999999999984</v>
      </c>
      <c r="V262" s="544">
        <f>IF(VLOOKUP($E$262,[1]DATA_A11!$A$2:$FA$200, 21, FALSE)="",":",VLOOKUP($E$262,[1]DATA_A11!$A$2:$FA$200, 21, FALSE))</f>
        <v>7659.8</v>
      </c>
      <c r="W262" s="544">
        <f>IF(VLOOKUP($E$262,[1]DATA_A11!$A$2:$FA$200, 22, FALSE)="",":",VLOOKUP($E$262,[1]DATA_A11!$A$2:$FA$200, 22, FALSE))</f>
        <v>9871.0000000000018</v>
      </c>
      <c r="X262" s="544">
        <f>IF(VLOOKUP($E$262,[1]DATA_A11!$A$2:$FA$200, 23, FALSE)="",":",VLOOKUP($E$262,[1]DATA_A11!$A$2:$FA$200, 23, FALSE))</f>
        <v>10537.599999999999</v>
      </c>
      <c r="Y262" s="544">
        <f>IF(VLOOKUP($E$262,[1]DATA_A11!$A$2:$FA$200, 24, FALSE)="",":",VLOOKUP($E$262,[1]DATA_A11!$A$2:$FA$200, 24, FALSE))</f>
        <v>10398.9</v>
      </c>
      <c r="Z262" s="544">
        <f>IF(VLOOKUP($E$262,[1]DATA_A11!$A$2:$FA$200, 25, FALSE)="",":",VLOOKUP($E$262,[1]DATA_A11!$A$2:$FA$200, 25, FALSE))</f>
        <v>8907.2000000000007</v>
      </c>
      <c r="AA262" s="544">
        <f>IF(VLOOKUP($E$262,[1]DATA_A11!$A$2:$FA$200, 26, FALSE)="",":",VLOOKUP($E$262,[1]DATA_A11!$A$2:$FA$200, 26, FALSE))</f>
        <v>8200.9000000000015</v>
      </c>
      <c r="AB262" s="544">
        <f>IF(VLOOKUP($E$262,[1]DATA_A11!$A$2:$FA$200, 27, FALSE)="",":",VLOOKUP($E$262,[1]DATA_A11!$A$2:$FA$200, 27, FALSE))</f>
        <v>7159.9000000000015</v>
      </c>
      <c r="AC262" s="544">
        <f>IF(VLOOKUP($E$262,[1]DATA_A11!$A$2:$FA$200, 28, FALSE)="",":",VLOOKUP($E$262,[1]DATA_A11!$A$2:$FA$200, 28, FALSE))</f>
        <v>8679.7000000000044</v>
      </c>
      <c r="AD262" s="544" t="str">
        <f>IF(VLOOKUP($E$262,[1]DATA_A11!$A$2:$FA$200, 29, FALSE)="",":",VLOOKUP($E$262,[1]DATA_A11!$A$2:$FA$200, 29, FALSE))</f>
        <v>:</v>
      </c>
      <c r="AE262" s="544" t="str">
        <f>IF(VLOOKUP($E$262,[1]DATA_A11!$A$2:$FA$200, 30, FALSE)="",":",VLOOKUP($E$262,[1]DATA_A11!$A$2:$FA$200, 30, FALSE))</f>
        <v>:</v>
      </c>
      <c r="AF262" s="544" t="str">
        <f>IF(VLOOKUP($E$262,[1]DATA_A11!$A$2:$FA$200, 31, FALSE)="",":",VLOOKUP($E$262,[1]DATA_A11!$A$2:$FA$200, 31, FALSE))</f>
        <v>:</v>
      </c>
    </row>
    <row r="263" spans="1:32">
      <c r="A263" s="533"/>
      <c r="B263" s="534"/>
      <c r="C263" s="535"/>
      <c r="D263" s="12"/>
      <c r="E263" s="13"/>
      <c r="F263" s="14"/>
      <c r="G263" s="544"/>
      <c r="H263" s="544"/>
      <c r="I263" s="544"/>
      <c r="J263" s="544"/>
      <c r="K263" s="544"/>
      <c r="L263" s="544"/>
      <c r="M263" s="544"/>
      <c r="N263" s="544"/>
      <c r="O263" s="544"/>
      <c r="P263" s="544"/>
      <c r="Q263" s="544"/>
      <c r="R263" s="544"/>
      <c r="S263" s="544"/>
      <c r="T263" s="544"/>
      <c r="U263" s="544"/>
      <c r="V263" s="544"/>
      <c r="W263" s="544"/>
      <c r="X263" s="544"/>
      <c r="Y263" s="544"/>
      <c r="Z263" s="544"/>
      <c r="AA263" s="544"/>
      <c r="AB263" s="544"/>
      <c r="AC263" s="544"/>
      <c r="AD263" s="544"/>
      <c r="AE263" s="544"/>
      <c r="AF263" s="544"/>
    </row>
    <row r="264" spans="1:32">
      <c r="A264" s="533"/>
      <c r="B264" s="534"/>
      <c r="C264" s="535"/>
      <c r="D264" s="12"/>
      <c r="E264" s="13"/>
      <c r="F264" s="14"/>
      <c r="G264" s="544"/>
      <c r="H264" s="544"/>
      <c r="I264" s="544"/>
      <c r="J264" s="544"/>
      <c r="K264" s="544"/>
      <c r="L264" s="544"/>
      <c r="M264" s="544"/>
      <c r="N264" s="544"/>
      <c r="O264" s="544"/>
      <c r="P264" s="544"/>
      <c r="Q264" s="544"/>
      <c r="R264" s="544"/>
      <c r="S264" s="544"/>
      <c r="T264" s="544"/>
      <c r="U264" s="544"/>
      <c r="V264" s="544"/>
      <c r="W264" s="544"/>
      <c r="X264" s="544"/>
      <c r="Y264" s="544"/>
      <c r="Z264" s="544"/>
      <c r="AA264" s="544"/>
      <c r="AB264" s="544"/>
      <c r="AC264" s="544"/>
      <c r="AD264" s="544"/>
      <c r="AE264" s="544"/>
      <c r="AF264" s="544"/>
    </row>
    <row r="265" spans="1:32">
      <c r="A265" s="533"/>
      <c r="B265" s="534"/>
      <c r="C265" s="535"/>
      <c r="D265" s="12"/>
      <c r="E265" s="13"/>
      <c r="F265" s="14"/>
      <c r="G265" s="544"/>
      <c r="H265" s="544"/>
      <c r="I265" s="544"/>
      <c r="J265" s="544"/>
      <c r="K265" s="544"/>
      <c r="L265" s="544"/>
      <c r="M265" s="544"/>
      <c r="N265" s="544"/>
      <c r="O265" s="544"/>
      <c r="P265" s="544"/>
      <c r="Q265" s="544"/>
      <c r="R265" s="544"/>
      <c r="S265" s="544"/>
      <c r="T265" s="544"/>
      <c r="U265" s="544"/>
      <c r="V265" s="544"/>
      <c r="W265" s="544"/>
      <c r="X265" s="544"/>
      <c r="Y265" s="544"/>
      <c r="Z265" s="544"/>
      <c r="AA265" s="544"/>
      <c r="AB265" s="544"/>
      <c r="AC265" s="544"/>
      <c r="AD265" s="544"/>
      <c r="AE265" s="544"/>
      <c r="AF265" s="544"/>
    </row>
    <row r="266" spans="1:32">
      <c r="A266" s="533">
        <v>55</v>
      </c>
      <c r="B266" s="534" t="s">
        <v>551</v>
      </c>
      <c r="C266" s="535"/>
      <c r="D266" s="12" t="s">
        <v>879</v>
      </c>
      <c r="E266" s="13">
        <v>2301</v>
      </c>
      <c r="F266" s="14" t="str">
        <f>VLOOKUP($E$266,[1]DATA_A11!$A$2:$FA$200, 3, FALSE)</f>
        <v>2301 Consumer price general index</v>
      </c>
      <c r="G266" s="544">
        <f>IF(VLOOKUP($E$266,[1]DATA_A11!$A$2:$FA$200, 6, FALSE)="",":",VLOOKUP($E$266,[1]DATA_A11!$A$2:$FA$200, 6, FALSE))</f>
        <v>66.068980652933803</v>
      </c>
      <c r="H266" s="544">
        <f>IF(VLOOKUP($E$266,[1]DATA_A11!$A$2:$FA$200, 7, FALSE)="",":",VLOOKUP($E$266,[1]DATA_A11!$A$2:$FA$200, 7, FALSE))</f>
        <v>82.33861128143279</v>
      </c>
      <c r="I266" s="544">
        <f>IF(VLOOKUP($E$266,[1]DATA_A11!$A$2:$FA$200, 8, FALSE)="",":",VLOOKUP($E$266,[1]DATA_A11!$A$2:$FA$200, 8, FALSE))</f>
        <v>89.651135061851093</v>
      </c>
      <c r="J266" s="544">
        <f>IF(VLOOKUP($E$266,[1]DATA_A11!$A$2:$FA$200, 9, FALSE)="",":",VLOOKUP($E$266,[1]DATA_A11!$A$2:$FA$200, 9, FALSE))</f>
        <v>94.194267636048167</v>
      </c>
      <c r="K266" s="544">
        <f>IF(VLOOKUP($E$266,[1]DATA_A11!$A$2:$FA$200, 10, FALSE)="",":",VLOOKUP($E$266,[1]DATA_A11!$A$2:$FA$200, 10, FALSE))</f>
        <v>94.879575853725868</v>
      </c>
      <c r="L266" s="544">
        <f>IF(VLOOKUP($E$266,[1]DATA_A11!$A$2:$FA$200, 11, FALSE)="",":",VLOOKUP($E$266,[1]DATA_A11!$A$2:$FA$200, 11, FALSE))</f>
        <v>95.810967364838703</v>
      </c>
      <c r="M266" s="544">
        <f>IF(VLOOKUP($E$266,[1]DATA_A11!$A$2:$FA$200, 12, FALSE)="",":",VLOOKUP($E$266,[1]DATA_A11!$A$2:$FA$200, 12, FALSE))</f>
        <v>97.120808813198579</v>
      </c>
      <c r="N266" s="544">
        <f>IF(VLOOKUP($E$266,[1]DATA_A11!$A$2:$FA$200, 13, FALSE)="",":",VLOOKUP($E$266,[1]DATA_A11!$A$2:$FA$200, 13, FALSE))</f>
        <v>97.394175434303676</v>
      </c>
      <c r="O266" s="544">
        <f>IF(VLOOKUP($E$266,[1]DATA_A11!$A$2:$FA$200, 14, FALSE)="",":",VLOOKUP($E$266,[1]DATA_A11!$A$2:$FA$200, 14, FALSE))</f>
        <v>96.289433951761211</v>
      </c>
      <c r="P266" s="544">
        <f>IF(VLOOKUP($E$266,[1]DATA_A11!$A$2:$FA$200, 15, FALSE)="",":",VLOOKUP($E$266,[1]DATA_A11!$A$2:$FA$200, 15, FALSE))</f>
        <v>97.410342098276729</v>
      </c>
      <c r="Q266" s="544">
        <f>IF(VLOOKUP($E$266,[1]DATA_A11!$A$2:$FA$200, 16, FALSE)="",":",VLOOKUP($E$266,[1]DATA_A11!$A$2:$FA$200, 16, FALSE))</f>
        <v>100</v>
      </c>
      <c r="R266" s="544">
        <f>IF(VLOOKUP($E$266,[1]DATA_A11!$A$2:$FA$200, 17, FALSE)="",":",VLOOKUP($E$266,[1]DATA_A11!$A$2:$FA$200, 17, FALSE))</f>
        <v>103.73908271015331</v>
      </c>
      <c r="S266" s="544">
        <f>IF(VLOOKUP($E$266,[1]DATA_A11!$A$2:$FA$200, 18, FALSE)="",":",VLOOKUP($E$266,[1]DATA_A11!$A$2:$FA$200, 18, FALSE))</f>
        <v>109.69079005153519</v>
      </c>
      <c r="T266" s="544">
        <f>IF(VLOOKUP($E$266,[1]DATA_A11!$A$2:$FA$200, 19, FALSE)="",":",VLOOKUP($E$266,[1]DATA_A11!$A$2:$FA$200, 19, FALSE))</f>
        <v>121.67546305408973</v>
      </c>
      <c r="U266" s="544">
        <f>IF(VLOOKUP($E$266,[1]DATA_A11!$A$2:$FA$200, 20, FALSE)="",":",VLOOKUP($E$266,[1]DATA_A11!$A$2:$FA$200, 20, FALSE))</f>
        <v>127.09376215103943</v>
      </c>
      <c r="V266" s="544">
        <f>IF(VLOOKUP($E$266,[1]DATA_A11!$A$2:$FA$200, 21, FALSE)="",":",VLOOKUP($E$266,[1]DATA_A11!$A$2:$FA$200, 21, FALSE))</f>
        <v>128.77039520493449</v>
      </c>
      <c r="W266" s="544">
        <f>IF(VLOOKUP($E$266,[1]DATA_A11!$A$2:$FA$200, 22, FALSE)="",":",VLOOKUP($E$266,[1]DATA_A11!$A$2:$FA$200, 22, FALSE))</f>
        <v>134.08896098517272</v>
      </c>
      <c r="X266" s="544">
        <f>IF(VLOOKUP($E$266,[1]DATA_A11!$A$2:$FA$200, 23, FALSE)="",":",VLOOKUP($E$266,[1]DATA_A11!$A$2:$FA$200, 23, FALSE))</f>
        <v>138.24571877571375</v>
      </c>
      <c r="Y266" s="544">
        <f>IF(VLOOKUP($E$266,[1]DATA_A11!$A$2:$FA$200, 24, FALSE)="",":",VLOOKUP($E$266,[1]DATA_A11!$A$2:$FA$200, 24, FALSE))</f>
        <v>139.6281759634702</v>
      </c>
      <c r="Z266" s="544">
        <f>IF(VLOOKUP($E$266,[1]DATA_A11!$A$2:$FA$200, 25, FALSE)="",":",VLOOKUP($E$266,[1]DATA_A11!$A$2:$FA$200, 25, FALSE))</f>
        <v>139.77309592786955</v>
      </c>
      <c r="AA266" s="544">
        <f>IF(VLOOKUP($E$266,[1]DATA_A11!$A$2:$FA$200, 26, FALSE)="",":",VLOOKUP($E$266,[1]DATA_A11!$A$2:$FA$200, 26, FALSE))</f>
        <v>138.53735019739733</v>
      </c>
      <c r="AB266" s="544">
        <f>IF(VLOOKUP($E$266,[1]DATA_A11!$A$2:$FA$200, 27, FALSE)="",":",VLOOKUP($E$266,[1]DATA_A11!$A$2:$FA$200, 27, FALSE))</f>
        <v>139.79183576338338</v>
      </c>
      <c r="AC266" s="544" t="e">
        <f>IF(VLOOKUP($E$266,[1]DATA_A11!$A$2:$FA$200, 28, FALSE)="",":",VLOOKUP($E$266,[1]DATA_A11!$A$2:$FA$200, 28, FALSE))</f>
        <v>#N/A</v>
      </c>
      <c r="AD266" s="544" t="str">
        <f>IF(VLOOKUP($E$266,[1]DATA_A11!$A$2:$FA$200, 29, FALSE)="",":",VLOOKUP($E$266,[1]DATA_A11!$A$2:$FA$200, 29, FALSE))</f>
        <v>:</v>
      </c>
      <c r="AE266" s="544" t="str">
        <f>IF(VLOOKUP($E$266,[1]DATA_A11!$A$2:$FA$200, 30, FALSE)="",":",VLOOKUP($E$266,[1]DATA_A11!$A$2:$FA$200, 30, FALSE))</f>
        <v>:</v>
      </c>
      <c r="AF266" s="544" t="str">
        <f>IF(VLOOKUP($E$266,[1]DATA_A11!$A$2:$FA$200, 31, FALSE)="",":",VLOOKUP($E$266,[1]DATA_A11!$A$2:$FA$200, 31, FALSE))</f>
        <v>:</v>
      </c>
    </row>
    <row r="267" spans="1:32">
      <c r="A267" s="533">
        <v>54</v>
      </c>
      <c r="B267" s="534" t="s">
        <v>599</v>
      </c>
      <c r="C267" s="535"/>
      <c r="D267" s="12" t="s">
        <v>879</v>
      </c>
      <c r="E267" s="13">
        <v>2300</v>
      </c>
      <c r="F267" s="14" t="str">
        <f>VLOOKUP($E$267,[1]DATA_A11!$A$2:$FA$200, 3, FALSE)</f>
        <v>2300 Consumer price harmonized index</v>
      </c>
      <c r="G267" s="544">
        <f>IF(VLOOKUP($E$267,[1]DATA_A11!$A$2:$FA$200, 6, FALSE)="",":",VLOOKUP($E$267,[1]DATA_A11!$A$2:$FA$200, 6, FALSE))</f>
        <v>46.202189580827167</v>
      </c>
      <c r="H267" s="544">
        <f>IF(VLOOKUP($E$267,[1]DATA_A11!$A$2:$FA$200, 7, FALSE)="",":",VLOOKUP($E$267,[1]DATA_A11!$A$2:$FA$200, 7, FALSE))</f>
        <v>57.612499999999997</v>
      </c>
      <c r="I267" s="544">
        <f>IF(VLOOKUP($E$267,[1]DATA_A11!$A$2:$FA$200, 8, FALSE)="",":",VLOOKUP($E$267,[1]DATA_A11!$A$2:$FA$200, 8, FALSE))</f>
        <v>63.555833333333297</v>
      </c>
      <c r="J267" s="544">
        <f>IF(VLOOKUP($E$267,[1]DATA_A11!$A$2:$FA$200, 9, FALSE)="",":",VLOOKUP($E$267,[1]DATA_A11!$A$2:$FA$200, 9, FALSE))</f>
        <v>66.968333333333305</v>
      </c>
      <c r="K267" s="544">
        <f>IF(VLOOKUP($E$267,[1]DATA_A11!$A$2:$FA$200, 10, FALSE)="",":",VLOOKUP($E$267,[1]DATA_A11!$A$2:$FA$200, 10, FALSE))</f>
        <v>67.935000000000002</v>
      </c>
      <c r="L267" s="544">
        <f>IF(VLOOKUP($E$267,[1]DATA_A11!$A$2:$FA$200, 11, FALSE)="",":",VLOOKUP($E$267,[1]DATA_A11!$A$2:$FA$200, 11, FALSE))</f>
        <v>68.678333333333299</v>
      </c>
      <c r="M267" s="544">
        <f>IF(VLOOKUP($E$267,[1]DATA_A11!$A$2:$FA$200, 12, FALSE)="",":",VLOOKUP($E$267,[1]DATA_A11!$A$2:$FA$200, 12, FALSE))</f>
        <v>69.742500000000007</v>
      </c>
      <c r="N267" s="544">
        <f>IF(VLOOKUP($E$267,[1]DATA_A11!$A$2:$FA$200, 13, FALSE)="",":",VLOOKUP($E$267,[1]DATA_A11!$A$2:$FA$200, 13, FALSE))</f>
        <v>69.976666666666702</v>
      </c>
      <c r="O267" s="544">
        <f>IF(VLOOKUP($E$267,[1]DATA_A11!$A$2:$FA$200, 14, FALSE)="",":",VLOOKUP($E$267,[1]DATA_A11!$A$2:$FA$200, 14, FALSE))</f>
        <v>69.223333333333301</v>
      </c>
      <c r="P267" s="544">
        <f>IF(VLOOKUP($E$267,[1]DATA_A11!$A$2:$FA$200, 15, FALSE)="",":",VLOOKUP($E$267,[1]DATA_A11!$A$2:$FA$200, 15, FALSE))</f>
        <v>70.022499999999994</v>
      </c>
      <c r="Q267" s="544">
        <f>IF(VLOOKUP($E$267,[1]DATA_A11!$A$2:$FA$200, 16, FALSE)="",":",VLOOKUP($E$267,[1]DATA_A11!$A$2:$FA$200, 16, FALSE))</f>
        <v>71.893333333333302</v>
      </c>
      <c r="R267" s="544">
        <f>IF(VLOOKUP($E$267,[1]DATA_A11!$A$2:$FA$200, 17, FALSE)="",":",VLOOKUP($E$267,[1]DATA_A11!$A$2:$FA$200, 17, FALSE))</f>
        <v>74.594166666666695</v>
      </c>
      <c r="S267" s="544">
        <f>IF(VLOOKUP($E$267,[1]DATA_A11!$A$2:$FA$200, 18, FALSE)="",":",VLOOKUP($E$267,[1]DATA_A11!$A$2:$FA$200, 18, FALSE))</f>
        <v>78.934166666666698</v>
      </c>
      <c r="T267" s="544">
        <f>IF(VLOOKUP($E$267,[1]DATA_A11!$A$2:$FA$200, 19, FALSE)="",":",VLOOKUP($E$267,[1]DATA_A11!$A$2:$FA$200, 19, FALSE))</f>
        <v>87.689166666666694</v>
      </c>
      <c r="U267" s="544">
        <f>IF(VLOOKUP($E$267,[1]DATA_A11!$A$2:$FA$200, 20, FALSE)="",":",VLOOKUP($E$267,[1]DATA_A11!$A$2:$FA$200, 20, FALSE))</f>
        <v>91.338333333333296</v>
      </c>
      <c r="V267" s="544">
        <f>IF(VLOOKUP($E$267,[1]DATA_A11!$A$2:$FA$200, 21, FALSE)="",":",VLOOKUP($E$267,[1]DATA_A11!$A$2:$FA$200, 21, FALSE))</f>
        <v>92.425833333333301</v>
      </c>
      <c r="W267" s="544">
        <f>IF(VLOOKUP($E$267,[1]DATA_A11!$A$2:$FA$200, 22, FALSE)="",":",VLOOKUP($E$267,[1]DATA_A11!$A$2:$FA$200, 22, FALSE))</f>
        <v>96.237499999999997</v>
      </c>
      <c r="X267" s="544">
        <f>IF(VLOOKUP($E$267,[1]DATA_A11!$A$2:$FA$200, 23, FALSE)="",":",VLOOKUP($E$267,[1]DATA_A11!$A$2:$FA$200, 23, FALSE))</f>
        <v>99.282499999999999</v>
      </c>
      <c r="Y267" s="544">
        <f>IF(VLOOKUP($E$267,[1]DATA_A11!$A$2:$FA$200, 24, FALSE)="",":",VLOOKUP($E$267,[1]DATA_A11!$A$2:$FA$200, 24, FALSE))</f>
        <v>100.43833333333301</v>
      </c>
      <c r="Z267" s="544">
        <f>IF(VLOOKUP($E$267,[1]DATA_A11!$A$2:$FA$200, 25, FALSE)="",":",VLOOKUP($E$267,[1]DATA_A11!$A$2:$FA$200, 25, FALSE))</f>
        <v>100.681666666667</v>
      </c>
      <c r="AA267" s="544">
        <f>IF(VLOOKUP($E$267,[1]DATA_A11!$A$2:$FA$200, 26, FALSE)="",":",VLOOKUP($E$267,[1]DATA_A11!$A$2:$FA$200, 26, FALSE))</f>
        <v>100</v>
      </c>
      <c r="AB267" s="544">
        <f>IF(VLOOKUP($E$267,[1]DATA_A11!$A$2:$FA$200, 27, FALSE)="",":",VLOOKUP($E$267,[1]DATA_A11!$A$2:$FA$200, 27, FALSE))</f>
        <v>100.678333333333</v>
      </c>
      <c r="AC267" s="544">
        <f>IF(VLOOKUP($E$267,[1]DATA_A11!$A$2:$FA$200, 28, FALSE)="",":",VLOOKUP($E$267,[1]DATA_A11!$A$2:$FA$200, 28, FALSE))</f>
        <v>104.42166666666699</v>
      </c>
      <c r="AD267" s="544" t="str">
        <f>IF(VLOOKUP($E$267,[1]DATA_A11!$A$2:$FA$200, 29, FALSE)="",":",VLOOKUP($E$267,[1]DATA_A11!$A$2:$FA$200, 29, FALSE))</f>
        <v>:</v>
      </c>
      <c r="AE267" s="544" t="str">
        <f>IF(VLOOKUP($E$267,[1]DATA_A11!$A$2:$FA$200, 30, FALSE)="",":",VLOOKUP($E$267,[1]DATA_A11!$A$2:$FA$200, 30, FALSE))</f>
        <v>:</v>
      </c>
      <c r="AF267" s="544" t="str">
        <f>IF(VLOOKUP($E$267,[1]DATA_A11!$A$2:$FA$200, 31, FALSE)="",":",VLOOKUP($E$267,[1]DATA_A11!$A$2:$FA$200, 31, FALSE))</f>
        <v>:</v>
      </c>
    </row>
    <row r="268" spans="1:32">
      <c r="A268" s="847">
        <v>136</v>
      </c>
      <c r="B268" s="534" t="s">
        <v>884</v>
      </c>
      <c r="C268" s="535" t="s">
        <v>892</v>
      </c>
      <c r="D268" s="12" t="s">
        <v>879</v>
      </c>
      <c r="E268" s="13">
        <v>2920</v>
      </c>
      <c r="F268" s="14" t="str">
        <f>VLOOKUP($E$268,[1]DATA_A11!$A$2:$FA$300, 3, FALSE)</f>
        <v>2920 GDP (EDP-notification)</v>
      </c>
      <c r="G268" s="544">
        <f>IF(VLOOKUP($E$268,[1]DATA_A11!$A$2:$FA$300, 6, FALSE)="",":",VLOOKUP($E$268,[1]DATA_A11!$A$2:$FA$300, 6, FALSE))</f>
        <v>7797.8741890639485</v>
      </c>
      <c r="H268" s="544">
        <f>IF(VLOOKUP($E$268,[1]DATA_A11!$A$2:$FA$300, 7, FALSE)="",":",VLOOKUP($E$268,[1]DATA_A11!$A$2:$FA$300, 7, FALSE))</f>
        <v>9762.0481927710844</v>
      </c>
      <c r="I268" s="544">
        <f>IF(VLOOKUP($E$268,[1]DATA_A11!$A$2:$FA$300, 8, FALSE)="",":",VLOOKUP($E$268,[1]DATA_A11!$A$2:$FA$300, 8, FALSE))</f>
        <v>11733.926088971271</v>
      </c>
      <c r="J268" s="544">
        <f>IF(VLOOKUP($E$268,[1]DATA_A11!$A$2:$FA$300, 9, FALSE)="",":",VLOOKUP($E$268,[1]DATA_A11!$A$2:$FA$300, 9, FALSE))</f>
        <v>13037.59267840593</v>
      </c>
      <c r="K268" s="544">
        <f>IF(VLOOKUP($E$268,[1]DATA_A11!$A$2:$FA$300, 10, FALSE)="",":",VLOOKUP($E$268,[1]DATA_A11!$A$2:$FA$300, 10, FALSE))</f>
        <v>12710.090361445784</v>
      </c>
      <c r="L268" s="544">
        <f>IF(VLOOKUP($E$268,[1]DATA_A11!$A$2:$FA$300, 11, FALSE)="",":",VLOOKUP($E$268,[1]DATA_A11!$A$2:$FA$300, 11, FALSE))</f>
        <v>13323.244902687675</v>
      </c>
      <c r="M268" s="544">
        <f>IF(VLOOKUP($E$268,[1]DATA_A11!$A$2:$FA$300, 12, FALSE)="",":",VLOOKUP($E$268,[1]DATA_A11!$A$2:$FA$300, 12, FALSE))</f>
        <v>14156.481696014829</v>
      </c>
      <c r="N268" s="544">
        <f>IF(VLOOKUP($E$268,[1]DATA_A11!$A$2:$FA$300, 13, FALSE)="",":",VLOOKUP($E$268,[1]DATA_A11!$A$2:$FA$300, 13, FALSE))</f>
        <v>15161.897590361446</v>
      </c>
      <c r="O268" s="544">
        <f>IF(VLOOKUP($E$268,[1]DATA_A11!$A$2:$FA$300, 14, FALSE)="",":",VLOOKUP($E$268,[1]DATA_A11!$A$2:$FA$300, 14, FALSE))</f>
        <v>16575.648748841522</v>
      </c>
      <c r="P268" s="544">
        <f>IF(VLOOKUP($E$268,[1]DATA_A11!$A$2:$FA$300, 15, FALSE)="",":",VLOOKUP($E$268,[1]DATA_A11!$A$2:$FA$300, 15, FALSE))</f>
        <v>18245.308155699724</v>
      </c>
      <c r="Q268" s="544">
        <f>IF(VLOOKUP($E$268,[1]DATA_A11!$A$2:$FA$300, 16, FALSE)="",":",VLOOKUP($E$268,[1]DATA_A11!$A$2:$FA$300, 16, FALSE))</f>
        <v>21002.400000000001</v>
      </c>
      <c r="R268" s="544">
        <f>IF(VLOOKUP($E$268,[1]DATA_A11!$A$2:$FA$300, 17, FALSE)="",":",VLOOKUP($E$268,[1]DATA_A11!$A$2:$FA$300, 17, FALSE))</f>
        <v>24079.200000000001</v>
      </c>
      <c r="S268" s="544">
        <f>IF(VLOOKUP($E$268,[1]DATA_A11!$A$2:$FA$300, 18, FALSE)="",":",VLOOKUP($E$268,[1]DATA_A11!$A$2:$FA$300, 18, FALSE))</f>
        <v>29040.7</v>
      </c>
      <c r="T268" s="544">
        <f>IF(VLOOKUP($E$268,[1]DATA_A11!$A$2:$FA$300, 19, FALSE)="",":",VLOOKUP($E$268,[1]DATA_A11!$A$2:$FA$300, 19, FALSE))</f>
        <v>32696.3</v>
      </c>
      <c r="U268" s="544">
        <f>IF(VLOOKUP($E$268,[1]DATA_A11!$A$2:$FA$300, 20, FALSE)="",":",VLOOKUP($E$268,[1]DATA_A11!$A$2:$FA$300, 20, FALSE))</f>
        <v>26934.799999999999</v>
      </c>
      <c r="V268" s="544">
        <f>IF(VLOOKUP($E$268,[1]DATA_A11!$A$2:$FA$300, 21, FALSE)="",":",VLOOKUP($E$268,[1]DATA_A11!$A$2:$FA$300, 21, FALSE))</f>
        <v>28027.7</v>
      </c>
      <c r="W268" s="544">
        <f>IF(VLOOKUP($E$268,[1]DATA_A11!$A$2:$FA$300, 22, FALSE)="",":",VLOOKUP($E$268,[1]DATA_A11!$A$2:$FA$300, 22, FALSE))</f>
        <v>31275.3</v>
      </c>
      <c r="X268" s="544">
        <f>IF(VLOOKUP($E$268,[1]DATA_A11!$A$2:$FA$300, 23, FALSE)="",":",VLOOKUP($E$268,[1]DATA_A11!$A$2:$FA$300, 23, FALSE))</f>
        <v>33348.5</v>
      </c>
      <c r="Y268" s="544">
        <f>IF(VLOOKUP($E$268,[1]DATA_A11!$A$2:$FA$300, 24, FALSE)="",":",VLOOKUP($E$268,[1]DATA_A11!$A$2:$FA$300, 24, FALSE))</f>
        <v>34959.599999999999</v>
      </c>
      <c r="Z268" s="544">
        <f>IF(VLOOKUP($E$268,[1]DATA_A11!$A$2:$FA$300, 25, FALSE)="",":",VLOOKUP($E$268,[1]DATA_A11!$A$2:$FA$300, 25, FALSE))</f>
        <v>36568.300000000003</v>
      </c>
      <c r="AA268" s="544">
        <f>IF(VLOOKUP($E$268,[1]DATA_A11!$A$2:$FA$300, 26, FALSE)="",":",VLOOKUP($E$268,[1]DATA_A11!$A$2:$FA$300, 26, FALSE))</f>
        <v>37426.6</v>
      </c>
      <c r="AB268" s="544">
        <f>IF(VLOOKUP($E$268,[1]DATA_A11!$A$2:$FA$300, 27, FALSE)="",":",VLOOKUP($E$268,[1]DATA_A11!$A$2:$FA$300, 27, FALSE))</f>
        <v>38668.300000000003</v>
      </c>
      <c r="AC268" s="544" t="str">
        <f>IF(VLOOKUP($E$268,[1]DATA_A11!$A$2:$FA$300, 28, FALSE)="",":",VLOOKUP($E$268,[1]DATA_A11!$A$2:$FA$300, 28, FALSE))</f>
        <v>n.a.</v>
      </c>
      <c r="AD268" s="544" t="str">
        <f>IF(VLOOKUP($E$268,[1]DATA_A11!$A$2:$FA$300, 29, FALSE)="",":",VLOOKUP($E$268,[1]DATA_A11!$A$2:$FA$300, 29, FALSE))</f>
        <v>:</v>
      </c>
      <c r="AE268" s="544" t="str">
        <f>IF(VLOOKUP($E$268,[1]DATA_A11!$A$2:$FA$300, 30, FALSE)="",":",VLOOKUP($E$268,[1]DATA_A11!$A$2:$FA$300, 30, FALSE))</f>
        <v>:</v>
      </c>
      <c r="AF268" s="544" t="str">
        <f>IF(VLOOKUP($E$268,[1]DATA_A11!$A$2:$FA$300, 31, FALSE)="",":",VLOOKUP($E$268,[1]DATA_A11!$A$2:$FA$300, 31, FALSE))</f>
        <v>:</v>
      </c>
    </row>
    <row r="269" spans="1:32">
      <c r="A269" s="533"/>
      <c r="B269" s="534"/>
      <c r="C269" s="535"/>
      <c r="D269" s="12"/>
      <c r="E269" s="13"/>
      <c r="F269" s="14"/>
      <c r="G269" s="544"/>
      <c r="H269" s="544"/>
      <c r="I269" s="544"/>
      <c r="J269" s="544"/>
      <c r="K269" s="544"/>
      <c r="L269" s="544"/>
      <c r="M269" s="544"/>
      <c r="N269" s="544"/>
      <c r="O269" s="544"/>
      <c r="P269" s="544"/>
      <c r="Q269" s="544"/>
      <c r="R269" s="544"/>
      <c r="S269" s="544"/>
      <c r="T269" s="544"/>
      <c r="U269" s="544"/>
      <c r="V269" s="544"/>
      <c r="W269" s="544"/>
      <c r="X269" s="544"/>
      <c r="Y269" s="544"/>
      <c r="Z269" s="544"/>
      <c r="AA269" s="544"/>
      <c r="AB269" s="544"/>
      <c r="AC269" s="544"/>
      <c r="AD269" s="544"/>
      <c r="AE269" s="544"/>
      <c r="AF269" s="544"/>
    </row>
    <row r="270" spans="1:32">
      <c r="A270" s="533"/>
      <c r="B270" s="534" t="s">
        <v>1422</v>
      </c>
      <c r="C270" s="535"/>
      <c r="D270" s="12" t="s">
        <v>879</v>
      </c>
      <c r="E270" s="13">
        <v>2351</v>
      </c>
      <c r="F270" s="14" t="str">
        <f>VLOOKUP($E$270,[1]DATA_A11!$A$2:$FA$195, 3, FALSE)</f>
        <v>2301 HICP Non-energy industrial goods - weight</v>
      </c>
      <c r="G270" s="544" t="str">
        <f>IF(VLOOKUP($E$270,[1]DATA_A11!$A$2:$FA$195, 6, FALSE)="",":",VLOOKUP($E$270,[1]DATA_A11!$A$2:$FA$195, 6, FALSE))</f>
        <v>:</v>
      </c>
      <c r="H270" s="544">
        <f>IF(VLOOKUP($E$270,[1]DATA_A11!$A$2:$FA$195, 7, FALSE)="",":",VLOOKUP($E$270,[1]DATA_A11!$A$2:$FA$195, 7, FALSE))</f>
        <v>201.94000000000003</v>
      </c>
      <c r="I270" s="544">
        <f>IF(VLOOKUP($E$270,[1]DATA_A11!$A$2:$FA$195, 8, FALSE)="",":",VLOOKUP($E$270,[1]DATA_A11!$A$2:$FA$195, 8, FALSE))</f>
        <v>206.91000000000003</v>
      </c>
      <c r="J270" s="544">
        <f>IF(VLOOKUP($E$270,[1]DATA_A11!$A$2:$FA$195, 9, FALSE)="",":",VLOOKUP($E$270,[1]DATA_A11!$A$2:$FA$195, 9, FALSE))</f>
        <v>202.31</v>
      </c>
      <c r="K270" s="544">
        <f>IF(VLOOKUP($E$270,[1]DATA_A11!$A$2:$FA$195, 10, FALSE)="",":",VLOOKUP($E$270,[1]DATA_A11!$A$2:$FA$195, 10, FALSE))</f>
        <v>253.32</v>
      </c>
      <c r="L270" s="544">
        <f>IF(VLOOKUP($E$270,[1]DATA_A11!$A$2:$FA$195, 11, FALSE)="",":",VLOOKUP($E$270,[1]DATA_A11!$A$2:$FA$195, 11, FALSE))</f>
        <v>256.58999999999997</v>
      </c>
      <c r="M270" s="544">
        <f>IF(VLOOKUP($E$270,[1]DATA_A11!$A$2:$FA$195, 12, FALSE)="",":",VLOOKUP($E$270,[1]DATA_A11!$A$2:$FA$195, 12, FALSE))</f>
        <v>233.14</v>
      </c>
      <c r="N270" s="544">
        <f>IF(VLOOKUP($E$270,[1]DATA_A11!$A$2:$FA$195, 13, FALSE)="",":",VLOOKUP($E$270,[1]DATA_A11!$A$2:$FA$195, 13, FALSE))</f>
        <v>246.14000000000001</v>
      </c>
      <c r="O270" s="544">
        <f>IF(VLOOKUP($E$270,[1]DATA_A11!$A$2:$FA$195, 14, FALSE)="",":",VLOOKUP($E$270,[1]DATA_A11!$A$2:$FA$195, 14, FALSE))</f>
        <v>244.02</v>
      </c>
      <c r="P270" s="544">
        <f>IF(VLOOKUP($E$270,[1]DATA_A11!$A$2:$FA$195, 15, FALSE)="",":",VLOOKUP($E$270,[1]DATA_A11!$A$2:$FA$195, 15, FALSE))</f>
        <v>257.04000000000002</v>
      </c>
      <c r="Q270" s="544">
        <f>IF(VLOOKUP($E$270,[1]DATA_A11!$A$2:$FA$195, 16, FALSE)="",":",VLOOKUP($E$270,[1]DATA_A11!$A$2:$FA$195, 16, FALSE))</f>
        <v>271.23</v>
      </c>
      <c r="R270" s="544">
        <f>IF(VLOOKUP($E$270,[1]DATA_A11!$A$2:$FA$195, 17, FALSE)="",":",VLOOKUP($E$270,[1]DATA_A11!$A$2:$FA$195, 17, FALSE))</f>
        <v>271.83999999999997</v>
      </c>
      <c r="S270" s="544">
        <f>IF(VLOOKUP($E$270,[1]DATA_A11!$A$2:$FA$195, 18, FALSE)="",":",VLOOKUP($E$270,[1]DATA_A11!$A$2:$FA$195, 18, FALSE))</f>
        <v>287.05</v>
      </c>
      <c r="T270" s="544">
        <f>IF(VLOOKUP($E$270,[1]DATA_A11!$A$2:$FA$195, 19, FALSE)="",":",VLOOKUP($E$270,[1]DATA_A11!$A$2:$FA$195, 19, FALSE))</f>
        <v>289.37</v>
      </c>
      <c r="U270" s="544">
        <f>IF(VLOOKUP($E$270,[1]DATA_A11!$A$2:$FA$195, 20, FALSE)="",":",VLOOKUP($E$270,[1]DATA_A11!$A$2:$FA$195, 20, FALSE))</f>
        <v>292.51</v>
      </c>
      <c r="V270" s="544">
        <f>IF(VLOOKUP($E$270,[1]DATA_A11!$A$2:$FA$195, 21, FALSE)="",":",VLOOKUP($E$270,[1]DATA_A11!$A$2:$FA$195, 21, FALSE))</f>
        <v>266.68</v>
      </c>
      <c r="W270" s="544">
        <f>IF(VLOOKUP($E$270,[1]DATA_A11!$A$2:$FA$195, 22, FALSE)="",":",VLOOKUP($E$270,[1]DATA_A11!$A$2:$FA$195, 22, FALSE))</f>
        <v>252.33000000000004</v>
      </c>
      <c r="X270" s="544">
        <f>IF(VLOOKUP($E$270,[1]DATA_A11!$A$2:$FA$195, 23, FALSE)="",":",VLOOKUP($E$270,[1]DATA_A11!$A$2:$FA$195, 23, FALSE))</f>
        <v>243.38</v>
      </c>
      <c r="Y270" s="544">
        <f>IF(VLOOKUP($E$270,[1]DATA_A11!$A$2:$FA$195, 24, FALSE)="",":",VLOOKUP($E$270,[1]DATA_A11!$A$2:$FA$195, 24, FALSE))</f>
        <v>238.83000000000004</v>
      </c>
      <c r="Z270" s="544">
        <f>IF(VLOOKUP($E$270,[1]DATA_A11!$A$2:$FA$195, 25, FALSE)="",":",VLOOKUP($E$270,[1]DATA_A11!$A$2:$FA$195, 25, FALSE))</f>
        <v>300.89999999999998</v>
      </c>
      <c r="AA270" s="544">
        <f>IF(VLOOKUP($E$270,[1]DATA_A11!$A$2:$FA$195, 26, FALSE)="",":",VLOOKUP($E$270,[1]DATA_A11!$A$2:$FA$195, 26, FALSE))</f>
        <v>321.58999999999997</v>
      </c>
      <c r="AB270" s="544">
        <f>IF(VLOOKUP($E$270,[1]DATA_A11!$A$2:$FA$195, 27, FALSE)="",":",VLOOKUP($E$270,[1]DATA_A11!$A$2:$FA$195, 27, FALSE))</f>
        <v>336.99000000000007</v>
      </c>
      <c r="AC270" s="544">
        <f>IF(VLOOKUP($E$270,[1]DATA_A11!$A$2:$FA$195, 28, FALSE)="",":",VLOOKUP($E$270,[1]DATA_A11!$A$2:$FA$195, 28, FALSE))</f>
        <v>324.63</v>
      </c>
      <c r="AD270" s="544" t="str">
        <f>IF(VLOOKUP($E$270,[1]DATA_A11!$A$2:$FA$195, 29, FALSE)="",":",VLOOKUP($E$270,[1]DATA_A11!$A$2:$FA$195, 29, FALSE))</f>
        <v>:</v>
      </c>
      <c r="AE270" s="544" t="str">
        <f>IF(VLOOKUP($E$270,[1]DATA_A11!$A$2:$FA$195, 30, FALSE)="",":",VLOOKUP($E$270,[1]DATA_A11!$A$2:$FA$195, 30, FALSE))</f>
        <v>:</v>
      </c>
      <c r="AF270" s="544" t="str">
        <f>IF(VLOOKUP($E$270,[1]DATA_A11!$A$2:$FA$195, 31, FALSE)="",":",VLOOKUP($E$270,[1]DATA_A11!$A$2:$FA$195, 31, FALSE))</f>
        <v>:</v>
      </c>
    </row>
    <row r="271" spans="1:32">
      <c r="A271" s="533"/>
      <c r="B271" s="534" t="s">
        <v>1423</v>
      </c>
      <c r="C271" s="535"/>
      <c r="D271" s="12" t="s">
        <v>879</v>
      </c>
      <c r="E271" s="13">
        <v>2352</v>
      </c>
      <c r="F271" s="14" t="str">
        <f>VLOOKUP($E$271,[1]DATA_A11!$A$2:$FA$195, 3, FALSE)</f>
        <v>2302 HICP Energy - weight</v>
      </c>
      <c r="G271" s="544" t="str">
        <f>IF(VLOOKUP($E$271,[1]DATA_A11!$A$2:$FA$195, 6, FALSE)="",":",VLOOKUP($E$271,[1]DATA_A11!$A$2:$FA$195, 6, FALSE))</f>
        <v>:</v>
      </c>
      <c r="H271" s="544">
        <f>IF(VLOOKUP($E$271,[1]DATA_A11!$A$2:$FA$195, 7, FALSE)="",":",VLOOKUP($E$271,[1]DATA_A11!$A$2:$FA$195, 7, FALSE))</f>
        <v>116.59</v>
      </c>
      <c r="I271" s="544">
        <f>IF(VLOOKUP($E$271,[1]DATA_A11!$A$2:$FA$195, 8, FALSE)="",":",VLOOKUP($E$271,[1]DATA_A11!$A$2:$FA$195, 8, FALSE))</f>
        <v>144.16999999999999</v>
      </c>
      <c r="J271" s="544">
        <f>IF(VLOOKUP($E$271,[1]DATA_A11!$A$2:$FA$195, 9, FALSE)="",":",VLOOKUP($E$271,[1]DATA_A11!$A$2:$FA$195, 9, FALSE))</f>
        <v>162.15</v>
      </c>
      <c r="K271" s="544">
        <f>IF(VLOOKUP($E$271,[1]DATA_A11!$A$2:$FA$195, 10, FALSE)="",":",VLOOKUP($E$271,[1]DATA_A11!$A$2:$FA$195, 10, FALSE))</f>
        <v>131.61000000000001</v>
      </c>
      <c r="L271" s="544">
        <f>IF(VLOOKUP($E$271,[1]DATA_A11!$A$2:$FA$195, 11, FALSE)="",":",VLOOKUP($E$271,[1]DATA_A11!$A$2:$FA$195, 11, FALSE))</f>
        <v>150.61000000000001</v>
      </c>
      <c r="M271" s="544">
        <f>IF(VLOOKUP($E$271,[1]DATA_A11!$A$2:$FA$195, 12, FALSE)="",":",VLOOKUP($E$271,[1]DATA_A11!$A$2:$FA$195, 12, FALSE))</f>
        <v>156.51</v>
      </c>
      <c r="N271" s="544">
        <f>IF(VLOOKUP($E$271,[1]DATA_A11!$A$2:$FA$195, 13, FALSE)="",":",VLOOKUP($E$271,[1]DATA_A11!$A$2:$FA$195, 13, FALSE))</f>
        <v>130.04</v>
      </c>
      <c r="O271" s="544">
        <f>IF(VLOOKUP($E$271,[1]DATA_A11!$A$2:$FA$195, 14, FALSE)="",":",VLOOKUP($E$271,[1]DATA_A11!$A$2:$FA$195, 14, FALSE))</f>
        <v>144.53</v>
      </c>
      <c r="P271" s="544">
        <f>IF(VLOOKUP($E$271,[1]DATA_A11!$A$2:$FA$195, 15, FALSE)="",":",VLOOKUP($E$271,[1]DATA_A11!$A$2:$FA$195, 15, FALSE))</f>
        <v>139.24</v>
      </c>
      <c r="Q271" s="544">
        <f>IF(VLOOKUP($E$271,[1]DATA_A11!$A$2:$FA$195, 16, FALSE)="",":",VLOOKUP($E$271,[1]DATA_A11!$A$2:$FA$195, 16, FALSE))</f>
        <v>130.71</v>
      </c>
      <c r="R271" s="544">
        <f>IF(VLOOKUP($E$271,[1]DATA_A11!$A$2:$FA$195, 17, FALSE)="",":",VLOOKUP($E$271,[1]DATA_A11!$A$2:$FA$195, 17, FALSE))</f>
        <v>131.59</v>
      </c>
      <c r="S271" s="544">
        <f>IF(VLOOKUP($E$271,[1]DATA_A11!$A$2:$FA$195, 18, FALSE)="",":",VLOOKUP($E$271,[1]DATA_A11!$A$2:$FA$195, 18, FALSE))</f>
        <v>133.38</v>
      </c>
      <c r="T271" s="544">
        <f>IF(VLOOKUP($E$271,[1]DATA_A11!$A$2:$FA$195, 19, FALSE)="",":",VLOOKUP($E$271,[1]DATA_A11!$A$2:$FA$195, 19, FALSE))</f>
        <v>133.54</v>
      </c>
      <c r="U271" s="544">
        <f>IF(VLOOKUP($E$271,[1]DATA_A11!$A$2:$FA$195, 20, FALSE)="",":",VLOOKUP($E$271,[1]DATA_A11!$A$2:$FA$195, 20, FALSE))</f>
        <v>125.36000000000001</v>
      </c>
      <c r="V271" s="544">
        <f>IF(VLOOKUP($E$271,[1]DATA_A11!$A$2:$FA$195, 21, FALSE)="",":",VLOOKUP($E$271,[1]DATA_A11!$A$2:$FA$195, 21, FALSE))</f>
        <v>136.25</v>
      </c>
      <c r="W271" s="544">
        <f>IF(VLOOKUP($E$271,[1]DATA_A11!$A$2:$FA$195, 22, FALSE)="",":",VLOOKUP($E$271,[1]DATA_A11!$A$2:$FA$195, 22, FALSE))</f>
        <v>153.46</v>
      </c>
      <c r="X271" s="544">
        <f>IF(VLOOKUP($E$271,[1]DATA_A11!$A$2:$FA$195, 23, FALSE)="",":",VLOOKUP($E$271,[1]DATA_A11!$A$2:$FA$195, 23, FALSE))</f>
        <v>163.93</v>
      </c>
      <c r="Y271" s="544">
        <f>IF(VLOOKUP($E$271,[1]DATA_A11!$A$2:$FA$195, 24, FALSE)="",":",VLOOKUP($E$271,[1]DATA_A11!$A$2:$FA$195, 24, FALSE))</f>
        <v>168.38</v>
      </c>
      <c r="Z271" s="544">
        <f>IF(VLOOKUP($E$271,[1]DATA_A11!$A$2:$FA$195, 25, FALSE)="",":",VLOOKUP($E$271,[1]DATA_A11!$A$2:$FA$195, 25, FALSE))</f>
        <v>142.51</v>
      </c>
      <c r="AA271" s="544">
        <f>IF(VLOOKUP($E$271,[1]DATA_A11!$A$2:$FA$195, 26, FALSE)="",":",VLOOKUP($E$271,[1]DATA_A11!$A$2:$FA$195, 26, FALSE))</f>
        <v>136.01</v>
      </c>
      <c r="AB271" s="544">
        <f>IF(VLOOKUP($E$271,[1]DATA_A11!$A$2:$FA$195, 27, FALSE)="",":",VLOOKUP($E$271,[1]DATA_A11!$A$2:$FA$195, 27, FALSE))</f>
        <v>117.86000000000001</v>
      </c>
      <c r="AC271" s="544">
        <f>IF(VLOOKUP($E$271,[1]DATA_A11!$A$2:$FA$195, 28, FALSE)="",":",VLOOKUP($E$271,[1]DATA_A11!$A$2:$FA$195, 28, FALSE))</f>
        <v>120.19</v>
      </c>
      <c r="AD271" s="544" t="str">
        <f>IF(VLOOKUP($E$271,[1]DATA_A11!$A$2:$FA$195, 29, FALSE)="",":",VLOOKUP($E$271,[1]DATA_A11!$A$2:$FA$195, 29, FALSE))</f>
        <v>:</v>
      </c>
      <c r="AE271" s="544" t="str">
        <f>IF(VLOOKUP($E$271,[1]DATA_A11!$A$2:$FA$195, 30, FALSE)="",":",VLOOKUP($E$271,[1]DATA_A11!$A$2:$FA$195, 30, FALSE))</f>
        <v>:</v>
      </c>
      <c r="AF271" s="544" t="str">
        <f>IF(VLOOKUP($E$271,[1]DATA_A11!$A$2:$FA$195, 31, FALSE)="",":",VLOOKUP($E$271,[1]DATA_A11!$A$2:$FA$195, 31, FALSE))</f>
        <v>:</v>
      </c>
    </row>
    <row r="272" spans="1:32">
      <c r="A272" s="533"/>
      <c r="B272" s="534" t="s">
        <v>1424</v>
      </c>
      <c r="C272" s="535"/>
      <c r="D272" s="12" t="s">
        <v>879</v>
      </c>
      <c r="E272" s="13">
        <v>2353</v>
      </c>
      <c r="F272" s="14" t="str">
        <f>VLOOKUP($E$272,[1]DATA_A11!$A$2:$FA$195, 3, FALSE)</f>
        <v>2303 HICP Unprocessed food - weight</v>
      </c>
      <c r="G272" s="544" t="str">
        <f>IF(VLOOKUP($E$272,[1]DATA_A11!$A$2:$FA$195, 6, FALSE)="",":",VLOOKUP($E$272,[1]DATA_A11!$A$2:$FA$195, 6, FALSE))</f>
        <v>:</v>
      </c>
      <c r="H272" s="544">
        <f>IF(VLOOKUP($E$272,[1]DATA_A11!$A$2:$FA$195, 7, FALSE)="",":",VLOOKUP($E$272,[1]DATA_A11!$A$2:$FA$195, 7, FALSE))</f>
        <v>248.77000000000004</v>
      </c>
      <c r="I272" s="544">
        <f>IF(VLOOKUP($E$272,[1]DATA_A11!$A$2:$FA$195, 8, FALSE)="",":",VLOOKUP($E$272,[1]DATA_A11!$A$2:$FA$195, 8, FALSE))</f>
        <v>192.56</v>
      </c>
      <c r="J272" s="544">
        <f>IF(VLOOKUP($E$272,[1]DATA_A11!$A$2:$FA$195, 9, FALSE)="",":",VLOOKUP($E$272,[1]DATA_A11!$A$2:$FA$195, 9, FALSE))</f>
        <v>180.19000000000003</v>
      </c>
      <c r="K272" s="544">
        <f>IF(VLOOKUP($E$272,[1]DATA_A11!$A$2:$FA$195, 10, FALSE)="",":",VLOOKUP($E$272,[1]DATA_A11!$A$2:$FA$195, 10, FALSE))</f>
        <v>174.74</v>
      </c>
      <c r="L272" s="544">
        <f>IF(VLOOKUP($E$272,[1]DATA_A11!$A$2:$FA$195, 11, FALSE)="",":",VLOOKUP($E$272,[1]DATA_A11!$A$2:$FA$195, 11, FALSE))</f>
        <v>165.14</v>
      </c>
      <c r="M272" s="544">
        <f>IF(VLOOKUP($E$272,[1]DATA_A11!$A$2:$FA$195, 12, FALSE)="",":",VLOOKUP($E$272,[1]DATA_A11!$A$2:$FA$195, 12, FALSE))</f>
        <v>163.66</v>
      </c>
      <c r="N272" s="544">
        <f>IF(VLOOKUP($E$272,[1]DATA_A11!$A$2:$FA$195, 13, FALSE)="",":",VLOOKUP($E$272,[1]DATA_A11!$A$2:$FA$195, 13, FALSE))</f>
        <v>152.71</v>
      </c>
      <c r="O272" s="544">
        <f>IF(VLOOKUP($E$272,[1]DATA_A11!$A$2:$FA$195, 14, FALSE)="",":",VLOOKUP($E$272,[1]DATA_A11!$A$2:$FA$195, 14, FALSE))</f>
        <v>130.96</v>
      </c>
      <c r="P272" s="544">
        <f>IF(VLOOKUP($E$272,[1]DATA_A11!$A$2:$FA$195, 15, FALSE)="",":",VLOOKUP($E$272,[1]DATA_A11!$A$2:$FA$195, 15, FALSE))</f>
        <v>121.5</v>
      </c>
      <c r="Q272" s="544">
        <f>IF(VLOOKUP($E$272,[1]DATA_A11!$A$2:$FA$195, 16, FALSE)="",":",VLOOKUP($E$272,[1]DATA_A11!$A$2:$FA$195, 16, FALSE))</f>
        <v>120.35</v>
      </c>
      <c r="R272" s="544">
        <f>IF(VLOOKUP($E$272,[1]DATA_A11!$A$2:$FA$195, 17, FALSE)="",":",VLOOKUP($E$272,[1]DATA_A11!$A$2:$FA$195, 17, FALSE))</f>
        <v>120.72000000000001</v>
      </c>
      <c r="S272" s="544">
        <f>IF(VLOOKUP($E$272,[1]DATA_A11!$A$2:$FA$195, 18, FALSE)="",":",VLOOKUP($E$272,[1]DATA_A11!$A$2:$FA$195, 18, FALSE))</f>
        <v>112.88</v>
      </c>
      <c r="T272" s="544">
        <f>IF(VLOOKUP($E$272,[1]DATA_A11!$A$2:$FA$195, 19, FALSE)="",":",VLOOKUP($E$272,[1]DATA_A11!$A$2:$FA$195, 19, FALSE))</f>
        <v>110.28</v>
      </c>
      <c r="U272" s="544">
        <f>IF(VLOOKUP($E$272,[1]DATA_A11!$A$2:$FA$195, 20, FALSE)="",":",VLOOKUP($E$272,[1]DATA_A11!$A$2:$FA$195, 20, FALSE))</f>
        <v>115.75000000000001</v>
      </c>
      <c r="V272" s="544">
        <f>IF(VLOOKUP($E$272,[1]DATA_A11!$A$2:$FA$195, 21, FALSE)="",":",VLOOKUP($E$272,[1]DATA_A11!$A$2:$FA$195, 21, FALSE))</f>
        <v>113.57</v>
      </c>
      <c r="W272" s="544">
        <f>IF(VLOOKUP($E$272,[1]DATA_A11!$A$2:$FA$195, 22, FALSE)="",":",VLOOKUP($E$272,[1]DATA_A11!$A$2:$FA$195, 22, FALSE))</f>
        <v>114.47000000000001</v>
      </c>
      <c r="X272" s="544">
        <f>IF(VLOOKUP($E$272,[1]DATA_A11!$A$2:$FA$195, 23, FALSE)="",":",VLOOKUP($E$272,[1]DATA_A11!$A$2:$FA$195, 23, FALSE))</f>
        <v>111.19</v>
      </c>
      <c r="Y272" s="544">
        <f>IF(VLOOKUP($E$272,[1]DATA_A11!$A$2:$FA$195, 24, FALSE)="",":",VLOOKUP($E$272,[1]DATA_A11!$A$2:$FA$195, 24, FALSE))</f>
        <v>111.46000000000001</v>
      </c>
      <c r="Z272" s="544">
        <f>IF(VLOOKUP($E$272,[1]DATA_A11!$A$2:$FA$195, 25, FALSE)="",":",VLOOKUP($E$272,[1]DATA_A11!$A$2:$FA$195, 25, FALSE))</f>
        <v>103.11</v>
      </c>
      <c r="AA272" s="544">
        <f>IF(VLOOKUP($E$272,[1]DATA_A11!$A$2:$FA$195, 26, FALSE)="",":",VLOOKUP($E$272,[1]DATA_A11!$A$2:$FA$195, 26, FALSE))</f>
        <v>95.65</v>
      </c>
      <c r="AB272" s="544">
        <f>IF(VLOOKUP($E$272,[1]DATA_A11!$A$2:$FA$195, 27, FALSE)="",":",VLOOKUP($E$272,[1]DATA_A11!$A$2:$FA$195, 27, FALSE))</f>
        <v>92.19</v>
      </c>
      <c r="AC272" s="544">
        <f>IF(VLOOKUP($E$272,[1]DATA_A11!$A$2:$FA$195, 28, FALSE)="",":",VLOOKUP($E$272,[1]DATA_A11!$A$2:$FA$195, 28, FALSE))</f>
        <v>80.97</v>
      </c>
      <c r="AD272" s="544" t="str">
        <f>IF(VLOOKUP($E$272,[1]DATA_A11!$A$2:$FA$195, 29, FALSE)="",":",VLOOKUP($E$272,[1]DATA_A11!$A$2:$FA$195, 29, FALSE))</f>
        <v>:</v>
      </c>
      <c r="AE272" s="544" t="str">
        <f>IF(VLOOKUP($E$272,[1]DATA_A11!$A$2:$FA$195, 30, FALSE)="",":",VLOOKUP($E$272,[1]DATA_A11!$A$2:$FA$195, 30, FALSE))</f>
        <v>:</v>
      </c>
      <c r="AF272" s="544" t="str">
        <f>IF(VLOOKUP($E$272,[1]DATA_A11!$A$2:$FA$195, 31, FALSE)="",":",VLOOKUP($E$272,[1]DATA_A11!$A$2:$FA$195, 31, FALSE))</f>
        <v>:</v>
      </c>
    </row>
    <row r="273" spans="1:32">
      <c r="A273" s="533"/>
      <c r="B273" s="534" t="s">
        <v>1425</v>
      </c>
      <c r="C273" s="535"/>
      <c r="D273" s="12" t="s">
        <v>879</v>
      </c>
      <c r="E273" s="13">
        <v>2354</v>
      </c>
      <c r="F273" s="14" t="str">
        <f>VLOOKUP($E$273,[1]DATA_A11!$A$2:$FA$195, 3, FALSE)</f>
        <v>2304 HICP Processed food incl. alcohol and tobacco - weight</v>
      </c>
      <c r="G273" s="544" t="str">
        <f>IF(VLOOKUP($E$273,[1]DATA_A11!$A$2:$FA$195, 6, FALSE)="",":",VLOOKUP($E$273,[1]DATA_A11!$A$2:$FA$195, 6, FALSE))</f>
        <v>:</v>
      </c>
      <c r="H273" s="544">
        <f>IF(VLOOKUP($E$273,[1]DATA_A11!$A$2:$FA$195, 7, FALSE)="",":",VLOOKUP($E$273,[1]DATA_A11!$A$2:$FA$195, 7, FALSE))</f>
        <v>329.58</v>
      </c>
      <c r="I273" s="544">
        <f>IF(VLOOKUP($E$273,[1]DATA_A11!$A$2:$FA$195, 8, FALSE)="",":",VLOOKUP($E$273,[1]DATA_A11!$A$2:$FA$195, 8, FALSE))</f>
        <v>328.30000000000007</v>
      </c>
      <c r="J273" s="544">
        <f>IF(VLOOKUP($E$273,[1]DATA_A11!$A$2:$FA$195, 9, FALSE)="",":",VLOOKUP($E$273,[1]DATA_A11!$A$2:$FA$195, 9, FALSE))</f>
        <v>321.64</v>
      </c>
      <c r="K273" s="544">
        <f>IF(VLOOKUP($E$273,[1]DATA_A11!$A$2:$FA$195, 10, FALSE)="",":",VLOOKUP($E$273,[1]DATA_A11!$A$2:$FA$195, 10, FALSE))</f>
        <v>294.95</v>
      </c>
      <c r="L273" s="544">
        <f>IF(VLOOKUP($E$273,[1]DATA_A11!$A$2:$FA$195, 11, FALSE)="",":",VLOOKUP($E$273,[1]DATA_A11!$A$2:$FA$195, 11, FALSE))</f>
        <v>274.73</v>
      </c>
      <c r="M273" s="544">
        <f>IF(VLOOKUP($E$273,[1]DATA_A11!$A$2:$FA$195, 12, FALSE)="",":",VLOOKUP($E$273,[1]DATA_A11!$A$2:$FA$195, 12, FALSE))</f>
        <v>276.14999999999998</v>
      </c>
      <c r="N273" s="544">
        <f>IF(VLOOKUP($E$273,[1]DATA_A11!$A$2:$FA$195, 13, FALSE)="",":",VLOOKUP($E$273,[1]DATA_A11!$A$2:$FA$195, 13, FALSE))</f>
        <v>261.55</v>
      </c>
      <c r="O273" s="544">
        <f>IF(VLOOKUP($E$273,[1]DATA_A11!$A$2:$FA$195, 14, FALSE)="",":",VLOOKUP($E$273,[1]DATA_A11!$A$2:$FA$195, 14, FALSE))</f>
        <v>258.43000000000006</v>
      </c>
      <c r="P273" s="544">
        <f>IF(VLOOKUP($E$273,[1]DATA_A11!$A$2:$FA$195, 15, FALSE)="",":",VLOOKUP($E$273,[1]DATA_A11!$A$2:$FA$195, 15, FALSE))</f>
        <v>251.84</v>
      </c>
      <c r="Q273" s="544">
        <f>IF(VLOOKUP($E$273,[1]DATA_A11!$A$2:$FA$195, 16, FALSE)="",":",VLOOKUP($E$273,[1]DATA_A11!$A$2:$FA$195, 16, FALSE))</f>
        <v>236.39</v>
      </c>
      <c r="R273" s="544">
        <f>IF(VLOOKUP($E$273,[1]DATA_A11!$A$2:$FA$195, 17, FALSE)="",":",VLOOKUP($E$273,[1]DATA_A11!$A$2:$FA$195, 17, FALSE))</f>
        <v>224.20000000000002</v>
      </c>
      <c r="S273" s="544">
        <f>IF(VLOOKUP($E$273,[1]DATA_A11!$A$2:$FA$195, 18, FALSE)="",":",VLOOKUP($E$273,[1]DATA_A11!$A$2:$FA$195, 18, FALSE))</f>
        <v>221.72</v>
      </c>
      <c r="T273" s="544">
        <f>IF(VLOOKUP($E$273,[1]DATA_A11!$A$2:$FA$195, 19, FALSE)="",":",VLOOKUP($E$273,[1]DATA_A11!$A$2:$FA$195, 19, FALSE))</f>
        <v>215.87000000000003</v>
      </c>
      <c r="U273" s="544">
        <f>IF(VLOOKUP($E$273,[1]DATA_A11!$A$2:$FA$195, 20, FALSE)="",":",VLOOKUP($E$273,[1]DATA_A11!$A$2:$FA$195, 20, FALSE))</f>
        <v>213.01000000000002</v>
      </c>
      <c r="V273" s="544">
        <f>IF(VLOOKUP($E$273,[1]DATA_A11!$A$2:$FA$195, 21, FALSE)="",":",VLOOKUP($E$273,[1]DATA_A11!$A$2:$FA$195, 21, FALSE))</f>
        <v>223.05000000000004</v>
      </c>
      <c r="W273" s="544">
        <f>IF(VLOOKUP($E$273,[1]DATA_A11!$A$2:$FA$195, 22, FALSE)="",":",VLOOKUP($E$273,[1]DATA_A11!$A$2:$FA$195, 22, FALSE))</f>
        <v>232.45000000000002</v>
      </c>
      <c r="X273" s="544">
        <f>IF(VLOOKUP($E$273,[1]DATA_A11!$A$2:$FA$195, 23, FALSE)="",":",VLOOKUP($E$273,[1]DATA_A11!$A$2:$FA$195, 23, FALSE))</f>
        <v>233.29000000000002</v>
      </c>
      <c r="Y273" s="544">
        <f>IF(VLOOKUP($E$273,[1]DATA_A11!$A$2:$FA$195, 24, FALSE)="",":",VLOOKUP($E$273,[1]DATA_A11!$A$2:$FA$195, 24, FALSE))</f>
        <v>230.58000000000004</v>
      </c>
      <c r="Z273" s="544">
        <f>IF(VLOOKUP($E$273,[1]DATA_A11!$A$2:$FA$195, 25, FALSE)="",":",VLOOKUP($E$273,[1]DATA_A11!$A$2:$FA$195, 25, FALSE))</f>
        <v>219.38000000000002</v>
      </c>
      <c r="AA273" s="544">
        <f>IF(VLOOKUP($E$273,[1]DATA_A11!$A$2:$FA$195, 26, FALSE)="",":",VLOOKUP($E$273,[1]DATA_A11!$A$2:$FA$195, 26, FALSE))</f>
        <v>206.25</v>
      </c>
      <c r="AB273" s="544">
        <f>IF(VLOOKUP($E$273,[1]DATA_A11!$A$2:$FA$195, 27, FALSE)="",":",VLOOKUP($E$273,[1]DATA_A11!$A$2:$FA$195, 27, FALSE))</f>
        <v>208.15</v>
      </c>
      <c r="AC273" s="544">
        <f>IF(VLOOKUP($E$273,[1]DATA_A11!$A$2:$FA$195, 28, FALSE)="",":",VLOOKUP($E$273,[1]DATA_A11!$A$2:$FA$195, 28, FALSE))</f>
        <v>209.09000000000003</v>
      </c>
      <c r="AD273" s="544" t="str">
        <f>IF(VLOOKUP($E$273,[1]DATA_A11!$A$2:$FA$195, 29, FALSE)="",":",VLOOKUP($E$273,[1]DATA_A11!$A$2:$FA$195, 29, FALSE))</f>
        <v>:</v>
      </c>
      <c r="AE273" s="544" t="str">
        <f>IF(VLOOKUP($E$273,[1]DATA_A11!$A$2:$FA$195, 30, FALSE)="",":",VLOOKUP($E$273,[1]DATA_A11!$A$2:$FA$195, 30, FALSE))</f>
        <v>:</v>
      </c>
      <c r="AF273" s="544" t="str">
        <f>IF(VLOOKUP($E$273,[1]DATA_A11!$A$2:$FA$195, 31, FALSE)="",":",VLOOKUP($E$273,[1]DATA_A11!$A$2:$FA$195, 31, FALSE))</f>
        <v>:</v>
      </c>
    </row>
    <row r="274" spans="1:32">
      <c r="A274" s="533"/>
      <c r="B274" s="534" t="s">
        <v>1426</v>
      </c>
      <c r="C274" s="535"/>
      <c r="D274" s="12" t="s">
        <v>879</v>
      </c>
      <c r="E274" s="13">
        <v>2355</v>
      </c>
      <c r="F274" s="14" t="str">
        <f>VLOOKUP($E$274,[1]DATA_A11!$A$2:$FA$195, 3, FALSE)</f>
        <v>2305 HICP Services - weight</v>
      </c>
      <c r="G274" s="544" t="str">
        <f>IF(VLOOKUP($E$274,[1]DATA_A11!$A$2:$FA$195, 6, FALSE)="",":",VLOOKUP($E$274,[1]DATA_A11!$A$2:$FA$195, 6, FALSE))</f>
        <v>:</v>
      </c>
      <c r="H274" s="544">
        <f>IF(VLOOKUP($E$274,[1]DATA_A11!$A$2:$FA$195, 7, FALSE)="",":",VLOOKUP($E$274,[1]DATA_A11!$A$2:$FA$195, 7, FALSE))</f>
        <v>103.13000000000001</v>
      </c>
      <c r="I274" s="544">
        <f>IF(VLOOKUP($E$274,[1]DATA_A11!$A$2:$FA$195, 8, FALSE)="",":",VLOOKUP($E$274,[1]DATA_A11!$A$2:$FA$195, 8, FALSE))</f>
        <v>128.07</v>
      </c>
      <c r="J274" s="544">
        <f>IF(VLOOKUP($E$274,[1]DATA_A11!$A$2:$FA$195, 9, FALSE)="",":",VLOOKUP($E$274,[1]DATA_A11!$A$2:$FA$195, 9, FALSE))</f>
        <v>133.72</v>
      </c>
      <c r="K274" s="544">
        <f>IF(VLOOKUP($E$274,[1]DATA_A11!$A$2:$FA$195, 10, FALSE)="",":",VLOOKUP($E$274,[1]DATA_A11!$A$2:$FA$195, 10, FALSE))</f>
        <v>145.38999999999999</v>
      </c>
      <c r="L274" s="544">
        <f>IF(VLOOKUP($E$274,[1]DATA_A11!$A$2:$FA$195, 11, FALSE)="",":",VLOOKUP($E$274,[1]DATA_A11!$A$2:$FA$195, 11, FALSE))</f>
        <v>152.91999999999999</v>
      </c>
      <c r="M274" s="544">
        <f>IF(VLOOKUP($E$274,[1]DATA_A11!$A$2:$FA$195, 12, FALSE)="",":",VLOOKUP($E$274,[1]DATA_A11!$A$2:$FA$195, 12, FALSE))</f>
        <v>170.54</v>
      </c>
      <c r="N274" s="544">
        <f>IF(VLOOKUP($E$274,[1]DATA_A11!$A$2:$FA$195, 13, FALSE)="",":",VLOOKUP($E$274,[1]DATA_A11!$A$2:$FA$195, 13, FALSE))</f>
        <v>209.57</v>
      </c>
      <c r="O274" s="544">
        <f>IF(VLOOKUP($E$274,[1]DATA_A11!$A$2:$FA$195, 14, FALSE)="",":",VLOOKUP($E$274,[1]DATA_A11!$A$2:$FA$195, 14, FALSE))</f>
        <v>222.06000000000003</v>
      </c>
      <c r="P274" s="544">
        <f>IF(VLOOKUP($E$274,[1]DATA_A11!$A$2:$FA$195, 15, FALSE)="",":",VLOOKUP($E$274,[1]DATA_A11!$A$2:$FA$195, 15, FALSE))</f>
        <v>230.37000000000003</v>
      </c>
      <c r="Q274" s="544">
        <f>IF(VLOOKUP($E$274,[1]DATA_A11!$A$2:$FA$195, 16, FALSE)="",":",VLOOKUP($E$274,[1]DATA_A11!$A$2:$FA$195, 16, FALSE))</f>
        <v>241.33000000000004</v>
      </c>
      <c r="R274" s="544">
        <f>IF(VLOOKUP($E$274,[1]DATA_A11!$A$2:$FA$195, 17, FALSE)="",":",VLOOKUP($E$274,[1]DATA_A11!$A$2:$FA$195, 17, FALSE))</f>
        <v>251.66</v>
      </c>
      <c r="S274" s="544">
        <f>IF(VLOOKUP($E$274,[1]DATA_A11!$A$2:$FA$195, 18, FALSE)="",":",VLOOKUP($E$274,[1]DATA_A11!$A$2:$FA$195, 18, FALSE))</f>
        <v>244.97</v>
      </c>
      <c r="T274" s="544">
        <f>IF(VLOOKUP($E$274,[1]DATA_A11!$A$2:$FA$195, 19, FALSE)="",":",VLOOKUP($E$274,[1]DATA_A11!$A$2:$FA$195, 19, FALSE))</f>
        <v>250.94</v>
      </c>
      <c r="U274" s="544">
        <f>IF(VLOOKUP($E$274,[1]DATA_A11!$A$2:$FA$195, 20, FALSE)="",":",VLOOKUP($E$274,[1]DATA_A11!$A$2:$FA$195, 20, FALSE))</f>
        <v>253.37000000000003</v>
      </c>
      <c r="V274" s="544">
        <f>IF(VLOOKUP($E$274,[1]DATA_A11!$A$2:$FA$195, 21, FALSE)="",":",VLOOKUP($E$274,[1]DATA_A11!$A$2:$FA$195, 21, FALSE))</f>
        <v>260.44</v>
      </c>
      <c r="W274" s="544">
        <f>IF(VLOOKUP($E$274,[1]DATA_A11!$A$2:$FA$195, 22, FALSE)="",":",VLOOKUP($E$274,[1]DATA_A11!$A$2:$FA$195, 22, FALSE))</f>
        <v>247.30000000000004</v>
      </c>
      <c r="X274" s="544">
        <f>IF(VLOOKUP($E$274,[1]DATA_A11!$A$2:$FA$195, 23, FALSE)="",":",VLOOKUP($E$274,[1]DATA_A11!$A$2:$FA$195, 23, FALSE))</f>
        <v>248.21</v>
      </c>
      <c r="Y274" s="544">
        <f>IF(VLOOKUP($E$274,[1]DATA_A11!$A$2:$FA$195, 24, FALSE)="",":",VLOOKUP($E$274,[1]DATA_A11!$A$2:$FA$195, 24, FALSE))</f>
        <v>250.74</v>
      </c>
      <c r="Z274" s="544">
        <f>IF(VLOOKUP($E$274,[1]DATA_A11!$A$2:$FA$195, 25, FALSE)="",":",VLOOKUP($E$274,[1]DATA_A11!$A$2:$FA$195, 25, FALSE))</f>
        <v>234.11</v>
      </c>
      <c r="AA274" s="544">
        <f>IF(VLOOKUP($E$274,[1]DATA_A11!$A$2:$FA$195, 26, FALSE)="",":",VLOOKUP($E$274,[1]DATA_A11!$A$2:$FA$195, 26, FALSE))</f>
        <v>240.5</v>
      </c>
      <c r="AB274" s="544">
        <f>IF(VLOOKUP($E$274,[1]DATA_A11!$A$2:$FA$195, 27, FALSE)="",":",VLOOKUP($E$274,[1]DATA_A11!$A$2:$FA$195, 27, FALSE))</f>
        <v>244.81</v>
      </c>
      <c r="AC274" s="544">
        <f>IF(VLOOKUP($E$274,[1]DATA_A11!$A$2:$FA$195, 28, FALSE)="",":",VLOOKUP($E$274,[1]DATA_A11!$A$2:$FA$195, 28, FALSE))</f>
        <v>265.12</v>
      </c>
      <c r="AD274" s="544" t="str">
        <f>IF(VLOOKUP($E$274,[1]DATA_A11!$A$2:$FA$195, 29, FALSE)="",":",VLOOKUP($E$274,[1]DATA_A11!$A$2:$FA$195, 29, FALSE))</f>
        <v>:</v>
      </c>
      <c r="AE274" s="544" t="str">
        <f>IF(VLOOKUP($E$274,[1]DATA_A11!$A$2:$FA$195, 30, FALSE)="",":",VLOOKUP($E$274,[1]DATA_A11!$A$2:$FA$195, 30, FALSE))</f>
        <v>:</v>
      </c>
      <c r="AF274" s="544" t="str">
        <f>IF(VLOOKUP($E$274,[1]DATA_A11!$A$2:$FA$195, 31, FALSE)="",":",VLOOKUP($E$274,[1]DATA_A11!$A$2:$FA$195, 31, FALSE))</f>
        <v>:</v>
      </c>
    </row>
    <row r="275" spans="1:32">
      <c r="A275" s="533"/>
      <c r="B275" s="534"/>
      <c r="C275" s="535"/>
      <c r="D275" s="12"/>
      <c r="E275" s="13"/>
      <c r="F275" s="14"/>
      <c r="G275" s="544"/>
      <c r="H275" s="544"/>
      <c r="I275" s="544"/>
      <c r="J275" s="544"/>
      <c r="K275" s="544"/>
      <c r="L275" s="544"/>
      <c r="M275" s="544"/>
      <c r="N275" s="544"/>
      <c r="O275" s="544"/>
      <c r="P275" s="544"/>
      <c r="Q275" s="544"/>
      <c r="R275" s="544"/>
      <c r="S275" s="544"/>
      <c r="T275" s="544"/>
      <c r="U275" s="544"/>
      <c r="V275" s="544"/>
      <c r="W275" s="544"/>
      <c r="X275" s="544"/>
      <c r="Y275" s="544"/>
      <c r="Z275" s="544"/>
      <c r="AA275" s="544"/>
      <c r="AB275" s="544"/>
      <c r="AC275" s="544"/>
      <c r="AD275" s="544"/>
      <c r="AE275" s="544"/>
      <c r="AF275" s="544"/>
    </row>
    <row r="276" spans="1:32">
      <c r="A276" s="533">
        <v>138</v>
      </c>
      <c r="B276" s="534" t="s">
        <v>801</v>
      </c>
      <c r="C276" s="535"/>
      <c r="D276" s="12" t="s">
        <v>879</v>
      </c>
      <c r="E276" s="13">
        <v>3001</v>
      </c>
      <c r="F276" s="14" t="str">
        <f>VLOOKUP($E$276,[1]DATA_A11!$A$2:$FA$200, 3, FALSE)</f>
        <v>3001 One-off measures (revenue side)</v>
      </c>
      <c r="G276" s="544" t="str">
        <f>IF(VLOOKUP($E$276,[1]DATA_A11!$A$2:$FA$200, 6, FALSE)="",":",VLOOKUP($E$276,[1]DATA_A11!$A$2:$FA$200, 6, FALSE))</f>
        <v>:</v>
      </c>
      <c r="H276" s="544" t="str">
        <f>IF(VLOOKUP($E$276,[1]DATA_A11!$A$2:$FA$200, 7, FALSE)="",":",VLOOKUP($E$276,[1]DATA_A11!$A$2:$FA$200, 7, FALSE))</f>
        <v>:</v>
      </c>
      <c r="I276" s="544" t="str">
        <f>IF(VLOOKUP($E$276,[1]DATA_A11!$A$2:$FA$200, 8, FALSE)="",":",VLOOKUP($E$276,[1]DATA_A11!$A$2:$FA$200, 8, FALSE))</f>
        <v>:</v>
      </c>
      <c r="J276" s="544" t="str">
        <f>IF(VLOOKUP($E$276,[1]DATA_A11!$A$2:$FA$200, 9, FALSE)="",":",VLOOKUP($E$276,[1]DATA_A11!$A$2:$FA$200, 9, FALSE))</f>
        <v>:</v>
      </c>
      <c r="K276" s="544" t="str">
        <f>IF(VLOOKUP($E$276,[1]DATA_A11!$A$2:$FA$200, 10, FALSE)="",":",VLOOKUP($E$276,[1]DATA_A11!$A$2:$FA$200, 10, FALSE))</f>
        <v>:</v>
      </c>
      <c r="L276" s="544" t="str">
        <f>IF(VLOOKUP($E$276,[1]DATA_A11!$A$2:$FA$200, 11, FALSE)="",":",VLOOKUP($E$276,[1]DATA_A11!$A$2:$FA$200, 11, FALSE))</f>
        <v>:</v>
      </c>
      <c r="M276" s="544" t="str">
        <f>IF(VLOOKUP($E$276,[1]DATA_A11!$A$2:$FA$200, 12, FALSE)="",":",VLOOKUP($E$276,[1]DATA_A11!$A$2:$FA$200, 12, FALSE))</f>
        <v>:</v>
      </c>
      <c r="N276" s="544" t="str">
        <f>IF(VLOOKUP($E$276,[1]DATA_A11!$A$2:$FA$200, 13, FALSE)="",":",VLOOKUP($E$276,[1]DATA_A11!$A$2:$FA$200, 13, FALSE))</f>
        <v>:</v>
      </c>
      <c r="O276" s="544" t="str">
        <f>IF(VLOOKUP($E$276,[1]DATA_A11!$A$2:$FA$200, 14, FALSE)="",":",VLOOKUP($E$276,[1]DATA_A11!$A$2:$FA$200, 14, FALSE))</f>
        <v>:</v>
      </c>
      <c r="P276" s="544" t="str">
        <f>IF(VLOOKUP($E$276,[1]DATA_A11!$A$2:$FA$200, 15, FALSE)="",":",VLOOKUP($E$276,[1]DATA_A11!$A$2:$FA$200, 15, FALSE))</f>
        <v>:</v>
      </c>
      <c r="Q276" s="544" t="str">
        <f>IF(VLOOKUP($E$276,[1]DATA_A11!$A$2:$FA$200, 16, FALSE)="",":",VLOOKUP($E$276,[1]DATA_A11!$A$2:$FA$200, 16, FALSE))</f>
        <v>:</v>
      </c>
      <c r="R276" s="544" t="str">
        <f>IF(VLOOKUP($E$276,[1]DATA_A11!$A$2:$FA$200, 17, FALSE)="",":",VLOOKUP($E$276,[1]DATA_A11!$A$2:$FA$200, 17, FALSE))</f>
        <v>:</v>
      </c>
      <c r="S276" s="544" t="str">
        <f>IF(VLOOKUP($E$276,[1]DATA_A11!$A$2:$FA$200, 18, FALSE)="",":",VLOOKUP($E$276,[1]DATA_A11!$A$2:$FA$200, 18, FALSE))</f>
        <v>:</v>
      </c>
      <c r="T276" s="544" t="str">
        <f>IF(VLOOKUP($E$276,[1]DATA_A11!$A$2:$FA$200, 19, FALSE)="",":",VLOOKUP($E$276,[1]DATA_A11!$A$2:$FA$200, 19, FALSE))</f>
        <v>:</v>
      </c>
      <c r="U276" s="544" t="str">
        <f>IF(VLOOKUP($E$276,[1]DATA_A11!$A$2:$FA$200, 20, FALSE)="",":",VLOOKUP($E$276,[1]DATA_A11!$A$2:$FA$200, 20, FALSE))</f>
        <v>:</v>
      </c>
      <c r="V276" s="544" t="str">
        <f>IF(VLOOKUP($E$276,[1]DATA_A11!$A$2:$FA$200, 21, FALSE)="",":",VLOOKUP($E$276,[1]DATA_A11!$A$2:$FA$200, 21, FALSE))</f>
        <v>:</v>
      </c>
      <c r="W276" s="544" t="str">
        <f>IF(VLOOKUP($E$276,[1]DATA_A11!$A$2:$FA$200, 22, FALSE)="",":",VLOOKUP($E$276,[1]DATA_A11!$A$2:$FA$200, 22, FALSE))</f>
        <v>:</v>
      </c>
      <c r="X276" s="544" t="str">
        <f>IF(VLOOKUP($E$276,[1]DATA_A11!$A$2:$FA$200, 23, FALSE)="",":",VLOOKUP($E$276,[1]DATA_A11!$A$2:$FA$200, 23, FALSE))</f>
        <v>:</v>
      </c>
      <c r="Y276" s="544" t="str">
        <f>IF(VLOOKUP($E$276,[1]DATA_A11!$A$2:$FA$200, 24, FALSE)="",":",VLOOKUP($E$276,[1]DATA_A11!$A$2:$FA$200, 24, FALSE))</f>
        <v>:</v>
      </c>
      <c r="Z276" s="544" t="str">
        <f>IF(VLOOKUP($E$276,[1]DATA_A11!$A$2:$FA$200, 25, FALSE)="",":",VLOOKUP($E$276,[1]DATA_A11!$A$2:$FA$200, 25, FALSE))</f>
        <v>:</v>
      </c>
      <c r="AA276" s="544" t="str">
        <f>IF(VLOOKUP($E$276,[1]DATA_A11!$A$2:$FA$200, 26, FALSE)="",":",VLOOKUP($E$276,[1]DATA_A11!$A$2:$FA$200, 26, FALSE))</f>
        <v>:</v>
      </c>
      <c r="AB276" s="544" t="str">
        <f>IF(VLOOKUP($E$276,[1]DATA_A11!$A$2:$FA$200, 27, FALSE)="",":",VLOOKUP($E$276,[1]DATA_A11!$A$2:$FA$200, 27, FALSE))</f>
        <v>:</v>
      </c>
      <c r="AC276" s="544" t="str">
        <f>IF(VLOOKUP($E$276,[1]DATA_A11!$A$2:$FA$200, 28, FALSE)="",":",VLOOKUP($E$276,[1]DATA_A11!$A$2:$FA$200, 28, FALSE))</f>
        <v>:</v>
      </c>
      <c r="AD276" s="544" t="str">
        <f>IF(VLOOKUP($E$276,[1]DATA_A11!$A$2:$FA$200, 29, FALSE)="",":",VLOOKUP($E$276,[1]DATA_A11!$A$2:$FA$200, 29, FALSE))</f>
        <v>:</v>
      </c>
      <c r="AE276" s="544" t="str">
        <f>IF(VLOOKUP($E$276,[1]DATA_A11!$A$2:$FA$200, 30, FALSE)="",":",VLOOKUP($E$276,[1]DATA_A11!$A$2:$FA$200, 30, FALSE))</f>
        <v>:</v>
      </c>
      <c r="AF276" s="544" t="str">
        <f>IF(VLOOKUP($E$276,[1]DATA_A11!$A$2:$FA$200, 31, FALSE)="",":",VLOOKUP($E$276,[1]DATA_A11!$A$2:$FA$200, 31, FALSE))</f>
        <v>:</v>
      </c>
    </row>
    <row r="277" spans="1:32">
      <c r="A277" s="533">
        <v>139</v>
      </c>
      <c r="B277" s="534" t="s">
        <v>802</v>
      </c>
      <c r="C277" s="535"/>
      <c r="D277" s="12" t="s">
        <v>879</v>
      </c>
      <c r="E277" s="13">
        <v>3002</v>
      </c>
      <c r="F277" s="14" t="str">
        <f>VLOOKUP($E$277,[1]DATA_A11!$A$2:$FA$250, 3, FALSE)</f>
        <v>3002 One-off measures (expenditure side)</v>
      </c>
      <c r="G277" s="544" t="str">
        <f>IF(VLOOKUP($E$277,[1]DATA_A11!$A$2:$FA$250, 6, FALSE)="",":",VLOOKUP($E$277,[1]DATA_A11!$A$2:$FA$250, 6, FALSE))</f>
        <v>:</v>
      </c>
      <c r="H277" s="544" t="str">
        <f>IF(VLOOKUP($E$277,[1]DATA_A11!$A$2:$FA$250, 7, FALSE)="",":",VLOOKUP($E$277,[1]DATA_A11!$A$2:$FA$250, 7, FALSE))</f>
        <v>:</v>
      </c>
      <c r="I277" s="544" t="str">
        <f>IF(VLOOKUP($E$277,[1]DATA_A11!$A$2:$FA$250, 8, FALSE)="",":",VLOOKUP($E$277,[1]DATA_A11!$A$2:$FA$250, 8, FALSE))</f>
        <v>:</v>
      </c>
      <c r="J277" s="544" t="str">
        <f>IF(VLOOKUP($E$277,[1]DATA_A11!$A$2:$FA$250, 9, FALSE)="",":",VLOOKUP($E$277,[1]DATA_A11!$A$2:$FA$250, 9, FALSE))</f>
        <v>:</v>
      </c>
      <c r="K277" s="544" t="str">
        <f>IF(VLOOKUP($E$277,[1]DATA_A11!$A$2:$FA$250, 10, FALSE)="",":",VLOOKUP($E$277,[1]DATA_A11!$A$2:$FA$250, 10, FALSE))</f>
        <v>:</v>
      </c>
      <c r="L277" s="544" t="str">
        <f>IF(VLOOKUP($E$277,[1]DATA_A11!$A$2:$FA$250, 11, FALSE)="",":",VLOOKUP($E$277,[1]DATA_A11!$A$2:$FA$250, 11, FALSE))</f>
        <v>:</v>
      </c>
      <c r="M277" s="544" t="str">
        <f>IF(VLOOKUP($E$277,[1]DATA_A11!$A$2:$FA$250, 12, FALSE)="",":",VLOOKUP($E$277,[1]DATA_A11!$A$2:$FA$250, 12, FALSE))</f>
        <v>:</v>
      </c>
      <c r="N277" s="544" t="str">
        <f>IF(VLOOKUP($E$277,[1]DATA_A11!$A$2:$FA$250, 13, FALSE)="",":",VLOOKUP($E$277,[1]DATA_A11!$A$2:$FA$250, 13, FALSE))</f>
        <v>:</v>
      </c>
      <c r="O277" s="544" t="str">
        <f>IF(VLOOKUP($E$277,[1]DATA_A11!$A$2:$FA$250, 14, FALSE)="",":",VLOOKUP($E$277,[1]DATA_A11!$A$2:$FA$250, 14, FALSE))</f>
        <v>:</v>
      </c>
      <c r="P277" s="544" t="str">
        <f>IF(VLOOKUP($E$277,[1]DATA_A11!$A$2:$FA$250, 15, FALSE)="",":",VLOOKUP($E$277,[1]DATA_A11!$A$2:$FA$250, 15, FALSE))</f>
        <v>:</v>
      </c>
      <c r="Q277" s="544" t="str">
        <f>IF(VLOOKUP($E$277,[1]DATA_A11!$A$2:$FA$250, 16, FALSE)="",":",VLOOKUP($E$277,[1]DATA_A11!$A$2:$FA$250, 16, FALSE))</f>
        <v>:</v>
      </c>
      <c r="R277" s="544" t="str">
        <f>IF(VLOOKUP($E$277,[1]DATA_A11!$A$2:$FA$250, 17, FALSE)="",":",VLOOKUP($E$277,[1]DATA_A11!$A$2:$FA$250, 17, FALSE))</f>
        <v>:</v>
      </c>
      <c r="S277" s="544">
        <f>IF(VLOOKUP($E$277,[1]DATA_A11!$A$2:$FA$250, 18, FALSE)="",":",VLOOKUP($E$277,[1]DATA_A11!$A$2:$FA$250, 18, FALSE))</f>
        <v>-0.55600000000000005</v>
      </c>
      <c r="T277" s="544">
        <f>IF(VLOOKUP($E$277,[1]DATA_A11!$A$2:$FA$250, 19, FALSE)="",":",VLOOKUP($E$277,[1]DATA_A11!$A$2:$FA$250, 19, FALSE))</f>
        <v>-5.6399999999999999E-2</v>
      </c>
      <c r="U277" s="544" t="str">
        <f>IF(VLOOKUP($E$277,[1]DATA_A11!$A$2:$FA$250, 20, FALSE)="",":",VLOOKUP($E$277,[1]DATA_A11!$A$2:$FA$250, 20, FALSE))</f>
        <v>:</v>
      </c>
      <c r="V277" s="544" t="str">
        <f>IF(VLOOKUP($E$277,[1]DATA_A11!$A$2:$FA$250, 21, FALSE)="",":",VLOOKUP($E$277,[1]DATA_A11!$A$2:$FA$250, 21, FALSE))</f>
        <v>:</v>
      </c>
      <c r="W277" s="544" t="str">
        <f>IF(VLOOKUP($E$277,[1]DATA_A11!$A$2:$FA$250, 22, FALSE)="",":",VLOOKUP($E$277,[1]DATA_A11!$A$2:$FA$250, 22, FALSE))</f>
        <v>:</v>
      </c>
      <c r="X277" s="544" t="str">
        <f>IF(VLOOKUP($E$277,[1]DATA_A11!$A$2:$FA$250, 23, FALSE)="",":",VLOOKUP($E$277,[1]DATA_A11!$A$2:$FA$250, 23, FALSE))</f>
        <v>:</v>
      </c>
      <c r="Y277" s="544" t="str">
        <f>IF(VLOOKUP($E$277,[1]DATA_A11!$A$2:$FA$250, 24, FALSE)="",":",VLOOKUP($E$277,[1]DATA_A11!$A$2:$FA$250, 24, FALSE))</f>
        <v>:</v>
      </c>
      <c r="Z277" s="544" t="str">
        <f>IF(VLOOKUP($E$277,[1]DATA_A11!$A$2:$FA$250, 25, FALSE)="",":",VLOOKUP($E$277,[1]DATA_A11!$A$2:$FA$250, 25, FALSE))</f>
        <v>:</v>
      </c>
      <c r="AA277" s="544" t="str">
        <f>IF(VLOOKUP($E$277,[1]DATA_A11!$A$2:$FA$250, 26, FALSE)="",":",VLOOKUP($E$277,[1]DATA_A11!$A$2:$FA$250, 26, FALSE))</f>
        <v>:</v>
      </c>
      <c r="AB277" s="544" t="str">
        <f>IF(VLOOKUP($E$277,[1]DATA_A11!$A$2:$FA$250, 27, FALSE)="",":",VLOOKUP($E$277,[1]DATA_A11!$A$2:$FA$250, 27, FALSE))</f>
        <v>:</v>
      </c>
      <c r="AC277" s="544" t="str">
        <f>IF(VLOOKUP($E$277,[1]DATA_A11!$A$2:$FA$250, 28, FALSE)="",":",VLOOKUP($E$277,[1]DATA_A11!$A$2:$FA$250, 28, FALSE))</f>
        <v>:</v>
      </c>
      <c r="AD277" s="544" t="str">
        <f>IF(VLOOKUP($E$277,[1]DATA_A11!$A$2:$FA$250, 29, FALSE)="",":",VLOOKUP($E$277,[1]DATA_A11!$A$2:$FA$250, 29, FALSE))</f>
        <v>:</v>
      </c>
      <c r="AE277" s="544" t="str">
        <f>IF(VLOOKUP($E$277,[1]DATA_A11!$A$2:$FA$250, 30, FALSE)="",":",VLOOKUP($E$277,[1]DATA_A11!$A$2:$FA$250, 30, FALSE))</f>
        <v>:</v>
      </c>
      <c r="AF277" s="544" t="str">
        <f>IF(VLOOKUP($E$277,[1]DATA_A11!$A$2:$FA$250, 31, FALSE)="",":",VLOOKUP($E$277,[1]DATA_A11!$A$2:$FA$250, 31, FALSE))</f>
        <v>:</v>
      </c>
    </row>
    <row r="278" spans="1:32">
      <c r="A278" s="533"/>
      <c r="B278" s="534" t="s">
        <v>1710</v>
      </c>
      <c r="C278" s="535"/>
      <c r="D278" s="12" t="s">
        <v>879</v>
      </c>
      <c r="E278" s="13">
        <v>3011</v>
      </c>
      <c r="F278" s="14" t="str">
        <f>VLOOKUP($E$278,[1]DATA_A11!$A$2:$FA$200, 3, FALSE)</f>
        <v>3011 Employment in public administration and education</v>
      </c>
      <c r="G278" s="544">
        <f>IF(VLOOKUP($E$278,[1]DATA_A11!$A$2:$FA$200, 6, FALSE)="",":",VLOOKUP($E$278,[1]DATA_A11!$A$2:$FA$200, 6, FALSE))</f>
        <v>209.6</v>
      </c>
      <c r="H278" s="544">
        <f>IF(VLOOKUP($E$278,[1]DATA_A11!$A$2:$FA$200, 7, FALSE)="",":",VLOOKUP($E$278,[1]DATA_A11!$A$2:$FA$200, 7, FALSE))</f>
        <v>213.6</v>
      </c>
      <c r="I278" s="544">
        <f>IF(VLOOKUP($E$278,[1]DATA_A11!$A$2:$FA$200, 8, FALSE)="",":",VLOOKUP($E$278,[1]DATA_A11!$A$2:$FA$200, 8, FALSE))</f>
        <v>218.6</v>
      </c>
      <c r="J278" s="544">
        <f>IF(VLOOKUP($E$278,[1]DATA_A11!$A$2:$FA$200, 9, FALSE)="",":",VLOOKUP($E$278,[1]DATA_A11!$A$2:$FA$200, 9, FALSE))</f>
        <v>219.3</v>
      </c>
      <c r="K278" s="544">
        <f>IF(VLOOKUP($E$278,[1]DATA_A11!$A$2:$FA$200, 10, FALSE)="",":",VLOOKUP($E$278,[1]DATA_A11!$A$2:$FA$200, 10, FALSE))</f>
        <v>233.1</v>
      </c>
      <c r="L278" s="544">
        <f>IF(VLOOKUP($E$278,[1]DATA_A11!$A$2:$FA$200, 11, FALSE)="",":",VLOOKUP($E$278,[1]DATA_A11!$A$2:$FA$200, 11, FALSE))</f>
        <v>239.1</v>
      </c>
      <c r="M278" s="544">
        <f>IF(VLOOKUP($E$278,[1]DATA_A11!$A$2:$FA$200, 12, FALSE)="",":",VLOOKUP($E$278,[1]DATA_A11!$A$2:$FA$200, 12, FALSE))</f>
        <v>234.5</v>
      </c>
      <c r="N278" s="544">
        <f>IF(VLOOKUP($E$278,[1]DATA_A11!$A$2:$FA$200, 13, FALSE)="",":",VLOOKUP($E$278,[1]DATA_A11!$A$2:$FA$200, 13, FALSE))</f>
        <v>226.8</v>
      </c>
      <c r="O278" s="544">
        <f>IF(VLOOKUP($E$278,[1]DATA_A11!$A$2:$FA$200, 14, FALSE)="",":",VLOOKUP($E$278,[1]DATA_A11!$A$2:$FA$200, 14, FALSE))</f>
        <v>216.3</v>
      </c>
      <c r="P278" s="544">
        <f>IF(VLOOKUP($E$278,[1]DATA_A11!$A$2:$FA$200, 15, FALSE)="",":",VLOOKUP($E$278,[1]DATA_A11!$A$2:$FA$200, 15, FALSE))</f>
        <v>226.7</v>
      </c>
      <c r="Q278" s="544">
        <f>IF(VLOOKUP($E$278,[1]DATA_A11!$A$2:$FA$200, 16, FALSE)="",":",VLOOKUP($E$278,[1]DATA_A11!$A$2:$FA$200, 16, FALSE))</f>
        <v>225.85000000000002</v>
      </c>
      <c r="R278" s="544">
        <f>IF(VLOOKUP($E$278,[1]DATA_A11!$A$2:$FA$200, 17, FALSE)="",":",VLOOKUP($E$278,[1]DATA_A11!$A$2:$FA$200, 17, FALSE))</f>
        <v>195.92000000000002</v>
      </c>
      <c r="S278" s="544">
        <f>IF(VLOOKUP($E$278,[1]DATA_A11!$A$2:$FA$200, 18, FALSE)="",":",VLOOKUP($E$278,[1]DATA_A11!$A$2:$FA$200, 18, FALSE))</f>
        <v>224.24</v>
      </c>
      <c r="T278" s="544">
        <f>IF(VLOOKUP($E$278,[1]DATA_A11!$A$2:$FA$200, 19, FALSE)="",":",VLOOKUP($E$278,[1]DATA_A11!$A$2:$FA$200, 19, FALSE))</f>
        <v>224.18</v>
      </c>
      <c r="U278" s="544">
        <f>IF(VLOOKUP($E$278,[1]DATA_A11!$A$2:$FA$200, 20, FALSE)="",":",VLOOKUP($E$278,[1]DATA_A11!$A$2:$FA$200, 20, FALSE))</f>
        <v>221.36</v>
      </c>
      <c r="V278" s="544">
        <f>IF(VLOOKUP($E$278,[1]DATA_A11!$A$2:$FA$200, 21, FALSE)="",":",VLOOKUP($E$278,[1]DATA_A11!$A$2:$FA$200, 21, FALSE))</f>
        <v>214.87</v>
      </c>
      <c r="W278" s="544">
        <f>IF(VLOOKUP($E$278,[1]DATA_A11!$A$2:$FA$200, 22, FALSE)="",":",VLOOKUP($E$278,[1]DATA_A11!$A$2:$FA$200, 22, FALSE))</f>
        <v>211.67</v>
      </c>
      <c r="X278" s="544">
        <f>IF(VLOOKUP($E$278,[1]DATA_A11!$A$2:$FA$200, 23, FALSE)="",":",VLOOKUP($E$278,[1]DATA_A11!$A$2:$FA$200, 23, FALSE))</f>
        <v>207.15</v>
      </c>
      <c r="Y278" s="544">
        <f>IF(VLOOKUP($E$278,[1]DATA_A11!$A$2:$FA$200, 24, FALSE)="",":",VLOOKUP($E$278,[1]DATA_A11!$A$2:$FA$200, 24, FALSE))</f>
        <v>205.06</v>
      </c>
      <c r="Z278" s="544">
        <f>IF(VLOOKUP($E$278,[1]DATA_A11!$A$2:$FA$200, 25, FALSE)="",":",VLOOKUP($E$278,[1]DATA_A11!$A$2:$FA$200, 25, FALSE))</f>
        <v>207.13</v>
      </c>
      <c r="AA278" s="544">
        <f>IF(VLOOKUP($E$278,[1]DATA_A11!$A$2:$FA$200, 26, FALSE)="",":",VLOOKUP($E$278,[1]DATA_A11!$A$2:$FA$200, 26, FALSE))</f>
        <v>213.57999999999998</v>
      </c>
      <c r="AB278" s="544">
        <f>IF(VLOOKUP($E$278,[1]DATA_A11!$A$2:$FA$200, 27, FALSE)="",":",VLOOKUP($E$278,[1]DATA_A11!$A$2:$FA$200, 27, FALSE))</f>
        <v>218.97</v>
      </c>
      <c r="AC278" s="544" t="e">
        <f>IF(VLOOKUP($E$278,[1]DATA_A11!$A$2:$FA$200, 28, FALSE)="",":",VLOOKUP($E$278,[1]DATA_A11!$A$2:$FA$200, 28, FALSE))</f>
        <v>#VALUE!</v>
      </c>
      <c r="AD278" s="544" t="str">
        <f>IF(VLOOKUP($E$278,[1]DATA_A11!$A$2:$FA$200, 29, FALSE)="",":",VLOOKUP($E$278,[1]DATA_A11!$A$2:$FA$200, 29, FALSE))</f>
        <v>:</v>
      </c>
      <c r="AE278" s="544" t="str">
        <f>IF(VLOOKUP($E$278,[1]DATA_A11!$A$2:$FA$200, 30, FALSE)="",":",VLOOKUP($E$278,[1]DATA_A11!$A$2:$FA$200, 30, FALSE))</f>
        <v>:</v>
      </c>
      <c r="AF278" s="544" t="str">
        <f>IF(VLOOKUP($E$278,[1]DATA_A11!$A$2:$FA$200, 31, FALSE)="",":",VLOOKUP($E$278,[1]DATA_A11!$A$2:$FA$200, 31, FALSE))</f>
        <v>:</v>
      </c>
    </row>
    <row r="279" spans="1:32">
      <c r="A279" s="533"/>
      <c r="B279" s="534"/>
      <c r="C279" s="535"/>
      <c r="D279" s="12" t="s">
        <v>879</v>
      </c>
      <c r="E279" s="13">
        <v>3012</v>
      </c>
      <c r="F279" s="14" t="str">
        <f>VLOOKUP($E$279,[1]DATA_A11!$A$2:$FA$200, 3, FALSE)</f>
        <v>3012 Wages and salaries in public administration</v>
      </c>
      <c r="G279" s="544">
        <f>IF(VLOOKUP($E$279,[1]DATA_A11!$A$2:$FA$200, 6, FALSE)="",":",VLOOKUP($E$279,[1]DATA_A11!$A$2:$FA$200, 6, FALSE))</f>
        <v>590.24559777571824</v>
      </c>
      <c r="H279" s="544">
        <f>IF(VLOOKUP($E$279,[1]DATA_A11!$A$2:$FA$200, 7, FALSE)="",":",VLOOKUP($E$279,[1]DATA_A11!$A$2:$FA$200, 7, FALSE))</f>
        <v>803.98517145505105</v>
      </c>
      <c r="I279" s="544">
        <f>IF(VLOOKUP($E$279,[1]DATA_A11!$A$2:$FA$200, 8, FALSE)="",":",VLOOKUP($E$279,[1]DATA_A11!$A$2:$FA$200, 8, FALSE))</f>
        <v>1012.5115848007415</v>
      </c>
      <c r="J279" s="544">
        <f>IF(VLOOKUP($E$279,[1]DATA_A11!$A$2:$FA$200, 9, FALSE)="",":",VLOOKUP($E$279,[1]DATA_A11!$A$2:$FA$200, 9, FALSE))</f>
        <v>1285.6232622798889</v>
      </c>
      <c r="K279" s="544">
        <f>IF(VLOOKUP($E$279,[1]DATA_A11!$A$2:$FA$200, 10, FALSE)="",":",VLOOKUP($E$279,[1]DATA_A11!$A$2:$FA$200, 10, FALSE))</f>
        <v>1331.0936051899907</v>
      </c>
      <c r="L279" s="544">
        <f>IF(VLOOKUP($E$279,[1]DATA_A11!$A$2:$FA$200, 11, FALSE)="",":",VLOOKUP($E$279,[1]DATA_A11!$A$2:$FA$200, 11, FALSE))</f>
        <v>1246.8141797961075</v>
      </c>
      <c r="M279" s="544">
        <f>IF(VLOOKUP($E$279,[1]DATA_A11!$A$2:$FA$200, 12, FALSE)="",":",VLOOKUP($E$279,[1]DATA_A11!$A$2:$FA$200, 12, FALSE))</f>
        <v>1277.2242817423542</v>
      </c>
      <c r="N279" s="544">
        <f>IF(VLOOKUP($E$279,[1]DATA_A11!$A$2:$FA$200, 13, FALSE)="",":",VLOOKUP($E$279,[1]DATA_A11!$A$2:$FA$200, 13, FALSE))</f>
        <v>1322.9842446709918</v>
      </c>
      <c r="O279" s="544">
        <f>IF(VLOOKUP($E$279,[1]DATA_A11!$A$2:$FA$200, 14, FALSE)="",":",VLOOKUP($E$279,[1]DATA_A11!$A$2:$FA$200, 14, FALSE))</f>
        <v>1377.1431881371641</v>
      </c>
      <c r="P279" s="544">
        <f>IF(VLOOKUP($E$279,[1]DATA_A11!$A$2:$FA$200, 15, FALSE)="",":",VLOOKUP($E$279,[1]DATA_A11!$A$2:$FA$200, 15, FALSE))</f>
        <v>1481.1167747914737</v>
      </c>
      <c r="Q279" s="544">
        <f>IF(VLOOKUP($E$279,[1]DATA_A11!$A$2:$FA$200, 16, FALSE)="",":",VLOOKUP($E$279,[1]DATA_A11!$A$2:$FA$200, 16, FALSE))</f>
        <v>1648</v>
      </c>
      <c r="R279" s="544">
        <f>IF(VLOOKUP($E$279,[1]DATA_A11!$A$2:$FA$200, 17, FALSE)="",":",VLOOKUP($E$279,[1]DATA_A11!$A$2:$FA$200, 17, FALSE))</f>
        <v>1877.8</v>
      </c>
      <c r="S279" s="544">
        <f>IF(VLOOKUP($E$279,[1]DATA_A11!$A$2:$FA$200, 18, FALSE)="",":",VLOOKUP($E$279,[1]DATA_A11!$A$2:$FA$200, 18, FALSE))</f>
        <v>2093.5</v>
      </c>
      <c r="T279" s="544">
        <f>IF(VLOOKUP($E$279,[1]DATA_A11!$A$2:$FA$200, 19, FALSE)="",":",VLOOKUP($E$279,[1]DATA_A11!$A$2:$FA$200, 19, FALSE))</f>
        <v>2543.6000000000004</v>
      </c>
      <c r="U279" s="544">
        <f>IF(VLOOKUP($E$279,[1]DATA_A11!$A$2:$FA$200, 20, FALSE)="",":",VLOOKUP($E$279,[1]DATA_A11!$A$2:$FA$200, 20, FALSE))</f>
        <v>2490.3000000000002</v>
      </c>
      <c r="V279" s="544">
        <f>IF(VLOOKUP($E$279,[1]DATA_A11!$A$2:$FA$200, 21, FALSE)="",":",VLOOKUP($E$279,[1]DATA_A11!$A$2:$FA$200, 21, FALSE))</f>
        <v>2237</v>
      </c>
      <c r="W279" s="544">
        <f>IF(VLOOKUP($E$279,[1]DATA_A11!$A$2:$FA$200, 22, FALSE)="",":",VLOOKUP($E$279,[1]DATA_A11!$A$2:$FA$200, 22, FALSE))</f>
        <v>2281.1</v>
      </c>
      <c r="X279" s="544">
        <f>IF(VLOOKUP($E$279,[1]DATA_A11!$A$2:$FA$200, 23, FALSE)="",":",VLOOKUP($E$279,[1]DATA_A11!$A$2:$FA$200, 23, FALSE))</f>
        <v>2293.4</v>
      </c>
      <c r="Y279" s="544">
        <f>IF(VLOOKUP($E$279,[1]DATA_A11!$A$2:$FA$200, 24, FALSE)="",":",VLOOKUP($E$279,[1]DATA_A11!$A$2:$FA$200, 24, FALSE))</f>
        <v>2360.1</v>
      </c>
      <c r="Z279" s="544">
        <f>IF(VLOOKUP($E$279,[1]DATA_A11!$A$2:$FA$200, 25, FALSE)="",":",VLOOKUP($E$279,[1]DATA_A11!$A$2:$FA$200, 25, FALSE))</f>
        <v>2428.8000000000002</v>
      </c>
      <c r="AA279" s="544">
        <f>IF(VLOOKUP($E$279,[1]DATA_A11!$A$2:$FA$200, 26, FALSE)="",":",VLOOKUP($E$279,[1]DATA_A11!$A$2:$FA$200, 26, FALSE))</f>
        <v>2514.9</v>
      </c>
      <c r="AB279" s="544">
        <f>IF(VLOOKUP($E$279,[1]DATA_A11!$A$2:$FA$200, 27, FALSE)="",":",VLOOKUP($E$279,[1]DATA_A11!$A$2:$FA$200, 27, FALSE))</f>
        <v>2643.6</v>
      </c>
      <c r="AC279" s="544" t="e">
        <f>IF(VLOOKUP($E$279,[1]DATA_A11!$A$2:$FA$200, 28, FALSE)="",":",VLOOKUP($E$279,[1]DATA_A11!$A$2:$FA$200, 28, FALSE))</f>
        <v>#VALUE!</v>
      </c>
      <c r="AD279" s="544" t="str">
        <f>IF(VLOOKUP($E$279,[1]DATA_A11!$A$2:$FA$200, 29, FALSE)="",":",VLOOKUP($E$279,[1]DATA_A11!$A$2:$FA$200, 29, FALSE))</f>
        <v>:</v>
      </c>
      <c r="AE279" s="544" t="str">
        <f>IF(VLOOKUP($E$279,[1]DATA_A11!$A$2:$FA$200, 30, FALSE)="",":",VLOOKUP($E$279,[1]DATA_A11!$A$2:$FA$200, 30, FALSE))</f>
        <v>:</v>
      </c>
      <c r="AF279" s="544" t="str">
        <f>IF(VLOOKUP($E$279,[1]DATA_A11!$A$2:$FA$200, 31, FALSE)="",":",VLOOKUP($E$279,[1]DATA_A11!$A$2:$FA$200, 31, FALSE))</f>
        <v>:</v>
      </c>
    </row>
    <row r="280" spans="1:32">
      <c r="A280" s="533"/>
      <c r="B280" s="534"/>
      <c r="C280" s="535"/>
      <c r="D280" s="12"/>
      <c r="E280" s="13"/>
      <c r="F280" s="14"/>
      <c r="G280" s="544"/>
      <c r="H280" s="544"/>
      <c r="I280" s="544"/>
      <c r="J280" s="544"/>
      <c r="K280" s="544"/>
      <c r="L280" s="544"/>
      <c r="M280" s="544"/>
      <c r="N280" s="544"/>
      <c r="O280" s="544"/>
      <c r="P280" s="544"/>
      <c r="Q280" s="544"/>
      <c r="R280" s="544"/>
      <c r="S280" s="544"/>
      <c r="T280" s="544"/>
      <c r="U280">
        <f t="shared" ref="U280:Z280" si="17">+(U279-T279)/T279*100</f>
        <v>-2.0954552602610543</v>
      </c>
      <c r="V280">
        <f t="shared" si="17"/>
        <v>-10.171465285306997</v>
      </c>
      <c r="W280">
        <f t="shared" si="17"/>
        <v>1.9713902548055391</v>
      </c>
      <c r="X280">
        <f t="shared" si="17"/>
        <v>0.53921353732848987</v>
      </c>
      <c r="Y280">
        <f t="shared" si="17"/>
        <v>2.9083456876253519</v>
      </c>
      <c r="Z280">
        <f t="shared" si="17"/>
        <v>2.9108936062031385</v>
      </c>
      <c r="AA280"/>
      <c r="AB280"/>
      <c r="AC280"/>
      <c r="AD280" s="544" t="s">
        <v>2446</v>
      </c>
      <c r="AE280" s="544"/>
      <c r="AF280" s="544"/>
    </row>
    <row r="281" spans="1:32">
      <c r="A281" s="533"/>
      <c r="B281" s="534"/>
      <c r="C281" s="535"/>
      <c r="D281" s="12"/>
      <c r="E281" s="13"/>
      <c r="F281" s="14"/>
      <c r="G281" s="544"/>
      <c r="H281" s="544"/>
      <c r="I281" s="544"/>
      <c r="J281" s="544"/>
      <c r="K281" s="544"/>
      <c r="L281" s="544"/>
      <c r="M281" s="544"/>
      <c r="N281" s="544"/>
      <c r="O281" s="544"/>
      <c r="P281" s="544"/>
      <c r="Q281" s="544"/>
      <c r="R281" s="544"/>
      <c r="S281" s="544"/>
      <c r="T281" s="544"/>
      <c r="U281"/>
      <c r="V281"/>
      <c r="W281">
        <v>3.426932700799612</v>
      </c>
      <c r="X281">
        <v>2.6886442417238809</v>
      </c>
      <c r="Y281">
        <v>3.4274787789461136</v>
      </c>
      <c r="Z281">
        <v>1.791340016319598</v>
      </c>
      <c r="AA281">
        <v>3.7</v>
      </c>
      <c r="AB281">
        <v>5</v>
      </c>
      <c r="AC281">
        <v>4.5</v>
      </c>
      <c r="AD281" s="544"/>
      <c r="AE281" s="544"/>
      <c r="AF281" s="544"/>
    </row>
    <row r="282" spans="1:32">
      <c r="A282" s="533"/>
      <c r="B282" s="534"/>
      <c r="C282" s="535"/>
      <c r="D282" s="12"/>
      <c r="E282" s="13"/>
      <c r="F282" s="14"/>
      <c r="G282" s="544"/>
      <c r="H282" s="544"/>
      <c r="I282" s="544"/>
      <c r="J282" s="544"/>
      <c r="K282" s="544"/>
      <c r="L282" s="544"/>
      <c r="M282" s="544"/>
      <c r="N282" s="544"/>
      <c r="O282" s="544"/>
      <c r="P282" s="544"/>
      <c r="Q282" s="544"/>
      <c r="R282" s="544"/>
      <c r="S282" s="544"/>
      <c r="T282" s="544"/>
      <c r="U282" s="544"/>
      <c r="V282" s="544"/>
      <c r="W282" s="544"/>
      <c r="X282" s="544"/>
      <c r="Y282" s="544"/>
      <c r="Z282" s="544"/>
      <c r="AA282" s="544"/>
      <c r="AB282" s="544"/>
      <c r="AC282" s="544"/>
      <c r="AD282" s="544"/>
      <c r="AE282" s="544"/>
      <c r="AF282" s="544"/>
    </row>
    <row r="283" spans="1:32">
      <c r="A283" s="533"/>
      <c r="B283" s="534"/>
      <c r="C283" s="535"/>
      <c r="D283" s="12"/>
      <c r="E283" s="13"/>
      <c r="F283" s="14"/>
      <c r="G283" s="544"/>
      <c r="H283" s="544"/>
      <c r="I283" s="544"/>
      <c r="J283" s="544"/>
      <c r="K283" s="544"/>
      <c r="L283" s="544"/>
      <c r="M283" s="544"/>
      <c r="N283" s="544"/>
      <c r="O283" s="544"/>
      <c r="P283" s="544"/>
      <c r="Q283" s="544"/>
      <c r="R283" s="544"/>
      <c r="S283" s="544"/>
      <c r="T283" s="544"/>
      <c r="U283" s="544"/>
      <c r="V283" s="544"/>
      <c r="W283" s="544"/>
      <c r="X283" s="544"/>
      <c r="Y283" s="544"/>
      <c r="Z283" s="544"/>
      <c r="AA283" s="544"/>
      <c r="AB283" s="544"/>
      <c r="AC283" s="544"/>
      <c r="AD283" s="544"/>
      <c r="AE283" s="544"/>
      <c r="AF283" s="544"/>
    </row>
    <row r="284" spans="1:32">
      <c r="A284" s="3079"/>
      <c r="B284" s="3080" t="s">
        <v>1572</v>
      </c>
      <c r="C284" s="3081"/>
      <c r="D284" s="3082"/>
      <c r="E284" s="3083"/>
      <c r="F284" s="3085"/>
      <c r="G284" s="3086"/>
      <c r="H284" s="3086"/>
      <c r="I284" s="3086"/>
      <c r="J284" s="3086"/>
      <c r="K284" s="3086"/>
      <c r="L284" s="3086"/>
      <c r="M284" s="3086"/>
      <c r="N284" s="3086"/>
      <c r="O284" s="3086"/>
      <c r="P284" s="3087"/>
      <c r="Q284" s="3087"/>
      <c r="R284" s="3086"/>
      <c r="S284" s="3086"/>
      <c r="T284" s="3086"/>
      <c r="U284" s="3086"/>
      <c r="V284" s="3086"/>
      <c r="W284" s="3086"/>
      <c r="X284" s="3086"/>
      <c r="Y284" s="3086"/>
      <c r="Z284" s="3086"/>
      <c r="AA284" s="3086"/>
      <c r="AB284" s="3086"/>
      <c r="AC284" s="3086"/>
      <c r="AD284" s="3086"/>
      <c r="AE284" s="3086"/>
      <c r="AF284" s="3086"/>
    </row>
    <row r="285" spans="1:32">
      <c r="A285" s="3079"/>
      <c r="B285" s="3084" t="s">
        <v>1573</v>
      </c>
      <c r="C285" s="3081" t="s">
        <v>645</v>
      </c>
      <c r="D285" s="3082" t="s">
        <v>879</v>
      </c>
      <c r="E285" s="3083">
        <v>4000</v>
      </c>
      <c r="F285" s="3085" t="str">
        <f>VLOOKUP($E$285,[1]DATA_A11!$A$2:$FA$303, 3, FALSE)</f>
        <v>4000 Property income from ROW (negative means paid)</v>
      </c>
      <c r="G285" s="3086">
        <f>IF(VLOOKUP($E$285,[1]DATA_A11!$A$2:$FA$303, 6, FALSE)="",":",VLOOKUP($E$285,[1]DATA_A11!$A$2:$FA$303, 6, FALSE))</f>
        <v>63.42678405931418</v>
      </c>
      <c r="H285" s="3086">
        <f>IF(VLOOKUP($E$285,[1]DATA_A11!$A$2:$FA$303, 7, FALSE)="",":",VLOOKUP($E$285,[1]DATA_A11!$A$2:$FA$303, 7, FALSE))</f>
        <v>55.89666357738647</v>
      </c>
      <c r="I285" s="3086">
        <f>IF(VLOOKUP($E$285,[1]DATA_A11!$A$2:$FA$303, 8, FALSE)="",":",VLOOKUP($E$285,[1]DATA_A11!$A$2:$FA$303, 8, FALSE))</f>
        <v>99.339666357738651</v>
      </c>
      <c r="J285" s="3086">
        <f>IF(VLOOKUP($E$285,[1]DATA_A11!$A$2:$FA$303, 9, FALSE)="",":",VLOOKUP($E$285,[1]DATA_A11!$A$2:$FA$303, 9, FALSE))</f>
        <v>146.258109360519</v>
      </c>
      <c r="K285" s="3086">
        <f>IF(VLOOKUP($E$285,[1]DATA_A11!$A$2:$FA$303, 10, FALSE)="",":",VLOOKUP($E$285,[1]DATA_A11!$A$2:$FA$303, 10, FALSE))</f>
        <v>136.99026876737722</v>
      </c>
      <c r="L285" s="3086">
        <f>IF(VLOOKUP($E$285,[1]DATA_A11!$A$2:$FA$303, 11, FALSE)="",":",VLOOKUP($E$285,[1]DATA_A11!$A$2:$FA$303, 11, FALSE))</f>
        <v>166.241890639481</v>
      </c>
      <c r="M285" s="3086">
        <f>IF(VLOOKUP($E$285,[1]DATA_A11!$A$2:$FA$303, 12, FALSE)="",":",VLOOKUP($E$285,[1]DATA_A11!$A$2:$FA$303, 12, FALSE))</f>
        <v>150.89202965708989</v>
      </c>
      <c r="N285" s="3086">
        <f>IF(VLOOKUP($E$285,[1]DATA_A11!$A$2:$FA$303, 13, FALSE)="",":",VLOOKUP($E$285,[1]DATA_A11!$A$2:$FA$303, 13, FALSE))</f>
        <v>128.59128822984246</v>
      </c>
      <c r="O285" s="3086">
        <f>IF(VLOOKUP($E$285,[1]DATA_A11!$A$2:$FA$303, 14, FALSE)="",":",VLOOKUP($E$285,[1]DATA_A11!$A$2:$FA$303, 14, FALSE))</f>
        <v>142.20342910101948</v>
      </c>
      <c r="P285" s="3086">
        <f>IF(VLOOKUP($E$285,[1]DATA_A11!$A$2:$FA$303, 15, FALSE)="",":",VLOOKUP($E$285,[1]DATA_A11!$A$2:$FA$303, 15, FALSE))</f>
        <v>159.00139017608899</v>
      </c>
      <c r="Q285" s="3086">
        <f>IF(VLOOKUP($E$285,[1]DATA_A11!$A$2:$FA$303, 16, FALSE)="",":",VLOOKUP($E$285,[1]DATA_A11!$A$2:$FA$303, 16, FALSE))</f>
        <v>123</v>
      </c>
      <c r="R285" s="3086">
        <f>IF(VLOOKUP($E$285,[1]DATA_A11!$A$2:$FA$303, 17, FALSE)="",":",VLOOKUP($E$285,[1]DATA_A11!$A$2:$FA$303, 17, FALSE))</f>
        <v>215</v>
      </c>
      <c r="S285" s="3086">
        <f>IF(VLOOKUP($E$285,[1]DATA_A11!$A$2:$FA$303, 18, FALSE)="",":",VLOOKUP($E$285,[1]DATA_A11!$A$2:$FA$303, 18, FALSE))</f>
        <v>324</v>
      </c>
      <c r="T285" s="3086">
        <f>IF(VLOOKUP($E$285,[1]DATA_A11!$A$2:$FA$303, 19, FALSE)="",":",VLOOKUP($E$285,[1]DATA_A11!$A$2:$FA$303, 19, FALSE))</f>
        <v>436</v>
      </c>
      <c r="U285" s="3086">
        <f>IF(VLOOKUP($E$285,[1]DATA_A11!$A$2:$FA$303, 20, FALSE)="",":",VLOOKUP($E$285,[1]DATA_A11!$A$2:$FA$303, 20, FALSE))</f>
        <v>205</v>
      </c>
      <c r="V285" s="3086">
        <f>IF(VLOOKUP($E$285,[1]DATA_A11!$A$2:$FA$303, 21, FALSE)="",":",VLOOKUP($E$285,[1]DATA_A11!$A$2:$FA$303, 21, FALSE))</f>
        <v>269</v>
      </c>
      <c r="W285" s="3086">
        <f>IF(VLOOKUP($E$285,[1]DATA_A11!$A$2:$FA$303, 22, FALSE)="",":",VLOOKUP($E$285,[1]DATA_A11!$A$2:$FA$303, 22, FALSE))</f>
        <v>416</v>
      </c>
      <c r="X285" s="3086">
        <f>IF(VLOOKUP($E$285,[1]DATA_A11!$A$2:$FA$303, 23, FALSE)="",":",VLOOKUP($E$285,[1]DATA_A11!$A$2:$FA$303, 23, FALSE))</f>
        <v>432</v>
      </c>
      <c r="Y285" s="3086">
        <f>IF(VLOOKUP($E$285,[1]DATA_A11!$A$2:$FA$303, 24, FALSE)="",":",VLOOKUP($E$285,[1]DATA_A11!$A$2:$FA$303, 24, FALSE))</f>
        <v>337</v>
      </c>
      <c r="Z285" s="3086">
        <f>IF(VLOOKUP($E$285,[1]DATA_A11!$A$2:$FA$303, 25, FALSE)="",":",VLOOKUP($E$285,[1]DATA_A11!$A$2:$FA$303, 25, FALSE))</f>
        <v>298</v>
      </c>
      <c r="AA285" s="3086">
        <f>IF(VLOOKUP($E$285,[1]DATA_A11!$A$2:$FA$303, 26, FALSE)="",":",VLOOKUP($E$285,[1]DATA_A11!$A$2:$FA$303, 26, FALSE))</f>
        <v>229</v>
      </c>
      <c r="AB285" s="3086">
        <f>IF(VLOOKUP($E$285,[1]DATA_A11!$A$2:$FA$303, 27, FALSE)="",":",VLOOKUP($E$285,[1]DATA_A11!$A$2:$FA$303, 27, FALSE))</f>
        <v>229</v>
      </c>
      <c r="AC285" s="3086" t="str">
        <f>IF(VLOOKUP($E$285,[1]DATA_A11!$A$2:$FA$303, 28, FALSE)="",":",VLOOKUP($E$285,[1]DATA_A11!$A$2:$FA$303, 28, FALSE))</f>
        <v>n.a.</v>
      </c>
      <c r="AD285" s="3086" t="str">
        <f>IF(VLOOKUP($E$285,[1]DATA_A11!$A$2:$FA$303, 29, FALSE)="",":",VLOOKUP($E$285,[1]DATA_A11!$A$2:$FA$303, 29, FALSE))</f>
        <v>:</v>
      </c>
      <c r="AE285" s="3086" t="str">
        <f>IF(VLOOKUP($E$285,[1]DATA_A11!$A$2:$FA$303, 30, FALSE)="",":",VLOOKUP($E$285,[1]DATA_A11!$A$2:$FA$303, 30, FALSE))</f>
        <v>:</v>
      </c>
      <c r="AF285" s="3086" t="str">
        <f>IF(VLOOKUP($E$285,[1]DATA_A11!$A$2:$FA$303, 31, FALSE)="",":",VLOOKUP($E$285,[1]DATA_A11!$A$2:$FA$303, 31, FALSE))</f>
        <v>:</v>
      </c>
    </row>
    <row r="286" spans="1:32">
      <c r="A286" s="3079"/>
      <c r="B286" s="3084" t="s">
        <v>1573</v>
      </c>
      <c r="C286" s="3081" t="s">
        <v>645</v>
      </c>
      <c r="D286" s="3082" t="s">
        <v>879</v>
      </c>
      <c r="E286" s="3083">
        <v>4001</v>
      </c>
      <c r="F286" s="3085" t="str">
        <f>VLOOKUP($E$286,[1]DATA_A11!$A$2:$FA$303, 3, FALSE)</f>
        <v>4001 Property income to ROW (D.4)</v>
      </c>
      <c r="G286" s="3086">
        <f>IF(VLOOKUP($E$286,[1]DATA_A11!$A$2:$FA$303, 6, FALSE)="",":",VLOOKUP($E$286,[1]DATA_A11!$A$2:$FA$303, 6, FALSE))</f>
        <v>71.246524559777569</v>
      </c>
      <c r="H286" s="3086">
        <f>IF(VLOOKUP($E$286,[1]DATA_A11!$A$2:$FA$303, 7, FALSE)="",":",VLOOKUP($E$286,[1]DATA_A11!$A$2:$FA$303, 7, FALSE))</f>
        <v>128.30166821130678</v>
      </c>
      <c r="I286" s="3086">
        <f>IF(VLOOKUP($E$286,[1]DATA_A11!$A$2:$FA$303, 8, FALSE)="",":",VLOOKUP($E$286,[1]DATA_A11!$A$2:$FA$303, 8, FALSE))</f>
        <v>250.52131603336423</v>
      </c>
      <c r="J286" s="3086">
        <f>IF(VLOOKUP($E$286,[1]DATA_A11!$A$2:$FA$303, 9, FALSE)="",":",VLOOKUP($E$286,[1]DATA_A11!$A$2:$FA$303, 9, FALSE))</f>
        <v>369.55514365152919</v>
      </c>
      <c r="K286" s="3086">
        <f>IF(VLOOKUP($E$286,[1]DATA_A11!$A$2:$FA$303, 10, FALSE)="",":",VLOOKUP($E$286,[1]DATA_A11!$A$2:$FA$303, 10, FALSE))</f>
        <v>380.56070435588509</v>
      </c>
      <c r="L286" s="3086">
        <f>IF(VLOOKUP($E$286,[1]DATA_A11!$A$2:$FA$303, 11, FALSE)="",":",VLOOKUP($E$286,[1]DATA_A11!$A$2:$FA$303, 11, FALSE))</f>
        <v>410.39156626506025</v>
      </c>
      <c r="M286" s="3086">
        <f>IF(VLOOKUP($E$286,[1]DATA_A11!$A$2:$FA$303, 12, FALSE)="",":",VLOOKUP($E$286,[1]DATA_A11!$A$2:$FA$303, 12, FALSE))</f>
        <v>392.14550509731237</v>
      </c>
      <c r="N286" s="3086">
        <f>IF(VLOOKUP($E$286,[1]DATA_A11!$A$2:$FA$303, 13, FALSE)="",":",VLOOKUP($E$286,[1]DATA_A11!$A$2:$FA$303, 13, FALSE))</f>
        <v>342.91010194624653</v>
      </c>
      <c r="O286" s="3086">
        <f>IF(VLOOKUP($E$286,[1]DATA_A11!$A$2:$FA$303, 14, FALSE)="",":",VLOOKUP($E$286,[1]DATA_A11!$A$2:$FA$303, 14, FALSE))</f>
        <v>595.16913809082484</v>
      </c>
      <c r="P286" s="3086">
        <f>IF(VLOOKUP($E$286,[1]DATA_A11!$A$2:$FA$303, 15, FALSE)="",":",VLOOKUP($E$286,[1]DATA_A11!$A$2:$FA$303, 15, FALSE))</f>
        <v>743.74420759962936</v>
      </c>
      <c r="Q286" s="3086">
        <f>IF(VLOOKUP($E$286,[1]DATA_A11!$A$2:$FA$303, 16, FALSE)="",":",VLOOKUP($E$286,[1]DATA_A11!$A$2:$FA$303, 16, FALSE))</f>
        <v>789</v>
      </c>
      <c r="R286" s="3086">
        <f>IF(VLOOKUP($E$286,[1]DATA_A11!$A$2:$FA$303, 17, FALSE)="",":",VLOOKUP($E$286,[1]DATA_A11!$A$2:$FA$303, 17, FALSE))</f>
        <v>1061</v>
      </c>
      <c r="S286" s="3086">
        <f>IF(VLOOKUP($E$286,[1]DATA_A11!$A$2:$FA$303, 18, FALSE)="",":",VLOOKUP($E$286,[1]DATA_A11!$A$2:$FA$303, 18, FALSE))</f>
        <v>1692</v>
      </c>
      <c r="T286" s="3086">
        <f>IF(VLOOKUP($E$286,[1]DATA_A11!$A$2:$FA$303, 19, FALSE)="",":",VLOOKUP($E$286,[1]DATA_A11!$A$2:$FA$303, 19, FALSE))</f>
        <v>1789</v>
      </c>
      <c r="U286" s="3086">
        <f>IF(VLOOKUP($E$286,[1]DATA_A11!$A$2:$FA$303, 20, FALSE)="",":",VLOOKUP($E$286,[1]DATA_A11!$A$2:$FA$303, 20, FALSE))</f>
        <v>-39</v>
      </c>
      <c r="V286" s="3086">
        <f>IF(VLOOKUP($E$286,[1]DATA_A11!$A$2:$FA$303, 21, FALSE)="",":",VLOOKUP($E$286,[1]DATA_A11!$A$2:$FA$303, 21, FALSE))</f>
        <v>1254</v>
      </c>
      <c r="W286" s="3086">
        <f>IF(VLOOKUP($E$286,[1]DATA_A11!$A$2:$FA$303, 22, FALSE)="",":",VLOOKUP($E$286,[1]DATA_A11!$A$2:$FA$303, 22, FALSE))</f>
        <v>2000</v>
      </c>
      <c r="X286" s="3086">
        <f>IF(VLOOKUP($E$286,[1]DATA_A11!$A$2:$FA$303, 23, FALSE)="",":",VLOOKUP($E$286,[1]DATA_A11!$A$2:$FA$303, 23, FALSE))</f>
        <v>1778</v>
      </c>
      <c r="Y286" s="3086">
        <f>IF(VLOOKUP($E$286,[1]DATA_A11!$A$2:$FA$303, 24, FALSE)="",":",VLOOKUP($E$286,[1]DATA_A11!$A$2:$FA$303, 24, FALSE))</f>
        <v>1618</v>
      </c>
      <c r="Z286" s="3086">
        <f>IF(VLOOKUP($E$286,[1]DATA_A11!$A$2:$FA$303, 25, FALSE)="",":",VLOOKUP($E$286,[1]DATA_A11!$A$2:$FA$303, 25, FALSE))</f>
        <v>1069</v>
      </c>
      <c r="AA286" s="3086">
        <f>IF(VLOOKUP($E$286,[1]DATA_A11!$A$2:$FA$303, 26, FALSE)="",":",VLOOKUP($E$286,[1]DATA_A11!$A$2:$FA$303, 26, FALSE))</f>
        <v>2099</v>
      </c>
      <c r="AB286" s="3086">
        <f>IF(VLOOKUP($E$286,[1]DATA_A11!$A$2:$FA$303, 27, FALSE)="",":",VLOOKUP($E$286,[1]DATA_A11!$A$2:$FA$303, 27, FALSE))</f>
        <v>2080</v>
      </c>
      <c r="AC286" s="3086" t="str">
        <f>IF(VLOOKUP($E$286,[1]DATA_A11!$A$2:$FA$303, 28, FALSE)="",":",VLOOKUP($E$286,[1]DATA_A11!$A$2:$FA$303, 28, FALSE))</f>
        <v>n.a.</v>
      </c>
      <c r="AD286" s="3086" t="str">
        <f>IF(VLOOKUP($E$286,[1]DATA_A11!$A$2:$FA$303, 29, FALSE)="",":",VLOOKUP($E$286,[1]DATA_A11!$A$2:$FA$303, 29, FALSE))</f>
        <v>:</v>
      </c>
      <c r="AE286" s="3086" t="str">
        <f>IF(VLOOKUP($E$286,[1]DATA_A11!$A$2:$FA$303, 30, FALSE)="",":",VLOOKUP($E$286,[1]DATA_A11!$A$2:$FA$303, 30, FALSE))</f>
        <v>:</v>
      </c>
      <c r="AF286" s="3086" t="str">
        <f>IF(VLOOKUP($E$286,[1]DATA_A11!$A$2:$FA$303, 31, FALSE)="",":",VLOOKUP($E$286,[1]DATA_A11!$A$2:$FA$303, 31, FALSE))</f>
        <v>:</v>
      </c>
    </row>
    <row r="287" spans="1:32">
      <c r="A287" s="3079"/>
      <c r="B287" s="3084"/>
      <c r="C287" s="3081"/>
      <c r="D287" s="3082"/>
      <c r="E287" s="3083"/>
      <c r="F287" s="3085"/>
      <c r="G287" s="3086"/>
      <c r="H287" s="3086"/>
      <c r="I287" s="3086"/>
      <c r="J287" s="3086"/>
      <c r="K287" s="3086"/>
      <c r="L287" s="3086"/>
      <c r="M287" s="3086"/>
      <c r="N287" s="3086"/>
      <c r="O287" s="3086"/>
      <c r="P287" s="3087"/>
      <c r="Q287" s="3087"/>
      <c r="R287" s="3086"/>
      <c r="S287" s="3086"/>
      <c r="T287" s="3086"/>
      <c r="U287" s="3086"/>
      <c r="V287" s="3086"/>
      <c r="W287" s="3086"/>
      <c r="X287" s="3086"/>
      <c r="Y287" s="3086"/>
      <c r="Z287" s="3086"/>
      <c r="AA287" s="3086"/>
      <c r="AB287" s="3086"/>
      <c r="AC287" s="3086"/>
      <c r="AD287" s="3086"/>
      <c r="AE287" s="3086"/>
      <c r="AF287" s="3086"/>
    </row>
    <row r="288" spans="1:32">
      <c r="A288" s="3079"/>
      <c r="B288" s="3084"/>
      <c r="C288" s="3081"/>
      <c r="D288" s="3082"/>
      <c r="E288" s="3083"/>
      <c r="F288" s="3085"/>
      <c r="G288" s="3086"/>
      <c r="H288" s="3086"/>
      <c r="I288" s="3086"/>
      <c r="J288" s="3086"/>
      <c r="K288" s="3086"/>
      <c r="L288" s="3086"/>
      <c r="M288" s="3086"/>
      <c r="N288" s="3086"/>
      <c r="O288" s="3086"/>
      <c r="P288" s="3086"/>
      <c r="Q288" s="3086"/>
      <c r="R288" s="3086"/>
      <c r="S288" s="3086"/>
      <c r="T288" s="3086"/>
      <c r="U288" s="3086"/>
      <c r="V288" s="3086"/>
      <c r="W288" s="3086"/>
      <c r="X288" s="3086"/>
      <c r="Y288" s="3086"/>
      <c r="Z288" s="3086"/>
      <c r="AA288" s="3086"/>
      <c r="AB288" s="3086"/>
      <c r="AC288" s="3086"/>
      <c r="AD288" s="3086"/>
      <c r="AE288" s="3086"/>
      <c r="AF288" s="3086"/>
    </row>
    <row r="289" spans="1:32">
      <c r="A289" s="3079"/>
      <c r="B289" s="3084"/>
      <c r="C289" s="3081"/>
      <c r="D289" s="3082"/>
      <c r="E289" s="3083"/>
      <c r="F289" s="3085"/>
      <c r="G289" s="3086"/>
      <c r="H289" s="3086"/>
      <c r="I289" s="3086"/>
      <c r="J289" s="3086"/>
      <c r="K289" s="3086"/>
      <c r="L289" s="3086"/>
      <c r="M289" s="3086"/>
      <c r="N289" s="3086"/>
      <c r="O289" s="3086"/>
      <c r="P289" s="3086"/>
      <c r="Q289" s="3086"/>
      <c r="R289" s="3086"/>
      <c r="S289" s="3086"/>
      <c r="T289" s="3086"/>
      <c r="U289" s="3086"/>
      <c r="V289" s="3086"/>
      <c r="W289" s="3086"/>
      <c r="X289" s="3086"/>
      <c r="Y289" s="3086"/>
      <c r="Z289" s="3086"/>
      <c r="AA289" s="3086"/>
      <c r="AB289" s="3086"/>
      <c r="AC289" s="3086"/>
      <c r="AD289" s="3086"/>
      <c r="AE289" s="3086"/>
      <c r="AF289" s="3086"/>
    </row>
    <row r="290" spans="1:32">
      <c r="A290" s="3079"/>
      <c r="B290" s="3084"/>
      <c r="C290" s="3081"/>
      <c r="D290" s="3082"/>
      <c r="E290" s="3083"/>
      <c r="F290" s="3085"/>
      <c r="G290" s="3086"/>
      <c r="H290" s="3086"/>
      <c r="I290" s="3086"/>
      <c r="J290" s="3086"/>
      <c r="K290" s="3086"/>
      <c r="L290" s="3086"/>
      <c r="M290" s="3086"/>
      <c r="N290" s="3086"/>
      <c r="O290" s="3086"/>
      <c r="P290" s="3086"/>
      <c r="Q290" s="3086"/>
      <c r="R290" s="3086"/>
      <c r="S290" s="3086"/>
      <c r="T290" s="3086"/>
      <c r="U290" s="3086"/>
      <c r="V290" s="3086"/>
      <c r="W290" s="3086"/>
      <c r="X290" s="3086"/>
      <c r="Y290" s="3086"/>
      <c r="Z290" s="3086"/>
      <c r="AA290" s="3086"/>
      <c r="AB290" s="3086"/>
      <c r="AC290" s="3086"/>
      <c r="AD290" s="3086"/>
      <c r="AE290" s="3086"/>
      <c r="AF290" s="3086"/>
    </row>
    <row r="291" spans="1:32" customFormat="1"/>
    <row r="292" spans="1:32" customFormat="1"/>
    <row r="293" spans="1:32" customFormat="1"/>
    <row r="294" spans="1:32" customFormat="1"/>
    <row r="295" spans="1:32" customFormat="1"/>
    <row r="296" spans="1:32" customFormat="1"/>
    <row r="297" spans="1:32" customFormat="1"/>
    <row r="298" spans="1:32" customFormat="1"/>
    <row r="299" spans="1:32" customFormat="1"/>
    <row r="300" spans="1:32" customFormat="1"/>
    <row r="301" spans="1:32" customFormat="1"/>
    <row r="302" spans="1:32" customFormat="1"/>
    <row r="303" spans="1:32" customFormat="1"/>
    <row r="304" spans="1:32"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customFormat="1"/>
    <row r="418" customFormat="1"/>
    <row r="419" customFormat="1"/>
    <row r="420" customFormat="1"/>
    <row r="421" customFormat="1"/>
    <row r="422" customFormat="1"/>
    <row r="423" customFormat="1"/>
    <row r="424" customFormat="1"/>
    <row r="425" customFormat="1"/>
    <row r="426" customFormat="1"/>
    <row r="427" customFormat="1"/>
    <row r="428" customFormat="1"/>
    <row r="429" customFormat="1"/>
    <row r="430" customFormat="1"/>
    <row r="431" customFormat="1"/>
    <row r="432"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row r="470" customFormat="1"/>
    <row r="471" customFormat="1"/>
    <row r="472" customFormat="1"/>
    <row r="473" customFormat="1"/>
    <row r="474" customFormat="1"/>
    <row r="475" customFormat="1"/>
    <row r="476" customFormat="1"/>
    <row r="477" customFormat="1"/>
    <row r="478" customFormat="1"/>
    <row r="479" customFormat="1"/>
    <row r="480" customFormat="1"/>
    <row r="481" customFormat="1"/>
    <row r="482" customFormat="1"/>
    <row r="483" customFormat="1"/>
    <row r="484" customFormat="1"/>
    <row r="485" customFormat="1"/>
    <row r="486" customFormat="1"/>
    <row r="487" customFormat="1"/>
    <row r="488" customFormat="1"/>
    <row r="489" customFormat="1"/>
    <row r="490" customFormat="1"/>
    <row r="491" customFormat="1"/>
    <row r="492" customFormat="1"/>
    <row r="493" customFormat="1"/>
    <row r="494" customFormat="1"/>
    <row r="495" customFormat="1"/>
    <row r="496" customFormat="1"/>
    <row r="497" customFormat="1"/>
    <row r="498" customFormat="1"/>
    <row r="499" customFormat="1"/>
    <row r="500" customFormat="1"/>
    <row r="501" customFormat="1"/>
    <row r="502" customFormat="1"/>
    <row r="503" customFormat="1"/>
    <row r="504" customFormat="1"/>
    <row r="505" customFormat="1"/>
    <row r="506" customFormat="1"/>
    <row r="507" customFormat="1"/>
    <row r="508" customFormat="1"/>
    <row r="509" customFormat="1"/>
    <row r="510" customFormat="1"/>
    <row r="511" customFormat="1"/>
    <row r="512" customFormat="1"/>
    <row r="513" customFormat="1"/>
    <row r="514" customFormat="1"/>
    <row r="515" customFormat="1"/>
    <row r="516" customFormat="1"/>
    <row r="517" customFormat="1"/>
    <row r="518" customFormat="1"/>
    <row r="519" customFormat="1"/>
    <row r="520" customFormat="1"/>
    <row r="521" customFormat="1"/>
    <row r="522" customFormat="1"/>
    <row r="523" customFormat="1"/>
    <row r="524" customFormat="1"/>
    <row r="525" customFormat="1"/>
    <row r="526" customFormat="1"/>
    <row r="527" customFormat="1"/>
    <row r="528" customFormat="1"/>
    <row r="529" customFormat="1"/>
    <row r="530" customFormat="1"/>
    <row r="531" customFormat="1"/>
    <row r="532" customFormat="1"/>
    <row r="533" customFormat="1"/>
    <row r="534" customFormat="1"/>
    <row r="535" customFormat="1"/>
    <row r="536" customFormat="1"/>
    <row r="537" customFormat="1"/>
    <row r="538" customFormat="1"/>
    <row r="539" customFormat="1"/>
    <row r="540" customFormat="1"/>
    <row r="541" customFormat="1"/>
    <row r="542" customFormat="1"/>
    <row r="543" customFormat="1"/>
    <row r="544" customFormat="1"/>
    <row r="545" customFormat="1"/>
    <row r="546" customFormat="1"/>
    <row r="547" customFormat="1"/>
    <row r="548" customFormat="1"/>
    <row r="549" customFormat="1"/>
    <row r="550" customFormat="1"/>
    <row r="551" customFormat="1"/>
    <row r="552" customFormat="1"/>
    <row r="553" customFormat="1"/>
    <row r="554" customFormat="1"/>
    <row r="555" customFormat="1"/>
    <row r="556" customFormat="1"/>
    <row r="557" customFormat="1"/>
    <row r="558" customFormat="1"/>
    <row r="559" customFormat="1"/>
    <row r="560" customFormat="1"/>
    <row r="561" customFormat="1"/>
    <row r="562" customFormat="1"/>
    <row r="563" customFormat="1"/>
    <row r="564" customFormat="1"/>
    <row r="565" customFormat="1"/>
    <row r="566" customFormat="1"/>
    <row r="567" customFormat="1"/>
    <row r="568" customFormat="1"/>
    <row r="569" customFormat="1"/>
    <row r="570" customFormat="1"/>
    <row r="571" customFormat="1"/>
    <row r="572" customFormat="1"/>
    <row r="573" customFormat="1"/>
    <row r="574" customFormat="1"/>
    <row r="575" customFormat="1"/>
    <row r="576" customFormat="1"/>
    <row r="577" customFormat="1"/>
    <row r="578" customFormat="1"/>
    <row r="579" customFormat="1"/>
    <row r="580" customFormat="1"/>
    <row r="581" customFormat="1"/>
    <row r="582" customFormat="1"/>
    <row r="583" customFormat="1"/>
    <row r="584" customFormat="1"/>
    <row r="585" customFormat="1"/>
    <row r="586" customFormat="1"/>
    <row r="587" customFormat="1"/>
    <row r="588" customFormat="1"/>
    <row r="589" customFormat="1"/>
    <row r="590" customFormat="1"/>
    <row r="591" customFormat="1"/>
    <row r="592" customFormat="1"/>
    <row r="593" customFormat="1"/>
    <row r="594" customFormat="1"/>
    <row r="595" customFormat="1"/>
    <row r="596" customFormat="1"/>
    <row r="597" customFormat="1"/>
    <row r="598" customFormat="1"/>
    <row r="599" customFormat="1"/>
    <row r="600" customFormat="1"/>
    <row r="601" customFormat="1"/>
    <row r="602" customFormat="1"/>
    <row r="603" customFormat="1"/>
    <row r="604" customFormat="1"/>
    <row r="605" customFormat="1"/>
    <row r="606" customFormat="1"/>
    <row r="607" customFormat="1"/>
    <row r="608" customFormat="1"/>
    <row r="609" customFormat="1"/>
    <row r="610" customFormat="1"/>
    <row r="611" customFormat="1"/>
    <row r="612" customFormat="1"/>
    <row r="613" customFormat="1"/>
    <row r="614" customFormat="1"/>
    <row r="615" customFormat="1"/>
    <row r="616" customFormat="1"/>
    <row r="617" customFormat="1"/>
    <row r="618" customFormat="1"/>
    <row r="619" customFormat="1"/>
    <row r="620" customFormat="1"/>
    <row r="621" customFormat="1"/>
    <row r="622" customFormat="1"/>
    <row r="623" customFormat="1"/>
    <row r="624" customFormat="1"/>
    <row r="625" customFormat="1"/>
    <row r="626" customFormat="1"/>
    <row r="627" customFormat="1"/>
    <row r="628" customFormat="1"/>
    <row r="629" customFormat="1"/>
    <row r="630" customFormat="1"/>
    <row r="631" customFormat="1"/>
    <row r="632" customFormat="1"/>
    <row r="633" customFormat="1"/>
    <row r="634" customFormat="1"/>
    <row r="635" customFormat="1"/>
    <row r="636" customFormat="1"/>
    <row r="637" customFormat="1"/>
    <row r="638" customFormat="1"/>
    <row r="639" customFormat="1"/>
    <row r="640" customFormat="1"/>
    <row r="641" customFormat="1"/>
    <row r="642" customFormat="1"/>
    <row r="643" customFormat="1"/>
    <row r="644" customFormat="1"/>
    <row r="645" customFormat="1"/>
    <row r="646" customFormat="1"/>
    <row r="647" customFormat="1"/>
    <row r="648" customFormat="1"/>
    <row r="649" customFormat="1"/>
    <row r="650" customFormat="1"/>
    <row r="651" customFormat="1"/>
    <row r="652" customFormat="1"/>
    <row r="653" customFormat="1"/>
    <row r="654" customFormat="1"/>
    <row r="655" customFormat="1"/>
    <row r="656" customFormat="1"/>
    <row r="657" customFormat="1"/>
    <row r="658" customFormat="1"/>
    <row r="659" customFormat="1"/>
    <row r="660" customFormat="1"/>
    <row r="661" customFormat="1"/>
    <row r="662" customFormat="1"/>
    <row r="663" customFormat="1"/>
    <row r="664" customFormat="1"/>
    <row r="665" customFormat="1"/>
    <row r="666" customFormat="1"/>
    <row r="667" customFormat="1"/>
    <row r="668" customFormat="1"/>
    <row r="669" customFormat="1"/>
    <row r="670" customFormat="1"/>
    <row r="671" customFormat="1"/>
    <row r="672" customFormat="1"/>
    <row r="673" customFormat="1"/>
    <row r="674" customFormat="1"/>
    <row r="675" customFormat="1"/>
    <row r="676" customFormat="1"/>
    <row r="677" customFormat="1"/>
    <row r="678" customFormat="1"/>
    <row r="679" customFormat="1"/>
    <row r="680" customFormat="1"/>
    <row r="681" customFormat="1"/>
    <row r="682" customFormat="1"/>
    <row r="683" customFormat="1"/>
    <row r="684" customFormat="1"/>
    <row r="685" customFormat="1"/>
    <row r="686" customFormat="1"/>
    <row r="687" customFormat="1"/>
    <row r="688" customFormat="1"/>
    <row r="689" customFormat="1"/>
    <row r="690" customFormat="1"/>
    <row r="691" customFormat="1"/>
    <row r="692" customFormat="1"/>
    <row r="693" customFormat="1"/>
    <row r="694" customFormat="1"/>
    <row r="695" customFormat="1"/>
    <row r="696" customFormat="1"/>
    <row r="697" customFormat="1"/>
    <row r="698" customFormat="1"/>
    <row r="699" customFormat="1"/>
    <row r="700" customFormat="1"/>
    <row r="701" customFormat="1"/>
    <row r="702" customFormat="1"/>
    <row r="703" customFormat="1"/>
    <row r="704" customFormat="1"/>
    <row r="705" customFormat="1"/>
    <row r="706" customFormat="1"/>
    <row r="707" customFormat="1"/>
    <row r="708" customFormat="1"/>
    <row r="709" customFormat="1"/>
    <row r="710" customFormat="1"/>
    <row r="711" customFormat="1"/>
    <row r="712" customFormat="1"/>
    <row r="713" customFormat="1"/>
    <row r="714" customFormat="1"/>
    <row r="715" customFormat="1"/>
    <row r="716" customFormat="1"/>
    <row r="717" customFormat="1"/>
    <row r="718" customFormat="1"/>
    <row r="719" customFormat="1"/>
    <row r="720" customFormat="1"/>
    <row r="721" customFormat="1"/>
    <row r="722" customFormat="1"/>
    <row r="723" customFormat="1"/>
    <row r="724" customFormat="1"/>
    <row r="725" customFormat="1"/>
    <row r="726" customFormat="1"/>
    <row r="727" customFormat="1"/>
    <row r="728" customFormat="1"/>
    <row r="729" customFormat="1"/>
    <row r="730" customFormat="1"/>
    <row r="731" customFormat="1"/>
    <row r="732" customFormat="1"/>
    <row r="733" customFormat="1"/>
    <row r="734" customFormat="1"/>
    <row r="735" customFormat="1"/>
    <row r="736" customFormat="1"/>
    <row r="737" customFormat="1"/>
    <row r="738" customFormat="1"/>
    <row r="739" customFormat="1"/>
    <row r="740" customFormat="1"/>
    <row r="741" customFormat="1"/>
    <row r="742" customFormat="1"/>
    <row r="743" customFormat="1"/>
    <row r="744" customFormat="1"/>
    <row r="745" customFormat="1"/>
    <row r="746" customFormat="1"/>
    <row r="747" customFormat="1"/>
    <row r="748" customFormat="1"/>
    <row r="749" customFormat="1"/>
    <row r="750" customFormat="1"/>
    <row r="751" customFormat="1"/>
    <row r="752" customFormat="1"/>
    <row r="753" customFormat="1"/>
    <row r="754" customFormat="1"/>
    <row r="755" customFormat="1"/>
    <row r="756" customFormat="1"/>
    <row r="757" customFormat="1"/>
    <row r="758" customFormat="1"/>
    <row r="759" customFormat="1"/>
    <row r="760" customFormat="1"/>
    <row r="761" customFormat="1"/>
    <row r="762" customFormat="1"/>
    <row r="763" customFormat="1"/>
    <row r="764" customFormat="1"/>
    <row r="765" customFormat="1"/>
    <row r="766" customFormat="1"/>
    <row r="767" customFormat="1"/>
    <row r="768" customFormat="1"/>
    <row r="769" customFormat="1"/>
    <row r="770" customFormat="1"/>
    <row r="771" customFormat="1"/>
    <row r="772" customFormat="1"/>
    <row r="773" customFormat="1"/>
    <row r="774" customFormat="1"/>
    <row r="775" customFormat="1"/>
    <row r="776" customFormat="1"/>
    <row r="777" customFormat="1"/>
    <row r="778" customFormat="1"/>
    <row r="779" customFormat="1"/>
    <row r="780" customFormat="1"/>
    <row r="781" customFormat="1"/>
    <row r="782" customFormat="1"/>
    <row r="783" customFormat="1"/>
    <row r="784" customFormat="1"/>
    <row r="785" customFormat="1"/>
    <row r="786" customFormat="1"/>
    <row r="787" customFormat="1"/>
    <row r="788" customFormat="1"/>
    <row r="789" customFormat="1"/>
    <row r="790" customFormat="1"/>
    <row r="791" customFormat="1"/>
    <row r="792" customFormat="1"/>
    <row r="793" customFormat="1"/>
    <row r="794" customFormat="1"/>
    <row r="795" customFormat="1"/>
    <row r="796" customFormat="1"/>
    <row r="797" customFormat="1"/>
    <row r="798" customFormat="1"/>
    <row r="799" customFormat="1"/>
    <row r="800" customFormat="1"/>
    <row r="801" customFormat="1"/>
    <row r="802" customFormat="1"/>
    <row r="803" customFormat="1"/>
    <row r="804" customFormat="1"/>
    <row r="805" customFormat="1"/>
    <row r="806" customFormat="1"/>
    <row r="807" customFormat="1"/>
    <row r="808" customFormat="1"/>
    <row r="809" customFormat="1"/>
    <row r="810" customFormat="1"/>
    <row r="811" customFormat="1"/>
    <row r="812" customFormat="1"/>
    <row r="813" customFormat="1"/>
    <row r="814" customFormat="1"/>
    <row r="815" customFormat="1"/>
    <row r="816" customFormat="1"/>
    <row r="817" customFormat="1"/>
    <row r="818" customFormat="1"/>
    <row r="819" customFormat="1"/>
    <row r="820" customFormat="1"/>
    <row r="821" customFormat="1"/>
    <row r="822" customFormat="1"/>
    <row r="823" customFormat="1"/>
    <row r="824" customFormat="1"/>
    <row r="825" customFormat="1"/>
    <row r="826" customFormat="1"/>
    <row r="827" customFormat="1"/>
    <row r="828" customFormat="1"/>
    <row r="829" customFormat="1"/>
    <row r="830" customFormat="1"/>
    <row r="831" customFormat="1"/>
    <row r="832" customFormat="1"/>
    <row r="833" customFormat="1"/>
    <row r="834" customFormat="1"/>
    <row r="835" customFormat="1"/>
    <row r="836" customFormat="1"/>
    <row r="837" customFormat="1"/>
    <row r="838" customFormat="1"/>
    <row r="839" customFormat="1"/>
    <row r="840" customFormat="1"/>
    <row r="841" customFormat="1"/>
    <row r="842" customFormat="1"/>
    <row r="843" customFormat="1"/>
    <row r="844" customFormat="1"/>
    <row r="845" customFormat="1"/>
    <row r="846" customFormat="1"/>
    <row r="847" customFormat="1"/>
    <row r="848" customFormat="1"/>
    <row r="849" customFormat="1"/>
    <row r="850" customFormat="1"/>
    <row r="851" customFormat="1"/>
    <row r="852" customFormat="1"/>
    <row r="853" customFormat="1"/>
    <row r="854" customFormat="1"/>
    <row r="855" customFormat="1"/>
    <row r="856" customFormat="1"/>
    <row r="857" customFormat="1"/>
    <row r="858" customFormat="1"/>
    <row r="859" customFormat="1"/>
    <row r="860" customFormat="1"/>
    <row r="861" customFormat="1"/>
    <row r="862" customFormat="1"/>
    <row r="863" customFormat="1"/>
    <row r="864" customFormat="1"/>
    <row r="865" customFormat="1"/>
    <row r="866" customFormat="1"/>
    <row r="867" customFormat="1"/>
    <row r="868" customFormat="1"/>
    <row r="869" customFormat="1"/>
    <row r="870" customFormat="1"/>
    <row r="871" customFormat="1"/>
    <row r="872" customFormat="1"/>
    <row r="873" customFormat="1"/>
    <row r="874" customFormat="1"/>
    <row r="875" customFormat="1"/>
    <row r="876" customFormat="1"/>
    <row r="877" customFormat="1"/>
    <row r="878" customFormat="1"/>
    <row r="879" customFormat="1"/>
    <row r="880" customFormat="1"/>
    <row r="881" customFormat="1"/>
    <row r="882" customFormat="1"/>
    <row r="883" customFormat="1"/>
    <row r="884" customFormat="1"/>
    <row r="885" customFormat="1"/>
    <row r="886" customFormat="1"/>
    <row r="887" customFormat="1"/>
    <row r="888" customFormat="1"/>
    <row r="889" customFormat="1"/>
    <row r="890" customFormat="1"/>
    <row r="891" customFormat="1"/>
    <row r="892" customFormat="1"/>
    <row r="893" customFormat="1"/>
    <row r="894" customFormat="1"/>
    <row r="895" customFormat="1"/>
    <row r="896" customFormat="1"/>
    <row r="897" customFormat="1"/>
    <row r="898" customFormat="1"/>
    <row r="899" customFormat="1"/>
    <row r="900" customFormat="1"/>
    <row r="901" customFormat="1"/>
    <row r="902" customFormat="1"/>
    <row r="903" customFormat="1"/>
    <row r="904" customFormat="1"/>
    <row r="905" customFormat="1"/>
    <row r="906" customFormat="1"/>
    <row r="907" customFormat="1"/>
    <row r="908" customFormat="1"/>
    <row r="909" customFormat="1"/>
    <row r="910" customFormat="1"/>
    <row r="911" customFormat="1"/>
    <row r="912" customFormat="1"/>
    <row r="913" customFormat="1"/>
    <row r="914" customFormat="1"/>
    <row r="915" customFormat="1"/>
    <row r="916" customFormat="1"/>
    <row r="917" customFormat="1"/>
    <row r="918" customFormat="1"/>
    <row r="919" customFormat="1"/>
    <row r="920" customFormat="1"/>
    <row r="921" customFormat="1"/>
    <row r="922" customFormat="1"/>
    <row r="923" customFormat="1"/>
    <row r="924" customFormat="1"/>
    <row r="925" customFormat="1"/>
    <row r="926" customFormat="1"/>
    <row r="927" customFormat="1"/>
    <row r="928" customFormat="1"/>
    <row r="929" customFormat="1"/>
    <row r="930" customFormat="1"/>
    <row r="931" customFormat="1"/>
    <row r="932" customFormat="1"/>
    <row r="933" customFormat="1"/>
    <row r="934" customFormat="1"/>
    <row r="935" customFormat="1"/>
    <row r="936" customFormat="1"/>
    <row r="937" customFormat="1"/>
    <row r="938" customFormat="1"/>
    <row r="939" customFormat="1"/>
    <row r="940" customFormat="1"/>
    <row r="941" customFormat="1"/>
    <row r="942" customFormat="1"/>
    <row r="943" customFormat="1"/>
    <row r="944" customFormat="1"/>
    <row r="945" customFormat="1"/>
    <row r="946" customFormat="1"/>
    <row r="947" customFormat="1"/>
    <row r="948" customFormat="1"/>
    <row r="949" customFormat="1"/>
    <row r="950" customFormat="1"/>
    <row r="951" customFormat="1"/>
    <row r="952" customFormat="1"/>
    <row r="953" customFormat="1"/>
    <row r="954" customFormat="1"/>
    <row r="955" customFormat="1"/>
    <row r="956" customFormat="1"/>
    <row r="957" customFormat="1"/>
    <row r="958" customFormat="1"/>
    <row r="959" customFormat="1"/>
    <row r="960" customFormat="1"/>
    <row r="961" customFormat="1"/>
    <row r="962" customFormat="1"/>
    <row r="963" customFormat="1"/>
    <row r="964" customFormat="1"/>
    <row r="965" customFormat="1"/>
    <row r="966" customFormat="1"/>
    <row r="967" customFormat="1"/>
    <row r="968" customFormat="1"/>
    <row r="969" customFormat="1"/>
    <row r="970" customFormat="1"/>
    <row r="971" customFormat="1"/>
    <row r="972" customFormat="1"/>
    <row r="973" customFormat="1"/>
    <row r="974" customFormat="1"/>
    <row r="975" customFormat="1"/>
    <row r="976" customFormat="1"/>
    <row r="977" customFormat="1"/>
    <row r="978" customFormat="1"/>
    <row r="979" customFormat="1"/>
    <row r="980" customFormat="1"/>
    <row r="981" customFormat="1"/>
    <row r="982" customFormat="1"/>
    <row r="983" customFormat="1"/>
    <row r="984" customFormat="1"/>
    <row r="985" customFormat="1"/>
    <row r="986" customFormat="1"/>
    <row r="987" customFormat="1"/>
    <row r="988" customFormat="1"/>
    <row r="989" customFormat="1"/>
    <row r="990" customFormat="1"/>
    <row r="991" customFormat="1"/>
    <row r="992" customFormat="1"/>
    <row r="993" customFormat="1"/>
    <row r="994" customFormat="1"/>
    <row r="995" customFormat="1"/>
    <row r="996" customFormat="1"/>
    <row r="997" customFormat="1"/>
    <row r="998" customFormat="1"/>
    <row r="999" customFormat="1"/>
    <row r="1000" customFormat="1"/>
    <row r="1001" customFormat="1"/>
    <row r="1002" customFormat="1"/>
    <row r="1003" customFormat="1"/>
    <row r="1004" customFormat="1"/>
    <row r="1005" customFormat="1"/>
    <row r="1006" customFormat="1"/>
    <row r="1007" customFormat="1"/>
    <row r="1008" customFormat="1"/>
    <row r="1009" customFormat="1"/>
    <row r="1010" customFormat="1"/>
    <row r="1011" customFormat="1"/>
    <row r="1012" customFormat="1"/>
    <row r="1013" customFormat="1"/>
    <row r="1014" customFormat="1"/>
    <row r="1015" customFormat="1"/>
    <row r="1016" customFormat="1"/>
    <row r="1017" customFormat="1"/>
    <row r="1018" customFormat="1"/>
    <row r="1019" customFormat="1"/>
    <row r="1020" customFormat="1"/>
    <row r="1021" customFormat="1"/>
    <row r="1022" customFormat="1"/>
    <row r="1023" customFormat="1"/>
    <row r="1024" customFormat="1"/>
    <row r="1025" customFormat="1"/>
    <row r="1026" customFormat="1"/>
    <row r="1027" customFormat="1"/>
    <row r="1028" customFormat="1"/>
    <row r="1029" customFormat="1"/>
    <row r="1030" customFormat="1"/>
    <row r="1031" customFormat="1"/>
    <row r="1032" customFormat="1"/>
    <row r="1033" customFormat="1"/>
    <row r="1034" customFormat="1"/>
    <row r="1035" customFormat="1"/>
    <row r="1036" customFormat="1"/>
    <row r="1037" customFormat="1"/>
    <row r="1038" customFormat="1"/>
    <row r="1039" customFormat="1"/>
    <row r="1040" customFormat="1"/>
    <row r="1041" customFormat="1"/>
    <row r="1042" customFormat="1"/>
    <row r="1043" customFormat="1"/>
    <row r="1044" customFormat="1"/>
    <row r="1045" customFormat="1"/>
    <row r="1046" customFormat="1"/>
    <row r="1047" customFormat="1"/>
    <row r="1048" customFormat="1"/>
    <row r="1049" customFormat="1"/>
    <row r="1050" customFormat="1"/>
    <row r="1051" customFormat="1"/>
    <row r="1052" customFormat="1"/>
    <row r="1053" customFormat="1"/>
    <row r="1054" customFormat="1"/>
    <row r="1055" customFormat="1"/>
    <row r="1056" customFormat="1"/>
    <row r="1057" customFormat="1"/>
    <row r="1058" customFormat="1"/>
    <row r="1059" customFormat="1"/>
    <row r="1060" customFormat="1"/>
    <row r="1061" customFormat="1"/>
    <row r="1062" customFormat="1"/>
    <row r="1063" customFormat="1"/>
    <row r="1064" customFormat="1"/>
    <row r="1065" customFormat="1"/>
    <row r="1066" customFormat="1"/>
    <row r="1067" customFormat="1"/>
    <row r="1068" customFormat="1"/>
    <row r="1069" customFormat="1"/>
    <row r="1070" customFormat="1"/>
    <row r="1071" customFormat="1"/>
    <row r="1072" customFormat="1"/>
    <row r="1073" customFormat="1"/>
    <row r="1074" customFormat="1"/>
    <row r="1075" customFormat="1"/>
    <row r="1076" customFormat="1"/>
    <row r="1077" customFormat="1"/>
    <row r="1078" customFormat="1"/>
    <row r="1079" customFormat="1"/>
    <row r="1080" customFormat="1"/>
    <row r="1081" customFormat="1"/>
    <row r="1082" customFormat="1"/>
    <row r="1083" customFormat="1"/>
    <row r="1084" customFormat="1"/>
    <row r="1085" customFormat="1"/>
    <row r="1086" customFormat="1"/>
    <row r="1087" customFormat="1"/>
    <row r="1088" customFormat="1"/>
    <row r="1089" customFormat="1"/>
    <row r="1090" customFormat="1"/>
    <row r="1091" customFormat="1"/>
    <row r="1092" customFormat="1"/>
    <row r="1093" customFormat="1"/>
    <row r="1094" customFormat="1"/>
    <row r="1095" customFormat="1"/>
    <row r="1096" customFormat="1"/>
    <row r="1097" customFormat="1"/>
    <row r="1098" customFormat="1"/>
    <row r="1099" customFormat="1"/>
    <row r="1100" customFormat="1"/>
    <row r="1101" customFormat="1"/>
    <row r="1102" customFormat="1"/>
    <row r="1103" customFormat="1"/>
    <row r="1104" customFormat="1"/>
    <row r="1105" customFormat="1"/>
    <row r="1106" customFormat="1"/>
    <row r="1107" customFormat="1"/>
    <row r="1108" customFormat="1"/>
    <row r="1109" customFormat="1"/>
    <row r="1110" customFormat="1"/>
    <row r="1111" customFormat="1"/>
    <row r="1112" customFormat="1"/>
    <row r="1113" customFormat="1"/>
    <row r="1114" customFormat="1"/>
    <row r="1115" customFormat="1"/>
    <row r="1116" customFormat="1"/>
    <row r="1117" customFormat="1"/>
    <row r="1118" customFormat="1"/>
    <row r="1119" customFormat="1"/>
    <row r="1120" customFormat="1"/>
    <row r="1121" customFormat="1"/>
    <row r="1122" customFormat="1"/>
    <row r="1123" customFormat="1"/>
    <row r="1124" customFormat="1"/>
    <row r="1125" customFormat="1"/>
    <row r="1126" customFormat="1"/>
    <row r="1127" customFormat="1"/>
    <row r="1128" customFormat="1"/>
    <row r="1129" customFormat="1"/>
    <row r="1130" customFormat="1"/>
    <row r="1131" customFormat="1"/>
    <row r="1132" customFormat="1"/>
    <row r="1133" customFormat="1"/>
    <row r="1134" customFormat="1"/>
    <row r="1135" customFormat="1"/>
    <row r="1136" customFormat="1"/>
    <row r="1137" customFormat="1"/>
    <row r="1138" customFormat="1"/>
    <row r="1139" customFormat="1"/>
    <row r="1140" customFormat="1"/>
    <row r="1141" customFormat="1"/>
    <row r="1142" customFormat="1"/>
    <row r="1143" customFormat="1"/>
    <row r="1144" customFormat="1"/>
    <row r="1145" customFormat="1"/>
    <row r="1146" customFormat="1"/>
    <row r="1147" customFormat="1"/>
    <row r="1148" customFormat="1"/>
    <row r="1149" customFormat="1"/>
    <row r="1150" customFormat="1"/>
    <row r="1151" customFormat="1"/>
    <row r="1152" customFormat="1"/>
    <row r="1153" customFormat="1"/>
    <row r="1154" customFormat="1"/>
    <row r="1155" customFormat="1"/>
    <row r="1156" customFormat="1"/>
    <row r="1157" customFormat="1"/>
    <row r="1158" customFormat="1"/>
    <row r="1159" customFormat="1"/>
    <row r="1160" customFormat="1"/>
    <row r="1161" customFormat="1"/>
    <row r="1162" customFormat="1"/>
    <row r="1163" customFormat="1"/>
    <row r="1164" customFormat="1"/>
    <row r="1165" customFormat="1"/>
    <row r="1166" customFormat="1"/>
    <row r="1167" customFormat="1"/>
    <row r="1168" customFormat="1"/>
    <row r="1169" customFormat="1"/>
    <row r="1170" customFormat="1"/>
    <row r="1171" customFormat="1"/>
    <row r="1172" customFormat="1"/>
    <row r="1173" customFormat="1"/>
    <row r="1174" customFormat="1"/>
    <row r="1175" customFormat="1"/>
    <row r="1176" customFormat="1"/>
    <row r="1177" customFormat="1"/>
    <row r="1178" customFormat="1"/>
    <row r="1179" customFormat="1"/>
    <row r="1180" customFormat="1"/>
    <row r="1181" customFormat="1"/>
    <row r="1182" customFormat="1"/>
    <row r="1183" customFormat="1"/>
    <row r="1184" customFormat="1"/>
    <row r="1185" customFormat="1"/>
    <row r="1186" customFormat="1"/>
    <row r="1187" customFormat="1"/>
    <row r="1188" customFormat="1"/>
    <row r="1189" customFormat="1"/>
    <row r="1190" customFormat="1"/>
    <row r="1191" customFormat="1"/>
    <row r="1192" customFormat="1"/>
    <row r="1193" customFormat="1"/>
    <row r="1194" customFormat="1"/>
    <row r="1195" customFormat="1"/>
    <row r="1196" customFormat="1"/>
    <row r="1197" customFormat="1"/>
    <row r="1198" customFormat="1"/>
    <row r="1199" customFormat="1"/>
    <row r="1200" customFormat="1"/>
    <row r="1201" customFormat="1"/>
    <row r="1202" customFormat="1"/>
    <row r="1203" customFormat="1"/>
    <row r="1204" customFormat="1"/>
    <row r="1205" customFormat="1"/>
    <row r="1206" customFormat="1"/>
    <row r="1207" customFormat="1"/>
    <row r="1208" customFormat="1"/>
    <row r="1209" customFormat="1"/>
    <row r="1210" customFormat="1"/>
    <row r="1211" customFormat="1"/>
    <row r="1212" customFormat="1"/>
    <row r="1213" customFormat="1"/>
    <row r="1214" customFormat="1"/>
    <row r="1215" customFormat="1"/>
    <row r="1216" customFormat="1"/>
    <row r="1217" customFormat="1"/>
    <row r="1218" customFormat="1"/>
    <row r="1219" customFormat="1"/>
    <row r="1220" customFormat="1"/>
    <row r="1221" customFormat="1"/>
    <row r="1222" customFormat="1"/>
    <row r="1223" customFormat="1"/>
    <row r="1224" customFormat="1"/>
    <row r="1225" customFormat="1"/>
    <row r="1226" customFormat="1"/>
    <row r="1227" customFormat="1"/>
    <row r="1228" customFormat="1"/>
    <row r="1229" customFormat="1"/>
    <row r="1230" customFormat="1"/>
    <row r="1231" customFormat="1"/>
    <row r="1232" customFormat="1"/>
    <row r="1233" customFormat="1"/>
    <row r="1234" customFormat="1"/>
    <row r="1235" customFormat="1"/>
    <row r="1236" customFormat="1"/>
    <row r="1237" customFormat="1"/>
    <row r="1238" customFormat="1"/>
    <row r="1239" customFormat="1"/>
    <row r="1240" customFormat="1"/>
    <row r="1241" customFormat="1"/>
    <row r="1242" customFormat="1"/>
    <row r="1243" customFormat="1"/>
    <row r="1244" customFormat="1"/>
    <row r="1245" customFormat="1"/>
    <row r="1246" customFormat="1"/>
    <row r="1247" customFormat="1"/>
    <row r="1248" customFormat="1"/>
    <row r="1249" customFormat="1"/>
    <row r="1250" customFormat="1"/>
    <row r="1251" customFormat="1"/>
    <row r="1252" customFormat="1"/>
    <row r="1253" customFormat="1"/>
    <row r="1254" customFormat="1"/>
    <row r="1255" customFormat="1"/>
    <row r="1256" customFormat="1"/>
    <row r="1257" customFormat="1"/>
    <row r="1258" customFormat="1"/>
    <row r="1259" customFormat="1"/>
    <row r="1260" customFormat="1"/>
    <row r="1261" customFormat="1"/>
    <row r="1262" customFormat="1"/>
    <row r="1263" customFormat="1"/>
    <row r="1264" customFormat="1"/>
    <row r="1265" customFormat="1"/>
    <row r="1266" customFormat="1"/>
    <row r="1267" customFormat="1"/>
    <row r="1268" customFormat="1"/>
    <row r="1269" customFormat="1"/>
    <row r="1270" customFormat="1"/>
    <row r="1271" customFormat="1"/>
    <row r="1272" customFormat="1"/>
    <row r="1273" customFormat="1"/>
    <row r="1274" customFormat="1"/>
    <row r="1275" customFormat="1"/>
    <row r="1276" customFormat="1"/>
    <row r="1277" customFormat="1"/>
    <row r="1278" customFormat="1"/>
    <row r="1279" customFormat="1"/>
    <row r="1280" customFormat="1"/>
    <row r="1281" customFormat="1"/>
    <row r="1282" customFormat="1"/>
    <row r="1283" customFormat="1"/>
    <row r="1284" customFormat="1"/>
    <row r="1285" customFormat="1"/>
    <row r="1286" customFormat="1"/>
    <row r="1287" customFormat="1"/>
    <row r="1288" customFormat="1"/>
    <row r="1289" customFormat="1"/>
    <row r="1290" customFormat="1"/>
    <row r="1291" customFormat="1"/>
    <row r="1292" customFormat="1"/>
    <row r="1293" customFormat="1"/>
    <row r="1294" customFormat="1"/>
    <row r="1295" customFormat="1"/>
    <row r="1296" customFormat="1"/>
    <row r="1297" customFormat="1"/>
    <row r="1298" customFormat="1"/>
    <row r="1299" customFormat="1"/>
    <row r="1300" customFormat="1"/>
    <row r="1301" customFormat="1"/>
    <row r="1302" customFormat="1"/>
    <row r="1303" customFormat="1"/>
    <row r="1304" customFormat="1"/>
    <row r="1305" customFormat="1"/>
    <row r="1306" customFormat="1"/>
    <row r="1307" customFormat="1"/>
    <row r="1308" customFormat="1"/>
    <row r="1309" customFormat="1"/>
    <row r="1310" customFormat="1"/>
    <row r="1311" customFormat="1"/>
    <row r="1312" customFormat="1"/>
    <row r="1313" customFormat="1"/>
    <row r="1314" customFormat="1"/>
    <row r="1315" customFormat="1"/>
    <row r="1316" customFormat="1"/>
    <row r="1317" customFormat="1"/>
    <row r="1318" customFormat="1"/>
    <row r="1319" customFormat="1"/>
    <row r="1320" customFormat="1"/>
    <row r="1321" customFormat="1"/>
    <row r="1322" customFormat="1"/>
    <row r="1323" customFormat="1"/>
    <row r="1324" customFormat="1"/>
    <row r="1325" customFormat="1"/>
    <row r="1326" customFormat="1"/>
    <row r="1327" customFormat="1"/>
    <row r="1328" customFormat="1"/>
    <row r="1329" customFormat="1"/>
    <row r="1330" customFormat="1"/>
    <row r="1331" customFormat="1"/>
    <row r="1332" customFormat="1"/>
    <row r="1333" customFormat="1"/>
    <row r="1334" customFormat="1"/>
    <row r="1335" customFormat="1"/>
    <row r="1336" customFormat="1"/>
    <row r="1337" customFormat="1"/>
    <row r="1338" customFormat="1"/>
    <row r="1339" customFormat="1"/>
    <row r="1340" customFormat="1"/>
    <row r="1341" customFormat="1"/>
    <row r="1342" customFormat="1"/>
    <row r="1343" customFormat="1"/>
    <row r="1344" customFormat="1"/>
    <row r="1345" customFormat="1"/>
    <row r="1346" customFormat="1"/>
    <row r="1347" customFormat="1"/>
    <row r="1348" customFormat="1"/>
    <row r="1349" customFormat="1"/>
    <row r="1350" customFormat="1"/>
    <row r="1351" customFormat="1"/>
    <row r="1352" customFormat="1"/>
    <row r="1353" customFormat="1"/>
    <row r="1354" customFormat="1"/>
    <row r="1355" customFormat="1"/>
    <row r="1356" customFormat="1"/>
    <row r="1357" customFormat="1"/>
    <row r="1358" customFormat="1"/>
    <row r="1359" customFormat="1"/>
    <row r="1360" customFormat="1"/>
    <row r="1361" customFormat="1"/>
    <row r="1362" customFormat="1"/>
    <row r="1363" customFormat="1"/>
    <row r="1364" customFormat="1"/>
    <row r="1365" customFormat="1"/>
    <row r="1366" customFormat="1"/>
    <row r="1367" customFormat="1"/>
    <row r="1368" customFormat="1"/>
    <row r="1369" customFormat="1"/>
    <row r="1370" customFormat="1"/>
    <row r="1371" customFormat="1"/>
    <row r="1372" customFormat="1"/>
    <row r="1373" customFormat="1"/>
    <row r="1374" customFormat="1"/>
    <row r="1375" customFormat="1"/>
    <row r="1376" customFormat="1"/>
    <row r="1377" customFormat="1"/>
    <row r="1378" customFormat="1"/>
    <row r="1379" customFormat="1"/>
    <row r="1380" customFormat="1"/>
    <row r="1381" customFormat="1"/>
    <row r="1382" customFormat="1"/>
    <row r="1383" customFormat="1"/>
    <row r="1384" customFormat="1"/>
    <row r="1385" customFormat="1"/>
    <row r="1386" customFormat="1"/>
    <row r="1387" customFormat="1"/>
    <row r="1388" customFormat="1"/>
    <row r="1389" customFormat="1"/>
    <row r="1390" customFormat="1"/>
    <row r="1391" customFormat="1"/>
    <row r="1392" customFormat="1"/>
    <row r="1393" customFormat="1"/>
    <row r="1394" customFormat="1"/>
    <row r="1395" customFormat="1"/>
    <row r="1396" customFormat="1"/>
    <row r="1397" customFormat="1"/>
    <row r="1398" customFormat="1"/>
    <row r="1399" customFormat="1"/>
    <row r="1400" customFormat="1"/>
    <row r="1401" customFormat="1"/>
    <row r="1402" customFormat="1"/>
    <row r="1403" customFormat="1"/>
    <row r="1404" customFormat="1"/>
    <row r="1405" customFormat="1"/>
    <row r="1406" customFormat="1"/>
    <row r="1407" customFormat="1"/>
    <row r="1408" customFormat="1"/>
    <row r="1409" customFormat="1"/>
    <row r="1410" customFormat="1"/>
    <row r="1411" customFormat="1"/>
    <row r="1412" customFormat="1"/>
    <row r="1413" customFormat="1"/>
    <row r="1414" customFormat="1"/>
    <row r="1415" customFormat="1"/>
    <row r="1416" customFormat="1"/>
    <row r="1417" customFormat="1"/>
    <row r="1418" customFormat="1"/>
    <row r="1419" customFormat="1"/>
    <row r="1420" customFormat="1"/>
    <row r="1421" customFormat="1"/>
    <row r="1422" customFormat="1"/>
    <row r="1423" customFormat="1"/>
    <row r="1424" customFormat="1"/>
    <row r="1425" customFormat="1"/>
    <row r="1426" customFormat="1"/>
    <row r="1427" customFormat="1"/>
    <row r="1428" customFormat="1"/>
    <row r="1429" customFormat="1"/>
    <row r="1430" customFormat="1"/>
    <row r="1431" customFormat="1"/>
    <row r="1432" customFormat="1"/>
    <row r="1433" customFormat="1"/>
    <row r="1434" customFormat="1"/>
    <row r="1435" customFormat="1"/>
    <row r="1436" customFormat="1"/>
    <row r="1437" customFormat="1"/>
    <row r="1438" customFormat="1"/>
    <row r="1439" customFormat="1"/>
    <row r="1440" customFormat="1"/>
    <row r="1441" customFormat="1"/>
    <row r="1442" customFormat="1"/>
    <row r="1443" customFormat="1"/>
    <row r="1444" customFormat="1"/>
    <row r="1445" customFormat="1"/>
    <row r="1446" customFormat="1"/>
    <row r="1447" customFormat="1"/>
    <row r="1448" customFormat="1"/>
    <row r="1449" customFormat="1"/>
    <row r="1450" customFormat="1"/>
    <row r="1451" customFormat="1"/>
    <row r="1452" customFormat="1"/>
    <row r="1453" customFormat="1"/>
    <row r="1454" customFormat="1"/>
    <row r="1455" customFormat="1"/>
    <row r="1456" customFormat="1"/>
    <row r="1457" customFormat="1"/>
    <row r="1458" customFormat="1"/>
    <row r="1459" customFormat="1"/>
    <row r="1460" customFormat="1"/>
    <row r="1461" customFormat="1"/>
    <row r="1462" customFormat="1"/>
    <row r="1463" customFormat="1"/>
    <row r="1464" customFormat="1"/>
    <row r="1465" customFormat="1"/>
    <row r="1466" customFormat="1"/>
    <row r="1467" customFormat="1"/>
    <row r="1468" customFormat="1"/>
    <row r="1469" customFormat="1"/>
    <row r="1470" customFormat="1"/>
    <row r="1471" customFormat="1"/>
    <row r="1472" customFormat="1"/>
    <row r="1473" customFormat="1"/>
    <row r="1474" customFormat="1"/>
    <row r="1475" customFormat="1"/>
    <row r="1476" customFormat="1"/>
    <row r="1477" customFormat="1"/>
    <row r="1478" customFormat="1"/>
    <row r="1479" customFormat="1"/>
    <row r="1480" customFormat="1"/>
    <row r="1481" customFormat="1"/>
    <row r="1482" customFormat="1"/>
    <row r="1483" customFormat="1"/>
    <row r="1484" customFormat="1"/>
    <row r="1485" customFormat="1"/>
    <row r="1486" customFormat="1"/>
    <row r="1487" customFormat="1"/>
    <row r="1488" customFormat="1"/>
    <row r="1489" customFormat="1"/>
    <row r="1490" customFormat="1"/>
    <row r="1491" customFormat="1"/>
    <row r="1492" customFormat="1"/>
    <row r="1493" customFormat="1"/>
    <row r="1494" customFormat="1"/>
    <row r="1495" customFormat="1"/>
    <row r="1496" customFormat="1"/>
    <row r="1497" customFormat="1"/>
    <row r="1498" customFormat="1"/>
    <row r="1499" customFormat="1"/>
    <row r="1500" customFormat="1"/>
    <row r="1501" customFormat="1"/>
    <row r="1502" customFormat="1"/>
    <row r="1503" customFormat="1"/>
    <row r="1504" customFormat="1"/>
    <row r="1505" customFormat="1"/>
    <row r="1506" customFormat="1"/>
    <row r="1507" customFormat="1"/>
    <row r="1508" customFormat="1"/>
    <row r="1509" customFormat="1"/>
    <row r="1510" customFormat="1"/>
    <row r="1511" customFormat="1"/>
    <row r="1512" customFormat="1"/>
    <row r="1513" customFormat="1"/>
    <row r="1514" customFormat="1"/>
    <row r="1515" customFormat="1"/>
    <row r="1516" customFormat="1"/>
    <row r="1517" customFormat="1"/>
    <row r="1518" customFormat="1"/>
    <row r="1519" customFormat="1"/>
    <row r="1520" customFormat="1"/>
    <row r="1521" customFormat="1"/>
    <row r="1522" customFormat="1"/>
    <row r="1523" customFormat="1"/>
    <row r="1524" customFormat="1"/>
    <row r="1525" customFormat="1"/>
    <row r="1526" customFormat="1"/>
    <row r="1527" customFormat="1"/>
    <row r="1528" customFormat="1"/>
    <row r="1529" customFormat="1"/>
    <row r="1530" customFormat="1"/>
    <row r="1531" customFormat="1"/>
    <row r="1532" customFormat="1"/>
    <row r="1533" customFormat="1"/>
    <row r="1534" customFormat="1"/>
    <row r="1535" customFormat="1"/>
    <row r="1536" customFormat="1"/>
    <row r="1537" customFormat="1"/>
    <row r="1538" customFormat="1"/>
    <row r="1539" customFormat="1"/>
    <row r="1540" customFormat="1"/>
    <row r="1541" customFormat="1"/>
    <row r="1542" customFormat="1"/>
    <row r="1543" customFormat="1"/>
    <row r="1544" customFormat="1"/>
    <row r="1545" customFormat="1"/>
    <row r="1546" customFormat="1"/>
    <row r="1547" customFormat="1"/>
    <row r="1548" customFormat="1"/>
    <row r="1549" customFormat="1"/>
    <row r="1550" customFormat="1"/>
    <row r="1551" customFormat="1"/>
    <row r="1552" customFormat="1"/>
    <row r="1553" customFormat="1"/>
    <row r="1554" customFormat="1"/>
    <row r="1555" customFormat="1"/>
    <row r="1556" customFormat="1"/>
    <row r="1557" customFormat="1"/>
    <row r="1558" customFormat="1"/>
    <row r="1559" customFormat="1"/>
    <row r="1560" customFormat="1"/>
    <row r="1561" customFormat="1"/>
    <row r="1562" customFormat="1"/>
    <row r="1563" customFormat="1"/>
    <row r="1564" customFormat="1"/>
    <row r="1565" customFormat="1"/>
    <row r="1566" customFormat="1"/>
    <row r="1567" customFormat="1"/>
    <row r="1568" customFormat="1"/>
    <row r="1569" customFormat="1"/>
    <row r="1570" customFormat="1"/>
    <row r="1571" customFormat="1"/>
    <row r="1572" customFormat="1"/>
    <row r="1573" customFormat="1"/>
    <row r="1574" customFormat="1"/>
    <row r="1575" customFormat="1"/>
    <row r="1576" customFormat="1"/>
    <row r="1577" customFormat="1"/>
    <row r="1578" customFormat="1"/>
    <row r="1579" customFormat="1"/>
    <row r="1580" customFormat="1"/>
    <row r="1581" customFormat="1"/>
    <row r="1582" customFormat="1"/>
    <row r="1583" customFormat="1"/>
    <row r="1584" customFormat="1"/>
    <row r="1585" customFormat="1"/>
    <row r="1586" customFormat="1"/>
    <row r="1587" customFormat="1"/>
    <row r="1588" customFormat="1"/>
    <row r="1589" customFormat="1"/>
    <row r="1590" customFormat="1"/>
    <row r="1591" customFormat="1"/>
    <row r="1592" customFormat="1"/>
    <row r="1593" customFormat="1"/>
    <row r="1594" customFormat="1"/>
    <row r="1595" customFormat="1"/>
    <row r="1596" customFormat="1"/>
    <row r="1597" customFormat="1"/>
    <row r="1598" customFormat="1"/>
    <row r="1599" customFormat="1"/>
    <row r="1600" customFormat="1"/>
    <row r="1601" customFormat="1"/>
    <row r="1602" customFormat="1"/>
    <row r="1603" customFormat="1"/>
    <row r="1604" customFormat="1"/>
    <row r="1605" customFormat="1"/>
    <row r="1606" customFormat="1"/>
    <row r="1607" customFormat="1"/>
    <row r="1608" customFormat="1"/>
    <row r="1609" customFormat="1"/>
    <row r="1610" customFormat="1"/>
    <row r="1611" customFormat="1"/>
    <row r="1612" customFormat="1"/>
    <row r="1613" customFormat="1"/>
    <row r="1614" customFormat="1"/>
    <row r="1615" customFormat="1"/>
    <row r="1616" customFormat="1"/>
    <row r="1617" customFormat="1"/>
    <row r="1618" customFormat="1"/>
    <row r="1619" customFormat="1"/>
    <row r="1620" customFormat="1"/>
    <row r="1621" customFormat="1"/>
    <row r="1622" customFormat="1"/>
    <row r="1623" customFormat="1"/>
    <row r="1624" customFormat="1"/>
    <row r="1625" customFormat="1"/>
    <row r="1626" customFormat="1"/>
    <row r="1627" customFormat="1"/>
    <row r="1628" customFormat="1"/>
    <row r="1629" customFormat="1"/>
    <row r="1630" customFormat="1"/>
    <row r="1631" customFormat="1"/>
    <row r="1632" customFormat="1"/>
    <row r="1633" customFormat="1"/>
    <row r="1634" customFormat="1"/>
    <row r="1635" customFormat="1"/>
    <row r="1636" customFormat="1"/>
    <row r="1637" customFormat="1"/>
    <row r="1638" customFormat="1"/>
    <row r="1639" customFormat="1"/>
    <row r="1640" customFormat="1"/>
    <row r="1641" customFormat="1"/>
    <row r="1642" customFormat="1"/>
    <row r="1643" customFormat="1"/>
    <row r="1644" customFormat="1"/>
    <row r="1645" customFormat="1"/>
    <row r="1646" customFormat="1"/>
    <row r="1647" customFormat="1"/>
    <row r="1648" customFormat="1"/>
    <row r="1649" customFormat="1"/>
    <row r="1650" customFormat="1"/>
    <row r="1651" customFormat="1"/>
    <row r="1652" customFormat="1"/>
    <row r="1653" customFormat="1"/>
    <row r="1654" customFormat="1"/>
    <row r="1655" customFormat="1"/>
    <row r="1656" customFormat="1"/>
    <row r="1657" customFormat="1"/>
    <row r="1658" customFormat="1"/>
    <row r="1659" customFormat="1"/>
    <row r="1660" customFormat="1"/>
    <row r="1661" customFormat="1"/>
    <row r="1662" customFormat="1"/>
    <row r="1663" customFormat="1"/>
    <row r="1664" customFormat="1"/>
    <row r="1665" customFormat="1"/>
    <row r="1666" customFormat="1"/>
    <row r="1667" customFormat="1"/>
    <row r="1668" customFormat="1"/>
    <row r="1669" customFormat="1"/>
    <row r="1670" customFormat="1"/>
    <row r="1671" customFormat="1"/>
    <row r="1672" customFormat="1"/>
    <row r="1673" customFormat="1"/>
    <row r="1674" customFormat="1"/>
    <row r="1675" customFormat="1"/>
    <row r="1676" customFormat="1"/>
    <row r="1677" customFormat="1"/>
    <row r="1678" customFormat="1"/>
    <row r="1679" customFormat="1"/>
    <row r="1680" customFormat="1"/>
    <row r="1681" customFormat="1"/>
    <row r="1682" customFormat="1"/>
    <row r="1683" customFormat="1"/>
    <row r="1684" customFormat="1"/>
    <row r="1685" customFormat="1"/>
    <row r="1686" customFormat="1"/>
    <row r="1687" customFormat="1"/>
    <row r="1688" customFormat="1"/>
    <row r="1689" customFormat="1"/>
    <row r="1690" customFormat="1"/>
    <row r="1691" customFormat="1"/>
    <row r="1692" customFormat="1"/>
    <row r="1693" customFormat="1"/>
    <row r="1694" customFormat="1"/>
    <row r="1695" customFormat="1"/>
    <row r="1696" customFormat="1"/>
    <row r="1697" customFormat="1"/>
    <row r="1698" customFormat="1"/>
    <row r="1699" customFormat="1"/>
    <row r="1700" customFormat="1"/>
    <row r="1701" customFormat="1"/>
    <row r="1702" customFormat="1"/>
    <row r="1703" customFormat="1"/>
    <row r="1704" customFormat="1"/>
    <row r="1705" customFormat="1"/>
    <row r="1706" customFormat="1"/>
    <row r="1707" customFormat="1"/>
    <row r="1708" customFormat="1"/>
    <row r="1709" customFormat="1"/>
    <row r="1710" customFormat="1"/>
    <row r="1711" customFormat="1"/>
    <row r="1712" customFormat="1"/>
    <row r="1713" customFormat="1"/>
    <row r="1714" customFormat="1"/>
    <row r="1715" customFormat="1"/>
    <row r="1716" customFormat="1"/>
    <row r="1717" customFormat="1"/>
    <row r="1718" customFormat="1"/>
    <row r="1719" customFormat="1"/>
    <row r="1720" customFormat="1"/>
    <row r="1721" customFormat="1"/>
    <row r="1722" customFormat="1"/>
    <row r="1723" customFormat="1"/>
    <row r="1724" customFormat="1"/>
    <row r="1725" customFormat="1"/>
    <row r="1726" customFormat="1"/>
    <row r="1727" customFormat="1"/>
    <row r="1728" customFormat="1"/>
    <row r="1729" customFormat="1"/>
    <row r="1730" customFormat="1"/>
    <row r="1731" customFormat="1"/>
    <row r="1732" customFormat="1"/>
    <row r="1733" customFormat="1"/>
    <row r="1734" customFormat="1"/>
    <row r="1735" customFormat="1"/>
    <row r="1736" customFormat="1"/>
    <row r="1737" customFormat="1"/>
    <row r="1738" customFormat="1"/>
    <row r="1739" customFormat="1"/>
    <row r="1740" customFormat="1"/>
    <row r="1741" customFormat="1"/>
    <row r="1742" customFormat="1"/>
    <row r="1743" customFormat="1"/>
    <row r="1744" customFormat="1"/>
    <row r="1745" customFormat="1"/>
    <row r="1746" customFormat="1"/>
    <row r="1747" customFormat="1"/>
    <row r="1748" customFormat="1"/>
    <row r="1749" customFormat="1"/>
    <row r="1750" customFormat="1"/>
    <row r="1751" customFormat="1"/>
    <row r="1752" customFormat="1"/>
    <row r="1753" customFormat="1"/>
    <row r="1754" customFormat="1"/>
    <row r="1755" customFormat="1"/>
    <row r="1756" customFormat="1"/>
    <row r="1757" customFormat="1"/>
    <row r="1758" customFormat="1"/>
    <row r="1759" customFormat="1"/>
    <row r="1760" customFormat="1"/>
    <row r="1761" customFormat="1"/>
    <row r="1762" customFormat="1"/>
    <row r="1763" customFormat="1"/>
    <row r="1764" customFormat="1"/>
    <row r="1765" customFormat="1"/>
    <row r="1766" customFormat="1"/>
    <row r="1767" customFormat="1"/>
    <row r="1768" customFormat="1"/>
    <row r="1769" customFormat="1"/>
    <row r="1770" customFormat="1"/>
    <row r="1771" customFormat="1"/>
    <row r="1772" customFormat="1"/>
    <row r="1773" customFormat="1"/>
    <row r="1774" customFormat="1"/>
    <row r="1775" customFormat="1"/>
    <row r="1776" customFormat="1"/>
    <row r="1777" customFormat="1"/>
    <row r="1778" customFormat="1"/>
    <row r="1779" customFormat="1"/>
    <row r="1780" customFormat="1"/>
    <row r="1781" customFormat="1"/>
    <row r="1782" customFormat="1"/>
    <row r="1783" customFormat="1"/>
    <row r="1784" customFormat="1"/>
    <row r="1785" customFormat="1"/>
    <row r="1786" customFormat="1"/>
    <row r="1787" customFormat="1"/>
    <row r="1788" customFormat="1"/>
    <row r="1789" customFormat="1"/>
    <row r="1790" customFormat="1"/>
    <row r="1791" customFormat="1"/>
    <row r="1792" customFormat="1"/>
    <row r="1793" customFormat="1"/>
    <row r="1794" customFormat="1"/>
    <row r="1795" customFormat="1"/>
    <row r="1796" customFormat="1"/>
    <row r="1797" customFormat="1"/>
    <row r="1798" customFormat="1"/>
    <row r="1799" customFormat="1"/>
    <row r="1800" customFormat="1"/>
    <row r="1801" customFormat="1"/>
    <row r="1802" customFormat="1"/>
    <row r="1803" customFormat="1"/>
    <row r="1804" customFormat="1"/>
    <row r="1805" customFormat="1"/>
    <row r="1806" customFormat="1"/>
    <row r="1807" customFormat="1"/>
    <row r="1808" customFormat="1"/>
    <row r="1809" customFormat="1"/>
    <row r="1810" customFormat="1"/>
    <row r="1811" customFormat="1"/>
    <row r="1812" customFormat="1"/>
    <row r="1813" customFormat="1"/>
    <row r="1814" customFormat="1"/>
    <row r="1815" customFormat="1"/>
    <row r="1816" customFormat="1"/>
    <row r="1817" customFormat="1"/>
    <row r="1818" customFormat="1"/>
    <row r="1819" customFormat="1"/>
    <row r="1820" customFormat="1"/>
    <row r="1821" customFormat="1"/>
    <row r="1822" customFormat="1"/>
    <row r="1823" customFormat="1"/>
    <row r="1824" customFormat="1"/>
    <row r="1825" customFormat="1"/>
    <row r="1826" customFormat="1"/>
    <row r="1827" customFormat="1"/>
    <row r="1828" customFormat="1"/>
    <row r="1829" customFormat="1"/>
    <row r="1830" customFormat="1"/>
    <row r="1831" customFormat="1"/>
    <row r="1832" customFormat="1"/>
    <row r="1833" customFormat="1"/>
    <row r="1834" customFormat="1"/>
    <row r="1835" customFormat="1"/>
    <row r="1836" customFormat="1"/>
    <row r="1837" customFormat="1"/>
    <row r="1838" customFormat="1"/>
    <row r="1839" customFormat="1"/>
    <row r="1840" customFormat="1"/>
    <row r="1841" customFormat="1"/>
    <row r="1842" customFormat="1"/>
    <row r="1843" customFormat="1"/>
    <row r="1844" customFormat="1"/>
    <row r="1845" customFormat="1"/>
    <row r="1846" customFormat="1"/>
    <row r="1847" customFormat="1"/>
    <row r="1848" customFormat="1"/>
    <row r="1849" customFormat="1"/>
    <row r="1850" customFormat="1"/>
    <row r="1851" customFormat="1"/>
    <row r="1852" customFormat="1"/>
    <row r="1853" customFormat="1"/>
    <row r="1854" customFormat="1"/>
    <row r="1855" customFormat="1"/>
    <row r="1856" customFormat="1"/>
    <row r="1857" customFormat="1"/>
    <row r="1858" customFormat="1"/>
    <row r="1859" customFormat="1"/>
    <row r="1860" customFormat="1"/>
    <row r="1861" customFormat="1"/>
    <row r="1862" customFormat="1"/>
    <row r="1863" customFormat="1"/>
    <row r="1864" customFormat="1"/>
    <row r="1865" customFormat="1"/>
    <row r="1866" customFormat="1"/>
    <row r="1867" customFormat="1"/>
    <row r="1868" customFormat="1"/>
    <row r="1869" customFormat="1"/>
    <row r="1870" customFormat="1"/>
    <row r="1871" customFormat="1"/>
    <row r="1872" customFormat="1"/>
    <row r="1873" customFormat="1"/>
    <row r="1874" customFormat="1"/>
    <row r="1875" customFormat="1"/>
    <row r="1876" customFormat="1"/>
    <row r="1877" customFormat="1"/>
    <row r="1878" customFormat="1"/>
    <row r="1879" customFormat="1"/>
    <row r="1880" customFormat="1"/>
    <row r="1881" customFormat="1"/>
    <row r="1882" customFormat="1"/>
    <row r="1883" customFormat="1"/>
    <row r="1884" customFormat="1"/>
    <row r="1885" customFormat="1"/>
    <row r="1886" customFormat="1"/>
    <row r="1887" customFormat="1"/>
    <row r="1888" customFormat="1"/>
    <row r="1889" customFormat="1"/>
    <row r="1890" customFormat="1"/>
    <row r="1891" customFormat="1"/>
    <row r="1892" customFormat="1"/>
    <row r="1893" customFormat="1"/>
    <row r="1894" customFormat="1"/>
    <row r="1895" customFormat="1"/>
    <row r="1896" customFormat="1"/>
    <row r="1897" customFormat="1"/>
    <row r="1898" customFormat="1"/>
    <row r="1899" customFormat="1"/>
    <row r="1900" customFormat="1"/>
    <row r="1901" customFormat="1"/>
    <row r="1902" customFormat="1"/>
    <row r="1903" customFormat="1"/>
    <row r="1904" customFormat="1"/>
    <row r="1905" customFormat="1"/>
    <row r="1906" customFormat="1"/>
    <row r="1907" customFormat="1"/>
    <row r="1908" customFormat="1"/>
    <row r="1909" customFormat="1"/>
    <row r="1910" customFormat="1"/>
    <row r="1911" customFormat="1"/>
    <row r="1912" customFormat="1"/>
    <row r="1913" customFormat="1"/>
    <row r="1914" customFormat="1"/>
    <row r="1915" customFormat="1"/>
    <row r="1916" customFormat="1"/>
    <row r="1917" customFormat="1"/>
    <row r="1918" customFormat="1"/>
    <row r="1919" customFormat="1"/>
    <row r="1920" customFormat="1"/>
    <row r="1921" customFormat="1"/>
    <row r="1922" customFormat="1"/>
    <row r="1923" customFormat="1"/>
    <row r="1924" customFormat="1"/>
    <row r="1925" customFormat="1"/>
    <row r="1926" customFormat="1"/>
    <row r="1927" customFormat="1"/>
    <row r="1928" customFormat="1"/>
    <row r="1929" customFormat="1"/>
    <row r="1930" customFormat="1"/>
    <row r="1931" customFormat="1"/>
    <row r="1932" customFormat="1"/>
    <row r="1933" customFormat="1"/>
    <row r="1934" customFormat="1"/>
    <row r="1935" customFormat="1"/>
    <row r="1936" customFormat="1"/>
    <row r="1937" customFormat="1"/>
    <row r="1938" customFormat="1"/>
    <row r="1939" customFormat="1"/>
    <row r="1940" customFormat="1"/>
    <row r="1941" customFormat="1"/>
    <row r="1942" customFormat="1"/>
    <row r="1943" customFormat="1"/>
    <row r="1944" customFormat="1"/>
    <row r="1945" customFormat="1"/>
    <row r="1946" customFormat="1"/>
    <row r="1947" customFormat="1"/>
    <row r="1948" customFormat="1"/>
    <row r="1949" customFormat="1"/>
    <row r="1950" customFormat="1"/>
    <row r="1951" customFormat="1"/>
    <row r="1952" customFormat="1"/>
    <row r="1953" customFormat="1"/>
    <row r="1954" customFormat="1"/>
    <row r="1955" customFormat="1"/>
    <row r="1956" customFormat="1"/>
    <row r="1957" customFormat="1"/>
    <row r="1958" customFormat="1"/>
    <row r="1959" customFormat="1"/>
    <row r="1960" customFormat="1"/>
    <row r="1961" customFormat="1"/>
    <row r="1962" customFormat="1"/>
    <row r="1963" customFormat="1"/>
    <row r="1964" customFormat="1"/>
    <row r="1965" customFormat="1"/>
    <row r="1966" customFormat="1"/>
    <row r="1967" customFormat="1"/>
    <row r="1968" customFormat="1"/>
    <row r="1969" customFormat="1"/>
    <row r="1970" customFormat="1"/>
    <row r="1971" customFormat="1"/>
    <row r="1972" customFormat="1"/>
    <row r="1973" customFormat="1"/>
    <row r="1974" customFormat="1"/>
    <row r="1975" customFormat="1"/>
    <row r="1976" customFormat="1"/>
    <row r="1977" customFormat="1"/>
    <row r="1978" customFormat="1"/>
    <row r="1979" customFormat="1"/>
    <row r="1980" customFormat="1"/>
    <row r="1981" customFormat="1"/>
    <row r="1982" customFormat="1"/>
    <row r="1983" customFormat="1"/>
    <row r="1984" customFormat="1"/>
    <row r="1985" customFormat="1"/>
    <row r="1986" customFormat="1"/>
    <row r="1987" customFormat="1"/>
    <row r="1988" customFormat="1"/>
    <row r="1989" customFormat="1"/>
    <row r="1990" customFormat="1"/>
    <row r="1991" customFormat="1"/>
    <row r="1992" customFormat="1"/>
    <row r="1993" customFormat="1"/>
    <row r="1994" customFormat="1"/>
    <row r="1995" customFormat="1"/>
    <row r="1996" customFormat="1"/>
    <row r="1997" customFormat="1"/>
    <row r="1998" customFormat="1"/>
    <row r="1999" customFormat="1"/>
    <row r="2000" customFormat="1"/>
    <row r="2001" customFormat="1"/>
    <row r="2002" customFormat="1"/>
    <row r="2003" customFormat="1"/>
    <row r="2004" customFormat="1"/>
    <row r="2005" customFormat="1"/>
    <row r="2006" customFormat="1"/>
    <row r="2007" customFormat="1"/>
    <row r="2008" customFormat="1"/>
    <row r="2009" customFormat="1"/>
    <row r="2010" customFormat="1"/>
    <row r="2011" customFormat="1"/>
    <row r="2012" customFormat="1"/>
    <row r="2013" customFormat="1"/>
    <row r="2014" customFormat="1"/>
    <row r="2015" customFormat="1"/>
    <row r="2016" customFormat="1"/>
    <row r="2017" customFormat="1"/>
    <row r="2018" customFormat="1"/>
    <row r="2019" customFormat="1"/>
    <row r="2020" customFormat="1"/>
    <row r="2021" customFormat="1"/>
    <row r="2022" customFormat="1"/>
    <row r="2023" customFormat="1"/>
    <row r="2024" customFormat="1"/>
    <row r="2025" customFormat="1"/>
    <row r="2026" customFormat="1"/>
    <row r="2027" customFormat="1"/>
    <row r="2028" customFormat="1"/>
    <row r="2029" customFormat="1"/>
    <row r="2030" customFormat="1"/>
    <row r="2031" customFormat="1"/>
    <row r="2032" customFormat="1"/>
    <row r="2033" customFormat="1"/>
    <row r="2034" customFormat="1"/>
    <row r="2035" customFormat="1"/>
    <row r="2036" customFormat="1"/>
    <row r="2037" customFormat="1"/>
    <row r="2038" customFormat="1"/>
    <row r="2039" customFormat="1"/>
    <row r="2040" customFormat="1"/>
    <row r="2041" customFormat="1"/>
    <row r="2042" customFormat="1"/>
    <row r="2043" customFormat="1"/>
    <row r="2044" customFormat="1"/>
    <row r="2045" customFormat="1"/>
    <row r="2046" customFormat="1"/>
    <row r="2047" customFormat="1"/>
    <row r="2048" customFormat="1"/>
    <row r="2049" customFormat="1"/>
    <row r="2050" customFormat="1"/>
    <row r="2051" customFormat="1"/>
    <row r="2052" customFormat="1"/>
    <row r="2053" customFormat="1"/>
    <row r="2054" customFormat="1"/>
    <row r="2055" customFormat="1"/>
    <row r="2056" customFormat="1"/>
    <row r="2057" customFormat="1"/>
    <row r="2058" customFormat="1"/>
    <row r="2059" customFormat="1"/>
    <row r="2060" customFormat="1"/>
    <row r="2061" customFormat="1"/>
    <row r="2062" customFormat="1"/>
    <row r="2063" customFormat="1"/>
    <row r="2064" customFormat="1"/>
    <row r="2065" customFormat="1"/>
    <row r="2066" customFormat="1"/>
    <row r="2067" customFormat="1"/>
    <row r="2068" customFormat="1"/>
    <row r="2069" customFormat="1"/>
    <row r="2070" customFormat="1"/>
    <row r="2071" customFormat="1"/>
    <row r="2072" customFormat="1"/>
    <row r="2073" customFormat="1"/>
    <row r="2074" customFormat="1"/>
    <row r="2075" customFormat="1"/>
    <row r="2076" customFormat="1"/>
    <row r="2077" customFormat="1"/>
    <row r="2078" customFormat="1"/>
    <row r="2079" customFormat="1"/>
    <row r="2080" customFormat="1"/>
    <row r="2081" customFormat="1"/>
    <row r="2082" customFormat="1"/>
    <row r="2083" customFormat="1"/>
    <row r="2084" customFormat="1"/>
    <row r="2085" customFormat="1"/>
    <row r="2086" customFormat="1"/>
    <row r="2087" customFormat="1"/>
    <row r="2088" customFormat="1"/>
    <row r="2089" customFormat="1"/>
    <row r="2090" customFormat="1"/>
    <row r="2091" customFormat="1"/>
    <row r="2092" customFormat="1"/>
    <row r="2093" customFormat="1"/>
    <row r="2094" customFormat="1"/>
    <row r="2095" customFormat="1"/>
    <row r="2096" customFormat="1"/>
    <row r="2097" customFormat="1"/>
    <row r="2098" customFormat="1"/>
    <row r="2099" customFormat="1"/>
    <row r="2100" customFormat="1"/>
    <row r="2101" customFormat="1"/>
    <row r="2102" customFormat="1"/>
    <row r="2103" customFormat="1"/>
    <row r="2104" customFormat="1"/>
    <row r="2105" customFormat="1"/>
    <row r="2106" customFormat="1"/>
    <row r="2107" customFormat="1"/>
    <row r="2108" customFormat="1"/>
    <row r="2109" customFormat="1"/>
    <row r="2110" customFormat="1"/>
    <row r="2111" customFormat="1"/>
    <row r="2112" customFormat="1"/>
    <row r="2113" customFormat="1"/>
    <row r="2114" customFormat="1"/>
    <row r="2115" customFormat="1"/>
    <row r="2116" customFormat="1"/>
    <row r="2117" customFormat="1"/>
    <row r="2118" customFormat="1"/>
    <row r="2119" customFormat="1"/>
    <row r="2120" customFormat="1"/>
    <row r="2121" customFormat="1"/>
    <row r="2122" customFormat="1"/>
    <row r="2123" customFormat="1"/>
    <row r="2124" customFormat="1"/>
    <row r="2125" customFormat="1"/>
    <row r="2126" customFormat="1"/>
    <row r="2127" customFormat="1"/>
    <row r="2128" customFormat="1"/>
    <row r="2129" customFormat="1"/>
    <row r="2130" customFormat="1"/>
    <row r="2131" customFormat="1"/>
    <row r="2132" customFormat="1"/>
    <row r="2133" customFormat="1"/>
    <row r="2134" customFormat="1"/>
    <row r="2135" customFormat="1"/>
    <row r="2136" customFormat="1"/>
    <row r="2137" customFormat="1"/>
    <row r="2138" customFormat="1"/>
    <row r="2139" customFormat="1"/>
    <row r="2140" customFormat="1"/>
    <row r="2141" customFormat="1"/>
    <row r="2142" customFormat="1"/>
    <row r="2143" customFormat="1"/>
    <row r="2144" customFormat="1"/>
    <row r="2145" customFormat="1"/>
    <row r="2146" customFormat="1"/>
    <row r="2147" customFormat="1"/>
    <row r="2148" customFormat="1"/>
    <row r="2149" customFormat="1"/>
    <row r="2150" customFormat="1"/>
    <row r="2151" customFormat="1"/>
    <row r="2152" customFormat="1"/>
    <row r="2153" customFormat="1"/>
    <row r="2154" customFormat="1"/>
    <row r="2155" customFormat="1"/>
    <row r="2156" customFormat="1"/>
    <row r="2157" customFormat="1"/>
    <row r="2158" customFormat="1"/>
    <row r="2159" customFormat="1"/>
    <row r="2160" customFormat="1"/>
    <row r="2161" customFormat="1"/>
    <row r="2162" customFormat="1"/>
    <row r="2163" customFormat="1"/>
    <row r="2164" customFormat="1"/>
    <row r="2165" customFormat="1"/>
    <row r="2166" customFormat="1"/>
    <row r="2167" customFormat="1"/>
    <row r="2168" customFormat="1"/>
    <row r="2169" customFormat="1"/>
    <row r="2170" customFormat="1"/>
    <row r="2171" customFormat="1"/>
    <row r="2172" customFormat="1"/>
    <row r="2173" customFormat="1"/>
    <row r="2174" customFormat="1"/>
    <row r="2175" customFormat="1"/>
    <row r="2176" customFormat="1"/>
    <row r="2177" customFormat="1"/>
    <row r="2178" customFormat="1"/>
    <row r="2179" customFormat="1"/>
    <row r="2180" customFormat="1"/>
    <row r="2181" customFormat="1"/>
    <row r="2182" customFormat="1"/>
    <row r="2183" customFormat="1"/>
    <row r="2184" customFormat="1"/>
    <row r="2185" customFormat="1"/>
    <row r="2186" customFormat="1"/>
    <row r="2187" customFormat="1"/>
    <row r="2188" customFormat="1"/>
    <row r="2189" customFormat="1"/>
    <row r="2190" customFormat="1"/>
    <row r="2191" customFormat="1"/>
    <row r="2192" customFormat="1"/>
    <row r="2193" customFormat="1"/>
    <row r="2194" customFormat="1"/>
    <row r="2195" customFormat="1"/>
    <row r="2196" customFormat="1"/>
    <row r="2197" customFormat="1"/>
    <row r="2198" customFormat="1"/>
    <row r="2199" customFormat="1"/>
    <row r="2200" customFormat="1"/>
    <row r="2201" customFormat="1"/>
    <row r="2202" customFormat="1"/>
    <row r="2203" customFormat="1"/>
    <row r="2204" customFormat="1"/>
    <row r="2205" customFormat="1"/>
    <row r="2206" customFormat="1"/>
    <row r="2207" customFormat="1"/>
    <row r="2208" customFormat="1"/>
    <row r="2209" customFormat="1"/>
    <row r="2210" customFormat="1"/>
    <row r="2211" customFormat="1"/>
    <row r="2212" customFormat="1"/>
    <row r="2213" customFormat="1"/>
    <row r="2214" customFormat="1"/>
    <row r="2215" customFormat="1"/>
    <row r="2216" customFormat="1"/>
    <row r="2217" customFormat="1"/>
    <row r="2218" customFormat="1"/>
    <row r="2219" customFormat="1"/>
    <row r="2220" customFormat="1"/>
    <row r="2221" customFormat="1"/>
    <row r="2222" customFormat="1"/>
    <row r="2223" customFormat="1"/>
    <row r="2224" customFormat="1"/>
    <row r="2225" customFormat="1"/>
    <row r="2226" customFormat="1"/>
    <row r="2227" customFormat="1"/>
    <row r="2228" customFormat="1"/>
    <row r="2229" customFormat="1"/>
    <row r="2230" customFormat="1"/>
    <row r="2231" customFormat="1"/>
    <row r="2232" customFormat="1"/>
    <row r="2233" customFormat="1"/>
    <row r="2234" customFormat="1"/>
    <row r="2235" customFormat="1"/>
    <row r="2236" customFormat="1"/>
    <row r="2237" customFormat="1"/>
    <row r="2238" customFormat="1"/>
    <row r="2239" customFormat="1"/>
    <row r="2240" customFormat="1"/>
    <row r="2241" customFormat="1"/>
    <row r="2242" customFormat="1"/>
    <row r="2243" customFormat="1"/>
    <row r="2244" customFormat="1"/>
    <row r="2245" customFormat="1"/>
    <row r="2246" customFormat="1"/>
    <row r="2247" customFormat="1"/>
    <row r="2248" customFormat="1"/>
    <row r="2249" customFormat="1"/>
    <row r="2250" customFormat="1"/>
    <row r="2251" customFormat="1"/>
    <row r="2252" customFormat="1"/>
    <row r="2253" customFormat="1"/>
    <row r="2254" customFormat="1"/>
    <row r="2255" customFormat="1"/>
    <row r="2256" customFormat="1"/>
    <row r="2257" customFormat="1"/>
    <row r="2258" customFormat="1"/>
    <row r="2259" customFormat="1"/>
    <row r="2260" customFormat="1"/>
    <row r="2261" customFormat="1"/>
    <row r="2262" customFormat="1"/>
    <row r="2263" customFormat="1"/>
    <row r="2264" customFormat="1"/>
    <row r="2265" customFormat="1"/>
    <row r="2266" customFormat="1"/>
    <row r="2267" customFormat="1"/>
    <row r="2268" customFormat="1"/>
    <row r="2269" customFormat="1"/>
    <row r="2270" customFormat="1"/>
    <row r="2271" customFormat="1"/>
    <row r="2272" customFormat="1"/>
    <row r="2273" customFormat="1"/>
    <row r="2274" customFormat="1"/>
    <row r="2275" customFormat="1"/>
    <row r="2276" customFormat="1"/>
    <row r="2277" customFormat="1"/>
    <row r="2278" customFormat="1"/>
    <row r="2279" customFormat="1"/>
    <row r="2280" customFormat="1"/>
    <row r="2281" customFormat="1"/>
    <row r="2282" customFormat="1"/>
    <row r="2283" customFormat="1"/>
    <row r="2284" customFormat="1"/>
    <row r="2285" customFormat="1"/>
    <row r="2286" customFormat="1"/>
    <row r="2287" customFormat="1"/>
    <row r="2288" customFormat="1"/>
    <row r="2289" customFormat="1"/>
    <row r="2290" customFormat="1"/>
    <row r="2291" customFormat="1"/>
    <row r="2292" customFormat="1"/>
    <row r="2293" customFormat="1"/>
    <row r="2294" customFormat="1"/>
    <row r="2295" customFormat="1"/>
    <row r="2296" customFormat="1"/>
    <row r="2297" customFormat="1"/>
    <row r="2298" customFormat="1"/>
    <row r="2299" customFormat="1"/>
    <row r="2300" customFormat="1"/>
    <row r="2301" customFormat="1"/>
    <row r="2302" customFormat="1"/>
    <row r="2303" customFormat="1"/>
    <row r="2304" customFormat="1"/>
    <row r="2305" customFormat="1"/>
    <row r="2306" customFormat="1"/>
    <row r="2307" customFormat="1"/>
    <row r="2308" customFormat="1"/>
    <row r="2309" customFormat="1"/>
    <row r="2310" customFormat="1"/>
    <row r="2311" customFormat="1"/>
    <row r="2312" customFormat="1"/>
    <row r="2313" customFormat="1"/>
    <row r="2314" customFormat="1"/>
    <row r="2315" customFormat="1"/>
    <row r="2316" customFormat="1"/>
    <row r="2317" customFormat="1"/>
    <row r="2318" customFormat="1"/>
    <row r="2319" customFormat="1"/>
    <row r="2320" customFormat="1"/>
    <row r="2321" customFormat="1"/>
    <row r="2322" customFormat="1"/>
    <row r="2323" customFormat="1"/>
    <row r="2324" customFormat="1"/>
    <row r="2325" customFormat="1"/>
    <row r="2326" customFormat="1"/>
    <row r="2327" customFormat="1"/>
    <row r="2328" customFormat="1"/>
    <row r="2329" customFormat="1"/>
    <row r="2330" customFormat="1"/>
    <row r="2331" customFormat="1"/>
    <row r="2332" customFormat="1"/>
    <row r="2333" customFormat="1"/>
    <row r="2334" customFormat="1"/>
    <row r="2335" customFormat="1"/>
    <row r="2336" customFormat="1"/>
    <row r="2337" customFormat="1"/>
    <row r="2338" customFormat="1"/>
    <row r="2339" customFormat="1"/>
    <row r="2340" customFormat="1"/>
    <row r="2341" customFormat="1"/>
    <row r="2342" customFormat="1"/>
    <row r="2343" customFormat="1"/>
    <row r="2344" customFormat="1"/>
    <row r="2345" customFormat="1"/>
    <row r="2346" customFormat="1"/>
    <row r="2347" customFormat="1"/>
    <row r="2348" customFormat="1"/>
    <row r="2349" customFormat="1"/>
    <row r="2350" customFormat="1"/>
    <row r="2351" customFormat="1"/>
    <row r="2352" customFormat="1"/>
    <row r="2353" customFormat="1"/>
    <row r="2354" customFormat="1"/>
    <row r="2355" customFormat="1"/>
    <row r="2356" customFormat="1"/>
    <row r="2357" customFormat="1"/>
    <row r="2358" customFormat="1"/>
    <row r="2359" customFormat="1"/>
    <row r="2360" customFormat="1"/>
    <row r="2361" customFormat="1"/>
    <row r="2362" customFormat="1"/>
    <row r="2363" customFormat="1"/>
    <row r="2364" customFormat="1"/>
    <row r="2365" customFormat="1"/>
    <row r="2366" customFormat="1"/>
    <row r="2367" customFormat="1"/>
    <row r="2368" customFormat="1"/>
    <row r="2369" customFormat="1"/>
    <row r="2370" customFormat="1"/>
    <row r="2371" customFormat="1"/>
    <row r="2372" customFormat="1"/>
    <row r="2373" customFormat="1"/>
    <row r="2374" customFormat="1"/>
    <row r="2375" customFormat="1"/>
    <row r="2376" customFormat="1"/>
    <row r="2377" customFormat="1"/>
    <row r="2378" customFormat="1"/>
    <row r="2379" customFormat="1"/>
    <row r="2380" customFormat="1"/>
    <row r="2381" customFormat="1"/>
    <row r="2382" customFormat="1"/>
    <row r="2383" customFormat="1"/>
    <row r="2384" customFormat="1"/>
    <row r="2385" customFormat="1"/>
    <row r="2386" customFormat="1"/>
    <row r="2387" customFormat="1"/>
    <row r="2388" customFormat="1"/>
    <row r="2389" customFormat="1"/>
    <row r="2390" customFormat="1"/>
    <row r="2391" customFormat="1"/>
    <row r="2392" customFormat="1"/>
    <row r="2393" customFormat="1"/>
    <row r="2394" customFormat="1"/>
    <row r="2395" customFormat="1"/>
    <row r="2396" customFormat="1"/>
    <row r="2397" customFormat="1"/>
    <row r="2398" customFormat="1"/>
    <row r="2399" customFormat="1"/>
    <row r="2400" customFormat="1"/>
    <row r="2401" customFormat="1"/>
    <row r="2402" customFormat="1"/>
    <row r="2403" customFormat="1"/>
    <row r="2404" customFormat="1"/>
    <row r="2405" customFormat="1"/>
    <row r="2406" customFormat="1"/>
    <row r="2407" customFormat="1"/>
    <row r="2408" customFormat="1"/>
    <row r="2409" customFormat="1"/>
    <row r="2410" customFormat="1"/>
    <row r="2411" customFormat="1"/>
    <row r="2412" customFormat="1"/>
    <row r="2413" customFormat="1"/>
    <row r="2414" customFormat="1"/>
    <row r="2415" customFormat="1"/>
    <row r="2416" customFormat="1"/>
    <row r="2417" customFormat="1"/>
    <row r="2418" customFormat="1"/>
    <row r="2419" customFormat="1"/>
    <row r="2420" customFormat="1"/>
    <row r="2421" customFormat="1"/>
    <row r="2422" customFormat="1"/>
    <row r="2423" customFormat="1"/>
    <row r="2424" customFormat="1"/>
    <row r="2425" customFormat="1"/>
    <row r="2426" customFormat="1"/>
    <row r="2427" customFormat="1"/>
    <row r="2428" customFormat="1"/>
    <row r="2429" customFormat="1"/>
    <row r="2430" customFormat="1"/>
    <row r="2431" customFormat="1"/>
    <row r="2432" customFormat="1"/>
    <row r="2433" customFormat="1"/>
    <row r="2434" customFormat="1"/>
    <row r="2435" customFormat="1"/>
    <row r="2436" customFormat="1"/>
    <row r="2437" customFormat="1"/>
    <row r="2438" customFormat="1"/>
    <row r="2439" customFormat="1"/>
    <row r="2440" customFormat="1"/>
    <row r="2441" customFormat="1"/>
    <row r="2442" customFormat="1"/>
    <row r="2443" customFormat="1"/>
    <row r="2444" customFormat="1"/>
    <row r="2445" customFormat="1"/>
    <row r="2446" customFormat="1"/>
    <row r="2447" customFormat="1"/>
    <row r="2448" customFormat="1"/>
    <row r="2449" customFormat="1"/>
    <row r="2450" customFormat="1"/>
    <row r="2451" customFormat="1"/>
    <row r="2452" customFormat="1"/>
    <row r="2453" customFormat="1"/>
    <row r="2454" customFormat="1"/>
    <row r="2455" customFormat="1"/>
    <row r="2456" customFormat="1"/>
    <row r="2457" customFormat="1"/>
    <row r="2458" customFormat="1"/>
    <row r="2459" customFormat="1"/>
    <row r="2460" customFormat="1"/>
    <row r="2461" customFormat="1"/>
    <row r="2462" customFormat="1"/>
    <row r="2463" customFormat="1"/>
    <row r="2464" customFormat="1"/>
    <row r="2465" customFormat="1"/>
    <row r="2466" customFormat="1"/>
    <row r="2467" customFormat="1"/>
    <row r="2468" customFormat="1"/>
    <row r="2469" customFormat="1"/>
    <row r="2470" customFormat="1"/>
    <row r="2471" customFormat="1"/>
    <row r="2472" customFormat="1"/>
    <row r="2473" customFormat="1"/>
    <row r="2474" customFormat="1"/>
    <row r="2475" customFormat="1"/>
    <row r="2476" customFormat="1"/>
    <row r="2477" customFormat="1"/>
    <row r="2478" customFormat="1"/>
    <row r="2479" customFormat="1"/>
    <row r="2480" customFormat="1"/>
    <row r="2481" customFormat="1"/>
    <row r="2482" customFormat="1"/>
    <row r="2483" customFormat="1"/>
    <row r="2484" customFormat="1"/>
    <row r="2485" customFormat="1"/>
    <row r="2486" customFormat="1"/>
    <row r="2487" customFormat="1"/>
    <row r="2488" customFormat="1"/>
    <row r="2489" customFormat="1"/>
    <row r="2490" customFormat="1"/>
    <row r="2491" customFormat="1"/>
    <row r="2492" customFormat="1"/>
    <row r="2493" customFormat="1"/>
    <row r="2494" customFormat="1"/>
    <row r="2495" customFormat="1"/>
    <row r="2496" customFormat="1"/>
    <row r="2497" customFormat="1"/>
    <row r="2498" customFormat="1"/>
    <row r="2499" customFormat="1"/>
    <row r="2500" customFormat="1"/>
    <row r="2501" customFormat="1"/>
    <row r="2502" customFormat="1"/>
    <row r="2503" customFormat="1"/>
    <row r="2504" customFormat="1"/>
    <row r="2505" customFormat="1"/>
    <row r="2506" customFormat="1"/>
    <row r="2507" customFormat="1"/>
    <row r="2508" customFormat="1"/>
    <row r="2509" customFormat="1"/>
    <row r="2510" customFormat="1"/>
    <row r="2511" customFormat="1"/>
    <row r="2512" customFormat="1"/>
    <row r="2513" customFormat="1"/>
    <row r="2514" customFormat="1"/>
    <row r="2515" customFormat="1"/>
    <row r="2516" customFormat="1"/>
    <row r="2517" customFormat="1"/>
    <row r="2518" customFormat="1"/>
    <row r="2519" customFormat="1"/>
    <row r="2520" customFormat="1"/>
    <row r="2521" customFormat="1"/>
    <row r="2522" customFormat="1"/>
    <row r="2523" customFormat="1"/>
    <row r="2524" customFormat="1"/>
    <row r="2525" customFormat="1"/>
    <row r="2526" customFormat="1"/>
    <row r="2527" customFormat="1"/>
    <row r="2528" customFormat="1"/>
    <row r="2529" customFormat="1"/>
    <row r="2530" customFormat="1"/>
    <row r="2531" customFormat="1"/>
    <row r="2532" customFormat="1"/>
    <row r="2533" customFormat="1"/>
    <row r="2534" customFormat="1"/>
    <row r="2535" customFormat="1"/>
    <row r="2536" customFormat="1"/>
    <row r="2537" customFormat="1"/>
    <row r="2538" customFormat="1"/>
    <row r="2539" customFormat="1"/>
    <row r="2540" customFormat="1"/>
    <row r="2541" customFormat="1"/>
    <row r="2542" customFormat="1"/>
    <row r="2543" customFormat="1"/>
    <row r="2544" customFormat="1"/>
    <row r="2545" customFormat="1"/>
    <row r="2546" customFormat="1"/>
    <row r="2547" customFormat="1"/>
    <row r="2548" customFormat="1"/>
    <row r="2549" customFormat="1"/>
    <row r="2550" customFormat="1"/>
    <row r="2551" customFormat="1"/>
    <row r="2552" customFormat="1"/>
    <row r="2553" customFormat="1"/>
    <row r="2554" customFormat="1"/>
    <row r="2555" customFormat="1"/>
    <row r="2556" customFormat="1"/>
    <row r="2557" customFormat="1"/>
    <row r="2558" customFormat="1"/>
    <row r="2559" customFormat="1"/>
    <row r="2560" customFormat="1"/>
    <row r="2561" customFormat="1"/>
    <row r="2562" customFormat="1"/>
    <row r="2563" customFormat="1"/>
    <row r="2564" customFormat="1"/>
    <row r="2565" customFormat="1"/>
    <row r="2566" customFormat="1"/>
    <row r="2567" customFormat="1"/>
    <row r="2568" customFormat="1"/>
    <row r="2569" customFormat="1"/>
    <row r="2570" customFormat="1"/>
    <row r="2571" customFormat="1"/>
    <row r="2572" customFormat="1"/>
    <row r="2573" customFormat="1"/>
    <row r="2574" customFormat="1"/>
    <row r="2575" customFormat="1"/>
    <row r="2576" customFormat="1"/>
    <row r="2577" customFormat="1"/>
    <row r="2578" customFormat="1"/>
    <row r="2579" customFormat="1"/>
    <row r="2580" customFormat="1"/>
    <row r="2581" customFormat="1"/>
    <row r="2582" customFormat="1"/>
    <row r="2583" customFormat="1"/>
    <row r="2584" customFormat="1"/>
    <row r="2585" customFormat="1"/>
    <row r="2586" customFormat="1"/>
    <row r="2587" customFormat="1"/>
    <row r="2588" customFormat="1"/>
    <row r="2589" customFormat="1"/>
    <row r="2590" customFormat="1"/>
    <row r="2591" customFormat="1"/>
    <row r="2592" customFormat="1"/>
    <row r="2593" customFormat="1"/>
    <row r="2594" customFormat="1"/>
    <row r="2595" customFormat="1"/>
    <row r="2596" customFormat="1"/>
    <row r="2597" customFormat="1"/>
    <row r="2598" customFormat="1"/>
    <row r="2599" customFormat="1"/>
    <row r="2600" customFormat="1"/>
    <row r="2601" customFormat="1"/>
    <row r="2602" customFormat="1"/>
    <row r="2603" customFormat="1"/>
    <row r="2604" customFormat="1"/>
    <row r="2605" customFormat="1"/>
    <row r="2606" customFormat="1"/>
    <row r="2607" customFormat="1"/>
    <row r="2608" customFormat="1"/>
    <row r="2609" customFormat="1"/>
    <row r="2610" customFormat="1"/>
    <row r="2611" customFormat="1"/>
    <row r="2612" customFormat="1"/>
    <row r="2613" customFormat="1"/>
    <row r="2614" customFormat="1"/>
    <row r="2615" customFormat="1"/>
    <row r="2616" customFormat="1"/>
    <row r="2617" customFormat="1"/>
    <row r="2618" customFormat="1"/>
    <row r="2619" customFormat="1"/>
    <row r="2620" customFormat="1"/>
    <row r="2621" customFormat="1"/>
    <row r="2622" customFormat="1"/>
    <row r="2623" customFormat="1"/>
    <row r="2624" customFormat="1"/>
    <row r="2625" customFormat="1"/>
    <row r="2626" customFormat="1"/>
    <row r="2627" customFormat="1"/>
    <row r="2628" customFormat="1"/>
    <row r="2629" customFormat="1"/>
    <row r="2630" customFormat="1"/>
    <row r="2631" customFormat="1"/>
    <row r="2632" customFormat="1"/>
    <row r="2633" customFormat="1"/>
    <row r="2634" customFormat="1"/>
    <row r="2635" customFormat="1"/>
    <row r="2636" customFormat="1"/>
    <row r="2637" customFormat="1"/>
    <row r="2638" customFormat="1"/>
    <row r="2639" customFormat="1"/>
    <row r="2640" customFormat="1"/>
    <row r="2641" customFormat="1"/>
    <row r="2642" customFormat="1"/>
    <row r="2643" customFormat="1"/>
    <row r="2644" customFormat="1"/>
    <row r="2645" customFormat="1"/>
    <row r="2646" customFormat="1"/>
    <row r="2647" customFormat="1"/>
    <row r="2648" customFormat="1"/>
    <row r="2649" customFormat="1"/>
    <row r="2650" customFormat="1"/>
    <row r="2651" customFormat="1"/>
    <row r="2652" customFormat="1"/>
    <row r="2653" customFormat="1"/>
    <row r="2654" customFormat="1"/>
    <row r="2655" customFormat="1"/>
    <row r="2656" customFormat="1"/>
    <row r="2657" customFormat="1"/>
    <row r="2658" customFormat="1"/>
    <row r="2659" customFormat="1"/>
    <row r="2660" customFormat="1"/>
    <row r="2661" customFormat="1"/>
    <row r="2662" customFormat="1"/>
    <row r="2663" customFormat="1"/>
  </sheetData>
  <autoFilter ref="D3:E503"/>
  <mergeCells count="1">
    <mergeCell ref="A1:F1"/>
  </mergeCells>
  <phoneticPr fontId="0" type="noConversion"/>
  <printOptions horizontalCentered="1" headings="1"/>
  <pageMargins left="0.23622047244094491" right="0.23622047244094491" top="0.98425196850393704" bottom="0.98425196850393704" header="0.51181102362204722" footer="0.51181102362204722"/>
  <pageSetup orientation="portrait" horizontalDpi="1200" verticalDpi="1200"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4" enableFormatConditionsCalculation="0">
    <tabColor indexed="44"/>
  </sheetPr>
  <dimension ref="A1:DF2015"/>
  <sheetViews>
    <sheetView showGridLines="0" topLeftCell="BX1" workbookViewId="0">
      <selection activeCell="CT8" sqref="CT8"/>
    </sheetView>
  </sheetViews>
  <sheetFormatPr defaultRowHeight="12.75"/>
  <cols>
    <col min="1" max="1" width="4.5703125" style="3" customWidth="1"/>
    <col min="2" max="2" width="14" style="2" customWidth="1"/>
    <col min="3" max="3" width="17" style="1" customWidth="1"/>
    <col min="4" max="4" width="10.7109375" style="1" customWidth="1"/>
    <col min="5" max="5" width="6.5703125" style="1" customWidth="1"/>
    <col min="6" max="6" width="49.5703125" style="1" customWidth="1"/>
    <col min="7" max="107" width="9" style="542" customWidth="1"/>
    <col min="108" max="16384" width="9.140625" style="1"/>
  </cols>
  <sheetData>
    <row r="1" spans="1:110" ht="42" customHeight="1" thickBot="1">
      <c r="A1" s="3752" t="s">
        <v>1688</v>
      </c>
      <c r="B1" s="3752"/>
      <c r="C1" s="3752"/>
      <c r="D1" s="3752"/>
      <c r="E1" s="3752"/>
      <c r="F1" s="3752"/>
      <c r="CC1" s="542">
        <v>80</v>
      </c>
      <c r="CD1" s="542">
        <v>81</v>
      </c>
      <c r="CE1" s="542">
        <v>82</v>
      </c>
      <c r="CF1" s="542">
        <v>83</v>
      </c>
      <c r="CG1" s="542">
        <v>84</v>
      </c>
      <c r="CH1" s="542">
        <v>85</v>
      </c>
      <c r="CI1" s="542">
        <v>86</v>
      </c>
      <c r="CJ1" s="542">
        <v>87</v>
      </c>
      <c r="CK1" s="542">
        <v>88</v>
      </c>
      <c r="CL1" s="542">
        <v>89</v>
      </c>
      <c r="CM1" s="542">
        <v>90</v>
      </c>
      <c r="CN1" s="542">
        <v>91</v>
      </c>
      <c r="CO1" s="542">
        <v>92</v>
      </c>
      <c r="CP1" s="542">
        <v>93</v>
      </c>
      <c r="CQ1" s="542">
        <v>94</v>
      </c>
      <c r="CR1" s="542">
        <v>95</v>
      </c>
      <c r="CS1" s="542">
        <v>96</v>
      </c>
      <c r="CT1" s="542">
        <v>97</v>
      </c>
      <c r="CU1" s="542">
        <v>98</v>
      </c>
      <c r="CV1" s="542">
        <v>99</v>
      </c>
      <c r="CW1" s="542">
        <v>100</v>
      </c>
      <c r="CX1" s="542">
        <v>101</v>
      </c>
      <c r="CY1" s="542">
        <v>102</v>
      </c>
      <c r="CZ1" s="542">
        <v>103</v>
      </c>
      <c r="DA1" s="542">
        <v>104</v>
      </c>
    </row>
    <row r="2" spans="1:110" s="1648" customFormat="1" ht="12" customHeight="1">
      <c r="A2" s="1643" t="s">
        <v>529</v>
      </c>
      <c r="B2" s="1644"/>
      <c r="C2" s="1644"/>
      <c r="D2" s="1645"/>
      <c r="E2" s="1646"/>
      <c r="F2" s="1647"/>
      <c r="G2" s="1642">
        <f>+InputY!G3</f>
        <v>1995</v>
      </c>
      <c r="H2" s="1642"/>
      <c r="I2" s="1642"/>
      <c r="J2" s="1642"/>
      <c r="K2" s="1642">
        <f>+G2+1</f>
        <v>1996</v>
      </c>
      <c r="L2" s="1642"/>
      <c r="M2" s="1642"/>
      <c r="N2" s="1642"/>
      <c r="O2" s="1642">
        <f>+K2+1</f>
        <v>1997</v>
      </c>
      <c r="P2" s="1642"/>
      <c r="Q2" s="1642"/>
      <c r="R2" s="1642"/>
      <c r="S2" s="1642">
        <f>+O2+1</f>
        <v>1998</v>
      </c>
      <c r="T2" s="1642"/>
      <c r="U2" s="1642"/>
      <c r="V2" s="1642"/>
      <c r="W2" s="1642">
        <f>+S2+1</f>
        <v>1999</v>
      </c>
      <c r="X2" s="1642"/>
      <c r="Y2" s="1642"/>
      <c r="Z2" s="1642"/>
      <c r="AA2" s="1642">
        <f>+W2+1</f>
        <v>2000</v>
      </c>
      <c r="AB2" s="1642"/>
      <c r="AC2" s="1642"/>
      <c r="AD2" s="1642"/>
      <c r="AE2" s="1642">
        <f>+AA2+1</f>
        <v>2001</v>
      </c>
      <c r="AF2" s="1642"/>
      <c r="AG2" s="1642"/>
      <c r="AH2" s="1642"/>
      <c r="AI2" s="1642">
        <f>+AE2+1</f>
        <v>2002</v>
      </c>
      <c r="AJ2" s="1642"/>
      <c r="AK2" s="1642"/>
      <c r="AL2" s="1642"/>
      <c r="AM2" s="1642">
        <f>+AI2+1</f>
        <v>2003</v>
      </c>
      <c r="AN2" s="1642"/>
      <c r="AO2" s="1642"/>
      <c r="AP2" s="1642"/>
      <c r="AQ2" s="1642">
        <f>+AM2+1</f>
        <v>2004</v>
      </c>
      <c r="AR2" s="1642"/>
      <c r="AS2" s="1642"/>
      <c r="AT2" s="1642"/>
      <c r="AU2" s="1642">
        <f>+AQ2+1</f>
        <v>2005</v>
      </c>
      <c r="AV2" s="1642"/>
      <c r="AW2" s="1642"/>
      <c r="AX2" s="1642"/>
      <c r="AY2" s="1642">
        <f>+AU2+1</f>
        <v>2006</v>
      </c>
      <c r="AZ2" s="1642"/>
      <c r="BA2" s="1642"/>
      <c r="BB2" s="1642"/>
      <c r="BC2" s="1642">
        <f>+AY2+1</f>
        <v>2007</v>
      </c>
      <c r="BD2" s="1642"/>
      <c r="BE2" s="1642"/>
      <c r="BF2" s="1642"/>
      <c r="BG2" s="1642">
        <f>+BC2+1</f>
        <v>2008</v>
      </c>
      <c r="BH2" s="1642"/>
      <c r="BI2" s="1642"/>
      <c r="BJ2" s="1642"/>
      <c r="BK2" s="1642">
        <f>+BG2+1</f>
        <v>2009</v>
      </c>
      <c r="BL2" s="1642"/>
      <c r="BM2" s="1642"/>
      <c r="BN2" s="1642"/>
      <c r="BO2" s="1642">
        <f>+BK2+1</f>
        <v>2010</v>
      </c>
      <c r="BP2" s="1642"/>
      <c r="BQ2" s="1642"/>
      <c r="BR2" s="1642"/>
      <c r="BS2" s="1642">
        <f>+BO2+1</f>
        <v>2011</v>
      </c>
      <c r="BT2" s="1642"/>
      <c r="BU2" s="1642"/>
      <c r="BV2" s="1642"/>
      <c r="BW2" s="1642">
        <f>+BS2+1</f>
        <v>2012</v>
      </c>
      <c r="BX2" s="1642"/>
      <c r="BY2" s="1642"/>
      <c r="BZ2" s="1642"/>
      <c r="CA2" s="1642">
        <f>+BW2+1</f>
        <v>2013</v>
      </c>
      <c r="CB2" s="1642"/>
      <c r="CC2" s="1642"/>
      <c r="CD2" s="1642"/>
      <c r="CE2" s="1642">
        <f>+CA2+1</f>
        <v>2014</v>
      </c>
      <c r="CF2" s="1642"/>
      <c r="CG2" s="1642"/>
      <c r="CH2" s="1642"/>
      <c r="CI2" s="1642">
        <f>+CE2+1</f>
        <v>2015</v>
      </c>
      <c r="CJ2" s="1642"/>
      <c r="CK2" s="1642"/>
      <c r="CL2" s="1642"/>
      <c r="CM2" s="1642">
        <f>+CI2+1</f>
        <v>2016</v>
      </c>
      <c r="CN2" s="1642"/>
      <c r="CO2" s="1642"/>
      <c r="CP2" s="1642"/>
      <c r="CQ2" s="1642">
        <f>+CM2+1</f>
        <v>2017</v>
      </c>
      <c r="CR2" s="1642"/>
      <c r="CS2" s="1642"/>
      <c r="CT2" s="1642"/>
      <c r="CU2" s="1642">
        <f>+CQ2+1</f>
        <v>2018</v>
      </c>
      <c r="CV2" s="1642"/>
      <c r="CW2" s="1642"/>
      <c r="CX2" s="1642"/>
      <c r="CY2" s="1642">
        <f>+CU2+1</f>
        <v>2019</v>
      </c>
      <c r="CZ2" s="1642"/>
      <c r="DA2" s="1642"/>
      <c r="DB2" s="1642"/>
      <c r="DC2" s="1642">
        <f>+CY2+1</f>
        <v>2020</v>
      </c>
      <c r="DD2" s="1"/>
      <c r="DE2" s="1"/>
      <c r="DF2" s="1"/>
    </row>
    <row r="3" spans="1:110" s="527" customFormat="1" ht="24.75" customHeight="1">
      <c r="A3" s="521" t="s">
        <v>530</v>
      </c>
      <c r="B3" s="522" t="s">
        <v>1072</v>
      </c>
      <c r="C3" s="522" t="s">
        <v>531</v>
      </c>
      <c r="D3" s="523" t="s">
        <v>1998</v>
      </c>
      <c r="E3" s="524" t="s">
        <v>1999</v>
      </c>
      <c r="F3" s="525" t="s">
        <v>2000</v>
      </c>
      <c r="G3" s="526" t="str">
        <f>G2&amp;"Q1"</f>
        <v>1995Q1</v>
      </c>
      <c r="H3" s="526" t="str">
        <f>G2&amp;"Q2"</f>
        <v>1995Q2</v>
      </c>
      <c r="I3" s="526" t="str">
        <f>G2&amp;"Q3"</f>
        <v>1995Q3</v>
      </c>
      <c r="J3" s="526" t="str">
        <f>G2&amp;"Q4"</f>
        <v>1995Q4</v>
      </c>
      <c r="K3" s="526" t="str">
        <f>K2&amp;"Q1"</f>
        <v>1996Q1</v>
      </c>
      <c r="L3" s="526" t="str">
        <f>K2&amp;"Q2"</f>
        <v>1996Q2</v>
      </c>
      <c r="M3" s="526" t="str">
        <f>K2&amp;"Q3"</f>
        <v>1996Q3</v>
      </c>
      <c r="N3" s="526" t="str">
        <f>K2&amp;"Q4"</f>
        <v>1996Q4</v>
      </c>
      <c r="O3" s="526" t="str">
        <f>O2&amp;"Q1"</f>
        <v>1997Q1</v>
      </c>
      <c r="P3" s="526" t="str">
        <f>O2&amp;"Q2"</f>
        <v>1997Q2</v>
      </c>
      <c r="Q3" s="526" t="str">
        <f>O2&amp;"Q3"</f>
        <v>1997Q3</v>
      </c>
      <c r="R3" s="526" t="str">
        <f>O2&amp;"Q4"</f>
        <v>1997Q4</v>
      </c>
      <c r="S3" s="526" t="str">
        <f>S2&amp;"Q1"</f>
        <v>1998Q1</v>
      </c>
      <c r="T3" s="526" t="str">
        <f>S2&amp;"Q2"</f>
        <v>1998Q2</v>
      </c>
      <c r="U3" s="526" t="str">
        <f>S2&amp;"Q3"</f>
        <v>1998Q3</v>
      </c>
      <c r="V3" s="526" t="str">
        <f>S2&amp;"Q4"</f>
        <v>1998Q4</v>
      </c>
      <c r="W3" s="526" t="str">
        <f>W2&amp;"Q1"</f>
        <v>1999Q1</v>
      </c>
      <c r="X3" s="526" t="str">
        <f>W2&amp;"Q2"</f>
        <v>1999Q2</v>
      </c>
      <c r="Y3" s="526" t="str">
        <f>W2&amp;"Q3"</f>
        <v>1999Q3</v>
      </c>
      <c r="Z3" s="526" t="str">
        <f>W2&amp;"Q4"</f>
        <v>1999Q4</v>
      </c>
      <c r="AA3" s="526" t="str">
        <f>AA2&amp;"Q1"</f>
        <v>2000Q1</v>
      </c>
      <c r="AB3" s="526" t="str">
        <f>AA2&amp;"Q2"</f>
        <v>2000Q2</v>
      </c>
      <c r="AC3" s="526" t="str">
        <f>AA2&amp;"Q3"</f>
        <v>2000Q3</v>
      </c>
      <c r="AD3" s="526" t="str">
        <f>AA2&amp;"Q4"</f>
        <v>2000Q4</v>
      </c>
      <c r="AE3" s="526" t="str">
        <f>AE2&amp;"Q1"</f>
        <v>2001Q1</v>
      </c>
      <c r="AF3" s="526" t="str">
        <f>AE2&amp;"Q2"</f>
        <v>2001Q2</v>
      </c>
      <c r="AG3" s="526" t="str">
        <f>AE2&amp;"Q3"</f>
        <v>2001Q3</v>
      </c>
      <c r="AH3" s="526" t="str">
        <f>AE2&amp;"Q4"</f>
        <v>2001Q4</v>
      </c>
      <c r="AI3" s="526" t="str">
        <f>AI2&amp;"Q1"</f>
        <v>2002Q1</v>
      </c>
      <c r="AJ3" s="526" t="str">
        <f>AI2&amp;"Q2"</f>
        <v>2002Q2</v>
      </c>
      <c r="AK3" s="526" t="str">
        <f>AI2&amp;"Q3"</f>
        <v>2002Q3</v>
      </c>
      <c r="AL3" s="526" t="str">
        <f>AI2&amp;"Q4"</f>
        <v>2002Q4</v>
      </c>
      <c r="AM3" s="526" t="str">
        <f>AM2&amp;"Q1"</f>
        <v>2003Q1</v>
      </c>
      <c r="AN3" s="526" t="str">
        <f>AM2&amp;"Q2"</f>
        <v>2003Q2</v>
      </c>
      <c r="AO3" s="526" t="str">
        <f>AM2&amp;"Q3"</f>
        <v>2003Q3</v>
      </c>
      <c r="AP3" s="526" t="str">
        <f>AM2&amp;"Q4"</f>
        <v>2003Q4</v>
      </c>
      <c r="AQ3" s="526" t="str">
        <f>AQ2&amp;"Q1"</f>
        <v>2004Q1</v>
      </c>
      <c r="AR3" s="526" t="str">
        <f>AQ2&amp;"Q2"</f>
        <v>2004Q2</v>
      </c>
      <c r="AS3" s="526" t="str">
        <f>AQ2&amp;"Q3"</f>
        <v>2004Q3</v>
      </c>
      <c r="AT3" s="526" t="str">
        <f>AQ2&amp;"Q4"</f>
        <v>2004Q4</v>
      </c>
      <c r="AU3" s="526" t="str">
        <f>AU2&amp;"Q1"</f>
        <v>2005Q1</v>
      </c>
      <c r="AV3" s="526" t="str">
        <f>AU2&amp;"Q2"</f>
        <v>2005Q2</v>
      </c>
      <c r="AW3" s="526" t="str">
        <f>AU2&amp;"Q3"</f>
        <v>2005Q3</v>
      </c>
      <c r="AX3" s="526" t="str">
        <f>AU2&amp;"Q4"</f>
        <v>2005Q4</v>
      </c>
      <c r="AY3" s="526" t="str">
        <f>AY2&amp;"Q1"</f>
        <v>2006Q1</v>
      </c>
      <c r="AZ3" s="526" t="str">
        <f>AY2&amp;"Q2"</f>
        <v>2006Q2</v>
      </c>
      <c r="BA3" s="526" t="str">
        <f>AY2&amp;"Q3"</f>
        <v>2006Q3</v>
      </c>
      <c r="BB3" s="526" t="str">
        <f>AY2&amp;"Q4"</f>
        <v>2006Q4</v>
      </c>
      <c r="BC3" s="526" t="str">
        <f>BC2&amp;"Q1"</f>
        <v>2007Q1</v>
      </c>
      <c r="BD3" s="526" t="str">
        <f>BC2&amp;"Q2"</f>
        <v>2007Q2</v>
      </c>
      <c r="BE3" s="526" t="str">
        <f>BC2&amp;"Q3"</f>
        <v>2007Q3</v>
      </c>
      <c r="BF3" s="526" t="str">
        <f>BC2&amp;"Q4"</f>
        <v>2007Q4</v>
      </c>
      <c r="BG3" s="526" t="str">
        <f>BG2&amp;"Q1"</f>
        <v>2008Q1</v>
      </c>
      <c r="BH3" s="526" t="str">
        <f>BG2&amp;"Q2"</f>
        <v>2008Q2</v>
      </c>
      <c r="BI3" s="526" t="str">
        <f>BG2&amp;"Q3"</f>
        <v>2008Q3</v>
      </c>
      <c r="BJ3" s="526" t="str">
        <f>BG2&amp;"Q4"</f>
        <v>2008Q4</v>
      </c>
      <c r="BK3" s="526" t="str">
        <f>BK2&amp;"Q1"</f>
        <v>2009Q1</v>
      </c>
      <c r="BL3" s="526" t="str">
        <f>BK2&amp;"Q2"</f>
        <v>2009Q2</v>
      </c>
      <c r="BM3" s="526" t="str">
        <f>BK2&amp;"Q3"</f>
        <v>2009Q3</v>
      </c>
      <c r="BN3" s="526" t="str">
        <f>BK2&amp;"Q4"</f>
        <v>2009Q4</v>
      </c>
      <c r="BO3" s="526" t="str">
        <f>BO2&amp;"Q1"</f>
        <v>2010Q1</v>
      </c>
      <c r="BP3" s="526" t="str">
        <f>BO2&amp;"Q2"</f>
        <v>2010Q2</v>
      </c>
      <c r="BQ3" s="526" t="str">
        <f>BO2&amp;"Q3"</f>
        <v>2010Q3</v>
      </c>
      <c r="BR3" s="526" t="str">
        <f>BO2&amp;"Q4"</f>
        <v>2010Q4</v>
      </c>
      <c r="BS3" s="526" t="str">
        <f>BS2&amp;"Q1"</f>
        <v>2011Q1</v>
      </c>
      <c r="BT3" s="526" t="str">
        <f>BS2&amp;"Q2"</f>
        <v>2011Q2</v>
      </c>
      <c r="BU3" s="526" t="str">
        <f>BS2&amp;"Q3"</f>
        <v>2011Q3</v>
      </c>
      <c r="BV3" s="526" t="str">
        <f>BS2&amp;"Q4"</f>
        <v>2011Q4</v>
      </c>
      <c r="BW3" s="526" t="str">
        <f>BW2&amp;"Q1"</f>
        <v>2012Q1</v>
      </c>
      <c r="BX3" s="526" t="str">
        <f>BW2&amp;"Q2"</f>
        <v>2012Q2</v>
      </c>
      <c r="BY3" s="526" t="str">
        <f>BW2&amp;"Q3"</f>
        <v>2012Q3</v>
      </c>
      <c r="BZ3" s="526" t="str">
        <f>BW2&amp;"Q4"</f>
        <v>2012Q4</v>
      </c>
      <c r="CA3" s="526" t="str">
        <f>CA2&amp;"Q1"</f>
        <v>2013Q1</v>
      </c>
      <c r="CB3" s="526" t="str">
        <f>CA2&amp;"Q2"</f>
        <v>2013Q2</v>
      </c>
      <c r="CC3" s="526" t="str">
        <f>CA2&amp;"Q3"</f>
        <v>2013Q3</v>
      </c>
      <c r="CD3" s="526" t="str">
        <f>CA2&amp;"Q4"</f>
        <v>2013Q4</v>
      </c>
      <c r="CE3" s="526" t="str">
        <f>CE2&amp;"Q1"</f>
        <v>2014Q1</v>
      </c>
      <c r="CF3" s="526" t="str">
        <f>CE2&amp;"Q2"</f>
        <v>2014Q2</v>
      </c>
      <c r="CG3" s="526" t="str">
        <f>CE2&amp;"Q3"</f>
        <v>2014Q3</v>
      </c>
      <c r="CH3" s="526" t="str">
        <f>CE2&amp;"Q4"</f>
        <v>2014Q4</v>
      </c>
      <c r="CI3" s="526" t="str">
        <f>CI2&amp;"Q1"</f>
        <v>2015Q1</v>
      </c>
      <c r="CJ3" s="526" t="str">
        <f>CI2&amp;"Q2"</f>
        <v>2015Q2</v>
      </c>
      <c r="CK3" s="526" t="str">
        <f>CI2&amp;"Q3"</f>
        <v>2015Q3</v>
      </c>
      <c r="CL3" s="526" t="str">
        <f>CI2&amp;"Q4"</f>
        <v>2015Q4</v>
      </c>
      <c r="CM3" s="526" t="str">
        <f>CM2&amp;"Q1"</f>
        <v>2016Q1</v>
      </c>
      <c r="CN3" s="526" t="str">
        <f>CM2&amp;"Q2"</f>
        <v>2016Q2</v>
      </c>
      <c r="CO3" s="526" t="str">
        <f>CM2&amp;"Q3"</f>
        <v>2016Q3</v>
      </c>
      <c r="CP3" s="526" t="str">
        <f>CM2&amp;"Q4"</f>
        <v>2016Q4</v>
      </c>
      <c r="CQ3" s="526" t="str">
        <f>CQ2&amp;"Q1"</f>
        <v>2017Q1</v>
      </c>
      <c r="CR3" s="526" t="str">
        <f>CQ2&amp;"Q2"</f>
        <v>2017Q2</v>
      </c>
      <c r="CS3" s="526" t="str">
        <f>CQ2&amp;"Q3"</f>
        <v>2017Q3</v>
      </c>
      <c r="CT3" s="526" t="str">
        <f>CQ2&amp;"Q4"</f>
        <v>2017Q4</v>
      </c>
      <c r="CU3" s="526" t="str">
        <f>CU2&amp;"Q1"</f>
        <v>2018Q1</v>
      </c>
      <c r="CV3" s="526" t="str">
        <f>CU2&amp;"Q2"</f>
        <v>2018Q2</v>
      </c>
      <c r="CW3" s="526" t="str">
        <f>CU2&amp;"Q3"</f>
        <v>2018Q3</v>
      </c>
      <c r="CX3" s="526" t="str">
        <f>CU2&amp;"Q4"</f>
        <v>2018Q4</v>
      </c>
      <c r="CY3" s="526" t="str">
        <f>CY2&amp;"Q1"</f>
        <v>2019Q1</v>
      </c>
      <c r="CZ3" s="526" t="str">
        <f>CY2&amp;"Q2"</f>
        <v>2019Q2</v>
      </c>
      <c r="DA3" s="526" t="str">
        <f>CY2&amp;"Q3"</f>
        <v>2019Q3</v>
      </c>
      <c r="DB3" s="526" t="str">
        <f>CY2&amp;"Q4"</f>
        <v>2019Q4</v>
      </c>
      <c r="DC3" s="526" t="str">
        <f>DC2&amp;"Q1"</f>
        <v>2020Q1</v>
      </c>
      <c r="DD3" s="1"/>
      <c r="DE3" s="1"/>
      <c r="DF3" s="1"/>
    </row>
    <row r="4" spans="1:110">
      <c r="A4" s="530"/>
      <c r="B4" s="531"/>
      <c r="C4" s="532"/>
      <c r="D4" s="9"/>
      <c r="E4" s="10"/>
      <c r="F4" s="11"/>
      <c r="G4" s="543"/>
      <c r="H4" s="543"/>
      <c r="I4" s="543"/>
      <c r="J4" s="543"/>
      <c r="K4" s="543"/>
      <c r="L4" s="543"/>
      <c r="M4" s="543"/>
      <c r="N4" s="543"/>
      <c r="O4" s="543"/>
      <c r="P4" s="543"/>
      <c r="Q4" s="543"/>
      <c r="R4" s="543"/>
      <c r="S4" s="543"/>
      <c r="T4" s="543"/>
      <c r="U4" s="543"/>
      <c r="V4" s="543"/>
      <c r="W4" s="543"/>
      <c r="X4" s="543"/>
      <c r="Y4" s="543"/>
      <c r="Z4" s="543"/>
      <c r="AA4" s="543"/>
      <c r="AB4" s="543"/>
      <c r="AC4" s="543"/>
      <c r="AD4" s="543"/>
      <c r="AE4" s="543"/>
      <c r="AF4" s="543"/>
      <c r="AG4" s="543"/>
      <c r="AH4" s="543"/>
      <c r="AI4" s="543"/>
      <c r="AJ4" s="543"/>
      <c r="AK4" s="543"/>
      <c r="AL4" s="543"/>
      <c r="AM4" s="543"/>
      <c r="AN4" s="543"/>
      <c r="AO4" s="543"/>
      <c r="AP4" s="543"/>
      <c r="AQ4" s="543"/>
      <c r="AR4" s="543"/>
      <c r="AS4" s="543"/>
      <c r="AT4" s="543"/>
      <c r="AU4" s="543"/>
      <c r="AV4" s="543"/>
      <c r="AW4" s="543"/>
      <c r="AX4" s="543"/>
      <c r="AY4" s="543"/>
      <c r="AZ4" s="543"/>
      <c r="BA4" s="543"/>
      <c r="BB4" s="543"/>
      <c r="BC4" s="543"/>
      <c r="BD4" s="543"/>
      <c r="BE4" s="543"/>
      <c r="BF4" s="543"/>
      <c r="BG4" s="543"/>
      <c r="BH4" s="543"/>
      <c r="BI4" s="543"/>
      <c r="BJ4" s="543"/>
      <c r="BK4" s="543"/>
      <c r="BL4" s="543"/>
      <c r="BM4" s="543"/>
      <c r="BN4" s="543"/>
      <c r="BO4" s="543"/>
      <c r="BP4" s="543"/>
      <c r="BQ4" s="543"/>
      <c r="BR4" s="543"/>
      <c r="BS4" s="543"/>
      <c r="BT4" s="543"/>
      <c r="BU4" s="543"/>
      <c r="BV4" s="543"/>
      <c r="BW4" s="543"/>
      <c r="BX4" s="543"/>
      <c r="BY4" s="543"/>
      <c r="BZ4" s="543"/>
      <c r="CA4" s="543"/>
      <c r="CB4" s="543"/>
      <c r="CC4" s="543"/>
      <c r="CD4" s="543"/>
      <c r="CE4" s="543"/>
      <c r="CF4" s="543"/>
      <c r="CG4" s="543"/>
      <c r="CH4" s="543"/>
      <c r="CI4" s="543"/>
      <c r="CJ4" s="543"/>
      <c r="CK4" s="543"/>
      <c r="CL4" s="543"/>
      <c r="CM4" s="543"/>
      <c r="CN4" s="543"/>
      <c r="CO4" s="543"/>
      <c r="CP4" s="543"/>
      <c r="CQ4" s="543"/>
      <c r="CR4" s="543"/>
      <c r="CS4" s="543"/>
      <c r="CT4" s="543"/>
      <c r="CU4" s="543"/>
      <c r="CV4" s="543"/>
      <c r="CW4" s="543"/>
      <c r="CX4" s="543"/>
      <c r="CY4" s="543"/>
      <c r="CZ4" s="543"/>
      <c r="DA4" s="543"/>
      <c r="DB4" s="543"/>
      <c r="DC4" s="543"/>
    </row>
    <row r="5" spans="1:110">
      <c r="A5" s="1546">
        <v>15</v>
      </c>
      <c r="B5" s="534" t="s">
        <v>1017</v>
      </c>
      <c r="C5" s="535" t="s">
        <v>2064</v>
      </c>
      <c r="D5" s="1547" t="s">
        <v>1841</v>
      </c>
      <c r="E5" s="1548">
        <v>65</v>
      </c>
      <c r="F5" s="1549" t="str">
        <f>VLOOKUP($E$5,[1]QUART!$A$2:$FA$324, 3, FALSE)</f>
        <v xml:space="preserve">65  Household final consumption expenditure (domestic)                              </v>
      </c>
      <c r="G5" s="1550">
        <f>IF(VLOOKUP($E$5,[1]QUART!$A$2:$FA$324, 6, FALSE)="",":",VLOOKUP($E$5,[1]QUART!$A$2:$FA$324, 6, FALSE))</f>
        <v>1626.21640407785</v>
      </c>
      <c r="H5" s="1550">
        <f>IF(VLOOKUP($E$5,[1]QUART!$A$2:$FA$324, 7, FALSE)="",":",VLOOKUP($E$5,[1]QUART!$A$2:$FA$324, 7, FALSE))</f>
        <v>1668.5588507877665</v>
      </c>
      <c r="I5" s="1550">
        <f>IF(VLOOKUP($E$5,[1]QUART!$A$2:$FA$324, 8, FALSE)="",":",VLOOKUP($E$5,[1]QUART!$A$2:$FA$324, 8, FALSE))</f>
        <v>1706.6438832252086</v>
      </c>
      <c r="J5" s="1550">
        <f>IF(VLOOKUP($E$5,[1]QUART!$A$2:$FA$324, 9, FALSE)="",":",VLOOKUP($E$5,[1]QUART!$A$2:$FA$324, 9, FALSE))</f>
        <v>1734.4184430027806</v>
      </c>
      <c r="K5" s="1550">
        <f>IF(VLOOKUP($E$5,[1]QUART!$A$2:$FA$324, 10, FALSE)="",":",VLOOKUP($E$5,[1]QUART!$A$2:$FA$324, 10, FALSE))</f>
        <v>1753.9098702502317</v>
      </c>
      <c r="L5" s="1550">
        <f>IF(VLOOKUP($E$5,[1]QUART!$A$2:$FA$324, 11, FALSE)="",":",VLOOKUP($E$5,[1]QUART!$A$2:$FA$324, 11, FALSE))</f>
        <v>1776.905699721965</v>
      </c>
      <c r="M5" s="1550">
        <f>IF(VLOOKUP($E$5,[1]QUART!$A$2:$FA$324, 12, FALSE)="",":",VLOOKUP($E$5,[1]QUART!$A$2:$FA$324, 12, FALSE))</f>
        <v>1780.2942539388323</v>
      </c>
      <c r="N5" s="1550">
        <f>IF(VLOOKUP($E$5,[1]QUART!$A$2:$FA$324, 13, FALSE)="",":",VLOOKUP($E$5,[1]QUART!$A$2:$FA$324, 13, FALSE))</f>
        <v>1837.8417516218722</v>
      </c>
      <c r="O5" s="1550">
        <f>IF(VLOOKUP($E$5,[1]QUART!$A$2:$FA$324, 14, FALSE)="",":",VLOOKUP($E$5,[1]QUART!$A$2:$FA$324, 14, FALSE))</f>
        <v>1868.2808155699722</v>
      </c>
      <c r="P5" s="1550">
        <f>IF(VLOOKUP($E$5,[1]QUART!$A$2:$FA$324, 15, FALSE)="",":",VLOOKUP($E$5,[1]QUART!$A$2:$FA$324, 15, FALSE))</f>
        <v>1865.0949953660797</v>
      </c>
      <c r="Q5" s="1550">
        <f>IF(VLOOKUP($E$5,[1]QUART!$A$2:$FA$324, 16, FALSE)="",":",VLOOKUP($E$5,[1]QUART!$A$2:$FA$324, 16, FALSE))</f>
        <v>1905.3521779425396</v>
      </c>
      <c r="R5" s="1550">
        <f>IF(VLOOKUP($E$5,[1]QUART!$A$2:$FA$324, 17, FALSE)="",":",VLOOKUP($E$5,[1]QUART!$A$2:$FA$324, 17, FALSE))</f>
        <v>1938.6584800741427</v>
      </c>
      <c r="S5" s="1550">
        <f>IF(VLOOKUP($E$5,[1]QUART!$A$2:$FA$324, 18, FALSE)="",":",VLOOKUP($E$5,[1]QUART!$A$2:$FA$324, 18, FALSE))</f>
        <v>1964.7822057460612</v>
      </c>
      <c r="T5" s="1550">
        <f>IF(VLOOKUP($E$5,[1]QUART!$A$2:$FA$324, 19, FALSE)="",":",VLOOKUP($E$5,[1]QUART!$A$2:$FA$324, 19, FALSE))</f>
        <v>1948.3897126969416</v>
      </c>
      <c r="U5" s="1550">
        <f>IF(VLOOKUP($E$5,[1]QUART!$A$2:$FA$324, 20, FALSE)="",":",VLOOKUP($E$5,[1]QUART!$A$2:$FA$324, 20, FALSE))</f>
        <v>2007.8197405004635</v>
      </c>
      <c r="V5" s="1550">
        <f>IF(VLOOKUP($E$5,[1]QUART!$A$2:$FA$324, 21, FALSE)="",":",VLOOKUP($E$5,[1]QUART!$A$2:$FA$324, 21, FALSE))</f>
        <v>2015.6394810009269</v>
      </c>
      <c r="W5" s="1550">
        <f>IF(VLOOKUP($E$5,[1]QUART!$A$2:$FA$324, 22, FALSE)="",":",VLOOKUP($E$5,[1]QUART!$A$2:$FA$324, 22, FALSE))</f>
        <v>2005.2421223354959</v>
      </c>
      <c r="X5" s="1550">
        <f>IF(VLOOKUP($E$5,[1]QUART!$A$2:$FA$324, 23, FALSE)="",":",VLOOKUP($E$5,[1]QUART!$A$2:$FA$324, 23, FALSE))</f>
        <v>2094.9374420759964</v>
      </c>
      <c r="Y5" s="1550">
        <f>IF(VLOOKUP($E$5,[1]QUART!$A$2:$FA$324, 24, FALSE)="",":",VLOOKUP($E$5,[1]QUART!$A$2:$FA$324, 24, FALSE))</f>
        <v>2118.0491195551435</v>
      </c>
      <c r="Z5" s="1550">
        <f>IF(VLOOKUP($E$5,[1]QUART!$A$2:$FA$324, 25, FALSE)="",":",VLOOKUP($E$5,[1]QUART!$A$2:$FA$324, 25, FALSE))</f>
        <v>2113.3862372567196</v>
      </c>
      <c r="AA5" s="1550">
        <f>IF(VLOOKUP($E$5,[1]QUART!$A$2:$FA$324, 26, FALSE)="",":",VLOOKUP($E$5,[1]QUART!$A$2:$FA$324, 26, FALSE))</f>
        <v>2153.6723818350324</v>
      </c>
      <c r="AB5" s="1550">
        <f>IF(VLOOKUP($E$5,[1]QUART!$A$2:$FA$324, 27, FALSE)="",":",VLOOKUP($E$5,[1]QUART!$A$2:$FA$324, 27, FALSE))</f>
        <v>2220.9511121408714</v>
      </c>
      <c r="AC5" s="1550">
        <f>IF(VLOOKUP($E$5,[1]QUART!$A$2:$FA$324, 28, FALSE)="",":",VLOOKUP($E$5,[1]QUART!$A$2:$FA$324, 28, FALSE))</f>
        <v>2241.0797034291013</v>
      </c>
      <c r="AD5" s="1550">
        <f>IF(VLOOKUP($E$5,[1]QUART!$A$2:$FA$324, 29, FALSE)="",":",VLOOKUP($E$5,[1]QUART!$A$2:$FA$324, 29, FALSE))</f>
        <v>2266.1318350324377</v>
      </c>
      <c r="AE5" s="1550">
        <f>IF(VLOOKUP($E$5,[1]QUART!$A$2:$FA$324, 30, FALSE)="",":",VLOOKUP($E$5,[1]QUART!$A$2:$FA$324, 30, FALSE))</f>
        <v>2315.3093141797963</v>
      </c>
      <c r="AF5" s="1550">
        <f>IF(VLOOKUP($E$5,[1]QUART!$A$2:$FA$324, 31, FALSE)="",":",VLOOKUP($E$5,[1]QUART!$A$2:$FA$324, 31, FALSE))</f>
        <v>2280.9024559777572</v>
      </c>
      <c r="AG5" s="1550">
        <f>IF(VLOOKUP($E$5,[1]QUART!$A$2:$FA$324, 32, FALSE)="",":",VLOOKUP($E$5,[1]QUART!$A$2:$FA$324, 32, FALSE))</f>
        <v>2322.3760426320669</v>
      </c>
      <c r="AH5" s="1550">
        <f>IF(VLOOKUP($E$5,[1]QUART!$A$2:$FA$324, 33, FALSE)="",":",VLOOKUP($E$5,[1]QUART!$A$2:$FA$324, 33, FALSE))</f>
        <v>2368.5993975903616</v>
      </c>
      <c r="AI5" s="1550">
        <f>IF(VLOOKUP($E$5,[1]QUART!$A$2:$FA$324, 34, FALSE)="",":",VLOOKUP($E$5,[1]QUART!$A$2:$FA$324, 34, FALSE))</f>
        <v>2416.7632066728456</v>
      </c>
      <c r="AJ5" s="1550">
        <f>IF(VLOOKUP($E$5,[1]QUART!$A$2:$FA$324, 35, FALSE)="",":",VLOOKUP($E$5,[1]QUART!$A$2:$FA$324, 35, FALSE))</f>
        <v>2444.8563484708066</v>
      </c>
      <c r="AK5" s="1550">
        <f>IF(VLOOKUP($E$5,[1]QUART!$A$2:$FA$324, 36, FALSE)="",":",VLOOKUP($E$5,[1]QUART!$A$2:$FA$324, 36, FALSE))</f>
        <v>2477.0620945319738</v>
      </c>
      <c r="AL5" s="1550">
        <f>IF(VLOOKUP($E$5,[1]QUART!$A$2:$FA$324, 37, FALSE)="",":",VLOOKUP($E$5,[1]QUART!$A$2:$FA$324, 37, FALSE))</f>
        <v>2521.113299351251</v>
      </c>
      <c r="AM5" s="1550">
        <f>IF(VLOOKUP($E$5,[1]QUART!$A$2:$FA$324, 38, FALSE)="",":",VLOOKUP($E$5,[1]QUART!$A$2:$FA$324, 38, FALSE))</f>
        <v>2656.6265060240962</v>
      </c>
      <c r="AN5" s="1550">
        <f>IF(VLOOKUP($E$5,[1]QUART!$A$2:$FA$324, 39, FALSE)="",":",VLOOKUP($E$5,[1]QUART!$A$2:$FA$324, 39, FALSE))</f>
        <v>2710.9881835032438</v>
      </c>
      <c r="AO5" s="1550">
        <f>IF(VLOOKUP($E$5,[1]QUART!$A$2:$FA$324, 40, FALSE)="",":",VLOOKUP($E$5,[1]QUART!$A$2:$FA$324, 40, FALSE))</f>
        <v>2739.1971733086193</v>
      </c>
      <c r="AP5" s="1550">
        <f>IF(VLOOKUP($E$5,[1]QUART!$A$2:$FA$324, 41, FALSE)="",":",VLOOKUP($E$5,[1]QUART!$A$2:$FA$324, 41, FALSE))</f>
        <v>2860.0266450417057</v>
      </c>
      <c r="AQ5" s="1550">
        <f>IF(VLOOKUP($E$5,[1]QUART!$A$2:$FA$324, 42, FALSE)="",":",VLOOKUP($E$5,[1]QUART!$A$2:$FA$324, 42, FALSE))</f>
        <v>2914.0987025023169</v>
      </c>
      <c r="AR5" s="1550">
        <f>IF(VLOOKUP($E$5,[1]QUART!$A$2:$FA$324, 43, FALSE)="",":",VLOOKUP($E$5,[1]QUART!$A$2:$FA$324, 43, FALSE))</f>
        <v>3018.2460611677479</v>
      </c>
      <c r="AS5" s="1550">
        <f>IF(VLOOKUP($E$5,[1]QUART!$A$2:$FA$324, 44, FALSE)="",":",VLOOKUP($E$5,[1]QUART!$A$2:$FA$324, 44, FALSE))</f>
        <v>3117.3250695088045</v>
      </c>
      <c r="AT5" s="1550">
        <f>IF(VLOOKUP($E$5,[1]QUART!$A$2:$FA$324, 45, FALSE)="",":",VLOOKUP($E$5,[1]QUART!$A$2:$FA$324, 45, FALSE))</f>
        <v>3159.4068582020386</v>
      </c>
      <c r="AU5" s="1550">
        <f>IF(VLOOKUP($E$5,[1]QUART!$A$2:$FA$324, 46, FALSE)="",":",VLOOKUP($E$5,[1]QUART!$A$2:$FA$324, 46, FALSE))</f>
        <v>4161.5</v>
      </c>
      <c r="AV5" s="1550">
        <f>IF(VLOOKUP($E$5,[1]QUART!$A$2:$FA$324, 47, FALSE)="",":",VLOOKUP($E$5,[1]QUART!$A$2:$FA$324, 47, FALSE))</f>
        <v>4387.1000000000004</v>
      </c>
      <c r="AW5" s="1550">
        <f>IF(VLOOKUP($E$5,[1]QUART!$A$2:$FA$324, 48, FALSE)="",":",VLOOKUP($E$5,[1]QUART!$A$2:$FA$324, 48, FALSE))</f>
        <v>4455.5</v>
      </c>
      <c r="AX5" s="1550">
        <f>IF(VLOOKUP($E$5,[1]QUART!$A$2:$FA$324, 49, FALSE)="",":",VLOOKUP($E$5,[1]QUART!$A$2:$FA$324, 49, FALSE))</f>
        <v>4641.1000000000004</v>
      </c>
      <c r="AY5" s="1550">
        <f>IF(VLOOKUP($E$5,[1]QUART!$A$2:$FA$324, 50, FALSE)="",":",VLOOKUP($E$5,[1]QUART!$A$2:$FA$324, 50, FALSE))</f>
        <v>4500.8</v>
      </c>
      <c r="AZ5" s="1550">
        <f>IF(VLOOKUP($E$5,[1]QUART!$A$2:$FA$324, 51, FALSE)="",":",VLOOKUP($E$5,[1]QUART!$A$2:$FA$324, 51, FALSE))</f>
        <v>4720.3999999999996</v>
      </c>
      <c r="BA5" s="1550">
        <f>IF(VLOOKUP($E$5,[1]QUART!$A$2:$FA$324, 52, FALSE)="",":",VLOOKUP($E$5,[1]QUART!$A$2:$FA$324, 52, FALSE))</f>
        <v>5004</v>
      </c>
      <c r="BB5" s="1550">
        <f>IF(VLOOKUP($E$5,[1]QUART!$A$2:$FA$324, 53, FALSE)="",":",VLOOKUP($E$5,[1]QUART!$A$2:$FA$324, 53, FALSE))</f>
        <v>5024.8</v>
      </c>
      <c r="BC5" s="1550">
        <f>IF(VLOOKUP($E$5,[1]QUART!$A$2:$FA$324, 54, FALSE)="",":",VLOOKUP($E$5,[1]QUART!$A$2:$FA$324, 54, FALSE))</f>
        <v>5202.3999999999996</v>
      </c>
      <c r="BD5" s="1550">
        <f>IF(VLOOKUP($E$5,[1]QUART!$A$2:$FA$324, 55, FALSE)="",":",VLOOKUP($E$5,[1]QUART!$A$2:$FA$324, 55, FALSE))</f>
        <v>5365</v>
      </c>
      <c r="BE5" s="1550">
        <f>IF(VLOOKUP($E$5,[1]QUART!$A$2:$FA$324, 56, FALSE)="",":",VLOOKUP($E$5,[1]QUART!$A$2:$FA$324, 56, FALSE))</f>
        <v>5387.7</v>
      </c>
      <c r="BF5" s="1550">
        <f>IF(VLOOKUP($E$5,[1]QUART!$A$2:$FA$324, 57, FALSE)="",":",VLOOKUP($E$5,[1]QUART!$A$2:$FA$324, 57, FALSE))</f>
        <v>5684.6</v>
      </c>
      <c r="BG5" s="1550">
        <f>IF(VLOOKUP($E$5,[1]QUART!$A$2:$FA$324, 58, FALSE)="",":",VLOOKUP($E$5,[1]QUART!$A$2:$FA$324, 58, FALSE))</f>
        <v>5712.7</v>
      </c>
      <c r="BH5" s="1550">
        <f>IF(VLOOKUP($E$5,[1]QUART!$A$2:$FA$324, 59, FALSE)="",":",VLOOKUP($E$5,[1]QUART!$A$2:$FA$324, 59, FALSE))</f>
        <v>5690.9</v>
      </c>
      <c r="BI5" s="1550">
        <f>IF(VLOOKUP($E$5,[1]QUART!$A$2:$FA$324, 60, FALSE)="",":",VLOOKUP($E$5,[1]QUART!$A$2:$FA$324, 60, FALSE))</f>
        <v>5577.5</v>
      </c>
      <c r="BJ5" s="1550">
        <f>IF(VLOOKUP($E$5,[1]QUART!$A$2:$FA$324, 61, FALSE)="",":",VLOOKUP($E$5,[1]QUART!$A$2:$FA$324, 61, FALSE))</f>
        <v>5452.4</v>
      </c>
      <c r="BK5" s="1550">
        <f>IF(VLOOKUP($E$5,[1]QUART!$A$2:$FA$324, 62, FALSE)="",":",VLOOKUP($E$5,[1]QUART!$A$2:$FA$324, 62, FALSE))</f>
        <v>4815</v>
      </c>
      <c r="BL5" s="1550">
        <f>IF(VLOOKUP($E$5,[1]QUART!$A$2:$FA$324, 63, FALSE)="",":",VLOOKUP($E$5,[1]QUART!$A$2:$FA$324, 63, FALSE))</f>
        <v>4729.8999999999996</v>
      </c>
      <c r="BM5" s="1550">
        <f>IF(VLOOKUP($E$5,[1]QUART!$A$2:$FA$324, 64, FALSE)="",":",VLOOKUP($E$5,[1]QUART!$A$2:$FA$324, 64, FALSE))</f>
        <v>4616.8</v>
      </c>
      <c r="BN5" s="1550">
        <f>IF(VLOOKUP($E$5,[1]QUART!$A$2:$FA$324, 65, FALSE)="",":",VLOOKUP($E$5,[1]QUART!$A$2:$FA$324, 65, FALSE))</f>
        <v>4417.6000000000004</v>
      </c>
      <c r="BO5" s="1550">
        <f>IF(VLOOKUP($E$5,[1]QUART!$A$2:$FA$324, 66, FALSE)="",":",VLOOKUP($E$5,[1]QUART!$A$2:$FA$324, 66, FALSE))</f>
        <v>4447.2</v>
      </c>
      <c r="BP5" s="1550">
        <f>IF(VLOOKUP($E$5,[1]QUART!$A$2:$FA$324, 67, FALSE)="",":",VLOOKUP($E$5,[1]QUART!$A$2:$FA$324, 67, FALSE))</f>
        <v>4417</v>
      </c>
      <c r="BQ5" s="1550">
        <f>IF(VLOOKUP($E$5,[1]QUART!$A$2:$FA$324, 68, FALSE)="",":",VLOOKUP($E$5,[1]QUART!$A$2:$FA$324, 68, FALSE))</f>
        <v>4533.8</v>
      </c>
      <c r="BR5" s="1550">
        <f>IF(VLOOKUP($E$5,[1]QUART!$A$2:$FA$324, 69, FALSE)="",":",VLOOKUP($E$5,[1]QUART!$A$2:$FA$324, 69, FALSE))</f>
        <v>4554.3999999999996</v>
      </c>
      <c r="BS5" s="1550">
        <f>IF(VLOOKUP($E$5,[1]QUART!$A$2:$FA$324, 70, FALSE)="",":",VLOOKUP($E$5,[1]QUART!$A$2:$FA$324, 70, FALSE))</f>
        <v>4610.8999999999996</v>
      </c>
      <c r="BT5" s="1550">
        <f>IF(VLOOKUP($E$5,[1]QUART!$A$2:$FA$324, 71, FALSE)="",":",VLOOKUP($E$5,[1]QUART!$A$2:$FA$324, 71, FALSE))</f>
        <v>4671.8</v>
      </c>
      <c r="BU5" s="1550">
        <f>IF(VLOOKUP($E$5,[1]QUART!$A$2:$FA$324, 72, FALSE)="",":",VLOOKUP($E$5,[1]QUART!$A$2:$FA$324, 72, FALSE))</f>
        <v>4729</v>
      </c>
      <c r="BV5" s="1550">
        <f>IF(VLOOKUP($E$5,[1]QUART!$A$2:$FA$324, 73, FALSE)="",":",VLOOKUP($E$5,[1]QUART!$A$2:$FA$324, 73, FALSE))</f>
        <v>4789.7</v>
      </c>
      <c r="BW5" s="1550">
        <f>IF(VLOOKUP($E$5,[1]QUART!$A$2:$FA$324, 74, FALSE)="",":",VLOOKUP($E$5,[1]QUART!$A$2:$FA$324, 74, FALSE))</f>
        <v>4777.8</v>
      </c>
      <c r="BX5" s="1550">
        <f>IF(VLOOKUP($E$5,[1]QUART!$A$2:$FA$324, 75, FALSE)="",":",VLOOKUP($E$5,[1]QUART!$A$2:$FA$324, 75, FALSE))</f>
        <v>4787.7</v>
      </c>
      <c r="BY5" s="1550">
        <f>IF(VLOOKUP($E$5,[1]QUART!$A$2:$FA$324, 76, FALSE)="",":",VLOOKUP($E$5,[1]QUART!$A$2:$FA$324, 76, FALSE))</f>
        <v>4816.3999999999996</v>
      </c>
      <c r="BZ5" s="1550">
        <f>IF(VLOOKUP($E$5,[1]QUART!$A$2:$FA$324, 77, FALSE)="",":",VLOOKUP($E$5,[1]QUART!$A$2:$FA$324, 77, FALSE))</f>
        <v>4894.1000000000004</v>
      </c>
      <c r="CA5" s="1550">
        <f>IF(VLOOKUP($E$5,[1]QUART!$A$2:$FA$324, 78, FALSE)="",":",VLOOKUP($E$5,[1]QUART!$A$2:$FA$324, 78, FALSE))</f>
        <v>4984</v>
      </c>
      <c r="CB5" s="1550">
        <f>IF(VLOOKUP($E$5,[1]QUART!$A$2:$FA$324, 79, FALSE)="",":",VLOOKUP($E$5,[1]QUART!$A$2:$FA$324, 79, FALSE))</f>
        <v>5013</v>
      </c>
      <c r="CC5" s="1550">
        <f>IF(VLOOKUP($E$5,[1]QUART!$A$2:$FA$324, 80, FALSE)="",":",VLOOKUP($E$5,[1]QUART!$A$2:$FA$324, 80, FALSE))</f>
        <v>5082.8999999999996</v>
      </c>
      <c r="CD5" s="1550">
        <f>IF(VLOOKUP($E$5,[1]QUART!$A$2:$FA$324, 81, FALSE)="",":",VLOOKUP($E$5,[1]QUART!$A$2:$FA$324, 81, FALSE))</f>
        <v>5137.2</v>
      </c>
      <c r="CE5" s="1550">
        <f>IF(VLOOKUP($E$5,[1]QUART!$A$2:$FA$324, 82, FALSE)="",":",VLOOKUP($E$5,[1]QUART!$A$2:$FA$324, 82, FALSE))</f>
        <v>5207.6000000000004</v>
      </c>
      <c r="CF5" s="1550">
        <f>IF(VLOOKUP($E$5,[1]QUART!$A$2:$FA$324, 83, FALSE)="",":",VLOOKUP($E$5,[1]QUART!$A$2:$FA$324, 83, FALSE))</f>
        <v>5226.2</v>
      </c>
      <c r="CG5" s="1550">
        <f>IF(VLOOKUP($E$5,[1]QUART!$A$2:$FA$324, 84, FALSE)="",":",VLOOKUP($E$5,[1]QUART!$A$2:$FA$324, 84, FALSE))</f>
        <v>5242.6000000000004</v>
      </c>
      <c r="CH5" s="1550">
        <f>IF(VLOOKUP($E$5,[1]QUART!$A$2:$FA$324, 85, FALSE)="",":",VLOOKUP($E$5,[1]QUART!$A$2:$FA$324, 85, FALSE))</f>
        <v>5322.1</v>
      </c>
      <c r="CI5" s="1550">
        <f>IF(VLOOKUP($E$5,[1]QUART!$A$2:$FA$324, 86, FALSE)="",":",VLOOKUP($E$5,[1]QUART!$A$2:$FA$324, 86, FALSE))</f>
        <v>5385.9</v>
      </c>
      <c r="CJ5" s="1550">
        <f>IF(VLOOKUP($E$5,[1]QUART!$A$2:$FA$324, 87, FALSE)="",":",VLOOKUP($E$5,[1]QUART!$A$2:$FA$324, 87, FALSE))</f>
        <v>5400.8</v>
      </c>
      <c r="CK5" s="1550">
        <f>IF(VLOOKUP($E$5,[1]QUART!$A$2:$FA$324, 88, FALSE)="",":",VLOOKUP($E$5,[1]QUART!$A$2:$FA$324, 88, FALSE))</f>
        <v>5513.6</v>
      </c>
      <c r="CL5" s="1550">
        <f>IF(VLOOKUP($E$5,[1]QUART!$A$2:$FA$324, 89, FALSE)="",":",VLOOKUP($E$5,[1]QUART!$A$2:$FA$324, 89, FALSE))</f>
        <v>5539</v>
      </c>
      <c r="CM5" s="1550">
        <f>IF(VLOOKUP($E$5,[1]QUART!$A$2:$FA$324, 90, FALSE)="",":",VLOOKUP($E$5,[1]QUART!$A$2:$FA$324, 90, FALSE))</f>
        <v>5552.5</v>
      </c>
      <c r="CN5" s="1550">
        <f>IF(VLOOKUP($E$5,[1]QUART!$A$2:$FA$324, 91, FALSE)="",":",VLOOKUP($E$5,[1]QUART!$A$2:$FA$324, 91, FALSE))</f>
        <v>5696.7</v>
      </c>
      <c r="CO5" s="1550">
        <f>IF(VLOOKUP($E$5,[1]QUART!$A$2:$FA$324, 92, FALSE)="",":",VLOOKUP($E$5,[1]QUART!$A$2:$FA$324, 92, FALSE))</f>
        <v>5776.7</v>
      </c>
      <c r="CP5" s="1550">
        <f>IF(VLOOKUP($E$5,[1]QUART!$A$2:$FA$324, 93, FALSE)="",":",VLOOKUP($E$5,[1]QUART!$A$2:$FA$324, 93, FALSE))</f>
        <v>5832.4</v>
      </c>
      <c r="CQ5" s="1550">
        <f>IF(VLOOKUP($E$5,[1]QUART!$A$2:$FA$324, 94, FALSE)="",":",VLOOKUP($E$5,[1]QUART!$A$2:$FA$324, 94, FALSE))</f>
        <v>5874.1</v>
      </c>
      <c r="CR5" s="1550">
        <f>IF(VLOOKUP($E$5,[1]QUART!$A$2:$FA$324, 95, FALSE)="",":",VLOOKUP($E$5,[1]QUART!$A$2:$FA$324, 95, FALSE))</f>
        <v>5941.7</v>
      </c>
      <c r="CS5" s="1550">
        <f>IF(VLOOKUP($E$5,[1]QUART!$A$2:$FA$324, 96, FALSE)="",":",VLOOKUP($E$5,[1]QUART!$A$2:$FA$324, 96, FALSE))</f>
        <v>5940.4</v>
      </c>
      <c r="CT5" s="1550">
        <f>IF(VLOOKUP($E$5,[1]QUART!$A$2:$FA$324, 97, FALSE)="",":",VLOOKUP($E$5,[1]QUART!$A$2:$FA$324, 97, FALSE))</f>
        <v>6044.8</v>
      </c>
      <c r="CU5" s="1550" t="str">
        <f>IF(VLOOKUP($E$5,[1]QUART!$A$2:$FA$324, 98, FALSE)="",":",VLOOKUP($E$5,[1]QUART!$A$2:$FA$324, 98, FALSE))</f>
        <v>:</v>
      </c>
      <c r="CV5" s="1550" t="str">
        <f>IF(VLOOKUP($E$5,[1]QUART!$A$2:$FA$324, 99, FALSE)="",":",VLOOKUP($E$5,[1]QUART!$A$2:$FA$324, 99, FALSE))</f>
        <v>:</v>
      </c>
      <c r="CW5" s="1550" t="str">
        <f>IF(VLOOKUP($E$5,[1]QUART!$A$2:$FA$324, 100, FALSE)="",":",VLOOKUP($E$5,[1]QUART!$A$2:$FA$324, 100, FALSE))</f>
        <v>:</v>
      </c>
      <c r="CX5" s="1550" t="str">
        <f>IF(VLOOKUP($E$5,[1]QUART!$A$2:$FA$324, 101, FALSE)="",":",VLOOKUP($E$5,[1]QUART!$A$2:$FA$324, 101, FALSE))</f>
        <v>:</v>
      </c>
      <c r="CY5" s="1550" t="str">
        <f>IF(VLOOKUP($E$5,[1]QUART!$A$2:$FA$324, 102, FALSE)="",":",VLOOKUP($E$5,[1]QUART!$A$2:$FA$324, 102, FALSE))</f>
        <v>:</v>
      </c>
      <c r="CZ5" s="1550" t="str">
        <f>IF(VLOOKUP($E$5,[1]QUART!$A$2:$FA$324, 103, FALSE)="",":",VLOOKUP($E$5,[1]QUART!$A$2:$FA$324, 103, FALSE))</f>
        <v>:</v>
      </c>
      <c r="DA5" s="1550" t="str">
        <f>IF(VLOOKUP($E$5,[1]QUART!$A$2:$FA$324, 104, FALSE)="",":",VLOOKUP($E$5,[1]QUART!$A$2:$FA$324, 104, FALSE))</f>
        <v>:</v>
      </c>
      <c r="DB5" s="1550" t="str">
        <f>IF(VLOOKUP($E$5,[1]QUART!$A$2:$FA$324, 105, FALSE)="",":",VLOOKUP($E$5,[1]QUART!$A$2:$FA$324, 105, FALSE))</f>
        <v>:</v>
      </c>
      <c r="DC5" s="1550" t="str">
        <f>IF(VLOOKUP($E$5,[1]QUART!$A$2:$FA$324, 106, FALSE)="",":",VLOOKUP($E$5,[1]QUART!$A$2:$FA$324, 106, FALSE))</f>
        <v>:</v>
      </c>
    </row>
    <row r="6" spans="1:110">
      <c r="A6" s="1546">
        <v>16</v>
      </c>
      <c r="B6" s="534" t="s">
        <v>533</v>
      </c>
      <c r="C6" s="535" t="s">
        <v>2067</v>
      </c>
      <c r="D6" s="1547" t="s">
        <v>1841</v>
      </c>
      <c r="E6" s="1548">
        <v>66</v>
      </c>
      <c r="F6" s="1549" t="str">
        <f>VLOOKUP($E$6,[1]QUART!$A$2:$FA$324, 3, FALSE)</f>
        <v xml:space="preserve">66  Government final consumption expenditure                                        </v>
      </c>
      <c r="G6" s="1550">
        <f>IF(VLOOKUP($E$6,[1]QUART!$A$2:$FA$324, 6, FALSE)="",":",VLOOKUP($E$6,[1]QUART!$A$2:$FA$324, 6, FALSE))</f>
        <v>818.43721037998148</v>
      </c>
      <c r="H6" s="1550">
        <f>IF(VLOOKUP($E$6,[1]QUART!$A$2:$FA$324, 7, FALSE)="",":",VLOOKUP($E$6,[1]QUART!$A$2:$FA$324, 7, FALSE))</f>
        <v>816.55468025949961</v>
      </c>
      <c r="I6" s="1550">
        <f>IF(VLOOKUP($E$6,[1]QUART!$A$2:$FA$324, 8, FALSE)="",":",VLOOKUP($E$6,[1]QUART!$A$2:$FA$324, 8, FALSE))</f>
        <v>818.06070435588504</v>
      </c>
      <c r="J6" s="1550">
        <f>IF(VLOOKUP($E$6,[1]QUART!$A$2:$FA$324, 9, FALSE)="",":",VLOOKUP($E$6,[1]QUART!$A$2:$FA$324, 9, FALSE))</f>
        <v>825.01158480074139</v>
      </c>
      <c r="K6" s="1550">
        <f>IF(VLOOKUP($E$6,[1]QUART!$A$2:$FA$324, 10, FALSE)="",":",VLOOKUP($E$6,[1]QUART!$A$2:$FA$324, 10, FALSE))</f>
        <v>814.38253012048199</v>
      </c>
      <c r="L6" s="1550">
        <f>IF(VLOOKUP($E$6,[1]QUART!$A$2:$FA$324, 11, FALSE)="",":",VLOOKUP($E$6,[1]QUART!$A$2:$FA$324, 11, FALSE))</f>
        <v>813.57159406858204</v>
      </c>
      <c r="M6" s="1550">
        <f>IF(VLOOKUP($E$6,[1]QUART!$A$2:$FA$324, 12, FALSE)="",":",VLOOKUP($E$6,[1]QUART!$A$2:$FA$324, 12, FALSE))</f>
        <v>824.89573679332716</v>
      </c>
      <c r="N6" s="1550">
        <f>IF(VLOOKUP($E$6,[1]QUART!$A$2:$FA$324, 13, FALSE)="",":",VLOOKUP($E$6,[1]QUART!$A$2:$FA$324, 13, FALSE))</f>
        <v>816.78637627432806</v>
      </c>
      <c r="O6" s="1550">
        <f>IF(VLOOKUP($E$6,[1]QUART!$A$2:$FA$324, 14, FALSE)="",":",VLOOKUP($E$6,[1]QUART!$A$2:$FA$324, 14, FALSE))</f>
        <v>824.37442075996296</v>
      </c>
      <c r="P6" s="1550">
        <f>IF(VLOOKUP($E$6,[1]QUART!$A$2:$FA$324, 15, FALSE)="",":",VLOOKUP($E$6,[1]QUART!$A$2:$FA$324, 15, FALSE))</f>
        <v>846.70412418906403</v>
      </c>
      <c r="Q6" s="1550">
        <f>IF(VLOOKUP($E$6,[1]QUART!$A$2:$FA$324, 16, FALSE)="",":",VLOOKUP($E$6,[1]QUART!$A$2:$FA$324, 16, FALSE))</f>
        <v>852.72822057460621</v>
      </c>
      <c r="R6" s="1550">
        <f>IF(VLOOKUP($E$6,[1]QUART!$A$2:$FA$324, 17, FALSE)="",":",VLOOKUP($E$6,[1]QUART!$A$2:$FA$324, 17, FALSE))</f>
        <v>848.38392029657098</v>
      </c>
      <c r="S6" s="1550">
        <f>IF(VLOOKUP($E$6,[1]QUART!$A$2:$FA$324, 18, FALSE)="",":",VLOOKUP($E$6,[1]QUART!$A$2:$FA$324, 18, FALSE))</f>
        <v>880.01042632066731</v>
      </c>
      <c r="T6" s="1550">
        <f>IF(VLOOKUP($E$6,[1]QUART!$A$2:$FA$324, 19, FALSE)="",":",VLOOKUP($E$6,[1]QUART!$A$2:$FA$324, 19, FALSE))</f>
        <v>880.96617238183512</v>
      </c>
      <c r="U6" s="1550">
        <f>IF(VLOOKUP($E$6,[1]QUART!$A$2:$FA$324, 20, FALSE)="",":",VLOOKUP($E$6,[1]QUART!$A$2:$FA$324, 20, FALSE))</f>
        <v>882.03776645041705</v>
      </c>
      <c r="V6" s="1550">
        <f>IF(VLOOKUP($E$6,[1]QUART!$A$2:$FA$324, 21, FALSE)="",":",VLOOKUP($E$6,[1]QUART!$A$2:$FA$324, 21, FALSE))</f>
        <v>892.55097312326234</v>
      </c>
      <c r="W6" s="1550">
        <f>IF(VLOOKUP($E$6,[1]QUART!$A$2:$FA$324, 22, FALSE)="",":",VLOOKUP($E$6,[1]QUART!$A$2:$FA$324, 22, FALSE))</f>
        <v>858.20203892493043</v>
      </c>
      <c r="X6" s="1550">
        <f>IF(VLOOKUP($E$6,[1]QUART!$A$2:$FA$324, 23, FALSE)="",":",VLOOKUP($E$6,[1]QUART!$A$2:$FA$324, 23, FALSE))</f>
        <v>853.04680259499537</v>
      </c>
      <c r="Y6" s="1550">
        <f>IF(VLOOKUP($E$6,[1]QUART!$A$2:$FA$324, 24, FALSE)="",":",VLOOKUP($E$6,[1]QUART!$A$2:$FA$324, 24, FALSE))</f>
        <v>837.11770157553292</v>
      </c>
      <c r="Z6" s="1550">
        <f>IF(VLOOKUP($E$6,[1]QUART!$A$2:$FA$324, 25, FALSE)="",":",VLOOKUP($E$6,[1]QUART!$A$2:$FA$324, 25, FALSE))</f>
        <v>836.42261353104732</v>
      </c>
      <c r="AA6" s="1550">
        <f>IF(VLOOKUP($E$6,[1]QUART!$A$2:$FA$324, 26, FALSE)="",":",VLOOKUP($E$6,[1]QUART!$A$2:$FA$324, 26, FALSE))</f>
        <v>854.06047265987036</v>
      </c>
      <c r="AB6" s="1550">
        <f>IF(VLOOKUP($E$6,[1]QUART!$A$2:$FA$324, 27, FALSE)="",":",VLOOKUP($E$6,[1]QUART!$A$2:$FA$324, 27, FALSE))</f>
        <v>845.83526413345692</v>
      </c>
      <c r="AC6" s="1550">
        <f>IF(VLOOKUP($E$6,[1]QUART!$A$2:$FA$324, 28, FALSE)="",":",VLOOKUP($E$6,[1]QUART!$A$2:$FA$324, 28, FALSE))</f>
        <v>848.73146431881378</v>
      </c>
      <c r="AD6" s="1550">
        <f>IF(VLOOKUP($E$6,[1]QUART!$A$2:$FA$324, 29, FALSE)="",":",VLOOKUP($E$6,[1]QUART!$A$2:$FA$324, 29, FALSE))</f>
        <v>852.58341056533834</v>
      </c>
      <c r="AE6" s="1550">
        <f>IF(VLOOKUP($E$6,[1]QUART!$A$2:$FA$324, 30, FALSE)="",":",VLOOKUP($E$6,[1]QUART!$A$2:$FA$324, 30, FALSE))</f>
        <v>856.5222428174236</v>
      </c>
      <c r="AF6" s="1550">
        <f>IF(VLOOKUP($E$6,[1]QUART!$A$2:$FA$324, 31, FALSE)="",":",VLOOKUP($E$6,[1]QUART!$A$2:$FA$324, 31, FALSE))</f>
        <v>859.07089898053755</v>
      </c>
      <c r="AG6" s="1550">
        <f>IF(VLOOKUP($E$6,[1]QUART!$A$2:$FA$324, 32, FALSE)="",":",VLOOKUP($E$6,[1]QUART!$A$2:$FA$324, 32, FALSE))</f>
        <v>857.68072289156635</v>
      </c>
      <c r="AH6" s="1550">
        <f>IF(VLOOKUP($E$6,[1]QUART!$A$2:$FA$324, 33, FALSE)="",":",VLOOKUP($E$6,[1]QUART!$A$2:$FA$324, 33, FALSE))</f>
        <v>859.50532900834105</v>
      </c>
      <c r="AI6" s="1550">
        <f>IF(VLOOKUP($E$6,[1]QUART!$A$2:$FA$324, 34, FALSE)="",":",VLOOKUP($E$6,[1]QUART!$A$2:$FA$324, 34, FALSE))</f>
        <v>872.68303985171451</v>
      </c>
      <c r="AJ6" s="1550">
        <f>IF(VLOOKUP($E$6,[1]QUART!$A$2:$FA$324, 35, FALSE)="",":",VLOOKUP($E$6,[1]QUART!$A$2:$FA$324, 35, FALSE))</f>
        <v>869.69995366079706</v>
      </c>
      <c r="AK6" s="1550">
        <f>IF(VLOOKUP($E$6,[1]QUART!$A$2:$FA$324, 36, FALSE)="",":",VLOOKUP($E$6,[1]QUART!$A$2:$FA$324, 36, FALSE))</f>
        <v>886.23725671918442</v>
      </c>
      <c r="AL6" s="1550">
        <f>IF(VLOOKUP($E$6,[1]QUART!$A$2:$FA$324, 37, FALSE)="",":",VLOOKUP($E$6,[1]QUART!$A$2:$FA$324, 37, FALSE))</f>
        <v>888.69902687673778</v>
      </c>
      <c r="AM6" s="1550">
        <f>IF(VLOOKUP($E$6,[1]QUART!$A$2:$FA$324, 38, FALSE)="",":",VLOOKUP($E$6,[1]QUART!$A$2:$FA$324, 38, FALSE))</f>
        <v>892.89851714550514</v>
      </c>
      <c r="AN6" s="1550">
        <f>IF(VLOOKUP($E$6,[1]QUART!$A$2:$FA$324, 39, FALSE)="",":",VLOOKUP($E$6,[1]QUART!$A$2:$FA$324, 39, FALSE))</f>
        <v>904.01992585727533</v>
      </c>
      <c r="AO6" s="1550">
        <f>IF(VLOOKUP($E$6,[1]QUART!$A$2:$FA$324, 40, FALSE)="",":",VLOOKUP($E$6,[1]QUART!$A$2:$FA$324, 40, FALSE))</f>
        <v>909.17516218721039</v>
      </c>
      <c r="AP6" s="1550">
        <f>IF(VLOOKUP($E$6,[1]QUART!$A$2:$FA$324, 41, FALSE)="",":",VLOOKUP($E$6,[1]QUART!$A$2:$FA$324, 41, FALSE))</f>
        <v>919.86214087117708</v>
      </c>
      <c r="AQ6" s="1550">
        <f>IF(VLOOKUP($E$6,[1]QUART!$A$2:$FA$324, 42, FALSE)="",":",VLOOKUP($E$6,[1]QUART!$A$2:$FA$324, 42, FALSE))</f>
        <v>930.40430954587589</v>
      </c>
      <c r="AR6" s="1550">
        <f>IF(VLOOKUP($E$6,[1]QUART!$A$2:$FA$324, 43, FALSE)="",":",VLOOKUP($E$6,[1]QUART!$A$2:$FA$324, 43, FALSE))</f>
        <v>948.85310472659864</v>
      </c>
      <c r="AS6" s="1550">
        <f>IF(VLOOKUP($E$6,[1]QUART!$A$2:$FA$324, 44, FALSE)="",":",VLOOKUP($E$6,[1]QUART!$A$2:$FA$324, 44, FALSE))</f>
        <v>954.58758109360519</v>
      </c>
      <c r="AT6" s="1550">
        <f>IF(VLOOKUP($E$6,[1]QUART!$A$2:$FA$324, 45, FALSE)="",":",VLOOKUP($E$6,[1]QUART!$A$2:$FA$324, 45, FALSE))</f>
        <v>960.58271547729373</v>
      </c>
      <c r="AU6" s="1550">
        <f>IF(VLOOKUP($E$6,[1]QUART!$A$2:$FA$324, 46, FALSE)="",":",VLOOKUP($E$6,[1]QUART!$A$2:$FA$324, 46, FALSE))</f>
        <v>1393.1</v>
      </c>
      <c r="AV6" s="1550">
        <f>IF(VLOOKUP($E$6,[1]QUART!$A$2:$FA$324, 47, FALSE)="",":",VLOOKUP($E$6,[1]QUART!$A$2:$FA$324, 47, FALSE))</f>
        <v>1395.6</v>
      </c>
      <c r="AW6" s="1550">
        <f>IF(VLOOKUP($E$6,[1]QUART!$A$2:$FA$324, 48, FALSE)="",":",VLOOKUP($E$6,[1]QUART!$A$2:$FA$324, 48, FALSE))</f>
        <v>1399.5</v>
      </c>
      <c r="AX6" s="1550">
        <f>IF(VLOOKUP($E$6,[1]QUART!$A$2:$FA$324, 49, FALSE)="",":",VLOOKUP($E$6,[1]QUART!$A$2:$FA$324, 49, FALSE))</f>
        <v>1395.8</v>
      </c>
      <c r="AY6" s="1550">
        <f>IF(VLOOKUP($E$6,[1]QUART!$A$2:$FA$324, 50, FALSE)="",":",VLOOKUP($E$6,[1]QUART!$A$2:$FA$324, 50, FALSE))</f>
        <v>1403.7</v>
      </c>
      <c r="AZ6" s="1550">
        <f>IF(VLOOKUP($E$6,[1]QUART!$A$2:$FA$324, 51, FALSE)="",":",VLOOKUP($E$6,[1]QUART!$A$2:$FA$324, 51, FALSE))</f>
        <v>1410.2</v>
      </c>
      <c r="BA6" s="1550">
        <f>IF(VLOOKUP($E$6,[1]QUART!$A$2:$FA$324, 52, FALSE)="",":",VLOOKUP($E$6,[1]QUART!$A$2:$FA$324, 52, FALSE))</f>
        <v>1440.6</v>
      </c>
      <c r="BB6" s="1550">
        <f>IF(VLOOKUP($E$6,[1]QUART!$A$2:$FA$324, 53, FALSE)="",":",VLOOKUP($E$6,[1]QUART!$A$2:$FA$324, 53, FALSE))</f>
        <v>1447</v>
      </c>
      <c r="BC6" s="1550">
        <f>IF(VLOOKUP($E$6,[1]QUART!$A$2:$FA$324, 54, FALSE)="",":",VLOOKUP($E$6,[1]QUART!$A$2:$FA$324, 54, FALSE))</f>
        <v>1453.5</v>
      </c>
      <c r="BD6" s="1550">
        <f>IF(VLOOKUP($E$6,[1]QUART!$A$2:$FA$324, 55, FALSE)="",":",VLOOKUP($E$6,[1]QUART!$A$2:$FA$324, 55, FALSE))</f>
        <v>1461.9</v>
      </c>
      <c r="BE6" s="1550">
        <f>IF(VLOOKUP($E$6,[1]QUART!$A$2:$FA$324, 56, FALSE)="",":",VLOOKUP($E$6,[1]QUART!$A$2:$FA$324, 56, FALSE))</f>
        <v>1436.2</v>
      </c>
      <c r="BF6" s="1550">
        <f>IF(VLOOKUP($E$6,[1]QUART!$A$2:$FA$324, 57, FALSE)="",":",VLOOKUP($E$6,[1]QUART!$A$2:$FA$324, 57, FALSE))</f>
        <v>1455.4</v>
      </c>
      <c r="BG6" s="1550">
        <f>IF(VLOOKUP($E$6,[1]QUART!$A$2:$FA$324, 58, FALSE)="",":",VLOOKUP($E$6,[1]QUART!$A$2:$FA$324, 58, FALSE))</f>
        <v>1449.1</v>
      </c>
      <c r="BH6" s="1550">
        <f>IF(VLOOKUP($E$6,[1]QUART!$A$2:$FA$324, 59, FALSE)="",":",VLOOKUP($E$6,[1]QUART!$A$2:$FA$324, 59, FALSE))</f>
        <v>1450.6</v>
      </c>
      <c r="BI6" s="1550">
        <f>IF(VLOOKUP($E$6,[1]QUART!$A$2:$FA$324, 60, FALSE)="",":",VLOOKUP($E$6,[1]QUART!$A$2:$FA$324, 60, FALSE))</f>
        <v>1465.8</v>
      </c>
      <c r="BJ6" s="1550">
        <f>IF(VLOOKUP($E$6,[1]QUART!$A$2:$FA$324, 61, FALSE)="",":",VLOOKUP($E$6,[1]QUART!$A$2:$FA$324, 61, FALSE))</f>
        <v>1459</v>
      </c>
      <c r="BK6" s="1550">
        <f>IF(VLOOKUP($E$6,[1]QUART!$A$2:$FA$324, 62, FALSE)="",":",VLOOKUP($E$6,[1]QUART!$A$2:$FA$324, 62, FALSE))</f>
        <v>1455.1</v>
      </c>
      <c r="BL6" s="1550">
        <f>IF(VLOOKUP($E$6,[1]QUART!$A$2:$FA$324, 63, FALSE)="",":",VLOOKUP($E$6,[1]QUART!$A$2:$FA$324, 63, FALSE))</f>
        <v>1448.5</v>
      </c>
      <c r="BM6" s="1550">
        <f>IF(VLOOKUP($E$6,[1]QUART!$A$2:$FA$324, 64, FALSE)="",":",VLOOKUP($E$6,[1]QUART!$A$2:$FA$324, 64, FALSE))</f>
        <v>1423.5</v>
      </c>
      <c r="BN6" s="1550">
        <f>IF(VLOOKUP($E$6,[1]QUART!$A$2:$FA$324, 65, FALSE)="",":",VLOOKUP($E$6,[1]QUART!$A$2:$FA$324, 65, FALSE))</f>
        <v>1417.1</v>
      </c>
      <c r="BO6" s="1550">
        <f>IF(VLOOKUP($E$6,[1]QUART!$A$2:$FA$324, 66, FALSE)="",":",VLOOKUP($E$6,[1]QUART!$A$2:$FA$324, 66, FALSE))</f>
        <v>1403.8</v>
      </c>
      <c r="BP6" s="1550">
        <f>IF(VLOOKUP($E$6,[1]QUART!$A$2:$FA$324, 67, FALSE)="",":",VLOOKUP($E$6,[1]QUART!$A$2:$FA$324, 67, FALSE))</f>
        <v>1390.1</v>
      </c>
      <c r="BQ6" s="1550">
        <f>IF(VLOOKUP($E$6,[1]QUART!$A$2:$FA$324, 68, FALSE)="",":",VLOOKUP($E$6,[1]QUART!$A$2:$FA$324, 68, FALSE))</f>
        <v>1390.4</v>
      </c>
      <c r="BR6" s="1550">
        <f>IF(VLOOKUP($E$6,[1]QUART!$A$2:$FA$324, 69, FALSE)="",":",VLOOKUP($E$6,[1]QUART!$A$2:$FA$324, 69, FALSE))</f>
        <v>1380.9</v>
      </c>
      <c r="BS6" s="1550">
        <f>IF(VLOOKUP($E$6,[1]QUART!$A$2:$FA$324, 70, FALSE)="",":",VLOOKUP($E$6,[1]QUART!$A$2:$FA$324, 70, FALSE))</f>
        <v>1380</v>
      </c>
      <c r="BT6" s="1550">
        <f>IF(VLOOKUP($E$6,[1]QUART!$A$2:$FA$324, 71, FALSE)="",":",VLOOKUP($E$6,[1]QUART!$A$2:$FA$324, 71, FALSE))</f>
        <v>1384.7</v>
      </c>
      <c r="BU6" s="1550">
        <f>IF(VLOOKUP($E$6,[1]QUART!$A$2:$FA$324, 72, FALSE)="",":",VLOOKUP($E$6,[1]QUART!$A$2:$FA$324, 72, FALSE))</f>
        <v>1386.5</v>
      </c>
      <c r="BV6" s="1550">
        <f>IF(VLOOKUP($E$6,[1]QUART!$A$2:$FA$324, 73, FALSE)="",":",VLOOKUP($E$6,[1]QUART!$A$2:$FA$324, 73, FALSE))</f>
        <v>1391.3</v>
      </c>
      <c r="BW6" s="1550">
        <f>IF(VLOOKUP($E$6,[1]QUART!$A$2:$FA$324, 74, FALSE)="",":",VLOOKUP($E$6,[1]QUART!$A$2:$FA$324, 74, FALSE))</f>
        <v>1400.5</v>
      </c>
      <c r="BX6" s="1550">
        <f>IF(VLOOKUP($E$6,[1]QUART!$A$2:$FA$324, 75, FALSE)="",":",VLOOKUP($E$6,[1]QUART!$A$2:$FA$324, 75, FALSE))</f>
        <v>1402</v>
      </c>
      <c r="BY6" s="1550">
        <f>IF(VLOOKUP($E$6,[1]QUART!$A$2:$FA$324, 76, FALSE)="",":",VLOOKUP($E$6,[1]QUART!$A$2:$FA$324, 76, FALSE))</f>
        <v>1405.3</v>
      </c>
      <c r="BZ6" s="1550">
        <f>IF(VLOOKUP($E$6,[1]QUART!$A$2:$FA$324, 77, FALSE)="",":",VLOOKUP($E$6,[1]QUART!$A$2:$FA$324, 77, FALSE))</f>
        <v>1408.1</v>
      </c>
      <c r="CA6" s="1550">
        <f>IF(VLOOKUP($E$6,[1]QUART!$A$2:$FA$324, 78, FALSE)="",":",VLOOKUP($E$6,[1]QUART!$A$2:$FA$324, 78, FALSE))</f>
        <v>1410.9</v>
      </c>
      <c r="CB6" s="1550">
        <f>IF(VLOOKUP($E$6,[1]QUART!$A$2:$FA$324, 79, FALSE)="",":",VLOOKUP($E$6,[1]QUART!$A$2:$FA$324, 79, FALSE))</f>
        <v>1413</v>
      </c>
      <c r="CC6" s="1550">
        <f>IF(VLOOKUP($E$6,[1]QUART!$A$2:$FA$324, 80, FALSE)="",":",VLOOKUP($E$6,[1]QUART!$A$2:$FA$324, 80, FALSE))</f>
        <v>1416.7</v>
      </c>
      <c r="CD6" s="1550">
        <f>IF(VLOOKUP($E$6,[1]QUART!$A$2:$FA$324, 81, FALSE)="",":",VLOOKUP($E$6,[1]QUART!$A$2:$FA$324, 81, FALSE))</f>
        <v>1413.7</v>
      </c>
      <c r="CE6" s="1550">
        <f>IF(VLOOKUP($E$6,[1]QUART!$A$2:$FA$324, 82, FALSE)="",":",VLOOKUP($E$6,[1]QUART!$A$2:$FA$324, 82, FALSE))</f>
        <v>1415.8</v>
      </c>
      <c r="CF6" s="1550">
        <f>IF(VLOOKUP($E$6,[1]QUART!$A$2:$FA$324, 83, FALSE)="",":",VLOOKUP($E$6,[1]QUART!$A$2:$FA$324, 83, FALSE))</f>
        <v>1417.3</v>
      </c>
      <c r="CG6" s="1550">
        <f>IF(VLOOKUP($E$6,[1]QUART!$A$2:$FA$324, 84, FALSE)="",":",VLOOKUP($E$6,[1]QUART!$A$2:$FA$324, 84, FALSE))</f>
        <v>1417.1</v>
      </c>
      <c r="CH6" s="1550">
        <f>IF(VLOOKUP($E$6,[1]QUART!$A$2:$FA$324, 85, FALSE)="",":",VLOOKUP($E$6,[1]QUART!$A$2:$FA$324, 85, FALSE))</f>
        <v>1422.1</v>
      </c>
      <c r="CI6" s="1550">
        <f>IF(VLOOKUP($E$6,[1]QUART!$A$2:$FA$324, 86, FALSE)="",":",VLOOKUP($E$6,[1]QUART!$A$2:$FA$324, 86, FALSE))</f>
        <v>1417.8</v>
      </c>
      <c r="CJ6" s="1550">
        <f>IF(VLOOKUP($E$6,[1]QUART!$A$2:$FA$324, 87, FALSE)="",":",VLOOKUP($E$6,[1]QUART!$A$2:$FA$324, 87, FALSE))</f>
        <v>1421.1</v>
      </c>
      <c r="CK6" s="1550">
        <f>IF(VLOOKUP($E$6,[1]QUART!$A$2:$FA$324, 88, FALSE)="",":",VLOOKUP($E$6,[1]QUART!$A$2:$FA$324, 88, FALSE))</f>
        <v>1421.2</v>
      </c>
      <c r="CL6" s="1550">
        <f>IF(VLOOKUP($E$6,[1]QUART!$A$2:$FA$324, 89, FALSE)="",":",VLOOKUP($E$6,[1]QUART!$A$2:$FA$324, 89, FALSE))</f>
        <v>1419.6</v>
      </c>
      <c r="CM6" s="1550">
        <f>IF(VLOOKUP($E$6,[1]QUART!$A$2:$FA$324, 90, FALSE)="",":",VLOOKUP($E$6,[1]QUART!$A$2:$FA$324, 90, FALSE))</f>
        <v>1429.4</v>
      </c>
      <c r="CN6" s="1550">
        <f>IF(VLOOKUP($E$6,[1]QUART!$A$2:$FA$324, 91, FALSE)="",":",VLOOKUP($E$6,[1]QUART!$A$2:$FA$324, 91, FALSE))</f>
        <v>1432.8</v>
      </c>
      <c r="CO6" s="1550">
        <f>IF(VLOOKUP($E$6,[1]QUART!$A$2:$FA$324, 92, FALSE)="",":",VLOOKUP($E$6,[1]QUART!$A$2:$FA$324, 92, FALSE))</f>
        <v>1441.9</v>
      </c>
      <c r="CP6" s="1550">
        <f>IF(VLOOKUP($E$6,[1]QUART!$A$2:$FA$324, 93, FALSE)="",":",VLOOKUP($E$6,[1]QUART!$A$2:$FA$324, 93, FALSE))</f>
        <v>1450.4</v>
      </c>
      <c r="CQ6" s="1550">
        <f>IF(VLOOKUP($E$6,[1]QUART!$A$2:$FA$324, 94, FALSE)="",":",VLOOKUP($E$6,[1]QUART!$A$2:$FA$324, 94, FALSE))</f>
        <v>1451.7</v>
      </c>
      <c r="CR6" s="1550">
        <f>IF(VLOOKUP($E$6,[1]QUART!$A$2:$FA$324, 95, FALSE)="",":",VLOOKUP($E$6,[1]QUART!$A$2:$FA$324, 95, FALSE))</f>
        <v>1455</v>
      </c>
      <c r="CS6" s="1550">
        <f>IF(VLOOKUP($E$6,[1]QUART!$A$2:$FA$324, 96, FALSE)="",":",VLOOKUP($E$6,[1]QUART!$A$2:$FA$324, 96, FALSE))</f>
        <v>1456.4</v>
      </c>
      <c r="CT6" s="1550">
        <f>IF(VLOOKUP($E$6,[1]QUART!$A$2:$FA$324, 97, FALSE)="",":",VLOOKUP($E$6,[1]QUART!$A$2:$FA$324, 97, FALSE))</f>
        <v>1458.6</v>
      </c>
      <c r="CU6" s="1550" t="str">
        <f>IF(VLOOKUP($E$6,[1]QUART!$A$2:$FA$324, 98, FALSE)="",":",VLOOKUP($E$6,[1]QUART!$A$2:$FA$324, 98, FALSE))</f>
        <v>:</v>
      </c>
      <c r="CV6" s="1550" t="str">
        <f>IF(VLOOKUP($E$6,[1]QUART!$A$2:$FA$324, 99, FALSE)="",":",VLOOKUP($E$6,[1]QUART!$A$2:$FA$324, 99, FALSE))</f>
        <v>:</v>
      </c>
      <c r="CW6" s="1550" t="str">
        <f>IF(VLOOKUP($E$6,[1]QUART!$A$2:$FA$324, 100, FALSE)="",":",VLOOKUP($E$6,[1]QUART!$A$2:$FA$324, 100, FALSE))</f>
        <v>:</v>
      </c>
      <c r="CX6" s="1550" t="str">
        <f>IF(VLOOKUP($E$6,[1]QUART!$A$2:$FA$324, 101, FALSE)="",":",VLOOKUP($E$6,[1]QUART!$A$2:$FA$324, 101, FALSE))</f>
        <v>:</v>
      </c>
      <c r="CY6" s="1550" t="str">
        <f>IF(VLOOKUP($E$6,[1]QUART!$A$2:$FA$324, 102, FALSE)="",":",VLOOKUP($E$6,[1]QUART!$A$2:$FA$324, 102, FALSE))</f>
        <v>:</v>
      </c>
      <c r="CZ6" s="1550" t="str">
        <f>IF(VLOOKUP($E$6,[1]QUART!$A$2:$FA$324, 103, FALSE)="",":",VLOOKUP($E$6,[1]QUART!$A$2:$FA$324, 103, FALSE))</f>
        <v>:</v>
      </c>
      <c r="DA6" s="1550" t="str">
        <f>IF(VLOOKUP($E$6,[1]QUART!$A$2:$FA$324, 104, FALSE)="",":",VLOOKUP($E$6,[1]QUART!$A$2:$FA$324, 104, FALSE))</f>
        <v>:</v>
      </c>
      <c r="DB6" s="1550" t="str">
        <f>IF(VLOOKUP($E$6,[1]QUART!$A$2:$FA$324, 105, FALSE)="",":",VLOOKUP($E$6,[1]QUART!$A$2:$FA$324, 105, FALSE))</f>
        <v>:</v>
      </c>
      <c r="DC6" s="1550" t="str">
        <f>IF(VLOOKUP($E$6,[1]QUART!$A$2:$FA$324, 106, FALSE)="",":",VLOOKUP($E$6,[1]QUART!$A$2:$FA$324, 106, FALSE))</f>
        <v>:</v>
      </c>
    </row>
    <row r="7" spans="1:110">
      <c r="A7" s="1546">
        <v>17</v>
      </c>
      <c r="B7" s="534" t="s">
        <v>850</v>
      </c>
      <c r="C7" s="1346" t="s">
        <v>417</v>
      </c>
      <c r="D7" s="1547" t="s">
        <v>1841</v>
      </c>
      <c r="E7" s="1548">
        <v>67</v>
      </c>
      <c r="F7" s="1549" t="str">
        <f>VLOOKUP($E$7,[1]QUART!$A$2:$FA$324, 3, FALSE)</f>
        <v xml:space="preserve">67  Gross fixed capital formation                                                   </v>
      </c>
      <c r="G7" s="1550">
        <f>IF(VLOOKUP($E$7,[1]QUART!$A$2:$FA$324, 6, FALSE)="",":",VLOOKUP($E$7,[1]QUART!$A$2:$FA$324, 6, FALSE))</f>
        <v>393.01436515291937</v>
      </c>
      <c r="H7" s="1550">
        <f>IF(VLOOKUP($E$7,[1]QUART!$A$2:$FA$324, 7, FALSE)="",":",VLOOKUP($E$7,[1]QUART!$A$2:$FA$324, 7, FALSE))</f>
        <v>412.67956441149215</v>
      </c>
      <c r="I7" s="1550">
        <f>IF(VLOOKUP($E$7,[1]QUART!$A$2:$FA$324, 8, FALSE)="",":",VLOOKUP($E$7,[1]QUART!$A$2:$FA$324, 8, FALSE))</f>
        <v>415.40199258572756</v>
      </c>
      <c r="J7" s="1550">
        <f>IF(VLOOKUP($E$7,[1]QUART!$A$2:$FA$324, 9, FALSE)="",":",VLOOKUP($E$7,[1]QUART!$A$2:$FA$324, 9, FALSE))</f>
        <v>449.2875347544022</v>
      </c>
      <c r="K7" s="1550">
        <f>IF(VLOOKUP($E$7,[1]QUART!$A$2:$FA$324, 10, FALSE)="",":",VLOOKUP($E$7,[1]QUART!$A$2:$FA$324, 10, FALSE))</f>
        <v>468.77896200185359</v>
      </c>
      <c r="L7" s="1550">
        <f>IF(VLOOKUP($E$7,[1]QUART!$A$2:$FA$324, 11, FALSE)="",":",VLOOKUP($E$7,[1]QUART!$A$2:$FA$324, 11, FALSE))</f>
        <v>484.73702502316962</v>
      </c>
      <c r="M7" s="1550">
        <f>IF(VLOOKUP($E$7,[1]QUART!$A$2:$FA$324, 12, FALSE)="",":",VLOOKUP($E$7,[1]QUART!$A$2:$FA$324, 12, FALSE))</f>
        <v>500.05792400370711</v>
      </c>
      <c r="N7" s="1550">
        <f>IF(VLOOKUP($E$7,[1]QUART!$A$2:$FA$324, 13, FALSE)="",":",VLOOKUP($E$7,[1]QUART!$A$2:$FA$324, 13, FALSE))</f>
        <v>546.86051899907329</v>
      </c>
      <c r="O7" s="1550">
        <f>IF(VLOOKUP($E$7,[1]QUART!$A$2:$FA$324, 14, FALSE)="",":",VLOOKUP($E$7,[1]QUART!$A$2:$FA$324, 14, FALSE))</f>
        <v>583.75810936051903</v>
      </c>
      <c r="P7" s="1550">
        <f>IF(VLOOKUP($E$7,[1]QUART!$A$2:$FA$324, 15, FALSE)="",":",VLOOKUP($E$7,[1]QUART!$A$2:$FA$324, 15, FALSE))</f>
        <v>598.29703429101028</v>
      </c>
      <c r="Q7" s="1550">
        <f>IF(VLOOKUP($E$7,[1]QUART!$A$2:$FA$324, 16, FALSE)="",":",VLOOKUP($E$7,[1]QUART!$A$2:$FA$324, 16, FALSE))</f>
        <v>646.2291473586655</v>
      </c>
      <c r="R7" s="1550">
        <f>IF(VLOOKUP($E$7,[1]QUART!$A$2:$FA$324, 17, FALSE)="",":",VLOOKUP($E$7,[1]QUART!$A$2:$FA$324, 17, FALSE))</f>
        <v>677.50810936051903</v>
      </c>
      <c r="S7" s="1550">
        <f>IF(VLOOKUP($E$7,[1]QUART!$A$2:$FA$324, 18, FALSE)="",":",VLOOKUP($E$7,[1]QUART!$A$2:$FA$324, 18, FALSE))</f>
        <v>731.92771084337346</v>
      </c>
      <c r="T7" s="1550">
        <f>IF(VLOOKUP($E$7,[1]QUART!$A$2:$FA$324, 19, FALSE)="",":",VLOOKUP($E$7,[1]QUART!$A$2:$FA$324, 19, FALSE))</f>
        <v>773.86468952734015</v>
      </c>
      <c r="U7" s="1550">
        <f>IF(VLOOKUP($E$7,[1]QUART!$A$2:$FA$324, 20, FALSE)="",":",VLOOKUP($E$7,[1]QUART!$A$2:$FA$324, 20, FALSE))</f>
        <v>792.92168674698803</v>
      </c>
      <c r="V7" s="1550">
        <f>IF(VLOOKUP($E$7,[1]QUART!$A$2:$FA$324, 21, FALSE)="",":",VLOOKUP($E$7,[1]QUART!$A$2:$FA$324, 21, FALSE))</f>
        <v>751.36121408711779</v>
      </c>
      <c r="W7" s="1550">
        <f>IF(VLOOKUP($E$7,[1]QUART!$A$2:$FA$324, 22, FALSE)="",":",VLOOKUP($E$7,[1]QUART!$A$2:$FA$324, 22, FALSE))</f>
        <v>738.09661723818351</v>
      </c>
      <c r="X7" s="1550">
        <f>IF(VLOOKUP($E$7,[1]QUART!$A$2:$FA$324, 23, FALSE)="",":",VLOOKUP($E$7,[1]QUART!$A$2:$FA$324, 23, FALSE))</f>
        <v>760.10773864689531</v>
      </c>
      <c r="Y7" s="1550">
        <f>IF(VLOOKUP($E$7,[1]QUART!$A$2:$FA$324, 24, FALSE)="",":",VLOOKUP($E$7,[1]QUART!$A$2:$FA$324, 24, FALSE))</f>
        <v>694.13229842446708</v>
      </c>
      <c r="Z7" s="1550">
        <f>IF(VLOOKUP($E$7,[1]QUART!$A$2:$FA$324, 25, FALSE)="",":",VLOOKUP($E$7,[1]QUART!$A$2:$FA$324, 25, FALSE))</f>
        <v>660.30468025949961</v>
      </c>
      <c r="AA7" s="1550">
        <f>IF(VLOOKUP($E$7,[1]QUART!$A$2:$FA$324, 26, FALSE)="",":",VLOOKUP($E$7,[1]QUART!$A$2:$FA$324, 26, FALSE))</f>
        <v>645.9684893419834</v>
      </c>
      <c r="AB7" s="1550">
        <f>IF(VLOOKUP($E$7,[1]QUART!$A$2:$FA$324, 27, FALSE)="",":",VLOOKUP($E$7,[1]QUART!$A$2:$FA$324, 27, FALSE))</f>
        <v>639.74165894346618</v>
      </c>
      <c r="AC7" s="1550">
        <f>IF(VLOOKUP($E$7,[1]QUART!$A$2:$FA$324, 28, FALSE)="",":",VLOOKUP($E$7,[1]QUART!$A$2:$FA$324, 28, FALSE))</f>
        <v>661.49212233549588</v>
      </c>
      <c r="AD7" s="1550">
        <f>IF(VLOOKUP($E$7,[1]QUART!$A$2:$FA$324, 29, FALSE)="",":",VLOOKUP($E$7,[1]QUART!$A$2:$FA$324, 29, FALSE))</f>
        <v>683.41635773864687</v>
      </c>
      <c r="AE7" s="1550">
        <f>IF(VLOOKUP($E$7,[1]QUART!$A$2:$FA$324, 30, FALSE)="",":",VLOOKUP($E$7,[1]QUART!$A$2:$FA$324, 30, FALSE))</f>
        <v>713.50787766450412</v>
      </c>
      <c r="AF7" s="1550">
        <f>IF(VLOOKUP($E$7,[1]QUART!$A$2:$FA$324, 31, FALSE)="",":",VLOOKUP($E$7,[1]QUART!$A$2:$FA$324, 31, FALSE))</f>
        <v>695.00115848007408</v>
      </c>
      <c r="AG7" s="1550">
        <f>IF(VLOOKUP($E$7,[1]QUART!$A$2:$FA$324, 32, FALSE)="",":",VLOOKUP($E$7,[1]QUART!$A$2:$FA$324, 32, FALSE))</f>
        <v>714.81116774791474</v>
      </c>
      <c r="AH7" s="1550">
        <f>IF(VLOOKUP($E$7,[1]QUART!$A$2:$FA$324, 33, FALSE)="",":",VLOOKUP($E$7,[1]QUART!$A$2:$FA$324, 33, FALSE))</f>
        <v>865.70319740500463</v>
      </c>
      <c r="AI7" s="1550">
        <f>IF(VLOOKUP($E$7,[1]QUART!$A$2:$FA$324, 34, FALSE)="",":",VLOOKUP($E$7,[1]QUART!$A$2:$FA$324, 34, FALSE))</f>
        <v>813.60055607043557</v>
      </c>
      <c r="AJ7" s="1550">
        <f>IF(VLOOKUP($E$7,[1]QUART!$A$2:$FA$324, 35, FALSE)="",":",VLOOKUP($E$7,[1]QUART!$A$2:$FA$324, 35, FALSE))</f>
        <v>801.23378127896206</v>
      </c>
      <c r="AK7" s="1550">
        <f>IF(VLOOKUP($E$7,[1]QUART!$A$2:$FA$324, 36, FALSE)="",":",VLOOKUP($E$7,[1]QUART!$A$2:$FA$324, 36, FALSE))</f>
        <v>813.71640407784992</v>
      </c>
      <c r="AL7" s="1550">
        <f>IF(VLOOKUP($E$7,[1]QUART!$A$2:$FA$324, 37, FALSE)="",":",VLOOKUP($E$7,[1]QUART!$A$2:$FA$324, 37, FALSE))</f>
        <v>871.98795180722902</v>
      </c>
      <c r="AM7" s="1550">
        <f>IF(VLOOKUP($E$7,[1]QUART!$A$2:$FA$324, 38, FALSE)="",":",VLOOKUP($E$7,[1]QUART!$A$2:$FA$324, 38, FALSE))</f>
        <v>868.16496756255788</v>
      </c>
      <c r="AN7" s="1550">
        <f>IF(VLOOKUP($E$7,[1]QUART!$A$2:$FA$324, 39, FALSE)="",":",VLOOKUP($E$7,[1]QUART!$A$2:$FA$324, 39, FALSE))</f>
        <v>924.17747914735867</v>
      </c>
      <c r="AO7" s="1550">
        <f>IF(VLOOKUP($E$7,[1]QUART!$A$2:$FA$324, 40, FALSE)="",":",VLOOKUP($E$7,[1]QUART!$A$2:$FA$324, 40, FALSE))</f>
        <v>950.6197868396664</v>
      </c>
      <c r="AP7" s="1550">
        <f>IF(VLOOKUP($E$7,[1]QUART!$A$2:$FA$324, 41, FALSE)="",":",VLOOKUP($E$7,[1]QUART!$A$2:$FA$324, 41, FALSE))</f>
        <v>976.10634847080644</v>
      </c>
      <c r="AQ7" s="1550">
        <f>IF(VLOOKUP($E$7,[1]QUART!$A$2:$FA$324, 42, FALSE)="",":",VLOOKUP($E$7,[1]QUART!$A$2:$FA$324, 42, FALSE))</f>
        <v>1017.8405931417981</v>
      </c>
      <c r="AR7" s="1550">
        <f>IF(VLOOKUP($E$7,[1]QUART!$A$2:$FA$324, 43, FALSE)="",":",VLOOKUP($E$7,[1]QUART!$A$2:$FA$324, 43, FALSE))</f>
        <v>1066.6126042632068</v>
      </c>
      <c r="AS7" s="1550">
        <f>IF(VLOOKUP($E$7,[1]QUART!$A$2:$FA$324, 44, FALSE)="",":",VLOOKUP($E$7,[1]QUART!$A$2:$FA$324, 44, FALSE))</f>
        <v>1085.2641334569046</v>
      </c>
      <c r="AT7" s="1550">
        <f>IF(VLOOKUP($E$7,[1]QUART!$A$2:$FA$324, 45, FALSE)="",":",VLOOKUP($E$7,[1]QUART!$A$2:$FA$324, 45, FALSE))</f>
        <v>1086.7991195551438</v>
      </c>
      <c r="AU7" s="1550">
        <f>IF(VLOOKUP($E$7,[1]QUART!$A$2:$FA$324, 46, FALSE)="",":",VLOOKUP($E$7,[1]QUART!$A$2:$FA$324, 46, FALSE))</f>
        <v>1280</v>
      </c>
      <c r="AV7" s="1550">
        <f>IF(VLOOKUP($E$7,[1]QUART!$A$2:$FA$324, 47, FALSE)="",":",VLOOKUP($E$7,[1]QUART!$A$2:$FA$324, 47, FALSE))</f>
        <v>1289.9000000000001</v>
      </c>
      <c r="AW7" s="1550">
        <f>IF(VLOOKUP($E$7,[1]QUART!$A$2:$FA$324, 48, FALSE)="",":",VLOOKUP($E$7,[1]QUART!$A$2:$FA$324, 48, FALSE))</f>
        <v>1408.5</v>
      </c>
      <c r="AX7" s="1550">
        <f>IF(VLOOKUP($E$7,[1]QUART!$A$2:$FA$324, 49, FALSE)="",":",VLOOKUP($E$7,[1]QUART!$A$2:$FA$324, 49, FALSE))</f>
        <v>1451.7</v>
      </c>
      <c r="AY7" s="1550">
        <f>IF(VLOOKUP($E$7,[1]QUART!$A$2:$FA$324, 50, FALSE)="",":",VLOOKUP($E$7,[1]QUART!$A$2:$FA$324, 50, FALSE))</f>
        <v>1478.1</v>
      </c>
      <c r="AZ7" s="1550">
        <f>IF(VLOOKUP($E$7,[1]QUART!$A$2:$FA$324, 51, FALSE)="",":",VLOOKUP($E$7,[1]QUART!$A$2:$FA$324, 51, FALSE))</f>
        <v>1563.7</v>
      </c>
      <c r="BA7" s="1550">
        <f>IF(VLOOKUP($E$7,[1]QUART!$A$2:$FA$324, 52, FALSE)="",":",VLOOKUP($E$7,[1]QUART!$A$2:$FA$324, 52, FALSE))</f>
        <v>1644.2</v>
      </c>
      <c r="BB7" s="1550">
        <f>IF(VLOOKUP($E$7,[1]QUART!$A$2:$FA$324, 53, FALSE)="",":",VLOOKUP($E$7,[1]QUART!$A$2:$FA$324, 53, FALSE))</f>
        <v>1807.4</v>
      </c>
      <c r="BC7" s="1550">
        <f>IF(VLOOKUP($E$7,[1]QUART!$A$2:$FA$324, 54, FALSE)="",":",VLOOKUP($E$7,[1]QUART!$A$2:$FA$324, 54, FALSE))</f>
        <v>1879.9</v>
      </c>
      <c r="BD7" s="1550">
        <f>IF(VLOOKUP($E$7,[1]QUART!$A$2:$FA$324, 55, FALSE)="",":",VLOOKUP($E$7,[1]QUART!$A$2:$FA$324, 55, FALSE))</f>
        <v>2007.1</v>
      </c>
      <c r="BE7" s="1550">
        <f>IF(VLOOKUP($E$7,[1]QUART!$A$2:$FA$324, 56, FALSE)="",":",VLOOKUP($E$7,[1]QUART!$A$2:$FA$324, 56, FALSE))</f>
        <v>2009</v>
      </c>
      <c r="BF7" s="1550">
        <f>IF(VLOOKUP($E$7,[1]QUART!$A$2:$FA$324, 57, FALSE)="",":",VLOOKUP($E$7,[1]QUART!$A$2:$FA$324, 57, FALSE))</f>
        <v>2047.2</v>
      </c>
      <c r="BG7" s="1550">
        <f>IF(VLOOKUP($E$7,[1]QUART!$A$2:$FA$324, 58, FALSE)="",":",VLOOKUP($E$7,[1]QUART!$A$2:$FA$324, 58, FALSE))</f>
        <v>2028.7</v>
      </c>
      <c r="BH7" s="1550">
        <f>IF(VLOOKUP($E$7,[1]QUART!$A$2:$FA$324, 59, FALSE)="",":",VLOOKUP($E$7,[1]QUART!$A$2:$FA$324, 59, FALSE))</f>
        <v>2012</v>
      </c>
      <c r="BI7" s="1550">
        <f>IF(VLOOKUP($E$7,[1]QUART!$A$2:$FA$324, 60, FALSE)="",":",VLOOKUP($E$7,[1]QUART!$A$2:$FA$324, 60, FALSE))</f>
        <v>1886.1</v>
      </c>
      <c r="BJ7" s="1550">
        <f>IF(VLOOKUP($E$7,[1]QUART!$A$2:$FA$324, 61, FALSE)="",":",VLOOKUP($E$7,[1]QUART!$A$2:$FA$324, 61, FALSE))</f>
        <v>1722.3</v>
      </c>
      <c r="BK7" s="1550">
        <f>IF(VLOOKUP($E$7,[1]QUART!$A$2:$FA$324, 62, FALSE)="",":",VLOOKUP($E$7,[1]QUART!$A$2:$FA$324, 62, FALSE))</f>
        <v>1342.5</v>
      </c>
      <c r="BL7" s="1550">
        <f>IF(VLOOKUP($E$7,[1]QUART!$A$2:$FA$324, 63, FALSE)="",":",VLOOKUP($E$7,[1]QUART!$A$2:$FA$324, 63, FALSE))</f>
        <v>1168.9000000000001</v>
      </c>
      <c r="BM7" s="1550">
        <f>IF(VLOOKUP($E$7,[1]QUART!$A$2:$FA$324, 64, FALSE)="",":",VLOOKUP($E$7,[1]QUART!$A$2:$FA$324, 64, FALSE))</f>
        <v>1063.4000000000001</v>
      </c>
      <c r="BN7" s="1550">
        <f>IF(VLOOKUP($E$7,[1]QUART!$A$2:$FA$324, 65, FALSE)="",":",VLOOKUP($E$7,[1]QUART!$A$2:$FA$324, 65, FALSE))</f>
        <v>1073.5</v>
      </c>
      <c r="BO7" s="1550">
        <f>IF(VLOOKUP($E$7,[1]QUART!$A$2:$FA$324, 66, FALSE)="",":",VLOOKUP($E$7,[1]QUART!$A$2:$FA$324, 66, FALSE))</f>
        <v>1043.3</v>
      </c>
      <c r="BP7" s="1550">
        <f>IF(VLOOKUP($E$7,[1]QUART!$A$2:$FA$324, 67, FALSE)="",":",VLOOKUP($E$7,[1]QUART!$A$2:$FA$324, 67, FALSE))</f>
        <v>1115.0999999999999</v>
      </c>
      <c r="BQ7" s="1550">
        <f>IF(VLOOKUP($E$7,[1]QUART!$A$2:$FA$324, 68, FALSE)="",":",VLOOKUP($E$7,[1]QUART!$A$2:$FA$324, 68, FALSE))</f>
        <v>1249.9000000000001</v>
      </c>
      <c r="BR7" s="1550">
        <f>IF(VLOOKUP($E$7,[1]QUART!$A$2:$FA$324, 69, FALSE)="",":",VLOOKUP($E$7,[1]QUART!$A$2:$FA$324, 69, FALSE))</f>
        <v>1295.5</v>
      </c>
      <c r="BS7" s="1550">
        <f>IF(VLOOKUP($E$7,[1]QUART!$A$2:$FA$324, 70, FALSE)="",":",VLOOKUP($E$7,[1]QUART!$A$2:$FA$324, 70, FALSE))</f>
        <v>1380.7</v>
      </c>
      <c r="BT7" s="1550">
        <f>IF(VLOOKUP($E$7,[1]QUART!$A$2:$FA$324, 71, FALSE)="",":",VLOOKUP($E$7,[1]QUART!$A$2:$FA$324, 71, FALSE))</f>
        <v>1403</v>
      </c>
      <c r="BU7" s="1550">
        <f>IF(VLOOKUP($E$7,[1]QUART!$A$2:$FA$324, 72, FALSE)="",":",VLOOKUP($E$7,[1]QUART!$A$2:$FA$324, 72, FALSE))</f>
        <v>1443.9</v>
      </c>
      <c r="BV7" s="1550">
        <f>IF(VLOOKUP($E$7,[1]QUART!$A$2:$FA$324, 73, FALSE)="",":",VLOOKUP($E$7,[1]QUART!$A$2:$FA$324, 73, FALSE))</f>
        <v>1451.7</v>
      </c>
      <c r="BW7" s="1550">
        <f>IF(VLOOKUP($E$7,[1]QUART!$A$2:$FA$324, 74, FALSE)="",":",VLOOKUP($E$7,[1]QUART!$A$2:$FA$324, 74, FALSE))</f>
        <v>1430.4</v>
      </c>
      <c r="BX7" s="1550">
        <f>IF(VLOOKUP($E$7,[1]QUART!$A$2:$FA$324, 75, FALSE)="",":",VLOOKUP($E$7,[1]QUART!$A$2:$FA$324, 75, FALSE))</f>
        <v>1380.4</v>
      </c>
      <c r="BY7" s="1550">
        <f>IF(VLOOKUP($E$7,[1]QUART!$A$2:$FA$324, 76, FALSE)="",":",VLOOKUP($E$7,[1]QUART!$A$2:$FA$324, 76, FALSE))</f>
        <v>1398.2</v>
      </c>
      <c r="BZ7" s="1550">
        <f>IF(VLOOKUP($E$7,[1]QUART!$A$2:$FA$324, 77, FALSE)="",":",VLOOKUP($E$7,[1]QUART!$A$2:$FA$324, 77, FALSE))</f>
        <v>1378.1</v>
      </c>
      <c r="CA7" s="1550">
        <f>IF(VLOOKUP($E$7,[1]QUART!$A$2:$FA$324, 78, FALSE)="",":",VLOOKUP($E$7,[1]QUART!$A$2:$FA$324, 78, FALSE))</f>
        <v>1434.1</v>
      </c>
      <c r="CB7" s="1550">
        <f>IF(VLOOKUP($E$7,[1]QUART!$A$2:$FA$324, 79, FALSE)="",":",VLOOKUP($E$7,[1]QUART!$A$2:$FA$324, 79, FALSE))</f>
        <v>1478.3</v>
      </c>
      <c r="CC7" s="1550">
        <f>IF(VLOOKUP($E$7,[1]QUART!$A$2:$FA$324, 80, FALSE)="",":",VLOOKUP($E$7,[1]QUART!$A$2:$FA$324, 80, FALSE))</f>
        <v>1564.1</v>
      </c>
      <c r="CD7" s="1550">
        <f>IF(VLOOKUP($E$7,[1]QUART!$A$2:$FA$324, 81, FALSE)="",":",VLOOKUP($E$7,[1]QUART!$A$2:$FA$324, 81, FALSE))</f>
        <v>1564.6</v>
      </c>
      <c r="CE7" s="1550">
        <f>IF(VLOOKUP($E$7,[1]QUART!$A$2:$FA$324, 82, FALSE)="",":",VLOOKUP($E$7,[1]QUART!$A$2:$FA$324, 82, FALSE))</f>
        <v>1584.7</v>
      </c>
      <c r="CF7" s="1550">
        <f>IF(VLOOKUP($E$7,[1]QUART!$A$2:$FA$324, 83, FALSE)="",":",VLOOKUP($E$7,[1]QUART!$A$2:$FA$324, 83, FALSE))</f>
        <v>1585.9</v>
      </c>
      <c r="CG7" s="1550">
        <f>IF(VLOOKUP($E$7,[1]QUART!$A$2:$FA$324, 84, FALSE)="",":",VLOOKUP($E$7,[1]QUART!$A$2:$FA$324, 84, FALSE))</f>
        <v>1595.3</v>
      </c>
      <c r="CH7" s="1550">
        <f>IF(VLOOKUP($E$7,[1]QUART!$A$2:$FA$324, 85, FALSE)="",":",VLOOKUP($E$7,[1]QUART!$A$2:$FA$324, 85, FALSE))</f>
        <v>1609.7</v>
      </c>
      <c r="CI7" s="1550">
        <f>IF(VLOOKUP($E$7,[1]QUART!$A$2:$FA$324, 86, FALSE)="",":",VLOOKUP($E$7,[1]QUART!$A$2:$FA$324, 86, FALSE))</f>
        <v>1692.5</v>
      </c>
      <c r="CJ7" s="1550">
        <f>IF(VLOOKUP($E$7,[1]QUART!$A$2:$FA$324, 87, FALSE)="",":",VLOOKUP($E$7,[1]QUART!$A$2:$FA$324, 87, FALSE))</f>
        <v>1726.1</v>
      </c>
      <c r="CK7" s="1550">
        <f>IF(VLOOKUP($E$7,[1]QUART!$A$2:$FA$324, 88, FALSE)="",":",VLOOKUP($E$7,[1]QUART!$A$2:$FA$324, 88, FALSE))</f>
        <v>1680.2</v>
      </c>
      <c r="CL7" s="1550">
        <f>IF(VLOOKUP($E$7,[1]QUART!$A$2:$FA$324, 89, FALSE)="",":",VLOOKUP($E$7,[1]QUART!$A$2:$FA$324, 89, FALSE))</f>
        <v>1597.7</v>
      </c>
      <c r="CM7" s="1550">
        <f>IF(VLOOKUP($E$7,[1]QUART!$A$2:$FA$324, 90, FALSE)="",":",VLOOKUP($E$7,[1]QUART!$A$2:$FA$324, 90, FALSE))</f>
        <v>1660.5</v>
      </c>
      <c r="CN7" s="1550">
        <f>IF(VLOOKUP($E$7,[1]QUART!$A$2:$FA$324, 91, FALSE)="",":",VLOOKUP($E$7,[1]QUART!$A$2:$FA$324, 91, FALSE))</f>
        <v>1685.3</v>
      </c>
      <c r="CO7" s="1550">
        <f>IF(VLOOKUP($E$7,[1]QUART!$A$2:$FA$324, 92, FALSE)="",":",VLOOKUP($E$7,[1]QUART!$A$2:$FA$324, 92, FALSE))</f>
        <v>1626</v>
      </c>
      <c r="CP7" s="1550">
        <f>IF(VLOOKUP($E$7,[1]QUART!$A$2:$FA$324, 93, FALSE)="",":",VLOOKUP($E$7,[1]QUART!$A$2:$FA$324, 93, FALSE))</f>
        <v>1717</v>
      </c>
      <c r="CQ7" s="1550">
        <f>IF(VLOOKUP($E$7,[1]QUART!$A$2:$FA$324, 94, FALSE)="",":",VLOOKUP($E$7,[1]QUART!$A$2:$FA$324, 94, FALSE))</f>
        <v>1705.3</v>
      </c>
      <c r="CR7" s="1550">
        <f>IF(VLOOKUP($E$7,[1]QUART!$A$2:$FA$324, 95, FALSE)="",":",VLOOKUP($E$7,[1]QUART!$A$2:$FA$324, 95, FALSE))</f>
        <v>1752</v>
      </c>
      <c r="CS7" s="1550">
        <f>IF(VLOOKUP($E$7,[1]QUART!$A$2:$FA$324, 96, FALSE)="",":",VLOOKUP($E$7,[1]QUART!$A$2:$FA$324, 96, FALSE))</f>
        <v>1774</v>
      </c>
      <c r="CT7" s="1550">
        <f>IF(VLOOKUP($E$7,[1]QUART!$A$2:$FA$324, 97, FALSE)="",":",VLOOKUP($E$7,[1]QUART!$A$2:$FA$324, 97, FALSE))</f>
        <v>1907.9</v>
      </c>
      <c r="CU7" s="1550" t="str">
        <f>IF(VLOOKUP($E$7,[1]QUART!$A$2:$FA$324, 98, FALSE)="",":",VLOOKUP($E$7,[1]QUART!$A$2:$FA$324, 98, FALSE))</f>
        <v>:</v>
      </c>
      <c r="CV7" s="1550" t="str">
        <f>IF(VLOOKUP($E$7,[1]QUART!$A$2:$FA$324, 99, FALSE)="",":",VLOOKUP($E$7,[1]QUART!$A$2:$FA$324, 99, FALSE))</f>
        <v>:</v>
      </c>
      <c r="CW7" s="1550" t="str">
        <f>IF(VLOOKUP($E$7,[1]QUART!$A$2:$FA$324, 100, FALSE)="",":",VLOOKUP($E$7,[1]QUART!$A$2:$FA$324, 100, FALSE))</f>
        <v>:</v>
      </c>
      <c r="CX7" s="1550" t="str">
        <f>IF(VLOOKUP($E$7,[1]QUART!$A$2:$FA$324, 101, FALSE)="",":",VLOOKUP($E$7,[1]QUART!$A$2:$FA$324, 101, FALSE))</f>
        <v>:</v>
      </c>
      <c r="CY7" s="1550" t="str">
        <f>IF(VLOOKUP($E$7,[1]QUART!$A$2:$FA$324, 102, FALSE)="",":",VLOOKUP($E$7,[1]QUART!$A$2:$FA$324, 102, FALSE))</f>
        <v>:</v>
      </c>
      <c r="CZ7" s="1550" t="str">
        <f>IF(VLOOKUP($E$7,[1]QUART!$A$2:$FA$324, 103, FALSE)="",":",VLOOKUP($E$7,[1]QUART!$A$2:$FA$324, 103, FALSE))</f>
        <v>:</v>
      </c>
      <c r="DA7" s="1550" t="str">
        <f>IF(VLOOKUP($E$7,[1]QUART!$A$2:$FA$324, 104, FALSE)="",":",VLOOKUP($E$7,[1]QUART!$A$2:$FA$324, 104, FALSE))</f>
        <v>:</v>
      </c>
      <c r="DB7" s="1550" t="str">
        <f>IF(VLOOKUP($E$7,[1]QUART!$A$2:$FA$324, 105, FALSE)="",":",VLOOKUP($E$7,[1]QUART!$A$2:$FA$324, 105, FALSE))</f>
        <v>:</v>
      </c>
      <c r="DC7" s="1550" t="str">
        <f>IF(VLOOKUP($E$7,[1]QUART!$A$2:$FA$324, 106, FALSE)="",":",VLOOKUP($E$7,[1]QUART!$A$2:$FA$324, 106, FALSE))</f>
        <v>:</v>
      </c>
    </row>
    <row r="8" spans="1:110">
      <c r="A8" s="1546">
        <v>18</v>
      </c>
      <c r="B8" s="534" t="s">
        <v>2060</v>
      </c>
      <c r="C8" s="535" t="s">
        <v>476</v>
      </c>
      <c r="D8" s="1547" t="s">
        <v>1841</v>
      </c>
      <c r="E8" s="1548">
        <v>68</v>
      </c>
      <c r="F8" s="1549" t="str">
        <f>VLOOKUP($E$8,[1]QUART!$A$2:$FA$324, 3, FALSE)</f>
        <v xml:space="preserve">68  Changes in inventories and net acquisition of valuables                         </v>
      </c>
      <c r="G8" s="1550">
        <f>IF(VLOOKUP($E$8,[1]QUART!$A$2:$FA$324, 6, FALSE)="",":",VLOOKUP($E$8,[1]QUART!$A$2:$FA$324, 6, FALSE))</f>
        <v>-21.055375347544043</v>
      </c>
      <c r="H8" s="1550">
        <f>IF(VLOOKUP($E$8,[1]QUART!$A$2:$FA$324, 7, FALSE)="",":",VLOOKUP($E$8,[1]QUART!$A$2:$FA$324, 7, FALSE))</f>
        <v>-84.511121408711801</v>
      </c>
      <c r="I8" s="1550">
        <f>IF(VLOOKUP($E$8,[1]QUART!$A$2:$FA$324, 8, FALSE)="",":",VLOOKUP($E$8,[1]QUART!$A$2:$FA$324, 8, FALSE))</f>
        <v>-69.335032437442067</v>
      </c>
      <c r="J8" s="1550">
        <f>IF(VLOOKUP($E$8,[1]QUART!$A$2:$FA$324, 9, FALSE)="",":",VLOOKUP($E$8,[1]QUART!$A$2:$FA$324, 9, FALSE))</f>
        <v>-110.40315106580164</v>
      </c>
      <c r="K8" s="1550">
        <f>IF(VLOOKUP($E$8,[1]QUART!$A$2:$FA$324, 10, FALSE)="",":",VLOOKUP($E$8,[1]QUART!$A$2:$FA$324, 10, FALSE))</f>
        <v>-111.73540315106584</v>
      </c>
      <c r="L8" s="1550">
        <f>IF(VLOOKUP($E$8,[1]QUART!$A$2:$FA$324, 11, FALSE)="",":",VLOOKUP($E$8,[1]QUART!$A$2:$FA$324, 11, FALSE))</f>
        <v>-91.143419833178882</v>
      </c>
      <c r="M8" s="1550">
        <f>IF(VLOOKUP($E$8,[1]QUART!$A$2:$FA$324, 12, FALSE)="",":",VLOOKUP($E$8,[1]QUART!$A$2:$FA$324, 12, FALSE))</f>
        <v>-38.635310472659796</v>
      </c>
      <c r="N8" s="1550">
        <f>IF(VLOOKUP($E$8,[1]QUART!$A$2:$FA$324, 13, FALSE)="",":",VLOOKUP($E$8,[1]QUART!$A$2:$FA$324, 13, FALSE))</f>
        <v>-51.610287303058442</v>
      </c>
      <c r="O8" s="1550">
        <f>IF(VLOOKUP($E$8,[1]QUART!$A$2:$FA$324, 14, FALSE)="",":",VLOOKUP($E$8,[1]QUART!$A$2:$FA$324, 14, FALSE))</f>
        <v>-11.324142724745116</v>
      </c>
      <c r="P8" s="1550">
        <f>IF(VLOOKUP($E$8,[1]QUART!$A$2:$FA$324, 15, FALSE)="",":",VLOOKUP($E$8,[1]QUART!$A$2:$FA$324, 15, FALSE))</f>
        <v>-0.34754402224291425</v>
      </c>
      <c r="Q8" s="1550">
        <f>IF(VLOOKUP($E$8,[1]QUART!$A$2:$FA$324, 16, FALSE)="",":",VLOOKUP($E$8,[1]QUART!$A$2:$FA$324, 16, FALSE))</f>
        <v>-64.382530120481988</v>
      </c>
      <c r="R8" s="1550">
        <f>IF(VLOOKUP($E$8,[1]QUART!$A$2:$FA$324, 17, FALSE)="",":",VLOOKUP($E$8,[1]QUART!$A$2:$FA$324, 17, FALSE))</f>
        <v>35.565338276181592</v>
      </c>
      <c r="S8" s="1550">
        <f>IF(VLOOKUP($E$8,[1]QUART!$A$2:$FA$324, 18, FALSE)="",":",VLOOKUP($E$8,[1]QUART!$A$2:$FA$324, 18, FALSE))</f>
        <v>-27.166357738646866</v>
      </c>
      <c r="T8" s="1550">
        <f>IF(VLOOKUP($E$8,[1]QUART!$A$2:$FA$324, 19, FALSE)="",":",VLOOKUP($E$8,[1]QUART!$A$2:$FA$324, 19, FALSE))</f>
        <v>-2.2879981464318462</v>
      </c>
      <c r="U8" s="1550">
        <f>IF(VLOOKUP($E$8,[1]QUART!$A$2:$FA$324, 20, FALSE)="",":",VLOOKUP($E$8,[1]QUART!$A$2:$FA$324, 20, FALSE))</f>
        <v>17.348239110287182</v>
      </c>
      <c r="V8" s="1550">
        <f>IF(VLOOKUP($E$8,[1]QUART!$A$2:$FA$324, 21, FALSE)="",":",VLOOKUP($E$8,[1]QUART!$A$2:$FA$324, 21, FALSE))</f>
        <v>-72.549814643188142</v>
      </c>
      <c r="W8" s="1550">
        <f>IF(VLOOKUP($E$8,[1]QUART!$A$2:$FA$324, 22, FALSE)="",":",VLOOKUP($E$8,[1]QUART!$A$2:$FA$324, 22, FALSE))</f>
        <v>-57.518535681186222</v>
      </c>
      <c r="X8" s="1550">
        <f>IF(VLOOKUP($E$8,[1]QUART!$A$2:$FA$324, 23, FALSE)="",":",VLOOKUP($E$8,[1]QUART!$A$2:$FA$324, 23, FALSE))</f>
        <v>-60.414735866543083</v>
      </c>
      <c r="Y8" s="1550">
        <f>IF(VLOOKUP($E$8,[1]QUART!$A$2:$FA$324, 24, FALSE)="",":",VLOOKUP($E$8,[1]QUART!$A$2:$FA$324, 24, FALSE))</f>
        <v>-59.893419833178768</v>
      </c>
      <c r="Z8" s="1550">
        <f>IF(VLOOKUP($E$8,[1]QUART!$A$2:$FA$324, 25, FALSE)="",":",VLOOKUP($E$8,[1]QUART!$A$2:$FA$324, 25, FALSE))</f>
        <v>-28.382761816496782</v>
      </c>
      <c r="AA8" s="1550">
        <f>IF(VLOOKUP($E$8,[1]QUART!$A$2:$FA$324, 26, FALSE)="",":",VLOOKUP($E$8,[1]QUART!$A$2:$FA$324, 26, FALSE))</f>
        <v>-42.661028730305929</v>
      </c>
      <c r="AB8" s="1550">
        <f>IF(VLOOKUP($E$8,[1]QUART!$A$2:$FA$324, 27, FALSE)="",":",VLOOKUP($E$8,[1]QUART!$A$2:$FA$324, 27, FALSE))</f>
        <v>-47.352873030583851</v>
      </c>
      <c r="AC8" s="1550">
        <f>IF(VLOOKUP($E$8,[1]QUART!$A$2:$FA$324, 28, FALSE)="",":",VLOOKUP($E$8,[1]QUART!$A$2:$FA$324, 28, FALSE))</f>
        <v>-74.837812789620102</v>
      </c>
      <c r="AD8" s="1550">
        <f>IF(VLOOKUP($E$8,[1]QUART!$A$2:$FA$324, 29, FALSE)="",":",VLOOKUP($E$8,[1]QUART!$A$2:$FA$324, 29, FALSE))</f>
        <v>-87.63901760889712</v>
      </c>
      <c r="AE8" s="1550">
        <f>IF(VLOOKUP($E$8,[1]QUART!$A$2:$FA$324, 30, FALSE)="",":",VLOOKUP($E$8,[1]QUART!$A$2:$FA$324, 30, FALSE))</f>
        <v>-75.677710843373347</v>
      </c>
      <c r="AF8" s="1550">
        <f>IF(VLOOKUP($E$8,[1]QUART!$A$2:$FA$324, 31, FALSE)="",":",VLOOKUP($E$8,[1]QUART!$A$2:$FA$324, 31, FALSE))</f>
        <v>-48.62720111214071</v>
      </c>
      <c r="AG8" s="1550">
        <f>IF(VLOOKUP($E$8,[1]QUART!$A$2:$FA$324, 32, FALSE)="",":",VLOOKUP($E$8,[1]QUART!$A$2:$FA$324, 32, FALSE))</f>
        <v>-34.725440222428233</v>
      </c>
      <c r="AH8" s="1550">
        <f>IF(VLOOKUP($E$8,[1]QUART!$A$2:$FA$324, 33, FALSE)="",":",VLOOKUP($E$8,[1]QUART!$A$2:$FA$324, 33, FALSE))</f>
        <v>-25.631371640407792</v>
      </c>
      <c r="AI8" s="1550">
        <f>IF(VLOOKUP($E$8,[1]QUART!$A$2:$FA$324, 34, FALSE)="",":",VLOOKUP($E$8,[1]QUART!$A$2:$FA$324, 34, FALSE))</f>
        <v>-29.309545875810841</v>
      </c>
      <c r="AJ8" s="1550">
        <f>IF(VLOOKUP($E$8,[1]QUART!$A$2:$FA$324, 35, FALSE)="",":",VLOOKUP($E$8,[1]QUART!$A$2:$FA$324, 35, FALSE))</f>
        <v>32.784986098239074</v>
      </c>
      <c r="AK8" s="1550">
        <f>IF(VLOOKUP($E$8,[1]QUART!$A$2:$FA$324, 36, FALSE)="",":",VLOOKUP($E$8,[1]QUART!$A$2:$FA$324, 36, FALSE))</f>
        <v>21.084337349397629</v>
      </c>
      <c r="AL8" s="1550">
        <f>IF(VLOOKUP($E$8,[1]QUART!$A$2:$FA$324, 37, FALSE)="",":",VLOOKUP($E$8,[1]QUART!$A$2:$FA$324, 37, FALSE))</f>
        <v>-45.962696941612762</v>
      </c>
      <c r="AM8" s="1550">
        <f>IF(VLOOKUP($E$8,[1]QUART!$A$2:$FA$324, 38, FALSE)="",":",VLOOKUP($E$8,[1]QUART!$A$2:$FA$324, 38, FALSE))</f>
        <v>-45.615152919369734</v>
      </c>
      <c r="AN8" s="1550">
        <f>IF(VLOOKUP($E$8,[1]QUART!$A$2:$FA$324, 39, FALSE)="",":",VLOOKUP($E$8,[1]QUART!$A$2:$FA$324, 39, FALSE))</f>
        <v>-18.130213160333597</v>
      </c>
      <c r="AO8" s="1550">
        <f>IF(VLOOKUP($E$8,[1]QUART!$A$2:$FA$324, 40, FALSE)="",":",VLOOKUP($E$8,[1]QUART!$A$2:$FA$324, 40, FALSE))</f>
        <v>47.584569045412422</v>
      </c>
      <c r="AP8" s="1550">
        <f>IF(VLOOKUP($E$8,[1]QUART!$A$2:$FA$324, 41, FALSE)="",":",VLOOKUP($E$8,[1]QUART!$A$2:$FA$324, 41, FALSE))</f>
        <v>59.053521779425296</v>
      </c>
      <c r="AQ8" s="1550">
        <f>IF(VLOOKUP($E$8,[1]QUART!$A$2:$FA$324, 42, FALSE)="",":",VLOOKUP($E$8,[1]QUART!$A$2:$FA$324, 42, FALSE))</f>
        <v>139.97335495829452</v>
      </c>
      <c r="AR8" s="1550">
        <f>IF(VLOOKUP($E$8,[1]QUART!$A$2:$FA$324, 43, FALSE)="",":",VLOOKUP($E$8,[1]QUART!$A$2:$FA$324, 43, FALSE))</f>
        <v>95.19810009267826</v>
      </c>
      <c r="AS8" s="1550">
        <f>IF(VLOOKUP($E$8,[1]QUART!$A$2:$FA$324, 44, FALSE)="",":",VLOOKUP($E$8,[1]QUART!$A$2:$FA$324, 44, FALSE))</f>
        <v>58.561167747914851</v>
      </c>
      <c r="AT8" s="1550">
        <f>IF(VLOOKUP($E$8,[1]QUART!$A$2:$FA$324, 45, FALSE)="",":",VLOOKUP($E$8,[1]QUART!$A$2:$FA$324, 45, FALSE))</f>
        <v>108.05722891566279</v>
      </c>
      <c r="AU8" s="1550">
        <f>IF(VLOOKUP($E$8,[1]QUART!$A$2:$FA$324, 46, FALSE)="",":",VLOOKUP($E$8,[1]QUART!$A$2:$FA$324, 46, FALSE))</f>
        <v>-80.400000000000091</v>
      </c>
      <c r="AV8" s="1550">
        <f>IF(VLOOKUP($E$8,[1]QUART!$A$2:$FA$324, 47, FALSE)="",":",VLOOKUP($E$8,[1]QUART!$A$2:$FA$324, 47, FALSE))</f>
        <v>45.099999999999909</v>
      </c>
      <c r="AW8" s="1550">
        <f>IF(VLOOKUP($E$8,[1]QUART!$A$2:$FA$324, 48, FALSE)="",":",VLOOKUP($E$8,[1]QUART!$A$2:$FA$324, 48, FALSE))</f>
        <v>-124.70000000000005</v>
      </c>
      <c r="AX8" s="1550">
        <f>IF(VLOOKUP($E$8,[1]QUART!$A$2:$FA$324, 49, FALSE)="",":",VLOOKUP($E$8,[1]QUART!$A$2:$FA$324, 49, FALSE))</f>
        <v>14.299999999999955</v>
      </c>
      <c r="AY8" s="1550">
        <f>IF(VLOOKUP($E$8,[1]QUART!$A$2:$FA$324, 50, FALSE)="",":",VLOOKUP($E$8,[1]QUART!$A$2:$FA$324, 50, FALSE))</f>
        <v>-5.3999999999998636</v>
      </c>
      <c r="AZ8" s="1550">
        <f>IF(VLOOKUP($E$8,[1]QUART!$A$2:$FA$324, 51, FALSE)="",":",VLOOKUP($E$8,[1]QUART!$A$2:$FA$324, 51, FALSE))</f>
        <v>-261.90000000000009</v>
      </c>
      <c r="BA8" s="1550">
        <f>IF(VLOOKUP($E$8,[1]QUART!$A$2:$FA$324, 52, FALSE)="",":",VLOOKUP($E$8,[1]QUART!$A$2:$FA$324, 52, FALSE))</f>
        <v>-190</v>
      </c>
      <c r="BB8" s="1550">
        <f>IF(VLOOKUP($E$8,[1]QUART!$A$2:$FA$324, 53, FALSE)="",":",VLOOKUP($E$8,[1]QUART!$A$2:$FA$324, 53, FALSE))</f>
        <v>-85.100000000000136</v>
      </c>
      <c r="BC8" s="1550">
        <f>IF(VLOOKUP($E$8,[1]QUART!$A$2:$FA$324, 54, FALSE)="",":",VLOOKUP($E$8,[1]QUART!$A$2:$FA$324, 54, FALSE))</f>
        <v>-149.80000000000018</v>
      </c>
      <c r="BD8" s="1550">
        <f>IF(VLOOKUP($E$8,[1]QUART!$A$2:$FA$324, 55, FALSE)="",":",VLOOKUP($E$8,[1]QUART!$A$2:$FA$324, 55, FALSE))</f>
        <v>-20.699999999999818</v>
      </c>
      <c r="BE8" s="1550">
        <f>IF(VLOOKUP($E$8,[1]QUART!$A$2:$FA$324, 56, FALSE)="",":",VLOOKUP($E$8,[1]QUART!$A$2:$FA$324, 56, FALSE))</f>
        <v>-33.099999999999909</v>
      </c>
      <c r="BF8" s="1550">
        <f>IF(VLOOKUP($E$8,[1]QUART!$A$2:$FA$324, 57, FALSE)="",":",VLOOKUP($E$8,[1]QUART!$A$2:$FA$324, 57, FALSE))</f>
        <v>13.499999999999773</v>
      </c>
      <c r="BG8" s="1550">
        <f>IF(VLOOKUP($E$8,[1]QUART!$A$2:$FA$324, 58, FALSE)="",":",VLOOKUP($E$8,[1]QUART!$A$2:$FA$324, 58, FALSE))</f>
        <v>78.899999999999864</v>
      </c>
      <c r="BH8" s="1550">
        <f>IF(VLOOKUP($E$8,[1]QUART!$A$2:$FA$324, 59, FALSE)="",":",VLOOKUP($E$8,[1]QUART!$A$2:$FA$324, 59, FALSE))</f>
        <v>59.300000000000182</v>
      </c>
      <c r="BI8" s="1550">
        <f>IF(VLOOKUP($E$8,[1]QUART!$A$2:$FA$324, 60, FALSE)="",":",VLOOKUP($E$8,[1]QUART!$A$2:$FA$324, 60, FALSE))</f>
        <v>167.30000000000018</v>
      </c>
      <c r="BJ8" s="1550">
        <f>IF(VLOOKUP($E$8,[1]QUART!$A$2:$FA$324, 61, FALSE)="",":",VLOOKUP($E$8,[1]QUART!$A$2:$FA$324, 61, FALSE))</f>
        <v>66.299999999999955</v>
      </c>
      <c r="BK8" s="1550">
        <f>IF(VLOOKUP($E$8,[1]QUART!$A$2:$FA$324, 62, FALSE)="",":",VLOOKUP($E$8,[1]QUART!$A$2:$FA$324, 62, FALSE))</f>
        <v>-529.5</v>
      </c>
      <c r="BL8" s="1550">
        <f>IF(VLOOKUP($E$8,[1]QUART!$A$2:$FA$324, 63, FALSE)="",":",VLOOKUP($E$8,[1]QUART!$A$2:$FA$324, 63, FALSE))</f>
        <v>-253.70000000000005</v>
      </c>
      <c r="BM8" s="1550">
        <f>IF(VLOOKUP($E$8,[1]QUART!$A$2:$FA$324, 64, FALSE)="",":",VLOOKUP($E$8,[1]QUART!$A$2:$FA$324, 64, FALSE))</f>
        <v>-54.000000000000114</v>
      </c>
      <c r="BN8" s="1550">
        <f>IF(VLOOKUP($E$8,[1]QUART!$A$2:$FA$324, 65, FALSE)="",":",VLOOKUP($E$8,[1]QUART!$A$2:$FA$324, 65, FALSE))</f>
        <v>-171.60000000000002</v>
      </c>
      <c r="BO8" s="1550">
        <f>IF(VLOOKUP($E$8,[1]QUART!$A$2:$FA$324, 66, FALSE)="",":",VLOOKUP($E$8,[1]QUART!$A$2:$FA$324, 66, FALSE))</f>
        <v>52.100000000000136</v>
      </c>
      <c r="BP8" s="1550">
        <f>IF(VLOOKUP($E$8,[1]QUART!$A$2:$FA$324, 67, FALSE)="",":",VLOOKUP($E$8,[1]QUART!$A$2:$FA$324, 67, FALSE))</f>
        <v>163.60000000000014</v>
      </c>
      <c r="BQ8" s="1550">
        <f>IF(VLOOKUP($E$8,[1]QUART!$A$2:$FA$324, 68, FALSE)="",":",VLOOKUP($E$8,[1]QUART!$A$2:$FA$324, 68, FALSE))</f>
        <v>-37.300000000000182</v>
      </c>
      <c r="BR8" s="1550">
        <f>IF(VLOOKUP($E$8,[1]QUART!$A$2:$FA$324, 69, FALSE)="",":",VLOOKUP($E$8,[1]QUART!$A$2:$FA$324, 69, FALSE))</f>
        <v>167.70000000000005</v>
      </c>
      <c r="BS8" s="1550">
        <f>IF(VLOOKUP($E$8,[1]QUART!$A$2:$FA$324, 70, FALSE)="",":",VLOOKUP($E$8,[1]QUART!$A$2:$FA$324, 70, FALSE))</f>
        <v>209.20000000000005</v>
      </c>
      <c r="BT8" s="1550">
        <f>IF(VLOOKUP($E$8,[1]QUART!$A$2:$FA$324, 71, FALSE)="",":",VLOOKUP($E$8,[1]QUART!$A$2:$FA$324, 71, FALSE))</f>
        <v>82</v>
      </c>
      <c r="BU8" s="1550">
        <f>IF(VLOOKUP($E$8,[1]QUART!$A$2:$FA$324, 72, FALSE)="",":",VLOOKUP($E$8,[1]QUART!$A$2:$FA$324, 72, FALSE))</f>
        <v>-27.5</v>
      </c>
      <c r="BV8" s="1550">
        <f>IF(VLOOKUP($E$8,[1]QUART!$A$2:$FA$324, 73, FALSE)="",":",VLOOKUP($E$8,[1]QUART!$A$2:$FA$324, 73, FALSE))</f>
        <v>2.8999999999998636</v>
      </c>
      <c r="BW8" s="1550">
        <f>IF(VLOOKUP($E$8,[1]QUART!$A$2:$FA$324, 74, FALSE)="",":",VLOOKUP($E$8,[1]QUART!$A$2:$FA$324, 74, FALSE))</f>
        <v>-34.900000000000091</v>
      </c>
      <c r="BX8" s="1550">
        <f>IF(VLOOKUP($E$8,[1]QUART!$A$2:$FA$324, 75, FALSE)="",":",VLOOKUP($E$8,[1]QUART!$A$2:$FA$324, 75, FALSE))</f>
        <v>-228.80000000000018</v>
      </c>
      <c r="BY8" s="1550">
        <f>IF(VLOOKUP($E$8,[1]QUART!$A$2:$FA$324, 76, FALSE)="",":",VLOOKUP($E$8,[1]QUART!$A$2:$FA$324, 76, FALSE))</f>
        <v>83.700000000000045</v>
      </c>
      <c r="BZ8" s="1550">
        <f>IF(VLOOKUP($E$8,[1]QUART!$A$2:$FA$324, 77, FALSE)="",":",VLOOKUP($E$8,[1]QUART!$A$2:$FA$324, 77, FALSE))</f>
        <v>-146.19999999999982</v>
      </c>
      <c r="CA8" s="1550">
        <f>IF(VLOOKUP($E$8,[1]QUART!$A$2:$FA$324, 78, FALSE)="",":",VLOOKUP($E$8,[1]QUART!$A$2:$FA$324, 78, FALSE))</f>
        <v>-250.59999999999991</v>
      </c>
      <c r="CB8" s="1550">
        <f>IF(VLOOKUP($E$8,[1]QUART!$A$2:$FA$324, 79, FALSE)="",":",VLOOKUP($E$8,[1]QUART!$A$2:$FA$324, 79, FALSE))</f>
        <v>-225.39999999999986</v>
      </c>
      <c r="CC8" s="1550">
        <f>IF(VLOOKUP($E$8,[1]QUART!$A$2:$FA$324, 80, FALSE)="",":",VLOOKUP($E$8,[1]QUART!$A$2:$FA$324, 80, FALSE))</f>
        <v>-160.69999999999982</v>
      </c>
      <c r="CD8" s="1550">
        <f>IF(VLOOKUP($E$8,[1]QUART!$A$2:$FA$324, 81, FALSE)="",":",VLOOKUP($E$8,[1]QUART!$A$2:$FA$324, 81, FALSE))</f>
        <v>-137.59999999999991</v>
      </c>
      <c r="CE8" s="1550">
        <f>IF(VLOOKUP($E$8,[1]QUART!$A$2:$FA$324, CE$1, FALSE)="",":",VLOOKUP($E$8,[1]QUART!$A$2:$FA$324, CE1, FALSE))</f>
        <v>-233.20000000000005</v>
      </c>
      <c r="CF8" s="1550">
        <f>IF(VLOOKUP($E$8,[1]QUART!$A$2:$FA$324, CF$1, FALSE)="",":",VLOOKUP($E$8,[1]QUART!$A$2:$FA$324, CF1, FALSE))</f>
        <v>-257.40000000000009</v>
      </c>
      <c r="CG8" s="1550">
        <f>IF(VLOOKUP($E$8,[1]QUART!$A$2:$FA$324, CG$1, FALSE)="",":",VLOOKUP($E$8,[1]QUART!$A$2:$FA$324, CG1, FALSE))</f>
        <v>-257.20000000000005</v>
      </c>
      <c r="CH8" s="1550">
        <f>IF(VLOOKUP($E$8,[1]QUART!$A$2:$FA$324, CH$1, FALSE)="",":",VLOOKUP($E$8,[1]QUART!$A$2:$FA$324, CH1, FALSE))</f>
        <v>-143.70000000000005</v>
      </c>
      <c r="CI8" s="1550">
        <f>IF(VLOOKUP($E$8,[1]QUART!$A$2:$FA$324, CI$1, FALSE)="",":",VLOOKUP($E$8,[1]QUART!$A$2:$FA$324, CI1, FALSE))</f>
        <v>16.099999999999909</v>
      </c>
      <c r="CJ8" s="1550">
        <f>IF(VLOOKUP($E$8,[1]QUART!$A$2:$FA$324, CJ$1, FALSE)="",":",VLOOKUP($E$8,[1]QUART!$A$2:$FA$324, CJ1, FALSE))</f>
        <v>128.90000000000009</v>
      </c>
      <c r="CK8" s="1550">
        <f>IF(VLOOKUP($E$8,[1]QUART!$A$2:$FA$324, CK$1, FALSE)="",":",VLOOKUP($E$8,[1]QUART!$A$2:$FA$324, CK1, FALSE))</f>
        <v>-24.799999999999955</v>
      </c>
      <c r="CL8" s="1550">
        <f>IF(VLOOKUP($E$8,[1]QUART!$A$2:$FA$324, CL$1, FALSE)="",":",VLOOKUP($E$8,[1]QUART!$A$2:$FA$324, CL1, FALSE))</f>
        <v>25.799999999999955</v>
      </c>
      <c r="CM8" s="1550">
        <f>IF(VLOOKUP($E$8,[1]QUART!$A$2:$FA$324, CM$1, FALSE)="",":",VLOOKUP($E$8,[1]QUART!$A$2:$FA$324, CM1, FALSE))</f>
        <v>-145.40000000000009</v>
      </c>
      <c r="CN8" s="1550">
        <f>IF(VLOOKUP($E$8,[1]QUART!$A$2:$FA$324, CN$1, FALSE)="",":",VLOOKUP($E$8,[1]QUART!$A$2:$FA$324, CN1, FALSE))</f>
        <v>13.400000000000091</v>
      </c>
      <c r="CO8" s="1550">
        <f>IF(VLOOKUP($E$8,[1]QUART!$A$2:$FA$324, CO$1, FALSE)="",":",VLOOKUP($E$8,[1]QUART!$A$2:$FA$324, CO1, FALSE))</f>
        <v>6.2000000000000455</v>
      </c>
      <c r="CP8" s="1550">
        <f>IF(VLOOKUP($E$8,[1]QUART!$A$2:$FA$324, CP$1, FALSE)="",":",VLOOKUP($E$8,[1]QUART!$A$2:$FA$324, CP1, FALSE))</f>
        <v>-19</v>
      </c>
      <c r="CQ8" s="1550">
        <f>IF(VLOOKUP($E$8,[1]QUART!$A$2:$FA$324, 94, FALSE)="",":",VLOOKUP($E$8,[1]QUART!$A$2:$FA$324, 94, FALSE))</f>
        <v>-3.0999999999999091</v>
      </c>
      <c r="CR8" s="1550">
        <f>IF(VLOOKUP($E$8,[1]QUART!$A$2:$FA$324, 95, FALSE)="",":",VLOOKUP($E$8,[1]QUART!$A$2:$FA$324, 95, FALSE))</f>
        <v>-164.20000000000005</v>
      </c>
      <c r="CS8" s="1550">
        <f>IF(VLOOKUP($E$8,[1]QUART!$A$2:$FA$324, 96, FALSE)="",":",VLOOKUP($E$8,[1]QUART!$A$2:$FA$324, 96, FALSE))</f>
        <v>-8.2000000000000455</v>
      </c>
      <c r="CT8" s="1550">
        <f>IF(VLOOKUP($E$8,[1]QUART!$A$2:$FA$324, 97, FALSE)="",":",VLOOKUP($E$8,[1]QUART!$A$2:$FA$324, 97, FALSE))</f>
        <v>-172.70000000000005</v>
      </c>
      <c r="CU8" s="1550"/>
      <c r="CV8" s="1550"/>
      <c r="CW8" s="1550"/>
      <c r="CX8" s="1550"/>
      <c r="CY8" s="1550"/>
      <c r="CZ8" s="1550"/>
      <c r="DA8" s="1550"/>
      <c r="DB8" s="1550"/>
      <c r="DC8" s="1550"/>
    </row>
    <row r="9" spans="1:110">
      <c r="A9" s="1546">
        <v>19</v>
      </c>
      <c r="B9" s="534" t="s">
        <v>2061</v>
      </c>
      <c r="C9" s="535" t="s">
        <v>494</v>
      </c>
      <c r="D9" s="1547" t="s">
        <v>1841</v>
      </c>
      <c r="E9" s="1548">
        <v>69</v>
      </c>
      <c r="F9" s="1549" t="str">
        <f>VLOOKUP($E$9,[1]QUART!$A$2:$FA$324, 3, FALSE)</f>
        <v xml:space="preserve">69  Exports of goods and services                                                   </v>
      </c>
      <c r="G9" s="1550">
        <f>IF(VLOOKUP($E$9,[1]QUART!$A$2:$FA$324, 6, FALSE)="",":",VLOOKUP($E$9,[1]QUART!$A$2:$FA$324, 6, FALSE))</f>
        <v>1108.7233549582947</v>
      </c>
      <c r="H9" s="1550">
        <f>IF(VLOOKUP($E$9,[1]QUART!$A$2:$FA$324, 7, FALSE)="",":",VLOOKUP($E$9,[1]QUART!$A$2:$FA$324, 7, FALSE))</f>
        <v>1145.2444392956443</v>
      </c>
      <c r="I9" s="1550">
        <f>IF(VLOOKUP($E$9,[1]QUART!$A$2:$FA$324, 8, FALSE)="",":",VLOOKUP($E$9,[1]QUART!$A$2:$FA$324, 8, FALSE))</f>
        <v>1194.4508804448562</v>
      </c>
      <c r="J9" s="1550">
        <f>IF(VLOOKUP($E$9,[1]QUART!$A$2:$FA$324, 9, FALSE)="",":",VLOOKUP($E$9,[1]QUART!$A$2:$FA$324, 9, FALSE))</f>
        <v>1240.008109360519</v>
      </c>
      <c r="K9" s="1550">
        <f>IF(VLOOKUP($E$9,[1]QUART!$A$2:$FA$324, 10, FALSE)="",":",VLOOKUP($E$9,[1]QUART!$A$2:$FA$324, 10, FALSE))</f>
        <v>1306.939295644115</v>
      </c>
      <c r="L9" s="1550">
        <f>IF(VLOOKUP($E$9,[1]QUART!$A$2:$FA$324, 11, FALSE)="",":",VLOOKUP($E$9,[1]QUART!$A$2:$FA$324, 11, FALSE))</f>
        <v>1349.5424003707137</v>
      </c>
      <c r="M9" s="1550">
        <f>IF(VLOOKUP($E$9,[1]QUART!$A$2:$FA$324, 12, FALSE)="",":",VLOOKUP($E$9,[1]QUART!$A$2:$FA$324, 12, FALSE))</f>
        <v>1424.9015291936978</v>
      </c>
      <c r="N9" s="1550">
        <f>IF(VLOOKUP($E$9,[1]QUART!$A$2:$FA$324, 13, FALSE)="",":",VLOOKUP($E$9,[1]QUART!$A$2:$FA$324, 13, FALSE))</f>
        <v>1496.321825764597</v>
      </c>
      <c r="O9" s="1550">
        <f>IF(VLOOKUP($E$9,[1]QUART!$A$2:$FA$324, 14, FALSE)="",":",VLOOKUP($E$9,[1]QUART!$A$2:$FA$324, 14, FALSE))</f>
        <v>1556.128359592215</v>
      </c>
      <c r="P9" s="1550">
        <f>IF(VLOOKUP($E$9,[1]QUART!$A$2:$FA$324, 15, FALSE)="",":",VLOOKUP($E$9,[1]QUART!$A$2:$FA$324, 15, FALSE))</f>
        <v>1602.5254865616312</v>
      </c>
      <c r="Q9" s="1550">
        <f>IF(VLOOKUP($E$9,[1]QUART!$A$2:$FA$324, 16, FALSE)="",":",VLOOKUP($E$9,[1]QUART!$A$2:$FA$324, 16, FALSE))</f>
        <v>1636.9902687673773</v>
      </c>
      <c r="R9" s="1550">
        <f>IF(VLOOKUP($E$9,[1]QUART!$A$2:$FA$324, 17, FALSE)="",":",VLOOKUP($E$9,[1]QUART!$A$2:$FA$324, 17, FALSE))</f>
        <v>1779.1647358665432</v>
      </c>
      <c r="S9" s="1550">
        <f>IF(VLOOKUP($E$9,[1]QUART!$A$2:$FA$324, 18, FALSE)="",":",VLOOKUP($E$9,[1]QUART!$A$2:$FA$324, 18, FALSE))</f>
        <v>1831.7307692307695</v>
      </c>
      <c r="T9" s="1550">
        <f>IF(VLOOKUP($E$9,[1]QUART!$A$2:$FA$324, 19, FALSE)="",":",VLOOKUP($E$9,[1]QUART!$A$2:$FA$324, 19, FALSE))</f>
        <v>1807.2578776645043</v>
      </c>
      <c r="U9" s="1550">
        <f>IF(VLOOKUP($E$9,[1]QUART!$A$2:$FA$324, 20, FALSE)="",":",VLOOKUP($E$9,[1]QUART!$A$2:$FA$324, 20, FALSE))</f>
        <v>1690.4251621872104</v>
      </c>
      <c r="V9" s="1550">
        <f>IF(VLOOKUP($E$9,[1]QUART!$A$2:$FA$324, 21, FALSE)="",":",VLOOKUP($E$9,[1]QUART!$A$2:$FA$324, 21, FALSE))</f>
        <v>1593.8658480074143</v>
      </c>
      <c r="W9" s="1550">
        <f>IF(VLOOKUP($E$9,[1]QUART!$A$2:$FA$324, 22, FALSE)="",":",VLOOKUP($E$9,[1]QUART!$A$2:$FA$324, 22, FALSE))</f>
        <v>1505.8503243744208</v>
      </c>
      <c r="X9" s="1550">
        <f>IF(VLOOKUP($E$9,[1]QUART!$A$2:$FA$324, 23, FALSE)="",":",VLOOKUP($E$9,[1]QUART!$A$2:$FA$324, 23, FALSE))</f>
        <v>1430.607043558851</v>
      </c>
      <c r="Y9" s="1550">
        <f>IF(VLOOKUP($E$9,[1]QUART!$A$2:$FA$324, 24, FALSE)="",":",VLOOKUP($E$9,[1]QUART!$A$2:$FA$324, 24, FALSE))</f>
        <v>1419.1380908248379</v>
      </c>
      <c r="Z9" s="1550">
        <f>IF(VLOOKUP($E$9,[1]QUART!$A$2:$FA$324, 25, FALSE)="",":",VLOOKUP($E$9,[1]QUART!$A$2:$FA$324, 25, FALSE))</f>
        <v>1404.8598239110288</v>
      </c>
      <c r="AA9" s="1550">
        <f>IF(VLOOKUP($E$9,[1]QUART!$A$2:$FA$324, 26, FALSE)="",":",VLOOKUP($E$9,[1]QUART!$A$2:$FA$324, 26, FALSE))</f>
        <v>1524.4439295644117</v>
      </c>
      <c r="AB9" s="1550">
        <f>IF(VLOOKUP($E$9,[1]QUART!$A$2:$FA$324, 27, FALSE)="",":",VLOOKUP($E$9,[1]QUART!$A$2:$FA$324, 27, FALSE))</f>
        <v>1534.8123262279889</v>
      </c>
      <c r="AC9" s="1550">
        <f>IF(VLOOKUP($E$9,[1]QUART!$A$2:$FA$324, 28, FALSE)="",":",VLOOKUP($E$9,[1]QUART!$A$2:$FA$324, 28, FALSE))</f>
        <v>1649.4439295644115</v>
      </c>
      <c r="AD9" s="1550">
        <f>IF(VLOOKUP($E$9,[1]QUART!$A$2:$FA$324, 29, FALSE)="",":",VLOOKUP($E$9,[1]QUART!$A$2:$FA$324, 29, FALSE))</f>
        <v>1656.9161260426322</v>
      </c>
      <c r="AE9" s="1550">
        <f>IF(VLOOKUP($E$9,[1]QUART!$A$2:$FA$324, 30, FALSE)="",":",VLOOKUP($E$9,[1]QUART!$A$2:$FA$324, 30, FALSE))</f>
        <v>1824.6061167747916</v>
      </c>
      <c r="AF9" s="1550">
        <f>IF(VLOOKUP($E$9,[1]QUART!$A$2:$FA$324, 31, FALSE)="",":",VLOOKUP($E$9,[1]QUART!$A$2:$FA$324, 31, FALSE))</f>
        <v>1896.4318813716404</v>
      </c>
      <c r="AG9" s="1550">
        <f>IF(VLOOKUP($E$9,[1]QUART!$A$2:$FA$324, 32, FALSE)="",":",VLOOKUP($E$9,[1]QUART!$A$2:$FA$324, 32, FALSE))</f>
        <v>1946.4782205746062</v>
      </c>
      <c r="AH9" s="1550">
        <f>IF(VLOOKUP($E$9,[1]QUART!$A$2:$FA$324, 33, FALSE)="",":",VLOOKUP($E$9,[1]QUART!$A$2:$FA$324, 33, FALSE))</f>
        <v>2026.7319277108434</v>
      </c>
      <c r="AI9" s="1550">
        <f>IF(VLOOKUP($E$9,[1]QUART!$A$2:$FA$324, 34, FALSE)="",":",VLOOKUP($E$9,[1]QUART!$A$2:$FA$324, 34, FALSE))</f>
        <v>2126.5929101019465</v>
      </c>
      <c r="AJ9" s="1550">
        <f>IF(VLOOKUP($E$9,[1]QUART!$A$2:$FA$324, 35, FALSE)="",":",VLOOKUP($E$9,[1]QUART!$A$2:$FA$324, 35, FALSE))</f>
        <v>2304.1299814643189</v>
      </c>
      <c r="AK9" s="1550">
        <f>IF(VLOOKUP($E$9,[1]QUART!$A$2:$FA$324, 36, FALSE)="",":",VLOOKUP($E$9,[1]QUART!$A$2:$FA$324, 36, FALSE))</f>
        <v>2273.86468952734</v>
      </c>
      <c r="AL9" s="1550">
        <f>IF(VLOOKUP($E$9,[1]QUART!$A$2:$FA$324, 37, FALSE)="",":",VLOOKUP($E$9,[1]QUART!$A$2:$FA$324, 37, FALSE))</f>
        <v>2404.4833178869326</v>
      </c>
      <c r="AM9" s="1550">
        <f>IF(VLOOKUP($E$9,[1]QUART!$A$2:$FA$324, 38, FALSE)="",":",VLOOKUP($E$9,[1]QUART!$A$2:$FA$324, 38, FALSE))</f>
        <v>2544.4566728452273</v>
      </c>
      <c r="AN9" s="1550">
        <f>IF(VLOOKUP($E$9,[1]QUART!$A$2:$FA$324, 39, FALSE)="",":",VLOOKUP($E$9,[1]QUART!$A$2:$FA$324, 39, FALSE))</f>
        <v>2345.6035681186281</v>
      </c>
      <c r="AO9" s="1550">
        <f>IF(VLOOKUP($E$9,[1]QUART!$A$2:$FA$324, 40, FALSE)="",":",VLOOKUP($E$9,[1]QUART!$A$2:$FA$324, 40, FALSE))</f>
        <v>2432.431649675626</v>
      </c>
      <c r="AP9" s="1550">
        <f>IF(VLOOKUP($E$9,[1]QUART!$A$2:$FA$324, 41, FALSE)="",":",VLOOKUP($E$9,[1]QUART!$A$2:$FA$324, 41, FALSE))</f>
        <v>2512.8591288229841</v>
      </c>
      <c r="AQ9" s="1550">
        <f>IF(VLOOKUP($E$9,[1]QUART!$A$2:$FA$324, 42, FALSE)="",":",VLOOKUP($E$9,[1]QUART!$A$2:$FA$324, 42, FALSE))</f>
        <v>2383.6306765523636</v>
      </c>
      <c r="AR9" s="1550">
        <f>IF(VLOOKUP($E$9,[1]QUART!$A$2:$FA$324, 43, FALSE)="",":",VLOOKUP($E$9,[1]QUART!$A$2:$FA$324, 43, FALSE))</f>
        <v>2488.5889712696944</v>
      </c>
      <c r="AS9" s="1550">
        <f>IF(VLOOKUP($E$9,[1]QUART!$A$2:$FA$324, 44, FALSE)="",":",VLOOKUP($E$9,[1]QUART!$A$2:$FA$324, 44, FALSE))</f>
        <v>2606.2615848007413</v>
      </c>
      <c r="AT9" s="1550">
        <f>IF(VLOOKUP($E$9,[1]QUART!$A$2:$FA$324, 45, FALSE)="",":",VLOOKUP($E$9,[1]QUART!$A$2:$FA$324, 45, FALSE))</f>
        <v>2745.8873957367932</v>
      </c>
      <c r="AU9" s="1550">
        <f>IF(VLOOKUP($E$9,[1]QUART!$A$2:$FA$324, 46, FALSE)="",":",VLOOKUP($E$9,[1]QUART!$A$2:$FA$324, 46, FALSE))</f>
        <v>3139.4</v>
      </c>
      <c r="AV9" s="1550">
        <f>IF(VLOOKUP($E$9,[1]QUART!$A$2:$FA$324, 47, FALSE)="",":",VLOOKUP($E$9,[1]QUART!$A$2:$FA$324, 47, FALSE))</f>
        <v>3257.8</v>
      </c>
      <c r="AW9" s="1550">
        <f>IF(VLOOKUP($E$9,[1]QUART!$A$2:$FA$324, 48, FALSE)="",":",VLOOKUP($E$9,[1]QUART!$A$2:$FA$324, 48, FALSE))</f>
        <v>3422.1</v>
      </c>
      <c r="AX9" s="1550">
        <f>IF(VLOOKUP($E$9,[1]QUART!$A$2:$FA$324, 49, FALSE)="",":",VLOOKUP($E$9,[1]QUART!$A$2:$FA$324, 49, FALSE))</f>
        <v>3558.5</v>
      </c>
      <c r="AY9" s="1550">
        <f>IF(VLOOKUP($E$9,[1]QUART!$A$2:$FA$324, 50, FALSE)="",":",VLOOKUP($E$9,[1]QUART!$A$2:$FA$324, 50, FALSE))</f>
        <v>3716.9</v>
      </c>
      <c r="AZ9" s="1550">
        <f>IF(VLOOKUP($E$9,[1]QUART!$A$2:$FA$324, 51, FALSE)="",":",VLOOKUP($E$9,[1]QUART!$A$2:$FA$324, 51, FALSE))</f>
        <v>3791.6</v>
      </c>
      <c r="BA9" s="1550">
        <f>IF(VLOOKUP($E$9,[1]QUART!$A$2:$FA$324, 52, FALSE)="",":",VLOOKUP($E$9,[1]QUART!$A$2:$FA$324, 52, FALSE))</f>
        <v>3729.2</v>
      </c>
      <c r="BB9" s="1550">
        <f>IF(VLOOKUP($E$9,[1]QUART!$A$2:$FA$324, 53, FALSE)="",":",VLOOKUP($E$9,[1]QUART!$A$2:$FA$324, 53, FALSE))</f>
        <v>3832.4</v>
      </c>
      <c r="BC9" s="1550">
        <f>IF(VLOOKUP($E$9,[1]QUART!$A$2:$FA$324, 54, FALSE)="",":",VLOOKUP($E$9,[1]QUART!$A$2:$FA$324, 54, FALSE))</f>
        <v>3754.5</v>
      </c>
      <c r="BD9" s="1550">
        <f>IF(VLOOKUP($E$9,[1]QUART!$A$2:$FA$324, 55, FALSE)="",":",VLOOKUP($E$9,[1]QUART!$A$2:$FA$324, 55, FALSE))</f>
        <v>3769.9</v>
      </c>
      <c r="BE9" s="1550">
        <f>IF(VLOOKUP($E$9,[1]QUART!$A$2:$FA$324, 56, FALSE)="",":",VLOOKUP($E$9,[1]QUART!$A$2:$FA$324, 56, FALSE))</f>
        <v>3995.4</v>
      </c>
      <c r="BF9" s="1550">
        <f>IF(VLOOKUP($E$9,[1]QUART!$A$2:$FA$324, 57, FALSE)="",":",VLOOKUP($E$9,[1]QUART!$A$2:$FA$324, 57, FALSE))</f>
        <v>4028.9</v>
      </c>
      <c r="BG9" s="1550">
        <f>IF(VLOOKUP($E$9,[1]QUART!$A$2:$FA$324, 58, FALSE)="",":",VLOOKUP($E$9,[1]QUART!$A$2:$FA$324, 58, FALSE))</f>
        <v>4383.8999999999996</v>
      </c>
      <c r="BH9" s="1550">
        <f>IF(VLOOKUP($E$9,[1]QUART!$A$2:$FA$324, 59, FALSE)="",":",VLOOKUP($E$9,[1]QUART!$A$2:$FA$324, 59, FALSE))</f>
        <v>4563.8</v>
      </c>
      <c r="BI9" s="1550">
        <f>IF(VLOOKUP($E$9,[1]QUART!$A$2:$FA$324, 60, FALSE)="",":",VLOOKUP($E$9,[1]QUART!$A$2:$FA$324, 60, FALSE))</f>
        <v>4429.2</v>
      </c>
      <c r="BJ9" s="1550">
        <f>IF(VLOOKUP($E$9,[1]QUART!$A$2:$FA$324, 61, FALSE)="",":",VLOOKUP($E$9,[1]QUART!$A$2:$FA$324, 61, FALSE))</f>
        <v>4297.5</v>
      </c>
      <c r="BK9" s="1550">
        <f>IF(VLOOKUP($E$9,[1]QUART!$A$2:$FA$324, 62, FALSE)="",":",VLOOKUP($E$9,[1]QUART!$A$2:$FA$324, 62, FALSE))</f>
        <v>3963.8</v>
      </c>
      <c r="BL9" s="1550">
        <f>IF(VLOOKUP($E$9,[1]QUART!$A$2:$FA$324, 63, FALSE)="",":",VLOOKUP($E$9,[1]QUART!$A$2:$FA$324, 63, FALSE))</f>
        <v>3711.1</v>
      </c>
      <c r="BM9" s="1550">
        <f>IF(VLOOKUP($E$9,[1]QUART!$A$2:$FA$324, 64, FALSE)="",":",VLOOKUP($E$9,[1]QUART!$A$2:$FA$324, 64, FALSE))</f>
        <v>3789.3</v>
      </c>
      <c r="BN9" s="1550">
        <f>IF(VLOOKUP($E$9,[1]QUART!$A$2:$FA$324, 65, FALSE)="",":",VLOOKUP($E$9,[1]QUART!$A$2:$FA$324, 65, FALSE))</f>
        <v>3927.6</v>
      </c>
      <c r="BO9" s="1550">
        <f>IF(VLOOKUP($E$9,[1]QUART!$A$2:$FA$324, 66, FALSE)="",":",VLOOKUP($E$9,[1]QUART!$A$2:$FA$324, 66, FALSE))</f>
        <v>4164.6000000000004</v>
      </c>
      <c r="BP9" s="1550">
        <f>IF(VLOOKUP($E$9,[1]QUART!$A$2:$FA$324, 67, FALSE)="",":",VLOOKUP($E$9,[1]QUART!$A$2:$FA$324, 67, FALSE))</f>
        <v>4493.8999999999996</v>
      </c>
      <c r="BQ9" s="1550">
        <f>IF(VLOOKUP($E$9,[1]QUART!$A$2:$FA$324, 68, FALSE)="",":",VLOOKUP($E$9,[1]QUART!$A$2:$FA$324, 68, FALSE))</f>
        <v>4713.3</v>
      </c>
      <c r="BR9" s="1550">
        <f>IF(VLOOKUP($E$9,[1]QUART!$A$2:$FA$324, 69, FALSE)="",":",VLOOKUP($E$9,[1]QUART!$A$2:$FA$324, 69, FALSE))</f>
        <v>4955.8</v>
      </c>
      <c r="BS9" s="1550">
        <f>IF(VLOOKUP($E$9,[1]QUART!$A$2:$FA$324, 70, FALSE)="",":",VLOOKUP($E$9,[1]QUART!$A$2:$FA$324, 70, FALSE))</f>
        <v>5107.1000000000004</v>
      </c>
      <c r="BT9" s="1550">
        <f>IF(VLOOKUP($E$9,[1]QUART!$A$2:$FA$324, 71, FALSE)="",":",VLOOKUP($E$9,[1]QUART!$A$2:$FA$324, 71, FALSE))</f>
        <v>5273.4</v>
      </c>
      <c r="BU9" s="1550">
        <f>IF(VLOOKUP($E$9,[1]QUART!$A$2:$FA$324, 72, FALSE)="",":",VLOOKUP($E$9,[1]QUART!$A$2:$FA$324, 72, FALSE))</f>
        <v>5345.1</v>
      </c>
      <c r="BV9" s="1550">
        <f>IF(VLOOKUP($E$9,[1]QUART!$A$2:$FA$324, 73, FALSE)="",":",VLOOKUP($E$9,[1]QUART!$A$2:$FA$324, 73, FALSE))</f>
        <v>5405.3</v>
      </c>
      <c r="BW9" s="1550">
        <f>IF(VLOOKUP($E$9,[1]QUART!$A$2:$FA$324, 74, FALSE)="",":",VLOOKUP($E$9,[1]QUART!$A$2:$FA$324, 74, FALSE))</f>
        <v>5636</v>
      </c>
      <c r="BX9" s="1550">
        <f>IF(VLOOKUP($E$9,[1]QUART!$A$2:$FA$324, 75, FALSE)="",":",VLOOKUP($E$9,[1]QUART!$A$2:$FA$324, 75, FALSE))</f>
        <v>5793.7</v>
      </c>
      <c r="BY9" s="1550">
        <f>IF(VLOOKUP($E$9,[1]QUART!$A$2:$FA$324, 76, FALSE)="",":",VLOOKUP($E$9,[1]QUART!$A$2:$FA$324, 76, FALSE))</f>
        <v>6039</v>
      </c>
      <c r="BZ9" s="1550">
        <f>IF(VLOOKUP($E$9,[1]QUART!$A$2:$FA$324, 77, FALSE)="",":",VLOOKUP($E$9,[1]QUART!$A$2:$FA$324, 77, FALSE))</f>
        <v>6284.6</v>
      </c>
      <c r="CA9" s="1550">
        <f>IF(VLOOKUP($E$9,[1]QUART!$A$2:$FA$324, 78, FALSE)="",":",VLOOKUP($E$9,[1]QUART!$A$2:$FA$324, 78, FALSE))</f>
        <v>6456.3</v>
      </c>
      <c r="CB9" s="1550">
        <f>IF(VLOOKUP($E$9,[1]QUART!$A$2:$FA$324, 79, FALSE)="",":",VLOOKUP($E$9,[1]QUART!$A$2:$FA$324, 79, FALSE))</f>
        <v>6462.4</v>
      </c>
      <c r="CC9" s="1550">
        <f>IF(VLOOKUP($E$9,[1]QUART!$A$2:$FA$324, 80, FALSE)="",":",VLOOKUP($E$9,[1]QUART!$A$2:$FA$324, 80, FALSE))</f>
        <v>6549.1</v>
      </c>
      <c r="CD9" s="1550">
        <f>IF(VLOOKUP($E$9,[1]QUART!$A$2:$FA$324, 81, FALSE)="",":",VLOOKUP($E$9,[1]QUART!$A$2:$FA$324, 81, FALSE))</f>
        <v>6623.3</v>
      </c>
      <c r="CE9" s="1550">
        <f>IF(VLOOKUP($E$9,[1]QUART!$A$2:$FA$324, 82, FALSE)="",":",VLOOKUP($E$9,[1]QUART!$A$2:$FA$324, 82, FALSE))</f>
        <v>6632.4</v>
      </c>
      <c r="CF9" s="1550">
        <f>IF(VLOOKUP($E$9,[1]QUART!$A$2:$FA$324, 83, FALSE)="",":",VLOOKUP($E$9,[1]QUART!$A$2:$FA$324, 83, FALSE))</f>
        <v>6768.5</v>
      </c>
      <c r="CG9" s="1550">
        <f>IF(VLOOKUP($E$9,[1]QUART!$A$2:$FA$324, 84, FALSE)="",":",VLOOKUP($E$9,[1]QUART!$A$2:$FA$324, 84, FALSE))</f>
        <v>6794.5</v>
      </c>
      <c r="CH9" s="1550">
        <f>IF(VLOOKUP($E$9,[1]QUART!$A$2:$FA$324, 85, FALSE)="",":",VLOOKUP($E$9,[1]QUART!$A$2:$FA$324, 85, FALSE))</f>
        <v>6763.1</v>
      </c>
      <c r="CI9" s="1550">
        <f>IF(VLOOKUP($E$9,[1]QUART!$A$2:$FA$324, 86, FALSE)="",":",VLOOKUP($E$9,[1]QUART!$A$2:$FA$324, 86, FALSE))</f>
        <v>6673.5</v>
      </c>
      <c r="CJ9" s="1550">
        <f>IF(VLOOKUP($E$9,[1]QUART!$A$2:$FA$324, 87, FALSE)="",":",VLOOKUP($E$9,[1]QUART!$A$2:$FA$324, 87, FALSE))</f>
        <v>6697.2</v>
      </c>
      <c r="CK9" s="1550">
        <f>IF(VLOOKUP($E$9,[1]QUART!$A$2:$FA$324, 88, FALSE)="",":",VLOOKUP($E$9,[1]QUART!$A$2:$FA$324, 88, FALSE))</f>
        <v>6710.4</v>
      </c>
      <c r="CL9" s="1550">
        <f>IF(VLOOKUP($E$9,[1]QUART!$A$2:$FA$324, 89, FALSE)="",":",VLOOKUP($E$9,[1]QUART!$A$2:$FA$324, 89, FALSE))</f>
        <v>6756.2</v>
      </c>
      <c r="CM9" s="1550">
        <f>IF(VLOOKUP($E$9,[1]QUART!$A$2:$FA$324, 90, FALSE)="",":",VLOOKUP($E$9,[1]QUART!$A$2:$FA$324, 90, FALSE))</f>
        <v>6799.1</v>
      </c>
      <c r="CN9" s="1550">
        <f>IF(VLOOKUP($E$9,[1]QUART!$A$2:$FA$324, 91, FALSE)="",":",VLOOKUP($E$9,[1]QUART!$A$2:$FA$324, 91, FALSE))</f>
        <v>6843.1</v>
      </c>
      <c r="CO9" s="1550">
        <f>IF(VLOOKUP($E$9,[1]QUART!$A$2:$FA$324, 92, FALSE)="",":",VLOOKUP($E$9,[1]QUART!$A$2:$FA$324, 92, FALSE))</f>
        <v>6979.1</v>
      </c>
      <c r="CP9" s="1550">
        <f>IF(VLOOKUP($E$9,[1]QUART!$A$2:$FA$324, 93, FALSE)="",":",VLOOKUP($E$9,[1]QUART!$A$2:$FA$324, 93, FALSE))</f>
        <v>7150.3</v>
      </c>
      <c r="CQ9" s="1550">
        <f>IF(VLOOKUP($E$9,[1]QUART!$A$2:$FA$324, 94, FALSE)="",":",VLOOKUP($E$9,[1]QUART!$A$2:$FA$324, 94, FALSE))</f>
        <v>7492.9</v>
      </c>
      <c r="CR9" s="1550">
        <f>IF(VLOOKUP($E$9,[1]QUART!$A$2:$FA$324, 95, FALSE)="",":",VLOOKUP($E$9,[1]QUART!$A$2:$FA$324, 95, FALSE))</f>
        <v>7776.9</v>
      </c>
      <c r="CS9" s="1550">
        <f>IF(VLOOKUP($E$9,[1]QUART!$A$2:$FA$324, 96, FALSE)="",":",VLOOKUP($E$9,[1]QUART!$A$2:$FA$324, 96, FALSE))</f>
        <v>7994.4</v>
      </c>
      <c r="CT9" s="1550">
        <f>IF(VLOOKUP($E$9,[1]QUART!$A$2:$FA$324, 97, FALSE)="",":",VLOOKUP($E$9,[1]QUART!$A$2:$FA$324, 97, FALSE))</f>
        <v>8201.7000000000007</v>
      </c>
      <c r="CU9" s="1550" t="str">
        <f>IF(VLOOKUP($E$9,[1]QUART!$A$2:$FA$324, 98, FALSE)="",":",VLOOKUP($E$9,[1]QUART!$A$2:$FA$324, 98, FALSE))</f>
        <v>:</v>
      </c>
      <c r="CV9" s="1550" t="str">
        <f>IF(VLOOKUP($E$9,[1]QUART!$A$2:$FA$324, 99, FALSE)="",":",VLOOKUP($E$9,[1]QUART!$A$2:$FA$324, 99, FALSE))</f>
        <v>:</v>
      </c>
      <c r="CW9" s="1550" t="str">
        <f>IF(VLOOKUP($E$9,[1]QUART!$A$2:$FA$324, 100, FALSE)="",":",VLOOKUP($E$9,[1]QUART!$A$2:$FA$324, 100, FALSE))</f>
        <v>:</v>
      </c>
      <c r="CX9" s="1550" t="str">
        <f>IF(VLOOKUP($E$9,[1]QUART!$A$2:$FA$324, 101, FALSE)="",":",VLOOKUP($E$9,[1]QUART!$A$2:$FA$324, 101, FALSE))</f>
        <v>:</v>
      </c>
      <c r="CY9" s="1550" t="str">
        <f>IF(VLOOKUP($E$9,[1]QUART!$A$2:$FA$324, 102, FALSE)="",":",VLOOKUP($E$9,[1]QUART!$A$2:$FA$324, 102, FALSE))</f>
        <v>:</v>
      </c>
      <c r="CZ9" s="1550" t="str">
        <f>IF(VLOOKUP($E$9,[1]QUART!$A$2:$FA$324, 103, FALSE)="",":",VLOOKUP($E$9,[1]QUART!$A$2:$FA$324, 103, FALSE))</f>
        <v>:</v>
      </c>
      <c r="DA9" s="1550" t="str">
        <f>IF(VLOOKUP($E$9,[1]QUART!$A$2:$FA$324, 104, FALSE)="",":",VLOOKUP($E$9,[1]QUART!$A$2:$FA$324, 104, FALSE))</f>
        <v>:</v>
      </c>
      <c r="DB9" s="1550" t="str">
        <f>IF(VLOOKUP($E$9,[1]QUART!$A$2:$FA$324, 105, FALSE)="",":",VLOOKUP($E$9,[1]QUART!$A$2:$FA$324, 105, FALSE))</f>
        <v>:</v>
      </c>
      <c r="DC9" s="1550" t="str">
        <f>IF(VLOOKUP($E$9,[1]QUART!$A$2:$FA$324, 106, FALSE)="",":",VLOOKUP($E$9,[1]QUART!$A$2:$FA$324, 106, FALSE))</f>
        <v>:</v>
      </c>
    </row>
    <row r="10" spans="1:110">
      <c r="A10" s="1546">
        <v>20</v>
      </c>
      <c r="B10" s="534" t="s">
        <v>2062</v>
      </c>
      <c r="C10" s="535" t="s">
        <v>497</v>
      </c>
      <c r="D10" s="1547" t="s">
        <v>1841</v>
      </c>
      <c r="E10" s="1548">
        <v>70</v>
      </c>
      <c r="F10" s="1549" t="str">
        <f>VLOOKUP($E$10,[1]QUART!$A$2:$FA$324, 3, FALSE)</f>
        <v xml:space="preserve">70  Imports of goods and services                                                   </v>
      </c>
      <c r="G10" s="1550">
        <f>IF(VLOOKUP($E$10,[1]QUART!$A$2:$FA$324, 6, FALSE)="",":",VLOOKUP($E$10,[1]QUART!$A$2:$FA$324, 6, FALSE))</f>
        <v>1077.9367469879519</v>
      </c>
      <c r="H10" s="1550">
        <f>IF(VLOOKUP($E$10,[1]QUART!$A$2:$FA$324, 7, FALSE)="",":",VLOOKUP($E$10,[1]QUART!$A$2:$FA$324, 7, FALSE))</f>
        <v>1067.1628822984244</v>
      </c>
      <c r="I10" s="1550">
        <f>IF(VLOOKUP($E$10,[1]QUART!$A$2:$FA$324, 8, FALSE)="",":",VLOOKUP($E$10,[1]QUART!$A$2:$FA$324, 8, FALSE))</f>
        <v>1119.3524096385543</v>
      </c>
      <c r="J10" s="1550">
        <f>IF(VLOOKUP($E$10,[1]QUART!$A$2:$FA$324, 9, FALSE)="",":",VLOOKUP($E$10,[1]QUART!$A$2:$FA$324, 9, FALSE))</f>
        <v>1161.0576923076924</v>
      </c>
      <c r="K10" s="1550">
        <f>IF(VLOOKUP($E$10,[1]QUART!$A$2:$FA$324, 10, FALSE)="",":",VLOOKUP($E$10,[1]QUART!$A$2:$FA$324, 10, FALSE))</f>
        <v>1234.0998609823912</v>
      </c>
      <c r="L10" s="1550">
        <f>IF(VLOOKUP($E$10,[1]QUART!$A$2:$FA$324, 11, FALSE)="",":",VLOOKUP($E$10,[1]QUART!$A$2:$FA$324, 11, FALSE))</f>
        <v>1290.3151065801669</v>
      </c>
      <c r="M10" s="1550">
        <f>IF(VLOOKUP($E$10,[1]QUART!$A$2:$FA$324, 12, FALSE)="",":",VLOOKUP($E$10,[1]QUART!$A$2:$FA$324, 12, FALSE))</f>
        <v>1385.339434661724</v>
      </c>
      <c r="N10" s="1550">
        <f>IF(VLOOKUP($E$10,[1]QUART!$A$2:$FA$324, 13, FALSE)="",":",VLOOKUP($E$10,[1]QUART!$A$2:$FA$324, 13, FALSE))</f>
        <v>1478.1916126042631</v>
      </c>
      <c r="O10" s="1550">
        <f>IF(VLOOKUP($E$10,[1]QUART!$A$2:$FA$324, 14, FALSE)="",":",VLOOKUP($E$10,[1]QUART!$A$2:$FA$324, 14, FALSE))</f>
        <v>1577.6181649675625</v>
      </c>
      <c r="P10" s="1550">
        <f>IF(VLOOKUP($E$10,[1]QUART!$A$2:$FA$324, 15, FALSE)="",":",VLOOKUP($E$10,[1]QUART!$A$2:$FA$324, 15, FALSE))</f>
        <v>1693.7847544022245</v>
      </c>
      <c r="Q10" s="1550">
        <f>IF(VLOOKUP($E$10,[1]QUART!$A$2:$FA$324, 16, FALSE)="",":",VLOOKUP($E$10,[1]QUART!$A$2:$FA$324, 16, FALSE))</f>
        <v>1704.8482391102873</v>
      </c>
      <c r="R10" s="1550">
        <f>IF(VLOOKUP($E$10,[1]QUART!$A$2:$FA$324, 17, FALSE)="",":",VLOOKUP($E$10,[1]QUART!$A$2:$FA$324, 17, FALSE))</f>
        <v>1793.5298887859128</v>
      </c>
      <c r="S10" s="1550">
        <f>IF(VLOOKUP($E$10,[1]QUART!$A$2:$FA$324, 18, FALSE)="",":",VLOOKUP($E$10,[1]QUART!$A$2:$FA$324, 18, FALSE))</f>
        <v>1847.4281742354033</v>
      </c>
      <c r="T10" s="1550">
        <f>IF(VLOOKUP($E$10,[1]QUART!$A$2:$FA$324, 19, FALSE)="",":",VLOOKUP($E$10,[1]QUART!$A$2:$FA$324, 19, FALSE))</f>
        <v>1849.7161723818351</v>
      </c>
      <c r="U10" s="1550">
        <f>IF(VLOOKUP($E$10,[1]QUART!$A$2:$FA$324, 20, FALSE)="",":",VLOOKUP($E$10,[1]QUART!$A$2:$FA$324, 20, FALSE))</f>
        <v>1874.3917979610751</v>
      </c>
      <c r="V10" s="1550">
        <f>IF(VLOOKUP($E$10,[1]QUART!$A$2:$FA$324, 21, FALSE)="",":",VLOOKUP($E$10,[1]QUART!$A$2:$FA$324, 21, FALSE))</f>
        <v>1643.2460611677479</v>
      </c>
      <c r="W10" s="1550">
        <f>IF(VLOOKUP($E$10,[1]QUART!$A$2:$FA$324, 22, FALSE)="",":",VLOOKUP($E$10,[1]QUART!$A$2:$FA$324, 22, FALSE))</f>
        <v>1558.3005097312328</v>
      </c>
      <c r="X10" s="1550">
        <f>IF(VLOOKUP($E$10,[1]QUART!$A$2:$FA$324, 23, FALSE)="",":",VLOOKUP($E$10,[1]QUART!$A$2:$FA$324, 23, FALSE))</f>
        <v>1613.7337812789619</v>
      </c>
      <c r="Y10" s="1550">
        <f>IF(VLOOKUP($E$10,[1]QUART!$A$2:$FA$324, 24, FALSE)="",":",VLOOKUP($E$10,[1]QUART!$A$2:$FA$324, 24, FALSE))</f>
        <v>1583.2657553290082</v>
      </c>
      <c r="Z10" s="1550">
        <f>IF(VLOOKUP($E$10,[1]QUART!$A$2:$FA$324, 25, FALSE)="",":",VLOOKUP($E$10,[1]QUART!$A$2:$FA$324, 25, FALSE))</f>
        <v>1541.4156626506024</v>
      </c>
      <c r="AA10" s="1550">
        <f>IF(VLOOKUP($E$10,[1]QUART!$A$2:$FA$324, 26, FALSE)="",":",VLOOKUP($E$10,[1]QUART!$A$2:$FA$324, 26, FALSE))</f>
        <v>1584.9745134383691</v>
      </c>
      <c r="AB10" s="1550">
        <f>IF(VLOOKUP($E$10,[1]QUART!$A$2:$FA$324, 27, FALSE)="",":",VLOOKUP($E$10,[1]QUART!$A$2:$FA$324, 27, FALSE))</f>
        <v>1592.9969879518073</v>
      </c>
      <c r="AC10" s="1550">
        <f>IF(VLOOKUP($E$10,[1]QUART!$A$2:$FA$324, 28, FALSE)="",":",VLOOKUP($E$10,[1]QUART!$A$2:$FA$324, 28, FALSE))</f>
        <v>1701.2859128822984</v>
      </c>
      <c r="AD10" s="1550">
        <f>IF(VLOOKUP($E$10,[1]QUART!$A$2:$FA$324, 29, FALSE)="",":",VLOOKUP($E$10,[1]QUART!$A$2:$FA$324, 29, FALSE))</f>
        <v>1702.9657089898055</v>
      </c>
      <c r="AE10" s="1550">
        <f>IF(VLOOKUP($E$10,[1]QUART!$A$2:$FA$324, 30, FALSE)="",":",VLOOKUP($E$10,[1]QUART!$A$2:$FA$324, 30, FALSE))</f>
        <v>1840.8537998146433</v>
      </c>
      <c r="AF10" s="1550">
        <f>IF(VLOOKUP($E$10,[1]QUART!$A$2:$FA$324, 31, FALSE)="",":",VLOOKUP($E$10,[1]QUART!$A$2:$FA$324, 31, FALSE))</f>
        <v>1890.4077849860982</v>
      </c>
      <c r="AG10" s="1550">
        <f>IF(VLOOKUP($E$10,[1]QUART!$A$2:$FA$324, 32, FALSE)="",":",VLOOKUP($E$10,[1]QUART!$A$2:$FA$324, 32, FALSE))</f>
        <v>1965.940685820204</v>
      </c>
      <c r="AH10" s="1550">
        <f>IF(VLOOKUP($E$10,[1]QUART!$A$2:$FA$324, 33, FALSE)="",":",VLOOKUP($E$10,[1]QUART!$A$2:$FA$324, 33, FALSE))</f>
        <v>2113.0386932344763</v>
      </c>
      <c r="AI10" s="1550">
        <f>IF(VLOOKUP($E$10,[1]QUART!$A$2:$FA$324, 34, FALSE)="",":",VLOOKUP($E$10,[1]QUART!$A$2:$FA$324, 34, FALSE))</f>
        <v>2177.3053753475442</v>
      </c>
      <c r="AJ10" s="1550">
        <f>IF(VLOOKUP($E$10,[1]QUART!$A$2:$FA$324, 35, FALSE)="",":",VLOOKUP($E$10,[1]QUART!$A$2:$FA$324, 35, FALSE))</f>
        <v>2340.8827618164969</v>
      </c>
      <c r="AK10" s="1550">
        <f>IF(VLOOKUP($E$10,[1]QUART!$A$2:$FA$324, 36, FALSE)="",":",VLOOKUP($E$10,[1]QUART!$A$2:$FA$324, 36, FALSE))</f>
        <v>2322.1153846153848</v>
      </c>
      <c r="AL10" s="1550">
        <f>IF(VLOOKUP($E$10,[1]QUART!$A$2:$FA$324, 37, FALSE)="",":",VLOOKUP($E$10,[1]QUART!$A$2:$FA$324, 37, FALSE))</f>
        <v>2417.8637627432809</v>
      </c>
      <c r="AM10" s="1550">
        <f>IF(VLOOKUP($E$10,[1]QUART!$A$2:$FA$324, 38, FALSE)="",":",VLOOKUP($E$10,[1]QUART!$A$2:$FA$324, 38, FALSE))</f>
        <v>2449.1427247451343</v>
      </c>
      <c r="AN10" s="1550">
        <f>IF(VLOOKUP($E$10,[1]QUART!$A$2:$FA$324, 39, FALSE)="",":",VLOOKUP($E$10,[1]QUART!$A$2:$FA$324, 39, FALSE))</f>
        <v>2424.1485171455051</v>
      </c>
      <c r="AO10" s="1550">
        <f>IF(VLOOKUP($E$10,[1]QUART!$A$2:$FA$324, 40, FALSE)="",":",VLOOKUP($E$10,[1]QUART!$A$2:$FA$324, 40, FALSE))</f>
        <v>2522.6772474513436</v>
      </c>
      <c r="AP10" s="1550">
        <f>IF(VLOOKUP($E$10,[1]QUART!$A$2:$FA$324, 41, FALSE)="",":",VLOOKUP($E$10,[1]QUART!$A$2:$FA$324, 41, FALSE))</f>
        <v>2636.2662187210381</v>
      </c>
      <c r="AQ10" s="1550">
        <f>IF(VLOOKUP($E$10,[1]QUART!$A$2:$FA$324, 42, FALSE)="",":",VLOOKUP($E$10,[1]QUART!$A$2:$FA$324, 42, FALSE))</f>
        <v>2664.8227525486564</v>
      </c>
      <c r="AR10" s="1550">
        <f>IF(VLOOKUP($E$10,[1]QUART!$A$2:$FA$324, 43, FALSE)="",":",VLOOKUP($E$10,[1]QUART!$A$2:$FA$324, 43, FALSE))</f>
        <v>2815.0486561631137</v>
      </c>
      <c r="AS10" s="1550">
        <f>IF(VLOOKUP($E$10,[1]QUART!$A$2:$FA$324, 44, FALSE)="",":",VLOOKUP($E$10,[1]QUART!$A$2:$FA$324, 44, FALSE))</f>
        <v>2928.4059314179799</v>
      </c>
      <c r="AT10" s="1550">
        <f>IF(VLOOKUP($E$10,[1]QUART!$A$2:$FA$324, 45, FALSE)="",":",VLOOKUP($E$10,[1]QUART!$A$2:$FA$324, 45, FALSE))</f>
        <v>2996.4376737720113</v>
      </c>
      <c r="AU10" s="1550">
        <f>IF(VLOOKUP($E$10,[1]QUART!$A$2:$FA$324, 46, FALSE)="",":",VLOOKUP($E$10,[1]QUART!$A$2:$FA$324, 46, FALSE))</f>
        <v>3552.4</v>
      </c>
      <c r="AV10" s="1550">
        <f>IF(VLOOKUP($E$10,[1]QUART!$A$2:$FA$324, 47, FALSE)="",":",VLOOKUP($E$10,[1]QUART!$A$2:$FA$324, 47, FALSE))</f>
        <v>3824.9</v>
      </c>
      <c r="AW10" s="1550">
        <f>IF(VLOOKUP($E$10,[1]QUART!$A$2:$FA$324, 48, FALSE)="",":",VLOOKUP($E$10,[1]QUART!$A$2:$FA$324, 48, FALSE))</f>
        <v>3914.9</v>
      </c>
      <c r="AX10" s="1550">
        <f>IF(VLOOKUP($E$10,[1]QUART!$A$2:$FA$324, 49, FALSE)="",":",VLOOKUP($E$10,[1]QUART!$A$2:$FA$324, 49, FALSE))</f>
        <v>4285.7</v>
      </c>
      <c r="AY10" s="1550">
        <f>IF(VLOOKUP($E$10,[1]QUART!$A$2:$FA$324, 50, FALSE)="",":",VLOOKUP($E$10,[1]QUART!$A$2:$FA$324, 50, FALSE))</f>
        <v>4298.8</v>
      </c>
      <c r="AZ10" s="1550">
        <f>IF(VLOOKUP($E$10,[1]QUART!$A$2:$FA$324, 51, FALSE)="",":",VLOOKUP($E$10,[1]QUART!$A$2:$FA$324, 51, FALSE))</f>
        <v>4254.1000000000004</v>
      </c>
      <c r="BA10" s="1550">
        <f>IF(VLOOKUP($E$10,[1]QUART!$A$2:$FA$324, 52, FALSE)="",":",VLOOKUP($E$10,[1]QUART!$A$2:$FA$324, 52, FALSE))</f>
        <v>4517.8999999999996</v>
      </c>
      <c r="BB10" s="1550">
        <f>IF(VLOOKUP($E$10,[1]QUART!$A$2:$FA$324, 53, FALSE)="",":",VLOOKUP($E$10,[1]QUART!$A$2:$FA$324, 53, FALSE))</f>
        <v>4720.5</v>
      </c>
      <c r="BC10" s="1550">
        <f>IF(VLOOKUP($E$10,[1]QUART!$A$2:$FA$324, 54, FALSE)="",":",VLOOKUP($E$10,[1]QUART!$A$2:$FA$324, 54, FALSE))</f>
        <v>4708.6000000000004</v>
      </c>
      <c r="BD10" s="1550">
        <f>IF(VLOOKUP($E$10,[1]QUART!$A$2:$FA$324, 55, FALSE)="",":",VLOOKUP($E$10,[1]QUART!$A$2:$FA$324, 55, FALSE))</f>
        <v>4944.5</v>
      </c>
      <c r="BE10" s="1550">
        <f>IF(VLOOKUP($E$10,[1]QUART!$A$2:$FA$324, 56, FALSE)="",":",VLOOKUP($E$10,[1]QUART!$A$2:$FA$324, 56, FALSE))</f>
        <v>4957.2</v>
      </c>
      <c r="BF10" s="1550">
        <f>IF(VLOOKUP($E$10,[1]QUART!$A$2:$FA$324, 57, FALSE)="",":",VLOOKUP($E$10,[1]QUART!$A$2:$FA$324, 57, FALSE))</f>
        <v>5098.1000000000004</v>
      </c>
      <c r="BG10" s="1550">
        <f>IF(VLOOKUP($E$10,[1]QUART!$A$2:$FA$324, 58, FALSE)="",":",VLOOKUP($E$10,[1]QUART!$A$2:$FA$324, 58, FALSE))</f>
        <v>5412.2</v>
      </c>
      <c r="BH10" s="1550">
        <f>IF(VLOOKUP($E$10,[1]QUART!$A$2:$FA$324, 59, FALSE)="",":",VLOOKUP($E$10,[1]QUART!$A$2:$FA$324, 59, FALSE))</f>
        <v>5659.9</v>
      </c>
      <c r="BI10" s="1550">
        <f>IF(VLOOKUP($E$10,[1]QUART!$A$2:$FA$324, 60, FALSE)="",":",VLOOKUP($E$10,[1]QUART!$A$2:$FA$324, 60, FALSE))</f>
        <v>5640.8</v>
      </c>
      <c r="BJ10" s="1550">
        <f>IF(VLOOKUP($E$10,[1]QUART!$A$2:$FA$324, 61, FALSE)="",":",VLOOKUP($E$10,[1]QUART!$A$2:$FA$324, 61, FALSE))</f>
        <v>5171.6000000000004</v>
      </c>
      <c r="BK10" s="1550">
        <f>IF(VLOOKUP($E$10,[1]QUART!$A$2:$FA$324, 62, FALSE)="",":",VLOOKUP($E$10,[1]QUART!$A$2:$FA$324, 62, FALSE))</f>
        <v>3896.2</v>
      </c>
      <c r="BL10" s="1550">
        <f>IF(VLOOKUP($E$10,[1]QUART!$A$2:$FA$324, 63, FALSE)="",":",VLOOKUP($E$10,[1]QUART!$A$2:$FA$324, 63, FALSE))</f>
        <v>3832.8</v>
      </c>
      <c r="BM10" s="1550">
        <f>IF(VLOOKUP($E$10,[1]QUART!$A$2:$FA$324, 64, FALSE)="",":",VLOOKUP($E$10,[1]QUART!$A$2:$FA$324, 64, FALSE))</f>
        <v>4028.3</v>
      </c>
      <c r="BN10" s="1550">
        <f>IF(VLOOKUP($E$10,[1]QUART!$A$2:$FA$324, 65, FALSE)="",":",VLOOKUP($E$10,[1]QUART!$A$2:$FA$324, 65, FALSE))</f>
        <v>4173.3999999999996</v>
      </c>
      <c r="BO10" s="1550">
        <f>IF(VLOOKUP($E$10,[1]QUART!$A$2:$FA$324, 66, FALSE)="",":",VLOOKUP($E$10,[1]QUART!$A$2:$FA$324, 66, FALSE))</f>
        <v>4202</v>
      </c>
      <c r="BP10" s="1550">
        <f>IF(VLOOKUP($E$10,[1]QUART!$A$2:$FA$324, 67, FALSE)="",":",VLOOKUP($E$10,[1]QUART!$A$2:$FA$324, 67, FALSE))</f>
        <v>4572.1000000000004</v>
      </c>
      <c r="BQ10" s="1550">
        <f>IF(VLOOKUP($E$10,[1]QUART!$A$2:$FA$324, 68, FALSE)="",":",VLOOKUP($E$10,[1]QUART!$A$2:$FA$324, 68, FALSE))</f>
        <v>4853.6000000000004</v>
      </c>
      <c r="BR10" s="1550">
        <f>IF(VLOOKUP($E$10,[1]QUART!$A$2:$FA$324, 69, FALSE)="",":",VLOOKUP($E$10,[1]QUART!$A$2:$FA$324, 69, FALSE))</f>
        <v>5269.5</v>
      </c>
      <c r="BS10" s="1550">
        <f>IF(VLOOKUP($E$10,[1]QUART!$A$2:$FA$324, 70, FALSE)="",":",VLOOKUP($E$10,[1]QUART!$A$2:$FA$324, 70, FALSE))</f>
        <v>5528.8</v>
      </c>
      <c r="BT10" s="1550">
        <f>IF(VLOOKUP($E$10,[1]QUART!$A$2:$FA$324, 71, FALSE)="",":",VLOOKUP($E$10,[1]QUART!$A$2:$FA$324, 71, FALSE))</f>
        <v>5387.4</v>
      </c>
      <c r="BU10" s="1550">
        <f>IF(VLOOKUP($E$10,[1]QUART!$A$2:$FA$324, 72, FALSE)="",":",VLOOKUP($E$10,[1]QUART!$A$2:$FA$324, 72, FALSE))</f>
        <v>5403.3</v>
      </c>
      <c r="BV10" s="1550">
        <f>IF(VLOOKUP($E$10,[1]QUART!$A$2:$FA$324, 73, FALSE)="",":",VLOOKUP($E$10,[1]QUART!$A$2:$FA$324, 73, FALSE))</f>
        <v>5469.6</v>
      </c>
      <c r="BW10" s="1550">
        <f>IF(VLOOKUP($E$10,[1]QUART!$A$2:$FA$324, 74, FALSE)="",":",VLOOKUP($E$10,[1]QUART!$A$2:$FA$324, 74, FALSE))</f>
        <v>5317.2</v>
      </c>
      <c r="BX10" s="1550">
        <f>IF(VLOOKUP($E$10,[1]QUART!$A$2:$FA$324, 75, FALSE)="",":",VLOOKUP($E$10,[1]QUART!$A$2:$FA$324, 75, FALSE))</f>
        <v>5262.5</v>
      </c>
      <c r="BY10" s="1550">
        <f>IF(VLOOKUP($E$10,[1]QUART!$A$2:$FA$324, 76, FALSE)="",":",VLOOKUP($E$10,[1]QUART!$A$2:$FA$324, 76, FALSE))</f>
        <v>6024.3</v>
      </c>
      <c r="BZ10" s="1550">
        <f>IF(VLOOKUP($E$10,[1]QUART!$A$2:$FA$324, 77, FALSE)="",":",VLOOKUP($E$10,[1]QUART!$A$2:$FA$324, 77, FALSE))</f>
        <v>6199.1</v>
      </c>
      <c r="CA10" s="1550">
        <f>IF(VLOOKUP($E$10,[1]QUART!$A$2:$FA$324, 78, FALSE)="",":",VLOOKUP($E$10,[1]QUART!$A$2:$FA$324, 78, FALSE))</f>
        <v>6351.7</v>
      </c>
      <c r="CB10" s="1550">
        <f>IF(VLOOKUP($E$10,[1]QUART!$A$2:$FA$324, 79, FALSE)="",":",VLOOKUP($E$10,[1]QUART!$A$2:$FA$324, 79, FALSE))</f>
        <v>6037.7</v>
      </c>
      <c r="CC10" s="1550">
        <f>IF(VLOOKUP($E$10,[1]QUART!$A$2:$FA$324, 80, FALSE)="",":",VLOOKUP($E$10,[1]QUART!$A$2:$FA$324, 80, FALSE))</f>
        <v>6366</v>
      </c>
      <c r="CD10" s="1550">
        <f>IF(VLOOKUP($E$10,[1]QUART!$A$2:$FA$324, 81, FALSE)="",":",VLOOKUP($E$10,[1]QUART!$A$2:$FA$324, 81, FALSE))</f>
        <v>6579.3</v>
      </c>
      <c r="CE10" s="1550">
        <f>IF(VLOOKUP($E$10,[1]QUART!$A$2:$FA$324, 82, FALSE)="",":",VLOOKUP($E$10,[1]QUART!$A$2:$FA$324, 82, FALSE))</f>
        <v>6253.8</v>
      </c>
      <c r="CF10" s="1550">
        <f>IF(VLOOKUP($E$10,[1]QUART!$A$2:$FA$324, 83, FALSE)="",":",VLOOKUP($E$10,[1]QUART!$A$2:$FA$324, 83, FALSE))</f>
        <v>6499</v>
      </c>
      <c r="CG10" s="1550">
        <f>IF(VLOOKUP($E$10,[1]QUART!$A$2:$FA$324, 84, FALSE)="",":",VLOOKUP($E$10,[1]QUART!$A$2:$FA$324, 84, FALSE))</f>
        <v>6582.4</v>
      </c>
      <c r="CH10" s="1550">
        <f>IF(VLOOKUP($E$10,[1]QUART!$A$2:$FA$324, 85, FALSE)="",":",VLOOKUP($E$10,[1]QUART!$A$2:$FA$324, 85, FALSE))</f>
        <v>6698.6</v>
      </c>
      <c r="CI10" s="1550">
        <f>IF(VLOOKUP($E$10,[1]QUART!$A$2:$FA$324, 86, FALSE)="",":",VLOOKUP($E$10,[1]QUART!$A$2:$FA$324, 86, FALSE))</f>
        <v>6802.3</v>
      </c>
      <c r="CJ10" s="1550">
        <f>IF(VLOOKUP($E$10,[1]QUART!$A$2:$FA$324, 87, FALSE)="",":",VLOOKUP($E$10,[1]QUART!$A$2:$FA$324, 87, FALSE))</f>
        <v>6977.3</v>
      </c>
      <c r="CK10" s="1550">
        <f>IF(VLOOKUP($E$10,[1]QUART!$A$2:$FA$324, 88, FALSE)="",":",VLOOKUP($E$10,[1]QUART!$A$2:$FA$324, 88, FALSE))</f>
        <v>6928.3</v>
      </c>
      <c r="CL10" s="1550">
        <f>IF(VLOOKUP($E$10,[1]QUART!$A$2:$FA$324, 89, FALSE)="",":",VLOOKUP($E$10,[1]QUART!$A$2:$FA$324, 89, FALSE))</f>
        <v>6974.6</v>
      </c>
      <c r="CM10" s="1550">
        <f>IF(VLOOKUP($E$10,[1]QUART!$A$2:$FA$324, 90, FALSE)="",":",VLOOKUP($E$10,[1]QUART!$A$2:$FA$324, 90, FALSE))</f>
        <v>6907.3</v>
      </c>
      <c r="CN10" s="1550">
        <f>IF(VLOOKUP($E$10,[1]QUART!$A$2:$FA$324, 91, FALSE)="",":",VLOOKUP($E$10,[1]QUART!$A$2:$FA$324, 91, FALSE))</f>
        <v>7065.7</v>
      </c>
      <c r="CO10" s="1550">
        <f>IF(VLOOKUP($E$10,[1]QUART!$A$2:$FA$324, 92, FALSE)="",":",VLOOKUP($E$10,[1]QUART!$A$2:$FA$324, 92, FALSE))</f>
        <v>7144.4</v>
      </c>
      <c r="CP10" s="1550">
        <f>IF(VLOOKUP($E$10,[1]QUART!$A$2:$FA$324, 93, FALSE)="",":",VLOOKUP($E$10,[1]QUART!$A$2:$FA$324, 93, FALSE))</f>
        <v>7304</v>
      </c>
      <c r="CQ10" s="1550">
        <f>IF(VLOOKUP($E$10,[1]QUART!$A$2:$FA$324, 94, FALSE)="",":",VLOOKUP($E$10,[1]QUART!$A$2:$FA$324, 94, FALSE))</f>
        <v>7754</v>
      </c>
      <c r="CR10" s="1550">
        <f>IF(VLOOKUP($E$10,[1]QUART!$A$2:$FA$324, 95, FALSE)="",":",VLOOKUP($E$10,[1]QUART!$A$2:$FA$324, 95, FALSE))</f>
        <v>7919.8</v>
      </c>
      <c r="CS10" s="1550">
        <f>IF(VLOOKUP($E$10,[1]QUART!$A$2:$FA$324, 96, FALSE)="",":",VLOOKUP($E$10,[1]QUART!$A$2:$FA$324, 96, FALSE))</f>
        <v>8181.5</v>
      </c>
      <c r="CT10" s="1550">
        <f>IF(VLOOKUP($E$10,[1]QUART!$A$2:$FA$324, 97, FALSE)="",":",VLOOKUP($E$10,[1]QUART!$A$2:$FA$324, 97, FALSE))</f>
        <v>8425.9</v>
      </c>
      <c r="CU10" s="1550" t="str">
        <f>IF(VLOOKUP($E$10,[1]QUART!$A$2:$FA$324, 98, FALSE)="",":",VLOOKUP($E$10,[1]QUART!$A$2:$FA$324, 98, FALSE))</f>
        <v>:</v>
      </c>
      <c r="CV10" s="1550" t="str">
        <f>IF(VLOOKUP($E$10,[1]QUART!$A$2:$FA$324, 99, FALSE)="",":",VLOOKUP($E$10,[1]QUART!$A$2:$FA$324, 99, FALSE))</f>
        <v>:</v>
      </c>
      <c r="CW10" s="1550" t="str">
        <f>IF(VLOOKUP($E$10,[1]QUART!$A$2:$FA$324, 100, FALSE)="",":",VLOOKUP($E$10,[1]QUART!$A$2:$FA$324, 100, FALSE))</f>
        <v>:</v>
      </c>
      <c r="CX10" s="1550" t="str">
        <f>IF(VLOOKUP($E$10,[1]QUART!$A$2:$FA$324, 101, FALSE)="",":",VLOOKUP($E$10,[1]QUART!$A$2:$FA$324, 101, FALSE))</f>
        <v>:</v>
      </c>
      <c r="CY10" s="1550" t="str">
        <f>IF(VLOOKUP($E$10,[1]QUART!$A$2:$FA$324, 102, FALSE)="",":",VLOOKUP($E$10,[1]QUART!$A$2:$FA$324, 102, FALSE))</f>
        <v>:</v>
      </c>
      <c r="CZ10" s="1550" t="str">
        <f>IF(VLOOKUP($E$10,[1]QUART!$A$2:$FA$324, 103, FALSE)="",":",VLOOKUP($E$10,[1]QUART!$A$2:$FA$324, 103, FALSE))</f>
        <v>:</v>
      </c>
      <c r="DA10" s="1550" t="str">
        <f>IF(VLOOKUP($E$10,[1]QUART!$A$2:$FA$324, 104, FALSE)="",":",VLOOKUP($E$10,[1]QUART!$A$2:$FA$324, 104, FALSE))</f>
        <v>:</v>
      </c>
      <c r="DB10" s="1550" t="str">
        <f>IF(VLOOKUP($E$10,[1]QUART!$A$2:$FA$324, 105, FALSE)="",":",VLOOKUP($E$10,[1]QUART!$A$2:$FA$324, 105, FALSE))</f>
        <v>:</v>
      </c>
      <c r="DC10" s="1550" t="str">
        <f>IF(VLOOKUP($E$10,[1]QUART!$A$2:$FA$324, 106, FALSE)="",":",VLOOKUP($E$10,[1]QUART!$A$2:$FA$324, 106, FALSE))</f>
        <v>:</v>
      </c>
    </row>
    <row r="11" spans="1:110">
      <c r="A11" s="1546">
        <v>21</v>
      </c>
      <c r="B11" s="1551"/>
      <c r="C11" s="1552"/>
      <c r="D11" s="1547" t="s">
        <v>1841</v>
      </c>
      <c r="E11" s="1548">
        <v>71</v>
      </c>
      <c r="F11" s="1549" t="str">
        <f>VLOOKUP($E$11,[1]QUART!$A$2:$FA$324, 3, FALSE)</f>
        <v>71  Domestic demand excluding change in inventories and net acquisition of valuables</v>
      </c>
      <c r="G11" s="1550">
        <f>IF(VLOOKUP($E$11,[1]QUART!$A$2:$FA$324, 6, FALSE)="",":",VLOOKUP($E$11,[1]QUART!$A$2:$FA$324, 6, FALSE))</f>
        <v>2837.6679796107505</v>
      </c>
      <c r="H11" s="1550">
        <f>IF(VLOOKUP($E$11,[1]QUART!$A$2:$FA$324, 7, FALSE)="",":",VLOOKUP($E$11,[1]QUART!$A$2:$FA$324, 7, FALSE))</f>
        <v>2897.7930954587582</v>
      </c>
      <c r="I11" s="1550">
        <f>IF(VLOOKUP($E$11,[1]QUART!$A$2:$FA$324, 8, FALSE)="",":",VLOOKUP($E$11,[1]QUART!$A$2:$FA$324, 8, FALSE))</f>
        <v>2940.106580166821</v>
      </c>
      <c r="J11" s="1550">
        <f>IF(VLOOKUP($E$11,[1]QUART!$A$2:$FA$324, 9, FALSE)="",":",VLOOKUP($E$11,[1]QUART!$A$2:$FA$324, 9, FALSE))</f>
        <v>3008.7175625579243</v>
      </c>
      <c r="K11" s="1550">
        <f>IF(VLOOKUP($E$11,[1]QUART!$A$2:$FA$324, 10, FALSE)="",":",VLOOKUP($E$11,[1]QUART!$A$2:$FA$324, 10, FALSE))</f>
        <v>3037.0713623725674</v>
      </c>
      <c r="L11" s="1550">
        <f>IF(VLOOKUP($E$11,[1]QUART!$A$2:$FA$324, 11, FALSE)="",":",VLOOKUP($E$11,[1]QUART!$A$2:$FA$324, 11, FALSE))</f>
        <v>3075.214318813717</v>
      </c>
      <c r="M11" s="1550">
        <f>IF(VLOOKUP($E$11,[1]QUART!$A$2:$FA$324, 12, FALSE)="",":",VLOOKUP($E$11,[1]QUART!$A$2:$FA$324, 12, FALSE))</f>
        <v>3105.2479147358667</v>
      </c>
      <c r="N11" s="1550">
        <f>IF(VLOOKUP($E$11,[1]QUART!$A$2:$FA$324, 13, FALSE)="",":",VLOOKUP($E$11,[1]QUART!$A$2:$FA$324, 13, FALSE))</f>
        <v>3201.4886468952736</v>
      </c>
      <c r="O11" s="1550">
        <f>IF(VLOOKUP($E$11,[1]QUART!$A$2:$FA$324, 14, FALSE)="",":",VLOOKUP($E$11,[1]QUART!$A$2:$FA$324, 14, FALSE))</f>
        <v>3276.4133456904542</v>
      </c>
      <c r="P11" s="1550">
        <f>IF(VLOOKUP($E$11,[1]QUART!$A$2:$FA$324, 15, FALSE)="",":",VLOOKUP($E$11,[1]QUART!$A$2:$FA$324, 15, FALSE))</f>
        <v>3310.0961538461543</v>
      </c>
      <c r="Q11" s="1550">
        <f>IF(VLOOKUP($E$11,[1]QUART!$A$2:$FA$324, 16, FALSE)="",":",VLOOKUP($E$11,[1]QUART!$A$2:$FA$324, 16, FALSE))</f>
        <v>3404.3095458758116</v>
      </c>
      <c r="R11" s="1550">
        <f>IF(VLOOKUP($E$11,[1]QUART!$A$2:$FA$324, 17, FALSE)="",":",VLOOKUP($E$11,[1]QUART!$A$2:$FA$324, 17, FALSE))</f>
        <v>3464.550509731233</v>
      </c>
      <c r="S11" s="1550">
        <f>IF(VLOOKUP($E$11,[1]QUART!$A$2:$FA$324, 18, FALSE)="",":",VLOOKUP($E$11,[1]QUART!$A$2:$FA$324, 18, FALSE))</f>
        <v>3576.7203429101019</v>
      </c>
      <c r="T11" s="1550">
        <f>IF(VLOOKUP($E$11,[1]QUART!$A$2:$FA$324, 19, FALSE)="",":",VLOOKUP($E$11,[1]QUART!$A$2:$FA$324, 19, FALSE))</f>
        <v>3603.2205746061168</v>
      </c>
      <c r="U11" s="1550">
        <f>IF(VLOOKUP($E$11,[1]QUART!$A$2:$FA$324, 20, FALSE)="",":",VLOOKUP($E$11,[1]QUART!$A$2:$FA$324, 20, FALSE))</f>
        <v>3682.7791936978688</v>
      </c>
      <c r="V11" s="1550">
        <f>IF(VLOOKUP($E$11,[1]QUART!$A$2:$FA$324, 21, FALSE)="",":",VLOOKUP($E$11,[1]QUART!$A$2:$FA$324, 21, FALSE))</f>
        <v>3659.5516682113071</v>
      </c>
      <c r="W11" s="1550">
        <f>IF(VLOOKUP($E$11,[1]QUART!$A$2:$FA$324, 22, FALSE)="",":",VLOOKUP($E$11,[1]QUART!$A$2:$FA$324, 22, FALSE))</f>
        <v>3601.5407784986101</v>
      </c>
      <c r="X11" s="1550">
        <f>IF(VLOOKUP($E$11,[1]QUART!$A$2:$FA$324, 23, FALSE)="",":",VLOOKUP($E$11,[1]QUART!$A$2:$FA$324, 23, FALSE))</f>
        <v>3708.0919833178868</v>
      </c>
      <c r="Y11" s="1550">
        <f>IF(VLOOKUP($E$11,[1]QUART!$A$2:$FA$324, 24, FALSE)="",":",VLOOKUP($E$11,[1]QUART!$A$2:$FA$324, 24, FALSE))</f>
        <v>3649.2991195551435</v>
      </c>
      <c r="Z11" s="1550">
        <f>IF(VLOOKUP($E$11,[1]QUART!$A$2:$FA$324, 25, FALSE)="",":",VLOOKUP($E$11,[1]QUART!$A$2:$FA$324, 25, FALSE))</f>
        <v>3610.1135310472664</v>
      </c>
      <c r="AA11" s="1550">
        <f>IF(VLOOKUP($E$11,[1]QUART!$A$2:$FA$324, 26, FALSE)="",":",VLOOKUP($E$11,[1]QUART!$A$2:$FA$324, 26, FALSE))</f>
        <v>3653.7013438368863</v>
      </c>
      <c r="AB11" s="1550">
        <f>IF(VLOOKUP($E$11,[1]QUART!$A$2:$FA$324, 27, FALSE)="",":",VLOOKUP($E$11,[1]QUART!$A$2:$FA$324, 27, FALSE))</f>
        <v>3706.5280352177942</v>
      </c>
      <c r="AC11" s="1550">
        <f>IF(VLOOKUP($E$11,[1]QUART!$A$2:$FA$324, 28, FALSE)="",":",VLOOKUP($E$11,[1]QUART!$A$2:$FA$324, 28, FALSE))</f>
        <v>3751.303290083411</v>
      </c>
      <c r="AD11" s="1550">
        <f>IF(VLOOKUP($E$11,[1]QUART!$A$2:$FA$324, 29, FALSE)="",":",VLOOKUP($E$11,[1]QUART!$A$2:$FA$324, 29, FALSE))</f>
        <v>3802.1316033364228</v>
      </c>
      <c r="AE11" s="1550">
        <f>IF(VLOOKUP($E$11,[1]QUART!$A$2:$FA$324, 30, FALSE)="",":",VLOOKUP($E$11,[1]QUART!$A$2:$FA$324, 30, FALSE))</f>
        <v>3885.3394346617242</v>
      </c>
      <c r="AF11" s="1550">
        <f>IF(VLOOKUP($E$11,[1]QUART!$A$2:$FA$324, 31, FALSE)="",":",VLOOKUP($E$11,[1]QUART!$A$2:$FA$324, 31, FALSE))</f>
        <v>3834.9745134383688</v>
      </c>
      <c r="AG11" s="1550">
        <f>IF(VLOOKUP($E$11,[1]QUART!$A$2:$FA$324, 32, FALSE)="",":",VLOOKUP($E$11,[1]QUART!$A$2:$FA$324, 32, FALSE))</f>
        <v>3894.8679332715478</v>
      </c>
      <c r="AH11" s="1550">
        <f>IF(VLOOKUP($E$11,[1]QUART!$A$2:$FA$324, 33, FALSE)="",":",VLOOKUP($E$11,[1]QUART!$A$2:$FA$324, 33, FALSE))</f>
        <v>4093.8079240037073</v>
      </c>
      <c r="AI11" s="1550">
        <f>IF(VLOOKUP($E$11,[1]QUART!$A$2:$FA$324, 34, FALSE)="",":",VLOOKUP($E$11,[1]QUART!$A$2:$FA$324, 34, FALSE))</f>
        <v>4103.0468025949958</v>
      </c>
      <c r="AJ11" s="1550">
        <f>IF(VLOOKUP($E$11,[1]QUART!$A$2:$FA$324, 35, FALSE)="",":",VLOOKUP($E$11,[1]QUART!$A$2:$FA$324, 35, FALSE))</f>
        <v>4115.7900834105658</v>
      </c>
      <c r="AK11" s="1550">
        <f>IF(VLOOKUP($E$11,[1]QUART!$A$2:$FA$324, 36, FALSE)="",":",VLOOKUP($E$11,[1]QUART!$A$2:$FA$324, 36, FALSE))</f>
        <v>4177.0157553290082</v>
      </c>
      <c r="AL11" s="1550">
        <f>IF(VLOOKUP($E$11,[1]QUART!$A$2:$FA$324, 37, FALSE)="",":",VLOOKUP($E$11,[1]QUART!$A$2:$FA$324, 37, FALSE))</f>
        <v>4281.8002780352181</v>
      </c>
      <c r="AM11" s="1550">
        <f>IF(VLOOKUP($E$11,[1]QUART!$A$2:$FA$324, 38, FALSE)="",":",VLOOKUP($E$11,[1]QUART!$A$2:$FA$324, 38, FALSE))</f>
        <v>4417.6899907321595</v>
      </c>
      <c r="AN11" s="1550">
        <f>IF(VLOOKUP($E$11,[1]QUART!$A$2:$FA$324, 39, FALSE)="",":",VLOOKUP($E$11,[1]QUART!$A$2:$FA$324, 39, FALSE))</f>
        <v>4539.1855885078776</v>
      </c>
      <c r="AO11" s="1550">
        <f>IF(VLOOKUP($E$11,[1]QUART!$A$2:$FA$324, 40, FALSE)="",":",VLOOKUP($E$11,[1]QUART!$A$2:$FA$324, 40, FALSE))</f>
        <v>4598.9921223354959</v>
      </c>
      <c r="AP11" s="1550">
        <f>IF(VLOOKUP($E$11,[1]QUART!$A$2:$FA$324, 41, FALSE)="",":",VLOOKUP($E$11,[1]QUART!$A$2:$FA$324, 41, FALSE))</f>
        <v>4755.9951343836892</v>
      </c>
      <c r="AQ11" s="1550">
        <f>IF(VLOOKUP($E$11,[1]QUART!$A$2:$FA$324, 42, FALSE)="",":",VLOOKUP($E$11,[1]QUART!$A$2:$FA$324, 42, FALSE))</f>
        <v>4862.3436051899907</v>
      </c>
      <c r="AR11" s="1550">
        <f>IF(VLOOKUP($E$11,[1]QUART!$A$2:$FA$324, 43, FALSE)="",":",VLOOKUP($E$11,[1]QUART!$A$2:$FA$324, 43, FALSE))</f>
        <v>5033.7117701575535</v>
      </c>
      <c r="AS11" s="1550">
        <f>IF(VLOOKUP($E$11,[1]QUART!$A$2:$FA$324, 44, FALSE)="",":",VLOOKUP($E$11,[1]QUART!$A$2:$FA$324, 44, FALSE))</f>
        <v>5157.1767840593138</v>
      </c>
      <c r="AT11" s="1550">
        <f>IF(VLOOKUP($E$11,[1]QUART!$A$2:$FA$324, 45, FALSE)="",":",VLOOKUP($E$11,[1]QUART!$A$2:$FA$324, 45, FALSE))</f>
        <v>5206.7886932344763</v>
      </c>
      <c r="AU11" s="1550">
        <f>IF(VLOOKUP($E$11,[1]QUART!$A$2:$FA$324, 46, FALSE)="",":",VLOOKUP($E$11,[1]QUART!$A$2:$FA$324, 46, FALSE))</f>
        <v>6834.6</v>
      </c>
      <c r="AV11" s="1550">
        <f>IF(VLOOKUP($E$11,[1]QUART!$A$2:$FA$324, 47, FALSE)="",":",VLOOKUP($E$11,[1]QUART!$A$2:$FA$324, 47, FALSE))</f>
        <v>7072.6</v>
      </c>
      <c r="AW11" s="1550">
        <f>IF(VLOOKUP($E$11,[1]QUART!$A$2:$FA$324, 48, FALSE)="",":",VLOOKUP($E$11,[1]QUART!$A$2:$FA$324, 48, FALSE))</f>
        <v>7263.5</v>
      </c>
      <c r="AX11" s="1550">
        <f>IF(VLOOKUP($E$11,[1]QUART!$A$2:$FA$324, 49, FALSE)="",":",VLOOKUP($E$11,[1]QUART!$A$2:$FA$324, 49, FALSE))</f>
        <v>7488.6</v>
      </c>
      <c r="AY11" s="1550">
        <f>IF(VLOOKUP($E$11,[1]QUART!$A$2:$FA$324, 50, FALSE)="",":",VLOOKUP($E$11,[1]QUART!$A$2:$FA$324, 50, FALSE))</f>
        <v>7382.6</v>
      </c>
      <c r="AZ11" s="1550">
        <f>IF(VLOOKUP($E$11,[1]QUART!$A$2:$FA$324, 51, FALSE)="",":",VLOOKUP($E$11,[1]QUART!$A$2:$FA$324, 51, FALSE))</f>
        <v>7694.2999999999993</v>
      </c>
      <c r="BA11" s="1550">
        <f>IF(VLOOKUP($E$11,[1]QUART!$A$2:$FA$324, 52, FALSE)="",":",VLOOKUP($E$11,[1]QUART!$A$2:$FA$324, 52, FALSE))</f>
        <v>8088.8</v>
      </c>
      <c r="BB11" s="1550">
        <f>IF(VLOOKUP($E$11,[1]QUART!$A$2:$FA$324, 53, FALSE)="",":",VLOOKUP($E$11,[1]QUART!$A$2:$FA$324, 53, FALSE))</f>
        <v>8279.2000000000007</v>
      </c>
      <c r="BC11" s="1550">
        <f>IF(VLOOKUP($E$11,[1]QUART!$A$2:$FA$324, 54, FALSE)="",":",VLOOKUP($E$11,[1]QUART!$A$2:$FA$324, 54, FALSE))</f>
        <v>8535.7999999999993</v>
      </c>
      <c r="BD11" s="1550">
        <f>IF(VLOOKUP($E$11,[1]QUART!$A$2:$FA$324, 55, FALSE)="",":",VLOOKUP($E$11,[1]QUART!$A$2:$FA$324, 55, FALSE))</f>
        <v>8834</v>
      </c>
      <c r="BE11" s="1550">
        <f>IF(VLOOKUP($E$11,[1]QUART!$A$2:$FA$324, 56, FALSE)="",":",VLOOKUP($E$11,[1]QUART!$A$2:$FA$324, 56, FALSE))</f>
        <v>8832.9</v>
      </c>
      <c r="BF11" s="1550">
        <f>IF(VLOOKUP($E$11,[1]QUART!$A$2:$FA$324, 57, FALSE)="",":",VLOOKUP($E$11,[1]QUART!$A$2:$FA$324, 57, FALSE))</f>
        <v>9187.2000000000007</v>
      </c>
      <c r="BG11" s="1550">
        <f>IF(VLOOKUP($E$11,[1]QUART!$A$2:$FA$324, 58, FALSE)="",":",VLOOKUP($E$11,[1]QUART!$A$2:$FA$324, 58, FALSE))</f>
        <v>9190.5</v>
      </c>
      <c r="BH11" s="1550">
        <f>IF(VLOOKUP($E$11,[1]QUART!$A$2:$FA$324, 59, FALSE)="",":",VLOOKUP($E$11,[1]QUART!$A$2:$FA$324, 59, FALSE))</f>
        <v>9153.5</v>
      </c>
      <c r="BI11" s="1550">
        <f>IF(VLOOKUP($E$11,[1]QUART!$A$2:$FA$324, 60, FALSE)="",":",VLOOKUP($E$11,[1]QUART!$A$2:$FA$324, 60, FALSE))</f>
        <v>8929.4</v>
      </c>
      <c r="BJ11" s="1550">
        <f>IF(VLOOKUP($E$11,[1]QUART!$A$2:$FA$324, 61, FALSE)="",":",VLOOKUP($E$11,[1]QUART!$A$2:$FA$324, 61, FALSE))</f>
        <v>8633.6999999999989</v>
      </c>
      <c r="BK11" s="1550">
        <f>IF(VLOOKUP($E$11,[1]QUART!$A$2:$FA$324, 62, FALSE)="",":",VLOOKUP($E$11,[1]QUART!$A$2:$FA$324, 62, FALSE))</f>
        <v>7612.6</v>
      </c>
      <c r="BL11" s="1550">
        <f>IF(VLOOKUP($E$11,[1]QUART!$A$2:$FA$324, 63, FALSE)="",":",VLOOKUP($E$11,[1]QUART!$A$2:$FA$324, 63, FALSE))</f>
        <v>7347.2999999999993</v>
      </c>
      <c r="BM11" s="1550">
        <f>IF(VLOOKUP($E$11,[1]QUART!$A$2:$FA$324, 64, FALSE)="",":",VLOOKUP($E$11,[1]QUART!$A$2:$FA$324, 64, FALSE))</f>
        <v>7103.7000000000007</v>
      </c>
      <c r="BN11" s="1550">
        <f>IF(VLOOKUP($E$11,[1]QUART!$A$2:$FA$324, 65, FALSE)="",":",VLOOKUP($E$11,[1]QUART!$A$2:$FA$324, 65, FALSE))</f>
        <v>6908.2000000000007</v>
      </c>
      <c r="BO11" s="1550">
        <f>IF(VLOOKUP($E$11,[1]QUART!$A$2:$FA$324, 66, FALSE)="",":",VLOOKUP($E$11,[1]QUART!$A$2:$FA$324, 66, FALSE))</f>
        <v>6894.3</v>
      </c>
      <c r="BP11" s="1550">
        <f>IF(VLOOKUP($E$11,[1]QUART!$A$2:$FA$324, 67, FALSE)="",":",VLOOKUP($E$11,[1]QUART!$A$2:$FA$324, 67, FALSE))</f>
        <v>6922.2000000000007</v>
      </c>
      <c r="BQ11" s="1550">
        <f>IF(VLOOKUP($E$11,[1]QUART!$A$2:$FA$324, 68, FALSE)="",":",VLOOKUP($E$11,[1]QUART!$A$2:$FA$324, 68, FALSE))</f>
        <v>7174.1</v>
      </c>
      <c r="BR11" s="1550">
        <f>IF(VLOOKUP($E$11,[1]QUART!$A$2:$FA$324, 69, FALSE)="",":",VLOOKUP($E$11,[1]QUART!$A$2:$FA$324, 69, FALSE))</f>
        <v>7230.7999999999993</v>
      </c>
      <c r="BS11" s="1550">
        <f>IF(VLOOKUP($E$11,[1]QUART!$A$2:$FA$324, 70, FALSE)="",":",VLOOKUP($E$11,[1]QUART!$A$2:$FA$324, 70, FALSE))</f>
        <v>7371.5999999999995</v>
      </c>
      <c r="BT11" s="1550">
        <f>IF(VLOOKUP($E$11,[1]QUART!$A$2:$FA$324, 71, FALSE)="",":",VLOOKUP($E$11,[1]QUART!$A$2:$FA$324, 71, FALSE))</f>
        <v>7459.5</v>
      </c>
      <c r="BU11" s="1550">
        <f>IF(VLOOKUP($E$11,[1]QUART!$A$2:$FA$324, 72, FALSE)="",":",VLOOKUP($E$11,[1]QUART!$A$2:$FA$324, 72, FALSE))</f>
        <v>7559.4</v>
      </c>
      <c r="BV11" s="1550">
        <f>IF(VLOOKUP($E$11,[1]QUART!$A$2:$FA$324, 73, FALSE)="",":",VLOOKUP($E$11,[1]QUART!$A$2:$FA$324, 73, FALSE))</f>
        <v>7632.7</v>
      </c>
      <c r="BW11" s="1550">
        <f>IF(VLOOKUP($E$11,[1]QUART!$A$2:$FA$324, 74, FALSE)="",":",VLOOKUP($E$11,[1]QUART!$A$2:$FA$324, 74, FALSE))</f>
        <v>7608.7000000000007</v>
      </c>
      <c r="BX11" s="1550">
        <f>IF(VLOOKUP($E$11,[1]QUART!$A$2:$FA$324, 75, FALSE)="",":",VLOOKUP($E$11,[1]QUART!$A$2:$FA$324, 75, FALSE))</f>
        <v>7570.1</v>
      </c>
      <c r="BY11" s="1550">
        <f>IF(VLOOKUP($E$11,[1]QUART!$A$2:$FA$324, 76, FALSE)="",":",VLOOKUP($E$11,[1]QUART!$A$2:$FA$324, 76, FALSE))</f>
        <v>7619.9</v>
      </c>
      <c r="BZ11" s="1550">
        <f>IF(VLOOKUP($E$11,[1]QUART!$A$2:$FA$324, 77, FALSE)="",":",VLOOKUP($E$11,[1]QUART!$A$2:$FA$324, 77, FALSE))</f>
        <v>7680.3000000000011</v>
      </c>
      <c r="CA11" s="1550">
        <f>IF(VLOOKUP($E$11,[1]QUART!$A$2:$FA$324, 78, FALSE)="",":",VLOOKUP($E$11,[1]QUART!$A$2:$FA$324, 78, FALSE))</f>
        <v>7829</v>
      </c>
      <c r="CB11" s="1550">
        <f>IF(VLOOKUP($E$11,[1]QUART!$A$2:$FA$324, 79, FALSE)="",":",VLOOKUP($E$11,[1]QUART!$A$2:$FA$324, 79, FALSE))</f>
        <v>7904.3</v>
      </c>
      <c r="CC11" s="1550">
        <f>IF(VLOOKUP($E$11,[1]QUART!$A$2:$FA$324, 80, FALSE)="",":",VLOOKUP($E$11,[1]QUART!$A$2:$FA$324, 80, FALSE))</f>
        <v>8063.6999999999989</v>
      </c>
      <c r="CD11" s="1550">
        <f>IF(VLOOKUP($E$11,[1]QUART!$A$2:$FA$324, 81, FALSE)="",":",VLOOKUP($E$11,[1]QUART!$A$2:$FA$324, 81, FALSE))</f>
        <v>8115.5</v>
      </c>
      <c r="CE11" s="1550">
        <f>IF(VLOOKUP($E$11,[1]QUART!$A$2:$FA$324, 82, FALSE)="",":",VLOOKUP($E$11,[1]QUART!$A$2:$FA$324, 82, FALSE))</f>
        <v>8208.1</v>
      </c>
      <c r="CF11" s="1550">
        <f>IF(VLOOKUP($E$11,[1]QUART!$A$2:$FA$324, 83, FALSE)="",":",VLOOKUP($E$11,[1]QUART!$A$2:$FA$324, 83, FALSE))</f>
        <v>8229.4</v>
      </c>
      <c r="CG11" s="1550">
        <f>IF(VLOOKUP($E$11,[1]QUART!$A$2:$FA$324, 84, FALSE)="",":",VLOOKUP($E$11,[1]QUART!$A$2:$FA$324, 84, FALSE))</f>
        <v>8255</v>
      </c>
      <c r="CH11" s="1550">
        <f>IF(VLOOKUP($E$11,[1]QUART!$A$2:$FA$324, 85, FALSE)="",":",VLOOKUP($E$11,[1]QUART!$A$2:$FA$324, 85, FALSE))</f>
        <v>8353.9000000000015</v>
      </c>
      <c r="CI11" s="1550">
        <f>IF(VLOOKUP($E$11,[1]QUART!$A$2:$FA$324, 86, FALSE)="",":",VLOOKUP($E$11,[1]QUART!$A$2:$FA$324, 86, FALSE))</f>
        <v>8496.2000000000007</v>
      </c>
      <c r="CJ11" s="1550">
        <f>IF(VLOOKUP($E$11,[1]QUART!$A$2:$FA$324, 87, FALSE)="",":",VLOOKUP($E$11,[1]QUART!$A$2:$FA$324, 87, FALSE))</f>
        <v>8548</v>
      </c>
      <c r="CK11" s="1550">
        <f>IF(VLOOKUP($E$11,[1]QUART!$A$2:$FA$324, 88, FALSE)="",":",VLOOKUP($E$11,[1]QUART!$A$2:$FA$324, 88, FALSE))</f>
        <v>8615</v>
      </c>
      <c r="CL11" s="1550">
        <f>IF(VLOOKUP($E$11,[1]QUART!$A$2:$FA$324, 89, FALSE)="",":",VLOOKUP($E$11,[1]QUART!$A$2:$FA$324, 89, FALSE))</f>
        <v>8556.3000000000011</v>
      </c>
      <c r="CM11" s="1550">
        <f>IF(VLOOKUP($E$11,[1]QUART!$A$2:$FA$324, 90, FALSE)="",":",VLOOKUP($E$11,[1]QUART!$A$2:$FA$324, 90, FALSE))</f>
        <v>8642.4</v>
      </c>
      <c r="CN11" s="1550">
        <f>IF(VLOOKUP($E$11,[1]QUART!$A$2:$FA$324, 91, FALSE)="",":",VLOOKUP($E$11,[1]QUART!$A$2:$FA$324, 91, FALSE))</f>
        <v>8814.7999999999993</v>
      </c>
      <c r="CO11" s="1550">
        <f>IF(VLOOKUP($E$11,[1]QUART!$A$2:$FA$324, 92, FALSE)="",":",VLOOKUP($E$11,[1]QUART!$A$2:$FA$324, 92, FALSE))</f>
        <v>8844.6</v>
      </c>
      <c r="CP11" s="1550">
        <f>IF(VLOOKUP($E$11,[1]QUART!$A$2:$FA$324, 93, FALSE)="",":",VLOOKUP($E$11,[1]QUART!$A$2:$FA$324, 93, FALSE))</f>
        <v>8999.7999999999993</v>
      </c>
      <c r="CQ11" s="1550">
        <f>IF(VLOOKUP($E$11,[1]QUART!$A$2:$FA$324, 94, FALSE)="",":",VLOOKUP($E$11,[1]QUART!$A$2:$FA$324, 94, FALSE))</f>
        <v>9031.1</v>
      </c>
      <c r="CR11" s="1550">
        <f>IF(VLOOKUP($E$11,[1]QUART!$A$2:$FA$324, 95, FALSE)="",":",VLOOKUP($E$11,[1]QUART!$A$2:$FA$324, 95, FALSE))</f>
        <v>9148.7000000000007</v>
      </c>
      <c r="CS11" s="1550">
        <f>IF(VLOOKUP($E$11,[1]QUART!$A$2:$FA$324, 96, FALSE)="",":",VLOOKUP($E$11,[1]QUART!$A$2:$FA$324, 96, FALSE))</f>
        <v>9170.7999999999993</v>
      </c>
      <c r="CT11" s="1550">
        <f>IF(VLOOKUP($E$11,[1]QUART!$A$2:$FA$324, 97, FALSE)="",":",VLOOKUP($E$11,[1]QUART!$A$2:$FA$324, 97, FALSE))</f>
        <v>9411.2999999999993</v>
      </c>
      <c r="CU11" s="1550" t="str">
        <f>IF(VLOOKUP($E$11,[1]QUART!$A$2:$FA$324, 98, FALSE)="",":",VLOOKUP($E$11,[1]QUART!$A$2:$FA$324, 98, FALSE))</f>
        <v>:</v>
      </c>
      <c r="CV11" s="1550" t="str">
        <f>IF(VLOOKUP($E$11,[1]QUART!$A$2:$FA$324, 99, FALSE)="",":",VLOOKUP($E$11,[1]QUART!$A$2:$FA$324, 99, FALSE))</f>
        <v>:</v>
      </c>
      <c r="CW11" s="1550" t="str">
        <f>IF(VLOOKUP($E$11,[1]QUART!$A$2:$FA$324, 100, FALSE)="",":",VLOOKUP($E$11,[1]QUART!$A$2:$FA$324, 100, FALSE))</f>
        <v>:</v>
      </c>
      <c r="CX11" s="1550" t="str">
        <f>IF(VLOOKUP($E$11,[1]QUART!$A$2:$FA$324, 101, FALSE)="",":",VLOOKUP($E$11,[1]QUART!$A$2:$FA$324, 101, FALSE))</f>
        <v>:</v>
      </c>
      <c r="CY11" s="1550" t="str">
        <f>IF(VLOOKUP($E$11,[1]QUART!$A$2:$FA$324, 102, FALSE)="",":",VLOOKUP($E$11,[1]QUART!$A$2:$FA$324, 102, FALSE))</f>
        <v>:</v>
      </c>
      <c r="CZ11" s="1550" t="str">
        <f>IF(VLOOKUP($E$11,[1]QUART!$A$2:$FA$324, 103, FALSE)="",":",VLOOKUP($E$11,[1]QUART!$A$2:$FA$324, 103, FALSE))</f>
        <v>:</v>
      </c>
      <c r="DA11" s="1550" t="str">
        <f>IF(VLOOKUP($E$11,[1]QUART!$A$2:$FA$324, 104, FALSE)="",":",VLOOKUP($E$11,[1]QUART!$A$2:$FA$324, 104, FALSE))</f>
        <v>:</v>
      </c>
      <c r="DB11" s="1550" t="str">
        <f>IF(VLOOKUP($E$11,[1]QUART!$A$2:$FA$324, 105, FALSE)="",":",VLOOKUP($E$11,[1]QUART!$A$2:$FA$324, 105, FALSE))</f>
        <v>:</v>
      </c>
      <c r="DC11" s="1550" t="str">
        <f>IF(VLOOKUP($E$11,[1]QUART!$A$2:$FA$324, 106, FALSE)="",":",VLOOKUP($E$11,[1]QUART!$A$2:$FA$324, 106, FALSE))</f>
        <v>:</v>
      </c>
    </row>
    <row r="12" spans="1:110">
      <c r="A12" s="1546">
        <v>22</v>
      </c>
      <c r="B12" s="1551"/>
      <c r="C12" s="1552"/>
      <c r="D12" s="1547" t="s">
        <v>1841</v>
      </c>
      <c r="E12" s="1548">
        <v>72</v>
      </c>
      <c r="F12" s="1549" t="str">
        <f>VLOOKUP($E$12,[1]QUART!$A$2:$FA$324, 3, FALSE)</f>
        <v>72  Domestic demand including change in inventories and net acquisition of valuables</v>
      </c>
      <c r="G12" s="1550">
        <f>IF(VLOOKUP($E$12,[1]QUART!$A$2:$FA$324, 6, FALSE)="",":",VLOOKUP($E$12,[1]QUART!$A$2:$FA$324, 6, FALSE))</f>
        <v>2793.9353568118627</v>
      </c>
      <c r="H12" s="1550">
        <f>IF(VLOOKUP($E$12,[1]QUART!$A$2:$FA$324, 7, FALSE)="",":",VLOOKUP($E$12,[1]QUART!$A$2:$FA$324, 7, FALSE))</f>
        <v>2777.4270157553292</v>
      </c>
      <c r="I12" s="1550">
        <f>IF(VLOOKUP($E$12,[1]QUART!$A$2:$FA$324, 8, FALSE)="",":",VLOOKUP($E$12,[1]QUART!$A$2:$FA$324, 8, FALSE))</f>
        <v>2837.3493975903611</v>
      </c>
      <c r="J12" s="1550">
        <f>IF(VLOOKUP($E$12,[1]QUART!$A$2:$FA$324, 9, FALSE)="",":",VLOOKUP($E$12,[1]QUART!$A$2:$FA$324, 9, FALSE))</f>
        <v>2885.0787766450421</v>
      </c>
      <c r="K12" s="1550">
        <f>IF(VLOOKUP($E$12,[1]QUART!$A$2:$FA$324, 10, FALSE)="",":",VLOOKUP($E$12,[1]QUART!$A$2:$FA$324, 10, FALSE))</f>
        <v>2894.3466172381836</v>
      </c>
      <c r="L12" s="1550">
        <f>IF(VLOOKUP($E$12,[1]QUART!$A$2:$FA$324, 11, FALSE)="",":",VLOOKUP($E$12,[1]QUART!$A$2:$FA$324, 11, FALSE))</f>
        <v>2954.1821130676553</v>
      </c>
      <c r="M12" s="1550">
        <f>IF(VLOOKUP($E$12,[1]QUART!$A$2:$FA$324, 12, FALSE)="",":",VLOOKUP($E$12,[1]QUART!$A$2:$FA$324, 12, FALSE))</f>
        <v>3061.9786839666358</v>
      </c>
      <c r="N12" s="1550">
        <f>IF(VLOOKUP($E$12,[1]QUART!$A$2:$FA$324, 13, FALSE)="",":",VLOOKUP($E$12,[1]QUART!$A$2:$FA$324, 13, FALSE))</f>
        <v>3119.5841056533827</v>
      </c>
      <c r="O12" s="1550">
        <f>IF(VLOOKUP($E$12,[1]QUART!$A$2:$FA$324, 14, FALSE)="",":",VLOOKUP($E$12,[1]QUART!$A$2:$FA$324, 14, FALSE))</f>
        <v>3242.0644114921229</v>
      </c>
      <c r="P12" s="1550">
        <f>IF(VLOOKUP($E$12,[1]QUART!$A$2:$FA$324, 15, FALSE)="",":",VLOOKUP($E$12,[1]QUART!$A$2:$FA$324, 15, FALSE))</f>
        <v>3319.3639944392958</v>
      </c>
      <c r="Q12" s="1550">
        <f>IF(VLOOKUP($E$12,[1]QUART!$A$2:$FA$324, 16, FALSE)="",":",VLOOKUP($E$12,[1]QUART!$A$2:$FA$324, 16, FALSE))</f>
        <v>3332.0783132530123</v>
      </c>
      <c r="R12" s="1550">
        <f>IF(VLOOKUP($E$12,[1]QUART!$A$2:$FA$324, 17, FALSE)="",":",VLOOKUP($E$12,[1]QUART!$A$2:$FA$324, 17, FALSE))</f>
        <v>3452.9657089898055</v>
      </c>
      <c r="S12" s="1550">
        <f>IF(VLOOKUP($E$12,[1]QUART!$A$2:$FA$324, 18, FALSE)="",":",VLOOKUP($E$12,[1]QUART!$A$2:$FA$324, 18, FALSE))</f>
        <v>3531.2789620018534</v>
      </c>
      <c r="T12" s="1550">
        <f>IF(VLOOKUP($E$12,[1]QUART!$A$2:$FA$324, 19, FALSE)="",":",VLOOKUP($E$12,[1]QUART!$A$2:$FA$324, 19, FALSE))</f>
        <v>3571.5361445783133</v>
      </c>
      <c r="U12" s="1550">
        <f>IF(VLOOKUP($E$12,[1]QUART!$A$2:$FA$324, 20, FALSE)="",":",VLOOKUP($E$12,[1]QUART!$A$2:$FA$324, 20, FALSE))</f>
        <v>3664.6779425393884</v>
      </c>
      <c r="V12" s="1550">
        <f>IF(VLOOKUP($E$12,[1]QUART!$A$2:$FA$324, 21, FALSE)="",":",VLOOKUP($E$12,[1]QUART!$A$2:$FA$324, 21, FALSE))</f>
        <v>3599.252780352178</v>
      </c>
      <c r="W12" s="1550">
        <f>IF(VLOOKUP($E$12,[1]QUART!$A$2:$FA$324, 22, FALSE)="",":",VLOOKUP($E$12,[1]QUART!$A$2:$FA$324, 22, FALSE))</f>
        <v>3531.5106580166826</v>
      </c>
      <c r="X12" s="1550">
        <f>IF(VLOOKUP($E$12,[1]QUART!$A$2:$FA$324, 23, FALSE)="",":",VLOOKUP($E$12,[1]QUART!$A$2:$FA$324, 23, FALSE))</f>
        <v>3641.768999073216</v>
      </c>
      <c r="Y12" s="1550">
        <f>IF(VLOOKUP($E$12,[1]QUART!$A$2:$FA$324, 24, FALSE)="",":",VLOOKUP($E$12,[1]QUART!$A$2:$FA$324, 24, FALSE))</f>
        <v>3567.133920296571</v>
      </c>
      <c r="Z12" s="1550">
        <f>IF(VLOOKUP($E$12,[1]QUART!$A$2:$FA$324, 25, FALSE)="",":",VLOOKUP($E$12,[1]QUART!$A$2:$FA$324, 25, FALSE))</f>
        <v>3559.893419833179</v>
      </c>
      <c r="AA12" s="1550">
        <f>IF(VLOOKUP($E$12,[1]QUART!$A$2:$FA$324, 26, FALSE)="",":",VLOOKUP($E$12,[1]QUART!$A$2:$FA$324, 26, FALSE))</f>
        <v>3608.5206209453199</v>
      </c>
      <c r="AB12" s="1550">
        <f>IF(VLOOKUP($E$12,[1]QUART!$A$2:$FA$324, 27, FALSE)="",":",VLOOKUP($E$12,[1]QUART!$A$2:$FA$324, 27, FALSE))</f>
        <v>3630.4448563484711</v>
      </c>
      <c r="AC12" s="1550">
        <f>IF(VLOOKUP($E$12,[1]QUART!$A$2:$FA$324, 28, FALSE)="",":",VLOOKUP($E$12,[1]QUART!$A$2:$FA$324, 28, FALSE))</f>
        <v>3651.6740037071363</v>
      </c>
      <c r="AD12" s="1550">
        <f>IF(VLOOKUP($E$12,[1]QUART!$A$2:$FA$324, 29, FALSE)="",":",VLOOKUP($E$12,[1]QUART!$A$2:$FA$324, 29, FALSE))</f>
        <v>3694.3060704355889</v>
      </c>
      <c r="AE12" s="1550">
        <f>IF(VLOOKUP($E$12,[1]QUART!$A$2:$FA$324, 30, FALSE)="",":",VLOOKUP($E$12,[1]QUART!$A$2:$FA$324, 30, FALSE))</f>
        <v>3801.3206672845231</v>
      </c>
      <c r="AF12" s="1550">
        <f>IF(VLOOKUP($E$12,[1]QUART!$A$2:$FA$324, 31, FALSE)="",":",VLOOKUP($E$12,[1]QUART!$A$2:$FA$324, 31, FALSE))</f>
        <v>3785.6232622798889</v>
      </c>
      <c r="AG12" s="1550">
        <f>IF(VLOOKUP($E$12,[1]QUART!$A$2:$FA$324, 32, FALSE)="",":",VLOOKUP($E$12,[1]QUART!$A$2:$FA$324, 32, FALSE))</f>
        <v>3847.2254402224285</v>
      </c>
      <c r="AH12" s="1550">
        <f>IF(VLOOKUP($E$12,[1]QUART!$A$2:$FA$324, 33, FALSE)="",":",VLOOKUP($E$12,[1]QUART!$A$2:$FA$324, 33, FALSE))</f>
        <v>4045.412418906395</v>
      </c>
      <c r="AI12" s="1550">
        <f>IF(VLOOKUP($E$12,[1]QUART!$A$2:$FA$324, 34, FALSE)="",":",VLOOKUP($E$12,[1]QUART!$A$2:$FA$324, 34, FALSE))</f>
        <v>4069.6536144578317</v>
      </c>
      <c r="AJ12" s="1550">
        <f>IF(VLOOKUP($E$12,[1]QUART!$A$2:$FA$324, 35, FALSE)="",":",VLOOKUP($E$12,[1]QUART!$A$2:$FA$324, 35, FALSE))</f>
        <v>4121.1480537534753</v>
      </c>
      <c r="AK12" s="1550">
        <f>IF(VLOOKUP($E$12,[1]QUART!$A$2:$FA$324, 36, FALSE)="",":",VLOOKUP($E$12,[1]QUART!$A$2:$FA$324, 36, FALSE))</f>
        <v>4196.1596385542171</v>
      </c>
      <c r="AL12" s="1550">
        <f>IF(VLOOKUP($E$12,[1]QUART!$A$2:$FA$324, 37, FALSE)="",":",VLOOKUP($E$12,[1]QUART!$A$2:$FA$324, 37, FALSE))</f>
        <v>4233.3468489341985</v>
      </c>
      <c r="AM12" s="1550">
        <f>IF(VLOOKUP($E$12,[1]QUART!$A$2:$FA$324, 38, FALSE)="",":",VLOOKUP($E$12,[1]QUART!$A$2:$FA$324, 38, FALSE))</f>
        <v>4364.1392493049125</v>
      </c>
      <c r="AN12" s="1550">
        <f>IF(VLOOKUP($E$12,[1]QUART!$A$2:$FA$324, 39, FALSE)="",":",VLOOKUP($E$12,[1]QUART!$A$2:$FA$324, 39, FALSE))</f>
        <v>4522.9379054680257</v>
      </c>
      <c r="AO12" s="1550">
        <f>IF(VLOOKUP($E$12,[1]QUART!$A$2:$FA$324, 40, FALSE)="",":",VLOOKUP($E$12,[1]QUART!$A$2:$FA$324, 40, FALSE))</f>
        <v>4645.5919833178868</v>
      </c>
      <c r="AP12" s="1550">
        <f>IF(VLOOKUP($E$12,[1]QUART!$A$2:$FA$324, 41, FALSE)="",":",VLOOKUP($E$12,[1]QUART!$A$2:$FA$324, 41, FALSE))</f>
        <v>4805.3174235403148</v>
      </c>
      <c r="AQ12" s="1550">
        <f>IF(VLOOKUP($E$12,[1]QUART!$A$2:$FA$324, 42, FALSE)="",":",VLOOKUP($E$12,[1]QUART!$A$2:$FA$324, 42, FALSE))</f>
        <v>4981.0298887859135</v>
      </c>
      <c r="AR12" s="1550">
        <f>IF(VLOOKUP($E$12,[1]QUART!$A$2:$FA$324, 43, FALSE)="",":",VLOOKUP($E$12,[1]QUART!$A$2:$FA$324, 43, FALSE))</f>
        <v>5130.1552363299361</v>
      </c>
      <c r="AS12" s="1550">
        <f>IF(VLOOKUP($E$12,[1]QUART!$A$2:$FA$324, 44, FALSE)="",":",VLOOKUP($E$12,[1]QUART!$A$2:$FA$324, 44, FALSE))</f>
        <v>5208.8449953660793</v>
      </c>
      <c r="AT12" s="1550">
        <f>IF(VLOOKUP($E$12,[1]QUART!$A$2:$FA$324, 45, FALSE)="",":",VLOOKUP($E$12,[1]QUART!$A$2:$FA$324, 45, FALSE))</f>
        <v>5313.1661260426317</v>
      </c>
      <c r="AU12" s="1550">
        <f>IF(VLOOKUP($E$12,[1]QUART!$A$2:$FA$324, 46, FALSE)="",":",VLOOKUP($E$12,[1]QUART!$A$2:$FA$324, 46, FALSE))</f>
        <v>5375.2027340129753</v>
      </c>
      <c r="AV12" s="1550">
        <f>IF(VLOOKUP($E$12,[1]QUART!$A$2:$FA$324, 47, FALSE)="",":",VLOOKUP($E$12,[1]QUART!$A$2:$FA$324, 47, FALSE))</f>
        <v>5576.0252548656172</v>
      </c>
      <c r="AW12" s="1550">
        <f>IF(VLOOKUP($E$12,[1]QUART!$A$2:$FA$324, 48, FALSE)="",":",VLOOKUP($E$12,[1]QUART!$A$2:$FA$324, 48, FALSE))</f>
        <v>5695.9279425393888</v>
      </c>
      <c r="AX12" s="1550">
        <f>IF(VLOOKUP($E$12,[1]QUART!$A$2:$FA$324, 49, FALSE)="",":",VLOOKUP($E$12,[1]QUART!$A$2:$FA$324, 49, FALSE))</f>
        <v>5825.3012048192768</v>
      </c>
      <c r="AY12" s="1550">
        <f>IF(VLOOKUP($E$12,[1]QUART!$A$2:$FA$324, 50, FALSE)="",":",VLOOKUP($E$12,[1]QUART!$A$2:$FA$324, 50, FALSE))</f>
        <v>7439.9</v>
      </c>
      <c r="AZ12" s="1550">
        <f>IF(VLOOKUP($E$12,[1]QUART!$A$2:$FA$324, 51, FALSE)="",":",VLOOKUP($E$12,[1]QUART!$A$2:$FA$324, 51, FALSE))</f>
        <v>7416.5</v>
      </c>
      <c r="BA12" s="1550">
        <f>IF(VLOOKUP($E$12,[1]QUART!$A$2:$FA$324, 52, FALSE)="",":",VLOOKUP($E$12,[1]QUART!$A$2:$FA$324, 52, FALSE))</f>
        <v>7885.3</v>
      </c>
      <c r="BB12" s="1550">
        <f>IF(VLOOKUP($E$12,[1]QUART!$A$2:$FA$324, 53, FALSE)="",":",VLOOKUP($E$12,[1]QUART!$A$2:$FA$324, 53, FALSE))</f>
        <v>8304.2000000000007</v>
      </c>
      <c r="BC12" s="1550">
        <f>IF(VLOOKUP($E$12,[1]QUART!$A$2:$FA$324, 54, FALSE)="",":",VLOOKUP($E$12,[1]QUART!$A$2:$FA$324, 54, FALSE))</f>
        <v>8528.2000000000007</v>
      </c>
      <c r="BD12" s="1550">
        <f>IF(VLOOKUP($E$12,[1]QUART!$A$2:$FA$324, 55, FALSE)="",":",VLOOKUP($E$12,[1]QUART!$A$2:$FA$324, 55, FALSE))</f>
        <v>8953.5</v>
      </c>
      <c r="BE12" s="1550">
        <f>IF(VLOOKUP($E$12,[1]QUART!$A$2:$FA$324, 56, FALSE)="",":",VLOOKUP($E$12,[1]QUART!$A$2:$FA$324, 56, FALSE))</f>
        <v>8933.7000000000007</v>
      </c>
      <c r="BF12" s="1550">
        <f>IF(VLOOKUP($E$12,[1]QUART!$A$2:$FA$324, 57, FALSE)="",":",VLOOKUP($E$12,[1]QUART!$A$2:$FA$324, 57, FALSE))</f>
        <v>9272.5</v>
      </c>
      <c r="BG12" s="1550">
        <f>IF(VLOOKUP($E$12,[1]QUART!$A$2:$FA$324, 58, FALSE)="",":",VLOOKUP($E$12,[1]QUART!$A$2:$FA$324, 58, FALSE))</f>
        <v>9445.7999999999993</v>
      </c>
      <c r="BH12" s="1550">
        <f>IF(VLOOKUP($E$12,[1]QUART!$A$2:$FA$324, 59, FALSE)="",":",VLOOKUP($E$12,[1]QUART!$A$2:$FA$324, 59, FALSE))</f>
        <v>9354.1</v>
      </c>
      <c r="BI12" s="1550">
        <f>IF(VLOOKUP($E$12,[1]QUART!$A$2:$FA$324, 60, FALSE)="",":",VLOOKUP($E$12,[1]QUART!$A$2:$FA$324, 60, FALSE))</f>
        <v>9210.2999999999993</v>
      </c>
      <c r="BJ12" s="1550">
        <f>IF(VLOOKUP($E$12,[1]QUART!$A$2:$FA$324, 61, FALSE)="",":",VLOOKUP($E$12,[1]QUART!$A$2:$FA$324, 61, FALSE))</f>
        <v>8657</v>
      </c>
      <c r="BK12" s="1550">
        <f>IF(VLOOKUP($E$12,[1]QUART!$A$2:$FA$324, 62, FALSE)="",":",VLOOKUP($E$12,[1]QUART!$A$2:$FA$324, 62, FALSE))</f>
        <v>7208.1</v>
      </c>
      <c r="BL12" s="1550">
        <f>IF(VLOOKUP($E$12,[1]QUART!$A$2:$FA$324, 63, FALSE)="",":",VLOOKUP($E$12,[1]QUART!$A$2:$FA$324, 63, FALSE))</f>
        <v>7118.1</v>
      </c>
      <c r="BM12" s="1550">
        <f>IF(VLOOKUP($E$12,[1]QUART!$A$2:$FA$324, 64, FALSE)="",":",VLOOKUP($E$12,[1]QUART!$A$2:$FA$324, 64, FALSE))</f>
        <v>7010.3</v>
      </c>
      <c r="BN12" s="1550">
        <f>IF(VLOOKUP($E$12,[1]QUART!$A$2:$FA$324, 65, FALSE)="",":",VLOOKUP($E$12,[1]QUART!$A$2:$FA$324, 65, FALSE))</f>
        <v>6736.3</v>
      </c>
      <c r="BO12" s="1550">
        <f>IF(VLOOKUP($E$12,[1]QUART!$A$2:$FA$324, 66, FALSE)="",":",VLOOKUP($E$12,[1]QUART!$A$2:$FA$324, 66, FALSE))</f>
        <v>6960.4</v>
      </c>
      <c r="BP12" s="1550">
        <f>IF(VLOOKUP($E$12,[1]QUART!$A$2:$FA$324, 67, FALSE)="",":",VLOOKUP($E$12,[1]QUART!$A$2:$FA$324, 67, FALSE))</f>
        <v>7135.6</v>
      </c>
      <c r="BQ12" s="1550">
        <f>IF(VLOOKUP($E$12,[1]QUART!$A$2:$FA$324, 68, FALSE)="",":",VLOOKUP($E$12,[1]QUART!$A$2:$FA$324, 68, FALSE))</f>
        <v>7120.5</v>
      </c>
      <c r="BR12" s="1550">
        <f>IF(VLOOKUP($E$12,[1]QUART!$A$2:$FA$324, 69, FALSE)="",":",VLOOKUP($E$12,[1]QUART!$A$2:$FA$324, 69, FALSE))</f>
        <v>7386.8</v>
      </c>
      <c r="BS12" s="1550">
        <f>IF(VLOOKUP($E$12,[1]QUART!$A$2:$FA$324, 70, FALSE)="",":",VLOOKUP($E$12,[1]QUART!$A$2:$FA$324, 70, FALSE))</f>
        <v>7595</v>
      </c>
      <c r="BT12" s="1550">
        <f>IF(VLOOKUP($E$12,[1]QUART!$A$2:$FA$324, 71, FALSE)="",":",VLOOKUP($E$12,[1]QUART!$A$2:$FA$324, 71, FALSE))</f>
        <v>7553.1</v>
      </c>
      <c r="BU12" s="1550">
        <f>IF(VLOOKUP($E$12,[1]QUART!$A$2:$FA$324, 72, FALSE)="",":",VLOOKUP($E$12,[1]QUART!$A$2:$FA$324, 72, FALSE))</f>
        <v>7537.5</v>
      </c>
      <c r="BV12" s="1550">
        <f>IF(VLOOKUP($E$12,[1]QUART!$A$2:$FA$324, 73, FALSE)="",":",VLOOKUP($E$12,[1]QUART!$A$2:$FA$324, 73, FALSE))</f>
        <v>7630.8</v>
      </c>
      <c r="BW12" s="1550">
        <f>IF(VLOOKUP($E$12,[1]QUART!$A$2:$FA$324, 74, FALSE)="",":",VLOOKUP($E$12,[1]QUART!$A$2:$FA$324, 74, FALSE))</f>
        <v>7572.1</v>
      </c>
      <c r="BX12" s="1550">
        <f>IF(VLOOKUP($E$12,[1]QUART!$A$2:$FA$324, 75, FALSE)="",":",VLOOKUP($E$12,[1]QUART!$A$2:$FA$324, 75, FALSE))</f>
        <v>7315</v>
      </c>
      <c r="BY12" s="1550">
        <f>IF(VLOOKUP($E$12,[1]QUART!$A$2:$FA$324, 76, FALSE)="",":",VLOOKUP($E$12,[1]QUART!$A$2:$FA$324, 76, FALSE))</f>
        <v>7694.3</v>
      </c>
      <c r="BZ12" s="1550">
        <f>IF(VLOOKUP($E$12,[1]QUART!$A$2:$FA$324, 77, FALSE)="",":",VLOOKUP($E$12,[1]QUART!$A$2:$FA$324, 77, FALSE))</f>
        <v>7507.5</v>
      </c>
      <c r="CA12" s="1550">
        <f>IF(VLOOKUP($E$12,[1]QUART!$A$2:$FA$324, 78, FALSE)="",":",VLOOKUP($E$12,[1]QUART!$A$2:$FA$324, 78, FALSE))</f>
        <v>7562.9</v>
      </c>
      <c r="CB12" s="1550">
        <f>IF(VLOOKUP($E$12,[1]QUART!$A$2:$FA$324, 79, FALSE)="",":",VLOOKUP($E$12,[1]QUART!$A$2:$FA$324, 79, FALSE))</f>
        <v>7659.1</v>
      </c>
      <c r="CC12" s="1550">
        <f>IF(VLOOKUP($E$12,[1]QUART!$A$2:$FA$324, 80, FALSE)="",":",VLOOKUP($E$12,[1]QUART!$A$2:$FA$324, 80, FALSE))</f>
        <v>7891.4</v>
      </c>
      <c r="CD12" s="1550">
        <f>IF(VLOOKUP($E$12,[1]QUART!$A$2:$FA$324, 81, FALSE)="",":",VLOOKUP($E$12,[1]QUART!$A$2:$FA$324, 81, FALSE))</f>
        <v>7968.6</v>
      </c>
      <c r="CE12" s="1550">
        <f>IF(VLOOKUP($E$12,[1]QUART!$A$2:$FA$324, 82, FALSE)="",":",VLOOKUP($E$12,[1]QUART!$A$2:$FA$324, 82, FALSE))</f>
        <v>7966.4</v>
      </c>
      <c r="CF12" s="1550">
        <f>IF(VLOOKUP($E$12,[1]QUART!$A$2:$FA$324, 83, FALSE)="",":",VLOOKUP($E$12,[1]QUART!$A$2:$FA$324, 83, FALSE))</f>
        <v>7964.9</v>
      </c>
      <c r="CG12" s="1550">
        <f>IF(VLOOKUP($E$12,[1]QUART!$A$2:$FA$324, 84, FALSE)="",":",VLOOKUP($E$12,[1]QUART!$A$2:$FA$324, 84, FALSE))</f>
        <v>7982.1</v>
      </c>
      <c r="CH12" s="1550">
        <f>IF(VLOOKUP($E$12,[1]QUART!$A$2:$FA$324, 85, FALSE)="",":",VLOOKUP($E$12,[1]QUART!$A$2:$FA$324, 85, FALSE))</f>
        <v>8208.1</v>
      </c>
      <c r="CI12" s="1550">
        <f>IF(VLOOKUP($E$12,[1]QUART!$A$2:$FA$324, 86, FALSE)="",":",VLOOKUP($E$12,[1]QUART!$A$2:$FA$324, 86, FALSE))</f>
        <v>8565.6</v>
      </c>
      <c r="CJ12" s="1550">
        <f>IF(VLOOKUP($E$12,[1]QUART!$A$2:$FA$324, 87, FALSE)="",":",VLOOKUP($E$12,[1]QUART!$A$2:$FA$324, 87, FALSE))</f>
        <v>8757.1</v>
      </c>
      <c r="CK12" s="1550">
        <f>IF(VLOOKUP($E$12,[1]QUART!$A$2:$FA$324, 88, FALSE)="",":",VLOOKUP($E$12,[1]QUART!$A$2:$FA$324, 88, FALSE))</f>
        <v>8600.2999999999993</v>
      </c>
      <c r="CL12" s="1550">
        <f>IF(VLOOKUP($E$12,[1]QUART!$A$2:$FA$324, 89, FALSE)="",":",VLOOKUP($E$12,[1]QUART!$A$2:$FA$324, 89, FALSE))</f>
        <v>8581.5</v>
      </c>
      <c r="CM12" s="1550">
        <f>IF(VLOOKUP($E$12,[1]QUART!$A$2:$FA$324, 90, FALSE)="",":",VLOOKUP($E$12,[1]QUART!$A$2:$FA$324, 90, FALSE))</f>
        <v>8500.7000000000007</v>
      </c>
      <c r="CN12" s="1550">
        <f>IF(VLOOKUP($E$12,[1]QUART!$A$2:$FA$324, 91, FALSE)="",":",VLOOKUP($E$12,[1]QUART!$A$2:$FA$324, 91, FALSE))</f>
        <v>8828.1</v>
      </c>
      <c r="CO12" s="1550">
        <f>IF(VLOOKUP($E$12,[1]QUART!$A$2:$FA$324, 92, FALSE)="",":",VLOOKUP($E$12,[1]QUART!$A$2:$FA$324, 92, FALSE))</f>
        <v>8864.2000000000007</v>
      </c>
      <c r="CP12" s="1550">
        <f>IF(VLOOKUP($E$12,[1]QUART!$A$2:$FA$324, 93, FALSE)="",":",VLOOKUP($E$12,[1]QUART!$A$2:$FA$324, 93, FALSE))</f>
        <v>8993.1</v>
      </c>
      <c r="CQ12" s="1550">
        <f>IF(VLOOKUP($E$12,[1]QUART!$A$2:$FA$324, 94, FALSE)="",":",VLOOKUP($E$12,[1]QUART!$A$2:$FA$324, 94, FALSE))</f>
        <v>9080.2999999999993</v>
      </c>
      <c r="CR12" s="1550">
        <f>IF(VLOOKUP($E$12,[1]QUART!$A$2:$FA$324, 95, FALSE)="",":",VLOOKUP($E$12,[1]QUART!$A$2:$FA$324, 95, FALSE))</f>
        <v>9009.1</v>
      </c>
      <c r="CS12" s="1550">
        <f>IF(VLOOKUP($E$12,[1]QUART!$A$2:$FA$324, 96, FALSE)="",":",VLOOKUP($E$12,[1]QUART!$A$2:$FA$324, 96, FALSE))</f>
        <v>9192</v>
      </c>
      <c r="CT12" s="1550">
        <f>IF(VLOOKUP($E$12,[1]QUART!$A$2:$FA$324, 97, FALSE)="",":",VLOOKUP($E$12,[1]QUART!$A$2:$FA$324, 97, FALSE))</f>
        <v>9240.2000000000007</v>
      </c>
      <c r="CU12" s="1550" t="str">
        <f>IF(VLOOKUP($E$12,[1]QUART!$A$2:$FA$324, 98, FALSE)="",":",VLOOKUP($E$12,[1]QUART!$A$2:$FA$324, 98, FALSE))</f>
        <v>:</v>
      </c>
      <c r="CV12" s="1550" t="str">
        <f>IF(VLOOKUP($E$12,[1]QUART!$A$2:$FA$324, 99, FALSE)="",":",VLOOKUP($E$12,[1]QUART!$A$2:$FA$324, 99, FALSE))</f>
        <v>:</v>
      </c>
      <c r="CW12" s="1550" t="str">
        <f>IF(VLOOKUP($E$12,[1]QUART!$A$2:$FA$324, 100, FALSE)="",":",VLOOKUP($E$12,[1]QUART!$A$2:$FA$324, 100, FALSE))</f>
        <v>:</v>
      </c>
      <c r="CX12" s="1550" t="str">
        <f>IF(VLOOKUP($E$12,[1]QUART!$A$2:$FA$324, 101, FALSE)="",":",VLOOKUP($E$12,[1]QUART!$A$2:$FA$324, 101, FALSE))</f>
        <v>:</v>
      </c>
      <c r="CY12" s="1550" t="str">
        <f>IF(VLOOKUP($E$12,[1]QUART!$A$2:$FA$324, 102, FALSE)="",":",VLOOKUP($E$12,[1]QUART!$A$2:$FA$324, 102, FALSE))</f>
        <v>:</v>
      </c>
      <c r="CZ12" s="1550" t="str">
        <f>IF(VLOOKUP($E$12,[1]QUART!$A$2:$FA$324, 103, FALSE)="",":",VLOOKUP($E$12,[1]QUART!$A$2:$FA$324, 103, FALSE))</f>
        <v>:</v>
      </c>
      <c r="DA12" s="1550" t="str">
        <f>IF(VLOOKUP($E$12,[1]QUART!$A$2:$FA$324, 104, FALSE)="",":",VLOOKUP($E$12,[1]QUART!$A$2:$FA$324, 104, FALSE))</f>
        <v>:</v>
      </c>
      <c r="DB12" s="1550" t="str">
        <f>IF(VLOOKUP($E$12,[1]QUART!$A$2:$FA$324, 105, FALSE)="",":",VLOOKUP($E$12,[1]QUART!$A$2:$FA$324, 105, FALSE))</f>
        <v>:</v>
      </c>
      <c r="DC12" s="1550" t="str">
        <f>IF(VLOOKUP($E$12,[1]QUART!$A$2:$FA$324, 106, FALSE)="",":",VLOOKUP($E$12,[1]QUART!$A$2:$FA$324, 106, FALSE))</f>
        <v>:</v>
      </c>
    </row>
    <row r="13" spans="1:110">
      <c r="A13" s="1546">
        <v>23</v>
      </c>
      <c r="B13" s="1551"/>
      <c r="C13" s="1552"/>
      <c r="D13" s="1547" t="s">
        <v>1841</v>
      </c>
      <c r="E13" s="1548">
        <v>73</v>
      </c>
      <c r="F13" s="1549" t="str">
        <f>VLOOKUP($E$13,[1]QUART!$A$2:$FA$324, 3, FALSE)</f>
        <v xml:space="preserve">73  Final demand                                                                    </v>
      </c>
      <c r="G13" s="1550">
        <f>IF(VLOOKUP($E$13,[1]QUART!$A$2:$FA$324, 6, FALSE)="",":",VLOOKUP($E$13,[1]QUART!$A$2:$FA$324, 6, FALSE))</f>
        <v>3902.6587117701574</v>
      </c>
      <c r="H13" s="1550">
        <f>IF(VLOOKUP($E$13,[1]QUART!$A$2:$FA$324, 7, FALSE)="",":",VLOOKUP($E$13,[1]QUART!$A$2:$FA$324, 7, FALSE))</f>
        <v>3922.6714550509732</v>
      </c>
      <c r="I13" s="1550">
        <f>IF(VLOOKUP($E$13,[1]QUART!$A$2:$FA$324, 8, FALSE)="",":",VLOOKUP($E$13,[1]QUART!$A$2:$FA$324, 8, FALSE))</f>
        <v>4031.8002780352172</v>
      </c>
      <c r="J13" s="1550">
        <f>IF(VLOOKUP($E$13,[1]QUART!$A$2:$FA$324, 9, FALSE)="",":",VLOOKUP($E$13,[1]QUART!$A$2:$FA$324, 9, FALSE))</f>
        <v>4125.0868860055616</v>
      </c>
      <c r="K13" s="1550">
        <f>IF(VLOOKUP($E$13,[1]QUART!$A$2:$FA$324, 10, FALSE)="",":",VLOOKUP($E$13,[1]QUART!$A$2:$FA$324, 10, FALSE))</f>
        <v>4201.2859128822984</v>
      </c>
      <c r="L13" s="1550">
        <f>IF(VLOOKUP($E$13,[1]QUART!$A$2:$FA$324, 11, FALSE)="",":",VLOOKUP($E$13,[1]QUART!$A$2:$FA$324, 11, FALSE))</f>
        <v>4303.7245134383693</v>
      </c>
      <c r="M13" s="1550">
        <f>IF(VLOOKUP($E$13,[1]QUART!$A$2:$FA$324, 12, FALSE)="",":",VLOOKUP($E$13,[1]QUART!$A$2:$FA$324, 12, FALSE))</f>
        <v>4486.8802131603334</v>
      </c>
      <c r="N13" s="1550">
        <f>IF(VLOOKUP($E$13,[1]QUART!$A$2:$FA$324, 13, FALSE)="",":",VLOOKUP($E$13,[1]QUART!$A$2:$FA$324, 13, FALSE))</f>
        <v>4615.9059314179794</v>
      </c>
      <c r="O13" s="1550">
        <f>IF(VLOOKUP($E$13,[1]QUART!$A$2:$FA$324, 14, FALSE)="",":",VLOOKUP($E$13,[1]QUART!$A$2:$FA$324, 14, FALSE))</f>
        <v>4798.1927710843374</v>
      </c>
      <c r="P13" s="1550">
        <f>IF(VLOOKUP($E$13,[1]QUART!$A$2:$FA$324, 15, FALSE)="",":",VLOOKUP($E$13,[1]QUART!$A$2:$FA$324, 15, FALSE))</f>
        <v>4921.8894810009269</v>
      </c>
      <c r="Q13" s="1550">
        <f>IF(VLOOKUP($E$13,[1]QUART!$A$2:$FA$324, 16, FALSE)="",":",VLOOKUP($E$13,[1]QUART!$A$2:$FA$324, 16, FALSE))</f>
        <v>4969.0685820203898</v>
      </c>
      <c r="R13" s="1550">
        <f>IF(VLOOKUP($E$13,[1]QUART!$A$2:$FA$324, 17, FALSE)="",":",VLOOKUP($E$13,[1]QUART!$A$2:$FA$324, 17, FALSE))</f>
        <v>5232.1304448563487</v>
      </c>
      <c r="S13" s="1550">
        <f>IF(VLOOKUP($E$13,[1]QUART!$A$2:$FA$324, 18, FALSE)="",":",VLOOKUP($E$13,[1]QUART!$A$2:$FA$324, 18, FALSE))</f>
        <v>5363.0097312326234</v>
      </c>
      <c r="T13" s="1550">
        <f>IF(VLOOKUP($E$13,[1]QUART!$A$2:$FA$324, 19, FALSE)="",":",VLOOKUP($E$13,[1]QUART!$A$2:$FA$324, 19, FALSE))</f>
        <v>5378.7940222428178</v>
      </c>
      <c r="U13" s="1550">
        <f>IF(VLOOKUP($E$13,[1]QUART!$A$2:$FA$324, 20, FALSE)="",":",VLOOKUP($E$13,[1]QUART!$A$2:$FA$324, 20, FALSE))</f>
        <v>5355.1031047265988</v>
      </c>
      <c r="V13" s="1550">
        <f>IF(VLOOKUP($E$13,[1]QUART!$A$2:$FA$324, 21, FALSE)="",":",VLOOKUP($E$13,[1]QUART!$A$2:$FA$324, 21, FALSE))</f>
        <v>5193.1186283595925</v>
      </c>
      <c r="W13" s="1550">
        <f>IF(VLOOKUP($E$13,[1]QUART!$A$2:$FA$324, 22, FALSE)="",":",VLOOKUP($E$13,[1]QUART!$A$2:$FA$324, 22, FALSE))</f>
        <v>5037.3609823911029</v>
      </c>
      <c r="X13" s="1550">
        <f>IF(VLOOKUP($E$13,[1]QUART!$A$2:$FA$324, 23, FALSE)="",":",VLOOKUP($E$13,[1]QUART!$A$2:$FA$324, 23, FALSE))</f>
        <v>5072.3760426320669</v>
      </c>
      <c r="Y13" s="1550">
        <f>IF(VLOOKUP($E$13,[1]QUART!$A$2:$FA$324, 24, FALSE)="",":",VLOOKUP($E$13,[1]QUART!$A$2:$FA$324, 24, FALSE))</f>
        <v>4986.2720111214094</v>
      </c>
      <c r="Z13" s="1550">
        <f>IF(VLOOKUP($E$13,[1]QUART!$A$2:$FA$324, 25, FALSE)="",":",VLOOKUP($E$13,[1]QUART!$A$2:$FA$324, 25, FALSE))</f>
        <v>4964.7532437442078</v>
      </c>
      <c r="AA13" s="1550">
        <f>IF(VLOOKUP($E$13,[1]QUART!$A$2:$FA$324, 26, FALSE)="",":",VLOOKUP($E$13,[1]QUART!$A$2:$FA$324, 26, FALSE))</f>
        <v>5132.9645505097315</v>
      </c>
      <c r="AB13" s="1550">
        <f>IF(VLOOKUP($E$13,[1]QUART!$A$2:$FA$324, 27, FALSE)="",":",VLOOKUP($E$13,[1]QUART!$A$2:$FA$324, 27, FALSE))</f>
        <v>5165.2571825764599</v>
      </c>
      <c r="AC13" s="1550">
        <f>IF(VLOOKUP($E$13,[1]QUART!$A$2:$FA$324, 28, FALSE)="",":",VLOOKUP($E$13,[1]QUART!$A$2:$FA$324, 28, FALSE))</f>
        <v>5301.1179332715474</v>
      </c>
      <c r="AD13" s="1550">
        <f>IF(VLOOKUP($E$13,[1]QUART!$A$2:$FA$324, 29, FALSE)="",":",VLOOKUP($E$13,[1]QUART!$A$2:$FA$324, 29, FALSE))</f>
        <v>5351.2221964782211</v>
      </c>
      <c r="AE13" s="1550">
        <f>IF(VLOOKUP($E$13,[1]QUART!$A$2:$FA$324, 30, FALSE)="",":",VLOOKUP($E$13,[1]QUART!$A$2:$FA$324, 30, FALSE))</f>
        <v>5625.9267840593147</v>
      </c>
      <c r="AF13" s="1550">
        <f>IF(VLOOKUP($E$13,[1]QUART!$A$2:$FA$324, 31, FALSE)="",":",VLOOKUP($E$13,[1]QUART!$A$2:$FA$324, 31, FALSE))</f>
        <v>5682.0551436515289</v>
      </c>
      <c r="AG13" s="1550">
        <f>IF(VLOOKUP($E$13,[1]QUART!$A$2:$FA$324, 32, FALSE)="",":",VLOOKUP($E$13,[1]QUART!$A$2:$FA$324, 32, FALSE))</f>
        <v>5793.7036607970349</v>
      </c>
      <c r="AH13" s="1550">
        <f>IF(VLOOKUP($E$13,[1]QUART!$A$2:$FA$324, 33, FALSE)="",":",VLOOKUP($E$13,[1]QUART!$A$2:$FA$324, 33, FALSE))</f>
        <v>6072.1443466172386</v>
      </c>
      <c r="AI13" s="1550">
        <f>IF(VLOOKUP($E$13,[1]QUART!$A$2:$FA$324, 34, FALSE)="",":",VLOOKUP($E$13,[1]QUART!$A$2:$FA$324, 34, FALSE))</f>
        <v>6196.2465245597778</v>
      </c>
      <c r="AJ13" s="1550">
        <f>IF(VLOOKUP($E$13,[1]QUART!$A$2:$FA$324, 35, FALSE)="",":",VLOOKUP($E$13,[1]QUART!$A$2:$FA$324, 35, FALSE))</f>
        <v>6425.2780352177942</v>
      </c>
      <c r="AK13" s="1550">
        <f>IF(VLOOKUP($E$13,[1]QUART!$A$2:$FA$324, 36, FALSE)="",":",VLOOKUP($E$13,[1]QUART!$A$2:$FA$324, 36, FALSE))</f>
        <v>6470.0243280815575</v>
      </c>
      <c r="AL13" s="1550">
        <f>IF(VLOOKUP($E$13,[1]QUART!$A$2:$FA$324, 37, FALSE)="",":",VLOOKUP($E$13,[1]QUART!$A$2:$FA$324, 37, FALSE))</f>
        <v>6637.8301668211316</v>
      </c>
      <c r="AM13" s="1550">
        <f>IF(VLOOKUP($E$13,[1]QUART!$A$2:$FA$324, 38, FALSE)="",":",VLOOKUP($E$13,[1]QUART!$A$2:$FA$324, 38, FALSE))</f>
        <v>6908.5959221501398</v>
      </c>
      <c r="AN13" s="1550">
        <f>IF(VLOOKUP($E$13,[1]QUART!$A$2:$FA$324, 39, FALSE)="",":",VLOOKUP($E$13,[1]QUART!$A$2:$FA$324, 39, FALSE))</f>
        <v>6868.5414735866543</v>
      </c>
      <c r="AO13" s="1550">
        <f>IF(VLOOKUP($E$13,[1]QUART!$A$2:$FA$324, 40, FALSE)="",":",VLOOKUP($E$13,[1]QUART!$A$2:$FA$324, 40, FALSE))</f>
        <v>7078.0236329935124</v>
      </c>
      <c r="AP13" s="1550">
        <f>IF(VLOOKUP($E$13,[1]QUART!$A$2:$FA$324, 41, FALSE)="",":",VLOOKUP($E$13,[1]QUART!$A$2:$FA$324, 41, FALSE))</f>
        <v>7318.1765523632985</v>
      </c>
      <c r="AQ13" s="1550">
        <f>IF(VLOOKUP($E$13,[1]QUART!$A$2:$FA$324, 42, FALSE)="",":",VLOOKUP($E$13,[1]QUART!$A$2:$FA$324, 42, FALSE))</f>
        <v>7364.6605653382776</v>
      </c>
      <c r="AR13" s="1550">
        <f>IF(VLOOKUP($E$13,[1]QUART!$A$2:$FA$324, 43, FALSE)="",":",VLOOKUP($E$13,[1]QUART!$A$2:$FA$324, 43, FALSE))</f>
        <v>7618.7442075996305</v>
      </c>
      <c r="AS13" s="1550">
        <f>IF(VLOOKUP($E$13,[1]QUART!$A$2:$FA$324, 44, FALSE)="",":",VLOOKUP($E$13,[1]QUART!$A$2:$FA$324, 44, FALSE))</f>
        <v>7815.106580166821</v>
      </c>
      <c r="AT13" s="1550">
        <f>IF(VLOOKUP($E$13,[1]QUART!$A$2:$FA$324, 45, FALSE)="",":",VLOOKUP($E$13,[1]QUART!$A$2:$FA$324, 45, FALSE))</f>
        <v>8059.053521779425</v>
      </c>
      <c r="AU13" s="1550">
        <f>IF(VLOOKUP($E$13,[1]QUART!$A$2:$FA$324, 46, FALSE)="",":",VLOOKUP($E$13,[1]QUART!$A$2:$FA$324, 46, FALSE))</f>
        <v>8514.6027340129749</v>
      </c>
      <c r="AV13" s="1550">
        <f>IF(VLOOKUP($E$13,[1]QUART!$A$2:$FA$324, 47, FALSE)="",":",VLOOKUP($E$13,[1]QUART!$A$2:$FA$324, 47, FALSE))</f>
        <v>8833.8252548656164</v>
      </c>
      <c r="AW13" s="1550">
        <f>IF(VLOOKUP($E$13,[1]QUART!$A$2:$FA$324, 48, FALSE)="",":",VLOOKUP($E$13,[1]QUART!$A$2:$FA$324, 48, FALSE))</f>
        <v>9118.0279425393892</v>
      </c>
      <c r="AX13" s="1550">
        <f>IF(VLOOKUP($E$13,[1]QUART!$A$2:$FA$324, 49, FALSE)="",":",VLOOKUP($E$13,[1]QUART!$A$2:$FA$324, 49, FALSE))</f>
        <v>9383.8012048192759</v>
      </c>
      <c r="AY13" s="1550">
        <f>IF(VLOOKUP($E$13,[1]QUART!$A$2:$FA$324, 50, FALSE)="",":",VLOOKUP($E$13,[1]QUART!$A$2:$FA$324, 50, FALSE))</f>
        <v>11156.8</v>
      </c>
      <c r="AZ13" s="1550">
        <f>IF(VLOOKUP($E$13,[1]QUART!$A$2:$FA$324, 51, FALSE)="",":",VLOOKUP($E$13,[1]QUART!$A$2:$FA$324, 51, FALSE))</f>
        <v>11208.1</v>
      </c>
      <c r="BA13" s="1550">
        <f>IF(VLOOKUP($E$13,[1]QUART!$A$2:$FA$324, 52, FALSE)="",":",VLOOKUP($E$13,[1]QUART!$A$2:$FA$324, 52, FALSE))</f>
        <v>11614.5</v>
      </c>
      <c r="BB13" s="1550">
        <f>IF(VLOOKUP($E$13,[1]QUART!$A$2:$FA$324, 53, FALSE)="",":",VLOOKUP($E$13,[1]QUART!$A$2:$FA$324, 53, FALSE))</f>
        <v>12136.6</v>
      </c>
      <c r="BC13" s="1550">
        <f>IF(VLOOKUP($E$13,[1]QUART!$A$2:$FA$324, 54, FALSE)="",":",VLOOKUP($E$13,[1]QUART!$A$2:$FA$324, 54, FALSE))</f>
        <v>12282.7</v>
      </c>
      <c r="BD13" s="1550">
        <f>IF(VLOOKUP($E$13,[1]QUART!$A$2:$FA$324, 55, FALSE)="",":",VLOOKUP($E$13,[1]QUART!$A$2:$FA$324, 55, FALSE))</f>
        <v>12723.4</v>
      </c>
      <c r="BE13" s="1550">
        <f>IF(VLOOKUP($E$13,[1]QUART!$A$2:$FA$324, 56, FALSE)="",":",VLOOKUP($E$13,[1]QUART!$A$2:$FA$324, 56, FALSE))</f>
        <v>12929.1</v>
      </c>
      <c r="BF13" s="1550">
        <f>IF(VLOOKUP($E$13,[1]QUART!$A$2:$FA$324, 57, FALSE)="",":",VLOOKUP($E$13,[1]QUART!$A$2:$FA$324, 57, FALSE))</f>
        <v>13301.4</v>
      </c>
      <c r="BG13" s="1550">
        <f>IF(VLOOKUP($E$13,[1]QUART!$A$2:$FA$324, 58, FALSE)="",":",VLOOKUP($E$13,[1]QUART!$A$2:$FA$324, 58, FALSE))</f>
        <v>13829.699999999999</v>
      </c>
      <c r="BH13" s="1550">
        <f>IF(VLOOKUP($E$13,[1]QUART!$A$2:$FA$324, 59, FALSE)="",":",VLOOKUP($E$13,[1]QUART!$A$2:$FA$324, 59, FALSE))</f>
        <v>13917.900000000001</v>
      </c>
      <c r="BI13" s="1550">
        <f>IF(VLOOKUP($E$13,[1]QUART!$A$2:$FA$324, 60, FALSE)="",":",VLOOKUP($E$13,[1]QUART!$A$2:$FA$324, 60, FALSE))</f>
        <v>13639.5</v>
      </c>
      <c r="BJ13" s="1550">
        <f>IF(VLOOKUP($E$13,[1]QUART!$A$2:$FA$324, 61, FALSE)="",":",VLOOKUP($E$13,[1]QUART!$A$2:$FA$324, 61, FALSE))</f>
        <v>12954.5</v>
      </c>
      <c r="BK13" s="1550">
        <f>IF(VLOOKUP($E$13,[1]QUART!$A$2:$FA$324, 62, FALSE)="",":",VLOOKUP($E$13,[1]QUART!$A$2:$FA$324, 62, FALSE))</f>
        <v>11171.900000000001</v>
      </c>
      <c r="BL13" s="1550">
        <f>IF(VLOOKUP($E$13,[1]QUART!$A$2:$FA$324, 63, FALSE)="",":",VLOOKUP($E$13,[1]QUART!$A$2:$FA$324, 63, FALSE))</f>
        <v>10829.2</v>
      </c>
      <c r="BM13" s="1550">
        <f>IF(VLOOKUP($E$13,[1]QUART!$A$2:$FA$324, 64, FALSE)="",":",VLOOKUP($E$13,[1]QUART!$A$2:$FA$324, 64, FALSE))</f>
        <v>10799.6</v>
      </c>
      <c r="BN13" s="1550">
        <f>IF(VLOOKUP($E$13,[1]QUART!$A$2:$FA$324, 65, FALSE)="",":",VLOOKUP($E$13,[1]QUART!$A$2:$FA$324, 65, FALSE))</f>
        <v>10663.9</v>
      </c>
      <c r="BO13" s="1550">
        <f>IF(VLOOKUP($E$13,[1]QUART!$A$2:$FA$324, 66, FALSE)="",":",VLOOKUP($E$13,[1]QUART!$A$2:$FA$324, 66, FALSE))</f>
        <v>11125</v>
      </c>
      <c r="BP13" s="1550">
        <f>IF(VLOOKUP($E$13,[1]QUART!$A$2:$FA$324, 67, FALSE)="",":",VLOOKUP($E$13,[1]QUART!$A$2:$FA$324, 67, FALSE))</f>
        <v>11629.5</v>
      </c>
      <c r="BQ13" s="1550">
        <f>IF(VLOOKUP($E$13,[1]QUART!$A$2:$FA$324, 68, FALSE)="",":",VLOOKUP($E$13,[1]QUART!$A$2:$FA$324, 68, FALSE))</f>
        <v>11833.8</v>
      </c>
      <c r="BR13" s="1550">
        <f>IF(VLOOKUP($E$13,[1]QUART!$A$2:$FA$324, 69, FALSE)="",":",VLOOKUP($E$13,[1]QUART!$A$2:$FA$324, 69, FALSE))</f>
        <v>12342.6</v>
      </c>
      <c r="BS13" s="1550">
        <f>IF(VLOOKUP($E$13,[1]QUART!$A$2:$FA$324, 70, FALSE)="",":",VLOOKUP($E$13,[1]QUART!$A$2:$FA$324, 70, FALSE))</f>
        <v>12702.1</v>
      </c>
      <c r="BT13" s="1550">
        <f>IF(VLOOKUP($E$13,[1]QUART!$A$2:$FA$324, 71, FALSE)="",":",VLOOKUP($E$13,[1]QUART!$A$2:$FA$324, 71, FALSE))</f>
        <v>12826.5</v>
      </c>
      <c r="BU13" s="1550">
        <f>IF(VLOOKUP($E$13,[1]QUART!$A$2:$FA$324, 72, FALSE)="",":",VLOOKUP($E$13,[1]QUART!$A$2:$FA$324, 72, FALSE))</f>
        <v>12882.6</v>
      </c>
      <c r="BV13" s="1550">
        <f>IF(VLOOKUP($E$13,[1]QUART!$A$2:$FA$324, 73, FALSE)="",":",VLOOKUP($E$13,[1]QUART!$A$2:$FA$324, 73, FALSE))</f>
        <v>13036.1</v>
      </c>
      <c r="BW13" s="1550">
        <f>IF(VLOOKUP($E$13,[1]QUART!$A$2:$FA$324, 74, FALSE)="",":",VLOOKUP($E$13,[1]QUART!$A$2:$FA$324, 74, FALSE))</f>
        <v>13208.1</v>
      </c>
      <c r="BX13" s="1550">
        <f>IF(VLOOKUP($E$13,[1]QUART!$A$2:$FA$324, 75, FALSE)="",":",VLOOKUP($E$13,[1]QUART!$A$2:$FA$324, 75, FALSE))</f>
        <v>13108.7</v>
      </c>
      <c r="BY13" s="1550">
        <f>IF(VLOOKUP($E$13,[1]QUART!$A$2:$FA$324, 76, FALSE)="",":",VLOOKUP($E$13,[1]QUART!$A$2:$FA$324, 76, FALSE))</f>
        <v>13733.3</v>
      </c>
      <c r="BZ13" s="1550">
        <f>IF(VLOOKUP($E$13,[1]QUART!$A$2:$FA$324, 77, FALSE)="",":",VLOOKUP($E$13,[1]QUART!$A$2:$FA$324, 77, FALSE))</f>
        <v>13792.1</v>
      </c>
      <c r="CA13" s="1550">
        <f>IF(VLOOKUP($E$13,[1]QUART!$A$2:$FA$324, 78, FALSE)="",":",VLOOKUP($E$13,[1]QUART!$A$2:$FA$324, 78, FALSE))</f>
        <v>14019.2</v>
      </c>
      <c r="CB13" s="1550">
        <f>IF(VLOOKUP($E$13,[1]QUART!$A$2:$FA$324, 79, FALSE)="",":",VLOOKUP($E$13,[1]QUART!$A$2:$FA$324, 79, FALSE))</f>
        <v>14121.5</v>
      </c>
      <c r="CC13" s="1550">
        <f>IF(VLOOKUP($E$13,[1]QUART!$A$2:$FA$324, 80, FALSE)="",":",VLOOKUP($E$13,[1]QUART!$A$2:$FA$324, 80, FALSE))</f>
        <v>14440.5</v>
      </c>
      <c r="CD13" s="1550">
        <f>IF(VLOOKUP($E$13,[1]QUART!$A$2:$FA$324, 81, FALSE)="",":",VLOOKUP($E$13,[1]QUART!$A$2:$FA$324, 81, FALSE))</f>
        <v>14591.900000000001</v>
      </c>
      <c r="CE13" s="1550">
        <f>IF(VLOOKUP($E$13,[1]QUART!$A$2:$FA$324, 82, FALSE)="",":",VLOOKUP($E$13,[1]QUART!$A$2:$FA$324, 82, FALSE))</f>
        <v>14598.8</v>
      </c>
      <c r="CF13" s="1550">
        <f>IF(VLOOKUP($E$13,[1]QUART!$A$2:$FA$324, 83, FALSE)="",":",VLOOKUP($E$13,[1]QUART!$A$2:$FA$324, 83, FALSE))</f>
        <v>14733.4</v>
      </c>
      <c r="CG13" s="1550">
        <f>IF(VLOOKUP($E$13,[1]QUART!$A$2:$FA$324, 84, FALSE)="",":",VLOOKUP($E$13,[1]QUART!$A$2:$FA$324, 84, FALSE))</f>
        <v>14776.6</v>
      </c>
      <c r="CH13" s="1550">
        <f>IF(VLOOKUP($E$13,[1]QUART!$A$2:$FA$324, 85, FALSE)="",":",VLOOKUP($E$13,[1]QUART!$A$2:$FA$324, 85, FALSE))</f>
        <v>14971.2</v>
      </c>
      <c r="CI13" s="1550">
        <f>IF(VLOOKUP($E$13,[1]QUART!$A$2:$FA$324, 86, FALSE)="",":",VLOOKUP($E$13,[1]QUART!$A$2:$FA$324, 86, FALSE))</f>
        <v>15239.1</v>
      </c>
      <c r="CJ13" s="1550">
        <f>IF(VLOOKUP($E$13,[1]QUART!$A$2:$FA$324, 87, FALSE)="",":",VLOOKUP($E$13,[1]QUART!$A$2:$FA$324, 87, FALSE))</f>
        <v>15454.3</v>
      </c>
      <c r="CK13" s="1550">
        <f>IF(VLOOKUP($E$13,[1]QUART!$A$2:$FA$324, 88, FALSE)="",":",VLOOKUP($E$13,[1]QUART!$A$2:$FA$324, 88, FALSE))</f>
        <v>15310.699999999999</v>
      </c>
      <c r="CL13" s="1550">
        <f>IF(VLOOKUP($E$13,[1]QUART!$A$2:$FA$324, 89, FALSE)="",":",VLOOKUP($E$13,[1]QUART!$A$2:$FA$324, 89, FALSE))</f>
        <v>15337.7</v>
      </c>
      <c r="CM13" s="1550">
        <f>IF(VLOOKUP($E$13,[1]QUART!$A$2:$FA$324, 90, FALSE)="",":",VLOOKUP($E$13,[1]QUART!$A$2:$FA$324, 90, FALSE))</f>
        <v>15299.800000000001</v>
      </c>
      <c r="CN13" s="1550">
        <f>IF(VLOOKUP($E$13,[1]QUART!$A$2:$FA$324, 91, FALSE)="",":",VLOOKUP($E$13,[1]QUART!$A$2:$FA$324, 91, FALSE))</f>
        <v>15671.2</v>
      </c>
      <c r="CO13" s="1550">
        <f>IF(VLOOKUP($E$13,[1]QUART!$A$2:$FA$324, 92, FALSE)="",":",VLOOKUP($E$13,[1]QUART!$A$2:$FA$324, 92, FALSE))</f>
        <v>15843.300000000001</v>
      </c>
      <c r="CP13" s="1550">
        <f>IF(VLOOKUP($E$13,[1]QUART!$A$2:$FA$324, 93, FALSE)="",":",VLOOKUP($E$13,[1]QUART!$A$2:$FA$324, 93, FALSE))</f>
        <v>16143.400000000001</v>
      </c>
      <c r="CQ13" s="1550">
        <f>IF(VLOOKUP($E$13,[1]QUART!$A$2:$FA$324, 94, FALSE)="",":",VLOOKUP($E$13,[1]QUART!$A$2:$FA$324, 94, FALSE))</f>
        <v>16573.199999999997</v>
      </c>
      <c r="CR13" s="1550">
        <f>IF(VLOOKUP($E$13,[1]QUART!$A$2:$FA$324, 95, FALSE)="",":",VLOOKUP($E$13,[1]QUART!$A$2:$FA$324, 95, FALSE))</f>
        <v>16786</v>
      </c>
      <c r="CS13" s="1550">
        <f>IF(VLOOKUP($E$13,[1]QUART!$A$2:$FA$324, 96, FALSE)="",":",VLOOKUP($E$13,[1]QUART!$A$2:$FA$324, 96, FALSE))</f>
        <v>17186.400000000001</v>
      </c>
      <c r="CT13" s="1550">
        <f>IF(VLOOKUP($E$13,[1]QUART!$A$2:$FA$324, 97, FALSE)="",":",VLOOKUP($E$13,[1]QUART!$A$2:$FA$324, 97, FALSE))</f>
        <v>17441.900000000001</v>
      </c>
      <c r="CU13" s="1550" t="str">
        <f>IF(VLOOKUP($E$13,[1]QUART!$A$2:$FA$324, 98, FALSE)="",":",VLOOKUP($E$13,[1]QUART!$A$2:$FA$324, 98, FALSE))</f>
        <v>:</v>
      </c>
      <c r="CV13" s="1550" t="str">
        <f>IF(VLOOKUP($E$13,[1]QUART!$A$2:$FA$324, 99, FALSE)="",":",VLOOKUP($E$13,[1]QUART!$A$2:$FA$324, 99, FALSE))</f>
        <v>:</v>
      </c>
      <c r="CW13" s="1550" t="str">
        <f>IF(VLOOKUP($E$13,[1]QUART!$A$2:$FA$324, 100, FALSE)="",":",VLOOKUP($E$13,[1]QUART!$A$2:$FA$324, 100, FALSE))</f>
        <v>:</v>
      </c>
      <c r="CX13" s="1550" t="str">
        <f>IF(VLOOKUP($E$13,[1]QUART!$A$2:$FA$324, 101, FALSE)="",":",VLOOKUP($E$13,[1]QUART!$A$2:$FA$324, 101, FALSE))</f>
        <v>:</v>
      </c>
      <c r="CY13" s="1550" t="str">
        <f>IF(VLOOKUP($E$13,[1]QUART!$A$2:$FA$324, 102, FALSE)="",":",VLOOKUP($E$13,[1]QUART!$A$2:$FA$324, 102, FALSE))</f>
        <v>:</v>
      </c>
      <c r="CZ13" s="1550" t="str">
        <f>IF(VLOOKUP($E$13,[1]QUART!$A$2:$FA$324, 103, FALSE)="",":",VLOOKUP($E$13,[1]QUART!$A$2:$FA$324, 103, FALSE))</f>
        <v>:</v>
      </c>
      <c r="DA13" s="1550" t="str">
        <f>IF(VLOOKUP($E$13,[1]QUART!$A$2:$FA$324, 104, FALSE)="",":",VLOOKUP($E$13,[1]QUART!$A$2:$FA$324, 104, FALSE))</f>
        <v>:</v>
      </c>
      <c r="DB13" s="1550" t="str">
        <f>IF(VLOOKUP($E$13,[1]QUART!$A$2:$FA$324, 105, FALSE)="",":",VLOOKUP($E$13,[1]QUART!$A$2:$FA$324, 105, FALSE))</f>
        <v>:</v>
      </c>
      <c r="DC13" s="1550" t="str">
        <f>IF(VLOOKUP($E$13,[1]QUART!$A$2:$FA$324, 106, FALSE)="",":",VLOOKUP($E$13,[1]QUART!$A$2:$FA$324, 106, FALSE))</f>
        <v>:</v>
      </c>
    </row>
    <row r="14" spans="1:110">
      <c r="A14" s="1551"/>
      <c r="B14" s="1551"/>
      <c r="C14" s="1552"/>
      <c r="D14" s="1547"/>
      <c r="E14" s="1548"/>
      <c r="F14" s="1549"/>
      <c r="G14" s="1550"/>
      <c r="H14" s="1550"/>
      <c r="I14" s="1550"/>
      <c r="J14" s="1550"/>
      <c r="K14" s="1550"/>
      <c r="L14" s="1550"/>
      <c r="M14" s="1550"/>
      <c r="N14" s="1550"/>
      <c r="O14" s="1550"/>
      <c r="P14" s="1550"/>
      <c r="Q14" s="1550"/>
      <c r="R14" s="1550"/>
      <c r="S14" s="1550"/>
      <c r="T14" s="1550"/>
      <c r="U14" s="1550"/>
      <c r="V14" s="1550"/>
      <c r="W14" s="1550"/>
      <c r="X14" s="1550"/>
      <c r="Y14" s="1550"/>
      <c r="Z14" s="1550"/>
      <c r="AA14" s="1550"/>
      <c r="AB14" s="1550"/>
      <c r="AC14" s="1550"/>
      <c r="AD14" s="1550"/>
      <c r="AE14" s="1550"/>
      <c r="AF14" s="1550"/>
      <c r="AG14" s="1550"/>
      <c r="AH14" s="1550"/>
      <c r="AI14" s="1550"/>
      <c r="AJ14" s="1550"/>
      <c r="AK14" s="1550"/>
      <c r="AL14" s="1550"/>
      <c r="AM14" s="1550"/>
      <c r="AN14" s="1550"/>
      <c r="AO14" s="1550"/>
      <c r="AP14" s="1550"/>
      <c r="AQ14" s="1550"/>
      <c r="AR14" s="1550"/>
      <c r="AS14" s="1550"/>
      <c r="AT14" s="1550"/>
      <c r="AU14" s="1550"/>
      <c r="AV14" s="1550"/>
      <c r="AW14" s="1550"/>
      <c r="AX14" s="1550"/>
      <c r="AY14" s="1550"/>
      <c r="AZ14" s="1550"/>
      <c r="BA14" s="1550"/>
      <c r="BB14" s="1550"/>
      <c r="BC14" s="1550"/>
      <c r="BD14" s="1550"/>
      <c r="BE14" s="1550"/>
      <c r="BF14" s="1550"/>
      <c r="BG14" s="1550"/>
      <c r="BH14" s="1550"/>
      <c r="BI14" s="1550"/>
      <c r="BJ14" s="1550"/>
      <c r="BK14" s="1550"/>
      <c r="BL14" s="1550"/>
      <c r="BM14" s="1550"/>
      <c r="BN14" s="1550"/>
      <c r="BO14" s="1550"/>
      <c r="BP14" s="1550"/>
      <c r="BQ14" s="1550"/>
      <c r="BR14" s="1550"/>
      <c r="BS14" s="1550"/>
      <c r="BT14" s="1550"/>
      <c r="BU14" s="1550"/>
      <c r="BV14" s="1550"/>
      <c r="BW14" s="1550"/>
      <c r="BX14" s="1550"/>
      <c r="BY14" s="1550"/>
      <c r="BZ14" s="1550"/>
      <c r="CA14" s="1550"/>
      <c r="CB14" s="1550"/>
      <c r="CC14" s="1550"/>
      <c r="CD14" s="1550"/>
      <c r="CE14" s="1550"/>
      <c r="CF14" s="1550"/>
      <c r="CG14" s="1550"/>
      <c r="CH14" s="1550"/>
      <c r="CI14" s="1550"/>
      <c r="CJ14" s="1550"/>
      <c r="CK14" s="1550"/>
      <c r="CL14" s="1550"/>
      <c r="CM14" s="1550"/>
      <c r="CN14" s="1550"/>
      <c r="CO14" s="1550"/>
      <c r="CP14" s="1550"/>
      <c r="CQ14" s="1550"/>
      <c r="CR14" s="1550"/>
      <c r="CS14" s="1550"/>
      <c r="CT14" s="1550"/>
      <c r="CU14" s="1550"/>
      <c r="CV14" s="1550"/>
      <c r="CW14" s="1550"/>
      <c r="CX14" s="1550"/>
      <c r="CY14" s="1550"/>
      <c r="CZ14" s="1550"/>
      <c r="DA14" s="1550"/>
      <c r="DB14" s="1550"/>
      <c r="DC14" s="1550"/>
    </row>
    <row r="15" spans="1:110">
      <c r="A15" s="1546">
        <v>24</v>
      </c>
      <c r="B15" s="534" t="s">
        <v>787</v>
      </c>
      <c r="C15" s="535" t="s">
        <v>312</v>
      </c>
      <c r="D15" s="1547" t="s">
        <v>1841</v>
      </c>
      <c r="E15" s="1548">
        <v>64</v>
      </c>
      <c r="F15" s="1549" t="str">
        <f>VLOOKUP($E$15,[1]QUART!$A$2:$FA$324, 3, FALSE)</f>
        <v xml:space="preserve">64  Gross domestic product at market prices                                         </v>
      </c>
      <c r="G15" s="1550">
        <f>IF(VLOOKUP($E$15,[1]QUART!$A$2:$FA$324, 6, FALSE)="",":",VLOOKUP($E$15,[1]QUART!$A$2:$FA$324, 6, FALSE))</f>
        <v>2811.486329935125</v>
      </c>
      <c r="H15" s="1550">
        <f>IF(VLOOKUP($E$15,[1]QUART!$A$2:$FA$324, 7, FALSE)="",":",VLOOKUP($E$15,[1]QUART!$A$2:$FA$324, 7, FALSE))</f>
        <v>2868.483549582947</v>
      </c>
      <c r="I15" s="1550">
        <f>IF(VLOOKUP($E$15,[1]QUART!$A$2:$FA$324, 8, FALSE)="",":",VLOOKUP($E$15,[1]QUART!$A$2:$FA$324, 8, FALSE))</f>
        <v>2869.2075996292861</v>
      </c>
      <c r="J15" s="1550">
        <f>IF(VLOOKUP($E$15,[1]QUART!$A$2:$FA$324, 9, FALSE)="",":",VLOOKUP($E$15,[1]QUART!$A$2:$FA$324, 9, FALSE))</f>
        <v>2937.934430027804</v>
      </c>
      <c r="K15" s="1550">
        <f>IF(VLOOKUP($E$15,[1]QUART!$A$2:$FA$324, 10, FALSE)="",":",VLOOKUP($E$15,[1]QUART!$A$2:$FA$324, 10, FALSE))</f>
        <v>2968.2866079703431</v>
      </c>
      <c r="L15" s="1550">
        <f>IF(VLOOKUP($E$15,[1]QUART!$A$2:$FA$324, 11, FALSE)="",":",VLOOKUP($E$15,[1]QUART!$A$2:$FA$324, 11, FALSE))</f>
        <v>2956.3832252085263</v>
      </c>
      <c r="M15" s="1550">
        <f>IF(VLOOKUP($E$15,[1]QUART!$A$2:$FA$324, 12, FALSE)="",":",VLOOKUP($E$15,[1]QUART!$A$2:$FA$324, 12, FALSE))</f>
        <v>3058.8797497683045</v>
      </c>
      <c r="N15" s="1550">
        <f>IF(VLOOKUP($E$15,[1]QUART!$A$2:$FA$324, 13, FALSE)="",":",VLOOKUP($E$15,[1]QUART!$A$2:$FA$324, 13, FALSE))</f>
        <v>3080.0509731232623</v>
      </c>
      <c r="O15" s="1550">
        <f>IF(VLOOKUP($E$15,[1]QUART!$A$2:$FA$324, 14, FALSE)="",":",VLOOKUP($E$15,[1]QUART!$A$2:$FA$324, 14, FALSE))</f>
        <v>3124.7103799814645</v>
      </c>
      <c r="P15" s="1550">
        <f>IF(VLOOKUP($E$15,[1]QUART!$A$2:$FA$324, 15, FALSE)="",":",VLOOKUP($E$15,[1]QUART!$A$2:$FA$324, 15, FALSE))</f>
        <v>3224.6292863762746</v>
      </c>
      <c r="Q15" s="1550">
        <f>IF(VLOOKUP($E$15,[1]QUART!$A$2:$FA$324, 16, FALSE)="",":",VLOOKUP($E$15,[1]QUART!$A$2:$FA$324, 16, FALSE))</f>
        <v>3320.1749304911955</v>
      </c>
      <c r="R15" s="1550">
        <f>IF(VLOOKUP($E$15,[1]QUART!$A$2:$FA$324, 17, FALSE)="",":",VLOOKUP($E$15,[1]QUART!$A$2:$FA$324, 17, FALSE))</f>
        <v>3383.7754865616312</v>
      </c>
      <c r="S15" s="1550">
        <f>IF(VLOOKUP($E$15,[1]QUART!$A$2:$FA$324, 18, FALSE)="",":",VLOOKUP($E$15,[1]QUART!$A$2:$FA$324, 18, FALSE))</f>
        <v>3453.863531047266</v>
      </c>
      <c r="T15" s="1550">
        <f>IF(VLOOKUP($E$15,[1]QUART!$A$2:$FA$324, 19, FALSE)="",":",VLOOKUP($E$15,[1]QUART!$A$2:$FA$324, 19, FALSE))</f>
        <v>3513.9307228915663</v>
      </c>
      <c r="U15" s="1550">
        <f>IF(VLOOKUP($E$15,[1]QUART!$A$2:$FA$324, 20, FALSE)="",":",VLOOKUP($E$15,[1]QUART!$A$2:$FA$324, 20, FALSE))</f>
        <v>3546.3102409638559</v>
      </c>
      <c r="V15" s="1550">
        <f>IF(VLOOKUP($E$15,[1]QUART!$A$2:$FA$324, 21, FALSE)="",":",VLOOKUP($E$15,[1]QUART!$A$2:$FA$324, 21, FALSE))</f>
        <v>3546.4550509731234</v>
      </c>
      <c r="W15" s="1550">
        <f>IF(VLOOKUP($E$15,[1]QUART!$A$2:$FA$324, 22, FALSE)="",":",VLOOKUP($E$15,[1]QUART!$A$2:$FA$324, 22, FALSE))</f>
        <v>3493.1360055607047</v>
      </c>
      <c r="X15" s="1550">
        <f>IF(VLOOKUP($E$15,[1]QUART!$A$2:$FA$324, 23, FALSE)="",":",VLOOKUP($E$15,[1]QUART!$A$2:$FA$324, 23, FALSE))</f>
        <v>3506.0240963855422</v>
      </c>
      <c r="Y15" s="1550">
        <f>IF(VLOOKUP($E$15,[1]QUART!$A$2:$FA$324, 24, FALSE)="",":",VLOOKUP($E$15,[1]QUART!$A$2:$FA$324, 24, FALSE))</f>
        <v>3450.7356348470807</v>
      </c>
      <c r="Z15" s="1550">
        <f>IF(VLOOKUP($E$15,[1]QUART!$A$2:$FA$324, 25, FALSE)="",":",VLOOKUP($E$15,[1]QUART!$A$2:$FA$324, 25, FALSE))</f>
        <v>3455.8039851714552</v>
      </c>
      <c r="AA15" s="1550">
        <f>IF(VLOOKUP($E$15,[1]QUART!$A$2:$FA$324, 26, FALSE)="",":",VLOOKUP($E$15,[1]QUART!$A$2:$FA$324, 26, FALSE))</f>
        <v>3530.7576459684897</v>
      </c>
      <c r="AB15" s="1550">
        <f>IF(VLOOKUP($E$15,[1]QUART!$A$2:$FA$324, 27, FALSE)="",":",VLOOKUP($E$15,[1]QUART!$A$2:$FA$324, 27, FALSE))</f>
        <v>3573.3028266913811</v>
      </c>
      <c r="AC15" s="1550">
        <f>IF(VLOOKUP($E$15,[1]QUART!$A$2:$FA$324, 28, FALSE)="",":",VLOOKUP($E$15,[1]QUART!$A$2:$FA$324, 28, FALSE))</f>
        <v>3620.655699721965</v>
      </c>
      <c r="AD15" s="1550">
        <f>IF(VLOOKUP($E$15,[1]QUART!$A$2:$FA$324, 29, FALSE)="",":",VLOOKUP($E$15,[1]QUART!$A$2:$FA$324, 29, FALSE))</f>
        <v>3680.3174235403153</v>
      </c>
      <c r="AE15" s="1550">
        <f>IF(VLOOKUP($E$15,[1]QUART!$A$2:$FA$324, 30, FALSE)="",":",VLOOKUP($E$15,[1]QUART!$A$2:$FA$324, 30, FALSE))</f>
        <v>3784.6095922150139</v>
      </c>
      <c r="AF15" s="1550">
        <f>IF(VLOOKUP($E$15,[1]QUART!$A$2:$FA$324, 31, FALSE)="",":",VLOOKUP($E$15,[1]QUART!$A$2:$FA$324, 31, FALSE))</f>
        <v>3782.4953660797037</v>
      </c>
      <c r="AG15" s="1550">
        <f>IF(VLOOKUP($E$15,[1]QUART!$A$2:$FA$324, 32, FALSE)="",":",VLOOKUP($E$15,[1]QUART!$A$2:$FA$324, 32, FALSE))</f>
        <v>3866.9775254865617</v>
      </c>
      <c r="AH15" s="1550">
        <f>IF(VLOOKUP($E$15,[1]QUART!$A$2:$FA$324, 33, FALSE)="",":",VLOOKUP($E$15,[1]QUART!$A$2:$FA$324, 33, FALSE))</f>
        <v>3959.482159406858</v>
      </c>
      <c r="AI15" s="1550">
        <f>IF(VLOOKUP($E$15,[1]QUART!$A$2:$FA$324, 34, FALSE)="",":",VLOOKUP($E$15,[1]QUART!$A$2:$FA$324, 34, FALSE))</f>
        <v>3974.1658943466173</v>
      </c>
      <c r="AJ15" s="1550">
        <f>IF(VLOOKUP($E$15,[1]QUART!$A$2:$FA$324, 35, FALSE)="",":",VLOOKUP($E$15,[1]QUART!$A$2:$FA$324, 35, FALSE))</f>
        <v>4092.1281278962001</v>
      </c>
      <c r="AK15" s="1550">
        <f>IF(VLOOKUP($E$15,[1]QUART!$A$2:$FA$324, 36, FALSE)="",":",VLOOKUP($E$15,[1]QUART!$A$2:$FA$324, 36, FALSE))</f>
        <v>4157.0030120481924</v>
      </c>
      <c r="AL15" s="1550">
        <f>IF(VLOOKUP($E$15,[1]QUART!$A$2:$FA$324, 37, FALSE)="",":",VLOOKUP($E$15,[1]QUART!$A$2:$FA$324, 37, FALSE))</f>
        <v>4218.9527340129753</v>
      </c>
      <c r="AM15" s="1550">
        <f>IF(VLOOKUP($E$15,[1]QUART!$A$2:$FA$324, 38, FALSE)="",":",VLOOKUP($E$15,[1]QUART!$A$2:$FA$324, 38, FALSE))</f>
        <v>4397.7930954587582</v>
      </c>
      <c r="AN15" s="1550">
        <f>IF(VLOOKUP($E$15,[1]QUART!$A$2:$FA$324, 39, FALSE)="",":",VLOOKUP($E$15,[1]QUART!$A$2:$FA$324, 39, FALSE))</f>
        <v>4465.564179796108</v>
      </c>
      <c r="AO15" s="1550">
        <f>IF(VLOOKUP($E$15,[1]QUART!$A$2:$FA$324, 40, FALSE)="",":",VLOOKUP($E$15,[1]QUART!$A$2:$FA$324, 40, FALSE))</f>
        <v>4586.7701575532901</v>
      </c>
      <c r="AP15" s="1550">
        <f>IF(VLOOKUP($E$15,[1]QUART!$A$2:$FA$324, 41, FALSE)="",":",VLOOKUP($E$15,[1]QUART!$A$2:$FA$324, 41, FALSE))</f>
        <v>4664.4462465245597</v>
      </c>
      <c r="AQ15" s="1550">
        <f>IF(VLOOKUP($E$15,[1]QUART!$A$2:$FA$324, 42, FALSE)="",":",VLOOKUP($E$15,[1]QUART!$A$2:$FA$324, 42, FALSE))</f>
        <v>4735.8665430954588</v>
      </c>
      <c r="AR15" s="1550">
        <f>IF(VLOOKUP($E$15,[1]QUART!$A$2:$FA$324, 43, FALSE)="",":",VLOOKUP($E$15,[1]QUART!$A$2:$FA$324, 43, FALSE))</f>
        <v>4819.6536144578313</v>
      </c>
      <c r="AS15" s="1550">
        <f>IF(VLOOKUP($E$15,[1]QUART!$A$2:$FA$324, 44, FALSE)="",":",VLOOKUP($E$15,[1]QUART!$A$2:$FA$324, 44, FALSE))</f>
        <v>4860.6927710843374</v>
      </c>
      <c r="AT15" s="1550">
        <f>IF(VLOOKUP($E$15,[1]QUART!$A$2:$FA$324, 45, FALSE)="",":",VLOOKUP($E$15,[1]QUART!$A$2:$FA$324, 45, FALSE))</f>
        <v>4984.679101019462</v>
      </c>
      <c r="AU15" s="1550">
        <f>IF(VLOOKUP($E$15,[1]QUART!$A$2:$FA$324, 46, FALSE)="",":",VLOOKUP($E$15,[1]QUART!$A$2:$FA$324, 46, FALSE))</f>
        <v>6412.4</v>
      </c>
      <c r="AV15" s="1550">
        <f>IF(VLOOKUP($E$15,[1]QUART!$A$2:$FA$324, 47, FALSE)="",":",VLOOKUP($E$15,[1]QUART!$A$2:$FA$324, 47, FALSE))</f>
        <v>6503.3</v>
      </c>
      <c r="AW15" s="1550">
        <f>IF(VLOOKUP($E$15,[1]QUART!$A$2:$FA$324, 48, FALSE)="",":",VLOOKUP($E$15,[1]QUART!$A$2:$FA$324, 48, FALSE))</f>
        <v>6690.6</v>
      </c>
      <c r="AX15" s="1550">
        <f>IF(VLOOKUP($E$15,[1]QUART!$A$2:$FA$324, 49, FALSE)="",":",VLOOKUP($E$15,[1]QUART!$A$2:$FA$324, 49, FALSE))</f>
        <v>6844.4</v>
      </c>
      <c r="AY15" s="1550">
        <f>IF(VLOOKUP($E$15,[1]QUART!$A$2:$FA$324, 50, FALSE)="",":",VLOOKUP($E$15,[1]QUART!$A$2:$FA$324, 50, FALSE))</f>
        <v>6867</v>
      </c>
      <c r="AZ15" s="1550">
        <f>IF(VLOOKUP($E$15,[1]QUART!$A$2:$FA$324, 51, FALSE)="",":",VLOOKUP($E$15,[1]QUART!$A$2:$FA$324, 51, FALSE))</f>
        <v>7031.6</v>
      </c>
      <c r="BA15" s="1550">
        <f>IF(VLOOKUP($E$15,[1]QUART!$A$2:$FA$324, 52, FALSE)="",":",VLOOKUP($E$15,[1]QUART!$A$2:$FA$324, 52, FALSE))</f>
        <v>7153.9</v>
      </c>
      <c r="BB15" s="1550">
        <f>IF(VLOOKUP($E$15,[1]QUART!$A$2:$FA$324, 53, FALSE)="",":",VLOOKUP($E$15,[1]QUART!$A$2:$FA$324, 53, FALSE))</f>
        <v>7366.6</v>
      </c>
      <c r="BC15" s="1550">
        <f>IF(VLOOKUP($E$15,[1]QUART!$A$2:$FA$324, 54, FALSE)="",":",VLOOKUP($E$15,[1]QUART!$A$2:$FA$324, 54, FALSE))</f>
        <v>7588.7</v>
      </c>
      <c r="BD15" s="1550">
        <f>IF(VLOOKUP($E$15,[1]QUART!$A$2:$FA$324, 55, FALSE)="",":",VLOOKUP($E$15,[1]QUART!$A$2:$FA$324, 55, FALSE))</f>
        <v>7805.1</v>
      </c>
      <c r="BE15" s="1550">
        <f>IF(VLOOKUP($E$15,[1]QUART!$A$2:$FA$324, 56, FALSE)="",":",VLOOKUP($E$15,[1]QUART!$A$2:$FA$324, 56, FALSE))</f>
        <v>8013.9</v>
      </c>
      <c r="BF15" s="1550">
        <f>IF(VLOOKUP($E$15,[1]QUART!$A$2:$FA$324, 57, FALSE)="",":",VLOOKUP($E$15,[1]QUART!$A$2:$FA$324, 57, FALSE))</f>
        <v>8158.3</v>
      </c>
      <c r="BG15" s="1550">
        <f>IF(VLOOKUP($E$15,[1]QUART!$A$2:$FA$324, 58, FALSE)="",":",VLOOKUP($E$15,[1]QUART!$A$2:$FA$324, 58, FALSE))</f>
        <v>8117.8</v>
      </c>
      <c r="BH15" s="1550">
        <f>IF(VLOOKUP($E$15,[1]QUART!$A$2:$FA$324, 59, FALSE)="",":",VLOOKUP($E$15,[1]QUART!$A$2:$FA$324, 59, FALSE))</f>
        <v>8187.7</v>
      </c>
      <c r="BI15" s="1550">
        <f>IF(VLOOKUP($E$15,[1]QUART!$A$2:$FA$324, 60, FALSE)="",":",VLOOKUP($E$15,[1]QUART!$A$2:$FA$324, 60, FALSE))</f>
        <v>8098.8</v>
      </c>
      <c r="BJ15" s="1550">
        <f>IF(VLOOKUP($E$15,[1]QUART!$A$2:$FA$324, 61, FALSE)="",":",VLOOKUP($E$15,[1]QUART!$A$2:$FA$324, 61, FALSE))</f>
        <v>8002.5</v>
      </c>
      <c r="BK15" s="1550">
        <f>IF(VLOOKUP($E$15,[1]QUART!$A$2:$FA$324, 62, FALSE)="",":",VLOOKUP($E$15,[1]QUART!$A$2:$FA$324, 62, FALSE))</f>
        <v>6953.5</v>
      </c>
      <c r="BL15" s="1550">
        <f>IF(VLOOKUP($E$15,[1]QUART!$A$2:$FA$324, 63, FALSE)="",":",VLOOKUP($E$15,[1]QUART!$A$2:$FA$324, 63, FALSE))</f>
        <v>6879.9</v>
      </c>
      <c r="BM15" s="1550">
        <f>IF(VLOOKUP($E$15,[1]QUART!$A$2:$FA$324, 64, FALSE)="",":",VLOOKUP($E$15,[1]QUART!$A$2:$FA$324, 64, FALSE))</f>
        <v>6920.4</v>
      </c>
      <c r="BN15" s="1550">
        <f>IF(VLOOKUP($E$15,[1]QUART!$A$2:$FA$324, 65, FALSE)="",":",VLOOKUP($E$15,[1]QUART!$A$2:$FA$324, 65, FALSE))</f>
        <v>6813.5</v>
      </c>
      <c r="BO15" s="1550">
        <f>IF(VLOOKUP($E$15,[1]QUART!$A$2:$FA$324, 66, FALSE)="",":",VLOOKUP($E$15,[1]QUART!$A$2:$FA$324, 66, FALSE))</f>
        <v>6880.5</v>
      </c>
      <c r="BP15" s="1550">
        <f>IF(VLOOKUP($E$15,[1]QUART!$A$2:$FA$324, 67, FALSE)="",":",VLOOKUP($E$15,[1]QUART!$A$2:$FA$324, 67, FALSE))</f>
        <v>6995.6</v>
      </c>
      <c r="BQ15" s="1550">
        <f>IF(VLOOKUP($E$15,[1]QUART!$A$2:$FA$324, 68, FALSE)="",":",VLOOKUP($E$15,[1]QUART!$A$2:$FA$324, 68, FALSE))</f>
        <v>6990.8</v>
      </c>
      <c r="BR15" s="1550">
        <f>IF(VLOOKUP($E$15,[1]QUART!$A$2:$FA$324, 69, FALSE)="",":",VLOOKUP($E$15,[1]QUART!$A$2:$FA$324, 69, FALSE))</f>
        <v>7164.5</v>
      </c>
      <c r="BS15" s="1550">
        <f>IF(VLOOKUP($E$15,[1]QUART!$A$2:$FA$324, 70, FALSE)="",":",VLOOKUP($E$15,[1]QUART!$A$2:$FA$324, 70, FALSE))</f>
        <v>7300.9</v>
      </c>
      <c r="BT15" s="1550">
        <f>IF(VLOOKUP($E$15,[1]QUART!$A$2:$FA$324, 71, FALSE)="",":",VLOOKUP($E$15,[1]QUART!$A$2:$FA$324, 71, FALSE))</f>
        <v>7417.1</v>
      </c>
      <c r="BU15" s="1550">
        <f>IF(VLOOKUP($E$15,[1]QUART!$A$2:$FA$324, 72, FALSE)="",":",VLOOKUP($E$15,[1]QUART!$A$2:$FA$324, 72, FALSE))</f>
        <v>7455.4</v>
      </c>
      <c r="BV15" s="1550">
        <f>IF(VLOOKUP($E$15,[1]QUART!$A$2:$FA$324, 73, FALSE)="",":",VLOOKUP($E$15,[1]QUART!$A$2:$FA$324, 73, FALSE))</f>
        <v>7547.2</v>
      </c>
      <c r="BW15" s="1550">
        <f>IF(VLOOKUP($E$15,[1]QUART!$A$2:$FA$324, 74, FALSE)="",":",VLOOKUP($E$15,[1]QUART!$A$2:$FA$324, 74, FALSE))</f>
        <v>7600.2</v>
      </c>
      <c r="BX15" s="1550">
        <f>IF(VLOOKUP($E$15,[1]QUART!$A$2:$FA$324, 75, FALSE)="",":",VLOOKUP($E$15,[1]QUART!$A$2:$FA$324, 75, FALSE))</f>
        <v>7611.1</v>
      </c>
      <c r="BY15" s="1550">
        <f>IF(VLOOKUP($E$15,[1]QUART!$A$2:$FA$324, 76, FALSE)="",":",VLOOKUP($E$15,[1]QUART!$A$2:$FA$324, 76, FALSE))</f>
        <v>7801.8</v>
      </c>
      <c r="BZ15" s="1550">
        <f>IF(VLOOKUP($E$15,[1]QUART!$A$2:$FA$324, 77, FALSE)="",":",VLOOKUP($E$15,[1]QUART!$A$2:$FA$324, 77, FALSE))</f>
        <v>7842.9</v>
      </c>
      <c r="CA15" s="1550">
        <f>IF(VLOOKUP($E$15,[1]QUART!$A$2:$FA$324, 78, FALSE)="",":",VLOOKUP($E$15,[1]QUART!$A$2:$FA$324, 78, FALSE))</f>
        <v>7859.4</v>
      </c>
      <c r="CB15" s="1550">
        <f>IF(VLOOKUP($E$15,[1]QUART!$A$2:$FA$324, 79, FALSE)="",":",VLOOKUP($E$15,[1]QUART!$A$2:$FA$324, 79, FALSE))</f>
        <v>7930.9</v>
      </c>
      <c r="CC15" s="1550">
        <f>IF(VLOOKUP($E$15,[1]QUART!$A$2:$FA$324, 80, FALSE)="",":",VLOOKUP($E$15,[1]QUART!$A$2:$FA$324, 80, FALSE))</f>
        <v>8038</v>
      </c>
      <c r="CD15" s="1550">
        <f>IF(VLOOKUP($E$15,[1]QUART!$A$2:$FA$324, 81, FALSE)="",":",VLOOKUP($E$15,[1]QUART!$A$2:$FA$324, 81, FALSE))</f>
        <v>8109.7</v>
      </c>
      <c r="CE15" s="1550">
        <f>IF(VLOOKUP($E$15,[1]QUART!$A$2:$FA$324, 82, FALSE)="",":",VLOOKUP($E$15,[1]QUART!$A$2:$FA$324, 82, FALSE))</f>
        <v>8209.7000000000007</v>
      </c>
      <c r="CF15" s="1550">
        <f>IF(VLOOKUP($E$15,[1]QUART!$A$2:$FA$324, 83, FALSE)="",":",VLOOKUP($E$15,[1]QUART!$A$2:$FA$324, 83, FALSE))</f>
        <v>8264.4</v>
      </c>
      <c r="CG15" s="1550">
        <f>IF(VLOOKUP($E$15,[1]QUART!$A$2:$FA$324, 84, FALSE)="",":",VLOOKUP($E$15,[1]QUART!$A$2:$FA$324, 84, FALSE))</f>
        <v>8288.4</v>
      </c>
      <c r="CH15" s="1550">
        <f>IF(VLOOKUP($E$15,[1]QUART!$A$2:$FA$324, 85, FALSE)="",":",VLOOKUP($E$15,[1]QUART!$A$2:$FA$324, 85, FALSE))</f>
        <v>8307.9</v>
      </c>
      <c r="CI15" s="1550">
        <f>IF(VLOOKUP($E$15,[1]QUART!$A$2:$FA$324, 86, FALSE)="",":",VLOOKUP($E$15,[1]QUART!$A$2:$FA$324, 86, FALSE))</f>
        <v>8347.2999999999993</v>
      </c>
      <c r="CJ15" s="1550">
        <f>IF(VLOOKUP($E$15,[1]QUART!$A$2:$FA$324, 87, FALSE)="",":",VLOOKUP($E$15,[1]QUART!$A$2:$FA$324, 87, FALSE))</f>
        <v>8418.9</v>
      </c>
      <c r="CK15" s="1550">
        <f>IF(VLOOKUP($E$15,[1]QUART!$A$2:$FA$324, 88, FALSE)="",":",VLOOKUP($E$15,[1]QUART!$A$2:$FA$324, 88, FALSE))</f>
        <v>8481.4</v>
      </c>
      <c r="CL15" s="1550">
        <f>IF(VLOOKUP($E$15,[1]QUART!$A$2:$FA$324, 89, FALSE)="",":",VLOOKUP($E$15,[1]QUART!$A$2:$FA$324, 89, FALSE))</f>
        <v>8493.2999999999993</v>
      </c>
      <c r="CM15" s="1550">
        <f>IF(VLOOKUP($E$15,[1]QUART!$A$2:$FA$324, 90, FALSE)="",":",VLOOKUP($E$15,[1]QUART!$A$2:$FA$324, 90, FALSE))</f>
        <v>8522.1</v>
      </c>
      <c r="CN15" s="1550">
        <f>IF(VLOOKUP($E$15,[1]QUART!$A$2:$FA$324, 91, FALSE)="",":",VLOOKUP($E$15,[1]QUART!$A$2:$FA$324, 91, FALSE))</f>
        <v>8576.2000000000007</v>
      </c>
      <c r="CO15" s="1550">
        <f>IF(VLOOKUP($E$15,[1]QUART!$A$2:$FA$324, 92, FALSE)="",":",VLOOKUP($E$15,[1]QUART!$A$2:$FA$324, 92, FALSE))</f>
        <v>8664.7999999999993</v>
      </c>
      <c r="CP15" s="1550">
        <f>IF(VLOOKUP($E$15,[1]QUART!$A$2:$FA$324, 93, FALSE)="",":",VLOOKUP($E$15,[1]QUART!$A$2:$FA$324, 93, FALSE))</f>
        <v>8766.2999999999993</v>
      </c>
      <c r="CQ15" s="1550">
        <f>IF(VLOOKUP($E$15,[1]QUART!$A$2:$FA$324, 94, FALSE)="",":",VLOOKUP($E$15,[1]QUART!$A$2:$FA$324, 94, FALSE))</f>
        <v>8861.5</v>
      </c>
      <c r="CR15" s="1550">
        <f>IF(VLOOKUP($E$15,[1]QUART!$A$2:$FA$324, 95, FALSE)="",":",VLOOKUP($E$15,[1]QUART!$A$2:$FA$324, 95, FALSE))</f>
        <v>8925.1</v>
      </c>
      <c r="CS15" s="1550">
        <f>IF(VLOOKUP($E$15,[1]QUART!$A$2:$FA$324, 96, FALSE)="",":",VLOOKUP($E$15,[1]QUART!$A$2:$FA$324, 96, FALSE))</f>
        <v>8974</v>
      </c>
      <c r="CT15" s="1550">
        <f>IF(VLOOKUP($E$15,[1]QUART!$A$2:$FA$324, 97, FALSE)="",":",VLOOKUP($E$15,[1]QUART!$A$2:$FA$324, 97, FALSE))</f>
        <v>9095.2000000000007</v>
      </c>
      <c r="CU15" s="1550" t="str">
        <f>IF(VLOOKUP($E$15,[1]QUART!$A$2:$FA$324, 98, FALSE)="",":",VLOOKUP($E$15,[1]QUART!$A$2:$FA$324, 98, FALSE))</f>
        <v>:</v>
      </c>
      <c r="CV15" s="1550" t="str">
        <f>IF(VLOOKUP($E$15,[1]QUART!$A$2:$FA$324, 99, FALSE)="",":",VLOOKUP($E$15,[1]QUART!$A$2:$FA$324, 99, FALSE))</f>
        <v>:</v>
      </c>
      <c r="CW15" s="1550" t="str">
        <f>IF(VLOOKUP($E$15,[1]QUART!$A$2:$FA$324, 100, FALSE)="",":",VLOOKUP($E$15,[1]QUART!$A$2:$FA$324, 100, FALSE))</f>
        <v>:</v>
      </c>
      <c r="CX15" s="1550" t="str">
        <f>IF(VLOOKUP($E$15,[1]QUART!$A$2:$FA$324, 101, FALSE)="",":",VLOOKUP($E$15,[1]QUART!$A$2:$FA$324, 101, FALSE))</f>
        <v>:</v>
      </c>
      <c r="CY15" s="1550" t="str">
        <f>IF(VLOOKUP($E$15,[1]QUART!$A$2:$FA$324, 102, FALSE)="",":",VLOOKUP($E$15,[1]QUART!$A$2:$FA$324, 102, FALSE))</f>
        <v>:</v>
      </c>
      <c r="CZ15" s="1550" t="str">
        <f>IF(VLOOKUP($E$15,[1]QUART!$A$2:$FA$324, 103, FALSE)="",":",VLOOKUP($E$15,[1]QUART!$A$2:$FA$324, 103, FALSE))</f>
        <v>:</v>
      </c>
      <c r="DA15" s="1550" t="str">
        <f>IF(VLOOKUP($E$15,[1]QUART!$A$2:$FA$324, 104, FALSE)="",":",VLOOKUP($E$15,[1]QUART!$A$2:$FA$324, 104, FALSE))</f>
        <v>:</v>
      </c>
      <c r="DB15" s="1550" t="str">
        <f>IF(VLOOKUP($E$15,[1]QUART!$A$2:$FA$324, 105, FALSE)="",":",VLOOKUP($E$15,[1]QUART!$A$2:$FA$324, 105, FALSE))</f>
        <v>:</v>
      </c>
      <c r="DC15" s="1550" t="str">
        <f>IF(VLOOKUP($E$15,[1]QUART!$A$2:$FA$324, 106, FALSE)="",":",VLOOKUP($E$15,[1]QUART!$A$2:$FA$324, 106, FALSE))</f>
        <v>:</v>
      </c>
    </row>
    <row r="16" spans="1:110">
      <c r="A16" s="1546"/>
      <c r="B16" s="1551"/>
      <c r="C16" s="1552"/>
      <c r="D16" s="1547"/>
      <c r="E16" s="1548"/>
      <c r="F16" s="1549"/>
      <c r="G16" s="1550"/>
      <c r="H16" s="1550"/>
      <c r="I16" s="1550"/>
      <c r="J16" s="1550"/>
      <c r="K16" s="1550"/>
      <c r="L16" s="1550"/>
      <c r="M16" s="1550"/>
      <c r="N16" s="1550"/>
      <c r="O16" s="1550"/>
      <c r="P16" s="1550"/>
      <c r="Q16" s="1550"/>
      <c r="R16" s="1550"/>
      <c r="S16" s="1550"/>
      <c r="T16" s="1550"/>
      <c r="U16" s="1550"/>
      <c r="V16" s="1550"/>
      <c r="W16" s="1550"/>
      <c r="X16" s="1550"/>
      <c r="Y16" s="1550"/>
      <c r="Z16" s="1550"/>
      <c r="AA16" s="1550"/>
      <c r="AB16" s="1550"/>
      <c r="AC16" s="1550"/>
      <c r="AD16" s="1550"/>
      <c r="AE16" s="1550"/>
      <c r="AF16" s="1550"/>
      <c r="AG16" s="1550"/>
      <c r="AH16" s="1550"/>
      <c r="AI16" s="1550"/>
      <c r="AJ16" s="1550"/>
      <c r="AK16" s="1550"/>
      <c r="AL16" s="1550"/>
      <c r="AM16" s="1550"/>
      <c r="AN16" s="1550"/>
      <c r="AO16" s="1550"/>
      <c r="AP16" s="1550"/>
      <c r="AQ16" s="1550"/>
      <c r="AR16" s="1550"/>
      <c r="AS16" s="1550"/>
      <c r="AT16" s="1550"/>
      <c r="AU16" s="1550"/>
      <c r="AV16" s="1550"/>
      <c r="AW16" s="1550"/>
      <c r="AX16" s="1550"/>
      <c r="AY16" s="1550"/>
      <c r="AZ16" s="1550"/>
      <c r="BA16" s="1550"/>
      <c r="BB16" s="1550"/>
      <c r="BC16" s="1550"/>
      <c r="BD16" s="1550"/>
      <c r="BE16" s="1550"/>
      <c r="BF16" s="1550"/>
      <c r="BG16" s="1550"/>
      <c r="BH16" s="1550"/>
      <c r="BI16" s="1550"/>
      <c r="BJ16" s="1550"/>
      <c r="BK16" s="1550"/>
      <c r="BL16" s="1550"/>
      <c r="BM16" s="1550"/>
      <c r="BN16" s="1550"/>
      <c r="BO16" s="1550"/>
      <c r="BP16" s="1550"/>
      <c r="BQ16" s="1550"/>
      <c r="BR16" s="1550"/>
      <c r="BS16" s="1550"/>
      <c r="BT16" s="1550"/>
      <c r="BU16" s="1550"/>
      <c r="BV16" s="1550"/>
      <c r="BW16" s="1550"/>
      <c r="BX16" s="1550"/>
      <c r="BY16" s="1550"/>
      <c r="BZ16" s="1550"/>
      <c r="CA16" s="1550"/>
      <c r="CB16" s="1550"/>
      <c r="CC16" s="1550"/>
      <c r="CD16" s="1550"/>
      <c r="CE16" s="1550"/>
      <c r="CF16" s="1550"/>
      <c r="CG16" s="1550"/>
      <c r="CH16" s="1550"/>
      <c r="CI16" s="1550"/>
      <c r="CJ16" s="1550"/>
      <c r="CK16" s="1550"/>
      <c r="CL16" s="1550"/>
      <c r="CM16" s="1550"/>
      <c r="CN16" s="1550"/>
      <c r="CO16" s="1550"/>
      <c r="CP16" s="1550"/>
      <c r="CQ16" s="1550"/>
      <c r="CR16" s="1550"/>
      <c r="CS16" s="1550"/>
      <c r="CT16" s="1550"/>
      <c r="CU16" s="1550"/>
      <c r="CV16" s="1550"/>
      <c r="CW16" s="1550"/>
      <c r="CX16" s="1550"/>
      <c r="CY16" s="1550"/>
      <c r="CZ16" s="1550"/>
      <c r="DA16" s="1550"/>
      <c r="DB16" s="1550"/>
      <c r="DC16" s="1550"/>
    </row>
    <row r="17" spans="1:107">
      <c r="A17" s="1546">
        <v>25</v>
      </c>
      <c r="B17" s="1551" t="s">
        <v>443</v>
      </c>
      <c r="C17" s="1552"/>
      <c r="D17" s="1547" t="s">
        <v>1841</v>
      </c>
      <c r="E17" s="1548">
        <v>90</v>
      </c>
      <c r="F17" s="1549" t="str">
        <f>VLOOKUP($E$17,[1]QUART!$A$2:$FA$310, 3, FALSE)</f>
        <v>90 Consumer price harmonized index</v>
      </c>
      <c r="G17" s="1550" t="str">
        <f>IF(VLOOKUP($E$17,[1]QUART!$A$2:$FA$310, 6, FALSE)="",":",VLOOKUP($E$17,[1]QUART!$A$2:$FA$310, 6, FALSE))</f>
        <v>:</v>
      </c>
      <c r="H17" s="1550" t="str">
        <f>IF(VLOOKUP($E$17,[1]QUART!$A$2:$FA$310, 7, FALSE)="",":",VLOOKUP($E$17,[1]QUART!$A$2:$FA$310, 7, FALSE))</f>
        <v>:</v>
      </c>
      <c r="I17" s="1550" t="str">
        <f>IF(VLOOKUP($E$17,[1]QUART!$A$2:$FA$310, 8, FALSE)="",":",VLOOKUP($E$17,[1]QUART!$A$2:$FA$310, 8, FALSE))</f>
        <v>:</v>
      </c>
      <c r="J17" s="1550" t="str">
        <f>IF(VLOOKUP($E$17,[1]QUART!$A$2:$FA$310, 9, FALSE)="",":",VLOOKUP($E$17,[1]QUART!$A$2:$FA$310, 9, FALSE))</f>
        <v>:</v>
      </c>
      <c r="K17" s="1550">
        <f>IF(VLOOKUP($E$17,[1]QUART!$A$2:$FA$310, 10, FALSE)="",":",VLOOKUP($E$17,[1]QUART!$A$2:$FA$310, 10, FALSE))</f>
        <v>55.1</v>
      </c>
      <c r="L17" s="1550">
        <f>IF(VLOOKUP($E$17,[1]QUART!$A$2:$FA$310, 11, FALSE)="",":",VLOOKUP($E$17,[1]QUART!$A$2:$FA$310, 11, FALSE))</f>
        <v>57.49666666666667</v>
      </c>
      <c r="M17" s="1550">
        <f>IF(VLOOKUP($E$17,[1]QUART!$A$2:$FA$310, 12, FALSE)="",":",VLOOKUP($E$17,[1]QUART!$A$2:$FA$310, 12, FALSE))</f>
        <v>58.16</v>
      </c>
      <c r="N17" s="1550">
        <f>IF(VLOOKUP($E$17,[1]QUART!$A$2:$FA$310, 13, FALSE)="",":",VLOOKUP($E$17,[1]QUART!$A$2:$FA$310, 13, FALSE))</f>
        <v>59.693333333333328</v>
      </c>
      <c r="O17" s="1550">
        <f>IF(VLOOKUP($E$17,[1]QUART!$A$2:$FA$310, 14, FALSE)="",":",VLOOKUP($E$17,[1]QUART!$A$2:$FA$310, 14, FALSE))</f>
        <v>62.336666666666666</v>
      </c>
      <c r="P17" s="1550">
        <f>IF(VLOOKUP($E$17,[1]QUART!$A$2:$FA$310, 15, FALSE)="",":",VLOOKUP($E$17,[1]QUART!$A$2:$FA$310, 15, FALSE))</f>
        <v>62.863333333333337</v>
      </c>
      <c r="Q17" s="1550">
        <f>IF(VLOOKUP($E$17,[1]QUART!$A$2:$FA$310, 16, FALSE)="",":",VLOOKUP($E$17,[1]QUART!$A$2:$FA$310, 16, FALSE))</f>
        <v>63.936666666666667</v>
      </c>
      <c r="R17" s="1550">
        <f>IF(VLOOKUP($E$17,[1]QUART!$A$2:$FA$310, 17, FALSE)="",":",VLOOKUP($E$17,[1]QUART!$A$2:$FA$310, 17, FALSE))</f>
        <v>65.086666666666659</v>
      </c>
      <c r="S17" s="1550">
        <f>IF(VLOOKUP($E$17,[1]QUART!$A$2:$FA$310, 18, FALSE)="",":",VLOOKUP($E$17,[1]QUART!$A$2:$FA$310, 18, FALSE))</f>
        <v>66.406666666666666</v>
      </c>
      <c r="T17" s="1550">
        <f>IF(VLOOKUP($E$17,[1]QUART!$A$2:$FA$310, 19, FALSE)="",":",VLOOKUP($E$17,[1]QUART!$A$2:$FA$310, 19, FALSE))</f>
        <v>67.016666666666666</v>
      </c>
      <c r="U17" s="1550">
        <f>IF(VLOOKUP($E$17,[1]QUART!$A$2:$FA$310, 20, FALSE)="",":",VLOOKUP($E$17,[1]QUART!$A$2:$FA$310, 20, FALSE))</f>
        <v>66.933333333333323</v>
      </c>
      <c r="V17" s="1550">
        <f>IF(VLOOKUP($E$17,[1]QUART!$A$2:$FA$310, 21, FALSE)="",":",VLOOKUP($E$17,[1]QUART!$A$2:$FA$310, 21, FALSE))</f>
        <v>67.516666666666666</v>
      </c>
      <c r="W17" s="1550">
        <f>IF(VLOOKUP($E$17,[1]QUART!$A$2:$FA$310, 22, FALSE)="",":",VLOOKUP($E$17,[1]QUART!$A$2:$FA$310, 22, FALSE))</f>
        <v>68.196666666666658</v>
      </c>
      <c r="X17" s="1550">
        <f>IF(VLOOKUP($E$17,[1]QUART!$A$2:$FA$310, 23, FALSE)="",":",VLOOKUP($E$17,[1]QUART!$A$2:$FA$310, 23, FALSE))</f>
        <v>68.06</v>
      </c>
      <c r="Y17" s="1550">
        <f>IF(VLOOKUP($E$17,[1]QUART!$A$2:$FA$310, 24, FALSE)="",":",VLOOKUP($E$17,[1]QUART!$A$2:$FA$310, 24, FALSE))</f>
        <v>67.766666666666666</v>
      </c>
      <c r="Z17" s="1550">
        <f>IF(VLOOKUP($E$17,[1]QUART!$A$2:$FA$310, 25, FALSE)="",":",VLOOKUP($E$17,[1]QUART!$A$2:$FA$310, 25, FALSE))</f>
        <v>67.716666666666669</v>
      </c>
      <c r="AA17" s="1550">
        <f>IF(VLOOKUP($E$17,[1]QUART!$A$2:$FA$310, 26, FALSE)="",":",VLOOKUP($E$17,[1]QUART!$A$2:$FA$310, 26, FALSE))</f>
        <v>68.833333333333329</v>
      </c>
      <c r="AB17" s="1550">
        <f>IF(VLOOKUP($E$17,[1]QUART!$A$2:$FA$310, 27, FALSE)="",":",VLOOKUP($E$17,[1]QUART!$A$2:$FA$310, 27, FALSE))</f>
        <v>68.683333333333337</v>
      </c>
      <c r="AC17" s="1550">
        <f>IF(VLOOKUP($E$17,[1]QUART!$A$2:$FA$310, 28, FALSE)="",":",VLOOKUP($E$17,[1]QUART!$A$2:$FA$310, 28, FALSE))</f>
        <v>68.433333333333337</v>
      </c>
      <c r="AD17" s="1550">
        <f>IF(VLOOKUP($E$17,[1]QUART!$A$2:$FA$310, 29, FALSE)="",":",VLOOKUP($E$17,[1]QUART!$A$2:$FA$310, 29, FALSE))</f>
        <v>68.763333333333335</v>
      </c>
      <c r="AE17" s="1550">
        <f>IF(VLOOKUP($E$17,[1]QUART!$A$2:$FA$310, 30, FALSE)="",":",VLOOKUP($E$17,[1]QUART!$A$2:$FA$310, 30, FALSE))</f>
        <v>69.010000000000005</v>
      </c>
      <c r="AF17" s="1550">
        <f>IF(VLOOKUP($E$17,[1]QUART!$A$2:$FA$310, 31, FALSE)="",":",VLOOKUP($E$17,[1]QUART!$A$2:$FA$310, 31, FALSE))</f>
        <v>69.826666666666668</v>
      </c>
      <c r="AG17" s="1550">
        <f>IF(VLOOKUP($E$17,[1]QUART!$A$2:$FA$310, 32, FALSE)="",":",VLOOKUP($E$17,[1]QUART!$A$2:$FA$310, 32, FALSE))</f>
        <v>69.903333333333322</v>
      </c>
      <c r="AH17" s="1550">
        <f>IF(VLOOKUP($E$17,[1]QUART!$A$2:$FA$310, 33, FALSE)="",":",VLOOKUP($E$17,[1]QUART!$A$2:$FA$310, 33, FALSE))</f>
        <v>70.23</v>
      </c>
      <c r="AI17" s="1550">
        <f>IF(VLOOKUP($E$17,[1]QUART!$A$2:$FA$310, 34, FALSE)="",":",VLOOKUP($E$17,[1]QUART!$A$2:$FA$310, 34, FALSE))</f>
        <v>70.773333333333326</v>
      </c>
      <c r="AJ17" s="1550">
        <f>IF(VLOOKUP($E$17,[1]QUART!$A$2:$FA$310, 35, FALSE)="",":",VLOOKUP($E$17,[1]QUART!$A$2:$FA$310, 35, FALSE))</f>
        <v>70.176666666666677</v>
      </c>
      <c r="AK17" s="1550">
        <f>IF(VLOOKUP($E$17,[1]QUART!$A$2:$FA$310, 36, FALSE)="",":",VLOOKUP($E$17,[1]QUART!$A$2:$FA$310, 36, FALSE))</f>
        <v>69.38</v>
      </c>
      <c r="AL17" s="1550">
        <f>IF(VLOOKUP($E$17,[1]QUART!$A$2:$FA$310, 37, FALSE)="",":",VLOOKUP($E$17,[1]QUART!$A$2:$FA$310, 37, FALSE))</f>
        <v>69.576666666666668</v>
      </c>
      <c r="AM17" s="1550">
        <f>IF(VLOOKUP($E$17,[1]QUART!$A$2:$FA$310, 38, FALSE)="",":",VLOOKUP($E$17,[1]QUART!$A$2:$FA$310, 38, FALSE))</f>
        <v>69.646666666666661</v>
      </c>
      <c r="AN17" s="1550">
        <f>IF(VLOOKUP($E$17,[1]QUART!$A$2:$FA$310, 39, FALSE)="",":",VLOOKUP($E$17,[1]QUART!$A$2:$FA$310, 39, FALSE))</f>
        <v>69.713333333333338</v>
      </c>
      <c r="AO17" s="1550">
        <f>IF(VLOOKUP($E$17,[1]QUART!$A$2:$FA$310, 40, FALSE)="",":",VLOOKUP($E$17,[1]QUART!$A$2:$FA$310, 40, FALSE))</f>
        <v>68.783333333333317</v>
      </c>
      <c r="AP17" s="1550">
        <f>IF(VLOOKUP($E$17,[1]QUART!$A$2:$FA$310, 41, FALSE)="",":",VLOOKUP($E$17,[1]QUART!$A$2:$FA$310, 41, FALSE))</f>
        <v>68.75</v>
      </c>
      <c r="AQ17" s="1550">
        <f>IF(VLOOKUP($E$17,[1]QUART!$A$2:$FA$310, 42, FALSE)="",":",VLOOKUP($E$17,[1]QUART!$A$2:$FA$310, 42, FALSE))</f>
        <v>68.873333333333335</v>
      </c>
      <c r="AR17" s="1550">
        <f>IF(VLOOKUP($E$17,[1]QUART!$A$2:$FA$310, 43, FALSE)="",":",VLOOKUP($E$17,[1]QUART!$A$2:$FA$310, 43, FALSE))</f>
        <v>70.046666666666667</v>
      </c>
      <c r="AS17" s="1550">
        <f>IF(VLOOKUP($E$17,[1]QUART!$A$2:$FA$310, 44, FALSE)="",":",VLOOKUP($E$17,[1]QUART!$A$2:$FA$310, 44, FALSE))</f>
        <v>70.396666666666661</v>
      </c>
      <c r="AT17" s="1550">
        <f>IF(VLOOKUP($E$17,[1]QUART!$A$2:$FA$310, 45, FALSE)="",":",VLOOKUP($E$17,[1]QUART!$A$2:$FA$310, 45, FALSE))</f>
        <v>70.773333333333326</v>
      </c>
      <c r="AU17" s="1550">
        <f>IF(VLOOKUP($E$17,[1]QUART!$A$2:$FA$310, 46, FALSE)="",":",VLOOKUP($E$17,[1]QUART!$A$2:$FA$310, 46, FALSE))</f>
        <v>71.013333333333335</v>
      </c>
      <c r="AV17" s="1550">
        <f>IF(VLOOKUP($E$17,[1]QUART!$A$2:$FA$310, 47, FALSE)="",":",VLOOKUP($E$17,[1]QUART!$A$2:$FA$310, 47, FALSE))</f>
        <v>71.713333333333338</v>
      </c>
      <c r="AW17" s="1550">
        <f>IF(VLOOKUP($E$17,[1]QUART!$A$2:$FA$310, 48, FALSE)="",":",VLOOKUP($E$17,[1]QUART!$A$2:$FA$310, 48, FALSE))</f>
        <v>71.97</v>
      </c>
      <c r="AX17" s="1550">
        <f>IF(VLOOKUP($E$17,[1]QUART!$A$2:$FA$310, 49, FALSE)="",":",VLOOKUP($E$17,[1]QUART!$A$2:$FA$310, 49, FALSE))</f>
        <v>72.876666666666665</v>
      </c>
      <c r="AY17" s="1550">
        <f>IF(VLOOKUP($E$17,[1]QUART!$A$2:$FA$310, 50, FALSE)="",":",VLOOKUP($E$17,[1]QUART!$A$2:$FA$310, 50, FALSE))</f>
        <v>73.366666666666674</v>
      </c>
      <c r="AZ17" s="1550">
        <f>IF(VLOOKUP($E$17,[1]QUART!$A$2:$FA$310, 51, FALSE)="",":",VLOOKUP($E$17,[1]QUART!$A$2:$FA$310, 51, FALSE))</f>
        <v>74.266666666666666</v>
      </c>
      <c r="BA17" s="1550">
        <f>IF(VLOOKUP($E$17,[1]QUART!$A$2:$FA$310, 52, FALSE)="",":",VLOOKUP($E$17,[1]QUART!$A$2:$FA$310, 52, FALSE))</f>
        <v>74.813333333333333</v>
      </c>
      <c r="BB17" s="1550">
        <f>IF(VLOOKUP($E$17,[1]QUART!$A$2:$FA$310, 53, FALSE)="",":",VLOOKUP($E$17,[1]QUART!$A$2:$FA$310, 53, FALSE))</f>
        <v>75.930000000000007</v>
      </c>
      <c r="BC17" s="1550">
        <f>IF(VLOOKUP($E$17,[1]QUART!$A$2:$FA$310, 54, FALSE)="",":",VLOOKUP($E$17,[1]QUART!$A$2:$FA$310, 54, FALSE))</f>
        <v>76.586666666666673</v>
      </c>
      <c r="BD17" s="1550">
        <f>IF(VLOOKUP($E$17,[1]QUART!$A$2:$FA$310, 55, FALSE)="",":",VLOOKUP($E$17,[1]QUART!$A$2:$FA$310, 55, FALSE))</f>
        <v>77.953333333333333</v>
      </c>
      <c r="BE17" s="1550">
        <f>IF(VLOOKUP($E$17,[1]QUART!$A$2:$FA$310, 56, FALSE)="",":",VLOOKUP($E$17,[1]QUART!$A$2:$FA$310, 56, FALSE))</f>
        <v>79.25333333333333</v>
      </c>
      <c r="BF17" s="1550">
        <f>IF(VLOOKUP($E$17,[1]QUART!$A$2:$FA$310, 57, FALSE)="",":",VLOOKUP($E$17,[1]QUART!$A$2:$FA$310, 57, FALSE))</f>
        <v>81.943333333333328</v>
      </c>
      <c r="BG17" s="1550">
        <f>IF(VLOOKUP($E$17,[1]QUART!$A$2:$FA$310, 58, FALSE)="",":",VLOOKUP($E$17,[1]QUART!$A$2:$FA$310, 58, FALSE))</f>
        <v>84.836666666666659</v>
      </c>
      <c r="BH17" s="1550">
        <f>IF(VLOOKUP($E$17,[1]QUART!$A$2:$FA$310, 59, FALSE)="",":",VLOOKUP($E$17,[1]QUART!$A$2:$FA$310, 59, FALSE))</f>
        <v>87.52</v>
      </c>
      <c r="BI17" s="1550">
        <f>IF(VLOOKUP($E$17,[1]QUART!$A$2:$FA$310, 60, FALSE)="",":",VLOOKUP($E$17,[1]QUART!$A$2:$FA$310, 60, FALSE))</f>
        <v>88.733333333333334</v>
      </c>
      <c r="BJ17" s="1550">
        <f>IF(VLOOKUP($E$17,[1]QUART!$A$2:$FA$310, 61, FALSE)="",":",VLOOKUP($E$17,[1]QUART!$A$2:$FA$310, 61, FALSE))</f>
        <v>89.666666666666671</v>
      </c>
      <c r="BK17" s="1550">
        <f>IF(VLOOKUP($E$17,[1]QUART!$A$2:$FA$310, 62, FALSE)="",":",VLOOKUP($E$17,[1]QUART!$A$2:$FA$310, 62, FALSE))</f>
        <v>91.99666666666667</v>
      </c>
      <c r="BL17" s="1550">
        <f>IF(VLOOKUP($E$17,[1]QUART!$A$2:$FA$310, 63, FALSE)="",":",VLOOKUP($E$17,[1]QUART!$A$2:$FA$310, 63, FALSE))</f>
        <v>91.800000000000011</v>
      </c>
      <c r="BM17" s="1550">
        <f>IF(VLOOKUP($E$17,[1]QUART!$A$2:$FA$310, 64, FALSE)="",":",VLOOKUP($E$17,[1]QUART!$A$2:$FA$310, 64, FALSE))</f>
        <v>90.86</v>
      </c>
      <c r="BN17" s="1550">
        <f>IF(VLOOKUP($E$17,[1]QUART!$A$2:$FA$310, 65, FALSE)="",":",VLOOKUP($E$17,[1]QUART!$A$2:$FA$310, 65, FALSE))</f>
        <v>90.696666666666658</v>
      </c>
      <c r="BO17" s="1550">
        <f>IF(VLOOKUP($E$17,[1]QUART!$A$2:$FA$310, 66, FALSE)="",":",VLOOKUP($E$17,[1]QUART!$A$2:$FA$310, 66, FALSE))</f>
        <v>91.61333333333333</v>
      </c>
      <c r="BP17" s="1550">
        <f>IF(VLOOKUP($E$17,[1]QUART!$A$2:$FA$310, 67, FALSE)="",":",VLOOKUP($E$17,[1]QUART!$A$2:$FA$310, 67, FALSE))</f>
        <v>92.293333333333337</v>
      </c>
      <c r="BQ17" s="1550">
        <f>IF(VLOOKUP($E$17,[1]QUART!$A$2:$FA$310, 68, FALSE)="",":",VLOOKUP($E$17,[1]QUART!$A$2:$FA$310, 68, FALSE))</f>
        <v>92.46</v>
      </c>
      <c r="BR17" s="1550">
        <f>IF(VLOOKUP($E$17,[1]QUART!$A$2:$FA$310, 69, FALSE)="",":",VLOOKUP($E$17,[1]QUART!$A$2:$FA$310, 69, FALSE))</f>
        <v>93.336666666666659</v>
      </c>
      <c r="BS17" s="1550">
        <f>IF(VLOOKUP($E$17,[1]QUART!$A$2:$FA$310, 70, FALSE)="",":",VLOOKUP($E$17,[1]QUART!$A$2:$FA$310, 70, FALSE))</f>
        <v>94.546666666666667</v>
      </c>
      <c r="BT17" s="1550">
        <f>IF(VLOOKUP($E$17,[1]QUART!$A$2:$FA$310, 71, FALSE)="",":",VLOOKUP($E$17,[1]QUART!$A$2:$FA$310, 71, FALSE))</f>
        <v>96.643333333333331</v>
      </c>
      <c r="BU17" s="1550">
        <f>IF(VLOOKUP($E$17,[1]QUART!$A$2:$FA$310, 72, FALSE)="",":",VLOOKUP($E$17,[1]QUART!$A$2:$FA$310, 72, FALSE))</f>
        <v>96.663333333333341</v>
      </c>
      <c r="BV17" s="1550">
        <f>IF(VLOOKUP($E$17,[1]QUART!$A$2:$FA$310, 73, FALSE)="",":",VLOOKUP($E$17,[1]QUART!$A$2:$FA$310, 73, FALSE))</f>
        <v>97.096666666666678</v>
      </c>
      <c r="BW17" s="1550">
        <f>IF(VLOOKUP($E$17,[1]QUART!$A$2:$FA$310, 74, FALSE)="",":",VLOOKUP($E$17,[1]QUART!$A$2:$FA$310, 74, FALSE))</f>
        <v>97.969999999999985</v>
      </c>
      <c r="BX17" s="1550">
        <f>IF(VLOOKUP($E$17,[1]QUART!$A$2:$FA$310, 75, FALSE)="",":",VLOOKUP($E$17,[1]QUART!$A$2:$FA$310, 75, FALSE))</f>
        <v>99.376666666666665</v>
      </c>
      <c r="BY17" s="1550">
        <f>IF(VLOOKUP($E$17,[1]QUART!$A$2:$FA$310, 76, FALSE)="",":",VLOOKUP($E$17,[1]QUART!$A$2:$FA$310, 76, FALSE))</f>
        <v>99.783333333333317</v>
      </c>
      <c r="BZ17" s="1550">
        <f>IF(VLOOKUP($E$17,[1]QUART!$A$2:$FA$310, 77, FALSE)="",":",VLOOKUP($E$17,[1]QUART!$A$2:$FA$310, 77, FALSE))</f>
        <v>100</v>
      </c>
      <c r="CA17" s="1550">
        <f>IF(VLOOKUP($E$17,[1]QUART!$A$2:$FA$310, 78, FALSE)="",":",VLOOKUP($E$17,[1]QUART!$A$2:$FA$310, 78, FALSE))</f>
        <v>100.14666666666666</v>
      </c>
      <c r="CB17" s="1550">
        <f>IF(VLOOKUP($E$17,[1]QUART!$A$2:$FA$310, 79, FALSE)="",":",VLOOKUP($E$17,[1]QUART!$A$2:$FA$310, 79, FALSE))</f>
        <v>100.76666666666667</v>
      </c>
      <c r="CC17" s="1550">
        <f>IF(VLOOKUP($E$17,[1]QUART!$A$2:$FA$310, 80, FALSE)="",":",VLOOKUP($E$17,[1]QUART!$A$2:$FA$310, 80, FALSE))</f>
        <v>100.33333333333333</v>
      </c>
      <c r="CD17" s="1550">
        <f>IF(VLOOKUP($E$17,[1]QUART!$A$2:$FA$310, 81, FALSE)="",":",VLOOKUP($E$17,[1]QUART!$A$2:$FA$310, 81, FALSE))</f>
        <v>100.50666666666666</v>
      </c>
      <c r="CE17" s="1550">
        <f>IF(VLOOKUP($E$17,[1]QUART!$A$2:$FA$310, 82, FALSE)="",":",VLOOKUP($E$17,[1]QUART!$A$2:$FA$310, 82, FALSE))</f>
        <v>100.46</v>
      </c>
      <c r="CF17" s="1550">
        <f>IF(VLOOKUP($E$17,[1]QUART!$A$2:$FA$310, 83, FALSE)="",":",VLOOKUP($E$17,[1]QUART!$A$2:$FA$310, 83, FALSE))</f>
        <v>100.99666666666667</v>
      </c>
      <c r="CG17" s="1550">
        <f>IF(VLOOKUP($E$17,[1]QUART!$A$2:$FA$310, 84, FALSE)="",":",VLOOKUP($E$17,[1]QUART!$A$2:$FA$310, 84, FALSE))</f>
        <v>100.58333333333333</v>
      </c>
      <c r="CH17" s="1550">
        <f>IF(VLOOKUP($E$17,[1]QUART!$A$2:$FA$310, 85, FALSE)="",":",VLOOKUP($E$17,[1]QUART!$A$2:$FA$310, 85, FALSE))</f>
        <v>100.68666666666667</v>
      </c>
      <c r="CI17" s="1550">
        <f>IF(VLOOKUP($E$17,[1]QUART!$A$2:$FA$310, 86, FALSE)="",":",VLOOKUP($E$17,[1]QUART!$A$2:$FA$310, 86, FALSE))</f>
        <v>99.136666666666656</v>
      </c>
      <c r="CJ17" s="1550">
        <f>IF(VLOOKUP($E$17,[1]QUART!$A$2:$FA$310, 87, FALSE)="",":",VLOOKUP($E$17,[1]QUART!$A$2:$FA$310, 87, FALSE))</f>
        <v>100.69333333333333</v>
      </c>
      <c r="CK17" s="1550">
        <f>IF(VLOOKUP($E$17,[1]QUART!$A$2:$FA$310, 88, FALSE)="",":",VLOOKUP($E$17,[1]QUART!$A$2:$FA$310, 88, FALSE))</f>
        <v>99.893333333333331</v>
      </c>
      <c r="CL17" s="1550">
        <f>IF(VLOOKUP($E$17,[1]QUART!$A$2:$FA$310, 89, FALSE)="",":",VLOOKUP($E$17,[1]QUART!$A$2:$FA$310, 89, FALSE))</f>
        <v>100.27666666666666</v>
      </c>
      <c r="CM17" s="1550">
        <f>IF(VLOOKUP($E$17,[1]QUART!$A$2:$FA$310, 90, FALSE)="",":",VLOOKUP($E$17,[1]QUART!$A$2:$FA$310, 90, FALSE))</f>
        <v>99.793333333333337</v>
      </c>
      <c r="CN17" s="1550">
        <f>IF(VLOOKUP($E$17,[1]QUART!$A$2:$FA$310, 91, FALSE)="",":",VLOOKUP($E$17,[1]QUART!$A$2:$FA$310, 91, FALSE))</f>
        <v>101.13333333333333</v>
      </c>
      <c r="CO17" s="1550">
        <f>IF(VLOOKUP($E$17,[1]QUART!$A$2:$FA$310, 92, FALSE)="",":",VLOOKUP($E$17,[1]QUART!$A$2:$FA$310, 92, FALSE))</f>
        <v>100.26666666666667</v>
      </c>
      <c r="CP17" s="1550">
        <f>IF(VLOOKUP($E$17,[1]QUART!$A$2:$FA$310, 93, FALSE)="",":",VLOOKUP($E$17,[1]QUART!$A$2:$FA$310, 93, FALSE))</f>
        <v>101.52</v>
      </c>
      <c r="CQ17" s="1550">
        <f>IF(VLOOKUP($E$17,[1]QUART!$A$2:$FA$310, 94, FALSE)="",":",VLOOKUP($E$17,[1]QUART!$A$2:$FA$310, 94, FALSE))</f>
        <v>102.74</v>
      </c>
      <c r="CR17" s="1550">
        <f>IF(VLOOKUP($E$17,[1]QUART!$A$2:$FA$310, 95, FALSE)="",":",VLOOKUP($E$17,[1]QUART!$A$2:$FA$310, 95, FALSE))</f>
        <v>104.57333333333334</v>
      </c>
      <c r="CS17" s="1550">
        <f>IF(VLOOKUP($E$17,[1]QUART!$A$2:$FA$310, 96, FALSE)="",":",VLOOKUP($E$17,[1]QUART!$A$2:$FA$310, 96, FALSE))</f>
        <v>104.73</v>
      </c>
      <c r="CT17" s="1550">
        <f>IF(VLOOKUP($E$17,[1]QUART!$A$2:$FA$310, 97, FALSE)="",":",VLOOKUP($E$17,[1]QUART!$A$2:$FA$310, 97, FALSE))</f>
        <v>105.64333333333333</v>
      </c>
      <c r="CU17" s="1550" t="str">
        <f>IF(VLOOKUP($E$17,[1]QUART!$A$2:$FA$310, 98, FALSE)="",":",VLOOKUP($E$17,[1]QUART!$A$2:$FA$310, 98, FALSE))</f>
        <v>:</v>
      </c>
      <c r="CV17" s="1550" t="str">
        <f>IF(VLOOKUP($E$17,[1]QUART!$A$2:$FA$310, 99, FALSE)="",":",VLOOKUP($E$17,[1]QUART!$A$2:$FA$310, 99, FALSE))</f>
        <v>:</v>
      </c>
      <c r="CW17" s="1550" t="str">
        <f>IF(VLOOKUP($E$17,[1]QUART!$A$2:$FA$310, 100, FALSE)="",":",VLOOKUP($E$17,[1]QUART!$A$2:$FA$310, 100, FALSE))</f>
        <v>:</v>
      </c>
      <c r="CX17" s="1550" t="str">
        <f>IF(VLOOKUP($E$17,[1]QUART!$A$2:$FA$310, 101, FALSE)="",":",VLOOKUP($E$17,[1]QUART!$A$2:$FA$310, 101, FALSE))</f>
        <v>:</v>
      </c>
      <c r="CY17" s="1550" t="str">
        <f>IF(VLOOKUP($E$17,[1]QUART!$A$2:$FA$310, 102, FALSE)="",":",VLOOKUP($E$17,[1]QUART!$A$2:$FA$310, 102, FALSE))</f>
        <v>:</v>
      </c>
      <c r="CZ17" s="1550" t="str">
        <f>IF(VLOOKUP($E$17,[1]QUART!$A$2:$FA$310, 103, FALSE)="",":",VLOOKUP($E$17,[1]QUART!$A$2:$FA$310, 103, FALSE))</f>
        <v>:</v>
      </c>
      <c r="DA17" s="1550" t="str">
        <f>IF(VLOOKUP($E$17,[1]QUART!$A$2:$FA$310, 104, FALSE)="",":",VLOOKUP($E$17,[1]QUART!$A$2:$FA$310, 104, FALSE))</f>
        <v>:</v>
      </c>
      <c r="DB17" s="1550" t="str">
        <f>IF(VLOOKUP($E$17,[1]QUART!$A$2:$FA$310, 105, FALSE)="",":",VLOOKUP($E$17,[1]QUART!$A$2:$FA$310, 105, FALSE))</f>
        <v>:</v>
      </c>
      <c r="DC17" s="1550" t="str">
        <f>IF(VLOOKUP($E$17,[1]QUART!$A$2:$FA$310, 106, FALSE)="",":",VLOOKUP($E$17,[1]QUART!$A$2:$FA$310, 106, FALSE))</f>
        <v>:</v>
      </c>
    </row>
    <row r="18" spans="1:107">
      <c r="A18" s="1546">
        <v>167</v>
      </c>
      <c r="B18" s="1551" t="s">
        <v>1417</v>
      </c>
      <c r="C18" s="1552"/>
      <c r="D18" s="1547" t="s">
        <v>1841</v>
      </c>
      <c r="E18" s="1548">
        <v>91</v>
      </c>
      <c r="F18" s="1549" t="str">
        <f>VLOOKUP($E$18,[1]QUART!$A$2:$FA$300, 3, FALSE)</f>
        <v>91 HICP Non-energy industrial goods</v>
      </c>
      <c r="G18" s="1550" t="str">
        <f>IF(VLOOKUP($E$18,[1]QUART!$A$2:$FA$300, 6, FALSE)="",":",VLOOKUP($E$18,[1]QUART!$A$2:$FA$300, 6, FALSE))</f>
        <v>:</v>
      </c>
      <c r="H18" s="1550" t="str">
        <f>IF(VLOOKUP($E$18,[1]QUART!$A$2:$FA$300, 7, FALSE)="",":",VLOOKUP($E$18,[1]QUART!$A$2:$FA$300, 7, FALSE))</f>
        <v>:</v>
      </c>
      <c r="I18" s="1550" t="str">
        <f>IF(VLOOKUP($E$18,[1]QUART!$A$2:$FA$300, 8, FALSE)="",":",VLOOKUP($E$18,[1]QUART!$A$2:$FA$300, 8, FALSE))</f>
        <v>:</v>
      </c>
      <c r="J18" s="1550" t="str">
        <f>IF(VLOOKUP($E$18,[1]QUART!$A$2:$FA$300, 9, FALSE)="",":",VLOOKUP($E$18,[1]QUART!$A$2:$FA$300, 9, FALSE))</f>
        <v>:</v>
      </c>
      <c r="K18" s="1550">
        <f>IF(VLOOKUP($E$18,[1]QUART!$A$2:$FA$300, 10, FALSE)="",":",VLOOKUP($E$18,[1]QUART!$A$2:$FA$300, 10, FALSE))</f>
        <v>88.633333333333326</v>
      </c>
      <c r="L18" s="1550">
        <f>IF(VLOOKUP($E$18,[1]QUART!$A$2:$FA$300, 11, FALSE)="",":",VLOOKUP($E$18,[1]QUART!$A$2:$FA$300, 11, FALSE))</f>
        <v>91.570000000000007</v>
      </c>
      <c r="M18" s="1550">
        <f>IF(VLOOKUP($E$18,[1]QUART!$A$2:$FA$300, 12, FALSE)="",":",VLOOKUP($E$18,[1]QUART!$A$2:$FA$300, 12, FALSE))</f>
        <v>93.876666666666665</v>
      </c>
      <c r="N18" s="1550">
        <f>IF(VLOOKUP($E$18,[1]QUART!$A$2:$FA$300, 13, FALSE)="",":",VLOOKUP($E$18,[1]QUART!$A$2:$FA$300, 13, FALSE))</f>
        <v>96.509999999999991</v>
      </c>
      <c r="O18" s="1550">
        <f>IF(VLOOKUP($E$18,[1]QUART!$A$2:$FA$300, 14, FALSE)="",":",VLOOKUP($E$18,[1]QUART!$A$2:$FA$300, 14, FALSE))</f>
        <v>98.236666666666679</v>
      </c>
      <c r="P18" s="1550">
        <f>IF(VLOOKUP($E$18,[1]QUART!$A$2:$FA$300, 15, FALSE)="",":",VLOOKUP($E$18,[1]QUART!$A$2:$FA$300, 15, FALSE))</f>
        <v>99.316666666666663</v>
      </c>
      <c r="Q18" s="1550">
        <f>IF(VLOOKUP($E$18,[1]QUART!$A$2:$FA$300, 16, FALSE)="",":",VLOOKUP($E$18,[1]QUART!$A$2:$FA$300, 16, FALSE))</f>
        <v>101.37666666666667</v>
      </c>
      <c r="R18" s="1550">
        <f>IF(VLOOKUP($E$18,[1]QUART!$A$2:$FA$300, 17, FALSE)="",":",VLOOKUP($E$18,[1]QUART!$A$2:$FA$300, 17, FALSE))</f>
        <v>103.03666666666668</v>
      </c>
      <c r="S18" s="1550">
        <f>IF(VLOOKUP($E$18,[1]QUART!$A$2:$FA$300, 18, FALSE)="",":",VLOOKUP($E$18,[1]QUART!$A$2:$FA$300, 18, FALSE))</f>
        <v>103.65666666666668</v>
      </c>
      <c r="T18" s="1550">
        <f>IF(VLOOKUP($E$18,[1]QUART!$A$2:$FA$300, 19, FALSE)="",":",VLOOKUP($E$18,[1]QUART!$A$2:$FA$300, 19, FALSE))</f>
        <v>104.37666666666667</v>
      </c>
      <c r="U18" s="1550">
        <f>IF(VLOOKUP($E$18,[1]QUART!$A$2:$FA$300, 20, FALSE)="",":",VLOOKUP($E$18,[1]QUART!$A$2:$FA$300, 20, FALSE))</f>
        <v>106.75333333333333</v>
      </c>
      <c r="V18" s="1550">
        <f>IF(VLOOKUP($E$18,[1]QUART!$A$2:$FA$300, 21, FALSE)="",":",VLOOKUP($E$18,[1]QUART!$A$2:$FA$300, 21, FALSE))</f>
        <v>108.07666666666667</v>
      </c>
      <c r="W18" s="1550">
        <f>IF(VLOOKUP($E$18,[1]QUART!$A$2:$FA$300, 22, FALSE)="",":",VLOOKUP($E$18,[1]QUART!$A$2:$FA$300, 22, FALSE))</f>
        <v>108.37333333333333</v>
      </c>
      <c r="X18" s="1550">
        <f>IF(VLOOKUP($E$18,[1]QUART!$A$2:$FA$300, 23, FALSE)="",":",VLOOKUP($E$18,[1]QUART!$A$2:$FA$300, 23, FALSE))</f>
        <v>108.11</v>
      </c>
      <c r="Y18" s="1550">
        <f>IF(VLOOKUP($E$18,[1]QUART!$A$2:$FA$300, 24, FALSE)="",":",VLOOKUP($E$18,[1]QUART!$A$2:$FA$300, 24, FALSE))</f>
        <v>107.61333333333334</v>
      </c>
      <c r="Z18" s="1550">
        <f>IF(VLOOKUP($E$18,[1]QUART!$A$2:$FA$300, 25, FALSE)="",":",VLOOKUP($E$18,[1]QUART!$A$2:$FA$300, 25, FALSE))</f>
        <v>107.62333333333333</v>
      </c>
      <c r="AA18" s="1550">
        <f>IF(VLOOKUP($E$18,[1]QUART!$A$2:$FA$300, 26, FALSE)="",":",VLOOKUP($E$18,[1]QUART!$A$2:$FA$300, 26, FALSE))</f>
        <v>107.10333333333334</v>
      </c>
      <c r="AB18" s="1550">
        <f>IF(VLOOKUP($E$18,[1]QUART!$A$2:$FA$300, 27, FALSE)="",":",VLOOKUP($E$18,[1]QUART!$A$2:$FA$300, 27, FALSE))</f>
        <v>106.43666666666665</v>
      </c>
      <c r="AC18" s="1550">
        <f>IF(VLOOKUP($E$18,[1]QUART!$A$2:$FA$300, 28, FALSE)="",":",VLOOKUP($E$18,[1]QUART!$A$2:$FA$300, 28, FALSE))</f>
        <v>105.37333333333333</v>
      </c>
      <c r="AD18" s="1550">
        <f>IF(VLOOKUP($E$18,[1]QUART!$A$2:$FA$300, 29, FALSE)="",":",VLOOKUP($E$18,[1]QUART!$A$2:$FA$300, 29, FALSE))</f>
        <v>104.96666666666665</v>
      </c>
      <c r="AE18" s="1550">
        <f>IF(VLOOKUP($E$18,[1]QUART!$A$2:$FA$300, 30, FALSE)="",":",VLOOKUP($E$18,[1]QUART!$A$2:$FA$300, 30, FALSE))</f>
        <v>103.84999999999998</v>
      </c>
      <c r="AF18" s="1550">
        <f>IF(VLOOKUP($E$18,[1]QUART!$A$2:$FA$300, 31, FALSE)="",":",VLOOKUP($E$18,[1]QUART!$A$2:$FA$300, 31, FALSE))</f>
        <v>103.34666666666668</v>
      </c>
      <c r="AG18" s="1550">
        <f>IF(VLOOKUP($E$18,[1]QUART!$A$2:$FA$300, 32, FALSE)="",":",VLOOKUP($E$18,[1]QUART!$A$2:$FA$300, 32, FALSE))</f>
        <v>102.47333333333331</v>
      </c>
      <c r="AH18" s="1550">
        <f>IF(VLOOKUP($E$18,[1]QUART!$A$2:$FA$300, 33, FALSE)="",":",VLOOKUP($E$18,[1]QUART!$A$2:$FA$300, 33, FALSE))</f>
        <v>103.02</v>
      </c>
      <c r="AI18" s="1550">
        <f>IF(VLOOKUP($E$18,[1]QUART!$A$2:$FA$300, 34, FALSE)="",":",VLOOKUP($E$18,[1]QUART!$A$2:$FA$300, 34, FALSE))</f>
        <v>101.77666666666669</v>
      </c>
      <c r="AJ18" s="1550">
        <f>IF(VLOOKUP($E$18,[1]QUART!$A$2:$FA$300, 35, FALSE)="",":",VLOOKUP($E$18,[1]QUART!$A$2:$FA$300, 35, FALSE))</f>
        <v>101.68666666666667</v>
      </c>
      <c r="AK18" s="1550">
        <f>IF(VLOOKUP($E$18,[1]QUART!$A$2:$FA$300, 36, FALSE)="",":",VLOOKUP($E$18,[1]QUART!$A$2:$FA$300, 36, FALSE))</f>
        <v>100.50333333333333</v>
      </c>
      <c r="AL18" s="1550">
        <f>IF(VLOOKUP($E$18,[1]QUART!$A$2:$FA$300, 37, FALSE)="",":",VLOOKUP($E$18,[1]QUART!$A$2:$FA$300, 37, FALSE))</f>
        <v>101.54666666666667</v>
      </c>
      <c r="AM18" s="1550">
        <f>IF(VLOOKUP($E$18,[1]QUART!$A$2:$FA$300, 38, FALSE)="",":",VLOOKUP($E$18,[1]QUART!$A$2:$FA$300, 38, FALSE))</f>
        <v>100.21333333333332</v>
      </c>
      <c r="AN18" s="1550">
        <f>IF(VLOOKUP($E$18,[1]QUART!$A$2:$FA$300, 39, FALSE)="",":",VLOOKUP($E$18,[1]QUART!$A$2:$FA$300, 39, FALSE))</f>
        <v>100.21666666666665</v>
      </c>
      <c r="AO18" s="1550">
        <f>IF(VLOOKUP($E$18,[1]QUART!$A$2:$FA$300, 40, FALSE)="",":",VLOOKUP($E$18,[1]QUART!$A$2:$FA$300, 40, FALSE))</f>
        <v>98.883333333333326</v>
      </c>
      <c r="AP18" s="1550">
        <f>IF(VLOOKUP($E$18,[1]QUART!$A$2:$FA$300, 41, FALSE)="",":",VLOOKUP($E$18,[1]QUART!$A$2:$FA$300, 41, FALSE))</f>
        <v>100.01333333333334</v>
      </c>
      <c r="AQ18" s="1550">
        <f>IF(VLOOKUP($E$18,[1]QUART!$A$2:$FA$300, 42, FALSE)="",":",VLOOKUP($E$18,[1]QUART!$A$2:$FA$300, 42, FALSE))</f>
        <v>98.626666666666665</v>
      </c>
      <c r="AR18" s="1550">
        <f>IF(VLOOKUP($E$18,[1]QUART!$A$2:$FA$300, 43, FALSE)="",":",VLOOKUP($E$18,[1]QUART!$A$2:$FA$300, 43, FALSE))</f>
        <v>99.923333333333332</v>
      </c>
      <c r="AS18" s="1550">
        <f>IF(VLOOKUP($E$18,[1]QUART!$A$2:$FA$300, 44, FALSE)="",":",VLOOKUP($E$18,[1]QUART!$A$2:$FA$300, 44, FALSE))</f>
        <v>99.15333333333335</v>
      </c>
      <c r="AT18" s="1550">
        <f>IF(VLOOKUP($E$18,[1]QUART!$A$2:$FA$300, 45, FALSE)="",":",VLOOKUP($E$18,[1]QUART!$A$2:$FA$300, 45, FALSE))</f>
        <v>100.82000000000001</v>
      </c>
      <c r="AU18" s="1550">
        <f>IF(VLOOKUP($E$18,[1]QUART!$A$2:$FA$300, 46, FALSE)="",":",VLOOKUP($E$18,[1]QUART!$A$2:$FA$300, 46, FALSE))</f>
        <v>98.266666666666666</v>
      </c>
      <c r="AV18" s="1550">
        <f>IF(VLOOKUP($E$18,[1]QUART!$A$2:$FA$300, 47, FALSE)="",":",VLOOKUP($E$18,[1]QUART!$A$2:$FA$300, 47, FALSE))</f>
        <v>98.976666666666674</v>
      </c>
      <c r="AW18" s="1550">
        <f>IF(VLOOKUP($E$18,[1]QUART!$A$2:$FA$300, 48, FALSE)="",":",VLOOKUP($E$18,[1]QUART!$A$2:$FA$300, 48, FALSE))</f>
        <v>98.40000000000002</v>
      </c>
      <c r="AX18" s="1550">
        <f>IF(VLOOKUP($E$18,[1]QUART!$A$2:$FA$300, 49, FALSE)="",":",VLOOKUP($E$18,[1]QUART!$A$2:$FA$300, 49, FALSE))</f>
        <v>100.28666666666668</v>
      </c>
      <c r="AY18" s="1550">
        <f>IF(VLOOKUP($E$18,[1]QUART!$A$2:$FA$300, 50, FALSE)="",":",VLOOKUP($E$18,[1]QUART!$A$2:$FA$300, 50, FALSE))</f>
        <v>98.49666666666667</v>
      </c>
      <c r="AZ18" s="1550">
        <f>IF(VLOOKUP($E$18,[1]QUART!$A$2:$FA$300, 51, FALSE)="",":",VLOOKUP($E$18,[1]QUART!$A$2:$FA$300, 51, FALSE))</f>
        <v>98.876666666666665</v>
      </c>
      <c r="BA18" s="1550">
        <f>IF(VLOOKUP($E$18,[1]QUART!$A$2:$FA$300, 52, FALSE)="",":",VLOOKUP($E$18,[1]QUART!$A$2:$FA$300, 52, FALSE))</f>
        <v>98.173333333333332</v>
      </c>
      <c r="BB18" s="1550">
        <f>IF(VLOOKUP($E$18,[1]QUART!$A$2:$FA$300, 53, FALSE)="",":",VLOOKUP($E$18,[1]QUART!$A$2:$FA$300, 53, FALSE))</f>
        <v>99.856666666666669</v>
      </c>
      <c r="BC18" s="1550">
        <f>IF(VLOOKUP($E$18,[1]QUART!$A$2:$FA$300, 54, FALSE)="",":",VLOOKUP($E$18,[1]QUART!$A$2:$FA$300, 54, FALSE))</f>
        <v>97.94</v>
      </c>
      <c r="BD18" s="1550">
        <f>IF(VLOOKUP($E$18,[1]QUART!$A$2:$FA$300, 55, FALSE)="",":",VLOOKUP($E$18,[1]QUART!$A$2:$FA$300, 55, FALSE))</f>
        <v>98.473333333333315</v>
      </c>
      <c r="BE18" s="1550">
        <f>IF(VLOOKUP($E$18,[1]QUART!$A$2:$FA$300, 56, FALSE)="",":",VLOOKUP($E$18,[1]QUART!$A$2:$FA$300, 56, FALSE))</f>
        <v>98.08</v>
      </c>
      <c r="BF18" s="1550">
        <f>IF(VLOOKUP($E$18,[1]QUART!$A$2:$FA$300, 57, FALSE)="",":",VLOOKUP($E$18,[1]QUART!$A$2:$FA$300, 57, FALSE))</f>
        <v>100.05666666666667</v>
      </c>
      <c r="BG18" s="1550">
        <f>IF(VLOOKUP($E$18,[1]QUART!$A$2:$FA$300, 58, FALSE)="",":",VLOOKUP($E$18,[1]QUART!$A$2:$FA$300, 58, FALSE))</f>
        <v>99.236666666666665</v>
      </c>
      <c r="BH18" s="1550">
        <f>IF(VLOOKUP($E$18,[1]QUART!$A$2:$FA$300, 59, FALSE)="",":",VLOOKUP($E$18,[1]QUART!$A$2:$FA$300, 59, FALSE))</f>
        <v>100.63666666666667</v>
      </c>
      <c r="BI18" s="1550">
        <f>IF(VLOOKUP($E$18,[1]QUART!$A$2:$FA$300, 60, FALSE)="",":",VLOOKUP($E$18,[1]QUART!$A$2:$FA$300, 60, FALSE))</f>
        <v>100.19</v>
      </c>
      <c r="BJ18" s="1550">
        <f>IF(VLOOKUP($E$18,[1]QUART!$A$2:$FA$300, 61, FALSE)="",":",VLOOKUP($E$18,[1]QUART!$A$2:$FA$300, 61, FALSE))</f>
        <v>101.65333333333332</v>
      </c>
      <c r="BK18" s="1550">
        <f>IF(VLOOKUP($E$18,[1]QUART!$A$2:$FA$300, 62, FALSE)="",":",VLOOKUP($E$18,[1]QUART!$A$2:$FA$300, 62, FALSE))</f>
        <v>102.10333333333334</v>
      </c>
      <c r="BL18" s="1550">
        <f>IF(VLOOKUP($E$18,[1]QUART!$A$2:$FA$300, 63, FALSE)="",":",VLOOKUP($E$18,[1]QUART!$A$2:$FA$300, 63, FALSE))</f>
        <v>100.68</v>
      </c>
      <c r="BM18" s="1550">
        <f>IF(VLOOKUP($E$18,[1]QUART!$A$2:$FA$300, 64, FALSE)="",":",VLOOKUP($E$18,[1]QUART!$A$2:$FA$300, 64, FALSE))</f>
        <v>99.426666666666662</v>
      </c>
      <c r="BN18" s="1550">
        <f>IF(VLOOKUP($E$18,[1]QUART!$A$2:$FA$300, 65, FALSE)="",":",VLOOKUP($E$18,[1]QUART!$A$2:$FA$300, 65, FALSE))</f>
        <v>100.46333333333332</v>
      </c>
      <c r="BO18" s="1550">
        <f>IF(VLOOKUP($E$18,[1]QUART!$A$2:$FA$300, 66, FALSE)="",":",VLOOKUP($E$18,[1]QUART!$A$2:$FA$300, 66, FALSE))</f>
        <v>98.410000000000011</v>
      </c>
      <c r="BP18" s="1550">
        <f>IF(VLOOKUP($E$18,[1]QUART!$A$2:$FA$300, 67, FALSE)="",":",VLOOKUP($E$18,[1]QUART!$A$2:$FA$300, 67, FALSE))</f>
        <v>98.076666666666668</v>
      </c>
      <c r="BQ18" s="1550">
        <f>IF(VLOOKUP($E$18,[1]QUART!$A$2:$FA$300, 68, FALSE)="",":",VLOOKUP($E$18,[1]QUART!$A$2:$FA$300, 68, FALSE))</f>
        <v>96.763333333333335</v>
      </c>
      <c r="BR18" s="1550">
        <f>IF(VLOOKUP($E$18,[1]QUART!$A$2:$FA$300, 69, FALSE)="",":",VLOOKUP($E$18,[1]QUART!$A$2:$FA$300, 69, FALSE))</f>
        <v>97.853333333333339</v>
      </c>
      <c r="BS18" s="1550">
        <f>IF(VLOOKUP($E$18,[1]QUART!$A$2:$FA$300, 70, FALSE)="",":",VLOOKUP($E$18,[1]QUART!$A$2:$FA$300, 70, FALSE))</f>
        <v>96.196666666666673</v>
      </c>
      <c r="BT18" s="1550">
        <f>IF(VLOOKUP($E$18,[1]QUART!$A$2:$FA$300, 71, FALSE)="",":",VLOOKUP($E$18,[1]QUART!$A$2:$FA$300, 71, FALSE))</f>
        <v>98.066666666666663</v>
      </c>
      <c r="BU18" s="1550">
        <f>IF(VLOOKUP($E$18,[1]QUART!$A$2:$FA$300, 72, FALSE)="",":",VLOOKUP($E$18,[1]QUART!$A$2:$FA$300, 72, FALSE))</f>
        <v>96.576666666666668</v>
      </c>
      <c r="BV18" s="1550">
        <f>IF(VLOOKUP($E$18,[1]QUART!$A$2:$FA$300, 73, FALSE)="",":",VLOOKUP($E$18,[1]QUART!$A$2:$FA$300, 73, FALSE))</f>
        <v>97.71</v>
      </c>
      <c r="BW18" s="1550">
        <f>IF(VLOOKUP($E$18,[1]QUART!$A$2:$FA$300, 74, FALSE)="",":",VLOOKUP($E$18,[1]QUART!$A$2:$FA$300, 74, FALSE))</f>
        <v>96.61</v>
      </c>
      <c r="BX18" s="1550">
        <f>IF(VLOOKUP($E$18,[1]QUART!$A$2:$FA$300, 75, FALSE)="",":",VLOOKUP($E$18,[1]QUART!$A$2:$FA$300, 75, FALSE))</f>
        <v>98.476666666666674</v>
      </c>
      <c r="BY18" s="1550">
        <f>IF(VLOOKUP($E$18,[1]QUART!$A$2:$FA$300, 76, FALSE)="",":",VLOOKUP($E$18,[1]QUART!$A$2:$FA$300, 76, FALSE))</f>
        <v>98.033333333333346</v>
      </c>
      <c r="BZ18" s="1550">
        <f>IF(VLOOKUP($E$18,[1]QUART!$A$2:$FA$300, 77, FALSE)="",":",VLOOKUP($E$18,[1]QUART!$A$2:$FA$300, 77, FALSE))</f>
        <v>99.780000000000015</v>
      </c>
      <c r="CA18" s="1550">
        <f>IF(VLOOKUP($E$18,[1]QUART!$A$2:$FA$300, 78, FALSE)="",":",VLOOKUP($E$18,[1]QUART!$A$2:$FA$300, 78, FALSE))</f>
        <v>98.219999999999985</v>
      </c>
      <c r="CB18" s="1550">
        <f>IF(VLOOKUP($E$18,[1]QUART!$A$2:$FA$300, 79, FALSE)="",":",VLOOKUP($E$18,[1]QUART!$A$2:$FA$300, 79, FALSE))</f>
        <v>99.713333333333324</v>
      </c>
      <c r="CC18" s="1550">
        <f>IF(VLOOKUP($E$18,[1]QUART!$A$2:$FA$300, 80, FALSE)="",":",VLOOKUP($E$18,[1]QUART!$A$2:$FA$300, 80, FALSE))</f>
        <v>98.45</v>
      </c>
      <c r="CD18" s="1550">
        <f>IF(VLOOKUP($E$18,[1]QUART!$A$2:$FA$300, 81, FALSE)="",":",VLOOKUP($E$18,[1]QUART!$A$2:$FA$300, 81, FALSE))</f>
        <v>100.27333333333333</v>
      </c>
      <c r="CE18" s="1550">
        <f>IF(VLOOKUP($E$18,[1]QUART!$A$2:$FA$300, 82, FALSE)="",":",VLOOKUP($E$18,[1]QUART!$A$2:$FA$300, 82, FALSE))</f>
        <v>98.603333333333339</v>
      </c>
      <c r="CF18" s="1550">
        <f>IF(VLOOKUP($E$18,[1]QUART!$A$2:$FA$300, 83, FALSE)="",":",VLOOKUP($E$18,[1]QUART!$A$2:$FA$300, 83, FALSE))</f>
        <v>99.793333333333337</v>
      </c>
      <c r="CG18" s="1550">
        <f>IF(VLOOKUP($E$18,[1]QUART!$A$2:$FA$300, 84, FALSE)="",":",VLOOKUP($E$18,[1]QUART!$A$2:$FA$300, 84, FALSE))</f>
        <v>98.493333333333339</v>
      </c>
      <c r="CH18" s="1550">
        <f>IF(VLOOKUP($E$18,[1]QUART!$A$2:$FA$300, 85, FALSE)="",":",VLOOKUP($E$18,[1]QUART!$A$2:$FA$300, 85, FALSE))</f>
        <v>100.07000000000001</v>
      </c>
      <c r="CI18" s="1550">
        <f>IF(VLOOKUP($E$18,[1]QUART!$A$2:$FA$300, 86, FALSE)="",":",VLOOKUP($E$18,[1]QUART!$A$2:$FA$300, 86, FALSE))</f>
        <v>98.639999999999986</v>
      </c>
      <c r="CJ18" s="1550">
        <f>IF(VLOOKUP($E$18,[1]QUART!$A$2:$FA$300, 87, FALSE)="",":",VLOOKUP($E$18,[1]QUART!$A$2:$FA$300, 87, FALSE))</f>
        <v>100.32333333333332</v>
      </c>
      <c r="CK18" s="1550">
        <f>IF(VLOOKUP($E$18,[1]QUART!$A$2:$FA$300, 88, FALSE)="",":",VLOOKUP($E$18,[1]QUART!$A$2:$FA$300, 88, FALSE))</f>
        <v>99.376666666666665</v>
      </c>
      <c r="CL18" s="1550">
        <f>IF(VLOOKUP($E$18,[1]QUART!$A$2:$FA$300, 89, FALSE)="",":",VLOOKUP($E$18,[1]QUART!$A$2:$FA$300, 89, FALSE))</f>
        <v>101.66000000000001</v>
      </c>
      <c r="CM18" s="1550">
        <f>IF(VLOOKUP($E$18,[1]QUART!$A$2:$FA$300, 90, FALSE)="",":",VLOOKUP($E$18,[1]QUART!$A$2:$FA$300, 90, FALSE))</f>
        <v>100.05</v>
      </c>
      <c r="CN18" s="1550">
        <f>IF(VLOOKUP($E$18,[1]QUART!$A$2:$FA$300, 91, FALSE)="",":",VLOOKUP($E$18,[1]QUART!$A$2:$FA$300, 91, FALSE))</f>
        <v>101.41333333333334</v>
      </c>
      <c r="CO18" s="1550">
        <f>IF(VLOOKUP($E$18,[1]QUART!$A$2:$FA$300, 92, FALSE)="",":",VLOOKUP($E$18,[1]QUART!$A$2:$FA$300, 92, FALSE))</f>
        <v>99.516666666666652</v>
      </c>
      <c r="CP18" s="1550">
        <f>IF(VLOOKUP($E$18,[1]QUART!$A$2:$FA$300, 93, FALSE)="",":",VLOOKUP($E$18,[1]QUART!$A$2:$FA$300, 93, FALSE))</f>
        <v>101.76666666666667</v>
      </c>
      <c r="CQ18" s="1550">
        <f>IF(VLOOKUP($E$18,[1]QUART!$A$2:$FA$300, 94, FALSE)="",":",VLOOKUP($E$18,[1]QUART!$A$2:$FA$300, 94, FALSE))</f>
        <v>100.35333333333334</v>
      </c>
      <c r="CR18" s="1550">
        <f>IF(VLOOKUP($E$18,[1]QUART!$A$2:$FA$300, 95, FALSE)="",":",VLOOKUP($E$18,[1]QUART!$A$2:$FA$300, 95, FALSE))</f>
        <v>102.18</v>
      </c>
      <c r="CS18" s="1550">
        <f>IF(VLOOKUP($E$18,[1]QUART!$A$2:$FA$300, 96, FALSE)="",":",VLOOKUP($E$18,[1]QUART!$A$2:$FA$300, 96, FALSE))</f>
        <v>100.46666666666665</v>
      </c>
      <c r="CT18" s="1550">
        <f>IF(VLOOKUP($E$18,[1]QUART!$A$2:$FA$300, 97, FALSE)="",":",VLOOKUP($E$18,[1]QUART!$A$2:$FA$300, 97, FALSE))</f>
        <v>102.64333333333333</v>
      </c>
      <c r="CU18" s="1550" t="str">
        <f>IF(VLOOKUP($E$18,[1]QUART!$A$2:$FA$300, 98, FALSE)="",":",VLOOKUP($E$18,[1]QUART!$A$2:$FA$300, 98, FALSE))</f>
        <v>:</v>
      </c>
      <c r="CV18" s="1550" t="str">
        <f>IF(VLOOKUP($E$18,[1]QUART!$A$2:$FA$300, 99, FALSE)="",":",VLOOKUP($E$18,[1]QUART!$A$2:$FA$300, 99, FALSE))</f>
        <v>:</v>
      </c>
      <c r="CW18" s="1550" t="str">
        <f>IF(VLOOKUP($E$18,[1]QUART!$A$2:$FA$300, 100, FALSE)="",":",VLOOKUP($E$18,[1]QUART!$A$2:$FA$300, 100, FALSE))</f>
        <v>:</v>
      </c>
      <c r="CX18" s="1550" t="str">
        <f>IF(VLOOKUP($E$18,[1]QUART!$A$2:$FA$300, 101, FALSE)="",":",VLOOKUP($E$18,[1]QUART!$A$2:$FA$300, 101, FALSE))</f>
        <v>:</v>
      </c>
      <c r="CY18" s="1550" t="str">
        <f>IF(VLOOKUP($E$18,[1]QUART!$A$2:$FA$300, 102, FALSE)="",":",VLOOKUP($E$18,[1]QUART!$A$2:$FA$300, 102, FALSE))</f>
        <v>:</v>
      </c>
      <c r="CZ18" s="1550" t="str">
        <f>IF(VLOOKUP($E$18,[1]QUART!$A$2:$FA$300, 103, FALSE)="",":",VLOOKUP($E$18,[1]QUART!$A$2:$FA$300, 103, FALSE))</f>
        <v>:</v>
      </c>
      <c r="DA18" s="1550" t="str">
        <f>IF(VLOOKUP($E$18,[1]QUART!$A$2:$FA$300, 104, FALSE)="",":",VLOOKUP($E$18,[1]QUART!$A$2:$FA$300, 104, FALSE))</f>
        <v>:</v>
      </c>
      <c r="DB18" s="1550" t="str">
        <f>IF(VLOOKUP($E$18,[1]QUART!$A$2:$FA$300, 105, FALSE)="",":",VLOOKUP($E$18,[1]QUART!$A$2:$FA$300, 105, FALSE))</f>
        <v>:</v>
      </c>
      <c r="DC18" s="1550" t="str">
        <f>IF(VLOOKUP($E$18,[1]QUART!$A$2:$FA$300, 106, FALSE)="",":",VLOOKUP($E$18,[1]QUART!$A$2:$FA$300, 106, FALSE))</f>
        <v>:</v>
      </c>
    </row>
    <row r="19" spans="1:107">
      <c r="A19" s="1546">
        <v>168</v>
      </c>
      <c r="B19" s="1551" t="s">
        <v>446</v>
      </c>
      <c r="C19" s="1552"/>
      <c r="D19" s="1547" t="s">
        <v>1841</v>
      </c>
      <c r="E19" s="1548">
        <v>92</v>
      </c>
      <c r="F19" s="1549" t="str">
        <f>VLOOKUP($E$19,[1]QUART!$A$2:$FA$300, 3, FALSE)</f>
        <v>92 HICP Energy</v>
      </c>
      <c r="G19" s="1550" t="str">
        <f>IF(VLOOKUP($E$19,[1]QUART!$A$2:$FA$300, 6, FALSE)="",":",VLOOKUP($E$19,[1]QUART!$A$2:$FA$300, 6, FALSE))</f>
        <v>:</v>
      </c>
      <c r="H19" s="1550" t="str">
        <f>IF(VLOOKUP($E$19,[1]QUART!$A$2:$FA$300, 7, FALSE)="",":",VLOOKUP($E$19,[1]QUART!$A$2:$FA$300, 7, FALSE))</f>
        <v>:</v>
      </c>
      <c r="I19" s="1550" t="str">
        <f>IF(VLOOKUP($E$19,[1]QUART!$A$2:$FA$300, 8, FALSE)="",":",VLOOKUP($E$19,[1]QUART!$A$2:$FA$300, 8, FALSE))</f>
        <v>:</v>
      </c>
      <c r="J19" s="1550" t="str">
        <f>IF(VLOOKUP($E$19,[1]QUART!$A$2:$FA$300, 9, FALSE)="",":",VLOOKUP($E$19,[1]QUART!$A$2:$FA$300, 9, FALSE))</f>
        <v>:</v>
      </c>
      <c r="K19" s="1550">
        <f>IF(VLOOKUP($E$19,[1]QUART!$A$2:$FA$300, 10, FALSE)="",":",VLOOKUP($E$19,[1]QUART!$A$2:$FA$300, 10, FALSE))</f>
        <v>29.959999999999997</v>
      </c>
      <c r="L19" s="1550">
        <f>IF(VLOOKUP($E$19,[1]QUART!$A$2:$FA$300, 11, FALSE)="",":",VLOOKUP($E$19,[1]QUART!$A$2:$FA$300, 11, FALSE))</f>
        <v>30.306666666666668</v>
      </c>
      <c r="M19" s="1550">
        <f>IF(VLOOKUP($E$19,[1]QUART!$A$2:$FA$300, 12, FALSE)="",":",VLOOKUP($E$19,[1]QUART!$A$2:$FA$300, 12, FALSE))</f>
        <v>31.173333333333332</v>
      </c>
      <c r="N19" s="1550">
        <f>IF(VLOOKUP($E$19,[1]QUART!$A$2:$FA$300, 13, FALSE)="",":",VLOOKUP($E$19,[1]QUART!$A$2:$FA$300, 13, FALSE))</f>
        <v>33.169999999999995</v>
      </c>
      <c r="O19" s="1550">
        <f>IF(VLOOKUP($E$19,[1]QUART!$A$2:$FA$300, 14, FALSE)="",":",VLOOKUP($E$19,[1]QUART!$A$2:$FA$300, 14, FALSE))</f>
        <v>34.360000000000007</v>
      </c>
      <c r="P19" s="1550">
        <f>IF(VLOOKUP($E$19,[1]QUART!$A$2:$FA$300, 15, FALSE)="",":",VLOOKUP($E$19,[1]QUART!$A$2:$FA$300, 15, FALSE))</f>
        <v>34.796666666666667</v>
      </c>
      <c r="Q19" s="1550">
        <f>IF(VLOOKUP($E$19,[1]QUART!$A$2:$FA$300, 16, FALSE)="",":",VLOOKUP($E$19,[1]QUART!$A$2:$FA$300, 16, FALSE))</f>
        <v>38.973333333333336</v>
      </c>
      <c r="R19" s="1550">
        <f>IF(VLOOKUP($E$19,[1]QUART!$A$2:$FA$300, 17, FALSE)="",":",VLOOKUP($E$19,[1]QUART!$A$2:$FA$300, 17, FALSE))</f>
        <v>40.809999999999995</v>
      </c>
      <c r="S19" s="1550">
        <f>IF(VLOOKUP($E$19,[1]QUART!$A$2:$FA$300, 18, FALSE)="",":",VLOOKUP($E$19,[1]QUART!$A$2:$FA$300, 18, FALSE))</f>
        <v>41.43333333333333</v>
      </c>
      <c r="T19" s="1550">
        <f>IF(VLOOKUP($E$19,[1]QUART!$A$2:$FA$300, 19, FALSE)="",":",VLOOKUP($E$19,[1]QUART!$A$2:$FA$300, 19, FALSE))</f>
        <v>41.706666666666671</v>
      </c>
      <c r="U19" s="1550">
        <f>IF(VLOOKUP($E$19,[1]QUART!$A$2:$FA$300, 20, FALSE)="",":",VLOOKUP($E$19,[1]QUART!$A$2:$FA$300, 20, FALSE))</f>
        <v>43.213333333333331</v>
      </c>
      <c r="V19" s="1550">
        <f>IF(VLOOKUP($E$19,[1]QUART!$A$2:$FA$300, 21, FALSE)="",":",VLOOKUP($E$19,[1]QUART!$A$2:$FA$300, 21, FALSE))</f>
        <v>44.686666666666667</v>
      </c>
      <c r="W19" s="1550">
        <f>IF(VLOOKUP($E$19,[1]QUART!$A$2:$FA$300, 22, FALSE)="",":",VLOOKUP($E$19,[1]QUART!$A$2:$FA$300, 22, FALSE))</f>
        <v>45.546666666666674</v>
      </c>
      <c r="X19" s="1550">
        <f>IF(VLOOKUP($E$19,[1]QUART!$A$2:$FA$300, 23, FALSE)="",":",VLOOKUP($E$19,[1]QUART!$A$2:$FA$300, 23, FALSE))</f>
        <v>45.916666666666664</v>
      </c>
      <c r="Y19" s="1550">
        <f>IF(VLOOKUP($E$19,[1]QUART!$A$2:$FA$300, 24, FALSE)="",":",VLOOKUP($E$19,[1]QUART!$A$2:$FA$300, 24, FALSE))</f>
        <v>46.81</v>
      </c>
      <c r="Z19" s="1550">
        <f>IF(VLOOKUP($E$19,[1]QUART!$A$2:$FA$300, 25, FALSE)="",":",VLOOKUP($E$19,[1]QUART!$A$2:$FA$300, 25, FALSE))</f>
        <v>48.06</v>
      </c>
      <c r="AA19" s="1550">
        <f>IF(VLOOKUP($E$19,[1]QUART!$A$2:$FA$300, 26, FALSE)="",":",VLOOKUP($E$19,[1]QUART!$A$2:$FA$300, 26, FALSE))</f>
        <v>53.370000000000005</v>
      </c>
      <c r="AB19" s="1550">
        <f>IF(VLOOKUP($E$19,[1]QUART!$A$2:$FA$300, 27, FALSE)="",":",VLOOKUP($E$19,[1]QUART!$A$2:$FA$300, 27, FALSE))</f>
        <v>54.576666666666675</v>
      </c>
      <c r="AC19" s="1550">
        <f>IF(VLOOKUP($E$19,[1]QUART!$A$2:$FA$300, 28, FALSE)="",":",VLOOKUP($E$19,[1]QUART!$A$2:$FA$300, 28, FALSE))</f>
        <v>54.603333333333332</v>
      </c>
      <c r="AD19" s="1550">
        <f>IF(VLOOKUP($E$19,[1]QUART!$A$2:$FA$300, 29, FALSE)="",":",VLOOKUP($E$19,[1]QUART!$A$2:$FA$300, 29, FALSE))</f>
        <v>55.956666666666671</v>
      </c>
      <c r="AE19" s="1550">
        <f>IF(VLOOKUP($E$19,[1]QUART!$A$2:$FA$300, 30, FALSE)="",":",VLOOKUP($E$19,[1]QUART!$A$2:$FA$300, 30, FALSE))</f>
        <v>54.066666666666663</v>
      </c>
      <c r="AF19" s="1550">
        <f>IF(VLOOKUP($E$19,[1]QUART!$A$2:$FA$300, 31, FALSE)="",":",VLOOKUP($E$19,[1]QUART!$A$2:$FA$300, 31, FALSE))</f>
        <v>55.156666666666666</v>
      </c>
      <c r="AG19" s="1550">
        <f>IF(VLOOKUP($E$19,[1]QUART!$A$2:$FA$300, 32, FALSE)="",":",VLOOKUP($E$19,[1]QUART!$A$2:$FA$300, 32, FALSE))</f>
        <v>55.24</v>
      </c>
      <c r="AH19" s="1550">
        <f>IF(VLOOKUP($E$19,[1]QUART!$A$2:$FA$300, 33, FALSE)="",":",VLOOKUP($E$19,[1]QUART!$A$2:$FA$300, 33, FALSE))</f>
        <v>53.98</v>
      </c>
      <c r="AI19" s="1550">
        <f>IF(VLOOKUP($E$19,[1]QUART!$A$2:$FA$300, 34, FALSE)="",":",VLOOKUP($E$19,[1]QUART!$A$2:$FA$300, 34, FALSE))</f>
        <v>54.823333333333331</v>
      </c>
      <c r="AJ19" s="1550">
        <f>IF(VLOOKUP($E$19,[1]QUART!$A$2:$FA$300, 35, FALSE)="",":",VLOOKUP($E$19,[1]QUART!$A$2:$FA$300, 35, FALSE))</f>
        <v>55.946666666666665</v>
      </c>
      <c r="AK19" s="1550">
        <f>IF(VLOOKUP($E$19,[1]QUART!$A$2:$FA$300, 36, FALSE)="",":",VLOOKUP($E$19,[1]QUART!$A$2:$FA$300, 36, FALSE))</f>
        <v>55.4</v>
      </c>
      <c r="AL19" s="1550">
        <f>IF(VLOOKUP($E$19,[1]QUART!$A$2:$FA$300, 37, FALSE)="",":",VLOOKUP($E$19,[1]QUART!$A$2:$FA$300, 37, FALSE))</f>
        <v>55.96</v>
      </c>
      <c r="AM19" s="1550">
        <f>IF(VLOOKUP($E$19,[1]QUART!$A$2:$FA$300, 38, FALSE)="",":",VLOOKUP($E$19,[1]QUART!$A$2:$FA$300, 38, FALSE))</f>
        <v>56.876666666666665</v>
      </c>
      <c r="AN19" s="1550">
        <f>IF(VLOOKUP($E$19,[1]QUART!$A$2:$FA$300, 39, FALSE)="",":",VLOOKUP($E$19,[1]QUART!$A$2:$FA$300, 39, FALSE))</f>
        <v>56.29666666666666</v>
      </c>
      <c r="AO19" s="1550">
        <f>IF(VLOOKUP($E$19,[1]QUART!$A$2:$FA$300, 40, FALSE)="",":",VLOOKUP($E$19,[1]QUART!$A$2:$FA$300, 40, FALSE))</f>
        <v>55.836666666666666</v>
      </c>
      <c r="AP19" s="1550">
        <f>IF(VLOOKUP($E$19,[1]QUART!$A$2:$FA$300, 41, FALSE)="",":",VLOOKUP($E$19,[1]QUART!$A$2:$FA$300, 41, FALSE))</f>
        <v>55.51</v>
      </c>
      <c r="AQ19" s="1550">
        <f>IF(VLOOKUP($E$19,[1]QUART!$A$2:$FA$300, 42, FALSE)="",":",VLOOKUP($E$19,[1]QUART!$A$2:$FA$300, 42, FALSE))</f>
        <v>56.266666666666673</v>
      </c>
      <c r="AR19" s="1550">
        <f>IF(VLOOKUP($E$19,[1]QUART!$A$2:$FA$300, 43, FALSE)="",":",VLOOKUP($E$19,[1]QUART!$A$2:$FA$300, 43, FALSE))</f>
        <v>57.926666666666669</v>
      </c>
      <c r="AS19" s="1550">
        <f>IF(VLOOKUP($E$19,[1]QUART!$A$2:$FA$300, 44, FALSE)="",":",VLOOKUP($E$19,[1]QUART!$A$2:$FA$300, 44, FALSE))</f>
        <v>58.02</v>
      </c>
      <c r="AT19" s="1550">
        <f>IF(VLOOKUP($E$19,[1]QUART!$A$2:$FA$300, 45, FALSE)="",":",VLOOKUP($E$19,[1]QUART!$A$2:$FA$300, 45, FALSE))</f>
        <v>58.436666666666667</v>
      </c>
      <c r="AU19" s="1550">
        <f>IF(VLOOKUP($E$19,[1]QUART!$A$2:$FA$300, 46, FALSE)="",":",VLOOKUP($E$19,[1]QUART!$A$2:$FA$300, 46, FALSE))</f>
        <v>59.51</v>
      </c>
      <c r="AV19" s="1550">
        <f>IF(VLOOKUP($E$19,[1]QUART!$A$2:$FA$300, 47, FALSE)="",":",VLOOKUP($E$19,[1]QUART!$A$2:$FA$300, 47, FALSE))</f>
        <v>60.793333333333329</v>
      </c>
      <c r="AW19" s="1550">
        <f>IF(VLOOKUP($E$19,[1]QUART!$A$2:$FA$300, 48, FALSE)="",":",VLOOKUP($E$19,[1]QUART!$A$2:$FA$300, 48, FALSE))</f>
        <v>63.123333333333335</v>
      </c>
      <c r="AX19" s="1550">
        <f>IF(VLOOKUP($E$19,[1]QUART!$A$2:$FA$300, 49, FALSE)="",":",VLOOKUP($E$19,[1]QUART!$A$2:$FA$300, 49, FALSE))</f>
        <v>63.896666666666668</v>
      </c>
      <c r="AY19" s="1550">
        <f>IF(VLOOKUP($E$19,[1]QUART!$A$2:$FA$300, 50, FALSE)="",":",VLOOKUP($E$19,[1]QUART!$A$2:$FA$300, 50, FALSE))</f>
        <v>65.27</v>
      </c>
      <c r="AZ19" s="1550">
        <f>IF(VLOOKUP($E$19,[1]QUART!$A$2:$FA$300, 51, FALSE)="",":",VLOOKUP($E$19,[1]QUART!$A$2:$FA$300, 51, FALSE))</f>
        <v>66.286666666666676</v>
      </c>
      <c r="BA19" s="1550">
        <f>IF(VLOOKUP($E$19,[1]QUART!$A$2:$FA$300, 52, FALSE)="",":",VLOOKUP($E$19,[1]QUART!$A$2:$FA$300, 52, FALSE))</f>
        <v>66.760000000000005</v>
      </c>
      <c r="BB19" s="1550">
        <f>IF(VLOOKUP($E$19,[1]QUART!$A$2:$FA$300, 53, FALSE)="",":",VLOOKUP($E$19,[1]QUART!$A$2:$FA$300, 53, FALSE))</f>
        <v>67.779999999999987</v>
      </c>
      <c r="BC19" s="1550">
        <f>IF(VLOOKUP($E$19,[1]QUART!$A$2:$FA$300, 54, FALSE)="",":",VLOOKUP($E$19,[1]QUART!$A$2:$FA$300, 54, FALSE))</f>
        <v>68.28</v>
      </c>
      <c r="BD19" s="1550">
        <f>IF(VLOOKUP($E$19,[1]QUART!$A$2:$FA$300, 55, FALSE)="",":",VLOOKUP($E$19,[1]QUART!$A$2:$FA$300, 55, FALSE))</f>
        <v>70.2</v>
      </c>
      <c r="BE19" s="1550">
        <f>IF(VLOOKUP($E$19,[1]QUART!$A$2:$FA$300, 56, FALSE)="",":",VLOOKUP($E$19,[1]QUART!$A$2:$FA$300, 56, FALSE))</f>
        <v>71.326666666666668</v>
      </c>
      <c r="BF19" s="1550">
        <f>IF(VLOOKUP($E$19,[1]QUART!$A$2:$FA$300, 57, FALSE)="",":",VLOOKUP($E$19,[1]QUART!$A$2:$FA$300, 57, FALSE))</f>
        <v>74.463333333333324</v>
      </c>
      <c r="BG19" s="1550">
        <f>IF(VLOOKUP($E$19,[1]QUART!$A$2:$FA$300, 58, FALSE)="",":",VLOOKUP($E$19,[1]QUART!$A$2:$FA$300, 58, FALSE))</f>
        <v>80.75</v>
      </c>
      <c r="BH19" s="1550">
        <f>IF(VLOOKUP($E$19,[1]QUART!$A$2:$FA$300, 59, FALSE)="",":",VLOOKUP($E$19,[1]QUART!$A$2:$FA$300, 59, FALSE))</f>
        <v>83.506666666666675</v>
      </c>
      <c r="BI19" s="1550">
        <f>IF(VLOOKUP($E$19,[1]QUART!$A$2:$FA$300, 60, FALSE)="",":",VLOOKUP($E$19,[1]QUART!$A$2:$FA$300, 60, FALSE))</f>
        <v>85.95</v>
      </c>
      <c r="BJ19" s="1550">
        <f>IF(VLOOKUP($E$19,[1]QUART!$A$2:$FA$300, 61, FALSE)="",":",VLOOKUP($E$19,[1]QUART!$A$2:$FA$300, 61, FALSE))</f>
        <v>85.013333333333321</v>
      </c>
      <c r="BK19" s="1550">
        <f>IF(VLOOKUP($E$19,[1]QUART!$A$2:$FA$300, 62, FALSE)="",":",VLOOKUP($E$19,[1]QUART!$A$2:$FA$300, 62, FALSE))</f>
        <v>91.366666666666674</v>
      </c>
      <c r="BL19" s="1550">
        <f>IF(VLOOKUP($E$19,[1]QUART!$A$2:$FA$300, 63, FALSE)="",":",VLOOKUP($E$19,[1]QUART!$A$2:$FA$300, 63, FALSE))</f>
        <v>92.323333333333338</v>
      </c>
      <c r="BM19" s="1550">
        <f>IF(VLOOKUP($E$19,[1]QUART!$A$2:$FA$300, 64, FALSE)="",":",VLOOKUP($E$19,[1]QUART!$A$2:$FA$300, 64, FALSE))</f>
        <v>91.25333333333333</v>
      </c>
      <c r="BN19" s="1550">
        <f>IF(VLOOKUP($E$19,[1]QUART!$A$2:$FA$300, 65, FALSE)="",":",VLOOKUP($E$19,[1]QUART!$A$2:$FA$300, 65, FALSE))</f>
        <v>87.649999999999991</v>
      </c>
      <c r="BO19" s="1550">
        <f>IF(VLOOKUP($E$19,[1]QUART!$A$2:$FA$300, 66, FALSE)="",":",VLOOKUP($E$19,[1]QUART!$A$2:$FA$300, 66, FALSE))</f>
        <v>96.31</v>
      </c>
      <c r="BP19" s="1550">
        <f>IF(VLOOKUP($E$19,[1]QUART!$A$2:$FA$300, 67, FALSE)="",":",VLOOKUP($E$19,[1]QUART!$A$2:$FA$300, 67, FALSE))</f>
        <v>99.523333333333326</v>
      </c>
      <c r="BQ19" s="1550">
        <f>IF(VLOOKUP($E$19,[1]QUART!$A$2:$FA$300, 68, FALSE)="",":",VLOOKUP($E$19,[1]QUART!$A$2:$FA$300, 68, FALSE))</f>
        <v>101.39999999999999</v>
      </c>
      <c r="BR19" s="1550">
        <f>IF(VLOOKUP($E$19,[1]QUART!$A$2:$FA$300, 69, FALSE)="",":",VLOOKUP($E$19,[1]QUART!$A$2:$FA$300, 69, FALSE))</f>
        <v>103.07333333333334</v>
      </c>
      <c r="BS19" s="1550">
        <f>IF(VLOOKUP($E$19,[1]QUART!$A$2:$FA$300, 70, FALSE)="",":",VLOOKUP($E$19,[1]QUART!$A$2:$FA$300, 70, FALSE))</f>
        <v>107.88333333333333</v>
      </c>
      <c r="BT19" s="1550">
        <f>IF(VLOOKUP($E$19,[1]QUART!$A$2:$FA$300, 71, FALSE)="",":",VLOOKUP($E$19,[1]QUART!$A$2:$FA$300, 71, FALSE))</f>
        <v>110.75</v>
      </c>
      <c r="BU19" s="1550">
        <f>IF(VLOOKUP($E$19,[1]QUART!$A$2:$FA$300, 72, FALSE)="",":",VLOOKUP($E$19,[1]QUART!$A$2:$FA$300, 72, FALSE))</f>
        <v>114.21</v>
      </c>
      <c r="BV19" s="1550">
        <f>IF(VLOOKUP($E$19,[1]QUART!$A$2:$FA$300, 73, FALSE)="",":",VLOOKUP($E$19,[1]QUART!$A$2:$FA$300, 73, FALSE))</f>
        <v>115.67</v>
      </c>
      <c r="BW19" s="1550">
        <f>IF(VLOOKUP($E$19,[1]QUART!$A$2:$FA$300, 74, FALSE)="",":",VLOOKUP($E$19,[1]QUART!$A$2:$FA$300, 74, FALSE))</f>
        <v>118.03666666666665</v>
      </c>
      <c r="BX19" s="1550">
        <f>IF(VLOOKUP($E$19,[1]QUART!$A$2:$FA$300, 75, FALSE)="",":",VLOOKUP($E$19,[1]QUART!$A$2:$FA$300, 75, FALSE))</f>
        <v>119.48333333333333</v>
      </c>
      <c r="BY19" s="1550">
        <f>IF(VLOOKUP($E$19,[1]QUART!$A$2:$FA$300, 76, FALSE)="",":",VLOOKUP($E$19,[1]QUART!$A$2:$FA$300, 76, FALSE))</f>
        <v>121.49333333333334</v>
      </c>
      <c r="BZ19" s="1550">
        <f>IF(VLOOKUP($E$19,[1]QUART!$A$2:$FA$300, 77, FALSE)="",":",VLOOKUP($E$19,[1]QUART!$A$2:$FA$300, 77, FALSE))</f>
        <v>119.35666666666667</v>
      </c>
      <c r="CA19" s="1550">
        <f>IF(VLOOKUP($E$19,[1]QUART!$A$2:$FA$300, 78, FALSE)="",":",VLOOKUP($E$19,[1]QUART!$A$2:$FA$300, 78, FALSE))</f>
        <v>119.98666666666666</v>
      </c>
      <c r="CB19" s="1550">
        <f>IF(VLOOKUP($E$19,[1]QUART!$A$2:$FA$300, 79, FALSE)="",":",VLOOKUP($E$19,[1]QUART!$A$2:$FA$300, 79, FALSE))</f>
        <v>118.14333333333333</v>
      </c>
      <c r="CC19" s="1550">
        <f>IF(VLOOKUP($E$19,[1]QUART!$A$2:$FA$300, 80, FALSE)="",":",VLOOKUP($E$19,[1]QUART!$A$2:$FA$300, 80, FALSE))</f>
        <v>117.43</v>
      </c>
      <c r="CD19" s="1550">
        <f>IF(VLOOKUP($E$19,[1]QUART!$A$2:$FA$300, 81, FALSE)="",":",VLOOKUP($E$19,[1]QUART!$A$2:$FA$300, 81, FALSE))</f>
        <v>116.85666666666667</v>
      </c>
      <c r="CE19" s="1550">
        <f>IF(VLOOKUP($E$19,[1]QUART!$A$2:$FA$300, 82, FALSE)="",":",VLOOKUP($E$19,[1]QUART!$A$2:$FA$300, 82, FALSE))</f>
        <v>116.97333333333331</v>
      </c>
      <c r="CF19" s="1550">
        <f>IF(VLOOKUP($E$19,[1]QUART!$A$2:$FA$300, 83, FALSE)="",":",VLOOKUP($E$19,[1]QUART!$A$2:$FA$300, 83, FALSE))</f>
        <v>114.57666666666667</v>
      </c>
      <c r="CG19" s="1550">
        <f>IF(VLOOKUP($E$19,[1]QUART!$A$2:$FA$300, 84, FALSE)="",":",VLOOKUP($E$19,[1]QUART!$A$2:$FA$300, 84, FALSE))</f>
        <v>112.04</v>
      </c>
      <c r="CH19" s="1550">
        <f>IF(VLOOKUP($E$19,[1]QUART!$A$2:$FA$300, 85, FALSE)="",":",VLOOKUP($E$19,[1]QUART!$A$2:$FA$300, 85, FALSE))</f>
        <v>110.11666666666666</v>
      </c>
      <c r="CI19" s="1550">
        <f>IF(VLOOKUP($E$19,[1]QUART!$A$2:$FA$300, 86, FALSE)="",":",VLOOKUP($E$19,[1]QUART!$A$2:$FA$300, 86, FALSE))</f>
        <v>100.37333333333333</v>
      </c>
      <c r="CJ19" s="1550">
        <f>IF(VLOOKUP($E$19,[1]QUART!$A$2:$FA$300, 87, FALSE)="",":",VLOOKUP($E$19,[1]QUART!$A$2:$FA$300, 87, FALSE))</f>
        <v>103.63</v>
      </c>
      <c r="CK19" s="1550">
        <f>IF(VLOOKUP($E$19,[1]QUART!$A$2:$FA$300, 88, FALSE)="",":",VLOOKUP($E$19,[1]QUART!$A$2:$FA$300, 88, FALSE))</f>
        <v>100.26333333333334</v>
      </c>
      <c r="CL19" s="1550">
        <f>IF(VLOOKUP($E$19,[1]QUART!$A$2:$FA$300, 89, FALSE)="",":",VLOOKUP($E$19,[1]QUART!$A$2:$FA$300, 89, FALSE))</f>
        <v>95.73</v>
      </c>
      <c r="CM19" s="1550">
        <f>IF(VLOOKUP($E$19,[1]QUART!$A$2:$FA$300, 90, FALSE)="",":",VLOOKUP($E$19,[1]QUART!$A$2:$FA$300, 90, FALSE))</f>
        <v>92.31</v>
      </c>
      <c r="CN19" s="1550">
        <f>IF(VLOOKUP($E$19,[1]QUART!$A$2:$FA$300, 91, FALSE)="",":",VLOOKUP($E$19,[1]QUART!$A$2:$FA$300, 91, FALSE))</f>
        <v>93.00333333333333</v>
      </c>
      <c r="CO19" s="1550">
        <f>IF(VLOOKUP($E$19,[1]QUART!$A$2:$FA$300, 92, FALSE)="",":",VLOOKUP($E$19,[1]QUART!$A$2:$FA$300, 92, FALSE))</f>
        <v>91.393333333333331</v>
      </c>
      <c r="CP19" s="1550">
        <f>IF(VLOOKUP($E$19,[1]QUART!$A$2:$FA$300, 93, FALSE)="",":",VLOOKUP($E$19,[1]QUART!$A$2:$FA$300, 93, FALSE))</f>
        <v>94.553333333333327</v>
      </c>
      <c r="CQ19" s="1550">
        <f>IF(VLOOKUP($E$19,[1]QUART!$A$2:$FA$300, 94, FALSE)="",":",VLOOKUP($E$19,[1]QUART!$A$2:$FA$300, 94, FALSE))</f>
        <v>97.820000000000007</v>
      </c>
      <c r="CR19" s="1550">
        <f>IF(VLOOKUP($E$19,[1]QUART!$A$2:$FA$300, 95, FALSE)="",":",VLOOKUP($E$19,[1]QUART!$A$2:$FA$300, 95, FALSE))</f>
        <v>96.713333333333352</v>
      </c>
      <c r="CS19" s="1550">
        <f>IF(VLOOKUP($E$19,[1]QUART!$A$2:$FA$300, 96, FALSE)="",":",VLOOKUP($E$19,[1]QUART!$A$2:$FA$300, 96, FALSE))</f>
        <v>95.93</v>
      </c>
      <c r="CT19" s="1550">
        <f>IF(VLOOKUP($E$19,[1]QUART!$A$2:$FA$300, 97, FALSE)="",":",VLOOKUP($E$19,[1]QUART!$A$2:$FA$300, 97, FALSE))</f>
        <v>98.183333333333337</v>
      </c>
      <c r="CU19" s="1550" t="str">
        <f>IF(VLOOKUP($E$19,[1]QUART!$A$2:$FA$300, 98, FALSE)="",":",VLOOKUP($E$19,[1]QUART!$A$2:$FA$300, 98, FALSE))</f>
        <v>:</v>
      </c>
      <c r="CV19" s="1550" t="str">
        <f>IF(VLOOKUP($E$19,[1]QUART!$A$2:$FA$300, 99, FALSE)="",":",VLOOKUP($E$19,[1]QUART!$A$2:$FA$300, 99, FALSE))</f>
        <v>:</v>
      </c>
      <c r="CW19" s="1550" t="str">
        <f>IF(VLOOKUP($E$19,[1]QUART!$A$2:$FA$300, 100, FALSE)="",":",VLOOKUP($E$19,[1]QUART!$A$2:$FA$300, 100, FALSE))</f>
        <v>:</v>
      </c>
      <c r="CX19" s="1550" t="str">
        <f>IF(VLOOKUP($E$19,[1]QUART!$A$2:$FA$300, 101, FALSE)="",":",VLOOKUP($E$19,[1]QUART!$A$2:$FA$300, 101, FALSE))</f>
        <v>:</v>
      </c>
      <c r="CY19" s="1550" t="str">
        <f>IF(VLOOKUP($E$19,[1]QUART!$A$2:$FA$300, 102, FALSE)="",":",VLOOKUP($E$19,[1]QUART!$A$2:$FA$300, 102, FALSE))</f>
        <v>:</v>
      </c>
      <c r="CZ19" s="1550" t="str">
        <f>IF(VLOOKUP($E$19,[1]QUART!$A$2:$FA$300, 103, FALSE)="",":",VLOOKUP($E$19,[1]QUART!$A$2:$FA$300, 103, FALSE))</f>
        <v>:</v>
      </c>
      <c r="DA19" s="1550" t="str">
        <f>IF(VLOOKUP($E$19,[1]QUART!$A$2:$FA$300, 104, FALSE)="",":",VLOOKUP($E$19,[1]QUART!$A$2:$FA$300, 104, FALSE))</f>
        <v>:</v>
      </c>
      <c r="DB19" s="1550" t="str">
        <f>IF(VLOOKUP($E$19,[1]QUART!$A$2:$FA$300, 105, FALSE)="",":",VLOOKUP($E$19,[1]QUART!$A$2:$FA$300, 105, FALSE))</f>
        <v>:</v>
      </c>
      <c r="DC19" s="1550" t="str">
        <f>IF(VLOOKUP($E$19,[1]QUART!$A$2:$FA$300, 106, FALSE)="",":",VLOOKUP($E$19,[1]QUART!$A$2:$FA$300, 106, FALSE))</f>
        <v>:</v>
      </c>
    </row>
    <row r="20" spans="1:107">
      <c r="A20" s="1546">
        <v>169</v>
      </c>
      <c r="B20" s="1551" t="s">
        <v>444</v>
      </c>
      <c r="C20" s="1552"/>
      <c r="D20" s="1547" t="s">
        <v>1841</v>
      </c>
      <c r="E20" s="1548">
        <v>93</v>
      </c>
      <c r="F20" s="1549" t="str">
        <f>VLOOKUP($E$20,[1]QUART!$A$2:$FA$300, 3, FALSE)</f>
        <v>93 HICP Unprocessed food</v>
      </c>
      <c r="G20" s="1550" t="str">
        <f>IF(VLOOKUP($E$20,[1]QUART!$A$2:$FA$300, 6, FALSE)="",":",VLOOKUP($E$20,[1]QUART!$A$2:$FA$300, 6, FALSE))</f>
        <v>:</v>
      </c>
      <c r="H20" s="1550" t="str">
        <f>IF(VLOOKUP($E$20,[1]QUART!$A$2:$FA$300, 7, FALSE)="",":",VLOOKUP($E$20,[1]QUART!$A$2:$FA$300, 7, FALSE))</f>
        <v>:</v>
      </c>
      <c r="I20" s="1550" t="str">
        <f>IF(VLOOKUP($E$20,[1]QUART!$A$2:$FA$300, 8, FALSE)="",":",VLOOKUP($E$20,[1]QUART!$A$2:$FA$300, 8, FALSE))</f>
        <v>:</v>
      </c>
      <c r="J20" s="1550" t="str">
        <f>IF(VLOOKUP($E$20,[1]QUART!$A$2:$FA$300, 9, FALSE)="",":",VLOOKUP($E$20,[1]QUART!$A$2:$FA$300, 9, FALSE))</f>
        <v>:</v>
      </c>
      <c r="K20" s="1550">
        <f>IF(VLOOKUP($E$20,[1]QUART!$A$2:$FA$300, 10, FALSE)="",":",VLOOKUP($E$20,[1]QUART!$A$2:$FA$300, 10, FALSE))</f>
        <v>61.646666666666668</v>
      </c>
      <c r="L20" s="1550">
        <f>IF(VLOOKUP($E$20,[1]QUART!$A$2:$FA$300, 11, FALSE)="",":",VLOOKUP($E$20,[1]QUART!$A$2:$FA$300, 11, FALSE))</f>
        <v>67.970000000000013</v>
      </c>
      <c r="M20" s="1550">
        <f>IF(VLOOKUP($E$20,[1]QUART!$A$2:$FA$300, 12, FALSE)="",":",VLOOKUP($E$20,[1]QUART!$A$2:$FA$300, 12, FALSE))</f>
        <v>66.236666666666665</v>
      </c>
      <c r="N20" s="1550">
        <f>IF(VLOOKUP($E$20,[1]QUART!$A$2:$FA$300, 13, FALSE)="",":",VLOOKUP($E$20,[1]QUART!$A$2:$FA$300, 13, FALSE))</f>
        <v>66.719999999999985</v>
      </c>
      <c r="O20" s="1550">
        <f>IF(VLOOKUP($E$20,[1]QUART!$A$2:$FA$300, 14, FALSE)="",":",VLOOKUP($E$20,[1]QUART!$A$2:$FA$300, 14, FALSE))</f>
        <v>70.8</v>
      </c>
      <c r="P20" s="1550">
        <f>IF(VLOOKUP($E$20,[1]QUART!$A$2:$FA$300, 15, FALSE)="",":",VLOOKUP($E$20,[1]QUART!$A$2:$FA$300, 15, FALSE))</f>
        <v>70.246666666666655</v>
      </c>
      <c r="Q20" s="1550">
        <f>IF(VLOOKUP($E$20,[1]QUART!$A$2:$FA$300, 16, FALSE)="",":",VLOOKUP($E$20,[1]QUART!$A$2:$FA$300, 16, FALSE))</f>
        <v>66.99666666666667</v>
      </c>
      <c r="R20" s="1550">
        <f>IF(VLOOKUP($E$20,[1]QUART!$A$2:$FA$300, 17, FALSE)="",":",VLOOKUP($E$20,[1]QUART!$A$2:$FA$300, 17, FALSE))</f>
        <v>67.543333333333337</v>
      </c>
      <c r="S20" s="1550">
        <f>IF(VLOOKUP($E$20,[1]QUART!$A$2:$FA$300, 18, FALSE)="",":",VLOOKUP($E$20,[1]QUART!$A$2:$FA$300, 18, FALSE))</f>
        <v>70.653333333333322</v>
      </c>
      <c r="T20" s="1550">
        <f>IF(VLOOKUP($E$20,[1]QUART!$A$2:$FA$300, 19, FALSE)="",":",VLOOKUP($E$20,[1]QUART!$A$2:$FA$300, 19, FALSE))</f>
        <v>71.856666666666669</v>
      </c>
      <c r="U20" s="1550">
        <f>IF(VLOOKUP($E$20,[1]QUART!$A$2:$FA$300, 20, FALSE)="",":",VLOOKUP($E$20,[1]QUART!$A$2:$FA$300, 20, FALSE))</f>
        <v>67.95</v>
      </c>
      <c r="V20" s="1550">
        <f>IF(VLOOKUP($E$20,[1]QUART!$A$2:$FA$300, 21, FALSE)="",":",VLOOKUP($E$20,[1]QUART!$A$2:$FA$300, 21, FALSE))</f>
        <v>67.643333333333331</v>
      </c>
      <c r="W20" s="1550">
        <f>IF(VLOOKUP($E$20,[1]QUART!$A$2:$FA$300, 22, FALSE)="",":",VLOOKUP($E$20,[1]QUART!$A$2:$FA$300, 22, FALSE))</f>
        <v>67.899999999999991</v>
      </c>
      <c r="X20" s="1550">
        <f>IF(VLOOKUP($E$20,[1]QUART!$A$2:$FA$300, 23, FALSE)="",":",VLOOKUP($E$20,[1]QUART!$A$2:$FA$300, 23, FALSE))</f>
        <v>66.163333333333341</v>
      </c>
      <c r="Y20" s="1550">
        <f>IF(VLOOKUP($E$20,[1]QUART!$A$2:$FA$300, 24, FALSE)="",":",VLOOKUP($E$20,[1]QUART!$A$2:$FA$300, 24, FALSE))</f>
        <v>63.54666666666666</v>
      </c>
      <c r="Z20" s="1550">
        <f>IF(VLOOKUP($E$20,[1]QUART!$A$2:$FA$300, 25, FALSE)="",":",VLOOKUP($E$20,[1]QUART!$A$2:$FA$300, 25, FALSE))</f>
        <v>64.876666666666665</v>
      </c>
      <c r="AA20" s="1550">
        <f>IF(VLOOKUP($E$20,[1]QUART!$A$2:$FA$300, 26, FALSE)="",":",VLOOKUP($E$20,[1]QUART!$A$2:$FA$300, 26, FALSE))</f>
        <v>64.423333333333332</v>
      </c>
      <c r="AB20" s="1550">
        <f>IF(VLOOKUP($E$20,[1]QUART!$A$2:$FA$300, 27, FALSE)="",":",VLOOKUP($E$20,[1]QUART!$A$2:$FA$300, 27, FALSE))</f>
        <v>63.436666666666667</v>
      </c>
      <c r="AC20" s="1550">
        <f>IF(VLOOKUP($E$20,[1]QUART!$A$2:$FA$300, 28, FALSE)="",":",VLOOKUP($E$20,[1]QUART!$A$2:$FA$300, 28, FALSE))</f>
        <v>62.463333333333338</v>
      </c>
      <c r="AD20" s="1550">
        <f>IF(VLOOKUP($E$20,[1]QUART!$A$2:$FA$300, 29, FALSE)="",":",VLOOKUP($E$20,[1]QUART!$A$2:$FA$300, 29, FALSE))</f>
        <v>63.15</v>
      </c>
      <c r="AE20" s="1550">
        <f>IF(VLOOKUP($E$20,[1]QUART!$A$2:$FA$300, 30, FALSE)="",":",VLOOKUP($E$20,[1]QUART!$A$2:$FA$300, 30, FALSE))</f>
        <v>66.036666666666676</v>
      </c>
      <c r="AF20" s="1550">
        <f>IF(VLOOKUP($E$20,[1]QUART!$A$2:$FA$300, 31, FALSE)="",":",VLOOKUP($E$20,[1]QUART!$A$2:$FA$300, 31, FALSE))</f>
        <v>70.48</v>
      </c>
      <c r="AG20" s="1550">
        <f>IF(VLOOKUP($E$20,[1]QUART!$A$2:$FA$300, 32, FALSE)="",":",VLOOKUP($E$20,[1]QUART!$A$2:$FA$300, 32, FALSE))</f>
        <v>69.633333333333326</v>
      </c>
      <c r="AH20" s="1550">
        <f>IF(VLOOKUP($E$20,[1]QUART!$A$2:$FA$300, 33, FALSE)="",":",VLOOKUP($E$20,[1]QUART!$A$2:$FA$300, 33, FALSE))</f>
        <v>70.06</v>
      </c>
      <c r="AI20" s="1550">
        <f>IF(VLOOKUP($E$20,[1]QUART!$A$2:$FA$300, 34, FALSE)="",":",VLOOKUP($E$20,[1]QUART!$A$2:$FA$300, 34, FALSE))</f>
        <v>72.643333333333331</v>
      </c>
      <c r="AJ20" s="1550">
        <f>IF(VLOOKUP($E$20,[1]QUART!$A$2:$FA$300, 35, FALSE)="",":",VLOOKUP($E$20,[1]QUART!$A$2:$FA$300, 35, FALSE))</f>
        <v>69.283333333333346</v>
      </c>
      <c r="AK20" s="1550">
        <f>IF(VLOOKUP($E$20,[1]QUART!$A$2:$FA$300, 36, FALSE)="",":",VLOOKUP($E$20,[1]QUART!$A$2:$FA$300, 36, FALSE))</f>
        <v>65.12</v>
      </c>
      <c r="AL20" s="1550">
        <f>IF(VLOOKUP($E$20,[1]QUART!$A$2:$FA$300, 37, FALSE)="",":",VLOOKUP($E$20,[1]QUART!$A$2:$FA$300, 37, FALSE))</f>
        <v>63.116666666666674</v>
      </c>
      <c r="AM20" s="1550">
        <f>IF(VLOOKUP($E$20,[1]QUART!$A$2:$FA$300, 38, FALSE)="",":",VLOOKUP($E$20,[1]QUART!$A$2:$FA$300, 38, FALSE))</f>
        <v>60.516666666666659</v>
      </c>
      <c r="AN20" s="1550">
        <f>IF(VLOOKUP($E$20,[1]QUART!$A$2:$FA$300, 39, FALSE)="",":",VLOOKUP($E$20,[1]QUART!$A$2:$FA$300, 39, FALSE))</f>
        <v>60.986666666666672</v>
      </c>
      <c r="AO20" s="1550">
        <f>IF(VLOOKUP($E$20,[1]QUART!$A$2:$FA$300, 40, FALSE)="",":",VLOOKUP($E$20,[1]QUART!$A$2:$FA$300, 40, FALSE))</f>
        <v>57.830000000000005</v>
      </c>
      <c r="AP20" s="1550">
        <f>IF(VLOOKUP($E$20,[1]QUART!$A$2:$FA$300, 41, FALSE)="",":",VLOOKUP($E$20,[1]QUART!$A$2:$FA$300, 41, FALSE))</f>
        <v>58.433333333333337</v>
      </c>
      <c r="AQ20" s="1550">
        <f>IF(VLOOKUP($E$20,[1]QUART!$A$2:$FA$300, 42, FALSE)="",":",VLOOKUP($E$20,[1]QUART!$A$2:$FA$300, 42, FALSE))</f>
        <v>58.48</v>
      </c>
      <c r="AR20" s="1550">
        <f>IF(VLOOKUP($E$20,[1]QUART!$A$2:$FA$300, 43, FALSE)="",":",VLOOKUP($E$20,[1]QUART!$A$2:$FA$300, 43, FALSE))</f>
        <v>60.339999999999996</v>
      </c>
      <c r="AS20" s="1550">
        <f>IF(VLOOKUP($E$20,[1]QUART!$A$2:$FA$300, 44, FALSE)="",":",VLOOKUP($E$20,[1]QUART!$A$2:$FA$300, 44, FALSE))</f>
        <v>62.423333333333339</v>
      </c>
      <c r="AT20" s="1550">
        <f>IF(VLOOKUP($E$20,[1]QUART!$A$2:$FA$300, 45, FALSE)="",":",VLOOKUP($E$20,[1]QUART!$A$2:$FA$300, 45, FALSE))</f>
        <v>62.44</v>
      </c>
      <c r="AU20" s="1550">
        <f>IF(VLOOKUP($E$20,[1]QUART!$A$2:$FA$300, 46, FALSE)="",":",VLOOKUP($E$20,[1]QUART!$A$2:$FA$300, 46, FALSE))</f>
        <v>64.156666666666666</v>
      </c>
      <c r="AV20" s="1550">
        <f>IF(VLOOKUP($E$20,[1]QUART!$A$2:$FA$300, 47, FALSE)="",":",VLOOKUP($E$20,[1]QUART!$A$2:$FA$300, 47, FALSE))</f>
        <v>65.546666666666667</v>
      </c>
      <c r="AW20" s="1550">
        <f>IF(VLOOKUP($E$20,[1]QUART!$A$2:$FA$300, 48, FALSE)="",":",VLOOKUP($E$20,[1]QUART!$A$2:$FA$300, 48, FALSE))</f>
        <v>63.98</v>
      </c>
      <c r="AX20" s="1550">
        <f>IF(VLOOKUP($E$20,[1]QUART!$A$2:$FA$300, 49, FALSE)="",":",VLOOKUP($E$20,[1]QUART!$A$2:$FA$300, 49, FALSE))</f>
        <v>65.563333333333333</v>
      </c>
      <c r="AY20" s="1550">
        <f>IF(VLOOKUP($E$20,[1]QUART!$A$2:$FA$300, 50, FALSE)="",":",VLOOKUP($E$20,[1]QUART!$A$2:$FA$300, 50, FALSE))</f>
        <v>68.473333333333329</v>
      </c>
      <c r="AZ20" s="1550">
        <f>IF(VLOOKUP($E$20,[1]QUART!$A$2:$FA$300, 51, FALSE)="",":",VLOOKUP($E$20,[1]QUART!$A$2:$FA$300, 51, FALSE))</f>
        <v>70.606666666666669</v>
      </c>
      <c r="BA20" s="1550">
        <f>IF(VLOOKUP($E$20,[1]QUART!$A$2:$FA$300, 52, FALSE)="",":",VLOOKUP($E$20,[1]QUART!$A$2:$FA$300, 52, FALSE))</f>
        <v>70.429999999999993</v>
      </c>
      <c r="BB20" s="1550">
        <f>IF(VLOOKUP($E$20,[1]QUART!$A$2:$FA$300, 53, FALSE)="",":",VLOOKUP($E$20,[1]QUART!$A$2:$FA$300, 53, FALSE))</f>
        <v>70.64</v>
      </c>
      <c r="BC20" s="1550">
        <f>IF(VLOOKUP($E$20,[1]QUART!$A$2:$FA$300, 54, FALSE)="",":",VLOOKUP($E$20,[1]QUART!$A$2:$FA$300, 54, FALSE))</f>
        <v>73.410000000000011</v>
      </c>
      <c r="BD20" s="1550">
        <f>IF(VLOOKUP($E$20,[1]QUART!$A$2:$FA$300, 55, FALSE)="",":",VLOOKUP($E$20,[1]QUART!$A$2:$FA$300, 55, FALSE))</f>
        <v>75.946666666666658</v>
      </c>
      <c r="BE20" s="1550">
        <f>IF(VLOOKUP($E$20,[1]QUART!$A$2:$FA$300, 56, FALSE)="",":",VLOOKUP($E$20,[1]QUART!$A$2:$FA$300, 56, FALSE))</f>
        <v>76.113333333333344</v>
      </c>
      <c r="BF20" s="1550">
        <f>IF(VLOOKUP($E$20,[1]QUART!$A$2:$FA$300, 57, FALSE)="",":",VLOOKUP($E$20,[1]QUART!$A$2:$FA$300, 57, FALSE))</f>
        <v>78.996666666666655</v>
      </c>
      <c r="BG20" s="1550">
        <f>IF(VLOOKUP($E$20,[1]QUART!$A$2:$FA$300, 58, FALSE)="",":",VLOOKUP($E$20,[1]QUART!$A$2:$FA$300, 58, FALSE))</f>
        <v>83.593333333333334</v>
      </c>
      <c r="BH20" s="1550">
        <f>IF(VLOOKUP($E$20,[1]QUART!$A$2:$FA$300, 59, FALSE)="",":",VLOOKUP($E$20,[1]QUART!$A$2:$FA$300, 59, FALSE))</f>
        <v>87.683333333333337</v>
      </c>
      <c r="BI20" s="1550">
        <f>IF(VLOOKUP($E$20,[1]QUART!$A$2:$FA$300, 60, FALSE)="",":",VLOOKUP($E$20,[1]QUART!$A$2:$FA$300, 60, FALSE))</f>
        <v>88.483333333333348</v>
      </c>
      <c r="BJ20" s="1550">
        <f>IF(VLOOKUP($E$20,[1]QUART!$A$2:$FA$300, 61, FALSE)="",":",VLOOKUP($E$20,[1]QUART!$A$2:$FA$300, 61, FALSE))</f>
        <v>90.776666666666657</v>
      </c>
      <c r="BK20" s="1550">
        <f>IF(VLOOKUP($E$20,[1]QUART!$A$2:$FA$300, 62, FALSE)="",":",VLOOKUP($E$20,[1]QUART!$A$2:$FA$300, 62, FALSE))</f>
        <v>94.139999999999986</v>
      </c>
      <c r="BL20" s="1550">
        <f>IF(VLOOKUP($E$20,[1]QUART!$A$2:$FA$300, 63, FALSE)="",":",VLOOKUP($E$20,[1]QUART!$A$2:$FA$300, 63, FALSE))</f>
        <v>92.473333333333315</v>
      </c>
      <c r="BM20" s="1550">
        <f>IF(VLOOKUP($E$20,[1]QUART!$A$2:$FA$300, 64, FALSE)="",":",VLOOKUP($E$20,[1]QUART!$A$2:$FA$300, 64, FALSE))</f>
        <v>88.336666666666659</v>
      </c>
      <c r="BN20" s="1550">
        <f>IF(VLOOKUP($E$20,[1]QUART!$A$2:$FA$300, 65, FALSE)="",":",VLOOKUP($E$20,[1]QUART!$A$2:$FA$300, 65, FALSE))</f>
        <v>86.476666666666674</v>
      </c>
      <c r="BO20" s="1550">
        <f>IF(VLOOKUP($E$20,[1]QUART!$A$2:$FA$300, 66, FALSE)="",":",VLOOKUP($E$20,[1]QUART!$A$2:$FA$300, 66, FALSE))</f>
        <v>87.149999999999991</v>
      </c>
      <c r="BP20" s="1550">
        <f>IF(VLOOKUP($E$20,[1]QUART!$A$2:$FA$300, 67, FALSE)="",":",VLOOKUP($E$20,[1]QUART!$A$2:$FA$300, 67, FALSE))</f>
        <v>88.796666666666667</v>
      </c>
      <c r="BQ20" s="1550">
        <f>IF(VLOOKUP($E$20,[1]QUART!$A$2:$FA$300, 68, FALSE)="",":",VLOOKUP($E$20,[1]QUART!$A$2:$FA$300, 68, FALSE))</f>
        <v>88.029999999999987</v>
      </c>
      <c r="BR20" s="1550">
        <f>IF(VLOOKUP($E$20,[1]QUART!$A$2:$FA$300, 69, FALSE)="",":",VLOOKUP($E$20,[1]QUART!$A$2:$FA$300, 69, FALSE))</f>
        <v>89.106666666666669</v>
      </c>
      <c r="BS20" s="1550">
        <f>IF(VLOOKUP($E$20,[1]QUART!$A$2:$FA$300, 70, FALSE)="",":",VLOOKUP($E$20,[1]QUART!$A$2:$FA$300, 70, FALSE))</f>
        <v>91.99666666666667</v>
      </c>
      <c r="BT20" s="1550">
        <f>IF(VLOOKUP($E$20,[1]QUART!$A$2:$FA$300, 71, FALSE)="",":",VLOOKUP($E$20,[1]QUART!$A$2:$FA$300, 71, FALSE))</f>
        <v>95.716666666666654</v>
      </c>
      <c r="BU20" s="1550">
        <f>IF(VLOOKUP($E$20,[1]QUART!$A$2:$FA$300, 72, FALSE)="",":",VLOOKUP($E$20,[1]QUART!$A$2:$FA$300, 72, FALSE))</f>
        <v>91.536666666666676</v>
      </c>
      <c r="BV20" s="1550">
        <f>IF(VLOOKUP($E$20,[1]QUART!$A$2:$FA$300, 73, FALSE)="",":",VLOOKUP($E$20,[1]QUART!$A$2:$FA$300, 73, FALSE))</f>
        <v>91.583333333333329</v>
      </c>
      <c r="BW20" s="1550">
        <f>IF(VLOOKUP($E$20,[1]QUART!$A$2:$FA$300, 74, FALSE)="",":",VLOOKUP($E$20,[1]QUART!$A$2:$FA$300, 74, FALSE))</f>
        <v>94.719999999999985</v>
      </c>
      <c r="BX20" s="1550">
        <f>IF(VLOOKUP($E$20,[1]QUART!$A$2:$FA$300, 75, FALSE)="",":",VLOOKUP($E$20,[1]QUART!$A$2:$FA$300, 75, FALSE))</f>
        <v>96.40333333333335</v>
      </c>
      <c r="BY20" s="1550">
        <f>IF(VLOOKUP($E$20,[1]QUART!$A$2:$FA$300, 76, FALSE)="",":",VLOOKUP($E$20,[1]QUART!$A$2:$FA$300, 76, FALSE))</f>
        <v>95.443333333333328</v>
      </c>
      <c r="BZ20" s="1550">
        <f>IF(VLOOKUP($E$20,[1]QUART!$A$2:$FA$300, 77, FALSE)="",":",VLOOKUP($E$20,[1]QUART!$A$2:$FA$300, 77, FALSE))</f>
        <v>96.666666666666671</v>
      </c>
      <c r="CA20" s="1550">
        <f>IF(VLOOKUP($E$20,[1]QUART!$A$2:$FA$300, 78, FALSE)="",":",VLOOKUP($E$20,[1]QUART!$A$2:$FA$300, 78, FALSE))</f>
        <v>99.36333333333333</v>
      </c>
      <c r="CB20" s="1550">
        <f>IF(VLOOKUP($E$20,[1]QUART!$A$2:$FA$300, 79, FALSE)="",":",VLOOKUP($E$20,[1]QUART!$A$2:$FA$300, 79, FALSE))</f>
        <v>101.20666666666666</v>
      </c>
      <c r="CC20" s="1550">
        <f>IF(VLOOKUP($E$20,[1]QUART!$A$2:$FA$300, 80, FALSE)="",":",VLOOKUP($E$20,[1]QUART!$A$2:$FA$300, 80, FALSE))</f>
        <v>97.883333333333326</v>
      </c>
      <c r="CD20" s="1550">
        <f>IF(VLOOKUP($E$20,[1]QUART!$A$2:$FA$300, 81, FALSE)="",":",VLOOKUP($E$20,[1]QUART!$A$2:$FA$300, 81, FALSE))</f>
        <v>97.186666666666667</v>
      </c>
      <c r="CE20" s="1550">
        <f>IF(VLOOKUP($E$20,[1]QUART!$A$2:$FA$300, 82, FALSE)="",":",VLOOKUP($E$20,[1]QUART!$A$2:$FA$300, 82, FALSE))</f>
        <v>100.02666666666666</v>
      </c>
      <c r="CF20" s="1550">
        <f>IF(VLOOKUP($E$20,[1]QUART!$A$2:$FA$300, 83, FALSE)="",":",VLOOKUP($E$20,[1]QUART!$A$2:$FA$300, 83, FALSE))</f>
        <v>101.25333333333333</v>
      </c>
      <c r="CG20" s="1550">
        <f>IF(VLOOKUP($E$20,[1]QUART!$A$2:$FA$300, 84, FALSE)="",":",VLOOKUP($E$20,[1]QUART!$A$2:$FA$300, 84, FALSE))</f>
        <v>98.226666666666674</v>
      </c>
      <c r="CH20" s="1550">
        <f>IF(VLOOKUP($E$20,[1]QUART!$A$2:$FA$300, 85, FALSE)="",":",VLOOKUP($E$20,[1]QUART!$A$2:$FA$300, 85, FALSE))</f>
        <v>97.466666666666654</v>
      </c>
      <c r="CI20" s="1550">
        <f>IF(VLOOKUP($E$20,[1]QUART!$A$2:$FA$300, 86, FALSE)="",":",VLOOKUP($E$20,[1]QUART!$A$2:$FA$300, 86, FALSE))</f>
        <v>98.636666666666656</v>
      </c>
      <c r="CJ20" s="1550">
        <f>IF(VLOOKUP($E$20,[1]QUART!$A$2:$FA$300, 87, FALSE)="",":",VLOOKUP($E$20,[1]QUART!$A$2:$FA$300, 87, FALSE))</f>
        <v>103.11</v>
      </c>
      <c r="CK20" s="1550">
        <f>IF(VLOOKUP($E$20,[1]QUART!$A$2:$FA$300, 88, FALSE)="",":",VLOOKUP($E$20,[1]QUART!$A$2:$FA$300, 88, FALSE))</f>
        <v>98.173333333333332</v>
      </c>
      <c r="CL20" s="1550">
        <f>IF(VLOOKUP($E$20,[1]QUART!$A$2:$FA$300, 89, FALSE)="",":",VLOOKUP($E$20,[1]QUART!$A$2:$FA$300, 89, FALSE))</f>
        <v>100.08333333333333</v>
      </c>
      <c r="CM20" s="1550">
        <f>IF(VLOOKUP($E$20,[1]QUART!$A$2:$FA$300, 90, FALSE)="",":",VLOOKUP($E$20,[1]QUART!$A$2:$FA$300, 90, FALSE))</f>
        <v>101.03333333333335</v>
      </c>
      <c r="CN20" s="1550">
        <f>IF(VLOOKUP($E$20,[1]QUART!$A$2:$FA$300, 91, FALSE)="",":",VLOOKUP($E$20,[1]QUART!$A$2:$FA$300, 91, FALSE))</f>
        <v>105.52666666666666</v>
      </c>
      <c r="CO20" s="1550">
        <f>IF(VLOOKUP($E$20,[1]QUART!$A$2:$FA$300, 92, FALSE)="",":",VLOOKUP($E$20,[1]QUART!$A$2:$FA$300, 92, FALSE))</f>
        <v>99.823333333333323</v>
      </c>
      <c r="CP20" s="1550">
        <f>IF(VLOOKUP($E$20,[1]QUART!$A$2:$FA$300, 93, FALSE)="",":",VLOOKUP($E$20,[1]QUART!$A$2:$FA$300, 93, FALSE))</f>
        <v>99.68</v>
      </c>
      <c r="CQ20" s="1550">
        <f>IF(VLOOKUP($E$20,[1]QUART!$A$2:$FA$300, 94, FALSE)="",":",VLOOKUP($E$20,[1]QUART!$A$2:$FA$300, 94, FALSE))</f>
        <v>103.72333333333331</v>
      </c>
      <c r="CR20" s="1550">
        <f>IF(VLOOKUP($E$20,[1]QUART!$A$2:$FA$300, 95, FALSE)="",":",VLOOKUP($E$20,[1]QUART!$A$2:$FA$300, 95, FALSE))</f>
        <v>104.08666666666666</v>
      </c>
      <c r="CS20" s="1550">
        <f>IF(VLOOKUP($E$20,[1]QUART!$A$2:$FA$300, 96, FALSE)="",":",VLOOKUP($E$20,[1]QUART!$A$2:$FA$300, 96, FALSE))</f>
        <v>101.69333333333333</v>
      </c>
      <c r="CT20" s="1550">
        <f>IF(VLOOKUP($E$20,[1]QUART!$A$2:$FA$300, 97, FALSE)="",":",VLOOKUP($E$20,[1]QUART!$A$2:$FA$300, 97, FALSE))</f>
        <v>103.21</v>
      </c>
      <c r="CU20" s="1550" t="str">
        <f>IF(VLOOKUP($E$20,[1]QUART!$A$2:$FA$300, 98, FALSE)="",":",VLOOKUP($E$20,[1]QUART!$A$2:$FA$300, 98, FALSE))</f>
        <v>:</v>
      </c>
      <c r="CV20" s="1550" t="str">
        <f>IF(VLOOKUP($E$20,[1]QUART!$A$2:$FA$300, 99, FALSE)="",":",VLOOKUP($E$20,[1]QUART!$A$2:$FA$300, 99, FALSE))</f>
        <v>:</v>
      </c>
      <c r="CW20" s="1550" t="str">
        <f>IF(VLOOKUP($E$20,[1]QUART!$A$2:$FA$300, 100, FALSE)="",":",VLOOKUP($E$20,[1]QUART!$A$2:$FA$300, 100, FALSE))</f>
        <v>:</v>
      </c>
      <c r="CX20" s="1550" t="str">
        <f>IF(VLOOKUP($E$20,[1]QUART!$A$2:$FA$300, 101, FALSE)="",":",VLOOKUP($E$20,[1]QUART!$A$2:$FA$300, 101, FALSE))</f>
        <v>:</v>
      </c>
      <c r="CY20" s="1550" t="str">
        <f>IF(VLOOKUP($E$20,[1]QUART!$A$2:$FA$300, 102, FALSE)="",":",VLOOKUP($E$20,[1]QUART!$A$2:$FA$300, 102, FALSE))</f>
        <v>:</v>
      </c>
      <c r="CZ20" s="1550" t="str">
        <f>IF(VLOOKUP($E$20,[1]QUART!$A$2:$FA$300, 103, FALSE)="",":",VLOOKUP($E$20,[1]QUART!$A$2:$FA$300, 103, FALSE))</f>
        <v>:</v>
      </c>
      <c r="DA20" s="1550" t="str">
        <f>IF(VLOOKUP($E$20,[1]QUART!$A$2:$FA$300, 104, FALSE)="",":",VLOOKUP($E$20,[1]QUART!$A$2:$FA$300, 104, FALSE))</f>
        <v>:</v>
      </c>
      <c r="DB20" s="1550" t="str">
        <f>IF(VLOOKUP($E$20,[1]QUART!$A$2:$FA$300, 105, FALSE)="",":",VLOOKUP($E$20,[1]QUART!$A$2:$FA$300, 105, FALSE))</f>
        <v>:</v>
      </c>
      <c r="DC20" s="1550" t="str">
        <f>IF(VLOOKUP($E$20,[1]QUART!$A$2:$FA$300, 106, FALSE)="",":",VLOOKUP($E$20,[1]QUART!$A$2:$FA$300, 106, FALSE))</f>
        <v>:</v>
      </c>
    </row>
    <row r="21" spans="1:107">
      <c r="A21" s="1546">
        <v>170</v>
      </c>
      <c r="B21" s="1551" t="s">
        <v>445</v>
      </c>
      <c r="C21" s="1552"/>
      <c r="D21" s="1547" t="s">
        <v>1841</v>
      </c>
      <c r="E21" s="1548">
        <v>94</v>
      </c>
      <c r="F21" s="1549" t="str">
        <f>VLOOKUP($E$21,[1]QUART!$A$2:$FA$300, 3, FALSE)</f>
        <v>94 HICP Processed food incl. alcohol and tobacco</v>
      </c>
      <c r="G21" s="1550" t="str">
        <f>IF(VLOOKUP($E$21,[1]QUART!$A$2:$FA$300, 6, FALSE)="",":",VLOOKUP($E$21,[1]QUART!$A$2:$FA$300, 6, FALSE))</f>
        <v>:</v>
      </c>
      <c r="H21" s="1550" t="str">
        <f>IF(VLOOKUP($E$21,[1]QUART!$A$2:$FA$300, 7, FALSE)="",":",VLOOKUP($E$21,[1]QUART!$A$2:$FA$300, 7, FALSE))</f>
        <v>:</v>
      </c>
      <c r="I21" s="1550" t="str">
        <f>IF(VLOOKUP($E$21,[1]QUART!$A$2:$FA$300, 8, FALSE)="",":",VLOOKUP($E$21,[1]QUART!$A$2:$FA$300, 8, FALSE))</f>
        <v>:</v>
      </c>
      <c r="J21" s="1550" t="str">
        <f>IF(VLOOKUP($E$21,[1]QUART!$A$2:$FA$300, 9, FALSE)="",":",VLOOKUP($E$21,[1]QUART!$A$2:$FA$300, 9, FALSE))</f>
        <v>:</v>
      </c>
      <c r="K21" s="1550">
        <f>IF(VLOOKUP($E$21,[1]QUART!$A$2:$FA$300, 10, FALSE)="",":",VLOOKUP($E$21,[1]QUART!$A$2:$FA$300, 10, FALSE))</f>
        <v>51.303333333333335</v>
      </c>
      <c r="L21" s="1550">
        <f>IF(VLOOKUP($E$21,[1]QUART!$A$2:$FA$300, 11, FALSE)="",":",VLOOKUP($E$21,[1]QUART!$A$2:$FA$300, 11, FALSE))</f>
        <v>52.196666666666665</v>
      </c>
      <c r="M21" s="1550">
        <f>IF(VLOOKUP($E$21,[1]QUART!$A$2:$FA$300, 12, FALSE)="",":",VLOOKUP($E$21,[1]QUART!$A$2:$FA$300, 12, FALSE))</f>
        <v>52.803333333333335</v>
      </c>
      <c r="N21" s="1550">
        <f>IF(VLOOKUP($E$21,[1]QUART!$A$2:$FA$300, 13, FALSE)="",":",VLOOKUP($E$21,[1]QUART!$A$2:$FA$300, 13, FALSE))</f>
        <v>54.393333333333338</v>
      </c>
      <c r="O21" s="1550">
        <f>IF(VLOOKUP($E$21,[1]QUART!$A$2:$FA$300, 14, FALSE)="",":",VLOOKUP($E$21,[1]QUART!$A$2:$FA$300, 14, FALSE))</f>
        <v>57.24666666666667</v>
      </c>
      <c r="P21" s="1550">
        <f>IF(VLOOKUP($E$21,[1]QUART!$A$2:$FA$300, 15, FALSE)="",":",VLOOKUP($E$21,[1]QUART!$A$2:$FA$300, 15, FALSE))</f>
        <v>57.493333333333332</v>
      </c>
      <c r="Q21" s="1550">
        <f>IF(VLOOKUP($E$21,[1]QUART!$A$2:$FA$300, 16, FALSE)="",":",VLOOKUP($E$21,[1]QUART!$A$2:$FA$300, 16, FALSE))</f>
        <v>57.646666666666668</v>
      </c>
      <c r="R21" s="1550">
        <f>IF(VLOOKUP($E$21,[1]QUART!$A$2:$FA$300, 17, FALSE)="",":",VLOOKUP($E$21,[1]QUART!$A$2:$FA$300, 17, FALSE))</f>
        <v>58.386666666666663</v>
      </c>
      <c r="S21" s="1550">
        <f>IF(VLOOKUP($E$21,[1]QUART!$A$2:$FA$300, 18, FALSE)="",":",VLOOKUP($E$21,[1]QUART!$A$2:$FA$300, 18, FALSE))</f>
        <v>58.986666666666657</v>
      </c>
      <c r="T21" s="1550">
        <f>IF(VLOOKUP($E$21,[1]QUART!$A$2:$FA$300, 19, FALSE)="",":",VLOOKUP($E$21,[1]QUART!$A$2:$FA$300, 19, FALSE))</f>
        <v>58.76</v>
      </c>
      <c r="U21" s="1550">
        <f>IF(VLOOKUP($E$21,[1]QUART!$A$2:$FA$300, 20, FALSE)="",":",VLOOKUP($E$21,[1]QUART!$A$2:$FA$300, 20, FALSE))</f>
        <v>57.956666666666671</v>
      </c>
      <c r="V21" s="1550">
        <f>IF(VLOOKUP($E$21,[1]QUART!$A$2:$FA$300, 21, FALSE)="",":",VLOOKUP($E$21,[1]QUART!$A$2:$FA$300, 21, FALSE))</f>
        <v>57.906666666666666</v>
      </c>
      <c r="W21" s="1550">
        <f>IF(VLOOKUP($E$21,[1]QUART!$A$2:$FA$300, 22, FALSE)="",":",VLOOKUP($E$21,[1]QUART!$A$2:$FA$300, 22, FALSE))</f>
        <v>58.803333333333335</v>
      </c>
      <c r="X21" s="1550">
        <f>IF(VLOOKUP($E$21,[1]QUART!$A$2:$FA$300, 23, FALSE)="",":",VLOOKUP($E$21,[1]QUART!$A$2:$FA$300, 23, FALSE))</f>
        <v>58.379999999999995</v>
      </c>
      <c r="Y21" s="1550">
        <f>IF(VLOOKUP($E$21,[1]QUART!$A$2:$FA$300, 24, FALSE)="",":",VLOOKUP($E$21,[1]QUART!$A$2:$FA$300, 24, FALSE))</f>
        <v>58.346666666666671</v>
      </c>
      <c r="Z21" s="1550">
        <f>IF(VLOOKUP($E$21,[1]QUART!$A$2:$FA$300, 25, FALSE)="",":",VLOOKUP($E$21,[1]QUART!$A$2:$FA$300, 25, FALSE))</f>
        <v>56.633333333333333</v>
      </c>
      <c r="AA21" s="1550">
        <f>IF(VLOOKUP($E$21,[1]QUART!$A$2:$FA$300, 26, FALSE)="",":",VLOOKUP($E$21,[1]QUART!$A$2:$FA$300, 26, FALSE))</f>
        <v>56.386666666666663</v>
      </c>
      <c r="AB21" s="1550">
        <f>IF(VLOOKUP($E$21,[1]QUART!$A$2:$FA$300, 27, FALSE)="",":",VLOOKUP($E$21,[1]QUART!$A$2:$FA$300, 27, FALSE))</f>
        <v>55.586666666666666</v>
      </c>
      <c r="AC21" s="1550">
        <f>IF(VLOOKUP($E$21,[1]QUART!$A$2:$FA$300, 28, FALSE)="",":",VLOOKUP($E$21,[1]QUART!$A$2:$FA$300, 28, FALSE))</f>
        <v>55.686666666666667</v>
      </c>
      <c r="AD21" s="1550">
        <f>IF(VLOOKUP($E$21,[1]QUART!$A$2:$FA$300, 29, FALSE)="",":",VLOOKUP($E$21,[1]QUART!$A$2:$FA$300, 29, FALSE))</f>
        <v>55.589999999999996</v>
      </c>
      <c r="AE21" s="1550">
        <f>IF(VLOOKUP($E$21,[1]QUART!$A$2:$FA$300, 30, FALSE)="",":",VLOOKUP($E$21,[1]QUART!$A$2:$FA$300, 30, FALSE))</f>
        <v>55.79999999999999</v>
      </c>
      <c r="AF21" s="1550">
        <f>IF(VLOOKUP($E$21,[1]QUART!$A$2:$FA$300, 31, FALSE)="",":",VLOOKUP($E$21,[1]QUART!$A$2:$FA$300, 31, FALSE))</f>
        <v>55.44</v>
      </c>
      <c r="AG21" s="1550">
        <f>IF(VLOOKUP($E$21,[1]QUART!$A$2:$FA$300, 32, FALSE)="",":",VLOOKUP($E$21,[1]QUART!$A$2:$FA$300, 32, FALSE))</f>
        <v>55.45333333333334</v>
      </c>
      <c r="AH21" s="1550">
        <f>IF(VLOOKUP($E$21,[1]QUART!$A$2:$FA$300, 33, FALSE)="",":",VLOOKUP($E$21,[1]QUART!$A$2:$FA$300, 33, FALSE))</f>
        <v>56.113333333333337</v>
      </c>
      <c r="AI21" s="1550">
        <f>IF(VLOOKUP($E$21,[1]QUART!$A$2:$FA$300, 34, FALSE)="",":",VLOOKUP($E$21,[1]QUART!$A$2:$FA$300, 34, FALSE))</f>
        <v>56.613333333333337</v>
      </c>
      <c r="AJ21" s="1550">
        <f>IF(VLOOKUP($E$21,[1]QUART!$A$2:$FA$300, 35, FALSE)="",":",VLOOKUP($E$21,[1]QUART!$A$2:$FA$300, 35, FALSE))</f>
        <v>55.886666666666663</v>
      </c>
      <c r="AK21" s="1550">
        <f>IF(VLOOKUP($E$21,[1]QUART!$A$2:$FA$300, 36, FALSE)="",":",VLOOKUP($E$21,[1]QUART!$A$2:$FA$300, 36, FALSE))</f>
        <v>55.646666666666668</v>
      </c>
      <c r="AL21" s="1550">
        <f>IF(VLOOKUP($E$21,[1]QUART!$A$2:$FA$300, 37, FALSE)="",":",VLOOKUP($E$21,[1]QUART!$A$2:$FA$300, 37, FALSE))</f>
        <v>56.393333333333338</v>
      </c>
      <c r="AM21" s="1550">
        <f>IF(VLOOKUP($E$21,[1]QUART!$A$2:$FA$300, 38, FALSE)="",":",VLOOKUP($E$21,[1]QUART!$A$2:$FA$300, 38, FALSE))</f>
        <v>57.726666666666667</v>
      </c>
      <c r="AN21" s="1550">
        <f>IF(VLOOKUP($E$21,[1]QUART!$A$2:$FA$300, 39, FALSE)="",":",VLOOKUP($E$21,[1]QUART!$A$2:$FA$300, 39, FALSE))</f>
        <v>57.963333333333331</v>
      </c>
      <c r="AO21" s="1550">
        <f>IF(VLOOKUP($E$21,[1]QUART!$A$2:$FA$300, 40, FALSE)="",":",VLOOKUP($E$21,[1]QUART!$A$2:$FA$300, 40, FALSE))</f>
        <v>57.81</v>
      </c>
      <c r="AP21" s="1550">
        <f>IF(VLOOKUP($E$21,[1]QUART!$A$2:$FA$300, 41, FALSE)="",":",VLOOKUP($E$21,[1]QUART!$A$2:$FA$300, 41, FALSE))</f>
        <v>58.016666666666673</v>
      </c>
      <c r="AQ21" s="1550">
        <f>IF(VLOOKUP($E$21,[1]QUART!$A$2:$FA$300, 42, FALSE)="",":",VLOOKUP($E$21,[1]QUART!$A$2:$FA$300, 42, FALSE))</f>
        <v>58.616666666666667</v>
      </c>
      <c r="AR21" s="1550">
        <f>IF(VLOOKUP($E$21,[1]QUART!$A$2:$FA$300, 43, FALSE)="",":",VLOOKUP($E$21,[1]QUART!$A$2:$FA$300, 43, FALSE))</f>
        <v>59.370000000000005</v>
      </c>
      <c r="AS21" s="1550">
        <f>IF(VLOOKUP($E$21,[1]QUART!$A$2:$FA$300, 44, FALSE)="",":",VLOOKUP($E$21,[1]QUART!$A$2:$FA$300, 44, FALSE))</f>
        <v>59.376666666666665</v>
      </c>
      <c r="AT21" s="1550">
        <f>IF(VLOOKUP($E$21,[1]QUART!$A$2:$FA$300, 45, FALSE)="",":",VLOOKUP($E$21,[1]QUART!$A$2:$FA$300, 45, FALSE))</f>
        <v>59.48</v>
      </c>
      <c r="AU21" s="1550">
        <f>IF(VLOOKUP($E$21,[1]QUART!$A$2:$FA$300, 46, FALSE)="",":",VLOOKUP($E$21,[1]QUART!$A$2:$FA$300, 46, FALSE))</f>
        <v>59.949999999999996</v>
      </c>
      <c r="AV21" s="1550">
        <f>IF(VLOOKUP($E$21,[1]QUART!$A$2:$FA$300, 47, FALSE)="",":",VLOOKUP($E$21,[1]QUART!$A$2:$FA$300, 47, FALSE))</f>
        <v>60.04999999999999</v>
      </c>
      <c r="AW21" s="1550">
        <f>IF(VLOOKUP($E$21,[1]QUART!$A$2:$FA$300, 48, FALSE)="",":",VLOOKUP($E$21,[1]QUART!$A$2:$FA$300, 48, FALSE))</f>
        <v>59.890000000000008</v>
      </c>
      <c r="AX21" s="1550">
        <f>IF(VLOOKUP($E$21,[1]QUART!$A$2:$FA$300, 49, FALSE)="",":",VLOOKUP($E$21,[1]QUART!$A$2:$FA$300, 49, FALSE))</f>
        <v>60.286666666666669</v>
      </c>
      <c r="AY21" s="1550">
        <f>IF(VLOOKUP($E$21,[1]QUART!$A$2:$FA$300, 50, FALSE)="",":",VLOOKUP($E$21,[1]QUART!$A$2:$FA$300, 50, FALSE))</f>
        <v>60.48</v>
      </c>
      <c r="AZ21" s="1550">
        <f>IF(VLOOKUP($E$21,[1]QUART!$A$2:$FA$300, 51, FALSE)="",":",VLOOKUP($E$21,[1]QUART!$A$2:$FA$300, 51, FALSE))</f>
        <v>60.84</v>
      </c>
      <c r="BA21" s="1550">
        <f>IF(VLOOKUP($E$21,[1]QUART!$A$2:$FA$300, 52, FALSE)="",":",VLOOKUP($E$21,[1]QUART!$A$2:$FA$300, 52, FALSE))</f>
        <v>61.823333333333331</v>
      </c>
      <c r="BB21" s="1550">
        <f>IF(VLOOKUP($E$21,[1]QUART!$A$2:$FA$300, 53, FALSE)="",":",VLOOKUP($E$21,[1]QUART!$A$2:$FA$300, 53, FALSE))</f>
        <v>63.593333333333334</v>
      </c>
      <c r="BC21" s="1550">
        <f>IF(VLOOKUP($E$21,[1]QUART!$A$2:$FA$300, 54, FALSE)="",":",VLOOKUP($E$21,[1]QUART!$A$2:$FA$300, 54, FALSE))</f>
        <v>65.076666666666668</v>
      </c>
      <c r="BD21" s="1550">
        <f>IF(VLOOKUP($E$21,[1]QUART!$A$2:$FA$300, 55, FALSE)="",":",VLOOKUP($E$21,[1]QUART!$A$2:$FA$300, 55, FALSE))</f>
        <v>66.266666666666666</v>
      </c>
      <c r="BE21" s="1550">
        <f>IF(VLOOKUP($E$21,[1]QUART!$A$2:$FA$300, 56, FALSE)="",":",VLOOKUP($E$21,[1]QUART!$A$2:$FA$300, 56, FALSE))</f>
        <v>68.59333333333332</v>
      </c>
      <c r="BF21" s="1550">
        <f>IF(VLOOKUP($E$21,[1]QUART!$A$2:$FA$300, 57, FALSE)="",":",VLOOKUP($E$21,[1]QUART!$A$2:$FA$300, 57, FALSE))</f>
        <v>72.576666666666668</v>
      </c>
      <c r="BG21" s="1550">
        <f>IF(VLOOKUP($E$21,[1]QUART!$A$2:$FA$300, 58, FALSE)="",":",VLOOKUP($E$21,[1]QUART!$A$2:$FA$300, 58, FALSE))</f>
        <v>76.00333333333333</v>
      </c>
      <c r="BH21" s="1550">
        <f>IF(VLOOKUP($E$21,[1]QUART!$A$2:$FA$300, 59, FALSE)="",":",VLOOKUP($E$21,[1]QUART!$A$2:$FA$300, 59, FALSE))</f>
        <v>79.02</v>
      </c>
      <c r="BI21" s="1550">
        <f>IF(VLOOKUP($E$21,[1]QUART!$A$2:$FA$300, 60, FALSE)="",":",VLOOKUP($E$21,[1]QUART!$A$2:$FA$300, 60, FALSE))</f>
        <v>80.173333333333332</v>
      </c>
      <c r="BJ21" s="1550">
        <f>IF(VLOOKUP($E$21,[1]QUART!$A$2:$FA$300, 61, FALSE)="",":",VLOOKUP($E$21,[1]QUART!$A$2:$FA$300, 61, FALSE))</f>
        <v>80.666666666666671</v>
      </c>
      <c r="BK21" s="1550">
        <f>IF(VLOOKUP($E$21,[1]QUART!$A$2:$FA$300, 62, FALSE)="",":",VLOOKUP($E$21,[1]QUART!$A$2:$FA$300, 62, FALSE))</f>
        <v>82.433333333333337</v>
      </c>
      <c r="BL21" s="1550">
        <f>IF(VLOOKUP($E$21,[1]QUART!$A$2:$FA$300, 63, FALSE)="",":",VLOOKUP($E$21,[1]QUART!$A$2:$FA$300, 63, FALSE))</f>
        <v>83.463333333333324</v>
      </c>
      <c r="BM21" s="1550">
        <f>IF(VLOOKUP($E$21,[1]QUART!$A$2:$FA$300, 64, FALSE)="",":",VLOOKUP($E$21,[1]QUART!$A$2:$FA$300, 64, FALSE))</f>
        <v>83.036666666666676</v>
      </c>
      <c r="BN21" s="1550">
        <f>IF(VLOOKUP($E$21,[1]QUART!$A$2:$FA$300, 65, FALSE)="",":",VLOOKUP($E$21,[1]QUART!$A$2:$FA$300, 65, FALSE))</f>
        <v>85.320000000000007</v>
      </c>
      <c r="BO21" s="1550">
        <f>IF(VLOOKUP($E$21,[1]QUART!$A$2:$FA$300, 66, FALSE)="",":",VLOOKUP($E$21,[1]QUART!$A$2:$FA$300, 66, FALSE))</f>
        <v>86.65000000000002</v>
      </c>
      <c r="BP21" s="1550">
        <f>IF(VLOOKUP($E$21,[1]QUART!$A$2:$FA$300, 67, FALSE)="",":",VLOOKUP($E$21,[1]QUART!$A$2:$FA$300, 67, FALSE))</f>
        <v>87.320000000000007</v>
      </c>
      <c r="BQ21" s="1550">
        <f>IF(VLOOKUP($E$21,[1]QUART!$A$2:$FA$300, 68, FALSE)="",":",VLOOKUP($E$21,[1]QUART!$A$2:$FA$300, 68, FALSE))</f>
        <v>88.00333333333333</v>
      </c>
      <c r="BR21" s="1550">
        <f>IF(VLOOKUP($E$21,[1]QUART!$A$2:$FA$300, 69, FALSE)="",":",VLOOKUP($E$21,[1]QUART!$A$2:$FA$300, 69, FALSE))</f>
        <v>89.713333333333324</v>
      </c>
      <c r="BS21" s="1550">
        <f>IF(VLOOKUP($E$21,[1]QUART!$A$2:$FA$300, 70, FALSE)="",":",VLOOKUP($E$21,[1]QUART!$A$2:$FA$300, 70, FALSE))</f>
        <v>91.903333333333322</v>
      </c>
      <c r="BT21" s="1550">
        <f>IF(VLOOKUP($E$21,[1]QUART!$A$2:$FA$300, 71, FALSE)="",":",VLOOKUP($E$21,[1]QUART!$A$2:$FA$300, 71, FALSE))</f>
        <v>94.480000000000018</v>
      </c>
      <c r="BU21" s="1550">
        <f>IF(VLOOKUP($E$21,[1]QUART!$A$2:$FA$300, 72, FALSE)="",":",VLOOKUP($E$21,[1]QUART!$A$2:$FA$300, 72, FALSE))</f>
        <v>94.893333333333317</v>
      </c>
      <c r="BV21" s="1550">
        <f>IF(VLOOKUP($E$21,[1]QUART!$A$2:$FA$300, 73, FALSE)="",":",VLOOKUP($E$21,[1]QUART!$A$2:$FA$300, 73, FALSE))</f>
        <v>95.089999999999989</v>
      </c>
      <c r="BW21" s="1550">
        <f>IF(VLOOKUP($E$21,[1]QUART!$A$2:$FA$300, 74, FALSE)="",":",VLOOKUP($E$21,[1]QUART!$A$2:$FA$300, 74, FALSE))</f>
        <v>96.106666666666669</v>
      </c>
      <c r="BX21" s="1550">
        <f>IF(VLOOKUP($E$21,[1]QUART!$A$2:$FA$300, 75, FALSE)="",":",VLOOKUP($E$21,[1]QUART!$A$2:$FA$300, 75, FALSE))</f>
        <v>97.220000000000013</v>
      </c>
      <c r="BY21" s="1550">
        <f>IF(VLOOKUP($E$21,[1]QUART!$A$2:$FA$300, 76, FALSE)="",":",VLOOKUP($E$21,[1]QUART!$A$2:$FA$300, 76, FALSE))</f>
        <v>97.446666666666673</v>
      </c>
      <c r="BZ21" s="1550">
        <f>IF(VLOOKUP($E$21,[1]QUART!$A$2:$FA$300, 77, FALSE)="",":",VLOOKUP($E$21,[1]QUART!$A$2:$FA$300, 77, FALSE))</f>
        <v>97.406666666666652</v>
      </c>
      <c r="CA21" s="1550">
        <f>IF(VLOOKUP($E$21,[1]QUART!$A$2:$FA$300, 78, FALSE)="",":",VLOOKUP($E$21,[1]QUART!$A$2:$FA$300, 78, FALSE))</f>
        <v>97.89</v>
      </c>
      <c r="CB21" s="1550">
        <f>IF(VLOOKUP($E$21,[1]QUART!$A$2:$FA$300, 79, FALSE)="",":",VLOOKUP($E$21,[1]QUART!$A$2:$FA$300, 79, FALSE))</f>
        <v>98.043333333333337</v>
      </c>
      <c r="CC21" s="1550">
        <f>IF(VLOOKUP($E$21,[1]QUART!$A$2:$FA$300, 80, FALSE)="",":",VLOOKUP($E$21,[1]QUART!$A$2:$FA$300, 80, FALSE))</f>
        <v>98.55</v>
      </c>
      <c r="CD21" s="1550">
        <f>IF(VLOOKUP($E$21,[1]QUART!$A$2:$FA$300, 81, FALSE)="",":",VLOOKUP($E$21,[1]QUART!$A$2:$FA$300, 81, FALSE))</f>
        <v>98.956666666666663</v>
      </c>
      <c r="CE21" s="1550">
        <f>IF(VLOOKUP($E$21,[1]QUART!$A$2:$FA$300, 82, FALSE)="",":",VLOOKUP($E$21,[1]QUART!$A$2:$FA$300, 82, FALSE))</f>
        <v>99.71</v>
      </c>
      <c r="CF21" s="1550">
        <f>IF(VLOOKUP($E$21,[1]QUART!$A$2:$FA$300, 83, FALSE)="",":",VLOOKUP($E$21,[1]QUART!$A$2:$FA$300, 83, FALSE))</f>
        <v>100.28333333333335</v>
      </c>
      <c r="CG21" s="1550">
        <f>IF(VLOOKUP($E$21,[1]QUART!$A$2:$FA$300, 84, FALSE)="",":",VLOOKUP($E$21,[1]QUART!$A$2:$FA$300, 84, FALSE))</f>
        <v>100.95333333333333</v>
      </c>
      <c r="CH21" s="1550">
        <f>IF(VLOOKUP($E$21,[1]QUART!$A$2:$FA$300, 85, FALSE)="",":",VLOOKUP($E$21,[1]QUART!$A$2:$FA$300, 85, FALSE))</f>
        <v>100.95</v>
      </c>
      <c r="CI21" s="1550">
        <f>IF(VLOOKUP($E$21,[1]QUART!$A$2:$FA$300, 86, FALSE)="",":",VLOOKUP($E$21,[1]QUART!$A$2:$FA$300, 86, FALSE))</f>
        <v>100.42666666666666</v>
      </c>
      <c r="CJ21" s="1550">
        <f>IF(VLOOKUP($E$21,[1]QUART!$A$2:$FA$300, 87, FALSE)="",":",VLOOKUP($E$21,[1]QUART!$A$2:$FA$300, 87, FALSE))</f>
        <v>99.936666666666667</v>
      </c>
      <c r="CK21" s="1550">
        <f>IF(VLOOKUP($E$21,[1]QUART!$A$2:$FA$300, 88, FALSE)="",":",VLOOKUP($E$21,[1]QUART!$A$2:$FA$300, 88, FALSE))</f>
        <v>99.75333333333333</v>
      </c>
      <c r="CL21" s="1550">
        <f>IF(VLOOKUP($E$21,[1]QUART!$A$2:$FA$300, 89, FALSE)="",":",VLOOKUP($E$21,[1]QUART!$A$2:$FA$300, 89, FALSE))</f>
        <v>99.883333333333326</v>
      </c>
      <c r="CM21" s="1550">
        <f>IF(VLOOKUP($E$21,[1]QUART!$A$2:$FA$300, 90, FALSE)="",":",VLOOKUP($E$21,[1]QUART!$A$2:$FA$300, 90, FALSE))</f>
        <v>100.97333333333334</v>
      </c>
      <c r="CN21" s="1550">
        <f>IF(VLOOKUP($E$21,[1]QUART!$A$2:$FA$300, 91, FALSE)="",":",VLOOKUP($E$21,[1]QUART!$A$2:$FA$300, 91, FALSE))</f>
        <v>102.05333333333334</v>
      </c>
      <c r="CO21" s="1550">
        <f>IF(VLOOKUP($E$21,[1]QUART!$A$2:$FA$300, 92, FALSE)="",":",VLOOKUP($E$21,[1]QUART!$A$2:$FA$300, 92, FALSE))</f>
        <v>102.53666666666668</v>
      </c>
      <c r="CP21" s="1550">
        <f>IF(VLOOKUP($E$21,[1]QUART!$A$2:$FA$300, 93, FALSE)="",":",VLOOKUP($E$21,[1]QUART!$A$2:$FA$300, 93, FALSE))</f>
        <v>103.35333333333334</v>
      </c>
      <c r="CQ21" s="1550">
        <f>IF(VLOOKUP($E$21,[1]QUART!$A$2:$FA$300, 94, FALSE)="",":",VLOOKUP($E$21,[1]QUART!$A$2:$FA$300, 94, FALSE))</f>
        <v>106.18333333333334</v>
      </c>
      <c r="CR21" s="1550">
        <f>IF(VLOOKUP($E$21,[1]QUART!$A$2:$FA$300, 95, FALSE)="",":",VLOOKUP($E$21,[1]QUART!$A$2:$FA$300, 95, FALSE))</f>
        <v>109.47333333333331</v>
      </c>
      <c r="CS21" s="1550">
        <f>IF(VLOOKUP($E$21,[1]QUART!$A$2:$FA$300, 96, FALSE)="",":",VLOOKUP($E$21,[1]QUART!$A$2:$FA$300, 96, FALSE))</f>
        <v>110.70666666666666</v>
      </c>
      <c r="CT21" s="1550">
        <f>IF(VLOOKUP($E$21,[1]QUART!$A$2:$FA$300, 97, FALSE)="",":",VLOOKUP($E$21,[1]QUART!$A$2:$FA$300, 97, FALSE))</f>
        <v>111.66666666666667</v>
      </c>
      <c r="CU21" s="1550" t="str">
        <f>IF(VLOOKUP($E$21,[1]QUART!$A$2:$FA$300, 98, FALSE)="",":",VLOOKUP($E$21,[1]QUART!$A$2:$FA$300, 98, FALSE))</f>
        <v>:</v>
      </c>
      <c r="CV21" s="1550" t="str">
        <f>IF(VLOOKUP($E$21,[1]QUART!$A$2:$FA$300, 99, FALSE)="",":",VLOOKUP($E$21,[1]QUART!$A$2:$FA$300, 99, FALSE))</f>
        <v>:</v>
      </c>
      <c r="CW21" s="1550" t="str">
        <f>IF(VLOOKUP($E$21,[1]QUART!$A$2:$FA$300, 100, FALSE)="",":",VLOOKUP($E$21,[1]QUART!$A$2:$FA$300, 100, FALSE))</f>
        <v>:</v>
      </c>
      <c r="CX21" s="1550" t="str">
        <f>IF(VLOOKUP($E$21,[1]QUART!$A$2:$FA$300, 101, FALSE)="",":",VLOOKUP($E$21,[1]QUART!$A$2:$FA$300, 101, FALSE))</f>
        <v>:</v>
      </c>
      <c r="CY21" s="1550" t="str">
        <f>IF(VLOOKUP($E$21,[1]QUART!$A$2:$FA$300, 102, FALSE)="",":",VLOOKUP($E$21,[1]QUART!$A$2:$FA$300, 102, FALSE))</f>
        <v>:</v>
      </c>
      <c r="CZ21" s="1550" t="str">
        <f>IF(VLOOKUP($E$21,[1]QUART!$A$2:$FA$300, 103, FALSE)="",":",VLOOKUP($E$21,[1]QUART!$A$2:$FA$300, 103, FALSE))</f>
        <v>:</v>
      </c>
      <c r="DA21" s="1550" t="str">
        <f>IF(VLOOKUP($E$21,[1]QUART!$A$2:$FA$300, 104, FALSE)="",":",VLOOKUP($E$21,[1]QUART!$A$2:$FA$300, 104, FALSE))</f>
        <v>:</v>
      </c>
      <c r="DB21" s="1550" t="str">
        <f>IF(VLOOKUP($E$21,[1]QUART!$A$2:$FA$300, 105, FALSE)="",":",VLOOKUP($E$21,[1]QUART!$A$2:$FA$300, 105, FALSE))</f>
        <v>:</v>
      </c>
      <c r="DC21" s="1550" t="str">
        <f>IF(VLOOKUP($E$21,[1]QUART!$A$2:$FA$300, 106, FALSE)="",":",VLOOKUP($E$21,[1]QUART!$A$2:$FA$300, 106, FALSE))</f>
        <v>:</v>
      </c>
    </row>
    <row r="22" spans="1:107">
      <c r="A22" s="1546">
        <v>171</v>
      </c>
      <c r="B22" s="1551" t="s">
        <v>1242</v>
      </c>
      <c r="C22" s="1552"/>
      <c r="D22" s="1547" t="s">
        <v>1841</v>
      </c>
      <c r="E22" s="1548">
        <v>95</v>
      </c>
      <c r="F22" s="1549" t="str">
        <f>VLOOKUP($E$22,[1]QUART!$A$2:$FA$300, 3, FALSE)</f>
        <v>95 HICP Services</v>
      </c>
      <c r="G22" s="1550" t="str">
        <f>IF(VLOOKUP($E$22,[1]QUART!$A$2:$FA$300, 6, FALSE)="",":",VLOOKUP($E$22,[1]QUART!$A$2:$FA$300, 6, FALSE))</f>
        <v>:</v>
      </c>
      <c r="H22" s="1550" t="str">
        <f>IF(VLOOKUP($E$22,[1]QUART!$A$2:$FA$300, 7, FALSE)="",":",VLOOKUP($E$22,[1]QUART!$A$2:$FA$300, 7, FALSE))</f>
        <v>:</v>
      </c>
      <c r="I22" s="1550" t="str">
        <f>IF(VLOOKUP($E$22,[1]QUART!$A$2:$FA$300, 8, FALSE)="",":",VLOOKUP($E$22,[1]QUART!$A$2:$FA$300, 8, FALSE))</f>
        <v>:</v>
      </c>
      <c r="J22" s="1550" t="str">
        <f>IF(VLOOKUP($E$22,[1]QUART!$A$2:$FA$300, 9, FALSE)="",":",VLOOKUP($E$22,[1]QUART!$A$2:$FA$300, 9, FALSE))</f>
        <v>:</v>
      </c>
      <c r="K22" s="1550">
        <f>IF(VLOOKUP($E$22,[1]QUART!$A$2:$FA$300, 10, FALSE)="",":",VLOOKUP($E$22,[1]QUART!$A$2:$FA$300, 10, FALSE))</f>
        <v>39.833333333333336</v>
      </c>
      <c r="L22" s="1550">
        <f>IF(VLOOKUP($E$22,[1]QUART!$A$2:$FA$300, 11, FALSE)="",":",VLOOKUP($E$22,[1]QUART!$A$2:$FA$300, 11, FALSE))</f>
        <v>41.616666666666667</v>
      </c>
      <c r="M22" s="1550">
        <f>IF(VLOOKUP($E$22,[1]QUART!$A$2:$FA$300, 12, FALSE)="",":",VLOOKUP($E$22,[1]QUART!$A$2:$FA$300, 12, FALSE))</f>
        <v>44.080000000000005</v>
      </c>
      <c r="N22" s="1550">
        <f>IF(VLOOKUP($E$22,[1]QUART!$A$2:$FA$300, 13, FALSE)="",":",VLOOKUP($E$22,[1]QUART!$A$2:$FA$300, 13, FALSE))</f>
        <v>44.79</v>
      </c>
      <c r="O22" s="1550">
        <f>IF(VLOOKUP($E$22,[1]QUART!$A$2:$FA$300, 14, FALSE)="",":",VLOOKUP($E$22,[1]QUART!$A$2:$FA$300, 14, FALSE))</f>
        <v>47.140000000000008</v>
      </c>
      <c r="P22" s="1550">
        <f>IF(VLOOKUP($E$22,[1]QUART!$A$2:$FA$300, 15, FALSE)="",":",VLOOKUP($E$22,[1]QUART!$A$2:$FA$300, 15, FALSE))</f>
        <v>48.793333333333329</v>
      </c>
      <c r="Q22" s="1550">
        <f>IF(VLOOKUP($E$22,[1]QUART!$A$2:$FA$300, 16, FALSE)="",":",VLOOKUP($E$22,[1]QUART!$A$2:$FA$300, 16, FALSE))</f>
        <v>50.199999999999996</v>
      </c>
      <c r="R22" s="1550">
        <f>IF(VLOOKUP($E$22,[1]QUART!$A$2:$FA$300, 17, FALSE)="",":",VLOOKUP($E$22,[1]QUART!$A$2:$FA$300, 17, FALSE))</f>
        <v>50.823333333333331</v>
      </c>
      <c r="S22" s="1550">
        <f>IF(VLOOKUP($E$22,[1]QUART!$A$2:$FA$300, 18, FALSE)="",":",VLOOKUP($E$22,[1]QUART!$A$2:$FA$300, 18, FALSE))</f>
        <v>52.723333333333336</v>
      </c>
      <c r="T22" s="1550">
        <f>IF(VLOOKUP($E$22,[1]QUART!$A$2:$FA$300, 19, FALSE)="",":",VLOOKUP($E$22,[1]QUART!$A$2:$FA$300, 19, FALSE))</f>
        <v>54.586666666666666</v>
      </c>
      <c r="U22" s="1550">
        <f>IF(VLOOKUP($E$22,[1]QUART!$A$2:$FA$300, 20, FALSE)="",":",VLOOKUP($E$22,[1]QUART!$A$2:$FA$300, 20, FALSE))</f>
        <v>55.706666666666671</v>
      </c>
      <c r="V22" s="1550">
        <f>IF(VLOOKUP($E$22,[1]QUART!$A$2:$FA$300, 21, FALSE)="",":",VLOOKUP($E$22,[1]QUART!$A$2:$FA$300, 21, FALSE))</f>
        <v>56.333333333333336</v>
      </c>
      <c r="W22" s="1550">
        <f>IF(VLOOKUP($E$22,[1]QUART!$A$2:$FA$300, 22, FALSE)="",":",VLOOKUP($E$22,[1]QUART!$A$2:$FA$300, 22, FALSE))</f>
        <v>56.943333333333335</v>
      </c>
      <c r="X22" s="1550">
        <f>IF(VLOOKUP($E$22,[1]QUART!$A$2:$FA$300, 23, FALSE)="",":",VLOOKUP($E$22,[1]QUART!$A$2:$FA$300, 23, FALSE))</f>
        <v>58.576666666666675</v>
      </c>
      <c r="Y22" s="1550">
        <f>IF(VLOOKUP($E$22,[1]QUART!$A$2:$FA$300, 24, FALSE)="",":",VLOOKUP($E$22,[1]QUART!$A$2:$FA$300, 24, FALSE))</f>
        <v>59.01</v>
      </c>
      <c r="Z22" s="1550">
        <f>IF(VLOOKUP($E$22,[1]QUART!$A$2:$FA$300, 25, FALSE)="",":",VLOOKUP($E$22,[1]QUART!$A$2:$FA$300, 25, FALSE))</f>
        <v>59.313333333333333</v>
      </c>
      <c r="AA22" s="1550">
        <f>IF(VLOOKUP($E$22,[1]QUART!$A$2:$FA$300, 26, FALSE)="",":",VLOOKUP($E$22,[1]QUART!$A$2:$FA$300, 26, FALSE))</f>
        <v>60.783333333333339</v>
      </c>
      <c r="AB22" s="1550">
        <f>IF(VLOOKUP($E$22,[1]QUART!$A$2:$FA$300, 27, FALSE)="",":",VLOOKUP($E$22,[1]QUART!$A$2:$FA$300, 27, FALSE))</f>
        <v>61.583333333333336</v>
      </c>
      <c r="AC22" s="1550">
        <f>IF(VLOOKUP($E$22,[1]QUART!$A$2:$FA$300, 28, FALSE)="",":",VLOOKUP($E$22,[1]QUART!$A$2:$FA$300, 28, FALSE))</f>
        <v>61.873333333333335</v>
      </c>
      <c r="AD22" s="1550">
        <f>IF(VLOOKUP($E$22,[1]QUART!$A$2:$FA$300, 29, FALSE)="",":",VLOOKUP($E$22,[1]QUART!$A$2:$FA$300, 29, FALSE))</f>
        <v>62.043333333333329</v>
      </c>
      <c r="AE22" s="1550">
        <f>IF(VLOOKUP($E$22,[1]QUART!$A$2:$FA$300, 30, FALSE)="",":",VLOOKUP($E$22,[1]QUART!$A$2:$FA$300, 30, FALSE))</f>
        <v>63.069999999999993</v>
      </c>
      <c r="AF22" s="1550">
        <f>IF(VLOOKUP($E$22,[1]QUART!$A$2:$FA$300, 31, FALSE)="",":",VLOOKUP($E$22,[1]QUART!$A$2:$FA$300, 31, FALSE))</f>
        <v>63.223333333333336</v>
      </c>
      <c r="AG22" s="1550">
        <f>IF(VLOOKUP($E$22,[1]QUART!$A$2:$FA$300, 32, FALSE)="",":",VLOOKUP($E$22,[1]QUART!$A$2:$FA$300, 32, FALSE))</f>
        <v>64.990000000000009</v>
      </c>
      <c r="AH22" s="1550">
        <f>IF(VLOOKUP($E$22,[1]QUART!$A$2:$FA$300, 33, FALSE)="",":",VLOOKUP($E$22,[1]QUART!$A$2:$FA$300, 33, FALSE))</f>
        <v>65.953333333333333</v>
      </c>
      <c r="AI22" s="1550">
        <f>IF(VLOOKUP($E$22,[1]QUART!$A$2:$FA$300, 34, FALSE)="",":",VLOOKUP($E$22,[1]QUART!$A$2:$FA$300, 34, FALSE))</f>
        <v>66.073333333333338</v>
      </c>
      <c r="AJ22" s="1550">
        <f>IF(VLOOKUP($E$22,[1]QUART!$A$2:$FA$300, 35, FALSE)="",":",VLOOKUP($E$22,[1]QUART!$A$2:$FA$300, 35, FALSE))</f>
        <v>65.930000000000007</v>
      </c>
      <c r="AK22" s="1550">
        <f>IF(VLOOKUP($E$22,[1]QUART!$A$2:$FA$300, 36, FALSE)="",":",VLOOKUP($E$22,[1]QUART!$A$2:$FA$300, 36, FALSE))</f>
        <v>66.83</v>
      </c>
      <c r="AL22" s="1550">
        <f>IF(VLOOKUP($E$22,[1]QUART!$A$2:$FA$300, 37, FALSE)="",":",VLOOKUP($E$22,[1]QUART!$A$2:$FA$300, 37, FALSE))</f>
        <v>66.726666666666674</v>
      </c>
      <c r="AM22" s="1550">
        <f>IF(VLOOKUP($E$22,[1]QUART!$A$2:$FA$300, 38, FALSE)="",":",VLOOKUP($E$22,[1]QUART!$A$2:$FA$300, 38, FALSE))</f>
        <v>67.100000000000009</v>
      </c>
      <c r="AN22" s="1550">
        <f>IF(VLOOKUP($E$22,[1]QUART!$A$2:$FA$300, 39, FALSE)="",":",VLOOKUP($E$22,[1]QUART!$A$2:$FA$300, 39, FALSE))</f>
        <v>67.209999999999994</v>
      </c>
      <c r="AO22" s="1550">
        <f>IF(VLOOKUP($E$22,[1]QUART!$A$2:$FA$300, 40, FALSE)="",":",VLOOKUP($E$22,[1]QUART!$A$2:$FA$300, 40, FALSE))</f>
        <v>66.7</v>
      </c>
      <c r="AP22" s="1550">
        <f>IF(VLOOKUP($E$22,[1]QUART!$A$2:$FA$300, 41, FALSE)="",":",VLOOKUP($E$22,[1]QUART!$A$2:$FA$300, 41, FALSE))</f>
        <v>65.356666666666669</v>
      </c>
      <c r="AQ22" s="1550">
        <f>IF(VLOOKUP($E$22,[1]QUART!$A$2:$FA$300, 42, FALSE)="",":",VLOOKUP($E$22,[1]QUART!$A$2:$FA$300, 42, FALSE))</f>
        <v>65.516666666666666</v>
      </c>
      <c r="AR22" s="1550">
        <f>IF(VLOOKUP($E$22,[1]QUART!$A$2:$FA$300, 43, FALSE)="",":",VLOOKUP($E$22,[1]QUART!$A$2:$FA$300, 43, FALSE))</f>
        <v>66.23</v>
      </c>
      <c r="AS22" s="1550">
        <f>IF(VLOOKUP($E$22,[1]QUART!$A$2:$FA$300, 44, FALSE)="",":",VLOOKUP($E$22,[1]QUART!$A$2:$FA$300, 44, FALSE))</f>
        <v>66.930000000000007</v>
      </c>
      <c r="AT22" s="1550">
        <f>IF(VLOOKUP($E$22,[1]QUART!$A$2:$FA$300, 45, FALSE)="",":",VLOOKUP($E$22,[1]QUART!$A$2:$FA$300, 45, FALSE))</f>
        <v>66.839999999999989</v>
      </c>
      <c r="AU22" s="1550">
        <f>IF(VLOOKUP($E$22,[1]QUART!$A$2:$FA$300, 46, FALSE)="",":",VLOOKUP($E$22,[1]QUART!$A$2:$FA$300, 46, FALSE))</f>
        <v>67.586666666666659</v>
      </c>
      <c r="AV22" s="1550">
        <f>IF(VLOOKUP($E$22,[1]QUART!$A$2:$FA$300, 47, FALSE)="",":",VLOOKUP($E$22,[1]QUART!$A$2:$FA$300, 47, FALSE))</f>
        <v>68.150000000000006</v>
      </c>
      <c r="AW22" s="1550">
        <f>IF(VLOOKUP($E$22,[1]QUART!$A$2:$FA$300, 48, FALSE)="",":",VLOOKUP($E$22,[1]QUART!$A$2:$FA$300, 48, FALSE))</f>
        <v>69.113333333333344</v>
      </c>
      <c r="AX22" s="1550">
        <f>IF(VLOOKUP($E$22,[1]QUART!$A$2:$FA$300, 49, FALSE)="",":",VLOOKUP($E$22,[1]QUART!$A$2:$FA$300, 49, FALSE))</f>
        <v>69.49666666666667</v>
      </c>
      <c r="AY22" s="1550">
        <f>IF(VLOOKUP($E$22,[1]QUART!$A$2:$FA$300, 50, FALSE)="",":",VLOOKUP($E$22,[1]QUART!$A$2:$FA$300, 50, FALSE))</f>
        <v>70.266666666666666</v>
      </c>
      <c r="AZ22" s="1550">
        <f>IF(VLOOKUP($E$22,[1]QUART!$A$2:$FA$300, 51, FALSE)="",":",VLOOKUP($E$22,[1]QUART!$A$2:$FA$300, 51, FALSE))</f>
        <v>71.356666666666669</v>
      </c>
      <c r="BA22" s="1550">
        <f>IF(VLOOKUP($E$22,[1]QUART!$A$2:$FA$300, 52, FALSE)="",":",VLOOKUP($E$22,[1]QUART!$A$2:$FA$300, 52, FALSE))</f>
        <v>72.77</v>
      </c>
      <c r="BB22" s="1550">
        <f>IF(VLOOKUP($E$22,[1]QUART!$A$2:$FA$300, 53, FALSE)="",":",VLOOKUP($E$22,[1]QUART!$A$2:$FA$300, 53, FALSE))</f>
        <v>73.216666666666669</v>
      </c>
      <c r="BC22" s="1550">
        <f>IF(VLOOKUP($E$22,[1]QUART!$A$2:$FA$300, 54, FALSE)="",":",VLOOKUP($E$22,[1]QUART!$A$2:$FA$300, 54, FALSE))</f>
        <v>74.256666666666675</v>
      </c>
      <c r="BD22" s="1550">
        <f>IF(VLOOKUP($E$22,[1]QUART!$A$2:$FA$300, 55, FALSE)="",":",VLOOKUP($E$22,[1]QUART!$A$2:$FA$300, 55, FALSE))</f>
        <v>75.606666666666669</v>
      </c>
      <c r="BE22" s="1550">
        <f>IF(VLOOKUP($E$22,[1]QUART!$A$2:$FA$300, 56, FALSE)="",":",VLOOKUP($E$22,[1]QUART!$A$2:$FA$300, 56, FALSE))</f>
        <v>77.899999999999991</v>
      </c>
      <c r="BF22" s="1550">
        <f>IF(VLOOKUP($E$22,[1]QUART!$A$2:$FA$300, 57, FALSE)="",":",VLOOKUP($E$22,[1]QUART!$A$2:$FA$300, 57, FALSE))</f>
        <v>79.430000000000007</v>
      </c>
      <c r="BG22" s="1550">
        <f>IF(VLOOKUP($E$22,[1]QUART!$A$2:$FA$300, 58, FALSE)="",":",VLOOKUP($E$22,[1]QUART!$A$2:$FA$300, 58, FALSE))</f>
        <v>82.506666666666675</v>
      </c>
      <c r="BH22" s="1550">
        <f>IF(VLOOKUP($E$22,[1]QUART!$A$2:$FA$300, 59, FALSE)="",":",VLOOKUP($E$22,[1]QUART!$A$2:$FA$300, 59, FALSE))</f>
        <v>85.389999999999986</v>
      </c>
      <c r="BI22" s="1550">
        <f>IF(VLOOKUP($E$22,[1]QUART!$A$2:$FA$300, 60, FALSE)="",":",VLOOKUP($E$22,[1]QUART!$A$2:$FA$300, 60, FALSE))</f>
        <v>87.683333333333337</v>
      </c>
      <c r="BJ22" s="1550">
        <f>IF(VLOOKUP($E$22,[1]QUART!$A$2:$FA$300, 61, FALSE)="",":",VLOOKUP($E$22,[1]QUART!$A$2:$FA$300, 61, FALSE))</f>
        <v>88.990000000000009</v>
      </c>
      <c r="BK22" s="1550">
        <f>IF(VLOOKUP($E$22,[1]QUART!$A$2:$FA$300, 62, FALSE)="",":",VLOOKUP($E$22,[1]QUART!$A$2:$FA$300, 62, FALSE))</f>
        <v>91.216666666666654</v>
      </c>
      <c r="BL22" s="1550">
        <f>IF(VLOOKUP($E$22,[1]QUART!$A$2:$FA$300, 63, FALSE)="",":",VLOOKUP($E$22,[1]QUART!$A$2:$FA$300, 63, FALSE))</f>
        <v>91.166666666666671</v>
      </c>
      <c r="BM22" s="1550">
        <f>IF(VLOOKUP($E$22,[1]QUART!$A$2:$FA$300, 64, FALSE)="",":",VLOOKUP($E$22,[1]QUART!$A$2:$FA$300, 64, FALSE))</f>
        <v>91.553333333333327</v>
      </c>
      <c r="BN22" s="1550">
        <f>IF(VLOOKUP($E$22,[1]QUART!$A$2:$FA$300, 65, FALSE)="",":",VLOOKUP($E$22,[1]QUART!$A$2:$FA$300, 65, FALSE))</f>
        <v>90.463333333333324</v>
      </c>
      <c r="BO22" s="1550">
        <f>IF(VLOOKUP($E$22,[1]QUART!$A$2:$FA$300, 66, FALSE)="",":",VLOOKUP($E$22,[1]QUART!$A$2:$FA$300, 66, FALSE))</f>
        <v>89.73</v>
      </c>
      <c r="BP22" s="1550">
        <f>IF(VLOOKUP($E$22,[1]QUART!$A$2:$FA$300, 67, FALSE)="",":",VLOOKUP($E$22,[1]QUART!$A$2:$FA$300, 67, FALSE))</f>
        <v>89.56</v>
      </c>
      <c r="BQ22" s="1550">
        <f>IF(VLOOKUP($E$22,[1]QUART!$A$2:$FA$300, 68, FALSE)="",":",VLOOKUP($E$22,[1]QUART!$A$2:$FA$300, 68, FALSE))</f>
        <v>90.123333333333335</v>
      </c>
      <c r="BR22" s="1550">
        <f>IF(VLOOKUP($E$22,[1]QUART!$A$2:$FA$300, 69, FALSE)="",":",VLOOKUP($E$22,[1]QUART!$A$2:$FA$300, 69, FALSE))</f>
        <v>89.54</v>
      </c>
      <c r="BS22" s="1550">
        <f>IF(VLOOKUP($E$22,[1]QUART!$A$2:$FA$300, 70, FALSE)="",":",VLOOKUP($E$22,[1]QUART!$A$2:$FA$300, 70, FALSE))</f>
        <v>89.826666666666668</v>
      </c>
      <c r="BT22" s="1550">
        <f>IF(VLOOKUP($E$22,[1]QUART!$A$2:$FA$300, 71, FALSE)="",":",VLOOKUP($E$22,[1]QUART!$A$2:$FA$300, 71, FALSE))</f>
        <v>90.54</v>
      </c>
      <c r="BU22" s="1550">
        <f>IF(VLOOKUP($E$22,[1]QUART!$A$2:$FA$300, 72, FALSE)="",":",VLOOKUP($E$22,[1]QUART!$A$2:$FA$300, 72, FALSE))</f>
        <v>91.73</v>
      </c>
      <c r="BV22" s="1550">
        <f>IF(VLOOKUP($E$22,[1]QUART!$A$2:$FA$300, 73, FALSE)="",":",VLOOKUP($E$22,[1]QUART!$A$2:$FA$300, 73, FALSE))</f>
        <v>91.36333333333333</v>
      </c>
      <c r="BW22" s="1550">
        <f>IF(VLOOKUP($E$22,[1]QUART!$A$2:$FA$300, 74, FALSE)="",":",VLOOKUP($E$22,[1]QUART!$A$2:$FA$300, 74, FALSE))</f>
        <v>92.14</v>
      </c>
      <c r="BX22" s="1550">
        <f>IF(VLOOKUP($E$22,[1]QUART!$A$2:$FA$300, 75, FALSE)="",":",VLOOKUP($E$22,[1]QUART!$A$2:$FA$300, 75, FALSE))</f>
        <v>93.256666666666661</v>
      </c>
      <c r="BY22" s="1550">
        <f>IF(VLOOKUP($E$22,[1]QUART!$A$2:$FA$300, 76, FALSE)="",":",VLOOKUP($E$22,[1]QUART!$A$2:$FA$300, 76, FALSE))</f>
        <v>94.37</v>
      </c>
      <c r="BZ22" s="1550">
        <f>IF(VLOOKUP($E$22,[1]QUART!$A$2:$FA$300, 77, FALSE)="",":",VLOOKUP($E$22,[1]QUART!$A$2:$FA$300, 77, FALSE))</f>
        <v>94.2</v>
      </c>
      <c r="CA22" s="1550">
        <f>IF(VLOOKUP($E$22,[1]QUART!$A$2:$FA$300, 78, FALSE)="",":",VLOOKUP($E$22,[1]QUART!$A$2:$FA$300, 78, FALSE))</f>
        <v>94.19</v>
      </c>
      <c r="CB22" s="1550">
        <f>IF(VLOOKUP($E$22,[1]QUART!$A$2:$FA$300, 79, FALSE)="",":",VLOOKUP($E$22,[1]QUART!$A$2:$FA$300, 79, FALSE))</f>
        <v>95.243333333333339</v>
      </c>
      <c r="CC22" s="1550">
        <f>IF(VLOOKUP($E$22,[1]QUART!$A$2:$FA$300, 80, FALSE)="",":",VLOOKUP($E$22,[1]QUART!$A$2:$FA$300, 80, FALSE))</f>
        <v>96.103333333333339</v>
      </c>
      <c r="CD22" s="1550">
        <f>IF(VLOOKUP($E$22,[1]QUART!$A$2:$FA$300, 81, FALSE)="",":",VLOOKUP($E$22,[1]QUART!$A$2:$FA$300, 81, FALSE))</f>
        <v>95.353333333333339</v>
      </c>
      <c r="CE22" s="1550">
        <f>IF(VLOOKUP($E$22,[1]QUART!$A$2:$FA$300, 82, FALSE)="",":",VLOOKUP($E$22,[1]QUART!$A$2:$FA$300, 82, FALSE))</f>
        <v>95.213333333333324</v>
      </c>
      <c r="CF22" s="1550">
        <f>IF(VLOOKUP($E$22,[1]QUART!$A$2:$FA$300, 83, FALSE)="",":",VLOOKUP($E$22,[1]QUART!$A$2:$FA$300, 83, FALSE))</f>
        <v>96.086666666666659</v>
      </c>
      <c r="CG22" s="1550">
        <f>IF(VLOOKUP($E$22,[1]QUART!$A$2:$FA$300, 84, FALSE)="",":",VLOOKUP($E$22,[1]QUART!$A$2:$FA$300, 84, FALSE))</f>
        <v>97.956666666666663</v>
      </c>
      <c r="CH22" s="1550">
        <f>IF(VLOOKUP($E$22,[1]QUART!$A$2:$FA$300, 85, FALSE)="",":",VLOOKUP($E$22,[1]QUART!$A$2:$FA$300, 85, FALSE))</f>
        <v>97.736666666666679</v>
      </c>
      <c r="CI22" s="1550">
        <f>IF(VLOOKUP($E$22,[1]QUART!$A$2:$FA$300, 86, FALSE)="",":",VLOOKUP($E$22,[1]QUART!$A$2:$FA$300, 86, FALSE))</f>
        <v>98.276666666666657</v>
      </c>
      <c r="CJ22" s="1550">
        <f>IF(VLOOKUP($E$22,[1]QUART!$A$2:$FA$300, 87, FALSE)="",":",VLOOKUP($E$22,[1]QUART!$A$2:$FA$300, 87, FALSE))</f>
        <v>99.32</v>
      </c>
      <c r="CK22" s="1550">
        <f>IF(VLOOKUP($E$22,[1]QUART!$A$2:$FA$300, 88, FALSE)="",":",VLOOKUP($E$22,[1]QUART!$A$2:$FA$300, 88, FALSE))</f>
        <v>101.18666666666667</v>
      </c>
      <c r="CL22" s="1550">
        <f>IF(VLOOKUP($E$22,[1]QUART!$A$2:$FA$300, 89, FALSE)="",":",VLOOKUP($E$22,[1]QUART!$A$2:$FA$300, 89, FALSE))</f>
        <v>101.22333333333331</v>
      </c>
      <c r="CM22" s="1550">
        <f>IF(VLOOKUP($E$22,[1]QUART!$A$2:$FA$300, 90, FALSE)="",":",VLOOKUP($E$22,[1]QUART!$A$2:$FA$300, 90, FALSE))</f>
        <v>101.89666666666666</v>
      </c>
      <c r="CN22" s="1550">
        <f>IF(VLOOKUP($E$22,[1]QUART!$A$2:$FA$300, 91, FALSE)="",":",VLOOKUP($E$22,[1]QUART!$A$2:$FA$300, 91, FALSE))</f>
        <v>102.54</v>
      </c>
      <c r="CO22" s="1550">
        <f>IF(VLOOKUP($E$22,[1]QUART!$A$2:$FA$300, 92, FALSE)="",":",VLOOKUP($E$22,[1]QUART!$A$2:$FA$300, 92, FALSE))</f>
        <v>104.19</v>
      </c>
      <c r="CP22" s="1550">
        <f>IF(VLOOKUP($E$22,[1]QUART!$A$2:$FA$300, 93, FALSE)="",":",VLOOKUP($E$22,[1]QUART!$A$2:$FA$300, 93, FALSE))</f>
        <v>103.99333333333334</v>
      </c>
      <c r="CQ22" s="1550">
        <f>IF(VLOOKUP($E$22,[1]QUART!$A$2:$FA$300, 94, FALSE)="",":",VLOOKUP($E$22,[1]QUART!$A$2:$FA$300, 94, FALSE))</f>
        <v>105.31666666666666</v>
      </c>
      <c r="CR22" s="1550">
        <f>IF(VLOOKUP($E$22,[1]QUART!$A$2:$FA$300, 95, FALSE)="",":",VLOOKUP($E$22,[1]QUART!$A$2:$FA$300, 95, FALSE))</f>
        <v>107.93333333333334</v>
      </c>
      <c r="CS22" s="1550">
        <f>IF(VLOOKUP($E$22,[1]QUART!$A$2:$FA$300, 96, FALSE)="",":",VLOOKUP($E$22,[1]QUART!$A$2:$FA$300, 96, FALSE))</f>
        <v>110.87333333333333</v>
      </c>
      <c r="CT22" s="1550">
        <f>IF(VLOOKUP($E$22,[1]QUART!$A$2:$FA$300, 97, FALSE)="",":",VLOOKUP($E$22,[1]QUART!$A$2:$FA$300, 97, FALSE))</f>
        <v>109.28666666666668</v>
      </c>
      <c r="CU22" s="1550" t="str">
        <f>IF(VLOOKUP($E$22,[1]QUART!$A$2:$FA$300, 98, FALSE)="",":",VLOOKUP($E$22,[1]QUART!$A$2:$FA$300, 98, FALSE))</f>
        <v>:</v>
      </c>
      <c r="CV22" s="1550" t="str">
        <f>IF(VLOOKUP($E$22,[1]QUART!$A$2:$FA$300, 99, FALSE)="",":",VLOOKUP($E$22,[1]QUART!$A$2:$FA$300, 99, FALSE))</f>
        <v>:</v>
      </c>
      <c r="CW22" s="1550" t="str">
        <f>IF(VLOOKUP($E$22,[1]QUART!$A$2:$FA$300, 100, FALSE)="",":",VLOOKUP($E$22,[1]QUART!$A$2:$FA$300, 100, FALSE))</f>
        <v>:</v>
      </c>
      <c r="CX22" s="1550" t="str">
        <f>IF(VLOOKUP($E$22,[1]QUART!$A$2:$FA$300, 101, FALSE)="",":",VLOOKUP($E$22,[1]QUART!$A$2:$FA$300, 101, FALSE))</f>
        <v>:</v>
      </c>
      <c r="CY22" s="1550" t="str">
        <f>IF(VLOOKUP($E$22,[1]QUART!$A$2:$FA$300, 102, FALSE)="",":",VLOOKUP($E$22,[1]QUART!$A$2:$FA$300, 102, FALSE))</f>
        <v>:</v>
      </c>
      <c r="CZ22" s="1550" t="str">
        <f>IF(VLOOKUP($E$22,[1]QUART!$A$2:$FA$300, 103, FALSE)="",":",VLOOKUP($E$22,[1]QUART!$A$2:$FA$300, 103, FALSE))</f>
        <v>:</v>
      </c>
      <c r="DA22" s="1550" t="str">
        <f>IF(VLOOKUP($E$22,[1]QUART!$A$2:$FA$300, 104, FALSE)="",":",VLOOKUP($E$22,[1]QUART!$A$2:$FA$300, 104, FALSE))</f>
        <v>:</v>
      </c>
      <c r="DB22" s="1550" t="str">
        <f>IF(VLOOKUP($E$22,[1]QUART!$A$2:$FA$300, 105, FALSE)="",":",VLOOKUP($E$22,[1]QUART!$A$2:$FA$300, 105, FALSE))</f>
        <v>:</v>
      </c>
      <c r="DC22" s="1550" t="str">
        <f>IF(VLOOKUP($E$22,[1]QUART!$A$2:$FA$300, 106, FALSE)="",":",VLOOKUP($E$22,[1]QUART!$A$2:$FA$300, 106, FALSE))</f>
        <v>:</v>
      </c>
    </row>
    <row r="23" spans="1:107">
      <c r="A23" s="1546"/>
      <c r="B23" s="1551" t="s">
        <v>926</v>
      </c>
      <c r="C23" s="1552"/>
      <c r="D23" s="1547" t="s">
        <v>1841</v>
      </c>
      <c r="E23" s="1548">
        <v>96</v>
      </c>
      <c r="F23" s="1549" t="str">
        <f>VLOOKUP($E$23,[1]QUART!$A$2:$FA$300, 3, FALSE)</f>
        <v>96 Core inflation</v>
      </c>
      <c r="G23" s="1550" t="str">
        <f>IF(VLOOKUP($E$23,[1]QUART!$A$2:$FA$300, 6, FALSE)="",":",VLOOKUP($E$23,[1]QUART!$A$2:$FA$300, 6, FALSE))</f>
        <v>:</v>
      </c>
      <c r="H23" s="1550" t="str">
        <f>IF(VLOOKUP($E$23,[1]QUART!$A$2:$FA$300, 7, FALSE)="",":",VLOOKUP($E$23,[1]QUART!$A$2:$FA$300, 7, FALSE))</f>
        <v>:</v>
      </c>
      <c r="I23" s="1550" t="str">
        <f>IF(VLOOKUP($E$23,[1]QUART!$A$2:$FA$300, 8, FALSE)="",":",VLOOKUP($E$23,[1]QUART!$A$2:$FA$300, 8, FALSE))</f>
        <v>:</v>
      </c>
      <c r="J23" s="1550" t="str">
        <f>IF(VLOOKUP($E$23,[1]QUART!$A$2:$FA$300, 9, FALSE)="",":",VLOOKUP($E$23,[1]QUART!$A$2:$FA$300, 9, FALSE))</f>
        <v>:</v>
      </c>
      <c r="K23" s="1550">
        <f>IF(VLOOKUP($E$23,[1]QUART!$A$2:$FA$300, 10, FALSE)="",":",VLOOKUP($E$23,[1]QUART!$A$2:$FA$300, 10, FALSE))</f>
        <v>60.53</v>
      </c>
      <c r="L23" s="1550">
        <f>IF(VLOOKUP($E$23,[1]QUART!$A$2:$FA$300, 11, FALSE)="",":",VLOOKUP($E$23,[1]QUART!$A$2:$FA$300, 11, FALSE))</f>
        <v>62.146666666666668</v>
      </c>
      <c r="M23" s="1550">
        <f>IF(VLOOKUP($E$23,[1]QUART!$A$2:$FA$300, 12, FALSE)="",":",VLOOKUP($E$23,[1]QUART!$A$2:$FA$300, 12, FALSE))</f>
        <v>63.609999999999992</v>
      </c>
      <c r="N23" s="1550">
        <f>IF(VLOOKUP($E$23,[1]QUART!$A$2:$FA$300, 13, FALSE)="",":",VLOOKUP($E$23,[1]QUART!$A$2:$FA$300, 13, FALSE))</f>
        <v>65.336666666666673</v>
      </c>
      <c r="O23" s="1550">
        <f>IF(VLOOKUP($E$23,[1]QUART!$A$2:$FA$300, 14, FALSE)="",":",VLOOKUP($E$23,[1]QUART!$A$2:$FA$300, 14, FALSE))</f>
        <v>68.069999999999993</v>
      </c>
      <c r="P23" s="1550">
        <f>IF(VLOOKUP($E$23,[1]QUART!$A$2:$FA$300, 15, FALSE)="",":",VLOOKUP($E$23,[1]QUART!$A$2:$FA$300, 15, FALSE))</f>
        <v>68.913333333333327</v>
      </c>
      <c r="Q23" s="1550">
        <f>IF(VLOOKUP($E$23,[1]QUART!$A$2:$FA$300, 16, FALSE)="",":",VLOOKUP($E$23,[1]QUART!$A$2:$FA$300, 16, FALSE))</f>
        <v>69.84</v>
      </c>
      <c r="R23" s="1550">
        <f>IF(VLOOKUP($E$23,[1]QUART!$A$2:$FA$300, 17, FALSE)="",":",VLOOKUP($E$23,[1]QUART!$A$2:$FA$300, 17, FALSE))</f>
        <v>70.81</v>
      </c>
      <c r="S23" s="1550">
        <f>IF(VLOOKUP($E$23,[1]QUART!$A$2:$FA$300, 18, FALSE)="",":",VLOOKUP($E$23,[1]QUART!$A$2:$FA$300, 18, FALSE))</f>
        <v>71.83</v>
      </c>
      <c r="T23" s="1550">
        <f>IF(VLOOKUP($E$23,[1]QUART!$A$2:$FA$300, 19, FALSE)="",":",VLOOKUP($E$23,[1]QUART!$A$2:$FA$300, 19, FALSE))</f>
        <v>72.38</v>
      </c>
      <c r="U23" s="1550">
        <f>IF(VLOOKUP($E$23,[1]QUART!$A$2:$FA$300, 20, FALSE)="",":",VLOOKUP($E$23,[1]QUART!$A$2:$FA$300, 20, FALSE))</f>
        <v>72.720000000000013</v>
      </c>
      <c r="V23" s="1550">
        <f>IF(VLOOKUP($E$23,[1]QUART!$A$2:$FA$300, 21, FALSE)="",":",VLOOKUP($E$23,[1]QUART!$A$2:$FA$300, 21, FALSE))</f>
        <v>73.149999999999991</v>
      </c>
      <c r="W23" s="1550">
        <f>IF(VLOOKUP($E$23,[1]QUART!$A$2:$FA$300, 22, FALSE)="",":",VLOOKUP($E$23,[1]QUART!$A$2:$FA$300, 22, FALSE))</f>
        <v>73.873333333333335</v>
      </c>
      <c r="X23" s="1550">
        <f>IF(VLOOKUP($E$23,[1]QUART!$A$2:$FA$300, 23, FALSE)="",":",VLOOKUP($E$23,[1]QUART!$A$2:$FA$300, 23, FALSE))</f>
        <v>74.029999999999987</v>
      </c>
      <c r="Y23" s="1550">
        <f>IF(VLOOKUP($E$23,[1]QUART!$A$2:$FA$300, 24, FALSE)="",":",VLOOKUP($E$23,[1]QUART!$A$2:$FA$300, 24, FALSE))</f>
        <v>74.006666666666661</v>
      </c>
      <c r="Z23" s="1550">
        <f>IF(VLOOKUP($E$23,[1]QUART!$A$2:$FA$300, 25, FALSE)="",":",VLOOKUP($E$23,[1]QUART!$A$2:$FA$300, 25, FALSE))</f>
        <v>73.17</v>
      </c>
      <c r="AA23" s="1550">
        <f>IF(VLOOKUP($E$23,[1]QUART!$A$2:$FA$300, 26, FALSE)="",":",VLOOKUP($E$23,[1]QUART!$A$2:$FA$300, 26, FALSE))</f>
        <v>73.313333333333333</v>
      </c>
      <c r="AB23" s="1550">
        <f>IF(VLOOKUP($E$23,[1]QUART!$A$2:$FA$300, 27, FALSE)="",":",VLOOKUP($E$23,[1]QUART!$A$2:$FA$300, 27, FALSE))</f>
        <v>72.95</v>
      </c>
      <c r="AC23" s="1550">
        <f>IF(VLOOKUP($E$23,[1]QUART!$A$2:$FA$300, 28, FALSE)="",":",VLOOKUP($E$23,[1]QUART!$A$2:$FA$300, 28, FALSE))</f>
        <v>72.81</v>
      </c>
      <c r="AD23" s="1550">
        <f>IF(VLOOKUP($E$23,[1]QUART!$A$2:$FA$300, 29, FALSE)="",":",VLOOKUP($E$23,[1]QUART!$A$2:$FA$300, 29, FALSE))</f>
        <v>72.7</v>
      </c>
      <c r="AE23" s="1550">
        <f>IF(VLOOKUP($E$23,[1]QUART!$A$2:$FA$300, 30, FALSE)="",":",VLOOKUP($E$23,[1]QUART!$A$2:$FA$300, 30, FALSE))</f>
        <v>72.836666666666659</v>
      </c>
      <c r="AF23" s="1550">
        <f>IF(VLOOKUP($E$23,[1]QUART!$A$2:$FA$300, 31, FALSE)="",":",VLOOKUP($E$23,[1]QUART!$A$2:$FA$300, 31, FALSE))</f>
        <v>72.570000000000007</v>
      </c>
      <c r="AG23" s="1550">
        <f>IF(VLOOKUP($E$23,[1]QUART!$A$2:$FA$300, 32, FALSE)="",":",VLOOKUP($E$23,[1]QUART!$A$2:$FA$300, 32, FALSE))</f>
        <v>72.89</v>
      </c>
      <c r="AH23" s="1550">
        <f>IF(VLOOKUP($E$23,[1]QUART!$A$2:$FA$300, 33, FALSE)="",":",VLOOKUP($E$23,[1]QUART!$A$2:$FA$300, 33, FALSE))</f>
        <v>73.653333333333322</v>
      </c>
      <c r="AI23" s="1550">
        <f>IF(VLOOKUP($E$23,[1]QUART!$A$2:$FA$300, 34, FALSE)="",":",VLOOKUP($E$23,[1]QUART!$A$2:$FA$300, 34, FALSE))</f>
        <v>73.643333333333331</v>
      </c>
      <c r="AJ23" s="1550">
        <f>IF(VLOOKUP($E$23,[1]QUART!$A$2:$FA$300, 35, FALSE)="",":",VLOOKUP($E$23,[1]QUART!$A$2:$FA$300, 35, FALSE))</f>
        <v>73.226666666666674</v>
      </c>
      <c r="AK23" s="1550">
        <f>IF(VLOOKUP($E$23,[1]QUART!$A$2:$FA$300, 36, FALSE)="",":",VLOOKUP($E$23,[1]QUART!$A$2:$FA$300, 36, FALSE))</f>
        <v>73.11</v>
      </c>
      <c r="AL23" s="1550">
        <f>IF(VLOOKUP($E$23,[1]QUART!$A$2:$FA$300, 37, FALSE)="",":",VLOOKUP($E$23,[1]QUART!$A$2:$FA$300, 37, FALSE))</f>
        <v>73.693333333333342</v>
      </c>
      <c r="AM23" s="1550">
        <f>IF(VLOOKUP($E$23,[1]QUART!$A$2:$FA$300, 38, FALSE)="",":",VLOOKUP($E$23,[1]QUART!$A$2:$FA$300, 38, FALSE))</f>
        <v>74.12</v>
      </c>
      <c r="AN23" s="1550">
        <f>IF(VLOOKUP($E$23,[1]QUART!$A$2:$FA$300, 39, FALSE)="",":",VLOOKUP($E$23,[1]QUART!$A$2:$FA$300, 39, FALSE))</f>
        <v>74.266666666666666</v>
      </c>
      <c r="AO23" s="1550">
        <f>IF(VLOOKUP($E$23,[1]QUART!$A$2:$FA$300, 40, FALSE)="",":",VLOOKUP($E$23,[1]QUART!$A$2:$FA$300, 40, FALSE))</f>
        <v>73.696666666666673</v>
      </c>
      <c r="AP23" s="1550">
        <f>IF(VLOOKUP($E$23,[1]QUART!$A$2:$FA$300, 41, FALSE)="",":",VLOOKUP($E$23,[1]QUART!$A$2:$FA$300, 41, FALSE))</f>
        <v>73.61</v>
      </c>
      <c r="AQ23" s="1550">
        <f>IF(VLOOKUP($E$23,[1]QUART!$A$2:$FA$300, 42, FALSE)="",":",VLOOKUP($E$23,[1]QUART!$A$2:$FA$300, 42, FALSE))</f>
        <v>73.58</v>
      </c>
      <c r="AR23" s="1550">
        <f>IF(VLOOKUP($E$23,[1]QUART!$A$2:$FA$300, 43, FALSE)="",":",VLOOKUP($E$23,[1]QUART!$A$2:$FA$300, 43, FALSE))</f>
        <v>74.486666666666665</v>
      </c>
      <c r="AS23" s="1550">
        <f>IF(VLOOKUP($E$23,[1]QUART!$A$2:$FA$300, 44, FALSE)="",":",VLOOKUP($E$23,[1]QUART!$A$2:$FA$300, 44, FALSE))</f>
        <v>74.543333333333337</v>
      </c>
      <c r="AT23" s="1550">
        <f>IF(VLOOKUP($E$23,[1]QUART!$A$2:$FA$300, 45, FALSE)="",":",VLOOKUP($E$23,[1]QUART!$A$2:$FA$300, 45, FALSE))</f>
        <v>74.98</v>
      </c>
      <c r="AU23" s="1550">
        <f>IF(VLOOKUP($E$23,[1]QUART!$A$2:$FA$300, 46, FALSE)="",":",VLOOKUP($E$23,[1]QUART!$A$2:$FA$300, 46, FALSE))</f>
        <v>74.75333333333333</v>
      </c>
      <c r="AV23" s="1550">
        <f>IF(VLOOKUP($E$23,[1]QUART!$A$2:$FA$300, 47, FALSE)="",":",VLOOKUP($E$23,[1]QUART!$A$2:$FA$300, 47, FALSE))</f>
        <v>75.19</v>
      </c>
      <c r="AW23" s="1550">
        <f>IF(VLOOKUP($E$23,[1]QUART!$A$2:$FA$300, 48, FALSE)="",":",VLOOKUP($E$23,[1]QUART!$A$2:$FA$300, 48, FALSE))</f>
        <v>75.320000000000007</v>
      </c>
      <c r="AX23" s="1550">
        <f>IF(VLOOKUP($E$23,[1]QUART!$A$2:$FA$300, 49, FALSE)="",":",VLOOKUP($E$23,[1]QUART!$A$2:$FA$300, 49, FALSE))</f>
        <v>76.12</v>
      </c>
      <c r="AY23" s="1550">
        <f>IF(VLOOKUP($E$23,[1]QUART!$A$2:$FA$300, 50, FALSE)="",":",VLOOKUP($E$23,[1]QUART!$A$2:$FA$300, 50, FALSE))</f>
        <v>75.986666666666665</v>
      </c>
      <c r="AZ23" s="1550">
        <f>IF(VLOOKUP($E$23,[1]QUART!$A$2:$FA$300, 51, FALSE)="",":",VLOOKUP($E$23,[1]QUART!$A$2:$FA$300, 51, FALSE))</f>
        <v>76.63333333333334</v>
      </c>
      <c r="BA23" s="1550">
        <f>IF(VLOOKUP($E$23,[1]QUART!$A$2:$FA$300, 52, FALSE)="",":",VLOOKUP($E$23,[1]QUART!$A$2:$FA$300, 52, FALSE))</f>
        <v>77.33</v>
      </c>
      <c r="BB23" s="1550">
        <f>IF(VLOOKUP($E$23,[1]QUART!$A$2:$FA$300, 53, FALSE)="",":",VLOOKUP($E$23,[1]QUART!$A$2:$FA$300, 53, FALSE))</f>
        <v>78.63</v>
      </c>
      <c r="BC23" s="1550">
        <f>IF(VLOOKUP($E$23,[1]QUART!$A$2:$FA$300, 54, FALSE)="",":",VLOOKUP($E$23,[1]QUART!$A$2:$FA$300, 54, FALSE))</f>
        <v>78.959999999999994</v>
      </c>
      <c r="BD23" s="1550">
        <f>IF(VLOOKUP($E$23,[1]QUART!$A$2:$FA$300, 55, FALSE)="",":",VLOOKUP($E$23,[1]QUART!$A$2:$FA$300, 55, FALSE))</f>
        <v>80.03</v>
      </c>
      <c r="BE23" s="1550">
        <f>IF(VLOOKUP($E$23,[1]QUART!$A$2:$FA$300, 56, FALSE)="",":",VLOOKUP($E$23,[1]QUART!$A$2:$FA$300, 56, FALSE))</f>
        <v>81.553333333333327</v>
      </c>
      <c r="BF23" s="1550">
        <f>IF(VLOOKUP($E$23,[1]QUART!$A$2:$FA$300, 57, FALSE)="",":",VLOOKUP($E$23,[1]QUART!$A$2:$FA$300, 57, FALSE))</f>
        <v>84.123333333333335</v>
      </c>
      <c r="BG23" s="1550">
        <f>IF(VLOOKUP($E$23,[1]QUART!$A$2:$FA$300, 58, FALSE)="",":",VLOOKUP($E$23,[1]QUART!$A$2:$FA$300, 58, FALSE))</f>
        <v>86.08</v>
      </c>
      <c r="BH23" s="1550">
        <f>IF(VLOOKUP($E$23,[1]QUART!$A$2:$FA$300, 59, FALSE)="",":",VLOOKUP($E$23,[1]QUART!$A$2:$FA$300, 59, FALSE))</f>
        <v>88.54</v>
      </c>
      <c r="BI23" s="1550">
        <f>IF(VLOOKUP($E$23,[1]QUART!$A$2:$FA$300, 60, FALSE)="",":",VLOOKUP($E$23,[1]QUART!$A$2:$FA$300, 60, FALSE))</f>
        <v>89.58</v>
      </c>
      <c r="BJ23" s="1550">
        <f>IF(VLOOKUP($E$23,[1]QUART!$A$2:$FA$300, 61, FALSE)="",":",VLOOKUP($E$23,[1]QUART!$A$2:$FA$300, 61, FALSE))</f>
        <v>90.676666666666662</v>
      </c>
      <c r="BK23" s="1550">
        <f>IF(VLOOKUP($E$23,[1]QUART!$A$2:$FA$300, 62, FALSE)="",":",VLOOKUP($E$23,[1]QUART!$A$2:$FA$300, 62, FALSE))</f>
        <v>92.160000000000011</v>
      </c>
      <c r="BL23" s="1550">
        <f>IF(VLOOKUP($E$23,[1]QUART!$A$2:$FA$300, 63, FALSE)="",":",VLOOKUP($E$23,[1]QUART!$A$2:$FA$300, 63, FALSE))</f>
        <v>91.973333333333315</v>
      </c>
      <c r="BM23" s="1550">
        <f>IF(VLOOKUP($E$23,[1]QUART!$A$2:$FA$300, 64, FALSE)="",":",VLOOKUP($E$23,[1]QUART!$A$2:$FA$300, 64, FALSE))</f>
        <v>91.536666666666676</v>
      </c>
      <c r="BN23" s="1550">
        <f>IF(VLOOKUP($E$23,[1]QUART!$A$2:$FA$300, 65, FALSE)="",":",VLOOKUP($E$23,[1]QUART!$A$2:$FA$300, 65, FALSE))</f>
        <v>92.24666666666667</v>
      </c>
      <c r="BO23" s="1550">
        <f>IF(VLOOKUP($E$23,[1]QUART!$A$2:$FA$300, 66, FALSE)="",":",VLOOKUP($E$23,[1]QUART!$A$2:$FA$300, 66, FALSE))</f>
        <v>91.726666666666674</v>
      </c>
      <c r="BP23" s="1550">
        <f>IF(VLOOKUP($E$23,[1]QUART!$A$2:$FA$300, 67, FALSE)="",":",VLOOKUP($E$23,[1]QUART!$A$2:$FA$300, 67, FALSE))</f>
        <v>91.773333333333326</v>
      </c>
      <c r="BQ23" s="1550">
        <f>IF(VLOOKUP($E$23,[1]QUART!$A$2:$FA$300, 68, FALSE)="",":",VLOOKUP($E$23,[1]QUART!$A$2:$FA$300, 68, FALSE))</f>
        <v>91.763333333333335</v>
      </c>
      <c r="BR23" s="1550">
        <f>IF(VLOOKUP($E$23,[1]QUART!$A$2:$FA$300, 69, FALSE)="",":",VLOOKUP($E$23,[1]QUART!$A$2:$FA$300, 69, FALSE))</f>
        <v>92.456666666666663</v>
      </c>
      <c r="BS23" s="1550">
        <f>IF(VLOOKUP($E$23,[1]QUART!$A$2:$FA$300, 70, FALSE)="",":",VLOOKUP($E$23,[1]QUART!$A$2:$FA$300, 70, FALSE))</f>
        <v>92.723333333333343</v>
      </c>
      <c r="BT23" s="1550">
        <f>IF(VLOOKUP($E$23,[1]QUART!$A$2:$FA$300, 71, FALSE)="",":",VLOOKUP($E$23,[1]QUART!$A$2:$FA$300, 71, FALSE))</f>
        <v>94.426666666666662</v>
      </c>
      <c r="BU23" s="1550">
        <f>IF(VLOOKUP($E$23,[1]QUART!$A$2:$FA$300, 72, FALSE)="",":",VLOOKUP($E$23,[1]QUART!$A$2:$FA$300, 72, FALSE))</f>
        <v>94.490000000000009</v>
      </c>
      <c r="BV23" s="1550">
        <f>IF(VLOOKUP($E$23,[1]QUART!$A$2:$FA$300, 73, FALSE)="",":",VLOOKUP($E$23,[1]QUART!$A$2:$FA$300, 73, FALSE))</f>
        <v>94.793333333333337</v>
      </c>
      <c r="BW23" s="1550">
        <f>IF(VLOOKUP($E$23,[1]QUART!$A$2:$FA$300, 74, FALSE)="",":",VLOOKUP($E$23,[1]QUART!$A$2:$FA$300, 74, FALSE))</f>
        <v>95.036666666666676</v>
      </c>
      <c r="BX23" s="1550">
        <f>IF(VLOOKUP($E$23,[1]QUART!$A$2:$FA$300, 75, FALSE)="",":",VLOOKUP($E$23,[1]QUART!$A$2:$FA$300, 75, FALSE))</f>
        <v>96.399999999999991</v>
      </c>
      <c r="BY23" s="1550">
        <f>IF(VLOOKUP($E$23,[1]QUART!$A$2:$FA$300, 76, FALSE)="",":",VLOOKUP($E$23,[1]QUART!$A$2:$FA$300, 76, FALSE))</f>
        <v>96.723333333333343</v>
      </c>
      <c r="BZ23" s="1550">
        <f>IF(VLOOKUP($E$23,[1]QUART!$A$2:$FA$300, 77, FALSE)="",":",VLOOKUP($E$23,[1]QUART!$A$2:$FA$300, 77, FALSE))</f>
        <v>97.216666666666654</v>
      </c>
      <c r="CA23" s="1550">
        <f>IF(VLOOKUP($E$23,[1]QUART!$A$2:$FA$300, 78, FALSE)="",":",VLOOKUP($E$23,[1]QUART!$A$2:$FA$300, 78, FALSE))</f>
        <v>96.863333333333344</v>
      </c>
      <c r="CB23" s="1550">
        <f>IF(VLOOKUP($E$23,[1]QUART!$A$2:$FA$300, 79, FALSE)="",":",VLOOKUP($E$23,[1]QUART!$A$2:$FA$300, 79, FALSE))</f>
        <v>97.773333333333326</v>
      </c>
      <c r="CC23" s="1550">
        <f>IF(VLOOKUP($E$23,[1]QUART!$A$2:$FA$300, 80, FALSE)="",":",VLOOKUP($E$23,[1]QUART!$A$2:$FA$300, 80, FALSE))</f>
        <v>97.836666666666659</v>
      </c>
      <c r="CD23" s="1550">
        <f>IF(VLOOKUP($E$23,[1]QUART!$A$2:$FA$300, 81, FALSE)="",":",VLOOKUP($E$23,[1]QUART!$A$2:$FA$300, 81, FALSE))</f>
        <v>98.286666666666676</v>
      </c>
      <c r="CE23" s="1550">
        <f>IF(VLOOKUP($E$23,[1]QUART!$A$2:$FA$300, 82, FALSE)="",":",VLOOKUP($E$23,[1]QUART!$A$2:$FA$300, 82, FALSE))</f>
        <v>97.823333333333338</v>
      </c>
      <c r="CF23" s="1550">
        <f>IF(VLOOKUP($E$23,[1]QUART!$A$2:$FA$300, 83, FALSE)="",":",VLOOKUP($E$23,[1]QUART!$A$2:$FA$300, 83, FALSE))</f>
        <v>98.733333333333334</v>
      </c>
      <c r="CG23" s="1550">
        <f>IF(VLOOKUP($E$23,[1]QUART!$A$2:$FA$300, 84, FALSE)="",":",VLOOKUP($E$23,[1]QUART!$A$2:$FA$300, 84, FALSE))</f>
        <v>99.013333333333335</v>
      </c>
      <c r="CH23" s="1550">
        <f>IF(VLOOKUP($E$23,[1]QUART!$A$2:$FA$300, 85, FALSE)="",":",VLOOKUP($E$23,[1]QUART!$A$2:$FA$300, 85, FALSE))</f>
        <v>99.56</v>
      </c>
      <c r="CI23" s="1550">
        <f>IF(VLOOKUP($E$23,[1]QUART!$A$2:$FA$300, 86, FALSE)="",":",VLOOKUP($E$23,[1]QUART!$A$2:$FA$300, 86, FALSE))</f>
        <v>98.99666666666667</v>
      </c>
      <c r="CJ23" s="1550">
        <f>IF(VLOOKUP($E$23,[1]QUART!$A$2:$FA$300, 87, FALSE)="",":",VLOOKUP($E$23,[1]QUART!$A$2:$FA$300, 87, FALSE))</f>
        <v>99.90000000000002</v>
      </c>
      <c r="CK23" s="1550">
        <f>IF(VLOOKUP($E$23,[1]QUART!$A$2:$FA$300, 88, FALSE)="",":",VLOOKUP($E$23,[1]QUART!$A$2:$FA$300, 88, FALSE))</f>
        <v>100.05</v>
      </c>
      <c r="CL23" s="1550">
        <f>IF(VLOOKUP($E$23,[1]QUART!$A$2:$FA$300, 89, FALSE)="",":",VLOOKUP($E$23,[1]QUART!$A$2:$FA$300, 89, FALSE))</f>
        <v>101.04666666666667</v>
      </c>
      <c r="CM23" s="1550">
        <f>IF(VLOOKUP($E$23,[1]QUART!$A$2:$FA$300, 90, FALSE)="",":",VLOOKUP($E$23,[1]QUART!$A$2:$FA$300, 90, FALSE))</f>
        <v>100.87</v>
      </c>
      <c r="CN23" s="1550">
        <f>IF(VLOOKUP($E$23,[1]QUART!$A$2:$FA$300, 91, FALSE)="",":",VLOOKUP($E$23,[1]QUART!$A$2:$FA$300, 91, FALSE))</f>
        <v>101.93666666666667</v>
      </c>
      <c r="CO23" s="1550">
        <f>IF(VLOOKUP($E$23,[1]QUART!$A$2:$FA$300, 92, FALSE)="",":",VLOOKUP($E$23,[1]QUART!$A$2:$FA$300, 92, FALSE))</f>
        <v>101.77</v>
      </c>
      <c r="CP23" s="1550">
        <f>IF(VLOOKUP($E$23,[1]QUART!$A$2:$FA$300, 93, FALSE)="",":",VLOOKUP($E$23,[1]QUART!$A$2:$FA$300, 93, FALSE))</f>
        <v>102.88333333333333</v>
      </c>
      <c r="CQ23" s="1550">
        <f>IF(VLOOKUP($E$23,[1]QUART!$A$2:$FA$300, 94, FALSE)="",":",VLOOKUP($E$23,[1]QUART!$A$2:$FA$300, 94, FALSE))</f>
        <v>103.45666666666666</v>
      </c>
      <c r="CR23" s="1550">
        <f>IF(VLOOKUP($E$23,[1]QUART!$A$2:$FA$300, 95, FALSE)="",":",VLOOKUP($E$23,[1]QUART!$A$2:$FA$300, 95, FALSE))</f>
        <v>105.92333333333335</v>
      </c>
      <c r="CS23" s="1550">
        <f>IF(VLOOKUP($E$23,[1]QUART!$A$2:$FA$300, 96, FALSE)="",":",VLOOKUP($E$23,[1]QUART!$A$2:$FA$300, 96, FALSE))</f>
        <v>106.49666666666667</v>
      </c>
      <c r="CT23" s="1550">
        <f>IF(VLOOKUP($E$23,[1]QUART!$A$2:$FA$300, 97, FALSE)="",":",VLOOKUP($E$23,[1]QUART!$A$2:$FA$300, 97, FALSE))</f>
        <v>107.12666666666667</v>
      </c>
      <c r="CU23" s="1550" t="str">
        <f>IF(VLOOKUP($E$23,[1]QUART!$A$2:$FA$300, 98, FALSE)="",":",VLOOKUP($E$23,[1]QUART!$A$2:$FA$300, 98, FALSE))</f>
        <v>:</v>
      </c>
      <c r="CV23" s="1550" t="str">
        <f>IF(VLOOKUP($E$23,[1]QUART!$A$2:$FA$300, 99, FALSE)="",":",VLOOKUP($E$23,[1]QUART!$A$2:$FA$300, 99, FALSE))</f>
        <v>:</v>
      </c>
      <c r="CW23" s="1550" t="str">
        <f>IF(VLOOKUP($E$23,[1]QUART!$A$2:$FA$300, 100, FALSE)="",":",VLOOKUP($E$23,[1]QUART!$A$2:$FA$300, 100, FALSE))</f>
        <v>:</v>
      </c>
      <c r="CX23" s="1550" t="str">
        <f>IF(VLOOKUP($E$23,[1]QUART!$A$2:$FA$300, 101, FALSE)="",":",VLOOKUP($E$23,[1]QUART!$A$2:$FA$300, 101, FALSE))</f>
        <v>:</v>
      </c>
      <c r="CY23" s="1550" t="str">
        <f>IF(VLOOKUP($E$23,[1]QUART!$A$2:$FA$300, 102, FALSE)="",":",VLOOKUP($E$23,[1]QUART!$A$2:$FA$300, 102, FALSE))</f>
        <v>:</v>
      </c>
      <c r="CZ23" s="1550" t="str">
        <f>IF(VLOOKUP($E$23,[1]QUART!$A$2:$FA$300, 103, FALSE)="",":",VLOOKUP($E$23,[1]QUART!$A$2:$FA$300, 103, FALSE))</f>
        <v>:</v>
      </c>
      <c r="DA23" s="1550" t="str">
        <f>IF(VLOOKUP($E$23,[1]QUART!$A$2:$FA$300, 104, FALSE)="",":",VLOOKUP($E$23,[1]QUART!$A$2:$FA$300, 104, FALSE))</f>
        <v>:</v>
      </c>
      <c r="DB23" s="1550" t="str">
        <f>IF(VLOOKUP($E$23,[1]QUART!$A$2:$FA$300, 105, FALSE)="",":",VLOOKUP($E$23,[1]QUART!$A$2:$FA$300, 105, FALSE))</f>
        <v>:</v>
      </c>
      <c r="DC23" s="1550" t="str">
        <f>IF(VLOOKUP($E$23,[1]QUART!$A$2:$FA$300, 106, FALSE)="",":",VLOOKUP($E$23,[1]QUART!$A$2:$FA$300, 106, FALSE))</f>
        <v>:</v>
      </c>
    </row>
    <row r="24" spans="1:107">
      <c r="A24" s="1546"/>
      <c r="B24" s="1551"/>
      <c r="C24" s="1552"/>
      <c r="D24" s="1547"/>
      <c r="E24" s="1548"/>
      <c r="F24" s="1549"/>
      <c r="G24" s="1550"/>
      <c r="H24" s="1550"/>
      <c r="I24" s="1550"/>
      <c r="J24" s="1550"/>
      <c r="K24" s="1550"/>
      <c r="L24" s="1550"/>
      <c r="M24" s="1550"/>
      <c r="N24" s="1550"/>
      <c r="O24" s="1550"/>
      <c r="P24" s="1550"/>
      <c r="Q24" s="1550"/>
      <c r="R24" s="1550"/>
      <c r="S24" s="1550"/>
      <c r="T24" s="1550"/>
      <c r="U24" s="1550"/>
      <c r="V24" s="1550"/>
      <c r="W24" s="1550"/>
      <c r="X24" s="1550"/>
      <c r="Y24" s="1550"/>
      <c r="Z24" s="1550"/>
      <c r="AA24" s="1550"/>
      <c r="AB24" s="1550"/>
      <c r="AC24" s="1550"/>
      <c r="AD24" s="1550"/>
      <c r="AE24" s="1550"/>
      <c r="AF24" s="1550"/>
      <c r="AG24" s="1550"/>
      <c r="AH24" s="1550"/>
      <c r="AI24" s="1550"/>
      <c r="AJ24" s="1550"/>
      <c r="AK24" s="1550"/>
      <c r="AL24" s="1550"/>
      <c r="AM24" s="1550"/>
      <c r="AN24" s="1550"/>
      <c r="AO24" s="1550"/>
      <c r="AP24" s="1550"/>
      <c r="AQ24" s="1550"/>
      <c r="AR24" s="1550"/>
      <c r="AS24" s="1550"/>
      <c r="AT24" s="1550"/>
      <c r="AU24" s="1550"/>
      <c r="AV24" s="1550"/>
      <c r="AW24" s="1550"/>
      <c r="AX24" s="1550"/>
      <c r="AY24" s="1550"/>
      <c r="AZ24" s="1550"/>
      <c r="BA24" s="1550"/>
      <c r="BB24" s="1550"/>
      <c r="BC24" s="1550"/>
      <c r="BD24" s="1550"/>
      <c r="BE24" s="1550"/>
      <c r="BF24" s="1550"/>
      <c r="BG24" s="1550"/>
      <c r="BH24" s="1550"/>
      <c r="BI24" s="1550"/>
      <c r="BJ24" s="1550"/>
      <c r="BK24" s="1550"/>
      <c r="BL24" s="1550"/>
      <c r="BM24" s="1550"/>
      <c r="BN24" s="1550"/>
      <c r="BO24" s="1550"/>
      <c r="BP24" s="1550"/>
      <c r="BQ24" s="1550"/>
      <c r="BR24" s="1550"/>
      <c r="BS24" s="1550"/>
      <c r="BT24" s="1550"/>
      <c r="BU24" s="1550"/>
      <c r="BV24" s="1550"/>
      <c r="BW24" s="1550"/>
      <c r="BX24" s="1550"/>
      <c r="BY24" s="1550"/>
      <c r="BZ24" s="1550"/>
      <c r="CA24" s="1550"/>
      <c r="CB24" s="1550"/>
      <c r="CC24" s="1550"/>
      <c r="CD24" s="1550"/>
      <c r="CE24" s="1550"/>
      <c r="CF24" s="1550"/>
      <c r="CG24" s="1550"/>
      <c r="CH24" s="1550"/>
      <c r="CI24" s="1550"/>
      <c r="CJ24" s="1550"/>
      <c r="CK24" s="1550"/>
      <c r="CL24" s="1550"/>
      <c r="CM24" s="1550"/>
      <c r="CN24" s="1550"/>
      <c r="CO24" s="1550"/>
      <c r="CP24" s="1550"/>
      <c r="CQ24" s="1550"/>
      <c r="CR24" s="1550"/>
      <c r="CS24" s="1550"/>
      <c r="CT24" s="1550"/>
      <c r="CU24" s="1550"/>
      <c r="CV24" s="1550"/>
      <c r="CW24" s="1550"/>
      <c r="CX24" s="1550"/>
      <c r="CY24" s="1550"/>
      <c r="CZ24" s="1550"/>
      <c r="DA24" s="1550"/>
      <c r="DB24" s="1550"/>
      <c r="DC24" s="1550"/>
    </row>
    <row r="25" spans="1:107">
      <c r="A25" s="1954"/>
      <c r="B25" s="534"/>
      <c r="C25" s="535"/>
      <c r="D25" s="12" t="s">
        <v>1841</v>
      </c>
      <c r="E25" s="13">
        <v>80</v>
      </c>
      <c r="F25" s="14"/>
      <c r="G25" s="544"/>
      <c r="H25" s="544"/>
      <c r="I25" s="544"/>
      <c r="J25" s="544"/>
      <c r="K25" s="544"/>
      <c r="L25" s="544"/>
      <c r="M25" s="544"/>
      <c r="N25" s="544"/>
      <c r="O25" s="544"/>
      <c r="P25" s="544"/>
      <c r="Q25" s="544"/>
      <c r="R25" s="544"/>
      <c r="S25" s="544"/>
      <c r="T25" s="544"/>
      <c r="U25" s="544"/>
      <c r="V25" s="544"/>
      <c r="W25" s="544"/>
      <c r="X25" s="544"/>
      <c r="Y25" s="544"/>
      <c r="Z25" s="544"/>
      <c r="AA25" s="544"/>
      <c r="AB25" s="544"/>
      <c r="AC25" s="544"/>
      <c r="AD25" s="544"/>
      <c r="AE25" s="544"/>
      <c r="AF25" s="544"/>
      <c r="AG25" s="544"/>
      <c r="AH25" s="544"/>
      <c r="AI25" s="544"/>
      <c r="AJ25" s="544"/>
      <c r="AK25" s="544"/>
      <c r="AL25" s="544"/>
      <c r="AM25" s="544"/>
      <c r="AN25" s="544"/>
      <c r="AO25" s="544"/>
      <c r="AP25" s="544"/>
      <c r="AQ25" s="544"/>
      <c r="AR25" s="544"/>
      <c r="AS25" s="544"/>
      <c r="AT25" s="544"/>
      <c r="AU25" s="544"/>
      <c r="AV25" s="544"/>
      <c r="AW25" s="544"/>
      <c r="AX25" s="544"/>
      <c r="AY25" s="544"/>
      <c r="AZ25" s="544"/>
      <c r="BA25" s="544"/>
      <c r="BB25" s="544"/>
      <c r="BC25" s="544"/>
      <c r="BD25" s="544"/>
      <c r="BE25" s="544"/>
      <c r="BF25" s="544"/>
      <c r="BG25" s="544"/>
      <c r="BH25" s="544"/>
      <c r="BI25" s="544"/>
      <c r="BJ25" s="544"/>
      <c r="BK25" s="544"/>
      <c r="BL25" s="3142"/>
      <c r="BM25" s="3142"/>
      <c r="BN25" s="3142"/>
      <c r="BO25" s="3142"/>
      <c r="BP25" s="3142"/>
      <c r="BQ25" s="544"/>
      <c r="BR25" s="544"/>
      <c r="BS25" s="544"/>
      <c r="BT25" s="544"/>
      <c r="BU25" s="544"/>
      <c r="BV25" s="544"/>
      <c r="BW25" s="544"/>
      <c r="BX25" s="544"/>
      <c r="BY25" s="544"/>
      <c r="BZ25" s="544"/>
      <c r="CA25" s="544"/>
      <c r="CB25" s="544"/>
      <c r="CC25" s="544"/>
      <c r="CD25" s="544"/>
      <c r="CE25" s="544"/>
      <c r="CF25" s="544"/>
      <c r="CG25" s="544"/>
      <c r="CH25" s="544"/>
      <c r="CI25" s="544"/>
      <c r="CJ25" s="544"/>
      <c r="CK25" s="544"/>
      <c r="CL25" s="544"/>
      <c r="CM25" s="544"/>
      <c r="CN25" s="544"/>
      <c r="CO25" s="544"/>
      <c r="CP25" s="544"/>
      <c r="CQ25" s="544"/>
      <c r="CR25" s="544"/>
      <c r="CS25" s="544"/>
      <c r="CT25" s="544"/>
      <c r="CU25" s="544"/>
      <c r="CV25" s="544"/>
      <c r="CW25" s="544"/>
      <c r="CX25" s="544"/>
      <c r="CY25" s="544"/>
      <c r="CZ25" s="544"/>
      <c r="DA25" s="544"/>
      <c r="DB25" s="544"/>
      <c r="DC25" s="544"/>
    </row>
    <row r="26" spans="1:107">
      <c r="A26" s="1954"/>
      <c r="B26" s="534"/>
      <c r="C26" s="535"/>
      <c r="D26" s="12" t="s">
        <v>1841</v>
      </c>
      <c r="E26" s="13">
        <v>81</v>
      </c>
      <c r="F26" s="14" t="str">
        <f>VLOOKUP($E$26,[1]QUART!$A$2:$FA$324, 3, FALSE)</f>
        <v>81 GFCF construction</v>
      </c>
      <c r="G26" s="544">
        <f>IF(VLOOKUP($E$26,[1]QUART!$A$2:$FA$324, 6, FALSE)="",":",VLOOKUP($E$26,[1]QUART!$A$2:$FA$324, 6, FALSE))</f>
        <v>287.8</v>
      </c>
      <c r="H26" s="544">
        <f>IF(VLOOKUP($E$26,[1]QUART!$A$2:$FA$324, 7, FALSE)="",":",VLOOKUP($E$26,[1]QUART!$A$2:$FA$324, 7, FALSE))</f>
        <v>342.5</v>
      </c>
      <c r="I26" s="544">
        <f>IF(VLOOKUP($E$26,[1]QUART!$A$2:$FA$324, 8, FALSE)="",":",VLOOKUP($E$26,[1]QUART!$A$2:$FA$324, 8, FALSE))</f>
        <v>333.79999999999995</v>
      </c>
      <c r="J26" s="544">
        <f>IF(VLOOKUP($E$26,[1]QUART!$A$2:$FA$324, 9, FALSE)="",":",VLOOKUP($E$26,[1]QUART!$A$2:$FA$324, 9, FALSE))</f>
        <v>348.8</v>
      </c>
      <c r="K26" s="544">
        <f>IF(VLOOKUP($E$26,[1]QUART!$A$2:$FA$324, 10, FALSE)="",":",VLOOKUP($E$26,[1]QUART!$A$2:$FA$324, 10, FALSE))</f>
        <v>328.9</v>
      </c>
      <c r="L26" s="544">
        <f>IF(VLOOKUP($E$26,[1]QUART!$A$2:$FA$324, 11, FALSE)="",":",VLOOKUP($E$26,[1]QUART!$A$2:$FA$324, 11, FALSE))</f>
        <v>357.5</v>
      </c>
      <c r="M26" s="544">
        <f>IF(VLOOKUP($E$26,[1]QUART!$A$2:$FA$324, 12, FALSE)="",":",VLOOKUP($E$26,[1]QUART!$A$2:$FA$324, 12, FALSE))</f>
        <v>356.9</v>
      </c>
      <c r="N26" s="544">
        <f>IF(VLOOKUP($E$26,[1]QUART!$A$2:$FA$324, 13, FALSE)="",":",VLOOKUP($E$26,[1]QUART!$A$2:$FA$324, 13, FALSE))</f>
        <v>353.9</v>
      </c>
      <c r="O26" s="544">
        <f>IF(VLOOKUP($E$26,[1]QUART!$A$2:$FA$324, 14, FALSE)="",":",VLOOKUP($E$26,[1]QUART!$A$2:$FA$324, 14, FALSE))</f>
        <v>465.6</v>
      </c>
      <c r="P26" s="544">
        <f>IF(VLOOKUP($E$26,[1]QUART!$A$2:$FA$324, 15, FALSE)="",":",VLOOKUP($E$26,[1]QUART!$A$2:$FA$324, 15, FALSE))</f>
        <v>286</v>
      </c>
      <c r="Q26" s="544">
        <f>IF(VLOOKUP($E$26,[1]QUART!$A$2:$FA$324, 16, FALSE)="",":",VLOOKUP($E$26,[1]QUART!$A$2:$FA$324, 16, FALSE))</f>
        <v>343.8</v>
      </c>
      <c r="R26" s="544">
        <f>IF(VLOOKUP($E$26,[1]QUART!$A$2:$FA$324, 17, FALSE)="",":",VLOOKUP($E$26,[1]QUART!$A$2:$FA$324, 17, FALSE))</f>
        <v>426.2</v>
      </c>
      <c r="S26" s="544">
        <f>IF(VLOOKUP($E$26,[1]QUART!$A$2:$FA$324, 18, FALSE)="",":",VLOOKUP($E$26,[1]QUART!$A$2:$FA$324, 18, FALSE))</f>
        <v>449.3</v>
      </c>
      <c r="T26" s="544">
        <f>IF(VLOOKUP($E$26,[1]QUART!$A$2:$FA$324, 19, FALSE)="",":",VLOOKUP($E$26,[1]QUART!$A$2:$FA$324, 19, FALSE))</f>
        <v>416</v>
      </c>
      <c r="U26" s="544">
        <f>IF(VLOOKUP($E$26,[1]QUART!$A$2:$FA$324, 20, FALSE)="",":",VLOOKUP($E$26,[1]QUART!$A$2:$FA$324, 20, FALSE))</f>
        <v>424.8</v>
      </c>
      <c r="V26" s="544">
        <f>IF(VLOOKUP($E$26,[1]QUART!$A$2:$FA$324, 21, FALSE)="",":",VLOOKUP($E$26,[1]QUART!$A$2:$FA$324, 21, FALSE))</f>
        <v>299.7</v>
      </c>
      <c r="W26" s="544">
        <f>IF(VLOOKUP($E$26,[1]QUART!$A$2:$FA$324, 22, FALSE)="",":",VLOOKUP($E$26,[1]QUART!$A$2:$FA$324, 22, FALSE))</f>
        <v>343.6</v>
      </c>
      <c r="X26" s="544">
        <f>IF(VLOOKUP($E$26,[1]QUART!$A$2:$FA$324, 23, FALSE)="",":",VLOOKUP($E$26,[1]QUART!$A$2:$FA$324, 23, FALSE))</f>
        <v>378.9</v>
      </c>
      <c r="Y26" s="544">
        <f>IF(VLOOKUP($E$26,[1]QUART!$A$2:$FA$324, 24, FALSE)="",":",VLOOKUP($E$26,[1]QUART!$A$2:$FA$324, 24, FALSE))</f>
        <v>339.9</v>
      </c>
      <c r="Z26" s="544">
        <f>IF(VLOOKUP($E$26,[1]QUART!$A$2:$FA$324, 25, FALSE)="",":",VLOOKUP($E$26,[1]QUART!$A$2:$FA$324, 25, FALSE))</f>
        <v>404.9</v>
      </c>
      <c r="AA26" s="544">
        <f>IF(VLOOKUP($E$26,[1]QUART!$A$2:$FA$324, 26, FALSE)="",":",VLOOKUP($E$26,[1]QUART!$A$2:$FA$324, 26, FALSE))</f>
        <v>428</v>
      </c>
      <c r="AB26" s="544">
        <f>IF(VLOOKUP($E$26,[1]QUART!$A$2:$FA$324, 27, FALSE)="",":",VLOOKUP($E$26,[1]QUART!$A$2:$FA$324, 27, FALSE))</f>
        <v>363.8</v>
      </c>
      <c r="AC26" s="544">
        <f>IF(VLOOKUP($E$26,[1]QUART!$A$2:$FA$324, 28, FALSE)="",":",VLOOKUP($E$26,[1]QUART!$A$2:$FA$324, 28, FALSE))</f>
        <v>444.7</v>
      </c>
      <c r="AD26" s="544">
        <f>IF(VLOOKUP($E$26,[1]QUART!$A$2:$FA$324, 29, FALSE)="",":",VLOOKUP($E$26,[1]QUART!$A$2:$FA$324, 29, FALSE))</f>
        <v>444.3</v>
      </c>
      <c r="AE26" s="544">
        <f>IF(VLOOKUP($E$26,[1]QUART!$A$2:$FA$324, 30, FALSE)="",":",VLOOKUP($E$26,[1]QUART!$A$2:$FA$324, 30, FALSE))</f>
        <v>393</v>
      </c>
      <c r="AF26" s="544">
        <f>IF(VLOOKUP($E$26,[1]QUART!$A$2:$FA$324, 31, FALSE)="",":",VLOOKUP($E$26,[1]QUART!$A$2:$FA$324, 31, FALSE))</f>
        <v>398.5</v>
      </c>
      <c r="AG26" s="544">
        <f>IF(VLOOKUP($E$26,[1]QUART!$A$2:$FA$324, 32, FALSE)="",":",VLOOKUP($E$26,[1]QUART!$A$2:$FA$324, 32, FALSE))</f>
        <v>446.4</v>
      </c>
      <c r="AH26" s="544">
        <f>IF(VLOOKUP($E$26,[1]QUART!$A$2:$FA$324, 33, FALSE)="",":",VLOOKUP($E$26,[1]QUART!$A$2:$FA$324, 33, FALSE))</f>
        <v>653.9</v>
      </c>
      <c r="AI26" s="544">
        <f>IF(VLOOKUP($E$26,[1]QUART!$A$2:$FA$324, 34, FALSE)="",":",VLOOKUP($E$26,[1]QUART!$A$2:$FA$324, 34, FALSE))</f>
        <v>419.7</v>
      </c>
      <c r="AJ26" s="544">
        <f>IF(VLOOKUP($E$26,[1]QUART!$A$2:$FA$324, 35, FALSE)="",":",VLOOKUP($E$26,[1]QUART!$A$2:$FA$324, 35, FALSE))</f>
        <v>421.6</v>
      </c>
      <c r="AK26" s="544">
        <f>IF(VLOOKUP($E$26,[1]QUART!$A$2:$FA$324, 36, FALSE)="",":",VLOOKUP($E$26,[1]QUART!$A$2:$FA$324, 36, FALSE))</f>
        <v>391</v>
      </c>
      <c r="AL26" s="544">
        <f>IF(VLOOKUP($E$26,[1]QUART!$A$2:$FA$324, 37, FALSE)="",":",VLOOKUP($E$26,[1]QUART!$A$2:$FA$324, 37, FALSE))</f>
        <v>504.8</v>
      </c>
      <c r="AM26" s="544">
        <f>IF(VLOOKUP($E$26,[1]QUART!$A$2:$FA$324, 38, FALSE)="",":",VLOOKUP($E$26,[1]QUART!$A$2:$FA$324, 38, FALSE))</f>
        <v>416.3</v>
      </c>
      <c r="AN26" s="544">
        <f>IF(VLOOKUP($E$26,[1]QUART!$A$2:$FA$324, 39, FALSE)="",":",VLOOKUP($E$26,[1]QUART!$A$2:$FA$324, 39, FALSE))</f>
        <v>507.7</v>
      </c>
      <c r="AO26" s="544">
        <f>IF(VLOOKUP($E$26,[1]QUART!$A$2:$FA$324, 40, FALSE)="",":",VLOOKUP($E$26,[1]QUART!$A$2:$FA$324, 40, FALSE))</f>
        <v>472.6</v>
      </c>
      <c r="AP26" s="544">
        <f>IF(VLOOKUP($E$26,[1]QUART!$A$2:$FA$324, 41, FALSE)="",":",VLOOKUP($E$26,[1]QUART!$A$2:$FA$324, 41, FALSE))</f>
        <v>506.70000000000005</v>
      </c>
      <c r="AQ26" s="544">
        <f>IF(VLOOKUP($E$26,[1]QUART!$A$2:$FA$324, 42, FALSE)="",":",VLOOKUP($E$26,[1]QUART!$A$2:$FA$324, 42, FALSE))</f>
        <v>586.5</v>
      </c>
      <c r="AR26" s="544">
        <f>IF(VLOOKUP($E$26,[1]QUART!$A$2:$FA$324, 43, FALSE)="",":",VLOOKUP($E$26,[1]QUART!$A$2:$FA$324, 43, FALSE))</f>
        <v>802.1</v>
      </c>
      <c r="AS26" s="544">
        <f>IF(VLOOKUP($E$26,[1]QUART!$A$2:$FA$324, 44, FALSE)="",":",VLOOKUP($E$26,[1]QUART!$A$2:$FA$324, 44, FALSE))</f>
        <v>841.9</v>
      </c>
      <c r="AT26" s="544">
        <f>IF(VLOOKUP($E$26,[1]QUART!$A$2:$FA$324, 45, FALSE)="",":",VLOOKUP($E$26,[1]QUART!$A$2:$FA$324, 45, FALSE))</f>
        <v>209.80074142724746</v>
      </c>
      <c r="AU26" s="544">
        <f>IF(VLOOKUP($E$26,[1]QUART!$A$2:$FA$324, 46, FALSE)="",":",VLOOKUP($E$26,[1]QUART!$A$2:$FA$324, 46, FALSE))</f>
        <v>779.9</v>
      </c>
      <c r="AV26" s="544">
        <f>IF(VLOOKUP($E$26,[1]QUART!$A$2:$FA$324, 47, FALSE)="",":",VLOOKUP($E$26,[1]QUART!$A$2:$FA$324, 47, FALSE))</f>
        <v>765.4</v>
      </c>
      <c r="AW26" s="544">
        <f>IF(VLOOKUP($E$26,[1]QUART!$A$2:$FA$324, 48, FALSE)="",":",VLOOKUP($E$26,[1]QUART!$A$2:$FA$324, 48, FALSE))</f>
        <v>819.5</v>
      </c>
      <c r="AX26" s="544">
        <f>IF(VLOOKUP($E$26,[1]QUART!$A$2:$FA$324, 49, FALSE)="",":",VLOOKUP($E$26,[1]QUART!$A$2:$FA$324, 49, FALSE))</f>
        <v>839.6</v>
      </c>
      <c r="AY26" s="544">
        <f>IF(VLOOKUP($E$26,[1]QUART!$A$2:$FA$324, 50, FALSE)="",":",VLOOKUP($E$26,[1]QUART!$A$2:$FA$324, 50, FALSE))</f>
        <v>921.8</v>
      </c>
      <c r="AZ26" s="544">
        <f>IF(VLOOKUP($E$26,[1]QUART!$A$2:$FA$324, 51, FALSE)="",":",VLOOKUP($E$26,[1]QUART!$A$2:$FA$324, 51, FALSE))</f>
        <v>937.9</v>
      </c>
      <c r="BA26" s="544">
        <f>IF(VLOOKUP($E$26,[1]QUART!$A$2:$FA$324, 52, FALSE)="",":",VLOOKUP($E$26,[1]QUART!$A$2:$FA$324, 52, FALSE))</f>
        <v>989.7</v>
      </c>
      <c r="BB26" s="544">
        <f>IF(VLOOKUP($E$26,[1]QUART!$A$2:$FA$324, 53, FALSE)="",":",VLOOKUP($E$26,[1]QUART!$A$2:$FA$324, 53, FALSE))</f>
        <v>1099.2</v>
      </c>
      <c r="BC26" s="544">
        <f>IF(VLOOKUP($E$26,[1]QUART!$A$2:$FA$324, 54, FALSE)="",":",VLOOKUP($E$26,[1]QUART!$A$2:$FA$324, 54, FALSE))</f>
        <v>1191.0999999999999</v>
      </c>
      <c r="BD26" s="544">
        <f>IF(VLOOKUP($E$26,[1]QUART!$A$2:$FA$324, 55, FALSE)="",":",VLOOKUP($E$26,[1]QUART!$A$2:$FA$324, 55, FALSE))</f>
        <v>1183.2</v>
      </c>
      <c r="BE26" s="544">
        <f>IF(VLOOKUP($E$26,[1]QUART!$A$2:$FA$324, 56, FALSE)="",":",VLOOKUP($E$26,[1]QUART!$A$2:$FA$324, 56, FALSE))</f>
        <v>1188.5999999999999</v>
      </c>
      <c r="BF26" s="544">
        <f>IF(VLOOKUP($E$26,[1]QUART!$A$2:$FA$324, 57, FALSE)="",":",VLOOKUP($E$26,[1]QUART!$A$2:$FA$324, 57, FALSE))</f>
        <v>1216.5999999999999</v>
      </c>
      <c r="BG26" s="544">
        <f>IF(VLOOKUP($E$26,[1]QUART!$A$2:$FA$324, 58, FALSE)="",":",VLOOKUP($E$26,[1]QUART!$A$2:$FA$324, 58, FALSE))</f>
        <v>1214.8</v>
      </c>
      <c r="BH26" s="544">
        <f>IF(VLOOKUP($E$26,[1]QUART!$A$2:$FA$324, 59, FALSE)="",":",VLOOKUP($E$26,[1]QUART!$A$2:$FA$324, 59, FALSE))</f>
        <v>1217.2</v>
      </c>
      <c r="BI26" s="544">
        <f>IF(VLOOKUP($E$26,[1]QUART!$A$2:$FA$324, 60, FALSE)="",":",VLOOKUP($E$26,[1]QUART!$A$2:$FA$324, 60, FALSE))</f>
        <v>1172.5999999999999</v>
      </c>
      <c r="BJ26" s="544">
        <f>IF(VLOOKUP($E$26,[1]QUART!$A$2:$FA$324, 61, FALSE)="",":",VLOOKUP($E$26,[1]QUART!$A$2:$FA$324, 61, FALSE))</f>
        <v>1102.4000000000001</v>
      </c>
      <c r="BK26" s="544">
        <f>IF(VLOOKUP($E$26,[1]QUART!$A$2:$FA$324, 62, FALSE)="",":",VLOOKUP($E$26,[1]QUART!$A$2:$FA$324, 62, FALSE))</f>
        <v>876.09999999999991</v>
      </c>
      <c r="BL26" s="3142">
        <f>IF(VLOOKUP($E$26,[1]QUART!$A$2:$FA$324, 61, FALSE)="",":",VLOOKUP($E$26,[1]QUART!$A$2:$FA$324, 61, FALSE))</f>
        <v>1102.4000000000001</v>
      </c>
      <c r="BM26" s="3142">
        <f>IF(VLOOKUP($E$26,[1]QUART!$A$2:$FA$324, 61, FALSE)="",":",VLOOKUP($E$26,[1]QUART!$A$2:$FA$324, 61, FALSE))</f>
        <v>1102.4000000000001</v>
      </c>
      <c r="BN26" s="3142">
        <f>IF(VLOOKUP($E$26,[1]QUART!$A$2:$FA$324, 61, FALSE)="",":",VLOOKUP($E$26,[1]QUART!$A$2:$FA$324, 61, FALSE))</f>
        <v>1102.4000000000001</v>
      </c>
      <c r="BO26" s="3142">
        <f>IF(VLOOKUP($E$26,[1]QUART!$A$2:$FA$324, 61, FALSE)="",":",VLOOKUP($E$26,[1]QUART!$A$2:$FA$324, 61, FALSE))</f>
        <v>1102.4000000000001</v>
      </c>
      <c r="BP26" s="3142">
        <f>IF(VLOOKUP($E$26,[1]QUART!$A$2:$FA$324, 61, FALSE)="",":",VLOOKUP($E$26,[1]QUART!$A$2:$FA$324, 61, FALSE))</f>
        <v>1102.4000000000001</v>
      </c>
      <c r="BQ26" s="544">
        <f>IF(VLOOKUP($E$26,[1]QUART!$A$2:$FA$324, 68, FALSE)="",":",VLOOKUP($E$26,[1]QUART!$A$2:$FA$324, 68, FALSE))</f>
        <v>726.3</v>
      </c>
      <c r="BR26" s="544">
        <f>IF(VLOOKUP($E$26,[1]QUART!$A$2:$FA$324, 69, FALSE)="",":",VLOOKUP($E$26,[1]QUART!$A$2:$FA$324, 69, FALSE))</f>
        <v>751.6</v>
      </c>
      <c r="BS26" s="544">
        <f>IF(VLOOKUP($E$26,[1]QUART!$A$2:$FA$324, 70, FALSE)="",":",VLOOKUP($E$26,[1]QUART!$A$2:$FA$324, 70, FALSE))</f>
        <v>767.6</v>
      </c>
      <c r="BT26" s="544">
        <f>IF(VLOOKUP($E$26,[1]QUART!$A$2:$FA$324, 71, FALSE)="",":",VLOOKUP($E$26,[1]QUART!$A$2:$FA$324, 71, FALSE))</f>
        <v>777.8</v>
      </c>
      <c r="BU26" s="544">
        <f>IF(VLOOKUP($E$26,[1]QUART!$A$2:$FA$324, 72, FALSE)="",":",VLOOKUP($E$26,[1]QUART!$A$2:$FA$324, 72, FALSE))</f>
        <v>810.1</v>
      </c>
      <c r="BV26" s="544">
        <f>IF(VLOOKUP($E$26,[1]QUART!$A$2:$FA$324, 73, FALSE)="",":",VLOOKUP($E$26,[1]QUART!$A$2:$FA$324, 73, FALSE))</f>
        <v>830.1</v>
      </c>
      <c r="BW26" s="544">
        <f>IF(VLOOKUP($E$26,[1]QUART!$A$2:$FA$324, 74, FALSE)="",":",VLOOKUP($E$26,[1]QUART!$A$2:$FA$324, 74, FALSE))</f>
        <v>775.9</v>
      </c>
      <c r="BX26" s="544">
        <f>IF(VLOOKUP($E$26,[1]QUART!$A$2:$FA$324, 75, FALSE)="",":",VLOOKUP($E$26,[1]QUART!$A$2:$FA$324, 75, FALSE))</f>
        <v>756.4</v>
      </c>
      <c r="BY26" s="544">
        <f>IF(VLOOKUP($E$26,[1]QUART!$A$2:$FA$324, 76, FALSE)="",":",VLOOKUP($E$26,[1]QUART!$A$2:$FA$324, 76, FALSE))</f>
        <v>740.2</v>
      </c>
      <c r="BZ26" s="544">
        <f>IF(VLOOKUP($E$26,[1]QUART!$A$2:$FA$324, 77, FALSE)="",":",VLOOKUP($E$26,[1]QUART!$A$2:$FA$324, 77, FALSE))</f>
        <v>742.30000000000007</v>
      </c>
      <c r="CA26" s="544">
        <f>IF(VLOOKUP($E$26,[1]QUART!$A$2:$FA$324, 78, FALSE)="",":",VLOOKUP($E$26,[1]QUART!$A$2:$FA$324, 78, FALSE))</f>
        <v>788.90000000000009</v>
      </c>
      <c r="CB26" s="544">
        <f>IF(VLOOKUP($E$26,[1]QUART!$A$2:$FA$324, 79, FALSE)="",":",VLOOKUP($E$26,[1]QUART!$A$2:$FA$324, 79, FALSE))</f>
        <v>803.8</v>
      </c>
      <c r="CC26" s="544">
        <f>IF(VLOOKUP($E$26,[1]QUART!$A$2:$FA$324, 80, FALSE)="",":",VLOOKUP($E$26,[1]QUART!$A$2:$FA$324, 80, FALSE))</f>
        <v>850</v>
      </c>
      <c r="CD26" s="544">
        <f>IF(VLOOKUP($E$26,[1]QUART!$A$2:$FA$324, 81, FALSE)="",":",VLOOKUP($E$26,[1]QUART!$A$2:$FA$324, 81, FALSE))</f>
        <v>844.7</v>
      </c>
      <c r="CE26" s="544">
        <f>IF(VLOOKUP($E$26,[1]QUART!$A$2:$FA$324, 82, FALSE)="",":",VLOOKUP($E$26,[1]QUART!$A$2:$FA$324, 82, FALSE))</f>
        <v>870.59999999999991</v>
      </c>
      <c r="CF26" s="544">
        <f>IF(VLOOKUP($E$26,[1]QUART!$A$2:$FA$324, 83, FALSE)="",":",VLOOKUP($E$26,[1]QUART!$A$2:$FA$324, 83, FALSE))</f>
        <v>881.4</v>
      </c>
      <c r="CG26" s="544">
        <f>IF(VLOOKUP($E$26,[1]QUART!$A$2:$FA$324, 84, FALSE)="",":",VLOOKUP($E$26,[1]QUART!$A$2:$FA$324, 84, FALSE))</f>
        <v>904.4</v>
      </c>
      <c r="CH26" s="544">
        <f>IF(VLOOKUP($E$26,[1]QUART!$A$2:$FA$324, 85, FALSE)="",":",VLOOKUP($E$26,[1]QUART!$A$2:$FA$324, 85, FALSE))</f>
        <v>902.5</v>
      </c>
      <c r="CI26" s="544">
        <f>IF(VLOOKUP($E$26,[1]QUART!$A$2:$FA$324, 86, FALSE)="",":",VLOOKUP($E$26,[1]QUART!$A$2:$FA$324, 86, FALSE))</f>
        <v>914.4</v>
      </c>
      <c r="CJ26" s="544">
        <f>IF(VLOOKUP($E$26,[1]QUART!$A$2:$FA$324, 87, FALSE)="",":",VLOOKUP($E$26,[1]QUART!$A$2:$FA$324, 87, FALSE))</f>
        <v>918.4</v>
      </c>
      <c r="CK26" s="544">
        <f>IF(VLOOKUP($E$26,[1]QUART!$A$2:$FA$324, 88, FALSE)="",":",VLOOKUP($E$26,[1]QUART!$A$2:$FA$324, 88, FALSE))</f>
        <v>881.7</v>
      </c>
      <c r="CL26" s="544">
        <f>IF(VLOOKUP($E$26,[1]QUART!$A$2:$FA$324, 89, FALSE)="",":",VLOOKUP($E$26,[1]QUART!$A$2:$FA$324, 89, FALSE))</f>
        <v>851.1</v>
      </c>
      <c r="CM26" s="544">
        <f>IF(VLOOKUP($E$26,[1]QUART!$A$2:$FA$324, 90, FALSE)="",":",VLOOKUP($E$26,[1]QUART!$A$2:$FA$324, 90, FALSE))</f>
        <v>782.09999999999991</v>
      </c>
      <c r="CN26" s="544">
        <f>IF(VLOOKUP($E$26,[1]QUART!$A$2:$FA$324, 91, FALSE)="",":",VLOOKUP($E$26,[1]QUART!$A$2:$FA$324, 91, FALSE))</f>
        <v>835.8</v>
      </c>
      <c r="CO26" s="544">
        <f>IF(VLOOKUP($E$26,[1]QUART!$A$2:$FA$324, 92, FALSE)="",":",VLOOKUP($E$26,[1]QUART!$A$2:$FA$324, 92, FALSE))</f>
        <v>817.3</v>
      </c>
      <c r="CP26" s="544">
        <f>IF(VLOOKUP($E$26,[1]QUART!$A$2:$FA$324, 93, FALSE)="",":",VLOOKUP($E$26,[1]QUART!$A$2:$FA$324, 93, FALSE))</f>
        <v>859.5</v>
      </c>
      <c r="CQ26" s="544">
        <f>IF(VLOOKUP($E$26,[1]QUART!$A$2:$FA$324, 94, FALSE)="",":",VLOOKUP($E$26,[1]QUART!$A$2:$FA$324, 94, FALSE))</f>
        <v>823</v>
      </c>
      <c r="CR26" s="544">
        <f>IF(VLOOKUP($E$26,[1]QUART!$A$2:$FA$324, 95, FALSE)="",":",VLOOKUP($E$26,[1]QUART!$A$2:$FA$324, 95, FALSE))</f>
        <v>867.5</v>
      </c>
      <c r="CS26" s="544">
        <f>IF(VLOOKUP($E$26,[1]QUART!$A$2:$FA$324, 96, FALSE)="",":",VLOOKUP($E$26,[1]QUART!$A$2:$FA$324, 96, FALSE))</f>
        <v>884.1</v>
      </c>
      <c r="CT26" s="544">
        <f>IF(VLOOKUP($E$26,[1]QUART!$A$2:$FA$324, 97, FALSE)="",":",VLOOKUP($E$26,[1]QUART!$A$2:$FA$324, 97, FALSE))</f>
        <v>918.2</v>
      </c>
      <c r="CU26" s="544" t="str">
        <f>IF(VLOOKUP($E$26,[1]QUART!$A$2:$FA$324, 98, FALSE)="",":",VLOOKUP($E$26,[1]QUART!$A$2:$FA$324, 98, FALSE))</f>
        <v>:</v>
      </c>
      <c r="CV26" s="544" t="str">
        <f>IF(VLOOKUP($E$26,[1]QUART!$A$2:$FA$324, 99, FALSE)="",":",VLOOKUP($E$26,[1]QUART!$A$2:$FA$324, 99, FALSE))</f>
        <v>:</v>
      </c>
      <c r="CW26" s="544" t="str">
        <f>IF(VLOOKUP($E$26,[1]QUART!$A$2:$FA$324, 100, FALSE)="",":",VLOOKUP($E$26,[1]QUART!$A$2:$FA$324, 100, FALSE))</f>
        <v>:</v>
      </c>
      <c r="CX26" s="544" t="str">
        <f>IF(VLOOKUP($E$26,[1]QUART!$A$2:$FA$324, 101, FALSE)="",":",VLOOKUP($E$26,[1]QUART!$A$2:$FA$324, 101, FALSE))</f>
        <v>:</v>
      </c>
      <c r="CY26" s="544" t="str">
        <f>IF(VLOOKUP($E$26,[1]QUART!$A$2:$FA$324, 102, FALSE)="",":",VLOOKUP($E$26,[1]QUART!$A$2:$FA$324, 102, FALSE))</f>
        <v>:</v>
      </c>
      <c r="CZ26" s="544" t="str">
        <f>IF(VLOOKUP($E$26,[1]QUART!$A$2:$FA$324, 103, FALSE)="",":",VLOOKUP($E$26,[1]QUART!$A$2:$FA$324, 103, FALSE))</f>
        <v>:</v>
      </c>
      <c r="DA26" s="544" t="str">
        <f>IF(VLOOKUP($E$26,[1]QUART!$A$2:$FA$324, 104, FALSE)="",":",VLOOKUP($E$26,[1]QUART!$A$2:$FA$324, 104, FALSE))</f>
        <v>:</v>
      </c>
      <c r="DB26" s="544" t="str">
        <f>IF(VLOOKUP($E$26,[1]QUART!$A$2:$FA$324, 105, FALSE)="",":",VLOOKUP($E$26,[1]QUART!$A$2:$FA$324, 105, FALSE))</f>
        <v>:</v>
      </c>
      <c r="DC26" s="544" t="str">
        <f>IF(VLOOKUP($E$26,[1]QUART!$A$2:$FA$324, 106, FALSE)="",":",VLOOKUP($E$26,[1]QUART!$A$2:$FA$324, 106, FALSE))</f>
        <v>:</v>
      </c>
    </row>
    <row r="27" spans="1:107">
      <c r="A27" s="1954"/>
      <c r="B27" s="534"/>
      <c r="C27" s="535"/>
      <c r="D27" s="12" t="s">
        <v>1841</v>
      </c>
      <c r="E27" s="13">
        <v>82</v>
      </c>
      <c r="F27" s="14" t="str">
        <f>VLOOKUP($E$27,[1]QUART!$A$2:$FA$324, 3, FALSE)</f>
        <v>82 GFCF other</v>
      </c>
      <c r="G27" s="544">
        <f>IF(VLOOKUP($E$27,[1]QUART!$A$2:$FA$324, 6, FALSE)="",":",VLOOKUP($E$27,[1]QUART!$A$2:$FA$324, 6, FALSE))</f>
        <v>304.85403151065805</v>
      </c>
      <c r="H27" s="544">
        <f>IF(VLOOKUP($E$27,[1]QUART!$A$2:$FA$324, 7, FALSE)="",":",VLOOKUP($E$27,[1]QUART!$A$2:$FA$324, 7, FALSE))</f>
        <v>299.78568118628363</v>
      </c>
      <c r="I27" s="544">
        <f>IF(VLOOKUP($E$27,[1]QUART!$A$2:$FA$324, 8, FALSE)="",":",VLOOKUP($E$27,[1]QUART!$A$2:$FA$324, 8, FALSE))</f>
        <v>290.66265060240966</v>
      </c>
      <c r="J27" s="544">
        <f>IF(VLOOKUP($E$27,[1]QUART!$A$2:$FA$324, 9, FALSE)="",":",VLOOKUP($E$27,[1]QUART!$A$2:$FA$324, 9, FALSE))</f>
        <v>301.78405931417984</v>
      </c>
      <c r="K27" s="544">
        <f>IF(VLOOKUP($E$27,[1]QUART!$A$2:$FA$324, 10, FALSE)="",":",VLOOKUP($E$27,[1]QUART!$A$2:$FA$324, 10, FALSE))</f>
        <v>294.48563484708063</v>
      </c>
      <c r="L27" s="544">
        <f>IF(VLOOKUP($E$27,[1]QUART!$A$2:$FA$324, 11, FALSE)="",":",VLOOKUP($E$27,[1]QUART!$A$2:$FA$324, 11, FALSE))</f>
        <v>301.34962928637628</v>
      </c>
      <c r="M27" s="544">
        <f>IF(VLOOKUP($E$27,[1]QUART!$A$2:$FA$324, 12, FALSE)="",":",VLOOKUP($E$27,[1]QUART!$A$2:$FA$324, 12, FALSE))</f>
        <v>295.96269694161265</v>
      </c>
      <c r="N27" s="544">
        <f>IF(VLOOKUP($E$27,[1]QUART!$A$2:$FA$324, 13, FALSE)="",":",VLOOKUP($E$27,[1]QUART!$A$2:$FA$324, 13, FALSE))</f>
        <v>311.66010194624653</v>
      </c>
      <c r="O27" s="544">
        <f>IF(VLOOKUP($E$27,[1]QUART!$A$2:$FA$324, 14, FALSE)="",":",VLOOKUP($E$27,[1]QUART!$A$2:$FA$324, 14, FALSE))</f>
        <v>331.61492122335494</v>
      </c>
      <c r="P27" s="544">
        <f>IF(VLOOKUP($E$27,[1]QUART!$A$2:$FA$324, 15, FALSE)="",":",VLOOKUP($E$27,[1]QUART!$A$2:$FA$324, 15, FALSE))</f>
        <v>369.87372567191846</v>
      </c>
      <c r="Q27" s="544">
        <f>IF(VLOOKUP($E$27,[1]QUART!$A$2:$FA$324, 16, FALSE)="",":",VLOOKUP($E$27,[1]QUART!$A$2:$FA$324, 16, FALSE))</f>
        <v>383.65963855421683</v>
      </c>
      <c r="R27" s="544">
        <f>IF(VLOOKUP($E$27,[1]QUART!$A$2:$FA$324, 17, FALSE)="",":",VLOOKUP($E$27,[1]QUART!$A$2:$FA$324, 17, FALSE))</f>
        <v>388.4673308619092</v>
      </c>
      <c r="S27" s="544">
        <f>IF(VLOOKUP($E$27,[1]QUART!$A$2:$FA$324, 18, FALSE)="",":",VLOOKUP($E$27,[1]QUART!$A$2:$FA$324, 18, FALSE))</f>
        <v>478.30746061167753</v>
      </c>
      <c r="T27" s="544">
        <f>IF(VLOOKUP($E$27,[1]QUART!$A$2:$FA$324, 19, FALSE)="",":",VLOOKUP($E$27,[1]QUART!$A$2:$FA$324, 19, FALSE))</f>
        <v>476.04842446709915</v>
      </c>
      <c r="U27" s="544">
        <f>IF(VLOOKUP($E$27,[1]QUART!$A$2:$FA$324, 20, FALSE)="",":",VLOOKUP($E$27,[1]QUART!$A$2:$FA$324, 20, FALSE))</f>
        <v>491.16658943466177</v>
      </c>
      <c r="V27" s="544">
        <f>IF(VLOOKUP($E$27,[1]QUART!$A$2:$FA$324, 21, FALSE)="",":",VLOOKUP($E$27,[1]QUART!$A$2:$FA$324, 21, FALSE))</f>
        <v>448.04216867469887</v>
      </c>
      <c r="W27" s="544">
        <f>IF(VLOOKUP($E$27,[1]QUART!$A$2:$FA$324, 22, FALSE)="",":",VLOOKUP($E$27,[1]QUART!$A$2:$FA$324, 22, FALSE))</f>
        <v>436.3704819277109</v>
      </c>
      <c r="X27" s="544">
        <f>IF(VLOOKUP($E$27,[1]QUART!$A$2:$FA$324, 23, FALSE)="",":",VLOOKUP($E$27,[1]QUART!$A$2:$FA$324, 23, FALSE))</f>
        <v>463.62372567191852</v>
      </c>
      <c r="Y27" s="544">
        <f>IF(VLOOKUP($E$27,[1]QUART!$A$2:$FA$324, 24, FALSE)="",":",VLOOKUP($E$27,[1]QUART!$A$2:$FA$324, 24, FALSE))</f>
        <v>419.97798887859136</v>
      </c>
      <c r="Z27" s="544">
        <f>IF(VLOOKUP($E$27,[1]QUART!$A$2:$FA$324, 25, FALSE)="",":",VLOOKUP($E$27,[1]QUART!$A$2:$FA$324, 25, FALSE))</f>
        <v>370.39504170528272</v>
      </c>
      <c r="AA27" s="544">
        <f>IF(VLOOKUP($E$27,[1]QUART!$A$2:$FA$324, 26, FALSE)="",":",VLOOKUP($E$27,[1]QUART!$A$2:$FA$324, 26, FALSE))</f>
        <v>350.78776645041705</v>
      </c>
      <c r="AB27" s="544">
        <f>IF(VLOOKUP($E$27,[1]QUART!$A$2:$FA$324, 27, FALSE)="",":",VLOOKUP($E$27,[1]QUART!$A$2:$FA$324, 27, FALSE))</f>
        <v>334.8586654309546</v>
      </c>
      <c r="AC27" s="544">
        <f>IF(VLOOKUP($E$27,[1]QUART!$A$2:$FA$324, 28, FALSE)="",":",VLOOKUP($E$27,[1]QUART!$A$2:$FA$324, 28, FALSE))</f>
        <v>358.23100092678408</v>
      </c>
      <c r="AD27" s="544">
        <f>IF(VLOOKUP($E$27,[1]QUART!$A$2:$FA$324, 29, FALSE)="",":",VLOOKUP($E$27,[1]QUART!$A$2:$FA$324, 29, FALSE))</f>
        <v>346.73308619091756</v>
      </c>
      <c r="AE27" s="544">
        <f>IF(VLOOKUP($E$27,[1]QUART!$A$2:$FA$324, 30, FALSE)="",":",VLOOKUP($E$27,[1]QUART!$A$2:$FA$324, 30, FALSE))</f>
        <v>375.23169601482857</v>
      </c>
      <c r="AF27" s="544">
        <f>IF(VLOOKUP($E$27,[1]QUART!$A$2:$FA$324, 31, FALSE)="",":",VLOOKUP($E$27,[1]QUART!$A$2:$FA$324, 31, FALSE))</f>
        <v>355.74026876737719</v>
      </c>
      <c r="AG27" s="544">
        <f>IF(VLOOKUP($E$27,[1]QUART!$A$2:$FA$324, 32, FALSE)="",":",VLOOKUP($E$27,[1]QUART!$A$2:$FA$324, 32, FALSE))</f>
        <v>382.61700648748842</v>
      </c>
      <c r="AH27" s="544">
        <f>IF(VLOOKUP($E$27,[1]QUART!$A$2:$FA$324, 33, FALSE)="",":",VLOOKUP($E$27,[1]QUART!$A$2:$FA$324, 33, FALSE))</f>
        <v>424.93049119555138</v>
      </c>
      <c r="AI27" s="544">
        <f>IF(VLOOKUP($E$27,[1]QUART!$A$2:$FA$324, 34, FALSE)="",":",VLOOKUP($E$27,[1]QUART!$A$2:$FA$324, 34, FALSE))</f>
        <v>408.8855421686747</v>
      </c>
      <c r="AJ27" s="544">
        <f>IF(VLOOKUP($E$27,[1]QUART!$A$2:$FA$324, 35, FALSE)="",":",VLOOKUP($E$27,[1]QUART!$A$2:$FA$324, 35, FALSE))</f>
        <v>430.89666357738651</v>
      </c>
      <c r="AK27" s="544">
        <f>IF(VLOOKUP($E$27,[1]QUART!$A$2:$FA$324, 36, FALSE)="",":",VLOOKUP($E$27,[1]QUART!$A$2:$FA$324, 36, FALSE))</f>
        <v>424.03266913809085</v>
      </c>
      <c r="AL27" s="544">
        <f>IF(VLOOKUP($E$27,[1]QUART!$A$2:$FA$324, 37, FALSE)="",":",VLOOKUP($E$27,[1]QUART!$A$2:$FA$324, 37, FALSE))</f>
        <v>484.12882298424466</v>
      </c>
      <c r="AM27" s="544">
        <f>IF(VLOOKUP($E$27,[1]QUART!$A$2:$FA$324, 38, FALSE)="",":",VLOOKUP($E$27,[1]QUART!$A$2:$FA$324, 38, FALSE))</f>
        <v>481.81186283595923</v>
      </c>
      <c r="AN27" s="544">
        <f>IF(VLOOKUP($E$27,[1]QUART!$A$2:$FA$324, 39, FALSE)="",":",VLOOKUP($E$27,[1]QUART!$A$2:$FA$324, 39, FALSE))</f>
        <v>522.67724745134387</v>
      </c>
      <c r="AO27" s="544">
        <f>IF(VLOOKUP($E$27,[1]QUART!$A$2:$FA$324, 40, FALSE)="",":",VLOOKUP($E$27,[1]QUART!$A$2:$FA$324, 40, FALSE))</f>
        <v>522.1848934198332</v>
      </c>
      <c r="AP27" s="544">
        <f>IF(VLOOKUP($E$27,[1]QUART!$A$2:$FA$324, 41, FALSE)="",":",VLOOKUP($E$27,[1]QUART!$A$2:$FA$324, 41, FALSE))</f>
        <v>536.40523632993518</v>
      </c>
      <c r="AQ27" s="544">
        <f>IF(VLOOKUP($E$27,[1]QUART!$A$2:$FA$324, 42, FALSE)="",":",VLOOKUP($E$27,[1]QUART!$A$2:$FA$324, 42, FALSE))</f>
        <v>511.96130676552366</v>
      </c>
      <c r="AR27" s="544">
        <f>IF(VLOOKUP($E$27,[1]QUART!$A$2:$FA$324, 43, FALSE)="",":",VLOOKUP($E$27,[1]QUART!$A$2:$FA$324, 43, FALSE))</f>
        <v>482.42006487488419</v>
      </c>
      <c r="AS27" s="544">
        <f>IF(VLOOKUP($E$27,[1]QUART!$A$2:$FA$324, 44, FALSE)="",":",VLOOKUP($E$27,[1]QUART!$A$2:$FA$324, 44, FALSE))</f>
        <v>496.9300278035218</v>
      </c>
      <c r="AT27" s="544">
        <f>IF(VLOOKUP($E$27,[1]QUART!$A$2:$FA$324, 45, FALSE)="",":",VLOOKUP($E$27,[1]QUART!$A$2:$FA$324, 45, FALSE))</f>
        <v>500.23169601482857</v>
      </c>
      <c r="AU27" s="544">
        <f>IF(VLOOKUP($E$27,[1]QUART!$A$2:$FA$324, 46, FALSE)="",":",VLOOKUP($E$27,[1]QUART!$A$2:$FA$324, 46, FALSE))</f>
        <v>90.4</v>
      </c>
      <c r="AV27" s="544">
        <f>IF(VLOOKUP($E$27,[1]QUART!$A$2:$FA$324, 47, FALSE)="",":",VLOOKUP($E$27,[1]QUART!$A$2:$FA$324, 47, FALSE))</f>
        <v>92</v>
      </c>
      <c r="AW27" s="544">
        <f>IF(VLOOKUP($E$27,[1]QUART!$A$2:$FA$324, 48, FALSE)="",":",VLOOKUP($E$27,[1]QUART!$A$2:$FA$324, 48, FALSE))</f>
        <v>100</v>
      </c>
      <c r="AX27" s="544">
        <f>IF(VLOOKUP($E$27,[1]QUART!$A$2:$FA$324, 49, FALSE)="",":",VLOOKUP($E$27,[1]QUART!$A$2:$FA$324, 49, FALSE))</f>
        <v>100.1</v>
      </c>
      <c r="AY27" s="544">
        <f>IF(VLOOKUP($E$27,[1]QUART!$A$2:$FA$324, 50, FALSE)="",":",VLOOKUP($E$27,[1]QUART!$A$2:$FA$324, 50, FALSE))</f>
        <v>99.2</v>
      </c>
      <c r="AZ27" s="544">
        <f>IF(VLOOKUP($E$27,[1]QUART!$A$2:$FA$324, 51, FALSE)="",":",VLOOKUP($E$27,[1]QUART!$A$2:$FA$324, 51, FALSE))</f>
        <v>103.1</v>
      </c>
      <c r="BA27" s="544">
        <f>IF(VLOOKUP($E$27,[1]QUART!$A$2:$FA$324, 52, FALSE)="",":",VLOOKUP($E$27,[1]QUART!$A$2:$FA$324, 52, FALSE))</f>
        <v>112.39999999999999</v>
      </c>
      <c r="BB27" s="544">
        <f>IF(VLOOKUP($E$27,[1]QUART!$A$2:$FA$324, 53, FALSE)="",":",VLOOKUP($E$27,[1]QUART!$A$2:$FA$324, 53, FALSE))</f>
        <v>113.4</v>
      </c>
      <c r="BC27" s="544">
        <f>IF(VLOOKUP($E$27,[1]QUART!$A$2:$FA$324, 54, FALSE)="",":",VLOOKUP($E$27,[1]QUART!$A$2:$FA$324, 54, FALSE))</f>
        <v>124.4</v>
      </c>
      <c r="BD27" s="544">
        <f>IF(VLOOKUP($E$27,[1]QUART!$A$2:$FA$324, 55, FALSE)="",":",VLOOKUP($E$27,[1]QUART!$A$2:$FA$324, 55, FALSE))</f>
        <v>120.9</v>
      </c>
      <c r="BE27" s="544">
        <f>IF(VLOOKUP($E$27,[1]QUART!$A$2:$FA$324, 56, FALSE)="",":",VLOOKUP($E$27,[1]QUART!$A$2:$FA$324, 56, FALSE))</f>
        <v>143.19999999999999</v>
      </c>
      <c r="BF27" s="544">
        <f>IF(VLOOKUP($E$27,[1]QUART!$A$2:$FA$324, 57, FALSE)="",":",VLOOKUP($E$27,[1]QUART!$A$2:$FA$324, 57, FALSE))</f>
        <v>141.69999999999999</v>
      </c>
      <c r="BG27" s="544">
        <f>IF(VLOOKUP($E$27,[1]QUART!$A$2:$FA$324, 58, FALSE)="",":",VLOOKUP($E$27,[1]QUART!$A$2:$FA$324, 58, FALSE))</f>
        <v>152.30000000000001</v>
      </c>
      <c r="BH27" s="544">
        <f>IF(VLOOKUP($E$27,[1]QUART!$A$2:$FA$324, 59, FALSE)="",":",VLOOKUP($E$27,[1]QUART!$A$2:$FA$324, 59, FALSE))</f>
        <v>158.1</v>
      </c>
      <c r="BI27" s="544">
        <f>IF(VLOOKUP($E$27,[1]QUART!$A$2:$FA$324, 60, FALSE)="",":",VLOOKUP($E$27,[1]QUART!$A$2:$FA$324, 60, FALSE))</f>
        <v>160.5</v>
      </c>
      <c r="BJ27" s="544">
        <f>IF(VLOOKUP($E$27,[1]QUART!$A$2:$FA$324, 61, FALSE)="",":",VLOOKUP($E$27,[1]QUART!$A$2:$FA$324, 61, FALSE))</f>
        <v>162.6</v>
      </c>
      <c r="BK27" s="544">
        <f>IF(VLOOKUP($E$27,[1]QUART!$A$2:$FA$324, 62, FALSE)="",":",VLOOKUP($E$27,[1]QUART!$A$2:$FA$324, 62, FALSE))</f>
        <v>136.69999999999999</v>
      </c>
      <c r="BL27" s="3142">
        <f>IF(VLOOKUP($E$27,[1]QUART!$A$2:$FA$324, 61, FALSE)="",":",VLOOKUP($E$27,[1]QUART!$A$2:$FA$324, 61, FALSE))</f>
        <v>162.6</v>
      </c>
      <c r="BM27" s="3142">
        <f>IF(VLOOKUP($E$27,[1]QUART!$A$2:$FA$324, 61, FALSE)="",":",VLOOKUP($E$27,[1]QUART!$A$2:$FA$324, 61, FALSE))</f>
        <v>162.6</v>
      </c>
      <c r="BN27" s="3142">
        <f>IF(VLOOKUP($E$27,[1]QUART!$A$2:$FA$324, 61, FALSE)="",":",VLOOKUP($E$27,[1]QUART!$A$2:$FA$324, 61, FALSE))</f>
        <v>162.6</v>
      </c>
      <c r="BO27" s="3142">
        <f>IF(VLOOKUP($E$27,[1]QUART!$A$2:$FA$324, 61, FALSE)="",":",VLOOKUP($E$27,[1]QUART!$A$2:$FA$324, 61, FALSE))</f>
        <v>162.6</v>
      </c>
      <c r="BP27" s="3142">
        <f>IF(VLOOKUP($E$27,[1]QUART!$A$2:$FA$324, 61, FALSE)="",":",VLOOKUP($E$27,[1]QUART!$A$2:$FA$324, 61, FALSE))</f>
        <v>162.6</v>
      </c>
      <c r="BQ27" s="544">
        <f>IF(VLOOKUP($E$27,[1]QUART!$A$2:$FA$324, 68, FALSE)="",":",VLOOKUP($E$27,[1]QUART!$A$2:$FA$324, 68, FALSE))</f>
        <v>149</v>
      </c>
      <c r="BR27" s="544">
        <f>IF(VLOOKUP($E$27,[1]QUART!$A$2:$FA$324, 69, FALSE)="",":",VLOOKUP($E$27,[1]QUART!$A$2:$FA$324, 69, FALSE))</f>
        <v>145.29999999999998</v>
      </c>
      <c r="BS27" s="544">
        <f>IF(VLOOKUP($E$27,[1]QUART!$A$2:$FA$324, 70, FALSE)="",":",VLOOKUP($E$27,[1]QUART!$A$2:$FA$324, 70, FALSE))</f>
        <v>160.19999999999999</v>
      </c>
      <c r="BT27" s="544">
        <f>IF(VLOOKUP($E$27,[1]QUART!$A$2:$FA$324, 71, FALSE)="",":",VLOOKUP($E$27,[1]QUART!$A$2:$FA$324, 71, FALSE))</f>
        <v>159.29999999999998</v>
      </c>
      <c r="BU27" s="544">
        <f>IF(VLOOKUP($E$27,[1]QUART!$A$2:$FA$324, 72, FALSE)="",":",VLOOKUP($E$27,[1]QUART!$A$2:$FA$324, 72, FALSE))</f>
        <v>157.1</v>
      </c>
      <c r="BV27" s="544">
        <f>IF(VLOOKUP($E$27,[1]QUART!$A$2:$FA$324, 73, FALSE)="",":",VLOOKUP($E$27,[1]QUART!$A$2:$FA$324, 73, FALSE))</f>
        <v>159.29999999999998</v>
      </c>
      <c r="BW27" s="544">
        <f>IF(VLOOKUP($E$27,[1]QUART!$A$2:$FA$324, 74, FALSE)="",":",VLOOKUP($E$27,[1]QUART!$A$2:$FA$324, 74, FALSE))</f>
        <v>156.9</v>
      </c>
      <c r="BX27" s="544">
        <f>IF(VLOOKUP($E$27,[1]QUART!$A$2:$FA$324, 75, FALSE)="",":",VLOOKUP($E$27,[1]QUART!$A$2:$FA$324, 75, FALSE))</f>
        <v>156.70000000000002</v>
      </c>
      <c r="BY27" s="544">
        <f>IF(VLOOKUP($E$27,[1]QUART!$A$2:$FA$324, 76, FALSE)="",":",VLOOKUP($E$27,[1]QUART!$A$2:$FA$324, 76, FALSE))</f>
        <v>164.1</v>
      </c>
      <c r="BZ27" s="544">
        <f>IF(VLOOKUP($E$27,[1]QUART!$A$2:$FA$324, 77, FALSE)="",":",VLOOKUP($E$27,[1]QUART!$A$2:$FA$324, 77, FALSE))</f>
        <v>161.1</v>
      </c>
      <c r="CA27" s="544">
        <f>IF(VLOOKUP($E$27,[1]QUART!$A$2:$FA$324, 78, FALSE)="",":",VLOOKUP($E$27,[1]QUART!$A$2:$FA$324, 78, FALSE))</f>
        <v>148.19999999999999</v>
      </c>
      <c r="CB27" s="544">
        <f>IF(VLOOKUP($E$27,[1]QUART!$A$2:$FA$324, 79, FALSE)="",":",VLOOKUP($E$27,[1]QUART!$A$2:$FA$324, 79, FALSE))</f>
        <v>151.29999999999998</v>
      </c>
      <c r="CC27" s="544">
        <f>IF(VLOOKUP($E$27,[1]QUART!$A$2:$FA$324, 80, FALSE)="",":",VLOOKUP($E$27,[1]QUART!$A$2:$FA$324, 80, FALSE))</f>
        <v>149.6</v>
      </c>
      <c r="CD27" s="544">
        <f>IF(VLOOKUP($E$27,[1]QUART!$A$2:$FA$324, 81, FALSE)="",":",VLOOKUP($E$27,[1]QUART!$A$2:$FA$324, 81, FALSE))</f>
        <v>163.20000000000002</v>
      </c>
      <c r="CE27" s="544">
        <f>IF(VLOOKUP($E$27,[1]QUART!$A$2:$FA$324, 82, FALSE)="",":",VLOOKUP($E$27,[1]QUART!$A$2:$FA$324, 82, FALSE))</f>
        <v>166.9</v>
      </c>
      <c r="CF27" s="544">
        <f>IF(VLOOKUP($E$27,[1]QUART!$A$2:$FA$324, 83, FALSE)="",":",VLOOKUP($E$27,[1]QUART!$A$2:$FA$324, 83, FALSE))</f>
        <v>165.2</v>
      </c>
      <c r="CG27" s="544">
        <f>IF(VLOOKUP($E$27,[1]QUART!$A$2:$FA$324, 84, FALSE)="",":",VLOOKUP($E$27,[1]QUART!$A$2:$FA$324, 84, FALSE))</f>
        <v>170</v>
      </c>
      <c r="CH27" s="544">
        <f>IF(VLOOKUP($E$27,[1]QUART!$A$2:$FA$324, 85, FALSE)="",":",VLOOKUP($E$27,[1]QUART!$A$2:$FA$324, 85, FALSE))</f>
        <v>180</v>
      </c>
      <c r="CI27" s="544">
        <f>IF(VLOOKUP($E$27,[1]QUART!$A$2:$FA$324, 86, FALSE)="",":",VLOOKUP($E$27,[1]QUART!$A$2:$FA$324, 86, FALSE))</f>
        <v>178.7</v>
      </c>
      <c r="CJ27" s="544">
        <f>IF(VLOOKUP($E$27,[1]QUART!$A$2:$FA$324, 87, FALSE)="",":",VLOOKUP($E$27,[1]QUART!$A$2:$FA$324, 87, FALSE))</f>
        <v>190.8</v>
      </c>
      <c r="CK27" s="544">
        <f>IF(VLOOKUP($E$27,[1]QUART!$A$2:$FA$324, 88, FALSE)="",":",VLOOKUP($E$27,[1]QUART!$A$2:$FA$324, 88, FALSE))</f>
        <v>178.8</v>
      </c>
      <c r="CL27" s="544">
        <f>IF(VLOOKUP($E$27,[1]QUART!$A$2:$FA$324, 89, FALSE)="",":",VLOOKUP($E$27,[1]QUART!$A$2:$FA$324, 89, FALSE))</f>
        <v>175.4</v>
      </c>
      <c r="CM27" s="544">
        <f>IF(VLOOKUP($E$27,[1]QUART!$A$2:$FA$324, 90, FALSE)="",":",VLOOKUP($E$27,[1]QUART!$A$2:$FA$324, 90, FALSE))</f>
        <v>174.5</v>
      </c>
      <c r="CN27" s="544">
        <f>IF(VLOOKUP($E$27,[1]QUART!$A$2:$FA$324, 91, FALSE)="",":",VLOOKUP($E$27,[1]QUART!$A$2:$FA$324, 91, FALSE))</f>
        <v>184.7</v>
      </c>
      <c r="CO27" s="544">
        <f>IF(VLOOKUP($E$27,[1]QUART!$A$2:$FA$324, 92, FALSE)="",":",VLOOKUP($E$27,[1]QUART!$A$2:$FA$324, 92, FALSE))</f>
        <v>189.6</v>
      </c>
      <c r="CP27" s="544">
        <f>IF(VLOOKUP($E$27,[1]QUART!$A$2:$FA$324, 93, FALSE)="",":",VLOOKUP($E$27,[1]QUART!$A$2:$FA$324, 93, FALSE))</f>
        <v>189.6</v>
      </c>
      <c r="CQ27" s="544">
        <f>IF(VLOOKUP($E$27,[1]QUART!$A$2:$FA$324, 94, FALSE)="",":",VLOOKUP($E$27,[1]QUART!$A$2:$FA$324, 94, FALSE))</f>
        <v>200.5</v>
      </c>
      <c r="CR27" s="544">
        <f>IF(VLOOKUP($E$27,[1]QUART!$A$2:$FA$324, 95, FALSE)="",":",VLOOKUP($E$27,[1]QUART!$A$2:$FA$324, 95, FALSE))</f>
        <v>207.5</v>
      </c>
      <c r="CS27" s="544">
        <f>IF(VLOOKUP($E$27,[1]QUART!$A$2:$FA$324, 96, FALSE)="",":",VLOOKUP($E$27,[1]QUART!$A$2:$FA$324, 96, FALSE))</f>
        <v>217.29999999999998</v>
      </c>
      <c r="CT27" s="544">
        <f>IF(VLOOKUP($E$27,[1]QUART!$A$2:$FA$324, 97, FALSE)="",":",VLOOKUP($E$27,[1]QUART!$A$2:$FA$324, 97, FALSE))</f>
        <v>226.4</v>
      </c>
      <c r="CU27" s="544" t="str">
        <f>IF(VLOOKUP($E$27,[1]QUART!$A$2:$FA$324, 98, FALSE)="",":",VLOOKUP($E$27,[1]QUART!$A$2:$FA$324, 98, FALSE))</f>
        <v>:</v>
      </c>
      <c r="CV27" s="544" t="str">
        <f>IF(VLOOKUP($E$27,[1]QUART!$A$2:$FA$324, 99, FALSE)="",":",VLOOKUP($E$27,[1]QUART!$A$2:$FA$324, 99, FALSE))</f>
        <v>:</v>
      </c>
      <c r="CW27" s="544" t="str">
        <f>IF(VLOOKUP($E$27,[1]QUART!$A$2:$FA$324, 100, FALSE)="",":",VLOOKUP($E$27,[1]QUART!$A$2:$FA$324, 100, FALSE))</f>
        <v>:</v>
      </c>
      <c r="CX27" s="544" t="str">
        <f>IF(VLOOKUP($E$27,[1]QUART!$A$2:$FA$324, 101, FALSE)="",":",VLOOKUP($E$27,[1]QUART!$A$2:$FA$324, 101, FALSE))</f>
        <v>:</v>
      </c>
      <c r="CY27" s="544" t="str">
        <f>IF(VLOOKUP($E$27,[1]QUART!$A$2:$FA$324, 102, FALSE)="",":",VLOOKUP($E$27,[1]QUART!$A$2:$FA$324, 102, FALSE))</f>
        <v>:</v>
      </c>
      <c r="CZ27" s="544" t="str">
        <f>IF(VLOOKUP($E$27,[1]QUART!$A$2:$FA$324, 103, FALSE)="",":",VLOOKUP($E$27,[1]QUART!$A$2:$FA$324, 103, FALSE))</f>
        <v>:</v>
      </c>
      <c r="DA27" s="544" t="str">
        <f>IF(VLOOKUP($E$27,[1]QUART!$A$2:$FA$324, 104, FALSE)="",":",VLOOKUP($E$27,[1]QUART!$A$2:$FA$324, 104, FALSE))</f>
        <v>:</v>
      </c>
      <c r="DB27" s="544" t="str">
        <f>IF(VLOOKUP($E$27,[1]QUART!$A$2:$FA$324, 105, FALSE)="",":",VLOOKUP($E$27,[1]QUART!$A$2:$FA$324, 105, FALSE))</f>
        <v>:</v>
      </c>
      <c r="DC27" s="544" t="str">
        <f>IF(VLOOKUP($E$27,[1]QUART!$A$2:$FA$324, 106, FALSE)="",":",VLOOKUP($E$27,[1]QUART!$A$2:$FA$324, 106, FALSE))</f>
        <v>:</v>
      </c>
    </row>
    <row r="28" spans="1:107">
      <c r="A28" s="1954"/>
      <c r="B28" s="534"/>
      <c r="C28" s="535"/>
      <c r="D28" s="12" t="s">
        <v>1841</v>
      </c>
      <c r="E28" s="13">
        <v>83</v>
      </c>
      <c r="F28" s="14" t="str">
        <f>VLOOKUP($E$28,[1]QUART!$A$2:$FA$315, 3, FALSE)</f>
        <v>83 Gross capital formation (incl. Inventories)</v>
      </c>
      <c r="G28" s="544">
        <f>IF(VLOOKUP($E$28,[1]QUART!$A$2:$FA$315, 6, FALSE)="",":",VLOOKUP($E$28,[1]QUART!$A$2:$FA$315, 6, FALSE))</f>
        <v>371.95898980537532</v>
      </c>
      <c r="H28" s="544">
        <f>IF(VLOOKUP($E$28,[1]QUART!$A$2:$FA$315, 7, FALSE)="",":",VLOOKUP($E$28,[1]QUART!$A$2:$FA$315, 7, FALSE))</f>
        <v>328.16844300278035</v>
      </c>
      <c r="I28" s="544">
        <f>IF(VLOOKUP($E$28,[1]QUART!$A$2:$FA$315, 8, FALSE)="",":",VLOOKUP($E$28,[1]QUART!$A$2:$FA$315, 8, FALSE))</f>
        <v>346.06696014828549</v>
      </c>
      <c r="J28" s="544">
        <f>IF(VLOOKUP($E$28,[1]QUART!$A$2:$FA$315, 9, FALSE)="",":",VLOOKUP($E$28,[1]QUART!$A$2:$FA$315, 9, FALSE))</f>
        <v>338.88438368860056</v>
      </c>
      <c r="K28" s="544">
        <f>IF(VLOOKUP($E$28,[1]QUART!$A$2:$FA$315, 10, FALSE)="",":",VLOOKUP($E$28,[1]QUART!$A$2:$FA$315, 10, FALSE))</f>
        <v>357.04355885078775</v>
      </c>
      <c r="L28" s="544">
        <f>IF(VLOOKUP($E$28,[1]QUART!$A$2:$FA$315, 11, FALSE)="",":",VLOOKUP($E$28,[1]QUART!$A$2:$FA$315, 11, FALSE))</f>
        <v>393.59360518999074</v>
      </c>
      <c r="M28" s="544">
        <f>IF(VLOOKUP($E$28,[1]QUART!$A$2:$FA$315, 12, FALSE)="",":",VLOOKUP($E$28,[1]QUART!$A$2:$FA$315, 12, FALSE))</f>
        <v>461.42261353104732</v>
      </c>
      <c r="N28" s="544">
        <f>IF(VLOOKUP($E$28,[1]QUART!$A$2:$FA$315, 13, FALSE)="",":",VLOOKUP($E$28,[1]QUART!$A$2:$FA$315, 13, FALSE))</f>
        <v>495.25023169601485</v>
      </c>
      <c r="O28" s="544">
        <f>IF(VLOOKUP($E$28,[1]QUART!$A$2:$FA$315, 14, FALSE)="",":",VLOOKUP($E$28,[1]QUART!$A$2:$FA$315, 14, FALSE))</f>
        <v>572.43396663577391</v>
      </c>
      <c r="P28" s="544">
        <f>IF(VLOOKUP($E$28,[1]QUART!$A$2:$FA$315, 15, FALSE)="",":",VLOOKUP($E$28,[1]QUART!$A$2:$FA$315, 15, FALSE))</f>
        <v>597.94949026876736</v>
      </c>
      <c r="Q28" s="544">
        <f>IF(VLOOKUP($E$28,[1]QUART!$A$2:$FA$315, 16, FALSE)="",":",VLOOKUP($E$28,[1]QUART!$A$2:$FA$315, 16, FALSE))</f>
        <v>581.84661723818351</v>
      </c>
      <c r="R28" s="544">
        <f>IF(VLOOKUP($E$28,[1]QUART!$A$2:$FA$315, 17, FALSE)="",":",VLOOKUP($E$28,[1]QUART!$A$2:$FA$315, 17, FALSE))</f>
        <v>713.07344763670062</v>
      </c>
      <c r="S28" s="544">
        <f>IF(VLOOKUP($E$28,[1]QUART!$A$2:$FA$315, 18, FALSE)="",":",VLOOKUP($E$28,[1]QUART!$A$2:$FA$315, 18, FALSE))</f>
        <v>704.7613531047266</v>
      </c>
      <c r="T28" s="544">
        <f>IF(VLOOKUP($E$28,[1]QUART!$A$2:$FA$315, 19, FALSE)="",":",VLOOKUP($E$28,[1]QUART!$A$2:$FA$315, 19, FALSE))</f>
        <v>771.5766913809083</v>
      </c>
      <c r="U28" s="544">
        <f>IF(VLOOKUP($E$28,[1]QUART!$A$2:$FA$315, 20, FALSE)="",":",VLOOKUP($E$28,[1]QUART!$A$2:$FA$315, 20, FALSE))</f>
        <v>810.26992585727521</v>
      </c>
      <c r="V28" s="544">
        <f>IF(VLOOKUP($E$28,[1]QUART!$A$2:$FA$315, 21, FALSE)="",":",VLOOKUP($E$28,[1]QUART!$A$2:$FA$315, 21, FALSE))</f>
        <v>678.81139944392964</v>
      </c>
      <c r="W28" s="544">
        <f>IF(VLOOKUP($E$28,[1]QUART!$A$2:$FA$315, 22, FALSE)="",":",VLOOKUP($E$28,[1]QUART!$A$2:$FA$315, 22, FALSE))</f>
        <v>680.57808155699729</v>
      </c>
      <c r="X28" s="544">
        <f>IF(VLOOKUP($E$28,[1]QUART!$A$2:$FA$315, 23, FALSE)="",":",VLOOKUP($E$28,[1]QUART!$A$2:$FA$315, 23, FALSE))</f>
        <v>699.69300278035223</v>
      </c>
      <c r="Y28" s="544">
        <f>IF(VLOOKUP($E$28,[1]QUART!$A$2:$FA$315, 24, FALSE)="",":",VLOOKUP($E$28,[1]QUART!$A$2:$FA$315, 24, FALSE))</f>
        <v>634.23887859128831</v>
      </c>
      <c r="Z28" s="544">
        <f>IF(VLOOKUP($E$28,[1]QUART!$A$2:$FA$315, 25, FALSE)="",":",VLOOKUP($E$28,[1]QUART!$A$2:$FA$315, 25, FALSE))</f>
        <v>631.92191844300282</v>
      </c>
      <c r="AA28" s="544">
        <f>IF(VLOOKUP($E$28,[1]QUART!$A$2:$FA$315, 26, FALSE)="",":",VLOOKUP($E$28,[1]QUART!$A$2:$FA$315, 26, FALSE))</f>
        <v>603.30746061167747</v>
      </c>
      <c r="AB28" s="544">
        <f>IF(VLOOKUP($E$28,[1]QUART!$A$2:$FA$315, 27, FALSE)="",":",VLOOKUP($E$28,[1]QUART!$A$2:$FA$315, 27, FALSE))</f>
        <v>592.38878591288233</v>
      </c>
      <c r="AC28" s="544">
        <f>IF(VLOOKUP($E$28,[1]QUART!$A$2:$FA$315, 28, FALSE)="",":",VLOOKUP($E$28,[1]QUART!$A$2:$FA$315, 28, FALSE))</f>
        <v>586.65430954587578</v>
      </c>
      <c r="AD28" s="544">
        <f>IF(VLOOKUP($E$28,[1]QUART!$A$2:$FA$315, 29, FALSE)="",":",VLOOKUP($E$28,[1]QUART!$A$2:$FA$315, 29, FALSE))</f>
        <v>595.77734012974975</v>
      </c>
      <c r="AE28" s="544">
        <f>IF(VLOOKUP($E$28,[1]QUART!$A$2:$FA$315, 30, FALSE)="",":",VLOOKUP($E$28,[1]QUART!$A$2:$FA$315, 30, FALSE))</f>
        <v>637.83016682113077</v>
      </c>
      <c r="AF28" s="544">
        <f>IF(VLOOKUP($E$28,[1]QUART!$A$2:$FA$315, 31, FALSE)="",":",VLOOKUP($E$28,[1]QUART!$A$2:$FA$315, 31, FALSE))</f>
        <v>646.37395736793337</v>
      </c>
      <c r="AG28" s="544">
        <f>IF(VLOOKUP($E$28,[1]QUART!$A$2:$FA$315, 32, FALSE)="",":",VLOOKUP($E$28,[1]QUART!$A$2:$FA$315, 32, FALSE))</f>
        <v>680.0857275254865</v>
      </c>
      <c r="AH28" s="544">
        <f>IF(VLOOKUP($E$28,[1]QUART!$A$2:$FA$315, 33, FALSE)="",":",VLOOKUP($E$28,[1]QUART!$A$2:$FA$315, 33, FALSE))</f>
        <v>840.07182576459684</v>
      </c>
      <c r="AI28" s="544">
        <f>IF(VLOOKUP($E$28,[1]QUART!$A$2:$FA$315, 34, FALSE)="",":",VLOOKUP($E$28,[1]QUART!$A$2:$FA$315, 34, FALSE))</f>
        <v>784.29101019462473</v>
      </c>
      <c r="AJ28" s="544">
        <f>IF(VLOOKUP($E$28,[1]QUART!$A$2:$FA$315, 35, FALSE)="",":",VLOOKUP($E$28,[1]QUART!$A$2:$FA$315, 35, FALSE))</f>
        <v>834.01876737720113</v>
      </c>
      <c r="AK28" s="544">
        <f>IF(VLOOKUP($E$28,[1]QUART!$A$2:$FA$315, 36, FALSE)="",":",VLOOKUP($E$28,[1]QUART!$A$2:$FA$315, 36, FALSE))</f>
        <v>834.80074142724754</v>
      </c>
      <c r="AL28" s="544">
        <f>IF(VLOOKUP($E$28,[1]QUART!$A$2:$FA$315, 37, FALSE)="",":",VLOOKUP($E$28,[1]QUART!$A$2:$FA$315, 37, FALSE))</f>
        <v>826.02525486561626</v>
      </c>
      <c r="AM28" s="544">
        <f>IF(VLOOKUP($E$28,[1]QUART!$A$2:$FA$315, 38, FALSE)="",":",VLOOKUP($E$28,[1]QUART!$A$2:$FA$315, 38, FALSE))</f>
        <v>822.54981464318814</v>
      </c>
      <c r="AN28" s="544">
        <f>IF(VLOOKUP($E$28,[1]QUART!$A$2:$FA$315, 39, FALSE)="",":",VLOOKUP($E$28,[1]QUART!$A$2:$FA$315, 39, FALSE))</f>
        <v>906.04726598702507</v>
      </c>
      <c r="AO28" s="544">
        <f>IF(VLOOKUP($E$28,[1]QUART!$A$2:$FA$315, 40, FALSE)="",":",VLOOKUP($E$28,[1]QUART!$A$2:$FA$315, 40, FALSE))</f>
        <v>998.20435588507883</v>
      </c>
      <c r="AP28" s="544">
        <f>IF(VLOOKUP($E$28,[1]QUART!$A$2:$FA$315, 41, FALSE)="",":",VLOOKUP($E$28,[1]QUART!$A$2:$FA$315, 41, FALSE))</f>
        <v>1035.1598702502317</v>
      </c>
      <c r="AQ28" s="544">
        <f>IF(VLOOKUP($E$28,[1]QUART!$A$2:$FA$315, 42, FALSE)="",":",VLOOKUP($E$28,[1]QUART!$A$2:$FA$315, 42, FALSE))</f>
        <v>1157.8139481000926</v>
      </c>
      <c r="AR28" s="544">
        <f>IF(VLOOKUP($E$28,[1]QUART!$A$2:$FA$315, 43, FALSE)="",":",VLOOKUP($E$28,[1]QUART!$A$2:$FA$315, 43, FALSE))</f>
        <v>1161.810704355885</v>
      </c>
      <c r="AS28" s="544">
        <f>IF(VLOOKUP($E$28,[1]QUART!$A$2:$FA$315, 44, FALSE)="",":",VLOOKUP($E$28,[1]QUART!$A$2:$FA$315, 44, FALSE))</f>
        <v>1143.8253012048194</v>
      </c>
      <c r="AT28" s="544">
        <f>IF(VLOOKUP($E$28,[1]QUART!$A$2:$FA$315, 45, FALSE)="",":",VLOOKUP($E$28,[1]QUART!$A$2:$FA$315, 45, FALSE))</f>
        <v>1194.8563484708066</v>
      </c>
      <c r="AU28" s="544">
        <f>IF(VLOOKUP($E$28,[1]QUART!$A$2:$FA$315, 46, FALSE)="",":",VLOOKUP($E$28,[1]QUART!$A$2:$FA$315, 46, FALSE))</f>
        <v>1199.5999999999999</v>
      </c>
      <c r="AV28" s="544">
        <f>IF(VLOOKUP($E$28,[1]QUART!$A$2:$FA$315, 47, FALSE)="",":",VLOOKUP($E$28,[1]QUART!$A$2:$FA$315, 47, FALSE))</f>
        <v>1335</v>
      </c>
      <c r="AW28" s="544">
        <f>IF(VLOOKUP($E$28,[1]QUART!$A$2:$FA$315, 48, FALSE)="",":",VLOOKUP($E$28,[1]QUART!$A$2:$FA$315, 48, FALSE))</f>
        <v>1283.8</v>
      </c>
      <c r="AX28" s="544">
        <f>IF(VLOOKUP($E$28,[1]QUART!$A$2:$FA$315, 49, FALSE)="",":",VLOOKUP($E$28,[1]QUART!$A$2:$FA$315, 49, FALSE))</f>
        <v>1466</v>
      </c>
      <c r="AY28" s="544">
        <f>IF(VLOOKUP($E$28,[1]QUART!$A$2:$FA$315, 50, FALSE)="",":",VLOOKUP($E$28,[1]QUART!$A$2:$FA$315, 50, FALSE))</f>
        <v>1472.7</v>
      </c>
      <c r="AZ28" s="544">
        <f>IF(VLOOKUP($E$28,[1]QUART!$A$2:$FA$315, 51, FALSE)="",":",VLOOKUP($E$28,[1]QUART!$A$2:$FA$315, 51, FALSE))</f>
        <v>1301.8</v>
      </c>
      <c r="BA28" s="544">
        <f>IF(VLOOKUP($E$28,[1]QUART!$A$2:$FA$315, 52, FALSE)="",":",VLOOKUP($E$28,[1]QUART!$A$2:$FA$315, 52, FALSE))</f>
        <v>1454.2</v>
      </c>
      <c r="BB28" s="544">
        <f>IF(VLOOKUP($E$28,[1]QUART!$A$2:$FA$315, 53, FALSE)="",":",VLOOKUP($E$28,[1]QUART!$A$2:$FA$315, 53, FALSE))</f>
        <v>1722.3</v>
      </c>
      <c r="BC28" s="544">
        <f>IF(VLOOKUP($E$28,[1]QUART!$A$2:$FA$315, 54, FALSE)="",":",VLOOKUP($E$28,[1]QUART!$A$2:$FA$315, 54, FALSE))</f>
        <v>1730.1</v>
      </c>
      <c r="BD28" s="544">
        <f>IF(VLOOKUP($E$28,[1]QUART!$A$2:$FA$315, 55, FALSE)="",":",VLOOKUP($E$28,[1]QUART!$A$2:$FA$315, 55, FALSE))</f>
        <v>1986.4</v>
      </c>
      <c r="BE28" s="544">
        <f>IF(VLOOKUP($E$28,[1]QUART!$A$2:$FA$315, 56, FALSE)="",":",VLOOKUP($E$28,[1]QUART!$A$2:$FA$315, 56, FALSE))</f>
        <v>1975.9</v>
      </c>
      <c r="BF28" s="544">
        <f>IF(VLOOKUP($E$28,[1]QUART!$A$2:$FA$315, 57, FALSE)="",":",VLOOKUP($E$28,[1]QUART!$A$2:$FA$315, 57, FALSE))</f>
        <v>2060.6999999999998</v>
      </c>
      <c r="BG28" s="544">
        <f>IF(VLOOKUP($E$28,[1]QUART!$A$2:$FA$315, 58, FALSE)="",":",VLOOKUP($E$28,[1]QUART!$A$2:$FA$315, 58, FALSE))</f>
        <v>2107.6</v>
      </c>
      <c r="BH28" s="544">
        <f>IF(VLOOKUP($E$28,[1]QUART!$A$2:$FA$315, 59, FALSE)="",":",VLOOKUP($E$28,[1]QUART!$A$2:$FA$315, 59, FALSE))</f>
        <v>2071.3000000000002</v>
      </c>
      <c r="BI28" s="544">
        <f>IF(VLOOKUP($E$28,[1]QUART!$A$2:$FA$315, 60, FALSE)="",":",VLOOKUP($E$28,[1]QUART!$A$2:$FA$315, 60, FALSE))</f>
        <v>2053.4</v>
      </c>
      <c r="BJ28" s="544">
        <f>IF(VLOOKUP($E$28,[1]QUART!$A$2:$FA$315, 61, FALSE)="",":",VLOOKUP($E$28,[1]QUART!$A$2:$FA$315, 61, FALSE))</f>
        <v>1788.6</v>
      </c>
      <c r="BK28" s="544">
        <f>IF(VLOOKUP($E$28,[1]QUART!$A$2:$FA$315, 62, FALSE)="",":",VLOOKUP($E$28,[1]QUART!$A$2:$FA$315, 62, FALSE))</f>
        <v>813</v>
      </c>
      <c r="BL28" s="3142">
        <f>IF(VLOOKUP($E$28,[1]QUART!$A$2:$FA$315, 61, FALSE)="",":",VLOOKUP($E$28,[1]QUART!$A$2:$FA$315, 61, FALSE))</f>
        <v>1788.6</v>
      </c>
      <c r="BM28" s="3142">
        <f>IF(VLOOKUP($E$28,[1]QUART!$A$2:$FA$315, 61, FALSE)="",":",VLOOKUP($E$28,[1]QUART!$A$2:$FA$315, 61, FALSE))</f>
        <v>1788.6</v>
      </c>
      <c r="BN28" s="3142">
        <f>IF(VLOOKUP($E$28,[1]QUART!$A$2:$FA$315, 61, FALSE)="",":",VLOOKUP($E$28,[1]QUART!$A$2:$FA$315, 61, FALSE))</f>
        <v>1788.6</v>
      </c>
      <c r="BO28" s="3142">
        <f>IF(VLOOKUP($E$28,[1]QUART!$A$2:$FA$315, 61, FALSE)="",":",VLOOKUP($E$28,[1]QUART!$A$2:$FA$315, 61, FALSE))</f>
        <v>1788.6</v>
      </c>
      <c r="BP28" s="3142">
        <f>IF(VLOOKUP($E$28,[1]QUART!$A$2:$FA$315, 61, FALSE)="",":",VLOOKUP($E$28,[1]QUART!$A$2:$FA$315, 61, FALSE))</f>
        <v>1788.6</v>
      </c>
      <c r="BQ28" s="544">
        <f>IF(VLOOKUP($E$28,[1]QUART!$A$2:$FA$315, 68, FALSE)="",":",VLOOKUP($E$28,[1]QUART!$A$2:$FA$315, 68, FALSE))</f>
        <v>1212.5999999999999</v>
      </c>
      <c r="BR28" s="544">
        <f>IF(VLOOKUP($E$28,[1]QUART!$A$2:$FA$315, 69, FALSE)="",":",VLOOKUP($E$28,[1]QUART!$A$2:$FA$315, 69, FALSE))</f>
        <v>1463.2</v>
      </c>
      <c r="BS28" s="544">
        <f>IF(VLOOKUP($E$28,[1]QUART!$A$2:$FA$315, 70, FALSE)="",":",VLOOKUP($E$28,[1]QUART!$A$2:$FA$315, 70, FALSE))</f>
        <v>1589.9</v>
      </c>
      <c r="BT28" s="544">
        <f>IF(VLOOKUP($E$28,[1]QUART!$A$2:$FA$315, 71, FALSE)="",":",VLOOKUP($E$28,[1]QUART!$A$2:$FA$315, 71, FALSE))</f>
        <v>1485</v>
      </c>
      <c r="BU28" s="544">
        <f>IF(VLOOKUP($E$28,[1]QUART!$A$2:$FA$315, 72, FALSE)="",":",VLOOKUP($E$28,[1]QUART!$A$2:$FA$315, 72, FALSE))</f>
        <v>1416.4</v>
      </c>
      <c r="BV28" s="544">
        <f>IF(VLOOKUP($E$28,[1]QUART!$A$2:$FA$315, 73, FALSE)="",":",VLOOKUP($E$28,[1]QUART!$A$2:$FA$315, 73, FALSE))</f>
        <v>1454.6</v>
      </c>
      <c r="BW28" s="544">
        <f>IF(VLOOKUP($E$28,[1]QUART!$A$2:$FA$315, 74, FALSE)="",":",VLOOKUP($E$28,[1]QUART!$A$2:$FA$315, 74, FALSE))</f>
        <v>1395.5</v>
      </c>
      <c r="BX28" s="544">
        <f>IF(VLOOKUP($E$28,[1]QUART!$A$2:$FA$315, 75, FALSE)="",":",VLOOKUP($E$28,[1]QUART!$A$2:$FA$315, 75, FALSE))</f>
        <v>1151.5999999999999</v>
      </c>
      <c r="BY28" s="544">
        <f>IF(VLOOKUP($E$28,[1]QUART!$A$2:$FA$315, 76, FALSE)="",":",VLOOKUP($E$28,[1]QUART!$A$2:$FA$315, 76, FALSE))</f>
        <v>1481.9</v>
      </c>
      <c r="BZ28" s="544">
        <f>IF(VLOOKUP($E$28,[1]QUART!$A$2:$FA$315, 77, FALSE)="",":",VLOOKUP($E$28,[1]QUART!$A$2:$FA$315, 77, FALSE))</f>
        <v>1231.9000000000001</v>
      </c>
      <c r="CA28" s="544">
        <f>IF(VLOOKUP($E$28,[1]QUART!$A$2:$FA$315, 78, FALSE)="",":",VLOOKUP($E$28,[1]QUART!$A$2:$FA$315, 78, FALSE))</f>
        <v>1183.5</v>
      </c>
      <c r="CB28" s="544">
        <f>IF(VLOOKUP($E$28,[1]QUART!$A$2:$FA$315, 79, FALSE)="",":",VLOOKUP($E$28,[1]QUART!$A$2:$FA$315, 79, FALSE))</f>
        <v>1252.9000000000001</v>
      </c>
      <c r="CC28" s="544">
        <f>IF(VLOOKUP($E$28,[1]QUART!$A$2:$FA$315, 80, FALSE)="",":",VLOOKUP($E$28,[1]QUART!$A$2:$FA$315, 80, FALSE))</f>
        <v>1403.4</v>
      </c>
      <c r="CD28" s="544">
        <f>IF(VLOOKUP($E$28,[1]QUART!$A$2:$FA$315, 81, FALSE)="",":",VLOOKUP($E$28,[1]QUART!$A$2:$FA$315, 81, FALSE))</f>
        <v>1427</v>
      </c>
      <c r="CE28" s="544">
        <f>IF(VLOOKUP($E$28,[1]QUART!$A$2:$FA$315, 82, FALSE)="",":",VLOOKUP($E$28,[1]QUART!$A$2:$FA$315, 82, FALSE))</f>
        <v>1351.5</v>
      </c>
      <c r="CF28" s="544">
        <f>IF(VLOOKUP($E$28,[1]QUART!$A$2:$FA$315, 83, FALSE)="",":",VLOOKUP($E$28,[1]QUART!$A$2:$FA$315, 83, FALSE))</f>
        <v>1328.5</v>
      </c>
      <c r="CG28" s="544">
        <f>IF(VLOOKUP($E$28,[1]QUART!$A$2:$FA$315, 84, FALSE)="",":",VLOOKUP($E$28,[1]QUART!$A$2:$FA$315, 84, FALSE))</f>
        <v>1338.1</v>
      </c>
      <c r="CH28" s="544">
        <f>IF(VLOOKUP($E$28,[1]QUART!$A$2:$FA$315, 85, FALSE)="",":",VLOOKUP($E$28,[1]QUART!$A$2:$FA$315, 85, FALSE))</f>
        <v>1466</v>
      </c>
      <c r="CI28" s="544">
        <f>IF(VLOOKUP($E$28,[1]QUART!$A$2:$FA$315, 86, FALSE)="",":",VLOOKUP($E$28,[1]QUART!$A$2:$FA$315, 86, FALSE))</f>
        <v>1708.6</v>
      </c>
      <c r="CJ28" s="544">
        <f>IF(VLOOKUP($E$28,[1]QUART!$A$2:$FA$315, 87, FALSE)="",":",VLOOKUP($E$28,[1]QUART!$A$2:$FA$315, 87, FALSE))</f>
        <v>1855</v>
      </c>
      <c r="CK28" s="544">
        <f>IF(VLOOKUP($E$28,[1]QUART!$A$2:$FA$315, 88, FALSE)="",":",VLOOKUP($E$28,[1]QUART!$A$2:$FA$315, 88, FALSE))</f>
        <v>1655.4</v>
      </c>
      <c r="CL28" s="544">
        <f>IF(VLOOKUP($E$28,[1]QUART!$A$2:$FA$315, 89, FALSE)="",":",VLOOKUP($E$28,[1]QUART!$A$2:$FA$315, 89, FALSE))</f>
        <v>1623.5</v>
      </c>
      <c r="CM28" s="544">
        <f>IF(VLOOKUP($E$28,[1]QUART!$A$2:$FA$315, 90, FALSE)="",":",VLOOKUP($E$28,[1]QUART!$A$2:$FA$315, 90, FALSE))</f>
        <v>1515.1</v>
      </c>
      <c r="CN28" s="544">
        <f>IF(VLOOKUP($E$28,[1]QUART!$A$2:$FA$315, 91, FALSE)="",":",VLOOKUP($E$28,[1]QUART!$A$2:$FA$315, 91, FALSE))</f>
        <v>1698.7</v>
      </c>
      <c r="CO28" s="544">
        <f>IF(VLOOKUP($E$28,[1]QUART!$A$2:$FA$315, 92, FALSE)="",":",VLOOKUP($E$28,[1]QUART!$A$2:$FA$315, 92, FALSE))</f>
        <v>1632.2</v>
      </c>
      <c r="CP28" s="544">
        <f>IF(VLOOKUP($E$28,[1]QUART!$A$2:$FA$315, 93, FALSE)="",":",VLOOKUP($E$28,[1]QUART!$A$2:$FA$315, 93, FALSE))</f>
        <v>1698</v>
      </c>
      <c r="CQ28" s="544">
        <f>IF(VLOOKUP($E$28,[1]QUART!$A$2:$FA$315, 94, FALSE)="",":",VLOOKUP($E$28,[1]QUART!$A$2:$FA$315, 94, FALSE))</f>
        <v>1702.2</v>
      </c>
      <c r="CR28" s="544">
        <f>IF(VLOOKUP($E$28,[1]QUART!$A$2:$FA$315, 95, FALSE)="",":",VLOOKUP($E$28,[1]QUART!$A$2:$FA$315, 95, FALSE))</f>
        <v>1587.8</v>
      </c>
      <c r="CS28" s="544">
        <f>IF(VLOOKUP($E$28,[1]QUART!$A$2:$FA$315, 96, FALSE)="",":",VLOOKUP($E$28,[1]QUART!$A$2:$FA$315, 96, FALSE))</f>
        <v>1765.8</v>
      </c>
      <c r="CT28" s="544">
        <f>IF(VLOOKUP($E$28,[1]QUART!$A$2:$FA$315, 97, FALSE)="",":",VLOOKUP($E$28,[1]QUART!$A$2:$FA$315, 97, FALSE))</f>
        <v>1735.2</v>
      </c>
      <c r="CU28" s="544" t="str">
        <f>IF(VLOOKUP($E$28,[1]QUART!$A$2:$FA$315, 98, FALSE)="",":",VLOOKUP($E$28,[1]QUART!$A$2:$FA$315, 98, FALSE))</f>
        <v>:</v>
      </c>
      <c r="CV28" s="544" t="str">
        <f>IF(VLOOKUP($E$28,[1]QUART!$A$2:$FA$315, 99, FALSE)="",":",VLOOKUP($E$28,[1]QUART!$A$2:$FA$315, 99, FALSE))</f>
        <v>:</v>
      </c>
      <c r="CW28" s="544" t="str">
        <f>IF(VLOOKUP($E$28,[1]QUART!$A$2:$FA$315, 100, FALSE)="",":",VLOOKUP($E$28,[1]QUART!$A$2:$FA$315, 100, FALSE))</f>
        <v>:</v>
      </c>
      <c r="CX28" s="544" t="str">
        <f>IF(VLOOKUP($E$28,[1]QUART!$A$2:$FA$315, 101, FALSE)="",":",VLOOKUP($E$28,[1]QUART!$A$2:$FA$315, 101, FALSE))</f>
        <v>:</v>
      </c>
      <c r="CY28" s="544" t="str">
        <f>IF(VLOOKUP($E$28,[1]QUART!$A$2:$FA$315, 102, FALSE)="",":",VLOOKUP($E$28,[1]QUART!$A$2:$FA$315, 102, FALSE))</f>
        <v>:</v>
      </c>
      <c r="CZ28" s="544" t="str">
        <f>IF(VLOOKUP($E$28,[1]QUART!$A$2:$FA$315, 103, FALSE)="",":",VLOOKUP($E$28,[1]QUART!$A$2:$FA$315, 103, FALSE))</f>
        <v>:</v>
      </c>
      <c r="DA28" s="544" t="str">
        <f>IF(VLOOKUP($E$28,[1]QUART!$A$2:$FA$315, 104, FALSE)="",":",VLOOKUP($E$28,[1]QUART!$A$2:$FA$315, 104, FALSE))</f>
        <v>:</v>
      </c>
      <c r="DB28" s="544" t="str">
        <f>IF(VLOOKUP($E$28,[1]QUART!$A$2:$FA$315, 105, FALSE)="",":",VLOOKUP($E$28,[1]QUART!$A$2:$FA$315, 105, FALSE))</f>
        <v>:</v>
      </c>
      <c r="DC28" s="544" t="str">
        <f>IF(VLOOKUP($E$28,[1]QUART!$A$2:$FA$315, 106, FALSE)="",":",VLOOKUP($E$28,[1]QUART!$A$2:$FA$315, 106, FALSE))</f>
        <v>:</v>
      </c>
    </row>
    <row r="29" spans="1:107">
      <c r="A29" s="1954"/>
      <c r="B29" s="534"/>
      <c r="C29" s="535"/>
      <c r="D29" s="12" t="s">
        <v>1841</v>
      </c>
      <c r="E29" s="13">
        <v>84</v>
      </c>
      <c r="F29" s="14" t="str">
        <f>VLOOKUP($E$29,[1]QUART!$A$2:$FA$315, 3, FALSE)</f>
        <v xml:space="preserve">84  Exports of goods                              </v>
      </c>
      <c r="G29" s="544">
        <f>IF(VLOOKUP($E$29,[1]QUART!$A$2:$FA$315, 6, FALSE)="",":",VLOOKUP($E$29,[1]QUART!$A$2:$FA$315, 6, FALSE))</f>
        <v>902.31116774791474</v>
      </c>
      <c r="H29" s="544">
        <f>IF(VLOOKUP($E$29,[1]QUART!$A$2:$FA$315, 7, FALSE)="",":",VLOOKUP($E$29,[1]QUART!$A$2:$FA$315, 7, FALSE))</f>
        <v>945.7831325301205</v>
      </c>
      <c r="I29" s="544">
        <f>IF(VLOOKUP($E$29,[1]QUART!$A$2:$FA$315, 8, FALSE)="",":",VLOOKUP($E$29,[1]QUART!$A$2:$FA$315, 8, FALSE))</f>
        <v>996.61144578313258</v>
      </c>
      <c r="J29" s="544">
        <f>IF(VLOOKUP($E$29,[1]QUART!$A$2:$FA$315, 9, FALSE)="",":",VLOOKUP($E$29,[1]QUART!$A$2:$FA$315, 9, FALSE))</f>
        <v>1042.9506487488416</v>
      </c>
      <c r="K29" s="544">
        <f>IF(VLOOKUP($E$29,[1]QUART!$A$2:$FA$315, 10, FALSE)="",":",VLOOKUP($E$29,[1]QUART!$A$2:$FA$315, 10, FALSE))</f>
        <v>1065.0486561631142</v>
      </c>
      <c r="L29" s="544">
        <f>IF(VLOOKUP($E$29,[1]QUART!$A$2:$FA$315, 11, FALSE)="",":",VLOOKUP($E$29,[1]QUART!$A$2:$FA$315, 11, FALSE))</f>
        <v>1102.2358665430957</v>
      </c>
      <c r="M29" s="544">
        <f>IF(VLOOKUP($E$29,[1]QUART!$A$2:$FA$315, 12, FALSE)="",":",VLOOKUP($E$29,[1]QUART!$A$2:$FA$315, 12, FALSE))</f>
        <v>1157.0898980537534</v>
      </c>
      <c r="N29" s="544">
        <f>IF(VLOOKUP($E$29,[1]QUART!$A$2:$FA$315, 13, FALSE)="",":",VLOOKUP($E$29,[1]QUART!$A$2:$FA$315, 13, FALSE))</f>
        <v>1222.515060240964</v>
      </c>
      <c r="O29" s="544">
        <f>IF(VLOOKUP($E$29,[1]QUART!$A$2:$FA$315, 14, FALSE)="",":",VLOOKUP($E$29,[1]QUART!$A$2:$FA$315, 14, FALSE))</f>
        <v>1287.100324374421</v>
      </c>
      <c r="P29" s="544">
        <f>IF(VLOOKUP($E$29,[1]QUART!$A$2:$FA$315, 15, FALSE)="",":",VLOOKUP($E$29,[1]QUART!$A$2:$FA$315, 15, FALSE))</f>
        <v>1296.6288229842446</v>
      </c>
      <c r="Q29" s="544">
        <f>IF(VLOOKUP($E$29,[1]QUART!$A$2:$FA$315, 16, FALSE)="",":",VLOOKUP($E$29,[1]QUART!$A$2:$FA$315, 16, FALSE))</f>
        <v>1314.9328081556998</v>
      </c>
      <c r="R29" s="544">
        <f>IF(VLOOKUP($E$29,[1]QUART!$A$2:$FA$315, 17, FALSE)="",":",VLOOKUP($E$29,[1]QUART!$A$2:$FA$315, 17, FALSE))</f>
        <v>1441.0333642261355</v>
      </c>
      <c r="S29" s="544">
        <f>IF(VLOOKUP($E$29,[1]QUART!$A$2:$FA$315, 18, FALSE)="",":",VLOOKUP($E$29,[1]QUART!$A$2:$FA$315, 18, FALSE))</f>
        <v>1477.4675625579239</v>
      </c>
      <c r="T29" s="544">
        <f>IF(VLOOKUP($E$29,[1]QUART!$A$2:$FA$315, 19, FALSE)="",":",VLOOKUP($E$29,[1]QUART!$A$2:$FA$315, 19, FALSE))</f>
        <v>1466.4909638554218</v>
      </c>
      <c r="U29" s="544">
        <f>IF(VLOOKUP($E$29,[1]QUART!$A$2:$FA$315, 20, FALSE)="",":",VLOOKUP($E$29,[1]QUART!$A$2:$FA$315, 20, FALSE))</f>
        <v>1331.3832252085265</v>
      </c>
      <c r="V29" s="544">
        <f>IF(VLOOKUP($E$29,[1]QUART!$A$2:$FA$315, 21, FALSE)="",":",VLOOKUP($E$29,[1]QUART!$A$2:$FA$315, 21, FALSE))</f>
        <v>1253.4754402224282</v>
      </c>
      <c r="W29" s="544">
        <f>IF(VLOOKUP($E$29,[1]QUART!$A$2:$FA$315, 22, FALSE)="",":",VLOOKUP($E$29,[1]QUART!$A$2:$FA$315, 22, FALSE))</f>
        <v>1162.0134383688601</v>
      </c>
      <c r="X29" s="544">
        <f>IF(VLOOKUP($E$29,[1]QUART!$A$2:$FA$315, 23, FALSE)="",":",VLOOKUP($E$29,[1]QUART!$A$2:$FA$315, 23, FALSE))</f>
        <v>1067.7131603336422</v>
      </c>
      <c r="Y29" s="544">
        <f>IF(VLOOKUP($E$29,[1]QUART!$A$2:$FA$315, 24, FALSE)="",":",VLOOKUP($E$29,[1]QUART!$A$2:$FA$315, 24, FALSE))</f>
        <v>1050.4228452270622</v>
      </c>
      <c r="Z29" s="544">
        <f>IF(VLOOKUP($E$29,[1]QUART!$A$2:$FA$315, 25, FALSE)="",":",VLOOKUP($E$29,[1]QUART!$A$2:$FA$315, 25, FALSE))</f>
        <v>1060.2409638554218</v>
      </c>
      <c r="AA29" s="544">
        <f>IF(VLOOKUP($E$29,[1]QUART!$A$2:$FA$315, 26, FALSE)="",":",VLOOKUP($E$29,[1]QUART!$A$2:$FA$315, 26, FALSE))</f>
        <v>1191.9022242817423</v>
      </c>
      <c r="AB29" s="544">
        <f>IF(VLOOKUP($E$29,[1]QUART!$A$2:$FA$315, 27, FALSE)="",":",VLOOKUP($E$29,[1]QUART!$A$2:$FA$315, 27, FALSE))</f>
        <v>1202.0099629286378</v>
      </c>
      <c r="AC29" s="544">
        <f>IF(VLOOKUP($E$29,[1]QUART!$A$2:$FA$315, 28, FALSE)="",":",VLOOKUP($E$29,[1]QUART!$A$2:$FA$315, 28, FALSE))</f>
        <v>1306.6786376274329</v>
      </c>
      <c r="AD29" s="544">
        <f>IF(VLOOKUP($E$29,[1]QUART!$A$2:$FA$315, 29, FALSE)="",":",VLOOKUP($E$29,[1]QUART!$A$2:$FA$315, 29, FALSE))</f>
        <v>1331.9914272474516</v>
      </c>
      <c r="AE29" s="544">
        <f>IF(VLOOKUP($E$29,[1]QUART!$A$2:$FA$315, 30, FALSE)="",":",VLOOKUP($E$29,[1]QUART!$A$2:$FA$315, 30, FALSE))</f>
        <v>1465.5641797961075</v>
      </c>
      <c r="AF29" s="544">
        <f>IF(VLOOKUP($E$29,[1]QUART!$A$2:$FA$315, 31, FALSE)="",":",VLOOKUP($E$29,[1]QUART!$A$2:$FA$315, 31, FALSE))</f>
        <v>1559.6327618164969</v>
      </c>
      <c r="AG29" s="544">
        <f>IF(VLOOKUP($E$29,[1]QUART!$A$2:$FA$315, 32, FALSE)="",":",VLOOKUP($E$29,[1]QUART!$A$2:$FA$315, 32, FALSE))</f>
        <v>1577.6760889712696</v>
      </c>
      <c r="AH29" s="544">
        <f>IF(VLOOKUP($E$29,[1]QUART!$A$2:$FA$315, 33, FALSE)="",":",VLOOKUP($E$29,[1]QUART!$A$2:$FA$315, 33, FALSE))</f>
        <v>1648.1116774791476</v>
      </c>
      <c r="AI29" s="544">
        <f>IF(VLOOKUP($E$29,[1]QUART!$A$2:$FA$315, 34, FALSE)="",":",VLOOKUP($E$29,[1]QUART!$A$2:$FA$315, 34, FALSE))</f>
        <v>1737.7490732159408</v>
      </c>
      <c r="AJ29" s="544">
        <f>IF(VLOOKUP($E$29,[1]QUART!$A$2:$FA$315, 35, FALSE)="",":",VLOOKUP($E$29,[1]QUART!$A$2:$FA$315, 35, FALSE))</f>
        <v>1863.4151992585728</v>
      </c>
      <c r="AK29" s="544">
        <f>IF(VLOOKUP($E$29,[1]QUART!$A$2:$FA$315, 36, FALSE)="",":",VLOOKUP($E$29,[1]QUART!$A$2:$FA$315, 36, FALSE))</f>
        <v>1852.2937905468027</v>
      </c>
      <c r="AL29" s="544">
        <f>IF(VLOOKUP($E$29,[1]QUART!$A$2:$FA$315, 37, FALSE)="",":",VLOOKUP($E$29,[1]QUART!$A$2:$FA$315, 37, FALSE))</f>
        <v>1978.5391566265062</v>
      </c>
      <c r="AM29" s="544">
        <f>IF(VLOOKUP($E$29,[1]QUART!$A$2:$FA$315, 38, FALSE)="",":",VLOOKUP($E$29,[1]QUART!$A$2:$FA$315, 38, FALSE))</f>
        <v>2075.0695088044486</v>
      </c>
      <c r="AN29" s="544">
        <f>IF(VLOOKUP($E$29,[1]QUART!$A$2:$FA$315, 39, FALSE)="",":",VLOOKUP($E$29,[1]QUART!$A$2:$FA$315, 39, FALSE))</f>
        <v>1927.3053753475442</v>
      </c>
      <c r="AO29" s="544">
        <f>IF(VLOOKUP($E$29,[1]QUART!$A$2:$FA$315, 40, FALSE)="",":",VLOOKUP($E$29,[1]QUART!$A$2:$FA$315, 40, FALSE))</f>
        <v>1996.6983317886932</v>
      </c>
      <c r="AP29" s="544">
        <f>IF(VLOOKUP($E$29,[1]QUART!$A$2:$FA$315, 41, FALSE)="",":",VLOOKUP($E$29,[1]QUART!$A$2:$FA$315, 41, FALSE))</f>
        <v>2068.9295644114923</v>
      </c>
      <c r="AQ29" s="544">
        <f>IF(VLOOKUP($E$29,[1]QUART!$A$2:$FA$315, 42, FALSE)="",":",VLOOKUP($E$29,[1]QUART!$A$2:$FA$315, 42, FALSE))</f>
        <v>1915.720574606117</v>
      </c>
      <c r="AR29" s="544">
        <f>IF(VLOOKUP($E$29,[1]QUART!$A$2:$FA$315, 43, FALSE)="",":",VLOOKUP($E$29,[1]QUART!$A$2:$FA$315, 43, FALSE))</f>
        <v>2016.6531510658019</v>
      </c>
      <c r="AS29" s="544">
        <f>IF(VLOOKUP($E$29,[1]QUART!$A$2:$FA$315, 44, FALSE)="",":",VLOOKUP($E$29,[1]QUART!$A$2:$FA$315, 44, FALSE))</f>
        <v>2078.863531047266</v>
      </c>
      <c r="AT29" s="544">
        <f>IF(VLOOKUP($E$29,[1]QUART!$A$2:$FA$315, 45, FALSE)="",":",VLOOKUP($E$29,[1]QUART!$A$2:$FA$315, 45, FALSE))</f>
        <v>2213.6526876737721</v>
      </c>
      <c r="AU29" s="544" t="str">
        <f>IF(VLOOKUP($E$29,[1]QUART!$A$2:$FA$315, 46, FALSE)="",":",VLOOKUP($E$29,[1]QUART!$A$2:$FA$315, 46, FALSE))</f>
        <v>n.a.</v>
      </c>
      <c r="AV29" s="544" t="str">
        <f>IF(VLOOKUP($E$29,[1]QUART!$A$2:$FA$315, 47, FALSE)="",":",VLOOKUP($E$29,[1]QUART!$A$2:$FA$315, 47, FALSE))</f>
        <v>n.a.</v>
      </c>
      <c r="AW29" s="544" t="str">
        <f>IF(VLOOKUP($E$29,[1]QUART!$A$2:$FA$315, 48, FALSE)="",":",VLOOKUP($E$29,[1]QUART!$A$2:$FA$315, 48, FALSE))</f>
        <v>n.a.</v>
      </c>
      <c r="AX29" s="544" t="str">
        <f>IF(VLOOKUP($E$29,[1]QUART!$A$2:$FA$315, 49, FALSE)="",":",VLOOKUP($E$29,[1]QUART!$A$2:$FA$315, 49, FALSE))</f>
        <v>n.a.</v>
      </c>
      <c r="AY29" s="544" t="str">
        <f>IF(VLOOKUP($E$29,[1]QUART!$A$2:$FA$315, 50, FALSE)="",":",VLOOKUP($E$29,[1]QUART!$A$2:$FA$315, 50, FALSE))</f>
        <v>n.a.</v>
      </c>
      <c r="AZ29" s="544" t="str">
        <f>IF(VLOOKUP($E$29,[1]QUART!$A$2:$FA$315, 51, FALSE)="",":",VLOOKUP($E$29,[1]QUART!$A$2:$FA$315, 51, FALSE))</f>
        <v>n.a.</v>
      </c>
      <c r="BA29" s="544" t="str">
        <f>IF(VLOOKUP($E$29,[1]QUART!$A$2:$FA$315, 52, FALSE)="",":",VLOOKUP($E$29,[1]QUART!$A$2:$FA$315, 52, FALSE))</f>
        <v>n.a.</v>
      </c>
      <c r="BB29" s="544" t="str">
        <f>IF(VLOOKUP($E$29,[1]QUART!$A$2:$FA$315, 53, FALSE)="",":",VLOOKUP($E$29,[1]QUART!$A$2:$FA$315, 53, FALSE))</f>
        <v>n.a.</v>
      </c>
      <c r="BC29" s="544" t="str">
        <f>IF(VLOOKUP($E$29,[1]QUART!$A$2:$FA$315, 54, FALSE)="",":",VLOOKUP($E$29,[1]QUART!$A$2:$FA$315, 54, FALSE))</f>
        <v>n.a.</v>
      </c>
      <c r="BD29" s="544" t="str">
        <f>IF(VLOOKUP($E$29,[1]QUART!$A$2:$FA$315, 55, FALSE)="",":",VLOOKUP($E$29,[1]QUART!$A$2:$FA$315, 55, FALSE))</f>
        <v>n.a.</v>
      </c>
      <c r="BE29" s="544" t="str">
        <f>IF(VLOOKUP($E$29,[1]QUART!$A$2:$FA$315, 56, FALSE)="",":",VLOOKUP($E$29,[1]QUART!$A$2:$FA$315, 56, FALSE))</f>
        <v>n.a.</v>
      </c>
      <c r="BF29" s="544" t="str">
        <f>IF(VLOOKUP($E$29,[1]QUART!$A$2:$FA$315, 57, FALSE)="",":",VLOOKUP($E$29,[1]QUART!$A$2:$FA$315, 57, FALSE))</f>
        <v>n.a.</v>
      </c>
      <c r="BG29" s="544" t="str">
        <f>IF(VLOOKUP($E$29,[1]QUART!$A$2:$FA$315, 58, FALSE)="",":",VLOOKUP($E$29,[1]QUART!$A$2:$FA$315, 58, FALSE))</f>
        <v>n.a.</v>
      </c>
      <c r="BH29" s="544" t="str">
        <f>IF(VLOOKUP($E$29,[1]QUART!$A$2:$FA$315, 59, FALSE)="",":",VLOOKUP($E$29,[1]QUART!$A$2:$FA$315, 59, FALSE))</f>
        <v>n.a.</v>
      </c>
      <c r="BI29" s="544" t="str">
        <f>IF(VLOOKUP($E$29,[1]QUART!$A$2:$FA$315, 60, FALSE)="",":",VLOOKUP($E$29,[1]QUART!$A$2:$FA$315, 60, FALSE))</f>
        <v>n.a.</v>
      </c>
      <c r="BJ29" s="544" t="str">
        <f>IF(VLOOKUP($E$29,[1]QUART!$A$2:$FA$315, 61, FALSE)="",":",VLOOKUP($E$29,[1]QUART!$A$2:$FA$315, 61, FALSE))</f>
        <v>n.a.</v>
      </c>
      <c r="BK29" s="544" t="str">
        <f>IF(VLOOKUP($E$29,[1]QUART!$A$2:$FA$315, 62, FALSE)="",":",VLOOKUP($E$29,[1]QUART!$A$2:$FA$315, 62, FALSE))</f>
        <v>n.a.</v>
      </c>
      <c r="BL29" s="3142" t="str">
        <f>IF(VLOOKUP($E$29,[1]QUART!$A$2:$FA$315, 61, FALSE)="",":",VLOOKUP($E$29,[1]QUART!$A$2:$FA$315, 61, FALSE))</f>
        <v>n.a.</v>
      </c>
      <c r="BM29" s="3142" t="str">
        <f>IF(VLOOKUP($E$29,[1]QUART!$A$2:$FA$315, 61, FALSE)="",":",VLOOKUP($E$29,[1]QUART!$A$2:$FA$315, 61, FALSE))</f>
        <v>n.a.</v>
      </c>
      <c r="BN29" s="3142" t="str">
        <f>IF(VLOOKUP($E$29,[1]QUART!$A$2:$FA$315, 61, FALSE)="",":",VLOOKUP($E$29,[1]QUART!$A$2:$FA$315, 61, FALSE))</f>
        <v>n.a.</v>
      </c>
      <c r="BO29" s="3142" t="str">
        <f>IF(VLOOKUP($E$29,[1]QUART!$A$2:$FA$315, 61, FALSE)="",":",VLOOKUP($E$29,[1]QUART!$A$2:$FA$315, 61, FALSE))</f>
        <v>n.a.</v>
      </c>
      <c r="BP29" s="3142" t="str">
        <f>IF(VLOOKUP($E$29,[1]QUART!$A$2:$FA$315, 61, FALSE)="",":",VLOOKUP($E$29,[1]QUART!$A$2:$FA$315, 61, FALSE))</f>
        <v>n.a.</v>
      </c>
      <c r="BQ29" s="544" t="str">
        <f>IF(VLOOKUP($E$29,[1]QUART!$A$2:$FA$315, 68, FALSE)="",":",VLOOKUP($E$29,[1]QUART!$A$2:$FA$315, 68, FALSE))</f>
        <v>n.a.</v>
      </c>
      <c r="BR29" s="544" t="str">
        <f>IF(VLOOKUP($E$29,[1]QUART!$A$2:$FA$315, 69, FALSE)="",":",VLOOKUP($E$29,[1]QUART!$A$2:$FA$315, 69, FALSE))</f>
        <v>n.a.</v>
      </c>
      <c r="BS29" s="544" t="str">
        <f>IF(VLOOKUP($E$29,[1]QUART!$A$2:$FA$315, 70, FALSE)="",":",VLOOKUP($E$29,[1]QUART!$A$2:$FA$315, 70, FALSE))</f>
        <v>n.a.</v>
      </c>
      <c r="BT29" s="544" t="str">
        <f>IF(VLOOKUP($E$29,[1]QUART!$A$2:$FA$315, 71, FALSE)="",":",VLOOKUP($E$29,[1]QUART!$A$2:$FA$315, 71, FALSE))</f>
        <v>n.a.</v>
      </c>
      <c r="BU29" s="544" t="str">
        <f>IF(VLOOKUP($E$29,[1]QUART!$A$2:$FA$315, 72, FALSE)="",":",VLOOKUP($E$29,[1]QUART!$A$2:$FA$315, 72, FALSE))</f>
        <v>n.a.</v>
      </c>
      <c r="BV29" s="544" t="str">
        <f>IF(VLOOKUP($E$29,[1]QUART!$A$2:$FA$315, 73, FALSE)="",":",VLOOKUP($E$29,[1]QUART!$A$2:$FA$315, 73, FALSE))</f>
        <v>n.a.</v>
      </c>
      <c r="BW29" s="544" t="str">
        <f>IF(VLOOKUP($E$29,[1]QUART!$A$2:$FA$315, 74, FALSE)="",":",VLOOKUP($E$29,[1]QUART!$A$2:$FA$315, 74, FALSE))</f>
        <v>n.a.</v>
      </c>
      <c r="BX29" s="544" t="str">
        <f>IF(VLOOKUP($E$29,[1]QUART!$A$2:$FA$315, 75, FALSE)="",":",VLOOKUP($E$29,[1]QUART!$A$2:$FA$315, 75, FALSE))</f>
        <v>n.a.</v>
      </c>
      <c r="BY29" s="544" t="str">
        <f>IF(VLOOKUP($E$29,[1]QUART!$A$2:$FA$315, 76, FALSE)="",":",VLOOKUP($E$29,[1]QUART!$A$2:$FA$315, 76, FALSE))</f>
        <v>n.a.</v>
      </c>
      <c r="BZ29" s="544" t="str">
        <f>IF(VLOOKUP($E$29,[1]QUART!$A$2:$FA$315, 77, FALSE)="",":",VLOOKUP($E$29,[1]QUART!$A$2:$FA$315, 77, FALSE))</f>
        <v>n.a.</v>
      </c>
      <c r="CA29" s="544" t="str">
        <f>IF(VLOOKUP($E$29,[1]QUART!$A$2:$FA$315, 78, FALSE)="",":",VLOOKUP($E$29,[1]QUART!$A$2:$FA$315, 78, FALSE))</f>
        <v>n.a.</v>
      </c>
      <c r="CB29" s="544" t="str">
        <f>IF(VLOOKUP($E$29,[1]QUART!$A$2:$FA$315, 79, FALSE)="",":",VLOOKUP($E$29,[1]QUART!$A$2:$FA$315, 79, FALSE))</f>
        <v>n.a.</v>
      </c>
      <c r="CC29" s="544" t="str">
        <f>IF(VLOOKUP($E$29,[1]QUART!$A$2:$FA$315, 80, FALSE)="",":",VLOOKUP($E$29,[1]QUART!$A$2:$FA$315, 80, FALSE))</f>
        <v>n.a.</v>
      </c>
      <c r="CD29" s="544" t="str">
        <f>IF(VLOOKUP($E$29,[1]QUART!$A$2:$FA$315, 81, FALSE)="",":",VLOOKUP($E$29,[1]QUART!$A$2:$FA$315, 81, FALSE))</f>
        <v>n.a.</v>
      </c>
      <c r="CE29" s="544" t="str">
        <f>IF(VLOOKUP($E$29,[1]QUART!$A$2:$FA$315, 82, FALSE)="",":",VLOOKUP($E$29,[1]QUART!$A$2:$FA$315, 82, FALSE))</f>
        <v>n.a.</v>
      </c>
      <c r="CF29" s="544" t="str">
        <f>IF(VLOOKUP($E$29,[1]QUART!$A$2:$FA$315, 83, FALSE)="",":",VLOOKUP($E$29,[1]QUART!$A$2:$FA$315, 83, FALSE))</f>
        <v>n.a.</v>
      </c>
      <c r="CG29" s="544" t="str">
        <f>IF(VLOOKUP($E$29,[1]QUART!$A$2:$FA$315, 84, FALSE)="",":",VLOOKUP($E$29,[1]QUART!$A$2:$FA$315, 84, FALSE))</f>
        <v>n.a.</v>
      </c>
      <c r="CH29" s="544" t="str">
        <f>IF(VLOOKUP($E$29,[1]QUART!$A$2:$FA$315, 85, FALSE)="",":",VLOOKUP($E$29,[1]QUART!$A$2:$FA$315, 85, FALSE))</f>
        <v>n.a.</v>
      </c>
      <c r="CI29" s="544" t="str">
        <f>IF(VLOOKUP($E$29,[1]QUART!$A$2:$FA$315, 86, FALSE)="",":",VLOOKUP($E$29,[1]QUART!$A$2:$FA$315, 86, FALSE))</f>
        <v>n.a.</v>
      </c>
      <c r="CJ29" s="544" t="str">
        <f>IF(VLOOKUP($E$29,[1]QUART!$A$2:$FA$315, 87, FALSE)="",":",VLOOKUP($E$29,[1]QUART!$A$2:$FA$315, 87, FALSE))</f>
        <v>n.a.</v>
      </c>
      <c r="CK29" s="544" t="str">
        <f>IF(VLOOKUP($E$29,[1]QUART!$A$2:$FA$315, 88, FALSE)="",":",VLOOKUP($E$29,[1]QUART!$A$2:$FA$315, 88, FALSE))</f>
        <v>n.a.</v>
      </c>
      <c r="CL29" s="544" t="str">
        <f>IF(VLOOKUP($E$29,[1]QUART!$A$2:$FA$315, 89, FALSE)="",":",VLOOKUP($E$29,[1]QUART!$A$2:$FA$315, 89, FALSE))</f>
        <v>n.a.</v>
      </c>
      <c r="CM29" s="544" t="str">
        <f>IF(VLOOKUP($E$29,[1]QUART!$A$2:$FA$315, 90, FALSE)="",":",VLOOKUP($E$29,[1]QUART!$A$2:$FA$315, 90, FALSE))</f>
        <v>n.a.</v>
      </c>
      <c r="CN29" s="544" t="str">
        <f>IF(VLOOKUP($E$29,[1]QUART!$A$2:$FA$315, 91, FALSE)="",":",VLOOKUP($E$29,[1]QUART!$A$2:$FA$315, 91, FALSE))</f>
        <v>n.a.</v>
      </c>
      <c r="CO29" s="544" t="str">
        <f>IF(VLOOKUP($E$29,[1]QUART!$A$2:$FA$315, 92, FALSE)="",":",VLOOKUP($E$29,[1]QUART!$A$2:$FA$315, 92, FALSE))</f>
        <v>n.a.</v>
      </c>
      <c r="CP29" s="544" t="str">
        <f>IF(VLOOKUP($E$29,[1]QUART!$A$2:$FA$315, 93, FALSE)="",":",VLOOKUP($E$29,[1]QUART!$A$2:$FA$315, 93, FALSE))</f>
        <v>n.a.</v>
      </c>
      <c r="CQ29" s="544" t="str">
        <f>IF(VLOOKUP($E$29,[1]QUART!$A$2:$FA$315, 94, FALSE)="",":",VLOOKUP($E$29,[1]QUART!$A$2:$FA$315, 94, FALSE))</f>
        <v>n.a.</v>
      </c>
      <c r="CR29" s="544" t="str">
        <f>IF(VLOOKUP($E$29,[1]QUART!$A$2:$FA$315, 95, FALSE)="",":",VLOOKUP($E$29,[1]QUART!$A$2:$FA$315, 95, FALSE))</f>
        <v>n.a.</v>
      </c>
      <c r="CS29" s="544" t="str">
        <f>IF(VLOOKUP($E$29,[1]QUART!$A$2:$FA$315, 96, FALSE)="",":",VLOOKUP($E$29,[1]QUART!$A$2:$FA$315, 96, FALSE))</f>
        <v>n.a.</v>
      </c>
      <c r="CT29" s="544" t="str">
        <f>IF(VLOOKUP($E$29,[1]QUART!$A$2:$FA$315, 97, FALSE)="",":",VLOOKUP($E$29,[1]QUART!$A$2:$FA$315, 97, FALSE))</f>
        <v>n.a.</v>
      </c>
      <c r="CU29" s="544" t="str">
        <f>IF(VLOOKUP($E$29,[1]QUART!$A$2:$FA$315, 98, FALSE)="",":",VLOOKUP($E$29,[1]QUART!$A$2:$FA$315, 98, FALSE))</f>
        <v>:</v>
      </c>
      <c r="CV29" s="544" t="str">
        <f>IF(VLOOKUP($E$29,[1]QUART!$A$2:$FA$315, 99, FALSE)="",":",VLOOKUP($E$29,[1]QUART!$A$2:$FA$315, 99, FALSE))</f>
        <v>:</v>
      </c>
      <c r="CW29" s="544" t="str">
        <f>IF(VLOOKUP($E$29,[1]QUART!$A$2:$FA$315, 100, FALSE)="",":",VLOOKUP($E$29,[1]QUART!$A$2:$FA$315, 100, FALSE))</f>
        <v>:</v>
      </c>
      <c r="CX29" s="544" t="str">
        <f>IF(VLOOKUP($E$29,[1]QUART!$A$2:$FA$315, 101, FALSE)="",":",VLOOKUP($E$29,[1]QUART!$A$2:$FA$315, 101, FALSE))</f>
        <v>:</v>
      </c>
      <c r="CY29" s="544" t="str">
        <f>IF(VLOOKUP($E$29,[1]QUART!$A$2:$FA$315, 102, FALSE)="",":",VLOOKUP($E$29,[1]QUART!$A$2:$FA$315, 102, FALSE))</f>
        <v>:</v>
      </c>
      <c r="CZ29" s="544" t="str">
        <f>IF(VLOOKUP($E$29,[1]QUART!$A$2:$FA$315, 103, FALSE)="",":",VLOOKUP($E$29,[1]QUART!$A$2:$FA$315, 103, FALSE))</f>
        <v>:</v>
      </c>
      <c r="DA29" s="544" t="str">
        <f>IF(VLOOKUP($E$29,[1]QUART!$A$2:$FA$315, 104, FALSE)="",":",VLOOKUP($E$29,[1]QUART!$A$2:$FA$315, 104, FALSE))</f>
        <v>:</v>
      </c>
      <c r="DB29" s="544" t="str">
        <f>IF(VLOOKUP($E$29,[1]QUART!$A$2:$FA$315, 105, FALSE)="",":",VLOOKUP($E$29,[1]QUART!$A$2:$FA$315, 105, FALSE))</f>
        <v>:</v>
      </c>
      <c r="DC29" s="544" t="str">
        <f>IF(VLOOKUP($E$29,[1]QUART!$A$2:$FA$315, 106, FALSE)="",":",VLOOKUP($E$29,[1]QUART!$A$2:$FA$315, 106, FALSE))</f>
        <v>:</v>
      </c>
    </row>
    <row r="30" spans="1:107">
      <c r="A30" s="1954"/>
      <c r="B30" s="534"/>
      <c r="C30" s="535"/>
      <c r="D30" s="12" t="s">
        <v>1841</v>
      </c>
      <c r="E30" s="13">
        <v>85</v>
      </c>
      <c r="F30" s="14" t="str">
        <f>VLOOKUP($E$30,[1]QUART!$A$2:$FA$315, 3, FALSE)</f>
        <v xml:space="preserve">85  Exports of services                                                   </v>
      </c>
      <c r="G30" s="544">
        <f>IF(VLOOKUP($E$30,[1]QUART!$A$2:$FA$315, 6, FALSE)="",":",VLOOKUP($E$30,[1]QUART!$A$2:$FA$315, 6, FALSE))</f>
        <v>203.95041705282671</v>
      </c>
      <c r="H30" s="544">
        <f>IF(VLOOKUP($E$30,[1]QUART!$A$2:$FA$315, 7, FALSE)="",":",VLOOKUP($E$30,[1]QUART!$A$2:$FA$315, 7, FALSE))</f>
        <v>207.483781278962</v>
      </c>
      <c r="I30" s="544">
        <f>IF(VLOOKUP($E$30,[1]QUART!$A$2:$FA$315, 8, FALSE)="",":",VLOOKUP($E$30,[1]QUART!$A$2:$FA$315, 8, FALSE))</f>
        <v>201.69138090824839</v>
      </c>
      <c r="J30" s="544">
        <f>IF(VLOOKUP($E$30,[1]QUART!$A$2:$FA$315, 9, FALSE)="",":",VLOOKUP($E$30,[1]QUART!$A$2:$FA$315, 9, FALSE))</f>
        <v>199.51923076923077</v>
      </c>
      <c r="K30" s="544">
        <f>IF(VLOOKUP($E$30,[1]QUART!$A$2:$FA$315, 10, FALSE)="",":",VLOOKUP($E$30,[1]QUART!$A$2:$FA$315, 10, FALSE))</f>
        <v>249.71037998146434</v>
      </c>
      <c r="L30" s="544">
        <f>IF(VLOOKUP($E$30,[1]QUART!$A$2:$FA$315, 11, FALSE)="",":",VLOOKUP($E$30,[1]QUART!$A$2:$FA$315, 11, FALSE))</f>
        <v>256.13994439295647</v>
      </c>
      <c r="M30" s="544">
        <f>IF(VLOOKUP($E$30,[1]QUART!$A$2:$FA$315, 12, FALSE)="",":",VLOOKUP($E$30,[1]QUART!$A$2:$FA$315, 12, FALSE))</f>
        <v>267.31927710843377</v>
      </c>
      <c r="N30" s="544">
        <f>IF(VLOOKUP($E$30,[1]QUART!$A$2:$FA$315, 13, FALSE)="",":",VLOOKUP($E$30,[1]QUART!$A$2:$FA$315, 13, FALSE))</f>
        <v>280.87349397590361</v>
      </c>
      <c r="O30" s="544">
        <f>IF(VLOOKUP($E$30,[1]QUART!$A$2:$FA$315, 14, FALSE)="",":",VLOOKUP($E$30,[1]QUART!$A$2:$FA$315, 14, FALSE))</f>
        <v>294.86214087117702</v>
      </c>
      <c r="P30" s="544">
        <f>IF(VLOOKUP($E$30,[1]QUART!$A$2:$FA$315, 15, FALSE)="",":",VLOOKUP($E$30,[1]QUART!$A$2:$FA$315, 15, FALSE))</f>
        <v>299.26436515291937</v>
      </c>
      <c r="Q30" s="544">
        <f>IF(VLOOKUP($E$30,[1]QUART!$A$2:$FA$315, 16, FALSE)="",":",VLOOKUP($E$30,[1]QUART!$A$2:$FA$315, 16, FALSE))</f>
        <v>326.77826691380909</v>
      </c>
      <c r="R30" s="544">
        <f>IF(VLOOKUP($E$30,[1]QUART!$A$2:$FA$315, 17, FALSE)="",":",VLOOKUP($E$30,[1]QUART!$A$2:$FA$315, 17, FALSE))</f>
        <v>352.26482854494901</v>
      </c>
      <c r="S30" s="544">
        <f>IF(VLOOKUP($E$30,[1]QUART!$A$2:$FA$315, 18, FALSE)="",":",VLOOKUP($E$30,[1]QUART!$A$2:$FA$315, 18, FALSE))</f>
        <v>354.20528266913811</v>
      </c>
      <c r="T30" s="544">
        <f>IF(VLOOKUP($E$30,[1]QUART!$A$2:$FA$315, 19, FALSE)="",":",VLOOKUP($E$30,[1]QUART!$A$2:$FA$315, 19, FALSE))</f>
        <v>359.67910101946251</v>
      </c>
      <c r="U30" s="544">
        <f>IF(VLOOKUP($E$30,[1]QUART!$A$2:$FA$315, 20, FALSE)="",":",VLOOKUP($E$30,[1]QUART!$A$2:$FA$315, 20, FALSE))</f>
        <v>358.95505097312332</v>
      </c>
      <c r="V30" s="544">
        <f>IF(VLOOKUP($E$30,[1]QUART!$A$2:$FA$315, 21, FALSE)="",":",VLOOKUP($E$30,[1]QUART!$A$2:$FA$315, 21, FALSE))</f>
        <v>353.13368860055607</v>
      </c>
      <c r="W30" s="544">
        <f>IF(VLOOKUP($E$30,[1]QUART!$A$2:$FA$315, 22, FALSE)="",":",VLOOKUP($E$30,[1]QUART!$A$2:$FA$315, 22, FALSE))</f>
        <v>353.79981464318814</v>
      </c>
      <c r="X30" s="544">
        <f>IF(VLOOKUP($E$30,[1]QUART!$A$2:$FA$315, 23, FALSE)="",":",VLOOKUP($E$30,[1]QUART!$A$2:$FA$315, 23, FALSE))</f>
        <v>361.99606116774794</v>
      </c>
      <c r="Y30" s="544">
        <f>IF(VLOOKUP($E$30,[1]QUART!$A$2:$FA$315, 24, FALSE)="",":",VLOOKUP($E$30,[1]QUART!$A$2:$FA$315, 24, FALSE))</f>
        <v>361.21408711770158</v>
      </c>
      <c r="Z30" s="544">
        <f>IF(VLOOKUP($E$30,[1]QUART!$A$2:$FA$315, 25, FALSE)="",":",VLOOKUP($E$30,[1]QUART!$A$2:$FA$315, 25, FALSE))</f>
        <v>353.45227062094534</v>
      </c>
      <c r="AA30" s="544">
        <f>IF(VLOOKUP($E$30,[1]QUART!$A$2:$FA$315, 26, FALSE)="",":",VLOOKUP($E$30,[1]QUART!$A$2:$FA$315, 26, FALSE))</f>
        <v>340.10078776645042</v>
      </c>
      <c r="AB30" s="544">
        <f>IF(VLOOKUP($E$30,[1]QUART!$A$2:$FA$315, 27, FALSE)="",":",VLOOKUP($E$30,[1]QUART!$A$2:$FA$315, 27, FALSE))</f>
        <v>337.89967562557928</v>
      </c>
      <c r="AC30" s="544">
        <f>IF(VLOOKUP($E$30,[1]QUART!$A$2:$FA$315, 28, FALSE)="",":",VLOOKUP($E$30,[1]QUART!$A$2:$FA$315, 28, FALSE))</f>
        <v>334.19253938832259</v>
      </c>
      <c r="AD30" s="544">
        <f>IF(VLOOKUP($E$30,[1]QUART!$A$2:$FA$315, 29, FALSE)="",":",VLOOKUP($E$30,[1]QUART!$A$2:$FA$315, 29, FALSE))</f>
        <v>328.71872103799814</v>
      </c>
      <c r="AE30" s="544">
        <f>IF(VLOOKUP($E$30,[1]QUART!$A$2:$FA$315, 30, FALSE)="",":",VLOOKUP($E$30,[1]QUART!$A$2:$FA$315, 30, FALSE))</f>
        <v>345.19810009267843</v>
      </c>
      <c r="AF30" s="544">
        <f>IF(VLOOKUP($E$30,[1]QUART!$A$2:$FA$315, 31, FALSE)="",":",VLOOKUP($E$30,[1]QUART!$A$2:$FA$315, 31, FALSE))</f>
        <v>353.22057460611677</v>
      </c>
      <c r="AG30" s="544">
        <f>IF(VLOOKUP($E$30,[1]QUART!$A$2:$FA$315, 32, FALSE)="",":",VLOOKUP($E$30,[1]QUART!$A$2:$FA$315, 32, FALSE))</f>
        <v>370.71362372567194</v>
      </c>
      <c r="AH30" s="544">
        <f>IF(VLOOKUP($E$30,[1]QUART!$A$2:$FA$315, 33, FALSE)="",":",VLOOKUP($E$30,[1]QUART!$A$2:$FA$315, 33, FALSE))</f>
        <v>390.52363299351254</v>
      </c>
      <c r="AI30" s="544">
        <f>IF(VLOOKUP($E$30,[1]QUART!$A$2:$FA$315, 34, FALSE)="",":",VLOOKUP($E$30,[1]QUART!$A$2:$FA$315, 34, FALSE))</f>
        <v>409.03035217794252</v>
      </c>
      <c r="AJ30" s="544">
        <f>IF(VLOOKUP($E$30,[1]QUART!$A$2:$FA$315, 35, FALSE)="",":",VLOOKUP($E$30,[1]QUART!$A$2:$FA$315, 35, FALSE))</f>
        <v>423.48239110287307</v>
      </c>
      <c r="AK30" s="544">
        <f>IF(VLOOKUP($E$30,[1]QUART!$A$2:$FA$315, 36, FALSE)="",":",VLOOKUP($E$30,[1]QUART!$A$2:$FA$315, 36, FALSE))</f>
        <v>427.10264133456906</v>
      </c>
      <c r="AL30" s="544">
        <f>IF(VLOOKUP($E$30,[1]QUART!$A$2:$FA$315, 37, FALSE)="",":",VLOOKUP($E$30,[1]QUART!$A$2:$FA$315, 37, FALSE))</f>
        <v>440.54101019462462</v>
      </c>
      <c r="AM30" s="544">
        <f>IF(VLOOKUP($E$30,[1]QUART!$A$2:$FA$315, 38, FALSE)="",":",VLOOKUP($E$30,[1]QUART!$A$2:$FA$315, 38, FALSE))</f>
        <v>454.935125115848</v>
      </c>
      <c r="AN30" s="544">
        <f>IF(VLOOKUP($E$30,[1]QUART!$A$2:$FA$315, 39, FALSE)="",":",VLOOKUP($E$30,[1]QUART!$A$2:$FA$315, 39, FALSE))</f>
        <v>441.72845227062095</v>
      </c>
      <c r="AO30" s="544">
        <f>IF(VLOOKUP($E$30,[1]QUART!$A$2:$FA$315, 40, FALSE)="",":",VLOOKUP($E$30,[1]QUART!$A$2:$FA$315, 40, FALSE))</f>
        <v>445.31974050046341</v>
      </c>
      <c r="AP30" s="544">
        <f>IF(VLOOKUP($E$30,[1]QUART!$A$2:$FA$315, 41, FALSE)="",":",VLOOKUP($E$30,[1]QUART!$A$2:$FA$315, 41, FALSE))</f>
        <v>457.483781278962</v>
      </c>
      <c r="AQ30" s="544">
        <f>IF(VLOOKUP($E$30,[1]QUART!$A$2:$FA$315, 42, FALSE)="",":",VLOOKUP($E$30,[1]QUART!$A$2:$FA$315, 42, FALSE))</f>
        <v>474.42655236329932</v>
      </c>
      <c r="AR30" s="544">
        <f>IF(VLOOKUP($E$30,[1]QUART!$A$2:$FA$315, 43, FALSE)="",":",VLOOKUP($E$30,[1]QUART!$A$2:$FA$315, 43, FALSE))</f>
        <v>481.98563484708069</v>
      </c>
      <c r="AS30" s="544">
        <f>IF(VLOOKUP($E$30,[1]QUART!$A$2:$FA$315, 44, FALSE)="",":",VLOOKUP($E$30,[1]QUART!$A$2:$FA$315, 44, FALSE))</f>
        <v>519.86793327154771</v>
      </c>
      <c r="AT30" s="544">
        <f>IF(VLOOKUP($E$30,[1]QUART!$A$2:$FA$315, 45, FALSE)="",":",VLOOKUP($E$30,[1]QUART!$A$2:$FA$315, 45, FALSE))</f>
        <v>538.37465245597775</v>
      </c>
      <c r="AU30" s="544" t="str">
        <f>IF(VLOOKUP($E$30,[1]QUART!$A$2:$FA$315, 46, FALSE)="",":",VLOOKUP($E$30,[1]QUART!$A$2:$FA$315, 46, FALSE))</f>
        <v>n.a.</v>
      </c>
      <c r="AV30" s="544" t="str">
        <f>IF(VLOOKUP($E$30,[1]QUART!$A$2:$FA$315, 47, FALSE)="",":",VLOOKUP($E$30,[1]QUART!$A$2:$FA$315, 47, FALSE))</f>
        <v>n.a.</v>
      </c>
      <c r="AW30" s="544" t="str">
        <f>IF(VLOOKUP($E$30,[1]QUART!$A$2:$FA$315, 48, FALSE)="",":",VLOOKUP($E$30,[1]QUART!$A$2:$FA$315, 48, FALSE))</f>
        <v>n.a.</v>
      </c>
      <c r="AX30" s="544" t="str">
        <f>IF(VLOOKUP($E$30,[1]QUART!$A$2:$FA$315, 49, FALSE)="",":",VLOOKUP($E$30,[1]QUART!$A$2:$FA$315, 49, FALSE))</f>
        <v>n.a.</v>
      </c>
      <c r="AY30" s="544" t="str">
        <f>IF(VLOOKUP($E$30,[1]QUART!$A$2:$FA$315, 50, FALSE)="",":",VLOOKUP($E$30,[1]QUART!$A$2:$FA$315, 50, FALSE))</f>
        <v>n.a.</v>
      </c>
      <c r="AZ30" s="544" t="str">
        <f>IF(VLOOKUP($E$30,[1]QUART!$A$2:$FA$315, 51, FALSE)="",":",VLOOKUP($E$30,[1]QUART!$A$2:$FA$315, 51, FALSE))</f>
        <v>n.a.</v>
      </c>
      <c r="BA30" s="544" t="str">
        <f>IF(VLOOKUP($E$30,[1]QUART!$A$2:$FA$315, 52, FALSE)="",":",VLOOKUP($E$30,[1]QUART!$A$2:$FA$315, 52, FALSE))</f>
        <v>n.a.</v>
      </c>
      <c r="BB30" s="544" t="str">
        <f>IF(VLOOKUP($E$30,[1]QUART!$A$2:$FA$315, 53, FALSE)="",":",VLOOKUP($E$30,[1]QUART!$A$2:$FA$315, 53, FALSE))</f>
        <v>n.a.</v>
      </c>
      <c r="BC30" s="544" t="str">
        <f>IF(VLOOKUP($E$30,[1]QUART!$A$2:$FA$315, 54, FALSE)="",":",VLOOKUP($E$30,[1]QUART!$A$2:$FA$315, 54, FALSE))</f>
        <v>n.a.</v>
      </c>
      <c r="BD30" s="544" t="str">
        <f>IF(VLOOKUP($E$30,[1]QUART!$A$2:$FA$315, 55, FALSE)="",":",VLOOKUP($E$30,[1]QUART!$A$2:$FA$315, 55, FALSE))</f>
        <v>n.a.</v>
      </c>
      <c r="BE30" s="544" t="str">
        <f>IF(VLOOKUP($E$30,[1]QUART!$A$2:$FA$315, 56, FALSE)="",":",VLOOKUP($E$30,[1]QUART!$A$2:$FA$315, 56, FALSE))</f>
        <v>n.a.</v>
      </c>
      <c r="BF30" s="544" t="str">
        <f>IF(VLOOKUP($E$30,[1]QUART!$A$2:$FA$315, 57, FALSE)="",":",VLOOKUP($E$30,[1]QUART!$A$2:$FA$315, 57, FALSE))</f>
        <v>n.a.</v>
      </c>
      <c r="BG30" s="544" t="str">
        <f>IF(VLOOKUP($E$30,[1]QUART!$A$2:$FA$315, 58, FALSE)="",":",VLOOKUP($E$30,[1]QUART!$A$2:$FA$315, 58, FALSE))</f>
        <v>n.a.</v>
      </c>
      <c r="BH30" s="544" t="str">
        <f>IF(VLOOKUP($E$30,[1]QUART!$A$2:$FA$315, 59, FALSE)="",":",VLOOKUP($E$30,[1]QUART!$A$2:$FA$315, 59, FALSE))</f>
        <v>n.a.</v>
      </c>
      <c r="BI30" s="544" t="str">
        <f>IF(VLOOKUP($E$30,[1]QUART!$A$2:$FA$315, 60, FALSE)="",":",VLOOKUP($E$30,[1]QUART!$A$2:$FA$315, 60, FALSE))</f>
        <v>n.a.</v>
      </c>
      <c r="BJ30" s="544" t="str">
        <f>IF(VLOOKUP($E$30,[1]QUART!$A$2:$FA$315, 61, FALSE)="",":",VLOOKUP($E$30,[1]QUART!$A$2:$FA$315, 61, FALSE))</f>
        <v>n.a.</v>
      </c>
      <c r="BK30" s="544" t="str">
        <f>IF(VLOOKUP($E$30,[1]QUART!$A$2:$FA$315, 62, FALSE)="",":",VLOOKUP($E$30,[1]QUART!$A$2:$FA$315, 62, FALSE))</f>
        <v>n.a.</v>
      </c>
      <c r="BL30" s="3142" t="str">
        <f>IF(VLOOKUP($E$30,[1]QUART!$A$2:$FA$315, 61, FALSE)="",":",VLOOKUP($E$30,[1]QUART!$A$2:$FA$315, 61, FALSE))</f>
        <v>n.a.</v>
      </c>
      <c r="BM30" s="3142" t="str">
        <f>IF(VLOOKUP($E$30,[1]QUART!$A$2:$FA$315, 61, FALSE)="",":",VLOOKUP($E$30,[1]QUART!$A$2:$FA$315, 61, FALSE))</f>
        <v>n.a.</v>
      </c>
      <c r="BN30" s="3142" t="str">
        <f>IF(VLOOKUP($E$30,[1]QUART!$A$2:$FA$315, 61, FALSE)="",":",VLOOKUP($E$30,[1]QUART!$A$2:$FA$315, 61, FALSE))</f>
        <v>n.a.</v>
      </c>
      <c r="BO30" s="3142" t="str">
        <f>IF(VLOOKUP($E$30,[1]QUART!$A$2:$FA$315, 61, FALSE)="",":",VLOOKUP($E$30,[1]QUART!$A$2:$FA$315, 61, FALSE))</f>
        <v>n.a.</v>
      </c>
      <c r="BP30" s="3142" t="str">
        <f>IF(VLOOKUP($E$30,[1]QUART!$A$2:$FA$315, 61, FALSE)="",":",VLOOKUP($E$30,[1]QUART!$A$2:$FA$315, 61, FALSE))</f>
        <v>n.a.</v>
      </c>
      <c r="BQ30" s="544" t="str">
        <f>IF(VLOOKUP($E$30,[1]QUART!$A$2:$FA$315, 68, FALSE)="",":",VLOOKUP($E$30,[1]QUART!$A$2:$FA$315, 68, FALSE))</f>
        <v>n.a.</v>
      </c>
      <c r="BR30" s="544" t="str">
        <f>IF(VLOOKUP($E$30,[1]QUART!$A$2:$FA$315, 69, FALSE)="",":",VLOOKUP($E$30,[1]QUART!$A$2:$FA$315, 69, FALSE))</f>
        <v>n.a.</v>
      </c>
      <c r="BS30" s="544" t="str">
        <f>IF(VLOOKUP($E$30,[1]QUART!$A$2:$FA$315, 70, FALSE)="",":",VLOOKUP($E$30,[1]QUART!$A$2:$FA$315, 70, FALSE))</f>
        <v>n.a.</v>
      </c>
      <c r="BT30" s="544" t="str">
        <f>IF(VLOOKUP($E$30,[1]QUART!$A$2:$FA$315, 71, FALSE)="",":",VLOOKUP($E$30,[1]QUART!$A$2:$FA$315, 71, FALSE))</f>
        <v>n.a.</v>
      </c>
      <c r="BU30" s="544" t="str">
        <f>IF(VLOOKUP($E$30,[1]QUART!$A$2:$FA$315, 72, FALSE)="",":",VLOOKUP($E$30,[1]QUART!$A$2:$FA$315, 72, FALSE))</f>
        <v>n.a.</v>
      </c>
      <c r="BV30" s="544" t="str">
        <f>IF(VLOOKUP($E$30,[1]QUART!$A$2:$FA$315, 73, FALSE)="",":",VLOOKUP($E$30,[1]QUART!$A$2:$FA$315, 73, FALSE))</f>
        <v>n.a.</v>
      </c>
      <c r="BW30" s="544" t="str">
        <f>IF(VLOOKUP($E$30,[1]QUART!$A$2:$FA$315, 74, FALSE)="",":",VLOOKUP($E$30,[1]QUART!$A$2:$FA$315, 74, FALSE))</f>
        <v>n.a.</v>
      </c>
      <c r="BX30" s="544" t="str">
        <f>IF(VLOOKUP($E$30,[1]QUART!$A$2:$FA$315, 75, FALSE)="",":",VLOOKUP($E$30,[1]QUART!$A$2:$FA$315, 75, FALSE))</f>
        <v>n.a.</v>
      </c>
      <c r="BY30" s="544" t="str">
        <f>IF(VLOOKUP($E$30,[1]QUART!$A$2:$FA$315, 76, FALSE)="",":",VLOOKUP($E$30,[1]QUART!$A$2:$FA$315, 76, FALSE))</f>
        <v>n.a.</v>
      </c>
      <c r="BZ30" s="544" t="str">
        <f>IF(VLOOKUP($E$30,[1]QUART!$A$2:$FA$315, 77, FALSE)="",":",VLOOKUP($E$30,[1]QUART!$A$2:$FA$315, 77, FALSE))</f>
        <v>n.a.</v>
      </c>
      <c r="CA30" s="544" t="str">
        <f>IF(VLOOKUP($E$30,[1]QUART!$A$2:$FA$315, 78, FALSE)="",":",VLOOKUP($E$30,[1]QUART!$A$2:$FA$315, 78, FALSE))</f>
        <v>n.a.</v>
      </c>
      <c r="CB30" s="544" t="str">
        <f>IF(VLOOKUP($E$30,[1]QUART!$A$2:$FA$315, 79, FALSE)="",":",VLOOKUP($E$30,[1]QUART!$A$2:$FA$315, 79, FALSE))</f>
        <v>n.a.</v>
      </c>
      <c r="CC30" s="544" t="str">
        <f>IF(VLOOKUP($E$30,[1]QUART!$A$2:$FA$315, 80, FALSE)="",":",VLOOKUP($E$30,[1]QUART!$A$2:$FA$315, 80, FALSE))</f>
        <v>n.a.</v>
      </c>
      <c r="CD30" s="544" t="str">
        <f>IF(VLOOKUP($E$30,[1]QUART!$A$2:$FA$315, 81, FALSE)="",":",VLOOKUP($E$30,[1]QUART!$A$2:$FA$315, 81, FALSE))</f>
        <v>n.a.</v>
      </c>
      <c r="CE30" s="544" t="str">
        <f>IF(VLOOKUP($E$30,[1]QUART!$A$2:$FA$315, 82, FALSE)="",":",VLOOKUP($E$30,[1]QUART!$A$2:$FA$315, 82, FALSE))</f>
        <v>n.a.</v>
      </c>
      <c r="CF30" s="544" t="str">
        <f>IF(VLOOKUP($E$30,[1]QUART!$A$2:$FA$315, 83, FALSE)="",":",VLOOKUP($E$30,[1]QUART!$A$2:$FA$315, 83, FALSE))</f>
        <v>n.a.</v>
      </c>
      <c r="CG30" s="544" t="str">
        <f>IF(VLOOKUP($E$30,[1]QUART!$A$2:$FA$315, 84, FALSE)="",":",VLOOKUP($E$30,[1]QUART!$A$2:$FA$315, 84, FALSE))</f>
        <v>n.a.</v>
      </c>
      <c r="CH30" s="544" t="str">
        <f>IF(VLOOKUP($E$30,[1]QUART!$A$2:$FA$315, 85, FALSE)="",":",VLOOKUP($E$30,[1]QUART!$A$2:$FA$315, 85, FALSE))</f>
        <v>n.a.</v>
      </c>
      <c r="CI30" s="544" t="str">
        <f>IF(VLOOKUP($E$30,[1]QUART!$A$2:$FA$315, 86, FALSE)="",":",VLOOKUP($E$30,[1]QUART!$A$2:$FA$315, 86, FALSE))</f>
        <v>n.a.</v>
      </c>
      <c r="CJ30" s="544" t="str">
        <f>IF(VLOOKUP($E$30,[1]QUART!$A$2:$FA$315, 87, FALSE)="",":",VLOOKUP($E$30,[1]QUART!$A$2:$FA$315, 87, FALSE))</f>
        <v>n.a.</v>
      </c>
      <c r="CK30" s="544" t="str">
        <f>IF(VLOOKUP($E$30,[1]QUART!$A$2:$FA$315, 88, FALSE)="",":",VLOOKUP($E$30,[1]QUART!$A$2:$FA$315, 88, FALSE))</f>
        <v>n.a.</v>
      </c>
      <c r="CL30" s="544" t="str">
        <f>IF(VLOOKUP($E$30,[1]QUART!$A$2:$FA$315, 89, FALSE)="",":",VLOOKUP($E$30,[1]QUART!$A$2:$FA$315, 89, FALSE))</f>
        <v>n.a.</v>
      </c>
      <c r="CM30" s="544" t="str">
        <f>IF(VLOOKUP($E$30,[1]QUART!$A$2:$FA$315, 90, FALSE)="",":",VLOOKUP($E$30,[1]QUART!$A$2:$FA$315, 90, FALSE))</f>
        <v>n.a.</v>
      </c>
      <c r="CN30" s="544" t="str">
        <f>IF(VLOOKUP($E$30,[1]QUART!$A$2:$FA$315, 91, FALSE)="",":",VLOOKUP($E$30,[1]QUART!$A$2:$FA$315, 91, FALSE))</f>
        <v>n.a.</v>
      </c>
      <c r="CO30" s="544" t="str">
        <f>IF(VLOOKUP($E$30,[1]QUART!$A$2:$FA$315, 92, FALSE)="",":",VLOOKUP($E$30,[1]QUART!$A$2:$FA$315, 92, FALSE))</f>
        <v>n.a.</v>
      </c>
      <c r="CP30" s="544" t="str">
        <f>IF(VLOOKUP($E$30,[1]QUART!$A$2:$FA$315, 93, FALSE)="",":",VLOOKUP($E$30,[1]QUART!$A$2:$FA$315, 93, FALSE))</f>
        <v>n.a.</v>
      </c>
      <c r="CQ30" s="544" t="str">
        <f>IF(VLOOKUP($E$30,[1]QUART!$A$2:$FA$315, 94, FALSE)="",":",VLOOKUP($E$30,[1]QUART!$A$2:$FA$315, 94, FALSE))</f>
        <v>n.a.</v>
      </c>
      <c r="CR30" s="544" t="str">
        <f>IF(VLOOKUP($E$30,[1]QUART!$A$2:$FA$315, 95, FALSE)="",":",VLOOKUP($E$30,[1]QUART!$A$2:$FA$315, 95, FALSE))</f>
        <v>n.a.</v>
      </c>
      <c r="CS30" s="544" t="str">
        <f>IF(VLOOKUP($E$30,[1]QUART!$A$2:$FA$315, 96, FALSE)="",":",VLOOKUP($E$30,[1]QUART!$A$2:$FA$315, 96, FALSE))</f>
        <v>n.a.</v>
      </c>
      <c r="CT30" s="544" t="str">
        <f>IF(VLOOKUP($E$30,[1]QUART!$A$2:$FA$315, 97, FALSE)="",":",VLOOKUP($E$30,[1]QUART!$A$2:$FA$315, 97, FALSE))</f>
        <v>n.a.</v>
      </c>
      <c r="CU30" s="544" t="str">
        <f>IF(VLOOKUP($E$30,[1]QUART!$A$2:$FA$315, 98, FALSE)="",":",VLOOKUP($E$30,[1]QUART!$A$2:$FA$315, 98, FALSE))</f>
        <v>:</v>
      </c>
      <c r="CV30" s="544" t="str">
        <f>IF(VLOOKUP($E$30,[1]QUART!$A$2:$FA$315, 99, FALSE)="",":",VLOOKUP($E$30,[1]QUART!$A$2:$FA$315, 99, FALSE))</f>
        <v>:</v>
      </c>
      <c r="CW30" s="544" t="str">
        <f>IF(VLOOKUP($E$30,[1]QUART!$A$2:$FA$315, 100, FALSE)="",":",VLOOKUP($E$30,[1]QUART!$A$2:$FA$315, 100, FALSE))</f>
        <v>:</v>
      </c>
      <c r="CX30" s="544" t="str">
        <f>IF(VLOOKUP($E$30,[1]QUART!$A$2:$FA$315, 101, FALSE)="",":",VLOOKUP($E$30,[1]QUART!$A$2:$FA$315, 101, FALSE))</f>
        <v>:</v>
      </c>
      <c r="CY30" s="544" t="str">
        <f>IF(VLOOKUP($E$30,[1]QUART!$A$2:$FA$315, 102, FALSE)="",":",VLOOKUP($E$30,[1]QUART!$A$2:$FA$315, 102, FALSE))</f>
        <v>:</v>
      </c>
      <c r="CZ30" s="544" t="str">
        <f>IF(VLOOKUP($E$30,[1]QUART!$A$2:$FA$315, 103, FALSE)="",":",VLOOKUP($E$30,[1]QUART!$A$2:$FA$315, 103, FALSE))</f>
        <v>:</v>
      </c>
      <c r="DA30" s="544" t="str">
        <f>IF(VLOOKUP($E$30,[1]QUART!$A$2:$FA$315, 104, FALSE)="",":",VLOOKUP($E$30,[1]QUART!$A$2:$FA$315, 104, FALSE))</f>
        <v>:</v>
      </c>
      <c r="DB30" s="544" t="str">
        <f>IF(VLOOKUP($E$30,[1]QUART!$A$2:$FA$315, 105, FALSE)="",":",VLOOKUP($E$30,[1]QUART!$A$2:$FA$315, 105, FALSE))</f>
        <v>:</v>
      </c>
      <c r="DC30" s="544" t="str">
        <f>IF(VLOOKUP($E$30,[1]QUART!$A$2:$FA$315, 106, FALSE)="",":",VLOOKUP($E$30,[1]QUART!$A$2:$FA$315, 106, FALSE))</f>
        <v>:</v>
      </c>
    </row>
    <row r="31" spans="1:107">
      <c r="A31" s="1954"/>
      <c r="B31" s="534"/>
      <c r="C31" s="535"/>
      <c r="D31" s="12" t="s">
        <v>1841</v>
      </c>
      <c r="E31" s="13">
        <v>86</v>
      </c>
      <c r="F31" s="14" t="str">
        <f>VLOOKUP($E$31,[1]QUART!$A$2:$FA$315, 3, FALSE)</f>
        <v xml:space="preserve">86  Imports of goods          </v>
      </c>
      <c r="G31" s="544">
        <f>IF(VLOOKUP($E$31,[1]QUART!$A$2:$FA$315, 6, FALSE)="",":",VLOOKUP($E$31,[1]QUART!$A$2:$FA$315, 6, FALSE))</f>
        <v>928.02942539388334</v>
      </c>
      <c r="H31" s="544">
        <f>IF(VLOOKUP($E$31,[1]QUART!$A$2:$FA$315, 7, FALSE)="",":",VLOOKUP($E$31,[1]QUART!$A$2:$FA$315, 7, FALSE))</f>
        <v>908.42215013901762</v>
      </c>
      <c r="I31" s="544">
        <f>IF(VLOOKUP($E$31,[1]QUART!$A$2:$FA$315, 8, FALSE)="",":",VLOOKUP($E$31,[1]QUART!$A$2:$FA$315, 8, FALSE))</f>
        <v>956.78869323447634</v>
      </c>
      <c r="J31" s="544">
        <f>IF(VLOOKUP($E$31,[1]QUART!$A$2:$FA$315, 9, FALSE)="",":",VLOOKUP($E$31,[1]QUART!$A$2:$FA$315, 9, FALSE))</f>
        <v>1001.4481000926785</v>
      </c>
      <c r="K31" s="544">
        <f>IF(VLOOKUP($E$31,[1]QUART!$A$2:$FA$315, 10, FALSE)="",":",VLOOKUP($E$31,[1]QUART!$A$2:$FA$315, 10, FALSE))</f>
        <v>1055.4622335495831</v>
      </c>
      <c r="L31" s="544">
        <f>IF(VLOOKUP($E$31,[1]QUART!$A$2:$FA$315, 11, FALSE)="",":",VLOOKUP($E$31,[1]QUART!$A$2:$FA$315, 11, FALSE))</f>
        <v>1106.1746987951808</v>
      </c>
      <c r="M31" s="544">
        <f>IF(VLOOKUP($E$31,[1]QUART!$A$2:$FA$315, 12, FALSE)="",":",VLOOKUP($E$31,[1]QUART!$A$2:$FA$315, 12, FALSE))</f>
        <v>1186.0229379054681</v>
      </c>
      <c r="N31" s="544">
        <f>IF(VLOOKUP($E$31,[1]QUART!$A$2:$FA$315, 13, FALSE)="",":",VLOOKUP($E$31,[1]QUART!$A$2:$FA$315, 13, FALSE))</f>
        <v>1282.0898980537536</v>
      </c>
      <c r="O31" s="544">
        <f>IF(VLOOKUP($E$31,[1]QUART!$A$2:$FA$315, 14, FALSE)="",":",VLOOKUP($E$31,[1]QUART!$A$2:$FA$315, 14, FALSE))</f>
        <v>1352.2069045412418</v>
      </c>
      <c r="P31" s="544">
        <f>IF(VLOOKUP($E$31,[1]QUART!$A$2:$FA$315, 15, FALSE)="",":",VLOOKUP($E$31,[1]QUART!$A$2:$FA$315, 15, FALSE))</f>
        <v>1435.0092678405933</v>
      </c>
      <c r="Q31" s="544">
        <f>IF(VLOOKUP($E$31,[1]QUART!$A$2:$FA$315, 16, FALSE)="",":",VLOOKUP($E$31,[1]QUART!$A$2:$FA$315, 16, FALSE))</f>
        <v>1432.0261816496757</v>
      </c>
      <c r="R31" s="544">
        <f>IF(VLOOKUP($E$31,[1]QUART!$A$2:$FA$315, 17, FALSE)="",":",VLOOKUP($E$31,[1]QUART!$A$2:$FA$315, 17, FALSE))</f>
        <v>1527.8324837812791</v>
      </c>
      <c r="S31" s="544">
        <f>IF(VLOOKUP($E$31,[1]QUART!$A$2:$FA$315, 18, FALSE)="",":",VLOOKUP($E$31,[1]QUART!$A$2:$FA$315, 18, FALSE))</f>
        <v>1596.1828081556998</v>
      </c>
      <c r="T31" s="544">
        <f>IF(VLOOKUP($E$31,[1]QUART!$A$2:$FA$315, 19, FALSE)="",":",VLOOKUP($E$31,[1]QUART!$A$2:$FA$315, 19, FALSE))</f>
        <v>1587.7548656163115</v>
      </c>
      <c r="U31" s="544">
        <f>IF(VLOOKUP($E$31,[1]QUART!$A$2:$FA$315, 20, FALSE)="",":",VLOOKUP($E$31,[1]QUART!$A$2:$FA$315, 20, FALSE))</f>
        <v>1559.2852177942539</v>
      </c>
      <c r="V31" s="544">
        <f>IF(VLOOKUP($E$31,[1]QUART!$A$2:$FA$315, 21, FALSE)="",":",VLOOKUP($E$31,[1]QUART!$A$2:$FA$315, 21, FALSE))</f>
        <v>1427.9425393883225</v>
      </c>
      <c r="W31" s="544">
        <f>IF(VLOOKUP($E$31,[1]QUART!$A$2:$FA$315, 22, FALSE)="",":",VLOOKUP($E$31,[1]QUART!$A$2:$FA$315, 22, FALSE))</f>
        <v>1317.5683503243745</v>
      </c>
      <c r="X31" s="544">
        <f>IF(VLOOKUP($E$31,[1]QUART!$A$2:$FA$315, 23, FALSE)="",":",VLOOKUP($E$31,[1]QUART!$A$2:$FA$315, 23, FALSE))</f>
        <v>1348.5576923076924</v>
      </c>
      <c r="Y31" s="544">
        <f>IF(VLOOKUP($E$31,[1]QUART!$A$2:$FA$315, 24, FALSE)="",":",VLOOKUP($E$31,[1]QUART!$A$2:$FA$315, 24, FALSE))</f>
        <v>1312.6158480074143</v>
      </c>
      <c r="Z31" s="544">
        <f>IF(VLOOKUP($E$31,[1]QUART!$A$2:$FA$315, 25, FALSE)="",":",VLOOKUP($E$31,[1]QUART!$A$2:$FA$315, 25, FALSE))</f>
        <v>1322.6656626506024</v>
      </c>
      <c r="AA31" s="544">
        <f>IF(VLOOKUP($E$31,[1]QUART!$A$2:$FA$315, 26, FALSE)="",":",VLOOKUP($E$31,[1]QUART!$A$2:$FA$315, 26, FALSE))</f>
        <v>1370.4529657089897</v>
      </c>
      <c r="AB31" s="544">
        <f>IF(VLOOKUP($E$31,[1]QUART!$A$2:$FA$315, 27, FALSE)="",":",VLOOKUP($E$31,[1]QUART!$A$2:$FA$315, 27, FALSE))</f>
        <v>1398.6619555143652</v>
      </c>
      <c r="AC31" s="544">
        <f>IF(VLOOKUP($E$31,[1]QUART!$A$2:$FA$315, 28, FALSE)="",":",VLOOKUP($E$31,[1]QUART!$A$2:$FA$315, 28, FALSE))</f>
        <v>1504.0257182576461</v>
      </c>
      <c r="AD31" s="544">
        <f>IF(VLOOKUP($E$31,[1]QUART!$A$2:$FA$315, 29, FALSE)="",":",VLOOKUP($E$31,[1]QUART!$A$2:$FA$315, 29, FALSE))</f>
        <v>1530.2942539388323</v>
      </c>
      <c r="AE31" s="544">
        <f>IF(VLOOKUP($E$31,[1]QUART!$A$2:$FA$315, 30, FALSE)="",":",VLOOKUP($E$31,[1]QUART!$A$2:$FA$315, 30, FALSE))</f>
        <v>1655.2652919369789</v>
      </c>
      <c r="AF31" s="544">
        <f>IF(VLOOKUP($E$31,[1]QUART!$A$2:$FA$315, 31, FALSE)="",":",VLOOKUP($E$31,[1]QUART!$A$2:$FA$315, 31, FALSE))</f>
        <v>1668.0664967562559</v>
      </c>
      <c r="AG31" s="544">
        <f>IF(VLOOKUP($E$31,[1]QUART!$A$2:$FA$315, 32, FALSE)="",":",VLOOKUP($E$31,[1]QUART!$A$2:$FA$315, 32, FALSE))</f>
        <v>1743.4545875810936</v>
      </c>
      <c r="AH31" s="544">
        <f>IF(VLOOKUP($E$31,[1]QUART!$A$2:$FA$315, 33, FALSE)="",":",VLOOKUP($E$31,[1]QUART!$A$2:$FA$315, 33, FALSE))</f>
        <v>1878.0699721964784</v>
      </c>
      <c r="AI31" s="544">
        <f>IF(VLOOKUP($E$31,[1]QUART!$A$2:$FA$315, 34, FALSE)="",":",VLOOKUP($E$31,[1]QUART!$A$2:$FA$315, 34, FALSE))</f>
        <v>1935.3278498609825</v>
      </c>
      <c r="AJ31" s="544">
        <f>IF(VLOOKUP($E$31,[1]QUART!$A$2:$FA$315, 35, FALSE)="",":",VLOOKUP($E$31,[1]QUART!$A$2:$FA$315, 35, FALSE))</f>
        <v>2088.247219647822</v>
      </c>
      <c r="AK31" s="544">
        <f>IF(VLOOKUP($E$31,[1]QUART!$A$2:$FA$315, 36, FALSE)="",":",VLOOKUP($E$31,[1]QUART!$A$2:$FA$315, 36, FALSE))</f>
        <v>2058.3873957367932</v>
      </c>
      <c r="AL31" s="544">
        <f>IF(VLOOKUP($E$31,[1]QUART!$A$2:$FA$315, 37, FALSE)="",":",VLOOKUP($E$31,[1]QUART!$A$2:$FA$315, 37, FALSE))</f>
        <v>2155.1784059314177</v>
      </c>
      <c r="AM31" s="544">
        <f>IF(VLOOKUP($E$31,[1]QUART!$A$2:$FA$315, 38, FALSE)="",":",VLOOKUP($E$31,[1]QUART!$A$2:$FA$315, 38, FALSE))</f>
        <v>2169.9200648748842</v>
      </c>
      <c r="AN31" s="544">
        <f>IF(VLOOKUP($E$31,[1]QUART!$A$2:$FA$315, 39, FALSE)="",":",VLOOKUP($E$31,[1]QUART!$A$2:$FA$315, 39, FALSE))</f>
        <v>2143.970111214087</v>
      </c>
      <c r="AO31" s="544">
        <f>IF(VLOOKUP($E$31,[1]QUART!$A$2:$FA$315, 40, FALSE)="",":",VLOOKUP($E$31,[1]QUART!$A$2:$FA$315, 40, FALSE))</f>
        <v>2226.5118164967562</v>
      </c>
      <c r="AP31" s="544">
        <f>IF(VLOOKUP($E$31,[1]QUART!$A$2:$FA$315, 41, FALSE)="",":",VLOOKUP($E$31,[1]QUART!$A$2:$FA$315, 41, FALSE))</f>
        <v>2336.1619555143652</v>
      </c>
      <c r="AQ31" s="544">
        <f>IF(VLOOKUP($E$31,[1]QUART!$A$2:$FA$315, 42, FALSE)="",":",VLOOKUP($E$31,[1]QUART!$A$2:$FA$315, 42, FALSE))</f>
        <v>2367.4119555143652</v>
      </c>
      <c r="AR31" s="544">
        <f>IF(VLOOKUP($E$31,[1]QUART!$A$2:$FA$315, 43, FALSE)="",":",VLOOKUP($E$31,[1]QUART!$A$2:$FA$315, 43, FALSE))</f>
        <v>2513.1777108433735</v>
      </c>
      <c r="AS31" s="544">
        <f>IF(VLOOKUP($E$31,[1]QUART!$A$2:$FA$315, 44, FALSE)="",":",VLOOKUP($E$31,[1]QUART!$A$2:$FA$315, 44, FALSE))</f>
        <v>2621.9589898053755</v>
      </c>
      <c r="AT31" s="544">
        <f>IF(VLOOKUP($E$31,[1]QUART!$A$2:$FA$315, 45, FALSE)="",":",VLOOKUP($E$31,[1]QUART!$A$2:$FA$315, 45, FALSE))</f>
        <v>2667.2845227062098</v>
      </c>
      <c r="AU31" s="544" t="str">
        <f>IF(VLOOKUP($E$31,[1]QUART!$A$2:$FA$315, 46, FALSE)="",":",VLOOKUP($E$31,[1]QUART!$A$2:$FA$315, 46, FALSE))</f>
        <v>n.a.</v>
      </c>
      <c r="AV31" s="544" t="str">
        <f>IF(VLOOKUP($E$31,[1]QUART!$A$2:$FA$315, 47, FALSE)="",":",VLOOKUP($E$31,[1]QUART!$A$2:$FA$315, 47, FALSE))</f>
        <v>n.a.</v>
      </c>
      <c r="AW31" s="544" t="str">
        <f>IF(VLOOKUP($E$31,[1]QUART!$A$2:$FA$315, 48, FALSE)="",":",VLOOKUP($E$31,[1]QUART!$A$2:$FA$315, 48, FALSE))</f>
        <v>n.a.</v>
      </c>
      <c r="AX31" s="544" t="str">
        <f>IF(VLOOKUP($E$31,[1]QUART!$A$2:$FA$315, 49, FALSE)="",":",VLOOKUP($E$31,[1]QUART!$A$2:$FA$315, 49, FALSE))</f>
        <v>n.a.</v>
      </c>
      <c r="AY31" s="544" t="str">
        <f>IF(VLOOKUP($E$31,[1]QUART!$A$2:$FA$315, 50, FALSE)="",":",VLOOKUP($E$31,[1]QUART!$A$2:$FA$315, 50, FALSE))</f>
        <v>n.a.</v>
      </c>
      <c r="AZ31" s="544" t="str">
        <f>IF(VLOOKUP($E$31,[1]QUART!$A$2:$FA$315, 51, FALSE)="",":",VLOOKUP($E$31,[1]QUART!$A$2:$FA$315, 51, FALSE))</f>
        <v>n.a.</v>
      </c>
      <c r="BA31" s="544" t="str">
        <f>IF(VLOOKUP($E$31,[1]QUART!$A$2:$FA$315, 52, FALSE)="",":",VLOOKUP($E$31,[1]QUART!$A$2:$FA$315, 52, FALSE))</f>
        <v>n.a.</v>
      </c>
      <c r="BB31" s="544" t="str">
        <f>IF(VLOOKUP($E$31,[1]QUART!$A$2:$FA$315, 53, FALSE)="",":",VLOOKUP($E$31,[1]QUART!$A$2:$FA$315, 53, FALSE))</f>
        <v>n.a.</v>
      </c>
      <c r="BC31" s="544" t="str">
        <f>IF(VLOOKUP($E$31,[1]QUART!$A$2:$FA$315, 54, FALSE)="",":",VLOOKUP($E$31,[1]QUART!$A$2:$FA$315, 54, FALSE))</f>
        <v>n.a.</v>
      </c>
      <c r="BD31" s="544" t="str">
        <f>IF(VLOOKUP($E$31,[1]QUART!$A$2:$FA$315, 55, FALSE)="",":",VLOOKUP($E$31,[1]QUART!$A$2:$FA$315, 55, FALSE))</f>
        <v>n.a.</v>
      </c>
      <c r="BE31" s="544" t="str">
        <f>IF(VLOOKUP($E$31,[1]QUART!$A$2:$FA$315, 56, FALSE)="",":",VLOOKUP($E$31,[1]QUART!$A$2:$FA$315, 56, FALSE))</f>
        <v>n.a.</v>
      </c>
      <c r="BF31" s="544" t="str">
        <f>IF(VLOOKUP($E$31,[1]QUART!$A$2:$FA$315, 57, FALSE)="",":",VLOOKUP($E$31,[1]QUART!$A$2:$FA$315, 57, FALSE))</f>
        <v>n.a.</v>
      </c>
      <c r="BG31" s="544" t="str">
        <f>IF(VLOOKUP($E$31,[1]QUART!$A$2:$FA$315, 58, FALSE)="",":",VLOOKUP($E$31,[1]QUART!$A$2:$FA$315, 58, FALSE))</f>
        <v>n.a.</v>
      </c>
      <c r="BH31" s="544" t="str">
        <f>IF(VLOOKUP($E$31,[1]QUART!$A$2:$FA$315, 59, FALSE)="",":",VLOOKUP($E$31,[1]QUART!$A$2:$FA$315, 59, FALSE))</f>
        <v>n.a.</v>
      </c>
      <c r="BI31" s="544" t="str">
        <f>IF(VLOOKUP($E$31,[1]QUART!$A$2:$FA$315, 60, FALSE)="",":",VLOOKUP($E$31,[1]QUART!$A$2:$FA$315, 60, FALSE))</f>
        <v>n.a.</v>
      </c>
      <c r="BJ31" s="544" t="str">
        <f>IF(VLOOKUP($E$31,[1]QUART!$A$2:$FA$315, 61, FALSE)="",":",VLOOKUP($E$31,[1]QUART!$A$2:$FA$315, 61, FALSE))</f>
        <v>n.a.</v>
      </c>
      <c r="BK31" s="544" t="str">
        <f>IF(VLOOKUP($E$31,[1]QUART!$A$2:$FA$315, 62, FALSE)="",":",VLOOKUP($E$31,[1]QUART!$A$2:$FA$315, 62, FALSE))</f>
        <v>n.a.</v>
      </c>
      <c r="BL31" s="3142" t="str">
        <f>IF(VLOOKUP($E$31,[1]QUART!$A$2:$FA$315, 61, FALSE)="",":",VLOOKUP($E$31,[1]QUART!$A$2:$FA$315, 61, FALSE))</f>
        <v>n.a.</v>
      </c>
      <c r="BM31" s="3142" t="str">
        <f>IF(VLOOKUP($E$31,[1]QUART!$A$2:$FA$315, 61, FALSE)="",":",VLOOKUP($E$31,[1]QUART!$A$2:$FA$315, 61, FALSE))</f>
        <v>n.a.</v>
      </c>
      <c r="BN31" s="3142" t="str">
        <f>IF(VLOOKUP($E$31,[1]QUART!$A$2:$FA$315, 61, FALSE)="",":",VLOOKUP($E$31,[1]QUART!$A$2:$FA$315, 61, FALSE))</f>
        <v>n.a.</v>
      </c>
      <c r="BO31" s="3142" t="str">
        <f>IF(VLOOKUP($E$31,[1]QUART!$A$2:$FA$315, 61, FALSE)="",":",VLOOKUP($E$31,[1]QUART!$A$2:$FA$315, 61, FALSE))</f>
        <v>n.a.</v>
      </c>
      <c r="BP31" s="3142" t="str">
        <f>IF(VLOOKUP($E$31,[1]QUART!$A$2:$FA$315, 61, FALSE)="",":",VLOOKUP($E$31,[1]QUART!$A$2:$FA$315, 61, FALSE))</f>
        <v>n.a.</v>
      </c>
      <c r="BQ31" s="544" t="str">
        <f>IF(VLOOKUP($E$31,[1]QUART!$A$2:$FA$315, 68, FALSE)="",":",VLOOKUP($E$31,[1]QUART!$A$2:$FA$315, 68, FALSE))</f>
        <v>n.a.</v>
      </c>
      <c r="BR31" s="544" t="str">
        <f>IF(VLOOKUP($E$31,[1]QUART!$A$2:$FA$315, 69, FALSE)="",":",VLOOKUP($E$31,[1]QUART!$A$2:$FA$315, 69, FALSE))</f>
        <v>n.a.</v>
      </c>
      <c r="BS31" s="544" t="str">
        <f>IF(VLOOKUP($E$31,[1]QUART!$A$2:$FA$315, 70, FALSE)="",":",VLOOKUP($E$31,[1]QUART!$A$2:$FA$315, 70, FALSE))</f>
        <v>n.a.</v>
      </c>
      <c r="BT31" s="544" t="str">
        <f>IF(VLOOKUP($E$31,[1]QUART!$A$2:$FA$315, 71, FALSE)="",":",VLOOKUP($E$31,[1]QUART!$A$2:$FA$315, 71, FALSE))</f>
        <v>n.a.</v>
      </c>
      <c r="BU31" s="544" t="str">
        <f>IF(VLOOKUP($E$31,[1]QUART!$A$2:$FA$315, 72, FALSE)="",":",VLOOKUP($E$31,[1]QUART!$A$2:$FA$315, 72, FALSE))</f>
        <v>n.a.</v>
      </c>
      <c r="BV31" s="544" t="str">
        <f>IF(VLOOKUP($E$31,[1]QUART!$A$2:$FA$315, 73, FALSE)="",":",VLOOKUP($E$31,[1]QUART!$A$2:$FA$315, 73, FALSE))</f>
        <v>n.a.</v>
      </c>
      <c r="BW31" s="544" t="str">
        <f>IF(VLOOKUP($E$31,[1]QUART!$A$2:$FA$315, 74, FALSE)="",":",VLOOKUP($E$31,[1]QUART!$A$2:$FA$315, 74, FALSE))</f>
        <v>n.a.</v>
      </c>
      <c r="BX31" s="544" t="str">
        <f>IF(VLOOKUP($E$31,[1]QUART!$A$2:$FA$315, 75, FALSE)="",":",VLOOKUP($E$31,[1]QUART!$A$2:$FA$315, 75, FALSE))</f>
        <v>n.a.</v>
      </c>
      <c r="BY31" s="544" t="str">
        <f>IF(VLOOKUP($E$31,[1]QUART!$A$2:$FA$315, 76, FALSE)="",":",VLOOKUP($E$31,[1]QUART!$A$2:$FA$315, 76, FALSE))</f>
        <v>n.a.</v>
      </c>
      <c r="BZ31" s="544" t="str">
        <f>IF(VLOOKUP($E$31,[1]QUART!$A$2:$FA$315, 77, FALSE)="",":",VLOOKUP($E$31,[1]QUART!$A$2:$FA$315, 77, FALSE))</f>
        <v>n.a.</v>
      </c>
      <c r="CA31" s="544" t="str">
        <f>IF(VLOOKUP($E$31,[1]QUART!$A$2:$FA$315, 78, FALSE)="",":",VLOOKUP($E$31,[1]QUART!$A$2:$FA$315, 78, FALSE))</f>
        <v>n.a.</v>
      </c>
      <c r="CB31" s="544" t="str">
        <f>IF(VLOOKUP($E$31,[1]QUART!$A$2:$FA$315, 79, FALSE)="",":",VLOOKUP($E$31,[1]QUART!$A$2:$FA$315, 79, FALSE))</f>
        <v>n.a.</v>
      </c>
      <c r="CC31" s="544" t="str">
        <f>IF(VLOOKUP($E$31,[1]QUART!$A$2:$FA$315, 80, FALSE)="",":",VLOOKUP($E$31,[1]QUART!$A$2:$FA$315, 80, FALSE))</f>
        <v>n.a.</v>
      </c>
      <c r="CD31" s="544" t="str">
        <f>IF(VLOOKUP($E$31,[1]QUART!$A$2:$FA$315, 81, FALSE)="",":",VLOOKUP($E$31,[1]QUART!$A$2:$FA$315, 81, FALSE))</f>
        <v>n.a.</v>
      </c>
      <c r="CE31" s="544" t="str">
        <f>IF(VLOOKUP($E$31,[1]QUART!$A$2:$FA$315, 82, FALSE)="",":",VLOOKUP($E$31,[1]QUART!$A$2:$FA$315, 82, FALSE))</f>
        <v>n.a.</v>
      </c>
      <c r="CF31" s="544" t="str">
        <f>IF(VLOOKUP($E$31,[1]QUART!$A$2:$FA$315, 83, FALSE)="",":",VLOOKUP($E$31,[1]QUART!$A$2:$FA$315, 83, FALSE))</f>
        <v>n.a.</v>
      </c>
      <c r="CG31" s="544" t="str">
        <f>IF(VLOOKUP($E$31,[1]QUART!$A$2:$FA$315, 84, FALSE)="",":",VLOOKUP($E$31,[1]QUART!$A$2:$FA$315, 84, FALSE))</f>
        <v>n.a.</v>
      </c>
      <c r="CH31" s="544" t="str">
        <f>IF(VLOOKUP($E$31,[1]QUART!$A$2:$FA$315, 85, FALSE)="",":",VLOOKUP($E$31,[1]QUART!$A$2:$FA$315, 85, FALSE))</f>
        <v>n.a.</v>
      </c>
      <c r="CI31" s="544" t="str">
        <f>IF(VLOOKUP($E$31,[1]QUART!$A$2:$FA$315, 86, FALSE)="",":",VLOOKUP($E$31,[1]QUART!$A$2:$FA$315, 86, FALSE))</f>
        <v>n.a.</v>
      </c>
      <c r="CJ31" s="544" t="str">
        <f>IF(VLOOKUP($E$31,[1]QUART!$A$2:$FA$315, 87, FALSE)="",":",VLOOKUP($E$31,[1]QUART!$A$2:$FA$315, 87, FALSE))</f>
        <v>n.a.</v>
      </c>
      <c r="CK31" s="544" t="str">
        <f>IF(VLOOKUP($E$31,[1]QUART!$A$2:$FA$315, 88, FALSE)="",":",VLOOKUP($E$31,[1]QUART!$A$2:$FA$315, 88, FALSE))</f>
        <v>n.a.</v>
      </c>
      <c r="CL31" s="544" t="str">
        <f>IF(VLOOKUP($E$31,[1]QUART!$A$2:$FA$315, 89, FALSE)="",":",VLOOKUP($E$31,[1]QUART!$A$2:$FA$315, 89, FALSE))</f>
        <v>n.a.</v>
      </c>
      <c r="CM31" s="544" t="str">
        <f>IF(VLOOKUP($E$31,[1]QUART!$A$2:$FA$315, 90, FALSE)="",":",VLOOKUP($E$31,[1]QUART!$A$2:$FA$315, 90, FALSE))</f>
        <v>n.a.</v>
      </c>
      <c r="CN31" s="544" t="str">
        <f>IF(VLOOKUP($E$31,[1]QUART!$A$2:$FA$315, 91, FALSE)="",":",VLOOKUP($E$31,[1]QUART!$A$2:$FA$315, 91, FALSE))</f>
        <v>n.a.</v>
      </c>
      <c r="CO31" s="544" t="str">
        <f>IF(VLOOKUP($E$31,[1]QUART!$A$2:$FA$315, 92, FALSE)="",":",VLOOKUP($E$31,[1]QUART!$A$2:$FA$315, 92, FALSE))</f>
        <v>n.a.</v>
      </c>
      <c r="CP31" s="544" t="str">
        <f>IF(VLOOKUP($E$31,[1]QUART!$A$2:$FA$315, 93, FALSE)="",":",VLOOKUP($E$31,[1]QUART!$A$2:$FA$315, 93, FALSE))</f>
        <v>n.a.</v>
      </c>
      <c r="CQ31" s="544" t="str">
        <f>IF(VLOOKUP($E$31,[1]QUART!$A$2:$FA$315, 94, FALSE)="",":",VLOOKUP($E$31,[1]QUART!$A$2:$FA$315, 94, FALSE))</f>
        <v>n.a.</v>
      </c>
      <c r="CR31" s="544" t="str">
        <f>IF(VLOOKUP($E$31,[1]QUART!$A$2:$FA$315, 95, FALSE)="",":",VLOOKUP($E$31,[1]QUART!$A$2:$FA$315, 95, FALSE))</f>
        <v>n.a.</v>
      </c>
      <c r="CS31" s="544" t="str">
        <f>IF(VLOOKUP($E$31,[1]QUART!$A$2:$FA$315, 96, FALSE)="",":",VLOOKUP($E$31,[1]QUART!$A$2:$FA$315, 96, FALSE))</f>
        <v>n.a.</v>
      </c>
      <c r="CT31" s="544" t="str">
        <f>IF(VLOOKUP($E$31,[1]QUART!$A$2:$FA$315, 97, FALSE)="",":",VLOOKUP($E$31,[1]QUART!$A$2:$FA$315, 97, FALSE))</f>
        <v>n.a.</v>
      </c>
      <c r="CU31" s="544" t="str">
        <f>IF(VLOOKUP($E$31,[1]QUART!$A$2:$FA$315, 98, FALSE)="",":",VLOOKUP($E$31,[1]QUART!$A$2:$FA$315, 98, FALSE))</f>
        <v>:</v>
      </c>
      <c r="CV31" s="544" t="str">
        <f>IF(VLOOKUP($E$31,[1]QUART!$A$2:$FA$315, 99, FALSE)="",":",VLOOKUP($E$31,[1]QUART!$A$2:$FA$315, 99, FALSE))</f>
        <v>:</v>
      </c>
      <c r="CW31" s="544" t="str">
        <f>IF(VLOOKUP($E$31,[1]QUART!$A$2:$FA$315, 100, FALSE)="",":",VLOOKUP($E$31,[1]QUART!$A$2:$FA$315, 100, FALSE))</f>
        <v>:</v>
      </c>
      <c r="CX31" s="544" t="str">
        <f>IF(VLOOKUP($E$31,[1]QUART!$A$2:$FA$315, 101, FALSE)="",":",VLOOKUP($E$31,[1]QUART!$A$2:$FA$315, 101, FALSE))</f>
        <v>:</v>
      </c>
      <c r="CY31" s="544" t="str">
        <f>IF(VLOOKUP($E$31,[1]QUART!$A$2:$FA$315, 102, FALSE)="",":",VLOOKUP($E$31,[1]QUART!$A$2:$FA$315, 102, FALSE))</f>
        <v>:</v>
      </c>
      <c r="CZ31" s="544" t="str">
        <f>IF(VLOOKUP($E$31,[1]QUART!$A$2:$FA$315, 103, FALSE)="",":",VLOOKUP($E$31,[1]QUART!$A$2:$FA$315, 103, FALSE))</f>
        <v>:</v>
      </c>
      <c r="DA31" s="544" t="str">
        <f>IF(VLOOKUP($E$31,[1]QUART!$A$2:$FA$315, 104, FALSE)="",":",VLOOKUP($E$31,[1]QUART!$A$2:$FA$315, 104, FALSE))</f>
        <v>:</v>
      </c>
      <c r="DB31" s="544" t="str">
        <f>IF(VLOOKUP($E$31,[1]QUART!$A$2:$FA$315, 105, FALSE)="",":",VLOOKUP($E$31,[1]QUART!$A$2:$FA$315, 105, FALSE))</f>
        <v>:</v>
      </c>
      <c r="DC31" s="544" t="str">
        <f>IF(VLOOKUP($E$31,[1]QUART!$A$2:$FA$315, 106, FALSE)="",":",VLOOKUP($E$31,[1]QUART!$A$2:$FA$315, 106, FALSE))</f>
        <v>:</v>
      </c>
    </row>
    <row r="32" spans="1:107">
      <c r="A32" s="1954"/>
      <c r="B32" s="534"/>
      <c r="C32" s="535"/>
      <c r="D32" s="12" t="s">
        <v>1841</v>
      </c>
      <c r="E32" s="13">
        <v>87</v>
      </c>
      <c r="F32" s="14" t="str">
        <f>VLOOKUP($E$32,[1]QUART!$A$2:$FA$315, 3, FALSE)</f>
        <v xml:space="preserve">87  Imports of services                                                   </v>
      </c>
      <c r="G32" s="544">
        <f>IF(VLOOKUP($E$32,[1]QUART!$A$2:$FA$315, 6, FALSE)="",":",VLOOKUP($E$32,[1]QUART!$A$2:$FA$315, 6, FALSE))</f>
        <v>147.532437442076</v>
      </c>
      <c r="H32" s="544">
        <f>IF(VLOOKUP($E$32,[1]QUART!$A$2:$FA$315, 7, FALSE)="",":",VLOOKUP($E$32,[1]QUART!$A$2:$FA$315, 7, FALSE))</f>
        <v>152.62974976830398</v>
      </c>
      <c r="I32" s="544">
        <f>IF(VLOOKUP($E$32,[1]QUART!$A$2:$FA$315, 8, FALSE)="",":",VLOOKUP($E$32,[1]QUART!$A$2:$FA$315, 8, FALSE))</f>
        <v>163.28776645041705</v>
      </c>
      <c r="J32" s="544">
        <f>IF(VLOOKUP($E$32,[1]QUART!$A$2:$FA$315, 9, FALSE)="",":",VLOOKUP($E$32,[1]QUART!$A$2:$FA$315, 9, FALSE))</f>
        <v>173.25069508804449</v>
      </c>
      <c r="K32" s="544">
        <f>IF(VLOOKUP($E$32,[1]QUART!$A$2:$FA$315, 10, FALSE)="",":",VLOOKUP($E$32,[1]QUART!$A$2:$FA$315, 10, FALSE))</f>
        <v>195.72520852641335</v>
      </c>
      <c r="L32" s="544">
        <f>IF(VLOOKUP($E$32,[1]QUART!$A$2:$FA$315, 11, FALSE)="",":",VLOOKUP($E$32,[1]QUART!$A$2:$FA$315, 11, FALSE))</f>
        <v>200.09847080630215</v>
      </c>
      <c r="M32" s="544">
        <f>IF(VLOOKUP($E$32,[1]QUART!$A$2:$FA$315, 12, FALSE)="",":",VLOOKUP($E$32,[1]QUART!$A$2:$FA$315, 12, FALSE))</f>
        <v>210.78544949026877</v>
      </c>
      <c r="N32" s="544">
        <f>IF(VLOOKUP($E$32,[1]QUART!$A$2:$FA$315, 13, FALSE)="",":",VLOOKUP($E$32,[1]QUART!$A$2:$FA$315, 13, FALSE))</f>
        <v>223.64457831325302</v>
      </c>
      <c r="O32" s="544">
        <f>IF(VLOOKUP($E$32,[1]QUART!$A$2:$FA$315, 14, FALSE)="",":",VLOOKUP($E$32,[1]QUART!$A$2:$FA$315, 14, FALSE))</f>
        <v>237.37256719184433</v>
      </c>
      <c r="P32" s="544">
        <f>IF(VLOOKUP($E$32,[1]QUART!$A$2:$FA$315, 15, FALSE)="",":",VLOOKUP($E$32,[1]QUART!$A$2:$FA$315, 15, FALSE))</f>
        <v>249.6524559777572</v>
      </c>
      <c r="Q32" s="544">
        <f>IF(VLOOKUP($E$32,[1]QUART!$A$2:$FA$315, 16, FALSE)="",":",VLOOKUP($E$32,[1]QUART!$A$2:$FA$315, 16, FALSE))</f>
        <v>251.96941612604263</v>
      </c>
      <c r="R32" s="544">
        <f>IF(VLOOKUP($E$32,[1]QUART!$A$2:$FA$315, 17, FALSE)="",":",VLOOKUP($E$32,[1]QUART!$A$2:$FA$315, 17, FALSE))</f>
        <v>305.02780352177945</v>
      </c>
      <c r="S32" s="544">
        <f>IF(VLOOKUP($E$32,[1]QUART!$A$2:$FA$315, 18, FALSE)="",":",VLOOKUP($E$32,[1]QUART!$A$2:$FA$315, 18, FALSE))</f>
        <v>263.61214087117702</v>
      </c>
      <c r="T32" s="544">
        <f>IF(VLOOKUP($E$32,[1]QUART!$A$2:$FA$315, 19, FALSE)="",":",VLOOKUP($E$32,[1]QUART!$A$2:$FA$315, 19, FALSE))</f>
        <v>246.52455977757185</v>
      </c>
      <c r="U32" s="544">
        <f>IF(VLOOKUP($E$32,[1]QUART!$A$2:$FA$315, 20, FALSE)="",":",VLOOKUP($E$32,[1]QUART!$A$2:$FA$315, 20, FALSE))</f>
        <v>295.84684893419836</v>
      </c>
      <c r="V32" s="544">
        <f>IF(VLOOKUP($E$32,[1]QUART!$A$2:$FA$315, 21, FALSE)="",":",VLOOKUP($E$32,[1]QUART!$A$2:$FA$315, 21, FALSE))</f>
        <v>252.37488415199257</v>
      </c>
      <c r="W32" s="544">
        <f>IF(VLOOKUP($E$32,[1]QUART!$A$2:$FA$315, 22, FALSE)="",":",VLOOKUP($E$32,[1]QUART!$A$2:$FA$315, 22, FALSE))</f>
        <v>251.47706209453196</v>
      </c>
      <c r="X32" s="544">
        <f>IF(VLOOKUP($E$32,[1]QUART!$A$2:$FA$315, 23, FALSE)="",":",VLOOKUP($E$32,[1]QUART!$A$2:$FA$315, 23, FALSE))</f>
        <v>259.03614457831327</v>
      </c>
      <c r="Y32" s="544">
        <f>IF(VLOOKUP($E$32,[1]QUART!$A$2:$FA$315, 24, FALSE)="",":",VLOOKUP($E$32,[1]QUART!$A$2:$FA$315, 24, FALSE))</f>
        <v>260.28151065801671</v>
      </c>
      <c r="Z32" s="544">
        <f>IF(VLOOKUP($E$32,[1]QUART!$A$2:$FA$315, 25, FALSE)="",":",VLOOKUP($E$32,[1]QUART!$A$2:$FA$315, 25, FALSE))</f>
        <v>247.24860982391104</v>
      </c>
      <c r="AA32" s="544">
        <f>IF(VLOOKUP($E$32,[1]QUART!$A$2:$FA$315, 26, FALSE)="",":",VLOOKUP($E$32,[1]QUART!$A$2:$FA$315, 26, FALSE))</f>
        <v>229.95829471733086</v>
      </c>
      <c r="AB32" s="544">
        <f>IF(VLOOKUP($E$32,[1]QUART!$A$2:$FA$315, 27, FALSE)="",":",VLOOKUP($E$32,[1]QUART!$A$2:$FA$315, 27, FALSE))</f>
        <v>210.35101946246525</v>
      </c>
      <c r="AC32" s="544">
        <f>IF(VLOOKUP($E$32,[1]QUART!$A$2:$FA$315, 28, FALSE)="",":",VLOOKUP($E$32,[1]QUART!$A$2:$FA$315, 28, FALSE))</f>
        <v>217.76529193697868</v>
      </c>
      <c r="AD32" s="544">
        <f>IF(VLOOKUP($E$32,[1]QUART!$A$2:$FA$315, 29, FALSE)="",":",VLOOKUP($E$32,[1]QUART!$A$2:$FA$315, 29, FALSE))</f>
        <v>192.51042632066731</v>
      </c>
      <c r="AE32" s="544">
        <f>IF(VLOOKUP($E$32,[1]QUART!$A$2:$FA$315, 30, FALSE)="",":",VLOOKUP($E$32,[1]QUART!$A$2:$FA$315, 30, FALSE))</f>
        <v>190.19346617238185</v>
      </c>
      <c r="AF32" s="544">
        <f>IF(VLOOKUP($E$32,[1]QUART!$A$2:$FA$315, 31, FALSE)="",":",VLOOKUP($E$32,[1]QUART!$A$2:$FA$315, 31, FALSE))</f>
        <v>214.40569972196477</v>
      </c>
      <c r="AG32" s="544">
        <f>IF(VLOOKUP($E$32,[1]QUART!$A$2:$FA$315, 32, FALSE)="",":",VLOOKUP($E$32,[1]QUART!$A$2:$FA$315, 32, FALSE))</f>
        <v>209.82970342910102</v>
      </c>
      <c r="AH32" s="544">
        <f>IF(VLOOKUP($E$32,[1]QUART!$A$2:$FA$315, 33, FALSE)="",":",VLOOKUP($E$32,[1]QUART!$A$2:$FA$315, 33, FALSE))</f>
        <v>235.72173308619091</v>
      </c>
      <c r="AI32" s="544">
        <f>IF(VLOOKUP($E$32,[1]QUART!$A$2:$FA$315, 34, FALSE)="",":",VLOOKUP($E$32,[1]QUART!$A$2:$FA$315, 34, FALSE))</f>
        <v>238.733781278962</v>
      </c>
      <c r="AJ32" s="544">
        <f>IF(VLOOKUP($E$32,[1]QUART!$A$2:$FA$315, 35, FALSE)="",":",VLOOKUP($E$32,[1]QUART!$A$2:$FA$315, 35, FALSE))</f>
        <v>251.0136700648749</v>
      </c>
      <c r="AK32" s="544">
        <f>IF(VLOOKUP($E$32,[1]QUART!$A$2:$FA$315, 36, FALSE)="",":",VLOOKUP($E$32,[1]QUART!$A$2:$FA$315, 36, FALSE))</f>
        <v>252.05630213160333</v>
      </c>
      <c r="AL32" s="544">
        <f>IF(VLOOKUP($E$32,[1]QUART!$A$2:$FA$315, 37, FALSE)="",":",VLOOKUP($E$32,[1]QUART!$A$2:$FA$315, 37, FALSE))</f>
        <v>261.43999073215946</v>
      </c>
      <c r="AM32" s="544">
        <f>IF(VLOOKUP($E$32,[1]QUART!$A$2:$FA$315, 38, FALSE)="",":",VLOOKUP($E$32,[1]QUART!$A$2:$FA$315, 38, FALSE))</f>
        <v>273.63299351251158</v>
      </c>
      <c r="AN32" s="544">
        <f>IF(VLOOKUP($E$32,[1]QUART!$A$2:$FA$315, 39, FALSE)="",":",VLOOKUP($E$32,[1]QUART!$A$2:$FA$315, 39, FALSE))</f>
        <v>262.80120481927713</v>
      </c>
      <c r="AO32" s="544">
        <f>IF(VLOOKUP($E$32,[1]QUART!$A$2:$FA$315, 40, FALSE)="",":",VLOOKUP($E$32,[1]QUART!$A$2:$FA$315, 40, FALSE))</f>
        <v>286.72381835032439</v>
      </c>
      <c r="AP32" s="544">
        <f>IF(VLOOKUP($E$32,[1]QUART!$A$2:$FA$315, 41, FALSE)="",":",VLOOKUP($E$32,[1]QUART!$A$2:$FA$315, 41, FALSE))</f>
        <v>314.90384615384613</v>
      </c>
      <c r="AQ32" s="544">
        <f>IF(VLOOKUP($E$32,[1]QUART!$A$2:$FA$315, 42, FALSE)="",":",VLOOKUP($E$32,[1]QUART!$A$2:$FA$315, 42, FALSE))</f>
        <v>308.73493975903614</v>
      </c>
      <c r="AR32" s="544">
        <f>IF(VLOOKUP($E$32,[1]QUART!$A$2:$FA$315, 43, FALSE)="",":",VLOOKUP($E$32,[1]QUART!$A$2:$FA$315, 43, FALSE))</f>
        <v>334.82970342910102</v>
      </c>
      <c r="AS32" s="544">
        <f>IF(VLOOKUP($E$32,[1]QUART!$A$2:$FA$315, 44, FALSE)="",":",VLOOKUP($E$32,[1]QUART!$A$2:$FA$315, 44, FALSE))</f>
        <v>338.39202965708995</v>
      </c>
      <c r="AT32" s="544">
        <f>IF(VLOOKUP($E$32,[1]QUART!$A$2:$FA$315, 45, FALSE)="",":",VLOOKUP($E$32,[1]QUART!$A$2:$FA$315, 45, FALSE))</f>
        <v>359.65013901760892</v>
      </c>
      <c r="AU32" s="544" t="str">
        <f>IF(VLOOKUP($E$32,[1]QUART!$A$2:$FA$315, 46, FALSE)="",":",VLOOKUP($E$32,[1]QUART!$A$2:$FA$315, 46, FALSE))</f>
        <v>n.a.</v>
      </c>
      <c r="AV32" s="544" t="str">
        <f>IF(VLOOKUP($E$32,[1]QUART!$A$2:$FA$315, 47, FALSE)="",":",VLOOKUP($E$32,[1]QUART!$A$2:$FA$315, 47, FALSE))</f>
        <v>n.a.</v>
      </c>
      <c r="AW32" s="544" t="str">
        <f>IF(VLOOKUP($E$32,[1]QUART!$A$2:$FA$315, 48, FALSE)="",":",VLOOKUP($E$32,[1]QUART!$A$2:$FA$315, 48, FALSE))</f>
        <v>n.a.</v>
      </c>
      <c r="AX32" s="544" t="str">
        <f>IF(VLOOKUP($E$32,[1]QUART!$A$2:$FA$315, 49, FALSE)="",":",VLOOKUP($E$32,[1]QUART!$A$2:$FA$315, 49, FALSE))</f>
        <v>n.a.</v>
      </c>
      <c r="AY32" s="544" t="str">
        <f>IF(VLOOKUP($E$32,[1]QUART!$A$2:$FA$315, 50, FALSE)="",":",VLOOKUP($E$32,[1]QUART!$A$2:$FA$315, 50, FALSE))</f>
        <v>n.a.</v>
      </c>
      <c r="AZ32" s="544" t="str">
        <f>IF(VLOOKUP($E$32,[1]QUART!$A$2:$FA$315, 51, FALSE)="",":",VLOOKUP($E$32,[1]QUART!$A$2:$FA$315, 51, FALSE))</f>
        <v>n.a.</v>
      </c>
      <c r="BA32" s="544" t="str">
        <f>IF(VLOOKUP($E$32,[1]QUART!$A$2:$FA$315, 52, FALSE)="",":",VLOOKUP($E$32,[1]QUART!$A$2:$FA$315, 52, FALSE))</f>
        <v>n.a.</v>
      </c>
      <c r="BB32" s="544" t="str">
        <f>IF(VLOOKUP($E$32,[1]QUART!$A$2:$FA$315, 53, FALSE)="",":",VLOOKUP($E$32,[1]QUART!$A$2:$FA$315, 53, FALSE))</f>
        <v>n.a.</v>
      </c>
      <c r="BC32" s="544" t="str">
        <f>IF(VLOOKUP($E$32,[1]QUART!$A$2:$FA$315, 54, FALSE)="",":",VLOOKUP($E$32,[1]QUART!$A$2:$FA$315, 54, FALSE))</f>
        <v>n.a.</v>
      </c>
      <c r="BD32" s="544" t="str">
        <f>IF(VLOOKUP($E$32,[1]QUART!$A$2:$FA$315, 55, FALSE)="",":",VLOOKUP($E$32,[1]QUART!$A$2:$FA$315, 55, FALSE))</f>
        <v>n.a.</v>
      </c>
      <c r="BE32" s="544" t="str">
        <f>IF(VLOOKUP($E$32,[1]QUART!$A$2:$FA$315, 56, FALSE)="",":",VLOOKUP($E$32,[1]QUART!$A$2:$FA$315, 56, FALSE))</f>
        <v>n.a.</v>
      </c>
      <c r="BF32" s="544" t="str">
        <f>IF(VLOOKUP($E$32,[1]QUART!$A$2:$FA$315, 57, FALSE)="",":",VLOOKUP($E$32,[1]QUART!$A$2:$FA$315, 57, FALSE))</f>
        <v>n.a.</v>
      </c>
      <c r="BG32" s="544" t="str">
        <f>IF(VLOOKUP($E$32,[1]QUART!$A$2:$FA$315, 58, FALSE)="",":",VLOOKUP($E$32,[1]QUART!$A$2:$FA$315, 58, FALSE))</f>
        <v>n.a.</v>
      </c>
      <c r="BH32" s="544" t="str">
        <f>IF(VLOOKUP($E$32,[1]QUART!$A$2:$FA$315, 59, FALSE)="",":",VLOOKUP($E$32,[1]QUART!$A$2:$FA$315, 59, FALSE))</f>
        <v>n.a.</v>
      </c>
      <c r="BI32" s="544" t="str">
        <f>IF(VLOOKUP($E$32,[1]QUART!$A$2:$FA$315, 60, FALSE)="",":",VLOOKUP($E$32,[1]QUART!$A$2:$FA$315, 60, FALSE))</f>
        <v>n.a.</v>
      </c>
      <c r="BJ32" s="544" t="str">
        <f>IF(VLOOKUP($E$32,[1]QUART!$A$2:$FA$315, 61, FALSE)="",":",VLOOKUP($E$32,[1]QUART!$A$2:$FA$315, 61, FALSE))</f>
        <v>n.a.</v>
      </c>
      <c r="BK32" s="544" t="str">
        <f>IF(VLOOKUP($E$32,[1]QUART!$A$2:$FA$315, 62, FALSE)="",":",VLOOKUP($E$32,[1]QUART!$A$2:$FA$315, 62, FALSE))</f>
        <v>n.a.</v>
      </c>
      <c r="BL32" s="3142" t="str">
        <f>IF(VLOOKUP($E$32,[1]QUART!$A$2:$FA$315, 61, FALSE)="",":",VLOOKUP($E$32,[1]QUART!$A$2:$FA$315, 61, FALSE))</f>
        <v>n.a.</v>
      </c>
      <c r="BM32" s="3142" t="str">
        <f>IF(VLOOKUP($E$32,[1]QUART!$A$2:$FA$315, 61, FALSE)="",":",VLOOKUP($E$32,[1]QUART!$A$2:$FA$315, 61, FALSE))</f>
        <v>n.a.</v>
      </c>
      <c r="BN32" s="3142" t="str">
        <f>IF(VLOOKUP($E$32,[1]QUART!$A$2:$FA$315, 61, FALSE)="",":",VLOOKUP($E$32,[1]QUART!$A$2:$FA$315, 61, FALSE))</f>
        <v>n.a.</v>
      </c>
      <c r="BO32" s="3142" t="str">
        <f>IF(VLOOKUP($E$32,[1]QUART!$A$2:$FA$315, 61, FALSE)="",":",VLOOKUP($E$32,[1]QUART!$A$2:$FA$315, 61, FALSE))</f>
        <v>n.a.</v>
      </c>
      <c r="BP32" s="3142" t="str">
        <f>IF(VLOOKUP($E$32,[1]QUART!$A$2:$FA$315, 61, FALSE)="",":",VLOOKUP($E$32,[1]QUART!$A$2:$FA$315, 61, FALSE))</f>
        <v>n.a.</v>
      </c>
      <c r="BQ32" s="544" t="str">
        <f>IF(VLOOKUP($E$32,[1]QUART!$A$2:$FA$315, 68, FALSE)="",":",VLOOKUP($E$32,[1]QUART!$A$2:$FA$315, 68, FALSE))</f>
        <v>n.a.</v>
      </c>
      <c r="BR32" s="544" t="str">
        <f>IF(VLOOKUP($E$32,[1]QUART!$A$2:$FA$315, 69, FALSE)="",":",VLOOKUP($E$32,[1]QUART!$A$2:$FA$315, 69, FALSE))</f>
        <v>n.a.</v>
      </c>
      <c r="BS32" s="544" t="str">
        <f>IF(VLOOKUP($E$32,[1]QUART!$A$2:$FA$315, 70, FALSE)="",":",VLOOKUP($E$32,[1]QUART!$A$2:$FA$315, 70, FALSE))</f>
        <v>n.a.</v>
      </c>
      <c r="BT32" s="544" t="str">
        <f>IF(VLOOKUP($E$32,[1]QUART!$A$2:$FA$315, 71, FALSE)="",":",VLOOKUP($E$32,[1]QUART!$A$2:$FA$315, 71, FALSE))</f>
        <v>n.a.</v>
      </c>
      <c r="BU32" s="544" t="str">
        <f>IF(VLOOKUP($E$32,[1]QUART!$A$2:$FA$315, 72, FALSE)="",":",VLOOKUP($E$32,[1]QUART!$A$2:$FA$315, 72, FALSE))</f>
        <v>n.a.</v>
      </c>
      <c r="BV32" s="544" t="str">
        <f>IF(VLOOKUP($E$32,[1]QUART!$A$2:$FA$315, 73, FALSE)="",":",VLOOKUP($E$32,[1]QUART!$A$2:$FA$315, 73, FALSE))</f>
        <v>n.a.</v>
      </c>
      <c r="BW32" s="544" t="str">
        <f>IF(VLOOKUP($E$32,[1]QUART!$A$2:$FA$315, 74, FALSE)="",":",VLOOKUP($E$32,[1]QUART!$A$2:$FA$315, 74, FALSE))</f>
        <v>n.a.</v>
      </c>
      <c r="BX32" s="544" t="str">
        <f>IF(VLOOKUP($E$32,[1]QUART!$A$2:$FA$315, 75, FALSE)="",":",VLOOKUP($E$32,[1]QUART!$A$2:$FA$315, 75, FALSE))</f>
        <v>n.a.</v>
      </c>
      <c r="BY32" s="544" t="str">
        <f>IF(VLOOKUP($E$32,[1]QUART!$A$2:$FA$315, 76, FALSE)="",":",VLOOKUP($E$32,[1]QUART!$A$2:$FA$315, 76, FALSE))</f>
        <v>n.a.</v>
      </c>
      <c r="BZ32" s="544" t="str">
        <f>IF(VLOOKUP($E$32,[1]QUART!$A$2:$FA$315, 77, FALSE)="",":",VLOOKUP($E$32,[1]QUART!$A$2:$FA$315, 77, FALSE))</f>
        <v>n.a.</v>
      </c>
      <c r="CA32" s="544" t="str">
        <f>IF(VLOOKUP($E$32,[1]QUART!$A$2:$FA$315, 78, FALSE)="",":",VLOOKUP($E$32,[1]QUART!$A$2:$FA$315, 78, FALSE))</f>
        <v>n.a.</v>
      </c>
      <c r="CB32" s="544" t="str">
        <f>IF(VLOOKUP($E$32,[1]QUART!$A$2:$FA$315, 79, FALSE)="",":",VLOOKUP($E$32,[1]QUART!$A$2:$FA$315, 79, FALSE))</f>
        <v>n.a.</v>
      </c>
      <c r="CC32" s="544" t="str">
        <f>IF(VLOOKUP($E$32,[1]QUART!$A$2:$FA$315, 80, FALSE)="",":",VLOOKUP($E$32,[1]QUART!$A$2:$FA$315, 80, FALSE))</f>
        <v>n.a.</v>
      </c>
      <c r="CD32" s="544" t="str">
        <f>IF(VLOOKUP($E$32,[1]QUART!$A$2:$FA$315, 81, FALSE)="",":",VLOOKUP($E$32,[1]QUART!$A$2:$FA$315, 81, FALSE))</f>
        <v>n.a.</v>
      </c>
      <c r="CE32" s="544" t="str">
        <f>IF(VLOOKUP($E$32,[1]QUART!$A$2:$FA$315, 82, FALSE)="",":",VLOOKUP($E$32,[1]QUART!$A$2:$FA$315, 82, FALSE))</f>
        <v>n.a.</v>
      </c>
      <c r="CF32" s="544" t="str">
        <f>IF(VLOOKUP($E$32,[1]QUART!$A$2:$FA$315, 83, FALSE)="",":",VLOOKUP($E$32,[1]QUART!$A$2:$FA$315, 83, FALSE))</f>
        <v>n.a.</v>
      </c>
      <c r="CG32" s="544" t="str">
        <f>IF(VLOOKUP($E$32,[1]QUART!$A$2:$FA$315, 84, FALSE)="",":",VLOOKUP($E$32,[1]QUART!$A$2:$FA$315, 84, FALSE))</f>
        <v>n.a.</v>
      </c>
      <c r="CH32" s="544" t="str">
        <f>IF(VLOOKUP($E$32,[1]QUART!$A$2:$FA$315, 85, FALSE)="",":",VLOOKUP($E$32,[1]QUART!$A$2:$FA$315, 85, FALSE))</f>
        <v>n.a.</v>
      </c>
      <c r="CI32" s="544" t="str">
        <f>IF(VLOOKUP($E$32,[1]QUART!$A$2:$FA$315, 86, FALSE)="",":",VLOOKUP($E$32,[1]QUART!$A$2:$FA$315, 86, FALSE))</f>
        <v>n.a.</v>
      </c>
      <c r="CJ32" s="544" t="str">
        <f>IF(VLOOKUP($E$32,[1]QUART!$A$2:$FA$315, 87, FALSE)="",":",VLOOKUP($E$32,[1]QUART!$A$2:$FA$315, 87, FALSE))</f>
        <v>n.a.</v>
      </c>
      <c r="CK32" s="544" t="str">
        <f>IF(VLOOKUP($E$32,[1]QUART!$A$2:$FA$315, 88, FALSE)="",":",VLOOKUP($E$32,[1]QUART!$A$2:$FA$315, 88, FALSE))</f>
        <v>n.a.</v>
      </c>
      <c r="CL32" s="544" t="str">
        <f>IF(VLOOKUP($E$32,[1]QUART!$A$2:$FA$315, 89, FALSE)="",":",VLOOKUP($E$32,[1]QUART!$A$2:$FA$315, 89, FALSE))</f>
        <v>n.a.</v>
      </c>
      <c r="CM32" s="544" t="str">
        <f>IF(VLOOKUP($E$32,[1]QUART!$A$2:$FA$315, 90, FALSE)="",":",VLOOKUP($E$32,[1]QUART!$A$2:$FA$315, 90, FALSE))</f>
        <v>n.a.</v>
      </c>
      <c r="CN32" s="544" t="str">
        <f>IF(VLOOKUP($E$32,[1]QUART!$A$2:$FA$315, 91, FALSE)="",":",VLOOKUP($E$32,[1]QUART!$A$2:$FA$315, 91, FALSE))</f>
        <v>n.a.</v>
      </c>
      <c r="CO32" s="544" t="str">
        <f>IF(VLOOKUP($E$32,[1]QUART!$A$2:$FA$315, 92, FALSE)="",":",VLOOKUP($E$32,[1]QUART!$A$2:$FA$315, 92, FALSE))</f>
        <v>n.a.</v>
      </c>
      <c r="CP32" s="544" t="str">
        <f>IF(VLOOKUP($E$32,[1]QUART!$A$2:$FA$315, 93, FALSE)="",":",VLOOKUP($E$32,[1]QUART!$A$2:$FA$315, 93, FALSE))</f>
        <v>n.a.</v>
      </c>
      <c r="CQ32" s="544" t="str">
        <f>IF(VLOOKUP($E$32,[1]QUART!$A$2:$FA$315, 94, FALSE)="",":",VLOOKUP($E$32,[1]QUART!$A$2:$FA$315, 94, FALSE))</f>
        <v>n.a.</v>
      </c>
      <c r="CR32" s="544" t="str">
        <f>IF(VLOOKUP($E$32,[1]QUART!$A$2:$FA$315, 95, FALSE)="",":",VLOOKUP($E$32,[1]QUART!$A$2:$FA$315, 95, FALSE))</f>
        <v>n.a.</v>
      </c>
      <c r="CS32" s="544" t="str">
        <f>IF(VLOOKUP($E$32,[1]QUART!$A$2:$FA$315, 96, FALSE)="",":",VLOOKUP($E$32,[1]QUART!$A$2:$FA$315, 96, FALSE))</f>
        <v>n.a.</v>
      </c>
      <c r="CT32" s="544" t="str">
        <f>IF(VLOOKUP($E$32,[1]QUART!$A$2:$FA$315, 97, FALSE)="",":",VLOOKUP($E$32,[1]QUART!$A$2:$FA$315, 97, FALSE))</f>
        <v>n.a.</v>
      </c>
      <c r="CU32" s="544" t="str">
        <f>IF(VLOOKUP($E$32,[1]QUART!$A$2:$FA$315, 98, FALSE)="",":",VLOOKUP($E$32,[1]QUART!$A$2:$FA$315, 98, FALSE))</f>
        <v>:</v>
      </c>
      <c r="CV32" s="544" t="str">
        <f>IF(VLOOKUP($E$32,[1]QUART!$A$2:$FA$315, 99, FALSE)="",":",VLOOKUP($E$32,[1]QUART!$A$2:$FA$315, 99, FALSE))</f>
        <v>:</v>
      </c>
      <c r="CW32" s="544" t="str">
        <f>IF(VLOOKUP($E$32,[1]QUART!$A$2:$FA$315, 100, FALSE)="",":",VLOOKUP($E$32,[1]QUART!$A$2:$FA$315, 100, FALSE))</f>
        <v>:</v>
      </c>
      <c r="CX32" s="544" t="str">
        <f>IF(VLOOKUP($E$32,[1]QUART!$A$2:$FA$315, 101, FALSE)="",":",VLOOKUP($E$32,[1]QUART!$A$2:$FA$315, 101, FALSE))</f>
        <v>:</v>
      </c>
      <c r="CY32" s="544" t="str">
        <f>IF(VLOOKUP($E$32,[1]QUART!$A$2:$FA$315, 102, FALSE)="",":",VLOOKUP($E$32,[1]QUART!$A$2:$FA$315, 102, FALSE))</f>
        <v>:</v>
      </c>
      <c r="CZ32" s="544" t="str">
        <f>IF(VLOOKUP($E$32,[1]QUART!$A$2:$FA$315, 103, FALSE)="",":",VLOOKUP($E$32,[1]QUART!$A$2:$FA$315, 103, FALSE))</f>
        <v>:</v>
      </c>
      <c r="DA32" s="544" t="str">
        <f>IF(VLOOKUP($E$32,[1]QUART!$A$2:$FA$315, 104, FALSE)="",":",VLOOKUP($E$32,[1]QUART!$A$2:$FA$315, 104, FALSE))</f>
        <v>:</v>
      </c>
      <c r="DB32" s="544" t="str">
        <f>IF(VLOOKUP($E$32,[1]QUART!$A$2:$FA$315, 105, FALSE)="",":",VLOOKUP($E$32,[1]QUART!$A$2:$FA$315, 105, FALSE))</f>
        <v>:</v>
      </c>
      <c r="DC32" s="544" t="str">
        <f>IF(VLOOKUP($E$32,[1]QUART!$A$2:$FA$315, 106, FALSE)="",":",VLOOKUP($E$32,[1]QUART!$A$2:$FA$315, 106, FALSE))</f>
        <v>:</v>
      </c>
    </row>
    <row r="33" spans="1:107">
      <c r="A33" s="533"/>
      <c r="B33" s="534"/>
      <c r="C33" s="535"/>
      <c r="D33" s="12"/>
      <c r="E33" s="13"/>
      <c r="F33" s="14"/>
      <c r="G33" s="544"/>
      <c r="H33" s="544"/>
      <c r="I33" s="544"/>
      <c r="J33" s="544"/>
      <c r="K33" s="544"/>
      <c r="L33" s="544"/>
      <c r="M33" s="544"/>
      <c r="N33" s="544"/>
      <c r="O33" s="544"/>
      <c r="P33" s="544"/>
      <c r="Q33" s="544"/>
      <c r="R33" s="544"/>
      <c r="S33" s="544"/>
      <c r="T33" s="544"/>
      <c r="U33" s="544"/>
      <c r="V33" s="544"/>
      <c r="W33" s="544"/>
      <c r="X33" s="544"/>
      <c r="Y33" s="544"/>
      <c r="Z33" s="544"/>
      <c r="AA33" s="544"/>
      <c r="AB33" s="544"/>
      <c r="AC33" s="544"/>
      <c r="AD33" s="544"/>
      <c r="AE33" s="544"/>
      <c r="AF33" s="544"/>
      <c r="AG33" s="544"/>
      <c r="AH33" s="544"/>
      <c r="AI33" s="544"/>
      <c r="AJ33" s="544"/>
      <c r="AK33" s="544"/>
      <c r="AL33" s="544"/>
      <c r="AM33" s="544"/>
      <c r="AN33" s="544"/>
      <c r="AO33" s="544"/>
      <c r="AP33" s="544"/>
      <c r="AQ33" s="544"/>
      <c r="AR33" s="544"/>
      <c r="AS33" s="544"/>
      <c r="AT33" s="544"/>
      <c r="AU33" s="544"/>
      <c r="AV33" s="544"/>
      <c r="AW33" s="544"/>
      <c r="AX33" s="544"/>
      <c r="AY33" s="544"/>
      <c r="AZ33" s="544"/>
      <c r="BA33" s="544"/>
      <c r="BB33" s="544"/>
      <c r="BC33" s="544"/>
      <c r="BD33" s="544"/>
      <c r="BE33" s="544"/>
      <c r="BF33" s="544"/>
      <c r="BG33" s="544"/>
      <c r="BH33" s="544"/>
      <c r="BI33" s="544"/>
      <c r="BJ33" s="544"/>
      <c r="BK33" s="544"/>
      <c r="BL33" s="3143" t="s">
        <v>1622</v>
      </c>
      <c r="BM33" s="544"/>
      <c r="BN33" s="544"/>
      <c r="BO33" s="544"/>
      <c r="BP33" s="544"/>
      <c r="BQ33" s="544"/>
      <c r="BR33" s="544"/>
      <c r="BS33" s="544"/>
      <c r="BT33" s="544"/>
      <c r="BU33" s="544"/>
      <c r="BV33" s="544"/>
      <c r="BW33" s="544"/>
      <c r="BX33" s="544"/>
      <c r="BY33" s="544"/>
      <c r="BZ33" s="544"/>
      <c r="CA33" s="544"/>
      <c r="CB33" s="544"/>
      <c r="CC33" s="544"/>
      <c r="CD33" s="544"/>
      <c r="CE33" s="544"/>
      <c r="CF33" s="544"/>
      <c r="CG33" s="544"/>
      <c r="CH33" s="544"/>
      <c r="CI33" s="544"/>
      <c r="CJ33" s="544"/>
      <c r="CK33" s="544"/>
      <c r="CL33" s="544"/>
      <c r="CM33" s="544"/>
      <c r="CN33" s="544"/>
      <c r="CO33" s="544"/>
      <c r="CP33" s="544"/>
      <c r="CQ33" s="544"/>
      <c r="CR33" s="544"/>
      <c r="CS33" s="544"/>
      <c r="CT33" s="544"/>
      <c r="CU33" s="544"/>
      <c r="CV33" s="544"/>
      <c r="CW33" s="544"/>
      <c r="CX33" s="544"/>
      <c r="CY33" s="544"/>
      <c r="CZ33" s="544"/>
      <c r="DA33" s="544"/>
      <c r="DB33" s="544"/>
      <c r="DC33" s="544"/>
    </row>
    <row r="34" spans="1:107">
      <c r="A34" s="1954"/>
      <c r="B34" s="534"/>
      <c r="C34" s="535"/>
      <c r="D34" s="12" t="s">
        <v>1841</v>
      </c>
      <c r="E34" s="13">
        <v>100</v>
      </c>
      <c r="F34" s="14" t="str">
        <f>VLOOKUP($E$34,[1]QUART!$A$2:$FA$315, 3, FALSE)</f>
        <v xml:space="preserve">100  Household final consumption expenditure (domestic)                              </v>
      </c>
      <c r="G34" s="544" t="str">
        <f>IF(VLOOKUP($E$34,[1]QUART!$A$2:$FA$315, 6, FALSE)="",":",VLOOKUP($E$34,[1]QUART!$A$2:$FA$315, 6, FALSE))</f>
        <v>:</v>
      </c>
      <c r="H34" s="544" t="str">
        <f>IF(VLOOKUP($E$34,[1]QUART!$A$2:$FA$315, 7, FALSE)="",":",VLOOKUP($E$34,[1]QUART!$A$2:$FA$315, 7, FALSE))</f>
        <v>:</v>
      </c>
      <c r="I34" s="544" t="str">
        <f>IF(VLOOKUP($E$34,[1]QUART!$A$2:$FA$315, 8, FALSE)="",":",VLOOKUP($E$34,[1]QUART!$A$2:$FA$315, 8, FALSE))</f>
        <v>:</v>
      </c>
      <c r="J34" s="544" t="str">
        <f>IF(VLOOKUP($E$34,[1]QUART!$A$2:$FA$315, 9, FALSE)="",":",VLOOKUP($E$34,[1]QUART!$A$2:$FA$315, 9, FALSE))</f>
        <v>:</v>
      </c>
      <c r="K34" s="544" t="str">
        <f>IF(VLOOKUP($E$34,[1]QUART!$A$2:$FA$315, 10, FALSE)="",":",VLOOKUP($E$34,[1]QUART!$A$2:$FA$315, 10, FALSE))</f>
        <v>:</v>
      </c>
      <c r="L34" s="544" t="str">
        <f>IF(VLOOKUP($E$34,[1]QUART!$A$2:$FA$315, 11, FALSE)="",":",VLOOKUP($E$34,[1]QUART!$A$2:$FA$315, 11, FALSE))</f>
        <v>:</v>
      </c>
      <c r="M34" s="544" t="str">
        <f>IF(VLOOKUP($E$34,[1]QUART!$A$2:$FA$315, 12, FALSE)="",":",VLOOKUP($E$34,[1]QUART!$A$2:$FA$315, 12, FALSE))</f>
        <v>:</v>
      </c>
      <c r="N34" s="544" t="str">
        <f>IF(VLOOKUP($E$34,[1]QUART!$A$2:$FA$315, 13, FALSE)="",":",VLOOKUP($E$34,[1]QUART!$A$2:$FA$315, 13, FALSE))</f>
        <v>:</v>
      </c>
      <c r="O34" s="544" t="str">
        <f>IF(VLOOKUP($E$34,[1]QUART!$A$2:$FA$315, 14, FALSE)="",":",VLOOKUP($E$34,[1]QUART!$A$2:$FA$315, 14, FALSE))</f>
        <v>:</v>
      </c>
      <c r="P34" s="544" t="str">
        <f>IF(VLOOKUP($E$34,[1]QUART!$A$2:$FA$315, 15, FALSE)="",":",VLOOKUP($E$34,[1]QUART!$A$2:$FA$315, 15, FALSE))</f>
        <v>:</v>
      </c>
      <c r="Q34" s="544" t="str">
        <f>IF(VLOOKUP($E$34,[1]QUART!$A$2:$FA$315, 16, FALSE)="",":",VLOOKUP($E$34,[1]QUART!$A$2:$FA$315, 16, FALSE))</f>
        <v>:</v>
      </c>
      <c r="R34" s="544" t="str">
        <f>IF(VLOOKUP($E$34,[1]QUART!$A$2:$FA$315, 17, FALSE)="",":",VLOOKUP($E$34,[1]QUART!$A$2:$FA$315, 17, FALSE))</f>
        <v>:</v>
      </c>
      <c r="S34" s="544" t="str">
        <f>IF(VLOOKUP($E$34,[1]QUART!$A$2:$FA$315, 18, FALSE)="",":",VLOOKUP($E$34,[1]QUART!$A$2:$FA$315, 18, FALSE))</f>
        <v>:</v>
      </c>
      <c r="T34" s="544" t="str">
        <f>IF(VLOOKUP($E$34,[1]QUART!$A$2:$FA$315, 19, FALSE)="",":",VLOOKUP($E$34,[1]QUART!$A$2:$FA$315, 19, FALSE))</f>
        <v>:</v>
      </c>
      <c r="U34" s="544" t="str">
        <f>IF(VLOOKUP($E$34,[1]QUART!$A$2:$FA$315, 20, FALSE)="",":",VLOOKUP($E$34,[1]QUART!$A$2:$FA$315, 20, FALSE))</f>
        <v>:</v>
      </c>
      <c r="V34" s="544" t="str">
        <f>IF(VLOOKUP($E$34,[1]QUART!$A$2:$FA$315, 21, FALSE)="",":",VLOOKUP($E$34,[1]QUART!$A$2:$FA$315, 21, FALSE))</f>
        <v>:</v>
      </c>
      <c r="W34" s="544" t="str">
        <f>IF(VLOOKUP($E$34,[1]QUART!$A$2:$FA$315, 22, FALSE)="",":",VLOOKUP($E$34,[1]QUART!$A$2:$FA$315, 22, FALSE))</f>
        <v>:</v>
      </c>
      <c r="X34" s="544" t="str">
        <f>IF(VLOOKUP($E$34,[1]QUART!$A$2:$FA$315, 23, FALSE)="",":",VLOOKUP($E$34,[1]QUART!$A$2:$FA$315, 23, FALSE))</f>
        <v>:</v>
      </c>
      <c r="Y34" s="544" t="str">
        <f>IF(VLOOKUP($E$34,[1]QUART!$A$2:$FA$315, 24, FALSE)="",":",VLOOKUP($E$34,[1]QUART!$A$2:$FA$315, 24, FALSE))</f>
        <v>:</v>
      </c>
      <c r="Z34" s="544" t="str">
        <f>IF(VLOOKUP($E$34,[1]QUART!$A$2:$FA$315, 25, FALSE)="",":",VLOOKUP($E$34,[1]QUART!$A$2:$FA$315, 25, FALSE))</f>
        <v>:</v>
      </c>
      <c r="AA34" s="544" t="str">
        <f>IF(VLOOKUP($E$34,[1]QUART!$A$2:$FA$315, 26, FALSE)="",":",VLOOKUP($E$34,[1]QUART!$A$2:$FA$315, 26, FALSE))</f>
        <v>:</v>
      </c>
      <c r="AB34" s="544" t="str">
        <f>IF(VLOOKUP($E$34,[1]QUART!$A$2:$FA$315, 27, FALSE)="",":",VLOOKUP($E$34,[1]QUART!$A$2:$FA$315, 27, FALSE))</f>
        <v>:</v>
      </c>
      <c r="AC34" s="544" t="str">
        <f>IF(VLOOKUP($E$34,[1]QUART!$A$2:$FA$315, 28, FALSE)="",":",VLOOKUP($E$34,[1]QUART!$A$2:$FA$315, 28, FALSE))</f>
        <v>:</v>
      </c>
      <c r="AD34" s="544" t="str">
        <f>IF(VLOOKUP($E$34,[1]QUART!$A$2:$FA$315, 29, FALSE)="",":",VLOOKUP($E$34,[1]QUART!$A$2:$FA$315, 29, FALSE))</f>
        <v>:</v>
      </c>
      <c r="AE34" s="544" t="str">
        <f>IF(VLOOKUP($E$34,[1]QUART!$A$2:$FA$315, 30, FALSE)="",":",VLOOKUP($E$34,[1]QUART!$A$2:$FA$315, 30, FALSE))</f>
        <v>:</v>
      </c>
      <c r="AF34" s="544" t="str">
        <f>IF(VLOOKUP($E$34,[1]QUART!$A$2:$FA$315, 31, FALSE)="",":",VLOOKUP($E$34,[1]QUART!$A$2:$FA$315, 31, FALSE))</f>
        <v>:</v>
      </c>
      <c r="AG34" s="544" t="str">
        <f>IF(VLOOKUP($E$34,[1]QUART!$A$2:$FA$315, 32, FALSE)="",":",VLOOKUP($E$34,[1]QUART!$A$2:$FA$315, 32, FALSE))</f>
        <v>:</v>
      </c>
      <c r="AH34" s="544" t="str">
        <f>IF(VLOOKUP($E$34,[1]QUART!$A$2:$FA$315, 33, FALSE)="",":",VLOOKUP($E$34,[1]QUART!$A$2:$FA$315, 33, FALSE))</f>
        <v>:</v>
      </c>
      <c r="AI34" s="544" t="str">
        <f>IF(VLOOKUP($E$34,[1]QUART!$A$2:$FA$315, 34, FALSE)="",":",VLOOKUP($E$34,[1]QUART!$A$2:$FA$315, 34, FALSE))</f>
        <v>:</v>
      </c>
      <c r="AJ34" s="544" t="str">
        <f>IF(VLOOKUP($E$34,[1]QUART!$A$2:$FA$315, 35, FALSE)="",":",VLOOKUP($E$34,[1]QUART!$A$2:$FA$315, 35, FALSE))</f>
        <v>:</v>
      </c>
      <c r="AK34" s="544" t="str">
        <f>IF(VLOOKUP($E$34,[1]QUART!$A$2:$FA$315, 36, FALSE)="",":",VLOOKUP($E$34,[1]QUART!$A$2:$FA$315, 36, FALSE))</f>
        <v>:</v>
      </c>
      <c r="AL34" s="544" t="str">
        <f>IF(VLOOKUP($E$34,[1]QUART!$A$2:$FA$315, 37, FALSE)="",":",VLOOKUP($E$34,[1]QUART!$A$2:$FA$315, 37, FALSE))</f>
        <v>:</v>
      </c>
      <c r="AM34" s="544" t="str">
        <f>IF(VLOOKUP($E$34,[1]QUART!$A$2:$FA$315, 38, FALSE)="",":",VLOOKUP($E$34,[1]QUART!$A$2:$FA$315, 38, FALSE))</f>
        <v>:</v>
      </c>
      <c r="AN34" s="544" t="str">
        <f>IF(VLOOKUP($E$34,[1]QUART!$A$2:$FA$315, 39, FALSE)="",":",VLOOKUP($E$34,[1]QUART!$A$2:$FA$315, 39, FALSE))</f>
        <v>:</v>
      </c>
      <c r="AO34" s="544" t="str">
        <f>IF(VLOOKUP($E$34,[1]QUART!$A$2:$FA$315, 40, FALSE)="",":",VLOOKUP($E$34,[1]QUART!$A$2:$FA$315, 40, FALSE))</f>
        <v>:</v>
      </c>
      <c r="AP34" s="544" t="str">
        <f>IF(VLOOKUP($E$34,[1]QUART!$A$2:$FA$315, 41, FALSE)="",":",VLOOKUP($E$34,[1]QUART!$A$2:$FA$315, 41, FALSE))</f>
        <v>:</v>
      </c>
      <c r="AQ34" s="544" t="str">
        <f>IF(VLOOKUP($E$34,[1]QUART!$A$2:$FA$315, 42, FALSE)="",":",VLOOKUP($E$34,[1]QUART!$A$2:$FA$315, 42, FALSE))</f>
        <v>:</v>
      </c>
      <c r="AR34" s="544" t="str">
        <f>IF(VLOOKUP($E$34,[1]QUART!$A$2:$FA$315, 43, FALSE)="",":",VLOOKUP($E$34,[1]QUART!$A$2:$FA$315, 43, FALSE))</f>
        <v>:</v>
      </c>
      <c r="AS34" s="544" t="str">
        <f>IF(VLOOKUP($E$34,[1]QUART!$A$2:$FA$315, 44, FALSE)="",":",VLOOKUP($E$34,[1]QUART!$A$2:$FA$315, 44, FALSE))</f>
        <v>:</v>
      </c>
      <c r="AT34" s="544" t="str">
        <f>IF(VLOOKUP($E$34,[1]QUART!$A$2:$FA$315, 45, FALSE)="",":",VLOOKUP($E$34,[1]QUART!$A$2:$FA$315, 45, FALSE))</f>
        <v>:</v>
      </c>
      <c r="AU34" s="544" t="str">
        <f>IF(VLOOKUP($E$34,[1]QUART!$A$2:$FA$315, 46, FALSE)="",":",VLOOKUP($E$34,[1]QUART!$A$2:$FA$315, 46, FALSE))</f>
        <v>:</v>
      </c>
      <c r="AV34" s="544" t="str">
        <f>IF(VLOOKUP($E$34,[1]QUART!$A$2:$FA$315, 47, FALSE)="",":",VLOOKUP($E$34,[1]QUART!$A$2:$FA$315, 47, FALSE))</f>
        <v>:</v>
      </c>
      <c r="AW34" s="544" t="str">
        <f>IF(VLOOKUP($E$34,[1]QUART!$A$2:$FA$315, 48, FALSE)="",":",VLOOKUP($E$34,[1]QUART!$A$2:$FA$315, 48, FALSE))</f>
        <v>:</v>
      </c>
      <c r="AX34" s="544" t="str">
        <f>IF(VLOOKUP($E$34,[1]QUART!$A$2:$FA$315, 49, FALSE)="",":",VLOOKUP($E$34,[1]QUART!$A$2:$FA$315, 49, FALSE))</f>
        <v>:</v>
      </c>
      <c r="AY34" s="544" t="str">
        <f>IF(VLOOKUP($E$34,[1]QUART!$A$2:$FA$315, 50, FALSE)="",":",VLOOKUP($E$34,[1]QUART!$A$2:$FA$315, 50, FALSE))</f>
        <v>:</v>
      </c>
      <c r="AZ34" s="544" t="str">
        <f>IF(VLOOKUP($E$34,[1]QUART!$A$2:$FA$315, 51, FALSE)="",":",VLOOKUP($E$34,[1]QUART!$A$2:$FA$315, 51, FALSE))</f>
        <v>:</v>
      </c>
      <c r="BA34" s="544" t="str">
        <f>IF(VLOOKUP($E$34,[1]QUART!$A$2:$FA$315, 52, FALSE)="",":",VLOOKUP($E$34,[1]QUART!$A$2:$FA$315, 52, FALSE))</f>
        <v>:</v>
      </c>
      <c r="BB34" s="544" t="str">
        <f>IF(VLOOKUP($E$34,[1]QUART!$A$2:$FA$315, 53, FALSE)="",":",VLOOKUP($E$34,[1]QUART!$A$2:$FA$315, 53, FALSE))</f>
        <v>:</v>
      </c>
      <c r="BC34" s="544" t="str">
        <f>IF(VLOOKUP($E$34,[1]QUART!$A$2:$FA$315, 54, FALSE)="",":",VLOOKUP($E$34,[1]QUART!$A$2:$FA$315, 54, FALSE))</f>
        <v>:</v>
      </c>
      <c r="BD34" s="544" t="str">
        <f>IF(VLOOKUP($E$34,[1]QUART!$A$2:$FA$315, 55, FALSE)="",":",VLOOKUP($E$34,[1]QUART!$A$2:$FA$315, 55, FALSE))</f>
        <v>:</v>
      </c>
      <c r="BE34" s="544" t="str">
        <f>IF(VLOOKUP($E$34,[1]QUART!$A$2:$FA$315, 56, FALSE)="",":",VLOOKUP($E$34,[1]QUART!$A$2:$FA$315, 56, FALSE))</f>
        <v>:</v>
      </c>
      <c r="BF34" s="544" t="str">
        <f>IF(VLOOKUP($E$34,[1]QUART!$A$2:$FA$315, 57, FALSE)="",":",VLOOKUP($E$34,[1]QUART!$A$2:$FA$315, 57, FALSE))</f>
        <v>:</v>
      </c>
      <c r="BG34" s="544" t="str">
        <f>IF(VLOOKUP($E$34,[1]QUART!$A$2:$FA$315, 58, FALSE)="",":",VLOOKUP($E$34,[1]QUART!$A$2:$FA$315, 58, FALSE))</f>
        <v>:</v>
      </c>
      <c r="BH34" s="544" t="str">
        <f>IF(VLOOKUP($E$34,[1]QUART!$A$2:$FA$315, 59, FALSE)="",":",VLOOKUP($E$34,[1]QUART!$A$2:$FA$315, 59, FALSE))</f>
        <v>:</v>
      </c>
      <c r="BI34" s="544" t="str">
        <f>IF(VLOOKUP($E$34,[1]QUART!$A$2:$FA$315, 60, FALSE)="",":",VLOOKUP($E$34,[1]QUART!$A$2:$FA$315, 60, FALSE))</f>
        <v>:</v>
      </c>
      <c r="BJ34" s="544" t="str">
        <f>IF(VLOOKUP($E$34,[1]QUART!$A$2:$FA$315, 61, FALSE)="",":",VLOOKUP($E$34,[1]QUART!$A$2:$FA$315, 61, FALSE))</f>
        <v>:</v>
      </c>
      <c r="BK34" s="544" t="str">
        <f>IF(VLOOKUP($E$34,[1]QUART!$A$2:$FA$315, 62, FALSE)="",":",VLOOKUP($E$34,[1]QUART!$A$2:$FA$315, 62, FALSE))</f>
        <v>:</v>
      </c>
      <c r="BL34" s="544" t="str">
        <f>IF(VLOOKUP($E$34,[1]QUART!$A$2:$FA$315, 63, FALSE)="",":",VLOOKUP($E$34,[1]QUART!$A$2:$FA$315, 63, FALSE))</f>
        <v>:</v>
      </c>
      <c r="BM34" s="544" t="str">
        <f>IF(VLOOKUP($E$34,[1]QUART!$A$2:$FA$315, 64, FALSE)="",":",VLOOKUP($E$34,[1]QUART!$A$2:$FA$315, 64, FALSE))</f>
        <v>:</v>
      </c>
      <c r="BN34" s="544" t="str">
        <f>IF(VLOOKUP($E$34,[1]QUART!$A$2:$FA$315, 65, FALSE)="",":",VLOOKUP($E$34,[1]QUART!$A$2:$FA$315, 65, FALSE))</f>
        <v>:</v>
      </c>
      <c r="BO34" s="544" t="str">
        <f>IF(VLOOKUP($E$34,[1]QUART!$A$2:$FA$315, 66, FALSE)="",":",VLOOKUP($E$34,[1]QUART!$A$2:$FA$315, 66, FALSE))</f>
        <v>:</v>
      </c>
      <c r="BP34" s="544" t="str">
        <f>IF(VLOOKUP($E$34,[1]QUART!$A$2:$FA$315, 67, FALSE)="",":",VLOOKUP($E$34,[1]QUART!$A$2:$FA$315, 67, FALSE))</f>
        <v>:</v>
      </c>
      <c r="BQ34" s="544" t="str">
        <f>IF(VLOOKUP($E$34,[1]QUART!$A$2:$FA$315, 68, FALSE)="",":",VLOOKUP($E$34,[1]QUART!$A$2:$FA$315, 68, FALSE))</f>
        <v>:</v>
      </c>
      <c r="BR34" s="544" t="str">
        <f>IF(VLOOKUP($E$34,[1]QUART!$A$2:$FA$315, 69, FALSE)="",":",VLOOKUP($E$34,[1]QUART!$A$2:$FA$315, 69, FALSE))</f>
        <v>:</v>
      </c>
      <c r="BS34" s="544" t="str">
        <f>IF(VLOOKUP($E$34,[1]QUART!$A$2:$FA$315, 70, FALSE)="",":",VLOOKUP($E$34,[1]QUART!$A$2:$FA$315, 70, FALSE))</f>
        <v>:</v>
      </c>
      <c r="BT34" s="544" t="str">
        <f>IF(VLOOKUP($E$34,[1]QUART!$A$2:$FA$315, 71, FALSE)="",":",VLOOKUP($E$34,[1]QUART!$A$2:$FA$315, 71, FALSE))</f>
        <v>:</v>
      </c>
      <c r="BU34" s="544" t="str">
        <f>IF(VLOOKUP($E$34,[1]QUART!$A$2:$FA$315, 72, FALSE)="",":",VLOOKUP($E$34,[1]QUART!$A$2:$FA$315, 72, FALSE))</f>
        <v>:</v>
      </c>
      <c r="BV34" s="544" t="str">
        <f>IF(VLOOKUP($E$34,[1]QUART!$A$2:$FA$315, 73, FALSE)="",":",VLOOKUP($E$34,[1]QUART!$A$2:$FA$315, 73, FALSE))</f>
        <v>:</v>
      </c>
      <c r="BW34" s="544" t="str">
        <f>IF(VLOOKUP($E$34,[1]QUART!$A$2:$FA$315, 74, FALSE)="",":",VLOOKUP($E$34,[1]QUART!$A$2:$FA$315, 74, FALSE))</f>
        <v>:</v>
      </c>
      <c r="BX34" s="544" t="str">
        <f>IF(VLOOKUP($E$34,[1]QUART!$A$2:$FA$315, 75, FALSE)="",":",VLOOKUP($E$34,[1]QUART!$A$2:$FA$315, 75, FALSE))</f>
        <v>:</v>
      </c>
      <c r="BY34" s="544" t="str">
        <f>IF(VLOOKUP($E$34,[1]QUART!$A$2:$FA$315, 76, FALSE)="",":",VLOOKUP($E$34,[1]QUART!$A$2:$FA$315, 76, FALSE))</f>
        <v>:</v>
      </c>
      <c r="BZ34" s="544" t="str">
        <f>IF(VLOOKUP($E$34,[1]QUART!$A$2:$FA$315, 77, FALSE)="",":",VLOOKUP($E$34,[1]QUART!$A$2:$FA$315, 77, FALSE))</f>
        <v>:</v>
      </c>
      <c r="CA34" s="544" t="str">
        <f>IF(VLOOKUP($E$34,[1]QUART!$A$2:$FA$315, 78, FALSE)="",":",VLOOKUP($E$34,[1]QUART!$A$2:$FA$315, 78, FALSE))</f>
        <v>:</v>
      </c>
      <c r="CB34" s="544" t="str">
        <f>IF(VLOOKUP($E$34,[1]QUART!$A$2:$FA$315, 79, FALSE)="",":",VLOOKUP($E$34,[1]QUART!$A$2:$FA$315, 79, FALSE))</f>
        <v>:</v>
      </c>
      <c r="CC34" s="544" t="str">
        <f>IF(VLOOKUP($E$34,[1]QUART!$A$2:$FA$315, 80, FALSE)="",":",VLOOKUP($E$34,[1]QUART!$A$2:$FA$315, 80, FALSE))</f>
        <v>:</v>
      </c>
      <c r="CD34" s="544" t="str">
        <f>IF(VLOOKUP($E$34,[1]QUART!$A$2:$FA$315, 81, FALSE)="",":",VLOOKUP($E$34,[1]QUART!$A$2:$FA$315, 81, FALSE))</f>
        <v>:</v>
      </c>
      <c r="CE34" s="544" t="str">
        <f>IF(VLOOKUP($E$34,[1]QUART!$A$2:$FA$315, 82, FALSE)="",":",VLOOKUP($E$34,[1]QUART!$A$2:$FA$315, 82, FALSE))</f>
        <v>:</v>
      </c>
      <c r="CF34" s="544" t="str">
        <f>IF(VLOOKUP($E$34,[1]QUART!$A$2:$FA$315, 83, FALSE)="",":",VLOOKUP($E$34,[1]QUART!$A$2:$FA$315, 83, FALSE))</f>
        <v>:</v>
      </c>
      <c r="CG34" s="544" t="str">
        <f>IF(VLOOKUP($E$34,[1]QUART!$A$2:$FA$315, 84, FALSE)="",":",VLOOKUP($E$34,[1]QUART!$A$2:$FA$315, 84, FALSE))</f>
        <v>:</v>
      </c>
      <c r="CH34" s="544" t="str">
        <f>IF(VLOOKUP($E$34,[1]QUART!$A$2:$FA$315, 85, FALSE)="",":",VLOOKUP($E$34,[1]QUART!$A$2:$FA$315, 85, FALSE))</f>
        <v>:</v>
      </c>
      <c r="CI34" s="544" t="str">
        <f>IF(VLOOKUP($E$34,[1]QUART!$A$2:$FA$315, 86, FALSE)="",":",VLOOKUP($E$34,[1]QUART!$A$2:$FA$315, 86, FALSE))</f>
        <v>:</v>
      </c>
      <c r="CJ34" s="544" t="str">
        <f>IF(VLOOKUP($E$34,[1]QUART!$A$2:$FA$315, 87, FALSE)="",":",VLOOKUP($E$34,[1]QUART!$A$2:$FA$315, 87, FALSE))</f>
        <v>:</v>
      </c>
      <c r="CK34" s="544" t="str">
        <f>IF(VLOOKUP($E$34,[1]QUART!$A$2:$FA$315, 88, FALSE)="",":",VLOOKUP($E$34,[1]QUART!$A$2:$FA$315, 88, FALSE))</f>
        <v>:</v>
      </c>
      <c r="CL34" s="544" t="str">
        <f>IF(VLOOKUP($E$34,[1]QUART!$A$2:$FA$315, 89, FALSE)="",":",VLOOKUP($E$34,[1]QUART!$A$2:$FA$315, 89, FALSE))</f>
        <v>:</v>
      </c>
      <c r="CM34" s="544" t="str">
        <f>IF(VLOOKUP($E$34,[1]QUART!$A$2:$FA$315, 90, FALSE)="",":",VLOOKUP($E$34,[1]QUART!$A$2:$FA$315, 90, FALSE))</f>
        <v>:</v>
      </c>
      <c r="CN34" s="544" t="str">
        <f>IF(VLOOKUP($E$34,[1]QUART!$A$2:$FA$315, 91, FALSE)="",":",VLOOKUP($E$34,[1]QUART!$A$2:$FA$315, 91, FALSE))</f>
        <v>:</v>
      </c>
      <c r="CO34" s="544" t="str">
        <f>IF(VLOOKUP($E$34,[1]QUART!$A$2:$FA$315, 92, FALSE)="",":",VLOOKUP($E$34,[1]QUART!$A$2:$FA$315, 92, FALSE))</f>
        <v>:</v>
      </c>
      <c r="CP34" s="544" t="str">
        <f>IF(VLOOKUP($E$34,[1]QUART!$A$2:$FA$315, 93, FALSE)="",":",VLOOKUP($E$34,[1]QUART!$A$2:$FA$315, 93, FALSE))</f>
        <v>:</v>
      </c>
      <c r="CQ34" s="544" t="str">
        <f>IF(VLOOKUP($E$34,[1]QUART!$A$2:$FA$315, 94, FALSE)="",":",VLOOKUP($E$34,[1]QUART!$A$2:$FA$315, 94, FALSE))</f>
        <v>:</v>
      </c>
      <c r="CR34" s="544" t="str">
        <f>IF(VLOOKUP($E$34,[1]QUART!$A$2:$FA$315, 95, FALSE)="",":",VLOOKUP($E$34,[1]QUART!$A$2:$FA$315, 95, FALSE))</f>
        <v>:</v>
      </c>
      <c r="CS34" s="544" t="str">
        <f>IF(VLOOKUP($E$34,[1]QUART!$A$2:$FA$315, 96, FALSE)="",":",VLOOKUP($E$34,[1]QUART!$A$2:$FA$315, 96, FALSE))</f>
        <v>:</v>
      </c>
      <c r="CT34" s="544" t="str">
        <f>IF(VLOOKUP($E$34,[1]QUART!$A$2:$FA$315, 97, FALSE)="",":",VLOOKUP($E$34,[1]QUART!$A$2:$FA$315, 97, FALSE))</f>
        <v>:</v>
      </c>
      <c r="CU34" s="544" t="str">
        <f>IF(VLOOKUP($E$34,[1]QUART!$A$2:$FA$315, 98, FALSE)="",":",VLOOKUP($E$34,[1]QUART!$A$2:$FA$315, 98, FALSE))</f>
        <v>:</v>
      </c>
      <c r="CV34" s="544" t="str">
        <f>IF(VLOOKUP($E$34,[1]QUART!$A$2:$FA$315, 99, FALSE)="",":",VLOOKUP($E$34,[1]QUART!$A$2:$FA$315, 99, FALSE))</f>
        <v>:</v>
      </c>
      <c r="CW34" s="544" t="str">
        <f>IF(VLOOKUP($E$34,[1]QUART!$A$2:$FA$315, 100, FALSE)="",":",VLOOKUP($E$34,[1]QUART!$A$2:$FA$315, 100, FALSE))</f>
        <v>:</v>
      </c>
      <c r="CX34" s="544" t="str">
        <f>IF(VLOOKUP($E$34,[1]QUART!$A$2:$FA$315, 101, FALSE)="",":",VLOOKUP($E$34,[1]QUART!$A$2:$FA$315, 101, FALSE))</f>
        <v>:</v>
      </c>
      <c r="CY34" s="544" t="str">
        <f>IF(VLOOKUP($E$34,[1]QUART!$A$2:$FA$315, 102, FALSE)="",":",VLOOKUP($E$34,[1]QUART!$A$2:$FA$315, 102, FALSE))</f>
        <v>:</v>
      </c>
      <c r="CZ34" s="544" t="str">
        <f>IF(VLOOKUP($E$34,[1]QUART!$A$2:$FA$315, 103, FALSE)="",":",VLOOKUP($E$34,[1]QUART!$A$2:$FA$315, 103, FALSE))</f>
        <v>:</v>
      </c>
      <c r="DA34" s="544" t="str">
        <f>IF(VLOOKUP($E$34,[1]QUART!$A$2:$FA$315, 104, FALSE)="",":",VLOOKUP($E$34,[1]QUART!$A$2:$FA$315, 104, FALSE))</f>
        <v>:</v>
      </c>
      <c r="DB34" s="544" t="str">
        <f>IF(VLOOKUP($E$34,[1]QUART!$A$2:$FA$315, 105, FALSE)="",":",VLOOKUP($E$34,[1]QUART!$A$2:$FA$315, 105, FALSE))</f>
        <v>:</v>
      </c>
      <c r="DC34" s="544" t="str">
        <f>IF(VLOOKUP($E$34,[1]QUART!$A$2:$FA$315, 106, FALSE)="",":",VLOOKUP($E$34,[1]QUART!$A$2:$FA$315, 106, FALSE))</f>
        <v>:</v>
      </c>
    </row>
    <row r="35" spans="1:107">
      <c r="A35" s="1954"/>
      <c r="B35" s="534"/>
      <c r="C35" s="535"/>
      <c r="D35" s="12" t="s">
        <v>1841</v>
      </c>
      <c r="E35" s="13">
        <v>101</v>
      </c>
      <c r="F35" s="14" t="str">
        <f>VLOOKUP($E$35,[1]QUART!$A$2:$FA$315, 3, FALSE)</f>
        <v xml:space="preserve">101  Government final consumption expenditure                                        </v>
      </c>
      <c r="G35" s="544" t="str">
        <f>IF(VLOOKUP($E$35,[1]QUART!$A$2:$FA$315, 6, FALSE)="",":",VLOOKUP($E$35,[1]QUART!$A$2:$FA$315, 6, FALSE))</f>
        <v>:</v>
      </c>
      <c r="H35" s="544" t="str">
        <f>IF(VLOOKUP($E$35,[1]QUART!$A$2:$FA$315, 7, FALSE)="",":",VLOOKUP($E$35,[1]QUART!$A$2:$FA$315, 7, FALSE))</f>
        <v>:</v>
      </c>
      <c r="I35" s="544" t="str">
        <f>IF(VLOOKUP($E$35,[1]QUART!$A$2:$FA$315, 8, FALSE)="",":",VLOOKUP($E$35,[1]QUART!$A$2:$FA$315, 8, FALSE))</f>
        <v>:</v>
      </c>
      <c r="J35" s="544" t="str">
        <f>IF(VLOOKUP($E$35,[1]QUART!$A$2:$FA$315, 9, FALSE)="",":",VLOOKUP($E$35,[1]QUART!$A$2:$FA$315, 9, FALSE))</f>
        <v>:</v>
      </c>
      <c r="K35" s="544" t="str">
        <f>IF(VLOOKUP($E$35,[1]QUART!$A$2:$FA$315, 10, FALSE)="",":",VLOOKUP($E$35,[1]QUART!$A$2:$FA$315, 10, FALSE))</f>
        <v>:</v>
      </c>
      <c r="L35" s="544" t="str">
        <f>IF(VLOOKUP($E$35,[1]QUART!$A$2:$FA$315, 11, FALSE)="",":",VLOOKUP($E$35,[1]QUART!$A$2:$FA$315, 11, FALSE))</f>
        <v>:</v>
      </c>
      <c r="M35" s="544" t="str">
        <f>IF(VLOOKUP($E$35,[1]QUART!$A$2:$FA$315, 12, FALSE)="",":",VLOOKUP($E$35,[1]QUART!$A$2:$FA$315, 12, FALSE))</f>
        <v>:</v>
      </c>
      <c r="N35" s="544" t="str">
        <f>IF(VLOOKUP($E$35,[1]QUART!$A$2:$FA$315, 13, FALSE)="",":",VLOOKUP($E$35,[1]QUART!$A$2:$FA$315, 13, FALSE))</f>
        <v>:</v>
      </c>
      <c r="O35" s="544" t="str">
        <f>IF(VLOOKUP($E$35,[1]QUART!$A$2:$FA$315, 14, FALSE)="",":",VLOOKUP($E$35,[1]QUART!$A$2:$FA$315, 14, FALSE))</f>
        <v>:</v>
      </c>
      <c r="P35" s="544" t="str">
        <f>IF(VLOOKUP($E$35,[1]QUART!$A$2:$FA$315, 15, FALSE)="",":",VLOOKUP($E$35,[1]QUART!$A$2:$FA$315, 15, FALSE))</f>
        <v>:</v>
      </c>
      <c r="Q35" s="544" t="str">
        <f>IF(VLOOKUP($E$35,[1]QUART!$A$2:$FA$315, 16, FALSE)="",":",VLOOKUP($E$35,[1]QUART!$A$2:$FA$315, 16, FALSE))</f>
        <v>:</v>
      </c>
      <c r="R35" s="544" t="str">
        <f>IF(VLOOKUP($E$35,[1]QUART!$A$2:$FA$315, 17, FALSE)="",":",VLOOKUP($E$35,[1]QUART!$A$2:$FA$315, 17, FALSE))</f>
        <v>:</v>
      </c>
      <c r="S35" s="544" t="str">
        <f>IF(VLOOKUP($E$35,[1]QUART!$A$2:$FA$315, 18, FALSE)="",":",VLOOKUP($E$35,[1]QUART!$A$2:$FA$315, 18, FALSE))</f>
        <v>:</v>
      </c>
      <c r="T35" s="544" t="str">
        <f>IF(VLOOKUP($E$35,[1]QUART!$A$2:$FA$315, 19, FALSE)="",":",VLOOKUP($E$35,[1]QUART!$A$2:$FA$315, 19, FALSE))</f>
        <v>:</v>
      </c>
      <c r="U35" s="544" t="str">
        <f>IF(VLOOKUP($E$35,[1]QUART!$A$2:$FA$315, 20, FALSE)="",":",VLOOKUP($E$35,[1]QUART!$A$2:$FA$315, 20, FALSE))</f>
        <v>:</v>
      </c>
      <c r="V35" s="544" t="str">
        <f>IF(VLOOKUP($E$35,[1]QUART!$A$2:$FA$315, 21, FALSE)="",":",VLOOKUP($E$35,[1]QUART!$A$2:$FA$315, 21, FALSE))</f>
        <v>:</v>
      </c>
      <c r="W35" s="544" t="str">
        <f>IF(VLOOKUP($E$35,[1]QUART!$A$2:$FA$315, 22, FALSE)="",":",VLOOKUP($E$35,[1]QUART!$A$2:$FA$315, 22, FALSE))</f>
        <v>:</v>
      </c>
      <c r="X35" s="544" t="str">
        <f>IF(VLOOKUP($E$35,[1]QUART!$A$2:$FA$315, 23, FALSE)="",":",VLOOKUP($E$35,[1]QUART!$A$2:$FA$315, 23, FALSE))</f>
        <v>:</v>
      </c>
      <c r="Y35" s="544" t="str">
        <f>IF(VLOOKUP($E$35,[1]QUART!$A$2:$FA$315, 24, FALSE)="",":",VLOOKUP($E$35,[1]QUART!$A$2:$FA$315, 24, FALSE))</f>
        <v>:</v>
      </c>
      <c r="Z35" s="544" t="str">
        <f>IF(VLOOKUP($E$35,[1]QUART!$A$2:$FA$315, 25, FALSE)="",":",VLOOKUP($E$35,[1]QUART!$A$2:$FA$315, 25, FALSE))</f>
        <v>:</v>
      </c>
      <c r="AA35" s="544" t="str">
        <f>IF(VLOOKUP($E$35,[1]QUART!$A$2:$FA$315, 26, FALSE)="",":",VLOOKUP($E$35,[1]QUART!$A$2:$FA$315, 26, FALSE))</f>
        <v>:</v>
      </c>
      <c r="AB35" s="544" t="str">
        <f>IF(VLOOKUP($E$35,[1]QUART!$A$2:$FA$315, 27, FALSE)="",":",VLOOKUP($E$35,[1]QUART!$A$2:$FA$315, 27, FALSE))</f>
        <v>:</v>
      </c>
      <c r="AC35" s="544" t="str">
        <f>IF(VLOOKUP($E$35,[1]QUART!$A$2:$FA$315, 28, FALSE)="",":",VLOOKUP($E$35,[1]QUART!$A$2:$FA$315, 28, FALSE))</f>
        <v>:</v>
      </c>
      <c r="AD35" s="544" t="str">
        <f>IF(VLOOKUP($E$35,[1]QUART!$A$2:$FA$315, 29, FALSE)="",":",VLOOKUP($E$35,[1]QUART!$A$2:$FA$315, 29, FALSE))</f>
        <v>:</v>
      </c>
      <c r="AE35" s="544" t="str">
        <f>IF(VLOOKUP($E$35,[1]QUART!$A$2:$FA$315, 30, FALSE)="",":",VLOOKUP($E$35,[1]QUART!$A$2:$FA$315, 30, FALSE))</f>
        <v>:</v>
      </c>
      <c r="AF35" s="544" t="str">
        <f>IF(VLOOKUP($E$35,[1]QUART!$A$2:$FA$315, 31, FALSE)="",":",VLOOKUP($E$35,[1]QUART!$A$2:$FA$315, 31, FALSE))</f>
        <v>:</v>
      </c>
      <c r="AG35" s="544" t="str">
        <f>IF(VLOOKUP($E$35,[1]QUART!$A$2:$FA$315, 32, FALSE)="",":",VLOOKUP($E$35,[1]QUART!$A$2:$FA$315, 32, FALSE))</f>
        <v>:</v>
      </c>
      <c r="AH35" s="544" t="str">
        <f>IF(VLOOKUP($E$35,[1]QUART!$A$2:$FA$315, 33, FALSE)="",":",VLOOKUP($E$35,[1]QUART!$A$2:$FA$315, 33, FALSE))</f>
        <v>:</v>
      </c>
      <c r="AI35" s="544" t="str">
        <f>IF(VLOOKUP($E$35,[1]QUART!$A$2:$FA$315, 34, FALSE)="",":",VLOOKUP($E$35,[1]QUART!$A$2:$FA$315, 34, FALSE))</f>
        <v>:</v>
      </c>
      <c r="AJ35" s="544" t="str">
        <f>IF(VLOOKUP($E$35,[1]QUART!$A$2:$FA$315, 35, FALSE)="",":",VLOOKUP($E$35,[1]QUART!$A$2:$FA$315, 35, FALSE))</f>
        <v>:</v>
      </c>
      <c r="AK35" s="544" t="str">
        <f>IF(VLOOKUP($E$35,[1]QUART!$A$2:$FA$315, 36, FALSE)="",":",VLOOKUP($E$35,[1]QUART!$A$2:$FA$315, 36, FALSE))</f>
        <v>:</v>
      </c>
      <c r="AL35" s="544" t="str">
        <f>IF(VLOOKUP($E$35,[1]QUART!$A$2:$FA$315, 37, FALSE)="",":",VLOOKUP($E$35,[1]QUART!$A$2:$FA$315, 37, FALSE))</f>
        <v>:</v>
      </c>
      <c r="AM35" s="544" t="str">
        <f>IF(VLOOKUP($E$35,[1]QUART!$A$2:$FA$315, 38, FALSE)="",":",VLOOKUP($E$35,[1]QUART!$A$2:$FA$315, 38, FALSE))</f>
        <v>:</v>
      </c>
      <c r="AN35" s="544" t="str">
        <f>IF(VLOOKUP($E$35,[1]QUART!$A$2:$FA$315, 39, FALSE)="",":",VLOOKUP($E$35,[1]QUART!$A$2:$FA$315, 39, FALSE))</f>
        <v>:</v>
      </c>
      <c r="AO35" s="544" t="str">
        <f>IF(VLOOKUP($E$35,[1]QUART!$A$2:$FA$315, 40, FALSE)="",":",VLOOKUP($E$35,[1]QUART!$A$2:$FA$315, 40, FALSE))</f>
        <v>:</v>
      </c>
      <c r="AP35" s="544" t="str">
        <f>IF(VLOOKUP($E$35,[1]QUART!$A$2:$FA$315, 41, FALSE)="",":",VLOOKUP($E$35,[1]QUART!$A$2:$FA$315, 41, FALSE))</f>
        <v>:</v>
      </c>
      <c r="AQ35" s="544" t="str">
        <f>IF(VLOOKUP($E$35,[1]QUART!$A$2:$FA$315, 42, FALSE)="",":",VLOOKUP($E$35,[1]QUART!$A$2:$FA$315, 42, FALSE))</f>
        <v>:</v>
      </c>
      <c r="AR35" s="544" t="str">
        <f>IF(VLOOKUP($E$35,[1]QUART!$A$2:$FA$315, 43, FALSE)="",":",VLOOKUP($E$35,[1]QUART!$A$2:$FA$315, 43, FALSE))</f>
        <v>:</v>
      </c>
      <c r="AS35" s="544" t="str">
        <f>IF(VLOOKUP($E$35,[1]QUART!$A$2:$FA$315, 44, FALSE)="",":",VLOOKUP($E$35,[1]QUART!$A$2:$FA$315, 44, FALSE))</f>
        <v>:</v>
      </c>
      <c r="AT35" s="544" t="str">
        <f>IF(VLOOKUP($E$35,[1]QUART!$A$2:$FA$315, 45, FALSE)="",":",VLOOKUP($E$35,[1]QUART!$A$2:$FA$315, 45, FALSE))</f>
        <v>:</v>
      </c>
      <c r="AU35" s="544" t="str">
        <f>IF(VLOOKUP($E$35,[1]QUART!$A$2:$FA$315, 46, FALSE)="",":",VLOOKUP($E$35,[1]QUART!$A$2:$FA$315, 46, FALSE))</f>
        <v>:</v>
      </c>
      <c r="AV35" s="544" t="str">
        <f>IF(VLOOKUP($E$35,[1]QUART!$A$2:$FA$315, 47, FALSE)="",":",VLOOKUP($E$35,[1]QUART!$A$2:$FA$315, 47, FALSE))</f>
        <v>:</v>
      </c>
      <c r="AW35" s="544" t="str">
        <f>IF(VLOOKUP($E$35,[1]QUART!$A$2:$FA$315, 48, FALSE)="",":",VLOOKUP($E$35,[1]QUART!$A$2:$FA$315, 48, FALSE))</f>
        <v>:</v>
      </c>
      <c r="AX35" s="544" t="str">
        <f>IF(VLOOKUP($E$35,[1]QUART!$A$2:$FA$315, 49, FALSE)="",":",VLOOKUP($E$35,[1]QUART!$A$2:$FA$315, 49, FALSE))</f>
        <v>:</v>
      </c>
      <c r="AY35" s="544" t="str">
        <f>IF(VLOOKUP($E$35,[1]QUART!$A$2:$FA$315, 50, FALSE)="",":",VLOOKUP($E$35,[1]QUART!$A$2:$FA$315, 50, FALSE))</f>
        <v>:</v>
      </c>
      <c r="AZ35" s="544" t="str">
        <f>IF(VLOOKUP($E$35,[1]QUART!$A$2:$FA$315, 51, FALSE)="",":",VLOOKUP($E$35,[1]QUART!$A$2:$FA$315, 51, FALSE))</f>
        <v>:</v>
      </c>
      <c r="BA35" s="544" t="str">
        <f>IF(VLOOKUP($E$35,[1]QUART!$A$2:$FA$315, 52, FALSE)="",":",VLOOKUP($E$35,[1]QUART!$A$2:$FA$315, 52, FALSE))</f>
        <v>:</v>
      </c>
      <c r="BB35" s="544" t="str">
        <f>IF(VLOOKUP($E$35,[1]QUART!$A$2:$FA$315, 53, FALSE)="",":",VLOOKUP($E$35,[1]QUART!$A$2:$FA$315, 53, FALSE))</f>
        <v>:</v>
      </c>
      <c r="BC35" s="544" t="str">
        <f>IF(VLOOKUP($E$35,[1]QUART!$A$2:$FA$315, 54, FALSE)="",":",VLOOKUP($E$35,[1]QUART!$A$2:$FA$315, 54, FALSE))</f>
        <v>:</v>
      </c>
      <c r="BD35" s="544" t="str">
        <f>IF(VLOOKUP($E$35,[1]QUART!$A$2:$FA$315, 55, FALSE)="",":",VLOOKUP($E$35,[1]QUART!$A$2:$FA$315, 55, FALSE))</f>
        <v>:</v>
      </c>
      <c r="BE35" s="544" t="str">
        <f>IF(VLOOKUP($E$35,[1]QUART!$A$2:$FA$315, 56, FALSE)="",":",VLOOKUP($E$35,[1]QUART!$A$2:$FA$315, 56, FALSE))</f>
        <v>:</v>
      </c>
      <c r="BF35" s="544" t="str">
        <f>IF(VLOOKUP($E$35,[1]QUART!$A$2:$FA$315, 57, FALSE)="",":",VLOOKUP($E$35,[1]QUART!$A$2:$FA$315, 57, FALSE))</f>
        <v>:</v>
      </c>
      <c r="BG35" s="544" t="str">
        <f>IF(VLOOKUP($E$35,[1]QUART!$A$2:$FA$315, 58, FALSE)="",":",VLOOKUP($E$35,[1]QUART!$A$2:$FA$315, 58, FALSE))</f>
        <v>:</v>
      </c>
      <c r="BH35" s="544" t="str">
        <f>IF(VLOOKUP($E$35,[1]QUART!$A$2:$FA$315, 59, FALSE)="",":",VLOOKUP($E$35,[1]QUART!$A$2:$FA$315, 59, FALSE))</f>
        <v>:</v>
      </c>
      <c r="BI35" s="544" t="str">
        <f>IF(VLOOKUP($E$35,[1]QUART!$A$2:$FA$315, 60, FALSE)="",":",VLOOKUP($E$35,[1]QUART!$A$2:$FA$315, 60, FALSE))</f>
        <v>:</v>
      </c>
      <c r="BJ35" s="544" t="str">
        <f>IF(VLOOKUP($E$35,[1]QUART!$A$2:$FA$315, 61, FALSE)="",":",VLOOKUP($E$35,[1]QUART!$A$2:$FA$315, 61, FALSE))</f>
        <v>:</v>
      </c>
      <c r="BK35" s="544" t="str">
        <f>IF(VLOOKUP($E$35,[1]QUART!$A$2:$FA$315, 62, FALSE)="",":",VLOOKUP($E$35,[1]QUART!$A$2:$FA$315, 62, FALSE))</f>
        <v>:</v>
      </c>
      <c r="BL35" s="544" t="str">
        <f>IF(VLOOKUP($E$35,[1]QUART!$A$2:$FA$315, 63, FALSE)="",":",VLOOKUP($E$35,[1]QUART!$A$2:$FA$315, 63, FALSE))</f>
        <v>:</v>
      </c>
      <c r="BM35" s="544" t="str">
        <f>IF(VLOOKUP($E$35,[1]QUART!$A$2:$FA$315, 64, FALSE)="",":",VLOOKUP($E$35,[1]QUART!$A$2:$FA$315, 64, FALSE))</f>
        <v>:</v>
      </c>
      <c r="BN35" s="544" t="str">
        <f>IF(VLOOKUP($E$35,[1]QUART!$A$2:$FA$315, 65, FALSE)="",":",VLOOKUP($E$35,[1]QUART!$A$2:$FA$315, 65, FALSE))</f>
        <v>:</v>
      </c>
      <c r="BO35" s="544" t="str">
        <f>IF(VLOOKUP($E$35,[1]QUART!$A$2:$FA$315, 66, FALSE)="",":",VLOOKUP($E$35,[1]QUART!$A$2:$FA$315, 66, FALSE))</f>
        <v>:</v>
      </c>
      <c r="BP35" s="544" t="str">
        <f>IF(VLOOKUP($E$35,[1]QUART!$A$2:$FA$315, 67, FALSE)="",":",VLOOKUP($E$35,[1]QUART!$A$2:$FA$315, 67, FALSE))</f>
        <v>:</v>
      </c>
      <c r="BQ35" s="544" t="str">
        <f>IF(VLOOKUP($E$35,[1]QUART!$A$2:$FA$315, 68, FALSE)="",":",VLOOKUP($E$35,[1]QUART!$A$2:$FA$315, 68, FALSE))</f>
        <v>:</v>
      </c>
      <c r="BR35" s="544" t="str">
        <f>IF(VLOOKUP($E$35,[1]QUART!$A$2:$FA$315, 69, FALSE)="",":",VLOOKUP($E$35,[1]QUART!$A$2:$FA$315, 69, FALSE))</f>
        <v>:</v>
      </c>
      <c r="BS35" s="544" t="str">
        <f>IF(VLOOKUP($E$35,[1]QUART!$A$2:$FA$315, 70, FALSE)="",":",VLOOKUP($E$35,[1]QUART!$A$2:$FA$315, 70, FALSE))</f>
        <v>:</v>
      </c>
      <c r="BT35" s="544" t="str">
        <f>IF(VLOOKUP($E$35,[1]QUART!$A$2:$FA$315, 71, FALSE)="",":",VLOOKUP($E$35,[1]QUART!$A$2:$FA$315, 71, FALSE))</f>
        <v>:</v>
      </c>
      <c r="BU35" s="544" t="str">
        <f>IF(VLOOKUP($E$35,[1]QUART!$A$2:$FA$315, 72, FALSE)="",":",VLOOKUP($E$35,[1]QUART!$A$2:$FA$315, 72, FALSE))</f>
        <v>:</v>
      </c>
      <c r="BV35" s="544" t="str">
        <f>IF(VLOOKUP($E$35,[1]QUART!$A$2:$FA$315, 73, FALSE)="",":",VLOOKUP($E$35,[1]QUART!$A$2:$FA$315, 73, FALSE))</f>
        <v>:</v>
      </c>
      <c r="BW35" s="544" t="str">
        <f>IF(VLOOKUP($E$35,[1]QUART!$A$2:$FA$315, 74, FALSE)="",":",VLOOKUP($E$35,[1]QUART!$A$2:$FA$315, 74, FALSE))</f>
        <v>:</v>
      </c>
      <c r="BX35" s="544" t="str">
        <f>IF(VLOOKUP($E$35,[1]QUART!$A$2:$FA$315, 75, FALSE)="",":",VLOOKUP($E$35,[1]QUART!$A$2:$FA$315, 75, FALSE))</f>
        <v>:</v>
      </c>
      <c r="BY35" s="544" t="str">
        <f>IF(VLOOKUP($E$35,[1]QUART!$A$2:$FA$315, 76, FALSE)="",":",VLOOKUP($E$35,[1]QUART!$A$2:$FA$315, 76, FALSE))</f>
        <v>:</v>
      </c>
      <c r="BZ35" s="544" t="str">
        <f>IF(VLOOKUP($E$35,[1]QUART!$A$2:$FA$315, 77, FALSE)="",":",VLOOKUP($E$35,[1]QUART!$A$2:$FA$315, 77, FALSE))</f>
        <v>:</v>
      </c>
      <c r="CA35" s="544" t="str">
        <f>IF(VLOOKUP($E$35,[1]QUART!$A$2:$FA$315, 78, FALSE)="",":",VLOOKUP($E$35,[1]QUART!$A$2:$FA$315, 78, FALSE))</f>
        <v>:</v>
      </c>
      <c r="CB35" s="544" t="str">
        <f>IF(VLOOKUP($E$35,[1]QUART!$A$2:$FA$315, 79, FALSE)="",":",VLOOKUP($E$35,[1]QUART!$A$2:$FA$315, 79, FALSE))</f>
        <v>:</v>
      </c>
      <c r="CC35" s="544" t="str">
        <f>IF(VLOOKUP($E$35,[1]QUART!$A$2:$FA$315, 80, FALSE)="",":",VLOOKUP($E$35,[1]QUART!$A$2:$FA$315, 80, FALSE))</f>
        <v>:</v>
      </c>
      <c r="CD35" s="544" t="str">
        <f>IF(VLOOKUP($E$35,[1]QUART!$A$2:$FA$315, 81, FALSE)="",":",VLOOKUP($E$35,[1]QUART!$A$2:$FA$315, 81, FALSE))</f>
        <v>:</v>
      </c>
      <c r="CE35" s="544" t="str">
        <f>IF(VLOOKUP($E$35,[1]QUART!$A$2:$FA$315, 82, FALSE)="",":",VLOOKUP($E$35,[1]QUART!$A$2:$FA$315, 82, FALSE))</f>
        <v>:</v>
      </c>
      <c r="CF35" s="544" t="str">
        <f>IF(VLOOKUP($E$35,[1]QUART!$A$2:$FA$315, 83, FALSE)="",":",VLOOKUP($E$35,[1]QUART!$A$2:$FA$315, 83, FALSE))</f>
        <v>:</v>
      </c>
      <c r="CG35" s="544" t="str">
        <f>IF(VLOOKUP($E$35,[1]QUART!$A$2:$FA$315, 84, FALSE)="",":",VLOOKUP($E$35,[1]QUART!$A$2:$FA$315, 84, FALSE))</f>
        <v>:</v>
      </c>
      <c r="CH35" s="544" t="str">
        <f>IF(VLOOKUP($E$35,[1]QUART!$A$2:$FA$315, 85, FALSE)="",":",VLOOKUP($E$35,[1]QUART!$A$2:$FA$315, 85, FALSE))</f>
        <v>:</v>
      </c>
      <c r="CI35" s="544" t="str">
        <f>IF(VLOOKUP($E$35,[1]QUART!$A$2:$FA$315, 86, FALSE)="",":",VLOOKUP($E$35,[1]QUART!$A$2:$FA$315, 86, FALSE))</f>
        <v>:</v>
      </c>
      <c r="CJ35" s="544" t="str">
        <f>IF(VLOOKUP($E$35,[1]QUART!$A$2:$FA$315, 87, FALSE)="",":",VLOOKUP($E$35,[1]QUART!$A$2:$FA$315, 87, FALSE))</f>
        <v>:</v>
      </c>
      <c r="CK35" s="544" t="str">
        <f>IF(VLOOKUP($E$35,[1]QUART!$A$2:$FA$315, 88, FALSE)="",":",VLOOKUP($E$35,[1]QUART!$A$2:$FA$315, 88, FALSE))</f>
        <v>:</v>
      </c>
      <c r="CL35" s="544" t="str">
        <f>IF(VLOOKUP($E$35,[1]QUART!$A$2:$FA$315, 89, FALSE)="",":",VLOOKUP($E$35,[1]QUART!$A$2:$FA$315, 89, FALSE))</f>
        <v>:</v>
      </c>
      <c r="CM35" s="544" t="str">
        <f>IF(VLOOKUP($E$35,[1]QUART!$A$2:$FA$315, 90, FALSE)="",":",VLOOKUP($E$35,[1]QUART!$A$2:$FA$315, 90, FALSE))</f>
        <v>:</v>
      </c>
      <c r="CN35" s="544" t="str">
        <f>IF(VLOOKUP($E$35,[1]QUART!$A$2:$FA$315, 91, FALSE)="",":",VLOOKUP($E$35,[1]QUART!$A$2:$FA$315, 91, FALSE))</f>
        <v>:</v>
      </c>
      <c r="CO35" s="544" t="str">
        <f>IF(VLOOKUP($E$35,[1]QUART!$A$2:$FA$315, 92, FALSE)="",":",VLOOKUP($E$35,[1]QUART!$A$2:$FA$315, 92, FALSE))</f>
        <v>:</v>
      </c>
      <c r="CP35" s="544" t="str">
        <f>IF(VLOOKUP($E$35,[1]QUART!$A$2:$FA$315, 93, FALSE)="",":",VLOOKUP($E$35,[1]QUART!$A$2:$FA$315, 93, FALSE))</f>
        <v>:</v>
      </c>
      <c r="CQ35" s="544" t="str">
        <f>IF(VLOOKUP($E$35,[1]QUART!$A$2:$FA$315, 94, FALSE)="",":",VLOOKUP($E$35,[1]QUART!$A$2:$FA$315, 94, FALSE))</f>
        <v>:</v>
      </c>
      <c r="CR35" s="544" t="str">
        <f>IF(VLOOKUP($E$35,[1]QUART!$A$2:$FA$315, 95, FALSE)="",":",VLOOKUP($E$35,[1]QUART!$A$2:$FA$315, 95, FALSE))</f>
        <v>:</v>
      </c>
      <c r="CS35" s="544" t="str">
        <f>IF(VLOOKUP($E$35,[1]QUART!$A$2:$FA$315, 96, FALSE)="",":",VLOOKUP($E$35,[1]QUART!$A$2:$FA$315, 96, FALSE))</f>
        <v>:</v>
      </c>
      <c r="CT35" s="544" t="str">
        <f>IF(VLOOKUP($E$35,[1]QUART!$A$2:$FA$315, 97, FALSE)="",":",VLOOKUP($E$35,[1]QUART!$A$2:$FA$315, 97, FALSE))</f>
        <v>:</v>
      </c>
      <c r="CU35" s="544" t="str">
        <f>IF(VLOOKUP($E$35,[1]QUART!$A$2:$FA$315, 98, FALSE)="",":",VLOOKUP($E$35,[1]QUART!$A$2:$FA$315, 98, FALSE))</f>
        <v>:</v>
      </c>
      <c r="CV35" s="544" t="str">
        <f>IF(VLOOKUP($E$35,[1]QUART!$A$2:$FA$315, 99, FALSE)="",":",VLOOKUP($E$35,[1]QUART!$A$2:$FA$315, 99, FALSE))</f>
        <v>:</v>
      </c>
      <c r="CW35" s="544" t="str">
        <f>IF(VLOOKUP($E$35,[1]QUART!$A$2:$FA$315, 100, FALSE)="",":",VLOOKUP($E$35,[1]QUART!$A$2:$FA$315, 100, FALSE))</f>
        <v>:</v>
      </c>
      <c r="CX35" s="544" t="str">
        <f>IF(VLOOKUP($E$35,[1]QUART!$A$2:$FA$315, 101, FALSE)="",":",VLOOKUP($E$35,[1]QUART!$A$2:$FA$315, 101, FALSE))</f>
        <v>:</v>
      </c>
      <c r="CY35" s="544" t="str">
        <f>IF(VLOOKUP($E$35,[1]QUART!$A$2:$FA$315, 102, FALSE)="",":",VLOOKUP($E$35,[1]QUART!$A$2:$FA$315, 102, FALSE))</f>
        <v>:</v>
      </c>
      <c r="CZ35" s="544" t="str">
        <f>IF(VLOOKUP($E$35,[1]QUART!$A$2:$FA$315, 103, FALSE)="",":",VLOOKUP($E$35,[1]QUART!$A$2:$FA$315, 103, FALSE))</f>
        <v>:</v>
      </c>
      <c r="DA35" s="544" t="str">
        <f>IF(VLOOKUP($E$35,[1]QUART!$A$2:$FA$315, 104, FALSE)="",":",VLOOKUP($E$35,[1]QUART!$A$2:$FA$315, 104, FALSE))</f>
        <v>:</v>
      </c>
      <c r="DB35" s="544" t="str">
        <f>IF(VLOOKUP($E$35,[1]QUART!$A$2:$FA$315, 105, FALSE)="",":",VLOOKUP($E$35,[1]QUART!$A$2:$FA$315, 105, FALSE))</f>
        <v>:</v>
      </c>
      <c r="DC35" s="544" t="str">
        <f>IF(VLOOKUP($E$35,[1]QUART!$A$2:$FA$315, 106, FALSE)="",":",VLOOKUP($E$35,[1]QUART!$A$2:$FA$315, 106, FALSE))</f>
        <v>:</v>
      </c>
    </row>
    <row r="36" spans="1:107">
      <c r="A36" s="1954"/>
      <c r="B36" s="534"/>
      <c r="C36" s="535"/>
      <c r="D36" s="12" t="s">
        <v>1841</v>
      </c>
      <c r="E36" s="13">
        <v>102</v>
      </c>
      <c r="F36" s="14" t="str">
        <f>VLOOKUP($E$36,[1]QUART!$A$2:$FA$315, 3, FALSE)</f>
        <v xml:space="preserve">102  Gross fixed capital formation                                                   </v>
      </c>
      <c r="G36" s="544" t="str">
        <f>IF(VLOOKUP($E$36,[1]QUART!$A$2:$FA$315, 6, FALSE)="",":",VLOOKUP($E$36,[1]QUART!$A$2:$FA$315, 6, FALSE))</f>
        <v>:</v>
      </c>
      <c r="H36" s="544" t="str">
        <f>IF(VLOOKUP($E$36,[1]QUART!$A$2:$FA$315, 7, FALSE)="",":",VLOOKUP($E$36,[1]QUART!$A$2:$FA$315, 7, FALSE))</f>
        <v>:</v>
      </c>
      <c r="I36" s="544" t="str">
        <f>IF(VLOOKUP($E$36,[1]QUART!$A$2:$FA$315, 8, FALSE)="",":",VLOOKUP($E$36,[1]QUART!$A$2:$FA$315, 8, FALSE))</f>
        <v>:</v>
      </c>
      <c r="J36" s="544" t="str">
        <f>IF(VLOOKUP($E$36,[1]QUART!$A$2:$FA$315, 9, FALSE)="",":",VLOOKUP($E$36,[1]QUART!$A$2:$FA$315, 9, FALSE))</f>
        <v>:</v>
      </c>
      <c r="K36" s="544" t="str">
        <f>IF(VLOOKUP($E$36,[1]QUART!$A$2:$FA$315, 10, FALSE)="",":",VLOOKUP($E$36,[1]QUART!$A$2:$FA$315, 10, FALSE))</f>
        <v>:</v>
      </c>
      <c r="L36" s="544" t="str">
        <f>IF(VLOOKUP($E$36,[1]QUART!$A$2:$FA$315, 11, FALSE)="",":",VLOOKUP($E$36,[1]QUART!$A$2:$FA$315, 11, FALSE))</f>
        <v>:</v>
      </c>
      <c r="M36" s="544" t="str">
        <f>IF(VLOOKUP($E$36,[1]QUART!$A$2:$FA$315, 12, FALSE)="",":",VLOOKUP($E$36,[1]QUART!$A$2:$FA$315, 12, FALSE))</f>
        <v>:</v>
      </c>
      <c r="N36" s="544" t="str">
        <f>IF(VLOOKUP($E$36,[1]QUART!$A$2:$FA$315, 13, FALSE)="",":",VLOOKUP($E$36,[1]QUART!$A$2:$FA$315, 13, FALSE))</f>
        <v>:</v>
      </c>
      <c r="O36" s="544" t="str">
        <f>IF(VLOOKUP($E$36,[1]QUART!$A$2:$FA$315, 14, FALSE)="",":",VLOOKUP($E$36,[1]QUART!$A$2:$FA$315, 14, FALSE))</f>
        <v>:</v>
      </c>
      <c r="P36" s="544" t="str">
        <f>IF(VLOOKUP($E$36,[1]QUART!$A$2:$FA$315, 15, FALSE)="",":",VLOOKUP($E$36,[1]QUART!$A$2:$FA$315, 15, FALSE))</f>
        <v>:</v>
      </c>
      <c r="Q36" s="544" t="str">
        <f>IF(VLOOKUP($E$36,[1]QUART!$A$2:$FA$315, 16, FALSE)="",":",VLOOKUP($E$36,[1]QUART!$A$2:$FA$315, 16, FALSE))</f>
        <v>:</v>
      </c>
      <c r="R36" s="544" t="str">
        <f>IF(VLOOKUP($E$36,[1]QUART!$A$2:$FA$315, 17, FALSE)="",":",VLOOKUP($E$36,[1]QUART!$A$2:$FA$315, 17, FALSE))</f>
        <v>:</v>
      </c>
      <c r="S36" s="544" t="str">
        <f>IF(VLOOKUP($E$36,[1]QUART!$A$2:$FA$315, 18, FALSE)="",":",VLOOKUP($E$36,[1]QUART!$A$2:$FA$315, 18, FALSE))</f>
        <v>:</v>
      </c>
      <c r="T36" s="544" t="str">
        <f>IF(VLOOKUP($E$36,[1]QUART!$A$2:$FA$315, 19, FALSE)="",":",VLOOKUP($E$36,[1]QUART!$A$2:$FA$315, 19, FALSE))</f>
        <v>:</v>
      </c>
      <c r="U36" s="544" t="str">
        <f>IF(VLOOKUP($E$36,[1]QUART!$A$2:$FA$315, 20, FALSE)="",":",VLOOKUP($E$36,[1]QUART!$A$2:$FA$315, 20, FALSE))</f>
        <v>:</v>
      </c>
      <c r="V36" s="544" t="str">
        <f>IF(VLOOKUP($E$36,[1]QUART!$A$2:$FA$315, 21, FALSE)="",":",VLOOKUP($E$36,[1]QUART!$A$2:$FA$315, 21, FALSE))</f>
        <v>:</v>
      </c>
      <c r="W36" s="544" t="str">
        <f>IF(VLOOKUP($E$36,[1]QUART!$A$2:$FA$315, 22, FALSE)="",":",VLOOKUP($E$36,[1]QUART!$A$2:$FA$315, 22, FALSE))</f>
        <v>:</v>
      </c>
      <c r="X36" s="544" t="str">
        <f>IF(VLOOKUP($E$36,[1]QUART!$A$2:$FA$315, 23, FALSE)="",":",VLOOKUP($E$36,[1]QUART!$A$2:$FA$315, 23, FALSE))</f>
        <v>:</v>
      </c>
      <c r="Y36" s="544" t="str">
        <f>IF(VLOOKUP($E$36,[1]QUART!$A$2:$FA$315, 24, FALSE)="",":",VLOOKUP($E$36,[1]QUART!$A$2:$FA$315, 24, FALSE))</f>
        <v>:</v>
      </c>
      <c r="Z36" s="544" t="str">
        <f>IF(VLOOKUP($E$36,[1]QUART!$A$2:$FA$315, 25, FALSE)="",":",VLOOKUP($E$36,[1]QUART!$A$2:$FA$315, 25, FALSE))</f>
        <v>:</v>
      </c>
      <c r="AA36" s="544" t="str">
        <f>IF(VLOOKUP($E$36,[1]QUART!$A$2:$FA$315, 26, FALSE)="",":",VLOOKUP($E$36,[1]QUART!$A$2:$FA$315, 26, FALSE))</f>
        <v>:</v>
      </c>
      <c r="AB36" s="544" t="str">
        <f>IF(VLOOKUP($E$36,[1]QUART!$A$2:$FA$315, 27, FALSE)="",":",VLOOKUP($E$36,[1]QUART!$A$2:$FA$315, 27, FALSE))</f>
        <v>:</v>
      </c>
      <c r="AC36" s="544" t="str">
        <f>IF(VLOOKUP($E$36,[1]QUART!$A$2:$FA$315, 28, FALSE)="",":",VLOOKUP($E$36,[1]QUART!$A$2:$FA$315, 28, FALSE))</f>
        <v>:</v>
      </c>
      <c r="AD36" s="544" t="str">
        <f>IF(VLOOKUP($E$36,[1]QUART!$A$2:$FA$315, 29, FALSE)="",":",VLOOKUP($E$36,[1]QUART!$A$2:$FA$315, 29, FALSE))</f>
        <v>:</v>
      </c>
      <c r="AE36" s="544" t="str">
        <f>IF(VLOOKUP($E$36,[1]QUART!$A$2:$FA$315, 30, FALSE)="",":",VLOOKUP($E$36,[1]QUART!$A$2:$FA$315, 30, FALSE))</f>
        <v>:</v>
      </c>
      <c r="AF36" s="544" t="str">
        <f>IF(VLOOKUP($E$36,[1]QUART!$A$2:$FA$315, 31, FALSE)="",":",VLOOKUP($E$36,[1]QUART!$A$2:$FA$315, 31, FALSE))</f>
        <v>:</v>
      </c>
      <c r="AG36" s="544" t="str">
        <f>IF(VLOOKUP($E$36,[1]QUART!$A$2:$FA$315, 32, FALSE)="",":",VLOOKUP($E$36,[1]QUART!$A$2:$FA$315, 32, FALSE))</f>
        <v>:</v>
      </c>
      <c r="AH36" s="544" t="str">
        <f>IF(VLOOKUP($E$36,[1]QUART!$A$2:$FA$315, 33, FALSE)="",":",VLOOKUP($E$36,[1]QUART!$A$2:$FA$315, 33, FALSE))</f>
        <v>:</v>
      </c>
      <c r="AI36" s="544" t="str">
        <f>IF(VLOOKUP($E$36,[1]QUART!$A$2:$FA$315, 34, FALSE)="",":",VLOOKUP($E$36,[1]QUART!$A$2:$FA$315, 34, FALSE))</f>
        <v>:</v>
      </c>
      <c r="AJ36" s="544" t="str">
        <f>IF(VLOOKUP($E$36,[1]QUART!$A$2:$FA$315, 35, FALSE)="",":",VLOOKUP($E$36,[1]QUART!$A$2:$FA$315, 35, FALSE))</f>
        <v>:</v>
      </c>
      <c r="AK36" s="544" t="str">
        <f>IF(VLOOKUP($E$36,[1]QUART!$A$2:$FA$315, 36, FALSE)="",":",VLOOKUP($E$36,[1]QUART!$A$2:$FA$315, 36, FALSE))</f>
        <v>:</v>
      </c>
      <c r="AL36" s="544" t="str">
        <f>IF(VLOOKUP($E$36,[1]QUART!$A$2:$FA$315, 37, FALSE)="",":",VLOOKUP($E$36,[1]QUART!$A$2:$FA$315, 37, FALSE))</f>
        <v>:</v>
      </c>
      <c r="AM36" s="544" t="str">
        <f>IF(VLOOKUP($E$36,[1]QUART!$A$2:$FA$315, 38, FALSE)="",":",VLOOKUP($E$36,[1]QUART!$A$2:$FA$315, 38, FALSE))</f>
        <v>:</v>
      </c>
      <c r="AN36" s="544" t="str">
        <f>IF(VLOOKUP($E$36,[1]QUART!$A$2:$FA$315, 39, FALSE)="",":",VLOOKUP($E$36,[1]QUART!$A$2:$FA$315, 39, FALSE))</f>
        <v>:</v>
      </c>
      <c r="AO36" s="544" t="str">
        <f>IF(VLOOKUP($E$36,[1]QUART!$A$2:$FA$315, 40, FALSE)="",":",VLOOKUP($E$36,[1]QUART!$A$2:$FA$315, 40, FALSE))</f>
        <v>:</v>
      </c>
      <c r="AP36" s="544" t="str">
        <f>IF(VLOOKUP($E$36,[1]QUART!$A$2:$FA$315, 41, FALSE)="",":",VLOOKUP($E$36,[1]QUART!$A$2:$FA$315, 41, FALSE))</f>
        <v>:</v>
      </c>
      <c r="AQ36" s="544" t="str">
        <f>IF(VLOOKUP($E$36,[1]QUART!$A$2:$FA$315, 42, FALSE)="",":",VLOOKUP($E$36,[1]QUART!$A$2:$FA$315, 42, FALSE))</f>
        <v>:</v>
      </c>
      <c r="AR36" s="544" t="str">
        <f>IF(VLOOKUP($E$36,[1]QUART!$A$2:$FA$315, 43, FALSE)="",":",VLOOKUP($E$36,[1]QUART!$A$2:$FA$315, 43, FALSE))</f>
        <v>:</v>
      </c>
      <c r="AS36" s="544" t="str">
        <f>IF(VLOOKUP($E$36,[1]QUART!$A$2:$FA$315, 44, FALSE)="",":",VLOOKUP($E$36,[1]QUART!$A$2:$FA$315, 44, FALSE))</f>
        <v>:</v>
      </c>
      <c r="AT36" s="544" t="str">
        <f>IF(VLOOKUP($E$36,[1]QUART!$A$2:$FA$315, 45, FALSE)="",":",VLOOKUP($E$36,[1]QUART!$A$2:$FA$315, 45, FALSE))</f>
        <v>:</v>
      </c>
      <c r="AU36" s="544" t="str">
        <f>IF(VLOOKUP($E$36,[1]QUART!$A$2:$FA$315, 46, FALSE)="",":",VLOOKUP($E$36,[1]QUART!$A$2:$FA$315, 46, FALSE))</f>
        <v>:</v>
      </c>
      <c r="AV36" s="544" t="str">
        <f>IF(VLOOKUP($E$36,[1]QUART!$A$2:$FA$315, 47, FALSE)="",":",VLOOKUP($E$36,[1]QUART!$A$2:$FA$315, 47, FALSE))</f>
        <v>:</v>
      </c>
      <c r="AW36" s="544" t="str">
        <f>IF(VLOOKUP($E$36,[1]QUART!$A$2:$FA$315, 48, FALSE)="",":",VLOOKUP($E$36,[1]QUART!$A$2:$FA$315, 48, FALSE))</f>
        <v>:</v>
      </c>
      <c r="AX36" s="544" t="str">
        <f>IF(VLOOKUP($E$36,[1]QUART!$A$2:$FA$315, 49, FALSE)="",":",VLOOKUP($E$36,[1]QUART!$A$2:$FA$315, 49, FALSE))</f>
        <v>:</v>
      </c>
      <c r="AY36" s="544" t="str">
        <f>IF(VLOOKUP($E$36,[1]QUART!$A$2:$FA$315, 50, FALSE)="",":",VLOOKUP($E$36,[1]QUART!$A$2:$FA$315, 50, FALSE))</f>
        <v>:</v>
      </c>
      <c r="AZ36" s="544" t="str">
        <f>IF(VLOOKUP($E$36,[1]QUART!$A$2:$FA$315, 51, FALSE)="",":",VLOOKUP($E$36,[1]QUART!$A$2:$FA$315, 51, FALSE))</f>
        <v>:</v>
      </c>
      <c r="BA36" s="544" t="str">
        <f>IF(VLOOKUP($E$36,[1]QUART!$A$2:$FA$315, 52, FALSE)="",":",VLOOKUP($E$36,[1]QUART!$A$2:$FA$315, 52, FALSE))</f>
        <v>:</v>
      </c>
      <c r="BB36" s="544" t="str">
        <f>IF(VLOOKUP($E$36,[1]QUART!$A$2:$FA$315, 53, FALSE)="",":",VLOOKUP($E$36,[1]QUART!$A$2:$FA$315, 53, FALSE))</f>
        <v>:</v>
      </c>
      <c r="BC36" s="544" t="str">
        <f>IF(VLOOKUP($E$36,[1]QUART!$A$2:$FA$315, 54, FALSE)="",":",VLOOKUP($E$36,[1]QUART!$A$2:$FA$315, 54, FALSE))</f>
        <v>:</v>
      </c>
      <c r="BD36" s="544" t="str">
        <f>IF(VLOOKUP($E$36,[1]QUART!$A$2:$FA$315, 55, FALSE)="",":",VLOOKUP($E$36,[1]QUART!$A$2:$FA$315, 55, FALSE))</f>
        <v>:</v>
      </c>
      <c r="BE36" s="544" t="str">
        <f>IF(VLOOKUP($E$36,[1]QUART!$A$2:$FA$315, 56, FALSE)="",":",VLOOKUP($E$36,[1]QUART!$A$2:$FA$315, 56, FALSE))</f>
        <v>:</v>
      </c>
      <c r="BF36" s="544" t="str">
        <f>IF(VLOOKUP($E$36,[1]QUART!$A$2:$FA$315, 57, FALSE)="",":",VLOOKUP($E$36,[1]QUART!$A$2:$FA$315, 57, FALSE))</f>
        <v>:</v>
      </c>
      <c r="BG36" s="544" t="str">
        <f>IF(VLOOKUP($E$36,[1]QUART!$A$2:$FA$315, 58, FALSE)="",":",VLOOKUP($E$36,[1]QUART!$A$2:$FA$315, 58, FALSE))</f>
        <v>:</v>
      </c>
      <c r="BH36" s="544" t="str">
        <f>IF(VLOOKUP($E$36,[1]QUART!$A$2:$FA$315, 59, FALSE)="",":",VLOOKUP($E$36,[1]QUART!$A$2:$FA$315, 59, FALSE))</f>
        <v>:</v>
      </c>
      <c r="BI36" s="544" t="str">
        <f>IF(VLOOKUP($E$36,[1]QUART!$A$2:$FA$315, 60, FALSE)="",":",VLOOKUP($E$36,[1]QUART!$A$2:$FA$315, 60, FALSE))</f>
        <v>:</v>
      </c>
      <c r="BJ36" s="544" t="str">
        <f>IF(VLOOKUP($E$36,[1]QUART!$A$2:$FA$315, 61, FALSE)="",":",VLOOKUP($E$36,[1]QUART!$A$2:$FA$315, 61, FALSE))</f>
        <v>:</v>
      </c>
      <c r="BK36" s="544" t="str">
        <f>IF(VLOOKUP($E$36,[1]QUART!$A$2:$FA$315, 62, FALSE)="",":",VLOOKUP($E$36,[1]QUART!$A$2:$FA$315, 62, FALSE))</f>
        <v>:</v>
      </c>
      <c r="BL36" s="544" t="str">
        <f>IF(VLOOKUP($E$36,[1]QUART!$A$2:$FA$315, 63, FALSE)="",":",VLOOKUP($E$36,[1]QUART!$A$2:$FA$315, 63, FALSE))</f>
        <v>:</v>
      </c>
      <c r="BM36" s="544" t="str">
        <f>IF(VLOOKUP($E$36,[1]QUART!$A$2:$FA$315, 64, FALSE)="",":",VLOOKUP($E$36,[1]QUART!$A$2:$FA$315, 64, FALSE))</f>
        <v>:</v>
      </c>
      <c r="BN36" s="544" t="str">
        <f>IF(VLOOKUP($E$36,[1]QUART!$A$2:$FA$315, 65, FALSE)="",":",VLOOKUP($E$36,[1]QUART!$A$2:$FA$315, 65, FALSE))</f>
        <v>:</v>
      </c>
      <c r="BO36" s="544" t="str">
        <f>IF(VLOOKUP($E$36,[1]QUART!$A$2:$FA$315, 66, FALSE)="",":",VLOOKUP($E$36,[1]QUART!$A$2:$FA$315, 66, FALSE))</f>
        <v>:</v>
      </c>
      <c r="BP36" s="544" t="str">
        <f>IF(VLOOKUP($E$36,[1]QUART!$A$2:$FA$315, 67, FALSE)="",":",VLOOKUP($E$36,[1]QUART!$A$2:$FA$315, 67, FALSE))</f>
        <v>:</v>
      </c>
      <c r="BQ36" s="544" t="str">
        <f>IF(VLOOKUP($E$36,[1]QUART!$A$2:$FA$315, 68, FALSE)="",":",VLOOKUP($E$36,[1]QUART!$A$2:$FA$315, 68, FALSE))</f>
        <v>:</v>
      </c>
      <c r="BR36" s="544" t="str">
        <f>IF(VLOOKUP($E$36,[1]QUART!$A$2:$FA$315, 69, FALSE)="",":",VLOOKUP($E$36,[1]QUART!$A$2:$FA$315, 69, FALSE))</f>
        <v>:</v>
      </c>
      <c r="BS36" s="544" t="str">
        <f>IF(VLOOKUP($E$36,[1]QUART!$A$2:$FA$315, 70, FALSE)="",":",VLOOKUP($E$36,[1]QUART!$A$2:$FA$315, 70, FALSE))</f>
        <v>:</v>
      </c>
      <c r="BT36" s="544" t="str">
        <f>IF(VLOOKUP($E$36,[1]QUART!$A$2:$FA$315, 71, FALSE)="",":",VLOOKUP($E$36,[1]QUART!$A$2:$FA$315, 71, FALSE))</f>
        <v>:</v>
      </c>
      <c r="BU36" s="544" t="str">
        <f>IF(VLOOKUP($E$36,[1]QUART!$A$2:$FA$315, 72, FALSE)="",":",VLOOKUP($E$36,[1]QUART!$A$2:$FA$315, 72, FALSE))</f>
        <v>:</v>
      </c>
      <c r="BV36" s="544" t="str">
        <f>IF(VLOOKUP($E$36,[1]QUART!$A$2:$FA$315, 73, FALSE)="",":",VLOOKUP($E$36,[1]QUART!$A$2:$FA$315, 73, FALSE))</f>
        <v>:</v>
      </c>
      <c r="BW36" s="544" t="str">
        <f>IF(VLOOKUP($E$36,[1]QUART!$A$2:$FA$315, 74, FALSE)="",":",VLOOKUP($E$36,[1]QUART!$A$2:$FA$315, 74, FALSE))</f>
        <v>:</v>
      </c>
      <c r="BX36" s="544" t="str">
        <f>IF(VLOOKUP($E$36,[1]QUART!$A$2:$FA$315, 75, FALSE)="",":",VLOOKUP($E$36,[1]QUART!$A$2:$FA$315, 75, FALSE))</f>
        <v>:</v>
      </c>
      <c r="BY36" s="544" t="str">
        <f>IF(VLOOKUP($E$36,[1]QUART!$A$2:$FA$315, 76, FALSE)="",":",VLOOKUP($E$36,[1]QUART!$A$2:$FA$315, 76, FALSE))</f>
        <v>:</v>
      </c>
      <c r="BZ36" s="544" t="str">
        <f>IF(VLOOKUP($E$36,[1]QUART!$A$2:$FA$315, 77, FALSE)="",":",VLOOKUP($E$36,[1]QUART!$A$2:$FA$315, 77, FALSE))</f>
        <v>:</v>
      </c>
      <c r="CA36" s="544" t="str">
        <f>IF(VLOOKUP($E$36,[1]QUART!$A$2:$FA$315, 78, FALSE)="",":",VLOOKUP($E$36,[1]QUART!$A$2:$FA$315, 78, FALSE))</f>
        <v>:</v>
      </c>
      <c r="CB36" s="544" t="str">
        <f>IF(VLOOKUP($E$36,[1]QUART!$A$2:$FA$315, 79, FALSE)="",":",VLOOKUP($E$36,[1]QUART!$A$2:$FA$315, 79, FALSE))</f>
        <v>:</v>
      </c>
      <c r="CC36" s="544" t="str">
        <f>IF(VLOOKUP($E$36,[1]QUART!$A$2:$FA$315, 80, FALSE)="",":",VLOOKUP($E$36,[1]QUART!$A$2:$FA$315, 80, FALSE))</f>
        <v>:</v>
      </c>
      <c r="CD36" s="544" t="str">
        <f>IF(VLOOKUP($E$36,[1]QUART!$A$2:$FA$315, 81, FALSE)="",":",VLOOKUP($E$36,[1]QUART!$A$2:$FA$315, 81, FALSE))</f>
        <v>:</v>
      </c>
      <c r="CE36" s="544" t="str">
        <f>IF(VLOOKUP($E$36,[1]QUART!$A$2:$FA$315, 82, FALSE)="",":",VLOOKUP($E$36,[1]QUART!$A$2:$FA$315, 82, FALSE))</f>
        <v>:</v>
      </c>
      <c r="CF36" s="544" t="str">
        <f>IF(VLOOKUP($E$36,[1]QUART!$A$2:$FA$315, 83, FALSE)="",":",VLOOKUP($E$36,[1]QUART!$A$2:$FA$315, 83, FALSE))</f>
        <v>:</v>
      </c>
      <c r="CG36" s="544" t="str">
        <f>IF(VLOOKUP($E$36,[1]QUART!$A$2:$FA$315, 84, FALSE)="",":",VLOOKUP($E$36,[1]QUART!$A$2:$FA$315, 84, FALSE))</f>
        <v>:</v>
      </c>
      <c r="CH36" s="544" t="str">
        <f>IF(VLOOKUP($E$36,[1]QUART!$A$2:$FA$315, 85, FALSE)="",":",VLOOKUP($E$36,[1]QUART!$A$2:$FA$315, 85, FALSE))</f>
        <v>:</v>
      </c>
      <c r="CI36" s="544" t="str">
        <f>IF(VLOOKUP($E$36,[1]QUART!$A$2:$FA$315, 86, FALSE)="",":",VLOOKUP($E$36,[1]QUART!$A$2:$FA$315, 86, FALSE))</f>
        <v>:</v>
      </c>
      <c r="CJ36" s="544" t="str">
        <f>IF(VLOOKUP($E$36,[1]QUART!$A$2:$FA$315, 87, FALSE)="",":",VLOOKUP($E$36,[1]QUART!$A$2:$FA$315, 87, FALSE))</f>
        <v>:</v>
      </c>
      <c r="CK36" s="544" t="str">
        <f>IF(VLOOKUP($E$36,[1]QUART!$A$2:$FA$315, 88, FALSE)="",":",VLOOKUP($E$36,[1]QUART!$A$2:$FA$315, 88, FALSE))</f>
        <v>:</v>
      </c>
      <c r="CL36" s="544" t="str">
        <f>IF(VLOOKUP($E$36,[1]QUART!$A$2:$FA$315, 89, FALSE)="",":",VLOOKUP($E$36,[1]QUART!$A$2:$FA$315, 89, FALSE))</f>
        <v>:</v>
      </c>
      <c r="CM36" s="544" t="str">
        <f>IF(VLOOKUP($E$36,[1]QUART!$A$2:$FA$315, 90, FALSE)="",":",VLOOKUP($E$36,[1]QUART!$A$2:$FA$315, 90, FALSE))</f>
        <v>:</v>
      </c>
      <c r="CN36" s="544" t="str">
        <f>IF(VLOOKUP($E$36,[1]QUART!$A$2:$FA$315, 91, FALSE)="",":",VLOOKUP($E$36,[1]QUART!$A$2:$FA$315, 91, FALSE))</f>
        <v>:</v>
      </c>
      <c r="CO36" s="544" t="str">
        <f>IF(VLOOKUP($E$36,[1]QUART!$A$2:$FA$315, 92, FALSE)="",":",VLOOKUP($E$36,[1]QUART!$A$2:$FA$315, 92, FALSE))</f>
        <v>:</v>
      </c>
      <c r="CP36" s="544" t="str">
        <f>IF(VLOOKUP($E$36,[1]QUART!$A$2:$FA$315, 93, FALSE)="",":",VLOOKUP($E$36,[1]QUART!$A$2:$FA$315, 93, FALSE))</f>
        <v>:</v>
      </c>
      <c r="CQ36" s="544" t="str">
        <f>IF(VLOOKUP($E$36,[1]QUART!$A$2:$FA$315, 94, FALSE)="",":",VLOOKUP($E$36,[1]QUART!$A$2:$FA$315, 94, FALSE))</f>
        <v>:</v>
      </c>
      <c r="CR36" s="544" t="str">
        <f>IF(VLOOKUP($E$36,[1]QUART!$A$2:$FA$315, 95, FALSE)="",":",VLOOKUP($E$36,[1]QUART!$A$2:$FA$315, 95, FALSE))</f>
        <v>:</v>
      </c>
      <c r="CS36" s="544" t="str">
        <f>IF(VLOOKUP($E$36,[1]QUART!$A$2:$FA$315, 96, FALSE)="",":",VLOOKUP($E$36,[1]QUART!$A$2:$FA$315, 96, FALSE))</f>
        <v>:</v>
      </c>
      <c r="CT36" s="544" t="str">
        <f>IF(VLOOKUP($E$36,[1]QUART!$A$2:$FA$315, 97, FALSE)="",":",VLOOKUP($E$36,[1]QUART!$A$2:$FA$315, 97, FALSE))</f>
        <v>:</v>
      </c>
      <c r="CU36" s="544" t="str">
        <f>IF(VLOOKUP($E$36,[1]QUART!$A$2:$FA$315, 98, FALSE)="",":",VLOOKUP($E$36,[1]QUART!$A$2:$FA$315, 98, FALSE))</f>
        <v>:</v>
      </c>
      <c r="CV36" s="544" t="str">
        <f>IF(VLOOKUP($E$36,[1]QUART!$A$2:$FA$315, 99, FALSE)="",":",VLOOKUP($E$36,[1]QUART!$A$2:$FA$315, 99, FALSE))</f>
        <v>:</v>
      </c>
      <c r="CW36" s="544" t="str">
        <f>IF(VLOOKUP($E$36,[1]QUART!$A$2:$FA$315, 100, FALSE)="",":",VLOOKUP($E$36,[1]QUART!$A$2:$FA$315, 100, FALSE))</f>
        <v>:</v>
      </c>
      <c r="CX36" s="544" t="str">
        <f>IF(VLOOKUP($E$36,[1]QUART!$A$2:$FA$315, 101, FALSE)="",":",VLOOKUP($E$36,[1]QUART!$A$2:$FA$315, 101, FALSE))</f>
        <v>:</v>
      </c>
      <c r="CY36" s="544" t="str">
        <f>IF(VLOOKUP($E$36,[1]QUART!$A$2:$FA$315, 102, FALSE)="",":",VLOOKUP($E$36,[1]QUART!$A$2:$FA$315, 102, FALSE))</f>
        <v>:</v>
      </c>
      <c r="CZ36" s="544" t="str">
        <f>IF(VLOOKUP($E$36,[1]QUART!$A$2:$FA$315, 103, FALSE)="",":",VLOOKUP($E$36,[1]QUART!$A$2:$FA$315, 103, FALSE))</f>
        <v>:</v>
      </c>
      <c r="DA36" s="544" t="str">
        <f>IF(VLOOKUP($E$36,[1]QUART!$A$2:$FA$315, 104, FALSE)="",":",VLOOKUP($E$36,[1]QUART!$A$2:$FA$315, 104, FALSE))</f>
        <v>:</v>
      </c>
      <c r="DB36" s="544" t="str">
        <f>IF(VLOOKUP($E$36,[1]QUART!$A$2:$FA$315, 105, FALSE)="",":",VLOOKUP($E$36,[1]QUART!$A$2:$FA$315, 105, FALSE))</f>
        <v>:</v>
      </c>
      <c r="DC36" s="544" t="str">
        <f>IF(VLOOKUP($E$36,[1]QUART!$A$2:$FA$315, 106, FALSE)="",":",VLOOKUP($E$36,[1]QUART!$A$2:$FA$315, 106, FALSE))</f>
        <v>:</v>
      </c>
    </row>
    <row r="37" spans="1:107">
      <c r="A37" s="1954"/>
      <c r="B37" s="534"/>
      <c r="C37" s="535"/>
      <c r="D37" s="12" t="s">
        <v>1841</v>
      </c>
      <c r="E37" s="13">
        <v>103</v>
      </c>
      <c r="F37" s="14" t="str">
        <f>VLOOKUP($E$37,[1]QUART!$A$2:$FA$315, 3, FALSE)</f>
        <v xml:space="preserve">103  Changes in inventories and net acquisition of valuables                         </v>
      </c>
      <c r="G37" s="544" t="str">
        <f>IF(VLOOKUP($E$37,[1]QUART!$A$2:$FA$315, 6, FALSE)="",":",VLOOKUP($E$37,[1]QUART!$A$2:$FA$315, 6, FALSE))</f>
        <v>:</v>
      </c>
      <c r="H37" s="544" t="str">
        <f>IF(VLOOKUP($E$37,[1]QUART!$A$2:$FA$315, 7, FALSE)="",":",VLOOKUP($E$37,[1]QUART!$A$2:$FA$315, 7, FALSE))</f>
        <v>:</v>
      </c>
      <c r="I37" s="544" t="str">
        <f>IF(VLOOKUP($E$37,[1]QUART!$A$2:$FA$315, 8, FALSE)="",":",VLOOKUP($E$37,[1]QUART!$A$2:$FA$315, 8, FALSE))</f>
        <v>:</v>
      </c>
      <c r="J37" s="544" t="str">
        <f>IF(VLOOKUP($E$37,[1]QUART!$A$2:$FA$315, 9, FALSE)="",":",VLOOKUP($E$37,[1]QUART!$A$2:$FA$315, 9, FALSE))</f>
        <v>:</v>
      </c>
      <c r="K37" s="544" t="str">
        <f>IF(VLOOKUP($E$37,[1]QUART!$A$2:$FA$315, 10, FALSE)="",":",VLOOKUP($E$37,[1]QUART!$A$2:$FA$315, 10, FALSE))</f>
        <v>:</v>
      </c>
      <c r="L37" s="544" t="str">
        <f>IF(VLOOKUP($E$37,[1]QUART!$A$2:$FA$315, 11, FALSE)="",":",VLOOKUP($E$37,[1]QUART!$A$2:$FA$315, 11, FALSE))</f>
        <v>:</v>
      </c>
      <c r="M37" s="544" t="str">
        <f>IF(VLOOKUP($E$37,[1]QUART!$A$2:$FA$315, 12, FALSE)="",":",VLOOKUP($E$37,[1]QUART!$A$2:$FA$315, 12, FALSE))</f>
        <v>:</v>
      </c>
      <c r="N37" s="544" t="str">
        <f>IF(VLOOKUP($E$37,[1]QUART!$A$2:$FA$315, 13, FALSE)="",":",VLOOKUP($E$37,[1]QUART!$A$2:$FA$315, 13, FALSE))</f>
        <v>:</v>
      </c>
      <c r="O37" s="544" t="str">
        <f>IF(VLOOKUP($E$37,[1]QUART!$A$2:$FA$315, 14, FALSE)="",":",VLOOKUP($E$37,[1]QUART!$A$2:$FA$315, 14, FALSE))</f>
        <v>:</v>
      </c>
      <c r="P37" s="544" t="str">
        <f>IF(VLOOKUP($E$37,[1]QUART!$A$2:$FA$315, 15, FALSE)="",":",VLOOKUP($E$37,[1]QUART!$A$2:$FA$315, 15, FALSE))</f>
        <v>:</v>
      </c>
      <c r="Q37" s="544" t="str">
        <f>IF(VLOOKUP($E$37,[1]QUART!$A$2:$FA$315, 16, FALSE)="",":",VLOOKUP($E$37,[1]QUART!$A$2:$FA$315, 16, FALSE))</f>
        <v>:</v>
      </c>
      <c r="R37" s="544" t="str">
        <f>IF(VLOOKUP($E$37,[1]QUART!$A$2:$FA$315, 17, FALSE)="",":",VLOOKUP($E$37,[1]QUART!$A$2:$FA$315, 17, FALSE))</f>
        <v>:</v>
      </c>
      <c r="S37" s="544" t="str">
        <f>IF(VLOOKUP($E$37,[1]QUART!$A$2:$FA$315, 18, FALSE)="",":",VLOOKUP($E$37,[1]QUART!$A$2:$FA$315, 18, FALSE))</f>
        <v>:</v>
      </c>
      <c r="T37" s="544" t="str">
        <f>IF(VLOOKUP($E$37,[1]QUART!$A$2:$FA$315, 19, FALSE)="",":",VLOOKUP($E$37,[1]QUART!$A$2:$FA$315, 19, FALSE))</f>
        <v>:</v>
      </c>
      <c r="U37" s="544" t="str">
        <f>IF(VLOOKUP($E$37,[1]QUART!$A$2:$FA$315, 20, FALSE)="",":",VLOOKUP($E$37,[1]QUART!$A$2:$FA$315, 20, FALSE))</f>
        <v>:</v>
      </c>
      <c r="V37" s="544" t="str">
        <f>IF(VLOOKUP($E$37,[1]QUART!$A$2:$FA$315, 21, FALSE)="",":",VLOOKUP($E$37,[1]QUART!$A$2:$FA$315, 21, FALSE))</f>
        <v>:</v>
      </c>
      <c r="W37" s="544" t="str">
        <f>IF(VLOOKUP($E$37,[1]QUART!$A$2:$FA$315, 22, FALSE)="",":",VLOOKUP($E$37,[1]QUART!$A$2:$FA$315, 22, FALSE))</f>
        <v>:</v>
      </c>
      <c r="X37" s="544" t="str">
        <f>IF(VLOOKUP($E$37,[1]QUART!$A$2:$FA$315, 23, FALSE)="",":",VLOOKUP($E$37,[1]QUART!$A$2:$FA$315, 23, FALSE))</f>
        <v>:</v>
      </c>
      <c r="Y37" s="544" t="str">
        <f>IF(VLOOKUP($E$37,[1]QUART!$A$2:$FA$315, 24, FALSE)="",":",VLOOKUP($E$37,[1]QUART!$A$2:$FA$315, 24, FALSE))</f>
        <v>:</v>
      </c>
      <c r="Z37" s="544" t="str">
        <f>IF(VLOOKUP($E$37,[1]QUART!$A$2:$FA$315, 25, FALSE)="",":",VLOOKUP($E$37,[1]QUART!$A$2:$FA$315, 25, FALSE))</f>
        <v>:</v>
      </c>
      <c r="AA37" s="544" t="str">
        <f>IF(VLOOKUP($E$37,[1]QUART!$A$2:$FA$315, 26, FALSE)="",":",VLOOKUP($E$37,[1]QUART!$A$2:$FA$315, 26, FALSE))</f>
        <v>:</v>
      </c>
      <c r="AB37" s="544" t="str">
        <f>IF(VLOOKUP($E$37,[1]QUART!$A$2:$FA$315, 27, FALSE)="",":",VLOOKUP($E$37,[1]QUART!$A$2:$FA$315, 27, FALSE))</f>
        <v>:</v>
      </c>
      <c r="AC37" s="544" t="str">
        <f>IF(VLOOKUP($E$37,[1]QUART!$A$2:$FA$315, 28, FALSE)="",":",VLOOKUP($E$37,[1]QUART!$A$2:$FA$315, 28, FALSE))</f>
        <v>:</v>
      </c>
      <c r="AD37" s="544" t="str">
        <f>IF(VLOOKUP($E$37,[1]QUART!$A$2:$FA$315, 29, FALSE)="",":",VLOOKUP($E$37,[1]QUART!$A$2:$FA$315, 29, FALSE))</f>
        <v>:</v>
      </c>
      <c r="AE37" s="544" t="str">
        <f>IF(VLOOKUP($E$37,[1]QUART!$A$2:$FA$315, 30, FALSE)="",":",VLOOKUP($E$37,[1]QUART!$A$2:$FA$315, 30, FALSE))</f>
        <v>:</v>
      </c>
      <c r="AF37" s="544" t="str">
        <f>IF(VLOOKUP($E$37,[1]QUART!$A$2:$FA$315, 31, FALSE)="",":",VLOOKUP($E$37,[1]QUART!$A$2:$FA$315, 31, FALSE))</f>
        <v>:</v>
      </c>
      <c r="AG37" s="544" t="str">
        <f>IF(VLOOKUP($E$37,[1]QUART!$A$2:$FA$315, 32, FALSE)="",":",VLOOKUP($E$37,[1]QUART!$A$2:$FA$315, 32, FALSE))</f>
        <v>:</v>
      </c>
      <c r="AH37" s="544" t="str">
        <f>IF(VLOOKUP($E$37,[1]QUART!$A$2:$FA$315, 33, FALSE)="",":",VLOOKUP($E$37,[1]QUART!$A$2:$FA$315, 33, FALSE))</f>
        <v>:</v>
      </c>
      <c r="AI37" s="544" t="str">
        <f>IF(VLOOKUP($E$37,[1]QUART!$A$2:$FA$315, 34, FALSE)="",":",VLOOKUP($E$37,[1]QUART!$A$2:$FA$315, 34, FALSE))</f>
        <v>:</v>
      </c>
      <c r="AJ37" s="544" t="str">
        <f>IF(VLOOKUP($E$37,[1]QUART!$A$2:$FA$315, 35, FALSE)="",":",VLOOKUP($E$37,[1]QUART!$A$2:$FA$315, 35, FALSE))</f>
        <v>:</v>
      </c>
      <c r="AK37" s="544" t="str">
        <f>IF(VLOOKUP($E$37,[1]QUART!$A$2:$FA$315, 36, FALSE)="",":",VLOOKUP($E$37,[1]QUART!$A$2:$FA$315, 36, FALSE))</f>
        <v>:</v>
      </c>
      <c r="AL37" s="544" t="str">
        <f>IF(VLOOKUP($E$37,[1]QUART!$A$2:$FA$315, 37, FALSE)="",":",VLOOKUP($E$37,[1]QUART!$A$2:$FA$315, 37, FALSE))</f>
        <v>:</v>
      </c>
      <c r="AM37" s="544" t="str">
        <f>IF(VLOOKUP($E$37,[1]QUART!$A$2:$FA$315, 38, FALSE)="",":",VLOOKUP($E$37,[1]QUART!$A$2:$FA$315, 38, FALSE))</f>
        <v>:</v>
      </c>
      <c r="AN37" s="544" t="str">
        <f>IF(VLOOKUP($E$37,[1]QUART!$A$2:$FA$315, 39, FALSE)="",":",VLOOKUP($E$37,[1]QUART!$A$2:$FA$315, 39, FALSE))</f>
        <v>:</v>
      </c>
      <c r="AO37" s="544" t="str">
        <f>IF(VLOOKUP($E$37,[1]QUART!$A$2:$FA$315, 40, FALSE)="",":",VLOOKUP($E$37,[1]QUART!$A$2:$FA$315, 40, FALSE))</f>
        <v>:</v>
      </c>
      <c r="AP37" s="544" t="str">
        <f>IF(VLOOKUP($E$37,[1]QUART!$A$2:$FA$315, 41, FALSE)="",":",VLOOKUP($E$37,[1]QUART!$A$2:$FA$315, 41, FALSE))</f>
        <v>:</v>
      </c>
      <c r="AQ37" s="544" t="str">
        <f>IF(VLOOKUP($E$37,[1]QUART!$A$2:$FA$315, 42, FALSE)="",":",VLOOKUP($E$37,[1]QUART!$A$2:$FA$315, 42, FALSE))</f>
        <v>:</v>
      </c>
      <c r="AR37" s="544" t="str">
        <f>IF(VLOOKUP($E$37,[1]QUART!$A$2:$FA$315, 43, FALSE)="",":",VLOOKUP($E$37,[1]QUART!$A$2:$FA$315, 43, FALSE))</f>
        <v>:</v>
      </c>
      <c r="AS37" s="544" t="str">
        <f>IF(VLOOKUP($E$37,[1]QUART!$A$2:$FA$315, 44, FALSE)="",":",VLOOKUP($E$37,[1]QUART!$A$2:$FA$315, 44, FALSE))</f>
        <v>:</v>
      </c>
      <c r="AT37" s="544" t="str">
        <f>IF(VLOOKUP($E$37,[1]QUART!$A$2:$FA$315, 45, FALSE)="",":",VLOOKUP($E$37,[1]QUART!$A$2:$FA$315, 45, FALSE))</f>
        <v>:</v>
      </c>
      <c r="AU37" s="544" t="str">
        <f>IF(VLOOKUP($E$37,[1]QUART!$A$2:$FA$315, 46, FALSE)="",":",VLOOKUP($E$37,[1]QUART!$A$2:$FA$315, 46, FALSE))</f>
        <v>:</v>
      </c>
      <c r="AV37" s="544" t="str">
        <f>IF(VLOOKUP($E$37,[1]QUART!$A$2:$FA$315, 47, FALSE)="",":",VLOOKUP($E$37,[1]QUART!$A$2:$FA$315, 47, FALSE))</f>
        <v>:</v>
      </c>
      <c r="AW37" s="544" t="str">
        <f>IF(VLOOKUP($E$37,[1]QUART!$A$2:$FA$315, 48, FALSE)="",":",VLOOKUP($E$37,[1]QUART!$A$2:$FA$315, 48, FALSE))</f>
        <v>:</v>
      </c>
      <c r="AX37" s="544" t="str">
        <f>IF(VLOOKUP($E$37,[1]QUART!$A$2:$FA$315, 49, FALSE)="",":",VLOOKUP($E$37,[1]QUART!$A$2:$FA$315, 49, FALSE))</f>
        <v>:</v>
      </c>
      <c r="AY37" s="544" t="str">
        <f>IF(VLOOKUP($E$37,[1]QUART!$A$2:$FA$315, 50, FALSE)="",":",VLOOKUP($E$37,[1]QUART!$A$2:$FA$315, 50, FALSE))</f>
        <v>:</v>
      </c>
      <c r="AZ37" s="544" t="str">
        <f>IF(VLOOKUP($E$37,[1]QUART!$A$2:$FA$315, 51, FALSE)="",":",VLOOKUP($E$37,[1]QUART!$A$2:$FA$315, 51, FALSE))</f>
        <v>:</v>
      </c>
      <c r="BA37" s="544" t="str">
        <f>IF(VLOOKUP($E$37,[1]QUART!$A$2:$FA$315, 52, FALSE)="",":",VLOOKUP($E$37,[1]QUART!$A$2:$FA$315, 52, FALSE))</f>
        <v>:</v>
      </c>
      <c r="BB37" s="544" t="str">
        <f>IF(VLOOKUP($E$37,[1]QUART!$A$2:$FA$315, 53, FALSE)="",":",VLOOKUP($E$37,[1]QUART!$A$2:$FA$315, 53, FALSE))</f>
        <v>:</v>
      </c>
      <c r="BC37" s="544" t="str">
        <f>IF(VLOOKUP($E$37,[1]QUART!$A$2:$FA$315, 54, FALSE)="",":",VLOOKUP($E$37,[1]QUART!$A$2:$FA$315, 54, FALSE))</f>
        <v>:</v>
      </c>
      <c r="BD37" s="544" t="str">
        <f>IF(VLOOKUP($E$37,[1]QUART!$A$2:$FA$315, 55, FALSE)="",":",VLOOKUP($E$37,[1]QUART!$A$2:$FA$315, 55, FALSE))</f>
        <v>:</v>
      </c>
      <c r="BE37" s="544" t="str">
        <f>IF(VLOOKUP($E$37,[1]QUART!$A$2:$FA$315, 56, FALSE)="",":",VLOOKUP($E$37,[1]QUART!$A$2:$FA$315, 56, FALSE))</f>
        <v>:</v>
      </c>
      <c r="BF37" s="544" t="str">
        <f>IF(VLOOKUP($E$37,[1]QUART!$A$2:$FA$315, 57, FALSE)="",":",VLOOKUP($E$37,[1]QUART!$A$2:$FA$315, 57, FALSE))</f>
        <v>:</v>
      </c>
      <c r="BG37" s="544" t="str">
        <f>IF(VLOOKUP($E$37,[1]QUART!$A$2:$FA$315, 58, FALSE)="",":",VLOOKUP($E$37,[1]QUART!$A$2:$FA$315, 58, FALSE))</f>
        <v>:</v>
      </c>
      <c r="BH37" s="544" t="str">
        <f>IF(VLOOKUP($E$37,[1]QUART!$A$2:$FA$315, 59, FALSE)="",":",VLOOKUP($E$37,[1]QUART!$A$2:$FA$315, 59, FALSE))</f>
        <v>:</v>
      </c>
      <c r="BI37" s="544" t="str">
        <f>IF(VLOOKUP($E$37,[1]QUART!$A$2:$FA$315, 60, FALSE)="",":",VLOOKUP($E$37,[1]QUART!$A$2:$FA$315, 60, FALSE))</f>
        <v>:</v>
      </c>
      <c r="BJ37" s="544" t="str">
        <f>IF(VLOOKUP($E$37,[1]QUART!$A$2:$FA$315, 61, FALSE)="",":",VLOOKUP($E$37,[1]QUART!$A$2:$FA$315, 61, FALSE))</f>
        <v>:</v>
      </c>
      <c r="BK37" s="544" t="str">
        <f>IF(VLOOKUP($E$37,[1]QUART!$A$2:$FA$315, 62, FALSE)="",":",VLOOKUP($E$37,[1]QUART!$A$2:$FA$315, 62, FALSE))</f>
        <v>:</v>
      </c>
      <c r="BL37" s="544" t="str">
        <f>IF(VLOOKUP($E$37,[1]QUART!$A$2:$FA$315, 63, FALSE)="",":",VLOOKUP($E$37,[1]QUART!$A$2:$FA$315, 63, FALSE))</f>
        <v>:</v>
      </c>
      <c r="BM37" s="544" t="str">
        <f>IF(VLOOKUP($E$37,[1]QUART!$A$2:$FA$315, 64, FALSE)="",":",VLOOKUP($E$37,[1]QUART!$A$2:$FA$315, 64, FALSE))</f>
        <v>:</v>
      </c>
      <c r="BN37" s="544" t="str">
        <f>IF(VLOOKUP($E$37,[1]QUART!$A$2:$FA$315, 65, FALSE)="",":",VLOOKUP($E$37,[1]QUART!$A$2:$FA$315, 65, FALSE))</f>
        <v>:</v>
      </c>
      <c r="BO37" s="544" t="str">
        <f>IF(VLOOKUP($E$37,[1]QUART!$A$2:$FA$315, 66, FALSE)="",":",VLOOKUP($E$37,[1]QUART!$A$2:$FA$315, 66, FALSE))</f>
        <v>:</v>
      </c>
      <c r="BP37" s="544" t="str">
        <f>IF(VLOOKUP($E$37,[1]QUART!$A$2:$FA$315, 67, FALSE)="",":",VLOOKUP($E$37,[1]QUART!$A$2:$FA$315, 67, FALSE))</f>
        <v>:</v>
      </c>
      <c r="BQ37" s="544" t="str">
        <f>IF(VLOOKUP($E$37,[1]QUART!$A$2:$FA$315, 68, FALSE)="",":",VLOOKUP($E$37,[1]QUART!$A$2:$FA$315, 68, FALSE))</f>
        <v>:</v>
      </c>
      <c r="BR37" s="544" t="str">
        <f>IF(VLOOKUP($E$37,[1]QUART!$A$2:$FA$315, 69, FALSE)="",":",VLOOKUP($E$37,[1]QUART!$A$2:$FA$315, 69, FALSE))</f>
        <v>:</v>
      </c>
      <c r="BS37" s="544" t="str">
        <f>IF(VLOOKUP($E$37,[1]QUART!$A$2:$FA$315, 70, FALSE)="",":",VLOOKUP($E$37,[1]QUART!$A$2:$FA$315, 70, FALSE))</f>
        <v>:</v>
      </c>
      <c r="BT37" s="544" t="str">
        <f>IF(VLOOKUP($E$37,[1]QUART!$A$2:$FA$315, 71, FALSE)="",":",VLOOKUP($E$37,[1]QUART!$A$2:$FA$315, 71, FALSE))</f>
        <v>:</v>
      </c>
      <c r="BU37" s="544" t="str">
        <f>IF(VLOOKUP($E$37,[1]QUART!$A$2:$FA$315, 72, FALSE)="",":",VLOOKUP($E$37,[1]QUART!$A$2:$FA$315, 72, FALSE))</f>
        <v>:</v>
      </c>
      <c r="BV37" s="544" t="str">
        <f>IF(VLOOKUP($E$37,[1]QUART!$A$2:$FA$315, 73, FALSE)="",":",VLOOKUP($E$37,[1]QUART!$A$2:$FA$315, 73, FALSE))</f>
        <v>:</v>
      </c>
      <c r="BW37" s="544" t="str">
        <f>IF(VLOOKUP($E$37,[1]QUART!$A$2:$FA$315, 74, FALSE)="",":",VLOOKUP($E$37,[1]QUART!$A$2:$FA$315, 74, FALSE))</f>
        <v>:</v>
      </c>
      <c r="BX37" s="544" t="str">
        <f>IF(VLOOKUP($E$37,[1]QUART!$A$2:$FA$315, 75, FALSE)="",":",VLOOKUP($E$37,[1]QUART!$A$2:$FA$315, 75, FALSE))</f>
        <v>:</v>
      </c>
      <c r="BY37" s="544" t="str">
        <f>IF(VLOOKUP($E$37,[1]QUART!$A$2:$FA$315, 76, FALSE)="",":",VLOOKUP($E$37,[1]QUART!$A$2:$FA$315, 76, FALSE))</f>
        <v>:</v>
      </c>
      <c r="BZ37" s="544" t="str">
        <f>IF(VLOOKUP($E$37,[1]QUART!$A$2:$FA$315, 77, FALSE)="",":",VLOOKUP($E$37,[1]QUART!$A$2:$FA$315, 77, FALSE))</f>
        <v>:</v>
      </c>
      <c r="CA37" s="544" t="str">
        <f>IF(VLOOKUP($E$37,[1]QUART!$A$2:$FA$315, 78, FALSE)="",":",VLOOKUP($E$37,[1]QUART!$A$2:$FA$315, 78, FALSE))</f>
        <v>:</v>
      </c>
      <c r="CB37" s="544" t="str">
        <f>IF(VLOOKUP($E$37,[1]QUART!$A$2:$FA$315, 79, FALSE)="",":",VLOOKUP($E$37,[1]QUART!$A$2:$FA$315, 79, FALSE))</f>
        <v>:</v>
      </c>
      <c r="CC37" s="544" t="str">
        <f>IF(VLOOKUP($E$37,[1]QUART!$A$2:$FA$315, 80, FALSE)="",":",VLOOKUP($E$37,[1]QUART!$A$2:$FA$315, 80, FALSE))</f>
        <v>:</v>
      </c>
      <c r="CD37" s="544" t="str">
        <f>IF(VLOOKUP($E$37,[1]QUART!$A$2:$FA$315, 81, FALSE)="",":",VLOOKUP($E$37,[1]QUART!$A$2:$FA$315, 81, FALSE))</f>
        <v>:</v>
      </c>
      <c r="CE37" s="544" t="str">
        <f>IF(VLOOKUP($E$37,[1]QUART!$A$2:$FA$315, 82, FALSE)="",":",VLOOKUP($E$37,[1]QUART!$A$2:$FA$315, 82, FALSE))</f>
        <v>:</v>
      </c>
      <c r="CF37" s="544" t="str">
        <f>IF(VLOOKUP($E$37,[1]QUART!$A$2:$FA$315, 83, FALSE)="",":",VLOOKUP($E$37,[1]QUART!$A$2:$FA$315, 83, FALSE))</f>
        <v>:</v>
      </c>
      <c r="CG37" s="544" t="str">
        <f>IF(VLOOKUP($E$37,[1]QUART!$A$2:$FA$315, 84, FALSE)="",":",VLOOKUP($E$37,[1]QUART!$A$2:$FA$315, 84, FALSE))</f>
        <v>:</v>
      </c>
      <c r="CH37" s="544" t="str">
        <f>IF(VLOOKUP($E$37,[1]QUART!$A$2:$FA$315, 85, FALSE)="",":",VLOOKUP($E$37,[1]QUART!$A$2:$FA$315, 85, FALSE))</f>
        <v>:</v>
      </c>
      <c r="CI37" s="544" t="str">
        <f>IF(VLOOKUP($E$37,[1]QUART!$A$2:$FA$315, 86, FALSE)="",":",VLOOKUP($E$37,[1]QUART!$A$2:$FA$315, 86, FALSE))</f>
        <v>:</v>
      </c>
      <c r="CJ37" s="544" t="str">
        <f>IF(VLOOKUP($E$37,[1]QUART!$A$2:$FA$315, 87, FALSE)="",":",VLOOKUP($E$37,[1]QUART!$A$2:$FA$315, 87, FALSE))</f>
        <v>:</v>
      </c>
      <c r="CK37" s="544" t="str">
        <f>IF(VLOOKUP($E$37,[1]QUART!$A$2:$FA$315, 88, FALSE)="",":",VLOOKUP($E$37,[1]QUART!$A$2:$FA$315, 88, FALSE))</f>
        <v>:</v>
      </c>
      <c r="CL37" s="544" t="str">
        <f>IF(VLOOKUP($E$37,[1]QUART!$A$2:$FA$315, 89, FALSE)="",":",VLOOKUP($E$37,[1]QUART!$A$2:$FA$315, 89, FALSE))</f>
        <v>:</v>
      </c>
      <c r="CM37" s="544" t="str">
        <f>IF(VLOOKUP($E$37,[1]QUART!$A$2:$FA$315, 90, FALSE)="",":",VLOOKUP($E$37,[1]QUART!$A$2:$FA$315, 90, FALSE))</f>
        <v>:</v>
      </c>
      <c r="CN37" s="544" t="str">
        <f>IF(VLOOKUP($E$37,[1]QUART!$A$2:$FA$315, 91, FALSE)="",":",VLOOKUP($E$37,[1]QUART!$A$2:$FA$315, 91, FALSE))</f>
        <v>:</v>
      </c>
      <c r="CO37" s="544" t="str">
        <f>IF(VLOOKUP($E$37,[1]QUART!$A$2:$FA$315, 92, FALSE)="",":",VLOOKUP($E$37,[1]QUART!$A$2:$FA$315, 92, FALSE))</f>
        <v>:</v>
      </c>
      <c r="CP37" s="544" t="str">
        <f>IF(VLOOKUP($E$37,[1]QUART!$A$2:$FA$315, 93, FALSE)="",":",VLOOKUP($E$37,[1]QUART!$A$2:$FA$315, 93, FALSE))</f>
        <v>:</v>
      </c>
      <c r="CQ37" s="544" t="str">
        <f>IF(VLOOKUP($E$37,[1]QUART!$A$2:$FA$315, 94, FALSE)="",":",VLOOKUP($E$37,[1]QUART!$A$2:$FA$315, 94, FALSE))</f>
        <v>:</v>
      </c>
      <c r="CR37" s="544" t="str">
        <f>IF(VLOOKUP($E$37,[1]QUART!$A$2:$FA$315, 95, FALSE)="",":",VLOOKUP($E$37,[1]QUART!$A$2:$FA$315, 95, FALSE))</f>
        <v>:</v>
      </c>
      <c r="CS37" s="544" t="str">
        <f>IF(VLOOKUP($E$37,[1]QUART!$A$2:$FA$315, 96, FALSE)="",":",VLOOKUP($E$37,[1]QUART!$A$2:$FA$315, 96, FALSE))</f>
        <v>:</v>
      </c>
      <c r="CT37" s="544" t="str">
        <f>IF(VLOOKUP($E$37,[1]QUART!$A$2:$FA$315, 97, FALSE)="",":",VLOOKUP($E$37,[1]QUART!$A$2:$FA$315, 97, FALSE))</f>
        <v>:</v>
      </c>
      <c r="CU37" s="544" t="str">
        <f>IF(VLOOKUP($E$37,[1]QUART!$A$2:$FA$315, 98, FALSE)="",":",VLOOKUP($E$37,[1]QUART!$A$2:$FA$315, 98, FALSE))</f>
        <v>:</v>
      </c>
      <c r="CV37" s="544" t="str">
        <f>IF(VLOOKUP($E$37,[1]QUART!$A$2:$FA$315, 99, FALSE)="",":",VLOOKUP($E$37,[1]QUART!$A$2:$FA$315, 99, FALSE))</f>
        <v>:</v>
      </c>
      <c r="CW37" s="544" t="str">
        <f>IF(VLOOKUP($E$37,[1]QUART!$A$2:$FA$315, 100, FALSE)="",":",VLOOKUP($E$37,[1]QUART!$A$2:$FA$315, 100, FALSE))</f>
        <v>:</v>
      </c>
      <c r="CX37" s="544" t="str">
        <f>IF(VLOOKUP($E$37,[1]QUART!$A$2:$FA$315, 101, FALSE)="",":",VLOOKUP($E$37,[1]QUART!$A$2:$FA$315, 101, FALSE))</f>
        <v>:</v>
      </c>
      <c r="CY37" s="544" t="str">
        <f>IF(VLOOKUP($E$37,[1]QUART!$A$2:$FA$315, 102, FALSE)="",":",VLOOKUP($E$37,[1]QUART!$A$2:$FA$315, 102, FALSE))</f>
        <v>:</v>
      </c>
      <c r="CZ37" s="544" t="str">
        <f>IF(VLOOKUP($E$37,[1]QUART!$A$2:$FA$315, 103, FALSE)="",":",VLOOKUP($E$37,[1]QUART!$A$2:$FA$315, 103, FALSE))</f>
        <v>:</v>
      </c>
      <c r="DA37" s="544" t="str">
        <f>IF(VLOOKUP($E$37,[1]QUART!$A$2:$FA$315, 104, FALSE)="",":",VLOOKUP($E$37,[1]QUART!$A$2:$FA$315, 104, FALSE))</f>
        <v>:</v>
      </c>
      <c r="DB37" s="544" t="str">
        <f>IF(VLOOKUP($E$37,[1]QUART!$A$2:$FA$315, 105, FALSE)="",":",VLOOKUP($E$37,[1]QUART!$A$2:$FA$315, 105, FALSE))</f>
        <v>:</v>
      </c>
      <c r="DC37" s="544" t="str">
        <f>IF(VLOOKUP($E$37,[1]QUART!$A$2:$FA$315, 106, FALSE)="",":",VLOOKUP($E$37,[1]QUART!$A$2:$FA$315, 106, FALSE))</f>
        <v>:</v>
      </c>
    </row>
    <row r="38" spans="1:107">
      <c r="A38" s="1954"/>
      <c r="B38" s="534"/>
      <c r="C38" s="535"/>
      <c r="D38" s="12" t="s">
        <v>1841</v>
      </c>
      <c r="E38" s="13">
        <v>104</v>
      </c>
      <c r="F38" s="14" t="str">
        <f>VLOOKUP($E$38,[1]QUART!$A$2:$FA$315, 3, FALSE)</f>
        <v xml:space="preserve">104  Exports of goods and services                                                   </v>
      </c>
      <c r="G38" s="544" t="str">
        <f>IF(VLOOKUP($E$38,[1]QUART!$A$2:$FA$315, 6, FALSE)="",":",VLOOKUP($E$38,[1]QUART!$A$2:$FA$315, 6, FALSE))</f>
        <v>:</v>
      </c>
      <c r="H38" s="544" t="str">
        <f>IF(VLOOKUP($E$38,[1]QUART!$A$2:$FA$315, 7, FALSE)="",":",VLOOKUP($E$38,[1]QUART!$A$2:$FA$315, 7, FALSE))</f>
        <v>:</v>
      </c>
      <c r="I38" s="544" t="str">
        <f>IF(VLOOKUP($E$38,[1]QUART!$A$2:$FA$315, 8, FALSE)="",":",VLOOKUP($E$38,[1]QUART!$A$2:$FA$315, 8, FALSE))</f>
        <v>:</v>
      </c>
      <c r="J38" s="544" t="str">
        <f>IF(VLOOKUP($E$38,[1]QUART!$A$2:$FA$315, 9, FALSE)="",":",VLOOKUP($E$38,[1]QUART!$A$2:$FA$315, 9, FALSE))</f>
        <v>:</v>
      </c>
      <c r="K38" s="544" t="str">
        <f>IF(VLOOKUP($E$38,[1]QUART!$A$2:$FA$315, 10, FALSE)="",":",VLOOKUP($E$38,[1]QUART!$A$2:$FA$315, 10, FALSE))</f>
        <v>:</v>
      </c>
      <c r="L38" s="544" t="str">
        <f>IF(VLOOKUP($E$38,[1]QUART!$A$2:$FA$315, 11, FALSE)="",":",VLOOKUP($E$38,[1]QUART!$A$2:$FA$315, 11, FALSE))</f>
        <v>:</v>
      </c>
      <c r="M38" s="544" t="str">
        <f>IF(VLOOKUP($E$38,[1]QUART!$A$2:$FA$315, 12, FALSE)="",":",VLOOKUP($E$38,[1]QUART!$A$2:$FA$315, 12, FALSE))</f>
        <v>:</v>
      </c>
      <c r="N38" s="544" t="str">
        <f>IF(VLOOKUP($E$38,[1]QUART!$A$2:$FA$315, 13, FALSE)="",":",VLOOKUP($E$38,[1]QUART!$A$2:$FA$315, 13, FALSE))</f>
        <v>:</v>
      </c>
      <c r="O38" s="544" t="str">
        <f>IF(VLOOKUP($E$38,[1]QUART!$A$2:$FA$315, 14, FALSE)="",":",VLOOKUP($E$38,[1]QUART!$A$2:$FA$315, 14, FALSE))</f>
        <v>:</v>
      </c>
      <c r="P38" s="544" t="str">
        <f>IF(VLOOKUP($E$38,[1]QUART!$A$2:$FA$315, 15, FALSE)="",":",VLOOKUP($E$38,[1]QUART!$A$2:$FA$315, 15, FALSE))</f>
        <v>:</v>
      </c>
      <c r="Q38" s="544" t="str">
        <f>IF(VLOOKUP($E$38,[1]QUART!$A$2:$FA$315, 16, FALSE)="",":",VLOOKUP($E$38,[1]QUART!$A$2:$FA$315, 16, FALSE))</f>
        <v>:</v>
      </c>
      <c r="R38" s="544" t="str">
        <f>IF(VLOOKUP($E$38,[1]QUART!$A$2:$FA$315, 17, FALSE)="",":",VLOOKUP($E$38,[1]QUART!$A$2:$FA$315, 17, FALSE))</f>
        <v>:</v>
      </c>
      <c r="S38" s="544" t="str">
        <f>IF(VLOOKUP($E$38,[1]QUART!$A$2:$FA$315, 18, FALSE)="",":",VLOOKUP($E$38,[1]QUART!$A$2:$FA$315, 18, FALSE))</f>
        <v>:</v>
      </c>
      <c r="T38" s="544" t="str">
        <f>IF(VLOOKUP($E$38,[1]QUART!$A$2:$FA$315, 19, FALSE)="",":",VLOOKUP($E$38,[1]QUART!$A$2:$FA$315, 19, FALSE))</f>
        <v>:</v>
      </c>
      <c r="U38" s="544" t="str">
        <f>IF(VLOOKUP($E$38,[1]QUART!$A$2:$FA$315, 20, FALSE)="",":",VLOOKUP($E$38,[1]QUART!$A$2:$FA$315, 20, FALSE))</f>
        <v>:</v>
      </c>
      <c r="V38" s="544" t="str">
        <f>IF(VLOOKUP($E$38,[1]QUART!$A$2:$FA$315, 21, FALSE)="",":",VLOOKUP($E$38,[1]QUART!$A$2:$FA$315, 21, FALSE))</f>
        <v>:</v>
      </c>
      <c r="W38" s="544" t="str">
        <f>IF(VLOOKUP($E$38,[1]QUART!$A$2:$FA$315, 22, FALSE)="",":",VLOOKUP($E$38,[1]QUART!$A$2:$FA$315, 22, FALSE))</f>
        <v>:</v>
      </c>
      <c r="X38" s="544" t="str">
        <f>IF(VLOOKUP($E$38,[1]QUART!$A$2:$FA$315, 23, FALSE)="",":",VLOOKUP($E$38,[1]QUART!$A$2:$FA$315, 23, FALSE))</f>
        <v>:</v>
      </c>
      <c r="Y38" s="544" t="str">
        <f>IF(VLOOKUP($E$38,[1]QUART!$A$2:$FA$315, 24, FALSE)="",":",VLOOKUP($E$38,[1]QUART!$A$2:$FA$315, 24, FALSE))</f>
        <v>:</v>
      </c>
      <c r="Z38" s="544" t="str">
        <f>IF(VLOOKUP($E$38,[1]QUART!$A$2:$FA$315, 25, FALSE)="",":",VLOOKUP($E$38,[1]QUART!$A$2:$FA$315, 25, FALSE))</f>
        <v>:</v>
      </c>
      <c r="AA38" s="544" t="str">
        <f>IF(VLOOKUP($E$38,[1]QUART!$A$2:$FA$315, 26, FALSE)="",":",VLOOKUP($E$38,[1]QUART!$A$2:$FA$315, 26, FALSE))</f>
        <v>:</v>
      </c>
      <c r="AB38" s="544" t="str">
        <f>IF(VLOOKUP($E$38,[1]QUART!$A$2:$FA$315, 27, FALSE)="",":",VLOOKUP($E$38,[1]QUART!$A$2:$FA$315, 27, FALSE))</f>
        <v>:</v>
      </c>
      <c r="AC38" s="544" t="str">
        <f>IF(VLOOKUP($E$38,[1]QUART!$A$2:$FA$315, 28, FALSE)="",":",VLOOKUP($E$38,[1]QUART!$A$2:$FA$315, 28, FALSE))</f>
        <v>:</v>
      </c>
      <c r="AD38" s="544" t="str">
        <f>IF(VLOOKUP($E$38,[1]QUART!$A$2:$FA$315, 29, FALSE)="",":",VLOOKUP($E$38,[1]QUART!$A$2:$FA$315, 29, FALSE))</f>
        <v>:</v>
      </c>
      <c r="AE38" s="544" t="str">
        <f>IF(VLOOKUP($E$38,[1]QUART!$A$2:$FA$315, 30, FALSE)="",":",VLOOKUP($E$38,[1]QUART!$A$2:$FA$315, 30, FALSE))</f>
        <v>:</v>
      </c>
      <c r="AF38" s="544" t="str">
        <f>IF(VLOOKUP($E$38,[1]QUART!$A$2:$FA$315, 31, FALSE)="",":",VLOOKUP($E$38,[1]QUART!$A$2:$FA$315, 31, FALSE))</f>
        <v>:</v>
      </c>
      <c r="AG38" s="544" t="str">
        <f>IF(VLOOKUP($E$38,[1]QUART!$A$2:$FA$315, 32, FALSE)="",":",VLOOKUP($E$38,[1]QUART!$A$2:$FA$315, 32, FALSE))</f>
        <v>:</v>
      </c>
      <c r="AH38" s="544" t="str">
        <f>IF(VLOOKUP($E$38,[1]QUART!$A$2:$FA$315, 33, FALSE)="",":",VLOOKUP($E$38,[1]QUART!$A$2:$FA$315, 33, FALSE))</f>
        <v>:</v>
      </c>
      <c r="AI38" s="544" t="str">
        <f>IF(VLOOKUP($E$38,[1]QUART!$A$2:$FA$315, 34, FALSE)="",":",VLOOKUP($E$38,[1]QUART!$A$2:$FA$315, 34, FALSE))</f>
        <v>:</v>
      </c>
      <c r="AJ38" s="544" t="str">
        <f>IF(VLOOKUP($E$38,[1]QUART!$A$2:$FA$315, 35, FALSE)="",":",VLOOKUP($E$38,[1]QUART!$A$2:$FA$315, 35, FALSE))</f>
        <v>:</v>
      </c>
      <c r="AK38" s="544" t="str">
        <f>IF(VLOOKUP($E$38,[1]QUART!$A$2:$FA$315, 36, FALSE)="",":",VLOOKUP($E$38,[1]QUART!$A$2:$FA$315, 36, FALSE))</f>
        <v>:</v>
      </c>
      <c r="AL38" s="544" t="str">
        <f>IF(VLOOKUP($E$38,[1]QUART!$A$2:$FA$315, 37, FALSE)="",":",VLOOKUP($E$38,[1]QUART!$A$2:$FA$315, 37, FALSE))</f>
        <v>:</v>
      </c>
      <c r="AM38" s="544" t="str">
        <f>IF(VLOOKUP($E$38,[1]QUART!$A$2:$FA$315, 38, FALSE)="",":",VLOOKUP($E$38,[1]QUART!$A$2:$FA$315, 38, FALSE))</f>
        <v>:</v>
      </c>
      <c r="AN38" s="544" t="str">
        <f>IF(VLOOKUP($E$38,[1]QUART!$A$2:$FA$315, 39, FALSE)="",":",VLOOKUP($E$38,[1]QUART!$A$2:$FA$315, 39, FALSE))</f>
        <v>:</v>
      </c>
      <c r="AO38" s="544" t="str">
        <f>IF(VLOOKUP($E$38,[1]QUART!$A$2:$FA$315, 40, FALSE)="",":",VLOOKUP($E$38,[1]QUART!$A$2:$FA$315, 40, FALSE))</f>
        <v>:</v>
      </c>
      <c r="AP38" s="544" t="str">
        <f>IF(VLOOKUP($E$38,[1]QUART!$A$2:$FA$315, 41, FALSE)="",":",VLOOKUP($E$38,[1]QUART!$A$2:$FA$315, 41, FALSE))</f>
        <v>:</v>
      </c>
      <c r="AQ38" s="544" t="str">
        <f>IF(VLOOKUP($E$38,[1]QUART!$A$2:$FA$315, 42, FALSE)="",":",VLOOKUP($E$38,[1]QUART!$A$2:$FA$315, 42, FALSE))</f>
        <v>:</v>
      </c>
      <c r="AR38" s="544" t="str">
        <f>IF(VLOOKUP($E$38,[1]QUART!$A$2:$FA$315, 43, FALSE)="",":",VLOOKUP($E$38,[1]QUART!$A$2:$FA$315, 43, FALSE))</f>
        <v>:</v>
      </c>
      <c r="AS38" s="544" t="str">
        <f>IF(VLOOKUP($E$38,[1]QUART!$A$2:$FA$315, 44, FALSE)="",":",VLOOKUP($E$38,[1]QUART!$A$2:$FA$315, 44, FALSE))</f>
        <v>:</v>
      </c>
      <c r="AT38" s="544" t="str">
        <f>IF(VLOOKUP($E$38,[1]QUART!$A$2:$FA$315, 45, FALSE)="",":",VLOOKUP($E$38,[1]QUART!$A$2:$FA$315, 45, FALSE))</f>
        <v>:</v>
      </c>
      <c r="AU38" s="544" t="str">
        <f>IF(VLOOKUP($E$38,[1]QUART!$A$2:$FA$315, 46, FALSE)="",":",VLOOKUP($E$38,[1]QUART!$A$2:$FA$315, 46, FALSE))</f>
        <v>:</v>
      </c>
      <c r="AV38" s="544" t="str">
        <f>IF(VLOOKUP($E$38,[1]QUART!$A$2:$FA$315, 47, FALSE)="",":",VLOOKUP($E$38,[1]QUART!$A$2:$FA$315, 47, FALSE))</f>
        <v>:</v>
      </c>
      <c r="AW38" s="544" t="str">
        <f>IF(VLOOKUP($E$38,[1]QUART!$A$2:$FA$315, 48, FALSE)="",":",VLOOKUP($E$38,[1]QUART!$A$2:$FA$315, 48, FALSE))</f>
        <v>:</v>
      </c>
      <c r="AX38" s="544" t="str">
        <f>IF(VLOOKUP($E$38,[1]QUART!$A$2:$FA$315, 49, FALSE)="",":",VLOOKUP($E$38,[1]QUART!$A$2:$FA$315, 49, FALSE))</f>
        <v>:</v>
      </c>
      <c r="AY38" s="544" t="str">
        <f>IF(VLOOKUP($E$38,[1]QUART!$A$2:$FA$315, 50, FALSE)="",":",VLOOKUP($E$38,[1]QUART!$A$2:$FA$315, 50, FALSE))</f>
        <v>:</v>
      </c>
      <c r="AZ38" s="544" t="str">
        <f>IF(VLOOKUP($E$38,[1]QUART!$A$2:$FA$315, 51, FALSE)="",":",VLOOKUP($E$38,[1]QUART!$A$2:$FA$315, 51, FALSE))</f>
        <v>:</v>
      </c>
      <c r="BA38" s="544" t="str">
        <f>IF(VLOOKUP($E$38,[1]QUART!$A$2:$FA$315, 52, FALSE)="",":",VLOOKUP($E$38,[1]QUART!$A$2:$FA$315, 52, FALSE))</f>
        <v>:</v>
      </c>
      <c r="BB38" s="544" t="str">
        <f>IF(VLOOKUP($E$38,[1]QUART!$A$2:$FA$315, 53, FALSE)="",":",VLOOKUP($E$38,[1]QUART!$A$2:$FA$315, 53, FALSE))</f>
        <v>:</v>
      </c>
      <c r="BC38" s="544" t="str">
        <f>IF(VLOOKUP($E$38,[1]QUART!$A$2:$FA$315, 54, FALSE)="",":",VLOOKUP($E$38,[1]QUART!$A$2:$FA$315, 54, FALSE))</f>
        <v>:</v>
      </c>
      <c r="BD38" s="544" t="str">
        <f>IF(VLOOKUP($E$38,[1]QUART!$A$2:$FA$315, 55, FALSE)="",":",VLOOKUP($E$38,[1]QUART!$A$2:$FA$315, 55, FALSE))</f>
        <v>:</v>
      </c>
      <c r="BE38" s="544" t="str">
        <f>IF(VLOOKUP($E$38,[1]QUART!$A$2:$FA$315, 56, FALSE)="",":",VLOOKUP($E$38,[1]QUART!$A$2:$FA$315, 56, FALSE))</f>
        <v>:</v>
      </c>
      <c r="BF38" s="544" t="str">
        <f>IF(VLOOKUP($E$38,[1]QUART!$A$2:$FA$315, 57, FALSE)="",":",VLOOKUP($E$38,[1]QUART!$A$2:$FA$315, 57, FALSE))</f>
        <v>:</v>
      </c>
      <c r="BG38" s="544" t="str">
        <f>IF(VLOOKUP($E$38,[1]QUART!$A$2:$FA$315, 58, FALSE)="",":",VLOOKUP($E$38,[1]QUART!$A$2:$FA$315, 58, FALSE))</f>
        <v>:</v>
      </c>
      <c r="BH38" s="544" t="str">
        <f>IF(VLOOKUP($E$38,[1]QUART!$A$2:$FA$315, 59, FALSE)="",":",VLOOKUP($E$38,[1]QUART!$A$2:$FA$315, 59, FALSE))</f>
        <v>:</v>
      </c>
      <c r="BI38" s="544" t="str">
        <f>IF(VLOOKUP($E$38,[1]QUART!$A$2:$FA$315, 60, FALSE)="",":",VLOOKUP($E$38,[1]QUART!$A$2:$FA$315, 60, FALSE))</f>
        <v>:</v>
      </c>
      <c r="BJ38" s="544" t="str">
        <f>IF(VLOOKUP($E$38,[1]QUART!$A$2:$FA$315, 61, FALSE)="",":",VLOOKUP($E$38,[1]QUART!$A$2:$FA$315, 61, FALSE))</f>
        <v>:</v>
      </c>
      <c r="BK38" s="544" t="str">
        <f>IF(VLOOKUP($E$38,[1]QUART!$A$2:$FA$315, 62, FALSE)="",":",VLOOKUP($E$38,[1]QUART!$A$2:$FA$315, 62, FALSE))</f>
        <v>:</v>
      </c>
      <c r="BL38" s="544" t="str">
        <f>IF(VLOOKUP($E$38,[1]QUART!$A$2:$FA$315, 63, FALSE)="",":",VLOOKUP($E$38,[1]QUART!$A$2:$FA$315, 63, FALSE))</f>
        <v>:</v>
      </c>
      <c r="BM38" s="544" t="str">
        <f>IF(VLOOKUP($E$38,[1]QUART!$A$2:$FA$315, 64, FALSE)="",":",VLOOKUP($E$38,[1]QUART!$A$2:$FA$315, 64, FALSE))</f>
        <v>:</v>
      </c>
      <c r="BN38" s="544" t="str">
        <f>IF(VLOOKUP($E$38,[1]QUART!$A$2:$FA$315, 65, FALSE)="",":",VLOOKUP($E$38,[1]QUART!$A$2:$FA$315, 65, FALSE))</f>
        <v>:</v>
      </c>
      <c r="BO38" s="544" t="str">
        <f>IF(VLOOKUP($E$38,[1]QUART!$A$2:$FA$315, 66, FALSE)="",":",VLOOKUP($E$38,[1]QUART!$A$2:$FA$315, 66, FALSE))</f>
        <v>:</v>
      </c>
      <c r="BP38" s="544" t="str">
        <f>IF(VLOOKUP($E$38,[1]QUART!$A$2:$FA$315, 67, FALSE)="",":",VLOOKUP($E$38,[1]QUART!$A$2:$FA$315, 67, FALSE))</f>
        <v>:</v>
      </c>
      <c r="BQ38" s="544" t="str">
        <f>IF(VLOOKUP($E$38,[1]QUART!$A$2:$FA$315, 68, FALSE)="",":",VLOOKUP($E$38,[1]QUART!$A$2:$FA$315, 68, FALSE))</f>
        <v>:</v>
      </c>
      <c r="BR38" s="544" t="str">
        <f>IF(VLOOKUP($E$38,[1]QUART!$A$2:$FA$315, 69, FALSE)="",":",VLOOKUP($E$38,[1]QUART!$A$2:$FA$315, 69, FALSE))</f>
        <v>:</v>
      </c>
      <c r="BS38" s="544" t="str">
        <f>IF(VLOOKUP($E$38,[1]QUART!$A$2:$FA$315, 70, FALSE)="",":",VLOOKUP($E$38,[1]QUART!$A$2:$FA$315, 70, FALSE))</f>
        <v>:</v>
      </c>
      <c r="BT38" s="544" t="str">
        <f>IF(VLOOKUP($E$38,[1]QUART!$A$2:$FA$315, 71, FALSE)="",":",VLOOKUP($E$38,[1]QUART!$A$2:$FA$315, 71, FALSE))</f>
        <v>:</v>
      </c>
      <c r="BU38" s="544" t="str">
        <f>IF(VLOOKUP($E$38,[1]QUART!$A$2:$FA$315, 72, FALSE)="",":",VLOOKUP($E$38,[1]QUART!$A$2:$FA$315, 72, FALSE))</f>
        <v>:</v>
      </c>
      <c r="BV38" s="544" t="str">
        <f>IF(VLOOKUP($E$38,[1]QUART!$A$2:$FA$315, 73, FALSE)="",":",VLOOKUP($E$38,[1]QUART!$A$2:$FA$315, 73, FALSE))</f>
        <v>:</v>
      </c>
      <c r="BW38" s="544" t="str">
        <f>IF(VLOOKUP($E$38,[1]QUART!$A$2:$FA$315, 74, FALSE)="",":",VLOOKUP($E$38,[1]QUART!$A$2:$FA$315, 74, FALSE))</f>
        <v>:</v>
      </c>
      <c r="BX38" s="544" t="str">
        <f>IF(VLOOKUP($E$38,[1]QUART!$A$2:$FA$315, 75, FALSE)="",":",VLOOKUP($E$38,[1]QUART!$A$2:$FA$315, 75, FALSE))</f>
        <v>:</v>
      </c>
      <c r="BY38" s="544" t="str">
        <f>IF(VLOOKUP($E$38,[1]QUART!$A$2:$FA$315, 76, FALSE)="",":",VLOOKUP($E$38,[1]QUART!$A$2:$FA$315, 76, FALSE))</f>
        <v>:</v>
      </c>
      <c r="BZ38" s="544" t="str">
        <f>IF(VLOOKUP($E$38,[1]QUART!$A$2:$FA$315, 77, FALSE)="",":",VLOOKUP($E$38,[1]QUART!$A$2:$FA$315, 77, FALSE))</f>
        <v>:</v>
      </c>
      <c r="CA38" s="544" t="str">
        <f>IF(VLOOKUP($E$38,[1]QUART!$A$2:$FA$315, 78, FALSE)="",":",VLOOKUP($E$38,[1]QUART!$A$2:$FA$315, 78, FALSE))</f>
        <v>:</v>
      </c>
      <c r="CB38" s="544" t="str">
        <f>IF(VLOOKUP($E$38,[1]QUART!$A$2:$FA$315, 79, FALSE)="",":",VLOOKUP($E$38,[1]QUART!$A$2:$FA$315, 79, FALSE))</f>
        <v>:</v>
      </c>
      <c r="CC38" s="544" t="str">
        <f>IF(VLOOKUP($E$38,[1]QUART!$A$2:$FA$315, 80, FALSE)="",":",VLOOKUP($E$38,[1]QUART!$A$2:$FA$315, 80, FALSE))</f>
        <v>:</v>
      </c>
      <c r="CD38" s="544" t="str">
        <f>IF(VLOOKUP($E$38,[1]QUART!$A$2:$FA$315, 81, FALSE)="",":",VLOOKUP($E$38,[1]QUART!$A$2:$FA$315, 81, FALSE))</f>
        <v>:</v>
      </c>
      <c r="CE38" s="544" t="str">
        <f>IF(VLOOKUP($E$38,[1]QUART!$A$2:$FA$315, 82, FALSE)="",":",VLOOKUP($E$38,[1]QUART!$A$2:$FA$315, 82, FALSE))</f>
        <v>:</v>
      </c>
      <c r="CF38" s="544" t="str">
        <f>IF(VLOOKUP($E$38,[1]QUART!$A$2:$FA$315, 83, FALSE)="",":",VLOOKUP($E$38,[1]QUART!$A$2:$FA$315, 83, FALSE))</f>
        <v>:</v>
      </c>
      <c r="CG38" s="544" t="str">
        <f>IF(VLOOKUP($E$38,[1]QUART!$A$2:$FA$315, 84, FALSE)="",":",VLOOKUP($E$38,[1]QUART!$A$2:$FA$315, 84, FALSE))</f>
        <v>:</v>
      </c>
      <c r="CH38" s="544" t="str">
        <f>IF(VLOOKUP($E$38,[1]QUART!$A$2:$FA$315, 85, FALSE)="",":",VLOOKUP($E$38,[1]QUART!$A$2:$FA$315, 85, FALSE))</f>
        <v>:</v>
      </c>
      <c r="CI38" s="544" t="str">
        <f>IF(VLOOKUP($E$38,[1]QUART!$A$2:$FA$315, 86, FALSE)="",":",VLOOKUP($E$38,[1]QUART!$A$2:$FA$315, 86, FALSE))</f>
        <v>:</v>
      </c>
      <c r="CJ38" s="544" t="str">
        <f>IF(VLOOKUP($E$38,[1]QUART!$A$2:$FA$315, 87, FALSE)="",":",VLOOKUP($E$38,[1]QUART!$A$2:$FA$315, 87, FALSE))</f>
        <v>:</v>
      </c>
      <c r="CK38" s="544" t="str">
        <f>IF(VLOOKUP($E$38,[1]QUART!$A$2:$FA$315, 88, FALSE)="",":",VLOOKUP($E$38,[1]QUART!$A$2:$FA$315, 88, FALSE))</f>
        <v>:</v>
      </c>
      <c r="CL38" s="544" t="str">
        <f>IF(VLOOKUP($E$38,[1]QUART!$A$2:$FA$315, 89, FALSE)="",":",VLOOKUP($E$38,[1]QUART!$A$2:$FA$315, 89, FALSE))</f>
        <v>:</v>
      </c>
      <c r="CM38" s="544" t="str">
        <f>IF(VLOOKUP($E$38,[1]QUART!$A$2:$FA$315, 90, FALSE)="",":",VLOOKUP($E$38,[1]QUART!$A$2:$FA$315, 90, FALSE))</f>
        <v>:</v>
      </c>
      <c r="CN38" s="544" t="str">
        <f>IF(VLOOKUP($E$38,[1]QUART!$A$2:$FA$315, 91, FALSE)="",":",VLOOKUP($E$38,[1]QUART!$A$2:$FA$315, 91, FALSE))</f>
        <v>:</v>
      </c>
      <c r="CO38" s="544" t="str">
        <f>IF(VLOOKUP($E$38,[1]QUART!$A$2:$FA$315, 92, FALSE)="",":",VLOOKUP($E$38,[1]QUART!$A$2:$FA$315, 92, FALSE))</f>
        <v>:</v>
      </c>
      <c r="CP38" s="544" t="str">
        <f>IF(VLOOKUP($E$38,[1]QUART!$A$2:$FA$315, 93, FALSE)="",":",VLOOKUP($E$38,[1]QUART!$A$2:$FA$315, 93, FALSE))</f>
        <v>:</v>
      </c>
      <c r="CQ38" s="544" t="str">
        <f>IF(VLOOKUP($E$38,[1]QUART!$A$2:$FA$315, 94, FALSE)="",":",VLOOKUP($E$38,[1]QUART!$A$2:$FA$315, 94, FALSE))</f>
        <v>:</v>
      </c>
      <c r="CR38" s="544" t="str">
        <f>IF(VLOOKUP($E$38,[1]QUART!$A$2:$FA$315, 95, FALSE)="",":",VLOOKUP($E$38,[1]QUART!$A$2:$FA$315, 95, FALSE))</f>
        <v>:</v>
      </c>
      <c r="CS38" s="544" t="str">
        <f>IF(VLOOKUP($E$38,[1]QUART!$A$2:$FA$315, 96, FALSE)="",":",VLOOKUP($E$38,[1]QUART!$A$2:$FA$315, 96, FALSE))</f>
        <v>:</v>
      </c>
      <c r="CT38" s="544" t="str">
        <f>IF(VLOOKUP($E$38,[1]QUART!$A$2:$FA$315, 97, FALSE)="",":",VLOOKUP($E$38,[1]QUART!$A$2:$FA$315, 97, FALSE))</f>
        <v>:</v>
      </c>
      <c r="CU38" s="544" t="str">
        <f>IF(VLOOKUP($E$38,[1]QUART!$A$2:$FA$315, 98, FALSE)="",":",VLOOKUP($E$38,[1]QUART!$A$2:$FA$315, 98, FALSE))</f>
        <v>:</v>
      </c>
      <c r="CV38" s="544" t="str">
        <f>IF(VLOOKUP($E$38,[1]QUART!$A$2:$FA$315, 99, FALSE)="",":",VLOOKUP($E$38,[1]QUART!$A$2:$FA$315, 99, FALSE))</f>
        <v>:</v>
      </c>
      <c r="CW38" s="544" t="str">
        <f>IF(VLOOKUP($E$38,[1]QUART!$A$2:$FA$315, 100, FALSE)="",":",VLOOKUP($E$38,[1]QUART!$A$2:$FA$315, 100, FALSE))</f>
        <v>:</v>
      </c>
      <c r="CX38" s="544" t="str">
        <f>IF(VLOOKUP($E$38,[1]QUART!$A$2:$FA$315, 101, FALSE)="",":",VLOOKUP($E$38,[1]QUART!$A$2:$FA$315, 101, FALSE))</f>
        <v>:</v>
      </c>
      <c r="CY38" s="544" t="str">
        <f>IF(VLOOKUP($E$38,[1]QUART!$A$2:$FA$315, 102, FALSE)="",":",VLOOKUP($E$38,[1]QUART!$A$2:$FA$315, 102, FALSE))</f>
        <v>:</v>
      </c>
      <c r="CZ38" s="544" t="str">
        <f>IF(VLOOKUP($E$38,[1]QUART!$A$2:$FA$315, 103, FALSE)="",":",VLOOKUP($E$38,[1]QUART!$A$2:$FA$315, 103, FALSE))</f>
        <v>:</v>
      </c>
      <c r="DA38" s="544" t="str">
        <f>IF(VLOOKUP($E$38,[1]QUART!$A$2:$FA$315, 104, FALSE)="",":",VLOOKUP($E$38,[1]QUART!$A$2:$FA$315, 104, FALSE))</f>
        <v>:</v>
      </c>
      <c r="DB38" s="544" t="str">
        <f>IF(VLOOKUP($E$38,[1]QUART!$A$2:$FA$315, 105, FALSE)="",":",VLOOKUP($E$38,[1]QUART!$A$2:$FA$315, 105, FALSE))</f>
        <v>:</v>
      </c>
      <c r="DC38" s="544" t="str">
        <f>IF(VLOOKUP($E$38,[1]QUART!$A$2:$FA$315, 106, FALSE)="",":",VLOOKUP($E$38,[1]QUART!$A$2:$FA$315, 106, FALSE))</f>
        <v>:</v>
      </c>
    </row>
    <row r="39" spans="1:107">
      <c r="A39" s="1954"/>
      <c r="B39" s="534"/>
      <c r="C39" s="535"/>
      <c r="D39" s="12" t="s">
        <v>1841</v>
      </c>
      <c r="E39" s="13">
        <v>105</v>
      </c>
      <c r="F39" s="14" t="str">
        <f>VLOOKUP($E$39,[1]QUART!$A$2:$FA$315, 3, FALSE)</f>
        <v xml:space="preserve">105  Imports of goods and services                                                   </v>
      </c>
      <c r="G39" s="544" t="str">
        <f>IF(VLOOKUP($E$39,[1]QUART!$A$2:$FA$315, 6, FALSE)="",":",VLOOKUP($E$39,[1]QUART!$A$2:$FA$315, 6, FALSE))</f>
        <v>:</v>
      </c>
      <c r="H39" s="544" t="str">
        <f>IF(VLOOKUP($E$39,[1]QUART!$A$2:$FA$315, 7, FALSE)="",":",VLOOKUP($E$39,[1]QUART!$A$2:$FA$315, 7, FALSE))</f>
        <v>:</v>
      </c>
      <c r="I39" s="544" t="str">
        <f>IF(VLOOKUP($E$39,[1]QUART!$A$2:$FA$315, 8, FALSE)="",":",VLOOKUP($E$39,[1]QUART!$A$2:$FA$315, 8, FALSE))</f>
        <v>:</v>
      </c>
      <c r="J39" s="544" t="str">
        <f>IF(VLOOKUP($E$39,[1]QUART!$A$2:$FA$315, 9, FALSE)="",":",VLOOKUP($E$39,[1]QUART!$A$2:$FA$315, 9, FALSE))</f>
        <v>:</v>
      </c>
      <c r="K39" s="544" t="str">
        <f>IF(VLOOKUP($E$39,[1]QUART!$A$2:$FA$315, 10, FALSE)="",":",VLOOKUP($E$39,[1]QUART!$A$2:$FA$315, 10, FALSE))</f>
        <v>:</v>
      </c>
      <c r="L39" s="544" t="str">
        <f>IF(VLOOKUP($E$39,[1]QUART!$A$2:$FA$315, 11, FALSE)="",":",VLOOKUP($E$39,[1]QUART!$A$2:$FA$315, 11, FALSE))</f>
        <v>:</v>
      </c>
      <c r="M39" s="544" t="str">
        <f>IF(VLOOKUP($E$39,[1]QUART!$A$2:$FA$315, 12, FALSE)="",":",VLOOKUP($E$39,[1]QUART!$A$2:$FA$315, 12, FALSE))</f>
        <v>:</v>
      </c>
      <c r="N39" s="544" t="str">
        <f>IF(VLOOKUP($E$39,[1]QUART!$A$2:$FA$315, 13, FALSE)="",":",VLOOKUP($E$39,[1]QUART!$A$2:$FA$315, 13, FALSE))</f>
        <v>:</v>
      </c>
      <c r="O39" s="544" t="str">
        <f>IF(VLOOKUP($E$39,[1]QUART!$A$2:$FA$315, 14, FALSE)="",":",VLOOKUP($E$39,[1]QUART!$A$2:$FA$315, 14, FALSE))</f>
        <v>:</v>
      </c>
      <c r="P39" s="544" t="str">
        <f>IF(VLOOKUP($E$39,[1]QUART!$A$2:$FA$315, 15, FALSE)="",":",VLOOKUP($E$39,[1]QUART!$A$2:$FA$315, 15, FALSE))</f>
        <v>:</v>
      </c>
      <c r="Q39" s="544" t="str">
        <f>IF(VLOOKUP($E$39,[1]QUART!$A$2:$FA$315, 16, FALSE)="",":",VLOOKUP($E$39,[1]QUART!$A$2:$FA$315, 16, FALSE))</f>
        <v>:</v>
      </c>
      <c r="R39" s="544" t="str">
        <f>IF(VLOOKUP($E$39,[1]QUART!$A$2:$FA$315, 17, FALSE)="",":",VLOOKUP($E$39,[1]QUART!$A$2:$FA$315, 17, FALSE))</f>
        <v>:</v>
      </c>
      <c r="S39" s="544" t="str">
        <f>IF(VLOOKUP($E$39,[1]QUART!$A$2:$FA$315, 18, FALSE)="",":",VLOOKUP($E$39,[1]QUART!$A$2:$FA$315, 18, FALSE))</f>
        <v>:</v>
      </c>
      <c r="T39" s="544" t="str">
        <f>IF(VLOOKUP($E$39,[1]QUART!$A$2:$FA$315, 19, FALSE)="",":",VLOOKUP($E$39,[1]QUART!$A$2:$FA$315, 19, FALSE))</f>
        <v>:</v>
      </c>
      <c r="U39" s="544" t="str">
        <f>IF(VLOOKUP($E$39,[1]QUART!$A$2:$FA$315, 20, FALSE)="",":",VLOOKUP($E$39,[1]QUART!$A$2:$FA$315, 20, FALSE))</f>
        <v>:</v>
      </c>
      <c r="V39" s="544" t="str">
        <f>IF(VLOOKUP($E$39,[1]QUART!$A$2:$FA$315, 21, FALSE)="",":",VLOOKUP($E$39,[1]QUART!$A$2:$FA$315, 21, FALSE))</f>
        <v>:</v>
      </c>
      <c r="W39" s="544" t="str">
        <f>IF(VLOOKUP($E$39,[1]QUART!$A$2:$FA$315, 22, FALSE)="",":",VLOOKUP($E$39,[1]QUART!$A$2:$FA$315, 22, FALSE))</f>
        <v>:</v>
      </c>
      <c r="X39" s="544" t="str">
        <f>IF(VLOOKUP($E$39,[1]QUART!$A$2:$FA$315, 23, FALSE)="",":",VLOOKUP($E$39,[1]QUART!$A$2:$FA$315, 23, FALSE))</f>
        <v>:</v>
      </c>
      <c r="Y39" s="544" t="str">
        <f>IF(VLOOKUP($E$39,[1]QUART!$A$2:$FA$315, 24, FALSE)="",":",VLOOKUP($E$39,[1]QUART!$A$2:$FA$315, 24, FALSE))</f>
        <v>:</v>
      </c>
      <c r="Z39" s="544" t="str">
        <f>IF(VLOOKUP($E$39,[1]QUART!$A$2:$FA$315, 25, FALSE)="",":",VLOOKUP($E$39,[1]QUART!$A$2:$FA$315, 25, FALSE))</f>
        <v>:</v>
      </c>
      <c r="AA39" s="544" t="str">
        <f>IF(VLOOKUP($E$39,[1]QUART!$A$2:$FA$315, 26, FALSE)="",":",VLOOKUP($E$39,[1]QUART!$A$2:$FA$315, 26, FALSE))</f>
        <v>:</v>
      </c>
      <c r="AB39" s="544" t="str">
        <f>IF(VLOOKUP($E$39,[1]QUART!$A$2:$FA$315, 27, FALSE)="",":",VLOOKUP($E$39,[1]QUART!$A$2:$FA$315, 27, FALSE))</f>
        <v>:</v>
      </c>
      <c r="AC39" s="544" t="str">
        <f>IF(VLOOKUP($E$39,[1]QUART!$A$2:$FA$315, 28, FALSE)="",":",VLOOKUP($E$39,[1]QUART!$A$2:$FA$315, 28, FALSE))</f>
        <v>:</v>
      </c>
      <c r="AD39" s="544" t="str">
        <f>IF(VLOOKUP($E$39,[1]QUART!$A$2:$FA$315, 29, FALSE)="",":",VLOOKUP($E$39,[1]QUART!$A$2:$FA$315, 29, FALSE))</f>
        <v>:</v>
      </c>
      <c r="AE39" s="544" t="str">
        <f>IF(VLOOKUP($E$39,[1]QUART!$A$2:$FA$315, 30, FALSE)="",":",VLOOKUP($E$39,[1]QUART!$A$2:$FA$315, 30, FALSE))</f>
        <v>:</v>
      </c>
      <c r="AF39" s="544" t="str">
        <f>IF(VLOOKUP($E$39,[1]QUART!$A$2:$FA$315, 31, FALSE)="",":",VLOOKUP($E$39,[1]QUART!$A$2:$FA$315, 31, FALSE))</f>
        <v>:</v>
      </c>
      <c r="AG39" s="544" t="str">
        <f>IF(VLOOKUP($E$39,[1]QUART!$A$2:$FA$315, 32, FALSE)="",":",VLOOKUP($E$39,[1]QUART!$A$2:$FA$315, 32, FALSE))</f>
        <v>:</v>
      </c>
      <c r="AH39" s="544" t="str">
        <f>IF(VLOOKUP($E$39,[1]QUART!$A$2:$FA$315, 33, FALSE)="",":",VLOOKUP($E$39,[1]QUART!$A$2:$FA$315, 33, FALSE))</f>
        <v>:</v>
      </c>
      <c r="AI39" s="544" t="str">
        <f>IF(VLOOKUP($E$39,[1]QUART!$A$2:$FA$315, 34, FALSE)="",":",VLOOKUP($E$39,[1]QUART!$A$2:$FA$315, 34, FALSE))</f>
        <v>:</v>
      </c>
      <c r="AJ39" s="544" t="str">
        <f>IF(VLOOKUP($E$39,[1]QUART!$A$2:$FA$315, 35, FALSE)="",":",VLOOKUP($E$39,[1]QUART!$A$2:$FA$315, 35, FALSE))</f>
        <v>:</v>
      </c>
      <c r="AK39" s="544" t="str">
        <f>IF(VLOOKUP($E$39,[1]QUART!$A$2:$FA$315, 36, FALSE)="",":",VLOOKUP($E$39,[1]QUART!$A$2:$FA$315, 36, FALSE))</f>
        <v>:</v>
      </c>
      <c r="AL39" s="544" t="str">
        <f>IF(VLOOKUP($E$39,[1]QUART!$A$2:$FA$315, 37, FALSE)="",":",VLOOKUP($E$39,[1]QUART!$A$2:$FA$315, 37, FALSE))</f>
        <v>:</v>
      </c>
      <c r="AM39" s="544" t="str">
        <f>IF(VLOOKUP($E$39,[1]QUART!$A$2:$FA$315, 38, FALSE)="",":",VLOOKUP($E$39,[1]QUART!$A$2:$FA$315, 38, FALSE))</f>
        <v>:</v>
      </c>
      <c r="AN39" s="544" t="str">
        <f>IF(VLOOKUP($E$39,[1]QUART!$A$2:$FA$315, 39, FALSE)="",":",VLOOKUP($E$39,[1]QUART!$A$2:$FA$315, 39, FALSE))</f>
        <v>:</v>
      </c>
      <c r="AO39" s="544" t="str">
        <f>IF(VLOOKUP($E$39,[1]QUART!$A$2:$FA$315, 40, FALSE)="",":",VLOOKUP($E$39,[1]QUART!$A$2:$FA$315, 40, FALSE))</f>
        <v>:</v>
      </c>
      <c r="AP39" s="544" t="str">
        <f>IF(VLOOKUP($E$39,[1]QUART!$A$2:$FA$315, 41, FALSE)="",":",VLOOKUP($E$39,[1]QUART!$A$2:$FA$315, 41, FALSE))</f>
        <v>:</v>
      </c>
      <c r="AQ39" s="544" t="str">
        <f>IF(VLOOKUP($E$39,[1]QUART!$A$2:$FA$315, 42, FALSE)="",":",VLOOKUP($E$39,[1]QUART!$A$2:$FA$315, 42, FALSE))</f>
        <v>:</v>
      </c>
      <c r="AR39" s="544" t="str">
        <f>IF(VLOOKUP($E$39,[1]QUART!$A$2:$FA$315, 43, FALSE)="",":",VLOOKUP($E$39,[1]QUART!$A$2:$FA$315, 43, FALSE))</f>
        <v>:</v>
      </c>
      <c r="AS39" s="544" t="str">
        <f>IF(VLOOKUP($E$39,[1]QUART!$A$2:$FA$315, 44, FALSE)="",":",VLOOKUP($E$39,[1]QUART!$A$2:$FA$315, 44, FALSE))</f>
        <v>:</v>
      </c>
      <c r="AT39" s="544" t="str">
        <f>IF(VLOOKUP($E$39,[1]QUART!$A$2:$FA$315, 45, FALSE)="",":",VLOOKUP($E$39,[1]QUART!$A$2:$FA$315, 45, FALSE))</f>
        <v>:</v>
      </c>
      <c r="AU39" s="544" t="str">
        <f>IF(VLOOKUP($E$39,[1]QUART!$A$2:$FA$315, 46, FALSE)="",":",VLOOKUP($E$39,[1]QUART!$A$2:$FA$315, 46, FALSE))</f>
        <v>:</v>
      </c>
      <c r="AV39" s="544" t="str">
        <f>IF(VLOOKUP($E$39,[1]QUART!$A$2:$FA$315, 47, FALSE)="",":",VLOOKUP($E$39,[1]QUART!$A$2:$FA$315, 47, FALSE))</f>
        <v>:</v>
      </c>
      <c r="AW39" s="544" t="str">
        <f>IF(VLOOKUP($E$39,[1]QUART!$A$2:$FA$315, 48, FALSE)="",":",VLOOKUP($E$39,[1]QUART!$A$2:$FA$315, 48, FALSE))</f>
        <v>:</v>
      </c>
      <c r="AX39" s="544" t="str">
        <f>IF(VLOOKUP($E$39,[1]QUART!$A$2:$FA$315, 49, FALSE)="",":",VLOOKUP($E$39,[1]QUART!$A$2:$FA$315, 49, FALSE))</f>
        <v>:</v>
      </c>
      <c r="AY39" s="544" t="str">
        <f>IF(VLOOKUP($E$39,[1]QUART!$A$2:$FA$315, 50, FALSE)="",":",VLOOKUP($E$39,[1]QUART!$A$2:$FA$315, 50, FALSE))</f>
        <v>:</v>
      </c>
      <c r="AZ39" s="544" t="str">
        <f>IF(VLOOKUP($E$39,[1]QUART!$A$2:$FA$315, 51, FALSE)="",":",VLOOKUP($E$39,[1]QUART!$A$2:$FA$315, 51, FALSE))</f>
        <v>:</v>
      </c>
      <c r="BA39" s="544" t="str">
        <f>IF(VLOOKUP($E$39,[1]QUART!$A$2:$FA$315, 52, FALSE)="",":",VLOOKUP($E$39,[1]QUART!$A$2:$FA$315, 52, FALSE))</f>
        <v>:</v>
      </c>
      <c r="BB39" s="544" t="str">
        <f>IF(VLOOKUP($E$39,[1]QUART!$A$2:$FA$315, 53, FALSE)="",":",VLOOKUP($E$39,[1]QUART!$A$2:$FA$315, 53, FALSE))</f>
        <v>:</v>
      </c>
      <c r="BC39" s="544" t="str">
        <f>IF(VLOOKUP($E$39,[1]QUART!$A$2:$FA$315, 54, FALSE)="",":",VLOOKUP($E$39,[1]QUART!$A$2:$FA$315, 54, FALSE))</f>
        <v>:</v>
      </c>
      <c r="BD39" s="544" t="str">
        <f>IF(VLOOKUP($E$39,[1]QUART!$A$2:$FA$315, 55, FALSE)="",":",VLOOKUP($E$39,[1]QUART!$A$2:$FA$315, 55, FALSE))</f>
        <v>:</v>
      </c>
      <c r="BE39" s="544" t="str">
        <f>IF(VLOOKUP($E$39,[1]QUART!$A$2:$FA$315, 56, FALSE)="",":",VLOOKUP($E$39,[1]QUART!$A$2:$FA$315, 56, FALSE))</f>
        <v>:</v>
      </c>
      <c r="BF39" s="544" t="str">
        <f>IF(VLOOKUP($E$39,[1]QUART!$A$2:$FA$315, 57, FALSE)="",":",VLOOKUP($E$39,[1]QUART!$A$2:$FA$315, 57, FALSE))</f>
        <v>:</v>
      </c>
      <c r="BG39" s="544" t="str">
        <f>IF(VLOOKUP($E$39,[1]QUART!$A$2:$FA$315, 58, FALSE)="",":",VLOOKUP($E$39,[1]QUART!$A$2:$FA$315, 58, FALSE))</f>
        <v>:</v>
      </c>
      <c r="BH39" s="544" t="str">
        <f>IF(VLOOKUP($E$39,[1]QUART!$A$2:$FA$315, 59, FALSE)="",":",VLOOKUP($E$39,[1]QUART!$A$2:$FA$315, 59, FALSE))</f>
        <v>:</v>
      </c>
      <c r="BI39" s="544" t="str">
        <f>IF(VLOOKUP($E$39,[1]QUART!$A$2:$FA$315, 60, FALSE)="",":",VLOOKUP($E$39,[1]QUART!$A$2:$FA$315, 60, FALSE))</f>
        <v>:</v>
      </c>
      <c r="BJ39" s="544" t="str">
        <f>IF(VLOOKUP($E$39,[1]QUART!$A$2:$FA$315, 61, FALSE)="",":",VLOOKUP($E$39,[1]QUART!$A$2:$FA$315, 61, FALSE))</f>
        <v>:</v>
      </c>
      <c r="BK39" s="544" t="str">
        <f>IF(VLOOKUP($E$39,[1]QUART!$A$2:$FA$315, 62, FALSE)="",":",VLOOKUP($E$39,[1]QUART!$A$2:$FA$315, 62, FALSE))</f>
        <v>:</v>
      </c>
      <c r="BL39" s="544" t="str">
        <f>IF(VLOOKUP($E$39,[1]QUART!$A$2:$FA$315, 63, FALSE)="",":",VLOOKUP($E$39,[1]QUART!$A$2:$FA$315, 63, FALSE))</f>
        <v>:</v>
      </c>
      <c r="BM39" s="544" t="str">
        <f>IF(VLOOKUP($E$39,[1]QUART!$A$2:$FA$315, 64, FALSE)="",":",VLOOKUP($E$39,[1]QUART!$A$2:$FA$315, 64, FALSE))</f>
        <v>:</v>
      </c>
      <c r="BN39" s="544" t="str">
        <f>IF(VLOOKUP($E$39,[1]QUART!$A$2:$FA$315, 65, FALSE)="",":",VLOOKUP($E$39,[1]QUART!$A$2:$FA$315, 65, FALSE))</f>
        <v>:</v>
      </c>
      <c r="BO39" s="544" t="str">
        <f>IF(VLOOKUP($E$39,[1]QUART!$A$2:$FA$315, 66, FALSE)="",":",VLOOKUP($E$39,[1]QUART!$A$2:$FA$315, 66, FALSE))</f>
        <v>:</v>
      </c>
      <c r="BP39" s="544" t="str">
        <f>IF(VLOOKUP($E$39,[1]QUART!$A$2:$FA$315, 67, FALSE)="",":",VLOOKUP($E$39,[1]QUART!$A$2:$FA$315, 67, FALSE))</f>
        <v>:</v>
      </c>
      <c r="BQ39" s="544" t="str">
        <f>IF(VLOOKUP($E$39,[1]QUART!$A$2:$FA$315, 68, FALSE)="",":",VLOOKUP($E$39,[1]QUART!$A$2:$FA$315, 68, FALSE))</f>
        <v>:</v>
      </c>
      <c r="BR39" s="544" t="str">
        <f>IF(VLOOKUP($E$39,[1]QUART!$A$2:$FA$315, 69, FALSE)="",":",VLOOKUP($E$39,[1]QUART!$A$2:$FA$315, 69, FALSE))</f>
        <v>:</v>
      </c>
      <c r="BS39" s="544" t="str">
        <f>IF(VLOOKUP($E$39,[1]QUART!$A$2:$FA$315, 70, FALSE)="",":",VLOOKUP($E$39,[1]QUART!$A$2:$FA$315, 70, FALSE))</f>
        <v>:</v>
      </c>
      <c r="BT39" s="544" t="str">
        <f>IF(VLOOKUP($E$39,[1]QUART!$A$2:$FA$315, 71, FALSE)="",":",VLOOKUP($E$39,[1]QUART!$A$2:$FA$315, 71, FALSE))</f>
        <v>:</v>
      </c>
      <c r="BU39" s="544" t="str">
        <f>IF(VLOOKUP($E$39,[1]QUART!$A$2:$FA$315, 72, FALSE)="",":",VLOOKUP($E$39,[1]QUART!$A$2:$FA$315, 72, FALSE))</f>
        <v>:</v>
      </c>
      <c r="BV39" s="544" t="str">
        <f>IF(VLOOKUP($E$39,[1]QUART!$A$2:$FA$315, 73, FALSE)="",":",VLOOKUP($E$39,[1]QUART!$A$2:$FA$315, 73, FALSE))</f>
        <v>:</v>
      </c>
      <c r="BW39" s="544" t="str">
        <f>IF(VLOOKUP($E$39,[1]QUART!$A$2:$FA$315, 74, FALSE)="",":",VLOOKUP($E$39,[1]QUART!$A$2:$FA$315, 74, FALSE))</f>
        <v>:</v>
      </c>
      <c r="BX39" s="544" t="str">
        <f>IF(VLOOKUP($E$39,[1]QUART!$A$2:$FA$315, 75, FALSE)="",":",VLOOKUP($E$39,[1]QUART!$A$2:$FA$315, 75, FALSE))</f>
        <v>:</v>
      </c>
      <c r="BY39" s="544" t="str">
        <f>IF(VLOOKUP($E$39,[1]QUART!$A$2:$FA$315, 76, FALSE)="",":",VLOOKUP($E$39,[1]QUART!$A$2:$FA$315, 76, FALSE))</f>
        <v>:</v>
      </c>
      <c r="BZ39" s="544" t="str">
        <f>IF(VLOOKUP($E$39,[1]QUART!$A$2:$FA$315, 77, FALSE)="",":",VLOOKUP($E$39,[1]QUART!$A$2:$FA$315, 77, FALSE))</f>
        <v>:</v>
      </c>
      <c r="CA39" s="544" t="str">
        <f>IF(VLOOKUP($E$39,[1]QUART!$A$2:$FA$315, 78, FALSE)="",":",VLOOKUP($E$39,[1]QUART!$A$2:$FA$315, 78, FALSE))</f>
        <v>:</v>
      </c>
      <c r="CB39" s="544" t="str">
        <f>IF(VLOOKUP($E$39,[1]QUART!$A$2:$FA$315, 79, FALSE)="",":",VLOOKUP($E$39,[1]QUART!$A$2:$FA$315, 79, FALSE))</f>
        <v>:</v>
      </c>
      <c r="CC39" s="544" t="str">
        <f>IF(VLOOKUP($E$39,[1]QUART!$A$2:$FA$315, 80, FALSE)="",":",VLOOKUP($E$39,[1]QUART!$A$2:$FA$315, 80, FALSE))</f>
        <v>:</v>
      </c>
      <c r="CD39" s="544" t="str">
        <f>IF(VLOOKUP($E$39,[1]QUART!$A$2:$FA$315, 81, FALSE)="",":",VLOOKUP($E$39,[1]QUART!$A$2:$FA$315, 81, FALSE))</f>
        <v>:</v>
      </c>
      <c r="CE39" s="544" t="str">
        <f>IF(VLOOKUP($E$39,[1]QUART!$A$2:$FA$315, 82, FALSE)="",":",VLOOKUP($E$39,[1]QUART!$A$2:$FA$315, 82, FALSE))</f>
        <v>:</v>
      </c>
      <c r="CF39" s="544" t="str">
        <f>IF(VLOOKUP($E$39,[1]QUART!$A$2:$FA$315, 83, FALSE)="",":",VLOOKUP($E$39,[1]QUART!$A$2:$FA$315, 83, FALSE))</f>
        <v>:</v>
      </c>
      <c r="CG39" s="544" t="str">
        <f>IF(VLOOKUP($E$39,[1]QUART!$A$2:$FA$315, 84, FALSE)="",":",VLOOKUP($E$39,[1]QUART!$A$2:$FA$315, 84, FALSE))</f>
        <v>:</v>
      </c>
      <c r="CH39" s="544" t="str">
        <f>IF(VLOOKUP($E$39,[1]QUART!$A$2:$FA$315, 85, FALSE)="",":",VLOOKUP($E$39,[1]QUART!$A$2:$FA$315, 85, FALSE))</f>
        <v>:</v>
      </c>
      <c r="CI39" s="544" t="str">
        <f>IF(VLOOKUP($E$39,[1]QUART!$A$2:$FA$315, 86, FALSE)="",":",VLOOKUP($E$39,[1]QUART!$A$2:$FA$315, 86, FALSE))</f>
        <v>:</v>
      </c>
      <c r="CJ39" s="544" t="str">
        <f>IF(VLOOKUP($E$39,[1]QUART!$A$2:$FA$315, 87, FALSE)="",":",VLOOKUP($E$39,[1]QUART!$A$2:$FA$315, 87, FALSE))</f>
        <v>:</v>
      </c>
      <c r="CK39" s="544" t="str">
        <f>IF(VLOOKUP($E$39,[1]QUART!$A$2:$FA$315, 88, FALSE)="",":",VLOOKUP($E$39,[1]QUART!$A$2:$FA$315, 88, FALSE))</f>
        <v>:</v>
      </c>
      <c r="CL39" s="544" t="str">
        <f>IF(VLOOKUP($E$39,[1]QUART!$A$2:$FA$315, 89, FALSE)="",":",VLOOKUP($E$39,[1]QUART!$A$2:$FA$315, 89, FALSE))</f>
        <v>:</v>
      </c>
      <c r="CM39" s="544" t="str">
        <f>IF(VLOOKUP($E$39,[1]QUART!$A$2:$FA$315, 90, FALSE)="",":",VLOOKUP($E$39,[1]QUART!$A$2:$FA$315, 90, FALSE))</f>
        <v>:</v>
      </c>
      <c r="CN39" s="544" t="str">
        <f>IF(VLOOKUP($E$39,[1]QUART!$A$2:$FA$315, 91, FALSE)="",":",VLOOKUP($E$39,[1]QUART!$A$2:$FA$315, 91, FALSE))</f>
        <v>:</v>
      </c>
      <c r="CO39" s="544" t="str">
        <f>IF(VLOOKUP($E$39,[1]QUART!$A$2:$FA$315, 92, FALSE)="",":",VLOOKUP($E$39,[1]QUART!$A$2:$FA$315, 92, FALSE))</f>
        <v>:</v>
      </c>
      <c r="CP39" s="544" t="str">
        <f>IF(VLOOKUP($E$39,[1]QUART!$A$2:$FA$315, 93, FALSE)="",":",VLOOKUP($E$39,[1]QUART!$A$2:$FA$315, 93, FALSE))</f>
        <v>:</v>
      </c>
      <c r="CQ39" s="544" t="str">
        <f>IF(VLOOKUP($E$39,[1]QUART!$A$2:$FA$315, 94, FALSE)="",":",VLOOKUP($E$39,[1]QUART!$A$2:$FA$315, 94, FALSE))</f>
        <v>:</v>
      </c>
      <c r="CR39" s="544" t="str">
        <f>IF(VLOOKUP($E$39,[1]QUART!$A$2:$FA$315, 95, FALSE)="",":",VLOOKUP($E$39,[1]QUART!$A$2:$FA$315, 95, FALSE))</f>
        <v>:</v>
      </c>
      <c r="CS39" s="544" t="str">
        <f>IF(VLOOKUP($E$39,[1]QUART!$A$2:$FA$315, 96, FALSE)="",":",VLOOKUP($E$39,[1]QUART!$A$2:$FA$315, 96, FALSE))</f>
        <v>:</v>
      </c>
      <c r="CT39" s="544" t="str">
        <f>IF(VLOOKUP($E$39,[1]QUART!$A$2:$FA$315, 97, FALSE)="",":",VLOOKUP($E$39,[1]QUART!$A$2:$FA$315, 97, FALSE))</f>
        <v>:</v>
      </c>
      <c r="CU39" s="544" t="str">
        <f>IF(VLOOKUP($E$39,[1]QUART!$A$2:$FA$315, 98, FALSE)="",":",VLOOKUP($E$39,[1]QUART!$A$2:$FA$315, 98, FALSE))</f>
        <v>:</v>
      </c>
      <c r="CV39" s="544" t="str">
        <f>IF(VLOOKUP($E$39,[1]QUART!$A$2:$FA$315, 99, FALSE)="",":",VLOOKUP($E$39,[1]QUART!$A$2:$FA$315, 99, FALSE))</f>
        <v>:</v>
      </c>
      <c r="CW39" s="544" t="str">
        <f>IF(VLOOKUP($E$39,[1]QUART!$A$2:$FA$315, 100, FALSE)="",":",VLOOKUP($E$39,[1]QUART!$A$2:$FA$315, 100, FALSE))</f>
        <v>:</v>
      </c>
      <c r="CX39" s="544" t="str">
        <f>IF(VLOOKUP($E$39,[1]QUART!$A$2:$FA$315, 101, FALSE)="",":",VLOOKUP($E$39,[1]QUART!$A$2:$FA$315, 101, FALSE))</f>
        <v>:</v>
      </c>
      <c r="CY39" s="544" t="str">
        <f>IF(VLOOKUP($E$39,[1]QUART!$A$2:$FA$315, 102, FALSE)="",":",VLOOKUP($E$39,[1]QUART!$A$2:$FA$315, 102, FALSE))</f>
        <v>:</v>
      </c>
      <c r="CZ39" s="544" t="str">
        <f>IF(VLOOKUP($E$39,[1]QUART!$A$2:$FA$315, 103, FALSE)="",":",VLOOKUP($E$39,[1]QUART!$A$2:$FA$315, 103, FALSE))</f>
        <v>:</v>
      </c>
      <c r="DA39" s="544" t="str">
        <f>IF(VLOOKUP($E$39,[1]QUART!$A$2:$FA$315, 104, FALSE)="",":",VLOOKUP($E$39,[1]QUART!$A$2:$FA$315, 104, FALSE))</f>
        <v>:</v>
      </c>
      <c r="DB39" s="544" t="str">
        <f>IF(VLOOKUP($E$39,[1]QUART!$A$2:$FA$315, 105, FALSE)="",":",VLOOKUP($E$39,[1]QUART!$A$2:$FA$315, 105, FALSE))</f>
        <v>:</v>
      </c>
      <c r="DC39" s="544" t="str">
        <f>IF(VLOOKUP($E$39,[1]QUART!$A$2:$FA$315, 106, FALSE)="",":",VLOOKUP($E$39,[1]QUART!$A$2:$FA$315, 106, FALSE))</f>
        <v>:</v>
      </c>
    </row>
    <row r="40" spans="1:107">
      <c r="A40" s="1954"/>
      <c r="B40" s="534"/>
      <c r="C40" s="535"/>
      <c r="D40" s="12" t="s">
        <v>1841</v>
      </c>
      <c r="E40" s="13">
        <v>106</v>
      </c>
      <c r="F40" s="14" t="str">
        <f>VLOOKUP($E$40,[1]QUART!$A$2:$FA$315, 3, FALSE)</f>
        <v>106  Domestic demand excluding change in inventories and net acquisition of valuables</v>
      </c>
      <c r="G40" s="544" t="str">
        <f>IF(VLOOKUP($E$40,[1]QUART!$A$2:$FA$315, 6, FALSE)="",":",VLOOKUP($E$40,[1]QUART!$A$2:$FA$315, 6, FALSE))</f>
        <v>:</v>
      </c>
      <c r="H40" s="544" t="str">
        <f>IF(VLOOKUP($E$40,[1]QUART!$A$2:$FA$315, 7, FALSE)="",":",VLOOKUP($E$40,[1]QUART!$A$2:$FA$315, 7, FALSE))</f>
        <v>:</v>
      </c>
      <c r="I40" s="544" t="str">
        <f>IF(VLOOKUP($E$40,[1]QUART!$A$2:$FA$315, 8, FALSE)="",":",VLOOKUP($E$40,[1]QUART!$A$2:$FA$315, 8, FALSE))</f>
        <v>:</v>
      </c>
      <c r="J40" s="544" t="str">
        <f>IF(VLOOKUP($E$40,[1]QUART!$A$2:$FA$315, 9, FALSE)="",":",VLOOKUP($E$40,[1]QUART!$A$2:$FA$315, 9, FALSE))</f>
        <v>:</v>
      </c>
      <c r="K40" s="544" t="str">
        <f>IF(VLOOKUP($E$40,[1]QUART!$A$2:$FA$315, 10, FALSE)="",":",VLOOKUP($E$40,[1]QUART!$A$2:$FA$315, 10, FALSE))</f>
        <v>:</v>
      </c>
      <c r="L40" s="544" t="str">
        <f>IF(VLOOKUP($E$40,[1]QUART!$A$2:$FA$315, 11, FALSE)="",":",VLOOKUP($E$40,[1]QUART!$A$2:$FA$315, 11, FALSE))</f>
        <v>:</v>
      </c>
      <c r="M40" s="544" t="str">
        <f>IF(VLOOKUP($E$40,[1]QUART!$A$2:$FA$315, 12, FALSE)="",":",VLOOKUP($E$40,[1]QUART!$A$2:$FA$315, 12, FALSE))</f>
        <v>:</v>
      </c>
      <c r="N40" s="544" t="str">
        <f>IF(VLOOKUP($E$40,[1]QUART!$A$2:$FA$315, 13, FALSE)="",":",VLOOKUP($E$40,[1]QUART!$A$2:$FA$315, 13, FALSE))</f>
        <v>:</v>
      </c>
      <c r="O40" s="544" t="str">
        <f>IF(VLOOKUP($E$40,[1]QUART!$A$2:$FA$315, 14, FALSE)="",":",VLOOKUP($E$40,[1]QUART!$A$2:$FA$315, 14, FALSE))</f>
        <v>:</v>
      </c>
      <c r="P40" s="544" t="str">
        <f>IF(VLOOKUP($E$40,[1]QUART!$A$2:$FA$315, 15, FALSE)="",":",VLOOKUP($E$40,[1]QUART!$A$2:$FA$315, 15, FALSE))</f>
        <v>:</v>
      </c>
      <c r="Q40" s="544" t="str">
        <f>IF(VLOOKUP($E$40,[1]QUART!$A$2:$FA$315, 16, FALSE)="",":",VLOOKUP($E$40,[1]QUART!$A$2:$FA$315, 16, FALSE))</f>
        <v>:</v>
      </c>
      <c r="R40" s="544" t="str">
        <f>IF(VLOOKUP($E$40,[1]QUART!$A$2:$FA$315, 17, FALSE)="",":",VLOOKUP($E$40,[1]QUART!$A$2:$FA$315, 17, FALSE))</f>
        <v>:</v>
      </c>
      <c r="S40" s="544" t="str">
        <f>IF(VLOOKUP($E$40,[1]QUART!$A$2:$FA$315, 18, FALSE)="",":",VLOOKUP($E$40,[1]QUART!$A$2:$FA$315, 18, FALSE))</f>
        <v>:</v>
      </c>
      <c r="T40" s="544" t="str">
        <f>IF(VLOOKUP($E$40,[1]QUART!$A$2:$FA$315, 19, FALSE)="",":",VLOOKUP($E$40,[1]QUART!$A$2:$FA$315, 19, FALSE))</f>
        <v>:</v>
      </c>
      <c r="U40" s="544" t="str">
        <f>IF(VLOOKUP($E$40,[1]QUART!$A$2:$FA$315, 20, FALSE)="",":",VLOOKUP($E$40,[1]QUART!$A$2:$FA$315, 20, FALSE))</f>
        <v>:</v>
      </c>
      <c r="V40" s="544" t="str">
        <f>IF(VLOOKUP($E$40,[1]QUART!$A$2:$FA$315, 21, FALSE)="",":",VLOOKUP($E$40,[1]QUART!$A$2:$FA$315, 21, FALSE))</f>
        <v>:</v>
      </c>
      <c r="W40" s="544" t="str">
        <f>IF(VLOOKUP($E$40,[1]QUART!$A$2:$FA$315, 22, FALSE)="",":",VLOOKUP($E$40,[1]QUART!$A$2:$FA$315, 22, FALSE))</f>
        <v>:</v>
      </c>
      <c r="X40" s="544" t="str">
        <f>IF(VLOOKUP($E$40,[1]QUART!$A$2:$FA$315, 23, FALSE)="",":",VLOOKUP($E$40,[1]QUART!$A$2:$FA$315, 23, FALSE))</f>
        <v>:</v>
      </c>
      <c r="Y40" s="544" t="str">
        <f>IF(VLOOKUP($E$40,[1]QUART!$A$2:$FA$315, 24, FALSE)="",":",VLOOKUP($E$40,[1]QUART!$A$2:$FA$315, 24, FALSE))</f>
        <v>:</v>
      </c>
      <c r="Z40" s="544" t="str">
        <f>IF(VLOOKUP($E$40,[1]QUART!$A$2:$FA$315, 25, FALSE)="",":",VLOOKUP($E$40,[1]QUART!$A$2:$FA$315, 25, FALSE))</f>
        <v>:</v>
      </c>
      <c r="AA40" s="544" t="str">
        <f>IF(VLOOKUP($E$40,[1]QUART!$A$2:$FA$315, 26, FALSE)="",":",VLOOKUP($E$40,[1]QUART!$A$2:$FA$315, 26, FALSE))</f>
        <v>:</v>
      </c>
      <c r="AB40" s="544" t="str">
        <f>IF(VLOOKUP($E$40,[1]QUART!$A$2:$FA$315, 27, FALSE)="",":",VLOOKUP($E$40,[1]QUART!$A$2:$FA$315, 27, FALSE))</f>
        <v>:</v>
      </c>
      <c r="AC40" s="544" t="str">
        <f>IF(VLOOKUP($E$40,[1]QUART!$A$2:$FA$315, 28, FALSE)="",":",VLOOKUP($E$40,[1]QUART!$A$2:$FA$315, 28, FALSE))</f>
        <v>:</v>
      </c>
      <c r="AD40" s="544" t="str">
        <f>IF(VLOOKUP($E$40,[1]QUART!$A$2:$FA$315, 29, FALSE)="",":",VLOOKUP($E$40,[1]QUART!$A$2:$FA$315, 29, FALSE))</f>
        <v>:</v>
      </c>
      <c r="AE40" s="544" t="str">
        <f>IF(VLOOKUP($E$40,[1]QUART!$A$2:$FA$315, 30, FALSE)="",":",VLOOKUP($E$40,[1]QUART!$A$2:$FA$315, 30, FALSE))</f>
        <v>:</v>
      </c>
      <c r="AF40" s="544" t="str">
        <f>IF(VLOOKUP($E$40,[1]QUART!$A$2:$FA$315, 31, FALSE)="",":",VLOOKUP($E$40,[1]QUART!$A$2:$FA$315, 31, FALSE))</f>
        <v>:</v>
      </c>
      <c r="AG40" s="544" t="str">
        <f>IF(VLOOKUP($E$40,[1]QUART!$A$2:$FA$315, 32, FALSE)="",":",VLOOKUP($E$40,[1]QUART!$A$2:$FA$315, 32, FALSE))</f>
        <v>:</v>
      </c>
      <c r="AH40" s="544" t="str">
        <f>IF(VLOOKUP($E$40,[1]QUART!$A$2:$FA$315, 33, FALSE)="",":",VLOOKUP($E$40,[1]QUART!$A$2:$FA$315, 33, FALSE))</f>
        <v>:</v>
      </c>
      <c r="AI40" s="544" t="str">
        <f>IF(VLOOKUP($E$40,[1]QUART!$A$2:$FA$315, 34, FALSE)="",":",VLOOKUP($E$40,[1]QUART!$A$2:$FA$315, 34, FALSE))</f>
        <v>:</v>
      </c>
      <c r="AJ40" s="544" t="str">
        <f>IF(VLOOKUP($E$40,[1]QUART!$A$2:$FA$315, 35, FALSE)="",":",VLOOKUP($E$40,[1]QUART!$A$2:$FA$315, 35, FALSE))</f>
        <v>:</v>
      </c>
      <c r="AK40" s="544" t="str">
        <f>IF(VLOOKUP($E$40,[1]QUART!$A$2:$FA$315, 36, FALSE)="",":",VLOOKUP($E$40,[1]QUART!$A$2:$FA$315, 36, FALSE))</f>
        <v>:</v>
      </c>
      <c r="AL40" s="544" t="str">
        <f>IF(VLOOKUP($E$40,[1]QUART!$A$2:$FA$315, 37, FALSE)="",":",VLOOKUP($E$40,[1]QUART!$A$2:$FA$315, 37, FALSE))</f>
        <v>:</v>
      </c>
      <c r="AM40" s="544" t="str">
        <f>IF(VLOOKUP($E$40,[1]QUART!$A$2:$FA$315, 38, FALSE)="",":",VLOOKUP($E$40,[1]QUART!$A$2:$FA$315, 38, FALSE))</f>
        <v>:</v>
      </c>
      <c r="AN40" s="544" t="str">
        <f>IF(VLOOKUP($E$40,[1]QUART!$A$2:$FA$315, 39, FALSE)="",":",VLOOKUP($E$40,[1]QUART!$A$2:$FA$315, 39, FALSE))</f>
        <v>:</v>
      </c>
      <c r="AO40" s="544" t="str">
        <f>IF(VLOOKUP($E$40,[1]QUART!$A$2:$FA$315, 40, FALSE)="",":",VLOOKUP($E$40,[1]QUART!$A$2:$FA$315, 40, FALSE))</f>
        <v>:</v>
      </c>
      <c r="AP40" s="544" t="str">
        <f>IF(VLOOKUP($E$40,[1]QUART!$A$2:$FA$315, 41, FALSE)="",":",VLOOKUP($E$40,[1]QUART!$A$2:$FA$315, 41, FALSE))</f>
        <v>:</v>
      </c>
      <c r="AQ40" s="544" t="str">
        <f>IF(VLOOKUP($E$40,[1]QUART!$A$2:$FA$315, 42, FALSE)="",":",VLOOKUP($E$40,[1]QUART!$A$2:$FA$315, 42, FALSE))</f>
        <v>:</v>
      </c>
      <c r="AR40" s="544" t="str">
        <f>IF(VLOOKUP($E$40,[1]QUART!$A$2:$FA$315, 43, FALSE)="",":",VLOOKUP($E$40,[1]QUART!$A$2:$FA$315, 43, FALSE))</f>
        <v>:</v>
      </c>
      <c r="AS40" s="544" t="str">
        <f>IF(VLOOKUP($E$40,[1]QUART!$A$2:$FA$315, 44, FALSE)="",":",VLOOKUP($E$40,[1]QUART!$A$2:$FA$315, 44, FALSE))</f>
        <v>:</v>
      </c>
      <c r="AT40" s="544" t="str">
        <f>IF(VLOOKUP($E$40,[1]QUART!$A$2:$FA$315, 45, FALSE)="",":",VLOOKUP($E$40,[1]QUART!$A$2:$FA$315, 45, FALSE))</f>
        <v>:</v>
      </c>
      <c r="AU40" s="544" t="str">
        <f>IF(VLOOKUP($E$40,[1]QUART!$A$2:$FA$315, 46, FALSE)="",":",VLOOKUP($E$40,[1]QUART!$A$2:$FA$315, 46, FALSE))</f>
        <v>:</v>
      </c>
      <c r="AV40" s="544" t="str">
        <f>IF(VLOOKUP($E$40,[1]QUART!$A$2:$FA$315, 47, FALSE)="",":",VLOOKUP($E$40,[1]QUART!$A$2:$FA$315, 47, FALSE))</f>
        <v>:</v>
      </c>
      <c r="AW40" s="544" t="str">
        <f>IF(VLOOKUP($E$40,[1]QUART!$A$2:$FA$315, 48, FALSE)="",":",VLOOKUP($E$40,[1]QUART!$A$2:$FA$315, 48, FALSE))</f>
        <v>:</v>
      </c>
      <c r="AX40" s="544" t="str">
        <f>IF(VLOOKUP($E$40,[1]QUART!$A$2:$FA$315, 49, FALSE)="",":",VLOOKUP($E$40,[1]QUART!$A$2:$FA$315, 49, FALSE))</f>
        <v>:</v>
      </c>
      <c r="AY40" s="544" t="str">
        <f>IF(VLOOKUP($E$40,[1]QUART!$A$2:$FA$315, 50, FALSE)="",":",VLOOKUP($E$40,[1]QUART!$A$2:$FA$315, 50, FALSE))</f>
        <v>:</v>
      </c>
      <c r="AZ40" s="544" t="str">
        <f>IF(VLOOKUP($E$40,[1]QUART!$A$2:$FA$315, 51, FALSE)="",":",VLOOKUP($E$40,[1]QUART!$A$2:$FA$315, 51, FALSE))</f>
        <v>:</v>
      </c>
      <c r="BA40" s="544" t="str">
        <f>IF(VLOOKUP($E$40,[1]QUART!$A$2:$FA$315, 52, FALSE)="",":",VLOOKUP($E$40,[1]QUART!$A$2:$FA$315, 52, FALSE))</f>
        <v>:</v>
      </c>
      <c r="BB40" s="544" t="str">
        <f>IF(VLOOKUP($E$40,[1]QUART!$A$2:$FA$315, 53, FALSE)="",":",VLOOKUP($E$40,[1]QUART!$A$2:$FA$315, 53, FALSE))</f>
        <v>:</v>
      </c>
      <c r="BC40" s="544" t="str">
        <f>IF(VLOOKUP($E$40,[1]QUART!$A$2:$FA$315, 54, FALSE)="",":",VLOOKUP($E$40,[1]QUART!$A$2:$FA$315, 54, FALSE))</f>
        <v>:</v>
      </c>
      <c r="BD40" s="544" t="str">
        <f>IF(VLOOKUP($E$40,[1]QUART!$A$2:$FA$315, 55, FALSE)="",":",VLOOKUP($E$40,[1]QUART!$A$2:$FA$315, 55, FALSE))</f>
        <v>:</v>
      </c>
      <c r="BE40" s="544" t="str">
        <f>IF(VLOOKUP($E$40,[1]QUART!$A$2:$FA$315, 56, FALSE)="",":",VLOOKUP($E$40,[1]QUART!$A$2:$FA$315, 56, FALSE))</f>
        <v>:</v>
      </c>
      <c r="BF40" s="544" t="str">
        <f>IF(VLOOKUP($E$40,[1]QUART!$A$2:$FA$315, 57, FALSE)="",":",VLOOKUP($E$40,[1]QUART!$A$2:$FA$315, 57, FALSE))</f>
        <v>:</v>
      </c>
      <c r="BG40" s="544" t="str">
        <f>IF(VLOOKUP($E$40,[1]QUART!$A$2:$FA$315, 58, FALSE)="",":",VLOOKUP($E$40,[1]QUART!$A$2:$FA$315, 58, FALSE))</f>
        <v>:</v>
      </c>
      <c r="BH40" s="544" t="str">
        <f>IF(VLOOKUP($E$40,[1]QUART!$A$2:$FA$315, 59, FALSE)="",":",VLOOKUP($E$40,[1]QUART!$A$2:$FA$315, 59, FALSE))</f>
        <v>:</v>
      </c>
      <c r="BI40" s="544" t="str">
        <f>IF(VLOOKUP($E$40,[1]QUART!$A$2:$FA$315, 60, FALSE)="",":",VLOOKUP($E$40,[1]QUART!$A$2:$FA$315, 60, FALSE))</f>
        <v>:</v>
      </c>
      <c r="BJ40" s="544" t="str">
        <f>IF(VLOOKUP($E$40,[1]QUART!$A$2:$FA$315, 61, FALSE)="",":",VLOOKUP($E$40,[1]QUART!$A$2:$FA$315, 61, FALSE))</f>
        <v>:</v>
      </c>
      <c r="BK40" s="544" t="str">
        <f>IF(VLOOKUP($E$40,[1]QUART!$A$2:$FA$315, 62, FALSE)="",":",VLOOKUP($E$40,[1]QUART!$A$2:$FA$315, 62, FALSE))</f>
        <v>:</v>
      </c>
      <c r="BL40" s="544" t="str">
        <f>IF(VLOOKUP($E$40,[1]QUART!$A$2:$FA$315, 63, FALSE)="",":",VLOOKUP($E$40,[1]QUART!$A$2:$FA$315, 63, FALSE))</f>
        <v>:</v>
      </c>
      <c r="BM40" s="544" t="str">
        <f>IF(VLOOKUP($E$40,[1]QUART!$A$2:$FA$315, 64, FALSE)="",":",VLOOKUP($E$40,[1]QUART!$A$2:$FA$315, 64, FALSE))</f>
        <v>:</v>
      </c>
      <c r="BN40" s="544" t="str">
        <f>IF(VLOOKUP($E$40,[1]QUART!$A$2:$FA$315, 65, FALSE)="",":",VLOOKUP($E$40,[1]QUART!$A$2:$FA$315, 65, FALSE))</f>
        <v>:</v>
      </c>
      <c r="BO40" s="544" t="str">
        <f>IF(VLOOKUP($E$40,[1]QUART!$A$2:$FA$315, 66, FALSE)="",":",VLOOKUP($E$40,[1]QUART!$A$2:$FA$315, 66, FALSE))</f>
        <v>:</v>
      </c>
      <c r="BP40" s="544" t="str">
        <f>IF(VLOOKUP($E$40,[1]QUART!$A$2:$FA$315, 67, FALSE)="",":",VLOOKUP($E$40,[1]QUART!$A$2:$FA$315, 67, FALSE))</f>
        <v>:</v>
      </c>
      <c r="BQ40" s="544" t="str">
        <f>IF(VLOOKUP($E$40,[1]QUART!$A$2:$FA$315, 68, FALSE)="",":",VLOOKUP($E$40,[1]QUART!$A$2:$FA$315, 68, FALSE))</f>
        <v>:</v>
      </c>
      <c r="BR40" s="544" t="str">
        <f>IF(VLOOKUP($E$40,[1]QUART!$A$2:$FA$315, 69, FALSE)="",":",VLOOKUP($E$40,[1]QUART!$A$2:$FA$315, 69, FALSE))</f>
        <v>:</v>
      </c>
      <c r="BS40" s="544" t="str">
        <f>IF(VLOOKUP($E$40,[1]QUART!$A$2:$FA$315, 70, FALSE)="",":",VLOOKUP($E$40,[1]QUART!$A$2:$FA$315, 70, FALSE))</f>
        <v>:</v>
      </c>
      <c r="BT40" s="544" t="str">
        <f>IF(VLOOKUP($E$40,[1]QUART!$A$2:$FA$315, 71, FALSE)="",":",VLOOKUP($E$40,[1]QUART!$A$2:$FA$315, 71, FALSE))</f>
        <v>:</v>
      </c>
      <c r="BU40" s="544" t="str">
        <f>IF(VLOOKUP($E$40,[1]QUART!$A$2:$FA$315, 72, FALSE)="",":",VLOOKUP($E$40,[1]QUART!$A$2:$FA$315, 72, FALSE))</f>
        <v>:</v>
      </c>
      <c r="BV40" s="544" t="str">
        <f>IF(VLOOKUP($E$40,[1]QUART!$A$2:$FA$315, 73, FALSE)="",":",VLOOKUP($E$40,[1]QUART!$A$2:$FA$315, 73, FALSE))</f>
        <v>:</v>
      </c>
      <c r="BW40" s="544" t="str">
        <f>IF(VLOOKUP($E$40,[1]QUART!$A$2:$FA$315, 74, FALSE)="",":",VLOOKUP($E$40,[1]QUART!$A$2:$FA$315, 74, FALSE))</f>
        <v>:</v>
      </c>
      <c r="BX40" s="544" t="str">
        <f>IF(VLOOKUP($E$40,[1]QUART!$A$2:$FA$315, 75, FALSE)="",":",VLOOKUP($E$40,[1]QUART!$A$2:$FA$315, 75, FALSE))</f>
        <v>:</v>
      </c>
      <c r="BY40" s="544" t="str">
        <f>IF(VLOOKUP($E$40,[1]QUART!$A$2:$FA$315, 76, FALSE)="",":",VLOOKUP($E$40,[1]QUART!$A$2:$FA$315, 76, FALSE))</f>
        <v>:</v>
      </c>
      <c r="BZ40" s="544" t="str">
        <f>IF(VLOOKUP($E$40,[1]QUART!$A$2:$FA$315, 77, FALSE)="",":",VLOOKUP($E$40,[1]QUART!$A$2:$FA$315, 77, FALSE))</f>
        <v>:</v>
      </c>
      <c r="CA40" s="544" t="str">
        <f>IF(VLOOKUP($E$40,[1]QUART!$A$2:$FA$315, 78, FALSE)="",":",VLOOKUP($E$40,[1]QUART!$A$2:$FA$315, 78, FALSE))</f>
        <v>:</v>
      </c>
      <c r="CB40" s="544" t="str">
        <f>IF(VLOOKUP($E$40,[1]QUART!$A$2:$FA$315, 79, FALSE)="",":",VLOOKUP($E$40,[1]QUART!$A$2:$FA$315, 79, FALSE))</f>
        <v>:</v>
      </c>
      <c r="CC40" s="544" t="str">
        <f>IF(VLOOKUP($E$40,[1]QUART!$A$2:$FA$315, 80, FALSE)="",":",VLOOKUP($E$40,[1]QUART!$A$2:$FA$315, 80, FALSE))</f>
        <v>:</v>
      </c>
      <c r="CD40" s="544" t="str">
        <f>IF(VLOOKUP($E$40,[1]QUART!$A$2:$FA$315, 81, FALSE)="",":",VLOOKUP($E$40,[1]QUART!$A$2:$FA$315, 81, FALSE))</f>
        <v>:</v>
      </c>
      <c r="CE40" s="544" t="str">
        <f>IF(VLOOKUP($E$40,[1]QUART!$A$2:$FA$315, 82, FALSE)="",":",VLOOKUP($E$40,[1]QUART!$A$2:$FA$315, 82, FALSE))</f>
        <v>:</v>
      </c>
      <c r="CF40" s="544" t="str">
        <f>IF(VLOOKUP($E$40,[1]QUART!$A$2:$FA$315, 83, FALSE)="",":",VLOOKUP($E$40,[1]QUART!$A$2:$FA$315, 83, FALSE))</f>
        <v>:</v>
      </c>
      <c r="CG40" s="544" t="str">
        <f>IF(VLOOKUP($E$40,[1]QUART!$A$2:$FA$315, 84, FALSE)="",":",VLOOKUP($E$40,[1]QUART!$A$2:$FA$315, 84, FALSE))</f>
        <v>:</v>
      </c>
      <c r="CH40" s="544" t="str">
        <f>IF(VLOOKUP($E$40,[1]QUART!$A$2:$FA$315, 85, FALSE)="",":",VLOOKUP($E$40,[1]QUART!$A$2:$FA$315, 85, FALSE))</f>
        <v>:</v>
      </c>
      <c r="CI40" s="544" t="str">
        <f>IF(VLOOKUP($E$40,[1]QUART!$A$2:$FA$315, 86, FALSE)="",":",VLOOKUP($E$40,[1]QUART!$A$2:$FA$315, 86, FALSE))</f>
        <v>:</v>
      </c>
      <c r="CJ40" s="544" t="str">
        <f>IF(VLOOKUP($E$40,[1]QUART!$A$2:$FA$315, 87, FALSE)="",":",VLOOKUP($E$40,[1]QUART!$A$2:$FA$315, 87, FALSE))</f>
        <v>:</v>
      </c>
      <c r="CK40" s="544" t="str">
        <f>IF(VLOOKUP($E$40,[1]QUART!$A$2:$FA$315, 88, FALSE)="",":",VLOOKUP($E$40,[1]QUART!$A$2:$FA$315, 88, FALSE))</f>
        <v>:</v>
      </c>
      <c r="CL40" s="544" t="str">
        <f>IF(VLOOKUP($E$40,[1]QUART!$A$2:$FA$315, 89, FALSE)="",":",VLOOKUP($E$40,[1]QUART!$A$2:$FA$315, 89, FALSE))</f>
        <v>:</v>
      </c>
      <c r="CM40" s="544" t="str">
        <f>IF(VLOOKUP($E$40,[1]QUART!$A$2:$FA$315, 90, FALSE)="",":",VLOOKUP($E$40,[1]QUART!$A$2:$FA$315, 90, FALSE))</f>
        <v>:</v>
      </c>
      <c r="CN40" s="544" t="str">
        <f>IF(VLOOKUP($E$40,[1]QUART!$A$2:$FA$315, 91, FALSE)="",":",VLOOKUP($E$40,[1]QUART!$A$2:$FA$315, 91, FALSE))</f>
        <v>:</v>
      </c>
      <c r="CO40" s="544" t="str">
        <f>IF(VLOOKUP($E$40,[1]QUART!$A$2:$FA$315, 92, FALSE)="",":",VLOOKUP($E$40,[1]QUART!$A$2:$FA$315, 92, FALSE))</f>
        <v>:</v>
      </c>
      <c r="CP40" s="544" t="str">
        <f>IF(VLOOKUP($E$40,[1]QUART!$A$2:$FA$315, 93, FALSE)="",":",VLOOKUP($E$40,[1]QUART!$A$2:$FA$315, 93, FALSE))</f>
        <v>:</v>
      </c>
      <c r="CQ40" s="544" t="str">
        <f>IF(VLOOKUP($E$40,[1]QUART!$A$2:$FA$315, 94, FALSE)="",":",VLOOKUP($E$40,[1]QUART!$A$2:$FA$315, 94, FALSE))</f>
        <v>:</v>
      </c>
      <c r="CR40" s="544" t="str">
        <f>IF(VLOOKUP($E$40,[1]QUART!$A$2:$FA$315, 95, FALSE)="",":",VLOOKUP($E$40,[1]QUART!$A$2:$FA$315, 95, FALSE))</f>
        <v>:</v>
      </c>
      <c r="CS40" s="544" t="str">
        <f>IF(VLOOKUP($E$40,[1]QUART!$A$2:$FA$315, 96, FALSE)="",":",VLOOKUP($E$40,[1]QUART!$A$2:$FA$315, 96, FALSE))</f>
        <v>:</v>
      </c>
      <c r="CT40" s="544" t="str">
        <f>IF(VLOOKUP($E$40,[1]QUART!$A$2:$FA$315, 97, FALSE)="",":",VLOOKUP($E$40,[1]QUART!$A$2:$FA$315, 97, FALSE))</f>
        <v>:</v>
      </c>
      <c r="CU40" s="544" t="str">
        <f>IF(VLOOKUP($E$40,[1]QUART!$A$2:$FA$315, 98, FALSE)="",":",VLOOKUP($E$40,[1]QUART!$A$2:$FA$315, 98, FALSE))</f>
        <v>:</v>
      </c>
      <c r="CV40" s="544" t="str">
        <f>IF(VLOOKUP($E$40,[1]QUART!$A$2:$FA$315, 99, FALSE)="",":",VLOOKUP($E$40,[1]QUART!$A$2:$FA$315, 99, FALSE))</f>
        <v>:</v>
      </c>
      <c r="CW40" s="544" t="str">
        <f>IF(VLOOKUP($E$40,[1]QUART!$A$2:$FA$315, 100, FALSE)="",":",VLOOKUP($E$40,[1]QUART!$A$2:$FA$315, 100, FALSE))</f>
        <v>:</v>
      </c>
      <c r="CX40" s="544" t="str">
        <f>IF(VLOOKUP($E$40,[1]QUART!$A$2:$FA$315, 101, FALSE)="",":",VLOOKUP($E$40,[1]QUART!$A$2:$FA$315, 101, FALSE))</f>
        <v>:</v>
      </c>
      <c r="CY40" s="544" t="str">
        <f>IF(VLOOKUP($E$40,[1]QUART!$A$2:$FA$315, 102, FALSE)="",":",VLOOKUP($E$40,[1]QUART!$A$2:$FA$315, 102, FALSE))</f>
        <v>:</v>
      </c>
      <c r="CZ40" s="544" t="str">
        <f>IF(VLOOKUP($E$40,[1]QUART!$A$2:$FA$315, 103, FALSE)="",":",VLOOKUP($E$40,[1]QUART!$A$2:$FA$315, 103, FALSE))</f>
        <v>:</v>
      </c>
      <c r="DA40" s="544" t="str">
        <f>IF(VLOOKUP($E$40,[1]QUART!$A$2:$FA$315, 104, FALSE)="",":",VLOOKUP($E$40,[1]QUART!$A$2:$FA$315, 104, FALSE))</f>
        <v>:</v>
      </c>
      <c r="DB40" s="544" t="str">
        <f>IF(VLOOKUP($E$40,[1]QUART!$A$2:$FA$315, 105, FALSE)="",":",VLOOKUP($E$40,[1]QUART!$A$2:$FA$315, 105, FALSE))</f>
        <v>:</v>
      </c>
      <c r="DC40" s="544" t="str">
        <f>IF(VLOOKUP($E$40,[1]QUART!$A$2:$FA$315, 106, FALSE)="",":",VLOOKUP($E$40,[1]QUART!$A$2:$FA$315, 106, FALSE))</f>
        <v>:</v>
      </c>
    </row>
    <row r="41" spans="1:107">
      <c r="A41" s="1954"/>
      <c r="B41" s="534"/>
      <c r="C41" s="535"/>
      <c r="D41" s="12" t="s">
        <v>1841</v>
      </c>
      <c r="E41" s="13">
        <v>107</v>
      </c>
      <c r="F41" s="14" t="str">
        <f>VLOOKUP($E$41,[1]QUART!$A$2:$FA$315, 3, FALSE)</f>
        <v>107  Domestic demand including change in inventories and net acquisition of valuables</v>
      </c>
      <c r="G41" s="544" t="str">
        <f>IF(VLOOKUP($E$41,[1]QUART!$A$2:$FA$315, 6, FALSE)="",":",VLOOKUP($E$41,[1]QUART!$A$2:$FA$315, 6, FALSE))</f>
        <v>:</v>
      </c>
      <c r="H41" s="544" t="str">
        <f>IF(VLOOKUP($E$41,[1]QUART!$A$2:$FA$315, 7, FALSE)="",":",VLOOKUP($E$41,[1]QUART!$A$2:$FA$315, 7, FALSE))</f>
        <v>:</v>
      </c>
      <c r="I41" s="544" t="str">
        <f>IF(VLOOKUP($E$41,[1]QUART!$A$2:$FA$315, 8, FALSE)="",":",VLOOKUP($E$41,[1]QUART!$A$2:$FA$315, 8, FALSE))</f>
        <v>:</v>
      </c>
      <c r="J41" s="544" t="str">
        <f>IF(VLOOKUP($E$41,[1]QUART!$A$2:$FA$315, 9, FALSE)="",":",VLOOKUP($E$41,[1]QUART!$A$2:$FA$315, 9, FALSE))</f>
        <v>:</v>
      </c>
      <c r="K41" s="544" t="str">
        <f>IF(VLOOKUP($E$41,[1]QUART!$A$2:$FA$315, 10, FALSE)="",":",VLOOKUP($E$41,[1]QUART!$A$2:$FA$315, 10, FALSE))</f>
        <v>:</v>
      </c>
      <c r="L41" s="544" t="str">
        <f>IF(VLOOKUP($E$41,[1]QUART!$A$2:$FA$315, 11, FALSE)="",":",VLOOKUP($E$41,[1]QUART!$A$2:$FA$315, 11, FALSE))</f>
        <v>:</v>
      </c>
      <c r="M41" s="544" t="str">
        <f>IF(VLOOKUP($E$41,[1]QUART!$A$2:$FA$315, 12, FALSE)="",":",VLOOKUP($E$41,[1]QUART!$A$2:$FA$315, 12, FALSE))</f>
        <v>:</v>
      </c>
      <c r="N41" s="544" t="str">
        <f>IF(VLOOKUP($E$41,[1]QUART!$A$2:$FA$315, 13, FALSE)="",":",VLOOKUP($E$41,[1]QUART!$A$2:$FA$315, 13, FALSE))</f>
        <v>:</v>
      </c>
      <c r="O41" s="544" t="str">
        <f>IF(VLOOKUP($E$41,[1]QUART!$A$2:$FA$315, 14, FALSE)="",":",VLOOKUP($E$41,[1]QUART!$A$2:$FA$315, 14, FALSE))</f>
        <v>:</v>
      </c>
      <c r="P41" s="544" t="str">
        <f>IF(VLOOKUP($E$41,[1]QUART!$A$2:$FA$315, 15, FALSE)="",":",VLOOKUP($E$41,[1]QUART!$A$2:$FA$315, 15, FALSE))</f>
        <v>:</v>
      </c>
      <c r="Q41" s="544" t="str">
        <f>IF(VLOOKUP($E$41,[1]QUART!$A$2:$FA$315, 16, FALSE)="",":",VLOOKUP($E$41,[1]QUART!$A$2:$FA$315, 16, FALSE))</f>
        <v>:</v>
      </c>
      <c r="R41" s="544" t="str">
        <f>IF(VLOOKUP($E$41,[1]QUART!$A$2:$FA$315, 17, FALSE)="",":",VLOOKUP($E$41,[1]QUART!$A$2:$FA$315, 17, FALSE))</f>
        <v>:</v>
      </c>
      <c r="S41" s="544" t="str">
        <f>IF(VLOOKUP($E$41,[1]QUART!$A$2:$FA$315, 18, FALSE)="",":",VLOOKUP($E$41,[1]QUART!$A$2:$FA$315, 18, FALSE))</f>
        <v>:</v>
      </c>
      <c r="T41" s="544" t="str">
        <f>IF(VLOOKUP($E$41,[1]QUART!$A$2:$FA$315, 19, FALSE)="",":",VLOOKUP($E$41,[1]QUART!$A$2:$FA$315, 19, FALSE))</f>
        <v>:</v>
      </c>
      <c r="U41" s="544" t="str">
        <f>IF(VLOOKUP($E$41,[1]QUART!$A$2:$FA$315, 20, FALSE)="",":",VLOOKUP($E$41,[1]QUART!$A$2:$FA$315, 20, FALSE))</f>
        <v>:</v>
      </c>
      <c r="V41" s="544" t="str">
        <f>IF(VLOOKUP($E$41,[1]QUART!$A$2:$FA$315, 21, FALSE)="",":",VLOOKUP($E$41,[1]QUART!$A$2:$FA$315, 21, FALSE))</f>
        <v>:</v>
      </c>
      <c r="W41" s="544" t="str">
        <f>IF(VLOOKUP($E$41,[1]QUART!$A$2:$FA$315, 22, FALSE)="",":",VLOOKUP($E$41,[1]QUART!$A$2:$FA$315, 22, FALSE))</f>
        <v>:</v>
      </c>
      <c r="X41" s="544" t="str">
        <f>IF(VLOOKUP($E$41,[1]QUART!$A$2:$FA$315, 23, FALSE)="",":",VLOOKUP($E$41,[1]QUART!$A$2:$FA$315, 23, FALSE))</f>
        <v>:</v>
      </c>
      <c r="Y41" s="544" t="str">
        <f>IF(VLOOKUP($E$41,[1]QUART!$A$2:$FA$315, 24, FALSE)="",":",VLOOKUP($E$41,[1]QUART!$A$2:$FA$315, 24, FALSE))</f>
        <v>:</v>
      </c>
      <c r="Z41" s="544" t="str">
        <f>IF(VLOOKUP($E$41,[1]QUART!$A$2:$FA$315, 25, FALSE)="",":",VLOOKUP($E$41,[1]QUART!$A$2:$FA$315, 25, FALSE))</f>
        <v>:</v>
      </c>
      <c r="AA41" s="544" t="str">
        <f>IF(VLOOKUP($E$41,[1]QUART!$A$2:$FA$315, 26, FALSE)="",":",VLOOKUP($E$41,[1]QUART!$A$2:$FA$315, 26, FALSE))</f>
        <v>:</v>
      </c>
      <c r="AB41" s="544" t="str">
        <f>IF(VLOOKUP($E$41,[1]QUART!$A$2:$FA$315, 27, FALSE)="",":",VLOOKUP($E$41,[1]QUART!$A$2:$FA$315, 27, FALSE))</f>
        <v>:</v>
      </c>
      <c r="AC41" s="544" t="str">
        <f>IF(VLOOKUP($E$41,[1]QUART!$A$2:$FA$315, 28, FALSE)="",":",VLOOKUP($E$41,[1]QUART!$A$2:$FA$315, 28, FALSE))</f>
        <v>:</v>
      </c>
      <c r="AD41" s="544" t="str">
        <f>IF(VLOOKUP($E$41,[1]QUART!$A$2:$FA$315, 29, FALSE)="",":",VLOOKUP($E$41,[1]QUART!$A$2:$FA$315, 29, FALSE))</f>
        <v>:</v>
      </c>
      <c r="AE41" s="544" t="str">
        <f>IF(VLOOKUP($E$41,[1]QUART!$A$2:$FA$315, 30, FALSE)="",":",VLOOKUP($E$41,[1]QUART!$A$2:$FA$315, 30, FALSE))</f>
        <v>:</v>
      </c>
      <c r="AF41" s="544" t="str">
        <f>IF(VLOOKUP($E$41,[1]QUART!$A$2:$FA$315, 31, FALSE)="",":",VLOOKUP($E$41,[1]QUART!$A$2:$FA$315, 31, FALSE))</f>
        <v>:</v>
      </c>
      <c r="AG41" s="544" t="str">
        <f>IF(VLOOKUP($E$41,[1]QUART!$A$2:$FA$315, 32, FALSE)="",":",VLOOKUP($E$41,[1]QUART!$A$2:$FA$315, 32, FALSE))</f>
        <v>:</v>
      </c>
      <c r="AH41" s="544" t="str">
        <f>IF(VLOOKUP($E$41,[1]QUART!$A$2:$FA$315, 33, FALSE)="",":",VLOOKUP($E$41,[1]QUART!$A$2:$FA$315, 33, FALSE))</f>
        <v>:</v>
      </c>
      <c r="AI41" s="544" t="str">
        <f>IF(VLOOKUP($E$41,[1]QUART!$A$2:$FA$315, 34, FALSE)="",":",VLOOKUP($E$41,[1]QUART!$A$2:$FA$315, 34, FALSE))</f>
        <v>:</v>
      </c>
      <c r="AJ41" s="544" t="str">
        <f>IF(VLOOKUP($E$41,[1]QUART!$A$2:$FA$315, 35, FALSE)="",":",VLOOKUP($E$41,[1]QUART!$A$2:$FA$315, 35, FALSE))</f>
        <v>:</v>
      </c>
      <c r="AK41" s="544" t="str">
        <f>IF(VLOOKUP($E$41,[1]QUART!$A$2:$FA$315, 36, FALSE)="",":",VLOOKUP($E$41,[1]QUART!$A$2:$FA$315, 36, FALSE))</f>
        <v>:</v>
      </c>
      <c r="AL41" s="544" t="str">
        <f>IF(VLOOKUP($E$41,[1]QUART!$A$2:$FA$315, 37, FALSE)="",":",VLOOKUP($E$41,[1]QUART!$A$2:$FA$315, 37, FALSE))</f>
        <v>:</v>
      </c>
      <c r="AM41" s="544" t="str">
        <f>IF(VLOOKUP($E$41,[1]QUART!$A$2:$FA$315, 38, FALSE)="",":",VLOOKUP($E$41,[1]QUART!$A$2:$FA$315, 38, FALSE))</f>
        <v>:</v>
      </c>
      <c r="AN41" s="544" t="str">
        <f>IF(VLOOKUP($E$41,[1]QUART!$A$2:$FA$315, 39, FALSE)="",":",VLOOKUP($E$41,[1]QUART!$A$2:$FA$315, 39, FALSE))</f>
        <v>:</v>
      </c>
      <c r="AO41" s="544" t="str">
        <f>IF(VLOOKUP($E$41,[1]QUART!$A$2:$FA$315, 40, FALSE)="",":",VLOOKUP($E$41,[1]QUART!$A$2:$FA$315, 40, FALSE))</f>
        <v>:</v>
      </c>
      <c r="AP41" s="544" t="str">
        <f>IF(VLOOKUP($E$41,[1]QUART!$A$2:$FA$315, 41, FALSE)="",":",VLOOKUP($E$41,[1]QUART!$A$2:$FA$315, 41, FALSE))</f>
        <v>:</v>
      </c>
      <c r="AQ41" s="544" t="str">
        <f>IF(VLOOKUP($E$41,[1]QUART!$A$2:$FA$315, 42, FALSE)="",":",VLOOKUP($E$41,[1]QUART!$A$2:$FA$315, 42, FALSE))</f>
        <v>:</v>
      </c>
      <c r="AR41" s="544" t="str">
        <f>IF(VLOOKUP($E$41,[1]QUART!$A$2:$FA$315, 43, FALSE)="",":",VLOOKUP($E$41,[1]QUART!$A$2:$FA$315, 43, FALSE))</f>
        <v>:</v>
      </c>
      <c r="AS41" s="544" t="str">
        <f>IF(VLOOKUP($E$41,[1]QUART!$A$2:$FA$315, 44, FALSE)="",":",VLOOKUP($E$41,[1]QUART!$A$2:$FA$315, 44, FALSE))</f>
        <v>:</v>
      </c>
      <c r="AT41" s="544" t="str">
        <f>IF(VLOOKUP($E$41,[1]QUART!$A$2:$FA$315, 45, FALSE)="",":",VLOOKUP($E$41,[1]QUART!$A$2:$FA$315, 45, FALSE))</f>
        <v>:</v>
      </c>
      <c r="AU41" s="544" t="str">
        <f>IF(VLOOKUP($E$41,[1]QUART!$A$2:$FA$315, 46, FALSE)="",":",VLOOKUP($E$41,[1]QUART!$A$2:$FA$315, 46, FALSE))</f>
        <v>:</v>
      </c>
      <c r="AV41" s="544" t="str">
        <f>IF(VLOOKUP($E$41,[1]QUART!$A$2:$FA$315, 47, FALSE)="",":",VLOOKUP($E$41,[1]QUART!$A$2:$FA$315, 47, FALSE))</f>
        <v>:</v>
      </c>
      <c r="AW41" s="544" t="str">
        <f>IF(VLOOKUP($E$41,[1]QUART!$A$2:$FA$315, 48, FALSE)="",":",VLOOKUP($E$41,[1]QUART!$A$2:$FA$315, 48, FALSE))</f>
        <v>:</v>
      </c>
      <c r="AX41" s="544" t="str">
        <f>IF(VLOOKUP($E$41,[1]QUART!$A$2:$FA$315, 49, FALSE)="",":",VLOOKUP($E$41,[1]QUART!$A$2:$FA$315, 49, FALSE))</f>
        <v>:</v>
      </c>
      <c r="AY41" s="544" t="str">
        <f>IF(VLOOKUP($E$41,[1]QUART!$A$2:$FA$315, 50, FALSE)="",":",VLOOKUP($E$41,[1]QUART!$A$2:$FA$315, 50, FALSE))</f>
        <v>:</v>
      </c>
      <c r="AZ41" s="544" t="str">
        <f>IF(VLOOKUP($E$41,[1]QUART!$A$2:$FA$315, 51, FALSE)="",":",VLOOKUP($E$41,[1]QUART!$A$2:$FA$315, 51, FALSE))</f>
        <v>:</v>
      </c>
      <c r="BA41" s="544" t="str">
        <f>IF(VLOOKUP($E$41,[1]QUART!$A$2:$FA$315, 52, FALSE)="",":",VLOOKUP($E$41,[1]QUART!$A$2:$FA$315, 52, FALSE))</f>
        <v>:</v>
      </c>
      <c r="BB41" s="544" t="str">
        <f>IF(VLOOKUP($E$41,[1]QUART!$A$2:$FA$315, 53, FALSE)="",":",VLOOKUP($E$41,[1]QUART!$A$2:$FA$315, 53, FALSE))</f>
        <v>:</v>
      </c>
      <c r="BC41" s="544" t="str">
        <f>IF(VLOOKUP($E$41,[1]QUART!$A$2:$FA$315, 54, FALSE)="",":",VLOOKUP($E$41,[1]QUART!$A$2:$FA$315, 54, FALSE))</f>
        <v>:</v>
      </c>
      <c r="BD41" s="544" t="str">
        <f>IF(VLOOKUP($E$41,[1]QUART!$A$2:$FA$315, 55, FALSE)="",":",VLOOKUP($E$41,[1]QUART!$A$2:$FA$315, 55, FALSE))</f>
        <v>:</v>
      </c>
      <c r="BE41" s="544" t="str">
        <f>IF(VLOOKUP($E$41,[1]QUART!$A$2:$FA$315, 56, FALSE)="",":",VLOOKUP($E$41,[1]QUART!$A$2:$FA$315, 56, FALSE))</f>
        <v>:</v>
      </c>
      <c r="BF41" s="544" t="str">
        <f>IF(VLOOKUP($E$41,[1]QUART!$A$2:$FA$315, 57, FALSE)="",":",VLOOKUP($E$41,[1]QUART!$A$2:$FA$315, 57, FALSE))</f>
        <v>:</v>
      </c>
      <c r="BG41" s="544" t="str">
        <f>IF(VLOOKUP($E$41,[1]QUART!$A$2:$FA$315, 58, FALSE)="",":",VLOOKUP($E$41,[1]QUART!$A$2:$FA$315, 58, FALSE))</f>
        <v>:</v>
      </c>
      <c r="BH41" s="544" t="str">
        <f>IF(VLOOKUP($E$41,[1]QUART!$A$2:$FA$315, 59, FALSE)="",":",VLOOKUP($E$41,[1]QUART!$A$2:$FA$315, 59, FALSE))</f>
        <v>:</v>
      </c>
      <c r="BI41" s="544" t="str">
        <f>IF(VLOOKUP($E$41,[1]QUART!$A$2:$FA$315, 60, FALSE)="",":",VLOOKUP($E$41,[1]QUART!$A$2:$FA$315, 60, FALSE))</f>
        <v>:</v>
      </c>
      <c r="BJ41" s="544" t="str">
        <f>IF(VLOOKUP($E$41,[1]QUART!$A$2:$FA$315, 61, FALSE)="",":",VLOOKUP($E$41,[1]QUART!$A$2:$FA$315, 61, FALSE))</f>
        <v>:</v>
      </c>
      <c r="BK41" s="544" t="str">
        <f>IF(VLOOKUP($E$41,[1]QUART!$A$2:$FA$315, 62, FALSE)="",":",VLOOKUP($E$41,[1]QUART!$A$2:$FA$315, 62, FALSE))</f>
        <v>:</v>
      </c>
      <c r="BL41" s="544" t="str">
        <f>IF(VLOOKUP($E$41,[1]QUART!$A$2:$FA$315, 63, FALSE)="",":",VLOOKUP($E$41,[1]QUART!$A$2:$FA$315, 63, FALSE))</f>
        <v>:</v>
      </c>
      <c r="BM41" s="544" t="str">
        <f>IF(VLOOKUP($E$41,[1]QUART!$A$2:$FA$315, 64, FALSE)="",":",VLOOKUP($E$41,[1]QUART!$A$2:$FA$315, 64, FALSE))</f>
        <v>:</v>
      </c>
      <c r="BN41" s="544" t="str">
        <f>IF(VLOOKUP($E$41,[1]QUART!$A$2:$FA$315, 65, FALSE)="",":",VLOOKUP($E$41,[1]QUART!$A$2:$FA$315, 65, FALSE))</f>
        <v>:</v>
      </c>
      <c r="BO41" s="544" t="str">
        <f>IF(VLOOKUP($E$41,[1]QUART!$A$2:$FA$315, 66, FALSE)="",":",VLOOKUP($E$41,[1]QUART!$A$2:$FA$315, 66, FALSE))</f>
        <v>:</v>
      </c>
      <c r="BP41" s="544" t="str">
        <f>IF(VLOOKUP($E$41,[1]QUART!$A$2:$FA$315, 67, FALSE)="",":",VLOOKUP($E$41,[1]QUART!$A$2:$FA$315, 67, FALSE))</f>
        <v>:</v>
      </c>
      <c r="BQ41" s="544" t="str">
        <f>IF(VLOOKUP($E$41,[1]QUART!$A$2:$FA$315, 68, FALSE)="",":",VLOOKUP($E$41,[1]QUART!$A$2:$FA$315, 68, FALSE))</f>
        <v>:</v>
      </c>
      <c r="BR41" s="544" t="str">
        <f>IF(VLOOKUP($E$41,[1]QUART!$A$2:$FA$315, 69, FALSE)="",":",VLOOKUP($E$41,[1]QUART!$A$2:$FA$315, 69, FALSE))</f>
        <v>:</v>
      </c>
      <c r="BS41" s="544" t="str">
        <f>IF(VLOOKUP($E$41,[1]QUART!$A$2:$FA$315, 70, FALSE)="",":",VLOOKUP($E$41,[1]QUART!$A$2:$FA$315, 70, FALSE))</f>
        <v>:</v>
      </c>
      <c r="BT41" s="544" t="str">
        <f>IF(VLOOKUP($E$41,[1]QUART!$A$2:$FA$315, 71, FALSE)="",":",VLOOKUP($E$41,[1]QUART!$A$2:$FA$315, 71, FALSE))</f>
        <v>:</v>
      </c>
      <c r="BU41" s="544" t="str">
        <f>IF(VLOOKUP($E$41,[1]QUART!$A$2:$FA$315, 72, FALSE)="",":",VLOOKUP($E$41,[1]QUART!$A$2:$FA$315, 72, FALSE))</f>
        <v>:</v>
      </c>
      <c r="BV41" s="544" t="str">
        <f>IF(VLOOKUP($E$41,[1]QUART!$A$2:$FA$315, 73, FALSE)="",":",VLOOKUP($E$41,[1]QUART!$A$2:$FA$315, 73, FALSE))</f>
        <v>:</v>
      </c>
      <c r="BW41" s="544" t="str">
        <f>IF(VLOOKUP($E$41,[1]QUART!$A$2:$FA$315, 74, FALSE)="",":",VLOOKUP($E$41,[1]QUART!$A$2:$FA$315, 74, FALSE))</f>
        <v>:</v>
      </c>
      <c r="BX41" s="544" t="str">
        <f>IF(VLOOKUP($E$41,[1]QUART!$A$2:$FA$315, 75, FALSE)="",":",VLOOKUP($E$41,[1]QUART!$A$2:$FA$315, 75, FALSE))</f>
        <v>:</v>
      </c>
      <c r="BY41" s="544" t="str">
        <f>IF(VLOOKUP($E$41,[1]QUART!$A$2:$FA$315, 76, FALSE)="",":",VLOOKUP($E$41,[1]QUART!$A$2:$FA$315, 76, FALSE))</f>
        <v>:</v>
      </c>
      <c r="BZ41" s="544" t="str">
        <f>IF(VLOOKUP($E$41,[1]QUART!$A$2:$FA$315, 77, FALSE)="",":",VLOOKUP($E$41,[1]QUART!$A$2:$FA$315, 77, FALSE))</f>
        <v>:</v>
      </c>
      <c r="CA41" s="544" t="str">
        <f>IF(VLOOKUP($E$41,[1]QUART!$A$2:$FA$315, 78, FALSE)="",":",VLOOKUP($E$41,[1]QUART!$A$2:$FA$315, 78, FALSE))</f>
        <v>:</v>
      </c>
      <c r="CB41" s="544" t="str">
        <f>IF(VLOOKUP($E$41,[1]QUART!$A$2:$FA$315, 79, FALSE)="",":",VLOOKUP($E$41,[1]QUART!$A$2:$FA$315, 79, FALSE))</f>
        <v>:</v>
      </c>
      <c r="CC41" s="544" t="str">
        <f>IF(VLOOKUP($E$41,[1]QUART!$A$2:$FA$315, 80, FALSE)="",":",VLOOKUP($E$41,[1]QUART!$A$2:$FA$315, 80, FALSE))</f>
        <v>:</v>
      </c>
      <c r="CD41" s="544" t="str">
        <f>IF(VLOOKUP($E$41,[1]QUART!$A$2:$FA$315, 81, FALSE)="",":",VLOOKUP($E$41,[1]QUART!$A$2:$FA$315, 81, FALSE))</f>
        <v>:</v>
      </c>
      <c r="CE41" s="544" t="str">
        <f>IF(VLOOKUP($E$41,[1]QUART!$A$2:$FA$315, 82, FALSE)="",":",VLOOKUP($E$41,[1]QUART!$A$2:$FA$315, 82, FALSE))</f>
        <v>:</v>
      </c>
      <c r="CF41" s="544" t="str">
        <f>IF(VLOOKUP($E$41,[1]QUART!$A$2:$FA$315, 83, FALSE)="",":",VLOOKUP($E$41,[1]QUART!$A$2:$FA$315, 83, FALSE))</f>
        <v>:</v>
      </c>
      <c r="CG41" s="544" t="str">
        <f>IF(VLOOKUP($E$41,[1]QUART!$A$2:$FA$315, 84, FALSE)="",":",VLOOKUP($E$41,[1]QUART!$A$2:$FA$315, 84, FALSE))</f>
        <v>:</v>
      </c>
      <c r="CH41" s="544" t="str">
        <f>IF(VLOOKUP($E$41,[1]QUART!$A$2:$FA$315, 85, FALSE)="",":",VLOOKUP($E$41,[1]QUART!$A$2:$FA$315, 85, FALSE))</f>
        <v>:</v>
      </c>
      <c r="CI41" s="544" t="str">
        <f>IF(VLOOKUP($E$41,[1]QUART!$A$2:$FA$315, 86, FALSE)="",":",VLOOKUP($E$41,[1]QUART!$A$2:$FA$315, 86, FALSE))</f>
        <v>:</v>
      </c>
      <c r="CJ41" s="544" t="str">
        <f>IF(VLOOKUP($E$41,[1]QUART!$A$2:$FA$315, 87, FALSE)="",":",VLOOKUP($E$41,[1]QUART!$A$2:$FA$315, 87, FALSE))</f>
        <v>:</v>
      </c>
      <c r="CK41" s="544" t="str">
        <f>IF(VLOOKUP($E$41,[1]QUART!$A$2:$FA$315, 88, FALSE)="",":",VLOOKUP($E$41,[1]QUART!$A$2:$FA$315, 88, FALSE))</f>
        <v>:</v>
      </c>
      <c r="CL41" s="544" t="str">
        <f>IF(VLOOKUP($E$41,[1]QUART!$A$2:$FA$315, 89, FALSE)="",":",VLOOKUP($E$41,[1]QUART!$A$2:$FA$315, 89, FALSE))</f>
        <v>:</v>
      </c>
      <c r="CM41" s="544" t="str">
        <f>IF(VLOOKUP($E$41,[1]QUART!$A$2:$FA$315, 90, FALSE)="",":",VLOOKUP($E$41,[1]QUART!$A$2:$FA$315, 90, FALSE))</f>
        <v>:</v>
      </c>
      <c r="CN41" s="544" t="str">
        <f>IF(VLOOKUP($E$41,[1]QUART!$A$2:$FA$315, 91, FALSE)="",":",VLOOKUP($E$41,[1]QUART!$A$2:$FA$315, 91, FALSE))</f>
        <v>:</v>
      </c>
      <c r="CO41" s="544" t="str">
        <f>IF(VLOOKUP($E$41,[1]QUART!$A$2:$FA$315, 92, FALSE)="",":",VLOOKUP($E$41,[1]QUART!$A$2:$FA$315, 92, FALSE))</f>
        <v>:</v>
      </c>
      <c r="CP41" s="544" t="str">
        <f>IF(VLOOKUP($E$41,[1]QUART!$A$2:$FA$315, 93, FALSE)="",":",VLOOKUP($E$41,[1]QUART!$A$2:$FA$315, 93, FALSE))</f>
        <v>:</v>
      </c>
      <c r="CQ41" s="544" t="str">
        <f>IF(VLOOKUP($E$41,[1]QUART!$A$2:$FA$315, 94, FALSE)="",":",VLOOKUP($E$41,[1]QUART!$A$2:$FA$315, 94, FALSE))</f>
        <v>:</v>
      </c>
      <c r="CR41" s="544" t="str">
        <f>IF(VLOOKUP($E$41,[1]QUART!$A$2:$FA$315, 95, FALSE)="",":",VLOOKUP($E$41,[1]QUART!$A$2:$FA$315, 95, FALSE))</f>
        <v>:</v>
      </c>
      <c r="CS41" s="544" t="str">
        <f>IF(VLOOKUP($E$41,[1]QUART!$A$2:$FA$315, 96, FALSE)="",":",VLOOKUP($E$41,[1]QUART!$A$2:$FA$315, 96, FALSE))</f>
        <v>:</v>
      </c>
      <c r="CT41" s="544" t="str">
        <f>IF(VLOOKUP($E$41,[1]QUART!$A$2:$FA$315, 97, FALSE)="",":",VLOOKUP($E$41,[1]QUART!$A$2:$FA$315, 97, FALSE))</f>
        <v>:</v>
      </c>
      <c r="CU41" s="544" t="str">
        <f>IF(VLOOKUP($E$41,[1]QUART!$A$2:$FA$315, 98, FALSE)="",":",VLOOKUP($E$41,[1]QUART!$A$2:$FA$315, 98, FALSE))</f>
        <v>:</v>
      </c>
      <c r="CV41" s="544" t="str">
        <f>IF(VLOOKUP($E$41,[1]QUART!$A$2:$FA$315, 99, FALSE)="",":",VLOOKUP($E$41,[1]QUART!$A$2:$FA$315, 99, FALSE))</f>
        <v>:</v>
      </c>
      <c r="CW41" s="544" t="str">
        <f>IF(VLOOKUP($E$41,[1]QUART!$A$2:$FA$315, 100, FALSE)="",":",VLOOKUP($E$41,[1]QUART!$A$2:$FA$315, 100, FALSE))</f>
        <v>:</v>
      </c>
      <c r="CX41" s="544" t="str">
        <f>IF(VLOOKUP($E$41,[1]QUART!$A$2:$FA$315, 101, FALSE)="",":",VLOOKUP($E$41,[1]QUART!$A$2:$FA$315, 101, FALSE))</f>
        <v>:</v>
      </c>
      <c r="CY41" s="544" t="str">
        <f>IF(VLOOKUP($E$41,[1]QUART!$A$2:$FA$315, 102, FALSE)="",":",VLOOKUP($E$41,[1]QUART!$A$2:$FA$315, 102, FALSE))</f>
        <v>:</v>
      </c>
      <c r="CZ41" s="544" t="str">
        <f>IF(VLOOKUP($E$41,[1]QUART!$A$2:$FA$315, 103, FALSE)="",":",VLOOKUP($E$41,[1]QUART!$A$2:$FA$315, 103, FALSE))</f>
        <v>:</v>
      </c>
      <c r="DA41" s="544" t="str">
        <f>IF(VLOOKUP($E$41,[1]QUART!$A$2:$FA$315, 104, FALSE)="",":",VLOOKUP($E$41,[1]QUART!$A$2:$FA$315, 104, FALSE))</f>
        <v>:</v>
      </c>
      <c r="DB41" s="544" t="str">
        <f>IF(VLOOKUP($E$41,[1]QUART!$A$2:$FA$315, 105, FALSE)="",":",VLOOKUP($E$41,[1]QUART!$A$2:$FA$315, 105, FALSE))</f>
        <v>:</v>
      </c>
      <c r="DC41" s="544" t="str">
        <f>IF(VLOOKUP($E$41,[1]QUART!$A$2:$FA$315, 106, FALSE)="",":",VLOOKUP($E$41,[1]QUART!$A$2:$FA$315, 106, FALSE))</f>
        <v>:</v>
      </c>
    </row>
    <row r="42" spans="1:107">
      <c r="A42" s="1954"/>
      <c r="B42" s="534"/>
      <c r="C42" s="535"/>
      <c r="D42" s="12" t="s">
        <v>1841</v>
      </c>
      <c r="E42" s="13">
        <v>108</v>
      </c>
      <c r="F42" s="14" t="str">
        <f>VLOOKUP($E$42,[1]QUART!$A$2:$FA$315, 3, FALSE)</f>
        <v xml:space="preserve">108  Final demand                                                                    </v>
      </c>
      <c r="G42" s="544" t="str">
        <f>IF(VLOOKUP($E$42,[1]QUART!$A$2:$FA$315, 6, FALSE)="",":",VLOOKUP($E$42,[1]QUART!$A$2:$FA$315, 6, FALSE))</f>
        <v>:</v>
      </c>
      <c r="H42" s="544" t="str">
        <f>IF(VLOOKUP($E$42,[1]QUART!$A$2:$FA$315, 7, FALSE)="",":",VLOOKUP($E$42,[1]QUART!$A$2:$FA$315, 7, FALSE))</f>
        <v>:</v>
      </c>
      <c r="I42" s="544" t="str">
        <f>IF(VLOOKUP($E$42,[1]QUART!$A$2:$FA$315, 8, FALSE)="",":",VLOOKUP($E$42,[1]QUART!$A$2:$FA$315, 8, FALSE))</f>
        <v>:</v>
      </c>
      <c r="J42" s="544" t="str">
        <f>IF(VLOOKUP($E$42,[1]QUART!$A$2:$FA$315, 9, FALSE)="",":",VLOOKUP($E$42,[1]QUART!$A$2:$FA$315, 9, FALSE))</f>
        <v>:</v>
      </c>
      <c r="K42" s="544" t="str">
        <f>IF(VLOOKUP($E$42,[1]QUART!$A$2:$FA$315, 10, FALSE)="",":",VLOOKUP($E$42,[1]QUART!$A$2:$FA$315, 10, FALSE))</f>
        <v>:</v>
      </c>
      <c r="L42" s="544" t="str">
        <f>IF(VLOOKUP($E$42,[1]QUART!$A$2:$FA$315, 11, FALSE)="",":",VLOOKUP($E$42,[1]QUART!$A$2:$FA$315, 11, FALSE))</f>
        <v>:</v>
      </c>
      <c r="M42" s="544" t="str">
        <f>IF(VLOOKUP($E$42,[1]QUART!$A$2:$FA$315, 12, FALSE)="",":",VLOOKUP($E$42,[1]QUART!$A$2:$FA$315, 12, FALSE))</f>
        <v>:</v>
      </c>
      <c r="N42" s="544" t="str">
        <f>IF(VLOOKUP($E$42,[1]QUART!$A$2:$FA$315, 13, FALSE)="",":",VLOOKUP($E$42,[1]QUART!$A$2:$FA$315, 13, FALSE))</f>
        <v>:</v>
      </c>
      <c r="O42" s="544" t="str">
        <f>IF(VLOOKUP($E$42,[1]QUART!$A$2:$FA$315, 14, FALSE)="",":",VLOOKUP($E$42,[1]QUART!$A$2:$FA$315, 14, FALSE))</f>
        <v>:</v>
      </c>
      <c r="P42" s="544" t="str">
        <f>IF(VLOOKUP($E$42,[1]QUART!$A$2:$FA$315, 15, FALSE)="",":",VLOOKUP($E$42,[1]QUART!$A$2:$FA$315, 15, FALSE))</f>
        <v>:</v>
      </c>
      <c r="Q42" s="544" t="str">
        <f>IF(VLOOKUP($E$42,[1]QUART!$A$2:$FA$315, 16, FALSE)="",":",VLOOKUP($E$42,[1]QUART!$A$2:$FA$315, 16, FALSE))</f>
        <v>:</v>
      </c>
      <c r="R42" s="544" t="str">
        <f>IF(VLOOKUP($E$42,[1]QUART!$A$2:$FA$315, 17, FALSE)="",":",VLOOKUP($E$42,[1]QUART!$A$2:$FA$315, 17, FALSE))</f>
        <v>:</v>
      </c>
      <c r="S42" s="544" t="str">
        <f>IF(VLOOKUP($E$42,[1]QUART!$A$2:$FA$315, 18, FALSE)="",":",VLOOKUP($E$42,[1]QUART!$A$2:$FA$315, 18, FALSE))</f>
        <v>:</v>
      </c>
      <c r="T42" s="544" t="str">
        <f>IF(VLOOKUP($E$42,[1]QUART!$A$2:$FA$315, 19, FALSE)="",":",VLOOKUP($E$42,[1]QUART!$A$2:$FA$315, 19, FALSE))</f>
        <v>:</v>
      </c>
      <c r="U42" s="544" t="str">
        <f>IF(VLOOKUP($E$42,[1]QUART!$A$2:$FA$315, 20, FALSE)="",":",VLOOKUP($E$42,[1]QUART!$A$2:$FA$315, 20, FALSE))</f>
        <v>:</v>
      </c>
      <c r="V42" s="544" t="str">
        <f>IF(VLOOKUP($E$42,[1]QUART!$A$2:$FA$315, 21, FALSE)="",":",VLOOKUP($E$42,[1]QUART!$A$2:$FA$315, 21, FALSE))</f>
        <v>:</v>
      </c>
      <c r="W42" s="544" t="str">
        <f>IF(VLOOKUP($E$42,[1]QUART!$A$2:$FA$315, 22, FALSE)="",":",VLOOKUP($E$42,[1]QUART!$A$2:$FA$315, 22, FALSE))</f>
        <v>:</v>
      </c>
      <c r="X42" s="544" t="str">
        <f>IF(VLOOKUP($E$42,[1]QUART!$A$2:$FA$315, 23, FALSE)="",":",VLOOKUP($E$42,[1]QUART!$A$2:$FA$315, 23, FALSE))</f>
        <v>:</v>
      </c>
      <c r="Y42" s="544" t="str">
        <f>IF(VLOOKUP($E$42,[1]QUART!$A$2:$FA$315, 24, FALSE)="",":",VLOOKUP($E$42,[1]QUART!$A$2:$FA$315, 24, FALSE))</f>
        <v>:</v>
      </c>
      <c r="Z42" s="544" t="str">
        <f>IF(VLOOKUP($E$42,[1]QUART!$A$2:$FA$315, 25, FALSE)="",":",VLOOKUP($E$42,[1]QUART!$A$2:$FA$315, 25, FALSE))</f>
        <v>:</v>
      </c>
      <c r="AA42" s="544" t="str">
        <f>IF(VLOOKUP($E$42,[1]QUART!$A$2:$FA$315, 26, FALSE)="",":",VLOOKUP($E$42,[1]QUART!$A$2:$FA$315, 26, FALSE))</f>
        <v>:</v>
      </c>
      <c r="AB42" s="544" t="str">
        <f>IF(VLOOKUP($E$42,[1]QUART!$A$2:$FA$315, 27, FALSE)="",":",VLOOKUP($E$42,[1]QUART!$A$2:$FA$315, 27, FALSE))</f>
        <v>:</v>
      </c>
      <c r="AC42" s="544" t="str">
        <f>IF(VLOOKUP($E$42,[1]QUART!$A$2:$FA$315, 28, FALSE)="",":",VLOOKUP($E$42,[1]QUART!$A$2:$FA$315, 28, FALSE))</f>
        <v>:</v>
      </c>
      <c r="AD42" s="544" t="str">
        <f>IF(VLOOKUP($E$42,[1]QUART!$A$2:$FA$315, 29, FALSE)="",":",VLOOKUP($E$42,[1]QUART!$A$2:$FA$315, 29, FALSE))</f>
        <v>:</v>
      </c>
      <c r="AE42" s="544" t="str">
        <f>IF(VLOOKUP($E$42,[1]QUART!$A$2:$FA$315, 30, FALSE)="",":",VLOOKUP($E$42,[1]QUART!$A$2:$FA$315, 30, FALSE))</f>
        <v>:</v>
      </c>
      <c r="AF42" s="544" t="str">
        <f>IF(VLOOKUP($E$42,[1]QUART!$A$2:$FA$315, 31, FALSE)="",":",VLOOKUP($E$42,[1]QUART!$A$2:$FA$315, 31, FALSE))</f>
        <v>:</v>
      </c>
      <c r="AG42" s="544" t="str">
        <f>IF(VLOOKUP($E$42,[1]QUART!$A$2:$FA$315, 32, FALSE)="",":",VLOOKUP($E$42,[1]QUART!$A$2:$FA$315, 32, FALSE))</f>
        <v>:</v>
      </c>
      <c r="AH42" s="544" t="str">
        <f>IF(VLOOKUP($E$42,[1]QUART!$A$2:$FA$315, 33, FALSE)="",":",VLOOKUP($E$42,[1]QUART!$A$2:$FA$315, 33, FALSE))</f>
        <v>:</v>
      </c>
      <c r="AI42" s="544" t="str">
        <f>IF(VLOOKUP($E$42,[1]QUART!$A$2:$FA$315, 34, FALSE)="",":",VLOOKUP($E$42,[1]QUART!$A$2:$FA$315, 34, FALSE))</f>
        <v>:</v>
      </c>
      <c r="AJ42" s="544" t="str">
        <f>IF(VLOOKUP($E$42,[1]QUART!$A$2:$FA$315, 35, FALSE)="",":",VLOOKUP($E$42,[1]QUART!$A$2:$FA$315, 35, FALSE))</f>
        <v>:</v>
      </c>
      <c r="AK42" s="544" t="str">
        <f>IF(VLOOKUP($E$42,[1]QUART!$A$2:$FA$315, 36, FALSE)="",":",VLOOKUP($E$42,[1]QUART!$A$2:$FA$315, 36, FALSE))</f>
        <v>:</v>
      </c>
      <c r="AL42" s="544" t="str">
        <f>IF(VLOOKUP($E$42,[1]QUART!$A$2:$FA$315, 37, FALSE)="",":",VLOOKUP($E$42,[1]QUART!$A$2:$FA$315, 37, FALSE))</f>
        <v>:</v>
      </c>
      <c r="AM42" s="544" t="str">
        <f>IF(VLOOKUP($E$42,[1]QUART!$A$2:$FA$315, 38, FALSE)="",":",VLOOKUP($E$42,[1]QUART!$A$2:$FA$315, 38, FALSE))</f>
        <v>:</v>
      </c>
      <c r="AN42" s="544" t="str">
        <f>IF(VLOOKUP($E$42,[1]QUART!$A$2:$FA$315, 39, FALSE)="",":",VLOOKUP($E$42,[1]QUART!$A$2:$FA$315, 39, FALSE))</f>
        <v>:</v>
      </c>
      <c r="AO42" s="544" t="str">
        <f>IF(VLOOKUP($E$42,[1]QUART!$A$2:$FA$315, 40, FALSE)="",":",VLOOKUP($E$42,[1]QUART!$A$2:$FA$315, 40, FALSE))</f>
        <v>:</v>
      </c>
      <c r="AP42" s="544" t="str">
        <f>IF(VLOOKUP($E$42,[1]QUART!$A$2:$FA$315, 41, FALSE)="",":",VLOOKUP($E$42,[1]QUART!$A$2:$FA$315, 41, FALSE))</f>
        <v>:</v>
      </c>
      <c r="AQ42" s="544" t="str">
        <f>IF(VLOOKUP($E$42,[1]QUART!$A$2:$FA$315, 42, FALSE)="",":",VLOOKUP($E$42,[1]QUART!$A$2:$FA$315, 42, FALSE))</f>
        <v>:</v>
      </c>
      <c r="AR42" s="544" t="str">
        <f>IF(VLOOKUP($E$42,[1]QUART!$A$2:$FA$315, 43, FALSE)="",":",VLOOKUP($E$42,[1]QUART!$A$2:$FA$315, 43, FALSE))</f>
        <v>:</v>
      </c>
      <c r="AS42" s="544" t="str">
        <f>IF(VLOOKUP($E$42,[1]QUART!$A$2:$FA$315, 44, FALSE)="",":",VLOOKUP($E$42,[1]QUART!$A$2:$FA$315, 44, FALSE))</f>
        <v>:</v>
      </c>
      <c r="AT42" s="544" t="str">
        <f>IF(VLOOKUP($E$42,[1]QUART!$A$2:$FA$315, 45, FALSE)="",":",VLOOKUP($E$42,[1]QUART!$A$2:$FA$315, 45, FALSE))</f>
        <v>:</v>
      </c>
      <c r="AU42" s="544" t="str">
        <f>IF(VLOOKUP($E$42,[1]QUART!$A$2:$FA$315, 46, FALSE)="",":",VLOOKUP($E$42,[1]QUART!$A$2:$FA$315, 46, FALSE))</f>
        <v>:</v>
      </c>
      <c r="AV42" s="544" t="str">
        <f>IF(VLOOKUP($E$42,[1]QUART!$A$2:$FA$315, 47, FALSE)="",":",VLOOKUP($E$42,[1]QUART!$A$2:$FA$315, 47, FALSE))</f>
        <v>:</v>
      </c>
      <c r="AW42" s="544" t="str">
        <f>IF(VLOOKUP($E$42,[1]QUART!$A$2:$FA$315, 48, FALSE)="",":",VLOOKUP($E$42,[1]QUART!$A$2:$FA$315, 48, FALSE))</f>
        <v>:</v>
      </c>
      <c r="AX42" s="544" t="str">
        <f>IF(VLOOKUP($E$42,[1]QUART!$A$2:$FA$315, 49, FALSE)="",":",VLOOKUP($E$42,[1]QUART!$A$2:$FA$315, 49, FALSE))</f>
        <v>:</v>
      </c>
      <c r="AY42" s="544" t="str">
        <f>IF(VLOOKUP($E$42,[1]QUART!$A$2:$FA$315, 50, FALSE)="",":",VLOOKUP($E$42,[1]QUART!$A$2:$FA$315, 50, FALSE))</f>
        <v>:</v>
      </c>
      <c r="AZ42" s="544" t="str">
        <f>IF(VLOOKUP($E$42,[1]QUART!$A$2:$FA$315, 51, FALSE)="",":",VLOOKUP($E$42,[1]QUART!$A$2:$FA$315, 51, FALSE))</f>
        <v>:</v>
      </c>
      <c r="BA42" s="544" t="str">
        <f>IF(VLOOKUP($E$42,[1]QUART!$A$2:$FA$315, 52, FALSE)="",":",VLOOKUP($E$42,[1]QUART!$A$2:$FA$315, 52, FALSE))</f>
        <v>:</v>
      </c>
      <c r="BB42" s="544" t="str">
        <f>IF(VLOOKUP($E$42,[1]QUART!$A$2:$FA$315, 53, FALSE)="",":",VLOOKUP($E$42,[1]QUART!$A$2:$FA$315, 53, FALSE))</f>
        <v>:</v>
      </c>
      <c r="BC42" s="544" t="str">
        <f>IF(VLOOKUP($E$42,[1]QUART!$A$2:$FA$315, 54, FALSE)="",":",VLOOKUP($E$42,[1]QUART!$A$2:$FA$315, 54, FALSE))</f>
        <v>:</v>
      </c>
      <c r="BD42" s="544" t="str">
        <f>IF(VLOOKUP($E$42,[1]QUART!$A$2:$FA$315, 55, FALSE)="",":",VLOOKUP($E$42,[1]QUART!$A$2:$FA$315, 55, FALSE))</f>
        <v>:</v>
      </c>
      <c r="BE42" s="544" t="str">
        <f>IF(VLOOKUP($E$42,[1]QUART!$A$2:$FA$315, 56, FALSE)="",":",VLOOKUP($E$42,[1]QUART!$A$2:$FA$315, 56, FALSE))</f>
        <v>:</v>
      </c>
      <c r="BF42" s="544" t="str">
        <f>IF(VLOOKUP($E$42,[1]QUART!$A$2:$FA$315, 57, FALSE)="",":",VLOOKUP($E$42,[1]QUART!$A$2:$FA$315, 57, FALSE))</f>
        <v>:</v>
      </c>
      <c r="BG42" s="544" t="str">
        <f>IF(VLOOKUP($E$42,[1]QUART!$A$2:$FA$315, 58, FALSE)="",":",VLOOKUP($E$42,[1]QUART!$A$2:$FA$315, 58, FALSE))</f>
        <v>:</v>
      </c>
      <c r="BH42" s="544" t="str">
        <f>IF(VLOOKUP($E$42,[1]QUART!$A$2:$FA$315, 59, FALSE)="",":",VLOOKUP($E$42,[1]QUART!$A$2:$FA$315, 59, FALSE))</f>
        <v>:</v>
      </c>
      <c r="BI42" s="544" t="str">
        <f>IF(VLOOKUP($E$42,[1]QUART!$A$2:$FA$315, 60, FALSE)="",":",VLOOKUP($E$42,[1]QUART!$A$2:$FA$315, 60, FALSE))</f>
        <v>:</v>
      </c>
      <c r="BJ42" s="544" t="str">
        <f>IF(VLOOKUP($E$42,[1]QUART!$A$2:$FA$315, 61, FALSE)="",":",VLOOKUP($E$42,[1]QUART!$A$2:$FA$315, 61, FALSE))</f>
        <v>:</v>
      </c>
      <c r="BK42" s="544" t="str">
        <f>IF(VLOOKUP($E$42,[1]QUART!$A$2:$FA$315, 62, FALSE)="",":",VLOOKUP($E$42,[1]QUART!$A$2:$FA$315, 62, FALSE))</f>
        <v>:</v>
      </c>
      <c r="BL42" s="544" t="str">
        <f>IF(VLOOKUP($E$42,[1]QUART!$A$2:$FA$315, 63, FALSE)="",":",VLOOKUP($E$42,[1]QUART!$A$2:$FA$315, 63, FALSE))</f>
        <v>:</v>
      </c>
      <c r="BM42" s="544" t="str">
        <f>IF(VLOOKUP($E$42,[1]QUART!$A$2:$FA$315, 64, FALSE)="",":",VLOOKUP($E$42,[1]QUART!$A$2:$FA$315, 64, FALSE))</f>
        <v>:</v>
      </c>
      <c r="BN42" s="544" t="str">
        <f>IF(VLOOKUP($E$42,[1]QUART!$A$2:$FA$315, 65, FALSE)="",":",VLOOKUP($E$42,[1]QUART!$A$2:$FA$315, 65, FALSE))</f>
        <v>:</v>
      </c>
      <c r="BO42" s="544" t="str">
        <f>IF(VLOOKUP($E$42,[1]QUART!$A$2:$FA$315, 66, FALSE)="",":",VLOOKUP($E$42,[1]QUART!$A$2:$FA$315, 66, FALSE))</f>
        <v>:</v>
      </c>
      <c r="BP42" s="544" t="str">
        <f>IF(VLOOKUP($E$42,[1]QUART!$A$2:$FA$315, 67, FALSE)="",":",VLOOKUP($E$42,[1]QUART!$A$2:$FA$315, 67, FALSE))</f>
        <v>:</v>
      </c>
      <c r="BQ42" s="544" t="str">
        <f>IF(VLOOKUP($E$42,[1]QUART!$A$2:$FA$315, 68, FALSE)="",":",VLOOKUP($E$42,[1]QUART!$A$2:$FA$315, 68, FALSE))</f>
        <v>:</v>
      </c>
      <c r="BR42" s="544" t="str">
        <f>IF(VLOOKUP($E$42,[1]QUART!$A$2:$FA$315, 69, FALSE)="",":",VLOOKUP($E$42,[1]QUART!$A$2:$FA$315, 69, FALSE))</f>
        <v>:</v>
      </c>
      <c r="BS42" s="544" t="str">
        <f>IF(VLOOKUP($E$42,[1]QUART!$A$2:$FA$315, 70, FALSE)="",":",VLOOKUP($E$42,[1]QUART!$A$2:$FA$315, 70, FALSE))</f>
        <v>:</v>
      </c>
      <c r="BT42" s="544" t="str">
        <f>IF(VLOOKUP($E$42,[1]QUART!$A$2:$FA$315, 71, FALSE)="",":",VLOOKUP($E$42,[1]QUART!$A$2:$FA$315, 71, FALSE))</f>
        <v>:</v>
      </c>
      <c r="BU42" s="544" t="str">
        <f>IF(VLOOKUP($E$42,[1]QUART!$A$2:$FA$315, 72, FALSE)="",":",VLOOKUP($E$42,[1]QUART!$A$2:$FA$315, 72, FALSE))</f>
        <v>:</v>
      </c>
      <c r="BV42" s="544" t="str">
        <f>IF(VLOOKUP($E$42,[1]QUART!$A$2:$FA$315, 73, FALSE)="",":",VLOOKUP($E$42,[1]QUART!$A$2:$FA$315, 73, FALSE))</f>
        <v>:</v>
      </c>
      <c r="BW42" s="544" t="str">
        <f>IF(VLOOKUP($E$42,[1]QUART!$A$2:$FA$315, 74, FALSE)="",":",VLOOKUP($E$42,[1]QUART!$A$2:$FA$315, 74, FALSE))</f>
        <v>:</v>
      </c>
      <c r="BX42" s="544" t="str">
        <f>IF(VLOOKUP($E$42,[1]QUART!$A$2:$FA$315, 75, FALSE)="",":",VLOOKUP($E$42,[1]QUART!$A$2:$FA$315, 75, FALSE))</f>
        <v>:</v>
      </c>
      <c r="BY42" s="544" t="str">
        <f>IF(VLOOKUP($E$42,[1]QUART!$A$2:$FA$315, 76, FALSE)="",":",VLOOKUP($E$42,[1]QUART!$A$2:$FA$315, 76, FALSE))</f>
        <v>:</v>
      </c>
      <c r="BZ42" s="544" t="str">
        <f>IF(VLOOKUP($E$42,[1]QUART!$A$2:$FA$315, 77, FALSE)="",":",VLOOKUP($E$42,[1]QUART!$A$2:$FA$315, 77, FALSE))</f>
        <v>:</v>
      </c>
      <c r="CA42" s="544" t="str">
        <f>IF(VLOOKUP($E$42,[1]QUART!$A$2:$FA$315, 78, FALSE)="",":",VLOOKUP($E$42,[1]QUART!$A$2:$FA$315, 78, FALSE))</f>
        <v>:</v>
      </c>
      <c r="CB42" s="544" t="str">
        <f>IF(VLOOKUP($E$42,[1]QUART!$A$2:$FA$315, 79, FALSE)="",":",VLOOKUP($E$42,[1]QUART!$A$2:$FA$315, 79, FALSE))</f>
        <v>:</v>
      </c>
      <c r="CC42" s="544" t="str">
        <f>IF(VLOOKUP($E$42,[1]QUART!$A$2:$FA$315, 80, FALSE)="",":",VLOOKUP($E$42,[1]QUART!$A$2:$FA$315, 80, FALSE))</f>
        <v>:</v>
      </c>
      <c r="CD42" s="544" t="str">
        <f>IF(VLOOKUP($E$42,[1]QUART!$A$2:$FA$315, 81, FALSE)="",":",VLOOKUP($E$42,[1]QUART!$A$2:$FA$315, 81, FALSE))</f>
        <v>:</v>
      </c>
      <c r="CE42" s="544" t="str">
        <f>IF(VLOOKUP($E$42,[1]QUART!$A$2:$FA$315, 82, FALSE)="",":",VLOOKUP($E$42,[1]QUART!$A$2:$FA$315, 82, FALSE))</f>
        <v>:</v>
      </c>
      <c r="CF42" s="544" t="str">
        <f>IF(VLOOKUP($E$42,[1]QUART!$A$2:$FA$315, 83, FALSE)="",":",VLOOKUP($E$42,[1]QUART!$A$2:$FA$315, 83, FALSE))</f>
        <v>:</v>
      </c>
      <c r="CG42" s="544" t="str">
        <f>IF(VLOOKUP($E$42,[1]QUART!$A$2:$FA$315, 84, FALSE)="",":",VLOOKUP($E$42,[1]QUART!$A$2:$FA$315, 84, FALSE))</f>
        <v>:</v>
      </c>
      <c r="CH42" s="544" t="str">
        <f>IF(VLOOKUP($E$42,[1]QUART!$A$2:$FA$315, 85, FALSE)="",":",VLOOKUP($E$42,[1]QUART!$A$2:$FA$315, 85, FALSE))</f>
        <v>:</v>
      </c>
      <c r="CI42" s="544" t="str">
        <f>IF(VLOOKUP($E$42,[1]QUART!$A$2:$FA$315, 86, FALSE)="",":",VLOOKUP($E$42,[1]QUART!$A$2:$FA$315, 86, FALSE))</f>
        <v>:</v>
      </c>
      <c r="CJ42" s="544" t="str">
        <f>IF(VLOOKUP($E$42,[1]QUART!$A$2:$FA$315, 87, FALSE)="",":",VLOOKUP($E$42,[1]QUART!$A$2:$FA$315, 87, FALSE))</f>
        <v>:</v>
      </c>
      <c r="CK42" s="544" t="str">
        <f>IF(VLOOKUP($E$42,[1]QUART!$A$2:$FA$315, 88, FALSE)="",":",VLOOKUP($E$42,[1]QUART!$A$2:$FA$315, 88, FALSE))</f>
        <v>:</v>
      </c>
      <c r="CL42" s="544" t="str">
        <f>IF(VLOOKUP($E$42,[1]QUART!$A$2:$FA$315, 89, FALSE)="",":",VLOOKUP($E$42,[1]QUART!$A$2:$FA$315, 89, FALSE))</f>
        <v>:</v>
      </c>
      <c r="CM42" s="544" t="str">
        <f>IF(VLOOKUP($E$42,[1]QUART!$A$2:$FA$315, 90, FALSE)="",":",VLOOKUP($E$42,[1]QUART!$A$2:$FA$315, 90, FALSE))</f>
        <v>:</v>
      </c>
      <c r="CN42" s="544" t="str">
        <f>IF(VLOOKUP($E$42,[1]QUART!$A$2:$FA$315, 91, FALSE)="",":",VLOOKUP($E$42,[1]QUART!$A$2:$FA$315, 91, FALSE))</f>
        <v>:</v>
      </c>
      <c r="CO42" s="544" t="str">
        <f>IF(VLOOKUP($E$42,[1]QUART!$A$2:$FA$315, 92, FALSE)="",":",VLOOKUP($E$42,[1]QUART!$A$2:$FA$315, 92, FALSE))</f>
        <v>:</v>
      </c>
      <c r="CP42" s="544" t="str">
        <f>IF(VLOOKUP($E$42,[1]QUART!$A$2:$FA$315, 93, FALSE)="",":",VLOOKUP($E$42,[1]QUART!$A$2:$FA$315, 93, FALSE))</f>
        <v>:</v>
      </c>
      <c r="CQ42" s="544" t="str">
        <f>IF(VLOOKUP($E$42,[1]QUART!$A$2:$FA$315, 94, FALSE)="",":",VLOOKUP($E$42,[1]QUART!$A$2:$FA$315, 94, FALSE))</f>
        <v>:</v>
      </c>
      <c r="CR42" s="544" t="str">
        <f>IF(VLOOKUP($E$42,[1]QUART!$A$2:$FA$315, 95, FALSE)="",":",VLOOKUP($E$42,[1]QUART!$A$2:$FA$315, 95, FALSE))</f>
        <v>:</v>
      </c>
      <c r="CS42" s="544" t="str">
        <f>IF(VLOOKUP($E$42,[1]QUART!$A$2:$FA$315, 96, FALSE)="",":",VLOOKUP($E$42,[1]QUART!$A$2:$FA$315, 96, FALSE))</f>
        <v>:</v>
      </c>
      <c r="CT42" s="544" t="str">
        <f>IF(VLOOKUP($E$42,[1]QUART!$A$2:$FA$315, 97, FALSE)="",":",VLOOKUP($E$42,[1]QUART!$A$2:$FA$315, 97, FALSE))</f>
        <v>:</v>
      </c>
      <c r="CU42" s="544" t="str">
        <f>IF(VLOOKUP($E$42,[1]QUART!$A$2:$FA$315, 98, FALSE)="",":",VLOOKUP($E$42,[1]QUART!$A$2:$FA$315, 98, FALSE))</f>
        <v>:</v>
      </c>
      <c r="CV42" s="544" t="str">
        <f>IF(VLOOKUP($E$42,[1]QUART!$A$2:$FA$315, 99, FALSE)="",":",VLOOKUP($E$42,[1]QUART!$A$2:$FA$315, 99, FALSE))</f>
        <v>:</v>
      </c>
      <c r="CW42" s="544" t="str">
        <f>IF(VLOOKUP($E$42,[1]QUART!$A$2:$FA$315, 100, FALSE)="",":",VLOOKUP($E$42,[1]QUART!$A$2:$FA$315, 100, FALSE))</f>
        <v>:</v>
      </c>
      <c r="CX42" s="544" t="str">
        <f>IF(VLOOKUP($E$42,[1]QUART!$A$2:$FA$315, 101, FALSE)="",":",VLOOKUP($E$42,[1]QUART!$A$2:$FA$315, 101, FALSE))</f>
        <v>:</v>
      </c>
      <c r="CY42" s="544" t="str">
        <f>IF(VLOOKUP($E$42,[1]QUART!$A$2:$FA$315, 102, FALSE)="",":",VLOOKUP($E$42,[1]QUART!$A$2:$FA$315, 102, FALSE))</f>
        <v>:</v>
      </c>
      <c r="CZ42" s="544" t="str">
        <f>IF(VLOOKUP($E$42,[1]QUART!$A$2:$FA$315, 103, FALSE)="",":",VLOOKUP($E$42,[1]QUART!$A$2:$FA$315, 103, FALSE))</f>
        <v>:</v>
      </c>
      <c r="DA42" s="544" t="str">
        <f>IF(VLOOKUP($E$42,[1]QUART!$A$2:$FA$315, 104, FALSE)="",":",VLOOKUP($E$42,[1]QUART!$A$2:$FA$315, 104, FALSE))</f>
        <v>:</v>
      </c>
      <c r="DB42" s="544" t="str">
        <f>IF(VLOOKUP($E$42,[1]QUART!$A$2:$FA$315, 105, FALSE)="",":",VLOOKUP($E$42,[1]QUART!$A$2:$FA$315, 105, FALSE))</f>
        <v>:</v>
      </c>
      <c r="DC42" s="544" t="str">
        <f>IF(VLOOKUP($E$42,[1]QUART!$A$2:$FA$315, 106, FALSE)="",":",VLOOKUP($E$42,[1]QUART!$A$2:$FA$315, 106, FALSE))</f>
        <v>:</v>
      </c>
    </row>
    <row r="43" spans="1:107">
      <c r="A43" s="1954"/>
      <c r="B43" s="534"/>
      <c r="C43" s="535"/>
      <c r="D43" s="12" t="s">
        <v>1841</v>
      </c>
      <c r="E43" s="13">
        <v>109</v>
      </c>
      <c r="F43" s="14" t="str">
        <f>VLOOKUP($E$43,[1]QUART!$A$2:$FA$315, 3, FALSE)</f>
        <v>109 GFCF equipment</v>
      </c>
      <c r="G43" s="544" t="str">
        <f>IF(VLOOKUP($E$43,[1]QUART!$A$2:$FA$315, 6, FALSE)="",":",VLOOKUP($E$43,[1]QUART!$A$2:$FA$315, 6, FALSE))</f>
        <v>:</v>
      </c>
      <c r="H43" s="544" t="str">
        <f>IF(VLOOKUP($E$43,[1]QUART!$A$2:$FA$315, 7, FALSE)="",":",VLOOKUP($E$43,[1]QUART!$A$2:$FA$315, 7, FALSE))</f>
        <v>:</v>
      </c>
      <c r="I43" s="544" t="str">
        <f>IF(VLOOKUP($E$43,[1]QUART!$A$2:$FA$315, 8, FALSE)="",":",VLOOKUP($E$43,[1]QUART!$A$2:$FA$315, 8, FALSE))</f>
        <v>:</v>
      </c>
      <c r="J43" s="544" t="str">
        <f>IF(VLOOKUP($E$43,[1]QUART!$A$2:$FA$315, 9, FALSE)="",":",VLOOKUP($E$43,[1]QUART!$A$2:$FA$315, 9, FALSE))</f>
        <v>:</v>
      </c>
      <c r="K43" s="544" t="str">
        <f>IF(VLOOKUP($E$43,[1]QUART!$A$2:$FA$315, 10, FALSE)="",":",VLOOKUP($E$43,[1]QUART!$A$2:$FA$315, 10, FALSE))</f>
        <v>:</v>
      </c>
      <c r="L43" s="544" t="str">
        <f>IF(VLOOKUP($E$43,[1]QUART!$A$2:$FA$315, 11, FALSE)="",":",VLOOKUP($E$43,[1]QUART!$A$2:$FA$315, 11, FALSE))</f>
        <v>:</v>
      </c>
      <c r="M43" s="544" t="str">
        <f>IF(VLOOKUP($E$43,[1]QUART!$A$2:$FA$315, 12, FALSE)="",":",VLOOKUP($E$43,[1]QUART!$A$2:$FA$315, 12, FALSE))</f>
        <v>:</v>
      </c>
      <c r="N43" s="544" t="str">
        <f>IF(VLOOKUP($E$43,[1]QUART!$A$2:$FA$315, 13, FALSE)="",":",VLOOKUP($E$43,[1]QUART!$A$2:$FA$315, 13, FALSE))</f>
        <v>:</v>
      </c>
      <c r="O43" s="544" t="str">
        <f>IF(VLOOKUP($E$43,[1]QUART!$A$2:$FA$315, 14, FALSE)="",":",VLOOKUP($E$43,[1]QUART!$A$2:$FA$315, 14, FALSE))</f>
        <v>:</v>
      </c>
      <c r="P43" s="544" t="str">
        <f>IF(VLOOKUP($E$43,[1]QUART!$A$2:$FA$315, 15, FALSE)="",":",VLOOKUP($E$43,[1]QUART!$A$2:$FA$315, 15, FALSE))</f>
        <v>:</v>
      </c>
      <c r="Q43" s="544" t="str">
        <f>IF(VLOOKUP($E$43,[1]QUART!$A$2:$FA$315, 16, FALSE)="",":",VLOOKUP($E$43,[1]QUART!$A$2:$FA$315, 16, FALSE))</f>
        <v>:</v>
      </c>
      <c r="R43" s="544" t="str">
        <f>IF(VLOOKUP($E$43,[1]QUART!$A$2:$FA$315, 17, FALSE)="",":",VLOOKUP($E$43,[1]QUART!$A$2:$FA$315, 17, FALSE))</f>
        <v>:</v>
      </c>
      <c r="S43" s="544" t="str">
        <f>IF(VLOOKUP($E$43,[1]QUART!$A$2:$FA$315, 18, FALSE)="",":",VLOOKUP($E$43,[1]QUART!$A$2:$FA$315, 18, FALSE))</f>
        <v>:</v>
      </c>
      <c r="T43" s="544" t="str">
        <f>IF(VLOOKUP($E$43,[1]QUART!$A$2:$FA$315, 19, FALSE)="",":",VLOOKUP($E$43,[1]QUART!$A$2:$FA$315, 19, FALSE))</f>
        <v>:</v>
      </c>
      <c r="U43" s="544" t="str">
        <f>IF(VLOOKUP($E$43,[1]QUART!$A$2:$FA$315, 20, FALSE)="",":",VLOOKUP($E$43,[1]QUART!$A$2:$FA$315, 20, FALSE))</f>
        <v>:</v>
      </c>
      <c r="V43" s="544" t="str">
        <f>IF(VLOOKUP($E$43,[1]QUART!$A$2:$FA$315, 21, FALSE)="",":",VLOOKUP($E$43,[1]QUART!$A$2:$FA$315, 21, FALSE))</f>
        <v>:</v>
      </c>
      <c r="W43" s="544" t="str">
        <f>IF(VLOOKUP($E$43,[1]QUART!$A$2:$FA$315, 22, FALSE)="",":",VLOOKUP($E$43,[1]QUART!$A$2:$FA$315, 22, FALSE))</f>
        <v>:</v>
      </c>
      <c r="X43" s="544" t="str">
        <f>IF(VLOOKUP($E$43,[1]QUART!$A$2:$FA$315, 23, FALSE)="",":",VLOOKUP($E$43,[1]QUART!$A$2:$FA$315, 23, FALSE))</f>
        <v>:</v>
      </c>
      <c r="Y43" s="544" t="str">
        <f>IF(VLOOKUP($E$43,[1]QUART!$A$2:$FA$315, 24, FALSE)="",":",VLOOKUP($E$43,[1]QUART!$A$2:$FA$315, 24, FALSE))</f>
        <v>:</v>
      </c>
      <c r="Z43" s="544" t="str">
        <f>IF(VLOOKUP($E$43,[1]QUART!$A$2:$FA$315, 25, FALSE)="",":",VLOOKUP($E$43,[1]QUART!$A$2:$FA$315, 25, FALSE))</f>
        <v>:</v>
      </c>
      <c r="AA43" s="544" t="str">
        <f>IF(VLOOKUP($E$43,[1]QUART!$A$2:$FA$315, 26, FALSE)="",":",VLOOKUP($E$43,[1]QUART!$A$2:$FA$315, 26, FALSE))</f>
        <v>:</v>
      </c>
      <c r="AB43" s="544" t="str">
        <f>IF(VLOOKUP($E$43,[1]QUART!$A$2:$FA$315, 27, FALSE)="",":",VLOOKUP($E$43,[1]QUART!$A$2:$FA$315, 27, FALSE))</f>
        <v>:</v>
      </c>
      <c r="AC43" s="544" t="str">
        <f>IF(VLOOKUP($E$43,[1]QUART!$A$2:$FA$315, 28, FALSE)="",":",VLOOKUP($E$43,[1]QUART!$A$2:$FA$315, 28, FALSE))</f>
        <v>:</v>
      </c>
      <c r="AD43" s="544" t="str">
        <f>IF(VLOOKUP($E$43,[1]QUART!$A$2:$FA$315, 29, FALSE)="",":",VLOOKUP($E$43,[1]QUART!$A$2:$FA$315, 29, FALSE))</f>
        <v>:</v>
      </c>
      <c r="AE43" s="544" t="str">
        <f>IF(VLOOKUP($E$43,[1]QUART!$A$2:$FA$315, 30, FALSE)="",":",VLOOKUP($E$43,[1]QUART!$A$2:$FA$315, 30, FALSE))</f>
        <v>:</v>
      </c>
      <c r="AF43" s="544" t="str">
        <f>IF(VLOOKUP($E$43,[1]QUART!$A$2:$FA$315, 31, FALSE)="",":",VLOOKUP($E$43,[1]QUART!$A$2:$FA$315, 31, FALSE))</f>
        <v>:</v>
      </c>
      <c r="AG43" s="544" t="str">
        <f>IF(VLOOKUP($E$43,[1]QUART!$A$2:$FA$315, 32, FALSE)="",":",VLOOKUP($E$43,[1]QUART!$A$2:$FA$315, 32, FALSE))</f>
        <v>:</v>
      </c>
      <c r="AH43" s="544" t="str">
        <f>IF(VLOOKUP($E$43,[1]QUART!$A$2:$FA$315, 33, FALSE)="",":",VLOOKUP($E$43,[1]QUART!$A$2:$FA$315, 33, FALSE))</f>
        <v>:</v>
      </c>
      <c r="AI43" s="544" t="str">
        <f>IF(VLOOKUP($E$43,[1]QUART!$A$2:$FA$315, 34, FALSE)="",":",VLOOKUP($E$43,[1]QUART!$A$2:$FA$315, 34, FALSE))</f>
        <v>:</v>
      </c>
      <c r="AJ43" s="544" t="str">
        <f>IF(VLOOKUP($E$43,[1]QUART!$A$2:$FA$315, 35, FALSE)="",":",VLOOKUP($E$43,[1]QUART!$A$2:$FA$315, 35, FALSE))</f>
        <v>:</v>
      </c>
      <c r="AK43" s="544" t="str">
        <f>IF(VLOOKUP($E$43,[1]QUART!$A$2:$FA$315, 36, FALSE)="",":",VLOOKUP($E$43,[1]QUART!$A$2:$FA$315, 36, FALSE))</f>
        <v>:</v>
      </c>
      <c r="AL43" s="544" t="str">
        <f>IF(VLOOKUP($E$43,[1]QUART!$A$2:$FA$315, 37, FALSE)="",":",VLOOKUP($E$43,[1]QUART!$A$2:$FA$315, 37, FALSE))</f>
        <v>:</v>
      </c>
      <c r="AM43" s="544" t="str">
        <f>IF(VLOOKUP($E$43,[1]QUART!$A$2:$FA$315, 38, FALSE)="",":",VLOOKUP($E$43,[1]QUART!$A$2:$FA$315, 38, FALSE))</f>
        <v>:</v>
      </c>
      <c r="AN43" s="544" t="str">
        <f>IF(VLOOKUP($E$43,[1]QUART!$A$2:$FA$315, 39, FALSE)="",":",VLOOKUP($E$43,[1]QUART!$A$2:$FA$315, 39, FALSE))</f>
        <v>:</v>
      </c>
      <c r="AO43" s="544" t="str">
        <f>IF(VLOOKUP($E$43,[1]QUART!$A$2:$FA$315, 40, FALSE)="",":",VLOOKUP($E$43,[1]QUART!$A$2:$FA$315, 40, FALSE))</f>
        <v>:</v>
      </c>
      <c r="AP43" s="544" t="str">
        <f>IF(VLOOKUP($E$43,[1]QUART!$A$2:$FA$315, 41, FALSE)="",":",VLOOKUP($E$43,[1]QUART!$A$2:$FA$315, 41, FALSE))</f>
        <v>:</v>
      </c>
      <c r="AQ43" s="544" t="str">
        <f>IF(VLOOKUP($E$43,[1]QUART!$A$2:$FA$315, 42, FALSE)="",":",VLOOKUP($E$43,[1]QUART!$A$2:$FA$315, 42, FALSE))</f>
        <v>:</v>
      </c>
      <c r="AR43" s="544" t="str">
        <f>IF(VLOOKUP($E$43,[1]QUART!$A$2:$FA$315, 43, FALSE)="",":",VLOOKUP($E$43,[1]QUART!$A$2:$FA$315, 43, FALSE))</f>
        <v>:</v>
      </c>
      <c r="AS43" s="544" t="str">
        <f>IF(VLOOKUP($E$43,[1]QUART!$A$2:$FA$315, 44, FALSE)="",":",VLOOKUP($E$43,[1]QUART!$A$2:$FA$315, 44, FALSE))</f>
        <v>:</v>
      </c>
      <c r="AT43" s="544" t="str">
        <f>IF(VLOOKUP($E$43,[1]QUART!$A$2:$FA$315, 45, FALSE)="",":",VLOOKUP($E$43,[1]QUART!$A$2:$FA$315, 45, FALSE))</f>
        <v>:</v>
      </c>
      <c r="AU43" s="544" t="str">
        <f>IF(VLOOKUP($E$43,[1]QUART!$A$2:$FA$315, 46, FALSE)="",":",VLOOKUP($E$43,[1]QUART!$A$2:$FA$315, 46, FALSE))</f>
        <v>:</v>
      </c>
      <c r="AV43" s="544" t="str">
        <f>IF(VLOOKUP($E$43,[1]QUART!$A$2:$FA$315, 47, FALSE)="",":",VLOOKUP($E$43,[1]QUART!$A$2:$FA$315, 47, FALSE))</f>
        <v>:</v>
      </c>
      <c r="AW43" s="544" t="str">
        <f>IF(VLOOKUP($E$43,[1]QUART!$A$2:$FA$315, 48, FALSE)="",":",VLOOKUP($E$43,[1]QUART!$A$2:$FA$315, 48, FALSE))</f>
        <v>:</v>
      </c>
      <c r="AX43" s="544" t="str">
        <f>IF(VLOOKUP($E$43,[1]QUART!$A$2:$FA$315, 49, FALSE)="",":",VLOOKUP($E$43,[1]QUART!$A$2:$FA$315, 49, FALSE))</f>
        <v>:</v>
      </c>
      <c r="AY43" s="544" t="str">
        <f>IF(VLOOKUP($E$43,[1]QUART!$A$2:$FA$315, 50, FALSE)="",":",VLOOKUP($E$43,[1]QUART!$A$2:$FA$315, 50, FALSE))</f>
        <v>:</v>
      </c>
      <c r="AZ43" s="544" t="str">
        <f>IF(VLOOKUP($E$43,[1]QUART!$A$2:$FA$315, 51, FALSE)="",":",VLOOKUP($E$43,[1]QUART!$A$2:$FA$315, 51, FALSE))</f>
        <v>:</v>
      </c>
      <c r="BA43" s="544" t="str">
        <f>IF(VLOOKUP($E$43,[1]QUART!$A$2:$FA$315, 52, FALSE)="",":",VLOOKUP($E$43,[1]QUART!$A$2:$FA$315, 52, FALSE))</f>
        <v>:</v>
      </c>
      <c r="BB43" s="544" t="str">
        <f>IF(VLOOKUP($E$43,[1]QUART!$A$2:$FA$315, 53, FALSE)="",":",VLOOKUP($E$43,[1]QUART!$A$2:$FA$315, 53, FALSE))</f>
        <v>:</v>
      </c>
      <c r="BC43" s="544" t="str">
        <f>IF(VLOOKUP($E$43,[1]QUART!$A$2:$FA$315, 54, FALSE)="",":",VLOOKUP($E$43,[1]QUART!$A$2:$FA$315, 54, FALSE))</f>
        <v>:</v>
      </c>
      <c r="BD43" s="544" t="str">
        <f>IF(VLOOKUP($E$43,[1]QUART!$A$2:$FA$315, 55, FALSE)="",":",VLOOKUP($E$43,[1]QUART!$A$2:$FA$315, 55, FALSE))</f>
        <v>:</v>
      </c>
      <c r="BE43" s="544" t="str">
        <f>IF(VLOOKUP($E$43,[1]QUART!$A$2:$FA$315, 56, FALSE)="",":",VLOOKUP($E$43,[1]QUART!$A$2:$FA$315, 56, FALSE))</f>
        <v>:</v>
      </c>
      <c r="BF43" s="544" t="str">
        <f>IF(VLOOKUP($E$43,[1]QUART!$A$2:$FA$315, 57, FALSE)="",":",VLOOKUP($E$43,[1]QUART!$A$2:$FA$315, 57, FALSE))</f>
        <v>:</v>
      </c>
      <c r="BG43" s="544" t="str">
        <f>IF(VLOOKUP($E$43,[1]QUART!$A$2:$FA$315, 58, FALSE)="",":",VLOOKUP($E$43,[1]QUART!$A$2:$FA$315, 58, FALSE))</f>
        <v>:</v>
      </c>
      <c r="BH43" s="544" t="str">
        <f>IF(VLOOKUP($E$43,[1]QUART!$A$2:$FA$315, 59, FALSE)="",":",VLOOKUP($E$43,[1]QUART!$A$2:$FA$315, 59, FALSE))</f>
        <v>:</v>
      </c>
      <c r="BI43" s="544" t="str">
        <f>IF(VLOOKUP($E$43,[1]QUART!$A$2:$FA$315, 60, FALSE)="",":",VLOOKUP($E$43,[1]QUART!$A$2:$FA$315, 60, FALSE))</f>
        <v>:</v>
      </c>
      <c r="BJ43" s="544" t="str">
        <f>IF(VLOOKUP($E$43,[1]QUART!$A$2:$FA$315, 61, FALSE)="",":",VLOOKUP($E$43,[1]QUART!$A$2:$FA$315, 61, FALSE))</f>
        <v>:</v>
      </c>
      <c r="BK43" s="544" t="str">
        <f>IF(VLOOKUP($E$43,[1]QUART!$A$2:$FA$315, 62, FALSE)="",":",VLOOKUP($E$43,[1]QUART!$A$2:$FA$315, 62, FALSE))</f>
        <v>:</v>
      </c>
      <c r="BL43" s="544" t="str">
        <f>IF(VLOOKUP($E$43,[1]QUART!$A$2:$FA$315, 63, FALSE)="",":",VLOOKUP($E$43,[1]QUART!$A$2:$FA$315, 63, FALSE))</f>
        <v>:</v>
      </c>
      <c r="BM43" s="544" t="str">
        <f>IF(VLOOKUP($E$43,[1]QUART!$A$2:$FA$315, 64, FALSE)="",":",VLOOKUP($E$43,[1]QUART!$A$2:$FA$315, 64, FALSE))</f>
        <v>:</v>
      </c>
      <c r="BN43" s="544" t="str">
        <f>IF(VLOOKUP($E$43,[1]QUART!$A$2:$FA$315, 65, FALSE)="",":",VLOOKUP($E$43,[1]QUART!$A$2:$FA$315, 65, FALSE))</f>
        <v>:</v>
      </c>
      <c r="BO43" s="544" t="str">
        <f>IF(VLOOKUP($E$43,[1]QUART!$A$2:$FA$315, 66, FALSE)="",":",VLOOKUP($E$43,[1]QUART!$A$2:$FA$315, 66, FALSE))</f>
        <v>:</v>
      </c>
      <c r="BP43" s="544" t="str">
        <f>IF(VLOOKUP($E$43,[1]QUART!$A$2:$FA$315, 67, FALSE)="",":",VLOOKUP($E$43,[1]QUART!$A$2:$FA$315, 67, FALSE))</f>
        <v>:</v>
      </c>
      <c r="BQ43" s="544" t="str">
        <f>IF(VLOOKUP($E$43,[1]QUART!$A$2:$FA$315, 68, FALSE)="",":",VLOOKUP($E$43,[1]QUART!$A$2:$FA$315, 68, FALSE))</f>
        <v>:</v>
      </c>
      <c r="BR43" s="544" t="str">
        <f>IF(VLOOKUP($E$43,[1]QUART!$A$2:$FA$315, 69, FALSE)="",":",VLOOKUP($E$43,[1]QUART!$A$2:$FA$315, 69, FALSE))</f>
        <v>:</v>
      </c>
      <c r="BS43" s="544" t="str">
        <f>IF(VLOOKUP($E$43,[1]QUART!$A$2:$FA$315, 70, FALSE)="",":",VLOOKUP($E$43,[1]QUART!$A$2:$FA$315, 70, FALSE))</f>
        <v>:</v>
      </c>
      <c r="BT43" s="544" t="str">
        <f>IF(VLOOKUP($E$43,[1]QUART!$A$2:$FA$315, 71, FALSE)="",":",VLOOKUP($E$43,[1]QUART!$A$2:$FA$315, 71, FALSE))</f>
        <v>:</v>
      </c>
      <c r="BU43" s="544" t="str">
        <f>IF(VLOOKUP($E$43,[1]QUART!$A$2:$FA$315, 72, FALSE)="",":",VLOOKUP($E$43,[1]QUART!$A$2:$FA$315, 72, FALSE))</f>
        <v>:</v>
      </c>
      <c r="BV43" s="544" t="str">
        <f>IF(VLOOKUP($E$43,[1]QUART!$A$2:$FA$315, 73, FALSE)="",":",VLOOKUP($E$43,[1]QUART!$A$2:$FA$315, 73, FALSE))</f>
        <v>:</v>
      </c>
      <c r="BW43" s="544" t="str">
        <f>IF(VLOOKUP($E$43,[1]QUART!$A$2:$FA$315, 74, FALSE)="",":",VLOOKUP($E$43,[1]QUART!$A$2:$FA$315, 74, FALSE))</f>
        <v>:</v>
      </c>
      <c r="BX43" s="544" t="str">
        <f>IF(VLOOKUP($E$43,[1]QUART!$A$2:$FA$315, 75, FALSE)="",":",VLOOKUP($E$43,[1]QUART!$A$2:$FA$315, 75, FALSE))</f>
        <v>:</v>
      </c>
      <c r="BY43" s="544" t="str">
        <f>IF(VLOOKUP($E$43,[1]QUART!$A$2:$FA$315, 76, FALSE)="",":",VLOOKUP($E$43,[1]QUART!$A$2:$FA$315, 76, FALSE))</f>
        <v>:</v>
      </c>
      <c r="BZ43" s="544" t="str">
        <f>IF(VLOOKUP($E$43,[1]QUART!$A$2:$FA$315, 77, FALSE)="",":",VLOOKUP($E$43,[1]QUART!$A$2:$FA$315, 77, FALSE))</f>
        <v>:</v>
      </c>
      <c r="CA43" s="544" t="str">
        <f>IF(VLOOKUP($E$43,[1]QUART!$A$2:$FA$315, 78, FALSE)="",":",VLOOKUP($E$43,[1]QUART!$A$2:$FA$315, 78, FALSE))</f>
        <v>:</v>
      </c>
      <c r="CB43" s="544" t="str">
        <f>IF(VLOOKUP($E$43,[1]QUART!$A$2:$FA$315, 79, FALSE)="",":",VLOOKUP($E$43,[1]QUART!$A$2:$FA$315, 79, FALSE))</f>
        <v>:</v>
      </c>
      <c r="CC43" s="544" t="str">
        <f>IF(VLOOKUP($E$43,[1]QUART!$A$2:$FA$315, 80, FALSE)="",":",VLOOKUP($E$43,[1]QUART!$A$2:$FA$315, 80, FALSE))</f>
        <v>:</v>
      </c>
      <c r="CD43" s="544" t="str">
        <f>IF(VLOOKUP($E$43,[1]QUART!$A$2:$FA$315, 81, FALSE)="",":",VLOOKUP($E$43,[1]QUART!$A$2:$FA$315, 81, FALSE))</f>
        <v>:</v>
      </c>
      <c r="CE43" s="544" t="str">
        <f>IF(VLOOKUP($E$43,[1]QUART!$A$2:$FA$315, 82, FALSE)="",":",VLOOKUP($E$43,[1]QUART!$A$2:$FA$315, 82, FALSE))</f>
        <v>:</v>
      </c>
      <c r="CF43" s="544" t="str">
        <f>IF(VLOOKUP($E$43,[1]QUART!$A$2:$FA$315, 83, FALSE)="",":",VLOOKUP($E$43,[1]QUART!$A$2:$FA$315, 83, FALSE))</f>
        <v>:</v>
      </c>
      <c r="CG43" s="544" t="str">
        <f>IF(VLOOKUP($E$43,[1]QUART!$A$2:$FA$315, 84, FALSE)="",":",VLOOKUP($E$43,[1]QUART!$A$2:$FA$315, 84, FALSE))</f>
        <v>:</v>
      </c>
      <c r="CH43" s="544" t="str">
        <f>IF(VLOOKUP($E$43,[1]QUART!$A$2:$FA$315, 85, FALSE)="",":",VLOOKUP($E$43,[1]QUART!$A$2:$FA$315, 85, FALSE))</f>
        <v>:</v>
      </c>
      <c r="CI43" s="544" t="str">
        <f>IF(VLOOKUP($E$43,[1]QUART!$A$2:$FA$315, 86, FALSE)="",":",VLOOKUP($E$43,[1]QUART!$A$2:$FA$315, 86, FALSE))</f>
        <v>:</v>
      </c>
      <c r="CJ43" s="544" t="str">
        <f>IF(VLOOKUP($E$43,[1]QUART!$A$2:$FA$315, 87, FALSE)="",":",VLOOKUP($E$43,[1]QUART!$A$2:$FA$315, 87, FALSE))</f>
        <v>:</v>
      </c>
      <c r="CK43" s="544" t="str">
        <f>IF(VLOOKUP($E$43,[1]QUART!$A$2:$FA$315, 88, FALSE)="",":",VLOOKUP($E$43,[1]QUART!$A$2:$FA$315, 88, FALSE))</f>
        <v>:</v>
      </c>
      <c r="CL43" s="544" t="str">
        <f>IF(VLOOKUP($E$43,[1]QUART!$A$2:$FA$315, 89, FALSE)="",":",VLOOKUP($E$43,[1]QUART!$A$2:$FA$315, 89, FALSE))</f>
        <v>:</v>
      </c>
      <c r="CM43" s="544" t="str">
        <f>IF(VLOOKUP($E$43,[1]QUART!$A$2:$FA$315, 90, FALSE)="",":",VLOOKUP($E$43,[1]QUART!$A$2:$FA$315, 90, FALSE))</f>
        <v>:</v>
      </c>
      <c r="CN43" s="544" t="str">
        <f>IF(VLOOKUP($E$43,[1]QUART!$A$2:$FA$315, 91, FALSE)="",":",VLOOKUP($E$43,[1]QUART!$A$2:$FA$315, 91, FALSE))</f>
        <v>:</v>
      </c>
      <c r="CO43" s="544" t="str">
        <f>IF(VLOOKUP($E$43,[1]QUART!$A$2:$FA$315, 92, FALSE)="",":",VLOOKUP($E$43,[1]QUART!$A$2:$FA$315, 92, FALSE))</f>
        <v>:</v>
      </c>
      <c r="CP43" s="544" t="str">
        <f>IF(VLOOKUP($E$43,[1]QUART!$A$2:$FA$315, 93, FALSE)="",":",VLOOKUP($E$43,[1]QUART!$A$2:$FA$315, 93, FALSE))</f>
        <v>:</v>
      </c>
      <c r="CQ43" s="544" t="str">
        <f>IF(VLOOKUP($E$43,[1]QUART!$A$2:$FA$315, 94, FALSE)="",":",VLOOKUP($E$43,[1]QUART!$A$2:$FA$315, 94, FALSE))</f>
        <v>:</v>
      </c>
      <c r="CR43" s="544" t="str">
        <f>IF(VLOOKUP($E$43,[1]QUART!$A$2:$FA$315, 95, FALSE)="",":",VLOOKUP($E$43,[1]QUART!$A$2:$FA$315, 95, FALSE))</f>
        <v>:</v>
      </c>
      <c r="CS43" s="544" t="str">
        <f>IF(VLOOKUP($E$43,[1]QUART!$A$2:$FA$315, 96, FALSE)="",":",VLOOKUP($E$43,[1]QUART!$A$2:$FA$315, 96, FALSE))</f>
        <v>:</v>
      </c>
      <c r="CT43" s="544" t="str">
        <f>IF(VLOOKUP($E$43,[1]QUART!$A$2:$FA$315, 97, FALSE)="",":",VLOOKUP($E$43,[1]QUART!$A$2:$FA$315, 97, FALSE))</f>
        <v>:</v>
      </c>
      <c r="CU43" s="544" t="str">
        <f>IF(VLOOKUP($E$43,[1]QUART!$A$2:$FA$315, 98, FALSE)="",":",VLOOKUP($E$43,[1]QUART!$A$2:$FA$315, 98, FALSE))</f>
        <v>:</v>
      </c>
      <c r="CV43" s="544" t="str">
        <f>IF(VLOOKUP($E$43,[1]QUART!$A$2:$FA$315, 99, FALSE)="",":",VLOOKUP($E$43,[1]QUART!$A$2:$FA$315, 99, FALSE))</f>
        <v>:</v>
      </c>
      <c r="CW43" s="544" t="str">
        <f>IF(VLOOKUP($E$43,[1]QUART!$A$2:$FA$315, 100, FALSE)="",":",VLOOKUP($E$43,[1]QUART!$A$2:$FA$315, 100, FALSE))</f>
        <v>:</v>
      </c>
      <c r="CX43" s="544" t="str">
        <f>IF(VLOOKUP($E$43,[1]QUART!$A$2:$FA$315, 101, FALSE)="",":",VLOOKUP($E$43,[1]QUART!$A$2:$FA$315, 101, FALSE))</f>
        <v>:</v>
      </c>
      <c r="CY43" s="544" t="str">
        <f>IF(VLOOKUP($E$43,[1]QUART!$A$2:$FA$315, 102, FALSE)="",":",VLOOKUP($E$43,[1]QUART!$A$2:$FA$315, 102, FALSE))</f>
        <v>:</v>
      </c>
      <c r="CZ43" s="544" t="str">
        <f>IF(VLOOKUP($E$43,[1]QUART!$A$2:$FA$315, 103, FALSE)="",":",VLOOKUP($E$43,[1]QUART!$A$2:$FA$315, 103, FALSE))</f>
        <v>:</v>
      </c>
      <c r="DA43" s="544" t="str">
        <f>IF(VLOOKUP($E$43,[1]QUART!$A$2:$FA$315, 104, FALSE)="",":",VLOOKUP($E$43,[1]QUART!$A$2:$FA$315, 104, FALSE))</f>
        <v>:</v>
      </c>
      <c r="DB43" s="544" t="str">
        <f>IF(VLOOKUP($E$43,[1]QUART!$A$2:$FA$315, 105, FALSE)="",":",VLOOKUP($E$43,[1]QUART!$A$2:$FA$315, 105, FALSE))</f>
        <v>:</v>
      </c>
      <c r="DC43" s="544" t="str">
        <f>IF(VLOOKUP($E$43,[1]QUART!$A$2:$FA$315, 106, FALSE)="",":",VLOOKUP($E$43,[1]QUART!$A$2:$FA$315, 106, FALSE))</f>
        <v>:</v>
      </c>
    </row>
    <row r="44" spans="1:107">
      <c r="A44" s="1954"/>
      <c r="B44" s="534"/>
      <c r="C44" s="535"/>
      <c r="D44" s="12" t="s">
        <v>1841</v>
      </c>
      <c r="E44" s="13">
        <v>110</v>
      </c>
      <c r="F44" s="14" t="str">
        <f>VLOOKUP($E$44,[1]QUART!$A$2:$FA$315, 3, FALSE)</f>
        <v>110 GFCF construction</v>
      </c>
      <c r="G44" s="544" t="str">
        <f>IF(VLOOKUP($E$44,[1]QUART!$A$2:$FA$315, 6, FALSE)="",":",VLOOKUP($E$44,[1]QUART!$A$2:$FA$315, 6, FALSE))</f>
        <v>:</v>
      </c>
      <c r="H44" s="544" t="str">
        <f>IF(VLOOKUP($E$44,[1]QUART!$A$2:$FA$315, 7, FALSE)="",":",VLOOKUP($E$44,[1]QUART!$A$2:$FA$315, 7, FALSE))</f>
        <v>:</v>
      </c>
      <c r="I44" s="544" t="str">
        <f>IF(VLOOKUP($E$44,[1]QUART!$A$2:$FA$315, 8, FALSE)="",":",VLOOKUP($E$44,[1]QUART!$A$2:$FA$315, 8, FALSE))</f>
        <v>:</v>
      </c>
      <c r="J44" s="544" t="str">
        <f>IF(VLOOKUP($E$44,[1]QUART!$A$2:$FA$315, 9, FALSE)="",":",VLOOKUP($E$44,[1]QUART!$A$2:$FA$315, 9, FALSE))</f>
        <v>:</v>
      </c>
      <c r="K44" s="544" t="str">
        <f>IF(VLOOKUP($E$44,[1]QUART!$A$2:$FA$315, 10, FALSE)="",":",VLOOKUP($E$44,[1]QUART!$A$2:$FA$315, 10, FALSE))</f>
        <v>:</v>
      </c>
      <c r="L44" s="544" t="str">
        <f>IF(VLOOKUP($E$44,[1]QUART!$A$2:$FA$315, 11, FALSE)="",":",VLOOKUP($E$44,[1]QUART!$A$2:$FA$315, 11, FALSE))</f>
        <v>:</v>
      </c>
      <c r="M44" s="544" t="str">
        <f>IF(VLOOKUP($E$44,[1]QUART!$A$2:$FA$315, 12, FALSE)="",":",VLOOKUP($E$44,[1]QUART!$A$2:$FA$315, 12, FALSE))</f>
        <v>:</v>
      </c>
      <c r="N44" s="544" t="str">
        <f>IF(VLOOKUP($E$44,[1]QUART!$A$2:$FA$315, 13, FALSE)="",":",VLOOKUP($E$44,[1]QUART!$A$2:$FA$315, 13, FALSE))</f>
        <v>:</v>
      </c>
      <c r="O44" s="544" t="str">
        <f>IF(VLOOKUP($E$44,[1]QUART!$A$2:$FA$315, 14, FALSE)="",":",VLOOKUP($E$44,[1]QUART!$A$2:$FA$315, 14, FALSE))</f>
        <v>:</v>
      </c>
      <c r="P44" s="544" t="str">
        <f>IF(VLOOKUP($E$44,[1]QUART!$A$2:$FA$315, 15, FALSE)="",":",VLOOKUP($E$44,[1]QUART!$A$2:$FA$315, 15, FALSE))</f>
        <v>:</v>
      </c>
      <c r="Q44" s="544" t="str">
        <f>IF(VLOOKUP($E$44,[1]QUART!$A$2:$FA$315, 16, FALSE)="",":",VLOOKUP($E$44,[1]QUART!$A$2:$FA$315, 16, FALSE))</f>
        <v>:</v>
      </c>
      <c r="R44" s="544" t="str">
        <f>IF(VLOOKUP($E$44,[1]QUART!$A$2:$FA$315, 17, FALSE)="",":",VLOOKUP($E$44,[1]QUART!$A$2:$FA$315, 17, FALSE))</f>
        <v>:</v>
      </c>
      <c r="S44" s="544" t="str">
        <f>IF(VLOOKUP($E$44,[1]QUART!$A$2:$FA$315, 18, FALSE)="",":",VLOOKUP($E$44,[1]QUART!$A$2:$FA$315, 18, FALSE))</f>
        <v>:</v>
      </c>
      <c r="T44" s="544" t="str">
        <f>IF(VLOOKUP($E$44,[1]QUART!$A$2:$FA$315, 19, FALSE)="",":",VLOOKUP($E$44,[1]QUART!$A$2:$FA$315, 19, FALSE))</f>
        <v>:</v>
      </c>
      <c r="U44" s="544" t="str">
        <f>IF(VLOOKUP($E$44,[1]QUART!$A$2:$FA$315, 20, FALSE)="",":",VLOOKUP($E$44,[1]QUART!$A$2:$FA$315, 20, FALSE))</f>
        <v>:</v>
      </c>
      <c r="V44" s="544" t="str">
        <f>IF(VLOOKUP($E$44,[1]QUART!$A$2:$FA$315, 21, FALSE)="",":",VLOOKUP($E$44,[1]QUART!$A$2:$FA$315, 21, FALSE))</f>
        <v>:</v>
      </c>
      <c r="W44" s="544" t="str">
        <f>IF(VLOOKUP($E$44,[1]QUART!$A$2:$FA$315, 22, FALSE)="",":",VLOOKUP($E$44,[1]QUART!$A$2:$FA$315, 22, FALSE))</f>
        <v>:</v>
      </c>
      <c r="X44" s="544" t="str">
        <f>IF(VLOOKUP($E$44,[1]QUART!$A$2:$FA$315, 23, FALSE)="",":",VLOOKUP($E$44,[1]QUART!$A$2:$FA$315, 23, FALSE))</f>
        <v>:</v>
      </c>
      <c r="Y44" s="544" t="str">
        <f>IF(VLOOKUP($E$44,[1]QUART!$A$2:$FA$315, 24, FALSE)="",":",VLOOKUP($E$44,[1]QUART!$A$2:$FA$315, 24, FALSE))</f>
        <v>:</v>
      </c>
      <c r="Z44" s="544" t="str">
        <f>IF(VLOOKUP($E$44,[1]QUART!$A$2:$FA$315, 25, FALSE)="",":",VLOOKUP($E$44,[1]QUART!$A$2:$FA$315, 25, FALSE))</f>
        <v>:</v>
      </c>
      <c r="AA44" s="544" t="str">
        <f>IF(VLOOKUP($E$44,[1]QUART!$A$2:$FA$315, 26, FALSE)="",":",VLOOKUP($E$44,[1]QUART!$A$2:$FA$315, 26, FALSE))</f>
        <v>:</v>
      </c>
      <c r="AB44" s="544" t="str">
        <f>IF(VLOOKUP($E$44,[1]QUART!$A$2:$FA$315, 27, FALSE)="",":",VLOOKUP($E$44,[1]QUART!$A$2:$FA$315, 27, FALSE))</f>
        <v>:</v>
      </c>
      <c r="AC44" s="544" t="str">
        <f>IF(VLOOKUP($E$44,[1]QUART!$A$2:$FA$315, 28, FALSE)="",":",VLOOKUP($E$44,[1]QUART!$A$2:$FA$315, 28, FALSE))</f>
        <v>:</v>
      </c>
      <c r="AD44" s="544" t="str">
        <f>IF(VLOOKUP($E$44,[1]QUART!$A$2:$FA$315, 29, FALSE)="",":",VLOOKUP($E$44,[1]QUART!$A$2:$FA$315, 29, FALSE))</f>
        <v>:</v>
      </c>
      <c r="AE44" s="544" t="str">
        <f>IF(VLOOKUP($E$44,[1]QUART!$A$2:$FA$315, 30, FALSE)="",":",VLOOKUP($E$44,[1]QUART!$A$2:$FA$315, 30, FALSE))</f>
        <v>:</v>
      </c>
      <c r="AF44" s="544" t="str">
        <f>IF(VLOOKUP($E$44,[1]QUART!$A$2:$FA$315, 31, FALSE)="",":",VLOOKUP($E$44,[1]QUART!$A$2:$FA$315, 31, FALSE))</f>
        <v>:</v>
      </c>
      <c r="AG44" s="544" t="str">
        <f>IF(VLOOKUP($E$44,[1]QUART!$A$2:$FA$315, 32, FALSE)="",":",VLOOKUP($E$44,[1]QUART!$A$2:$FA$315, 32, FALSE))</f>
        <v>:</v>
      </c>
      <c r="AH44" s="544" t="str">
        <f>IF(VLOOKUP($E$44,[1]QUART!$A$2:$FA$315, 33, FALSE)="",":",VLOOKUP($E$44,[1]QUART!$A$2:$FA$315, 33, FALSE))</f>
        <v>:</v>
      </c>
      <c r="AI44" s="544" t="str">
        <f>IF(VLOOKUP($E$44,[1]QUART!$A$2:$FA$315, 34, FALSE)="",":",VLOOKUP($E$44,[1]QUART!$A$2:$FA$315, 34, FALSE))</f>
        <v>:</v>
      </c>
      <c r="AJ44" s="544" t="str">
        <f>IF(VLOOKUP($E$44,[1]QUART!$A$2:$FA$315, 35, FALSE)="",":",VLOOKUP($E$44,[1]QUART!$A$2:$FA$315, 35, FALSE))</f>
        <v>:</v>
      </c>
      <c r="AK44" s="544" t="str">
        <f>IF(VLOOKUP($E$44,[1]QUART!$A$2:$FA$315, 36, FALSE)="",":",VLOOKUP($E$44,[1]QUART!$A$2:$FA$315, 36, FALSE))</f>
        <v>:</v>
      </c>
      <c r="AL44" s="544" t="str">
        <f>IF(VLOOKUP($E$44,[1]QUART!$A$2:$FA$315, 37, FALSE)="",":",VLOOKUP($E$44,[1]QUART!$A$2:$FA$315, 37, FALSE))</f>
        <v>:</v>
      </c>
      <c r="AM44" s="544" t="str">
        <f>IF(VLOOKUP($E$44,[1]QUART!$A$2:$FA$315, 38, FALSE)="",":",VLOOKUP($E$44,[1]QUART!$A$2:$FA$315, 38, FALSE))</f>
        <v>:</v>
      </c>
      <c r="AN44" s="544" t="str">
        <f>IF(VLOOKUP($E$44,[1]QUART!$A$2:$FA$315, 39, FALSE)="",":",VLOOKUP($E$44,[1]QUART!$A$2:$FA$315, 39, FALSE))</f>
        <v>:</v>
      </c>
      <c r="AO44" s="544" t="str">
        <f>IF(VLOOKUP($E$44,[1]QUART!$A$2:$FA$315, 40, FALSE)="",":",VLOOKUP($E$44,[1]QUART!$A$2:$FA$315, 40, FALSE))</f>
        <v>:</v>
      </c>
      <c r="AP44" s="544" t="str">
        <f>IF(VLOOKUP($E$44,[1]QUART!$A$2:$FA$315, 41, FALSE)="",":",VLOOKUP($E$44,[1]QUART!$A$2:$FA$315, 41, FALSE))</f>
        <v>:</v>
      </c>
      <c r="AQ44" s="544" t="str">
        <f>IF(VLOOKUP($E$44,[1]QUART!$A$2:$FA$315, 42, FALSE)="",":",VLOOKUP($E$44,[1]QUART!$A$2:$FA$315, 42, FALSE))</f>
        <v>:</v>
      </c>
      <c r="AR44" s="544" t="str">
        <f>IF(VLOOKUP($E$44,[1]QUART!$A$2:$FA$315, 43, FALSE)="",":",VLOOKUP($E$44,[1]QUART!$A$2:$FA$315, 43, FALSE))</f>
        <v>:</v>
      </c>
      <c r="AS44" s="544" t="str">
        <f>IF(VLOOKUP($E$44,[1]QUART!$A$2:$FA$315, 44, FALSE)="",":",VLOOKUP($E$44,[1]QUART!$A$2:$FA$315, 44, FALSE))</f>
        <v>:</v>
      </c>
      <c r="AT44" s="544" t="str">
        <f>IF(VLOOKUP($E$44,[1]QUART!$A$2:$FA$315, 45, FALSE)="",":",VLOOKUP($E$44,[1]QUART!$A$2:$FA$315, 45, FALSE))</f>
        <v>:</v>
      </c>
      <c r="AU44" s="544" t="str">
        <f>IF(VLOOKUP($E$44,[1]QUART!$A$2:$FA$315, 46, FALSE)="",":",VLOOKUP($E$44,[1]QUART!$A$2:$FA$315, 46, FALSE))</f>
        <v>:</v>
      </c>
      <c r="AV44" s="544" t="str">
        <f>IF(VLOOKUP($E$44,[1]QUART!$A$2:$FA$315, 47, FALSE)="",":",VLOOKUP($E$44,[1]QUART!$A$2:$FA$315, 47, FALSE))</f>
        <v>:</v>
      </c>
      <c r="AW44" s="544" t="str">
        <f>IF(VLOOKUP($E$44,[1]QUART!$A$2:$FA$315, 48, FALSE)="",":",VLOOKUP($E$44,[1]QUART!$A$2:$FA$315, 48, FALSE))</f>
        <v>:</v>
      </c>
      <c r="AX44" s="544" t="str">
        <f>IF(VLOOKUP($E$44,[1]QUART!$A$2:$FA$315, 49, FALSE)="",":",VLOOKUP($E$44,[1]QUART!$A$2:$FA$315, 49, FALSE))</f>
        <v>:</v>
      </c>
      <c r="AY44" s="544" t="str">
        <f>IF(VLOOKUP($E$44,[1]QUART!$A$2:$FA$315, 50, FALSE)="",":",VLOOKUP($E$44,[1]QUART!$A$2:$FA$315, 50, FALSE))</f>
        <v>:</v>
      </c>
      <c r="AZ44" s="544" t="str">
        <f>IF(VLOOKUP($E$44,[1]QUART!$A$2:$FA$315, 51, FALSE)="",":",VLOOKUP($E$44,[1]QUART!$A$2:$FA$315, 51, FALSE))</f>
        <v>:</v>
      </c>
      <c r="BA44" s="544" t="str">
        <f>IF(VLOOKUP($E$44,[1]QUART!$A$2:$FA$315, 52, FALSE)="",":",VLOOKUP($E$44,[1]QUART!$A$2:$FA$315, 52, FALSE))</f>
        <v>:</v>
      </c>
      <c r="BB44" s="544" t="str">
        <f>IF(VLOOKUP($E$44,[1]QUART!$A$2:$FA$315, 53, FALSE)="",":",VLOOKUP($E$44,[1]QUART!$A$2:$FA$315, 53, FALSE))</f>
        <v>:</v>
      </c>
      <c r="BC44" s="544" t="str">
        <f>IF(VLOOKUP($E$44,[1]QUART!$A$2:$FA$315, 54, FALSE)="",":",VLOOKUP($E$44,[1]QUART!$A$2:$FA$315, 54, FALSE))</f>
        <v>:</v>
      </c>
      <c r="BD44" s="544" t="str">
        <f>IF(VLOOKUP($E$44,[1]QUART!$A$2:$FA$315, 55, FALSE)="",":",VLOOKUP($E$44,[1]QUART!$A$2:$FA$315, 55, FALSE))</f>
        <v>:</v>
      </c>
      <c r="BE44" s="544" t="str">
        <f>IF(VLOOKUP($E$44,[1]QUART!$A$2:$FA$315, 56, FALSE)="",":",VLOOKUP($E$44,[1]QUART!$A$2:$FA$315, 56, FALSE))</f>
        <v>:</v>
      </c>
      <c r="BF44" s="544" t="str">
        <f>IF(VLOOKUP($E$44,[1]QUART!$A$2:$FA$315, 57, FALSE)="",":",VLOOKUP($E$44,[1]QUART!$A$2:$FA$315, 57, FALSE))</f>
        <v>:</v>
      </c>
      <c r="BG44" s="544" t="str">
        <f>IF(VLOOKUP($E$44,[1]QUART!$A$2:$FA$315, 58, FALSE)="",":",VLOOKUP($E$44,[1]QUART!$A$2:$FA$315, 58, FALSE))</f>
        <v>:</v>
      </c>
      <c r="BH44" s="544" t="str">
        <f>IF(VLOOKUP($E$44,[1]QUART!$A$2:$FA$315, 59, FALSE)="",":",VLOOKUP($E$44,[1]QUART!$A$2:$FA$315, 59, FALSE))</f>
        <v>:</v>
      </c>
      <c r="BI44" s="544" t="str">
        <f>IF(VLOOKUP($E$44,[1]QUART!$A$2:$FA$315, 60, FALSE)="",":",VLOOKUP($E$44,[1]QUART!$A$2:$FA$315, 60, FALSE))</f>
        <v>:</v>
      </c>
      <c r="BJ44" s="544" t="str">
        <f>IF(VLOOKUP($E$44,[1]QUART!$A$2:$FA$315, 61, FALSE)="",":",VLOOKUP($E$44,[1]QUART!$A$2:$FA$315, 61, FALSE))</f>
        <v>:</v>
      </c>
      <c r="BK44" s="544" t="str">
        <f>IF(VLOOKUP($E$44,[1]QUART!$A$2:$FA$315, 62, FALSE)="",":",VLOOKUP($E$44,[1]QUART!$A$2:$FA$315, 62, FALSE))</f>
        <v>:</v>
      </c>
      <c r="BL44" s="544" t="str">
        <f>IF(VLOOKUP($E$44,[1]QUART!$A$2:$FA$315, 63, FALSE)="",":",VLOOKUP($E$44,[1]QUART!$A$2:$FA$315, 63, FALSE))</f>
        <v>:</v>
      </c>
      <c r="BM44" s="544" t="str">
        <f>IF(VLOOKUP($E$44,[1]QUART!$A$2:$FA$315, 64, FALSE)="",":",VLOOKUP($E$44,[1]QUART!$A$2:$FA$315, 64, FALSE))</f>
        <v>:</v>
      </c>
      <c r="BN44" s="544" t="str">
        <f>IF(VLOOKUP($E$44,[1]QUART!$A$2:$FA$315, 65, FALSE)="",":",VLOOKUP($E$44,[1]QUART!$A$2:$FA$315, 65, FALSE))</f>
        <v>:</v>
      </c>
      <c r="BO44" s="544" t="str">
        <f>IF(VLOOKUP($E$44,[1]QUART!$A$2:$FA$315, 66, FALSE)="",":",VLOOKUP($E$44,[1]QUART!$A$2:$FA$315, 66, FALSE))</f>
        <v>:</v>
      </c>
      <c r="BP44" s="544" t="str">
        <f>IF(VLOOKUP($E$44,[1]QUART!$A$2:$FA$315, 67, FALSE)="",":",VLOOKUP($E$44,[1]QUART!$A$2:$FA$315, 67, FALSE))</f>
        <v>:</v>
      </c>
      <c r="BQ44" s="544" t="str">
        <f>IF(VLOOKUP($E$44,[1]QUART!$A$2:$FA$315, 68, FALSE)="",":",VLOOKUP($E$44,[1]QUART!$A$2:$FA$315, 68, FALSE))</f>
        <v>:</v>
      </c>
      <c r="BR44" s="544" t="str">
        <f>IF(VLOOKUP($E$44,[1]QUART!$A$2:$FA$315, 69, FALSE)="",":",VLOOKUP($E$44,[1]QUART!$A$2:$FA$315, 69, FALSE))</f>
        <v>:</v>
      </c>
      <c r="BS44" s="544" t="str">
        <f>IF(VLOOKUP($E$44,[1]QUART!$A$2:$FA$315, 70, FALSE)="",":",VLOOKUP($E$44,[1]QUART!$A$2:$FA$315, 70, FALSE))</f>
        <v>:</v>
      </c>
      <c r="BT44" s="544" t="str">
        <f>IF(VLOOKUP($E$44,[1]QUART!$A$2:$FA$315, 71, FALSE)="",":",VLOOKUP($E$44,[1]QUART!$A$2:$FA$315, 71, FALSE))</f>
        <v>:</v>
      </c>
      <c r="BU44" s="544" t="str">
        <f>IF(VLOOKUP($E$44,[1]QUART!$A$2:$FA$315, 72, FALSE)="",":",VLOOKUP($E$44,[1]QUART!$A$2:$FA$315, 72, FALSE))</f>
        <v>:</v>
      </c>
      <c r="BV44" s="544" t="str">
        <f>IF(VLOOKUP($E$44,[1]QUART!$A$2:$FA$315, 73, FALSE)="",":",VLOOKUP($E$44,[1]QUART!$A$2:$FA$315, 73, FALSE))</f>
        <v>:</v>
      </c>
      <c r="BW44" s="544" t="str">
        <f>IF(VLOOKUP($E$44,[1]QUART!$A$2:$FA$315, 74, FALSE)="",":",VLOOKUP($E$44,[1]QUART!$A$2:$FA$315, 74, FALSE))</f>
        <v>:</v>
      </c>
      <c r="BX44" s="544" t="str">
        <f>IF(VLOOKUP($E$44,[1]QUART!$A$2:$FA$315, 75, FALSE)="",":",VLOOKUP($E$44,[1]QUART!$A$2:$FA$315, 75, FALSE))</f>
        <v>:</v>
      </c>
      <c r="BY44" s="544" t="str">
        <f>IF(VLOOKUP($E$44,[1]QUART!$A$2:$FA$315, 76, FALSE)="",":",VLOOKUP($E$44,[1]QUART!$A$2:$FA$315, 76, FALSE))</f>
        <v>:</v>
      </c>
      <c r="BZ44" s="544" t="str">
        <f>IF(VLOOKUP($E$44,[1]QUART!$A$2:$FA$315, 77, FALSE)="",":",VLOOKUP($E$44,[1]QUART!$A$2:$FA$315, 77, FALSE))</f>
        <v>:</v>
      </c>
      <c r="CA44" s="544" t="str">
        <f>IF(VLOOKUP($E$44,[1]QUART!$A$2:$FA$315, 78, FALSE)="",":",VLOOKUP($E$44,[1]QUART!$A$2:$FA$315, 78, FALSE))</f>
        <v>:</v>
      </c>
      <c r="CB44" s="544" t="str">
        <f>IF(VLOOKUP($E$44,[1]QUART!$A$2:$FA$315, 79, FALSE)="",":",VLOOKUP($E$44,[1]QUART!$A$2:$FA$315, 79, FALSE))</f>
        <v>:</v>
      </c>
      <c r="CC44" s="544" t="str">
        <f>IF(VLOOKUP($E$44,[1]QUART!$A$2:$FA$315, 80, FALSE)="",":",VLOOKUP($E$44,[1]QUART!$A$2:$FA$315, 80, FALSE))</f>
        <v>:</v>
      </c>
      <c r="CD44" s="544" t="str">
        <f>IF(VLOOKUP($E$44,[1]QUART!$A$2:$FA$315, 81, FALSE)="",":",VLOOKUP($E$44,[1]QUART!$A$2:$FA$315, 81, FALSE))</f>
        <v>:</v>
      </c>
      <c r="CE44" s="544" t="str">
        <f>IF(VLOOKUP($E$44,[1]QUART!$A$2:$FA$315, 82, FALSE)="",":",VLOOKUP($E$44,[1]QUART!$A$2:$FA$315, 82, FALSE))</f>
        <v>:</v>
      </c>
      <c r="CF44" s="544" t="str">
        <f>IF(VLOOKUP($E$44,[1]QUART!$A$2:$FA$315, 83, FALSE)="",":",VLOOKUP($E$44,[1]QUART!$A$2:$FA$315, 83, FALSE))</f>
        <v>:</v>
      </c>
      <c r="CG44" s="544" t="str">
        <f>IF(VLOOKUP($E$44,[1]QUART!$A$2:$FA$315, 84, FALSE)="",":",VLOOKUP($E$44,[1]QUART!$A$2:$FA$315, 84, FALSE))</f>
        <v>:</v>
      </c>
      <c r="CH44" s="544" t="str">
        <f>IF(VLOOKUP($E$44,[1]QUART!$A$2:$FA$315, 85, FALSE)="",":",VLOOKUP($E$44,[1]QUART!$A$2:$FA$315, 85, FALSE))</f>
        <v>:</v>
      </c>
      <c r="CI44" s="544" t="str">
        <f>IF(VLOOKUP($E$44,[1]QUART!$A$2:$FA$315, 86, FALSE)="",":",VLOOKUP($E$44,[1]QUART!$A$2:$FA$315, 86, FALSE))</f>
        <v>:</v>
      </c>
      <c r="CJ44" s="544" t="str">
        <f>IF(VLOOKUP($E$44,[1]QUART!$A$2:$FA$315, 87, FALSE)="",":",VLOOKUP($E$44,[1]QUART!$A$2:$FA$315, 87, FALSE))</f>
        <v>:</v>
      </c>
      <c r="CK44" s="544" t="str">
        <f>IF(VLOOKUP($E$44,[1]QUART!$A$2:$FA$315, 88, FALSE)="",":",VLOOKUP($E$44,[1]QUART!$A$2:$FA$315, 88, FALSE))</f>
        <v>:</v>
      </c>
      <c r="CL44" s="544" t="str">
        <f>IF(VLOOKUP($E$44,[1]QUART!$A$2:$FA$315, 89, FALSE)="",":",VLOOKUP($E$44,[1]QUART!$A$2:$FA$315, 89, FALSE))</f>
        <v>:</v>
      </c>
      <c r="CM44" s="544" t="str">
        <f>IF(VLOOKUP($E$44,[1]QUART!$A$2:$FA$315, 90, FALSE)="",":",VLOOKUP($E$44,[1]QUART!$A$2:$FA$315, 90, FALSE))</f>
        <v>:</v>
      </c>
      <c r="CN44" s="544" t="str">
        <f>IF(VLOOKUP($E$44,[1]QUART!$A$2:$FA$315, 91, FALSE)="",":",VLOOKUP($E$44,[1]QUART!$A$2:$FA$315, 91, FALSE))</f>
        <v>:</v>
      </c>
      <c r="CO44" s="544" t="str">
        <f>IF(VLOOKUP($E$44,[1]QUART!$A$2:$FA$315, 92, FALSE)="",":",VLOOKUP($E$44,[1]QUART!$A$2:$FA$315, 92, FALSE))</f>
        <v>:</v>
      </c>
      <c r="CP44" s="544" t="str">
        <f>IF(VLOOKUP($E$44,[1]QUART!$A$2:$FA$315, 93, FALSE)="",":",VLOOKUP($E$44,[1]QUART!$A$2:$FA$315, 93, FALSE))</f>
        <v>:</v>
      </c>
      <c r="CQ44" s="544" t="str">
        <f>IF(VLOOKUP($E$44,[1]QUART!$A$2:$FA$315, 94, FALSE)="",":",VLOOKUP($E$44,[1]QUART!$A$2:$FA$315, 94, FALSE))</f>
        <v>:</v>
      </c>
      <c r="CR44" s="544" t="str">
        <f>IF(VLOOKUP($E$44,[1]QUART!$A$2:$FA$315, 95, FALSE)="",":",VLOOKUP($E$44,[1]QUART!$A$2:$FA$315, 95, FALSE))</f>
        <v>:</v>
      </c>
      <c r="CS44" s="544" t="str">
        <f>IF(VLOOKUP($E$44,[1]QUART!$A$2:$FA$315, 96, FALSE)="",":",VLOOKUP($E$44,[1]QUART!$A$2:$FA$315, 96, FALSE))</f>
        <v>:</v>
      </c>
      <c r="CT44" s="544" t="str">
        <f>IF(VLOOKUP($E$44,[1]QUART!$A$2:$FA$315, 97, FALSE)="",":",VLOOKUP($E$44,[1]QUART!$A$2:$FA$315, 97, FALSE))</f>
        <v>:</v>
      </c>
      <c r="CU44" s="544" t="str">
        <f>IF(VLOOKUP($E$44,[1]QUART!$A$2:$FA$315, 98, FALSE)="",":",VLOOKUP($E$44,[1]QUART!$A$2:$FA$315, 98, FALSE))</f>
        <v>:</v>
      </c>
      <c r="CV44" s="544" t="str">
        <f>IF(VLOOKUP($E$44,[1]QUART!$A$2:$FA$315, 99, FALSE)="",":",VLOOKUP($E$44,[1]QUART!$A$2:$FA$315, 99, FALSE))</f>
        <v>:</v>
      </c>
      <c r="CW44" s="544" t="str">
        <f>IF(VLOOKUP($E$44,[1]QUART!$A$2:$FA$315, 100, FALSE)="",":",VLOOKUP($E$44,[1]QUART!$A$2:$FA$315, 100, FALSE))</f>
        <v>:</v>
      </c>
      <c r="CX44" s="544" t="str">
        <f>IF(VLOOKUP($E$44,[1]QUART!$A$2:$FA$315, 101, FALSE)="",":",VLOOKUP($E$44,[1]QUART!$A$2:$FA$315, 101, FALSE))</f>
        <v>:</v>
      </c>
      <c r="CY44" s="544" t="str">
        <f>IF(VLOOKUP($E$44,[1]QUART!$A$2:$FA$315, 102, FALSE)="",":",VLOOKUP($E$44,[1]QUART!$A$2:$FA$315, 102, FALSE))</f>
        <v>:</v>
      </c>
      <c r="CZ44" s="544" t="str">
        <f>IF(VLOOKUP($E$44,[1]QUART!$A$2:$FA$315, 103, FALSE)="",":",VLOOKUP($E$44,[1]QUART!$A$2:$FA$315, 103, FALSE))</f>
        <v>:</v>
      </c>
      <c r="DA44" s="544" t="str">
        <f>IF(VLOOKUP($E$44,[1]QUART!$A$2:$FA$315, 104, FALSE)="",":",VLOOKUP($E$44,[1]QUART!$A$2:$FA$315, 104, FALSE))</f>
        <v>:</v>
      </c>
      <c r="DB44" s="544" t="str">
        <f>IF(VLOOKUP($E$44,[1]QUART!$A$2:$FA$315, 105, FALSE)="",":",VLOOKUP($E$44,[1]QUART!$A$2:$FA$315, 105, FALSE))</f>
        <v>:</v>
      </c>
      <c r="DC44" s="544" t="str">
        <f>IF(VLOOKUP($E$44,[1]QUART!$A$2:$FA$315, 106, FALSE)="",":",VLOOKUP($E$44,[1]QUART!$A$2:$FA$315, 106, FALSE))</f>
        <v>:</v>
      </c>
    </row>
    <row r="45" spans="1:107">
      <c r="A45" s="1954"/>
      <c r="B45" s="534"/>
      <c r="C45" s="535"/>
      <c r="D45" s="12" t="s">
        <v>1841</v>
      </c>
      <c r="E45" s="13">
        <v>111</v>
      </c>
      <c r="F45" s="14" t="str">
        <f>VLOOKUP($E$45,[1]QUART!$A$2:$FA$315, 3, FALSE)</f>
        <v>111 GFCF other</v>
      </c>
      <c r="G45" s="544" t="str">
        <f>IF(VLOOKUP($E$45,[1]QUART!$A$2:$FA$315, 6, FALSE)="",":",VLOOKUP($E$45,[1]QUART!$A$2:$FA$315, 6, FALSE))</f>
        <v>:</v>
      </c>
      <c r="H45" s="544" t="str">
        <f>IF(VLOOKUP($E$45,[1]QUART!$A$2:$FA$315, 7, FALSE)="",":",VLOOKUP($E$45,[1]QUART!$A$2:$FA$315, 7, FALSE))</f>
        <v>:</v>
      </c>
      <c r="I45" s="544" t="str">
        <f>IF(VLOOKUP($E$45,[1]QUART!$A$2:$FA$315, 8, FALSE)="",":",VLOOKUP($E$45,[1]QUART!$A$2:$FA$315, 8, FALSE))</f>
        <v>:</v>
      </c>
      <c r="J45" s="544" t="str">
        <f>IF(VLOOKUP($E$45,[1]QUART!$A$2:$FA$315, 9, FALSE)="",":",VLOOKUP($E$45,[1]QUART!$A$2:$FA$315, 9, FALSE))</f>
        <v>:</v>
      </c>
      <c r="K45" s="544" t="str">
        <f>IF(VLOOKUP($E$45,[1]QUART!$A$2:$FA$315, 10, FALSE)="",":",VLOOKUP($E$45,[1]QUART!$A$2:$FA$315, 10, FALSE))</f>
        <v>:</v>
      </c>
      <c r="L45" s="544" t="str">
        <f>IF(VLOOKUP($E$45,[1]QUART!$A$2:$FA$315, 11, FALSE)="",":",VLOOKUP($E$45,[1]QUART!$A$2:$FA$315, 11, FALSE))</f>
        <v>:</v>
      </c>
      <c r="M45" s="544" t="str">
        <f>IF(VLOOKUP($E$45,[1]QUART!$A$2:$FA$315, 12, FALSE)="",":",VLOOKUP($E$45,[1]QUART!$A$2:$FA$315, 12, FALSE))</f>
        <v>:</v>
      </c>
      <c r="N45" s="544" t="str">
        <f>IF(VLOOKUP($E$45,[1]QUART!$A$2:$FA$315, 13, FALSE)="",":",VLOOKUP($E$45,[1]QUART!$A$2:$FA$315, 13, FALSE))</f>
        <v>:</v>
      </c>
      <c r="O45" s="544" t="str">
        <f>IF(VLOOKUP($E$45,[1]QUART!$A$2:$FA$315, 14, FALSE)="",":",VLOOKUP($E$45,[1]QUART!$A$2:$FA$315, 14, FALSE))</f>
        <v>:</v>
      </c>
      <c r="P45" s="544" t="str">
        <f>IF(VLOOKUP($E$45,[1]QUART!$A$2:$FA$315, 15, FALSE)="",":",VLOOKUP($E$45,[1]QUART!$A$2:$FA$315, 15, FALSE))</f>
        <v>:</v>
      </c>
      <c r="Q45" s="544" t="str">
        <f>IF(VLOOKUP($E$45,[1]QUART!$A$2:$FA$315, 16, FALSE)="",":",VLOOKUP($E$45,[1]QUART!$A$2:$FA$315, 16, FALSE))</f>
        <v>:</v>
      </c>
      <c r="R45" s="544" t="str">
        <f>IF(VLOOKUP($E$45,[1]QUART!$A$2:$FA$315, 17, FALSE)="",":",VLOOKUP($E$45,[1]QUART!$A$2:$FA$315, 17, FALSE))</f>
        <v>:</v>
      </c>
      <c r="S45" s="544" t="str">
        <f>IF(VLOOKUP($E$45,[1]QUART!$A$2:$FA$315, 18, FALSE)="",":",VLOOKUP($E$45,[1]QUART!$A$2:$FA$315, 18, FALSE))</f>
        <v>:</v>
      </c>
      <c r="T45" s="544" t="str">
        <f>IF(VLOOKUP($E$45,[1]QUART!$A$2:$FA$315, 19, FALSE)="",":",VLOOKUP($E$45,[1]QUART!$A$2:$FA$315, 19, FALSE))</f>
        <v>:</v>
      </c>
      <c r="U45" s="544" t="str">
        <f>IF(VLOOKUP($E$45,[1]QUART!$A$2:$FA$315, 20, FALSE)="",":",VLOOKUP($E$45,[1]QUART!$A$2:$FA$315, 20, FALSE))</f>
        <v>:</v>
      </c>
      <c r="V45" s="544" t="str">
        <f>IF(VLOOKUP($E$45,[1]QUART!$A$2:$FA$315, 21, FALSE)="",":",VLOOKUP($E$45,[1]QUART!$A$2:$FA$315, 21, FALSE))</f>
        <v>:</v>
      </c>
      <c r="W45" s="544" t="str">
        <f>IF(VLOOKUP($E$45,[1]QUART!$A$2:$FA$315, 22, FALSE)="",":",VLOOKUP($E$45,[1]QUART!$A$2:$FA$315, 22, FALSE))</f>
        <v>:</v>
      </c>
      <c r="X45" s="544" t="str">
        <f>IF(VLOOKUP($E$45,[1]QUART!$A$2:$FA$315, 23, FALSE)="",":",VLOOKUP($E$45,[1]QUART!$A$2:$FA$315, 23, FALSE))</f>
        <v>:</v>
      </c>
      <c r="Y45" s="544" t="str">
        <f>IF(VLOOKUP($E$45,[1]QUART!$A$2:$FA$315, 24, FALSE)="",":",VLOOKUP($E$45,[1]QUART!$A$2:$FA$315, 24, FALSE))</f>
        <v>:</v>
      </c>
      <c r="Z45" s="544" t="str">
        <f>IF(VLOOKUP($E$45,[1]QUART!$A$2:$FA$315, 25, FALSE)="",":",VLOOKUP($E$45,[1]QUART!$A$2:$FA$315, 25, FALSE))</f>
        <v>:</v>
      </c>
      <c r="AA45" s="544" t="str">
        <f>IF(VLOOKUP($E$45,[1]QUART!$A$2:$FA$315, 26, FALSE)="",":",VLOOKUP($E$45,[1]QUART!$A$2:$FA$315, 26, FALSE))</f>
        <v>:</v>
      </c>
      <c r="AB45" s="544" t="str">
        <f>IF(VLOOKUP($E$45,[1]QUART!$A$2:$FA$315, 27, FALSE)="",":",VLOOKUP($E$45,[1]QUART!$A$2:$FA$315, 27, FALSE))</f>
        <v>:</v>
      </c>
      <c r="AC45" s="544" t="str">
        <f>IF(VLOOKUP($E$45,[1]QUART!$A$2:$FA$315, 28, FALSE)="",":",VLOOKUP($E$45,[1]QUART!$A$2:$FA$315, 28, FALSE))</f>
        <v>:</v>
      </c>
      <c r="AD45" s="544" t="str">
        <f>IF(VLOOKUP($E$45,[1]QUART!$A$2:$FA$315, 29, FALSE)="",":",VLOOKUP($E$45,[1]QUART!$A$2:$FA$315, 29, FALSE))</f>
        <v>:</v>
      </c>
      <c r="AE45" s="544" t="str">
        <f>IF(VLOOKUP($E$45,[1]QUART!$A$2:$FA$315, 30, FALSE)="",":",VLOOKUP($E$45,[1]QUART!$A$2:$FA$315, 30, FALSE))</f>
        <v>:</v>
      </c>
      <c r="AF45" s="544" t="str">
        <f>IF(VLOOKUP($E$45,[1]QUART!$A$2:$FA$315, 31, FALSE)="",":",VLOOKUP($E$45,[1]QUART!$A$2:$FA$315, 31, FALSE))</f>
        <v>:</v>
      </c>
      <c r="AG45" s="544" t="str">
        <f>IF(VLOOKUP($E$45,[1]QUART!$A$2:$FA$315, 32, FALSE)="",":",VLOOKUP($E$45,[1]QUART!$A$2:$FA$315, 32, FALSE))</f>
        <v>:</v>
      </c>
      <c r="AH45" s="544" t="str">
        <f>IF(VLOOKUP($E$45,[1]QUART!$A$2:$FA$315, 33, FALSE)="",":",VLOOKUP($E$45,[1]QUART!$A$2:$FA$315, 33, FALSE))</f>
        <v>:</v>
      </c>
      <c r="AI45" s="544" t="str">
        <f>IF(VLOOKUP($E$45,[1]QUART!$A$2:$FA$315, 34, FALSE)="",":",VLOOKUP($E$45,[1]QUART!$A$2:$FA$315, 34, FALSE))</f>
        <v>:</v>
      </c>
      <c r="AJ45" s="544" t="str">
        <f>IF(VLOOKUP($E$45,[1]QUART!$A$2:$FA$315, 35, FALSE)="",":",VLOOKUP($E$45,[1]QUART!$A$2:$FA$315, 35, FALSE))</f>
        <v>:</v>
      </c>
      <c r="AK45" s="544" t="str">
        <f>IF(VLOOKUP($E$45,[1]QUART!$A$2:$FA$315, 36, FALSE)="",":",VLOOKUP($E$45,[1]QUART!$A$2:$FA$315, 36, FALSE))</f>
        <v>:</v>
      </c>
      <c r="AL45" s="544" t="str">
        <f>IF(VLOOKUP($E$45,[1]QUART!$A$2:$FA$315, 37, FALSE)="",":",VLOOKUP($E$45,[1]QUART!$A$2:$FA$315, 37, FALSE))</f>
        <v>:</v>
      </c>
      <c r="AM45" s="544" t="str">
        <f>IF(VLOOKUP($E$45,[1]QUART!$A$2:$FA$315, 38, FALSE)="",":",VLOOKUP($E$45,[1]QUART!$A$2:$FA$315, 38, FALSE))</f>
        <v>:</v>
      </c>
      <c r="AN45" s="544" t="str">
        <f>IF(VLOOKUP($E$45,[1]QUART!$A$2:$FA$315, 39, FALSE)="",":",VLOOKUP($E$45,[1]QUART!$A$2:$FA$315, 39, FALSE))</f>
        <v>:</v>
      </c>
      <c r="AO45" s="544" t="str">
        <f>IF(VLOOKUP($E$45,[1]QUART!$A$2:$FA$315, 40, FALSE)="",":",VLOOKUP($E$45,[1]QUART!$A$2:$FA$315, 40, FALSE))</f>
        <v>:</v>
      </c>
      <c r="AP45" s="544" t="str">
        <f>IF(VLOOKUP($E$45,[1]QUART!$A$2:$FA$315, 41, FALSE)="",":",VLOOKUP($E$45,[1]QUART!$A$2:$FA$315, 41, FALSE))</f>
        <v>:</v>
      </c>
      <c r="AQ45" s="544" t="str">
        <f>IF(VLOOKUP($E$45,[1]QUART!$A$2:$FA$315, 42, FALSE)="",":",VLOOKUP($E$45,[1]QUART!$A$2:$FA$315, 42, FALSE))</f>
        <v>:</v>
      </c>
      <c r="AR45" s="544" t="str">
        <f>IF(VLOOKUP($E$45,[1]QUART!$A$2:$FA$315, 43, FALSE)="",":",VLOOKUP($E$45,[1]QUART!$A$2:$FA$315, 43, FALSE))</f>
        <v>:</v>
      </c>
      <c r="AS45" s="544" t="str">
        <f>IF(VLOOKUP($E$45,[1]QUART!$A$2:$FA$315, 44, FALSE)="",":",VLOOKUP($E$45,[1]QUART!$A$2:$FA$315, 44, FALSE))</f>
        <v>:</v>
      </c>
      <c r="AT45" s="544" t="str">
        <f>IF(VLOOKUP($E$45,[1]QUART!$A$2:$FA$315, 45, FALSE)="",":",VLOOKUP($E$45,[1]QUART!$A$2:$FA$315, 45, FALSE))</f>
        <v>:</v>
      </c>
      <c r="AU45" s="544" t="str">
        <f>IF(VLOOKUP($E$45,[1]QUART!$A$2:$FA$315, 46, FALSE)="",":",VLOOKUP($E$45,[1]QUART!$A$2:$FA$315, 46, FALSE))</f>
        <v>:</v>
      </c>
      <c r="AV45" s="544" t="str">
        <f>IF(VLOOKUP($E$45,[1]QUART!$A$2:$FA$315, 47, FALSE)="",":",VLOOKUP($E$45,[1]QUART!$A$2:$FA$315, 47, FALSE))</f>
        <v>:</v>
      </c>
      <c r="AW45" s="544" t="str">
        <f>IF(VLOOKUP($E$45,[1]QUART!$A$2:$FA$315, 48, FALSE)="",":",VLOOKUP($E$45,[1]QUART!$A$2:$FA$315, 48, FALSE))</f>
        <v>:</v>
      </c>
      <c r="AX45" s="544" t="str">
        <f>IF(VLOOKUP($E$45,[1]QUART!$A$2:$FA$315, 49, FALSE)="",":",VLOOKUP($E$45,[1]QUART!$A$2:$FA$315, 49, FALSE))</f>
        <v>:</v>
      </c>
      <c r="AY45" s="544" t="str">
        <f>IF(VLOOKUP($E$45,[1]QUART!$A$2:$FA$315, 50, FALSE)="",":",VLOOKUP($E$45,[1]QUART!$A$2:$FA$315, 50, FALSE))</f>
        <v>:</v>
      </c>
      <c r="AZ45" s="544" t="str">
        <f>IF(VLOOKUP($E$45,[1]QUART!$A$2:$FA$315, 51, FALSE)="",":",VLOOKUP($E$45,[1]QUART!$A$2:$FA$315, 51, FALSE))</f>
        <v>:</v>
      </c>
      <c r="BA45" s="544" t="str">
        <f>IF(VLOOKUP($E$45,[1]QUART!$A$2:$FA$315, 52, FALSE)="",":",VLOOKUP($E$45,[1]QUART!$A$2:$FA$315, 52, FALSE))</f>
        <v>:</v>
      </c>
      <c r="BB45" s="544" t="str">
        <f>IF(VLOOKUP($E$45,[1]QUART!$A$2:$FA$315, 53, FALSE)="",":",VLOOKUP($E$45,[1]QUART!$A$2:$FA$315, 53, FALSE))</f>
        <v>:</v>
      </c>
      <c r="BC45" s="544" t="str">
        <f>IF(VLOOKUP($E$45,[1]QUART!$A$2:$FA$315, 54, FALSE)="",":",VLOOKUP($E$45,[1]QUART!$A$2:$FA$315, 54, FALSE))</f>
        <v>:</v>
      </c>
      <c r="BD45" s="544" t="str">
        <f>IF(VLOOKUP($E$45,[1]QUART!$A$2:$FA$315, 55, FALSE)="",":",VLOOKUP($E$45,[1]QUART!$A$2:$FA$315, 55, FALSE))</f>
        <v>:</v>
      </c>
      <c r="BE45" s="544" t="str">
        <f>IF(VLOOKUP($E$45,[1]QUART!$A$2:$FA$315, 56, FALSE)="",":",VLOOKUP($E$45,[1]QUART!$A$2:$FA$315, 56, FALSE))</f>
        <v>:</v>
      </c>
      <c r="BF45" s="544" t="str">
        <f>IF(VLOOKUP($E$45,[1]QUART!$A$2:$FA$315, 57, FALSE)="",":",VLOOKUP($E$45,[1]QUART!$A$2:$FA$315, 57, FALSE))</f>
        <v>:</v>
      </c>
      <c r="BG45" s="544" t="str">
        <f>IF(VLOOKUP($E$45,[1]QUART!$A$2:$FA$315, 58, FALSE)="",":",VLOOKUP($E$45,[1]QUART!$A$2:$FA$315, 58, FALSE))</f>
        <v>:</v>
      </c>
      <c r="BH45" s="544" t="str">
        <f>IF(VLOOKUP($E$45,[1]QUART!$A$2:$FA$315, 59, FALSE)="",":",VLOOKUP($E$45,[1]QUART!$A$2:$FA$315, 59, FALSE))</f>
        <v>:</v>
      </c>
      <c r="BI45" s="544" t="str">
        <f>IF(VLOOKUP($E$45,[1]QUART!$A$2:$FA$315, 60, FALSE)="",":",VLOOKUP($E$45,[1]QUART!$A$2:$FA$315, 60, FALSE))</f>
        <v>:</v>
      </c>
      <c r="BJ45" s="544" t="str">
        <f>IF(VLOOKUP($E$45,[1]QUART!$A$2:$FA$315, 61, FALSE)="",":",VLOOKUP($E$45,[1]QUART!$A$2:$FA$315, 61, FALSE))</f>
        <v>:</v>
      </c>
      <c r="BK45" s="544" t="str">
        <f>IF(VLOOKUP($E$45,[1]QUART!$A$2:$FA$315, 62, FALSE)="",":",VLOOKUP($E$45,[1]QUART!$A$2:$FA$315, 62, FALSE))</f>
        <v>:</v>
      </c>
      <c r="BL45" s="544" t="str">
        <f>IF(VLOOKUP($E$45,[1]QUART!$A$2:$FA$315, 63, FALSE)="",":",VLOOKUP($E$45,[1]QUART!$A$2:$FA$315, 63, FALSE))</f>
        <v>:</v>
      </c>
      <c r="BM45" s="544" t="str">
        <f>IF(VLOOKUP($E$45,[1]QUART!$A$2:$FA$315, 64, FALSE)="",":",VLOOKUP($E$45,[1]QUART!$A$2:$FA$315, 64, FALSE))</f>
        <v>:</v>
      </c>
      <c r="BN45" s="544" t="str">
        <f>IF(VLOOKUP($E$45,[1]QUART!$A$2:$FA$315, 65, FALSE)="",":",VLOOKUP($E$45,[1]QUART!$A$2:$FA$315, 65, FALSE))</f>
        <v>:</v>
      </c>
      <c r="BO45" s="544" t="str">
        <f>IF(VLOOKUP($E$45,[1]QUART!$A$2:$FA$315, 66, FALSE)="",":",VLOOKUP($E$45,[1]QUART!$A$2:$FA$315, 66, FALSE))</f>
        <v>:</v>
      </c>
      <c r="BP45" s="544" t="str">
        <f>IF(VLOOKUP($E$45,[1]QUART!$A$2:$FA$315, 67, FALSE)="",":",VLOOKUP($E$45,[1]QUART!$A$2:$FA$315, 67, FALSE))</f>
        <v>:</v>
      </c>
      <c r="BQ45" s="544" t="str">
        <f>IF(VLOOKUP($E$45,[1]QUART!$A$2:$FA$315, 68, FALSE)="",":",VLOOKUP($E$45,[1]QUART!$A$2:$FA$315, 68, FALSE))</f>
        <v>:</v>
      </c>
      <c r="BR45" s="544" t="str">
        <f>IF(VLOOKUP($E$45,[1]QUART!$A$2:$FA$315, 69, FALSE)="",":",VLOOKUP($E$45,[1]QUART!$A$2:$FA$315, 69, FALSE))</f>
        <v>:</v>
      </c>
      <c r="BS45" s="544" t="str">
        <f>IF(VLOOKUP($E$45,[1]QUART!$A$2:$FA$315, 70, FALSE)="",":",VLOOKUP($E$45,[1]QUART!$A$2:$FA$315, 70, FALSE))</f>
        <v>:</v>
      </c>
      <c r="BT45" s="544" t="str">
        <f>IF(VLOOKUP($E$45,[1]QUART!$A$2:$FA$315, 71, FALSE)="",":",VLOOKUP($E$45,[1]QUART!$A$2:$FA$315, 71, FALSE))</f>
        <v>:</v>
      </c>
      <c r="BU45" s="544" t="str">
        <f>IF(VLOOKUP($E$45,[1]QUART!$A$2:$FA$315, 72, FALSE)="",":",VLOOKUP($E$45,[1]QUART!$A$2:$FA$315, 72, FALSE))</f>
        <v>:</v>
      </c>
      <c r="BV45" s="544" t="str">
        <f>IF(VLOOKUP($E$45,[1]QUART!$A$2:$FA$315, 73, FALSE)="",":",VLOOKUP($E$45,[1]QUART!$A$2:$FA$315, 73, FALSE))</f>
        <v>:</v>
      </c>
      <c r="BW45" s="544" t="str">
        <f>IF(VLOOKUP($E$45,[1]QUART!$A$2:$FA$315, 74, FALSE)="",":",VLOOKUP($E$45,[1]QUART!$A$2:$FA$315, 74, FALSE))</f>
        <v>:</v>
      </c>
      <c r="BX45" s="544" t="str">
        <f>IF(VLOOKUP($E$45,[1]QUART!$A$2:$FA$315, 75, FALSE)="",":",VLOOKUP($E$45,[1]QUART!$A$2:$FA$315, 75, FALSE))</f>
        <v>:</v>
      </c>
      <c r="BY45" s="544" t="str">
        <f>IF(VLOOKUP($E$45,[1]QUART!$A$2:$FA$315, 76, FALSE)="",":",VLOOKUP($E$45,[1]QUART!$A$2:$FA$315, 76, FALSE))</f>
        <v>:</v>
      </c>
      <c r="BZ45" s="544" t="str">
        <f>IF(VLOOKUP($E$45,[1]QUART!$A$2:$FA$315, 77, FALSE)="",":",VLOOKUP($E$45,[1]QUART!$A$2:$FA$315, 77, FALSE))</f>
        <v>:</v>
      </c>
      <c r="CA45" s="544" t="str">
        <f>IF(VLOOKUP($E$45,[1]QUART!$A$2:$FA$315, 78, FALSE)="",":",VLOOKUP($E$45,[1]QUART!$A$2:$FA$315, 78, FALSE))</f>
        <v>:</v>
      </c>
      <c r="CB45" s="544" t="str">
        <f>IF(VLOOKUP($E$45,[1]QUART!$A$2:$FA$315, 79, FALSE)="",":",VLOOKUP($E$45,[1]QUART!$A$2:$FA$315, 79, FALSE))</f>
        <v>:</v>
      </c>
      <c r="CC45" s="544" t="str">
        <f>IF(VLOOKUP($E$45,[1]QUART!$A$2:$FA$315, 80, FALSE)="",":",VLOOKUP($E$45,[1]QUART!$A$2:$FA$315, 80, FALSE))</f>
        <v>:</v>
      </c>
      <c r="CD45" s="544" t="str">
        <f>IF(VLOOKUP($E$45,[1]QUART!$A$2:$FA$315, 81, FALSE)="",":",VLOOKUP($E$45,[1]QUART!$A$2:$FA$315, 81, FALSE))</f>
        <v>:</v>
      </c>
      <c r="CE45" s="544" t="str">
        <f>IF(VLOOKUP($E$45,[1]QUART!$A$2:$FA$315, 82, FALSE)="",":",VLOOKUP($E$45,[1]QUART!$A$2:$FA$315, 82, FALSE))</f>
        <v>:</v>
      </c>
      <c r="CF45" s="544" t="str">
        <f>IF(VLOOKUP($E$45,[1]QUART!$A$2:$FA$315, 83, FALSE)="",":",VLOOKUP($E$45,[1]QUART!$A$2:$FA$315, 83, FALSE))</f>
        <v>:</v>
      </c>
      <c r="CG45" s="544" t="str">
        <f>IF(VLOOKUP($E$45,[1]QUART!$A$2:$FA$315, 84, FALSE)="",":",VLOOKUP($E$45,[1]QUART!$A$2:$FA$315, 84, FALSE))</f>
        <v>:</v>
      </c>
      <c r="CH45" s="544" t="str">
        <f>IF(VLOOKUP($E$45,[1]QUART!$A$2:$FA$315, 85, FALSE)="",":",VLOOKUP($E$45,[1]QUART!$A$2:$FA$315, 85, FALSE))</f>
        <v>:</v>
      </c>
      <c r="CI45" s="544" t="str">
        <f>IF(VLOOKUP($E$45,[1]QUART!$A$2:$FA$315, 86, FALSE)="",":",VLOOKUP($E$45,[1]QUART!$A$2:$FA$315, 86, FALSE))</f>
        <v>:</v>
      </c>
      <c r="CJ45" s="544" t="str">
        <f>IF(VLOOKUP($E$45,[1]QUART!$A$2:$FA$315, 87, FALSE)="",":",VLOOKUP($E$45,[1]QUART!$A$2:$FA$315, 87, FALSE))</f>
        <v>:</v>
      </c>
      <c r="CK45" s="544" t="str">
        <f>IF(VLOOKUP($E$45,[1]QUART!$A$2:$FA$315, 88, FALSE)="",":",VLOOKUP($E$45,[1]QUART!$A$2:$FA$315, 88, FALSE))</f>
        <v>:</v>
      </c>
      <c r="CL45" s="544" t="str">
        <f>IF(VLOOKUP($E$45,[1]QUART!$A$2:$FA$315, 89, FALSE)="",":",VLOOKUP($E$45,[1]QUART!$A$2:$FA$315, 89, FALSE))</f>
        <v>:</v>
      </c>
      <c r="CM45" s="544" t="str">
        <f>IF(VLOOKUP($E$45,[1]QUART!$A$2:$FA$315, 90, FALSE)="",":",VLOOKUP($E$45,[1]QUART!$A$2:$FA$315, 90, FALSE))</f>
        <v>:</v>
      </c>
      <c r="CN45" s="544" t="str">
        <f>IF(VLOOKUP($E$45,[1]QUART!$A$2:$FA$315, 91, FALSE)="",":",VLOOKUP($E$45,[1]QUART!$A$2:$FA$315, 91, FALSE))</f>
        <v>:</v>
      </c>
      <c r="CO45" s="544" t="str">
        <f>IF(VLOOKUP($E$45,[1]QUART!$A$2:$FA$315, 92, FALSE)="",":",VLOOKUP($E$45,[1]QUART!$A$2:$FA$315, 92, FALSE))</f>
        <v>:</v>
      </c>
      <c r="CP45" s="544" t="str">
        <f>IF(VLOOKUP($E$45,[1]QUART!$A$2:$FA$315, 93, FALSE)="",":",VLOOKUP($E$45,[1]QUART!$A$2:$FA$315, 93, FALSE))</f>
        <v>:</v>
      </c>
      <c r="CQ45" s="544" t="str">
        <f>IF(VLOOKUP($E$45,[1]QUART!$A$2:$FA$315, 94, FALSE)="",":",VLOOKUP($E$45,[1]QUART!$A$2:$FA$315, 94, FALSE))</f>
        <v>:</v>
      </c>
      <c r="CR45" s="544" t="str">
        <f>IF(VLOOKUP($E$45,[1]QUART!$A$2:$FA$315, 95, FALSE)="",":",VLOOKUP($E$45,[1]QUART!$A$2:$FA$315, 95, FALSE))</f>
        <v>:</v>
      </c>
      <c r="CS45" s="544" t="str">
        <f>IF(VLOOKUP($E$45,[1]QUART!$A$2:$FA$315, 96, FALSE)="",":",VLOOKUP($E$45,[1]QUART!$A$2:$FA$315, 96, FALSE))</f>
        <v>:</v>
      </c>
      <c r="CT45" s="544" t="str">
        <f>IF(VLOOKUP($E$45,[1]QUART!$A$2:$FA$315, 97, FALSE)="",":",VLOOKUP($E$45,[1]QUART!$A$2:$FA$315, 97, FALSE))</f>
        <v>:</v>
      </c>
      <c r="CU45" s="544" t="str">
        <f>IF(VLOOKUP($E$45,[1]QUART!$A$2:$FA$315, 98, FALSE)="",":",VLOOKUP($E$45,[1]QUART!$A$2:$FA$315, 98, FALSE))</f>
        <v>:</v>
      </c>
      <c r="CV45" s="544" t="str">
        <f>IF(VLOOKUP($E$45,[1]QUART!$A$2:$FA$315, 99, FALSE)="",":",VLOOKUP($E$45,[1]QUART!$A$2:$FA$315, 99, FALSE))</f>
        <v>:</v>
      </c>
      <c r="CW45" s="544" t="str">
        <f>IF(VLOOKUP($E$45,[1]QUART!$A$2:$FA$315, 100, FALSE)="",":",VLOOKUP($E$45,[1]QUART!$A$2:$FA$315, 100, FALSE))</f>
        <v>:</v>
      </c>
      <c r="CX45" s="544" t="str">
        <f>IF(VLOOKUP($E$45,[1]QUART!$A$2:$FA$315, 101, FALSE)="",":",VLOOKUP($E$45,[1]QUART!$A$2:$FA$315, 101, FALSE))</f>
        <v>:</v>
      </c>
      <c r="CY45" s="544" t="str">
        <f>IF(VLOOKUP($E$45,[1]QUART!$A$2:$FA$315, 102, FALSE)="",":",VLOOKUP($E$45,[1]QUART!$A$2:$FA$315, 102, FALSE))</f>
        <v>:</v>
      </c>
      <c r="CZ45" s="544" t="str">
        <f>IF(VLOOKUP($E$45,[1]QUART!$A$2:$FA$315, 103, FALSE)="",":",VLOOKUP($E$45,[1]QUART!$A$2:$FA$315, 103, FALSE))</f>
        <v>:</v>
      </c>
      <c r="DA45" s="544" t="str">
        <f>IF(VLOOKUP($E$45,[1]QUART!$A$2:$FA$315, 104, FALSE)="",":",VLOOKUP($E$45,[1]QUART!$A$2:$FA$315, 104, FALSE))</f>
        <v>:</v>
      </c>
      <c r="DB45" s="544" t="str">
        <f>IF(VLOOKUP($E$45,[1]QUART!$A$2:$FA$315, 105, FALSE)="",":",VLOOKUP($E$45,[1]QUART!$A$2:$FA$315, 105, FALSE))</f>
        <v>:</v>
      </c>
      <c r="DC45" s="544" t="str">
        <f>IF(VLOOKUP($E$45,[1]QUART!$A$2:$FA$315, 106, FALSE)="",":",VLOOKUP($E$45,[1]QUART!$A$2:$FA$315, 106, FALSE))</f>
        <v>:</v>
      </c>
    </row>
    <row r="46" spans="1:107">
      <c r="A46" s="1954"/>
      <c r="B46" s="534"/>
      <c r="C46" s="535"/>
      <c r="D46" s="12" t="s">
        <v>1841</v>
      </c>
      <c r="E46" s="13">
        <v>112</v>
      </c>
      <c r="F46" s="14" t="str">
        <f>VLOOKUP($E$46,[1]QUART!$A$2:$FA$315, 3, FALSE)</f>
        <v>112 Gross capital formation (incl. Inventories)</v>
      </c>
      <c r="G46" s="544" t="str">
        <f>IF(VLOOKUP($E$46,[1]QUART!$A$2:$FA$315, 6, FALSE)="",":",VLOOKUP($E$46,[1]QUART!$A$2:$FA$315, 6, FALSE))</f>
        <v>:</v>
      </c>
      <c r="H46" s="544" t="str">
        <f>IF(VLOOKUP($E$46,[1]QUART!$A$2:$FA$315, 7, FALSE)="",":",VLOOKUP($E$46,[1]QUART!$A$2:$FA$315, 7, FALSE))</f>
        <v>:</v>
      </c>
      <c r="I46" s="544" t="str">
        <f>IF(VLOOKUP($E$46,[1]QUART!$A$2:$FA$315, 8, FALSE)="",":",VLOOKUP($E$46,[1]QUART!$A$2:$FA$315, 8, FALSE))</f>
        <v>:</v>
      </c>
      <c r="J46" s="544" t="str">
        <f>IF(VLOOKUP($E$46,[1]QUART!$A$2:$FA$315, 9, FALSE)="",":",VLOOKUP($E$46,[1]QUART!$A$2:$FA$315, 9, FALSE))</f>
        <v>:</v>
      </c>
      <c r="K46" s="544" t="str">
        <f>IF(VLOOKUP($E$46,[1]QUART!$A$2:$FA$315, 10, FALSE)="",":",VLOOKUP($E$46,[1]QUART!$A$2:$FA$315, 10, FALSE))</f>
        <v>:</v>
      </c>
      <c r="L46" s="544" t="str">
        <f>IF(VLOOKUP($E$46,[1]QUART!$A$2:$FA$315, 11, FALSE)="",":",VLOOKUP($E$46,[1]QUART!$A$2:$FA$315, 11, FALSE))</f>
        <v>:</v>
      </c>
      <c r="M46" s="544" t="str">
        <f>IF(VLOOKUP($E$46,[1]QUART!$A$2:$FA$315, 12, FALSE)="",":",VLOOKUP($E$46,[1]QUART!$A$2:$FA$315, 12, FALSE))</f>
        <v>:</v>
      </c>
      <c r="N46" s="544" t="str">
        <f>IF(VLOOKUP($E$46,[1]QUART!$A$2:$FA$315, 13, FALSE)="",":",VLOOKUP($E$46,[1]QUART!$A$2:$FA$315, 13, FALSE))</f>
        <v>:</v>
      </c>
      <c r="O46" s="544" t="str">
        <f>IF(VLOOKUP($E$46,[1]QUART!$A$2:$FA$315, 14, FALSE)="",":",VLOOKUP($E$46,[1]QUART!$A$2:$FA$315, 14, FALSE))</f>
        <v>:</v>
      </c>
      <c r="P46" s="544" t="str">
        <f>IF(VLOOKUP($E$46,[1]QUART!$A$2:$FA$315, 15, FALSE)="",":",VLOOKUP($E$46,[1]QUART!$A$2:$FA$315, 15, FALSE))</f>
        <v>:</v>
      </c>
      <c r="Q46" s="544" t="str">
        <f>IF(VLOOKUP($E$46,[1]QUART!$A$2:$FA$315, 16, FALSE)="",":",VLOOKUP($E$46,[1]QUART!$A$2:$FA$315, 16, FALSE))</f>
        <v>:</v>
      </c>
      <c r="R46" s="544" t="str">
        <f>IF(VLOOKUP($E$46,[1]QUART!$A$2:$FA$315, 17, FALSE)="",":",VLOOKUP($E$46,[1]QUART!$A$2:$FA$315, 17, FALSE))</f>
        <v>:</v>
      </c>
      <c r="S46" s="544" t="str">
        <f>IF(VLOOKUP($E$46,[1]QUART!$A$2:$FA$315, 18, FALSE)="",":",VLOOKUP($E$46,[1]QUART!$A$2:$FA$315, 18, FALSE))</f>
        <v>:</v>
      </c>
      <c r="T46" s="544" t="str">
        <f>IF(VLOOKUP($E$46,[1]QUART!$A$2:$FA$315, 19, FALSE)="",":",VLOOKUP($E$46,[1]QUART!$A$2:$FA$315, 19, FALSE))</f>
        <v>:</v>
      </c>
      <c r="U46" s="544" t="str">
        <f>IF(VLOOKUP($E$46,[1]QUART!$A$2:$FA$315, 20, FALSE)="",":",VLOOKUP($E$46,[1]QUART!$A$2:$FA$315, 20, FALSE))</f>
        <v>:</v>
      </c>
      <c r="V46" s="544" t="str">
        <f>IF(VLOOKUP($E$46,[1]QUART!$A$2:$FA$315, 21, FALSE)="",":",VLOOKUP($E$46,[1]QUART!$A$2:$FA$315, 21, FALSE))</f>
        <v>:</v>
      </c>
      <c r="W46" s="544" t="str">
        <f>IF(VLOOKUP($E$46,[1]QUART!$A$2:$FA$315, 22, FALSE)="",":",VLOOKUP($E$46,[1]QUART!$A$2:$FA$315, 22, FALSE))</f>
        <v>:</v>
      </c>
      <c r="X46" s="544" t="str">
        <f>IF(VLOOKUP($E$46,[1]QUART!$A$2:$FA$315, 23, FALSE)="",":",VLOOKUP($E$46,[1]QUART!$A$2:$FA$315, 23, FALSE))</f>
        <v>:</v>
      </c>
      <c r="Y46" s="544" t="str">
        <f>IF(VLOOKUP($E$46,[1]QUART!$A$2:$FA$315, 24, FALSE)="",":",VLOOKUP($E$46,[1]QUART!$A$2:$FA$315, 24, FALSE))</f>
        <v>:</v>
      </c>
      <c r="Z46" s="544" t="str">
        <f>IF(VLOOKUP($E$46,[1]QUART!$A$2:$FA$315, 25, FALSE)="",":",VLOOKUP($E$46,[1]QUART!$A$2:$FA$315, 25, FALSE))</f>
        <v>:</v>
      </c>
      <c r="AA46" s="544" t="str">
        <f>IF(VLOOKUP($E$46,[1]QUART!$A$2:$FA$315, 26, FALSE)="",":",VLOOKUP($E$46,[1]QUART!$A$2:$FA$315, 26, FALSE))</f>
        <v>:</v>
      </c>
      <c r="AB46" s="544" t="str">
        <f>IF(VLOOKUP($E$46,[1]QUART!$A$2:$FA$315, 27, FALSE)="",":",VLOOKUP($E$46,[1]QUART!$A$2:$FA$315, 27, FALSE))</f>
        <v>:</v>
      </c>
      <c r="AC46" s="544" t="str">
        <f>IF(VLOOKUP($E$46,[1]QUART!$A$2:$FA$315, 28, FALSE)="",":",VLOOKUP($E$46,[1]QUART!$A$2:$FA$315, 28, FALSE))</f>
        <v>:</v>
      </c>
      <c r="AD46" s="544" t="str">
        <f>IF(VLOOKUP($E$46,[1]QUART!$A$2:$FA$315, 29, FALSE)="",":",VLOOKUP($E$46,[1]QUART!$A$2:$FA$315, 29, FALSE))</f>
        <v>:</v>
      </c>
      <c r="AE46" s="544" t="str">
        <f>IF(VLOOKUP($E$46,[1]QUART!$A$2:$FA$315, 30, FALSE)="",":",VLOOKUP($E$46,[1]QUART!$A$2:$FA$315, 30, FALSE))</f>
        <v>:</v>
      </c>
      <c r="AF46" s="544" t="str">
        <f>IF(VLOOKUP($E$46,[1]QUART!$A$2:$FA$315, 31, FALSE)="",":",VLOOKUP($E$46,[1]QUART!$A$2:$FA$315, 31, FALSE))</f>
        <v>:</v>
      </c>
      <c r="AG46" s="544" t="str">
        <f>IF(VLOOKUP($E$46,[1]QUART!$A$2:$FA$315, 32, FALSE)="",":",VLOOKUP($E$46,[1]QUART!$A$2:$FA$315, 32, FALSE))</f>
        <v>:</v>
      </c>
      <c r="AH46" s="544" t="str">
        <f>IF(VLOOKUP($E$46,[1]QUART!$A$2:$FA$315, 33, FALSE)="",":",VLOOKUP($E$46,[1]QUART!$A$2:$FA$315, 33, FALSE))</f>
        <v>:</v>
      </c>
      <c r="AI46" s="544" t="str">
        <f>IF(VLOOKUP($E$46,[1]QUART!$A$2:$FA$315, 34, FALSE)="",":",VLOOKUP($E$46,[1]QUART!$A$2:$FA$315, 34, FALSE))</f>
        <v>:</v>
      </c>
      <c r="AJ46" s="544" t="str">
        <f>IF(VLOOKUP($E$46,[1]QUART!$A$2:$FA$315, 35, FALSE)="",":",VLOOKUP($E$46,[1]QUART!$A$2:$FA$315, 35, FALSE))</f>
        <v>:</v>
      </c>
      <c r="AK46" s="544" t="str">
        <f>IF(VLOOKUP($E$46,[1]QUART!$A$2:$FA$315, 36, FALSE)="",":",VLOOKUP($E$46,[1]QUART!$A$2:$FA$315, 36, FALSE))</f>
        <v>:</v>
      </c>
      <c r="AL46" s="544" t="str">
        <f>IF(VLOOKUP($E$46,[1]QUART!$A$2:$FA$315, 37, FALSE)="",":",VLOOKUP($E$46,[1]QUART!$A$2:$FA$315, 37, FALSE))</f>
        <v>:</v>
      </c>
      <c r="AM46" s="544" t="str">
        <f>IF(VLOOKUP($E$46,[1]QUART!$A$2:$FA$315, 38, FALSE)="",":",VLOOKUP($E$46,[1]QUART!$A$2:$FA$315, 38, FALSE))</f>
        <v>:</v>
      </c>
      <c r="AN46" s="544" t="str">
        <f>IF(VLOOKUP($E$46,[1]QUART!$A$2:$FA$315, 39, FALSE)="",":",VLOOKUP($E$46,[1]QUART!$A$2:$FA$315, 39, FALSE))</f>
        <v>:</v>
      </c>
      <c r="AO46" s="544" t="str">
        <f>IF(VLOOKUP($E$46,[1]QUART!$A$2:$FA$315, 40, FALSE)="",":",VLOOKUP($E$46,[1]QUART!$A$2:$FA$315, 40, FALSE))</f>
        <v>:</v>
      </c>
      <c r="AP46" s="544" t="str">
        <f>IF(VLOOKUP($E$46,[1]QUART!$A$2:$FA$315, 41, FALSE)="",":",VLOOKUP($E$46,[1]QUART!$A$2:$FA$315, 41, FALSE))</f>
        <v>:</v>
      </c>
      <c r="AQ46" s="544" t="str">
        <f>IF(VLOOKUP($E$46,[1]QUART!$A$2:$FA$315, 42, FALSE)="",":",VLOOKUP($E$46,[1]QUART!$A$2:$FA$315, 42, FALSE))</f>
        <v>:</v>
      </c>
      <c r="AR46" s="544" t="str">
        <f>IF(VLOOKUP($E$46,[1]QUART!$A$2:$FA$315, 43, FALSE)="",":",VLOOKUP($E$46,[1]QUART!$A$2:$FA$315, 43, FALSE))</f>
        <v>:</v>
      </c>
      <c r="AS46" s="544" t="str">
        <f>IF(VLOOKUP($E$46,[1]QUART!$A$2:$FA$315, 44, FALSE)="",":",VLOOKUP($E$46,[1]QUART!$A$2:$FA$315, 44, FALSE))</f>
        <v>:</v>
      </c>
      <c r="AT46" s="544" t="str">
        <f>IF(VLOOKUP($E$46,[1]QUART!$A$2:$FA$315, 45, FALSE)="",":",VLOOKUP($E$46,[1]QUART!$A$2:$FA$315, 45, FALSE))</f>
        <v>:</v>
      </c>
      <c r="AU46" s="544" t="str">
        <f>IF(VLOOKUP($E$46,[1]QUART!$A$2:$FA$315, 46, FALSE)="",":",VLOOKUP($E$46,[1]QUART!$A$2:$FA$315, 46, FALSE))</f>
        <v>:</v>
      </c>
      <c r="AV46" s="544" t="str">
        <f>IF(VLOOKUP($E$46,[1]QUART!$A$2:$FA$315, 47, FALSE)="",":",VLOOKUP($E$46,[1]QUART!$A$2:$FA$315, 47, FALSE))</f>
        <v>:</v>
      </c>
      <c r="AW46" s="544" t="str">
        <f>IF(VLOOKUP($E$46,[1]QUART!$A$2:$FA$315, 48, FALSE)="",":",VLOOKUP($E$46,[1]QUART!$A$2:$FA$315, 48, FALSE))</f>
        <v>:</v>
      </c>
      <c r="AX46" s="544" t="str">
        <f>IF(VLOOKUP($E$46,[1]QUART!$A$2:$FA$315, 49, FALSE)="",":",VLOOKUP($E$46,[1]QUART!$A$2:$FA$315, 49, FALSE))</f>
        <v>:</v>
      </c>
      <c r="AY46" s="544" t="str">
        <f>IF(VLOOKUP($E$46,[1]QUART!$A$2:$FA$315, 50, FALSE)="",":",VLOOKUP($E$46,[1]QUART!$A$2:$FA$315, 50, FALSE))</f>
        <v>:</v>
      </c>
      <c r="AZ46" s="544" t="str">
        <f>IF(VLOOKUP($E$46,[1]QUART!$A$2:$FA$315, 51, FALSE)="",":",VLOOKUP($E$46,[1]QUART!$A$2:$FA$315, 51, FALSE))</f>
        <v>:</v>
      </c>
      <c r="BA46" s="544" t="str">
        <f>IF(VLOOKUP($E$46,[1]QUART!$A$2:$FA$315, 52, FALSE)="",":",VLOOKUP($E$46,[1]QUART!$A$2:$FA$315, 52, FALSE))</f>
        <v>:</v>
      </c>
      <c r="BB46" s="544" t="str">
        <f>IF(VLOOKUP($E$46,[1]QUART!$A$2:$FA$315, 53, FALSE)="",":",VLOOKUP($E$46,[1]QUART!$A$2:$FA$315, 53, FALSE))</f>
        <v>:</v>
      </c>
      <c r="BC46" s="544" t="str">
        <f>IF(VLOOKUP($E$46,[1]QUART!$A$2:$FA$315, 54, FALSE)="",":",VLOOKUP($E$46,[1]QUART!$A$2:$FA$315, 54, FALSE))</f>
        <v>:</v>
      </c>
      <c r="BD46" s="544" t="str">
        <f>IF(VLOOKUP($E$46,[1]QUART!$A$2:$FA$315, 55, FALSE)="",":",VLOOKUP($E$46,[1]QUART!$A$2:$FA$315, 55, FALSE))</f>
        <v>:</v>
      </c>
      <c r="BE46" s="544" t="str">
        <f>IF(VLOOKUP($E$46,[1]QUART!$A$2:$FA$315, 56, FALSE)="",":",VLOOKUP($E$46,[1]QUART!$A$2:$FA$315, 56, FALSE))</f>
        <v>:</v>
      </c>
      <c r="BF46" s="544" t="str">
        <f>IF(VLOOKUP($E$46,[1]QUART!$A$2:$FA$315, 57, FALSE)="",":",VLOOKUP($E$46,[1]QUART!$A$2:$FA$315, 57, FALSE))</f>
        <v>:</v>
      </c>
      <c r="BG46" s="544" t="str">
        <f>IF(VLOOKUP($E$46,[1]QUART!$A$2:$FA$315, 58, FALSE)="",":",VLOOKUP($E$46,[1]QUART!$A$2:$FA$315, 58, FALSE))</f>
        <v>:</v>
      </c>
      <c r="BH46" s="544" t="str">
        <f>IF(VLOOKUP($E$46,[1]QUART!$A$2:$FA$315, 59, FALSE)="",":",VLOOKUP($E$46,[1]QUART!$A$2:$FA$315, 59, FALSE))</f>
        <v>:</v>
      </c>
      <c r="BI46" s="544" t="str">
        <f>IF(VLOOKUP($E$46,[1]QUART!$A$2:$FA$315, 60, FALSE)="",":",VLOOKUP($E$46,[1]QUART!$A$2:$FA$315, 60, FALSE))</f>
        <v>:</v>
      </c>
      <c r="BJ46" s="544" t="str">
        <f>IF(VLOOKUP($E$46,[1]QUART!$A$2:$FA$315, 61, FALSE)="",":",VLOOKUP($E$46,[1]QUART!$A$2:$FA$315, 61, FALSE))</f>
        <v>:</v>
      </c>
      <c r="BK46" s="544" t="str">
        <f>IF(VLOOKUP($E$46,[1]QUART!$A$2:$FA$315, 62, FALSE)="",":",VLOOKUP($E$46,[1]QUART!$A$2:$FA$315, 62, FALSE))</f>
        <v>:</v>
      </c>
      <c r="BL46" s="544" t="str">
        <f>IF(VLOOKUP($E$46,[1]QUART!$A$2:$FA$315, 63, FALSE)="",":",VLOOKUP($E$46,[1]QUART!$A$2:$FA$315, 63, FALSE))</f>
        <v>:</v>
      </c>
      <c r="BM46" s="544" t="str">
        <f>IF(VLOOKUP($E$46,[1]QUART!$A$2:$FA$315, 64, FALSE)="",":",VLOOKUP($E$46,[1]QUART!$A$2:$FA$315, 64, FALSE))</f>
        <v>:</v>
      </c>
      <c r="BN46" s="544" t="str">
        <f>IF(VLOOKUP($E$46,[1]QUART!$A$2:$FA$315, 65, FALSE)="",":",VLOOKUP($E$46,[1]QUART!$A$2:$FA$315, 65, FALSE))</f>
        <v>:</v>
      </c>
      <c r="BO46" s="544" t="str">
        <f>IF(VLOOKUP($E$46,[1]QUART!$A$2:$FA$315, 66, FALSE)="",":",VLOOKUP($E$46,[1]QUART!$A$2:$FA$315, 66, FALSE))</f>
        <v>:</v>
      </c>
      <c r="BP46" s="544" t="str">
        <f>IF(VLOOKUP($E$46,[1]QUART!$A$2:$FA$315, 67, FALSE)="",":",VLOOKUP($E$46,[1]QUART!$A$2:$FA$315, 67, FALSE))</f>
        <v>:</v>
      </c>
      <c r="BQ46" s="544" t="str">
        <f>IF(VLOOKUP($E$46,[1]QUART!$A$2:$FA$315, 68, FALSE)="",":",VLOOKUP($E$46,[1]QUART!$A$2:$FA$315, 68, FALSE))</f>
        <v>:</v>
      </c>
      <c r="BR46" s="544" t="str">
        <f>IF(VLOOKUP($E$46,[1]QUART!$A$2:$FA$315, 69, FALSE)="",":",VLOOKUP($E$46,[1]QUART!$A$2:$FA$315, 69, FALSE))</f>
        <v>:</v>
      </c>
      <c r="BS46" s="544" t="str">
        <f>IF(VLOOKUP($E$46,[1]QUART!$A$2:$FA$315, 70, FALSE)="",":",VLOOKUP($E$46,[1]QUART!$A$2:$FA$315, 70, FALSE))</f>
        <v>:</v>
      </c>
      <c r="BT46" s="544" t="str">
        <f>IF(VLOOKUP($E$46,[1]QUART!$A$2:$FA$315, 71, FALSE)="",":",VLOOKUP($E$46,[1]QUART!$A$2:$FA$315, 71, FALSE))</f>
        <v>:</v>
      </c>
      <c r="BU46" s="544" t="str">
        <f>IF(VLOOKUP($E$46,[1]QUART!$A$2:$FA$315, 72, FALSE)="",":",VLOOKUP($E$46,[1]QUART!$A$2:$FA$315, 72, FALSE))</f>
        <v>:</v>
      </c>
      <c r="BV46" s="544" t="str">
        <f>IF(VLOOKUP($E$46,[1]QUART!$A$2:$FA$315, 73, FALSE)="",":",VLOOKUP($E$46,[1]QUART!$A$2:$FA$315, 73, FALSE))</f>
        <v>:</v>
      </c>
      <c r="BW46" s="544" t="str">
        <f>IF(VLOOKUP($E$46,[1]QUART!$A$2:$FA$315, 74, FALSE)="",":",VLOOKUP($E$46,[1]QUART!$A$2:$FA$315, 74, FALSE))</f>
        <v>:</v>
      </c>
      <c r="BX46" s="544" t="str">
        <f>IF(VLOOKUP($E$46,[1]QUART!$A$2:$FA$315, 75, FALSE)="",":",VLOOKUP($E$46,[1]QUART!$A$2:$FA$315, 75, FALSE))</f>
        <v>:</v>
      </c>
      <c r="BY46" s="544" t="str">
        <f>IF(VLOOKUP($E$46,[1]QUART!$A$2:$FA$315, 76, FALSE)="",":",VLOOKUP($E$46,[1]QUART!$A$2:$FA$315, 76, FALSE))</f>
        <v>:</v>
      </c>
      <c r="BZ46" s="544" t="str">
        <f>IF(VLOOKUP($E$46,[1]QUART!$A$2:$FA$315, 77, FALSE)="",":",VLOOKUP($E$46,[1]QUART!$A$2:$FA$315, 77, FALSE))</f>
        <v>:</v>
      </c>
      <c r="CA46" s="544" t="str">
        <f>IF(VLOOKUP($E$46,[1]QUART!$A$2:$FA$315, 78, FALSE)="",":",VLOOKUP($E$46,[1]QUART!$A$2:$FA$315, 78, FALSE))</f>
        <v>:</v>
      </c>
      <c r="CB46" s="544" t="str">
        <f>IF(VLOOKUP($E$46,[1]QUART!$A$2:$FA$315, 79, FALSE)="",":",VLOOKUP($E$46,[1]QUART!$A$2:$FA$315, 79, FALSE))</f>
        <v>:</v>
      </c>
      <c r="CC46" s="544" t="str">
        <f>IF(VLOOKUP($E$46,[1]QUART!$A$2:$FA$315, 80, FALSE)="",":",VLOOKUP($E$46,[1]QUART!$A$2:$FA$315, 80, FALSE))</f>
        <v>:</v>
      </c>
      <c r="CD46" s="544" t="str">
        <f>IF(VLOOKUP($E$46,[1]QUART!$A$2:$FA$315, 81, FALSE)="",":",VLOOKUP($E$46,[1]QUART!$A$2:$FA$315, 81, FALSE))</f>
        <v>:</v>
      </c>
      <c r="CE46" s="544" t="str">
        <f>IF(VLOOKUP($E$46,[1]QUART!$A$2:$FA$315, 82, FALSE)="",":",VLOOKUP($E$46,[1]QUART!$A$2:$FA$315, 82, FALSE))</f>
        <v>:</v>
      </c>
      <c r="CF46" s="544" t="str">
        <f>IF(VLOOKUP($E$46,[1]QUART!$A$2:$FA$315, 83, FALSE)="",":",VLOOKUP($E$46,[1]QUART!$A$2:$FA$315, 83, FALSE))</f>
        <v>:</v>
      </c>
      <c r="CG46" s="544" t="str">
        <f>IF(VLOOKUP($E$46,[1]QUART!$A$2:$FA$315, 84, FALSE)="",":",VLOOKUP($E$46,[1]QUART!$A$2:$FA$315, 84, FALSE))</f>
        <v>:</v>
      </c>
      <c r="CH46" s="544" t="str">
        <f>IF(VLOOKUP($E$46,[1]QUART!$A$2:$FA$315, 85, FALSE)="",":",VLOOKUP($E$46,[1]QUART!$A$2:$FA$315, 85, FALSE))</f>
        <v>:</v>
      </c>
      <c r="CI46" s="544" t="str">
        <f>IF(VLOOKUP($E$46,[1]QUART!$A$2:$FA$315, 86, FALSE)="",":",VLOOKUP($E$46,[1]QUART!$A$2:$FA$315, 86, FALSE))</f>
        <v>:</v>
      </c>
      <c r="CJ46" s="544" t="str">
        <f>IF(VLOOKUP($E$46,[1]QUART!$A$2:$FA$315, 87, FALSE)="",":",VLOOKUP($E$46,[1]QUART!$A$2:$FA$315, 87, FALSE))</f>
        <v>:</v>
      </c>
      <c r="CK46" s="544" t="str">
        <f>IF(VLOOKUP($E$46,[1]QUART!$A$2:$FA$315, 88, FALSE)="",":",VLOOKUP($E$46,[1]QUART!$A$2:$FA$315, 88, FALSE))</f>
        <v>:</v>
      </c>
      <c r="CL46" s="544" t="str">
        <f>IF(VLOOKUP($E$46,[1]QUART!$A$2:$FA$315, 89, FALSE)="",":",VLOOKUP($E$46,[1]QUART!$A$2:$FA$315, 89, FALSE))</f>
        <v>:</v>
      </c>
      <c r="CM46" s="544" t="str">
        <f>IF(VLOOKUP($E$46,[1]QUART!$A$2:$FA$315, 90, FALSE)="",":",VLOOKUP($E$46,[1]QUART!$A$2:$FA$315, 90, FALSE))</f>
        <v>:</v>
      </c>
      <c r="CN46" s="544" t="str">
        <f>IF(VLOOKUP($E$46,[1]QUART!$A$2:$FA$315, 91, FALSE)="",":",VLOOKUP($E$46,[1]QUART!$A$2:$FA$315, 91, FALSE))</f>
        <v>:</v>
      </c>
      <c r="CO46" s="544" t="str">
        <f>IF(VLOOKUP($E$46,[1]QUART!$A$2:$FA$315, 92, FALSE)="",":",VLOOKUP($E$46,[1]QUART!$A$2:$FA$315, 92, FALSE))</f>
        <v>:</v>
      </c>
      <c r="CP46" s="544" t="str">
        <f>IF(VLOOKUP($E$46,[1]QUART!$A$2:$FA$315, 93, FALSE)="",":",VLOOKUP($E$46,[1]QUART!$A$2:$FA$315, 93, FALSE))</f>
        <v>:</v>
      </c>
      <c r="CQ46" s="544" t="str">
        <f>IF(VLOOKUP($E$46,[1]QUART!$A$2:$FA$315, 94, FALSE)="",":",VLOOKUP($E$46,[1]QUART!$A$2:$FA$315, 94, FALSE))</f>
        <v>:</v>
      </c>
      <c r="CR46" s="544" t="str">
        <f>IF(VLOOKUP($E$46,[1]QUART!$A$2:$FA$315, 95, FALSE)="",":",VLOOKUP($E$46,[1]QUART!$A$2:$FA$315, 95, FALSE))</f>
        <v>:</v>
      </c>
      <c r="CS46" s="544" t="str">
        <f>IF(VLOOKUP($E$46,[1]QUART!$A$2:$FA$315, 96, FALSE)="",":",VLOOKUP($E$46,[1]QUART!$A$2:$FA$315, 96, FALSE))</f>
        <v>:</v>
      </c>
      <c r="CT46" s="544" t="str">
        <f>IF(VLOOKUP($E$46,[1]QUART!$A$2:$FA$315, 97, FALSE)="",":",VLOOKUP($E$46,[1]QUART!$A$2:$FA$315, 97, FALSE))</f>
        <v>:</v>
      </c>
      <c r="CU46" s="544" t="str">
        <f>IF(VLOOKUP($E$46,[1]QUART!$A$2:$FA$315, 98, FALSE)="",":",VLOOKUP($E$46,[1]QUART!$A$2:$FA$315, 98, FALSE))</f>
        <v>:</v>
      </c>
      <c r="CV46" s="544" t="str">
        <f>IF(VLOOKUP($E$46,[1]QUART!$A$2:$FA$315, 99, FALSE)="",":",VLOOKUP($E$46,[1]QUART!$A$2:$FA$315, 99, FALSE))</f>
        <v>:</v>
      </c>
      <c r="CW46" s="544" t="str">
        <f>IF(VLOOKUP($E$46,[1]QUART!$A$2:$FA$315, 100, FALSE)="",":",VLOOKUP($E$46,[1]QUART!$A$2:$FA$315, 100, FALSE))</f>
        <v>:</v>
      </c>
      <c r="CX46" s="544" t="str">
        <f>IF(VLOOKUP($E$46,[1]QUART!$A$2:$FA$315, 101, FALSE)="",":",VLOOKUP($E$46,[1]QUART!$A$2:$FA$315, 101, FALSE))</f>
        <v>:</v>
      </c>
      <c r="CY46" s="544" t="str">
        <f>IF(VLOOKUP($E$46,[1]QUART!$A$2:$FA$315, 102, FALSE)="",":",VLOOKUP($E$46,[1]QUART!$A$2:$FA$315, 102, FALSE))</f>
        <v>:</v>
      </c>
      <c r="CZ46" s="544" t="str">
        <f>IF(VLOOKUP($E$46,[1]QUART!$A$2:$FA$315, 103, FALSE)="",":",VLOOKUP($E$46,[1]QUART!$A$2:$FA$315, 103, FALSE))</f>
        <v>:</v>
      </c>
      <c r="DA46" s="544" t="str">
        <f>IF(VLOOKUP($E$46,[1]QUART!$A$2:$FA$315, 104, FALSE)="",":",VLOOKUP($E$46,[1]QUART!$A$2:$FA$315, 104, FALSE))</f>
        <v>:</v>
      </c>
      <c r="DB46" s="544" t="str">
        <f>IF(VLOOKUP($E$46,[1]QUART!$A$2:$FA$315, 105, FALSE)="",":",VLOOKUP($E$46,[1]QUART!$A$2:$FA$315, 105, FALSE))</f>
        <v>:</v>
      </c>
      <c r="DC46" s="544" t="str">
        <f>IF(VLOOKUP($E$46,[1]QUART!$A$2:$FA$315, 106, FALSE)="",":",VLOOKUP($E$46,[1]QUART!$A$2:$FA$315, 106, FALSE))</f>
        <v>:</v>
      </c>
    </row>
    <row r="47" spans="1:107">
      <c r="A47" s="1954"/>
      <c r="B47" s="534"/>
      <c r="C47" s="535"/>
      <c r="D47" s="12" t="s">
        <v>1841</v>
      </c>
      <c r="E47" s="13">
        <v>113</v>
      </c>
      <c r="F47" s="14" t="str">
        <f>VLOOKUP($E$47,[1]QUART!$A$2:$FA$315, 3, FALSE)</f>
        <v xml:space="preserve">113  Exports of goods                              </v>
      </c>
      <c r="G47" s="544" t="str">
        <f>IF(VLOOKUP($E$47,[1]QUART!$A$2:$FA$315, 6, FALSE)="",":",VLOOKUP($E$47,[1]QUART!$A$2:$FA$315, 6, FALSE))</f>
        <v>:</v>
      </c>
      <c r="H47" s="544" t="str">
        <f>IF(VLOOKUP($E$47,[1]QUART!$A$2:$FA$315, 7, FALSE)="",":",VLOOKUP($E$47,[1]QUART!$A$2:$FA$315, 7, FALSE))</f>
        <v>:</v>
      </c>
      <c r="I47" s="544" t="str">
        <f>IF(VLOOKUP($E$47,[1]QUART!$A$2:$FA$315, 8, FALSE)="",":",VLOOKUP($E$47,[1]QUART!$A$2:$FA$315, 8, FALSE))</f>
        <v>:</v>
      </c>
      <c r="J47" s="544" t="str">
        <f>IF(VLOOKUP($E$47,[1]QUART!$A$2:$FA$315, 9, FALSE)="",":",VLOOKUP($E$47,[1]QUART!$A$2:$FA$315, 9, FALSE))</f>
        <v>:</v>
      </c>
      <c r="K47" s="544" t="str">
        <f>IF(VLOOKUP($E$47,[1]QUART!$A$2:$FA$315, 10, FALSE)="",":",VLOOKUP($E$47,[1]QUART!$A$2:$FA$315, 10, FALSE))</f>
        <v>:</v>
      </c>
      <c r="L47" s="544" t="str">
        <f>IF(VLOOKUP($E$47,[1]QUART!$A$2:$FA$315, 11, FALSE)="",":",VLOOKUP($E$47,[1]QUART!$A$2:$FA$315, 11, FALSE))</f>
        <v>:</v>
      </c>
      <c r="M47" s="544" t="str">
        <f>IF(VLOOKUP($E$47,[1]QUART!$A$2:$FA$315, 12, FALSE)="",":",VLOOKUP($E$47,[1]QUART!$A$2:$FA$315, 12, FALSE))</f>
        <v>:</v>
      </c>
      <c r="N47" s="544" t="str">
        <f>IF(VLOOKUP($E$47,[1]QUART!$A$2:$FA$315, 13, FALSE)="",":",VLOOKUP($E$47,[1]QUART!$A$2:$FA$315, 13, FALSE))</f>
        <v>:</v>
      </c>
      <c r="O47" s="544" t="str">
        <f>IF(VLOOKUP($E$47,[1]QUART!$A$2:$FA$315, 14, FALSE)="",":",VLOOKUP($E$47,[1]QUART!$A$2:$FA$315, 14, FALSE))</f>
        <v>:</v>
      </c>
      <c r="P47" s="544" t="str">
        <f>IF(VLOOKUP($E$47,[1]QUART!$A$2:$FA$315, 15, FALSE)="",":",VLOOKUP($E$47,[1]QUART!$A$2:$FA$315, 15, FALSE))</f>
        <v>:</v>
      </c>
      <c r="Q47" s="544" t="str">
        <f>IF(VLOOKUP($E$47,[1]QUART!$A$2:$FA$315, 16, FALSE)="",":",VLOOKUP($E$47,[1]QUART!$A$2:$FA$315, 16, FALSE))</f>
        <v>:</v>
      </c>
      <c r="R47" s="544" t="str">
        <f>IF(VLOOKUP($E$47,[1]QUART!$A$2:$FA$315, 17, FALSE)="",":",VLOOKUP($E$47,[1]QUART!$A$2:$FA$315, 17, FALSE))</f>
        <v>:</v>
      </c>
      <c r="S47" s="544" t="str">
        <f>IF(VLOOKUP($E$47,[1]QUART!$A$2:$FA$315, 18, FALSE)="",":",VLOOKUP($E$47,[1]QUART!$A$2:$FA$315, 18, FALSE))</f>
        <v>:</v>
      </c>
      <c r="T47" s="544" t="str">
        <f>IF(VLOOKUP($E$47,[1]QUART!$A$2:$FA$315, 19, FALSE)="",":",VLOOKUP($E$47,[1]QUART!$A$2:$FA$315, 19, FALSE))</f>
        <v>:</v>
      </c>
      <c r="U47" s="544" t="str">
        <f>IF(VLOOKUP($E$47,[1]QUART!$A$2:$FA$315, 20, FALSE)="",":",VLOOKUP($E$47,[1]QUART!$A$2:$FA$315, 20, FALSE))</f>
        <v>:</v>
      </c>
      <c r="V47" s="544" t="str">
        <f>IF(VLOOKUP($E$47,[1]QUART!$A$2:$FA$315, 21, FALSE)="",":",VLOOKUP($E$47,[1]QUART!$A$2:$FA$315, 21, FALSE))</f>
        <v>:</v>
      </c>
      <c r="W47" s="544" t="str">
        <f>IF(VLOOKUP($E$47,[1]QUART!$A$2:$FA$315, 22, FALSE)="",":",VLOOKUP($E$47,[1]QUART!$A$2:$FA$315, 22, FALSE))</f>
        <v>:</v>
      </c>
      <c r="X47" s="544" t="str">
        <f>IF(VLOOKUP($E$47,[1]QUART!$A$2:$FA$315, 23, FALSE)="",":",VLOOKUP($E$47,[1]QUART!$A$2:$FA$315, 23, FALSE))</f>
        <v>:</v>
      </c>
      <c r="Y47" s="544" t="str">
        <f>IF(VLOOKUP($E$47,[1]QUART!$A$2:$FA$315, 24, FALSE)="",":",VLOOKUP($E$47,[1]QUART!$A$2:$FA$315, 24, FALSE))</f>
        <v>:</v>
      </c>
      <c r="Z47" s="544" t="str">
        <f>IF(VLOOKUP($E$47,[1]QUART!$A$2:$FA$315, 25, FALSE)="",":",VLOOKUP($E$47,[1]QUART!$A$2:$FA$315, 25, FALSE))</f>
        <v>:</v>
      </c>
      <c r="AA47" s="544" t="str">
        <f>IF(VLOOKUP($E$47,[1]QUART!$A$2:$FA$315, 26, FALSE)="",":",VLOOKUP($E$47,[1]QUART!$A$2:$FA$315, 26, FALSE))</f>
        <v>:</v>
      </c>
      <c r="AB47" s="544" t="str">
        <f>IF(VLOOKUP($E$47,[1]QUART!$A$2:$FA$315, 27, FALSE)="",":",VLOOKUP($E$47,[1]QUART!$A$2:$FA$315, 27, FALSE))</f>
        <v>:</v>
      </c>
      <c r="AC47" s="544" t="str">
        <f>IF(VLOOKUP($E$47,[1]QUART!$A$2:$FA$315, 28, FALSE)="",":",VLOOKUP($E$47,[1]QUART!$A$2:$FA$315, 28, FALSE))</f>
        <v>:</v>
      </c>
      <c r="AD47" s="544" t="str">
        <f>IF(VLOOKUP($E$47,[1]QUART!$A$2:$FA$315, 29, FALSE)="",":",VLOOKUP($E$47,[1]QUART!$A$2:$FA$315, 29, FALSE))</f>
        <v>:</v>
      </c>
      <c r="AE47" s="544" t="str">
        <f>IF(VLOOKUP($E$47,[1]QUART!$A$2:$FA$315, 30, FALSE)="",":",VLOOKUP($E$47,[1]QUART!$A$2:$FA$315, 30, FALSE))</f>
        <v>:</v>
      </c>
      <c r="AF47" s="544" t="str">
        <f>IF(VLOOKUP($E$47,[1]QUART!$A$2:$FA$315, 31, FALSE)="",":",VLOOKUP($E$47,[1]QUART!$A$2:$FA$315, 31, FALSE))</f>
        <v>:</v>
      </c>
      <c r="AG47" s="544" t="str">
        <f>IF(VLOOKUP($E$47,[1]QUART!$A$2:$FA$315, 32, FALSE)="",":",VLOOKUP($E$47,[1]QUART!$A$2:$FA$315, 32, FALSE))</f>
        <v>:</v>
      </c>
      <c r="AH47" s="544" t="str">
        <f>IF(VLOOKUP($E$47,[1]QUART!$A$2:$FA$315, 33, FALSE)="",":",VLOOKUP($E$47,[1]QUART!$A$2:$FA$315, 33, FALSE))</f>
        <v>:</v>
      </c>
      <c r="AI47" s="544" t="str">
        <f>IF(VLOOKUP($E$47,[1]QUART!$A$2:$FA$315, 34, FALSE)="",":",VLOOKUP($E$47,[1]QUART!$A$2:$FA$315, 34, FALSE))</f>
        <v>:</v>
      </c>
      <c r="AJ47" s="544" t="str">
        <f>IF(VLOOKUP($E$47,[1]QUART!$A$2:$FA$315, 35, FALSE)="",":",VLOOKUP($E$47,[1]QUART!$A$2:$FA$315, 35, FALSE))</f>
        <v>:</v>
      </c>
      <c r="AK47" s="544" t="str">
        <f>IF(VLOOKUP($E$47,[1]QUART!$A$2:$FA$315, 36, FALSE)="",":",VLOOKUP($E$47,[1]QUART!$A$2:$FA$315, 36, FALSE))</f>
        <v>:</v>
      </c>
      <c r="AL47" s="544" t="str">
        <f>IF(VLOOKUP($E$47,[1]QUART!$A$2:$FA$315, 37, FALSE)="",":",VLOOKUP($E$47,[1]QUART!$A$2:$FA$315, 37, FALSE))</f>
        <v>:</v>
      </c>
      <c r="AM47" s="544" t="str">
        <f>IF(VLOOKUP($E$47,[1]QUART!$A$2:$FA$315, 38, FALSE)="",":",VLOOKUP($E$47,[1]QUART!$A$2:$FA$315, 38, FALSE))</f>
        <v>:</v>
      </c>
      <c r="AN47" s="544" t="str">
        <f>IF(VLOOKUP($E$47,[1]QUART!$A$2:$FA$315, 39, FALSE)="",":",VLOOKUP($E$47,[1]QUART!$A$2:$FA$315, 39, FALSE))</f>
        <v>:</v>
      </c>
      <c r="AO47" s="544" t="str">
        <f>IF(VLOOKUP($E$47,[1]QUART!$A$2:$FA$315, 40, FALSE)="",":",VLOOKUP($E$47,[1]QUART!$A$2:$FA$315, 40, FALSE))</f>
        <v>:</v>
      </c>
      <c r="AP47" s="544" t="str">
        <f>IF(VLOOKUP($E$47,[1]QUART!$A$2:$FA$315, 41, FALSE)="",":",VLOOKUP($E$47,[1]QUART!$A$2:$FA$315, 41, FALSE))</f>
        <v>:</v>
      </c>
      <c r="AQ47" s="544" t="str">
        <f>IF(VLOOKUP($E$47,[1]QUART!$A$2:$FA$315, 42, FALSE)="",":",VLOOKUP($E$47,[1]QUART!$A$2:$FA$315, 42, FALSE))</f>
        <v>:</v>
      </c>
      <c r="AR47" s="544" t="str">
        <f>IF(VLOOKUP($E$47,[1]QUART!$A$2:$FA$315, 43, FALSE)="",":",VLOOKUP($E$47,[1]QUART!$A$2:$FA$315, 43, FALSE))</f>
        <v>:</v>
      </c>
      <c r="AS47" s="544" t="str">
        <f>IF(VLOOKUP($E$47,[1]QUART!$A$2:$FA$315, 44, FALSE)="",":",VLOOKUP($E$47,[1]QUART!$A$2:$FA$315, 44, FALSE))</f>
        <v>:</v>
      </c>
      <c r="AT47" s="544" t="str">
        <f>IF(VLOOKUP($E$47,[1]QUART!$A$2:$FA$315, 45, FALSE)="",":",VLOOKUP($E$47,[1]QUART!$A$2:$FA$315, 45, FALSE))</f>
        <v>:</v>
      </c>
      <c r="AU47" s="544" t="str">
        <f>IF(VLOOKUP($E$47,[1]QUART!$A$2:$FA$315, 46, FALSE)="",":",VLOOKUP($E$47,[1]QUART!$A$2:$FA$315, 46, FALSE))</f>
        <v>:</v>
      </c>
      <c r="AV47" s="544" t="str">
        <f>IF(VLOOKUP($E$47,[1]QUART!$A$2:$FA$315, 47, FALSE)="",":",VLOOKUP($E$47,[1]QUART!$A$2:$FA$315, 47, FALSE))</f>
        <v>:</v>
      </c>
      <c r="AW47" s="544" t="str">
        <f>IF(VLOOKUP($E$47,[1]QUART!$A$2:$FA$315, 48, FALSE)="",":",VLOOKUP($E$47,[1]QUART!$A$2:$FA$315, 48, FALSE))</f>
        <v>:</v>
      </c>
      <c r="AX47" s="544" t="str">
        <f>IF(VLOOKUP($E$47,[1]QUART!$A$2:$FA$315, 49, FALSE)="",":",VLOOKUP($E$47,[1]QUART!$A$2:$FA$315, 49, FALSE))</f>
        <v>:</v>
      </c>
      <c r="AY47" s="544" t="str">
        <f>IF(VLOOKUP($E$47,[1]QUART!$A$2:$FA$315, 50, FALSE)="",":",VLOOKUP($E$47,[1]QUART!$A$2:$FA$315, 50, FALSE))</f>
        <v>:</v>
      </c>
      <c r="AZ47" s="544" t="str">
        <f>IF(VLOOKUP($E$47,[1]QUART!$A$2:$FA$315, 51, FALSE)="",":",VLOOKUP($E$47,[1]QUART!$A$2:$FA$315, 51, FALSE))</f>
        <v>:</v>
      </c>
      <c r="BA47" s="544" t="str">
        <f>IF(VLOOKUP($E$47,[1]QUART!$A$2:$FA$315, 52, FALSE)="",":",VLOOKUP($E$47,[1]QUART!$A$2:$FA$315, 52, FALSE))</f>
        <v>:</v>
      </c>
      <c r="BB47" s="544" t="str">
        <f>IF(VLOOKUP($E$47,[1]QUART!$A$2:$FA$315, 53, FALSE)="",":",VLOOKUP($E$47,[1]QUART!$A$2:$FA$315, 53, FALSE))</f>
        <v>:</v>
      </c>
      <c r="BC47" s="544" t="str">
        <f>IF(VLOOKUP($E$47,[1]QUART!$A$2:$FA$315, 54, FALSE)="",":",VLOOKUP($E$47,[1]QUART!$A$2:$FA$315, 54, FALSE))</f>
        <v>:</v>
      </c>
      <c r="BD47" s="544" t="str">
        <f>IF(VLOOKUP($E$47,[1]QUART!$A$2:$FA$315, 55, FALSE)="",":",VLOOKUP($E$47,[1]QUART!$A$2:$FA$315, 55, FALSE))</f>
        <v>:</v>
      </c>
      <c r="BE47" s="544" t="str">
        <f>IF(VLOOKUP($E$47,[1]QUART!$A$2:$FA$315, 56, FALSE)="",":",VLOOKUP($E$47,[1]QUART!$A$2:$FA$315, 56, FALSE))</f>
        <v>:</v>
      </c>
      <c r="BF47" s="544" t="str">
        <f>IF(VLOOKUP($E$47,[1]QUART!$A$2:$FA$315, 57, FALSE)="",":",VLOOKUP($E$47,[1]QUART!$A$2:$FA$315, 57, FALSE))</f>
        <v>:</v>
      </c>
      <c r="BG47" s="544" t="str">
        <f>IF(VLOOKUP($E$47,[1]QUART!$A$2:$FA$315, 58, FALSE)="",":",VLOOKUP($E$47,[1]QUART!$A$2:$FA$315, 58, FALSE))</f>
        <v>:</v>
      </c>
      <c r="BH47" s="544" t="str">
        <f>IF(VLOOKUP($E$47,[1]QUART!$A$2:$FA$315, 59, FALSE)="",":",VLOOKUP($E$47,[1]QUART!$A$2:$FA$315, 59, FALSE))</f>
        <v>:</v>
      </c>
      <c r="BI47" s="544" t="str">
        <f>IF(VLOOKUP($E$47,[1]QUART!$A$2:$FA$315, 60, FALSE)="",":",VLOOKUP($E$47,[1]QUART!$A$2:$FA$315, 60, FALSE))</f>
        <v>:</v>
      </c>
      <c r="BJ47" s="544" t="str">
        <f>IF(VLOOKUP($E$47,[1]QUART!$A$2:$FA$315, 61, FALSE)="",":",VLOOKUP($E$47,[1]QUART!$A$2:$FA$315, 61, FALSE))</f>
        <v>:</v>
      </c>
      <c r="BK47" s="544" t="str">
        <f>IF(VLOOKUP($E$47,[1]QUART!$A$2:$FA$315, 62, FALSE)="",":",VLOOKUP($E$47,[1]QUART!$A$2:$FA$315, 62, FALSE))</f>
        <v>:</v>
      </c>
      <c r="BL47" s="544" t="str">
        <f>IF(VLOOKUP($E$47,[1]QUART!$A$2:$FA$315, 63, FALSE)="",":",VLOOKUP($E$47,[1]QUART!$A$2:$FA$315, 63, FALSE))</f>
        <v>:</v>
      </c>
      <c r="BM47" s="544" t="str">
        <f>IF(VLOOKUP($E$47,[1]QUART!$A$2:$FA$315, 64, FALSE)="",":",VLOOKUP($E$47,[1]QUART!$A$2:$FA$315, 64, FALSE))</f>
        <v>:</v>
      </c>
      <c r="BN47" s="544" t="str">
        <f>IF(VLOOKUP($E$47,[1]QUART!$A$2:$FA$315, 65, FALSE)="",":",VLOOKUP($E$47,[1]QUART!$A$2:$FA$315, 65, FALSE))</f>
        <v>:</v>
      </c>
      <c r="BO47" s="544" t="str">
        <f>IF(VLOOKUP($E$47,[1]QUART!$A$2:$FA$315, 66, FALSE)="",":",VLOOKUP($E$47,[1]QUART!$A$2:$FA$315, 66, FALSE))</f>
        <v>:</v>
      </c>
      <c r="BP47" s="544" t="str">
        <f>IF(VLOOKUP($E$47,[1]QUART!$A$2:$FA$315, 67, FALSE)="",":",VLOOKUP($E$47,[1]QUART!$A$2:$FA$315, 67, FALSE))</f>
        <v>:</v>
      </c>
      <c r="BQ47" s="544" t="str">
        <f>IF(VLOOKUP($E$47,[1]QUART!$A$2:$FA$315, 68, FALSE)="",":",VLOOKUP($E$47,[1]QUART!$A$2:$FA$315, 68, FALSE))</f>
        <v>:</v>
      </c>
      <c r="BR47" s="544" t="str">
        <f>IF(VLOOKUP($E$47,[1]QUART!$A$2:$FA$315, 69, FALSE)="",":",VLOOKUP($E$47,[1]QUART!$A$2:$FA$315, 69, FALSE))</f>
        <v>:</v>
      </c>
      <c r="BS47" s="544" t="str">
        <f>IF(VLOOKUP($E$47,[1]QUART!$A$2:$FA$315, 70, FALSE)="",":",VLOOKUP($E$47,[1]QUART!$A$2:$FA$315, 70, FALSE))</f>
        <v>:</v>
      </c>
      <c r="BT47" s="544" t="str">
        <f>IF(VLOOKUP($E$47,[1]QUART!$A$2:$FA$315, 71, FALSE)="",":",VLOOKUP($E$47,[1]QUART!$A$2:$FA$315, 71, FALSE))</f>
        <v>:</v>
      </c>
      <c r="BU47" s="544" t="str">
        <f>IF(VLOOKUP($E$47,[1]QUART!$A$2:$FA$315, 72, FALSE)="",":",VLOOKUP($E$47,[1]QUART!$A$2:$FA$315, 72, FALSE))</f>
        <v>:</v>
      </c>
      <c r="BV47" s="544" t="str">
        <f>IF(VLOOKUP($E$47,[1]QUART!$A$2:$FA$315, 73, FALSE)="",":",VLOOKUP($E$47,[1]QUART!$A$2:$FA$315, 73, FALSE))</f>
        <v>:</v>
      </c>
      <c r="BW47" s="544" t="str">
        <f>IF(VLOOKUP($E$47,[1]QUART!$A$2:$FA$315, 74, FALSE)="",":",VLOOKUP($E$47,[1]QUART!$A$2:$FA$315, 74, FALSE))</f>
        <v>:</v>
      </c>
      <c r="BX47" s="544" t="str">
        <f>IF(VLOOKUP($E$47,[1]QUART!$A$2:$FA$315, 75, FALSE)="",":",VLOOKUP($E$47,[1]QUART!$A$2:$FA$315, 75, FALSE))</f>
        <v>:</v>
      </c>
      <c r="BY47" s="544" t="str">
        <f>IF(VLOOKUP($E$47,[1]QUART!$A$2:$FA$315, 76, FALSE)="",":",VLOOKUP($E$47,[1]QUART!$A$2:$FA$315, 76, FALSE))</f>
        <v>:</v>
      </c>
      <c r="BZ47" s="544" t="str">
        <f>IF(VLOOKUP($E$47,[1]QUART!$A$2:$FA$315, 77, FALSE)="",":",VLOOKUP($E$47,[1]QUART!$A$2:$FA$315, 77, FALSE))</f>
        <v>:</v>
      </c>
      <c r="CA47" s="544" t="str">
        <f>IF(VLOOKUP($E$47,[1]QUART!$A$2:$FA$315, 78, FALSE)="",":",VLOOKUP($E$47,[1]QUART!$A$2:$FA$315, 78, FALSE))</f>
        <v>:</v>
      </c>
      <c r="CB47" s="544" t="str">
        <f>IF(VLOOKUP($E$47,[1]QUART!$A$2:$FA$315, 79, FALSE)="",":",VLOOKUP($E$47,[1]QUART!$A$2:$FA$315, 79, FALSE))</f>
        <v>:</v>
      </c>
      <c r="CC47" s="544" t="str">
        <f>IF(VLOOKUP($E$47,[1]QUART!$A$2:$FA$315, 80, FALSE)="",":",VLOOKUP($E$47,[1]QUART!$A$2:$FA$315, 80, FALSE))</f>
        <v>:</v>
      </c>
      <c r="CD47" s="544" t="str">
        <f>IF(VLOOKUP($E$47,[1]QUART!$A$2:$FA$315, 81, FALSE)="",":",VLOOKUP($E$47,[1]QUART!$A$2:$FA$315, 81, FALSE))</f>
        <v>:</v>
      </c>
      <c r="CE47" s="544" t="str">
        <f>IF(VLOOKUP($E$47,[1]QUART!$A$2:$FA$315, 82, FALSE)="",":",VLOOKUP($E$47,[1]QUART!$A$2:$FA$315, 82, FALSE))</f>
        <v>:</v>
      </c>
      <c r="CF47" s="544" t="str">
        <f>IF(VLOOKUP($E$47,[1]QUART!$A$2:$FA$315, 83, FALSE)="",":",VLOOKUP($E$47,[1]QUART!$A$2:$FA$315, 83, FALSE))</f>
        <v>:</v>
      </c>
      <c r="CG47" s="544" t="str">
        <f>IF(VLOOKUP($E$47,[1]QUART!$A$2:$FA$315, 84, FALSE)="",":",VLOOKUP($E$47,[1]QUART!$A$2:$FA$315, 84, FALSE))</f>
        <v>:</v>
      </c>
      <c r="CH47" s="544" t="str">
        <f>IF(VLOOKUP($E$47,[1]QUART!$A$2:$FA$315, 85, FALSE)="",":",VLOOKUP($E$47,[1]QUART!$A$2:$FA$315, 85, FALSE))</f>
        <v>:</v>
      </c>
      <c r="CI47" s="544" t="str">
        <f>IF(VLOOKUP($E$47,[1]QUART!$A$2:$FA$315, 86, FALSE)="",":",VLOOKUP($E$47,[1]QUART!$A$2:$FA$315, 86, FALSE))</f>
        <v>:</v>
      </c>
      <c r="CJ47" s="544" t="str">
        <f>IF(VLOOKUP($E$47,[1]QUART!$A$2:$FA$315, 87, FALSE)="",":",VLOOKUP($E$47,[1]QUART!$A$2:$FA$315, 87, FALSE))</f>
        <v>:</v>
      </c>
      <c r="CK47" s="544" t="str">
        <f>IF(VLOOKUP($E$47,[1]QUART!$A$2:$FA$315, 88, FALSE)="",":",VLOOKUP($E$47,[1]QUART!$A$2:$FA$315, 88, FALSE))</f>
        <v>:</v>
      </c>
      <c r="CL47" s="544" t="str">
        <f>IF(VLOOKUP($E$47,[1]QUART!$A$2:$FA$315, 89, FALSE)="",":",VLOOKUP($E$47,[1]QUART!$A$2:$FA$315, 89, FALSE))</f>
        <v>:</v>
      </c>
      <c r="CM47" s="544" t="str">
        <f>IF(VLOOKUP($E$47,[1]QUART!$A$2:$FA$315, 90, FALSE)="",":",VLOOKUP($E$47,[1]QUART!$A$2:$FA$315, 90, FALSE))</f>
        <v>:</v>
      </c>
      <c r="CN47" s="544" t="str">
        <f>IF(VLOOKUP($E$47,[1]QUART!$A$2:$FA$315, 91, FALSE)="",":",VLOOKUP($E$47,[1]QUART!$A$2:$FA$315, 91, FALSE))</f>
        <v>:</v>
      </c>
      <c r="CO47" s="544" t="str">
        <f>IF(VLOOKUP($E$47,[1]QUART!$A$2:$FA$315, 92, FALSE)="",":",VLOOKUP($E$47,[1]QUART!$A$2:$FA$315, 92, FALSE))</f>
        <v>:</v>
      </c>
      <c r="CP47" s="544" t="str">
        <f>IF(VLOOKUP($E$47,[1]QUART!$A$2:$FA$315, 93, FALSE)="",":",VLOOKUP($E$47,[1]QUART!$A$2:$FA$315, 93, FALSE))</f>
        <v>:</v>
      </c>
      <c r="CQ47" s="544" t="str">
        <f>IF(VLOOKUP($E$47,[1]QUART!$A$2:$FA$315, 94, FALSE)="",":",VLOOKUP($E$47,[1]QUART!$A$2:$FA$315, 94, FALSE))</f>
        <v>:</v>
      </c>
      <c r="CR47" s="544" t="str">
        <f>IF(VLOOKUP($E$47,[1]QUART!$A$2:$FA$315, 95, FALSE)="",":",VLOOKUP($E$47,[1]QUART!$A$2:$FA$315, 95, FALSE))</f>
        <v>:</v>
      </c>
      <c r="CS47" s="544" t="str">
        <f>IF(VLOOKUP($E$47,[1]QUART!$A$2:$FA$315, 96, FALSE)="",":",VLOOKUP($E$47,[1]QUART!$A$2:$FA$315, 96, FALSE))</f>
        <v>:</v>
      </c>
      <c r="CT47" s="544" t="str">
        <f>IF(VLOOKUP($E$47,[1]QUART!$A$2:$FA$315, 97, FALSE)="",":",VLOOKUP($E$47,[1]QUART!$A$2:$FA$315, 97, FALSE))</f>
        <v>:</v>
      </c>
      <c r="CU47" s="544" t="str">
        <f>IF(VLOOKUP($E$47,[1]QUART!$A$2:$FA$315, 98, FALSE)="",":",VLOOKUP($E$47,[1]QUART!$A$2:$FA$315, 98, FALSE))</f>
        <v>:</v>
      </c>
      <c r="CV47" s="544" t="str">
        <f>IF(VLOOKUP($E$47,[1]QUART!$A$2:$FA$315, 99, FALSE)="",":",VLOOKUP($E$47,[1]QUART!$A$2:$FA$315, 99, FALSE))</f>
        <v>:</v>
      </c>
      <c r="CW47" s="544" t="str">
        <f>IF(VLOOKUP($E$47,[1]QUART!$A$2:$FA$315, 100, FALSE)="",":",VLOOKUP($E$47,[1]QUART!$A$2:$FA$315, 100, FALSE))</f>
        <v>:</v>
      </c>
      <c r="CX47" s="544" t="str">
        <f>IF(VLOOKUP($E$47,[1]QUART!$A$2:$FA$315, 101, FALSE)="",":",VLOOKUP($E$47,[1]QUART!$A$2:$FA$315, 101, FALSE))</f>
        <v>:</v>
      </c>
      <c r="CY47" s="544" t="str">
        <f>IF(VLOOKUP($E$47,[1]QUART!$A$2:$FA$315, 102, FALSE)="",":",VLOOKUP($E$47,[1]QUART!$A$2:$FA$315, 102, FALSE))</f>
        <v>:</v>
      </c>
      <c r="CZ47" s="544" t="str">
        <f>IF(VLOOKUP($E$47,[1]QUART!$A$2:$FA$315, 103, FALSE)="",":",VLOOKUP($E$47,[1]QUART!$A$2:$FA$315, 103, FALSE))</f>
        <v>:</v>
      </c>
      <c r="DA47" s="544" t="str">
        <f>IF(VLOOKUP($E$47,[1]QUART!$A$2:$FA$315, 104, FALSE)="",":",VLOOKUP($E$47,[1]QUART!$A$2:$FA$315, 104, FALSE))</f>
        <v>:</v>
      </c>
      <c r="DB47" s="544" t="str">
        <f>IF(VLOOKUP($E$47,[1]QUART!$A$2:$FA$315, 105, FALSE)="",":",VLOOKUP($E$47,[1]QUART!$A$2:$FA$315, 105, FALSE))</f>
        <v>:</v>
      </c>
      <c r="DC47" s="544" t="str">
        <f>IF(VLOOKUP($E$47,[1]QUART!$A$2:$FA$315, 106, FALSE)="",":",VLOOKUP($E$47,[1]QUART!$A$2:$FA$315, 106, FALSE))</f>
        <v>:</v>
      </c>
    </row>
    <row r="48" spans="1:107">
      <c r="A48" s="1954"/>
      <c r="B48" s="534"/>
      <c r="C48" s="535"/>
      <c r="D48" s="12" t="s">
        <v>1841</v>
      </c>
      <c r="E48" s="13">
        <v>114</v>
      </c>
      <c r="F48" s="14" t="str">
        <f>VLOOKUP($E$48,[1]QUART!$A$2:$FA$315, 3, FALSE)</f>
        <v xml:space="preserve">114  Exports of services                                                   </v>
      </c>
      <c r="G48" s="544" t="str">
        <f>IF(VLOOKUP($E$48,[1]QUART!$A$2:$FA$315, 6, FALSE)="",":",VLOOKUP($E$48,[1]QUART!$A$2:$FA$315, 6, FALSE))</f>
        <v>:</v>
      </c>
      <c r="H48" s="544" t="str">
        <f>IF(VLOOKUP($E$48,[1]QUART!$A$2:$FA$315, 7, FALSE)="",":",VLOOKUP($E$48,[1]QUART!$A$2:$FA$315, 7, FALSE))</f>
        <v>:</v>
      </c>
      <c r="I48" s="544" t="str">
        <f>IF(VLOOKUP($E$48,[1]QUART!$A$2:$FA$315, 8, FALSE)="",":",VLOOKUP($E$48,[1]QUART!$A$2:$FA$315, 8, FALSE))</f>
        <v>:</v>
      </c>
      <c r="J48" s="544" t="str">
        <f>IF(VLOOKUP($E$48,[1]QUART!$A$2:$FA$315, 9, FALSE)="",":",VLOOKUP($E$48,[1]QUART!$A$2:$FA$315, 9, FALSE))</f>
        <v>:</v>
      </c>
      <c r="K48" s="544" t="str">
        <f>IF(VLOOKUP($E$48,[1]QUART!$A$2:$FA$315, 10, FALSE)="",":",VLOOKUP($E$48,[1]QUART!$A$2:$FA$315, 10, FALSE))</f>
        <v>:</v>
      </c>
      <c r="L48" s="544" t="str">
        <f>IF(VLOOKUP($E$48,[1]QUART!$A$2:$FA$315, 11, FALSE)="",":",VLOOKUP($E$48,[1]QUART!$A$2:$FA$315, 11, FALSE))</f>
        <v>:</v>
      </c>
      <c r="M48" s="544" t="str">
        <f>IF(VLOOKUP($E$48,[1]QUART!$A$2:$FA$315, 12, FALSE)="",":",VLOOKUP($E$48,[1]QUART!$A$2:$FA$315, 12, FALSE))</f>
        <v>:</v>
      </c>
      <c r="N48" s="544" t="str">
        <f>IF(VLOOKUP($E$48,[1]QUART!$A$2:$FA$315, 13, FALSE)="",":",VLOOKUP($E$48,[1]QUART!$A$2:$FA$315, 13, FALSE))</f>
        <v>:</v>
      </c>
      <c r="O48" s="544" t="str">
        <f>IF(VLOOKUP($E$48,[1]QUART!$A$2:$FA$315, 14, FALSE)="",":",VLOOKUP($E$48,[1]QUART!$A$2:$FA$315, 14, FALSE))</f>
        <v>:</v>
      </c>
      <c r="P48" s="544" t="str">
        <f>IF(VLOOKUP($E$48,[1]QUART!$A$2:$FA$315, 15, FALSE)="",":",VLOOKUP($E$48,[1]QUART!$A$2:$FA$315, 15, FALSE))</f>
        <v>:</v>
      </c>
      <c r="Q48" s="544" t="str">
        <f>IF(VLOOKUP($E$48,[1]QUART!$A$2:$FA$315, 16, FALSE)="",":",VLOOKUP($E$48,[1]QUART!$A$2:$FA$315, 16, FALSE))</f>
        <v>:</v>
      </c>
      <c r="R48" s="544" t="str">
        <f>IF(VLOOKUP($E$48,[1]QUART!$A$2:$FA$315, 17, FALSE)="",":",VLOOKUP($E$48,[1]QUART!$A$2:$FA$315, 17, FALSE))</f>
        <v>:</v>
      </c>
      <c r="S48" s="544" t="str">
        <f>IF(VLOOKUP($E$48,[1]QUART!$A$2:$FA$315, 18, FALSE)="",":",VLOOKUP($E$48,[1]QUART!$A$2:$FA$315, 18, FALSE))</f>
        <v>:</v>
      </c>
      <c r="T48" s="544" t="str">
        <f>IF(VLOOKUP($E$48,[1]QUART!$A$2:$FA$315, 19, FALSE)="",":",VLOOKUP($E$48,[1]QUART!$A$2:$FA$315, 19, FALSE))</f>
        <v>:</v>
      </c>
      <c r="U48" s="544" t="str">
        <f>IF(VLOOKUP($E$48,[1]QUART!$A$2:$FA$315, 20, FALSE)="",":",VLOOKUP($E$48,[1]QUART!$A$2:$FA$315, 20, FALSE))</f>
        <v>:</v>
      </c>
      <c r="V48" s="544" t="str">
        <f>IF(VLOOKUP($E$48,[1]QUART!$A$2:$FA$315, 21, FALSE)="",":",VLOOKUP($E$48,[1]QUART!$A$2:$FA$315, 21, FALSE))</f>
        <v>:</v>
      </c>
      <c r="W48" s="544" t="str">
        <f>IF(VLOOKUP($E$48,[1]QUART!$A$2:$FA$315, 22, FALSE)="",":",VLOOKUP($E$48,[1]QUART!$A$2:$FA$315, 22, FALSE))</f>
        <v>:</v>
      </c>
      <c r="X48" s="544" t="str">
        <f>IF(VLOOKUP($E$48,[1]QUART!$A$2:$FA$315, 23, FALSE)="",":",VLOOKUP($E$48,[1]QUART!$A$2:$FA$315, 23, FALSE))</f>
        <v>:</v>
      </c>
      <c r="Y48" s="544" t="str">
        <f>IF(VLOOKUP($E$48,[1]QUART!$A$2:$FA$315, 24, FALSE)="",":",VLOOKUP($E$48,[1]QUART!$A$2:$FA$315, 24, FALSE))</f>
        <v>:</v>
      </c>
      <c r="Z48" s="544" t="str">
        <f>IF(VLOOKUP($E$48,[1]QUART!$A$2:$FA$315, 25, FALSE)="",":",VLOOKUP($E$48,[1]QUART!$A$2:$FA$315, 25, FALSE))</f>
        <v>:</v>
      </c>
      <c r="AA48" s="544" t="str">
        <f>IF(VLOOKUP($E$48,[1]QUART!$A$2:$FA$315, 26, FALSE)="",":",VLOOKUP($E$48,[1]QUART!$A$2:$FA$315, 26, FALSE))</f>
        <v>:</v>
      </c>
      <c r="AB48" s="544" t="str">
        <f>IF(VLOOKUP($E$48,[1]QUART!$A$2:$FA$315, 27, FALSE)="",":",VLOOKUP($E$48,[1]QUART!$A$2:$FA$315, 27, FALSE))</f>
        <v>:</v>
      </c>
      <c r="AC48" s="544" t="str">
        <f>IF(VLOOKUP($E$48,[1]QUART!$A$2:$FA$315, 28, FALSE)="",":",VLOOKUP($E$48,[1]QUART!$A$2:$FA$315, 28, FALSE))</f>
        <v>:</v>
      </c>
      <c r="AD48" s="544" t="str">
        <f>IF(VLOOKUP($E$48,[1]QUART!$A$2:$FA$315, 29, FALSE)="",":",VLOOKUP($E$48,[1]QUART!$A$2:$FA$315, 29, FALSE))</f>
        <v>:</v>
      </c>
      <c r="AE48" s="544" t="str">
        <f>IF(VLOOKUP($E$48,[1]QUART!$A$2:$FA$315, 30, FALSE)="",":",VLOOKUP($E$48,[1]QUART!$A$2:$FA$315, 30, FALSE))</f>
        <v>:</v>
      </c>
      <c r="AF48" s="544" t="str">
        <f>IF(VLOOKUP($E$48,[1]QUART!$A$2:$FA$315, 31, FALSE)="",":",VLOOKUP($E$48,[1]QUART!$A$2:$FA$315, 31, FALSE))</f>
        <v>:</v>
      </c>
      <c r="AG48" s="544" t="str">
        <f>IF(VLOOKUP($E$48,[1]QUART!$A$2:$FA$315, 32, FALSE)="",":",VLOOKUP($E$48,[1]QUART!$A$2:$FA$315, 32, FALSE))</f>
        <v>:</v>
      </c>
      <c r="AH48" s="544" t="str">
        <f>IF(VLOOKUP($E$48,[1]QUART!$A$2:$FA$315, 33, FALSE)="",":",VLOOKUP($E$48,[1]QUART!$A$2:$FA$315, 33, FALSE))</f>
        <v>:</v>
      </c>
      <c r="AI48" s="544" t="str">
        <f>IF(VLOOKUP($E$48,[1]QUART!$A$2:$FA$315, 34, FALSE)="",":",VLOOKUP($E$48,[1]QUART!$A$2:$FA$315, 34, FALSE))</f>
        <v>:</v>
      </c>
      <c r="AJ48" s="544" t="str">
        <f>IF(VLOOKUP($E$48,[1]QUART!$A$2:$FA$315, 35, FALSE)="",":",VLOOKUP($E$48,[1]QUART!$A$2:$FA$315, 35, FALSE))</f>
        <v>:</v>
      </c>
      <c r="AK48" s="544" t="str">
        <f>IF(VLOOKUP($E$48,[1]QUART!$A$2:$FA$315, 36, FALSE)="",":",VLOOKUP($E$48,[1]QUART!$A$2:$FA$315, 36, FALSE))</f>
        <v>:</v>
      </c>
      <c r="AL48" s="544" t="str">
        <f>IF(VLOOKUP($E$48,[1]QUART!$A$2:$FA$315, 37, FALSE)="",":",VLOOKUP($E$48,[1]QUART!$A$2:$FA$315, 37, FALSE))</f>
        <v>:</v>
      </c>
      <c r="AM48" s="544" t="str">
        <f>IF(VLOOKUP($E$48,[1]QUART!$A$2:$FA$315, 38, FALSE)="",":",VLOOKUP($E$48,[1]QUART!$A$2:$FA$315, 38, FALSE))</f>
        <v>:</v>
      </c>
      <c r="AN48" s="544" t="str">
        <f>IF(VLOOKUP($E$48,[1]QUART!$A$2:$FA$315, 39, FALSE)="",":",VLOOKUP($E$48,[1]QUART!$A$2:$FA$315, 39, FALSE))</f>
        <v>:</v>
      </c>
      <c r="AO48" s="544" t="str">
        <f>IF(VLOOKUP($E$48,[1]QUART!$A$2:$FA$315, 40, FALSE)="",":",VLOOKUP($E$48,[1]QUART!$A$2:$FA$315, 40, FALSE))</f>
        <v>:</v>
      </c>
      <c r="AP48" s="544" t="str">
        <f>IF(VLOOKUP($E$48,[1]QUART!$A$2:$FA$315, 41, FALSE)="",":",VLOOKUP($E$48,[1]QUART!$A$2:$FA$315, 41, FALSE))</f>
        <v>:</v>
      </c>
      <c r="AQ48" s="544" t="str">
        <f>IF(VLOOKUP($E$48,[1]QUART!$A$2:$FA$315, 42, FALSE)="",":",VLOOKUP($E$48,[1]QUART!$A$2:$FA$315, 42, FALSE))</f>
        <v>:</v>
      </c>
      <c r="AR48" s="544" t="str">
        <f>IF(VLOOKUP($E$48,[1]QUART!$A$2:$FA$315, 43, FALSE)="",":",VLOOKUP($E$48,[1]QUART!$A$2:$FA$315, 43, FALSE))</f>
        <v>:</v>
      </c>
      <c r="AS48" s="544" t="str">
        <f>IF(VLOOKUP($E$48,[1]QUART!$A$2:$FA$315, 44, FALSE)="",":",VLOOKUP($E$48,[1]QUART!$A$2:$FA$315, 44, FALSE))</f>
        <v>:</v>
      </c>
      <c r="AT48" s="544" t="str">
        <f>IF(VLOOKUP($E$48,[1]QUART!$A$2:$FA$315, 45, FALSE)="",":",VLOOKUP($E$48,[1]QUART!$A$2:$FA$315, 45, FALSE))</f>
        <v>:</v>
      </c>
      <c r="AU48" s="544" t="str">
        <f>IF(VLOOKUP($E$48,[1]QUART!$A$2:$FA$315, 46, FALSE)="",":",VLOOKUP($E$48,[1]QUART!$A$2:$FA$315, 46, FALSE))</f>
        <v>:</v>
      </c>
      <c r="AV48" s="544" t="str">
        <f>IF(VLOOKUP($E$48,[1]QUART!$A$2:$FA$315, 47, FALSE)="",":",VLOOKUP($E$48,[1]QUART!$A$2:$FA$315, 47, FALSE))</f>
        <v>:</v>
      </c>
      <c r="AW48" s="544" t="str">
        <f>IF(VLOOKUP($E$48,[1]QUART!$A$2:$FA$315, 48, FALSE)="",":",VLOOKUP($E$48,[1]QUART!$A$2:$FA$315, 48, FALSE))</f>
        <v>:</v>
      </c>
      <c r="AX48" s="544" t="str">
        <f>IF(VLOOKUP($E$48,[1]QUART!$A$2:$FA$315, 49, FALSE)="",":",VLOOKUP($E$48,[1]QUART!$A$2:$FA$315, 49, FALSE))</f>
        <v>:</v>
      </c>
      <c r="AY48" s="544" t="str">
        <f>IF(VLOOKUP($E$48,[1]QUART!$A$2:$FA$315, 50, FALSE)="",":",VLOOKUP($E$48,[1]QUART!$A$2:$FA$315, 50, FALSE))</f>
        <v>:</v>
      </c>
      <c r="AZ48" s="544" t="str">
        <f>IF(VLOOKUP($E$48,[1]QUART!$A$2:$FA$315, 51, FALSE)="",":",VLOOKUP($E$48,[1]QUART!$A$2:$FA$315, 51, FALSE))</f>
        <v>:</v>
      </c>
      <c r="BA48" s="544" t="str">
        <f>IF(VLOOKUP($E$48,[1]QUART!$A$2:$FA$315, 52, FALSE)="",":",VLOOKUP($E$48,[1]QUART!$A$2:$FA$315, 52, FALSE))</f>
        <v>:</v>
      </c>
      <c r="BB48" s="544" t="str">
        <f>IF(VLOOKUP($E$48,[1]QUART!$A$2:$FA$315, 53, FALSE)="",":",VLOOKUP($E$48,[1]QUART!$A$2:$FA$315, 53, FALSE))</f>
        <v>:</v>
      </c>
      <c r="BC48" s="544" t="str">
        <f>IF(VLOOKUP($E$48,[1]QUART!$A$2:$FA$315, 54, FALSE)="",":",VLOOKUP($E$48,[1]QUART!$A$2:$FA$315, 54, FALSE))</f>
        <v>:</v>
      </c>
      <c r="BD48" s="544" t="str">
        <f>IF(VLOOKUP($E$48,[1]QUART!$A$2:$FA$315, 55, FALSE)="",":",VLOOKUP($E$48,[1]QUART!$A$2:$FA$315, 55, FALSE))</f>
        <v>:</v>
      </c>
      <c r="BE48" s="544" t="str">
        <f>IF(VLOOKUP($E$48,[1]QUART!$A$2:$FA$315, 56, FALSE)="",":",VLOOKUP($E$48,[1]QUART!$A$2:$FA$315, 56, FALSE))</f>
        <v>:</v>
      </c>
      <c r="BF48" s="544" t="str">
        <f>IF(VLOOKUP($E$48,[1]QUART!$A$2:$FA$315, 57, FALSE)="",":",VLOOKUP($E$48,[1]QUART!$A$2:$FA$315, 57, FALSE))</f>
        <v>:</v>
      </c>
      <c r="BG48" s="544" t="str">
        <f>IF(VLOOKUP($E$48,[1]QUART!$A$2:$FA$315, 58, FALSE)="",":",VLOOKUP($E$48,[1]QUART!$A$2:$FA$315, 58, FALSE))</f>
        <v>:</v>
      </c>
      <c r="BH48" s="544" t="str">
        <f>IF(VLOOKUP($E$48,[1]QUART!$A$2:$FA$315, 59, FALSE)="",":",VLOOKUP($E$48,[1]QUART!$A$2:$FA$315, 59, FALSE))</f>
        <v>:</v>
      </c>
      <c r="BI48" s="544" t="str">
        <f>IF(VLOOKUP($E$48,[1]QUART!$A$2:$FA$315, 60, FALSE)="",":",VLOOKUP($E$48,[1]QUART!$A$2:$FA$315, 60, FALSE))</f>
        <v>:</v>
      </c>
      <c r="BJ48" s="544" t="str">
        <f>IF(VLOOKUP($E$48,[1]QUART!$A$2:$FA$315, 61, FALSE)="",":",VLOOKUP($E$48,[1]QUART!$A$2:$FA$315, 61, FALSE))</f>
        <v>:</v>
      </c>
      <c r="BK48" s="544" t="str">
        <f>IF(VLOOKUP($E$48,[1]QUART!$A$2:$FA$315, 62, FALSE)="",":",VLOOKUP($E$48,[1]QUART!$A$2:$FA$315, 62, FALSE))</f>
        <v>:</v>
      </c>
      <c r="BL48" s="544" t="str">
        <f>IF(VLOOKUP($E$48,[1]QUART!$A$2:$FA$315, 63, FALSE)="",":",VLOOKUP($E$48,[1]QUART!$A$2:$FA$315, 63, FALSE))</f>
        <v>:</v>
      </c>
      <c r="BM48" s="544" t="str">
        <f>IF(VLOOKUP($E$48,[1]QUART!$A$2:$FA$315, 64, FALSE)="",":",VLOOKUP($E$48,[1]QUART!$A$2:$FA$315, 64, FALSE))</f>
        <v>:</v>
      </c>
      <c r="BN48" s="544" t="str">
        <f>IF(VLOOKUP($E$48,[1]QUART!$A$2:$FA$315, 65, FALSE)="",":",VLOOKUP($E$48,[1]QUART!$A$2:$FA$315, 65, FALSE))</f>
        <v>:</v>
      </c>
      <c r="BO48" s="544" t="str">
        <f>IF(VLOOKUP($E$48,[1]QUART!$A$2:$FA$315, 66, FALSE)="",":",VLOOKUP($E$48,[1]QUART!$A$2:$FA$315, 66, FALSE))</f>
        <v>:</v>
      </c>
      <c r="BP48" s="544" t="str">
        <f>IF(VLOOKUP($E$48,[1]QUART!$A$2:$FA$315, 67, FALSE)="",":",VLOOKUP($E$48,[1]QUART!$A$2:$FA$315, 67, FALSE))</f>
        <v>:</v>
      </c>
      <c r="BQ48" s="544" t="str">
        <f>IF(VLOOKUP($E$48,[1]QUART!$A$2:$FA$315, 68, FALSE)="",":",VLOOKUP($E$48,[1]QUART!$A$2:$FA$315, 68, FALSE))</f>
        <v>:</v>
      </c>
      <c r="BR48" s="544" t="str">
        <f>IF(VLOOKUP($E$48,[1]QUART!$A$2:$FA$315, 69, FALSE)="",":",VLOOKUP($E$48,[1]QUART!$A$2:$FA$315, 69, FALSE))</f>
        <v>:</v>
      </c>
      <c r="BS48" s="544" t="str">
        <f>IF(VLOOKUP($E$48,[1]QUART!$A$2:$FA$315, 70, FALSE)="",":",VLOOKUP($E$48,[1]QUART!$A$2:$FA$315, 70, FALSE))</f>
        <v>:</v>
      </c>
      <c r="BT48" s="544" t="str">
        <f>IF(VLOOKUP($E$48,[1]QUART!$A$2:$FA$315, 71, FALSE)="",":",VLOOKUP($E$48,[1]QUART!$A$2:$FA$315, 71, FALSE))</f>
        <v>:</v>
      </c>
      <c r="BU48" s="544" t="str">
        <f>IF(VLOOKUP($E$48,[1]QUART!$A$2:$FA$315, 72, FALSE)="",":",VLOOKUP($E$48,[1]QUART!$A$2:$FA$315, 72, FALSE))</f>
        <v>:</v>
      </c>
      <c r="BV48" s="544" t="str">
        <f>IF(VLOOKUP($E$48,[1]QUART!$A$2:$FA$315, 73, FALSE)="",":",VLOOKUP($E$48,[1]QUART!$A$2:$FA$315, 73, FALSE))</f>
        <v>:</v>
      </c>
      <c r="BW48" s="544" t="str">
        <f>IF(VLOOKUP($E$48,[1]QUART!$A$2:$FA$315, 74, FALSE)="",":",VLOOKUP($E$48,[1]QUART!$A$2:$FA$315, 74, FALSE))</f>
        <v>:</v>
      </c>
      <c r="BX48" s="544" t="str">
        <f>IF(VLOOKUP($E$48,[1]QUART!$A$2:$FA$315, 75, FALSE)="",":",VLOOKUP($E$48,[1]QUART!$A$2:$FA$315, 75, FALSE))</f>
        <v>:</v>
      </c>
      <c r="BY48" s="544" t="str">
        <f>IF(VLOOKUP($E$48,[1]QUART!$A$2:$FA$315, 76, FALSE)="",":",VLOOKUP($E$48,[1]QUART!$A$2:$FA$315, 76, FALSE))</f>
        <v>:</v>
      </c>
      <c r="BZ48" s="544" t="str">
        <f>IF(VLOOKUP($E$48,[1]QUART!$A$2:$FA$315, 77, FALSE)="",":",VLOOKUP($E$48,[1]QUART!$A$2:$FA$315, 77, FALSE))</f>
        <v>:</v>
      </c>
      <c r="CA48" s="544" t="str">
        <f>IF(VLOOKUP($E$48,[1]QUART!$A$2:$FA$315, 78, FALSE)="",":",VLOOKUP($E$48,[1]QUART!$A$2:$FA$315, 78, FALSE))</f>
        <v>:</v>
      </c>
      <c r="CB48" s="544" t="str">
        <f>IF(VLOOKUP($E$48,[1]QUART!$A$2:$FA$315, 79, FALSE)="",":",VLOOKUP($E$48,[1]QUART!$A$2:$FA$315, 79, FALSE))</f>
        <v>:</v>
      </c>
      <c r="CC48" s="544" t="str">
        <f>IF(VLOOKUP($E$48,[1]QUART!$A$2:$FA$315, 80, FALSE)="",":",VLOOKUP($E$48,[1]QUART!$A$2:$FA$315, 80, FALSE))</f>
        <v>:</v>
      </c>
      <c r="CD48" s="544" t="str">
        <f>IF(VLOOKUP($E$48,[1]QUART!$A$2:$FA$315, 81, FALSE)="",":",VLOOKUP($E$48,[1]QUART!$A$2:$FA$315, 81, FALSE))</f>
        <v>:</v>
      </c>
      <c r="CE48" s="544" t="str">
        <f>IF(VLOOKUP($E$48,[1]QUART!$A$2:$FA$315, 82, FALSE)="",":",VLOOKUP($E$48,[1]QUART!$A$2:$FA$315, 82, FALSE))</f>
        <v>:</v>
      </c>
      <c r="CF48" s="544" t="str">
        <f>IF(VLOOKUP($E$48,[1]QUART!$A$2:$FA$315, 83, FALSE)="",":",VLOOKUP($E$48,[1]QUART!$A$2:$FA$315, 83, FALSE))</f>
        <v>:</v>
      </c>
      <c r="CG48" s="544" t="str">
        <f>IF(VLOOKUP($E$48,[1]QUART!$A$2:$FA$315, 84, FALSE)="",":",VLOOKUP($E$48,[1]QUART!$A$2:$FA$315, 84, FALSE))</f>
        <v>:</v>
      </c>
      <c r="CH48" s="544" t="str">
        <f>IF(VLOOKUP($E$48,[1]QUART!$A$2:$FA$315, 85, FALSE)="",":",VLOOKUP($E$48,[1]QUART!$A$2:$FA$315, 85, FALSE))</f>
        <v>:</v>
      </c>
      <c r="CI48" s="544" t="str">
        <f>IF(VLOOKUP($E$48,[1]QUART!$A$2:$FA$315, 86, FALSE)="",":",VLOOKUP($E$48,[1]QUART!$A$2:$FA$315, 86, FALSE))</f>
        <v>:</v>
      </c>
      <c r="CJ48" s="544" t="str">
        <f>IF(VLOOKUP($E$48,[1]QUART!$A$2:$FA$315, 87, FALSE)="",":",VLOOKUP($E$48,[1]QUART!$A$2:$FA$315, 87, FALSE))</f>
        <v>:</v>
      </c>
      <c r="CK48" s="544" t="str">
        <f>IF(VLOOKUP($E$48,[1]QUART!$A$2:$FA$315, 88, FALSE)="",":",VLOOKUP($E$48,[1]QUART!$A$2:$FA$315, 88, FALSE))</f>
        <v>:</v>
      </c>
      <c r="CL48" s="544" t="str">
        <f>IF(VLOOKUP($E$48,[1]QUART!$A$2:$FA$315, 89, FALSE)="",":",VLOOKUP($E$48,[1]QUART!$A$2:$FA$315, 89, FALSE))</f>
        <v>:</v>
      </c>
      <c r="CM48" s="544" t="str">
        <f>IF(VLOOKUP($E$48,[1]QUART!$A$2:$FA$315, 90, FALSE)="",":",VLOOKUP($E$48,[1]QUART!$A$2:$FA$315, 90, FALSE))</f>
        <v>:</v>
      </c>
      <c r="CN48" s="544" t="str">
        <f>IF(VLOOKUP($E$48,[1]QUART!$A$2:$FA$315, 91, FALSE)="",":",VLOOKUP($E$48,[1]QUART!$A$2:$FA$315, 91, FALSE))</f>
        <v>:</v>
      </c>
      <c r="CO48" s="544" t="str">
        <f>IF(VLOOKUP($E$48,[1]QUART!$A$2:$FA$315, 92, FALSE)="",":",VLOOKUP($E$48,[1]QUART!$A$2:$FA$315, 92, FALSE))</f>
        <v>:</v>
      </c>
      <c r="CP48" s="544" t="str">
        <f>IF(VLOOKUP($E$48,[1]QUART!$A$2:$FA$315, 93, FALSE)="",":",VLOOKUP($E$48,[1]QUART!$A$2:$FA$315, 93, FALSE))</f>
        <v>:</v>
      </c>
      <c r="CQ48" s="544" t="str">
        <f>IF(VLOOKUP($E$48,[1]QUART!$A$2:$FA$315, 94, FALSE)="",":",VLOOKUP($E$48,[1]QUART!$A$2:$FA$315, 94, FALSE))</f>
        <v>:</v>
      </c>
      <c r="CR48" s="544" t="str">
        <f>IF(VLOOKUP($E$48,[1]QUART!$A$2:$FA$315, 95, FALSE)="",":",VLOOKUP($E$48,[1]QUART!$A$2:$FA$315, 95, FALSE))</f>
        <v>:</v>
      </c>
      <c r="CS48" s="544" t="str">
        <f>IF(VLOOKUP($E$48,[1]QUART!$A$2:$FA$315, 96, FALSE)="",":",VLOOKUP($E$48,[1]QUART!$A$2:$FA$315, 96, FALSE))</f>
        <v>:</v>
      </c>
      <c r="CT48" s="544" t="str">
        <f>IF(VLOOKUP($E$48,[1]QUART!$A$2:$FA$315, 97, FALSE)="",":",VLOOKUP($E$48,[1]QUART!$A$2:$FA$315, 97, FALSE))</f>
        <v>:</v>
      </c>
      <c r="CU48" s="544" t="str">
        <f>IF(VLOOKUP($E$48,[1]QUART!$A$2:$FA$315, 98, FALSE)="",":",VLOOKUP($E$48,[1]QUART!$A$2:$FA$315, 98, FALSE))</f>
        <v>:</v>
      </c>
      <c r="CV48" s="544" t="str">
        <f>IF(VLOOKUP($E$48,[1]QUART!$A$2:$FA$315, 99, FALSE)="",":",VLOOKUP($E$48,[1]QUART!$A$2:$FA$315, 99, FALSE))</f>
        <v>:</v>
      </c>
      <c r="CW48" s="544" t="str">
        <f>IF(VLOOKUP($E$48,[1]QUART!$A$2:$FA$315, 100, FALSE)="",":",VLOOKUP($E$48,[1]QUART!$A$2:$FA$315, 100, FALSE))</f>
        <v>:</v>
      </c>
      <c r="CX48" s="544" t="str">
        <f>IF(VLOOKUP($E$48,[1]QUART!$A$2:$FA$315, 101, FALSE)="",":",VLOOKUP($E$48,[1]QUART!$A$2:$FA$315, 101, FALSE))</f>
        <v>:</v>
      </c>
      <c r="CY48" s="544" t="str">
        <f>IF(VLOOKUP($E$48,[1]QUART!$A$2:$FA$315, 102, FALSE)="",":",VLOOKUP($E$48,[1]QUART!$A$2:$FA$315, 102, FALSE))</f>
        <v>:</v>
      </c>
      <c r="CZ48" s="544" t="str">
        <f>IF(VLOOKUP($E$48,[1]QUART!$A$2:$FA$315, 103, FALSE)="",":",VLOOKUP($E$48,[1]QUART!$A$2:$FA$315, 103, FALSE))</f>
        <v>:</v>
      </c>
      <c r="DA48" s="544" t="str">
        <f>IF(VLOOKUP($E$48,[1]QUART!$A$2:$FA$315, 104, FALSE)="",":",VLOOKUP($E$48,[1]QUART!$A$2:$FA$315, 104, FALSE))</f>
        <v>:</v>
      </c>
      <c r="DB48" s="544" t="str">
        <f>IF(VLOOKUP($E$48,[1]QUART!$A$2:$FA$315, 105, FALSE)="",":",VLOOKUP($E$48,[1]QUART!$A$2:$FA$315, 105, FALSE))</f>
        <v>:</v>
      </c>
      <c r="DC48" s="544" t="str">
        <f>IF(VLOOKUP($E$48,[1]QUART!$A$2:$FA$315, 106, FALSE)="",":",VLOOKUP($E$48,[1]QUART!$A$2:$FA$315, 106, FALSE))</f>
        <v>:</v>
      </c>
    </row>
    <row r="49" spans="1:107">
      <c r="A49" s="1954"/>
      <c r="B49" s="534"/>
      <c r="C49" s="535"/>
      <c r="D49" s="12" t="s">
        <v>1841</v>
      </c>
      <c r="E49" s="13">
        <v>115</v>
      </c>
      <c r="F49" s="14" t="str">
        <f>VLOOKUP($E$49,[1]QUART!$A$2:$FA$315, 3, FALSE)</f>
        <v xml:space="preserve">115  Imports of goods          </v>
      </c>
      <c r="G49" s="544" t="str">
        <f>IF(VLOOKUP($E$49,[1]QUART!$A$2:$FA$315, 6, FALSE)="",":",VLOOKUP($E$49,[1]QUART!$A$2:$FA$315, 6, FALSE))</f>
        <v>:</v>
      </c>
      <c r="H49" s="544" t="str">
        <f>IF(VLOOKUP($E$49,[1]QUART!$A$2:$FA$315, 7, FALSE)="",":",VLOOKUP($E$49,[1]QUART!$A$2:$FA$315, 7, FALSE))</f>
        <v>:</v>
      </c>
      <c r="I49" s="544" t="str">
        <f>IF(VLOOKUP($E$49,[1]QUART!$A$2:$FA$315, 8, FALSE)="",":",VLOOKUP($E$49,[1]QUART!$A$2:$FA$315, 8, FALSE))</f>
        <v>:</v>
      </c>
      <c r="J49" s="544" t="str">
        <f>IF(VLOOKUP($E$49,[1]QUART!$A$2:$FA$315, 9, FALSE)="",":",VLOOKUP($E$49,[1]QUART!$A$2:$FA$315, 9, FALSE))</f>
        <v>:</v>
      </c>
      <c r="K49" s="544" t="str">
        <f>IF(VLOOKUP($E$49,[1]QUART!$A$2:$FA$315, 10, FALSE)="",":",VLOOKUP($E$49,[1]QUART!$A$2:$FA$315, 10, FALSE))</f>
        <v>:</v>
      </c>
      <c r="L49" s="544" t="str">
        <f>IF(VLOOKUP($E$49,[1]QUART!$A$2:$FA$315, 11, FALSE)="",":",VLOOKUP($E$49,[1]QUART!$A$2:$FA$315, 11, FALSE))</f>
        <v>:</v>
      </c>
      <c r="M49" s="544" t="str">
        <f>IF(VLOOKUP($E$49,[1]QUART!$A$2:$FA$315, 12, FALSE)="",":",VLOOKUP($E$49,[1]QUART!$A$2:$FA$315, 12, FALSE))</f>
        <v>:</v>
      </c>
      <c r="N49" s="544" t="str">
        <f>IF(VLOOKUP($E$49,[1]QUART!$A$2:$FA$315, 13, FALSE)="",":",VLOOKUP($E$49,[1]QUART!$A$2:$FA$315, 13, FALSE))</f>
        <v>:</v>
      </c>
      <c r="O49" s="544" t="str">
        <f>IF(VLOOKUP($E$49,[1]QUART!$A$2:$FA$315, 14, FALSE)="",":",VLOOKUP($E$49,[1]QUART!$A$2:$FA$315, 14, FALSE))</f>
        <v>:</v>
      </c>
      <c r="P49" s="544" t="str">
        <f>IF(VLOOKUP($E$49,[1]QUART!$A$2:$FA$315, 15, FALSE)="",":",VLOOKUP($E$49,[1]QUART!$A$2:$FA$315, 15, FALSE))</f>
        <v>:</v>
      </c>
      <c r="Q49" s="544" t="str">
        <f>IF(VLOOKUP($E$49,[1]QUART!$A$2:$FA$315, 16, FALSE)="",":",VLOOKUP($E$49,[1]QUART!$A$2:$FA$315, 16, FALSE))</f>
        <v>:</v>
      </c>
      <c r="R49" s="544" t="str">
        <f>IF(VLOOKUP($E$49,[1]QUART!$A$2:$FA$315, 17, FALSE)="",":",VLOOKUP($E$49,[1]QUART!$A$2:$FA$315, 17, FALSE))</f>
        <v>:</v>
      </c>
      <c r="S49" s="544" t="str">
        <f>IF(VLOOKUP($E$49,[1]QUART!$A$2:$FA$315, 18, FALSE)="",":",VLOOKUP($E$49,[1]QUART!$A$2:$FA$315, 18, FALSE))</f>
        <v>:</v>
      </c>
      <c r="T49" s="544" t="str">
        <f>IF(VLOOKUP($E$49,[1]QUART!$A$2:$FA$315, 19, FALSE)="",":",VLOOKUP($E$49,[1]QUART!$A$2:$FA$315, 19, FALSE))</f>
        <v>:</v>
      </c>
      <c r="U49" s="544" t="str">
        <f>IF(VLOOKUP($E$49,[1]QUART!$A$2:$FA$315, 20, FALSE)="",":",VLOOKUP($E$49,[1]QUART!$A$2:$FA$315, 20, FALSE))</f>
        <v>:</v>
      </c>
      <c r="V49" s="544" t="str">
        <f>IF(VLOOKUP($E$49,[1]QUART!$A$2:$FA$315, 21, FALSE)="",":",VLOOKUP($E$49,[1]QUART!$A$2:$FA$315, 21, FALSE))</f>
        <v>:</v>
      </c>
      <c r="W49" s="544" t="str">
        <f>IF(VLOOKUP($E$49,[1]QUART!$A$2:$FA$315, 22, FALSE)="",":",VLOOKUP($E$49,[1]QUART!$A$2:$FA$315, 22, FALSE))</f>
        <v>:</v>
      </c>
      <c r="X49" s="544" t="str">
        <f>IF(VLOOKUP($E$49,[1]QUART!$A$2:$FA$315, 23, FALSE)="",":",VLOOKUP($E$49,[1]QUART!$A$2:$FA$315, 23, FALSE))</f>
        <v>:</v>
      </c>
      <c r="Y49" s="544" t="str">
        <f>IF(VLOOKUP($E$49,[1]QUART!$A$2:$FA$315, 24, FALSE)="",":",VLOOKUP($E$49,[1]QUART!$A$2:$FA$315, 24, FALSE))</f>
        <v>:</v>
      </c>
      <c r="Z49" s="544" t="str">
        <f>IF(VLOOKUP($E$49,[1]QUART!$A$2:$FA$315, 25, FALSE)="",":",VLOOKUP($E$49,[1]QUART!$A$2:$FA$315, 25, FALSE))</f>
        <v>:</v>
      </c>
      <c r="AA49" s="544" t="str">
        <f>IF(VLOOKUP($E$49,[1]QUART!$A$2:$FA$315, 26, FALSE)="",":",VLOOKUP($E$49,[1]QUART!$A$2:$FA$315, 26, FALSE))</f>
        <v>:</v>
      </c>
      <c r="AB49" s="544" t="str">
        <f>IF(VLOOKUP($E$49,[1]QUART!$A$2:$FA$315, 27, FALSE)="",":",VLOOKUP($E$49,[1]QUART!$A$2:$FA$315, 27, FALSE))</f>
        <v>:</v>
      </c>
      <c r="AC49" s="544" t="str">
        <f>IF(VLOOKUP($E$49,[1]QUART!$A$2:$FA$315, 28, FALSE)="",":",VLOOKUP($E$49,[1]QUART!$A$2:$FA$315, 28, FALSE))</f>
        <v>:</v>
      </c>
      <c r="AD49" s="544" t="str">
        <f>IF(VLOOKUP($E$49,[1]QUART!$A$2:$FA$315, 29, FALSE)="",":",VLOOKUP($E$49,[1]QUART!$A$2:$FA$315, 29, FALSE))</f>
        <v>:</v>
      </c>
      <c r="AE49" s="544" t="str">
        <f>IF(VLOOKUP($E$49,[1]QUART!$A$2:$FA$315, 30, FALSE)="",":",VLOOKUP($E$49,[1]QUART!$A$2:$FA$315, 30, FALSE))</f>
        <v>:</v>
      </c>
      <c r="AF49" s="544" t="str">
        <f>IF(VLOOKUP($E$49,[1]QUART!$A$2:$FA$315, 31, FALSE)="",":",VLOOKUP($E$49,[1]QUART!$A$2:$FA$315, 31, FALSE))</f>
        <v>:</v>
      </c>
      <c r="AG49" s="544" t="str">
        <f>IF(VLOOKUP($E$49,[1]QUART!$A$2:$FA$315, 32, FALSE)="",":",VLOOKUP($E$49,[1]QUART!$A$2:$FA$315, 32, FALSE))</f>
        <v>:</v>
      </c>
      <c r="AH49" s="544" t="str">
        <f>IF(VLOOKUP($E$49,[1]QUART!$A$2:$FA$315, 33, FALSE)="",":",VLOOKUP($E$49,[1]QUART!$A$2:$FA$315, 33, FALSE))</f>
        <v>:</v>
      </c>
      <c r="AI49" s="544" t="str">
        <f>IF(VLOOKUP($E$49,[1]QUART!$A$2:$FA$315, 34, FALSE)="",":",VLOOKUP($E$49,[1]QUART!$A$2:$FA$315, 34, FALSE))</f>
        <v>:</v>
      </c>
      <c r="AJ49" s="544" t="str">
        <f>IF(VLOOKUP($E$49,[1]QUART!$A$2:$FA$315, 35, FALSE)="",":",VLOOKUP($E$49,[1]QUART!$A$2:$FA$315, 35, FALSE))</f>
        <v>:</v>
      </c>
      <c r="AK49" s="544" t="str">
        <f>IF(VLOOKUP($E$49,[1]QUART!$A$2:$FA$315, 36, FALSE)="",":",VLOOKUP($E$49,[1]QUART!$A$2:$FA$315, 36, FALSE))</f>
        <v>:</v>
      </c>
      <c r="AL49" s="544" t="str">
        <f>IF(VLOOKUP($E$49,[1]QUART!$A$2:$FA$315, 37, FALSE)="",":",VLOOKUP($E$49,[1]QUART!$A$2:$FA$315, 37, FALSE))</f>
        <v>:</v>
      </c>
      <c r="AM49" s="544" t="str">
        <f>IF(VLOOKUP($E$49,[1]QUART!$A$2:$FA$315, 38, FALSE)="",":",VLOOKUP($E$49,[1]QUART!$A$2:$FA$315, 38, FALSE))</f>
        <v>:</v>
      </c>
      <c r="AN49" s="544" t="str">
        <f>IF(VLOOKUP($E$49,[1]QUART!$A$2:$FA$315, 39, FALSE)="",":",VLOOKUP($E$49,[1]QUART!$A$2:$FA$315, 39, FALSE))</f>
        <v>:</v>
      </c>
      <c r="AO49" s="544" t="str">
        <f>IF(VLOOKUP($E$49,[1]QUART!$A$2:$FA$315, 40, FALSE)="",":",VLOOKUP($E$49,[1]QUART!$A$2:$FA$315, 40, FALSE))</f>
        <v>:</v>
      </c>
      <c r="AP49" s="544" t="str">
        <f>IF(VLOOKUP($E$49,[1]QUART!$A$2:$FA$315, 41, FALSE)="",":",VLOOKUP($E$49,[1]QUART!$A$2:$FA$315, 41, FALSE))</f>
        <v>:</v>
      </c>
      <c r="AQ49" s="544" t="str">
        <f>IF(VLOOKUP($E$49,[1]QUART!$A$2:$FA$315, 42, FALSE)="",":",VLOOKUP($E$49,[1]QUART!$A$2:$FA$315, 42, FALSE))</f>
        <v>:</v>
      </c>
      <c r="AR49" s="544" t="str">
        <f>IF(VLOOKUP($E$49,[1]QUART!$A$2:$FA$315, 43, FALSE)="",":",VLOOKUP($E$49,[1]QUART!$A$2:$FA$315, 43, FALSE))</f>
        <v>:</v>
      </c>
      <c r="AS49" s="544" t="str">
        <f>IF(VLOOKUP($E$49,[1]QUART!$A$2:$FA$315, 44, FALSE)="",":",VLOOKUP($E$49,[1]QUART!$A$2:$FA$315, 44, FALSE))</f>
        <v>:</v>
      </c>
      <c r="AT49" s="544" t="str">
        <f>IF(VLOOKUP($E$49,[1]QUART!$A$2:$FA$315, 45, FALSE)="",":",VLOOKUP($E$49,[1]QUART!$A$2:$FA$315, 45, FALSE))</f>
        <v>:</v>
      </c>
      <c r="AU49" s="544" t="str">
        <f>IF(VLOOKUP($E$49,[1]QUART!$A$2:$FA$315, 46, FALSE)="",":",VLOOKUP($E$49,[1]QUART!$A$2:$FA$315, 46, FALSE))</f>
        <v>:</v>
      </c>
      <c r="AV49" s="544" t="str">
        <f>IF(VLOOKUP($E$49,[1]QUART!$A$2:$FA$315, 47, FALSE)="",":",VLOOKUP($E$49,[1]QUART!$A$2:$FA$315, 47, FALSE))</f>
        <v>:</v>
      </c>
      <c r="AW49" s="544" t="str">
        <f>IF(VLOOKUP($E$49,[1]QUART!$A$2:$FA$315, 48, FALSE)="",":",VLOOKUP($E$49,[1]QUART!$A$2:$FA$315, 48, FALSE))</f>
        <v>:</v>
      </c>
      <c r="AX49" s="544" t="str">
        <f>IF(VLOOKUP($E$49,[1]QUART!$A$2:$FA$315, 49, FALSE)="",":",VLOOKUP($E$49,[1]QUART!$A$2:$FA$315, 49, FALSE))</f>
        <v>:</v>
      </c>
      <c r="AY49" s="544" t="str">
        <f>IF(VLOOKUP($E$49,[1]QUART!$A$2:$FA$315, 50, FALSE)="",":",VLOOKUP($E$49,[1]QUART!$A$2:$FA$315, 50, FALSE))</f>
        <v>:</v>
      </c>
      <c r="AZ49" s="544" t="str">
        <f>IF(VLOOKUP($E$49,[1]QUART!$A$2:$FA$315, 51, FALSE)="",":",VLOOKUP($E$49,[1]QUART!$A$2:$FA$315, 51, FALSE))</f>
        <v>:</v>
      </c>
      <c r="BA49" s="544" t="str">
        <f>IF(VLOOKUP($E$49,[1]QUART!$A$2:$FA$315, 52, FALSE)="",":",VLOOKUP($E$49,[1]QUART!$A$2:$FA$315, 52, FALSE))</f>
        <v>:</v>
      </c>
      <c r="BB49" s="544" t="str">
        <f>IF(VLOOKUP($E$49,[1]QUART!$A$2:$FA$315, 53, FALSE)="",":",VLOOKUP($E$49,[1]QUART!$A$2:$FA$315, 53, FALSE))</f>
        <v>:</v>
      </c>
      <c r="BC49" s="544" t="str">
        <f>IF(VLOOKUP($E$49,[1]QUART!$A$2:$FA$315, 54, FALSE)="",":",VLOOKUP($E$49,[1]QUART!$A$2:$FA$315, 54, FALSE))</f>
        <v>:</v>
      </c>
      <c r="BD49" s="544" t="str">
        <f>IF(VLOOKUP($E$49,[1]QUART!$A$2:$FA$315, 55, FALSE)="",":",VLOOKUP($E$49,[1]QUART!$A$2:$FA$315, 55, FALSE))</f>
        <v>:</v>
      </c>
      <c r="BE49" s="544" t="str">
        <f>IF(VLOOKUP($E$49,[1]QUART!$A$2:$FA$315, 56, FALSE)="",":",VLOOKUP($E$49,[1]QUART!$A$2:$FA$315, 56, FALSE))</f>
        <v>:</v>
      </c>
      <c r="BF49" s="544" t="str">
        <f>IF(VLOOKUP($E$49,[1]QUART!$A$2:$FA$315, 57, FALSE)="",":",VLOOKUP($E$49,[1]QUART!$A$2:$FA$315, 57, FALSE))</f>
        <v>:</v>
      </c>
      <c r="BG49" s="544" t="str">
        <f>IF(VLOOKUP($E$49,[1]QUART!$A$2:$FA$315, 58, FALSE)="",":",VLOOKUP($E$49,[1]QUART!$A$2:$FA$315, 58, FALSE))</f>
        <v>:</v>
      </c>
      <c r="BH49" s="544" t="str">
        <f>IF(VLOOKUP($E$49,[1]QUART!$A$2:$FA$315, 59, FALSE)="",":",VLOOKUP($E$49,[1]QUART!$A$2:$FA$315, 59, FALSE))</f>
        <v>:</v>
      </c>
      <c r="BI49" s="544" t="str">
        <f>IF(VLOOKUP($E$49,[1]QUART!$A$2:$FA$315, 60, FALSE)="",":",VLOOKUP($E$49,[1]QUART!$A$2:$FA$315, 60, FALSE))</f>
        <v>:</v>
      </c>
      <c r="BJ49" s="544" t="str">
        <f>IF(VLOOKUP($E$49,[1]QUART!$A$2:$FA$315, 61, FALSE)="",":",VLOOKUP($E$49,[1]QUART!$A$2:$FA$315, 61, FALSE))</f>
        <v>:</v>
      </c>
      <c r="BK49" s="544" t="str">
        <f>IF(VLOOKUP($E$49,[1]QUART!$A$2:$FA$315, 62, FALSE)="",":",VLOOKUP($E$49,[1]QUART!$A$2:$FA$315, 62, FALSE))</f>
        <v>:</v>
      </c>
      <c r="BL49" s="544" t="str">
        <f>IF(VLOOKUP($E$49,[1]QUART!$A$2:$FA$315, 63, FALSE)="",":",VLOOKUP($E$49,[1]QUART!$A$2:$FA$315, 63, FALSE))</f>
        <v>:</v>
      </c>
      <c r="BM49" s="544" t="str">
        <f>IF(VLOOKUP($E$49,[1]QUART!$A$2:$FA$315, 64, FALSE)="",":",VLOOKUP($E$49,[1]QUART!$A$2:$FA$315, 64, FALSE))</f>
        <v>:</v>
      </c>
      <c r="BN49" s="544" t="str">
        <f>IF(VLOOKUP($E$49,[1]QUART!$A$2:$FA$315, 65, FALSE)="",":",VLOOKUP($E$49,[1]QUART!$A$2:$FA$315, 65, FALSE))</f>
        <v>:</v>
      </c>
      <c r="BO49" s="544" t="str">
        <f>IF(VLOOKUP($E$49,[1]QUART!$A$2:$FA$315, 66, FALSE)="",":",VLOOKUP($E$49,[1]QUART!$A$2:$FA$315, 66, FALSE))</f>
        <v>:</v>
      </c>
      <c r="BP49" s="544" t="str">
        <f>IF(VLOOKUP($E$49,[1]QUART!$A$2:$FA$315, 67, FALSE)="",":",VLOOKUP($E$49,[1]QUART!$A$2:$FA$315, 67, FALSE))</f>
        <v>:</v>
      </c>
      <c r="BQ49" s="544" t="str">
        <f>IF(VLOOKUP($E$49,[1]QUART!$A$2:$FA$315, 68, FALSE)="",":",VLOOKUP($E$49,[1]QUART!$A$2:$FA$315, 68, FALSE))</f>
        <v>:</v>
      </c>
      <c r="BR49" s="544" t="str">
        <f>IF(VLOOKUP($E$49,[1]QUART!$A$2:$FA$315, 69, FALSE)="",":",VLOOKUP($E$49,[1]QUART!$A$2:$FA$315, 69, FALSE))</f>
        <v>:</v>
      </c>
      <c r="BS49" s="544" t="str">
        <f>IF(VLOOKUP($E$49,[1]QUART!$A$2:$FA$315, 70, FALSE)="",":",VLOOKUP($E$49,[1]QUART!$A$2:$FA$315, 70, FALSE))</f>
        <v>:</v>
      </c>
      <c r="BT49" s="544" t="str">
        <f>IF(VLOOKUP($E$49,[1]QUART!$A$2:$FA$315, 71, FALSE)="",":",VLOOKUP($E$49,[1]QUART!$A$2:$FA$315, 71, FALSE))</f>
        <v>:</v>
      </c>
      <c r="BU49" s="544" t="str">
        <f>IF(VLOOKUP($E$49,[1]QUART!$A$2:$FA$315, 72, FALSE)="",":",VLOOKUP($E$49,[1]QUART!$A$2:$FA$315, 72, FALSE))</f>
        <v>:</v>
      </c>
      <c r="BV49" s="544" t="str">
        <f>IF(VLOOKUP($E$49,[1]QUART!$A$2:$FA$315, 73, FALSE)="",":",VLOOKUP($E$49,[1]QUART!$A$2:$FA$315, 73, FALSE))</f>
        <v>:</v>
      </c>
      <c r="BW49" s="544" t="str">
        <f>IF(VLOOKUP($E$49,[1]QUART!$A$2:$FA$315, 74, FALSE)="",":",VLOOKUP($E$49,[1]QUART!$A$2:$FA$315, 74, FALSE))</f>
        <v>:</v>
      </c>
      <c r="BX49" s="544" t="str">
        <f>IF(VLOOKUP($E$49,[1]QUART!$A$2:$FA$315, 75, FALSE)="",":",VLOOKUP($E$49,[1]QUART!$A$2:$FA$315, 75, FALSE))</f>
        <v>:</v>
      </c>
      <c r="BY49" s="544" t="str">
        <f>IF(VLOOKUP($E$49,[1]QUART!$A$2:$FA$315, 76, FALSE)="",":",VLOOKUP($E$49,[1]QUART!$A$2:$FA$315, 76, FALSE))</f>
        <v>:</v>
      </c>
      <c r="BZ49" s="544" t="str">
        <f>IF(VLOOKUP($E$49,[1]QUART!$A$2:$FA$315, 77, FALSE)="",":",VLOOKUP($E$49,[1]QUART!$A$2:$FA$315, 77, FALSE))</f>
        <v>:</v>
      </c>
      <c r="CA49" s="544" t="str">
        <f>IF(VLOOKUP($E$49,[1]QUART!$A$2:$FA$315, 78, FALSE)="",":",VLOOKUP($E$49,[1]QUART!$A$2:$FA$315, 78, FALSE))</f>
        <v>:</v>
      </c>
      <c r="CB49" s="544" t="str">
        <f>IF(VLOOKUP($E$49,[1]QUART!$A$2:$FA$315, 79, FALSE)="",":",VLOOKUP($E$49,[1]QUART!$A$2:$FA$315, 79, FALSE))</f>
        <v>:</v>
      </c>
      <c r="CC49" s="544" t="str">
        <f>IF(VLOOKUP($E$49,[1]QUART!$A$2:$FA$315, 80, FALSE)="",":",VLOOKUP($E$49,[1]QUART!$A$2:$FA$315, 80, FALSE))</f>
        <v>:</v>
      </c>
      <c r="CD49" s="544" t="str">
        <f>IF(VLOOKUP($E$49,[1]QUART!$A$2:$FA$315, 81, FALSE)="",":",VLOOKUP($E$49,[1]QUART!$A$2:$FA$315, 81, FALSE))</f>
        <v>:</v>
      </c>
      <c r="CE49" s="544" t="str">
        <f>IF(VLOOKUP($E$49,[1]QUART!$A$2:$FA$315, 82, FALSE)="",":",VLOOKUP($E$49,[1]QUART!$A$2:$FA$315, 82, FALSE))</f>
        <v>:</v>
      </c>
      <c r="CF49" s="544" t="str">
        <f>IF(VLOOKUP($E$49,[1]QUART!$A$2:$FA$315, 83, FALSE)="",":",VLOOKUP($E$49,[1]QUART!$A$2:$FA$315, 83, FALSE))</f>
        <v>:</v>
      </c>
      <c r="CG49" s="544" t="str">
        <f>IF(VLOOKUP($E$49,[1]QUART!$A$2:$FA$315, 84, FALSE)="",":",VLOOKUP($E$49,[1]QUART!$A$2:$FA$315, 84, FALSE))</f>
        <v>:</v>
      </c>
      <c r="CH49" s="544" t="str">
        <f>IF(VLOOKUP($E$49,[1]QUART!$A$2:$FA$315, 85, FALSE)="",":",VLOOKUP($E$49,[1]QUART!$A$2:$FA$315, 85, FALSE))</f>
        <v>:</v>
      </c>
      <c r="CI49" s="544" t="str">
        <f>IF(VLOOKUP($E$49,[1]QUART!$A$2:$FA$315, 86, FALSE)="",":",VLOOKUP($E$49,[1]QUART!$A$2:$FA$315, 86, FALSE))</f>
        <v>:</v>
      </c>
      <c r="CJ49" s="544" t="str">
        <f>IF(VLOOKUP($E$49,[1]QUART!$A$2:$FA$315, 87, FALSE)="",":",VLOOKUP($E$49,[1]QUART!$A$2:$FA$315, 87, FALSE))</f>
        <v>:</v>
      </c>
      <c r="CK49" s="544" t="str">
        <f>IF(VLOOKUP($E$49,[1]QUART!$A$2:$FA$315, 88, FALSE)="",":",VLOOKUP($E$49,[1]QUART!$A$2:$FA$315, 88, FALSE))</f>
        <v>:</v>
      </c>
      <c r="CL49" s="544" t="str">
        <f>IF(VLOOKUP($E$49,[1]QUART!$A$2:$FA$315, 89, FALSE)="",":",VLOOKUP($E$49,[1]QUART!$A$2:$FA$315, 89, FALSE))</f>
        <v>:</v>
      </c>
      <c r="CM49" s="544" t="str">
        <f>IF(VLOOKUP($E$49,[1]QUART!$A$2:$FA$315, 90, FALSE)="",":",VLOOKUP($E$49,[1]QUART!$A$2:$FA$315, 90, FALSE))</f>
        <v>:</v>
      </c>
      <c r="CN49" s="544" t="str">
        <f>IF(VLOOKUP($E$49,[1]QUART!$A$2:$FA$315, 91, FALSE)="",":",VLOOKUP($E$49,[1]QUART!$A$2:$FA$315, 91, FALSE))</f>
        <v>:</v>
      </c>
      <c r="CO49" s="544" t="str">
        <f>IF(VLOOKUP($E$49,[1]QUART!$A$2:$FA$315, 92, FALSE)="",":",VLOOKUP($E$49,[1]QUART!$A$2:$FA$315, 92, FALSE))</f>
        <v>:</v>
      </c>
      <c r="CP49" s="544" t="str">
        <f>IF(VLOOKUP($E$49,[1]QUART!$A$2:$FA$315, 93, FALSE)="",":",VLOOKUP($E$49,[1]QUART!$A$2:$FA$315, 93, FALSE))</f>
        <v>:</v>
      </c>
      <c r="CQ49" s="544" t="str">
        <f>IF(VLOOKUP($E$49,[1]QUART!$A$2:$FA$315, 94, FALSE)="",":",VLOOKUP($E$49,[1]QUART!$A$2:$FA$315, 94, FALSE))</f>
        <v>:</v>
      </c>
      <c r="CR49" s="544" t="str">
        <f>IF(VLOOKUP($E$49,[1]QUART!$A$2:$FA$315, 95, FALSE)="",":",VLOOKUP($E$49,[1]QUART!$A$2:$FA$315, 95, FALSE))</f>
        <v>:</v>
      </c>
      <c r="CS49" s="544" t="str">
        <f>IF(VLOOKUP($E$49,[1]QUART!$A$2:$FA$315, 96, FALSE)="",":",VLOOKUP($E$49,[1]QUART!$A$2:$FA$315, 96, FALSE))</f>
        <v>:</v>
      </c>
      <c r="CT49" s="544" t="str">
        <f>IF(VLOOKUP($E$49,[1]QUART!$A$2:$FA$315, 97, FALSE)="",":",VLOOKUP($E$49,[1]QUART!$A$2:$FA$315, 97, FALSE))</f>
        <v>:</v>
      </c>
      <c r="CU49" s="544" t="str">
        <f>IF(VLOOKUP($E$49,[1]QUART!$A$2:$FA$315, 98, FALSE)="",":",VLOOKUP($E$49,[1]QUART!$A$2:$FA$315, 98, FALSE))</f>
        <v>:</v>
      </c>
      <c r="CV49" s="544" t="str">
        <f>IF(VLOOKUP($E$49,[1]QUART!$A$2:$FA$315, 99, FALSE)="",":",VLOOKUP($E$49,[1]QUART!$A$2:$FA$315, 99, FALSE))</f>
        <v>:</v>
      </c>
      <c r="CW49" s="544" t="str">
        <f>IF(VLOOKUP($E$49,[1]QUART!$A$2:$FA$315, 100, FALSE)="",":",VLOOKUP($E$49,[1]QUART!$A$2:$FA$315, 100, FALSE))</f>
        <v>:</v>
      </c>
      <c r="CX49" s="544" t="str">
        <f>IF(VLOOKUP($E$49,[1]QUART!$A$2:$FA$315, 101, FALSE)="",":",VLOOKUP($E$49,[1]QUART!$A$2:$FA$315, 101, FALSE))</f>
        <v>:</v>
      </c>
      <c r="CY49" s="544" t="str">
        <f>IF(VLOOKUP($E$49,[1]QUART!$A$2:$FA$315, 102, FALSE)="",":",VLOOKUP($E$49,[1]QUART!$A$2:$FA$315, 102, FALSE))</f>
        <v>:</v>
      </c>
      <c r="CZ49" s="544" t="str">
        <f>IF(VLOOKUP($E$49,[1]QUART!$A$2:$FA$315, 103, FALSE)="",":",VLOOKUP($E$49,[1]QUART!$A$2:$FA$315, 103, FALSE))</f>
        <v>:</v>
      </c>
      <c r="DA49" s="544" t="str">
        <f>IF(VLOOKUP($E$49,[1]QUART!$A$2:$FA$315, 104, FALSE)="",":",VLOOKUP($E$49,[1]QUART!$A$2:$FA$315, 104, FALSE))</f>
        <v>:</v>
      </c>
      <c r="DB49" s="544" t="str">
        <f>IF(VLOOKUP($E$49,[1]QUART!$A$2:$FA$315, 105, FALSE)="",":",VLOOKUP($E$49,[1]QUART!$A$2:$FA$315, 105, FALSE))</f>
        <v>:</v>
      </c>
      <c r="DC49" s="544" t="str">
        <f>IF(VLOOKUP($E$49,[1]QUART!$A$2:$FA$315, 106, FALSE)="",":",VLOOKUP($E$49,[1]QUART!$A$2:$FA$315, 106, FALSE))</f>
        <v>:</v>
      </c>
    </row>
    <row r="50" spans="1:107">
      <c r="A50" s="1954"/>
      <c r="B50" s="534"/>
      <c r="C50" s="535"/>
      <c r="D50" s="12" t="s">
        <v>1841</v>
      </c>
      <c r="E50" s="13">
        <v>116</v>
      </c>
      <c r="F50" s="14" t="str">
        <f>VLOOKUP($E$50,[1]QUART!$A$2:$FA$315, 3, FALSE)</f>
        <v xml:space="preserve">116  Imports of services                                                   </v>
      </c>
      <c r="G50" s="544" t="str">
        <f>IF(VLOOKUP($E$50,[1]QUART!$A$2:$FA$315, 6, FALSE)="",":",VLOOKUP($E$50,[1]QUART!$A$2:$FA$315, 6, FALSE))</f>
        <v>:</v>
      </c>
      <c r="H50" s="544" t="str">
        <f>IF(VLOOKUP($E$50,[1]QUART!$A$2:$FA$315, 7, FALSE)="",":",VLOOKUP($E$50,[1]QUART!$A$2:$FA$315, 7, FALSE))</f>
        <v>:</v>
      </c>
      <c r="I50" s="544" t="str">
        <f>IF(VLOOKUP($E$50,[1]QUART!$A$2:$FA$315, 8, FALSE)="",":",VLOOKUP($E$50,[1]QUART!$A$2:$FA$315, 8, FALSE))</f>
        <v>:</v>
      </c>
      <c r="J50" s="544" t="str">
        <f>IF(VLOOKUP($E$50,[1]QUART!$A$2:$FA$315, 9, FALSE)="",":",VLOOKUP($E$50,[1]QUART!$A$2:$FA$315, 9, FALSE))</f>
        <v>:</v>
      </c>
      <c r="K50" s="544" t="str">
        <f>IF(VLOOKUP($E$50,[1]QUART!$A$2:$FA$315, 10, FALSE)="",":",VLOOKUP($E$50,[1]QUART!$A$2:$FA$315, 10, FALSE))</f>
        <v>:</v>
      </c>
      <c r="L50" s="544" t="str">
        <f>IF(VLOOKUP($E$50,[1]QUART!$A$2:$FA$315, 11, FALSE)="",":",VLOOKUP($E$50,[1]QUART!$A$2:$FA$315, 11, FALSE))</f>
        <v>:</v>
      </c>
      <c r="M50" s="544" t="str">
        <f>IF(VLOOKUP($E$50,[1]QUART!$A$2:$FA$315, 12, FALSE)="",":",VLOOKUP($E$50,[1]QUART!$A$2:$FA$315, 12, FALSE))</f>
        <v>:</v>
      </c>
      <c r="N50" s="544" t="str">
        <f>IF(VLOOKUP($E$50,[1]QUART!$A$2:$FA$315, 13, FALSE)="",":",VLOOKUP($E$50,[1]QUART!$A$2:$FA$315, 13, FALSE))</f>
        <v>:</v>
      </c>
      <c r="O50" s="544" t="str">
        <f>IF(VLOOKUP($E$50,[1]QUART!$A$2:$FA$315, 14, FALSE)="",":",VLOOKUP($E$50,[1]QUART!$A$2:$FA$315, 14, FALSE))</f>
        <v>:</v>
      </c>
      <c r="P50" s="544" t="str">
        <f>IF(VLOOKUP($E$50,[1]QUART!$A$2:$FA$315, 15, FALSE)="",":",VLOOKUP($E$50,[1]QUART!$A$2:$FA$315, 15, FALSE))</f>
        <v>:</v>
      </c>
      <c r="Q50" s="544" t="str">
        <f>IF(VLOOKUP($E$50,[1]QUART!$A$2:$FA$315, 16, FALSE)="",":",VLOOKUP($E$50,[1]QUART!$A$2:$FA$315, 16, FALSE))</f>
        <v>:</v>
      </c>
      <c r="R50" s="544" t="str">
        <f>IF(VLOOKUP($E$50,[1]QUART!$A$2:$FA$315, 17, FALSE)="",":",VLOOKUP($E$50,[1]QUART!$A$2:$FA$315, 17, FALSE))</f>
        <v>:</v>
      </c>
      <c r="S50" s="544" t="str">
        <f>IF(VLOOKUP($E$50,[1]QUART!$A$2:$FA$315, 18, FALSE)="",":",VLOOKUP($E$50,[1]QUART!$A$2:$FA$315, 18, FALSE))</f>
        <v>:</v>
      </c>
      <c r="T50" s="544" t="str">
        <f>IF(VLOOKUP($E$50,[1]QUART!$A$2:$FA$315, 19, FALSE)="",":",VLOOKUP($E$50,[1]QUART!$A$2:$FA$315, 19, FALSE))</f>
        <v>:</v>
      </c>
      <c r="U50" s="544" t="str">
        <f>IF(VLOOKUP($E$50,[1]QUART!$A$2:$FA$315, 20, FALSE)="",":",VLOOKUP($E$50,[1]QUART!$A$2:$FA$315, 20, FALSE))</f>
        <v>:</v>
      </c>
      <c r="V50" s="544" t="str">
        <f>IF(VLOOKUP($E$50,[1]QUART!$A$2:$FA$315, 21, FALSE)="",":",VLOOKUP($E$50,[1]QUART!$A$2:$FA$315, 21, FALSE))</f>
        <v>:</v>
      </c>
      <c r="W50" s="544" t="str">
        <f>IF(VLOOKUP($E$50,[1]QUART!$A$2:$FA$315, 22, FALSE)="",":",VLOOKUP($E$50,[1]QUART!$A$2:$FA$315, 22, FALSE))</f>
        <v>:</v>
      </c>
      <c r="X50" s="544" t="str">
        <f>IF(VLOOKUP($E$50,[1]QUART!$A$2:$FA$315, 23, FALSE)="",":",VLOOKUP($E$50,[1]QUART!$A$2:$FA$315, 23, FALSE))</f>
        <v>:</v>
      </c>
      <c r="Y50" s="544" t="str">
        <f>IF(VLOOKUP($E$50,[1]QUART!$A$2:$FA$315, 24, FALSE)="",":",VLOOKUP($E$50,[1]QUART!$A$2:$FA$315, 24, FALSE))</f>
        <v>:</v>
      </c>
      <c r="Z50" s="544" t="str">
        <f>IF(VLOOKUP($E$50,[1]QUART!$A$2:$FA$315, 25, FALSE)="",":",VLOOKUP($E$50,[1]QUART!$A$2:$FA$315, 25, FALSE))</f>
        <v>:</v>
      </c>
      <c r="AA50" s="544" t="str">
        <f>IF(VLOOKUP($E$50,[1]QUART!$A$2:$FA$315, 26, FALSE)="",":",VLOOKUP($E$50,[1]QUART!$A$2:$FA$315, 26, FALSE))</f>
        <v>:</v>
      </c>
      <c r="AB50" s="544" t="str">
        <f>IF(VLOOKUP($E$50,[1]QUART!$A$2:$FA$315, 27, FALSE)="",":",VLOOKUP($E$50,[1]QUART!$A$2:$FA$315, 27, FALSE))</f>
        <v>:</v>
      </c>
      <c r="AC50" s="544" t="str">
        <f>IF(VLOOKUP($E$50,[1]QUART!$A$2:$FA$315, 28, FALSE)="",":",VLOOKUP($E$50,[1]QUART!$A$2:$FA$315, 28, FALSE))</f>
        <v>:</v>
      </c>
      <c r="AD50" s="544" t="str">
        <f>IF(VLOOKUP($E$50,[1]QUART!$A$2:$FA$315, 29, FALSE)="",":",VLOOKUP($E$50,[1]QUART!$A$2:$FA$315, 29, FALSE))</f>
        <v>:</v>
      </c>
      <c r="AE50" s="544" t="str">
        <f>IF(VLOOKUP($E$50,[1]QUART!$A$2:$FA$315, 30, FALSE)="",":",VLOOKUP($E$50,[1]QUART!$A$2:$FA$315, 30, FALSE))</f>
        <v>:</v>
      </c>
      <c r="AF50" s="544" t="str">
        <f>IF(VLOOKUP($E$50,[1]QUART!$A$2:$FA$315, 31, FALSE)="",":",VLOOKUP($E$50,[1]QUART!$A$2:$FA$315, 31, FALSE))</f>
        <v>:</v>
      </c>
      <c r="AG50" s="544" t="str">
        <f>IF(VLOOKUP($E$50,[1]QUART!$A$2:$FA$315, 32, FALSE)="",":",VLOOKUP($E$50,[1]QUART!$A$2:$FA$315, 32, FALSE))</f>
        <v>:</v>
      </c>
      <c r="AH50" s="544" t="str">
        <f>IF(VLOOKUP($E$50,[1]QUART!$A$2:$FA$315, 33, FALSE)="",":",VLOOKUP($E$50,[1]QUART!$A$2:$FA$315, 33, FALSE))</f>
        <v>:</v>
      </c>
      <c r="AI50" s="544" t="str">
        <f>IF(VLOOKUP($E$50,[1]QUART!$A$2:$FA$315, 34, FALSE)="",":",VLOOKUP($E$50,[1]QUART!$A$2:$FA$315, 34, FALSE))</f>
        <v>:</v>
      </c>
      <c r="AJ50" s="544" t="str">
        <f>IF(VLOOKUP($E$50,[1]QUART!$A$2:$FA$315, 35, FALSE)="",":",VLOOKUP($E$50,[1]QUART!$A$2:$FA$315, 35, FALSE))</f>
        <v>:</v>
      </c>
      <c r="AK50" s="544" t="str">
        <f>IF(VLOOKUP($E$50,[1]QUART!$A$2:$FA$315, 36, FALSE)="",":",VLOOKUP($E$50,[1]QUART!$A$2:$FA$315, 36, FALSE))</f>
        <v>:</v>
      </c>
      <c r="AL50" s="544" t="str">
        <f>IF(VLOOKUP($E$50,[1]QUART!$A$2:$FA$315, 37, FALSE)="",":",VLOOKUP($E$50,[1]QUART!$A$2:$FA$315, 37, FALSE))</f>
        <v>:</v>
      </c>
      <c r="AM50" s="544" t="str">
        <f>IF(VLOOKUP($E$50,[1]QUART!$A$2:$FA$315, 38, FALSE)="",":",VLOOKUP($E$50,[1]QUART!$A$2:$FA$315, 38, FALSE))</f>
        <v>:</v>
      </c>
      <c r="AN50" s="544" t="str">
        <f>IF(VLOOKUP($E$50,[1]QUART!$A$2:$FA$315, 39, FALSE)="",":",VLOOKUP($E$50,[1]QUART!$A$2:$FA$315, 39, FALSE))</f>
        <v>:</v>
      </c>
      <c r="AO50" s="544" t="str">
        <f>IF(VLOOKUP($E$50,[1]QUART!$A$2:$FA$315, 40, FALSE)="",":",VLOOKUP($E$50,[1]QUART!$A$2:$FA$315, 40, FALSE))</f>
        <v>:</v>
      </c>
      <c r="AP50" s="544" t="str">
        <f>IF(VLOOKUP($E$50,[1]QUART!$A$2:$FA$315, 41, FALSE)="",":",VLOOKUP($E$50,[1]QUART!$A$2:$FA$315, 41, FALSE))</f>
        <v>:</v>
      </c>
      <c r="AQ50" s="544" t="str">
        <f>IF(VLOOKUP($E$50,[1]QUART!$A$2:$FA$315, 42, FALSE)="",":",VLOOKUP($E$50,[1]QUART!$A$2:$FA$315, 42, FALSE))</f>
        <v>:</v>
      </c>
      <c r="AR50" s="544" t="str">
        <f>IF(VLOOKUP($E$50,[1]QUART!$A$2:$FA$315, 43, FALSE)="",":",VLOOKUP($E$50,[1]QUART!$A$2:$FA$315, 43, FALSE))</f>
        <v>:</v>
      </c>
      <c r="AS50" s="544" t="str">
        <f>IF(VLOOKUP($E$50,[1]QUART!$A$2:$FA$315, 44, FALSE)="",":",VLOOKUP($E$50,[1]QUART!$A$2:$FA$315, 44, FALSE))</f>
        <v>:</v>
      </c>
      <c r="AT50" s="544" t="str">
        <f>IF(VLOOKUP($E$50,[1]QUART!$A$2:$FA$315, 45, FALSE)="",":",VLOOKUP($E$50,[1]QUART!$A$2:$FA$315, 45, FALSE))</f>
        <v>:</v>
      </c>
      <c r="AU50" s="544" t="str">
        <f>IF(VLOOKUP($E$50,[1]QUART!$A$2:$FA$315, 46, FALSE)="",":",VLOOKUP($E$50,[1]QUART!$A$2:$FA$315, 46, FALSE))</f>
        <v>:</v>
      </c>
      <c r="AV50" s="544" t="str">
        <f>IF(VLOOKUP($E$50,[1]QUART!$A$2:$FA$315, 47, FALSE)="",":",VLOOKUP($E$50,[1]QUART!$A$2:$FA$315, 47, FALSE))</f>
        <v>:</v>
      </c>
      <c r="AW50" s="544" t="str">
        <f>IF(VLOOKUP($E$50,[1]QUART!$A$2:$FA$315, 48, FALSE)="",":",VLOOKUP($E$50,[1]QUART!$A$2:$FA$315, 48, FALSE))</f>
        <v>:</v>
      </c>
      <c r="AX50" s="544" t="str">
        <f>IF(VLOOKUP($E$50,[1]QUART!$A$2:$FA$315, 49, FALSE)="",":",VLOOKUP($E$50,[1]QUART!$A$2:$FA$315, 49, FALSE))</f>
        <v>:</v>
      </c>
      <c r="AY50" s="544" t="str">
        <f>IF(VLOOKUP($E$50,[1]QUART!$A$2:$FA$315, 50, FALSE)="",":",VLOOKUP($E$50,[1]QUART!$A$2:$FA$315, 50, FALSE))</f>
        <v>:</v>
      </c>
      <c r="AZ50" s="544" t="str">
        <f>IF(VLOOKUP($E$50,[1]QUART!$A$2:$FA$315, 51, FALSE)="",":",VLOOKUP($E$50,[1]QUART!$A$2:$FA$315, 51, FALSE))</f>
        <v>:</v>
      </c>
      <c r="BA50" s="544" t="str">
        <f>IF(VLOOKUP($E$50,[1]QUART!$A$2:$FA$315, 52, FALSE)="",":",VLOOKUP($E$50,[1]QUART!$A$2:$FA$315, 52, FALSE))</f>
        <v>:</v>
      </c>
      <c r="BB50" s="544" t="str">
        <f>IF(VLOOKUP($E$50,[1]QUART!$A$2:$FA$315, 53, FALSE)="",":",VLOOKUP($E$50,[1]QUART!$A$2:$FA$315, 53, FALSE))</f>
        <v>:</v>
      </c>
      <c r="BC50" s="544" t="str">
        <f>IF(VLOOKUP($E$50,[1]QUART!$A$2:$FA$315, 54, FALSE)="",":",VLOOKUP($E$50,[1]QUART!$A$2:$FA$315, 54, FALSE))</f>
        <v>:</v>
      </c>
      <c r="BD50" s="544" t="str">
        <f>IF(VLOOKUP($E$50,[1]QUART!$A$2:$FA$315, 55, FALSE)="",":",VLOOKUP($E$50,[1]QUART!$A$2:$FA$315, 55, FALSE))</f>
        <v>:</v>
      </c>
      <c r="BE50" s="544" t="str">
        <f>IF(VLOOKUP($E$50,[1]QUART!$A$2:$FA$315, 56, FALSE)="",":",VLOOKUP($E$50,[1]QUART!$A$2:$FA$315, 56, FALSE))</f>
        <v>:</v>
      </c>
      <c r="BF50" s="544" t="str">
        <f>IF(VLOOKUP($E$50,[1]QUART!$A$2:$FA$315, 57, FALSE)="",":",VLOOKUP($E$50,[1]QUART!$A$2:$FA$315, 57, FALSE))</f>
        <v>:</v>
      </c>
      <c r="BG50" s="544" t="str">
        <f>IF(VLOOKUP($E$50,[1]QUART!$A$2:$FA$315, 58, FALSE)="",":",VLOOKUP($E$50,[1]QUART!$A$2:$FA$315, 58, FALSE))</f>
        <v>:</v>
      </c>
      <c r="BH50" s="544" t="str">
        <f>IF(VLOOKUP($E$50,[1]QUART!$A$2:$FA$315, 59, FALSE)="",":",VLOOKUP($E$50,[1]QUART!$A$2:$FA$315, 59, FALSE))</f>
        <v>:</v>
      </c>
      <c r="BI50" s="544" t="str">
        <f>IF(VLOOKUP($E$50,[1]QUART!$A$2:$FA$315, 60, FALSE)="",":",VLOOKUP($E$50,[1]QUART!$A$2:$FA$315, 60, FALSE))</f>
        <v>:</v>
      </c>
      <c r="BJ50" s="544" t="str">
        <f>IF(VLOOKUP($E$50,[1]QUART!$A$2:$FA$315, 61, FALSE)="",":",VLOOKUP($E$50,[1]QUART!$A$2:$FA$315, 61, FALSE))</f>
        <v>:</v>
      </c>
      <c r="BK50" s="544" t="str">
        <f>IF(VLOOKUP($E$50,[1]QUART!$A$2:$FA$315, 62, FALSE)="",":",VLOOKUP($E$50,[1]QUART!$A$2:$FA$315, 62, FALSE))</f>
        <v>:</v>
      </c>
      <c r="BL50" s="544" t="str">
        <f>IF(VLOOKUP($E$50,[1]QUART!$A$2:$FA$315, 63, FALSE)="",":",VLOOKUP($E$50,[1]QUART!$A$2:$FA$315, 63, FALSE))</f>
        <v>:</v>
      </c>
      <c r="BM50" s="544" t="str">
        <f>IF(VLOOKUP($E$50,[1]QUART!$A$2:$FA$315, 64, FALSE)="",":",VLOOKUP($E$50,[1]QUART!$A$2:$FA$315, 64, FALSE))</f>
        <v>:</v>
      </c>
      <c r="BN50" s="544" t="str">
        <f>IF(VLOOKUP($E$50,[1]QUART!$A$2:$FA$315, 65, FALSE)="",":",VLOOKUP($E$50,[1]QUART!$A$2:$FA$315, 65, FALSE))</f>
        <v>:</v>
      </c>
      <c r="BO50" s="544" t="str">
        <f>IF(VLOOKUP($E$50,[1]QUART!$A$2:$FA$315, 66, FALSE)="",":",VLOOKUP($E$50,[1]QUART!$A$2:$FA$315, 66, FALSE))</f>
        <v>:</v>
      </c>
      <c r="BP50" s="544" t="str">
        <f>IF(VLOOKUP($E$50,[1]QUART!$A$2:$FA$315, 67, FALSE)="",":",VLOOKUP($E$50,[1]QUART!$A$2:$FA$315, 67, FALSE))</f>
        <v>:</v>
      </c>
      <c r="BQ50" s="544" t="str">
        <f>IF(VLOOKUP($E$50,[1]QUART!$A$2:$FA$315, 68, FALSE)="",":",VLOOKUP($E$50,[1]QUART!$A$2:$FA$315, 68, FALSE))</f>
        <v>:</v>
      </c>
      <c r="BR50" s="544" t="str">
        <f>IF(VLOOKUP($E$50,[1]QUART!$A$2:$FA$315, 69, FALSE)="",":",VLOOKUP($E$50,[1]QUART!$A$2:$FA$315, 69, FALSE))</f>
        <v>:</v>
      </c>
      <c r="BS50" s="544" t="str">
        <f>IF(VLOOKUP($E$50,[1]QUART!$A$2:$FA$315, 70, FALSE)="",":",VLOOKUP($E$50,[1]QUART!$A$2:$FA$315, 70, FALSE))</f>
        <v>:</v>
      </c>
      <c r="BT50" s="544" t="str">
        <f>IF(VLOOKUP($E$50,[1]QUART!$A$2:$FA$315, 71, FALSE)="",":",VLOOKUP($E$50,[1]QUART!$A$2:$FA$315, 71, FALSE))</f>
        <v>:</v>
      </c>
      <c r="BU50" s="544" t="str">
        <f>IF(VLOOKUP($E$50,[1]QUART!$A$2:$FA$315, 72, FALSE)="",":",VLOOKUP($E$50,[1]QUART!$A$2:$FA$315, 72, FALSE))</f>
        <v>:</v>
      </c>
      <c r="BV50" s="544" t="str">
        <f>IF(VLOOKUP($E$50,[1]QUART!$A$2:$FA$315, 73, FALSE)="",":",VLOOKUP($E$50,[1]QUART!$A$2:$FA$315, 73, FALSE))</f>
        <v>:</v>
      </c>
      <c r="BW50" s="544" t="str">
        <f>IF(VLOOKUP($E$50,[1]QUART!$A$2:$FA$315, 74, FALSE)="",":",VLOOKUP($E$50,[1]QUART!$A$2:$FA$315, 74, FALSE))</f>
        <v>:</v>
      </c>
      <c r="BX50" s="544" t="str">
        <f>IF(VLOOKUP($E$50,[1]QUART!$A$2:$FA$315, 75, FALSE)="",":",VLOOKUP($E$50,[1]QUART!$A$2:$FA$315, 75, FALSE))</f>
        <v>:</v>
      </c>
      <c r="BY50" s="544" t="str">
        <f>IF(VLOOKUP($E$50,[1]QUART!$A$2:$FA$315, 76, FALSE)="",":",VLOOKUP($E$50,[1]QUART!$A$2:$FA$315, 76, FALSE))</f>
        <v>:</v>
      </c>
      <c r="BZ50" s="544" t="str">
        <f>IF(VLOOKUP($E$50,[1]QUART!$A$2:$FA$315, 77, FALSE)="",":",VLOOKUP($E$50,[1]QUART!$A$2:$FA$315, 77, FALSE))</f>
        <v>:</v>
      </c>
      <c r="CA50" s="544" t="str">
        <f>IF(VLOOKUP($E$50,[1]QUART!$A$2:$FA$315, 78, FALSE)="",":",VLOOKUP($E$50,[1]QUART!$A$2:$FA$315, 78, FALSE))</f>
        <v>:</v>
      </c>
      <c r="CB50" s="544" t="str">
        <f>IF(VLOOKUP($E$50,[1]QUART!$A$2:$FA$315, 79, FALSE)="",":",VLOOKUP($E$50,[1]QUART!$A$2:$FA$315, 79, FALSE))</f>
        <v>:</v>
      </c>
      <c r="CC50" s="544" t="str">
        <f>IF(VLOOKUP($E$50,[1]QUART!$A$2:$FA$315, 80, FALSE)="",":",VLOOKUP($E$50,[1]QUART!$A$2:$FA$315, 80, FALSE))</f>
        <v>:</v>
      </c>
      <c r="CD50" s="544" t="str">
        <f>IF(VLOOKUP($E$50,[1]QUART!$A$2:$FA$315, 81, FALSE)="",":",VLOOKUP($E$50,[1]QUART!$A$2:$FA$315, 81, FALSE))</f>
        <v>:</v>
      </c>
      <c r="CE50" s="544" t="str">
        <f>IF(VLOOKUP($E$50,[1]QUART!$A$2:$FA$315, 82, FALSE)="",":",VLOOKUP($E$50,[1]QUART!$A$2:$FA$315, 82, FALSE))</f>
        <v>:</v>
      </c>
      <c r="CF50" s="544" t="str">
        <f>IF(VLOOKUP($E$50,[1]QUART!$A$2:$FA$315, 83, FALSE)="",":",VLOOKUP($E$50,[1]QUART!$A$2:$FA$315, 83, FALSE))</f>
        <v>:</v>
      </c>
      <c r="CG50" s="544" t="str">
        <f>IF(VLOOKUP($E$50,[1]QUART!$A$2:$FA$315, 84, FALSE)="",":",VLOOKUP($E$50,[1]QUART!$A$2:$FA$315, 84, FALSE))</f>
        <v>:</v>
      </c>
      <c r="CH50" s="544" t="str">
        <f>IF(VLOOKUP($E$50,[1]QUART!$A$2:$FA$315, 85, FALSE)="",":",VLOOKUP($E$50,[1]QUART!$A$2:$FA$315, 85, FALSE))</f>
        <v>:</v>
      </c>
      <c r="CI50" s="544" t="str">
        <f>IF(VLOOKUP($E$50,[1]QUART!$A$2:$FA$315, 86, FALSE)="",":",VLOOKUP($E$50,[1]QUART!$A$2:$FA$315, 86, FALSE))</f>
        <v>:</v>
      </c>
      <c r="CJ50" s="544" t="str">
        <f>IF(VLOOKUP($E$50,[1]QUART!$A$2:$FA$315, 87, FALSE)="",":",VLOOKUP($E$50,[1]QUART!$A$2:$FA$315, 87, FALSE))</f>
        <v>:</v>
      </c>
      <c r="CK50" s="544" t="str">
        <f>IF(VLOOKUP($E$50,[1]QUART!$A$2:$FA$315, 88, FALSE)="",":",VLOOKUP($E$50,[1]QUART!$A$2:$FA$315, 88, FALSE))</f>
        <v>:</v>
      </c>
      <c r="CL50" s="544" t="str">
        <f>IF(VLOOKUP($E$50,[1]QUART!$A$2:$FA$315, 89, FALSE)="",":",VLOOKUP($E$50,[1]QUART!$A$2:$FA$315, 89, FALSE))</f>
        <v>:</v>
      </c>
      <c r="CM50" s="544" t="str">
        <f>IF(VLOOKUP($E$50,[1]QUART!$A$2:$FA$315, 90, FALSE)="",":",VLOOKUP($E$50,[1]QUART!$A$2:$FA$315, 90, FALSE))</f>
        <v>:</v>
      </c>
      <c r="CN50" s="544" t="str">
        <f>IF(VLOOKUP($E$50,[1]QUART!$A$2:$FA$315, 91, FALSE)="",":",VLOOKUP($E$50,[1]QUART!$A$2:$FA$315, 91, FALSE))</f>
        <v>:</v>
      </c>
      <c r="CO50" s="544" t="str">
        <f>IF(VLOOKUP($E$50,[1]QUART!$A$2:$FA$315, 92, FALSE)="",":",VLOOKUP($E$50,[1]QUART!$A$2:$FA$315, 92, FALSE))</f>
        <v>:</v>
      </c>
      <c r="CP50" s="544" t="str">
        <f>IF(VLOOKUP($E$50,[1]QUART!$A$2:$FA$315, 93, FALSE)="",":",VLOOKUP($E$50,[1]QUART!$A$2:$FA$315, 93, FALSE))</f>
        <v>:</v>
      </c>
      <c r="CQ50" s="544" t="str">
        <f>IF(VLOOKUP($E$50,[1]QUART!$A$2:$FA$315, 94, FALSE)="",":",VLOOKUP($E$50,[1]QUART!$A$2:$FA$315, 94, FALSE))</f>
        <v>:</v>
      </c>
      <c r="CR50" s="544" t="str">
        <f>IF(VLOOKUP($E$50,[1]QUART!$A$2:$FA$315, 95, FALSE)="",":",VLOOKUP($E$50,[1]QUART!$A$2:$FA$315, 95, FALSE))</f>
        <v>:</v>
      </c>
      <c r="CS50" s="544" t="str">
        <f>IF(VLOOKUP($E$50,[1]QUART!$A$2:$FA$315, 96, FALSE)="",":",VLOOKUP($E$50,[1]QUART!$A$2:$FA$315, 96, FALSE))</f>
        <v>:</v>
      </c>
      <c r="CT50" s="544" t="str">
        <f>IF(VLOOKUP($E$50,[1]QUART!$A$2:$FA$315, 97, FALSE)="",":",VLOOKUP($E$50,[1]QUART!$A$2:$FA$315, 97, FALSE))</f>
        <v>:</v>
      </c>
      <c r="CU50" s="544" t="str">
        <f>IF(VLOOKUP($E$50,[1]QUART!$A$2:$FA$315, 98, FALSE)="",":",VLOOKUP($E$50,[1]QUART!$A$2:$FA$315, 98, FALSE))</f>
        <v>:</v>
      </c>
      <c r="CV50" s="544" t="str">
        <f>IF(VLOOKUP($E$50,[1]QUART!$A$2:$FA$315, 99, FALSE)="",":",VLOOKUP($E$50,[1]QUART!$A$2:$FA$315, 99, FALSE))</f>
        <v>:</v>
      </c>
      <c r="CW50" s="544" t="str">
        <f>IF(VLOOKUP($E$50,[1]QUART!$A$2:$FA$315, 100, FALSE)="",":",VLOOKUP($E$50,[1]QUART!$A$2:$FA$315, 100, FALSE))</f>
        <v>:</v>
      </c>
      <c r="CX50" s="544" t="str">
        <f>IF(VLOOKUP($E$50,[1]QUART!$A$2:$FA$315, 101, FALSE)="",":",VLOOKUP($E$50,[1]QUART!$A$2:$FA$315, 101, FALSE))</f>
        <v>:</v>
      </c>
      <c r="CY50" s="544" t="str">
        <f>IF(VLOOKUP($E$50,[1]QUART!$A$2:$FA$315, 102, FALSE)="",":",VLOOKUP($E$50,[1]QUART!$A$2:$FA$315, 102, FALSE))</f>
        <v>:</v>
      </c>
      <c r="CZ50" s="544" t="str">
        <f>IF(VLOOKUP($E$50,[1]QUART!$A$2:$FA$315, 103, FALSE)="",":",VLOOKUP($E$50,[1]QUART!$A$2:$FA$315, 103, FALSE))</f>
        <v>:</v>
      </c>
      <c r="DA50" s="544" t="str">
        <f>IF(VLOOKUP($E$50,[1]QUART!$A$2:$FA$315, 104, FALSE)="",":",VLOOKUP($E$50,[1]QUART!$A$2:$FA$315, 104, FALSE))</f>
        <v>:</v>
      </c>
      <c r="DB50" s="544" t="str">
        <f>IF(VLOOKUP($E$50,[1]QUART!$A$2:$FA$315, 105, FALSE)="",":",VLOOKUP($E$50,[1]QUART!$A$2:$FA$315, 105, FALSE))</f>
        <v>:</v>
      </c>
      <c r="DC50" s="544" t="str">
        <f>IF(VLOOKUP($E$50,[1]QUART!$A$2:$FA$315, 106, FALSE)="",":",VLOOKUP($E$50,[1]QUART!$A$2:$FA$315, 106, FALSE))</f>
        <v>:</v>
      </c>
    </row>
    <row r="51" spans="1:107">
      <c r="A51" s="1954"/>
      <c r="B51" s="534"/>
      <c r="C51" s="535"/>
      <c r="D51" s="12" t="s">
        <v>1841</v>
      </c>
      <c r="E51" s="13">
        <v>117</v>
      </c>
      <c r="F51" s="14" t="str">
        <f>VLOOKUP($E$51,[1]QUART!$A$2:$FA$311, 3, FALSE)</f>
        <v xml:space="preserve">117  GDP                                                 </v>
      </c>
      <c r="G51" s="544" t="str">
        <f>IF(VLOOKUP($E$51,[1]QUART!$A$2:$FA$311, 6, FALSE)="",":",VLOOKUP($E$51,[1]QUART!$A$2:$FA$311, 6, FALSE))</f>
        <v>:</v>
      </c>
      <c r="H51" s="544" t="str">
        <f>IF(VLOOKUP($E$51,[1]QUART!$A$2:$FA$311, 7, FALSE)="",":",VLOOKUP($E$51,[1]QUART!$A$2:$FA$311, 7, FALSE))</f>
        <v>:</v>
      </c>
      <c r="I51" s="544" t="str">
        <f>IF(VLOOKUP($E$51,[1]QUART!$A$2:$FA$311, 8, FALSE)="",":",VLOOKUP($E$51,[1]QUART!$A$2:$FA$311, 8, FALSE))</f>
        <v>:</v>
      </c>
      <c r="J51" s="544" t="str">
        <f>IF(VLOOKUP($E$51,[1]QUART!$A$2:$FA$311, 9, FALSE)="",":",VLOOKUP($E$51,[1]QUART!$A$2:$FA$311, 9, FALSE))</f>
        <v>:</v>
      </c>
      <c r="K51" s="544" t="str">
        <f>IF(VLOOKUP($E$51,[1]QUART!$A$2:$FA$311, 10, FALSE)="",":",VLOOKUP($E$51,[1]QUART!$A$2:$FA$311, 10, FALSE))</f>
        <v>:</v>
      </c>
      <c r="L51" s="544" t="str">
        <f>IF(VLOOKUP($E$51,[1]QUART!$A$2:$FA$311, 11, FALSE)="",":",VLOOKUP($E$51,[1]QUART!$A$2:$FA$311, 11, FALSE))</f>
        <v>:</v>
      </c>
      <c r="M51" s="544" t="str">
        <f>IF(VLOOKUP($E$51,[1]QUART!$A$2:$FA$311, 12, FALSE)="",":",VLOOKUP($E$51,[1]QUART!$A$2:$FA$311, 12, FALSE))</f>
        <v>:</v>
      </c>
      <c r="N51" s="544" t="str">
        <f>IF(VLOOKUP($E$51,[1]QUART!$A$2:$FA$311, 13, FALSE)="",":",VLOOKUP($E$51,[1]QUART!$A$2:$FA$311, 13, FALSE))</f>
        <v>:</v>
      </c>
      <c r="O51" s="544" t="str">
        <f>IF(VLOOKUP($E$51,[1]QUART!$A$2:$FA$311, 14, FALSE)="",":",VLOOKUP($E$51,[1]QUART!$A$2:$FA$311, 14, FALSE))</f>
        <v>:</v>
      </c>
      <c r="P51" s="544" t="str">
        <f>IF(VLOOKUP($E$51,[1]QUART!$A$2:$FA$311, 15, FALSE)="",":",VLOOKUP($E$51,[1]QUART!$A$2:$FA$311, 15, FALSE))</f>
        <v>:</v>
      </c>
      <c r="Q51" s="544" t="str">
        <f>IF(VLOOKUP($E$51,[1]QUART!$A$2:$FA$311, 16, FALSE)="",":",VLOOKUP($E$51,[1]QUART!$A$2:$FA$311, 16, FALSE))</f>
        <v>:</v>
      </c>
      <c r="R51" s="544" t="str">
        <f>IF(VLOOKUP($E$51,[1]QUART!$A$2:$FA$311, 17, FALSE)="",":",VLOOKUP($E$51,[1]QUART!$A$2:$FA$311, 17, FALSE))</f>
        <v>:</v>
      </c>
      <c r="S51" s="544" t="str">
        <f>IF(VLOOKUP($E$51,[1]QUART!$A$2:$FA$311, 18, FALSE)="",":",VLOOKUP($E$51,[1]QUART!$A$2:$FA$311, 18, FALSE))</f>
        <v>:</v>
      </c>
      <c r="T51" s="544" t="str">
        <f>IF(VLOOKUP($E$51,[1]QUART!$A$2:$FA$311, 19, FALSE)="",":",VLOOKUP($E$51,[1]QUART!$A$2:$FA$311, 19, FALSE))</f>
        <v>:</v>
      </c>
      <c r="U51" s="544" t="str">
        <f>IF(VLOOKUP($E$51,[1]QUART!$A$2:$FA$311, 20, FALSE)="",":",VLOOKUP($E$51,[1]QUART!$A$2:$FA$311, 20, FALSE))</f>
        <v>:</v>
      </c>
      <c r="V51" s="544" t="str">
        <f>IF(VLOOKUP($E$51,[1]QUART!$A$2:$FA$311, 21, FALSE)="",":",VLOOKUP($E$51,[1]QUART!$A$2:$FA$311, 21, FALSE))</f>
        <v>:</v>
      </c>
      <c r="W51" s="544" t="str">
        <f>IF(VLOOKUP($E$51,[1]QUART!$A$2:$FA$311, 22, FALSE)="",":",VLOOKUP($E$51,[1]QUART!$A$2:$FA$311, 22, FALSE))</f>
        <v>:</v>
      </c>
      <c r="X51" s="544" t="str">
        <f>IF(VLOOKUP($E$51,[1]QUART!$A$2:$FA$311, 23, FALSE)="",":",VLOOKUP($E$51,[1]QUART!$A$2:$FA$311, 23, FALSE))</f>
        <v>:</v>
      </c>
      <c r="Y51" s="544" t="str">
        <f>IF(VLOOKUP($E$51,[1]QUART!$A$2:$FA$311, 24, FALSE)="",":",VLOOKUP($E$51,[1]QUART!$A$2:$FA$311, 24, FALSE))</f>
        <v>:</v>
      </c>
      <c r="Z51" s="544" t="str">
        <f>IF(VLOOKUP($E$51,[1]QUART!$A$2:$FA$311, 25, FALSE)="",":",VLOOKUP($E$51,[1]QUART!$A$2:$FA$311, 25, FALSE))</f>
        <v>:</v>
      </c>
      <c r="AA51" s="544" t="str">
        <f>IF(VLOOKUP($E$51,[1]QUART!$A$2:$FA$311, 26, FALSE)="",":",VLOOKUP($E$51,[1]QUART!$A$2:$FA$311, 26, FALSE))</f>
        <v>:</v>
      </c>
      <c r="AB51" s="544" t="str">
        <f>IF(VLOOKUP($E$51,[1]QUART!$A$2:$FA$311, 27, FALSE)="",":",VLOOKUP($E$51,[1]QUART!$A$2:$FA$311, 27, FALSE))</f>
        <v>:</v>
      </c>
      <c r="AC51" s="544" t="str">
        <f>IF(VLOOKUP($E$51,[1]QUART!$A$2:$FA$311, 28, FALSE)="",":",VLOOKUP($E$51,[1]QUART!$A$2:$FA$311, 28, FALSE))</f>
        <v>:</v>
      </c>
      <c r="AD51" s="544" t="str">
        <f>IF(VLOOKUP($E$51,[1]QUART!$A$2:$FA$311, 29, FALSE)="",":",VLOOKUP($E$51,[1]QUART!$A$2:$FA$311, 29, FALSE))</f>
        <v>:</v>
      </c>
      <c r="AE51" s="544" t="str">
        <f>IF(VLOOKUP($E$51,[1]QUART!$A$2:$FA$311, 30, FALSE)="",":",VLOOKUP($E$51,[1]QUART!$A$2:$FA$311, 30, FALSE))</f>
        <v>:</v>
      </c>
      <c r="AF51" s="544" t="str">
        <f>IF(VLOOKUP($E$51,[1]QUART!$A$2:$FA$311, 31, FALSE)="",":",VLOOKUP($E$51,[1]QUART!$A$2:$FA$311, 31, FALSE))</f>
        <v>:</v>
      </c>
      <c r="AG51" s="544" t="str">
        <f>IF(VLOOKUP($E$51,[1]QUART!$A$2:$FA$311, 32, FALSE)="",":",VLOOKUP($E$51,[1]QUART!$A$2:$FA$311, 32, FALSE))</f>
        <v>:</v>
      </c>
      <c r="AH51" s="544" t="str">
        <f>IF(VLOOKUP($E$51,[1]QUART!$A$2:$FA$311, 33, FALSE)="",":",VLOOKUP($E$51,[1]QUART!$A$2:$FA$311, 33, FALSE))</f>
        <v>:</v>
      </c>
      <c r="AI51" s="544" t="str">
        <f>IF(VLOOKUP($E$51,[1]QUART!$A$2:$FA$311, 34, FALSE)="",":",VLOOKUP($E$51,[1]QUART!$A$2:$FA$311, 34, FALSE))</f>
        <v>:</v>
      </c>
      <c r="AJ51" s="544" t="str">
        <f>IF(VLOOKUP($E$51,[1]QUART!$A$2:$FA$311, 35, FALSE)="",":",VLOOKUP($E$51,[1]QUART!$A$2:$FA$311, 35, FALSE))</f>
        <v>:</v>
      </c>
      <c r="AK51" s="544" t="str">
        <f>IF(VLOOKUP($E$51,[1]QUART!$A$2:$FA$311, 36, FALSE)="",":",VLOOKUP($E$51,[1]QUART!$A$2:$FA$311, 36, FALSE))</f>
        <v>:</v>
      </c>
      <c r="AL51" s="544" t="str">
        <f>IF(VLOOKUP($E$51,[1]QUART!$A$2:$FA$311, 37, FALSE)="",":",VLOOKUP($E$51,[1]QUART!$A$2:$FA$311, 37, FALSE))</f>
        <v>:</v>
      </c>
      <c r="AM51" s="544" t="str">
        <f>IF(VLOOKUP($E$51,[1]QUART!$A$2:$FA$311, 38, FALSE)="",":",VLOOKUP($E$51,[1]QUART!$A$2:$FA$311, 38, FALSE))</f>
        <v>:</v>
      </c>
      <c r="AN51" s="544" t="str">
        <f>IF(VLOOKUP($E$51,[1]QUART!$A$2:$FA$311, 39, FALSE)="",":",VLOOKUP($E$51,[1]QUART!$A$2:$FA$311, 39, FALSE))</f>
        <v>:</v>
      </c>
      <c r="AO51" s="544" t="str">
        <f>IF(VLOOKUP($E$51,[1]QUART!$A$2:$FA$311, 40, FALSE)="",":",VLOOKUP($E$51,[1]QUART!$A$2:$FA$311, 40, FALSE))</f>
        <v>:</v>
      </c>
      <c r="AP51" s="544" t="str">
        <f>IF(VLOOKUP($E$51,[1]QUART!$A$2:$FA$311, 41, FALSE)="",":",VLOOKUP($E$51,[1]QUART!$A$2:$FA$311, 41, FALSE))</f>
        <v>:</v>
      </c>
      <c r="AQ51" s="544" t="str">
        <f>IF(VLOOKUP($E$51,[1]QUART!$A$2:$FA$311, 42, FALSE)="",":",VLOOKUP($E$51,[1]QUART!$A$2:$FA$311, 42, FALSE))</f>
        <v>:</v>
      </c>
      <c r="AR51" s="544" t="str">
        <f>IF(VLOOKUP($E$51,[1]QUART!$A$2:$FA$311, 43, FALSE)="",":",VLOOKUP($E$51,[1]QUART!$A$2:$FA$311, 43, FALSE))</f>
        <v>:</v>
      </c>
      <c r="AS51" s="544" t="str">
        <f>IF(VLOOKUP($E$51,[1]QUART!$A$2:$FA$311, 44, FALSE)="",":",VLOOKUP($E$51,[1]QUART!$A$2:$FA$311, 44, FALSE))</f>
        <v>:</v>
      </c>
      <c r="AT51" s="544" t="str">
        <f>IF(VLOOKUP($E$51,[1]QUART!$A$2:$FA$311, 45, FALSE)="",":",VLOOKUP($E$51,[1]QUART!$A$2:$FA$311, 45, FALSE))</f>
        <v>:</v>
      </c>
      <c r="AU51" s="544" t="str">
        <f>IF(VLOOKUP($E$51,[1]QUART!$A$2:$FA$311, 46, FALSE)="",":",VLOOKUP($E$51,[1]QUART!$A$2:$FA$311, 46, FALSE))</f>
        <v>:</v>
      </c>
      <c r="AV51" s="544" t="str">
        <f>IF(VLOOKUP($E$51,[1]QUART!$A$2:$FA$311, 47, FALSE)="",":",VLOOKUP($E$51,[1]QUART!$A$2:$FA$311, 47, FALSE))</f>
        <v>:</v>
      </c>
      <c r="AW51" s="544" t="str">
        <f>IF(VLOOKUP($E$51,[1]QUART!$A$2:$FA$311, 48, FALSE)="",":",VLOOKUP($E$51,[1]QUART!$A$2:$FA$311, 48, FALSE))</f>
        <v>:</v>
      </c>
      <c r="AX51" s="544" t="str">
        <f>IF(VLOOKUP($E$51,[1]QUART!$A$2:$FA$311, 49, FALSE)="",":",VLOOKUP($E$51,[1]QUART!$A$2:$FA$311, 49, FALSE))</f>
        <v>:</v>
      </c>
      <c r="AY51" s="544" t="str">
        <f>IF(VLOOKUP($E$51,[1]QUART!$A$2:$FA$311, 50, FALSE)="",":",VLOOKUP($E$51,[1]QUART!$A$2:$FA$311, 50, FALSE))</f>
        <v>:</v>
      </c>
      <c r="AZ51" s="544" t="str">
        <f>IF(VLOOKUP($E$51,[1]QUART!$A$2:$FA$311, 51, FALSE)="",":",VLOOKUP($E$51,[1]QUART!$A$2:$FA$311, 51, FALSE))</f>
        <v>:</v>
      </c>
      <c r="BA51" s="544" t="str">
        <f>IF(VLOOKUP($E$51,[1]QUART!$A$2:$FA$311, 52, FALSE)="",":",VLOOKUP($E$51,[1]QUART!$A$2:$FA$311, 52, FALSE))</f>
        <v>:</v>
      </c>
      <c r="BB51" s="544" t="str">
        <f>IF(VLOOKUP($E$51,[1]QUART!$A$2:$FA$311, 53, FALSE)="",":",VLOOKUP($E$51,[1]QUART!$A$2:$FA$311, 53, FALSE))</f>
        <v>:</v>
      </c>
      <c r="BC51" s="544" t="str">
        <f>IF(VLOOKUP($E$51,[1]QUART!$A$2:$FA$311, 54, FALSE)="",":",VLOOKUP($E$51,[1]QUART!$A$2:$FA$311, 54, FALSE))</f>
        <v>:</v>
      </c>
      <c r="BD51" s="544" t="str">
        <f>IF(VLOOKUP($E$51,[1]QUART!$A$2:$FA$311, 55, FALSE)="",":",VLOOKUP($E$51,[1]QUART!$A$2:$FA$311, 55, FALSE))</f>
        <v>:</v>
      </c>
      <c r="BE51" s="544" t="str">
        <f>IF(VLOOKUP($E$51,[1]QUART!$A$2:$FA$311, 56, FALSE)="",":",VLOOKUP($E$51,[1]QUART!$A$2:$FA$311, 56, FALSE))</f>
        <v>:</v>
      </c>
      <c r="BF51" s="544" t="str">
        <f>IF(VLOOKUP($E$51,[1]QUART!$A$2:$FA$311, 57, FALSE)="",":",VLOOKUP($E$51,[1]QUART!$A$2:$FA$311, 57, FALSE))</f>
        <v>:</v>
      </c>
      <c r="BG51" s="544" t="str">
        <f>IF(VLOOKUP($E$51,[1]QUART!$A$2:$FA$311, 58, FALSE)="",":",VLOOKUP($E$51,[1]QUART!$A$2:$FA$311, 58, FALSE))</f>
        <v>:</v>
      </c>
      <c r="BH51" s="544" t="str">
        <f>IF(VLOOKUP($E$51,[1]QUART!$A$2:$FA$311, 59, FALSE)="",":",VLOOKUP($E$51,[1]QUART!$A$2:$FA$311, 59, FALSE))</f>
        <v>:</v>
      </c>
      <c r="BI51" s="544" t="str">
        <f>IF(VLOOKUP($E$51,[1]QUART!$A$2:$FA$311, 60, FALSE)="",":",VLOOKUP($E$51,[1]QUART!$A$2:$FA$311, 60, FALSE))</f>
        <v>:</v>
      </c>
      <c r="BJ51" s="544" t="str">
        <f>IF(VLOOKUP($E$51,[1]QUART!$A$2:$FA$311, 61, FALSE)="",":",VLOOKUP($E$51,[1]QUART!$A$2:$FA$311, 61, FALSE))</f>
        <v>:</v>
      </c>
      <c r="BK51" s="544" t="str">
        <f>IF(VLOOKUP($E$51,[1]QUART!$A$2:$FA$311, 62, FALSE)="",":",VLOOKUP($E$51,[1]QUART!$A$2:$FA$311, 62, FALSE))</f>
        <v>:</v>
      </c>
      <c r="BL51" s="544" t="str">
        <f>IF(VLOOKUP($E$51,[1]QUART!$A$2:$FA$311, 63, FALSE)="",":",VLOOKUP($E$51,[1]QUART!$A$2:$FA$311, 63, FALSE))</f>
        <v>:</v>
      </c>
      <c r="BM51" s="544" t="str">
        <f>IF(VLOOKUP($E$51,[1]QUART!$A$2:$FA$311, 64, FALSE)="",":",VLOOKUP($E$51,[1]QUART!$A$2:$FA$311, 64, FALSE))</f>
        <v>:</v>
      </c>
      <c r="BN51" s="544" t="str">
        <f>IF(VLOOKUP($E$51,[1]QUART!$A$2:$FA$311, 65, FALSE)="",":",VLOOKUP($E$51,[1]QUART!$A$2:$FA$311, 65, FALSE))</f>
        <v>:</v>
      </c>
      <c r="BO51" s="544" t="str">
        <f>IF(VLOOKUP($E$51,[1]QUART!$A$2:$FA$311, 66, FALSE)="",":",VLOOKUP($E$51,[1]QUART!$A$2:$FA$311, 66, FALSE))</f>
        <v>:</v>
      </c>
      <c r="BP51" s="544" t="str">
        <f>IF(VLOOKUP($E$51,[1]QUART!$A$2:$FA$311, 67, FALSE)="",":",VLOOKUP($E$51,[1]QUART!$A$2:$FA$311, 67, FALSE))</f>
        <v>:</v>
      </c>
      <c r="BQ51" s="544" t="str">
        <f>IF(VLOOKUP($E$51,[1]QUART!$A$2:$FA$311, 68, FALSE)="",":",VLOOKUP($E$51,[1]QUART!$A$2:$FA$311, 68, FALSE))</f>
        <v>:</v>
      </c>
      <c r="BR51" s="544" t="str">
        <f>IF(VLOOKUP($E$51,[1]QUART!$A$2:$FA$311, 69, FALSE)="",":",VLOOKUP($E$51,[1]QUART!$A$2:$FA$311, 69, FALSE))</f>
        <v>:</v>
      </c>
      <c r="BS51" s="544" t="str">
        <f>IF(VLOOKUP($E$51,[1]QUART!$A$2:$FA$311, 70, FALSE)="",":",VLOOKUP($E$51,[1]QUART!$A$2:$FA$311, 70, FALSE))</f>
        <v>:</v>
      </c>
      <c r="BT51" s="544" t="str">
        <f>IF(VLOOKUP($E$51,[1]QUART!$A$2:$FA$311, 71, FALSE)="",":",VLOOKUP($E$51,[1]QUART!$A$2:$FA$311, 71, FALSE))</f>
        <v>:</v>
      </c>
      <c r="BU51" s="544" t="str">
        <f>IF(VLOOKUP($E$51,[1]QUART!$A$2:$FA$311, 72, FALSE)="",":",VLOOKUP($E$51,[1]QUART!$A$2:$FA$311, 72, FALSE))</f>
        <v>:</v>
      </c>
      <c r="BV51" s="544" t="str">
        <f>IF(VLOOKUP($E$51,[1]QUART!$A$2:$FA$311, 73, FALSE)="",":",VLOOKUP($E$51,[1]QUART!$A$2:$FA$311, 73, FALSE))</f>
        <v>:</v>
      </c>
      <c r="BW51" s="544" t="str">
        <f>IF(VLOOKUP($E$51,[1]QUART!$A$2:$FA$311, 74, FALSE)="",":",VLOOKUP($E$51,[1]QUART!$A$2:$FA$311, 74, FALSE))</f>
        <v>:</v>
      </c>
      <c r="BX51" s="544" t="str">
        <f>IF(VLOOKUP($E$51,[1]QUART!$A$2:$FA$311, 75, FALSE)="",":",VLOOKUP($E$51,[1]QUART!$A$2:$FA$311, 75, FALSE))</f>
        <v>:</v>
      </c>
      <c r="BY51" s="544" t="str">
        <f>IF(VLOOKUP($E$51,[1]QUART!$A$2:$FA$311, 76, FALSE)="",":",VLOOKUP($E$51,[1]QUART!$A$2:$FA$311, 76, FALSE))</f>
        <v>:</v>
      </c>
      <c r="BZ51" s="544" t="str">
        <f>IF(VLOOKUP($E$51,[1]QUART!$A$2:$FA$311, 77, FALSE)="",":",VLOOKUP($E$51,[1]QUART!$A$2:$FA$311, 77, FALSE))</f>
        <v>:</v>
      </c>
      <c r="CA51" s="544" t="str">
        <f>IF(VLOOKUP($E$51,[1]QUART!$A$2:$FA$311, 78, FALSE)="",":",VLOOKUP($E$51,[1]QUART!$A$2:$FA$311, 78, FALSE))</f>
        <v>:</v>
      </c>
      <c r="CB51" s="544" t="str">
        <f>IF(VLOOKUP($E$51,[1]QUART!$A$2:$FA$311, 79, FALSE)="",":",VLOOKUP($E$51,[1]QUART!$A$2:$FA$311, 79, FALSE))</f>
        <v>:</v>
      </c>
      <c r="CC51" s="544" t="str">
        <f>IF(VLOOKUP($E$51,[1]QUART!$A$2:$FA$311, 80, FALSE)="",":",VLOOKUP($E$51,[1]QUART!$A$2:$FA$311, 80, FALSE))</f>
        <v>:</v>
      </c>
      <c r="CD51" s="544" t="str">
        <f>IF(VLOOKUP($E$51,[1]QUART!$A$2:$FA$311, 81, FALSE)="",":",VLOOKUP($E$51,[1]QUART!$A$2:$FA$311, 81, FALSE))</f>
        <v>:</v>
      </c>
      <c r="CE51" s="544" t="str">
        <f>IF(VLOOKUP($E$51,[1]QUART!$A$2:$FA$311, 82, FALSE)="",":",VLOOKUP($E$51,[1]QUART!$A$2:$FA$311, 82, FALSE))</f>
        <v>:</v>
      </c>
      <c r="CF51" s="544" t="str">
        <f>IF(VLOOKUP($E$51,[1]QUART!$A$2:$FA$311, 83, FALSE)="",":",VLOOKUP($E$51,[1]QUART!$A$2:$FA$311, 83, FALSE))</f>
        <v>:</v>
      </c>
      <c r="CG51" s="544" t="str">
        <f>IF(VLOOKUP($E$51,[1]QUART!$A$2:$FA$311, 84, FALSE)="",":",VLOOKUP($E$51,[1]QUART!$A$2:$FA$311, 84, FALSE))</f>
        <v>:</v>
      </c>
      <c r="CH51" s="544" t="str">
        <f>IF(VLOOKUP($E$51,[1]QUART!$A$2:$FA$311, 85, FALSE)="",":",VLOOKUP($E$51,[1]QUART!$A$2:$FA$311, 85, FALSE))</f>
        <v>:</v>
      </c>
      <c r="CI51" s="544" t="str">
        <f>IF(VLOOKUP($E$51,[1]QUART!$A$2:$FA$311, 86, FALSE)="",":",VLOOKUP($E$51,[1]QUART!$A$2:$FA$311, 86, FALSE))</f>
        <v>:</v>
      </c>
      <c r="CJ51" s="544" t="str">
        <f>IF(VLOOKUP($E$51,[1]QUART!$A$2:$FA$311, 87, FALSE)="",":",VLOOKUP($E$51,[1]QUART!$A$2:$FA$311, 87, FALSE))</f>
        <v>:</v>
      </c>
      <c r="CK51" s="544" t="str">
        <f>IF(VLOOKUP($E$51,[1]QUART!$A$2:$FA$311, 88, FALSE)="",":",VLOOKUP($E$51,[1]QUART!$A$2:$FA$311, 88, FALSE))</f>
        <v>:</v>
      </c>
      <c r="CL51" s="544" t="str">
        <f>IF(VLOOKUP($E$51,[1]QUART!$A$2:$FA$311, 89, FALSE)="",":",VLOOKUP($E$51,[1]QUART!$A$2:$FA$311, 89, FALSE))</f>
        <v>:</v>
      </c>
      <c r="CM51" s="544" t="str">
        <f>IF(VLOOKUP($E$51,[1]QUART!$A$2:$FA$311, 90, FALSE)="",":",VLOOKUP($E$51,[1]QUART!$A$2:$FA$311, 90, FALSE))</f>
        <v>:</v>
      </c>
      <c r="CN51" s="544" t="str">
        <f>IF(VLOOKUP($E$51,[1]QUART!$A$2:$FA$311, 91, FALSE)="",":",VLOOKUP($E$51,[1]QUART!$A$2:$FA$311, 91, FALSE))</f>
        <v>:</v>
      </c>
      <c r="CO51" s="544" t="str">
        <f>IF(VLOOKUP($E$51,[1]QUART!$A$2:$FA$311, 92, FALSE)="",":",VLOOKUP($E$51,[1]QUART!$A$2:$FA$311, 92, FALSE))</f>
        <v>:</v>
      </c>
      <c r="CP51" s="544" t="str">
        <f>IF(VLOOKUP($E$51,[1]QUART!$A$2:$FA$311, 93, FALSE)="",":",VLOOKUP($E$51,[1]QUART!$A$2:$FA$311, 93, FALSE))</f>
        <v>:</v>
      </c>
      <c r="CQ51" s="544" t="str">
        <f>IF(VLOOKUP($E$51,[1]QUART!$A$2:$FA$311, 94, FALSE)="",":",VLOOKUP($E$51,[1]QUART!$A$2:$FA$311, 94, FALSE))</f>
        <v>:</v>
      </c>
      <c r="CR51" s="544" t="str">
        <f>IF(VLOOKUP($E$51,[1]QUART!$A$2:$FA$311, 95, FALSE)="",":",VLOOKUP($E$51,[1]QUART!$A$2:$FA$311, 95, FALSE))</f>
        <v>:</v>
      </c>
      <c r="CS51" s="544" t="str">
        <f>IF(VLOOKUP($E$51,[1]QUART!$A$2:$FA$311, 96, FALSE)="",":",VLOOKUP($E$51,[1]QUART!$A$2:$FA$311, 96, FALSE))</f>
        <v>:</v>
      </c>
      <c r="CT51" s="544" t="str">
        <f>IF(VLOOKUP($E$51,[1]QUART!$A$2:$FA$311, 97, FALSE)="",":",VLOOKUP($E$51,[1]QUART!$A$2:$FA$311, 97, FALSE))</f>
        <v>:</v>
      </c>
      <c r="CU51" s="544" t="str">
        <f>IF(VLOOKUP($E$51,[1]QUART!$A$2:$FA$311, 98, FALSE)="",":",VLOOKUP($E$51,[1]QUART!$A$2:$FA$311, 98, FALSE))</f>
        <v>:</v>
      </c>
      <c r="CV51" s="544" t="str">
        <f>IF(VLOOKUP($E$51,[1]QUART!$A$2:$FA$311, 99, FALSE)="",":",VLOOKUP($E$51,[1]QUART!$A$2:$FA$311, 99, FALSE))</f>
        <v>:</v>
      </c>
      <c r="CW51" s="544" t="str">
        <f>IF(VLOOKUP($E$51,[1]QUART!$A$2:$FA$311, 100, FALSE)="",":",VLOOKUP($E$51,[1]QUART!$A$2:$FA$311, 100, FALSE))</f>
        <v>:</v>
      </c>
      <c r="CX51" s="544" t="str">
        <f>IF(VLOOKUP($E$51,[1]QUART!$A$2:$FA$311, 101, FALSE)="",":",VLOOKUP($E$51,[1]QUART!$A$2:$FA$311, 101, FALSE))</f>
        <v>:</v>
      </c>
      <c r="CY51" s="544" t="str">
        <f>IF(VLOOKUP($E$51,[1]QUART!$A$2:$FA$311, 102, FALSE)="",":",VLOOKUP($E$51,[1]QUART!$A$2:$FA$311, 102, FALSE))</f>
        <v>:</v>
      </c>
      <c r="CZ51" s="544" t="str">
        <f>IF(VLOOKUP($E$51,[1]QUART!$A$2:$FA$311, 103, FALSE)="",":",VLOOKUP($E$51,[1]QUART!$A$2:$FA$311, 103, FALSE))</f>
        <v>:</v>
      </c>
      <c r="DA51" s="544" t="str">
        <f>IF(VLOOKUP($E$51,[1]QUART!$A$2:$FA$311, 104, FALSE)="",":",VLOOKUP($E$51,[1]QUART!$A$2:$FA$311, 104, FALSE))</f>
        <v>:</v>
      </c>
      <c r="DB51" s="544" t="str">
        <f>IF(VLOOKUP($E$51,[1]QUART!$A$2:$FA$311, 105, FALSE)="",":",VLOOKUP($E$51,[1]QUART!$A$2:$FA$311, 105, FALSE))</f>
        <v>:</v>
      </c>
      <c r="DC51" s="544" t="str">
        <f>IF(VLOOKUP($E$51,[1]QUART!$A$2:$FA$311, 106, FALSE)="",":",VLOOKUP($E$51,[1]QUART!$A$2:$FA$311, 106, FALSE))</f>
        <v>:</v>
      </c>
    </row>
    <row r="52" spans="1:107">
      <c r="A52" s="533"/>
      <c r="B52" s="534"/>
      <c r="C52" s="535"/>
      <c r="D52" s="12"/>
      <c r="E52" s="13"/>
      <c r="F52" s="14"/>
      <c r="G52" s="544"/>
      <c r="H52" s="544"/>
      <c r="I52" s="544"/>
      <c r="J52" s="544"/>
      <c r="K52" s="544"/>
      <c r="L52" s="544"/>
      <c r="M52" s="544"/>
      <c r="N52" s="544"/>
      <c r="O52" s="544"/>
      <c r="P52" s="544"/>
      <c r="Q52" s="544"/>
      <c r="R52" s="544"/>
      <c r="S52" s="544"/>
      <c r="T52" s="544"/>
      <c r="U52" s="544"/>
      <c r="V52" s="544"/>
      <c r="W52" s="544"/>
      <c r="X52" s="544"/>
      <c r="Y52" s="544"/>
      <c r="Z52" s="544"/>
      <c r="AA52" s="544"/>
      <c r="AB52" s="544"/>
      <c r="AC52" s="544"/>
      <c r="AD52" s="544"/>
      <c r="AE52" s="544"/>
      <c r="AF52" s="544"/>
      <c r="AG52" s="544"/>
      <c r="AH52" s="544"/>
      <c r="AI52" s="544"/>
      <c r="AJ52" s="544"/>
      <c r="AK52" s="544"/>
      <c r="AL52" s="544"/>
      <c r="AM52" s="544"/>
      <c r="AN52" s="544"/>
      <c r="AO52" s="544"/>
      <c r="AP52" s="544"/>
      <c r="AQ52" s="544"/>
      <c r="AR52" s="544"/>
      <c r="AS52" s="544"/>
      <c r="AT52" s="544"/>
      <c r="AU52" s="544"/>
      <c r="AV52" s="544"/>
      <c r="AW52" s="544"/>
      <c r="AX52" s="544"/>
      <c r="AY52" s="544"/>
      <c r="AZ52" s="544"/>
      <c r="BA52" s="544"/>
      <c r="BB52" s="544"/>
      <c r="BC52" s="544"/>
      <c r="BD52" s="544"/>
      <c r="BE52" s="544"/>
      <c r="BF52" s="544"/>
      <c r="BG52" s="544"/>
      <c r="BH52" s="544"/>
      <c r="BI52" s="544"/>
      <c r="BJ52" s="544"/>
      <c r="BK52" s="544"/>
      <c r="BL52" s="544"/>
      <c r="BM52" s="544"/>
      <c r="BN52" s="544"/>
      <c r="BO52" s="544"/>
      <c r="BP52" s="544"/>
      <c r="BQ52" s="544"/>
      <c r="BR52" s="544"/>
      <c r="BS52" s="544"/>
      <c r="BT52" s="544"/>
      <c r="BU52" s="544"/>
      <c r="BV52" s="544"/>
      <c r="BW52" s="544"/>
      <c r="BX52" s="544"/>
      <c r="BY52" s="544"/>
      <c r="BZ52" s="544"/>
      <c r="CA52" s="544"/>
      <c r="CB52" s="544"/>
      <c r="CC52" s="544"/>
      <c r="CD52" s="544"/>
      <c r="CE52" s="544"/>
      <c r="CF52" s="544"/>
      <c r="CG52" s="544"/>
      <c r="CH52" s="544"/>
      <c r="CI52" s="544"/>
      <c r="CJ52" s="544"/>
      <c r="CK52" s="544"/>
      <c r="CL52" s="544"/>
      <c r="CM52" s="544"/>
      <c r="CN52" s="544"/>
      <c r="CO52" s="544"/>
      <c r="CP52" s="544"/>
      <c r="CQ52" s="544"/>
      <c r="CR52" s="544"/>
      <c r="CS52" s="544"/>
      <c r="CT52" s="544"/>
      <c r="CU52" s="544"/>
      <c r="CV52" s="544"/>
      <c r="CW52" s="544"/>
      <c r="CX52" s="544"/>
      <c r="CY52" s="544"/>
      <c r="CZ52" s="544"/>
      <c r="DA52" s="544"/>
      <c r="DB52" s="544"/>
      <c r="DC52" s="544"/>
    </row>
    <row r="53" spans="1:107">
      <c r="A53" s="1954"/>
      <c r="B53" s="534"/>
      <c r="C53" s="535"/>
      <c r="D53" s="12" t="s">
        <v>1841</v>
      </c>
      <c r="E53" s="13">
        <v>120</v>
      </c>
      <c r="F53" s="14" t="str">
        <f>VLOOKUP($E$53,[1]QUART!$A$2:$FA$315, 3, FALSE)</f>
        <v xml:space="preserve">120  Household final consumption expenditure (domestic)                              </v>
      </c>
      <c r="G53" s="544" t="str">
        <f>IF(VLOOKUP($E$53,[1]QUART!$A$2:$FA$315, 6, FALSE)="",":",VLOOKUP($E$53,[1]QUART!$A$2:$FA$315, 6, FALSE))</f>
        <v>:</v>
      </c>
      <c r="H53" s="544" t="str">
        <f>IF(VLOOKUP($E$53,[1]QUART!$A$2:$FA$315, 7, FALSE)="",":",VLOOKUP($E$53,[1]QUART!$A$2:$FA$315, 7, FALSE))</f>
        <v>:</v>
      </c>
      <c r="I53" s="544" t="str">
        <f>IF(VLOOKUP($E$53,[1]QUART!$A$2:$FA$315, 8, FALSE)="",":",VLOOKUP($E$53,[1]QUART!$A$2:$FA$315, 8, FALSE))</f>
        <v>:</v>
      </c>
      <c r="J53" s="544" t="str">
        <f>IF(VLOOKUP($E$53,[1]QUART!$A$2:$FA$315, 9, FALSE)="",":",VLOOKUP($E$53,[1]QUART!$A$2:$FA$315, 9, FALSE))</f>
        <v>:</v>
      </c>
      <c r="K53" s="544" t="str">
        <f>IF(VLOOKUP($E$53,[1]QUART!$A$2:$FA$315, 10, FALSE)="",":",VLOOKUP($E$53,[1]QUART!$A$2:$FA$315, 10, FALSE))</f>
        <v>:</v>
      </c>
      <c r="L53" s="544" t="str">
        <f>IF(VLOOKUP($E$53,[1]QUART!$A$2:$FA$315, 11, FALSE)="",":",VLOOKUP($E$53,[1]QUART!$A$2:$FA$315, 11, FALSE))</f>
        <v>:</v>
      </c>
      <c r="M53" s="544" t="str">
        <f>IF(VLOOKUP($E$53,[1]QUART!$A$2:$FA$315, 12, FALSE)="",":",VLOOKUP($E$53,[1]QUART!$A$2:$FA$315, 12, FALSE))</f>
        <v>:</v>
      </c>
      <c r="N53" s="544" t="str">
        <f>IF(VLOOKUP($E$53,[1]QUART!$A$2:$FA$315, 13, FALSE)="",":",VLOOKUP($E$53,[1]QUART!$A$2:$FA$315, 13, FALSE))</f>
        <v>:</v>
      </c>
      <c r="O53" s="544" t="str">
        <f>IF(VLOOKUP($E$53,[1]QUART!$A$2:$FA$315, 14, FALSE)="",":",VLOOKUP($E$53,[1]QUART!$A$2:$FA$315, 14, FALSE))</f>
        <v>:</v>
      </c>
      <c r="P53" s="544" t="str">
        <f>IF(VLOOKUP($E$53,[1]QUART!$A$2:$FA$315, 15, FALSE)="",":",VLOOKUP($E$53,[1]QUART!$A$2:$FA$315, 15, FALSE))</f>
        <v>:</v>
      </c>
      <c r="Q53" s="544" t="str">
        <f>IF(VLOOKUP($E$53,[1]QUART!$A$2:$FA$315, 16, FALSE)="",":",VLOOKUP($E$53,[1]QUART!$A$2:$FA$315, 16, FALSE))</f>
        <v>:</v>
      </c>
      <c r="R53" s="544" t="str">
        <f>IF(VLOOKUP($E$53,[1]QUART!$A$2:$FA$315, 17, FALSE)="",":",VLOOKUP($E$53,[1]QUART!$A$2:$FA$315, 17, FALSE))</f>
        <v>:</v>
      </c>
      <c r="S53" s="544" t="str">
        <f>IF(VLOOKUP($E$53,[1]QUART!$A$2:$FA$315, 18, FALSE)="",":",VLOOKUP($E$53,[1]QUART!$A$2:$FA$315, 18, FALSE))</f>
        <v>:</v>
      </c>
      <c r="T53" s="544" t="str">
        <f>IF(VLOOKUP($E$53,[1]QUART!$A$2:$FA$315, 19, FALSE)="",":",VLOOKUP($E$53,[1]QUART!$A$2:$FA$315, 19, FALSE))</f>
        <v>:</v>
      </c>
      <c r="U53" s="544" t="str">
        <f>IF(VLOOKUP($E$53,[1]QUART!$A$2:$FA$315, 20, FALSE)="",":",VLOOKUP($E$53,[1]QUART!$A$2:$FA$315, 20, FALSE))</f>
        <v>:</v>
      </c>
      <c r="V53" s="544" t="str">
        <f>IF(VLOOKUP($E$53,[1]QUART!$A$2:$FA$315, 21, FALSE)="",":",VLOOKUP($E$53,[1]QUART!$A$2:$FA$315, 21, FALSE))</f>
        <v>:</v>
      </c>
      <c r="W53" s="544" t="str">
        <f>IF(VLOOKUP($E$53,[1]QUART!$A$2:$FA$315, 22, FALSE)="",":",VLOOKUP($E$53,[1]QUART!$A$2:$FA$315, 22, FALSE))</f>
        <v>:</v>
      </c>
      <c r="X53" s="544" t="str">
        <f>IF(VLOOKUP($E$53,[1]QUART!$A$2:$FA$315, 23, FALSE)="",":",VLOOKUP($E$53,[1]QUART!$A$2:$FA$315, 23, FALSE))</f>
        <v>:</v>
      </c>
      <c r="Y53" s="544" t="str">
        <f>IF(VLOOKUP($E$53,[1]QUART!$A$2:$FA$315, 24, FALSE)="",":",VLOOKUP($E$53,[1]QUART!$A$2:$FA$315, 24, FALSE))</f>
        <v>:</v>
      </c>
      <c r="Z53" s="544" t="str">
        <f>IF(VLOOKUP($E$53,[1]QUART!$A$2:$FA$315, 25, FALSE)="",":",VLOOKUP($E$53,[1]QUART!$A$2:$FA$315, 25, FALSE))</f>
        <v>:</v>
      </c>
      <c r="AA53" s="544" t="str">
        <f>IF(VLOOKUP($E$53,[1]QUART!$A$2:$FA$315, 26, FALSE)="",":",VLOOKUP($E$53,[1]QUART!$A$2:$FA$315, 26, FALSE))</f>
        <v>:</v>
      </c>
      <c r="AB53" s="544" t="str">
        <f>IF(VLOOKUP($E$53,[1]QUART!$A$2:$FA$315, 27, FALSE)="",":",VLOOKUP($E$53,[1]QUART!$A$2:$FA$315, 27, FALSE))</f>
        <v>:</v>
      </c>
      <c r="AC53" s="544" t="str">
        <f>IF(VLOOKUP($E$53,[1]QUART!$A$2:$FA$315, 28, FALSE)="",":",VLOOKUP($E$53,[1]QUART!$A$2:$FA$315, 28, FALSE))</f>
        <v>:</v>
      </c>
      <c r="AD53" s="544" t="str">
        <f>IF(VLOOKUP($E$53,[1]QUART!$A$2:$FA$315, 29, FALSE)="",":",VLOOKUP($E$53,[1]QUART!$A$2:$FA$315, 29, FALSE))</f>
        <v>:</v>
      </c>
      <c r="AE53" s="544" t="str">
        <f>IF(VLOOKUP($E$53,[1]QUART!$A$2:$FA$315, 30, FALSE)="",":",VLOOKUP($E$53,[1]QUART!$A$2:$FA$315, 30, FALSE))</f>
        <v>:</v>
      </c>
      <c r="AF53" s="544" t="str">
        <f>IF(VLOOKUP($E$53,[1]QUART!$A$2:$FA$315, 31, FALSE)="",":",VLOOKUP($E$53,[1]QUART!$A$2:$FA$315, 31, FALSE))</f>
        <v>:</v>
      </c>
      <c r="AG53" s="544" t="str">
        <f>IF(VLOOKUP($E$53,[1]QUART!$A$2:$FA$315, 32, FALSE)="",":",VLOOKUP($E$53,[1]QUART!$A$2:$FA$315, 32, FALSE))</f>
        <v>:</v>
      </c>
      <c r="AH53" s="544" t="str">
        <f>IF(VLOOKUP($E$53,[1]QUART!$A$2:$FA$315, 33, FALSE)="",":",VLOOKUP($E$53,[1]QUART!$A$2:$FA$315, 33, FALSE))</f>
        <v>:</v>
      </c>
      <c r="AI53" s="544" t="str">
        <f>IF(VLOOKUP($E$53,[1]QUART!$A$2:$FA$315, 34, FALSE)="",":",VLOOKUP($E$53,[1]QUART!$A$2:$FA$315, 34, FALSE))</f>
        <v>:</v>
      </c>
      <c r="AJ53" s="544" t="str">
        <f>IF(VLOOKUP($E$53,[1]QUART!$A$2:$FA$315, 35, FALSE)="",":",VLOOKUP($E$53,[1]QUART!$A$2:$FA$315, 35, FALSE))</f>
        <v>:</v>
      </c>
      <c r="AK53" s="544" t="str">
        <f>IF(VLOOKUP($E$53,[1]QUART!$A$2:$FA$315, 36, FALSE)="",":",VLOOKUP($E$53,[1]QUART!$A$2:$FA$315, 36, FALSE))</f>
        <v>:</v>
      </c>
      <c r="AL53" s="544" t="str">
        <f>IF(VLOOKUP($E$53,[1]QUART!$A$2:$FA$315, 37, FALSE)="",":",VLOOKUP($E$53,[1]QUART!$A$2:$FA$315, 37, FALSE))</f>
        <v>:</v>
      </c>
      <c r="AM53" s="544" t="str">
        <f>IF(VLOOKUP($E$53,[1]QUART!$A$2:$FA$315, 38, FALSE)="",":",VLOOKUP($E$53,[1]QUART!$A$2:$FA$315, 38, FALSE))</f>
        <v>:</v>
      </c>
      <c r="AN53" s="544" t="str">
        <f>IF(VLOOKUP($E$53,[1]QUART!$A$2:$FA$315, 39, FALSE)="",":",VLOOKUP($E$53,[1]QUART!$A$2:$FA$315, 39, FALSE))</f>
        <v>:</v>
      </c>
      <c r="AO53" s="544" t="str">
        <f>IF(VLOOKUP($E$53,[1]QUART!$A$2:$FA$315, 40, FALSE)="",":",VLOOKUP($E$53,[1]QUART!$A$2:$FA$315, 40, FALSE))</f>
        <v>:</v>
      </c>
      <c r="AP53" s="544" t="str">
        <f>IF(VLOOKUP($E$53,[1]QUART!$A$2:$FA$315, 41, FALSE)="",":",VLOOKUP($E$53,[1]QUART!$A$2:$FA$315, 41, FALSE))</f>
        <v>:</v>
      </c>
      <c r="AQ53" s="544" t="str">
        <f>IF(VLOOKUP($E$53,[1]QUART!$A$2:$FA$315, 42, FALSE)="",":",VLOOKUP($E$53,[1]QUART!$A$2:$FA$315, 42, FALSE))</f>
        <v>:</v>
      </c>
      <c r="AR53" s="544" t="str">
        <f>IF(VLOOKUP($E$53,[1]QUART!$A$2:$FA$315, 43, FALSE)="",":",VLOOKUP($E$53,[1]QUART!$A$2:$FA$315, 43, FALSE))</f>
        <v>:</v>
      </c>
      <c r="AS53" s="544" t="str">
        <f>IF(VLOOKUP($E$53,[1]QUART!$A$2:$FA$315, 44, FALSE)="",":",VLOOKUP($E$53,[1]QUART!$A$2:$FA$315, 44, FALSE))</f>
        <v>:</v>
      </c>
      <c r="AT53" s="544" t="str">
        <f>IF(VLOOKUP($E$53,[1]QUART!$A$2:$FA$315, 45, FALSE)="",":",VLOOKUP($E$53,[1]QUART!$A$2:$FA$315, 45, FALSE))</f>
        <v>:</v>
      </c>
      <c r="AU53" s="544" t="str">
        <f>IF(VLOOKUP($E$53,[1]QUART!$A$2:$FA$315, 46, FALSE)="",":",VLOOKUP($E$53,[1]QUART!$A$2:$FA$315, 46, FALSE))</f>
        <v>:</v>
      </c>
      <c r="AV53" s="544" t="str">
        <f>IF(VLOOKUP($E$53,[1]QUART!$A$2:$FA$315, 47, FALSE)="",":",VLOOKUP($E$53,[1]QUART!$A$2:$FA$315, 47, FALSE))</f>
        <v>:</v>
      </c>
      <c r="AW53" s="544" t="str">
        <f>IF(VLOOKUP($E$53,[1]QUART!$A$2:$FA$315, 48, FALSE)="",":",VLOOKUP($E$53,[1]QUART!$A$2:$FA$315, 48, FALSE))</f>
        <v>:</v>
      </c>
      <c r="AX53" s="544" t="str">
        <f>IF(VLOOKUP($E$53,[1]QUART!$A$2:$FA$315, 49, FALSE)="",":",VLOOKUP($E$53,[1]QUART!$A$2:$FA$315, 49, FALSE))</f>
        <v>:</v>
      </c>
      <c r="AY53" s="544" t="str">
        <f>IF(VLOOKUP($E$53,[1]QUART!$A$2:$FA$315, 50, FALSE)="",":",VLOOKUP($E$53,[1]QUART!$A$2:$FA$315, 50, FALSE))</f>
        <v>:</v>
      </c>
      <c r="AZ53" s="544" t="str">
        <f>IF(VLOOKUP($E$53,[1]QUART!$A$2:$FA$315, 51, FALSE)="",":",VLOOKUP($E$53,[1]QUART!$A$2:$FA$315, 51, FALSE))</f>
        <v>:</v>
      </c>
      <c r="BA53" s="544" t="str">
        <f>IF(VLOOKUP($E$53,[1]QUART!$A$2:$FA$315, 52, FALSE)="",":",VLOOKUP($E$53,[1]QUART!$A$2:$FA$315, 52, FALSE))</f>
        <v>:</v>
      </c>
      <c r="BB53" s="544" t="str">
        <f>IF(VLOOKUP($E$53,[1]QUART!$A$2:$FA$315, 53, FALSE)="",":",VLOOKUP($E$53,[1]QUART!$A$2:$FA$315, 53, FALSE))</f>
        <v>:</v>
      </c>
      <c r="BC53" s="544" t="str">
        <f>IF(VLOOKUP($E$53,[1]QUART!$A$2:$FA$315, 54, FALSE)="",":",VLOOKUP($E$53,[1]QUART!$A$2:$FA$315, 54, FALSE))</f>
        <v>:</v>
      </c>
      <c r="BD53" s="544" t="str">
        <f>IF(VLOOKUP($E$53,[1]QUART!$A$2:$FA$315, 55, FALSE)="",":",VLOOKUP($E$53,[1]QUART!$A$2:$FA$315, 55, FALSE))</f>
        <v>:</v>
      </c>
      <c r="BE53" s="544" t="str">
        <f>IF(VLOOKUP($E$53,[1]QUART!$A$2:$FA$315, 56, FALSE)="",":",VLOOKUP($E$53,[1]QUART!$A$2:$FA$315, 56, FALSE))</f>
        <v>:</v>
      </c>
      <c r="BF53" s="544" t="str">
        <f>IF(VLOOKUP($E$53,[1]QUART!$A$2:$FA$315, 57, FALSE)="",":",VLOOKUP($E$53,[1]QUART!$A$2:$FA$315, 57, FALSE))</f>
        <v>:</v>
      </c>
      <c r="BG53" s="544" t="str">
        <f>IF(VLOOKUP($E$53,[1]QUART!$A$2:$FA$315, 58, FALSE)="",":",VLOOKUP($E$53,[1]QUART!$A$2:$FA$315, 58, FALSE))</f>
        <v>:</v>
      </c>
      <c r="BH53" s="544" t="str">
        <f>IF(VLOOKUP($E$53,[1]QUART!$A$2:$FA$315, 59, FALSE)="",":",VLOOKUP($E$53,[1]QUART!$A$2:$FA$315, 59, FALSE))</f>
        <v>:</v>
      </c>
      <c r="BI53" s="544" t="str">
        <f>IF(VLOOKUP($E$53,[1]QUART!$A$2:$FA$315, 60, FALSE)="",":",VLOOKUP($E$53,[1]QUART!$A$2:$FA$315, 60, FALSE))</f>
        <v>:</v>
      </c>
      <c r="BJ53" s="544" t="str">
        <f>IF(VLOOKUP($E$53,[1]QUART!$A$2:$FA$315, 61, FALSE)="",":",VLOOKUP($E$53,[1]QUART!$A$2:$FA$315, 61, FALSE))</f>
        <v>:</v>
      </c>
      <c r="BK53" s="544" t="str">
        <f>IF(VLOOKUP($E$53,[1]QUART!$A$2:$FA$315, 62, FALSE)="",":",VLOOKUP($E$53,[1]QUART!$A$2:$FA$315, 62, FALSE))</f>
        <v>:</v>
      </c>
      <c r="BL53" s="544" t="str">
        <f>IF(VLOOKUP($E$53,[1]QUART!$A$2:$FA$315, 63, FALSE)="",":",VLOOKUP($E$53,[1]QUART!$A$2:$FA$315, 63, FALSE))</f>
        <v>:</v>
      </c>
      <c r="BM53" s="544" t="str">
        <f>IF(VLOOKUP($E$53,[1]QUART!$A$2:$FA$315, 64, FALSE)="",":",VLOOKUP($E$53,[1]QUART!$A$2:$FA$315, 64, FALSE))</f>
        <v>:</v>
      </c>
      <c r="BN53" s="544" t="str">
        <f>IF(VLOOKUP($E$53,[1]QUART!$A$2:$FA$315, 65, FALSE)="",":",VLOOKUP($E$53,[1]QUART!$A$2:$FA$315, 65, FALSE))</f>
        <v>:</v>
      </c>
      <c r="BO53" s="544" t="str">
        <f>IF(VLOOKUP($E$53,[1]QUART!$A$2:$FA$315, 66, FALSE)="",":",VLOOKUP($E$53,[1]QUART!$A$2:$FA$315, 66, FALSE))</f>
        <v>:</v>
      </c>
      <c r="BP53" s="544" t="str">
        <f>IF(VLOOKUP($E$53,[1]QUART!$A$2:$FA$315, 67, FALSE)="",":",VLOOKUP($E$53,[1]QUART!$A$2:$FA$315, 67, FALSE))</f>
        <v>:</v>
      </c>
      <c r="BQ53" s="544" t="str">
        <f>IF(VLOOKUP($E$53,[1]QUART!$A$2:$FA$315, 68, FALSE)="",":",VLOOKUP($E$53,[1]QUART!$A$2:$FA$315, 68, FALSE))</f>
        <v>:</v>
      </c>
      <c r="BR53" s="544" t="str">
        <f>IF(VLOOKUP($E$53,[1]QUART!$A$2:$FA$315, 69, FALSE)="",":",VLOOKUP($E$53,[1]QUART!$A$2:$FA$315, 69, FALSE))</f>
        <v>:</v>
      </c>
      <c r="BS53" s="544" t="str">
        <f>IF(VLOOKUP($E$53,[1]QUART!$A$2:$FA$315, 70, FALSE)="",":",VLOOKUP($E$53,[1]QUART!$A$2:$FA$315, 70, FALSE))</f>
        <v>:</v>
      </c>
      <c r="BT53" s="544" t="str">
        <f>IF(VLOOKUP($E$53,[1]QUART!$A$2:$FA$315, 71, FALSE)="",":",VLOOKUP($E$53,[1]QUART!$A$2:$FA$315, 71, FALSE))</f>
        <v>:</v>
      </c>
      <c r="BU53" s="544" t="str">
        <f>IF(VLOOKUP($E$53,[1]QUART!$A$2:$FA$315, 72, FALSE)="",":",VLOOKUP($E$53,[1]QUART!$A$2:$FA$315, 72, FALSE))</f>
        <v>:</v>
      </c>
      <c r="BV53" s="544" t="str">
        <f>IF(VLOOKUP($E$53,[1]QUART!$A$2:$FA$315, 73, FALSE)="",":",VLOOKUP($E$53,[1]QUART!$A$2:$FA$315, 73, FALSE))</f>
        <v>:</v>
      </c>
      <c r="BW53" s="544" t="str">
        <f>IF(VLOOKUP($E$53,[1]QUART!$A$2:$FA$315, 74, FALSE)="",":",VLOOKUP($E$53,[1]QUART!$A$2:$FA$315, 74, FALSE))</f>
        <v>:</v>
      </c>
      <c r="BX53" s="544" t="str">
        <f>IF(VLOOKUP($E$53,[1]QUART!$A$2:$FA$315, 75, FALSE)="",":",VLOOKUP($E$53,[1]QUART!$A$2:$FA$315, 75, FALSE))</f>
        <v>:</v>
      </c>
      <c r="BY53" s="544" t="str">
        <f>IF(VLOOKUP($E$53,[1]QUART!$A$2:$FA$315, 76, FALSE)="",":",VLOOKUP($E$53,[1]QUART!$A$2:$FA$315, 76, FALSE))</f>
        <v>:</v>
      </c>
      <c r="BZ53" s="544" t="str">
        <f>IF(VLOOKUP($E$53,[1]QUART!$A$2:$FA$315, 77, FALSE)="",":",VLOOKUP($E$53,[1]QUART!$A$2:$FA$315, 77, FALSE))</f>
        <v>:</v>
      </c>
      <c r="CA53" s="544" t="str">
        <f>IF(VLOOKUP($E$53,[1]QUART!$A$2:$FA$315, 78, FALSE)="",":",VLOOKUP($E$53,[1]QUART!$A$2:$FA$315, 78, FALSE))</f>
        <v>:</v>
      </c>
      <c r="CB53" s="544" t="str">
        <f>IF(VLOOKUP($E$53,[1]QUART!$A$2:$FA$315, 79, FALSE)="",":",VLOOKUP($E$53,[1]QUART!$A$2:$FA$315, 79, FALSE))</f>
        <v>:</v>
      </c>
      <c r="CC53" s="544" t="str">
        <f>IF(VLOOKUP($E$53,[1]QUART!$A$2:$FA$315, 80, FALSE)="",":",VLOOKUP($E$53,[1]QUART!$A$2:$FA$315, 80, FALSE))</f>
        <v>:</v>
      </c>
      <c r="CD53" s="544" t="str">
        <f>IF(VLOOKUP($E$53,[1]QUART!$A$2:$FA$315, 81, FALSE)="",":",VLOOKUP($E$53,[1]QUART!$A$2:$FA$315, 81, FALSE))</f>
        <v>:</v>
      </c>
      <c r="CE53" s="544" t="str">
        <f>IF(VLOOKUP($E$53,[1]QUART!$A$2:$FA$315, 82, FALSE)="",":",VLOOKUP($E$53,[1]QUART!$A$2:$FA$315, 82, FALSE))</f>
        <v>:</v>
      </c>
      <c r="CF53" s="544" t="str">
        <f>IF(VLOOKUP($E$53,[1]QUART!$A$2:$FA$315, 83, FALSE)="",":",VLOOKUP($E$53,[1]QUART!$A$2:$FA$315, 83, FALSE))</f>
        <v>:</v>
      </c>
      <c r="CG53" s="544" t="str">
        <f>IF(VLOOKUP($E$53,[1]QUART!$A$2:$FA$315, 84, FALSE)="",":",VLOOKUP($E$53,[1]QUART!$A$2:$FA$315, 84, FALSE))</f>
        <v>:</v>
      </c>
      <c r="CH53" s="544" t="str">
        <f>IF(VLOOKUP($E$53,[1]QUART!$A$2:$FA$315, 85, FALSE)="",":",VLOOKUP($E$53,[1]QUART!$A$2:$FA$315, 85, FALSE))</f>
        <v>:</v>
      </c>
      <c r="CI53" s="544" t="str">
        <f>IF(VLOOKUP($E$53,[1]QUART!$A$2:$FA$315, 86, FALSE)="",":",VLOOKUP($E$53,[1]QUART!$A$2:$FA$315, 86, FALSE))</f>
        <v>:</v>
      </c>
      <c r="CJ53" s="544" t="str">
        <f>IF(VLOOKUP($E$53,[1]QUART!$A$2:$FA$315, 87, FALSE)="",":",VLOOKUP($E$53,[1]QUART!$A$2:$FA$315, 87, FALSE))</f>
        <v>:</v>
      </c>
      <c r="CK53" s="544" t="str">
        <f>IF(VLOOKUP($E$53,[1]QUART!$A$2:$FA$315, 88, FALSE)="",":",VLOOKUP($E$53,[1]QUART!$A$2:$FA$315, 88, FALSE))</f>
        <v>:</v>
      </c>
      <c r="CL53" s="544" t="str">
        <f>IF(VLOOKUP($E$53,[1]QUART!$A$2:$FA$315, 89, FALSE)="",":",VLOOKUP($E$53,[1]QUART!$A$2:$FA$315, 89, FALSE))</f>
        <v>:</v>
      </c>
      <c r="CM53" s="544" t="str">
        <f>IF(VLOOKUP($E$53,[1]QUART!$A$2:$FA$315, 90, FALSE)="",":",VLOOKUP($E$53,[1]QUART!$A$2:$FA$315, 90, FALSE))</f>
        <v>:</v>
      </c>
      <c r="CN53" s="544" t="str">
        <f>IF(VLOOKUP($E$53,[1]QUART!$A$2:$FA$315, 91, FALSE)="",":",VLOOKUP($E$53,[1]QUART!$A$2:$FA$315, 91, FALSE))</f>
        <v>:</v>
      </c>
      <c r="CO53" s="544" t="str">
        <f>IF(VLOOKUP($E$53,[1]QUART!$A$2:$FA$315, 92, FALSE)="",":",VLOOKUP($E$53,[1]QUART!$A$2:$FA$315, 92, FALSE))</f>
        <v>:</v>
      </c>
      <c r="CP53" s="544" t="str">
        <f>IF(VLOOKUP($E$53,[1]QUART!$A$2:$FA$315, 93, FALSE)="",":",VLOOKUP($E$53,[1]QUART!$A$2:$FA$315, 93, FALSE))</f>
        <v>:</v>
      </c>
      <c r="CQ53" s="544" t="str">
        <f>IF(VLOOKUP($E$53,[1]QUART!$A$2:$FA$315, 94, FALSE)="",":",VLOOKUP($E$53,[1]QUART!$A$2:$FA$315, 94, FALSE))</f>
        <v>:</v>
      </c>
      <c r="CR53" s="544" t="str">
        <f>IF(VLOOKUP($E$53,[1]QUART!$A$2:$FA$315, 95, FALSE)="",":",VLOOKUP($E$53,[1]QUART!$A$2:$FA$315, 95, FALSE))</f>
        <v>:</v>
      </c>
      <c r="CS53" s="544" t="str">
        <f>IF(VLOOKUP($E$53,[1]QUART!$A$2:$FA$315, 96, FALSE)="",":",VLOOKUP($E$53,[1]QUART!$A$2:$FA$315, 96, FALSE))</f>
        <v>:</v>
      </c>
      <c r="CT53" s="544" t="str">
        <f>IF(VLOOKUP($E$53,[1]QUART!$A$2:$FA$315, 97, FALSE)="",":",VLOOKUP($E$53,[1]QUART!$A$2:$FA$315, 97, FALSE))</f>
        <v>:</v>
      </c>
      <c r="CU53" s="544" t="str">
        <f>IF(VLOOKUP($E$53,[1]QUART!$A$2:$FA$315, 98, FALSE)="",":",VLOOKUP($E$53,[1]QUART!$A$2:$FA$315, 98, FALSE))</f>
        <v>:</v>
      </c>
      <c r="CV53" s="544" t="str">
        <f>IF(VLOOKUP($E$53,[1]QUART!$A$2:$FA$315, 99, FALSE)="",":",VLOOKUP($E$53,[1]QUART!$A$2:$FA$315, 99, FALSE))</f>
        <v>:</v>
      </c>
      <c r="CW53" s="544" t="str">
        <f>IF(VLOOKUP($E$53,[1]QUART!$A$2:$FA$315, 100, FALSE)="",":",VLOOKUP($E$53,[1]QUART!$A$2:$FA$315, 100, FALSE))</f>
        <v>:</v>
      </c>
      <c r="CX53" s="544" t="str">
        <f>IF(VLOOKUP($E$53,[1]QUART!$A$2:$FA$315, 101, FALSE)="",":",VLOOKUP($E$53,[1]QUART!$A$2:$FA$315, 101, FALSE))</f>
        <v>:</v>
      </c>
      <c r="CY53" s="544" t="str">
        <f>IF(VLOOKUP($E$53,[1]QUART!$A$2:$FA$315, 102, FALSE)="",":",VLOOKUP($E$53,[1]QUART!$A$2:$FA$315, 102, FALSE))</f>
        <v>:</v>
      </c>
      <c r="CZ53" s="544" t="str">
        <f>IF(VLOOKUP($E$53,[1]QUART!$A$2:$FA$315, 103, FALSE)="",":",VLOOKUP($E$53,[1]QUART!$A$2:$FA$315, 103, FALSE))</f>
        <v>:</v>
      </c>
      <c r="DA53" s="544" t="str">
        <f>IF(VLOOKUP($E$53,[1]QUART!$A$2:$FA$315, 104, FALSE)="",":",VLOOKUP($E$53,[1]QUART!$A$2:$FA$315, 104, FALSE))</f>
        <v>:</v>
      </c>
      <c r="DB53" s="544" t="str">
        <f>IF(VLOOKUP($E$53,[1]QUART!$A$2:$FA$315, 105, FALSE)="",":",VLOOKUP($E$53,[1]QUART!$A$2:$FA$315, 105, FALSE))</f>
        <v>:</v>
      </c>
      <c r="DC53" s="544" t="str">
        <f>IF(VLOOKUP($E$53,[1]QUART!$A$2:$FA$315, 106, FALSE)="",":",VLOOKUP($E$53,[1]QUART!$A$2:$FA$315, 106, FALSE))</f>
        <v>:</v>
      </c>
    </row>
    <row r="54" spans="1:107">
      <c r="A54" s="1954"/>
      <c r="B54" s="534"/>
      <c r="C54" s="535"/>
      <c r="D54" s="12" t="s">
        <v>1841</v>
      </c>
      <c r="E54" s="13">
        <v>121</v>
      </c>
      <c r="F54" s="14" t="str">
        <f>VLOOKUP($E$54,[1]QUART!$A$2:$FA$315, 3, FALSE)</f>
        <v xml:space="preserve">121  Government final consumption expenditure                                        </v>
      </c>
      <c r="G54" s="544" t="str">
        <f>IF(VLOOKUP($E$54,[1]QUART!$A$2:$FA$315, 6, FALSE)="",":",VLOOKUP($E$54,[1]QUART!$A$2:$FA$315, 6, FALSE))</f>
        <v>:</v>
      </c>
      <c r="H54" s="544" t="str">
        <f>IF(VLOOKUP($E$54,[1]QUART!$A$2:$FA$315, 7, FALSE)="",":",VLOOKUP($E$54,[1]QUART!$A$2:$FA$315, 7, FALSE))</f>
        <v>:</v>
      </c>
      <c r="I54" s="544" t="str">
        <f>IF(VLOOKUP($E$54,[1]QUART!$A$2:$FA$315, 8, FALSE)="",":",VLOOKUP($E$54,[1]QUART!$A$2:$FA$315, 8, FALSE))</f>
        <v>:</v>
      </c>
      <c r="J54" s="544" t="str">
        <f>IF(VLOOKUP($E$54,[1]QUART!$A$2:$FA$315, 9, FALSE)="",":",VLOOKUP($E$54,[1]QUART!$A$2:$FA$315, 9, FALSE))</f>
        <v>:</v>
      </c>
      <c r="K54" s="544" t="str">
        <f>IF(VLOOKUP($E$54,[1]QUART!$A$2:$FA$315, 10, FALSE)="",":",VLOOKUP($E$54,[1]QUART!$A$2:$FA$315, 10, FALSE))</f>
        <v>:</v>
      </c>
      <c r="L54" s="544" t="str">
        <f>IF(VLOOKUP($E$54,[1]QUART!$A$2:$FA$315, 11, FALSE)="",":",VLOOKUP($E$54,[1]QUART!$A$2:$FA$315, 11, FALSE))</f>
        <v>:</v>
      </c>
      <c r="M54" s="544" t="str">
        <f>IF(VLOOKUP($E$54,[1]QUART!$A$2:$FA$315, 12, FALSE)="",":",VLOOKUP($E$54,[1]QUART!$A$2:$FA$315, 12, FALSE))</f>
        <v>:</v>
      </c>
      <c r="N54" s="544" t="str">
        <f>IF(VLOOKUP($E$54,[1]QUART!$A$2:$FA$315, 13, FALSE)="",":",VLOOKUP($E$54,[1]QUART!$A$2:$FA$315, 13, FALSE))</f>
        <v>:</v>
      </c>
      <c r="O54" s="544" t="str">
        <f>IF(VLOOKUP($E$54,[1]QUART!$A$2:$FA$315, 14, FALSE)="",":",VLOOKUP($E$54,[1]QUART!$A$2:$FA$315, 14, FALSE))</f>
        <v>:</v>
      </c>
      <c r="P54" s="544" t="str">
        <f>IF(VLOOKUP($E$54,[1]QUART!$A$2:$FA$315, 15, FALSE)="",":",VLOOKUP($E$54,[1]QUART!$A$2:$FA$315, 15, FALSE))</f>
        <v>:</v>
      </c>
      <c r="Q54" s="544" t="str">
        <f>IF(VLOOKUP($E$54,[1]QUART!$A$2:$FA$315, 16, FALSE)="",":",VLOOKUP($E$54,[1]QUART!$A$2:$FA$315, 16, FALSE))</f>
        <v>:</v>
      </c>
      <c r="R54" s="544" t="str">
        <f>IF(VLOOKUP($E$54,[1]QUART!$A$2:$FA$315, 17, FALSE)="",":",VLOOKUP($E$54,[1]QUART!$A$2:$FA$315, 17, FALSE))</f>
        <v>:</v>
      </c>
      <c r="S54" s="544" t="str">
        <f>IF(VLOOKUP($E$54,[1]QUART!$A$2:$FA$315, 18, FALSE)="",":",VLOOKUP($E$54,[1]QUART!$A$2:$FA$315, 18, FALSE))</f>
        <v>:</v>
      </c>
      <c r="T54" s="544" t="str">
        <f>IF(VLOOKUP($E$54,[1]QUART!$A$2:$FA$315, 19, FALSE)="",":",VLOOKUP($E$54,[1]QUART!$A$2:$FA$315, 19, FALSE))</f>
        <v>:</v>
      </c>
      <c r="U54" s="544" t="str">
        <f>IF(VLOOKUP($E$54,[1]QUART!$A$2:$FA$315, 20, FALSE)="",":",VLOOKUP($E$54,[1]QUART!$A$2:$FA$315, 20, FALSE))</f>
        <v>:</v>
      </c>
      <c r="V54" s="544" t="str">
        <f>IF(VLOOKUP($E$54,[1]QUART!$A$2:$FA$315, 21, FALSE)="",":",VLOOKUP($E$54,[1]QUART!$A$2:$FA$315, 21, FALSE))</f>
        <v>:</v>
      </c>
      <c r="W54" s="544" t="str">
        <f>IF(VLOOKUP($E$54,[1]QUART!$A$2:$FA$315, 22, FALSE)="",":",VLOOKUP($E$54,[1]QUART!$A$2:$FA$315, 22, FALSE))</f>
        <v>:</v>
      </c>
      <c r="X54" s="544" t="str">
        <f>IF(VLOOKUP($E$54,[1]QUART!$A$2:$FA$315, 23, FALSE)="",":",VLOOKUP($E$54,[1]QUART!$A$2:$FA$315, 23, FALSE))</f>
        <v>:</v>
      </c>
      <c r="Y54" s="544" t="str">
        <f>IF(VLOOKUP($E$54,[1]QUART!$A$2:$FA$315, 24, FALSE)="",":",VLOOKUP($E$54,[1]QUART!$A$2:$FA$315, 24, FALSE))</f>
        <v>:</v>
      </c>
      <c r="Z54" s="544" t="str">
        <f>IF(VLOOKUP($E$54,[1]QUART!$A$2:$FA$315, 25, FALSE)="",":",VLOOKUP($E$54,[1]QUART!$A$2:$FA$315, 25, FALSE))</f>
        <v>:</v>
      </c>
      <c r="AA54" s="544" t="str">
        <f>IF(VLOOKUP($E$54,[1]QUART!$A$2:$FA$315, 26, FALSE)="",":",VLOOKUP($E$54,[1]QUART!$A$2:$FA$315, 26, FALSE))</f>
        <v>:</v>
      </c>
      <c r="AB54" s="544" t="str">
        <f>IF(VLOOKUP($E$54,[1]QUART!$A$2:$FA$315, 27, FALSE)="",":",VLOOKUP($E$54,[1]QUART!$A$2:$FA$315, 27, FALSE))</f>
        <v>:</v>
      </c>
      <c r="AC54" s="544" t="str">
        <f>IF(VLOOKUP($E$54,[1]QUART!$A$2:$FA$315, 28, FALSE)="",":",VLOOKUP($E$54,[1]QUART!$A$2:$FA$315, 28, FALSE))</f>
        <v>:</v>
      </c>
      <c r="AD54" s="544" t="str">
        <f>IF(VLOOKUP($E$54,[1]QUART!$A$2:$FA$315, 29, FALSE)="",":",VLOOKUP($E$54,[1]QUART!$A$2:$FA$315, 29, FALSE))</f>
        <v>:</v>
      </c>
      <c r="AE54" s="544" t="str">
        <f>IF(VLOOKUP($E$54,[1]QUART!$A$2:$FA$315, 30, FALSE)="",":",VLOOKUP($E$54,[1]QUART!$A$2:$FA$315, 30, FALSE))</f>
        <v>:</v>
      </c>
      <c r="AF54" s="544" t="str">
        <f>IF(VLOOKUP($E$54,[1]QUART!$A$2:$FA$315, 31, FALSE)="",":",VLOOKUP($E$54,[1]QUART!$A$2:$FA$315, 31, FALSE))</f>
        <v>:</v>
      </c>
      <c r="AG54" s="544" t="str">
        <f>IF(VLOOKUP($E$54,[1]QUART!$A$2:$FA$315, 32, FALSE)="",":",VLOOKUP($E$54,[1]QUART!$A$2:$FA$315, 32, FALSE))</f>
        <v>:</v>
      </c>
      <c r="AH54" s="544" t="str">
        <f>IF(VLOOKUP($E$54,[1]QUART!$A$2:$FA$315, 33, FALSE)="",":",VLOOKUP($E$54,[1]QUART!$A$2:$FA$315, 33, FALSE))</f>
        <v>:</v>
      </c>
      <c r="AI54" s="544" t="str">
        <f>IF(VLOOKUP($E$54,[1]QUART!$A$2:$FA$315, 34, FALSE)="",":",VLOOKUP($E$54,[1]QUART!$A$2:$FA$315, 34, FALSE))</f>
        <v>:</v>
      </c>
      <c r="AJ54" s="544" t="str">
        <f>IF(VLOOKUP($E$54,[1]QUART!$A$2:$FA$315, 35, FALSE)="",":",VLOOKUP($E$54,[1]QUART!$A$2:$FA$315, 35, FALSE))</f>
        <v>:</v>
      </c>
      <c r="AK54" s="544" t="str">
        <f>IF(VLOOKUP($E$54,[1]QUART!$A$2:$FA$315, 36, FALSE)="",":",VLOOKUP($E$54,[1]QUART!$A$2:$FA$315, 36, FALSE))</f>
        <v>:</v>
      </c>
      <c r="AL54" s="544" t="str">
        <f>IF(VLOOKUP($E$54,[1]QUART!$A$2:$FA$315, 37, FALSE)="",":",VLOOKUP($E$54,[1]QUART!$A$2:$FA$315, 37, FALSE))</f>
        <v>:</v>
      </c>
      <c r="AM54" s="544" t="str">
        <f>IF(VLOOKUP($E$54,[1]QUART!$A$2:$FA$315, 38, FALSE)="",":",VLOOKUP($E$54,[1]QUART!$A$2:$FA$315, 38, FALSE))</f>
        <v>:</v>
      </c>
      <c r="AN54" s="544" t="str">
        <f>IF(VLOOKUP($E$54,[1]QUART!$A$2:$FA$315, 39, FALSE)="",":",VLOOKUP($E$54,[1]QUART!$A$2:$FA$315, 39, FALSE))</f>
        <v>:</v>
      </c>
      <c r="AO54" s="544" t="str">
        <f>IF(VLOOKUP($E$54,[1]QUART!$A$2:$FA$315, 40, FALSE)="",":",VLOOKUP($E$54,[1]QUART!$A$2:$FA$315, 40, FALSE))</f>
        <v>:</v>
      </c>
      <c r="AP54" s="544" t="str">
        <f>IF(VLOOKUP($E$54,[1]QUART!$A$2:$FA$315, 41, FALSE)="",":",VLOOKUP($E$54,[1]QUART!$A$2:$FA$315, 41, FALSE))</f>
        <v>:</v>
      </c>
      <c r="AQ54" s="544" t="str">
        <f>IF(VLOOKUP($E$54,[1]QUART!$A$2:$FA$315, 42, FALSE)="",":",VLOOKUP($E$54,[1]QUART!$A$2:$FA$315, 42, FALSE))</f>
        <v>:</v>
      </c>
      <c r="AR54" s="544" t="str">
        <f>IF(VLOOKUP($E$54,[1]QUART!$A$2:$FA$315, 43, FALSE)="",":",VLOOKUP($E$54,[1]QUART!$A$2:$FA$315, 43, FALSE))</f>
        <v>:</v>
      </c>
      <c r="AS54" s="544" t="str">
        <f>IF(VLOOKUP($E$54,[1]QUART!$A$2:$FA$315, 44, FALSE)="",":",VLOOKUP($E$54,[1]QUART!$A$2:$FA$315, 44, FALSE))</f>
        <v>:</v>
      </c>
      <c r="AT54" s="544" t="str">
        <f>IF(VLOOKUP($E$54,[1]QUART!$A$2:$FA$315, 45, FALSE)="",":",VLOOKUP($E$54,[1]QUART!$A$2:$FA$315, 45, FALSE))</f>
        <v>:</v>
      </c>
      <c r="AU54" s="544" t="str">
        <f>IF(VLOOKUP($E$54,[1]QUART!$A$2:$FA$315, 46, FALSE)="",":",VLOOKUP($E$54,[1]QUART!$A$2:$FA$315, 46, FALSE))</f>
        <v>:</v>
      </c>
      <c r="AV54" s="544" t="str">
        <f>IF(VLOOKUP($E$54,[1]QUART!$A$2:$FA$315, 47, FALSE)="",":",VLOOKUP($E$54,[1]QUART!$A$2:$FA$315, 47, FALSE))</f>
        <v>:</v>
      </c>
      <c r="AW54" s="544" t="str">
        <f>IF(VLOOKUP($E$54,[1]QUART!$A$2:$FA$315, 48, FALSE)="",":",VLOOKUP($E$54,[1]QUART!$A$2:$FA$315, 48, FALSE))</f>
        <v>:</v>
      </c>
      <c r="AX54" s="544" t="str">
        <f>IF(VLOOKUP($E$54,[1]QUART!$A$2:$FA$315, 49, FALSE)="",":",VLOOKUP($E$54,[1]QUART!$A$2:$FA$315, 49, FALSE))</f>
        <v>:</v>
      </c>
      <c r="AY54" s="544" t="str">
        <f>IF(VLOOKUP($E$54,[1]QUART!$A$2:$FA$315, 50, FALSE)="",":",VLOOKUP($E$54,[1]QUART!$A$2:$FA$315, 50, FALSE))</f>
        <v>:</v>
      </c>
      <c r="AZ54" s="544" t="str">
        <f>IF(VLOOKUP($E$54,[1]QUART!$A$2:$FA$315, 51, FALSE)="",":",VLOOKUP($E$54,[1]QUART!$A$2:$FA$315, 51, FALSE))</f>
        <v>:</v>
      </c>
      <c r="BA54" s="544" t="str">
        <f>IF(VLOOKUP($E$54,[1]QUART!$A$2:$FA$315, 52, FALSE)="",":",VLOOKUP($E$54,[1]QUART!$A$2:$FA$315, 52, FALSE))</f>
        <v>:</v>
      </c>
      <c r="BB54" s="544" t="str">
        <f>IF(VLOOKUP($E$54,[1]QUART!$A$2:$FA$315, 53, FALSE)="",":",VLOOKUP($E$54,[1]QUART!$A$2:$FA$315, 53, FALSE))</f>
        <v>:</v>
      </c>
      <c r="BC54" s="544" t="str">
        <f>IF(VLOOKUP($E$54,[1]QUART!$A$2:$FA$315, 54, FALSE)="",":",VLOOKUP($E$54,[1]QUART!$A$2:$FA$315, 54, FALSE))</f>
        <v>:</v>
      </c>
      <c r="BD54" s="544" t="str">
        <f>IF(VLOOKUP($E$54,[1]QUART!$A$2:$FA$315, 55, FALSE)="",":",VLOOKUP($E$54,[1]QUART!$A$2:$FA$315, 55, FALSE))</f>
        <v>:</v>
      </c>
      <c r="BE54" s="544" t="str">
        <f>IF(VLOOKUP($E$54,[1]QUART!$A$2:$FA$315, 56, FALSE)="",":",VLOOKUP($E$54,[1]QUART!$A$2:$FA$315, 56, FALSE))</f>
        <v>:</v>
      </c>
      <c r="BF54" s="544" t="str">
        <f>IF(VLOOKUP($E$54,[1]QUART!$A$2:$FA$315, 57, FALSE)="",":",VLOOKUP($E$54,[1]QUART!$A$2:$FA$315, 57, FALSE))</f>
        <v>:</v>
      </c>
      <c r="BG54" s="544" t="str">
        <f>IF(VLOOKUP($E$54,[1]QUART!$A$2:$FA$315, 58, FALSE)="",":",VLOOKUP($E$54,[1]QUART!$A$2:$FA$315, 58, FALSE))</f>
        <v>:</v>
      </c>
      <c r="BH54" s="544" t="str">
        <f>IF(VLOOKUP($E$54,[1]QUART!$A$2:$FA$315, 59, FALSE)="",":",VLOOKUP($E$54,[1]QUART!$A$2:$FA$315, 59, FALSE))</f>
        <v>:</v>
      </c>
      <c r="BI54" s="544" t="str">
        <f>IF(VLOOKUP($E$54,[1]QUART!$A$2:$FA$315, 60, FALSE)="",":",VLOOKUP($E$54,[1]QUART!$A$2:$FA$315, 60, FALSE))</f>
        <v>:</v>
      </c>
      <c r="BJ54" s="544" t="str">
        <f>IF(VLOOKUP($E$54,[1]QUART!$A$2:$FA$315, 61, FALSE)="",":",VLOOKUP($E$54,[1]QUART!$A$2:$FA$315, 61, FALSE))</f>
        <v>:</v>
      </c>
      <c r="BK54" s="544" t="str">
        <f>IF(VLOOKUP($E$54,[1]QUART!$A$2:$FA$315, 62, FALSE)="",":",VLOOKUP($E$54,[1]QUART!$A$2:$FA$315, 62, FALSE))</f>
        <v>:</v>
      </c>
      <c r="BL54" s="544" t="str">
        <f>IF(VLOOKUP($E$54,[1]QUART!$A$2:$FA$315, 63, FALSE)="",":",VLOOKUP($E$54,[1]QUART!$A$2:$FA$315, 63, FALSE))</f>
        <v>:</v>
      </c>
      <c r="BM54" s="544" t="str">
        <f>IF(VLOOKUP($E$54,[1]QUART!$A$2:$FA$315, 64, FALSE)="",":",VLOOKUP($E$54,[1]QUART!$A$2:$FA$315, 64, FALSE))</f>
        <v>:</v>
      </c>
      <c r="BN54" s="544" t="str">
        <f>IF(VLOOKUP($E$54,[1]QUART!$A$2:$FA$315, 65, FALSE)="",":",VLOOKUP($E$54,[1]QUART!$A$2:$FA$315, 65, FALSE))</f>
        <v>:</v>
      </c>
      <c r="BO54" s="544" t="str">
        <f>IF(VLOOKUP($E$54,[1]QUART!$A$2:$FA$315, 66, FALSE)="",":",VLOOKUP($E$54,[1]QUART!$A$2:$FA$315, 66, FALSE))</f>
        <v>:</v>
      </c>
      <c r="BP54" s="544" t="str">
        <f>IF(VLOOKUP($E$54,[1]QUART!$A$2:$FA$315, 67, FALSE)="",":",VLOOKUP($E$54,[1]QUART!$A$2:$FA$315, 67, FALSE))</f>
        <v>:</v>
      </c>
      <c r="BQ54" s="544" t="str">
        <f>IF(VLOOKUP($E$54,[1]QUART!$A$2:$FA$315, 68, FALSE)="",":",VLOOKUP($E$54,[1]QUART!$A$2:$FA$315, 68, FALSE))</f>
        <v>:</v>
      </c>
      <c r="BR54" s="544" t="str">
        <f>IF(VLOOKUP($E$54,[1]QUART!$A$2:$FA$315, 69, FALSE)="",":",VLOOKUP($E$54,[1]QUART!$A$2:$FA$315, 69, FALSE))</f>
        <v>:</v>
      </c>
      <c r="BS54" s="544" t="str">
        <f>IF(VLOOKUP($E$54,[1]QUART!$A$2:$FA$315, 70, FALSE)="",":",VLOOKUP($E$54,[1]QUART!$A$2:$FA$315, 70, FALSE))</f>
        <v>:</v>
      </c>
      <c r="BT54" s="544" t="str">
        <f>IF(VLOOKUP($E$54,[1]QUART!$A$2:$FA$315, 71, FALSE)="",":",VLOOKUP($E$54,[1]QUART!$A$2:$FA$315, 71, FALSE))</f>
        <v>:</v>
      </c>
      <c r="BU54" s="544" t="str">
        <f>IF(VLOOKUP($E$54,[1]QUART!$A$2:$FA$315, 72, FALSE)="",":",VLOOKUP($E$54,[1]QUART!$A$2:$FA$315, 72, FALSE))</f>
        <v>:</v>
      </c>
      <c r="BV54" s="544" t="str">
        <f>IF(VLOOKUP($E$54,[1]QUART!$A$2:$FA$315, 73, FALSE)="",":",VLOOKUP($E$54,[1]QUART!$A$2:$FA$315, 73, FALSE))</f>
        <v>:</v>
      </c>
      <c r="BW54" s="544" t="str">
        <f>IF(VLOOKUP($E$54,[1]QUART!$A$2:$FA$315, 74, FALSE)="",":",VLOOKUP($E$54,[1]QUART!$A$2:$FA$315, 74, FALSE))</f>
        <v>:</v>
      </c>
      <c r="BX54" s="544" t="str">
        <f>IF(VLOOKUP($E$54,[1]QUART!$A$2:$FA$315, 75, FALSE)="",":",VLOOKUP($E$54,[1]QUART!$A$2:$FA$315, 75, FALSE))</f>
        <v>:</v>
      </c>
      <c r="BY54" s="544" t="str">
        <f>IF(VLOOKUP($E$54,[1]QUART!$A$2:$FA$315, 76, FALSE)="",":",VLOOKUP($E$54,[1]QUART!$A$2:$FA$315, 76, FALSE))</f>
        <v>:</v>
      </c>
      <c r="BZ54" s="544" t="str">
        <f>IF(VLOOKUP($E$54,[1]QUART!$A$2:$FA$315, 77, FALSE)="",":",VLOOKUP($E$54,[1]QUART!$A$2:$FA$315, 77, FALSE))</f>
        <v>:</v>
      </c>
      <c r="CA54" s="544" t="str">
        <f>IF(VLOOKUP($E$54,[1]QUART!$A$2:$FA$315, 78, FALSE)="",":",VLOOKUP($E$54,[1]QUART!$A$2:$FA$315, 78, FALSE))</f>
        <v>:</v>
      </c>
      <c r="CB54" s="544" t="str">
        <f>IF(VLOOKUP($E$54,[1]QUART!$A$2:$FA$315, 79, FALSE)="",":",VLOOKUP($E$54,[1]QUART!$A$2:$FA$315, 79, FALSE))</f>
        <v>:</v>
      </c>
      <c r="CC54" s="544" t="str">
        <f>IF(VLOOKUP($E$54,[1]QUART!$A$2:$FA$315, 80, FALSE)="",":",VLOOKUP($E$54,[1]QUART!$A$2:$FA$315, 80, FALSE))</f>
        <v>:</v>
      </c>
      <c r="CD54" s="544" t="str">
        <f>IF(VLOOKUP($E$54,[1]QUART!$A$2:$FA$315, 81, FALSE)="",":",VLOOKUP($E$54,[1]QUART!$A$2:$FA$315, 81, FALSE))</f>
        <v>:</v>
      </c>
      <c r="CE54" s="544" t="str">
        <f>IF(VLOOKUP($E$54,[1]QUART!$A$2:$FA$315, 82, FALSE)="",":",VLOOKUP($E$54,[1]QUART!$A$2:$FA$315, 82, FALSE))</f>
        <v>:</v>
      </c>
      <c r="CF54" s="544" t="str">
        <f>IF(VLOOKUP($E$54,[1]QUART!$A$2:$FA$315, 83, FALSE)="",":",VLOOKUP($E$54,[1]QUART!$A$2:$FA$315, 83, FALSE))</f>
        <v>:</v>
      </c>
      <c r="CG54" s="544" t="str">
        <f>IF(VLOOKUP($E$54,[1]QUART!$A$2:$FA$315, 84, FALSE)="",":",VLOOKUP($E$54,[1]QUART!$A$2:$FA$315, 84, FALSE))</f>
        <v>:</v>
      </c>
      <c r="CH54" s="544" t="str">
        <f>IF(VLOOKUP($E$54,[1]QUART!$A$2:$FA$315, 85, FALSE)="",":",VLOOKUP($E$54,[1]QUART!$A$2:$FA$315, 85, FALSE))</f>
        <v>:</v>
      </c>
      <c r="CI54" s="544" t="str">
        <f>IF(VLOOKUP($E$54,[1]QUART!$A$2:$FA$315, 86, FALSE)="",":",VLOOKUP($E$54,[1]QUART!$A$2:$FA$315, 86, FALSE))</f>
        <v>:</v>
      </c>
      <c r="CJ54" s="544" t="str">
        <f>IF(VLOOKUP($E$54,[1]QUART!$A$2:$FA$315, 87, FALSE)="",":",VLOOKUP($E$54,[1]QUART!$A$2:$FA$315, 87, FALSE))</f>
        <v>:</v>
      </c>
      <c r="CK54" s="544" t="str">
        <f>IF(VLOOKUP($E$54,[1]QUART!$A$2:$FA$315, 88, FALSE)="",":",VLOOKUP($E$54,[1]QUART!$A$2:$FA$315, 88, FALSE))</f>
        <v>:</v>
      </c>
      <c r="CL54" s="544" t="str">
        <f>IF(VLOOKUP($E$54,[1]QUART!$A$2:$FA$315, 89, FALSE)="",":",VLOOKUP($E$54,[1]QUART!$A$2:$FA$315, 89, FALSE))</f>
        <v>:</v>
      </c>
      <c r="CM54" s="544" t="str">
        <f>IF(VLOOKUP($E$54,[1]QUART!$A$2:$FA$315, 90, FALSE)="",":",VLOOKUP($E$54,[1]QUART!$A$2:$FA$315, 90, FALSE))</f>
        <v>:</v>
      </c>
      <c r="CN54" s="544" t="str">
        <f>IF(VLOOKUP($E$54,[1]QUART!$A$2:$FA$315, 91, FALSE)="",":",VLOOKUP($E$54,[1]QUART!$A$2:$FA$315, 91, FALSE))</f>
        <v>:</v>
      </c>
      <c r="CO54" s="544" t="str">
        <f>IF(VLOOKUP($E$54,[1]QUART!$A$2:$FA$315, 92, FALSE)="",":",VLOOKUP($E$54,[1]QUART!$A$2:$FA$315, 92, FALSE))</f>
        <v>:</v>
      </c>
      <c r="CP54" s="544" t="str">
        <f>IF(VLOOKUP($E$54,[1]QUART!$A$2:$FA$315, 93, FALSE)="",":",VLOOKUP($E$54,[1]QUART!$A$2:$FA$315, 93, FALSE))</f>
        <v>:</v>
      </c>
      <c r="CQ54" s="544" t="str">
        <f>IF(VLOOKUP($E$54,[1]QUART!$A$2:$FA$315, 94, FALSE)="",":",VLOOKUP($E$54,[1]QUART!$A$2:$FA$315, 94, FALSE))</f>
        <v>:</v>
      </c>
      <c r="CR54" s="544" t="str">
        <f>IF(VLOOKUP($E$54,[1]QUART!$A$2:$FA$315, 95, FALSE)="",":",VLOOKUP($E$54,[1]QUART!$A$2:$FA$315, 95, FALSE))</f>
        <v>:</v>
      </c>
      <c r="CS54" s="544" t="str">
        <f>IF(VLOOKUP($E$54,[1]QUART!$A$2:$FA$315, 96, FALSE)="",":",VLOOKUP($E$54,[1]QUART!$A$2:$FA$315, 96, FALSE))</f>
        <v>:</v>
      </c>
      <c r="CT54" s="544" t="str">
        <f>IF(VLOOKUP($E$54,[1]QUART!$A$2:$FA$315, 97, FALSE)="",":",VLOOKUP($E$54,[1]QUART!$A$2:$FA$315, 97, FALSE))</f>
        <v>:</v>
      </c>
      <c r="CU54" s="544" t="str">
        <f>IF(VLOOKUP($E$54,[1]QUART!$A$2:$FA$315, 98, FALSE)="",":",VLOOKUP($E$54,[1]QUART!$A$2:$FA$315, 98, FALSE))</f>
        <v>:</v>
      </c>
      <c r="CV54" s="544" t="str">
        <f>IF(VLOOKUP($E$54,[1]QUART!$A$2:$FA$315, 99, FALSE)="",":",VLOOKUP($E$54,[1]QUART!$A$2:$FA$315, 99, FALSE))</f>
        <v>:</v>
      </c>
      <c r="CW54" s="544" t="str">
        <f>IF(VLOOKUP($E$54,[1]QUART!$A$2:$FA$315, 100, FALSE)="",":",VLOOKUP($E$54,[1]QUART!$A$2:$FA$315, 100, FALSE))</f>
        <v>:</v>
      </c>
      <c r="CX54" s="544" t="str">
        <f>IF(VLOOKUP($E$54,[1]QUART!$A$2:$FA$315, 101, FALSE)="",":",VLOOKUP($E$54,[1]QUART!$A$2:$FA$315, 101, FALSE))</f>
        <v>:</v>
      </c>
      <c r="CY54" s="544" t="str">
        <f>IF(VLOOKUP($E$54,[1]QUART!$A$2:$FA$315, 102, FALSE)="",":",VLOOKUP($E$54,[1]QUART!$A$2:$FA$315, 102, FALSE))</f>
        <v>:</v>
      </c>
      <c r="CZ54" s="544" t="str">
        <f>IF(VLOOKUP($E$54,[1]QUART!$A$2:$FA$315, 103, FALSE)="",":",VLOOKUP($E$54,[1]QUART!$A$2:$FA$315, 103, FALSE))</f>
        <v>:</v>
      </c>
      <c r="DA54" s="544" t="str">
        <f>IF(VLOOKUP($E$54,[1]QUART!$A$2:$FA$315, 104, FALSE)="",":",VLOOKUP($E$54,[1]QUART!$A$2:$FA$315, 104, FALSE))</f>
        <v>:</v>
      </c>
      <c r="DB54" s="544" t="str">
        <f>IF(VLOOKUP($E$54,[1]QUART!$A$2:$FA$315, 105, FALSE)="",":",VLOOKUP($E$54,[1]QUART!$A$2:$FA$315, 105, FALSE))</f>
        <v>:</v>
      </c>
      <c r="DC54" s="544" t="str">
        <f>IF(VLOOKUP($E$54,[1]QUART!$A$2:$FA$315, 106, FALSE)="",":",VLOOKUP($E$54,[1]QUART!$A$2:$FA$315, 106, FALSE))</f>
        <v>:</v>
      </c>
    </row>
    <row r="55" spans="1:107">
      <c r="A55" s="1954"/>
      <c r="B55" s="534"/>
      <c r="C55" s="535"/>
      <c r="D55" s="12" t="s">
        <v>1841</v>
      </c>
      <c r="E55" s="13">
        <v>122</v>
      </c>
      <c r="F55" s="14" t="str">
        <f>VLOOKUP($E$55,[1]QUART!$A$2:$FA$315, 3, FALSE)</f>
        <v xml:space="preserve">122  Gross fixed capital formation                                                   </v>
      </c>
      <c r="G55" s="544" t="str">
        <f>IF(VLOOKUP($E$55,[1]QUART!$A$2:$FA$315, 6, FALSE)="",":",VLOOKUP($E$55,[1]QUART!$A$2:$FA$315, 6, FALSE))</f>
        <v>:</v>
      </c>
      <c r="H55" s="544" t="str">
        <f>IF(VLOOKUP($E$55,[1]QUART!$A$2:$FA$315, 7, FALSE)="",":",VLOOKUP($E$55,[1]QUART!$A$2:$FA$315, 7, FALSE))</f>
        <v>:</v>
      </c>
      <c r="I55" s="544" t="str">
        <f>IF(VLOOKUP($E$55,[1]QUART!$A$2:$FA$315, 8, FALSE)="",":",VLOOKUP($E$55,[1]QUART!$A$2:$FA$315, 8, FALSE))</f>
        <v>:</v>
      </c>
      <c r="J55" s="544" t="str">
        <f>IF(VLOOKUP($E$55,[1]QUART!$A$2:$FA$315, 9, FALSE)="",":",VLOOKUP($E$55,[1]QUART!$A$2:$FA$315, 9, FALSE))</f>
        <v>:</v>
      </c>
      <c r="K55" s="544" t="str">
        <f>IF(VLOOKUP($E$55,[1]QUART!$A$2:$FA$315, 10, FALSE)="",":",VLOOKUP($E$55,[1]QUART!$A$2:$FA$315, 10, FALSE))</f>
        <v>:</v>
      </c>
      <c r="L55" s="544" t="str">
        <f>IF(VLOOKUP($E$55,[1]QUART!$A$2:$FA$315, 11, FALSE)="",":",VLOOKUP($E$55,[1]QUART!$A$2:$FA$315, 11, FALSE))</f>
        <v>:</v>
      </c>
      <c r="M55" s="544" t="str">
        <f>IF(VLOOKUP($E$55,[1]QUART!$A$2:$FA$315, 12, FALSE)="",":",VLOOKUP($E$55,[1]QUART!$A$2:$FA$315, 12, FALSE))</f>
        <v>:</v>
      </c>
      <c r="N55" s="544" t="str">
        <f>IF(VLOOKUP($E$55,[1]QUART!$A$2:$FA$315, 13, FALSE)="",":",VLOOKUP($E$55,[1]QUART!$A$2:$FA$315, 13, FALSE))</f>
        <v>:</v>
      </c>
      <c r="O55" s="544" t="str">
        <f>IF(VLOOKUP($E$55,[1]QUART!$A$2:$FA$315, 14, FALSE)="",":",VLOOKUP($E$55,[1]QUART!$A$2:$FA$315, 14, FALSE))</f>
        <v>:</v>
      </c>
      <c r="P55" s="544" t="str">
        <f>IF(VLOOKUP($E$55,[1]QUART!$A$2:$FA$315, 15, FALSE)="",":",VLOOKUP($E$55,[1]QUART!$A$2:$FA$315, 15, FALSE))</f>
        <v>:</v>
      </c>
      <c r="Q55" s="544" t="str">
        <f>IF(VLOOKUP($E$55,[1]QUART!$A$2:$FA$315, 16, FALSE)="",":",VLOOKUP($E$55,[1]QUART!$A$2:$FA$315, 16, FALSE))</f>
        <v>:</v>
      </c>
      <c r="R55" s="544" t="str">
        <f>IF(VLOOKUP($E$55,[1]QUART!$A$2:$FA$315, 17, FALSE)="",":",VLOOKUP($E$55,[1]QUART!$A$2:$FA$315, 17, FALSE))</f>
        <v>:</v>
      </c>
      <c r="S55" s="544" t="str">
        <f>IF(VLOOKUP($E$55,[1]QUART!$A$2:$FA$315, 18, FALSE)="",":",VLOOKUP($E$55,[1]QUART!$A$2:$FA$315, 18, FALSE))</f>
        <v>:</v>
      </c>
      <c r="T55" s="544" t="str">
        <f>IF(VLOOKUP($E$55,[1]QUART!$A$2:$FA$315, 19, FALSE)="",":",VLOOKUP($E$55,[1]QUART!$A$2:$FA$315, 19, FALSE))</f>
        <v>:</v>
      </c>
      <c r="U55" s="544" t="str">
        <f>IF(VLOOKUP($E$55,[1]QUART!$A$2:$FA$315, 20, FALSE)="",":",VLOOKUP($E$55,[1]QUART!$A$2:$FA$315, 20, FALSE))</f>
        <v>:</v>
      </c>
      <c r="V55" s="544" t="str">
        <f>IF(VLOOKUP($E$55,[1]QUART!$A$2:$FA$315, 21, FALSE)="",":",VLOOKUP($E$55,[1]QUART!$A$2:$FA$315, 21, FALSE))</f>
        <v>:</v>
      </c>
      <c r="W55" s="544" t="str">
        <f>IF(VLOOKUP($E$55,[1]QUART!$A$2:$FA$315, 22, FALSE)="",":",VLOOKUP($E$55,[1]QUART!$A$2:$FA$315, 22, FALSE))</f>
        <v>:</v>
      </c>
      <c r="X55" s="544" t="str">
        <f>IF(VLOOKUP($E$55,[1]QUART!$A$2:$FA$315, 23, FALSE)="",":",VLOOKUP($E$55,[1]QUART!$A$2:$FA$315, 23, FALSE))</f>
        <v>:</v>
      </c>
      <c r="Y55" s="544" t="str">
        <f>IF(VLOOKUP($E$55,[1]QUART!$A$2:$FA$315, 24, FALSE)="",":",VLOOKUP($E$55,[1]QUART!$A$2:$FA$315, 24, FALSE))</f>
        <v>:</v>
      </c>
      <c r="Z55" s="544" t="str">
        <f>IF(VLOOKUP($E$55,[1]QUART!$A$2:$FA$315, 25, FALSE)="",":",VLOOKUP($E$55,[1]QUART!$A$2:$FA$315, 25, FALSE))</f>
        <v>:</v>
      </c>
      <c r="AA55" s="544" t="str">
        <f>IF(VLOOKUP($E$55,[1]QUART!$A$2:$FA$315, 26, FALSE)="",":",VLOOKUP($E$55,[1]QUART!$A$2:$FA$315, 26, FALSE))</f>
        <v>:</v>
      </c>
      <c r="AB55" s="544" t="str">
        <f>IF(VLOOKUP($E$55,[1]QUART!$A$2:$FA$315, 27, FALSE)="",":",VLOOKUP($E$55,[1]QUART!$A$2:$FA$315, 27, FALSE))</f>
        <v>:</v>
      </c>
      <c r="AC55" s="544" t="str">
        <f>IF(VLOOKUP($E$55,[1]QUART!$A$2:$FA$315, 28, FALSE)="",":",VLOOKUP($E$55,[1]QUART!$A$2:$FA$315, 28, FALSE))</f>
        <v>:</v>
      </c>
      <c r="AD55" s="544" t="str">
        <f>IF(VLOOKUP($E$55,[1]QUART!$A$2:$FA$315, 29, FALSE)="",":",VLOOKUP($E$55,[1]QUART!$A$2:$FA$315, 29, FALSE))</f>
        <v>:</v>
      </c>
      <c r="AE55" s="544" t="str">
        <f>IF(VLOOKUP($E$55,[1]QUART!$A$2:$FA$315, 30, FALSE)="",":",VLOOKUP($E$55,[1]QUART!$A$2:$FA$315, 30, FALSE))</f>
        <v>:</v>
      </c>
      <c r="AF55" s="544" t="str">
        <f>IF(VLOOKUP($E$55,[1]QUART!$A$2:$FA$315, 31, FALSE)="",":",VLOOKUP($E$55,[1]QUART!$A$2:$FA$315, 31, FALSE))</f>
        <v>:</v>
      </c>
      <c r="AG55" s="544" t="str">
        <f>IF(VLOOKUP($E$55,[1]QUART!$A$2:$FA$315, 32, FALSE)="",":",VLOOKUP($E$55,[1]QUART!$A$2:$FA$315, 32, FALSE))</f>
        <v>:</v>
      </c>
      <c r="AH55" s="544" t="str">
        <f>IF(VLOOKUP($E$55,[1]QUART!$A$2:$FA$315, 33, FALSE)="",":",VLOOKUP($E$55,[1]QUART!$A$2:$FA$315, 33, FALSE))</f>
        <v>:</v>
      </c>
      <c r="AI55" s="544" t="str">
        <f>IF(VLOOKUP($E$55,[1]QUART!$A$2:$FA$315, 34, FALSE)="",":",VLOOKUP($E$55,[1]QUART!$A$2:$FA$315, 34, FALSE))</f>
        <v>:</v>
      </c>
      <c r="AJ55" s="544" t="str">
        <f>IF(VLOOKUP($E$55,[1]QUART!$A$2:$FA$315, 35, FALSE)="",":",VLOOKUP($E$55,[1]QUART!$A$2:$FA$315, 35, FALSE))</f>
        <v>:</v>
      </c>
      <c r="AK55" s="544" t="str">
        <f>IF(VLOOKUP($E$55,[1]QUART!$A$2:$FA$315, 36, FALSE)="",":",VLOOKUP($E$55,[1]QUART!$A$2:$FA$315, 36, FALSE))</f>
        <v>:</v>
      </c>
      <c r="AL55" s="544" t="str">
        <f>IF(VLOOKUP($E$55,[1]QUART!$A$2:$FA$315, 37, FALSE)="",":",VLOOKUP($E$55,[1]QUART!$A$2:$FA$315, 37, FALSE))</f>
        <v>:</v>
      </c>
      <c r="AM55" s="544" t="str">
        <f>IF(VLOOKUP($E$55,[1]QUART!$A$2:$FA$315, 38, FALSE)="",":",VLOOKUP($E$55,[1]QUART!$A$2:$FA$315, 38, FALSE))</f>
        <v>:</v>
      </c>
      <c r="AN55" s="544" t="str">
        <f>IF(VLOOKUP($E$55,[1]QUART!$A$2:$FA$315, 39, FALSE)="",":",VLOOKUP($E$55,[1]QUART!$A$2:$FA$315, 39, FALSE))</f>
        <v>:</v>
      </c>
      <c r="AO55" s="544" t="str">
        <f>IF(VLOOKUP($E$55,[1]QUART!$A$2:$FA$315, 40, FALSE)="",":",VLOOKUP($E$55,[1]QUART!$A$2:$FA$315, 40, FALSE))</f>
        <v>:</v>
      </c>
      <c r="AP55" s="544" t="str">
        <f>IF(VLOOKUP($E$55,[1]QUART!$A$2:$FA$315, 41, FALSE)="",":",VLOOKUP($E$55,[1]QUART!$A$2:$FA$315, 41, FALSE))</f>
        <v>:</v>
      </c>
      <c r="AQ55" s="544" t="str">
        <f>IF(VLOOKUP($E$55,[1]QUART!$A$2:$FA$315, 42, FALSE)="",":",VLOOKUP($E$55,[1]QUART!$A$2:$FA$315, 42, FALSE))</f>
        <v>:</v>
      </c>
      <c r="AR55" s="544" t="str">
        <f>IF(VLOOKUP($E$55,[1]QUART!$A$2:$FA$315, 43, FALSE)="",":",VLOOKUP($E$55,[1]QUART!$A$2:$FA$315, 43, FALSE))</f>
        <v>:</v>
      </c>
      <c r="AS55" s="544" t="str">
        <f>IF(VLOOKUP($E$55,[1]QUART!$A$2:$FA$315, 44, FALSE)="",":",VLOOKUP($E$55,[1]QUART!$A$2:$FA$315, 44, FALSE))</f>
        <v>:</v>
      </c>
      <c r="AT55" s="544" t="str">
        <f>IF(VLOOKUP($E$55,[1]QUART!$A$2:$FA$315, 45, FALSE)="",":",VLOOKUP($E$55,[1]QUART!$A$2:$FA$315, 45, FALSE))</f>
        <v>:</v>
      </c>
      <c r="AU55" s="544" t="str">
        <f>IF(VLOOKUP($E$55,[1]QUART!$A$2:$FA$315, 46, FALSE)="",":",VLOOKUP($E$55,[1]QUART!$A$2:$FA$315, 46, FALSE))</f>
        <v>:</v>
      </c>
      <c r="AV55" s="544" t="str">
        <f>IF(VLOOKUP($E$55,[1]QUART!$A$2:$FA$315, 47, FALSE)="",":",VLOOKUP($E$55,[1]QUART!$A$2:$FA$315, 47, FALSE))</f>
        <v>:</v>
      </c>
      <c r="AW55" s="544" t="str">
        <f>IF(VLOOKUP($E$55,[1]QUART!$A$2:$FA$315, 48, FALSE)="",":",VLOOKUP($E$55,[1]QUART!$A$2:$FA$315, 48, FALSE))</f>
        <v>:</v>
      </c>
      <c r="AX55" s="544" t="str">
        <f>IF(VLOOKUP($E$55,[1]QUART!$A$2:$FA$315, 49, FALSE)="",":",VLOOKUP($E$55,[1]QUART!$A$2:$FA$315, 49, FALSE))</f>
        <v>:</v>
      </c>
      <c r="AY55" s="544" t="str">
        <f>IF(VLOOKUP($E$55,[1]QUART!$A$2:$FA$315, 50, FALSE)="",":",VLOOKUP($E$55,[1]QUART!$A$2:$FA$315, 50, FALSE))</f>
        <v>:</v>
      </c>
      <c r="AZ55" s="544" t="str">
        <f>IF(VLOOKUP($E$55,[1]QUART!$A$2:$FA$315, 51, FALSE)="",":",VLOOKUP($E$55,[1]QUART!$A$2:$FA$315, 51, FALSE))</f>
        <v>:</v>
      </c>
      <c r="BA55" s="544" t="str">
        <f>IF(VLOOKUP($E$55,[1]QUART!$A$2:$FA$315, 52, FALSE)="",":",VLOOKUP($E$55,[1]QUART!$A$2:$FA$315, 52, FALSE))</f>
        <v>:</v>
      </c>
      <c r="BB55" s="544" t="str">
        <f>IF(VLOOKUP($E$55,[1]QUART!$A$2:$FA$315, 53, FALSE)="",":",VLOOKUP($E$55,[1]QUART!$A$2:$FA$315, 53, FALSE))</f>
        <v>:</v>
      </c>
      <c r="BC55" s="544" t="str">
        <f>IF(VLOOKUP($E$55,[1]QUART!$A$2:$FA$315, 54, FALSE)="",":",VLOOKUP($E$55,[1]QUART!$A$2:$FA$315, 54, FALSE))</f>
        <v>:</v>
      </c>
      <c r="BD55" s="544" t="str">
        <f>IF(VLOOKUP($E$55,[1]QUART!$A$2:$FA$315, 55, FALSE)="",":",VLOOKUP($E$55,[1]QUART!$A$2:$FA$315, 55, FALSE))</f>
        <v>:</v>
      </c>
      <c r="BE55" s="544" t="str">
        <f>IF(VLOOKUP($E$55,[1]QUART!$A$2:$FA$315, 56, FALSE)="",":",VLOOKUP($E$55,[1]QUART!$A$2:$FA$315, 56, FALSE))</f>
        <v>:</v>
      </c>
      <c r="BF55" s="544" t="str">
        <f>IF(VLOOKUP($E$55,[1]QUART!$A$2:$FA$315, 57, FALSE)="",":",VLOOKUP($E$55,[1]QUART!$A$2:$FA$315, 57, FALSE))</f>
        <v>:</v>
      </c>
      <c r="BG55" s="544" t="str">
        <f>IF(VLOOKUP($E$55,[1]QUART!$A$2:$FA$315, 58, FALSE)="",":",VLOOKUP($E$55,[1]QUART!$A$2:$FA$315, 58, FALSE))</f>
        <v>:</v>
      </c>
      <c r="BH55" s="544" t="str">
        <f>IF(VLOOKUP($E$55,[1]QUART!$A$2:$FA$315, 59, FALSE)="",":",VLOOKUP($E$55,[1]QUART!$A$2:$FA$315, 59, FALSE))</f>
        <v>:</v>
      </c>
      <c r="BI55" s="544" t="str">
        <f>IF(VLOOKUP($E$55,[1]QUART!$A$2:$FA$315, 60, FALSE)="",":",VLOOKUP($E$55,[1]QUART!$A$2:$FA$315, 60, FALSE))</f>
        <v>:</v>
      </c>
      <c r="BJ55" s="544" t="str">
        <f>IF(VLOOKUP($E$55,[1]QUART!$A$2:$FA$315, 61, FALSE)="",":",VLOOKUP($E$55,[1]QUART!$A$2:$FA$315, 61, FALSE))</f>
        <v>:</v>
      </c>
      <c r="BK55" s="544" t="str">
        <f>IF(VLOOKUP($E$55,[1]QUART!$A$2:$FA$315, 62, FALSE)="",":",VLOOKUP($E$55,[1]QUART!$A$2:$FA$315, 62, FALSE))</f>
        <v>:</v>
      </c>
      <c r="BL55" s="544" t="str">
        <f>IF(VLOOKUP($E$55,[1]QUART!$A$2:$FA$315, 63, FALSE)="",":",VLOOKUP($E$55,[1]QUART!$A$2:$FA$315, 63, FALSE))</f>
        <v>:</v>
      </c>
      <c r="BM55" s="544" t="str">
        <f>IF(VLOOKUP($E$55,[1]QUART!$A$2:$FA$315, 64, FALSE)="",":",VLOOKUP($E$55,[1]QUART!$A$2:$FA$315, 64, FALSE))</f>
        <v>:</v>
      </c>
      <c r="BN55" s="544" t="str">
        <f>IF(VLOOKUP($E$55,[1]QUART!$A$2:$FA$315, 65, FALSE)="",":",VLOOKUP($E$55,[1]QUART!$A$2:$FA$315, 65, FALSE))</f>
        <v>:</v>
      </c>
      <c r="BO55" s="544" t="str">
        <f>IF(VLOOKUP($E$55,[1]QUART!$A$2:$FA$315, 66, FALSE)="",":",VLOOKUP($E$55,[1]QUART!$A$2:$FA$315, 66, FALSE))</f>
        <v>:</v>
      </c>
      <c r="BP55" s="544" t="str">
        <f>IF(VLOOKUP($E$55,[1]QUART!$A$2:$FA$315, 67, FALSE)="",":",VLOOKUP($E$55,[1]QUART!$A$2:$FA$315, 67, FALSE))</f>
        <v>:</v>
      </c>
      <c r="BQ55" s="544" t="str">
        <f>IF(VLOOKUP($E$55,[1]QUART!$A$2:$FA$315, 68, FALSE)="",":",VLOOKUP($E$55,[1]QUART!$A$2:$FA$315, 68, FALSE))</f>
        <v>:</v>
      </c>
      <c r="BR55" s="544" t="str">
        <f>IF(VLOOKUP($E$55,[1]QUART!$A$2:$FA$315, 69, FALSE)="",":",VLOOKUP($E$55,[1]QUART!$A$2:$FA$315, 69, FALSE))</f>
        <v>:</v>
      </c>
      <c r="BS55" s="544" t="str">
        <f>IF(VLOOKUP($E$55,[1]QUART!$A$2:$FA$315, 70, FALSE)="",":",VLOOKUP($E$55,[1]QUART!$A$2:$FA$315, 70, FALSE))</f>
        <v>:</v>
      </c>
      <c r="BT55" s="544" t="str">
        <f>IF(VLOOKUP($E$55,[1]QUART!$A$2:$FA$315, 71, FALSE)="",":",VLOOKUP($E$55,[1]QUART!$A$2:$FA$315, 71, FALSE))</f>
        <v>:</v>
      </c>
      <c r="BU55" s="544" t="str">
        <f>IF(VLOOKUP($E$55,[1]QUART!$A$2:$FA$315, 72, FALSE)="",":",VLOOKUP($E$55,[1]QUART!$A$2:$FA$315, 72, FALSE))</f>
        <v>:</v>
      </c>
      <c r="BV55" s="544" t="str">
        <f>IF(VLOOKUP($E$55,[1]QUART!$A$2:$FA$315, 73, FALSE)="",":",VLOOKUP($E$55,[1]QUART!$A$2:$FA$315, 73, FALSE))</f>
        <v>:</v>
      </c>
      <c r="BW55" s="544" t="str">
        <f>IF(VLOOKUP($E$55,[1]QUART!$A$2:$FA$315, 74, FALSE)="",":",VLOOKUP($E$55,[1]QUART!$A$2:$FA$315, 74, FALSE))</f>
        <v>:</v>
      </c>
      <c r="BX55" s="544" t="str">
        <f>IF(VLOOKUP($E$55,[1]QUART!$A$2:$FA$315, 75, FALSE)="",":",VLOOKUP($E$55,[1]QUART!$A$2:$FA$315, 75, FALSE))</f>
        <v>:</v>
      </c>
      <c r="BY55" s="544" t="str">
        <f>IF(VLOOKUP($E$55,[1]QUART!$A$2:$FA$315, 76, FALSE)="",":",VLOOKUP($E$55,[1]QUART!$A$2:$FA$315, 76, FALSE))</f>
        <v>:</v>
      </c>
      <c r="BZ55" s="544" t="str">
        <f>IF(VLOOKUP($E$55,[1]QUART!$A$2:$FA$315, 77, FALSE)="",":",VLOOKUP($E$55,[1]QUART!$A$2:$FA$315, 77, FALSE))</f>
        <v>:</v>
      </c>
      <c r="CA55" s="544" t="str">
        <f>IF(VLOOKUP($E$55,[1]QUART!$A$2:$FA$315, 78, FALSE)="",":",VLOOKUP($E$55,[1]QUART!$A$2:$FA$315, 78, FALSE))</f>
        <v>:</v>
      </c>
      <c r="CB55" s="544" t="str">
        <f>IF(VLOOKUP($E$55,[1]QUART!$A$2:$FA$315, 79, FALSE)="",":",VLOOKUP($E$55,[1]QUART!$A$2:$FA$315, 79, FALSE))</f>
        <v>:</v>
      </c>
      <c r="CC55" s="544" t="str">
        <f>IF(VLOOKUP($E$55,[1]QUART!$A$2:$FA$315, 80, FALSE)="",":",VLOOKUP($E$55,[1]QUART!$A$2:$FA$315, 80, FALSE))</f>
        <v>:</v>
      </c>
      <c r="CD55" s="544" t="str">
        <f>IF(VLOOKUP($E$55,[1]QUART!$A$2:$FA$315, 81, FALSE)="",":",VLOOKUP($E$55,[1]QUART!$A$2:$FA$315, 81, FALSE))</f>
        <v>:</v>
      </c>
      <c r="CE55" s="544" t="str">
        <f>IF(VLOOKUP($E$55,[1]QUART!$A$2:$FA$315, 82, FALSE)="",":",VLOOKUP($E$55,[1]QUART!$A$2:$FA$315, 82, FALSE))</f>
        <v>:</v>
      </c>
      <c r="CF55" s="544" t="str">
        <f>IF(VLOOKUP($E$55,[1]QUART!$A$2:$FA$315, 83, FALSE)="",":",VLOOKUP($E$55,[1]QUART!$A$2:$FA$315, 83, FALSE))</f>
        <v>:</v>
      </c>
      <c r="CG55" s="544" t="str">
        <f>IF(VLOOKUP($E$55,[1]QUART!$A$2:$FA$315, 84, FALSE)="",":",VLOOKUP($E$55,[1]QUART!$A$2:$FA$315, 84, FALSE))</f>
        <v>:</v>
      </c>
      <c r="CH55" s="544" t="str">
        <f>IF(VLOOKUP($E$55,[1]QUART!$A$2:$FA$315, 85, FALSE)="",":",VLOOKUP($E$55,[1]QUART!$A$2:$FA$315, 85, FALSE))</f>
        <v>:</v>
      </c>
      <c r="CI55" s="544" t="str">
        <f>IF(VLOOKUP($E$55,[1]QUART!$A$2:$FA$315, 86, FALSE)="",":",VLOOKUP($E$55,[1]QUART!$A$2:$FA$315, 86, FALSE))</f>
        <v>:</v>
      </c>
      <c r="CJ55" s="544" t="str">
        <f>IF(VLOOKUP($E$55,[1]QUART!$A$2:$FA$315, 87, FALSE)="",":",VLOOKUP($E$55,[1]QUART!$A$2:$FA$315, 87, FALSE))</f>
        <v>:</v>
      </c>
      <c r="CK55" s="544" t="str">
        <f>IF(VLOOKUP($E$55,[1]QUART!$A$2:$FA$315, 88, FALSE)="",":",VLOOKUP($E$55,[1]QUART!$A$2:$FA$315, 88, FALSE))</f>
        <v>:</v>
      </c>
      <c r="CL55" s="544" t="str">
        <f>IF(VLOOKUP($E$55,[1]QUART!$A$2:$FA$315, 89, FALSE)="",":",VLOOKUP($E$55,[1]QUART!$A$2:$FA$315, 89, FALSE))</f>
        <v>:</v>
      </c>
      <c r="CM55" s="544" t="str">
        <f>IF(VLOOKUP($E$55,[1]QUART!$A$2:$FA$315, 90, FALSE)="",":",VLOOKUP($E$55,[1]QUART!$A$2:$FA$315, 90, FALSE))</f>
        <v>:</v>
      </c>
      <c r="CN55" s="544" t="str">
        <f>IF(VLOOKUP($E$55,[1]QUART!$A$2:$FA$315, 91, FALSE)="",":",VLOOKUP($E$55,[1]QUART!$A$2:$FA$315, 91, FALSE))</f>
        <v>:</v>
      </c>
      <c r="CO55" s="544" t="str">
        <f>IF(VLOOKUP($E$55,[1]QUART!$A$2:$FA$315, 92, FALSE)="",":",VLOOKUP($E$55,[1]QUART!$A$2:$FA$315, 92, FALSE))</f>
        <v>:</v>
      </c>
      <c r="CP55" s="544" t="str">
        <f>IF(VLOOKUP($E$55,[1]QUART!$A$2:$FA$315, 93, FALSE)="",":",VLOOKUP($E$55,[1]QUART!$A$2:$FA$315, 93, FALSE))</f>
        <v>:</v>
      </c>
      <c r="CQ55" s="544" t="str">
        <f>IF(VLOOKUP($E$55,[1]QUART!$A$2:$FA$315, 94, FALSE)="",":",VLOOKUP($E$55,[1]QUART!$A$2:$FA$315, 94, FALSE))</f>
        <v>:</v>
      </c>
      <c r="CR55" s="544" t="str">
        <f>IF(VLOOKUP($E$55,[1]QUART!$A$2:$FA$315, 95, FALSE)="",":",VLOOKUP($E$55,[1]QUART!$A$2:$FA$315, 95, FALSE))</f>
        <v>:</v>
      </c>
      <c r="CS55" s="544" t="str">
        <f>IF(VLOOKUP($E$55,[1]QUART!$A$2:$FA$315, 96, FALSE)="",":",VLOOKUP($E$55,[1]QUART!$A$2:$FA$315, 96, FALSE))</f>
        <v>:</v>
      </c>
      <c r="CT55" s="544" t="str">
        <f>IF(VLOOKUP($E$55,[1]QUART!$A$2:$FA$315, 97, FALSE)="",":",VLOOKUP($E$55,[1]QUART!$A$2:$FA$315, 97, FALSE))</f>
        <v>:</v>
      </c>
      <c r="CU55" s="544" t="str">
        <f>IF(VLOOKUP($E$55,[1]QUART!$A$2:$FA$315, 98, FALSE)="",":",VLOOKUP($E$55,[1]QUART!$A$2:$FA$315, 98, FALSE))</f>
        <v>:</v>
      </c>
      <c r="CV55" s="544" t="str">
        <f>IF(VLOOKUP($E$55,[1]QUART!$A$2:$FA$315, 99, FALSE)="",":",VLOOKUP($E$55,[1]QUART!$A$2:$FA$315, 99, FALSE))</f>
        <v>:</v>
      </c>
      <c r="CW55" s="544" t="str">
        <f>IF(VLOOKUP($E$55,[1]QUART!$A$2:$FA$315, 100, FALSE)="",":",VLOOKUP($E$55,[1]QUART!$A$2:$FA$315, 100, FALSE))</f>
        <v>:</v>
      </c>
      <c r="CX55" s="544" t="str">
        <f>IF(VLOOKUP($E$55,[1]QUART!$A$2:$FA$315, 101, FALSE)="",":",VLOOKUP($E$55,[1]QUART!$A$2:$FA$315, 101, FALSE))</f>
        <v>:</v>
      </c>
      <c r="CY55" s="544" t="str">
        <f>IF(VLOOKUP($E$55,[1]QUART!$A$2:$FA$315, 102, FALSE)="",":",VLOOKUP($E$55,[1]QUART!$A$2:$FA$315, 102, FALSE))</f>
        <v>:</v>
      </c>
      <c r="CZ55" s="544" t="str">
        <f>IF(VLOOKUP($E$55,[1]QUART!$A$2:$FA$315, 103, FALSE)="",":",VLOOKUP($E$55,[1]QUART!$A$2:$FA$315, 103, FALSE))</f>
        <v>:</v>
      </c>
      <c r="DA55" s="544" t="str">
        <f>IF(VLOOKUP($E$55,[1]QUART!$A$2:$FA$315, 104, FALSE)="",":",VLOOKUP($E$55,[1]QUART!$A$2:$FA$315, 104, FALSE))</f>
        <v>:</v>
      </c>
      <c r="DB55" s="544" t="str">
        <f>IF(VLOOKUP($E$55,[1]QUART!$A$2:$FA$315, 105, FALSE)="",":",VLOOKUP($E$55,[1]QUART!$A$2:$FA$315, 105, FALSE))</f>
        <v>:</v>
      </c>
      <c r="DC55" s="544" t="str">
        <f>IF(VLOOKUP($E$55,[1]QUART!$A$2:$FA$315, 106, FALSE)="",":",VLOOKUP($E$55,[1]QUART!$A$2:$FA$315, 106, FALSE))</f>
        <v>:</v>
      </c>
    </row>
    <row r="56" spans="1:107">
      <c r="A56" s="1954"/>
      <c r="B56" s="534"/>
      <c r="C56" s="535"/>
      <c r="D56" s="12" t="s">
        <v>1841</v>
      </c>
      <c r="E56" s="13">
        <v>123</v>
      </c>
      <c r="F56" s="14" t="str">
        <f>VLOOKUP($E$56,[1]QUART!$A$2:$FA$315, 3, FALSE)</f>
        <v xml:space="preserve">123  Changes in inventories and net acquisition of valuables                         </v>
      </c>
      <c r="G56" s="544" t="str">
        <f>IF(VLOOKUP($E$56,[1]QUART!$A$2:$FA$315, 6, FALSE)="",":",VLOOKUP($E$56,[1]QUART!$A$2:$FA$315, 6, FALSE))</f>
        <v>:</v>
      </c>
      <c r="H56" s="544" t="str">
        <f>IF(VLOOKUP($E$56,[1]QUART!$A$2:$FA$315, 7, FALSE)="",":",VLOOKUP($E$56,[1]QUART!$A$2:$FA$315, 7, FALSE))</f>
        <v>:</v>
      </c>
      <c r="I56" s="544" t="str">
        <f>IF(VLOOKUP($E$56,[1]QUART!$A$2:$FA$315, 8, FALSE)="",":",VLOOKUP($E$56,[1]QUART!$A$2:$FA$315, 8, FALSE))</f>
        <v>:</v>
      </c>
      <c r="J56" s="544" t="str">
        <f>IF(VLOOKUP($E$56,[1]QUART!$A$2:$FA$315, 9, FALSE)="",":",VLOOKUP($E$56,[1]QUART!$A$2:$FA$315, 9, FALSE))</f>
        <v>:</v>
      </c>
      <c r="K56" s="544" t="str">
        <f>IF(VLOOKUP($E$56,[1]QUART!$A$2:$FA$315, 10, FALSE)="",":",VLOOKUP($E$56,[1]QUART!$A$2:$FA$315, 10, FALSE))</f>
        <v>:</v>
      </c>
      <c r="L56" s="544" t="str">
        <f>IF(VLOOKUP($E$56,[1]QUART!$A$2:$FA$315, 11, FALSE)="",":",VLOOKUP($E$56,[1]QUART!$A$2:$FA$315, 11, FALSE))</f>
        <v>:</v>
      </c>
      <c r="M56" s="544" t="str">
        <f>IF(VLOOKUP($E$56,[1]QUART!$A$2:$FA$315, 12, FALSE)="",":",VLOOKUP($E$56,[1]QUART!$A$2:$FA$315, 12, FALSE))</f>
        <v>:</v>
      </c>
      <c r="N56" s="544" t="str">
        <f>IF(VLOOKUP($E$56,[1]QUART!$A$2:$FA$315, 13, FALSE)="",":",VLOOKUP($E$56,[1]QUART!$A$2:$FA$315, 13, FALSE))</f>
        <v>:</v>
      </c>
      <c r="O56" s="544" t="str">
        <f>IF(VLOOKUP($E$56,[1]QUART!$A$2:$FA$315, 14, FALSE)="",":",VLOOKUP($E$56,[1]QUART!$A$2:$FA$315, 14, FALSE))</f>
        <v>:</v>
      </c>
      <c r="P56" s="544" t="str">
        <f>IF(VLOOKUP($E$56,[1]QUART!$A$2:$FA$315, 15, FALSE)="",":",VLOOKUP($E$56,[1]QUART!$A$2:$FA$315, 15, FALSE))</f>
        <v>:</v>
      </c>
      <c r="Q56" s="544" t="str">
        <f>IF(VLOOKUP($E$56,[1]QUART!$A$2:$FA$315, 16, FALSE)="",":",VLOOKUP($E$56,[1]QUART!$A$2:$FA$315, 16, FALSE))</f>
        <v>:</v>
      </c>
      <c r="R56" s="544" t="str">
        <f>IF(VLOOKUP($E$56,[1]QUART!$A$2:$FA$315, 17, FALSE)="",":",VLOOKUP($E$56,[1]QUART!$A$2:$FA$315, 17, FALSE))</f>
        <v>:</v>
      </c>
      <c r="S56" s="544" t="str">
        <f>IF(VLOOKUP($E$56,[1]QUART!$A$2:$FA$315, 18, FALSE)="",":",VLOOKUP($E$56,[1]QUART!$A$2:$FA$315, 18, FALSE))</f>
        <v>:</v>
      </c>
      <c r="T56" s="544" t="str">
        <f>IF(VLOOKUP($E$56,[1]QUART!$A$2:$FA$315, 19, FALSE)="",":",VLOOKUP($E$56,[1]QUART!$A$2:$FA$315, 19, FALSE))</f>
        <v>:</v>
      </c>
      <c r="U56" s="544" t="str">
        <f>IF(VLOOKUP($E$56,[1]QUART!$A$2:$FA$315, 20, FALSE)="",":",VLOOKUP($E$56,[1]QUART!$A$2:$FA$315, 20, FALSE))</f>
        <v>:</v>
      </c>
      <c r="V56" s="544" t="str">
        <f>IF(VLOOKUP($E$56,[1]QUART!$A$2:$FA$315, 21, FALSE)="",":",VLOOKUP($E$56,[1]QUART!$A$2:$FA$315, 21, FALSE))</f>
        <v>:</v>
      </c>
      <c r="W56" s="544" t="str">
        <f>IF(VLOOKUP($E$56,[1]QUART!$A$2:$FA$315, 22, FALSE)="",":",VLOOKUP($E$56,[1]QUART!$A$2:$FA$315, 22, FALSE))</f>
        <v>:</v>
      </c>
      <c r="X56" s="544" t="str">
        <f>IF(VLOOKUP($E$56,[1]QUART!$A$2:$FA$315, 23, FALSE)="",":",VLOOKUP($E$56,[1]QUART!$A$2:$FA$315, 23, FALSE))</f>
        <v>:</v>
      </c>
      <c r="Y56" s="544" t="str">
        <f>IF(VLOOKUP($E$56,[1]QUART!$A$2:$FA$315, 24, FALSE)="",":",VLOOKUP($E$56,[1]QUART!$A$2:$FA$315, 24, FALSE))</f>
        <v>:</v>
      </c>
      <c r="Z56" s="544" t="str">
        <f>IF(VLOOKUP($E$56,[1]QUART!$A$2:$FA$315, 25, FALSE)="",":",VLOOKUP($E$56,[1]QUART!$A$2:$FA$315, 25, FALSE))</f>
        <v>:</v>
      </c>
      <c r="AA56" s="544" t="str">
        <f>IF(VLOOKUP($E$56,[1]QUART!$A$2:$FA$315, 26, FALSE)="",":",VLOOKUP($E$56,[1]QUART!$A$2:$FA$315, 26, FALSE))</f>
        <v>:</v>
      </c>
      <c r="AB56" s="544" t="str">
        <f>IF(VLOOKUP($E$56,[1]QUART!$A$2:$FA$315, 27, FALSE)="",":",VLOOKUP($E$56,[1]QUART!$A$2:$FA$315, 27, FALSE))</f>
        <v>:</v>
      </c>
      <c r="AC56" s="544" t="str">
        <f>IF(VLOOKUP($E$56,[1]QUART!$A$2:$FA$315, 28, FALSE)="",":",VLOOKUP($E$56,[1]QUART!$A$2:$FA$315, 28, FALSE))</f>
        <v>:</v>
      </c>
      <c r="AD56" s="544" t="str">
        <f>IF(VLOOKUP($E$56,[1]QUART!$A$2:$FA$315, 29, FALSE)="",":",VLOOKUP($E$56,[1]QUART!$A$2:$FA$315, 29, FALSE))</f>
        <v>:</v>
      </c>
      <c r="AE56" s="544" t="str">
        <f>IF(VLOOKUP($E$56,[1]QUART!$A$2:$FA$315, 30, FALSE)="",":",VLOOKUP($E$56,[1]QUART!$A$2:$FA$315, 30, FALSE))</f>
        <v>:</v>
      </c>
      <c r="AF56" s="544" t="str">
        <f>IF(VLOOKUP($E$56,[1]QUART!$A$2:$FA$315, 31, FALSE)="",":",VLOOKUP($E$56,[1]QUART!$A$2:$FA$315, 31, FALSE))</f>
        <v>:</v>
      </c>
      <c r="AG56" s="544" t="str">
        <f>IF(VLOOKUP($E$56,[1]QUART!$A$2:$FA$315, 32, FALSE)="",":",VLOOKUP($E$56,[1]QUART!$A$2:$FA$315, 32, FALSE))</f>
        <v>:</v>
      </c>
      <c r="AH56" s="544" t="str">
        <f>IF(VLOOKUP($E$56,[1]QUART!$A$2:$FA$315, 33, FALSE)="",":",VLOOKUP($E$56,[1]QUART!$A$2:$FA$315, 33, FALSE))</f>
        <v>:</v>
      </c>
      <c r="AI56" s="544" t="str">
        <f>IF(VLOOKUP($E$56,[1]QUART!$A$2:$FA$315, 34, FALSE)="",":",VLOOKUP($E$56,[1]QUART!$A$2:$FA$315, 34, FALSE))</f>
        <v>:</v>
      </c>
      <c r="AJ56" s="544" t="str">
        <f>IF(VLOOKUP($E$56,[1]QUART!$A$2:$FA$315, 35, FALSE)="",":",VLOOKUP($E$56,[1]QUART!$A$2:$FA$315, 35, FALSE))</f>
        <v>:</v>
      </c>
      <c r="AK56" s="544" t="str">
        <f>IF(VLOOKUP($E$56,[1]QUART!$A$2:$FA$315, 36, FALSE)="",":",VLOOKUP($E$56,[1]QUART!$A$2:$FA$315, 36, FALSE))</f>
        <v>:</v>
      </c>
      <c r="AL56" s="544" t="str">
        <f>IF(VLOOKUP($E$56,[1]QUART!$A$2:$FA$315, 37, FALSE)="",":",VLOOKUP($E$56,[1]QUART!$A$2:$FA$315, 37, FALSE))</f>
        <v>:</v>
      </c>
      <c r="AM56" s="544" t="str">
        <f>IF(VLOOKUP($E$56,[1]QUART!$A$2:$FA$315, 38, FALSE)="",":",VLOOKUP($E$56,[1]QUART!$A$2:$FA$315, 38, FALSE))</f>
        <v>:</v>
      </c>
      <c r="AN56" s="544" t="str">
        <f>IF(VLOOKUP($E$56,[1]QUART!$A$2:$FA$315, 39, FALSE)="",":",VLOOKUP($E$56,[1]QUART!$A$2:$FA$315, 39, FALSE))</f>
        <v>:</v>
      </c>
      <c r="AO56" s="544" t="str">
        <f>IF(VLOOKUP($E$56,[1]QUART!$A$2:$FA$315, 40, FALSE)="",":",VLOOKUP($E$56,[1]QUART!$A$2:$FA$315, 40, FALSE))</f>
        <v>:</v>
      </c>
      <c r="AP56" s="544" t="str">
        <f>IF(VLOOKUP($E$56,[1]QUART!$A$2:$FA$315, 41, FALSE)="",":",VLOOKUP($E$56,[1]QUART!$A$2:$FA$315, 41, FALSE))</f>
        <v>:</v>
      </c>
      <c r="AQ56" s="544" t="str">
        <f>IF(VLOOKUP($E$56,[1]QUART!$A$2:$FA$315, 42, FALSE)="",":",VLOOKUP($E$56,[1]QUART!$A$2:$FA$315, 42, FALSE))</f>
        <v>:</v>
      </c>
      <c r="AR56" s="544" t="str">
        <f>IF(VLOOKUP($E$56,[1]QUART!$A$2:$FA$315, 43, FALSE)="",":",VLOOKUP($E$56,[1]QUART!$A$2:$FA$315, 43, FALSE))</f>
        <v>:</v>
      </c>
      <c r="AS56" s="544" t="str">
        <f>IF(VLOOKUP($E$56,[1]QUART!$A$2:$FA$315, 44, FALSE)="",":",VLOOKUP($E$56,[1]QUART!$A$2:$FA$315, 44, FALSE))</f>
        <v>:</v>
      </c>
      <c r="AT56" s="544" t="str">
        <f>IF(VLOOKUP($E$56,[1]QUART!$A$2:$FA$315, 45, FALSE)="",":",VLOOKUP($E$56,[1]QUART!$A$2:$FA$315, 45, FALSE))</f>
        <v>:</v>
      </c>
      <c r="AU56" s="544" t="str">
        <f>IF(VLOOKUP($E$56,[1]QUART!$A$2:$FA$315, 46, FALSE)="",":",VLOOKUP($E$56,[1]QUART!$A$2:$FA$315, 46, FALSE))</f>
        <v>:</v>
      </c>
      <c r="AV56" s="544" t="str">
        <f>IF(VLOOKUP($E$56,[1]QUART!$A$2:$FA$315, 47, FALSE)="",":",VLOOKUP($E$56,[1]QUART!$A$2:$FA$315, 47, FALSE))</f>
        <v>:</v>
      </c>
      <c r="AW56" s="544" t="str">
        <f>IF(VLOOKUP($E$56,[1]QUART!$A$2:$FA$315, 48, FALSE)="",":",VLOOKUP($E$56,[1]QUART!$A$2:$FA$315, 48, FALSE))</f>
        <v>:</v>
      </c>
      <c r="AX56" s="544" t="str">
        <f>IF(VLOOKUP($E$56,[1]QUART!$A$2:$FA$315, 49, FALSE)="",":",VLOOKUP($E$56,[1]QUART!$A$2:$FA$315, 49, FALSE))</f>
        <v>:</v>
      </c>
      <c r="AY56" s="544" t="str">
        <f>IF(VLOOKUP($E$56,[1]QUART!$A$2:$FA$315, 50, FALSE)="",":",VLOOKUP($E$56,[1]QUART!$A$2:$FA$315, 50, FALSE))</f>
        <v>:</v>
      </c>
      <c r="AZ56" s="544" t="str">
        <f>IF(VLOOKUP($E$56,[1]QUART!$A$2:$FA$315, 51, FALSE)="",":",VLOOKUP($E$56,[1]QUART!$A$2:$FA$315, 51, FALSE))</f>
        <v>:</v>
      </c>
      <c r="BA56" s="544" t="str">
        <f>IF(VLOOKUP($E$56,[1]QUART!$A$2:$FA$315, 52, FALSE)="",":",VLOOKUP($E$56,[1]QUART!$A$2:$FA$315, 52, FALSE))</f>
        <v>:</v>
      </c>
      <c r="BB56" s="544" t="str">
        <f>IF(VLOOKUP($E$56,[1]QUART!$A$2:$FA$315, 53, FALSE)="",":",VLOOKUP($E$56,[1]QUART!$A$2:$FA$315, 53, FALSE))</f>
        <v>:</v>
      </c>
      <c r="BC56" s="544" t="str">
        <f>IF(VLOOKUP($E$56,[1]QUART!$A$2:$FA$315, 54, FALSE)="",":",VLOOKUP($E$56,[1]QUART!$A$2:$FA$315, 54, FALSE))</f>
        <v>:</v>
      </c>
      <c r="BD56" s="544" t="str">
        <f>IF(VLOOKUP($E$56,[1]QUART!$A$2:$FA$315, 55, FALSE)="",":",VLOOKUP($E$56,[1]QUART!$A$2:$FA$315, 55, FALSE))</f>
        <v>:</v>
      </c>
      <c r="BE56" s="544" t="str">
        <f>IF(VLOOKUP($E$56,[1]QUART!$A$2:$FA$315, 56, FALSE)="",":",VLOOKUP($E$56,[1]QUART!$A$2:$FA$315, 56, FALSE))</f>
        <v>:</v>
      </c>
      <c r="BF56" s="544" t="str">
        <f>IF(VLOOKUP($E$56,[1]QUART!$A$2:$FA$315, 57, FALSE)="",":",VLOOKUP($E$56,[1]QUART!$A$2:$FA$315, 57, FALSE))</f>
        <v>:</v>
      </c>
      <c r="BG56" s="544" t="str">
        <f>IF(VLOOKUP($E$56,[1]QUART!$A$2:$FA$315, 58, FALSE)="",":",VLOOKUP($E$56,[1]QUART!$A$2:$FA$315, 58, FALSE))</f>
        <v>:</v>
      </c>
      <c r="BH56" s="544" t="str">
        <f>IF(VLOOKUP($E$56,[1]QUART!$A$2:$FA$315, 59, FALSE)="",":",VLOOKUP($E$56,[1]QUART!$A$2:$FA$315, 59, FALSE))</f>
        <v>:</v>
      </c>
      <c r="BI56" s="544" t="str">
        <f>IF(VLOOKUP($E$56,[1]QUART!$A$2:$FA$315, 60, FALSE)="",":",VLOOKUP($E$56,[1]QUART!$A$2:$FA$315, 60, FALSE))</f>
        <v>:</v>
      </c>
      <c r="BJ56" s="544" t="str">
        <f>IF(VLOOKUP($E$56,[1]QUART!$A$2:$FA$315, 61, FALSE)="",":",VLOOKUP($E$56,[1]QUART!$A$2:$FA$315, 61, FALSE))</f>
        <v>:</v>
      </c>
      <c r="BK56" s="544" t="str">
        <f>IF(VLOOKUP($E$56,[1]QUART!$A$2:$FA$315, 62, FALSE)="",":",VLOOKUP($E$56,[1]QUART!$A$2:$FA$315, 62, FALSE))</f>
        <v>:</v>
      </c>
      <c r="BL56" s="544" t="str">
        <f>IF(VLOOKUP($E$56,[1]QUART!$A$2:$FA$315, 63, FALSE)="",":",VLOOKUP($E$56,[1]QUART!$A$2:$FA$315, 63, FALSE))</f>
        <v>:</v>
      </c>
      <c r="BM56" s="544" t="str">
        <f>IF(VLOOKUP($E$56,[1]QUART!$A$2:$FA$315, 64, FALSE)="",":",VLOOKUP($E$56,[1]QUART!$A$2:$FA$315, 64, FALSE))</f>
        <v>:</v>
      </c>
      <c r="BN56" s="544" t="str">
        <f>IF(VLOOKUP($E$56,[1]QUART!$A$2:$FA$315, 65, FALSE)="",":",VLOOKUP($E$56,[1]QUART!$A$2:$FA$315, 65, FALSE))</f>
        <v>:</v>
      </c>
      <c r="BO56" s="544" t="str">
        <f>IF(VLOOKUP($E$56,[1]QUART!$A$2:$FA$315, 66, FALSE)="",":",VLOOKUP($E$56,[1]QUART!$A$2:$FA$315, 66, FALSE))</f>
        <v>:</v>
      </c>
      <c r="BP56" s="544" t="str">
        <f>IF(VLOOKUP($E$56,[1]QUART!$A$2:$FA$315, 67, FALSE)="",":",VLOOKUP($E$56,[1]QUART!$A$2:$FA$315, 67, FALSE))</f>
        <v>:</v>
      </c>
      <c r="BQ56" s="544" t="str">
        <f>IF(VLOOKUP($E$56,[1]QUART!$A$2:$FA$315, 68, FALSE)="",":",VLOOKUP($E$56,[1]QUART!$A$2:$FA$315, 68, FALSE))</f>
        <v>:</v>
      </c>
      <c r="BR56" s="544" t="str">
        <f>IF(VLOOKUP($E$56,[1]QUART!$A$2:$FA$315, 69, FALSE)="",":",VLOOKUP($E$56,[1]QUART!$A$2:$FA$315, 69, FALSE))</f>
        <v>:</v>
      </c>
      <c r="BS56" s="544" t="str">
        <f>IF(VLOOKUP($E$56,[1]QUART!$A$2:$FA$315, 70, FALSE)="",":",VLOOKUP($E$56,[1]QUART!$A$2:$FA$315, 70, FALSE))</f>
        <v>:</v>
      </c>
      <c r="BT56" s="544" t="str">
        <f>IF(VLOOKUP($E$56,[1]QUART!$A$2:$FA$315, 71, FALSE)="",":",VLOOKUP($E$56,[1]QUART!$A$2:$FA$315, 71, FALSE))</f>
        <v>:</v>
      </c>
      <c r="BU56" s="544" t="str">
        <f>IF(VLOOKUP($E$56,[1]QUART!$A$2:$FA$315, 72, FALSE)="",":",VLOOKUP($E$56,[1]QUART!$A$2:$FA$315, 72, FALSE))</f>
        <v>:</v>
      </c>
      <c r="BV56" s="544" t="str">
        <f>IF(VLOOKUP($E$56,[1]QUART!$A$2:$FA$315, 73, FALSE)="",":",VLOOKUP($E$56,[1]QUART!$A$2:$FA$315, 73, FALSE))</f>
        <v>:</v>
      </c>
      <c r="BW56" s="544" t="str">
        <f>IF(VLOOKUP($E$56,[1]QUART!$A$2:$FA$315, 74, FALSE)="",":",VLOOKUP($E$56,[1]QUART!$A$2:$FA$315, 74, FALSE))</f>
        <v>:</v>
      </c>
      <c r="BX56" s="544" t="str">
        <f>IF(VLOOKUP($E$56,[1]QUART!$A$2:$FA$315, 75, FALSE)="",":",VLOOKUP($E$56,[1]QUART!$A$2:$FA$315, 75, FALSE))</f>
        <v>:</v>
      </c>
      <c r="BY56" s="544" t="str">
        <f>IF(VLOOKUP($E$56,[1]QUART!$A$2:$FA$315, 76, FALSE)="",":",VLOOKUP($E$56,[1]QUART!$A$2:$FA$315, 76, FALSE))</f>
        <v>:</v>
      </c>
      <c r="BZ56" s="544" t="str">
        <f>IF(VLOOKUP($E$56,[1]QUART!$A$2:$FA$315, 77, FALSE)="",":",VLOOKUP($E$56,[1]QUART!$A$2:$FA$315, 77, FALSE))</f>
        <v>:</v>
      </c>
      <c r="CA56" s="544" t="str">
        <f>IF(VLOOKUP($E$56,[1]QUART!$A$2:$FA$315, 78, FALSE)="",":",VLOOKUP($E$56,[1]QUART!$A$2:$FA$315, 78, FALSE))</f>
        <v>:</v>
      </c>
      <c r="CB56" s="544" t="str">
        <f>IF(VLOOKUP($E$56,[1]QUART!$A$2:$FA$315, 79, FALSE)="",":",VLOOKUP($E$56,[1]QUART!$A$2:$FA$315, 79, FALSE))</f>
        <v>:</v>
      </c>
      <c r="CC56" s="544" t="str">
        <f>IF(VLOOKUP($E$56,[1]QUART!$A$2:$FA$315, 80, FALSE)="",":",VLOOKUP($E$56,[1]QUART!$A$2:$FA$315, 80, FALSE))</f>
        <v>:</v>
      </c>
      <c r="CD56" s="544" t="str">
        <f>IF(VLOOKUP($E$56,[1]QUART!$A$2:$FA$315, 81, FALSE)="",":",VLOOKUP($E$56,[1]QUART!$A$2:$FA$315, 81, FALSE))</f>
        <v>:</v>
      </c>
      <c r="CE56" s="544" t="str">
        <f>IF(VLOOKUP($E$56,[1]QUART!$A$2:$FA$315, 82, FALSE)="",":",VLOOKUP($E$56,[1]QUART!$A$2:$FA$315, 82, FALSE))</f>
        <v>:</v>
      </c>
      <c r="CF56" s="544" t="str">
        <f>IF(VLOOKUP($E$56,[1]QUART!$A$2:$FA$315, 83, FALSE)="",":",VLOOKUP($E$56,[1]QUART!$A$2:$FA$315, 83, FALSE))</f>
        <v>:</v>
      </c>
      <c r="CG56" s="544" t="str">
        <f>IF(VLOOKUP($E$56,[1]QUART!$A$2:$FA$315, 84, FALSE)="",":",VLOOKUP($E$56,[1]QUART!$A$2:$FA$315, 84, FALSE))</f>
        <v>:</v>
      </c>
      <c r="CH56" s="544" t="str">
        <f>IF(VLOOKUP($E$56,[1]QUART!$A$2:$FA$315, 85, FALSE)="",":",VLOOKUP($E$56,[1]QUART!$A$2:$FA$315, 85, FALSE))</f>
        <v>:</v>
      </c>
      <c r="CI56" s="544" t="str">
        <f>IF(VLOOKUP($E$56,[1]QUART!$A$2:$FA$315, 86, FALSE)="",":",VLOOKUP($E$56,[1]QUART!$A$2:$FA$315, 86, FALSE))</f>
        <v>:</v>
      </c>
      <c r="CJ56" s="544" t="str">
        <f>IF(VLOOKUP($E$56,[1]QUART!$A$2:$FA$315, 87, FALSE)="",":",VLOOKUP($E$56,[1]QUART!$A$2:$FA$315, 87, FALSE))</f>
        <v>:</v>
      </c>
      <c r="CK56" s="544" t="str">
        <f>IF(VLOOKUP($E$56,[1]QUART!$A$2:$FA$315, 88, FALSE)="",":",VLOOKUP($E$56,[1]QUART!$A$2:$FA$315, 88, FALSE))</f>
        <v>:</v>
      </c>
      <c r="CL56" s="544" t="str">
        <f>IF(VLOOKUP($E$56,[1]QUART!$A$2:$FA$315, 89, FALSE)="",":",VLOOKUP($E$56,[1]QUART!$A$2:$FA$315, 89, FALSE))</f>
        <v>:</v>
      </c>
      <c r="CM56" s="544" t="str">
        <f>IF(VLOOKUP($E$56,[1]QUART!$A$2:$FA$315, 90, FALSE)="",":",VLOOKUP($E$56,[1]QUART!$A$2:$FA$315, 90, FALSE))</f>
        <v>:</v>
      </c>
      <c r="CN56" s="544" t="str">
        <f>IF(VLOOKUP($E$56,[1]QUART!$A$2:$FA$315, 91, FALSE)="",":",VLOOKUP($E$56,[1]QUART!$A$2:$FA$315, 91, FALSE))</f>
        <v>:</v>
      </c>
      <c r="CO56" s="544" t="str">
        <f>IF(VLOOKUP($E$56,[1]QUART!$A$2:$FA$315, 92, FALSE)="",":",VLOOKUP($E$56,[1]QUART!$A$2:$FA$315, 92, FALSE))</f>
        <v>:</v>
      </c>
      <c r="CP56" s="544" t="str">
        <f>IF(VLOOKUP($E$56,[1]QUART!$A$2:$FA$315, 93, FALSE)="",":",VLOOKUP($E$56,[1]QUART!$A$2:$FA$315, 93, FALSE))</f>
        <v>:</v>
      </c>
      <c r="CQ56" s="544" t="str">
        <f>IF(VLOOKUP($E$56,[1]QUART!$A$2:$FA$315, 94, FALSE)="",":",VLOOKUP($E$56,[1]QUART!$A$2:$FA$315, 94, FALSE))</f>
        <v>:</v>
      </c>
      <c r="CR56" s="544" t="str">
        <f>IF(VLOOKUP($E$56,[1]QUART!$A$2:$FA$315, 95, FALSE)="",":",VLOOKUP($E$56,[1]QUART!$A$2:$FA$315, 95, FALSE))</f>
        <v>:</v>
      </c>
      <c r="CS56" s="544" t="str">
        <f>IF(VLOOKUP($E$56,[1]QUART!$A$2:$FA$315, 96, FALSE)="",":",VLOOKUP($E$56,[1]QUART!$A$2:$FA$315, 96, FALSE))</f>
        <v>:</v>
      </c>
      <c r="CT56" s="544" t="str">
        <f>IF(VLOOKUP($E$56,[1]QUART!$A$2:$FA$315, 97, FALSE)="",":",VLOOKUP($E$56,[1]QUART!$A$2:$FA$315, 97, FALSE))</f>
        <v>:</v>
      </c>
      <c r="CU56" s="544" t="str">
        <f>IF(VLOOKUP($E$56,[1]QUART!$A$2:$FA$315, 98, FALSE)="",":",VLOOKUP($E$56,[1]QUART!$A$2:$FA$315, 98, FALSE))</f>
        <v>:</v>
      </c>
      <c r="CV56" s="544" t="str">
        <f>IF(VLOOKUP($E$56,[1]QUART!$A$2:$FA$315, 99, FALSE)="",":",VLOOKUP($E$56,[1]QUART!$A$2:$FA$315, 99, FALSE))</f>
        <v>:</v>
      </c>
      <c r="CW56" s="544" t="str">
        <f>IF(VLOOKUP($E$56,[1]QUART!$A$2:$FA$315, 100, FALSE)="",":",VLOOKUP($E$56,[1]QUART!$A$2:$FA$315, 100, FALSE))</f>
        <v>:</v>
      </c>
      <c r="CX56" s="544" t="str">
        <f>IF(VLOOKUP($E$56,[1]QUART!$A$2:$FA$315, 101, FALSE)="",":",VLOOKUP($E$56,[1]QUART!$A$2:$FA$315, 101, FALSE))</f>
        <v>:</v>
      </c>
      <c r="CY56" s="544" t="str">
        <f>IF(VLOOKUP($E$56,[1]QUART!$A$2:$FA$315, 102, FALSE)="",":",VLOOKUP($E$56,[1]QUART!$A$2:$FA$315, 102, FALSE))</f>
        <v>:</v>
      </c>
      <c r="CZ56" s="544" t="str">
        <f>IF(VLOOKUP($E$56,[1]QUART!$A$2:$FA$315, 103, FALSE)="",":",VLOOKUP($E$56,[1]QUART!$A$2:$FA$315, 103, FALSE))</f>
        <v>:</v>
      </c>
      <c r="DA56" s="544" t="str">
        <f>IF(VLOOKUP($E$56,[1]QUART!$A$2:$FA$315, 104, FALSE)="",":",VLOOKUP($E$56,[1]QUART!$A$2:$FA$315, 104, FALSE))</f>
        <v>:</v>
      </c>
      <c r="DB56" s="544" t="str">
        <f>IF(VLOOKUP($E$56,[1]QUART!$A$2:$FA$315, 105, FALSE)="",":",VLOOKUP($E$56,[1]QUART!$A$2:$FA$315, 105, FALSE))</f>
        <v>:</v>
      </c>
      <c r="DC56" s="544" t="str">
        <f>IF(VLOOKUP($E$56,[1]QUART!$A$2:$FA$315, 106, FALSE)="",":",VLOOKUP($E$56,[1]QUART!$A$2:$FA$315, 106, FALSE))</f>
        <v>:</v>
      </c>
    </row>
    <row r="57" spans="1:107">
      <c r="A57" s="1954"/>
      <c r="B57" s="534"/>
      <c r="C57" s="535"/>
      <c r="D57" s="12" t="s">
        <v>1841</v>
      </c>
      <c r="E57" s="13">
        <v>124</v>
      </c>
      <c r="F57" s="14" t="str">
        <f>VLOOKUP($E$57,[1]QUART!$A$2:$FA$315, 3, FALSE)</f>
        <v xml:space="preserve">124  Exports of goods and services                                                   </v>
      </c>
      <c r="G57" s="544" t="str">
        <f>IF(VLOOKUP($E$57,[1]QUART!$A$2:$FA$315, 6, FALSE)="",":",VLOOKUP($E$57,[1]QUART!$A$2:$FA$315, 6, FALSE))</f>
        <v>:</v>
      </c>
      <c r="H57" s="544" t="str">
        <f>IF(VLOOKUP($E$57,[1]QUART!$A$2:$FA$315, 7, FALSE)="",":",VLOOKUP($E$57,[1]QUART!$A$2:$FA$315, 7, FALSE))</f>
        <v>:</v>
      </c>
      <c r="I57" s="544" t="str">
        <f>IF(VLOOKUP($E$57,[1]QUART!$A$2:$FA$315, 8, FALSE)="",":",VLOOKUP($E$57,[1]QUART!$A$2:$FA$315, 8, FALSE))</f>
        <v>:</v>
      </c>
      <c r="J57" s="544" t="str">
        <f>IF(VLOOKUP($E$57,[1]QUART!$A$2:$FA$315, 9, FALSE)="",":",VLOOKUP($E$57,[1]QUART!$A$2:$FA$315, 9, FALSE))</f>
        <v>:</v>
      </c>
      <c r="K57" s="544" t="str">
        <f>IF(VLOOKUP($E$57,[1]QUART!$A$2:$FA$315, 10, FALSE)="",":",VLOOKUP($E$57,[1]QUART!$A$2:$FA$315, 10, FALSE))</f>
        <v>:</v>
      </c>
      <c r="L57" s="544" t="str">
        <f>IF(VLOOKUP($E$57,[1]QUART!$A$2:$FA$315, 11, FALSE)="",":",VLOOKUP($E$57,[1]QUART!$A$2:$FA$315, 11, FALSE))</f>
        <v>:</v>
      </c>
      <c r="M57" s="544" t="str">
        <f>IF(VLOOKUP($E$57,[1]QUART!$A$2:$FA$315, 12, FALSE)="",":",VLOOKUP($E$57,[1]QUART!$A$2:$FA$315, 12, FALSE))</f>
        <v>:</v>
      </c>
      <c r="N57" s="544" t="str">
        <f>IF(VLOOKUP($E$57,[1]QUART!$A$2:$FA$315, 13, FALSE)="",":",VLOOKUP($E$57,[1]QUART!$A$2:$FA$315, 13, FALSE))</f>
        <v>:</v>
      </c>
      <c r="O57" s="544" t="str">
        <f>IF(VLOOKUP($E$57,[1]QUART!$A$2:$FA$315, 14, FALSE)="",":",VLOOKUP($E$57,[1]QUART!$A$2:$FA$315, 14, FALSE))</f>
        <v>:</v>
      </c>
      <c r="P57" s="544" t="str">
        <f>IF(VLOOKUP($E$57,[1]QUART!$A$2:$FA$315, 15, FALSE)="",":",VLOOKUP($E$57,[1]QUART!$A$2:$FA$315, 15, FALSE))</f>
        <v>:</v>
      </c>
      <c r="Q57" s="544" t="str">
        <f>IF(VLOOKUP($E$57,[1]QUART!$A$2:$FA$315, 16, FALSE)="",":",VLOOKUP($E$57,[1]QUART!$A$2:$FA$315, 16, FALSE))</f>
        <v>:</v>
      </c>
      <c r="R57" s="544" t="str">
        <f>IF(VLOOKUP($E$57,[1]QUART!$A$2:$FA$315, 17, FALSE)="",":",VLOOKUP($E$57,[1]QUART!$A$2:$FA$315, 17, FALSE))</f>
        <v>:</v>
      </c>
      <c r="S57" s="544" t="str">
        <f>IF(VLOOKUP($E$57,[1]QUART!$A$2:$FA$315, 18, FALSE)="",":",VLOOKUP($E$57,[1]QUART!$A$2:$FA$315, 18, FALSE))</f>
        <v>:</v>
      </c>
      <c r="T57" s="544" t="str">
        <f>IF(VLOOKUP($E$57,[1]QUART!$A$2:$FA$315, 19, FALSE)="",":",VLOOKUP($E$57,[1]QUART!$A$2:$FA$315, 19, FALSE))</f>
        <v>:</v>
      </c>
      <c r="U57" s="544" t="str">
        <f>IF(VLOOKUP($E$57,[1]QUART!$A$2:$FA$315, 20, FALSE)="",":",VLOOKUP($E$57,[1]QUART!$A$2:$FA$315, 20, FALSE))</f>
        <v>:</v>
      </c>
      <c r="V57" s="544" t="str">
        <f>IF(VLOOKUP($E$57,[1]QUART!$A$2:$FA$315, 21, FALSE)="",":",VLOOKUP($E$57,[1]QUART!$A$2:$FA$315, 21, FALSE))</f>
        <v>:</v>
      </c>
      <c r="W57" s="544" t="str">
        <f>IF(VLOOKUP($E$57,[1]QUART!$A$2:$FA$315, 22, FALSE)="",":",VLOOKUP($E$57,[1]QUART!$A$2:$FA$315, 22, FALSE))</f>
        <v>:</v>
      </c>
      <c r="X57" s="544" t="str">
        <f>IF(VLOOKUP($E$57,[1]QUART!$A$2:$FA$315, 23, FALSE)="",":",VLOOKUP($E$57,[1]QUART!$A$2:$FA$315, 23, FALSE))</f>
        <v>:</v>
      </c>
      <c r="Y57" s="544" t="str">
        <f>IF(VLOOKUP($E$57,[1]QUART!$A$2:$FA$315, 24, FALSE)="",":",VLOOKUP($E$57,[1]QUART!$A$2:$FA$315, 24, FALSE))</f>
        <v>:</v>
      </c>
      <c r="Z57" s="544" t="str">
        <f>IF(VLOOKUP($E$57,[1]QUART!$A$2:$FA$315, 25, FALSE)="",":",VLOOKUP($E$57,[1]QUART!$A$2:$FA$315, 25, FALSE))</f>
        <v>:</v>
      </c>
      <c r="AA57" s="544" t="str">
        <f>IF(VLOOKUP($E$57,[1]QUART!$A$2:$FA$315, 26, FALSE)="",":",VLOOKUP($E$57,[1]QUART!$A$2:$FA$315, 26, FALSE))</f>
        <v>:</v>
      </c>
      <c r="AB57" s="544" t="str">
        <f>IF(VLOOKUP($E$57,[1]QUART!$A$2:$FA$315, 27, FALSE)="",":",VLOOKUP($E$57,[1]QUART!$A$2:$FA$315, 27, FALSE))</f>
        <v>:</v>
      </c>
      <c r="AC57" s="544" t="str">
        <f>IF(VLOOKUP($E$57,[1]QUART!$A$2:$FA$315, 28, FALSE)="",":",VLOOKUP($E$57,[1]QUART!$A$2:$FA$315, 28, FALSE))</f>
        <v>:</v>
      </c>
      <c r="AD57" s="544" t="str">
        <f>IF(VLOOKUP($E$57,[1]QUART!$A$2:$FA$315, 29, FALSE)="",":",VLOOKUP($E$57,[1]QUART!$A$2:$FA$315, 29, FALSE))</f>
        <v>:</v>
      </c>
      <c r="AE57" s="544" t="str">
        <f>IF(VLOOKUP($E$57,[1]QUART!$A$2:$FA$315, 30, FALSE)="",":",VLOOKUP($E$57,[1]QUART!$A$2:$FA$315, 30, FALSE))</f>
        <v>:</v>
      </c>
      <c r="AF57" s="544" t="str">
        <f>IF(VLOOKUP($E$57,[1]QUART!$A$2:$FA$315, 31, FALSE)="",":",VLOOKUP($E$57,[1]QUART!$A$2:$FA$315, 31, FALSE))</f>
        <v>:</v>
      </c>
      <c r="AG57" s="544" t="str">
        <f>IF(VLOOKUP($E$57,[1]QUART!$A$2:$FA$315, 32, FALSE)="",":",VLOOKUP($E$57,[1]QUART!$A$2:$FA$315, 32, FALSE))</f>
        <v>:</v>
      </c>
      <c r="AH57" s="544" t="str">
        <f>IF(VLOOKUP($E$57,[1]QUART!$A$2:$FA$315, 33, FALSE)="",":",VLOOKUP($E$57,[1]QUART!$A$2:$FA$315, 33, FALSE))</f>
        <v>:</v>
      </c>
      <c r="AI57" s="544" t="str">
        <f>IF(VLOOKUP($E$57,[1]QUART!$A$2:$FA$315, 34, FALSE)="",":",VLOOKUP($E$57,[1]QUART!$A$2:$FA$315, 34, FALSE))</f>
        <v>:</v>
      </c>
      <c r="AJ57" s="544" t="str">
        <f>IF(VLOOKUP($E$57,[1]QUART!$A$2:$FA$315, 35, FALSE)="",":",VLOOKUP($E$57,[1]QUART!$A$2:$FA$315, 35, FALSE))</f>
        <v>:</v>
      </c>
      <c r="AK57" s="544" t="str">
        <f>IF(VLOOKUP($E$57,[1]QUART!$A$2:$FA$315, 36, FALSE)="",":",VLOOKUP($E$57,[1]QUART!$A$2:$FA$315, 36, FALSE))</f>
        <v>:</v>
      </c>
      <c r="AL57" s="544" t="str">
        <f>IF(VLOOKUP($E$57,[1]QUART!$A$2:$FA$315, 37, FALSE)="",":",VLOOKUP($E$57,[1]QUART!$A$2:$FA$315, 37, FALSE))</f>
        <v>:</v>
      </c>
      <c r="AM57" s="544" t="str">
        <f>IF(VLOOKUP($E$57,[1]QUART!$A$2:$FA$315, 38, FALSE)="",":",VLOOKUP($E$57,[1]QUART!$A$2:$FA$315, 38, FALSE))</f>
        <v>:</v>
      </c>
      <c r="AN57" s="544" t="str">
        <f>IF(VLOOKUP($E$57,[1]QUART!$A$2:$FA$315, 39, FALSE)="",":",VLOOKUP($E$57,[1]QUART!$A$2:$FA$315, 39, FALSE))</f>
        <v>:</v>
      </c>
      <c r="AO57" s="544" t="str">
        <f>IF(VLOOKUP($E$57,[1]QUART!$A$2:$FA$315, 40, FALSE)="",":",VLOOKUP($E$57,[1]QUART!$A$2:$FA$315, 40, FALSE))</f>
        <v>:</v>
      </c>
      <c r="AP57" s="544" t="str">
        <f>IF(VLOOKUP($E$57,[1]QUART!$A$2:$FA$315, 41, FALSE)="",":",VLOOKUP($E$57,[1]QUART!$A$2:$FA$315, 41, FALSE))</f>
        <v>:</v>
      </c>
      <c r="AQ57" s="544" t="str">
        <f>IF(VLOOKUP($E$57,[1]QUART!$A$2:$FA$315, 42, FALSE)="",":",VLOOKUP($E$57,[1]QUART!$A$2:$FA$315, 42, FALSE))</f>
        <v>:</v>
      </c>
      <c r="AR57" s="544" t="str">
        <f>IF(VLOOKUP($E$57,[1]QUART!$A$2:$FA$315, 43, FALSE)="",":",VLOOKUP($E$57,[1]QUART!$A$2:$FA$315, 43, FALSE))</f>
        <v>:</v>
      </c>
      <c r="AS57" s="544" t="str">
        <f>IF(VLOOKUP($E$57,[1]QUART!$A$2:$FA$315, 44, FALSE)="",":",VLOOKUP($E$57,[1]QUART!$A$2:$FA$315, 44, FALSE))</f>
        <v>:</v>
      </c>
      <c r="AT57" s="544" t="str">
        <f>IF(VLOOKUP($E$57,[1]QUART!$A$2:$FA$315, 45, FALSE)="",":",VLOOKUP($E$57,[1]QUART!$A$2:$FA$315, 45, FALSE))</f>
        <v>:</v>
      </c>
      <c r="AU57" s="544" t="str">
        <f>IF(VLOOKUP($E$57,[1]QUART!$A$2:$FA$315, 46, FALSE)="",":",VLOOKUP($E$57,[1]QUART!$A$2:$FA$315, 46, FALSE))</f>
        <v>:</v>
      </c>
      <c r="AV57" s="544" t="str">
        <f>IF(VLOOKUP($E$57,[1]QUART!$A$2:$FA$315, 47, FALSE)="",":",VLOOKUP($E$57,[1]QUART!$A$2:$FA$315, 47, FALSE))</f>
        <v>:</v>
      </c>
      <c r="AW57" s="544" t="str">
        <f>IF(VLOOKUP($E$57,[1]QUART!$A$2:$FA$315, 48, FALSE)="",":",VLOOKUP($E$57,[1]QUART!$A$2:$FA$315, 48, FALSE))</f>
        <v>:</v>
      </c>
      <c r="AX57" s="544" t="str">
        <f>IF(VLOOKUP($E$57,[1]QUART!$A$2:$FA$315, 49, FALSE)="",":",VLOOKUP($E$57,[1]QUART!$A$2:$FA$315, 49, FALSE))</f>
        <v>:</v>
      </c>
      <c r="AY57" s="544" t="str">
        <f>IF(VLOOKUP($E$57,[1]QUART!$A$2:$FA$315, 50, FALSE)="",":",VLOOKUP($E$57,[1]QUART!$A$2:$FA$315, 50, FALSE))</f>
        <v>:</v>
      </c>
      <c r="AZ57" s="544" t="str">
        <f>IF(VLOOKUP($E$57,[1]QUART!$A$2:$FA$315, 51, FALSE)="",":",VLOOKUP($E$57,[1]QUART!$A$2:$FA$315, 51, FALSE))</f>
        <v>:</v>
      </c>
      <c r="BA57" s="544" t="str">
        <f>IF(VLOOKUP($E$57,[1]QUART!$A$2:$FA$315, 52, FALSE)="",":",VLOOKUP($E$57,[1]QUART!$A$2:$FA$315, 52, FALSE))</f>
        <v>:</v>
      </c>
      <c r="BB57" s="544" t="str">
        <f>IF(VLOOKUP($E$57,[1]QUART!$A$2:$FA$315, 53, FALSE)="",":",VLOOKUP($E$57,[1]QUART!$A$2:$FA$315, 53, FALSE))</f>
        <v>:</v>
      </c>
      <c r="BC57" s="544" t="str">
        <f>IF(VLOOKUP($E$57,[1]QUART!$A$2:$FA$315, 54, FALSE)="",":",VLOOKUP($E$57,[1]QUART!$A$2:$FA$315, 54, FALSE))</f>
        <v>:</v>
      </c>
      <c r="BD57" s="544" t="str">
        <f>IF(VLOOKUP($E$57,[1]QUART!$A$2:$FA$315, 55, FALSE)="",":",VLOOKUP($E$57,[1]QUART!$A$2:$FA$315, 55, FALSE))</f>
        <v>:</v>
      </c>
      <c r="BE57" s="544" t="str">
        <f>IF(VLOOKUP($E$57,[1]QUART!$A$2:$FA$315, 56, FALSE)="",":",VLOOKUP($E$57,[1]QUART!$A$2:$FA$315, 56, FALSE))</f>
        <v>:</v>
      </c>
      <c r="BF57" s="544" t="str">
        <f>IF(VLOOKUP($E$57,[1]QUART!$A$2:$FA$315, 57, FALSE)="",":",VLOOKUP($E$57,[1]QUART!$A$2:$FA$315, 57, FALSE))</f>
        <v>:</v>
      </c>
      <c r="BG57" s="544" t="str">
        <f>IF(VLOOKUP($E$57,[1]QUART!$A$2:$FA$315, 58, FALSE)="",":",VLOOKUP($E$57,[1]QUART!$A$2:$FA$315, 58, FALSE))</f>
        <v>:</v>
      </c>
      <c r="BH57" s="544" t="str">
        <f>IF(VLOOKUP($E$57,[1]QUART!$A$2:$FA$315, 59, FALSE)="",":",VLOOKUP($E$57,[1]QUART!$A$2:$FA$315, 59, FALSE))</f>
        <v>:</v>
      </c>
      <c r="BI57" s="544" t="str">
        <f>IF(VLOOKUP($E$57,[1]QUART!$A$2:$FA$315, 60, FALSE)="",":",VLOOKUP($E$57,[1]QUART!$A$2:$FA$315, 60, FALSE))</f>
        <v>:</v>
      </c>
      <c r="BJ57" s="544" t="str">
        <f>IF(VLOOKUP($E$57,[1]QUART!$A$2:$FA$315, 61, FALSE)="",":",VLOOKUP($E$57,[1]QUART!$A$2:$FA$315, 61, FALSE))</f>
        <v>:</v>
      </c>
      <c r="BK57" s="544" t="str">
        <f>IF(VLOOKUP($E$57,[1]QUART!$A$2:$FA$315, 62, FALSE)="",":",VLOOKUP($E$57,[1]QUART!$A$2:$FA$315, 62, FALSE))</f>
        <v>:</v>
      </c>
      <c r="BL57" s="544" t="str">
        <f>IF(VLOOKUP($E$57,[1]QUART!$A$2:$FA$315, 63, FALSE)="",":",VLOOKUP($E$57,[1]QUART!$A$2:$FA$315, 63, FALSE))</f>
        <v>:</v>
      </c>
      <c r="BM57" s="544" t="str">
        <f>IF(VLOOKUP($E$57,[1]QUART!$A$2:$FA$315, 64, FALSE)="",":",VLOOKUP($E$57,[1]QUART!$A$2:$FA$315, 64, FALSE))</f>
        <v>:</v>
      </c>
      <c r="BN57" s="544" t="str">
        <f>IF(VLOOKUP($E$57,[1]QUART!$A$2:$FA$315, 65, FALSE)="",":",VLOOKUP($E$57,[1]QUART!$A$2:$FA$315, 65, FALSE))</f>
        <v>:</v>
      </c>
      <c r="BO57" s="544" t="str">
        <f>IF(VLOOKUP($E$57,[1]QUART!$A$2:$FA$315, 66, FALSE)="",":",VLOOKUP($E$57,[1]QUART!$A$2:$FA$315, 66, FALSE))</f>
        <v>:</v>
      </c>
      <c r="BP57" s="544" t="str">
        <f>IF(VLOOKUP($E$57,[1]QUART!$A$2:$FA$315, 67, FALSE)="",":",VLOOKUP($E$57,[1]QUART!$A$2:$FA$315, 67, FALSE))</f>
        <v>:</v>
      </c>
      <c r="BQ57" s="544" t="str">
        <f>IF(VLOOKUP($E$57,[1]QUART!$A$2:$FA$315, 68, FALSE)="",":",VLOOKUP($E$57,[1]QUART!$A$2:$FA$315, 68, FALSE))</f>
        <v>:</v>
      </c>
      <c r="BR57" s="544" t="str">
        <f>IF(VLOOKUP($E$57,[1]QUART!$A$2:$FA$315, 69, FALSE)="",":",VLOOKUP($E$57,[1]QUART!$A$2:$FA$315, 69, FALSE))</f>
        <v>:</v>
      </c>
      <c r="BS57" s="544" t="str">
        <f>IF(VLOOKUP($E$57,[1]QUART!$A$2:$FA$315, 70, FALSE)="",":",VLOOKUP($E$57,[1]QUART!$A$2:$FA$315, 70, FALSE))</f>
        <v>:</v>
      </c>
      <c r="BT57" s="544" t="str">
        <f>IF(VLOOKUP($E$57,[1]QUART!$A$2:$FA$315, 71, FALSE)="",":",VLOOKUP($E$57,[1]QUART!$A$2:$FA$315, 71, FALSE))</f>
        <v>:</v>
      </c>
      <c r="BU57" s="544" t="str">
        <f>IF(VLOOKUP($E$57,[1]QUART!$A$2:$FA$315, 72, FALSE)="",":",VLOOKUP($E$57,[1]QUART!$A$2:$FA$315, 72, FALSE))</f>
        <v>:</v>
      </c>
      <c r="BV57" s="544" t="str">
        <f>IF(VLOOKUP($E$57,[1]QUART!$A$2:$FA$315, 73, FALSE)="",":",VLOOKUP($E$57,[1]QUART!$A$2:$FA$315, 73, FALSE))</f>
        <v>:</v>
      </c>
      <c r="BW57" s="544" t="str">
        <f>IF(VLOOKUP($E$57,[1]QUART!$A$2:$FA$315, 74, FALSE)="",":",VLOOKUP($E$57,[1]QUART!$A$2:$FA$315, 74, FALSE))</f>
        <v>:</v>
      </c>
      <c r="BX57" s="544" t="str">
        <f>IF(VLOOKUP($E$57,[1]QUART!$A$2:$FA$315, 75, FALSE)="",":",VLOOKUP($E$57,[1]QUART!$A$2:$FA$315, 75, FALSE))</f>
        <v>:</v>
      </c>
      <c r="BY57" s="544" t="str">
        <f>IF(VLOOKUP($E$57,[1]QUART!$A$2:$FA$315, 76, FALSE)="",":",VLOOKUP($E$57,[1]QUART!$A$2:$FA$315, 76, FALSE))</f>
        <v>:</v>
      </c>
      <c r="BZ57" s="544" t="str">
        <f>IF(VLOOKUP($E$57,[1]QUART!$A$2:$FA$315, 77, FALSE)="",":",VLOOKUP($E$57,[1]QUART!$A$2:$FA$315, 77, FALSE))</f>
        <v>:</v>
      </c>
      <c r="CA57" s="544" t="str">
        <f>IF(VLOOKUP($E$57,[1]QUART!$A$2:$FA$315, 78, FALSE)="",":",VLOOKUP($E$57,[1]QUART!$A$2:$FA$315, 78, FALSE))</f>
        <v>:</v>
      </c>
      <c r="CB57" s="544" t="str">
        <f>IF(VLOOKUP($E$57,[1]QUART!$A$2:$FA$315, 79, FALSE)="",":",VLOOKUP($E$57,[1]QUART!$A$2:$FA$315, 79, FALSE))</f>
        <v>:</v>
      </c>
      <c r="CC57" s="544" t="str">
        <f>IF(VLOOKUP($E$57,[1]QUART!$A$2:$FA$315, 80, FALSE)="",":",VLOOKUP($E$57,[1]QUART!$A$2:$FA$315, 80, FALSE))</f>
        <v>:</v>
      </c>
      <c r="CD57" s="544" t="str">
        <f>IF(VLOOKUP($E$57,[1]QUART!$A$2:$FA$315, 81, FALSE)="",":",VLOOKUP($E$57,[1]QUART!$A$2:$FA$315, 81, FALSE))</f>
        <v>:</v>
      </c>
      <c r="CE57" s="544" t="str">
        <f>IF(VLOOKUP($E$57,[1]QUART!$A$2:$FA$315, 82, FALSE)="",":",VLOOKUP($E$57,[1]QUART!$A$2:$FA$315, 82, FALSE))</f>
        <v>:</v>
      </c>
      <c r="CF57" s="544" t="str">
        <f>IF(VLOOKUP($E$57,[1]QUART!$A$2:$FA$315, 83, FALSE)="",":",VLOOKUP($E$57,[1]QUART!$A$2:$FA$315, 83, FALSE))</f>
        <v>:</v>
      </c>
      <c r="CG57" s="544" t="str">
        <f>IF(VLOOKUP($E$57,[1]QUART!$A$2:$FA$315, 84, FALSE)="",":",VLOOKUP($E$57,[1]QUART!$A$2:$FA$315, 84, FALSE))</f>
        <v>:</v>
      </c>
      <c r="CH57" s="544" t="str">
        <f>IF(VLOOKUP($E$57,[1]QUART!$A$2:$FA$315, 85, FALSE)="",":",VLOOKUP($E$57,[1]QUART!$A$2:$FA$315, 85, FALSE))</f>
        <v>:</v>
      </c>
      <c r="CI57" s="544" t="str">
        <f>IF(VLOOKUP($E$57,[1]QUART!$A$2:$FA$315, 86, FALSE)="",":",VLOOKUP($E$57,[1]QUART!$A$2:$FA$315, 86, FALSE))</f>
        <v>:</v>
      </c>
      <c r="CJ57" s="544" t="str">
        <f>IF(VLOOKUP($E$57,[1]QUART!$A$2:$FA$315, 87, FALSE)="",":",VLOOKUP($E$57,[1]QUART!$A$2:$FA$315, 87, FALSE))</f>
        <v>:</v>
      </c>
      <c r="CK57" s="544" t="str">
        <f>IF(VLOOKUP($E$57,[1]QUART!$A$2:$FA$315, 88, FALSE)="",":",VLOOKUP($E$57,[1]QUART!$A$2:$FA$315, 88, FALSE))</f>
        <v>:</v>
      </c>
      <c r="CL57" s="544" t="str">
        <f>IF(VLOOKUP($E$57,[1]QUART!$A$2:$FA$315, 89, FALSE)="",":",VLOOKUP($E$57,[1]QUART!$A$2:$FA$315, 89, FALSE))</f>
        <v>:</v>
      </c>
      <c r="CM57" s="544" t="str">
        <f>IF(VLOOKUP($E$57,[1]QUART!$A$2:$FA$315, 90, FALSE)="",":",VLOOKUP($E$57,[1]QUART!$A$2:$FA$315, 90, FALSE))</f>
        <v>:</v>
      </c>
      <c r="CN57" s="544" t="str">
        <f>IF(VLOOKUP($E$57,[1]QUART!$A$2:$FA$315, 91, FALSE)="",":",VLOOKUP($E$57,[1]QUART!$A$2:$FA$315, 91, FALSE))</f>
        <v>:</v>
      </c>
      <c r="CO57" s="544" t="str">
        <f>IF(VLOOKUP($E$57,[1]QUART!$A$2:$FA$315, 92, FALSE)="",":",VLOOKUP($E$57,[1]QUART!$A$2:$FA$315, 92, FALSE))</f>
        <v>:</v>
      </c>
      <c r="CP57" s="544" t="str">
        <f>IF(VLOOKUP($E$57,[1]QUART!$A$2:$FA$315, 93, FALSE)="",":",VLOOKUP($E$57,[1]QUART!$A$2:$FA$315, 93, FALSE))</f>
        <v>:</v>
      </c>
      <c r="CQ57" s="544" t="str">
        <f>IF(VLOOKUP($E$57,[1]QUART!$A$2:$FA$315, 94, FALSE)="",":",VLOOKUP($E$57,[1]QUART!$A$2:$FA$315, 94, FALSE))</f>
        <v>:</v>
      </c>
      <c r="CR57" s="544" t="str">
        <f>IF(VLOOKUP($E$57,[1]QUART!$A$2:$FA$315, 95, FALSE)="",":",VLOOKUP($E$57,[1]QUART!$A$2:$FA$315, 95, FALSE))</f>
        <v>:</v>
      </c>
      <c r="CS57" s="544" t="str">
        <f>IF(VLOOKUP($E$57,[1]QUART!$A$2:$FA$315, 96, FALSE)="",":",VLOOKUP($E$57,[1]QUART!$A$2:$FA$315, 96, FALSE))</f>
        <v>:</v>
      </c>
      <c r="CT57" s="544" t="str">
        <f>IF(VLOOKUP($E$57,[1]QUART!$A$2:$FA$315, 97, FALSE)="",":",VLOOKUP($E$57,[1]QUART!$A$2:$FA$315, 97, FALSE))</f>
        <v>:</v>
      </c>
      <c r="CU57" s="544" t="str">
        <f>IF(VLOOKUP($E$57,[1]QUART!$A$2:$FA$315, 98, FALSE)="",":",VLOOKUP($E$57,[1]QUART!$A$2:$FA$315, 98, FALSE))</f>
        <v>:</v>
      </c>
      <c r="CV57" s="544" t="str">
        <f>IF(VLOOKUP($E$57,[1]QUART!$A$2:$FA$315, 99, FALSE)="",":",VLOOKUP($E$57,[1]QUART!$A$2:$FA$315, 99, FALSE))</f>
        <v>:</v>
      </c>
      <c r="CW57" s="544" t="str">
        <f>IF(VLOOKUP($E$57,[1]QUART!$A$2:$FA$315, 100, FALSE)="",":",VLOOKUP($E$57,[1]QUART!$A$2:$FA$315, 100, FALSE))</f>
        <v>:</v>
      </c>
      <c r="CX57" s="544" t="str">
        <f>IF(VLOOKUP($E$57,[1]QUART!$A$2:$FA$315, 101, FALSE)="",":",VLOOKUP($E$57,[1]QUART!$A$2:$FA$315, 101, FALSE))</f>
        <v>:</v>
      </c>
      <c r="CY57" s="544" t="str">
        <f>IF(VLOOKUP($E$57,[1]QUART!$A$2:$FA$315, 102, FALSE)="",":",VLOOKUP($E$57,[1]QUART!$A$2:$FA$315, 102, FALSE))</f>
        <v>:</v>
      </c>
      <c r="CZ57" s="544" t="str">
        <f>IF(VLOOKUP($E$57,[1]QUART!$A$2:$FA$315, 103, FALSE)="",":",VLOOKUP($E$57,[1]QUART!$A$2:$FA$315, 103, FALSE))</f>
        <v>:</v>
      </c>
      <c r="DA57" s="544" t="str">
        <f>IF(VLOOKUP($E$57,[1]QUART!$A$2:$FA$315, 104, FALSE)="",":",VLOOKUP($E$57,[1]QUART!$A$2:$FA$315, 104, FALSE))</f>
        <v>:</v>
      </c>
      <c r="DB57" s="544" t="str">
        <f>IF(VLOOKUP($E$57,[1]QUART!$A$2:$FA$315, 105, FALSE)="",":",VLOOKUP($E$57,[1]QUART!$A$2:$FA$315, 105, FALSE))</f>
        <v>:</v>
      </c>
      <c r="DC57" s="544" t="str">
        <f>IF(VLOOKUP($E$57,[1]QUART!$A$2:$FA$315, 106, FALSE)="",":",VLOOKUP($E$57,[1]QUART!$A$2:$FA$315, 106, FALSE))</f>
        <v>:</v>
      </c>
    </row>
    <row r="58" spans="1:107">
      <c r="A58" s="1954"/>
      <c r="B58" s="534"/>
      <c r="C58" s="535"/>
      <c r="D58" s="12" t="s">
        <v>1841</v>
      </c>
      <c r="E58" s="13">
        <v>125</v>
      </c>
      <c r="F58" s="14" t="str">
        <f>VLOOKUP($E$58,[1]QUART!$A$2:$FA$315, 3, FALSE)</f>
        <v xml:space="preserve">125  Imports of goods and services                                                   </v>
      </c>
      <c r="G58" s="544" t="str">
        <f>IF(VLOOKUP($E$58,[1]QUART!$A$2:$FA$315, 6, FALSE)="",":",VLOOKUP($E$58,[1]QUART!$A$2:$FA$315, 6, FALSE))</f>
        <v>:</v>
      </c>
      <c r="H58" s="544" t="str">
        <f>IF(VLOOKUP($E$58,[1]QUART!$A$2:$FA$315, 7, FALSE)="",":",VLOOKUP($E$58,[1]QUART!$A$2:$FA$315, 7, FALSE))</f>
        <v>:</v>
      </c>
      <c r="I58" s="544" t="str">
        <f>IF(VLOOKUP($E$58,[1]QUART!$A$2:$FA$315, 8, FALSE)="",":",VLOOKUP($E$58,[1]QUART!$A$2:$FA$315, 8, FALSE))</f>
        <v>:</v>
      </c>
      <c r="J58" s="544" t="str">
        <f>IF(VLOOKUP($E$58,[1]QUART!$A$2:$FA$315, 9, FALSE)="",":",VLOOKUP($E$58,[1]QUART!$A$2:$FA$315, 9, FALSE))</f>
        <v>:</v>
      </c>
      <c r="K58" s="544" t="str">
        <f>IF(VLOOKUP($E$58,[1]QUART!$A$2:$FA$315, 10, FALSE)="",":",VLOOKUP($E$58,[1]QUART!$A$2:$FA$315, 10, FALSE))</f>
        <v>:</v>
      </c>
      <c r="L58" s="544" t="str">
        <f>IF(VLOOKUP($E$58,[1]QUART!$A$2:$FA$315, 11, FALSE)="",":",VLOOKUP($E$58,[1]QUART!$A$2:$FA$315, 11, FALSE))</f>
        <v>:</v>
      </c>
      <c r="M58" s="544" t="str">
        <f>IF(VLOOKUP($E$58,[1]QUART!$A$2:$FA$315, 12, FALSE)="",":",VLOOKUP($E$58,[1]QUART!$A$2:$FA$315, 12, FALSE))</f>
        <v>:</v>
      </c>
      <c r="N58" s="544" t="str">
        <f>IF(VLOOKUP($E$58,[1]QUART!$A$2:$FA$315, 13, FALSE)="",":",VLOOKUP($E$58,[1]QUART!$A$2:$FA$315, 13, FALSE))</f>
        <v>:</v>
      </c>
      <c r="O58" s="544" t="str">
        <f>IF(VLOOKUP($E$58,[1]QUART!$A$2:$FA$315, 14, FALSE)="",":",VLOOKUP($E$58,[1]QUART!$A$2:$FA$315, 14, FALSE))</f>
        <v>:</v>
      </c>
      <c r="P58" s="544" t="str">
        <f>IF(VLOOKUP($E$58,[1]QUART!$A$2:$FA$315, 15, FALSE)="",":",VLOOKUP($E$58,[1]QUART!$A$2:$FA$315, 15, FALSE))</f>
        <v>:</v>
      </c>
      <c r="Q58" s="544" t="str">
        <f>IF(VLOOKUP($E$58,[1]QUART!$A$2:$FA$315, 16, FALSE)="",":",VLOOKUP($E$58,[1]QUART!$A$2:$FA$315, 16, FALSE))</f>
        <v>:</v>
      </c>
      <c r="R58" s="544" t="str">
        <f>IF(VLOOKUP($E$58,[1]QUART!$A$2:$FA$315, 17, FALSE)="",":",VLOOKUP($E$58,[1]QUART!$A$2:$FA$315, 17, FALSE))</f>
        <v>:</v>
      </c>
      <c r="S58" s="544" t="str">
        <f>IF(VLOOKUP($E$58,[1]QUART!$A$2:$FA$315, 18, FALSE)="",":",VLOOKUP($E$58,[1]QUART!$A$2:$FA$315, 18, FALSE))</f>
        <v>:</v>
      </c>
      <c r="T58" s="544" t="str">
        <f>IF(VLOOKUP($E$58,[1]QUART!$A$2:$FA$315, 19, FALSE)="",":",VLOOKUP($E$58,[1]QUART!$A$2:$FA$315, 19, FALSE))</f>
        <v>:</v>
      </c>
      <c r="U58" s="544" t="str">
        <f>IF(VLOOKUP($E$58,[1]QUART!$A$2:$FA$315, 20, FALSE)="",":",VLOOKUP($E$58,[1]QUART!$A$2:$FA$315, 20, FALSE))</f>
        <v>:</v>
      </c>
      <c r="V58" s="544" t="str">
        <f>IF(VLOOKUP($E$58,[1]QUART!$A$2:$FA$315, 21, FALSE)="",":",VLOOKUP($E$58,[1]QUART!$A$2:$FA$315, 21, FALSE))</f>
        <v>:</v>
      </c>
      <c r="W58" s="544" t="str">
        <f>IF(VLOOKUP($E$58,[1]QUART!$A$2:$FA$315, 22, FALSE)="",":",VLOOKUP($E$58,[1]QUART!$A$2:$FA$315, 22, FALSE))</f>
        <v>:</v>
      </c>
      <c r="X58" s="544" t="str">
        <f>IF(VLOOKUP($E$58,[1]QUART!$A$2:$FA$315, 23, FALSE)="",":",VLOOKUP($E$58,[1]QUART!$A$2:$FA$315, 23, FALSE))</f>
        <v>:</v>
      </c>
      <c r="Y58" s="544" t="str">
        <f>IF(VLOOKUP($E$58,[1]QUART!$A$2:$FA$315, 24, FALSE)="",":",VLOOKUP($E$58,[1]QUART!$A$2:$FA$315, 24, FALSE))</f>
        <v>:</v>
      </c>
      <c r="Z58" s="544" t="str">
        <f>IF(VLOOKUP($E$58,[1]QUART!$A$2:$FA$315, 25, FALSE)="",":",VLOOKUP($E$58,[1]QUART!$A$2:$FA$315, 25, FALSE))</f>
        <v>:</v>
      </c>
      <c r="AA58" s="544" t="str">
        <f>IF(VLOOKUP($E$58,[1]QUART!$A$2:$FA$315, 26, FALSE)="",":",VLOOKUP($E$58,[1]QUART!$A$2:$FA$315, 26, FALSE))</f>
        <v>:</v>
      </c>
      <c r="AB58" s="544" t="str">
        <f>IF(VLOOKUP($E$58,[1]QUART!$A$2:$FA$315, 27, FALSE)="",":",VLOOKUP($E$58,[1]QUART!$A$2:$FA$315, 27, FALSE))</f>
        <v>:</v>
      </c>
      <c r="AC58" s="544" t="str">
        <f>IF(VLOOKUP($E$58,[1]QUART!$A$2:$FA$315, 28, FALSE)="",":",VLOOKUP($E$58,[1]QUART!$A$2:$FA$315, 28, FALSE))</f>
        <v>:</v>
      </c>
      <c r="AD58" s="544" t="str">
        <f>IF(VLOOKUP($E$58,[1]QUART!$A$2:$FA$315, 29, FALSE)="",":",VLOOKUP($E$58,[1]QUART!$A$2:$FA$315, 29, FALSE))</f>
        <v>:</v>
      </c>
      <c r="AE58" s="544" t="str">
        <f>IF(VLOOKUP($E$58,[1]QUART!$A$2:$FA$315, 30, FALSE)="",":",VLOOKUP($E$58,[1]QUART!$A$2:$FA$315, 30, FALSE))</f>
        <v>:</v>
      </c>
      <c r="AF58" s="544" t="str">
        <f>IF(VLOOKUP($E$58,[1]QUART!$A$2:$FA$315, 31, FALSE)="",":",VLOOKUP($E$58,[1]QUART!$A$2:$FA$315, 31, FALSE))</f>
        <v>:</v>
      </c>
      <c r="AG58" s="544" t="str">
        <f>IF(VLOOKUP($E$58,[1]QUART!$A$2:$FA$315, 32, FALSE)="",":",VLOOKUP($E$58,[1]QUART!$A$2:$FA$315, 32, FALSE))</f>
        <v>:</v>
      </c>
      <c r="AH58" s="544" t="str">
        <f>IF(VLOOKUP($E$58,[1]QUART!$A$2:$FA$315, 33, FALSE)="",":",VLOOKUP($E$58,[1]QUART!$A$2:$FA$315, 33, FALSE))</f>
        <v>:</v>
      </c>
      <c r="AI58" s="544" t="str">
        <f>IF(VLOOKUP($E$58,[1]QUART!$A$2:$FA$315, 34, FALSE)="",":",VLOOKUP($E$58,[1]QUART!$A$2:$FA$315, 34, FALSE))</f>
        <v>:</v>
      </c>
      <c r="AJ58" s="544" t="str">
        <f>IF(VLOOKUP($E$58,[1]QUART!$A$2:$FA$315, 35, FALSE)="",":",VLOOKUP($E$58,[1]QUART!$A$2:$FA$315, 35, FALSE))</f>
        <v>:</v>
      </c>
      <c r="AK58" s="544" t="str">
        <f>IF(VLOOKUP($E$58,[1]QUART!$A$2:$FA$315, 36, FALSE)="",":",VLOOKUP($E$58,[1]QUART!$A$2:$FA$315, 36, FALSE))</f>
        <v>:</v>
      </c>
      <c r="AL58" s="544" t="str">
        <f>IF(VLOOKUP($E$58,[1]QUART!$A$2:$FA$315, 37, FALSE)="",":",VLOOKUP($E$58,[1]QUART!$A$2:$FA$315, 37, FALSE))</f>
        <v>:</v>
      </c>
      <c r="AM58" s="544" t="str">
        <f>IF(VLOOKUP($E$58,[1]QUART!$A$2:$FA$315, 38, FALSE)="",":",VLOOKUP($E$58,[1]QUART!$A$2:$FA$315, 38, FALSE))</f>
        <v>:</v>
      </c>
      <c r="AN58" s="544" t="str">
        <f>IF(VLOOKUP($E$58,[1]QUART!$A$2:$FA$315, 39, FALSE)="",":",VLOOKUP($E$58,[1]QUART!$A$2:$FA$315, 39, FALSE))</f>
        <v>:</v>
      </c>
      <c r="AO58" s="544" t="str">
        <f>IF(VLOOKUP($E$58,[1]QUART!$A$2:$FA$315, 40, FALSE)="",":",VLOOKUP($E$58,[1]QUART!$A$2:$FA$315, 40, FALSE))</f>
        <v>:</v>
      </c>
      <c r="AP58" s="544" t="str">
        <f>IF(VLOOKUP($E$58,[1]QUART!$A$2:$FA$315, 41, FALSE)="",":",VLOOKUP($E$58,[1]QUART!$A$2:$FA$315, 41, FALSE))</f>
        <v>:</v>
      </c>
      <c r="AQ58" s="544" t="str">
        <f>IF(VLOOKUP($E$58,[1]QUART!$A$2:$FA$315, 42, FALSE)="",":",VLOOKUP($E$58,[1]QUART!$A$2:$FA$315, 42, FALSE))</f>
        <v>:</v>
      </c>
      <c r="AR58" s="544" t="str">
        <f>IF(VLOOKUP($E$58,[1]QUART!$A$2:$FA$315, 43, FALSE)="",":",VLOOKUP($E$58,[1]QUART!$A$2:$FA$315, 43, FALSE))</f>
        <v>:</v>
      </c>
      <c r="AS58" s="544" t="str">
        <f>IF(VLOOKUP($E$58,[1]QUART!$A$2:$FA$315, 44, FALSE)="",":",VLOOKUP($E$58,[1]QUART!$A$2:$FA$315, 44, FALSE))</f>
        <v>:</v>
      </c>
      <c r="AT58" s="544" t="str">
        <f>IF(VLOOKUP($E$58,[1]QUART!$A$2:$FA$315, 45, FALSE)="",":",VLOOKUP($E$58,[1]QUART!$A$2:$FA$315, 45, FALSE))</f>
        <v>:</v>
      </c>
      <c r="AU58" s="544" t="str">
        <f>IF(VLOOKUP($E$58,[1]QUART!$A$2:$FA$315, 46, FALSE)="",":",VLOOKUP($E$58,[1]QUART!$A$2:$FA$315, 46, FALSE))</f>
        <v>:</v>
      </c>
      <c r="AV58" s="544" t="str">
        <f>IF(VLOOKUP($E$58,[1]QUART!$A$2:$FA$315, 47, FALSE)="",":",VLOOKUP($E$58,[1]QUART!$A$2:$FA$315, 47, FALSE))</f>
        <v>:</v>
      </c>
      <c r="AW58" s="544" t="str">
        <f>IF(VLOOKUP($E$58,[1]QUART!$A$2:$FA$315, 48, FALSE)="",":",VLOOKUP($E$58,[1]QUART!$A$2:$FA$315, 48, FALSE))</f>
        <v>:</v>
      </c>
      <c r="AX58" s="544" t="str">
        <f>IF(VLOOKUP($E$58,[1]QUART!$A$2:$FA$315, 49, FALSE)="",":",VLOOKUP($E$58,[1]QUART!$A$2:$FA$315, 49, FALSE))</f>
        <v>:</v>
      </c>
      <c r="AY58" s="544" t="str">
        <f>IF(VLOOKUP($E$58,[1]QUART!$A$2:$FA$315, 50, FALSE)="",":",VLOOKUP($E$58,[1]QUART!$A$2:$FA$315, 50, FALSE))</f>
        <v>:</v>
      </c>
      <c r="AZ58" s="544" t="str">
        <f>IF(VLOOKUP($E$58,[1]QUART!$A$2:$FA$315, 51, FALSE)="",":",VLOOKUP($E$58,[1]QUART!$A$2:$FA$315, 51, FALSE))</f>
        <v>:</v>
      </c>
      <c r="BA58" s="544" t="str">
        <f>IF(VLOOKUP($E$58,[1]QUART!$A$2:$FA$315, 52, FALSE)="",":",VLOOKUP($E$58,[1]QUART!$A$2:$FA$315, 52, FALSE))</f>
        <v>:</v>
      </c>
      <c r="BB58" s="544" t="str">
        <f>IF(VLOOKUP($E$58,[1]QUART!$A$2:$FA$315, 53, FALSE)="",":",VLOOKUP($E$58,[1]QUART!$A$2:$FA$315, 53, FALSE))</f>
        <v>:</v>
      </c>
      <c r="BC58" s="544" t="str">
        <f>IF(VLOOKUP($E$58,[1]QUART!$A$2:$FA$315, 54, FALSE)="",":",VLOOKUP($E$58,[1]QUART!$A$2:$FA$315, 54, FALSE))</f>
        <v>:</v>
      </c>
      <c r="BD58" s="544" t="str">
        <f>IF(VLOOKUP($E$58,[1]QUART!$A$2:$FA$315, 55, FALSE)="",":",VLOOKUP($E$58,[1]QUART!$A$2:$FA$315, 55, FALSE))</f>
        <v>:</v>
      </c>
      <c r="BE58" s="544" t="str">
        <f>IF(VLOOKUP($E$58,[1]QUART!$A$2:$FA$315, 56, FALSE)="",":",VLOOKUP($E$58,[1]QUART!$A$2:$FA$315, 56, FALSE))</f>
        <v>:</v>
      </c>
      <c r="BF58" s="544" t="str">
        <f>IF(VLOOKUP($E$58,[1]QUART!$A$2:$FA$315, 57, FALSE)="",":",VLOOKUP($E$58,[1]QUART!$A$2:$FA$315, 57, FALSE))</f>
        <v>:</v>
      </c>
      <c r="BG58" s="544" t="str">
        <f>IF(VLOOKUP($E$58,[1]QUART!$A$2:$FA$315, 58, FALSE)="",":",VLOOKUP($E$58,[1]QUART!$A$2:$FA$315, 58, FALSE))</f>
        <v>:</v>
      </c>
      <c r="BH58" s="544" t="str">
        <f>IF(VLOOKUP($E$58,[1]QUART!$A$2:$FA$315, 59, FALSE)="",":",VLOOKUP($E$58,[1]QUART!$A$2:$FA$315, 59, FALSE))</f>
        <v>:</v>
      </c>
      <c r="BI58" s="544" t="str">
        <f>IF(VLOOKUP($E$58,[1]QUART!$A$2:$FA$315, 60, FALSE)="",":",VLOOKUP($E$58,[1]QUART!$A$2:$FA$315, 60, FALSE))</f>
        <v>:</v>
      </c>
      <c r="BJ58" s="544" t="str">
        <f>IF(VLOOKUP($E$58,[1]QUART!$A$2:$FA$315, 61, FALSE)="",":",VLOOKUP($E$58,[1]QUART!$A$2:$FA$315, 61, FALSE))</f>
        <v>:</v>
      </c>
      <c r="BK58" s="544" t="str">
        <f>IF(VLOOKUP($E$58,[1]QUART!$A$2:$FA$315, 62, FALSE)="",":",VLOOKUP($E$58,[1]QUART!$A$2:$FA$315, 62, FALSE))</f>
        <v>:</v>
      </c>
      <c r="BL58" s="544" t="str">
        <f>IF(VLOOKUP($E$58,[1]QUART!$A$2:$FA$315, 63, FALSE)="",":",VLOOKUP($E$58,[1]QUART!$A$2:$FA$315, 63, FALSE))</f>
        <v>:</v>
      </c>
      <c r="BM58" s="544" t="str">
        <f>IF(VLOOKUP($E$58,[1]QUART!$A$2:$FA$315, 64, FALSE)="",":",VLOOKUP($E$58,[1]QUART!$A$2:$FA$315, 64, FALSE))</f>
        <v>:</v>
      </c>
      <c r="BN58" s="544" t="str">
        <f>IF(VLOOKUP($E$58,[1]QUART!$A$2:$FA$315, 65, FALSE)="",":",VLOOKUP($E$58,[1]QUART!$A$2:$FA$315, 65, FALSE))</f>
        <v>:</v>
      </c>
      <c r="BO58" s="544" t="str">
        <f>IF(VLOOKUP($E$58,[1]QUART!$A$2:$FA$315, 66, FALSE)="",":",VLOOKUP($E$58,[1]QUART!$A$2:$FA$315, 66, FALSE))</f>
        <v>:</v>
      </c>
      <c r="BP58" s="544" t="str">
        <f>IF(VLOOKUP($E$58,[1]QUART!$A$2:$FA$315, 67, FALSE)="",":",VLOOKUP($E$58,[1]QUART!$A$2:$FA$315, 67, FALSE))</f>
        <v>:</v>
      </c>
      <c r="BQ58" s="544" t="str">
        <f>IF(VLOOKUP($E$58,[1]QUART!$A$2:$FA$315, 68, FALSE)="",":",VLOOKUP($E$58,[1]QUART!$A$2:$FA$315, 68, FALSE))</f>
        <v>:</v>
      </c>
      <c r="BR58" s="544" t="str">
        <f>IF(VLOOKUP($E$58,[1]QUART!$A$2:$FA$315, 69, FALSE)="",":",VLOOKUP($E$58,[1]QUART!$A$2:$FA$315, 69, FALSE))</f>
        <v>:</v>
      </c>
      <c r="BS58" s="544" t="str">
        <f>IF(VLOOKUP($E$58,[1]QUART!$A$2:$FA$315, 70, FALSE)="",":",VLOOKUP($E$58,[1]QUART!$A$2:$FA$315, 70, FALSE))</f>
        <v>:</v>
      </c>
      <c r="BT58" s="544" t="str">
        <f>IF(VLOOKUP($E$58,[1]QUART!$A$2:$FA$315, 71, FALSE)="",":",VLOOKUP($E$58,[1]QUART!$A$2:$FA$315, 71, FALSE))</f>
        <v>:</v>
      </c>
      <c r="BU58" s="544" t="str">
        <f>IF(VLOOKUP($E$58,[1]QUART!$A$2:$FA$315, 72, FALSE)="",":",VLOOKUP($E$58,[1]QUART!$A$2:$FA$315, 72, FALSE))</f>
        <v>:</v>
      </c>
      <c r="BV58" s="544" t="str">
        <f>IF(VLOOKUP($E$58,[1]QUART!$A$2:$FA$315, 73, FALSE)="",":",VLOOKUP($E$58,[1]QUART!$A$2:$FA$315, 73, FALSE))</f>
        <v>:</v>
      </c>
      <c r="BW58" s="544" t="str">
        <f>IF(VLOOKUP($E$58,[1]QUART!$A$2:$FA$315, 74, FALSE)="",":",VLOOKUP($E$58,[1]QUART!$A$2:$FA$315, 74, FALSE))</f>
        <v>:</v>
      </c>
      <c r="BX58" s="544" t="str">
        <f>IF(VLOOKUP($E$58,[1]QUART!$A$2:$FA$315, 75, FALSE)="",":",VLOOKUP($E$58,[1]QUART!$A$2:$FA$315, 75, FALSE))</f>
        <v>:</v>
      </c>
      <c r="BY58" s="544" t="str">
        <f>IF(VLOOKUP($E$58,[1]QUART!$A$2:$FA$315, 76, FALSE)="",":",VLOOKUP($E$58,[1]QUART!$A$2:$FA$315, 76, FALSE))</f>
        <v>:</v>
      </c>
      <c r="BZ58" s="544" t="str">
        <f>IF(VLOOKUP($E$58,[1]QUART!$A$2:$FA$315, 77, FALSE)="",":",VLOOKUP($E$58,[1]QUART!$A$2:$FA$315, 77, FALSE))</f>
        <v>:</v>
      </c>
      <c r="CA58" s="544" t="str">
        <f>IF(VLOOKUP($E$58,[1]QUART!$A$2:$FA$315, 78, FALSE)="",":",VLOOKUP($E$58,[1]QUART!$A$2:$FA$315, 78, FALSE))</f>
        <v>:</v>
      </c>
      <c r="CB58" s="544" t="str">
        <f>IF(VLOOKUP($E$58,[1]QUART!$A$2:$FA$315, 79, FALSE)="",":",VLOOKUP($E$58,[1]QUART!$A$2:$FA$315, 79, FALSE))</f>
        <v>:</v>
      </c>
      <c r="CC58" s="544" t="str">
        <f>IF(VLOOKUP($E$58,[1]QUART!$A$2:$FA$315, 80, FALSE)="",":",VLOOKUP($E$58,[1]QUART!$A$2:$FA$315, 80, FALSE))</f>
        <v>:</v>
      </c>
      <c r="CD58" s="544" t="str">
        <f>IF(VLOOKUP($E$58,[1]QUART!$A$2:$FA$315, 81, FALSE)="",":",VLOOKUP($E$58,[1]QUART!$A$2:$FA$315, 81, FALSE))</f>
        <v>:</v>
      </c>
      <c r="CE58" s="544" t="str">
        <f>IF(VLOOKUP($E$58,[1]QUART!$A$2:$FA$315, 82, FALSE)="",":",VLOOKUP($E$58,[1]QUART!$A$2:$FA$315, 82, FALSE))</f>
        <v>:</v>
      </c>
      <c r="CF58" s="544" t="str">
        <f>IF(VLOOKUP($E$58,[1]QUART!$A$2:$FA$315, 83, FALSE)="",":",VLOOKUP($E$58,[1]QUART!$A$2:$FA$315, 83, FALSE))</f>
        <v>:</v>
      </c>
      <c r="CG58" s="544" t="str">
        <f>IF(VLOOKUP($E$58,[1]QUART!$A$2:$FA$315, 84, FALSE)="",":",VLOOKUP($E$58,[1]QUART!$A$2:$FA$315, 84, FALSE))</f>
        <v>:</v>
      </c>
      <c r="CH58" s="544" t="str">
        <f>IF(VLOOKUP($E$58,[1]QUART!$A$2:$FA$315, 85, FALSE)="",":",VLOOKUP($E$58,[1]QUART!$A$2:$FA$315, 85, FALSE))</f>
        <v>:</v>
      </c>
      <c r="CI58" s="544" t="str">
        <f>IF(VLOOKUP($E$58,[1]QUART!$A$2:$FA$315, 86, FALSE)="",":",VLOOKUP($E$58,[1]QUART!$A$2:$FA$315, 86, FALSE))</f>
        <v>:</v>
      </c>
      <c r="CJ58" s="544" t="str">
        <f>IF(VLOOKUP($E$58,[1]QUART!$A$2:$FA$315, 87, FALSE)="",":",VLOOKUP($E$58,[1]QUART!$A$2:$FA$315, 87, FALSE))</f>
        <v>:</v>
      </c>
      <c r="CK58" s="544" t="str">
        <f>IF(VLOOKUP($E$58,[1]QUART!$A$2:$FA$315, 88, FALSE)="",":",VLOOKUP($E$58,[1]QUART!$A$2:$FA$315, 88, FALSE))</f>
        <v>:</v>
      </c>
      <c r="CL58" s="544" t="str">
        <f>IF(VLOOKUP($E$58,[1]QUART!$A$2:$FA$315, 89, FALSE)="",":",VLOOKUP($E$58,[1]QUART!$A$2:$FA$315, 89, FALSE))</f>
        <v>:</v>
      </c>
      <c r="CM58" s="544" t="str">
        <f>IF(VLOOKUP($E$58,[1]QUART!$A$2:$FA$315, 90, FALSE)="",":",VLOOKUP($E$58,[1]QUART!$A$2:$FA$315, 90, FALSE))</f>
        <v>:</v>
      </c>
      <c r="CN58" s="544" t="str">
        <f>IF(VLOOKUP($E$58,[1]QUART!$A$2:$FA$315, 91, FALSE)="",":",VLOOKUP($E$58,[1]QUART!$A$2:$FA$315, 91, FALSE))</f>
        <v>:</v>
      </c>
      <c r="CO58" s="544" t="str">
        <f>IF(VLOOKUP($E$58,[1]QUART!$A$2:$FA$315, 92, FALSE)="",":",VLOOKUP($E$58,[1]QUART!$A$2:$FA$315, 92, FALSE))</f>
        <v>:</v>
      </c>
      <c r="CP58" s="544" t="str">
        <f>IF(VLOOKUP($E$58,[1]QUART!$A$2:$FA$315, 93, FALSE)="",":",VLOOKUP($E$58,[1]QUART!$A$2:$FA$315, 93, FALSE))</f>
        <v>:</v>
      </c>
      <c r="CQ58" s="544" t="str">
        <f>IF(VLOOKUP($E$58,[1]QUART!$A$2:$FA$315, 94, FALSE)="",":",VLOOKUP($E$58,[1]QUART!$A$2:$FA$315, 94, FALSE))</f>
        <v>:</v>
      </c>
      <c r="CR58" s="544" t="str">
        <f>IF(VLOOKUP($E$58,[1]QUART!$A$2:$FA$315, 95, FALSE)="",":",VLOOKUP($E$58,[1]QUART!$A$2:$FA$315, 95, FALSE))</f>
        <v>:</v>
      </c>
      <c r="CS58" s="544" t="str">
        <f>IF(VLOOKUP($E$58,[1]QUART!$A$2:$FA$315, 96, FALSE)="",":",VLOOKUP($E$58,[1]QUART!$A$2:$FA$315, 96, FALSE))</f>
        <v>:</v>
      </c>
      <c r="CT58" s="544" t="str">
        <f>IF(VLOOKUP($E$58,[1]QUART!$A$2:$FA$315, 97, FALSE)="",":",VLOOKUP($E$58,[1]QUART!$A$2:$FA$315, 97, FALSE))</f>
        <v>:</v>
      </c>
      <c r="CU58" s="544" t="str">
        <f>IF(VLOOKUP($E$58,[1]QUART!$A$2:$FA$315, 98, FALSE)="",":",VLOOKUP($E$58,[1]QUART!$A$2:$FA$315, 98, FALSE))</f>
        <v>:</v>
      </c>
      <c r="CV58" s="544" t="str">
        <f>IF(VLOOKUP($E$58,[1]QUART!$A$2:$FA$315, 99, FALSE)="",":",VLOOKUP($E$58,[1]QUART!$A$2:$FA$315, 99, FALSE))</f>
        <v>:</v>
      </c>
      <c r="CW58" s="544" t="str">
        <f>IF(VLOOKUP($E$58,[1]QUART!$A$2:$FA$315, 100, FALSE)="",":",VLOOKUP($E$58,[1]QUART!$A$2:$FA$315, 100, FALSE))</f>
        <v>:</v>
      </c>
      <c r="CX58" s="544" t="str">
        <f>IF(VLOOKUP($E$58,[1]QUART!$A$2:$FA$315, 101, FALSE)="",":",VLOOKUP($E$58,[1]QUART!$A$2:$FA$315, 101, FALSE))</f>
        <v>:</v>
      </c>
      <c r="CY58" s="544" t="str">
        <f>IF(VLOOKUP($E$58,[1]QUART!$A$2:$FA$315, 102, FALSE)="",":",VLOOKUP($E$58,[1]QUART!$A$2:$FA$315, 102, FALSE))</f>
        <v>:</v>
      </c>
      <c r="CZ58" s="544" t="str">
        <f>IF(VLOOKUP($E$58,[1]QUART!$A$2:$FA$315, 103, FALSE)="",":",VLOOKUP($E$58,[1]QUART!$A$2:$FA$315, 103, FALSE))</f>
        <v>:</v>
      </c>
      <c r="DA58" s="544" t="str">
        <f>IF(VLOOKUP($E$58,[1]QUART!$A$2:$FA$315, 104, FALSE)="",":",VLOOKUP($E$58,[1]QUART!$A$2:$FA$315, 104, FALSE))</f>
        <v>:</v>
      </c>
      <c r="DB58" s="544" t="str">
        <f>IF(VLOOKUP($E$58,[1]QUART!$A$2:$FA$315, 105, FALSE)="",":",VLOOKUP($E$58,[1]QUART!$A$2:$FA$315, 105, FALSE))</f>
        <v>:</v>
      </c>
      <c r="DC58" s="544" t="str">
        <f>IF(VLOOKUP($E$58,[1]QUART!$A$2:$FA$315, 106, FALSE)="",":",VLOOKUP($E$58,[1]QUART!$A$2:$FA$315, 106, FALSE))</f>
        <v>:</v>
      </c>
    </row>
    <row r="59" spans="1:107">
      <c r="A59" s="1954"/>
      <c r="B59" s="534"/>
      <c r="C59" s="535"/>
      <c r="D59" s="12" t="s">
        <v>1841</v>
      </c>
      <c r="E59" s="13">
        <v>126</v>
      </c>
      <c r="F59" s="14" t="str">
        <f>VLOOKUP($E$59,[1]QUART!$A$2:$FA$315, 3, FALSE)</f>
        <v>126  Domestic demand excluding change in inventories and net acquisition of valuables</v>
      </c>
      <c r="G59" s="544" t="str">
        <f>IF(VLOOKUP($E$59,[1]QUART!$A$2:$FA$315, 6, FALSE)="",":",VLOOKUP($E$59,[1]QUART!$A$2:$FA$315, 6, FALSE))</f>
        <v>:</v>
      </c>
      <c r="H59" s="544" t="str">
        <f>IF(VLOOKUP($E$59,[1]QUART!$A$2:$FA$315, 7, FALSE)="",":",VLOOKUP($E$59,[1]QUART!$A$2:$FA$315, 7, FALSE))</f>
        <v>:</v>
      </c>
      <c r="I59" s="544" t="str">
        <f>IF(VLOOKUP($E$59,[1]QUART!$A$2:$FA$315, 8, FALSE)="",":",VLOOKUP($E$59,[1]QUART!$A$2:$FA$315, 8, FALSE))</f>
        <v>:</v>
      </c>
      <c r="J59" s="544" t="str">
        <f>IF(VLOOKUP($E$59,[1]QUART!$A$2:$FA$315, 9, FALSE)="",":",VLOOKUP($E$59,[1]QUART!$A$2:$FA$315, 9, FALSE))</f>
        <v>:</v>
      </c>
      <c r="K59" s="544" t="str">
        <f>IF(VLOOKUP($E$59,[1]QUART!$A$2:$FA$315, 10, FALSE)="",":",VLOOKUP($E$59,[1]QUART!$A$2:$FA$315, 10, FALSE))</f>
        <v>:</v>
      </c>
      <c r="L59" s="544" t="str">
        <f>IF(VLOOKUP($E$59,[1]QUART!$A$2:$FA$315, 11, FALSE)="",":",VLOOKUP($E$59,[1]QUART!$A$2:$FA$315, 11, FALSE))</f>
        <v>:</v>
      </c>
      <c r="M59" s="544" t="str">
        <f>IF(VLOOKUP($E$59,[1]QUART!$A$2:$FA$315, 12, FALSE)="",":",VLOOKUP($E$59,[1]QUART!$A$2:$FA$315, 12, FALSE))</f>
        <v>:</v>
      </c>
      <c r="N59" s="544" t="str">
        <f>IF(VLOOKUP($E$59,[1]QUART!$A$2:$FA$315, 13, FALSE)="",":",VLOOKUP($E$59,[1]QUART!$A$2:$FA$315, 13, FALSE))</f>
        <v>:</v>
      </c>
      <c r="O59" s="544" t="str">
        <f>IF(VLOOKUP($E$59,[1]QUART!$A$2:$FA$315, 14, FALSE)="",":",VLOOKUP($E$59,[1]QUART!$A$2:$FA$315, 14, FALSE))</f>
        <v>:</v>
      </c>
      <c r="P59" s="544" t="str">
        <f>IF(VLOOKUP($E$59,[1]QUART!$A$2:$FA$315, 15, FALSE)="",":",VLOOKUP($E$59,[1]QUART!$A$2:$FA$315, 15, FALSE))</f>
        <v>:</v>
      </c>
      <c r="Q59" s="544" t="str">
        <f>IF(VLOOKUP($E$59,[1]QUART!$A$2:$FA$315, 16, FALSE)="",":",VLOOKUP($E$59,[1]QUART!$A$2:$FA$315, 16, FALSE))</f>
        <v>:</v>
      </c>
      <c r="R59" s="544" t="str">
        <f>IF(VLOOKUP($E$59,[1]QUART!$A$2:$FA$315, 17, FALSE)="",":",VLOOKUP($E$59,[1]QUART!$A$2:$FA$315, 17, FALSE))</f>
        <v>:</v>
      </c>
      <c r="S59" s="544" t="str">
        <f>IF(VLOOKUP($E$59,[1]QUART!$A$2:$FA$315, 18, FALSE)="",":",VLOOKUP($E$59,[1]QUART!$A$2:$FA$315, 18, FALSE))</f>
        <v>:</v>
      </c>
      <c r="T59" s="544" t="str">
        <f>IF(VLOOKUP($E$59,[1]QUART!$A$2:$FA$315, 19, FALSE)="",":",VLOOKUP($E$59,[1]QUART!$A$2:$FA$315, 19, FALSE))</f>
        <v>:</v>
      </c>
      <c r="U59" s="544" t="str">
        <f>IF(VLOOKUP($E$59,[1]QUART!$A$2:$FA$315, 20, FALSE)="",":",VLOOKUP($E$59,[1]QUART!$A$2:$FA$315, 20, FALSE))</f>
        <v>:</v>
      </c>
      <c r="V59" s="544" t="str">
        <f>IF(VLOOKUP($E$59,[1]QUART!$A$2:$FA$315, 21, FALSE)="",":",VLOOKUP($E$59,[1]QUART!$A$2:$FA$315, 21, FALSE))</f>
        <v>:</v>
      </c>
      <c r="W59" s="544" t="str">
        <f>IF(VLOOKUP($E$59,[1]QUART!$A$2:$FA$315, 22, FALSE)="",":",VLOOKUP($E$59,[1]QUART!$A$2:$FA$315, 22, FALSE))</f>
        <v>:</v>
      </c>
      <c r="X59" s="544" t="str">
        <f>IF(VLOOKUP($E$59,[1]QUART!$A$2:$FA$315, 23, FALSE)="",":",VLOOKUP($E$59,[1]QUART!$A$2:$FA$315, 23, FALSE))</f>
        <v>:</v>
      </c>
      <c r="Y59" s="544" t="str">
        <f>IF(VLOOKUP($E$59,[1]QUART!$A$2:$FA$315, 24, FALSE)="",":",VLOOKUP($E$59,[1]QUART!$A$2:$FA$315, 24, FALSE))</f>
        <v>:</v>
      </c>
      <c r="Z59" s="544" t="str">
        <f>IF(VLOOKUP($E$59,[1]QUART!$A$2:$FA$315, 25, FALSE)="",":",VLOOKUP($E$59,[1]QUART!$A$2:$FA$315, 25, FALSE))</f>
        <v>:</v>
      </c>
      <c r="AA59" s="544" t="str">
        <f>IF(VLOOKUP($E$59,[1]QUART!$A$2:$FA$315, 26, FALSE)="",":",VLOOKUP($E$59,[1]QUART!$A$2:$FA$315, 26, FALSE))</f>
        <v>:</v>
      </c>
      <c r="AB59" s="544" t="str">
        <f>IF(VLOOKUP($E$59,[1]QUART!$A$2:$FA$315, 27, FALSE)="",":",VLOOKUP($E$59,[1]QUART!$A$2:$FA$315, 27, FALSE))</f>
        <v>:</v>
      </c>
      <c r="AC59" s="544" t="str">
        <f>IF(VLOOKUP($E$59,[1]QUART!$A$2:$FA$315, 28, FALSE)="",":",VLOOKUP($E$59,[1]QUART!$A$2:$FA$315, 28, FALSE))</f>
        <v>:</v>
      </c>
      <c r="AD59" s="544" t="str">
        <f>IF(VLOOKUP($E$59,[1]QUART!$A$2:$FA$315, 29, FALSE)="",":",VLOOKUP($E$59,[1]QUART!$A$2:$FA$315, 29, FALSE))</f>
        <v>:</v>
      </c>
      <c r="AE59" s="544" t="str">
        <f>IF(VLOOKUP($E$59,[1]QUART!$A$2:$FA$315, 30, FALSE)="",":",VLOOKUP($E$59,[1]QUART!$A$2:$FA$315, 30, FALSE))</f>
        <v>:</v>
      </c>
      <c r="AF59" s="544" t="str">
        <f>IF(VLOOKUP($E$59,[1]QUART!$A$2:$FA$315, 31, FALSE)="",":",VLOOKUP($E$59,[1]QUART!$A$2:$FA$315, 31, FALSE))</f>
        <v>:</v>
      </c>
      <c r="AG59" s="544" t="str">
        <f>IF(VLOOKUP($E$59,[1]QUART!$A$2:$FA$315, 32, FALSE)="",":",VLOOKUP($E$59,[1]QUART!$A$2:$FA$315, 32, FALSE))</f>
        <v>:</v>
      </c>
      <c r="AH59" s="544" t="str">
        <f>IF(VLOOKUP($E$59,[1]QUART!$A$2:$FA$315, 33, FALSE)="",":",VLOOKUP($E$59,[1]QUART!$A$2:$FA$315, 33, FALSE))</f>
        <v>:</v>
      </c>
      <c r="AI59" s="544" t="str">
        <f>IF(VLOOKUP($E$59,[1]QUART!$A$2:$FA$315, 34, FALSE)="",":",VLOOKUP($E$59,[1]QUART!$A$2:$FA$315, 34, FALSE))</f>
        <v>:</v>
      </c>
      <c r="AJ59" s="544" t="str">
        <f>IF(VLOOKUP($E$59,[1]QUART!$A$2:$FA$315, 35, FALSE)="",":",VLOOKUP($E$59,[1]QUART!$A$2:$FA$315, 35, FALSE))</f>
        <v>:</v>
      </c>
      <c r="AK59" s="544" t="str">
        <f>IF(VLOOKUP($E$59,[1]QUART!$A$2:$FA$315, 36, FALSE)="",":",VLOOKUP($E$59,[1]QUART!$A$2:$FA$315, 36, FALSE))</f>
        <v>:</v>
      </c>
      <c r="AL59" s="544" t="str">
        <f>IF(VLOOKUP($E$59,[1]QUART!$A$2:$FA$315, 37, FALSE)="",":",VLOOKUP($E$59,[1]QUART!$A$2:$FA$315, 37, FALSE))</f>
        <v>:</v>
      </c>
      <c r="AM59" s="544" t="str">
        <f>IF(VLOOKUP($E$59,[1]QUART!$A$2:$FA$315, 38, FALSE)="",":",VLOOKUP($E$59,[1]QUART!$A$2:$FA$315, 38, FALSE))</f>
        <v>:</v>
      </c>
      <c r="AN59" s="544" t="str">
        <f>IF(VLOOKUP($E$59,[1]QUART!$A$2:$FA$315, 39, FALSE)="",":",VLOOKUP($E$59,[1]QUART!$A$2:$FA$315, 39, FALSE))</f>
        <v>:</v>
      </c>
      <c r="AO59" s="544" t="str">
        <f>IF(VLOOKUP($E$59,[1]QUART!$A$2:$FA$315, 40, FALSE)="",":",VLOOKUP($E$59,[1]QUART!$A$2:$FA$315, 40, FALSE))</f>
        <v>:</v>
      </c>
      <c r="AP59" s="544" t="str">
        <f>IF(VLOOKUP($E$59,[1]QUART!$A$2:$FA$315, 41, FALSE)="",":",VLOOKUP($E$59,[1]QUART!$A$2:$FA$315, 41, FALSE))</f>
        <v>:</v>
      </c>
      <c r="AQ59" s="544" t="str">
        <f>IF(VLOOKUP($E$59,[1]QUART!$A$2:$FA$315, 42, FALSE)="",":",VLOOKUP($E$59,[1]QUART!$A$2:$FA$315, 42, FALSE))</f>
        <v>:</v>
      </c>
      <c r="AR59" s="544" t="str">
        <f>IF(VLOOKUP($E$59,[1]QUART!$A$2:$FA$315, 43, FALSE)="",":",VLOOKUP($E$59,[1]QUART!$A$2:$FA$315, 43, FALSE))</f>
        <v>:</v>
      </c>
      <c r="AS59" s="544" t="str">
        <f>IF(VLOOKUP($E$59,[1]QUART!$A$2:$FA$315, 44, FALSE)="",":",VLOOKUP($E$59,[1]QUART!$A$2:$FA$315, 44, FALSE))</f>
        <v>:</v>
      </c>
      <c r="AT59" s="544" t="str">
        <f>IF(VLOOKUP($E$59,[1]QUART!$A$2:$FA$315, 45, FALSE)="",":",VLOOKUP($E$59,[1]QUART!$A$2:$FA$315, 45, FALSE))</f>
        <v>:</v>
      </c>
      <c r="AU59" s="544" t="str">
        <f>IF(VLOOKUP($E$59,[1]QUART!$A$2:$FA$315, 46, FALSE)="",":",VLOOKUP($E$59,[1]QUART!$A$2:$FA$315, 46, FALSE))</f>
        <v>:</v>
      </c>
      <c r="AV59" s="544" t="str">
        <f>IF(VLOOKUP($E$59,[1]QUART!$A$2:$FA$315, 47, FALSE)="",":",VLOOKUP($E$59,[1]QUART!$A$2:$FA$315, 47, FALSE))</f>
        <v>:</v>
      </c>
      <c r="AW59" s="544" t="str">
        <f>IF(VLOOKUP($E$59,[1]QUART!$A$2:$FA$315, 48, FALSE)="",":",VLOOKUP($E$59,[1]QUART!$A$2:$FA$315, 48, FALSE))</f>
        <v>:</v>
      </c>
      <c r="AX59" s="544" t="str">
        <f>IF(VLOOKUP($E$59,[1]QUART!$A$2:$FA$315, 49, FALSE)="",":",VLOOKUP($E$59,[1]QUART!$A$2:$FA$315, 49, FALSE))</f>
        <v>:</v>
      </c>
      <c r="AY59" s="544" t="str">
        <f>IF(VLOOKUP($E$59,[1]QUART!$A$2:$FA$315, 50, FALSE)="",":",VLOOKUP($E$59,[1]QUART!$A$2:$FA$315, 50, FALSE))</f>
        <v>:</v>
      </c>
      <c r="AZ59" s="544" t="str">
        <f>IF(VLOOKUP($E$59,[1]QUART!$A$2:$FA$315, 51, FALSE)="",":",VLOOKUP($E$59,[1]QUART!$A$2:$FA$315, 51, FALSE))</f>
        <v>:</v>
      </c>
      <c r="BA59" s="544" t="str">
        <f>IF(VLOOKUP($E$59,[1]QUART!$A$2:$FA$315, 52, FALSE)="",":",VLOOKUP($E$59,[1]QUART!$A$2:$FA$315, 52, FALSE))</f>
        <v>:</v>
      </c>
      <c r="BB59" s="544" t="str">
        <f>IF(VLOOKUP($E$59,[1]QUART!$A$2:$FA$315, 53, FALSE)="",":",VLOOKUP($E$59,[1]QUART!$A$2:$FA$315, 53, FALSE))</f>
        <v>:</v>
      </c>
      <c r="BC59" s="544" t="str">
        <f>IF(VLOOKUP($E$59,[1]QUART!$A$2:$FA$315, 54, FALSE)="",":",VLOOKUP($E$59,[1]QUART!$A$2:$FA$315, 54, FALSE))</f>
        <v>:</v>
      </c>
      <c r="BD59" s="544" t="str">
        <f>IF(VLOOKUP($E$59,[1]QUART!$A$2:$FA$315, 55, FALSE)="",":",VLOOKUP($E$59,[1]QUART!$A$2:$FA$315, 55, FALSE))</f>
        <v>:</v>
      </c>
      <c r="BE59" s="544" t="str">
        <f>IF(VLOOKUP($E$59,[1]QUART!$A$2:$FA$315, 56, FALSE)="",":",VLOOKUP($E$59,[1]QUART!$A$2:$FA$315, 56, FALSE))</f>
        <v>:</v>
      </c>
      <c r="BF59" s="544" t="str">
        <f>IF(VLOOKUP($E$59,[1]QUART!$A$2:$FA$315, 57, FALSE)="",":",VLOOKUP($E$59,[1]QUART!$A$2:$FA$315, 57, FALSE))</f>
        <v>:</v>
      </c>
      <c r="BG59" s="544" t="str">
        <f>IF(VLOOKUP($E$59,[1]QUART!$A$2:$FA$315, 58, FALSE)="",":",VLOOKUP($E$59,[1]QUART!$A$2:$FA$315, 58, FALSE))</f>
        <v>:</v>
      </c>
      <c r="BH59" s="544" t="str">
        <f>IF(VLOOKUP($E$59,[1]QUART!$A$2:$FA$315, 59, FALSE)="",":",VLOOKUP($E$59,[1]QUART!$A$2:$FA$315, 59, FALSE))</f>
        <v>:</v>
      </c>
      <c r="BI59" s="544" t="str">
        <f>IF(VLOOKUP($E$59,[1]QUART!$A$2:$FA$315, 60, FALSE)="",":",VLOOKUP($E$59,[1]QUART!$A$2:$FA$315, 60, FALSE))</f>
        <v>:</v>
      </c>
      <c r="BJ59" s="544" t="str">
        <f>IF(VLOOKUP($E$59,[1]QUART!$A$2:$FA$315, 61, FALSE)="",":",VLOOKUP($E$59,[1]QUART!$A$2:$FA$315, 61, FALSE))</f>
        <v>:</v>
      </c>
      <c r="BK59" s="544" t="str">
        <f>IF(VLOOKUP($E$59,[1]QUART!$A$2:$FA$315, 62, FALSE)="",":",VLOOKUP($E$59,[1]QUART!$A$2:$FA$315, 62, FALSE))</f>
        <v>:</v>
      </c>
      <c r="BL59" s="544" t="str">
        <f>IF(VLOOKUP($E$59,[1]QUART!$A$2:$FA$315, 63, FALSE)="",":",VLOOKUP($E$59,[1]QUART!$A$2:$FA$315, 63, FALSE))</f>
        <v>:</v>
      </c>
      <c r="BM59" s="544" t="str">
        <f>IF(VLOOKUP($E$59,[1]QUART!$A$2:$FA$315, 64, FALSE)="",":",VLOOKUP($E$59,[1]QUART!$A$2:$FA$315, 64, FALSE))</f>
        <v>:</v>
      </c>
      <c r="BN59" s="544" t="str">
        <f>IF(VLOOKUP($E$59,[1]QUART!$A$2:$FA$315, 65, FALSE)="",":",VLOOKUP($E$59,[1]QUART!$A$2:$FA$315, 65, FALSE))</f>
        <v>:</v>
      </c>
      <c r="BO59" s="544" t="str">
        <f>IF(VLOOKUP($E$59,[1]QUART!$A$2:$FA$315, 66, FALSE)="",":",VLOOKUP($E$59,[1]QUART!$A$2:$FA$315, 66, FALSE))</f>
        <v>:</v>
      </c>
      <c r="BP59" s="544" t="str">
        <f>IF(VLOOKUP($E$59,[1]QUART!$A$2:$FA$315, 67, FALSE)="",":",VLOOKUP($E$59,[1]QUART!$A$2:$FA$315, 67, FALSE))</f>
        <v>:</v>
      </c>
      <c r="BQ59" s="544" t="str">
        <f>IF(VLOOKUP($E$59,[1]QUART!$A$2:$FA$315, 68, FALSE)="",":",VLOOKUP($E$59,[1]QUART!$A$2:$FA$315, 68, FALSE))</f>
        <v>:</v>
      </c>
      <c r="BR59" s="544" t="str">
        <f>IF(VLOOKUP($E$59,[1]QUART!$A$2:$FA$315, 69, FALSE)="",":",VLOOKUP($E$59,[1]QUART!$A$2:$FA$315, 69, FALSE))</f>
        <v>:</v>
      </c>
      <c r="BS59" s="544" t="str">
        <f>IF(VLOOKUP($E$59,[1]QUART!$A$2:$FA$315, 70, FALSE)="",":",VLOOKUP($E$59,[1]QUART!$A$2:$FA$315, 70, FALSE))</f>
        <v>:</v>
      </c>
      <c r="BT59" s="544" t="str">
        <f>IF(VLOOKUP($E$59,[1]QUART!$A$2:$FA$315, 71, FALSE)="",":",VLOOKUP($E$59,[1]QUART!$A$2:$FA$315, 71, FALSE))</f>
        <v>:</v>
      </c>
      <c r="BU59" s="544" t="str">
        <f>IF(VLOOKUP($E$59,[1]QUART!$A$2:$FA$315, 72, FALSE)="",":",VLOOKUP($E$59,[1]QUART!$A$2:$FA$315, 72, FALSE))</f>
        <v>:</v>
      </c>
      <c r="BV59" s="544" t="str">
        <f>IF(VLOOKUP($E$59,[1]QUART!$A$2:$FA$315, 73, FALSE)="",":",VLOOKUP($E$59,[1]QUART!$A$2:$FA$315, 73, FALSE))</f>
        <v>:</v>
      </c>
      <c r="BW59" s="544" t="str">
        <f>IF(VLOOKUP($E$59,[1]QUART!$A$2:$FA$315, 74, FALSE)="",":",VLOOKUP($E$59,[1]QUART!$A$2:$FA$315, 74, FALSE))</f>
        <v>:</v>
      </c>
      <c r="BX59" s="544" t="str">
        <f>IF(VLOOKUP($E$59,[1]QUART!$A$2:$FA$315, 75, FALSE)="",":",VLOOKUP($E$59,[1]QUART!$A$2:$FA$315, 75, FALSE))</f>
        <v>:</v>
      </c>
      <c r="BY59" s="544" t="str">
        <f>IF(VLOOKUP($E$59,[1]QUART!$A$2:$FA$315, 76, FALSE)="",":",VLOOKUP($E$59,[1]QUART!$A$2:$FA$315, 76, FALSE))</f>
        <v>:</v>
      </c>
      <c r="BZ59" s="544" t="str">
        <f>IF(VLOOKUP($E$59,[1]QUART!$A$2:$FA$315, 77, FALSE)="",":",VLOOKUP($E$59,[1]QUART!$A$2:$FA$315, 77, FALSE))</f>
        <v>:</v>
      </c>
      <c r="CA59" s="544" t="str">
        <f>IF(VLOOKUP($E$59,[1]QUART!$A$2:$FA$315, 78, FALSE)="",":",VLOOKUP($E$59,[1]QUART!$A$2:$FA$315, 78, FALSE))</f>
        <v>:</v>
      </c>
      <c r="CB59" s="544" t="str">
        <f>IF(VLOOKUP($E$59,[1]QUART!$A$2:$FA$315, 79, FALSE)="",":",VLOOKUP($E$59,[1]QUART!$A$2:$FA$315, 79, FALSE))</f>
        <v>:</v>
      </c>
      <c r="CC59" s="544" t="str">
        <f>IF(VLOOKUP($E$59,[1]QUART!$A$2:$FA$315, 80, FALSE)="",":",VLOOKUP($E$59,[1]QUART!$A$2:$FA$315, 80, FALSE))</f>
        <v>:</v>
      </c>
      <c r="CD59" s="544" t="str">
        <f>IF(VLOOKUP($E$59,[1]QUART!$A$2:$FA$315, 81, FALSE)="",":",VLOOKUP($E$59,[1]QUART!$A$2:$FA$315, 81, FALSE))</f>
        <v>:</v>
      </c>
      <c r="CE59" s="544" t="str">
        <f>IF(VLOOKUP($E$59,[1]QUART!$A$2:$FA$315, 82, FALSE)="",":",VLOOKUP($E$59,[1]QUART!$A$2:$FA$315, 82, FALSE))</f>
        <v>:</v>
      </c>
      <c r="CF59" s="544" t="str">
        <f>IF(VLOOKUP($E$59,[1]QUART!$A$2:$FA$315, 83, FALSE)="",":",VLOOKUP($E$59,[1]QUART!$A$2:$FA$315, 83, FALSE))</f>
        <v>:</v>
      </c>
      <c r="CG59" s="544" t="str">
        <f>IF(VLOOKUP($E$59,[1]QUART!$A$2:$FA$315, 84, FALSE)="",":",VLOOKUP($E$59,[1]QUART!$A$2:$FA$315, 84, FALSE))</f>
        <v>:</v>
      </c>
      <c r="CH59" s="544" t="str">
        <f>IF(VLOOKUP($E$59,[1]QUART!$A$2:$FA$315, 85, FALSE)="",":",VLOOKUP($E$59,[1]QUART!$A$2:$FA$315, 85, FALSE))</f>
        <v>:</v>
      </c>
      <c r="CI59" s="544" t="str">
        <f>IF(VLOOKUP($E$59,[1]QUART!$A$2:$FA$315, 86, FALSE)="",":",VLOOKUP($E$59,[1]QUART!$A$2:$FA$315, 86, FALSE))</f>
        <v>:</v>
      </c>
      <c r="CJ59" s="544" t="str">
        <f>IF(VLOOKUP($E$59,[1]QUART!$A$2:$FA$315, 87, FALSE)="",":",VLOOKUP($E$59,[1]QUART!$A$2:$FA$315, 87, FALSE))</f>
        <v>:</v>
      </c>
      <c r="CK59" s="544" t="str">
        <f>IF(VLOOKUP($E$59,[1]QUART!$A$2:$FA$315, 88, FALSE)="",":",VLOOKUP($E$59,[1]QUART!$A$2:$FA$315, 88, FALSE))</f>
        <v>:</v>
      </c>
      <c r="CL59" s="544" t="str">
        <f>IF(VLOOKUP($E$59,[1]QUART!$A$2:$FA$315, 89, FALSE)="",":",VLOOKUP($E$59,[1]QUART!$A$2:$FA$315, 89, FALSE))</f>
        <v>:</v>
      </c>
      <c r="CM59" s="544" t="str">
        <f>IF(VLOOKUP($E$59,[1]QUART!$A$2:$FA$315, 90, FALSE)="",":",VLOOKUP($E$59,[1]QUART!$A$2:$FA$315, 90, FALSE))</f>
        <v>:</v>
      </c>
      <c r="CN59" s="544" t="str">
        <f>IF(VLOOKUP($E$59,[1]QUART!$A$2:$FA$315, 91, FALSE)="",":",VLOOKUP($E$59,[1]QUART!$A$2:$FA$315, 91, FALSE))</f>
        <v>:</v>
      </c>
      <c r="CO59" s="544" t="str">
        <f>IF(VLOOKUP($E$59,[1]QUART!$A$2:$FA$315, 92, FALSE)="",":",VLOOKUP($E$59,[1]QUART!$A$2:$FA$315, 92, FALSE))</f>
        <v>:</v>
      </c>
      <c r="CP59" s="544" t="str">
        <f>IF(VLOOKUP($E$59,[1]QUART!$A$2:$FA$315, 93, FALSE)="",":",VLOOKUP($E$59,[1]QUART!$A$2:$FA$315, 93, FALSE))</f>
        <v>:</v>
      </c>
      <c r="CQ59" s="544" t="str">
        <f>IF(VLOOKUP($E$59,[1]QUART!$A$2:$FA$315, 94, FALSE)="",":",VLOOKUP($E$59,[1]QUART!$A$2:$FA$315, 94, FALSE))</f>
        <v>:</v>
      </c>
      <c r="CR59" s="544" t="str">
        <f>IF(VLOOKUP($E$59,[1]QUART!$A$2:$FA$315, 95, FALSE)="",":",VLOOKUP($E$59,[1]QUART!$A$2:$FA$315, 95, FALSE))</f>
        <v>:</v>
      </c>
      <c r="CS59" s="544" t="str">
        <f>IF(VLOOKUP($E$59,[1]QUART!$A$2:$FA$315, 96, FALSE)="",":",VLOOKUP($E$59,[1]QUART!$A$2:$FA$315, 96, FALSE))</f>
        <v>:</v>
      </c>
      <c r="CT59" s="544" t="str">
        <f>IF(VLOOKUP($E$59,[1]QUART!$A$2:$FA$315, 97, FALSE)="",":",VLOOKUP($E$59,[1]QUART!$A$2:$FA$315, 97, FALSE))</f>
        <v>:</v>
      </c>
      <c r="CU59" s="544" t="str">
        <f>IF(VLOOKUP($E$59,[1]QUART!$A$2:$FA$315, 98, FALSE)="",":",VLOOKUP($E$59,[1]QUART!$A$2:$FA$315, 98, FALSE))</f>
        <v>:</v>
      </c>
      <c r="CV59" s="544" t="str">
        <f>IF(VLOOKUP($E$59,[1]QUART!$A$2:$FA$315, 99, FALSE)="",":",VLOOKUP($E$59,[1]QUART!$A$2:$FA$315, 99, FALSE))</f>
        <v>:</v>
      </c>
      <c r="CW59" s="544" t="str">
        <f>IF(VLOOKUP($E$59,[1]QUART!$A$2:$FA$315, 100, FALSE)="",":",VLOOKUP($E$59,[1]QUART!$A$2:$FA$315, 100, FALSE))</f>
        <v>:</v>
      </c>
      <c r="CX59" s="544" t="str">
        <f>IF(VLOOKUP($E$59,[1]QUART!$A$2:$FA$315, 101, FALSE)="",":",VLOOKUP($E$59,[1]QUART!$A$2:$FA$315, 101, FALSE))</f>
        <v>:</v>
      </c>
      <c r="CY59" s="544" t="str">
        <f>IF(VLOOKUP($E$59,[1]QUART!$A$2:$FA$315, 102, FALSE)="",":",VLOOKUP($E$59,[1]QUART!$A$2:$FA$315, 102, FALSE))</f>
        <v>:</v>
      </c>
      <c r="CZ59" s="544" t="str">
        <f>IF(VLOOKUP($E$59,[1]QUART!$A$2:$FA$315, 103, FALSE)="",":",VLOOKUP($E$59,[1]QUART!$A$2:$FA$315, 103, FALSE))</f>
        <v>:</v>
      </c>
      <c r="DA59" s="544" t="str">
        <f>IF(VLOOKUP($E$59,[1]QUART!$A$2:$FA$315, 104, FALSE)="",":",VLOOKUP($E$59,[1]QUART!$A$2:$FA$315, 104, FALSE))</f>
        <v>:</v>
      </c>
      <c r="DB59" s="544" t="str">
        <f>IF(VLOOKUP($E$59,[1]QUART!$A$2:$FA$315, 105, FALSE)="",":",VLOOKUP($E$59,[1]QUART!$A$2:$FA$315, 105, FALSE))</f>
        <v>:</v>
      </c>
      <c r="DC59" s="544" t="str">
        <f>IF(VLOOKUP($E$59,[1]QUART!$A$2:$FA$315, 106, FALSE)="",":",VLOOKUP($E$59,[1]QUART!$A$2:$FA$315, 106, FALSE))</f>
        <v>:</v>
      </c>
    </row>
    <row r="60" spans="1:107">
      <c r="A60" s="1954"/>
      <c r="B60" s="534"/>
      <c r="C60" s="535"/>
      <c r="D60" s="12" t="s">
        <v>1841</v>
      </c>
      <c r="E60" s="13">
        <v>127</v>
      </c>
      <c r="F60" s="14" t="str">
        <f>VLOOKUP($E$60,[1]QUART!$A$2:$FA$315, 3, FALSE)</f>
        <v>127  Domestic demand including change in inventories and net acquisition of valuables</v>
      </c>
      <c r="G60" s="544" t="str">
        <f>IF(VLOOKUP($E$60,[1]QUART!$A$2:$FA$315, 6, FALSE)="",":",VLOOKUP($E$60,[1]QUART!$A$2:$FA$315, 6, FALSE))</f>
        <v>:</v>
      </c>
      <c r="H60" s="544" t="str">
        <f>IF(VLOOKUP($E$60,[1]QUART!$A$2:$FA$315, 7, FALSE)="",":",VLOOKUP($E$60,[1]QUART!$A$2:$FA$315, 7, FALSE))</f>
        <v>:</v>
      </c>
      <c r="I60" s="544" t="str">
        <f>IF(VLOOKUP($E$60,[1]QUART!$A$2:$FA$315, 8, FALSE)="",":",VLOOKUP($E$60,[1]QUART!$A$2:$FA$315, 8, FALSE))</f>
        <v>:</v>
      </c>
      <c r="J60" s="544" t="str">
        <f>IF(VLOOKUP($E$60,[1]QUART!$A$2:$FA$315, 9, FALSE)="",":",VLOOKUP($E$60,[1]QUART!$A$2:$FA$315, 9, FALSE))</f>
        <v>:</v>
      </c>
      <c r="K60" s="544" t="str">
        <f>IF(VLOOKUP($E$60,[1]QUART!$A$2:$FA$315, 10, FALSE)="",":",VLOOKUP($E$60,[1]QUART!$A$2:$FA$315, 10, FALSE))</f>
        <v>:</v>
      </c>
      <c r="L60" s="544" t="str">
        <f>IF(VLOOKUP($E$60,[1]QUART!$A$2:$FA$315, 11, FALSE)="",":",VLOOKUP($E$60,[1]QUART!$A$2:$FA$315, 11, FALSE))</f>
        <v>:</v>
      </c>
      <c r="M60" s="544" t="str">
        <f>IF(VLOOKUP($E$60,[1]QUART!$A$2:$FA$315, 12, FALSE)="",":",VLOOKUP($E$60,[1]QUART!$A$2:$FA$315, 12, FALSE))</f>
        <v>:</v>
      </c>
      <c r="N60" s="544" t="str">
        <f>IF(VLOOKUP($E$60,[1]QUART!$A$2:$FA$315, 13, FALSE)="",":",VLOOKUP($E$60,[1]QUART!$A$2:$FA$315, 13, FALSE))</f>
        <v>:</v>
      </c>
      <c r="O60" s="544" t="str">
        <f>IF(VLOOKUP($E$60,[1]QUART!$A$2:$FA$315, 14, FALSE)="",":",VLOOKUP($E$60,[1]QUART!$A$2:$FA$315, 14, FALSE))</f>
        <v>:</v>
      </c>
      <c r="P60" s="544" t="str">
        <f>IF(VLOOKUP($E$60,[1]QUART!$A$2:$FA$315, 15, FALSE)="",":",VLOOKUP($E$60,[1]QUART!$A$2:$FA$315, 15, FALSE))</f>
        <v>:</v>
      </c>
      <c r="Q60" s="544" t="str">
        <f>IF(VLOOKUP($E$60,[1]QUART!$A$2:$FA$315, 16, FALSE)="",":",VLOOKUP($E$60,[1]QUART!$A$2:$FA$315, 16, FALSE))</f>
        <v>:</v>
      </c>
      <c r="R60" s="544" t="str">
        <f>IF(VLOOKUP($E$60,[1]QUART!$A$2:$FA$315, 17, FALSE)="",":",VLOOKUP($E$60,[1]QUART!$A$2:$FA$315, 17, FALSE))</f>
        <v>:</v>
      </c>
      <c r="S60" s="544" t="str">
        <f>IF(VLOOKUP($E$60,[1]QUART!$A$2:$FA$315, 18, FALSE)="",":",VLOOKUP($E$60,[1]QUART!$A$2:$FA$315, 18, FALSE))</f>
        <v>:</v>
      </c>
      <c r="T60" s="544" t="str">
        <f>IF(VLOOKUP($E$60,[1]QUART!$A$2:$FA$315, 19, FALSE)="",":",VLOOKUP($E$60,[1]QUART!$A$2:$FA$315, 19, FALSE))</f>
        <v>:</v>
      </c>
      <c r="U60" s="544" t="str">
        <f>IF(VLOOKUP($E$60,[1]QUART!$A$2:$FA$315, 20, FALSE)="",":",VLOOKUP($E$60,[1]QUART!$A$2:$FA$315, 20, FALSE))</f>
        <v>:</v>
      </c>
      <c r="V60" s="544" t="str">
        <f>IF(VLOOKUP($E$60,[1]QUART!$A$2:$FA$315, 21, FALSE)="",":",VLOOKUP($E$60,[1]QUART!$A$2:$FA$315, 21, FALSE))</f>
        <v>:</v>
      </c>
      <c r="W60" s="544" t="str">
        <f>IF(VLOOKUP($E$60,[1]QUART!$A$2:$FA$315, 22, FALSE)="",":",VLOOKUP($E$60,[1]QUART!$A$2:$FA$315, 22, FALSE))</f>
        <v>:</v>
      </c>
      <c r="X60" s="544" t="str">
        <f>IF(VLOOKUP($E$60,[1]QUART!$A$2:$FA$315, 23, FALSE)="",":",VLOOKUP($E$60,[1]QUART!$A$2:$FA$315, 23, FALSE))</f>
        <v>:</v>
      </c>
      <c r="Y60" s="544" t="str">
        <f>IF(VLOOKUP($E$60,[1]QUART!$A$2:$FA$315, 24, FALSE)="",":",VLOOKUP($E$60,[1]QUART!$A$2:$FA$315, 24, FALSE))</f>
        <v>:</v>
      </c>
      <c r="Z60" s="544" t="str">
        <f>IF(VLOOKUP($E$60,[1]QUART!$A$2:$FA$315, 25, FALSE)="",":",VLOOKUP($E$60,[1]QUART!$A$2:$FA$315, 25, FALSE))</f>
        <v>:</v>
      </c>
      <c r="AA60" s="544" t="str">
        <f>IF(VLOOKUP($E$60,[1]QUART!$A$2:$FA$315, 26, FALSE)="",":",VLOOKUP($E$60,[1]QUART!$A$2:$FA$315, 26, FALSE))</f>
        <v>:</v>
      </c>
      <c r="AB60" s="544" t="str">
        <f>IF(VLOOKUP($E$60,[1]QUART!$A$2:$FA$315, 27, FALSE)="",":",VLOOKUP($E$60,[1]QUART!$A$2:$FA$315, 27, FALSE))</f>
        <v>:</v>
      </c>
      <c r="AC60" s="544" t="str">
        <f>IF(VLOOKUP($E$60,[1]QUART!$A$2:$FA$315, 28, FALSE)="",":",VLOOKUP($E$60,[1]QUART!$A$2:$FA$315, 28, FALSE))</f>
        <v>:</v>
      </c>
      <c r="AD60" s="544" t="str">
        <f>IF(VLOOKUP($E$60,[1]QUART!$A$2:$FA$315, 29, FALSE)="",":",VLOOKUP($E$60,[1]QUART!$A$2:$FA$315, 29, FALSE))</f>
        <v>:</v>
      </c>
      <c r="AE60" s="544" t="str">
        <f>IF(VLOOKUP($E$60,[1]QUART!$A$2:$FA$315, 30, FALSE)="",":",VLOOKUP($E$60,[1]QUART!$A$2:$FA$315, 30, FALSE))</f>
        <v>:</v>
      </c>
      <c r="AF60" s="544" t="str">
        <f>IF(VLOOKUP($E$60,[1]QUART!$A$2:$FA$315, 31, FALSE)="",":",VLOOKUP($E$60,[1]QUART!$A$2:$FA$315, 31, FALSE))</f>
        <v>:</v>
      </c>
      <c r="AG60" s="544" t="str">
        <f>IF(VLOOKUP($E$60,[1]QUART!$A$2:$FA$315, 32, FALSE)="",":",VLOOKUP($E$60,[1]QUART!$A$2:$FA$315, 32, FALSE))</f>
        <v>:</v>
      </c>
      <c r="AH60" s="544" t="str">
        <f>IF(VLOOKUP($E$60,[1]QUART!$A$2:$FA$315, 33, FALSE)="",":",VLOOKUP($E$60,[1]QUART!$A$2:$FA$315, 33, FALSE))</f>
        <v>:</v>
      </c>
      <c r="AI60" s="544" t="str">
        <f>IF(VLOOKUP($E$60,[1]QUART!$A$2:$FA$315, 34, FALSE)="",":",VLOOKUP($E$60,[1]QUART!$A$2:$FA$315, 34, FALSE))</f>
        <v>:</v>
      </c>
      <c r="AJ60" s="544" t="str">
        <f>IF(VLOOKUP($E$60,[1]QUART!$A$2:$FA$315, 35, FALSE)="",":",VLOOKUP($E$60,[1]QUART!$A$2:$FA$315, 35, FALSE))</f>
        <v>:</v>
      </c>
      <c r="AK60" s="544" t="str">
        <f>IF(VLOOKUP($E$60,[1]QUART!$A$2:$FA$315, 36, FALSE)="",":",VLOOKUP($E$60,[1]QUART!$A$2:$FA$315, 36, FALSE))</f>
        <v>:</v>
      </c>
      <c r="AL60" s="544" t="str">
        <f>IF(VLOOKUP($E$60,[1]QUART!$A$2:$FA$315, 37, FALSE)="",":",VLOOKUP($E$60,[1]QUART!$A$2:$FA$315, 37, FALSE))</f>
        <v>:</v>
      </c>
      <c r="AM60" s="544" t="str">
        <f>IF(VLOOKUP($E$60,[1]QUART!$A$2:$FA$315, 38, FALSE)="",":",VLOOKUP($E$60,[1]QUART!$A$2:$FA$315, 38, FALSE))</f>
        <v>:</v>
      </c>
      <c r="AN60" s="544" t="str">
        <f>IF(VLOOKUP($E$60,[1]QUART!$A$2:$FA$315, 39, FALSE)="",":",VLOOKUP($E$60,[1]QUART!$A$2:$FA$315, 39, FALSE))</f>
        <v>:</v>
      </c>
      <c r="AO60" s="544" t="str">
        <f>IF(VLOOKUP($E$60,[1]QUART!$A$2:$FA$315, 40, FALSE)="",":",VLOOKUP($E$60,[1]QUART!$A$2:$FA$315, 40, FALSE))</f>
        <v>:</v>
      </c>
      <c r="AP60" s="544" t="str">
        <f>IF(VLOOKUP($E$60,[1]QUART!$A$2:$FA$315, 41, FALSE)="",":",VLOOKUP($E$60,[1]QUART!$A$2:$FA$315, 41, FALSE))</f>
        <v>:</v>
      </c>
      <c r="AQ60" s="544" t="str">
        <f>IF(VLOOKUP($E$60,[1]QUART!$A$2:$FA$315, 42, FALSE)="",":",VLOOKUP($E$60,[1]QUART!$A$2:$FA$315, 42, FALSE))</f>
        <v>:</v>
      </c>
      <c r="AR60" s="544" t="str">
        <f>IF(VLOOKUP($E$60,[1]QUART!$A$2:$FA$315, 43, FALSE)="",":",VLOOKUP($E$60,[1]QUART!$A$2:$FA$315, 43, FALSE))</f>
        <v>:</v>
      </c>
      <c r="AS60" s="544" t="str">
        <f>IF(VLOOKUP($E$60,[1]QUART!$A$2:$FA$315, 44, FALSE)="",":",VLOOKUP($E$60,[1]QUART!$A$2:$FA$315, 44, FALSE))</f>
        <v>:</v>
      </c>
      <c r="AT60" s="544" t="str">
        <f>IF(VLOOKUP($E$60,[1]QUART!$A$2:$FA$315, 45, FALSE)="",":",VLOOKUP($E$60,[1]QUART!$A$2:$FA$315, 45, FALSE))</f>
        <v>:</v>
      </c>
      <c r="AU60" s="544" t="str">
        <f>IF(VLOOKUP($E$60,[1]QUART!$A$2:$FA$315, 46, FALSE)="",":",VLOOKUP($E$60,[1]QUART!$A$2:$FA$315, 46, FALSE))</f>
        <v>:</v>
      </c>
      <c r="AV60" s="544" t="str">
        <f>IF(VLOOKUP($E$60,[1]QUART!$A$2:$FA$315, 47, FALSE)="",":",VLOOKUP($E$60,[1]QUART!$A$2:$FA$315, 47, FALSE))</f>
        <v>:</v>
      </c>
      <c r="AW60" s="544" t="str">
        <f>IF(VLOOKUP($E$60,[1]QUART!$A$2:$FA$315, 48, FALSE)="",":",VLOOKUP($E$60,[1]QUART!$A$2:$FA$315, 48, FALSE))</f>
        <v>:</v>
      </c>
      <c r="AX60" s="544" t="str">
        <f>IF(VLOOKUP($E$60,[1]QUART!$A$2:$FA$315, 49, FALSE)="",":",VLOOKUP($E$60,[1]QUART!$A$2:$FA$315, 49, FALSE))</f>
        <v>:</v>
      </c>
      <c r="AY60" s="544" t="str">
        <f>IF(VLOOKUP($E$60,[1]QUART!$A$2:$FA$315, 50, FALSE)="",":",VLOOKUP($E$60,[1]QUART!$A$2:$FA$315, 50, FALSE))</f>
        <v>:</v>
      </c>
      <c r="AZ60" s="544" t="str">
        <f>IF(VLOOKUP($E$60,[1]QUART!$A$2:$FA$315, 51, FALSE)="",":",VLOOKUP($E$60,[1]QUART!$A$2:$FA$315, 51, FALSE))</f>
        <v>:</v>
      </c>
      <c r="BA60" s="544" t="str">
        <f>IF(VLOOKUP($E$60,[1]QUART!$A$2:$FA$315, 52, FALSE)="",":",VLOOKUP($E$60,[1]QUART!$A$2:$FA$315, 52, FALSE))</f>
        <v>:</v>
      </c>
      <c r="BB60" s="544" t="str">
        <f>IF(VLOOKUP($E$60,[1]QUART!$A$2:$FA$315, 53, FALSE)="",":",VLOOKUP($E$60,[1]QUART!$A$2:$FA$315, 53, FALSE))</f>
        <v>:</v>
      </c>
      <c r="BC60" s="544" t="str">
        <f>IF(VLOOKUP($E$60,[1]QUART!$A$2:$FA$315, 54, FALSE)="",":",VLOOKUP($E$60,[1]QUART!$A$2:$FA$315, 54, FALSE))</f>
        <v>:</v>
      </c>
      <c r="BD60" s="544" t="str">
        <f>IF(VLOOKUP($E$60,[1]QUART!$A$2:$FA$315, 55, FALSE)="",":",VLOOKUP($E$60,[1]QUART!$A$2:$FA$315, 55, FALSE))</f>
        <v>:</v>
      </c>
      <c r="BE60" s="544" t="str">
        <f>IF(VLOOKUP($E$60,[1]QUART!$A$2:$FA$315, 56, FALSE)="",":",VLOOKUP($E$60,[1]QUART!$A$2:$FA$315, 56, FALSE))</f>
        <v>:</v>
      </c>
      <c r="BF60" s="544" t="str">
        <f>IF(VLOOKUP($E$60,[1]QUART!$A$2:$FA$315, 57, FALSE)="",":",VLOOKUP($E$60,[1]QUART!$A$2:$FA$315, 57, FALSE))</f>
        <v>:</v>
      </c>
      <c r="BG60" s="544" t="str">
        <f>IF(VLOOKUP($E$60,[1]QUART!$A$2:$FA$315, 58, FALSE)="",":",VLOOKUP($E$60,[1]QUART!$A$2:$FA$315, 58, FALSE))</f>
        <v>:</v>
      </c>
      <c r="BH60" s="544" t="str">
        <f>IF(VLOOKUP($E$60,[1]QUART!$A$2:$FA$315, 59, FALSE)="",":",VLOOKUP($E$60,[1]QUART!$A$2:$FA$315, 59, FALSE))</f>
        <v>:</v>
      </c>
      <c r="BI60" s="544" t="str">
        <f>IF(VLOOKUP($E$60,[1]QUART!$A$2:$FA$315, 60, FALSE)="",":",VLOOKUP($E$60,[1]QUART!$A$2:$FA$315, 60, FALSE))</f>
        <v>:</v>
      </c>
      <c r="BJ60" s="544" t="str">
        <f>IF(VLOOKUP($E$60,[1]QUART!$A$2:$FA$315, 61, FALSE)="",":",VLOOKUP($E$60,[1]QUART!$A$2:$FA$315, 61, FALSE))</f>
        <v>:</v>
      </c>
      <c r="BK60" s="544" t="str">
        <f>IF(VLOOKUP($E$60,[1]QUART!$A$2:$FA$315, 62, FALSE)="",":",VLOOKUP($E$60,[1]QUART!$A$2:$FA$315, 62, FALSE))</f>
        <v>:</v>
      </c>
      <c r="BL60" s="544" t="str">
        <f>IF(VLOOKUP($E$60,[1]QUART!$A$2:$FA$315, 63, FALSE)="",":",VLOOKUP($E$60,[1]QUART!$A$2:$FA$315, 63, FALSE))</f>
        <v>:</v>
      </c>
      <c r="BM60" s="544" t="str">
        <f>IF(VLOOKUP($E$60,[1]QUART!$A$2:$FA$315, 64, FALSE)="",":",VLOOKUP($E$60,[1]QUART!$A$2:$FA$315, 64, FALSE))</f>
        <v>:</v>
      </c>
      <c r="BN60" s="544" t="str">
        <f>IF(VLOOKUP($E$60,[1]QUART!$A$2:$FA$315, 65, FALSE)="",":",VLOOKUP($E$60,[1]QUART!$A$2:$FA$315, 65, FALSE))</f>
        <v>:</v>
      </c>
      <c r="BO60" s="544" t="str">
        <f>IF(VLOOKUP($E$60,[1]QUART!$A$2:$FA$315, 66, FALSE)="",":",VLOOKUP($E$60,[1]QUART!$A$2:$FA$315, 66, FALSE))</f>
        <v>:</v>
      </c>
      <c r="BP60" s="544" t="str">
        <f>IF(VLOOKUP($E$60,[1]QUART!$A$2:$FA$315, 67, FALSE)="",":",VLOOKUP($E$60,[1]QUART!$A$2:$FA$315, 67, FALSE))</f>
        <v>:</v>
      </c>
      <c r="BQ60" s="544" t="str">
        <f>IF(VLOOKUP($E$60,[1]QUART!$A$2:$FA$315, 68, FALSE)="",":",VLOOKUP($E$60,[1]QUART!$A$2:$FA$315, 68, FALSE))</f>
        <v>:</v>
      </c>
      <c r="BR60" s="544" t="str">
        <f>IF(VLOOKUP($E$60,[1]QUART!$A$2:$FA$315, 69, FALSE)="",":",VLOOKUP($E$60,[1]QUART!$A$2:$FA$315, 69, FALSE))</f>
        <v>:</v>
      </c>
      <c r="BS60" s="544" t="str">
        <f>IF(VLOOKUP($E$60,[1]QUART!$A$2:$FA$315, 70, FALSE)="",":",VLOOKUP($E$60,[1]QUART!$A$2:$FA$315, 70, FALSE))</f>
        <v>:</v>
      </c>
      <c r="BT60" s="544" t="str">
        <f>IF(VLOOKUP($E$60,[1]QUART!$A$2:$FA$315, 71, FALSE)="",":",VLOOKUP($E$60,[1]QUART!$A$2:$FA$315, 71, FALSE))</f>
        <v>:</v>
      </c>
      <c r="BU60" s="544" t="str">
        <f>IF(VLOOKUP($E$60,[1]QUART!$A$2:$FA$315, 72, FALSE)="",":",VLOOKUP($E$60,[1]QUART!$A$2:$FA$315, 72, FALSE))</f>
        <v>:</v>
      </c>
      <c r="BV60" s="544" t="str">
        <f>IF(VLOOKUP($E$60,[1]QUART!$A$2:$FA$315, 73, FALSE)="",":",VLOOKUP($E$60,[1]QUART!$A$2:$FA$315, 73, FALSE))</f>
        <v>:</v>
      </c>
      <c r="BW60" s="544" t="str">
        <f>IF(VLOOKUP($E$60,[1]QUART!$A$2:$FA$315, 74, FALSE)="",":",VLOOKUP($E$60,[1]QUART!$A$2:$FA$315, 74, FALSE))</f>
        <v>:</v>
      </c>
      <c r="BX60" s="544" t="str">
        <f>IF(VLOOKUP($E$60,[1]QUART!$A$2:$FA$315, 75, FALSE)="",":",VLOOKUP($E$60,[1]QUART!$A$2:$FA$315, 75, FALSE))</f>
        <v>:</v>
      </c>
      <c r="BY60" s="544" t="str">
        <f>IF(VLOOKUP($E$60,[1]QUART!$A$2:$FA$315, 76, FALSE)="",":",VLOOKUP($E$60,[1]QUART!$A$2:$FA$315, 76, FALSE))</f>
        <v>:</v>
      </c>
      <c r="BZ60" s="544" t="str">
        <f>IF(VLOOKUP($E$60,[1]QUART!$A$2:$FA$315, 77, FALSE)="",":",VLOOKUP($E$60,[1]QUART!$A$2:$FA$315, 77, FALSE))</f>
        <v>:</v>
      </c>
      <c r="CA60" s="544" t="str">
        <f>IF(VLOOKUP($E$60,[1]QUART!$A$2:$FA$315, 78, FALSE)="",":",VLOOKUP($E$60,[1]QUART!$A$2:$FA$315, 78, FALSE))</f>
        <v>:</v>
      </c>
      <c r="CB60" s="544" t="str">
        <f>IF(VLOOKUP($E$60,[1]QUART!$A$2:$FA$315, 79, FALSE)="",":",VLOOKUP($E$60,[1]QUART!$A$2:$FA$315, 79, FALSE))</f>
        <v>:</v>
      </c>
      <c r="CC60" s="544" t="str">
        <f>IF(VLOOKUP($E$60,[1]QUART!$A$2:$FA$315, 80, FALSE)="",":",VLOOKUP($E$60,[1]QUART!$A$2:$FA$315, 80, FALSE))</f>
        <v>:</v>
      </c>
      <c r="CD60" s="544" t="str">
        <f>IF(VLOOKUP($E$60,[1]QUART!$A$2:$FA$315, 81, FALSE)="",":",VLOOKUP($E$60,[1]QUART!$A$2:$FA$315, 81, FALSE))</f>
        <v>:</v>
      </c>
      <c r="CE60" s="544" t="str">
        <f>IF(VLOOKUP($E$60,[1]QUART!$A$2:$FA$315, 82, FALSE)="",":",VLOOKUP($E$60,[1]QUART!$A$2:$FA$315, 82, FALSE))</f>
        <v>:</v>
      </c>
      <c r="CF60" s="544" t="str">
        <f>IF(VLOOKUP($E$60,[1]QUART!$A$2:$FA$315, 83, FALSE)="",":",VLOOKUP($E$60,[1]QUART!$A$2:$FA$315, 83, FALSE))</f>
        <v>:</v>
      </c>
      <c r="CG60" s="544" t="str">
        <f>IF(VLOOKUP($E$60,[1]QUART!$A$2:$FA$315, 84, FALSE)="",":",VLOOKUP($E$60,[1]QUART!$A$2:$FA$315, 84, FALSE))</f>
        <v>:</v>
      </c>
      <c r="CH60" s="544" t="str">
        <f>IF(VLOOKUP($E$60,[1]QUART!$A$2:$FA$315, 85, FALSE)="",":",VLOOKUP($E$60,[1]QUART!$A$2:$FA$315, 85, FALSE))</f>
        <v>:</v>
      </c>
      <c r="CI60" s="544" t="str">
        <f>IF(VLOOKUP($E$60,[1]QUART!$A$2:$FA$315, 86, FALSE)="",":",VLOOKUP($E$60,[1]QUART!$A$2:$FA$315, 86, FALSE))</f>
        <v>:</v>
      </c>
      <c r="CJ60" s="544" t="str">
        <f>IF(VLOOKUP($E$60,[1]QUART!$A$2:$FA$315, 87, FALSE)="",":",VLOOKUP($E$60,[1]QUART!$A$2:$FA$315, 87, FALSE))</f>
        <v>:</v>
      </c>
      <c r="CK60" s="544" t="str">
        <f>IF(VLOOKUP($E$60,[1]QUART!$A$2:$FA$315, 88, FALSE)="",":",VLOOKUP($E$60,[1]QUART!$A$2:$FA$315, 88, FALSE))</f>
        <v>:</v>
      </c>
      <c r="CL60" s="544" t="str">
        <f>IF(VLOOKUP($E$60,[1]QUART!$A$2:$FA$315, 89, FALSE)="",":",VLOOKUP($E$60,[1]QUART!$A$2:$FA$315, 89, FALSE))</f>
        <v>:</v>
      </c>
      <c r="CM60" s="544" t="str">
        <f>IF(VLOOKUP($E$60,[1]QUART!$A$2:$FA$315, 90, FALSE)="",":",VLOOKUP($E$60,[1]QUART!$A$2:$FA$315, 90, FALSE))</f>
        <v>:</v>
      </c>
      <c r="CN60" s="544" t="str">
        <f>IF(VLOOKUP($E$60,[1]QUART!$A$2:$FA$315, 91, FALSE)="",":",VLOOKUP($E$60,[1]QUART!$A$2:$FA$315, 91, FALSE))</f>
        <v>:</v>
      </c>
      <c r="CO60" s="544" t="str">
        <f>IF(VLOOKUP($E$60,[1]QUART!$A$2:$FA$315, 92, FALSE)="",":",VLOOKUP($E$60,[1]QUART!$A$2:$FA$315, 92, FALSE))</f>
        <v>:</v>
      </c>
      <c r="CP60" s="544" t="str">
        <f>IF(VLOOKUP($E$60,[1]QUART!$A$2:$FA$315, 93, FALSE)="",":",VLOOKUP($E$60,[1]QUART!$A$2:$FA$315, 93, FALSE))</f>
        <v>:</v>
      </c>
      <c r="CQ60" s="544" t="str">
        <f>IF(VLOOKUP($E$60,[1]QUART!$A$2:$FA$315, 94, FALSE)="",":",VLOOKUP($E$60,[1]QUART!$A$2:$FA$315, 94, FALSE))</f>
        <v>:</v>
      </c>
      <c r="CR60" s="544" t="str">
        <f>IF(VLOOKUP($E$60,[1]QUART!$A$2:$FA$315, 95, FALSE)="",":",VLOOKUP($E$60,[1]QUART!$A$2:$FA$315, 95, FALSE))</f>
        <v>:</v>
      </c>
      <c r="CS60" s="544" t="str">
        <f>IF(VLOOKUP($E$60,[1]QUART!$A$2:$FA$315, 96, FALSE)="",":",VLOOKUP($E$60,[1]QUART!$A$2:$FA$315, 96, FALSE))</f>
        <v>:</v>
      </c>
      <c r="CT60" s="544" t="str">
        <f>IF(VLOOKUP($E$60,[1]QUART!$A$2:$FA$315, 97, FALSE)="",":",VLOOKUP($E$60,[1]QUART!$A$2:$FA$315, 97, FALSE))</f>
        <v>:</v>
      </c>
      <c r="CU60" s="544" t="str">
        <f>IF(VLOOKUP($E$60,[1]QUART!$A$2:$FA$315, 98, FALSE)="",":",VLOOKUP($E$60,[1]QUART!$A$2:$FA$315, 98, FALSE))</f>
        <v>:</v>
      </c>
      <c r="CV60" s="544" t="str">
        <f>IF(VLOOKUP($E$60,[1]QUART!$A$2:$FA$315, 99, FALSE)="",":",VLOOKUP($E$60,[1]QUART!$A$2:$FA$315, 99, FALSE))</f>
        <v>:</v>
      </c>
      <c r="CW60" s="544" t="str">
        <f>IF(VLOOKUP($E$60,[1]QUART!$A$2:$FA$315, 100, FALSE)="",":",VLOOKUP($E$60,[1]QUART!$A$2:$FA$315, 100, FALSE))</f>
        <v>:</v>
      </c>
      <c r="CX60" s="544" t="str">
        <f>IF(VLOOKUP($E$60,[1]QUART!$A$2:$FA$315, 101, FALSE)="",":",VLOOKUP($E$60,[1]QUART!$A$2:$FA$315, 101, FALSE))</f>
        <v>:</v>
      </c>
      <c r="CY60" s="544" t="str">
        <f>IF(VLOOKUP($E$60,[1]QUART!$A$2:$FA$315, 102, FALSE)="",":",VLOOKUP($E$60,[1]QUART!$A$2:$FA$315, 102, FALSE))</f>
        <v>:</v>
      </c>
      <c r="CZ60" s="544" t="str">
        <f>IF(VLOOKUP($E$60,[1]QUART!$A$2:$FA$315, 103, FALSE)="",":",VLOOKUP($E$60,[1]QUART!$A$2:$FA$315, 103, FALSE))</f>
        <v>:</v>
      </c>
      <c r="DA60" s="544" t="str">
        <f>IF(VLOOKUP($E$60,[1]QUART!$A$2:$FA$315, 104, FALSE)="",":",VLOOKUP($E$60,[1]QUART!$A$2:$FA$315, 104, FALSE))</f>
        <v>:</v>
      </c>
      <c r="DB60" s="544" t="str">
        <f>IF(VLOOKUP($E$60,[1]QUART!$A$2:$FA$315, 105, FALSE)="",":",VLOOKUP($E$60,[1]QUART!$A$2:$FA$315, 105, FALSE))</f>
        <v>:</v>
      </c>
      <c r="DC60" s="544" t="str">
        <f>IF(VLOOKUP($E$60,[1]QUART!$A$2:$FA$315, 106, FALSE)="",":",VLOOKUP($E$60,[1]QUART!$A$2:$FA$315, 106, FALSE))</f>
        <v>:</v>
      </c>
    </row>
    <row r="61" spans="1:107">
      <c r="A61" s="1954"/>
      <c r="B61" s="534"/>
      <c r="C61" s="535"/>
      <c r="D61" s="12" t="s">
        <v>1841</v>
      </c>
      <c r="E61" s="13">
        <v>128</v>
      </c>
      <c r="F61" s="14" t="str">
        <f>VLOOKUP($E$61,[1]QUART!$A$2:$FA$315, 3, FALSE)</f>
        <v xml:space="preserve">128  Final demand                                                                    </v>
      </c>
      <c r="G61" s="544" t="str">
        <f>IF(VLOOKUP($E$61,[1]QUART!$A$2:$FA$315, 6, FALSE)="",":",VLOOKUP($E$61,[1]QUART!$A$2:$FA$315, 6, FALSE))</f>
        <v>:</v>
      </c>
      <c r="H61" s="544" t="str">
        <f>IF(VLOOKUP($E$61,[1]QUART!$A$2:$FA$315, 7, FALSE)="",":",VLOOKUP($E$61,[1]QUART!$A$2:$FA$315, 7, FALSE))</f>
        <v>:</v>
      </c>
      <c r="I61" s="544" t="str">
        <f>IF(VLOOKUP($E$61,[1]QUART!$A$2:$FA$315, 8, FALSE)="",":",VLOOKUP($E$61,[1]QUART!$A$2:$FA$315, 8, FALSE))</f>
        <v>:</v>
      </c>
      <c r="J61" s="544" t="str">
        <f>IF(VLOOKUP($E$61,[1]QUART!$A$2:$FA$315, 9, FALSE)="",":",VLOOKUP($E$61,[1]QUART!$A$2:$FA$315, 9, FALSE))</f>
        <v>:</v>
      </c>
      <c r="K61" s="544" t="str">
        <f>IF(VLOOKUP($E$61,[1]QUART!$A$2:$FA$315, 10, FALSE)="",":",VLOOKUP($E$61,[1]QUART!$A$2:$FA$315, 10, FALSE))</f>
        <v>:</v>
      </c>
      <c r="L61" s="544" t="str">
        <f>IF(VLOOKUP($E$61,[1]QUART!$A$2:$FA$315, 11, FALSE)="",":",VLOOKUP($E$61,[1]QUART!$A$2:$FA$315, 11, FALSE))</f>
        <v>:</v>
      </c>
      <c r="M61" s="544" t="str">
        <f>IF(VLOOKUP($E$61,[1]QUART!$A$2:$FA$315, 12, FALSE)="",":",VLOOKUP($E$61,[1]QUART!$A$2:$FA$315, 12, FALSE))</f>
        <v>:</v>
      </c>
      <c r="N61" s="544" t="str">
        <f>IF(VLOOKUP($E$61,[1]QUART!$A$2:$FA$315, 13, FALSE)="",":",VLOOKUP($E$61,[1]QUART!$A$2:$FA$315, 13, FALSE))</f>
        <v>:</v>
      </c>
      <c r="O61" s="544" t="str">
        <f>IF(VLOOKUP($E$61,[1]QUART!$A$2:$FA$315, 14, FALSE)="",":",VLOOKUP($E$61,[1]QUART!$A$2:$FA$315, 14, FALSE))</f>
        <v>:</v>
      </c>
      <c r="P61" s="544" t="str">
        <f>IF(VLOOKUP($E$61,[1]QUART!$A$2:$FA$315, 15, FALSE)="",":",VLOOKUP($E$61,[1]QUART!$A$2:$FA$315, 15, FALSE))</f>
        <v>:</v>
      </c>
      <c r="Q61" s="544" t="str">
        <f>IF(VLOOKUP($E$61,[1]QUART!$A$2:$FA$315, 16, FALSE)="",":",VLOOKUP($E$61,[1]QUART!$A$2:$FA$315, 16, FALSE))</f>
        <v>:</v>
      </c>
      <c r="R61" s="544" t="str">
        <f>IF(VLOOKUP($E$61,[1]QUART!$A$2:$FA$315, 17, FALSE)="",":",VLOOKUP($E$61,[1]QUART!$A$2:$FA$315, 17, FALSE))</f>
        <v>:</v>
      </c>
      <c r="S61" s="544" t="str">
        <f>IF(VLOOKUP($E$61,[1]QUART!$A$2:$FA$315, 18, FALSE)="",":",VLOOKUP($E$61,[1]QUART!$A$2:$FA$315, 18, FALSE))</f>
        <v>:</v>
      </c>
      <c r="T61" s="544" t="str">
        <f>IF(VLOOKUP($E$61,[1]QUART!$A$2:$FA$315, 19, FALSE)="",":",VLOOKUP($E$61,[1]QUART!$A$2:$FA$315, 19, FALSE))</f>
        <v>:</v>
      </c>
      <c r="U61" s="544" t="str">
        <f>IF(VLOOKUP($E$61,[1]QUART!$A$2:$FA$315, 20, FALSE)="",":",VLOOKUP($E$61,[1]QUART!$A$2:$FA$315, 20, FALSE))</f>
        <v>:</v>
      </c>
      <c r="V61" s="544" t="str">
        <f>IF(VLOOKUP($E$61,[1]QUART!$A$2:$FA$315, 21, FALSE)="",":",VLOOKUP($E$61,[1]QUART!$A$2:$FA$315, 21, FALSE))</f>
        <v>:</v>
      </c>
      <c r="W61" s="544" t="str">
        <f>IF(VLOOKUP($E$61,[1]QUART!$A$2:$FA$315, 22, FALSE)="",":",VLOOKUP($E$61,[1]QUART!$A$2:$FA$315, 22, FALSE))</f>
        <v>:</v>
      </c>
      <c r="X61" s="544" t="str">
        <f>IF(VLOOKUP($E$61,[1]QUART!$A$2:$FA$315, 23, FALSE)="",":",VLOOKUP($E$61,[1]QUART!$A$2:$FA$315, 23, FALSE))</f>
        <v>:</v>
      </c>
      <c r="Y61" s="544" t="str">
        <f>IF(VLOOKUP($E$61,[1]QUART!$A$2:$FA$315, 24, FALSE)="",":",VLOOKUP($E$61,[1]QUART!$A$2:$FA$315, 24, FALSE))</f>
        <v>:</v>
      </c>
      <c r="Z61" s="544" t="str">
        <f>IF(VLOOKUP($E$61,[1]QUART!$A$2:$FA$315, 25, FALSE)="",":",VLOOKUP($E$61,[1]QUART!$A$2:$FA$315, 25, FALSE))</f>
        <v>:</v>
      </c>
      <c r="AA61" s="544" t="str">
        <f>IF(VLOOKUP($E$61,[1]QUART!$A$2:$FA$315, 26, FALSE)="",":",VLOOKUP($E$61,[1]QUART!$A$2:$FA$315, 26, FALSE))</f>
        <v>:</v>
      </c>
      <c r="AB61" s="544" t="str">
        <f>IF(VLOOKUP($E$61,[1]QUART!$A$2:$FA$315, 27, FALSE)="",":",VLOOKUP($E$61,[1]QUART!$A$2:$FA$315, 27, FALSE))</f>
        <v>:</v>
      </c>
      <c r="AC61" s="544" t="str">
        <f>IF(VLOOKUP($E$61,[1]QUART!$A$2:$FA$315, 28, FALSE)="",":",VLOOKUP($E$61,[1]QUART!$A$2:$FA$315, 28, FALSE))</f>
        <v>:</v>
      </c>
      <c r="AD61" s="544" t="str">
        <f>IF(VLOOKUP($E$61,[1]QUART!$A$2:$FA$315, 29, FALSE)="",":",VLOOKUP($E$61,[1]QUART!$A$2:$FA$315, 29, FALSE))</f>
        <v>:</v>
      </c>
      <c r="AE61" s="544" t="str">
        <f>IF(VLOOKUP($E$61,[1]QUART!$A$2:$FA$315, 30, FALSE)="",":",VLOOKUP($E$61,[1]QUART!$A$2:$FA$315, 30, FALSE))</f>
        <v>:</v>
      </c>
      <c r="AF61" s="544" t="str">
        <f>IF(VLOOKUP($E$61,[1]QUART!$A$2:$FA$315, 31, FALSE)="",":",VLOOKUP($E$61,[1]QUART!$A$2:$FA$315, 31, FALSE))</f>
        <v>:</v>
      </c>
      <c r="AG61" s="544" t="str">
        <f>IF(VLOOKUP($E$61,[1]QUART!$A$2:$FA$315, 32, FALSE)="",":",VLOOKUP($E$61,[1]QUART!$A$2:$FA$315, 32, FALSE))</f>
        <v>:</v>
      </c>
      <c r="AH61" s="544" t="str">
        <f>IF(VLOOKUP($E$61,[1]QUART!$A$2:$FA$315, 33, FALSE)="",":",VLOOKUP($E$61,[1]QUART!$A$2:$FA$315, 33, FALSE))</f>
        <v>:</v>
      </c>
      <c r="AI61" s="544" t="str">
        <f>IF(VLOOKUP($E$61,[1]QUART!$A$2:$FA$315, 34, FALSE)="",":",VLOOKUP($E$61,[1]QUART!$A$2:$FA$315, 34, FALSE))</f>
        <v>:</v>
      </c>
      <c r="AJ61" s="544" t="str">
        <f>IF(VLOOKUP($E$61,[1]QUART!$A$2:$FA$315, 35, FALSE)="",":",VLOOKUP($E$61,[1]QUART!$A$2:$FA$315, 35, FALSE))</f>
        <v>:</v>
      </c>
      <c r="AK61" s="544" t="str">
        <f>IF(VLOOKUP($E$61,[1]QUART!$A$2:$FA$315, 36, FALSE)="",":",VLOOKUP($E$61,[1]QUART!$A$2:$FA$315, 36, FALSE))</f>
        <v>:</v>
      </c>
      <c r="AL61" s="544" t="str">
        <f>IF(VLOOKUP($E$61,[1]QUART!$A$2:$FA$315, 37, FALSE)="",":",VLOOKUP($E$61,[1]QUART!$A$2:$FA$315, 37, FALSE))</f>
        <v>:</v>
      </c>
      <c r="AM61" s="544" t="str">
        <f>IF(VLOOKUP($E$61,[1]QUART!$A$2:$FA$315, 38, FALSE)="",":",VLOOKUP($E$61,[1]QUART!$A$2:$FA$315, 38, FALSE))</f>
        <v>:</v>
      </c>
      <c r="AN61" s="544" t="str">
        <f>IF(VLOOKUP($E$61,[1]QUART!$A$2:$FA$315, 39, FALSE)="",":",VLOOKUP($E$61,[1]QUART!$A$2:$FA$315, 39, FALSE))</f>
        <v>:</v>
      </c>
      <c r="AO61" s="544" t="str">
        <f>IF(VLOOKUP($E$61,[1]QUART!$A$2:$FA$315, 40, FALSE)="",":",VLOOKUP($E$61,[1]QUART!$A$2:$FA$315, 40, FALSE))</f>
        <v>:</v>
      </c>
      <c r="AP61" s="544" t="str">
        <f>IF(VLOOKUP($E$61,[1]QUART!$A$2:$FA$315, 41, FALSE)="",":",VLOOKUP($E$61,[1]QUART!$A$2:$FA$315, 41, FALSE))</f>
        <v>:</v>
      </c>
      <c r="AQ61" s="544" t="str">
        <f>IF(VLOOKUP($E$61,[1]QUART!$A$2:$FA$315, 42, FALSE)="",":",VLOOKUP($E$61,[1]QUART!$A$2:$FA$315, 42, FALSE))</f>
        <v>:</v>
      </c>
      <c r="AR61" s="544" t="str">
        <f>IF(VLOOKUP($E$61,[1]QUART!$A$2:$FA$315, 43, FALSE)="",":",VLOOKUP($E$61,[1]QUART!$A$2:$FA$315, 43, FALSE))</f>
        <v>:</v>
      </c>
      <c r="AS61" s="544" t="str">
        <f>IF(VLOOKUP($E$61,[1]QUART!$A$2:$FA$315, 44, FALSE)="",":",VLOOKUP($E$61,[1]QUART!$A$2:$FA$315, 44, FALSE))</f>
        <v>:</v>
      </c>
      <c r="AT61" s="544" t="str">
        <f>IF(VLOOKUP($E$61,[1]QUART!$A$2:$FA$315, 45, FALSE)="",":",VLOOKUP($E$61,[1]QUART!$A$2:$FA$315, 45, FALSE))</f>
        <v>:</v>
      </c>
      <c r="AU61" s="544" t="str">
        <f>IF(VLOOKUP($E$61,[1]QUART!$A$2:$FA$315, 46, FALSE)="",":",VLOOKUP($E$61,[1]QUART!$A$2:$FA$315, 46, FALSE))</f>
        <v>:</v>
      </c>
      <c r="AV61" s="544" t="str">
        <f>IF(VLOOKUP($E$61,[1]QUART!$A$2:$FA$315, 47, FALSE)="",":",VLOOKUP($E$61,[1]QUART!$A$2:$FA$315, 47, FALSE))</f>
        <v>:</v>
      </c>
      <c r="AW61" s="544" t="str">
        <f>IF(VLOOKUP($E$61,[1]QUART!$A$2:$FA$315, 48, FALSE)="",":",VLOOKUP($E$61,[1]QUART!$A$2:$FA$315, 48, FALSE))</f>
        <v>:</v>
      </c>
      <c r="AX61" s="544" t="str">
        <f>IF(VLOOKUP($E$61,[1]QUART!$A$2:$FA$315, 49, FALSE)="",":",VLOOKUP($E$61,[1]QUART!$A$2:$FA$315, 49, FALSE))</f>
        <v>:</v>
      </c>
      <c r="AY61" s="544" t="str">
        <f>IF(VLOOKUP($E$61,[1]QUART!$A$2:$FA$315, 50, FALSE)="",":",VLOOKUP($E$61,[1]QUART!$A$2:$FA$315, 50, FALSE))</f>
        <v>:</v>
      </c>
      <c r="AZ61" s="544" t="str">
        <f>IF(VLOOKUP($E$61,[1]QUART!$A$2:$FA$315, 51, FALSE)="",":",VLOOKUP($E$61,[1]QUART!$A$2:$FA$315, 51, FALSE))</f>
        <v>:</v>
      </c>
      <c r="BA61" s="544" t="str">
        <f>IF(VLOOKUP($E$61,[1]QUART!$A$2:$FA$315, 52, FALSE)="",":",VLOOKUP($E$61,[1]QUART!$A$2:$FA$315, 52, FALSE))</f>
        <v>:</v>
      </c>
      <c r="BB61" s="544" t="str">
        <f>IF(VLOOKUP($E$61,[1]QUART!$A$2:$FA$315, 53, FALSE)="",":",VLOOKUP($E$61,[1]QUART!$A$2:$FA$315, 53, FALSE))</f>
        <v>:</v>
      </c>
      <c r="BC61" s="544" t="str">
        <f>IF(VLOOKUP($E$61,[1]QUART!$A$2:$FA$315, 54, FALSE)="",":",VLOOKUP($E$61,[1]QUART!$A$2:$FA$315, 54, FALSE))</f>
        <v>:</v>
      </c>
      <c r="BD61" s="544" t="str">
        <f>IF(VLOOKUP($E$61,[1]QUART!$A$2:$FA$315, 55, FALSE)="",":",VLOOKUP($E$61,[1]QUART!$A$2:$FA$315, 55, FALSE))</f>
        <v>:</v>
      </c>
      <c r="BE61" s="544" t="str">
        <f>IF(VLOOKUP($E$61,[1]QUART!$A$2:$FA$315, 56, FALSE)="",":",VLOOKUP($E$61,[1]QUART!$A$2:$FA$315, 56, FALSE))</f>
        <v>:</v>
      </c>
      <c r="BF61" s="544" t="str">
        <f>IF(VLOOKUP($E$61,[1]QUART!$A$2:$FA$315, 57, FALSE)="",":",VLOOKUP($E$61,[1]QUART!$A$2:$FA$315, 57, FALSE))</f>
        <v>:</v>
      </c>
      <c r="BG61" s="544" t="str">
        <f>IF(VLOOKUP($E$61,[1]QUART!$A$2:$FA$315, 58, FALSE)="",":",VLOOKUP($E$61,[1]QUART!$A$2:$FA$315, 58, FALSE))</f>
        <v>:</v>
      </c>
      <c r="BH61" s="544" t="str">
        <f>IF(VLOOKUP($E$61,[1]QUART!$A$2:$FA$315, 59, FALSE)="",":",VLOOKUP($E$61,[1]QUART!$A$2:$FA$315, 59, FALSE))</f>
        <v>:</v>
      </c>
      <c r="BI61" s="544" t="str">
        <f>IF(VLOOKUP($E$61,[1]QUART!$A$2:$FA$315, 60, FALSE)="",":",VLOOKUP($E$61,[1]QUART!$A$2:$FA$315, 60, FALSE))</f>
        <v>:</v>
      </c>
      <c r="BJ61" s="544" t="str">
        <f>IF(VLOOKUP($E$61,[1]QUART!$A$2:$FA$315, 61, FALSE)="",":",VLOOKUP($E$61,[1]QUART!$A$2:$FA$315, 61, FALSE))</f>
        <v>:</v>
      </c>
      <c r="BK61" s="544" t="str">
        <f>IF(VLOOKUP($E$61,[1]QUART!$A$2:$FA$315, 62, FALSE)="",":",VLOOKUP($E$61,[1]QUART!$A$2:$FA$315, 62, FALSE))</f>
        <v>:</v>
      </c>
      <c r="BL61" s="544" t="str">
        <f>IF(VLOOKUP($E$61,[1]QUART!$A$2:$FA$315, 63, FALSE)="",":",VLOOKUP($E$61,[1]QUART!$A$2:$FA$315, 63, FALSE))</f>
        <v>:</v>
      </c>
      <c r="BM61" s="544" t="str">
        <f>IF(VLOOKUP($E$61,[1]QUART!$A$2:$FA$315, 64, FALSE)="",":",VLOOKUP($E$61,[1]QUART!$A$2:$FA$315, 64, FALSE))</f>
        <v>:</v>
      </c>
      <c r="BN61" s="544" t="str">
        <f>IF(VLOOKUP($E$61,[1]QUART!$A$2:$FA$315, 65, FALSE)="",":",VLOOKUP($E$61,[1]QUART!$A$2:$FA$315, 65, FALSE))</f>
        <v>:</v>
      </c>
      <c r="BO61" s="544" t="str">
        <f>IF(VLOOKUP($E$61,[1]QUART!$A$2:$FA$315, 66, FALSE)="",":",VLOOKUP($E$61,[1]QUART!$A$2:$FA$315, 66, FALSE))</f>
        <v>:</v>
      </c>
      <c r="BP61" s="544" t="str">
        <f>IF(VLOOKUP($E$61,[1]QUART!$A$2:$FA$315, 67, FALSE)="",":",VLOOKUP($E$61,[1]QUART!$A$2:$FA$315, 67, FALSE))</f>
        <v>:</v>
      </c>
      <c r="BQ61" s="544" t="str">
        <f>IF(VLOOKUP($E$61,[1]QUART!$A$2:$FA$315, 68, FALSE)="",":",VLOOKUP($E$61,[1]QUART!$A$2:$FA$315, 68, FALSE))</f>
        <v>:</v>
      </c>
      <c r="BR61" s="544" t="str">
        <f>IF(VLOOKUP($E$61,[1]QUART!$A$2:$FA$315, 69, FALSE)="",":",VLOOKUP($E$61,[1]QUART!$A$2:$FA$315, 69, FALSE))</f>
        <v>:</v>
      </c>
      <c r="BS61" s="544" t="str">
        <f>IF(VLOOKUP($E$61,[1]QUART!$A$2:$FA$315, 70, FALSE)="",":",VLOOKUP($E$61,[1]QUART!$A$2:$FA$315, 70, FALSE))</f>
        <v>:</v>
      </c>
      <c r="BT61" s="544" t="str">
        <f>IF(VLOOKUP($E$61,[1]QUART!$A$2:$FA$315, 71, FALSE)="",":",VLOOKUP($E$61,[1]QUART!$A$2:$FA$315, 71, FALSE))</f>
        <v>:</v>
      </c>
      <c r="BU61" s="544" t="str">
        <f>IF(VLOOKUP($E$61,[1]QUART!$A$2:$FA$315, 72, FALSE)="",":",VLOOKUP($E$61,[1]QUART!$A$2:$FA$315, 72, FALSE))</f>
        <v>:</v>
      </c>
      <c r="BV61" s="544" t="str">
        <f>IF(VLOOKUP($E$61,[1]QUART!$A$2:$FA$315, 73, FALSE)="",":",VLOOKUP($E$61,[1]QUART!$A$2:$FA$315, 73, FALSE))</f>
        <v>:</v>
      </c>
      <c r="BW61" s="544" t="str">
        <f>IF(VLOOKUP($E$61,[1]QUART!$A$2:$FA$315, 74, FALSE)="",":",VLOOKUP($E$61,[1]QUART!$A$2:$FA$315, 74, FALSE))</f>
        <v>:</v>
      </c>
      <c r="BX61" s="544" t="str">
        <f>IF(VLOOKUP($E$61,[1]QUART!$A$2:$FA$315, 75, FALSE)="",":",VLOOKUP($E$61,[1]QUART!$A$2:$FA$315, 75, FALSE))</f>
        <v>:</v>
      </c>
      <c r="BY61" s="544" t="str">
        <f>IF(VLOOKUP($E$61,[1]QUART!$A$2:$FA$315, 76, FALSE)="",":",VLOOKUP($E$61,[1]QUART!$A$2:$FA$315, 76, FALSE))</f>
        <v>:</v>
      </c>
      <c r="BZ61" s="544" t="str">
        <f>IF(VLOOKUP($E$61,[1]QUART!$A$2:$FA$315, 77, FALSE)="",":",VLOOKUP($E$61,[1]QUART!$A$2:$FA$315, 77, FALSE))</f>
        <v>:</v>
      </c>
      <c r="CA61" s="544" t="str">
        <f>IF(VLOOKUP($E$61,[1]QUART!$A$2:$FA$315, 78, FALSE)="",":",VLOOKUP($E$61,[1]QUART!$A$2:$FA$315, 78, FALSE))</f>
        <v>:</v>
      </c>
      <c r="CB61" s="544" t="str">
        <f>IF(VLOOKUP($E$61,[1]QUART!$A$2:$FA$315, 79, FALSE)="",":",VLOOKUP($E$61,[1]QUART!$A$2:$FA$315, 79, FALSE))</f>
        <v>:</v>
      </c>
      <c r="CC61" s="544" t="str">
        <f>IF(VLOOKUP($E$61,[1]QUART!$A$2:$FA$315, 80, FALSE)="",":",VLOOKUP($E$61,[1]QUART!$A$2:$FA$315, 80, FALSE))</f>
        <v>:</v>
      </c>
      <c r="CD61" s="544" t="str">
        <f>IF(VLOOKUP($E$61,[1]QUART!$A$2:$FA$315, 81, FALSE)="",":",VLOOKUP($E$61,[1]QUART!$A$2:$FA$315, 81, FALSE))</f>
        <v>:</v>
      </c>
      <c r="CE61" s="544" t="str">
        <f>IF(VLOOKUP($E$61,[1]QUART!$A$2:$FA$315, 82, FALSE)="",":",VLOOKUP($E$61,[1]QUART!$A$2:$FA$315, 82, FALSE))</f>
        <v>:</v>
      </c>
      <c r="CF61" s="544" t="str">
        <f>IF(VLOOKUP($E$61,[1]QUART!$A$2:$FA$315, 83, FALSE)="",":",VLOOKUP($E$61,[1]QUART!$A$2:$FA$315, 83, FALSE))</f>
        <v>:</v>
      </c>
      <c r="CG61" s="544" t="str">
        <f>IF(VLOOKUP($E$61,[1]QUART!$A$2:$FA$315, 84, FALSE)="",":",VLOOKUP($E$61,[1]QUART!$A$2:$FA$315, 84, FALSE))</f>
        <v>:</v>
      </c>
      <c r="CH61" s="544" t="str">
        <f>IF(VLOOKUP($E$61,[1]QUART!$A$2:$FA$315, 85, FALSE)="",":",VLOOKUP($E$61,[1]QUART!$A$2:$FA$315, 85, FALSE))</f>
        <v>:</v>
      </c>
      <c r="CI61" s="544" t="str">
        <f>IF(VLOOKUP($E$61,[1]QUART!$A$2:$FA$315, 86, FALSE)="",":",VLOOKUP($E$61,[1]QUART!$A$2:$FA$315, 86, FALSE))</f>
        <v>:</v>
      </c>
      <c r="CJ61" s="544" t="str">
        <f>IF(VLOOKUP($E$61,[1]QUART!$A$2:$FA$315, 87, FALSE)="",":",VLOOKUP($E$61,[1]QUART!$A$2:$FA$315, 87, FALSE))</f>
        <v>:</v>
      </c>
      <c r="CK61" s="544" t="str">
        <f>IF(VLOOKUP($E$61,[1]QUART!$A$2:$FA$315, 88, FALSE)="",":",VLOOKUP($E$61,[1]QUART!$A$2:$FA$315, 88, FALSE))</f>
        <v>:</v>
      </c>
      <c r="CL61" s="544" t="str">
        <f>IF(VLOOKUP($E$61,[1]QUART!$A$2:$FA$315, 89, FALSE)="",":",VLOOKUP($E$61,[1]QUART!$A$2:$FA$315, 89, FALSE))</f>
        <v>:</v>
      </c>
      <c r="CM61" s="544" t="str">
        <f>IF(VLOOKUP($E$61,[1]QUART!$A$2:$FA$315, 90, FALSE)="",":",VLOOKUP($E$61,[1]QUART!$A$2:$FA$315, 90, FALSE))</f>
        <v>:</v>
      </c>
      <c r="CN61" s="544" t="str">
        <f>IF(VLOOKUP($E$61,[1]QUART!$A$2:$FA$315, 91, FALSE)="",":",VLOOKUP($E$61,[1]QUART!$A$2:$FA$315, 91, FALSE))</f>
        <v>:</v>
      </c>
      <c r="CO61" s="544" t="str">
        <f>IF(VLOOKUP($E$61,[1]QUART!$A$2:$FA$315, 92, FALSE)="",":",VLOOKUP($E$61,[1]QUART!$A$2:$FA$315, 92, FALSE))</f>
        <v>:</v>
      </c>
      <c r="CP61" s="544" t="str">
        <f>IF(VLOOKUP($E$61,[1]QUART!$A$2:$FA$315, 93, FALSE)="",":",VLOOKUP($E$61,[1]QUART!$A$2:$FA$315, 93, FALSE))</f>
        <v>:</v>
      </c>
      <c r="CQ61" s="544" t="str">
        <f>IF(VLOOKUP($E$61,[1]QUART!$A$2:$FA$315, 94, FALSE)="",":",VLOOKUP($E$61,[1]QUART!$A$2:$FA$315, 94, FALSE))</f>
        <v>:</v>
      </c>
      <c r="CR61" s="544" t="str">
        <f>IF(VLOOKUP($E$61,[1]QUART!$A$2:$FA$315, 95, FALSE)="",":",VLOOKUP($E$61,[1]QUART!$A$2:$FA$315, 95, FALSE))</f>
        <v>:</v>
      </c>
      <c r="CS61" s="544" t="str">
        <f>IF(VLOOKUP($E$61,[1]QUART!$A$2:$FA$315, 96, FALSE)="",":",VLOOKUP($E$61,[1]QUART!$A$2:$FA$315, 96, FALSE))</f>
        <v>:</v>
      </c>
      <c r="CT61" s="544" t="str">
        <f>IF(VLOOKUP($E$61,[1]QUART!$A$2:$FA$315, 97, FALSE)="",":",VLOOKUP($E$61,[1]QUART!$A$2:$FA$315, 97, FALSE))</f>
        <v>:</v>
      </c>
      <c r="CU61" s="544" t="str">
        <f>IF(VLOOKUP($E$61,[1]QUART!$A$2:$FA$315, 98, FALSE)="",":",VLOOKUP($E$61,[1]QUART!$A$2:$FA$315, 98, FALSE))</f>
        <v>:</v>
      </c>
      <c r="CV61" s="544" t="str">
        <f>IF(VLOOKUP($E$61,[1]QUART!$A$2:$FA$315, 99, FALSE)="",":",VLOOKUP($E$61,[1]QUART!$A$2:$FA$315, 99, FALSE))</f>
        <v>:</v>
      </c>
      <c r="CW61" s="544" t="str">
        <f>IF(VLOOKUP($E$61,[1]QUART!$A$2:$FA$315, 100, FALSE)="",":",VLOOKUP($E$61,[1]QUART!$A$2:$FA$315, 100, FALSE))</f>
        <v>:</v>
      </c>
      <c r="CX61" s="544" t="str">
        <f>IF(VLOOKUP($E$61,[1]QUART!$A$2:$FA$315, 101, FALSE)="",":",VLOOKUP($E$61,[1]QUART!$A$2:$FA$315, 101, FALSE))</f>
        <v>:</v>
      </c>
      <c r="CY61" s="544" t="str">
        <f>IF(VLOOKUP($E$61,[1]QUART!$A$2:$FA$315, 102, FALSE)="",":",VLOOKUP($E$61,[1]QUART!$A$2:$FA$315, 102, FALSE))</f>
        <v>:</v>
      </c>
      <c r="CZ61" s="544" t="str">
        <f>IF(VLOOKUP($E$61,[1]QUART!$A$2:$FA$315, 103, FALSE)="",":",VLOOKUP($E$61,[1]QUART!$A$2:$FA$315, 103, FALSE))</f>
        <v>:</v>
      </c>
      <c r="DA61" s="544" t="str">
        <f>IF(VLOOKUP($E$61,[1]QUART!$A$2:$FA$315, 104, FALSE)="",":",VLOOKUP($E$61,[1]QUART!$A$2:$FA$315, 104, FALSE))</f>
        <v>:</v>
      </c>
      <c r="DB61" s="544" t="str">
        <f>IF(VLOOKUP($E$61,[1]QUART!$A$2:$FA$315, 105, FALSE)="",":",VLOOKUP($E$61,[1]QUART!$A$2:$FA$315, 105, FALSE))</f>
        <v>:</v>
      </c>
      <c r="DC61" s="544" t="str">
        <f>IF(VLOOKUP($E$61,[1]QUART!$A$2:$FA$315, 106, FALSE)="",":",VLOOKUP($E$61,[1]QUART!$A$2:$FA$315, 106, FALSE))</f>
        <v>:</v>
      </c>
    </row>
    <row r="62" spans="1:107">
      <c r="A62" s="1954"/>
      <c r="B62" s="534"/>
      <c r="C62" s="535"/>
      <c r="D62" s="12" t="s">
        <v>1841</v>
      </c>
      <c r="E62" s="13">
        <v>129</v>
      </c>
      <c r="F62" s="14" t="str">
        <f>VLOOKUP($E$62,[1]QUART!$A$2:$FA$315, 3, FALSE)</f>
        <v>129 GFCF equipment</v>
      </c>
      <c r="G62" s="544" t="str">
        <f>IF(VLOOKUP($E$62,[1]QUART!$A$2:$FA$315, 6, FALSE)="",":",VLOOKUP($E$62,[1]QUART!$A$2:$FA$315, 6, FALSE))</f>
        <v>:</v>
      </c>
      <c r="H62" s="544" t="str">
        <f>IF(VLOOKUP($E$62,[1]QUART!$A$2:$FA$315, 7, FALSE)="",":",VLOOKUP($E$62,[1]QUART!$A$2:$FA$315, 7, FALSE))</f>
        <v>:</v>
      </c>
      <c r="I62" s="544" t="str">
        <f>IF(VLOOKUP($E$62,[1]QUART!$A$2:$FA$315, 8, FALSE)="",":",VLOOKUP($E$62,[1]QUART!$A$2:$FA$315, 8, FALSE))</f>
        <v>:</v>
      </c>
      <c r="J62" s="544" t="str">
        <f>IF(VLOOKUP($E$62,[1]QUART!$A$2:$FA$315, 9, FALSE)="",":",VLOOKUP($E$62,[1]QUART!$A$2:$FA$315, 9, FALSE))</f>
        <v>:</v>
      </c>
      <c r="K62" s="544" t="str">
        <f>IF(VLOOKUP($E$62,[1]QUART!$A$2:$FA$315, 10, FALSE)="",":",VLOOKUP($E$62,[1]QUART!$A$2:$FA$315, 10, FALSE))</f>
        <v>:</v>
      </c>
      <c r="L62" s="544" t="str">
        <f>IF(VLOOKUP($E$62,[1]QUART!$A$2:$FA$315, 11, FALSE)="",":",VLOOKUP($E$62,[1]QUART!$A$2:$FA$315, 11, FALSE))</f>
        <v>:</v>
      </c>
      <c r="M62" s="544" t="str">
        <f>IF(VLOOKUP($E$62,[1]QUART!$A$2:$FA$315, 12, FALSE)="",":",VLOOKUP($E$62,[1]QUART!$A$2:$FA$315, 12, FALSE))</f>
        <v>:</v>
      </c>
      <c r="N62" s="544" t="str">
        <f>IF(VLOOKUP($E$62,[1]QUART!$A$2:$FA$315, 13, FALSE)="",":",VLOOKUP($E$62,[1]QUART!$A$2:$FA$315, 13, FALSE))</f>
        <v>:</v>
      </c>
      <c r="O62" s="544" t="str">
        <f>IF(VLOOKUP($E$62,[1]QUART!$A$2:$FA$315, 14, FALSE)="",":",VLOOKUP($E$62,[1]QUART!$A$2:$FA$315, 14, FALSE))</f>
        <v>:</v>
      </c>
      <c r="P62" s="544" t="str">
        <f>IF(VLOOKUP($E$62,[1]QUART!$A$2:$FA$315, 15, FALSE)="",":",VLOOKUP($E$62,[1]QUART!$A$2:$FA$315, 15, FALSE))</f>
        <v>:</v>
      </c>
      <c r="Q62" s="544" t="str">
        <f>IF(VLOOKUP($E$62,[1]QUART!$A$2:$FA$315, 16, FALSE)="",":",VLOOKUP($E$62,[1]QUART!$A$2:$FA$315, 16, FALSE))</f>
        <v>:</v>
      </c>
      <c r="R62" s="544" t="str">
        <f>IF(VLOOKUP($E$62,[1]QUART!$A$2:$FA$315, 17, FALSE)="",":",VLOOKUP($E$62,[1]QUART!$A$2:$FA$315, 17, FALSE))</f>
        <v>:</v>
      </c>
      <c r="S62" s="544" t="str">
        <f>IF(VLOOKUP($E$62,[1]QUART!$A$2:$FA$315, 18, FALSE)="",":",VLOOKUP($E$62,[1]QUART!$A$2:$FA$315, 18, FALSE))</f>
        <v>:</v>
      </c>
      <c r="T62" s="544" t="str">
        <f>IF(VLOOKUP($E$62,[1]QUART!$A$2:$FA$315, 19, FALSE)="",":",VLOOKUP($E$62,[1]QUART!$A$2:$FA$315, 19, FALSE))</f>
        <v>:</v>
      </c>
      <c r="U62" s="544" t="str">
        <f>IF(VLOOKUP($E$62,[1]QUART!$A$2:$FA$315, 20, FALSE)="",":",VLOOKUP($E$62,[1]QUART!$A$2:$FA$315, 20, FALSE))</f>
        <v>:</v>
      </c>
      <c r="V62" s="544" t="str">
        <f>IF(VLOOKUP($E$62,[1]QUART!$A$2:$FA$315, 21, FALSE)="",":",VLOOKUP($E$62,[1]QUART!$A$2:$FA$315, 21, FALSE))</f>
        <v>:</v>
      </c>
      <c r="W62" s="544" t="str">
        <f>IF(VLOOKUP($E$62,[1]QUART!$A$2:$FA$315, 22, FALSE)="",":",VLOOKUP($E$62,[1]QUART!$A$2:$FA$315, 22, FALSE))</f>
        <v>:</v>
      </c>
      <c r="X62" s="544" t="str">
        <f>IF(VLOOKUP($E$62,[1]QUART!$A$2:$FA$315, 23, FALSE)="",":",VLOOKUP($E$62,[1]QUART!$A$2:$FA$315, 23, FALSE))</f>
        <v>:</v>
      </c>
      <c r="Y62" s="544" t="str">
        <f>IF(VLOOKUP($E$62,[1]QUART!$A$2:$FA$315, 24, FALSE)="",":",VLOOKUP($E$62,[1]QUART!$A$2:$FA$315, 24, FALSE))</f>
        <v>:</v>
      </c>
      <c r="Z62" s="544" t="str">
        <f>IF(VLOOKUP($E$62,[1]QUART!$A$2:$FA$315, 25, FALSE)="",":",VLOOKUP($E$62,[1]QUART!$A$2:$FA$315, 25, FALSE))</f>
        <v>:</v>
      </c>
      <c r="AA62" s="544" t="str">
        <f>IF(VLOOKUP($E$62,[1]QUART!$A$2:$FA$315, 26, FALSE)="",":",VLOOKUP($E$62,[1]QUART!$A$2:$FA$315, 26, FALSE))</f>
        <v>:</v>
      </c>
      <c r="AB62" s="544" t="str">
        <f>IF(VLOOKUP($E$62,[1]QUART!$A$2:$FA$315, 27, FALSE)="",":",VLOOKUP($E$62,[1]QUART!$A$2:$FA$315, 27, FALSE))</f>
        <v>:</v>
      </c>
      <c r="AC62" s="544" t="str">
        <f>IF(VLOOKUP($E$62,[1]QUART!$A$2:$FA$315, 28, FALSE)="",":",VLOOKUP($E$62,[1]QUART!$A$2:$FA$315, 28, FALSE))</f>
        <v>:</v>
      </c>
      <c r="AD62" s="544" t="str">
        <f>IF(VLOOKUP($E$62,[1]QUART!$A$2:$FA$315, 29, FALSE)="",":",VLOOKUP($E$62,[1]QUART!$A$2:$FA$315, 29, FALSE))</f>
        <v>:</v>
      </c>
      <c r="AE62" s="544" t="str">
        <f>IF(VLOOKUP($E$62,[1]QUART!$A$2:$FA$315, 30, FALSE)="",":",VLOOKUP($E$62,[1]QUART!$A$2:$FA$315, 30, FALSE))</f>
        <v>:</v>
      </c>
      <c r="AF62" s="544" t="str">
        <f>IF(VLOOKUP($E$62,[1]QUART!$A$2:$FA$315, 31, FALSE)="",":",VLOOKUP($E$62,[1]QUART!$A$2:$FA$315, 31, FALSE))</f>
        <v>:</v>
      </c>
      <c r="AG62" s="544" t="str">
        <f>IF(VLOOKUP($E$62,[1]QUART!$A$2:$FA$315, 32, FALSE)="",":",VLOOKUP($E$62,[1]QUART!$A$2:$FA$315, 32, FALSE))</f>
        <v>:</v>
      </c>
      <c r="AH62" s="544" t="str">
        <f>IF(VLOOKUP($E$62,[1]QUART!$A$2:$FA$315, 33, FALSE)="",":",VLOOKUP($E$62,[1]QUART!$A$2:$FA$315, 33, FALSE))</f>
        <v>:</v>
      </c>
      <c r="AI62" s="544" t="str">
        <f>IF(VLOOKUP($E$62,[1]QUART!$A$2:$FA$315, 34, FALSE)="",":",VLOOKUP($E$62,[1]QUART!$A$2:$FA$315, 34, FALSE))</f>
        <v>:</v>
      </c>
      <c r="AJ62" s="544" t="str">
        <f>IF(VLOOKUP($E$62,[1]QUART!$A$2:$FA$315, 35, FALSE)="",":",VLOOKUP($E$62,[1]QUART!$A$2:$FA$315, 35, FALSE))</f>
        <v>:</v>
      </c>
      <c r="AK62" s="544" t="str">
        <f>IF(VLOOKUP($E$62,[1]QUART!$A$2:$FA$315, 36, FALSE)="",":",VLOOKUP($E$62,[1]QUART!$A$2:$FA$315, 36, FALSE))</f>
        <v>:</v>
      </c>
      <c r="AL62" s="544" t="str">
        <f>IF(VLOOKUP($E$62,[1]QUART!$A$2:$FA$315, 37, FALSE)="",":",VLOOKUP($E$62,[1]QUART!$A$2:$FA$315, 37, FALSE))</f>
        <v>:</v>
      </c>
      <c r="AM62" s="544" t="str">
        <f>IF(VLOOKUP($E$62,[1]QUART!$A$2:$FA$315, 38, FALSE)="",":",VLOOKUP($E$62,[1]QUART!$A$2:$FA$315, 38, FALSE))</f>
        <v>:</v>
      </c>
      <c r="AN62" s="544" t="str">
        <f>IF(VLOOKUP($E$62,[1]QUART!$A$2:$FA$315, 39, FALSE)="",":",VLOOKUP($E$62,[1]QUART!$A$2:$FA$315, 39, FALSE))</f>
        <v>:</v>
      </c>
      <c r="AO62" s="544" t="str">
        <f>IF(VLOOKUP($E$62,[1]QUART!$A$2:$FA$315, 40, FALSE)="",":",VLOOKUP($E$62,[1]QUART!$A$2:$FA$315, 40, FALSE))</f>
        <v>:</v>
      </c>
      <c r="AP62" s="544" t="str">
        <f>IF(VLOOKUP($E$62,[1]QUART!$A$2:$FA$315, 41, FALSE)="",":",VLOOKUP($E$62,[1]QUART!$A$2:$FA$315, 41, FALSE))</f>
        <v>:</v>
      </c>
      <c r="AQ62" s="544" t="str">
        <f>IF(VLOOKUP($E$62,[1]QUART!$A$2:$FA$315, 42, FALSE)="",":",VLOOKUP($E$62,[1]QUART!$A$2:$FA$315, 42, FALSE))</f>
        <v>:</v>
      </c>
      <c r="AR62" s="544" t="str">
        <f>IF(VLOOKUP($E$62,[1]QUART!$A$2:$FA$315, 43, FALSE)="",":",VLOOKUP($E$62,[1]QUART!$A$2:$FA$315, 43, FALSE))</f>
        <v>:</v>
      </c>
      <c r="AS62" s="544" t="str">
        <f>IF(VLOOKUP($E$62,[1]QUART!$A$2:$FA$315, 44, FALSE)="",":",VLOOKUP($E$62,[1]QUART!$A$2:$FA$315, 44, FALSE))</f>
        <v>:</v>
      </c>
      <c r="AT62" s="544" t="str">
        <f>IF(VLOOKUP($E$62,[1]QUART!$A$2:$FA$315, 45, FALSE)="",":",VLOOKUP($E$62,[1]QUART!$A$2:$FA$315, 45, FALSE))</f>
        <v>:</v>
      </c>
      <c r="AU62" s="544" t="str">
        <f>IF(VLOOKUP($E$62,[1]QUART!$A$2:$FA$315, 46, FALSE)="",":",VLOOKUP($E$62,[1]QUART!$A$2:$FA$315, 46, FALSE))</f>
        <v>:</v>
      </c>
      <c r="AV62" s="544" t="str">
        <f>IF(VLOOKUP($E$62,[1]QUART!$A$2:$FA$315, 47, FALSE)="",":",VLOOKUP($E$62,[1]QUART!$A$2:$FA$315, 47, FALSE))</f>
        <v>:</v>
      </c>
      <c r="AW62" s="544" t="str">
        <f>IF(VLOOKUP($E$62,[1]QUART!$A$2:$FA$315, 48, FALSE)="",":",VLOOKUP($E$62,[1]QUART!$A$2:$FA$315, 48, FALSE))</f>
        <v>:</v>
      </c>
      <c r="AX62" s="544" t="str">
        <f>IF(VLOOKUP($E$62,[1]QUART!$A$2:$FA$315, 49, FALSE)="",":",VLOOKUP($E$62,[1]QUART!$A$2:$FA$315, 49, FALSE))</f>
        <v>:</v>
      </c>
      <c r="AY62" s="544" t="str">
        <f>IF(VLOOKUP($E$62,[1]QUART!$A$2:$FA$315, 50, FALSE)="",":",VLOOKUP($E$62,[1]QUART!$A$2:$FA$315, 50, FALSE))</f>
        <v>:</v>
      </c>
      <c r="AZ62" s="544" t="str">
        <f>IF(VLOOKUP($E$62,[1]QUART!$A$2:$FA$315, 51, FALSE)="",":",VLOOKUP($E$62,[1]QUART!$A$2:$FA$315, 51, FALSE))</f>
        <v>:</v>
      </c>
      <c r="BA62" s="544" t="str">
        <f>IF(VLOOKUP($E$62,[1]QUART!$A$2:$FA$315, 52, FALSE)="",":",VLOOKUP($E$62,[1]QUART!$A$2:$FA$315, 52, FALSE))</f>
        <v>:</v>
      </c>
      <c r="BB62" s="544" t="str">
        <f>IF(VLOOKUP($E$62,[1]QUART!$A$2:$FA$315, 53, FALSE)="",":",VLOOKUP($E$62,[1]QUART!$A$2:$FA$315, 53, FALSE))</f>
        <v>:</v>
      </c>
      <c r="BC62" s="544" t="str">
        <f>IF(VLOOKUP($E$62,[1]QUART!$A$2:$FA$315, 54, FALSE)="",":",VLOOKUP($E$62,[1]QUART!$A$2:$FA$315, 54, FALSE))</f>
        <v>:</v>
      </c>
      <c r="BD62" s="544" t="str">
        <f>IF(VLOOKUP($E$62,[1]QUART!$A$2:$FA$315, 55, FALSE)="",":",VLOOKUP($E$62,[1]QUART!$A$2:$FA$315, 55, FALSE))</f>
        <v>:</v>
      </c>
      <c r="BE62" s="544" t="str">
        <f>IF(VLOOKUP($E$62,[1]QUART!$A$2:$FA$315, 56, FALSE)="",":",VLOOKUP($E$62,[1]QUART!$A$2:$FA$315, 56, FALSE))</f>
        <v>:</v>
      </c>
      <c r="BF62" s="544" t="str">
        <f>IF(VLOOKUP($E$62,[1]QUART!$A$2:$FA$315, 57, FALSE)="",":",VLOOKUP($E$62,[1]QUART!$A$2:$FA$315, 57, FALSE))</f>
        <v>:</v>
      </c>
      <c r="BG62" s="544" t="str">
        <f>IF(VLOOKUP($E$62,[1]QUART!$A$2:$FA$315, 58, FALSE)="",":",VLOOKUP($E$62,[1]QUART!$A$2:$FA$315, 58, FALSE))</f>
        <v>:</v>
      </c>
      <c r="BH62" s="544" t="str">
        <f>IF(VLOOKUP($E$62,[1]QUART!$A$2:$FA$315, 59, FALSE)="",":",VLOOKUP($E$62,[1]QUART!$A$2:$FA$315, 59, FALSE))</f>
        <v>:</v>
      </c>
      <c r="BI62" s="544" t="str">
        <f>IF(VLOOKUP($E$62,[1]QUART!$A$2:$FA$315, 60, FALSE)="",":",VLOOKUP($E$62,[1]QUART!$A$2:$FA$315, 60, FALSE))</f>
        <v>:</v>
      </c>
      <c r="BJ62" s="544" t="str">
        <f>IF(VLOOKUP($E$62,[1]QUART!$A$2:$FA$315, 61, FALSE)="",":",VLOOKUP($E$62,[1]QUART!$A$2:$FA$315, 61, FALSE))</f>
        <v>:</v>
      </c>
      <c r="BK62" s="544" t="str">
        <f>IF(VLOOKUP($E$62,[1]QUART!$A$2:$FA$315, 62, FALSE)="",":",VLOOKUP($E$62,[1]QUART!$A$2:$FA$315, 62, FALSE))</f>
        <v>:</v>
      </c>
      <c r="BL62" s="544" t="str">
        <f>IF(VLOOKUP($E$62,[1]QUART!$A$2:$FA$315, 63, FALSE)="",":",VLOOKUP($E$62,[1]QUART!$A$2:$FA$315, 63, FALSE))</f>
        <v>:</v>
      </c>
      <c r="BM62" s="544" t="str">
        <f>IF(VLOOKUP($E$62,[1]QUART!$A$2:$FA$315, 64, FALSE)="",":",VLOOKUP($E$62,[1]QUART!$A$2:$FA$315, 64, FALSE))</f>
        <v>:</v>
      </c>
      <c r="BN62" s="544" t="str">
        <f>IF(VLOOKUP($E$62,[1]QUART!$A$2:$FA$315, 65, FALSE)="",":",VLOOKUP($E$62,[1]QUART!$A$2:$FA$315, 65, FALSE))</f>
        <v>:</v>
      </c>
      <c r="BO62" s="544" t="str">
        <f>IF(VLOOKUP($E$62,[1]QUART!$A$2:$FA$315, 66, FALSE)="",":",VLOOKUP($E$62,[1]QUART!$A$2:$FA$315, 66, FALSE))</f>
        <v>:</v>
      </c>
      <c r="BP62" s="544" t="str">
        <f>IF(VLOOKUP($E$62,[1]QUART!$A$2:$FA$315, 67, FALSE)="",":",VLOOKUP($E$62,[1]QUART!$A$2:$FA$315, 67, FALSE))</f>
        <v>:</v>
      </c>
      <c r="BQ62" s="544" t="str">
        <f>IF(VLOOKUP($E$62,[1]QUART!$A$2:$FA$315, 68, FALSE)="",":",VLOOKUP($E$62,[1]QUART!$A$2:$FA$315, 68, FALSE))</f>
        <v>:</v>
      </c>
      <c r="BR62" s="544" t="str">
        <f>IF(VLOOKUP($E$62,[1]QUART!$A$2:$FA$315, 69, FALSE)="",":",VLOOKUP($E$62,[1]QUART!$A$2:$FA$315, 69, FALSE))</f>
        <v>:</v>
      </c>
      <c r="BS62" s="544" t="str">
        <f>IF(VLOOKUP($E$62,[1]QUART!$A$2:$FA$315, 70, FALSE)="",":",VLOOKUP($E$62,[1]QUART!$A$2:$FA$315, 70, FALSE))</f>
        <v>:</v>
      </c>
      <c r="BT62" s="544" t="str">
        <f>IF(VLOOKUP($E$62,[1]QUART!$A$2:$FA$315, 71, FALSE)="",":",VLOOKUP($E$62,[1]QUART!$A$2:$FA$315, 71, FALSE))</f>
        <v>:</v>
      </c>
      <c r="BU62" s="544" t="str">
        <f>IF(VLOOKUP($E$62,[1]QUART!$A$2:$FA$315, 72, FALSE)="",":",VLOOKUP($E$62,[1]QUART!$A$2:$FA$315, 72, FALSE))</f>
        <v>:</v>
      </c>
      <c r="BV62" s="544" t="str">
        <f>IF(VLOOKUP($E$62,[1]QUART!$A$2:$FA$315, 73, FALSE)="",":",VLOOKUP($E$62,[1]QUART!$A$2:$FA$315, 73, FALSE))</f>
        <v>:</v>
      </c>
      <c r="BW62" s="544" t="str">
        <f>IF(VLOOKUP($E$62,[1]QUART!$A$2:$FA$315, 74, FALSE)="",":",VLOOKUP($E$62,[1]QUART!$A$2:$FA$315, 74, FALSE))</f>
        <v>:</v>
      </c>
      <c r="BX62" s="544" t="str">
        <f>IF(VLOOKUP($E$62,[1]QUART!$A$2:$FA$315, 75, FALSE)="",":",VLOOKUP($E$62,[1]QUART!$A$2:$FA$315, 75, FALSE))</f>
        <v>:</v>
      </c>
      <c r="BY62" s="544" t="str">
        <f>IF(VLOOKUP($E$62,[1]QUART!$A$2:$FA$315, 76, FALSE)="",":",VLOOKUP($E$62,[1]QUART!$A$2:$FA$315, 76, FALSE))</f>
        <v>:</v>
      </c>
      <c r="BZ62" s="544" t="str">
        <f>IF(VLOOKUP($E$62,[1]QUART!$A$2:$FA$315, 77, FALSE)="",":",VLOOKUP($E$62,[1]QUART!$A$2:$FA$315, 77, FALSE))</f>
        <v>:</v>
      </c>
      <c r="CA62" s="544" t="str">
        <f>IF(VLOOKUP($E$62,[1]QUART!$A$2:$FA$315, 78, FALSE)="",":",VLOOKUP($E$62,[1]QUART!$A$2:$FA$315, 78, FALSE))</f>
        <v>:</v>
      </c>
      <c r="CB62" s="544" t="str">
        <f>IF(VLOOKUP($E$62,[1]QUART!$A$2:$FA$315, 79, FALSE)="",":",VLOOKUP($E$62,[1]QUART!$A$2:$FA$315, 79, FALSE))</f>
        <v>:</v>
      </c>
      <c r="CC62" s="544" t="str">
        <f>IF(VLOOKUP($E$62,[1]QUART!$A$2:$FA$315, 80, FALSE)="",":",VLOOKUP($E$62,[1]QUART!$A$2:$FA$315, 80, FALSE))</f>
        <v>:</v>
      </c>
      <c r="CD62" s="544" t="str">
        <f>IF(VLOOKUP($E$62,[1]QUART!$A$2:$FA$315, 81, FALSE)="",":",VLOOKUP($E$62,[1]QUART!$A$2:$FA$315, 81, FALSE))</f>
        <v>:</v>
      </c>
      <c r="CE62" s="544" t="str">
        <f>IF(VLOOKUP($E$62,[1]QUART!$A$2:$FA$315, 82, FALSE)="",":",VLOOKUP($E$62,[1]QUART!$A$2:$FA$315, 82, FALSE))</f>
        <v>:</v>
      </c>
      <c r="CF62" s="544" t="str">
        <f>IF(VLOOKUP($E$62,[1]QUART!$A$2:$FA$315, 83, FALSE)="",":",VLOOKUP($E$62,[1]QUART!$A$2:$FA$315, 83, FALSE))</f>
        <v>:</v>
      </c>
      <c r="CG62" s="544" t="str">
        <f>IF(VLOOKUP($E$62,[1]QUART!$A$2:$FA$315, 84, FALSE)="",":",VLOOKUP($E$62,[1]QUART!$A$2:$FA$315, 84, FALSE))</f>
        <v>:</v>
      </c>
      <c r="CH62" s="544" t="str">
        <f>IF(VLOOKUP($E$62,[1]QUART!$A$2:$FA$315, 85, FALSE)="",":",VLOOKUP($E$62,[1]QUART!$A$2:$FA$315, 85, FALSE))</f>
        <v>:</v>
      </c>
      <c r="CI62" s="544" t="str">
        <f>IF(VLOOKUP($E$62,[1]QUART!$A$2:$FA$315, 86, FALSE)="",":",VLOOKUP($E$62,[1]QUART!$A$2:$FA$315, 86, FALSE))</f>
        <v>:</v>
      </c>
      <c r="CJ62" s="544" t="str">
        <f>IF(VLOOKUP($E$62,[1]QUART!$A$2:$FA$315, 87, FALSE)="",":",VLOOKUP($E$62,[1]QUART!$A$2:$FA$315, 87, FALSE))</f>
        <v>:</v>
      </c>
      <c r="CK62" s="544" t="str">
        <f>IF(VLOOKUP($E$62,[1]QUART!$A$2:$FA$315, 88, FALSE)="",":",VLOOKUP($E$62,[1]QUART!$A$2:$FA$315, 88, FALSE))</f>
        <v>:</v>
      </c>
      <c r="CL62" s="544" t="str">
        <f>IF(VLOOKUP($E$62,[1]QUART!$A$2:$FA$315, 89, FALSE)="",":",VLOOKUP($E$62,[1]QUART!$A$2:$FA$315, 89, FALSE))</f>
        <v>:</v>
      </c>
      <c r="CM62" s="544" t="str">
        <f>IF(VLOOKUP($E$62,[1]QUART!$A$2:$FA$315, 90, FALSE)="",":",VLOOKUP($E$62,[1]QUART!$A$2:$FA$315, 90, FALSE))</f>
        <v>:</v>
      </c>
      <c r="CN62" s="544" t="str">
        <f>IF(VLOOKUP($E$62,[1]QUART!$A$2:$FA$315, 91, FALSE)="",":",VLOOKUP($E$62,[1]QUART!$A$2:$FA$315, 91, FALSE))</f>
        <v>:</v>
      </c>
      <c r="CO62" s="544" t="str">
        <f>IF(VLOOKUP($E$62,[1]QUART!$A$2:$FA$315, 92, FALSE)="",":",VLOOKUP($E$62,[1]QUART!$A$2:$FA$315, 92, FALSE))</f>
        <v>:</v>
      </c>
      <c r="CP62" s="544" t="str">
        <f>IF(VLOOKUP($E$62,[1]QUART!$A$2:$FA$315, 93, FALSE)="",":",VLOOKUP($E$62,[1]QUART!$A$2:$FA$315, 93, FALSE))</f>
        <v>:</v>
      </c>
      <c r="CQ62" s="544" t="str">
        <f>IF(VLOOKUP($E$62,[1]QUART!$A$2:$FA$315, 94, FALSE)="",":",VLOOKUP($E$62,[1]QUART!$A$2:$FA$315, 94, FALSE))</f>
        <v>:</v>
      </c>
      <c r="CR62" s="544" t="str">
        <f>IF(VLOOKUP($E$62,[1]QUART!$A$2:$FA$315, 95, FALSE)="",":",VLOOKUP($E$62,[1]QUART!$A$2:$FA$315, 95, FALSE))</f>
        <v>:</v>
      </c>
      <c r="CS62" s="544" t="str">
        <f>IF(VLOOKUP($E$62,[1]QUART!$A$2:$FA$315, 96, FALSE)="",":",VLOOKUP($E$62,[1]QUART!$A$2:$FA$315, 96, FALSE))</f>
        <v>:</v>
      </c>
      <c r="CT62" s="544" t="str">
        <f>IF(VLOOKUP($E$62,[1]QUART!$A$2:$FA$315, 97, FALSE)="",":",VLOOKUP($E$62,[1]QUART!$A$2:$FA$315, 97, FALSE))</f>
        <v>:</v>
      </c>
      <c r="CU62" s="544" t="str">
        <f>IF(VLOOKUP($E$62,[1]QUART!$A$2:$FA$315, 98, FALSE)="",":",VLOOKUP($E$62,[1]QUART!$A$2:$FA$315, 98, FALSE))</f>
        <v>:</v>
      </c>
      <c r="CV62" s="544" t="str">
        <f>IF(VLOOKUP($E$62,[1]QUART!$A$2:$FA$315, 99, FALSE)="",":",VLOOKUP($E$62,[1]QUART!$A$2:$FA$315, 99, FALSE))</f>
        <v>:</v>
      </c>
      <c r="CW62" s="544" t="str">
        <f>IF(VLOOKUP($E$62,[1]QUART!$A$2:$FA$315, 100, FALSE)="",":",VLOOKUP($E$62,[1]QUART!$A$2:$FA$315, 100, FALSE))</f>
        <v>:</v>
      </c>
      <c r="CX62" s="544" t="str">
        <f>IF(VLOOKUP($E$62,[1]QUART!$A$2:$FA$315, 101, FALSE)="",":",VLOOKUP($E$62,[1]QUART!$A$2:$FA$315, 101, FALSE))</f>
        <v>:</v>
      </c>
      <c r="CY62" s="544" t="str">
        <f>IF(VLOOKUP($E$62,[1]QUART!$A$2:$FA$315, 102, FALSE)="",":",VLOOKUP($E$62,[1]QUART!$A$2:$FA$315, 102, FALSE))</f>
        <v>:</v>
      </c>
      <c r="CZ62" s="544" t="str">
        <f>IF(VLOOKUP($E$62,[1]QUART!$A$2:$FA$315, 103, FALSE)="",":",VLOOKUP($E$62,[1]QUART!$A$2:$FA$315, 103, FALSE))</f>
        <v>:</v>
      </c>
      <c r="DA62" s="544" t="str">
        <f>IF(VLOOKUP($E$62,[1]QUART!$A$2:$FA$315, 104, FALSE)="",":",VLOOKUP($E$62,[1]QUART!$A$2:$FA$315, 104, FALSE))</f>
        <v>:</v>
      </c>
      <c r="DB62" s="544" t="str">
        <f>IF(VLOOKUP($E$62,[1]QUART!$A$2:$FA$315, 105, FALSE)="",":",VLOOKUP($E$62,[1]QUART!$A$2:$FA$315, 105, FALSE))</f>
        <v>:</v>
      </c>
      <c r="DC62" s="544" t="str">
        <f>IF(VLOOKUP($E$62,[1]QUART!$A$2:$FA$315, 106, FALSE)="",":",VLOOKUP($E$62,[1]QUART!$A$2:$FA$315, 106, FALSE))</f>
        <v>:</v>
      </c>
    </row>
    <row r="63" spans="1:107">
      <c r="A63" s="1954"/>
      <c r="B63" s="534"/>
      <c r="C63" s="535"/>
      <c r="D63" s="12" t="s">
        <v>1841</v>
      </c>
      <c r="E63" s="13">
        <v>130</v>
      </c>
      <c r="F63" s="14" t="str">
        <f>VLOOKUP($E$63,[1]QUART!$A$2:$FA$315, 3, FALSE)</f>
        <v>130 GFCF construction</v>
      </c>
      <c r="G63" s="544" t="str">
        <f>IF(VLOOKUP($E$63,[1]QUART!$A$2:$FA$315, 6, FALSE)="",":",VLOOKUP($E$63,[1]QUART!$A$2:$FA$315, 6, FALSE))</f>
        <v>:</v>
      </c>
      <c r="H63" s="544" t="str">
        <f>IF(VLOOKUP($E$63,[1]QUART!$A$2:$FA$315, 7, FALSE)="",":",VLOOKUP($E$63,[1]QUART!$A$2:$FA$315, 7, FALSE))</f>
        <v>:</v>
      </c>
      <c r="I63" s="544" t="str">
        <f>IF(VLOOKUP($E$63,[1]QUART!$A$2:$FA$315, 8, FALSE)="",":",VLOOKUP($E$63,[1]QUART!$A$2:$FA$315, 8, FALSE))</f>
        <v>:</v>
      </c>
      <c r="J63" s="544" t="str">
        <f>IF(VLOOKUP($E$63,[1]QUART!$A$2:$FA$315, 9, FALSE)="",":",VLOOKUP($E$63,[1]QUART!$A$2:$FA$315, 9, FALSE))</f>
        <v>:</v>
      </c>
      <c r="K63" s="544" t="str">
        <f>IF(VLOOKUP($E$63,[1]QUART!$A$2:$FA$315, 10, FALSE)="",":",VLOOKUP($E$63,[1]QUART!$A$2:$FA$315, 10, FALSE))</f>
        <v>:</v>
      </c>
      <c r="L63" s="544" t="str">
        <f>IF(VLOOKUP($E$63,[1]QUART!$A$2:$FA$315, 11, FALSE)="",":",VLOOKUP($E$63,[1]QUART!$A$2:$FA$315, 11, FALSE))</f>
        <v>:</v>
      </c>
      <c r="M63" s="544" t="str">
        <f>IF(VLOOKUP($E$63,[1]QUART!$A$2:$FA$315, 12, FALSE)="",":",VLOOKUP($E$63,[1]QUART!$A$2:$FA$315, 12, FALSE))</f>
        <v>:</v>
      </c>
      <c r="N63" s="544" t="str">
        <f>IF(VLOOKUP($E$63,[1]QUART!$A$2:$FA$315, 13, FALSE)="",":",VLOOKUP($E$63,[1]QUART!$A$2:$FA$315, 13, FALSE))</f>
        <v>:</v>
      </c>
      <c r="O63" s="544" t="str">
        <f>IF(VLOOKUP($E$63,[1]QUART!$A$2:$FA$315, 14, FALSE)="",":",VLOOKUP($E$63,[1]QUART!$A$2:$FA$315, 14, FALSE))</f>
        <v>:</v>
      </c>
      <c r="P63" s="544" t="str">
        <f>IF(VLOOKUP($E$63,[1]QUART!$A$2:$FA$315, 15, FALSE)="",":",VLOOKUP($E$63,[1]QUART!$A$2:$FA$315, 15, FALSE))</f>
        <v>:</v>
      </c>
      <c r="Q63" s="544" t="str">
        <f>IF(VLOOKUP($E$63,[1]QUART!$A$2:$FA$315, 16, FALSE)="",":",VLOOKUP($E$63,[1]QUART!$A$2:$FA$315, 16, FALSE))</f>
        <v>:</v>
      </c>
      <c r="R63" s="544" t="str">
        <f>IF(VLOOKUP($E$63,[1]QUART!$A$2:$FA$315, 17, FALSE)="",":",VLOOKUP($E$63,[1]QUART!$A$2:$FA$315, 17, FALSE))</f>
        <v>:</v>
      </c>
      <c r="S63" s="544" t="str">
        <f>IF(VLOOKUP($E$63,[1]QUART!$A$2:$FA$315, 18, FALSE)="",":",VLOOKUP($E$63,[1]QUART!$A$2:$FA$315, 18, FALSE))</f>
        <v>:</v>
      </c>
      <c r="T63" s="544" t="str">
        <f>IF(VLOOKUP($E$63,[1]QUART!$A$2:$FA$315, 19, FALSE)="",":",VLOOKUP($E$63,[1]QUART!$A$2:$FA$315, 19, FALSE))</f>
        <v>:</v>
      </c>
      <c r="U63" s="544" t="str">
        <f>IF(VLOOKUP($E$63,[1]QUART!$A$2:$FA$315, 20, FALSE)="",":",VLOOKUP($E$63,[1]QUART!$A$2:$FA$315, 20, FALSE))</f>
        <v>:</v>
      </c>
      <c r="V63" s="544" t="str">
        <f>IF(VLOOKUP($E$63,[1]QUART!$A$2:$FA$315, 21, FALSE)="",":",VLOOKUP($E$63,[1]QUART!$A$2:$FA$315, 21, FALSE))</f>
        <v>:</v>
      </c>
      <c r="W63" s="544" t="str">
        <f>IF(VLOOKUP($E$63,[1]QUART!$A$2:$FA$315, 22, FALSE)="",":",VLOOKUP($E$63,[1]QUART!$A$2:$FA$315, 22, FALSE))</f>
        <v>:</v>
      </c>
      <c r="X63" s="544" t="str">
        <f>IF(VLOOKUP($E$63,[1]QUART!$A$2:$FA$315, 23, FALSE)="",":",VLOOKUP($E$63,[1]QUART!$A$2:$FA$315, 23, FALSE))</f>
        <v>:</v>
      </c>
      <c r="Y63" s="544" t="str">
        <f>IF(VLOOKUP($E$63,[1]QUART!$A$2:$FA$315, 24, FALSE)="",":",VLOOKUP($E$63,[1]QUART!$A$2:$FA$315, 24, FALSE))</f>
        <v>:</v>
      </c>
      <c r="Z63" s="544" t="str">
        <f>IF(VLOOKUP($E$63,[1]QUART!$A$2:$FA$315, 25, FALSE)="",":",VLOOKUP($E$63,[1]QUART!$A$2:$FA$315, 25, FALSE))</f>
        <v>:</v>
      </c>
      <c r="AA63" s="544" t="str">
        <f>IF(VLOOKUP($E$63,[1]QUART!$A$2:$FA$315, 26, FALSE)="",":",VLOOKUP($E$63,[1]QUART!$A$2:$FA$315, 26, FALSE))</f>
        <v>:</v>
      </c>
      <c r="AB63" s="544" t="str">
        <f>IF(VLOOKUP($E$63,[1]QUART!$A$2:$FA$315, 27, FALSE)="",":",VLOOKUP($E$63,[1]QUART!$A$2:$FA$315, 27, FALSE))</f>
        <v>:</v>
      </c>
      <c r="AC63" s="544" t="str">
        <f>IF(VLOOKUP($E$63,[1]QUART!$A$2:$FA$315, 28, FALSE)="",":",VLOOKUP($E$63,[1]QUART!$A$2:$FA$315, 28, FALSE))</f>
        <v>:</v>
      </c>
      <c r="AD63" s="544" t="str">
        <f>IF(VLOOKUP($E$63,[1]QUART!$A$2:$FA$315, 29, FALSE)="",":",VLOOKUP($E$63,[1]QUART!$A$2:$FA$315, 29, FALSE))</f>
        <v>:</v>
      </c>
      <c r="AE63" s="544" t="str">
        <f>IF(VLOOKUP($E$63,[1]QUART!$A$2:$FA$315, 30, FALSE)="",":",VLOOKUP($E$63,[1]QUART!$A$2:$FA$315, 30, FALSE))</f>
        <v>:</v>
      </c>
      <c r="AF63" s="544" t="str">
        <f>IF(VLOOKUP($E$63,[1]QUART!$A$2:$FA$315, 31, FALSE)="",":",VLOOKUP($E$63,[1]QUART!$A$2:$FA$315, 31, FALSE))</f>
        <v>:</v>
      </c>
      <c r="AG63" s="544" t="str">
        <f>IF(VLOOKUP($E$63,[1]QUART!$A$2:$FA$315, 32, FALSE)="",":",VLOOKUP($E$63,[1]QUART!$A$2:$FA$315, 32, FALSE))</f>
        <v>:</v>
      </c>
      <c r="AH63" s="544" t="str">
        <f>IF(VLOOKUP($E$63,[1]QUART!$A$2:$FA$315, 33, FALSE)="",":",VLOOKUP($E$63,[1]QUART!$A$2:$FA$315, 33, FALSE))</f>
        <v>:</v>
      </c>
      <c r="AI63" s="544" t="str">
        <f>IF(VLOOKUP($E$63,[1]QUART!$A$2:$FA$315, 34, FALSE)="",":",VLOOKUP($E$63,[1]QUART!$A$2:$FA$315, 34, FALSE))</f>
        <v>:</v>
      </c>
      <c r="AJ63" s="544" t="str">
        <f>IF(VLOOKUP($E$63,[1]QUART!$A$2:$FA$315, 35, FALSE)="",":",VLOOKUP($E$63,[1]QUART!$A$2:$FA$315, 35, FALSE))</f>
        <v>:</v>
      </c>
      <c r="AK63" s="544" t="str">
        <f>IF(VLOOKUP($E$63,[1]QUART!$A$2:$FA$315, 36, FALSE)="",":",VLOOKUP($E$63,[1]QUART!$A$2:$FA$315, 36, FALSE))</f>
        <v>:</v>
      </c>
      <c r="AL63" s="544" t="str">
        <f>IF(VLOOKUP($E$63,[1]QUART!$A$2:$FA$315, 37, FALSE)="",":",VLOOKUP($E$63,[1]QUART!$A$2:$FA$315, 37, FALSE))</f>
        <v>:</v>
      </c>
      <c r="AM63" s="544" t="str">
        <f>IF(VLOOKUP($E$63,[1]QUART!$A$2:$FA$315, 38, FALSE)="",":",VLOOKUP($E$63,[1]QUART!$A$2:$FA$315, 38, FALSE))</f>
        <v>:</v>
      </c>
      <c r="AN63" s="544" t="str">
        <f>IF(VLOOKUP($E$63,[1]QUART!$A$2:$FA$315, 39, FALSE)="",":",VLOOKUP($E$63,[1]QUART!$A$2:$FA$315, 39, FALSE))</f>
        <v>:</v>
      </c>
      <c r="AO63" s="544" t="str">
        <f>IF(VLOOKUP($E$63,[1]QUART!$A$2:$FA$315, 40, FALSE)="",":",VLOOKUP($E$63,[1]QUART!$A$2:$FA$315, 40, FALSE))</f>
        <v>:</v>
      </c>
      <c r="AP63" s="544" t="str">
        <f>IF(VLOOKUP($E$63,[1]QUART!$A$2:$FA$315, 41, FALSE)="",":",VLOOKUP($E$63,[1]QUART!$A$2:$FA$315, 41, FALSE))</f>
        <v>:</v>
      </c>
      <c r="AQ63" s="544" t="str">
        <f>IF(VLOOKUP($E$63,[1]QUART!$A$2:$FA$315, 42, FALSE)="",":",VLOOKUP($E$63,[1]QUART!$A$2:$FA$315, 42, FALSE))</f>
        <v>:</v>
      </c>
      <c r="AR63" s="544" t="str">
        <f>IF(VLOOKUP($E$63,[1]QUART!$A$2:$FA$315, 43, FALSE)="",":",VLOOKUP($E$63,[1]QUART!$A$2:$FA$315, 43, FALSE))</f>
        <v>:</v>
      </c>
      <c r="AS63" s="544" t="str">
        <f>IF(VLOOKUP($E$63,[1]QUART!$A$2:$FA$315, 44, FALSE)="",":",VLOOKUP($E$63,[1]QUART!$A$2:$FA$315, 44, FALSE))</f>
        <v>:</v>
      </c>
      <c r="AT63" s="544" t="str">
        <f>IF(VLOOKUP($E$63,[1]QUART!$A$2:$FA$315, 45, FALSE)="",":",VLOOKUP($E$63,[1]QUART!$A$2:$FA$315, 45, FALSE))</f>
        <v>:</v>
      </c>
      <c r="AU63" s="544" t="str">
        <f>IF(VLOOKUP($E$63,[1]QUART!$A$2:$FA$315, 46, FALSE)="",":",VLOOKUP($E$63,[1]QUART!$A$2:$FA$315, 46, FALSE))</f>
        <v>:</v>
      </c>
      <c r="AV63" s="544" t="str">
        <f>IF(VLOOKUP($E$63,[1]QUART!$A$2:$FA$315, 47, FALSE)="",":",VLOOKUP($E$63,[1]QUART!$A$2:$FA$315, 47, FALSE))</f>
        <v>:</v>
      </c>
      <c r="AW63" s="544" t="str">
        <f>IF(VLOOKUP($E$63,[1]QUART!$A$2:$FA$315, 48, FALSE)="",":",VLOOKUP($E$63,[1]QUART!$A$2:$FA$315, 48, FALSE))</f>
        <v>:</v>
      </c>
      <c r="AX63" s="544" t="str">
        <f>IF(VLOOKUP($E$63,[1]QUART!$A$2:$FA$315, 49, FALSE)="",":",VLOOKUP($E$63,[1]QUART!$A$2:$FA$315, 49, FALSE))</f>
        <v>:</v>
      </c>
      <c r="AY63" s="544" t="str">
        <f>IF(VLOOKUP($E$63,[1]QUART!$A$2:$FA$315, 50, FALSE)="",":",VLOOKUP($E$63,[1]QUART!$A$2:$FA$315, 50, FALSE))</f>
        <v>:</v>
      </c>
      <c r="AZ63" s="544" t="str">
        <f>IF(VLOOKUP($E$63,[1]QUART!$A$2:$FA$315, 51, FALSE)="",":",VLOOKUP($E$63,[1]QUART!$A$2:$FA$315, 51, FALSE))</f>
        <v>:</v>
      </c>
      <c r="BA63" s="544" t="str">
        <f>IF(VLOOKUP($E$63,[1]QUART!$A$2:$FA$315, 52, FALSE)="",":",VLOOKUP($E$63,[1]QUART!$A$2:$FA$315, 52, FALSE))</f>
        <v>:</v>
      </c>
      <c r="BB63" s="544" t="str">
        <f>IF(VLOOKUP($E$63,[1]QUART!$A$2:$FA$315, 53, FALSE)="",":",VLOOKUP($E$63,[1]QUART!$A$2:$FA$315, 53, FALSE))</f>
        <v>:</v>
      </c>
      <c r="BC63" s="544" t="str">
        <f>IF(VLOOKUP($E$63,[1]QUART!$A$2:$FA$315, 54, FALSE)="",":",VLOOKUP($E$63,[1]QUART!$A$2:$FA$315, 54, FALSE))</f>
        <v>:</v>
      </c>
      <c r="BD63" s="544" t="str">
        <f>IF(VLOOKUP($E$63,[1]QUART!$A$2:$FA$315, 55, FALSE)="",":",VLOOKUP($E$63,[1]QUART!$A$2:$FA$315, 55, FALSE))</f>
        <v>:</v>
      </c>
      <c r="BE63" s="544" t="str">
        <f>IF(VLOOKUP($E$63,[1]QUART!$A$2:$FA$315, 56, FALSE)="",":",VLOOKUP($E$63,[1]QUART!$A$2:$FA$315, 56, FALSE))</f>
        <v>:</v>
      </c>
      <c r="BF63" s="544" t="str">
        <f>IF(VLOOKUP($E$63,[1]QUART!$A$2:$FA$315, 57, FALSE)="",":",VLOOKUP($E$63,[1]QUART!$A$2:$FA$315, 57, FALSE))</f>
        <v>:</v>
      </c>
      <c r="BG63" s="544" t="str">
        <f>IF(VLOOKUP($E$63,[1]QUART!$A$2:$FA$315, 58, FALSE)="",":",VLOOKUP($E$63,[1]QUART!$A$2:$FA$315, 58, FALSE))</f>
        <v>:</v>
      </c>
      <c r="BH63" s="544" t="str">
        <f>IF(VLOOKUP($E$63,[1]QUART!$A$2:$FA$315, 59, FALSE)="",":",VLOOKUP($E$63,[1]QUART!$A$2:$FA$315, 59, FALSE))</f>
        <v>:</v>
      </c>
      <c r="BI63" s="544" t="str">
        <f>IF(VLOOKUP($E$63,[1]QUART!$A$2:$FA$315, 60, FALSE)="",":",VLOOKUP($E$63,[1]QUART!$A$2:$FA$315, 60, FALSE))</f>
        <v>:</v>
      </c>
      <c r="BJ63" s="544" t="str">
        <f>IF(VLOOKUP($E$63,[1]QUART!$A$2:$FA$315, 61, FALSE)="",":",VLOOKUP($E$63,[1]QUART!$A$2:$FA$315, 61, FALSE))</f>
        <v>:</v>
      </c>
      <c r="BK63" s="544" t="str">
        <f>IF(VLOOKUP($E$63,[1]QUART!$A$2:$FA$315, 62, FALSE)="",":",VLOOKUP($E$63,[1]QUART!$A$2:$FA$315, 62, FALSE))</f>
        <v>:</v>
      </c>
      <c r="BL63" s="544" t="str">
        <f>IF(VLOOKUP($E$63,[1]QUART!$A$2:$FA$315, 63, FALSE)="",":",VLOOKUP($E$63,[1]QUART!$A$2:$FA$315, 63, FALSE))</f>
        <v>:</v>
      </c>
      <c r="BM63" s="544" t="str">
        <f>IF(VLOOKUP($E$63,[1]QUART!$A$2:$FA$315, 64, FALSE)="",":",VLOOKUP($E$63,[1]QUART!$A$2:$FA$315, 64, FALSE))</f>
        <v>:</v>
      </c>
      <c r="BN63" s="544" t="str">
        <f>IF(VLOOKUP($E$63,[1]QUART!$A$2:$FA$315, 65, FALSE)="",":",VLOOKUP($E$63,[1]QUART!$A$2:$FA$315, 65, FALSE))</f>
        <v>:</v>
      </c>
      <c r="BO63" s="544" t="str">
        <f>IF(VLOOKUP($E$63,[1]QUART!$A$2:$FA$315, 66, FALSE)="",":",VLOOKUP($E$63,[1]QUART!$A$2:$FA$315, 66, FALSE))</f>
        <v>:</v>
      </c>
      <c r="BP63" s="544" t="str">
        <f>IF(VLOOKUP($E$63,[1]QUART!$A$2:$FA$315, 67, FALSE)="",":",VLOOKUP($E$63,[1]QUART!$A$2:$FA$315, 67, FALSE))</f>
        <v>:</v>
      </c>
      <c r="BQ63" s="544" t="str">
        <f>IF(VLOOKUP($E$63,[1]QUART!$A$2:$FA$315, 68, FALSE)="",":",VLOOKUP($E$63,[1]QUART!$A$2:$FA$315, 68, FALSE))</f>
        <v>:</v>
      </c>
      <c r="BR63" s="544" t="str">
        <f>IF(VLOOKUP($E$63,[1]QUART!$A$2:$FA$315, 69, FALSE)="",":",VLOOKUP($E$63,[1]QUART!$A$2:$FA$315, 69, FALSE))</f>
        <v>:</v>
      </c>
      <c r="BS63" s="544" t="str">
        <f>IF(VLOOKUP($E$63,[1]QUART!$A$2:$FA$315, 70, FALSE)="",":",VLOOKUP($E$63,[1]QUART!$A$2:$FA$315, 70, FALSE))</f>
        <v>:</v>
      </c>
      <c r="BT63" s="544" t="str">
        <f>IF(VLOOKUP($E$63,[1]QUART!$A$2:$FA$315, 71, FALSE)="",":",VLOOKUP($E$63,[1]QUART!$A$2:$FA$315, 71, FALSE))</f>
        <v>:</v>
      </c>
      <c r="BU63" s="544" t="str">
        <f>IF(VLOOKUP($E$63,[1]QUART!$A$2:$FA$315, 72, FALSE)="",":",VLOOKUP($E$63,[1]QUART!$A$2:$FA$315, 72, FALSE))</f>
        <v>:</v>
      </c>
      <c r="BV63" s="544" t="str">
        <f>IF(VLOOKUP($E$63,[1]QUART!$A$2:$FA$315, 73, FALSE)="",":",VLOOKUP($E$63,[1]QUART!$A$2:$FA$315, 73, FALSE))</f>
        <v>:</v>
      </c>
      <c r="BW63" s="544" t="str">
        <f>IF(VLOOKUP($E$63,[1]QUART!$A$2:$FA$315, 74, FALSE)="",":",VLOOKUP($E$63,[1]QUART!$A$2:$FA$315, 74, FALSE))</f>
        <v>:</v>
      </c>
      <c r="BX63" s="544" t="str">
        <f>IF(VLOOKUP($E$63,[1]QUART!$A$2:$FA$315, 75, FALSE)="",":",VLOOKUP($E$63,[1]QUART!$A$2:$FA$315, 75, FALSE))</f>
        <v>:</v>
      </c>
      <c r="BY63" s="544" t="str">
        <f>IF(VLOOKUP($E$63,[1]QUART!$A$2:$FA$315, 76, FALSE)="",":",VLOOKUP($E$63,[1]QUART!$A$2:$FA$315, 76, FALSE))</f>
        <v>:</v>
      </c>
      <c r="BZ63" s="544" t="str">
        <f>IF(VLOOKUP($E$63,[1]QUART!$A$2:$FA$315, 77, FALSE)="",":",VLOOKUP($E$63,[1]QUART!$A$2:$FA$315, 77, FALSE))</f>
        <v>:</v>
      </c>
      <c r="CA63" s="544" t="str">
        <f>IF(VLOOKUP($E$63,[1]QUART!$A$2:$FA$315, 78, FALSE)="",":",VLOOKUP($E$63,[1]QUART!$A$2:$FA$315, 78, FALSE))</f>
        <v>:</v>
      </c>
      <c r="CB63" s="544" t="str">
        <f>IF(VLOOKUP($E$63,[1]QUART!$A$2:$FA$315, 79, FALSE)="",":",VLOOKUP($E$63,[1]QUART!$A$2:$FA$315, 79, FALSE))</f>
        <v>:</v>
      </c>
      <c r="CC63" s="544" t="str">
        <f>IF(VLOOKUP($E$63,[1]QUART!$A$2:$FA$315, 80, FALSE)="",":",VLOOKUP($E$63,[1]QUART!$A$2:$FA$315, 80, FALSE))</f>
        <v>:</v>
      </c>
      <c r="CD63" s="544" t="str">
        <f>IF(VLOOKUP($E$63,[1]QUART!$A$2:$FA$315, 81, FALSE)="",":",VLOOKUP($E$63,[1]QUART!$A$2:$FA$315, 81, FALSE))</f>
        <v>:</v>
      </c>
      <c r="CE63" s="544" t="str">
        <f>IF(VLOOKUP($E$63,[1]QUART!$A$2:$FA$315, 82, FALSE)="",":",VLOOKUP($E$63,[1]QUART!$A$2:$FA$315, 82, FALSE))</f>
        <v>:</v>
      </c>
      <c r="CF63" s="544" t="str">
        <f>IF(VLOOKUP($E$63,[1]QUART!$A$2:$FA$315, 83, FALSE)="",":",VLOOKUP($E$63,[1]QUART!$A$2:$FA$315, 83, FALSE))</f>
        <v>:</v>
      </c>
      <c r="CG63" s="544" t="str">
        <f>IF(VLOOKUP($E$63,[1]QUART!$A$2:$FA$315, 84, FALSE)="",":",VLOOKUP($E$63,[1]QUART!$A$2:$FA$315, 84, FALSE))</f>
        <v>:</v>
      </c>
      <c r="CH63" s="544" t="str">
        <f>IF(VLOOKUP($E$63,[1]QUART!$A$2:$FA$315, 85, FALSE)="",":",VLOOKUP($E$63,[1]QUART!$A$2:$FA$315, 85, FALSE))</f>
        <v>:</v>
      </c>
      <c r="CI63" s="544" t="str">
        <f>IF(VLOOKUP($E$63,[1]QUART!$A$2:$FA$315, 86, FALSE)="",":",VLOOKUP($E$63,[1]QUART!$A$2:$FA$315, 86, FALSE))</f>
        <v>:</v>
      </c>
      <c r="CJ63" s="544" t="str">
        <f>IF(VLOOKUP($E$63,[1]QUART!$A$2:$FA$315, 87, FALSE)="",":",VLOOKUP($E$63,[1]QUART!$A$2:$FA$315, 87, FALSE))</f>
        <v>:</v>
      </c>
      <c r="CK63" s="544" t="str">
        <f>IF(VLOOKUP($E$63,[1]QUART!$A$2:$FA$315, 88, FALSE)="",":",VLOOKUP($E$63,[1]QUART!$A$2:$FA$315, 88, FALSE))</f>
        <v>:</v>
      </c>
      <c r="CL63" s="544" t="str">
        <f>IF(VLOOKUP($E$63,[1]QUART!$A$2:$FA$315, 89, FALSE)="",":",VLOOKUP($E$63,[1]QUART!$A$2:$FA$315, 89, FALSE))</f>
        <v>:</v>
      </c>
      <c r="CM63" s="544" t="str">
        <f>IF(VLOOKUP($E$63,[1]QUART!$A$2:$FA$315, 90, FALSE)="",":",VLOOKUP($E$63,[1]QUART!$A$2:$FA$315, 90, FALSE))</f>
        <v>:</v>
      </c>
      <c r="CN63" s="544" t="str">
        <f>IF(VLOOKUP($E$63,[1]QUART!$A$2:$FA$315, 91, FALSE)="",":",VLOOKUP($E$63,[1]QUART!$A$2:$FA$315, 91, FALSE))</f>
        <v>:</v>
      </c>
      <c r="CO63" s="544" t="str">
        <f>IF(VLOOKUP($E$63,[1]QUART!$A$2:$FA$315, 92, FALSE)="",":",VLOOKUP($E$63,[1]QUART!$A$2:$FA$315, 92, FALSE))</f>
        <v>:</v>
      </c>
      <c r="CP63" s="544" t="str">
        <f>IF(VLOOKUP($E$63,[1]QUART!$A$2:$FA$315, 93, FALSE)="",":",VLOOKUP($E$63,[1]QUART!$A$2:$FA$315, 93, FALSE))</f>
        <v>:</v>
      </c>
      <c r="CQ63" s="544" t="str">
        <f>IF(VLOOKUP($E$63,[1]QUART!$A$2:$FA$315, 94, FALSE)="",":",VLOOKUP($E$63,[1]QUART!$A$2:$FA$315, 94, FALSE))</f>
        <v>:</v>
      </c>
      <c r="CR63" s="544" t="str">
        <f>IF(VLOOKUP($E$63,[1]QUART!$A$2:$FA$315, 95, FALSE)="",":",VLOOKUP($E$63,[1]QUART!$A$2:$FA$315, 95, FALSE))</f>
        <v>:</v>
      </c>
      <c r="CS63" s="544" t="str">
        <f>IF(VLOOKUP($E$63,[1]QUART!$A$2:$FA$315, 96, FALSE)="",":",VLOOKUP($E$63,[1]QUART!$A$2:$FA$315, 96, FALSE))</f>
        <v>:</v>
      </c>
      <c r="CT63" s="544" t="str">
        <f>IF(VLOOKUP($E$63,[1]QUART!$A$2:$FA$315, 97, FALSE)="",":",VLOOKUP($E$63,[1]QUART!$A$2:$FA$315, 97, FALSE))</f>
        <v>:</v>
      </c>
      <c r="CU63" s="544" t="str">
        <f>IF(VLOOKUP($E$63,[1]QUART!$A$2:$FA$315, 98, FALSE)="",":",VLOOKUP($E$63,[1]QUART!$A$2:$FA$315, 98, FALSE))</f>
        <v>:</v>
      </c>
      <c r="CV63" s="544" t="str">
        <f>IF(VLOOKUP($E$63,[1]QUART!$A$2:$FA$315, 99, FALSE)="",":",VLOOKUP($E$63,[1]QUART!$A$2:$FA$315, 99, FALSE))</f>
        <v>:</v>
      </c>
      <c r="CW63" s="544" t="str">
        <f>IF(VLOOKUP($E$63,[1]QUART!$A$2:$FA$315, 100, FALSE)="",":",VLOOKUP($E$63,[1]QUART!$A$2:$FA$315, 100, FALSE))</f>
        <v>:</v>
      </c>
      <c r="CX63" s="544" t="str">
        <f>IF(VLOOKUP($E$63,[1]QUART!$A$2:$FA$315, 101, FALSE)="",":",VLOOKUP($E$63,[1]QUART!$A$2:$FA$315, 101, FALSE))</f>
        <v>:</v>
      </c>
      <c r="CY63" s="544" t="str">
        <f>IF(VLOOKUP($E$63,[1]QUART!$A$2:$FA$315, 102, FALSE)="",":",VLOOKUP($E$63,[1]QUART!$A$2:$FA$315, 102, FALSE))</f>
        <v>:</v>
      </c>
      <c r="CZ63" s="544" t="str">
        <f>IF(VLOOKUP($E$63,[1]QUART!$A$2:$FA$315, 103, FALSE)="",":",VLOOKUP($E$63,[1]QUART!$A$2:$FA$315, 103, FALSE))</f>
        <v>:</v>
      </c>
      <c r="DA63" s="544" t="str">
        <f>IF(VLOOKUP($E$63,[1]QUART!$A$2:$FA$315, 104, FALSE)="",":",VLOOKUP($E$63,[1]QUART!$A$2:$FA$315, 104, FALSE))</f>
        <v>:</v>
      </c>
      <c r="DB63" s="544" t="str">
        <f>IF(VLOOKUP($E$63,[1]QUART!$A$2:$FA$315, 105, FALSE)="",":",VLOOKUP($E$63,[1]QUART!$A$2:$FA$315, 105, FALSE))</f>
        <v>:</v>
      </c>
      <c r="DC63" s="544" t="str">
        <f>IF(VLOOKUP($E$63,[1]QUART!$A$2:$FA$315, 106, FALSE)="",":",VLOOKUP($E$63,[1]QUART!$A$2:$FA$315, 106, FALSE))</f>
        <v>:</v>
      </c>
    </row>
    <row r="64" spans="1:107">
      <c r="A64" s="1954"/>
      <c r="B64" s="534"/>
      <c r="C64" s="535"/>
      <c r="D64" s="12" t="s">
        <v>1841</v>
      </c>
      <c r="E64" s="13">
        <v>131</v>
      </c>
      <c r="F64" s="14" t="str">
        <f>VLOOKUP($E$64,[1]QUART!$A$2:$FA$315, 3, FALSE)</f>
        <v>131 GFCF other</v>
      </c>
      <c r="G64" s="544" t="str">
        <f>IF(VLOOKUP($E$64,[1]QUART!$A$2:$FA$315, 6, FALSE)="",":",VLOOKUP($E$64,[1]QUART!$A$2:$FA$315, 6, FALSE))</f>
        <v>:</v>
      </c>
      <c r="H64" s="544" t="str">
        <f>IF(VLOOKUP($E$64,[1]QUART!$A$2:$FA$315, 7, FALSE)="",":",VLOOKUP($E$64,[1]QUART!$A$2:$FA$315, 7, FALSE))</f>
        <v>:</v>
      </c>
      <c r="I64" s="544" t="str">
        <f>IF(VLOOKUP($E$64,[1]QUART!$A$2:$FA$315, 8, FALSE)="",":",VLOOKUP($E$64,[1]QUART!$A$2:$FA$315, 8, FALSE))</f>
        <v>:</v>
      </c>
      <c r="J64" s="544" t="str">
        <f>IF(VLOOKUP($E$64,[1]QUART!$A$2:$FA$315, 9, FALSE)="",":",VLOOKUP($E$64,[1]QUART!$A$2:$FA$315, 9, FALSE))</f>
        <v>:</v>
      </c>
      <c r="K64" s="544" t="str">
        <f>IF(VLOOKUP($E$64,[1]QUART!$A$2:$FA$315, 10, FALSE)="",":",VLOOKUP($E$64,[1]QUART!$A$2:$FA$315, 10, FALSE))</f>
        <v>:</v>
      </c>
      <c r="L64" s="544" t="str">
        <f>IF(VLOOKUP($E$64,[1]QUART!$A$2:$FA$315, 11, FALSE)="",":",VLOOKUP($E$64,[1]QUART!$A$2:$FA$315, 11, FALSE))</f>
        <v>:</v>
      </c>
      <c r="M64" s="544" t="str">
        <f>IF(VLOOKUP($E$64,[1]QUART!$A$2:$FA$315, 12, FALSE)="",":",VLOOKUP($E$64,[1]QUART!$A$2:$FA$315, 12, FALSE))</f>
        <v>:</v>
      </c>
      <c r="N64" s="544" t="str">
        <f>IF(VLOOKUP($E$64,[1]QUART!$A$2:$FA$315, 13, FALSE)="",":",VLOOKUP($E$64,[1]QUART!$A$2:$FA$315, 13, FALSE))</f>
        <v>:</v>
      </c>
      <c r="O64" s="544" t="str">
        <f>IF(VLOOKUP($E$64,[1]QUART!$A$2:$FA$315, 14, FALSE)="",":",VLOOKUP($E$64,[1]QUART!$A$2:$FA$315, 14, FALSE))</f>
        <v>:</v>
      </c>
      <c r="P64" s="544" t="str">
        <f>IF(VLOOKUP($E$64,[1]QUART!$A$2:$FA$315, 15, FALSE)="",":",VLOOKUP($E$64,[1]QUART!$A$2:$FA$315, 15, FALSE))</f>
        <v>:</v>
      </c>
      <c r="Q64" s="544" t="str">
        <f>IF(VLOOKUP($E$64,[1]QUART!$A$2:$FA$315, 16, FALSE)="",":",VLOOKUP($E$64,[1]QUART!$A$2:$FA$315, 16, FALSE))</f>
        <v>:</v>
      </c>
      <c r="R64" s="544" t="str">
        <f>IF(VLOOKUP($E$64,[1]QUART!$A$2:$FA$315, 17, FALSE)="",":",VLOOKUP($E$64,[1]QUART!$A$2:$FA$315, 17, FALSE))</f>
        <v>:</v>
      </c>
      <c r="S64" s="544" t="str">
        <f>IF(VLOOKUP($E$64,[1]QUART!$A$2:$FA$315, 18, FALSE)="",":",VLOOKUP($E$64,[1]QUART!$A$2:$FA$315, 18, FALSE))</f>
        <v>:</v>
      </c>
      <c r="T64" s="544" t="str">
        <f>IF(VLOOKUP($E$64,[1]QUART!$A$2:$FA$315, 19, FALSE)="",":",VLOOKUP($E$64,[1]QUART!$A$2:$FA$315, 19, FALSE))</f>
        <v>:</v>
      </c>
      <c r="U64" s="544" t="str">
        <f>IF(VLOOKUP($E$64,[1]QUART!$A$2:$FA$315, 20, FALSE)="",":",VLOOKUP($E$64,[1]QUART!$A$2:$FA$315, 20, FALSE))</f>
        <v>:</v>
      </c>
      <c r="V64" s="544" t="str">
        <f>IF(VLOOKUP($E$64,[1]QUART!$A$2:$FA$315, 21, FALSE)="",":",VLOOKUP($E$64,[1]QUART!$A$2:$FA$315, 21, FALSE))</f>
        <v>:</v>
      </c>
      <c r="W64" s="544" t="str">
        <f>IF(VLOOKUP($E$64,[1]QUART!$A$2:$FA$315, 22, FALSE)="",":",VLOOKUP($E$64,[1]QUART!$A$2:$FA$315, 22, FALSE))</f>
        <v>:</v>
      </c>
      <c r="X64" s="544" t="str">
        <f>IF(VLOOKUP($E$64,[1]QUART!$A$2:$FA$315, 23, FALSE)="",":",VLOOKUP($E$64,[1]QUART!$A$2:$FA$315, 23, FALSE))</f>
        <v>:</v>
      </c>
      <c r="Y64" s="544" t="str">
        <f>IF(VLOOKUP($E$64,[1]QUART!$A$2:$FA$315, 24, FALSE)="",":",VLOOKUP($E$64,[1]QUART!$A$2:$FA$315, 24, FALSE))</f>
        <v>:</v>
      </c>
      <c r="Z64" s="544" t="str">
        <f>IF(VLOOKUP($E$64,[1]QUART!$A$2:$FA$315, 25, FALSE)="",":",VLOOKUP($E$64,[1]QUART!$A$2:$FA$315, 25, FALSE))</f>
        <v>:</v>
      </c>
      <c r="AA64" s="544" t="str">
        <f>IF(VLOOKUP($E$64,[1]QUART!$A$2:$FA$315, 26, FALSE)="",":",VLOOKUP($E$64,[1]QUART!$A$2:$FA$315, 26, FALSE))</f>
        <v>:</v>
      </c>
      <c r="AB64" s="544" t="str">
        <f>IF(VLOOKUP($E$64,[1]QUART!$A$2:$FA$315, 27, FALSE)="",":",VLOOKUP($E$64,[1]QUART!$A$2:$FA$315, 27, FALSE))</f>
        <v>:</v>
      </c>
      <c r="AC64" s="544" t="str">
        <f>IF(VLOOKUP($E$64,[1]QUART!$A$2:$FA$315, 28, FALSE)="",":",VLOOKUP($E$64,[1]QUART!$A$2:$FA$315, 28, FALSE))</f>
        <v>:</v>
      </c>
      <c r="AD64" s="544" t="str">
        <f>IF(VLOOKUP($E$64,[1]QUART!$A$2:$FA$315, 29, FALSE)="",":",VLOOKUP($E$64,[1]QUART!$A$2:$FA$315, 29, FALSE))</f>
        <v>:</v>
      </c>
      <c r="AE64" s="544" t="str">
        <f>IF(VLOOKUP($E$64,[1]QUART!$A$2:$FA$315, 30, FALSE)="",":",VLOOKUP($E$64,[1]QUART!$A$2:$FA$315, 30, FALSE))</f>
        <v>:</v>
      </c>
      <c r="AF64" s="544" t="str">
        <f>IF(VLOOKUP($E$64,[1]QUART!$A$2:$FA$315, 31, FALSE)="",":",VLOOKUP($E$64,[1]QUART!$A$2:$FA$315, 31, FALSE))</f>
        <v>:</v>
      </c>
      <c r="AG64" s="544" t="str">
        <f>IF(VLOOKUP($E$64,[1]QUART!$A$2:$FA$315, 32, FALSE)="",":",VLOOKUP($E$64,[1]QUART!$A$2:$FA$315, 32, FALSE))</f>
        <v>:</v>
      </c>
      <c r="AH64" s="544" t="str">
        <f>IF(VLOOKUP($E$64,[1]QUART!$A$2:$FA$315, 33, FALSE)="",":",VLOOKUP($E$64,[1]QUART!$A$2:$FA$315, 33, FALSE))</f>
        <v>:</v>
      </c>
      <c r="AI64" s="544" t="str">
        <f>IF(VLOOKUP($E$64,[1]QUART!$A$2:$FA$315, 34, FALSE)="",":",VLOOKUP($E$64,[1]QUART!$A$2:$FA$315, 34, FALSE))</f>
        <v>:</v>
      </c>
      <c r="AJ64" s="544" t="str">
        <f>IF(VLOOKUP($E$64,[1]QUART!$A$2:$FA$315, 35, FALSE)="",":",VLOOKUP($E$64,[1]QUART!$A$2:$FA$315, 35, FALSE))</f>
        <v>:</v>
      </c>
      <c r="AK64" s="544" t="str">
        <f>IF(VLOOKUP($E$64,[1]QUART!$A$2:$FA$315, 36, FALSE)="",":",VLOOKUP($E$64,[1]QUART!$A$2:$FA$315, 36, FALSE))</f>
        <v>:</v>
      </c>
      <c r="AL64" s="544" t="str">
        <f>IF(VLOOKUP($E$64,[1]QUART!$A$2:$FA$315, 37, FALSE)="",":",VLOOKUP($E$64,[1]QUART!$A$2:$FA$315, 37, FALSE))</f>
        <v>:</v>
      </c>
      <c r="AM64" s="544" t="str">
        <f>IF(VLOOKUP($E$64,[1]QUART!$A$2:$FA$315, 38, FALSE)="",":",VLOOKUP($E$64,[1]QUART!$A$2:$FA$315, 38, FALSE))</f>
        <v>:</v>
      </c>
      <c r="AN64" s="544" t="str">
        <f>IF(VLOOKUP($E$64,[1]QUART!$A$2:$FA$315, 39, FALSE)="",":",VLOOKUP($E$64,[1]QUART!$A$2:$FA$315, 39, FALSE))</f>
        <v>:</v>
      </c>
      <c r="AO64" s="544" t="str">
        <f>IF(VLOOKUP($E$64,[1]QUART!$A$2:$FA$315, 40, FALSE)="",":",VLOOKUP($E$64,[1]QUART!$A$2:$FA$315, 40, FALSE))</f>
        <v>:</v>
      </c>
      <c r="AP64" s="544" t="str">
        <f>IF(VLOOKUP($E$64,[1]QUART!$A$2:$FA$315, 41, FALSE)="",":",VLOOKUP($E$64,[1]QUART!$A$2:$FA$315, 41, FALSE))</f>
        <v>:</v>
      </c>
      <c r="AQ64" s="544" t="str">
        <f>IF(VLOOKUP($E$64,[1]QUART!$A$2:$FA$315, 42, FALSE)="",":",VLOOKUP($E$64,[1]QUART!$A$2:$FA$315, 42, FALSE))</f>
        <v>:</v>
      </c>
      <c r="AR64" s="544" t="str">
        <f>IF(VLOOKUP($E$64,[1]QUART!$A$2:$FA$315, 43, FALSE)="",":",VLOOKUP($E$64,[1]QUART!$A$2:$FA$315, 43, FALSE))</f>
        <v>:</v>
      </c>
      <c r="AS64" s="544" t="str">
        <f>IF(VLOOKUP($E$64,[1]QUART!$A$2:$FA$315, 44, FALSE)="",":",VLOOKUP($E$64,[1]QUART!$A$2:$FA$315, 44, FALSE))</f>
        <v>:</v>
      </c>
      <c r="AT64" s="544" t="str">
        <f>IF(VLOOKUP($E$64,[1]QUART!$A$2:$FA$315, 45, FALSE)="",":",VLOOKUP($E$64,[1]QUART!$A$2:$FA$315, 45, FALSE))</f>
        <v>:</v>
      </c>
      <c r="AU64" s="544" t="str">
        <f>IF(VLOOKUP($E$64,[1]QUART!$A$2:$FA$315, 46, FALSE)="",":",VLOOKUP($E$64,[1]QUART!$A$2:$FA$315, 46, FALSE))</f>
        <v>:</v>
      </c>
      <c r="AV64" s="544" t="str">
        <f>IF(VLOOKUP($E$64,[1]QUART!$A$2:$FA$315, 47, FALSE)="",":",VLOOKUP($E$64,[1]QUART!$A$2:$FA$315, 47, FALSE))</f>
        <v>:</v>
      </c>
      <c r="AW64" s="544" t="str">
        <f>IF(VLOOKUP($E$64,[1]QUART!$A$2:$FA$315, 48, FALSE)="",":",VLOOKUP($E$64,[1]QUART!$A$2:$FA$315, 48, FALSE))</f>
        <v>:</v>
      </c>
      <c r="AX64" s="544" t="str">
        <f>IF(VLOOKUP($E$64,[1]QUART!$A$2:$FA$315, 49, FALSE)="",":",VLOOKUP($E$64,[1]QUART!$A$2:$FA$315, 49, FALSE))</f>
        <v>:</v>
      </c>
      <c r="AY64" s="544" t="str">
        <f>IF(VLOOKUP($E$64,[1]QUART!$A$2:$FA$315, 50, FALSE)="",":",VLOOKUP($E$64,[1]QUART!$A$2:$FA$315, 50, FALSE))</f>
        <v>:</v>
      </c>
      <c r="AZ64" s="544" t="str">
        <f>IF(VLOOKUP($E$64,[1]QUART!$A$2:$FA$315, 51, FALSE)="",":",VLOOKUP($E$64,[1]QUART!$A$2:$FA$315, 51, FALSE))</f>
        <v>:</v>
      </c>
      <c r="BA64" s="544" t="str">
        <f>IF(VLOOKUP($E$64,[1]QUART!$A$2:$FA$315, 52, FALSE)="",":",VLOOKUP($E$64,[1]QUART!$A$2:$FA$315, 52, FALSE))</f>
        <v>:</v>
      </c>
      <c r="BB64" s="544" t="str">
        <f>IF(VLOOKUP($E$64,[1]QUART!$A$2:$FA$315, 53, FALSE)="",":",VLOOKUP($E$64,[1]QUART!$A$2:$FA$315, 53, FALSE))</f>
        <v>:</v>
      </c>
      <c r="BC64" s="544" t="str">
        <f>IF(VLOOKUP($E$64,[1]QUART!$A$2:$FA$315, 54, FALSE)="",":",VLOOKUP($E$64,[1]QUART!$A$2:$FA$315, 54, FALSE))</f>
        <v>:</v>
      </c>
      <c r="BD64" s="544" t="str">
        <f>IF(VLOOKUP($E$64,[1]QUART!$A$2:$FA$315, 55, FALSE)="",":",VLOOKUP($E$64,[1]QUART!$A$2:$FA$315, 55, FALSE))</f>
        <v>:</v>
      </c>
      <c r="BE64" s="544" t="str">
        <f>IF(VLOOKUP($E$64,[1]QUART!$A$2:$FA$315, 56, FALSE)="",":",VLOOKUP($E$64,[1]QUART!$A$2:$FA$315, 56, FALSE))</f>
        <v>:</v>
      </c>
      <c r="BF64" s="544" t="str">
        <f>IF(VLOOKUP($E$64,[1]QUART!$A$2:$FA$315, 57, FALSE)="",":",VLOOKUP($E$64,[1]QUART!$A$2:$FA$315, 57, FALSE))</f>
        <v>:</v>
      </c>
      <c r="BG64" s="544" t="str">
        <f>IF(VLOOKUP($E$64,[1]QUART!$A$2:$FA$315, 58, FALSE)="",":",VLOOKUP($E$64,[1]QUART!$A$2:$FA$315, 58, FALSE))</f>
        <v>:</v>
      </c>
      <c r="BH64" s="544" t="str">
        <f>IF(VLOOKUP($E$64,[1]QUART!$A$2:$FA$315, 59, FALSE)="",":",VLOOKUP($E$64,[1]QUART!$A$2:$FA$315, 59, FALSE))</f>
        <v>:</v>
      </c>
      <c r="BI64" s="544" t="str">
        <f>IF(VLOOKUP($E$64,[1]QUART!$A$2:$FA$315, 60, FALSE)="",":",VLOOKUP($E$64,[1]QUART!$A$2:$FA$315, 60, FALSE))</f>
        <v>:</v>
      </c>
      <c r="BJ64" s="544" t="str">
        <f>IF(VLOOKUP($E$64,[1]QUART!$A$2:$FA$315, 61, FALSE)="",":",VLOOKUP($E$64,[1]QUART!$A$2:$FA$315, 61, FALSE))</f>
        <v>:</v>
      </c>
      <c r="BK64" s="544" t="str">
        <f>IF(VLOOKUP($E$64,[1]QUART!$A$2:$FA$315, 62, FALSE)="",":",VLOOKUP($E$64,[1]QUART!$A$2:$FA$315, 62, FALSE))</f>
        <v>:</v>
      </c>
      <c r="BL64" s="544" t="str">
        <f>IF(VLOOKUP($E$64,[1]QUART!$A$2:$FA$315, 63, FALSE)="",":",VLOOKUP($E$64,[1]QUART!$A$2:$FA$315, 63, FALSE))</f>
        <v>:</v>
      </c>
      <c r="BM64" s="544" t="str">
        <f>IF(VLOOKUP($E$64,[1]QUART!$A$2:$FA$315, 64, FALSE)="",":",VLOOKUP($E$64,[1]QUART!$A$2:$FA$315, 64, FALSE))</f>
        <v>:</v>
      </c>
      <c r="BN64" s="544" t="str">
        <f>IF(VLOOKUP($E$64,[1]QUART!$A$2:$FA$315, 65, FALSE)="",":",VLOOKUP($E$64,[1]QUART!$A$2:$FA$315, 65, FALSE))</f>
        <v>:</v>
      </c>
      <c r="BO64" s="544" t="str">
        <f>IF(VLOOKUP($E$64,[1]QUART!$A$2:$FA$315, 66, FALSE)="",":",VLOOKUP($E$64,[1]QUART!$A$2:$FA$315, 66, FALSE))</f>
        <v>:</v>
      </c>
      <c r="BP64" s="544" t="str">
        <f>IF(VLOOKUP($E$64,[1]QUART!$A$2:$FA$315, 67, FALSE)="",":",VLOOKUP($E$64,[1]QUART!$A$2:$FA$315, 67, FALSE))</f>
        <v>:</v>
      </c>
      <c r="BQ64" s="544" t="str">
        <f>IF(VLOOKUP($E$64,[1]QUART!$A$2:$FA$315, 68, FALSE)="",":",VLOOKUP($E$64,[1]QUART!$A$2:$FA$315, 68, FALSE))</f>
        <v>:</v>
      </c>
      <c r="BR64" s="544" t="str">
        <f>IF(VLOOKUP($E$64,[1]QUART!$A$2:$FA$315, 69, FALSE)="",":",VLOOKUP($E$64,[1]QUART!$A$2:$FA$315, 69, FALSE))</f>
        <v>:</v>
      </c>
      <c r="BS64" s="544" t="str">
        <f>IF(VLOOKUP($E$64,[1]QUART!$A$2:$FA$315, 70, FALSE)="",":",VLOOKUP($E$64,[1]QUART!$A$2:$FA$315, 70, FALSE))</f>
        <v>:</v>
      </c>
      <c r="BT64" s="544" t="str">
        <f>IF(VLOOKUP($E$64,[1]QUART!$A$2:$FA$315, 71, FALSE)="",":",VLOOKUP($E$64,[1]QUART!$A$2:$FA$315, 71, FALSE))</f>
        <v>:</v>
      </c>
      <c r="BU64" s="544" t="str">
        <f>IF(VLOOKUP($E$64,[1]QUART!$A$2:$FA$315, 72, FALSE)="",":",VLOOKUP($E$64,[1]QUART!$A$2:$FA$315, 72, FALSE))</f>
        <v>:</v>
      </c>
      <c r="BV64" s="544" t="str">
        <f>IF(VLOOKUP($E$64,[1]QUART!$A$2:$FA$315, 73, FALSE)="",":",VLOOKUP($E$64,[1]QUART!$A$2:$FA$315, 73, FALSE))</f>
        <v>:</v>
      </c>
      <c r="BW64" s="544" t="str">
        <f>IF(VLOOKUP($E$64,[1]QUART!$A$2:$FA$315, 74, FALSE)="",":",VLOOKUP($E$64,[1]QUART!$A$2:$FA$315, 74, FALSE))</f>
        <v>:</v>
      </c>
      <c r="BX64" s="544" t="str">
        <f>IF(VLOOKUP($E$64,[1]QUART!$A$2:$FA$315, 75, FALSE)="",":",VLOOKUP($E$64,[1]QUART!$A$2:$FA$315, 75, FALSE))</f>
        <v>:</v>
      </c>
      <c r="BY64" s="544" t="str">
        <f>IF(VLOOKUP($E$64,[1]QUART!$A$2:$FA$315, 76, FALSE)="",":",VLOOKUP($E$64,[1]QUART!$A$2:$FA$315, 76, FALSE))</f>
        <v>:</v>
      </c>
      <c r="BZ64" s="544" t="str">
        <f>IF(VLOOKUP($E$64,[1]QUART!$A$2:$FA$315, 77, FALSE)="",":",VLOOKUP($E$64,[1]QUART!$A$2:$FA$315, 77, FALSE))</f>
        <v>:</v>
      </c>
      <c r="CA64" s="544" t="str">
        <f>IF(VLOOKUP($E$64,[1]QUART!$A$2:$FA$315, 78, FALSE)="",":",VLOOKUP($E$64,[1]QUART!$A$2:$FA$315, 78, FALSE))</f>
        <v>:</v>
      </c>
      <c r="CB64" s="544" t="str">
        <f>IF(VLOOKUP($E$64,[1]QUART!$A$2:$FA$315, 79, FALSE)="",":",VLOOKUP($E$64,[1]QUART!$A$2:$FA$315, 79, FALSE))</f>
        <v>:</v>
      </c>
      <c r="CC64" s="544" t="str">
        <f>IF(VLOOKUP($E$64,[1]QUART!$A$2:$FA$315, 80, FALSE)="",":",VLOOKUP($E$64,[1]QUART!$A$2:$FA$315, 80, FALSE))</f>
        <v>:</v>
      </c>
      <c r="CD64" s="544" t="str">
        <f>IF(VLOOKUP($E$64,[1]QUART!$A$2:$FA$315, 81, FALSE)="",":",VLOOKUP($E$64,[1]QUART!$A$2:$FA$315, 81, FALSE))</f>
        <v>:</v>
      </c>
      <c r="CE64" s="544" t="str">
        <f>IF(VLOOKUP($E$64,[1]QUART!$A$2:$FA$315, 82, FALSE)="",":",VLOOKUP($E$64,[1]QUART!$A$2:$FA$315, 82, FALSE))</f>
        <v>:</v>
      </c>
      <c r="CF64" s="544" t="str">
        <f>IF(VLOOKUP($E$64,[1]QUART!$A$2:$FA$315, 83, FALSE)="",":",VLOOKUP($E$64,[1]QUART!$A$2:$FA$315, 83, FALSE))</f>
        <v>:</v>
      </c>
      <c r="CG64" s="544" t="str">
        <f>IF(VLOOKUP($E$64,[1]QUART!$A$2:$FA$315, 84, FALSE)="",":",VLOOKUP($E$64,[1]QUART!$A$2:$FA$315, 84, FALSE))</f>
        <v>:</v>
      </c>
      <c r="CH64" s="544" t="str">
        <f>IF(VLOOKUP($E$64,[1]QUART!$A$2:$FA$315, 85, FALSE)="",":",VLOOKUP($E$64,[1]QUART!$A$2:$FA$315, 85, FALSE))</f>
        <v>:</v>
      </c>
      <c r="CI64" s="544" t="str">
        <f>IF(VLOOKUP($E$64,[1]QUART!$A$2:$FA$315, 86, FALSE)="",":",VLOOKUP($E$64,[1]QUART!$A$2:$FA$315, 86, FALSE))</f>
        <v>:</v>
      </c>
      <c r="CJ64" s="544" t="str">
        <f>IF(VLOOKUP($E$64,[1]QUART!$A$2:$FA$315, 87, FALSE)="",":",VLOOKUP($E$64,[1]QUART!$A$2:$FA$315, 87, FALSE))</f>
        <v>:</v>
      </c>
      <c r="CK64" s="544" t="str">
        <f>IF(VLOOKUP($E$64,[1]QUART!$A$2:$FA$315, 88, FALSE)="",":",VLOOKUP($E$64,[1]QUART!$A$2:$FA$315, 88, FALSE))</f>
        <v>:</v>
      </c>
      <c r="CL64" s="544" t="str">
        <f>IF(VLOOKUP($E$64,[1]QUART!$A$2:$FA$315, 89, FALSE)="",":",VLOOKUP($E$64,[1]QUART!$A$2:$FA$315, 89, FALSE))</f>
        <v>:</v>
      </c>
      <c r="CM64" s="544" t="str">
        <f>IF(VLOOKUP($E$64,[1]QUART!$A$2:$FA$315, 90, FALSE)="",":",VLOOKUP($E$64,[1]QUART!$A$2:$FA$315, 90, FALSE))</f>
        <v>:</v>
      </c>
      <c r="CN64" s="544" t="str">
        <f>IF(VLOOKUP($E$64,[1]QUART!$A$2:$FA$315, 91, FALSE)="",":",VLOOKUP($E$64,[1]QUART!$A$2:$FA$315, 91, FALSE))</f>
        <v>:</v>
      </c>
      <c r="CO64" s="544" t="str">
        <f>IF(VLOOKUP($E$64,[1]QUART!$A$2:$FA$315, 92, FALSE)="",":",VLOOKUP($E$64,[1]QUART!$A$2:$FA$315, 92, FALSE))</f>
        <v>:</v>
      </c>
      <c r="CP64" s="544" t="str">
        <f>IF(VLOOKUP($E$64,[1]QUART!$A$2:$FA$315, 93, FALSE)="",":",VLOOKUP($E$64,[1]QUART!$A$2:$FA$315, 93, FALSE))</f>
        <v>:</v>
      </c>
      <c r="CQ64" s="544" t="str">
        <f>IF(VLOOKUP($E$64,[1]QUART!$A$2:$FA$315, 94, FALSE)="",":",VLOOKUP($E$64,[1]QUART!$A$2:$FA$315, 94, FALSE))</f>
        <v>:</v>
      </c>
      <c r="CR64" s="544" t="str">
        <f>IF(VLOOKUP($E$64,[1]QUART!$A$2:$FA$315, 95, FALSE)="",":",VLOOKUP($E$64,[1]QUART!$A$2:$FA$315, 95, FALSE))</f>
        <v>:</v>
      </c>
      <c r="CS64" s="544" t="str">
        <f>IF(VLOOKUP($E$64,[1]QUART!$A$2:$FA$315, 96, FALSE)="",":",VLOOKUP($E$64,[1]QUART!$A$2:$FA$315, 96, FALSE))</f>
        <v>:</v>
      </c>
      <c r="CT64" s="544" t="str">
        <f>IF(VLOOKUP($E$64,[1]QUART!$A$2:$FA$315, 97, FALSE)="",":",VLOOKUP($E$64,[1]QUART!$A$2:$FA$315, 97, FALSE))</f>
        <v>:</v>
      </c>
      <c r="CU64" s="544" t="str">
        <f>IF(VLOOKUP($E$64,[1]QUART!$A$2:$FA$315, 98, FALSE)="",":",VLOOKUP($E$64,[1]QUART!$A$2:$FA$315, 98, FALSE))</f>
        <v>:</v>
      </c>
      <c r="CV64" s="544" t="str">
        <f>IF(VLOOKUP($E$64,[1]QUART!$A$2:$FA$315, 99, FALSE)="",":",VLOOKUP($E$64,[1]QUART!$A$2:$FA$315, 99, FALSE))</f>
        <v>:</v>
      </c>
      <c r="CW64" s="544" t="str">
        <f>IF(VLOOKUP($E$64,[1]QUART!$A$2:$FA$315, 100, FALSE)="",":",VLOOKUP($E$64,[1]QUART!$A$2:$FA$315, 100, FALSE))</f>
        <v>:</v>
      </c>
      <c r="CX64" s="544" t="str">
        <f>IF(VLOOKUP($E$64,[1]QUART!$A$2:$FA$315, 101, FALSE)="",":",VLOOKUP($E$64,[1]QUART!$A$2:$FA$315, 101, FALSE))</f>
        <v>:</v>
      </c>
      <c r="CY64" s="544" t="str">
        <f>IF(VLOOKUP($E$64,[1]QUART!$A$2:$FA$315, 102, FALSE)="",":",VLOOKUP($E$64,[1]QUART!$A$2:$FA$315, 102, FALSE))</f>
        <v>:</v>
      </c>
      <c r="CZ64" s="544" t="str">
        <f>IF(VLOOKUP($E$64,[1]QUART!$A$2:$FA$315, 103, FALSE)="",":",VLOOKUP($E$64,[1]QUART!$A$2:$FA$315, 103, FALSE))</f>
        <v>:</v>
      </c>
      <c r="DA64" s="544" t="str">
        <f>IF(VLOOKUP($E$64,[1]QUART!$A$2:$FA$315, 104, FALSE)="",":",VLOOKUP($E$64,[1]QUART!$A$2:$FA$315, 104, FALSE))</f>
        <v>:</v>
      </c>
      <c r="DB64" s="544" t="str">
        <f>IF(VLOOKUP($E$64,[1]QUART!$A$2:$FA$315, 105, FALSE)="",":",VLOOKUP($E$64,[1]QUART!$A$2:$FA$315, 105, FALSE))</f>
        <v>:</v>
      </c>
      <c r="DC64" s="544" t="str">
        <f>IF(VLOOKUP($E$64,[1]QUART!$A$2:$FA$315, 106, FALSE)="",":",VLOOKUP($E$64,[1]QUART!$A$2:$FA$315, 106, FALSE))</f>
        <v>:</v>
      </c>
    </row>
    <row r="65" spans="1:107">
      <c r="A65" s="1954"/>
      <c r="B65" s="534"/>
      <c r="C65" s="535"/>
      <c r="D65" s="12" t="s">
        <v>1841</v>
      </c>
      <c r="E65" s="13">
        <v>132</v>
      </c>
      <c r="F65" s="14" t="str">
        <f>VLOOKUP($E$65,[1]QUART!$A$2:$FA$315, 3, FALSE)</f>
        <v>132 Gross capital formation (incl. Inventories)</v>
      </c>
      <c r="G65" s="544" t="str">
        <f>IF(VLOOKUP($E$65,[1]QUART!$A$2:$FA$315, 6, FALSE)="",":",VLOOKUP($E$65,[1]QUART!$A$2:$FA$315, 6, FALSE))</f>
        <v>:</v>
      </c>
      <c r="H65" s="544" t="str">
        <f>IF(VLOOKUP($E$65,[1]QUART!$A$2:$FA$315, 7, FALSE)="",":",VLOOKUP($E$65,[1]QUART!$A$2:$FA$315, 7, FALSE))</f>
        <v>:</v>
      </c>
      <c r="I65" s="544" t="str">
        <f>IF(VLOOKUP($E$65,[1]QUART!$A$2:$FA$315, 8, FALSE)="",":",VLOOKUP($E$65,[1]QUART!$A$2:$FA$315, 8, FALSE))</f>
        <v>:</v>
      </c>
      <c r="J65" s="544" t="str">
        <f>IF(VLOOKUP($E$65,[1]QUART!$A$2:$FA$315, 9, FALSE)="",":",VLOOKUP($E$65,[1]QUART!$A$2:$FA$315, 9, FALSE))</f>
        <v>:</v>
      </c>
      <c r="K65" s="544" t="str">
        <f>IF(VLOOKUP($E$65,[1]QUART!$A$2:$FA$315, 10, FALSE)="",":",VLOOKUP($E$65,[1]QUART!$A$2:$FA$315, 10, FALSE))</f>
        <v>:</v>
      </c>
      <c r="L65" s="544" t="str">
        <f>IF(VLOOKUP($E$65,[1]QUART!$A$2:$FA$315, 11, FALSE)="",":",VLOOKUP($E$65,[1]QUART!$A$2:$FA$315, 11, FALSE))</f>
        <v>:</v>
      </c>
      <c r="M65" s="544" t="str">
        <f>IF(VLOOKUP($E$65,[1]QUART!$A$2:$FA$315, 12, FALSE)="",":",VLOOKUP($E$65,[1]QUART!$A$2:$FA$315, 12, FALSE))</f>
        <v>:</v>
      </c>
      <c r="N65" s="544" t="str">
        <f>IF(VLOOKUP($E$65,[1]QUART!$A$2:$FA$315, 13, FALSE)="",":",VLOOKUP($E$65,[1]QUART!$A$2:$FA$315, 13, FALSE))</f>
        <v>:</v>
      </c>
      <c r="O65" s="544" t="str">
        <f>IF(VLOOKUP($E$65,[1]QUART!$A$2:$FA$315, 14, FALSE)="",":",VLOOKUP($E$65,[1]QUART!$A$2:$FA$315, 14, FALSE))</f>
        <v>:</v>
      </c>
      <c r="P65" s="544" t="str">
        <f>IF(VLOOKUP($E$65,[1]QUART!$A$2:$FA$315, 15, FALSE)="",":",VLOOKUP($E$65,[1]QUART!$A$2:$FA$315, 15, FALSE))</f>
        <v>:</v>
      </c>
      <c r="Q65" s="544" t="str">
        <f>IF(VLOOKUP($E$65,[1]QUART!$A$2:$FA$315, 16, FALSE)="",":",VLOOKUP($E$65,[1]QUART!$A$2:$FA$315, 16, FALSE))</f>
        <v>:</v>
      </c>
      <c r="R65" s="544" t="str">
        <f>IF(VLOOKUP($E$65,[1]QUART!$A$2:$FA$315, 17, FALSE)="",":",VLOOKUP($E$65,[1]QUART!$A$2:$FA$315, 17, FALSE))</f>
        <v>:</v>
      </c>
      <c r="S65" s="544" t="str">
        <f>IF(VLOOKUP($E$65,[1]QUART!$A$2:$FA$315, 18, FALSE)="",":",VLOOKUP($E$65,[1]QUART!$A$2:$FA$315, 18, FALSE))</f>
        <v>:</v>
      </c>
      <c r="T65" s="544" t="str">
        <f>IF(VLOOKUP($E$65,[1]QUART!$A$2:$FA$315, 19, FALSE)="",":",VLOOKUP($E$65,[1]QUART!$A$2:$FA$315, 19, FALSE))</f>
        <v>:</v>
      </c>
      <c r="U65" s="544" t="str">
        <f>IF(VLOOKUP($E$65,[1]QUART!$A$2:$FA$315, 20, FALSE)="",":",VLOOKUP($E$65,[1]QUART!$A$2:$FA$315, 20, FALSE))</f>
        <v>:</v>
      </c>
      <c r="V65" s="544" t="str">
        <f>IF(VLOOKUP($E$65,[1]QUART!$A$2:$FA$315, 21, FALSE)="",":",VLOOKUP($E$65,[1]QUART!$A$2:$FA$315, 21, FALSE))</f>
        <v>:</v>
      </c>
      <c r="W65" s="544" t="str">
        <f>IF(VLOOKUP($E$65,[1]QUART!$A$2:$FA$315, 22, FALSE)="",":",VLOOKUP($E$65,[1]QUART!$A$2:$FA$315, 22, FALSE))</f>
        <v>:</v>
      </c>
      <c r="X65" s="544" t="str">
        <f>IF(VLOOKUP($E$65,[1]QUART!$A$2:$FA$315, 23, FALSE)="",":",VLOOKUP($E$65,[1]QUART!$A$2:$FA$315, 23, FALSE))</f>
        <v>:</v>
      </c>
      <c r="Y65" s="544" t="str">
        <f>IF(VLOOKUP($E$65,[1]QUART!$A$2:$FA$315, 24, FALSE)="",":",VLOOKUP($E$65,[1]QUART!$A$2:$FA$315, 24, FALSE))</f>
        <v>:</v>
      </c>
      <c r="Z65" s="544" t="str">
        <f>IF(VLOOKUP($E$65,[1]QUART!$A$2:$FA$315, 25, FALSE)="",":",VLOOKUP($E$65,[1]QUART!$A$2:$FA$315, 25, FALSE))</f>
        <v>:</v>
      </c>
      <c r="AA65" s="544" t="str">
        <f>IF(VLOOKUP($E$65,[1]QUART!$A$2:$FA$315, 26, FALSE)="",":",VLOOKUP($E$65,[1]QUART!$A$2:$FA$315, 26, FALSE))</f>
        <v>:</v>
      </c>
      <c r="AB65" s="544" t="str">
        <f>IF(VLOOKUP($E$65,[1]QUART!$A$2:$FA$315, 27, FALSE)="",":",VLOOKUP($E$65,[1]QUART!$A$2:$FA$315, 27, FALSE))</f>
        <v>:</v>
      </c>
      <c r="AC65" s="544" t="str">
        <f>IF(VLOOKUP($E$65,[1]QUART!$A$2:$FA$315, 28, FALSE)="",":",VLOOKUP($E$65,[1]QUART!$A$2:$FA$315, 28, FALSE))</f>
        <v>:</v>
      </c>
      <c r="AD65" s="544" t="str">
        <f>IF(VLOOKUP($E$65,[1]QUART!$A$2:$FA$315, 29, FALSE)="",":",VLOOKUP($E$65,[1]QUART!$A$2:$FA$315, 29, FALSE))</f>
        <v>:</v>
      </c>
      <c r="AE65" s="544" t="str">
        <f>IF(VLOOKUP($E$65,[1]QUART!$A$2:$FA$315, 30, FALSE)="",":",VLOOKUP($E$65,[1]QUART!$A$2:$FA$315, 30, FALSE))</f>
        <v>:</v>
      </c>
      <c r="AF65" s="544" t="str">
        <f>IF(VLOOKUP($E$65,[1]QUART!$A$2:$FA$315, 31, FALSE)="",":",VLOOKUP($E$65,[1]QUART!$A$2:$FA$315, 31, FALSE))</f>
        <v>:</v>
      </c>
      <c r="AG65" s="544" t="str">
        <f>IF(VLOOKUP($E$65,[1]QUART!$A$2:$FA$315, 32, FALSE)="",":",VLOOKUP($E$65,[1]QUART!$A$2:$FA$315, 32, FALSE))</f>
        <v>:</v>
      </c>
      <c r="AH65" s="544" t="str">
        <f>IF(VLOOKUP($E$65,[1]QUART!$A$2:$FA$315, 33, FALSE)="",":",VLOOKUP($E$65,[1]QUART!$A$2:$FA$315, 33, FALSE))</f>
        <v>:</v>
      </c>
      <c r="AI65" s="544" t="str">
        <f>IF(VLOOKUP($E$65,[1]QUART!$A$2:$FA$315, 34, FALSE)="",":",VLOOKUP($E$65,[1]QUART!$A$2:$FA$315, 34, FALSE))</f>
        <v>:</v>
      </c>
      <c r="AJ65" s="544" t="str">
        <f>IF(VLOOKUP($E$65,[1]QUART!$A$2:$FA$315, 35, FALSE)="",":",VLOOKUP($E$65,[1]QUART!$A$2:$FA$315, 35, FALSE))</f>
        <v>:</v>
      </c>
      <c r="AK65" s="544" t="str">
        <f>IF(VLOOKUP($E$65,[1]QUART!$A$2:$FA$315, 36, FALSE)="",":",VLOOKUP($E$65,[1]QUART!$A$2:$FA$315, 36, FALSE))</f>
        <v>:</v>
      </c>
      <c r="AL65" s="544" t="str">
        <f>IF(VLOOKUP($E$65,[1]QUART!$A$2:$FA$315, 37, FALSE)="",":",VLOOKUP($E$65,[1]QUART!$A$2:$FA$315, 37, FALSE))</f>
        <v>:</v>
      </c>
      <c r="AM65" s="544" t="str">
        <f>IF(VLOOKUP($E$65,[1]QUART!$A$2:$FA$315, 38, FALSE)="",":",VLOOKUP($E$65,[1]QUART!$A$2:$FA$315, 38, FALSE))</f>
        <v>:</v>
      </c>
      <c r="AN65" s="544" t="str">
        <f>IF(VLOOKUP($E$65,[1]QUART!$A$2:$FA$315, 39, FALSE)="",":",VLOOKUP($E$65,[1]QUART!$A$2:$FA$315, 39, FALSE))</f>
        <v>:</v>
      </c>
      <c r="AO65" s="544" t="str">
        <f>IF(VLOOKUP($E$65,[1]QUART!$A$2:$FA$315, 40, FALSE)="",":",VLOOKUP($E$65,[1]QUART!$A$2:$FA$315, 40, FALSE))</f>
        <v>:</v>
      </c>
      <c r="AP65" s="544" t="str">
        <f>IF(VLOOKUP($E$65,[1]QUART!$A$2:$FA$315, 41, FALSE)="",":",VLOOKUP($E$65,[1]QUART!$A$2:$FA$315, 41, FALSE))</f>
        <v>:</v>
      </c>
      <c r="AQ65" s="544" t="str">
        <f>IF(VLOOKUP($E$65,[1]QUART!$A$2:$FA$315, 42, FALSE)="",":",VLOOKUP($E$65,[1]QUART!$A$2:$FA$315, 42, FALSE))</f>
        <v>:</v>
      </c>
      <c r="AR65" s="544" t="str">
        <f>IF(VLOOKUP($E$65,[1]QUART!$A$2:$FA$315, 43, FALSE)="",":",VLOOKUP($E$65,[1]QUART!$A$2:$FA$315, 43, FALSE))</f>
        <v>:</v>
      </c>
      <c r="AS65" s="544" t="str">
        <f>IF(VLOOKUP($E$65,[1]QUART!$A$2:$FA$315, 44, FALSE)="",":",VLOOKUP($E$65,[1]QUART!$A$2:$FA$315, 44, FALSE))</f>
        <v>:</v>
      </c>
      <c r="AT65" s="544" t="str">
        <f>IF(VLOOKUP($E$65,[1]QUART!$A$2:$FA$315, 45, FALSE)="",":",VLOOKUP($E$65,[1]QUART!$A$2:$FA$315, 45, FALSE))</f>
        <v>:</v>
      </c>
      <c r="AU65" s="544" t="str">
        <f>IF(VLOOKUP($E$65,[1]QUART!$A$2:$FA$315, 46, FALSE)="",":",VLOOKUP($E$65,[1]QUART!$A$2:$FA$315, 46, FALSE))</f>
        <v>:</v>
      </c>
      <c r="AV65" s="544" t="str">
        <f>IF(VLOOKUP($E$65,[1]QUART!$A$2:$FA$315, 47, FALSE)="",":",VLOOKUP($E$65,[1]QUART!$A$2:$FA$315, 47, FALSE))</f>
        <v>:</v>
      </c>
      <c r="AW65" s="544" t="str">
        <f>IF(VLOOKUP($E$65,[1]QUART!$A$2:$FA$315, 48, FALSE)="",":",VLOOKUP($E$65,[1]QUART!$A$2:$FA$315, 48, FALSE))</f>
        <v>:</v>
      </c>
      <c r="AX65" s="544" t="str">
        <f>IF(VLOOKUP($E$65,[1]QUART!$A$2:$FA$315, 49, FALSE)="",":",VLOOKUP($E$65,[1]QUART!$A$2:$FA$315, 49, FALSE))</f>
        <v>:</v>
      </c>
      <c r="AY65" s="544" t="str">
        <f>IF(VLOOKUP($E$65,[1]QUART!$A$2:$FA$315, 50, FALSE)="",":",VLOOKUP($E$65,[1]QUART!$A$2:$FA$315, 50, FALSE))</f>
        <v>:</v>
      </c>
      <c r="AZ65" s="544" t="str">
        <f>IF(VLOOKUP($E$65,[1]QUART!$A$2:$FA$315, 51, FALSE)="",":",VLOOKUP($E$65,[1]QUART!$A$2:$FA$315, 51, FALSE))</f>
        <v>:</v>
      </c>
      <c r="BA65" s="544" t="str">
        <f>IF(VLOOKUP($E$65,[1]QUART!$A$2:$FA$315, 52, FALSE)="",":",VLOOKUP($E$65,[1]QUART!$A$2:$FA$315, 52, FALSE))</f>
        <v>:</v>
      </c>
      <c r="BB65" s="544" t="str">
        <f>IF(VLOOKUP($E$65,[1]QUART!$A$2:$FA$315, 53, FALSE)="",":",VLOOKUP($E$65,[1]QUART!$A$2:$FA$315, 53, FALSE))</f>
        <v>:</v>
      </c>
      <c r="BC65" s="544" t="str">
        <f>IF(VLOOKUP($E$65,[1]QUART!$A$2:$FA$315, 54, FALSE)="",":",VLOOKUP($E$65,[1]QUART!$A$2:$FA$315, 54, FALSE))</f>
        <v>:</v>
      </c>
      <c r="BD65" s="544" t="str">
        <f>IF(VLOOKUP($E$65,[1]QUART!$A$2:$FA$315, 55, FALSE)="",":",VLOOKUP($E$65,[1]QUART!$A$2:$FA$315, 55, FALSE))</f>
        <v>:</v>
      </c>
      <c r="BE65" s="544" t="str">
        <f>IF(VLOOKUP($E$65,[1]QUART!$A$2:$FA$315, 56, FALSE)="",":",VLOOKUP($E$65,[1]QUART!$A$2:$FA$315, 56, FALSE))</f>
        <v>:</v>
      </c>
      <c r="BF65" s="544" t="str">
        <f>IF(VLOOKUP($E$65,[1]QUART!$A$2:$FA$315, 57, FALSE)="",":",VLOOKUP($E$65,[1]QUART!$A$2:$FA$315, 57, FALSE))</f>
        <v>:</v>
      </c>
      <c r="BG65" s="544" t="str">
        <f>IF(VLOOKUP($E$65,[1]QUART!$A$2:$FA$315, 58, FALSE)="",":",VLOOKUP($E$65,[1]QUART!$A$2:$FA$315, 58, FALSE))</f>
        <v>:</v>
      </c>
      <c r="BH65" s="544" t="str">
        <f>IF(VLOOKUP($E$65,[1]QUART!$A$2:$FA$315, 59, FALSE)="",":",VLOOKUP($E$65,[1]QUART!$A$2:$FA$315, 59, FALSE))</f>
        <v>:</v>
      </c>
      <c r="BI65" s="544" t="str">
        <f>IF(VLOOKUP($E$65,[1]QUART!$A$2:$FA$315, 60, FALSE)="",":",VLOOKUP($E$65,[1]QUART!$A$2:$FA$315, 60, FALSE))</f>
        <v>:</v>
      </c>
      <c r="BJ65" s="544" t="str">
        <f>IF(VLOOKUP($E$65,[1]QUART!$A$2:$FA$315, 61, FALSE)="",":",VLOOKUP($E$65,[1]QUART!$A$2:$FA$315, 61, FALSE))</f>
        <v>:</v>
      </c>
      <c r="BK65" s="544" t="str">
        <f>IF(VLOOKUP($E$65,[1]QUART!$A$2:$FA$315, 62, FALSE)="",":",VLOOKUP($E$65,[1]QUART!$A$2:$FA$315, 62, FALSE))</f>
        <v>:</v>
      </c>
      <c r="BL65" s="544" t="str">
        <f>IF(VLOOKUP($E$65,[1]QUART!$A$2:$FA$315, 63, FALSE)="",":",VLOOKUP($E$65,[1]QUART!$A$2:$FA$315, 63, FALSE))</f>
        <v>:</v>
      </c>
      <c r="BM65" s="544" t="str">
        <f>IF(VLOOKUP($E$65,[1]QUART!$A$2:$FA$315, 64, FALSE)="",":",VLOOKUP($E$65,[1]QUART!$A$2:$FA$315, 64, FALSE))</f>
        <v>:</v>
      </c>
      <c r="BN65" s="544" t="str">
        <f>IF(VLOOKUP($E$65,[1]QUART!$A$2:$FA$315, 65, FALSE)="",":",VLOOKUP($E$65,[1]QUART!$A$2:$FA$315, 65, FALSE))</f>
        <v>:</v>
      </c>
      <c r="BO65" s="544" t="str">
        <f>IF(VLOOKUP($E$65,[1]QUART!$A$2:$FA$315, 66, FALSE)="",":",VLOOKUP($E$65,[1]QUART!$A$2:$FA$315, 66, FALSE))</f>
        <v>:</v>
      </c>
      <c r="BP65" s="544" t="str">
        <f>IF(VLOOKUP($E$65,[1]QUART!$A$2:$FA$315, 67, FALSE)="",":",VLOOKUP($E$65,[1]QUART!$A$2:$FA$315, 67, FALSE))</f>
        <v>:</v>
      </c>
      <c r="BQ65" s="544" t="str">
        <f>IF(VLOOKUP($E$65,[1]QUART!$A$2:$FA$315, 68, FALSE)="",":",VLOOKUP($E$65,[1]QUART!$A$2:$FA$315, 68, FALSE))</f>
        <v>:</v>
      </c>
      <c r="BR65" s="544" t="str">
        <f>IF(VLOOKUP($E$65,[1]QUART!$A$2:$FA$315, 69, FALSE)="",":",VLOOKUP($E$65,[1]QUART!$A$2:$FA$315, 69, FALSE))</f>
        <v>:</v>
      </c>
      <c r="BS65" s="544" t="str">
        <f>IF(VLOOKUP($E$65,[1]QUART!$A$2:$FA$315, 70, FALSE)="",":",VLOOKUP($E$65,[1]QUART!$A$2:$FA$315, 70, FALSE))</f>
        <v>:</v>
      </c>
      <c r="BT65" s="544" t="str">
        <f>IF(VLOOKUP($E$65,[1]QUART!$A$2:$FA$315, 71, FALSE)="",":",VLOOKUP($E$65,[1]QUART!$A$2:$FA$315, 71, FALSE))</f>
        <v>:</v>
      </c>
      <c r="BU65" s="544" t="str">
        <f>IF(VLOOKUP($E$65,[1]QUART!$A$2:$FA$315, 72, FALSE)="",":",VLOOKUP($E$65,[1]QUART!$A$2:$FA$315, 72, FALSE))</f>
        <v>:</v>
      </c>
      <c r="BV65" s="544" t="str">
        <f>IF(VLOOKUP($E$65,[1]QUART!$A$2:$FA$315, 73, FALSE)="",":",VLOOKUP($E$65,[1]QUART!$A$2:$FA$315, 73, FALSE))</f>
        <v>:</v>
      </c>
      <c r="BW65" s="544" t="str">
        <f>IF(VLOOKUP($E$65,[1]QUART!$A$2:$FA$315, 74, FALSE)="",":",VLOOKUP($E$65,[1]QUART!$A$2:$FA$315, 74, FALSE))</f>
        <v>:</v>
      </c>
      <c r="BX65" s="544" t="str">
        <f>IF(VLOOKUP($E$65,[1]QUART!$A$2:$FA$315, 75, FALSE)="",":",VLOOKUP($E$65,[1]QUART!$A$2:$FA$315, 75, FALSE))</f>
        <v>:</v>
      </c>
      <c r="BY65" s="544" t="str">
        <f>IF(VLOOKUP($E$65,[1]QUART!$A$2:$FA$315, 76, FALSE)="",":",VLOOKUP($E$65,[1]QUART!$A$2:$FA$315, 76, FALSE))</f>
        <v>:</v>
      </c>
      <c r="BZ65" s="544" t="str">
        <f>IF(VLOOKUP($E$65,[1]QUART!$A$2:$FA$315, 77, FALSE)="",":",VLOOKUP($E$65,[1]QUART!$A$2:$FA$315, 77, FALSE))</f>
        <v>:</v>
      </c>
      <c r="CA65" s="544" t="str">
        <f>IF(VLOOKUP($E$65,[1]QUART!$A$2:$FA$315, 78, FALSE)="",":",VLOOKUP($E$65,[1]QUART!$A$2:$FA$315, 78, FALSE))</f>
        <v>:</v>
      </c>
      <c r="CB65" s="544" t="str">
        <f>IF(VLOOKUP($E$65,[1]QUART!$A$2:$FA$315, 79, FALSE)="",":",VLOOKUP($E$65,[1]QUART!$A$2:$FA$315, 79, FALSE))</f>
        <v>:</v>
      </c>
      <c r="CC65" s="544" t="str">
        <f>IF(VLOOKUP($E$65,[1]QUART!$A$2:$FA$315, 80, FALSE)="",":",VLOOKUP($E$65,[1]QUART!$A$2:$FA$315, 80, FALSE))</f>
        <v>:</v>
      </c>
      <c r="CD65" s="544" t="str">
        <f>IF(VLOOKUP($E$65,[1]QUART!$A$2:$FA$315, 81, FALSE)="",":",VLOOKUP($E$65,[1]QUART!$A$2:$FA$315, 81, FALSE))</f>
        <v>:</v>
      </c>
      <c r="CE65" s="544" t="str">
        <f>IF(VLOOKUP($E$65,[1]QUART!$A$2:$FA$315, 82, FALSE)="",":",VLOOKUP($E$65,[1]QUART!$A$2:$FA$315, 82, FALSE))</f>
        <v>:</v>
      </c>
      <c r="CF65" s="544" t="str">
        <f>IF(VLOOKUP($E$65,[1]QUART!$A$2:$FA$315, 83, FALSE)="",":",VLOOKUP($E$65,[1]QUART!$A$2:$FA$315, 83, FALSE))</f>
        <v>:</v>
      </c>
      <c r="CG65" s="544" t="str">
        <f>IF(VLOOKUP($E$65,[1]QUART!$A$2:$FA$315, 84, FALSE)="",":",VLOOKUP($E$65,[1]QUART!$A$2:$FA$315, 84, FALSE))</f>
        <v>:</v>
      </c>
      <c r="CH65" s="544" t="str">
        <f>IF(VLOOKUP($E$65,[1]QUART!$A$2:$FA$315, 85, FALSE)="",":",VLOOKUP($E$65,[1]QUART!$A$2:$FA$315, 85, FALSE))</f>
        <v>:</v>
      </c>
      <c r="CI65" s="544" t="str">
        <f>IF(VLOOKUP($E$65,[1]QUART!$A$2:$FA$315, 86, FALSE)="",":",VLOOKUP($E$65,[1]QUART!$A$2:$FA$315, 86, FALSE))</f>
        <v>:</v>
      </c>
      <c r="CJ65" s="544" t="str">
        <f>IF(VLOOKUP($E$65,[1]QUART!$A$2:$FA$315, 87, FALSE)="",":",VLOOKUP($E$65,[1]QUART!$A$2:$FA$315, 87, FALSE))</f>
        <v>:</v>
      </c>
      <c r="CK65" s="544" t="str">
        <f>IF(VLOOKUP($E$65,[1]QUART!$A$2:$FA$315, 88, FALSE)="",":",VLOOKUP($E$65,[1]QUART!$A$2:$FA$315, 88, FALSE))</f>
        <v>:</v>
      </c>
      <c r="CL65" s="544" t="str">
        <f>IF(VLOOKUP($E$65,[1]QUART!$A$2:$FA$315, 89, FALSE)="",":",VLOOKUP($E$65,[1]QUART!$A$2:$FA$315, 89, FALSE))</f>
        <v>:</v>
      </c>
      <c r="CM65" s="544" t="str">
        <f>IF(VLOOKUP($E$65,[1]QUART!$A$2:$FA$315, 90, FALSE)="",":",VLOOKUP($E$65,[1]QUART!$A$2:$FA$315, 90, FALSE))</f>
        <v>:</v>
      </c>
      <c r="CN65" s="544" t="str">
        <f>IF(VLOOKUP($E$65,[1]QUART!$A$2:$FA$315, 91, FALSE)="",":",VLOOKUP($E$65,[1]QUART!$A$2:$FA$315, 91, FALSE))</f>
        <v>:</v>
      </c>
      <c r="CO65" s="544" t="str">
        <f>IF(VLOOKUP($E$65,[1]QUART!$A$2:$FA$315, 92, FALSE)="",":",VLOOKUP($E$65,[1]QUART!$A$2:$FA$315, 92, FALSE))</f>
        <v>:</v>
      </c>
      <c r="CP65" s="544" t="str">
        <f>IF(VLOOKUP($E$65,[1]QUART!$A$2:$FA$315, 93, FALSE)="",":",VLOOKUP($E$65,[1]QUART!$A$2:$FA$315, 93, FALSE))</f>
        <v>:</v>
      </c>
      <c r="CQ65" s="544" t="str">
        <f>IF(VLOOKUP($E$65,[1]QUART!$A$2:$FA$315, 94, FALSE)="",":",VLOOKUP($E$65,[1]QUART!$A$2:$FA$315, 94, FALSE))</f>
        <v>:</v>
      </c>
      <c r="CR65" s="544" t="str">
        <f>IF(VLOOKUP($E$65,[1]QUART!$A$2:$FA$315, 95, FALSE)="",":",VLOOKUP($E$65,[1]QUART!$A$2:$FA$315, 95, FALSE))</f>
        <v>:</v>
      </c>
      <c r="CS65" s="544" t="str">
        <f>IF(VLOOKUP($E$65,[1]QUART!$A$2:$FA$315, 96, FALSE)="",":",VLOOKUP($E$65,[1]QUART!$A$2:$FA$315, 96, FALSE))</f>
        <v>:</v>
      </c>
      <c r="CT65" s="544" t="str">
        <f>IF(VLOOKUP($E$65,[1]QUART!$A$2:$FA$315, 97, FALSE)="",":",VLOOKUP($E$65,[1]QUART!$A$2:$FA$315, 97, FALSE))</f>
        <v>:</v>
      </c>
      <c r="CU65" s="544" t="str">
        <f>IF(VLOOKUP($E$65,[1]QUART!$A$2:$FA$315, 98, FALSE)="",":",VLOOKUP($E$65,[1]QUART!$A$2:$FA$315, 98, FALSE))</f>
        <v>:</v>
      </c>
      <c r="CV65" s="544" t="str">
        <f>IF(VLOOKUP($E$65,[1]QUART!$A$2:$FA$315, 99, FALSE)="",":",VLOOKUP($E$65,[1]QUART!$A$2:$FA$315, 99, FALSE))</f>
        <v>:</v>
      </c>
      <c r="CW65" s="544" t="str">
        <f>IF(VLOOKUP($E$65,[1]QUART!$A$2:$FA$315, 100, FALSE)="",":",VLOOKUP($E$65,[1]QUART!$A$2:$FA$315, 100, FALSE))</f>
        <v>:</v>
      </c>
      <c r="CX65" s="544" t="str">
        <f>IF(VLOOKUP($E$65,[1]QUART!$A$2:$FA$315, 101, FALSE)="",":",VLOOKUP($E$65,[1]QUART!$A$2:$FA$315, 101, FALSE))</f>
        <v>:</v>
      </c>
      <c r="CY65" s="544" t="str">
        <f>IF(VLOOKUP($E$65,[1]QUART!$A$2:$FA$315, 102, FALSE)="",":",VLOOKUP($E$65,[1]QUART!$A$2:$FA$315, 102, FALSE))</f>
        <v>:</v>
      </c>
      <c r="CZ65" s="544" t="str">
        <f>IF(VLOOKUP($E$65,[1]QUART!$A$2:$FA$315, 103, FALSE)="",":",VLOOKUP($E$65,[1]QUART!$A$2:$FA$315, 103, FALSE))</f>
        <v>:</v>
      </c>
      <c r="DA65" s="544" t="str">
        <f>IF(VLOOKUP($E$65,[1]QUART!$A$2:$FA$315, 104, FALSE)="",":",VLOOKUP($E$65,[1]QUART!$A$2:$FA$315, 104, FALSE))</f>
        <v>:</v>
      </c>
      <c r="DB65" s="544" t="str">
        <f>IF(VLOOKUP($E$65,[1]QUART!$A$2:$FA$315, 105, FALSE)="",":",VLOOKUP($E$65,[1]QUART!$A$2:$FA$315, 105, FALSE))</f>
        <v>:</v>
      </c>
      <c r="DC65" s="544" t="str">
        <f>IF(VLOOKUP($E$65,[1]QUART!$A$2:$FA$315, 106, FALSE)="",":",VLOOKUP($E$65,[1]QUART!$A$2:$FA$315, 106, FALSE))</f>
        <v>:</v>
      </c>
    </row>
    <row r="66" spans="1:107">
      <c r="A66" s="1954"/>
      <c r="B66" s="534"/>
      <c r="C66" s="535"/>
      <c r="D66" s="12" t="s">
        <v>1841</v>
      </c>
      <c r="E66" s="13">
        <v>133</v>
      </c>
      <c r="F66" s="14" t="str">
        <f>VLOOKUP($E$66,[1]QUART!$A$2:$FA$315, 3, FALSE)</f>
        <v xml:space="preserve">133  Exports of goods                              </v>
      </c>
      <c r="G66" s="544" t="str">
        <f>IF(VLOOKUP($E$66,[1]QUART!$A$2:$FA$315, 6, FALSE)="",":",VLOOKUP($E$66,[1]QUART!$A$2:$FA$315, 6, FALSE))</f>
        <v>:</v>
      </c>
      <c r="H66" s="544" t="str">
        <f>IF(VLOOKUP($E$66,[1]QUART!$A$2:$FA$315, 7, FALSE)="",":",VLOOKUP($E$66,[1]QUART!$A$2:$FA$315, 7, FALSE))</f>
        <v>:</v>
      </c>
      <c r="I66" s="544" t="str">
        <f>IF(VLOOKUP($E$66,[1]QUART!$A$2:$FA$315, 8, FALSE)="",":",VLOOKUP($E$66,[1]QUART!$A$2:$FA$315, 8, FALSE))</f>
        <v>:</v>
      </c>
      <c r="J66" s="544" t="str">
        <f>IF(VLOOKUP($E$66,[1]QUART!$A$2:$FA$315, 9, FALSE)="",":",VLOOKUP($E$66,[1]QUART!$A$2:$FA$315, 9, FALSE))</f>
        <v>:</v>
      </c>
      <c r="K66" s="544" t="str">
        <f>IF(VLOOKUP($E$66,[1]QUART!$A$2:$FA$315, 10, FALSE)="",":",VLOOKUP($E$66,[1]QUART!$A$2:$FA$315, 10, FALSE))</f>
        <v>:</v>
      </c>
      <c r="L66" s="544" t="str">
        <f>IF(VLOOKUP($E$66,[1]QUART!$A$2:$FA$315, 11, FALSE)="",":",VLOOKUP($E$66,[1]QUART!$A$2:$FA$315, 11, FALSE))</f>
        <v>:</v>
      </c>
      <c r="M66" s="544" t="str">
        <f>IF(VLOOKUP($E$66,[1]QUART!$A$2:$FA$315, 12, FALSE)="",":",VLOOKUP($E$66,[1]QUART!$A$2:$FA$315, 12, FALSE))</f>
        <v>:</v>
      </c>
      <c r="N66" s="544" t="str">
        <f>IF(VLOOKUP($E$66,[1]QUART!$A$2:$FA$315, 13, FALSE)="",":",VLOOKUP($E$66,[1]QUART!$A$2:$FA$315, 13, FALSE))</f>
        <v>:</v>
      </c>
      <c r="O66" s="544" t="str">
        <f>IF(VLOOKUP($E$66,[1]QUART!$A$2:$FA$315, 14, FALSE)="",":",VLOOKUP($E$66,[1]QUART!$A$2:$FA$315, 14, FALSE))</f>
        <v>:</v>
      </c>
      <c r="P66" s="544" t="str">
        <f>IF(VLOOKUP($E$66,[1]QUART!$A$2:$FA$315, 15, FALSE)="",":",VLOOKUP($E$66,[1]QUART!$A$2:$FA$315, 15, FALSE))</f>
        <v>:</v>
      </c>
      <c r="Q66" s="544" t="str">
        <f>IF(VLOOKUP($E$66,[1]QUART!$A$2:$FA$315, 16, FALSE)="",":",VLOOKUP($E$66,[1]QUART!$A$2:$FA$315, 16, FALSE))</f>
        <v>:</v>
      </c>
      <c r="R66" s="544" t="str">
        <f>IF(VLOOKUP($E$66,[1]QUART!$A$2:$FA$315, 17, FALSE)="",":",VLOOKUP($E$66,[1]QUART!$A$2:$FA$315, 17, FALSE))</f>
        <v>:</v>
      </c>
      <c r="S66" s="544" t="str">
        <f>IF(VLOOKUP($E$66,[1]QUART!$A$2:$FA$315, 18, FALSE)="",":",VLOOKUP($E$66,[1]QUART!$A$2:$FA$315, 18, FALSE))</f>
        <v>:</v>
      </c>
      <c r="T66" s="544" t="str">
        <f>IF(VLOOKUP($E$66,[1]QUART!$A$2:$FA$315, 19, FALSE)="",":",VLOOKUP($E$66,[1]QUART!$A$2:$FA$315, 19, FALSE))</f>
        <v>:</v>
      </c>
      <c r="U66" s="544" t="str">
        <f>IF(VLOOKUP($E$66,[1]QUART!$A$2:$FA$315, 20, FALSE)="",":",VLOOKUP($E$66,[1]QUART!$A$2:$FA$315, 20, FALSE))</f>
        <v>:</v>
      </c>
      <c r="V66" s="544" t="str">
        <f>IF(VLOOKUP($E$66,[1]QUART!$A$2:$FA$315, 21, FALSE)="",":",VLOOKUP($E$66,[1]QUART!$A$2:$FA$315, 21, FALSE))</f>
        <v>:</v>
      </c>
      <c r="W66" s="544" t="str">
        <f>IF(VLOOKUP($E$66,[1]QUART!$A$2:$FA$315, 22, FALSE)="",":",VLOOKUP($E$66,[1]QUART!$A$2:$FA$315, 22, FALSE))</f>
        <v>:</v>
      </c>
      <c r="X66" s="544" t="str">
        <f>IF(VLOOKUP($E$66,[1]QUART!$A$2:$FA$315, 23, FALSE)="",":",VLOOKUP($E$66,[1]QUART!$A$2:$FA$315, 23, FALSE))</f>
        <v>:</v>
      </c>
      <c r="Y66" s="544" t="str">
        <f>IF(VLOOKUP($E$66,[1]QUART!$A$2:$FA$315, 24, FALSE)="",":",VLOOKUP($E$66,[1]QUART!$A$2:$FA$315, 24, FALSE))</f>
        <v>:</v>
      </c>
      <c r="Z66" s="544" t="str">
        <f>IF(VLOOKUP($E$66,[1]QUART!$A$2:$FA$315, 25, FALSE)="",":",VLOOKUP($E$66,[1]QUART!$A$2:$FA$315, 25, FALSE))</f>
        <v>:</v>
      </c>
      <c r="AA66" s="544" t="str">
        <f>IF(VLOOKUP($E$66,[1]QUART!$A$2:$FA$315, 26, FALSE)="",":",VLOOKUP($E$66,[1]QUART!$A$2:$FA$315, 26, FALSE))</f>
        <v>:</v>
      </c>
      <c r="AB66" s="544" t="str">
        <f>IF(VLOOKUP($E$66,[1]QUART!$A$2:$FA$315, 27, FALSE)="",":",VLOOKUP($E$66,[1]QUART!$A$2:$FA$315, 27, FALSE))</f>
        <v>:</v>
      </c>
      <c r="AC66" s="544" t="str">
        <f>IF(VLOOKUP($E$66,[1]QUART!$A$2:$FA$315, 28, FALSE)="",":",VLOOKUP($E$66,[1]QUART!$A$2:$FA$315, 28, FALSE))</f>
        <v>:</v>
      </c>
      <c r="AD66" s="544" t="str">
        <f>IF(VLOOKUP($E$66,[1]QUART!$A$2:$FA$315, 29, FALSE)="",":",VLOOKUP($E$66,[1]QUART!$A$2:$FA$315, 29, FALSE))</f>
        <v>:</v>
      </c>
      <c r="AE66" s="544" t="str">
        <f>IF(VLOOKUP($E$66,[1]QUART!$A$2:$FA$315, 30, FALSE)="",":",VLOOKUP($E$66,[1]QUART!$A$2:$FA$315, 30, FALSE))</f>
        <v>:</v>
      </c>
      <c r="AF66" s="544" t="str">
        <f>IF(VLOOKUP($E$66,[1]QUART!$A$2:$FA$315, 31, FALSE)="",":",VLOOKUP($E$66,[1]QUART!$A$2:$FA$315, 31, FALSE))</f>
        <v>:</v>
      </c>
      <c r="AG66" s="544" t="str">
        <f>IF(VLOOKUP($E$66,[1]QUART!$A$2:$FA$315, 32, FALSE)="",":",VLOOKUP($E$66,[1]QUART!$A$2:$FA$315, 32, FALSE))</f>
        <v>:</v>
      </c>
      <c r="AH66" s="544" t="str">
        <f>IF(VLOOKUP($E$66,[1]QUART!$A$2:$FA$315, 33, FALSE)="",":",VLOOKUP($E$66,[1]QUART!$A$2:$FA$315, 33, FALSE))</f>
        <v>:</v>
      </c>
      <c r="AI66" s="544" t="str">
        <f>IF(VLOOKUP($E$66,[1]QUART!$A$2:$FA$315, 34, FALSE)="",":",VLOOKUP($E$66,[1]QUART!$A$2:$FA$315, 34, FALSE))</f>
        <v>:</v>
      </c>
      <c r="AJ66" s="544" t="str">
        <f>IF(VLOOKUP($E$66,[1]QUART!$A$2:$FA$315, 35, FALSE)="",":",VLOOKUP($E$66,[1]QUART!$A$2:$FA$315, 35, FALSE))</f>
        <v>:</v>
      </c>
      <c r="AK66" s="544" t="str">
        <f>IF(VLOOKUP($E$66,[1]QUART!$A$2:$FA$315, 36, FALSE)="",":",VLOOKUP($E$66,[1]QUART!$A$2:$FA$315, 36, FALSE))</f>
        <v>:</v>
      </c>
      <c r="AL66" s="544" t="str">
        <f>IF(VLOOKUP($E$66,[1]QUART!$A$2:$FA$315, 37, FALSE)="",":",VLOOKUP($E$66,[1]QUART!$A$2:$FA$315, 37, FALSE))</f>
        <v>:</v>
      </c>
      <c r="AM66" s="544" t="str">
        <f>IF(VLOOKUP($E$66,[1]QUART!$A$2:$FA$315, 38, FALSE)="",":",VLOOKUP($E$66,[1]QUART!$A$2:$FA$315, 38, FALSE))</f>
        <v>:</v>
      </c>
      <c r="AN66" s="544" t="str">
        <f>IF(VLOOKUP($E$66,[1]QUART!$A$2:$FA$315, 39, FALSE)="",":",VLOOKUP($E$66,[1]QUART!$A$2:$FA$315, 39, FALSE))</f>
        <v>:</v>
      </c>
      <c r="AO66" s="544" t="str">
        <f>IF(VLOOKUP($E$66,[1]QUART!$A$2:$FA$315, 40, FALSE)="",":",VLOOKUP($E$66,[1]QUART!$A$2:$FA$315, 40, FALSE))</f>
        <v>:</v>
      </c>
      <c r="AP66" s="544" t="str">
        <f>IF(VLOOKUP($E$66,[1]QUART!$A$2:$FA$315, 41, FALSE)="",":",VLOOKUP($E$66,[1]QUART!$A$2:$FA$315, 41, FALSE))</f>
        <v>:</v>
      </c>
      <c r="AQ66" s="544" t="str">
        <f>IF(VLOOKUP($E$66,[1]QUART!$A$2:$FA$315, 42, FALSE)="",":",VLOOKUP($E$66,[1]QUART!$A$2:$FA$315, 42, FALSE))</f>
        <v>:</v>
      </c>
      <c r="AR66" s="544" t="str">
        <f>IF(VLOOKUP($E$66,[1]QUART!$A$2:$FA$315, 43, FALSE)="",":",VLOOKUP($E$66,[1]QUART!$A$2:$FA$315, 43, FALSE))</f>
        <v>:</v>
      </c>
      <c r="AS66" s="544" t="str">
        <f>IF(VLOOKUP($E$66,[1]QUART!$A$2:$FA$315, 44, FALSE)="",":",VLOOKUP($E$66,[1]QUART!$A$2:$FA$315, 44, FALSE))</f>
        <v>:</v>
      </c>
      <c r="AT66" s="544" t="str">
        <f>IF(VLOOKUP($E$66,[1]QUART!$A$2:$FA$315, 45, FALSE)="",":",VLOOKUP($E$66,[1]QUART!$A$2:$FA$315, 45, FALSE))</f>
        <v>:</v>
      </c>
      <c r="AU66" s="544" t="str">
        <f>IF(VLOOKUP($E$66,[1]QUART!$A$2:$FA$315, 46, FALSE)="",":",VLOOKUP($E$66,[1]QUART!$A$2:$FA$315, 46, FALSE))</f>
        <v>:</v>
      </c>
      <c r="AV66" s="544" t="str">
        <f>IF(VLOOKUP($E$66,[1]QUART!$A$2:$FA$315, 47, FALSE)="",":",VLOOKUP($E$66,[1]QUART!$A$2:$FA$315, 47, FALSE))</f>
        <v>:</v>
      </c>
      <c r="AW66" s="544" t="str">
        <f>IF(VLOOKUP($E$66,[1]QUART!$A$2:$FA$315, 48, FALSE)="",":",VLOOKUP($E$66,[1]QUART!$A$2:$FA$315, 48, FALSE))</f>
        <v>:</v>
      </c>
      <c r="AX66" s="544" t="str">
        <f>IF(VLOOKUP($E$66,[1]QUART!$A$2:$FA$315, 49, FALSE)="",":",VLOOKUP($E$66,[1]QUART!$A$2:$FA$315, 49, FALSE))</f>
        <v>:</v>
      </c>
      <c r="AY66" s="544" t="str">
        <f>IF(VLOOKUP($E$66,[1]QUART!$A$2:$FA$315, 50, FALSE)="",":",VLOOKUP($E$66,[1]QUART!$A$2:$FA$315, 50, FALSE))</f>
        <v>:</v>
      </c>
      <c r="AZ66" s="544" t="str">
        <f>IF(VLOOKUP($E$66,[1]QUART!$A$2:$FA$315, 51, FALSE)="",":",VLOOKUP($E$66,[1]QUART!$A$2:$FA$315, 51, FALSE))</f>
        <v>:</v>
      </c>
      <c r="BA66" s="544" t="str">
        <f>IF(VLOOKUP($E$66,[1]QUART!$A$2:$FA$315, 52, FALSE)="",":",VLOOKUP($E$66,[1]QUART!$A$2:$FA$315, 52, FALSE))</f>
        <v>:</v>
      </c>
      <c r="BB66" s="544" t="str">
        <f>IF(VLOOKUP($E$66,[1]QUART!$A$2:$FA$315, 53, FALSE)="",":",VLOOKUP($E$66,[1]QUART!$A$2:$FA$315, 53, FALSE))</f>
        <v>:</v>
      </c>
      <c r="BC66" s="544" t="str">
        <f>IF(VLOOKUP($E$66,[1]QUART!$A$2:$FA$315, 54, FALSE)="",":",VLOOKUP($E$66,[1]QUART!$A$2:$FA$315, 54, FALSE))</f>
        <v>:</v>
      </c>
      <c r="BD66" s="544" t="str">
        <f>IF(VLOOKUP($E$66,[1]QUART!$A$2:$FA$315, 55, FALSE)="",":",VLOOKUP($E$66,[1]QUART!$A$2:$FA$315, 55, FALSE))</f>
        <v>:</v>
      </c>
      <c r="BE66" s="544" t="str">
        <f>IF(VLOOKUP($E$66,[1]QUART!$A$2:$FA$315, 56, FALSE)="",":",VLOOKUP($E$66,[1]QUART!$A$2:$FA$315, 56, FALSE))</f>
        <v>:</v>
      </c>
      <c r="BF66" s="544" t="str">
        <f>IF(VLOOKUP($E$66,[1]QUART!$A$2:$FA$315, 57, FALSE)="",":",VLOOKUP($E$66,[1]QUART!$A$2:$FA$315, 57, FALSE))</f>
        <v>:</v>
      </c>
      <c r="BG66" s="544" t="str">
        <f>IF(VLOOKUP($E$66,[1]QUART!$A$2:$FA$315, 58, FALSE)="",":",VLOOKUP($E$66,[1]QUART!$A$2:$FA$315, 58, FALSE))</f>
        <v>:</v>
      </c>
      <c r="BH66" s="544" t="str">
        <f>IF(VLOOKUP($E$66,[1]QUART!$A$2:$FA$315, 59, FALSE)="",":",VLOOKUP($E$66,[1]QUART!$A$2:$FA$315, 59, FALSE))</f>
        <v>:</v>
      </c>
      <c r="BI66" s="544" t="str">
        <f>IF(VLOOKUP($E$66,[1]QUART!$A$2:$FA$315, 60, FALSE)="",":",VLOOKUP($E$66,[1]QUART!$A$2:$FA$315, 60, FALSE))</f>
        <v>:</v>
      </c>
      <c r="BJ66" s="544" t="str">
        <f>IF(VLOOKUP($E$66,[1]QUART!$A$2:$FA$315, 61, FALSE)="",":",VLOOKUP($E$66,[1]QUART!$A$2:$FA$315, 61, FALSE))</f>
        <v>:</v>
      </c>
      <c r="BK66" s="544" t="str">
        <f>IF(VLOOKUP($E$66,[1]QUART!$A$2:$FA$315, 62, FALSE)="",":",VLOOKUP($E$66,[1]QUART!$A$2:$FA$315, 62, FALSE))</f>
        <v>:</v>
      </c>
      <c r="BL66" s="544" t="str">
        <f>IF(VLOOKUP($E$66,[1]QUART!$A$2:$FA$315, 63, FALSE)="",":",VLOOKUP($E$66,[1]QUART!$A$2:$FA$315, 63, FALSE))</f>
        <v>:</v>
      </c>
      <c r="BM66" s="544" t="str">
        <f>IF(VLOOKUP($E$66,[1]QUART!$A$2:$FA$315, 64, FALSE)="",":",VLOOKUP($E$66,[1]QUART!$A$2:$FA$315, 64, FALSE))</f>
        <v>:</v>
      </c>
      <c r="BN66" s="544" t="str">
        <f>IF(VLOOKUP($E$66,[1]QUART!$A$2:$FA$315, 65, FALSE)="",":",VLOOKUP($E$66,[1]QUART!$A$2:$FA$315, 65, FALSE))</f>
        <v>:</v>
      </c>
      <c r="BO66" s="544" t="str">
        <f>IF(VLOOKUP($E$66,[1]QUART!$A$2:$FA$315, 66, FALSE)="",":",VLOOKUP($E$66,[1]QUART!$A$2:$FA$315, 66, FALSE))</f>
        <v>:</v>
      </c>
      <c r="BP66" s="544" t="str">
        <f>IF(VLOOKUP($E$66,[1]QUART!$A$2:$FA$315, 67, FALSE)="",":",VLOOKUP($E$66,[1]QUART!$A$2:$FA$315, 67, FALSE))</f>
        <v>:</v>
      </c>
      <c r="BQ66" s="544" t="str">
        <f>IF(VLOOKUP($E$66,[1]QUART!$A$2:$FA$315, 68, FALSE)="",":",VLOOKUP($E$66,[1]QUART!$A$2:$FA$315, 68, FALSE))</f>
        <v>:</v>
      </c>
      <c r="BR66" s="544" t="str">
        <f>IF(VLOOKUP($E$66,[1]QUART!$A$2:$FA$315, 69, FALSE)="",":",VLOOKUP($E$66,[1]QUART!$A$2:$FA$315, 69, FALSE))</f>
        <v>:</v>
      </c>
      <c r="BS66" s="544" t="str">
        <f>IF(VLOOKUP($E$66,[1]QUART!$A$2:$FA$315, 70, FALSE)="",":",VLOOKUP($E$66,[1]QUART!$A$2:$FA$315, 70, FALSE))</f>
        <v>:</v>
      </c>
      <c r="BT66" s="544" t="str">
        <f>IF(VLOOKUP($E$66,[1]QUART!$A$2:$FA$315, 71, FALSE)="",":",VLOOKUP($E$66,[1]QUART!$A$2:$FA$315, 71, FALSE))</f>
        <v>:</v>
      </c>
      <c r="BU66" s="544" t="str">
        <f>IF(VLOOKUP($E$66,[1]QUART!$A$2:$FA$315, 72, FALSE)="",":",VLOOKUP($E$66,[1]QUART!$A$2:$FA$315, 72, FALSE))</f>
        <v>:</v>
      </c>
      <c r="BV66" s="544" t="str">
        <f>IF(VLOOKUP($E$66,[1]QUART!$A$2:$FA$315, 73, FALSE)="",":",VLOOKUP($E$66,[1]QUART!$A$2:$FA$315, 73, FALSE))</f>
        <v>:</v>
      </c>
      <c r="BW66" s="544" t="str">
        <f>IF(VLOOKUP($E$66,[1]QUART!$A$2:$FA$315, 74, FALSE)="",":",VLOOKUP($E$66,[1]QUART!$A$2:$FA$315, 74, FALSE))</f>
        <v>:</v>
      </c>
      <c r="BX66" s="544" t="str">
        <f>IF(VLOOKUP($E$66,[1]QUART!$A$2:$FA$315, 75, FALSE)="",":",VLOOKUP($E$66,[1]QUART!$A$2:$FA$315, 75, FALSE))</f>
        <v>:</v>
      </c>
      <c r="BY66" s="544" t="str">
        <f>IF(VLOOKUP($E$66,[1]QUART!$A$2:$FA$315, 76, FALSE)="",":",VLOOKUP($E$66,[1]QUART!$A$2:$FA$315, 76, FALSE))</f>
        <v>:</v>
      </c>
      <c r="BZ66" s="544" t="str">
        <f>IF(VLOOKUP($E$66,[1]QUART!$A$2:$FA$315, 77, FALSE)="",":",VLOOKUP($E$66,[1]QUART!$A$2:$FA$315, 77, FALSE))</f>
        <v>:</v>
      </c>
      <c r="CA66" s="544" t="str">
        <f>IF(VLOOKUP($E$66,[1]QUART!$A$2:$FA$315, 78, FALSE)="",":",VLOOKUP($E$66,[1]QUART!$A$2:$FA$315, 78, FALSE))</f>
        <v>:</v>
      </c>
      <c r="CB66" s="544" t="str">
        <f>IF(VLOOKUP($E$66,[1]QUART!$A$2:$FA$315, 79, FALSE)="",":",VLOOKUP($E$66,[1]QUART!$A$2:$FA$315, 79, FALSE))</f>
        <v>:</v>
      </c>
      <c r="CC66" s="544" t="str">
        <f>IF(VLOOKUP($E$66,[1]QUART!$A$2:$FA$315, 80, FALSE)="",":",VLOOKUP($E$66,[1]QUART!$A$2:$FA$315, 80, FALSE))</f>
        <v>:</v>
      </c>
      <c r="CD66" s="544" t="str">
        <f>IF(VLOOKUP($E$66,[1]QUART!$A$2:$FA$315, 81, FALSE)="",":",VLOOKUP($E$66,[1]QUART!$A$2:$FA$315, 81, FALSE))</f>
        <v>:</v>
      </c>
      <c r="CE66" s="544" t="str">
        <f>IF(VLOOKUP($E$66,[1]QUART!$A$2:$FA$315, 82, FALSE)="",":",VLOOKUP($E$66,[1]QUART!$A$2:$FA$315, 82, FALSE))</f>
        <v>:</v>
      </c>
      <c r="CF66" s="544" t="str">
        <f>IF(VLOOKUP($E$66,[1]QUART!$A$2:$FA$315, 83, FALSE)="",":",VLOOKUP($E$66,[1]QUART!$A$2:$FA$315, 83, FALSE))</f>
        <v>:</v>
      </c>
      <c r="CG66" s="544" t="str">
        <f>IF(VLOOKUP($E$66,[1]QUART!$A$2:$FA$315, 84, FALSE)="",":",VLOOKUP($E$66,[1]QUART!$A$2:$FA$315, 84, FALSE))</f>
        <v>:</v>
      </c>
      <c r="CH66" s="544" t="str">
        <f>IF(VLOOKUP($E$66,[1]QUART!$A$2:$FA$315, 85, FALSE)="",":",VLOOKUP($E$66,[1]QUART!$A$2:$FA$315, 85, FALSE))</f>
        <v>:</v>
      </c>
      <c r="CI66" s="544" t="str">
        <f>IF(VLOOKUP($E$66,[1]QUART!$A$2:$FA$315, 86, FALSE)="",":",VLOOKUP($E$66,[1]QUART!$A$2:$FA$315, 86, FALSE))</f>
        <v>:</v>
      </c>
      <c r="CJ66" s="544" t="str">
        <f>IF(VLOOKUP($E$66,[1]QUART!$A$2:$FA$315, 87, FALSE)="",":",VLOOKUP($E$66,[1]QUART!$A$2:$FA$315, 87, FALSE))</f>
        <v>:</v>
      </c>
      <c r="CK66" s="544" t="str">
        <f>IF(VLOOKUP($E$66,[1]QUART!$A$2:$FA$315, 88, FALSE)="",":",VLOOKUP($E$66,[1]QUART!$A$2:$FA$315, 88, FALSE))</f>
        <v>:</v>
      </c>
      <c r="CL66" s="544" t="str">
        <f>IF(VLOOKUP($E$66,[1]QUART!$A$2:$FA$315, 89, FALSE)="",":",VLOOKUP($E$66,[1]QUART!$A$2:$FA$315, 89, FALSE))</f>
        <v>:</v>
      </c>
      <c r="CM66" s="544" t="str">
        <f>IF(VLOOKUP($E$66,[1]QUART!$A$2:$FA$315, 90, FALSE)="",":",VLOOKUP($E$66,[1]QUART!$A$2:$FA$315, 90, FALSE))</f>
        <v>:</v>
      </c>
      <c r="CN66" s="544" t="str">
        <f>IF(VLOOKUP($E$66,[1]QUART!$A$2:$FA$315, 91, FALSE)="",":",VLOOKUP($E$66,[1]QUART!$A$2:$FA$315, 91, FALSE))</f>
        <v>:</v>
      </c>
      <c r="CO66" s="544" t="str">
        <f>IF(VLOOKUP($E$66,[1]QUART!$A$2:$FA$315, 92, FALSE)="",":",VLOOKUP($E$66,[1]QUART!$A$2:$FA$315, 92, FALSE))</f>
        <v>:</v>
      </c>
      <c r="CP66" s="544" t="str">
        <f>IF(VLOOKUP($E$66,[1]QUART!$A$2:$FA$315, 93, FALSE)="",":",VLOOKUP($E$66,[1]QUART!$A$2:$FA$315, 93, FALSE))</f>
        <v>:</v>
      </c>
      <c r="CQ66" s="544" t="str">
        <f>IF(VLOOKUP($E$66,[1]QUART!$A$2:$FA$315, 94, FALSE)="",":",VLOOKUP($E$66,[1]QUART!$A$2:$FA$315, 94, FALSE))</f>
        <v>:</v>
      </c>
      <c r="CR66" s="544" t="str">
        <f>IF(VLOOKUP($E$66,[1]QUART!$A$2:$FA$315, 95, FALSE)="",":",VLOOKUP($E$66,[1]QUART!$A$2:$FA$315, 95, FALSE))</f>
        <v>:</v>
      </c>
      <c r="CS66" s="544" t="str">
        <f>IF(VLOOKUP($E$66,[1]QUART!$A$2:$FA$315, 96, FALSE)="",":",VLOOKUP($E$66,[1]QUART!$A$2:$FA$315, 96, FALSE))</f>
        <v>:</v>
      </c>
      <c r="CT66" s="544" t="str">
        <f>IF(VLOOKUP($E$66,[1]QUART!$A$2:$FA$315, 97, FALSE)="",":",VLOOKUP($E$66,[1]QUART!$A$2:$FA$315, 97, FALSE))</f>
        <v>:</v>
      </c>
      <c r="CU66" s="544" t="str">
        <f>IF(VLOOKUP($E$66,[1]QUART!$A$2:$FA$315, 98, FALSE)="",":",VLOOKUP($E$66,[1]QUART!$A$2:$FA$315, 98, FALSE))</f>
        <v>:</v>
      </c>
      <c r="CV66" s="544" t="str">
        <f>IF(VLOOKUP($E$66,[1]QUART!$A$2:$FA$315, 99, FALSE)="",":",VLOOKUP($E$66,[1]QUART!$A$2:$FA$315, 99, FALSE))</f>
        <v>:</v>
      </c>
      <c r="CW66" s="544" t="str">
        <f>IF(VLOOKUP($E$66,[1]QUART!$A$2:$FA$315, 100, FALSE)="",":",VLOOKUP($E$66,[1]QUART!$A$2:$FA$315, 100, FALSE))</f>
        <v>:</v>
      </c>
      <c r="CX66" s="544" t="str">
        <f>IF(VLOOKUP($E$66,[1]QUART!$A$2:$FA$315, 101, FALSE)="",":",VLOOKUP($E$66,[1]QUART!$A$2:$FA$315, 101, FALSE))</f>
        <v>:</v>
      </c>
      <c r="CY66" s="544" t="str">
        <f>IF(VLOOKUP($E$66,[1]QUART!$A$2:$FA$315, 102, FALSE)="",":",VLOOKUP($E$66,[1]QUART!$A$2:$FA$315, 102, FALSE))</f>
        <v>:</v>
      </c>
      <c r="CZ66" s="544" t="str">
        <f>IF(VLOOKUP($E$66,[1]QUART!$A$2:$FA$315, 103, FALSE)="",":",VLOOKUP($E$66,[1]QUART!$A$2:$FA$315, 103, FALSE))</f>
        <v>:</v>
      </c>
      <c r="DA66" s="544" t="str">
        <f>IF(VLOOKUP($E$66,[1]QUART!$A$2:$FA$315, 104, FALSE)="",":",VLOOKUP($E$66,[1]QUART!$A$2:$FA$315, 104, FALSE))</f>
        <v>:</v>
      </c>
      <c r="DB66" s="544" t="str">
        <f>IF(VLOOKUP($E$66,[1]QUART!$A$2:$FA$315, 105, FALSE)="",":",VLOOKUP($E$66,[1]QUART!$A$2:$FA$315, 105, FALSE))</f>
        <v>:</v>
      </c>
      <c r="DC66" s="544" t="str">
        <f>IF(VLOOKUP($E$66,[1]QUART!$A$2:$FA$315, 106, FALSE)="",":",VLOOKUP($E$66,[1]QUART!$A$2:$FA$315, 106, FALSE))</f>
        <v>:</v>
      </c>
    </row>
    <row r="67" spans="1:107">
      <c r="A67" s="1954"/>
      <c r="B67" s="534"/>
      <c r="C67" s="535"/>
      <c r="D67" s="12" t="s">
        <v>1841</v>
      </c>
      <c r="E67" s="13">
        <v>134</v>
      </c>
      <c r="F67" s="14" t="str">
        <f>VLOOKUP($E$67,[1]QUART!$A$2:$FA$315, 3, FALSE)</f>
        <v xml:space="preserve">134  Exports of services                                                   </v>
      </c>
      <c r="G67" s="544" t="str">
        <f>IF(VLOOKUP($E$67,[1]QUART!$A$2:$FA$315, 6, FALSE)="",":",VLOOKUP($E$67,[1]QUART!$A$2:$FA$315, 6, FALSE))</f>
        <v>:</v>
      </c>
      <c r="H67" s="544" t="str">
        <f>IF(VLOOKUP($E$67,[1]QUART!$A$2:$FA$315, 7, FALSE)="",":",VLOOKUP($E$67,[1]QUART!$A$2:$FA$315, 7, FALSE))</f>
        <v>:</v>
      </c>
      <c r="I67" s="544" t="str">
        <f>IF(VLOOKUP($E$67,[1]QUART!$A$2:$FA$315, 8, FALSE)="",":",VLOOKUP($E$67,[1]QUART!$A$2:$FA$315, 8, FALSE))</f>
        <v>:</v>
      </c>
      <c r="J67" s="544" t="str">
        <f>IF(VLOOKUP($E$67,[1]QUART!$A$2:$FA$315, 9, FALSE)="",":",VLOOKUP($E$67,[1]QUART!$A$2:$FA$315, 9, FALSE))</f>
        <v>:</v>
      </c>
      <c r="K67" s="544" t="str">
        <f>IF(VLOOKUP($E$67,[1]QUART!$A$2:$FA$315, 10, FALSE)="",":",VLOOKUP($E$67,[1]QUART!$A$2:$FA$315, 10, FALSE))</f>
        <v>:</v>
      </c>
      <c r="L67" s="544" t="str">
        <f>IF(VLOOKUP($E$67,[1]QUART!$A$2:$FA$315, 11, FALSE)="",":",VLOOKUP($E$67,[1]QUART!$A$2:$FA$315, 11, FALSE))</f>
        <v>:</v>
      </c>
      <c r="M67" s="544" t="str">
        <f>IF(VLOOKUP($E$67,[1]QUART!$A$2:$FA$315, 12, FALSE)="",":",VLOOKUP($E$67,[1]QUART!$A$2:$FA$315, 12, FALSE))</f>
        <v>:</v>
      </c>
      <c r="N67" s="544" t="str">
        <f>IF(VLOOKUP($E$67,[1]QUART!$A$2:$FA$315, 13, FALSE)="",":",VLOOKUP($E$67,[1]QUART!$A$2:$FA$315, 13, FALSE))</f>
        <v>:</v>
      </c>
      <c r="O67" s="544" t="str">
        <f>IF(VLOOKUP($E$67,[1]QUART!$A$2:$FA$315, 14, FALSE)="",":",VLOOKUP($E$67,[1]QUART!$A$2:$FA$315, 14, FALSE))</f>
        <v>:</v>
      </c>
      <c r="P67" s="544" t="str">
        <f>IF(VLOOKUP($E$67,[1]QUART!$A$2:$FA$315, 15, FALSE)="",":",VLOOKUP($E$67,[1]QUART!$A$2:$FA$315, 15, FALSE))</f>
        <v>:</v>
      </c>
      <c r="Q67" s="544" t="str">
        <f>IF(VLOOKUP($E$67,[1]QUART!$A$2:$FA$315, 16, FALSE)="",":",VLOOKUP($E$67,[1]QUART!$A$2:$FA$315, 16, FALSE))</f>
        <v>:</v>
      </c>
      <c r="R67" s="544" t="str">
        <f>IF(VLOOKUP($E$67,[1]QUART!$A$2:$FA$315, 17, FALSE)="",":",VLOOKUP($E$67,[1]QUART!$A$2:$FA$315, 17, FALSE))</f>
        <v>:</v>
      </c>
      <c r="S67" s="544" t="str">
        <f>IF(VLOOKUP($E$67,[1]QUART!$A$2:$FA$315, 18, FALSE)="",":",VLOOKUP($E$67,[1]QUART!$A$2:$FA$315, 18, FALSE))</f>
        <v>:</v>
      </c>
      <c r="T67" s="544" t="str">
        <f>IF(VLOOKUP($E$67,[1]QUART!$A$2:$FA$315, 19, FALSE)="",":",VLOOKUP($E$67,[1]QUART!$A$2:$FA$315, 19, FALSE))</f>
        <v>:</v>
      </c>
      <c r="U67" s="544" t="str">
        <f>IF(VLOOKUP($E$67,[1]QUART!$A$2:$FA$315, 20, FALSE)="",":",VLOOKUP($E$67,[1]QUART!$A$2:$FA$315, 20, FALSE))</f>
        <v>:</v>
      </c>
      <c r="V67" s="544" t="str">
        <f>IF(VLOOKUP($E$67,[1]QUART!$A$2:$FA$315, 21, FALSE)="",":",VLOOKUP($E$67,[1]QUART!$A$2:$FA$315, 21, FALSE))</f>
        <v>:</v>
      </c>
      <c r="W67" s="544" t="str">
        <f>IF(VLOOKUP($E$67,[1]QUART!$A$2:$FA$315, 22, FALSE)="",":",VLOOKUP($E$67,[1]QUART!$A$2:$FA$315, 22, FALSE))</f>
        <v>:</v>
      </c>
      <c r="X67" s="544" t="str">
        <f>IF(VLOOKUP($E$67,[1]QUART!$A$2:$FA$315, 23, FALSE)="",":",VLOOKUP($E$67,[1]QUART!$A$2:$FA$315, 23, FALSE))</f>
        <v>:</v>
      </c>
      <c r="Y67" s="544" t="str">
        <f>IF(VLOOKUP($E$67,[1]QUART!$A$2:$FA$315, 24, FALSE)="",":",VLOOKUP($E$67,[1]QUART!$A$2:$FA$315, 24, FALSE))</f>
        <v>:</v>
      </c>
      <c r="Z67" s="544" t="str">
        <f>IF(VLOOKUP($E$67,[1]QUART!$A$2:$FA$315, 25, FALSE)="",":",VLOOKUP($E$67,[1]QUART!$A$2:$FA$315, 25, FALSE))</f>
        <v>:</v>
      </c>
      <c r="AA67" s="544" t="str">
        <f>IF(VLOOKUP($E$67,[1]QUART!$A$2:$FA$315, 26, FALSE)="",":",VLOOKUP($E$67,[1]QUART!$A$2:$FA$315, 26, FALSE))</f>
        <v>:</v>
      </c>
      <c r="AB67" s="544" t="str">
        <f>IF(VLOOKUP($E$67,[1]QUART!$A$2:$FA$315, 27, FALSE)="",":",VLOOKUP($E$67,[1]QUART!$A$2:$FA$315, 27, FALSE))</f>
        <v>:</v>
      </c>
      <c r="AC67" s="544" t="str">
        <f>IF(VLOOKUP($E$67,[1]QUART!$A$2:$FA$315, 28, FALSE)="",":",VLOOKUP($E$67,[1]QUART!$A$2:$FA$315, 28, FALSE))</f>
        <v>:</v>
      </c>
      <c r="AD67" s="544" t="str">
        <f>IF(VLOOKUP($E$67,[1]QUART!$A$2:$FA$315, 29, FALSE)="",":",VLOOKUP($E$67,[1]QUART!$A$2:$FA$315, 29, FALSE))</f>
        <v>:</v>
      </c>
      <c r="AE67" s="544" t="str">
        <f>IF(VLOOKUP($E$67,[1]QUART!$A$2:$FA$315, 30, FALSE)="",":",VLOOKUP($E$67,[1]QUART!$A$2:$FA$315, 30, FALSE))</f>
        <v>:</v>
      </c>
      <c r="AF67" s="544" t="str">
        <f>IF(VLOOKUP($E$67,[1]QUART!$A$2:$FA$315, 31, FALSE)="",":",VLOOKUP($E$67,[1]QUART!$A$2:$FA$315, 31, FALSE))</f>
        <v>:</v>
      </c>
      <c r="AG67" s="544" t="str">
        <f>IF(VLOOKUP($E$67,[1]QUART!$A$2:$FA$315, 32, FALSE)="",":",VLOOKUP($E$67,[1]QUART!$A$2:$FA$315, 32, FALSE))</f>
        <v>:</v>
      </c>
      <c r="AH67" s="544" t="str">
        <f>IF(VLOOKUP($E$67,[1]QUART!$A$2:$FA$315, 33, FALSE)="",":",VLOOKUP($E$67,[1]QUART!$A$2:$FA$315, 33, FALSE))</f>
        <v>:</v>
      </c>
      <c r="AI67" s="544" t="str">
        <f>IF(VLOOKUP($E$67,[1]QUART!$A$2:$FA$315, 34, FALSE)="",":",VLOOKUP($E$67,[1]QUART!$A$2:$FA$315, 34, FALSE))</f>
        <v>:</v>
      </c>
      <c r="AJ67" s="544" t="str">
        <f>IF(VLOOKUP($E$67,[1]QUART!$A$2:$FA$315, 35, FALSE)="",":",VLOOKUP($E$67,[1]QUART!$A$2:$FA$315, 35, FALSE))</f>
        <v>:</v>
      </c>
      <c r="AK67" s="544" t="str">
        <f>IF(VLOOKUP($E$67,[1]QUART!$A$2:$FA$315, 36, FALSE)="",":",VLOOKUP($E$67,[1]QUART!$A$2:$FA$315, 36, FALSE))</f>
        <v>:</v>
      </c>
      <c r="AL67" s="544" t="str">
        <f>IF(VLOOKUP($E$67,[1]QUART!$A$2:$FA$315, 37, FALSE)="",":",VLOOKUP($E$67,[1]QUART!$A$2:$FA$315, 37, FALSE))</f>
        <v>:</v>
      </c>
      <c r="AM67" s="544" t="str">
        <f>IF(VLOOKUP($E$67,[1]QUART!$A$2:$FA$315, 38, FALSE)="",":",VLOOKUP($E$67,[1]QUART!$A$2:$FA$315, 38, FALSE))</f>
        <v>:</v>
      </c>
      <c r="AN67" s="544" t="str">
        <f>IF(VLOOKUP($E$67,[1]QUART!$A$2:$FA$315, 39, FALSE)="",":",VLOOKUP($E$67,[1]QUART!$A$2:$FA$315, 39, FALSE))</f>
        <v>:</v>
      </c>
      <c r="AO67" s="544" t="str">
        <f>IF(VLOOKUP($E$67,[1]QUART!$A$2:$FA$315, 40, FALSE)="",":",VLOOKUP($E$67,[1]QUART!$A$2:$FA$315, 40, FALSE))</f>
        <v>:</v>
      </c>
      <c r="AP67" s="544" t="str">
        <f>IF(VLOOKUP($E$67,[1]QUART!$A$2:$FA$315, 41, FALSE)="",":",VLOOKUP($E$67,[1]QUART!$A$2:$FA$315, 41, FALSE))</f>
        <v>:</v>
      </c>
      <c r="AQ67" s="544" t="str">
        <f>IF(VLOOKUP($E$67,[1]QUART!$A$2:$FA$315, 42, FALSE)="",":",VLOOKUP($E$67,[1]QUART!$A$2:$FA$315, 42, FALSE))</f>
        <v>:</v>
      </c>
      <c r="AR67" s="544" t="str">
        <f>IF(VLOOKUP($E$67,[1]QUART!$A$2:$FA$315, 43, FALSE)="",":",VLOOKUP($E$67,[1]QUART!$A$2:$FA$315, 43, FALSE))</f>
        <v>:</v>
      </c>
      <c r="AS67" s="544" t="str">
        <f>IF(VLOOKUP($E$67,[1]QUART!$A$2:$FA$315, 44, FALSE)="",":",VLOOKUP($E$67,[1]QUART!$A$2:$FA$315, 44, FALSE))</f>
        <v>:</v>
      </c>
      <c r="AT67" s="544" t="str">
        <f>IF(VLOOKUP($E$67,[1]QUART!$A$2:$FA$315, 45, FALSE)="",":",VLOOKUP($E$67,[1]QUART!$A$2:$FA$315, 45, FALSE))</f>
        <v>:</v>
      </c>
      <c r="AU67" s="544" t="str">
        <f>IF(VLOOKUP($E$67,[1]QUART!$A$2:$FA$315, 46, FALSE)="",":",VLOOKUP($E$67,[1]QUART!$A$2:$FA$315, 46, FALSE))</f>
        <v>:</v>
      </c>
      <c r="AV67" s="544" t="str">
        <f>IF(VLOOKUP($E$67,[1]QUART!$A$2:$FA$315, 47, FALSE)="",":",VLOOKUP($E$67,[1]QUART!$A$2:$FA$315, 47, FALSE))</f>
        <v>:</v>
      </c>
      <c r="AW67" s="544" t="str">
        <f>IF(VLOOKUP($E$67,[1]QUART!$A$2:$FA$315, 48, FALSE)="",":",VLOOKUP($E$67,[1]QUART!$A$2:$FA$315, 48, FALSE))</f>
        <v>:</v>
      </c>
      <c r="AX67" s="544" t="str">
        <f>IF(VLOOKUP($E$67,[1]QUART!$A$2:$FA$315, 49, FALSE)="",":",VLOOKUP($E$67,[1]QUART!$A$2:$FA$315, 49, FALSE))</f>
        <v>:</v>
      </c>
      <c r="AY67" s="544" t="str">
        <f>IF(VLOOKUP($E$67,[1]QUART!$A$2:$FA$315, 50, FALSE)="",":",VLOOKUP($E$67,[1]QUART!$A$2:$FA$315, 50, FALSE))</f>
        <v>:</v>
      </c>
      <c r="AZ67" s="544" t="str">
        <f>IF(VLOOKUP($E$67,[1]QUART!$A$2:$FA$315, 51, FALSE)="",":",VLOOKUP($E$67,[1]QUART!$A$2:$FA$315, 51, FALSE))</f>
        <v>:</v>
      </c>
      <c r="BA67" s="544" t="str">
        <f>IF(VLOOKUP($E$67,[1]QUART!$A$2:$FA$315, 52, FALSE)="",":",VLOOKUP($E$67,[1]QUART!$A$2:$FA$315, 52, FALSE))</f>
        <v>:</v>
      </c>
      <c r="BB67" s="544" t="str">
        <f>IF(VLOOKUP($E$67,[1]QUART!$A$2:$FA$315, 53, FALSE)="",":",VLOOKUP($E$67,[1]QUART!$A$2:$FA$315, 53, FALSE))</f>
        <v>:</v>
      </c>
      <c r="BC67" s="544" t="str">
        <f>IF(VLOOKUP($E$67,[1]QUART!$A$2:$FA$315, 54, FALSE)="",":",VLOOKUP($E$67,[1]QUART!$A$2:$FA$315, 54, FALSE))</f>
        <v>:</v>
      </c>
      <c r="BD67" s="544" t="str">
        <f>IF(VLOOKUP($E$67,[1]QUART!$A$2:$FA$315, 55, FALSE)="",":",VLOOKUP($E$67,[1]QUART!$A$2:$FA$315, 55, FALSE))</f>
        <v>:</v>
      </c>
      <c r="BE67" s="544" t="str">
        <f>IF(VLOOKUP($E$67,[1]QUART!$A$2:$FA$315, 56, FALSE)="",":",VLOOKUP($E$67,[1]QUART!$A$2:$FA$315, 56, FALSE))</f>
        <v>:</v>
      </c>
      <c r="BF67" s="544" t="str">
        <f>IF(VLOOKUP($E$67,[1]QUART!$A$2:$FA$315, 57, FALSE)="",":",VLOOKUP($E$67,[1]QUART!$A$2:$FA$315, 57, FALSE))</f>
        <v>:</v>
      </c>
      <c r="BG67" s="544" t="str">
        <f>IF(VLOOKUP($E$67,[1]QUART!$A$2:$FA$315, 58, FALSE)="",":",VLOOKUP($E$67,[1]QUART!$A$2:$FA$315, 58, FALSE))</f>
        <v>:</v>
      </c>
      <c r="BH67" s="544" t="str">
        <f>IF(VLOOKUP($E$67,[1]QUART!$A$2:$FA$315, 59, FALSE)="",":",VLOOKUP($E$67,[1]QUART!$A$2:$FA$315, 59, FALSE))</f>
        <v>:</v>
      </c>
      <c r="BI67" s="544" t="str">
        <f>IF(VLOOKUP($E$67,[1]QUART!$A$2:$FA$315, 60, FALSE)="",":",VLOOKUP($E$67,[1]QUART!$A$2:$FA$315, 60, FALSE))</f>
        <v>:</v>
      </c>
      <c r="BJ67" s="544" t="str">
        <f>IF(VLOOKUP($E$67,[1]QUART!$A$2:$FA$315, 61, FALSE)="",":",VLOOKUP($E$67,[1]QUART!$A$2:$FA$315, 61, FALSE))</f>
        <v>:</v>
      </c>
      <c r="BK67" s="544" t="str">
        <f>IF(VLOOKUP($E$67,[1]QUART!$A$2:$FA$315, 62, FALSE)="",":",VLOOKUP($E$67,[1]QUART!$A$2:$FA$315, 62, FALSE))</f>
        <v>:</v>
      </c>
      <c r="BL67" s="544" t="str">
        <f>IF(VLOOKUP($E$67,[1]QUART!$A$2:$FA$315, 63, FALSE)="",":",VLOOKUP($E$67,[1]QUART!$A$2:$FA$315, 63, FALSE))</f>
        <v>:</v>
      </c>
      <c r="BM67" s="544" t="str">
        <f>IF(VLOOKUP($E$67,[1]QUART!$A$2:$FA$315, 64, FALSE)="",":",VLOOKUP($E$67,[1]QUART!$A$2:$FA$315, 64, FALSE))</f>
        <v>:</v>
      </c>
      <c r="BN67" s="544" t="str">
        <f>IF(VLOOKUP($E$67,[1]QUART!$A$2:$FA$315, 65, FALSE)="",":",VLOOKUP($E$67,[1]QUART!$A$2:$FA$315, 65, FALSE))</f>
        <v>:</v>
      </c>
      <c r="BO67" s="544" t="str">
        <f>IF(VLOOKUP($E$67,[1]QUART!$A$2:$FA$315, 66, FALSE)="",":",VLOOKUP($E$67,[1]QUART!$A$2:$FA$315, 66, FALSE))</f>
        <v>:</v>
      </c>
      <c r="BP67" s="544" t="str">
        <f>IF(VLOOKUP($E$67,[1]QUART!$A$2:$FA$315, 67, FALSE)="",":",VLOOKUP($E$67,[1]QUART!$A$2:$FA$315, 67, FALSE))</f>
        <v>:</v>
      </c>
      <c r="BQ67" s="544" t="str">
        <f>IF(VLOOKUP($E$67,[1]QUART!$A$2:$FA$315, 68, FALSE)="",":",VLOOKUP($E$67,[1]QUART!$A$2:$FA$315, 68, FALSE))</f>
        <v>:</v>
      </c>
      <c r="BR67" s="544" t="str">
        <f>IF(VLOOKUP($E$67,[1]QUART!$A$2:$FA$315, 69, FALSE)="",":",VLOOKUP($E$67,[1]QUART!$A$2:$FA$315, 69, FALSE))</f>
        <v>:</v>
      </c>
      <c r="BS67" s="544" t="str">
        <f>IF(VLOOKUP($E$67,[1]QUART!$A$2:$FA$315, 70, FALSE)="",":",VLOOKUP($E$67,[1]QUART!$A$2:$FA$315, 70, FALSE))</f>
        <v>:</v>
      </c>
      <c r="BT67" s="544" t="str">
        <f>IF(VLOOKUP($E$67,[1]QUART!$A$2:$FA$315, 71, FALSE)="",":",VLOOKUP($E$67,[1]QUART!$A$2:$FA$315, 71, FALSE))</f>
        <v>:</v>
      </c>
      <c r="BU67" s="544" t="str">
        <f>IF(VLOOKUP($E$67,[1]QUART!$A$2:$FA$315, 72, FALSE)="",":",VLOOKUP($E$67,[1]QUART!$A$2:$FA$315, 72, FALSE))</f>
        <v>:</v>
      </c>
      <c r="BV67" s="544" t="str">
        <f>IF(VLOOKUP($E$67,[1]QUART!$A$2:$FA$315, 73, FALSE)="",":",VLOOKUP($E$67,[1]QUART!$A$2:$FA$315, 73, FALSE))</f>
        <v>:</v>
      </c>
      <c r="BW67" s="544" t="str">
        <f>IF(VLOOKUP($E$67,[1]QUART!$A$2:$FA$315, 74, FALSE)="",":",VLOOKUP($E$67,[1]QUART!$A$2:$FA$315, 74, FALSE))</f>
        <v>:</v>
      </c>
      <c r="BX67" s="544" t="str">
        <f>IF(VLOOKUP($E$67,[1]QUART!$A$2:$FA$315, 75, FALSE)="",":",VLOOKUP($E$67,[1]QUART!$A$2:$FA$315, 75, FALSE))</f>
        <v>:</v>
      </c>
      <c r="BY67" s="544" t="str">
        <f>IF(VLOOKUP($E$67,[1]QUART!$A$2:$FA$315, 76, FALSE)="",":",VLOOKUP($E$67,[1]QUART!$A$2:$FA$315, 76, FALSE))</f>
        <v>:</v>
      </c>
      <c r="BZ67" s="544" t="str">
        <f>IF(VLOOKUP($E$67,[1]QUART!$A$2:$FA$315, 77, FALSE)="",":",VLOOKUP($E$67,[1]QUART!$A$2:$FA$315, 77, FALSE))</f>
        <v>:</v>
      </c>
      <c r="CA67" s="544" t="str">
        <f>IF(VLOOKUP($E$67,[1]QUART!$A$2:$FA$315, 78, FALSE)="",":",VLOOKUP($E$67,[1]QUART!$A$2:$FA$315, 78, FALSE))</f>
        <v>:</v>
      </c>
      <c r="CB67" s="544" t="str">
        <f>IF(VLOOKUP($E$67,[1]QUART!$A$2:$FA$315, 79, FALSE)="",":",VLOOKUP($E$67,[1]QUART!$A$2:$FA$315, 79, FALSE))</f>
        <v>:</v>
      </c>
      <c r="CC67" s="544" t="str">
        <f>IF(VLOOKUP($E$67,[1]QUART!$A$2:$FA$315, 80, FALSE)="",":",VLOOKUP($E$67,[1]QUART!$A$2:$FA$315, 80, FALSE))</f>
        <v>:</v>
      </c>
      <c r="CD67" s="544" t="str">
        <f>IF(VLOOKUP($E$67,[1]QUART!$A$2:$FA$315, 81, FALSE)="",":",VLOOKUP($E$67,[1]QUART!$A$2:$FA$315, 81, FALSE))</f>
        <v>:</v>
      </c>
      <c r="CE67" s="544" t="str">
        <f>IF(VLOOKUP($E$67,[1]QUART!$A$2:$FA$315, 82, FALSE)="",":",VLOOKUP($E$67,[1]QUART!$A$2:$FA$315, 82, FALSE))</f>
        <v>:</v>
      </c>
      <c r="CF67" s="544" t="str">
        <f>IF(VLOOKUP($E$67,[1]QUART!$A$2:$FA$315, 83, FALSE)="",":",VLOOKUP($E$67,[1]QUART!$A$2:$FA$315, 83, FALSE))</f>
        <v>:</v>
      </c>
      <c r="CG67" s="544" t="str">
        <f>IF(VLOOKUP($E$67,[1]QUART!$A$2:$FA$315, 84, FALSE)="",":",VLOOKUP($E$67,[1]QUART!$A$2:$FA$315, 84, FALSE))</f>
        <v>:</v>
      </c>
      <c r="CH67" s="544" t="str">
        <f>IF(VLOOKUP($E$67,[1]QUART!$A$2:$FA$315, 85, FALSE)="",":",VLOOKUP($E$67,[1]QUART!$A$2:$FA$315, 85, FALSE))</f>
        <v>:</v>
      </c>
      <c r="CI67" s="544" t="str">
        <f>IF(VLOOKUP($E$67,[1]QUART!$A$2:$FA$315, 86, FALSE)="",":",VLOOKUP($E$67,[1]QUART!$A$2:$FA$315, 86, FALSE))</f>
        <v>:</v>
      </c>
      <c r="CJ67" s="544" t="str">
        <f>IF(VLOOKUP($E$67,[1]QUART!$A$2:$FA$315, 87, FALSE)="",":",VLOOKUP($E$67,[1]QUART!$A$2:$FA$315, 87, FALSE))</f>
        <v>:</v>
      </c>
      <c r="CK67" s="544" t="str">
        <f>IF(VLOOKUP($E$67,[1]QUART!$A$2:$FA$315, 88, FALSE)="",":",VLOOKUP($E$67,[1]QUART!$A$2:$FA$315, 88, FALSE))</f>
        <v>:</v>
      </c>
      <c r="CL67" s="544" t="str">
        <f>IF(VLOOKUP($E$67,[1]QUART!$A$2:$FA$315, 89, FALSE)="",":",VLOOKUP($E$67,[1]QUART!$A$2:$FA$315, 89, FALSE))</f>
        <v>:</v>
      </c>
      <c r="CM67" s="544" t="str">
        <f>IF(VLOOKUP($E$67,[1]QUART!$A$2:$FA$315, 90, FALSE)="",":",VLOOKUP($E$67,[1]QUART!$A$2:$FA$315, 90, FALSE))</f>
        <v>:</v>
      </c>
      <c r="CN67" s="544" t="str">
        <f>IF(VLOOKUP($E$67,[1]QUART!$A$2:$FA$315, 91, FALSE)="",":",VLOOKUP($E$67,[1]QUART!$A$2:$FA$315, 91, FALSE))</f>
        <v>:</v>
      </c>
      <c r="CO67" s="544" t="str">
        <f>IF(VLOOKUP($E$67,[1]QUART!$A$2:$FA$315, 92, FALSE)="",":",VLOOKUP($E$67,[1]QUART!$A$2:$FA$315, 92, FALSE))</f>
        <v>:</v>
      </c>
      <c r="CP67" s="544" t="str">
        <f>IF(VLOOKUP($E$67,[1]QUART!$A$2:$FA$315, 93, FALSE)="",":",VLOOKUP($E$67,[1]QUART!$A$2:$FA$315, 93, FALSE))</f>
        <v>:</v>
      </c>
      <c r="CQ67" s="544" t="str">
        <f>IF(VLOOKUP($E$67,[1]QUART!$A$2:$FA$315, 94, FALSE)="",":",VLOOKUP($E$67,[1]QUART!$A$2:$FA$315, 94, FALSE))</f>
        <v>:</v>
      </c>
      <c r="CR67" s="544" t="str">
        <f>IF(VLOOKUP($E$67,[1]QUART!$A$2:$FA$315, 95, FALSE)="",":",VLOOKUP($E$67,[1]QUART!$A$2:$FA$315, 95, FALSE))</f>
        <v>:</v>
      </c>
      <c r="CS67" s="544" t="str">
        <f>IF(VLOOKUP($E$67,[1]QUART!$A$2:$FA$315, 96, FALSE)="",":",VLOOKUP($E$67,[1]QUART!$A$2:$FA$315, 96, FALSE))</f>
        <v>:</v>
      </c>
      <c r="CT67" s="544" t="str">
        <f>IF(VLOOKUP($E$67,[1]QUART!$A$2:$FA$315, 97, FALSE)="",":",VLOOKUP($E$67,[1]QUART!$A$2:$FA$315, 97, FALSE))</f>
        <v>:</v>
      </c>
      <c r="CU67" s="544" t="str">
        <f>IF(VLOOKUP($E$67,[1]QUART!$A$2:$FA$315, 98, FALSE)="",":",VLOOKUP($E$67,[1]QUART!$A$2:$FA$315, 98, FALSE))</f>
        <v>:</v>
      </c>
      <c r="CV67" s="544" t="str">
        <f>IF(VLOOKUP($E$67,[1]QUART!$A$2:$FA$315, 99, FALSE)="",":",VLOOKUP($E$67,[1]QUART!$A$2:$FA$315, 99, FALSE))</f>
        <v>:</v>
      </c>
      <c r="CW67" s="544" t="str">
        <f>IF(VLOOKUP($E$67,[1]QUART!$A$2:$FA$315, 100, FALSE)="",":",VLOOKUP($E$67,[1]QUART!$A$2:$FA$315, 100, FALSE))</f>
        <v>:</v>
      </c>
      <c r="CX67" s="544" t="str">
        <f>IF(VLOOKUP($E$67,[1]QUART!$A$2:$FA$315, 101, FALSE)="",":",VLOOKUP($E$67,[1]QUART!$A$2:$FA$315, 101, FALSE))</f>
        <v>:</v>
      </c>
      <c r="CY67" s="544" t="str">
        <f>IF(VLOOKUP($E$67,[1]QUART!$A$2:$FA$315, 102, FALSE)="",":",VLOOKUP($E$67,[1]QUART!$A$2:$FA$315, 102, FALSE))</f>
        <v>:</v>
      </c>
      <c r="CZ67" s="544" t="str">
        <f>IF(VLOOKUP($E$67,[1]QUART!$A$2:$FA$315, 103, FALSE)="",":",VLOOKUP($E$67,[1]QUART!$A$2:$FA$315, 103, FALSE))</f>
        <v>:</v>
      </c>
      <c r="DA67" s="544" t="str">
        <f>IF(VLOOKUP($E$67,[1]QUART!$A$2:$FA$315, 104, FALSE)="",":",VLOOKUP($E$67,[1]QUART!$A$2:$FA$315, 104, FALSE))</f>
        <v>:</v>
      </c>
      <c r="DB67" s="544" t="str">
        <f>IF(VLOOKUP($E$67,[1]QUART!$A$2:$FA$315, 105, FALSE)="",":",VLOOKUP($E$67,[1]QUART!$A$2:$FA$315, 105, FALSE))</f>
        <v>:</v>
      </c>
      <c r="DC67" s="544" t="str">
        <f>IF(VLOOKUP($E$67,[1]QUART!$A$2:$FA$315, 106, FALSE)="",":",VLOOKUP($E$67,[1]QUART!$A$2:$FA$315, 106, FALSE))</f>
        <v>:</v>
      </c>
    </row>
    <row r="68" spans="1:107">
      <c r="A68" s="1954"/>
      <c r="B68" s="534"/>
      <c r="C68" s="535"/>
      <c r="D68" s="12" t="s">
        <v>1841</v>
      </c>
      <c r="E68" s="13">
        <v>135</v>
      </c>
      <c r="F68" s="14" t="str">
        <f>VLOOKUP($E$68,[1]QUART!$A$2:$FA$315, 3, FALSE)</f>
        <v xml:space="preserve">135  Imports of goods          </v>
      </c>
      <c r="G68" s="544" t="str">
        <f>IF(VLOOKUP($E$68,[1]QUART!$A$2:$FA$315, 6, FALSE)="",":",VLOOKUP($E$68,[1]QUART!$A$2:$FA$315, 6, FALSE))</f>
        <v>:</v>
      </c>
      <c r="H68" s="544" t="str">
        <f>IF(VLOOKUP($E$68,[1]QUART!$A$2:$FA$315, 7, FALSE)="",":",VLOOKUP($E$68,[1]QUART!$A$2:$FA$315, 7, FALSE))</f>
        <v>:</v>
      </c>
      <c r="I68" s="544" t="str">
        <f>IF(VLOOKUP($E$68,[1]QUART!$A$2:$FA$315, 8, FALSE)="",":",VLOOKUP($E$68,[1]QUART!$A$2:$FA$315, 8, FALSE))</f>
        <v>:</v>
      </c>
      <c r="J68" s="544" t="str">
        <f>IF(VLOOKUP($E$68,[1]QUART!$A$2:$FA$315, 9, FALSE)="",":",VLOOKUP($E$68,[1]QUART!$A$2:$FA$315, 9, FALSE))</f>
        <v>:</v>
      </c>
      <c r="K68" s="544" t="str">
        <f>IF(VLOOKUP($E$68,[1]QUART!$A$2:$FA$315, 10, FALSE)="",":",VLOOKUP($E$68,[1]QUART!$A$2:$FA$315, 10, FALSE))</f>
        <v>:</v>
      </c>
      <c r="L68" s="544" t="str">
        <f>IF(VLOOKUP($E$68,[1]QUART!$A$2:$FA$315, 11, FALSE)="",":",VLOOKUP($E$68,[1]QUART!$A$2:$FA$315, 11, FALSE))</f>
        <v>:</v>
      </c>
      <c r="M68" s="544" t="str">
        <f>IF(VLOOKUP($E$68,[1]QUART!$A$2:$FA$315, 12, FALSE)="",":",VLOOKUP($E$68,[1]QUART!$A$2:$FA$315, 12, FALSE))</f>
        <v>:</v>
      </c>
      <c r="N68" s="544" t="str">
        <f>IF(VLOOKUP($E$68,[1]QUART!$A$2:$FA$315, 13, FALSE)="",":",VLOOKUP($E$68,[1]QUART!$A$2:$FA$315, 13, FALSE))</f>
        <v>:</v>
      </c>
      <c r="O68" s="544" t="str">
        <f>IF(VLOOKUP($E$68,[1]QUART!$A$2:$FA$315, 14, FALSE)="",":",VLOOKUP($E$68,[1]QUART!$A$2:$FA$315, 14, FALSE))</f>
        <v>:</v>
      </c>
      <c r="P68" s="544" t="str">
        <f>IF(VLOOKUP($E$68,[1]QUART!$A$2:$FA$315, 15, FALSE)="",":",VLOOKUP($E$68,[1]QUART!$A$2:$FA$315, 15, FALSE))</f>
        <v>:</v>
      </c>
      <c r="Q68" s="544" t="str">
        <f>IF(VLOOKUP($E$68,[1]QUART!$A$2:$FA$315, 16, FALSE)="",":",VLOOKUP($E$68,[1]QUART!$A$2:$FA$315, 16, FALSE))</f>
        <v>:</v>
      </c>
      <c r="R68" s="544" t="str">
        <f>IF(VLOOKUP($E$68,[1]QUART!$A$2:$FA$315, 17, FALSE)="",":",VLOOKUP($E$68,[1]QUART!$A$2:$FA$315, 17, FALSE))</f>
        <v>:</v>
      </c>
      <c r="S68" s="544" t="str">
        <f>IF(VLOOKUP($E$68,[1]QUART!$A$2:$FA$315, 18, FALSE)="",":",VLOOKUP($E$68,[1]QUART!$A$2:$FA$315, 18, FALSE))</f>
        <v>:</v>
      </c>
      <c r="T68" s="544" t="str">
        <f>IF(VLOOKUP($E$68,[1]QUART!$A$2:$FA$315, 19, FALSE)="",":",VLOOKUP($E$68,[1]QUART!$A$2:$FA$315, 19, FALSE))</f>
        <v>:</v>
      </c>
      <c r="U68" s="544" t="str">
        <f>IF(VLOOKUP($E$68,[1]QUART!$A$2:$FA$315, 20, FALSE)="",":",VLOOKUP($E$68,[1]QUART!$A$2:$FA$315, 20, FALSE))</f>
        <v>:</v>
      </c>
      <c r="V68" s="544" t="str">
        <f>IF(VLOOKUP($E$68,[1]QUART!$A$2:$FA$315, 21, FALSE)="",":",VLOOKUP($E$68,[1]QUART!$A$2:$FA$315, 21, FALSE))</f>
        <v>:</v>
      </c>
      <c r="W68" s="544" t="str">
        <f>IF(VLOOKUP($E$68,[1]QUART!$A$2:$FA$315, 22, FALSE)="",":",VLOOKUP($E$68,[1]QUART!$A$2:$FA$315, 22, FALSE))</f>
        <v>:</v>
      </c>
      <c r="X68" s="544" t="str">
        <f>IF(VLOOKUP($E$68,[1]QUART!$A$2:$FA$315, 23, FALSE)="",":",VLOOKUP($E$68,[1]QUART!$A$2:$FA$315, 23, FALSE))</f>
        <v>:</v>
      </c>
      <c r="Y68" s="544" t="str">
        <f>IF(VLOOKUP($E$68,[1]QUART!$A$2:$FA$315, 24, FALSE)="",":",VLOOKUP($E$68,[1]QUART!$A$2:$FA$315, 24, FALSE))</f>
        <v>:</v>
      </c>
      <c r="Z68" s="544" t="str">
        <f>IF(VLOOKUP($E$68,[1]QUART!$A$2:$FA$315, 25, FALSE)="",":",VLOOKUP($E$68,[1]QUART!$A$2:$FA$315, 25, FALSE))</f>
        <v>:</v>
      </c>
      <c r="AA68" s="544" t="str">
        <f>IF(VLOOKUP($E$68,[1]QUART!$A$2:$FA$315, 26, FALSE)="",":",VLOOKUP($E$68,[1]QUART!$A$2:$FA$315, 26, FALSE))</f>
        <v>:</v>
      </c>
      <c r="AB68" s="544" t="str">
        <f>IF(VLOOKUP($E$68,[1]QUART!$A$2:$FA$315, 27, FALSE)="",":",VLOOKUP($E$68,[1]QUART!$A$2:$FA$315, 27, FALSE))</f>
        <v>:</v>
      </c>
      <c r="AC68" s="544" t="str">
        <f>IF(VLOOKUP($E$68,[1]QUART!$A$2:$FA$315, 28, FALSE)="",":",VLOOKUP($E$68,[1]QUART!$A$2:$FA$315, 28, FALSE))</f>
        <v>:</v>
      </c>
      <c r="AD68" s="544" t="str">
        <f>IF(VLOOKUP($E$68,[1]QUART!$A$2:$FA$315, 29, FALSE)="",":",VLOOKUP($E$68,[1]QUART!$A$2:$FA$315, 29, FALSE))</f>
        <v>:</v>
      </c>
      <c r="AE68" s="544" t="str">
        <f>IF(VLOOKUP($E$68,[1]QUART!$A$2:$FA$315, 30, FALSE)="",":",VLOOKUP($E$68,[1]QUART!$A$2:$FA$315, 30, FALSE))</f>
        <v>:</v>
      </c>
      <c r="AF68" s="544" t="str">
        <f>IF(VLOOKUP($E$68,[1]QUART!$A$2:$FA$315, 31, FALSE)="",":",VLOOKUP($E$68,[1]QUART!$A$2:$FA$315, 31, FALSE))</f>
        <v>:</v>
      </c>
      <c r="AG68" s="544" t="str">
        <f>IF(VLOOKUP($E$68,[1]QUART!$A$2:$FA$315, 32, FALSE)="",":",VLOOKUP($E$68,[1]QUART!$A$2:$FA$315, 32, FALSE))</f>
        <v>:</v>
      </c>
      <c r="AH68" s="544" t="str">
        <f>IF(VLOOKUP($E$68,[1]QUART!$A$2:$FA$315, 33, FALSE)="",":",VLOOKUP($E$68,[1]QUART!$A$2:$FA$315, 33, FALSE))</f>
        <v>:</v>
      </c>
      <c r="AI68" s="544" t="str">
        <f>IF(VLOOKUP($E$68,[1]QUART!$A$2:$FA$315, 34, FALSE)="",":",VLOOKUP($E$68,[1]QUART!$A$2:$FA$315, 34, FALSE))</f>
        <v>:</v>
      </c>
      <c r="AJ68" s="544" t="str">
        <f>IF(VLOOKUP($E$68,[1]QUART!$A$2:$FA$315, 35, FALSE)="",":",VLOOKUP($E$68,[1]QUART!$A$2:$FA$315, 35, FALSE))</f>
        <v>:</v>
      </c>
      <c r="AK68" s="544" t="str">
        <f>IF(VLOOKUP($E$68,[1]QUART!$A$2:$FA$315, 36, FALSE)="",":",VLOOKUP($E$68,[1]QUART!$A$2:$FA$315, 36, FALSE))</f>
        <v>:</v>
      </c>
      <c r="AL68" s="544" t="str">
        <f>IF(VLOOKUP($E$68,[1]QUART!$A$2:$FA$315, 37, FALSE)="",":",VLOOKUP($E$68,[1]QUART!$A$2:$FA$315, 37, FALSE))</f>
        <v>:</v>
      </c>
      <c r="AM68" s="544" t="str">
        <f>IF(VLOOKUP($E$68,[1]QUART!$A$2:$FA$315, 38, FALSE)="",":",VLOOKUP($E$68,[1]QUART!$A$2:$FA$315, 38, FALSE))</f>
        <v>:</v>
      </c>
      <c r="AN68" s="544" t="str">
        <f>IF(VLOOKUP($E$68,[1]QUART!$A$2:$FA$315, 39, FALSE)="",":",VLOOKUP($E$68,[1]QUART!$A$2:$FA$315, 39, FALSE))</f>
        <v>:</v>
      </c>
      <c r="AO68" s="544" t="str">
        <f>IF(VLOOKUP($E$68,[1]QUART!$A$2:$FA$315, 40, FALSE)="",":",VLOOKUP($E$68,[1]QUART!$A$2:$FA$315, 40, FALSE))</f>
        <v>:</v>
      </c>
      <c r="AP68" s="544" t="str">
        <f>IF(VLOOKUP($E$68,[1]QUART!$A$2:$FA$315, 41, FALSE)="",":",VLOOKUP($E$68,[1]QUART!$A$2:$FA$315, 41, FALSE))</f>
        <v>:</v>
      </c>
      <c r="AQ68" s="544" t="str">
        <f>IF(VLOOKUP($E$68,[1]QUART!$A$2:$FA$315, 42, FALSE)="",":",VLOOKUP($E$68,[1]QUART!$A$2:$FA$315, 42, FALSE))</f>
        <v>:</v>
      </c>
      <c r="AR68" s="544" t="str">
        <f>IF(VLOOKUP($E$68,[1]QUART!$A$2:$FA$315, 43, FALSE)="",":",VLOOKUP($E$68,[1]QUART!$A$2:$FA$315, 43, FALSE))</f>
        <v>:</v>
      </c>
      <c r="AS68" s="544" t="str">
        <f>IF(VLOOKUP($E$68,[1]QUART!$A$2:$FA$315, 44, FALSE)="",":",VLOOKUP($E$68,[1]QUART!$A$2:$FA$315, 44, FALSE))</f>
        <v>:</v>
      </c>
      <c r="AT68" s="544" t="str">
        <f>IF(VLOOKUP($E$68,[1]QUART!$A$2:$FA$315, 45, FALSE)="",":",VLOOKUP($E$68,[1]QUART!$A$2:$FA$315, 45, FALSE))</f>
        <v>:</v>
      </c>
      <c r="AU68" s="544" t="str">
        <f>IF(VLOOKUP($E$68,[1]QUART!$A$2:$FA$315, 46, FALSE)="",":",VLOOKUP($E$68,[1]QUART!$A$2:$FA$315, 46, FALSE))</f>
        <v>:</v>
      </c>
      <c r="AV68" s="544" t="str">
        <f>IF(VLOOKUP($E$68,[1]QUART!$A$2:$FA$315, 47, FALSE)="",":",VLOOKUP($E$68,[1]QUART!$A$2:$FA$315, 47, FALSE))</f>
        <v>:</v>
      </c>
      <c r="AW68" s="544" t="str">
        <f>IF(VLOOKUP($E$68,[1]QUART!$A$2:$FA$315, 48, FALSE)="",":",VLOOKUP($E$68,[1]QUART!$A$2:$FA$315, 48, FALSE))</f>
        <v>:</v>
      </c>
      <c r="AX68" s="544" t="str">
        <f>IF(VLOOKUP($E$68,[1]QUART!$A$2:$FA$315, 49, FALSE)="",":",VLOOKUP($E$68,[1]QUART!$A$2:$FA$315, 49, FALSE))</f>
        <v>:</v>
      </c>
      <c r="AY68" s="544" t="str">
        <f>IF(VLOOKUP($E$68,[1]QUART!$A$2:$FA$315, 50, FALSE)="",":",VLOOKUP($E$68,[1]QUART!$A$2:$FA$315, 50, FALSE))</f>
        <v>:</v>
      </c>
      <c r="AZ68" s="544" t="str">
        <f>IF(VLOOKUP($E$68,[1]QUART!$A$2:$FA$315, 51, FALSE)="",":",VLOOKUP($E$68,[1]QUART!$A$2:$FA$315, 51, FALSE))</f>
        <v>:</v>
      </c>
      <c r="BA68" s="544" t="str">
        <f>IF(VLOOKUP($E$68,[1]QUART!$A$2:$FA$315, 52, FALSE)="",":",VLOOKUP($E$68,[1]QUART!$A$2:$FA$315, 52, FALSE))</f>
        <v>:</v>
      </c>
      <c r="BB68" s="544" t="str">
        <f>IF(VLOOKUP($E$68,[1]QUART!$A$2:$FA$315, 53, FALSE)="",":",VLOOKUP($E$68,[1]QUART!$A$2:$FA$315, 53, FALSE))</f>
        <v>:</v>
      </c>
      <c r="BC68" s="544" t="str">
        <f>IF(VLOOKUP($E$68,[1]QUART!$A$2:$FA$315, 54, FALSE)="",":",VLOOKUP($E$68,[1]QUART!$A$2:$FA$315, 54, FALSE))</f>
        <v>:</v>
      </c>
      <c r="BD68" s="544" t="str">
        <f>IF(VLOOKUP($E$68,[1]QUART!$A$2:$FA$315, 55, FALSE)="",":",VLOOKUP($E$68,[1]QUART!$A$2:$FA$315, 55, FALSE))</f>
        <v>:</v>
      </c>
      <c r="BE68" s="544" t="str">
        <f>IF(VLOOKUP($E$68,[1]QUART!$A$2:$FA$315, 56, FALSE)="",":",VLOOKUP($E$68,[1]QUART!$A$2:$FA$315, 56, FALSE))</f>
        <v>:</v>
      </c>
      <c r="BF68" s="544" t="str">
        <f>IF(VLOOKUP($E$68,[1]QUART!$A$2:$FA$315, 57, FALSE)="",":",VLOOKUP($E$68,[1]QUART!$A$2:$FA$315, 57, FALSE))</f>
        <v>:</v>
      </c>
      <c r="BG68" s="544" t="str">
        <f>IF(VLOOKUP($E$68,[1]QUART!$A$2:$FA$315, 58, FALSE)="",":",VLOOKUP($E$68,[1]QUART!$A$2:$FA$315, 58, FALSE))</f>
        <v>:</v>
      </c>
      <c r="BH68" s="544" t="str">
        <f>IF(VLOOKUP($E$68,[1]QUART!$A$2:$FA$315, 59, FALSE)="",":",VLOOKUP($E$68,[1]QUART!$A$2:$FA$315, 59, FALSE))</f>
        <v>:</v>
      </c>
      <c r="BI68" s="544" t="str">
        <f>IF(VLOOKUP($E$68,[1]QUART!$A$2:$FA$315, 60, FALSE)="",":",VLOOKUP($E$68,[1]QUART!$A$2:$FA$315, 60, FALSE))</f>
        <v>:</v>
      </c>
      <c r="BJ68" s="544" t="str">
        <f>IF(VLOOKUP($E$68,[1]QUART!$A$2:$FA$315, 61, FALSE)="",":",VLOOKUP($E$68,[1]QUART!$A$2:$FA$315, 61, FALSE))</f>
        <v>:</v>
      </c>
      <c r="BK68" s="544" t="str">
        <f>IF(VLOOKUP($E$68,[1]QUART!$A$2:$FA$315, 62, FALSE)="",":",VLOOKUP($E$68,[1]QUART!$A$2:$FA$315, 62, FALSE))</f>
        <v>:</v>
      </c>
      <c r="BL68" s="544" t="str">
        <f>IF(VLOOKUP($E$68,[1]QUART!$A$2:$FA$315, 63, FALSE)="",":",VLOOKUP($E$68,[1]QUART!$A$2:$FA$315, 63, FALSE))</f>
        <v>:</v>
      </c>
      <c r="BM68" s="544" t="str">
        <f>IF(VLOOKUP($E$68,[1]QUART!$A$2:$FA$315, 64, FALSE)="",":",VLOOKUP($E$68,[1]QUART!$A$2:$FA$315, 64, FALSE))</f>
        <v>:</v>
      </c>
      <c r="BN68" s="544" t="str">
        <f>IF(VLOOKUP($E$68,[1]QUART!$A$2:$FA$315, 65, FALSE)="",":",VLOOKUP($E$68,[1]QUART!$A$2:$FA$315, 65, FALSE))</f>
        <v>:</v>
      </c>
      <c r="BO68" s="544" t="str">
        <f>IF(VLOOKUP($E$68,[1]QUART!$A$2:$FA$315, 66, FALSE)="",":",VLOOKUP($E$68,[1]QUART!$A$2:$FA$315, 66, FALSE))</f>
        <v>:</v>
      </c>
      <c r="BP68" s="544" t="str">
        <f>IF(VLOOKUP($E$68,[1]QUART!$A$2:$FA$315, 67, FALSE)="",":",VLOOKUP($E$68,[1]QUART!$A$2:$FA$315, 67, FALSE))</f>
        <v>:</v>
      </c>
      <c r="BQ68" s="544" t="str">
        <f>IF(VLOOKUP($E$68,[1]QUART!$A$2:$FA$315, 68, FALSE)="",":",VLOOKUP($E$68,[1]QUART!$A$2:$FA$315, 68, FALSE))</f>
        <v>:</v>
      </c>
      <c r="BR68" s="544" t="str">
        <f>IF(VLOOKUP($E$68,[1]QUART!$A$2:$FA$315, 69, FALSE)="",":",VLOOKUP($E$68,[1]QUART!$A$2:$FA$315, 69, FALSE))</f>
        <v>:</v>
      </c>
      <c r="BS68" s="544" t="str">
        <f>IF(VLOOKUP($E$68,[1]QUART!$A$2:$FA$315, 70, FALSE)="",":",VLOOKUP($E$68,[1]QUART!$A$2:$FA$315, 70, FALSE))</f>
        <v>:</v>
      </c>
      <c r="BT68" s="544" t="str">
        <f>IF(VLOOKUP($E$68,[1]QUART!$A$2:$FA$315, 71, FALSE)="",":",VLOOKUP($E$68,[1]QUART!$A$2:$FA$315, 71, FALSE))</f>
        <v>:</v>
      </c>
      <c r="BU68" s="544" t="str">
        <f>IF(VLOOKUP($E$68,[1]QUART!$A$2:$FA$315, 72, FALSE)="",":",VLOOKUP($E$68,[1]QUART!$A$2:$FA$315, 72, FALSE))</f>
        <v>:</v>
      </c>
      <c r="BV68" s="544" t="str">
        <f>IF(VLOOKUP($E$68,[1]QUART!$A$2:$FA$315, 73, FALSE)="",":",VLOOKUP($E$68,[1]QUART!$A$2:$FA$315, 73, FALSE))</f>
        <v>:</v>
      </c>
      <c r="BW68" s="544" t="str">
        <f>IF(VLOOKUP($E$68,[1]QUART!$A$2:$FA$315, 74, FALSE)="",":",VLOOKUP($E$68,[1]QUART!$A$2:$FA$315, 74, FALSE))</f>
        <v>:</v>
      </c>
      <c r="BX68" s="544" t="str">
        <f>IF(VLOOKUP($E$68,[1]QUART!$A$2:$FA$315, 75, FALSE)="",":",VLOOKUP($E$68,[1]QUART!$A$2:$FA$315, 75, FALSE))</f>
        <v>:</v>
      </c>
      <c r="BY68" s="544" t="str">
        <f>IF(VLOOKUP($E$68,[1]QUART!$A$2:$FA$315, 76, FALSE)="",":",VLOOKUP($E$68,[1]QUART!$A$2:$FA$315, 76, FALSE))</f>
        <v>:</v>
      </c>
      <c r="BZ68" s="544" t="str">
        <f>IF(VLOOKUP($E$68,[1]QUART!$A$2:$FA$315, 77, FALSE)="",":",VLOOKUP($E$68,[1]QUART!$A$2:$FA$315, 77, FALSE))</f>
        <v>:</v>
      </c>
      <c r="CA68" s="544" t="str">
        <f>IF(VLOOKUP($E$68,[1]QUART!$A$2:$FA$315, 78, FALSE)="",":",VLOOKUP($E$68,[1]QUART!$A$2:$FA$315, 78, FALSE))</f>
        <v>:</v>
      </c>
      <c r="CB68" s="544" t="str">
        <f>IF(VLOOKUP($E$68,[1]QUART!$A$2:$FA$315, 79, FALSE)="",":",VLOOKUP($E$68,[1]QUART!$A$2:$FA$315, 79, FALSE))</f>
        <v>:</v>
      </c>
      <c r="CC68" s="544" t="str">
        <f>IF(VLOOKUP($E$68,[1]QUART!$A$2:$FA$315, 80, FALSE)="",":",VLOOKUP($E$68,[1]QUART!$A$2:$FA$315, 80, FALSE))</f>
        <v>:</v>
      </c>
      <c r="CD68" s="544" t="str">
        <f>IF(VLOOKUP($E$68,[1]QUART!$A$2:$FA$315, 81, FALSE)="",":",VLOOKUP($E$68,[1]QUART!$A$2:$FA$315, 81, FALSE))</f>
        <v>:</v>
      </c>
      <c r="CE68" s="544" t="str">
        <f>IF(VLOOKUP($E$68,[1]QUART!$A$2:$FA$315, 82, FALSE)="",":",VLOOKUP($E$68,[1]QUART!$A$2:$FA$315, 82, FALSE))</f>
        <v>:</v>
      </c>
      <c r="CF68" s="544" t="str">
        <f>IF(VLOOKUP($E$68,[1]QUART!$A$2:$FA$315, 83, FALSE)="",":",VLOOKUP($E$68,[1]QUART!$A$2:$FA$315, 83, FALSE))</f>
        <v>:</v>
      </c>
      <c r="CG68" s="544" t="str">
        <f>IF(VLOOKUP($E$68,[1]QUART!$A$2:$FA$315, 84, FALSE)="",":",VLOOKUP($E$68,[1]QUART!$A$2:$FA$315, 84, FALSE))</f>
        <v>:</v>
      </c>
      <c r="CH68" s="544" t="str">
        <f>IF(VLOOKUP($E$68,[1]QUART!$A$2:$FA$315, 85, FALSE)="",":",VLOOKUP($E$68,[1]QUART!$A$2:$FA$315, 85, FALSE))</f>
        <v>:</v>
      </c>
      <c r="CI68" s="544" t="str">
        <f>IF(VLOOKUP($E$68,[1]QUART!$A$2:$FA$315, 86, FALSE)="",":",VLOOKUP($E$68,[1]QUART!$A$2:$FA$315, 86, FALSE))</f>
        <v>:</v>
      </c>
      <c r="CJ68" s="544" t="str">
        <f>IF(VLOOKUP($E$68,[1]QUART!$A$2:$FA$315, 87, FALSE)="",":",VLOOKUP($E$68,[1]QUART!$A$2:$FA$315, 87, FALSE))</f>
        <v>:</v>
      </c>
      <c r="CK68" s="544" t="str">
        <f>IF(VLOOKUP($E$68,[1]QUART!$A$2:$FA$315, 88, FALSE)="",":",VLOOKUP($E$68,[1]QUART!$A$2:$FA$315, 88, FALSE))</f>
        <v>:</v>
      </c>
      <c r="CL68" s="544" t="str">
        <f>IF(VLOOKUP($E$68,[1]QUART!$A$2:$FA$315, 89, FALSE)="",":",VLOOKUP($E$68,[1]QUART!$A$2:$FA$315, 89, FALSE))</f>
        <v>:</v>
      </c>
      <c r="CM68" s="544" t="str">
        <f>IF(VLOOKUP($E$68,[1]QUART!$A$2:$FA$315, 90, FALSE)="",":",VLOOKUP($E$68,[1]QUART!$A$2:$FA$315, 90, FALSE))</f>
        <v>:</v>
      </c>
      <c r="CN68" s="544" t="str">
        <f>IF(VLOOKUP($E$68,[1]QUART!$A$2:$FA$315, 91, FALSE)="",":",VLOOKUP($E$68,[1]QUART!$A$2:$FA$315, 91, FALSE))</f>
        <v>:</v>
      </c>
      <c r="CO68" s="544" t="str">
        <f>IF(VLOOKUP($E$68,[1]QUART!$A$2:$FA$315, 92, FALSE)="",":",VLOOKUP($E$68,[1]QUART!$A$2:$FA$315, 92, FALSE))</f>
        <v>:</v>
      </c>
      <c r="CP68" s="544" t="str">
        <f>IF(VLOOKUP($E$68,[1]QUART!$A$2:$FA$315, 93, FALSE)="",":",VLOOKUP($E$68,[1]QUART!$A$2:$FA$315, 93, FALSE))</f>
        <v>:</v>
      </c>
      <c r="CQ68" s="544" t="str">
        <f>IF(VLOOKUP($E$68,[1]QUART!$A$2:$FA$315, 94, FALSE)="",":",VLOOKUP($E$68,[1]QUART!$A$2:$FA$315, 94, FALSE))</f>
        <v>:</v>
      </c>
      <c r="CR68" s="544" t="str">
        <f>IF(VLOOKUP($E$68,[1]QUART!$A$2:$FA$315, 95, FALSE)="",":",VLOOKUP($E$68,[1]QUART!$A$2:$FA$315, 95, FALSE))</f>
        <v>:</v>
      </c>
      <c r="CS68" s="544" t="str">
        <f>IF(VLOOKUP($E$68,[1]QUART!$A$2:$FA$315, 96, FALSE)="",":",VLOOKUP($E$68,[1]QUART!$A$2:$FA$315, 96, FALSE))</f>
        <v>:</v>
      </c>
      <c r="CT68" s="544" t="str">
        <f>IF(VLOOKUP($E$68,[1]QUART!$A$2:$FA$315, 97, FALSE)="",":",VLOOKUP($E$68,[1]QUART!$A$2:$FA$315, 97, FALSE))</f>
        <v>:</v>
      </c>
      <c r="CU68" s="544" t="str">
        <f>IF(VLOOKUP($E$68,[1]QUART!$A$2:$FA$315, 98, FALSE)="",":",VLOOKUP($E$68,[1]QUART!$A$2:$FA$315, 98, FALSE))</f>
        <v>:</v>
      </c>
      <c r="CV68" s="544" t="str">
        <f>IF(VLOOKUP($E$68,[1]QUART!$A$2:$FA$315, 99, FALSE)="",":",VLOOKUP($E$68,[1]QUART!$A$2:$FA$315, 99, FALSE))</f>
        <v>:</v>
      </c>
      <c r="CW68" s="544" t="str">
        <f>IF(VLOOKUP($E$68,[1]QUART!$A$2:$FA$315, 100, FALSE)="",":",VLOOKUP($E$68,[1]QUART!$A$2:$FA$315, 100, FALSE))</f>
        <v>:</v>
      </c>
      <c r="CX68" s="544" t="str">
        <f>IF(VLOOKUP($E$68,[1]QUART!$A$2:$FA$315, 101, FALSE)="",":",VLOOKUP($E$68,[1]QUART!$A$2:$FA$315, 101, FALSE))</f>
        <v>:</v>
      </c>
      <c r="CY68" s="544" t="str">
        <f>IF(VLOOKUP($E$68,[1]QUART!$A$2:$FA$315, 102, FALSE)="",":",VLOOKUP($E$68,[1]QUART!$A$2:$FA$315, 102, FALSE))</f>
        <v>:</v>
      </c>
      <c r="CZ68" s="544" t="str">
        <f>IF(VLOOKUP($E$68,[1]QUART!$A$2:$FA$315, 103, FALSE)="",":",VLOOKUP($E$68,[1]QUART!$A$2:$FA$315, 103, FALSE))</f>
        <v>:</v>
      </c>
      <c r="DA68" s="544" t="str">
        <f>IF(VLOOKUP($E$68,[1]QUART!$A$2:$FA$315, 104, FALSE)="",":",VLOOKUP($E$68,[1]QUART!$A$2:$FA$315, 104, FALSE))</f>
        <v>:</v>
      </c>
      <c r="DB68" s="544" t="str">
        <f>IF(VLOOKUP($E$68,[1]QUART!$A$2:$FA$315, 105, FALSE)="",":",VLOOKUP($E$68,[1]QUART!$A$2:$FA$315, 105, FALSE))</f>
        <v>:</v>
      </c>
      <c r="DC68" s="544" t="str">
        <f>IF(VLOOKUP($E$68,[1]QUART!$A$2:$FA$315, 106, FALSE)="",":",VLOOKUP($E$68,[1]QUART!$A$2:$FA$315, 106, FALSE))</f>
        <v>:</v>
      </c>
    </row>
    <row r="69" spans="1:107">
      <c r="A69" s="1954"/>
      <c r="B69" s="534"/>
      <c r="C69" s="535"/>
      <c r="D69" s="12" t="s">
        <v>1841</v>
      </c>
      <c r="E69" s="13">
        <v>136</v>
      </c>
      <c r="F69" s="14" t="str">
        <f>VLOOKUP($E$69,[1]QUART!$A$2:$FA$315, 3, FALSE)</f>
        <v xml:space="preserve">136  Imports of services                                                   </v>
      </c>
      <c r="G69" s="544" t="str">
        <f>IF(VLOOKUP($E$69,[1]QUART!$A$2:$FA$315, 6, FALSE)="",":",VLOOKUP($E$69,[1]QUART!$A$2:$FA$315, 6, FALSE))</f>
        <v>:</v>
      </c>
      <c r="H69" s="544" t="str">
        <f>IF(VLOOKUP($E$69,[1]QUART!$A$2:$FA$315, 7, FALSE)="",":",VLOOKUP($E$69,[1]QUART!$A$2:$FA$315, 7, FALSE))</f>
        <v>:</v>
      </c>
      <c r="I69" s="544" t="str">
        <f>IF(VLOOKUP($E$69,[1]QUART!$A$2:$FA$315, 8, FALSE)="",":",VLOOKUP($E$69,[1]QUART!$A$2:$FA$315, 8, FALSE))</f>
        <v>:</v>
      </c>
      <c r="J69" s="544" t="str">
        <f>IF(VLOOKUP($E$69,[1]QUART!$A$2:$FA$315, 9, FALSE)="",":",VLOOKUP($E$69,[1]QUART!$A$2:$FA$315, 9, FALSE))</f>
        <v>:</v>
      </c>
      <c r="K69" s="544" t="str">
        <f>IF(VLOOKUP($E$69,[1]QUART!$A$2:$FA$315, 10, FALSE)="",":",VLOOKUP($E$69,[1]QUART!$A$2:$FA$315, 10, FALSE))</f>
        <v>:</v>
      </c>
      <c r="L69" s="544" t="str">
        <f>IF(VLOOKUP($E$69,[1]QUART!$A$2:$FA$315, 11, FALSE)="",":",VLOOKUP($E$69,[1]QUART!$A$2:$FA$315, 11, FALSE))</f>
        <v>:</v>
      </c>
      <c r="M69" s="544" t="str">
        <f>IF(VLOOKUP($E$69,[1]QUART!$A$2:$FA$315, 12, FALSE)="",":",VLOOKUP($E$69,[1]QUART!$A$2:$FA$315, 12, FALSE))</f>
        <v>:</v>
      </c>
      <c r="N69" s="544" t="str">
        <f>IF(VLOOKUP($E$69,[1]QUART!$A$2:$FA$315, 13, FALSE)="",":",VLOOKUP($E$69,[1]QUART!$A$2:$FA$315, 13, FALSE))</f>
        <v>:</v>
      </c>
      <c r="O69" s="544" t="str">
        <f>IF(VLOOKUP($E$69,[1]QUART!$A$2:$FA$315, 14, FALSE)="",":",VLOOKUP($E$69,[1]QUART!$A$2:$FA$315, 14, FALSE))</f>
        <v>:</v>
      </c>
      <c r="P69" s="544" t="str">
        <f>IF(VLOOKUP($E$69,[1]QUART!$A$2:$FA$315, 15, FALSE)="",":",VLOOKUP($E$69,[1]QUART!$A$2:$FA$315, 15, FALSE))</f>
        <v>:</v>
      </c>
      <c r="Q69" s="544" t="str">
        <f>IF(VLOOKUP($E$69,[1]QUART!$A$2:$FA$315, 16, FALSE)="",":",VLOOKUP($E$69,[1]QUART!$A$2:$FA$315, 16, FALSE))</f>
        <v>:</v>
      </c>
      <c r="R69" s="544" t="str">
        <f>IF(VLOOKUP($E$69,[1]QUART!$A$2:$FA$315, 17, FALSE)="",":",VLOOKUP($E$69,[1]QUART!$A$2:$FA$315, 17, FALSE))</f>
        <v>:</v>
      </c>
      <c r="S69" s="544" t="str">
        <f>IF(VLOOKUP($E$69,[1]QUART!$A$2:$FA$315, 18, FALSE)="",":",VLOOKUP($E$69,[1]QUART!$A$2:$FA$315, 18, FALSE))</f>
        <v>:</v>
      </c>
      <c r="T69" s="544" t="str">
        <f>IF(VLOOKUP($E$69,[1]QUART!$A$2:$FA$315, 19, FALSE)="",":",VLOOKUP($E$69,[1]QUART!$A$2:$FA$315, 19, FALSE))</f>
        <v>:</v>
      </c>
      <c r="U69" s="544" t="str">
        <f>IF(VLOOKUP($E$69,[1]QUART!$A$2:$FA$315, 20, FALSE)="",":",VLOOKUP($E$69,[1]QUART!$A$2:$FA$315, 20, FALSE))</f>
        <v>:</v>
      </c>
      <c r="V69" s="544" t="str">
        <f>IF(VLOOKUP($E$69,[1]QUART!$A$2:$FA$315, 21, FALSE)="",":",VLOOKUP($E$69,[1]QUART!$A$2:$FA$315, 21, FALSE))</f>
        <v>:</v>
      </c>
      <c r="W69" s="544" t="str">
        <f>IF(VLOOKUP($E$69,[1]QUART!$A$2:$FA$315, 22, FALSE)="",":",VLOOKUP($E$69,[1]QUART!$A$2:$FA$315, 22, FALSE))</f>
        <v>:</v>
      </c>
      <c r="X69" s="544" t="str">
        <f>IF(VLOOKUP($E$69,[1]QUART!$A$2:$FA$315, 23, FALSE)="",":",VLOOKUP($E$69,[1]QUART!$A$2:$FA$315, 23, FALSE))</f>
        <v>:</v>
      </c>
      <c r="Y69" s="544" t="str">
        <f>IF(VLOOKUP($E$69,[1]QUART!$A$2:$FA$315, 24, FALSE)="",":",VLOOKUP($E$69,[1]QUART!$A$2:$FA$315, 24, FALSE))</f>
        <v>:</v>
      </c>
      <c r="Z69" s="544" t="str">
        <f>IF(VLOOKUP($E$69,[1]QUART!$A$2:$FA$315, 25, FALSE)="",":",VLOOKUP($E$69,[1]QUART!$A$2:$FA$315, 25, FALSE))</f>
        <v>:</v>
      </c>
      <c r="AA69" s="544" t="str">
        <f>IF(VLOOKUP($E$69,[1]QUART!$A$2:$FA$315, 26, FALSE)="",":",VLOOKUP($E$69,[1]QUART!$A$2:$FA$315, 26, FALSE))</f>
        <v>:</v>
      </c>
      <c r="AB69" s="544" t="str">
        <f>IF(VLOOKUP($E$69,[1]QUART!$A$2:$FA$315, 27, FALSE)="",":",VLOOKUP($E$69,[1]QUART!$A$2:$FA$315, 27, FALSE))</f>
        <v>:</v>
      </c>
      <c r="AC69" s="544" t="str">
        <f>IF(VLOOKUP($E$69,[1]QUART!$A$2:$FA$315, 28, FALSE)="",":",VLOOKUP($E$69,[1]QUART!$A$2:$FA$315, 28, FALSE))</f>
        <v>:</v>
      </c>
      <c r="AD69" s="544" t="str">
        <f>IF(VLOOKUP($E$69,[1]QUART!$A$2:$FA$315, 29, FALSE)="",":",VLOOKUP($E$69,[1]QUART!$A$2:$FA$315, 29, FALSE))</f>
        <v>:</v>
      </c>
      <c r="AE69" s="544" t="str">
        <f>IF(VLOOKUP($E$69,[1]QUART!$A$2:$FA$315, 30, FALSE)="",":",VLOOKUP($E$69,[1]QUART!$A$2:$FA$315, 30, FALSE))</f>
        <v>:</v>
      </c>
      <c r="AF69" s="544" t="str">
        <f>IF(VLOOKUP($E$69,[1]QUART!$A$2:$FA$315, 31, FALSE)="",":",VLOOKUP($E$69,[1]QUART!$A$2:$FA$315, 31, FALSE))</f>
        <v>:</v>
      </c>
      <c r="AG69" s="544" t="str">
        <f>IF(VLOOKUP($E$69,[1]QUART!$A$2:$FA$315, 32, FALSE)="",":",VLOOKUP($E$69,[1]QUART!$A$2:$FA$315, 32, FALSE))</f>
        <v>:</v>
      </c>
      <c r="AH69" s="544" t="str">
        <f>IF(VLOOKUP($E$69,[1]QUART!$A$2:$FA$315, 33, FALSE)="",":",VLOOKUP($E$69,[1]QUART!$A$2:$FA$315, 33, FALSE))</f>
        <v>:</v>
      </c>
      <c r="AI69" s="544" t="str">
        <f>IF(VLOOKUP($E$69,[1]QUART!$A$2:$FA$315, 34, FALSE)="",":",VLOOKUP($E$69,[1]QUART!$A$2:$FA$315, 34, FALSE))</f>
        <v>:</v>
      </c>
      <c r="AJ69" s="544" t="str">
        <f>IF(VLOOKUP($E$69,[1]QUART!$A$2:$FA$315, 35, FALSE)="",":",VLOOKUP($E$69,[1]QUART!$A$2:$FA$315, 35, FALSE))</f>
        <v>:</v>
      </c>
      <c r="AK69" s="544" t="str">
        <f>IF(VLOOKUP($E$69,[1]QUART!$A$2:$FA$315, 36, FALSE)="",":",VLOOKUP($E$69,[1]QUART!$A$2:$FA$315, 36, FALSE))</f>
        <v>:</v>
      </c>
      <c r="AL69" s="544" t="str">
        <f>IF(VLOOKUP($E$69,[1]QUART!$A$2:$FA$315, 37, FALSE)="",":",VLOOKUP($E$69,[1]QUART!$A$2:$FA$315, 37, FALSE))</f>
        <v>:</v>
      </c>
      <c r="AM69" s="544" t="str">
        <f>IF(VLOOKUP($E$69,[1]QUART!$A$2:$FA$315, 38, FALSE)="",":",VLOOKUP($E$69,[1]QUART!$A$2:$FA$315, 38, FALSE))</f>
        <v>:</v>
      </c>
      <c r="AN69" s="544" t="str">
        <f>IF(VLOOKUP($E$69,[1]QUART!$A$2:$FA$315, 39, FALSE)="",":",VLOOKUP($E$69,[1]QUART!$A$2:$FA$315, 39, FALSE))</f>
        <v>:</v>
      </c>
      <c r="AO69" s="544" t="str">
        <f>IF(VLOOKUP($E$69,[1]QUART!$A$2:$FA$315, 40, FALSE)="",":",VLOOKUP($E$69,[1]QUART!$A$2:$FA$315, 40, FALSE))</f>
        <v>:</v>
      </c>
      <c r="AP69" s="544" t="str">
        <f>IF(VLOOKUP($E$69,[1]QUART!$A$2:$FA$315, 41, FALSE)="",":",VLOOKUP($E$69,[1]QUART!$A$2:$FA$315, 41, FALSE))</f>
        <v>:</v>
      </c>
      <c r="AQ69" s="544" t="str">
        <f>IF(VLOOKUP($E$69,[1]QUART!$A$2:$FA$315, 42, FALSE)="",":",VLOOKUP($E$69,[1]QUART!$A$2:$FA$315, 42, FALSE))</f>
        <v>:</v>
      </c>
      <c r="AR69" s="544" t="str">
        <f>IF(VLOOKUP($E$69,[1]QUART!$A$2:$FA$315, 43, FALSE)="",":",VLOOKUP($E$69,[1]QUART!$A$2:$FA$315, 43, FALSE))</f>
        <v>:</v>
      </c>
      <c r="AS69" s="544" t="str">
        <f>IF(VLOOKUP($E$69,[1]QUART!$A$2:$FA$315, 44, FALSE)="",":",VLOOKUP($E$69,[1]QUART!$A$2:$FA$315, 44, FALSE))</f>
        <v>:</v>
      </c>
      <c r="AT69" s="544" t="str">
        <f>IF(VLOOKUP($E$69,[1]QUART!$A$2:$FA$315, 45, FALSE)="",":",VLOOKUP($E$69,[1]QUART!$A$2:$FA$315, 45, FALSE))</f>
        <v>:</v>
      </c>
      <c r="AU69" s="544" t="str">
        <f>IF(VLOOKUP($E$69,[1]QUART!$A$2:$FA$315, 46, FALSE)="",":",VLOOKUP($E$69,[1]QUART!$A$2:$FA$315, 46, FALSE))</f>
        <v>:</v>
      </c>
      <c r="AV69" s="544" t="str">
        <f>IF(VLOOKUP($E$69,[1]QUART!$A$2:$FA$315, 47, FALSE)="",":",VLOOKUP($E$69,[1]QUART!$A$2:$FA$315, 47, FALSE))</f>
        <v>:</v>
      </c>
      <c r="AW69" s="544" t="str">
        <f>IF(VLOOKUP($E$69,[1]QUART!$A$2:$FA$315, 48, FALSE)="",":",VLOOKUP($E$69,[1]QUART!$A$2:$FA$315, 48, FALSE))</f>
        <v>:</v>
      </c>
      <c r="AX69" s="544" t="str">
        <f>IF(VLOOKUP($E$69,[1]QUART!$A$2:$FA$315, 49, FALSE)="",":",VLOOKUP($E$69,[1]QUART!$A$2:$FA$315, 49, FALSE))</f>
        <v>:</v>
      </c>
      <c r="AY69" s="544" t="str">
        <f>IF(VLOOKUP($E$69,[1]QUART!$A$2:$FA$315, 50, FALSE)="",":",VLOOKUP($E$69,[1]QUART!$A$2:$FA$315, 50, FALSE))</f>
        <v>:</v>
      </c>
      <c r="AZ69" s="544" t="str">
        <f>IF(VLOOKUP($E$69,[1]QUART!$A$2:$FA$315, 51, FALSE)="",":",VLOOKUP($E$69,[1]QUART!$A$2:$FA$315, 51, FALSE))</f>
        <v>:</v>
      </c>
      <c r="BA69" s="544" t="str">
        <f>IF(VLOOKUP($E$69,[1]QUART!$A$2:$FA$315, 52, FALSE)="",":",VLOOKUP($E$69,[1]QUART!$A$2:$FA$315, 52, FALSE))</f>
        <v>:</v>
      </c>
      <c r="BB69" s="544" t="str">
        <f>IF(VLOOKUP($E$69,[1]QUART!$A$2:$FA$315, 53, FALSE)="",":",VLOOKUP($E$69,[1]QUART!$A$2:$FA$315, 53, FALSE))</f>
        <v>:</v>
      </c>
      <c r="BC69" s="544" t="str">
        <f>IF(VLOOKUP($E$69,[1]QUART!$A$2:$FA$315, 54, FALSE)="",":",VLOOKUP($E$69,[1]QUART!$A$2:$FA$315, 54, FALSE))</f>
        <v>:</v>
      </c>
      <c r="BD69" s="544" t="str">
        <f>IF(VLOOKUP($E$69,[1]QUART!$A$2:$FA$315, 55, FALSE)="",":",VLOOKUP($E$69,[1]QUART!$A$2:$FA$315, 55, FALSE))</f>
        <v>:</v>
      </c>
      <c r="BE69" s="544" t="str">
        <f>IF(VLOOKUP($E$69,[1]QUART!$A$2:$FA$315, 56, FALSE)="",":",VLOOKUP($E$69,[1]QUART!$A$2:$FA$315, 56, FALSE))</f>
        <v>:</v>
      </c>
      <c r="BF69" s="544" t="str">
        <f>IF(VLOOKUP($E$69,[1]QUART!$A$2:$FA$315, 57, FALSE)="",":",VLOOKUP($E$69,[1]QUART!$A$2:$FA$315, 57, FALSE))</f>
        <v>:</v>
      </c>
      <c r="BG69" s="544" t="str">
        <f>IF(VLOOKUP($E$69,[1]QUART!$A$2:$FA$315, 58, FALSE)="",":",VLOOKUP($E$69,[1]QUART!$A$2:$FA$315, 58, FALSE))</f>
        <v>:</v>
      </c>
      <c r="BH69" s="544" t="str">
        <f>IF(VLOOKUP($E$69,[1]QUART!$A$2:$FA$315, 59, FALSE)="",":",VLOOKUP($E$69,[1]QUART!$A$2:$FA$315, 59, FALSE))</f>
        <v>:</v>
      </c>
      <c r="BI69" s="544" t="str">
        <f>IF(VLOOKUP($E$69,[1]QUART!$A$2:$FA$315, 60, FALSE)="",":",VLOOKUP($E$69,[1]QUART!$A$2:$FA$315, 60, FALSE))</f>
        <v>:</v>
      </c>
      <c r="BJ69" s="544" t="str">
        <f>IF(VLOOKUP($E$69,[1]QUART!$A$2:$FA$315, 61, FALSE)="",":",VLOOKUP($E$69,[1]QUART!$A$2:$FA$315, 61, FALSE))</f>
        <v>:</v>
      </c>
      <c r="BK69" s="544" t="str">
        <f>IF(VLOOKUP($E$69,[1]QUART!$A$2:$FA$315, 62, FALSE)="",":",VLOOKUP($E$69,[1]QUART!$A$2:$FA$315, 62, FALSE))</f>
        <v>:</v>
      </c>
      <c r="BL69" s="544" t="str">
        <f>IF(VLOOKUP($E$69,[1]QUART!$A$2:$FA$315, 63, FALSE)="",":",VLOOKUP($E$69,[1]QUART!$A$2:$FA$315, 63, FALSE))</f>
        <v>:</v>
      </c>
      <c r="BM69" s="544" t="str">
        <f>IF(VLOOKUP($E$69,[1]QUART!$A$2:$FA$315, 64, FALSE)="",":",VLOOKUP($E$69,[1]QUART!$A$2:$FA$315, 64, FALSE))</f>
        <v>:</v>
      </c>
      <c r="BN69" s="544" t="str">
        <f>IF(VLOOKUP($E$69,[1]QUART!$A$2:$FA$315, 65, FALSE)="",":",VLOOKUP($E$69,[1]QUART!$A$2:$FA$315, 65, FALSE))</f>
        <v>:</v>
      </c>
      <c r="BO69" s="544" t="str">
        <f>IF(VLOOKUP($E$69,[1]QUART!$A$2:$FA$315, 66, FALSE)="",":",VLOOKUP($E$69,[1]QUART!$A$2:$FA$315, 66, FALSE))</f>
        <v>:</v>
      </c>
      <c r="BP69" s="544" t="str">
        <f>IF(VLOOKUP($E$69,[1]QUART!$A$2:$FA$315, 67, FALSE)="",":",VLOOKUP($E$69,[1]QUART!$A$2:$FA$315, 67, FALSE))</f>
        <v>:</v>
      </c>
      <c r="BQ69" s="544" t="str">
        <f>IF(VLOOKUP($E$69,[1]QUART!$A$2:$FA$315, 68, FALSE)="",":",VLOOKUP($E$69,[1]QUART!$A$2:$FA$315, 68, FALSE))</f>
        <v>:</v>
      </c>
      <c r="BR69" s="544" t="str">
        <f>IF(VLOOKUP($E$69,[1]QUART!$A$2:$FA$315, 69, FALSE)="",":",VLOOKUP($E$69,[1]QUART!$A$2:$FA$315, 69, FALSE))</f>
        <v>:</v>
      </c>
      <c r="BS69" s="544" t="str">
        <f>IF(VLOOKUP($E$69,[1]QUART!$A$2:$FA$315, 70, FALSE)="",":",VLOOKUP($E$69,[1]QUART!$A$2:$FA$315, 70, FALSE))</f>
        <v>:</v>
      </c>
      <c r="BT69" s="544" t="str">
        <f>IF(VLOOKUP($E$69,[1]QUART!$A$2:$FA$315, 71, FALSE)="",":",VLOOKUP($E$69,[1]QUART!$A$2:$FA$315, 71, FALSE))</f>
        <v>:</v>
      </c>
      <c r="BU69" s="544" t="str">
        <f>IF(VLOOKUP($E$69,[1]QUART!$A$2:$FA$315, 72, FALSE)="",":",VLOOKUP($E$69,[1]QUART!$A$2:$FA$315, 72, FALSE))</f>
        <v>:</v>
      </c>
      <c r="BV69" s="544" t="str">
        <f>IF(VLOOKUP($E$69,[1]QUART!$A$2:$FA$315, 73, FALSE)="",":",VLOOKUP($E$69,[1]QUART!$A$2:$FA$315, 73, FALSE))</f>
        <v>:</v>
      </c>
      <c r="BW69" s="544" t="str">
        <f>IF(VLOOKUP($E$69,[1]QUART!$A$2:$FA$315, 74, FALSE)="",":",VLOOKUP($E$69,[1]QUART!$A$2:$FA$315, 74, FALSE))</f>
        <v>:</v>
      </c>
      <c r="BX69" s="544" t="str">
        <f>IF(VLOOKUP($E$69,[1]QUART!$A$2:$FA$315, 75, FALSE)="",":",VLOOKUP($E$69,[1]QUART!$A$2:$FA$315, 75, FALSE))</f>
        <v>:</v>
      </c>
      <c r="BY69" s="544" t="str">
        <f>IF(VLOOKUP($E$69,[1]QUART!$A$2:$FA$315, 76, FALSE)="",":",VLOOKUP($E$69,[1]QUART!$A$2:$FA$315, 76, FALSE))</f>
        <v>:</v>
      </c>
      <c r="BZ69" s="544" t="str">
        <f>IF(VLOOKUP($E$69,[1]QUART!$A$2:$FA$315, 77, FALSE)="",":",VLOOKUP($E$69,[1]QUART!$A$2:$FA$315, 77, FALSE))</f>
        <v>:</v>
      </c>
      <c r="CA69" s="544" t="str">
        <f>IF(VLOOKUP($E$69,[1]QUART!$A$2:$FA$315, 78, FALSE)="",":",VLOOKUP($E$69,[1]QUART!$A$2:$FA$315, 78, FALSE))</f>
        <v>:</v>
      </c>
      <c r="CB69" s="544" t="str">
        <f>IF(VLOOKUP($E$69,[1]QUART!$A$2:$FA$315, 79, FALSE)="",":",VLOOKUP($E$69,[1]QUART!$A$2:$FA$315, 79, FALSE))</f>
        <v>:</v>
      </c>
      <c r="CC69" s="544" t="str">
        <f>IF(VLOOKUP($E$69,[1]QUART!$A$2:$FA$315, 80, FALSE)="",":",VLOOKUP($E$69,[1]QUART!$A$2:$FA$315, 80, FALSE))</f>
        <v>:</v>
      </c>
      <c r="CD69" s="544" t="str">
        <f>IF(VLOOKUP($E$69,[1]QUART!$A$2:$FA$315, 81, FALSE)="",":",VLOOKUP($E$69,[1]QUART!$A$2:$FA$315, 81, FALSE))</f>
        <v>:</v>
      </c>
      <c r="CE69" s="544" t="str">
        <f>IF(VLOOKUP($E$69,[1]QUART!$A$2:$FA$315, 82, FALSE)="",":",VLOOKUP($E$69,[1]QUART!$A$2:$FA$315, 82, FALSE))</f>
        <v>:</v>
      </c>
      <c r="CF69" s="544" t="str">
        <f>IF(VLOOKUP($E$69,[1]QUART!$A$2:$FA$315, 83, FALSE)="",":",VLOOKUP($E$69,[1]QUART!$A$2:$FA$315, 83, FALSE))</f>
        <v>:</v>
      </c>
      <c r="CG69" s="544" t="str">
        <f>IF(VLOOKUP($E$69,[1]QUART!$A$2:$FA$315, 84, FALSE)="",":",VLOOKUP($E$69,[1]QUART!$A$2:$FA$315, 84, FALSE))</f>
        <v>:</v>
      </c>
      <c r="CH69" s="544" t="str">
        <f>IF(VLOOKUP($E$69,[1]QUART!$A$2:$FA$315, 85, FALSE)="",":",VLOOKUP($E$69,[1]QUART!$A$2:$FA$315, 85, FALSE))</f>
        <v>:</v>
      </c>
      <c r="CI69" s="544" t="str">
        <f>IF(VLOOKUP($E$69,[1]QUART!$A$2:$FA$315, 86, FALSE)="",":",VLOOKUP($E$69,[1]QUART!$A$2:$FA$315, 86, FALSE))</f>
        <v>:</v>
      </c>
      <c r="CJ69" s="544" t="str">
        <f>IF(VLOOKUP($E$69,[1]QUART!$A$2:$FA$315, 87, FALSE)="",":",VLOOKUP($E$69,[1]QUART!$A$2:$FA$315, 87, FALSE))</f>
        <v>:</v>
      </c>
      <c r="CK69" s="544" t="str">
        <f>IF(VLOOKUP($E$69,[1]QUART!$A$2:$FA$315, 88, FALSE)="",":",VLOOKUP($E$69,[1]QUART!$A$2:$FA$315, 88, FALSE))</f>
        <v>:</v>
      </c>
      <c r="CL69" s="544" t="str">
        <f>IF(VLOOKUP($E$69,[1]QUART!$A$2:$FA$315, 89, FALSE)="",":",VLOOKUP($E$69,[1]QUART!$A$2:$FA$315, 89, FALSE))</f>
        <v>:</v>
      </c>
      <c r="CM69" s="544" t="str">
        <f>IF(VLOOKUP($E$69,[1]QUART!$A$2:$FA$315, 90, FALSE)="",":",VLOOKUP($E$69,[1]QUART!$A$2:$FA$315, 90, FALSE))</f>
        <v>:</v>
      </c>
      <c r="CN69" s="544" t="str">
        <f>IF(VLOOKUP($E$69,[1]QUART!$A$2:$FA$315, 91, FALSE)="",":",VLOOKUP($E$69,[1]QUART!$A$2:$FA$315, 91, FALSE))</f>
        <v>:</v>
      </c>
      <c r="CO69" s="544" t="str">
        <f>IF(VLOOKUP($E$69,[1]QUART!$A$2:$FA$315, 92, FALSE)="",":",VLOOKUP($E$69,[1]QUART!$A$2:$FA$315, 92, FALSE))</f>
        <v>:</v>
      </c>
      <c r="CP69" s="544" t="str">
        <f>IF(VLOOKUP($E$69,[1]QUART!$A$2:$FA$315, 93, FALSE)="",":",VLOOKUP($E$69,[1]QUART!$A$2:$FA$315, 93, FALSE))</f>
        <v>:</v>
      </c>
      <c r="CQ69" s="544" t="str">
        <f>IF(VLOOKUP($E$69,[1]QUART!$A$2:$FA$315, 94, FALSE)="",":",VLOOKUP($E$69,[1]QUART!$A$2:$FA$315, 94, FALSE))</f>
        <v>:</v>
      </c>
      <c r="CR69" s="544" t="str">
        <f>IF(VLOOKUP($E$69,[1]QUART!$A$2:$FA$315, 95, FALSE)="",":",VLOOKUP($E$69,[1]QUART!$A$2:$FA$315, 95, FALSE))</f>
        <v>:</v>
      </c>
      <c r="CS69" s="544" t="str">
        <f>IF(VLOOKUP($E$69,[1]QUART!$A$2:$FA$315, 96, FALSE)="",":",VLOOKUP($E$69,[1]QUART!$A$2:$FA$315, 96, FALSE))</f>
        <v>:</v>
      </c>
      <c r="CT69" s="544" t="str">
        <f>IF(VLOOKUP($E$69,[1]QUART!$A$2:$FA$315, 97, FALSE)="",":",VLOOKUP($E$69,[1]QUART!$A$2:$FA$315, 97, FALSE))</f>
        <v>:</v>
      </c>
      <c r="CU69" s="544" t="str">
        <f>IF(VLOOKUP($E$69,[1]QUART!$A$2:$FA$315, 98, FALSE)="",":",VLOOKUP($E$69,[1]QUART!$A$2:$FA$315, 98, FALSE))</f>
        <v>:</v>
      </c>
      <c r="CV69" s="544" t="str">
        <f>IF(VLOOKUP($E$69,[1]QUART!$A$2:$FA$315, 99, FALSE)="",":",VLOOKUP($E$69,[1]QUART!$A$2:$FA$315, 99, FALSE))</f>
        <v>:</v>
      </c>
      <c r="CW69" s="544" t="str">
        <f>IF(VLOOKUP($E$69,[1]QUART!$A$2:$FA$315, 100, FALSE)="",":",VLOOKUP($E$69,[1]QUART!$A$2:$FA$315, 100, FALSE))</f>
        <v>:</v>
      </c>
      <c r="CX69" s="544" t="str">
        <f>IF(VLOOKUP($E$69,[1]QUART!$A$2:$FA$315, 101, FALSE)="",":",VLOOKUP($E$69,[1]QUART!$A$2:$FA$315, 101, FALSE))</f>
        <v>:</v>
      </c>
      <c r="CY69" s="544" t="str">
        <f>IF(VLOOKUP($E$69,[1]QUART!$A$2:$FA$315, 102, FALSE)="",":",VLOOKUP($E$69,[1]QUART!$A$2:$FA$315, 102, FALSE))</f>
        <v>:</v>
      </c>
      <c r="CZ69" s="544" t="str">
        <f>IF(VLOOKUP($E$69,[1]QUART!$A$2:$FA$315, 103, FALSE)="",":",VLOOKUP($E$69,[1]QUART!$A$2:$FA$315, 103, FALSE))</f>
        <v>:</v>
      </c>
      <c r="DA69" s="544" t="str">
        <f>IF(VLOOKUP($E$69,[1]QUART!$A$2:$FA$315, 104, FALSE)="",":",VLOOKUP($E$69,[1]QUART!$A$2:$FA$315, 104, FALSE))</f>
        <v>:</v>
      </c>
      <c r="DB69" s="544" t="str">
        <f>IF(VLOOKUP($E$69,[1]QUART!$A$2:$FA$315, 105, FALSE)="",":",VLOOKUP($E$69,[1]QUART!$A$2:$FA$315, 105, FALSE))</f>
        <v>:</v>
      </c>
      <c r="DC69" s="544" t="str">
        <f>IF(VLOOKUP($E$69,[1]QUART!$A$2:$FA$315, 106, FALSE)="",":",VLOOKUP($E$69,[1]QUART!$A$2:$FA$315, 106, FALSE))</f>
        <v>:</v>
      </c>
    </row>
    <row r="70" spans="1:107">
      <c r="A70" s="1954"/>
      <c r="B70" s="534"/>
      <c r="C70" s="535"/>
      <c r="D70" s="12" t="s">
        <v>1841</v>
      </c>
      <c r="E70" s="13">
        <v>137</v>
      </c>
      <c r="F70" s="14" t="str">
        <f>VLOOKUP($E$70,[1]QUART!$A$2:$FA$311, 3, FALSE)</f>
        <v xml:space="preserve">137  GDP      </v>
      </c>
      <c r="G70" s="544" t="str">
        <f>IF(VLOOKUP($E$70,[1]QUART!$A$2:$FA$311, 6, FALSE)="",":",VLOOKUP($E$70,[1]QUART!$A$2:$FA$311, 6, FALSE))</f>
        <v>:</v>
      </c>
      <c r="H70" s="544" t="str">
        <f>IF(VLOOKUP($E$70,[1]QUART!$A$2:$FA$311, 7, FALSE)="",":",VLOOKUP($E$70,[1]QUART!$A$2:$FA$311, 7, FALSE))</f>
        <v>:</v>
      </c>
      <c r="I70" s="544" t="str">
        <f>IF(VLOOKUP($E$70,[1]QUART!$A$2:$FA$311, 8, FALSE)="",":",VLOOKUP($E$70,[1]QUART!$A$2:$FA$311, 8, FALSE))</f>
        <v>:</v>
      </c>
      <c r="J70" s="544" t="str">
        <f>IF(VLOOKUP($E$70,[1]QUART!$A$2:$FA$311, 9, FALSE)="",":",VLOOKUP($E$70,[1]QUART!$A$2:$FA$311, 9, FALSE))</f>
        <v>:</v>
      </c>
      <c r="K70" s="544" t="str">
        <f>IF(VLOOKUP($E$70,[1]QUART!$A$2:$FA$311, 10, FALSE)="",":",VLOOKUP($E$70,[1]QUART!$A$2:$FA$311, 10, FALSE))</f>
        <v>:</v>
      </c>
      <c r="L70" s="544" t="str">
        <f>IF(VLOOKUP($E$70,[1]QUART!$A$2:$FA$311, 11, FALSE)="",":",VLOOKUP($E$70,[1]QUART!$A$2:$FA$311, 11, FALSE))</f>
        <v>:</v>
      </c>
      <c r="M70" s="544" t="str">
        <f>IF(VLOOKUP($E$70,[1]QUART!$A$2:$FA$311, 12, FALSE)="",":",VLOOKUP($E$70,[1]QUART!$A$2:$FA$311, 12, FALSE))</f>
        <v>:</v>
      </c>
      <c r="N70" s="544" t="str">
        <f>IF(VLOOKUP($E$70,[1]QUART!$A$2:$FA$311, 13, FALSE)="",":",VLOOKUP($E$70,[1]QUART!$A$2:$FA$311, 13, FALSE))</f>
        <v>:</v>
      </c>
      <c r="O70" s="544" t="str">
        <f>IF(VLOOKUP($E$70,[1]QUART!$A$2:$FA$311, 14, FALSE)="",":",VLOOKUP($E$70,[1]QUART!$A$2:$FA$311, 14, FALSE))</f>
        <v>:</v>
      </c>
      <c r="P70" s="544" t="str">
        <f>IF(VLOOKUP($E$70,[1]QUART!$A$2:$FA$311, 15, FALSE)="",":",VLOOKUP($E$70,[1]QUART!$A$2:$FA$311, 15, FALSE))</f>
        <v>:</v>
      </c>
      <c r="Q70" s="544" t="str">
        <f>IF(VLOOKUP($E$70,[1]QUART!$A$2:$FA$311, 16, FALSE)="",":",VLOOKUP($E$70,[1]QUART!$A$2:$FA$311, 16, FALSE))</f>
        <v>:</v>
      </c>
      <c r="R70" s="544" t="str">
        <f>IF(VLOOKUP($E$70,[1]QUART!$A$2:$FA$311, 17, FALSE)="",":",VLOOKUP($E$70,[1]QUART!$A$2:$FA$311, 17, FALSE))</f>
        <v>:</v>
      </c>
      <c r="S70" s="544" t="str">
        <f>IF(VLOOKUP($E$70,[1]QUART!$A$2:$FA$311, 18, FALSE)="",":",VLOOKUP($E$70,[1]QUART!$A$2:$FA$311, 18, FALSE))</f>
        <v>:</v>
      </c>
      <c r="T70" s="544" t="str">
        <f>IF(VLOOKUP($E$70,[1]QUART!$A$2:$FA$311, 19, FALSE)="",":",VLOOKUP($E$70,[1]QUART!$A$2:$FA$311, 19, FALSE))</f>
        <v>:</v>
      </c>
      <c r="U70" s="544" t="str">
        <f>IF(VLOOKUP($E$70,[1]QUART!$A$2:$FA$311, 20, FALSE)="",":",VLOOKUP($E$70,[1]QUART!$A$2:$FA$311, 20, FALSE))</f>
        <v>:</v>
      </c>
      <c r="V70" s="544" t="str">
        <f>IF(VLOOKUP($E$70,[1]QUART!$A$2:$FA$311, 21, FALSE)="",":",VLOOKUP($E$70,[1]QUART!$A$2:$FA$311, 21, FALSE))</f>
        <v>:</v>
      </c>
      <c r="W70" s="544" t="str">
        <f>IF(VLOOKUP($E$70,[1]QUART!$A$2:$FA$311, 22, FALSE)="",":",VLOOKUP($E$70,[1]QUART!$A$2:$FA$311, 22, FALSE))</f>
        <v>:</v>
      </c>
      <c r="X70" s="544" t="str">
        <f>IF(VLOOKUP($E$70,[1]QUART!$A$2:$FA$311, 23, FALSE)="",":",VLOOKUP($E$70,[1]QUART!$A$2:$FA$311, 23, FALSE))</f>
        <v>:</v>
      </c>
      <c r="Y70" s="544" t="str">
        <f>IF(VLOOKUP($E$70,[1]QUART!$A$2:$FA$311, 24, FALSE)="",":",VLOOKUP($E$70,[1]QUART!$A$2:$FA$311, 24, FALSE))</f>
        <v>:</v>
      </c>
      <c r="Z70" s="544" t="str">
        <f>IF(VLOOKUP($E$70,[1]QUART!$A$2:$FA$311, 25, FALSE)="",":",VLOOKUP($E$70,[1]QUART!$A$2:$FA$311, 25, FALSE))</f>
        <v>:</v>
      </c>
      <c r="AA70" s="544" t="str">
        <f>IF(VLOOKUP($E$70,[1]QUART!$A$2:$FA$311, 26, FALSE)="",":",VLOOKUP($E$70,[1]QUART!$A$2:$FA$311, 26, FALSE))</f>
        <v>:</v>
      </c>
      <c r="AB70" s="544" t="str">
        <f>IF(VLOOKUP($E$70,[1]QUART!$A$2:$FA$311, 27, FALSE)="",":",VLOOKUP($E$70,[1]QUART!$A$2:$FA$311, 27, FALSE))</f>
        <v>:</v>
      </c>
      <c r="AC70" s="544" t="str">
        <f>IF(VLOOKUP($E$70,[1]QUART!$A$2:$FA$311, 28, FALSE)="",":",VLOOKUP($E$70,[1]QUART!$A$2:$FA$311, 28, FALSE))</f>
        <v>:</v>
      </c>
      <c r="AD70" s="544" t="str">
        <f>IF(VLOOKUP($E$70,[1]QUART!$A$2:$FA$311, 29, FALSE)="",":",VLOOKUP($E$70,[1]QUART!$A$2:$FA$311, 29, FALSE))</f>
        <v>:</v>
      </c>
      <c r="AE70" s="544" t="str">
        <f>IF(VLOOKUP($E$70,[1]QUART!$A$2:$FA$311, 30, FALSE)="",":",VLOOKUP($E$70,[1]QUART!$A$2:$FA$311, 30, FALSE))</f>
        <v>:</v>
      </c>
      <c r="AF70" s="544" t="str">
        <f>IF(VLOOKUP($E$70,[1]QUART!$A$2:$FA$311, 31, FALSE)="",":",VLOOKUP($E$70,[1]QUART!$A$2:$FA$311, 31, FALSE))</f>
        <v>:</v>
      </c>
      <c r="AG70" s="544" t="str">
        <f>IF(VLOOKUP($E$70,[1]QUART!$A$2:$FA$311, 32, FALSE)="",":",VLOOKUP($E$70,[1]QUART!$A$2:$FA$311, 32, FALSE))</f>
        <v>:</v>
      </c>
      <c r="AH70" s="544" t="str">
        <f>IF(VLOOKUP($E$70,[1]QUART!$A$2:$FA$311, 33, FALSE)="",":",VLOOKUP($E$70,[1]QUART!$A$2:$FA$311, 33, FALSE))</f>
        <v>:</v>
      </c>
      <c r="AI70" s="544" t="str">
        <f>IF(VLOOKUP($E$70,[1]QUART!$A$2:$FA$311, 34, FALSE)="",":",VLOOKUP($E$70,[1]QUART!$A$2:$FA$311, 34, FALSE))</f>
        <v>:</v>
      </c>
      <c r="AJ70" s="544" t="str">
        <f>IF(VLOOKUP($E$70,[1]QUART!$A$2:$FA$311, 35, FALSE)="",":",VLOOKUP($E$70,[1]QUART!$A$2:$FA$311, 35, FALSE))</f>
        <v>:</v>
      </c>
      <c r="AK70" s="544" t="str">
        <f>IF(VLOOKUP($E$70,[1]QUART!$A$2:$FA$311, 36, FALSE)="",":",VLOOKUP($E$70,[1]QUART!$A$2:$FA$311, 36, FALSE))</f>
        <v>:</v>
      </c>
      <c r="AL70" s="544" t="str">
        <f>IF(VLOOKUP($E$70,[1]QUART!$A$2:$FA$311, 37, FALSE)="",":",VLOOKUP($E$70,[1]QUART!$A$2:$FA$311, 37, FALSE))</f>
        <v>:</v>
      </c>
      <c r="AM70" s="544" t="str">
        <f>IF(VLOOKUP($E$70,[1]QUART!$A$2:$FA$311, 38, FALSE)="",":",VLOOKUP($E$70,[1]QUART!$A$2:$FA$311, 38, FALSE))</f>
        <v>:</v>
      </c>
      <c r="AN70" s="544" t="str">
        <f>IF(VLOOKUP($E$70,[1]QUART!$A$2:$FA$311, 39, FALSE)="",":",VLOOKUP($E$70,[1]QUART!$A$2:$FA$311, 39, FALSE))</f>
        <v>:</v>
      </c>
      <c r="AO70" s="544" t="str">
        <f>IF(VLOOKUP($E$70,[1]QUART!$A$2:$FA$311, 40, FALSE)="",":",VLOOKUP($E$70,[1]QUART!$A$2:$FA$311, 40, FALSE))</f>
        <v>:</v>
      </c>
      <c r="AP70" s="544" t="str">
        <f>IF(VLOOKUP($E$70,[1]QUART!$A$2:$FA$311, 41, FALSE)="",":",VLOOKUP($E$70,[1]QUART!$A$2:$FA$311, 41, FALSE))</f>
        <v>:</v>
      </c>
      <c r="AQ70" s="544" t="str">
        <f>IF(VLOOKUP($E$70,[1]QUART!$A$2:$FA$311, 42, FALSE)="",":",VLOOKUP($E$70,[1]QUART!$A$2:$FA$311, 42, FALSE))</f>
        <v>:</v>
      </c>
      <c r="AR70" s="544" t="str">
        <f>IF(VLOOKUP($E$70,[1]QUART!$A$2:$FA$311, 43, FALSE)="",":",VLOOKUP($E$70,[1]QUART!$A$2:$FA$311, 43, FALSE))</f>
        <v>:</v>
      </c>
      <c r="AS70" s="544" t="str">
        <f>IF(VLOOKUP($E$70,[1]QUART!$A$2:$FA$311, 44, FALSE)="",":",VLOOKUP($E$70,[1]QUART!$A$2:$FA$311, 44, FALSE))</f>
        <v>:</v>
      </c>
      <c r="AT70" s="544" t="str">
        <f>IF(VLOOKUP($E$70,[1]QUART!$A$2:$FA$311, 45, FALSE)="",":",VLOOKUP($E$70,[1]QUART!$A$2:$FA$311, 45, FALSE))</f>
        <v>:</v>
      </c>
      <c r="AU70" s="544" t="str">
        <f>IF(VLOOKUP($E$70,[1]QUART!$A$2:$FA$311, 46, FALSE)="",":",VLOOKUP($E$70,[1]QUART!$A$2:$FA$311, 46, FALSE))</f>
        <v>:</v>
      </c>
      <c r="AV70" s="544" t="str">
        <f>IF(VLOOKUP($E$70,[1]QUART!$A$2:$FA$311, 47, FALSE)="",":",VLOOKUP($E$70,[1]QUART!$A$2:$FA$311, 47, FALSE))</f>
        <v>:</v>
      </c>
      <c r="AW70" s="544" t="str">
        <f>IF(VLOOKUP($E$70,[1]QUART!$A$2:$FA$311, 48, FALSE)="",":",VLOOKUP($E$70,[1]QUART!$A$2:$FA$311, 48, FALSE))</f>
        <v>:</v>
      </c>
      <c r="AX70" s="544" t="str">
        <f>IF(VLOOKUP($E$70,[1]QUART!$A$2:$FA$311, 49, FALSE)="",":",VLOOKUP($E$70,[1]QUART!$A$2:$FA$311, 49, FALSE))</f>
        <v>:</v>
      </c>
      <c r="AY70" s="544" t="str">
        <f>IF(VLOOKUP($E$70,[1]QUART!$A$2:$FA$311, 50, FALSE)="",":",VLOOKUP($E$70,[1]QUART!$A$2:$FA$311, 50, FALSE))</f>
        <v>:</v>
      </c>
      <c r="AZ70" s="544" t="str">
        <f>IF(VLOOKUP($E$70,[1]QUART!$A$2:$FA$311, 51, FALSE)="",":",VLOOKUP($E$70,[1]QUART!$A$2:$FA$311, 51, FALSE))</f>
        <v>:</v>
      </c>
      <c r="BA70" s="544" t="str">
        <f>IF(VLOOKUP($E$70,[1]QUART!$A$2:$FA$311, 52, FALSE)="",":",VLOOKUP($E$70,[1]QUART!$A$2:$FA$311, 52, FALSE))</f>
        <v>:</v>
      </c>
      <c r="BB70" s="544" t="str">
        <f>IF(VLOOKUP($E$70,[1]QUART!$A$2:$FA$311, 53, FALSE)="",":",VLOOKUP($E$70,[1]QUART!$A$2:$FA$311, 53, FALSE))</f>
        <v>:</v>
      </c>
      <c r="BC70" s="544" t="str">
        <f>IF(VLOOKUP($E$70,[1]QUART!$A$2:$FA$311, 54, FALSE)="",":",VLOOKUP($E$70,[1]QUART!$A$2:$FA$311, 54, FALSE))</f>
        <v>:</v>
      </c>
      <c r="BD70" s="544" t="str">
        <f>IF(VLOOKUP($E$70,[1]QUART!$A$2:$FA$311, 55, FALSE)="",":",VLOOKUP($E$70,[1]QUART!$A$2:$FA$311, 55, FALSE))</f>
        <v>:</v>
      </c>
      <c r="BE70" s="544" t="str">
        <f>IF(VLOOKUP($E$70,[1]QUART!$A$2:$FA$311, 56, FALSE)="",":",VLOOKUP($E$70,[1]QUART!$A$2:$FA$311, 56, FALSE))</f>
        <v>:</v>
      </c>
      <c r="BF70" s="544" t="str">
        <f>IF(VLOOKUP($E$70,[1]QUART!$A$2:$FA$311, 57, FALSE)="",":",VLOOKUP($E$70,[1]QUART!$A$2:$FA$311, 57, FALSE))</f>
        <v>:</v>
      </c>
      <c r="BG70" s="544" t="str">
        <f>IF(VLOOKUP($E$70,[1]QUART!$A$2:$FA$311, 58, FALSE)="",":",VLOOKUP($E$70,[1]QUART!$A$2:$FA$311, 58, FALSE))</f>
        <v>:</v>
      </c>
      <c r="BH70" s="544" t="str">
        <f>IF(VLOOKUP($E$70,[1]QUART!$A$2:$FA$311, 59, FALSE)="",":",VLOOKUP($E$70,[1]QUART!$A$2:$FA$311, 59, FALSE))</f>
        <v>:</v>
      </c>
      <c r="BI70" s="544" t="str">
        <f>IF(VLOOKUP($E$70,[1]QUART!$A$2:$FA$311, 60, FALSE)="",":",VLOOKUP($E$70,[1]QUART!$A$2:$FA$311, 60, FALSE))</f>
        <v>:</v>
      </c>
      <c r="BJ70" s="544" t="str">
        <f>IF(VLOOKUP($E$70,[1]QUART!$A$2:$FA$311, 61, FALSE)="",":",VLOOKUP($E$70,[1]QUART!$A$2:$FA$311, 61, FALSE))</f>
        <v>:</v>
      </c>
      <c r="BK70" s="544" t="str">
        <f>IF(VLOOKUP($E$70,[1]QUART!$A$2:$FA$311, 62, FALSE)="",":",VLOOKUP($E$70,[1]QUART!$A$2:$FA$311, 62, FALSE))</f>
        <v>:</v>
      </c>
      <c r="BL70" s="544" t="str">
        <f>IF(VLOOKUP($E$70,[1]QUART!$A$2:$FA$311, 63, FALSE)="",":",VLOOKUP($E$70,[1]QUART!$A$2:$FA$311, 63, FALSE))</f>
        <v>:</v>
      </c>
      <c r="BM70" s="544" t="str">
        <f>IF(VLOOKUP($E$70,[1]QUART!$A$2:$FA$311, 64, FALSE)="",":",VLOOKUP($E$70,[1]QUART!$A$2:$FA$311, 64, FALSE))</f>
        <v>:</v>
      </c>
      <c r="BN70" s="544" t="str">
        <f>IF(VLOOKUP($E$70,[1]QUART!$A$2:$FA$311, 65, FALSE)="",":",VLOOKUP($E$70,[1]QUART!$A$2:$FA$311, 65, FALSE))</f>
        <v>:</v>
      </c>
      <c r="BO70" s="544" t="str">
        <f>IF(VLOOKUP($E$70,[1]QUART!$A$2:$FA$311, 66, FALSE)="",":",VLOOKUP($E$70,[1]QUART!$A$2:$FA$311, 66, FALSE))</f>
        <v>:</v>
      </c>
      <c r="BP70" s="544" t="str">
        <f>IF(VLOOKUP($E$70,[1]QUART!$A$2:$FA$311, 67, FALSE)="",":",VLOOKUP($E$70,[1]QUART!$A$2:$FA$311, 67, FALSE))</f>
        <v>:</v>
      </c>
      <c r="BQ70" s="544" t="str">
        <f>IF(VLOOKUP($E$70,[1]QUART!$A$2:$FA$311, 68, FALSE)="",":",VLOOKUP($E$70,[1]QUART!$A$2:$FA$311, 68, FALSE))</f>
        <v>:</v>
      </c>
      <c r="BR70" s="544" t="str">
        <f>IF(VLOOKUP($E$70,[1]QUART!$A$2:$FA$311, 69, FALSE)="",":",VLOOKUP($E$70,[1]QUART!$A$2:$FA$311, 69, FALSE))</f>
        <v>:</v>
      </c>
      <c r="BS70" s="544" t="str">
        <f>IF(VLOOKUP($E$70,[1]QUART!$A$2:$FA$311, 70, FALSE)="",":",VLOOKUP($E$70,[1]QUART!$A$2:$FA$311, 70, FALSE))</f>
        <v>:</v>
      </c>
      <c r="BT70" s="544" t="str">
        <f>IF(VLOOKUP($E$70,[1]QUART!$A$2:$FA$311, 71, FALSE)="",":",VLOOKUP($E$70,[1]QUART!$A$2:$FA$311, 71, FALSE))</f>
        <v>:</v>
      </c>
      <c r="BU70" s="544" t="str">
        <f>IF(VLOOKUP($E$70,[1]QUART!$A$2:$FA$311, 72, FALSE)="",":",VLOOKUP($E$70,[1]QUART!$A$2:$FA$311, 72, FALSE))</f>
        <v>:</v>
      </c>
      <c r="BV70" s="544" t="str">
        <f>IF(VLOOKUP($E$70,[1]QUART!$A$2:$FA$311, 73, FALSE)="",":",VLOOKUP($E$70,[1]QUART!$A$2:$FA$311, 73, FALSE))</f>
        <v>:</v>
      </c>
      <c r="BW70" s="544" t="str">
        <f>IF(VLOOKUP($E$70,[1]QUART!$A$2:$FA$311, 74, FALSE)="",":",VLOOKUP($E$70,[1]QUART!$A$2:$FA$311, 74, FALSE))</f>
        <v>:</v>
      </c>
      <c r="BX70" s="544" t="str">
        <f>IF(VLOOKUP($E$70,[1]QUART!$A$2:$FA$311, 75, FALSE)="",":",VLOOKUP($E$70,[1]QUART!$A$2:$FA$311, 75, FALSE))</f>
        <v>:</v>
      </c>
      <c r="BY70" s="544" t="str">
        <f>IF(VLOOKUP($E$70,[1]QUART!$A$2:$FA$311, 76, FALSE)="",":",VLOOKUP($E$70,[1]QUART!$A$2:$FA$311, 76, FALSE))</f>
        <v>:</v>
      </c>
      <c r="BZ70" s="544" t="str">
        <f>IF(VLOOKUP($E$70,[1]QUART!$A$2:$FA$311, 77, FALSE)="",":",VLOOKUP($E$70,[1]QUART!$A$2:$FA$311, 77, FALSE))</f>
        <v>:</v>
      </c>
      <c r="CA70" s="544" t="str">
        <f>IF(VLOOKUP($E$70,[1]QUART!$A$2:$FA$311, 78, FALSE)="",":",VLOOKUP($E$70,[1]QUART!$A$2:$FA$311, 78, FALSE))</f>
        <v>:</v>
      </c>
      <c r="CB70" s="544" t="str">
        <f>IF(VLOOKUP($E$70,[1]QUART!$A$2:$FA$311, 79, FALSE)="",":",VLOOKUP($E$70,[1]QUART!$A$2:$FA$311, 79, FALSE))</f>
        <v>:</v>
      </c>
      <c r="CC70" s="544" t="str">
        <f>IF(VLOOKUP($E$70,[1]QUART!$A$2:$FA$311, 80, FALSE)="",":",VLOOKUP($E$70,[1]QUART!$A$2:$FA$311, 80, FALSE))</f>
        <v>:</v>
      </c>
      <c r="CD70" s="544" t="str">
        <f>IF(VLOOKUP($E$70,[1]QUART!$A$2:$FA$311, 81, FALSE)="",":",VLOOKUP($E$70,[1]QUART!$A$2:$FA$311, 81, FALSE))</f>
        <v>:</v>
      </c>
      <c r="CE70" s="544" t="str">
        <f>IF(VLOOKUP($E$70,[1]QUART!$A$2:$FA$311, 82, FALSE)="",":",VLOOKUP($E$70,[1]QUART!$A$2:$FA$311, 82, FALSE))</f>
        <v>:</v>
      </c>
      <c r="CF70" s="544" t="str">
        <f>IF(VLOOKUP($E$70,[1]QUART!$A$2:$FA$311, 83, FALSE)="",":",VLOOKUP($E$70,[1]QUART!$A$2:$FA$311, 83, FALSE))</f>
        <v>:</v>
      </c>
      <c r="CG70" s="544" t="str">
        <f>IF(VLOOKUP($E$70,[1]QUART!$A$2:$FA$311, 84, FALSE)="",":",VLOOKUP($E$70,[1]QUART!$A$2:$FA$311, 84, FALSE))</f>
        <v>:</v>
      </c>
      <c r="CH70" s="544" t="str">
        <f>IF(VLOOKUP($E$70,[1]QUART!$A$2:$FA$311, 85, FALSE)="",":",VLOOKUP($E$70,[1]QUART!$A$2:$FA$311, 85, FALSE))</f>
        <v>:</v>
      </c>
      <c r="CI70" s="544" t="str">
        <f>IF(VLOOKUP($E$70,[1]QUART!$A$2:$FA$311, 86, FALSE)="",":",VLOOKUP($E$70,[1]QUART!$A$2:$FA$311, 86, FALSE))</f>
        <v>:</v>
      </c>
      <c r="CJ70" s="544" t="str">
        <f>IF(VLOOKUP($E$70,[1]QUART!$A$2:$FA$311, 87, FALSE)="",":",VLOOKUP($E$70,[1]QUART!$A$2:$FA$311, 87, FALSE))</f>
        <v>:</v>
      </c>
      <c r="CK70" s="544" t="str">
        <f>IF(VLOOKUP($E$70,[1]QUART!$A$2:$FA$311, 88, FALSE)="",":",VLOOKUP($E$70,[1]QUART!$A$2:$FA$311, 88, FALSE))</f>
        <v>:</v>
      </c>
      <c r="CL70" s="544" t="str">
        <f>IF(VLOOKUP($E$70,[1]QUART!$A$2:$FA$311, 89, FALSE)="",":",VLOOKUP($E$70,[1]QUART!$A$2:$FA$311, 89, FALSE))</f>
        <v>:</v>
      </c>
      <c r="CM70" s="544" t="str">
        <f>IF(VLOOKUP($E$70,[1]QUART!$A$2:$FA$311, 90, FALSE)="",":",VLOOKUP($E$70,[1]QUART!$A$2:$FA$311, 90, FALSE))</f>
        <v>:</v>
      </c>
      <c r="CN70" s="544" t="str">
        <f>IF(VLOOKUP($E$70,[1]QUART!$A$2:$FA$311, 91, FALSE)="",":",VLOOKUP($E$70,[1]QUART!$A$2:$FA$311, 91, FALSE))</f>
        <v>:</v>
      </c>
      <c r="CO70" s="544" t="str">
        <f>IF(VLOOKUP($E$70,[1]QUART!$A$2:$FA$311, 92, FALSE)="",":",VLOOKUP($E$70,[1]QUART!$A$2:$FA$311, 92, FALSE))</f>
        <v>:</v>
      </c>
      <c r="CP70" s="544" t="str">
        <f>IF(VLOOKUP($E$70,[1]QUART!$A$2:$FA$311, 93, FALSE)="",":",VLOOKUP($E$70,[1]QUART!$A$2:$FA$311, 93, FALSE))</f>
        <v>:</v>
      </c>
      <c r="CQ70" s="544" t="str">
        <f>IF(VLOOKUP($E$70,[1]QUART!$A$2:$FA$311, 94, FALSE)="",":",VLOOKUP($E$70,[1]QUART!$A$2:$FA$311, 94, FALSE))</f>
        <v>:</v>
      </c>
      <c r="CR70" s="544" t="str">
        <f>IF(VLOOKUP($E$70,[1]QUART!$A$2:$FA$311, 95, FALSE)="",":",VLOOKUP($E$70,[1]QUART!$A$2:$FA$311, 95, FALSE))</f>
        <v>:</v>
      </c>
      <c r="CS70" s="544" t="str">
        <f>IF(VLOOKUP($E$70,[1]QUART!$A$2:$FA$311, 96, FALSE)="",":",VLOOKUP($E$70,[1]QUART!$A$2:$FA$311, 96, FALSE))</f>
        <v>:</v>
      </c>
      <c r="CT70" s="544" t="str">
        <f>IF(VLOOKUP($E$70,[1]QUART!$A$2:$FA$311, 97, FALSE)="",":",VLOOKUP($E$70,[1]QUART!$A$2:$FA$311, 97, FALSE))</f>
        <v>:</v>
      </c>
      <c r="CU70" s="544" t="str">
        <f>IF(VLOOKUP($E$70,[1]QUART!$A$2:$FA$311, 98, FALSE)="",":",VLOOKUP($E$70,[1]QUART!$A$2:$FA$311, 98, FALSE))</f>
        <v>:</v>
      </c>
      <c r="CV70" s="544" t="str">
        <f>IF(VLOOKUP($E$70,[1]QUART!$A$2:$FA$311, 99, FALSE)="",":",VLOOKUP($E$70,[1]QUART!$A$2:$FA$311, 99, FALSE))</f>
        <v>:</v>
      </c>
      <c r="CW70" s="544" t="str">
        <f>IF(VLOOKUP($E$70,[1]QUART!$A$2:$FA$311, 100, FALSE)="",":",VLOOKUP($E$70,[1]QUART!$A$2:$FA$311, 100, FALSE))</f>
        <v>:</v>
      </c>
      <c r="CX70" s="544" t="str">
        <f>IF(VLOOKUP($E$70,[1]QUART!$A$2:$FA$311, 101, FALSE)="",":",VLOOKUP($E$70,[1]QUART!$A$2:$FA$311, 101, FALSE))</f>
        <v>:</v>
      </c>
      <c r="CY70" s="544" t="str">
        <f>IF(VLOOKUP($E$70,[1]QUART!$A$2:$FA$311, 102, FALSE)="",":",VLOOKUP($E$70,[1]QUART!$A$2:$FA$311, 102, FALSE))</f>
        <v>:</v>
      </c>
      <c r="CZ70" s="544" t="str">
        <f>IF(VLOOKUP($E$70,[1]QUART!$A$2:$FA$311, 103, FALSE)="",":",VLOOKUP($E$70,[1]QUART!$A$2:$FA$311, 103, FALSE))</f>
        <v>:</v>
      </c>
      <c r="DA70" s="544" t="str">
        <f>IF(VLOOKUP($E$70,[1]QUART!$A$2:$FA$311, 104, FALSE)="",":",VLOOKUP($E$70,[1]QUART!$A$2:$FA$311, 104, FALSE))</f>
        <v>:</v>
      </c>
      <c r="DB70" s="544" t="str">
        <f>IF(VLOOKUP($E$70,[1]QUART!$A$2:$FA$311, 105, FALSE)="",":",VLOOKUP($E$70,[1]QUART!$A$2:$FA$311, 105, FALSE))</f>
        <v>:</v>
      </c>
      <c r="DC70" s="544" t="str">
        <f>IF(VLOOKUP($E$70,[1]QUART!$A$2:$FA$311, 106, FALSE)="",":",VLOOKUP($E$70,[1]QUART!$A$2:$FA$311, 106, FALSE))</f>
        <v>:</v>
      </c>
    </row>
    <row r="71" spans="1:107">
      <c r="A71" s="533"/>
      <c r="B71" s="534"/>
      <c r="C71" s="535"/>
      <c r="D71" s="12"/>
      <c r="E71" s="13"/>
      <c r="F71" s="14"/>
      <c r="G71" s="544"/>
      <c r="H71" s="544"/>
      <c r="I71" s="544"/>
      <c r="J71" s="544"/>
      <c r="K71" s="544"/>
      <c r="L71" s="544"/>
      <c r="M71" s="544"/>
      <c r="N71" s="544"/>
      <c r="O71" s="544"/>
      <c r="P71" s="544"/>
      <c r="Q71" s="544"/>
      <c r="R71" s="544"/>
      <c r="S71" s="544"/>
      <c r="T71" s="544"/>
      <c r="U71" s="544"/>
      <c r="V71" s="544"/>
      <c r="W71" s="544"/>
      <c r="X71" s="544"/>
      <c r="Y71" s="544"/>
      <c r="Z71" s="544"/>
      <c r="AA71" s="544"/>
      <c r="AB71" s="544"/>
      <c r="AC71" s="544"/>
      <c r="AD71" s="544"/>
      <c r="AE71" s="544"/>
      <c r="AF71" s="544"/>
      <c r="AG71" s="544"/>
      <c r="AH71" s="544"/>
      <c r="AI71" s="544"/>
      <c r="AJ71" s="544"/>
      <c r="AK71" s="544"/>
      <c r="AL71" s="544"/>
      <c r="AM71" s="544"/>
      <c r="AN71" s="544"/>
      <c r="AO71" s="544"/>
      <c r="AP71" s="544"/>
      <c r="AQ71" s="544"/>
      <c r="AR71" s="544"/>
      <c r="AS71" s="544"/>
      <c r="AT71" s="544"/>
      <c r="AU71" s="544"/>
      <c r="AV71" s="544"/>
      <c r="AW71" s="544"/>
      <c r="AX71" s="544"/>
      <c r="AY71" s="544"/>
      <c r="AZ71" s="544"/>
      <c r="BA71" s="544"/>
      <c r="BB71" s="544"/>
      <c r="BC71" s="544"/>
      <c r="BD71" s="544"/>
      <c r="BE71" s="544"/>
      <c r="BF71" s="544"/>
      <c r="BG71" s="544"/>
      <c r="BH71" s="544"/>
      <c r="BI71" s="544"/>
      <c r="BJ71" s="544"/>
      <c r="BK71" s="544"/>
      <c r="BL71" s="544"/>
      <c r="BM71" s="544"/>
      <c r="BN71" s="544"/>
      <c r="BO71" s="544"/>
      <c r="BP71" s="544"/>
      <c r="BQ71" s="544"/>
      <c r="BR71" s="544"/>
      <c r="BS71" s="544"/>
      <c r="BT71" s="544"/>
      <c r="BU71" s="544"/>
      <c r="BV71" s="544"/>
      <c r="BW71" s="544"/>
      <c r="BX71" s="544"/>
      <c r="BY71" s="544"/>
      <c r="BZ71" s="544"/>
      <c r="CA71" s="544"/>
      <c r="CB71" s="544"/>
      <c r="CC71" s="544"/>
      <c r="CD71" s="544"/>
      <c r="CE71" s="544"/>
      <c r="CF71" s="544"/>
      <c r="CG71" s="544"/>
      <c r="CH71" s="544"/>
      <c r="CI71" s="544"/>
      <c r="CJ71" s="544"/>
      <c r="CK71" s="544"/>
      <c r="CL71" s="544"/>
      <c r="CM71" s="544"/>
      <c r="CN71" s="544"/>
      <c r="CO71" s="544"/>
      <c r="CP71" s="544"/>
      <c r="CQ71" s="544"/>
      <c r="CR71" s="544"/>
      <c r="CS71" s="544"/>
      <c r="CT71" s="544"/>
      <c r="CU71" s="544"/>
      <c r="CV71" s="544"/>
      <c r="CW71" s="544"/>
      <c r="CX71" s="544"/>
      <c r="CY71" s="544"/>
      <c r="CZ71" s="544"/>
      <c r="DA71" s="544"/>
      <c r="DB71" s="544"/>
      <c r="DC71" s="544"/>
    </row>
    <row r="72" spans="1:107">
      <c r="A72" s="533"/>
      <c r="B72" s="534"/>
      <c r="C72" s="535"/>
      <c r="D72" s="12"/>
      <c r="E72" s="13"/>
      <c r="F72" s="14"/>
      <c r="G72" s="544"/>
      <c r="H72" s="544"/>
      <c r="I72" s="544"/>
      <c r="J72" s="544"/>
      <c r="K72" s="544"/>
      <c r="L72" s="544"/>
      <c r="M72" s="544"/>
      <c r="N72" s="544"/>
      <c r="O72" s="544"/>
      <c r="P72" s="544"/>
      <c r="Q72" s="544"/>
      <c r="R72" s="544"/>
      <c r="S72" s="544"/>
      <c r="T72" s="544"/>
      <c r="U72" s="544"/>
      <c r="V72" s="544"/>
      <c r="W72" s="544"/>
      <c r="X72" s="544"/>
      <c r="Y72" s="544"/>
      <c r="Z72" s="544"/>
      <c r="AA72" s="544"/>
      <c r="AB72" s="544"/>
      <c r="AC72" s="544"/>
      <c r="AD72" s="544"/>
      <c r="AE72" s="544"/>
      <c r="AF72" s="544"/>
      <c r="AG72" s="544"/>
      <c r="AH72" s="544"/>
      <c r="AI72" s="544"/>
      <c r="AJ72" s="544"/>
      <c r="AK72" s="544"/>
      <c r="AL72" s="544"/>
      <c r="AM72" s="544"/>
      <c r="AN72" s="544"/>
      <c r="AO72" s="544"/>
      <c r="AP72" s="544"/>
      <c r="AQ72" s="544"/>
      <c r="AR72" s="544"/>
      <c r="AS72" s="544"/>
      <c r="AT72" s="544"/>
      <c r="AU72" s="544"/>
      <c r="AV72" s="544"/>
      <c r="AW72" s="544"/>
      <c r="AX72" s="544"/>
      <c r="AY72" s="544"/>
      <c r="AZ72" s="544"/>
      <c r="BA72" s="544"/>
      <c r="BB72" s="544"/>
      <c r="BC72" s="544"/>
      <c r="BD72" s="544"/>
      <c r="BE72" s="544"/>
      <c r="BF72" s="544"/>
      <c r="BG72" s="544"/>
      <c r="BH72" s="544"/>
      <c r="BI72" s="544"/>
      <c r="BJ72" s="544"/>
      <c r="BK72" s="544"/>
      <c r="BL72" s="544"/>
      <c r="BM72" s="544"/>
      <c r="BN72" s="544"/>
      <c r="BO72" s="544"/>
      <c r="BP72" s="544"/>
      <c r="BQ72" s="544"/>
      <c r="BR72" s="544"/>
      <c r="BS72" s="544"/>
      <c r="BT72" s="544"/>
      <c r="BU72" s="544"/>
      <c r="BV72" s="544"/>
      <c r="BW72" s="544"/>
      <c r="BX72" s="544"/>
      <c r="BY72" s="544"/>
      <c r="BZ72" s="544"/>
      <c r="CA72" s="544"/>
      <c r="CB72" s="544"/>
      <c r="CC72" s="544"/>
      <c r="CD72" s="544"/>
      <c r="CE72" s="544"/>
      <c r="CF72" s="544"/>
      <c r="CG72" s="544"/>
      <c r="CH72" s="544"/>
      <c r="CI72" s="544"/>
      <c r="CJ72" s="544"/>
      <c r="CK72" s="544"/>
      <c r="CL72" s="544"/>
      <c r="CM72" s="544"/>
      <c r="CN72" s="544"/>
      <c r="CO72" s="544"/>
      <c r="CP72" s="544"/>
      <c r="CQ72" s="544"/>
      <c r="CR72" s="544"/>
      <c r="CS72" s="544"/>
      <c r="CT72" s="544"/>
      <c r="CU72" s="544"/>
      <c r="CV72" s="544"/>
      <c r="CW72" s="544"/>
      <c r="CX72" s="544"/>
      <c r="CY72" s="544"/>
      <c r="CZ72" s="544"/>
      <c r="DA72" s="544"/>
      <c r="DB72" s="544"/>
      <c r="DC72" s="544"/>
    </row>
    <row r="73" spans="1:107">
      <c r="A73" s="533"/>
      <c r="B73" s="534"/>
      <c r="C73" s="535"/>
      <c r="D73" s="12"/>
      <c r="E73" s="13"/>
      <c r="F73" s="14"/>
      <c r="G73" s="544"/>
      <c r="H73" s="544"/>
      <c r="I73" s="544"/>
      <c r="J73" s="544"/>
      <c r="K73" s="544"/>
      <c r="L73" s="544"/>
      <c r="M73" s="544"/>
      <c r="N73" s="544"/>
      <c r="O73" s="544"/>
      <c r="P73" s="544"/>
      <c r="Q73" s="544"/>
      <c r="R73" s="544"/>
      <c r="S73" s="544"/>
      <c r="T73" s="544"/>
      <c r="U73" s="544"/>
      <c r="V73" s="544"/>
      <c r="W73" s="544"/>
      <c r="X73" s="544"/>
      <c r="Y73" s="544"/>
      <c r="Z73" s="544"/>
      <c r="AA73" s="544"/>
      <c r="AB73" s="544"/>
      <c r="AC73" s="544"/>
      <c r="AD73" s="544"/>
      <c r="AE73" s="544"/>
      <c r="AF73" s="544"/>
      <c r="AG73" s="544"/>
      <c r="AH73" s="544"/>
      <c r="AI73" s="544"/>
      <c r="AJ73" s="544"/>
      <c r="AK73" s="544"/>
      <c r="AL73" s="544"/>
      <c r="AM73" s="544"/>
      <c r="AN73" s="544"/>
      <c r="AO73" s="544"/>
      <c r="AP73" s="544"/>
      <c r="AQ73" s="544"/>
      <c r="AR73" s="544"/>
      <c r="AS73" s="544"/>
      <c r="AT73" s="544"/>
      <c r="AU73" s="544"/>
      <c r="AV73" s="544"/>
      <c r="AW73" s="544"/>
      <c r="AX73" s="544"/>
      <c r="AY73" s="544"/>
      <c r="AZ73" s="544"/>
      <c r="BA73" s="544"/>
      <c r="BB73" s="544"/>
      <c r="BC73" s="544"/>
      <c r="BD73" s="544"/>
      <c r="BE73" s="544"/>
      <c r="BF73" s="544"/>
      <c r="BG73" s="544"/>
      <c r="BH73" s="544"/>
      <c r="BI73" s="544"/>
      <c r="BJ73" s="544"/>
      <c r="BK73" s="544"/>
      <c r="BL73" s="544"/>
      <c r="BM73" s="544"/>
      <c r="BN73" s="544"/>
      <c r="BO73" s="544"/>
      <c r="BP73" s="544"/>
      <c r="BQ73" s="544"/>
      <c r="BR73" s="544"/>
      <c r="BS73" s="544"/>
      <c r="BT73" s="544"/>
      <c r="BU73" s="544"/>
      <c r="BV73" s="544"/>
      <c r="BW73" s="544"/>
      <c r="BX73" s="544"/>
      <c r="BY73" s="544"/>
      <c r="BZ73" s="544"/>
      <c r="CA73" s="544"/>
      <c r="CB73" s="544"/>
      <c r="CC73" s="544"/>
      <c r="CD73" s="544"/>
      <c r="CE73" s="544"/>
      <c r="CF73" s="544"/>
      <c r="CG73" s="544"/>
      <c r="CH73" s="544"/>
      <c r="CI73" s="544"/>
      <c r="CJ73" s="544"/>
      <c r="CK73" s="544"/>
      <c r="CL73" s="544"/>
      <c r="CM73" s="544"/>
      <c r="CN73" s="544"/>
      <c r="CO73" s="544"/>
      <c r="CP73" s="544"/>
      <c r="CQ73" s="544"/>
      <c r="CR73" s="544"/>
      <c r="CS73" s="544"/>
      <c r="CT73" s="544"/>
      <c r="CU73" s="544"/>
      <c r="CV73" s="544"/>
      <c r="CW73" s="544"/>
      <c r="CX73" s="544"/>
      <c r="CY73" s="544"/>
      <c r="CZ73" s="544"/>
      <c r="DA73" s="544"/>
      <c r="DB73" s="544"/>
      <c r="DC73" s="544"/>
    </row>
    <row r="74" spans="1:107" customFormat="1"/>
    <row r="75" spans="1:107" customFormat="1"/>
    <row r="76" spans="1:107" customFormat="1"/>
    <row r="77" spans="1:107" customFormat="1"/>
    <row r="78" spans="1:107" customFormat="1"/>
    <row r="79" spans="1:107" customFormat="1"/>
    <row r="80" spans="1:107"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customFormat="1"/>
    <row r="418" customFormat="1"/>
    <row r="419" customFormat="1"/>
    <row r="420" customFormat="1"/>
    <row r="421" customFormat="1"/>
    <row r="422" customFormat="1"/>
    <row r="423" customFormat="1"/>
    <row r="424" customFormat="1"/>
    <row r="425" customFormat="1"/>
    <row r="426" customFormat="1"/>
    <row r="427" customFormat="1"/>
    <row r="428" customFormat="1"/>
    <row r="429" customFormat="1"/>
    <row r="430" customFormat="1"/>
    <row r="431" customFormat="1"/>
    <row r="432"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row r="470" customFormat="1"/>
    <row r="471" customFormat="1"/>
    <row r="472" customFormat="1"/>
    <row r="473" customFormat="1"/>
    <row r="474" customFormat="1"/>
    <row r="475" customFormat="1"/>
    <row r="476" customFormat="1"/>
    <row r="477" customFormat="1"/>
    <row r="478" customFormat="1"/>
    <row r="479" customFormat="1"/>
    <row r="480" customFormat="1"/>
    <row r="481" customFormat="1"/>
    <row r="482" customFormat="1"/>
    <row r="483" customFormat="1"/>
    <row r="484" customFormat="1"/>
    <row r="485" customFormat="1"/>
    <row r="486" customFormat="1"/>
    <row r="487" customFormat="1"/>
    <row r="488" customFormat="1"/>
    <row r="489" customFormat="1"/>
    <row r="490" customFormat="1"/>
    <row r="491" customFormat="1"/>
    <row r="492" customFormat="1"/>
    <row r="493" customFormat="1"/>
    <row r="494" customFormat="1"/>
    <row r="495" customFormat="1"/>
    <row r="496" customFormat="1"/>
    <row r="497" customFormat="1"/>
    <row r="498" customFormat="1"/>
    <row r="499" customFormat="1"/>
    <row r="500" customFormat="1"/>
    <row r="501" customFormat="1"/>
    <row r="502" customFormat="1"/>
    <row r="503" customFormat="1"/>
    <row r="504" customFormat="1"/>
    <row r="505" customFormat="1"/>
    <row r="506" customFormat="1"/>
    <row r="507" customFormat="1"/>
    <row r="508" customFormat="1"/>
    <row r="509" customFormat="1"/>
    <row r="510" customFormat="1"/>
    <row r="511" customFormat="1"/>
    <row r="512" customFormat="1"/>
    <row r="513" customFormat="1"/>
    <row r="514" customFormat="1"/>
    <row r="515" customFormat="1"/>
    <row r="516" customFormat="1"/>
    <row r="517" customFormat="1"/>
    <row r="518" customFormat="1"/>
    <row r="519" customFormat="1"/>
    <row r="520" customFormat="1"/>
    <row r="521" customFormat="1"/>
    <row r="522" customFormat="1"/>
    <row r="523" customFormat="1"/>
    <row r="524" customFormat="1"/>
    <row r="525" customFormat="1"/>
    <row r="526" customFormat="1"/>
    <row r="527" customFormat="1"/>
    <row r="528" customFormat="1"/>
    <row r="529" customFormat="1"/>
    <row r="530" customFormat="1"/>
    <row r="531" customFormat="1"/>
    <row r="532" customFormat="1"/>
    <row r="533" customFormat="1"/>
    <row r="534" customFormat="1"/>
    <row r="535" customFormat="1"/>
    <row r="536" customFormat="1"/>
    <row r="537" customFormat="1"/>
    <row r="538" customFormat="1"/>
    <row r="539" customFormat="1"/>
    <row r="540" customFormat="1"/>
    <row r="541" customFormat="1"/>
    <row r="542" customFormat="1"/>
    <row r="543" customFormat="1"/>
    <row r="544" customFormat="1"/>
    <row r="545" customFormat="1"/>
    <row r="546" customFormat="1"/>
    <row r="547" customFormat="1"/>
    <row r="548" customFormat="1"/>
    <row r="549" customFormat="1"/>
    <row r="550" customFormat="1"/>
    <row r="551" customFormat="1"/>
    <row r="552" customFormat="1"/>
    <row r="553" customFormat="1"/>
    <row r="554" customFormat="1"/>
    <row r="555" customFormat="1"/>
    <row r="556" customFormat="1"/>
    <row r="557" customFormat="1"/>
    <row r="558" customFormat="1"/>
    <row r="559" customFormat="1"/>
    <row r="560" customFormat="1"/>
    <row r="561" customFormat="1"/>
    <row r="562" customFormat="1"/>
    <row r="563" customFormat="1"/>
    <row r="564" customFormat="1"/>
    <row r="565" customFormat="1"/>
    <row r="566" customFormat="1"/>
    <row r="567" customFormat="1"/>
    <row r="568" customFormat="1"/>
    <row r="569" customFormat="1"/>
    <row r="570" customFormat="1"/>
    <row r="571" customFormat="1"/>
    <row r="572" customFormat="1"/>
    <row r="573" customFormat="1"/>
    <row r="574" customFormat="1"/>
    <row r="575" customFormat="1"/>
    <row r="576" customFormat="1"/>
    <row r="577" customFormat="1"/>
    <row r="578" customFormat="1"/>
    <row r="579" customFormat="1"/>
    <row r="580" customFormat="1"/>
    <row r="581" customFormat="1"/>
    <row r="582" customFormat="1"/>
    <row r="583" customFormat="1"/>
    <row r="584" customFormat="1"/>
    <row r="585" customFormat="1"/>
    <row r="586" customFormat="1"/>
    <row r="587" customFormat="1"/>
    <row r="588" customFormat="1"/>
    <row r="589" customFormat="1"/>
    <row r="590" customFormat="1"/>
    <row r="591" customFormat="1"/>
    <row r="592" customFormat="1"/>
    <row r="593" customFormat="1"/>
    <row r="594" customFormat="1"/>
    <row r="595" customFormat="1"/>
    <row r="596" customFormat="1"/>
    <row r="597" customFormat="1"/>
    <row r="598" customFormat="1"/>
    <row r="599" customFormat="1"/>
    <row r="600" customFormat="1"/>
    <row r="601" customFormat="1"/>
    <row r="602" customFormat="1"/>
    <row r="603" customFormat="1"/>
    <row r="604" customFormat="1"/>
    <row r="605" customFormat="1"/>
    <row r="606" customFormat="1"/>
    <row r="607" customFormat="1"/>
    <row r="608" customFormat="1"/>
    <row r="609" customFormat="1"/>
    <row r="610" customFormat="1"/>
    <row r="611" customFormat="1"/>
    <row r="612" customFormat="1"/>
    <row r="613" customFormat="1"/>
    <row r="614" customFormat="1"/>
    <row r="615" customFormat="1"/>
    <row r="616" customFormat="1"/>
    <row r="617" customFormat="1"/>
    <row r="618" customFormat="1"/>
    <row r="619" customFormat="1"/>
    <row r="620" customFormat="1"/>
    <row r="621" customFormat="1"/>
    <row r="622" customFormat="1"/>
    <row r="623" customFormat="1"/>
    <row r="624" customFormat="1"/>
    <row r="625" customFormat="1"/>
    <row r="626" customFormat="1"/>
    <row r="627" customFormat="1"/>
    <row r="628" customFormat="1"/>
    <row r="629" customFormat="1"/>
    <row r="630" customFormat="1"/>
    <row r="631" customFormat="1"/>
    <row r="632" customFormat="1"/>
    <row r="633" customFormat="1"/>
    <row r="634" customFormat="1"/>
    <row r="635" customFormat="1"/>
    <row r="636" customFormat="1"/>
    <row r="637" customFormat="1"/>
    <row r="638" customFormat="1"/>
    <row r="639" customFormat="1"/>
    <row r="640" customFormat="1"/>
    <row r="641" customFormat="1"/>
    <row r="642" customFormat="1"/>
    <row r="643" customFormat="1"/>
    <row r="644" customFormat="1"/>
    <row r="645" customFormat="1"/>
    <row r="646" customFormat="1"/>
    <row r="647" customFormat="1"/>
    <row r="648" customFormat="1"/>
    <row r="649" customFormat="1"/>
    <row r="650" customFormat="1"/>
    <row r="651" customFormat="1"/>
    <row r="652" customFormat="1"/>
    <row r="653" customFormat="1"/>
    <row r="654" customFormat="1"/>
    <row r="655" customFormat="1"/>
    <row r="656" customFormat="1"/>
    <row r="657" customFormat="1"/>
    <row r="658" customFormat="1"/>
    <row r="659" customFormat="1"/>
    <row r="660" customFormat="1"/>
    <row r="661" customFormat="1"/>
    <row r="662" customFormat="1"/>
    <row r="663" customFormat="1"/>
    <row r="664" customFormat="1"/>
    <row r="665" customFormat="1"/>
    <row r="666" customFormat="1"/>
    <row r="667" customFormat="1"/>
    <row r="668" customFormat="1"/>
    <row r="669" customFormat="1"/>
    <row r="670" customFormat="1"/>
    <row r="671" customFormat="1"/>
    <row r="672" customFormat="1"/>
    <row r="673" customFormat="1"/>
    <row r="674" customFormat="1"/>
    <row r="675" customFormat="1"/>
    <row r="676" customFormat="1"/>
    <row r="677" customFormat="1"/>
    <row r="678" customFormat="1"/>
    <row r="679" customFormat="1"/>
    <row r="680" customFormat="1"/>
    <row r="681" customFormat="1"/>
    <row r="682" customFormat="1"/>
    <row r="683" customFormat="1"/>
    <row r="684" customFormat="1"/>
    <row r="685" customFormat="1"/>
    <row r="686" customFormat="1"/>
    <row r="687" customFormat="1"/>
    <row r="688" customFormat="1"/>
    <row r="689" customFormat="1"/>
    <row r="690" customFormat="1"/>
    <row r="691" customFormat="1"/>
    <row r="692" customFormat="1"/>
    <row r="693" customFormat="1"/>
    <row r="694" customFormat="1"/>
    <row r="695" customFormat="1"/>
    <row r="696" customFormat="1"/>
    <row r="697" customFormat="1"/>
    <row r="698" customFormat="1"/>
    <row r="699" customFormat="1"/>
    <row r="700" customFormat="1"/>
    <row r="701" customFormat="1"/>
    <row r="702" customFormat="1"/>
    <row r="703" customFormat="1"/>
    <row r="704" customFormat="1"/>
    <row r="705" customFormat="1"/>
    <row r="706" customFormat="1"/>
    <row r="707" customFormat="1"/>
    <row r="708" customFormat="1"/>
    <row r="709" customFormat="1"/>
    <row r="710" customFormat="1"/>
    <row r="711" customFormat="1"/>
    <row r="712" customFormat="1"/>
    <row r="713" customFormat="1"/>
    <row r="714" customFormat="1"/>
    <row r="715" customFormat="1"/>
    <row r="716" customFormat="1"/>
    <row r="717" customFormat="1"/>
    <row r="718" customFormat="1"/>
    <row r="719" customFormat="1"/>
    <row r="720" customFormat="1"/>
    <row r="721" customFormat="1"/>
    <row r="722" customFormat="1"/>
    <row r="723" customFormat="1"/>
    <row r="724" customFormat="1"/>
    <row r="725" customFormat="1"/>
    <row r="726" customFormat="1"/>
    <row r="727" customFormat="1"/>
    <row r="728" customFormat="1"/>
    <row r="729" customFormat="1"/>
    <row r="730" customFormat="1"/>
    <row r="731" customFormat="1"/>
    <row r="732" customFormat="1"/>
    <row r="733" customFormat="1"/>
    <row r="734" customFormat="1"/>
    <row r="735" customFormat="1"/>
    <row r="736" customFormat="1"/>
    <row r="737" customFormat="1"/>
    <row r="738" customFormat="1"/>
    <row r="739" customFormat="1"/>
    <row r="740" customFormat="1"/>
    <row r="741" customFormat="1"/>
    <row r="742" customFormat="1"/>
    <row r="743" customFormat="1"/>
    <row r="744" customFormat="1"/>
    <row r="745" customFormat="1"/>
    <row r="746" customFormat="1"/>
    <row r="747" customFormat="1"/>
    <row r="748" customFormat="1"/>
    <row r="749" customFormat="1"/>
    <row r="750" customFormat="1"/>
    <row r="751" customFormat="1"/>
    <row r="752" customFormat="1"/>
    <row r="753" customFormat="1"/>
    <row r="754" customFormat="1"/>
    <row r="755" customFormat="1"/>
    <row r="756" customFormat="1"/>
    <row r="757" customFormat="1"/>
    <row r="758" customFormat="1"/>
    <row r="759" customFormat="1"/>
    <row r="760" customFormat="1"/>
    <row r="761" customFormat="1"/>
    <row r="762" customFormat="1"/>
    <row r="763" customFormat="1"/>
    <row r="764" customFormat="1"/>
    <row r="765" customFormat="1"/>
    <row r="766" customFormat="1"/>
    <row r="767" customFormat="1"/>
    <row r="768" customFormat="1"/>
    <row r="769" customFormat="1"/>
    <row r="770" customFormat="1"/>
    <row r="771" customFormat="1"/>
    <row r="772" customFormat="1"/>
    <row r="773" customFormat="1"/>
    <row r="774" customFormat="1"/>
    <row r="775" customFormat="1"/>
    <row r="776" customFormat="1"/>
    <row r="777" customFormat="1"/>
    <row r="778" customFormat="1"/>
    <row r="779" customFormat="1"/>
    <row r="780" customFormat="1"/>
    <row r="781" customFormat="1"/>
    <row r="782" customFormat="1"/>
    <row r="783" customFormat="1"/>
    <row r="784" customFormat="1"/>
    <row r="785" customFormat="1"/>
    <row r="786" customFormat="1"/>
    <row r="787" customFormat="1"/>
    <row r="788" customFormat="1"/>
    <row r="789" customFormat="1"/>
    <row r="790" customFormat="1"/>
    <row r="791" customFormat="1"/>
    <row r="792" customFormat="1"/>
    <row r="793" customFormat="1"/>
    <row r="794" customFormat="1"/>
    <row r="795" customFormat="1"/>
    <row r="796" customFormat="1"/>
    <row r="797" customFormat="1"/>
    <row r="798" customFormat="1"/>
    <row r="799" customFormat="1"/>
    <row r="800" customFormat="1"/>
    <row r="801" customFormat="1"/>
    <row r="802" customFormat="1"/>
    <row r="803" customFormat="1"/>
    <row r="804" customFormat="1"/>
    <row r="805" customFormat="1"/>
    <row r="806" customFormat="1"/>
    <row r="807" customFormat="1"/>
    <row r="808" customFormat="1"/>
    <row r="809" customFormat="1"/>
    <row r="810" customFormat="1"/>
    <row r="811" customFormat="1"/>
    <row r="812" customFormat="1"/>
    <row r="813" customFormat="1"/>
    <row r="814" customFormat="1"/>
    <row r="815" customFormat="1"/>
    <row r="816" customFormat="1"/>
    <row r="817" customFormat="1"/>
    <row r="818" customFormat="1"/>
    <row r="819" customFormat="1"/>
    <row r="820" customFormat="1"/>
    <row r="821" customFormat="1"/>
    <row r="822" customFormat="1"/>
    <row r="823" customFormat="1"/>
    <row r="824" customFormat="1"/>
    <row r="825" customFormat="1"/>
    <row r="826" customFormat="1"/>
    <row r="827" customFormat="1"/>
    <row r="828" customFormat="1"/>
    <row r="829" customFormat="1"/>
    <row r="830" customFormat="1"/>
    <row r="831" customFormat="1"/>
    <row r="832" customFormat="1"/>
    <row r="833" customFormat="1"/>
    <row r="834" customFormat="1"/>
    <row r="835" customFormat="1"/>
    <row r="836" customFormat="1"/>
    <row r="837" customFormat="1"/>
    <row r="838" customFormat="1"/>
    <row r="839" customFormat="1"/>
    <row r="840" customFormat="1"/>
    <row r="841" customFormat="1"/>
    <row r="842" customFormat="1"/>
    <row r="843" customFormat="1"/>
    <row r="844" customFormat="1"/>
    <row r="845" customFormat="1"/>
    <row r="846" customFormat="1"/>
    <row r="847" customFormat="1"/>
    <row r="848" customFormat="1"/>
    <row r="849" customFormat="1"/>
    <row r="850" customFormat="1"/>
    <row r="851" customFormat="1"/>
    <row r="852" customFormat="1"/>
    <row r="853" customFormat="1"/>
    <row r="854" customFormat="1"/>
    <row r="855" customFormat="1"/>
    <row r="856" customFormat="1"/>
    <row r="857" customFormat="1"/>
    <row r="858" customFormat="1"/>
    <row r="859" customFormat="1"/>
    <row r="860" customFormat="1"/>
    <row r="861" customFormat="1"/>
    <row r="862" customFormat="1"/>
    <row r="863" customFormat="1"/>
    <row r="864" customFormat="1"/>
    <row r="865" customFormat="1"/>
    <row r="866" customFormat="1"/>
    <row r="867" customFormat="1"/>
    <row r="868" customFormat="1"/>
    <row r="869" customFormat="1"/>
    <row r="870" customFormat="1"/>
    <row r="871" customFormat="1"/>
    <row r="872" customFormat="1"/>
    <row r="873" customFormat="1"/>
    <row r="874" customFormat="1"/>
    <row r="875" customFormat="1"/>
    <row r="876" customFormat="1"/>
    <row r="877" customFormat="1"/>
    <row r="878" customFormat="1"/>
    <row r="879" customFormat="1"/>
    <row r="880" customFormat="1"/>
    <row r="881" customFormat="1"/>
    <row r="882" customFormat="1"/>
    <row r="883" customFormat="1"/>
    <row r="884" customFormat="1"/>
    <row r="885" customFormat="1"/>
    <row r="886" customFormat="1"/>
    <row r="887" customFormat="1"/>
    <row r="888" customFormat="1"/>
    <row r="889" customFormat="1"/>
    <row r="890" customFormat="1"/>
    <row r="891" customFormat="1"/>
    <row r="892" customFormat="1"/>
    <row r="893" customFormat="1"/>
    <row r="894" customFormat="1"/>
    <row r="895" customFormat="1"/>
    <row r="896" customFormat="1"/>
    <row r="897" customFormat="1"/>
    <row r="898" customFormat="1"/>
    <row r="899" customFormat="1"/>
    <row r="900" customFormat="1"/>
    <row r="901" customFormat="1"/>
    <row r="902" customFormat="1"/>
    <row r="903" customFormat="1"/>
    <row r="904" customFormat="1"/>
    <row r="905" customFormat="1"/>
    <row r="906" customFormat="1"/>
    <row r="907" customFormat="1"/>
    <row r="908" customFormat="1"/>
    <row r="909" customFormat="1"/>
    <row r="910" customFormat="1"/>
    <row r="911" customFormat="1"/>
    <row r="912" customFormat="1"/>
    <row r="913" customFormat="1"/>
    <row r="914" customFormat="1"/>
    <row r="915" customFormat="1"/>
    <row r="916" customFormat="1"/>
    <row r="917" customFormat="1"/>
    <row r="918" customFormat="1"/>
    <row r="919" customFormat="1"/>
    <row r="920" customFormat="1"/>
    <row r="921" customFormat="1"/>
    <row r="922" customFormat="1"/>
    <row r="923" customFormat="1"/>
    <row r="924" customFormat="1"/>
    <row r="925" customFormat="1"/>
    <row r="926" customFormat="1"/>
    <row r="927" customFormat="1"/>
    <row r="928" customFormat="1"/>
    <row r="929" customFormat="1"/>
    <row r="930" customFormat="1"/>
    <row r="931" customFormat="1"/>
    <row r="932" customFormat="1"/>
    <row r="933" customFormat="1"/>
    <row r="934" customFormat="1"/>
    <row r="935" customFormat="1"/>
    <row r="936" customFormat="1"/>
    <row r="937" customFormat="1"/>
    <row r="938" customFormat="1"/>
    <row r="939" customFormat="1"/>
    <row r="940" customFormat="1"/>
    <row r="941" customFormat="1"/>
    <row r="942" customFormat="1"/>
    <row r="943" customFormat="1"/>
    <row r="944" customFormat="1"/>
    <row r="945" customFormat="1"/>
    <row r="946" customFormat="1"/>
    <row r="947" customFormat="1"/>
    <row r="948" customFormat="1"/>
    <row r="949" customFormat="1"/>
    <row r="950" customFormat="1"/>
    <row r="951" customFormat="1"/>
    <row r="952" customFormat="1"/>
    <row r="953" customFormat="1"/>
    <row r="954" customFormat="1"/>
    <row r="955" customFormat="1"/>
    <row r="956" customFormat="1"/>
    <row r="957" customFormat="1"/>
    <row r="958" customFormat="1"/>
    <row r="959" customFormat="1"/>
    <row r="960" customFormat="1"/>
    <row r="961" customFormat="1"/>
    <row r="962" customFormat="1"/>
    <row r="963" customFormat="1"/>
    <row r="964" customFormat="1"/>
    <row r="965" customFormat="1"/>
    <row r="966" customFormat="1"/>
    <row r="967" customFormat="1"/>
    <row r="968" customFormat="1"/>
    <row r="969" customFormat="1"/>
    <row r="970" customFormat="1"/>
    <row r="971" customFormat="1"/>
    <row r="972" customFormat="1"/>
    <row r="973" customFormat="1"/>
    <row r="974" customFormat="1"/>
    <row r="975" customFormat="1"/>
    <row r="976" customFormat="1"/>
    <row r="977" customFormat="1"/>
    <row r="978" customFormat="1"/>
    <row r="979" customFormat="1"/>
    <row r="980" customFormat="1"/>
    <row r="981" customFormat="1"/>
    <row r="982" customFormat="1"/>
    <row r="983" customFormat="1"/>
    <row r="984" customFormat="1"/>
    <row r="985" customFormat="1"/>
    <row r="986" customFormat="1"/>
    <row r="987" customFormat="1"/>
    <row r="988" customFormat="1"/>
    <row r="989" customFormat="1"/>
    <row r="990" customFormat="1"/>
    <row r="991" customFormat="1"/>
    <row r="992" customFormat="1"/>
    <row r="993" customFormat="1"/>
    <row r="994" customFormat="1"/>
    <row r="995" customFormat="1"/>
    <row r="996" customFormat="1"/>
    <row r="997" customFormat="1"/>
    <row r="998" customFormat="1"/>
    <row r="999" customFormat="1"/>
    <row r="1000" customFormat="1"/>
    <row r="1001" customFormat="1"/>
    <row r="1002" customFormat="1"/>
    <row r="1003" customFormat="1"/>
    <row r="1004" customFormat="1"/>
    <row r="1005" customFormat="1"/>
    <row r="1006" customFormat="1"/>
    <row r="1007" customFormat="1"/>
    <row r="1008" customFormat="1"/>
    <row r="1009" customFormat="1"/>
    <row r="1010" customFormat="1"/>
    <row r="1011" customFormat="1"/>
    <row r="1012" customFormat="1"/>
    <row r="1013" customFormat="1"/>
    <row r="1014" customFormat="1"/>
    <row r="1015" customFormat="1"/>
    <row r="1016" customFormat="1"/>
    <row r="1017" customFormat="1"/>
    <row r="1018" customFormat="1"/>
    <row r="1019" customFormat="1"/>
    <row r="1020" customFormat="1"/>
    <row r="1021" customFormat="1"/>
    <row r="1022" customFormat="1"/>
    <row r="1023" customFormat="1"/>
    <row r="1024" customFormat="1"/>
    <row r="1025" customFormat="1"/>
    <row r="1026" customFormat="1"/>
    <row r="1027" customFormat="1"/>
    <row r="1028" customFormat="1"/>
    <row r="1029" customFormat="1"/>
    <row r="1030" customFormat="1"/>
    <row r="1031" customFormat="1"/>
    <row r="1032" customFormat="1"/>
    <row r="1033" customFormat="1"/>
    <row r="1034" customFormat="1"/>
    <row r="1035" customFormat="1"/>
    <row r="1036" customFormat="1"/>
    <row r="1037" customFormat="1"/>
    <row r="1038" customFormat="1"/>
    <row r="1039" customFormat="1"/>
    <row r="1040" customFormat="1"/>
    <row r="1041" customFormat="1"/>
    <row r="1042" customFormat="1"/>
    <row r="1043" customFormat="1"/>
    <row r="1044" customFormat="1"/>
    <row r="1045" customFormat="1"/>
    <row r="1046" customFormat="1"/>
    <row r="1047" customFormat="1"/>
    <row r="1048" customFormat="1"/>
    <row r="1049" customFormat="1"/>
    <row r="1050" customFormat="1"/>
    <row r="1051" customFormat="1"/>
    <row r="1052" customFormat="1"/>
    <row r="1053" customFormat="1"/>
    <row r="1054" customFormat="1"/>
    <row r="1055" customFormat="1"/>
    <row r="1056" customFormat="1"/>
    <row r="1057" customFormat="1"/>
    <row r="1058" customFormat="1"/>
    <row r="1059" customFormat="1"/>
    <row r="1060" customFormat="1"/>
    <row r="1061" customFormat="1"/>
    <row r="1062" customFormat="1"/>
    <row r="1063" customFormat="1"/>
    <row r="1064" customFormat="1"/>
    <row r="1065" customFormat="1"/>
    <row r="1066" customFormat="1"/>
    <row r="1067" customFormat="1"/>
    <row r="1068" customFormat="1"/>
    <row r="1069" customFormat="1"/>
    <row r="1070" customFormat="1"/>
    <row r="1071" customFormat="1"/>
    <row r="1072" customFormat="1"/>
    <row r="1073" customFormat="1"/>
    <row r="1074" customFormat="1"/>
    <row r="1075" customFormat="1"/>
    <row r="1076" customFormat="1"/>
    <row r="1077" customFormat="1"/>
    <row r="1078" customFormat="1"/>
    <row r="1079" customFormat="1"/>
    <row r="1080" customFormat="1"/>
    <row r="1081" customFormat="1"/>
    <row r="1082" customFormat="1"/>
    <row r="1083" customFormat="1"/>
    <row r="1084" customFormat="1"/>
    <row r="1085" customFormat="1"/>
    <row r="1086" customFormat="1"/>
    <row r="1087" customFormat="1"/>
    <row r="1088" customFormat="1"/>
    <row r="1089" customFormat="1"/>
    <row r="1090" customFormat="1"/>
    <row r="1091" customFormat="1"/>
    <row r="1092" customFormat="1"/>
    <row r="1093" customFormat="1"/>
    <row r="1094" customFormat="1"/>
    <row r="1095" customFormat="1"/>
    <row r="1096" customFormat="1"/>
    <row r="1097" customFormat="1"/>
    <row r="1098" customFormat="1"/>
    <row r="1099" customFormat="1"/>
    <row r="1100" customFormat="1"/>
    <row r="1101" customFormat="1"/>
    <row r="1102" customFormat="1"/>
    <row r="1103" customFormat="1"/>
    <row r="1104" customFormat="1"/>
    <row r="1105" customFormat="1"/>
    <row r="1106" customFormat="1"/>
    <row r="1107" customFormat="1"/>
    <row r="1108" customFormat="1"/>
    <row r="1109" customFormat="1"/>
    <row r="1110" customFormat="1"/>
    <row r="1111" customFormat="1"/>
    <row r="1112" customFormat="1"/>
    <row r="1113" customFormat="1"/>
    <row r="1114" customFormat="1"/>
    <row r="1115" customFormat="1"/>
    <row r="1116" customFormat="1"/>
    <row r="1117" customFormat="1"/>
    <row r="1118" customFormat="1"/>
    <row r="1119" customFormat="1"/>
    <row r="1120" customFormat="1"/>
    <row r="1121" customFormat="1"/>
    <row r="1122" customFormat="1"/>
    <row r="1123" customFormat="1"/>
    <row r="1124" customFormat="1"/>
    <row r="1125" customFormat="1"/>
    <row r="1126" customFormat="1"/>
    <row r="1127" customFormat="1"/>
    <row r="1128" customFormat="1"/>
    <row r="1129" customFormat="1"/>
    <row r="1130" customFormat="1"/>
    <row r="1131" customFormat="1"/>
    <row r="1132" customFormat="1"/>
    <row r="1133" customFormat="1"/>
    <row r="1134" customFormat="1"/>
    <row r="1135" customFormat="1"/>
    <row r="1136" customFormat="1"/>
    <row r="1137" customFormat="1"/>
    <row r="1138" customFormat="1"/>
    <row r="1139" customFormat="1"/>
    <row r="1140" customFormat="1"/>
    <row r="1141" customFormat="1"/>
    <row r="1142" customFormat="1"/>
    <row r="1143" customFormat="1"/>
    <row r="1144" customFormat="1"/>
    <row r="1145" customFormat="1"/>
    <row r="1146" customFormat="1"/>
    <row r="1147" customFormat="1"/>
    <row r="1148" customFormat="1"/>
    <row r="1149" customFormat="1"/>
    <row r="1150" customFormat="1"/>
    <row r="1151" customFormat="1"/>
    <row r="1152" customFormat="1"/>
    <row r="1153" customFormat="1"/>
    <row r="1154" customFormat="1"/>
    <row r="1155" customFormat="1"/>
    <row r="1156" customFormat="1"/>
    <row r="1157" customFormat="1"/>
    <row r="1158" customFormat="1"/>
    <row r="1159" customFormat="1"/>
    <row r="1160" customFormat="1"/>
    <row r="1161" customFormat="1"/>
    <row r="1162" customFormat="1"/>
    <row r="1163" customFormat="1"/>
    <row r="1164" customFormat="1"/>
    <row r="1165" customFormat="1"/>
    <row r="1166" customFormat="1"/>
    <row r="1167" customFormat="1"/>
    <row r="1168" customFormat="1"/>
    <row r="1169" customFormat="1"/>
    <row r="1170" customFormat="1"/>
    <row r="1171" customFormat="1"/>
    <row r="1172" customFormat="1"/>
    <row r="1173" customFormat="1"/>
    <row r="1174" customFormat="1"/>
    <row r="1175" customFormat="1"/>
    <row r="1176" customFormat="1"/>
    <row r="1177" customFormat="1"/>
    <row r="1178" customFormat="1"/>
    <row r="1179" customFormat="1"/>
    <row r="1180" customFormat="1"/>
    <row r="1181" customFormat="1"/>
    <row r="1182" customFormat="1"/>
    <row r="1183" customFormat="1"/>
    <row r="1184" customFormat="1"/>
    <row r="1185" customFormat="1"/>
    <row r="1186" customFormat="1"/>
    <row r="1187" customFormat="1"/>
    <row r="1188" customFormat="1"/>
    <row r="1189" customFormat="1"/>
    <row r="1190" customFormat="1"/>
    <row r="1191" customFormat="1"/>
    <row r="1192" customFormat="1"/>
    <row r="1193" customFormat="1"/>
    <row r="1194" customFormat="1"/>
    <row r="1195" customFormat="1"/>
    <row r="1196" customFormat="1"/>
    <row r="1197" customFormat="1"/>
    <row r="1198" customFormat="1"/>
    <row r="1199" customFormat="1"/>
    <row r="1200" customFormat="1"/>
    <row r="1201" customFormat="1"/>
    <row r="1202" customFormat="1"/>
    <row r="1203" customFormat="1"/>
    <row r="1204" customFormat="1"/>
    <row r="1205" customFormat="1"/>
    <row r="1206" customFormat="1"/>
    <row r="1207" customFormat="1"/>
    <row r="1208" customFormat="1"/>
    <row r="1209" customFormat="1"/>
    <row r="1210" customFormat="1"/>
    <row r="1211" customFormat="1"/>
    <row r="1212" customFormat="1"/>
    <row r="1213" customFormat="1"/>
    <row r="1214" customFormat="1"/>
    <row r="1215" customFormat="1"/>
    <row r="1216" customFormat="1"/>
    <row r="1217" customFormat="1"/>
    <row r="1218" customFormat="1"/>
    <row r="1219" customFormat="1"/>
    <row r="1220" customFormat="1"/>
    <row r="1221" customFormat="1"/>
    <row r="1222" customFormat="1"/>
    <row r="1223" customFormat="1"/>
    <row r="1224" customFormat="1"/>
    <row r="1225" customFormat="1"/>
    <row r="1226" customFormat="1"/>
    <row r="1227" customFormat="1"/>
    <row r="1228" customFormat="1"/>
    <row r="1229" customFormat="1"/>
    <row r="1230" customFormat="1"/>
    <row r="1231" customFormat="1"/>
    <row r="1232" customFormat="1"/>
    <row r="1233" customFormat="1"/>
    <row r="1234" customFormat="1"/>
    <row r="1235" customFormat="1"/>
    <row r="1236" customFormat="1"/>
    <row r="1237" customFormat="1"/>
    <row r="1238" customFormat="1"/>
    <row r="1239" customFormat="1"/>
    <row r="1240" customFormat="1"/>
    <row r="1241" customFormat="1"/>
    <row r="1242" customFormat="1"/>
    <row r="1243" customFormat="1"/>
    <row r="1244" customFormat="1"/>
    <row r="1245" customFormat="1"/>
    <row r="1246" customFormat="1"/>
    <row r="1247" customFormat="1"/>
    <row r="1248" customFormat="1"/>
    <row r="1249" customFormat="1"/>
    <row r="1250" customFormat="1"/>
    <row r="1251" customFormat="1"/>
    <row r="1252" customFormat="1"/>
    <row r="1253" customFormat="1"/>
    <row r="1254" customFormat="1"/>
    <row r="1255" customFormat="1"/>
    <row r="1256" customFormat="1"/>
    <row r="1257" customFormat="1"/>
    <row r="1258" customFormat="1"/>
    <row r="1259" customFormat="1"/>
    <row r="1260" customFormat="1"/>
    <row r="1261" customFormat="1"/>
    <row r="1262" customFormat="1"/>
    <row r="1263" customFormat="1"/>
    <row r="1264" customFormat="1"/>
    <row r="1265" customFormat="1"/>
    <row r="1266" customFormat="1"/>
    <row r="1267" customFormat="1"/>
    <row r="1268" customFormat="1"/>
    <row r="1269" customFormat="1"/>
    <row r="1270" customFormat="1"/>
    <row r="1271" customFormat="1"/>
    <row r="1272" customFormat="1"/>
    <row r="1273" customFormat="1"/>
    <row r="1274" customFormat="1"/>
    <row r="1275" customFormat="1"/>
    <row r="1276" customFormat="1"/>
    <row r="1277" customFormat="1"/>
    <row r="1278" customFormat="1"/>
    <row r="1279" customFormat="1"/>
    <row r="1280" customFormat="1"/>
    <row r="1281" customFormat="1"/>
    <row r="1282" customFormat="1"/>
    <row r="1283" customFormat="1"/>
    <row r="1284" customFormat="1"/>
    <row r="1285" customFormat="1"/>
    <row r="1286" customFormat="1"/>
    <row r="1287" customFormat="1"/>
    <row r="1288" customFormat="1"/>
    <row r="1289" customFormat="1"/>
    <row r="1290" customFormat="1"/>
    <row r="1291" customFormat="1"/>
    <row r="1292" customFormat="1"/>
    <row r="1293" customFormat="1"/>
    <row r="1294" customFormat="1"/>
    <row r="1295" customFormat="1"/>
    <row r="1296" customFormat="1"/>
    <row r="1297" customFormat="1"/>
    <row r="1298" customFormat="1"/>
    <row r="1299" customFormat="1"/>
    <row r="1300" customFormat="1"/>
    <row r="1301" customFormat="1"/>
    <row r="1302" customFormat="1"/>
    <row r="1303" customFormat="1"/>
    <row r="1304" customFormat="1"/>
    <row r="1305" customFormat="1"/>
    <row r="1306" customFormat="1"/>
    <row r="1307" customFormat="1"/>
    <row r="1308" customFormat="1"/>
    <row r="1309" customFormat="1"/>
    <row r="1310" customFormat="1"/>
    <row r="1311" customFormat="1"/>
    <row r="1312" customFormat="1"/>
    <row r="1313" customFormat="1"/>
    <row r="1314" customFormat="1"/>
    <row r="1315" customFormat="1"/>
    <row r="1316" customFormat="1"/>
    <row r="1317" customFormat="1"/>
    <row r="1318" customFormat="1"/>
    <row r="1319" customFormat="1"/>
    <row r="1320" customFormat="1"/>
    <row r="1321" customFormat="1"/>
    <row r="1322" customFormat="1"/>
    <row r="1323" customFormat="1"/>
    <row r="1324" customFormat="1"/>
    <row r="1325" customFormat="1"/>
    <row r="1326" customFormat="1"/>
    <row r="1327" customFormat="1"/>
    <row r="1328" customFormat="1"/>
    <row r="1329" customFormat="1"/>
    <row r="1330" customFormat="1"/>
    <row r="1331" customFormat="1"/>
    <row r="1332" customFormat="1"/>
    <row r="1333" customFormat="1"/>
    <row r="1334" customFormat="1"/>
    <row r="1335" customFormat="1"/>
    <row r="1336" customFormat="1"/>
    <row r="1337" customFormat="1"/>
    <row r="1338" customFormat="1"/>
    <row r="1339" customFormat="1"/>
    <row r="1340" customFormat="1"/>
    <row r="1341" customFormat="1"/>
    <row r="1342" customFormat="1"/>
    <row r="1343" customFormat="1"/>
    <row r="1344" customFormat="1"/>
    <row r="1345" customFormat="1"/>
    <row r="1346" customFormat="1"/>
    <row r="1347" customFormat="1"/>
    <row r="1348" customFormat="1"/>
    <row r="1349" customFormat="1"/>
    <row r="1350" customFormat="1"/>
    <row r="1351" customFormat="1"/>
    <row r="1352" customFormat="1"/>
    <row r="1353" customFormat="1"/>
    <row r="1354" customFormat="1"/>
    <row r="1355" customFormat="1"/>
    <row r="1356" customFormat="1"/>
    <row r="1357" customFormat="1"/>
    <row r="1358" customFormat="1"/>
    <row r="1359" customFormat="1"/>
    <row r="1360" customFormat="1"/>
    <row r="1361" customFormat="1"/>
    <row r="1362" customFormat="1"/>
    <row r="1363" customFormat="1"/>
    <row r="1364" customFormat="1"/>
    <row r="1365" customFormat="1"/>
    <row r="1366" customFormat="1"/>
    <row r="1367" customFormat="1"/>
    <row r="1368" customFormat="1"/>
    <row r="1369" customFormat="1"/>
    <row r="1370" customFormat="1"/>
    <row r="1371" customFormat="1"/>
    <row r="1372" customFormat="1"/>
    <row r="1373" customFormat="1"/>
    <row r="1374" customFormat="1"/>
    <row r="1375" customFormat="1"/>
    <row r="1376" customFormat="1"/>
    <row r="1377" customFormat="1"/>
    <row r="1378" customFormat="1"/>
    <row r="1379" customFormat="1"/>
    <row r="1380" customFormat="1"/>
    <row r="1381" customFormat="1"/>
    <row r="1382" customFormat="1"/>
    <row r="1383" customFormat="1"/>
    <row r="1384" customFormat="1"/>
    <row r="1385" customFormat="1"/>
    <row r="1386" customFormat="1"/>
    <row r="1387" customFormat="1"/>
    <row r="1388" customFormat="1"/>
    <row r="1389" customFormat="1"/>
    <row r="1390" customFormat="1"/>
    <row r="1391" customFormat="1"/>
    <row r="1392" customFormat="1"/>
    <row r="1393" customFormat="1"/>
    <row r="1394" customFormat="1"/>
    <row r="1395" customFormat="1"/>
    <row r="1396" customFormat="1"/>
    <row r="1397" customFormat="1"/>
    <row r="1398" customFormat="1"/>
    <row r="1399" customFormat="1"/>
    <row r="1400" customFormat="1"/>
    <row r="1401" customFormat="1"/>
    <row r="1402" customFormat="1"/>
    <row r="1403" customFormat="1"/>
    <row r="1404" customFormat="1"/>
    <row r="1405" customFormat="1"/>
    <row r="1406" customFormat="1"/>
    <row r="1407" customFormat="1"/>
    <row r="1408" customFormat="1"/>
    <row r="1409" customFormat="1"/>
    <row r="1410" customFormat="1"/>
    <row r="1411" customFormat="1"/>
    <row r="1412" customFormat="1"/>
    <row r="1413" customFormat="1"/>
    <row r="1414" customFormat="1"/>
    <row r="1415" customFormat="1"/>
    <row r="1416" customFormat="1"/>
    <row r="1417" customFormat="1"/>
    <row r="1418" customFormat="1"/>
    <row r="1419" customFormat="1"/>
    <row r="1420" customFormat="1"/>
    <row r="1421" customFormat="1"/>
    <row r="1422" customFormat="1"/>
    <row r="1423" customFormat="1"/>
    <row r="1424" customFormat="1"/>
    <row r="1425" customFormat="1"/>
    <row r="1426" customFormat="1"/>
    <row r="1427" customFormat="1"/>
    <row r="1428" customFormat="1"/>
    <row r="1429" customFormat="1"/>
    <row r="1430" customFormat="1"/>
    <row r="1431" customFormat="1"/>
    <row r="1432" customFormat="1"/>
    <row r="1433" customFormat="1"/>
    <row r="1434" customFormat="1"/>
    <row r="1435" customFormat="1"/>
    <row r="1436" customFormat="1"/>
    <row r="1437" customFormat="1"/>
    <row r="1438" customFormat="1"/>
    <row r="1439" customFormat="1"/>
    <row r="1440" customFormat="1"/>
    <row r="1441" customFormat="1"/>
    <row r="1442" customFormat="1"/>
    <row r="1443" customFormat="1"/>
    <row r="1444" customFormat="1"/>
    <row r="1445" customFormat="1"/>
    <row r="1446" customFormat="1"/>
    <row r="1447" customFormat="1"/>
    <row r="1448" customFormat="1"/>
    <row r="1449" customFormat="1"/>
    <row r="1450" customFormat="1"/>
    <row r="1451" customFormat="1"/>
    <row r="1452" customFormat="1"/>
    <row r="1453" customFormat="1"/>
    <row r="1454" customFormat="1"/>
    <row r="1455" customFormat="1"/>
    <row r="1456" customFormat="1"/>
    <row r="1457" customFormat="1"/>
    <row r="1458" customFormat="1"/>
    <row r="1459" customFormat="1"/>
    <row r="1460" customFormat="1"/>
    <row r="1461" customFormat="1"/>
    <row r="1462" customFormat="1"/>
    <row r="1463" customFormat="1"/>
    <row r="1464" customFormat="1"/>
    <row r="1465" customFormat="1"/>
    <row r="1466" customFormat="1"/>
    <row r="1467" customFormat="1"/>
    <row r="1468" customFormat="1"/>
    <row r="1469" customFormat="1"/>
    <row r="1470" customFormat="1"/>
    <row r="1471" customFormat="1"/>
    <row r="1472" customFormat="1"/>
    <row r="1473" customFormat="1"/>
    <row r="1474" customFormat="1"/>
    <row r="1475" customFormat="1"/>
    <row r="1476" customFormat="1"/>
    <row r="1477" customFormat="1"/>
    <row r="1478" customFormat="1"/>
    <row r="1479" customFormat="1"/>
    <row r="1480" customFormat="1"/>
    <row r="1481" customFormat="1"/>
    <row r="1482" customFormat="1"/>
    <row r="1483" customFormat="1"/>
    <row r="1484" customFormat="1"/>
    <row r="1485" customFormat="1"/>
    <row r="1486" customFormat="1"/>
    <row r="1487" customFormat="1"/>
    <row r="1488" customFormat="1"/>
    <row r="1489" customFormat="1"/>
    <row r="1490" customFormat="1"/>
    <row r="1491" customFormat="1"/>
    <row r="1492" customFormat="1"/>
    <row r="1493" customFormat="1"/>
    <row r="1494" customFormat="1"/>
    <row r="1495" customFormat="1"/>
    <row r="1496" customFormat="1"/>
    <row r="1497" customFormat="1"/>
    <row r="1498" customFormat="1"/>
    <row r="1499" customFormat="1"/>
    <row r="1500" customFormat="1"/>
    <row r="1501" customFormat="1"/>
    <row r="1502" customFormat="1"/>
    <row r="1503" customFormat="1"/>
    <row r="1504" customFormat="1"/>
    <row r="1505" customFormat="1"/>
    <row r="1506" customFormat="1"/>
    <row r="1507" customFormat="1"/>
    <row r="1508" customFormat="1"/>
    <row r="1509" customFormat="1"/>
    <row r="1510" customFormat="1"/>
    <row r="1511" customFormat="1"/>
    <row r="1512" customFormat="1"/>
    <row r="1513" customFormat="1"/>
    <row r="1514" customFormat="1"/>
    <row r="1515" customFormat="1"/>
    <row r="1516" customFormat="1"/>
    <row r="1517" customFormat="1"/>
    <row r="1518" customFormat="1"/>
    <row r="1519" customFormat="1"/>
    <row r="1520" customFormat="1"/>
    <row r="1521" customFormat="1"/>
    <row r="1522" customFormat="1"/>
    <row r="1523" customFormat="1"/>
    <row r="1524" customFormat="1"/>
    <row r="1525" customFormat="1"/>
    <row r="1526" customFormat="1"/>
    <row r="1527" customFormat="1"/>
    <row r="1528" customFormat="1"/>
    <row r="1529" customFormat="1"/>
    <row r="1530" customFormat="1"/>
    <row r="1531" customFormat="1"/>
    <row r="1532" customFormat="1"/>
    <row r="1533" customFormat="1"/>
    <row r="1534" customFormat="1"/>
    <row r="1535" customFormat="1"/>
    <row r="1536" customFormat="1"/>
    <row r="1537" customFormat="1"/>
    <row r="1538" customFormat="1"/>
    <row r="1539" customFormat="1"/>
    <row r="1540" customFormat="1"/>
    <row r="1541" customFormat="1"/>
    <row r="1542" customFormat="1"/>
    <row r="1543" customFormat="1"/>
    <row r="1544" customFormat="1"/>
    <row r="1545" customFormat="1"/>
    <row r="1546" customFormat="1"/>
    <row r="1547" customFormat="1"/>
    <row r="1548" customFormat="1"/>
    <row r="1549" customFormat="1"/>
    <row r="1550" customFormat="1"/>
    <row r="1551" customFormat="1"/>
    <row r="1552" customFormat="1"/>
    <row r="1553" customFormat="1"/>
    <row r="1554" customFormat="1"/>
    <row r="1555" customFormat="1"/>
    <row r="1556" customFormat="1"/>
    <row r="1557" customFormat="1"/>
    <row r="1558" customFormat="1"/>
    <row r="1559" customFormat="1"/>
    <row r="1560" customFormat="1"/>
    <row r="1561" customFormat="1"/>
    <row r="1562" customFormat="1"/>
    <row r="1563" customFormat="1"/>
    <row r="1564" customFormat="1"/>
    <row r="1565" customFormat="1"/>
    <row r="1566" customFormat="1"/>
    <row r="1567" customFormat="1"/>
    <row r="1568" customFormat="1"/>
    <row r="1569" customFormat="1"/>
    <row r="1570" customFormat="1"/>
    <row r="1571" customFormat="1"/>
    <row r="1572" customFormat="1"/>
    <row r="1573" customFormat="1"/>
    <row r="1574" customFormat="1"/>
    <row r="1575" customFormat="1"/>
    <row r="1576" customFormat="1"/>
    <row r="1577" customFormat="1"/>
    <row r="1578" customFormat="1"/>
    <row r="1579" customFormat="1"/>
    <row r="1580" customFormat="1"/>
    <row r="1581" customFormat="1"/>
    <row r="1582" customFormat="1"/>
    <row r="1583" customFormat="1"/>
    <row r="1584" customFormat="1"/>
    <row r="1585" customFormat="1"/>
    <row r="1586" customFormat="1"/>
    <row r="1587" customFormat="1"/>
    <row r="1588" customFormat="1"/>
    <row r="1589" customFormat="1"/>
    <row r="1590" customFormat="1"/>
    <row r="1591" customFormat="1"/>
    <row r="1592" customFormat="1"/>
    <row r="1593" customFormat="1"/>
    <row r="1594" customFormat="1"/>
    <row r="1595" customFormat="1"/>
    <row r="1596" customFormat="1"/>
    <row r="1597" customFormat="1"/>
    <row r="1598" customFormat="1"/>
    <row r="1599" customFormat="1"/>
    <row r="1600" customFormat="1"/>
    <row r="1601" customFormat="1"/>
    <row r="1602" customFormat="1"/>
    <row r="1603" customFormat="1"/>
    <row r="1604" customFormat="1"/>
    <row r="1605" customFormat="1"/>
    <row r="1606" customFormat="1"/>
    <row r="1607" customFormat="1"/>
    <row r="1608" customFormat="1"/>
    <row r="1609" customFormat="1"/>
    <row r="1610" customFormat="1"/>
    <row r="1611" customFormat="1"/>
    <row r="1612" customFormat="1"/>
    <row r="1613" customFormat="1"/>
    <row r="1614" customFormat="1"/>
    <row r="1615" customFormat="1"/>
    <row r="1616" customFormat="1"/>
    <row r="1617" customFormat="1"/>
    <row r="1618" customFormat="1"/>
    <row r="1619" customFormat="1"/>
    <row r="1620" customFormat="1"/>
    <row r="1621" customFormat="1"/>
    <row r="1622" customFormat="1"/>
    <row r="1623" customFormat="1"/>
    <row r="1624" customFormat="1"/>
    <row r="1625" customFormat="1"/>
    <row r="1626" customFormat="1"/>
    <row r="1627" customFormat="1"/>
    <row r="1628" customFormat="1"/>
    <row r="1629" customFormat="1"/>
    <row r="1630" customFormat="1"/>
    <row r="1631" customFormat="1"/>
    <row r="1632" customFormat="1"/>
    <row r="1633" customFormat="1"/>
    <row r="1634" customFormat="1"/>
    <row r="1635" customFormat="1"/>
    <row r="1636" customFormat="1"/>
    <row r="1637" customFormat="1"/>
    <row r="1638" customFormat="1"/>
    <row r="1639" customFormat="1"/>
    <row r="1640" customFormat="1"/>
    <row r="1641" customFormat="1"/>
    <row r="1642" customFormat="1"/>
    <row r="1643" customFormat="1"/>
    <row r="1644" customFormat="1"/>
    <row r="1645" customFormat="1"/>
    <row r="1646" customFormat="1"/>
    <row r="1647" customFormat="1"/>
    <row r="1648" customFormat="1"/>
    <row r="1649" customFormat="1"/>
    <row r="1650" customFormat="1"/>
    <row r="1651" customFormat="1"/>
    <row r="1652" customFormat="1"/>
    <row r="1653" customFormat="1"/>
    <row r="1654" customFormat="1"/>
    <row r="1655" customFormat="1"/>
    <row r="1656" customFormat="1"/>
    <row r="1657" customFormat="1"/>
    <row r="1658" customFormat="1"/>
    <row r="1659" customFormat="1"/>
    <row r="1660" customFormat="1"/>
    <row r="1661" customFormat="1"/>
    <row r="1662" customFormat="1"/>
    <row r="1663" customFormat="1"/>
    <row r="1664" customFormat="1"/>
    <row r="1665" customFormat="1"/>
    <row r="1666" customFormat="1"/>
    <row r="1667" customFormat="1"/>
    <row r="1668" customFormat="1"/>
    <row r="1669" customFormat="1"/>
    <row r="1670" customFormat="1"/>
    <row r="1671" customFormat="1"/>
    <row r="1672" customFormat="1"/>
    <row r="1673" customFormat="1"/>
    <row r="1674" customFormat="1"/>
    <row r="1675" customFormat="1"/>
    <row r="1676" customFormat="1"/>
    <row r="1677" customFormat="1"/>
    <row r="1678" customFormat="1"/>
    <row r="1679" customFormat="1"/>
    <row r="1680" customFormat="1"/>
    <row r="1681" customFormat="1"/>
    <row r="1682" customFormat="1"/>
    <row r="1683" customFormat="1"/>
    <row r="1684" customFormat="1"/>
    <row r="1685" customFormat="1"/>
    <row r="1686" customFormat="1"/>
    <row r="1687" customFormat="1"/>
    <row r="1688" customFormat="1"/>
    <row r="1689" customFormat="1"/>
    <row r="1690" customFormat="1"/>
    <row r="1691" customFormat="1"/>
    <row r="1692" customFormat="1"/>
    <row r="1693" customFormat="1"/>
    <row r="1694" customFormat="1"/>
    <row r="1695" customFormat="1"/>
    <row r="1696" customFormat="1"/>
    <row r="1697" customFormat="1"/>
    <row r="1698" customFormat="1"/>
    <row r="1699" customFormat="1"/>
    <row r="1700" customFormat="1"/>
    <row r="1701" customFormat="1"/>
    <row r="1702" customFormat="1"/>
    <row r="1703" customFormat="1"/>
    <row r="1704" customFormat="1"/>
    <row r="1705" customFormat="1"/>
    <row r="1706" customFormat="1"/>
    <row r="1707" customFormat="1"/>
    <row r="1708" customFormat="1"/>
    <row r="1709" customFormat="1"/>
    <row r="1710" customFormat="1"/>
    <row r="1711" customFormat="1"/>
    <row r="1712" customFormat="1"/>
    <row r="1713" customFormat="1"/>
    <row r="1714" customFormat="1"/>
    <row r="1715" customFormat="1"/>
    <row r="1716" customFormat="1"/>
    <row r="1717" customFormat="1"/>
    <row r="1718" customFormat="1"/>
    <row r="1719" customFormat="1"/>
    <row r="1720" customFormat="1"/>
    <row r="1721" customFormat="1"/>
    <row r="1722" customFormat="1"/>
    <row r="1723" customFormat="1"/>
    <row r="1724" customFormat="1"/>
    <row r="1725" customFormat="1"/>
    <row r="1726" customFormat="1"/>
    <row r="1727" customFormat="1"/>
    <row r="1728" customFormat="1"/>
    <row r="1729" customFormat="1"/>
    <row r="1730" customFormat="1"/>
    <row r="1731" customFormat="1"/>
    <row r="1732" customFormat="1"/>
    <row r="1733" customFormat="1"/>
    <row r="1734" customFormat="1"/>
    <row r="1735" customFormat="1"/>
    <row r="1736" customFormat="1"/>
    <row r="1737" customFormat="1"/>
    <row r="1738" customFormat="1"/>
    <row r="1739" customFormat="1"/>
    <row r="1740" customFormat="1"/>
    <row r="1741" customFormat="1"/>
    <row r="1742" customFormat="1"/>
    <row r="1743" customFormat="1"/>
    <row r="1744" customFormat="1"/>
    <row r="1745" customFormat="1"/>
    <row r="1746" customFormat="1"/>
    <row r="1747" customFormat="1"/>
    <row r="1748" customFormat="1"/>
    <row r="1749" customFormat="1"/>
    <row r="1750" customFormat="1"/>
    <row r="1751" customFormat="1"/>
    <row r="1752" customFormat="1"/>
    <row r="1753" customFormat="1"/>
    <row r="1754" customFormat="1"/>
    <row r="1755" customFormat="1"/>
    <row r="1756" customFormat="1"/>
    <row r="1757" customFormat="1"/>
    <row r="1758" customFormat="1"/>
    <row r="1759" customFormat="1"/>
    <row r="1760" customFormat="1"/>
    <row r="1761" customFormat="1"/>
    <row r="1762" customFormat="1"/>
    <row r="1763" customFormat="1"/>
    <row r="1764" customFormat="1"/>
    <row r="1765" customFormat="1"/>
    <row r="1766" customFormat="1"/>
    <row r="1767" customFormat="1"/>
    <row r="1768" customFormat="1"/>
    <row r="1769" customFormat="1"/>
    <row r="1770" customFormat="1"/>
    <row r="1771" customFormat="1"/>
    <row r="1772" customFormat="1"/>
    <row r="1773" customFormat="1"/>
    <row r="1774" customFormat="1"/>
    <row r="1775" customFormat="1"/>
    <row r="1776" customFormat="1"/>
    <row r="1777" customFormat="1"/>
    <row r="1778" customFormat="1"/>
    <row r="1779" customFormat="1"/>
    <row r="1780" customFormat="1"/>
    <row r="1781" customFormat="1"/>
    <row r="1782" customFormat="1"/>
    <row r="1783" customFormat="1"/>
    <row r="1784" customFormat="1"/>
    <row r="1785" customFormat="1"/>
    <row r="1786" customFormat="1"/>
    <row r="1787" customFormat="1"/>
    <row r="1788" customFormat="1"/>
    <row r="1789" customFormat="1"/>
    <row r="1790" customFormat="1"/>
    <row r="1791" customFormat="1"/>
    <row r="1792" customFormat="1"/>
    <row r="1793" customFormat="1"/>
    <row r="1794" customFormat="1"/>
    <row r="1795" customFormat="1"/>
    <row r="1796" customFormat="1"/>
    <row r="1797" customFormat="1"/>
    <row r="1798" customFormat="1"/>
    <row r="1799" customFormat="1"/>
    <row r="1800" customFormat="1"/>
    <row r="1801" customFormat="1"/>
    <row r="1802" customFormat="1"/>
    <row r="1803" customFormat="1"/>
    <row r="1804" customFormat="1"/>
    <row r="1805" customFormat="1"/>
    <row r="1806" customFormat="1"/>
    <row r="1807" customFormat="1"/>
    <row r="1808" customFormat="1"/>
    <row r="1809" customFormat="1"/>
    <row r="1810" customFormat="1"/>
    <row r="1811" customFormat="1"/>
    <row r="1812" customFormat="1"/>
    <row r="1813" customFormat="1"/>
    <row r="1814" customFormat="1"/>
    <row r="1815" customFormat="1"/>
    <row r="1816" customFormat="1"/>
    <row r="1817" customFormat="1"/>
    <row r="1818" customFormat="1"/>
    <row r="1819" customFormat="1"/>
    <row r="1820" customFormat="1"/>
    <row r="1821" customFormat="1"/>
    <row r="1822" customFormat="1"/>
    <row r="1823" customFormat="1"/>
    <row r="1824" customFormat="1"/>
    <row r="1825" customFormat="1"/>
    <row r="1826" customFormat="1"/>
    <row r="1827" customFormat="1"/>
    <row r="1828" customFormat="1"/>
    <row r="1829" customFormat="1"/>
    <row r="1830" customFormat="1"/>
    <row r="1831" customFormat="1"/>
    <row r="1832" customFormat="1"/>
    <row r="1833" customFormat="1"/>
    <row r="1834" customFormat="1"/>
    <row r="1835" customFormat="1"/>
    <row r="1836" customFormat="1"/>
    <row r="1837" customFormat="1"/>
    <row r="1838" customFormat="1"/>
    <row r="1839" customFormat="1"/>
    <row r="1840" customFormat="1"/>
    <row r="1841" customFormat="1"/>
    <row r="1842" customFormat="1"/>
    <row r="1843" customFormat="1"/>
    <row r="1844" customFormat="1"/>
    <row r="1845" customFormat="1"/>
    <row r="1846" customFormat="1"/>
    <row r="1847" customFormat="1"/>
    <row r="1848" customFormat="1"/>
    <row r="1849" customFormat="1"/>
    <row r="1850" customFormat="1"/>
    <row r="1851" customFormat="1"/>
    <row r="1852" customFormat="1"/>
    <row r="1853" customFormat="1"/>
    <row r="1854" customFormat="1"/>
    <row r="1855" customFormat="1"/>
    <row r="1856" customFormat="1"/>
    <row r="1857" customFormat="1"/>
    <row r="1858" customFormat="1"/>
    <row r="1859" customFormat="1"/>
    <row r="1860" customFormat="1"/>
    <row r="1861" customFormat="1"/>
    <row r="1862" customFormat="1"/>
    <row r="1863" customFormat="1"/>
    <row r="1864" customFormat="1"/>
    <row r="1865" customFormat="1"/>
    <row r="1866" customFormat="1"/>
    <row r="1867" customFormat="1"/>
    <row r="1868" customFormat="1"/>
    <row r="1869" customFormat="1"/>
    <row r="1870" customFormat="1"/>
    <row r="1871" customFormat="1"/>
    <row r="1872" customFormat="1"/>
    <row r="1873" customFormat="1"/>
    <row r="1874" customFormat="1"/>
    <row r="1875" customFormat="1"/>
    <row r="1876" customFormat="1"/>
    <row r="1877" customFormat="1"/>
    <row r="1878" customFormat="1"/>
    <row r="1879" customFormat="1"/>
    <row r="1880" customFormat="1"/>
    <row r="1881" customFormat="1"/>
    <row r="1882" customFormat="1"/>
    <row r="1883" customFormat="1"/>
    <row r="1884" customFormat="1"/>
    <row r="1885" customFormat="1"/>
    <row r="1886" customFormat="1"/>
    <row r="1887" customFormat="1"/>
    <row r="1888" customFormat="1"/>
    <row r="1889" customFormat="1"/>
    <row r="1890" customFormat="1"/>
    <row r="1891" customFormat="1"/>
    <row r="1892" customFormat="1"/>
    <row r="1893" customFormat="1"/>
    <row r="1894" customFormat="1"/>
    <row r="1895" customFormat="1"/>
    <row r="1896" customFormat="1"/>
    <row r="1897" customFormat="1"/>
    <row r="1898" customFormat="1"/>
    <row r="1899" customFormat="1"/>
    <row r="1900" customFormat="1"/>
    <row r="1901" customFormat="1"/>
    <row r="1902" customFormat="1"/>
    <row r="1903" customFormat="1"/>
    <row r="1904" customFormat="1"/>
    <row r="1905" customFormat="1"/>
    <row r="1906" customFormat="1"/>
    <row r="1907" customFormat="1"/>
    <row r="1908" customFormat="1"/>
    <row r="1909" customFormat="1"/>
    <row r="1910" customFormat="1"/>
    <row r="1911" customFormat="1"/>
    <row r="1912" customFormat="1"/>
    <row r="1913" customFormat="1"/>
    <row r="1914" customFormat="1"/>
    <row r="1915" customFormat="1"/>
    <row r="1916" customFormat="1"/>
    <row r="1917" customFormat="1"/>
    <row r="1918" customFormat="1"/>
    <row r="1919" customFormat="1"/>
    <row r="1920" customFormat="1"/>
    <row r="1921" customFormat="1"/>
    <row r="1922" customFormat="1"/>
    <row r="1923" customFormat="1"/>
    <row r="1924" customFormat="1"/>
    <row r="1925" customFormat="1"/>
    <row r="1926" customFormat="1"/>
    <row r="1927" customFormat="1"/>
    <row r="1928" customFormat="1"/>
    <row r="1929" customFormat="1"/>
    <row r="1930" customFormat="1"/>
    <row r="1931" customFormat="1"/>
    <row r="1932" customFormat="1"/>
    <row r="1933" customFormat="1"/>
    <row r="1934" customFormat="1"/>
    <row r="1935" customFormat="1"/>
    <row r="1936" customFormat="1"/>
    <row r="1937" customFormat="1"/>
    <row r="1938" customFormat="1"/>
    <row r="1939" customFormat="1"/>
    <row r="1940" customFormat="1"/>
    <row r="1941" customFormat="1"/>
    <row r="1942" customFormat="1"/>
    <row r="1943" customFormat="1"/>
    <row r="1944" customFormat="1"/>
    <row r="1945" customFormat="1"/>
    <row r="1946" customFormat="1"/>
    <row r="1947" customFormat="1"/>
    <row r="1948" customFormat="1"/>
    <row r="1949" customFormat="1"/>
    <row r="1950" customFormat="1"/>
    <row r="1951" customFormat="1"/>
    <row r="1952" customFormat="1"/>
    <row r="1953" customFormat="1"/>
    <row r="1954" customFormat="1"/>
    <row r="1955" customFormat="1"/>
    <row r="1956" customFormat="1"/>
    <row r="1957" customFormat="1"/>
    <row r="1958" customFormat="1"/>
    <row r="1959" customFormat="1"/>
    <row r="1960" customFormat="1"/>
    <row r="1961" customFormat="1"/>
    <row r="1962" customFormat="1"/>
    <row r="1963" customFormat="1"/>
    <row r="1964" customFormat="1"/>
    <row r="1965" customFormat="1"/>
    <row r="1966" customFormat="1"/>
    <row r="1967" customFormat="1"/>
    <row r="1968" customFormat="1"/>
    <row r="1969" customFormat="1"/>
    <row r="1970" customFormat="1"/>
    <row r="1971" customFormat="1"/>
    <row r="1972" customFormat="1"/>
    <row r="1973" customFormat="1"/>
    <row r="1974" customFormat="1"/>
    <row r="1975" customFormat="1"/>
    <row r="1976" customFormat="1"/>
    <row r="1977" customFormat="1"/>
    <row r="1978" customFormat="1"/>
    <row r="1979" customFormat="1"/>
    <row r="1980" customFormat="1"/>
    <row r="1981" customFormat="1"/>
    <row r="1982" customFormat="1"/>
    <row r="1983" customFormat="1"/>
    <row r="1984" customFormat="1"/>
    <row r="1985" customFormat="1"/>
    <row r="1986" customFormat="1"/>
    <row r="1987" customFormat="1"/>
    <row r="1988" customFormat="1"/>
    <row r="1989" customFormat="1"/>
    <row r="1990" customFormat="1"/>
    <row r="1991" customFormat="1"/>
    <row r="1992" customFormat="1"/>
    <row r="1993" customFormat="1"/>
    <row r="1994" customFormat="1"/>
    <row r="1995" customFormat="1"/>
    <row r="1996" customFormat="1"/>
    <row r="1997" customFormat="1"/>
    <row r="1998" customFormat="1"/>
    <row r="1999" customFormat="1"/>
    <row r="2000" customFormat="1"/>
    <row r="2001" customFormat="1"/>
    <row r="2002" customFormat="1"/>
    <row r="2003" customFormat="1"/>
    <row r="2004" customFormat="1"/>
    <row r="2005" customFormat="1"/>
    <row r="2006" customFormat="1"/>
    <row r="2007" customFormat="1"/>
    <row r="2008" customFormat="1"/>
    <row r="2009" customFormat="1"/>
    <row r="2010" customFormat="1"/>
    <row r="2011" customFormat="1"/>
    <row r="2012" customFormat="1"/>
    <row r="2013" customFormat="1"/>
    <row r="2014" customFormat="1"/>
    <row r="2015" customFormat="1"/>
  </sheetData>
  <mergeCells count="1">
    <mergeCell ref="A1:F1"/>
  </mergeCells>
  <phoneticPr fontId="60" type="noConversion"/>
  <pageMargins left="0.75" right="0.75" top="1" bottom="1" header="0.5" footer="0.5"/>
  <headerFooter alignWithMargins="0"/>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7" enableFormatConditionsCalculation="0">
    <tabColor indexed="43"/>
    <pageSetUpPr fitToPage="1"/>
  </sheetPr>
  <dimension ref="A2:ET126"/>
  <sheetViews>
    <sheetView showGridLines="0" zoomScaleNormal="100" workbookViewId="0">
      <pane xSplit="6" ySplit="17" topLeftCell="AI18" activePane="bottomRight" state="frozen"/>
      <selection pane="topRight" activeCell="G1" sqref="G1"/>
      <selection pane="bottomLeft" activeCell="A18" sqref="A18"/>
      <selection pane="bottomRight" activeCell="DM81" sqref="DM81"/>
    </sheetView>
  </sheetViews>
  <sheetFormatPr defaultRowHeight="12.75"/>
  <cols>
    <col min="1" max="1" width="4.140625" style="1456" customWidth="1"/>
    <col min="2" max="2" width="4.140625" hidden="1" customWidth="1"/>
    <col min="3" max="3" width="4.140625" style="546" customWidth="1"/>
    <col min="4" max="4" width="4.140625" customWidth="1"/>
    <col min="5" max="5" width="38.85546875" customWidth="1"/>
    <col min="6" max="6" width="13.140625" style="546" customWidth="1"/>
    <col min="7" max="9" width="9.140625" customWidth="1"/>
    <col min="10" max="10" width="10" customWidth="1"/>
    <col min="11" max="11" width="9.140625" customWidth="1"/>
    <col min="12" max="12" width="10.42578125" style="1287" customWidth="1"/>
    <col min="13" max="13" width="10.42578125" customWidth="1"/>
    <col min="14" max="14" width="9.140625" style="1287" customWidth="1"/>
    <col min="15" max="15" width="10" customWidth="1"/>
    <col min="16" max="16" width="9.140625" customWidth="1"/>
    <col min="17" max="17" width="10.42578125" style="1287" customWidth="1"/>
    <col min="18" max="18" width="9.140625" customWidth="1"/>
    <col min="19" max="19" width="9.140625" style="1287" customWidth="1"/>
    <col min="20" max="21" width="9.140625" customWidth="1"/>
    <col min="22" max="22" width="10.42578125" style="1287" customWidth="1"/>
    <col min="23" max="23" width="9.140625" customWidth="1"/>
    <col min="24" max="24" width="9.140625" style="1287" customWidth="1"/>
    <col min="25" max="26" width="9.140625" customWidth="1"/>
    <col min="27" max="27" width="10.42578125" style="1287" customWidth="1"/>
    <col min="28" max="28" width="9.140625" customWidth="1"/>
    <col min="29" max="29" width="9.140625" style="1287" customWidth="1"/>
    <col min="30" max="31" width="9.140625" customWidth="1"/>
    <col min="32" max="32" width="10.42578125" style="1287" customWidth="1"/>
    <col min="33" max="33" width="9.140625" customWidth="1"/>
    <col min="34" max="34" width="9.140625" style="1287" customWidth="1"/>
    <col min="35" max="36" width="9.140625" customWidth="1"/>
    <col min="37" max="37" width="10.42578125" style="1287" customWidth="1"/>
    <col min="38" max="38" width="9.140625" customWidth="1"/>
    <col min="39" max="39" width="9.140625" style="1287" customWidth="1"/>
    <col min="40" max="41" width="9.140625" customWidth="1"/>
    <col min="42" max="42" width="10.42578125" style="1287" customWidth="1"/>
    <col min="43" max="43" width="9.140625" customWidth="1"/>
    <col min="44" max="44" width="9.140625" style="1287" customWidth="1"/>
    <col min="45" max="46" width="9.140625" customWidth="1"/>
    <col min="47" max="47" width="10.42578125" style="1287" customWidth="1"/>
    <col min="48" max="48" width="9.140625" customWidth="1"/>
    <col min="49" max="49" width="9.140625" style="1287" customWidth="1"/>
    <col min="50" max="51" width="9.140625" customWidth="1"/>
    <col min="52" max="52" width="10.42578125" style="1287" customWidth="1"/>
    <col min="53" max="53" width="9.140625" customWidth="1"/>
    <col min="54" max="54" width="9.140625" style="1287" customWidth="1"/>
    <col min="55" max="56" width="9.140625" customWidth="1"/>
    <col min="57" max="61" width="8.5703125" customWidth="1"/>
    <col min="62" max="62" width="9.42578125" customWidth="1"/>
    <col min="63" max="71" width="8.5703125" customWidth="1"/>
    <col min="72" max="73" width="9.140625" customWidth="1"/>
    <col min="74" max="74" width="8.5703125" customWidth="1"/>
    <col min="75" max="75" width="9.7109375" customWidth="1"/>
    <col min="76" max="76" width="8.28515625" customWidth="1"/>
    <col min="77" max="77" width="7.7109375" customWidth="1"/>
    <col min="78" max="78" width="7.85546875" customWidth="1"/>
    <col min="79" max="79" width="5.85546875" customWidth="1"/>
    <col min="80" max="80" width="8" customWidth="1"/>
    <col min="81" max="81" width="6.28515625" customWidth="1"/>
    <col min="82" max="82" width="8.7109375" customWidth="1"/>
    <col min="83" max="84" width="9" customWidth="1"/>
    <col min="85" max="85" width="8.7109375" customWidth="1"/>
    <col min="86" max="86" width="9.28515625" customWidth="1"/>
    <col min="87" max="89" width="9.140625" customWidth="1"/>
    <col min="90" max="90" width="10.7109375" customWidth="1"/>
    <col min="91" max="91" width="9.5703125" customWidth="1"/>
    <col min="92" max="92" width="11.140625" customWidth="1"/>
    <col min="93" max="94" width="9.140625" customWidth="1"/>
    <col min="95" max="96" width="9.5703125" customWidth="1"/>
    <col min="97" max="97" width="11.140625" customWidth="1"/>
    <col min="98" max="99" width="9.140625" customWidth="1"/>
    <col min="100" max="101" width="9.5703125" customWidth="1"/>
    <col min="102" max="102" width="11.140625" customWidth="1"/>
    <col min="103" max="103" width="9.140625" customWidth="1"/>
    <col min="104" max="106" width="9.5703125" customWidth="1"/>
    <col min="107" max="107" width="11.140625" customWidth="1"/>
    <col min="108" max="109" width="9.140625" customWidth="1"/>
    <col min="110" max="111" width="9.5703125" customWidth="1"/>
    <col min="115" max="115" width="11.140625" customWidth="1"/>
    <col min="127" max="131" width="9.140625" style="3650"/>
  </cols>
  <sheetData>
    <row r="2" spans="1:145" ht="15.75">
      <c r="B2" s="546" t="s">
        <v>1501</v>
      </c>
      <c r="D2" s="1650" t="s">
        <v>1610</v>
      </c>
      <c r="E2" s="1651"/>
      <c r="F2" s="1641" t="s">
        <v>1501</v>
      </c>
    </row>
    <row r="3" spans="1:145" ht="15.75">
      <c r="B3" s="546" t="s">
        <v>235</v>
      </c>
      <c r="D3" s="1650" t="s">
        <v>736</v>
      </c>
      <c r="E3" s="1651"/>
      <c r="F3" s="1641" t="s">
        <v>1501</v>
      </c>
      <c r="M3" s="1444"/>
    </row>
    <row r="4" spans="1:145">
      <c r="D4" s="3752" t="str">
        <f>IF(F2=F3,"ok","Reporting in different format can cause errors in transfer")</f>
        <v>ok</v>
      </c>
      <c r="E4" s="3752"/>
      <c r="F4" s="3752"/>
      <c r="G4" s="3757" t="str">
        <f ca="1">IF(OFFSET('VVP2'!$G$2,0,(COLUMN()-6)/5)="ok","ok","Not ok - Check VVP2 for inconsistencies")</f>
        <v>ok</v>
      </c>
      <c r="H4" s="3757"/>
      <c r="I4" s="3757"/>
      <c r="J4" s="3757"/>
      <c r="K4" s="3758"/>
      <c r="L4" s="3757" t="str">
        <f ca="1">IF(OFFSET('VVP2'!$G$2,0,(COLUMN()-6)/5)="ok","ok","Not ok - Check VVP2 for inconsistencies")</f>
        <v>Not ok - Check VVP2 for inconsistencies</v>
      </c>
      <c r="M4" s="3757"/>
      <c r="N4" s="3757"/>
      <c r="O4" s="3757"/>
      <c r="P4" s="3758"/>
      <c r="Q4" s="3757" t="str">
        <f ca="1">IF(OFFSET('VVP2'!$G$2,0,(COLUMN()-6)/5)="ok","ok","Not ok - Check VVP2 for inconsistencies")</f>
        <v>ok</v>
      </c>
      <c r="R4" s="3757"/>
      <c r="S4" s="3757"/>
      <c r="T4" s="3757"/>
      <c r="U4" s="3758"/>
      <c r="V4" s="3757" t="str">
        <f ca="1">IF(OFFSET('VVP2'!$G$2,0,(COLUMN()-6)/5)="ok","ok","Not ok - Check VVP2 for inconsistencies")</f>
        <v>Not ok - Check VVP2 for inconsistencies</v>
      </c>
      <c r="W4" s="3757"/>
      <c r="X4" s="3757"/>
      <c r="Y4" s="3757"/>
      <c r="Z4" s="3758"/>
      <c r="AA4" s="3757" t="str">
        <f ca="1">IF(OFFSET('VVP2'!$G$2,0,(COLUMN()-6)/5)="ok","ok","Not ok - Check VVP2 for inconsistencies")</f>
        <v>Not ok - Check VVP2 for inconsistencies</v>
      </c>
      <c r="AB4" s="3757"/>
      <c r="AC4" s="3757"/>
      <c r="AD4" s="3757"/>
      <c r="AE4" s="3758"/>
      <c r="AF4" s="3757" t="str">
        <f ca="1">IF(OFFSET('VVP2'!$G$2,0,(COLUMN()-6)/5)="ok","ok","Not ok - Check VVP2 for inconsistencies")</f>
        <v>Not ok - Check VVP2 for inconsistencies</v>
      </c>
      <c r="AG4" s="3757"/>
      <c r="AH4" s="3757"/>
      <c r="AI4" s="3757"/>
      <c r="AJ4" s="3758"/>
      <c r="AK4" s="3757" t="str">
        <f ca="1">IF(OFFSET('VVP2'!$G$2,0,(COLUMN()-6)/5)="ok","ok","Not ok - Check VVP2 for inconsistencies")</f>
        <v>Not ok - Check VVP2 for inconsistencies</v>
      </c>
      <c r="AL4" s="3757"/>
      <c r="AM4" s="3757"/>
      <c r="AN4" s="3757"/>
      <c r="AO4" s="3758"/>
      <c r="AP4" s="3757" t="str">
        <f ca="1">IF(OFFSET('VVP2'!$G$2,0,(COLUMN()-6)/5)="ok","ok","Not ok - Check VVP2 for inconsistencies")</f>
        <v>Not ok - Check VVP2 for inconsistencies</v>
      </c>
      <c r="AQ4" s="3757"/>
      <c r="AR4" s="3757"/>
      <c r="AS4" s="3757"/>
      <c r="AT4" s="3758"/>
      <c r="AU4" s="3757" t="str">
        <f ca="1">IF(OFFSET('VVP2'!$G$2,0,(COLUMN()-6)/5)="ok","ok","Not ok - Check VVP2 for inconsistencies")</f>
        <v>ok</v>
      </c>
      <c r="AV4" s="3757"/>
      <c r="AW4" s="3757"/>
      <c r="AX4" s="3757"/>
      <c r="AY4" s="3758"/>
      <c r="AZ4" s="3757" t="str">
        <f ca="1">IF(OFFSET('VVP2'!$G$2,0,(COLUMN()-6)/5)="ok","ok","Not ok - Check VVP2 for inconsistencies")</f>
        <v>Not ok - Check VVP2 for inconsistencies</v>
      </c>
      <c r="BA4" s="3757"/>
      <c r="BB4" s="3757"/>
      <c r="BC4" s="3757"/>
      <c r="BD4" s="3758"/>
      <c r="BE4" s="3757" t="str">
        <f ca="1">IF(OFFSET('VVP2'!$G$2,0,(COLUMN()-6)/5)="ok","ok","Not ok - Check VVP2 for inconsistencies")</f>
        <v>ok</v>
      </c>
      <c r="BF4" s="3757"/>
      <c r="BG4" s="3757"/>
      <c r="BH4" s="3757"/>
      <c r="BI4" s="3758"/>
      <c r="BJ4" s="3757" t="str">
        <f ca="1">IF(OFFSET('VVP2'!$G$2,0,(COLUMN()-6)/5)="ok","ok","Not ok - Check VVP2 for inconsistencies")</f>
        <v>ok</v>
      </c>
      <c r="BK4" s="3757"/>
      <c r="BL4" s="3757"/>
      <c r="BM4" s="3757"/>
      <c r="BN4" s="3758"/>
      <c r="BO4" s="3757" t="str">
        <f ca="1">IF(OFFSET('VVP2'!$G$2,0,(COLUMN()-6)/5)="ok","ok","Not ok - Check VVP2 for inconsistencies")</f>
        <v>ok</v>
      </c>
      <c r="BP4" s="3757"/>
      <c r="BQ4" s="3757"/>
      <c r="BR4" s="3757"/>
      <c r="BS4" s="3758"/>
      <c r="BT4" s="3757" t="str">
        <f ca="1">IF(OFFSET('VVP2'!$G$2,0,(COLUMN()-6)/5)="ok","ok","Not ok - Check VVP2 for inconsistencies")</f>
        <v>ok</v>
      </c>
      <c r="BU4" s="3757"/>
      <c r="BV4" s="3757"/>
      <c r="BW4" s="3757"/>
      <c r="BX4" s="3758"/>
      <c r="BY4" s="3757" t="str">
        <f ca="1">IF(OFFSET('VVP2'!$G$2,0,(COLUMN()-6)/5)="ok","ok","Not ok - Check VVP2 for inconsistencies")</f>
        <v>ok</v>
      </c>
      <c r="BZ4" s="3757"/>
      <c r="CA4" s="3757"/>
      <c r="CB4" s="3757"/>
      <c r="CC4" s="3758"/>
      <c r="CD4" s="3757" t="str">
        <f ca="1">IF(OFFSET('VVP2'!$G$2,0,(COLUMN()-6)/5)="ok","ok","Not ok - Check VVP2 for inconsistencies")</f>
        <v>ok</v>
      </c>
      <c r="CE4" s="3757"/>
      <c r="CF4" s="3757"/>
      <c r="CG4" s="3757"/>
      <c r="CH4" s="3758"/>
      <c r="CI4" s="3757" t="str">
        <f ca="1">IF(OFFSET('VVP2'!$G$2,0,(COLUMN()-6)/5)="ok","ok","Not ok - Check VVP2 for inconsistencies")</f>
        <v>ok</v>
      </c>
      <c r="CJ4" s="3757"/>
      <c r="CK4" s="3757"/>
      <c r="CL4" s="3757"/>
      <c r="CM4" s="3758"/>
      <c r="CN4" s="3757" t="str">
        <f ca="1">IF(OFFSET('VVP2'!$G$2,0,(COLUMN()-6)/5)="ok","ok","Not ok - Check VVP2 for inconsistencies")</f>
        <v>ok</v>
      </c>
      <c r="CO4" s="3757"/>
      <c r="CP4" s="3757"/>
      <c r="CQ4" s="3757"/>
      <c r="CR4" s="3758"/>
      <c r="CS4" s="3757" t="str">
        <f ca="1">IF(OFFSET('VVP2'!$G$2,0,(COLUMN()-6)/5)="ok","ok","Not ok - Check VVP2 for inconsistencies")</f>
        <v>ok</v>
      </c>
      <c r="CT4" s="3757"/>
      <c r="CU4" s="3757"/>
      <c r="CV4" s="3757"/>
      <c r="CW4" s="3758"/>
      <c r="CX4" s="3757" t="str">
        <f ca="1">IF(OFFSET('VVP2'!$G$2,0,(COLUMN()-6)/5)="ok","ok","Not ok - Check VVP2 for inconsistencies")</f>
        <v>ok</v>
      </c>
      <c r="CY4" s="3757"/>
      <c r="CZ4" s="3757"/>
      <c r="DA4" s="3757"/>
      <c r="DB4" s="3758"/>
      <c r="DC4" s="3757" t="str">
        <f ca="1">IF(OFFSET('VVP2'!$G$2,0,(COLUMN()-6)/5)="ok","ok","Not ok - Check VVP2 for inconsistencies")</f>
        <v>ok</v>
      </c>
      <c r="DD4" s="3757"/>
      <c r="DE4" s="3757"/>
      <c r="DF4" s="3757"/>
      <c r="DG4" s="3758"/>
      <c r="DH4" s="3757" t="str">
        <f ca="1">IF(OFFSET('VVP2'!$G$2,0,(COLUMN()-6)/5)="ok","ok","Not ok - Check VVP2 for inconsistencies")</f>
        <v>ok</v>
      </c>
      <c r="DI4" s="3757"/>
      <c r="DJ4" s="3757"/>
      <c r="DK4" s="3757"/>
      <c r="DL4" s="3758"/>
      <c r="DM4" s="3757" t="str">
        <f ca="1">IF(OFFSET('VVP2'!$G$2,0,(COLUMN()-6)/5)="ok","ok","Not ok - Check VVP2 for inconsistencies")</f>
        <v>ok</v>
      </c>
      <c r="DN4" s="3757"/>
      <c r="DO4" s="3757"/>
      <c r="DP4" s="3757"/>
      <c r="DQ4" s="3758"/>
      <c r="DR4" s="3757" t="str">
        <f ca="1">IF(OFFSET('VVP2'!$G$2,0,(COLUMN()-6)/5)="ok","ok","Not ok - Check VVP2 for inconsistencies")</f>
        <v>ok</v>
      </c>
      <c r="DS4" s="3757"/>
      <c r="DT4" s="3757"/>
      <c r="DU4" s="3757"/>
      <c r="DV4" s="3758"/>
      <c r="DW4" s="3757" t="str">
        <f ca="1">IF(OFFSET('VVP2'!$G$2,0,(COLUMN()-6)/5)="ok","ok","Not ok - Check VVP2 for inconsistencies")</f>
        <v>ok</v>
      </c>
      <c r="DX4" s="3757"/>
      <c r="DY4" s="3757"/>
      <c r="DZ4" s="3757"/>
      <c r="EA4" s="3758"/>
    </row>
    <row r="5" spans="1:145">
      <c r="D5" s="1254"/>
      <c r="E5" s="3752" t="s">
        <v>1269</v>
      </c>
      <c r="F5" s="3752"/>
      <c r="G5" s="3759">
        <f>+InputY!$G$3</f>
        <v>1995</v>
      </c>
      <c r="H5" s="3760"/>
      <c r="I5" s="3760"/>
      <c r="J5" s="3760"/>
      <c r="K5" s="3761"/>
      <c r="L5" s="3759">
        <f>+G5+1</f>
        <v>1996</v>
      </c>
      <c r="M5" s="3760"/>
      <c r="N5" s="3760"/>
      <c r="O5" s="3760"/>
      <c r="P5" s="3761"/>
      <c r="Q5" s="3759">
        <f>+L5+1</f>
        <v>1997</v>
      </c>
      <c r="R5" s="3760"/>
      <c r="S5" s="3760"/>
      <c r="T5" s="3760"/>
      <c r="U5" s="3761"/>
      <c r="V5" s="3759">
        <f>+Q5+1</f>
        <v>1998</v>
      </c>
      <c r="W5" s="3760"/>
      <c r="X5" s="3760"/>
      <c r="Y5" s="3760"/>
      <c r="Z5" s="3761"/>
      <c r="AA5" s="3759">
        <f>+V5+1</f>
        <v>1999</v>
      </c>
      <c r="AB5" s="3760"/>
      <c r="AC5" s="3760"/>
      <c r="AD5" s="3760"/>
      <c r="AE5" s="3761"/>
      <c r="AF5" s="3759">
        <f>+AA5+1</f>
        <v>2000</v>
      </c>
      <c r="AG5" s="3760"/>
      <c r="AH5" s="3760"/>
      <c r="AI5" s="3760"/>
      <c r="AJ5" s="3761"/>
      <c r="AK5" s="3759">
        <f>+AF5+1</f>
        <v>2001</v>
      </c>
      <c r="AL5" s="3760"/>
      <c r="AM5" s="3760"/>
      <c r="AN5" s="3760"/>
      <c r="AO5" s="3761"/>
      <c r="AP5" s="3759">
        <f>+AK5+1</f>
        <v>2002</v>
      </c>
      <c r="AQ5" s="3760"/>
      <c r="AR5" s="3760"/>
      <c r="AS5" s="3760"/>
      <c r="AT5" s="3761"/>
      <c r="AU5" s="3759">
        <f>+AP5+1</f>
        <v>2003</v>
      </c>
      <c r="AV5" s="3760"/>
      <c r="AW5" s="3760"/>
      <c r="AX5" s="3760"/>
      <c r="AY5" s="3761"/>
      <c r="AZ5" s="3759">
        <f>+AU5+1</f>
        <v>2004</v>
      </c>
      <c r="BA5" s="3760"/>
      <c r="BB5" s="3760"/>
      <c r="BC5" s="3760"/>
      <c r="BD5" s="3761"/>
      <c r="BE5" s="3759">
        <f>+AZ5+1</f>
        <v>2005</v>
      </c>
      <c r="BF5" s="3760"/>
      <c r="BG5" s="3760"/>
      <c r="BH5" s="3760"/>
      <c r="BI5" s="3761"/>
      <c r="BJ5" s="3759">
        <f>+BE5+1</f>
        <v>2006</v>
      </c>
      <c r="BK5" s="3760"/>
      <c r="BL5" s="3760"/>
      <c r="BM5" s="3760"/>
      <c r="BN5" s="3761"/>
      <c r="BO5" s="3759">
        <f>+BJ5+1</f>
        <v>2007</v>
      </c>
      <c r="BP5" s="3760"/>
      <c r="BQ5" s="3760"/>
      <c r="BR5" s="3760"/>
      <c r="BS5" s="3761"/>
      <c r="BT5" s="3759">
        <f>+BO5+1</f>
        <v>2008</v>
      </c>
      <c r="BU5" s="3760"/>
      <c r="BV5" s="3760"/>
      <c r="BW5" s="3760"/>
      <c r="BX5" s="3761"/>
      <c r="BY5" s="3759">
        <f>+BT5+1</f>
        <v>2009</v>
      </c>
      <c r="BZ5" s="3760"/>
      <c r="CA5" s="3760"/>
      <c r="CB5" s="3760"/>
      <c r="CC5" s="3761"/>
      <c r="CD5" s="3759">
        <f>+BY5+1</f>
        <v>2010</v>
      </c>
      <c r="CE5" s="3760"/>
      <c r="CF5" s="3760"/>
      <c r="CG5" s="3760"/>
      <c r="CH5" s="3761"/>
      <c r="CI5" s="3759">
        <f>+CD5+1</f>
        <v>2011</v>
      </c>
      <c r="CJ5" s="3760"/>
      <c r="CK5" s="3760"/>
      <c r="CL5" s="3760"/>
      <c r="CM5" s="3761"/>
      <c r="CN5" s="3759">
        <f>+CI5+1</f>
        <v>2012</v>
      </c>
      <c r="CO5" s="3760"/>
      <c r="CP5" s="3760"/>
      <c r="CQ5" s="3760"/>
      <c r="CR5" s="3761"/>
      <c r="CS5" s="3759">
        <f>+CN5+1</f>
        <v>2013</v>
      </c>
      <c r="CT5" s="3760"/>
      <c r="CU5" s="3760"/>
      <c r="CV5" s="3760"/>
      <c r="CW5" s="3761"/>
      <c r="CX5" s="3759">
        <f>+CS5+1</f>
        <v>2014</v>
      </c>
      <c r="CY5" s="3760"/>
      <c r="CZ5" s="3760"/>
      <c r="DA5" s="3760"/>
      <c r="DB5" s="3761"/>
      <c r="DC5" s="3759">
        <f>+CX5+1</f>
        <v>2015</v>
      </c>
      <c r="DD5" s="3760"/>
      <c r="DE5" s="3760"/>
      <c r="DF5" s="3760"/>
      <c r="DG5" s="3761"/>
      <c r="DH5" s="3759">
        <f>+DC5+1</f>
        <v>2016</v>
      </c>
      <c r="DI5" s="3760"/>
      <c r="DJ5" s="3760"/>
      <c r="DK5" s="3760"/>
      <c r="DL5" s="3761"/>
      <c r="DM5" s="3759">
        <f>+DH5+1</f>
        <v>2017</v>
      </c>
      <c r="DN5" s="3760"/>
      <c r="DO5" s="3760"/>
      <c r="DP5" s="3760"/>
      <c r="DQ5" s="3761"/>
      <c r="DR5" s="3759">
        <f>+DM5+1</f>
        <v>2018</v>
      </c>
      <c r="DS5" s="3760"/>
      <c r="DT5" s="3760"/>
      <c r="DU5" s="3760"/>
      <c r="DV5" s="3761"/>
      <c r="DW5" s="3759">
        <f>+DR5+1</f>
        <v>2019</v>
      </c>
      <c r="DX5" s="3760"/>
      <c r="DY5" s="3760"/>
      <c r="DZ5" s="3760"/>
      <c r="EA5" s="3761"/>
    </row>
    <row r="6" spans="1:145">
      <c r="C6" s="3"/>
      <c r="D6" s="1199"/>
      <c r="E6" s="3752"/>
      <c r="F6" s="3752"/>
      <c r="G6" s="1250" t="s">
        <v>1486</v>
      </c>
      <c r="H6" s="1251" t="s">
        <v>1732</v>
      </c>
      <c r="I6" s="1250" t="s">
        <v>2022</v>
      </c>
      <c r="J6" s="1251" t="s">
        <v>584</v>
      </c>
      <c r="K6" s="1250" t="s">
        <v>2023</v>
      </c>
      <c r="L6" s="1250" t="s">
        <v>1486</v>
      </c>
      <c r="M6" s="1251" t="s">
        <v>1732</v>
      </c>
      <c r="N6" s="1250" t="s">
        <v>2022</v>
      </c>
      <c r="O6" s="1251" t="s">
        <v>584</v>
      </c>
      <c r="P6" s="1250" t="s">
        <v>2023</v>
      </c>
      <c r="Q6" s="1250" t="s">
        <v>1486</v>
      </c>
      <c r="R6" s="1251" t="s">
        <v>1732</v>
      </c>
      <c r="S6" s="1250" t="s">
        <v>2022</v>
      </c>
      <c r="T6" s="1251" t="s">
        <v>584</v>
      </c>
      <c r="U6" s="1250" t="s">
        <v>2023</v>
      </c>
      <c r="V6" s="1250" t="s">
        <v>1486</v>
      </c>
      <c r="W6" s="1251" t="s">
        <v>1732</v>
      </c>
      <c r="X6" s="1250" t="s">
        <v>2022</v>
      </c>
      <c r="Y6" s="1251" t="s">
        <v>584</v>
      </c>
      <c r="Z6" s="1250" t="s">
        <v>2023</v>
      </c>
      <c r="AA6" s="1250" t="s">
        <v>1486</v>
      </c>
      <c r="AB6" s="1251" t="s">
        <v>1732</v>
      </c>
      <c r="AC6" s="1250" t="s">
        <v>2022</v>
      </c>
      <c r="AD6" s="1251" t="s">
        <v>584</v>
      </c>
      <c r="AE6" s="1250" t="s">
        <v>2023</v>
      </c>
      <c r="AF6" s="1250" t="s">
        <v>1486</v>
      </c>
      <c r="AG6" s="1251" t="s">
        <v>1732</v>
      </c>
      <c r="AH6" s="1250" t="s">
        <v>2022</v>
      </c>
      <c r="AI6" s="1251" t="s">
        <v>584</v>
      </c>
      <c r="AJ6" s="1250" t="s">
        <v>2023</v>
      </c>
      <c r="AK6" s="1250" t="s">
        <v>1486</v>
      </c>
      <c r="AL6" s="1251" t="s">
        <v>1732</v>
      </c>
      <c r="AM6" s="1250" t="s">
        <v>2022</v>
      </c>
      <c r="AN6" s="1251" t="s">
        <v>584</v>
      </c>
      <c r="AO6" s="1250" t="s">
        <v>2023</v>
      </c>
      <c r="AP6" s="1250" t="s">
        <v>1486</v>
      </c>
      <c r="AQ6" s="1251" t="s">
        <v>1732</v>
      </c>
      <c r="AR6" s="1250" t="s">
        <v>2022</v>
      </c>
      <c r="AS6" s="1251" t="s">
        <v>584</v>
      </c>
      <c r="AT6" s="1250" t="s">
        <v>2023</v>
      </c>
      <c r="AU6" s="1250" t="s">
        <v>1486</v>
      </c>
      <c r="AV6" s="1251" t="s">
        <v>1732</v>
      </c>
      <c r="AW6" s="1250" t="s">
        <v>2022</v>
      </c>
      <c r="AX6" s="1251" t="s">
        <v>584</v>
      </c>
      <c r="AY6" s="1250" t="s">
        <v>2023</v>
      </c>
      <c r="AZ6" s="1250" t="s">
        <v>1486</v>
      </c>
      <c r="BA6" s="1251" t="s">
        <v>1732</v>
      </c>
      <c r="BB6" s="1250" t="s">
        <v>2022</v>
      </c>
      <c r="BC6" s="1251" t="s">
        <v>584</v>
      </c>
      <c r="BD6" s="1250" t="s">
        <v>2023</v>
      </c>
      <c r="BE6" s="1250" t="s">
        <v>1486</v>
      </c>
      <c r="BF6" s="1251" t="s">
        <v>1732</v>
      </c>
      <c r="BG6" s="1250" t="s">
        <v>2022</v>
      </c>
      <c r="BH6" s="1251" t="s">
        <v>584</v>
      </c>
      <c r="BI6" s="1250" t="s">
        <v>2023</v>
      </c>
      <c r="BJ6" s="1250" t="s">
        <v>1486</v>
      </c>
      <c r="BK6" s="1251" t="s">
        <v>1732</v>
      </c>
      <c r="BL6" s="1250" t="s">
        <v>2022</v>
      </c>
      <c r="BM6" s="1251" t="s">
        <v>584</v>
      </c>
      <c r="BN6" s="1250" t="s">
        <v>2023</v>
      </c>
      <c r="BO6" s="1250" t="s">
        <v>1486</v>
      </c>
      <c r="BP6" s="1251" t="s">
        <v>1732</v>
      </c>
      <c r="BQ6" s="1250" t="s">
        <v>2022</v>
      </c>
      <c r="BR6" s="1251" t="s">
        <v>584</v>
      </c>
      <c r="BS6" s="1250" t="s">
        <v>2023</v>
      </c>
      <c r="BT6" s="1250" t="s">
        <v>1486</v>
      </c>
      <c r="BU6" s="1251" t="s">
        <v>1732</v>
      </c>
      <c r="BV6" s="1250" t="s">
        <v>2022</v>
      </c>
      <c r="BW6" s="1251" t="s">
        <v>584</v>
      </c>
      <c r="BX6" s="1250" t="s">
        <v>2023</v>
      </c>
      <c r="BY6" s="1250" t="s">
        <v>1486</v>
      </c>
      <c r="BZ6" s="1251" t="s">
        <v>1732</v>
      </c>
      <c r="CA6" s="1250" t="s">
        <v>2022</v>
      </c>
      <c r="CB6" s="1251" t="s">
        <v>584</v>
      </c>
      <c r="CC6" s="1250" t="s">
        <v>2023</v>
      </c>
      <c r="CD6" s="1250" t="s">
        <v>1486</v>
      </c>
      <c r="CE6" s="1251" t="s">
        <v>1732</v>
      </c>
      <c r="CF6" s="1250" t="s">
        <v>2022</v>
      </c>
      <c r="CG6" s="1251" t="s">
        <v>584</v>
      </c>
      <c r="CH6" s="1250" t="s">
        <v>2023</v>
      </c>
      <c r="CI6" s="1250" t="s">
        <v>1486</v>
      </c>
      <c r="CJ6" s="1251" t="s">
        <v>1732</v>
      </c>
      <c r="CK6" s="1250" t="s">
        <v>2022</v>
      </c>
      <c r="CL6" s="1251" t="s">
        <v>584</v>
      </c>
      <c r="CM6" s="1250" t="s">
        <v>2023</v>
      </c>
      <c r="CN6" s="1250" t="s">
        <v>1486</v>
      </c>
      <c r="CO6" s="1251" t="s">
        <v>1732</v>
      </c>
      <c r="CP6" s="1250" t="s">
        <v>2022</v>
      </c>
      <c r="CQ6" s="1251" t="s">
        <v>584</v>
      </c>
      <c r="CR6" s="1250" t="s">
        <v>2023</v>
      </c>
      <c r="CS6" s="1250" t="s">
        <v>1486</v>
      </c>
      <c r="CT6" s="1251" t="s">
        <v>1732</v>
      </c>
      <c r="CU6" s="1250" t="s">
        <v>2022</v>
      </c>
      <c r="CV6" s="1251" t="s">
        <v>584</v>
      </c>
      <c r="CW6" s="1250" t="s">
        <v>2023</v>
      </c>
      <c r="CX6" s="1250" t="s">
        <v>1486</v>
      </c>
      <c r="CY6" s="1251" t="s">
        <v>1732</v>
      </c>
      <c r="CZ6" s="1250" t="s">
        <v>2022</v>
      </c>
      <c r="DA6" s="1251" t="s">
        <v>584</v>
      </c>
      <c r="DB6" s="1250" t="s">
        <v>2023</v>
      </c>
      <c r="DC6" s="1250" t="s">
        <v>1486</v>
      </c>
      <c r="DD6" s="1251" t="s">
        <v>1732</v>
      </c>
      <c r="DE6" s="1250" t="s">
        <v>2022</v>
      </c>
      <c r="DF6" s="1251" t="s">
        <v>584</v>
      </c>
      <c r="DG6" s="1250" t="s">
        <v>2023</v>
      </c>
      <c r="DH6" s="1250" t="s">
        <v>1486</v>
      </c>
      <c r="DI6" s="1251" t="s">
        <v>1732</v>
      </c>
      <c r="DJ6" s="1250" t="s">
        <v>2022</v>
      </c>
      <c r="DK6" s="1251" t="s">
        <v>584</v>
      </c>
      <c r="DL6" s="1250" t="s">
        <v>2023</v>
      </c>
      <c r="DM6" s="1250" t="s">
        <v>1486</v>
      </c>
      <c r="DN6" s="1251" t="s">
        <v>1732</v>
      </c>
      <c r="DO6" s="1250" t="s">
        <v>2022</v>
      </c>
      <c r="DP6" s="1251" t="s">
        <v>584</v>
      </c>
      <c r="DQ6" s="1250" t="s">
        <v>2023</v>
      </c>
      <c r="DR6" s="1250" t="s">
        <v>1486</v>
      </c>
      <c r="DS6" s="1251" t="s">
        <v>1732</v>
      </c>
      <c r="DT6" s="1250" t="s">
        <v>2022</v>
      </c>
      <c r="DU6" s="1251" t="s">
        <v>584</v>
      </c>
      <c r="DV6" s="1250" t="s">
        <v>2023</v>
      </c>
      <c r="DW6" s="1250" t="s">
        <v>1486</v>
      </c>
      <c r="DX6" s="1251" t="s">
        <v>1732</v>
      </c>
      <c r="DY6" s="1250" t="s">
        <v>2022</v>
      </c>
      <c r="DZ6" s="1251" t="s">
        <v>584</v>
      </c>
      <c r="EA6" s="1250" t="s">
        <v>2023</v>
      </c>
    </row>
    <row r="7" spans="1:145" s="28" customFormat="1">
      <c r="A7" s="1457"/>
      <c r="C7" s="779" t="s">
        <v>1767</v>
      </c>
      <c r="D7" s="773" t="s">
        <v>685</v>
      </c>
      <c r="E7" s="1219" t="s">
        <v>821</v>
      </c>
      <c r="F7" s="1220" t="s">
        <v>1731</v>
      </c>
      <c r="G7" s="1363"/>
      <c r="H7" s="1244"/>
      <c r="I7" s="1364"/>
      <c r="J7" s="1232">
        <f ca="1">OFFSET('VVP2'!$G$185,0,(COLUMN()-6)/5)</f>
        <v>4.9615900000000002</v>
      </c>
      <c r="K7" s="1367"/>
      <c r="L7" s="1222">
        <f ca="1">OFFSET('VVP2'!$G$10,0,(COLUMN()-7)/5)</f>
        <v>6.4762344028386432</v>
      </c>
      <c r="M7" s="1228">
        <f ca="1">+J7*(1+L7/100)</f>
        <v>5.2829141985078021</v>
      </c>
      <c r="N7" s="1222">
        <f t="shared" ref="N7:N17" ca="1" si="0">+O7/M7*100-100</f>
        <v>17.98147321341159</v>
      </c>
      <c r="O7" s="1228">
        <f ca="1">OFFSET('VVP2'!$G$185,0,(COLUMN()-10)/5)</f>
        <v>6.2328599999999996</v>
      </c>
      <c r="P7" s="1221">
        <f t="shared" ref="P7:P17" ca="1" si="1">(O7/J7-1)*100</f>
        <v>25.622229970634393</v>
      </c>
      <c r="Q7" s="1222">
        <f ca="1">OFFSET('VVP2'!$G$10,0,(COLUMN()-7)/5)</f>
        <v>5.6211089393928937</v>
      </c>
      <c r="R7" s="1228">
        <f ca="1">+O7*(1+Q7/100)</f>
        <v>6.5832158506398439</v>
      </c>
      <c r="S7" s="1222">
        <f t="shared" ref="S7:S15" ca="1" si="2">+T7/R7*100-100</f>
        <v>9.2523800400826133</v>
      </c>
      <c r="T7" s="1228">
        <f ca="1">OFFSET('VVP2'!$G$185,0,(COLUMN()-10)/5)</f>
        <v>7.1923199999999996</v>
      </c>
      <c r="U7" s="1221">
        <f t="shared" ref="U7:U15" ca="1" si="3">(T7/O7-1)*100</f>
        <v>15.393575341015197</v>
      </c>
      <c r="V7" s="1222">
        <f ca="1">OFFSET('VVP2'!$G$10,0,(COLUMN()-7)/5)</f>
        <v>4.7552825314067348</v>
      </c>
      <c r="W7" s="1228">
        <f ca="1">+T7*(1+V7/100)</f>
        <v>7.5343351365628726</v>
      </c>
      <c r="X7" s="1222">
        <f t="shared" ref="X7:X15" ca="1" si="4">+Y7/W7*100-100</f>
        <v>5.7466897289446734</v>
      </c>
      <c r="Y7" s="1228">
        <f ca="1">OFFSET('VVP2'!$G$185,0,(COLUMN()-10)/5)</f>
        <v>7.9673100000000003</v>
      </c>
      <c r="Z7" s="1221">
        <f t="shared" ref="Z7:Z15" ca="1" si="5">(Y7/T7-1)*100</f>
        <v>10.775243593166062</v>
      </c>
      <c r="AA7" s="1222">
        <f ca="1">OFFSET('VVP2'!$G$10,0,(COLUMN()-7)/5)</f>
        <v>4.9644887582733777</v>
      </c>
      <c r="AB7" s="1228">
        <f ca="1">+Y7*(1+AA7/100)</f>
        <v>8.3628462092867917</v>
      </c>
      <c r="AC7" s="1222">
        <f t="shared" ref="AC7:AC15" ca="1" si="6">+AD7/AB7*100-100</f>
        <v>-1.23039700493986</v>
      </c>
      <c r="AD7" s="1228">
        <f ca="1">OFFSET('VVP2'!$G$185,0,(COLUMN()-10)/5)</f>
        <v>8.2599499999999999</v>
      </c>
      <c r="AE7" s="1221">
        <f t="shared" ref="AE7:AE15" ca="1" si="7">(AD7/Y7-1)*100</f>
        <v>3.6730088323411403</v>
      </c>
      <c r="AF7" s="1222">
        <f ca="1">OFFSET('VVP2'!$G$10,0,(COLUMN()-7)/5)</f>
        <v>6.98278615571859</v>
      </c>
      <c r="AG7" s="1228">
        <f ca="1">+AD7*(1+AF7/100)</f>
        <v>8.8367246450692782</v>
      </c>
      <c r="AH7" s="1222">
        <f t="shared" ref="AH7:AH15" ca="1" si="8">+AI7/AG7*100-100</f>
        <v>-1.6390082398923056</v>
      </c>
      <c r="AI7" s="1228">
        <f ca="1">OFFSET('VVP2'!$G$185,0,(COLUMN()-10)/5)</f>
        <v>8.691889999999999</v>
      </c>
      <c r="AJ7" s="1221">
        <f t="shared" ref="AJ7:AJ15" ca="1" si="9">(AI7/AD7-1)*100</f>
        <v>5.2293294753600117</v>
      </c>
      <c r="AK7" s="1222">
        <f ca="1">OFFSET('VVP2'!$G$10,0,(COLUMN()-7)/5)</f>
        <v>4.2080179577484333</v>
      </c>
      <c r="AL7" s="1228">
        <f ca="1">+AI7*(1+AK7/100)</f>
        <v>9.057646292067739</v>
      </c>
      <c r="AM7" s="1222">
        <f t="shared" ref="AM7:AM15" ca="1" si="10">+AN7/AL7*100-100</f>
        <v>2.3337597993573951</v>
      </c>
      <c r="AN7" s="1228">
        <f ca="1">OFFSET('VVP2'!$G$185,0,(COLUMN()-10)/5)</f>
        <v>9.2690300000000008</v>
      </c>
      <c r="AO7" s="1221">
        <f t="shared" ref="AO7:AO15" ca="1" si="11">(AN7/AI7-1)*100</f>
        <v>6.639982788553489</v>
      </c>
      <c r="AP7" s="1222">
        <f ca="1">OFFSET('VVP2'!$G$10,0,(COLUMN()-7)/5)</f>
        <v>6.1642052831319294</v>
      </c>
      <c r="AQ7" s="1228">
        <f ca="1">+AN7*(1+AP7/100)</f>
        <v>9.8403920369550839</v>
      </c>
      <c r="AR7" s="1222">
        <f t="shared" ref="AR7:AR15" ca="1" si="12">+AS7/AQ7*100-100</f>
        <v>-0.38587931062585312</v>
      </c>
      <c r="AS7" s="1228">
        <f ca="1">OFFSET('VVP2'!$G$185,0,(COLUMN()-10)/5)</f>
        <v>9.8024199999999997</v>
      </c>
      <c r="AT7" s="1221">
        <f t="shared" ref="AT7:AT15" ca="1" si="13">(AS7/AN7-1)*100</f>
        <v>5.75453957965395</v>
      </c>
      <c r="AU7" s="1222">
        <f ca="1">OFFSET('VVP2'!$G$10,0,(COLUMN()-7)/5)</f>
        <v>11.214400216834619</v>
      </c>
      <c r="AV7" s="1228">
        <f ca="1">+AS7*(1+AU7/100)</f>
        <v>10.90170260973504</v>
      </c>
      <c r="AW7" s="1222">
        <f t="shared" ref="AW7:AW15" ca="1" si="14">+AX7/AV7*100-100</f>
        <v>-1.4834619464910475</v>
      </c>
      <c r="AX7" s="1228">
        <f ca="1">OFFSET('VVP2'!$G$185,0,(COLUMN()-10)/5)</f>
        <v>10.739979999999999</v>
      </c>
      <c r="AY7" s="1221">
        <f t="shared" ref="AY7:AY15" ca="1" si="15">(AX7/AS7-1)*100</f>
        <v>9.5645769105996195</v>
      </c>
      <c r="AZ7" s="1222">
        <f ca="1">OFFSET('VVP2'!$G$10,0,(COLUMN()-7)/5)</f>
        <v>11.679399634080156</v>
      </c>
      <c r="BA7" s="1228">
        <f ca="1">+AX7*(1+AZ7/100)</f>
        <v>11.994345184820281</v>
      </c>
      <c r="BB7" s="1222">
        <f t="shared" ref="BB7:BB15" ca="1" si="16">+BC7/BA7*100-100</f>
        <v>-0.87762344003157011</v>
      </c>
      <c r="BC7" s="1228">
        <f ca="1">OFFSET('VVP2'!$G$185,0,(COLUMN()-10)/5)</f>
        <v>11.88908</v>
      </c>
      <c r="BD7" s="1221">
        <f t="shared" ref="BD7:BD15" ca="1" si="17">(BC7/AX7-1)*100</f>
        <v>10.699275045204937</v>
      </c>
      <c r="BE7" s="1222">
        <f ca="1">OFFSET('VVP2'!$G$10,0,(COLUMN()-7)/5)</f>
        <v>11.604172440280291</v>
      </c>
      <c r="BF7" s="1228">
        <f ca="1">+BC7*(1+BE7/100)</f>
        <v>13.268709344762875</v>
      </c>
      <c r="BG7" s="1222">
        <f t="shared" ref="BG7:BG15" ca="1" si="18">+BH7/BF7*100-100</f>
        <v>2.3692632574034462</v>
      </c>
      <c r="BH7" s="1228">
        <f ca="1">OFFSET('VVP2'!$G$185,0,(COLUMN()-10)/5)</f>
        <v>13.583080000000001</v>
      </c>
      <c r="BI7" s="1221">
        <f t="shared" ref="BI7:BI15" ca="1" si="19">(BH7/BC7-1)*100</f>
        <v>14.248369091637048</v>
      </c>
      <c r="BJ7" s="1222">
        <f ca="1">OFFSET('VVP2'!$G$10,0,(COLUMN()-7)/5)</f>
        <v>9.0980834144997367</v>
      </c>
      <c r="BK7" s="1228">
        <f ca="1">+BH7*(1+BJ7/100)</f>
        <v>14.818879948658232</v>
      </c>
      <c r="BL7" s="1222">
        <f t="shared" ref="BL7:BL15" ca="1" si="20">+BM7/BK7*100-100</f>
        <v>4.6627009175840755</v>
      </c>
      <c r="BM7" s="1228">
        <f ca="1">OFFSET('VVP2'!$G$185,0,(COLUMN()-10)/5)</f>
        <v>15.509840000000001</v>
      </c>
      <c r="BN7" s="1221">
        <f t="shared" ref="BN7:BN15" ca="1" si="21">(BM7/BH7-1)*100</f>
        <v>14.18500075093425</v>
      </c>
      <c r="BO7" s="1222">
        <f ca="1">OFFSET('VVP2'!$G$10,0,(COLUMN()-7)/5)</f>
        <v>12.41815392674075</v>
      </c>
      <c r="BP7" s="1228">
        <f ca="1">+BM7*(1+BO7/100)</f>
        <v>17.435875804991209</v>
      </c>
      <c r="BQ7" s="1222">
        <f t="shared" ref="BQ7:BQ15" ca="1" si="22">+BR7/BP7*100-100</f>
        <v>5.8771592919665494</v>
      </c>
      <c r="BR7" s="1228">
        <f ca="1">OFFSET('VVP2'!$G$185,0,(COLUMN()-10)/5)</f>
        <v>18.460609999999999</v>
      </c>
      <c r="BS7" s="1221">
        <f t="shared" ref="BS7:BS15" ca="1" si="23">(BR7/BM7-1)*100</f>
        <v>19.025147906103477</v>
      </c>
      <c r="BT7" s="1222">
        <f ca="1">OFFSET('VVP2'!$G$10,0,(COLUMN()-7)/5)</f>
        <v>3.853720591389509</v>
      </c>
      <c r="BU7" s="1228">
        <f ca="1">+BR7*(1+BT7/100)</f>
        <v>19.172030328866111</v>
      </c>
      <c r="BV7" s="1222">
        <f t="shared" ref="BV7:BV15" ca="1" si="24">+BW7/BU7*100-100</f>
        <v>10.895036338373188</v>
      </c>
      <c r="BW7" s="1228">
        <f ca="1">OFFSET('VVP2'!$G$185,0,(COLUMN()-10)/5)</f>
        <v>21.260830000000002</v>
      </c>
      <c r="BX7" s="1221">
        <f t="shared" ref="BX7:BX15" ca="1" si="25">(BW7/BR7-1)*100</f>
        <v>15.168621188573962</v>
      </c>
      <c r="BY7" s="1222">
        <f ca="1">OFFSET('VVP2'!$G$10,0,(COLUMN()-7)/5)</f>
        <v>-17.351959335552912</v>
      </c>
      <c r="BZ7" s="1228">
        <f ca="1">+BW7*(1+BY7/100)</f>
        <v>17.571659423998966</v>
      </c>
      <c r="CA7" s="1222">
        <f t="shared" ref="CA7:CA15" ca="1" si="26">+CB7/BZ7*100-100</f>
        <v>4.3463770698739239</v>
      </c>
      <c r="CB7" s="1228">
        <f ca="1">OFFSET('VVP2'!$G$185,0,(COLUMN()-10)/5)</f>
        <v>18.33539</v>
      </c>
      <c r="CC7" s="1221">
        <f t="shared" ref="CC7:CC15" ca="1" si="27">(CB7/BW7-1)*100</f>
        <v>-13.759763847413298</v>
      </c>
      <c r="CD7" s="1222">
        <f ca="1">OFFSET('VVP2'!$G$10,0,(COLUMN()-7)/5)</f>
        <v>-3.3542524195715462</v>
      </c>
      <c r="CE7" s="1228">
        <f ca="1">+CB7*(1+CD7/100)</f>
        <v>17.72037473728712</v>
      </c>
      <c r="CF7" s="1222">
        <f t="shared" ref="CF7:CF15" ca="1" si="28">+CG7/CE7*100-100</f>
        <v>1.2706574553363623</v>
      </c>
      <c r="CG7" s="1228">
        <f ca="1">OFFSET('VVP2'!$G$185,0,(COLUMN()-10)/5)</f>
        <v>17.945540000000001</v>
      </c>
      <c r="CH7" s="1221">
        <f t="shared" ref="CH7:CH15" ca="1" si="29">(CG7/CB7-1)*100</f>
        <v>-2.1262160226752647</v>
      </c>
      <c r="CI7" s="1222">
        <f ca="1">OFFSET('VVP2'!$G$10,0,(COLUMN()-7)/5)</f>
        <v>4.5987470981647682</v>
      </c>
      <c r="CJ7" s="1228">
        <f ca="1">+CG7*(1+CI7/100)</f>
        <v>18.770809999999997</v>
      </c>
      <c r="CK7" s="1222">
        <f t="shared" ref="CK7:CK15" ca="1" si="30">+CL7/CJ7*100-100</f>
        <v>4.1183092258671934</v>
      </c>
      <c r="CL7" s="1228">
        <f ca="1">OFFSET('VVP2'!$G$185,0,(COLUMN()-10)/5)</f>
        <v>19.543849999999999</v>
      </c>
      <c r="CM7" s="1221">
        <f t="shared" ref="CM7:CM15" ca="1" si="31">(CL7/CG7-1)*100</f>
        <v>8.9064469500499612</v>
      </c>
      <c r="CN7" s="1222">
        <f ca="1">OFFSET('VVP2'!$G$10,0,(COLUMN()-7)/5)</f>
        <v>3.0945388078617908</v>
      </c>
      <c r="CO7" s="1228">
        <f ca="1">+CL7*(1+CN7/100)</f>
        <v>20.148642022800296</v>
      </c>
      <c r="CP7" s="1222">
        <f t="shared" ref="CP7:CP15" ca="1" si="32">+CQ7/CO7*100-100</f>
        <v>3.0842672994859015</v>
      </c>
      <c r="CQ7" s="1228">
        <f ca="1">OFFSET('VVP2'!$G$185,0,(COLUMN()-10)/5)</f>
        <v>20.77008</v>
      </c>
      <c r="CR7" s="1221">
        <f t="shared" ref="CR7:CR17" ca="1" si="33">(CQ7/CL7-1)*100</f>
        <v>6.2742499558684717</v>
      </c>
      <c r="CS7" s="1222">
        <f ca="1">OFFSET('VVP2'!$G$10,0,(COLUMN()-7)/5)</f>
        <v>4.3134239507887751</v>
      </c>
      <c r="CT7" s="1228">
        <f ca="1">+CQ7*(1+CS7/100)</f>
        <v>21.665981605317988</v>
      </c>
      <c r="CU7" s="1222">
        <f t="shared" ref="CU7:CU15" ca="1" si="34">+CV7/CT7*100-100</f>
        <v>0.99570099620622443</v>
      </c>
      <c r="CV7" s="1228">
        <f ca="1">OFFSET('VVP2'!$G$185,0,(COLUMN()-10)/5)</f>
        <v>21.881709999999998</v>
      </c>
      <c r="CW7" s="1221">
        <f t="shared" ref="CW7:CW15" ca="1" si="35">(CV7/CQ7-1)*100</f>
        <v>5.3520737522436024</v>
      </c>
      <c r="CX7" s="1222">
        <f ca="1">OFFSET('VVP2'!$G$10,0,(COLUMN()-7)/5)</f>
        <v>3.9665319224824414</v>
      </c>
      <c r="CY7" s="1228">
        <f ca="1">+CV7*(1+CX7/100)</f>
        <v>22.74965501233503</v>
      </c>
      <c r="CZ7" s="1222">
        <f t="shared" ref="CZ7:CZ15" ca="1" si="36">+DA7/CY7*100-100</f>
        <v>0.11940834992989835</v>
      </c>
      <c r="DA7" s="1228">
        <f ca="1">OFFSET('VVP2'!$G$185,0,(COLUMN()-10)/5)</f>
        <v>22.776820000000001</v>
      </c>
      <c r="DB7" s="1221">
        <f t="shared" ref="DB7:DB15" ca="1" si="37">(DA7/CV7-1)*100</f>
        <v>4.0906766427303953</v>
      </c>
      <c r="DC7" s="1222">
        <f ca="1">OFFSET('VVP2'!$G$10,0,(COLUMN()-7)/5)</f>
        <v>3.9764903202443636</v>
      </c>
      <c r="DD7" s="1228">
        <f ca="1">+DA7*(1+DC7/100)</f>
        <v>23.682538042559482</v>
      </c>
      <c r="DE7" s="1222">
        <f t="shared" ref="DE7:DE15" ca="1" si="38">+DF7/DD7*100-100</f>
        <v>-0.8820762461526499</v>
      </c>
      <c r="DF7" s="1228">
        <f ca="1">OFFSET('VVP2'!$G$185,0,(COLUMN()-10)/5)</f>
        <v>23.47364</v>
      </c>
      <c r="DG7" s="1221">
        <f t="shared" ref="DG7:DG15" ca="1" si="39">(DF7/DA7-1)*100</f>
        <v>3.0593383975462629</v>
      </c>
      <c r="DH7" s="1222">
        <f ca="1">OFFSET('VVP2'!$G$10,0,(COLUMN()-7)/5)</f>
        <v>4.9353738145373915</v>
      </c>
      <c r="DI7" s="1228">
        <f ca="1">+DF7*(1+DH7/100)</f>
        <v>24.632151881878773</v>
      </c>
      <c r="DJ7" s="1222">
        <f t="shared" ref="DJ7:DJ15" ca="1" si="40">+DK7/DI7*100-100</f>
        <v>0.93856240912231215</v>
      </c>
      <c r="DK7" s="1228">
        <f ca="1">OFFSET('VVP2'!$G$185,0,(COLUMN()-10)/5)</f>
        <v>24.863340000000001</v>
      </c>
      <c r="DL7" s="1221">
        <f t="shared" ref="DL7:DL15" ca="1" si="41">(DK7/DF7-1)*100</f>
        <v>5.9202577870326012</v>
      </c>
      <c r="DM7" s="3404">
        <f ca="1">OFFSET('VVP2'!$G$10,0,(COLUMN()-7)/5)</f>
        <v>3.8909751369404999</v>
      </c>
      <c r="DN7" s="1223">
        <f ca="1">+DK7*(1+DM7/100)</f>
        <v>25.830766377612981</v>
      </c>
      <c r="DO7" s="3404">
        <f ca="1">+DO35</f>
        <v>3.7537547597789001</v>
      </c>
      <c r="DP7" s="1223">
        <f ca="1">+DN7*(1+DO7/100)</f>
        <v>26.800389999999997</v>
      </c>
      <c r="DQ7" s="1395">
        <f t="shared" ref="DQ7:DQ15" ca="1" si="42">(DP7/DK7-1)*100</f>
        <v>7.7907875611241018</v>
      </c>
      <c r="DR7" s="3404">
        <f>+DR35</f>
        <v>3.5</v>
      </c>
      <c r="DS7" s="1223">
        <f ca="1">+DP7*(1+DR7/100)</f>
        <v>27.738403649999995</v>
      </c>
      <c r="DT7" s="3404">
        <f>+DT35</f>
        <v>2.6</v>
      </c>
      <c r="DU7" s="1223">
        <f ca="1">+DS7*(1+DT7/100)</f>
        <v>28.459602144899996</v>
      </c>
      <c r="DV7" s="1395">
        <f t="shared" ref="DV7:DV15" ca="1" si="43">(DU7/DP7-1)*100</f>
        <v>6.190999999999991</v>
      </c>
      <c r="DW7" s="3404">
        <f>+DW35</f>
        <v>3.3</v>
      </c>
      <c r="DX7" s="1223">
        <f ca="1">+DU7*(1+DW7/100)</f>
        <v>29.398769015681694</v>
      </c>
      <c r="DY7" s="3404">
        <f>+DY35</f>
        <v>2.2000000000000002</v>
      </c>
      <c r="DZ7" s="1223">
        <f ca="1">+DX7*(1+DY7/100)</f>
        <v>30.045541934026691</v>
      </c>
      <c r="EA7" s="1395">
        <f t="shared" ref="EA7:EA15" ca="1" si="44">(DZ7/DU7-1)*100</f>
        <v>5.5725999999999942</v>
      </c>
      <c r="EB7"/>
      <c r="EC7"/>
      <c r="ED7"/>
      <c r="EE7"/>
      <c r="EF7"/>
      <c r="EG7"/>
      <c r="EH7"/>
      <c r="EI7"/>
      <c r="EJ7"/>
      <c r="EK7"/>
      <c r="EL7"/>
      <c r="EM7"/>
      <c r="EN7"/>
      <c r="EO7"/>
    </row>
    <row r="8" spans="1:145">
      <c r="C8" s="1224" t="s">
        <v>1767</v>
      </c>
      <c r="D8" s="1" t="s">
        <v>687</v>
      </c>
      <c r="E8" s="1" t="s">
        <v>821</v>
      </c>
      <c r="F8" s="3" t="s">
        <v>280</v>
      </c>
      <c r="G8" s="1241"/>
      <c r="H8" s="1242"/>
      <c r="I8" s="1243"/>
      <c r="J8" s="1232">
        <f ca="1">OFFSET('VVP2'!$G$193,0,(COLUMN()-6)/5)</f>
        <v>1.8624400000000001</v>
      </c>
      <c r="K8" s="1245"/>
      <c r="L8" s="1209">
        <f ca="1">OFFSET('VVP2'!$G$16,0,(COLUMN()-7)/5)</f>
        <v>-0.70218291322577953</v>
      </c>
      <c r="M8" s="1235">
        <f ca="1">+J8*(1+L8/100)</f>
        <v>1.8493622645509178</v>
      </c>
      <c r="N8" s="1284">
        <f t="shared" ca="1" si="0"/>
        <v>26.451698773461899</v>
      </c>
      <c r="O8" s="1232">
        <f ca="1">OFFSET('VVP2'!$G$193,0,(COLUMN()-6)/5)</f>
        <v>2.3385500000000001</v>
      </c>
      <c r="P8" s="1217">
        <f t="shared" ca="1" si="1"/>
        <v>25.563776551190909</v>
      </c>
      <c r="Q8" s="1209">
        <f ca="1">OFFSET('VVP2'!$G$16,0,(COLUMN()-7)/5)</f>
        <v>3.4160337882479963</v>
      </c>
      <c r="R8" s="1235">
        <f ca="1">+O8*(1+Q8/100)</f>
        <v>2.4184356581550737</v>
      </c>
      <c r="S8" s="1284">
        <f t="shared" ca="1" si="2"/>
        <v>17.107105597365376</v>
      </c>
      <c r="T8" s="1232">
        <f ca="1">OFFSET('VVP2'!$G$193,0,(COLUMN()-6)/5)</f>
        <v>2.83216</v>
      </c>
      <c r="U8" s="1217">
        <f t="shared" ca="1" si="3"/>
        <v>21.107523893010626</v>
      </c>
      <c r="V8" s="1209">
        <f ca="1">OFFSET('VVP2'!$G$16,0,(COLUMN()-7)/5)</f>
        <v>5.0156327954667068</v>
      </c>
      <c r="W8" s="1235">
        <f ca="1">+T8*(1+V8/100)</f>
        <v>2.9742107457800899</v>
      </c>
      <c r="X8" s="1284">
        <f t="shared" ca="1" si="4"/>
        <v>13.323173375731216</v>
      </c>
      <c r="Y8" s="1232">
        <f ca="1">OFFSET('VVP2'!$G$193,0,(COLUMN()-6)/5)</f>
        <v>3.3704699999999996</v>
      </c>
      <c r="Z8" s="1217">
        <f t="shared" ca="1" si="5"/>
        <v>19.007047624427976</v>
      </c>
      <c r="AA8" s="1209">
        <f ca="1">OFFSET('VVP2'!$G$16,0,(COLUMN()-7)/5)</f>
        <v>-4.4198117990299046</v>
      </c>
      <c r="AB8" s="1235">
        <f ca="1">+Y8*(1+AA8/100)</f>
        <v>3.2215015692572364</v>
      </c>
      <c r="AC8" s="1284">
        <f t="shared" ca="1" si="6"/>
        <v>-6.6227367788129783</v>
      </c>
      <c r="AD8" s="1232">
        <f ca="1">OFFSET('VVP2'!$G$193,0,(COLUMN()-6)/5)</f>
        <v>3.0081500000000001</v>
      </c>
      <c r="AE8" s="1217">
        <f t="shared" ca="1" si="7"/>
        <v>-10.74983607627421</v>
      </c>
      <c r="AF8" s="1209">
        <f ca="1">OFFSET('VVP2'!$G$16,0,(COLUMN()-7)/5)</f>
        <v>0.22345871660096606</v>
      </c>
      <c r="AG8" s="1235">
        <f ca="1">+AD8*(1+AF8/100)</f>
        <v>3.0148719733834319</v>
      </c>
      <c r="AH8" s="1284">
        <f t="shared" ca="1" si="8"/>
        <v>-0.654819626097634</v>
      </c>
      <c r="AI8" s="1232">
        <f ca="1">OFFSET('VVP2'!$G$193,0,(COLUMN()-6)/5)</f>
        <v>2.9951300000000001</v>
      </c>
      <c r="AJ8" s="1217">
        <f t="shared" ca="1" si="9"/>
        <v>-0.43282416102921051</v>
      </c>
      <c r="AK8" s="1209">
        <f ca="1">OFFSET('VVP2'!$G$16,0,(COLUMN()-7)/5)</f>
        <v>1.3605540892593027</v>
      </c>
      <c r="AL8" s="1235">
        <f ca="1">+AI8*(1+AK8/100)</f>
        <v>3.0358803636936322</v>
      </c>
      <c r="AM8" s="1284">
        <f t="shared" ca="1" si="10"/>
        <v>-1.134444034933253</v>
      </c>
      <c r="AN8" s="1232">
        <f ca="1">OFFSET('VVP2'!$G$193,0,(COLUMN()-6)/5)</f>
        <v>3.0014400000000001</v>
      </c>
      <c r="AO8" s="1217">
        <f t="shared" ca="1" si="11"/>
        <v>0.21067532961842605</v>
      </c>
      <c r="AP8" s="1209">
        <f ca="1">OFFSET('VVP2'!$G$16,0,(COLUMN()-7)/5)</f>
        <v>2.4593939771627937</v>
      </c>
      <c r="AQ8" s="1235">
        <f ca="1">+AN8*(1+AP8/100)</f>
        <v>3.0752572345881553</v>
      </c>
      <c r="AR8" s="1284">
        <f t="shared" ca="1" si="12"/>
        <v>1.6474317934132046</v>
      </c>
      <c r="AS8" s="1232">
        <f ca="1">OFFSET('VVP2'!$G$193,0,(COLUMN()-6)/5)</f>
        <v>3.1259200000000003</v>
      </c>
      <c r="AT8" s="1217">
        <f t="shared" ca="1" si="13"/>
        <v>4.1473426088810772</v>
      </c>
      <c r="AU8" s="1209">
        <f ca="1">OFFSET('VVP2'!$G$16,0,(COLUMN()-7)/5)</f>
        <v>2.919078684026899</v>
      </c>
      <c r="AV8" s="1235">
        <f ca="1">+AS8*(1+AU8/100)</f>
        <v>3.217168064399734</v>
      </c>
      <c r="AW8" s="1284">
        <f t="shared" ca="1" si="14"/>
        <v>1.3036911582078545</v>
      </c>
      <c r="AX8" s="1232">
        <f ca="1">OFFSET('VVP2'!$G$193,0,(COLUMN()-6)/5)</f>
        <v>3.2591100000000002</v>
      </c>
      <c r="AY8" s="1217">
        <f t="shared" ca="1" si="15"/>
        <v>4.260825612939545</v>
      </c>
      <c r="AZ8" s="1209">
        <f ca="1">OFFSET('VVP2'!$G$16,0,(COLUMN()-7)/5)</f>
        <v>4.5939341332392081</v>
      </c>
      <c r="BA8" s="1235">
        <f ca="1">+AX8*(1+AZ8/100)</f>
        <v>3.4088313667298125</v>
      </c>
      <c r="BB8" s="1284">
        <f t="shared" ca="1" si="16"/>
        <v>2.542180118265037</v>
      </c>
      <c r="BC8" s="1232">
        <f ca="1">OFFSET('VVP2'!$G$193,0,(COLUMN()-6)/5)</f>
        <v>3.4954899999999998</v>
      </c>
      <c r="BD8" s="1217">
        <f t="shared" ca="1" si="17"/>
        <v>7.2529003316856411</v>
      </c>
      <c r="BE8" s="1209">
        <f ca="1">OFFSET('VVP2'!$G$16,0,(COLUMN()-7)/5)</f>
        <v>3.5574155936628493</v>
      </c>
      <c r="BF8" s="1235">
        <f ca="1">+BC8*(1+BE8/100)</f>
        <v>3.6198391063349251</v>
      </c>
      <c r="BG8" s="1284">
        <f t="shared" ca="1" si="18"/>
        <v>7.3641641474771831</v>
      </c>
      <c r="BH8" s="1232">
        <f ca="1">OFFSET('VVP2'!$G$193,0,(COLUMN()-6)/5)</f>
        <v>3.8864099999999997</v>
      </c>
      <c r="BI8" s="1217">
        <f t="shared" ca="1" si="19"/>
        <v>11.183553664865297</v>
      </c>
      <c r="BJ8" s="1209">
        <f ca="1">OFFSET('VVP2'!$G$16,0,(COLUMN()-7)/5)</f>
        <v>2.1037421147720448</v>
      </c>
      <c r="BK8" s="1235">
        <f ca="1">+BH8*(1+BJ8/100)</f>
        <v>3.9681700439227119</v>
      </c>
      <c r="BL8" s="1284">
        <f t="shared" ca="1" si="20"/>
        <v>16.061054567290142</v>
      </c>
      <c r="BM8" s="1232">
        <f ca="1">OFFSET('VVP2'!$G$193,0,(COLUMN()-6)/5)</f>
        <v>4.6055000000000001</v>
      </c>
      <c r="BN8" s="1217">
        <f t="shared" ca="1" si="21"/>
        <v>18.502679851070791</v>
      </c>
      <c r="BO8" s="1209">
        <f ca="1">OFFSET('VVP2'!$G$16,0,(COLUMN()-7)/5)</f>
        <v>1.8506567525384376</v>
      </c>
      <c r="BP8" s="1235">
        <f ca="1">+BM8*(1+BO8/100)</f>
        <v>4.6907319967381582</v>
      </c>
      <c r="BQ8" s="1284">
        <f t="shared" ca="1" si="22"/>
        <v>8.0178957894710692</v>
      </c>
      <c r="BR8" s="1232">
        <f ca="1">OFFSET('VVP2'!$G$193,0,(COLUMN()-6)/5)</f>
        <v>5.0668299999999995</v>
      </c>
      <c r="BS8" s="1217">
        <f t="shared" ca="1" si="23"/>
        <v>10.016936271848852</v>
      </c>
      <c r="BT8" s="1209">
        <f ca="1">OFFSET('VVP2'!$G$16,0,(COLUMN()-7)/5)</f>
        <v>0.23588844714808044</v>
      </c>
      <c r="BU8" s="1235">
        <f ca="1">+BR8*(1+BT8/100)</f>
        <v>5.0787820666066326</v>
      </c>
      <c r="BV8" s="1284">
        <f t="shared" ca="1" si="24"/>
        <v>20.123287827473661</v>
      </c>
      <c r="BW8" s="1232">
        <f ca="1">OFFSET('VVP2'!$G$193,0,(COLUMN()-6)/5)</f>
        <v>6.1008000000000004</v>
      </c>
      <c r="BX8" s="1217">
        <f t="shared" ca="1" si="25"/>
        <v>20.406644785793105</v>
      </c>
      <c r="BY8" s="1209">
        <f ca="1">OFFSET('VVP2'!$G$16,0,(COLUMN()-7)/5)</f>
        <v>-1.3144310859859787</v>
      </c>
      <c r="BZ8" s="1235">
        <f ca="1">+BW8*(1+BY8/100)</f>
        <v>6.0206091883061674</v>
      </c>
      <c r="CA8" s="1284">
        <f t="shared" ca="1" si="26"/>
        <v>-4.995826483645061</v>
      </c>
      <c r="CB8" s="1232">
        <f ca="1">OFFSET('VVP2'!$G$193,0,(COLUMN()-6)/5)</f>
        <v>5.71983</v>
      </c>
      <c r="CC8" s="1217">
        <f t="shared" ca="1" si="27"/>
        <v>-6.244590873328093</v>
      </c>
      <c r="CD8" s="1209">
        <f ca="1">OFFSET('VVP2'!$G$16,0,(COLUMN()-7)/5)</f>
        <v>-3.1615262636618624</v>
      </c>
      <c r="CE8" s="1235">
        <f ca="1">+CB8*(1+CD8/100)</f>
        <v>5.5389960723131892</v>
      </c>
      <c r="CF8" s="1284">
        <f t="shared" ca="1" si="28"/>
        <v>0.44022287375675262</v>
      </c>
      <c r="CG8" s="1232">
        <f ca="1">OFFSET('VVP2'!$G$193,0,(COLUMN()-6)/5)</f>
        <v>5.5633800000000004</v>
      </c>
      <c r="CH8" s="1217">
        <f t="shared" ca="1" si="29"/>
        <v>-2.7352211516775804</v>
      </c>
      <c r="CI8" s="1209">
        <f ca="1">OFFSET('VVP2'!$G$16,0,(COLUMN()-7)/5)</f>
        <v>-0.35589875219742551</v>
      </c>
      <c r="CJ8" s="1235">
        <f ca="1">+CG8*(1+CI8/100)</f>
        <v>5.5435799999999995</v>
      </c>
      <c r="CK8" s="1284">
        <f t="shared" ca="1" si="30"/>
        <v>3.4948535062180071</v>
      </c>
      <c r="CL8" s="1232">
        <f ca="1">OFFSET('VVP2'!$G$193,0,(COLUMN()-6)/5)</f>
        <v>5.7373199999999995</v>
      </c>
      <c r="CM8" s="1217">
        <f t="shared" ca="1" si="31"/>
        <v>3.1265166140008294</v>
      </c>
      <c r="CN8" s="1209">
        <f ca="1">OFFSET('VVP2'!$G$16,0,(COLUMN()-7)/5)</f>
        <v>1.2852705291526378</v>
      </c>
      <c r="CO8" s="1235">
        <f ca="1">+CL8*(1+CN8/100)</f>
        <v>5.8110600831231798</v>
      </c>
      <c r="CP8" s="1284">
        <f t="shared" ca="1" si="32"/>
        <v>0.33763059744988766</v>
      </c>
      <c r="CQ8" s="1232">
        <f ca="1">OFFSET('VVP2'!$G$193,0,(COLUMN()-6)/5)</f>
        <v>5.8306800000000001</v>
      </c>
      <c r="CR8" s="1217">
        <f t="shared" ca="1" si="33"/>
        <v>1.6272405931689438</v>
      </c>
      <c r="CS8" s="1209">
        <f ca="1">OFFSET('VVP2'!$G$16,0,(COLUMN()-7)/5)</f>
        <v>0.72272891610254408</v>
      </c>
      <c r="CT8" s="1235">
        <f ca="1">+CQ8*(1+CS8/100)</f>
        <v>5.872820010365408</v>
      </c>
      <c r="CU8" s="1284">
        <f t="shared" ca="1" si="34"/>
        <v>-0.6104394533143136</v>
      </c>
      <c r="CV8" s="1232">
        <f ca="1">OFFSET('VVP2'!$G$193,0,(COLUMN()-6)/5)</f>
        <v>5.83697</v>
      </c>
      <c r="CW8" s="1217">
        <f t="shared" ca="1" si="35"/>
        <v>0.10787764034383418</v>
      </c>
      <c r="CX8" s="1209">
        <f ca="1">OFFSET('VVP2'!$G$16,0,(COLUMN()-7)/5)</f>
        <v>0.28733548938097986</v>
      </c>
      <c r="CY8" s="1235">
        <f ca="1">+CV8*(1+CX8/100)</f>
        <v>5.8537416863145211</v>
      </c>
      <c r="CZ8" s="1284">
        <f t="shared" ca="1" si="36"/>
        <v>3.7512470732840058</v>
      </c>
      <c r="DA8" s="1232">
        <f ca="1">OFFSET('VVP2'!$G$193,0,(COLUMN()-6)/5)</f>
        <v>6.0733300000000003</v>
      </c>
      <c r="DB8" s="1217">
        <f t="shared" ca="1" si="37"/>
        <v>4.0493612268009072</v>
      </c>
      <c r="DC8" s="1209">
        <f ca="1">OFFSET('VVP2'!$G$16,0,(COLUMN()-7)/5)</f>
        <v>0.16432578821721222</v>
      </c>
      <c r="DD8" s="1235">
        <f ca="1">+DA8*(1+DC8/100)</f>
        <v>6.0833100473935326</v>
      </c>
      <c r="DE8" s="1284">
        <f t="shared" ca="1" si="38"/>
        <v>5.678815478992135</v>
      </c>
      <c r="DF8" s="1232">
        <f ca="1">OFFSET('VVP2'!$G$193,0,(COLUMN()-6)/5)</f>
        <v>6.4287700000000001</v>
      </c>
      <c r="DG8" s="1217">
        <f t="shared" ca="1" si="39"/>
        <v>5.8524730255065993</v>
      </c>
      <c r="DH8" s="1209">
        <f ca="1">OFFSET('VVP2'!$G$16,0,(COLUMN()-7)/5)</f>
        <v>1.2923826522888593</v>
      </c>
      <c r="DI8" s="1235">
        <f ca="1">+DF8*(1+DH8/100)</f>
        <v>6.5118543082355504</v>
      </c>
      <c r="DJ8" s="1284">
        <f t="shared" ca="1" si="40"/>
        <v>1.9198170881425085</v>
      </c>
      <c r="DK8" s="1232">
        <f ca="1">OFFSET('VVP2'!$G$193,0,(COLUMN()-6)/5)</f>
        <v>6.63687</v>
      </c>
      <c r="DL8" s="1217">
        <f t="shared" ca="1" si="41"/>
        <v>3.2370111234341969</v>
      </c>
      <c r="DM8" s="3405">
        <f ca="1">OFFSET('VVP2'!$G$16,0,(COLUMN()-7)/5)</f>
        <v>1.1589392464896431</v>
      </c>
      <c r="DN8" s="1210">
        <f ca="1">+DK8*(1+DM8/100)</f>
        <v>6.7137872911684973</v>
      </c>
      <c r="DO8" s="3405">
        <f ca="1">+DO50</f>
        <v>2.8934891799006266</v>
      </c>
      <c r="DP8" s="1207">
        <f ca="1">+DN8*(1+DO8/100)</f>
        <v>6.9080500000000011</v>
      </c>
      <c r="DQ8" s="1396">
        <f t="shared" ca="1" si="42"/>
        <v>4.0859622080890778</v>
      </c>
      <c r="DR8" s="3405">
        <f>+DR50</f>
        <v>1.64</v>
      </c>
      <c r="DS8" s="1210">
        <f ca="1">+DP8*(1+DR8/100)</f>
        <v>7.0213420200000005</v>
      </c>
      <c r="DT8" s="3405">
        <f>+DT50</f>
        <v>3.94</v>
      </c>
      <c r="DU8" s="1207">
        <f ca="1">+DS8*(1+DT8/100)</f>
        <v>7.2979828955880013</v>
      </c>
      <c r="DV8" s="1396">
        <f t="shared" ca="1" si="43"/>
        <v>5.6446159999999912</v>
      </c>
      <c r="DW8" s="3405">
        <f>+DW50</f>
        <v>1.54</v>
      </c>
      <c r="DX8" s="1210">
        <f ca="1">+DU8*(1+DW8/100)</f>
        <v>7.4103718321800569</v>
      </c>
      <c r="DY8" s="3405">
        <f>+DY50</f>
        <v>3.54</v>
      </c>
      <c r="DZ8" s="1207">
        <f ca="1">+DX8*(1+DY8/100)</f>
        <v>7.6726989950392319</v>
      </c>
      <c r="EA8" s="1396">
        <f t="shared" ca="1" si="44"/>
        <v>5.1345160000000112</v>
      </c>
    </row>
    <row r="9" spans="1:145">
      <c r="C9" s="1224" t="s">
        <v>1767</v>
      </c>
      <c r="D9" s="1078"/>
      <c r="E9" s="1078" t="s">
        <v>376</v>
      </c>
      <c r="F9" s="1077" t="s">
        <v>850</v>
      </c>
      <c r="G9" s="1246"/>
      <c r="H9" s="1247"/>
      <c r="I9" s="1248"/>
      <c r="J9" s="1231">
        <f ca="1">OFFSET('VVP2'!$G$212,0,(COLUMN()-6)/5)</f>
        <v>1.5812299999999999</v>
      </c>
      <c r="K9" s="1249"/>
      <c r="L9" s="1213">
        <f ca="1">OFFSET('VVP2'!$G$42,0,(COLUMN()-7)/5)</f>
        <v>21.052143368447961</v>
      </c>
      <c r="M9" s="1236">
        <f ca="1">+J9*(1+L9/100)</f>
        <v>1.9141128065849096</v>
      </c>
      <c r="N9" s="1285">
        <f t="shared" ca="1" si="0"/>
        <v>4.4264472356912847</v>
      </c>
      <c r="O9" s="1231">
        <f ca="1">OFFSET('VVP2'!$G$212,0,(COLUMN()-10)/5)</f>
        <v>1.99884</v>
      </c>
      <c r="P9" s="1218">
        <f t="shared" ca="1" si="1"/>
        <v>26.410452622325664</v>
      </c>
      <c r="Q9" s="1213">
        <f ca="1">OFFSET('VVP2'!$G$42,0,(COLUMN()-7)/5)</f>
        <v>25.539577706707984</v>
      </c>
      <c r="R9" s="1236">
        <f ca="1">+O9*(1+Q9/100)</f>
        <v>2.5093352950327619</v>
      </c>
      <c r="S9" s="1285">
        <f t="shared" ca="1" si="2"/>
        <v>4.5189140403716976</v>
      </c>
      <c r="T9" s="1231">
        <f ca="1">OFFSET('VVP2'!$G$212,0,(COLUMN()-10)/5)</f>
        <v>2.6227300000000002</v>
      </c>
      <c r="U9" s="1218">
        <f t="shared" ca="1" si="3"/>
        <v>31.212603309919771</v>
      </c>
      <c r="V9" s="1213">
        <f ca="1">OFFSET('VVP2'!$G$42,0,(COLUMN()-7)/5)</f>
        <v>21.100038350932927</v>
      </c>
      <c r="W9" s="1236">
        <f ca="1">+T9*(1+V9/100)</f>
        <v>3.1761270358414233</v>
      </c>
      <c r="X9" s="1285">
        <f t="shared" ca="1" si="4"/>
        <v>-2.077909198740187</v>
      </c>
      <c r="Y9" s="1231">
        <f ca="1">OFFSET('VVP2'!$G$212,0,(COLUMN()-10)/5)</f>
        <v>3.1101300000000003</v>
      </c>
      <c r="Z9" s="1218">
        <f t="shared" ca="1" si="5"/>
        <v>18.583689514361001</v>
      </c>
      <c r="AA9" s="1213">
        <f ca="1">OFFSET('VVP2'!$G$42,0,(COLUMN()-7)/5)</f>
        <v>-5.9441297641102402</v>
      </c>
      <c r="AB9" s="1236">
        <f ca="1">+Y9*(1+AA9/100)</f>
        <v>2.9252598369674785</v>
      </c>
      <c r="AC9" s="1285">
        <f t="shared" ca="1" si="6"/>
        <v>-4.6129179795312041</v>
      </c>
      <c r="AD9" s="1231">
        <f ca="1">OFFSET('VVP2'!$G$212,0,(COLUMN()-10)/5)</f>
        <v>2.7903200000000004</v>
      </c>
      <c r="AE9" s="1218">
        <f t="shared" ca="1" si="7"/>
        <v>-10.282849913026137</v>
      </c>
      <c r="AF9" s="1213">
        <f ca="1">OFFSET('VVP2'!$G$42,0,(COLUMN()-7)/5)</f>
        <v>-8.3737695967158743</v>
      </c>
      <c r="AG9" s="1236">
        <f ca="1">+AD9*(1+AF9/100)</f>
        <v>2.5566650321889179</v>
      </c>
      <c r="AH9" s="1285">
        <f t="shared" ca="1" si="8"/>
        <v>9.7657732898426275E-4</v>
      </c>
      <c r="AI9" s="1231">
        <f ca="1">OFFSET('VVP2'!$G$212,0,(COLUMN()-10)/5)</f>
        <v>2.5566900000000001</v>
      </c>
      <c r="AJ9" s="1218">
        <f t="shared" ca="1" si="9"/>
        <v>-8.3728747957223622</v>
      </c>
      <c r="AK9" s="1213">
        <f ca="1">OFFSET('VVP2'!$G$42,0,(COLUMN()-7)/5)</f>
        <v>13.18589520055442</v>
      </c>
      <c r="AL9" s="1236">
        <f ca="1">+AI9*(1+AK9/100)</f>
        <v>2.8938124640030551</v>
      </c>
      <c r="AM9" s="1285">
        <f t="shared" ca="1" si="10"/>
        <v>0.62987965611741004</v>
      </c>
      <c r="AN9" s="1231">
        <f ca="1">OFFSET('VVP2'!$G$212,0,(COLUMN()-10)/5)</f>
        <v>2.9120400000000002</v>
      </c>
      <c r="AO9" s="1218">
        <f t="shared" ca="1" si="11"/>
        <v>13.898830128017092</v>
      </c>
      <c r="AP9" s="1213">
        <f ca="1">OFFSET('VVP2'!$G$42,0,(COLUMN()-7)/5)</f>
        <v>10.691182506773567</v>
      </c>
      <c r="AQ9" s="1236">
        <f ca="1">+AN9*(1+AP9/100)</f>
        <v>3.223371511070249</v>
      </c>
      <c r="AR9" s="1285">
        <f t="shared" ca="1" si="12"/>
        <v>-2.403431028790294</v>
      </c>
      <c r="AS9" s="1231">
        <f ca="1">OFFSET('VVP2'!$G$212,0,(COLUMN()-10)/5)</f>
        <v>3.1459000000000001</v>
      </c>
      <c r="AT9" s="1218">
        <f t="shared" ca="1" si="13"/>
        <v>8.0307962802708808</v>
      </c>
      <c r="AU9" s="1213">
        <f ca="1">OFFSET('VVP2'!$G$42,0,(COLUMN()-7)/5)</f>
        <v>13.492945688229208</v>
      </c>
      <c r="AV9" s="1236">
        <f ca="1">+AS9*(1+AU9/100)</f>
        <v>3.5703745784060028</v>
      </c>
      <c r="AW9" s="1285">
        <f t="shared" ca="1" si="14"/>
        <v>0.55751633776432641</v>
      </c>
      <c r="AX9" s="1231">
        <f ca="1">OFFSET('VVP2'!$G$212,0,(COLUMN()-10)/5)</f>
        <v>3.5902800000000004</v>
      </c>
      <c r="AY9" s="1218">
        <f t="shared" ca="1" si="15"/>
        <v>14.125687402651078</v>
      </c>
      <c r="AZ9" s="1213">
        <f ca="1">OFFSET('VVP2'!$G$42,0,(COLUMN()-7)/5)</f>
        <v>15.723477944641729</v>
      </c>
      <c r="BA9" s="1236">
        <f ca="1">+AX9*(1+AZ9/100)</f>
        <v>4.1547968839508833</v>
      </c>
      <c r="BB9" s="1285">
        <f t="shared" ca="1" si="16"/>
        <v>0.51032858263229741</v>
      </c>
      <c r="BC9" s="1231">
        <f ca="1">OFFSET('VVP2'!$G$212,0,(COLUMN()-10)/5)</f>
        <v>4.1760000000000002</v>
      </c>
      <c r="BD9" s="1218">
        <f t="shared" ca="1" si="17"/>
        <v>16.314047929409405</v>
      </c>
      <c r="BE9" s="1213">
        <f ca="1">OFFSET('VVP2'!$G$42,0,(COLUMN()-7)/5)</f>
        <v>11.472066413767458</v>
      </c>
      <c r="BF9" s="1236">
        <f ca="1">+BC9*(1+BE9/100)</f>
        <v>4.6550734934389295</v>
      </c>
      <c r="BG9" s="1285">
        <f t="shared" ca="1" si="18"/>
        <v>5.5059604734988739</v>
      </c>
      <c r="BH9" s="1231">
        <f ca="1">OFFSET('VVP2'!$G$212,0,(COLUMN()-10)/5)</f>
        <v>4.9113800000000003</v>
      </c>
      <c r="BI9" s="1218">
        <f t="shared" ca="1" si="19"/>
        <v>17.609674329501914</v>
      </c>
      <c r="BJ9" s="1213">
        <f ca="1">OFFSET('VVP2'!$G$42,0,(COLUMN()-7)/5)</f>
        <v>19.593435567110017</v>
      </c>
      <c r="BK9" s="1236">
        <f ca="1">+BH9*(1+BJ9/100)</f>
        <v>5.8736880757559282</v>
      </c>
      <c r="BL9" s="1285">
        <f t="shared" ca="1" si="20"/>
        <v>6.2858619572942587</v>
      </c>
      <c r="BM9" s="1231">
        <f ca="1">OFFSET('VVP2'!$G$212,0,(COLUMN()-10)/5)</f>
        <v>6.2428999999999997</v>
      </c>
      <c r="BN9" s="1218">
        <f t="shared" ca="1" si="21"/>
        <v>27.110913836844208</v>
      </c>
      <c r="BO9" s="1213">
        <f ca="1">OFFSET('VVP2'!$G$42,0,(COLUMN()-7)/5)</f>
        <v>22.334362987898349</v>
      </c>
      <c r="BP9" s="1236">
        <f ca="1">+BM9*(1+BO9/100)</f>
        <v>7.6372119469715054</v>
      </c>
      <c r="BQ9" s="1285">
        <f t="shared" ca="1" si="22"/>
        <v>8.6609885599782501</v>
      </c>
      <c r="BR9" s="1231">
        <f ca="1">OFFSET('VVP2'!$G$212,0,(COLUMN()-10)/5)</f>
        <v>8.2986699999999995</v>
      </c>
      <c r="BS9" s="1218">
        <f t="shared" ca="1" si="23"/>
        <v>32.929728171202477</v>
      </c>
      <c r="BT9" s="1213">
        <f ca="1">OFFSET('VVP2'!$G$42,0,(COLUMN()-7)/5)</f>
        <v>-3.9963277056724089</v>
      </c>
      <c r="BU9" s="1236">
        <f ca="1">+BR9*(1+BT9/100)</f>
        <v>7.9670279515876752</v>
      </c>
      <c r="BV9" s="1285">
        <f t="shared" ca="1" si="24"/>
        <v>6.8569114070129444</v>
      </c>
      <c r="BW9" s="1231">
        <f ca="1">OFFSET('VVP2'!$G$212,0,(COLUMN()-10)/5)</f>
        <v>8.5133200000000002</v>
      </c>
      <c r="BX9" s="1218">
        <f t="shared" ca="1" si="25"/>
        <v>2.5865590510286696</v>
      </c>
      <c r="BY9" s="1213">
        <f ca="1">OFFSET('VVP2'!$G$42,0,(COLUMN()-7)/5)</f>
        <v>-38.902640751074678</v>
      </c>
      <c r="BZ9" s="1236">
        <f ca="1">+BW9*(1+BY9/100)</f>
        <v>5.2014137044106095</v>
      </c>
      <c r="CA9" s="1285">
        <f t="shared" ca="1" si="26"/>
        <v>-7.5151435095259842</v>
      </c>
      <c r="CB9" s="1231">
        <f ca="1">OFFSET('VVP2'!$G$212,0,(COLUMN()-10)/5)</f>
        <v>4.8105200000000004</v>
      </c>
      <c r="CC9" s="1218">
        <f t="shared" ca="1" si="27"/>
        <v>-43.49419497916206</v>
      </c>
      <c r="CD9" s="1213">
        <f ca="1">OFFSET('VVP2'!$G$42,0,(COLUMN()-7)/5)</f>
        <v>1.4754443294586528</v>
      </c>
      <c r="CE9" s="1236">
        <f ca="1">+CB9*(1+CD9/100)</f>
        <v>4.8814965445574749</v>
      </c>
      <c r="CF9" s="1285">
        <f t="shared" ca="1" si="28"/>
        <v>-3.1792820734556955</v>
      </c>
      <c r="CG9" s="1231">
        <f ca="1">OFFSET('VVP2'!$G$212,0,(COLUMN()-10)/5)</f>
        <v>4.7263000000000002</v>
      </c>
      <c r="CH9" s="1218">
        <f t="shared" ca="1" si="29"/>
        <v>-1.750746281067328</v>
      </c>
      <c r="CI9" s="1213">
        <f ca="1">OFFSET('VVP2'!$G$42,0,(COLUMN()-7)/5)</f>
        <v>20.146626325032258</v>
      </c>
      <c r="CJ9" s="1236">
        <f ca="1">+CG9*(1+CI9/100)</f>
        <v>5.67849</v>
      </c>
      <c r="CK9" s="1285">
        <f t="shared" ca="1" si="30"/>
        <v>1.8071705682320527</v>
      </c>
      <c r="CL9" s="1231">
        <f ca="1">OFFSET('VVP2'!$G$212,0,(COLUMN()-10)/5)</f>
        <v>5.78111</v>
      </c>
      <c r="CM9" s="1218">
        <f t="shared" ca="1" si="31"/>
        <v>22.317880794701985</v>
      </c>
      <c r="CN9" s="1213">
        <f ca="1">OFFSET('VVP2'!$G$42,0,(COLUMN()-7)/5)</f>
        <v>-1.7782896509459301</v>
      </c>
      <c r="CO9" s="1236">
        <f ca="1">+CL9*(1+CN9/100)</f>
        <v>5.6783051191601999</v>
      </c>
      <c r="CP9" s="1285">
        <f t="shared" ca="1" si="32"/>
        <v>1.9323526745605335</v>
      </c>
      <c r="CQ9" s="1231">
        <f ca="1">OFFSET('VVP2'!$G$212,0,(COLUMN()-10)/5)</f>
        <v>5.78803</v>
      </c>
      <c r="CR9" s="1218">
        <f t="shared" ca="1" si="33"/>
        <v>0.11970019598313009</v>
      </c>
      <c r="CS9" s="3401">
        <f ca="1">OFFSET('VVP2'!$G$42,0,(COLUMN()-7)/5)</f>
        <v>8.2995817129866154</v>
      </c>
      <c r="CT9" s="1236">
        <f ca="1">+CQ9*(1+CS9/100)</f>
        <v>6.2684122794221793</v>
      </c>
      <c r="CU9" s="1285">
        <f t="shared" ca="1" si="34"/>
        <v>2.9747201087898105</v>
      </c>
      <c r="CV9" s="1231">
        <f ca="1">OFFSET('VVP2'!$G$212,0,(COLUMN()-10)/5)</f>
        <v>6.4548800000000002</v>
      </c>
      <c r="CW9" s="1218">
        <f t="shared" ca="1" si="35"/>
        <v>11.521191147938081</v>
      </c>
      <c r="CX9" s="3401">
        <f ca="1">OFFSET('VVP2'!$G$42,0,(COLUMN()-7)/5)</f>
        <v>5.75191791299281</v>
      </c>
      <c r="CY9" s="1236">
        <f ca="1">+CV9*(1+CX9/100)</f>
        <v>6.82615939898219</v>
      </c>
      <c r="CZ9" s="1285">
        <f t="shared" ca="1" si="36"/>
        <v>1.162155706906546</v>
      </c>
      <c r="DA9" s="1231">
        <f ca="1">OFFSET('VVP2'!$G$212,0,(COLUMN()-10)/5)</f>
        <v>6.9054899999999995</v>
      </c>
      <c r="DB9" s="1218">
        <f t="shared" ca="1" si="37"/>
        <v>6.9809198621817892</v>
      </c>
      <c r="DC9" s="3401">
        <f ca="1">OFFSET('VVP2'!$G$42,0,(COLUMN()-7)/5)</f>
        <v>4.8264990153196852</v>
      </c>
      <c r="DD9" s="1236">
        <f ca="1">+DA9*(1+DC9/100)</f>
        <v>7.238783406852999</v>
      </c>
      <c r="DE9" s="1285">
        <f t="shared" ca="1" si="38"/>
        <v>1.1940762458118428</v>
      </c>
      <c r="DF9" s="1231">
        <f ca="1">OFFSET('VVP2'!$G$212,0,(COLUMN()-10)/5)</f>
        <v>7.3252199999999998</v>
      </c>
      <c r="DG9" s="1218">
        <f t="shared" ca="1" si="39"/>
        <v>6.0782073393778058</v>
      </c>
      <c r="DH9" s="3648">
        <f ca="1">OFFSET('VVP2'!$G$42,0,(COLUMN()-7)/5)</f>
        <v>-0.47086618171282568</v>
      </c>
      <c r="DI9" s="1236">
        <f ca="1">+DF9*(1+DH9/100)</f>
        <v>7.2907280162839356</v>
      </c>
      <c r="DJ9" s="1285">
        <f t="shared" ca="1" si="40"/>
        <v>0.32194293441804689</v>
      </c>
      <c r="DK9" s="1231">
        <f ca="1">OFFSET('VVP2'!$G$212,0,(COLUMN()-10)/5)</f>
        <v>7.3141999999999996</v>
      </c>
      <c r="DL9" s="1218">
        <f t="shared" ca="1" si="41"/>
        <v>-0.15043916769735821</v>
      </c>
      <c r="DM9" s="3406">
        <f ca="1">OFFSET('VVP2'!$G$42,0,(COLUMN()-7)/5)</f>
        <v>7.3037703461852344</v>
      </c>
      <c r="DN9" s="1211">
        <f ca="1">+DK9*(1+DM9/100)</f>
        <v>7.8484123706606796</v>
      </c>
      <c r="DO9" s="3406">
        <f ca="1">+DO65</f>
        <v>0.32625432069880844</v>
      </c>
      <c r="DP9" s="1208">
        <f ca="1">+DN9*(1+DO9/100)</f>
        <v>7.8740181551262207</v>
      </c>
      <c r="DQ9" s="1397">
        <f t="shared" ca="1" si="42"/>
        <v>7.6538535332123958</v>
      </c>
      <c r="DR9" s="3406">
        <f ca="1">+DR65</f>
        <v>6.762084236947663</v>
      </c>
      <c r="DS9" s="1211">
        <f ca="1">+DP9*(1+DR9/100)</f>
        <v>8.4064658956084077</v>
      </c>
      <c r="DT9" s="3406">
        <f ca="1">+DT65</f>
        <v>2.3682800607741257</v>
      </c>
      <c r="DU9" s="1208">
        <f ca="1">+DS9*(1+DT9/100)</f>
        <v>8.6055545512298774</v>
      </c>
      <c r="DV9" s="1397">
        <f t="shared" ca="1" si="43"/>
        <v>9.2905093903981495</v>
      </c>
      <c r="DW9" s="3406">
        <f ca="1">+DW65</f>
        <v>4.1647416495982359</v>
      </c>
      <c r="DX9" s="1211">
        <f ca="1">+DU9*(1+DW9/100)</f>
        <v>8.9639536658038441</v>
      </c>
      <c r="DY9" s="3406">
        <f ca="1">+DY65</f>
        <v>2.3764176785420261</v>
      </c>
      <c r="DZ9" s="1208">
        <f ca="1">+DX9*(1+DY9/100)</f>
        <v>9.1769746454143224</v>
      </c>
      <c r="EA9" s="1397">
        <f t="shared" ca="1" si="44"/>
        <v>6.6401309849668966</v>
      </c>
    </row>
    <row r="10" spans="1:145">
      <c r="A10" s="1456" t="s">
        <v>1940</v>
      </c>
      <c r="C10" s="1224" t="s">
        <v>1769</v>
      </c>
      <c r="D10" s="1203"/>
      <c r="E10" s="1203" t="s">
        <v>1941</v>
      </c>
      <c r="F10" s="1227"/>
      <c r="G10" s="1365"/>
      <c r="H10" s="1366"/>
      <c r="I10" s="1366"/>
      <c r="J10" s="1212">
        <f ca="1">+J7+J8+J9</f>
        <v>8.4052600000000002</v>
      </c>
      <c r="K10" s="1368"/>
      <c r="L10" s="3055">
        <f ca="1">OFFSET('VVP2'!$G$61,0,(COLUMN()-7)/5)</f>
        <v>7.5825031524344499</v>
      </c>
      <c r="M10" s="1212">
        <f ca="1">+J10*(1+L10/100)</f>
        <v>9.0425891044703128</v>
      </c>
      <c r="N10" s="1286">
        <f t="shared" ca="1" si="0"/>
        <v>16.89406516076761</v>
      </c>
      <c r="O10" s="1212">
        <f ca="1">+O7+O8+O9</f>
        <v>10.57025</v>
      </c>
      <c r="P10" s="1230">
        <f t="shared" ca="1" si="1"/>
        <v>25.757561336591593</v>
      </c>
      <c r="Q10" s="3055">
        <f ca="1">OFFSET('VVP2'!$G$61,0,(COLUMN()-7)/5)</f>
        <v>8.8789250778812843</v>
      </c>
      <c r="R10" s="1212">
        <f ca="1">+O10*(1+Q10/100)</f>
        <v>11.508774578044745</v>
      </c>
      <c r="S10" s="1286">
        <f t="shared" ca="1" si="2"/>
        <v>9.8918908719182355</v>
      </c>
      <c r="T10" s="1212">
        <f ca="1">+T7+T8+T9</f>
        <v>12.647210000000001</v>
      </c>
      <c r="U10" s="1230">
        <f t="shared" ca="1" si="3"/>
        <v>19.649109529102926</v>
      </c>
      <c r="V10" s="3055">
        <f ca="1">OFFSET('VVP2'!$G$61,0,(COLUMN()-7)/5)</f>
        <v>8.1966570218200197</v>
      </c>
      <c r="W10" s="1212">
        <f ca="1">+T10*(1+V10/100)</f>
        <v>13.683858426529325</v>
      </c>
      <c r="X10" s="1286">
        <f t="shared" ca="1" si="4"/>
        <v>5.5835974741552832</v>
      </c>
      <c r="Y10" s="1212">
        <f ca="1">+Y7+Y8+Y9</f>
        <v>14.44791</v>
      </c>
      <c r="Z10" s="1230">
        <f t="shared" ca="1" si="5"/>
        <v>14.23792283041081</v>
      </c>
      <c r="AA10" s="3055">
        <f ca="1">OFFSET('VVP2'!$G$61,0,(COLUMN()-7)/5)</f>
        <v>0.42226428997069743</v>
      </c>
      <c r="AB10" s="1212">
        <f ca="1">+Y10*(1+AA10/100)</f>
        <v>14.508918364577106</v>
      </c>
      <c r="AC10" s="1286">
        <f t="shared" ca="1" si="6"/>
        <v>-3.1049755278586275</v>
      </c>
      <c r="AD10" s="1212">
        <f ca="1">+AD7+AD8+AD9</f>
        <v>14.058420000000002</v>
      </c>
      <c r="AE10" s="1230">
        <f t="shared" ca="1" si="7"/>
        <v>-2.6958224407543918</v>
      </c>
      <c r="AF10" s="3055">
        <f ca="1">OFFSET('VVP2'!$G$61,0,(COLUMN()-7)/5)</f>
        <v>2.490216423518099</v>
      </c>
      <c r="AG10" s="1212">
        <f ca="1">+AD10*(1+AF10/100)</f>
        <v>14.408505083727155</v>
      </c>
      <c r="AH10" s="1286">
        <f t="shared" ca="1" si="8"/>
        <v>-1.1437347786570484</v>
      </c>
      <c r="AI10" s="1212">
        <f ca="1">+AI7+AI8+AI9</f>
        <v>14.243709999999998</v>
      </c>
      <c r="AJ10" s="1230">
        <f t="shared" ca="1" si="9"/>
        <v>1.318000173561451</v>
      </c>
      <c r="AK10" s="3055">
        <f ca="1">OFFSET('VVP2'!$G$61,0,(COLUMN()-7)/5)</f>
        <v>5.1914940732004311</v>
      </c>
      <c r="AL10" s="1212">
        <f ca="1">+AI10*(1+AK10/100)</f>
        <v>14.983171360453856</v>
      </c>
      <c r="AM10" s="1286">
        <f t="shared" ca="1" si="10"/>
        <v>1.3304168707051929</v>
      </c>
      <c r="AN10" s="1212">
        <f ca="1">+AN7+AN8+AN9</f>
        <v>15.182510000000001</v>
      </c>
      <c r="AO10" s="1230">
        <f t="shared" ca="1" si="11"/>
        <v>6.5909794568971281</v>
      </c>
      <c r="AP10" s="3055">
        <f ca="1">OFFSET('VVP2'!$G$61,0,(COLUMN()-7)/5)</f>
        <v>6.2848080524413819</v>
      </c>
      <c r="AQ10" s="1212">
        <f ca="1">+AN10*(1+AP10/100)</f>
        <v>16.136701611042717</v>
      </c>
      <c r="AR10" s="1286">
        <f t="shared" ca="1" si="12"/>
        <v>-0.38707793295237991</v>
      </c>
      <c r="AS10" s="1212">
        <f ca="1">+AS7+AS8+AS9</f>
        <v>16.07424</v>
      </c>
      <c r="AT10" s="1230">
        <f t="shared" ca="1" si="13"/>
        <v>5.8734030143895666</v>
      </c>
      <c r="AU10" s="3055">
        <f ca="1">OFFSET('VVP2'!$G$61,0,(COLUMN()-7)/5)</f>
        <v>10.023612688262261</v>
      </c>
      <c r="AV10" s="1212">
        <f ca="1">+AS10*(1+AU10/100)</f>
        <v>17.685459560181727</v>
      </c>
      <c r="AW10" s="1286">
        <f t="shared" ca="1" si="14"/>
        <v>-0.54332520936051765</v>
      </c>
      <c r="AX10" s="1212">
        <f ca="1">+AX7+AX8+AX9</f>
        <v>17.589369999999999</v>
      </c>
      <c r="AY10" s="1230">
        <f t="shared" ca="1" si="15"/>
        <v>9.4258266642777357</v>
      </c>
      <c r="AZ10" s="3055">
        <f ca="1">OFFSET('VVP2'!$G$61,0,(COLUMN()-7)/5)</f>
        <v>11.197330478077493</v>
      </c>
      <c r="BA10" s="1212">
        <f ca="1">+AX10*(1+AZ10/100)</f>
        <v>19.558909887911817</v>
      </c>
      <c r="BB10" s="1286">
        <f t="shared" ca="1" si="16"/>
        <v>8.4877536513943141E-3</v>
      </c>
      <c r="BC10" s="1212">
        <f ca="1">+BC7+BC8+BC9</f>
        <v>19.560569999999998</v>
      </c>
      <c r="BD10" s="1230">
        <f t="shared" ca="1" si="17"/>
        <v>11.206768633555386</v>
      </c>
      <c r="BE10" s="3055">
        <f ca="1">OFFSET('VVP2'!$G$61,0,(COLUMN()-7)/5)</f>
        <v>10.137985829179264</v>
      </c>
      <c r="BF10" s="1212">
        <f ca="1">+BC10*(1+BE10/100)</f>
        <v>21.543617814706689</v>
      </c>
      <c r="BG10" s="1286">
        <f t="shared" ca="1" si="18"/>
        <v>3.8863119114644036</v>
      </c>
      <c r="BH10" s="1212">
        <f ca="1">+BH7+BH8+BH9</f>
        <v>22.380870000000002</v>
      </c>
      <c r="BI10" s="1230">
        <f t="shared" ca="1" si="19"/>
        <v>14.418291491505641</v>
      </c>
      <c r="BJ10" s="3055">
        <f ca="1">OFFSET('VVP2'!$G$61,0,(COLUMN()-7)/5)</f>
        <v>10.186712032597111</v>
      </c>
      <c r="BK10" s="1212">
        <f ca="1">+BH10*(1+BJ10/100)</f>
        <v>24.660744777289921</v>
      </c>
      <c r="BL10" s="1286">
        <f t="shared" ca="1" si="20"/>
        <v>6.8833899301910009</v>
      </c>
      <c r="BM10" s="1212">
        <f ca="1">+BM7+BM8+BM9</f>
        <v>26.358239999999999</v>
      </c>
      <c r="BN10" s="1230">
        <f t="shared" ca="1" si="21"/>
        <v>17.771293073057471</v>
      </c>
      <c r="BO10" s="3055">
        <f ca="1">OFFSET('VVP2'!$G$61,0,(COLUMN()-7)/5)</f>
        <v>12.920361326552543</v>
      </c>
      <c r="BP10" s="1212">
        <f ca="1">+BM10*(1+BO10/100)</f>
        <v>29.763819847319901</v>
      </c>
      <c r="BQ10" s="1286">
        <f t="shared" ca="1" si="22"/>
        <v>6.9288490632555693</v>
      </c>
      <c r="BR10" s="1212">
        <f ca="1">+BR7+BR8+BR9</f>
        <v>31.82611</v>
      </c>
      <c r="BS10" s="1230">
        <f t="shared" ca="1" si="23"/>
        <v>20.744442724552179</v>
      </c>
      <c r="BT10" s="3055">
        <f ca="1">OFFSET('VVP2'!$G$61,0,(COLUMN()-7)/5)</f>
        <v>1.2308496096373744</v>
      </c>
      <c r="BU10" s="1212">
        <f ca="1">+BR10*(1+BT10/100)</f>
        <v>32.217841550697763</v>
      </c>
      <c r="BV10" s="1286">
        <f t="shared" ca="1" si="24"/>
        <v>11.35119012720773</v>
      </c>
      <c r="BW10" s="1212">
        <f ca="1">+BW7+BW8+BW9</f>
        <v>35.874949999999998</v>
      </c>
      <c r="BX10" s="1230">
        <f t="shared" ca="1" si="25"/>
        <v>12.72175581621504</v>
      </c>
      <c r="BY10" s="3055">
        <f ca="1">OFFSET('VVP2'!$G$61,0,(COLUMN()-7)/5)</f>
        <v>-19.738740548391142</v>
      </c>
      <c r="BZ10" s="1212">
        <f ca="1">+BW10*(1+BY10/100)</f>
        <v>28.79368669763495</v>
      </c>
      <c r="CA10" s="1286">
        <f t="shared" ca="1" si="26"/>
        <v>0.25023993322454885</v>
      </c>
      <c r="CB10" s="1212">
        <f ca="1">+CB7+CB8+CB9</f>
        <v>28.865739999999999</v>
      </c>
      <c r="CC10" s="1230">
        <f t="shared" ca="1" si="27"/>
        <v>-19.537894826334256</v>
      </c>
      <c r="CD10" s="3055">
        <f ca="1">OFFSET('VVP2'!$G$61,0,(COLUMN()-7)/5)</f>
        <v>-2.5112271051088153</v>
      </c>
      <c r="CE10" s="1212">
        <f ca="1">+CB10*(1+CD10/100)</f>
        <v>28.140855713029762</v>
      </c>
      <c r="CF10" s="1286">
        <f t="shared" ca="1" si="28"/>
        <v>0.3353284204735445</v>
      </c>
      <c r="CG10" s="1212">
        <f ca="1">+CG7+CG8+CG9</f>
        <v>28.235220000000005</v>
      </c>
      <c r="CH10" s="1230">
        <f t="shared" ca="1" si="29"/>
        <v>-2.1843195428213336</v>
      </c>
      <c r="CI10" s="3055">
        <f ca="1">OFFSET('VVP2'!$G$61,0,(COLUMN()-7)/5)</f>
        <v>6.2250621741215317</v>
      </c>
      <c r="CJ10" s="1212">
        <f ca="1">+CG10*(1+CI10/100)</f>
        <v>29.992880000000003</v>
      </c>
      <c r="CK10" s="1286">
        <f t="shared" ca="1" si="30"/>
        <v>3.565512881723933</v>
      </c>
      <c r="CL10" s="1212">
        <f ca="1">+CL7+CL8+CL9</f>
        <v>31.062280000000001</v>
      </c>
      <c r="CM10" s="1230">
        <f t="shared" ca="1" si="31"/>
        <v>10.012530449559076</v>
      </c>
      <c r="CN10" s="3055">
        <f ca="1">OFFSET('VVP2'!$G$61,0,(COLUMN()-7)/5)</f>
        <v>1.8534463179261218</v>
      </c>
      <c r="CO10" s="1212">
        <f ca="1">+CL10*(1+CN10/100)</f>
        <v>31.638002684923904</v>
      </c>
      <c r="CP10" s="1286">
        <f t="shared" ca="1" si="32"/>
        <v>2.3730553491414241</v>
      </c>
      <c r="CQ10" s="1212">
        <f ca="1">+CQ7+CQ8+CQ9</f>
        <v>32.38879</v>
      </c>
      <c r="CR10" s="1230">
        <f t="shared" ca="1" si="33"/>
        <v>4.2704849740585749</v>
      </c>
      <c r="CS10" s="3055">
        <f ca="1">OFFSET('VVP2'!$G$61,0,(COLUMN()-7)/5)</f>
        <v>4.3793729421538252</v>
      </c>
      <c r="CT10" s="1212">
        <f ca="1">+CQ10*(1+CS10/100)</f>
        <v>33.807215905551026</v>
      </c>
      <c r="CU10" s="1286">
        <f t="shared" ca="1" si="34"/>
        <v>1.0836269258978746</v>
      </c>
      <c r="CV10" s="1212">
        <f ca="1">+CV7+CV8+CV9</f>
        <v>34.173560000000002</v>
      </c>
      <c r="CW10" s="1230">
        <f t="shared" ca="1" si="35"/>
        <v>5.5104559324383517</v>
      </c>
      <c r="CX10" s="3055">
        <f ca="1">OFFSET('VVP2'!$G$61,0,(COLUMN()-7)/5)</f>
        <v>3.6753768570909839</v>
      </c>
      <c r="CY10" s="1212">
        <f ca="1">+CV10*(1+CX10/100)</f>
        <v>35.429567115484105</v>
      </c>
      <c r="CZ10" s="1286">
        <f t="shared" ca="1" si="36"/>
        <v>0.92034114741805695</v>
      </c>
      <c r="DA10" s="1212">
        <f ca="1">+DA7+DA8+DA9</f>
        <v>35.75564</v>
      </c>
      <c r="DB10" s="1230">
        <f t="shared" ca="1" si="37"/>
        <v>4.6295440100475371</v>
      </c>
      <c r="DC10" s="3055">
        <f ca="1">OFFSET('VVP2'!$G$61,0,(COLUMN()-7)/5)</f>
        <v>3.4931110607300253</v>
      </c>
      <c r="DD10" s="1212">
        <f ca="1">+DA10*(1+DC10/100)</f>
        <v>37.004624215674809</v>
      </c>
      <c r="DE10" s="1286">
        <f t="shared" ca="1" si="38"/>
        <v>0.60264301841152701</v>
      </c>
      <c r="DF10" s="1212">
        <f ca="1">+DF7+DF8+DF9</f>
        <v>37.227629999999998</v>
      </c>
      <c r="DG10" s="1230">
        <f t="shared" ca="1" si="39"/>
        <v>4.116805069074414</v>
      </c>
      <c r="DH10" s="3055">
        <f ca="1">OFFSET('VVP2'!$G$61,0,(COLUMN()-7)/5)</f>
        <v>3.2424898204958863</v>
      </c>
      <c r="DI10" s="1212">
        <f ca="1">+DF10*(1+DH10/100)</f>
        <v>38.434732113161871</v>
      </c>
      <c r="DJ10" s="1286">
        <f t="shared" ca="1" si="40"/>
        <v>0.98785100341081034</v>
      </c>
      <c r="DK10" s="1212">
        <f ca="1">+DK7+DK8+DK9</f>
        <v>38.814410000000002</v>
      </c>
      <c r="DL10" s="1230">
        <f t="shared" ca="1" si="41"/>
        <v>4.2623717921339788</v>
      </c>
      <c r="DM10" s="3407">
        <f ca="1">IF(UPPER($F$2)="Y",(DN10/DK10-1)*100,OFFSET('VVP2'!$G$61,0,(COLUMN()-7)/5))</f>
        <v>4.066932975258819</v>
      </c>
      <c r="DN10" s="1212">
        <f ca="1">IF(UPPER($F$2)="Y",+DN7+DN8+DN9,DK10*(1+DM10/100))</f>
        <v>40.392966039442157</v>
      </c>
      <c r="DO10" s="3407">
        <f ca="1">+DP10/DN10*100-100</f>
        <v>2.9448001281276817</v>
      </c>
      <c r="DP10" s="1216">
        <f ca="1">+DP7+DP8+DP9</f>
        <v>41.582458155126218</v>
      </c>
      <c r="DQ10" s="1432">
        <f t="shared" ca="1" si="42"/>
        <v>7.1314961508527785</v>
      </c>
      <c r="DR10" s="3407">
        <f ca="1">IF(UPPER($F$2)="Y",(DS10/DP10-1)*100,OFFSET('VVP2'!$G$61,0,(COLUMN()-7)/5))</f>
        <v>3.8087055954553639</v>
      </c>
      <c r="DS10" s="1212">
        <f ca="1">IF(UPPER($F$2)="Y",+DS7+DS8+DS9,DP10*(1+DR10/100))</f>
        <v>43.1662115656084</v>
      </c>
      <c r="DT10" s="3407">
        <f ca="1">+DU10/DS10*100-100</f>
        <v>2.772835471767678</v>
      </c>
      <c r="DU10" s="1216">
        <f ca="1">+DU7+DU8+DU9</f>
        <v>44.363139591717875</v>
      </c>
      <c r="DV10" s="1432">
        <f t="shared" ca="1" si="43"/>
        <v>6.6871502069890454</v>
      </c>
      <c r="DW10" s="3407">
        <f ca="1">IF(UPPER($F$2)="Y",(DX10/DU10-1)*100,OFFSET('VVP2'!$G$61,0,(COLUMN()-7)/5))</f>
        <v>3.1782126669207544</v>
      </c>
      <c r="DX10" s="1212">
        <f ca="1">IF(UPPER($F$2)="Y",+DX7+DX8+DX9,DU10*(1+DW10/100))</f>
        <v>45.77309451366559</v>
      </c>
      <c r="DY10" s="3407">
        <f ca="1">+DZ10/DX10*100-100</f>
        <v>2.4514861246264417</v>
      </c>
      <c r="DZ10" s="1216">
        <f ca="1">+DZ7+DZ8+DZ9</f>
        <v>46.895215574480247</v>
      </c>
      <c r="EA10" s="1432">
        <f t="shared" ca="1" si="44"/>
        <v>5.7076122340878666</v>
      </c>
    </row>
    <row r="11" spans="1:145">
      <c r="A11" s="2857" t="s">
        <v>903</v>
      </c>
      <c r="C11" s="1224" t="s">
        <v>1767</v>
      </c>
      <c r="D11" s="1078"/>
      <c r="E11" s="1078" t="s">
        <v>1272</v>
      </c>
      <c r="F11" s="1215" t="s">
        <v>1992</v>
      </c>
      <c r="G11" s="1246"/>
      <c r="H11" s="1247"/>
      <c r="I11" s="1248"/>
      <c r="J11" s="1231">
        <f ca="1">OFFSET('VVP2'!$G$260,0,(COLUMN()-6)/5)</f>
        <v>0.18446000000000001</v>
      </c>
      <c r="K11" s="1249"/>
      <c r="L11" s="2858">
        <f ca="1">IF(UPPER($F$2)="Y",M11/J11*100-100,OFFSET('VVP2'!$G$67,0,(COLUMN()-7)/5))</f>
        <v>61.091807269466472</v>
      </c>
      <c r="M11" s="2859">
        <f ca="1">IF(UPPER($F$2)="Y",M12-M10,J11*(1+L11/100))</f>
        <v>0.29714994768925784</v>
      </c>
      <c r="N11" s="1285">
        <f t="shared" ca="1" si="0"/>
        <v>-84.290759475813459</v>
      </c>
      <c r="O11" s="1231">
        <f ca="1">OFFSET('VVP2'!$G$260,0,(COLUMN()-10)/5)</f>
        <v>4.6679999999999999E-2</v>
      </c>
      <c r="P11" s="1218">
        <f t="shared" ca="1" si="1"/>
        <v>-74.693700531280498</v>
      </c>
      <c r="Q11" s="2858">
        <f ca="1">IF(UPPER($F$2)="Y",R11/O11*100-100,OFFSET('VVP2'!$G$67,0,(COLUMN()-7)/5))</f>
        <v>801.56982740201079</v>
      </c>
      <c r="R11" s="2859">
        <f ca="1">IF(UPPER($F$2)="Y",R12-R10,O11*(1+Q11/100))</f>
        <v>0.42085279543125864</v>
      </c>
      <c r="S11" s="1285">
        <f t="shared" ca="1" si="2"/>
        <v>-38.586602535181122</v>
      </c>
      <c r="T11" s="1231">
        <f ca="1">OFFSET('VVP2'!$G$260,0,(COLUMN()-10)/5)</f>
        <v>0.25845999999999997</v>
      </c>
      <c r="U11" s="1218">
        <f t="shared" ca="1" si="3"/>
        <v>453.68466152527844</v>
      </c>
      <c r="V11" s="2858">
        <f ca="1">IF(UPPER($F$2)="Y",W11/T11*100-100,OFFSET('VVP2'!$G$67,0,(COLUMN()-7)/5))</f>
        <v>7.4233111197303145</v>
      </c>
      <c r="W11" s="2859">
        <f ca="1">IF(UPPER($F$2)="Y",W12-W10,T11*(1+V11/100))</f>
        <v>0.27764628992005491</v>
      </c>
      <c r="X11" s="1285">
        <f t="shared" ca="1" si="4"/>
        <v>-78.807568429262176</v>
      </c>
      <c r="Y11" s="1231">
        <f ca="1">OFFSET('VVP2'!$G$260,0,(COLUMN()-10)/5)</f>
        <v>5.8840000000000003E-2</v>
      </c>
      <c r="Z11" s="1218">
        <f t="shared" ca="1" si="5"/>
        <v>-77.234388299930359</v>
      </c>
      <c r="AA11" s="2858">
        <f ca="1">IF(UPPER($F$2)="Y",AB11/Y11*100-100,OFFSET('VVP2'!$G$67,0,(COLUMN()-7)/5))</f>
        <v>-239.0373049581379</v>
      </c>
      <c r="AB11" s="2859">
        <f ca="1">IF(UPPER($F$2)="Y",AB12-AB10,Y11*(1+AA11/100))</f>
        <v>-8.1809550237368356E-2</v>
      </c>
      <c r="AC11" s="1285">
        <f t="shared" ca="1" si="6"/>
        <v>-5.6833832038897754</v>
      </c>
      <c r="AD11" s="1231">
        <f ca="1">OFFSET('VVP2'!$G$260,0,(COLUMN()-10)/5)</f>
        <v>-7.7159999999999992E-2</v>
      </c>
      <c r="AE11" s="1218">
        <f t="shared" ca="1" si="7"/>
        <v>-231.13528212100613</v>
      </c>
      <c r="AF11" s="2858">
        <f ca="1">IF(UPPER($F$2)="Y",AG11/AD11*100-100,OFFSET('VVP2'!$G$67,0,(COLUMN()-7)/5))</f>
        <v>66.813099167635727</v>
      </c>
      <c r="AG11" s="2859">
        <f ca="1">IF(UPPER($F$2)="Y",AG12-AG10,AD11*(1+AF11/100))</f>
        <v>-0.12871298731774772</v>
      </c>
      <c r="AH11" s="1285">
        <f t="shared" ca="1" si="8"/>
        <v>-61.946341996487611</v>
      </c>
      <c r="AI11" s="1231">
        <f ca="1">OFFSET('VVP2'!$G$260,0,(COLUMN()-10)/5)</f>
        <v>-4.8979999999999996E-2</v>
      </c>
      <c r="AJ11" s="1218">
        <f t="shared" ca="1" si="9"/>
        <v>-36.521513737687918</v>
      </c>
      <c r="AK11" s="2858">
        <f ca="1">IF(UPPER($F$2)="Y",AL11/AI11*100-100,OFFSET('VVP2'!$G$67,0,(COLUMN()-7)/5))</f>
        <v>-177.43549770457992</v>
      </c>
      <c r="AL11" s="2859">
        <f ca="1">IF(UPPER($F$2)="Y",AL12-AL10,AI11*(1+AK11/100))</f>
        <v>3.7927906775703235E-2</v>
      </c>
      <c r="AM11" s="1285">
        <f t="shared" ca="1" si="10"/>
        <v>-659.66705796688211</v>
      </c>
      <c r="AN11" s="1231">
        <f ca="1">OFFSET('VVP2'!$G$260,0,(COLUMN()-10)/5)</f>
        <v>-0.21227000000000001</v>
      </c>
      <c r="AO11" s="1218">
        <f t="shared" ca="1" si="11"/>
        <v>333.38097182523489</v>
      </c>
      <c r="AP11" s="2858">
        <f ca="1">IF(UPPER($F$2)="Y",AQ11/AN11*100-100,OFFSET('VVP2'!$G$67,0,(COLUMN()-7)/5))</f>
        <v>-75.242494485879064</v>
      </c>
      <c r="AQ11" s="2859">
        <f ca="1">IF(UPPER($F$2)="Y",AQ12-AQ10,AN11*(1+AP11/100))</f>
        <v>-5.2552756954824531E-2</v>
      </c>
      <c r="AR11" s="1285">
        <f t="shared" ca="1" si="12"/>
        <v>-82.417668386184005</v>
      </c>
      <c r="AS11" s="1231">
        <f ca="1">OFFSET('VVP2'!$G$260,0,(COLUMN()-10)/5)</f>
        <v>-9.2399999999999999E-3</v>
      </c>
      <c r="AT11" s="1218">
        <f t="shared" ca="1" si="13"/>
        <v>-95.647053281198467</v>
      </c>
      <c r="AU11" s="2858">
        <f ca="1">IF(UPPER($F$2)="Y",AV11/AS11*100-100,OFFSET('VVP2'!$G$67,0,(COLUMN()-7)/5))</f>
        <v>-665.65169636188693</v>
      </c>
      <c r="AV11" s="2859">
        <f ca="1">IF(UPPER($F$2)="Y",AV12-AV10,AS11*(1+AU11/100))</f>
        <v>5.2266216743838356E-2</v>
      </c>
      <c r="AW11" s="1285">
        <f t="shared" ca="1" si="14"/>
        <v>-16.523516110158241</v>
      </c>
      <c r="AX11" s="1231">
        <f ca="1">OFFSET('VVP2'!$G$260,0,(COLUMN()-10)/5)</f>
        <v>4.3630000000000002E-2</v>
      </c>
      <c r="AY11" s="1218">
        <f t="shared" ca="1" si="15"/>
        <v>-572.1861471861472</v>
      </c>
      <c r="AZ11" s="2858">
        <f ca="1">IF(UPPER($F$2)="Y",BA11/AX11*100-100,OFFSET('VVP2'!$G$67,0,(COLUMN()-7)/5))</f>
        <v>839.12534447623875</v>
      </c>
      <c r="BA11" s="2859">
        <f ca="1">IF(UPPER($F$2)="Y",BA12-BA10,AX11*(1+AZ11/100))</f>
        <v>0.40974038779498301</v>
      </c>
      <c r="BB11" s="1285">
        <f t="shared" ca="1" si="16"/>
        <v>-109.61828542509193</v>
      </c>
      <c r="BC11" s="1231">
        <f ca="1">OFFSET('VVP2'!$G$260,0,(COLUMN()-10)/5)</f>
        <v>-3.9409999999999994E-2</v>
      </c>
      <c r="BD11" s="1218">
        <f t="shared" ca="1" si="17"/>
        <v>-190.32775613110243</v>
      </c>
      <c r="BE11" s="2858">
        <f ca="1">IF(UPPER($F$2)="Y",BF11/BC11*100-100,OFFSET('VVP2'!$G$67,0,(COLUMN()-7)/5))</f>
        <v>837.22794536239462</v>
      </c>
      <c r="BF11" s="2859">
        <f ca="1">IF(UPPER($F$2)="Y",BF12-BF10,BC11*(1+BE11/100))</f>
        <v>-0.36936153326731969</v>
      </c>
      <c r="BG11" s="1285">
        <f t="shared" ca="1" si="18"/>
        <v>-138.02778236204261</v>
      </c>
      <c r="BH11" s="1231">
        <f ca="1">OFFSET('VVP2'!$G$260,0,(COLUMN()-10)/5)</f>
        <v>0.14046</v>
      </c>
      <c r="BI11" s="1218">
        <f t="shared" ca="1" si="19"/>
        <v>-456.40700329865524</v>
      </c>
      <c r="BJ11" s="2858">
        <f ca="1">IF(UPPER($F$2)="Y",BK11/BH11*100-100,OFFSET('VVP2'!$G$67,0,(COLUMN()-7)/5))</f>
        <v>-231.54230557867908</v>
      </c>
      <c r="BK11" s="2859">
        <f ca="1">IF(UPPER($F$2)="Y",BK12-BK10,BH11*(1+BJ11/100))</f>
        <v>-0.18476432241581264</v>
      </c>
      <c r="BL11" s="1285">
        <f t="shared" ca="1" si="20"/>
        <v>-204.10018421583484</v>
      </c>
      <c r="BM11" s="1231">
        <f ca="1">OFFSET('VVP2'!$G$260,0,(COLUMN()-10)/5)</f>
        <v>0.19234000000000001</v>
      </c>
      <c r="BN11" s="1218">
        <f t="shared" ca="1" si="21"/>
        <v>36.935782429161335</v>
      </c>
      <c r="BO11" s="2858">
        <f ca="1">IF(UPPER($F$2)="Y",BP11/BM11*100-100,OFFSET('VVP2'!$G$67,0,(COLUMN()-7)/5))</f>
        <v>287.84072115639458</v>
      </c>
      <c r="BP11" s="2859">
        <f ca="1">IF(UPPER($F$2)="Y",BP12-BP10,BM11*(1+BO11/100))</f>
        <v>0.74597284307220946</v>
      </c>
      <c r="BQ11" s="1285">
        <f t="shared" ca="1" si="22"/>
        <v>37.549243183464853</v>
      </c>
      <c r="BR11" s="1231">
        <f ca="1">OFFSET('VVP2'!$G$260,0,(COLUMN()-10)/5)</f>
        <v>1.0260799999999999</v>
      </c>
      <c r="BS11" s="1218">
        <f t="shared" ca="1" si="23"/>
        <v>433.47197670791297</v>
      </c>
      <c r="BT11" s="2858">
        <f ca="1">IF(UPPER($F$2)="Y",BU11/BR11*100-100,OFFSET('VVP2'!$G$67,0,(COLUMN()-7)/5))</f>
        <v>62.667606319817196</v>
      </c>
      <c r="BU11" s="2859">
        <f ca="1">IF(UPPER($F$2)="Y",BU12-BU10,BR11*(1+BT11/100))</f>
        <v>1.6690997749263801</v>
      </c>
      <c r="BV11" s="1285">
        <f t="shared" ca="1" si="24"/>
        <v>-63.768493107209622</v>
      </c>
      <c r="BW11" s="1231">
        <f ca="1">OFFSET('VVP2'!$G$260,0,(COLUMN()-10)/5)</f>
        <v>0.60474000000000006</v>
      </c>
      <c r="BX11" s="1218">
        <f t="shared" ca="1" si="25"/>
        <v>-41.063075003898319</v>
      </c>
      <c r="BY11" s="2858">
        <f ca="1">IF(UPPER($F$2)="Y",BZ11/BW11*100-100,OFFSET('VVP2'!$G$67,0,(COLUMN()-7)/5))</f>
        <v>-274.97654040287534</v>
      </c>
      <c r="BZ11" s="2859">
        <f ca="1">IF(UPPER($F$2)="Y",BZ12-BZ10,BW11*(1+BY11/100))</f>
        <v>-1.0581531304323484</v>
      </c>
      <c r="CA11" s="1285">
        <f t="shared" ca="1" si="26"/>
        <v>39.71229281304079</v>
      </c>
      <c r="CB11" s="1231">
        <f ca="1">OFFSET('VVP2'!$G$260,0,(COLUMN()-10)/5)</f>
        <v>-1.47837</v>
      </c>
      <c r="CC11" s="1218">
        <f t="shared" ca="1" si="27"/>
        <v>-344.46373648179377</v>
      </c>
      <c r="CD11" s="2858">
        <f ca="1">IF(UPPER($F$2)="Y",CE11/CB11*100-100,OFFSET('VVP2'!$G$67,0,(COLUMN()-7)/5))</f>
        <v>-82.061497225955165</v>
      </c>
      <c r="CE11" s="2859">
        <f ca="1">IF(UPPER($F$2)="Y",CE12-CE10,CB11*(1+CD11/100))</f>
        <v>-0.26519744346064655</v>
      </c>
      <c r="CF11" s="1285">
        <f t="shared" ca="1" si="28"/>
        <v>-220.15575860831609</v>
      </c>
      <c r="CG11" s="1231">
        <f ca="1">OFFSET('VVP2'!$G$260,0,(COLUMN()-10)/5)</f>
        <v>0.31864999999999999</v>
      </c>
      <c r="CH11" s="1218">
        <f t="shared" ca="1" si="29"/>
        <v>-121.5541440911274</v>
      </c>
      <c r="CI11" s="2858">
        <f ca="1">IF(UPPER($F$2)="Y",CJ11/CG11*100-100,OFFSET('VVP2'!$G$67,0,(COLUMN()-7)/5))</f>
        <v>-18.123332810291359</v>
      </c>
      <c r="CJ11" s="2859">
        <f ca="1">IF(UPPER($F$2)="Y",CJ12-CJ10,CG11*(1+CI11/100))</f>
        <v>0.26090000000000657</v>
      </c>
      <c r="CK11" s="1285">
        <f t="shared" ca="1" si="30"/>
        <v>287.38980452279594</v>
      </c>
      <c r="CL11" s="1231">
        <f ca="1">OFFSET('VVP2'!$G$260,0,(COLUMN()-10)/5)</f>
        <v>1.0107000000000002</v>
      </c>
      <c r="CM11" s="1218">
        <f t="shared" ca="1" si="31"/>
        <v>217.18186097599252</v>
      </c>
      <c r="CN11" s="3401">
        <f ca="1">IF(UPPER($F$2)="Y",CO11/CL11*100-100,OFFSET('VVP2'!$G$67,0,(COLUMN()-7)/5))</f>
        <v>-66.586867124364332</v>
      </c>
      <c r="CO11" s="3402">
        <f ca="1">IF(UPPER($F$2)="Y",CO12-CO10,CL11*(1+CN11/100))</f>
        <v>0.33770653397404971</v>
      </c>
      <c r="CP11" s="1285">
        <f t="shared" ca="1" si="32"/>
        <v>99.232153456557484</v>
      </c>
      <c r="CQ11" s="1231">
        <f ca="1">OFFSET('VVP2'!$G$260,0,(COLUMN()-10)/5)</f>
        <v>0.67282000000000008</v>
      </c>
      <c r="CR11" s="1218">
        <f t="shared" ca="1" si="33"/>
        <v>-33.430295834570103</v>
      </c>
      <c r="CS11" s="3401">
        <f ca="1">IF(UPPER($F$2)="Y",CT11/CQ11*100-100,OFFSET('VVP2'!$G$67,0,(COLUMN()-7)/5))</f>
        <v>-71.518844666527315</v>
      </c>
      <c r="CT11" s="3402">
        <f ca="1">IF(UPPER($F$2)="Y",CT12-CT10,CQ11*(1+CS11/100))</f>
        <v>0.19162690931467097</v>
      </c>
      <c r="CU11" s="1285">
        <f t="shared" ca="1" si="34"/>
        <v>82.046457487425585</v>
      </c>
      <c r="CV11" s="1231">
        <f ca="1">OFFSET('VVP2'!$G$260,0,(COLUMN()-10)/5)</f>
        <v>0.34885000000000005</v>
      </c>
      <c r="CW11" s="1218">
        <f t="shared" ca="1" si="35"/>
        <v>-48.151065663921997</v>
      </c>
      <c r="CX11" s="3401">
        <f ca="1">IF(UPPER($F$2)="Y",CY11/CV11*100-100,OFFSET('VVP2'!$G$67,0,(COLUMN()-7)/5))</f>
        <v>-23.923386213797215</v>
      </c>
      <c r="CY11" s="3402">
        <f ca="1">IF(UPPER($F$2)="Y",CY12-CY10,CV11*(1+CX11/100))</f>
        <v>0.26539326719316847</v>
      </c>
      <c r="CZ11" s="1285">
        <f t="shared" ca="1" si="36"/>
        <v>-79.984420644199616</v>
      </c>
      <c r="DA11" s="1231">
        <f ca="1">OFFSET('VVP2'!$G$260,0,(COLUMN()-10)/5)</f>
        <v>5.3120000000000001E-2</v>
      </c>
      <c r="DB11" s="1218">
        <f t="shared" ca="1" si="37"/>
        <v>-84.772824996416801</v>
      </c>
      <c r="DC11" s="3401">
        <f ca="1">IF(UPPER($F$2)="Y",DD11/DA11*100-100,OFFSET('VVP2'!$G$67,0,(COLUMN()-7)/5))</f>
        <v>2625.084372878237</v>
      </c>
      <c r="DD11" s="3402">
        <f ca="1">IF(UPPER($F$2)="Y",DD12-DD10,DA11*(1+DC11/100))</f>
        <v>1.4475648188729195</v>
      </c>
      <c r="DE11" s="1285">
        <f t="shared" ca="1" si="38"/>
        <v>-73.854711370045692</v>
      </c>
      <c r="DF11" s="1231">
        <f ca="1">OFFSET('VVP2'!$G$260,0,(COLUMN()-10)/5)</f>
        <v>0.37847000000000003</v>
      </c>
      <c r="DG11" s="1218">
        <f t="shared" ca="1" si="39"/>
        <v>612.48117469879526</v>
      </c>
      <c r="DH11" s="3401">
        <f ca="1">IF(UPPER($F$2)="Y",DI11/DF11*100-100,OFFSET('VVP2'!$G$67,0,(COLUMN()-7)/5))</f>
        <v>-79.899694976144815</v>
      </c>
      <c r="DI11" s="3402">
        <f ca="1">IF(UPPER($F$2)="Y",DI12-DI10,DF11*(1+DH11/100))</f>
        <v>7.6073624423784736E-2</v>
      </c>
      <c r="DJ11" s="1285">
        <f t="shared" ca="1" si="40"/>
        <v>-949.15107554416932</v>
      </c>
      <c r="DK11" s="1231">
        <f ca="1">OFFSET('VVP2'!$G$260,0,(COLUMN()-10)/5)</f>
        <v>-0.64598</v>
      </c>
      <c r="DL11" s="1218">
        <f t="shared" ca="1" si="41"/>
        <v>-270.68195629772504</v>
      </c>
      <c r="DM11" s="3406">
        <f>+DM81</f>
        <v>0</v>
      </c>
      <c r="DN11" s="3408">
        <f ca="1">+DK11*(1+DM11/100)</f>
        <v>-0.64598</v>
      </c>
      <c r="DO11" s="3406">
        <f>+DO81</f>
        <v>0</v>
      </c>
      <c r="DP11" s="1208">
        <f ca="1">+DN11*(1+DO11/100)</f>
        <v>-0.64598</v>
      </c>
      <c r="DQ11" s="1397">
        <f t="shared" ca="1" si="42"/>
        <v>0</v>
      </c>
      <c r="DR11" s="3406">
        <f>+DR81</f>
        <v>0</v>
      </c>
      <c r="DS11" s="3408">
        <f ca="1">+DP11*(1+DR11/100)</f>
        <v>-0.64598</v>
      </c>
      <c r="DT11" s="3406">
        <f>+DT81</f>
        <v>0</v>
      </c>
      <c r="DU11" s="1208">
        <f ca="1">+DS11*(1+DT11/100)</f>
        <v>-0.64598</v>
      </c>
      <c r="DV11" s="1397">
        <f t="shared" ca="1" si="43"/>
        <v>0</v>
      </c>
      <c r="DW11" s="3406">
        <f>+DW81</f>
        <v>0</v>
      </c>
      <c r="DX11" s="3408">
        <f ca="1">+DU11*(1+DW11/100)</f>
        <v>-0.64598</v>
      </c>
      <c r="DY11" s="3406">
        <f>+DY81</f>
        <v>0</v>
      </c>
      <c r="DZ11" s="1208">
        <f ca="1">+DX11*(1+DY11/100)</f>
        <v>-0.64598</v>
      </c>
      <c r="EA11" s="1397">
        <f t="shared" ca="1" si="44"/>
        <v>0</v>
      </c>
    </row>
    <row r="12" spans="1:145">
      <c r="A12" s="1456" t="s">
        <v>1940</v>
      </c>
      <c r="C12" s="1224" t="s">
        <v>1769</v>
      </c>
      <c r="D12" s="1203"/>
      <c r="E12" s="1203" t="s">
        <v>1942</v>
      </c>
      <c r="F12" s="1227"/>
      <c r="G12" s="1365"/>
      <c r="H12" s="1366"/>
      <c r="I12" s="1366"/>
      <c r="J12" s="1212">
        <f ca="1">+J10+J11</f>
        <v>8.5897199999999998</v>
      </c>
      <c r="K12" s="1368"/>
      <c r="L12" s="3055">
        <f ca="1">OFFSET('VVP2'!$G$78,0,(COLUMN()-7)/5)</f>
        <v>8.7315890641321392</v>
      </c>
      <c r="M12" s="1212">
        <f ca="1">+J12*(1+L12/100)</f>
        <v>9.3397390521595707</v>
      </c>
      <c r="N12" s="1286">
        <f t="shared" ca="1" si="0"/>
        <v>13.674803339876092</v>
      </c>
      <c r="O12" s="1212">
        <f ca="1">+O10+O11</f>
        <v>10.61693</v>
      </c>
      <c r="P12" s="1230">
        <f t="shared" ca="1" si="1"/>
        <v>23.600420036974423</v>
      </c>
      <c r="Q12" s="3055">
        <f ca="1">OFFSET('VVP2'!$G$78,0,(COLUMN()-7)/5)</f>
        <v>12.364189774972644</v>
      </c>
      <c r="R12" s="1212">
        <f ca="1">+O12*(1+Q12/100)</f>
        <v>11.929627373476004</v>
      </c>
      <c r="S12" s="1286">
        <f t="shared" ca="1" si="2"/>
        <v>8.1816690158663476</v>
      </c>
      <c r="T12" s="1212">
        <f ca="1">+T10+T11</f>
        <v>12.905670000000001</v>
      </c>
      <c r="U12" s="1230">
        <f t="shared" ca="1" si="3"/>
        <v>21.557455874720844</v>
      </c>
      <c r="V12" s="3055">
        <f ca="1">OFFSET('VVP2'!$G$78,0,(COLUMN()-7)/5)</f>
        <v>8.1811693344814973</v>
      </c>
      <c r="W12" s="1212">
        <f ca="1">+T12*(1+V12/100)</f>
        <v>13.96150471644938</v>
      </c>
      <c r="X12" s="1286">
        <f t="shared" ca="1" si="4"/>
        <v>3.9053475583345545</v>
      </c>
      <c r="Y12" s="1212">
        <f ca="1">+Y10+Y11</f>
        <v>14.50675</v>
      </c>
      <c r="Z12" s="1230">
        <f t="shared" ca="1" si="5"/>
        <v>12.406019989663463</v>
      </c>
      <c r="AA12" s="3055">
        <f ca="1">OFFSET('VVP2'!$G$78,0,(COLUMN()-7)/5)</f>
        <v>-0.54899399010986949</v>
      </c>
      <c r="AB12" s="1212">
        <f ca="1">+Y12*(1+AA12/100)</f>
        <v>14.427108814339737</v>
      </c>
      <c r="AC12" s="1286">
        <f t="shared" ca="1" si="6"/>
        <v>-3.0903545545909168</v>
      </c>
      <c r="AD12" s="1212">
        <f ca="1">+AD10+AD11</f>
        <v>13.981260000000002</v>
      </c>
      <c r="AE12" s="1230">
        <f t="shared" ca="1" si="7"/>
        <v>-3.6223826839229867</v>
      </c>
      <c r="AF12" s="3055">
        <f ca="1">OFFSET('VVP2'!$G$78,0,(COLUMN()-7)/5)</f>
        <v>2.1352302754501729</v>
      </c>
      <c r="AG12" s="1212">
        <f ca="1">+AD12*(1+AF12/100)</f>
        <v>14.279792096409407</v>
      </c>
      <c r="AH12" s="1286">
        <f t="shared" ca="1" si="8"/>
        <v>-0.59568161661680108</v>
      </c>
      <c r="AI12" s="1212">
        <f ca="1">+AI10+AI11</f>
        <v>14.194729999999998</v>
      </c>
      <c r="AJ12" s="1230">
        <f t="shared" ca="1" si="9"/>
        <v>1.5268294846100927</v>
      </c>
      <c r="AK12" s="3055">
        <f ca="1">OFFSET('VVP2'!$G$78,0,(COLUMN()-7)/5)</f>
        <v>5.8216624566269415</v>
      </c>
      <c r="AL12" s="1212">
        <f ca="1">+AI12*(1+AK12/100)</f>
        <v>15.021099267229559</v>
      </c>
      <c r="AM12" s="1286">
        <f t="shared" ca="1" si="10"/>
        <v>-0.33858552110439177</v>
      </c>
      <c r="AN12" s="1212">
        <f ca="1">+AN10+AN11</f>
        <v>14.97024</v>
      </c>
      <c r="AO12" s="1230">
        <f t="shared" ca="1" si="11"/>
        <v>5.4633656293568311</v>
      </c>
      <c r="AP12" s="3055">
        <f ca="1">OFFSET('VVP2'!$G$78,0,(COLUMN()-7)/5)</f>
        <v>7.440821617341431</v>
      </c>
      <c r="AQ12" s="1212">
        <f ca="1">+AN12*(1+AP12/100)</f>
        <v>16.084148854087893</v>
      </c>
      <c r="AR12" s="1286">
        <f t="shared" ca="1" si="12"/>
        <v>-0.11905419591428767</v>
      </c>
      <c r="AS12" s="1212">
        <f ca="1">+AS10+AS11</f>
        <v>16.065000000000001</v>
      </c>
      <c r="AT12" s="1230">
        <f t="shared" ca="1" si="13"/>
        <v>7.3129088110811979</v>
      </c>
      <c r="AU12" s="3055">
        <f ca="1">OFFSET('VVP2'!$G$78,0,(COLUMN()-7)/5)</f>
        <v>10.412236395428343</v>
      </c>
      <c r="AV12" s="1212">
        <f ca="1">+AS12*(1+AU12/100)</f>
        <v>17.737725776925565</v>
      </c>
      <c r="AW12" s="1286">
        <f t="shared" ca="1" si="14"/>
        <v>-0.59041265065559401</v>
      </c>
      <c r="AX12" s="1212">
        <f ca="1">+AX10+AX11</f>
        <v>17.632999999999999</v>
      </c>
      <c r="AY12" s="1230">
        <f t="shared" ca="1" si="15"/>
        <v>9.7603485838779758</v>
      </c>
      <c r="AZ12" s="3055">
        <f ca="1">OFFSET('VVP2'!$G$78,0,(COLUMN()-7)/5)</f>
        <v>13.245904132630869</v>
      </c>
      <c r="BA12" s="1212">
        <f ca="1">+AX12*(1+AZ12/100)</f>
        <v>19.9686502757068</v>
      </c>
      <c r="BB12" s="1286">
        <f t="shared" ca="1" si="16"/>
        <v>-2.2409640588037263</v>
      </c>
      <c r="BC12" s="1212">
        <f ca="1">+BC10+BC11</f>
        <v>19.521159999999998</v>
      </c>
      <c r="BD12" s="1230">
        <f t="shared" ca="1" si="17"/>
        <v>10.708104122951291</v>
      </c>
      <c r="BE12" s="3055">
        <f ca="1">OFFSET('VVP2'!$G$78,0,(COLUMN()-7)/5)</f>
        <v>8.4682277151530538</v>
      </c>
      <c r="BF12" s="1212">
        <f ca="1">+BC12*(1+BE12/100)</f>
        <v>21.174256281439369</v>
      </c>
      <c r="BG12" s="1286">
        <f t="shared" ca="1" si="18"/>
        <v>6.3618466719959059</v>
      </c>
      <c r="BH12" s="1212">
        <f ca="1">+BH10+BH11</f>
        <v>22.521330000000003</v>
      </c>
      <c r="BI12" s="1230">
        <f t="shared" ca="1" si="19"/>
        <v>15.368810050222459</v>
      </c>
      <c r="BJ12" s="3055">
        <f ca="1">OFFSET('VVP2'!$G$78,0,(COLUMN()-7)/5)</f>
        <v>8.6791075610281645</v>
      </c>
      <c r="BK12" s="1212">
        <f ca="1">+BH12*(1+BJ12/100)</f>
        <v>24.475980454874108</v>
      </c>
      <c r="BL12" s="1286">
        <f t="shared" ca="1" si="20"/>
        <v>8.4760630894880507</v>
      </c>
      <c r="BM12" s="1212">
        <f ca="1">+BM10+BM11</f>
        <v>26.55058</v>
      </c>
      <c r="BN12" s="1230">
        <f t="shared" ca="1" si="21"/>
        <v>17.890817282993488</v>
      </c>
      <c r="BO12" s="3055">
        <f ca="1">OFFSET('VVP2'!$G$78,0,(COLUMN()-7)/5)</f>
        <v>14.911963092301983</v>
      </c>
      <c r="BP12" s="1212">
        <f ca="1">+BM12*(1+BO12/100)</f>
        <v>30.509792690392111</v>
      </c>
      <c r="BQ12" s="1286">
        <f t="shared" ca="1" si="22"/>
        <v>7.6775261417805041</v>
      </c>
      <c r="BR12" s="1212">
        <f ca="1">+BR10+BR11</f>
        <v>32.85219</v>
      </c>
      <c r="BS12" s="1230">
        <f t="shared" ca="1" si="23"/>
        <v>23.734359098746616</v>
      </c>
      <c r="BT12" s="3055">
        <f ca="1">OFFSET('VVP2'!$G$78,0,(COLUMN()-7)/5)</f>
        <v>3.1497179506880357</v>
      </c>
      <c r="BU12" s="1212">
        <f ca="1">+BR12*(1+BT12/100)</f>
        <v>33.886941325624143</v>
      </c>
      <c r="BV12" s="1286">
        <f t="shared" ca="1" si="24"/>
        <v>7.6511734991417057</v>
      </c>
      <c r="BW12" s="1212">
        <f ca="1">+BW10+BW11</f>
        <v>36.479689999999998</v>
      </c>
      <c r="BX12" s="1230">
        <f t="shared" ca="1" si="25"/>
        <v>11.041881834970502</v>
      </c>
      <c r="BY12" s="3055">
        <f ca="1">OFFSET('VVP2'!$G$78,0,(COLUMN()-7)/5)</f>
        <v>-23.969930755435144</v>
      </c>
      <c r="BZ12" s="1212">
        <f ca="1">+BW12*(1+BY12/100)</f>
        <v>27.735533567202602</v>
      </c>
      <c r="CA12" s="1286">
        <f t="shared" ca="1" si="26"/>
        <v>-1.2552978883893218</v>
      </c>
      <c r="CB12" s="1212">
        <f ca="1">+CB10+CB11</f>
        <v>27.387369999999997</v>
      </c>
      <c r="CC12" s="1230">
        <f t="shared" ca="1" si="27"/>
        <v>-24.924334609203104</v>
      </c>
      <c r="CD12" s="3055">
        <f ca="1">OFFSET('VVP2'!$G$78,0,(COLUMN()-7)/5)</f>
        <v>1.7828958003967443</v>
      </c>
      <c r="CE12" s="1212">
        <f ca="1">+CB12*(1+CD12/100)</f>
        <v>27.875658269569115</v>
      </c>
      <c r="CF12" s="1286">
        <f t="shared" ca="1" si="28"/>
        <v>2.4329891114043107</v>
      </c>
      <c r="CG12" s="1212">
        <f ca="1">+CG10+CG11</f>
        <v>28.553870000000007</v>
      </c>
      <c r="CH12" s="1230">
        <f t="shared" ca="1" si="29"/>
        <v>4.2592625724923838</v>
      </c>
      <c r="CI12" s="3055">
        <f ca="1">OFFSET('VVP2'!$G$78,0,(COLUMN()-7)/5)</f>
        <v>5.9533436273261797</v>
      </c>
      <c r="CJ12" s="1212">
        <f ca="1">+CG12*(1+CI12/100)</f>
        <v>30.25378000000001</v>
      </c>
      <c r="CK12" s="1286">
        <f t="shared" ca="1" si="30"/>
        <v>6.0131329043841504</v>
      </c>
      <c r="CL12" s="1212">
        <f ca="1">+CL10+CL11</f>
        <v>32.072980000000001</v>
      </c>
      <c r="CM12" s="1230">
        <f t="shared" ca="1" si="31"/>
        <v>12.324458996276144</v>
      </c>
      <c r="CN12" s="3055">
        <f ca="1">OFFSET('VVP2'!$G$78,0,(COLUMN()-7)/5)</f>
        <v>-0.30327952407929182</v>
      </c>
      <c r="CO12" s="1212">
        <f ca="1">+CL12*(1+CN12/100)</f>
        <v>31.975709218897954</v>
      </c>
      <c r="CP12" s="1286">
        <f t="shared" ca="1" si="32"/>
        <v>3.3960178136104275</v>
      </c>
      <c r="CQ12" s="1212">
        <f ca="1">+CQ10+CQ11</f>
        <v>33.061610000000002</v>
      </c>
      <c r="CR12" s="1230">
        <f t="shared" ca="1" si="33"/>
        <v>3.0824388628683641</v>
      </c>
      <c r="CS12" s="3055">
        <f ca="1">OFFSET('VVP2'!$G$78,0,(COLUMN()-7)/5)</f>
        <v>2.8348069403326015</v>
      </c>
      <c r="CT12" s="1212">
        <f ca="1">+CQ12*(1+CS12/100)</f>
        <v>33.998842814865696</v>
      </c>
      <c r="CU12" s="1286">
        <f t="shared" ca="1" si="34"/>
        <v>1.5399558978677277</v>
      </c>
      <c r="CV12" s="1212">
        <f ca="1">+CV10+CV11</f>
        <v>34.522410000000001</v>
      </c>
      <c r="CW12" s="1230">
        <f t="shared" ca="1" si="35"/>
        <v>4.4184176148711396</v>
      </c>
      <c r="CX12" s="3055">
        <f ca="1">OFFSET('VVP2'!$G$78,0,(COLUMN()-7)/5)</f>
        <v>3.3964905192808814</v>
      </c>
      <c r="CY12" s="1212">
        <f ca="1">+CV12*(1+CX12/100)</f>
        <v>35.694960382677273</v>
      </c>
      <c r="CZ12" s="1286">
        <f t="shared" ca="1" si="36"/>
        <v>0.31881144033417286</v>
      </c>
      <c r="DA12" s="1212">
        <f ca="1">+DA10+DA11</f>
        <v>35.808759999999999</v>
      </c>
      <c r="DB12" s="1230">
        <f t="shared" ca="1" si="37"/>
        <v>3.726130359960389</v>
      </c>
      <c r="DC12" s="3055">
        <f ca="1">OFFSET('VVP2'!$G$78,0,(COLUMN()-7)/5)</f>
        <v>7.3820736449621061</v>
      </c>
      <c r="DD12" s="1212">
        <f ca="1">+DA12*(1+DC12/100)</f>
        <v>38.452189034547729</v>
      </c>
      <c r="DE12" s="1286">
        <f t="shared" ca="1" si="38"/>
        <v>-2.2003663661061097</v>
      </c>
      <c r="DF12" s="1212">
        <f ca="1">+DF10+DF11</f>
        <v>37.606099999999998</v>
      </c>
      <c r="DG12" s="1230">
        <f t="shared" ca="1" si="39"/>
        <v>5.0192746132510457</v>
      </c>
      <c r="DH12" s="3055">
        <f ca="1">OFFSET('VVP2'!$G$78,0,(COLUMN()-7)/5)</f>
        <v>2.4057419875649355</v>
      </c>
      <c r="DI12" s="1212">
        <f ca="1">+DF12*(1+DH12/100)</f>
        <v>38.510805737585656</v>
      </c>
      <c r="DJ12" s="1286">
        <f t="shared" ca="1" si="40"/>
        <v>-0.88903810509346215</v>
      </c>
      <c r="DK12" s="1212">
        <f ca="1">+DK10+DK11</f>
        <v>38.168430000000001</v>
      </c>
      <c r="DL12" s="1230">
        <f t="shared" ca="1" si="41"/>
        <v>1.4953159194917909</v>
      </c>
      <c r="DM12" s="3407">
        <f ca="1">IF(UPPER($F$2)="Y",(DN12/DK12-1)*100,OFFSET('VVP2'!$G$78,0,(COLUMN()-7)/5))</f>
        <v>4.1357636126038155</v>
      </c>
      <c r="DN12" s="1212">
        <f ca="1">IF(UPPER($F$2)="Y",+DN10+DN11,DK12*(1+DM12/100))</f>
        <v>39.746986039442156</v>
      </c>
      <c r="DO12" s="3407">
        <f ca="1">+DP12/DN12*100-100</f>
        <v>2.9926599076057983</v>
      </c>
      <c r="DP12" s="1216">
        <f ca="1">+DP10+DP11</f>
        <v>40.936478155126217</v>
      </c>
      <c r="DQ12" s="1432">
        <f t="shared" ca="1" si="42"/>
        <v>7.2521928597173435</v>
      </c>
      <c r="DR12" s="3407">
        <f ca="1">IF(UPPER($F$2)="Y",(DS12/DP12-1)*100,OFFSET('VVP2'!$G$78,0,(COLUMN()-7)/5))</f>
        <v>3.8688071906934685</v>
      </c>
      <c r="DS12" s="1212">
        <f ca="1">IF(UPPER($F$2)="Y",+DS10+DS11,DP12*(1+DR12/100))</f>
        <v>42.520231565608398</v>
      </c>
      <c r="DT12" s="3407">
        <f ca="1">+DU12/DS12*100-100</f>
        <v>2.8149612126703119</v>
      </c>
      <c r="DU12" s="1216">
        <f ca="1">+DU10+DU11</f>
        <v>43.717159591717873</v>
      </c>
      <c r="DV12" s="1432">
        <f t="shared" ca="1" si="43"/>
        <v>6.7926738251747887</v>
      </c>
      <c r="DW12" s="3407">
        <f ca="1">IF(UPPER($F$2)="Y",(DX12/DU12-1)*100,OFFSET('VVP2'!$G$78,0,(COLUMN()-7)/5))</f>
        <v>3.2251750459442619</v>
      </c>
      <c r="DX12" s="1212">
        <f ca="1">IF(UPPER($F$2)="Y",+DX10+DX11,DU12*(1+DW12/100))</f>
        <v>45.127114513665589</v>
      </c>
      <c r="DY12" s="3407">
        <f ca="1">+DZ12/DX12*100-100</f>
        <v>2.4865783529652674</v>
      </c>
      <c r="DZ12" s="1216">
        <f ca="1">+DZ10+DZ11</f>
        <v>46.249235574480245</v>
      </c>
      <c r="EA12" s="1432">
        <f t="shared" ca="1" si="44"/>
        <v>5.7919499034472244</v>
      </c>
    </row>
    <row r="13" spans="1:145">
      <c r="C13" s="1224" t="s">
        <v>1767</v>
      </c>
      <c r="D13" s="1078"/>
      <c r="E13" s="1078" t="s">
        <v>1358</v>
      </c>
      <c r="F13" s="1077" t="s">
        <v>1590</v>
      </c>
      <c r="G13" s="1246"/>
      <c r="H13" s="1247"/>
      <c r="I13" s="1248"/>
      <c r="J13" s="1231">
        <f ca="1">OFFSET('VVP2'!$G$279,0,(COLUMN()-6)/5)</f>
        <v>2.8841000000000001</v>
      </c>
      <c r="K13" s="1249"/>
      <c r="L13" s="1213">
        <f ca="1">OFFSET('VVP2'!$G$89,0,(COLUMN()-7)/5)</f>
        <v>19.044528323428999</v>
      </c>
      <c r="M13" s="1236">
        <f ca="1">+J13*(1+L13/100)</f>
        <v>3.433363241376016</v>
      </c>
      <c r="N13" s="1285">
        <f t="shared" ca="1" si="0"/>
        <v>18.663820678850371</v>
      </c>
      <c r="O13" s="1231">
        <f ca="1">OFFSET('VVP2'!$G$279,0,(COLUMN()-10)/5)</f>
        <v>4.07416</v>
      </c>
      <c r="P13" s="1218">
        <f t="shared" ca="1" si="1"/>
        <v>41.262785617697027</v>
      </c>
      <c r="Q13" s="1213">
        <f ca="1">OFFSET('VVP2'!$G$89,0,(COLUMN()-7)/5)</f>
        <v>18.838320999906678</v>
      </c>
      <c r="R13" s="1236">
        <f ca="1">+O13*(1+Q13/100)</f>
        <v>4.8416633388497976</v>
      </c>
      <c r="S13" s="1285">
        <f t="shared" ca="1" si="2"/>
        <v>8.8892314692092356</v>
      </c>
      <c r="T13" s="1231">
        <f ca="1">OFFSET('VVP2'!$G$279,0,(COLUMN()-10)/5)</f>
        <v>5.2720500000000001</v>
      </c>
      <c r="U13" s="1218">
        <f t="shared" ca="1" si="3"/>
        <v>29.402134427710248</v>
      </c>
      <c r="V13" s="1213">
        <f ca="1">OFFSET('VVP2'!$G$89,0,(COLUMN()-7)/5)</f>
        <v>4.6592149170669783</v>
      </c>
      <c r="W13" s="1236">
        <f ca="1">+T13*(1+V13/100)</f>
        <v>5.5176861400352299</v>
      </c>
      <c r="X13" s="1285">
        <f t="shared" ca="1" si="4"/>
        <v>-7.6640122200305001</v>
      </c>
      <c r="Y13" s="1231">
        <f ca="1">OFFSET('VVP2'!$G$279,0,(COLUMN()-10)/5)</f>
        <v>5.0948100000000007</v>
      </c>
      <c r="Z13" s="1218">
        <f t="shared" ca="1" si="5"/>
        <v>-3.3618801035650181</v>
      </c>
      <c r="AA13" s="1213">
        <f ca="1">OFFSET('VVP2'!$G$89,0,(COLUMN()-7)/5)</f>
        <v>-16.372062303186162</v>
      </c>
      <c r="AB13" s="1236">
        <f ca="1">+Y13*(1+AA13/100)</f>
        <v>4.2606845325710418</v>
      </c>
      <c r="AC13" s="1285">
        <f t="shared" ca="1" si="6"/>
        <v>-3.2892492156999396</v>
      </c>
      <c r="AD13" s="1231">
        <f ca="1">OFFSET('VVP2'!$G$279,0,(COLUMN()-10)/5)</f>
        <v>4.1205400000000001</v>
      </c>
      <c r="AE13" s="1218">
        <f t="shared" ca="1" si="7"/>
        <v>-19.122793587984642</v>
      </c>
      <c r="AF13" s="1213">
        <f ca="1">OFFSET('VVP2'!$G$89,0,(COLUMN()-7)/5)</f>
        <v>9.5572088492080773</v>
      </c>
      <c r="AG13" s="1236">
        <f ca="1">+AD13*(1+AF13/100)</f>
        <v>4.5143486135151587</v>
      </c>
      <c r="AH13" s="1285">
        <f t="shared" ca="1" si="8"/>
        <v>14.143820983901904</v>
      </c>
      <c r="AI13" s="1231">
        <f ca="1">OFFSET('VVP2'!$G$279,0,(COLUMN()-10)/5)</f>
        <v>5.1528499999999999</v>
      </c>
      <c r="AJ13" s="1218">
        <f t="shared" ca="1" si="9"/>
        <v>25.052784343799605</v>
      </c>
      <c r="AK13" s="1213">
        <f ca="1">OFFSET('VVP2'!$G$89,0,(COLUMN()-7)/5)</f>
        <v>21.209135528019061</v>
      </c>
      <c r="AL13" s="1236">
        <f ca="1">+AI13*(1+AK13/100)</f>
        <v>6.2457249400555304</v>
      </c>
      <c r="AM13" s="1285">
        <f t="shared" ca="1" si="10"/>
        <v>9.4705738745147983E-2</v>
      </c>
      <c r="AN13" s="1231">
        <f ca="1">OFFSET('VVP2'!$G$279,0,(COLUMN()-10)/5)</f>
        <v>6.2516400000000001</v>
      </c>
      <c r="AO13" s="1218">
        <f t="shared" ca="1" si="11"/>
        <v>21.323927535247478</v>
      </c>
      <c r="AP13" s="1213">
        <f ca="1">OFFSET('VVP2'!$G$89,0,(COLUMN()-7)/5)</f>
        <v>18.611044650627086</v>
      </c>
      <c r="AQ13" s="1236">
        <f ca="1">+AN13*(1+AP13/100)</f>
        <v>7.4151355117964632</v>
      </c>
      <c r="AR13" s="1285">
        <f t="shared" ca="1" si="12"/>
        <v>-2.9413557102157739</v>
      </c>
      <c r="AS13" s="1231">
        <f ca="1">OFFSET('VVP2'!$G$279,0,(COLUMN()-10)/5)</f>
        <v>7.1970299999999998</v>
      </c>
      <c r="AT13" s="1218">
        <f t="shared" ca="1" si="13"/>
        <v>15.122271915849272</v>
      </c>
      <c r="AU13" s="1213">
        <f ca="1">OFFSET('VVP2'!$G$89,0,(COLUMN()-7)/5)</f>
        <v>8.4262028762699828</v>
      </c>
      <c r="AV13" s="1236">
        <f ca="1">+AS13*(1+AU13/100)</f>
        <v>7.8034663488660136</v>
      </c>
      <c r="AW13" s="1285">
        <f t="shared" ca="1" si="14"/>
        <v>-1.3798527994121628</v>
      </c>
      <c r="AX13" s="1231">
        <f ca="1">OFFSET('VVP2'!$G$279,0,(COLUMN()-10)/5)</f>
        <v>7.6957899999999997</v>
      </c>
      <c r="AY13" s="1218">
        <f t="shared" ca="1" si="15"/>
        <v>6.9300808805854652</v>
      </c>
      <c r="AZ13" s="1213">
        <f ca="1">OFFSET('VVP2'!$G$89,0,(COLUMN()-7)/5)</f>
        <v>3.994045959034831</v>
      </c>
      <c r="BA13" s="1236">
        <f ca="1">+AX13*(1+AZ13/100)</f>
        <v>8.0031633895108065</v>
      </c>
      <c r="BB13" s="1285">
        <f t="shared" ca="1" si="16"/>
        <v>7.8943360236434188</v>
      </c>
      <c r="BC13" s="1231">
        <f ca="1">OFFSET('VVP2'!$G$279,0,(COLUMN()-10)/5)</f>
        <v>8.6349599999999995</v>
      </c>
      <c r="BD13" s="1218">
        <f t="shared" ca="1" si="17"/>
        <v>12.203685391623221</v>
      </c>
      <c r="BE13" s="1213">
        <f ca="1">OFFSET('VVP2'!$G$89,0,(COLUMN()-7)/5)</f>
        <v>20.540314154987939</v>
      </c>
      <c r="BF13" s="1236">
        <f ca="1">+BC13*(1+BE13/100)</f>
        <v>10.408607911157546</v>
      </c>
      <c r="BG13" s="1285">
        <f t="shared" ca="1" si="18"/>
        <v>8.642194004427779</v>
      </c>
      <c r="BH13" s="1231">
        <f ca="1">OFFSET('VVP2'!$G$279,0,(COLUMN()-10)/5)</f>
        <v>11.30814</v>
      </c>
      <c r="BI13" s="1218">
        <f t="shared" ca="1" si="19"/>
        <v>30.957641957808725</v>
      </c>
      <c r="BJ13" s="1213">
        <f ca="1">OFFSET('VVP2'!$G$89,0,(COLUMN()-7)/5)</f>
        <v>12.644517254648502</v>
      </c>
      <c r="BK13" s="1236">
        <f ca="1">+BH13*(1+BJ13/100)</f>
        <v>12.737999713479809</v>
      </c>
      <c r="BL13" s="1285">
        <f t="shared" ca="1" si="20"/>
        <v>5.141311832713825</v>
      </c>
      <c r="BM13" s="1231">
        <f ca="1">OFFSET('VVP2'!$G$279,0,(COLUMN()-10)/5)</f>
        <v>13.392899999999999</v>
      </c>
      <c r="BN13" s="1218">
        <f t="shared" ca="1" si="21"/>
        <v>18.435923149165113</v>
      </c>
      <c r="BO13" s="1213">
        <f ca="1">OFFSET('VVP2'!$G$89,0,(COLUMN()-7)/5)</f>
        <v>3.1746642424419269</v>
      </c>
      <c r="BP13" s="1236">
        <f ca="1">+BM13*(1+BO13/100)</f>
        <v>13.818079607326004</v>
      </c>
      <c r="BQ13" s="1285">
        <f t="shared" ca="1" si="22"/>
        <v>5.8351841615278346</v>
      </c>
      <c r="BR13" s="1231">
        <f ca="1">OFFSET('VVP2'!$G$279,0,(COLUMN()-10)/5)</f>
        <v>14.62439</v>
      </c>
      <c r="BS13" s="1218">
        <f t="shared" ca="1" si="23"/>
        <v>9.1950959090264295</v>
      </c>
      <c r="BT13" s="1213">
        <f ca="1">OFFSET('VVP2'!$G$89,0,(COLUMN()-7)/5)</f>
        <v>13.507146939638858</v>
      </c>
      <c r="BU13" s="1236">
        <f ca="1">+BR13*(1+BT13/100)</f>
        <v>16.599727846325852</v>
      </c>
      <c r="BV13" s="1285">
        <f t="shared" ca="1" si="24"/>
        <v>12.546001795656593</v>
      </c>
      <c r="BW13" s="1231">
        <f ca="1">OFFSET('VVP2'!$G$279,0,(COLUMN()-10)/5)</f>
        <v>18.68233</v>
      </c>
      <c r="BX13" s="1218">
        <f t="shared" ca="1" si="25"/>
        <v>27.74775563288452</v>
      </c>
      <c r="BY13" s="1213">
        <f ca="1">OFFSET('VVP2'!$G$89,0,(COLUMN()-7)/5)</f>
        <v>-12.788626994744856</v>
      </c>
      <c r="BZ13" s="1236">
        <f ca="1">+BW13*(1+BY13/100)</f>
        <v>16.293116502372683</v>
      </c>
      <c r="CA13" s="1285">
        <f t="shared" ca="1" si="26"/>
        <v>-14.137175671930251</v>
      </c>
      <c r="CB13" s="1231">
        <f ca="1">OFFSET('VVP2'!$G$279,0,(COLUMN()-10)/5)</f>
        <v>13.98973</v>
      </c>
      <c r="CC13" s="1218">
        <f t="shared" ca="1" si="27"/>
        <v>-25.117852002400131</v>
      </c>
      <c r="CD13" s="1213">
        <f ca="1">OFFSET('VVP2'!$G$89,0,(COLUMN()-7)/5)</f>
        <v>18.942229444272328</v>
      </c>
      <c r="CE13" s="1236">
        <f ca="1">+CB13*(1+CD13/100)</f>
        <v>16.639696755234198</v>
      </c>
      <c r="CF13" s="1285">
        <f t="shared" ca="1" si="28"/>
        <v>10.061380741443912</v>
      </c>
      <c r="CG13" s="1231">
        <f ca="1">OFFSET('VVP2'!$G$279,0,(COLUMN()-10)/5)</f>
        <v>18.313880000000001</v>
      </c>
      <c r="CH13" s="1218">
        <f t="shared" ca="1" si="29"/>
        <v>30.909460011022372</v>
      </c>
      <c r="CI13" s="1213">
        <f ca="1">OFFSET('VVP2'!$G$89,0,(COLUMN()-7)/5)</f>
        <v>15.404381813138457</v>
      </c>
      <c r="CJ13" s="1236">
        <f ca="1">+CG13*(1+CI13/100)</f>
        <v>21.135020000000001</v>
      </c>
      <c r="CK13" s="1285">
        <f t="shared" ca="1" si="30"/>
        <v>10.977183839901741</v>
      </c>
      <c r="CL13" s="1231">
        <f ca="1">OFFSET('VVP2'!$G$279,0,(COLUMN()-10)/5)</f>
        <v>23.45505</v>
      </c>
      <c r="CM13" s="1218">
        <f t="shared" ca="1" si="31"/>
        <v>28.072532964068774</v>
      </c>
      <c r="CN13" s="1213">
        <f ca="1">OFFSET('VVP2'!$G$89,0,(COLUMN()-7)/5)</f>
        <v>12.388585390503515</v>
      </c>
      <c r="CO13" s="1236">
        <f ca="1">+CL13*(1+CN13/100)</f>
        <v>26.360798897635295</v>
      </c>
      <c r="CP13" s="1285">
        <f t="shared" ca="1" si="32"/>
        <v>3.259655011600529</v>
      </c>
      <c r="CQ13" s="1231">
        <f ca="1">OFFSET('VVP2'!$G$279,0,(COLUMN()-10)/5)</f>
        <v>27.22007</v>
      </c>
      <c r="CR13" s="1218">
        <f t="shared" ca="1" si="33"/>
        <v>16.052065546651995</v>
      </c>
      <c r="CS13" s="1213">
        <f ca="1">OFFSET('VVP2'!$G$89,0,(COLUMN()-7)/5)</f>
        <v>9.8597881982962718</v>
      </c>
      <c r="CT13" s="1236">
        <f ca="1">+CQ13*(1+CS13/100)</f>
        <v>29.903911249427985</v>
      </c>
      <c r="CU13" s="1285">
        <f t="shared" ca="1" si="34"/>
        <v>-1.7256647303548078</v>
      </c>
      <c r="CV13" s="1231">
        <f ca="1">OFFSET('VVP2'!$G$279,0,(COLUMN()-10)/5)</f>
        <v>29.387869999999999</v>
      </c>
      <c r="CW13" s="1218">
        <f t="shared" ca="1" si="35"/>
        <v>7.9639765805157747</v>
      </c>
      <c r="CX13" s="1213">
        <f ca="1">OFFSET('VVP2'!$G$89,0,(COLUMN()-7)/5)</f>
        <v>3.2687395240077022</v>
      </c>
      <c r="CY13" s="1236">
        <f ca="1">+CV13*(1+CX13/100)</f>
        <v>30.348482921954002</v>
      </c>
      <c r="CZ13" s="1285">
        <f t="shared" ca="1" si="36"/>
        <v>-2.2751151144181989</v>
      </c>
      <c r="DA13" s="1231">
        <f ca="1">OFFSET('VVP2'!$G$279,0,(COLUMN()-10)/5)</f>
        <v>29.65802</v>
      </c>
      <c r="DB13" s="1218">
        <f t="shared" ca="1" si="37"/>
        <v>0.91925682262783415</v>
      </c>
      <c r="DC13" s="1213">
        <f ca="1">OFFSET('VVP2'!$G$89,0,(COLUMN()-7)/5)</f>
        <v>-0.36250801068858918</v>
      </c>
      <c r="DD13" s="1236">
        <f ca="1">+DA13*(1+DC13/100)</f>
        <v>29.550507301688377</v>
      </c>
      <c r="DE13" s="1285">
        <f t="shared" ca="1" si="38"/>
        <v>-3.9503460626602447</v>
      </c>
      <c r="DF13" s="1231">
        <f ca="1">OFFSET('VVP2'!$G$279,0,(COLUMN()-10)/5)</f>
        <v>28.38316</v>
      </c>
      <c r="DG13" s="1218">
        <f t="shared" ca="1" si="39"/>
        <v>-4.2985337524217737</v>
      </c>
      <c r="DH13" s="1213">
        <f ca="1">OFFSET('VVP2'!$G$89,0,(COLUMN()-7)/5)</f>
        <v>3.4546238679988628</v>
      </c>
      <c r="DI13" s="1236">
        <f ca="1">+DF13*(1+DH13/100)</f>
        <v>29.363691419852305</v>
      </c>
      <c r="DJ13" s="1285">
        <f t="shared" ca="1" si="40"/>
        <v>-1.9567070489776768</v>
      </c>
      <c r="DK13" s="1231">
        <f ca="1">OFFSET('VVP2'!$G$279,0,(COLUMN()-10)/5)</f>
        <v>28.78913</v>
      </c>
      <c r="DL13" s="1218">
        <f t="shared" ca="1" si="41"/>
        <v>1.4303199502803787</v>
      </c>
      <c r="DM13" s="3409">
        <f ca="1">OFFSET('VVP2'!$G$89,0,(COLUMN()-7)/5)</f>
        <v>13.238477414180206</v>
      </c>
      <c r="DN13" s="1211">
        <f ca="1">+DK13*(1+DM13/100)</f>
        <v>32.600372472788976</v>
      </c>
      <c r="DO13" s="3406">
        <f ca="1">+DO88</f>
        <v>4.3947696442213413</v>
      </c>
      <c r="DP13" s="1208">
        <f ca="1">+DN13*(1+DO13/100)</f>
        <v>34.033083746126195</v>
      </c>
      <c r="DQ13" s="1397">
        <f t="shared" ca="1" si="42"/>
        <v>18.215047645157021</v>
      </c>
      <c r="DR13" s="3409">
        <f ca="1">+DR88</f>
        <v>5.5162869137066251</v>
      </c>
      <c r="DS13" s="1211">
        <f ca="1">+DP13*(1+DR13/100)</f>
        <v>35.910446291144574</v>
      </c>
      <c r="DT13" s="3406">
        <f ca="1">+DT88</f>
        <v>2.3491131709032516</v>
      </c>
      <c r="DU13" s="1208">
        <f ca="1">+DS13*(1+DT13/100)</f>
        <v>36.754023314699985</v>
      </c>
      <c r="DV13" s="1397">
        <f t="shared" ca="1" si="43"/>
        <v>7.9949839070445616</v>
      </c>
      <c r="DW13" s="3409">
        <f ca="1">+DW88</f>
        <v>4.424592787673598</v>
      </c>
      <c r="DX13" s="1211">
        <f ca="1">+DU13*(1+DW13/100)</f>
        <v>38.380239179462073</v>
      </c>
      <c r="DY13" s="3406">
        <f ca="1">+DY88</f>
        <v>2.0246105466469544</v>
      </c>
      <c r="DZ13" s="1208">
        <f ca="1">+DX13*(1+DY13/100)</f>
        <v>39.157289549717788</v>
      </c>
      <c r="EA13" s="1397">
        <f t="shared" ca="1" si="44"/>
        <v>6.5387841065459806</v>
      </c>
    </row>
    <row r="14" spans="1:145">
      <c r="A14" s="1456" t="s">
        <v>1940</v>
      </c>
      <c r="C14" s="1224" t="s">
        <v>1769</v>
      </c>
      <c r="D14" s="1203"/>
      <c r="E14" s="1203" t="s">
        <v>1359</v>
      </c>
      <c r="F14" s="1227"/>
      <c r="G14" s="1365"/>
      <c r="H14" s="1366"/>
      <c r="I14" s="1366"/>
      <c r="J14" s="1212">
        <f ca="1">+J12+J13</f>
        <v>11.47382</v>
      </c>
      <c r="K14" s="1368"/>
      <c r="L14" s="3055">
        <f ca="1">OFFSET('VVP2'!$G$100,0,(COLUMN()-7)/5)</f>
        <v>11.827125551478247</v>
      </c>
      <c r="M14" s="1212">
        <f ca="1">+J14*(1+L14/100)</f>
        <v>12.830843096950622</v>
      </c>
      <c r="N14" s="1286">
        <f t="shared" ca="1" si="0"/>
        <v>14.498243716279902</v>
      </c>
      <c r="O14" s="1212">
        <f ca="1">+O12+O13</f>
        <v>14.691089999999999</v>
      </c>
      <c r="P14" s="1230">
        <f t="shared" ca="1" si="1"/>
        <v>28.040094754841881</v>
      </c>
      <c r="Q14" s="3055">
        <f ca="1">OFFSET('VVP2'!$G$100,0,(COLUMN()-7)/5)</f>
        <v>14.400066740955108</v>
      </c>
      <c r="R14" s="1212">
        <f ca="1">+O14*(1+Q14/100)</f>
        <v>16.806616764973782</v>
      </c>
      <c r="S14" s="1286">
        <f t="shared" ca="1" si="2"/>
        <v>8.1581156647999364</v>
      </c>
      <c r="T14" s="1212">
        <f ca="1">+T12+T13</f>
        <v>18.177720000000001</v>
      </c>
      <c r="U14" s="1230">
        <f t="shared" ca="1" si="3"/>
        <v>23.73295650629057</v>
      </c>
      <c r="V14" s="3055">
        <f ca="1">OFFSET('VVP2'!$G$100,0,(COLUMN()-7)/5)</f>
        <v>7.0572290476035748</v>
      </c>
      <c r="W14" s="1212">
        <f ca="1">+T14*(1+V14/100)</f>
        <v>19.460563336032045</v>
      </c>
      <c r="X14" s="1286">
        <f t="shared" ca="1" si="4"/>
        <v>0.72452508970741292</v>
      </c>
      <c r="Y14" s="1212">
        <f ca="1">+Y12+Y13</f>
        <v>19.601559999999999</v>
      </c>
      <c r="Z14" s="1230">
        <f t="shared" ca="1" si="5"/>
        <v>7.8328855323990032</v>
      </c>
      <c r="AA14" s="3055">
        <f ca="1">OFFSET('VVP2'!$G$100,0,(COLUMN()-7)/5)</f>
        <v>-5.1118404805977846</v>
      </c>
      <c r="AB14" s="1212">
        <f ca="1">+Y14*(1+AA14/100)</f>
        <v>18.599559521091336</v>
      </c>
      <c r="AC14" s="1286">
        <f t="shared" ca="1" si="6"/>
        <v>-2.676189834102729</v>
      </c>
      <c r="AD14" s="1212">
        <f ca="1">+AD12+AD13</f>
        <v>18.101800000000004</v>
      </c>
      <c r="AE14" s="1230">
        <f t="shared" ca="1" si="7"/>
        <v>-7.6512277594232074</v>
      </c>
      <c r="AF14" s="3055">
        <f ca="1">OFFSET('VVP2'!$G$100,0,(COLUMN()-7)/5)</f>
        <v>4.0652448074415259</v>
      </c>
      <c r="AG14" s="1212">
        <f ca="1">+AD14*(1+AF14/100)</f>
        <v>18.837682484553454</v>
      </c>
      <c r="AH14" s="1286">
        <f t="shared" ca="1" si="8"/>
        <v>2.7067953601227259</v>
      </c>
      <c r="AI14" s="1212">
        <f ca="1">+AI12+AI13</f>
        <v>19.347579999999997</v>
      </c>
      <c r="AJ14" s="1230">
        <f t="shared" ca="1" si="9"/>
        <v>6.8820780253896929</v>
      </c>
      <c r="AK14" s="3055">
        <f ca="1">OFFSET('VVP2'!$G$100,0,(COLUMN()-7)/5)</f>
        <v>10.363782081855156</v>
      </c>
      <c r="AL14" s="1212">
        <f ca="1">+AI14*(1+AK14/100)</f>
        <v>21.352721029312587</v>
      </c>
      <c r="AM14" s="1286">
        <f t="shared" ca="1" si="10"/>
        <v>-0.61276044927937789</v>
      </c>
      <c r="AN14" s="1212">
        <f ca="1">+AN12+AN13</f>
        <v>21.221879999999999</v>
      </c>
      <c r="AO14" s="1230">
        <f t="shared" ca="1" si="11"/>
        <v>9.687516474928648</v>
      </c>
      <c r="AP14" s="3055">
        <f ca="1">OFFSET('VVP2'!$G$100,0,(COLUMN()-7)/5)</f>
        <v>11.010347557114763</v>
      </c>
      <c r="AQ14" s="1212">
        <f ca="1">+AN14*(1+AP14/100)</f>
        <v>23.558482746153825</v>
      </c>
      <c r="AR14" s="1286">
        <f t="shared" ca="1" si="12"/>
        <v>-1.2583694346879071</v>
      </c>
      <c r="AS14" s="1212">
        <f ca="1">+AS12+AS13</f>
        <v>23.262030000000003</v>
      </c>
      <c r="AT14" s="1230">
        <f t="shared" ca="1" si="13"/>
        <v>9.613427274115228</v>
      </c>
      <c r="AU14" s="3055">
        <f ca="1">OFFSET('VVP2'!$G$100,0,(COLUMN()-7)/5)</f>
        <v>9.7537199975804345</v>
      </c>
      <c r="AV14" s="1212">
        <f ca="1">+AS14*(1+AU14/100)</f>
        <v>25.530943271953163</v>
      </c>
      <c r="AW14" s="1286">
        <f t="shared" ca="1" si="14"/>
        <v>-0.79179711379970286</v>
      </c>
      <c r="AX14" s="1212">
        <f ca="1">+AX12+AX13</f>
        <v>25.328789999999998</v>
      </c>
      <c r="AY14" s="1230">
        <f t="shared" ca="1" si="15"/>
        <v>8.8846932103517915</v>
      </c>
      <c r="AZ14" s="3055">
        <f ca="1">OFFSET('VVP2'!$G$100,0,(COLUMN()-7)/5)</f>
        <v>10.234495684566735</v>
      </c>
      <c r="BA14" s="1212">
        <f ca="1">+AX14*(1+AZ14/100)</f>
        <v>27.92106391950297</v>
      </c>
      <c r="BB14" s="1286">
        <f t="shared" ca="1" si="16"/>
        <v>0.84185932590068546</v>
      </c>
      <c r="BC14" s="1212">
        <f ca="1">+BC12+BC13</f>
        <v>28.156119999999998</v>
      </c>
      <c r="BD14" s="1230">
        <f t="shared" ca="1" si="17"/>
        <v>11.162515066846868</v>
      </c>
      <c r="BE14" s="3055">
        <f ca="1">OFFSET('VVP2'!$G$100,0,(COLUMN()-7)/5)</f>
        <v>12.170512822147161</v>
      </c>
      <c r="BF14" s="1212">
        <f ca="1">+BC14*(1+BE14/100)</f>
        <v>31.582864194819138</v>
      </c>
      <c r="BG14" s="1286">
        <f t="shared" ca="1" si="18"/>
        <v>7.1133694250231798</v>
      </c>
      <c r="BH14" s="1212">
        <f ca="1">+BH12+BH13</f>
        <v>33.829470000000001</v>
      </c>
      <c r="BI14" s="1230">
        <f t="shared" ca="1" si="19"/>
        <v>20.149615785129505</v>
      </c>
      <c r="BJ14" s="3055">
        <f ca="1">OFFSET('VVP2'!$G$100,0,(COLUMN()-7)/5)</f>
        <v>10.004620343381166</v>
      </c>
      <c r="BK14" s="1212">
        <f ca="1">+BH14*(1+BJ14/100)</f>
        <v>37.213980037678027</v>
      </c>
      <c r="BL14" s="1286">
        <f t="shared" ca="1" si="20"/>
        <v>7.3346090892681701</v>
      </c>
      <c r="BM14" s="1212">
        <f ca="1">+BM12+BM13</f>
        <v>39.943480000000001</v>
      </c>
      <c r="BN14" s="1230">
        <f t="shared" ca="1" si="21"/>
        <v>18.073029225701731</v>
      </c>
      <c r="BO14" s="3055">
        <f ca="1">OFFSET('VVP2'!$G$100,0,(COLUMN()-7)/5)</f>
        <v>10.976490522052252</v>
      </c>
      <c r="BP14" s="1212">
        <f ca="1">+BM14*(1+BO14/100)</f>
        <v>44.327872296377841</v>
      </c>
      <c r="BQ14" s="1286">
        <f t="shared" ca="1" si="22"/>
        <v>7.1032231878168659</v>
      </c>
      <c r="BR14" s="1212">
        <f ca="1">+BR12+BR13</f>
        <v>47.476579999999998</v>
      </c>
      <c r="BS14" s="1230">
        <f t="shared" ca="1" si="23"/>
        <v>18.859398329840047</v>
      </c>
      <c r="BT14" s="3055">
        <f ca="1">OFFSET('VVP2'!$G$100,0,(COLUMN()-7)/5)</f>
        <v>6.3401551967141367</v>
      </c>
      <c r="BU14" s="1212">
        <f ca="1">+BR14*(1+BT14/100)</f>
        <v>50.486668854092144</v>
      </c>
      <c r="BV14" s="1286">
        <f t="shared" ca="1" si="24"/>
        <v>9.2605657137327739</v>
      </c>
      <c r="BW14" s="1212">
        <f ca="1">+BW12+BW13</f>
        <v>55.162019999999998</v>
      </c>
      <c r="BX14" s="1230">
        <f t="shared" ca="1" si="25"/>
        <v>16.187855148791265</v>
      </c>
      <c r="BY14" s="3055">
        <f ca="1">OFFSET('VVP2'!$G$100,0,(COLUMN()-7)/5)</f>
        <v>-20.183035920962645</v>
      </c>
      <c r="BZ14" s="1212">
        <f ca="1">+BW14*(1+BY14/100)</f>
        <v>44.0286496886714</v>
      </c>
      <c r="CA14" s="1286">
        <f t="shared" ca="1" si="26"/>
        <v>-6.0223279783064783</v>
      </c>
      <c r="CB14" s="1212">
        <f ca="1">+CB12+CB13</f>
        <v>41.377099999999999</v>
      </c>
      <c r="CC14" s="1230">
        <f t="shared" ca="1" si="27"/>
        <v>-24.989875280129336</v>
      </c>
      <c r="CD14" s="3055">
        <f ca="1">OFFSET('VVP2'!$G$100,0,(COLUMN()-7)/5)</f>
        <v>7.5845214624761237</v>
      </c>
      <c r="CE14" s="1212">
        <f ca="1">+CB14*(1+CD14/100)</f>
        <v>44.515355030050209</v>
      </c>
      <c r="CF14" s="1286">
        <f t="shared" ca="1" si="28"/>
        <v>5.2844573930991032</v>
      </c>
      <c r="CG14" s="1212">
        <f ca="1">+CG12+CG13</f>
        <v>46.867750000000008</v>
      </c>
      <c r="CH14" s="1230">
        <f t="shared" ca="1" si="29"/>
        <v>13.26977966073024</v>
      </c>
      <c r="CI14" s="3055">
        <f ca="1">OFFSET('VVP2'!$G$100,0,(COLUMN()-7)/5)</f>
        <v>9.6463986429901283</v>
      </c>
      <c r="CJ14" s="1212">
        <f ca="1">+CG14*(1+CI14/100)</f>
        <v>51.388800000000018</v>
      </c>
      <c r="CK14" s="1286">
        <f t="shared" ca="1" si="30"/>
        <v>8.0547317703468195</v>
      </c>
      <c r="CL14" s="1212">
        <f ca="1">+CL12+CL13</f>
        <v>55.528030000000001</v>
      </c>
      <c r="CM14" s="1230">
        <f t="shared" ca="1" si="31"/>
        <v>18.47812194952818</v>
      </c>
      <c r="CN14" s="3055">
        <f ca="1">OFFSET('VVP2'!$G$100,0,(COLUMN()-7)/5)</f>
        <v>5.0577675096519004</v>
      </c>
      <c r="CO14" s="1212">
        <f ca="1">+CL14*(1+CN14/100)</f>
        <v>58.336508660089763</v>
      </c>
      <c r="CP14" s="1286">
        <f t="shared" ca="1" si="32"/>
        <v>3.3343979346522019</v>
      </c>
      <c r="CQ14" s="1212">
        <f ca="1">+CQ12+CQ13</f>
        <v>60.281680000000001</v>
      </c>
      <c r="CR14" s="1230">
        <f t="shared" ca="1" si="33"/>
        <v>8.5608115396854423</v>
      </c>
      <c r="CS14" s="3055">
        <f ca="1">OFFSET('VVP2'!$G$100,0,(COLUMN()-7)/5)</f>
        <v>6.0069223963111984</v>
      </c>
      <c r="CT14" s="1212">
        <f ca="1">+CQ14*(1+CS14/100)</f>
        <v>63.902753736792647</v>
      </c>
      <c r="CU14" s="1286">
        <f t="shared" ca="1" si="34"/>
        <v>1.1777682129874734E-2</v>
      </c>
      <c r="CV14" s="1212">
        <f ca="1">+CV12+CV13</f>
        <v>63.91028</v>
      </c>
      <c r="CW14" s="1230">
        <f t="shared" ca="1" si="35"/>
        <v>6.0194075546666781</v>
      </c>
      <c r="CX14" s="3055">
        <f ca="1">OFFSET('VVP2'!$G$100,0,(COLUMN()-7)/5)</f>
        <v>3.3377467649213566</v>
      </c>
      <c r="CY14" s="1212">
        <f ca="1">+CV14*(1+CX14/100)</f>
        <v>66.043443303152188</v>
      </c>
      <c r="CZ14" s="1286">
        <f t="shared" ca="1" si="36"/>
        <v>-0.87315753738820945</v>
      </c>
      <c r="DA14" s="1212">
        <f ca="1">+DA12+DA13</f>
        <v>65.46678</v>
      </c>
      <c r="DB14" s="1230">
        <f t="shared" ca="1" si="37"/>
        <v>2.4354454400763004</v>
      </c>
      <c r="DC14" s="3055">
        <f ca="1">OFFSET('VVP2'!$G$100,0,(COLUMN()-7)/5)</f>
        <v>3.8735925824965767</v>
      </c>
      <c r="DD14" s="1212">
        <f ca="1">+DA14*(1+DC14/100)</f>
        <v>68.002696334079346</v>
      </c>
      <c r="DE14" s="1286">
        <f t="shared" ca="1" si="38"/>
        <v>-2.9608183831238932</v>
      </c>
      <c r="DF14" s="1212">
        <f ca="1">+DF12+DF13</f>
        <v>65.989260000000002</v>
      </c>
      <c r="DG14" s="1230">
        <f t="shared" ca="1" si="39"/>
        <v>0.79808415810278532</v>
      </c>
      <c r="DH14" s="3055">
        <f ca="1">OFFSET('VVP2'!$G$100,0,(COLUMN()-7)/5)</f>
        <v>2.8568848345463138</v>
      </c>
      <c r="DI14" s="1212">
        <f ca="1">+DF14*(1+DH14/100)</f>
        <v>67.874497161369334</v>
      </c>
      <c r="DJ14" s="1286">
        <f t="shared" ca="1" si="40"/>
        <v>-1.3509303195121163</v>
      </c>
      <c r="DK14" s="1212">
        <f ca="1">+DK12+DK13</f>
        <v>66.957560000000001</v>
      </c>
      <c r="DL14" s="1230">
        <f t="shared" ca="1" si="41"/>
        <v>1.4673599916107616</v>
      </c>
      <c r="DM14" s="3407">
        <f ca="1">OFFSET('VVP2'!$G$100,0,(COLUMN()-7)/5)</f>
        <v>7.6243958693458014</v>
      </c>
      <c r="DN14" s="1212">
        <f ca="1">IF(UPPER($F$2)="Y",+DN12+DN13,DK14*(1+DM14/100))</f>
        <v>72.347358512231125</v>
      </c>
      <c r="DO14" s="3407">
        <f ca="1">+DP14/DN14*100-100</f>
        <v>3.6244632049392038</v>
      </c>
      <c r="DP14" s="1216">
        <f ca="1">+DP12+DP13</f>
        <v>74.969561901252405</v>
      </c>
      <c r="DQ14" s="1432">
        <f t="shared" ca="1" si="42"/>
        <v>11.965791318041475</v>
      </c>
      <c r="DR14" s="3407">
        <f ca="1">IF(UPPER($F$2)="Y",(DS14/DP14-1)*100,OFFSET('VVP2'!$G$100,0,(COLUMN()-7)/5))</f>
        <v>4.6166949195453943</v>
      </c>
      <c r="DS14" s="1212">
        <f ca="1">IF(UPPER($F$2)="Y",+DS12+DS13,DP14*(1+DR14/100))</f>
        <v>78.430677856752965</v>
      </c>
      <c r="DT14" s="3407">
        <f ca="1">+DU14/DS14*100-100</f>
        <v>2.6016669821363791</v>
      </c>
      <c r="DU14" s="1216">
        <f ca="1">+DU12+DU13</f>
        <v>80.471182906417852</v>
      </c>
      <c r="DV14" s="1432">
        <f t="shared" ca="1" si="43"/>
        <v>7.3384729290695505</v>
      </c>
      <c r="DW14" s="3407">
        <f ca="1">IF(UPPER($F$2)="Y",(DX14/DU14-1)*100,OFFSET('VVP2'!$G$100,0,(COLUMN()-7)/5))</f>
        <v>3.7729913703898887</v>
      </c>
      <c r="DX14" s="1212">
        <f ca="1">IF(UPPER($F$2)="Y",+DX12+DX13,DU14*(1+DW14/100))</f>
        <v>83.507353693127669</v>
      </c>
      <c r="DY14" s="3407">
        <f ca="1">+DZ14/DX14*100-100</f>
        <v>2.2742565140423636</v>
      </c>
      <c r="DZ14" s="1216">
        <f ca="1">+DZ12+DZ13</f>
        <v>85.406525124198026</v>
      </c>
      <c r="EA14" s="1432">
        <f t="shared" ca="1" si="44"/>
        <v>6.1330553864476167</v>
      </c>
    </row>
    <row r="15" spans="1:145">
      <c r="C15" s="842" t="s">
        <v>401</v>
      </c>
      <c r="D15" s="1078"/>
      <c r="E15" s="1078" t="s">
        <v>1455</v>
      </c>
      <c r="F15" s="1077" t="s">
        <v>1591</v>
      </c>
      <c r="G15" s="1246"/>
      <c r="H15" s="1247"/>
      <c r="I15" s="1248"/>
      <c r="J15" s="1231">
        <f ca="1">OFFSET('VVP2'!$G$311,0,(COLUMN()-6)/5)</f>
        <v>3.7092899999999998</v>
      </c>
      <c r="K15" s="1249"/>
      <c r="L15" s="1213">
        <f ca="1">OFFSET('VVP2'!$G$111,0,(COLUMN()-7)/5)</f>
        <v>23.166175697902137</v>
      </c>
      <c r="M15" s="1236">
        <f ca="1">+J15*(1+L15/100)</f>
        <v>4.5685906385447135</v>
      </c>
      <c r="N15" s="1285">
        <f t="shared" ca="1" si="0"/>
        <v>8.9381910913638478</v>
      </c>
      <c r="O15" s="1231">
        <f ca="1">OFFSET('VVP2'!$G$311,0,(COLUMN()-10)/5)</f>
        <v>4.9769399999999999</v>
      </c>
      <c r="P15" s="1218">
        <f t="shared" ca="1" si="1"/>
        <v>34.175003841705553</v>
      </c>
      <c r="Q15" s="1213">
        <f ca="1">OFFSET('VVP2'!$G$111,0,(COLUMN()-7)/5)</f>
        <v>24.966294345254948</v>
      </c>
      <c r="R15" s="1236">
        <f ca="1">+O15*(1+Q15/100)</f>
        <v>6.2194974897867317</v>
      </c>
      <c r="S15" s="1285">
        <f t="shared" ca="1" si="2"/>
        <v>3.7604727809173539</v>
      </c>
      <c r="T15" s="1231">
        <f ca="1">OFFSET('VVP2'!$G$311,0,(COLUMN()-10)/5)</f>
        <v>6.4533800000000001</v>
      </c>
      <c r="U15" s="1218">
        <f t="shared" ca="1" si="3"/>
        <v>29.665617829429337</v>
      </c>
      <c r="V15" s="1213">
        <f ca="1">OFFSET('VVP2'!$G$111,0,(COLUMN()-7)/5)</f>
        <v>6.1402011527074141</v>
      </c>
      <c r="W15" s="1236">
        <f ca="1">+T15*(1+V15/100)</f>
        <v>6.8496305131485897</v>
      </c>
      <c r="X15" s="1285">
        <f t="shared" ca="1" si="4"/>
        <v>-3.9421179380443476</v>
      </c>
      <c r="Y15" s="1231">
        <f ca="1">OFFSET('VVP2'!$G$311,0,(COLUMN()-10)/5)</f>
        <v>6.5796099999999997</v>
      </c>
      <c r="Z15" s="1218">
        <f t="shared" ca="1" si="5"/>
        <v>1.9560292435901738</v>
      </c>
      <c r="AA15" s="1213">
        <f ca="1">OFFSET('VVP2'!$G$111,0,(COLUMN()-7)/5)</f>
        <v>-12.351269284311128</v>
      </c>
      <c r="AB15" s="1236">
        <f ca="1">+Y15*(1+AA15/100)</f>
        <v>5.766944651042536</v>
      </c>
      <c r="AC15" s="1285">
        <f t="shared" ca="1" si="6"/>
        <v>-6.5413260204316401</v>
      </c>
      <c r="AD15" s="1231">
        <f ca="1">OFFSET('VVP2'!$G$311,0,(COLUMN()-10)/5)</f>
        <v>5.38971</v>
      </c>
      <c r="AE15" s="1218">
        <f t="shared" ca="1" si="7"/>
        <v>-18.084658513194551</v>
      </c>
      <c r="AF15" s="1213">
        <f ca="1">OFFSET('VVP2'!$G$111,0,(COLUMN()-7)/5)</f>
        <v>4.9760726387508836</v>
      </c>
      <c r="AG15" s="1236">
        <f ca="1">+AD15*(1+AF15/100)</f>
        <v>5.6579058846180201</v>
      </c>
      <c r="AH15" s="1285">
        <f t="shared" ca="1" si="8"/>
        <v>5.6822103785080031</v>
      </c>
      <c r="AI15" s="1231">
        <f ca="1">OFFSET('VVP2'!$G$311,0,(COLUMN()-10)/5)</f>
        <v>5.9794</v>
      </c>
      <c r="AJ15" s="1218">
        <f t="shared" ca="1" si="9"/>
        <v>10.941033933180089</v>
      </c>
      <c r="AK15" s="1213">
        <f ca="1">OFFSET('VVP2'!$G$111,0,(COLUMN()-7)/5)</f>
        <v>17.576290385742467</v>
      </c>
      <c r="AL15" s="1236">
        <f ca="1">+AI15*(1+AK15/100)</f>
        <v>7.030356707325085</v>
      </c>
      <c r="AM15" s="1285">
        <f t="shared" ca="1" si="10"/>
        <v>-4.262525288315544E-2</v>
      </c>
      <c r="AN15" s="1231">
        <f ca="1">OFFSET('VVP2'!$G$311,0,(COLUMN()-10)/5)</f>
        <v>7.0273599999999998</v>
      </c>
      <c r="AO15" s="1218">
        <f t="shared" ca="1" si="11"/>
        <v>17.526173194634922</v>
      </c>
      <c r="AP15" s="1213">
        <f ca="1">OFFSET('VVP2'!$G$111,0,(COLUMN()-7)/5)</f>
        <v>18.582320452280499</v>
      </c>
      <c r="AQ15" s="1236">
        <f ca="1">+AN15*(1+AP15/100)</f>
        <v>8.3332065545353782</v>
      </c>
      <c r="AR15" s="1285">
        <f t="shared" ca="1" si="12"/>
        <v>-3.2803285595579297</v>
      </c>
      <c r="AS15" s="1231">
        <f ca="1">OFFSET('VVP2'!$G$311,0,(COLUMN()-10)/5)</f>
        <v>8.0598500000000008</v>
      </c>
      <c r="AT15" s="1218">
        <f t="shared" ca="1" si="13"/>
        <v>14.692430727897833</v>
      </c>
      <c r="AU15" s="1213">
        <f ca="1">OFFSET('VVP2'!$G$111,0,(COLUMN()-7)/5)</f>
        <v>8.8562930633370165</v>
      </c>
      <c r="AV15" s="1236">
        <f ca="1">+AS15*(1+AU15/100)</f>
        <v>8.7736539364653687</v>
      </c>
      <c r="AW15" s="1285">
        <f t="shared" ca="1" si="14"/>
        <v>-1.2917529832619152</v>
      </c>
      <c r="AX15" s="1231">
        <f ca="1">OFFSET('VVP2'!$G$311,0,(COLUMN()-10)/5)</f>
        <v>8.6603200000000005</v>
      </c>
      <c r="AY15" s="1218">
        <f t="shared" ca="1" si="15"/>
        <v>7.4501386502230149</v>
      </c>
      <c r="AZ15" s="1213">
        <f ca="1">OFFSET('VVP2'!$G$111,0,(COLUMN()-7)/5)</f>
        <v>15.140289710799216</v>
      </c>
      <c r="BA15" s="1236">
        <f ca="1">+AX15*(1+AZ15/100)</f>
        <v>9.9715175378822867</v>
      </c>
      <c r="BB15" s="1285">
        <f t="shared" ca="1" si="16"/>
        <v>-0.53279290419391145</v>
      </c>
      <c r="BC15" s="1231">
        <f ca="1">OFFSET('VVP2'!$G$311,0,(COLUMN()-10)/5)</f>
        <v>9.9183899999999987</v>
      </c>
      <c r="BD15" s="1218">
        <f t="shared" ca="1" si="17"/>
        <v>14.526830417351766</v>
      </c>
      <c r="BE15" s="1213">
        <f ca="1">OFFSET('VVP2'!$G$111,0,(COLUMN()-7)/5)</f>
        <v>20.340344313524227</v>
      </c>
      <c r="BF15" s="1236">
        <f ca="1">+BC15*(1+BE15/100)</f>
        <v>11.935824676358154</v>
      </c>
      <c r="BG15" s="1285">
        <f t="shared" ca="1" si="18"/>
        <v>7.4673962445785236</v>
      </c>
      <c r="BH15" s="1231">
        <f ca="1">OFFSET('VVP2'!$G$311,0,(COLUMN()-10)/5)</f>
        <v>12.827120000000001</v>
      </c>
      <c r="BI15" s="1218">
        <f t="shared" ca="1" si="19"/>
        <v>29.326634665505203</v>
      </c>
      <c r="BJ15" s="1213">
        <f ca="1">OFFSET('VVP2'!$G$111,0,(COLUMN()-7)/5)</f>
        <v>14.258666950116105</v>
      </c>
      <c r="BK15" s="1236">
        <f ca="1">+BH15*(1+BJ15/100)</f>
        <v>14.656096320091734</v>
      </c>
      <c r="BL15" s="1285">
        <f t="shared" ca="1" si="20"/>
        <v>8.2437618689224195</v>
      </c>
      <c r="BM15" s="1231">
        <f ca="1">OFFSET('VVP2'!$G$311,0,(COLUMN()-10)/5)</f>
        <v>15.86431</v>
      </c>
      <c r="BN15" s="1218">
        <f t="shared" ca="1" si="21"/>
        <v>23.677879368088849</v>
      </c>
      <c r="BO15" s="1213">
        <f ca="1">OFFSET('VVP2'!$G$111,0,(COLUMN()-7)/5)</f>
        <v>10.808883185624163</v>
      </c>
      <c r="BP15" s="1236">
        <f ca="1">+BM15*(1+BO15/100)</f>
        <v>17.579064736105291</v>
      </c>
      <c r="BQ15" s="1285">
        <f t="shared" ca="1" si="22"/>
        <v>4.8742938077634506</v>
      </c>
      <c r="BR15" s="1231">
        <f ca="1">OFFSET('VVP2'!$G$311,0,(COLUMN()-10)/5)</f>
        <v>18.435919999999999</v>
      </c>
      <c r="BS15" s="1218">
        <f t="shared" ca="1" si="23"/>
        <v>16.210033717192871</v>
      </c>
      <c r="BT15" s="1213">
        <f ca="1">OFFSET('VVP2'!$G$111,0,(COLUMN()-7)/5)</f>
        <v>12.187524486682811</v>
      </c>
      <c r="BU15" s="1236">
        <f ca="1">+BR15*(1+BT15/100)</f>
        <v>20.682802264345252</v>
      </c>
      <c r="BV15" s="1285">
        <f t="shared" ca="1" si="24"/>
        <v>8.6204360166820493</v>
      </c>
      <c r="BW15" s="1231">
        <f ca="1">OFFSET('VVP2'!$G$311,0,(COLUMN()-10)/5)</f>
        <v>22.46575</v>
      </c>
      <c r="BX15" s="1218">
        <f t="shared" ca="1" si="25"/>
        <v>21.858578253756811</v>
      </c>
      <c r="BY15" s="1213">
        <f ca="1">OFFSET('VVP2'!$G$111,0,(COLUMN()-7)/5)</f>
        <v>-27.996827041084281</v>
      </c>
      <c r="BZ15" s="1236">
        <f ca="1">+BW15*(1+BY15/100)</f>
        <v>16.176052829017607</v>
      </c>
      <c r="CA15" s="1285">
        <f t="shared" ca="1" si="26"/>
        <v>-10.718145194898582</v>
      </c>
      <c r="CB15" s="1231">
        <f ca="1">OFFSET('VVP2'!$G$311,0,(COLUMN()-10)/5)</f>
        <v>14.44228</v>
      </c>
      <c r="CC15" s="1218">
        <f t="shared" ca="1" si="27"/>
        <v>-35.714231663754823</v>
      </c>
      <c r="CD15" s="1213">
        <f ca="1">OFFSET('VVP2'!$G$111,0,(COLUMN()-7)/5)</f>
        <v>18.671378225417847</v>
      </c>
      <c r="CE15" s="1236">
        <f ca="1">+CB15*(1+CD15/100)</f>
        <v>17.138852723173876</v>
      </c>
      <c r="CF15" s="1285">
        <f t="shared" ca="1" si="28"/>
        <v>9.9262027879254617</v>
      </c>
      <c r="CG15" s="1231">
        <f ca="1">OFFSET('VVP2'!$G$311,0,(COLUMN()-10)/5)</f>
        <v>18.84009</v>
      </c>
      <c r="CH15" s="1218">
        <f t="shared" ca="1" si="29"/>
        <v>30.450939879298833</v>
      </c>
      <c r="CI15" s="1213">
        <f ca="1">OFFSET('VVP2'!$G$111,0,(COLUMN()-7)/5)</f>
        <v>15.006828523642945</v>
      </c>
      <c r="CJ15" s="1236">
        <f ca="1">+CG15*(1+CI15/100)</f>
        <v>21.667390000000001</v>
      </c>
      <c r="CK15" s="1285">
        <f t="shared" ca="1" si="30"/>
        <v>11.931847813696066</v>
      </c>
      <c r="CL15" s="1231">
        <f ca="1">OFFSET('VVP2'!$G$311,0,(COLUMN()-10)/5)</f>
        <v>24.25271</v>
      </c>
      <c r="CM15" s="1218">
        <f t="shared" ca="1" si="31"/>
        <v>28.729268278442397</v>
      </c>
      <c r="CN15" s="1213">
        <f ca="1">OFFSET('VVP2'!$G$111,0,(COLUMN()-7)/5)</f>
        <v>6.6449627758580876</v>
      </c>
      <c r="CO15" s="1236">
        <f ca="1">+CL15*(1+CN15/100)</f>
        <v>25.864293551636813</v>
      </c>
      <c r="CP15" s="1285">
        <f t="shared" ca="1" si="32"/>
        <v>4.132788108939252</v>
      </c>
      <c r="CQ15" s="1231">
        <f ca="1">OFFSET('VVP2'!$G$311,0,(COLUMN()-10)/5)</f>
        <v>26.933209999999999</v>
      </c>
      <c r="CR15" s="1218">
        <f t="shared" ca="1" si="33"/>
        <v>11.052373116241432</v>
      </c>
      <c r="CS15" s="1213">
        <f ca="1">OFFSET('VVP2'!$G$111,0,(COLUMN()-7)/5)</f>
        <v>9.1127519671375001</v>
      </c>
      <c r="CT15" s="1236">
        <f ca="1">+CQ15*(1+CS15/100)</f>
        <v>29.387566624088272</v>
      </c>
      <c r="CU15" s="1285">
        <f t="shared" ca="1" si="34"/>
        <v>-1.4868417983614819</v>
      </c>
      <c r="CV15" s="1231">
        <f ca="1">OFFSET('VVP2'!$G$311,0,(COLUMN()-10)/5)</f>
        <v>28.950620000000001</v>
      </c>
      <c r="CW15" s="1218">
        <f t="shared" ca="1" si="35"/>
        <v>7.4904179635476131</v>
      </c>
      <c r="CX15" s="1213">
        <f ca="1">OFFSET('VVP2'!$G$111,0,(COLUMN()-7)/5)</f>
        <v>3.0964332515761805</v>
      </c>
      <c r="CY15" s="1236">
        <f ca="1">+CV15*(1+CX15/100)</f>
        <v>29.847056624217466</v>
      </c>
      <c r="CZ15" s="1285">
        <f t="shared" ca="1" si="36"/>
        <v>-3.1780575088527314</v>
      </c>
      <c r="DA15" s="1231">
        <f ca="1">OFFSET('VVP2'!$G$311,0,(COLUMN()-10)/5)</f>
        <v>28.898499999999999</v>
      </c>
      <c r="DB15" s="1218">
        <f t="shared" ca="1" si="37"/>
        <v>-0.18003068673486666</v>
      </c>
      <c r="DC15" s="1213">
        <f ca="1">OFFSET('VVP2'!$G$111,0,(COLUMN()-7)/5)</f>
        <v>6.2006079962821703</v>
      </c>
      <c r="DD15" s="1236">
        <f ca="1">+DA15*(1+DC15/100)</f>
        <v>30.6903827018056</v>
      </c>
      <c r="DE15" s="1285">
        <f t="shared" ca="1" si="38"/>
        <v>-6.9328972612662199</v>
      </c>
      <c r="DF15" s="1231">
        <f ca="1">OFFSET('VVP2'!$G$311,0,(COLUMN()-10)/5)</f>
        <v>28.562650000000001</v>
      </c>
      <c r="DG15" s="1218">
        <f t="shared" ca="1" si="39"/>
        <v>-1.1621710469401414</v>
      </c>
      <c r="DH15" s="1213">
        <f ca="1">OFFSET('VVP2'!$G$111,0,(COLUMN()-7)/5)</f>
        <v>3.5277957090910528</v>
      </c>
      <c r="DI15" s="1236">
        <f ca="1">+DF15*(1+DH15/100)</f>
        <v>29.570281941102696</v>
      </c>
      <c r="DJ15" s="1285">
        <f t="shared" ca="1" si="40"/>
        <v>-4.3322276860743472</v>
      </c>
      <c r="DK15" s="1231">
        <f ca="1">OFFSET('VVP2'!$G$311,0,(COLUMN()-10)/5)</f>
        <v>28.28923</v>
      </c>
      <c r="DL15" s="1218">
        <f t="shared" ca="1" si="41"/>
        <v>-0.95726411940069145</v>
      </c>
      <c r="DM15" s="3406">
        <f ca="1">OFFSET('VVP2'!$G$111,0,(COLUMN()-7)/5)</f>
        <v>12.812325047587048</v>
      </c>
      <c r="DN15" s="1211">
        <f ca="1">+DK15*(1+DM15/100)</f>
        <v>31.913738101059508</v>
      </c>
      <c r="DO15" s="3406">
        <f ca="1">+DO103</f>
        <v>3.9989640315824033</v>
      </c>
      <c r="DP15" s="1208">
        <f ca="1">+DN15*(1+DO15/100)</f>
        <v>33.189957008854286</v>
      </c>
      <c r="DQ15" s="1397">
        <f t="shared" ca="1" si="42"/>
        <v>17.323649349431868</v>
      </c>
      <c r="DR15" s="3406">
        <f ca="1">+DR103</f>
        <v>6.4999999999999725</v>
      </c>
      <c r="DS15" s="1211">
        <f ca="1">+DP15*(1+DR15/100)</f>
        <v>35.347304214429805</v>
      </c>
      <c r="DT15" s="3406">
        <f ca="1">+DT103</f>
        <v>2.5809897029101592</v>
      </c>
      <c r="DU15" s="1208">
        <f ca="1">+DS15*(1+DT15/100)</f>
        <v>36.259614496460571</v>
      </c>
      <c r="DV15" s="1397">
        <f t="shared" ca="1" si="43"/>
        <v>9.2487540335993046</v>
      </c>
      <c r="DW15" s="3406">
        <f ca="1">+DW103</f>
        <v>5.1512076881462754</v>
      </c>
      <c r="DX15" s="1211">
        <f ca="1">+DU15*(1+DW15/100)</f>
        <v>38.127422546094451</v>
      </c>
      <c r="DY15" s="3406">
        <f ca="1">+DY103</f>
        <v>1.581126243910802</v>
      </c>
      <c r="DZ15" s="1208">
        <f ca="1">+DX15*(1+DY15/100)</f>
        <v>38.730265230097515</v>
      </c>
      <c r="EA15" s="1397">
        <f t="shared" ca="1" si="44"/>
        <v>6.8137810286927225</v>
      </c>
    </row>
    <row r="16" spans="1:145">
      <c r="A16" s="2857" t="s">
        <v>903</v>
      </c>
      <c r="B16" s="1"/>
      <c r="C16" s="1082" t="s">
        <v>1769</v>
      </c>
      <c r="D16" s="1086"/>
      <c r="E16" s="1087" t="s">
        <v>1294</v>
      </c>
      <c r="F16" s="1089"/>
      <c r="G16" s="1376"/>
      <c r="H16" s="1377"/>
      <c r="I16" s="1378"/>
      <c r="J16" s="1349">
        <f ca="1">+J17-J14+J15</f>
        <v>0</v>
      </c>
      <c r="K16" s="1379"/>
      <c r="L16" s="1355" t="e">
        <f ca="1">IF(UPPER($F$2)="Y",M16/J16*100-100,OFFSET('VVP2'!$G$130,0,(COLUMN()-7)/5))</f>
        <v>#DIV/0!</v>
      </c>
      <c r="M16" s="1349">
        <f ca="1">IF(UPPER($F$2)="Y",M17-M14+M15,J16*(1+L16/100))</f>
        <v>-9.0924888565850459E-2</v>
      </c>
      <c r="N16" s="1356">
        <f ca="1">+O16/M16*100-100</f>
        <v>-100</v>
      </c>
      <c r="O16" s="1349">
        <f ca="1">+O17-O14+O15</f>
        <v>0</v>
      </c>
      <c r="P16" s="1357" t="e">
        <f ca="1">(O16/J16-1)*100</f>
        <v>#DIV/0!</v>
      </c>
      <c r="Q16" s="1355" t="e">
        <f ca="1">IF(UPPER($F$2)="Y",R16/O16*100-100,OFFSET('VVP2'!$G$130,0,(COLUMN()-7)/5))</f>
        <v>#DIV/0!</v>
      </c>
      <c r="R16" s="1349">
        <f ca="1">IF(UPPER($F$2)="Y",R17-R14+R15,O16*(1+Q16/100))</f>
        <v>-8.2214072632690538E-2</v>
      </c>
      <c r="S16" s="1356">
        <f ca="1">+T16/R16*100-100</f>
        <v>-100</v>
      </c>
      <c r="T16" s="1349">
        <f ca="1">+T17-T14+T15</f>
        <v>0</v>
      </c>
      <c r="U16" s="1357" t="e">
        <f ca="1">(T16/O16-1)*100</f>
        <v>#DIV/0!</v>
      </c>
      <c r="V16" s="1355" t="e">
        <f ca="1">IF(UPPER($F$2)="Y",W16/T16*100-100,OFFSET('VVP2'!$G$130,0,(COLUMN()-7)/5))</f>
        <v>#DIV/0!</v>
      </c>
      <c r="W16" s="1349">
        <f ca="1">IF(UPPER($F$2)="Y",W17-W14+W15,T16*(1+V16/100))</f>
        <v>7.1921567478874238E-3</v>
      </c>
      <c r="X16" s="1356">
        <f ca="1">+Y16/W16*100-100</f>
        <v>-99.860959648808446</v>
      </c>
      <c r="Y16" s="1349">
        <f ca="1">+Y17-Y14+Y15</f>
        <v>1.0000000000509601E-5</v>
      </c>
      <c r="Z16" s="1357" t="e">
        <f ca="1">(Y16/T16-1)*100</f>
        <v>#DIV/0!</v>
      </c>
      <c r="AA16" s="1355">
        <f ca="1">IF(UPPER($F$2)="Y",AB16/Y16*100-100,OFFSET('VVP2'!$G$130,0,(COLUMN()-7)/5))</f>
        <v>563160.20352626778</v>
      </c>
      <c r="AB16" s="1349">
        <f ca="1">IF(UPPER($F$2)="Y",AB17-AB14+AB15,Y16*(1+AA16/100))</f>
        <v>5.6326020355497164E-2</v>
      </c>
      <c r="AC16" s="1356">
        <f ca="1">+AD16/AB16*100-100</f>
        <v>-100.01775378402547</v>
      </c>
      <c r="AD16" s="1349">
        <f ca="1">+AD17-AD14+AD15</f>
        <v>-1.0000000004062315E-5</v>
      </c>
      <c r="AE16" s="1357">
        <f ca="1">(AD16/Y16-1)*100</f>
        <v>-200.00000003552714</v>
      </c>
      <c r="AF16" s="1355">
        <f ca="1">IF(UPPER($F$2)="Y",AG16/AD16*100-100,OFFSET('VVP2'!$G$130,0,(COLUMN()-7)/5))</f>
        <v>73329.339351531889</v>
      </c>
      <c r="AG16" s="1349">
        <f ca="1">IF(UPPER($F$2)="Y",AG17-AG14+AG15,AD16*(1+AF16/100))</f>
        <v>-7.3429339381361203E-3</v>
      </c>
      <c r="AH16" s="1356">
        <f ca="1">+AI16/AG16*100-100</f>
        <v>-100</v>
      </c>
      <c r="AI16" s="1349">
        <f ca="1">+AI17-AI14+AI15</f>
        <v>0</v>
      </c>
      <c r="AJ16" s="1357">
        <f ca="1">(AI16/AD16-1)*100</f>
        <v>-100</v>
      </c>
      <c r="AK16" s="1355" t="e">
        <f ca="1">IF(UPPER($F$2)="Y",AL16/AI16*100-100,OFFSET('VVP2'!$G$130,0,(COLUMN()-7)/5))</f>
        <v>#DIV/0!</v>
      </c>
      <c r="AL16" s="1349">
        <f ca="1">IF(UPPER($F$2)="Y",AL17-AL14+AL15,AI16*(1+AK16/100))</f>
        <v>-5.8568950933242547E-2</v>
      </c>
      <c r="AM16" s="1356">
        <f ca="1">+AN16/AL16*100-100</f>
        <v>-100</v>
      </c>
      <c r="AN16" s="1349">
        <f ca="1">+AN17-AN14+AN15</f>
        <v>0</v>
      </c>
      <c r="AO16" s="1357" t="e">
        <f ca="1">(AN16/AI16-1)*100</f>
        <v>#DIV/0!</v>
      </c>
      <c r="AP16" s="1355" t="e">
        <f ca="1">IF(UPPER($F$2)="Y",AQ16/AN16*100-100,OFFSET('VVP2'!$G$130,0,(COLUMN()-7)/5))</f>
        <v>#DIV/0!</v>
      </c>
      <c r="AQ16" s="1349">
        <f ca="1">IF(UPPER($F$2)="Y",AQ17-AQ14+AQ15,AN16*(1+AP16/100))</f>
        <v>-6.0135268811675857E-2</v>
      </c>
      <c r="AR16" s="1356">
        <f ca="1">+AS16/AQ16*100-100</f>
        <v>-99.983370823480115</v>
      </c>
      <c r="AS16" s="1349">
        <f ca="1">+AS17-AS14+AS15</f>
        <v>-1.000000000139778E-5</v>
      </c>
      <c r="AT16" s="1357" t="e">
        <f ca="1">(AS16/AN16-1)*100</f>
        <v>#DIV/0!</v>
      </c>
      <c r="AU16" s="1355">
        <f ca="1">IF(UPPER($F$2)="Y",AV16/AS16*100-100,OFFSET('VVP2'!$G$130,0,(COLUMN()-7)/5))</f>
        <v>-70485.311378411905</v>
      </c>
      <c r="AV16" s="1349">
        <f ca="1">IF(UPPER($F$2)="Y",AV17-AV14+AV15,AS16*(1+AU16/100))</f>
        <v>7.0385311388250216E-3</v>
      </c>
      <c r="AW16" s="1356">
        <f ca="1">+AX16/AV16*100-100</f>
        <v>-99.857924902168335</v>
      </c>
      <c r="AX16" s="1349">
        <f ca="1">+AX17-AX14+AX15</f>
        <v>1.000000000139778E-5</v>
      </c>
      <c r="AY16" s="1357">
        <f ca="1">(AX16/AS16-1)*100</f>
        <v>-200</v>
      </c>
      <c r="AZ16" s="1355">
        <f ca="1">IF(UPPER($F$2)="Y",BA16/AX16*100-100,OFFSET('VVP2'!$G$130,0,(COLUMN()-7)/5))</f>
        <v>-395645.05063969246</v>
      </c>
      <c r="BA16" s="1349">
        <f ca="1">IF(UPPER($F$2)="Y",BA17-BA14+BA15,AX16*(1+AZ16/100))</f>
        <v>-3.9554505069498092E-2</v>
      </c>
      <c r="BB16" s="1356">
        <f ca="1">+BC16/BA16*100-100</f>
        <v>-99.974718429716035</v>
      </c>
      <c r="BC16" s="1349">
        <f ca="1">+BC17-BC14+BC15</f>
        <v>-9.9999999996214228E-6</v>
      </c>
      <c r="BD16" s="1357">
        <f ca="1">(BC16/AX16-1)*100</f>
        <v>-199.99999998223643</v>
      </c>
      <c r="BE16" s="1355">
        <f ca="1">IF(UPPER($F$2)="Y",BF16/BC16*100-100,OFFSET('VVP2'!$G$130,0,(COLUMN()-7)/5))</f>
        <v>102.44116888490714</v>
      </c>
      <c r="BF16" s="1349">
        <f ca="1">IF(UPPER($F$2)="Y",BF17-BF14+BF15,BC16*(1+BE16/100))</f>
        <v>-2.0244116887724317E-5</v>
      </c>
      <c r="BG16" s="1356">
        <f ca="1">+BH16/BF16*100-100</f>
        <v>-100</v>
      </c>
      <c r="BH16" s="1349">
        <f ca="1">+BH17-BH14+BH15</f>
        <v>0</v>
      </c>
      <c r="BI16" s="1357">
        <f ca="1">(BH16/BC16-1)*100</f>
        <v>-100</v>
      </c>
      <c r="BJ16" s="1355" t="e">
        <f ca="1">IF(UPPER($F$2)="Y",BK16/BH16*100-100,OFFSET('VVP2'!$G$130,0,(COLUMN()-7)/5))</f>
        <v>#DIV/0!</v>
      </c>
      <c r="BK16" s="1349">
        <f ca="1">IF(UPPER($F$2)="Y",BK17-BK14+BK15,BH16*(1+BJ16/100))</f>
        <v>-5.0568882521417891E-6</v>
      </c>
      <c r="BL16" s="1356">
        <f ca="1">+BM16/BK16*100-100</f>
        <v>-297.75006883701718</v>
      </c>
      <c r="BM16" s="1349">
        <f ca="1">+BM17-BM14+BM15</f>
        <v>9.9999999996214228E-6</v>
      </c>
      <c r="BN16" s="1357" t="e">
        <f ca="1">(BM16/BH16-1)*100</f>
        <v>#DIV/0!</v>
      </c>
      <c r="BO16" s="1355">
        <f ca="1">IF(UPPER($F$2)="Y",BP16/BM16*100-100,OFFSET('VVP2'!$G$130,0,(COLUMN()-7)/5))</f>
        <v>121.6883904621707</v>
      </c>
      <c r="BP16" s="1349">
        <f ca="1">IF(UPPER($F$2)="Y",BP17-BP14+BP15,BM16*(1+BO16/100))</f>
        <v>2.2168839045377808E-5</v>
      </c>
      <c r="BQ16" s="1356">
        <f ca="1">+BR16/BP16*100-100</f>
        <v>-100</v>
      </c>
      <c r="BR16" s="1349">
        <f ca="1">+BR17-BR14+BR15</f>
        <v>0</v>
      </c>
      <c r="BS16" s="1357">
        <f ca="1">(BR16/BM16-1)*100</f>
        <v>-100</v>
      </c>
      <c r="BT16" s="1355" t="e">
        <f ca="1">IF(UPPER($F$2)="Y",BU16/BR16*100-100,OFFSET('VVP2'!$G$130,0,(COLUMN()-7)/5))</f>
        <v>#DIV/0!</v>
      </c>
      <c r="BU16" s="1349">
        <f ca="1">IF(UPPER($F$2)="Y",BU17-BU14+BU15,BR16*(1+BT16/100))</f>
        <v>5.8722046389902971E-6</v>
      </c>
      <c r="BV16" s="1356">
        <f ca="1">+BW16/BU16*100-100</f>
        <v>70.293792841892468</v>
      </c>
      <c r="BW16" s="1349">
        <f ca="1">+BW17-BW14+BW15</f>
        <v>1.0000000003174137E-5</v>
      </c>
      <c r="BX16" s="1357" t="e">
        <f ca="1">(BW16/BR16-1)*100</f>
        <v>#DIV/0!</v>
      </c>
      <c r="BY16" s="1355">
        <f ca="1">IF(UPPER($F$2)="Y",BZ16/BW16*100-100,OFFSET('VVP2'!$G$130,0,(COLUMN()-7)/5))</f>
        <v>-103.27094973225343</v>
      </c>
      <c r="BZ16" s="1349">
        <f ca="1">IF(UPPER($F$2)="Y",BZ17-BZ14+BZ15,BW16*(1+BY16/100))</f>
        <v>-3.2709497332916726E-7</v>
      </c>
      <c r="CA16" s="1356">
        <f ca="1">+CB16/BZ16*100-100</f>
        <v>-100</v>
      </c>
      <c r="CB16" s="1349">
        <f ca="1">+CB17-CB14+CB15</f>
        <v>0</v>
      </c>
      <c r="CC16" s="1357">
        <f ca="1">(CB16/BW16-1)*100</f>
        <v>-100</v>
      </c>
      <c r="CD16" s="1355" t="e">
        <f ca="1">IF(UPPER($F$2)="Y",CE16/CB16*100-100,OFFSET('VVP2'!$G$130,0,(COLUMN()-7)/5))</f>
        <v>#DIV/0!</v>
      </c>
      <c r="CE16" s="1349">
        <f ca="1">IF(UPPER($F$2)="Y",CE17-CE14+CE15,CB16*(1+CD16/100))</f>
        <v>2.1415047761763617E-6</v>
      </c>
      <c r="CF16" s="1356">
        <f ca="1">+CG16/CE16*100-100</f>
        <v>-100</v>
      </c>
      <c r="CG16" s="1349">
        <f ca="1">+CG17-CG14+CG15</f>
        <v>0</v>
      </c>
      <c r="CH16" s="1357" t="e">
        <f ca="1">(CG16/CB16-1)*100</f>
        <v>#DIV/0!</v>
      </c>
      <c r="CI16" s="1355" t="e">
        <f ca="1">IF(UPPER($F$2)="Y",CJ16/CG16*100-100,OFFSET('VVP2'!$G$130,0,(COLUMN()-7)/5))</f>
        <v>#DIV/0!</v>
      </c>
      <c r="CJ16" s="3205">
        <f ca="1">IF(UPPER($F$2)="Y",CJ17-CJ14+CJ15,CG16*(1+CI16/100))</f>
        <v>-2.1316282072803006E-14</v>
      </c>
      <c r="CK16" s="1356">
        <f ca="1">+CL16/CJ16*100-100</f>
        <v>-100</v>
      </c>
      <c r="CL16" s="3204">
        <f ca="1">+CL17-CL14+CL15</f>
        <v>0</v>
      </c>
      <c r="CM16" s="1357" t="e">
        <f ca="1">(CL16/CG16-1)*100</f>
        <v>#DIV/0!</v>
      </c>
      <c r="CN16" s="1355" t="e">
        <f ca="1">IF(UPPER($F$2)="Y",CO16/CL16*100-100,OFFSET('VVP2'!$G$130,0,(COLUMN()-7)/5))</f>
        <v>#DIV/0!</v>
      </c>
      <c r="CO16" s="3205">
        <f ca="1">IF(UPPER($F$2)="Y",CO17-CO14+CO15,CL16*(1+CN16/100))</f>
        <v>-7.9326964836923253E-6</v>
      </c>
      <c r="CP16" s="1356">
        <f ca="1">+CQ16/CO16*100-100</f>
        <v>-226.06053969389808</v>
      </c>
      <c r="CQ16" s="3204">
        <f ca="1">+CQ17-CQ14+CQ15</f>
        <v>9.9999999996214228E-6</v>
      </c>
      <c r="CR16" s="1357" t="e">
        <f t="shared" ca="1" si="33"/>
        <v>#DIV/0!</v>
      </c>
      <c r="CS16" s="1355">
        <f ca="1">IF(UPPER($F$2)="Y",CT16/CQ16*100-100,OFFSET('VVP2'!$G$130,0,(COLUMN()-7)/5))</f>
        <v>52.153164882027681</v>
      </c>
      <c r="CT16" s="3205">
        <f ca="1">IF(UPPER($F$2)="Y",CT17-CT14+CT15,CQ16*(1+CS16/100))</f>
        <v>1.5215316487626751E-5</v>
      </c>
      <c r="CU16" s="1356">
        <f ca="1">+CV16/CT16*100-100</f>
        <v>-165.72324673102139</v>
      </c>
      <c r="CV16" s="3204">
        <f ca="1">+CV17-CV14+CV15</f>
        <v>-9.9999999960687092E-6</v>
      </c>
      <c r="CW16" s="1357">
        <f ca="1">(CV16/CQ16-1)*100</f>
        <v>-199.99999996447286</v>
      </c>
      <c r="CX16" s="1355">
        <f ca="1">IF(UPPER($F$2)="Y",CY16/CV16*100-100,OFFSET('VVP2'!$G$130,0,(COLUMN()-7)/5))</f>
        <v>-8.5644974523820565</v>
      </c>
      <c r="CY16" s="3205">
        <f ca="1">IF(UPPER($F$2)="Y",CY17-CY14+CY15,CV16*(1+CX16/100))</f>
        <v>-9.1435502511671984E-6</v>
      </c>
      <c r="CZ16" s="1356">
        <f ca="1">+DA16/CY16*100-100</f>
        <v>-100</v>
      </c>
      <c r="DA16" s="3204">
        <f ca="1">+DA17-DA14+DA15</f>
        <v>0</v>
      </c>
      <c r="DB16" s="1357">
        <f ca="1">(DA16/CV16-1)*100</f>
        <v>-100</v>
      </c>
      <c r="DC16" s="1355" t="e">
        <f ca="1">IF(UPPER($F$2)="Y",DD16/DA16*100-100,OFFSET('VVP2'!$G$130,0,(COLUMN()-7)/5))</f>
        <v>#DIV/0!</v>
      </c>
      <c r="DD16" s="3205">
        <f ca="1">IF(UPPER($F$2)="Y",DD17-DD14+DD15,DA16*(1+DC16/100))</f>
        <v>9.3282775956993191E-6</v>
      </c>
      <c r="DE16" s="1356">
        <f ca="1">+DF16/DD16*100-100</f>
        <v>-100</v>
      </c>
      <c r="DF16" s="3204">
        <f ca="1">+DF17-DF14+DF15</f>
        <v>0</v>
      </c>
      <c r="DG16" s="1357" t="e">
        <f ca="1">(DF16/DA16-1)*100</f>
        <v>#DIV/0!</v>
      </c>
      <c r="DH16" s="1355" t="e">
        <f ca="1">IF(UPPER($F$2)="Y",DI16/DF16*100-100,OFFSET('VVP2'!$G$130,0,(COLUMN()-7)/5))</f>
        <v>#DIV/0!</v>
      </c>
      <c r="DI16" s="3205">
        <f ca="1">IF(UPPER($F$2)="Y",DI17-DI14+DI15,DF16*(1+DH16/100))</f>
        <v>4.9713866978606802E-6</v>
      </c>
      <c r="DJ16" s="1356">
        <f ca="1">+DK16/DI16*100-100</f>
        <v>-301.15111954426493</v>
      </c>
      <c r="DK16" s="3204">
        <f ca="1">+DK17-DK14+DK15</f>
        <v>-9.9999999996214228E-6</v>
      </c>
      <c r="DL16" s="1357" t="e">
        <f ca="1">(DK16/DF16-1)*100</f>
        <v>#DIV/0!</v>
      </c>
      <c r="DM16" s="2239">
        <v>0</v>
      </c>
      <c r="DN16" s="2250">
        <f ca="1">+DK16*(1+DM16/100)</f>
        <v>-9.9999999996214228E-6</v>
      </c>
      <c r="DO16" s="2240">
        <v>0</v>
      </c>
      <c r="DP16" s="2250">
        <f ca="1">+DN16*(1+DO16/100)</f>
        <v>-9.9999999996214228E-6</v>
      </c>
      <c r="DQ16" s="2251">
        <f ca="1">(DP16/DK16-1)*100</f>
        <v>0</v>
      </c>
      <c r="DR16" s="2239">
        <v>0</v>
      </c>
      <c r="DS16" s="2250">
        <f ca="1">+DP16*(1+DR16/100)</f>
        <v>-9.9999999996214228E-6</v>
      </c>
      <c r="DT16" s="2240">
        <v>0</v>
      </c>
      <c r="DU16" s="2250">
        <f ca="1">+DS16*(1+DT16/100)</f>
        <v>-9.9999999996214228E-6</v>
      </c>
      <c r="DV16" s="2251">
        <f ca="1">(DU16/DP16-1)*100</f>
        <v>0</v>
      </c>
      <c r="DW16" s="2239">
        <v>0</v>
      </c>
      <c r="DX16" s="2250">
        <f ca="1">+DU16*(1+DW16/100)</f>
        <v>-9.9999999996214228E-6</v>
      </c>
      <c r="DY16" s="2240">
        <v>0</v>
      </c>
      <c r="DZ16" s="2250">
        <f ca="1">+DX16*(1+DY16/100)</f>
        <v>-9.9999999996214228E-6</v>
      </c>
      <c r="EA16" s="2251">
        <f ca="1">(DZ16/DU16-1)*100</f>
        <v>0</v>
      </c>
    </row>
    <row r="17" spans="1:145">
      <c r="B17" s="1"/>
      <c r="C17" s="176" t="s">
        <v>1769</v>
      </c>
      <c r="D17" s="1150"/>
      <c r="E17" s="1150" t="s">
        <v>1166</v>
      </c>
      <c r="F17" s="1140" t="s">
        <v>281</v>
      </c>
      <c r="G17" s="1233"/>
      <c r="H17" s="1233"/>
      <c r="I17" s="1233"/>
      <c r="J17" s="1234">
        <f ca="1">OFFSET('VVP2'!$G$341,0,(COLUMN()-6)/5)</f>
        <v>7.7645299999999997</v>
      </c>
      <c r="K17" s="1233"/>
      <c r="L17" s="1234">
        <f ca="1">OFFSET('VVP2'!$G$131,0,(COLUMN()-7)/5)</f>
        <v>5.2391782869028569</v>
      </c>
      <c r="M17" s="1234">
        <f ca="1">J17*(1+L17/100)</f>
        <v>8.1713275698400576</v>
      </c>
      <c r="N17" s="1234">
        <f t="shared" ca="1" si="0"/>
        <v>18.880927449958307</v>
      </c>
      <c r="O17" s="1234">
        <f ca="1">OFFSET('VVP2'!$G$341,0,(COLUMN()-6)/5)</f>
        <v>9.7141500000000001</v>
      </c>
      <c r="P17" s="1234">
        <f t="shared" ca="1" si="1"/>
        <v>25.109311188185245</v>
      </c>
      <c r="Q17" s="1234">
        <f ca="1">OFFSET('VVP2'!$G$131,0,(COLUMN()-7)/5)</f>
        <v>8.1402408090708978</v>
      </c>
      <c r="R17" s="1234">
        <f ca="1">O17*(1+Q17/100)</f>
        <v>10.50490520255436</v>
      </c>
      <c r="S17" s="1234">
        <f ca="1">+T17/R17*100-100</f>
        <v>11.608241806400343</v>
      </c>
      <c r="T17" s="1234">
        <f ca="1">OFFSET('VVP2'!$G$341,0,(COLUMN()-6)/5)</f>
        <v>11.72434</v>
      </c>
      <c r="U17" s="1234">
        <f ca="1">(T17/O17-1)*100</f>
        <v>20.693421452211467</v>
      </c>
      <c r="V17" s="1234">
        <f ca="1">OFFSET('VVP2'!$G$131,0,(COLUMN()-7)/5)</f>
        <v>7.6233287300721653</v>
      </c>
      <c r="W17" s="1234">
        <f ca="1">T17*(1+V17/100)</f>
        <v>12.618124979631343</v>
      </c>
      <c r="X17" s="1234">
        <f ca="1">+Y17/W17*100-100</f>
        <v>3.2004360475153248</v>
      </c>
      <c r="Y17" s="1234">
        <f ca="1">OFFSET('VVP2'!$G$341,0,(COLUMN()-6)/5)</f>
        <v>13.02196</v>
      </c>
      <c r="Z17" s="1234">
        <f ca="1">(Y17/T17-1)*100</f>
        <v>11.067744538285318</v>
      </c>
      <c r="AA17" s="1234">
        <f ca="1">OFFSET('VVP2'!$G$131,0,(COLUMN()-7)/5)</f>
        <v>-1.0214983734837313</v>
      </c>
      <c r="AB17" s="1234">
        <f ca="1">Y17*(1+AA17/100)</f>
        <v>12.888940890404298</v>
      </c>
      <c r="AC17" s="1234">
        <f ca="1">+AD17/AB17*100-100</f>
        <v>-1.3721910272392392</v>
      </c>
      <c r="AD17" s="1234">
        <f ca="1">OFFSET('VVP2'!$G$341,0,(COLUMN()-6)/5)</f>
        <v>12.71208</v>
      </c>
      <c r="AE17" s="1234">
        <f ca="1">(AD17/Y17-1)*100</f>
        <v>-2.3796724916986367</v>
      </c>
      <c r="AF17" s="1234">
        <f ca="1">OFFSET('VVP2'!$G$131,0,(COLUMN()-7)/5)</f>
        <v>3.6213874204480856</v>
      </c>
      <c r="AG17" s="1234">
        <f ca="1">AD17*(1+AF17/100)</f>
        <v>13.172433665997298</v>
      </c>
      <c r="AH17" s="1234">
        <f ca="1">+AI17/AG17*100-100</f>
        <v>1.4860301366177424</v>
      </c>
      <c r="AI17" s="1234">
        <f ca="1">OFFSET('VVP2'!$G$341,0,(COLUMN()-6)/5)</f>
        <v>13.368180000000001</v>
      </c>
      <c r="AJ17" s="1234">
        <f ca="1">(AI17/AD17-1)*100</f>
        <v>5.1612324654973785</v>
      </c>
      <c r="AK17" s="1234">
        <f ca="1">OFFSET('VVP2'!$G$131,0,(COLUMN()-7)/5)</f>
        <v>6.6996058629840372</v>
      </c>
      <c r="AL17" s="1234">
        <f ca="1">AI17*(1+AK17/100)</f>
        <v>14.263795371054259</v>
      </c>
      <c r="AM17" s="1234">
        <f ca="1">+AN17/AL17*100-100</f>
        <v>-0.48567277679011056</v>
      </c>
      <c r="AN17" s="1234">
        <f ca="1">OFFSET('VVP2'!$G$341,0,(COLUMN()-6)/5)</f>
        <v>14.194520000000001</v>
      </c>
      <c r="AO17" s="1234">
        <f ca="1">(AN17/AI17-1)*100</f>
        <v>6.18139492436518</v>
      </c>
      <c r="AP17" s="1234">
        <f ca="1">OFFSET('VVP2'!$G$131,0,(COLUMN()-7)/5)</f>
        <v>6.8379975004915217</v>
      </c>
      <c r="AQ17" s="1234">
        <f ca="1">AN17*(1+AP17/100)</f>
        <v>15.165140922806771</v>
      </c>
      <c r="AR17" s="1234">
        <f ca="1">+AS17/AQ17*100-100</f>
        <v>0.24417232508233155</v>
      </c>
      <c r="AS17" s="1234">
        <f ca="1">OFFSET('VVP2'!$G$341,0,(COLUMN()-6)/5)</f>
        <v>15.202170000000001</v>
      </c>
      <c r="AT17" s="1234">
        <f ca="1">(AS17/AN17-1)*100</f>
        <v>7.0988663230598936</v>
      </c>
      <c r="AU17" s="1234">
        <f ca="1">OFFSET('VVP2'!$G$131,0,(COLUMN()-7)/5)</f>
        <v>10.275887367570679</v>
      </c>
      <c r="AV17" s="1234">
        <f ca="1">AS17*(1+AU17/100)</f>
        <v>16.764327866626619</v>
      </c>
      <c r="AW17" s="1234">
        <f ca="1">+AX17/AV17*100-100</f>
        <v>-0.57173700842147923</v>
      </c>
      <c r="AX17" s="1234">
        <f ca="1">OFFSET('VVP2'!$G$341,0,(COLUMN()-6)/5)</f>
        <v>16.668479999999999</v>
      </c>
      <c r="AY17" s="1234">
        <f ca="1">(AX17/AS17-1)*100</f>
        <v>9.645399308125068</v>
      </c>
      <c r="AZ17" s="1234">
        <f ca="1">OFFSET('VVP2'!$G$131,0,(COLUMN()-7)/5)</f>
        <v>7.4482608885224399</v>
      </c>
      <c r="BA17" s="1234">
        <f ca="1">AX17*(1+AZ17/100)</f>
        <v>17.909991876551185</v>
      </c>
      <c r="BB17" s="1234">
        <f ca="1">+BC17/BA17*100-100</f>
        <v>1.8298619324216219</v>
      </c>
      <c r="BC17" s="3118">
        <f ca="1">OFFSET('VVP2'!$G$341,0,(COLUMN()-6)/5)</f>
        <v>18.237719999999999</v>
      </c>
      <c r="BD17" s="1234">
        <f ca="1">(BC17/AX17-1)*100</f>
        <v>9.4144157115705784</v>
      </c>
      <c r="BE17" s="1234">
        <f ca="1">OFFSET('VVP2'!$G$131,0,(COLUMN()-7)/5)</f>
        <v>7.7273873836427809</v>
      </c>
      <c r="BF17" s="1234">
        <f ca="1">BC17*(1+BE17/100)</f>
        <v>19.647019274344096</v>
      </c>
      <c r="BG17" s="1234">
        <f ca="1">+BH17/BF17*100-100</f>
        <v>6.8984038073691494</v>
      </c>
      <c r="BH17" s="3119">
        <f ca="1">OFFSET('VVP2'!$G$341,0,(COLUMN()-6)/5)</f>
        <v>21.00235</v>
      </c>
      <c r="BI17" s="1234">
        <f ca="1">(BH17/BC17-1)*100</f>
        <v>15.158857576495311</v>
      </c>
      <c r="BJ17" s="1234">
        <f ca="1">OFFSET('VVP2'!$G$131,0,(COLUMN()-7)/5)</f>
        <v>7.4064505195753805</v>
      </c>
      <c r="BK17" s="1234">
        <f ca="1">BH17*(1+BJ17/100)</f>
        <v>22.557878660698041</v>
      </c>
      <c r="BL17" s="1234">
        <f ca="1">+BM17/BK17*100-100</f>
        <v>6.7439911446659266</v>
      </c>
      <c r="BM17" s="3118">
        <f ca="1">OFFSET('VVP2'!$G$341,0,(COLUMN()-6)/5)</f>
        <v>24.079180000000001</v>
      </c>
      <c r="BN17" s="1234">
        <f ca="1">(BM17/BH17-1)*100</f>
        <v>14.649932031415535</v>
      </c>
      <c r="BO17" s="1234">
        <f ca="1">OFFSET('VVP2'!$G$131,0,(COLUMN()-7)/5)</f>
        <v>11.0869627998611</v>
      </c>
      <c r="BP17" s="3118">
        <f ca="1">BM17*(1+BO17/100)</f>
        <v>26.748829729111595</v>
      </c>
      <c r="BQ17" s="1234">
        <f ca="1">+BR17/BP17*100-100</f>
        <v>8.5679646328382404</v>
      </c>
      <c r="BR17" s="3118">
        <f ca="1">OFFSET('VVP2'!$G$341,0,(COLUMN()-6)/5)</f>
        <v>29.040659999999999</v>
      </c>
      <c r="BS17" s="1234">
        <f ca="1">(BR17/BM17-1)*100</f>
        <v>20.604854484247383</v>
      </c>
      <c r="BT17" s="1234">
        <f ca="1">OFFSET('VVP2'!$G$131,0,(COLUMN()-7)/5)</f>
        <v>2.6280823574654777</v>
      </c>
      <c r="BU17" s="1234">
        <f ca="1">BR17*(1+BT17/100)</f>
        <v>29.803872461951531</v>
      </c>
      <c r="BV17" s="1234">
        <f ca="1">+BW17/BU17*100-100</f>
        <v>9.7048044402317117</v>
      </c>
      <c r="BW17" s="1234">
        <f ca="1">OFFSET('VVP2'!$G$341,0,(COLUMN()-6)/5)</f>
        <v>32.696280000000002</v>
      </c>
      <c r="BX17" s="1234">
        <f ca="1">(BW17/BR17-1)*100</f>
        <v>12.587937051017439</v>
      </c>
      <c r="BY17" s="1234">
        <f ca="1">OFFSET('VVP2'!$G$131,0,(COLUMN()-7)/5)</f>
        <v>-14.814172950076221</v>
      </c>
      <c r="BZ17" s="1234">
        <f ca="1">BW17*(1+BY17/100)</f>
        <v>27.85259653255882</v>
      </c>
      <c r="CA17" s="1234">
        <f ca="1">+CB17/BZ17*100-100</f>
        <v>-3.295120192783358</v>
      </c>
      <c r="CB17" s="1234">
        <f ca="1">OFFSET('VVP2'!$G$341,0,(COLUMN()-6)/5)</f>
        <v>26.934819999999998</v>
      </c>
      <c r="CC17" s="1234">
        <f ca="1">(CB17/BW17-1)*100</f>
        <v>-17.621148338587766</v>
      </c>
      <c r="CD17" s="1234">
        <f ca="1">OFFSET('VVP2'!$G$131,0,(COLUMN()-7)/5)</f>
        <v>1.639826991162785</v>
      </c>
      <c r="CE17" s="1234">
        <f ca="1">CB17*(1+CD17/100)</f>
        <v>27.376504448381109</v>
      </c>
      <c r="CF17" s="1234">
        <f ca="1">+CG17/CE17*100-100</f>
        <v>2.3785197005215224</v>
      </c>
      <c r="CG17" s="1234">
        <f ca="1">OFFSET('VVP2'!$G$341,0,(COLUMN()-6)/5)</f>
        <v>28.027660000000001</v>
      </c>
      <c r="CH17" s="1234">
        <f ca="1">(CG17/CB17-1)*100</f>
        <v>4.0573502997235611</v>
      </c>
      <c r="CI17" s="1234">
        <f ca="1">OFFSET('VVP2'!$G$131,0,(COLUMN()-7)/5)</f>
        <v>6.0431373864246796</v>
      </c>
      <c r="CJ17" s="1234">
        <f ca="1">CG17*(1+CI17/100)</f>
        <v>29.721409999999995</v>
      </c>
      <c r="CK17" s="1234">
        <f ca="1">+CL17/CJ17*100-100</f>
        <v>5.2282512841753004</v>
      </c>
      <c r="CL17" s="1234">
        <f ca="1">OFFSET('VVP2'!$G$341,0,(COLUMN()-6)/5)</f>
        <v>31.275320000000001</v>
      </c>
      <c r="CM17" s="1234">
        <f ca="1">(CL17/CG17-1)*100</f>
        <v>11.587339078610203</v>
      </c>
      <c r="CN17" s="1234">
        <f ca="1">OFFSET('VVP2'!$G$131,0,(COLUMN()-7)/5)</f>
        <v>3.8269382239940919</v>
      </c>
      <c r="CO17" s="1234">
        <f ca="1">CL17*(1+CN17/100)</f>
        <v>32.472207175756466</v>
      </c>
      <c r="CP17" s="1234">
        <f ca="1">+CQ17/CO17*100-100</f>
        <v>2.6985317613326743</v>
      </c>
      <c r="CQ17" s="1234">
        <f ca="1">OFFSET('VVP2'!$G$341,0,(COLUMN()-6)/5)</f>
        <v>33.348480000000002</v>
      </c>
      <c r="CR17" s="1234">
        <f t="shared" ca="1" si="33"/>
        <v>6.6287411287878184</v>
      </c>
      <c r="CS17" s="1234">
        <f ca="1">OFFSET('VVP2'!$G$131,0,(COLUMN()-7)/5)</f>
        <v>3.498577230569011</v>
      </c>
      <c r="CT17" s="1234">
        <f ca="1">CQ17*(1+CS17/100)</f>
        <v>34.515202328020862</v>
      </c>
      <c r="CU17" s="1234">
        <f ca="1">+CV17/CT17*100-100</f>
        <v>1.2876867061512769</v>
      </c>
      <c r="CV17" s="1234">
        <f ca="1">OFFSET('VVP2'!$G$341,0,(COLUMN()-6)/5)</f>
        <v>34.959650000000003</v>
      </c>
      <c r="CW17" s="1234">
        <f ca="1">(CV17/CQ17-1)*100</f>
        <v>4.8313146506227644</v>
      </c>
      <c r="CX17" s="1234">
        <f ca="1">OFFSET('VVP2'!$G$131,0,(COLUMN()-7)/5)</f>
        <v>3.5375855747539431</v>
      </c>
      <c r="CY17" s="1234">
        <f ca="1">CV17*(1+CX17/100)</f>
        <v>36.196377535384471</v>
      </c>
      <c r="CZ17" s="1234">
        <f ca="1">+DA17/CY17*100-100</f>
        <v>1.027457690350289</v>
      </c>
      <c r="DA17" s="1234">
        <f ca="1">OFFSET('VVP2'!$G$341,0,(COLUMN()-6)/5)</f>
        <v>36.568280000000001</v>
      </c>
      <c r="DB17" s="1234">
        <f ca="1">(DA17/CV17-1)*100</f>
        <v>4.6013904601447608</v>
      </c>
      <c r="DC17" s="1234">
        <f ca="1">OFFSET('VVP2'!$G$131,0,(COLUMN()-7)/5)</f>
        <v>2.0346676424249033</v>
      </c>
      <c r="DD17" s="1234">
        <f ca="1">DA17*(1+DC17/100)</f>
        <v>37.312322960551342</v>
      </c>
      <c r="DE17" s="1234">
        <f ca="1">+DF17/DD17*100-100</f>
        <v>0.30629837646263525</v>
      </c>
      <c r="DF17" s="3118">
        <f ca="1">OFFSET('VVP2'!$G$341,0,(COLUMN()-6)/5)</f>
        <v>37.426610000000004</v>
      </c>
      <c r="DG17" s="1234">
        <f ca="1">(DF17/DA17-1)*100</f>
        <v>2.3471981728427016</v>
      </c>
      <c r="DH17" s="1234">
        <f ca="1">OFFSET('VVP2'!$G$131,0,(COLUMN()-7)/5)</f>
        <v>2.3448829366414126</v>
      </c>
      <c r="DI17" s="1234">
        <f ca="1">DF17*(1+DH17/100)</f>
        <v>38.304220191653336</v>
      </c>
      <c r="DJ17" s="1234">
        <f ca="1">+DK17/DI17*100-100</f>
        <v>0.95054750240288399</v>
      </c>
      <c r="DK17" s="3118">
        <f ca="1">OFFSET('VVP2'!$G$341,0,(COLUMN()-6)/5)</f>
        <v>38.668320000000001</v>
      </c>
      <c r="DL17" s="1234">
        <f ca="1">(DK17/DF17-1)*100</f>
        <v>3.3177196652328211</v>
      </c>
      <c r="DM17" s="3403">
        <f ca="1">IF(UPPER($F$2)="Y",(DN17/DK17-1)*100,OFFSET('VVP2'!$G$131,0,(COLUMN()-7)/5))</f>
        <v>4.565211033661698</v>
      </c>
      <c r="DN17" s="3348">
        <f ca="1">IF(UPPER($F$2)="Y",+DN14-DN15+DN16,DK17*(1+DM17/100))</f>
        <v>40.433610411171614</v>
      </c>
      <c r="DO17" s="1431">
        <f ca="1">+DP17/DN17*100-100</f>
        <v>3.3288753280726695</v>
      </c>
      <c r="DP17" s="1234">
        <f ca="1">+DP14-DP15+DP16</f>
        <v>41.779594892398123</v>
      </c>
      <c r="DQ17" s="1431">
        <f ca="1">(DP17/DK17-1)*100</f>
        <v>8.0460565455083621</v>
      </c>
      <c r="DR17" s="3403">
        <f ca="1">IF(UPPER($F$2)="Y",(DS17/DP17-1)*100,OFFSET('VVP2'!$G$131,0,(COLUMN()-7)/5))</f>
        <v>3.1205873424164476</v>
      </c>
      <c r="DS17" s="3348">
        <f ca="1">IF(UPPER($F$2)="Y",+DS14-DS15+DS16,DP17*(1+DR17/100))</f>
        <v>43.083363642323164</v>
      </c>
      <c r="DT17" s="1431">
        <f ca="1">+DU17/DS17*100-100</f>
        <v>2.6186320478604159</v>
      </c>
      <c r="DU17" s="1234">
        <f ca="1">+DU14-DU15+DU16</f>
        <v>44.211558409957277</v>
      </c>
      <c r="DV17" s="1431">
        <f ca="1">(DU17/DP17-1)*100</f>
        <v>5.8209360905068452</v>
      </c>
      <c r="DW17" s="3403">
        <f ca="1">IF(UPPER($F$2)="Y",(DX17/DU17-1)*100,OFFSET('VVP2'!$G$131,0,(COLUMN()-7)/5))</f>
        <v>2.6426635456776815</v>
      </c>
      <c r="DX17" s="3348">
        <f ca="1">IF(UPPER($F$2)="Y",+DX14-DX15+DX16,DU17*(1+DW17/100))</f>
        <v>45.379921147033215</v>
      </c>
      <c r="DY17" s="1431">
        <f ca="1">+DZ17/DX17*100-100</f>
        <v>2.8566130444941109</v>
      </c>
      <c r="DZ17" s="1234">
        <f ca="1">+DZ14-DZ15+DZ16</f>
        <v>46.676249894100508</v>
      </c>
      <c r="EA17" s="1431">
        <f ca="1">(DZ17/DU17-1)*100</f>
        <v>5.5747672617397104</v>
      </c>
    </row>
    <row r="18" spans="1:145">
      <c r="CY18">
        <v>32.7988</v>
      </c>
      <c r="DD18" s="3194"/>
      <c r="DI18" s="3194"/>
      <c r="DN18" s="3194"/>
      <c r="DS18" s="3194"/>
      <c r="DX18" s="3194"/>
    </row>
    <row r="19" spans="1:145">
      <c r="DD19" s="3194"/>
      <c r="DI19" s="3194"/>
      <c r="DN19" s="3194"/>
      <c r="DS19" s="3194"/>
      <c r="DX19" s="3194"/>
    </row>
    <row r="20" spans="1:145" s="217" customFormat="1">
      <c r="A20" s="1036"/>
      <c r="C20" s="694"/>
      <c r="D20" s="1477"/>
      <c r="E20" s="1478" t="s">
        <v>1070</v>
      </c>
      <c r="F20" s="1493"/>
      <c r="G20" s="3762">
        <f>+InputY!$G$3</f>
        <v>1995</v>
      </c>
      <c r="H20" s="3762"/>
      <c r="I20" s="3762"/>
      <c r="J20" s="3762"/>
      <c r="K20" s="3762"/>
      <c r="L20" s="3762">
        <f>+G20+1</f>
        <v>1996</v>
      </c>
      <c r="M20" s="3762"/>
      <c r="N20" s="3762"/>
      <c r="O20" s="3762"/>
      <c r="P20" s="3762"/>
      <c r="Q20" s="3762">
        <f>+L20+1</f>
        <v>1997</v>
      </c>
      <c r="R20" s="3762"/>
      <c r="S20" s="3762"/>
      <c r="T20" s="3762"/>
      <c r="U20" s="3762"/>
      <c r="V20" s="3762">
        <f>+Q20+1</f>
        <v>1998</v>
      </c>
      <c r="W20" s="3762"/>
      <c r="X20" s="3762"/>
      <c r="Y20" s="3762"/>
      <c r="Z20" s="3762"/>
      <c r="AA20" s="3762">
        <f>+V20+1</f>
        <v>1999</v>
      </c>
      <c r="AB20" s="3762"/>
      <c r="AC20" s="3762"/>
      <c r="AD20" s="3762"/>
      <c r="AE20" s="3762"/>
      <c r="AF20" s="3762">
        <f>+AA20+1</f>
        <v>2000</v>
      </c>
      <c r="AG20" s="3762"/>
      <c r="AH20" s="3762"/>
      <c r="AI20" s="3762"/>
      <c r="AJ20" s="3762"/>
      <c r="AK20" s="3762">
        <f>+AF20+1</f>
        <v>2001</v>
      </c>
      <c r="AL20" s="3762"/>
      <c r="AM20" s="3762"/>
      <c r="AN20" s="3762"/>
      <c r="AO20" s="3762"/>
      <c r="AP20" s="3762">
        <f>+AK20+1</f>
        <v>2002</v>
      </c>
      <c r="AQ20" s="3762"/>
      <c r="AR20" s="3762"/>
      <c r="AS20" s="3762"/>
      <c r="AT20" s="3762"/>
      <c r="AU20" s="3762">
        <f>+AP20+1</f>
        <v>2003</v>
      </c>
      <c r="AV20" s="3762"/>
      <c r="AW20" s="3762"/>
      <c r="AX20" s="3762"/>
      <c r="AY20" s="3762"/>
      <c r="AZ20" s="3762">
        <f>+AU20+1</f>
        <v>2004</v>
      </c>
      <c r="BA20" s="3762"/>
      <c r="BB20" s="3762"/>
      <c r="BC20" s="3762"/>
      <c r="BD20" s="3762"/>
      <c r="BE20" s="3762">
        <f>+AZ20+1</f>
        <v>2005</v>
      </c>
      <c r="BF20" s="3762"/>
      <c r="BG20" s="3762"/>
      <c r="BH20" s="3762"/>
      <c r="BI20" s="3762"/>
      <c r="BJ20" s="3762">
        <f>+BE20+1</f>
        <v>2006</v>
      </c>
      <c r="BK20" s="3762"/>
      <c r="BL20" s="3762"/>
      <c r="BM20" s="3762"/>
      <c r="BN20" s="3762"/>
      <c r="BO20" s="3762">
        <f>+BJ20+1</f>
        <v>2007</v>
      </c>
      <c r="BP20" s="3762"/>
      <c r="BQ20" s="3762"/>
      <c r="BR20" s="3762"/>
      <c r="BS20" s="3762"/>
      <c r="BT20" s="3762">
        <f>+BO20+1</f>
        <v>2008</v>
      </c>
      <c r="BU20" s="3762"/>
      <c r="BV20" s="3762"/>
      <c r="BW20" s="3762"/>
      <c r="BX20" s="3762"/>
      <c r="BY20" s="3762">
        <f>+BT20+1</f>
        <v>2009</v>
      </c>
      <c r="BZ20" s="3762"/>
      <c r="CA20" s="3762"/>
      <c r="CB20" s="3762"/>
      <c r="CC20" s="3762"/>
      <c r="CD20" s="3762">
        <f>+BY20+1</f>
        <v>2010</v>
      </c>
      <c r="CE20" s="3762"/>
      <c r="CF20" s="3762"/>
      <c r="CG20" s="3762"/>
      <c r="CH20" s="3762"/>
      <c r="CI20" s="3762">
        <f>+CD20+1</f>
        <v>2011</v>
      </c>
      <c r="CJ20" s="3762"/>
      <c r="CK20" s="3762"/>
      <c r="CL20" s="3762"/>
      <c r="CM20" s="3762"/>
      <c r="CN20" s="3762">
        <f>+CI20+1</f>
        <v>2012</v>
      </c>
      <c r="CO20" s="3762"/>
      <c r="CP20" s="3762"/>
      <c r="CQ20" s="3762"/>
      <c r="CR20" s="3762"/>
      <c r="CS20" s="3762">
        <f>+CN20+1</f>
        <v>2013</v>
      </c>
      <c r="CT20" s="3762"/>
      <c r="CU20" s="3762"/>
      <c r="CV20" s="3762"/>
      <c r="CW20" s="3762"/>
      <c r="CX20" s="3762">
        <f>+CS20+1</f>
        <v>2014</v>
      </c>
      <c r="CY20" s="3762"/>
      <c r="CZ20" s="3762"/>
      <c r="DA20" s="3762"/>
      <c r="DB20" s="3762"/>
      <c r="DC20" s="3762">
        <f>+CX20+1</f>
        <v>2015</v>
      </c>
      <c r="DD20" s="3762"/>
      <c r="DE20" s="3762"/>
      <c r="DF20" s="3762"/>
      <c r="DG20" s="3762"/>
      <c r="DH20" s="3762">
        <f>+DC20+1</f>
        <v>2016</v>
      </c>
      <c r="DI20" s="3762"/>
      <c r="DJ20" s="3762"/>
      <c r="DK20" s="3762"/>
      <c r="DL20" s="3762"/>
      <c r="DM20" s="3762">
        <f>+DH20+1</f>
        <v>2017</v>
      </c>
      <c r="DN20" s="3762"/>
      <c r="DO20" s="3762"/>
      <c r="DP20" s="3762"/>
      <c r="DQ20" s="3762"/>
      <c r="DR20" s="3762">
        <f>+DM20+1</f>
        <v>2018</v>
      </c>
      <c r="DS20" s="3762"/>
      <c r="DT20" s="3762"/>
      <c r="DU20" s="3762"/>
      <c r="DV20" s="3762"/>
      <c r="DW20" s="3762">
        <f>+DR20+1</f>
        <v>2019</v>
      </c>
      <c r="DX20" s="3762"/>
      <c r="DY20" s="3762"/>
      <c r="DZ20" s="3762"/>
      <c r="EA20" s="3762"/>
      <c r="EB20"/>
      <c r="EC20"/>
      <c r="ED20"/>
      <c r="EE20"/>
      <c r="EF20"/>
      <c r="EG20"/>
      <c r="EH20"/>
      <c r="EI20"/>
      <c r="EJ20"/>
      <c r="EK20"/>
      <c r="EL20"/>
      <c r="EM20"/>
      <c r="EN20"/>
      <c r="EO20"/>
    </row>
    <row r="21" spans="1:145">
      <c r="C21" s="1479" t="s">
        <v>1767</v>
      </c>
      <c r="D21" s="23" t="s">
        <v>685</v>
      </c>
      <c r="E21" s="23" t="s">
        <v>821</v>
      </c>
      <c r="F21" s="1494" t="s">
        <v>1731</v>
      </c>
      <c r="G21" s="1520"/>
      <c r="H21" s="1486"/>
      <c r="I21" s="1486"/>
      <c r="J21" s="1486"/>
      <c r="K21" s="1487"/>
      <c r="L21" s="1510">
        <f ca="1">OFFSET('VVP2'!$G134,0,(COLUMN()-6)/5)</f>
        <v>4.1383599330262353</v>
      </c>
      <c r="M21" s="1486"/>
      <c r="N21" s="1486"/>
      <c r="O21" s="1486"/>
      <c r="P21" s="1487"/>
      <c r="Q21" s="1510">
        <f ca="1">OFFSET('VVP2'!$G134,0,(COLUMN()-6)/5)</f>
        <v>3.6066547319100932</v>
      </c>
      <c r="R21" s="1486"/>
      <c r="S21" s="1486"/>
      <c r="T21" s="1486"/>
      <c r="U21" s="1487"/>
      <c r="V21" s="1510">
        <f ca="1">OFFSET('VVP2'!$G134,0,(COLUMN()-6)/5)</f>
        <v>2.9171376517814478</v>
      </c>
      <c r="W21" s="1486"/>
      <c r="X21" s="1486"/>
      <c r="Y21" s="1486"/>
      <c r="Z21" s="1487"/>
      <c r="AA21" s="1510">
        <f ca="1">OFFSET('VVP2'!$G134,0,(COLUMN()-6)/5)</f>
        <v>3.0374552623936131</v>
      </c>
      <c r="AB21" s="1486"/>
      <c r="AC21" s="1486"/>
      <c r="AD21" s="1486"/>
      <c r="AE21" s="1487"/>
      <c r="AF21" s="1510">
        <f ca="1">OFFSET('VVP2'!$G134,0,(COLUMN()-6)/5)</f>
        <v>4.5372169233459694</v>
      </c>
      <c r="AG21" s="1486"/>
      <c r="AH21" s="1486"/>
      <c r="AI21" s="1486"/>
      <c r="AJ21" s="1487"/>
      <c r="AK21" s="1510">
        <f ca="1">OFFSET('VVP2'!$G134,0,(COLUMN()-6)/5)</f>
        <v>2.7360215980615159</v>
      </c>
      <c r="AL21" s="1486"/>
      <c r="AM21" s="1486"/>
      <c r="AN21" s="1486"/>
      <c r="AO21" s="1487"/>
      <c r="AP21" s="1510">
        <f ca="1">OFFSET('VVP2'!$G134,0,(COLUMN()-6)/5)</f>
        <v>4.025229715094861</v>
      </c>
      <c r="AQ21" s="1486"/>
      <c r="AR21" s="1486"/>
      <c r="AS21" s="1486"/>
      <c r="AT21" s="1487"/>
      <c r="AU21" s="1510">
        <f ca="1">OFFSET('VVP2'!$G134,0,(COLUMN()-6)/5)</f>
        <v>7.2310900992097835</v>
      </c>
      <c r="AV21" s="1486"/>
      <c r="AW21" s="1486"/>
      <c r="AX21" s="1486"/>
      <c r="AY21" s="1487"/>
      <c r="AZ21" s="1510">
        <f ca="1">OFFSET('VVP2'!$G134,0,(COLUMN()-6)/5)</f>
        <v>7.5253723484101833</v>
      </c>
      <c r="BA21" s="1486"/>
      <c r="BB21" s="1486"/>
      <c r="BC21" s="1486"/>
      <c r="BD21" s="1487"/>
      <c r="BE21" s="1510">
        <f ca="1">OFFSET('VVP2'!$G134,0,(COLUMN()-6)/5)</f>
        <v>7.564702960473543</v>
      </c>
      <c r="BF21" s="1486"/>
      <c r="BG21" s="1486"/>
      <c r="BH21" s="1486"/>
      <c r="BI21" s="1487"/>
      <c r="BJ21" s="1510">
        <f ca="1">OFFSET('VVP2'!$G134,0,(COLUMN()-6)/5)</f>
        <v>5.8841032011095482</v>
      </c>
      <c r="BK21" s="1486"/>
      <c r="BL21" s="1486"/>
      <c r="BM21" s="1486"/>
      <c r="BN21" s="1487"/>
      <c r="BO21" s="1510">
        <f ca="1">OFFSET('VVP2'!$G134,0,(COLUMN()-6)/5)</f>
        <v>7.9987599452772411</v>
      </c>
      <c r="BP21" s="1486"/>
      <c r="BQ21" s="1486"/>
      <c r="BR21" s="1486"/>
      <c r="BS21" s="1487"/>
      <c r="BT21" s="1510">
        <f ca="1">OFFSET('VVP2'!$G134,0,(COLUMN()-6)/5)</f>
        <v>2.4497388450059732</v>
      </c>
      <c r="BU21" s="1486"/>
      <c r="BV21" s="1486"/>
      <c r="BW21" s="1486"/>
      <c r="BX21" s="1487"/>
      <c r="BY21" s="1510">
        <f ca="1">OFFSET('VVP2'!$G134,0,(COLUMN()-6)/5)</f>
        <v>-11.283150792692734</v>
      </c>
      <c r="BZ21" s="1486"/>
      <c r="CA21" s="1486"/>
      <c r="CB21" s="1486"/>
      <c r="CC21" s="1487"/>
      <c r="CD21" s="1510">
        <f ca="1">OFFSET('VVP2'!$G134,0,(COLUMN()-6)/5)</f>
        <v>-2.2833464738686966</v>
      </c>
      <c r="CE21" s="1486"/>
      <c r="CF21" s="1486"/>
      <c r="CG21" s="1486"/>
      <c r="CH21" s="1487"/>
      <c r="CI21" s="1510">
        <f ca="1">OFFSET('VVP2'!$G134,0,(COLUMN()-6)/5)</f>
        <v>2.9444841274654974</v>
      </c>
      <c r="CJ21" s="1486"/>
      <c r="CK21" s="1486"/>
      <c r="CL21" s="1486"/>
      <c r="CM21" s="1487"/>
      <c r="CN21" s="1510">
        <f ca="1">OFFSET('VVP2'!$G134,0,(COLUMN()-6)/5)</f>
        <v>1.933767657054497</v>
      </c>
      <c r="CO21" s="1486"/>
      <c r="CP21" s="1486"/>
      <c r="CQ21" s="1486"/>
      <c r="CR21" s="1487"/>
      <c r="CS21" s="1510">
        <f ca="1">OFFSET('VVP2'!$G134,0,(COLUMN()-6)/5)</f>
        <v>2.6864840775891077</v>
      </c>
      <c r="CT21" s="1486"/>
      <c r="CU21" s="1486"/>
      <c r="CV21" s="1486"/>
      <c r="CW21" s="1487"/>
      <c r="CX21" s="1510">
        <f ca="1">OFFSET('VVP2'!$G134,0,(COLUMN()-6)/5)</f>
        <v>2.4827050966901307</v>
      </c>
      <c r="CY21" s="1486"/>
      <c r="CZ21" s="1486"/>
      <c r="DA21" s="1486"/>
      <c r="DB21" s="1487"/>
      <c r="DC21" s="1510">
        <f ca="1">OFFSET('VVP2'!$G134,0,(COLUMN()-6)/5)</f>
        <v>2.4767860084189945</v>
      </c>
      <c r="DD21" s="1486"/>
      <c r="DE21" s="1486"/>
      <c r="DF21" s="1486"/>
      <c r="DG21" s="1487"/>
      <c r="DH21" s="1510">
        <f ca="1">OFFSET('VVP2'!$G134,0,(COLUMN()-6)/5)</f>
        <v>3.0954229674522304</v>
      </c>
      <c r="DI21" s="1486"/>
      <c r="DJ21" s="1486"/>
      <c r="DK21" s="1486"/>
      <c r="DL21" s="1487"/>
      <c r="DM21" s="1510">
        <f ca="1">OFFSET('VVP2'!$G134,0,(COLUMN()-6)/5)</f>
        <v>2.5018577937003226</v>
      </c>
      <c r="DN21" s="1486"/>
      <c r="DO21" s="1486"/>
      <c r="DP21" s="1486"/>
      <c r="DQ21" s="1487"/>
      <c r="DR21" s="1510">
        <f ca="1">OFFSET('VVP2'!$G134,0,(COLUMN()-6)/5)</f>
        <v>2.2451477866547527</v>
      </c>
      <c r="DS21" s="1486"/>
      <c r="DT21" s="1486"/>
      <c r="DU21" s="1486"/>
      <c r="DV21" s="1487"/>
      <c r="DW21" s="1510">
        <f ca="1">OFFSET('VVP2'!$G134,0,(COLUMN()-6)/5)</f>
        <v>2.1242564265053807</v>
      </c>
      <c r="DX21" s="1486"/>
      <c r="DY21" s="1486"/>
      <c r="DZ21" s="1486"/>
      <c r="EA21" s="1487"/>
    </row>
    <row r="22" spans="1:145">
      <c r="C22" s="1480" t="s">
        <v>1767</v>
      </c>
      <c r="D22" s="1" t="s">
        <v>687</v>
      </c>
      <c r="E22" s="1" t="s">
        <v>821</v>
      </c>
      <c r="F22" s="1481" t="s">
        <v>280</v>
      </c>
      <c r="G22" s="1491"/>
      <c r="H22" s="1198"/>
      <c r="I22" s="1198"/>
      <c r="J22" s="1198"/>
      <c r="K22" s="1488"/>
      <c r="L22" s="1515">
        <f ca="1">OFFSET('VVP2'!$G135,0,(COLUMN()-6)/5)</f>
        <v>-0.16842919596012002</v>
      </c>
      <c r="M22" s="1198"/>
      <c r="N22" s="1198"/>
      <c r="O22" s="1198"/>
      <c r="P22" s="1488"/>
      <c r="Q22" s="1515">
        <f ca="1">OFFSET('VVP2'!$G135,0,(COLUMN()-6)/5)</f>
        <v>0.82236385226781072</v>
      </c>
      <c r="R22" s="1198"/>
      <c r="S22" s="1198"/>
      <c r="T22" s="1198"/>
      <c r="U22" s="1488"/>
      <c r="V22" s="1515">
        <f ca="1">OFFSET('VVP2'!$G135,0,(COLUMN()-6)/5)</f>
        <v>1.2115884201591725</v>
      </c>
      <c r="W22" s="1198"/>
      <c r="X22" s="1198"/>
      <c r="Y22" s="1198"/>
      <c r="Z22" s="1488"/>
      <c r="AA22" s="1515">
        <f ca="1">OFFSET('VVP2'!$G135,0,(COLUMN()-6)/5)</f>
        <v>-1.1439785619274152</v>
      </c>
      <c r="AB22" s="1198"/>
      <c r="AC22" s="1198"/>
      <c r="AD22" s="1198"/>
      <c r="AE22" s="1488"/>
      <c r="AF22" s="1515">
        <f ca="1">OFFSET('VVP2'!$G135,0,(COLUMN()-6)/5)</f>
        <v>5.2878627128147664E-2</v>
      </c>
      <c r="AG22" s="1198"/>
      <c r="AH22" s="1198"/>
      <c r="AI22" s="1198"/>
      <c r="AJ22" s="1488"/>
      <c r="AK22" s="1515">
        <f ca="1">OFFSET('VVP2'!$G135,0,(COLUMN()-6)/5)</f>
        <v>0.30483105174849651</v>
      </c>
      <c r="AL22" s="1198"/>
      <c r="AM22" s="1198"/>
      <c r="AN22" s="1198"/>
      <c r="AO22" s="1488"/>
      <c r="AP22" s="1515">
        <f ca="1">OFFSET('VVP2'!$G135,0,(COLUMN()-6)/5)</f>
        <v>0.52004037183473018</v>
      </c>
      <c r="AQ22" s="1198"/>
      <c r="AR22" s="1198"/>
      <c r="AS22" s="1198"/>
      <c r="AT22" s="1488"/>
      <c r="AU22" s="1515">
        <f ca="1">OFFSET('VVP2'!$G135,0,(COLUMN()-6)/5)</f>
        <v>0.60023052235130747</v>
      </c>
      <c r="AV22" s="1198"/>
      <c r="AW22" s="1198"/>
      <c r="AX22" s="1198"/>
      <c r="AY22" s="1488"/>
      <c r="AZ22" s="1515">
        <f ca="1">OFFSET('VVP2'!$G135,0,(COLUMN()-6)/5)</f>
        <v>0.89823047290342184</v>
      </c>
      <c r="BA22" s="1198"/>
      <c r="BB22" s="1198"/>
      <c r="BC22" s="1198"/>
      <c r="BD22" s="1488"/>
      <c r="BE22" s="1515">
        <f ca="1">OFFSET('VVP2'!$G135,0,(COLUMN()-6)/5)</f>
        <v>0.6818237495417484</v>
      </c>
      <c r="BF22" s="1198"/>
      <c r="BG22" s="1198"/>
      <c r="BH22" s="1198"/>
      <c r="BI22" s="1488"/>
      <c r="BJ22" s="1515">
        <f ca="1">OFFSET('VVP2'!$G135,0,(COLUMN()-6)/5)</f>
        <v>0.38928997908668406</v>
      </c>
      <c r="BK22" s="1198"/>
      <c r="BL22" s="1198"/>
      <c r="BM22" s="1198"/>
      <c r="BN22" s="1488"/>
      <c r="BO22" s="1515">
        <f ca="1">OFFSET('VVP2'!$G135,0,(COLUMN()-6)/5)</f>
        <v>0.35396552846964913</v>
      </c>
      <c r="BP22" s="1198"/>
      <c r="BQ22" s="1198"/>
      <c r="BR22" s="1198"/>
      <c r="BS22" s="1488"/>
      <c r="BT22" s="1515">
        <f ca="1">OFFSET('VVP2'!$G135,0,(COLUMN()-6)/5)</f>
        <v>4.1156318784191064E-2</v>
      </c>
      <c r="BU22" s="1198"/>
      <c r="BV22" s="1198"/>
      <c r="BW22" s="1198"/>
      <c r="BX22" s="1488"/>
      <c r="BY22" s="1515">
        <f ca="1">OFFSET('VVP2'!$G135,0,(COLUMN()-6)/5)</f>
        <v>-0.24525974115047039</v>
      </c>
      <c r="BZ22" s="1198"/>
      <c r="CA22" s="1198"/>
      <c r="CB22" s="1198"/>
      <c r="CC22" s="1488"/>
      <c r="CD22" s="1515">
        <f ca="1">OFFSET('VVP2'!$G135,0,(COLUMN()-6)/5)</f>
        <v>-0.67137603921916222</v>
      </c>
      <c r="CE22" s="1198"/>
      <c r="CF22" s="1198"/>
      <c r="CG22" s="1198"/>
      <c r="CH22" s="1488"/>
      <c r="CI22" s="1515">
        <f ca="1">OFFSET('VVP2'!$G135,0,(COLUMN()-6)/5)</f>
        <v>-7.0644499041307512E-2</v>
      </c>
      <c r="CJ22" s="1198"/>
      <c r="CK22" s="1198"/>
      <c r="CL22" s="1198"/>
      <c r="CM22" s="1488"/>
      <c r="CN22" s="1515">
        <f ca="1">OFFSET('VVP2'!$G135,0,(COLUMN()-6)/5)</f>
        <v>0.23577722985146193</v>
      </c>
      <c r="CO22" s="1198"/>
      <c r="CP22" s="1198"/>
      <c r="CQ22" s="1198"/>
      <c r="CR22" s="1488"/>
      <c r="CS22" s="1515">
        <f ca="1">OFFSET('VVP2'!$G135,0,(COLUMN()-6)/5)</f>
        <v>0.12636261192536491</v>
      </c>
      <c r="CT22" s="1198"/>
      <c r="CU22" s="1198"/>
      <c r="CV22" s="1198"/>
      <c r="CW22" s="1488"/>
      <c r="CX22" s="1515">
        <f ca="1">OFFSET('VVP2'!$G135,0,(COLUMN()-6)/5)</f>
        <v>4.7974411398629797E-2</v>
      </c>
      <c r="CY22" s="1198"/>
      <c r="CZ22" s="1198"/>
      <c r="DA22" s="1198"/>
      <c r="DB22" s="1488"/>
      <c r="DC22" s="1515">
        <f ca="1">OFFSET('VVP2'!$G135,0,(COLUMN()-6)/5)</f>
        <v>2.7291541722860111E-2</v>
      </c>
      <c r="DD22" s="1198"/>
      <c r="DE22" s="1198"/>
      <c r="DF22" s="1198"/>
      <c r="DG22" s="1488"/>
      <c r="DH22" s="1515">
        <f ca="1">OFFSET('VVP2'!$G135,0,(COLUMN()-6)/5)</f>
        <v>0.22199260963135678</v>
      </c>
      <c r="DI22" s="1198"/>
      <c r="DJ22" s="1198"/>
      <c r="DK22" s="1198"/>
      <c r="DL22" s="1488"/>
      <c r="DM22" s="1515">
        <f ca="1">OFFSET('VVP2'!$G135,0,(COLUMN()-6)/5)</f>
        <v>0.19891552353062456</v>
      </c>
      <c r="DN22" s="1198"/>
      <c r="DO22" s="1198"/>
      <c r="DP22" s="1198"/>
      <c r="DQ22" s="1488"/>
      <c r="DR22" s="1515">
        <f ca="1">OFFSET('VVP2'!$G135,0,(COLUMN()-6)/5)</f>
        <v>0.27116591314917959</v>
      </c>
      <c r="DS22" s="1198"/>
      <c r="DT22" s="1198"/>
      <c r="DU22" s="1198"/>
      <c r="DV22" s="1488"/>
      <c r="DW22" s="1515">
        <f ca="1">OFFSET('VVP2'!$G135,0,(COLUMN()-6)/5)</f>
        <v>0.25420713640065562</v>
      </c>
      <c r="DX22" s="1198"/>
      <c r="DY22" s="1198"/>
      <c r="DZ22" s="1198"/>
      <c r="EA22" s="1488"/>
    </row>
    <row r="23" spans="1:145">
      <c r="C23" s="1480" t="s">
        <v>1767</v>
      </c>
      <c r="D23" s="113"/>
      <c r="E23" s="113" t="s">
        <v>376</v>
      </c>
      <c r="F23" s="1482" t="s">
        <v>850</v>
      </c>
      <c r="G23" s="1521"/>
      <c r="H23" s="1489"/>
      <c r="I23" s="1489"/>
      <c r="J23" s="1489"/>
      <c r="K23" s="1490"/>
      <c r="L23" s="1516">
        <f ca="1">OFFSET('VVP2'!$G136,0,(COLUMN()-6)/5)</f>
        <v>4.2872241666257933</v>
      </c>
      <c r="M23" s="1489"/>
      <c r="N23" s="1489"/>
      <c r="O23" s="1489"/>
      <c r="P23" s="1490"/>
      <c r="Q23" s="1516">
        <f ca="1">OFFSET('VVP2'!$G136,0,(COLUMN()-6)/5)</f>
        <v>5.2551720431819753</v>
      </c>
      <c r="R23" s="1489"/>
      <c r="S23" s="1489"/>
      <c r="T23" s="1489"/>
      <c r="U23" s="1490"/>
      <c r="V23" s="1516">
        <f ca="1">OFFSET('VVP2'!$G136,0,(COLUMN()-6)/5)</f>
        <v>4.7200698362673137</v>
      </c>
      <c r="W23" s="1489"/>
      <c r="X23" s="1489"/>
      <c r="Y23" s="1489"/>
      <c r="Z23" s="1490"/>
      <c r="AA23" s="1516">
        <f ca="1">OFFSET('VVP2'!$G136,0,(COLUMN()-6)/5)</f>
        <v>-1.4196800100178606</v>
      </c>
      <c r="AB23" s="1489"/>
      <c r="AC23" s="1489"/>
      <c r="AD23" s="1489"/>
      <c r="AE23" s="1490"/>
      <c r="AF23" s="1516">
        <f ca="1">OFFSET('VVP2'!$G136,0,(COLUMN()-6)/5)</f>
        <v>-1.8380545733749503</v>
      </c>
      <c r="AG23" s="1489"/>
      <c r="AH23" s="1489"/>
      <c r="AI23" s="1489"/>
      <c r="AJ23" s="1490"/>
      <c r="AK23" s="1516">
        <f ca="1">OFFSET('VVP2'!$G136,0,(COLUMN()-6)/5)</f>
        <v>2.5218276833724187</v>
      </c>
      <c r="AL23" s="1489"/>
      <c r="AM23" s="1489"/>
      <c r="AN23" s="1489"/>
      <c r="AO23" s="1490"/>
      <c r="AP23" s="1516">
        <f ca="1">OFFSET('VVP2'!$G136,0,(COLUMN()-6)/5)</f>
        <v>2.1933218669616785</v>
      </c>
      <c r="AQ23" s="1489"/>
      <c r="AR23" s="1489"/>
      <c r="AS23" s="1489"/>
      <c r="AT23" s="1490"/>
      <c r="AU23" s="1516">
        <f ca="1">OFFSET('VVP2'!$G136,0,(COLUMN()-6)/5)</f>
        <v>2.792197287663555</v>
      </c>
      <c r="AV23" s="1489"/>
      <c r="AW23" s="1489"/>
      <c r="AX23" s="1489"/>
      <c r="AY23" s="1490"/>
      <c r="AZ23" s="1516">
        <f ca="1">OFFSET('VVP2'!$G136,0,(COLUMN()-6)/5)</f>
        <v>3.3867328271737018</v>
      </c>
      <c r="BA23" s="1489"/>
      <c r="BB23" s="1489"/>
      <c r="BC23" s="1489"/>
      <c r="BD23" s="1490"/>
      <c r="BE23" s="1516">
        <f ca="1">OFFSET('VVP2'!$G136,0,(COLUMN()-6)/5)</f>
        <v>2.6268277692547608</v>
      </c>
      <c r="BF23" s="1489"/>
      <c r="BG23" s="1489"/>
      <c r="BH23" s="1489"/>
      <c r="BI23" s="1490"/>
      <c r="BJ23" s="1516">
        <f ca="1">OFFSET('VVP2'!$G136,0,(COLUMN()-6)/5)</f>
        <v>4.5819066711864522</v>
      </c>
      <c r="BK23" s="1489"/>
      <c r="BL23" s="1489"/>
      <c r="BM23" s="1489"/>
      <c r="BN23" s="1490"/>
      <c r="BO23" s="1516">
        <f ca="1">OFFSET('VVP2'!$G136,0,(COLUMN()-6)/5)</f>
        <v>5.7905291914903483</v>
      </c>
      <c r="BP23" s="1489"/>
      <c r="BQ23" s="1489"/>
      <c r="BR23" s="1489"/>
      <c r="BS23" s="1490"/>
      <c r="BT23" s="1516">
        <f ca="1">OFFSET('VVP2'!$G136,0,(COLUMN()-6)/5)</f>
        <v>-1.1419921186788604</v>
      </c>
      <c r="BU23" s="1489"/>
      <c r="BV23" s="1489"/>
      <c r="BW23" s="1489"/>
      <c r="BX23" s="1490"/>
      <c r="BY23" s="1516">
        <f ca="1">OFFSET('VVP2'!$G136,0,(COLUMN()-6)/5)</f>
        <v>-10.129306133876364</v>
      </c>
      <c r="BZ23" s="1489"/>
      <c r="CA23" s="1489"/>
      <c r="CB23" s="1489"/>
      <c r="CC23" s="1490"/>
      <c r="CD23" s="1516">
        <f ca="1">OFFSET('VVP2'!$G136,0,(COLUMN()-6)/5)</f>
        <v>0.26351222899382509</v>
      </c>
      <c r="CE23" s="1489"/>
      <c r="CF23" s="1489"/>
      <c r="CG23" s="1489"/>
      <c r="CH23" s="1490"/>
      <c r="CI23" s="1516">
        <f ca="1">OFFSET('VVP2'!$G136,0,(COLUMN()-6)/5)</f>
        <v>3.397322502128254</v>
      </c>
      <c r="CJ23" s="1489"/>
      <c r="CK23" s="1489"/>
      <c r="CL23" s="1489"/>
      <c r="CM23" s="1490"/>
      <c r="CN23" s="1516">
        <f ca="1">OFFSET('VVP2'!$G136,0,(COLUMN()-6)/5)</f>
        <v>-0.32870928527605825</v>
      </c>
      <c r="CO23" s="1489"/>
      <c r="CP23" s="1489"/>
      <c r="CQ23" s="1489"/>
      <c r="CR23" s="1490"/>
      <c r="CS23" s="1516">
        <f ca="1">OFFSET('VVP2'!$G136,0,(COLUMN()-6)/5)</f>
        <v>1.4404922785751533</v>
      </c>
      <c r="CT23" s="1489"/>
      <c r="CU23" s="1489"/>
      <c r="CV23" s="1489"/>
      <c r="CW23" s="1490"/>
      <c r="CX23" s="1516">
        <f ca="1">OFFSET('VVP2'!$G136,0,(COLUMN()-6)/5)</f>
        <v>1.0620226431963415</v>
      </c>
      <c r="CY23" s="1489"/>
      <c r="CZ23" s="1489"/>
      <c r="DA23" s="1489"/>
      <c r="DB23" s="1490"/>
      <c r="DC23" s="1516">
        <f ca="1">OFFSET('VVP2'!$G136,0,(COLUMN()-6)/5)</f>
        <v>0.91142762758598306</v>
      </c>
      <c r="DD23" s="1489"/>
      <c r="DE23" s="1489"/>
      <c r="DF23" s="1489"/>
      <c r="DG23" s="1490"/>
      <c r="DH23" s="1516">
        <f ca="1">OFFSET('VVP2'!$G136,0,(COLUMN()-6)/5)</f>
        <v>-9.215898451947481E-2</v>
      </c>
      <c r="DI23" s="1489"/>
      <c r="DJ23" s="1489"/>
      <c r="DK23" s="1489"/>
      <c r="DL23" s="1490"/>
      <c r="DM23" s="1516">
        <f ca="1">OFFSET('VVP2'!$G136,0,(COLUMN()-6)/5)</f>
        <v>1.3815246451376217</v>
      </c>
      <c r="DN23" s="1489"/>
      <c r="DO23" s="1489"/>
      <c r="DP23" s="1489"/>
      <c r="DQ23" s="1490"/>
      <c r="DR23" s="1516">
        <f ca="1">OFFSET('VVP2'!$G136,0,(COLUMN()-6)/5)</f>
        <v>1.2744205439365495</v>
      </c>
      <c r="DS23" s="1489"/>
      <c r="DT23" s="1489"/>
      <c r="DU23" s="1489"/>
      <c r="DV23" s="1490"/>
      <c r="DW23" s="1516">
        <f ca="1">OFFSET('VVP2'!$G136,0,(COLUMN()-6)/5)</f>
        <v>0.81064573940295304</v>
      </c>
      <c r="DX23" s="1489"/>
      <c r="DY23" s="1489"/>
      <c r="DZ23" s="1489"/>
      <c r="EA23" s="1490"/>
    </row>
    <row r="24" spans="1:145">
      <c r="C24" s="1480" t="s">
        <v>1769</v>
      </c>
      <c r="D24" s="50"/>
      <c r="E24" s="50" t="s">
        <v>1343</v>
      </c>
      <c r="F24" s="1483"/>
      <c r="G24" s="1491"/>
      <c r="H24" s="1491"/>
      <c r="I24" s="1491"/>
      <c r="J24" s="1491"/>
      <c r="K24" s="1492"/>
      <c r="L24" s="1515">
        <f ca="1">OFFSET('VVP2'!$G137,0,(COLUMN()-6)/5)</f>
        <v>8.2082122738956862</v>
      </c>
      <c r="M24" s="1491"/>
      <c r="N24" s="1491"/>
      <c r="O24" s="1491"/>
      <c r="P24" s="1492"/>
      <c r="Q24" s="1515">
        <f ca="1">OFFSET('VVP2'!$G137,0,(COLUMN()-6)/5)</f>
        <v>9.6614173967330697</v>
      </c>
      <c r="R24" s="1491"/>
      <c r="S24" s="1491"/>
      <c r="T24" s="1491"/>
      <c r="U24" s="1492"/>
      <c r="V24" s="1515">
        <f ca="1">OFFSET('VVP2'!$G137,0,(COLUMN()-6)/5)</f>
        <v>8.8418488932368344</v>
      </c>
      <c r="W24" s="1491"/>
      <c r="X24" s="1491"/>
      <c r="Y24" s="1491"/>
      <c r="Z24" s="1492"/>
      <c r="AA24" s="1515">
        <f ca="1">OFFSET('VVP2'!$G137,0,(COLUMN()-6)/5)</f>
        <v>0.46850370126390778</v>
      </c>
      <c r="AB24" s="1491"/>
      <c r="AC24" s="1491"/>
      <c r="AD24" s="1491"/>
      <c r="AE24" s="1492"/>
      <c r="AF24" s="1515">
        <f ca="1">OFFSET('VVP2'!$G137,0,(COLUMN()-6)/5)</f>
        <v>2.7539559515606666</v>
      </c>
      <c r="AG24" s="1491"/>
      <c r="AH24" s="1491"/>
      <c r="AI24" s="1491"/>
      <c r="AJ24" s="1492"/>
      <c r="AK24" s="1515">
        <f ca="1">OFFSET('VVP2'!$G137,0,(COLUMN()-6)/5)</f>
        <v>5.5315036186964663</v>
      </c>
      <c r="AL24" s="1491"/>
      <c r="AM24" s="1491"/>
      <c r="AN24" s="1491"/>
      <c r="AO24" s="1492"/>
      <c r="AP24" s="1515">
        <f ca="1">OFFSET('VVP2'!$G137,0,(COLUMN()-6)/5)</f>
        <v>6.7222534544508479</v>
      </c>
      <c r="AQ24" s="1491"/>
      <c r="AR24" s="1491"/>
      <c r="AS24" s="1491"/>
      <c r="AT24" s="1492"/>
      <c r="AU24" s="1515">
        <f ca="1">OFFSET('VVP2'!$G137,0,(COLUMN()-6)/5)</f>
        <v>10.598615593574646</v>
      </c>
      <c r="AV24" s="1491"/>
      <c r="AW24" s="1491"/>
      <c r="AX24" s="1491"/>
      <c r="AY24" s="1492"/>
      <c r="AZ24" s="1515">
        <f ca="1">OFFSET('VVP2'!$G137,0,(COLUMN()-6)/5)</f>
        <v>11.815953751702724</v>
      </c>
      <c r="BA24" s="1491"/>
      <c r="BB24" s="1491"/>
      <c r="BC24" s="1491"/>
      <c r="BD24" s="1492"/>
      <c r="BE24" s="1515">
        <f ca="1">OFFSET('VVP2'!$G137,0,(COLUMN()-6)/5)</f>
        <v>10.873331834827438</v>
      </c>
      <c r="BF24" s="1491"/>
      <c r="BG24" s="1491"/>
      <c r="BH24" s="1491"/>
      <c r="BI24" s="1492"/>
      <c r="BJ24" s="1515">
        <f ca="1">OFFSET('VVP2'!$G137,0,(COLUMN()-6)/5)</f>
        <v>10.855331795203485</v>
      </c>
      <c r="BK24" s="1491"/>
      <c r="BL24" s="1491"/>
      <c r="BM24" s="1491"/>
      <c r="BN24" s="1492"/>
      <c r="BO24" s="1515">
        <f ca="1">OFFSET('VVP2'!$G137,0,(COLUMN()-6)/5)</f>
        <v>14.143255074798653</v>
      </c>
      <c r="BP24" s="1491"/>
      <c r="BQ24" s="1491"/>
      <c r="BR24" s="1491"/>
      <c r="BS24" s="1492"/>
      <c r="BT24" s="1515">
        <f ca="1">OFFSET('VVP2'!$G137,0,(COLUMN()-6)/5)</f>
        <v>1.3489071897737965</v>
      </c>
      <c r="BU24" s="1491"/>
      <c r="BV24" s="1491"/>
      <c r="BW24" s="1491"/>
      <c r="BX24" s="1492"/>
      <c r="BY24" s="1515">
        <f ca="1">OFFSET('VVP2'!$G137,0,(COLUMN()-6)/5)</f>
        <v>-21.657703268888838</v>
      </c>
      <c r="BZ24" s="1491"/>
      <c r="CA24" s="1491"/>
      <c r="CB24" s="1491"/>
      <c r="CC24" s="1492"/>
      <c r="CD24" s="1515">
        <f ca="1">OFFSET('VVP2'!$G137,0,(COLUMN()-6)/5)</f>
        <v>-2.6912535037183738</v>
      </c>
      <c r="CE24" s="1491"/>
      <c r="CF24" s="1491"/>
      <c r="CG24" s="1491"/>
      <c r="CH24" s="1492"/>
      <c r="CI24" s="1515">
        <f ca="1">OFFSET('VVP2'!$G137,0,(COLUMN()-6)/5)</f>
        <v>6.2711621305524528</v>
      </c>
      <c r="CJ24" s="1491"/>
      <c r="CK24" s="1491"/>
      <c r="CL24" s="1491"/>
      <c r="CM24" s="1492"/>
      <c r="CN24" s="1515">
        <f ca="1">OFFSET('VVP2'!$G137,0,(COLUMN()-6)/5)</f>
        <v>1.8408210848806765</v>
      </c>
      <c r="CO24" s="1491"/>
      <c r="CP24" s="1491"/>
      <c r="CQ24" s="1491"/>
      <c r="CR24" s="1492"/>
      <c r="CS24" s="1515">
        <f ca="1">OFFSET('VVP2'!$G137,0,(COLUMN()-6)/5)</f>
        <v>4.2533449966865806</v>
      </c>
      <c r="CT24" s="1491"/>
      <c r="CU24" s="1491"/>
      <c r="CV24" s="1491"/>
      <c r="CW24" s="1492"/>
      <c r="CX24" s="1515">
        <f ca="1">OFFSET('VVP2'!$G137,0,(COLUMN()-6)/5)</f>
        <v>3.5927336671966179</v>
      </c>
      <c r="CY24" s="1491"/>
      <c r="CZ24" s="1491"/>
      <c r="DA24" s="1491"/>
      <c r="DB24" s="1492"/>
      <c r="DC24" s="1515">
        <f ca="1">OFFSET('VVP2'!$G137,0,(COLUMN()-6)/5)</f>
        <v>3.4154852666704851</v>
      </c>
      <c r="DD24" s="1491"/>
      <c r="DE24" s="1491"/>
      <c r="DF24" s="1491"/>
      <c r="DG24" s="1492"/>
      <c r="DH24" s="1515">
        <f ca="1">OFFSET('VVP2'!$G137,0,(COLUMN()-6)/5)</f>
        <v>3.2252509996547198</v>
      </c>
      <c r="DI24" s="1491"/>
      <c r="DJ24" s="1491"/>
      <c r="DK24" s="1491"/>
      <c r="DL24" s="1492"/>
      <c r="DM24" s="1515">
        <f ca="1">OFFSET('VVP2'!$G137,0,(COLUMN()-6)/5)</f>
        <v>4.0822979623685622</v>
      </c>
      <c r="DN24" s="1491"/>
      <c r="DO24" s="1491"/>
      <c r="DP24" s="1491"/>
      <c r="DQ24" s="1492"/>
      <c r="DR24" s="1515">
        <f ca="1">OFFSET('VVP2'!$G137,0,(COLUMN()-6)/5)</f>
        <v>3.7907342437404736</v>
      </c>
      <c r="DS24" s="1491"/>
      <c r="DT24" s="1491"/>
      <c r="DU24" s="1491"/>
      <c r="DV24" s="1492"/>
      <c r="DW24" s="1515">
        <f ca="1">OFFSET('VVP2'!$G137,0,(COLUMN()-6)/5)</f>
        <v>3.1891093023089798</v>
      </c>
      <c r="DX24" s="1491"/>
      <c r="DY24" s="1491"/>
      <c r="DZ24" s="1491"/>
      <c r="EA24" s="1492"/>
    </row>
    <row r="25" spans="1:145">
      <c r="C25" s="1480" t="s">
        <v>1767</v>
      </c>
      <c r="D25" s="113"/>
      <c r="E25" s="113" t="s">
        <v>1272</v>
      </c>
      <c r="F25" s="1482" t="s">
        <v>1992</v>
      </c>
      <c r="G25" s="1521"/>
      <c r="H25" s="1489"/>
      <c r="I25" s="1489"/>
      <c r="J25" s="1489"/>
      <c r="K25" s="1490"/>
      <c r="L25" s="1516">
        <f ca="1">OFFSET('VVP2'!$G138,0,(COLUMN()-6)/5)</f>
        <v>1.4513428074752475</v>
      </c>
      <c r="M25" s="1489"/>
      <c r="N25" s="1489"/>
      <c r="O25" s="1489"/>
      <c r="P25" s="1490"/>
      <c r="Q25" s="1516">
        <f ca="1">OFFSET('VVP2'!$G138,0,(COLUMN()-6)/5)</f>
        <v>3.8518325888653013</v>
      </c>
      <c r="R25" s="1489"/>
      <c r="S25" s="1489"/>
      <c r="T25" s="1489"/>
      <c r="U25" s="1490"/>
      <c r="V25" s="1516">
        <f ca="1">OFFSET('VVP2'!$G138,0,(COLUMN()-6)/5)</f>
        <v>0.1636449464963908</v>
      </c>
      <c r="W25" s="1489"/>
      <c r="X25" s="1489"/>
      <c r="Y25" s="1489"/>
      <c r="Z25" s="1490"/>
      <c r="AA25" s="1516">
        <f ca="1">OFFSET('VVP2'!$G138,0,(COLUMN()-6)/5)</f>
        <v>-1.0800950873552702</v>
      </c>
      <c r="AB25" s="1489"/>
      <c r="AC25" s="1489"/>
      <c r="AD25" s="1489"/>
      <c r="AE25" s="1490"/>
      <c r="AF25" s="1516">
        <f ca="1">OFFSET('VVP2'!$G138,0,(COLUMN()-6)/5)</f>
        <v>-0.40554328888543595</v>
      </c>
      <c r="AG25" s="1489"/>
      <c r="AH25" s="1489"/>
      <c r="AI25" s="1489"/>
      <c r="AJ25" s="1490"/>
      <c r="AK25" s="1516">
        <f ca="1">OFFSET('VVP2'!$G138,0,(COLUMN()-6)/5)</f>
        <v>0.6501102377115151</v>
      </c>
      <c r="AL25" s="1489"/>
      <c r="AM25" s="1489"/>
      <c r="AN25" s="1489"/>
      <c r="AO25" s="1490"/>
      <c r="AP25" s="1516">
        <f ca="1">OFFSET('VVP2'!$G138,0,(COLUMN()-6)/5)</f>
        <v>1.1252035507024927</v>
      </c>
      <c r="AQ25" s="1489"/>
      <c r="AR25" s="1489"/>
      <c r="AS25" s="1489"/>
      <c r="AT25" s="1490"/>
      <c r="AU25" s="1516">
        <f ca="1">OFFSET('VVP2'!$G138,0,(COLUMN()-6)/5)</f>
        <v>0.40458840247042593</v>
      </c>
      <c r="AV25" s="1489"/>
      <c r="AW25" s="1489"/>
      <c r="AX25" s="1489"/>
      <c r="AY25" s="1490"/>
      <c r="AZ25" s="1516">
        <f ca="1">OFFSET('VVP2'!$G138,0,(COLUMN()-6)/5)</f>
        <v>2.1964233559087751</v>
      </c>
      <c r="BA25" s="1489"/>
      <c r="BB25" s="1489"/>
      <c r="BC25" s="1489"/>
      <c r="BD25" s="1490"/>
      <c r="BE25" s="1516">
        <f ca="1">OFFSET('VVP2'!$G138,0,(COLUMN()-6)/5)</f>
        <v>-1.8091709559490972</v>
      </c>
      <c r="BF25" s="1489"/>
      <c r="BG25" s="1489"/>
      <c r="BH25" s="1489"/>
      <c r="BI25" s="1490"/>
      <c r="BJ25" s="1516">
        <f ca="1">OFFSET('VVP2'!$G138,0,(COLUMN()-6)/5)</f>
        <v>-1.548513963512715</v>
      </c>
      <c r="BK25" s="1489"/>
      <c r="BL25" s="1489"/>
      <c r="BM25" s="1489"/>
      <c r="BN25" s="1490"/>
      <c r="BO25" s="1516">
        <f ca="1">OFFSET('VVP2'!$G138,0,(COLUMN()-6)/5)</f>
        <v>2.2992180093849104</v>
      </c>
      <c r="BP25" s="1489"/>
      <c r="BQ25" s="1489"/>
      <c r="BR25" s="1489"/>
      <c r="BS25" s="1490"/>
      <c r="BT25" s="1516">
        <f ca="1">OFFSET('VVP2'!$G138,0,(COLUMN()-6)/5)</f>
        <v>2.2142051004570154</v>
      </c>
      <c r="BU25" s="1489"/>
      <c r="BV25" s="1489"/>
      <c r="BW25" s="1489"/>
      <c r="BX25" s="1490"/>
      <c r="BY25" s="1516">
        <f ca="1">OFFSET('VVP2'!$G138,0,(COLUMN()-6)/5)</f>
        <v>-5.085878670088305</v>
      </c>
      <c r="BZ25" s="1489"/>
      <c r="CA25" s="1489"/>
      <c r="CB25" s="1489"/>
      <c r="CC25" s="1490"/>
      <c r="CD25" s="1516">
        <f ca="1">OFFSET('VVP2'!$G138,0,(COLUMN()-6)/5)</f>
        <v>4.5041049338341725</v>
      </c>
      <c r="CE25" s="1489"/>
      <c r="CF25" s="1489"/>
      <c r="CG25" s="1489"/>
      <c r="CH25" s="1490"/>
      <c r="CI25" s="1516">
        <f ca="1">OFFSET('VVP2'!$G138,0,(COLUMN()-6)/5)</f>
        <v>-0.20604645553711376</v>
      </c>
      <c r="CJ25" s="1489"/>
      <c r="CK25" s="1489"/>
      <c r="CL25" s="1489"/>
      <c r="CM25" s="1490"/>
      <c r="CN25" s="1516">
        <f ca="1">OFFSET('VVP2'!$G138,0,(COLUMN()-6)/5)</f>
        <v>-2.151835588016207</v>
      </c>
      <c r="CO25" s="1489"/>
      <c r="CP25" s="1489"/>
      <c r="CQ25" s="1489"/>
      <c r="CR25" s="1490"/>
      <c r="CS25" s="1516">
        <f ca="1">OFFSET('VVP2'!$G138,0,(COLUMN()-6)/5)</f>
        <v>-1.442923607568708</v>
      </c>
      <c r="CT25" s="1489"/>
      <c r="CU25" s="1489"/>
      <c r="CV25" s="1489"/>
      <c r="CW25" s="1490"/>
      <c r="CX25" s="1516">
        <f ca="1">OFFSET('VVP2'!$G138,0,(COLUMN()-6)/5)</f>
        <v>-0.23872302156008876</v>
      </c>
      <c r="CY25" s="1489"/>
      <c r="CZ25" s="1489"/>
      <c r="DA25" s="1489"/>
      <c r="DB25" s="1490"/>
      <c r="DC25" s="1516">
        <f ca="1">OFFSET('VVP2'!$G138,0,(COLUMN()-6)/5)</f>
        <v>3.8132633497471562</v>
      </c>
      <c r="DD25" s="1489"/>
      <c r="DE25" s="1489"/>
      <c r="DF25" s="1489"/>
      <c r="DG25" s="1490"/>
      <c r="DH25" s="1516">
        <f ca="1">OFFSET('VVP2'!$G138,0,(COLUMN()-6)/5)</f>
        <v>-0.80797158913461642</v>
      </c>
      <c r="DI25" s="1489"/>
      <c r="DJ25" s="1489"/>
      <c r="DK25" s="1489"/>
      <c r="DL25" s="1490"/>
      <c r="DM25" s="1516">
        <f ca="1">OFFSET('VVP2'!$G138,0,(COLUMN()-6)/5)</f>
        <v>0</v>
      </c>
      <c r="DN25" s="1489"/>
      <c r="DO25" s="1489"/>
      <c r="DP25" s="1489"/>
      <c r="DQ25" s="1490"/>
      <c r="DR25" s="1516">
        <f ca="1">OFFSET('VVP2'!$G138,0,(COLUMN()-6)/5)</f>
        <v>0</v>
      </c>
      <c r="DS25" s="1489"/>
      <c r="DT25" s="1489"/>
      <c r="DU25" s="1489"/>
      <c r="DV25" s="1490"/>
      <c r="DW25" s="1516">
        <f ca="1">OFFSET('VVP2'!$G138,0,(COLUMN()-6)/5)</f>
        <v>0</v>
      </c>
      <c r="DX25" s="1489"/>
      <c r="DY25" s="1489"/>
      <c r="DZ25" s="1489"/>
      <c r="EA25" s="1490"/>
    </row>
    <row r="26" spans="1:145">
      <c r="C26" s="1480" t="s">
        <v>1769</v>
      </c>
      <c r="D26" s="50"/>
      <c r="E26" s="50" t="s">
        <v>1071</v>
      </c>
      <c r="F26" s="1483"/>
      <c r="G26" s="1491"/>
      <c r="H26" s="1491"/>
      <c r="I26" s="1491"/>
      <c r="J26" s="1491"/>
      <c r="K26" s="1492"/>
      <c r="L26" s="1515">
        <f ca="1">OFFSET('VVP2'!$G139,0,(COLUMN()-6)/5)</f>
        <v>9.6595550813709377</v>
      </c>
      <c r="M26" s="1491"/>
      <c r="N26" s="1491"/>
      <c r="O26" s="1491"/>
      <c r="P26" s="1492"/>
      <c r="Q26" s="1515">
        <f ca="1">OFFSET('VVP2'!$G139,0,(COLUMN()-6)/5)</f>
        <v>13.513249985598369</v>
      </c>
      <c r="R26" s="1491"/>
      <c r="S26" s="1491"/>
      <c r="T26" s="1491"/>
      <c r="U26" s="1492"/>
      <c r="V26" s="1515">
        <f ca="1">OFFSET('VVP2'!$G139,0,(COLUMN()-6)/5)</f>
        <v>9.00549383973323</v>
      </c>
      <c r="W26" s="1491"/>
      <c r="X26" s="1491"/>
      <c r="Y26" s="1491"/>
      <c r="Z26" s="1492"/>
      <c r="AA26" s="1515">
        <f ca="1">OFFSET('VVP2'!$G139,0,(COLUMN()-6)/5)</f>
        <v>-0.61159138609136254</v>
      </c>
      <c r="AB26" s="1491"/>
      <c r="AC26" s="1491"/>
      <c r="AD26" s="1491"/>
      <c r="AE26" s="1492"/>
      <c r="AF26" s="1515">
        <f ca="1">OFFSET('VVP2'!$G139,0,(COLUMN()-6)/5)</f>
        <v>2.3484126626752246</v>
      </c>
      <c r="AG26" s="1491"/>
      <c r="AH26" s="1491"/>
      <c r="AI26" s="1491"/>
      <c r="AJ26" s="1492"/>
      <c r="AK26" s="1515">
        <f ca="1">OFFSET('VVP2'!$G139,0,(COLUMN()-6)/5)</f>
        <v>6.1816138564079841</v>
      </c>
      <c r="AL26" s="1491"/>
      <c r="AM26" s="1491"/>
      <c r="AN26" s="1491"/>
      <c r="AO26" s="1492"/>
      <c r="AP26" s="1515">
        <f ca="1">OFFSET('VVP2'!$G139,0,(COLUMN()-6)/5)</f>
        <v>7.8474570051533421</v>
      </c>
      <c r="AQ26" s="1491"/>
      <c r="AR26" s="1491"/>
      <c r="AS26" s="1491"/>
      <c r="AT26" s="1492"/>
      <c r="AU26" s="1515">
        <f ca="1">OFFSET('VVP2'!$G139,0,(COLUMN()-6)/5)</f>
        <v>11.003203996045062</v>
      </c>
      <c r="AV26" s="1491"/>
      <c r="AW26" s="1491"/>
      <c r="AX26" s="1491"/>
      <c r="AY26" s="1492"/>
      <c r="AZ26" s="1515">
        <f ca="1">OFFSET('VVP2'!$G139,0,(COLUMN()-6)/5)</f>
        <v>14.012377107611499</v>
      </c>
      <c r="BA26" s="1491"/>
      <c r="BB26" s="1491"/>
      <c r="BC26" s="1491"/>
      <c r="BD26" s="1492"/>
      <c r="BE26" s="1515">
        <f ca="1">OFFSET('VVP2'!$G139,0,(COLUMN()-6)/5)</f>
        <v>9.0641608788783419</v>
      </c>
      <c r="BF26" s="1491"/>
      <c r="BG26" s="1491"/>
      <c r="BH26" s="1491"/>
      <c r="BI26" s="1492"/>
      <c r="BJ26" s="1515">
        <f ca="1">OFFSET('VVP2'!$G139,0,(COLUMN()-6)/5)</f>
        <v>9.3068178316907648</v>
      </c>
      <c r="BK26" s="1491"/>
      <c r="BL26" s="1491"/>
      <c r="BM26" s="1491"/>
      <c r="BN26" s="1492"/>
      <c r="BO26" s="1515">
        <f ca="1">OFFSET('VVP2'!$G139,0,(COLUMN()-6)/5)</f>
        <v>16.442473084183558</v>
      </c>
      <c r="BP26" s="1491"/>
      <c r="BQ26" s="1491"/>
      <c r="BR26" s="1491"/>
      <c r="BS26" s="1492"/>
      <c r="BT26" s="1515">
        <f ca="1">OFFSET('VVP2'!$G139,0,(COLUMN()-6)/5)</f>
        <v>3.5631122902308099</v>
      </c>
      <c r="BU26" s="1491"/>
      <c r="BV26" s="1491"/>
      <c r="BW26" s="1491"/>
      <c r="BX26" s="1492"/>
      <c r="BY26" s="1515">
        <f ca="1">OFFSET('VVP2'!$G139,0,(COLUMN()-6)/5)</f>
        <v>-26.743581938977144</v>
      </c>
      <c r="BZ26" s="1491"/>
      <c r="CA26" s="1491"/>
      <c r="CB26" s="1491"/>
      <c r="CC26" s="1492"/>
      <c r="CD26" s="1515">
        <f ca="1">OFFSET('VVP2'!$G139,0,(COLUMN()-6)/5)</f>
        <v>1.8128514301158054</v>
      </c>
      <c r="CE26" s="1491"/>
      <c r="CF26" s="1491"/>
      <c r="CG26" s="1491"/>
      <c r="CH26" s="1492"/>
      <c r="CI26" s="1515">
        <f ca="1">OFFSET('VVP2'!$G139,0,(COLUMN()-6)/5)</f>
        <v>6.065115675015333</v>
      </c>
      <c r="CJ26" s="1491"/>
      <c r="CK26" s="1491"/>
      <c r="CL26" s="1491"/>
      <c r="CM26" s="1492"/>
      <c r="CN26" s="1515">
        <f ca="1">OFFSET('VVP2'!$G139,0,(COLUMN()-6)/5)</f>
        <v>-0.31101450313552992</v>
      </c>
      <c r="CO26" s="1491"/>
      <c r="CP26" s="1491"/>
      <c r="CQ26" s="1491"/>
      <c r="CR26" s="1492"/>
      <c r="CS26" s="1515">
        <f ca="1">OFFSET('VVP2'!$G139,0,(COLUMN()-6)/5)</f>
        <v>2.8104213891178689</v>
      </c>
      <c r="CT26" s="1491"/>
      <c r="CU26" s="1491"/>
      <c r="CV26" s="1491"/>
      <c r="CW26" s="1492"/>
      <c r="CX26" s="1515">
        <f ca="1">OFFSET('VVP2'!$G139,0,(COLUMN()-6)/5)</f>
        <v>3.3540106456365328</v>
      </c>
      <c r="CY26" s="1491"/>
      <c r="CZ26" s="1491"/>
      <c r="DA26" s="1491"/>
      <c r="DB26" s="1492"/>
      <c r="DC26" s="1515">
        <f ca="1">OFFSET('VVP2'!$G139,0,(COLUMN()-6)/5)</f>
        <v>7.2287486164176418</v>
      </c>
      <c r="DD26" s="1491"/>
      <c r="DE26" s="1491"/>
      <c r="DF26" s="1491"/>
      <c r="DG26" s="1492"/>
      <c r="DH26" s="1515">
        <f ca="1">OFFSET('VVP2'!$G139,0,(COLUMN()-6)/5)</f>
        <v>2.4172794105201034</v>
      </c>
      <c r="DI26" s="1491"/>
      <c r="DJ26" s="1491"/>
      <c r="DK26" s="1491"/>
      <c r="DL26" s="1492"/>
      <c r="DM26" s="1515">
        <f ca="1">OFFSET('VVP2'!$G139,0,(COLUMN()-6)/5)</f>
        <v>4.0822979623685622</v>
      </c>
      <c r="DN26" s="1491"/>
      <c r="DO26" s="1491"/>
      <c r="DP26" s="1491"/>
      <c r="DQ26" s="1492"/>
      <c r="DR26" s="1515">
        <f ca="1">OFFSET('VVP2'!$G139,0,(COLUMN()-6)/5)</f>
        <v>3.7907342437404736</v>
      </c>
      <c r="DS26" s="1491"/>
      <c r="DT26" s="1491"/>
      <c r="DU26" s="1491"/>
      <c r="DV26" s="1492"/>
      <c r="DW26" s="1515">
        <f ca="1">OFFSET('VVP2'!$G139,0,(COLUMN()-6)/5)</f>
        <v>3.1891093023089798</v>
      </c>
      <c r="DX26" s="1491"/>
      <c r="DY26" s="1491"/>
      <c r="DZ26" s="1491"/>
      <c r="EA26" s="1492"/>
    </row>
    <row r="27" spans="1:145">
      <c r="C27" s="1480" t="s">
        <v>1767</v>
      </c>
      <c r="D27" s="113"/>
      <c r="E27" s="113" t="s">
        <v>1358</v>
      </c>
      <c r="F27" s="1482" t="s">
        <v>1590</v>
      </c>
      <c r="G27" s="1521"/>
      <c r="H27" s="1489"/>
      <c r="I27" s="1489"/>
      <c r="J27" s="1489"/>
      <c r="K27" s="1490"/>
      <c r="L27" s="1516">
        <f ca="1">OFFSET('VVP2'!$G140,0,(COLUMN()-6)/5)</f>
        <v>7.0740050122288913</v>
      </c>
      <c r="M27" s="1489"/>
      <c r="N27" s="1489"/>
      <c r="O27" s="1489"/>
      <c r="P27" s="1490"/>
      <c r="Q27" s="1516">
        <f ca="1">OFFSET('VVP2'!$G140,0,(COLUMN()-6)/5)</f>
        <v>7.9008800445720686</v>
      </c>
      <c r="R27" s="1489"/>
      <c r="S27" s="1489"/>
      <c r="T27" s="1489"/>
      <c r="U27" s="1490"/>
      <c r="V27" s="1516">
        <f ca="1">OFFSET('VVP2'!$G140,0,(COLUMN()-6)/5)</f>
        <v>2.0950956730633008</v>
      </c>
      <c r="W27" s="1489"/>
      <c r="X27" s="1489"/>
      <c r="Y27" s="1489"/>
      <c r="Z27" s="1490"/>
      <c r="AA27" s="1516">
        <f ca="1">OFFSET('VVP2'!$G140,0,(COLUMN()-6)/5)</f>
        <v>-6.405529332212347</v>
      </c>
      <c r="AB27" s="1489"/>
      <c r="AC27" s="1489"/>
      <c r="AD27" s="1489"/>
      <c r="AE27" s="1490"/>
      <c r="AF27" s="1516">
        <f ca="1">OFFSET('VVP2'!$G140,0,(COLUMN()-6)/5)</f>
        <v>3.0979085524568646</v>
      </c>
      <c r="AG27" s="1489"/>
      <c r="AH27" s="1489"/>
      <c r="AI27" s="1489"/>
      <c r="AJ27" s="1490"/>
      <c r="AK27" s="1516">
        <f ca="1">OFFSET('VVP2'!$G140,0,(COLUMN()-6)/5)</f>
        <v>8.1751961752125588</v>
      </c>
      <c r="AL27" s="1489"/>
      <c r="AM27" s="1489"/>
      <c r="AN27" s="1489"/>
      <c r="AO27" s="1490"/>
      <c r="AP27" s="1516">
        <f ca="1">OFFSET('VVP2'!$G140,0,(COLUMN()-6)/5)</f>
        <v>8.1967936344199241</v>
      </c>
      <c r="AQ27" s="1489"/>
      <c r="AR27" s="1489"/>
      <c r="AS27" s="1489"/>
      <c r="AT27" s="1490"/>
      <c r="AU27" s="1516">
        <f ca="1">OFFSET('VVP2'!$G140,0,(COLUMN()-6)/5)</f>
        <v>3.9891433187894481</v>
      </c>
      <c r="AV27" s="1489"/>
      <c r="AW27" s="1489"/>
      <c r="AX27" s="1489"/>
      <c r="AY27" s="1490"/>
      <c r="AZ27" s="1516">
        <f ca="1">OFFSET('VVP2'!$G140,0,(COLUMN()-6)/5)</f>
        <v>1.8440397055448778</v>
      </c>
      <c r="BA27" s="1489"/>
      <c r="BB27" s="1489"/>
      <c r="BC27" s="1489"/>
      <c r="BD27" s="1490"/>
      <c r="BE27" s="1516">
        <f ca="1">OFFSET('VVP2'!$G140,0,(COLUMN()-6)/5)</f>
        <v>9.7251625266620305</v>
      </c>
      <c r="BF27" s="1489"/>
      <c r="BG27" s="1489"/>
      <c r="BH27" s="1489"/>
      <c r="BI27" s="1490"/>
      <c r="BJ27" s="1516">
        <f ca="1">OFFSET('VVP2'!$G140,0,(COLUMN()-6)/5)</f>
        <v>6.8080939203460993</v>
      </c>
      <c r="BK27" s="1489"/>
      <c r="BL27" s="1489"/>
      <c r="BM27" s="1489"/>
      <c r="BN27" s="1490"/>
      <c r="BO27" s="1516">
        <f ca="1">OFFSET('VVP2'!$G140,0,(COLUMN()-6)/5)</f>
        <v>1.7657561732833282</v>
      </c>
      <c r="BP27" s="1489"/>
      <c r="BQ27" s="1489"/>
      <c r="BR27" s="1489"/>
      <c r="BS27" s="1490"/>
      <c r="BT27" s="1516">
        <f ca="1">OFFSET('VVP2'!$G140,0,(COLUMN()-6)/5)</f>
        <v>6.8019729796976094</v>
      </c>
      <c r="BU27" s="1489"/>
      <c r="BV27" s="1489"/>
      <c r="BW27" s="1489"/>
      <c r="BX27" s="1490"/>
      <c r="BY27" s="1516">
        <f ca="1">OFFSET('VVP2'!$G140,0,(COLUMN()-6)/5)</f>
        <v>-7.3072945840545671</v>
      </c>
      <c r="BZ27" s="1489"/>
      <c r="CA27" s="1489"/>
      <c r="CB27" s="1489"/>
      <c r="CC27" s="1490"/>
      <c r="CD27" s="1516">
        <f ca="1">OFFSET('VVP2'!$G140,0,(COLUMN()-6)/5)</f>
        <v>9.8384424148154626</v>
      </c>
      <c r="CE27" s="1489"/>
      <c r="CF27" s="1489"/>
      <c r="CG27" s="1489"/>
      <c r="CH27" s="1490"/>
      <c r="CI27" s="1516">
        <f ca="1">OFFSET('VVP2'!$G140,0,(COLUMN()-6)/5)</f>
        <v>10.065556667948734</v>
      </c>
      <c r="CJ27" s="1489"/>
      <c r="CK27" s="1489"/>
      <c r="CL27" s="1489"/>
      <c r="CM27" s="1490"/>
      <c r="CN27" s="1516">
        <f ca="1">OFFSET('VVP2'!$G140,0,(COLUMN()-6)/5)</f>
        <v>9.2908686390268578</v>
      </c>
      <c r="CO27" s="1489"/>
      <c r="CP27" s="1489"/>
      <c r="CQ27" s="1489"/>
      <c r="CR27" s="1490"/>
      <c r="CS27" s="1516">
        <f ca="1">OFFSET('VVP2'!$G140,0,(COLUMN()-6)/5)</f>
        <v>8.0478667976111193</v>
      </c>
      <c r="CT27" s="1489"/>
      <c r="CU27" s="1489"/>
      <c r="CV27" s="1489"/>
      <c r="CW27" s="1490"/>
      <c r="CX27" s="1516">
        <f ca="1">OFFSET('VVP2'!$G140,0,(COLUMN()-6)/5)</f>
        <v>2.7477761417920439</v>
      </c>
      <c r="CY27" s="1489"/>
      <c r="CZ27" s="1489"/>
      <c r="DA27" s="1489"/>
      <c r="DB27" s="1490"/>
      <c r="DC27" s="1516">
        <f ca="1">OFFSET('VVP2'!$G140,0,(COLUMN()-6)/5)</f>
        <v>-0.2940053464686429</v>
      </c>
      <c r="DD27" s="1489"/>
      <c r="DE27" s="1489"/>
      <c r="DF27" s="1489"/>
      <c r="DG27" s="1490"/>
      <c r="DH27" s="1516">
        <f ca="1">OFFSET('VVP2'!$G140,0,(COLUMN()-6)/5)</f>
        <v>2.6198777283123023</v>
      </c>
      <c r="DI27" s="1489"/>
      <c r="DJ27" s="1489"/>
      <c r="DK27" s="1489"/>
      <c r="DL27" s="1490"/>
      <c r="DM27" s="1516">
        <f ca="1">OFFSET('VVP2'!$G140,0,(COLUMN()-6)/5)</f>
        <v>9.8562401283246217</v>
      </c>
      <c r="DN27" s="1489"/>
      <c r="DO27" s="1489"/>
      <c r="DP27" s="1489"/>
      <c r="DQ27" s="1490"/>
      <c r="DR27" s="1516">
        <f ca="1">OFFSET('VVP2'!$G140,0,(COLUMN()-6)/5)</f>
        <v>4.4934914995070203</v>
      </c>
      <c r="DS27" s="1489"/>
      <c r="DT27" s="1489"/>
      <c r="DU27" s="1489"/>
      <c r="DV27" s="1490"/>
      <c r="DW27" s="1516">
        <f ca="1">OFFSET('VVP2'!$G140,0,(COLUMN()-6)/5)</f>
        <v>3.6782595394688311</v>
      </c>
      <c r="DX27" s="1489"/>
      <c r="DY27" s="1489"/>
      <c r="DZ27" s="1489"/>
      <c r="EA27" s="1490"/>
    </row>
    <row r="28" spans="1:145">
      <c r="C28" s="1480" t="s">
        <v>1769</v>
      </c>
      <c r="D28" s="50"/>
      <c r="E28" s="50" t="s">
        <v>1359</v>
      </c>
      <c r="F28" s="1483"/>
      <c r="G28" s="1491"/>
      <c r="H28" s="1491"/>
      <c r="I28" s="1491"/>
      <c r="J28" s="1491"/>
      <c r="K28" s="1492"/>
      <c r="L28" s="1515">
        <f ca="1">OFFSET('VVP2'!$G141,0,(COLUMN()-6)/5)</f>
        <v>17.477208497495941</v>
      </c>
      <c r="M28" s="1491"/>
      <c r="N28" s="1491"/>
      <c r="O28" s="1491"/>
      <c r="P28" s="1492"/>
      <c r="Q28" s="1515">
        <f ca="1">OFFSET('VVP2'!$G141,0,(COLUMN()-6)/5)</f>
        <v>21.777785652617911</v>
      </c>
      <c r="R28" s="1491"/>
      <c r="S28" s="1491"/>
      <c r="T28" s="1491"/>
      <c r="U28" s="1492"/>
      <c r="V28" s="1515">
        <f ca="1">OFFSET('VVP2'!$G141,0,(COLUMN()-6)/5)</f>
        <v>10.941710459028352</v>
      </c>
      <c r="W28" s="1491"/>
      <c r="X28" s="1491"/>
      <c r="Y28" s="1491"/>
      <c r="Z28" s="1492"/>
      <c r="AA28" s="1515">
        <f ca="1">OFFSET('VVP2'!$G141,0,(COLUMN()-6)/5)</f>
        <v>-7.6946978712011314</v>
      </c>
      <c r="AB28" s="1491"/>
      <c r="AC28" s="1491"/>
      <c r="AD28" s="1491"/>
      <c r="AE28" s="1492"/>
      <c r="AF28" s="1515">
        <f ca="1">OFFSET('VVP2'!$G141,0,(COLUMN()-6)/5)</f>
        <v>5.7888440330256721</v>
      </c>
      <c r="AG28" s="1491"/>
      <c r="AH28" s="1491"/>
      <c r="AI28" s="1491"/>
      <c r="AJ28" s="1492"/>
      <c r="AK28" s="1515">
        <f ca="1">OFFSET('VVP2'!$G141,0,(COLUMN()-6)/5)</f>
        <v>14.999356900584745</v>
      </c>
      <c r="AL28" s="1491"/>
      <c r="AM28" s="1491"/>
      <c r="AN28" s="1491"/>
      <c r="AO28" s="1492"/>
      <c r="AP28" s="1515">
        <f ca="1">OFFSET('VVP2'!$G141,0,(COLUMN()-6)/5)</f>
        <v>16.461301587893256</v>
      </c>
      <c r="AQ28" s="1491"/>
      <c r="AR28" s="1491"/>
      <c r="AS28" s="1491"/>
      <c r="AT28" s="1492"/>
      <c r="AU28" s="1515">
        <f ca="1">OFFSET('VVP2'!$G141,0,(COLUMN()-6)/5)</f>
        <v>14.924930269515208</v>
      </c>
      <c r="AV28" s="1491"/>
      <c r="AW28" s="1491"/>
      <c r="AX28" s="1491"/>
      <c r="AY28" s="1492"/>
      <c r="AZ28" s="1515">
        <f ca="1">OFFSET('VVP2'!$G141,0,(COLUMN()-6)/5)</f>
        <v>15.551951464698474</v>
      </c>
      <c r="BA28" s="1491"/>
      <c r="BB28" s="1491"/>
      <c r="BC28" s="1491"/>
      <c r="BD28" s="1492"/>
      <c r="BE28" s="1515">
        <f ca="1">OFFSET('VVP2'!$G141,0,(COLUMN()-6)/5)</f>
        <v>18.789323417725132</v>
      </c>
      <c r="BF28" s="1491"/>
      <c r="BG28" s="1491"/>
      <c r="BH28" s="1491"/>
      <c r="BI28" s="1492"/>
      <c r="BJ28" s="1515">
        <f ca="1">OFFSET('VVP2'!$G141,0,(COLUMN()-6)/5)</f>
        <v>16.114911129840358</v>
      </c>
      <c r="BK28" s="1491"/>
      <c r="BL28" s="1491"/>
      <c r="BM28" s="1491"/>
      <c r="BN28" s="1492"/>
      <c r="BO28" s="1515">
        <f ca="1">OFFSET('VVP2'!$G141,0,(COLUMN()-6)/5)</f>
        <v>18.208229251900768</v>
      </c>
      <c r="BP28" s="1491"/>
      <c r="BQ28" s="1491"/>
      <c r="BR28" s="1491"/>
      <c r="BS28" s="1492"/>
      <c r="BT28" s="1515">
        <f ca="1">OFFSET('VVP2'!$G141,0,(COLUMN()-6)/5)</f>
        <v>10.365084175401474</v>
      </c>
      <c r="BU28" s="1491"/>
      <c r="BV28" s="1491"/>
      <c r="BW28" s="1491"/>
      <c r="BX28" s="1492"/>
      <c r="BY28" s="1515">
        <f ca="1">OFFSET('VVP2'!$G141,0,(COLUMN()-6)/5)</f>
        <v>-34.050877688007922</v>
      </c>
      <c r="BZ28" s="1491"/>
      <c r="CA28" s="1491"/>
      <c r="CB28" s="1491"/>
      <c r="CC28" s="1492"/>
      <c r="CD28" s="1515">
        <f ca="1">OFFSET('VVP2'!$G141,0,(COLUMN()-6)/5)</f>
        <v>11.651293864411235</v>
      </c>
      <c r="CE28" s="1491"/>
      <c r="CF28" s="1491"/>
      <c r="CG28" s="1491"/>
      <c r="CH28" s="1492"/>
      <c r="CI28" s="1515">
        <f ca="1">OFFSET('VVP2'!$G141,0,(COLUMN()-6)/5)</f>
        <v>16.130672342964093</v>
      </c>
      <c r="CJ28" s="1491"/>
      <c r="CK28" s="1491"/>
      <c r="CL28" s="1491"/>
      <c r="CM28" s="1492"/>
      <c r="CN28" s="1515">
        <f ca="1">OFFSET('VVP2'!$G141,0,(COLUMN()-6)/5)</f>
        <v>8.9798558738639969</v>
      </c>
      <c r="CO28" s="1491"/>
      <c r="CP28" s="1491"/>
      <c r="CQ28" s="1491"/>
      <c r="CR28" s="1492"/>
      <c r="CS28" s="1515">
        <f ca="1">OFFSET('VVP2'!$G141,0,(COLUMN()-6)/5)</f>
        <v>10.858287204672132</v>
      </c>
      <c r="CT28" s="1491"/>
      <c r="CU28" s="1491"/>
      <c r="CV28" s="1491"/>
      <c r="CW28" s="1492"/>
      <c r="CX28" s="1515">
        <f ca="1">OFFSET('VVP2'!$G141,0,(COLUMN()-6)/5)</f>
        <v>6.1017867831977357</v>
      </c>
      <c r="CY28" s="1491"/>
      <c r="CZ28" s="1491"/>
      <c r="DA28" s="1491"/>
      <c r="DB28" s="1492"/>
      <c r="DC28" s="1515">
        <f ca="1">OFFSET('VVP2'!$G141,0,(COLUMN()-6)/5)</f>
        <v>6.9347432640511002</v>
      </c>
      <c r="DD28" s="1491"/>
      <c r="DE28" s="1491"/>
      <c r="DF28" s="1491"/>
      <c r="DG28" s="1492"/>
      <c r="DH28" s="1515">
        <f ca="1">OFFSET('VVP2'!$G141,0,(COLUMN()-6)/5)</f>
        <v>5.0371571493366138</v>
      </c>
      <c r="DI28" s="1491"/>
      <c r="DJ28" s="1491"/>
      <c r="DK28" s="1491"/>
      <c r="DL28" s="1492"/>
      <c r="DM28" s="1515">
        <f ca="1">OFFSET('VVP2'!$G141,0,(COLUMN()-6)/5)</f>
        <v>13.938538090693168</v>
      </c>
      <c r="DN28" s="1491"/>
      <c r="DO28" s="1491"/>
      <c r="DP28" s="1491"/>
      <c r="DQ28" s="1492"/>
      <c r="DR28" s="1515">
        <f ca="1">OFFSET('VVP2'!$G141,0,(COLUMN()-6)/5)</f>
        <v>8.2842257432474931</v>
      </c>
      <c r="DS28" s="1491"/>
      <c r="DT28" s="1491"/>
      <c r="DU28" s="1491"/>
      <c r="DV28" s="1492"/>
      <c r="DW28" s="1515">
        <f ca="1">OFFSET('VVP2'!$G141,0,(COLUMN()-6)/5)</f>
        <v>6.8673688417778429</v>
      </c>
      <c r="DX28" s="1491"/>
      <c r="DY28" s="1491"/>
      <c r="DZ28" s="1491"/>
      <c r="EA28" s="1492"/>
    </row>
    <row r="29" spans="1:145">
      <c r="C29" s="1484" t="s">
        <v>401</v>
      </c>
      <c r="D29" s="113"/>
      <c r="E29" s="113" t="s">
        <v>1455</v>
      </c>
      <c r="F29" s="1482" t="s">
        <v>1591</v>
      </c>
      <c r="G29" s="1521"/>
      <c r="H29" s="1489"/>
      <c r="I29" s="1489"/>
      <c r="J29" s="1489"/>
      <c r="K29" s="1490"/>
      <c r="L29" s="1516">
        <f ca="1">OFFSET('VVP2'!$G142,0,(COLUMN()-6)/5)</f>
        <v>-11.067001332272703</v>
      </c>
      <c r="M29" s="1489"/>
      <c r="N29" s="1489"/>
      <c r="O29" s="1489"/>
      <c r="P29" s="1490"/>
      <c r="Q29" s="1516">
        <f ca="1">OFFSET('VVP2'!$G142,0,(COLUMN()-6)/5)</f>
        <v>-12.791211683850175</v>
      </c>
      <c r="R29" s="1489"/>
      <c r="S29" s="1489"/>
      <c r="T29" s="1489"/>
      <c r="U29" s="1490"/>
      <c r="V29" s="1516">
        <f ca="1">OFFSET('VVP2'!$G142,0,(COLUMN()-6)/5)</f>
        <v>-3.379725538056638</v>
      </c>
      <c r="W29" s="1489"/>
      <c r="X29" s="1489"/>
      <c r="Y29" s="1489"/>
      <c r="Z29" s="1490"/>
      <c r="AA29" s="1516">
        <f ca="1">OFFSET('VVP2'!$G142,0,(COLUMN()-6)/5)</f>
        <v>6.2407298821180817</v>
      </c>
      <c r="AB29" s="1489"/>
      <c r="AC29" s="1489"/>
      <c r="AD29" s="1489"/>
      <c r="AE29" s="1490"/>
      <c r="AF29" s="1516">
        <f ca="1">OFFSET('VVP2'!$G142,0,(COLUMN()-6)/5)</f>
        <v>-2.1097718439312851</v>
      </c>
      <c r="AG29" s="1489"/>
      <c r="AH29" s="1489"/>
      <c r="AI29" s="1489"/>
      <c r="AJ29" s="1490"/>
      <c r="AK29" s="1516">
        <f ca="1">OFFSET('VVP2'!$G142,0,(COLUMN()-6)/5)</f>
        <v>-7.8616289377094333</v>
      </c>
      <c r="AL29" s="1489"/>
      <c r="AM29" s="1489"/>
      <c r="AN29" s="1489"/>
      <c r="AO29" s="1490"/>
      <c r="AP29" s="1516">
        <f ca="1">OFFSET('VVP2'!$G142,0,(COLUMN()-6)/5)</f>
        <v>-9.1996527852676824</v>
      </c>
      <c r="AQ29" s="1489"/>
      <c r="AR29" s="1489"/>
      <c r="AS29" s="1489"/>
      <c r="AT29" s="1490"/>
      <c r="AU29" s="1516">
        <f ca="1">OFFSET('VVP2'!$G142,0,(COLUMN()-6)/5)</f>
        <v>-4.6954081980754587</v>
      </c>
      <c r="AV29" s="1489"/>
      <c r="AW29" s="1489"/>
      <c r="AX29" s="1489"/>
      <c r="AY29" s="1490"/>
      <c r="AZ29" s="1516">
        <f ca="1">OFFSET('VVP2'!$G142,0,(COLUMN()-6)/5)</f>
        <v>-7.8663293706581898</v>
      </c>
      <c r="BA29" s="1489"/>
      <c r="BB29" s="1489"/>
      <c r="BC29" s="1489"/>
      <c r="BD29" s="1490"/>
      <c r="BE29" s="1516">
        <f ca="1">OFFSET('VVP2'!$G142,0,(COLUMN()-6)/5)</f>
        <v>-11.06187986413957</v>
      </c>
      <c r="BF29" s="1489"/>
      <c r="BG29" s="1489"/>
      <c r="BH29" s="1489"/>
      <c r="BI29" s="1490"/>
      <c r="BJ29" s="1516">
        <f ca="1">OFFSET('VVP2'!$G142,0,(COLUMN()-6)/5)</f>
        <v>-8.7084365325391371</v>
      </c>
      <c r="BK29" s="1489"/>
      <c r="BL29" s="1489"/>
      <c r="BM29" s="1489"/>
      <c r="BN29" s="1490"/>
      <c r="BO29" s="1516">
        <f ca="1">OFFSET('VVP2'!$G142,0,(COLUMN()-6)/5)</f>
        <v>-7.1213169888064769</v>
      </c>
      <c r="BP29" s="1489"/>
      <c r="BQ29" s="1489"/>
      <c r="BR29" s="1489"/>
      <c r="BS29" s="1490"/>
      <c r="BT29" s="1516">
        <f ca="1">OFFSET('VVP2'!$G142,0,(COLUMN()-6)/5)</f>
        <v>-7.7370220385667992</v>
      </c>
      <c r="BU29" s="1489"/>
      <c r="BV29" s="1489"/>
      <c r="BW29" s="1489"/>
      <c r="BX29" s="1490"/>
      <c r="BY29" s="1516">
        <f ca="1">OFFSET('VVP2'!$G142,0,(COLUMN()-6)/5)</f>
        <v>19.236736322855055</v>
      </c>
      <c r="BZ29" s="1489"/>
      <c r="CA29" s="1489"/>
      <c r="CB29" s="1489"/>
      <c r="CC29" s="1490"/>
      <c r="CD29" s="1516">
        <f ca="1">OFFSET('VVP2'!$G142,0,(COLUMN()-6)/5)</f>
        <v>-10.011474823941189</v>
      </c>
      <c r="CE29" s="1489"/>
      <c r="CF29" s="1489"/>
      <c r="CG29" s="1489"/>
      <c r="CH29" s="1490"/>
      <c r="CI29" s="1516">
        <f ca="1">OFFSET('VVP2'!$G142,0,(COLUMN()-6)/5)</f>
        <v>-10.087534956539365</v>
      </c>
      <c r="CJ29" s="1489"/>
      <c r="CK29" s="1489"/>
      <c r="CL29" s="1489"/>
      <c r="CM29" s="1490"/>
      <c r="CN29" s="1516">
        <f ca="1">OFFSET('VVP2'!$G142,0,(COLUMN()-6)/5)</f>
        <v>-5.1528922857921584</v>
      </c>
      <c r="CO29" s="1489"/>
      <c r="CP29" s="1489"/>
      <c r="CQ29" s="1489"/>
      <c r="CR29" s="1490"/>
      <c r="CS29" s="1516">
        <f ca="1">OFFSET('VVP2'!$G142,0,(COLUMN()-6)/5)</f>
        <v>-7.3597256129462965</v>
      </c>
      <c r="CT29" s="1489"/>
      <c r="CU29" s="1489"/>
      <c r="CV29" s="1489"/>
      <c r="CW29" s="1490"/>
      <c r="CX29" s="1516">
        <f ca="1">OFFSET('VVP2'!$G142,0,(COLUMN()-6)/5)</f>
        <v>-2.5642036582673589</v>
      </c>
      <c r="CY29" s="1489"/>
      <c r="CZ29" s="1489"/>
      <c r="DA29" s="1489"/>
      <c r="DB29" s="1490"/>
      <c r="DC29" s="1516">
        <f ca="1">OFFSET('VVP2'!$G142,0,(COLUMN()-6)/5)</f>
        <v>-4.9001011308314242</v>
      </c>
      <c r="DD29" s="1489"/>
      <c r="DE29" s="1489"/>
      <c r="DF29" s="1489"/>
      <c r="DG29" s="1490"/>
      <c r="DH29" s="1516">
        <f ca="1">OFFSET('VVP2'!$G142,0,(COLUMN()-6)/5)</f>
        <v>-2.6922874957221463</v>
      </c>
      <c r="DI29" s="1489"/>
      <c r="DJ29" s="1489"/>
      <c r="DK29" s="1489"/>
      <c r="DL29" s="1490"/>
      <c r="DM29" s="1516">
        <f ca="1">OFFSET('VVP2'!$G142,0,(COLUMN()-6)/5)</f>
        <v>-9.3733270570314602</v>
      </c>
      <c r="DN29" s="1489"/>
      <c r="DO29" s="1489"/>
      <c r="DP29" s="1489"/>
      <c r="DQ29" s="1490"/>
      <c r="DR29" s="1516">
        <f ca="1">OFFSET('VVP2'!$G142,0,(COLUMN()-6)/5)</f>
        <v>-5.1636384008310534</v>
      </c>
      <c r="DS29" s="1489"/>
      <c r="DT29" s="1489"/>
      <c r="DU29" s="1489"/>
      <c r="DV29" s="1490"/>
      <c r="DW29" s="1516">
        <f ca="1">OFFSET('VVP2'!$G142,0,(COLUMN()-6)/5)</f>
        <v>-4.224705296100157</v>
      </c>
      <c r="DX29" s="1489"/>
      <c r="DY29" s="1489"/>
      <c r="DZ29" s="1489"/>
      <c r="EA29" s="1490"/>
    </row>
    <row r="30" spans="1:145">
      <c r="D30" s="45"/>
      <c r="E30" s="45" t="s">
        <v>1166</v>
      </c>
      <c r="F30" s="1476" t="s">
        <v>281</v>
      </c>
      <c r="G30" s="45"/>
      <c r="H30" s="45"/>
      <c r="I30" s="45"/>
      <c r="J30" s="45"/>
      <c r="K30" s="45"/>
      <c r="L30" s="1517">
        <f ca="1">OFFSET('VVP2'!$G144,0,(COLUMN()-6)/5)</f>
        <v>5.2391782869028507</v>
      </c>
      <c r="M30" s="45"/>
      <c r="N30" s="45"/>
      <c r="O30" s="45"/>
      <c r="P30" s="45"/>
      <c r="Q30" s="1517">
        <f ca="1">OFFSET('VVP2'!$G144,0,(COLUMN()-6)/5)</f>
        <v>8.1402408090708889</v>
      </c>
      <c r="R30" s="45"/>
      <c r="S30" s="45"/>
      <c r="T30" s="45"/>
      <c r="U30" s="45"/>
      <c r="V30" s="1517">
        <f ca="1">OFFSET('VVP2'!$G144,0,(COLUMN()-6)/5)</f>
        <v>7.6233287300721679</v>
      </c>
      <c r="W30" s="45"/>
      <c r="X30" s="45"/>
      <c r="Y30" s="45"/>
      <c r="Z30" s="45"/>
      <c r="AA30" s="1517">
        <f ca="1">OFFSET('VVP2'!$G144,0,(COLUMN()-6)/5)</f>
        <v>-1.0214983734837328</v>
      </c>
      <c r="AB30" s="45"/>
      <c r="AC30" s="45"/>
      <c r="AD30" s="45"/>
      <c r="AE30" s="45"/>
      <c r="AF30" s="1517">
        <f ca="1">OFFSET('VVP2'!$G144,0,(COLUMN()-6)/5)</f>
        <v>3.6213874204480918</v>
      </c>
      <c r="AG30" s="45"/>
      <c r="AH30" s="45"/>
      <c r="AI30" s="45"/>
      <c r="AJ30" s="45"/>
      <c r="AK30" s="1517">
        <f ca="1">OFFSET('VVP2'!$G144,0,(COLUMN()-6)/5)</f>
        <v>6.6996058629840318</v>
      </c>
      <c r="AL30" s="45"/>
      <c r="AM30" s="45"/>
      <c r="AN30" s="45"/>
      <c r="AO30" s="45"/>
      <c r="AP30" s="1517">
        <f ca="1">OFFSET('VVP2'!$G144,0,(COLUMN()-6)/5)</f>
        <v>6.837997500491527</v>
      </c>
      <c r="AQ30" s="45"/>
      <c r="AR30" s="45"/>
      <c r="AS30" s="45"/>
      <c r="AT30" s="45"/>
      <c r="AU30" s="1517">
        <f ca="1">OFFSET('VVP2'!$G144,0,(COLUMN()-6)/5)</f>
        <v>10.275887367570672</v>
      </c>
      <c r="AV30" s="45"/>
      <c r="AW30" s="45"/>
      <c r="AX30" s="45"/>
      <c r="AY30" s="45"/>
      <c r="AZ30" s="1517">
        <f ca="1">OFFSET('VVP2'!$G144,0,(COLUMN()-6)/5)</f>
        <v>7.4482608885224471</v>
      </c>
      <c r="BA30" s="45"/>
      <c r="BB30" s="45"/>
      <c r="BC30" s="45"/>
      <c r="BD30" s="45"/>
      <c r="BE30" s="1517">
        <f ca="1">OFFSET('VVP2'!$G144,0,(COLUMN()-6)/5)</f>
        <v>7.7273873836427835</v>
      </c>
      <c r="BF30" s="45"/>
      <c r="BG30" s="45"/>
      <c r="BH30" s="45"/>
      <c r="BI30" s="45"/>
      <c r="BJ30" s="1517">
        <f ca="1">OFFSET('VVP2'!$G144,0,(COLUMN()-6)/5)</f>
        <v>7.4064505195753858</v>
      </c>
      <c r="BK30" s="45"/>
      <c r="BL30" s="45"/>
      <c r="BM30" s="45"/>
      <c r="BN30" s="45"/>
      <c r="BO30" s="1517">
        <f ca="1">OFFSET('VVP2'!$G144,0,(COLUMN()-6)/5)</f>
        <v>11.0869627998611</v>
      </c>
      <c r="BP30" s="45"/>
      <c r="BQ30" s="45"/>
      <c r="BR30" s="45"/>
      <c r="BS30" s="45"/>
      <c r="BT30" s="1517">
        <f ca="1">OFFSET('VVP2'!$G144,0,(COLUMN()-6)/5)</f>
        <v>2.6280823574654724</v>
      </c>
      <c r="BU30" s="45"/>
      <c r="BV30" s="45"/>
      <c r="BW30" s="45"/>
      <c r="BX30" s="45"/>
      <c r="BY30" s="1517">
        <f ca="1">OFFSET('VVP2'!$G144,0,(COLUMN()-6)/5)</f>
        <v>-14.814172950076221</v>
      </c>
      <c r="BZ30" s="45"/>
      <c r="CA30" s="45"/>
      <c r="CB30" s="45"/>
      <c r="CC30" s="45"/>
      <c r="CD30" s="1517">
        <f ca="1">OFFSET('VVP2'!$G144,0,(COLUMN()-6)/5)</f>
        <v>1.639826991162779</v>
      </c>
      <c r="CE30" s="45"/>
      <c r="CF30" s="45"/>
      <c r="CG30" s="45"/>
      <c r="CH30" s="45"/>
      <c r="CI30" s="1517">
        <f ca="1">OFFSET('VVP2'!$G144,0,(COLUMN()-6)/5)</f>
        <v>6.0431373864246751</v>
      </c>
      <c r="CJ30" s="45"/>
      <c r="CK30" s="45"/>
      <c r="CL30" s="45"/>
      <c r="CM30" s="45"/>
      <c r="CN30" s="1517">
        <f ca="1">OFFSET('VVP2'!$G144,0,(COLUMN()-6)/5)</f>
        <v>3.8269382239940808</v>
      </c>
      <c r="CO30" s="45"/>
      <c r="CP30" s="45"/>
      <c r="CQ30" s="45"/>
      <c r="CR30" s="45"/>
      <c r="CS30" s="1517">
        <f ca="1">OFFSET('VVP2'!$G144,0,(COLUMN()-6)/5)</f>
        <v>3.4985772305690102</v>
      </c>
      <c r="CT30" s="45"/>
      <c r="CU30" s="45"/>
      <c r="CV30" s="45"/>
      <c r="CW30" s="45"/>
      <c r="CX30" s="1517">
        <f ca="1">OFFSET('VVP2'!$G144,0,(COLUMN()-6)/5)</f>
        <v>3.5375855747539444</v>
      </c>
      <c r="CY30" s="45"/>
      <c r="CZ30" s="45"/>
      <c r="DA30" s="45"/>
      <c r="DB30" s="45"/>
      <c r="DC30" s="1517">
        <f ca="1">OFFSET('VVP2'!$G144,0,(COLUMN()-6)/5)</f>
        <v>2.0346676424249104</v>
      </c>
      <c r="DD30" s="45"/>
      <c r="DE30" s="45"/>
      <c r="DF30" s="45"/>
      <c r="DG30" s="45"/>
      <c r="DH30" s="1517">
        <f ca="1">OFFSET('VVP2'!$G144,0,(COLUMN()-6)/5)</f>
        <v>2.3448829366414214</v>
      </c>
      <c r="DI30" s="45"/>
      <c r="DJ30" s="45"/>
      <c r="DK30" s="45"/>
      <c r="DL30" s="45"/>
      <c r="DM30" s="1517">
        <f ca="1">OFFSET('VVP2'!$G144,0,(COLUMN()-6)/5)</f>
        <v>4.5652110336616962</v>
      </c>
      <c r="DN30" s="45"/>
      <c r="DO30" s="45"/>
      <c r="DP30" s="45"/>
      <c r="DQ30" s="45"/>
      <c r="DR30" s="1517">
        <f ca="1">OFFSET('VVP2'!$G144,0,(COLUMN()-6)/5)</f>
        <v>3.1205873424164392</v>
      </c>
      <c r="DS30" s="45"/>
      <c r="DT30" s="45"/>
      <c r="DU30" s="45"/>
      <c r="DV30" s="45"/>
      <c r="DW30" s="1517">
        <f ca="1">OFFSET('VVP2'!$G144,0,(COLUMN()-6)/5)</f>
        <v>2.6426635456776859</v>
      </c>
      <c r="DX30" s="45"/>
      <c r="DY30" s="45"/>
      <c r="DZ30" s="45"/>
      <c r="EA30" s="45"/>
    </row>
    <row r="31" spans="1:145">
      <c r="CN31" s="3194"/>
    </row>
    <row r="32" spans="1:145">
      <c r="E32" s="45" t="s">
        <v>2349</v>
      </c>
      <c r="CM32" s="1721">
        <f>(Labour1!W135/Labour1!V135-1)*100</f>
        <v>7.0710418738261005</v>
      </c>
      <c r="CN32" s="3194"/>
      <c r="CQ32" s="3267" t="s">
        <v>2355</v>
      </c>
      <c r="CR32" s="1721">
        <f>(Labour1!X135/Labour1!W135-1)*100</f>
        <v>5.8507893922195686</v>
      </c>
      <c r="CV32" s="3267" t="s">
        <v>2355</v>
      </c>
      <c r="CW32" s="1721">
        <f>(Labour1!Y135/Labour1!X135-1)*100</f>
        <v>5.6151296549034946</v>
      </c>
      <c r="DA32" s="3267" t="s">
        <v>2355</v>
      </c>
      <c r="DB32" s="1721">
        <f>(Labour1!Z135/Labour1!Y135-1)*100</f>
        <v>6.3042274321580161</v>
      </c>
      <c r="DF32" s="3267" t="s">
        <v>2355</v>
      </c>
      <c r="DG32" s="1721">
        <f>(Labour1!AA135/Labour1!Z135-1)*100</f>
        <v>6.8767908309455672</v>
      </c>
      <c r="DK32" s="3267" t="s">
        <v>2355</v>
      </c>
      <c r="DL32" s="1721">
        <f>(Labour1!AB135/Labour1!AA135-1)*100</f>
        <v>7.9616540742546205</v>
      </c>
      <c r="DP32" s="3267" t="s">
        <v>2355</v>
      </c>
      <c r="DQ32" s="1721" t="e">
        <f>(Labour1!AG135/Labour1!AF135-1)*100</f>
        <v>#DIV/0!</v>
      </c>
      <c r="DU32" s="3267" t="s">
        <v>2355</v>
      </c>
      <c r="DV32" s="1721" t="e">
        <f>(Labour1!AL135/Labour1!AK135-1)*100</f>
        <v>#DIV/0!</v>
      </c>
      <c r="DZ32" s="3267" t="s">
        <v>2355</v>
      </c>
      <c r="EA32" s="1721" t="e">
        <f>(Labour1!AQ135/Labour1!AP135-1)*100</f>
        <v>#DIV/0!</v>
      </c>
    </row>
    <row r="33" spans="1:145">
      <c r="D33" s="3752"/>
      <c r="E33" s="3752" t="s">
        <v>1270</v>
      </c>
      <c r="F33" s="3752"/>
      <c r="G33" s="3754">
        <f>+InputY!$G$3</f>
        <v>1995</v>
      </c>
      <c r="H33" s="3755"/>
      <c r="I33" s="3755"/>
      <c r="J33" s="3755"/>
      <c r="K33" s="3756"/>
      <c r="L33" s="3754">
        <f>+G33+1</f>
        <v>1996</v>
      </c>
      <c r="M33" s="3755"/>
      <c r="N33" s="3755"/>
      <c r="O33" s="3755"/>
      <c r="P33" s="3756"/>
      <c r="Q33" s="3754">
        <f>+L33+1</f>
        <v>1997</v>
      </c>
      <c r="R33" s="3755"/>
      <c r="S33" s="3755"/>
      <c r="T33" s="3755"/>
      <c r="U33" s="3756"/>
      <c r="V33" s="3754">
        <f>+Q33+1</f>
        <v>1998</v>
      </c>
      <c r="W33" s="3755"/>
      <c r="X33" s="3755"/>
      <c r="Y33" s="3755"/>
      <c r="Z33" s="3756"/>
      <c r="AA33" s="3754">
        <f>+V33+1</f>
        <v>1999</v>
      </c>
      <c r="AB33" s="3755"/>
      <c r="AC33" s="3755"/>
      <c r="AD33" s="3755"/>
      <c r="AE33" s="3756"/>
      <c r="AF33" s="3754">
        <f>+AA33+1</f>
        <v>2000</v>
      </c>
      <c r="AG33" s="3755"/>
      <c r="AH33" s="3755"/>
      <c r="AI33" s="3755"/>
      <c r="AJ33" s="3756"/>
      <c r="AK33" s="3754">
        <f>+AF33+1</f>
        <v>2001</v>
      </c>
      <c r="AL33" s="3755"/>
      <c r="AM33" s="3755"/>
      <c r="AN33" s="3755"/>
      <c r="AO33" s="3756"/>
      <c r="AP33" s="3754">
        <f>+AK33+1</f>
        <v>2002</v>
      </c>
      <c r="AQ33" s="3755"/>
      <c r="AR33" s="3755"/>
      <c r="AS33" s="3755"/>
      <c r="AT33" s="3756"/>
      <c r="AU33" s="3754">
        <f>+AP33+1</f>
        <v>2003</v>
      </c>
      <c r="AV33" s="3755"/>
      <c r="AW33" s="3755"/>
      <c r="AX33" s="3755"/>
      <c r="AY33" s="3756"/>
      <c r="AZ33" s="3754">
        <f>+AU33+1</f>
        <v>2004</v>
      </c>
      <c r="BA33" s="3755"/>
      <c r="BB33" s="3755"/>
      <c r="BC33" s="3755"/>
      <c r="BD33" s="3756"/>
      <c r="BE33" s="3754">
        <f>+AZ33+1</f>
        <v>2005</v>
      </c>
      <c r="BF33" s="3755"/>
      <c r="BG33" s="3755"/>
      <c r="BH33" s="3755"/>
      <c r="BI33" s="3756"/>
      <c r="BJ33" s="3754">
        <f>+BE33+1</f>
        <v>2006</v>
      </c>
      <c r="BK33" s="3755"/>
      <c r="BL33" s="3755"/>
      <c r="BM33" s="3755"/>
      <c r="BN33" s="3756"/>
      <c r="BO33" s="3754">
        <f>+BJ33+1</f>
        <v>2007</v>
      </c>
      <c r="BP33" s="3755"/>
      <c r="BQ33" s="3755"/>
      <c r="BR33" s="3755"/>
      <c r="BS33" s="3756"/>
      <c r="BT33" s="3754">
        <f>+BO33+1</f>
        <v>2008</v>
      </c>
      <c r="BU33" s="3755"/>
      <c r="BV33" s="3755"/>
      <c r="BW33" s="3755"/>
      <c r="BX33" s="3756"/>
      <c r="BY33" s="3754">
        <f>+BT33+1</f>
        <v>2009</v>
      </c>
      <c r="BZ33" s="3755"/>
      <c r="CA33" s="3755"/>
      <c r="CB33" s="3755"/>
      <c r="CC33" s="3756"/>
      <c r="CD33" s="3754">
        <f>+BY33+1</f>
        <v>2010</v>
      </c>
      <c r="CE33" s="3755"/>
      <c r="CF33" s="3755"/>
      <c r="CG33" s="3755"/>
      <c r="CH33" s="3756"/>
      <c r="CI33" s="3754">
        <f>+CD33+1</f>
        <v>2011</v>
      </c>
      <c r="CJ33" s="3755"/>
      <c r="CK33" s="3755"/>
      <c r="CL33" s="3755"/>
      <c r="CM33" s="3756"/>
      <c r="CN33" s="3754">
        <f>+CI33+1</f>
        <v>2012</v>
      </c>
      <c r="CO33" s="3755"/>
      <c r="CP33" s="3755"/>
      <c r="CQ33" s="3755"/>
      <c r="CR33" s="3756"/>
      <c r="CS33" s="3754">
        <f>+CN33+1</f>
        <v>2013</v>
      </c>
      <c r="CT33" s="3755"/>
      <c r="CU33" s="3755"/>
      <c r="CV33" s="3755"/>
      <c r="CW33" s="3756"/>
      <c r="CX33" s="3754">
        <f>+CS33+1</f>
        <v>2014</v>
      </c>
      <c r="CY33" s="3755"/>
      <c r="CZ33" s="3755"/>
      <c r="DA33" s="3755"/>
      <c r="DB33" s="3756"/>
      <c r="DC33" s="3754">
        <f>+CX33+1</f>
        <v>2015</v>
      </c>
      <c r="DD33" s="3755"/>
      <c r="DE33" s="3755"/>
      <c r="DF33" s="3755"/>
      <c r="DG33" s="3756"/>
      <c r="DH33" s="3754">
        <f>+DC33+1</f>
        <v>2016</v>
      </c>
      <c r="DI33" s="3755"/>
      <c r="DJ33" s="3755"/>
      <c r="DK33" s="3755"/>
      <c r="DL33" s="3756"/>
      <c r="DM33" s="3754">
        <f>+DH33+1</f>
        <v>2017</v>
      </c>
      <c r="DN33" s="3755"/>
      <c r="DO33" s="3755"/>
      <c r="DP33" s="3755"/>
      <c r="DQ33" s="3756"/>
      <c r="DR33" s="3754">
        <f>+DM33+1</f>
        <v>2018</v>
      </c>
      <c r="DS33" s="3755"/>
      <c r="DT33" s="3755"/>
      <c r="DU33" s="3755"/>
      <c r="DV33" s="3756"/>
      <c r="DW33" s="3754">
        <f>+DR33+1</f>
        <v>2019</v>
      </c>
      <c r="DX33" s="3755"/>
      <c r="DY33" s="3755"/>
      <c r="DZ33" s="3755"/>
      <c r="EA33" s="3756"/>
    </row>
    <row r="34" spans="1:145">
      <c r="C34" s="3"/>
      <c r="D34" s="3752"/>
      <c r="E34" s="3752"/>
      <c r="F34" s="3752"/>
      <c r="G34" s="1255" t="s">
        <v>1486</v>
      </c>
      <c r="H34" s="1251" t="s">
        <v>1732</v>
      </c>
      <c r="I34" s="1250" t="s">
        <v>2022</v>
      </c>
      <c r="J34" s="1251" t="s">
        <v>584</v>
      </c>
      <c r="K34" s="1250" t="s">
        <v>2023</v>
      </c>
      <c r="L34" s="1250" t="s">
        <v>1486</v>
      </c>
      <c r="M34" s="1251" t="s">
        <v>1732</v>
      </c>
      <c r="N34" s="1250" t="s">
        <v>2022</v>
      </c>
      <c r="O34" s="1251" t="s">
        <v>584</v>
      </c>
      <c r="P34" s="1250" t="s">
        <v>2023</v>
      </c>
      <c r="Q34" s="1250" t="s">
        <v>1486</v>
      </c>
      <c r="R34" s="1251" t="s">
        <v>1732</v>
      </c>
      <c r="S34" s="1250" t="s">
        <v>2022</v>
      </c>
      <c r="T34" s="1251" t="s">
        <v>584</v>
      </c>
      <c r="U34" s="1250" t="s">
        <v>2023</v>
      </c>
      <c r="V34" s="1250" t="s">
        <v>1486</v>
      </c>
      <c r="W34" s="1251" t="s">
        <v>1732</v>
      </c>
      <c r="X34" s="1250" t="s">
        <v>2022</v>
      </c>
      <c r="Y34" s="1251" t="s">
        <v>584</v>
      </c>
      <c r="Z34" s="1250" t="s">
        <v>2023</v>
      </c>
      <c r="AA34" s="1250" t="s">
        <v>1486</v>
      </c>
      <c r="AB34" s="1251" t="s">
        <v>1732</v>
      </c>
      <c r="AC34" s="1250" t="s">
        <v>2022</v>
      </c>
      <c r="AD34" s="1251" t="s">
        <v>584</v>
      </c>
      <c r="AE34" s="1250" t="s">
        <v>2023</v>
      </c>
      <c r="AF34" s="1250" t="s">
        <v>1486</v>
      </c>
      <c r="AG34" s="1251" t="s">
        <v>1732</v>
      </c>
      <c r="AH34" s="1250" t="s">
        <v>2022</v>
      </c>
      <c r="AI34" s="1251" t="s">
        <v>584</v>
      </c>
      <c r="AJ34" s="1250" t="s">
        <v>2023</v>
      </c>
      <c r="AK34" s="1250" t="s">
        <v>1486</v>
      </c>
      <c r="AL34" s="1251" t="s">
        <v>1732</v>
      </c>
      <c r="AM34" s="1250" t="s">
        <v>2022</v>
      </c>
      <c r="AN34" s="1251" t="s">
        <v>584</v>
      </c>
      <c r="AO34" s="1250" t="s">
        <v>2023</v>
      </c>
      <c r="AP34" s="1250" t="s">
        <v>1486</v>
      </c>
      <c r="AQ34" s="1251" t="s">
        <v>1732</v>
      </c>
      <c r="AR34" s="1250" t="s">
        <v>2022</v>
      </c>
      <c r="AS34" s="1251" t="s">
        <v>584</v>
      </c>
      <c r="AT34" s="1250" t="s">
        <v>2023</v>
      </c>
      <c r="AU34" s="1250" t="s">
        <v>1486</v>
      </c>
      <c r="AV34" s="1251" t="s">
        <v>1732</v>
      </c>
      <c r="AW34" s="1250" t="s">
        <v>2022</v>
      </c>
      <c r="AX34" s="1251" t="s">
        <v>584</v>
      </c>
      <c r="AY34" s="1250" t="s">
        <v>2023</v>
      </c>
      <c r="AZ34" s="1250" t="s">
        <v>1486</v>
      </c>
      <c r="BA34" s="1251" t="s">
        <v>1732</v>
      </c>
      <c r="BB34" s="1250" t="s">
        <v>2022</v>
      </c>
      <c r="BC34" s="1251" t="s">
        <v>584</v>
      </c>
      <c r="BD34" s="1250" t="s">
        <v>2023</v>
      </c>
      <c r="BE34" s="1250" t="s">
        <v>1486</v>
      </c>
      <c r="BF34" s="1251" t="s">
        <v>1732</v>
      </c>
      <c r="BG34" s="1250" t="s">
        <v>2022</v>
      </c>
      <c r="BH34" s="1251" t="s">
        <v>584</v>
      </c>
      <c r="BI34" s="1250" t="s">
        <v>2023</v>
      </c>
      <c r="BJ34" s="1250" t="s">
        <v>1486</v>
      </c>
      <c r="BK34" s="1251" t="s">
        <v>1732</v>
      </c>
      <c r="BL34" s="1250" t="s">
        <v>2022</v>
      </c>
      <c r="BM34" s="1251" t="s">
        <v>584</v>
      </c>
      <c r="BN34" s="1250" t="s">
        <v>2023</v>
      </c>
      <c r="BO34" s="1250" t="s">
        <v>1486</v>
      </c>
      <c r="BP34" s="1251" t="s">
        <v>1732</v>
      </c>
      <c r="BQ34" s="1250" t="s">
        <v>2022</v>
      </c>
      <c r="BR34" s="1251" t="s">
        <v>584</v>
      </c>
      <c r="BS34" s="1250" t="s">
        <v>2023</v>
      </c>
      <c r="BT34" s="1250" t="s">
        <v>1486</v>
      </c>
      <c r="BU34" s="1251" t="s">
        <v>1732</v>
      </c>
      <c r="BV34" s="1250" t="s">
        <v>2022</v>
      </c>
      <c r="BW34" s="1251" t="s">
        <v>584</v>
      </c>
      <c r="BX34" s="1250" t="s">
        <v>2023</v>
      </c>
      <c r="BY34" s="1250" t="s">
        <v>1486</v>
      </c>
      <c r="BZ34" s="1251" t="s">
        <v>1732</v>
      </c>
      <c r="CA34" s="1250" t="s">
        <v>2022</v>
      </c>
      <c r="CB34" s="1251" t="s">
        <v>584</v>
      </c>
      <c r="CC34" s="1250" t="s">
        <v>2023</v>
      </c>
      <c r="CD34" s="1250" t="s">
        <v>1486</v>
      </c>
      <c r="CE34" s="1251" t="s">
        <v>1732</v>
      </c>
      <c r="CF34" s="1250" t="s">
        <v>2022</v>
      </c>
      <c r="CG34" s="1251" t="s">
        <v>584</v>
      </c>
      <c r="CH34" s="1250" t="s">
        <v>2023</v>
      </c>
      <c r="CI34" s="1250" t="s">
        <v>1486</v>
      </c>
      <c r="CJ34" s="1251" t="s">
        <v>1732</v>
      </c>
      <c r="CK34" s="1250" t="s">
        <v>2022</v>
      </c>
      <c r="CL34" s="1251" t="s">
        <v>584</v>
      </c>
      <c r="CM34" s="1250" t="s">
        <v>2023</v>
      </c>
      <c r="CN34" s="1250" t="s">
        <v>1486</v>
      </c>
      <c r="CO34" s="1251" t="s">
        <v>1732</v>
      </c>
      <c r="CP34" s="1250" t="s">
        <v>2022</v>
      </c>
      <c r="CQ34" s="1251" t="s">
        <v>584</v>
      </c>
      <c r="CR34" s="1250" t="s">
        <v>2023</v>
      </c>
      <c r="CS34" s="1250" t="s">
        <v>1486</v>
      </c>
      <c r="CT34" s="1251" t="s">
        <v>1732</v>
      </c>
      <c r="CU34" s="1250" t="s">
        <v>2022</v>
      </c>
      <c r="CV34" s="1251" t="s">
        <v>584</v>
      </c>
      <c r="CW34" s="1250" t="s">
        <v>2023</v>
      </c>
      <c r="CX34" s="1250" t="s">
        <v>1486</v>
      </c>
      <c r="CY34" s="1251" t="s">
        <v>1732</v>
      </c>
      <c r="CZ34" s="1250" t="s">
        <v>2022</v>
      </c>
      <c r="DA34" s="1251" t="s">
        <v>584</v>
      </c>
      <c r="DB34" s="1250" t="s">
        <v>2023</v>
      </c>
      <c r="DC34" s="1250" t="s">
        <v>1486</v>
      </c>
      <c r="DD34" s="1251" t="s">
        <v>1732</v>
      </c>
      <c r="DE34" s="1250" t="s">
        <v>2022</v>
      </c>
      <c r="DF34" s="1251" t="s">
        <v>584</v>
      </c>
      <c r="DG34" s="1250" t="s">
        <v>2023</v>
      </c>
      <c r="DH34" s="1250" t="s">
        <v>1486</v>
      </c>
      <c r="DI34" s="1251" t="s">
        <v>1732</v>
      </c>
      <c r="DJ34" s="1250" t="s">
        <v>2022</v>
      </c>
      <c r="DK34" s="1251" t="s">
        <v>584</v>
      </c>
      <c r="DL34" s="1250" t="s">
        <v>2023</v>
      </c>
      <c r="DM34" s="1250" t="s">
        <v>1486</v>
      </c>
      <c r="DN34" s="1251" t="s">
        <v>1732</v>
      </c>
      <c r="DO34" s="1250" t="s">
        <v>2022</v>
      </c>
      <c r="DP34" s="1251" t="s">
        <v>584</v>
      </c>
      <c r="DQ34" s="1250" t="s">
        <v>2023</v>
      </c>
      <c r="DR34" s="1250" t="s">
        <v>1486</v>
      </c>
      <c r="DS34" s="1251" t="s">
        <v>1732</v>
      </c>
      <c r="DT34" s="1250" t="s">
        <v>2022</v>
      </c>
      <c r="DU34" s="1251" t="s">
        <v>584</v>
      </c>
      <c r="DV34" s="1250" t="s">
        <v>2023</v>
      </c>
      <c r="DW34" s="1250" t="s">
        <v>1486</v>
      </c>
      <c r="DX34" s="1251" t="s">
        <v>1732</v>
      </c>
      <c r="DY34" s="1250" t="s">
        <v>2022</v>
      </c>
      <c r="DZ34" s="1251" t="s">
        <v>584</v>
      </c>
      <c r="EA34" s="1250" t="s">
        <v>2023</v>
      </c>
    </row>
    <row r="35" spans="1:145">
      <c r="B35" s="1"/>
      <c r="C35" s="1082" t="s">
        <v>1769</v>
      </c>
      <c r="D35" s="1086" t="s">
        <v>685</v>
      </c>
      <c r="E35" s="1087" t="s">
        <v>821</v>
      </c>
      <c r="F35" s="1089" t="s">
        <v>1731</v>
      </c>
      <c r="G35" s="1376"/>
      <c r="H35" s="1377"/>
      <c r="I35" s="1378"/>
      <c r="J35" s="1349">
        <f ca="1">OFFSET('VVP2'!$G$185,0,(COLUMN()-10)/5)</f>
        <v>4.9615900000000002</v>
      </c>
      <c r="K35" s="1379"/>
      <c r="L35" s="1355">
        <f ca="1">OFFSET('VVP2'!$G$10,0,(COLUMN()-7)/5)</f>
        <v>6.4762344028386432</v>
      </c>
      <c r="M35" s="1349">
        <f ca="1">+J35*(1+L35/100)</f>
        <v>5.2829141985078021</v>
      </c>
      <c r="N35" s="1356">
        <f ca="1">+O35/M35*100-100</f>
        <v>17.98147321341159</v>
      </c>
      <c r="O35" s="1349">
        <f ca="1">OFFSET('VVP2'!$G$185,0,(COLUMN()-10)/5)</f>
        <v>6.2328599999999996</v>
      </c>
      <c r="P35" s="1357">
        <f ca="1">(O35/J35-1)*100</f>
        <v>25.622229970634393</v>
      </c>
      <c r="Q35" s="1355">
        <f ca="1">OFFSET('VVP2'!$G$10,0,(COLUMN()-7)/5)</f>
        <v>5.6211089393928937</v>
      </c>
      <c r="R35" s="1349">
        <f ca="1">+O35*(1+Q35/100)</f>
        <v>6.5832158506398439</v>
      </c>
      <c r="S35" s="1356">
        <f ca="1">+T35/R35*100-100</f>
        <v>9.2523800400826133</v>
      </c>
      <c r="T35" s="1349">
        <f ca="1">OFFSET('VVP2'!$G$185,0,(COLUMN()-10)/5)</f>
        <v>7.1923199999999996</v>
      </c>
      <c r="U35" s="1357">
        <f ca="1">(T35/O35-1)*100</f>
        <v>15.393575341015197</v>
      </c>
      <c r="V35" s="1355">
        <f ca="1">OFFSET('VVP2'!$G$10,0,(COLUMN()-7)/5)</f>
        <v>4.7552825314067348</v>
      </c>
      <c r="W35" s="1349">
        <f ca="1">+T35*(1+V35/100)</f>
        <v>7.5343351365628726</v>
      </c>
      <c r="X35" s="1356">
        <f ca="1">+Y35/W35*100-100</f>
        <v>5.7466897289446734</v>
      </c>
      <c r="Y35" s="1349">
        <f ca="1">OFFSET('VVP2'!$G$185,0,(COLUMN()-10)/5)</f>
        <v>7.9673100000000003</v>
      </c>
      <c r="Z35" s="1357">
        <f ca="1">(Y35/T35-1)*100</f>
        <v>10.775243593166062</v>
      </c>
      <c r="AA35" s="1355">
        <f ca="1">OFFSET('VVP2'!$G$10,0,(COLUMN()-7)/5)</f>
        <v>4.9644887582733777</v>
      </c>
      <c r="AB35" s="1349">
        <f ca="1">+Y35*(1+AA35/100)</f>
        <v>8.3628462092867917</v>
      </c>
      <c r="AC35" s="1356">
        <f ca="1">+AD35/AB35*100-100</f>
        <v>-1.23039700493986</v>
      </c>
      <c r="AD35" s="1349">
        <f ca="1">OFFSET('VVP2'!$G$185,0,(COLUMN()-10)/5)</f>
        <v>8.2599499999999999</v>
      </c>
      <c r="AE35" s="1357">
        <f ca="1">(AD35/Y35-1)*100</f>
        <v>3.6730088323411403</v>
      </c>
      <c r="AF35" s="1355">
        <f ca="1">OFFSET('VVP2'!$G$10,0,(COLUMN()-7)/5)</f>
        <v>6.98278615571859</v>
      </c>
      <c r="AG35" s="1349">
        <f ca="1">+AD35*(1+AF35/100)</f>
        <v>8.8367246450692782</v>
      </c>
      <c r="AH35" s="1356">
        <f ca="1">+AI35/AG35*100-100</f>
        <v>-1.6390082398923056</v>
      </c>
      <c r="AI35" s="1349">
        <f ca="1">OFFSET('VVP2'!$G$185,0,(COLUMN()-10)/5)</f>
        <v>8.691889999999999</v>
      </c>
      <c r="AJ35" s="1357">
        <f ca="1">(AI35/AD35-1)*100</f>
        <v>5.2293294753600117</v>
      </c>
      <c r="AK35" s="1355">
        <f ca="1">OFFSET('VVP2'!$G$10,0,(COLUMN()-7)/5)</f>
        <v>4.2080179577484333</v>
      </c>
      <c r="AL35" s="1349">
        <f ca="1">+AI35*(1+AK35/100)</f>
        <v>9.057646292067739</v>
      </c>
      <c r="AM35" s="1356">
        <f ca="1">+AN35/AL35*100-100</f>
        <v>2.3337597993573951</v>
      </c>
      <c r="AN35" s="1349">
        <f ca="1">OFFSET('VVP2'!$G$185,0,(COLUMN()-10)/5)</f>
        <v>9.2690300000000008</v>
      </c>
      <c r="AO35" s="1357">
        <f ca="1">(AN35/AI35-1)*100</f>
        <v>6.639982788553489</v>
      </c>
      <c r="AP35" s="1355">
        <f ca="1">OFFSET('VVP2'!$G$10,0,(COLUMN()-7)/5)</f>
        <v>6.1642052831319294</v>
      </c>
      <c r="AQ35" s="1349">
        <f ca="1">+AN35*(1+AP35/100)</f>
        <v>9.8403920369550839</v>
      </c>
      <c r="AR35" s="1356">
        <f ca="1">+AS35/AQ35*100-100</f>
        <v>-0.38587931062585312</v>
      </c>
      <c r="AS35" s="1349">
        <f ca="1">OFFSET('VVP2'!$G$185,0,(COLUMN()-10)/5)</f>
        <v>9.8024199999999997</v>
      </c>
      <c r="AT35" s="1357">
        <f ca="1">(AS35/AN35-1)*100</f>
        <v>5.75453957965395</v>
      </c>
      <c r="AU35" s="1355">
        <f ca="1">OFFSET('VVP2'!$G$10,0,(COLUMN()-7)/5)</f>
        <v>11.214400216834619</v>
      </c>
      <c r="AV35" s="1349">
        <f ca="1">+AS35*(1+AU35/100)</f>
        <v>10.90170260973504</v>
      </c>
      <c r="AW35" s="1356">
        <f ca="1">+AX35/AV35*100-100</f>
        <v>-1.4834619464910475</v>
      </c>
      <c r="AX35" s="1349">
        <f ca="1">OFFSET('VVP2'!$G$185,0,(COLUMN()-10)/5)</f>
        <v>10.739979999999999</v>
      </c>
      <c r="AY35" s="1357">
        <f ca="1">(AX35/AS35-1)*100</f>
        <v>9.5645769105996195</v>
      </c>
      <c r="AZ35" s="1355">
        <f ca="1">OFFSET('VVP2'!$G$10,0,(COLUMN()-7)/5)</f>
        <v>11.679399634080156</v>
      </c>
      <c r="BA35" s="1349">
        <f ca="1">+AX35*(1+AZ35/100)</f>
        <v>11.994345184820281</v>
      </c>
      <c r="BB35" s="1356">
        <f ca="1">+BC35/BA35*100-100</f>
        <v>-0.87762344003157011</v>
      </c>
      <c r="BC35" s="1349">
        <f ca="1">OFFSET('VVP2'!$G$185,0,(COLUMN()-10)/5)</f>
        <v>11.88908</v>
      </c>
      <c r="BD35" s="1357">
        <f ca="1">(BC35/AX35-1)*100</f>
        <v>10.699275045204937</v>
      </c>
      <c r="BE35" s="1355">
        <f ca="1">OFFSET('VVP2'!$G$10,0,(COLUMN()-7)/5)</f>
        <v>11.604172440280291</v>
      </c>
      <c r="BF35" s="1349">
        <f ca="1">+BC35*(1+BE35/100)</f>
        <v>13.268709344762875</v>
      </c>
      <c r="BG35" s="1356">
        <f ca="1">+BH35/BF35*100-100</f>
        <v>2.3692632574034462</v>
      </c>
      <c r="BH35" s="1349">
        <f ca="1">OFFSET('VVP2'!$G$185,0,(COLUMN()-10)/5)</f>
        <v>13.583080000000001</v>
      </c>
      <c r="BI35" s="1357">
        <f ca="1">(BH35/BC35-1)*100</f>
        <v>14.248369091637048</v>
      </c>
      <c r="BJ35" s="1355">
        <f ca="1">OFFSET('VVP2'!$G$10,0,(COLUMN()-7)/5)</f>
        <v>9.0980834144997367</v>
      </c>
      <c r="BK35" s="1349">
        <f ca="1">+BH35*(1+BJ35/100)</f>
        <v>14.818879948658232</v>
      </c>
      <c r="BL35" s="1356">
        <f ca="1">+BM35/BK35*100-100</f>
        <v>4.6627009175840755</v>
      </c>
      <c r="BM35" s="1349">
        <f ca="1">OFFSET('VVP2'!$G$185,0,(COLUMN()-10)/5)</f>
        <v>15.509840000000001</v>
      </c>
      <c r="BN35" s="1357">
        <f ca="1">(BM35/BH35-1)*100</f>
        <v>14.18500075093425</v>
      </c>
      <c r="BO35" s="1355">
        <f ca="1">OFFSET('VVP2'!$G$10,0,(COLUMN()-7)/5)</f>
        <v>12.41815392674075</v>
      </c>
      <c r="BP35" s="1349">
        <f ca="1">+BM35*(1+BO35/100)</f>
        <v>17.435875804991209</v>
      </c>
      <c r="BQ35" s="1356">
        <f ca="1">+BR35/BP35*100-100</f>
        <v>5.8771592919665494</v>
      </c>
      <c r="BR35" s="1349">
        <f ca="1">OFFSET('VVP2'!$G$185,0,(COLUMN()-10)/5)</f>
        <v>18.460609999999999</v>
      </c>
      <c r="BS35" s="1357">
        <f ca="1">(BR35/BM35-1)*100</f>
        <v>19.025147906103477</v>
      </c>
      <c r="BT35" s="1355">
        <f ca="1">OFFSET('VVP2'!$G$10,0,(COLUMN()-7)/5)</f>
        <v>3.853720591389509</v>
      </c>
      <c r="BU35" s="1349">
        <f ca="1">+BR35*(1+BT35/100)</f>
        <v>19.172030328866111</v>
      </c>
      <c r="BV35" s="1356">
        <f ca="1">+BW35/BU35*100-100</f>
        <v>10.895036338373188</v>
      </c>
      <c r="BW35" s="1349">
        <f ca="1">OFFSET('VVP2'!$G$185,0,(COLUMN()-10)/5)</f>
        <v>21.260830000000002</v>
      </c>
      <c r="BX35" s="1357">
        <f ca="1">(BW35/BR35-1)*100</f>
        <v>15.168621188573962</v>
      </c>
      <c r="BY35" s="1355">
        <f ca="1">OFFSET('VVP2'!$G$10,0,(COLUMN()-7)/5)</f>
        <v>-17.351959335552912</v>
      </c>
      <c r="BZ35" s="1349">
        <f ca="1">+BW35*(1+BY35/100)</f>
        <v>17.571659423998966</v>
      </c>
      <c r="CA35" s="1356">
        <f ca="1">+CB35/BZ35*100-100</f>
        <v>4.3463770698739239</v>
      </c>
      <c r="CB35" s="1349">
        <f ca="1">OFFSET('VVP2'!$G$185,0,(COLUMN()-10)/5)</f>
        <v>18.33539</v>
      </c>
      <c r="CC35" s="1357">
        <f ca="1">(CB35/BW35-1)*100</f>
        <v>-13.759763847413298</v>
      </c>
      <c r="CD35" s="1355">
        <f ca="1">OFFSET('VVP2'!$G$10,0,(COLUMN()-7)/5)</f>
        <v>-3.3542524195715462</v>
      </c>
      <c r="CE35" s="1349">
        <f ca="1">+CB35*(1+CD35/100)</f>
        <v>17.72037473728712</v>
      </c>
      <c r="CF35" s="1356">
        <f ca="1">+CG35/CE35*100-100</f>
        <v>1.2706574553363623</v>
      </c>
      <c r="CG35" s="1349">
        <f ca="1">OFFSET('VVP2'!$G$185,0,(COLUMN()-10)/5)</f>
        <v>17.945540000000001</v>
      </c>
      <c r="CH35" s="1357">
        <f ca="1">(CG35/CB35-1)*100</f>
        <v>-2.1262160226752647</v>
      </c>
      <c r="CI35" s="1355">
        <f ca="1">OFFSET('VVP2'!$G$10,0,(COLUMN()-7)/5)</f>
        <v>4.5987470981647682</v>
      </c>
      <c r="CJ35" s="1349">
        <f ca="1">+CG35*(1+CI35/100)</f>
        <v>18.770809999999997</v>
      </c>
      <c r="CK35" s="1356">
        <f ca="1">+CL35/CJ35*100-100</f>
        <v>4.1183092258671934</v>
      </c>
      <c r="CL35" s="1349">
        <f ca="1">OFFSET('VVP2'!$G$185,0,(COLUMN()-10)/5)</f>
        <v>19.543849999999999</v>
      </c>
      <c r="CM35" s="1357">
        <f ca="1">(CL35/CG35-1)*100</f>
        <v>8.9064469500499612</v>
      </c>
      <c r="CN35" s="1355">
        <f ca="1">OFFSET('VVP2'!$G$10,0,(COLUMN()-7)/5)</f>
        <v>3.0945388078617908</v>
      </c>
      <c r="CO35" s="1349">
        <f ca="1">+CL35*(1+CN35/100)</f>
        <v>20.148642022800296</v>
      </c>
      <c r="CP35" s="1356">
        <f ca="1">+CQ35/CO35*100-100</f>
        <v>3.0842672994859015</v>
      </c>
      <c r="CQ35" s="1349">
        <f ca="1">OFFSET('VVP2'!$G$185,0,(COLUMN()-10)/5)</f>
        <v>20.77008</v>
      </c>
      <c r="CR35" s="1357">
        <f ca="1">(CQ35/CL35-1)*100</f>
        <v>6.2742499558684717</v>
      </c>
      <c r="CS35" s="1355">
        <f ca="1">OFFSET('VVP2'!$G$10,0,(COLUMN()-7)/5)</f>
        <v>4.3134239507887751</v>
      </c>
      <c r="CT35" s="1349">
        <f ca="1">+CQ35*(1+CS35/100)</f>
        <v>21.665981605317988</v>
      </c>
      <c r="CU35" s="1356">
        <f ca="1">+CV35/CT35*100-100</f>
        <v>0.99570099620622443</v>
      </c>
      <c r="CV35" s="1349">
        <f ca="1">OFFSET('VVP2'!$G$185,0,(COLUMN()-10)/5)</f>
        <v>21.881709999999998</v>
      </c>
      <c r="CW35" s="1357">
        <f ca="1">(CV35/CQ35-1)*100</f>
        <v>5.3520737522436024</v>
      </c>
      <c r="CX35" s="1355">
        <f ca="1">OFFSET('VVP2'!$G$10,0,(COLUMN()-7)/5)</f>
        <v>3.9665319224824414</v>
      </c>
      <c r="CY35" s="1349">
        <f ca="1">+CV35*(1+CX35/100)</f>
        <v>22.74965501233503</v>
      </c>
      <c r="CZ35" s="1356">
        <f ca="1">+DA35/CY35*100-100</f>
        <v>0.11940834992989835</v>
      </c>
      <c r="DA35" s="1349">
        <f ca="1">OFFSET('VVP2'!$G$185,0,(COLUMN()-10)/5)</f>
        <v>22.776820000000001</v>
      </c>
      <c r="DB35" s="1357">
        <f ca="1">(DA35/CV35-1)*100</f>
        <v>4.0906766427303953</v>
      </c>
      <c r="DC35" s="1355">
        <f ca="1">OFFSET('VVP2'!$G$10,0,(COLUMN()-7)/5)</f>
        <v>3.9764903202443636</v>
      </c>
      <c r="DD35" s="1349">
        <f ca="1">+DA35*(1+DC35/100)</f>
        <v>23.682538042559482</v>
      </c>
      <c r="DE35" s="1356">
        <f ca="1">+DF35/DD35*100-100</f>
        <v>-0.8820762461526499</v>
      </c>
      <c r="DF35" s="1349">
        <f ca="1">OFFSET('VVP2'!$G$185,0,(COLUMN()-10)/5)</f>
        <v>23.47364</v>
      </c>
      <c r="DG35" s="1357">
        <f ca="1">(DF35/DA35-1)*100</f>
        <v>3.0593383975462629</v>
      </c>
      <c r="DH35" s="1355">
        <f ca="1">OFFSET('VVP2'!$G$10,0,(COLUMN()-7)/5)</f>
        <v>4.9353738145373915</v>
      </c>
      <c r="DI35" s="1349">
        <f ca="1">+DF35*(1+DH35/100)</f>
        <v>24.632151881878773</v>
      </c>
      <c r="DJ35" s="1356">
        <f ca="1">+DK35/DI35*100-100</f>
        <v>0.93856240912231215</v>
      </c>
      <c r="DK35" s="1349">
        <f ca="1">OFFSET('VVP2'!$G$185,0,(COLUMN()-10)/5)</f>
        <v>24.863340000000001</v>
      </c>
      <c r="DL35" s="1357">
        <f ca="1">(DK35/DF35-1)*100</f>
        <v>5.9202577870326012</v>
      </c>
      <c r="DM35" s="1355">
        <f ca="1">OFFSET('VVP2'!$G$10,0,(COLUMN()-7)/5)</f>
        <v>3.8909751369404999</v>
      </c>
      <c r="DN35" s="1349">
        <f ca="1">+DK35*(1+DM35/100)</f>
        <v>25.830766377612981</v>
      </c>
      <c r="DO35" s="1356">
        <f ca="1">+DP35/DN35*100-100</f>
        <v>3.7537547597789001</v>
      </c>
      <c r="DP35" s="1349">
        <f ca="1">OFFSET('VVP2'!$G$185,0,(COLUMN()-10)/5)</f>
        <v>26.80039</v>
      </c>
      <c r="DQ35" s="1357">
        <f ca="1">(DP35/DK35-1)*100</f>
        <v>7.790787561124124</v>
      </c>
      <c r="DR35" s="3073">
        <v>3.5</v>
      </c>
      <c r="DS35" s="2250">
        <f ca="1">+DP35*(1+DR35/100)</f>
        <v>27.738403649999999</v>
      </c>
      <c r="DT35" s="3197">
        <v>2.6</v>
      </c>
      <c r="DU35" s="2250">
        <f ca="1">+DS35*(1+DT35/100)</f>
        <v>28.4596021449</v>
      </c>
      <c r="DV35" s="2251">
        <f ca="1">(DU35/DP35-1)*100</f>
        <v>6.190999999999991</v>
      </c>
      <c r="DW35" s="3073">
        <v>3.3</v>
      </c>
      <c r="DX35" s="2250">
        <f ca="1">+DU35*(1+DW35/100)</f>
        <v>29.398769015681697</v>
      </c>
      <c r="DY35" s="3197">
        <v>2.2000000000000002</v>
      </c>
      <c r="DZ35" s="2250">
        <f ca="1">+DX35*(1+DY35/100)</f>
        <v>30.045541934026694</v>
      </c>
      <c r="EA35" s="2251">
        <f ca="1">(DZ35/DU35-1)*100</f>
        <v>5.5725999999999942</v>
      </c>
    </row>
    <row r="36" spans="1:145" s="2842" customFormat="1">
      <c r="A36" s="2841"/>
      <c r="C36" s="2843"/>
      <c r="D36" s="1782"/>
      <c r="E36" s="1782" t="s">
        <v>758</v>
      </c>
      <c r="F36" s="2844"/>
      <c r="G36" s="2845"/>
      <c r="H36" s="2845"/>
      <c r="I36" s="2845"/>
      <c r="J36" s="1232"/>
      <c r="K36" s="2845"/>
      <c r="L36" s="2847">
        <f ca="1">OFFSET('Q1'!$N28,0,(COLUMN()-12)*4/5)</f>
        <v>6.1330753520369825</v>
      </c>
      <c r="M36" s="2846"/>
      <c r="N36" s="1232"/>
      <c r="O36" s="1232"/>
      <c r="P36" s="1232"/>
      <c r="Q36" s="2847">
        <f ca="1">OFFSET('Q1'!$N28,0,(COLUMN()-12)*4/5)</f>
        <v>5.9929751781525624</v>
      </c>
      <c r="R36" s="1232"/>
      <c r="S36" s="1232"/>
      <c r="T36" s="1232"/>
      <c r="U36" s="1232"/>
      <c r="V36" s="2847">
        <f ca="1">OFFSET('Q1'!$N28,0,(COLUMN()-12)*4/5)</f>
        <v>4.7410102739726057</v>
      </c>
      <c r="W36" s="1232"/>
      <c r="X36" s="1232"/>
      <c r="Y36" s="1232"/>
      <c r="Z36" s="1232"/>
      <c r="AA36" s="2847">
        <f ca="1">OFFSET('Q1'!$N28,0,(COLUMN()-12)*4/5)</f>
        <v>4.9767183873651817</v>
      </c>
      <c r="AB36" s="1232"/>
      <c r="AC36" s="1232"/>
      <c r="AD36" s="1232"/>
      <c r="AE36" s="1232"/>
      <c r="AF36" s="2847">
        <f ca="1">OFFSET('Q1'!$N28,0,(COLUMN()-12)*4/5)</f>
        <v>6.6040031424459613</v>
      </c>
      <c r="AG36" s="1232"/>
      <c r="AH36" s="1232"/>
      <c r="AI36" s="1232"/>
      <c r="AJ36" s="1232"/>
      <c r="AK36" s="2847">
        <f ca="1">OFFSET('Q1'!$N28,0,(COLUMN()-12)*4/5)</f>
        <v>4.5638336724578892</v>
      </c>
      <c r="AL36" s="1232"/>
      <c r="AM36" s="1232"/>
      <c r="AN36" s="1232"/>
      <c r="AO36" s="1232"/>
      <c r="AP36" s="2847">
        <f ca="1">OFFSET('Q1'!$N28,0,(COLUMN()-12)*4/5)</f>
        <v>6.1655668791397886</v>
      </c>
      <c r="AQ36" s="1232"/>
      <c r="AR36" s="1232"/>
      <c r="AS36" s="1232"/>
      <c r="AT36" s="1232"/>
      <c r="AU36" s="2847">
        <f ca="1">OFFSET('Q1'!$N28,0,(COLUMN()-12)*4/5)</f>
        <v>11.227855797954973</v>
      </c>
      <c r="AV36" s="1232"/>
      <c r="AW36" s="1232"/>
      <c r="AX36" s="1232"/>
      <c r="AY36" s="1232"/>
      <c r="AZ36" s="2847">
        <f ca="1">OFFSET('Q1'!$N28,0,(COLUMN()-12)*4/5)</f>
        <v>11.327222358667214</v>
      </c>
      <c r="BA36" s="1232"/>
      <c r="BB36" s="1232"/>
      <c r="BC36" s="1232"/>
      <c r="BD36" s="1232"/>
      <c r="BE36" s="2847">
        <f ca="1">OFFSET('Q1'!$N28,0,(COLUMN()-12)*4/5)</f>
        <v>44.525261377518973</v>
      </c>
      <c r="BF36" s="1232"/>
      <c r="BG36" s="1232"/>
      <c r="BH36" s="1232"/>
      <c r="BI36" s="1232"/>
      <c r="BJ36" s="2847">
        <f ca="1">OFFSET('Q1'!$N28,0,(COLUMN()-12)*4/5)</f>
        <v>9.0948246548636149</v>
      </c>
      <c r="BK36" s="1232"/>
      <c r="BL36" s="1232"/>
      <c r="BM36" s="1232"/>
      <c r="BN36" s="1232"/>
      <c r="BO36" s="2847">
        <f ca="1">OFFSET('Q1'!$N28,0,(COLUMN()-12)*4/5)</f>
        <v>12.414025974025961</v>
      </c>
      <c r="BP36" s="1232"/>
      <c r="BQ36" s="1232"/>
      <c r="BR36" s="1232"/>
      <c r="BS36" s="1232"/>
      <c r="BT36" s="2847">
        <f ca="1">OFFSET('Q1'!$N28,0,(COLUMN()-12)*4/5)</f>
        <v>3.6682578778818709</v>
      </c>
      <c r="BU36" s="1232"/>
      <c r="BV36" s="1232"/>
      <c r="BW36" s="1232"/>
      <c r="BX36" s="1232"/>
      <c r="BY36" s="2865">
        <f ca="1">OFFSET('Q1'!$N28,0,(COLUMN()-12)*4/5)</f>
        <v>-17.180555865112453</v>
      </c>
      <c r="BZ36" s="1232"/>
      <c r="CA36" s="1232"/>
      <c r="CB36" s="1232"/>
      <c r="CC36" s="1232"/>
      <c r="CD36" s="2865">
        <f ca="1">OFFSET('Q1'!$N28,0,(COLUMN()-12)*4/5)</f>
        <v>-3.37418524917517</v>
      </c>
      <c r="CE36" s="1232"/>
      <c r="CF36" s="1232"/>
      <c r="CG36" s="1232"/>
      <c r="CH36" s="1232"/>
      <c r="CI36" s="2865">
        <f ca="1">OFFSET('Q1'!$N28,0,(COLUMN()-12)*4/5)</f>
        <v>4.7291727011430424</v>
      </c>
      <c r="CJ36" s="1232"/>
      <c r="CK36" s="1232"/>
      <c r="CL36" s="1232"/>
      <c r="CM36" s="1232"/>
      <c r="CN36" s="2865">
        <f ca="1">OFFSET('Q1'!$N28,0,(COLUMN()-12)*4/5)</f>
        <v>2.5242801068005463</v>
      </c>
      <c r="CO36" s="1232"/>
      <c r="CP36" s="1232"/>
      <c r="CQ36" s="1232"/>
      <c r="CR36" s="1232"/>
      <c r="CS36" s="2865">
        <f ca="1">OFFSET('Q1'!$N28,0,(COLUMN()-12)*4/5)</f>
        <v>4.8822369786262669</v>
      </c>
      <c r="CT36" s="1232"/>
      <c r="CU36" s="1232"/>
      <c r="CV36" s="1232"/>
      <c r="CW36" s="1232"/>
      <c r="CX36" s="2865">
        <f ca="1">OFFSET('Q1'!$N28,0,(COLUMN()-12)*4/5)</f>
        <v>3.8650449372066333</v>
      </c>
      <c r="CY36" s="1232"/>
      <c r="CZ36" s="1232"/>
      <c r="DA36" s="1232"/>
      <c r="DB36" s="1232"/>
      <c r="DC36" s="2865">
        <f ca="1">OFFSET('Q1'!$N28,0,(COLUMN()-12)*4/5)</f>
        <v>4.0040955306331512</v>
      </c>
      <c r="DD36" s="1232"/>
      <c r="DE36" s="1232"/>
      <c r="DF36" s="1232"/>
      <c r="DG36" s="1232"/>
      <c r="DH36" s="2865">
        <f ca="1">OFFSET('Q1'!$N28,0,(COLUMN()-12)*4/5)</f>
        <v>4.6659004638427035</v>
      </c>
      <c r="DI36" s="1232"/>
      <c r="DJ36" s="1232"/>
      <c r="DK36" s="1232"/>
      <c r="DL36" s="1232"/>
      <c r="DM36" s="2865">
        <f ca="1">OFFSET('Q1'!$N28,0,(COLUMN()-12)*4/5)</f>
        <v>4.1241037172493122</v>
      </c>
      <c r="DN36" s="1232"/>
      <c r="DO36" s="1232"/>
      <c r="DP36" s="1232"/>
      <c r="DQ36" s="1232"/>
      <c r="DR36" s="2865">
        <f ca="1">OFFSET('Q1'!$N28,0,(COLUMN()-12)*4/5)</f>
        <v>3.5081423884548002</v>
      </c>
      <c r="DS36" s="1232"/>
      <c r="DT36" s="1232"/>
      <c r="DU36" s="1232"/>
      <c r="DV36" s="1232"/>
      <c r="DW36" s="2865">
        <f ca="1">OFFSET('Q1'!$N28,0,(COLUMN()-12)*4/5)</f>
        <v>3.2650864524893564</v>
      </c>
      <c r="DX36" s="1232"/>
      <c r="DY36" s="1232"/>
      <c r="DZ36" s="1232"/>
      <c r="EA36" s="1232"/>
      <c r="EB36"/>
      <c r="EC36"/>
      <c r="ED36"/>
      <c r="EE36"/>
      <c r="EF36"/>
      <c r="EG36"/>
      <c r="EH36"/>
      <c r="EI36"/>
      <c r="EJ36"/>
      <c r="EK36"/>
      <c r="EL36"/>
      <c r="EM36"/>
      <c r="EN36"/>
      <c r="EO36"/>
    </row>
    <row r="39" spans="1:145">
      <c r="B39" s="1"/>
      <c r="C39" s="774"/>
      <c r="D39" s="3752"/>
      <c r="E39" s="3752" t="s">
        <v>664</v>
      </c>
      <c r="F39" s="3752"/>
      <c r="G39" s="3754">
        <f>+InputY!$G$3</f>
        <v>1995</v>
      </c>
      <c r="H39" s="3755"/>
      <c r="I39" s="3755"/>
      <c r="J39" s="3755"/>
      <c r="K39" s="3756"/>
      <c r="L39" s="3754">
        <f>+G39+1</f>
        <v>1996</v>
      </c>
      <c r="M39" s="3755"/>
      <c r="N39" s="3755"/>
      <c r="O39" s="3755"/>
      <c r="P39" s="3756"/>
      <c r="Q39" s="3754">
        <f>+L39+1</f>
        <v>1997</v>
      </c>
      <c r="R39" s="3755"/>
      <c r="S39" s="3755"/>
      <c r="T39" s="3755"/>
      <c r="U39" s="3756"/>
      <c r="V39" s="3754">
        <f>+Q39+1</f>
        <v>1998</v>
      </c>
      <c r="W39" s="3755"/>
      <c r="X39" s="3755"/>
      <c r="Y39" s="3755"/>
      <c r="Z39" s="3756"/>
      <c r="AA39" s="3754">
        <f>+V39+1</f>
        <v>1999</v>
      </c>
      <c r="AB39" s="3755"/>
      <c r="AC39" s="3755"/>
      <c r="AD39" s="3755"/>
      <c r="AE39" s="3756"/>
      <c r="AF39" s="3754">
        <f>+AA39+1</f>
        <v>2000</v>
      </c>
      <c r="AG39" s="3755"/>
      <c r="AH39" s="3755"/>
      <c r="AI39" s="3755"/>
      <c r="AJ39" s="3756"/>
      <c r="AK39" s="3754">
        <f>+AF39+1</f>
        <v>2001</v>
      </c>
      <c r="AL39" s="3755"/>
      <c r="AM39" s="3755"/>
      <c r="AN39" s="3755"/>
      <c r="AO39" s="3756"/>
      <c r="AP39" s="3754">
        <f>+AK39+1</f>
        <v>2002</v>
      </c>
      <c r="AQ39" s="3755"/>
      <c r="AR39" s="3755"/>
      <c r="AS39" s="3755"/>
      <c r="AT39" s="3756"/>
      <c r="AU39" s="3754">
        <f>+AP39+1</f>
        <v>2003</v>
      </c>
      <c r="AV39" s="3755"/>
      <c r="AW39" s="3755"/>
      <c r="AX39" s="3755"/>
      <c r="AY39" s="3756"/>
      <c r="AZ39" s="3754">
        <f>+AU39+1</f>
        <v>2004</v>
      </c>
      <c r="BA39" s="3755"/>
      <c r="BB39" s="3755"/>
      <c r="BC39" s="3755"/>
      <c r="BD39" s="3756"/>
      <c r="BE39" s="3754">
        <f>+AZ39+1</f>
        <v>2005</v>
      </c>
      <c r="BF39" s="3755"/>
      <c r="BG39" s="3755"/>
      <c r="BH39" s="3755"/>
      <c r="BI39" s="3756"/>
      <c r="BJ39" s="3754">
        <f>+BE39+1</f>
        <v>2006</v>
      </c>
      <c r="BK39" s="3755"/>
      <c r="BL39" s="3755"/>
      <c r="BM39" s="3755"/>
      <c r="BN39" s="3756"/>
      <c r="BO39" s="3754">
        <f>+BJ39+1</f>
        <v>2007</v>
      </c>
      <c r="BP39" s="3755"/>
      <c r="BQ39" s="3755"/>
      <c r="BR39" s="3755"/>
      <c r="BS39" s="3756"/>
      <c r="BT39" s="3754">
        <f>+BO39+1</f>
        <v>2008</v>
      </c>
      <c r="BU39" s="3755"/>
      <c r="BV39" s="3755"/>
      <c r="BW39" s="3755"/>
      <c r="BX39" s="3756"/>
      <c r="BY39" s="3754">
        <f>+BT39+1</f>
        <v>2009</v>
      </c>
      <c r="BZ39" s="3755"/>
      <c r="CA39" s="3755"/>
      <c r="CB39" s="3755"/>
      <c r="CC39" s="3756"/>
      <c r="CD39" s="3754">
        <f>+BY39+1</f>
        <v>2010</v>
      </c>
      <c r="CE39" s="3755"/>
      <c r="CF39" s="3755"/>
      <c r="CG39" s="3755"/>
      <c r="CH39" s="3756"/>
      <c r="CI39" s="3754">
        <f>+CD39+1</f>
        <v>2011</v>
      </c>
      <c r="CJ39" s="3755"/>
      <c r="CK39" s="3755"/>
      <c r="CL39" s="3755"/>
      <c r="CM39" s="3756"/>
      <c r="CN39" s="3754">
        <f>+CI39+1</f>
        <v>2012</v>
      </c>
      <c r="CO39" s="3755"/>
      <c r="CP39" s="3755"/>
      <c r="CQ39" s="3755"/>
      <c r="CR39" s="3756"/>
      <c r="CS39" s="3754">
        <f>+CN39+1</f>
        <v>2013</v>
      </c>
      <c r="CT39" s="3755"/>
      <c r="CU39" s="3755"/>
      <c r="CV39" s="3755"/>
      <c r="CW39" s="3756"/>
      <c r="CX39" s="3754">
        <f>+CS39+1</f>
        <v>2014</v>
      </c>
      <c r="CY39" s="3755"/>
      <c r="CZ39" s="3755"/>
      <c r="DA39" s="3755"/>
      <c r="DB39" s="3756"/>
      <c r="DC39" s="3754">
        <f>+CX39+1</f>
        <v>2015</v>
      </c>
      <c r="DD39" s="3755"/>
      <c r="DE39" s="3755"/>
      <c r="DF39" s="3755"/>
      <c r="DG39" s="3756"/>
      <c r="DH39" s="3754">
        <f>+DC39+1</f>
        <v>2016</v>
      </c>
      <c r="DI39" s="3755"/>
      <c r="DJ39" s="3755"/>
      <c r="DK39" s="3755"/>
      <c r="DL39" s="3756"/>
      <c r="DM39" s="3754">
        <f>+DH39+1</f>
        <v>2017</v>
      </c>
      <c r="DN39" s="3755"/>
      <c r="DO39" s="3755"/>
      <c r="DP39" s="3755"/>
      <c r="DQ39" s="3756"/>
      <c r="DR39" s="3754">
        <f>+DM39+1</f>
        <v>2018</v>
      </c>
      <c r="DS39" s="3755"/>
      <c r="DT39" s="3755"/>
      <c r="DU39" s="3755"/>
      <c r="DV39" s="3756"/>
      <c r="DW39" s="3754">
        <f>+DR39+1</f>
        <v>2019</v>
      </c>
      <c r="DX39" s="3755"/>
      <c r="DY39" s="3755"/>
      <c r="DZ39" s="3755"/>
      <c r="EA39" s="3756"/>
    </row>
    <row r="40" spans="1:145">
      <c r="B40" s="1"/>
      <c r="C40" s="774"/>
      <c r="D40" s="3752"/>
      <c r="E40" s="3752"/>
      <c r="F40" s="3752"/>
      <c r="G40" s="1252"/>
      <c r="H40" s="1253"/>
      <c r="I40" s="1252" t="s">
        <v>2022</v>
      </c>
      <c r="J40" s="1253" t="s">
        <v>666</v>
      </c>
      <c r="K40" s="1252"/>
      <c r="L40" s="1252"/>
      <c r="M40" s="1253"/>
      <c r="N40" s="1252" t="s">
        <v>2022</v>
      </c>
      <c r="O40" s="1253" t="s">
        <v>666</v>
      </c>
      <c r="P40" s="1252"/>
      <c r="Q40" s="1252"/>
      <c r="R40" s="1253"/>
      <c r="S40" s="1252" t="s">
        <v>2022</v>
      </c>
      <c r="T40" s="1253" t="s">
        <v>666</v>
      </c>
      <c r="U40" s="1252"/>
      <c r="V40" s="1252"/>
      <c r="W40" s="1253"/>
      <c r="X40" s="1252" t="s">
        <v>2022</v>
      </c>
      <c r="Y40" s="1253" t="s">
        <v>666</v>
      </c>
      <c r="Z40" s="1252"/>
      <c r="AA40" s="1252"/>
      <c r="AB40" s="1253"/>
      <c r="AC40" s="1252" t="s">
        <v>2022</v>
      </c>
      <c r="AD40" s="1253" t="s">
        <v>666</v>
      </c>
      <c r="AE40" s="1252"/>
      <c r="AF40" s="1252"/>
      <c r="AG40" s="1253"/>
      <c r="AH40" s="1252" t="s">
        <v>2022</v>
      </c>
      <c r="AI40" s="1253" t="s">
        <v>666</v>
      </c>
      <c r="AJ40" s="1252"/>
      <c r="AK40" s="1252"/>
      <c r="AL40" s="1253"/>
      <c r="AM40" s="1252" t="s">
        <v>2022</v>
      </c>
      <c r="AN40" s="1253" t="s">
        <v>666</v>
      </c>
      <c r="AO40" s="1252"/>
      <c r="AP40" s="1252"/>
      <c r="AQ40" s="1253"/>
      <c r="AR40" s="1252" t="s">
        <v>2022</v>
      </c>
      <c r="AS40" s="1253" t="s">
        <v>666</v>
      </c>
      <c r="AT40" s="1252"/>
      <c r="AU40" s="1252"/>
      <c r="AV40" s="1253"/>
      <c r="AW40" s="1252" t="s">
        <v>2022</v>
      </c>
      <c r="AX40" s="1253" t="s">
        <v>666</v>
      </c>
      <c r="AY40" s="1252"/>
      <c r="AZ40" s="1252"/>
      <c r="BA40" s="1253"/>
      <c r="BB40" s="1252" t="s">
        <v>2022</v>
      </c>
      <c r="BC40" s="1253" t="s">
        <v>666</v>
      </c>
      <c r="BD40" s="1252"/>
      <c r="BE40" s="1252"/>
      <c r="BF40" s="1253"/>
      <c r="BG40" s="1252" t="s">
        <v>2022</v>
      </c>
      <c r="BH40" s="1253" t="s">
        <v>666</v>
      </c>
      <c r="BI40" s="1252"/>
      <c r="BJ40" s="1252"/>
      <c r="BK40" s="1253"/>
      <c r="BL40" s="1252" t="s">
        <v>2022</v>
      </c>
      <c r="BM40" s="1253" t="s">
        <v>666</v>
      </c>
      <c r="BN40" s="1252"/>
      <c r="BO40" s="1252"/>
      <c r="BP40" s="1253"/>
      <c r="BQ40" s="1252" t="s">
        <v>2022</v>
      </c>
      <c r="BR40" s="1253" t="s">
        <v>666</v>
      </c>
      <c r="BS40" s="1252"/>
      <c r="BT40" s="1252"/>
      <c r="BU40" s="1253"/>
      <c r="BV40" s="1252" t="s">
        <v>2022</v>
      </c>
      <c r="BW40" s="1253" t="s">
        <v>666</v>
      </c>
      <c r="BX40" s="1252"/>
      <c r="BY40" s="1252"/>
      <c r="BZ40" s="1253"/>
      <c r="CA40" s="1252" t="s">
        <v>2022</v>
      </c>
      <c r="CB40" s="1253" t="s">
        <v>666</v>
      </c>
      <c r="CC40" s="1252"/>
      <c r="CD40" s="1252"/>
      <c r="CE40" s="1253"/>
      <c r="CF40" s="1252" t="s">
        <v>2022</v>
      </c>
      <c r="CG40" s="1253" t="s">
        <v>666</v>
      </c>
      <c r="CH40" s="1252"/>
      <c r="CI40" s="1252"/>
      <c r="CJ40" s="1253"/>
      <c r="CK40" s="1252" t="s">
        <v>2022</v>
      </c>
      <c r="CL40" s="1253" t="s">
        <v>666</v>
      </c>
      <c r="CM40" s="1252"/>
      <c r="CN40" s="1252"/>
      <c r="CO40" s="1253"/>
      <c r="CP40" s="1252" t="s">
        <v>2022</v>
      </c>
      <c r="CQ40" s="1253" t="s">
        <v>666</v>
      </c>
      <c r="CR40" s="1252"/>
      <c r="CS40" s="1252"/>
      <c r="CT40" s="1253"/>
      <c r="CU40" s="1252" t="s">
        <v>2022</v>
      </c>
      <c r="CV40" s="1253" t="s">
        <v>666</v>
      </c>
      <c r="CW40" s="1252"/>
      <c r="CX40" s="1252"/>
      <c r="CY40" s="1253"/>
      <c r="CZ40" s="1252" t="s">
        <v>2022</v>
      </c>
      <c r="DA40" s="1253" t="s">
        <v>666</v>
      </c>
      <c r="DB40" s="1252"/>
      <c r="DC40" s="1252"/>
      <c r="DD40" s="1253"/>
      <c r="DE40" s="1252" t="s">
        <v>2022</v>
      </c>
      <c r="DF40" s="1253" t="s">
        <v>666</v>
      </c>
      <c r="DG40" s="1252"/>
      <c r="DH40" s="1252"/>
      <c r="DI40" s="1253"/>
      <c r="DJ40" s="1252" t="s">
        <v>2022</v>
      </c>
      <c r="DK40" s="1253" t="s">
        <v>666</v>
      </c>
      <c r="DL40" s="1252"/>
      <c r="DM40" s="1252"/>
      <c r="DN40" s="1253"/>
      <c r="DO40" s="1252" t="s">
        <v>2022</v>
      </c>
      <c r="DP40" s="1253" t="s">
        <v>666</v>
      </c>
      <c r="DQ40" s="1252"/>
      <c r="DR40" s="1252"/>
      <c r="DS40" s="1253"/>
      <c r="DT40" s="1252" t="s">
        <v>2022</v>
      </c>
      <c r="DU40" s="1253" t="s">
        <v>666</v>
      </c>
      <c r="DV40" s="1252"/>
      <c r="DW40" s="1252"/>
      <c r="DX40" s="1253"/>
      <c r="DY40" s="1252" t="s">
        <v>2022</v>
      </c>
      <c r="DZ40" s="1253" t="s">
        <v>666</v>
      </c>
      <c r="EA40" s="1252"/>
    </row>
    <row r="41" spans="1:145">
      <c r="B41" s="1"/>
      <c r="C41" s="1389"/>
      <c r="D41" s="1311"/>
      <c r="E41" s="1311" t="s">
        <v>665</v>
      </c>
      <c r="F41" s="1390" t="s">
        <v>599</v>
      </c>
      <c r="G41" s="1391"/>
      <c r="H41" s="1392"/>
      <c r="I41" s="1392"/>
      <c r="J41" s="1393">
        <f ca="1">OFFSET('VVP2'!$G$363,0,(COLUMN()-10)/5)</f>
        <v>46.202189580827167</v>
      </c>
      <c r="K41" s="1436"/>
      <c r="L41" s="1391"/>
      <c r="M41" s="1392"/>
      <c r="N41" s="1388">
        <f ca="1">(O41/J41-1)*100</f>
        <v>24.696471147133337</v>
      </c>
      <c r="O41" s="1393">
        <f ca="1">OFFSET('VVP2'!$G$363,0,(COLUMN()-10)/5)</f>
        <v>57.612499999999997</v>
      </c>
      <c r="P41" s="1436"/>
      <c r="Q41" s="1391"/>
      <c r="R41" s="1392"/>
      <c r="S41" s="1388">
        <f ca="1">(T41/O41-1)*100</f>
        <v>10.316048311274994</v>
      </c>
      <c r="T41" s="1393">
        <f ca="1">OFFSET('VVP2'!$G$363,0,(COLUMN()-10)/5)</f>
        <v>63.555833333333297</v>
      </c>
      <c r="U41" s="1436"/>
      <c r="V41" s="1391"/>
      <c r="W41" s="1392"/>
      <c r="X41" s="1388">
        <f ca="1">(Y41/T41-1)*100</f>
        <v>5.3692947146210201</v>
      </c>
      <c r="Y41" s="1393">
        <f ca="1">OFFSET('VVP2'!$G$363,0,(COLUMN()-10)/5)</f>
        <v>66.968333333333305</v>
      </c>
      <c r="Z41" s="1436"/>
      <c r="AA41" s="1391"/>
      <c r="AB41" s="1392"/>
      <c r="AC41" s="1388">
        <f ca="1">(AD41/Y41-1)*100</f>
        <v>1.4434683059157738</v>
      </c>
      <c r="AD41" s="1393">
        <f ca="1">OFFSET('VVP2'!$G$363,0,(COLUMN()-10)/5)</f>
        <v>67.935000000000002</v>
      </c>
      <c r="AE41" s="1436"/>
      <c r="AF41" s="1391"/>
      <c r="AG41" s="1392"/>
      <c r="AH41" s="1388">
        <f ca="1">(AI41/AD41-1)*100</f>
        <v>1.0941831652804934</v>
      </c>
      <c r="AI41" s="1393">
        <f ca="1">OFFSET('VVP2'!$G$363,0,(COLUMN()-10)/5)</f>
        <v>68.678333333333299</v>
      </c>
      <c r="AJ41" s="1436"/>
      <c r="AK41" s="1391"/>
      <c r="AL41" s="1392"/>
      <c r="AM41" s="1388">
        <f ca="1">(AN41/AI41-1)*100</f>
        <v>1.5494940180067029</v>
      </c>
      <c r="AN41" s="1393">
        <f ca="1">OFFSET('VVP2'!$G$363,0,(COLUMN()-10)/5)</f>
        <v>69.742500000000007</v>
      </c>
      <c r="AO41" s="1436"/>
      <c r="AP41" s="1391"/>
      <c r="AQ41" s="1392"/>
      <c r="AR41" s="1388">
        <f ca="1">(AS41/AN41-1)*100</f>
        <v>0.33575892270378827</v>
      </c>
      <c r="AS41" s="1393">
        <f ca="1">OFFSET('VVP2'!$G$363,0,(COLUMN()-10)/5)</f>
        <v>69.976666666666702</v>
      </c>
      <c r="AT41" s="1436"/>
      <c r="AU41" s="1391"/>
      <c r="AV41" s="1392"/>
      <c r="AW41" s="1388">
        <f ca="1">(AX41/AS41-1)*100</f>
        <v>-1.076549325965892</v>
      </c>
      <c r="AX41" s="1393">
        <f ca="1">OFFSET('VVP2'!$G$363,0,(COLUMN()-10)/5)</f>
        <v>69.223333333333301</v>
      </c>
      <c r="AY41" s="1436"/>
      <c r="AZ41" s="1391"/>
      <c r="BA41" s="1392"/>
      <c r="BB41" s="1388">
        <f ca="1">(BC41/AX41-1)*100</f>
        <v>1.1544758511099706</v>
      </c>
      <c r="BC41" s="1393">
        <f ca="1">OFFSET('VVP2'!$G$363,0,(COLUMN()-10)/5)</f>
        <v>70.022499999999994</v>
      </c>
      <c r="BD41" s="1436"/>
      <c r="BE41" s="1391"/>
      <c r="BF41" s="1392"/>
      <c r="BG41" s="1388">
        <f ca="1">(BH41/BC41-1)*100</f>
        <v>2.6717602675330188</v>
      </c>
      <c r="BH41" s="1393">
        <f ca="1">OFFSET('VVP2'!$G$363,0,(COLUMN()-10)/5)</f>
        <v>71.893333333333302</v>
      </c>
      <c r="BI41" s="1436"/>
      <c r="BJ41" s="1391"/>
      <c r="BK41" s="1392"/>
      <c r="BL41" s="1388">
        <f ca="1">(BM41/BH41-1)*100</f>
        <v>3.7567229228487431</v>
      </c>
      <c r="BM41" s="1393">
        <f ca="1">OFFSET('VVP2'!$G$363,0,(COLUMN()-10)/5)</f>
        <v>74.594166666666695</v>
      </c>
      <c r="BN41" s="1436"/>
      <c r="BO41" s="1391"/>
      <c r="BP41" s="1392"/>
      <c r="BQ41" s="1388">
        <f ca="1">(BR41/BM41-1)*100</f>
        <v>5.8181493190933242</v>
      </c>
      <c r="BR41" s="1393">
        <f ca="1">OFFSET('VVP2'!$G$363,0,(COLUMN()-10)/5)</f>
        <v>78.934166666666698</v>
      </c>
      <c r="BS41" s="1436"/>
      <c r="BT41" s="1391"/>
      <c r="BU41" s="1392"/>
      <c r="BV41" s="1388">
        <f ca="1">(BW41/BR41-1)*100</f>
        <v>11.091521415525584</v>
      </c>
      <c r="BW41" s="1393">
        <f ca="1">OFFSET('VVP2'!$G$363,0,(COLUMN()-10)/5)</f>
        <v>87.689166666666694</v>
      </c>
      <c r="BX41" s="1436"/>
      <c r="BY41" s="1391"/>
      <c r="BZ41" s="1392"/>
      <c r="CA41" s="1388">
        <f ca="1">(CB41/BW41-1)*100</f>
        <v>4.1614794681972489</v>
      </c>
      <c r="CB41" s="1393">
        <f ca="1">OFFSET('VVP2'!$G$363,0,(COLUMN()-10)/5)</f>
        <v>91.338333333333296</v>
      </c>
      <c r="CC41" s="1436"/>
      <c r="CD41" s="1391"/>
      <c r="CE41" s="1392"/>
      <c r="CF41" s="1388">
        <f ca="1">(CG41/CB41-1)*100</f>
        <v>1.1906282502782695</v>
      </c>
      <c r="CG41" s="1393">
        <f ca="1">OFFSET('VVP2'!$G$363,0,(COLUMN()-10)/5)</f>
        <v>92.425833333333301</v>
      </c>
      <c r="CH41" s="1436"/>
      <c r="CI41" s="1391"/>
      <c r="CJ41" s="1392"/>
      <c r="CK41" s="1388">
        <f ca="1">(CL41/CG41-1)*100</f>
        <v>4.1240273732993549</v>
      </c>
      <c r="CL41" s="1393">
        <f ca="1">OFFSET('VVP2'!$G$363,0,(COLUMN()-10)/5)</f>
        <v>96.237499999999997</v>
      </c>
      <c r="CM41" s="1436"/>
      <c r="CN41" s="1391"/>
      <c r="CO41" s="1392"/>
      <c r="CP41" s="1388">
        <f ca="1">(CQ41/CL41-1)*100</f>
        <v>3.1640472788673879</v>
      </c>
      <c r="CQ41" s="1393">
        <f ca="1">OFFSET('VVP2'!$G$363,0,(COLUMN()-10)/5)</f>
        <v>99.282499999999999</v>
      </c>
      <c r="CR41" s="1436"/>
      <c r="CS41" s="1391"/>
      <c r="CT41" s="1392"/>
      <c r="CU41" s="1388">
        <f ca="1">(CV41/CQ41-1)*100</f>
        <v>1.1641863705416533</v>
      </c>
      <c r="CV41" s="1393">
        <f ca="1">OFFSET('VVP2'!$G$363,0,(COLUMN()-10)/5)</f>
        <v>100.43833333333301</v>
      </c>
      <c r="CW41" s="1436"/>
      <c r="CX41" s="1391"/>
      <c r="CY41" s="1392"/>
      <c r="CZ41" s="1848">
        <f ca="1">OFFSET('Q1'!$G329,0,4*(COLUMN()-9)/5+3)</f>
        <v>0.23523211230831009</v>
      </c>
      <c r="DA41" s="1437">
        <f ca="1">+CV41*(1+CZ41/100)</f>
        <v>100.67459654640027</v>
      </c>
      <c r="DB41" s="1436"/>
      <c r="DC41" s="1391"/>
      <c r="DD41" s="1392"/>
      <c r="DE41" s="1848">
        <f ca="1">OFFSET('Q1'!$G329,0,4*(COLUMN()-9)/5+3)</f>
        <v>-0.65578090704427439</v>
      </c>
      <c r="DF41" s="1437">
        <f ca="1">+DA41*(1+DE41/100)</f>
        <v>100.01439176400511</v>
      </c>
      <c r="DG41" s="1436"/>
      <c r="DH41" s="1391"/>
      <c r="DI41" s="1392"/>
      <c r="DJ41" s="1848">
        <f ca="1">OFFSET('Q1'!$G329,0,4*(COLUMN()-9)/5+3)</f>
        <v>0.7005573017237765</v>
      </c>
      <c r="DK41" s="1437">
        <f ca="1">+DF41*(1+DJ41/100)</f>
        <v>100.71504988828248</v>
      </c>
      <c r="DL41" s="1436"/>
      <c r="DM41" s="1391"/>
      <c r="DN41" s="1392"/>
      <c r="DO41" s="1848">
        <f ca="1">OFFSET('Q1'!$G329,0,4*(COLUMN()-9)/5+3)</f>
        <v>3.7189943820576019</v>
      </c>
      <c r="DP41" s="1437">
        <f ca="1">+DK41*(1+DO41/100)</f>
        <v>104.46063693551422</v>
      </c>
      <c r="DQ41" s="1436"/>
      <c r="DR41" s="1391"/>
      <c r="DS41" s="1392"/>
      <c r="DT41" s="1848">
        <f ca="1">OFFSET('Q1'!$G329,0,4*(COLUMN()-9)/5+3)</f>
        <v>2.8095001688776193</v>
      </c>
      <c r="DU41" s="1437">
        <f ca="1">+DP41*(1+DT41/100)</f>
        <v>107.39545870662813</v>
      </c>
      <c r="DV41" s="1436"/>
      <c r="DW41" s="1391"/>
      <c r="DX41" s="1392"/>
      <c r="DY41" s="1848">
        <f ca="1">OFFSET('Q1'!$G329,0,4*(COLUMN()-9)/5+3)</f>
        <v>2.3463849329505422</v>
      </c>
      <c r="DZ41" s="1437">
        <f ca="1">+DU41*(1+DY41/100)</f>
        <v>109.91536956839357</v>
      </c>
      <c r="EA41" s="1436"/>
    </row>
    <row r="42" spans="1:145">
      <c r="B42" s="1"/>
      <c r="C42" s="1389"/>
      <c r="D42" s="1311"/>
      <c r="E42" s="1311" t="s">
        <v>904</v>
      </c>
      <c r="F42" s="1390" t="s">
        <v>551</v>
      </c>
      <c r="G42" s="1391"/>
      <c r="H42" s="1392"/>
      <c r="I42" s="1392"/>
      <c r="J42" s="1393">
        <f ca="1">OFFSET('VVP2'!$G$362,0,(COLUMN()-10)/5)</f>
        <v>66.068980652933803</v>
      </c>
      <c r="K42" s="1436"/>
      <c r="L42" s="1391"/>
      <c r="M42" s="1392"/>
      <c r="N42" s="1388">
        <f ca="1">(O42/J42-1)*100</f>
        <v>24.625218170028674</v>
      </c>
      <c r="O42" s="1393">
        <f ca="1">OFFSET('VVP2'!$G$362,0,(COLUMN()-10)/5)</f>
        <v>82.33861128143279</v>
      </c>
      <c r="P42" s="1436"/>
      <c r="Q42" s="1391"/>
      <c r="R42" s="1392"/>
      <c r="S42" s="1388">
        <f ca="1">(T42/O42-1)*100</f>
        <v>8.8810385147548132</v>
      </c>
      <c r="T42" s="1393">
        <f ca="1">OFFSET('VVP2'!$G$362,0,(COLUMN()-10)/5)</f>
        <v>89.651135061851093</v>
      </c>
      <c r="U42" s="1436"/>
      <c r="V42" s="1391"/>
      <c r="W42" s="1392"/>
      <c r="X42" s="1388">
        <f ca="1">(Y42/T42-1)*100</f>
        <v>5.0675683816638006</v>
      </c>
      <c r="Y42" s="1393">
        <f ca="1">OFFSET('VVP2'!$G$362,0,(COLUMN()-10)/5)</f>
        <v>94.194267636048167</v>
      </c>
      <c r="Z42" s="1436"/>
      <c r="AA42" s="1391"/>
      <c r="AB42" s="1392"/>
      <c r="AC42" s="1388">
        <f ca="1">(AD42/Y42-1)*100</f>
        <v>0.72754768934095715</v>
      </c>
      <c r="AD42" s="1393">
        <f ca="1">OFFSET('VVP2'!$G$362,0,(COLUMN()-10)/5)</f>
        <v>94.879575853725868</v>
      </c>
      <c r="AE42" s="1436"/>
      <c r="AF42" s="1391"/>
      <c r="AG42" s="1392"/>
      <c r="AH42" s="1388">
        <f ca="1">(AI42/AD42-1)*100</f>
        <v>0.98165648690160534</v>
      </c>
      <c r="AI42" s="1393">
        <f ca="1">OFFSET('VVP2'!$G$362,0,(COLUMN()-10)/5)</f>
        <v>95.810967364838703</v>
      </c>
      <c r="AJ42" s="1436"/>
      <c r="AK42" s="1391"/>
      <c r="AL42" s="1392"/>
      <c r="AM42" s="1388">
        <f ca="1">(AN42/AI42-1)*100</f>
        <v>1.3671101382080053</v>
      </c>
      <c r="AN42" s="1393">
        <f ca="1">OFFSET('VVP2'!$G$362,0,(COLUMN()-10)/5)</f>
        <v>97.120808813198579</v>
      </c>
      <c r="AO42" s="1436"/>
      <c r="AP42" s="1391"/>
      <c r="AQ42" s="1392"/>
      <c r="AR42" s="1388">
        <f ca="1">(AS42/AN42-1)*100</f>
        <v>0.28147070071347091</v>
      </c>
      <c r="AS42" s="1393">
        <f ca="1">OFFSET('VVP2'!$G$362,0,(COLUMN()-10)/5)</f>
        <v>97.394175434303676</v>
      </c>
      <c r="AT42" s="1436"/>
      <c r="AU42" s="1391"/>
      <c r="AV42" s="1392"/>
      <c r="AW42" s="1388">
        <f ca="1">(AX42/AS42-1)*100</f>
        <v>-1.1342993332159379</v>
      </c>
      <c r="AX42" s="1393">
        <f ca="1">OFFSET('VVP2'!$G$362,0,(COLUMN()-10)/5)</f>
        <v>96.289433951761211</v>
      </c>
      <c r="AY42" s="1436"/>
      <c r="AZ42" s="1391"/>
      <c r="BA42" s="1392"/>
      <c r="BB42" s="1388">
        <f ca="1">(BC42/AX42-1)*100</f>
        <v>1.1641029555507165</v>
      </c>
      <c r="BC42" s="1393">
        <f ca="1">OFFSET('VVP2'!$G$362,0,(COLUMN()-10)/5)</f>
        <v>97.410342098276729</v>
      </c>
      <c r="BD42" s="1436"/>
      <c r="BE42" s="1391"/>
      <c r="BF42" s="1392"/>
      <c r="BG42" s="1388">
        <f ca="1">(BH42/BC42-1)*100</f>
        <v>2.6585040622386646</v>
      </c>
      <c r="BH42" s="1393">
        <f ca="1">OFFSET('VVP2'!$G$362,0,(COLUMN()-10)/5)</f>
        <v>100</v>
      </c>
      <c r="BI42" s="1436"/>
      <c r="BJ42" s="1391"/>
      <c r="BK42" s="1392"/>
      <c r="BL42" s="1388">
        <f ca="1">(BM42/BH42-1)*100</f>
        <v>3.7390827101533075</v>
      </c>
      <c r="BM42" s="1393">
        <f ca="1">OFFSET('VVP2'!$G$362,0,(COLUMN()-10)/5)</f>
        <v>103.73908271015331</v>
      </c>
      <c r="BN42" s="1436"/>
      <c r="BO42" s="1391"/>
      <c r="BP42" s="1392"/>
      <c r="BQ42" s="1388">
        <f ca="1">(BR42/BM42-1)*100</f>
        <v>5.7371890958501481</v>
      </c>
      <c r="BR42" s="1393">
        <f ca="1">OFFSET('VVP2'!$G$362,0,(COLUMN()-10)/5)</f>
        <v>109.69079005153519</v>
      </c>
      <c r="BS42" s="1436"/>
      <c r="BT42" s="1391"/>
      <c r="BU42" s="1392"/>
      <c r="BV42" s="1388">
        <f ca="1">(BW42/BR42-1)*100</f>
        <v>10.92586989019213</v>
      </c>
      <c r="BW42" s="1393">
        <f ca="1">OFFSET('VVP2'!$G$362,0,(COLUMN()-10)/5)</f>
        <v>121.67546305408973</v>
      </c>
      <c r="BX42" s="1436"/>
      <c r="BY42" s="1391"/>
      <c r="BZ42" s="1392"/>
      <c r="CA42" s="1388">
        <f ca="1">(CB42/BW42-1)*100</f>
        <v>4.4530745648701853</v>
      </c>
      <c r="CB42" s="1393">
        <f ca="1">OFFSET('VVP2'!$G$362,0,(COLUMN()-10)/5)</f>
        <v>127.09376215103943</v>
      </c>
      <c r="CC42" s="1436"/>
      <c r="CD42" s="1391"/>
      <c r="CE42" s="1392"/>
      <c r="CF42" s="1388">
        <f ca="1">(CG42/CB42-1)*100</f>
        <v>1.3192095548344218</v>
      </c>
      <c r="CG42" s="1393">
        <f ca="1">OFFSET('VVP2'!$G$362,0,(COLUMN()-10)/5)</f>
        <v>128.77039520493449</v>
      </c>
      <c r="CH42" s="1436"/>
      <c r="CI42" s="1391"/>
      <c r="CJ42" s="1392"/>
      <c r="CK42" s="1388">
        <f ca="1">(CL42/CG42-1)*100</f>
        <v>4.130270604337194</v>
      </c>
      <c r="CL42" s="1393">
        <f ca="1">OFFSET('VVP2'!$G$362,0,(COLUMN()-10)/5)</f>
        <v>134.08896098517272</v>
      </c>
      <c r="CM42" s="1436"/>
      <c r="CN42" s="1391"/>
      <c r="CO42" s="1392"/>
      <c r="CP42" s="1388">
        <f ca="1">(CQ42/CL42-1)*100</f>
        <v>3.1000000000005024</v>
      </c>
      <c r="CQ42" s="1393">
        <f ca="1">OFFSET('VVP2'!$G$362,0,(COLUMN()-10)/5)</f>
        <v>138.24571877571375</v>
      </c>
      <c r="CR42" s="1436"/>
      <c r="CS42" s="1391"/>
      <c r="CT42" s="1392"/>
      <c r="CU42" s="1388">
        <f ca="1">(CV42/CQ42-1)*100</f>
        <v>0.99999999999949019</v>
      </c>
      <c r="CV42" s="1393">
        <f ca="1">OFFSET('VVP2'!$G$362,0,(COLUMN()-10)/5)</f>
        <v>139.6281759634702</v>
      </c>
      <c r="CW42" s="1436"/>
      <c r="CX42" s="1391"/>
      <c r="CY42" s="1392"/>
      <c r="CZ42" s="1848">
        <f ca="1">CZ41</f>
        <v>0.23523211230831009</v>
      </c>
      <c r="DA42" s="1437">
        <f ca="1">+CV42*(1+CZ42/100)</f>
        <v>139.95662627116664</v>
      </c>
      <c r="DB42" s="1436"/>
      <c r="DC42" s="1391"/>
      <c r="DD42" s="1392"/>
      <c r="DE42" s="1848">
        <f ca="1">DE41</f>
        <v>-0.65578090704427439</v>
      </c>
      <c r="DF42" s="1437">
        <f ca="1">+DA42*(1+DE42/100)</f>
        <v>139.03881743793701</v>
      </c>
      <c r="DG42" s="1436"/>
      <c r="DH42" s="1391"/>
      <c r="DI42" s="1392"/>
      <c r="DJ42" s="1848">
        <f ca="1">DJ41</f>
        <v>0.7005573017237765</v>
      </c>
      <c r="DK42" s="1437">
        <f ca="1">+DF42*(1+DJ42/100)</f>
        <v>140.01286402572887</v>
      </c>
      <c r="DL42" s="1436"/>
      <c r="DM42" s="1391"/>
      <c r="DN42" s="1392"/>
      <c r="DO42" s="1848">
        <f ca="1">DO41</f>
        <v>3.7189943820576019</v>
      </c>
      <c r="DP42" s="1437">
        <f ca="1">+DK42*(1+DO42/100)</f>
        <v>145.21993457300368</v>
      </c>
      <c r="DQ42" s="1436"/>
      <c r="DR42" s="1391"/>
      <c r="DS42" s="1392"/>
      <c r="DT42" s="1848">
        <f ca="1">DT41</f>
        <v>2.8095001688776193</v>
      </c>
      <c r="DU42" s="1437">
        <f ca="1">+DP42*(1+DT42/100)</f>
        <v>149.2998888800762</v>
      </c>
      <c r="DV42" s="1436"/>
      <c r="DW42" s="1391"/>
      <c r="DX42" s="1392"/>
      <c r="DY42" s="1848">
        <f ca="1">DY41</f>
        <v>2.3463849329505422</v>
      </c>
      <c r="DZ42" s="1437">
        <f ca="1">+DU42*(1+DY42/100)</f>
        <v>152.80303897767021</v>
      </c>
      <c r="EA42" s="1436"/>
    </row>
    <row r="45" spans="1:145">
      <c r="D45" s="3752"/>
      <c r="E45" s="3752" t="s">
        <v>1271</v>
      </c>
      <c r="F45" s="3752"/>
      <c r="G45" s="3754">
        <f>+InputY!$G$3</f>
        <v>1995</v>
      </c>
      <c r="H45" s="3755"/>
      <c r="I45" s="3755"/>
      <c r="J45" s="3755"/>
      <c r="K45" s="3756"/>
      <c r="L45" s="3754">
        <f>+G45+1</f>
        <v>1996</v>
      </c>
      <c r="M45" s="3755"/>
      <c r="N45" s="3755"/>
      <c r="O45" s="3755"/>
      <c r="P45" s="3756"/>
      <c r="Q45" s="3754">
        <f>+L45+1</f>
        <v>1997</v>
      </c>
      <c r="R45" s="3755"/>
      <c r="S45" s="3755"/>
      <c r="T45" s="3755"/>
      <c r="U45" s="3756"/>
      <c r="V45" s="3754">
        <f>+Q45+1</f>
        <v>1998</v>
      </c>
      <c r="W45" s="3755"/>
      <c r="X45" s="3755"/>
      <c r="Y45" s="3755"/>
      <c r="Z45" s="3756"/>
      <c r="AA45" s="3754">
        <f>+V45+1</f>
        <v>1999</v>
      </c>
      <c r="AB45" s="3755"/>
      <c r="AC45" s="3755"/>
      <c r="AD45" s="3755"/>
      <c r="AE45" s="3756"/>
      <c r="AF45" s="3754">
        <f>+AA45+1</f>
        <v>2000</v>
      </c>
      <c r="AG45" s="3755"/>
      <c r="AH45" s="3755"/>
      <c r="AI45" s="3755"/>
      <c r="AJ45" s="3756"/>
      <c r="AK45" s="3754">
        <f>+AF45+1</f>
        <v>2001</v>
      </c>
      <c r="AL45" s="3755"/>
      <c r="AM45" s="3755"/>
      <c r="AN45" s="3755"/>
      <c r="AO45" s="3756"/>
      <c r="AP45" s="3754">
        <f>+AK45+1</f>
        <v>2002</v>
      </c>
      <c r="AQ45" s="3755"/>
      <c r="AR45" s="3755"/>
      <c r="AS45" s="3755"/>
      <c r="AT45" s="3756"/>
      <c r="AU45" s="3754">
        <f>+AP45+1</f>
        <v>2003</v>
      </c>
      <c r="AV45" s="3755"/>
      <c r="AW45" s="3755"/>
      <c r="AX45" s="3755"/>
      <c r="AY45" s="3756"/>
      <c r="AZ45" s="3754">
        <f>+AU45+1</f>
        <v>2004</v>
      </c>
      <c r="BA45" s="3755"/>
      <c r="BB45" s="3755"/>
      <c r="BC45" s="3755"/>
      <c r="BD45" s="3756"/>
      <c r="BE45" s="3754">
        <f>+AZ45+1</f>
        <v>2005</v>
      </c>
      <c r="BF45" s="3755"/>
      <c r="BG45" s="3755"/>
      <c r="BH45" s="3755"/>
      <c r="BI45" s="3756"/>
      <c r="BJ45" s="3754">
        <f>+BE45+1</f>
        <v>2006</v>
      </c>
      <c r="BK45" s="3755"/>
      <c r="BL45" s="3755"/>
      <c r="BM45" s="3755"/>
      <c r="BN45" s="3756"/>
      <c r="BO45" s="3754">
        <f>+BJ45+1</f>
        <v>2007</v>
      </c>
      <c r="BP45" s="3755"/>
      <c r="BQ45" s="3755"/>
      <c r="BR45" s="3755"/>
      <c r="BS45" s="3756"/>
      <c r="BT45" s="3754">
        <f>+BO45+1</f>
        <v>2008</v>
      </c>
      <c r="BU45" s="3755"/>
      <c r="BV45" s="3755"/>
      <c r="BW45" s="3755"/>
      <c r="BX45" s="3756"/>
      <c r="BY45" s="3754">
        <f>+BT45+1</f>
        <v>2009</v>
      </c>
      <c r="BZ45" s="3755"/>
      <c r="CA45" s="3755"/>
      <c r="CB45" s="3755"/>
      <c r="CC45" s="3756"/>
      <c r="CD45" s="3754">
        <f>+BY45+1</f>
        <v>2010</v>
      </c>
      <c r="CE45" s="3755"/>
      <c r="CF45" s="3755"/>
      <c r="CG45" s="3755"/>
      <c r="CH45" s="3756"/>
      <c r="CI45" s="3754">
        <f>+CD45+1</f>
        <v>2011</v>
      </c>
      <c r="CJ45" s="3755"/>
      <c r="CK45" s="3755"/>
      <c r="CL45" s="3755"/>
      <c r="CM45" s="3756"/>
      <c r="CN45" s="3754">
        <f>+CI45+1</f>
        <v>2012</v>
      </c>
      <c r="CO45" s="3755"/>
      <c r="CP45" s="3755"/>
      <c r="CQ45" s="3755"/>
      <c r="CR45" s="3756"/>
      <c r="CS45" s="3754">
        <f>+CN45+1</f>
        <v>2013</v>
      </c>
      <c r="CT45" s="3755"/>
      <c r="CU45" s="3755"/>
      <c r="CV45" s="3755"/>
      <c r="CW45" s="3756"/>
      <c r="CX45" s="3754">
        <f>+CS45+1</f>
        <v>2014</v>
      </c>
      <c r="CY45" s="3755"/>
      <c r="CZ45" s="3755"/>
      <c r="DA45" s="3755"/>
      <c r="DB45" s="3756"/>
      <c r="DC45" s="3754">
        <f>+CX45+1</f>
        <v>2015</v>
      </c>
      <c r="DD45" s="3755"/>
      <c r="DE45" s="3755"/>
      <c r="DF45" s="3755"/>
      <c r="DG45" s="3756"/>
      <c r="DH45" s="3754">
        <f>+DC45+1</f>
        <v>2016</v>
      </c>
      <c r="DI45" s="3755"/>
      <c r="DJ45" s="3755"/>
      <c r="DK45" s="3755"/>
      <c r="DL45" s="3756"/>
      <c r="DM45" s="3754">
        <f>+DH45+1</f>
        <v>2017</v>
      </c>
      <c r="DN45" s="3755"/>
      <c r="DO45" s="3755"/>
      <c r="DP45" s="3755"/>
      <c r="DQ45" s="3756"/>
      <c r="DR45" s="3754">
        <f>+DM45+1</f>
        <v>2018</v>
      </c>
      <c r="DS45" s="3755"/>
      <c r="DT45" s="3755"/>
      <c r="DU45" s="3755"/>
      <c r="DV45" s="3756"/>
      <c r="DW45" s="3754">
        <f>+DR45+1</f>
        <v>2019</v>
      </c>
      <c r="DX45" s="3755"/>
      <c r="DY45" s="3755"/>
      <c r="DZ45" s="3755"/>
      <c r="EA45" s="3756"/>
    </row>
    <row r="46" spans="1:145">
      <c r="A46" s="1457"/>
      <c r="C46" s="774"/>
      <c r="D46" s="3752"/>
      <c r="E46" s="3752"/>
      <c r="F46" s="3752"/>
      <c r="G46" s="1256" t="s">
        <v>1486</v>
      </c>
      <c r="H46" s="1253" t="s">
        <v>1732</v>
      </c>
      <c r="I46" s="1252" t="s">
        <v>2022</v>
      </c>
      <c r="J46" s="1253" t="s">
        <v>584</v>
      </c>
      <c r="K46" s="1252" t="s">
        <v>2023</v>
      </c>
      <c r="L46" s="1252" t="s">
        <v>1486</v>
      </c>
      <c r="M46" s="1253" t="s">
        <v>1732</v>
      </c>
      <c r="N46" s="1252" t="s">
        <v>2022</v>
      </c>
      <c r="O46" s="1253" t="s">
        <v>584</v>
      </c>
      <c r="P46" s="1252" t="s">
        <v>2023</v>
      </c>
      <c r="Q46" s="1252" t="s">
        <v>1486</v>
      </c>
      <c r="R46" s="1253" t="s">
        <v>1732</v>
      </c>
      <c r="S46" s="1252" t="s">
        <v>2022</v>
      </c>
      <c r="T46" s="1253" t="s">
        <v>584</v>
      </c>
      <c r="U46" s="1252" t="s">
        <v>2023</v>
      </c>
      <c r="V46" s="1252" t="s">
        <v>1486</v>
      </c>
      <c r="W46" s="1253" t="s">
        <v>1732</v>
      </c>
      <c r="X46" s="1252" t="s">
        <v>2022</v>
      </c>
      <c r="Y46" s="1253" t="s">
        <v>584</v>
      </c>
      <c r="Z46" s="1252" t="s">
        <v>2023</v>
      </c>
      <c r="AA46" s="1252" t="s">
        <v>1486</v>
      </c>
      <c r="AB46" s="1253" t="s">
        <v>1732</v>
      </c>
      <c r="AC46" s="1252" t="s">
        <v>2022</v>
      </c>
      <c r="AD46" s="1253" t="s">
        <v>584</v>
      </c>
      <c r="AE46" s="1252" t="s">
        <v>2023</v>
      </c>
      <c r="AF46" s="1252" t="s">
        <v>1486</v>
      </c>
      <c r="AG46" s="1253" t="s">
        <v>1732</v>
      </c>
      <c r="AH46" s="1252" t="s">
        <v>2022</v>
      </c>
      <c r="AI46" s="1253" t="s">
        <v>584</v>
      </c>
      <c r="AJ46" s="1252" t="s">
        <v>2023</v>
      </c>
      <c r="AK46" s="1252" t="s">
        <v>1486</v>
      </c>
      <c r="AL46" s="1253" t="s">
        <v>1732</v>
      </c>
      <c r="AM46" s="1252" t="s">
        <v>2022</v>
      </c>
      <c r="AN46" s="1253" t="s">
        <v>584</v>
      </c>
      <c r="AO46" s="1252" t="s">
        <v>2023</v>
      </c>
      <c r="AP46" s="1252" t="s">
        <v>1486</v>
      </c>
      <c r="AQ46" s="1253" t="s">
        <v>1732</v>
      </c>
      <c r="AR46" s="1252" t="s">
        <v>2022</v>
      </c>
      <c r="AS46" s="1253" t="s">
        <v>584</v>
      </c>
      <c r="AT46" s="1252" t="s">
        <v>2023</v>
      </c>
      <c r="AU46" s="1252" t="s">
        <v>1486</v>
      </c>
      <c r="AV46" s="1253" t="s">
        <v>1732</v>
      </c>
      <c r="AW46" s="1252" t="s">
        <v>2022</v>
      </c>
      <c r="AX46" s="1253" t="s">
        <v>584</v>
      </c>
      <c r="AY46" s="1252" t="s">
        <v>2023</v>
      </c>
      <c r="AZ46" s="1252" t="s">
        <v>1486</v>
      </c>
      <c r="BA46" s="1253" t="s">
        <v>1732</v>
      </c>
      <c r="BB46" s="1252" t="s">
        <v>2022</v>
      </c>
      <c r="BC46" s="1253" t="s">
        <v>584</v>
      </c>
      <c r="BD46" s="1252" t="s">
        <v>2023</v>
      </c>
      <c r="BE46" s="1252" t="s">
        <v>1486</v>
      </c>
      <c r="BF46" s="1253" t="s">
        <v>1732</v>
      </c>
      <c r="BG46" s="1252" t="s">
        <v>2022</v>
      </c>
      <c r="BH46" s="1253" t="s">
        <v>584</v>
      </c>
      <c r="BI46" s="1252" t="s">
        <v>2023</v>
      </c>
      <c r="BJ46" s="1252" t="s">
        <v>1486</v>
      </c>
      <c r="BK46" s="1253" t="s">
        <v>1732</v>
      </c>
      <c r="BL46" s="1252" t="s">
        <v>2022</v>
      </c>
      <c r="BM46" s="1253" t="s">
        <v>584</v>
      </c>
      <c r="BN46" s="1252" t="s">
        <v>2023</v>
      </c>
      <c r="BO46" s="1252" t="s">
        <v>1486</v>
      </c>
      <c r="BP46" s="1253" t="s">
        <v>1732</v>
      </c>
      <c r="BQ46" s="1252" t="s">
        <v>2022</v>
      </c>
      <c r="BR46" s="1253" t="s">
        <v>584</v>
      </c>
      <c r="BS46" s="1252" t="s">
        <v>2023</v>
      </c>
      <c r="BT46" s="1252" t="s">
        <v>1486</v>
      </c>
      <c r="BU46" s="1253" t="s">
        <v>1732</v>
      </c>
      <c r="BV46" s="1252" t="s">
        <v>2022</v>
      </c>
      <c r="BW46" s="1253" t="s">
        <v>584</v>
      </c>
      <c r="BX46" s="1252" t="s">
        <v>2023</v>
      </c>
      <c r="BY46" s="1252" t="s">
        <v>1486</v>
      </c>
      <c r="BZ46" s="1253" t="s">
        <v>1732</v>
      </c>
      <c r="CA46" s="1252" t="s">
        <v>2022</v>
      </c>
      <c r="CB46" s="1253" t="s">
        <v>584</v>
      </c>
      <c r="CC46" s="1252" t="s">
        <v>2023</v>
      </c>
      <c r="CD46" s="1252" t="s">
        <v>1486</v>
      </c>
      <c r="CE46" s="1253" t="s">
        <v>1732</v>
      </c>
      <c r="CF46" s="1252" t="s">
        <v>2022</v>
      </c>
      <c r="CG46" s="1253" t="s">
        <v>584</v>
      </c>
      <c r="CH46" s="1252" t="s">
        <v>2023</v>
      </c>
      <c r="CI46" s="1252" t="s">
        <v>1486</v>
      </c>
      <c r="CJ46" s="1253" t="s">
        <v>1732</v>
      </c>
      <c r="CK46" s="1252" t="s">
        <v>2022</v>
      </c>
      <c r="CL46" s="1253" t="s">
        <v>584</v>
      </c>
      <c r="CM46" s="1252" t="s">
        <v>2023</v>
      </c>
      <c r="CN46" s="1252" t="s">
        <v>1486</v>
      </c>
      <c r="CO46" s="1253" t="s">
        <v>1732</v>
      </c>
      <c r="CP46" s="1252" t="s">
        <v>2022</v>
      </c>
      <c r="CQ46" s="1253" t="s">
        <v>584</v>
      </c>
      <c r="CR46" s="1252" t="s">
        <v>2023</v>
      </c>
      <c r="CS46" s="1252" t="s">
        <v>1486</v>
      </c>
      <c r="CT46" s="1253" t="s">
        <v>1732</v>
      </c>
      <c r="CU46" s="1252" t="s">
        <v>2022</v>
      </c>
      <c r="CV46" s="1253" t="s">
        <v>584</v>
      </c>
      <c r="CW46" s="1252" t="s">
        <v>2023</v>
      </c>
      <c r="CX46" s="1252" t="s">
        <v>1486</v>
      </c>
      <c r="CY46" s="1253" t="s">
        <v>1732</v>
      </c>
      <c r="CZ46" s="1252" t="s">
        <v>2022</v>
      </c>
      <c r="DA46" s="1253" t="s">
        <v>584</v>
      </c>
      <c r="DB46" s="1252" t="s">
        <v>2023</v>
      </c>
      <c r="DC46" s="1252" t="s">
        <v>1486</v>
      </c>
      <c r="DD46" s="1253" t="s">
        <v>1732</v>
      </c>
      <c r="DE46" s="1252" t="s">
        <v>2022</v>
      </c>
      <c r="DF46" s="1253" t="s">
        <v>584</v>
      </c>
      <c r="DG46" s="1252" t="s">
        <v>2023</v>
      </c>
      <c r="DH46" s="1252" t="s">
        <v>1486</v>
      </c>
      <c r="DI46" s="1253" t="s">
        <v>1732</v>
      </c>
      <c r="DJ46" s="1252" t="s">
        <v>2022</v>
      </c>
      <c r="DK46" s="1253" t="s">
        <v>584</v>
      </c>
      <c r="DL46" s="1252" t="s">
        <v>2023</v>
      </c>
      <c r="DM46" s="1252" t="s">
        <v>1486</v>
      </c>
      <c r="DN46" s="1253" t="s">
        <v>1732</v>
      </c>
      <c r="DO46" s="1252" t="s">
        <v>2022</v>
      </c>
      <c r="DP46" s="1253" t="s">
        <v>584</v>
      </c>
      <c r="DQ46" s="1252" t="s">
        <v>2023</v>
      </c>
      <c r="DR46" s="1252" t="s">
        <v>1486</v>
      </c>
      <c r="DS46" s="1253" t="s">
        <v>1732</v>
      </c>
      <c r="DT46" s="1252" t="s">
        <v>2022</v>
      </c>
      <c r="DU46" s="1253" t="s">
        <v>584</v>
      </c>
      <c r="DV46" s="1252" t="s">
        <v>2023</v>
      </c>
      <c r="DW46" s="1252" t="s">
        <v>1486</v>
      </c>
      <c r="DX46" s="1253" t="s">
        <v>1732</v>
      </c>
      <c r="DY46" s="1252" t="s">
        <v>2022</v>
      </c>
      <c r="DZ46" s="1253" t="s">
        <v>584</v>
      </c>
      <c r="EA46" s="1252" t="s">
        <v>2023</v>
      </c>
    </row>
    <row r="47" spans="1:145" s="3218" customFormat="1">
      <c r="A47" s="3410"/>
      <c r="C47" s="779" t="s">
        <v>1767</v>
      </c>
      <c r="D47" s="668" t="s">
        <v>687</v>
      </c>
      <c r="E47" s="700" t="s">
        <v>1741</v>
      </c>
      <c r="F47" s="3411" t="s">
        <v>241</v>
      </c>
      <c r="G47" s="3412"/>
      <c r="H47" s="3413"/>
      <c r="I47" s="3414"/>
      <c r="J47" s="1228">
        <f ca="1">OFFSET('VVP2'!$G$191,0,(COLUMN()-6)/5)</f>
        <v>0.79224000000000006</v>
      </c>
      <c r="K47" s="1221"/>
      <c r="L47" s="3415"/>
      <c r="M47" s="3416"/>
      <c r="N47"/>
      <c r="O47" s="1228">
        <f ca="1">OFFSET('VVP2'!$G$191,0,(COLUMN()-6)/5)</f>
        <v>1.0240100000000001</v>
      </c>
      <c r="P47" s="1221">
        <f ca="1">(O47/J47-1)*100</f>
        <v>29.255023730182785</v>
      </c>
      <c r="Q47" s="3415"/>
      <c r="R47" s="3416"/>
      <c r="S47"/>
      <c r="T47" s="1228">
        <f ca="1">OFFSET('VVP2'!$G$191,0,(COLUMN()-6)/5)</f>
        <v>1.35297</v>
      </c>
      <c r="U47" s="1221">
        <f ca="1">(T47/O47-1)*100</f>
        <v>32.124686282360514</v>
      </c>
      <c r="V47" s="3415"/>
      <c r="W47" s="3416"/>
      <c r="X47"/>
      <c r="Y47" s="1228">
        <f ca="1">OFFSET('VVP2'!$G$191,0,(COLUMN()-6)/5)</f>
        <v>1.66221</v>
      </c>
      <c r="Z47" s="1221">
        <f ca="1">(Y47/T47-1)*100</f>
        <v>22.856382624891893</v>
      </c>
      <c r="AA47" s="3415"/>
      <c r="AB47" s="3416"/>
      <c r="AC47"/>
      <c r="AD47" s="1228">
        <f ca="1">OFFSET('VVP2'!$G$191,0,(COLUMN()-6)/5)</f>
        <v>1.7330999999999999</v>
      </c>
      <c r="AE47" s="1221">
        <f ca="1">(AD47/Y47-1)*100</f>
        <v>4.2648040861263059</v>
      </c>
      <c r="AF47" s="3415"/>
      <c r="AG47" s="3416"/>
      <c r="AH47"/>
      <c r="AI47" s="1228">
        <f ca="1">OFFSET('VVP2'!$G$191,0,(COLUMN()-6)/5)</f>
        <v>1.46346</v>
      </c>
      <c r="AJ47" s="1221">
        <f ca="1">(AI47/AD47-1)*100</f>
        <v>-15.558248225722693</v>
      </c>
      <c r="AK47" s="3415"/>
      <c r="AL47" s="3416"/>
      <c r="AM47"/>
      <c r="AN47" s="1228">
        <f ca="1">OFFSET('VVP2'!$G$191,0,(COLUMN()-6)/5)</f>
        <v>1.5200199999999999</v>
      </c>
      <c r="AO47" s="1221">
        <f ca="1">(AN47/AI47-1)*100</f>
        <v>3.8648135241140746</v>
      </c>
      <c r="AP47" s="3415"/>
      <c r="AQ47" s="3416"/>
      <c r="AR47"/>
      <c r="AS47" s="1228">
        <f ca="1">OFFSET('VVP2'!$G$191,0,(COLUMN()-6)/5)</f>
        <v>1.6473100000000001</v>
      </c>
      <c r="AT47" s="1221">
        <f ca="1">(AS47/AN47-1)*100</f>
        <v>8.3742319180010849</v>
      </c>
      <c r="AU47" s="3415"/>
      <c r="AV47" s="3416"/>
      <c r="AW47"/>
      <c r="AX47" s="1228">
        <f ca="1">OFFSET('VVP2'!$G$191,0,(COLUMN()-6)/5)</f>
        <v>1.7149700000000001</v>
      </c>
      <c r="AY47" s="1221">
        <f ca="1">(AX47/AS47-1)*100</f>
        <v>4.1073022078418786</v>
      </c>
      <c r="AZ47" s="3415"/>
      <c r="BA47" s="3416"/>
      <c r="BB47"/>
      <c r="BC47" s="1228">
        <f ca="1">OFFSET('VVP2'!$G$191,0,(COLUMN()-6)/5)</f>
        <v>1.8429800000000001</v>
      </c>
      <c r="BD47" s="1221">
        <f ca="1">(BC47/AX47-1)*100</f>
        <v>7.4642705120206099</v>
      </c>
      <c r="BE47" s="3415"/>
      <c r="BF47" s="3416"/>
      <c r="BG47"/>
      <c r="BH47" s="1228">
        <f ca="1">OFFSET('VVP2'!$G$191,0,(COLUMN()-6)/5)</f>
        <v>2.1234000000000002</v>
      </c>
      <c r="BI47" s="1221">
        <f ca="1">(BH47/BC47-1)*100</f>
        <v>15.21557477563511</v>
      </c>
      <c r="BJ47" s="3415"/>
      <c r="BK47" s="3416"/>
      <c r="BL47"/>
      <c r="BM47" s="1228">
        <f ca="1">OFFSET('VVP2'!$G$191,0,(COLUMN()-6)/5)</f>
        <v>2.4421900000000001</v>
      </c>
      <c r="BN47" s="1221">
        <f ca="1">(BM47/BH47-1)*100</f>
        <v>15.013186399171129</v>
      </c>
      <c r="BO47" s="3415"/>
      <c r="BP47" s="3416"/>
      <c r="BQ47"/>
      <c r="BR47" s="1228">
        <f ca="1">OFFSET('VVP2'!$G$191,0,(COLUMN()-6)/5)</f>
        <v>2.7316700000000003</v>
      </c>
      <c r="BS47" s="1221">
        <f ca="1">(BR47/BM47-1)*100</f>
        <v>11.853295607630866</v>
      </c>
      <c r="BT47" s="3415"/>
      <c r="BU47" s="3416"/>
      <c r="BV47"/>
      <c r="BW47" s="1228">
        <f ca="1">OFFSET('VVP2'!$G$191,0,(COLUMN()-6)/5)</f>
        <v>3.3761199999999998</v>
      </c>
      <c r="BX47" s="1221">
        <f ca="1">(BW47/BR47-1)*100</f>
        <v>23.591795495063451</v>
      </c>
      <c r="BY47" s="3415"/>
      <c r="BZ47" s="3416"/>
      <c r="CA47"/>
      <c r="CB47" s="1228">
        <f ca="1">OFFSET('VVP2'!$G$191,0,(COLUMN()-6)/5)</f>
        <v>3.3891499999999999</v>
      </c>
      <c r="CC47" s="1221">
        <f ca="1">(CB47/BW47-1)*100</f>
        <v>0.38594599718020373</v>
      </c>
      <c r="CD47" s="3415"/>
      <c r="CE47" s="3416"/>
      <c r="CF47"/>
      <c r="CG47" s="1228">
        <f ca="1">OFFSET('VVP2'!$G$191,0,(COLUMN()-6)/5)</f>
        <v>3.1927500000000002</v>
      </c>
      <c r="CH47" s="1221">
        <f ca="1">(CG47/CB47-1)*100</f>
        <v>-5.7949633388902688</v>
      </c>
      <c r="CI47" s="3415"/>
      <c r="CJ47" s="3416"/>
      <c r="CK47"/>
      <c r="CL47" s="1228">
        <f ca="1">OFFSET('VVP2'!$G$191,0,(COLUMN()-6)/5)</f>
        <v>3.33344</v>
      </c>
      <c r="CM47" s="1221">
        <f ca="1">(CL47/CG47-1)*100</f>
        <v>4.4065460809646684</v>
      </c>
      <c r="CN47" s="3415"/>
      <c r="CO47" s="3416"/>
      <c r="CP47"/>
      <c r="CQ47">
        <f ca="1">+CQ50-CQ48</f>
        <v>3.2970000000000002</v>
      </c>
      <c r="CR47">
        <f ca="1">+CQ47/CL47*100-100</f>
        <v>-1.0931650187194037</v>
      </c>
      <c r="CS47" s="3415"/>
      <c r="CT47" s="3416"/>
      <c r="CU47"/>
      <c r="CV47">
        <f ca="1">+CV50-CV48</f>
        <v>3.3099599999999998</v>
      </c>
      <c r="CW47">
        <f ca="1">+CV47/CQ47*100-100</f>
        <v>0.39308462238396658</v>
      </c>
      <c r="CX47" s="3415"/>
      <c r="CY47" s="3416"/>
      <c r="CZ47"/>
      <c r="DA47">
        <f ca="1">+DA50-DA48</f>
        <v>3.3924000000000003</v>
      </c>
      <c r="DB47">
        <f ca="1">+DA47/CV47*100-100</f>
        <v>2.4906645397527569</v>
      </c>
      <c r="DC47" s="3415"/>
      <c r="DD47" s="3416"/>
      <c r="DE47"/>
      <c r="DF47" s="3417">
        <f ca="1">+DF50-DF48</f>
        <v>3.6384799999999999</v>
      </c>
      <c r="DG47" s="3418">
        <f ca="1">+DF47/DA47*100-100</f>
        <v>7.2538615729277183</v>
      </c>
      <c r="DH47" s="3415"/>
      <c r="DI47" s="3416"/>
      <c r="DJ47" s="3602"/>
      <c r="DK47" s="3417">
        <f ca="1">+DK50-DK48</f>
        <v>3.7765200000000001</v>
      </c>
      <c r="DL47" s="3418">
        <f ca="1">+DK47/DF47*100-100</f>
        <v>3.7938919548822696</v>
      </c>
      <c r="DM47" s="3415"/>
      <c r="DN47" s="3416"/>
      <c r="DO47" s="3747"/>
      <c r="DP47" s="3417">
        <f ca="1">+DP50-DP48</f>
        <v>3.9208400000000001</v>
      </c>
      <c r="DQ47" s="3418">
        <f ca="1">+DP47/DK47*100-100</f>
        <v>3.8215076313643266</v>
      </c>
      <c r="DR47" s="3415"/>
      <c r="DS47" s="3416"/>
      <c r="DT47"/>
      <c r="DU47" s="3417">
        <f ca="1">+DU49-DU48</f>
        <v>4.161412395588</v>
      </c>
      <c r="DV47" s="3418">
        <f ca="1">+DU47/DP47*100-100</f>
        <v>6.1357361072627299</v>
      </c>
      <c r="DW47" s="3415"/>
      <c r="DX47" s="3416"/>
      <c r="DY47" s="3650"/>
      <c r="DZ47" s="3417">
        <f ca="1">+DZ49-DZ48</f>
        <v>4.3792999700392308</v>
      </c>
      <c r="EA47" s="3418">
        <f ca="1">+DZ47/DU47*100-100</f>
        <v>5.2359043934756073</v>
      </c>
    </row>
    <row r="48" spans="1:145">
      <c r="A48" s="1457"/>
      <c r="C48" s="842" t="s">
        <v>1767</v>
      </c>
      <c r="D48" s="676" t="s">
        <v>687</v>
      </c>
      <c r="E48" s="1260" t="s">
        <v>1742</v>
      </c>
      <c r="F48" s="1226" t="s">
        <v>242</v>
      </c>
      <c r="G48" s="1304"/>
      <c r="H48" s="1229"/>
      <c r="I48" s="1305"/>
      <c r="J48" s="1231">
        <f ca="1">OFFSET('VVP2'!$G$192,0,(COLUMN()-6)/5)</f>
        <v>1.0702</v>
      </c>
      <c r="K48" s="1206"/>
      <c r="L48" s="1246"/>
      <c r="M48" s="1247"/>
      <c r="N48" s="1248"/>
      <c r="O48" s="1231">
        <f ca="1">OFFSET('VVP2'!$G$192,0,(COLUMN()-6)/5)</f>
        <v>1.31453</v>
      </c>
      <c r="P48" s="1218">
        <f ca="1">(O48/J48-1)*100</f>
        <v>22.830312091197904</v>
      </c>
      <c r="Q48" s="1246"/>
      <c r="R48" s="1247"/>
      <c r="S48" s="1248"/>
      <c r="T48" s="1231">
        <f ca="1">OFFSET('VVP2'!$G$192,0,(COLUMN()-6)/5)</f>
        <v>1.4791800000000002</v>
      </c>
      <c r="U48" s="1218">
        <f ca="1">(T48/O48-1)*100</f>
        <v>12.525389302640511</v>
      </c>
      <c r="V48" s="1246"/>
      <c r="W48" s="1247"/>
      <c r="X48" s="1248"/>
      <c r="Y48" s="1231">
        <f ca="1">OFFSET('VVP2'!$G$192,0,(COLUMN()-6)/5)</f>
        <v>1.7082599999999999</v>
      </c>
      <c r="Z48" s="1218">
        <f ca="1">(Y48/T48-1)*100</f>
        <v>15.486958990792177</v>
      </c>
      <c r="AA48" s="1246"/>
      <c r="AB48" s="1247"/>
      <c r="AC48" s="1248"/>
      <c r="AD48" s="1231">
        <f ca="1">OFFSET('VVP2'!$G$192,0,(COLUMN()-6)/5)</f>
        <v>1.27505</v>
      </c>
      <c r="AE48" s="1218">
        <f ca="1">(AD48/Y48-1)*100</f>
        <v>-25.359722758830618</v>
      </c>
      <c r="AF48" s="1246"/>
      <c r="AG48" s="1247"/>
      <c r="AH48" s="1248"/>
      <c r="AI48" s="1231">
        <f ca="1">OFFSET('VVP2'!$G$192,0,(COLUMN()-6)/5)</f>
        <v>1.5316700000000001</v>
      </c>
      <c r="AJ48" s="1218">
        <f ca="1">(AI48/AD48-1)*100</f>
        <v>20.126269558056542</v>
      </c>
      <c r="AK48" s="1246"/>
      <c r="AL48" s="1247"/>
      <c r="AM48" s="1248"/>
      <c r="AN48" s="1231">
        <f ca="1">OFFSET('VVP2'!$G$192,0,(COLUMN()-6)/5)</f>
        <v>1.4814200000000002</v>
      </c>
      <c r="AO48" s="1218">
        <f ca="1">(AN48/AI48-1)*100</f>
        <v>-3.2807327949231802</v>
      </c>
      <c r="AP48" s="1246"/>
      <c r="AQ48" s="1247"/>
      <c r="AR48" s="1248"/>
      <c r="AS48" s="1231">
        <f ca="1">OFFSET('VVP2'!$G$192,0,(COLUMN()-6)/5)</f>
        <v>1.47861</v>
      </c>
      <c r="AT48" s="1218">
        <f ca="1">(AS48/AN48-1)*100</f>
        <v>-0.18968287183919186</v>
      </c>
      <c r="AU48" s="1246"/>
      <c r="AV48" s="1247"/>
      <c r="AW48" s="1248"/>
      <c r="AX48" s="1231">
        <f ca="1">OFFSET('VVP2'!$G$192,0,(COLUMN()-6)/5)</f>
        <v>1.5441400000000001</v>
      </c>
      <c r="AY48" s="1218">
        <f ca="1">(AX48/AS48-1)*100</f>
        <v>4.4318650624573186</v>
      </c>
      <c r="AZ48" s="1246"/>
      <c r="BA48" s="1247"/>
      <c r="BB48" s="1248"/>
      <c r="BC48" s="1231">
        <f ca="1">OFFSET('VVP2'!$G$192,0,(COLUMN()-6)/5)</f>
        <v>1.6525099999999999</v>
      </c>
      <c r="BD48" s="1218">
        <f ca="1">(BC48/AX48-1)*100</f>
        <v>7.0181460230289927</v>
      </c>
      <c r="BE48" s="1246"/>
      <c r="BF48" s="1247"/>
      <c r="BG48" s="1248"/>
      <c r="BH48" s="1231">
        <f ca="1">OFFSET('VVP2'!$G$192,0,(COLUMN()-6)/5)</f>
        <v>1.76301</v>
      </c>
      <c r="BI48" s="1218">
        <f ca="1">(BH48/BC48-1)*100</f>
        <v>6.6867976593182554</v>
      </c>
      <c r="BJ48" s="1246"/>
      <c r="BK48" s="1247"/>
      <c r="BL48" s="1248"/>
      <c r="BM48" s="1231">
        <f ca="1">OFFSET('VVP2'!$G$192,0,(COLUMN()-6)/5)</f>
        <v>2.1633200000000001</v>
      </c>
      <c r="BN48" s="1218">
        <f ca="1">(BM48/BH48-1)*100</f>
        <v>22.706053851084242</v>
      </c>
      <c r="BO48" s="1246"/>
      <c r="BP48" s="1247"/>
      <c r="BQ48" s="1248"/>
      <c r="BR48" s="1231">
        <f ca="1">OFFSET('VVP2'!$G$192,0,(COLUMN()-6)/5)</f>
        <v>2.3351599999999997</v>
      </c>
      <c r="BS48" s="1218">
        <f ca="1">(BR48/BM48-1)*100</f>
        <v>7.9433463380359504</v>
      </c>
      <c r="BT48" s="1246"/>
      <c r="BU48" s="1247"/>
      <c r="BV48" s="1248"/>
      <c r="BW48" s="1231">
        <f ca="1">OFFSET('VVP2'!$G$192,0,(COLUMN()-6)/5)</f>
        <v>2.7246799999999998</v>
      </c>
      <c r="BX48" s="1218">
        <f ca="1">(BW48/BR48-1)*100</f>
        <v>16.680655715240068</v>
      </c>
      <c r="BY48" s="1246"/>
      <c r="BZ48" s="1247"/>
      <c r="CA48" s="1248"/>
      <c r="CB48" s="1231">
        <f ca="1">OFFSET('VVP2'!$G$192,0,(COLUMN()-6)/5)</f>
        <v>2.3306799999999996</v>
      </c>
      <c r="CC48" s="1218">
        <f ca="1">(CB48/BW48-1)*100</f>
        <v>-14.460413699957432</v>
      </c>
      <c r="CD48" s="1246"/>
      <c r="CE48" s="1247"/>
      <c r="CF48" s="1248"/>
      <c r="CG48" s="1231">
        <f ca="1">OFFSET('VVP2'!$G$192,0,(COLUMN()-6)/5)</f>
        <v>2.3706300000000002</v>
      </c>
      <c r="CH48" s="1218">
        <f ca="1">(CG48/CB48-1)*100</f>
        <v>1.7140920246451863</v>
      </c>
      <c r="CI48" s="1246"/>
      <c r="CJ48" s="1247"/>
      <c r="CK48" s="1248"/>
      <c r="CL48" s="1231">
        <f ca="1">OFFSET('VVP2'!$G$192,0,(COLUMN()-6)/5)</f>
        <v>2.40388</v>
      </c>
      <c r="CM48" s="1218">
        <f ca="1">(CL48/CG48-1)*100</f>
        <v>1.4025807485773756</v>
      </c>
      <c r="CN48" s="1246"/>
      <c r="CO48" s="1247"/>
      <c r="CP48" s="1248"/>
      <c r="CQ48" s="1231">
        <f ca="1">OFFSET('VVP2'!$G$192,0,(COLUMN()-6)/5)</f>
        <v>2.5336799999999999</v>
      </c>
      <c r="CR48" s="1218">
        <f ca="1">(CQ48/CL48-1)*100</f>
        <v>5.3996039735760393</v>
      </c>
      <c r="CS48" s="1246"/>
      <c r="CT48" s="1247"/>
      <c r="CU48" s="1248"/>
      <c r="CV48" s="1231">
        <f ca="1">OFFSET('VVP2'!$G$192,0,(COLUMN()-6)/5)</f>
        <v>2.5270100000000002</v>
      </c>
      <c r="CW48" s="1218">
        <f ca="1">(CV48/CQ48-1)*100</f>
        <v>-0.26325344952794483</v>
      </c>
      <c r="CX48" s="1246"/>
      <c r="CY48" s="1247"/>
      <c r="CZ48" s="1248"/>
      <c r="DA48" s="1231">
        <f ca="1">OFFSET('VVP2'!$G$192,0,(COLUMN()-6)/5)</f>
        <v>2.68093</v>
      </c>
      <c r="DB48" s="1218">
        <f ca="1">(DA48/CV48-1)*100</f>
        <v>6.090992912572557</v>
      </c>
      <c r="DC48" s="1246"/>
      <c r="DD48" s="1247"/>
      <c r="DE48" s="1248"/>
      <c r="DF48" s="3420">
        <f ca="1">OFFSET('VVP2'!$G$192,0,(COLUMN()-6)/5)</f>
        <v>2.7902900000000002</v>
      </c>
      <c r="DG48" s="1218">
        <f ca="1">(DF48/DA48-1)*100</f>
        <v>4.0791814780691826</v>
      </c>
      <c r="DH48" s="1246"/>
      <c r="DI48" s="1247"/>
      <c r="DJ48" s="1248"/>
      <c r="DK48" s="3420">
        <f ca="1">OFFSET('VVP2'!$G$192,0,(COLUMN()-6)/5)</f>
        <v>2.8603499999999999</v>
      </c>
      <c r="DL48" s="1218">
        <f ca="1">(DK48/DF48-1)*100</f>
        <v>2.5108501266893235</v>
      </c>
      <c r="DM48" s="1246"/>
      <c r="DN48" s="1247"/>
      <c r="DO48" s="1248"/>
      <c r="DP48" s="3420">
        <f ca="1">OFFSET('VVP2'!$G$192,0,(COLUMN()-6)/5)</f>
        <v>2.9872100000000001</v>
      </c>
      <c r="DQ48" s="1218">
        <f ca="1">(DP48/DK48-1)*100</f>
        <v>4.4351215760309204</v>
      </c>
      <c r="DR48" s="1246"/>
      <c r="DS48" s="1247"/>
      <c r="DT48" s="1248"/>
      <c r="DU48" s="3419">
        <f ca="1">+DP48*(1+DV48/100)</f>
        <v>3.1365705000000004</v>
      </c>
      <c r="DV48" s="2252">
        <v>5</v>
      </c>
      <c r="DW48" s="1246"/>
      <c r="DX48" s="1247"/>
      <c r="DY48" s="1248"/>
      <c r="DZ48" s="3419">
        <f ca="1">+DU48*(1+EA48/100)</f>
        <v>3.2933990250000007</v>
      </c>
      <c r="EA48" s="2252">
        <v>5</v>
      </c>
    </row>
    <row r="49" spans="1:145" s="28" customFormat="1">
      <c r="A49" s="1457"/>
      <c r="C49" s="176"/>
      <c r="D49" s="1150"/>
      <c r="E49" s="1150" t="s">
        <v>566</v>
      </c>
      <c r="F49" s="1140"/>
      <c r="G49" s="1234"/>
      <c r="H49" s="1234"/>
      <c r="I49" s="1234"/>
      <c r="J49" s="1234">
        <f ca="1">+J47+J48</f>
        <v>1.8624400000000001</v>
      </c>
      <c r="K49" s="1234"/>
      <c r="L49" s="1234"/>
      <c r="M49" s="1234"/>
      <c r="N49" s="1234"/>
      <c r="O49" s="1234">
        <f ca="1">+O47+O48</f>
        <v>2.3385400000000001</v>
      </c>
      <c r="P49" s="1234"/>
      <c r="Q49" s="1234"/>
      <c r="R49" s="1234"/>
      <c r="S49" s="1234"/>
      <c r="T49" s="1234">
        <f ca="1">+T47+T48</f>
        <v>2.8321500000000004</v>
      </c>
      <c r="U49" s="1234"/>
      <c r="V49" s="1234"/>
      <c r="W49" s="1234"/>
      <c r="X49" s="1234"/>
      <c r="Y49" s="1234">
        <f ca="1">+Y47+Y48</f>
        <v>3.3704700000000001</v>
      </c>
      <c r="Z49" s="1234"/>
      <c r="AA49" s="1234"/>
      <c r="AB49" s="1234"/>
      <c r="AC49" s="1234"/>
      <c r="AD49" s="1234">
        <f ca="1">+AD47+AD48</f>
        <v>3.0081499999999997</v>
      </c>
      <c r="AE49" s="1234"/>
      <c r="AF49" s="1234"/>
      <c r="AG49" s="1234"/>
      <c r="AH49" s="1234"/>
      <c r="AI49" s="1234">
        <f ca="1">+AI47+AI48</f>
        <v>2.9951300000000001</v>
      </c>
      <c r="AJ49" s="1234"/>
      <c r="AK49" s="1234"/>
      <c r="AL49" s="1234"/>
      <c r="AM49" s="1234"/>
      <c r="AN49" s="1234">
        <f ca="1">+AN47+AN48</f>
        <v>3.0014400000000001</v>
      </c>
      <c r="AO49" s="1234"/>
      <c r="AP49" s="1234"/>
      <c r="AQ49" s="1234"/>
      <c r="AR49" s="1234"/>
      <c r="AS49" s="1234">
        <f ca="1">+AS47+AS48</f>
        <v>3.1259199999999998</v>
      </c>
      <c r="AT49" s="1234"/>
      <c r="AU49" s="1234"/>
      <c r="AV49" s="1234"/>
      <c r="AW49" s="1234"/>
      <c r="AX49" s="1234">
        <f ca="1">+AX47+AX48</f>
        <v>3.2591100000000002</v>
      </c>
      <c r="AY49" s="1234"/>
      <c r="AZ49" s="1234"/>
      <c r="BA49" s="1234"/>
      <c r="BB49" s="1234"/>
      <c r="BC49" s="1234">
        <f ca="1">+BC47+BC48</f>
        <v>3.4954900000000002</v>
      </c>
      <c r="BD49" s="1234"/>
      <c r="BE49" s="1234"/>
      <c r="BF49" s="1234"/>
      <c r="BG49" s="1234"/>
      <c r="BH49" s="1234">
        <f ca="1">+BH47+BH48</f>
        <v>3.8864100000000001</v>
      </c>
      <c r="BI49" s="1234"/>
      <c r="BJ49" s="1234"/>
      <c r="BK49" s="1234"/>
      <c r="BL49" s="1234"/>
      <c r="BM49" s="1234">
        <f ca="1">+BM47+BM48</f>
        <v>4.6055100000000007</v>
      </c>
      <c r="BN49" s="1234"/>
      <c r="BO49" s="1234"/>
      <c r="BP49" s="1234"/>
      <c r="BQ49" s="1234"/>
      <c r="BR49" s="1234">
        <f ca="1">+BR47+BR48</f>
        <v>5.0668299999999995</v>
      </c>
      <c r="BS49" s="1234"/>
      <c r="BT49" s="1234"/>
      <c r="BU49" s="1234"/>
      <c r="BV49" s="1234"/>
      <c r="BW49" s="1234">
        <f ca="1">+BW47+BW48</f>
        <v>6.1007999999999996</v>
      </c>
      <c r="BX49" s="1234"/>
      <c r="BY49" s="1234"/>
      <c r="BZ49" s="1234"/>
      <c r="CA49" s="1234"/>
      <c r="CB49" s="1234">
        <f ca="1">+CB47+CB48</f>
        <v>5.71983</v>
      </c>
      <c r="CC49" s="1234"/>
      <c r="CD49" s="1234"/>
      <c r="CE49" s="1234"/>
      <c r="CF49" s="1234"/>
      <c r="CG49" s="1234">
        <f ca="1">+CG47+CG48</f>
        <v>5.5633800000000004</v>
      </c>
      <c r="CH49" s="1234"/>
      <c r="CI49" s="1234"/>
      <c r="CJ49" s="1234"/>
      <c r="CK49" s="1234"/>
      <c r="CL49" s="1234">
        <f ca="1">+CL47+CL48</f>
        <v>5.7373200000000004</v>
      </c>
      <c r="CM49" s="1234"/>
      <c r="CN49" s="1234"/>
      <c r="CO49" s="1234"/>
      <c r="CP49" s="1234"/>
      <c r="CQ49" s="1234">
        <f ca="1">+CQ47+CQ48</f>
        <v>5.8306800000000001</v>
      </c>
      <c r="CR49" s="1234"/>
      <c r="CS49" s="1234"/>
      <c r="CT49" s="1234"/>
      <c r="CU49" s="1234"/>
      <c r="CV49" s="1234">
        <f ca="1">+CV47+CV48</f>
        <v>5.83697</v>
      </c>
      <c r="CW49" s="1234"/>
      <c r="CX49" s="1234"/>
      <c r="CY49" s="1234"/>
      <c r="CZ49" s="1234"/>
      <c r="DA49" s="1234">
        <f ca="1">+DA47+DA48</f>
        <v>6.0733300000000003</v>
      </c>
      <c r="DB49" s="1234"/>
      <c r="DC49" s="1234"/>
      <c r="DD49" s="1234"/>
      <c r="DE49" s="1234"/>
      <c r="DF49" s="1234">
        <f ca="1">+DF47+DF48</f>
        <v>6.4287700000000001</v>
      </c>
      <c r="DG49" s="1234"/>
      <c r="DH49" s="1234"/>
      <c r="DI49" s="1234"/>
      <c r="DJ49" s="1234"/>
      <c r="DK49" s="1234">
        <f ca="1">+DK47+DK48</f>
        <v>6.63687</v>
      </c>
      <c r="DL49" s="1234"/>
      <c r="DM49" s="1234"/>
      <c r="DN49" s="1234"/>
      <c r="DO49" s="1234"/>
      <c r="DP49" s="1234">
        <f ca="1">+DP47+DP48</f>
        <v>6.9080500000000002</v>
      </c>
      <c r="DQ49" s="1234"/>
      <c r="DR49" s="3670">
        <v>1.64</v>
      </c>
      <c r="DS49" s="2250">
        <f ca="1">+DP49*(1+DR49/100)</f>
        <v>7.0213420199999996</v>
      </c>
      <c r="DT49" s="2240">
        <v>3.94</v>
      </c>
      <c r="DU49" s="2250">
        <f ca="1">+DS49*(1+DT49/100)</f>
        <v>7.2979828955880004</v>
      </c>
      <c r="DV49" s="3136">
        <f ca="1">(DU49/DP49-1)*100</f>
        <v>5.6446159999999912</v>
      </c>
      <c r="DW49" s="3670">
        <v>1.54</v>
      </c>
      <c r="DX49" s="2250">
        <f ca="1">+DU49*(1+DW49/100)</f>
        <v>7.410371832180056</v>
      </c>
      <c r="DY49" s="2240">
        <v>3.54</v>
      </c>
      <c r="DZ49" s="2250">
        <f ca="1">+DX49*(1+DY49/100)</f>
        <v>7.672698995039231</v>
      </c>
      <c r="EA49" s="3136">
        <f ca="1">(DZ49/DU49-1)*100</f>
        <v>5.1345160000000112</v>
      </c>
    </row>
    <row r="50" spans="1:145" s="28" customFormat="1">
      <c r="A50" s="1457" t="s">
        <v>1940</v>
      </c>
      <c r="C50" s="176" t="s">
        <v>1769</v>
      </c>
      <c r="D50" s="1257" t="s">
        <v>687</v>
      </c>
      <c r="E50" s="1257" t="s">
        <v>821</v>
      </c>
      <c r="F50" s="1200" t="s">
        <v>280</v>
      </c>
      <c r="G50" s="1258"/>
      <c r="H50" s="1258"/>
      <c r="I50" s="1258"/>
      <c r="J50" s="1259">
        <f ca="1">OFFSET('VVP2'!$G$193,0,(COLUMN()-6)/5)</f>
        <v>1.8624400000000001</v>
      </c>
      <c r="K50" s="1258"/>
      <c r="L50" s="1259">
        <f ca="1">OFFSET('VVP2'!$G$16,0,(COLUMN()-7)/5)</f>
        <v>-0.70218291322577953</v>
      </c>
      <c r="M50" s="1259">
        <f ca="1">+J50*(1+L50/100)</f>
        <v>1.8493622645509178</v>
      </c>
      <c r="N50" s="1259">
        <f ca="1">+O50/M50*100-100</f>
        <v>26.451698773461899</v>
      </c>
      <c r="O50" s="1259">
        <f ca="1">OFFSET('VVP2'!$G$193,0,(COLUMN()-6)/5)</f>
        <v>2.3385500000000001</v>
      </c>
      <c r="P50" s="1259">
        <f ca="1">(O50/J50-1)*100</f>
        <v>25.563776551190909</v>
      </c>
      <c r="Q50" s="1259">
        <f ca="1">OFFSET('VVP2'!$G$16,0,(COLUMN()-7)/5)</f>
        <v>3.4160337882479963</v>
      </c>
      <c r="R50" s="1259">
        <f ca="1">+O50*(1+Q50/100)</f>
        <v>2.4184356581550737</v>
      </c>
      <c r="S50" s="1259">
        <f ca="1">+T50/R50*100-100</f>
        <v>17.107105597365376</v>
      </c>
      <c r="T50" s="1259">
        <f ca="1">OFFSET('VVP2'!$G$193,0,(COLUMN()-6)/5)</f>
        <v>2.83216</v>
      </c>
      <c r="U50" s="1259">
        <f ca="1">(T50/O50-1)*100</f>
        <v>21.107523893010626</v>
      </c>
      <c r="V50" s="1259">
        <f ca="1">OFFSET('VVP2'!$G$16,0,(COLUMN()-7)/5)</f>
        <v>5.0156327954667068</v>
      </c>
      <c r="W50" s="1259">
        <f ca="1">+T50*(1+V50/100)</f>
        <v>2.9742107457800899</v>
      </c>
      <c r="X50" s="1259">
        <f ca="1">+Y50/W50*100-100</f>
        <v>13.323173375731216</v>
      </c>
      <c r="Y50" s="1259">
        <f ca="1">OFFSET('VVP2'!$G$193,0,(COLUMN()-6)/5)</f>
        <v>3.3704699999999996</v>
      </c>
      <c r="Z50" s="1259">
        <f ca="1">(Y50/T50-1)*100</f>
        <v>19.007047624427976</v>
      </c>
      <c r="AA50" s="1259">
        <f ca="1">OFFSET('VVP2'!$G$16,0,(COLUMN()-7)/5)</f>
        <v>-4.4198117990299046</v>
      </c>
      <c r="AB50" s="1259">
        <f ca="1">+Y50*(1+AA50/100)</f>
        <v>3.2215015692572364</v>
      </c>
      <c r="AC50" s="1259">
        <f ca="1">+AD50/AB50*100-100</f>
        <v>-6.6227367788129783</v>
      </c>
      <c r="AD50" s="1259">
        <f ca="1">OFFSET('VVP2'!$G$193,0,(COLUMN()-6)/5)</f>
        <v>3.0081500000000001</v>
      </c>
      <c r="AE50" s="1259">
        <f ca="1">(AD50/Y50-1)*100</f>
        <v>-10.74983607627421</v>
      </c>
      <c r="AF50" s="1259">
        <f ca="1">OFFSET('VVP2'!$G$16,0,(COLUMN()-7)/5)</f>
        <v>0.22345871660096606</v>
      </c>
      <c r="AG50" s="1259">
        <f ca="1">+AD50*(1+AF50/100)</f>
        <v>3.0148719733834319</v>
      </c>
      <c r="AH50" s="1259">
        <f ca="1">+AI50/AG50*100-100</f>
        <v>-0.654819626097634</v>
      </c>
      <c r="AI50" s="1259">
        <f ca="1">OFFSET('VVP2'!$G$193,0,(COLUMN()-6)/5)</f>
        <v>2.9951300000000001</v>
      </c>
      <c r="AJ50" s="1259">
        <f ca="1">(AI50/AD50-1)*100</f>
        <v>-0.43282416102921051</v>
      </c>
      <c r="AK50" s="1259">
        <f ca="1">OFFSET('VVP2'!$G$16,0,(COLUMN()-7)/5)</f>
        <v>1.3605540892593027</v>
      </c>
      <c r="AL50" s="1259">
        <f ca="1">+AI50*(1+AK50/100)</f>
        <v>3.0358803636936322</v>
      </c>
      <c r="AM50" s="1259">
        <f ca="1">+AN50/AL50*100-100</f>
        <v>-1.134444034933253</v>
      </c>
      <c r="AN50" s="1259">
        <f ca="1">OFFSET('VVP2'!$G$193,0,(COLUMN()-6)/5)</f>
        <v>3.0014400000000001</v>
      </c>
      <c r="AO50" s="1259">
        <f ca="1">(AN50/AI50-1)*100</f>
        <v>0.21067532961842605</v>
      </c>
      <c r="AP50" s="1259">
        <f ca="1">OFFSET('VVP2'!$G$16,0,(COLUMN()-7)/5)</f>
        <v>2.4593939771627937</v>
      </c>
      <c r="AQ50" s="1259">
        <f ca="1">+AN50*(1+AP50/100)</f>
        <v>3.0752572345881553</v>
      </c>
      <c r="AR50" s="1259">
        <f ca="1">+AS50/AQ50*100-100</f>
        <v>1.6474317934132046</v>
      </c>
      <c r="AS50" s="1259">
        <f ca="1">OFFSET('VVP2'!$G$193,0,(COLUMN()-6)/5)</f>
        <v>3.1259200000000003</v>
      </c>
      <c r="AT50" s="1259">
        <f ca="1">(AS50/AN50-1)*100</f>
        <v>4.1473426088810772</v>
      </c>
      <c r="AU50" s="1259">
        <f ca="1">OFFSET('VVP2'!$G$16,0,(COLUMN()-7)/5)</f>
        <v>2.919078684026899</v>
      </c>
      <c r="AV50" s="1259">
        <f ca="1">+AS50*(1+AU50/100)</f>
        <v>3.217168064399734</v>
      </c>
      <c r="AW50" s="1259">
        <f ca="1">+AX50/AV50*100-100</f>
        <v>1.3036911582078545</v>
      </c>
      <c r="AX50" s="1259">
        <f ca="1">OFFSET('VVP2'!$G$193,0,(COLUMN()-6)/5)</f>
        <v>3.2591100000000002</v>
      </c>
      <c r="AY50" s="1259">
        <f ca="1">(AX50/AS50-1)*100</f>
        <v>4.260825612939545</v>
      </c>
      <c r="AZ50" s="1259">
        <f ca="1">OFFSET('VVP2'!$G$16,0,(COLUMN()-7)/5)</f>
        <v>4.5939341332392081</v>
      </c>
      <c r="BA50" s="1259">
        <f ca="1">+AX50*(1+AZ50/100)</f>
        <v>3.4088313667298125</v>
      </c>
      <c r="BB50" s="1259">
        <f ca="1">+BC50/BA50*100-100</f>
        <v>2.542180118265037</v>
      </c>
      <c r="BC50" s="1259">
        <f ca="1">OFFSET('VVP2'!$G$193,0,(COLUMN()-6)/5)</f>
        <v>3.4954899999999998</v>
      </c>
      <c r="BD50" s="1259">
        <f ca="1">(BC50/AX50-1)*100</f>
        <v>7.2529003316856411</v>
      </c>
      <c r="BE50" s="1259">
        <f ca="1">OFFSET('VVP2'!$G$16,0,(COLUMN()-7)/5)</f>
        <v>3.5574155936628493</v>
      </c>
      <c r="BF50" s="1259">
        <f ca="1">+BC50*(1+BE50/100)</f>
        <v>3.6198391063349251</v>
      </c>
      <c r="BG50" s="1259">
        <f ca="1">+BH50/BF50*100-100</f>
        <v>7.3641641474771831</v>
      </c>
      <c r="BH50" s="1259">
        <f ca="1">OFFSET('VVP2'!$G$193,0,(COLUMN()-6)/5)</f>
        <v>3.8864099999999997</v>
      </c>
      <c r="BI50" s="1259">
        <f ca="1">(BH50/BC50-1)*100</f>
        <v>11.183553664865297</v>
      </c>
      <c r="BJ50" s="1259">
        <f ca="1">OFFSET('VVP2'!$G$16,0,(COLUMN()-7)/5)</f>
        <v>2.1037421147720448</v>
      </c>
      <c r="BK50" s="1259">
        <f ca="1">+BH50*(1+BJ50/100)</f>
        <v>3.9681700439227119</v>
      </c>
      <c r="BL50" s="1259">
        <f ca="1">+BM50/BK50*100-100</f>
        <v>16.061054567290142</v>
      </c>
      <c r="BM50" s="1259">
        <f ca="1">OFFSET('VVP2'!$G$193,0,(COLUMN()-6)/5)</f>
        <v>4.6055000000000001</v>
      </c>
      <c r="BN50" s="1259">
        <f ca="1">(BM50/BH50-1)*100</f>
        <v>18.502679851070791</v>
      </c>
      <c r="BO50" s="1259">
        <f ca="1">OFFSET('VVP2'!$G$16,0,(COLUMN()-7)/5)</f>
        <v>1.8506567525384376</v>
      </c>
      <c r="BP50" s="1259">
        <f ca="1">+BM50*(1+BO50/100)</f>
        <v>4.6907319967381582</v>
      </c>
      <c r="BQ50" s="1259">
        <f ca="1">+BR50/BP50*100-100</f>
        <v>8.0178957894710692</v>
      </c>
      <c r="BR50" s="1259">
        <f ca="1">OFFSET('VVP2'!$G$193,0,(COLUMN()-6)/5)</f>
        <v>5.0668299999999995</v>
      </c>
      <c r="BS50" s="1259">
        <f ca="1">(BR50/BM50-1)*100</f>
        <v>10.016936271848852</v>
      </c>
      <c r="BT50" s="1259">
        <f ca="1">OFFSET('VVP2'!$G$16,0,(COLUMN()-7)/5)</f>
        <v>0.23588844714808044</v>
      </c>
      <c r="BU50" s="1259">
        <f ca="1">+BR50*(1+BT50/100)</f>
        <v>5.0787820666066326</v>
      </c>
      <c r="BV50" s="1259">
        <f ca="1">+BW50/BU50*100-100</f>
        <v>20.123287827473661</v>
      </c>
      <c r="BW50" s="1259">
        <f ca="1">OFFSET('VVP2'!$G$193,0,(COLUMN()-6)/5)</f>
        <v>6.1008000000000004</v>
      </c>
      <c r="BX50" s="1259">
        <f ca="1">(BW50/BR50-1)*100</f>
        <v>20.406644785793105</v>
      </c>
      <c r="BY50" s="1259">
        <f ca="1">OFFSET('VVP2'!$G$16,0,(COLUMN()-7)/5)</f>
        <v>-1.3144310859859787</v>
      </c>
      <c r="BZ50" s="1259">
        <f ca="1">+BW50*(1+BY50/100)</f>
        <v>6.0206091883061674</v>
      </c>
      <c r="CA50" s="1259">
        <f ca="1">+CB50/BZ50*100-100</f>
        <v>-4.995826483645061</v>
      </c>
      <c r="CB50" s="1259">
        <f ca="1">OFFSET('VVP2'!$G$193,0,(COLUMN()-6)/5)</f>
        <v>5.71983</v>
      </c>
      <c r="CC50" s="1259">
        <f ca="1">(CB50/BW50-1)*100</f>
        <v>-6.244590873328093</v>
      </c>
      <c r="CD50" s="1259">
        <f ca="1">OFFSET('VVP2'!$G$16,0,(COLUMN()-7)/5)</f>
        <v>-3.1615262636618624</v>
      </c>
      <c r="CE50" s="1259">
        <f ca="1">+CB50*(1+CD50/100)</f>
        <v>5.5389960723131892</v>
      </c>
      <c r="CF50" s="1259">
        <f ca="1">+CG50/CE50*100-100</f>
        <v>0.44022287375675262</v>
      </c>
      <c r="CG50" s="1259">
        <f ca="1">OFFSET('VVP2'!$G$193,0,(COLUMN()-6)/5)</f>
        <v>5.5633800000000004</v>
      </c>
      <c r="CH50" s="1259">
        <f ca="1">(CG50/CB50-1)*100</f>
        <v>-2.7352211516775804</v>
      </c>
      <c r="CI50" s="1259">
        <f ca="1">OFFSET('VVP2'!$G$16,0,(COLUMN()-7)/5)</f>
        <v>-0.35589875219742551</v>
      </c>
      <c r="CJ50" s="1259">
        <f ca="1">+CG50*(1+CI50/100)</f>
        <v>5.5435799999999995</v>
      </c>
      <c r="CK50" s="1259">
        <f ca="1">+CL50/CJ50*100-100</f>
        <v>3.4948535062180071</v>
      </c>
      <c r="CL50" s="1259">
        <f ca="1">OFFSET('VVP2'!$G$193,0,(COLUMN()-6)/5)</f>
        <v>5.7373199999999995</v>
      </c>
      <c r="CM50" s="1259">
        <f ca="1">(CL50/CG50-1)*100</f>
        <v>3.1265166140008294</v>
      </c>
      <c r="CN50" s="1259">
        <f ca="1">OFFSET('VVP2'!$G$16,0,(COLUMN()-7)/5)</f>
        <v>1.2852705291526378</v>
      </c>
      <c r="CO50" s="1259">
        <f ca="1">+CL50*(1+CN50/100)</f>
        <v>5.8110600831231798</v>
      </c>
      <c r="CP50" s="1259">
        <f ca="1">+CQ50/CO50*100-100</f>
        <v>0.33763059744988766</v>
      </c>
      <c r="CQ50" s="1259">
        <f ca="1">OFFSET('VVP2'!$G$193,0,(COLUMN()-6)/5)</f>
        <v>5.8306800000000001</v>
      </c>
      <c r="CR50" s="1259">
        <f ca="1">(CQ50/CL50-1)*100</f>
        <v>1.6272405931689438</v>
      </c>
      <c r="CS50" s="1259">
        <f ca="1">OFFSET('VVP2'!$G$16,0,(COLUMN()-7)/5)</f>
        <v>0.72272891610254408</v>
      </c>
      <c r="CT50" s="1259">
        <f ca="1">+CQ50*(1+CS50/100)</f>
        <v>5.872820010365408</v>
      </c>
      <c r="CU50" s="1259">
        <f ca="1">+CV50/CT50*100-100</f>
        <v>-0.6104394533143136</v>
      </c>
      <c r="CV50" s="1259">
        <f ca="1">OFFSET('VVP2'!$G$193,0,(COLUMN()-6)/5)</f>
        <v>5.83697</v>
      </c>
      <c r="CW50" s="1259">
        <f ca="1">(CV50/CQ50-1)*100</f>
        <v>0.10787764034383418</v>
      </c>
      <c r="CX50" s="1259">
        <f ca="1">OFFSET('VVP2'!$G$16,0,(COLUMN()-7)/5)</f>
        <v>0.28733548938097986</v>
      </c>
      <c r="CY50" s="1259">
        <f ca="1">+CV50*(1+CX50/100)</f>
        <v>5.8537416863145211</v>
      </c>
      <c r="CZ50" s="1259">
        <f ca="1">+DA50/CY50*100-100</f>
        <v>3.7512470732840058</v>
      </c>
      <c r="DA50" s="1259">
        <f ca="1">OFFSET('VVP2'!$G$193,0,(COLUMN()-6)/5)</f>
        <v>6.0733300000000003</v>
      </c>
      <c r="DB50" s="1259">
        <f ca="1">(DA50/CV50-1)*100</f>
        <v>4.0493612268009072</v>
      </c>
      <c r="DC50" s="1259">
        <f ca="1">OFFSET('VVP2'!$G$16,0,(COLUMN()-7)/5)</f>
        <v>0.16432578821721222</v>
      </c>
      <c r="DD50" s="1259">
        <f ca="1">+DA50*(1+DC50/100)</f>
        <v>6.0833100473935326</v>
      </c>
      <c r="DE50" s="1259">
        <f ca="1">+DF50/DD50*100-100</f>
        <v>5.678815478992135</v>
      </c>
      <c r="DF50" s="1259">
        <f ca="1">OFFSET('VVP2'!$G$193,0,(COLUMN()-6)/5)</f>
        <v>6.4287700000000001</v>
      </c>
      <c r="DG50" s="1259">
        <f ca="1">(DF50/DA50-1)*100</f>
        <v>5.8524730255065993</v>
      </c>
      <c r="DH50" s="1259">
        <f ca="1">OFFSET('VVP2'!$G$16,0,(COLUMN()-7)/5)</f>
        <v>1.2923826522888593</v>
      </c>
      <c r="DI50" s="1259">
        <f ca="1">+DF50*(1+DH50/100)</f>
        <v>6.5118543082355504</v>
      </c>
      <c r="DJ50" s="1259">
        <f ca="1">+DK50/DI50*100-100</f>
        <v>1.9198170881425085</v>
      </c>
      <c r="DK50" s="1259">
        <f ca="1">OFFSET('VVP2'!$G$193,0,(COLUMN()-6)/5)</f>
        <v>6.63687</v>
      </c>
      <c r="DL50" s="1259">
        <f ca="1">(DK50/DF50-1)*100</f>
        <v>3.2370111234341969</v>
      </c>
      <c r="DM50" s="1259">
        <f ca="1">OFFSET('VVP2'!$G$16,0,(COLUMN()-7)/5)</f>
        <v>1.1589392464896431</v>
      </c>
      <c r="DN50" s="1259">
        <f ca="1">+DK50*(1+DM50/100)</f>
        <v>6.7137872911684973</v>
      </c>
      <c r="DO50" s="1259">
        <f ca="1">+DP50/DN50*100-100</f>
        <v>2.8934891799006266</v>
      </c>
      <c r="DP50" s="1259">
        <f ca="1">OFFSET('VVP2'!$G$193,0,(COLUMN()-6)/5)</f>
        <v>6.9080500000000002</v>
      </c>
      <c r="DQ50" s="1259">
        <f ca="1">(DP50/DK50-1)*100</f>
        <v>4.0859622080890556</v>
      </c>
      <c r="DR50" s="3336">
        <f>DR49</f>
        <v>1.64</v>
      </c>
      <c r="DS50" s="2250">
        <f ca="1">+DP50*(1+DR50/100)</f>
        <v>7.0213420199999996</v>
      </c>
      <c r="DT50" s="2240">
        <f>DT49</f>
        <v>3.94</v>
      </c>
      <c r="DU50" s="2250">
        <f ca="1">+DS50*(1+DT50/100)</f>
        <v>7.2979828955880004</v>
      </c>
      <c r="DV50" s="1399">
        <f ca="1">(DU50/DP50-1)*100</f>
        <v>5.6446159999999912</v>
      </c>
      <c r="DW50" s="3336">
        <f>DW49</f>
        <v>1.54</v>
      </c>
      <c r="DX50" s="2250">
        <f ca="1">+DU50*(1+DW50/100)</f>
        <v>7.410371832180056</v>
      </c>
      <c r="DY50" s="2240">
        <f>DY49</f>
        <v>3.54</v>
      </c>
      <c r="DZ50" s="2250">
        <f ca="1">+DX50*(1+DY50/100)</f>
        <v>7.672698995039231</v>
      </c>
      <c r="EA50" s="1399">
        <f ca="1">(DZ50/DU50-1)*100</f>
        <v>5.1345160000000112</v>
      </c>
      <c r="EB50"/>
      <c r="EC50"/>
      <c r="ED50"/>
      <c r="EE50"/>
      <c r="EF50"/>
      <c r="EG50"/>
      <c r="EH50"/>
      <c r="EI50"/>
      <c r="EJ50"/>
      <c r="EK50"/>
      <c r="EL50"/>
      <c r="EM50"/>
      <c r="EN50"/>
      <c r="EO50"/>
    </row>
    <row r="51" spans="1:145" s="2842" customFormat="1">
      <c r="A51" s="2841"/>
      <c r="C51" s="2843"/>
      <c r="D51" s="1782"/>
      <c r="E51" s="1782" t="s">
        <v>758</v>
      </c>
      <c r="F51" s="2844"/>
      <c r="G51" s="2845"/>
      <c r="H51" s="2845"/>
      <c r="I51" s="2845"/>
      <c r="J51" s="1232"/>
      <c r="K51" s="2845"/>
      <c r="L51" s="2847">
        <f ca="1">OFFSET('Q1'!$N47,0,(COLUMN()-12)*4/5)</f>
        <v>-0.25710120599019604</v>
      </c>
      <c r="M51" s="2846"/>
      <c r="N51" s="1232"/>
      <c r="O51" s="1232"/>
      <c r="P51" s="1232"/>
      <c r="Q51" s="2847">
        <f ca="1">OFFSET('Q1'!$N47,0,(COLUMN()-12)*4/5)</f>
        <v>3.1365705883394952</v>
      </c>
      <c r="R51" s="1232"/>
      <c r="S51" s="1232"/>
      <c r="T51" s="1232"/>
      <c r="U51" s="1232"/>
      <c r="V51" s="2847">
        <f ca="1">OFFSET('Q1'!$N47,0,(COLUMN()-12)*4/5)</f>
        <v>4.8447631725855729</v>
      </c>
      <c r="W51" s="1232"/>
      <c r="X51" s="1232"/>
      <c r="Y51" s="1232"/>
      <c r="Z51" s="1232"/>
      <c r="AA51" s="2847">
        <f ca="1">OFFSET('Q1'!$N47,0,(COLUMN()-12)*4/5)</f>
        <v>-4.2645565057832897</v>
      </c>
      <c r="AB51" s="1232"/>
      <c r="AC51" s="1232"/>
      <c r="AD51" s="1232"/>
      <c r="AE51" s="1232"/>
      <c r="AF51" s="2847">
        <f ca="1">OFFSET('Q1'!$N47,0,(COLUMN()-12)*4/5)</f>
        <v>0.48515444510994143</v>
      </c>
      <c r="AG51" s="1232"/>
      <c r="AH51" s="1232"/>
      <c r="AI51" s="1232"/>
      <c r="AJ51" s="1232"/>
      <c r="AK51" s="2847">
        <f ca="1">OFFSET('Q1'!$N47,0,(COLUMN()-12)*4/5)</f>
        <v>0.92815722472474249</v>
      </c>
      <c r="AL51" s="1232"/>
      <c r="AM51" s="1232"/>
      <c r="AN51" s="1232"/>
      <c r="AO51" s="1232"/>
      <c r="AP51" s="2847">
        <f ca="1">OFFSET('Q1'!$N47,0,(COLUMN()-12)*4/5)</f>
        <v>2.4627300108835897</v>
      </c>
      <c r="AQ51" s="1232"/>
      <c r="AR51" s="1232"/>
      <c r="AS51" s="1232"/>
      <c r="AT51" s="1232"/>
      <c r="AU51" s="2847">
        <f ca="1">OFFSET('Q1'!$N47,0,(COLUMN()-12)*4/5)</f>
        <v>3.0886155163611875</v>
      </c>
      <c r="AV51" s="1232"/>
      <c r="AW51" s="1232"/>
      <c r="AX51" s="1232"/>
      <c r="AY51" s="1232"/>
      <c r="AZ51" s="2847">
        <f ca="1">OFFSET('Q1'!$N47,0,(COLUMN()-12)*4/5)</f>
        <v>4.6462774667124478</v>
      </c>
      <c r="BA51" s="1232"/>
      <c r="BB51" s="1232"/>
      <c r="BC51" s="1232"/>
      <c r="BD51" s="1232"/>
      <c r="BE51" s="2847">
        <f ca="1">OFFSET('Q1'!$N47,0,(COLUMN()-12)*4/5)</f>
        <v>47.163167295098248</v>
      </c>
      <c r="BF51" s="1232"/>
      <c r="BG51" s="1232"/>
      <c r="BH51" s="1232"/>
      <c r="BI51" s="1232"/>
      <c r="BJ51" s="2847">
        <f ca="1">OFFSET('Q1'!$N47,0,(COLUMN()-12)*4/5)</f>
        <v>2.1042263610315359</v>
      </c>
      <c r="BK51" s="1232"/>
      <c r="BL51" s="1232"/>
      <c r="BM51" s="1232"/>
      <c r="BN51" s="1232"/>
      <c r="BO51" s="2847">
        <f ca="1">OFFSET('Q1'!$N47,0,(COLUMN()-12)*4/5)</f>
        <v>1.8503902481803038</v>
      </c>
      <c r="BP51" s="1232"/>
      <c r="BQ51" s="1232"/>
      <c r="BR51" s="1232"/>
      <c r="BS51" s="1232"/>
      <c r="BT51" s="2847">
        <f ca="1">OFFSET('Q1'!$N47,0,(COLUMN()-12)*4/5)</f>
        <v>0.30136042707079014</v>
      </c>
      <c r="BU51" s="1232"/>
      <c r="BV51" s="1232"/>
      <c r="BW51" s="1232"/>
      <c r="BX51" s="1232"/>
      <c r="BY51" s="2847">
        <f ca="1">OFFSET('Q1'!$N47,0,(COLUMN()-12)*4/5)</f>
        <v>-1.3786591123701868</v>
      </c>
      <c r="BZ51" s="1232"/>
      <c r="CA51" s="1232"/>
      <c r="CB51" s="3133"/>
      <c r="CC51" s="3134"/>
      <c r="CD51" s="2847">
        <f ca="1">OFFSET('Q1'!$N47,0,(COLUMN()-12)*4/5)</f>
        <v>-3.1161867622993356</v>
      </c>
      <c r="CE51" s="1232"/>
      <c r="CF51" s="1232"/>
      <c r="CG51" s="3133"/>
      <c r="CH51" s="3134"/>
      <c r="CI51" s="2847">
        <f ca="1">OFFSET('Q1'!$N47,0,(COLUMN()-12)*4/5)</f>
        <v>-0.40789189966218942</v>
      </c>
      <c r="CJ51" s="1232"/>
      <c r="CK51" s="1232"/>
      <c r="CL51" s="1232"/>
      <c r="CM51" s="1232"/>
      <c r="CN51" s="2847">
        <f ca="1">OFFSET('Q1'!$N47,0,(COLUMN()-12)*4/5)</f>
        <v>1.3243121335137573</v>
      </c>
      <c r="CO51" s="1232"/>
      <c r="CP51" s="1232"/>
      <c r="CQ51" s="1232"/>
      <c r="CR51" s="1232"/>
      <c r="CS51" s="2847">
        <f ca="1">OFFSET('Q1'!$N47,0,(COLUMN()-12)*4/5)</f>
        <v>0.68377285920333009</v>
      </c>
      <c r="CT51" s="1232"/>
      <c r="CU51" s="1232"/>
      <c r="CV51" s="1232"/>
      <c r="CW51" s="1232"/>
      <c r="CX51" s="2847">
        <f ca="1">OFFSET('Q1'!$N47,0,(COLUMN()-12)*4/5)</f>
        <v>0.31834179297169385</v>
      </c>
      <c r="CY51" s="1232"/>
      <c r="CZ51" s="1232"/>
      <c r="DA51" s="1232"/>
      <c r="DB51" s="1232"/>
      <c r="DC51" s="2847">
        <f ca="1">OFFSET('Q1'!$N47,0,(COLUMN()-12)*4/5)</f>
        <v>0.13045854415317137</v>
      </c>
      <c r="DD51" s="1232"/>
      <c r="DE51" s="1232"/>
      <c r="DF51" s="1232"/>
      <c r="DG51" s="1232"/>
      <c r="DH51" s="2847">
        <f ca="1">OFFSET('Q1'!$N47,0,(COLUMN()-12)*4/5)</f>
        <v>1.316970966776438</v>
      </c>
      <c r="DI51" s="1232"/>
      <c r="DJ51" s="1232"/>
      <c r="DK51" s="1232"/>
      <c r="DL51" s="1232"/>
      <c r="DM51" s="3738">
        <f ca="1">OFFSET('Q1'!$N47,0,(COLUMN()-12)*4/5)</f>
        <v>1.1677817360326657</v>
      </c>
      <c r="DN51" s="1232"/>
      <c r="DO51" s="1232"/>
      <c r="DP51" s="1232"/>
      <c r="DQ51" s="1232"/>
      <c r="DR51" s="3738">
        <f ca="1">OFFSET('Q1'!$N47,0,(COLUMN()-12)*4/5)</f>
        <v>1.6293445767539652</v>
      </c>
      <c r="DS51" s="1232"/>
      <c r="DT51" s="1232"/>
      <c r="DU51" s="1232"/>
      <c r="DV51" s="1232"/>
      <c r="DW51" s="3738">
        <f ca="1">OFFSET('Q1'!$N47,0,(COLUMN()-12)*4/5)</f>
        <v>1.5387433473974284</v>
      </c>
      <c r="DX51" s="1232"/>
      <c r="DY51" s="1232"/>
      <c r="DZ51" s="1232"/>
      <c r="EA51" s="1232"/>
      <c r="EB51"/>
      <c r="EC51"/>
      <c r="ED51"/>
      <c r="EE51"/>
      <c r="EF51"/>
      <c r="EG51"/>
      <c r="EH51"/>
      <c r="EI51"/>
      <c r="EJ51"/>
      <c r="EK51"/>
      <c r="EL51"/>
      <c r="EM51"/>
      <c r="EN51"/>
      <c r="EO51"/>
    </row>
    <row r="52" spans="1:145">
      <c r="D52" s="1782"/>
      <c r="E52" s="2897" t="s">
        <v>725</v>
      </c>
      <c r="F52" s="1782"/>
      <c r="G52" s="1782"/>
      <c r="H52" s="1782"/>
      <c r="I52" s="1782"/>
      <c r="J52" s="1782"/>
      <c r="K52" s="1782"/>
      <c r="L52" s="1782"/>
      <c r="M52" s="1782"/>
      <c r="N52" s="1782"/>
      <c r="O52" s="1782"/>
      <c r="P52" s="1782"/>
      <c r="Q52" s="1782"/>
      <c r="R52" s="1782"/>
      <c r="S52" s="1782"/>
      <c r="T52" s="1782"/>
      <c r="U52" s="1782"/>
      <c r="V52" s="1782"/>
      <c r="W52" s="1782"/>
      <c r="X52" s="1782"/>
      <c r="Y52" s="1782"/>
      <c r="Z52" s="1782"/>
      <c r="AA52" s="1782"/>
      <c r="AB52" s="1782"/>
      <c r="AC52" s="1782"/>
      <c r="AD52" s="1782"/>
      <c r="AE52" s="1782"/>
      <c r="AF52" s="1782"/>
      <c r="AG52" s="1782"/>
      <c r="AH52" s="1782"/>
      <c r="AI52" s="1782"/>
      <c r="AJ52" s="1782"/>
      <c r="AK52" s="1782"/>
      <c r="AL52" s="1782"/>
      <c r="AM52" s="1782"/>
      <c r="AN52" s="1782"/>
      <c r="AO52" s="1782"/>
      <c r="AP52" s="1782"/>
      <c r="AQ52" s="1782"/>
      <c r="AR52" s="1782"/>
      <c r="AS52" s="1782"/>
      <c r="AT52" s="1782"/>
      <c r="AU52" s="1782"/>
      <c r="AV52" s="1782"/>
      <c r="AW52" s="1782"/>
      <c r="AX52" s="1782"/>
      <c r="AY52" s="1782"/>
      <c r="AZ52" s="1782"/>
      <c r="BA52" s="1782"/>
      <c r="BB52" s="1782"/>
      <c r="BC52" s="1782"/>
      <c r="BD52" s="1782"/>
      <c r="BE52" s="1782"/>
      <c r="BF52" s="1782"/>
      <c r="BG52" s="1782"/>
      <c r="BH52" s="1782"/>
      <c r="BI52" s="1782"/>
      <c r="BJ52" s="1782"/>
      <c r="BK52" s="1782"/>
      <c r="BL52" s="1782"/>
      <c r="BM52" s="1782"/>
      <c r="BN52" s="1782"/>
      <c r="BO52" s="1782"/>
      <c r="BP52" s="1782"/>
      <c r="BQ52" s="1782"/>
      <c r="BR52" s="1782"/>
      <c r="BS52" s="1782"/>
      <c r="BT52" s="1782"/>
      <c r="BU52" s="1782"/>
      <c r="BV52" s="1782"/>
      <c r="BW52" s="1782"/>
      <c r="BX52" s="1782"/>
      <c r="BY52" s="1782"/>
      <c r="BZ52" s="1782"/>
      <c r="CA52" s="1782"/>
      <c r="CB52" s="1782"/>
      <c r="CC52" s="1782"/>
      <c r="CD52" s="1782"/>
      <c r="CE52" s="1782"/>
      <c r="CF52" s="1782"/>
      <c r="CG52" s="1782"/>
      <c r="CH52" s="1782"/>
      <c r="CI52" s="1782"/>
      <c r="CJ52" s="1782"/>
      <c r="CK52" s="1782"/>
      <c r="CL52" s="1782"/>
      <c r="CM52" s="1782"/>
      <c r="CN52" s="1782"/>
      <c r="CO52" s="1782"/>
      <c r="CP52" s="1782"/>
      <c r="CQ52" s="1782"/>
      <c r="CR52" s="1782"/>
      <c r="CS52" s="1782"/>
      <c r="CT52" s="1782"/>
      <c r="CU52" s="1782"/>
      <c r="CV52" s="1782"/>
      <c r="CW52" s="1782"/>
      <c r="CX52" s="1782"/>
      <c r="CY52" s="1782"/>
      <c r="CZ52" s="1782"/>
      <c r="DA52" s="1782"/>
      <c r="DB52" s="1782"/>
      <c r="DC52" s="1782"/>
      <c r="DD52" s="1782"/>
      <c r="DE52" s="1782"/>
      <c r="DF52" s="1782"/>
      <c r="DG52" s="1782"/>
      <c r="DH52" s="1782"/>
      <c r="DI52" s="1782"/>
      <c r="DJ52" s="1782"/>
      <c r="DK52" s="1782"/>
      <c r="DL52" s="1782"/>
      <c r="DM52" s="1782"/>
      <c r="DN52" s="1782"/>
      <c r="DO52" s="1782"/>
      <c r="DP52" s="1782"/>
      <c r="DQ52" s="1782"/>
      <c r="DR52" s="1782"/>
      <c r="DS52" s="1782"/>
      <c r="DT52" s="1782"/>
      <c r="DU52" s="1782"/>
      <c r="DV52" s="1782"/>
      <c r="DW52" s="1782"/>
      <c r="DX52" s="1782"/>
      <c r="DY52" s="1782"/>
      <c r="DZ52" s="1782"/>
      <c r="EA52" s="1782"/>
    </row>
    <row r="54" spans="1:145">
      <c r="C54" s="774"/>
      <c r="D54" s="3752"/>
      <c r="E54" s="3752" t="s">
        <v>1586</v>
      </c>
      <c r="F54" s="3752"/>
      <c r="G54" s="3754">
        <f>+InputY!$G$3</f>
        <v>1995</v>
      </c>
      <c r="H54" s="3755"/>
      <c r="I54" s="3755"/>
      <c r="J54" s="3755"/>
      <c r="K54" s="3756"/>
      <c r="L54" s="3754">
        <f>+G54+1</f>
        <v>1996</v>
      </c>
      <c r="M54" s="3755"/>
      <c r="N54" s="3755"/>
      <c r="O54" s="3755"/>
      <c r="P54" s="3756"/>
      <c r="Q54" s="3754">
        <f>+L54+1</f>
        <v>1997</v>
      </c>
      <c r="R54" s="3755"/>
      <c r="S54" s="3755"/>
      <c r="T54" s="3755"/>
      <c r="U54" s="3756"/>
      <c r="V54" s="3754">
        <f>+Q54+1</f>
        <v>1998</v>
      </c>
      <c r="W54" s="3755"/>
      <c r="X54" s="3755"/>
      <c r="Y54" s="3755"/>
      <c r="Z54" s="3756"/>
      <c r="AA54" s="3754">
        <f>+V54+1</f>
        <v>1999</v>
      </c>
      <c r="AB54" s="3755"/>
      <c r="AC54" s="3755"/>
      <c r="AD54" s="3755"/>
      <c r="AE54" s="3756"/>
      <c r="AF54" s="3754">
        <f>+AA54+1</f>
        <v>2000</v>
      </c>
      <c r="AG54" s="3755"/>
      <c r="AH54" s="3755"/>
      <c r="AI54" s="3755"/>
      <c r="AJ54" s="3756"/>
      <c r="AK54" s="3754">
        <f>+AF54+1</f>
        <v>2001</v>
      </c>
      <c r="AL54" s="3755"/>
      <c r="AM54" s="3755"/>
      <c r="AN54" s="3755"/>
      <c r="AO54" s="3756"/>
      <c r="AP54" s="3754">
        <f>+AK54+1</f>
        <v>2002</v>
      </c>
      <c r="AQ54" s="3755"/>
      <c r="AR54" s="3755"/>
      <c r="AS54" s="3755"/>
      <c r="AT54" s="3756"/>
      <c r="AU54" s="3754">
        <f>+AP54+1</f>
        <v>2003</v>
      </c>
      <c r="AV54" s="3755"/>
      <c r="AW54" s="3755"/>
      <c r="AX54" s="3755"/>
      <c r="AY54" s="3756"/>
      <c r="AZ54" s="3754">
        <f>+AU54+1</f>
        <v>2004</v>
      </c>
      <c r="BA54" s="3755"/>
      <c r="BB54" s="3755"/>
      <c r="BC54" s="3755"/>
      <c r="BD54" s="3756"/>
      <c r="BE54" s="3754">
        <f>+AZ54+1</f>
        <v>2005</v>
      </c>
      <c r="BF54" s="3755"/>
      <c r="BG54" s="3755"/>
      <c r="BH54" s="3755"/>
      <c r="BI54" s="3756"/>
      <c r="BJ54" s="3754">
        <f>+BE54+1</f>
        <v>2006</v>
      </c>
      <c r="BK54" s="3755"/>
      <c r="BL54" s="3755"/>
      <c r="BM54" s="3755"/>
      <c r="BN54" s="3756"/>
      <c r="BO54" s="3754">
        <f>+BJ54+1</f>
        <v>2007</v>
      </c>
      <c r="BP54" s="3755"/>
      <c r="BQ54" s="3755"/>
      <c r="BR54" s="3755"/>
      <c r="BS54" s="3756"/>
      <c r="BT54" s="3754">
        <f>+BO54+1</f>
        <v>2008</v>
      </c>
      <c r="BU54" s="3755"/>
      <c r="BV54" s="3755"/>
      <c r="BW54" s="3755"/>
      <c r="BX54" s="3756"/>
      <c r="BY54" s="3754">
        <f>+BT54+1</f>
        <v>2009</v>
      </c>
      <c r="BZ54" s="3755"/>
      <c r="CA54" s="3755"/>
      <c r="CB54" s="3755"/>
      <c r="CC54" s="3756"/>
      <c r="CD54" s="3754">
        <f>+BY54+1</f>
        <v>2010</v>
      </c>
      <c r="CE54" s="3755"/>
      <c r="CF54" s="3755"/>
      <c r="CG54" s="3755"/>
      <c r="CH54" s="3756"/>
      <c r="CI54" s="3754">
        <f>+CD54+1</f>
        <v>2011</v>
      </c>
      <c r="CJ54" s="3755"/>
      <c r="CK54" s="3755"/>
      <c r="CL54" s="3755"/>
      <c r="CM54" s="3756"/>
      <c r="CN54" s="3754">
        <f>+CI54+1</f>
        <v>2012</v>
      </c>
      <c r="CO54" s="3755"/>
      <c r="CP54" s="3755"/>
      <c r="CQ54" s="3755"/>
      <c r="CR54" s="3756"/>
      <c r="CS54" s="3754">
        <f>+CN54+1</f>
        <v>2013</v>
      </c>
      <c r="CT54" s="3755"/>
      <c r="CU54" s="3755"/>
      <c r="CV54" s="3755"/>
      <c r="CW54" s="3756"/>
      <c r="CX54" s="3754">
        <f>+CS54+1</f>
        <v>2014</v>
      </c>
      <c r="CY54" s="3755"/>
      <c r="CZ54" s="3755"/>
      <c r="DA54" s="3755"/>
      <c r="DB54" s="3756"/>
      <c r="DC54" s="3754">
        <f>+CX54+1</f>
        <v>2015</v>
      </c>
      <c r="DD54" s="3755"/>
      <c r="DE54" s="3755"/>
      <c r="DF54" s="3755"/>
      <c r="DG54" s="3756"/>
      <c r="DH54" s="3754">
        <f>+DC54+1</f>
        <v>2016</v>
      </c>
      <c r="DI54" s="3755"/>
      <c r="DJ54" s="3755"/>
      <c r="DK54" s="3755"/>
      <c r="DL54" s="3756"/>
      <c r="DM54" s="3754">
        <f>+DH54+1</f>
        <v>2017</v>
      </c>
      <c r="DN54" s="3755"/>
      <c r="DO54" s="3755"/>
      <c r="DP54" s="3755"/>
      <c r="DQ54" s="3756"/>
      <c r="DR54" s="3754">
        <f>+DM54+1</f>
        <v>2018</v>
      </c>
      <c r="DS54" s="3755"/>
      <c r="DT54" s="3755"/>
      <c r="DU54" s="3755"/>
      <c r="DV54" s="3756"/>
      <c r="DW54" s="3754">
        <f>+DR54+1</f>
        <v>2019</v>
      </c>
      <c r="DX54" s="3755"/>
      <c r="DY54" s="3755"/>
      <c r="DZ54" s="3755"/>
      <c r="EA54" s="3756"/>
    </row>
    <row r="55" spans="1:145">
      <c r="C55" s="774"/>
      <c r="D55" s="3752"/>
      <c r="E55" s="3752"/>
      <c r="F55" s="3752"/>
      <c r="G55" s="1256" t="s">
        <v>1486</v>
      </c>
      <c r="H55" s="1253" t="s">
        <v>1732</v>
      </c>
      <c r="I55" s="1252" t="s">
        <v>2022</v>
      </c>
      <c r="J55" s="1253" t="s">
        <v>584</v>
      </c>
      <c r="K55" s="1252" t="s">
        <v>2023</v>
      </c>
      <c r="L55" s="1252" t="s">
        <v>1486</v>
      </c>
      <c r="M55" s="1253" t="s">
        <v>1732</v>
      </c>
      <c r="N55" s="1252" t="s">
        <v>2022</v>
      </c>
      <c r="O55" s="1253" t="s">
        <v>584</v>
      </c>
      <c r="P55" s="1252" t="s">
        <v>2023</v>
      </c>
      <c r="Q55" s="1252" t="s">
        <v>1486</v>
      </c>
      <c r="R55" s="1253" t="s">
        <v>1732</v>
      </c>
      <c r="S55" s="1252" t="s">
        <v>2022</v>
      </c>
      <c r="T55" s="1253" t="s">
        <v>584</v>
      </c>
      <c r="U55" s="1252" t="s">
        <v>2023</v>
      </c>
      <c r="V55" s="1252" t="s">
        <v>1486</v>
      </c>
      <c r="W55" s="1253" t="s">
        <v>1732</v>
      </c>
      <c r="X55" s="1252" t="s">
        <v>2022</v>
      </c>
      <c r="Y55" s="1253" t="s">
        <v>584</v>
      </c>
      <c r="Z55" s="1252" t="s">
        <v>2023</v>
      </c>
      <c r="AA55" s="1252" t="s">
        <v>1486</v>
      </c>
      <c r="AB55" s="1253" t="s">
        <v>1732</v>
      </c>
      <c r="AC55" s="1252" t="s">
        <v>2022</v>
      </c>
      <c r="AD55" s="1253" t="s">
        <v>584</v>
      </c>
      <c r="AE55" s="1252" t="s">
        <v>2023</v>
      </c>
      <c r="AF55" s="1252" t="s">
        <v>1486</v>
      </c>
      <c r="AG55" s="1253" t="s">
        <v>1732</v>
      </c>
      <c r="AH55" s="1252" t="s">
        <v>2022</v>
      </c>
      <c r="AI55" s="1253" t="s">
        <v>584</v>
      </c>
      <c r="AJ55" s="1252" t="s">
        <v>2023</v>
      </c>
      <c r="AK55" s="1252" t="s">
        <v>1486</v>
      </c>
      <c r="AL55" s="1253" t="s">
        <v>1732</v>
      </c>
      <c r="AM55" s="1252" t="s">
        <v>2022</v>
      </c>
      <c r="AN55" s="1253" t="s">
        <v>584</v>
      </c>
      <c r="AO55" s="1252" t="s">
        <v>2023</v>
      </c>
      <c r="AP55" s="1252" t="s">
        <v>1486</v>
      </c>
      <c r="AQ55" s="1253" t="s">
        <v>1732</v>
      </c>
      <c r="AR55" s="1252" t="s">
        <v>2022</v>
      </c>
      <c r="AS55" s="1253" t="s">
        <v>584</v>
      </c>
      <c r="AT55" s="1252" t="s">
        <v>2023</v>
      </c>
      <c r="AU55" s="1252" t="s">
        <v>1486</v>
      </c>
      <c r="AV55" s="1253" t="s">
        <v>1732</v>
      </c>
      <c r="AW55" s="1252" t="s">
        <v>2022</v>
      </c>
      <c r="AX55" s="1253" t="s">
        <v>584</v>
      </c>
      <c r="AY55" s="1252" t="s">
        <v>2023</v>
      </c>
      <c r="AZ55" s="1252" t="s">
        <v>1486</v>
      </c>
      <c r="BA55" s="1253" t="s">
        <v>1732</v>
      </c>
      <c r="BB55" s="1252" t="s">
        <v>2022</v>
      </c>
      <c r="BC55" s="1253" t="s">
        <v>584</v>
      </c>
      <c r="BD55" s="1252" t="s">
        <v>2023</v>
      </c>
      <c r="BE55" s="1252" t="s">
        <v>1486</v>
      </c>
      <c r="BF55" s="1253" t="s">
        <v>1732</v>
      </c>
      <c r="BG55" s="1252" t="s">
        <v>2022</v>
      </c>
      <c r="BH55" s="1253" t="s">
        <v>584</v>
      </c>
      <c r="BI55" s="1252" t="s">
        <v>2023</v>
      </c>
      <c r="BJ55" s="1252" t="s">
        <v>1486</v>
      </c>
      <c r="BK55" s="1253" t="s">
        <v>1732</v>
      </c>
      <c r="BL55" s="1252" t="s">
        <v>2022</v>
      </c>
      <c r="BM55" s="1253" t="s">
        <v>584</v>
      </c>
      <c r="BN55" s="1252" t="s">
        <v>2023</v>
      </c>
      <c r="BO55" s="1252" t="s">
        <v>1486</v>
      </c>
      <c r="BP55" s="1253" t="s">
        <v>1732</v>
      </c>
      <c r="BQ55" s="1252" t="s">
        <v>2022</v>
      </c>
      <c r="BR55" s="1253" t="s">
        <v>584</v>
      </c>
      <c r="BS55" s="1252" t="s">
        <v>2023</v>
      </c>
      <c r="BT55" s="1252" t="s">
        <v>1486</v>
      </c>
      <c r="BU55" s="1253" t="s">
        <v>1732</v>
      </c>
      <c r="BV55" s="1252" t="s">
        <v>2022</v>
      </c>
      <c r="BW55" s="1253" t="s">
        <v>584</v>
      </c>
      <c r="BX55" s="1252" t="s">
        <v>2023</v>
      </c>
      <c r="BY55" s="1252" t="s">
        <v>1486</v>
      </c>
      <c r="BZ55" s="1253" t="s">
        <v>1732</v>
      </c>
      <c r="CA55" s="1252" t="s">
        <v>2022</v>
      </c>
      <c r="CB55" s="1253" t="s">
        <v>584</v>
      </c>
      <c r="CC55" s="1252" t="s">
        <v>2023</v>
      </c>
      <c r="CD55" s="1252" t="s">
        <v>1486</v>
      </c>
      <c r="CE55" s="1253" t="s">
        <v>1732</v>
      </c>
      <c r="CF55" s="1252" t="s">
        <v>2022</v>
      </c>
      <c r="CG55" s="1253" t="s">
        <v>584</v>
      </c>
      <c r="CH55" s="1252" t="s">
        <v>2023</v>
      </c>
      <c r="CI55" s="1252" t="s">
        <v>1486</v>
      </c>
      <c r="CJ55" s="1253" t="s">
        <v>1732</v>
      </c>
      <c r="CK55" s="1252" t="s">
        <v>2022</v>
      </c>
      <c r="CL55" s="1253" t="s">
        <v>584</v>
      </c>
      <c r="CM55" s="1252" t="s">
        <v>2023</v>
      </c>
      <c r="CN55" s="1252" t="s">
        <v>1486</v>
      </c>
      <c r="CO55" s="1253" t="s">
        <v>1732</v>
      </c>
      <c r="CP55" s="1252" t="s">
        <v>2022</v>
      </c>
      <c r="CQ55" s="1253" t="s">
        <v>584</v>
      </c>
      <c r="CR55" s="1252" t="s">
        <v>2023</v>
      </c>
      <c r="CS55" s="1252" t="s">
        <v>1486</v>
      </c>
      <c r="CT55" s="1253" t="s">
        <v>1732</v>
      </c>
      <c r="CU55" s="1252" t="s">
        <v>2022</v>
      </c>
      <c r="CV55" s="1253" t="s">
        <v>584</v>
      </c>
      <c r="CW55" s="1252" t="s">
        <v>2023</v>
      </c>
      <c r="CX55" s="1252" t="s">
        <v>1486</v>
      </c>
      <c r="CY55" s="1253" t="s">
        <v>1732</v>
      </c>
      <c r="CZ55" s="1252" t="s">
        <v>2022</v>
      </c>
      <c r="DA55" s="1253" t="s">
        <v>584</v>
      </c>
      <c r="DB55" s="1252" t="s">
        <v>2023</v>
      </c>
      <c r="DC55" s="1252" t="s">
        <v>1486</v>
      </c>
      <c r="DD55" s="1253" t="s">
        <v>1732</v>
      </c>
      <c r="DE55" s="1252" t="s">
        <v>2022</v>
      </c>
      <c r="DF55" s="1253" t="s">
        <v>584</v>
      </c>
      <c r="DG55" s="1252" t="s">
        <v>2023</v>
      </c>
      <c r="DH55" s="1252" t="s">
        <v>1486</v>
      </c>
      <c r="DI55" s="1253" t="s">
        <v>1732</v>
      </c>
      <c r="DJ55" s="1252" t="s">
        <v>2022</v>
      </c>
      <c r="DK55" s="1253" t="s">
        <v>584</v>
      </c>
      <c r="DL55" s="1252" t="s">
        <v>2023</v>
      </c>
      <c r="DM55" s="1252" t="s">
        <v>1486</v>
      </c>
      <c r="DN55" s="1253" t="s">
        <v>1732</v>
      </c>
      <c r="DO55" s="1252" t="s">
        <v>2022</v>
      </c>
      <c r="DP55" s="1253" t="s">
        <v>584</v>
      </c>
      <c r="DQ55" s="1252" t="s">
        <v>2023</v>
      </c>
      <c r="DR55" s="1252" t="s">
        <v>1486</v>
      </c>
      <c r="DS55" s="1253" t="s">
        <v>1732</v>
      </c>
      <c r="DT55" s="1252" t="s">
        <v>2022</v>
      </c>
      <c r="DU55" s="1253" t="s">
        <v>584</v>
      </c>
      <c r="DV55" s="1252" t="s">
        <v>2023</v>
      </c>
      <c r="DW55" s="1252" t="s">
        <v>1486</v>
      </c>
      <c r="DX55" s="1253" t="s">
        <v>1732</v>
      </c>
      <c r="DY55" s="1252" t="s">
        <v>2022</v>
      </c>
      <c r="DZ55" s="1253" t="s">
        <v>584</v>
      </c>
      <c r="EA55" s="1252" t="s">
        <v>2023</v>
      </c>
    </row>
    <row r="56" spans="1:145">
      <c r="C56" s="1079" t="s">
        <v>1767</v>
      </c>
      <c r="D56" s="1091" t="s">
        <v>687</v>
      </c>
      <c r="E56" s="1038" t="s">
        <v>1485</v>
      </c>
      <c r="F56" s="1069" t="s">
        <v>2051</v>
      </c>
      <c r="G56" s="1261"/>
      <c r="H56" s="1273"/>
      <c r="I56" s="1197"/>
      <c r="J56" s="1273"/>
      <c r="K56" s="1275"/>
      <c r="L56" s="1277"/>
      <c r="M56" s="1273"/>
      <c r="N56" s="1288"/>
      <c r="O56" s="1273"/>
      <c r="P56" s="1275"/>
      <c r="Q56" s="1277"/>
      <c r="R56" s="1273"/>
      <c r="S56" s="1288"/>
      <c r="T56" s="1273"/>
      <c r="U56" s="1275"/>
      <c r="V56" s="1277"/>
      <c r="W56" s="1273"/>
      <c r="X56" s="1288"/>
      <c r="Y56" s="1273"/>
      <c r="Z56" s="1275"/>
      <c r="AA56" s="1277"/>
      <c r="AB56" s="1273"/>
      <c r="AC56" s="1288"/>
      <c r="AD56" s="1273"/>
      <c r="AE56" s="1275"/>
      <c r="AF56" s="1277"/>
      <c r="AG56" s="1273"/>
      <c r="AH56" s="1288"/>
      <c r="AI56" s="1273"/>
      <c r="AJ56" s="1275"/>
      <c r="AK56" s="1277"/>
      <c r="AL56" s="1273"/>
      <c r="AM56" s="1288"/>
      <c r="AN56" s="1273"/>
      <c r="AO56" s="1275"/>
      <c r="AP56" s="1277"/>
      <c r="AQ56" s="1273"/>
      <c r="AR56" s="1288"/>
      <c r="AS56" s="1273"/>
      <c r="AT56" s="1275"/>
      <c r="AU56" s="1277"/>
      <c r="AV56" s="1273"/>
      <c r="AW56" s="1288"/>
      <c r="AX56" s="1273"/>
      <c r="AY56" s="1275"/>
      <c r="AZ56" s="1277"/>
      <c r="BA56" s="1273"/>
      <c r="BB56" s="1288"/>
      <c r="BC56" s="1273"/>
      <c r="BD56" s="1275"/>
      <c r="BE56" s="1277"/>
      <c r="BF56" s="1273"/>
      <c r="BG56" s="1288"/>
      <c r="BH56" s="1273"/>
      <c r="BI56" s="1275"/>
      <c r="BJ56" s="1277"/>
      <c r="BK56" s="1273"/>
      <c r="BL56" s="1288"/>
      <c r="BM56" s="1273"/>
      <c r="BN56" s="1275"/>
      <c r="BO56" s="1277"/>
      <c r="BP56" s="1273"/>
      <c r="BQ56" s="1288"/>
      <c r="BR56" s="1273"/>
      <c r="BS56" s="1275"/>
      <c r="BT56" s="1277"/>
      <c r="BU56" s="1273"/>
      <c r="BV56" s="1288"/>
      <c r="BW56" s="1273"/>
      <c r="BX56" s="1275"/>
      <c r="BY56" s="1277"/>
      <c r="BZ56" s="1414"/>
      <c r="CA56" s="1288"/>
      <c r="CB56" s="1414"/>
      <c r="CC56" s="1275"/>
      <c r="CD56" s="1277"/>
      <c r="CE56" s="1414"/>
      <c r="CF56" s="1288"/>
      <c r="CG56" s="1414"/>
      <c r="CH56" s="1275"/>
      <c r="CI56" s="1277"/>
      <c r="CJ56" s="1414"/>
      <c r="CK56" s="1288"/>
      <c r="CL56" s="1414"/>
      <c r="CM56" s="1275"/>
      <c r="CN56" s="1277"/>
      <c r="CO56" s="1414"/>
      <c r="CP56" s="1288"/>
      <c r="CQ56" s="1414"/>
      <c r="CR56" s="1275"/>
      <c r="CS56" s="1277"/>
      <c r="CT56" s="1414"/>
      <c r="CU56" s="1288"/>
      <c r="CV56" s="1414"/>
      <c r="CW56" s="1275"/>
      <c r="CX56" s="1277"/>
      <c r="CY56" s="1414"/>
      <c r="CZ56" s="1288"/>
      <c r="DA56" s="1414"/>
      <c r="DB56" s="1275"/>
      <c r="DC56" s="1277"/>
      <c r="DD56" s="1414"/>
      <c r="DE56" s="1288"/>
      <c r="DF56" s="1414"/>
      <c r="DG56" s="1275"/>
      <c r="DH56" s="1277"/>
      <c r="DI56" s="1414"/>
      <c r="DJ56" s="1288"/>
      <c r="DK56" s="1414"/>
      <c r="DL56" s="1275"/>
      <c r="DM56" s="1277"/>
      <c r="DN56" s="1414"/>
      <c r="DO56" s="1288"/>
      <c r="DP56" s="1414"/>
      <c r="DQ56" s="1275"/>
      <c r="DR56" s="1277"/>
      <c r="DS56" s="1414"/>
      <c r="DT56" s="1288"/>
      <c r="DU56" s="1414"/>
      <c r="DV56" s="1275"/>
      <c r="DW56" s="1277"/>
      <c r="DX56" s="1414"/>
      <c r="DY56" s="1288"/>
      <c r="DZ56" s="1414"/>
      <c r="EA56" s="1275"/>
    </row>
    <row r="57" spans="1:145">
      <c r="C57" s="1080" t="s">
        <v>1767</v>
      </c>
      <c r="D57" s="1202" t="s">
        <v>1447</v>
      </c>
      <c r="E57" s="29" t="s">
        <v>1485</v>
      </c>
      <c r="F57" s="1070" t="s">
        <v>2052</v>
      </c>
      <c r="G57" s="1204"/>
      <c r="H57" s="1274"/>
      <c r="I57" s="1198"/>
      <c r="J57" s="1274"/>
      <c r="K57" s="1276"/>
      <c r="L57" s="1278"/>
      <c r="M57" s="1274"/>
      <c r="N57" s="1289"/>
      <c r="O57" s="1274"/>
      <c r="P57" s="1276"/>
      <c r="Q57" s="1278"/>
      <c r="R57" s="1274"/>
      <c r="S57" s="1289"/>
      <c r="T57" s="1274"/>
      <c r="U57" s="1276"/>
      <c r="V57" s="1278"/>
      <c r="W57" s="1274"/>
      <c r="X57" s="1289"/>
      <c r="Y57" s="1274"/>
      <c r="Z57" s="1276"/>
      <c r="AA57" s="1278"/>
      <c r="AB57" s="1274"/>
      <c r="AC57" s="1289"/>
      <c r="AD57" s="1274"/>
      <c r="AE57" s="1276"/>
      <c r="AF57" s="1278"/>
      <c r="AG57" s="1274"/>
      <c r="AH57" s="1289"/>
      <c r="AI57" s="1274"/>
      <c r="AJ57" s="1276"/>
      <c r="AK57" s="1278"/>
      <c r="AL57" s="1274"/>
      <c r="AM57" s="1289"/>
      <c r="AN57" s="1274"/>
      <c r="AO57" s="1276"/>
      <c r="AP57" s="1278"/>
      <c r="AQ57" s="1274"/>
      <c r="AR57" s="1289"/>
      <c r="AS57" s="1274"/>
      <c r="AT57" s="1276"/>
      <c r="AU57" s="1278"/>
      <c r="AV57" s="1274"/>
      <c r="AW57" s="1289"/>
      <c r="AX57" s="1274"/>
      <c r="AY57" s="1276"/>
      <c r="AZ57" s="1278"/>
      <c r="BA57" s="1274"/>
      <c r="BB57" s="1289"/>
      <c r="BC57" s="1274"/>
      <c r="BD57" s="1276"/>
      <c r="BE57" s="1278"/>
      <c r="BF57" s="1274"/>
      <c r="BG57" s="1289"/>
      <c r="BH57" s="1274"/>
      <c r="BI57" s="1276"/>
      <c r="BJ57" s="1278"/>
      <c r="BK57" s="1274"/>
      <c r="BL57" s="1289"/>
      <c r="BM57" s="1274"/>
      <c r="BN57" s="1276"/>
      <c r="BO57" s="1278"/>
      <c r="BP57" s="1274"/>
      <c r="BQ57" s="1289"/>
      <c r="BR57" s="1274"/>
      <c r="BS57" s="1276"/>
      <c r="BT57" s="1278"/>
      <c r="BU57" s="1274"/>
      <c r="BV57" s="1289"/>
      <c r="BW57" s="1274"/>
      <c r="BX57" s="1276"/>
      <c r="BY57" s="1278"/>
      <c r="BZ57" s="1415"/>
      <c r="CA57" s="1289"/>
      <c r="CB57" s="1415"/>
      <c r="CC57" s="1276"/>
      <c r="CD57" s="1278"/>
      <c r="CE57" s="1415"/>
      <c r="CF57" s="1289"/>
      <c r="CG57" s="1415"/>
      <c r="CH57" s="1276"/>
      <c r="CI57" s="1278"/>
      <c r="CJ57" s="1415"/>
      <c r="CK57" s="1289"/>
      <c r="CL57" s="1415"/>
      <c r="CM57" s="1276"/>
      <c r="CN57" s="1278"/>
      <c r="CO57" s="1415"/>
      <c r="CP57" s="1289"/>
      <c r="CQ57" s="1415"/>
      <c r="CR57" s="1276"/>
      <c r="CS57" s="1278"/>
      <c r="CT57" s="1415"/>
      <c r="CU57" s="1289"/>
      <c r="CV57" s="1415"/>
      <c r="CW57" s="1276"/>
      <c r="CX57" s="1278"/>
      <c r="CY57" s="1415"/>
      <c r="CZ57" s="1289"/>
      <c r="DA57" s="1415"/>
      <c r="DB57" s="1276"/>
      <c r="DC57" s="1278"/>
      <c r="DD57" s="1415"/>
      <c r="DE57" s="1289"/>
      <c r="DF57" s="1415"/>
      <c r="DG57" s="1276"/>
      <c r="DH57" s="1278"/>
      <c r="DI57" s="1415"/>
      <c r="DJ57" s="1289"/>
      <c r="DK57" s="1415"/>
      <c r="DL57" s="1276"/>
      <c r="DM57" s="1278"/>
      <c r="DN57" s="1415"/>
      <c r="DO57" s="1289"/>
      <c r="DP57" s="1415"/>
      <c r="DQ57" s="1276"/>
      <c r="DR57" s="1278"/>
      <c r="DS57" s="1415"/>
      <c r="DT57" s="1289"/>
      <c r="DU57" s="1415"/>
      <c r="DV57" s="1276"/>
      <c r="DW57" s="1278"/>
      <c r="DX57" s="1415"/>
      <c r="DY57" s="1289"/>
      <c r="DZ57" s="1415"/>
      <c r="EA57" s="1276"/>
    </row>
    <row r="58" spans="1:145">
      <c r="C58" s="1080" t="s">
        <v>1769</v>
      </c>
      <c r="D58" s="1203"/>
      <c r="E58" s="1203" t="s">
        <v>1485</v>
      </c>
      <c r="F58" s="1227" t="s">
        <v>2053</v>
      </c>
      <c r="G58" s="1365"/>
      <c r="H58" s="1366"/>
      <c r="I58" s="1366"/>
      <c r="J58" s="1212">
        <f ca="1">OFFSET('VVP2'!$G$204,0,(COLUMN()-6)/5)</f>
        <v>0.7525599999999999</v>
      </c>
      <c r="K58" s="1368"/>
      <c r="L58" s="1279">
        <f ca="1">OFFSET('VVP2'!$G$35,0,(COLUMN()-7)/5)</f>
        <v>2.322935357477296</v>
      </c>
      <c r="M58" s="1216">
        <f ca="1">+J58*(1+L58/100)</f>
        <v>0.77004148232623104</v>
      </c>
      <c r="N58" s="1286">
        <f ca="1">+O58/M58*100-100</f>
        <v>13.46141994332892</v>
      </c>
      <c r="O58" s="1212">
        <f ca="1">OFFSET('VVP2'!$G$204,0,(COLUMN()-6)/5)</f>
        <v>0.87370000000000003</v>
      </c>
      <c r="P58" s="1230">
        <f ca="1">(O58/J58-1)*100</f>
        <v>16.097055384288318</v>
      </c>
      <c r="Q58" s="1279">
        <f ca="1">OFFSET('VVP2'!$G$35,0,(COLUMN()-7)/5)</f>
        <v>25.568572516800891</v>
      </c>
      <c r="R58" s="1216">
        <f ca="1">+O58*(1+Q58/100)</f>
        <v>1.0970926180792895</v>
      </c>
      <c r="S58" s="1286">
        <f ca="1">+T58/R58*100-100</f>
        <v>7.7867064742692946</v>
      </c>
      <c r="T58" s="1212">
        <f ca="1">OFFSET('VVP2'!$G$204,0,(COLUMN()-6)/5)</f>
        <v>1.18252</v>
      </c>
      <c r="U58" s="1230">
        <f ca="1">(T58/O58-1)*100</f>
        <v>35.346228682614168</v>
      </c>
      <c r="V58" s="1279">
        <f ca="1">OFFSET('VVP2'!$G$35,0,(COLUMN()-7)/5)</f>
        <v>28.92657713502831</v>
      </c>
      <c r="W58" s="1216">
        <f ca="1">+T58*(1+V58/100)</f>
        <v>1.5245825599371368</v>
      </c>
      <c r="X58" s="1286">
        <f ca="1">+Y58/W58*100-100</f>
        <v>2.8406096987393568</v>
      </c>
      <c r="Y58" s="1212">
        <f ca="1">OFFSET('VVP2'!$G$204,0,(COLUMN()-6)/5)</f>
        <v>1.56789</v>
      </c>
      <c r="Z58" s="1230">
        <f ca="1">(Y58/T58-1)*100</f>
        <v>32.588877989378616</v>
      </c>
      <c r="AA58" s="1279">
        <f ca="1">OFFSET('VVP2'!$G$35,0,(COLUMN()-7)/5)</f>
        <v>-9.5081925797033779</v>
      </c>
      <c r="AB58" s="1216">
        <f ca="1">+Y58*(1+AA58/100)</f>
        <v>1.4188119993620887</v>
      </c>
      <c r="AC58" s="1286">
        <f ca="1">+AD58/AB58*100-100</f>
        <v>1.0211360380674392</v>
      </c>
      <c r="AD58" s="1212">
        <f ca="1">OFFSET('VVP2'!$G$204,0,(COLUMN()-6)/5)</f>
        <v>1.4333</v>
      </c>
      <c r="AE58" s="1230">
        <f ca="1">(AD58/Y58-1)*100</f>
        <v>-8.5841481226361473</v>
      </c>
      <c r="AF58" s="1279">
        <f ca="1">OFFSET('VVP2'!$G$35,0,(COLUMN()-7)/5)</f>
        <v>-20.686442156691676</v>
      </c>
      <c r="AG58" s="1216">
        <f ca="1">+AD58*(1+AF58/100)</f>
        <v>1.1368012245681383</v>
      </c>
      <c r="AH58" s="1286">
        <f ca="1">+AI58/AG58*100-100</f>
        <v>1.0475688426871557</v>
      </c>
      <c r="AI58" s="1212">
        <f ca="1">OFFSET('VVP2'!$G$204,0,(COLUMN()-6)/5)</f>
        <v>1.1487100000000001</v>
      </c>
      <c r="AJ58" s="1230">
        <f ca="1">(AI58/AD58-1)*100</f>
        <v>-19.855578036698518</v>
      </c>
      <c r="AK58" s="1279">
        <f ca="1">OFFSET('VVP2'!$G$35,0,(COLUMN()-7)/5)</f>
        <v>11.24594650486419</v>
      </c>
      <c r="AL58" s="1216">
        <f ca="1">+AI58*(1+AK58/100)</f>
        <v>1.2778933120960256</v>
      </c>
      <c r="AM58" s="1286">
        <f ca="1">+AN58/AL58*100-100</f>
        <v>-0.36883455382475461</v>
      </c>
      <c r="AN58" s="1212">
        <f ca="1">OFFSET('VVP2'!$G$204,0,(COLUMN()-6)/5)</f>
        <v>1.27318</v>
      </c>
      <c r="AO58" s="1230">
        <f ca="1">(AN58/AI58-1)*100</f>
        <v>10.835633014424872</v>
      </c>
      <c r="AP58" s="1279">
        <f ca="1">OFFSET('VVP2'!$G$35,0,(COLUMN()-7)/5)</f>
        <v>15.105880584736099</v>
      </c>
      <c r="AQ58" s="1216">
        <f ca="1">+AN58*(1+AP58/100)</f>
        <v>1.465505050428743</v>
      </c>
      <c r="AR58" s="1286">
        <f ca="1">+AS58/AQ58*100-100</f>
        <v>-3.7874344314317909E-2</v>
      </c>
      <c r="AS58" s="1212">
        <f ca="1">OFFSET('VVP2'!$G$204,0,(COLUMN()-6)/5)</f>
        <v>1.46495</v>
      </c>
      <c r="AT58" s="1230">
        <f ca="1">(AS58/AN58-1)*100</f>
        <v>15.062284987197415</v>
      </c>
      <c r="AU58" s="1279">
        <f ca="1">OFFSET('VVP2'!$G$35,0,(COLUMN()-7)/5)</f>
        <v>20.486763141934784</v>
      </c>
      <c r="AV58" s="1216">
        <f ca="1">+AS58*(1+AU58/100)</f>
        <v>1.7650708366477736</v>
      </c>
      <c r="AW58" s="1286">
        <f ca="1">+AX58/AV58*100-100</f>
        <v>1.4469200228094223</v>
      </c>
      <c r="AX58" s="1212">
        <f ca="1">OFFSET('VVP2'!$G$204,0,(COLUMN()-6)/5)</f>
        <v>1.7906099999999998</v>
      </c>
      <c r="AY58" s="1230">
        <f ca="1">(AX58/AS58-1)*100</f>
        <v>22.230110242670385</v>
      </c>
      <c r="AZ58" s="1279">
        <f ca="1">OFFSET('VVP2'!$G$35,0,(COLUMN()-7)/5)</f>
        <v>-2.1405223087823555</v>
      </c>
      <c r="BA58" s="1216">
        <f ca="1">+AX58*(1+AZ58/100)</f>
        <v>1.752281593486712</v>
      </c>
      <c r="BB58" s="1286">
        <f ca="1">+BC58/BA58*100-100</f>
        <v>6.0885423273206953</v>
      </c>
      <c r="BC58" s="1212">
        <f ca="1">OFFSET('VVP2'!$G$204,0,(COLUMN()-6)/5)</f>
        <v>1.85897</v>
      </c>
      <c r="BD58" s="1230">
        <f ca="1">(BC58/AX58-1)*100</f>
        <v>3.8176934117423844</v>
      </c>
      <c r="BE58" s="1279">
        <f ca="1">OFFSET('VVP2'!$G$35,0,(COLUMN()-7)/5)</f>
        <v>13.878813105785825</v>
      </c>
      <c r="BF58" s="1216">
        <f ca="1">+BC58*(1+BE58/100)</f>
        <v>2.1169729719926269</v>
      </c>
      <c r="BG58" s="1286">
        <f ca="1">+BH58/BF58*100-100</f>
        <v>7.3017950655211337</v>
      </c>
      <c r="BH58" s="1212">
        <f ca="1">OFFSET('VVP2'!$G$204,0,(COLUMN()-6)/5)</f>
        <v>2.2715500000000004</v>
      </c>
      <c r="BI58" s="1230">
        <f ca="1">(BH58/BC58-1)*100</f>
        <v>22.194010661818119</v>
      </c>
      <c r="BJ58" s="1279">
        <f ca="1">OFFSET('VVP2'!$G$35,0,(COLUMN()-7)/5)</f>
        <v>22.210701418053503</v>
      </c>
      <c r="BK58" s="1216">
        <f ca="1">+BH58*(1+BJ58/100)</f>
        <v>2.7760771880617949</v>
      </c>
      <c r="BL58" s="1286">
        <f ca="1">+BM58/BK58*100-100</f>
        <v>9.5484669186476765</v>
      </c>
      <c r="BM58" s="1212">
        <f ca="1">OFFSET('VVP2'!$G$204,0,(COLUMN()-6)/5)</f>
        <v>3.04115</v>
      </c>
      <c r="BN58" s="1230">
        <f ca="1">(BM58/BH58-1)*100</f>
        <v>33.879949814003638</v>
      </c>
      <c r="BO58" s="1279">
        <f ca="1">OFFSET('VVP2'!$G$35,0,(COLUMN()-7)/5)</f>
        <v>22.818191806240542</v>
      </c>
      <c r="BP58" s="1216">
        <f ca="1">+BM58*(1+BO58/100)</f>
        <v>3.7350854401154843</v>
      </c>
      <c r="BQ58" s="1286">
        <f ca="1">+BR58/BP58*100-100</f>
        <v>12.894606230737907</v>
      </c>
      <c r="BR58" s="1212">
        <f ca="1">OFFSET('VVP2'!$G$204,0,(COLUMN()-6)/5)</f>
        <v>4.21671</v>
      </c>
      <c r="BS58" s="1230">
        <f ca="1">(BR58/BM58-1)*100</f>
        <v>38.655114019367673</v>
      </c>
      <c r="BT58" s="1279">
        <f ca="1">OFFSET('VVP2'!$G$35,0,(COLUMN()-7)/5)</f>
        <v>-3.9400543198709892</v>
      </c>
      <c r="BU58" s="1216">
        <f ca="1">+BR58*(1+BT58/100)</f>
        <v>4.0505693354885679</v>
      </c>
      <c r="BV58" s="1286">
        <f ca="1">+BW58/BU58*100-100</f>
        <v>9.5986670590971812</v>
      </c>
      <c r="BW58" s="1212">
        <f ca="1">OFFSET('VVP2'!$G$204,0,(COLUMN()-6)/5)</f>
        <v>4.4393700000000003</v>
      </c>
      <c r="BX58" s="1230">
        <f ca="1">(BW58/BR58-1)*100</f>
        <v>5.2804200431141979</v>
      </c>
      <c r="BY58" s="1279">
        <f ca="1">OFFSET('VVP2'!$G$35,0,(COLUMN()-7)/5)</f>
        <v>-44.441828881846988</v>
      </c>
      <c r="BZ58" s="1216">
        <f ca="1">+BW58*(1+BY58/100)</f>
        <v>2.4664327811679496</v>
      </c>
      <c r="CA58" s="1286">
        <f ca="1">+CB58/BZ58*100-100</f>
        <v>-9.2316637577338838</v>
      </c>
      <c r="CB58" s="1212">
        <f ca="1">OFFSET('VVP2'!$G$204,0,(COLUMN()-6)/5)</f>
        <v>2.23874</v>
      </c>
      <c r="CC58" s="1230">
        <f ca="1">(CB58/BW58-1)*100</f>
        <v>-49.570772429421297</v>
      </c>
      <c r="CD58" s="1279">
        <f ca="1">OFFSET('VVP2'!$G$35,0,(COLUMN()-7)/5)</f>
        <v>1.684095840278621</v>
      </c>
      <c r="CE58" s="1216">
        <f ca="1">+CB58*(1+CD58/100)</f>
        <v>2.2764425272146536</v>
      </c>
      <c r="CF58" s="1286">
        <f ca="1">+CG58/CE58*100-100</f>
        <v>-4.0647864423738298</v>
      </c>
      <c r="CG58" s="1212">
        <f ca="1">OFFSET('VVP2'!$G$204,0,(COLUMN()-6)/5)</f>
        <v>2.18391</v>
      </c>
      <c r="CH58" s="1230">
        <f ca="1">(CG58/CB58-1)*100</f>
        <v>-2.4491455014874375</v>
      </c>
      <c r="CI58" s="1279">
        <f ca="1">OFFSET('VVP2'!$G$35,0,(COLUMN()-7)/5)</f>
        <v>18.105599589726683</v>
      </c>
      <c r="CJ58" s="1216">
        <f ca="1">+CG58*(1+CI58/100)</f>
        <v>2.5793200000000001</v>
      </c>
      <c r="CK58" s="1286">
        <f ca="1">+CL58/CJ58*100-100</f>
        <v>3.9436750771521218</v>
      </c>
      <c r="CL58" s="1212">
        <f ca="1">OFFSET('VVP2'!$G$204,0,(COLUMN()-6)/5)</f>
        <v>2.6810399999999999</v>
      </c>
      <c r="CM58" s="1230">
        <f ca="1">(CL58/CG58-1)*100</f>
        <v>22.76330068546779</v>
      </c>
      <c r="CN58" s="1279">
        <f ca="1">OFFSET('VVP2'!$G$35,0,(COLUMN()-7)/5)</f>
        <v>-5.8693764247941367</v>
      </c>
      <c r="CO58" s="1216">
        <f ca="1">+CL58*(1+CN58/100)</f>
        <v>2.523679670300699</v>
      </c>
      <c r="CP58" s="1286">
        <f ca="1">+CQ58/CO58*100-100</f>
        <v>3.7013544467856718</v>
      </c>
      <c r="CQ58" s="1212">
        <f ca="1">OFFSET('VVP2'!$G$204,0,(COLUMN()-6)/5)</f>
        <v>2.6170900000000001</v>
      </c>
      <c r="CR58" s="1230">
        <f ca="1">(CQ58/CL58-1)*100</f>
        <v>-2.3852684033061733</v>
      </c>
      <c r="CS58" s="1279">
        <f ca="1">OFFSET('VVP2'!$G$35,0,(COLUMN()-7)/5)</f>
        <v>7.1093482925784546</v>
      </c>
      <c r="CT58" s="1216">
        <f ca="1">+CQ58*(1+CS58/100)</f>
        <v>2.8031480432302418</v>
      </c>
      <c r="CU58" s="1286">
        <f ca="1">+CV58/CT58*100-100</f>
        <v>4.050872626723816</v>
      </c>
      <c r="CV58" s="1212">
        <f ca="1">OFFSET('VVP2'!$G$204,0,(COLUMN()-6)/5)</f>
        <v>2.9166999999999996</v>
      </c>
      <c r="CW58" s="1230">
        <f ca="1">(CV58/CQ58-1)*100</f>
        <v>11.448211563224774</v>
      </c>
      <c r="CX58" s="1279">
        <f ca="1">OFFSET('VVP2'!$G$35,0,(COLUMN()-7)/5)</f>
        <v>6.2033270013151176</v>
      </c>
      <c r="CY58" s="1216">
        <f ca="1">+CV58*(1+CX58/100)</f>
        <v>3.0976324386473575</v>
      </c>
      <c r="CZ58" s="1286">
        <f ca="1">+DA58/CY58*100-100</f>
        <v>2.1041089491270668</v>
      </c>
      <c r="DA58" s="1212">
        <f ca="1">OFFSET('VVP2'!$G$204,0,(COLUMN()-6)/5)</f>
        <v>3.1628099999999999</v>
      </c>
      <c r="DB58" s="1230">
        <f ca="1">(DA58/CV58-1)*100</f>
        <v>8.4379607090204765</v>
      </c>
      <c r="DC58" s="1279">
        <f ca="1">OFFSET('VVP2'!$G$35,0,(COLUMN()-7)/5)</f>
        <v>-4.1921024237289384</v>
      </c>
      <c r="DD58" s="1216">
        <f ca="1">+DA58*(1+DC58/100)</f>
        <v>3.0302217653320587</v>
      </c>
      <c r="DE58" s="1286">
        <f ca="1">+DF58/DD58*100-100</f>
        <v>0.46690426521938377</v>
      </c>
      <c r="DF58" s="1212">
        <f ca="1">OFFSET('VVP2'!$G$204,0,(COLUMN()-6)/5)</f>
        <v>3.0443699999999998</v>
      </c>
      <c r="DG58" s="1230">
        <f ca="1">(DF58/DA58-1)*100</f>
        <v>-3.7447712635283237</v>
      </c>
      <c r="DH58" s="1279">
        <f ca="1">OFFSET('VVP2'!$G$35,0,(COLUMN()-7)/5)</f>
        <v>-11.24833716289757</v>
      </c>
      <c r="DI58" s="1216">
        <f ca="1">+DF58*(1+DH58/100)</f>
        <v>2.7019289979138952</v>
      </c>
      <c r="DJ58" s="1286">
        <f ca="1">+DK58/DI58*100-100</f>
        <v>-2.8671737108453783</v>
      </c>
      <c r="DK58" s="1212">
        <f ca="1">OFFSET('VVP2'!$G$204,0,(COLUMN()-6)/5)</f>
        <v>2.62446</v>
      </c>
      <c r="DL58" s="1230">
        <f ca="1">(DK58/DF58-1)*100</f>
        <v>-13.793001507701097</v>
      </c>
      <c r="DM58" s="1279">
        <f ca="1">OFFSET('VVP2'!$G$35,0,(COLUMN()-7)/5)</f>
        <v>8.5810154826182483</v>
      </c>
      <c r="DN58" s="1216">
        <f ca="1">+DK58*(1+DM58/100)</f>
        <v>2.8496653189351231</v>
      </c>
      <c r="DO58" s="1286">
        <f ca="1">+DP58/DN58*100-100</f>
        <v>4.2911944870274112</v>
      </c>
      <c r="DP58" s="1212">
        <f ca="1">OFFSET('VVP2'!$G$204,0,(COLUMN()-6)/5)</f>
        <v>2.9719499999999996</v>
      </c>
      <c r="DQ58" s="1230">
        <f ca="1">(DP58/DK58-1)*100</f>
        <v>13.240438032966772</v>
      </c>
      <c r="DR58" s="2242">
        <v>6.5</v>
      </c>
      <c r="DS58" s="2243">
        <f ca="1">+DP58*(1+DR58/100)</f>
        <v>3.1651267499999993</v>
      </c>
      <c r="DT58" s="2244">
        <v>3.3</v>
      </c>
      <c r="DU58" s="2243">
        <f ca="1">+DS58*(1+DT58/100)</f>
        <v>3.2695759327499991</v>
      </c>
      <c r="DV58" s="2245">
        <f ca="1">(DU58/DP58-1)*100</f>
        <v>10.014499999999993</v>
      </c>
      <c r="DW58" s="2242">
        <v>4.9000000000000004</v>
      </c>
      <c r="DX58" s="2243">
        <f ca="1">+DU58*(1+DW58/100)</f>
        <v>3.4297851534547488</v>
      </c>
      <c r="DY58" s="2244">
        <v>3.3</v>
      </c>
      <c r="DZ58" s="2243">
        <f ca="1">+DX58*(1+DY58/100)</f>
        <v>3.5429680635187553</v>
      </c>
      <c r="EA58" s="2245">
        <f ca="1">(DZ58/DU58-1)*100</f>
        <v>8.361699999999983</v>
      </c>
    </row>
    <row r="59" spans="1:145">
      <c r="C59" s="1080" t="s">
        <v>1767</v>
      </c>
      <c r="D59" s="3"/>
      <c r="E59" s="1" t="s">
        <v>1443</v>
      </c>
      <c r="F59" s="3" t="s">
        <v>2054</v>
      </c>
      <c r="G59" s="1369"/>
      <c r="H59" s="1274"/>
      <c r="I59" s="1198"/>
      <c r="J59" s="1068">
        <f ca="1">OFFSET('VVP2'!$G$205,0,(COLUMN()-6)/5)</f>
        <v>0.17634</v>
      </c>
      <c r="K59" s="1276"/>
      <c r="L59" s="1280">
        <f ca="1">OFFSET('VVP2'!$G$36,0,(COLUMN()-7)/5)</f>
        <v>1.1255694237329861</v>
      </c>
      <c r="M59" s="1068">
        <f ca="1">+J59*(1+L59/100)</f>
        <v>0.17832482912181075</v>
      </c>
      <c r="N59" s="1290">
        <f ca="1">+O59/M59*100-100</f>
        <v>15.541958466847873</v>
      </c>
      <c r="O59" s="1068">
        <f ca="1">OFFSET('VVP2'!$G$205,0,(COLUMN()-6)/5)</f>
        <v>0.20604</v>
      </c>
      <c r="P59" s="1281">
        <f ca="1">(O59/J59-1)*100</f>
        <v>16.842463422932962</v>
      </c>
      <c r="Q59" s="1280">
        <f ca="1">OFFSET('VVP2'!$G$36,0,(COLUMN()-7)/5)</f>
        <v>-11.288986748545582</v>
      </c>
      <c r="R59" s="1068">
        <f ca="1">+O59*(1+Q59/100)</f>
        <v>0.18278017170329669</v>
      </c>
      <c r="S59" s="1290">
        <f ca="1">+T59/R59*100-100</f>
        <v>11.02407778093793</v>
      </c>
      <c r="T59" s="1068">
        <f ca="1">OFFSET('VVP2'!$G$205,0,(COLUMN()-6)/5)</f>
        <v>0.20293</v>
      </c>
      <c r="U59" s="1281">
        <f ca="1">(T59/O59-1)*100</f>
        <v>-1.5094156474470988</v>
      </c>
      <c r="V59" s="1280">
        <f ca="1">OFFSET('VVP2'!$G$36,0,(COLUMN()-7)/5)</f>
        <v>-6.394097755917616</v>
      </c>
      <c r="W59" s="1068">
        <f ca="1">+T59*(1+V59/100)</f>
        <v>0.18995445742391637</v>
      </c>
      <c r="X59" s="1290">
        <f ca="1">+Y59/W59*100-100</f>
        <v>4.451352545633398</v>
      </c>
      <c r="Y59" s="1068">
        <f ca="1">OFFSET('VVP2'!$G$205,0,(COLUMN()-6)/5)</f>
        <v>0.19841</v>
      </c>
      <c r="Z59" s="1281">
        <f ca="1">(Y59/T59-1)*100</f>
        <v>-2.2273690435125393</v>
      </c>
      <c r="AA59" s="1280">
        <f ca="1">OFFSET('VVP2'!$G$36,0,(COLUMN()-7)/5)</f>
        <v>5.8128078817734075</v>
      </c>
      <c r="AB59" s="1068">
        <f ca="1">+Y59*(1+AA59/100)</f>
        <v>0.20994319211822662</v>
      </c>
      <c r="AC59" s="1290">
        <f ca="1">+AD59/AB59*100-100</f>
        <v>1.494122219503538</v>
      </c>
      <c r="AD59" s="1068">
        <f ca="1">OFFSET('VVP2'!$G$205,0,(COLUMN()-6)/5)</f>
        <v>0.21308000000000002</v>
      </c>
      <c r="AE59" s="1281">
        <f ca="1">(AD59/Y59-1)*100</f>
        <v>7.3937805554155522</v>
      </c>
      <c r="AF59" s="1280">
        <f ca="1">OFFSET('VVP2'!$G$36,0,(COLUMN()-7)/5)</f>
        <v>9.3362760650159693</v>
      </c>
      <c r="AG59" s="1068">
        <f ca="1">+AD59*(1+AF59/100)</f>
        <v>0.23297373703933605</v>
      </c>
      <c r="AH59" s="1290">
        <f ca="1">+AI59/AG59*100-100</f>
        <v>0.68516862928392186</v>
      </c>
      <c r="AI59" s="1068">
        <f ca="1">OFFSET('VVP2'!$G$205,0,(COLUMN()-6)/5)</f>
        <v>0.23457</v>
      </c>
      <c r="AJ59" s="1281">
        <f ca="1">(AI59/AD59-1)*100</f>
        <v>10.085413929040721</v>
      </c>
      <c r="AK59" s="1280">
        <f ca="1">OFFSET('VVP2'!$G$36,0,(COLUMN()-7)/5)</f>
        <v>-3.5588123974935826</v>
      </c>
      <c r="AL59" s="1068">
        <f ca="1">+AI59*(1+AK59/100)</f>
        <v>0.2262220937591993</v>
      </c>
      <c r="AM59" s="1290">
        <f ca="1">+AN59/AL59*100-100</f>
        <v>-1.1723407361008356</v>
      </c>
      <c r="AN59" s="1068">
        <f ca="1">OFFSET('VVP2'!$G$205,0,(COLUMN()-6)/5)</f>
        <v>0.22356999999999999</v>
      </c>
      <c r="AO59" s="1281">
        <f ca="1">(AN59/AI59-1)*100</f>
        <v>-4.6894317261371938</v>
      </c>
      <c r="AP59" s="1280">
        <f ca="1">OFFSET('VVP2'!$G$36,0,(COLUMN()-7)/5)</f>
        <v>-10.280057995661219</v>
      </c>
      <c r="AQ59" s="1068">
        <f ca="1">+AN59*(1+AP59/100)</f>
        <v>0.20058687433910022</v>
      </c>
      <c r="AR59" s="1290">
        <f ca="1">+AS59/AQ59*100-100</f>
        <v>0.49012462262997758</v>
      </c>
      <c r="AS59" s="1068">
        <f ca="1">OFFSET('VVP2'!$G$205,0,(COLUMN()-6)/5)</f>
        <v>0.20157</v>
      </c>
      <c r="AT59" s="1281">
        <f ca="1">(AS59/AN59-1)*100</f>
        <v>-9.8403184684886185</v>
      </c>
      <c r="AU59" s="1280">
        <f ca="1">OFFSET('VVP2'!$G$36,0,(COLUMN()-7)/5)</f>
        <v>14.389861605569809</v>
      </c>
      <c r="AV59" s="1068">
        <f ca="1">+AS59*(1+AU59/100)</f>
        <v>0.23057564403834707</v>
      </c>
      <c r="AW59" s="1290">
        <f ca="1">+AX59/AV59*100-100</f>
        <v>1.2292521066021891</v>
      </c>
      <c r="AX59" s="1068">
        <f ca="1">OFFSET('VVP2'!$G$205,0,(COLUMN()-6)/5)</f>
        <v>0.23341000000000001</v>
      </c>
      <c r="AY59" s="1281">
        <f ca="1">(AX59/AS59-1)*100</f>
        <v>15.796001389095604</v>
      </c>
      <c r="AZ59" s="1280">
        <f ca="1">OFFSET('VVP2'!$G$36,0,(COLUMN()-7)/5)</f>
        <v>66.597574321806931</v>
      </c>
      <c r="BA59" s="1068">
        <f ca="1">+AX59*(1+AZ59/100)</f>
        <v>0.38885539822452958</v>
      </c>
      <c r="BB59" s="1290">
        <f ca="1">+BC59/BA59*100-100</f>
        <v>7.6852737320659941</v>
      </c>
      <c r="BC59" s="1068">
        <f ca="1">OFFSET('VVP2'!$G$205,0,(COLUMN()-6)/5)</f>
        <v>0.41874</v>
      </c>
      <c r="BD59" s="1281">
        <f ca="1">(BC59/AX59-1)*100</f>
        <v>79.401053939419896</v>
      </c>
      <c r="BE59" s="1280">
        <f ca="1">OFFSET('VVP2'!$G$36,0,(COLUMN()-7)/5)</f>
        <v>-2.1131089595782804E-2</v>
      </c>
      <c r="BF59" s="1068">
        <f ca="1">+BC59*(1+BE59/100)</f>
        <v>0.41865151567542663</v>
      </c>
      <c r="BG59" s="1290">
        <f ca="1">+BH59/BF59*100-100</f>
        <v>8.4792441912702259</v>
      </c>
      <c r="BH59" s="1068">
        <f ca="1">OFFSET('VVP2'!$G$205,0,(COLUMN()-6)/5)</f>
        <v>0.45415</v>
      </c>
      <c r="BI59" s="1281">
        <f ca="1">(BH59/BC59-1)*100</f>
        <v>8.4563213449873498</v>
      </c>
      <c r="BJ59" s="1280">
        <f ca="1">OFFSET('VVP2'!$G$36,0,(COLUMN()-7)/5)</f>
        <v>21.172062638101629</v>
      </c>
      <c r="BK59" s="1068">
        <f ca="1">+BH59*(1+BJ59/100)</f>
        <v>0.55030292247093859</v>
      </c>
      <c r="BL59" s="1290">
        <f ca="1">+BM59/BK59*100-100</f>
        <v>10.693578959172086</v>
      </c>
      <c r="BM59" s="1068">
        <f ca="1">OFFSET('VVP2'!$G$205,0,(COLUMN()-6)/5)</f>
        <v>0.60914999999999997</v>
      </c>
      <c r="BN59" s="1281">
        <f ca="1">(BM59/BH59-1)*100</f>
        <v>34.129692832764505</v>
      </c>
      <c r="BO59" s="1280">
        <f ca="1">OFFSET('VVP2'!$G$36,0,(COLUMN()-7)/5)</f>
        <v>14.878536090320949</v>
      </c>
      <c r="BP59" s="1068">
        <f ca="1">+BM59*(1+BO59/100)</f>
        <v>0.69978260259419001</v>
      </c>
      <c r="BQ59" s="1290">
        <f ca="1">+BR59/BP59*100-100</f>
        <v>16.091768641912353</v>
      </c>
      <c r="BR59" s="1068">
        <f ca="1">OFFSET('VVP2'!$G$205,0,(COLUMN()-6)/5)</f>
        <v>0.81238999999999995</v>
      </c>
      <c r="BS59" s="1281">
        <f ca="1">(BR59/BM59-1)*100</f>
        <v>33.36452433719117</v>
      </c>
      <c r="BT59" s="1280">
        <f ca="1">OFFSET('VVP2'!$G$36,0,(COLUMN()-7)/5)</f>
        <v>24.314326335113922</v>
      </c>
      <c r="BU59" s="1068">
        <f ca="1">+BR59*(1+BT59/100)</f>
        <v>1.009917155713832</v>
      </c>
      <c r="BV59" s="1290">
        <f ca="1">+BW59/BU59*100-100</f>
        <v>9.5446288580012464</v>
      </c>
      <c r="BW59" s="1068">
        <f ca="1">OFFSET('VVP2'!$G$205,0,(COLUMN()-6)/5)</f>
        <v>1.1063099999999999</v>
      </c>
      <c r="BX59" s="1281">
        <f ca="1">(BW59/BR59-1)*100</f>
        <v>36.17966740112508</v>
      </c>
      <c r="BY59" s="1280">
        <f ca="1">OFFSET('VVP2'!$G$36,0,(COLUMN()-7)/5)</f>
        <v>-7.1706157980058194</v>
      </c>
      <c r="BZ59" s="1068">
        <f ca="1">+BW59*(1+BY59/100)</f>
        <v>1.0269807603650818</v>
      </c>
      <c r="CA59" s="1290">
        <f ca="1">+CB59/BZ59*100-100</f>
        <v>-14.498885092272701</v>
      </c>
      <c r="CB59" s="1068">
        <f ca="1">OFFSET('VVP2'!$G$205,0,(COLUMN()-6)/5)</f>
        <v>0.87808000000000008</v>
      </c>
      <c r="CC59" s="1281">
        <f ca="1">(CB59/BW59-1)*100</f>
        <v>-20.629841545317305</v>
      </c>
      <c r="CD59" s="1280">
        <f ca="1">OFFSET('VVP2'!$G$36,0,(COLUMN()-7)/5)</f>
        <v>-29.656475766709722</v>
      </c>
      <c r="CE59" s="1068">
        <f ca="1">+CB59*(1+CD59/100)</f>
        <v>0.61767241758767533</v>
      </c>
      <c r="CF59" s="1290">
        <f ca="1">+CG59/CE59*100-100</f>
        <v>-4.7877186588921319</v>
      </c>
      <c r="CG59" s="1068">
        <f ca="1">OFFSET('VVP2'!$G$205,0,(COLUMN()-6)/5)</f>
        <v>0.58810000000000007</v>
      </c>
      <c r="CH59" s="1281">
        <f ca="1">(CG59/CB59-1)*100</f>
        <v>-33.024325801749264</v>
      </c>
      <c r="CI59" s="1280">
        <f ca="1">OFFSET('VVP2'!$G$36,0,(COLUMN()-7)/5)</f>
        <v>0.97942526781158445</v>
      </c>
      <c r="CJ59" s="1068">
        <f ca="1">+CG59*(1+CI59/100)</f>
        <v>0.59385999999999994</v>
      </c>
      <c r="CK59" s="1290">
        <f ca="1">+CL59/CJ59*100-100</f>
        <v>3.7736166773313613</v>
      </c>
      <c r="CL59" s="1068">
        <f ca="1">OFFSET('VVP2'!$G$205,0,(COLUMN()-6)/5)</f>
        <v>0.61626999999999998</v>
      </c>
      <c r="CM59" s="1281">
        <f ca="1">(CL59/CG59-1)*100</f>
        <v>4.7900017003910778</v>
      </c>
      <c r="CN59" s="1280">
        <f ca="1">OFFSET('VVP2'!$G$36,0,(COLUMN()-7)/5)</f>
        <v>2.2547401744518636</v>
      </c>
      <c r="CO59" s="1068">
        <f ca="1">+CL59*(1+CN59/100)</f>
        <v>0.63016528727309451</v>
      </c>
      <c r="CP59" s="1290">
        <f ca="1">+CQ59/CO59*100-100</f>
        <v>3.0586757341574184</v>
      </c>
      <c r="CQ59" s="1068">
        <f ca="1">OFFSET('VVP2'!$G$205,0,(COLUMN()-6)/5)</f>
        <v>0.64944000000000002</v>
      </c>
      <c r="CR59" s="1281">
        <f ca="1">(CQ59/CL59-1)*100</f>
        <v>5.3823810991935339</v>
      </c>
      <c r="CS59" s="1280">
        <f ca="1">OFFSET('VVP2'!$G$36,0,(COLUMN()-7)/5)</f>
        <v>11.5240839851791</v>
      </c>
      <c r="CT59" s="1068">
        <f ca="1">+CQ59*(1+CS59/100)</f>
        <v>0.72428201103334722</v>
      </c>
      <c r="CU59" s="1290">
        <f ca="1">+CV59/CT59*100-100</f>
        <v>4.5062542586260719</v>
      </c>
      <c r="CV59" s="1068">
        <f ca="1">OFFSET('VVP2'!$G$205,0,(COLUMN()-6)/5)</f>
        <v>0.75691999999999993</v>
      </c>
      <c r="CW59" s="1281">
        <f ca="1">(CV59/CQ59-1)*100</f>
        <v>16.549642769154961</v>
      </c>
      <c r="CX59" s="1280">
        <f ca="1">OFFSET('VVP2'!$G$36,0,(COLUMN()-7)/5)</f>
        <v>16.917443113860877</v>
      </c>
      <c r="CY59" s="1068">
        <f ca="1">+CV59*(1+CX59/100)</f>
        <v>0.8849715104174356</v>
      </c>
      <c r="CZ59" s="1290">
        <f ca="1">+DA59/CY59*100-100</f>
        <v>3.2055822417586199</v>
      </c>
      <c r="DA59" s="1068">
        <f ca="1">OFFSET('VVP2'!$G$205,0,(COLUMN()-6)/5)</f>
        <v>0.91334000000000004</v>
      </c>
      <c r="DB59" s="1281">
        <f ca="1">(DA59/CV59-1)*100</f>
        <v>20.665327907837039</v>
      </c>
      <c r="DC59" s="1280">
        <f ca="1">OFFSET('VVP2'!$G$36,0,(COLUMN()-7)/5)</f>
        <v>14.887597878252091</v>
      </c>
      <c r="DD59" s="1068">
        <f ca="1">+DA59*(1+DC59/100)</f>
        <v>1.0493143864612278</v>
      </c>
      <c r="DE59" s="1290">
        <f ca="1">+DF59/DD59*100-100</f>
        <v>0.38840728683014447</v>
      </c>
      <c r="DF59" s="1068">
        <f ca="1">OFFSET('VVP2'!$G$205,0,(COLUMN()-6)/5)</f>
        <v>1.05339</v>
      </c>
      <c r="DG59" s="1281">
        <f ca="1">(DF59/DA59-1)*100</f>
        <v>15.333829680075329</v>
      </c>
      <c r="DH59" s="1280">
        <f ca="1">OFFSET('VVP2'!$G$36,0,(COLUMN()-7)/5)</f>
        <v>6.7760091460733696</v>
      </c>
      <c r="DI59" s="1068">
        <f ca="1">+DF59*(1+DH59/100)</f>
        <v>1.1247678027438224</v>
      </c>
      <c r="DJ59" s="1290">
        <f ca="1">+DK59/DI59*100-100</f>
        <v>3.1928543090023993</v>
      </c>
      <c r="DK59" s="1068">
        <f ca="1">OFFSET('VVP2'!$G$205,0,(COLUMN()-6)/5)</f>
        <v>1.1606800000000002</v>
      </c>
      <c r="DL59" s="1281">
        <f ca="1">(DK59/DF59-1)*100</f>
        <v>10.18521155507457</v>
      </c>
      <c r="DM59" s="1280">
        <f ca="1">OFFSET('VVP2'!$G$36,0,(COLUMN()-7)/5)</f>
        <v>-4.6091916155335149</v>
      </c>
      <c r="DN59" s="1068">
        <f ca="1">+DK59*(1+DM59/100)</f>
        <v>1.1071820347568258</v>
      </c>
      <c r="DO59" s="1290">
        <f ca="1">+DP59/DN59*100-100</f>
        <v>1.6969174583202857</v>
      </c>
      <c r="DP59" s="1068">
        <f ca="1">OFFSET('VVP2'!$G$205,0,(COLUMN()-6)/5)</f>
        <v>1.1259700000000001</v>
      </c>
      <c r="DQ59" s="1281">
        <f ca="1">(DP59/DK59-1)*100</f>
        <v>-2.9904883344246458</v>
      </c>
      <c r="DR59" s="3074">
        <v>3.5</v>
      </c>
      <c r="DS59" s="2246">
        <f ca="1">+DP59*(1+DR59/100)</f>
        <v>1.16537895</v>
      </c>
      <c r="DT59" s="3075">
        <v>3.3</v>
      </c>
      <c r="DU59" s="2246">
        <f ca="1">+DS59*(1+DT59/100)</f>
        <v>1.2038364553499998</v>
      </c>
      <c r="DV59" s="2247">
        <f ca="1">(DU59/DP59-1)*100</f>
        <v>6.9154999999999633</v>
      </c>
      <c r="DW59" s="3074">
        <v>1.8</v>
      </c>
      <c r="DX59" s="2246">
        <f ca="1">+DU59*(1+DW59/100)</f>
        <v>1.2255055115462998</v>
      </c>
      <c r="DY59" s="3075">
        <v>3.3</v>
      </c>
      <c r="DZ59" s="2246">
        <f ca="1">+DX59*(1+DY59/100)</f>
        <v>1.2659471934273276</v>
      </c>
      <c r="EA59" s="2247">
        <f ca="1">(DZ59/DU59-1)*100</f>
        <v>5.1593999999999918</v>
      </c>
    </row>
    <row r="60" spans="1:145">
      <c r="A60" s="1456" t="s">
        <v>1940</v>
      </c>
      <c r="C60" s="1081" t="s">
        <v>1769</v>
      </c>
      <c r="D60" s="1262"/>
      <c r="E60" s="1262" t="s">
        <v>1444</v>
      </c>
      <c r="F60" s="1263" t="s">
        <v>1306</v>
      </c>
      <c r="G60" s="1370"/>
      <c r="H60" s="1371"/>
      <c r="I60" s="1371"/>
      <c r="J60" s="1214">
        <f ca="1">OFFSET('VVP2'!$G$206,0,(COLUMN()-6)/5)</f>
        <v>0.92889999999999995</v>
      </c>
      <c r="K60" s="1374"/>
      <c r="L60" s="1473">
        <f ca="1">IF(UPPER($F$2)="Y",(M60/J60-1)*100,OFFSET('VVP2'!$G$37,0,(COLUMN()-7)/5))</f>
        <v>2.095630471314669</v>
      </c>
      <c r="M60" s="1474">
        <f ca="1">IF(UPPER($F$2)="Y",+M58+M59,J60*(1+L60/100))</f>
        <v>0.94836631144804184</v>
      </c>
      <c r="N60" s="1291">
        <f ca="1">+O60/M60*100-100</f>
        <v>13.852631305657212</v>
      </c>
      <c r="O60" s="1214">
        <f ca="1">OFFSET('VVP2'!$G$206,0,(COLUMN()-6)/5)</f>
        <v>1.0797399999999999</v>
      </c>
      <c r="P60" s="1266">
        <f ca="1">(O60/J60-1)*100</f>
        <v>16.238561739692116</v>
      </c>
      <c r="Q60" s="1473">
        <f ca="1">IF(UPPER($F$2)="Y",(R60/O60-1)*100,OFFSET('VVP2'!$G$37,0,(COLUMN()-7)/5))</f>
        <v>18.535276064847661</v>
      </c>
      <c r="R60" s="1474">
        <f ca="1">IF(UPPER($F$2)="Y",+R58+R59,O60*(1+Q60/100))</f>
        <v>1.2798727897825861</v>
      </c>
      <c r="S60" s="1291">
        <f ca="1">+T60/R60*100-100</f>
        <v>8.2490393623688476</v>
      </c>
      <c r="T60" s="1214">
        <f ca="1">OFFSET('VVP2'!$G$206,0,(COLUMN()-6)/5)</f>
        <v>1.3854500000000001</v>
      </c>
      <c r="U60" s="1266">
        <f ca="1">(T60/O60-1)*100</f>
        <v>28.313297645729541</v>
      </c>
      <c r="V60" s="1473">
        <f ca="1">IF(UPPER($F$2)="Y",(W60/T60-1)*100,OFFSET('VVP2'!$G$37,0,(COLUMN()-7)/5))</f>
        <v>23.753077870803917</v>
      </c>
      <c r="W60" s="1474">
        <f ca="1">IF(UPPER($F$2)="Y",+W58+W59,T60*(1+V60/100))</f>
        <v>1.714537017361053</v>
      </c>
      <c r="X60" s="1291">
        <f ca="1">+Y60/W60*100-100</f>
        <v>3.0190647454563901</v>
      </c>
      <c r="Y60" s="1214">
        <f ca="1">OFFSET('VVP2'!$G$206,0,(COLUMN()-6)/5)</f>
        <v>1.7663</v>
      </c>
      <c r="Z60" s="1266">
        <f ca="1">(Y60/T60-1)*100</f>
        <v>27.489263416218556</v>
      </c>
      <c r="AA60" s="1473">
        <f ca="1">IF(UPPER($F$2)="Y",(AB60/Y60-1)*100,OFFSET('VVP2'!$G$37,0,(COLUMN()-7)/5))</f>
        <v>-7.7871714046132912</v>
      </c>
      <c r="AB60" s="1474">
        <f ca="1">IF(UPPER($F$2)="Y",+AB58+AB59,Y60*(1+AA60/100))</f>
        <v>1.6287551914803153</v>
      </c>
      <c r="AC60" s="1291">
        <f ca="1">+AD60/AB60*100-100</f>
        <v>1.0821029834241926</v>
      </c>
      <c r="AD60" s="1214">
        <f ca="1">OFFSET('VVP2'!$G$206,0,(COLUMN()-6)/5)</f>
        <v>1.6463800000000002</v>
      </c>
      <c r="AE60" s="1266">
        <f ca="1">(AD60/Y60-1)*100</f>
        <v>-6.7893336352827793</v>
      </c>
      <c r="AF60" s="1473">
        <f ca="1">IF(UPPER($F$2)="Y",(AG60/AD60-1)*100,OFFSET('VVP2'!$G$37,0,(COLUMN()-7)/5))</f>
        <v>-16.800801661373789</v>
      </c>
      <c r="AG60" s="1474">
        <f ca="1">IF(UPPER($F$2)="Y",+AG58+AG59,AD60*(1+AF60/100))</f>
        <v>1.3697749616074744</v>
      </c>
      <c r="AH60" s="1291">
        <f ca="1">+AI60/AG60*100-100</f>
        <v>0.9859311763647014</v>
      </c>
      <c r="AI60" s="1214">
        <f ca="1">OFFSET('VVP2'!$G$206,0,(COLUMN()-6)/5)</f>
        <v>1.3832800000000001</v>
      </c>
      <c r="AJ60" s="1266">
        <f ca="1">(AI60/AD60-1)*100</f>
        <v>-15.980514826467774</v>
      </c>
      <c r="AK60" s="1473">
        <f ca="1">IF(UPPER($F$2)="Y",(AL60/AI60-1)*100,OFFSET('VVP2'!$G$37,0,(COLUMN()-7)/5))</f>
        <v>8.7354263674183752</v>
      </c>
      <c r="AL60" s="1474">
        <f ca="1">IF(UPPER($F$2)="Y",+AL58+AL59,AI60*(1+AK60/100))</f>
        <v>1.5041154058552249</v>
      </c>
      <c r="AM60" s="1291">
        <f ca="1">+AN60/AL60*100-100</f>
        <v>-0.48968355929024199</v>
      </c>
      <c r="AN60" s="1214">
        <f ca="1">OFFSET('VVP2'!$G$206,0,(COLUMN()-6)/5)</f>
        <v>1.49675</v>
      </c>
      <c r="AO60" s="1266">
        <f ca="1">(AN60/AI60-1)*100</f>
        <v>8.2029668613729623</v>
      </c>
      <c r="AP60" s="1473">
        <f ca="1">IF(UPPER($F$2)="Y",(AQ60/AN60-1)*100,OFFSET('VVP2'!$G$37,0,(COLUMN()-7)/5))</f>
        <v>11.313975264262123</v>
      </c>
      <c r="AQ60" s="1474">
        <f ca="1">IF(UPPER($F$2)="Y",+AQ58+AQ59,AN60*(1+AP60/100))</f>
        <v>1.6660919247678432</v>
      </c>
      <c r="AR60" s="1291">
        <f ca="1">+AS60/AQ60*100-100</f>
        <v>2.5693374164603711E-2</v>
      </c>
      <c r="AS60" s="1214">
        <f ca="1">OFFSET('VVP2'!$G$206,0,(COLUMN()-6)/5)</f>
        <v>1.66652</v>
      </c>
      <c r="AT60" s="1266">
        <f ca="1">(AS60/AN60-1)*100</f>
        <v>11.342575580424242</v>
      </c>
      <c r="AU60" s="1473">
        <f ca="1">IF(UPPER($F$2)="Y",(AV60/AS60-1)*100,OFFSET('VVP2'!$G$37,0,(COLUMN()-7)/5))</f>
        <v>19.749326781924047</v>
      </c>
      <c r="AV60" s="1474">
        <f ca="1">IF(UPPER($F$2)="Y",+AV58+AV59,AS60*(1+AU60/100))</f>
        <v>1.9956464806861207</v>
      </c>
      <c r="AW60" s="1291">
        <f ca="1">+AX60/AV60*100-100</f>
        <v>1.4217708190543021</v>
      </c>
      <c r="AX60" s="1214">
        <f ca="1">OFFSET('VVP2'!$G$206,0,(COLUMN()-6)/5)</f>
        <v>2.0240200000000002</v>
      </c>
      <c r="AY60" s="1266">
        <f ca="1">(AX60/AS60-1)*100</f>
        <v>21.451887766123434</v>
      </c>
      <c r="AZ60" s="1473">
        <f ca="1">IF(UPPER($F$2)="Y",(BA60/AX60-1)*100,OFFSET('VVP2'!$G$37,0,(COLUMN()-7)/5))</f>
        <v>5.7863554565291464</v>
      </c>
      <c r="BA60" s="1474">
        <f ca="1">IF(UPPER($F$2)="Y",+BA58+BA59,AX60*(1+AZ60/100))</f>
        <v>2.1411369917112415</v>
      </c>
      <c r="BB60" s="1291">
        <f ca="1">+BC60/BA60*100-100</f>
        <v>6.3785273346572069</v>
      </c>
      <c r="BC60" s="1214">
        <f ca="1">OFFSET('VVP2'!$G$206,0,(COLUMN()-6)/5)</f>
        <v>2.2777099999999999</v>
      </c>
      <c r="BD60" s="1266">
        <f ca="1">(BC60/AX60-1)*100</f>
        <v>12.533967055661499</v>
      </c>
      <c r="BE60" s="1473">
        <f ca="1">IF(UPPER($F$2)="Y",(BF60/BC60-1)*100,OFFSET('VVP2'!$G$37,0,(COLUMN()-7)/5))</f>
        <v>11.323412008906031</v>
      </c>
      <c r="BF60" s="1474">
        <f ca="1">IF(UPPER($F$2)="Y",+BF58+BF59,BC60*(1+BE60/100))</f>
        <v>2.5356244876680534</v>
      </c>
      <c r="BG60" s="1291">
        <f ca="1">+BH60/BF60*100-100</f>
        <v>7.4962011629235263</v>
      </c>
      <c r="BH60" s="1214">
        <f ca="1">OFFSET('VVP2'!$G$206,0,(COLUMN()-6)/5)</f>
        <v>2.7256999999999998</v>
      </c>
      <c r="BI60" s="1266">
        <f ca="1">(BH60/BC60-1)*100</f>
        <v>19.66843891452379</v>
      </c>
      <c r="BJ60" s="1473">
        <f ca="1">IF(UPPER($F$2)="Y",(BK60/BH60-1)*100,OFFSET('VVP2'!$G$37,0,(COLUMN()-7)/5))</f>
        <v>22.037645761922953</v>
      </c>
      <c r="BK60" s="1474">
        <f ca="1">IF(UPPER($F$2)="Y",+BK58+BK59,BH60*(1+BJ60/100))</f>
        <v>3.3263801105327335</v>
      </c>
      <c r="BL60" s="1291">
        <f ca="1">+BM60/BK60*100-100</f>
        <v>9.7379096406209982</v>
      </c>
      <c r="BM60" s="1214">
        <f ca="1">OFFSET('VVP2'!$G$206,0,(COLUMN()-6)/5)</f>
        <v>3.6503000000000001</v>
      </c>
      <c r="BN60" s="1266">
        <f ca="1">(BM60/BH60-1)*100</f>
        <v>33.921561433760147</v>
      </c>
      <c r="BO60" s="1473">
        <f ca="1">IF(UPPER($F$2)="Y",(BP60/BM60-1)*100,OFFSET('VVP2'!$G$37,0,(COLUMN()-7)/5))</f>
        <v>21.493248300404733</v>
      </c>
      <c r="BP60" s="1474">
        <f ca="1">IF(UPPER($F$2)="Y",+BP58+BP59,BM60*(1+BO60/100))</f>
        <v>4.4348680427096738</v>
      </c>
      <c r="BQ60" s="1291">
        <f ca="1">+BR60/BP60*100-100</f>
        <v>13.399089929342182</v>
      </c>
      <c r="BR60" s="1214">
        <f ca="1">OFFSET('VVP2'!$G$206,0,(COLUMN()-6)/5)</f>
        <v>5.0291000000000006</v>
      </c>
      <c r="BS60" s="1266">
        <f ca="1">(BR60/BM60-1)*100</f>
        <v>37.772237898254943</v>
      </c>
      <c r="BT60" s="1473">
        <f ca="1">IF(UPPER($F$2)="Y",(BU60/BR60-1)*100,OFFSET('VVP2'!$G$37,0,(COLUMN()-7)/5))</f>
        <v>0.62409757615475847</v>
      </c>
      <c r="BU60" s="1474">
        <f ca="1">IF(UPPER($F$2)="Y",+BU58+BU59,BR60*(1+BT60/100))</f>
        <v>5.0604864912023997</v>
      </c>
      <c r="BV60" s="1291">
        <f ca="1">+BW60/BU60*100-100</f>
        <v>9.5878826994421047</v>
      </c>
      <c r="BW60" s="1214">
        <f ca="1">OFFSET('VVP2'!$G$206,0,(COLUMN()-6)/5)</f>
        <v>5.5456799999999999</v>
      </c>
      <c r="BX60" s="1266">
        <f ca="1">(BW60/BR60-1)*100</f>
        <v>10.271818019128665</v>
      </c>
      <c r="BY60" s="1473">
        <f ca="1">IF(UPPER($F$2)="Y",(BZ60/BW60-1)*100,OFFSET('VVP2'!$G$37,0,(COLUMN()-7)/5))</f>
        <v>-37.00657914749803</v>
      </c>
      <c r="BZ60" s="1474">
        <f ca="1">IF(UPPER($F$2)="Y",+BZ58+BZ59,BW60*(1+BY60/100))</f>
        <v>3.4934135415330312</v>
      </c>
      <c r="CA60" s="1291">
        <f ca="1">+CB60/BZ60*100-100</f>
        <v>-10.780101956316585</v>
      </c>
      <c r="CB60" s="1214">
        <f ca="1">OFFSET('VVP2'!$G$206,0,(COLUMN()-6)/5)</f>
        <v>3.1168200000000001</v>
      </c>
      <c r="CC60" s="1266">
        <f ca="1">(CB60/BW60-1)*100</f>
        <v>-43.797334141169344</v>
      </c>
      <c r="CD60" s="1473">
        <f ca="1">IF(UPPER($F$2)="Y",(CE60/CB60-1)*100,OFFSET('VVP2'!$G$37,0,(COLUMN()-7)/5))</f>
        <v>-7.1452652125458371</v>
      </c>
      <c r="CE60" s="1474">
        <f ca="1">IF(UPPER($F$2)="Y",+CE58+CE59,CB60*(1+CD60/100))</f>
        <v>2.8941149448023289</v>
      </c>
      <c r="CF60" s="1291">
        <f ca="1">+CG60/CE60*100-100</f>
        <v>-4.2190772353953037</v>
      </c>
      <c r="CG60" s="1214">
        <f ca="1">OFFSET('VVP2'!$G$206,0,(COLUMN()-6)/5)</f>
        <v>2.7720100000000003</v>
      </c>
      <c r="CH60" s="1266">
        <f ca="1">(CG60/CB60-1)*100</f>
        <v>-11.062878189950009</v>
      </c>
      <c r="CI60" s="1473">
        <f ca="1">IF(UPPER($F$2)="Y",(CJ60/CG60-1)*100,OFFSET('VVP2'!$G$37,0,(COLUMN()-7)/5))</f>
        <v>14.472170013816665</v>
      </c>
      <c r="CJ60" s="1474">
        <f ca="1">IF(UPPER($F$2)="Y",+CJ58+CJ59,CG60*(1+CI60/100))</f>
        <v>3.1731799999999999</v>
      </c>
      <c r="CK60" s="1291">
        <f ca="1">+CL60/CJ60*100-100</f>
        <v>3.9118486817640417</v>
      </c>
      <c r="CL60" s="1214">
        <f ca="1">OFFSET('VVP2'!$G$206,0,(COLUMN()-6)/5)</f>
        <v>3.29731</v>
      </c>
      <c r="CM60" s="1266">
        <f ca="1">(CL60/CG60-1)*100</f>
        <v>18.950148087488849</v>
      </c>
      <c r="CN60" s="1473">
        <f ca="1">IF(UPPER($F$2)="Y",(CO60/CL60-1)*100,OFFSET('VVP2'!$G$37,0,(COLUMN()-7)/5))</f>
        <v>-4.3509722296722675</v>
      </c>
      <c r="CO60" s="1474">
        <f ca="1">IF(UPPER($F$2)="Y",+CO58+CO59,CL60*(1+CN60/100))</f>
        <v>3.1538449575737935</v>
      </c>
      <c r="CP60" s="1291">
        <f ca="1">+CQ60/CO60*100-100</f>
        <v>3.5729417248492155</v>
      </c>
      <c r="CQ60" s="1214">
        <f ca="1">OFFSET('VVP2'!$G$206,0,(COLUMN()-6)/5)</f>
        <v>3.2665300000000004</v>
      </c>
      <c r="CR60" s="1266">
        <f ca="1">(CQ60/CL60-1)*100</f>
        <v>-0.93348820705361213</v>
      </c>
      <c r="CS60" s="1473">
        <f ca="1">IF(UPPER($F$2)="Y",(CT60/CQ60-1)*100,OFFSET('VVP2'!$G$37,0,(COLUMN()-7)/5))</f>
        <v>7.9870705079576387</v>
      </c>
      <c r="CT60" s="1474">
        <f ca="1">IF(UPPER($F$2)="Y",+CT58+CT59,CQ60*(1+CS60/100))</f>
        <v>3.527430054263589</v>
      </c>
      <c r="CU60" s="1291">
        <f ca="1">+CV60/CT60*100-100</f>
        <v>4.1443754656371539</v>
      </c>
      <c r="CV60" s="1214">
        <f ca="1">OFFSET('VVP2'!$G$206,0,(COLUMN()-6)/5)</f>
        <v>3.6736200000000001</v>
      </c>
      <c r="CW60" s="1266">
        <f ca="1">(CV60/CQ60-1)*100</f>
        <v>12.462460164149714</v>
      </c>
      <c r="CX60" s="1473">
        <f ca="1">IF(UPPER($F$2)="Y",(CY60/CV60-1)*100,OFFSET('VVP2'!$G$37,0,(COLUMN()-7)/5))</f>
        <v>8.4108848782615819</v>
      </c>
      <c r="CY60" s="1474">
        <f ca="1">IF(UPPER($F$2)="Y",+CY58+CY59,CV60*(1+CX60/100))</f>
        <v>3.9826039490647931</v>
      </c>
      <c r="CZ60" s="1291">
        <f ca="1">+DA60/CY60*100-100</f>
        <v>2.3488665238022008</v>
      </c>
      <c r="DA60" s="1214">
        <f ca="1">OFFSET('VVP2'!$G$206,0,(COLUMN()-6)/5)</f>
        <v>4.0761500000000002</v>
      </c>
      <c r="DB60" s="1266">
        <f ca="1">(DA60/CV60-1)*100</f>
        <v>10.957311861324804</v>
      </c>
      <c r="DC60" s="1473">
        <f ca="1">IF(UPPER($F$2)="Y",(DD60/DA60-1)*100,OFFSET('VVP2'!$G$37,0,(COLUMN()-7)/5))</f>
        <v>8.3072305810283353E-2</v>
      </c>
      <c r="DD60" s="1474">
        <f ca="1">IF(UPPER($F$2)="Y",+DD58+DD59,DA60*(1+DC60/100))</f>
        <v>4.0795361517932864</v>
      </c>
      <c r="DE60" s="1291">
        <f ca="1">+DF60/DD60*100-100</f>
        <v>0.44671373236153045</v>
      </c>
      <c r="DF60" s="1214">
        <f ca="1">OFFSET('VVP2'!$G$206,0,(COLUMN()-6)/5)</f>
        <v>4.0977600000000001</v>
      </c>
      <c r="DG60" s="1266">
        <f ca="1">(DF60/DA60-1)*100</f>
        <v>0.53015713356967531</v>
      </c>
      <c r="DH60" s="1473">
        <f ca="1">IF(UPPER($F$2)="Y",(DI60/DF60-1)*100,OFFSET('VVP2'!$G$37,0,(COLUMN()-7)/5))</f>
        <v>-6.6149115453877805</v>
      </c>
      <c r="DI60" s="1474">
        <f ca="1">IF(UPPER($F$2)="Y",+DI58+DI59,DF60*(1+DH60/100))</f>
        <v>3.8266968006577176</v>
      </c>
      <c r="DJ60" s="1291">
        <f ca="1">+DK60/DI60*100-100</f>
        <v>-1.0859705595325835</v>
      </c>
      <c r="DK60" s="1214">
        <f ca="1">OFFSET('VVP2'!$G$206,0,(COLUMN()-6)/5)</f>
        <v>3.7851399999999997</v>
      </c>
      <c r="DL60" s="1266">
        <f ca="1">(DK60/DF60-1)*100</f>
        <v>-7.6290461129983278</v>
      </c>
      <c r="DM60" s="1473">
        <f ca="1">IF(UPPER($F$2)="Y",(DN60/DK60-1)*100,OFFSET('VVP2'!$G$37,0,(COLUMN()-7)/5))</f>
        <v>4.536354102938045</v>
      </c>
      <c r="DN60" s="1474">
        <f ca="1">IF(UPPER($F$2)="Y",+DN58+DN59,DK60*(1+DM60/100))</f>
        <v>3.9568473536919488</v>
      </c>
      <c r="DO60" s="1291">
        <f ca="1">+DP60/DN60*100-100</f>
        <v>3.5652789632236761</v>
      </c>
      <c r="DP60" s="1214">
        <f ca="1">OFFSET('VVP2'!$G$206,0,(COLUMN()-6)/5)</f>
        <v>4.0979200000000002</v>
      </c>
      <c r="DQ60" s="1266">
        <f ca="1">(DP60/DK60-1)*100</f>
        <v>8.263366744691103</v>
      </c>
      <c r="DR60" s="1497">
        <f ca="1">IF(UPPER($F$2)="Y",(DS60/DP60-1)*100,OFFSET('VVP2'!$G$37,0,(COLUMN()-7)/5))</f>
        <v>5.6757013314071347</v>
      </c>
      <c r="DS60" s="1496">
        <f ca="1">IF(UPPER($F$2)="Y",+DS58+DS59,DP60*(1+DR60/100))</f>
        <v>4.3305056999999998</v>
      </c>
      <c r="DT60" s="1498">
        <f ca="1">+DU60/DS60*100-100</f>
        <v>3.2999999999999972</v>
      </c>
      <c r="DU60" s="1211">
        <f ca="1">+DU58+DU59</f>
        <v>4.473412388099999</v>
      </c>
      <c r="DV60" s="1403">
        <f ca="1">(DU60/DP60-1)*100</f>
        <v>9.1629994753435575</v>
      </c>
      <c r="DW60" s="1497">
        <f ca="1">IF(UPPER($F$2)="Y",(DX60/DU60-1)*100,OFFSET('VVP2'!$G$37,0,(COLUMN()-7)/5))</f>
        <v>4.065761461761852</v>
      </c>
      <c r="DX60" s="1496">
        <f ca="1">IF(UPPER($F$2)="Y",+DX58+DX59,DU60*(1+DW60/100))</f>
        <v>4.6552906650010488</v>
      </c>
      <c r="DY60" s="1498">
        <f ca="1">+DZ60/DX60*100-100</f>
        <v>3.2999999999999972</v>
      </c>
      <c r="DZ60" s="1211">
        <f ca="1">+DZ58+DZ59</f>
        <v>4.8089152569460829</v>
      </c>
      <c r="EA60" s="1403">
        <f ca="1">(DZ60/DU60-1)*100</f>
        <v>7.4999315899999752</v>
      </c>
    </row>
    <row r="61" spans="1:145" ht="12.75" customHeight="1">
      <c r="C61" s="1079"/>
      <c r="D61" s="1058" t="s">
        <v>687</v>
      </c>
      <c r="E61" s="1038" t="s">
        <v>1445</v>
      </c>
      <c r="F61" s="1058" t="s">
        <v>2055</v>
      </c>
      <c r="G61" s="1261"/>
      <c r="H61" s="1273"/>
      <c r="I61" s="1197"/>
      <c r="J61" s="1273"/>
      <c r="K61" s="1275"/>
      <c r="L61" s="1277"/>
      <c r="M61" s="1273"/>
      <c r="N61" s="1292"/>
      <c r="O61" s="1273"/>
      <c r="P61" s="1282"/>
      <c r="Q61" s="1277"/>
      <c r="R61" s="1273"/>
      <c r="S61" s="1292"/>
      <c r="T61" s="1273"/>
      <c r="U61" s="1282"/>
      <c r="V61" s="1277"/>
      <c r="W61" s="1273"/>
      <c r="X61" s="1292"/>
      <c r="Y61" s="1273"/>
      <c r="Z61" s="1282"/>
      <c r="AA61" s="1277"/>
      <c r="AB61" s="1273"/>
      <c r="AC61" s="1292"/>
      <c r="AD61" s="1273"/>
      <c r="AE61" s="1282"/>
      <c r="AF61" s="1277"/>
      <c r="AG61" s="1273"/>
      <c r="AH61" s="1292"/>
      <c r="AI61" s="1273"/>
      <c r="AJ61" s="1282"/>
      <c r="AK61" s="1277"/>
      <c r="AL61" s="1273"/>
      <c r="AM61" s="1292"/>
      <c r="AN61" s="1273"/>
      <c r="AO61" s="1282"/>
      <c r="AP61" s="1277"/>
      <c r="AQ61" s="1273"/>
      <c r="AR61" s="1292"/>
      <c r="AS61" s="1273"/>
      <c r="AT61" s="1282"/>
      <c r="AU61" s="1277"/>
      <c r="AV61" s="1273"/>
      <c r="AW61" s="1292"/>
      <c r="AX61" s="1273"/>
      <c r="AY61" s="1282"/>
      <c r="AZ61" s="1277"/>
      <c r="BA61" s="1273"/>
      <c r="BB61" s="1292"/>
      <c r="BC61" s="1273"/>
      <c r="BD61" s="1282"/>
      <c r="BE61" s="1277"/>
      <c r="BF61" s="1273"/>
      <c r="BG61" s="1292"/>
      <c r="BH61" s="1273"/>
      <c r="BI61" s="1282"/>
      <c r="BJ61" s="1277"/>
      <c r="BK61" s="1273"/>
      <c r="BL61" s="1292"/>
      <c r="BM61" s="1273"/>
      <c r="BN61" s="1282"/>
      <c r="BO61" s="1277"/>
      <c r="BP61" s="1273"/>
      <c r="BQ61" s="1292"/>
      <c r="BR61" s="1273"/>
      <c r="BS61" s="1282"/>
      <c r="BT61" s="1277"/>
      <c r="BU61" s="1273"/>
      <c r="BV61" s="1292"/>
      <c r="BW61" s="1273"/>
      <c r="BX61" s="1282"/>
      <c r="BY61" s="1277"/>
      <c r="BZ61" s="1273"/>
      <c r="CA61" s="1292"/>
      <c r="CB61" s="1273"/>
      <c r="CC61" s="1282"/>
      <c r="CD61" s="1277"/>
      <c r="CE61" s="1273"/>
      <c r="CF61" s="1292"/>
      <c r="CG61" s="1273"/>
      <c r="CH61" s="1282"/>
      <c r="CI61" s="1277"/>
      <c r="CJ61" s="1273"/>
      <c r="CK61" s="1292"/>
      <c r="CL61" s="1273"/>
      <c r="CM61" s="1282"/>
      <c r="CN61" s="1277"/>
      <c r="CO61" s="1273"/>
      <c r="CP61" s="1292"/>
      <c r="CQ61" s="1273"/>
      <c r="CR61" s="1282"/>
      <c r="CS61" s="1277"/>
      <c r="CT61" s="1273"/>
      <c r="CU61" s="1292"/>
      <c r="CV61" s="1273"/>
      <c r="CW61" s="1282"/>
      <c r="CX61" s="1277"/>
      <c r="CY61" s="1273"/>
      <c r="CZ61" s="1292"/>
      <c r="DA61" s="1273"/>
      <c r="DB61" s="1282"/>
      <c r="DC61" s="1277"/>
      <c r="DD61" s="1273"/>
      <c r="DE61" s="1292"/>
      <c r="DF61" s="1273"/>
      <c r="DG61" s="1282"/>
      <c r="DH61" s="1277"/>
      <c r="DI61" s="1273"/>
      <c r="DJ61" s="1292"/>
      <c r="DK61" s="1273"/>
      <c r="DL61" s="1282"/>
      <c r="DM61" s="1277"/>
      <c r="DN61" s="1414"/>
      <c r="DO61" s="1292"/>
      <c r="DP61" s="1414"/>
      <c r="DQ61" s="1282"/>
      <c r="DR61" s="1277"/>
      <c r="DS61" s="1414"/>
      <c r="DT61" s="1292"/>
      <c r="DU61" s="1414"/>
      <c r="DV61" s="1282"/>
      <c r="DW61" s="1277"/>
      <c r="DX61" s="1414"/>
      <c r="DY61" s="1292"/>
      <c r="DZ61" s="1414"/>
      <c r="EA61" s="1282"/>
    </row>
    <row r="62" spans="1:145">
      <c r="C62" s="1080" t="s">
        <v>1767</v>
      </c>
      <c r="D62" s="1070" t="s">
        <v>1447</v>
      </c>
      <c r="E62" s="1" t="s">
        <v>1445</v>
      </c>
      <c r="F62" s="3" t="s">
        <v>2056</v>
      </c>
      <c r="G62" s="1204"/>
      <c r="H62" s="1274"/>
      <c r="I62" s="1198"/>
      <c r="J62" s="1274"/>
      <c r="K62" s="1276"/>
      <c r="L62" s="1278"/>
      <c r="M62" s="1274"/>
      <c r="N62" s="1293"/>
      <c r="O62" s="1274"/>
      <c r="P62" s="1283"/>
      <c r="Q62" s="1278"/>
      <c r="R62" s="1274"/>
      <c r="S62" s="1293"/>
      <c r="T62" s="1274"/>
      <c r="U62" s="1283"/>
      <c r="V62" s="1278"/>
      <c r="W62" s="1274"/>
      <c r="X62" s="1293"/>
      <c r="Y62" s="1274"/>
      <c r="Z62" s="1283"/>
      <c r="AA62" s="1278"/>
      <c r="AB62" s="1274"/>
      <c r="AC62" s="1293"/>
      <c r="AD62" s="1274"/>
      <c r="AE62" s="1283"/>
      <c r="AF62" s="1278"/>
      <c r="AG62" s="1274"/>
      <c r="AH62" s="1293"/>
      <c r="AI62" s="1274"/>
      <c r="AJ62" s="1283"/>
      <c r="AK62" s="1278"/>
      <c r="AL62" s="1274"/>
      <c r="AM62" s="1293"/>
      <c r="AN62" s="1274"/>
      <c r="AO62" s="1283"/>
      <c r="AP62" s="1278"/>
      <c r="AQ62" s="1274"/>
      <c r="AR62" s="1293"/>
      <c r="AS62" s="1274"/>
      <c r="AT62" s="1283"/>
      <c r="AU62" s="1278"/>
      <c r="AV62" s="1274"/>
      <c r="AW62" s="1293"/>
      <c r="AX62" s="1274"/>
      <c r="AY62" s="1283"/>
      <c r="AZ62" s="1278"/>
      <c r="BA62" s="1274"/>
      <c r="BB62" s="1293"/>
      <c r="BC62" s="1274"/>
      <c r="BD62" s="1283"/>
      <c r="BE62" s="1278"/>
      <c r="BF62" s="1274"/>
      <c r="BG62" s="1293"/>
      <c r="BH62" s="1274"/>
      <c r="BI62" s="1283"/>
      <c r="BJ62" s="1278"/>
      <c r="BK62" s="1274"/>
      <c r="BL62" s="1293"/>
      <c r="BM62" s="1274"/>
      <c r="BN62" s="1283"/>
      <c r="BO62" s="1278"/>
      <c r="BP62" s="1274"/>
      <c r="BQ62" s="1293"/>
      <c r="BR62" s="1274"/>
      <c r="BS62" s="1283"/>
      <c r="BT62" s="1278"/>
      <c r="BU62" s="1274"/>
      <c r="BV62" s="1293"/>
      <c r="BW62" s="1274"/>
      <c r="BX62" s="1283"/>
      <c r="BY62" s="1278"/>
      <c r="BZ62" s="1274"/>
      <c r="CA62" s="1293"/>
      <c r="CB62" s="1274"/>
      <c r="CC62" s="1283"/>
      <c r="CD62" s="1278"/>
      <c r="CE62" s="1274"/>
      <c r="CF62" s="1293"/>
      <c r="CG62" s="1274"/>
      <c r="CH62" s="1283"/>
      <c r="CI62" s="1278"/>
      <c r="CJ62" s="1274"/>
      <c r="CK62" s="1293"/>
      <c r="CL62" s="1274"/>
      <c r="CM62" s="1283"/>
      <c r="CN62" s="1278"/>
      <c r="CO62" s="1274"/>
      <c r="CP62" s="1293"/>
      <c r="CQ62" s="1274"/>
      <c r="CR62" s="1283"/>
      <c r="CS62" s="1278"/>
      <c r="CT62" s="1274"/>
      <c r="CU62" s="1293"/>
      <c r="CV62" s="1274"/>
      <c r="CW62" s="1283"/>
      <c r="CX62" s="1278"/>
      <c r="CY62" s="1274"/>
      <c r="CZ62" s="1293"/>
      <c r="DA62" s="1274"/>
      <c r="DB62" s="1283"/>
      <c r="DC62" s="1278"/>
      <c r="DD62" s="1274"/>
      <c r="DE62" s="1293"/>
      <c r="DF62" s="1274"/>
      <c r="DG62" s="1283"/>
      <c r="DH62" s="1278"/>
      <c r="DI62" s="1274"/>
      <c r="DJ62" s="1293"/>
      <c r="DK62" s="1274"/>
      <c r="DL62" s="1283"/>
      <c r="DM62" s="1278"/>
      <c r="DN62" s="1415"/>
      <c r="DO62" s="1293"/>
      <c r="DP62" s="1415"/>
      <c r="DQ62" s="1283"/>
      <c r="DR62" s="1278"/>
      <c r="DS62" s="1415"/>
      <c r="DT62" s="1293"/>
      <c r="DU62" s="1415"/>
      <c r="DV62" s="1283"/>
      <c r="DW62" s="1278"/>
      <c r="DX62" s="1415"/>
      <c r="DY62" s="1293"/>
      <c r="DZ62" s="1415"/>
      <c r="EA62" s="1283"/>
    </row>
    <row r="63" spans="1:145">
      <c r="C63" s="1081" t="s">
        <v>1769</v>
      </c>
      <c r="D63" s="1262"/>
      <c r="E63" s="1262" t="s">
        <v>1445</v>
      </c>
      <c r="F63" s="1263" t="s">
        <v>2057</v>
      </c>
      <c r="G63" s="1370"/>
      <c r="H63" s="1371"/>
      <c r="I63" s="1371"/>
      <c r="J63" s="1214">
        <f ca="1">OFFSET('VVP2'!$G$210,0,(COLUMN()-6)/5)</f>
        <v>0.57979999999999998</v>
      </c>
      <c r="K63" s="1374"/>
      <c r="L63" s="1264">
        <f ca="1">OFFSET('VVP2'!$G$40,0,(COLUMN()-7)/5)</f>
        <v>52.257473213952196</v>
      </c>
      <c r="M63" s="1265">
        <f ca="1">+J63*(1+L63/100)</f>
        <v>0.88278882969449479</v>
      </c>
      <c r="N63" s="1291">
        <f ca="1">+O63/M63*100-100</f>
        <v>-6.2018036310497564</v>
      </c>
      <c r="O63" s="1214">
        <f ca="1">OFFSET('VVP2'!$G$210,0,(COLUMN()-6)/5)</f>
        <v>0.82804</v>
      </c>
      <c r="P63" s="1266">
        <f ca="1">(O63/J63-1)*100</f>
        <v>42.814763711624693</v>
      </c>
      <c r="Q63" s="1264">
        <f ca="1">OFFSET('VVP2'!$G$40,0,(COLUMN()-7)/5)</f>
        <v>36.034356894988747</v>
      </c>
      <c r="R63" s="1265">
        <f ca="1">+O63*(1+Q63/100)</f>
        <v>1.1264188888332649</v>
      </c>
      <c r="S63" s="1291">
        <f ca="1">+T63/R63*100-100</f>
        <v>0.53187239899187944</v>
      </c>
      <c r="T63" s="1214">
        <f ca="1">OFFSET('VVP2'!$G$210,0,(COLUMN()-6)/5)</f>
        <v>1.1324100000000001</v>
      </c>
      <c r="U63" s="1266">
        <f ca="1">(T63/O63-1)*100</f>
        <v>36.757886092459316</v>
      </c>
      <c r="V63" s="1264">
        <f ca="1">OFFSET('VVP2'!$G$40,0,(COLUMN()-7)/5)</f>
        <v>19.038247769712036</v>
      </c>
      <c r="W63" s="1265">
        <f ca="1">+T63*(1+V63/100)</f>
        <v>1.3480010215689961</v>
      </c>
      <c r="X63" s="1291">
        <f ca="1">+Y63/W63*100-100</f>
        <v>-7.4333045721558761</v>
      </c>
      <c r="Y63" s="1214">
        <f ca="1">OFFSET('VVP2'!$G$210,0,(COLUMN()-6)/5)</f>
        <v>1.2478</v>
      </c>
      <c r="Z63" s="1266">
        <f ca="1">(Y63/T63-1)*100</f>
        <v>10.18977225563178</v>
      </c>
      <c r="AA63" s="1264">
        <f ca="1">OFFSET('VVP2'!$G$40,0,(COLUMN()-7)/5)</f>
        <v>-3.6835902604232529</v>
      </c>
      <c r="AB63" s="1265">
        <f ca="1">+Y63*(1+AA63/100)</f>
        <v>1.2018361607304386</v>
      </c>
      <c r="AC63" s="1291">
        <f ca="1">+AD63/AB63*100-100</f>
        <v>-12.059560651124926</v>
      </c>
      <c r="AD63" s="1214">
        <f ca="1">OFFSET('VVP2'!$G$210,0,(COLUMN()-6)/5)</f>
        <v>1.0569000000000002</v>
      </c>
      <c r="AE63" s="1266">
        <f ca="1">(AD63/Y63-1)*100</f>
        <v>-15.298926109953504</v>
      </c>
      <c r="AF63" s="1264">
        <f ca="1">OFFSET('VVP2'!$G$40,0,(COLUMN()-7)/5)</f>
        <v>-2.309679981313939</v>
      </c>
      <c r="AG63" s="1265">
        <f ca="1">+AD63*(1+AF63/100)</f>
        <v>1.0324889922774931</v>
      </c>
      <c r="AH63" s="1291">
        <f ca="1">+AI63/AG63*100-100</f>
        <v>-4.3679877088096219</v>
      </c>
      <c r="AI63" s="1214">
        <f ca="1">OFFSET('VVP2'!$G$210,0,(COLUMN()-6)/5)</f>
        <v>0.98738999999999999</v>
      </c>
      <c r="AJ63" s="1266">
        <f ca="1">(AI63/AD63-1)*100</f>
        <v>-6.5767811524269248</v>
      </c>
      <c r="AK63" s="1264">
        <f ca="1">OFFSET('VVP2'!$G$40,0,(COLUMN()-7)/5)</f>
        <v>23.231395350328366</v>
      </c>
      <c r="AL63" s="1265">
        <f ca="1">+AI63*(1+AK63/100)</f>
        <v>1.2167744745496072</v>
      </c>
      <c r="AM63" s="1291">
        <f ca="1">+AN63/AL63*100-100</f>
        <v>-1.0095933804129373</v>
      </c>
      <c r="AN63" s="1214">
        <f ca="1">OFFSET('VVP2'!$G$210,0,(COLUMN()-6)/5)</f>
        <v>1.2044900000000001</v>
      </c>
      <c r="AO63" s="1266">
        <f ca="1">(AN63/AI63-1)*100</f>
        <v>21.987259340280939</v>
      </c>
      <c r="AP63" s="1264">
        <f ca="1">OFFSET('VVP2'!$G$40,0,(COLUMN()-7)/5)</f>
        <v>10.162245652709823</v>
      </c>
      <c r="AQ63" s="1265">
        <f ca="1">+AN63*(1+AP63/100)</f>
        <v>1.3268932326623246</v>
      </c>
      <c r="AR63" s="1291">
        <f ca="1">+AS63/AQ63*100-100</f>
        <v>-3.79934356596074</v>
      </c>
      <c r="AS63" s="1214">
        <f ca="1">OFFSET('VVP2'!$G$210,0,(COLUMN()-6)/5)</f>
        <v>1.2764800000000001</v>
      </c>
      <c r="AT63" s="1266">
        <f ca="1">(AS63/AN63-1)*100</f>
        <v>5.9768034603857156</v>
      </c>
      <c r="AU63" s="1264">
        <f ca="1">OFFSET('VVP2'!$G$40,0,(COLUMN()-7)/5)</f>
        <v>6.7751830455098361</v>
      </c>
      <c r="AV63" s="1265">
        <f ca="1">+AS63*(1+AU63/100)</f>
        <v>1.3629638565393241</v>
      </c>
      <c r="AW63" s="1291">
        <f ca="1">+AX63/AV63*100-100</f>
        <v>-1.9188958249950048</v>
      </c>
      <c r="AX63" s="1214">
        <f ca="1">OFFSET('VVP2'!$G$210,0,(COLUMN()-6)/5)</f>
        <v>1.3368100000000001</v>
      </c>
      <c r="AY63" s="1266">
        <f ca="1">(AX63/AS63-1)*100</f>
        <v>4.7262785159187803</v>
      </c>
      <c r="AZ63" s="1264">
        <f ca="1">OFFSET('VVP2'!$G$40,0,(COLUMN()-7)/5)</f>
        <v>32.369529968370124</v>
      </c>
      <c r="BA63" s="1265">
        <f ca="1">+AX63*(1+AZ63/100)</f>
        <v>1.7695291135701687</v>
      </c>
      <c r="BB63" s="1291">
        <f ca="1">+BC63/BA63*100-100</f>
        <v>-7.4335659448279898</v>
      </c>
      <c r="BC63" s="1214">
        <f ca="1">OFFSET('VVP2'!$G$210,0,(COLUMN()-6)/5)</f>
        <v>1.6379900000000001</v>
      </c>
      <c r="BD63" s="1266">
        <f ca="1">(BC63/AX63-1)*100</f>
        <v>22.529753667312491</v>
      </c>
      <c r="BE63" s="1264">
        <f ca="1">OFFSET('VVP2'!$G$40,0,(COLUMN()-7)/5)</f>
        <v>12.050540793556387</v>
      </c>
      <c r="BF63" s="1265">
        <f ca="1">+BC63*(1+BE63/100)</f>
        <v>1.8353766531443743</v>
      </c>
      <c r="BG63" s="1291">
        <f ca="1">+BH63/BF63*100-100</f>
        <v>1.1775973513991005</v>
      </c>
      <c r="BH63" s="1214">
        <f ca="1">OFFSET('VVP2'!$G$210,0,(COLUMN()-6)/5)</f>
        <v>1.8569899999999999</v>
      </c>
      <c r="BI63" s="1266">
        <f ca="1">(BH63/BC63-1)*100</f>
        <v>13.370044994169671</v>
      </c>
      <c r="BJ63" s="1264">
        <f ca="1">OFFSET('VVP2'!$G$40,0,(COLUMN()-7)/5)</f>
        <v>17.052178025327102</v>
      </c>
      <c r="BK63" s="1265">
        <f ca="1">+BH63*(1+BJ63/100)</f>
        <v>2.1736472407125218</v>
      </c>
      <c r="BL63" s="1291">
        <f ca="1">+BM63/BK63*100-100</f>
        <v>-0.58184421444465784</v>
      </c>
      <c r="BM63" s="1214">
        <f ca="1">OFFSET('VVP2'!$G$210,0,(COLUMN()-6)/5)</f>
        <v>2.161</v>
      </c>
      <c r="BN63" s="1266">
        <f ca="1">(BM63/BH63-1)*100</f>
        <v>16.371116699605292</v>
      </c>
      <c r="BO63" s="1264">
        <f ca="1">OFFSET('VVP2'!$G$40,0,(COLUMN()-7)/5)</f>
        <v>23.206381698853495</v>
      </c>
      <c r="BP63" s="1265">
        <f ca="1">+BM63*(1+BO63/100)</f>
        <v>2.662489908512224</v>
      </c>
      <c r="BQ63" s="1291">
        <f ca="1">+BR63/BP63*100-100</f>
        <v>2.0935324978911751</v>
      </c>
      <c r="BR63" s="1214">
        <f ca="1">OFFSET('VVP2'!$G$210,0,(COLUMN()-6)/5)</f>
        <v>2.7182300000000001</v>
      </c>
      <c r="BS63" s="1266">
        <f ca="1">(BR63/BM63-1)*100</f>
        <v>25.785747339194831</v>
      </c>
      <c r="BT63" s="1264">
        <f ca="1">OFFSET('VVP2'!$G$40,0,(COLUMN()-7)/5)</f>
        <v>-17.458472547612203</v>
      </c>
      <c r="BU63" s="1265">
        <f ca="1">+BR63*(1+BT63/100)</f>
        <v>2.2436685616690411</v>
      </c>
      <c r="BV63" s="1291">
        <f ca="1">+BW63/BU63*100-100</f>
        <v>2.924738504253213</v>
      </c>
      <c r="BW63" s="1214">
        <f ca="1">OFFSET('VVP2'!$G$210,0,(COLUMN()-6)/5)</f>
        <v>2.3092899999999998</v>
      </c>
      <c r="BX63" s="1266">
        <f ca="1">(BW63/BR63-1)*100</f>
        <v>-15.044348712213473</v>
      </c>
      <c r="BY63" s="1264">
        <f ca="1">OFFSET('VVP2'!$G$40,0,(COLUMN()-7)/5)</f>
        <v>-49.870884299089333</v>
      </c>
      <c r="BZ63" s="1265">
        <f ca="1">+BW63*(1+BY63/100)</f>
        <v>1.1576266559695598</v>
      </c>
      <c r="CA63" s="1291">
        <f ca="1">+CB63/BZ63*100-100</f>
        <v>-0.80394278427920085</v>
      </c>
      <c r="CB63" s="1214">
        <f ca="1">OFFSET('VVP2'!$G$210,0,(COLUMN()-6)/5)</f>
        <v>1.14832</v>
      </c>
      <c r="CC63" s="1266">
        <f ca="1">(CB63/BW63-1)*100</f>
        <v>-50.273893707589764</v>
      </c>
      <c r="CD63" s="1264">
        <f ca="1">OFFSET('VVP2'!$G$40,0,(COLUMN()-7)/5)</f>
        <v>20.712732139869484</v>
      </c>
      <c r="CE63" s="1265">
        <f ca="1">+CB63*(1+CD63/100)</f>
        <v>1.3861684457085492</v>
      </c>
      <c r="CF63" s="1291">
        <f ca="1">+CG63/CE63*100-100</f>
        <v>-1.105092657099064</v>
      </c>
      <c r="CG63" s="1214">
        <f ca="1">OFFSET('VVP2'!$G$210,0,(COLUMN()-6)/5)</f>
        <v>1.3708499999999999</v>
      </c>
      <c r="CH63" s="1266">
        <f ca="1">(CG63/CB63-1)*100</f>
        <v>19.37874460080813</v>
      </c>
      <c r="CI63" s="1264">
        <f ca="1">OFFSET('VVP2'!$G$40,0,(COLUMN()-7)/5)</f>
        <v>36.353357405988994</v>
      </c>
      <c r="CJ63" s="1265">
        <f ca="1">+CG63*(1+CI63/100)</f>
        <v>1.8692</v>
      </c>
      <c r="CK63" s="1291">
        <f ca="1">+CL63/CJ63*100-100</f>
        <v>0.63556601754761743</v>
      </c>
      <c r="CL63" s="1214">
        <f ca="1">OFFSET('VVP2'!$G$210,0,(COLUMN()-6)/5)</f>
        <v>1.8810799999999999</v>
      </c>
      <c r="CM63" s="1266">
        <f ca="1">(CL63/CG63-1)*100</f>
        <v>37.219973009446683</v>
      </c>
      <c r="CN63" s="1264">
        <f ca="1">OFFSET('VVP2'!$G$40,0,(COLUMN()-7)/5)</f>
        <v>2.0960838861545206</v>
      </c>
      <c r="CO63" s="1265">
        <f ca="1">+CL63*(1+CN63/100)</f>
        <v>1.9205090147656754</v>
      </c>
      <c r="CP63" s="1291">
        <f ca="1">+CQ63/CO63*100-100</f>
        <v>1.2012953366500767</v>
      </c>
      <c r="CQ63" s="1214">
        <f ca="1">OFFSET('VVP2'!$G$210,0,(COLUMN()-6)/5)</f>
        <v>1.9435799999999999</v>
      </c>
      <c r="CR63" s="1266">
        <f ca="1">(CQ63/CL63-1)*100</f>
        <v>3.3225593807812537</v>
      </c>
      <c r="CS63" s="1264">
        <f ca="1">OFFSET('VVP2'!$G$40,0,(COLUMN()-7)/5)</f>
        <v>12.348693656399657</v>
      </c>
      <c r="CT63" s="1265">
        <f ca="1">+CQ63*(1+CS63/100)</f>
        <v>2.1835867401670521</v>
      </c>
      <c r="CU63" s="1291">
        <f ca="1">+CV63/CT63*100-100</f>
        <v>0.24561698119384801</v>
      </c>
      <c r="CV63" s="1214">
        <f ca="1">OFFSET('VVP2'!$G$210,0,(COLUMN()-6)/5)</f>
        <v>2.1889499999999997</v>
      </c>
      <c r="CW63" s="1266">
        <f ca="1">(CV63/CQ63-1)*100</f>
        <v>12.624641126169234</v>
      </c>
      <c r="CX63" s="1264">
        <f ca="1">OFFSET('VVP2'!$G$40,0,(COLUMN()-7)/5)</f>
        <v>-0.21174978078767337</v>
      </c>
      <c r="CY63" s="1265">
        <f ca="1">+CV63*(1+CX63/100)</f>
        <v>2.1843149031734481</v>
      </c>
      <c r="CZ63" s="1291">
        <f ca="1">+DA63/CY63*100-100</f>
        <v>-0.57065504407530909</v>
      </c>
      <c r="DA63" s="1214">
        <f ca="1">OFFSET('VVP2'!$G$210,0,(COLUMN()-6)/5)</f>
        <v>2.1718500000000001</v>
      </c>
      <c r="DB63" s="1266">
        <f ca="1">(DA63/CV63-1)*100</f>
        <v>-0.78119646405809817</v>
      </c>
      <c r="DC63" s="1264">
        <f ca="1">OFFSET('VVP2'!$G$40,0,(COLUMN()-7)/5)</f>
        <v>13.386772610423003</v>
      </c>
      <c r="DD63" s="1265">
        <f ca="1">+DA63*(1+DC63/100)</f>
        <v>2.4625906209394719</v>
      </c>
      <c r="DE63" s="1291">
        <f ca="1">+DF63/DD63*100-100</f>
        <v>0.46899305805534652</v>
      </c>
      <c r="DF63" s="1214">
        <f ca="1">OFFSET('VVP2'!$G$210,0,(COLUMN()-6)/5)</f>
        <v>2.4741399999999998</v>
      </c>
      <c r="DG63" s="1266">
        <f ca="1">(DF63/DA63-1)*100</f>
        <v>13.918548702718869</v>
      </c>
      <c r="DH63" s="1264">
        <f ca="1">OFFSET('VVP2'!$G$40,0,(COLUMN()-7)/5)</f>
        <v>8.9751886920784294</v>
      </c>
      <c r="DI63" s="1265">
        <f ca="1">+DF63*(1+DH63/100)</f>
        <v>2.696198733506189</v>
      </c>
      <c r="DJ63" s="1291">
        <f ca="1">+DK63/DI63*100-100</f>
        <v>-0.5069631305854756</v>
      </c>
      <c r="DK63" s="1214">
        <f ca="1">OFFSET('VVP2'!$G$210,0,(COLUMN()-6)/5)</f>
        <v>2.6825300000000003</v>
      </c>
      <c r="DL63" s="1266">
        <f ca="1">(DK63/DF63-1)*100</f>
        <v>8.4227246639236419</v>
      </c>
      <c r="DM63" s="1264">
        <f ca="1">OFFSET('VVP2'!$G$40,0,(COLUMN()-7)/5)</f>
        <v>8.8692106338230658</v>
      </c>
      <c r="DN63" s="1265">
        <f ca="1">+DK63*(1+DM63/100)</f>
        <v>2.9204492360154943</v>
      </c>
      <c r="DO63" s="1291">
        <f ca="1">+DP63/DN63*100-100</f>
        <v>-2.0702032848200389</v>
      </c>
      <c r="DP63" s="1214">
        <f ca="1">OFFSET('VVP2'!$G$210,0,(COLUMN()-6)/5)</f>
        <v>2.8599899999999998</v>
      </c>
      <c r="DQ63" s="1266">
        <f ca="1">(DP63/DK63-1)*100</f>
        <v>6.6153966591240065</v>
      </c>
      <c r="DR63" s="2242">
        <v>8.5</v>
      </c>
      <c r="DS63" s="1207">
        <f ca="1">+DP63*(1+DR63/100)</f>
        <v>3.1030891499999997</v>
      </c>
      <c r="DT63" s="2244">
        <v>1.5</v>
      </c>
      <c r="DU63" s="1210">
        <f ca="1">+DS63*(1+DT63/100)</f>
        <v>3.1496354872499994</v>
      </c>
      <c r="DV63" s="1217">
        <f ca="1">(DU63/DP63-1)*100</f>
        <v>10.127499999999978</v>
      </c>
      <c r="DW63" s="2242">
        <v>4.2</v>
      </c>
      <c r="DX63" s="1207">
        <f ca="1">+DU63*(1+DW63/100)</f>
        <v>3.2819201777144995</v>
      </c>
      <c r="DY63" s="2244">
        <v>1.5</v>
      </c>
      <c r="DZ63" s="1210">
        <f ca="1">+DX63*(1+DY63/100)</f>
        <v>3.3311489803802168</v>
      </c>
      <c r="EA63" s="1217">
        <f ca="1">(DZ63/DU63-1)*100</f>
        <v>5.763000000000007</v>
      </c>
    </row>
    <row r="64" spans="1:145">
      <c r="C64" s="1082" t="s">
        <v>1769</v>
      </c>
      <c r="D64" s="1267"/>
      <c r="E64" s="1267" t="s">
        <v>1446</v>
      </c>
      <c r="F64" s="1268" t="s">
        <v>743</v>
      </c>
      <c r="G64" s="1372"/>
      <c r="H64" s="1373"/>
      <c r="I64" s="1373"/>
      <c r="J64" s="1269">
        <f ca="1">OFFSET('VVP2'!$G$211,0,(COLUMN()-6)/5)</f>
        <v>7.2520000000000001E-2</v>
      </c>
      <c r="K64" s="1375"/>
      <c r="L64" s="1270">
        <f ca="1">OFFSET('VVP2'!$G$41,0,(COLUMN()-7)/5)</f>
        <v>7.0010775921349966</v>
      </c>
      <c r="M64" s="1271">
        <f ca="1">+J64*(1+L64/100)</f>
        <v>7.7597181469816298E-2</v>
      </c>
      <c r="N64" s="1294">
        <f ca="1">+O64/M64*100-100</f>
        <v>17.336736045518037</v>
      </c>
      <c r="O64" s="1269">
        <f ca="1">OFFSET('VVP2'!$G$211,0,(COLUMN()-6)/5)</f>
        <v>9.1049999999999992E-2</v>
      </c>
      <c r="P64" s="1272">
        <f ca="1">(O64/J64-1)*100</f>
        <v>25.551571980143393</v>
      </c>
      <c r="Q64" s="1270">
        <f ca="1">OFFSET('VVP2'!$G$41,0,(COLUMN()-7)/5)</f>
        <v>11.672211641179953</v>
      </c>
      <c r="R64" s="1271">
        <f ca="1">+O64*(1+Q64/100)</f>
        <v>0.10167754869929434</v>
      </c>
      <c r="S64" s="1294">
        <f ca="1">+T64/R64*100-100</f>
        <v>3.1397799627793717</v>
      </c>
      <c r="T64" s="1269">
        <f ca="1">OFFSET('VVP2'!$G$211,0,(COLUMN()-6)/5)</f>
        <v>0.10487</v>
      </c>
      <c r="U64" s="1272">
        <f ca="1">(T64/O64-1)*100</f>
        <v>15.178473366282287</v>
      </c>
      <c r="V64" s="1270">
        <f ca="1">OFFSET('VVP2'!$G$41,0,(COLUMN()-7)/5)</f>
        <v>3.3973109097837018</v>
      </c>
      <c r="W64" s="1271">
        <f ca="1">+T64*(1+V64/100)</f>
        <v>0.10843275995109017</v>
      </c>
      <c r="X64" s="1294">
        <f ca="1">+Y64/W64*100-100</f>
        <v>-11.428981385957599</v>
      </c>
      <c r="Y64" s="1269">
        <f ca="1">OFFSET('VVP2'!$G$211,0,(COLUMN()-6)/5)</f>
        <v>9.6039999999999986E-2</v>
      </c>
      <c r="Z64" s="1272">
        <f ca="1">(Y64/T64-1)*100</f>
        <v>-8.4199485076761889</v>
      </c>
      <c r="AA64" s="1270">
        <f ca="1">OFFSET('VVP2'!$G$41,0,(COLUMN()-7)/5)</f>
        <v>-3.4032499959780194</v>
      </c>
      <c r="AB64" s="1271">
        <f ca="1">+Y64*(1+AA64/100)</f>
        <v>9.2771518703862701E-2</v>
      </c>
      <c r="AC64" s="1294">
        <f ca="1">+AD64/AB64*100-100</f>
        <v>-6.1781016242262581</v>
      </c>
      <c r="AD64" s="1269">
        <f ca="1">OFFSET('VVP2'!$G$211,0,(COLUMN()-6)/5)</f>
        <v>8.7039999999999992E-2</v>
      </c>
      <c r="AE64" s="1272">
        <f ca="1">(AD64/Y64-1)*100</f>
        <v>-9.3710953769262755</v>
      </c>
      <c r="AF64" s="1270">
        <f ca="1">OFFSET('VVP2'!$G$41,0,(COLUMN()-7)/5)</f>
        <v>48.545623101290538</v>
      </c>
      <c r="AG64" s="1271">
        <f ca="1">+AD64*(1+AF64/100)</f>
        <v>0.12929411034736327</v>
      </c>
      <c r="AH64" s="1294">
        <f ca="1">+AI64/AG64*100-100</f>
        <v>43.873529505896471</v>
      </c>
      <c r="AI64" s="1269">
        <f ca="1">OFFSET('VVP2'!$G$211,0,(COLUMN()-6)/5)</f>
        <v>0.18602000000000002</v>
      </c>
      <c r="AJ64" s="1272">
        <f ca="1">(AI64/AD64-1)*100</f>
        <v>113.71783088235298</v>
      </c>
      <c r="AK64" s="1270">
        <f ca="1">OFFSET('VVP2'!$G$41,0,(COLUMN()-7)/5)</f>
        <v>-4.6057275694915916</v>
      </c>
      <c r="AL64" s="1271">
        <f ca="1">+AI64*(1+AK64/100)</f>
        <v>0.17745242557523175</v>
      </c>
      <c r="AM64" s="1294">
        <f ca="1">+AN64/AL64*100-100</f>
        <v>18.78676739227474</v>
      </c>
      <c r="AN64" s="1269">
        <f ca="1">OFFSET('VVP2'!$G$211,0,(COLUMN()-6)/5)</f>
        <v>0.21079000000000001</v>
      </c>
      <c r="AO64" s="1272">
        <f ca="1">(AN64/AI64-1)*100</f>
        <v>13.315772497580891</v>
      </c>
      <c r="AP64" s="1270">
        <f ca="1">OFFSET('VVP2'!$G$41,0,(COLUMN()-7)/5)</f>
        <v>8.4033625790541642</v>
      </c>
      <c r="AQ64" s="1271">
        <f ca="1">+AN64*(1+AP64/100)</f>
        <v>0.22850344798038827</v>
      </c>
      <c r="AR64" s="1294">
        <f ca="1">+AS64/AQ64*100-100</f>
        <v>-11.204840980161393</v>
      </c>
      <c r="AS64" s="1269">
        <f ca="1">OFFSET('VVP2'!$G$211,0,(COLUMN()-6)/5)</f>
        <v>0.20289999999999997</v>
      </c>
      <c r="AT64" s="1272">
        <f ca="1">(AS64/AN64-1)*100</f>
        <v>-3.7430618150766315</v>
      </c>
      <c r="AU64" s="1270">
        <f ca="1">OFFSET('VVP2'!$G$41,0,(COLUMN()-7)/5)</f>
        <v>2.3645301255766471</v>
      </c>
      <c r="AV64" s="1271">
        <f ca="1">+AS64*(1+AU64/100)</f>
        <v>0.20769763162479499</v>
      </c>
      <c r="AW64" s="1294">
        <f ca="1">+AX64/AV64*100-100</f>
        <v>10.473094086359438</v>
      </c>
      <c r="AX64" s="1269">
        <f ca="1">OFFSET('VVP2'!$G$211,0,(COLUMN()-6)/5)</f>
        <v>0.22945000000000002</v>
      </c>
      <c r="AY64" s="1272">
        <f ca="1">(AX64/AS64-1)*100</f>
        <v>13.085263676688053</v>
      </c>
      <c r="AZ64" s="1270">
        <f ca="1">OFFSET('VVP2'!$G$41,0,(COLUMN()-7)/5)</f>
        <v>5.6854829335765578</v>
      </c>
      <c r="BA64" s="1271">
        <f ca="1">+AX64*(1+AZ64/100)</f>
        <v>0.24249534059109143</v>
      </c>
      <c r="BB64" s="1294">
        <f ca="1">+BC64/BA64*100-100</f>
        <v>7.3422686660737924</v>
      </c>
      <c r="BC64" s="1269">
        <f ca="1">OFFSET('VVP2'!$G$211,0,(COLUMN()-6)/5)</f>
        <v>0.26030000000000003</v>
      </c>
      <c r="BD64" s="1272">
        <f ca="1">(BC64/AX64-1)*100</f>
        <v>13.445195031597311</v>
      </c>
      <c r="BE64" s="1270">
        <f ca="1">OFFSET('VVP2'!$G$41,0,(COLUMN()-7)/5)</f>
        <v>7.527367114321204</v>
      </c>
      <c r="BF64" s="1271">
        <f ca="1">+BC64*(1+BE64/100)</f>
        <v>0.27989373659857814</v>
      </c>
      <c r="BG64" s="1294">
        <f ca="1">+BH64/BF64*100-100</f>
        <v>17.437426072673972</v>
      </c>
      <c r="BH64" s="1269">
        <f ca="1">OFFSET('VVP2'!$G$211,0,(COLUMN()-6)/5)</f>
        <v>0.32870000000000005</v>
      </c>
      <c r="BI64" s="1272">
        <f ca="1">(BH64/BC64-1)*100</f>
        <v>26.277372262773735</v>
      </c>
      <c r="BJ64" s="1270">
        <f ca="1">OFFSET('VVP2'!$G$41,0,(COLUMN()-7)/5)</f>
        <v>11.851910159529799</v>
      </c>
      <c r="BK64" s="1271">
        <f ca="1">+BH64*(1+BJ64/100)</f>
        <v>0.3676572286943745</v>
      </c>
      <c r="BL64" s="1294">
        <f ca="1">+BM64/BK64*100-100</f>
        <v>17.394672622848944</v>
      </c>
      <c r="BM64" s="1269">
        <f ca="1">OFFSET('VVP2'!$G$211,0,(COLUMN()-6)/5)</f>
        <v>0.43160999999999999</v>
      </c>
      <c r="BN64" s="1272">
        <f ca="1">(BM64/BH64-1)*100</f>
        <v>31.308183754183116</v>
      </c>
      <c r="BO64" s="1270">
        <f ca="1">OFFSET('VVP2'!$G$41,0,(COLUMN()-7)/5)</f>
        <v>23.854652935794874</v>
      </c>
      <c r="BP64" s="1271">
        <f ca="1">+BM64*(1+BO64/100)</f>
        <v>0.53456906753618427</v>
      </c>
      <c r="BQ64" s="1294">
        <f ca="1">+BR64/BP64*100-100</f>
        <v>3.1391514180120055</v>
      </c>
      <c r="BR64" s="1269">
        <f ca="1">OFFSET('VVP2'!$G$211,0,(COLUMN()-6)/5)</f>
        <v>0.5513499999999999</v>
      </c>
      <c r="BS64" s="1272">
        <f ca="1">(BR64/BM64-1)*100</f>
        <v>27.742638029702714</v>
      </c>
      <c r="BT64" s="1270">
        <f ca="1">OFFSET('VVP2'!$G$41,0,(COLUMN()-7)/5)</f>
        <v>19.981817493086872</v>
      </c>
      <c r="BU64" s="1271">
        <f ca="1">+BR64*(1+BT64/100)</f>
        <v>0.66151975074813429</v>
      </c>
      <c r="BV64" s="1294">
        <f ca="1">+BW64/BU64*100-100</f>
        <v>-0.480673592064079</v>
      </c>
      <c r="BW64" s="1269">
        <f ca="1">OFFSET('VVP2'!$G$211,0,(COLUMN()-6)/5)</f>
        <v>0.65833999999999993</v>
      </c>
      <c r="BX64" s="1272">
        <f ca="1">(BW64/BR64-1)*100</f>
        <v>19.405096581119086</v>
      </c>
      <c r="BY64" s="1270">
        <f ca="1">OFFSET('VVP2'!$G$41,0,(COLUMN()-7)/5)</f>
        <v>-16.317800088400592</v>
      </c>
      <c r="BZ64" s="1271">
        <f ca="1">+BW64*(1+BY64/100)</f>
        <v>0.55091339489802349</v>
      </c>
      <c r="CA64" s="1294">
        <f ca="1">+CB64/BZ64*100-100</f>
        <v>-1.0025886008899505</v>
      </c>
      <c r="CB64" s="1269">
        <f ca="1">OFFSET('VVP2'!$G$211,0,(COLUMN()-6)/5)</f>
        <v>0.54539000000000004</v>
      </c>
      <c r="CC64" s="1272">
        <f ca="1">(CB64/BW64-1)*100</f>
        <v>-17.156788285688229</v>
      </c>
      <c r="CD64" s="1270">
        <f ca="1">OFFSET('VVP2'!$G$41,0,(COLUMN()-7)/5)</f>
        <v>10.060176189847381</v>
      </c>
      <c r="CE64" s="1271">
        <f ca="1">+CB64*(1+CD64/100)</f>
        <v>0.60025719492180862</v>
      </c>
      <c r="CF64" s="1294">
        <f ca="1">+CG64/CE64*100-100</f>
        <v>-2.8016648636755406</v>
      </c>
      <c r="CG64" s="1269">
        <f ca="1">OFFSET('VVP2'!$G$211,0,(COLUMN()-6)/5)</f>
        <v>0.58343999999999996</v>
      </c>
      <c r="CH64" s="1272">
        <f ca="1">(CG64/CB64-1)*100</f>
        <v>6.9766589046370342</v>
      </c>
      <c r="CI64" s="1270">
        <f ca="1">OFFSET('VVP2'!$G$41,0,(COLUMN()-7)/5)</f>
        <v>9.0292060880296177</v>
      </c>
      <c r="CJ64" s="1271">
        <f ca="1">+CG64*(1+CI64/100)</f>
        <v>0.63611999999999991</v>
      </c>
      <c r="CK64" s="1294">
        <f ca="1">+CL64/CJ64*100-100</f>
        <v>-5.2505816512607453</v>
      </c>
      <c r="CL64" s="1269">
        <f ca="1">OFFSET('VVP2'!$G$211,0,(COLUMN()-6)/5)</f>
        <v>0.60272000000000003</v>
      </c>
      <c r="CM64" s="1272">
        <f ca="1">(CL64/CG64-1)*100</f>
        <v>3.3045385986562481</v>
      </c>
      <c r="CN64" s="1270">
        <f ca="1">OFFSET('VVP2'!$G$41,0,(COLUMN()-7)/5)</f>
        <v>0.23737659561089419</v>
      </c>
      <c r="CO64" s="1271">
        <f ca="1">+CL64*(1+CN64/100)</f>
        <v>0.60415071621706606</v>
      </c>
      <c r="CP64" s="1294">
        <f ca="1">+CQ64/CO64*100-100</f>
        <v>-4.3417504130942035</v>
      </c>
      <c r="CQ64" s="1269">
        <f ca="1">OFFSET('VVP2'!$G$211,0,(COLUMN()-6)/5)</f>
        <v>0.57791999999999999</v>
      </c>
      <c r="CR64" s="1272">
        <f ca="1">(CQ64/CL64-1)*100</f>
        <v>-4.1146801168038261</v>
      </c>
      <c r="CS64" s="1270">
        <f ca="1">OFFSET('VVP2'!$G$41,0,(COLUMN()-7)/5)</f>
        <v>-3.9364521744585379</v>
      </c>
      <c r="CT64" s="1271">
        <f ca="1">+CQ64*(1+CS64/100)</f>
        <v>0.55517045559336919</v>
      </c>
      <c r="CU64" s="1294">
        <f ca="1">+CV64/CT64*100-100</f>
        <v>6.689755197245816</v>
      </c>
      <c r="CV64" s="1269">
        <f ca="1">OFFSET('VVP2'!$G$211,0,(COLUMN()-6)/5)</f>
        <v>0.59230999999999989</v>
      </c>
      <c r="CW64" s="1272">
        <f ca="1">(CV64/CQ64-1)*100</f>
        <v>2.4899640088593467</v>
      </c>
      <c r="CX64" s="1270">
        <f ca="1">OFFSET('VVP2'!$G$41,0,(COLUMN()-7)/5)</f>
        <v>11.403523092746482</v>
      </c>
      <c r="CY64" s="1271">
        <f ca="1">+CV64*(1+CX64/100)</f>
        <v>0.65985420763064662</v>
      </c>
      <c r="CZ64" s="1294">
        <f ca="1">+DA64/CY64*100-100</f>
        <v>-0.35829242328176747</v>
      </c>
      <c r="DA64" s="1269">
        <f ca="1">OFFSET('VVP2'!$G$211,0,(COLUMN()-6)/5)</f>
        <v>0.65749000000000002</v>
      </c>
      <c r="DB64" s="1272">
        <f ca="1">(DA64/CV64-1)*100</f>
        <v>11.004372710236222</v>
      </c>
      <c r="DC64" s="1270">
        <f ca="1">OFFSET('VVP2'!$G$41,0,(COLUMN()-7)/5)</f>
        <v>6.0171751809842133</v>
      </c>
      <c r="DD64" s="1271">
        <f ca="1">+DA64*(1+DC64/100)</f>
        <v>0.69705232509745307</v>
      </c>
      <c r="DE64" s="1294">
        <f ca="1">+DF64/DD64*100-100</f>
        <v>8.0722311477377673</v>
      </c>
      <c r="DF64" s="1269">
        <f ca="1">OFFSET('VVP2'!$G$211,0,(COLUMN()-6)/5)</f>
        <v>0.75331999999999999</v>
      </c>
      <c r="DG64" s="1272">
        <f ca="1">(DF64/DA64-1)*100</f>
        <v>14.575126617895329</v>
      </c>
      <c r="DH64" s="1270">
        <f ca="1">OFFSET('VVP2'!$G$41,0,(COLUMN()-7)/5)</f>
        <v>1.9946367355965888</v>
      </c>
      <c r="DI64" s="1271">
        <f ca="1">+DF64*(1+DH64/100)</f>
        <v>0.76834599745659626</v>
      </c>
      <c r="DJ64" s="1294">
        <f ca="1">+DK64/DI64*100-100</f>
        <v>10.174322870448705</v>
      </c>
      <c r="DK64" s="1269">
        <f ca="1">OFFSET('VVP2'!$G$211,0,(COLUMN()-6)/5)</f>
        <v>0.84651999999999994</v>
      </c>
      <c r="DL64" s="1272">
        <f ca="1">(DK64/DF64-1)*100</f>
        <v>12.371900387617462</v>
      </c>
      <c r="DM64" s="1270">
        <f ca="1">OFFSET('VVP2'!$G$41,0,(COLUMN()-7)/5)</f>
        <v>15.468849526339334</v>
      </c>
      <c r="DN64" s="1271">
        <f ca="1">+DK64*(1+DM64/100)</f>
        <v>0.9774669050103677</v>
      </c>
      <c r="DO64" s="1294">
        <f ca="1">+DP64/DN64*100-100</f>
        <v>-5.6254492841151205</v>
      </c>
      <c r="DP64" s="1269">
        <f ca="1">OFFSET('VVP2'!$G$211,0,(COLUMN()-6)/5)</f>
        <v>0.92247999999999986</v>
      </c>
      <c r="DQ64" s="1272">
        <f ca="1">(DP64/DK64-1)*100</f>
        <v>8.9732079572839361</v>
      </c>
      <c r="DR64" s="2239">
        <v>6.2</v>
      </c>
      <c r="DS64" s="1400">
        <f ca="1">+DP64*(1+DR64/100)</f>
        <v>0.97967375999999995</v>
      </c>
      <c r="DT64" s="2240">
        <v>1</v>
      </c>
      <c r="DU64" s="1401">
        <f ca="1">+DS64*(1+DT64/100)</f>
        <v>0.98947049759999994</v>
      </c>
      <c r="DV64" s="1402">
        <f ca="1">(DU64/DP64-1)*100</f>
        <v>7.2620000000000129</v>
      </c>
      <c r="DW64" s="2239">
        <v>4.5</v>
      </c>
      <c r="DX64" s="1400">
        <f ca="1">+DU64*(1+DW64/100)</f>
        <v>1.0339966699919998</v>
      </c>
      <c r="DY64" s="2240">
        <v>1</v>
      </c>
      <c r="DZ64" s="1401">
        <f ca="1">+DX64*(1+DY64/100)</f>
        <v>1.0443366366919198</v>
      </c>
      <c r="EA64" s="1402">
        <f ca="1">(DZ64/DU64-1)*100</f>
        <v>5.5449999999999777</v>
      </c>
    </row>
    <row r="65" spans="1:150" ht="12.75" customHeight="1">
      <c r="A65" s="1456" t="s">
        <v>1940</v>
      </c>
      <c r="C65" s="1201" t="s">
        <v>1448</v>
      </c>
      <c r="D65" s="1257"/>
      <c r="E65" s="1257" t="s">
        <v>376</v>
      </c>
      <c r="F65" s="1200" t="s">
        <v>850</v>
      </c>
      <c r="G65" s="1258"/>
      <c r="H65" s="1258"/>
      <c r="I65" s="1258"/>
      <c r="J65" s="1259">
        <f ca="1">OFFSET('VVP2'!$G$212,0,(COLUMN()-6)/5)</f>
        <v>1.5812299999999999</v>
      </c>
      <c r="K65" s="1258"/>
      <c r="L65" s="1471">
        <f ca="1">IF(UPPER($F$2)="Y",(M65/J65-1)*100,OFFSET('VVP2'!$G$42,0,(COLUMN()-7)/5))</f>
        <v>20.713136141633591</v>
      </c>
      <c r="M65" s="1472">
        <f ca="1">IF(UPPER($F$2)="Y",+M60+M63+M64,J65*(1+L65/100))</f>
        <v>1.9087523226123528</v>
      </c>
      <c r="N65" s="1259">
        <f ca="1">+O65/M65*100-100</f>
        <v>4.7197154036387161</v>
      </c>
      <c r="O65" s="1259">
        <f ca="1">OFFSET('VVP2'!$G$212,0,(COLUMN()-6)/5)</f>
        <v>1.99884</v>
      </c>
      <c r="P65" s="1259">
        <f ca="1">(O65/J65-1)*100</f>
        <v>26.410452622325664</v>
      </c>
      <c r="Q65" s="1471">
        <f ca="1">IF(UPPER($F$2)="Y",(R65/O65-1)*100,OFFSET('VVP2'!$G$42,0,(COLUMN()-7)/5))</f>
        <v>25.471234681872758</v>
      </c>
      <c r="R65" s="1472">
        <f ca="1">IF(UPPER($F$2)="Y",+R60+R63+R64,O65*(1+Q65/100))</f>
        <v>2.5079692273151455</v>
      </c>
      <c r="S65" s="1259">
        <f ca="1">+T65/R65*100-100</f>
        <v>4.5758445293090517</v>
      </c>
      <c r="T65" s="1259">
        <f ca="1">OFFSET('VVP2'!$G$212,0,(COLUMN()-6)/5)</f>
        <v>2.6227300000000002</v>
      </c>
      <c r="U65" s="1259">
        <f ca="1">(T65/O65-1)*100</f>
        <v>31.212603309919771</v>
      </c>
      <c r="V65" s="1471">
        <f ca="1">IF(UPPER($F$2)="Y",(W65/T65-1)*100,OFFSET('VVP2'!$G$42,0,(COLUMN()-7)/5))</f>
        <v>20.903440265720796</v>
      </c>
      <c r="W65" s="1472">
        <f ca="1">IF(UPPER($F$2)="Y",+W60+W63+W64,T65*(1+V65/100))</f>
        <v>3.1709707988811395</v>
      </c>
      <c r="X65" s="1259">
        <f ca="1">+Y65/W65*100-100</f>
        <v>-1.9186805158409754</v>
      </c>
      <c r="Y65" s="1259">
        <f ca="1">OFFSET('VVP2'!$G$212,0,(COLUMN()-6)/5)</f>
        <v>3.1101300000000003</v>
      </c>
      <c r="Z65" s="1259">
        <f ca="1">(Y65/T65-1)*100</f>
        <v>18.583689514361001</v>
      </c>
      <c r="AA65" s="1471">
        <f ca="1">IF(UPPER($F$2)="Y",(AB65/Y65-1)*100,OFFSET('VVP2'!$G$42,0,(COLUMN()-7)/5))</f>
        <v>-6.0051229075756769</v>
      </c>
      <c r="AB65" s="1472">
        <f ca="1">IF(UPPER($F$2)="Y",+AB60+AB63+AB64,Y65*(1+AA65/100))</f>
        <v>2.9233628709146169</v>
      </c>
      <c r="AC65" s="1259">
        <f ca="1">+AD65/AB65*100-100</f>
        <v>-4.5510214362472254</v>
      </c>
      <c r="AD65" s="1259">
        <f ca="1">OFFSET('VVP2'!$G$212,0,(COLUMN()-6)/5)</f>
        <v>2.7903200000000004</v>
      </c>
      <c r="AE65" s="1259">
        <f ca="1">(AD65/Y65-1)*100</f>
        <v>-10.282849913026137</v>
      </c>
      <c r="AF65" s="1471">
        <f ca="1">IF(UPPER($F$2)="Y",(AG65/AD65-1)*100,OFFSET('VVP2'!$G$42,0,(COLUMN()-7)/5))</f>
        <v>-9.2735577198195696</v>
      </c>
      <c r="AG65" s="1472">
        <f ca="1">IF(UPPER($F$2)="Y",+AG60+AG63+AG64,AD65*(1+AF65/100))</f>
        <v>2.531558064232331</v>
      </c>
      <c r="AH65" s="1259">
        <f ca="1">+AI65/AG65*100-100</f>
        <v>0.99274577671162945</v>
      </c>
      <c r="AI65" s="1259">
        <f ca="1">OFFSET('VVP2'!$G$212,0,(COLUMN()-6)/5)</f>
        <v>2.5566900000000001</v>
      </c>
      <c r="AJ65" s="1259">
        <f ca="1">(AI65/AD65-1)*100</f>
        <v>-8.3728747957223622</v>
      </c>
      <c r="AK65" s="1471">
        <f ca="1">IF(UPPER($F$2)="Y",(AL65/AI65-1)*100,OFFSET('VVP2'!$G$42,0,(COLUMN()-7)/5))</f>
        <v>13.363071235858225</v>
      </c>
      <c r="AL65" s="1472">
        <f ca="1">IF(UPPER($F$2)="Y",+AL60+AL63+AL64,AI65*(1+AK65/100))</f>
        <v>2.8983423059800639</v>
      </c>
      <c r="AM65" s="1259">
        <f ca="1">+AN65/AL65*100-100</f>
        <v>0.47260442604290631</v>
      </c>
      <c r="AN65" s="1259">
        <f ca="1">OFFSET('VVP2'!$G$212,0,(COLUMN()-6)/5)</f>
        <v>2.9120400000000002</v>
      </c>
      <c r="AO65" s="1259">
        <f ca="1">(AN65/AI65-1)*100</f>
        <v>13.898830128017092</v>
      </c>
      <c r="AP65" s="1471">
        <f ca="1">IF(UPPER($F$2)="Y",(AQ65/AN65-1)*100,OFFSET('VVP2'!$G$42,0,(COLUMN()-7)/5))</f>
        <v>10.626523173121093</v>
      </c>
      <c r="AQ65" s="1472">
        <f ca="1">IF(UPPER($F$2)="Y",+AQ60+AQ63+AQ64,AN65*(1+AP65/100))</f>
        <v>3.2214886054105558</v>
      </c>
      <c r="AR65" s="1259">
        <f ca="1">+AS65/AQ65*100-100</f>
        <v>-2.3463874832151532</v>
      </c>
      <c r="AS65" s="1259">
        <f ca="1">OFFSET('VVP2'!$G$212,0,(COLUMN()-6)/5)</f>
        <v>3.1459000000000001</v>
      </c>
      <c r="AT65" s="1259">
        <f ca="1">(AS65/AN65-1)*100</f>
        <v>8.0307962802708808</v>
      </c>
      <c r="AU65" s="1471">
        <f ca="1">IF(UPPER($F$2)="Y",(AV65/AS65-1)*100,OFFSET('VVP2'!$G$42,0,(COLUMN()-7)/5))</f>
        <v>13.363678719928785</v>
      </c>
      <c r="AV65" s="1472">
        <f ca="1">IF(UPPER($F$2)="Y",+AV60+AV63+AV64,AS65*(1+AU65/100))</f>
        <v>3.5663079688502397</v>
      </c>
      <c r="AW65" s="1259">
        <f ca="1">+AX65/AV65*100-100</f>
        <v>0.67218062374712417</v>
      </c>
      <c r="AX65" s="1259">
        <f ca="1">OFFSET('VVP2'!$G$212,0,(COLUMN()-6)/5)</f>
        <v>3.5902800000000004</v>
      </c>
      <c r="AY65" s="1259">
        <f ca="1">(AX65/AS65-1)*100</f>
        <v>14.125687402651078</v>
      </c>
      <c r="AZ65" s="1471">
        <f ca="1">IF(UPPER($F$2)="Y",(BA65/AX65-1)*100,OFFSET('VVP2'!$G$42,0,(COLUMN()-7)/5))</f>
        <v>15.677926119202423</v>
      </c>
      <c r="BA65" s="1472">
        <f ca="1">IF(UPPER($F$2)="Y",+BA60+BA63+BA64,AX65*(1+AZ65/100))</f>
        <v>4.1531614458725015</v>
      </c>
      <c r="BB65" s="1259">
        <f ca="1">+BC65/BA65*100-100</f>
        <v>0.54990768900150044</v>
      </c>
      <c r="BC65" s="1259">
        <f ca="1">OFFSET('VVP2'!$G$212,0,(COLUMN()-6)/5)</f>
        <v>4.1760000000000002</v>
      </c>
      <c r="BD65" s="1259">
        <f ca="1">(BC65/AX65-1)*100</f>
        <v>16.314047929409405</v>
      </c>
      <c r="BE65" s="1471">
        <f ca="1">IF(UPPER($F$2)="Y",(BF65/BC65-1)*100,OFFSET('VVP2'!$G$42,0,(COLUMN()-7)/5))</f>
        <v>11.372003769420648</v>
      </c>
      <c r="BF65" s="1472">
        <f ca="1">IF(UPPER($F$2)="Y",+BF60+BF63+BF64,BC65*(1+BE65/100))</f>
        <v>4.6508948774110062</v>
      </c>
      <c r="BG65" s="1259">
        <f ca="1">+BH65/BF65*100-100</f>
        <v>5.6007527466197473</v>
      </c>
      <c r="BH65" s="1259">
        <f ca="1">OFFSET('VVP2'!$G$212,0,(COLUMN()-6)/5)</f>
        <v>4.9113800000000003</v>
      </c>
      <c r="BI65" s="1259">
        <f ca="1">(BH65/BC65-1)*100</f>
        <v>17.609674329501914</v>
      </c>
      <c r="BJ65" s="1471">
        <f ca="1">IF(UPPER($F$2)="Y",(BK65/BH65-1)*100,OFFSET('VVP2'!$G$42,0,(COLUMN()-7)/5))</f>
        <v>19.471199132211915</v>
      </c>
      <c r="BK65" s="1472">
        <f ca="1">IF(UPPER($F$2)="Y",+BK60+BK63+BK64,BH65*(1+BJ65/100))</f>
        <v>5.8676845799396302</v>
      </c>
      <c r="BL65" s="1259">
        <f ca="1">+BM65/BK65*100-100</f>
        <v>6.3946078721264428</v>
      </c>
      <c r="BM65" s="1259">
        <f ca="1">OFFSET('VVP2'!$G$212,0,(COLUMN()-6)/5)</f>
        <v>6.2428999999999997</v>
      </c>
      <c r="BN65" s="1259">
        <f ca="1">(BM65/BH65-1)*100</f>
        <v>27.110913836844208</v>
      </c>
      <c r="BO65" s="1471">
        <f ca="1">IF(UPPER($F$2)="Y",(BP65/BM65-1)*100,OFFSET('VVP2'!$G$42,0,(COLUMN()-7)/5))</f>
        <v>22.249707968381415</v>
      </c>
      <c r="BP65" s="1472">
        <f ca="1">IF(UPPER($F$2)="Y",+BP60+BP63+BP64,BM65*(1+BO65/100))</f>
        <v>7.6319270187580823</v>
      </c>
      <c r="BQ65" s="1259">
        <f ca="1">+BR65/BP65*100-100</f>
        <v>8.7362337140170183</v>
      </c>
      <c r="BR65" s="1259">
        <f ca="1">OFFSET('VVP2'!$G$212,0,(COLUMN()-6)/5)</f>
        <v>8.2986699999999995</v>
      </c>
      <c r="BS65" s="1259">
        <f ca="1">(BR65/BM65-1)*100</f>
        <v>32.929728171202477</v>
      </c>
      <c r="BT65" s="1471">
        <f ca="1">IF(UPPER($F$2)="Y",(BU65/BR65-1)*100,OFFSET('VVP2'!$G$42,0,(COLUMN()-7)/5))</f>
        <v>-4.0126333060650055</v>
      </c>
      <c r="BU65" s="1472">
        <f ca="1">IF(UPPER($F$2)="Y",+BU60+BU63+BU64,BR65*(1+BT65/100))</f>
        <v>7.9656748036195744</v>
      </c>
      <c r="BV65" s="1259">
        <f ca="1">+BW65/BU65*100-100</f>
        <v>6.875063442604727</v>
      </c>
      <c r="BW65" s="1259">
        <f ca="1">OFFSET('VVP2'!$G$212,0,(COLUMN()-6)/5)</f>
        <v>8.5133200000000002</v>
      </c>
      <c r="BX65" s="1259">
        <f ca="1">(BW65/BR65-1)*100</f>
        <v>2.5865590510286696</v>
      </c>
      <c r="BY65" s="3138">
        <f ca="1">IF(UPPER($F$2)="Y",(BZ65/BW65-1)*100,OFFSET('VVP2'!$G$42,0,(COLUMN()-7)/5))</f>
        <v>-38.896299065457249</v>
      </c>
      <c r="BZ65" s="3139">
        <f ca="1">IF(UPPER($F$2)="Y",+BZ60+BZ63+BZ64,BW65*(1+BY65/100))</f>
        <v>5.2019535924006144</v>
      </c>
      <c r="CA65" s="3140">
        <f ca="1">+CB65/BZ65*100-100</f>
        <v>-7.5245498724254958</v>
      </c>
      <c r="CB65" s="3140">
        <f ca="1">+CB60+CB63+CB64</f>
        <v>4.8105300000000009</v>
      </c>
      <c r="CC65" s="3141">
        <f ca="1">(CB65/BW65-1)*100</f>
        <v>-43.494077516174642</v>
      </c>
      <c r="CD65" s="3138">
        <f ca="1">IF(UPPER($F$2)="Y",(CE65/CB65-1)*100,OFFSET('VVP2'!$G$42,0,(COLUMN()-7)/5))</f>
        <v>1.4553611646260567</v>
      </c>
      <c r="CE65" s="3139">
        <f ca="1">IF(UPPER($F$2)="Y",+CE60+CE63+CE64,CB65*(1+CD65/100))</f>
        <v>4.8805405854326862</v>
      </c>
      <c r="CF65" s="3140">
        <f ca="1">+CG65/CE65*100-100</f>
        <v>-3.160317647865881</v>
      </c>
      <c r="CG65" s="3140">
        <f ca="1">+CG60+CG63+CG64</f>
        <v>4.7263000000000002</v>
      </c>
      <c r="CH65" s="3141">
        <f ca="1">(CG65/CB65-1)*100</f>
        <v>-1.7509505189656993</v>
      </c>
      <c r="CI65" s="3138">
        <f ca="1">IF(UPPER($F$2)="Y",(CJ65/CG65-1)*100,OFFSET('VVP2'!$G$42,0,(COLUMN()-7)/5))</f>
        <v>20.146837907030868</v>
      </c>
      <c r="CJ65" s="3139">
        <f ca="1">IF(UPPER($F$2)="Y",+CJ60+CJ63+CJ64,CG65*(1+CI65/100))</f>
        <v>5.6784999999999997</v>
      </c>
      <c r="CK65" s="3140">
        <f ca="1">+CL65/CJ65*100-100</f>
        <v>1.8069912829092232</v>
      </c>
      <c r="CL65" s="3140">
        <f ca="1">+CL60+CL63+CL64</f>
        <v>5.78111</v>
      </c>
      <c r="CM65" s="3141">
        <f ca="1">(CL65/CG65-1)*100</f>
        <v>22.317880794701985</v>
      </c>
      <c r="CN65" s="3138">
        <f ca="1">IF(UPPER($F$2)="Y",(CO65/CL65-1)*100,OFFSET('VVP2'!$G$42,0,(COLUMN()-7)/5))</f>
        <v>-1.7748375561694063</v>
      </c>
      <c r="CO65" s="3139">
        <f ca="1">IF(UPPER($F$2)="Y",+CO60+CO63+CO64,CL65*(1+CN65/100))</f>
        <v>5.6785046885565347</v>
      </c>
      <c r="CP65" s="3140">
        <f ca="1">+CQ65/CO65*100-100</f>
        <v>1.9287702916611664</v>
      </c>
      <c r="CQ65" s="3140">
        <f ca="1">+CQ60+CQ63+CQ64</f>
        <v>5.78803</v>
      </c>
      <c r="CR65" s="3141">
        <f ca="1">(CQ65/CL65-1)*100</f>
        <v>0.11970019598313009</v>
      </c>
      <c r="CS65" s="3138">
        <f ca="1">IF(UPPER($F$2)="Y",(CT65/CQ65-1)*100,OFFSET('VVP2'!$G$42,0,(COLUMN()-7)/5))</f>
        <v>8.2611398010032921</v>
      </c>
      <c r="CT65" s="3139">
        <f ca="1">IF(UPPER($F$2)="Y",+CT60+CT63+CT64,CQ65*(1+CS65/100))</f>
        <v>6.2661872500240108</v>
      </c>
      <c r="CU65" s="3140">
        <f ca="1">+CV65/CT65*100-100</f>
        <v>3.0112848921848752</v>
      </c>
      <c r="CV65" s="3140">
        <f ca="1">+CV60+CV63+CV64</f>
        <v>6.4548799999999993</v>
      </c>
      <c r="CW65" s="3141">
        <f ca="1">(CV65/CQ65-1)*100</f>
        <v>11.521191147938058</v>
      </c>
      <c r="CX65" s="3138">
        <f ca="1">IF(UPPER($F$2)="Y",(CY65/CV65-1)*100,OFFSET('VVP2'!$G$42,0,(COLUMN()-7)/5))</f>
        <v>5.7614248424275649</v>
      </c>
      <c r="CY65" s="3139">
        <f ca="1">IF(UPPER($F$2)="Y",+CY60+CY63+CY64,CV65*(1+CX65/100))</f>
        <v>6.8267730598688878</v>
      </c>
      <c r="CZ65" s="3140">
        <f ca="1">+DA65/CY65*100-100</f>
        <v>1.1530622072945249</v>
      </c>
      <c r="DA65" s="3140">
        <f ca="1">+DA60+DA63+DA64</f>
        <v>6.9054900000000004</v>
      </c>
      <c r="DB65" s="3141">
        <f ca="1">(DA65/CV65-1)*100</f>
        <v>6.9809198621818114</v>
      </c>
      <c r="DC65" s="3138">
        <f ca="1">IF(UPPER($F$2)="Y",(DD65/DA65-1)*100,OFFSET('VVP2'!$G$42,0,(COLUMN()-7)/5))</f>
        <v>4.8322291080026281</v>
      </c>
      <c r="DD65" s="3139">
        <f ca="1">IF(UPPER($F$2)="Y",+DD60+DD63+DD64,DA65*(1+DC65/100))</f>
        <v>7.2391790978302115</v>
      </c>
      <c r="DE65" s="3140">
        <f ca="1">+DF65/DD65*100-100</f>
        <v>1.1885450132816544</v>
      </c>
      <c r="DF65" s="3140">
        <f ca="1">+DF60+DF63+DF64</f>
        <v>7.3252199999999998</v>
      </c>
      <c r="DG65" s="3141">
        <f ca="1">(DF65/DA65-1)*100</f>
        <v>6.0782073393777836</v>
      </c>
      <c r="DH65" s="3138">
        <f ca="1">IF(UPPER($F$2)="Y",(DI65/DF65-1)*100,OFFSET('VVP2'!$G$42,0,(COLUMN()-7)/5))</f>
        <v>-0.46385594397844176</v>
      </c>
      <c r="DI65" s="3139">
        <f ca="1">IF(UPPER($F$2)="Y",+DI60+DI63+DI64,DF65*(1+DH65/100))</f>
        <v>7.2912415316205026</v>
      </c>
      <c r="DJ65" s="3140">
        <f ca="1">+DK65/DI65*100-100</f>
        <v>0.31474020274839631</v>
      </c>
      <c r="DK65" s="3140">
        <f ca="1">+DK60+DK63+DK64</f>
        <v>7.31419</v>
      </c>
      <c r="DL65" s="3141">
        <f ca="1">(DK65/DF65-1)*100</f>
        <v>-0.1505756823685811</v>
      </c>
      <c r="DM65" s="3138">
        <f ca="1">IF(UPPER($F$2)="Y",(DN65/DK65-1)*100,OFFSET('VVP2'!$G$42,0,(COLUMN()-7)/5))</f>
        <v>7.3907499629871642</v>
      </c>
      <c r="DN65" s="3139">
        <f ca="1">IF(UPPER($F$2)="Y",+DN60+DN63+DN64,DK65*(1+DM65/100))</f>
        <v>7.8547634947178109</v>
      </c>
      <c r="DO65" s="3140">
        <f ca="1">+DP65/DN65*100-100</f>
        <v>0.32625432069880844</v>
      </c>
      <c r="DP65" s="3140">
        <f ca="1">+DP60+DP63+DP64</f>
        <v>7.8803900000000002</v>
      </c>
      <c r="DQ65" s="3141">
        <f ca="1">(DP65/DK65-1)*100</f>
        <v>7.7411169247722622</v>
      </c>
      <c r="DR65" s="1499">
        <f ca="1">IF(UPPER($F$2)="Y",(DS65/DP65-1)*100,OFFSET('VVP2'!$G$42,0,(COLUMN()-7)/5))</f>
        <v>6.762084236947663</v>
      </c>
      <c r="DS65" s="1495">
        <f ca="1">IF(UPPER($F$2)="Y",+DS60+DS63+DS64,DP65*(1+DR65/100))</f>
        <v>8.4132686099999994</v>
      </c>
      <c r="DT65" s="1398">
        <f ca="1">+DU65/DS65*100-100</f>
        <v>2.3682800607741257</v>
      </c>
      <c r="DU65" s="1398">
        <f ca="1">+DU60+DU63+DU64</f>
        <v>8.6125183729499977</v>
      </c>
      <c r="DV65" s="1405">
        <f ca="1">(DU65/DP65-1)*100</f>
        <v>9.2905093903981495</v>
      </c>
      <c r="DW65" s="1499">
        <f ca="1">IF(UPPER($F$2)="Y",(DX65/DU65-1)*100,OFFSET('VVP2'!$G$42,0,(COLUMN()-7)/5))</f>
        <v>4.1647416495982359</v>
      </c>
      <c r="DX65" s="1495">
        <f ca="1">IF(UPPER($F$2)="Y",+DX60+DX63+DX64,DU65*(1+DW65/100))</f>
        <v>8.9712075127075472</v>
      </c>
      <c r="DY65" s="1398">
        <f ca="1">+DZ65/DX65*100-100</f>
        <v>2.3764176785420261</v>
      </c>
      <c r="DZ65" s="1398">
        <f ca="1">+DZ60+DZ63+DZ64</f>
        <v>9.1844008740182197</v>
      </c>
      <c r="EA65" s="1405">
        <f ca="1">(DZ65/DU65-1)*100</f>
        <v>6.6401309849669188</v>
      </c>
    </row>
    <row r="66" spans="1:150" s="2842" customFormat="1">
      <c r="A66" s="2841"/>
      <c r="C66" s="2843"/>
      <c r="D66" s="1782"/>
      <c r="E66" s="1782" t="s">
        <v>758</v>
      </c>
      <c r="F66" s="2844"/>
      <c r="G66" s="2845"/>
      <c r="H66" s="2845"/>
      <c r="I66" s="2845"/>
      <c r="J66" s="1232"/>
      <c r="K66" s="2845"/>
      <c r="L66" s="2847">
        <f ca="1">OFFSET('Q1'!$N88,0,(COLUMN()-12)*4/5)</f>
        <v>19.758994364976147</v>
      </c>
      <c r="M66" s="2846"/>
      <c r="N66" s="1232"/>
      <c r="O66" s="1232"/>
      <c r="P66" s="1232"/>
      <c r="Q66" s="2847">
        <f ca="1">OFFSET('Q1'!$N88,0,(COLUMN()-12)*4/5)</f>
        <v>25.262411142158086</v>
      </c>
      <c r="R66" s="1232"/>
      <c r="S66" s="1232"/>
      <c r="T66" s="1232"/>
      <c r="U66" s="1232"/>
      <c r="V66" s="2847">
        <f ca="1">OFFSET('Q1'!$N88,0,(COLUMN()-12)*4/5)</f>
        <v>21.720989366620415</v>
      </c>
      <c r="W66" s="1232"/>
      <c r="X66" s="1232"/>
      <c r="Y66" s="1232"/>
      <c r="Z66" s="1232"/>
      <c r="AA66" s="2847">
        <f ca="1">OFFSET('Q1'!$N88,0,(COLUMN()-12)*4/5)</f>
        <v>-6.4730849942552027</v>
      </c>
      <c r="AB66" s="1232"/>
      <c r="AC66" s="1232"/>
      <c r="AD66" s="1232"/>
      <c r="AE66" s="1232"/>
      <c r="AF66" s="2847">
        <f ca="1">OFFSET('Q1'!$N88,0,(COLUMN()-12)*4/5)</f>
        <v>-7.7830571799869972</v>
      </c>
      <c r="AG66" s="1232"/>
      <c r="AH66" s="1232"/>
      <c r="AI66" s="1232"/>
      <c r="AJ66" s="1232"/>
      <c r="AK66" s="2847">
        <f ca="1">OFFSET('Q1'!$N88,0,(COLUMN()-12)*4/5)</f>
        <v>13.624353187272902</v>
      </c>
      <c r="AL66" s="1232"/>
      <c r="AM66" s="1232"/>
      <c r="AN66" s="1232"/>
      <c r="AO66" s="1232"/>
      <c r="AP66" s="2847">
        <f ca="1">OFFSET('Q1'!$N88,0,(COLUMN()-12)*4/5)</f>
        <v>10.421975679472922</v>
      </c>
      <c r="AQ66" s="1232"/>
      <c r="AR66" s="1232"/>
      <c r="AS66" s="1232"/>
      <c r="AT66" s="1232"/>
      <c r="AU66" s="2847">
        <f ca="1">OFFSET('Q1'!$N88,0,(COLUMN()-12)*4/5)</f>
        <v>12.680653907915882</v>
      </c>
      <c r="AV66" s="1232"/>
      <c r="AW66" s="1232"/>
      <c r="AX66" s="1232"/>
      <c r="AY66" s="1232"/>
      <c r="AZ66" s="2847">
        <f ca="1">OFFSET('Q1'!$N88,0,(COLUMN()-12)*4/5)</f>
        <v>14.451141637853169</v>
      </c>
      <c r="BA66" s="1232"/>
      <c r="BB66" s="1232"/>
      <c r="BC66" s="1232"/>
      <c r="BD66" s="1232"/>
      <c r="BE66" s="2847">
        <f ca="1">OFFSET('Q1'!$N88,0,(COLUMN()-12)*4/5)</f>
        <v>27.571455749171591</v>
      </c>
      <c r="BF66" s="1232"/>
      <c r="BG66" s="1232"/>
      <c r="BH66" s="1232"/>
      <c r="BI66" s="1232"/>
      <c r="BJ66" s="2847">
        <f ca="1">OFFSET('Q1'!$N88,0,(COLUMN()-12)*4/5)</f>
        <v>19.581591499235728</v>
      </c>
      <c r="BK66" s="1232"/>
      <c r="BL66" s="1232"/>
      <c r="BM66" s="1232"/>
      <c r="BN66" s="1232"/>
      <c r="BO66" s="2847">
        <f ca="1">OFFSET('Q1'!$N88,0,(COLUMN()-12)*4/5)</f>
        <v>22.327286167493128</v>
      </c>
      <c r="BP66" s="1232"/>
      <c r="BQ66" s="1232"/>
      <c r="BR66" s="1232"/>
      <c r="BS66" s="1232"/>
      <c r="BT66" s="2847">
        <f ca="1">OFFSET('Q1'!$N88,0,(COLUMN()-12)*4/5)</f>
        <v>-3.7025380199415991</v>
      </c>
      <c r="BU66" s="1232" t="s">
        <v>1385</v>
      </c>
      <c r="BV66" s="1232"/>
      <c r="BW66" s="1232"/>
      <c r="BX66" s="1232"/>
      <c r="BY66" s="2865">
        <f ca="1">OFFSET('Q1'!$N88,0,(COLUMN()-12)*4/5)</f>
        <v>-39.230759174281935</v>
      </c>
      <c r="BZ66" s="1232"/>
      <c r="CA66" s="1232"/>
      <c r="CB66" s="1232"/>
      <c r="CC66" s="1232"/>
      <c r="CD66" s="2865">
        <f ca="1">OFFSET('Q1'!$N88,0,(COLUMN()-12)*4/5)</f>
        <v>1.1939848977045244</v>
      </c>
      <c r="CE66" s="1232"/>
      <c r="CF66" s="1232"/>
      <c r="CG66" s="1232"/>
      <c r="CH66" s="1232"/>
      <c r="CI66" s="2865">
        <f ca="1">OFFSET('Q1'!$N88,0,(COLUMN()-12)*4/5)</f>
        <v>20.73855180917559</v>
      </c>
      <c r="CJ66" s="1232"/>
      <c r="CK66" s="1232"/>
      <c r="CL66" s="1232"/>
      <c r="CM66" s="1232"/>
      <c r="CN66" s="2865">
        <f ca="1">OFFSET('Q1'!$N88,0,(COLUMN()-12)*4/5)</f>
        <v>-1.6234395083901205</v>
      </c>
      <c r="CO66" s="1232"/>
      <c r="CP66" s="1232"/>
      <c r="CQ66" s="1232"/>
      <c r="CR66" s="1232"/>
      <c r="CS66" s="2865">
        <f ca="1">OFFSET('Q1'!$N88,0,(COLUMN()-12)*4/5)</f>
        <v>8.1258613592024318</v>
      </c>
      <c r="CT66" s="1232"/>
      <c r="CU66" s="1232"/>
      <c r="CV66" s="1232"/>
      <c r="CW66" s="1232"/>
      <c r="CX66" s="2865">
        <f ca="1">OFFSET('Q1'!$N88,0,(COLUMN()-12)*4/5)</f>
        <v>5.5370710632169704</v>
      </c>
      <c r="CY66" s="1232"/>
      <c r="CZ66" s="1232"/>
      <c r="DA66" s="1232"/>
      <c r="DB66" s="1232"/>
      <c r="DC66" s="2865">
        <f ca="1">OFFSET('Q1'!$N88,0,(COLUMN()-12)*4/5)</f>
        <v>5.033251772382215</v>
      </c>
      <c r="DD66" s="1232"/>
      <c r="DE66" s="1232"/>
      <c r="DF66" s="1232"/>
      <c r="DG66" s="1232"/>
      <c r="DH66" s="2865">
        <f ca="1">OFFSET('Q1'!$N88,0,(COLUMN()-12)*4/5)</f>
        <v>-0.11498544015530854</v>
      </c>
      <c r="DI66" s="3608"/>
      <c r="DJ66" s="1232"/>
      <c r="DK66" s="3608"/>
      <c r="DL66" s="1232"/>
      <c r="DM66" s="2865">
        <f ca="1">OFFSET('Q1'!$N88,0,(COLUMN()-12)*4/5)</f>
        <v>6.7336443009209432</v>
      </c>
      <c r="DN66" s="1232"/>
      <c r="DO66" s="1232"/>
      <c r="DP66" s="1232"/>
      <c r="DQ66" s="1232"/>
      <c r="DR66" s="2865">
        <f ca="1">OFFSET('Q1'!$N88,0,(COLUMN()-12)*4/5)</f>
        <v>6.7643090052033727</v>
      </c>
      <c r="DS66" s="1232"/>
      <c r="DT66" s="1232"/>
      <c r="DU66" s="1232"/>
      <c r="DV66" s="1232"/>
      <c r="DW66" s="2865">
        <f ca="1">OFFSET('Q1'!$N88,0,(COLUMN()-12)*4/5)</f>
        <v>4.1557542812569466</v>
      </c>
      <c r="DX66" s="1232"/>
      <c r="DY66" s="1232"/>
      <c r="DZ66" s="1232"/>
      <c r="EA66" s="1232"/>
      <c r="EB66"/>
      <c r="EC66"/>
      <c r="ED66"/>
      <c r="EE66"/>
      <c r="EF66"/>
      <c r="EG66"/>
      <c r="EH66"/>
      <c r="EI66"/>
      <c r="EJ66"/>
      <c r="EK66"/>
      <c r="EL66"/>
      <c r="EM66"/>
      <c r="EN66"/>
      <c r="EO66"/>
    </row>
    <row r="67" spans="1:150">
      <c r="BT67" s="1187"/>
    </row>
    <row r="68" spans="1:150">
      <c r="CL68" s="3194"/>
      <c r="CV68" s="3265"/>
      <c r="DJ68" s="3655"/>
      <c r="DK68" s="3421"/>
      <c r="DM68" s="3655"/>
    </row>
    <row r="69" spans="1:150">
      <c r="D69" s="3752"/>
      <c r="E69" s="3763" t="s">
        <v>1587</v>
      </c>
      <c r="F69" s="3752"/>
      <c r="G69" s="3754">
        <f>+InputY!$G$3</f>
        <v>1995</v>
      </c>
      <c r="H69" s="3755"/>
      <c r="I69" s="3755"/>
      <c r="J69" s="3755"/>
      <c r="K69" s="3756"/>
      <c r="L69" s="3754">
        <f>+G69+1</f>
        <v>1996</v>
      </c>
      <c r="M69" s="3755"/>
      <c r="N69" s="3755"/>
      <c r="O69" s="3755"/>
      <c r="P69" s="3756"/>
      <c r="Q69" s="3754">
        <f>+L69+1</f>
        <v>1997</v>
      </c>
      <c r="R69" s="3755"/>
      <c r="S69" s="3755"/>
      <c r="T69" s="3755"/>
      <c r="U69" s="3756"/>
      <c r="V69" s="3754">
        <f>+Q69+1</f>
        <v>1998</v>
      </c>
      <c r="W69" s="3755"/>
      <c r="X69" s="3755"/>
      <c r="Y69" s="3755"/>
      <c r="Z69" s="3756"/>
      <c r="AA69" s="3754">
        <f>+V69+1</f>
        <v>1999</v>
      </c>
      <c r="AB69" s="3755"/>
      <c r="AC69" s="3755"/>
      <c r="AD69" s="3755"/>
      <c r="AE69" s="3756"/>
      <c r="AF69" s="3754">
        <f>+AA69+1</f>
        <v>2000</v>
      </c>
      <c r="AG69" s="3755"/>
      <c r="AH69" s="3755"/>
      <c r="AI69" s="3755"/>
      <c r="AJ69" s="3756"/>
      <c r="AK69" s="3754">
        <f>+AF69+1</f>
        <v>2001</v>
      </c>
      <c r="AL69" s="3755"/>
      <c r="AM69" s="3755"/>
      <c r="AN69" s="3755"/>
      <c r="AO69" s="3756"/>
      <c r="AP69" s="3754">
        <f>+AK69+1</f>
        <v>2002</v>
      </c>
      <c r="AQ69" s="3755"/>
      <c r="AR69" s="3755"/>
      <c r="AS69" s="3755"/>
      <c r="AT69" s="3756"/>
      <c r="AU69" s="3754">
        <f>+AP69+1</f>
        <v>2003</v>
      </c>
      <c r="AV69" s="3755"/>
      <c r="AW69" s="3755"/>
      <c r="AX69" s="3755"/>
      <c r="AY69" s="3756"/>
      <c r="AZ69" s="3754">
        <f>+AU69+1</f>
        <v>2004</v>
      </c>
      <c r="BA69" s="3755"/>
      <c r="BB69" s="3755"/>
      <c r="BC69" s="3755"/>
      <c r="BD69" s="3756"/>
      <c r="BE69" s="3754">
        <f>+AZ69+1</f>
        <v>2005</v>
      </c>
      <c r="BF69" s="3755"/>
      <c r="BG69" s="3755"/>
      <c r="BH69" s="3755"/>
      <c r="BI69" s="3756"/>
      <c r="BJ69" s="3754">
        <f>+BE69+1</f>
        <v>2006</v>
      </c>
      <c r="BK69" s="3755"/>
      <c r="BL69" s="3755"/>
      <c r="BM69" s="3755"/>
      <c r="BN69" s="3756"/>
      <c r="BO69" s="3754">
        <f>+BJ69+1</f>
        <v>2007</v>
      </c>
      <c r="BP69" s="3755"/>
      <c r="BQ69" s="3755"/>
      <c r="BR69" s="3755"/>
      <c r="BS69" s="3756"/>
      <c r="BT69" s="3754">
        <f>+BO69+1</f>
        <v>2008</v>
      </c>
      <c r="BU69" s="3755"/>
      <c r="BV69" s="3755"/>
      <c r="BW69" s="3755"/>
      <c r="BX69" s="3756"/>
      <c r="BY69" s="3754">
        <f>+BT69+1</f>
        <v>2009</v>
      </c>
      <c r="BZ69" s="3755"/>
      <c r="CA69" s="3755"/>
      <c r="CB69" s="3755"/>
      <c r="CC69" s="3756"/>
      <c r="CD69" s="3754">
        <f>+BY69+1</f>
        <v>2010</v>
      </c>
      <c r="CE69" s="3755"/>
      <c r="CF69" s="3755"/>
      <c r="CG69" s="3755"/>
      <c r="CH69" s="3756"/>
      <c r="CI69" s="3754">
        <f>+CD69+1</f>
        <v>2011</v>
      </c>
      <c r="CJ69" s="3755"/>
      <c r="CK69" s="3755"/>
      <c r="CL69" s="3755"/>
      <c r="CM69" s="3756"/>
      <c r="CN69" s="3754">
        <f>+CI69+1</f>
        <v>2012</v>
      </c>
      <c r="CO69" s="3755"/>
      <c r="CP69" s="3755"/>
      <c r="CQ69" s="3755"/>
      <c r="CR69" s="3756"/>
      <c r="CS69" s="3754">
        <f>+CN69+1</f>
        <v>2013</v>
      </c>
      <c r="CT69" s="3755"/>
      <c r="CU69" s="3755"/>
      <c r="CV69" s="3755"/>
      <c r="CW69" s="3756"/>
      <c r="CX69" s="3754">
        <f>+CS69+1</f>
        <v>2014</v>
      </c>
      <c r="CY69" s="3755"/>
      <c r="CZ69" s="3755"/>
      <c r="DA69" s="3755"/>
      <c r="DB69" s="3756"/>
      <c r="DC69" s="3754">
        <f>+CX69+1</f>
        <v>2015</v>
      </c>
      <c r="DD69" s="3755"/>
      <c r="DE69" s="3755"/>
      <c r="DF69" s="3755"/>
      <c r="DG69" s="3756"/>
      <c r="DH69" s="3754">
        <f>+DC69+1</f>
        <v>2016</v>
      </c>
      <c r="DI69" s="3755"/>
      <c r="DJ69" s="3755"/>
      <c r="DK69" s="3755"/>
      <c r="DL69" s="3756"/>
      <c r="DM69" s="3754">
        <f>+DH69+1</f>
        <v>2017</v>
      </c>
      <c r="DN69" s="3755"/>
      <c r="DO69" s="3755"/>
      <c r="DP69" s="3755"/>
      <c r="DQ69" s="3756"/>
      <c r="DR69" s="3754">
        <f>+DM69+1</f>
        <v>2018</v>
      </c>
      <c r="DS69" s="3755"/>
      <c r="DT69" s="3755"/>
      <c r="DU69" s="3755"/>
      <c r="DV69" s="3756"/>
      <c r="DW69" s="3754">
        <f>+DR69+1</f>
        <v>2019</v>
      </c>
      <c r="DX69" s="3755"/>
      <c r="DY69" s="3755"/>
      <c r="DZ69" s="3755"/>
      <c r="EA69" s="3756"/>
    </row>
    <row r="70" spans="1:150">
      <c r="C70" s="3"/>
      <c r="D70" s="3752"/>
      <c r="E70" s="3752" t="s">
        <v>1587</v>
      </c>
      <c r="F70" s="3752"/>
      <c r="G70" s="1256" t="s">
        <v>1486</v>
      </c>
      <c r="H70" s="1253" t="s">
        <v>1732</v>
      </c>
      <c r="I70" s="1252" t="s">
        <v>2022</v>
      </c>
      <c r="J70" s="1253" t="s">
        <v>584</v>
      </c>
      <c r="K70" s="1252" t="s">
        <v>2023</v>
      </c>
      <c r="L70" s="1252" t="s">
        <v>1486</v>
      </c>
      <c r="M70" s="1253" t="s">
        <v>1732</v>
      </c>
      <c r="N70" s="1252" t="s">
        <v>2022</v>
      </c>
      <c r="O70" s="1253" t="s">
        <v>584</v>
      </c>
      <c r="P70" s="1252" t="s">
        <v>2023</v>
      </c>
      <c r="Q70" s="1252" t="s">
        <v>1486</v>
      </c>
      <c r="R70" s="1253" t="s">
        <v>1732</v>
      </c>
      <c r="S70" s="1252" t="s">
        <v>2022</v>
      </c>
      <c r="T70" s="1253" t="s">
        <v>584</v>
      </c>
      <c r="U70" s="1252" t="s">
        <v>2023</v>
      </c>
      <c r="V70" s="1252" t="s">
        <v>1486</v>
      </c>
      <c r="W70" s="1253" t="s">
        <v>1732</v>
      </c>
      <c r="X70" s="1252" t="s">
        <v>2022</v>
      </c>
      <c r="Y70" s="1253" t="s">
        <v>584</v>
      </c>
      <c r="Z70" s="1252" t="s">
        <v>2023</v>
      </c>
      <c r="AA70" s="1252" t="s">
        <v>1486</v>
      </c>
      <c r="AB70" s="1253" t="s">
        <v>1732</v>
      </c>
      <c r="AC70" s="1252" t="s">
        <v>2022</v>
      </c>
      <c r="AD70" s="1253" t="s">
        <v>584</v>
      </c>
      <c r="AE70" s="1252" t="s">
        <v>2023</v>
      </c>
      <c r="AF70" s="1252" t="s">
        <v>1486</v>
      </c>
      <c r="AG70" s="1253" t="s">
        <v>1732</v>
      </c>
      <c r="AH70" s="1252" t="s">
        <v>2022</v>
      </c>
      <c r="AI70" s="1253" t="s">
        <v>584</v>
      </c>
      <c r="AJ70" s="1252" t="s">
        <v>2023</v>
      </c>
      <c r="AK70" s="1252" t="s">
        <v>1486</v>
      </c>
      <c r="AL70" s="1253" t="s">
        <v>1732</v>
      </c>
      <c r="AM70" s="1252" t="s">
        <v>2022</v>
      </c>
      <c r="AN70" s="1253" t="s">
        <v>584</v>
      </c>
      <c r="AO70" s="1252" t="s">
        <v>2023</v>
      </c>
      <c r="AP70" s="1252" t="s">
        <v>1486</v>
      </c>
      <c r="AQ70" s="1253" t="s">
        <v>1732</v>
      </c>
      <c r="AR70" s="1252" t="s">
        <v>2022</v>
      </c>
      <c r="AS70" s="1253" t="s">
        <v>584</v>
      </c>
      <c r="AT70" s="1252" t="s">
        <v>2023</v>
      </c>
      <c r="AU70" s="1252" t="s">
        <v>1486</v>
      </c>
      <c r="AV70" s="1253" t="s">
        <v>1732</v>
      </c>
      <c r="AW70" s="1252" t="s">
        <v>2022</v>
      </c>
      <c r="AX70" s="1253" t="s">
        <v>584</v>
      </c>
      <c r="AY70" s="1252" t="s">
        <v>2023</v>
      </c>
      <c r="AZ70" s="1252" t="s">
        <v>1486</v>
      </c>
      <c r="BA70" s="1253" t="s">
        <v>1732</v>
      </c>
      <c r="BB70" s="1252" t="s">
        <v>2022</v>
      </c>
      <c r="BC70" s="1253" t="s">
        <v>584</v>
      </c>
      <c r="BD70" s="1252" t="s">
        <v>2023</v>
      </c>
      <c r="BE70" s="1252" t="s">
        <v>1486</v>
      </c>
      <c r="BF70" s="1253" t="s">
        <v>1732</v>
      </c>
      <c r="BG70" s="1252" t="s">
        <v>2022</v>
      </c>
      <c r="BH70" s="1253" t="s">
        <v>584</v>
      </c>
      <c r="BI70" s="1252" t="s">
        <v>2023</v>
      </c>
      <c r="BJ70" s="1252" t="s">
        <v>1486</v>
      </c>
      <c r="BK70" s="1253" t="s">
        <v>1732</v>
      </c>
      <c r="BL70" s="1252" t="s">
        <v>2022</v>
      </c>
      <c r="BM70" s="1253" t="s">
        <v>584</v>
      </c>
      <c r="BN70" s="1252" t="s">
        <v>2023</v>
      </c>
      <c r="BO70" s="1252" t="s">
        <v>1486</v>
      </c>
      <c r="BP70" s="1253" t="s">
        <v>1732</v>
      </c>
      <c r="BQ70" s="1252" t="s">
        <v>2022</v>
      </c>
      <c r="BR70" s="1253" t="s">
        <v>584</v>
      </c>
      <c r="BS70" s="1252" t="s">
        <v>2023</v>
      </c>
      <c r="BT70" s="1252" t="s">
        <v>1486</v>
      </c>
      <c r="BU70" s="1253" t="s">
        <v>1732</v>
      </c>
      <c r="BV70" s="1252" t="s">
        <v>2022</v>
      </c>
      <c r="BW70" s="1253" t="s">
        <v>584</v>
      </c>
      <c r="BX70" s="1252" t="s">
        <v>2023</v>
      </c>
      <c r="BY70" s="1252" t="s">
        <v>1486</v>
      </c>
      <c r="BZ70" s="1253" t="s">
        <v>1732</v>
      </c>
      <c r="CA70" s="1252" t="s">
        <v>2022</v>
      </c>
      <c r="CB70" s="1253" t="s">
        <v>584</v>
      </c>
      <c r="CC70" s="1252" t="s">
        <v>2023</v>
      </c>
      <c r="CD70" s="1252" t="s">
        <v>1486</v>
      </c>
      <c r="CE70" s="1253" t="s">
        <v>1732</v>
      </c>
      <c r="CF70" s="1252" t="s">
        <v>2022</v>
      </c>
      <c r="CG70" s="1253" t="s">
        <v>584</v>
      </c>
      <c r="CH70" s="1252" t="s">
        <v>2023</v>
      </c>
      <c r="CI70" s="1252" t="s">
        <v>1486</v>
      </c>
      <c r="CJ70" s="1253" t="s">
        <v>1732</v>
      </c>
      <c r="CK70" s="1252" t="s">
        <v>2022</v>
      </c>
      <c r="CL70" s="1253" t="s">
        <v>584</v>
      </c>
      <c r="CM70" s="1252" t="s">
        <v>2023</v>
      </c>
      <c r="CN70" s="1252" t="s">
        <v>1486</v>
      </c>
      <c r="CO70" s="1253" t="s">
        <v>1732</v>
      </c>
      <c r="CP70" s="1252" t="s">
        <v>2022</v>
      </c>
      <c r="CQ70" s="1253" t="s">
        <v>584</v>
      </c>
      <c r="CR70" s="1252" t="s">
        <v>2023</v>
      </c>
      <c r="CS70" s="1252" t="s">
        <v>1486</v>
      </c>
      <c r="CT70" s="1253" t="s">
        <v>1732</v>
      </c>
      <c r="CU70" s="1252" t="s">
        <v>2022</v>
      </c>
      <c r="CV70" s="1253" t="s">
        <v>584</v>
      </c>
      <c r="CW70" s="1252" t="s">
        <v>2023</v>
      </c>
      <c r="CX70" s="1252" t="s">
        <v>1486</v>
      </c>
      <c r="CY70" s="1253" t="s">
        <v>1732</v>
      </c>
      <c r="CZ70" s="1252" t="s">
        <v>2022</v>
      </c>
      <c r="DA70" s="1253" t="s">
        <v>584</v>
      </c>
      <c r="DB70" s="1252" t="s">
        <v>2023</v>
      </c>
      <c r="DC70" s="1252" t="s">
        <v>1486</v>
      </c>
      <c r="DD70" s="1253" t="s">
        <v>1732</v>
      </c>
      <c r="DE70" s="1252" t="s">
        <v>2022</v>
      </c>
      <c r="DF70" s="1253" t="s">
        <v>584</v>
      </c>
      <c r="DG70" s="1252" t="s">
        <v>2023</v>
      </c>
      <c r="DH70" s="1252" t="s">
        <v>1486</v>
      </c>
      <c r="DI70" s="1253" t="s">
        <v>1732</v>
      </c>
      <c r="DJ70" s="1252" t="s">
        <v>2022</v>
      </c>
      <c r="DK70" s="1253" t="s">
        <v>584</v>
      </c>
      <c r="DL70" s="1252" t="s">
        <v>2023</v>
      </c>
      <c r="DM70" s="1252" t="s">
        <v>1486</v>
      </c>
      <c r="DN70" s="1253" t="s">
        <v>1732</v>
      </c>
      <c r="DO70" s="1252" t="s">
        <v>2022</v>
      </c>
      <c r="DP70" s="1253" t="s">
        <v>584</v>
      </c>
      <c r="DQ70" s="1252" t="s">
        <v>2023</v>
      </c>
      <c r="DR70" s="1252" t="s">
        <v>1486</v>
      </c>
      <c r="DS70" s="1253" t="s">
        <v>1732</v>
      </c>
      <c r="DT70" s="1252" t="s">
        <v>2022</v>
      </c>
      <c r="DU70" s="1253" t="s">
        <v>584</v>
      </c>
      <c r="DV70" s="1252" t="s">
        <v>2023</v>
      </c>
      <c r="DW70" s="1252" t="s">
        <v>1486</v>
      </c>
      <c r="DX70" s="1253" t="s">
        <v>1732</v>
      </c>
      <c r="DY70" s="1252" t="s">
        <v>2022</v>
      </c>
      <c r="DZ70" s="1253" t="s">
        <v>584</v>
      </c>
      <c r="EA70" s="1252" t="s">
        <v>2023</v>
      </c>
      <c r="EB70" s="3655"/>
    </row>
    <row r="71" spans="1:150" s="1295" customFormat="1">
      <c r="A71" s="1458"/>
      <c r="C71" s="1296" t="s">
        <v>1767</v>
      </c>
      <c r="D71" s="1297" t="s">
        <v>687</v>
      </c>
      <c r="E71" s="1297" t="s">
        <v>376</v>
      </c>
      <c r="F71" s="1298" t="s">
        <v>1855</v>
      </c>
      <c r="G71" s="1237"/>
      <c r="H71" s="1238"/>
      <c r="I71" s="1239"/>
      <c r="J71" s="1228" t="e">
        <v>#VALUE!</v>
      </c>
      <c r="K71" s="1240"/>
      <c r="L71" s="1299" t="e">
        <v>#VALUE!</v>
      </c>
      <c r="M71" s="1228" t="e">
        <f>+J71*(1+L71/100)</f>
        <v>#VALUE!</v>
      </c>
      <c r="N71" s="1299" t="e">
        <f>+O71/M71*100-100</f>
        <v>#VALUE!</v>
      </c>
      <c r="O71" s="1228" t="e">
        <v>#VALUE!</v>
      </c>
      <c r="P71" s="1221" t="e">
        <f>(O71/J71-1)*100</f>
        <v>#VALUE!</v>
      </c>
      <c r="Q71" s="1299" t="e">
        <v>#VALUE!</v>
      </c>
      <c r="R71" s="1228" t="e">
        <f>+O71*(1+Q71/100)</f>
        <v>#VALUE!</v>
      </c>
      <c r="S71" s="1299" t="e">
        <f>+T71/R71*100-100</f>
        <v>#VALUE!</v>
      </c>
      <c r="T71" s="1228" t="e">
        <v>#VALUE!</v>
      </c>
      <c r="U71" s="1221" t="e">
        <f>(T71/O71-1)*100</f>
        <v>#VALUE!</v>
      </c>
      <c r="V71" s="1299" t="e">
        <v>#VALUE!</v>
      </c>
      <c r="W71" s="1228" t="e">
        <f>+T71*(1+V71/100)</f>
        <v>#VALUE!</v>
      </c>
      <c r="X71" s="1299" t="e">
        <f>+Y71/W71*100-100</f>
        <v>#VALUE!</v>
      </c>
      <c r="Y71" s="1228" t="e">
        <v>#VALUE!</v>
      </c>
      <c r="Z71" s="1221" t="e">
        <f>(Y71/T71-1)*100</f>
        <v>#VALUE!</v>
      </c>
      <c r="AA71" s="1299" t="e">
        <v>#VALUE!</v>
      </c>
      <c r="AB71" s="1228" t="e">
        <f>+Y71*(1+AA71/100)</f>
        <v>#VALUE!</v>
      </c>
      <c r="AC71" s="1299" t="e">
        <f ca="1">+AD71/AB71*100-100</f>
        <v>#VALUE!</v>
      </c>
      <c r="AD71" s="1228">
        <f ca="1">OFFSET('VVP2'!$G$228,0,(COLUMN()-6)/5)</f>
        <v>0.43416000000000005</v>
      </c>
      <c r="AE71" s="1221" t="e">
        <f ca="1">(AD71/Y71-1)*100</f>
        <v>#VALUE!</v>
      </c>
      <c r="AF71" s="3164">
        <f ca="1">(AG71/AD71-1)*100</f>
        <v>-20.109579787634924</v>
      </c>
      <c r="AG71" s="3168">
        <f ca="1">AI71/(1+AH71/100)</f>
        <v>0.34685224839400425</v>
      </c>
      <c r="AH71" s="2249">
        <v>-6.6</v>
      </c>
      <c r="AI71" s="1228">
        <f ca="1">OFFSET('VVP2'!$G$229,0,(COLUMN()-6)/5)</f>
        <v>0.32395999999999997</v>
      </c>
      <c r="AJ71" s="1221">
        <f ca="1">(AI71/AD71-1)*100</f>
        <v>-25.382347521651017</v>
      </c>
      <c r="AK71" s="3164">
        <f ca="1">(AL71/AI71-1)*100</f>
        <v>6.8912200808358692</v>
      </c>
      <c r="AL71" s="3168">
        <f ca="1">AN71/(1+AM71/100)</f>
        <v>0.34628479657387584</v>
      </c>
      <c r="AM71" s="2249">
        <v>-6.6</v>
      </c>
      <c r="AN71" s="1228">
        <f ca="1">OFFSET('VVP2'!$G$229,0,(COLUMN()-6)/5)</f>
        <v>0.32343</v>
      </c>
      <c r="AO71" s="1221">
        <f ca="1">(AN71/AI71-1)*100</f>
        <v>-0.16360044449931221</v>
      </c>
      <c r="AP71" s="3164">
        <f ca="1">(AQ71/AN71-1)*100</f>
        <v>49.52151328165364</v>
      </c>
      <c r="AQ71" s="3168">
        <f ca="1">AS71/(1+AR71/100)</f>
        <v>0.48359743040685232</v>
      </c>
      <c r="AR71" s="2249">
        <v>-6.6</v>
      </c>
      <c r="AS71" s="1228">
        <f ca="1">OFFSET('VVP2'!$G$229,0,(COLUMN()-6)/5)</f>
        <v>0.45168000000000003</v>
      </c>
      <c r="AT71" s="1221">
        <f ca="1">(AS71/AN71-1)*100</f>
        <v>39.653093405064467</v>
      </c>
      <c r="AU71" s="3164">
        <f ca="1">(AV71/AS71-1)*100</f>
        <v>21.599324453991819</v>
      </c>
      <c r="AV71" s="3168">
        <f ca="1">AX71/(1+AW71/100)</f>
        <v>0.54923982869379029</v>
      </c>
      <c r="AW71" s="2249">
        <v>-6.6</v>
      </c>
      <c r="AX71" s="1228">
        <f ca="1">OFFSET('VVP2'!$G$229,0,(COLUMN()-6)/5)</f>
        <v>0.51299000000000006</v>
      </c>
      <c r="AY71" s="1221">
        <f ca="1">(AX71/AS71-1)*100</f>
        <v>13.573769040028338</v>
      </c>
      <c r="AZ71" s="3164">
        <f ca="1">(BA71/AX71-1)*100</f>
        <v>37.283482198854891</v>
      </c>
      <c r="BA71" s="3168">
        <f ca="1">BC71/(1+BB71/100)</f>
        <v>0.70425053533190574</v>
      </c>
      <c r="BB71" s="2249">
        <v>-6.6</v>
      </c>
      <c r="BC71" s="1228">
        <f ca="1">OFFSET('VVP2'!$G$229,0,(COLUMN()-6)/5)</f>
        <v>0.65776999999999997</v>
      </c>
      <c r="BD71" s="1221">
        <f ca="1">(BC71/AX71-1)*100</f>
        <v>28.222772373730454</v>
      </c>
      <c r="BE71" s="3164">
        <f ca="1">(BF71/BC71-1)*100</f>
        <v>23.296353434007266</v>
      </c>
      <c r="BF71" s="3168">
        <f ca="1">BH71/(1+BG71/100)</f>
        <v>0.81100642398286948</v>
      </c>
      <c r="BG71" s="2249">
        <v>-6.6</v>
      </c>
      <c r="BH71" s="1228">
        <f ca="1">OFFSET('VVP2'!$G$229,0,(COLUMN()-6)/5)</f>
        <v>0.75748000000000004</v>
      </c>
      <c r="BI71" s="1221">
        <f ca="1">(BH71/BC71-1)*100</f>
        <v>15.158794107362761</v>
      </c>
      <c r="BJ71" s="3164">
        <f ca="1">(BK71/BH71-1)*100</f>
        <v>45.491152394296442</v>
      </c>
      <c r="BK71" s="3168">
        <f ca="1">BM71/(1+BL71/100)</f>
        <v>1.1020663811563167</v>
      </c>
      <c r="BL71" s="2249">
        <v>-6.6</v>
      </c>
      <c r="BM71" s="1228">
        <f ca="1">OFFSET('VVP2'!$G$229,0,(COLUMN()-6)/5)</f>
        <v>1.0293299999999999</v>
      </c>
      <c r="BN71" s="1221">
        <f ca="1">(BM71/BH71-1)*100</f>
        <v>35.888736336272878</v>
      </c>
      <c r="BO71" s="3164">
        <f ca="1">(BP71/BM71-1)*100</f>
        <v>63.54997432790892</v>
      </c>
      <c r="BP71" s="3168">
        <f ca="1">BR71/(1+BQ71/100)</f>
        <v>1.6834689507494647</v>
      </c>
      <c r="BQ71" s="2249">
        <v>-6.6</v>
      </c>
      <c r="BR71" s="1228">
        <f ca="1">OFFSET('VVP2'!$G$229,0,(COLUMN()-6)/5)</f>
        <v>1.57236</v>
      </c>
      <c r="BS71" s="1221">
        <f ca="1">(BR71/BM71-1)*100</f>
        <v>52.75567602226694</v>
      </c>
      <c r="BT71" s="3164">
        <f ca="1">(BU71/BR71-1)*100</f>
        <v>19.785433622793079</v>
      </c>
      <c r="BU71" s="3168">
        <f ca="1">BW71/(1+BV71/100)</f>
        <v>1.8834582441113492</v>
      </c>
      <c r="BV71" s="2249">
        <v>-6.6</v>
      </c>
      <c r="BW71" s="1228">
        <f ca="1">OFFSET('VVP2'!$G$229,0,(COLUMN()-6)/5)</f>
        <v>1.75915</v>
      </c>
      <c r="BX71" s="1221">
        <f ca="1">(BW71/BR71-1)*100</f>
        <v>11.879595003688713</v>
      </c>
      <c r="BY71" s="3164">
        <f ca="1">(BZ71/BW71-1)*100</f>
        <v>-27.622237744881282</v>
      </c>
      <c r="BZ71" s="3168">
        <f ca="1">CB71/(1+CA71/100)</f>
        <v>1.2732334047109208</v>
      </c>
      <c r="CA71" s="2249">
        <v>-6.6</v>
      </c>
      <c r="CB71" s="1228">
        <f ca="1">OFFSET('VVP2'!$G$229,0,(COLUMN()-6)/5)</f>
        <v>1.1892</v>
      </c>
      <c r="CC71" s="1221">
        <f ca="1">(CB71/BW71-1)*100</f>
        <v>-32.399170053719132</v>
      </c>
      <c r="CD71" s="3164">
        <f ca="1">(CE71/CB71-1)*100</f>
        <v>14.11073646558869</v>
      </c>
      <c r="CE71" s="3168">
        <f ca="1">CG71/(1+CF71/100)</f>
        <v>1.3570048780487807</v>
      </c>
      <c r="CF71" s="2249">
        <v>2.5</v>
      </c>
      <c r="CG71" s="1228">
        <f ca="1">OFFSET('VVP2'!$G$229,0,(COLUMN()-6)/5)</f>
        <v>1.39093</v>
      </c>
      <c r="CH71" s="1221">
        <f ca="1">(CG71/CB71-1)*100</f>
        <v>16.963504877228374</v>
      </c>
      <c r="CI71" s="3164">
        <f ca="1">(CJ71/CG71-1)*100</f>
        <v>3.7544103234667059</v>
      </c>
      <c r="CJ71" s="3168">
        <f ca="1">CL71/(1+CK71/100)</f>
        <v>1.4431512195121954</v>
      </c>
      <c r="CK71" s="2249">
        <v>2.5</v>
      </c>
      <c r="CL71" s="1228">
        <f ca="1">OFFSET('VVP2'!$G$229,0,(COLUMN()-6)/5)</f>
        <v>1.47923</v>
      </c>
      <c r="CM71" s="1221">
        <f ca="1">(CL71/CG71-1)*100</f>
        <v>6.3482705815533613</v>
      </c>
      <c r="CN71" s="3164">
        <f ca="1">(CO71/CL71-1)*100</f>
        <v>-12.52337447152383</v>
      </c>
      <c r="CO71" s="3168">
        <f ca="1">CQ71/(1+CP71/100)</f>
        <v>1.2939804878048782</v>
      </c>
      <c r="CP71" s="2249">
        <v>2.5</v>
      </c>
      <c r="CQ71" s="1228">
        <f ca="1">OFFSET('VVP2'!$G$229,0,(COLUMN()-6)/5)</f>
        <v>1.32633</v>
      </c>
      <c r="CR71" s="1221">
        <f ca="1">(CQ71/CL71-1)*100</f>
        <v>-10.336458833311923</v>
      </c>
      <c r="CS71" s="3164">
        <f ca="1">(CT71/CQ71-1)*100</f>
        <v>-3.6784613622074303</v>
      </c>
      <c r="CT71" s="3168">
        <f ca="1">CV71/(1+CU71/100)</f>
        <v>1.2775414634146343</v>
      </c>
      <c r="CU71" s="2249">
        <v>2.5</v>
      </c>
      <c r="CV71" s="1228">
        <f ca="1">OFFSET('VVP2'!$G$229,0,(COLUMN()-6)/5)</f>
        <v>1.30948</v>
      </c>
      <c r="CW71" s="3706">
        <f ca="1">(CV71/CQ71-1)*100</f>
        <v>-1.2704228962626241</v>
      </c>
      <c r="CX71" s="3164">
        <f ca="1">(CY71/CV71-1)*100</f>
        <v>-4.4133698202302512</v>
      </c>
      <c r="CY71" s="3168">
        <f ca="1">DA71/(1+CZ71/100)</f>
        <v>1.2516878048780489</v>
      </c>
      <c r="CZ71" s="2249">
        <v>2.5</v>
      </c>
      <c r="DA71">
        <f ca="1">OFFSET('VVP2'!$G$229,0,(COLUMN()-6)/5)</f>
        <v>1.28298</v>
      </c>
      <c r="DB71" s="1221">
        <f ca="1">(DA71/CV71-1)*100</f>
        <v>-2.0237040657360095</v>
      </c>
      <c r="DC71" s="3164">
        <f ca="1">(DD71/DA71-1)*100</f>
        <v>4.5211434202917067</v>
      </c>
      <c r="DD71" s="3168">
        <f ca="1">DF71/(1+DE71/100)</f>
        <v>1.3409853658536586</v>
      </c>
      <c r="DE71" s="2249">
        <v>2.5</v>
      </c>
      <c r="DF71" s="1228">
        <f ca="1">OFFSET('VVP2'!$G$229,0,(COLUMN()-6)/5)</f>
        <v>1.3745099999999999</v>
      </c>
      <c r="DG71" s="2248">
        <f ca="1">(DF71/DA71-1)*100</f>
        <v>7.1341720057989999</v>
      </c>
      <c r="DH71" s="3164">
        <f ca="1">(DI71/DF71-1)*100</f>
        <v>-15.22488565071013</v>
      </c>
      <c r="DI71" s="1228">
        <f ca="1">DK71/(1+DJ71/100)</f>
        <v>1.1652424242424242</v>
      </c>
      <c r="DJ71" s="2249">
        <v>-1</v>
      </c>
      <c r="DK71" s="1228">
        <f ca="1">OFFSET('VVP2'!$G$229,0,(COLUMN()-6)/5)</f>
        <v>1.1535899999999999</v>
      </c>
      <c r="DL71" s="3703">
        <f ca="1">(DK71/DF71-1)*100</f>
        <v>-16.072636794203021</v>
      </c>
      <c r="DM71" s="3317">
        <v>3</v>
      </c>
      <c r="DN71" s="1228">
        <f ca="1">+DK71*(1+DM71/100)</f>
        <v>1.1881976999999999</v>
      </c>
      <c r="DO71" s="2249">
        <v>4.0999999999999996</v>
      </c>
      <c r="DP71" s="3727">
        <f ca="1">+DN71*(1+DO71/100)</f>
        <v>1.2369138056999998</v>
      </c>
      <c r="DQ71" s="2248">
        <f ca="1">(DP71/DK71-1)*100</f>
        <v>7.2229999999999794</v>
      </c>
      <c r="DR71" s="3317">
        <v>6.34</v>
      </c>
      <c r="DS71" s="1228">
        <f ca="1">+DP71*(1+DR71/100)</f>
        <v>1.3153341409813797</v>
      </c>
      <c r="DT71" s="2249">
        <v>3</v>
      </c>
      <c r="DU71" s="2241">
        <f ca="1">+DS71*(1+DT71/100)</f>
        <v>1.3547941652108211</v>
      </c>
      <c r="DV71" s="2248">
        <f ca="1">(DU71/DP71-1)*100</f>
        <v>9.5302000000000007</v>
      </c>
      <c r="DW71" s="3317">
        <v>4.5</v>
      </c>
      <c r="DX71" s="1228">
        <f ca="1">+DU71*(1+DW71/100)</f>
        <v>1.4157599026453078</v>
      </c>
      <c r="DY71" s="2249">
        <v>3</v>
      </c>
      <c r="DZ71" s="2241">
        <f ca="1">+DX71*(1+DY71/100)</f>
        <v>1.4582326997246671</v>
      </c>
      <c r="EA71" s="2248">
        <f ca="1">(DZ71/DU71-1)*100</f>
        <v>7.6349999999999918</v>
      </c>
      <c r="EB71" s="3655"/>
      <c r="EC71"/>
      <c r="ED71"/>
      <c r="EE71"/>
      <c r="EF71"/>
      <c r="EG71"/>
      <c r="EH71"/>
      <c r="EI71"/>
      <c r="EJ71"/>
      <c r="EK71"/>
      <c r="EL71"/>
      <c r="EM71"/>
      <c r="EN71"/>
      <c r="EO71"/>
    </row>
    <row r="72" spans="1:150" s="1295" customFormat="1">
      <c r="A72" s="1458"/>
      <c r="C72" s="1300" t="s">
        <v>1767</v>
      </c>
      <c r="D72" s="1297" t="s">
        <v>685</v>
      </c>
      <c r="E72" s="1297" t="s">
        <v>376</v>
      </c>
      <c r="F72" s="1298" t="s">
        <v>848</v>
      </c>
      <c r="G72" s="1241"/>
      <c r="H72" s="1242"/>
      <c r="I72" s="1243"/>
      <c r="J72" s="1232" t="e">
        <v>#VALUE!</v>
      </c>
      <c r="K72" s="1245"/>
      <c r="L72" s="1241"/>
      <c r="M72" s="1242"/>
      <c r="N72" s="1243"/>
      <c r="O72" s="1232" t="e">
        <v>#VALUE!</v>
      </c>
      <c r="P72" s="1217" t="e">
        <f>(O72/J72-1)*100</f>
        <v>#VALUE!</v>
      </c>
      <c r="Q72" s="1241"/>
      <c r="R72" s="1242"/>
      <c r="S72" s="1243"/>
      <c r="T72" s="1232" t="e">
        <v>#VALUE!</v>
      </c>
      <c r="U72" s="1217" t="e">
        <f>(T72/O72-1)*100</f>
        <v>#VALUE!</v>
      </c>
      <c r="V72" s="1241"/>
      <c r="W72" s="1242"/>
      <c r="X72" s="1243"/>
      <c r="Y72" s="1232" t="e">
        <v>#VALUE!</v>
      </c>
      <c r="Z72" s="1217" t="e">
        <f>(Y72/T72-1)*100</f>
        <v>#VALUE!</v>
      </c>
      <c r="AA72" s="1241"/>
      <c r="AB72" s="1242"/>
      <c r="AC72" s="1243"/>
      <c r="AD72" s="1232">
        <f ca="1">OFFSET('VVP2'!$G$229,0,(COLUMN()-6)/5)</f>
        <v>0.32613999999999999</v>
      </c>
      <c r="AE72" s="1217" t="e">
        <f ca="1">(AD72/Y72-1)*100</f>
        <v>#VALUE!</v>
      </c>
      <c r="AF72" s="1241"/>
      <c r="AG72" s="1242"/>
      <c r="AH72" s="1243"/>
      <c r="AI72" s="1232">
        <f ca="1">OFFSET('VVP2'!$G$228,0,(COLUMN()-6)/5)</f>
        <v>0.48319000000000001</v>
      </c>
      <c r="AJ72" s="1217">
        <f ca="1">(AI72/AD72-1)*100</f>
        <v>48.154166922180664</v>
      </c>
      <c r="AK72" s="1241"/>
      <c r="AL72" s="1242"/>
      <c r="AM72" s="1243"/>
      <c r="AN72" s="1232">
        <f ca="1">OFFSET('VVP2'!$G$228,0,(COLUMN()-6)/5)</f>
        <v>0.53537000000000001</v>
      </c>
      <c r="AO72" s="1217">
        <f ca="1">(AN72/AI72-1)*100</f>
        <v>10.79906455017694</v>
      </c>
      <c r="AP72" s="1241"/>
      <c r="AQ72" s="1242"/>
      <c r="AR72" s="1243"/>
      <c r="AS72" s="1232">
        <f ca="1">OFFSET('VVP2'!$G$228,0,(COLUMN()-6)/5)</f>
        <v>0.53712000000000004</v>
      </c>
      <c r="AT72" s="1217">
        <f ca="1">(AS72/AN72-1)*100</f>
        <v>0.32687673945122064</v>
      </c>
      <c r="AU72" s="1241"/>
      <c r="AV72" s="1242"/>
      <c r="AW72" s="1243"/>
      <c r="AX72" s="1232">
        <f ca="1">OFFSET('VVP2'!$G$228,0,(COLUMN()-6)/5)</f>
        <v>0.68988000000000005</v>
      </c>
      <c r="AY72" s="1217">
        <f ca="1">(AX72/AS72-1)*100</f>
        <v>28.440571939231461</v>
      </c>
      <c r="AZ72" s="1241"/>
      <c r="BA72" s="1242"/>
      <c r="BB72" s="1243"/>
      <c r="BC72" s="1232">
        <f ca="1">OFFSET('VVP2'!$G$228,0,(COLUMN()-6)/5)</f>
        <v>0.79324000000000006</v>
      </c>
      <c r="BD72" s="1217">
        <f ca="1">(BC72/AX72-1)*100</f>
        <v>14.982315765060594</v>
      </c>
      <c r="BE72" s="1241"/>
      <c r="BF72" s="1242"/>
      <c r="BG72" s="1243"/>
      <c r="BH72" s="1232">
        <f ca="1">OFFSET('VVP2'!$G$228,0,(COLUMN()-6)/5)</f>
        <v>0.83965000000000001</v>
      </c>
      <c r="BI72" s="1217">
        <f ca="1">(BH72/BC72-1)*100</f>
        <v>5.8506883162724899</v>
      </c>
      <c r="BJ72" s="1241"/>
      <c r="BK72" s="1242"/>
      <c r="BL72" s="1243"/>
      <c r="BM72" s="1232">
        <f ca="1">OFFSET('VVP2'!$G$228,0,(COLUMN()-6)/5)</f>
        <v>0.87766999999999995</v>
      </c>
      <c r="BN72" s="1217">
        <f ca="1">(BM72/BH72-1)*100</f>
        <v>4.5280771750134008</v>
      </c>
      <c r="BO72" s="1241"/>
      <c r="BP72" s="1242"/>
      <c r="BQ72" s="1243"/>
      <c r="BR72" s="1232">
        <f ca="1">OFFSET('VVP2'!$G$228,0,(COLUMN()-6)/5)</f>
        <v>1.0825199999999999</v>
      </c>
      <c r="BS72" s="1217">
        <f ca="1">(BR72/BM72-1)*100</f>
        <v>23.340207595109774</v>
      </c>
      <c r="BT72" s="1241"/>
      <c r="BU72" s="1242"/>
      <c r="BV72" s="1243"/>
      <c r="BW72" s="1232">
        <f ca="1">OFFSET('VVP2'!$G$228,0,(COLUMN()-6)/5)</f>
        <v>1.27919</v>
      </c>
      <c r="BX72" s="1217">
        <f ca="1">(BW72/BR72-1)*100</f>
        <v>18.167793666629727</v>
      </c>
      <c r="BY72" s="1241"/>
      <c r="BZ72" s="1242"/>
      <c r="CA72" s="1243"/>
      <c r="CB72" s="1232">
        <f ca="1">OFFSET('VVP2'!$G$228,0,(COLUMN()-6)/5)</f>
        <v>0.95716000000000001</v>
      </c>
      <c r="CC72" s="1217">
        <f ca="1">(CB72/BW72-1)*100</f>
        <v>-25.174524503787556</v>
      </c>
      <c r="CD72" s="1241"/>
      <c r="CE72" s="1242"/>
      <c r="CF72" s="1243"/>
      <c r="CG72" s="1232">
        <f ca="1">OFFSET('VVP2'!$G$228,0,(COLUMN()-6)/5)</f>
        <v>0.92220000000000002</v>
      </c>
      <c r="CH72" s="1217">
        <f ca="1">(CG72/CB72-1)*100</f>
        <v>-3.6524718960257441</v>
      </c>
      <c r="CI72" s="1241"/>
      <c r="CJ72" s="1242"/>
      <c r="CK72" s="1243"/>
      <c r="CL72" s="1232">
        <f ca="1">OFFSET('VVP2'!$G$228,0,(COLUMN()-6)/5)</f>
        <v>1.04375</v>
      </c>
      <c r="CM72" s="1217">
        <f ca="1">(CL72/CG72-1)*100</f>
        <v>13.18043808284537</v>
      </c>
      <c r="CN72" s="1241"/>
      <c r="CO72" s="1242"/>
      <c r="CP72" s="1243"/>
      <c r="CQ72" s="1232">
        <f ca="1">OFFSET('VVP2'!$G$228,0,(COLUMN()-6)/5)</f>
        <v>1.00299</v>
      </c>
      <c r="CR72" s="1217">
        <f ca="1">(CQ72/CL72-1)*100</f>
        <v>-3.9051497005987978</v>
      </c>
      <c r="CS72" s="1241"/>
      <c r="CT72" s="1242"/>
      <c r="CU72" s="1243"/>
      <c r="CV72" s="1232">
        <f ca="1">OFFSET('VVP2'!$G$228,0,(COLUMN()-6)/5)</f>
        <v>1.2413599999999998</v>
      </c>
      <c r="CW72" s="3707">
        <f ca="1">(CV72/CQ72-1)*100</f>
        <v>23.765939839878737</v>
      </c>
      <c r="CX72" s="1241"/>
      <c r="CY72" s="1242"/>
      <c r="CZ72" s="1243"/>
      <c r="DA72" s="2846">
        <f ca="1">OFFSET('VVP2'!$G$228,0,(COLUMN()-6)/5)</f>
        <v>1.37171</v>
      </c>
      <c r="DB72" s="1217">
        <f ca="1">(DA72/CV72-1)*100</f>
        <v>10.500580009022386</v>
      </c>
      <c r="DC72" s="1241"/>
      <c r="DD72" s="1242"/>
      <c r="DE72" s="1243"/>
      <c r="DF72" s="1232">
        <f ca="1">OFFSET('VVP2'!$G$228,0,(COLUMN()-6)/5)</f>
        <v>1.56351</v>
      </c>
      <c r="DG72" s="1217">
        <f ca="1">(DF72/DA72-1)*100</f>
        <v>13.982547331433025</v>
      </c>
      <c r="DH72" s="1241"/>
      <c r="DI72" s="1242"/>
      <c r="DJ72" s="1243"/>
      <c r="DK72" s="2241">
        <f ca="1">OFFSET('VVP2'!$G$228,0,(COLUMN()-6)/5)</f>
        <v>1.7422800000000001</v>
      </c>
      <c r="DL72" s="1217">
        <f ca="1">(DK72/DF72-1)*100</f>
        <v>11.433889134063758</v>
      </c>
      <c r="DM72" s="1241"/>
      <c r="DN72" s="1242"/>
      <c r="DO72" s="1243"/>
      <c r="DP72" s="3727">
        <f ca="1">+DK72*(1+DQ72/100)</f>
        <v>1.8032598</v>
      </c>
      <c r="DQ72" s="3203">
        <v>3.5</v>
      </c>
      <c r="DR72" s="1241"/>
      <c r="DS72" s="1242"/>
      <c r="DT72" s="1243"/>
      <c r="DU72" s="2241">
        <f ca="1">+DP72*(1+DV72/100)</f>
        <v>1.8663738929999998</v>
      </c>
      <c r="DV72" s="3203">
        <v>3.5</v>
      </c>
      <c r="DW72" s="1241"/>
      <c r="DX72" s="1242"/>
      <c r="DY72" s="1243"/>
      <c r="DZ72" s="2241">
        <f ca="1">+DU72*(1+EA72/100)</f>
        <v>1.9316969792549996</v>
      </c>
      <c r="EA72" s="3203">
        <v>3.5</v>
      </c>
      <c r="EB72" s="3655"/>
      <c r="EC72"/>
      <c r="ED72"/>
      <c r="EE72"/>
      <c r="EF72"/>
      <c r="EG72"/>
      <c r="EH72"/>
      <c r="EI72"/>
      <c r="EJ72"/>
      <c r="EK72"/>
      <c r="EL72"/>
      <c r="EM72"/>
      <c r="EN72"/>
      <c r="EO72"/>
    </row>
    <row r="73" spans="1:150" s="1295" customFormat="1">
      <c r="A73" s="1458"/>
      <c r="C73" s="1301" t="s">
        <v>1767</v>
      </c>
      <c r="D73" s="1900" t="s">
        <v>686</v>
      </c>
      <c r="E73" s="1900" t="s">
        <v>376</v>
      </c>
      <c r="F73" s="1901" t="s">
        <v>849</v>
      </c>
      <c r="G73" s="1246"/>
      <c r="H73" s="1247"/>
      <c r="I73" s="1248"/>
      <c r="J73" s="1231" t="e">
        <v>#VALUE!</v>
      </c>
      <c r="K73" s="1249"/>
      <c r="L73" s="1246"/>
      <c r="M73" s="1247"/>
      <c r="N73" s="1248"/>
      <c r="O73" s="1231" t="e">
        <v>#VALUE!</v>
      </c>
      <c r="P73" s="1218" t="e">
        <f>(O73/J73-1)*100</f>
        <v>#VALUE!</v>
      </c>
      <c r="Q73" s="1246"/>
      <c r="R73" s="1247"/>
      <c r="S73" s="1248"/>
      <c r="T73" s="1231" t="e">
        <v>#VALUE!</v>
      </c>
      <c r="U73" s="1218" t="e">
        <f>(T73/O73-1)*100</f>
        <v>#VALUE!</v>
      </c>
      <c r="V73" s="1246"/>
      <c r="W73" s="1247"/>
      <c r="X73" s="1248"/>
      <c r="Y73" s="1231" t="e">
        <v>#VALUE!</v>
      </c>
      <c r="Z73" s="1218" t="e">
        <f>(Y73/T73-1)*100</f>
        <v>#VALUE!</v>
      </c>
      <c r="AA73" s="1246"/>
      <c r="AB73" s="1247"/>
      <c r="AC73" s="1248"/>
      <c r="AD73" s="1232">
        <f ca="1">OFFSET('VVP2'!$G$230,0,(COLUMN()-6)/5)</f>
        <v>2.0300199999999999</v>
      </c>
      <c r="AE73" s="1218" t="e">
        <f ca="1">(AD73/Y73-1)*100</f>
        <v>#VALUE!</v>
      </c>
      <c r="AF73" s="1246"/>
      <c r="AG73" s="1247"/>
      <c r="AH73" s="1248"/>
      <c r="AI73" s="1232">
        <f ca="1">OFFSET('VVP2'!$G$230,0,(COLUMN()-6)/5)</f>
        <v>1.7495399999999999</v>
      </c>
      <c r="AJ73" s="1218">
        <f ca="1">(AI73/AD73-1)*100</f>
        <v>-13.816612644210402</v>
      </c>
      <c r="AK73" s="1246"/>
      <c r="AL73" s="1247"/>
      <c r="AM73" s="1248"/>
      <c r="AN73" s="1232">
        <f ca="1">OFFSET('VVP2'!$G$230,0,(COLUMN()-6)/5)</f>
        <v>2.0532399999999997</v>
      </c>
      <c r="AO73" s="1218">
        <f ca="1">(AN73/AI73-1)*100</f>
        <v>17.358848611635057</v>
      </c>
      <c r="AP73" s="1246"/>
      <c r="AQ73" s="1247"/>
      <c r="AR73" s="1248"/>
      <c r="AS73" s="1232">
        <f ca="1">OFFSET('VVP2'!$G$230,0,(COLUMN()-6)/5)</f>
        <v>2.1570999999999998</v>
      </c>
      <c r="AT73" s="1218">
        <f ca="1">(AS73/AN73-1)*100</f>
        <v>5.0583468079717919</v>
      </c>
      <c r="AU73" s="1246"/>
      <c r="AV73" s="1247"/>
      <c r="AW73" s="1248"/>
      <c r="AX73" s="1232">
        <f ca="1">OFFSET('VVP2'!$G$230,0,(COLUMN()-6)/5)</f>
        <v>2.38741</v>
      </c>
      <c r="AY73" s="1218">
        <f ca="1">(AX73/AS73-1)*100</f>
        <v>10.676834639098809</v>
      </c>
      <c r="AZ73" s="1246"/>
      <c r="BA73" s="1247"/>
      <c r="BB73" s="1248"/>
      <c r="BC73" s="1232">
        <f ca="1">OFFSET('VVP2'!$G$230,0,(COLUMN()-6)/5)</f>
        <v>2.7249899999999996</v>
      </c>
      <c r="BD73" s="1218">
        <f ca="1">(BC73/AX73-1)*100</f>
        <v>14.140009466325409</v>
      </c>
      <c r="BE73" s="1246"/>
      <c r="BF73" s="1247"/>
      <c r="BG73" s="1248"/>
      <c r="BH73" s="1232">
        <f ca="1">OFFSET('VVP2'!$G$230,0,(COLUMN()-6)/5)</f>
        <v>3.3142499999999999</v>
      </c>
      <c r="BI73" s="1218">
        <f ca="1">(BH73/BC73-1)*100</f>
        <v>21.62429953871392</v>
      </c>
      <c r="BJ73" s="1246"/>
      <c r="BK73" s="1247"/>
      <c r="BL73" s="1248"/>
      <c r="BM73" s="1232">
        <f ca="1">OFFSET('VVP2'!$G$230,0,(COLUMN()-6)/5)</f>
        <v>4.3358999999999996</v>
      </c>
      <c r="BN73" s="1218">
        <f ca="1">(BM73/BH73-1)*100</f>
        <v>30.825978728219038</v>
      </c>
      <c r="BO73" s="1246"/>
      <c r="BP73" s="1247"/>
      <c r="BQ73" s="1248"/>
      <c r="BR73" s="1232">
        <f ca="1">OFFSET('VVP2'!$G$230,0,(COLUMN()-6)/5)</f>
        <v>5.6438000000000006</v>
      </c>
      <c r="BS73" s="1218">
        <f ca="1">(BR73/BM73-1)*100</f>
        <v>30.164441061832626</v>
      </c>
      <c r="BT73" s="1246"/>
      <c r="BU73" s="1247"/>
      <c r="BV73" s="1248"/>
      <c r="BW73" s="1232">
        <f ca="1">OFFSET('VVP2'!$G$230,0,(COLUMN()-6)/5)</f>
        <v>5.4749799999999995</v>
      </c>
      <c r="BX73" s="1218">
        <f ca="1">(BW73/BR73-1)*100</f>
        <v>-2.9912470321414864</v>
      </c>
      <c r="BY73" s="1246"/>
      <c r="BZ73" s="1247"/>
      <c r="CA73" s="1248"/>
      <c r="CB73" s="1232">
        <f ca="1">OFFSET('VVP2'!$G$230,0,(COLUMN()-6)/5)</f>
        <v>2.6641699999999999</v>
      </c>
      <c r="CC73" s="1218">
        <f ca="1">(CB73/BW73-1)*100</f>
        <v>-51.339182974184382</v>
      </c>
      <c r="CD73" s="1246"/>
      <c r="CE73" s="1247"/>
      <c r="CF73" s="1248"/>
      <c r="CG73" s="1232">
        <f ca="1">OFFSET('VVP2'!$G$230,0,(COLUMN()-6)/5)</f>
        <v>2.41317</v>
      </c>
      <c r="CH73" s="1218">
        <f ca="1">(CG73/CB73-1)*100</f>
        <v>-9.4213207115161559</v>
      </c>
      <c r="CI73" s="1246"/>
      <c r="CJ73" s="1247"/>
      <c r="CK73" s="1248"/>
      <c r="CL73" s="1232">
        <f ca="1">OFFSET('VVP2'!$G$230,0,(COLUMN()-6)/5)</f>
        <v>3.25813</v>
      </c>
      <c r="CM73" s="1218">
        <f ca="1">(CL73/CG73-1)*100</f>
        <v>35.014524463672259</v>
      </c>
      <c r="CN73" s="1246"/>
      <c r="CO73" s="1247"/>
      <c r="CP73" s="1248"/>
      <c r="CQ73" s="1232">
        <f ca="1">OFFSET('VVP2'!$G$230,0,(COLUMN()-6)/5)</f>
        <v>3.45871</v>
      </c>
      <c r="CR73" s="1218">
        <f ca="1">(CQ73/CL73-1)*100</f>
        <v>6.156292106208161</v>
      </c>
      <c r="CS73" s="1246"/>
      <c r="CT73" s="1247"/>
      <c r="CU73" s="1248"/>
      <c r="CV73" s="1232">
        <f ca="1">OFFSET('VVP2'!$G$230,0,(COLUMN()-6)/5)</f>
        <v>3.9040300000000001</v>
      </c>
      <c r="CW73" s="3708">
        <f ca="1">(CV73/CQ73-1)*100</f>
        <v>12.87532056749483</v>
      </c>
      <c r="CX73" s="1246"/>
      <c r="CY73" s="1247"/>
      <c r="CZ73" s="1248"/>
      <c r="DA73" s="1899">
        <f ca="1">+DA65-DA72-DA71</f>
        <v>4.2507999999999999</v>
      </c>
      <c r="DB73" s="1218">
        <f ca="1">(DA73/CV73-1)*100</f>
        <v>8.8823600228481894</v>
      </c>
      <c r="DC73" s="1246"/>
      <c r="DD73" s="1247"/>
      <c r="DE73" s="1248"/>
      <c r="DF73" s="3704">
        <f ca="1">+DF65-DF72-DF71</f>
        <v>4.3872</v>
      </c>
      <c r="DG73" s="1217">
        <f ca="1">(DF73/DA73-1)*100</f>
        <v>3.2088077538345638</v>
      </c>
      <c r="DH73" s="1246"/>
      <c r="DI73" s="1247"/>
      <c r="DJ73" s="1248"/>
      <c r="DK73" s="1899">
        <f ca="1">+DK65-DK72-DK71</f>
        <v>4.4183199999999996</v>
      </c>
      <c r="DL73" s="1217">
        <f ca="1">(DK73/DF73-1)*100</f>
        <v>0.70933625091174068</v>
      </c>
      <c r="DM73" s="1246"/>
      <c r="DN73" s="1247"/>
      <c r="DO73" s="1248"/>
      <c r="DP73" s="3728">
        <f ca="1">+DP65-DP72-DP71</f>
        <v>4.8402163943000005</v>
      </c>
      <c r="DQ73" s="1217">
        <f ca="1">(DP73/DK73-1)*100</f>
        <v>9.5487966987452424</v>
      </c>
      <c r="DR73" s="1246"/>
      <c r="DS73" s="1247"/>
      <c r="DT73" s="1248"/>
      <c r="DU73" s="1899">
        <f ca="1">+DU65-DU72-DU71</f>
        <v>5.391350314739177</v>
      </c>
      <c r="DV73" s="1217">
        <f ca="1">(DU73/DP73-1)*100</f>
        <v>11.38655538393305</v>
      </c>
      <c r="DW73" s="1246"/>
      <c r="DX73" s="1247"/>
      <c r="DY73" s="1248"/>
      <c r="DZ73" s="1899">
        <f ca="1">+DZ65-DZ72-DZ71</f>
        <v>5.794471195038553</v>
      </c>
      <c r="EA73" s="1217">
        <f ca="1">(DZ73/DU73-1)*100</f>
        <v>7.4771783832577432</v>
      </c>
      <c r="EB73" s="3655"/>
      <c r="EC73"/>
      <c r="ED73"/>
      <c r="EE73"/>
      <c r="EF73"/>
      <c r="EG73"/>
      <c r="EH73"/>
      <c r="EI73"/>
      <c r="EJ73"/>
      <c r="EK73"/>
      <c r="EL73"/>
      <c r="EM73"/>
      <c r="EN73"/>
      <c r="EO73"/>
    </row>
    <row r="74" spans="1:150" s="28" customFormat="1">
      <c r="A74" s="1457" t="s">
        <v>1940</v>
      </c>
      <c r="C74" s="176" t="s">
        <v>1769</v>
      </c>
      <c r="D74" s="1150"/>
      <c r="E74" s="1150" t="s">
        <v>376</v>
      </c>
      <c r="F74" s="1140" t="s">
        <v>850</v>
      </c>
      <c r="G74" s="1233"/>
      <c r="H74" s="1233"/>
      <c r="I74" s="1234" t="e">
        <f>+J74/H74*100-100</f>
        <v>#VALUE!</v>
      </c>
      <c r="J74" s="1234" t="e">
        <f>SUM(J71:J73)</f>
        <v>#VALUE!</v>
      </c>
      <c r="K74" s="1234" t="e">
        <f>(J74/E74-1)*100</f>
        <v>#VALUE!</v>
      </c>
      <c r="L74" s="1471"/>
      <c r="M74" s="1471"/>
      <c r="N74" s="1234"/>
      <c r="O74" s="1234" t="e">
        <f>SUM(O71:O73)</f>
        <v>#VALUE!</v>
      </c>
      <c r="P74" s="1234" t="e">
        <f>(O74/J74-1)*100</f>
        <v>#VALUE!</v>
      </c>
      <c r="Q74" s="1471"/>
      <c r="R74" s="1471"/>
      <c r="S74" s="1234"/>
      <c r="T74" s="1234" t="e">
        <f>SUM(T71:T73)</f>
        <v>#VALUE!</v>
      </c>
      <c r="U74" s="1234" t="e">
        <f>(T74/O74-1)*100</f>
        <v>#VALUE!</v>
      </c>
      <c r="V74" s="1471"/>
      <c r="W74" s="1471"/>
      <c r="X74" s="1234"/>
      <c r="Y74" s="1234" t="e">
        <f>SUM(Y71:Y73)</f>
        <v>#VALUE!</v>
      </c>
      <c r="Z74" s="1234" t="e">
        <f>(Y74/T74-1)*100</f>
        <v>#VALUE!</v>
      </c>
      <c r="AA74" s="1471"/>
      <c r="AB74" s="1471"/>
      <c r="AC74" s="1234"/>
      <c r="AD74" s="1234">
        <f ca="1">SUM(AD71:AD73)</f>
        <v>2.7903199999999999</v>
      </c>
      <c r="AE74" s="1234" t="e">
        <f ca="1">(AD74/Y74-1)*100</f>
        <v>#VALUE!</v>
      </c>
      <c r="AF74" s="1471"/>
      <c r="AG74" s="1471"/>
      <c r="AH74" s="1234"/>
      <c r="AI74" s="1234">
        <f ca="1">SUM(AI71:AI73)</f>
        <v>2.5566899999999997</v>
      </c>
      <c r="AJ74" s="1234">
        <f ca="1">(AI74/AD74-1)*100</f>
        <v>-8.3728747957223622</v>
      </c>
      <c r="AK74" s="1471"/>
      <c r="AL74" s="1471"/>
      <c r="AM74" s="1234"/>
      <c r="AN74" s="1234">
        <f ca="1">SUM(AN71:AN73)</f>
        <v>2.9120399999999997</v>
      </c>
      <c r="AO74" s="1234">
        <f ca="1">(AN74/AI74-1)*100</f>
        <v>13.898830128017092</v>
      </c>
      <c r="AP74" s="1471"/>
      <c r="AQ74" s="1471"/>
      <c r="AR74" s="1234"/>
      <c r="AS74" s="1234">
        <f ca="1">SUM(AS71:AS73)</f>
        <v>3.1459000000000001</v>
      </c>
      <c r="AT74" s="1234">
        <f ca="1">(AS74/AN74-1)*100</f>
        <v>8.0307962802708808</v>
      </c>
      <c r="AU74" s="1471"/>
      <c r="AV74" s="1471"/>
      <c r="AW74" s="1234"/>
      <c r="AX74" s="1234">
        <f ca="1">SUM(AX71:AX73)</f>
        <v>3.5902799999999999</v>
      </c>
      <c r="AY74" s="1234">
        <f ca="1">(AX74/AS74-1)*100</f>
        <v>14.125687402651055</v>
      </c>
      <c r="AZ74" s="1471"/>
      <c r="BA74" s="1471"/>
      <c r="BB74" s="1234"/>
      <c r="BC74" s="1234">
        <f ca="1">SUM(BC71:BC73)</f>
        <v>4.1760000000000002</v>
      </c>
      <c r="BD74" s="1234">
        <f ca="1">(BC74/AX74-1)*100</f>
        <v>16.314047929409405</v>
      </c>
      <c r="BE74" s="1471"/>
      <c r="BF74" s="1471"/>
      <c r="BG74" s="1234"/>
      <c r="BH74" s="1234">
        <f ca="1">SUM(BH71:BH73)</f>
        <v>4.9113799999999994</v>
      </c>
      <c r="BI74" s="1234">
        <f ca="1">(BH74/BC74-1)*100</f>
        <v>17.609674329501889</v>
      </c>
      <c r="BJ74" s="1471"/>
      <c r="BK74" s="1471"/>
      <c r="BL74" s="1234"/>
      <c r="BM74" s="1234">
        <f ca="1">SUM(BM71:BM73)</f>
        <v>6.2428999999999997</v>
      </c>
      <c r="BN74" s="1234">
        <f ca="1">(BM74/BH74-1)*100</f>
        <v>27.11091383684423</v>
      </c>
      <c r="BO74" s="1471"/>
      <c r="BP74" s="1471"/>
      <c r="BQ74" s="1234"/>
      <c r="BR74" s="1234">
        <f ca="1">SUM(BR71:BR73)</f>
        <v>8.2986800000000009</v>
      </c>
      <c r="BS74" s="1234">
        <f ca="1">(BR74/BM74-1)*100</f>
        <v>32.929888353169211</v>
      </c>
      <c r="BT74" s="1471"/>
      <c r="BU74" s="1471"/>
      <c r="BV74" s="1234"/>
      <c r="BW74" s="1234">
        <f ca="1">SUM(BW71:BW73)</f>
        <v>8.5133200000000002</v>
      </c>
      <c r="BX74" s="1234">
        <f ca="1">(BW74/BR74-1)*100</f>
        <v>2.5864354331050166</v>
      </c>
      <c r="BY74" s="1471"/>
      <c r="BZ74" s="1471"/>
      <c r="CA74" s="1234"/>
      <c r="CB74" s="1234">
        <f ca="1">SUM(CB71:CB73)</f>
        <v>4.81053</v>
      </c>
      <c r="CC74" s="1234">
        <f ca="1">(CB74/BW74-1)*100</f>
        <v>-43.494077516174656</v>
      </c>
      <c r="CD74" s="1472"/>
      <c r="CE74" s="1472"/>
      <c r="CF74" s="1259"/>
      <c r="CG74" s="1234">
        <f ca="1">SUM(CG71:CG73)</f>
        <v>4.7263000000000002</v>
      </c>
      <c r="CH74" s="1234">
        <f ca="1">(CG74/CB74-1)*100</f>
        <v>-1.7509505189656771</v>
      </c>
      <c r="CI74" s="1472"/>
      <c r="CJ74" s="1472"/>
      <c r="CK74" s="1259"/>
      <c r="CL74" s="1234">
        <f ca="1">SUM(CL71:CL73)</f>
        <v>5.78111</v>
      </c>
      <c r="CM74" s="1234">
        <f ca="1">(CL74/CG74-1)*100</f>
        <v>22.317880794701985</v>
      </c>
      <c r="CN74" s="1471"/>
      <c r="CO74" s="1471"/>
      <c r="CP74" s="1234"/>
      <c r="CQ74" s="1234">
        <f ca="1">SUM(CQ71:CQ73)</f>
        <v>5.78803</v>
      </c>
      <c r="CR74" s="1234">
        <f ca="1">(CQ74/CL74-1)*100</f>
        <v>0.11970019598313009</v>
      </c>
      <c r="CS74" s="1471"/>
      <c r="CT74" s="1471"/>
      <c r="CU74" s="1234"/>
      <c r="CV74" s="1234">
        <f ca="1">SUM(CV71:CV73)</f>
        <v>6.4548699999999997</v>
      </c>
      <c r="CW74" s="3118">
        <f ca="1">(CV74/CQ74-1)*100</f>
        <v>11.521018377582703</v>
      </c>
      <c r="CX74" s="1471"/>
      <c r="CY74" s="1471"/>
      <c r="CZ74" s="1234"/>
      <c r="DA74" s="1234">
        <f ca="1">SUM(DA71:DA73)</f>
        <v>6.9054900000000004</v>
      </c>
      <c r="DB74" s="1234">
        <f ca="1">(DA74/CV74-1)*100</f>
        <v>6.9810855989353993</v>
      </c>
      <c r="DC74" s="1471"/>
      <c r="DD74" s="1471"/>
      <c r="DE74" s="1234"/>
      <c r="DF74" s="1234">
        <f ca="1">SUM(DF71:DF73)</f>
        <v>7.3252199999999998</v>
      </c>
      <c r="DG74" s="1234">
        <f ca="1">(DF74/DA74-1)*100</f>
        <v>6.0782073393777836</v>
      </c>
      <c r="DH74" s="1471"/>
      <c r="DI74" s="1471"/>
      <c r="DJ74" s="1234"/>
      <c r="DK74" s="1234">
        <f ca="1">SUM(DK71:DK73)</f>
        <v>7.31419</v>
      </c>
      <c r="DL74" s="3118">
        <f ca="1">(DK74/DF74-1)*100</f>
        <v>-0.1505756823685811</v>
      </c>
      <c r="DM74" s="1471"/>
      <c r="DN74" s="1471"/>
      <c r="DO74" s="1234"/>
      <c r="DP74" s="3118">
        <f ca="1">SUM(DP71:DP73)</f>
        <v>7.8803900000000002</v>
      </c>
      <c r="DQ74" s="1431">
        <f ca="1">(DP74/DK74-1)*100</f>
        <v>7.7411169247722622</v>
      </c>
      <c r="DR74" s="1471"/>
      <c r="DS74" s="1471"/>
      <c r="DT74" s="1234"/>
      <c r="DU74" s="1234">
        <f ca="1">SUM(DU71:DU73)</f>
        <v>8.6125183729499977</v>
      </c>
      <c r="DV74" s="1234">
        <f ca="1">(DU74/DP74-1)*100</f>
        <v>9.2905093903981495</v>
      </c>
      <c r="DW74" s="1471"/>
      <c r="DX74" s="1471"/>
      <c r="DY74" s="1234"/>
      <c r="DZ74" s="1234">
        <f ca="1">SUM(DZ71:DZ73)</f>
        <v>9.1844008740182197</v>
      </c>
      <c r="EA74" s="1234">
        <f ca="1">(DZ74/DU74-1)*100</f>
        <v>6.6401309849669188</v>
      </c>
      <c r="EB74"/>
      <c r="EC74"/>
      <c r="ED74"/>
      <c r="EE74"/>
      <c r="EF74"/>
      <c r="EG74"/>
      <c r="EH74"/>
      <c r="EI74"/>
      <c r="EJ74"/>
      <c r="EK74"/>
      <c r="EL74"/>
      <c r="EM74"/>
      <c r="EN74"/>
      <c r="EO74"/>
    </row>
    <row r="75" spans="1:150" s="28" customFormat="1">
      <c r="A75" s="1457"/>
      <c r="C75" s="176"/>
      <c r="D75" s="1257"/>
      <c r="E75" s="1257"/>
      <c r="F75" s="1200"/>
      <c r="G75" s="1258"/>
      <c r="H75" s="1258"/>
      <c r="I75" s="1258" t="s">
        <v>219</v>
      </c>
      <c r="J75" s="1259" t="e">
        <f ca="1">+J65-J74</f>
        <v>#VALUE!</v>
      </c>
      <c r="K75" s="1472"/>
      <c r="L75" s="1472"/>
      <c r="M75" s="1472"/>
      <c r="N75" s="1258" t="s">
        <v>219</v>
      </c>
      <c r="O75" s="1259" t="e">
        <f ca="1">+O65-O74</f>
        <v>#VALUE!</v>
      </c>
      <c r="P75" s="1472"/>
      <c r="Q75" s="1472"/>
      <c r="R75" s="1472"/>
      <c r="S75" s="1258" t="s">
        <v>219</v>
      </c>
      <c r="T75" s="1259" t="e">
        <f ca="1">+T65-T74</f>
        <v>#VALUE!</v>
      </c>
      <c r="U75" s="1472"/>
      <c r="V75" s="1472"/>
      <c r="W75" s="1472"/>
      <c r="X75" s="1258" t="s">
        <v>219</v>
      </c>
      <c r="Y75" s="1259" t="e">
        <f ca="1">+Y65-Y74</f>
        <v>#VALUE!</v>
      </c>
      <c r="Z75" s="1472"/>
      <c r="AA75" s="1472"/>
      <c r="AB75" s="1472"/>
      <c r="AC75" s="1258" t="s">
        <v>219</v>
      </c>
      <c r="AD75" s="1259">
        <f ca="1">+AD65-AD74</f>
        <v>0</v>
      </c>
      <c r="AE75" s="1472"/>
      <c r="AF75" s="1472"/>
      <c r="AG75" s="1472"/>
      <c r="AH75" s="1258" t="s">
        <v>219</v>
      </c>
      <c r="AI75" s="1259">
        <f ca="1">+AI65-AI74</f>
        <v>0</v>
      </c>
      <c r="AJ75" s="1472"/>
      <c r="AK75" s="1472"/>
      <c r="AL75" s="1472"/>
      <c r="AM75" s="1258" t="s">
        <v>219</v>
      </c>
      <c r="AN75" s="1259">
        <f ca="1">+AN65-AN74</f>
        <v>0</v>
      </c>
      <c r="AO75" s="1472"/>
      <c r="AP75" s="1472"/>
      <c r="AQ75" s="1472"/>
      <c r="AR75" s="1258" t="s">
        <v>219</v>
      </c>
      <c r="AS75" s="1259">
        <f ca="1">+AS65-AS74</f>
        <v>0</v>
      </c>
      <c r="AT75" s="1472"/>
      <c r="AU75" s="1472"/>
      <c r="AV75" s="1472"/>
      <c r="AW75" s="1258" t="s">
        <v>219</v>
      </c>
      <c r="AX75" s="1259">
        <f ca="1">+AX65-AX74</f>
        <v>0</v>
      </c>
      <c r="AY75" s="1472"/>
      <c r="AZ75" s="1472"/>
      <c r="BA75" s="1472"/>
      <c r="BB75" s="1258" t="s">
        <v>219</v>
      </c>
      <c r="BC75" s="1259">
        <f ca="1">+BC65-BC74</f>
        <v>0</v>
      </c>
      <c r="BD75" s="1472"/>
      <c r="BE75" s="1472"/>
      <c r="BF75" s="1472"/>
      <c r="BG75" s="1258" t="s">
        <v>219</v>
      </c>
      <c r="BH75" s="1259">
        <f ca="1">+BH65-BH74</f>
        <v>0</v>
      </c>
      <c r="BI75" s="1472"/>
      <c r="BJ75" s="1472"/>
      <c r="BK75" s="1472"/>
      <c r="BL75" s="1258" t="s">
        <v>219</v>
      </c>
      <c r="BM75" s="1259">
        <f ca="1">+BM65-BM74</f>
        <v>0</v>
      </c>
      <c r="BN75" s="1472"/>
      <c r="BO75" s="1472"/>
      <c r="BP75" s="1472"/>
      <c r="BQ75" s="1258"/>
      <c r="BR75" s="1259"/>
      <c r="BS75" s="1472"/>
      <c r="BT75" s="1472"/>
      <c r="BU75" s="1472"/>
      <c r="BV75" s="1258"/>
      <c r="BW75" s="1259"/>
      <c r="BX75" s="1472"/>
      <c r="BY75" s="1472"/>
      <c r="BZ75" s="1472"/>
      <c r="CA75" s="1258"/>
      <c r="CB75" s="1259"/>
      <c r="CC75" s="1472"/>
      <c r="CD75" s="1472"/>
      <c r="CE75" s="1472"/>
      <c r="CF75" s="1258"/>
      <c r="CG75" s="1259"/>
      <c r="CH75" s="1472"/>
      <c r="CI75" s="1472"/>
      <c r="CJ75" s="1472"/>
      <c r="CK75" s="1258"/>
      <c r="CL75" s="1259"/>
      <c r="CM75" s="1472"/>
      <c r="CN75" s="1472"/>
      <c r="CO75" s="1472"/>
      <c r="CP75" s="1258"/>
      <c r="CQ75" s="1259"/>
      <c r="CR75" s="1472"/>
      <c r="CS75" s="1472"/>
      <c r="CT75" s="1472"/>
      <c r="CU75" s="1258"/>
      <c r="CV75" s="1259"/>
      <c r="CW75" s="1472"/>
      <c r="CX75" s="1472"/>
      <c r="CY75" s="1472"/>
      <c r="CZ75" s="1258"/>
      <c r="DA75" s="1259"/>
      <c r="DB75" s="1472"/>
      <c r="DC75" s="1472"/>
      <c r="DD75" s="1472"/>
      <c r="DE75" s="1258"/>
      <c r="DF75" s="1259"/>
      <c r="DG75" s="1472"/>
      <c r="DH75" s="1472"/>
      <c r="DI75" s="1472"/>
      <c r="DJ75" s="1258"/>
      <c r="DK75" s="1259"/>
      <c r="DL75" s="1472"/>
      <c r="DM75" s="1472"/>
      <c r="DN75" s="1472"/>
      <c r="DO75" s="1258"/>
      <c r="DP75" s="3742"/>
      <c r="DQ75" s="1472"/>
      <c r="DR75" s="1472"/>
      <c r="DS75" s="1472"/>
      <c r="DT75" s="1258"/>
      <c r="DU75" s="1259"/>
      <c r="DV75" s="1472"/>
      <c r="DW75" s="1472"/>
      <c r="DX75" s="1472"/>
      <c r="DY75" s="1258"/>
      <c r="DZ75" s="1259"/>
      <c r="EA75" s="1472"/>
      <c r="EB75"/>
      <c r="EC75"/>
      <c r="ED75"/>
      <c r="EE75"/>
      <c r="EF75"/>
      <c r="EG75"/>
      <c r="EH75"/>
      <c r="EI75"/>
      <c r="EJ75"/>
      <c r="EK75"/>
      <c r="EL75"/>
      <c r="EM75"/>
      <c r="EN75"/>
      <c r="EO75"/>
    </row>
    <row r="76" spans="1:150" s="2842" customFormat="1">
      <c r="A76" s="2841"/>
      <c r="C76" s="2843"/>
      <c r="D76" s="1782"/>
      <c r="E76" s="1782" t="s">
        <v>807</v>
      </c>
      <c r="F76" s="2844"/>
      <c r="G76" s="2845"/>
      <c r="H76" s="2845"/>
      <c r="I76" s="2845"/>
      <c r="J76" s="1232"/>
      <c r="K76" s="2845"/>
      <c r="L76" s="2847"/>
      <c r="M76" s="2847" t="e">
        <f ca="1">IF(UPPER($F$2)="Y",M65-M71,OFFSET('VVP2'!$G$29,0,(COLUMN()-7)/5)-OFFSET('VVP2'!$G$45,0,(COLUMN()-7)/5))</f>
        <v>#VALUE!</v>
      </c>
      <c r="N76" s="2847" t="e">
        <f ca="1">+O76/M76*100-100</f>
        <v>#VALUE!</v>
      </c>
      <c r="O76" s="2847" t="e">
        <f>+O74</f>
        <v>#VALUE!</v>
      </c>
      <c r="P76" s="1232"/>
      <c r="Q76" s="2847" t="e">
        <f ca="1">+R76/M76*100-100</f>
        <v>#VALUE!</v>
      </c>
      <c r="R76" s="2847" t="e">
        <f ca="1">IF(UPPER($F$2)="Y",R65-R71,OFFSET('VVP2'!$G$29,0,(COLUMN()-7)/5)-OFFSET('VVP2'!$G$45,0,(COLUMN()-7)/5))</f>
        <v>#VALUE!</v>
      </c>
      <c r="S76" s="2847" t="e">
        <f ca="1">+T76/R76*100-100</f>
        <v>#VALUE!</v>
      </c>
      <c r="T76" s="2847" t="e">
        <f>+T74</f>
        <v>#VALUE!</v>
      </c>
      <c r="U76" s="1232"/>
      <c r="V76" s="2847" t="e">
        <f ca="1">+W76/R76*100-100</f>
        <v>#VALUE!</v>
      </c>
      <c r="W76" s="2847" t="e">
        <f ca="1">IF(UPPER($F$2)="Y",W65-W71,OFFSET('VVP2'!$G$29,0,(COLUMN()-7)/5)-OFFSET('VVP2'!$G$45,0,(COLUMN()-7)/5))</f>
        <v>#VALUE!</v>
      </c>
      <c r="X76" s="2847" t="e">
        <f ca="1">+Y76/W76*100-100</f>
        <v>#VALUE!</v>
      </c>
      <c r="Y76" s="2847" t="e">
        <f>+Y74</f>
        <v>#VALUE!</v>
      </c>
      <c r="Z76" s="1232"/>
      <c r="AA76" s="2847" t="e">
        <f ca="1">+AB76/W76*100-100</f>
        <v>#VALUE!</v>
      </c>
      <c r="AB76" s="2847" t="e">
        <f ca="1">IF(UPPER($F$2)="Y",AB65-AB71,OFFSET('VVP2'!$G$29,0,(COLUMN()-7)/5)-OFFSET('VVP2'!$G$45,0,(COLUMN()-7)/5))</f>
        <v>#VALUE!</v>
      </c>
      <c r="AC76" s="2847" t="e">
        <f ca="1">+AD76/AB76*100-100</f>
        <v>#VALUE!</v>
      </c>
      <c r="AD76" s="2847">
        <f ca="1">+AD74</f>
        <v>2.7903199999999999</v>
      </c>
      <c r="AE76" s="1232"/>
      <c r="AF76" s="2847" t="e">
        <f ca="1">+AG76/AB76*100-100</f>
        <v>#VALUE!</v>
      </c>
      <c r="AG76" s="2847">
        <f ca="1">IF(UPPER($F$2)="Y",AG65-AG71,OFFSET('VVP2'!$G$29,0,(COLUMN()-7)/5)-OFFSET('VVP2'!$G$45,0,(COLUMN()-7)/5))</f>
        <v>2.1847058158383268</v>
      </c>
      <c r="AH76" s="2847">
        <f ca="1">+AI76/AG76*100-100</f>
        <v>17.026740234997419</v>
      </c>
      <c r="AI76" s="2847">
        <f ca="1">+AI74</f>
        <v>2.5566899999999997</v>
      </c>
      <c r="AJ76" s="1232"/>
      <c r="AK76" s="2847">
        <f ca="1">+AL76/AG76*100-100</f>
        <v>16.814698386606295</v>
      </c>
      <c r="AL76" s="2847">
        <f ca="1">IF(UPPER($F$2)="Y",AL65-AL71,OFFSET('VVP2'!$G$29,0,(COLUMN()-7)/5)-OFFSET('VVP2'!$G$45,0,(COLUMN()-7)/5))</f>
        <v>2.5520575094061879</v>
      </c>
      <c r="AM76" s="2847">
        <f ca="1">+AN76/AL76*100-100</f>
        <v>14.105579097140804</v>
      </c>
      <c r="AN76" s="2847">
        <f ca="1">+AN74</f>
        <v>2.9120399999999997</v>
      </c>
      <c r="AO76" s="1232"/>
      <c r="AP76" s="2847">
        <f ca="1">+AQ76/AL76*100-100</f>
        <v>7.2817193543869223</v>
      </c>
      <c r="AQ76" s="2847">
        <f ca="1">IF(UPPER($F$2)="Y",AQ65-AQ71,OFFSET('VVP2'!$G$29,0,(COLUMN()-7)/5)-OFFSET('VVP2'!$G$45,0,(COLUMN()-7)/5))</f>
        <v>2.7378911750037034</v>
      </c>
      <c r="AR76" s="2847">
        <f ca="1">+AS76/AQ76*100-100</f>
        <v>14.902302499139509</v>
      </c>
      <c r="AS76" s="2847">
        <f ca="1">+AS74</f>
        <v>3.1459000000000001</v>
      </c>
      <c r="AT76" s="1232"/>
      <c r="AU76" s="2847">
        <f ca="1">+AV76/AQ76*100-100</f>
        <v>10.196788232547931</v>
      </c>
      <c r="AV76" s="2847">
        <f ca="1">IF(UPPER($F$2)="Y",AV65-AV71,OFFSET('VVP2'!$G$29,0,(COLUMN()-7)/5)-OFFSET('VVP2'!$G$45,0,(COLUMN()-7)/5))</f>
        <v>3.0170681401564492</v>
      </c>
      <c r="AW76" s="2847">
        <f ca="1">+AX76/AV76*100-100</f>
        <v>18.998969635926983</v>
      </c>
      <c r="AX76" s="2847">
        <f ca="1">+AX74</f>
        <v>3.5902799999999999</v>
      </c>
      <c r="AY76" s="1232"/>
      <c r="AZ76" s="2847">
        <f ca="1">+BA76/AV76*100-100</f>
        <v>14.313325066690524</v>
      </c>
      <c r="BA76" s="2847">
        <f ca="1">IF(UPPER($F$2)="Y",BA65-BA71,OFFSET('VVP2'!$G$29,0,(COLUMN()-7)/5)-OFFSET('VVP2'!$G$45,0,(COLUMN()-7)/5))</f>
        <v>3.4489109105405955</v>
      </c>
      <c r="BB76" s="2847">
        <f ca="1">+BC76/BA76*100-100</f>
        <v>21.081701102723983</v>
      </c>
      <c r="BC76" s="2847">
        <f ca="1">+BC74</f>
        <v>4.1760000000000002</v>
      </c>
      <c r="BD76" s="1232"/>
      <c r="BE76" s="2847">
        <f ca="1">+BF76/BA76*100-100</f>
        <v>11.336261011922105</v>
      </c>
      <c r="BF76" s="2847">
        <f ca="1">IF(UPPER($F$2)="Y",BF65-BF71,OFFSET('VVP2'!$G$29,0,(COLUMN()-7)/5)-OFFSET('VVP2'!$G$45,0,(COLUMN()-7)/5))</f>
        <v>3.8398884534281366</v>
      </c>
      <c r="BG76" s="2847">
        <f ca="1">+BH76/BF76*100-100</f>
        <v>27.904236270594467</v>
      </c>
      <c r="BH76" s="2847">
        <f ca="1">+BH74</f>
        <v>4.9113799999999994</v>
      </c>
      <c r="BI76" s="1232"/>
      <c r="BJ76" s="2847">
        <f ca="1">+BK76/BF76*100-100</f>
        <v>24.10824576241825</v>
      </c>
      <c r="BK76" s="2847">
        <f ca="1">IF(UPPER($F$2)="Y",BK65-BK71,OFFSET('VVP2'!$G$29,0,(COLUMN()-7)/5)-OFFSET('VVP2'!$G$45,0,(COLUMN()-7)/5))</f>
        <v>4.7656181987833133</v>
      </c>
      <c r="BL76" s="2847">
        <f ca="1">+BM76/BK76*100-100</f>
        <v>30.998744330669297</v>
      </c>
      <c r="BM76" s="2847">
        <f ca="1">+BM74</f>
        <v>6.2428999999999997</v>
      </c>
      <c r="BN76" s="1232"/>
      <c r="BO76" s="2847">
        <f ca="1">+BP76/BK76*100-100</f>
        <v>24.820281858233841</v>
      </c>
      <c r="BP76" s="2847">
        <f ca="1">IF(UPPER($F$2)="Y",BP65-BP71,OFFSET('VVP2'!$G$29,0,(COLUMN()-7)/5)-OFFSET('VVP2'!$G$45,0,(COLUMN()-7)/5))</f>
        <v>5.9484580680086179</v>
      </c>
      <c r="BQ76" s="2847">
        <f ca="1">+BR76/BP76*100-100</f>
        <v>39.509767155140651</v>
      </c>
      <c r="BR76" s="2847">
        <f ca="1">+BR74</f>
        <v>8.2986800000000009</v>
      </c>
      <c r="BS76" s="1232"/>
      <c r="BT76" s="2847">
        <f ca="1">+BU76/BP76*100-100</f>
        <v>2.2486246010369229</v>
      </c>
      <c r="BU76" s="2847">
        <f ca="1">IF(UPPER($F$2)="Y",BU65-BU71,OFFSET('VVP2'!$G$29,0,(COLUMN()-7)/5)-OFFSET('VVP2'!$G$45,0,(COLUMN()-7)/5))</f>
        <v>6.0822165595082254</v>
      </c>
      <c r="BV76" s="2847">
        <f ca="1">+BW76/BU76*100-100</f>
        <v>39.97068201544505</v>
      </c>
      <c r="BW76" s="2847">
        <f ca="1">+BW74</f>
        <v>8.5133200000000002</v>
      </c>
      <c r="BX76" s="1232"/>
      <c r="BY76" s="2847">
        <f ca="1">+BZ76/BU76*100-100</f>
        <v>-35.406440246722354</v>
      </c>
      <c r="BZ76" s="2847">
        <f ca="1">IF(UPPER($F$2)="Y",BZ65-BZ71,OFFSET('VVP2'!$G$29,0,(COLUMN()-7)/5)-OFFSET('VVP2'!$G$45,0,(COLUMN()-7)/5))</f>
        <v>3.9287201876896933</v>
      </c>
      <c r="CA76" s="2847">
        <f ca="1">+CB76/BZ76*100-100</f>
        <v>22.445218040047294</v>
      </c>
      <c r="CB76" s="2847">
        <f ca="1">+CB74</f>
        <v>4.81053</v>
      </c>
      <c r="CC76" s="1232"/>
      <c r="CD76" s="2847">
        <f ca="1">+CE76/BZ76*100-100</f>
        <v>-10.313396244797445</v>
      </c>
      <c r="CE76" s="2847">
        <f ca="1">IF(UPPER($F$2)="Y",CE65-CE71,OFFSET('VVP2'!$G$29,0,(COLUMN()-7)/5)-OFFSET('VVP2'!$G$45,0,(COLUMN()-7)/5))</f>
        <v>3.5235357073839055</v>
      </c>
      <c r="CF76" s="2847">
        <f ca="1">+CG76/CE76*100-100</f>
        <v>34.135152656338562</v>
      </c>
      <c r="CG76" s="2847">
        <f ca="1">+CG74</f>
        <v>4.7263000000000002</v>
      </c>
      <c r="CH76" s="1232"/>
      <c r="CI76" s="2847">
        <f ca="1">+CJ76/CE76*100-100</f>
        <v>20.201670487182128</v>
      </c>
      <c r="CJ76" s="2847">
        <f ca="1">IF(UPPER($F$2)="Y",CJ65-CJ71,OFFSET('VVP2'!$G$29,0,(COLUMN()-7)/5)-OFFSET('VVP2'!$G$45,0,(COLUMN()-7)/5))</f>
        <v>4.2353487804878043</v>
      </c>
      <c r="CK76" s="2847">
        <f ca="1">+CL76/CJ76*100-100</f>
        <v>36.496668860744052</v>
      </c>
      <c r="CL76" s="2847">
        <f ca="1">+CL74</f>
        <v>5.78111</v>
      </c>
      <c r="CM76" s="1232"/>
      <c r="CN76" s="2847">
        <f ca="1">+CO76/CJ76*100-100</f>
        <v>3.5221519642278452</v>
      </c>
      <c r="CO76" s="2847">
        <f ca="1">IF(UPPER($F$2)="Y",CO65-CO71,OFFSET('VVP2'!$G$29,0,(COLUMN()-7)/5)-OFFSET('VVP2'!$G$45,0,(COLUMN()-7)/5))</f>
        <v>4.3845242007516561</v>
      </c>
      <c r="CP76" s="2847">
        <f ca="1">+CQ76/CO76*100-100</f>
        <v>32.010447085860193</v>
      </c>
      <c r="CQ76" s="2847">
        <f ca="1">+CQ74</f>
        <v>5.78803</v>
      </c>
      <c r="CR76" s="1232"/>
      <c r="CS76" s="2847">
        <f ca="1">+CT76/CO76*100-100</f>
        <v>13.778498149335206</v>
      </c>
      <c r="CT76" s="2847">
        <f ca="1">IF(UPPER($F$2)="Y",CT65-CT71,OFFSET('VVP2'!$G$29,0,(COLUMN()-7)/5)-OFFSET('VVP2'!$G$45,0,(COLUMN()-7)/5))</f>
        <v>4.9886457866093767</v>
      </c>
      <c r="CU76" s="2847">
        <f ca="1">+CV76/CT76*100-100</f>
        <v>29.391227120720629</v>
      </c>
      <c r="CV76" s="3713">
        <f ca="1">+CV74</f>
        <v>6.4548699999999997</v>
      </c>
      <c r="CW76" s="1232"/>
      <c r="CX76" s="2847">
        <f ca="1">+CY76/CT76*100-100</f>
        <v>11.755484222904627</v>
      </c>
      <c r="CY76" s="2847">
        <f ca="1">IF(UPPER($F$2)="Y",CY65-CY71,OFFSET('VVP2'!$G$29,0,(COLUMN()-7)/5)-OFFSET('VVP2'!$G$45,0,(COLUMN()-7)/5))</f>
        <v>5.5750852549908387</v>
      </c>
      <c r="CZ76" s="2847">
        <f ca="1">+DA76/CY76*100-100</f>
        <v>23.863397314295383</v>
      </c>
      <c r="DA76" s="2847">
        <f ca="1">+DA74</f>
        <v>6.9054900000000004</v>
      </c>
      <c r="DB76" s="1232"/>
      <c r="DC76" s="2847">
        <f ca="1">+DD76/CY76*100-100</f>
        <v>5.7955791204532119</v>
      </c>
      <c r="DD76" s="2847">
        <f ca="1">IF(UPPER($F$2)="Y",DD65-DD71,OFFSET('VVP2'!$G$29,0,(COLUMN()-7)/5)-OFFSET('VVP2'!$G$45,0,(COLUMN()-7)/5))</f>
        <v>5.8981937319765532</v>
      </c>
      <c r="DE76" s="2847">
        <f ca="1">+DF76/DD76*100-100</f>
        <v>24.19429291186124</v>
      </c>
      <c r="DF76" s="2847">
        <f ca="1">+DF74</f>
        <v>7.3252199999999998</v>
      </c>
      <c r="DG76" s="1232"/>
      <c r="DH76" s="2847">
        <f ca="1">+DI76/DD76*100-100</f>
        <v>3.8622904867721957</v>
      </c>
      <c r="DI76" s="2847">
        <f ca="1">IF(UPPER($F$2)="Y",DI65-DI71,OFFSET('VVP2'!$G$29,0,(COLUMN()-7)/5)-OFFSET('VVP2'!$G$45,0,(COLUMN()-7)/5))</f>
        <v>6.1259991073780782</v>
      </c>
      <c r="DJ76" s="2847">
        <f ca="1">+DK76/DI76*100-100</f>
        <v>19.395871135385562</v>
      </c>
      <c r="DK76" s="2847">
        <f ca="1">+DK74</f>
        <v>7.31419</v>
      </c>
      <c r="DL76" s="1232"/>
      <c r="DM76" s="2847">
        <f ca="1">+DN76/DI76*100-100</f>
        <v>8.8241391790064228</v>
      </c>
      <c r="DN76" s="2847">
        <f ca="1">IF(UPPER($F$2)="Y",DN65-DN71,OFFSET('VVP2'!$G$29,0,(COLUMN()-7)/5)-OFFSET('VVP2'!$G$45,0,(COLUMN()-7)/5))</f>
        <v>6.666565794717811</v>
      </c>
      <c r="DO76" s="2847">
        <f ca="1">+DP76/DN76*100-100</f>
        <v>18.207638575230916</v>
      </c>
      <c r="DP76" s="2847">
        <f ca="1">+DP74</f>
        <v>7.8803900000000002</v>
      </c>
      <c r="DQ76" s="1232"/>
      <c r="DR76" s="2847">
        <f ca="1">+DS76/DN76*100-100</f>
        <v>6.4706280202409374</v>
      </c>
      <c r="DS76" s="2847">
        <f ca="1">IF(UPPER($F$2)="Y",DS65-DS71,OFFSET('VVP2'!$G$29,0,(COLUMN()-7)/5)-OFFSET('VVP2'!$G$45,0,(COLUMN()-7)/5))</f>
        <v>7.0979344690186199</v>
      </c>
      <c r="DT76" s="2847">
        <f ca="1">+DU76/DS76*100-100</f>
        <v>21.338375418120606</v>
      </c>
      <c r="DU76" s="2847">
        <f ca="1">+DU74</f>
        <v>8.6125183729499977</v>
      </c>
      <c r="DV76" s="1232"/>
      <c r="DW76" s="2847">
        <f ca="1">+DX76/DS76*100-100</f>
        <v>6.4457222455433225</v>
      </c>
      <c r="DX76" s="2847">
        <f ca="1">IF(UPPER($F$2)="Y",DX65-DX71,OFFSET('VVP2'!$G$29,0,(COLUMN()-7)/5)-OFFSET('VVP2'!$G$45,0,(COLUMN()-7)/5))</f>
        <v>7.5554476100622399</v>
      </c>
      <c r="DY76" s="2847">
        <f ca="1">+DZ76/DX76*100-100</f>
        <v>21.559983577763987</v>
      </c>
      <c r="DZ76" s="2847">
        <f ca="1">+DZ74</f>
        <v>9.1844008740182197</v>
      </c>
      <c r="EA76" s="1232"/>
      <c r="EB76"/>
      <c r="EC76"/>
      <c r="ED76"/>
      <c r="EE76"/>
      <c r="EF76"/>
      <c r="EG76"/>
      <c r="EH76"/>
      <c r="EI76"/>
      <c r="EJ76"/>
      <c r="EK76"/>
      <c r="EL76"/>
      <c r="EM76"/>
      <c r="EN76"/>
      <c r="EO76"/>
    </row>
    <row r="78" spans="1:150">
      <c r="DQ78" s="3265">
        <f ca="1">DQ103-DQ88</f>
        <v>-0.89140944532033473</v>
      </c>
      <c r="DR78">
        <f ca="1">DQ78/DP17</f>
        <v>-2.1336000208142955E-2</v>
      </c>
    </row>
    <row r="79" spans="1:150">
      <c r="B79" s="1"/>
      <c r="C79" s="774"/>
      <c r="D79" s="3752"/>
      <c r="E79" s="3763" t="s">
        <v>636</v>
      </c>
      <c r="F79" s="3752"/>
      <c r="G79" s="3754">
        <f>+InputY!$G$3</f>
        <v>1995</v>
      </c>
      <c r="H79" s="3755"/>
      <c r="I79" s="3755"/>
      <c r="J79" s="3755"/>
      <c r="K79" s="3756"/>
      <c r="L79" s="3754">
        <f>+G79+1</f>
        <v>1996</v>
      </c>
      <c r="M79" s="3755"/>
      <c r="N79" s="3755"/>
      <c r="O79" s="3755"/>
      <c r="P79" s="3756"/>
      <c r="Q79" s="3754">
        <f>+L79+1</f>
        <v>1997</v>
      </c>
      <c r="R79" s="3755"/>
      <c r="S79" s="3755"/>
      <c r="T79" s="3755"/>
      <c r="U79" s="3756"/>
      <c r="V79" s="3754">
        <f>+Q79+1</f>
        <v>1998</v>
      </c>
      <c r="W79" s="3755"/>
      <c r="X79" s="3755"/>
      <c r="Y79" s="3755"/>
      <c r="Z79" s="3756"/>
      <c r="AA79" s="3754">
        <f>+V79+1</f>
        <v>1999</v>
      </c>
      <c r="AB79" s="3755"/>
      <c r="AC79" s="3755"/>
      <c r="AD79" s="3755"/>
      <c r="AE79" s="3756"/>
      <c r="AF79" s="3754">
        <f>+AA79+1</f>
        <v>2000</v>
      </c>
      <c r="AG79" s="3755"/>
      <c r="AH79" s="3755"/>
      <c r="AI79" s="3755"/>
      <c r="AJ79" s="3756"/>
      <c r="AK79" s="3754">
        <f>+AF79+1</f>
        <v>2001</v>
      </c>
      <c r="AL79" s="3755"/>
      <c r="AM79" s="3755"/>
      <c r="AN79" s="3755"/>
      <c r="AO79" s="3756"/>
      <c r="AP79" s="3754">
        <f>+AK79+1</f>
        <v>2002</v>
      </c>
      <c r="AQ79" s="3755"/>
      <c r="AR79" s="3755"/>
      <c r="AS79" s="3755"/>
      <c r="AT79" s="3756"/>
      <c r="AU79" s="3754">
        <f>+AP79+1</f>
        <v>2003</v>
      </c>
      <c r="AV79" s="3755"/>
      <c r="AW79" s="3755"/>
      <c r="AX79" s="3755"/>
      <c r="AY79" s="3756"/>
      <c r="AZ79" s="3754">
        <f>+AU79+1</f>
        <v>2004</v>
      </c>
      <c r="BA79" s="3755"/>
      <c r="BB79" s="3755"/>
      <c r="BC79" s="3755"/>
      <c r="BD79" s="3756"/>
      <c r="BE79" s="3754">
        <f>+AZ79+1</f>
        <v>2005</v>
      </c>
      <c r="BF79" s="3755"/>
      <c r="BG79" s="3755"/>
      <c r="BH79" s="3755"/>
      <c r="BI79" s="3756"/>
      <c r="BJ79" s="3754">
        <f>+BE79+1</f>
        <v>2006</v>
      </c>
      <c r="BK79" s="3755"/>
      <c r="BL79" s="3755"/>
      <c r="BM79" s="3755"/>
      <c r="BN79" s="3756"/>
      <c r="BO79" s="3754">
        <f>+BJ79+1</f>
        <v>2007</v>
      </c>
      <c r="BP79" s="3755"/>
      <c r="BQ79" s="3755"/>
      <c r="BR79" s="3755"/>
      <c r="BS79" s="3756"/>
      <c r="BT79" s="3754">
        <f>+BO79+1</f>
        <v>2008</v>
      </c>
      <c r="BU79" s="3755"/>
      <c r="BV79" s="3755"/>
      <c r="BW79" s="3755"/>
      <c r="BX79" s="3756"/>
      <c r="BY79" s="3754">
        <f>+BT79+1</f>
        <v>2009</v>
      </c>
      <c r="BZ79" s="3755"/>
      <c r="CA79" s="3755"/>
      <c r="CB79" s="3755"/>
      <c r="CC79" s="3756"/>
      <c r="CD79" s="3754">
        <f>+BY79+1</f>
        <v>2010</v>
      </c>
      <c r="CE79" s="3755"/>
      <c r="CF79" s="3755"/>
      <c r="CG79" s="3755"/>
      <c r="CH79" s="3756"/>
      <c r="CI79" s="3754">
        <f>+CD79+1</f>
        <v>2011</v>
      </c>
      <c r="CJ79" s="3755"/>
      <c r="CK79" s="3755"/>
      <c r="CL79" s="3755"/>
      <c r="CM79" s="3756"/>
      <c r="CN79" s="3754">
        <f>+CI79+1</f>
        <v>2012</v>
      </c>
      <c r="CO79" s="3755"/>
      <c r="CP79" s="3755"/>
      <c r="CQ79" s="3755"/>
      <c r="CR79" s="3756"/>
      <c r="CS79" s="3754">
        <f>+CN79+1</f>
        <v>2013</v>
      </c>
      <c r="CT79" s="3755"/>
      <c r="CU79" s="3755"/>
      <c r="CV79" s="3755"/>
      <c r="CW79" s="3756"/>
      <c r="CX79" s="3754">
        <f>+CS79+1</f>
        <v>2014</v>
      </c>
      <c r="CY79" s="3755"/>
      <c r="CZ79" s="3755"/>
      <c r="DA79" s="3755"/>
      <c r="DB79" s="3756"/>
      <c r="DC79" s="3754">
        <f>+CX79+1</f>
        <v>2015</v>
      </c>
      <c r="DD79" s="3755"/>
      <c r="DE79" s="3755"/>
      <c r="DF79" s="3755"/>
      <c r="DG79" s="3756"/>
      <c r="DH79" s="3754">
        <f>+DC79+1</f>
        <v>2016</v>
      </c>
      <c r="DI79" s="3755"/>
      <c r="DJ79" s="3755"/>
      <c r="DK79" s="3755"/>
      <c r="DL79" s="3756"/>
      <c r="DM79" s="3754">
        <f>+DH79+1</f>
        <v>2017</v>
      </c>
      <c r="DN79" s="3755"/>
      <c r="DO79" s="3755"/>
      <c r="DP79" s="3755"/>
      <c r="DQ79" s="3756"/>
      <c r="DR79" s="3754">
        <f>+DM79+1</f>
        <v>2018</v>
      </c>
      <c r="DS79" s="3755"/>
      <c r="DT79" s="3755"/>
      <c r="DU79" s="3755"/>
      <c r="DV79" s="3756"/>
      <c r="DW79" s="3754">
        <f>+DR79+1</f>
        <v>2019</v>
      </c>
      <c r="DX79" s="3755"/>
      <c r="DY79" s="3755"/>
      <c r="DZ79" s="3755"/>
      <c r="EA79" s="3756"/>
    </row>
    <row r="80" spans="1:150">
      <c r="B80" s="1"/>
      <c r="C80" s="774"/>
      <c r="D80" s="3752"/>
      <c r="E80" s="3752"/>
      <c r="F80" s="3752"/>
      <c r="G80" s="1256" t="s">
        <v>1486</v>
      </c>
      <c r="H80" s="1253" t="s">
        <v>1732</v>
      </c>
      <c r="I80" s="1252" t="s">
        <v>2022</v>
      </c>
      <c r="J80" s="1253" t="s">
        <v>584</v>
      </c>
      <c r="K80" s="1252" t="s">
        <v>2023</v>
      </c>
      <c r="L80" s="1252" t="s">
        <v>1486</v>
      </c>
      <c r="M80" s="1253" t="s">
        <v>1732</v>
      </c>
      <c r="N80" s="1252" t="s">
        <v>2022</v>
      </c>
      <c r="O80" s="1253" t="s">
        <v>584</v>
      </c>
      <c r="P80" s="1252" t="s">
        <v>2023</v>
      </c>
      <c r="Q80" s="1252" t="s">
        <v>1486</v>
      </c>
      <c r="R80" s="1253" t="s">
        <v>1732</v>
      </c>
      <c r="S80" s="1252" t="s">
        <v>2022</v>
      </c>
      <c r="T80" s="1253" t="s">
        <v>584</v>
      </c>
      <c r="U80" s="1252" t="s">
        <v>2023</v>
      </c>
      <c r="V80" s="1252" t="s">
        <v>1486</v>
      </c>
      <c r="W80" s="1253" t="s">
        <v>1732</v>
      </c>
      <c r="X80" s="1252" t="s">
        <v>2022</v>
      </c>
      <c r="Y80" s="1253" t="s">
        <v>584</v>
      </c>
      <c r="Z80" s="1252" t="s">
        <v>2023</v>
      </c>
      <c r="AA80" s="1252" t="s">
        <v>1486</v>
      </c>
      <c r="AB80" s="1253" t="s">
        <v>1732</v>
      </c>
      <c r="AC80" s="1252" t="s">
        <v>2022</v>
      </c>
      <c r="AD80" s="1253" t="s">
        <v>584</v>
      </c>
      <c r="AE80" s="1252" t="s">
        <v>2023</v>
      </c>
      <c r="AF80" s="1252" t="s">
        <v>1486</v>
      </c>
      <c r="AG80" s="1253" t="s">
        <v>1732</v>
      </c>
      <c r="AH80" s="1252" t="s">
        <v>2022</v>
      </c>
      <c r="AI80" s="1253" t="s">
        <v>584</v>
      </c>
      <c r="AJ80" s="1252" t="s">
        <v>2023</v>
      </c>
      <c r="AK80" s="1252" t="s">
        <v>1486</v>
      </c>
      <c r="AL80" s="1253" t="s">
        <v>1732</v>
      </c>
      <c r="AM80" s="1252" t="s">
        <v>2022</v>
      </c>
      <c r="AN80" s="1253" t="s">
        <v>584</v>
      </c>
      <c r="AO80" s="1252" t="s">
        <v>2023</v>
      </c>
      <c r="AP80" s="1252" t="s">
        <v>1486</v>
      </c>
      <c r="AQ80" s="1253" t="s">
        <v>1732</v>
      </c>
      <c r="AR80" s="1252" t="s">
        <v>2022</v>
      </c>
      <c r="AS80" s="1253" t="s">
        <v>584</v>
      </c>
      <c r="AT80" s="1252" t="s">
        <v>2023</v>
      </c>
      <c r="AU80" s="1252" t="s">
        <v>1486</v>
      </c>
      <c r="AV80" s="1253" t="s">
        <v>1732</v>
      </c>
      <c r="AW80" s="1252" t="s">
        <v>2022</v>
      </c>
      <c r="AX80" s="1253" t="s">
        <v>584</v>
      </c>
      <c r="AY80" s="1252" t="s">
        <v>2023</v>
      </c>
      <c r="AZ80" s="1252" t="s">
        <v>1486</v>
      </c>
      <c r="BA80" s="1253" t="s">
        <v>1732</v>
      </c>
      <c r="BB80" s="1252" t="s">
        <v>2022</v>
      </c>
      <c r="BC80" s="1253" t="s">
        <v>584</v>
      </c>
      <c r="BD80" s="1252" t="s">
        <v>2023</v>
      </c>
      <c r="BE80" s="1252" t="s">
        <v>1486</v>
      </c>
      <c r="BF80" s="1253" t="s">
        <v>1732</v>
      </c>
      <c r="BG80" s="1252" t="s">
        <v>2022</v>
      </c>
      <c r="BH80" s="1253" t="s">
        <v>584</v>
      </c>
      <c r="BI80" s="1252" t="s">
        <v>2023</v>
      </c>
      <c r="BJ80" s="1252" t="s">
        <v>1486</v>
      </c>
      <c r="BK80" s="1253" t="s">
        <v>1732</v>
      </c>
      <c r="BL80" s="1252" t="s">
        <v>2022</v>
      </c>
      <c r="BM80" s="1253" t="s">
        <v>584</v>
      </c>
      <c r="BN80" s="1252" t="s">
        <v>2023</v>
      </c>
      <c r="BO80" s="1252" t="s">
        <v>1486</v>
      </c>
      <c r="BP80" s="1253" t="s">
        <v>1732</v>
      </c>
      <c r="BQ80" s="1252" t="s">
        <v>2022</v>
      </c>
      <c r="BR80" s="1253" t="s">
        <v>584</v>
      </c>
      <c r="BS80" s="1252" t="s">
        <v>2023</v>
      </c>
      <c r="BT80" s="1252" t="s">
        <v>1486</v>
      </c>
      <c r="BU80" s="1253" t="s">
        <v>1732</v>
      </c>
      <c r="BV80" s="1252" t="s">
        <v>2022</v>
      </c>
      <c r="BW80" s="1253" t="s">
        <v>584</v>
      </c>
      <c r="BX80" s="1252" t="s">
        <v>2023</v>
      </c>
      <c r="BY80" s="1252" t="s">
        <v>1486</v>
      </c>
      <c r="BZ80" s="1253" t="s">
        <v>1732</v>
      </c>
      <c r="CA80" s="1252" t="s">
        <v>2022</v>
      </c>
      <c r="CB80" s="1253" t="s">
        <v>584</v>
      </c>
      <c r="CC80" s="1252" t="s">
        <v>2023</v>
      </c>
      <c r="CD80" s="1252" t="s">
        <v>1486</v>
      </c>
      <c r="CE80" s="1253" t="s">
        <v>1732</v>
      </c>
      <c r="CF80" s="1252" t="s">
        <v>2022</v>
      </c>
      <c r="CG80" s="1253" t="s">
        <v>584</v>
      </c>
      <c r="CH80" s="1252" t="s">
        <v>2023</v>
      </c>
      <c r="CI80" s="1252" t="s">
        <v>1486</v>
      </c>
      <c r="CJ80" s="1253" t="s">
        <v>1732</v>
      </c>
      <c r="CK80" s="1252" t="s">
        <v>2022</v>
      </c>
      <c r="CL80" s="1253" t="s">
        <v>584</v>
      </c>
      <c r="CM80" s="1252" t="s">
        <v>2023</v>
      </c>
      <c r="CN80" s="1252" t="s">
        <v>1486</v>
      </c>
      <c r="CO80" s="1253" t="s">
        <v>1732</v>
      </c>
      <c r="CP80" s="1252" t="s">
        <v>2022</v>
      </c>
      <c r="CQ80" s="1253" t="s">
        <v>584</v>
      </c>
      <c r="CR80" s="1252" t="s">
        <v>2023</v>
      </c>
      <c r="CS80" s="1252" t="s">
        <v>1486</v>
      </c>
      <c r="CT80" s="1253" t="s">
        <v>1732</v>
      </c>
      <c r="CU80" s="1252" t="s">
        <v>2022</v>
      </c>
      <c r="CV80" s="1253" t="s">
        <v>584</v>
      </c>
      <c r="CW80" s="1252" t="s">
        <v>2023</v>
      </c>
      <c r="CX80" s="1252" t="s">
        <v>1486</v>
      </c>
      <c r="CY80" s="1253" t="s">
        <v>1732</v>
      </c>
      <c r="CZ80" s="1252" t="s">
        <v>2022</v>
      </c>
      <c r="DA80" s="1253" t="s">
        <v>584</v>
      </c>
      <c r="DB80" s="1252" t="s">
        <v>2023</v>
      </c>
      <c r="DC80" s="1252" t="s">
        <v>1486</v>
      </c>
      <c r="DD80" s="1253" t="s">
        <v>1732</v>
      </c>
      <c r="DE80" s="1252" t="s">
        <v>2022</v>
      </c>
      <c r="DF80" s="1253" t="s">
        <v>584</v>
      </c>
      <c r="DG80" s="1252" t="s">
        <v>2023</v>
      </c>
      <c r="DH80" s="1252" t="s">
        <v>1486</v>
      </c>
      <c r="DI80" s="1253" t="s">
        <v>1732</v>
      </c>
      <c r="DJ80" s="1252" t="s">
        <v>2022</v>
      </c>
      <c r="DK80" s="1253" t="s">
        <v>584</v>
      </c>
      <c r="DL80" s="1252" t="s">
        <v>2023</v>
      </c>
      <c r="DM80" s="1252" t="s">
        <v>1486</v>
      </c>
      <c r="DN80" s="1253" t="s">
        <v>1732</v>
      </c>
      <c r="DO80" s="1252" t="s">
        <v>2022</v>
      </c>
      <c r="DP80" s="1253" t="s">
        <v>584</v>
      </c>
      <c r="DQ80" s="1252" t="s">
        <v>2023</v>
      </c>
      <c r="DR80" s="1252" t="s">
        <v>1486</v>
      </c>
      <c r="DS80" s="1253" t="s">
        <v>1732</v>
      </c>
      <c r="DT80" s="1252" t="s">
        <v>2022</v>
      </c>
      <c r="DU80" s="1253" t="s">
        <v>584</v>
      </c>
      <c r="DV80" s="1252" t="s">
        <v>2023</v>
      </c>
      <c r="DW80" s="1252" t="s">
        <v>1486</v>
      </c>
      <c r="DX80" s="1253" t="s">
        <v>1732</v>
      </c>
      <c r="DY80" s="1252" t="s">
        <v>2022</v>
      </c>
      <c r="DZ80" s="1253" t="s">
        <v>584</v>
      </c>
      <c r="EA80" s="1252" t="s">
        <v>2023</v>
      </c>
    </row>
    <row r="81" spans="1:145">
      <c r="B81" s="1"/>
      <c r="C81" s="1082"/>
      <c r="D81" s="1086"/>
      <c r="E81" s="1087" t="s">
        <v>1449</v>
      </c>
      <c r="F81" s="1089" t="s">
        <v>1992</v>
      </c>
      <c r="G81" s="1376"/>
      <c r="H81" s="1377"/>
      <c r="I81" s="1378"/>
      <c r="J81" s="1349">
        <f ca="1">OFFSET('VVP2'!$G$260,0,(COLUMN()-6)/5)</f>
        <v>0.18446000000000001</v>
      </c>
      <c r="K81" s="1379"/>
      <c r="L81" s="1355">
        <f ca="1">+L11</f>
        <v>61.091807269466472</v>
      </c>
      <c r="M81" s="1349">
        <f ca="1">+J81*(1+L81/100)</f>
        <v>0.2971499476892579</v>
      </c>
      <c r="N81" s="1356">
        <f ca="1">+O81/M81*100-100</f>
        <v>-84.290759475813459</v>
      </c>
      <c r="O81" s="1349">
        <f ca="1">OFFSET('VVP2'!$G$260,0,(COLUMN()-6)/5)</f>
        <v>4.6679999999999999E-2</v>
      </c>
      <c r="P81" s="1357">
        <f ca="1">(O81/J81-1)*100</f>
        <v>-74.693700531280498</v>
      </c>
      <c r="Q81" s="1355">
        <f ca="1">+Q11</f>
        <v>801.56982740201079</v>
      </c>
      <c r="R81" s="1349">
        <f ca="1">+O81*(1+Q81/100)</f>
        <v>0.42085279543125864</v>
      </c>
      <c r="S81" s="1356">
        <f ca="1">+T81/R81*100-100</f>
        <v>-38.586602535181122</v>
      </c>
      <c r="T81" s="1349">
        <f ca="1">OFFSET('VVP2'!$G$260,0,(COLUMN()-6)/5)</f>
        <v>0.25845999999999997</v>
      </c>
      <c r="U81" s="1357">
        <f ca="1">(T81/O81-1)*100</f>
        <v>453.68466152527844</v>
      </c>
      <c r="V81" s="1355">
        <f ca="1">+V11</f>
        <v>7.4233111197303145</v>
      </c>
      <c r="W81" s="1349">
        <f ca="1">+T81*(1+V81/100)</f>
        <v>0.27764628992005491</v>
      </c>
      <c r="X81" s="1356">
        <f ca="1">+Y81/W81*100-100</f>
        <v>-78.807568429262176</v>
      </c>
      <c r="Y81" s="1349">
        <f ca="1">OFFSET('VVP2'!$G$260,0,(COLUMN()-6)/5)</f>
        <v>5.8840000000000003E-2</v>
      </c>
      <c r="Z81" s="1357">
        <f ca="1">(Y81/T81-1)*100</f>
        <v>-77.234388299930359</v>
      </c>
      <c r="AA81" s="1355">
        <f ca="1">+AA11</f>
        <v>-239.0373049581379</v>
      </c>
      <c r="AB81" s="1349">
        <f ca="1">+Y81*(1+AA81/100)</f>
        <v>-8.1809550237368342E-2</v>
      </c>
      <c r="AC81" s="1356">
        <f ca="1">+AD81/AB81*100-100</f>
        <v>-5.6833832038897611</v>
      </c>
      <c r="AD81" s="1349">
        <f ca="1">OFFSET('VVP2'!$G$260,0,(COLUMN()-6)/5)</f>
        <v>-7.7159999999999992E-2</v>
      </c>
      <c r="AE81" s="1357">
        <f ca="1">(AD81/Y81-1)*100</f>
        <v>-231.13528212100613</v>
      </c>
      <c r="AF81" s="1355">
        <f ca="1">+AF11</f>
        <v>66.813099167635727</v>
      </c>
      <c r="AG81" s="1349">
        <f ca="1">+AD81*(1+AF81/100)</f>
        <v>-0.12871298731774772</v>
      </c>
      <c r="AH81" s="1356">
        <f ca="1">+AI81/AG81*100-100</f>
        <v>-61.946341996487611</v>
      </c>
      <c r="AI81" s="1349">
        <f ca="1">OFFSET('VVP2'!$G$260,0,(COLUMN()-6)/5)</f>
        <v>-4.8979999999999996E-2</v>
      </c>
      <c r="AJ81" s="1357">
        <f ca="1">(AI81/AD81-1)*100</f>
        <v>-36.521513737687918</v>
      </c>
      <c r="AK81" s="1355">
        <f ca="1">+AK11</f>
        <v>-177.43549770457992</v>
      </c>
      <c r="AL81" s="1349">
        <f ca="1">+AI81*(1+AK81/100)</f>
        <v>3.7927906775703242E-2</v>
      </c>
      <c r="AM81" s="1356">
        <f ca="1">+AN81/AL81*100-100</f>
        <v>-659.66705796688188</v>
      </c>
      <c r="AN81" s="1349">
        <f ca="1">OFFSET('VVP2'!$G$260,0,(COLUMN()-6)/5)</f>
        <v>-0.21227000000000001</v>
      </c>
      <c r="AO81" s="1357">
        <f ca="1">(AN81/AI81-1)*100</f>
        <v>333.38097182523489</v>
      </c>
      <c r="AP81" s="1355">
        <f ca="1">+AP11</f>
        <v>-75.242494485879064</v>
      </c>
      <c r="AQ81" s="1349">
        <f ca="1">+AN81*(1+AP81/100)</f>
        <v>-5.2552756954824517E-2</v>
      </c>
      <c r="AR81" s="1356">
        <f ca="1">+AS81/AQ81*100-100</f>
        <v>-82.41766838618399</v>
      </c>
      <c r="AS81" s="1349">
        <f ca="1">OFFSET('VVP2'!$G$260,0,(COLUMN()-6)/5)</f>
        <v>-9.2399999999999999E-3</v>
      </c>
      <c r="AT81" s="1357">
        <f ca="1">(AS81/AN81-1)*100</f>
        <v>-95.647053281198467</v>
      </c>
      <c r="AU81" s="1355">
        <f ca="1">+AU11</f>
        <v>-665.65169636188693</v>
      </c>
      <c r="AV81" s="1349">
        <f ca="1">+AS81*(1+AU81/100)</f>
        <v>5.2266216743838349E-2</v>
      </c>
      <c r="AW81" s="1356">
        <f ca="1">+AX81/AV81*100-100</f>
        <v>-16.523516110158226</v>
      </c>
      <c r="AX81" s="1349">
        <f ca="1">OFFSET('VVP2'!$G$260,0,(COLUMN()-6)/5)</f>
        <v>4.3630000000000002E-2</v>
      </c>
      <c r="AY81" s="1357">
        <f ca="1">(AX81/AS81-1)*100</f>
        <v>-572.1861471861472</v>
      </c>
      <c r="AZ81" s="1355">
        <f ca="1">+AZ11</f>
        <v>839.12534447623875</v>
      </c>
      <c r="BA81" s="1349">
        <f ca="1">+AX81*(1+AZ81/100)</f>
        <v>0.40974038779498301</v>
      </c>
      <c r="BB81" s="1356">
        <f ca="1">+BC81/BA81*100-100</f>
        <v>-109.61828542509193</v>
      </c>
      <c r="BC81" s="1349">
        <f ca="1">OFFSET('VVP2'!$G$260,0,(COLUMN()-6)/5)</f>
        <v>-3.9409999999999994E-2</v>
      </c>
      <c r="BD81" s="1357">
        <f ca="1">(BC81/AX81-1)*100</f>
        <v>-190.32775613110243</v>
      </c>
      <c r="BE81" s="1355">
        <f ca="1">+BE11</f>
        <v>837.22794536239462</v>
      </c>
      <c r="BF81" s="1349">
        <f ca="1">+BC81*(1+BE81/100)</f>
        <v>-0.36936153326731969</v>
      </c>
      <c r="BG81" s="1356">
        <f ca="1">+BH81/BF81*100-100</f>
        <v>-138.02778236204261</v>
      </c>
      <c r="BH81" s="1349">
        <f ca="1">OFFSET('VVP2'!$G$260,0,(COLUMN()-6)/5)</f>
        <v>0.14046</v>
      </c>
      <c r="BI81" s="1357">
        <f ca="1">(BH81/BC81-1)*100</f>
        <v>-456.40700329865524</v>
      </c>
      <c r="BJ81" s="1355">
        <f ca="1">+BJ11</f>
        <v>-231.54230557867908</v>
      </c>
      <c r="BK81" s="1349">
        <f ca="1">+BH81*(1+BJ81/100)</f>
        <v>-0.18476432241581264</v>
      </c>
      <c r="BL81" s="1356">
        <f ca="1">+BM81/BK81*100-100</f>
        <v>-204.10018421583484</v>
      </c>
      <c r="BM81" s="1349">
        <f ca="1">OFFSET('VVP2'!$G$260,0,(COLUMN()-6)/5)</f>
        <v>0.19234000000000001</v>
      </c>
      <c r="BN81" s="1357">
        <f ca="1">(BM81/BH81-1)*100</f>
        <v>36.935782429161335</v>
      </c>
      <c r="BO81" s="1355">
        <f ca="1">+BO11</f>
        <v>287.84072115639458</v>
      </c>
      <c r="BP81" s="1349">
        <f ca="1">+BM81*(1+BO81/100)</f>
        <v>0.74597284307220935</v>
      </c>
      <c r="BQ81" s="1356">
        <f ca="1">+BR81/BP81*100-100</f>
        <v>37.549243183464853</v>
      </c>
      <c r="BR81" s="1349">
        <f ca="1">OFFSET('VVP2'!$G$260,0,(COLUMN()-6)/5)</f>
        <v>1.0260799999999999</v>
      </c>
      <c r="BS81" s="1357">
        <f ca="1">(BR81/BM81-1)*100</f>
        <v>433.47197670791297</v>
      </c>
      <c r="BT81" s="1355">
        <f ca="1">+BT11</f>
        <v>62.667606319817196</v>
      </c>
      <c r="BU81" s="1349">
        <f ca="1">+BR81*(1+BT81/100)</f>
        <v>1.6690997749263798</v>
      </c>
      <c r="BV81" s="1356">
        <f ca="1">+BW81/BU81*100-100</f>
        <v>-63.768493107209615</v>
      </c>
      <c r="BW81" s="1349">
        <f ca="1">OFFSET('VVP2'!$G$260,0,(COLUMN()-6)/5)</f>
        <v>0.60474000000000006</v>
      </c>
      <c r="BX81" s="1357">
        <f ca="1">(BW81/BR81-1)*100</f>
        <v>-41.063075003898319</v>
      </c>
      <c r="BY81" s="1355">
        <f ca="1">+BY11</f>
        <v>-274.97654040287534</v>
      </c>
      <c r="BZ81" s="1349">
        <f ca="1">+BW81*(1+BY81/100)</f>
        <v>-1.0581531304323486</v>
      </c>
      <c r="CA81" s="1356">
        <f ca="1">+CB81/BZ81*100-100</f>
        <v>39.712292813040762</v>
      </c>
      <c r="CB81" s="1349">
        <f ca="1">OFFSET('VVP2'!$G$260,0,(COLUMN()-6)/5)</f>
        <v>-1.47837</v>
      </c>
      <c r="CC81" s="1357">
        <f ca="1">(CB81/BW81-1)*100</f>
        <v>-344.46373648179377</v>
      </c>
      <c r="CD81" s="1355">
        <f ca="1">+CD11</f>
        <v>-82.061497225955165</v>
      </c>
      <c r="CE81" s="1349">
        <f ca="1">+CB81*(1+CD81/100)</f>
        <v>-0.26519744346064672</v>
      </c>
      <c r="CF81" s="1356">
        <f ca="1">+CG81/CE81*100-100</f>
        <v>-220.15575860831601</v>
      </c>
      <c r="CG81" s="1349">
        <f ca="1">OFFSET('VVP2'!$G$260,0,(COLUMN()-6)/5)</f>
        <v>0.31864999999999999</v>
      </c>
      <c r="CH81" s="1357">
        <f ca="1">(CG81/CB81-1)*100</f>
        <v>-121.5541440911274</v>
      </c>
      <c r="CI81" s="1355">
        <f ca="1">+CI11</f>
        <v>-18.123332810291359</v>
      </c>
      <c r="CJ81" s="1349">
        <f ca="1">+CG81*(1+CI81/100)</f>
        <v>0.26090000000000657</v>
      </c>
      <c r="CK81" s="1356">
        <f ca="1">+CL81/CJ81*100-100</f>
        <v>287.38980452279594</v>
      </c>
      <c r="CL81" s="1349">
        <f ca="1">OFFSET('VVP2'!$G$260,0,(COLUMN()-6)/5)</f>
        <v>1.0107000000000002</v>
      </c>
      <c r="CM81" s="1357">
        <f ca="1">(CL81/CG81-1)*100</f>
        <v>217.18186097599252</v>
      </c>
      <c r="CN81" s="1355">
        <f ca="1">+CN11</f>
        <v>-66.586867124364332</v>
      </c>
      <c r="CO81" s="1349">
        <f ca="1">+CL81*(1+CN81/100)</f>
        <v>0.33770653397404971</v>
      </c>
      <c r="CP81" s="1356">
        <f ca="1">+CQ81/CO81*100-100</f>
        <v>99.232153456557484</v>
      </c>
      <c r="CQ81" s="1349">
        <f ca="1">OFFSET('VVP2'!$G$260,0,(COLUMN()-6)/5)</f>
        <v>0.67282000000000008</v>
      </c>
      <c r="CR81" s="1357">
        <f ca="1">(CQ81/CL81-1)*100</f>
        <v>-33.430295834570103</v>
      </c>
      <c r="CS81" s="1355">
        <f ca="1">+CS11</f>
        <v>-71.518844666527315</v>
      </c>
      <c r="CT81" s="1349">
        <f ca="1">+CQ81*(1+CS81/100)</f>
        <v>0.19162690931467094</v>
      </c>
      <c r="CU81" s="1356">
        <f ca="1">+CV81/CT81*100-100</f>
        <v>82.046457487425613</v>
      </c>
      <c r="CV81" s="1349">
        <f ca="1">OFFSET('VVP2'!$G$260,0,(COLUMN()-6)/5)</f>
        <v>0.34885000000000005</v>
      </c>
      <c r="CW81" s="1357">
        <f ca="1">(CV81/CQ81-1)*100</f>
        <v>-48.151065663921997</v>
      </c>
      <c r="CX81" s="1355">
        <f ca="1">+CX11</f>
        <v>-23.923386213797215</v>
      </c>
      <c r="CY81" s="1349">
        <f ca="1">+CV81*(1+CX81/100)</f>
        <v>0.26539326719316847</v>
      </c>
      <c r="CZ81" s="1356">
        <f ca="1">+DA81/CY81*100-100</f>
        <v>-79.984420644199616</v>
      </c>
      <c r="DA81" s="1349">
        <f ca="1">OFFSET('VVP2'!$G$260,0,(COLUMN()-6)/5)</f>
        <v>5.3120000000000001E-2</v>
      </c>
      <c r="DB81" s="1357">
        <f ca="1">(DA81/CV81-1)*100</f>
        <v>-84.772824996416801</v>
      </c>
      <c r="DC81" s="1355">
        <f ca="1">+DC11</f>
        <v>2625.084372878237</v>
      </c>
      <c r="DD81" s="3204">
        <f ca="1">+DA81*(1+DC81/100)</f>
        <v>1.4475648188729195</v>
      </c>
      <c r="DE81" s="1356">
        <f ca="1">+DF81/DD81*100-100</f>
        <v>-73.854711370045692</v>
      </c>
      <c r="DF81" s="3205">
        <f ca="1">OFFSET('VVP2'!$G$260,0,(COLUMN()-6)/5)</f>
        <v>0.37847000000000003</v>
      </c>
      <c r="DG81" s="1357">
        <f ca="1">(DF81/DA81-1)*100</f>
        <v>612.48117469879526</v>
      </c>
      <c r="DH81" s="1355">
        <f ca="1">+DH11</f>
        <v>-79.899694976144815</v>
      </c>
      <c r="DI81" s="3204">
        <f ca="1">+DF81*(1+DH81/100)</f>
        <v>7.6073624423784708E-2</v>
      </c>
      <c r="DJ81" s="1356">
        <f ca="1">+DK81/DI81*100-100</f>
        <v>-949.15107554416966</v>
      </c>
      <c r="DK81" s="3205">
        <f ca="1">OFFSET('VVP2'!$G$260,0,(COLUMN()-6)/5)</f>
        <v>-0.64598</v>
      </c>
      <c r="DL81" s="1357">
        <f ca="1">(DK81/DF81-1)*100</f>
        <v>-270.68195629772504</v>
      </c>
      <c r="DM81" s="2239">
        <v>0</v>
      </c>
      <c r="DN81">
        <f ca="1">+DK81*(1+DM81/100)</f>
        <v>-0.64598</v>
      </c>
      <c r="DO81" s="2239">
        <v>0</v>
      </c>
      <c r="DP81">
        <f ca="1">+DN81*(1+DO81/100)</f>
        <v>-0.64598</v>
      </c>
      <c r="DQ81" s="2251">
        <f ca="1">(DP81/DK81-1)*100</f>
        <v>0</v>
      </c>
      <c r="DR81" s="2239">
        <v>0</v>
      </c>
      <c r="DS81">
        <f ca="1">+DP81*(1+DR81/100)</f>
        <v>-0.64598</v>
      </c>
      <c r="DT81" s="2239">
        <v>0</v>
      </c>
      <c r="DU81">
        <f ca="1">+DS81*(1+DT81/100)</f>
        <v>-0.64598</v>
      </c>
      <c r="DV81" s="2251">
        <f ca="1">(DU81/DP81-1)*100</f>
        <v>0</v>
      </c>
      <c r="DW81" s="2239">
        <v>0</v>
      </c>
      <c r="DX81" s="3650">
        <f ca="1">+DU81*(1+DW81/100)</f>
        <v>-0.64598</v>
      </c>
      <c r="DY81" s="2239">
        <v>0</v>
      </c>
      <c r="DZ81" s="3650">
        <f ca="1">+DX81*(1+DY81/100)</f>
        <v>-0.64598</v>
      </c>
      <c r="EA81" s="2251">
        <f ca="1">(DZ81/DU81-1)*100</f>
        <v>0</v>
      </c>
    </row>
    <row r="84" spans="1:145">
      <c r="B84" s="1"/>
      <c r="C84" s="774"/>
      <c r="D84" s="3752"/>
      <c r="E84" s="3752" t="s">
        <v>1588</v>
      </c>
      <c r="F84" s="3752"/>
      <c r="G84" s="3754">
        <f>+InputY!$G$3</f>
        <v>1995</v>
      </c>
      <c r="H84" s="3755"/>
      <c r="I84" s="3755"/>
      <c r="J84" s="3755"/>
      <c r="K84" s="3756"/>
      <c r="L84" s="3754">
        <f>+G84+1</f>
        <v>1996</v>
      </c>
      <c r="M84" s="3755"/>
      <c r="N84" s="3755"/>
      <c r="O84" s="3755"/>
      <c r="P84" s="3756"/>
      <c r="Q84" s="3754">
        <f>+L84+1</f>
        <v>1997</v>
      </c>
      <c r="R84" s="3755"/>
      <c r="S84" s="3755"/>
      <c r="T84" s="3755"/>
      <c r="U84" s="3756"/>
      <c r="V84" s="3754">
        <f>+Q84+1</f>
        <v>1998</v>
      </c>
      <c r="W84" s="3755"/>
      <c r="X84" s="3755"/>
      <c r="Y84" s="3755"/>
      <c r="Z84" s="3756"/>
      <c r="AA84" s="3754">
        <f>+V84+1</f>
        <v>1999</v>
      </c>
      <c r="AB84" s="3755"/>
      <c r="AC84" s="3755"/>
      <c r="AD84" s="3755"/>
      <c r="AE84" s="3756"/>
      <c r="AF84" s="3754">
        <f>+AA84+1</f>
        <v>2000</v>
      </c>
      <c r="AG84" s="3755"/>
      <c r="AH84" s="3755"/>
      <c r="AI84" s="3755"/>
      <c r="AJ84" s="3756"/>
      <c r="AK84" s="3754">
        <f>+AF84+1</f>
        <v>2001</v>
      </c>
      <c r="AL84" s="3755"/>
      <c r="AM84" s="3755"/>
      <c r="AN84" s="3755"/>
      <c r="AO84" s="3756"/>
      <c r="AP84" s="3754">
        <f>+AK84+1</f>
        <v>2002</v>
      </c>
      <c r="AQ84" s="3755"/>
      <c r="AR84" s="3755"/>
      <c r="AS84" s="3755"/>
      <c r="AT84" s="3756"/>
      <c r="AU84" s="3754">
        <f>+AP84+1</f>
        <v>2003</v>
      </c>
      <c r="AV84" s="3755"/>
      <c r="AW84" s="3755"/>
      <c r="AX84" s="3755"/>
      <c r="AY84" s="3756"/>
      <c r="AZ84" s="3754">
        <f>+AU84+1</f>
        <v>2004</v>
      </c>
      <c r="BA84" s="3755"/>
      <c r="BB84" s="3755"/>
      <c r="BC84" s="3755"/>
      <c r="BD84" s="3756"/>
      <c r="BE84" s="3754">
        <f>+AZ84+1</f>
        <v>2005</v>
      </c>
      <c r="BF84" s="3755"/>
      <c r="BG84" s="3755"/>
      <c r="BH84" s="3755"/>
      <c r="BI84" s="3756"/>
      <c r="BJ84" s="3754">
        <f>+BE84+1</f>
        <v>2006</v>
      </c>
      <c r="BK84" s="3755"/>
      <c r="BL84" s="3755"/>
      <c r="BM84" s="3755"/>
      <c r="BN84" s="3756"/>
      <c r="BO84" s="3754">
        <f>+BJ84+1</f>
        <v>2007</v>
      </c>
      <c r="BP84" s="3755"/>
      <c r="BQ84" s="3755"/>
      <c r="BR84" s="3755"/>
      <c r="BS84" s="3756"/>
      <c r="BT84" s="3754">
        <f>+BO84+1</f>
        <v>2008</v>
      </c>
      <c r="BU84" s="3755"/>
      <c r="BV84" s="3755"/>
      <c r="BW84" s="3755"/>
      <c r="BX84" s="3756"/>
      <c r="BY84" s="3754">
        <f>+BT84+1</f>
        <v>2009</v>
      </c>
      <c r="BZ84" s="3755"/>
      <c r="CA84" s="3755"/>
      <c r="CB84" s="3755"/>
      <c r="CC84" s="3756"/>
      <c r="CD84" s="3754">
        <f>+BY84+1</f>
        <v>2010</v>
      </c>
      <c r="CE84" s="3755"/>
      <c r="CF84" s="3755"/>
      <c r="CG84" s="3755"/>
      <c r="CH84" s="3756"/>
      <c r="CI84" s="3754">
        <f>+CD84+1</f>
        <v>2011</v>
      </c>
      <c r="CJ84" s="3755"/>
      <c r="CK84" s="3755"/>
      <c r="CL84" s="3755"/>
      <c r="CM84" s="3756"/>
      <c r="CN84" s="3754">
        <f>+CI84+1</f>
        <v>2012</v>
      </c>
      <c r="CO84" s="3755"/>
      <c r="CP84" s="3755"/>
      <c r="CQ84" s="3755"/>
      <c r="CR84" s="3756"/>
      <c r="CS84" s="3754">
        <f>+CN84+1</f>
        <v>2013</v>
      </c>
      <c r="CT84" s="3755"/>
      <c r="CU84" s="3755"/>
      <c r="CV84" s="3755"/>
      <c r="CW84" s="3756"/>
      <c r="CX84" s="3754">
        <f>+CS84+1</f>
        <v>2014</v>
      </c>
      <c r="CY84" s="3755"/>
      <c r="CZ84" s="3755"/>
      <c r="DA84" s="3755"/>
      <c r="DB84" s="3756"/>
      <c r="DC84" s="3754">
        <f>+CX84+1</f>
        <v>2015</v>
      </c>
      <c r="DD84" s="3755"/>
      <c r="DE84" s="3755"/>
      <c r="DF84" s="3755"/>
      <c r="DG84" s="3756"/>
      <c r="DH84" s="3754">
        <f>+DC84+1</f>
        <v>2016</v>
      </c>
      <c r="DI84" s="3755"/>
      <c r="DJ84" s="3755"/>
      <c r="DK84" s="3755"/>
      <c r="DL84" s="3756"/>
      <c r="DM84" s="3754">
        <f>+DH84+1</f>
        <v>2017</v>
      </c>
      <c r="DN84" s="3755"/>
      <c r="DO84" s="3755"/>
      <c r="DP84" s="3755"/>
      <c r="DQ84" s="3756"/>
      <c r="DR84" s="3754">
        <f>+DM84+1</f>
        <v>2018</v>
      </c>
      <c r="DS84" s="3755"/>
      <c r="DT84" s="3755"/>
      <c r="DU84" s="3755"/>
      <c r="DV84" s="3756"/>
      <c r="DW84" s="3754">
        <f>+DR84+1</f>
        <v>2019</v>
      </c>
      <c r="DX84" s="3755"/>
      <c r="DY84" s="3755"/>
      <c r="DZ84" s="3755"/>
      <c r="EA84" s="3756"/>
    </row>
    <row r="85" spans="1:145" ht="12.75" customHeight="1">
      <c r="B85" s="1"/>
      <c r="C85" s="774"/>
      <c r="D85" s="3752"/>
      <c r="E85" s="3752"/>
      <c r="F85" s="3752"/>
      <c r="G85" s="1252" t="s">
        <v>1486</v>
      </c>
      <c r="H85" s="1253" t="s">
        <v>1732</v>
      </c>
      <c r="I85" s="1252" t="s">
        <v>2022</v>
      </c>
      <c r="J85" s="1253" t="s">
        <v>584</v>
      </c>
      <c r="K85" s="1252" t="s">
        <v>2023</v>
      </c>
      <c r="L85" s="1252" t="s">
        <v>1486</v>
      </c>
      <c r="M85" s="1253" t="s">
        <v>1732</v>
      </c>
      <c r="N85" s="1252" t="s">
        <v>2022</v>
      </c>
      <c r="O85" s="1253" t="s">
        <v>584</v>
      </c>
      <c r="P85" s="1252" t="s">
        <v>2023</v>
      </c>
      <c r="Q85" s="1252" t="s">
        <v>1486</v>
      </c>
      <c r="R85" s="1253" t="s">
        <v>1732</v>
      </c>
      <c r="S85" s="1252" t="s">
        <v>2022</v>
      </c>
      <c r="T85" s="1253" t="s">
        <v>584</v>
      </c>
      <c r="U85" s="1252" t="s">
        <v>2023</v>
      </c>
      <c r="V85" s="1252" t="s">
        <v>1486</v>
      </c>
      <c r="W85" s="1253" t="s">
        <v>1732</v>
      </c>
      <c r="X85" s="1252" t="s">
        <v>2022</v>
      </c>
      <c r="Y85" s="1253" t="s">
        <v>584</v>
      </c>
      <c r="Z85" s="1252" t="s">
        <v>2023</v>
      </c>
      <c r="AA85" s="1252" t="s">
        <v>1486</v>
      </c>
      <c r="AB85" s="1253" t="s">
        <v>1732</v>
      </c>
      <c r="AC85" s="1252" t="s">
        <v>2022</v>
      </c>
      <c r="AD85" s="1253" t="s">
        <v>584</v>
      </c>
      <c r="AE85" s="1252" t="s">
        <v>2023</v>
      </c>
      <c r="AF85" s="1252" t="s">
        <v>1486</v>
      </c>
      <c r="AG85" s="1253" t="s">
        <v>1732</v>
      </c>
      <c r="AH85" s="1252" t="s">
        <v>2022</v>
      </c>
      <c r="AI85" s="1253" t="s">
        <v>584</v>
      </c>
      <c r="AJ85" s="1252" t="s">
        <v>2023</v>
      </c>
      <c r="AK85" s="1252" t="s">
        <v>1486</v>
      </c>
      <c r="AL85" s="1253" t="s">
        <v>1732</v>
      </c>
      <c r="AM85" s="1252" t="s">
        <v>2022</v>
      </c>
      <c r="AN85" s="1253" t="s">
        <v>584</v>
      </c>
      <c r="AO85" s="1252" t="s">
        <v>2023</v>
      </c>
      <c r="AP85" s="1252" t="s">
        <v>1486</v>
      </c>
      <c r="AQ85" s="1253" t="s">
        <v>1732</v>
      </c>
      <c r="AR85" s="1252" t="s">
        <v>2022</v>
      </c>
      <c r="AS85" s="1253" t="s">
        <v>584</v>
      </c>
      <c r="AT85" s="1252" t="s">
        <v>2023</v>
      </c>
      <c r="AU85" s="1252" t="s">
        <v>1486</v>
      </c>
      <c r="AV85" s="1253" t="s">
        <v>1732</v>
      </c>
      <c r="AW85" s="1252" t="s">
        <v>2022</v>
      </c>
      <c r="AX85" s="1253" t="s">
        <v>584</v>
      </c>
      <c r="AY85" s="1252" t="s">
        <v>2023</v>
      </c>
      <c r="AZ85" s="1252" t="s">
        <v>1486</v>
      </c>
      <c r="BA85" s="1253" t="s">
        <v>1732</v>
      </c>
      <c r="BB85" s="1252" t="s">
        <v>2022</v>
      </c>
      <c r="BC85" s="1253" t="s">
        <v>584</v>
      </c>
      <c r="BD85" s="1252" t="s">
        <v>2023</v>
      </c>
      <c r="BE85" s="1252" t="s">
        <v>1486</v>
      </c>
      <c r="BF85" s="1253" t="s">
        <v>1732</v>
      </c>
      <c r="BG85" s="1252" t="s">
        <v>2022</v>
      </c>
      <c r="BH85" s="1253" t="s">
        <v>584</v>
      </c>
      <c r="BI85" s="1252" t="s">
        <v>2023</v>
      </c>
      <c r="BJ85" s="1252" t="s">
        <v>1486</v>
      </c>
      <c r="BK85" s="1253" t="s">
        <v>1732</v>
      </c>
      <c r="BL85" s="1252" t="s">
        <v>2022</v>
      </c>
      <c r="BM85" s="1253" t="s">
        <v>584</v>
      </c>
      <c r="BN85" s="1252" t="s">
        <v>2023</v>
      </c>
      <c r="BO85" s="1252" t="s">
        <v>1486</v>
      </c>
      <c r="BP85" s="1253" t="s">
        <v>1732</v>
      </c>
      <c r="BQ85" s="1252" t="s">
        <v>2022</v>
      </c>
      <c r="BR85" s="1253" t="s">
        <v>584</v>
      </c>
      <c r="BS85" s="1252" t="s">
        <v>2023</v>
      </c>
      <c r="BT85" s="1252" t="s">
        <v>1486</v>
      </c>
      <c r="BU85" s="1253" t="s">
        <v>1732</v>
      </c>
      <c r="BV85" s="1252" t="s">
        <v>2022</v>
      </c>
      <c r="BW85" s="1253" t="s">
        <v>584</v>
      </c>
      <c r="BX85" s="1252" t="s">
        <v>2023</v>
      </c>
      <c r="BY85" s="1252" t="s">
        <v>1486</v>
      </c>
      <c r="BZ85" s="1253" t="s">
        <v>1732</v>
      </c>
      <c r="CA85" s="1252" t="s">
        <v>2022</v>
      </c>
      <c r="CB85" s="1253" t="s">
        <v>584</v>
      </c>
      <c r="CC85" s="1252" t="s">
        <v>2023</v>
      </c>
      <c r="CD85" s="1252" t="s">
        <v>1486</v>
      </c>
      <c r="CE85" s="1253" t="s">
        <v>1732</v>
      </c>
      <c r="CF85" s="1252" t="s">
        <v>2022</v>
      </c>
      <c r="CG85" s="1253" t="s">
        <v>584</v>
      </c>
      <c r="CH85" s="1252" t="s">
        <v>2023</v>
      </c>
      <c r="CI85" s="1252" t="s">
        <v>1486</v>
      </c>
      <c r="CJ85" s="1253" t="s">
        <v>1732</v>
      </c>
      <c r="CK85" s="1252" t="s">
        <v>2022</v>
      </c>
      <c r="CL85" s="1253" t="s">
        <v>584</v>
      </c>
      <c r="CM85" s="1252" t="s">
        <v>2023</v>
      </c>
      <c r="CN85" s="1252" t="s">
        <v>1486</v>
      </c>
      <c r="CO85" s="1253" t="s">
        <v>1732</v>
      </c>
      <c r="CP85" s="1252" t="s">
        <v>2022</v>
      </c>
      <c r="CQ85" s="1253" t="s">
        <v>584</v>
      </c>
      <c r="CR85" s="1252" t="s">
        <v>2023</v>
      </c>
      <c r="CS85" s="1252" t="s">
        <v>1486</v>
      </c>
      <c r="CT85" s="1253" t="s">
        <v>1732</v>
      </c>
      <c r="CU85" s="1252" t="s">
        <v>2022</v>
      </c>
      <c r="CV85" s="1253" t="s">
        <v>584</v>
      </c>
      <c r="CW85" s="1252" t="s">
        <v>2023</v>
      </c>
      <c r="CX85" s="1252" t="s">
        <v>1486</v>
      </c>
      <c r="CY85" s="1253" t="s">
        <v>1732</v>
      </c>
      <c r="CZ85" s="1252" t="s">
        <v>2022</v>
      </c>
      <c r="DA85" s="1253" t="s">
        <v>584</v>
      </c>
      <c r="DB85" s="1252" t="s">
        <v>2023</v>
      </c>
      <c r="DC85" s="1252" t="s">
        <v>1486</v>
      </c>
      <c r="DD85" s="1253" t="s">
        <v>1732</v>
      </c>
      <c r="DE85" s="1252" t="s">
        <v>2022</v>
      </c>
      <c r="DF85" s="1253" t="s">
        <v>584</v>
      </c>
      <c r="DG85" s="1252" t="s">
        <v>2023</v>
      </c>
      <c r="DH85" s="1252" t="s">
        <v>1486</v>
      </c>
      <c r="DI85" s="1253" t="s">
        <v>1732</v>
      </c>
      <c r="DJ85" s="1252" t="s">
        <v>2022</v>
      </c>
      <c r="DK85" s="1253" t="s">
        <v>584</v>
      </c>
      <c r="DL85" s="1252" t="s">
        <v>2023</v>
      </c>
      <c r="DM85" s="1252" t="s">
        <v>1486</v>
      </c>
      <c r="DN85" s="1253" t="s">
        <v>1732</v>
      </c>
      <c r="DO85" s="1252" t="s">
        <v>2022</v>
      </c>
      <c r="DP85" s="1253" t="s">
        <v>584</v>
      </c>
      <c r="DQ85" s="1252" t="s">
        <v>2023</v>
      </c>
      <c r="DR85" s="1252" t="s">
        <v>1486</v>
      </c>
      <c r="DS85" s="1253" t="s">
        <v>1732</v>
      </c>
      <c r="DT85" s="1252" t="s">
        <v>2022</v>
      </c>
      <c r="DU85" s="1253" t="s">
        <v>584</v>
      </c>
      <c r="DV85" s="1252" t="s">
        <v>2023</v>
      </c>
      <c r="DW85" s="1252" t="s">
        <v>1486</v>
      </c>
      <c r="DX85" s="1253" t="s">
        <v>1732</v>
      </c>
      <c r="DY85" s="1252" t="s">
        <v>2022</v>
      </c>
      <c r="DZ85" s="1253" t="s">
        <v>584</v>
      </c>
      <c r="EA85" s="1252" t="s">
        <v>2023</v>
      </c>
    </row>
    <row r="86" spans="1:145" s="1295" customFormat="1">
      <c r="A86" s="1458" t="s">
        <v>282</v>
      </c>
      <c r="C86" s="1296" t="s">
        <v>1767</v>
      </c>
      <c r="D86" s="1297"/>
      <c r="E86" s="1297" t="s">
        <v>1450</v>
      </c>
      <c r="F86" s="1298" t="s">
        <v>171</v>
      </c>
      <c r="G86" s="1237"/>
      <c r="H86" s="1238"/>
      <c r="I86" s="1239"/>
      <c r="J86" s="1228">
        <f ca="1">OFFSET('VVP2'!$G$277,0,(COLUMN()-6)/5)</f>
        <v>0.71213000000000004</v>
      </c>
      <c r="K86" s="1240"/>
      <c r="L86" s="1299">
        <f ca="1">OFFSET('VVP2'!$G$87,0,(COLUMN()-7)/5)</f>
        <v>30.042044526544419</v>
      </c>
      <c r="M86" s="1228">
        <f ca="1">+J86*(1+L86/100)</f>
        <v>0.92606841168688081</v>
      </c>
      <c r="N86" s="1299">
        <f ca="1">+O86/M86*100-100</f>
        <v>15.58001401325231</v>
      </c>
      <c r="O86" s="1228">
        <f ca="1">OFFSET('VVP2'!$G$277,0,(COLUMN()-6)/5)</f>
        <v>1.0703499999999999</v>
      </c>
      <c r="P86" s="1221">
        <f ca="1">(O86/J86-1)*100</f>
        <v>50.302613286899842</v>
      </c>
      <c r="Q86" s="1299">
        <f ca="1">OFFSET('VVP2'!$G$87,0,(COLUMN()-7)/5)</f>
        <v>20.449733998793395</v>
      </c>
      <c r="R86" s="1228">
        <f ca="1">+O86*(1+Q86/100)</f>
        <v>1.289233727856085</v>
      </c>
      <c r="S86" s="1299">
        <f ca="1">+T86/R86*100-100</f>
        <v>4.8204038415330785</v>
      </c>
      <c r="T86" s="1228">
        <f ca="1">OFFSET('VVP2'!$G$277,0,(COLUMN()-6)/5)</f>
        <v>1.35138</v>
      </c>
      <c r="U86" s="1221">
        <f ca="1">(T86/O86-1)*100</f>
        <v>26.25589760358762</v>
      </c>
      <c r="V86" s="1299">
        <f ca="1">OFFSET('VVP2'!$G$87,0,(COLUMN()-7)/5)</f>
        <v>12.01938838700276</v>
      </c>
      <c r="W86" s="1228">
        <f ca="1">+T86*(1+V86/100)</f>
        <v>1.5138076107842779</v>
      </c>
      <c r="X86" s="1299">
        <f ca="1">+Y86/W86*100-100</f>
        <v>-4.4977717313102232</v>
      </c>
      <c r="Y86" s="1228">
        <f ca="1">OFFSET('VVP2'!$G$277,0,(COLUMN()-6)/5)</f>
        <v>1.4457200000000001</v>
      </c>
      <c r="Z86" s="1221">
        <f ca="1">(Y86/T86-1)*100</f>
        <v>6.9810120025455502</v>
      </c>
      <c r="AA86" s="1299">
        <f ca="1">OFFSET('VVP2'!$G$87,0,(COLUMN()-7)/5)</f>
        <v>0.29612316447333864</v>
      </c>
      <c r="AB86" s="1228">
        <f ca="1">+Y86*(1+AA86/100)</f>
        <v>1.4500011118134242</v>
      </c>
      <c r="AC86" s="1299">
        <f ca="1">+AD86/AB86*100-100</f>
        <v>-1.3669721803616426</v>
      </c>
      <c r="AD86" s="1228">
        <f ca="1">OFFSET('VVP2'!$G$277,0,(COLUMN()-6)/5)</f>
        <v>1.43018</v>
      </c>
      <c r="AE86" s="1221">
        <f ca="1">(AD86/Y86-1)*100</f>
        <v>-1.0748969371662587</v>
      </c>
      <c r="AF86" s="1299">
        <f ca="1">OFFSET('VVP2'!$G$87,0,(COLUMN()-7)/5)</f>
        <v>-5.9564482595109824</v>
      </c>
      <c r="AG86" s="1228">
        <f ca="1">+AD86*(1+AF86/100)</f>
        <v>1.3449920682821259</v>
      </c>
      <c r="AH86" s="1299">
        <f ca="1">+AI86/AG86*100-100</f>
        <v>4.0370447527787547</v>
      </c>
      <c r="AI86" s="1228">
        <f ca="1">OFFSET('VVP2'!$G$277,0,(COLUMN()-6)/5)</f>
        <v>1.3992899999999999</v>
      </c>
      <c r="AJ86" s="1221">
        <f ca="1">(AI86/AD86-1)*100</f>
        <v>-2.1598679886447925</v>
      </c>
      <c r="AK86" s="1299">
        <f ca="1">OFFSET('VVP2'!$G$87,0,(COLUMN()-7)/5)</f>
        <v>8.5309251693644441</v>
      </c>
      <c r="AL86" s="1228">
        <f ca="1">+AI86*(1+AK86/100)</f>
        <v>1.5186623828023997</v>
      </c>
      <c r="AM86" s="1299">
        <f ca="1">+AN86/AL86*100-100</f>
        <v>-0.46833205872100336</v>
      </c>
      <c r="AN86" s="1228">
        <f ca="1">OFFSET('VVP2'!$G$277,0,(COLUMN()-6)/5)</f>
        <v>1.5115499999999999</v>
      </c>
      <c r="AO86" s="1221">
        <f ca="1">(AN86/AI86-1)*100</f>
        <v>8.0226400531698161</v>
      </c>
      <c r="AP86" s="1299">
        <f ca="1">OFFSET('VVP2'!$G$87,0,(COLUMN()-7)/5)</f>
        <v>16.465248700064894</v>
      </c>
      <c r="AQ86" s="1228">
        <f ca="1">+AN86*(1+AP86/100)</f>
        <v>1.7604304667258308</v>
      </c>
      <c r="AR86" s="1299">
        <f ca="1">+AS86/AQ86*100-100</f>
        <v>-1.4934112549601366</v>
      </c>
      <c r="AS86" s="1228">
        <f ca="1">OFFSET('VVP2'!$G$277,0,(COLUMN()-6)/5)</f>
        <v>1.73414</v>
      </c>
      <c r="AT86" s="1221">
        <f ca="1">(AS86/AN86-1)*100</f>
        <v>14.72594356786081</v>
      </c>
      <c r="AU86" s="1299">
        <f ca="1">OFFSET('VVP2'!$G$87,0,(COLUMN()-7)/5)</f>
        <v>5.8212341739244833</v>
      </c>
      <c r="AV86" s="1228">
        <f ca="1">+AS86*(1+AU86/100)</f>
        <v>1.8350883503036941</v>
      </c>
      <c r="AW86" s="1299">
        <f ca="1">+AX86/AV86*100-100</f>
        <v>-0.31379144784725099</v>
      </c>
      <c r="AX86" s="1228">
        <f ca="1">OFFSET('VVP2'!$G$277,0,(COLUMN()-6)/5)</f>
        <v>1.8293299999999999</v>
      </c>
      <c r="AY86" s="1221">
        <f ca="1">(AX86/AS86-1)*100</f>
        <v>5.4891761910802916</v>
      </c>
      <c r="AZ86" s="1299">
        <f ca="1">OFFSET('VVP2'!$G$87,0,(COLUMN()-7)/5)</f>
        <v>11.831940763563198</v>
      </c>
      <c r="BA86" s="1228">
        <f ca="1">+AX86*(1+AZ86/100)</f>
        <v>2.0457752419700905</v>
      </c>
      <c r="BB86" s="1299">
        <f ca="1">+BC86/BA86*100-100</f>
        <v>8.9489184478353394</v>
      </c>
      <c r="BC86" s="1228">
        <f ca="1">OFFSET('VVP2'!$G$277,0,(COLUMN()-6)/5)</f>
        <v>2.22885</v>
      </c>
      <c r="BD86" s="1221">
        <f ca="1">(BC86/AX86-1)*100</f>
        <v>21.839689941125997</v>
      </c>
      <c r="BE86" s="1299">
        <f ca="1">OFFSET('VVP2'!$G$87,0,(COLUMN()-7)/5)</f>
        <v>7.9162320586463775</v>
      </c>
      <c r="BF86" s="1228">
        <f ca="1">+BC86*(1+BE86/100)</f>
        <v>2.4052909382391396</v>
      </c>
      <c r="BG86" s="1299">
        <f ca="1">+BH86/BF86*100-100</f>
        <v>1.7843605145031063</v>
      </c>
      <c r="BH86" s="1228">
        <f ca="1">OFFSET('VVP2'!$G$277,0,(COLUMN()-6)/5)</f>
        <v>2.44821</v>
      </c>
      <c r="BI86" s="1221">
        <f ca="1">(BH86/BC86-1)*100</f>
        <v>9.8418466922403969</v>
      </c>
      <c r="BJ86" s="1299">
        <f ca="1">OFFSET('VVP2'!$G$87,0,(COLUMN()-7)/5)</f>
        <v>10.105503182112097</v>
      </c>
      <c r="BK86" s="1228">
        <f ca="1">+BH86*(1+BJ86/100)</f>
        <v>2.6956139394547867</v>
      </c>
      <c r="BL86" s="1299">
        <f ca="1">+BM86/BK86*100-100</f>
        <v>6.9785980029195827</v>
      </c>
      <c r="BM86" s="1228">
        <f ca="1">OFFSET('VVP2'!$G$277,0,(COLUMN()-6)/5)</f>
        <v>2.8837299999999999</v>
      </c>
      <c r="BN86" s="1221">
        <f ca="1">(BM86/BH86-1)*100</f>
        <v>17.789323628283515</v>
      </c>
      <c r="BO86" s="1299">
        <f ca="1">OFFSET('VVP2'!$G$87,0,(COLUMN()-7)/5)</f>
        <v>0.53968342281691672</v>
      </c>
      <c r="BP86" s="1228">
        <f ca="1">+BM86*(1+BO86/100)</f>
        <v>2.8992930127687981</v>
      </c>
      <c r="BQ86" s="1299">
        <f ca="1">+BR86/BP86*100-100</f>
        <v>6.572532903434336</v>
      </c>
      <c r="BR86" s="1228">
        <f ca="1">OFFSET('VVP2'!$G$277,0,(COLUMN()-6)/5)</f>
        <v>3.0898499999999998</v>
      </c>
      <c r="BS86" s="1221">
        <f ca="1">(BR86/BM86-1)*100</f>
        <v>7.1476871967902644</v>
      </c>
      <c r="BT86" s="1299">
        <f ca="1">OFFSET('VVP2'!$G$87,0,(COLUMN()-7)/5)</f>
        <v>3.888166409956062</v>
      </c>
      <c r="BU86" s="1228">
        <f ca="1">+BR86*(1+BT86/100)</f>
        <v>3.209988509818027</v>
      </c>
      <c r="BV86" s="1299">
        <f ca="1">+BW86/BU86*100-100</f>
        <v>7.364558765831049</v>
      </c>
      <c r="BW86" s="1228">
        <f ca="1">OFFSET('VVP2'!$G$277,0,(COLUMN()-6)/5)</f>
        <v>3.4463900000000001</v>
      </c>
      <c r="BX86" s="1221">
        <f ca="1">(BW86/BR86-1)*100</f>
        <v>11.539071475961627</v>
      </c>
      <c r="BY86" s="1299">
        <f ca="1">OFFSET('VVP2'!$G$87,0,(COLUMN()-7)/5)</f>
        <v>-12.394204476852233</v>
      </c>
      <c r="BZ86" s="1228">
        <f ca="1">+BW86*(1+BY86/100)</f>
        <v>3.0192373763302123</v>
      </c>
      <c r="CA86" s="1299">
        <f ca="1">+CB86/BZ86*100-100</f>
        <v>-2.8228113827142352</v>
      </c>
      <c r="CB86" s="1228">
        <f ca="1">OFFSET('VVP2'!$G$277,0,(COLUMN()-6)/5)</f>
        <v>2.9340100000000002</v>
      </c>
      <c r="CC86" s="1221">
        <f ca="1">(CB86/BW86-1)*100</f>
        <v>-14.867150844797017</v>
      </c>
      <c r="CD86" s="1299">
        <f ca="1">OFFSET('VVP2'!$G$87,0,(COLUMN()-7)/5)</f>
        <v>15.624218839727867</v>
      </c>
      <c r="CE86" s="1228">
        <f ca="1">+CB86*(1+CD86/100)</f>
        <v>3.3924261431794998</v>
      </c>
      <c r="CF86" s="1299">
        <f ca="1">+CG86/CE86*100-100</f>
        <v>0.89740662097266011</v>
      </c>
      <c r="CG86" s="1228">
        <f ca="1">OFFSET('VVP2'!$G$277,0,(COLUMN()-6)/5)</f>
        <v>3.4228700000000001</v>
      </c>
      <c r="CH86" s="1221">
        <f ca="1">(CG86/CB86-1)*100</f>
        <v>16.661838235043504</v>
      </c>
      <c r="CI86" s="1299">
        <f ca="1">OFFSET('VVP2'!$G$87,0,(COLUMN()-7)/5)</f>
        <v>14.826154659686154</v>
      </c>
      <c r="CJ86" s="1228">
        <f ca="1">+CG86*(1+CI86/100)</f>
        <v>3.9303499999999993</v>
      </c>
      <c r="CK86" s="1299">
        <f ca="1">+CL86/CJ86*100-100</f>
        <v>2.6142709936774366</v>
      </c>
      <c r="CL86" s="1228">
        <f ca="1">OFFSET('VVP2'!$G$277,0,(COLUMN()-6)/5)</f>
        <v>4.0331000000000001</v>
      </c>
      <c r="CM86" s="1221">
        <f ca="1">(CL86/CG86-1)*100</f>
        <v>17.828021514109516</v>
      </c>
      <c r="CN86" s="1299">
        <f ca="1">OFFSET('VVP2'!$G$87,0,(COLUMN()-7)/5)</f>
        <v>16.130370068823385</v>
      </c>
      <c r="CO86" s="1228">
        <f ca="1">+CL86*(1+CN86/100)</f>
        <v>4.6836539552457159</v>
      </c>
      <c r="CP86" s="1299">
        <f ca="1">+CQ86/CO86*100-100</f>
        <v>2.3327095852569784</v>
      </c>
      <c r="CQ86" s="1228">
        <f ca="1">OFFSET('VVP2'!$G$277,0,(COLUMN()-6)/5)</f>
        <v>4.79291</v>
      </c>
      <c r="CR86" s="1221">
        <f ca="1">(CQ86/CL86-1)*100</f>
        <v>18.839354342813209</v>
      </c>
      <c r="CS86" s="1299">
        <f ca="1">OFFSET('VVP2'!$G$87,0,(COLUMN()-7)/5)</f>
        <v>12.494933538986007</v>
      </c>
      <c r="CT86" s="1228">
        <f ca="1">+CQ86*(1+CS86/100)</f>
        <v>5.3917809190834145</v>
      </c>
      <c r="CU86" s="1299">
        <f ca="1">+CV86/CT86*100-100</f>
        <v>-2.9135439792355555E-2</v>
      </c>
      <c r="CV86" s="1228">
        <f ca="1">OFFSET('VVP2'!$G$277,0,(COLUMN()-6)/5)</f>
        <v>5.3902099999999997</v>
      </c>
      <c r="CW86" s="1221">
        <f ca="1">(CV86/CQ86-1)*100</f>
        <v>12.462157645355321</v>
      </c>
      <c r="CX86" s="1299">
        <f ca="1">OFFSET('VVP2'!$G$87,0,(COLUMN()-7)/5)</f>
        <v>9.7412866335322423</v>
      </c>
      <c r="CY86" s="1228">
        <f ca="1">+CV86*(1+CX86/100)</f>
        <v>5.9152858062493179</v>
      </c>
      <c r="CZ86" s="1299">
        <f ca="1">+DA86/CY86*100-100</f>
        <v>-0.11589983094434331</v>
      </c>
      <c r="DA86" s="1228">
        <f ca="1">OFFSET('VVP2'!$G$277,0,(COLUMN()-6)/5)</f>
        <v>5.9084300000000001</v>
      </c>
      <c r="DB86" s="1221">
        <f ca="1">(DA86/CV86-1)*100</f>
        <v>9.6140966678478268</v>
      </c>
      <c r="DC86" s="1299">
        <f ca="1">OFFSET('VVP2'!$G$87,0,(COLUMN()-7)/5)</f>
        <v>1.3292350066195668</v>
      </c>
      <c r="DD86" s="1228">
        <f ca="1">+DA86*(1+DC86/100)</f>
        <v>5.9869669199016124</v>
      </c>
      <c r="DE86" s="1299">
        <f ca="1">+DF86/DD86*100-100</f>
        <v>1.4498673745772805</v>
      </c>
      <c r="DF86" s="1228">
        <f ca="1">OFFSET('VVP2'!$G$277,0,(COLUMN()-6)/5)</f>
        <v>6.0737700000000006</v>
      </c>
      <c r="DG86" s="1221">
        <f ca="1">(DF86/DA86-1)*100</f>
        <v>2.7983745258892911</v>
      </c>
      <c r="DH86" s="1299">
        <f ca="1">OFFSET('VVP2'!$G$87,0,(COLUMN()-7)/5)</f>
        <v>11.121385987403954</v>
      </c>
      <c r="DI86" s="1228">
        <f ca="1">+DF86*(1+DH86/100)</f>
        <v>6.7492574056871453</v>
      </c>
      <c r="DJ86" s="1299">
        <f ca="1">+DK86/DI86*100-100</f>
        <v>1.7477862707304013</v>
      </c>
      <c r="DK86" s="1228">
        <f ca="1">OFFSET('VVP2'!$G$277,0,(COLUMN()-6)/5)</f>
        <v>6.8672200000000005</v>
      </c>
      <c r="DL86" s="1221">
        <f ca="1">(DK86/DF86-1)*100</f>
        <v>13.063550315537142</v>
      </c>
      <c r="DM86" s="1299">
        <f ca="1">OFFSET('VVP2'!$G$87,0,(COLUMN()-7)/5)</f>
        <v>16.52066600259743</v>
      </c>
      <c r="DN86" s="1228">
        <f ca="1">+DK86*(1+DM86/100)</f>
        <v>8.0017304798635713</v>
      </c>
      <c r="DO86" s="1299">
        <f ca="1">+DP86/DN86*100-100</f>
        <v>3.4797412989243242</v>
      </c>
      <c r="DP86" s="1228">
        <f ca="1">OFFSET('VVP2'!$G$277,0,(COLUMN()-6)/5)</f>
        <v>8.28017</v>
      </c>
      <c r="DQ86" s="1221">
        <f ca="1">(DP86/DK86-1)*100</f>
        <v>20.575283739271487</v>
      </c>
      <c r="DR86" s="3349">
        <v>6.5</v>
      </c>
      <c r="DS86" s="1228">
        <f ca="1">+DP86*(1+DR86/100)</f>
        <v>8.8183810499999993</v>
      </c>
      <c r="DT86" s="3350">
        <v>2.5</v>
      </c>
      <c r="DU86" s="2241">
        <f ca="1">+DS86*(1+DT86/100)</f>
        <v>9.0388405762499993</v>
      </c>
      <c r="DV86" s="2248">
        <f ca="1">(DU86/DP86-1)*100</f>
        <v>9.1624999999999837</v>
      </c>
      <c r="DW86" s="3349">
        <v>4.5</v>
      </c>
      <c r="DX86" s="1228">
        <f ca="1">+DU86*(1+DW86/100)</f>
        <v>9.4455884021812491</v>
      </c>
      <c r="DY86" s="3350">
        <v>2.1</v>
      </c>
      <c r="DZ86" s="2241">
        <f ca="1">+DX86*(1+DY86/100)</f>
        <v>9.6439457586270549</v>
      </c>
      <c r="EA86" s="2248">
        <f ca="1">(DZ86/DU86-1)*100</f>
        <v>6.6945000000000032</v>
      </c>
      <c r="EB86"/>
      <c r="EC86"/>
      <c r="ED86"/>
      <c r="EE86"/>
      <c r="EF86"/>
      <c r="EG86"/>
      <c r="EH86"/>
      <c r="EI86"/>
      <c r="EJ86"/>
      <c r="EK86"/>
      <c r="EL86"/>
      <c r="EM86"/>
      <c r="EN86"/>
      <c r="EO86"/>
    </row>
    <row r="87" spans="1:145" ht="12.75" customHeight="1">
      <c r="A87" s="1456" t="s">
        <v>282</v>
      </c>
      <c r="B87" s="1"/>
      <c r="C87" s="1081" t="s">
        <v>1767</v>
      </c>
      <c r="D87" s="1077"/>
      <c r="E87" s="1078" t="s">
        <v>1451</v>
      </c>
      <c r="F87" s="1077" t="s">
        <v>169</v>
      </c>
      <c r="G87" s="1383"/>
      <c r="H87" s="1384"/>
      <c r="I87" s="1385"/>
      <c r="J87" s="1351">
        <f ca="1">OFFSET('VVP2'!$G$278,0,(COLUMN()-6)/5)</f>
        <v>2.17198</v>
      </c>
      <c r="K87" s="1382"/>
      <c r="L87" s="1359">
        <f ca="1">OFFSET('VVP2'!$G$88,0,(COLUMN()-7)/5)</f>
        <v>17.060452746044842</v>
      </c>
      <c r="M87" s="1351">
        <f ca="1">+J87*(1+L87/100)</f>
        <v>2.5425296215535447</v>
      </c>
      <c r="N87" s="1360">
        <f ca="1">+O87/M87*100-100</f>
        <v>18.142183065879422</v>
      </c>
      <c r="O87" s="1351">
        <f ca="1">OFFSET('VVP2'!$G$278,0,(COLUMN()-6)/5)</f>
        <v>3.0038</v>
      </c>
      <c r="P87" s="1358">
        <f ca="1">(O87/J87-1)*100</f>
        <v>38.297774380979568</v>
      </c>
      <c r="Q87" s="1359">
        <f ca="1">OFFSET('VVP2'!$G$88,0,(COLUMN()-7)/5)</f>
        <v>18.457542209611468</v>
      </c>
      <c r="R87" s="1351">
        <f ca="1">+O87*(1+Q87/100)</f>
        <v>3.5582276528923091</v>
      </c>
      <c r="S87" s="1360">
        <f ca="1">+T87/R87*100-100</f>
        <v>10.186316966343384</v>
      </c>
      <c r="T87" s="1351">
        <f ca="1">OFFSET('VVP2'!$G$278,0,(COLUMN()-6)/5)</f>
        <v>3.9206799999999999</v>
      </c>
      <c r="U87" s="1358">
        <f ca="1">(T87/O87-1)*100</f>
        <v>30.524002929622473</v>
      </c>
      <c r="V87" s="1359">
        <f ca="1">OFFSET('VVP2'!$G$88,0,(COLUMN()-7)/5)</f>
        <v>2.8415978608505199</v>
      </c>
      <c r="W87" s="1351">
        <f ca="1">+T87*(1+V87/100)</f>
        <v>4.0320899590107944</v>
      </c>
      <c r="X87" s="1360">
        <f ca="1">+Y87/W87*100-100</f>
        <v>-9.4987949898011834</v>
      </c>
      <c r="Y87" s="1351">
        <f ca="1">OFFSET('VVP2'!$G$278,0,(COLUMN()-6)/5)</f>
        <v>3.6490900000000002</v>
      </c>
      <c r="Z87" s="1358">
        <f ca="1">(Y87/T87-1)*100</f>
        <v>-6.9271146841874298</v>
      </c>
      <c r="AA87" s="1359">
        <f ca="1">OFFSET('VVP2'!$G$88,0,(COLUMN()-7)/5)</f>
        <v>-21.073299254007182</v>
      </c>
      <c r="AB87" s="1351">
        <f ca="1">+Y87*(1+AA87/100)</f>
        <v>2.8801063442519492</v>
      </c>
      <c r="AC87" s="1360">
        <f ca="1">+AD87/AB87*100-100</f>
        <v>-6.5881714621628618</v>
      </c>
      <c r="AD87" s="1351">
        <f ca="1">OFFSET('VVP2'!$G$278,0,(COLUMN()-6)/5)</f>
        <v>2.6903600000000001</v>
      </c>
      <c r="AE87" s="1358">
        <f ca="1">(AD87/Y87-1)*100</f>
        <v>-26.273125628581372</v>
      </c>
      <c r="AF87" s="1359">
        <f ca="1">OFFSET('VVP2'!$G$88,0,(COLUMN()-7)/5)</f>
        <v>14.963488353992327</v>
      </c>
      <c r="AG87" s="1351">
        <f ca="1">+AD87*(1+AF87/100)</f>
        <v>3.0929317052804679</v>
      </c>
      <c r="AH87" s="1360">
        <f ca="1">+AI87/AG87*100-100</f>
        <v>21.359614685046054</v>
      </c>
      <c r="AI87" s="1351">
        <f ca="1">OFFSET('VVP2'!$G$278,0,(COLUMN()-6)/5)</f>
        <v>3.7535700000000003</v>
      </c>
      <c r="AJ87" s="1358">
        <f ca="1">(AI87/AD87-1)*100</f>
        <v>39.51924649489289</v>
      </c>
      <c r="AK87" s="1359">
        <f ca="1">OFFSET('VVP2'!$G$88,0,(COLUMN()-7)/5)</f>
        <v>24.555580437611724</v>
      </c>
      <c r="AL87" s="1351">
        <f ca="1">+AI87*(1+AK87/100)</f>
        <v>4.675280900632063</v>
      </c>
      <c r="AM87" s="1360">
        <f ca="1">+AN87/AL87*100-100</f>
        <v>1.3862076043211715</v>
      </c>
      <c r="AN87" s="1351">
        <f ca="1">OFFSET('VVP2'!$G$278,0,(COLUMN()-6)/5)</f>
        <v>4.7400900000000004</v>
      </c>
      <c r="AO87" s="1358">
        <f ca="1">(AN87/AI87-1)*100</f>
        <v>26.282179365244286</v>
      </c>
      <c r="AP87" s="1359">
        <f ca="1">OFFSET('VVP2'!$G$88,0,(COLUMN()-7)/5)</f>
        <v>19.123618880461013</v>
      </c>
      <c r="AQ87" s="1351">
        <f ca="1">+AN87*(1+AP87/100)</f>
        <v>5.6465667461908451</v>
      </c>
      <c r="AR87" s="1360">
        <f ca="1">+AS87/AQ87*100-100</f>
        <v>-3.2528924999381701</v>
      </c>
      <c r="AS87" s="1351">
        <f ca="1">OFFSET('VVP2'!$G$278,0,(COLUMN()-6)/5)</f>
        <v>5.4628900000000007</v>
      </c>
      <c r="AT87" s="1358">
        <f ca="1">(AS87/AN87-1)*100</f>
        <v>15.248655616243578</v>
      </c>
      <c r="AU87" s="1359">
        <f ca="1">OFFSET('VVP2'!$G$88,0,(COLUMN()-7)/5)</f>
        <v>9.070494733340384</v>
      </c>
      <c r="AV87" s="1351">
        <f ca="1">+AS87*(1+AU87/100)</f>
        <v>5.9584011497381795</v>
      </c>
      <c r="AW87" s="1360">
        <f ca="1">+AX87/AV87*100-100</f>
        <v>-1.5430506846995371</v>
      </c>
      <c r="AX87" s="1351">
        <f ca="1">OFFSET('VVP2'!$G$278,0,(COLUMN()-6)/5)</f>
        <v>5.86646</v>
      </c>
      <c r="AY87" s="1358">
        <f ca="1">(AX87/AS87-1)*100</f>
        <v>7.3874817175524132</v>
      </c>
      <c r="AZ87" s="1359">
        <f ca="1">OFFSET('VVP2'!$G$88,0,(COLUMN()-7)/5)</f>
        <v>2.0751227870710709</v>
      </c>
      <c r="BA87" s="1351">
        <f ca="1">+AX87*(1+AZ87/100)</f>
        <v>5.9881962482544093</v>
      </c>
      <c r="BB87" s="1360">
        <f ca="1">+BC87/BA87*100-100</f>
        <v>6.9787918501737778</v>
      </c>
      <c r="BC87" s="1351">
        <f ca="1">OFFSET('VVP2'!$G$278,0,(COLUMN()-6)/5)</f>
        <v>6.4061000000000003</v>
      </c>
      <c r="BD87" s="1358">
        <f ca="1">(BC87/AX87-1)*100</f>
        <v>9.1987331371900627</v>
      </c>
      <c r="BE87" s="1359">
        <f ca="1">OFFSET('VVP2'!$G$88,0,(COLUMN()-7)/5)</f>
        <v>24.932621816523003</v>
      </c>
      <c r="BF87" s="1351">
        <f ca="1">+BC87*(1+BE87/100)</f>
        <v>8.0033086861882801</v>
      </c>
      <c r="BG87" s="1360">
        <f ca="1">+BH87/BF87*100-100</f>
        <v>10.703339673628179</v>
      </c>
      <c r="BH87" s="1351">
        <f ca="1">OFFSET('VVP2'!$G$278,0,(COLUMN()-6)/5)</f>
        <v>8.8599300000000003</v>
      </c>
      <c r="BI87" s="1358">
        <f ca="1">(BH87/BC87-1)*100</f>
        <v>38.304584692714762</v>
      </c>
      <c r="BJ87" s="1359">
        <f ca="1">OFFSET('VVP2'!$G$88,0,(COLUMN()-7)/5)</f>
        <v>13.346098666827677</v>
      </c>
      <c r="BK87" s="1351">
        <f ca="1">+BH87*(1+BJ87/100)</f>
        <v>10.042384999611865</v>
      </c>
      <c r="BL87" s="1360">
        <f ca="1">+BM87/BK87*100-100</f>
        <v>4.6481488252658494</v>
      </c>
      <c r="BM87" s="1351">
        <f ca="1">OFFSET('VVP2'!$G$278,0,(COLUMN()-6)/5)</f>
        <v>10.509169999999999</v>
      </c>
      <c r="BN87" s="1358">
        <f ca="1">(BM87/BH87-1)*100</f>
        <v>18.614594020494501</v>
      </c>
      <c r="BO87" s="1359">
        <f ca="1">OFFSET('VVP2'!$G$88,0,(COLUMN()-7)/5)</f>
        <v>3.8977400227105274</v>
      </c>
      <c r="BP87" s="1351">
        <f ca="1">+BM87*(1+BO87/100)</f>
        <v>10.918790125144687</v>
      </c>
      <c r="BQ87" s="1360">
        <f ca="1">+BR87/BP87*100-100</f>
        <v>5.6392683419872469</v>
      </c>
      <c r="BR87" s="1351">
        <f ca="1">OFFSET('VVP2'!$G$278,0,(COLUMN()-6)/5)</f>
        <v>11.53453</v>
      </c>
      <c r="BS87" s="1358">
        <f ca="1">(BR87/BM87-1)*100</f>
        <v>9.7568123838514431</v>
      </c>
      <c r="BT87" s="1359">
        <f ca="1">OFFSET('VVP2'!$G$88,0,(COLUMN()-7)/5)</f>
        <v>16.083772104719209</v>
      </c>
      <c r="BU87" s="1351">
        <f ca="1">+BR87*(1+BT87/100)</f>
        <v>13.389717518550469</v>
      </c>
      <c r="BV87" s="1360">
        <f ca="1">+BW87/BU87*100-100</f>
        <v>13.788360201712436</v>
      </c>
      <c r="BW87" s="1351">
        <f ca="1">OFFSET('VVP2'!$G$278,0,(COLUMN()-6)/5)</f>
        <v>15.235940000000001</v>
      </c>
      <c r="BX87" s="1358">
        <f ca="1">(BW87/BR87-1)*100</f>
        <v>32.089820738252882</v>
      </c>
      <c r="BY87" s="1359">
        <f ca="1">OFFSET('VVP2'!$G$88,0,(COLUMN()-7)/5)</f>
        <v>-12.877782521492176</v>
      </c>
      <c r="BZ87" s="1351">
        <f ca="1">+BW87*(1+BY87/100)</f>
        <v>13.273888781694966</v>
      </c>
      <c r="CA87" s="1360">
        <f ca="1">+CB87/BZ87*100-100</f>
        <v>-16.710768171825265</v>
      </c>
      <c r="CB87" s="1351">
        <f ca="1">OFFSET('VVP2'!$G$278,0,(COLUMN()-6)/5)</f>
        <v>11.055719999999999</v>
      </c>
      <c r="CC87" s="1358">
        <f ca="1">(CB87/BW87-1)*100</f>
        <v>-27.436574310479045</v>
      </c>
      <c r="CD87" s="1359">
        <f ca="1">OFFSET('VVP2'!$G$88,0,(COLUMN()-7)/5)</f>
        <v>19.822587575658581</v>
      </c>
      <c r="CE87" s="1351">
        <f ca="1">+CB87*(1+CD87/100)</f>
        <v>13.247249779119599</v>
      </c>
      <c r="CF87" s="1360">
        <f ca="1">+CG87/CE87*100-100</f>
        <v>12.408237545813392</v>
      </c>
      <c r="CG87" s="1351">
        <f ca="1">OFFSET('VVP2'!$G$278,0,(COLUMN()-6)/5)</f>
        <v>14.891</v>
      </c>
      <c r="CH87" s="1358">
        <f ca="1">(CG87/CB87-1)*100</f>
        <v>34.690458875586593</v>
      </c>
      <c r="CI87" s="1359">
        <f ca="1">OFFSET('VVP2'!$G$88,0,(COLUMN()-7)/5)</f>
        <v>15.537371566718129</v>
      </c>
      <c r="CJ87" s="1351">
        <f ca="1">+CG87*(1+CI87/100)</f>
        <v>17.204669999999997</v>
      </c>
      <c r="CK87" s="1360">
        <f ca="1">+CL87/CJ87*100-100</f>
        <v>12.887663640162856</v>
      </c>
      <c r="CL87" s="1351">
        <f ca="1">OFFSET('VVP2'!$G$278,0,(COLUMN()-6)/5)</f>
        <v>19.421950000000002</v>
      </c>
      <c r="CM87" s="1358">
        <f ca="1">(CL87/CG87-1)*100</f>
        <v>30.427439392921919</v>
      </c>
      <c r="CN87" s="1359">
        <f ca="1">OFFSET('VVP2'!$G$88,0,(COLUMN()-7)/5)</f>
        <v>11.611556629682539</v>
      </c>
      <c r="CO87" s="1351">
        <f ca="1">+CL87*(1+CN87/100)</f>
        <v>21.677140722838629</v>
      </c>
      <c r="CP87" s="1360">
        <f ca="1">+CQ87/CO87*100-100</f>
        <v>3.4599548286881117</v>
      </c>
      <c r="CQ87" s="1351">
        <f ca="1">OFFSET('VVP2'!$G$278,0,(COLUMN()-6)/5)</f>
        <v>22.427160000000001</v>
      </c>
      <c r="CR87" s="1358">
        <f ca="1">(CQ87/CL87-1)*100</f>
        <v>15.473266072665194</v>
      </c>
      <c r="CS87" s="1359">
        <f ca="1">OFFSET('VVP2'!$G$88,0,(COLUMN()-7)/5)</f>
        <v>9.2966504186976717</v>
      </c>
      <c r="CT87" s="1351">
        <f ca="1">+CQ87*(1+CS87/100)</f>
        <v>24.512134664041998</v>
      </c>
      <c r="CU87" s="1360">
        <f ca="1">+CV87/CT87*100-100</f>
        <v>-2.0988570399652104</v>
      </c>
      <c r="CV87" s="1351">
        <f ca="1">OFFSET('VVP2'!$G$278,0,(COLUMN()-6)/5)</f>
        <v>23.99766</v>
      </c>
      <c r="CW87" s="1358">
        <f ca="1">(CV87/CQ87-1)*100</f>
        <v>7.0026699769386802</v>
      </c>
      <c r="CX87" s="1359">
        <f ca="1">OFFSET('VVP2'!$G$88,0,(COLUMN()-7)/5)</f>
        <v>1.814930544636395</v>
      </c>
      <c r="CY87" s="1351">
        <f ca="1">+CV87*(1+CX87/100)</f>
        <v>24.433200861337991</v>
      </c>
      <c r="CZ87" s="1360">
        <f ca="1">+DA87/CY87*100-100</f>
        <v>-2.7978358841214828</v>
      </c>
      <c r="DA87" s="1351">
        <f ca="1">OFFSET('VVP2'!$G$278,0,(COLUMN()-6)/5)</f>
        <v>23.749599999999997</v>
      </c>
      <c r="DB87" s="1358">
        <f ca="1">(DA87/CV87-1)*100</f>
        <v>-1.0336841175348055</v>
      </c>
      <c r="DC87" s="1359">
        <f ca="1">OFFSET('VVP2'!$G$88,0,(COLUMN()-7)/5)</f>
        <v>-0.78339648707045351</v>
      </c>
      <c r="DD87" s="1351">
        <f ca="1">+DA87*(1+DC87/100)</f>
        <v>23.563546467906711</v>
      </c>
      <c r="DE87" s="1360">
        <f ca="1">+DF87/DD87*100-100</f>
        <v>-5.3224435872370037</v>
      </c>
      <c r="DF87" s="1351">
        <f ca="1">OFFSET('VVP2'!$G$278,0,(COLUMN()-6)/5)</f>
        <v>22.30939</v>
      </c>
      <c r="DG87" s="1358">
        <f ca="1">(DF87/DA87-1)*100</f>
        <v>-6.0641442382187378</v>
      </c>
      <c r="DH87" s="1359">
        <f ca="1">OFFSET('VVP2'!$G$88,0,(COLUMN()-7)/5)</f>
        <v>1.3673353587009052</v>
      </c>
      <c r="DI87" s="1351">
        <f ca="1">+DF87*(1+DH87/100)</f>
        <v>22.614434177780485</v>
      </c>
      <c r="DJ87" s="1360">
        <f ca="1">+DK87/DI87*100-100</f>
        <v>-3.0623104356106978</v>
      </c>
      <c r="DK87" s="1351">
        <f ca="1">OFFSET('VVP2'!$G$278,0,(COLUMN()-6)/5)</f>
        <v>21.92191</v>
      </c>
      <c r="DL87" s="1358">
        <f ca="1">(DK87/DF87-1)*100</f>
        <v>-1.7368471302890875</v>
      </c>
      <c r="DM87" s="1359">
        <f ca="1">OFFSET('VVP2'!$G$88,0,(COLUMN()-7)/5)</f>
        <v>12.210331962525656</v>
      </c>
      <c r="DN87" s="1351">
        <f ca="1">+DK87*(1+DM87/100)</f>
        <v>24.59864798352611</v>
      </c>
      <c r="DO87" s="1360">
        <f ca="1">+DP87/DN87*100-100</f>
        <v>4.6924205641176542</v>
      </c>
      <c r="DP87" s="1351">
        <f ca="1">OFFSET('VVP2'!$G$278,0,(COLUMN()-6)/5)</f>
        <v>25.75292</v>
      </c>
      <c r="DQ87" s="1358">
        <f ca="1">(DP87/DK87-1)*100</f>
        <v>17.475712654599885</v>
      </c>
      <c r="DR87" s="3349">
        <v>5.2</v>
      </c>
      <c r="DS87" s="2243">
        <f ca="1">+DP87*(1+DR87/100)</f>
        <v>27.092071839999999</v>
      </c>
      <c r="DT87" s="3350">
        <v>2.2999999999999998</v>
      </c>
      <c r="DU87" s="2243">
        <f ca="1">+DS87*(1+DT87/100)</f>
        <v>27.715189492319997</v>
      </c>
      <c r="DV87" s="2245">
        <f ca="1">(DU87/DP87-1)*100</f>
        <v>7.619599999999993</v>
      </c>
      <c r="DW87" s="3349">
        <v>4.4000000000000004</v>
      </c>
      <c r="DX87" s="2243">
        <f ca="1">+DU87*(1+DW87/100)</f>
        <v>28.934657829982079</v>
      </c>
      <c r="DY87" s="3350">
        <v>2</v>
      </c>
      <c r="DZ87" s="2243">
        <f ca="1">+DX87*(1+DY87/100)</f>
        <v>29.51335098658172</v>
      </c>
      <c r="EA87" s="2245">
        <f ca="1">(DZ87/DU87-1)*100</f>
        <v>6.4880000000000049</v>
      </c>
    </row>
    <row r="88" spans="1:145" s="28" customFormat="1">
      <c r="A88" s="1457" t="s">
        <v>1940</v>
      </c>
      <c r="C88" s="176" t="s">
        <v>1769</v>
      </c>
      <c r="D88" s="1257"/>
      <c r="E88" s="1257" t="s">
        <v>1358</v>
      </c>
      <c r="F88" s="1200" t="s">
        <v>168</v>
      </c>
      <c r="G88" s="1258"/>
      <c r="H88" s="1258"/>
      <c r="I88" s="1258"/>
      <c r="J88" s="1259">
        <f ca="1">OFFSET('VVP2'!$G$279,0,(COLUMN()-6)/5)</f>
        <v>2.8841000000000001</v>
      </c>
      <c r="K88" s="1259"/>
      <c r="L88" s="1259">
        <f ca="1">OFFSET('VVP2'!$G$89,0,(COLUMN()-7)/5)</f>
        <v>19.044528323428999</v>
      </c>
      <c r="M88" s="1259">
        <f ca="1">+J88*(1+L88/100)</f>
        <v>3.433363241376016</v>
      </c>
      <c r="N88" s="1259">
        <f ca="1">+O88/M88*100-100</f>
        <v>18.663820678850371</v>
      </c>
      <c r="O88" s="1259">
        <f ca="1">OFFSET('VVP2'!$G$279,0,(COLUMN()-6)/5)</f>
        <v>4.07416</v>
      </c>
      <c r="P88" s="1259">
        <f ca="1">(O88/J88-1)*100</f>
        <v>41.262785617697027</v>
      </c>
      <c r="Q88" s="1259">
        <f ca="1">OFFSET('VVP2'!$G$89,0,(COLUMN()-7)/5)</f>
        <v>18.838320999906678</v>
      </c>
      <c r="R88" s="1259">
        <f ca="1">+O88*(1+Q88/100)</f>
        <v>4.8416633388497976</v>
      </c>
      <c r="S88" s="1259">
        <f ca="1">+T88/R88*100-100</f>
        <v>8.8892314692092356</v>
      </c>
      <c r="T88" s="1259">
        <f ca="1">OFFSET('VVP2'!$G$279,0,(COLUMN()-6)/5)</f>
        <v>5.2720500000000001</v>
      </c>
      <c r="U88" s="1259">
        <f ca="1">(T88/O88-1)*100</f>
        <v>29.402134427710248</v>
      </c>
      <c r="V88" s="1259">
        <f ca="1">OFFSET('VVP2'!$G$89,0,(COLUMN()-7)/5)</f>
        <v>4.6592149170669783</v>
      </c>
      <c r="W88" s="1259">
        <f ca="1">+T88*(1+V88/100)</f>
        <v>5.5176861400352299</v>
      </c>
      <c r="X88" s="1259">
        <f ca="1">+Y88/W88*100-100</f>
        <v>-7.6640122200305001</v>
      </c>
      <c r="Y88" s="1259">
        <f ca="1">OFFSET('VVP2'!$G$279,0,(COLUMN()-6)/5)</f>
        <v>5.0948100000000007</v>
      </c>
      <c r="Z88" s="1259">
        <f ca="1">(Y88/T88-1)*100</f>
        <v>-3.3618801035650181</v>
      </c>
      <c r="AA88" s="1259">
        <f ca="1">OFFSET('VVP2'!$G$89,0,(COLUMN()-7)/5)</f>
        <v>-16.372062303186162</v>
      </c>
      <c r="AB88" s="1259">
        <f ca="1">+Y88*(1+AA88/100)</f>
        <v>4.2606845325710418</v>
      </c>
      <c r="AC88" s="1259">
        <f ca="1">+AD88/AB88*100-100</f>
        <v>-3.2892492156999396</v>
      </c>
      <c r="AD88" s="1259">
        <f ca="1">OFFSET('VVP2'!$G$279,0,(COLUMN()-6)/5)</f>
        <v>4.1205400000000001</v>
      </c>
      <c r="AE88" s="1259">
        <f ca="1">(AD88/Y88-1)*100</f>
        <v>-19.122793587984642</v>
      </c>
      <c r="AF88" s="1259">
        <f ca="1">OFFSET('VVP2'!$G$89,0,(COLUMN()-7)/5)</f>
        <v>9.5572088492080773</v>
      </c>
      <c r="AG88" s="1259">
        <f ca="1">+AD88*(1+AF88/100)</f>
        <v>4.5143486135151587</v>
      </c>
      <c r="AH88" s="1259">
        <f ca="1">+AI88/AG88*100-100</f>
        <v>14.143820983901904</v>
      </c>
      <c r="AI88" s="1259">
        <f ca="1">OFFSET('VVP2'!$G$279,0,(COLUMN()-6)/5)</f>
        <v>5.1528499999999999</v>
      </c>
      <c r="AJ88" s="1259">
        <f ca="1">(AI88/AD88-1)*100</f>
        <v>25.052784343799605</v>
      </c>
      <c r="AK88" s="1259">
        <f ca="1">OFFSET('VVP2'!$G$89,0,(COLUMN()-7)/5)</f>
        <v>21.209135528019061</v>
      </c>
      <c r="AL88" s="1259">
        <f ca="1">+AI88*(1+AK88/100)</f>
        <v>6.2457249400555304</v>
      </c>
      <c r="AM88" s="1259">
        <f ca="1">+AN88/AL88*100-100</f>
        <v>9.4705738745147983E-2</v>
      </c>
      <c r="AN88" s="1259">
        <f ca="1">OFFSET('VVP2'!$G$279,0,(COLUMN()-6)/5)</f>
        <v>6.2516400000000001</v>
      </c>
      <c r="AO88" s="1259">
        <f ca="1">(AN88/AI88-1)*100</f>
        <v>21.323927535247478</v>
      </c>
      <c r="AP88" s="1259">
        <f ca="1">OFFSET('VVP2'!$G$89,0,(COLUMN()-7)/5)</f>
        <v>18.611044650627086</v>
      </c>
      <c r="AQ88" s="1259">
        <f ca="1">+AN88*(1+AP88/100)</f>
        <v>7.4151355117964632</v>
      </c>
      <c r="AR88" s="1259">
        <f ca="1">+AS88/AQ88*100-100</f>
        <v>-2.9413557102157739</v>
      </c>
      <c r="AS88" s="1259">
        <f ca="1">OFFSET('VVP2'!$G$279,0,(COLUMN()-6)/5)</f>
        <v>7.1970299999999998</v>
      </c>
      <c r="AT88" s="1259">
        <f ca="1">(AS88/AN88-1)*100</f>
        <v>15.122271915849272</v>
      </c>
      <c r="AU88" s="1259">
        <f ca="1">OFFSET('VVP2'!$G$89,0,(COLUMN()-7)/5)</f>
        <v>8.4262028762699828</v>
      </c>
      <c r="AV88" s="1259">
        <f ca="1">+AS88*(1+AU88/100)</f>
        <v>7.8034663488660136</v>
      </c>
      <c r="AW88" s="1259">
        <f ca="1">+AX88/AV88*100-100</f>
        <v>-1.3798527994121628</v>
      </c>
      <c r="AX88" s="1259">
        <f ca="1">OFFSET('VVP2'!$G$279,0,(COLUMN()-6)/5)</f>
        <v>7.6957899999999997</v>
      </c>
      <c r="AY88" s="1259">
        <f ca="1">(AX88/AS88-1)*100</f>
        <v>6.9300808805854652</v>
      </c>
      <c r="AZ88" s="1259">
        <f ca="1">OFFSET('VVP2'!$G$89,0,(COLUMN()-7)/5)</f>
        <v>3.994045959034831</v>
      </c>
      <c r="BA88" s="1259">
        <f ca="1">+AX88*(1+AZ88/100)</f>
        <v>8.0031633895108065</v>
      </c>
      <c r="BB88" s="1259">
        <f ca="1">+BC88/BA88*100-100</f>
        <v>7.8943360236434188</v>
      </c>
      <c r="BC88" s="1259">
        <f ca="1">OFFSET('VVP2'!$G$279,0,(COLUMN()-6)/5)</f>
        <v>8.6349599999999995</v>
      </c>
      <c r="BD88" s="1259">
        <f ca="1">(BC88/AX88-1)*100</f>
        <v>12.203685391623221</v>
      </c>
      <c r="BE88" s="1259">
        <f ca="1">OFFSET('VVP2'!$G$89,0,(COLUMN()-7)/5)</f>
        <v>20.540314154987939</v>
      </c>
      <c r="BF88" s="1259">
        <f ca="1">+BC88*(1+BE88/100)</f>
        <v>10.408607911157546</v>
      </c>
      <c r="BG88" s="1259">
        <f ca="1">+BH88/BF88*100-100</f>
        <v>8.642194004427779</v>
      </c>
      <c r="BH88" s="1259">
        <f ca="1">OFFSET('VVP2'!$G$279,0,(COLUMN()-6)/5)</f>
        <v>11.30814</v>
      </c>
      <c r="BI88" s="1259">
        <f ca="1">(BH88/BC88-1)*100</f>
        <v>30.957641957808725</v>
      </c>
      <c r="BJ88" s="1259">
        <f ca="1">OFFSET('VVP2'!$G$89,0,(COLUMN()-7)/5)</f>
        <v>12.644517254648502</v>
      </c>
      <c r="BK88" s="1259">
        <f ca="1">+BH88*(1+BJ88/100)</f>
        <v>12.737999713479809</v>
      </c>
      <c r="BL88" s="1259">
        <f ca="1">+BM88/BK88*100-100</f>
        <v>5.141311832713825</v>
      </c>
      <c r="BM88" s="1259">
        <f ca="1">OFFSET('VVP2'!$G$279,0,(COLUMN()-6)/5)</f>
        <v>13.392899999999999</v>
      </c>
      <c r="BN88" s="1259">
        <f ca="1">(BM88/BH88-1)*100</f>
        <v>18.435923149165113</v>
      </c>
      <c r="BO88" s="1259">
        <f ca="1">OFFSET('VVP2'!$G$89,0,(COLUMN()-7)/5)</f>
        <v>3.1746642424419269</v>
      </c>
      <c r="BP88" s="1259">
        <f ca="1">+BM88*(1+BO88/100)</f>
        <v>13.818079607326004</v>
      </c>
      <c r="BQ88" s="1259">
        <f ca="1">+BR88/BP88*100-100</f>
        <v>5.8351841615278346</v>
      </c>
      <c r="BR88" s="1259">
        <f ca="1">OFFSET('VVP2'!$G$279,0,(COLUMN()-6)/5)</f>
        <v>14.62439</v>
      </c>
      <c r="BS88" s="1259">
        <f ca="1">(BR88/BM88-1)*100</f>
        <v>9.1950959090264295</v>
      </c>
      <c r="BT88" s="1259">
        <f ca="1">OFFSET('VVP2'!$G$89,0,(COLUMN()-7)/5)</f>
        <v>13.507146939638858</v>
      </c>
      <c r="BU88" s="1259">
        <f ca="1">+BR88*(1+BT88/100)</f>
        <v>16.599727846325852</v>
      </c>
      <c r="BV88" s="1259">
        <f ca="1">+BW88/BU88*100-100</f>
        <v>12.546001795656593</v>
      </c>
      <c r="BW88" s="1259">
        <f ca="1">OFFSET('VVP2'!$G$279,0,(COLUMN()-6)/5)</f>
        <v>18.68233</v>
      </c>
      <c r="BX88" s="1259">
        <f ca="1">(BW88/BR88-1)*100</f>
        <v>27.74775563288452</v>
      </c>
      <c r="BY88" s="1259">
        <f ca="1">OFFSET('VVP2'!$G$89,0,(COLUMN()-7)/5)</f>
        <v>-12.788626994744856</v>
      </c>
      <c r="BZ88" s="1259">
        <f ca="1">+BW88*(1+BY88/100)</f>
        <v>16.293116502372683</v>
      </c>
      <c r="CA88" s="1259">
        <f ca="1">+CB88/BZ88*100-100</f>
        <v>-14.137175671930251</v>
      </c>
      <c r="CB88" s="1259">
        <f ca="1">OFFSET('VVP2'!$G$279,0,(COLUMN()-6)/5)</f>
        <v>13.98973</v>
      </c>
      <c r="CC88" s="1259">
        <f ca="1">(CB88/BW88-1)*100</f>
        <v>-25.117852002400131</v>
      </c>
      <c r="CD88" s="1259">
        <f ca="1">OFFSET('VVP2'!$G$89,0,(COLUMN()-7)/5)</f>
        <v>18.942229444272328</v>
      </c>
      <c r="CE88" s="1259">
        <f ca="1">+CB88*(1+CD88/100)</f>
        <v>16.639696755234198</v>
      </c>
      <c r="CF88" s="1259">
        <f ca="1">+CG88/CE88*100-100</f>
        <v>10.061380741443912</v>
      </c>
      <c r="CG88" s="1259">
        <f ca="1">OFFSET('VVP2'!$G$279,0,(COLUMN()-6)/5)</f>
        <v>18.313880000000001</v>
      </c>
      <c r="CH88" s="1259">
        <f ca="1">(CG88/CB88-1)*100</f>
        <v>30.909460011022372</v>
      </c>
      <c r="CI88" s="1259">
        <f ca="1">OFFSET('VVP2'!$G$89,0,(COLUMN()-7)/5)</f>
        <v>15.404381813138457</v>
      </c>
      <c r="CJ88" s="1259">
        <f ca="1">+CG88*(1+CI88/100)</f>
        <v>21.135020000000001</v>
      </c>
      <c r="CK88" s="1259">
        <f ca="1">+CL88/CJ88*100-100</f>
        <v>10.977183839901741</v>
      </c>
      <c r="CL88" s="1259">
        <f ca="1">OFFSET('VVP2'!$G$279,0,(COLUMN()-6)/5)</f>
        <v>23.45505</v>
      </c>
      <c r="CM88" s="1259">
        <f ca="1">(CL88/CG88-1)*100</f>
        <v>28.072532964068774</v>
      </c>
      <c r="CN88" s="1259">
        <f ca="1">OFFSET('VVP2'!$G$89,0,(COLUMN()-7)/5)</f>
        <v>12.388585390503515</v>
      </c>
      <c r="CO88" s="1259">
        <f ca="1">+CL88*(1+CN88/100)</f>
        <v>26.360798897635295</v>
      </c>
      <c r="CP88" s="1259">
        <f ca="1">+CQ88/CO88*100-100</f>
        <v>3.259655011600529</v>
      </c>
      <c r="CQ88" s="1259">
        <f ca="1">OFFSET('VVP2'!$G$279,0,(COLUMN()-6)/5)</f>
        <v>27.22007</v>
      </c>
      <c r="CR88" s="1259">
        <f ca="1">(CQ88/CL88-1)*100</f>
        <v>16.052065546651995</v>
      </c>
      <c r="CS88" s="1259">
        <f ca="1">OFFSET('VVP2'!$G$89,0,(COLUMN()-7)/5)</f>
        <v>9.8597881982962718</v>
      </c>
      <c r="CT88" s="1259">
        <f ca="1">+CQ88*(1+CS88/100)</f>
        <v>29.903911249427985</v>
      </c>
      <c r="CU88" s="1259">
        <f ca="1">+CV88/CT88*100-100</f>
        <v>-1.7256647303548078</v>
      </c>
      <c r="CV88" s="1259">
        <f ca="1">OFFSET('VVP2'!$G$279,0,(COLUMN()-6)/5)</f>
        <v>29.387869999999999</v>
      </c>
      <c r="CW88" s="1259">
        <f ca="1">(CV88/CQ88-1)*100</f>
        <v>7.9639765805157747</v>
      </c>
      <c r="CX88" s="1259">
        <f ca="1">OFFSET('VVP2'!$G$89,0,(COLUMN()-7)/5)</f>
        <v>3.2687395240077022</v>
      </c>
      <c r="CY88" s="1259">
        <f ca="1">+CV88*(1+CX88/100)</f>
        <v>30.348482921954002</v>
      </c>
      <c r="CZ88" s="1259">
        <f ca="1">+DA88/CY88*100-100</f>
        <v>-2.2751151144181989</v>
      </c>
      <c r="DA88" s="1259">
        <f ca="1">OFFSET('VVP2'!$G$279,0,(COLUMN()-6)/5)</f>
        <v>29.65802</v>
      </c>
      <c r="DB88" s="1259">
        <f ca="1">(DA88/CV88-1)*100</f>
        <v>0.91925682262783415</v>
      </c>
      <c r="DC88" s="1259">
        <f ca="1">OFFSET('VVP2'!$G$89,0,(COLUMN()-7)/5)</f>
        <v>-0.36250801068858918</v>
      </c>
      <c r="DD88" s="1259">
        <f ca="1">+DA88*(1+DC88/100)</f>
        <v>29.550507301688377</v>
      </c>
      <c r="DE88" s="1259">
        <f ca="1">+DF88/DD88*100-100</f>
        <v>-3.9503460626602447</v>
      </c>
      <c r="DF88" s="1259">
        <f ca="1">OFFSET('VVP2'!$G$279,0,(COLUMN()-6)/5)</f>
        <v>28.38316</v>
      </c>
      <c r="DG88" s="1259">
        <f ca="1">(DF88/DA88-1)*100</f>
        <v>-4.2985337524217737</v>
      </c>
      <c r="DH88" s="3335">
        <f ca="1">IF(UPPER($F$2)="Y",(DI88/DF88-1)*100,OFFSET('VVP2'!$G$89,0,(COLUMN()-7)/5))</f>
        <v>3.4546244444509711</v>
      </c>
      <c r="DI88" s="3348">
        <f ca="1">IF(UPPER($F$2)="Y",+DI86+DI87,DF88*(1+DH88/100))</f>
        <v>29.363691583467631</v>
      </c>
      <c r="DJ88" s="1259">
        <f ca="1">+DK88/DI88*100-100</f>
        <v>-1.956707595277706</v>
      </c>
      <c r="DK88" s="1259">
        <f ca="1">+DK86+DK87</f>
        <v>28.78913</v>
      </c>
      <c r="DL88" s="1259">
        <f ca="1">(DK88/DF88-1)*100</f>
        <v>1.4303199502803787</v>
      </c>
      <c r="DM88" s="3335">
        <f ca="1">IF(UPPER($F$2)="Y",(DN88/DK88-1)*100,OFFSET('VVP2'!$G$89,0,(COLUMN()-7)/5))</f>
        <v>13.238498222730865</v>
      </c>
      <c r="DN88" s="3348">
        <f ca="1">IF(UPPER($F$2)="Y",+DN86+DN87,DK88*(1+DM88/100))</f>
        <v>32.600378463389681</v>
      </c>
      <c r="DO88" s="1259">
        <f ca="1">+DP88/DN88*100-100</f>
        <v>4.3947696442213413</v>
      </c>
      <c r="DP88" s="1259">
        <f ca="1">+DP86+DP87</f>
        <v>34.033090000000001</v>
      </c>
      <c r="DQ88" s="1259">
        <f ca="1">(DP88/DK88-1)*100</f>
        <v>18.215069368195568</v>
      </c>
      <c r="DR88" s="3735">
        <f ca="1">IF(UPPER($F$2)="Y",(DS88/DP88-1)*100,OFFSET('VVP2'!$G$89,0,(COLUMN()-7)/5))</f>
        <v>5.5162869137066251</v>
      </c>
      <c r="DS88" s="3348">
        <f ca="1">IF(UPPER($F$2)="Y",+DS86+DS87,DP88*(1+DR88/100))</f>
        <v>35.910452890000002</v>
      </c>
      <c r="DT88" s="1259">
        <f ca="1">+DU88/DS88*100-100</f>
        <v>2.3491131709032516</v>
      </c>
      <c r="DU88" s="1259">
        <f ca="1">+DU86+DU87</f>
        <v>36.754030068569996</v>
      </c>
      <c r="DV88" s="1259">
        <f ca="1">(DU88/DP88-1)*100</f>
        <v>7.9949839070445616</v>
      </c>
      <c r="DW88" s="3335">
        <f ca="1">IF(UPPER($F$2)="Y",(DX88/DU88-1)*100,OFFSET('VVP2'!$G$89,0,(COLUMN()-7)/5))</f>
        <v>4.424592787673598</v>
      </c>
      <c r="DX88" s="3348">
        <f ca="1">IF(UPPER($F$2)="Y",+DX86+DX87,DU88*(1+DW88/100))</f>
        <v>38.38024623216333</v>
      </c>
      <c r="DY88" s="1259">
        <f ca="1">+DZ88/DX88*100-100</f>
        <v>2.0246105466469544</v>
      </c>
      <c r="DZ88" s="1259">
        <f ca="1">+DZ86+DZ87</f>
        <v>39.157296745208775</v>
      </c>
      <c r="EA88" s="1259">
        <f ca="1">(DZ88/DU88-1)*100</f>
        <v>6.5387841065459584</v>
      </c>
      <c r="EB88"/>
      <c r="EC88"/>
      <c r="ED88"/>
      <c r="EE88"/>
      <c r="EF88"/>
      <c r="EG88"/>
      <c r="EH88"/>
      <c r="EI88"/>
      <c r="EJ88"/>
      <c r="EK88"/>
      <c r="EL88"/>
      <c r="EM88"/>
      <c r="EN88"/>
      <c r="EO88"/>
    </row>
    <row r="89" spans="1:145" s="2842" customFormat="1">
      <c r="A89" s="2841"/>
      <c r="C89" s="2843"/>
      <c r="D89" s="1782"/>
      <c r="E89" s="1782" t="s">
        <v>758</v>
      </c>
      <c r="F89" s="2844"/>
      <c r="G89" s="2845"/>
      <c r="H89" s="2845"/>
      <c r="I89" s="2845"/>
      <c r="J89" s="1232"/>
      <c r="K89" s="2845"/>
      <c r="L89" s="2847">
        <f ca="1">OFFSET('Q1'!$N185,0,(COLUMN()-12)*4/5)</f>
        <v>18.967519551278087</v>
      </c>
      <c r="M89" s="2846"/>
      <c r="N89" s="1232"/>
      <c r="O89" s="1232"/>
      <c r="P89" s="1232"/>
      <c r="Q89" s="2847">
        <f ca="1">OFFSET('Q1'!$N185,0,(COLUMN()-12)*4/5)</f>
        <v>17.876596031923242</v>
      </c>
      <c r="R89" s="1232"/>
      <c r="S89" s="1232"/>
      <c r="T89" s="1232"/>
      <c r="U89" s="1232"/>
      <c r="V89" s="2847">
        <f ca="1">OFFSET('Q1'!$N185,0,(COLUMN()-12)*4/5)</f>
        <v>5.3000903024029213</v>
      </c>
      <c r="W89" s="1232"/>
      <c r="X89" s="1232"/>
      <c r="Y89" s="1232"/>
      <c r="Z89" s="1232"/>
      <c r="AA89" s="2847">
        <f ca="1">OFFSET('Q1'!$N185,0,(COLUMN()-12)*4/5)</f>
        <v>-16.795860228323306</v>
      </c>
      <c r="AB89" s="1232"/>
      <c r="AC89" s="1232"/>
      <c r="AD89" s="1232"/>
      <c r="AE89" s="1232"/>
      <c r="AF89" s="2847">
        <f ca="1">OFFSET('Q1'!$N185,0,(COLUMN()-12)*4/5)</f>
        <v>10.505437487744899</v>
      </c>
      <c r="AG89" s="1232"/>
      <c r="AH89" s="1232"/>
      <c r="AI89" s="1232"/>
      <c r="AJ89" s="1232"/>
      <c r="AK89" s="2847">
        <f ca="1">OFFSET('Q1'!$N185,0,(COLUMN()-12)*4/5)</f>
        <v>20.872006260464431</v>
      </c>
      <c r="AL89" s="1232"/>
      <c r="AM89" s="1232"/>
      <c r="AN89" s="1232"/>
      <c r="AO89" s="1232"/>
      <c r="AP89" s="2847">
        <f ca="1">OFFSET('Q1'!$N185,0,(COLUMN()-12)*4/5)</f>
        <v>18.388057229539228</v>
      </c>
      <c r="AQ89" s="1232"/>
      <c r="AR89" s="1232"/>
      <c r="AS89" s="1232"/>
      <c r="AT89" s="1232"/>
      <c r="AU89" s="2847">
        <f ca="1">OFFSET('Q1'!$N185,0,(COLUMN()-12)*4/5)</f>
        <v>7.9731525699641992</v>
      </c>
      <c r="AV89" s="1232"/>
      <c r="AW89" s="1232"/>
      <c r="AX89" s="1232"/>
      <c r="AY89" s="1232"/>
      <c r="AZ89" s="2847">
        <f ca="1">OFFSET('Q1'!$N185,0,(COLUMN()-12)*4/5)</f>
        <v>3.9552996952251931</v>
      </c>
      <c r="BA89" s="1232"/>
      <c r="BB89" s="1232"/>
      <c r="BC89" s="1232"/>
      <c r="BD89" s="1232"/>
      <c r="BE89" s="2847">
        <f ca="1">OFFSET('Q1'!$N185,0,(COLUMN()-12)*4/5)</f>
        <v>30.842309058513962</v>
      </c>
      <c r="BF89" s="1232"/>
      <c r="BG89" s="1232"/>
      <c r="BH89" s="1232"/>
      <c r="BI89" s="1232"/>
      <c r="BJ89" s="2847">
        <f ca="1">OFFSET('Q1'!$N185,0,(COLUMN()-12)*4/5)</f>
        <v>12.650062043086294</v>
      </c>
      <c r="BK89" s="1232"/>
      <c r="BL89" s="1232"/>
      <c r="BM89" s="1232"/>
      <c r="BN89" s="1232"/>
      <c r="BO89" s="2847">
        <f ca="1">OFFSET('Q1'!$N185,0,(COLUMN()-12)*4/5)</f>
        <v>3.1758249779364434</v>
      </c>
      <c r="BP89" s="1232"/>
      <c r="BQ89" s="1232"/>
      <c r="BR89" s="1232"/>
      <c r="BS89" s="1232"/>
      <c r="BT89" s="2847">
        <f ca="1">OFFSET('Q1'!$N185,0,(COLUMN()-12)*4/5)</f>
        <v>13.671239396219633</v>
      </c>
      <c r="BU89" s="1232"/>
      <c r="BV89" s="1232"/>
      <c r="BW89" s="1232"/>
      <c r="BX89" s="1232"/>
      <c r="BY89" s="2847">
        <f ca="1">OFFSET('Q1'!$N185,0,(COLUMN()-12)*4/5)</f>
        <v>-12.914724120762244</v>
      </c>
      <c r="BZ89" s="1232"/>
      <c r="CA89" s="1232"/>
      <c r="CB89" s="1232"/>
      <c r="CC89" s="1232"/>
      <c r="CD89" s="2847">
        <f ca="1">OFFSET('Q1'!$N185,0,(COLUMN()-12)*4/5)</f>
        <v>19.073792538884348</v>
      </c>
      <c r="CE89" s="1232"/>
      <c r="CF89" s="1232"/>
      <c r="CG89" s="1232"/>
      <c r="CH89" s="1232"/>
      <c r="CI89" s="2847">
        <f ca="1">OFFSET('Q1'!$N185,0,(COLUMN()-12)*4/5)</f>
        <v>15.295510596040955</v>
      </c>
      <c r="CJ89" s="1232"/>
      <c r="CK89" s="1232"/>
      <c r="CL89" s="1232"/>
      <c r="CM89" s="1232"/>
      <c r="CN89" s="2847">
        <f ca="1">OFFSET('Q1'!$N185,0,(COLUMN()-12)*4/5)</f>
        <v>12.41026174938122</v>
      </c>
      <c r="CO89" s="1232"/>
      <c r="CP89" s="1232"/>
      <c r="CQ89" s="1232"/>
      <c r="CR89" s="1232"/>
      <c r="CS89" s="2847">
        <f ca="1">OFFSET('Q1'!$N185,0,(COLUMN()-12)*4/5)</f>
        <v>9.8420009009274594</v>
      </c>
      <c r="CT89" s="1232"/>
      <c r="CU89" s="1232"/>
      <c r="CV89" s="1232"/>
      <c r="CW89" s="1232"/>
      <c r="CX89" s="2847">
        <f ca="1">OFFSET('Q1'!$N185,0,(COLUMN()-12)*4/5)</f>
        <v>3.3245052910762638</v>
      </c>
      <c r="CY89" s="1232"/>
      <c r="CZ89" s="1232"/>
      <c r="DA89" s="1232"/>
      <c r="DB89" s="1232"/>
      <c r="DC89" s="2847">
        <f ca="1">OFFSET('Q1'!$N185,0,(COLUMN()-12)*4/5)</f>
        <v>-0.44957990986146967</v>
      </c>
      <c r="DD89" s="1232"/>
      <c r="DE89" s="1232"/>
      <c r="DF89" s="1232"/>
      <c r="DG89" s="1232"/>
      <c r="DH89" s="2847">
        <f ca="1">OFFSET('Q1'!$N185,0,(COLUMN()-12)*4/5)</f>
        <v>3.4813487198786817</v>
      </c>
      <c r="DI89" s="1232"/>
      <c r="DJ89" s="1232"/>
      <c r="DK89" s="1232"/>
      <c r="DL89" s="1232"/>
      <c r="DM89" s="2865">
        <f ca="1">OFFSET('Q1'!$N185,0,(COLUMN()-12)*4/5)</f>
        <v>13.302438462314001</v>
      </c>
      <c r="DN89" s="1232"/>
      <c r="DO89" s="1232"/>
      <c r="DP89" s="1232"/>
      <c r="DQ89" s="1232"/>
      <c r="DR89" s="3736">
        <f ca="1">OFFSET('Q1'!$N185,0,(COLUMN()-12)*4/5)</f>
        <v>5.5193063496132453</v>
      </c>
      <c r="DS89" s="1232"/>
      <c r="DT89" s="1232"/>
      <c r="DU89" s="1232"/>
      <c r="DV89" s="1232"/>
      <c r="DW89" s="2847">
        <f ca="1">OFFSET('Q1'!$N185,0,(COLUMN()-12)*4/5)</f>
        <v>4.4173824453026782</v>
      </c>
      <c r="DX89" s="1232"/>
      <c r="DY89" s="1232"/>
      <c r="DZ89" s="1232"/>
      <c r="EA89" s="1232"/>
      <c r="EB89"/>
      <c r="EC89"/>
      <c r="ED89"/>
      <c r="EE89"/>
      <c r="EF89"/>
      <c r="EG89"/>
      <c r="EH89"/>
      <c r="EI89"/>
      <c r="EJ89"/>
      <c r="EK89"/>
      <c r="EL89"/>
      <c r="EM89"/>
      <c r="EN89"/>
      <c r="EO89"/>
    </row>
    <row r="90" spans="1:145">
      <c r="BZ90" s="1444"/>
      <c r="CB90" s="3108"/>
      <c r="CD90" s="3194">
        <f ca="1">CD87/CD86</f>
        <v>1.2687090330081321</v>
      </c>
      <c r="CE90" s="3194">
        <f ca="1">CE87/CE86</f>
        <v>3.9049486178949842</v>
      </c>
      <c r="CF90" s="3194"/>
      <c r="CG90" s="3194">
        <f ca="1">CG87/CG86</f>
        <v>4.3504427571014963</v>
      </c>
      <c r="CH90" s="3194"/>
      <c r="CI90" s="3194">
        <f ca="1">CI87/CI86</f>
        <v>1.0479704227668585</v>
      </c>
      <c r="CJ90" s="3194">
        <f ca="1">CJ87/CJ86</f>
        <v>4.3773887821695263</v>
      </c>
      <c r="CK90" s="3194"/>
      <c r="CL90" s="3194">
        <f ca="1">CL87/CL86</f>
        <v>4.8156380947658137</v>
      </c>
      <c r="CM90" s="3194"/>
      <c r="CN90" s="3194">
        <f ca="1">CN87/CN86</f>
        <v>0.719856803045408</v>
      </c>
      <c r="CO90" s="3194">
        <f ca="1">CO87/CO86</f>
        <v>4.6282541216692845</v>
      </c>
      <c r="CP90" s="3194"/>
      <c r="CQ90" s="3194">
        <f ca="1">CQ87/CQ86</f>
        <v>4.6792366224277107</v>
      </c>
      <c r="CR90" s="3194"/>
      <c r="CS90" s="3194">
        <f ca="1">CS87/CS86</f>
        <v>0.74403360287517917</v>
      </c>
      <c r="CT90" s="3194">
        <f ca="1">CT87/CT86</f>
        <v>4.5462037556616792</v>
      </c>
      <c r="CU90" s="3194"/>
      <c r="CV90" s="3194">
        <f ca="1">CV87/CV86</f>
        <v>4.4520825719220589</v>
      </c>
      <c r="CW90" s="3194"/>
      <c r="CX90" s="3194">
        <f ca="1">CX87/CX86</f>
        <v>0.18631322667263425</v>
      </c>
      <c r="CY90" s="3194">
        <f ca="1">CY87/CY86</f>
        <v>4.1305190757689276</v>
      </c>
      <c r="CZ90" s="3194"/>
      <c r="DA90" s="3194">
        <f ca="1">DA87/DA86</f>
        <v>4.0196126551385047</v>
      </c>
      <c r="DC90" s="3194">
        <f ca="1">DC87/DC86</f>
        <v>-0.58935890430898441</v>
      </c>
      <c r="DD90" s="3194">
        <f ca="1">DD87/DD86</f>
        <v>3.9358070260214411</v>
      </c>
      <c r="DE90" s="3194"/>
      <c r="DF90" s="3194">
        <f ca="1">DF87/DF86</f>
        <v>3.6730712555793188</v>
      </c>
      <c r="DH90" s="3194">
        <f ca="1">DH87/DH86</f>
        <v>0.12294648888632628</v>
      </c>
      <c r="DI90" s="3194">
        <f ca="1">DI87/DI86</f>
        <v>3.3506551637406541</v>
      </c>
      <c r="DJ90" s="3194"/>
      <c r="DK90" s="3194">
        <f ca="1">DK87/DK86</f>
        <v>3.1922539251691369</v>
      </c>
      <c r="DM90" s="3194">
        <f ca="1">DM87/DM86</f>
        <v>0.7390944142691287</v>
      </c>
      <c r="DN90" s="3194">
        <f ca="1">DN87/DN86</f>
        <v>3.0741660251402911</v>
      </c>
      <c r="DO90" s="3194"/>
      <c r="DP90" s="3194">
        <f ca="1">DP87/DP86</f>
        <v>3.1101921820445715</v>
      </c>
      <c r="DR90" s="3194">
        <f>DR87/DR86</f>
        <v>0.8</v>
      </c>
      <c r="DS90" s="3194">
        <f ca="1">DS87/DS86</f>
        <v>3.0722273948459056</v>
      </c>
      <c r="DT90" s="3194"/>
      <c r="DU90" s="3194">
        <f ca="1">DU87/DU86</f>
        <v>3.0662328048071816</v>
      </c>
      <c r="DW90" s="3194">
        <f>DW87/DW86</f>
        <v>0.97777777777777786</v>
      </c>
      <c r="DX90" s="3194">
        <f ca="1">DX87/DX86</f>
        <v>3.063298610735596</v>
      </c>
      <c r="DY90" s="3194"/>
      <c r="DZ90" s="3194">
        <f ca="1">DZ87/DZ86</f>
        <v>3.0602983182667072</v>
      </c>
    </row>
    <row r="92" spans="1:145">
      <c r="D92" s="3752"/>
      <c r="E92" s="3752" t="s">
        <v>456</v>
      </c>
      <c r="F92" s="3752"/>
      <c r="G92" s="3754">
        <f>+InputY!$G$3</f>
        <v>1995</v>
      </c>
      <c r="H92" s="3755"/>
      <c r="I92" s="3755"/>
      <c r="J92" s="3755"/>
      <c r="K92" s="3756"/>
      <c r="L92" s="3754">
        <f>+G92+1</f>
        <v>1996</v>
      </c>
      <c r="M92" s="3755"/>
      <c r="N92" s="3755"/>
      <c r="O92" s="3755"/>
      <c r="P92" s="3756"/>
      <c r="Q92" s="3754">
        <f>+L92+1</f>
        <v>1997</v>
      </c>
      <c r="R92" s="3755"/>
      <c r="S92" s="3755"/>
      <c r="T92" s="3755"/>
      <c r="U92" s="3756"/>
      <c r="V92" s="3754">
        <f>+Q92+1</f>
        <v>1998</v>
      </c>
      <c r="W92" s="3755"/>
      <c r="X92" s="3755"/>
      <c r="Y92" s="3755"/>
      <c r="Z92" s="3756"/>
      <c r="AA92" s="3754">
        <f>+V92+1</f>
        <v>1999</v>
      </c>
      <c r="AB92" s="3755"/>
      <c r="AC92" s="3755"/>
      <c r="AD92" s="3755"/>
      <c r="AE92" s="3756"/>
      <c r="AF92" s="3754">
        <f>+AA92+1</f>
        <v>2000</v>
      </c>
      <c r="AG92" s="3755"/>
      <c r="AH92" s="3755"/>
      <c r="AI92" s="3755"/>
      <c r="AJ92" s="3756"/>
      <c r="AK92" s="3754">
        <f>+AF92+1</f>
        <v>2001</v>
      </c>
      <c r="AL92" s="3755"/>
      <c r="AM92" s="3755"/>
      <c r="AN92" s="3755"/>
      <c r="AO92" s="3756"/>
      <c r="AP92" s="3754">
        <f>+AK92+1</f>
        <v>2002</v>
      </c>
      <c r="AQ92" s="3755"/>
      <c r="AR92" s="3755"/>
      <c r="AS92" s="3755"/>
      <c r="AT92" s="3756"/>
      <c r="AU92" s="3754">
        <f>+AP92+1</f>
        <v>2003</v>
      </c>
      <c r="AV92" s="3755"/>
      <c r="AW92" s="3755"/>
      <c r="AX92" s="3755"/>
      <c r="AY92" s="3756"/>
      <c r="AZ92" s="3754">
        <f>+AU92+1</f>
        <v>2004</v>
      </c>
      <c r="BA92" s="3755"/>
      <c r="BB92" s="3755"/>
      <c r="BC92" s="3755"/>
      <c r="BD92" s="3756"/>
      <c r="BE92" s="3754">
        <f>+AZ92+1</f>
        <v>2005</v>
      </c>
      <c r="BF92" s="3755"/>
      <c r="BG92" s="3755"/>
      <c r="BH92" s="3755"/>
      <c r="BI92" s="3756"/>
      <c r="BJ92" s="3754">
        <f>+BE92+1</f>
        <v>2006</v>
      </c>
      <c r="BK92" s="3755"/>
      <c r="BL92" s="3755"/>
      <c r="BM92" s="3755"/>
      <c r="BN92" s="3756"/>
      <c r="BO92" s="3754">
        <f>+BJ92+1</f>
        <v>2007</v>
      </c>
      <c r="BP92" s="3755"/>
      <c r="BQ92" s="3755"/>
      <c r="BR92" s="3755"/>
      <c r="BS92" s="3756"/>
      <c r="BT92" s="3754">
        <f>+BO92+1</f>
        <v>2008</v>
      </c>
      <c r="BU92" s="3755"/>
      <c r="BV92" s="3755"/>
      <c r="BW92" s="3755"/>
      <c r="BX92" s="3756"/>
      <c r="BY92" s="3754">
        <f>+BT92+1</f>
        <v>2009</v>
      </c>
      <c r="BZ92" s="3755"/>
      <c r="CA92" s="3755"/>
      <c r="CB92" s="3755"/>
      <c r="CC92" s="3756"/>
      <c r="CD92" s="3754">
        <f>+BY92+1</f>
        <v>2010</v>
      </c>
      <c r="CE92" s="3755"/>
      <c r="CF92" s="3755"/>
      <c r="CG92" s="3755"/>
      <c r="CH92" s="3756"/>
      <c r="CI92" s="3754">
        <f>+CD92+1</f>
        <v>2011</v>
      </c>
      <c r="CJ92" s="3755"/>
      <c r="CK92" s="3755"/>
      <c r="CL92" s="3755"/>
      <c r="CM92" s="3756"/>
      <c r="CN92" s="3754">
        <f>+CI92+1</f>
        <v>2012</v>
      </c>
      <c r="CO92" s="3755"/>
      <c r="CP92" s="3755"/>
      <c r="CQ92" s="3755"/>
      <c r="CR92" s="3756"/>
      <c r="CS92" s="3754">
        <f>+CN92+1</f>
        <v>2013</v>
      </c>
      <c r="CT92" s="3755"/>
      <c r="CU92" s="3755"/>
      <c r="CV92" s="3755"/>
      <c r="CW92" s="3756"/>
      <c r="CX92" s="3754">
        <f>+CS92+1</f>
        <v>2014</v>
      </c>
      <c r="CY92" s="3755"/>
      <c r="CZ92" s="3755"/>
      <c r="DA92" s="3755"/>
      <c r="DB92" s="3756"/>
      <c r="DC92" s="3754">
        <f>+CX92+1</f>
        <v>2015</v>
      </c>
      <c r="DD92" s="3755"/>
      <c r="DE92" s="3755"/>
      <c r="DF92" s="3755"/>
      <c r="DG92" s="3756"/>
      <c r="DH92" s="3754">
        <f>+DC92+1</f>
        <v>2016</v>
      </c>
      <c r="DI92" s="3755"/>
      <c r="DJ92" s="3755"/>
      <c r="DK92" s="3755"/>
      <c r="DL92" s="3756"/>
      <c r="DM92" s="3754">
        <f>+DH92+1</f>
        <v>2017</v>
      </c>
      <c r="DN92" s="3755"/>
      <c r="DO92" s="3755"/>
      <c r="DP92" s="3755"/>
      <c r="DQ92" s="3756"/>
      <c r="DR92" s="3754">
        <f>+DM92+1</f>
        <v>2018</v>
      </c>
      <c r="DS92" s="3755"/>
      <c r="DT92" s="3755"/>
      <c r="DU92" s="3755"/>
      <c r="DV92" s="3756"/>
      <c r="DW92" s="3754">
        <f>+DR92+1</f>
        <v>2019</v>
      </c>
      <c r="DX92" s="3755"/>
      <c r="DY92" s="3755"/>
      <c r="DZ92" s="3755"/>
      <c r="EA92" s="3756"/>
    </row>
    <row r="93" spans="1:145">
      <c r="C93" s="3"/>
      <c r="D93" s="3752"/>
      <c r="E93" s="3752" t="s">
        <v>1587</v>
      </c>
      <c r="F93" s="3752"/>
      <c r="G93" s="1256" t="s">
        <v>1486</v>
      </c>
      <c r="H93" s="1253" t="s">
        <v>1732</v>
      </c>
      <c r="I93" s="1252" t="s">
        <v>2022</v>
      </c>
      <c r="J93" s="1253" t="s">
        <v>584</v>
      </c>
      <c r="K93" s="1252" t="s">
        <v>2023</v>
      </c>
      <c r="L93" s="1252" t="s">
        <v>1486</v>
      </c>
      <c r="M93" s="1253" t="s">
        <v>1732</v>
      </c>
      <c r="N93" s="1252" t="s">
        <v>2022</v>
      </c>
      <c r="O93" s="1253" t="s">
        <v>584</v>
      </c>
      <c r="P93" s="1252" t="s">
        <v>2023</v>
      </c>
      <c r="Q93" s="1252" t="s">
        <v>1486</v>
      </c>
      <c r="R93" s="1253" t="s">
        <v>1732</v>
      </c>
      <c r="S93" s="1252" t="s">
        <v>2022</v>
      </c>
      <c r="T93" s="1253" t="s">
        <v>584</v>
      </c>
      <c r="U93" s="1252" t="s">
        <v>2023</v>
      </c>
      <c r="V93" s="1252" t="s">
        <v>1486</v>
      </c>
      <c r="W93" s="1253" t="s">
        <v>1732</v>
      </c>
      <c r="X93" s="1252" t="s">
        <v>2022</v>
      </c>
      <c r="Y93" s="1253" t="s">
        <v>584</v>
      </c>
      <c r="Z93" s="1252" t="s">
        <v>2023</v>
      </c>
      <c r="AA93" s="1252" t="s">
        <v>1486</v>
      </c>
      <c r="AB93" s="1253" t="s">
        <v>1732</v>
      </c>
      <c r="AC93" s="1252" t="s">
        <v>2022</v>
      </c>
      <c r="AD93" s="1253" t="s">
        <v>584</v>
      </c>
      <c r="AE93" s="1252" t="s">
        <v>2023</v>
      </c>
      <c r="AF93" s="1252" t="s">
        <v>1486</v>
      </c>
      <c r="AG93" s="1253" t="s">
        <v>1732</v>
      </c>
      <c r="AH93" s="1252" t="s">
        <v>2022</v>
      </c>
      <c r="AI93" s="1253" t="s">
        <v>584</v>
      </c>
      <c r="AJ93" s="1252" t="s">
        <v>2023</v>
      </c>
      <c r="AK93" s="1252" t="s">
        <v>1486</v>
      </c>
      <c r="AL93" s="1253" t="s">
        <v>1732</v>
      </c>
      <c r="AM93" s="1252" t="s">
        <v>2022</v>
      </c>
      <c r="AN93" s="1253" t="s">
        <v>584</v>
      </c>
      <c r="AO93" s="1252" t="s">
        <v>2023</v>
      </c>
      <c r="AP93" s="1252" t="s">
        <v>1486</v>
      </c>
      <c r="AQ93" s="1253" t="s">
        <v>1732</v>
      </c>
      <c r="AR93" s="1252" t="s">
        <v>2022</v>
      </c>
      <c r="AS93" s="1253" t="s">
        <v>584</v>
      </c>
      <c r="AT93" s="1252" t="s">
        <v>2023</v>
      </c>
      <c r="AU93" s="1252" t="s">
        <v>1486</v>
      </c>
      <c r="AV93" s="1253" t="s">
        <v>1732</v>
      </c>
      <c r="AW93" s="1252" t="s">
        <v>2022</v>
      </c>
      <c r="AX93" s="1253" t="s">
        <v>584</v>
      </c>
      <c r="AY93" s="1252" t="s">
        <v>2023</v>
      </c>
      <c r="AZ93" s="1252" t="s">
        <v>1486</v>
      </c>
      <c r="BA93" s="1253" t="s">
        <v>1732</v>
      </c>
      <c r="BB93" s="1252" t="s">
        <v>2022</v>
      </c>
      <c r="BC93" s="1253" t="s">
        <v>584</v>
      </c>
      <c r="BD93" s="1252" t="s">
        <v>2023</v>
      </c>
      <c r="BE93" s="1252" t="s">
        <v>1486</v>
      </c>
      <c r="BF93" s="1253" t="s">
        <v>1732</v>
      </c>
      <c r="BG93" s="1252" t="s">
        <v>2022</v>
      </c>
      <c r="BH93" s="1253" t="s">
        <v>584</v>
      </c>
      <c r="BI93" s="1252" t="s">
        <v>2023</v>
      </c>
      <c r="BJ93" s="1252" t="s">
        <v>1486</v>
      </c>
      <c r="BK93" s="1253" t="s">
        <v>1732</v>
      </c>
      <c r="BL93" s="1252" t="s">
        <v>2022</v>
      </c>
      <c r="BM93" s="1253" t="s">
        <v>584</v>
      </c>
      <c r="BN93" s="1252" t="s">
        <v>2023</v>
      </c>
      <c r="BO93" s="1252" t="s">
        <v>1486</v>
      </c>
      <c r="BP93" s="1253" t="s">
        <v>1732</v>
      </c>
      <c r="BQ93" s="1252" t="s">
        <v>2022</v>
      </c>
      <c r="BR93" s="1253" t="s">
        <v>584</v>
      </c>
      <c r="BS93" s="1252" t="s">
        <v>2023</v>
      </c>
      <c r="BT93" s="1252" t="s">
        <v>1486</v>
      </c>
      <c r="BU93" s="1253" t="s">
        <v>1732</v>
      </c>
      <c r="BV93" s="1252" t="s">
        <v>2022</v>
      </c>
      <c r="BW93" s="1253" t="s">
        <v>584</v>
      </c>
      <c r="BX93" s="1252" t="s">
        <v>2023</v>
      </c>
      <c r="BY93" s="1252" t="s">
        <v>1486</v>
      </c>
      <c r="BZ93" s="1253" t="s">
        <v>1732</v>
      </c>
      <c r="CA93" s="1252" t="s">
        <v>2022</v>
      </c>
      <c r="CB93" s="1253" t="s">
        <v>584</v>
      </c>
      <c r="CC93" s="1252" t="s">
        <v>2023</v>
      </c>
      <c r="CD93" s="1252" t="s">
        <v>1486</v>
      </c>
      <c r="CE93" s="1253" t="s">
        <v>1732</v>
      </c>
      <c r="CF93" s="1252" t="s">
        <v>2022</v>
      </c>
      <c r="CG93" s="1253" t="s">
        <v>584</v>
      </c>
      <c r="CH93" s="1252" t="s">
        <v>2023</v>
      </c>
      <c r="CI93" s="1252" t="s">
        <v>1486</v>
      </c>
      <c r="CJ93" s="1253" t="s">
        <v>1732</v>
      </c>
      <c r="CK93" s="1252" t="s">
        <v>2022</v>
      </c>
      <c r="CL93" s="1253" t="s">
        <v>584</v>
      </c>
      <c r="CM93" s="1252" t="s">
        <v>2023</v>
      </c>
      <c r="CN93" s="1252" t="s">
        <v>1486</v>
      </c>
      <c r="CO93" s="1253" t="s">
        <v>1732</v>
      </c>
      <c r="CP93" s="1252" t="s">
        <v>2022</v>
      </c>
      <c r="CQ93" s="1253" t="s">
        <v>584</v>
      </c>
      <c r="CR93" s="1252" t="s">
        <v>2023</v>
      </c>
      <c r="CS93" s="1252" t="s">
        <v>1486</v>
      </c>
      <c r="CT93" s="1253" t="s">
        <v>1732</v>
      </c>
      <c r="CU93" s="1252" t="s">
        <v>2022</v>
      </c>
      <c r="CV93" s="1253" t="s">
        <v>584</v>
      </c>
      <c r="CW93" s="1252" t="s">
        <v>2023</v>
      </c>
      <c r="CX93" s="1252" t="s">
        <v>1486</v>
      </c>
      <c r="CY93" s="1253" t="s">
        <v>1732</v>
      </c>
      <c r="CZ93" s="1252" t="s">
        <v>2022</v>
      </c>
      <c r="DA93" s="1253" t="s">
        <v>584</v>
      </c>
      <c r="DB93" s="1252" t="s">
        <v>2023</v>
      </c>
      <c r="DC93" s="1252" t="s">
        <v>1486</v>
      </c>
      <c r="DD93" s="1253" t="s">
        <v>1732</v>
      </c>
      <c r="DE93" s="1252" t="s">
        <v>2022</v>
      </c>
      <c r="DF93" s="1253" t="s">
        <v>584</v>
      </c>
      <c r="DG93" s="1252" t="s">
        <v>2023</v>
      </c>
      <c r="DH93" s="1252" t="s">
        <v>1486</v>
      </c>
      <c r="DI93" s="1253" t="s">
        <v>1732</v>
      </c>
      <c r="DJ93" s="1252" t="s">
        <v>2022</v>
      </c>
      <c r="DK93" s="1253" t="s">
        <v>584</v>
      </c>
      <c r="DL93" s="1252" t="s">
        <v>2023</v>
      </c>
      <c r="DM93" s="1252" t="s">
        <v>1486</v>
      </c>
      <c r="DN93" s="1253" t="s">
        <v>1732</v>
      </c>
      <c r="DO93" s="1252" t="s">
        <v>2022</v>
      </c>
      <c r="DP93" s="1253" t="s">
        <v>584</v>
      </c>
      <c r="DQ93" s="1252" t="s">
        <v>2023</v>
      </c>
      <c r="DR93" s="1252" t="s">
        <v>1486</v>
      </c>
      <c r="DS93" s="1253" t="s">
        <v>1732</v>
      </c>
      <c r="DT93" s="1252" t="s">
        <v>2022</v>
      </c>
      <c r="DU93" s="1253" t="s">
        <v>584</v>
      </c>
      <c r="DV93" s="1252" t="s">
        <v>2023</v>
      </c>
      <c r="DW93" s="1252" t="s">
        <v>1486</v>
      </c>
      <c r="DX93" s="1253" t="s">
        <v>1732</v>
      </c>
      <c r="DY93" s="1252" t="s">
        <v>2022</v>
      </c>
      <c r="DZ93" s="1253" t="s">
        <v>584</v>
      </c>
      <c r="EA93" s="1252" t="s">
        <v>2023</v>
      </c>
    </row>
    <row r="94" spans="1:145" s="1295" customFormat="1">
      <c r="A94" s="1458"/>
      <c r="C94" s="1296" t="s">
        <v>1767</v>
      </c>
      <c r="D94" s="1297"/>
      <c r="E94" s="1297" t="s">
        <v>624</v>
      </c>
      <c r="F94" s="1298" t="s">
        <v>622</v>
      </c>
      <c r="G94" s="1237"/>
      <c r="H94" s="1238"/>
      <c r="I94" s="1239"/>
      <c r="J94" s="1228" t="e">
        <f ca="1">OFFSET('VVP2'!$G$288,0,(COLUMN()-6)/5)</f>
        <v>#VALUE!</v>
      </c>
      <c r="K94" s="1240"/>
      <c r="L94" s="1237"/>
      <c r="M94" s="1238"/>
      <c r="N94" s="1239"/>
      <c r="O94" s="1228" t="e">
        <f ca="1">OFFSET('VVP2'!$G$288,0,(COLUMN()-6)/5)</f>
        <v>#VALUE!</v>
      </c>
      <c r="P94" s="1221" t="e">
        <f ca="1">(O94/J94-1)*100</f>
        <v>#VALUE!</v>
      </c>
      <c r="Q94" s="1237"/>
      <c r="R94" s="1238"/>
      <c r="S94" s="1239"/>
      <c r="T94" s="1228" t="e">
        <f ca="1">OFFSET('VVP2'!$G$288,0,(COLUMN()-6)/5)</f>
        <v>#VALUE!</v>
      </c>
      <c r="U94" s="1221" t="e">
        <f ca="1">(T94/O94-1)*100</f>
        <v>#VALUE!</v>
      </c>
      <c r="V94" s="1237"/>
      <c r="W94" s="1238"/>
      <c r="X94" s="1239"/>
      <c r="Y94" s="1228" t="e">
        <f ca="1">OFFSET('VVP2'!$G$288,0,(COLUMN()-6)/5)</f>
        <v>#VALUE!</v>
      </c>
      <c r="Z94" s="1221" t="e">
        <f ca="1">(Y94/T94-1)*100</f>
        <v>#VALUE!</v>
      </c>
      <c r="AA94" s="1237"/>
      <c r="AB94" s="1238"/>
      <c r="AC94" s="1239"/>
      <c r="AD94" s="1228">
        <f ca="1">OFFSET('VVP2'!$G$288,0,(COLUMN()-6)/5)</f>
        <v>2.3549475673088223</v>
      </c>
      <c r="AE94" s="1221" t="e">
        <f ca="1">(AD94/Y94-1)*100</f>
        <v>#VALUE!</v>
      </c>
      <c r="AF94" s="1237"/>
      <c r="AG94" s="1238"/>
      <c r="AH94" s="1239"/>
      <c r="AI94" s="1228">
        <f ca="1">OFFSET('VVP2'!$G$288,0,(COLUMN()-6)/5)</f>
        <v>3.0845246368679327</v>
      </c>
      <c r="AJ94" s="1221">
        <f ca="1">(AI94/AD94-1)*100</f>
        <v>30.980607793015679</v>
      </c>
      <c r="AK94" s="1237"/>
      <c r="AL94" s="1238"/>
      <c r="AM94" s="1239"/>
      <c r="AN94" s="1228">
        <f ca="1">OFFSET('VVP2'!$G$288,0,(COLUMN()-6)/5)</f>
        <v>3.6374833151743515</v>
      </c>
      <c r="AO94" s="1221">
        <f ca="1">(AN94/AI94-1)*100</f>
        <v>17.926868590937907</v>
      </c>
      <c r="AP94" s="1237"/>
      <c r="AQ94" s="1238"/>
      <c r="AR94" s="1239"/>
      <c r="AS94" s="1228">
        <f ca="1">OFFSET('VVP2'!$G$288,0,(COLUMN()-6)/5)</f>
        <v>3.8467760480538118</v>
      </c>
      <c r="AT94" s="1221">
        <f ca="1">(AS94/AN94-1)*100</f>
        <v>5.7537784986218865</v>
      </c>
      <c r="AU94" s="1237"/>
      <c r="AV94" s="1238"/>
      <c r="AW94" s="1239"/>
      <c r="AX94" s="1228">
        <f ca="1">OFFSET('VVP2'!$G$288,0,(COLUMN()-6)/5)</f>
        <v>3.8693433082694626</v>
      </c>
      <c r="AY94" s="1221">
        <f ca="1">(AX94/AS94-1)*100</f>
        <v>0.58665386114868934</v>
      </c>
      <c r="AZ94" s="1237"/>
      <c r="BA94" s="1238"/>
      <c r="BB94" s="1239"/>
      <c r="BC94" s="1228">
        <f ca="1">OFFSET('VVP2'!$G$288,0,(COLUMN()-6)/5)</f>
        <v>5.029789426923946</v>
      </c>
      <c r="BD94" s="1221">
        <f ca="1">(BC94/AX94-1)*100</f>
        <v>29.990776889050075</v>
      </c>
      <c r="BE94" s="1237"/>
      <c r="BF94" s="1238"/>
      <c r="BG94" s="1239"/>
      <c r="BH94" s="1228">
        <f ca="1">OFFSET('VVP2'!$G$288,0,(COLUMN()-6)/5)</f>
        <v>6.2371992973034072</v>
      </c>
      <c r="BI94" s="1221">
        <f ca="1">(BH94/BC94-1)*100</f>
        <v>24.005177312519699</v>
      </c>
      <c r="BJ94" s="1237"/>
      <c r="BK94" s="1238"/>
      <c r="BL94" s="1239"/>
      <c r="BM94" s="1228">
        <f ca="1">OFFSET('VVP2'!$G$288,0,(COLUMN()-6)/5)</f>
        <v>7.1744999999999992</v>
      </c>
      <c r="BN94" s="1221">
        <f ca="1">(BM94/BH94-1)*100</f>
        <v>15.027589435883915</v>
      </c>
      <c r="BO94" s="1237"/>
      <c r="BP94" s="1238"/>
      <c r="BQ94" s="1239"/>
      <c r="BR94" s="1228">
        <f ca="1">OFFSET('VVP2'!$G$288,0,(COLUMN()-6)/5)</f>
        <v>8.1109000000000009</v>
      </c>
      <c r="BS94" s="1221">
        <f ca="1">(BR94/BM94-1)*100</f>
        <v>13.051780611889363</v>
      </c>
      <c r="BT94" s="1308"/>
      <c r="BU94" s="1429"/>
      <c r="BV94" s="1054"/>
      <c r="BW94" s="1228">
        <f ca="1">OFFSET('VVP2'!$G$288,0,(COLUMN()-6)/5)</f>
        <v>9.7027000000000001</v>
      </c>
      <c r="BX94" s="1221">
        <f ca="1">(BW94/BR94-1)*100</f>
        <v>19.625442306032603</v>
      </c>
      <c r="BY94" s="1308"/>
      <c r="BZ94" s="1429"/>
      <c r="CA94" s="1054"/>
      <c r="CB94" s="1228">
        <f ca="1">OFFSET('VVP2'!$G$288,0,(COLUMN()-6)/5)</f>
        <v>7.5918999999999999</v>
      </c>
      <c r="CC94" s="1221">
        <f ca="1">(CB94/BW94-1)*100</f>
        <v>-21.754769291022093</v>
      </c>
      <c r="CD94" s="1308"/>
      <c r="CE94" s="1429"/>
      <c r="CF94" s="1054"/>
      <c r="CG94" s="1228">
        <f ca="1">OFFSET('VVP2'!$G$288,0,(COLUMN()-6)/5)</f>
        <v>9.553700000000001</v>
      </c>
      <c r="CH94" s="1221">
        <f ca="1">(CG94/CB94-1)*100</f>
        <v>25.840698639339308</v>
      </c>
      <c r="CI94" s="1308"/>
      <c r="CJ94" s="1429"/>
      <c r="CK94" s="1054"/>
      <c r="CL94" s="1228">
        <f ca="1">OFFSET('VVP2'!$G$288,0,(COLUMN()-6)/5)</f>
        <v>12.371499999999999</v>
      </c>
      <c r="CM94" s="1221">
        <f ca="1">(CL94/CG94-1)*100</f>
        <v>29.494332038895909</v>
      </c>
      <c r="CN94" s="1308"/>
      <c r="CO94" s="1429"/>
      <c r="CP94" s="1054"/>
      <c r="CQ94" s="1228">
        <f ca="1">OFFSET('VVP2'!$G$288,0,(COLUMN()-6)/5)</f>
        <v>13.9255</v>
      </c>
      <c r="CR94" s="1221">
        <f ca="1">(CQ94/CL94-1)*100</f>
        <v>12.561128399951492</v>
      </c>
      <c r="CS94" s="1308"/>
      <c r="CT94" s="1429"/>
      <c r="CU94" s="1054"/>
      <c r="CV94" s="1228">
        <f ca="1">OFFSET('VVP2'!$G$288,0,(COLUMN()-6)/5)</f>
        <v>13.612299999999999</v>
      </c>
      <c r="CW94" s="1221">
        <f ca="1">(CV94/CQ94-1)*100</f>
        <v>-2.2491113425011644</v>
      </c>
      <c r="CX94" s="1308"/>
      <c r="CY94" s="1429"/>
      <c r="CZ94" s="1054"/>
      <c r="DA94" s="1228">
        <f ca="1">OFFSET('VVP2'!$G$288,0,(COLUMN()-6)/5)</f>
        <v>13.358299999999998</v>
      </c>
      <c r="DB94" s="1221">
        <f ca="1">(DA94/CV94-1)*100</f>
        <v>-1.865959463132616</v>
      </c>
      <c r="DC94" s="1308"/>
      <c r="DD94" s="1429"/>
      <c r="DE94" s="1054"/>
      <c r="DF94" s="1228">
        <f ca="1">OFFSET('VVP2'!$G$288,0,(COLUMN()-6)/5)</f>
        <v>14.048900000000001</v>
      </c>
      <c r="DG94" s="1221">
        <f ca="1">(DF94/DA94-1)*100</f>
        <v>5.1698195129620039</v>
      </c>
      <c r="DH94" s="1308"/>
      <c r="DI94" s="1429"/>
      <c r="DJ94" s="1054"/>
      <c r="DK94" s="1210">
        <f ca="1">OFFSET('VVP2'!$G$288,0,(COLUMN()-6)/5)</f>
        <v>13.721000000000002</v>
      </c>
      <c r="DL94" s="1221">
        <f ca="1">(DK94/DF94-1)*100</f>
        <v>-2.3339905615386236</v>
      </c>
      <c r="DM94" s="1308"/>
      <c r="DN94" s="1429"/>
      <c r="DO94" s="1054"/>
      <c r="DP94" s="1210">
        <f ca="1">OFFSET('VVP2'!$G$288,0,(COLUMN()-6)/5)</f>
        <v>15.371</v>
      </c>
      <c r="DQ94" s="1221">
        <f ca="1">(DP94/DK94-1)*100</f>
        <v>12.025362582902099</v>
      </c>
      <c r="DR94" s="1308"/>
      <c r="DS94" s="1429"/>
      <c r="DT94" s="1054"/>
      <c r="DU94" s="1210">
        <f ca="1">+DU96-DU95</f>
        <v>17.659465447348634</v>
      </c>
      <c r="DV94" s="1430">
        <f ca="1">(DU94/DP94-1)*100</f>
        <v>14.888201466063578</v>
      </c>
      <c r="DW94" s="1308"/>
      <c r="DX94" s="1429"/>
      <c r="DY94" s="1054"/>
      <c r="DZ94" s="1210">
        <f ca="1">+DZ96-DZ95</f>
        <v>18.927709970692618</v>
      </c>
      <c r="EA94" s="1430">
        <f ca="1">(DZ94/DU94-1)*100</f>
        <v>7.1816699498930658</v>
      </c>
      <c r="EB94" s="3655"/>
      <c r="EC94"/>
      <c r="ED94"/>
      <c r="EE94"/>
      <c r="EF94"/>
      <c r="EG94"/>
      <c r="EH94"/>
      <c r="EI94"/>
      <c r="EJ94"/>
      <c r="EK94"/>
      <c r="EL94"/>
      <c r="EM94"/>
      <c r="EN94"/>
      <c r="EO94"/>
    </row>
    <row r="95" spans="1:145" s="1295" customFormat="1">
      <c r="A95" s="1458"/>
      <c r="C95" s="1301" t="s">
        <v>1767</v>
      </c>
      <c r="D95" s="1302"/>
      <c r="E95" s="1302" t="s">
        <v>625</v>
      </c>
      <c r="F95" s="1303" t="s">
        <v>623</v>
      </c>
      <c r="G95" s="1246"/>
      <c r="H95" s="1247"/>
      <c r="I95" s="1248"/>
      <c r="J95" s="1231" t="e">
        <f ca="1">OFFSET('VVP2'!$G$289,0,(COLUMN()-6)/5)</f>
        <v>#VALUE!</v>
      </c>
      <c r="K95" s="1249"/>
      <c r="L95" s="1246"/>
      <c r="M95" s="1247"/>
      <c r="N95" s="1248"/>
      <c r="O95" s="1231" t="e">
        <f ca="1">OFFSET('VVP2'!$G$289,0,(COLUMN()-6)/5)</f>
        <v>#VALUE!</v>
      </c>
      <c r="P95" s="1218" t="e">
        <f ca="1">(O95/J95-1)*100</f>
        <v>#VALUE!</v>
      </c>
      <c r="Q95" s="1246"/>
      <c r="R95" s="1247"/>
      <c r="S95" s="1248"/>
      <c r="T95" s="1231" t="e">
        <f ca="1">OFFSET('VVP2'!$G$289,0,(COLUMN()-6)/5)</f>
        <v>#VALUE!</v>
      </c>
      <c r="U95" s="1218" t="e">
        <f ca="1">(T95/O95-1)*100</f>
        <v>#VALUE!</v>
      </c>
      <c r="V95" s="1246"/>
      <c r="W95" s="1247"/>
      <c r="X95" s="1248"/>
      <c r="Y95" s="1231" t="e">
        <f ca="1">OFFSET('VVP2'!$G$289,0,(COLUMN()-6)/5)</f>
        <v>#VALUE!</v>
      </c>
      <c r="Z95" s="1218" t="e">
        <f ca="1">(Y95/T95-1)*100</f>
        <v>#VALUE!</v>
      </c>
      <c r="AA95" s="1246"/>
      <c r="AB95" s="1247"/>
      <c r="AC95" s="1248"/>
      <c r="AD95" s="1231">
        <f ca="1">OFFSET('VVP2'!$G$289,0,(COLUMN()-6)/5)</f>
        <v>0.83656273642823209</v>
      </c>
      <c r="AE95" s="1218" t="e">
        <f ca="1">(AD95/Y95-1)*100</f>
        <v>#VALUE!</v>
      </c>
      <c r="AF95" s="1246"/>
      <c r="AG95" s="1247"/>
      <c r="AH95" s="1248"/>
      <c r="AI95" s="1231">
        <f ca="1">OFFSET('VVP2'!$G$289,0,(COLUMN()-6)/5)</f>
        <v>1.0408745617298429</v>
      </c>
      <c r="AJ95" s="1218">
        <f ca="1">(AI95/AD95-1)*100</f>
        <v>24.42277385841205</v>
      </c>
      <c r="AK95" s="1246"/>
      <c r="AL95" s="1247"/>
      <c r="AM95" s="1248"/>
      <c r="AN95" s="1231">
        <f ca="1">OFFSET('VVP2'!$G$289,0,(COLUMN()-6)/5)</f>
        <v>1.3228155239153734</v>
      </c>
      <c r="AO95" s="1218">
        <f ca="1">(AN95/AI95-1)*100</f>
        <v>27.086929833021301</v>
      </c>
      <c r="AP95" s="1246"/>
      <c r="AQ95" s="1247"/>
      <c r="AR95" s="1248"/>
      <c r="AS95" s="1231">
        <f ca="1">OFFSET('VVP2'!$G$289,0,(COLUMN()-6)/5)</f>
        <v>1.7004605690360302</v>
      </c>
      <c r="AT95" s="1218">
        <f ca="1">(AS95/AN95-1)*100</f>
        <v>28.548579774969163</v>
      </c>
      <c r="AU95" s="1246"/>
      <c r="AV95" s="1247"/>
      <c r="AW95" s="1248"/>
      <c r="AX95" s="1231">
        <f ca="1">OFFSET('VVP2'!$G$289,0,(COLUMN()-6)/5)</f>
        <v>2.2887664661102876</v>
      </c>
      <c r="AY95" s="1218">
        <f ca="1">(AX95/AS95-1)*100</f>
        <v>34.596856156903463</v>
      </c>
      <c r="AZ95" s="1246"/>
      <c r="BA95" s="1247"/>
      <c r="BB95" s="1248"/>
      <c r="BC95" s="1231">
        <f ca="1">OFFSET('VVP2'!$G$289,0,(COLUMN()-6)/5)</f>
        <v>2.4482435284401056</v>
      </c>
      <c r="BD95" s="1218">
        <f ca="1">(BC95/AX95-1)*100</f>
        <v>6.9678171491583507</v>
      </c>
      <c r="BE95" s="1246"/>
      <c r="BF95" s="1247"/>
      <c r="BG95" s="1248"/>
      <c r="BH95" s="1231">
        <f ca="1">OFFSET('VVP2'!$G$289,0,(COLUMN()-6)/5)</f>
        <v>3.2526996335437048</v>
      </c>
      <c r="BI95" s="1218">
        <f ca="1">(BH95/BC95-1)*100</f>
        <v>32.858500216935418</v>
      </c>
      <c r="BJ95" s="1246"/>
      <c r="BK95" s="1247"/>
      <c r="BL95" s="1248"/>
      <c r="BM95" s="1231">
        <f ca="1">OFFSET('VVP2'!$G$289,0,(COLUMN()-6)/5)</f>
        <v>4.0882000000000005</v>
      </c>
      <c r="BN95" s="1218">
        <f ca="1">(BM95/BH95-1)*100</f>
        <v>25.686367036173174</v>
      </c>
      <c r="BO95" s="1246"/>
      <c r="BP95" s="1247"/>
      <c r="BQ95" s="1248"/>
      <c r="BR95" s="1231">
        <f ca="1">OFFSET('VVP2'!$G$289,0,(COLUMN()-6)/5)</f>
        <v>4.3986999999999998</v>
      </c>
      <c r="BS95" s="1218">
        <f ca="1">(BR95/BM95-1)*100</f>
        <v>7.5950295973778115</v>
      </c>
      <c r="BT95" s="1205"/>
      <c r="BU95" s="1408"/>
      <c r="BV95" s="881"/>
      <c r="BW95" s="1231">
        <f ca="1">OFFSET('VVP2'!$G$289,0,(COLUMN()-6)/5)</f>
        <v>6.3744000000000005</v>
      </c>
      <c r="BX95" s="1218">
        <f ca="1">(BW95/BR95-1)*100</f>
        <v>44.915543228681209</v>
      </c>
      <c r="BY95" s="1205"/>
      <c r="BZ95" s="1408"/>
      <c r="CA95" s="881"/>
      <c r="CB95" s="1231">
        <f ca="1">OFFSET('VVP2'!$G$289,0,(COLUMN()-6)/5)</f>
        <v>4.2051000000000016</v>
      </c>
      <c r="CC95" s="1218">
        <f ca="1">(CB95/BW95-1)*100</f>
        <v>-34.031438253012027</v>
      </c>
      <c r="CD95" s="1205"/>
      <c r="CE95" s="1408"/>
      <c r="CF95" s="881"/>
      <c r="CG95" s="1231">
        <f ca="1">OFFSET('VVP2'!$G$289,0,(COLUMN()-6)/5)</f>
        <v>6.0972999999999979</v>
      </c>
      <c r="CH95" s="1218">
        <f ca="1">(CG95/CB95-1)*100</f>
        <v>44.997740838505521</v>
      </c>
      <c r="CI95" s="1205"/>
      <c r="CJ95" s="1408"/>
      <c r="CK95" s="881"/>
      <c r="CL95" s="1231">
        <f ca="1">OFFSET('VVP2'!$G$289,0,(COLUMN()-6)/5)</f>
        <v>7.7796000000000012</v>
      </c>
      <c r="CM95" s="1218">
        <f ca="1">(CL95/CG95-1)*100</f>
        <v>27.590900890558178</v>
      </c>
      <c r="CN95" s="1205"/>
      <c r="CO95" s="1408"/>
      <c r="CP95" s="881"/>
      <c r="CQ95" s="1231">
        <f ca="1">OFFSET('VVP2'!$G$289,0,(COLUMN()-6)/5)</f>
        <v>9.1219000000000019</v>
      </c>
      <c r="CR95" s="1218">
        <f ca="1">(CQ95/CL95-1)*100</f>
        <v>17.254100467890375</v>
      </c>
      <c r="CS95" s="1205"/>
      <c r="CT95" s="1408"/>
      <c r="CU95" s="881"/>
      <c r="CV95" s="1231">
        <f ca="1">OFFSET('VVP2'!$G$289,0,(COLUMN()-6)/5)</f>
        <v>10.932100000000004</v>
      </c>
      <c r="CW95" s="1218">
        <f ca="1">(CV95/CQ95-1)*100</f>
        <v>19.844549929291055</v>
      </c>
      <c r="CX95" s="1205"/>
      <c r="CY95" s="1408"/>
      <c r="CZ95" s="881"/>
      <c r="DA95" s="1231">
        <f ca="1">OFFSET('VVP2'!$G$289,0,(COLUMN()-6)/5)</f>
        <v>11.002800000000001</v>
      </c>
      <c r="DB95" s="1218">
        <f ca="1">(DA95/CV95-1)*100</f>
        <v>0.64671929455453192</v>
      </c>
      <c r="DC95" s="1205"/>
      <c r="DD95" s="1408"/>
      <c r="DE95" s="881"/>
      <c r="DF95" s="1231">
        <f ca="1">OFFSET('VVP2'!$G$289,0,(COLUMN()-6)/5)</f>
        <v>8.8555000000000046</v>
      </c>
      <c r="DG95" s="1218">
        <f ca="1">(DF95/DA95-1)*100</f>
        <v>-19.515941396735336</v>
      </c>
      <c r="DH95" s="1205"/>
      <c r="DI95" s="1408"/>
      <c r="DJ95" s="881"/>
      <c r="DK95" s="1210">
        <f ca="1">OFFSET('VVP2'!$G$289,0,(COLUMN()-6)/5)</f>
        <v>8.8862000000000005</v>
      </c>
      <c r="DL95" s="1218">
        <f ca="1">(DK95/DF95-1)*100</f>
        <v>0.3466772062559631</v>
      </c>
      <c r="DM95" s="1205"/>
      <c r="DN95" s="1408"/>
      <c r="DO95" s="881"/>
      <c r="DP95" s="1210">
        <f ca="1">OFFSET('VVP2'!$G$289,0,(COLUMN()-6)/5)</f>
        <v>11.070200000000003</v>
      </c>
      <c r="DQ95" s="1218">
        <f ca="1">(DP95/DK95-1)*100</f>
        <v>24.577434673988918</v>
      </c>
      <c r="DR95" s="1205"/>
      <c r="DS95" s="1408"/>
      <c r="DT95" s="881"/>
      <c r="DU95" s="1210">
        <f ca="1">+DP95*(1+DV95/100)</f>
        <v>12.398624000000005</v>
      </c>
      <c r="DV95" s="2252">
        <v>12</v>
      </c>
      <c r="DW95" s="1205"/>
      <c r="DX95" s="1408"/>
      <c r="DY95" s="881"/>
      <c r="DZ95" s="1210">
        <f ca="1">+DU95*(1+EA95/100)</f>
        <v>13.080548320000005</v>
      </c>
      <c r="EA95" s="2252">
        <v>5.5</v>
      </c>
      <c r="EB95" s="3655"/>
      <c r="EC95"/>
      <c r="ED95"/>
      <c r="EE95"/>
      <c r="EF95"/>
      <c r="EG95"/>
      <c r="EH95"/>
      <c r="EI95"/>
      <c r="EJ95"/>
      <c r="EK95"/>
      <c r="EL95"/>
      <c r="EM95"/>
      <c r="EN95"/>
      <c r="EO95"/>
    </row>
    <row r="96" spans="1:145" s="28" customFormat="1">
      <c r="A96" s="1457"/>
      <c r="C96" s="176" t="s">
        <v>1769</v>
      </c>
      <c r="D96" s="1150"/>
      <c r="E96" s="1150" t="s">
        <v>1451</v>
      </c>
      <c r="F96" s="1140" t="s">
        <v>168</v>
      </c>
      <c r="G96" s="1233"/>
      <c r="H96" s="1233"/>
      <c r="I96" s="1233"/>
      <c r="J96" s="1234" t="e">
        <f ca="1">+J94+J95</f>
        <v>#VALUE!</v>
      </c>
      <c r="K96" s="1233"/>
      <c r="L96" s="1233"/>
      <c r="M96" s="1233"/>
      <c r="N96" s="1233"/>
      <c r="O96" s="1234" t="e">
        <f ca="1">+O94+O95</f>
        <v>#VALUE!</v>
      </c>
      <c r="P96" s="1234" t="e">
        <f ca="1">(O96/J96-1)*100</f>
        <v>#VALUE!</v>
      </c>
      <c r="Q96" s="1233"/>
      <c r="R96" s="1233"/>
      <c r="S96" s="1233"/>
      <c r="T96" s="1234" t="e">
        <f ca="1">+T94+T95</f>
        <v>#VALUE!</v>
      </c>
      <c r="U96" s="1234" t="e">
        <f ca="1">(T96/O96-1)*100</f>
        <v>#VALUE!</v>
      </c>
      <c r="V96" s="1233"/>
      <c r="W96" s="1233"/>
      <c r="X96" s="1233"/>
      <c r="Y96" s="1234" t="e">
        <f ca="1">+Y94+Y95</f>
        <v>#VALUE!</v>
      </c>
      <c r="Z96" s="1234" t="e">
        <f ca="1">(Y96/T96-1)*100</f>
        <v>#VALUE!</v>
      </c>
      <c r="AA96" s="1233"/>
      <c r="AB96" s="1233"/>
      <c r="AC96" s="1233"/>
      <c r="AD96" s="1234">
        <f ca="1">+AD94+AD95</f>
        <v>3.1915103037370542</v>
      </c>
      <c r="AE96" s="1234" t="e">
        <f ca="1">(AD96/Y96-1)*100</f>
        <v>#VALUE!</v>
      </c>
      <c r="AF96" s="1233"/>
      <c r="AG96" s="1233"/>
      <c r="AH96" s="1233"/>
      <c r="AI96" s="1234">
        <f ca="1">+AI94+AI95</f>
        <v>4.1253991985977754</v>
      </c>
      <c r="AJ96" s="1234">
        <f ca="1">(AI96/AD96-1)*100</f>
        <v>29.261660028707936</v>
      </c>
      <c r="AK96" s="1233"/>
      <c r="AL96" s="1233"/>
      <c r="AM96" s="1233"/>
      <c r="AN96" s="1234">
        <f ca="1">+AN94+AN95</f>
        <v>4.9602988390897247</v>
      </c>
      <c r="AO96" s="1234">
        <f ca="1">(AN96/AI96-1)*100</f>
        <v>20.238032740582579</v>
      </c>
      <c r="AP96" s="1233"/>
      <c r="AQ96" s="1233"/>
      <c r="AR96" s="1233"/>
      <c r="AS96" s="1234">
        <f ca="1">+AS94+AS95</f>
        <v>5.5472366170898422</v>
      </c>
      <c r="AT96" s="1234">
        <f ca="1">(AS96/AN96-1)*100</f>
        <v>11.832710024943328</v>
      </c>
      <c r="AU96" s="1233"/>
      <c r="AV96" s="1233"/>
      <c r="AW96" s="1233"/>
      <c r="AX96" s="1234">
        <f ca="1">+AX94+AX95</f>
        <v>6.1581097743797502</v>
      </c>
      <c r="AY96" s="1234">
        <f ca="1">(AX96/AS96-1)*100</f>
        <v>11.01220660766371</v>
      </c>
      <c r="AZ96" s="1233"/>
      <c r="BA96" s="1233"/>
      <c r="BB96" s="1233"/>
      <c r="BC96" s="1234">
        <f ca="1">+BC94+BC95</f>
        <v>7.4780329553640517</v>
      </c>
      <c r="BD96" s="1234">
        <f ca="1">(BC96/AX96-1)*100</f>
        <v>21.43390146235653</v>
      </c>
      <c r="BE96" s="1233"/>
      <c r="BF96" s="1233"/>
      <c r="BG96" s="1233"/>
      <c r="BH96" s="1234">
        <f ca="1">+BH94+BH95</f>
        <v>9.4898989308471116</v>
      </c>
      <c r="BI96" s="1234">
        <f ca="1">(BH96/BC96-1)*100</f>
        <v>26.903678915187612</v>
      </c>
      <c r="BJ96" s="1233"/>
      <c r="BK96" s="1233"/>
      <c r="BL96" s="1233"/>
      <c r="BM96" s="1234">
        <f ca="1">+BM94+BM95</f>
        <v>11.262699999999999</v>
      </c>
      <c r="BN96" s="1234">
        <f ca="1">(BM96/BH96-1)*100</f>
        <v>18.68092676298545</v>
      </c>
      <c r="BO96" s="1233"/>
      <c r="BP96" s="1233"/>
      <c r="BQ96" s="1233"/>
      <c r="BR96" s="1234">
        <f ca="1">+BR94+BR95</f>
        <v>12.509600000000001</v>
      </c>
      <c r="BS96" s="1234">
        <f ca="1">(BR96/BM96-1)*100</f>
        <v>11.071057561685937</v>
      </c>
      <c r="BT96" s="1404"/>
      <c r="BU96" s="1398"/>
      <c r="BV96" s="1398"/>
      <c r="BW96" s="1398">
        <f ca="1">+BR96*(1+BX96/100)</f>
        <v>16.523908215072485</v>
      </c>
      <c r="BX96" s="1405">
        <f ca="1">+BX87</f>
        <v>32.089820738252882</v>
      </c>
      <c r="BY96" s="1404"/>
      <c r="BZ96" s="1398"/>
      <c r="CA96" s="1398"/>
      <c r="CB96" s="1398">
        <f ca="1">+BW96*(1+CC96/100)</f>
        <v>11.99031385864877</v>
      </c>
      <c r="CC96" s="1405">
        <f ca="1">+CC87</f>
        <v>-27.436574310479045</v>
      </c>
      <c r="CD96" s="1404"/>
      <c r="CE96" s="1398"/>
      <c r="CF96" s="1398"/>
      <c r="CG96" s="1398">
        <f ca="1">+CB96*(1+CH96/100)</f>
        <v>16.149808756837082</v>
      </c>
      <c r="CH96" s="1405">
        <f ca="1">+CH87</f>
        <v>34.690458875586593</v>
      </c>
      <c r="CI96" s="1404"/>
      <c r="CJ96" s="1398"/>
      <c r="CK96" s="1398"/>
      <c r="CL96" s="1398">
        <f ca="1">+CG96*(1+CM96/100)</f>
        <v>21.063782028396481</v>
      </c>
      <c r="CM96" s="1405">
        <f ca="1">+CM87</f>
        <v>30.427439392921919</v>
      </c>
      <c r="CN96" s="1404"/>
      <c r="CO96" s="1398"/>
      <c r="CP96" s="1398"/>
      <c r="CQ96" s="1398">
        <f ca="1">+CL96*(1+CR96/100)</f>
        <v>24.323037066616504</v>
      </c>
      <c r="CR96" s="1405">
        <f ca="1">+CR87</f>
        <v>15.473266072665194</v>
      </c>
      <c r="CS96" s="1404"/>
      <c r="CT96" s="1398"/>
      <c r="CU96" s="1398"/>
      <c r="CV96" s="1398">
        <f ca="1">+CQ96*(1+CW96/100)</f>
        <v>26.026299080760126</v>
      </c>
      <c r="CW96" s="1405">
        <f ca="1">+CW87</f>
        <v>7.0026699769386802</v>
      </c>
      <c r="CX96" s="1404"/>
      <c r="CY96" s="1398"/>
      <c r="CZ96" s="1398"/>
      <c r="DA96" s="1398">
        <f ca="1">+CV96*(1+DB96/100)</f>
        <v>25.757269360780199</v>
      </c>
      <c r="DB96" s="1405">
        <f ca="1">+DB87</f>
        <v>-1.0336841175348055</v>
      </c>
      <c r="DC96" s="1404"/>
      <c r="DD96" s="1398"/>
      <c r="DE96" s="1398"/>
      <c r="DF96" s="1398">
        <f ca="1">+DA96*(1+DG96/100)</f>
        <v>24.195311394915965</v>
      </c>
      <c r="DG96" s="1405">
        <f ca="1">+DG87</f>
        <v>-6.0641442382187378</v>
      </c>
      <c r="DH96" s="1404"/>
      <c r="DI96" s="1398"/>
      <c r="DJ96" s="1398"/>
      <c r="DK96" s="1398">
        <f ca="1">+DF96*(1+DL96/100)</f>
        <v>23.775075823288859</v>
      </c>
      <c r="DL96" s="1405">
        <f ca="1">+DL87</f>
        <v>-1.7368471302890875</v>
      </c>
      <c r="DM96" s="1404"/>
      <c r="DN96" s="1398"/>
      <c r="DO96" s="1398"/>
      <c r="DP96" s="1398">
        <f ca="1">+DK96*(1+DQ96/100)</f>
        <v>27.929939757580069</v>
      </c>
      <c r="DQ96" s="1405">
        <f ca="1">+DQ87</f>
        <v>17.475712654599885</v>
      </c>
      <c r="DR96" s="1404"/>
      <c r="DS96" s="1398"/>
      <c r="DT96" s="1398"/>
      <c r="DU96" s="1398">
        <f ca="1">+DP96*(1+DV96/100)</f>
        <v>30.058089447348639</v>
      </c>
      <c r="DV96" s="1405">
        <f ca="1">+DV87</f>
        <v>7.619599999999993</v>
      </c>
      <c r="DW96" s="1404"/>
      <c r="DX96" s="1398"/>
      <c r="DY96" s="1398"/>
      <c r="DZ96" s="1398">
        <f ca="1">+DU96*(1+EA96/100)</f>
        <v>32.008258290692623</v>
      </c>
      <c r="EA96" s="1405">
        <f ca="1">+EA87</f>
        <v>6.4880000000000049</v>
      </c>
      <c r="EB96" s="3655"/>
      <c r="EC96"/>
      <c r="ED96"/>
      <c r="EE96"/>
      <c r="EF96"/>
      <c r="EG96"/>
      <c r="EH96"/>
      <c r="EI96"/>
      <c r="EJ96"/>
      <c r="EK96"/>
      <c r="EL96"/>
      <c r="EM96"/>
      <c r="EN96"/>
      <c r="EO96"/>
    </row>
    <row r="97" spans="1:145">
      <c r="BM97" s="1444"/>
      <c r="BR97" s="1444"/>
      <c r="CG97" s="3198">
        <f ca="1">CG95/CG96</f>
        <v>0.37754626644842981</v>
      </c>
      <c r="CH97" s="3194">
        <f ca="1">CH95/CH96</f>
        <v>1.2971215226608801</v>
      </c>
      <c r="CI97" s="3194"/>
      <c r="CJ97" s="3194"/>
      <c r="CK97" s="3194"/>
      <c r="CL97" s="1394">
        <f ca="1">CL94/CL96</f>
        <v>0.58733517007163039</v>
      </c>
      <c r="CM97" s="3194">
        <f ca="1">CM94/CM96</f>
        <v>0.96933335920987584</v>
      </c>
      <c r="CN97" s="3194"/>
      <c r="CO97" s="3194"/>
      <c r="CP97" s="3194"/>
      <c r="CQ97" s="1394">
        <f ca="1">CQ94/CQ96</f>
        <v>0.57252307603941544</v>
      </c>
      <c r="CR97" s="3194">
        <f ca="1">CR94/CR96</f>
        <v>0.81179554083554251</v>
      </c>
      <c r="CS97" s="3194"/>
      <c r="CT97" s="3194"/>
      <c r="CU97" s="3194"/>
      <c r="CV97" s="1394">
        <f ca="1">CV94/CV96</f>
        <v>0.52302096267167153</v>
      </c>
      <c r="CW97" s="3194">
        <f ca="1">CW94/CW96</f>
        <v>-0.32117911452459974</v>
      </c>
      <c r="DA97" s="1394">
        <f ca="1">DA94/DA96</f>
        <v>0.51862252216612181</v>
      </c>
      <c r="DB97" s="3194">
        <f ca="1">DB94/DB96</f>
        <v>1.8051544291719144</v>
      </c>
      <c r="DF97" s="1394">
        <f ca="1">DF94/DF96</f>
        <v>0.58064555445035615</v>
      </c>
      <c r="DG97" s="3194">
        <f ca="1">DG94/DG96</f>
        <v>-0.85252251758453723</v>
      </c>
      <c r="DK97" s="1394">
        <f ca="1">DK94/DK96</f>
        <v>0.57711698174941706</v>
      </c>
      <c r="DL97" s="3194">
        <f ca="1">DL94/DL96</f>
        <v>1.3438088596491191</v>
      </c>
      <c r="DM97">
        <v>6.7</v>
      </c>
      <c r="DP97" s="1394">
        <f ca="1">DP94/DP96</f>
        <v>0.55034132308962014</v>
      </c>
      <c r="DQ97" s="3194">
        <f ca="1">DQ94/DQ96</f>
        <v>0.68811858037370699</v>
      </c>
      <c r="DU97" s="1394">
        <f ca="1">DU94/DU96</f>
        <v>0.58751124146735612</v>
      </c>
      <c r="DV97" s="3194">
        <f ca="1">DV94/DV96</f>
        <v>1.9539347821491406</v>
      </c>
      <c r="DZ97" s="1394">
        <f ca="1">DZ94/DZ96</f>
        <v>0.59133832896482297</v>
      </c>
      <c r="EA97" s="3194">
        <f ca="1">EA94/EA96</f>
        <v>1.1069158369132337</v>
      </c>
    </row>
    <row r="98" spans="1:145">
      <c r="DM98">
        <v>11.74</v>
      </c>
    </row>
    <row r="99" spans="1:145">
      <c r="B99" s="1"/>
      <c r="C99" s="774"/>
      <c r="D99" s="3752"/>
      <c r="E99" s="3752" t="s">
        <v>1589</v>
      </c>
      <c r="F99" s="3752"/>
      <c r="G99" s="3754">
        <f>+InputY!$G$3</f>
        <v>1995</v>
      </c>
      <c r="H99" s="3755"/>
      <c r="I99" s="3755"/>
      <c r="J99" s="3755"/>
      <c r="K99" s="3756"/>
      <c r="L99" s="3754">
        <f>+G99+1</f>
        <v>1996</v>
      </c>
      <c r="M99" s="3755"/>
      <c r="N99" s="3755"/>
      <c r="O99" s="3755"/>
      <c r="P99" s="3756"/>
      <c r="Q99" s="3754">
        <f>+L99+1</f>
        <v>1997</v>
      </c>
      <c r="R99" s="3755"/>
      <c r="S99" s="3755"/>
      <c r="T99" s="3755"/>
      <c r="U99" s="3756"/>
      <c r="V99" s="3754">
        <f>+Q99+1</f>
        <v>1998</v>
      </c>
      <c r="W99" s="3755"/>
      <c r="X99" s="3755"/>
      <c r="Y99" s="3755"/>
      <c r="Z99" s="3756"/>
      <c r="AA99" s="3754">
        <f>+V99+1</f>
        <v>1999</v>
      </c>
      <c r="AB99" s="3755"/>
      <c r="AC99" s="3755"/>
      <c r="AD99" s="3755"/>
      <c r="AE99" s="3756"/>
      <c r="AF99" s="3754">
        <f>+AA99+1</f>
        <v>2000</v>
      </c>
      <c r="AG99" s="3755"/>
      <c r="AH99" s="3755"/>
      <c r="AI99" s="3755"/>
      <c r="AJ99" s="3756"/>
      <c r="AK99" s="3754">
        <f>+AF99+1</f>
        <v>2001</v>
      </c>
      <c r="AL99" s="3755"/>
      <c r="AM99" s="3755"/>
      <c r="AN99" s="3755"/>
      <c r="AO99" s="3756"/>
      <c r="AP99" s="3754">
        <f>+AK99+1</f>
        <v>2002</v>
      </c>
      <c r="AQ99" s="3755"/>
      <c r="AR99" s="3755"/>
      <c r="AS99" s="3755"/>
      <c r="AT99" s="3756"/>
      <c r="AU99" s="3754">
        <f>+AP99+1</f>
        <v>2003</v>
      </c>
      <c r="AV99" s="3755"/>
      <c r="AW99" s="3755"/>
      <c r="AX99" s="3755"/>
      <c r="AY99" s="3756"/>
      <c r="AZ99" s="3754">
        <f>+AU99+1</f>
        <v>2004</v>
      </c>
      <c r="BA99" s="3755"/>
      <c r="BB99" s="3755"/>
      <c r="BC99" s="3755"/>
      <c r="BD99" s="3756"/>
      <c r="BE99" s="3754">
        <f>+AZ99+1</f>
        <v>2005</v>
      </c>
      <c r="BF99" s="3755"/>
      <c r="BG99" s="3755"/>
      <c r="BH99" s="3755"/>
      <c r="BI99" s="3756"/>
      <c r="BJ99" s="3754">
        <f>+BE99+1</f>
        <v>2006</v>
      </c>
      <c r="BK99" s="3755"/>
      <c r="BL99" s="3755"/>
      <c r="BM99" s="3755"/>
      <c r="BN99" s="3756"/>
      <c r="BO99" s="3754">
        <f>+BJ99+1</f>
        <v>2007</v>
      </c>
      <c r="BP99" s="3755"/>
      <c r="BQ99" s="3755"/>
      <c r="BR99" s="3755"/>
      <c r="BS99" s="3756"/>
      <c r="BT99" s="3754">
        <f>+BO99+1</f>
        <v>2008</v>
      </c>
      <c r="BU99" s="3755"/>
      <c r="BV99" s="3755"/>
      <c r="BW99" s="3755"/>
      <c r="BX99" s="3756"/>
      <c r="BY99" s="3754">
        <f>+BT99+1</f>
        <v>2009</v>
      </c>
      <c r="BZ99" s="3755"/>
      <c r="CA99" s="3755"/>
      <c r="CB99" s="3755"/>
      <c r="CC99" s="3756"/>
      <c r="CD99" s="3754">
        <f>+BY99+1</f>
        <v>2010</v>
      </c>
      <c r="CE99" s="3755"/>
      <c r="CF99" s="3755"/>
      <c r="CG99" s="3755"/>
      <c r="CH99" s="3756"/>
      <c r="CI99" s="3754">
        <f>+CD99+1</f>
        <v>2011</v>
      </c>
      <c r="CJ99" s="3755"/>
      <c r="CK99" s="3755"/>
      <c r="CL99" s="3755"/>
      <c r="CM99" s="3756"/>
      <c r="CN99" s="3754">
        <f>+CI99+1</f>
        <v>2012</v>
      </c>
      <c r="CO99" s="3755"/>
      <c r="CP99" s="3755"/>
      <c r="CQ99" s="3755"/>
      <c r="CR99" s="3756"/>
      <c r="CS99" s="3754">
        <f>+CN99+1</f>
        <v>2013</v>
      </c>
      <c r="CT99" s="3755"/>
      <c r="CU99" s="3755"/>
      <c r="CV99" s="3755"/>
      <c r="CW99" s="3756"/>
      <c r="CX99" s="3754">
        <f>+CS99+1</f>
        <v>2014</v>
      </c>
      <c r="CY99" s="3755"/>
      <c r="CZ99" s="3755"/>
      <c r="DA99" s="3755"/>
      <c r="DB99" s="3756"/>
      <c r="DC99" s="3754">
        <f>+CX99+1</f>
        <v>2015</v>
      </c>
      <c r="DD99" s="3755"/>
      <c r="DE99" s="3755"/>
      <c r="DF99" s="3755"/>
      <c r="DG99" s="3756"/>
      <c r="DH99" s="3754">
        <f>+DC99+1</f>
        <v>2016</v>
      </c>
      <c r="DI99" s="3755"/>
      <c r="DJ99" s="3755"/>
      <c r="DK99" s="3755"/>
      <c r="DL99" s="3756"/>
      <c r="DM99" s="3754">
        <f>+DH99+1</f>
        <v>2017</v>
      </c>
      <c r="DN99" s="3755"/>
      <c r="DO99" s="3755"/>
      <c r="DP99" s="3755"/>
      <c r="DQ99" s="3756"/>
      <c r="DR99" s="3754">
        <f>+DM99+1</f>
        <v>2018</v>
      </c>
      <c r="DS99" s="3755"/>
      <c r="DT99" s="3755"/>
      <c r="DU99" s="3755"/>
      <c r="DV99" s="3756"/>
      <c r="DW99" s="3754">
        <f>+DR99+1</f>
        <v>2019</v>
      </c>
      <c r="DX99" s="3755"/>
      <c r="DY99" s="3755"/>
      <c r="DZ99" s="3755"/>
      <c r="EA99" s="3756"/>
    </row>
    <row r="100" spans="1:145">
      <c r="B100" s="1"/>
      <c r="C100" s="774"/>
      <c r="D100" s="3752"/>
      <c r="E100" s="3752"/>
      <c r="F100" s="3752"/>
      <c r="G100" s="1252" t="s">
        <v>1486</v>
      </c>
      <c r="H100" s="1253" t="s">
        <v>1732</v>
      </c>
      <c r="I100" s="1252" t="s">
        <v>2022</v>
      </c>
      <c r="J100" s="1253" t="s">
        <v>584</v>
      </c>
      <c r="K100" s="1252" t="s">
        <v>2023</v>
      </c>
      <c r="L100" s="1252" t="s">
        <v>1486</v>
      </c>
      <c r="M100" s="1253" t="s">
        <v>1732</v>
      </c>
      <c r="N100" s="1252" t="s">
        <v>2022</v>
      </c>
      <c r="O100" s="1253" t="s">
        <v>584</v>
      </c>
      <c r="P100" s="1252" t="s">
        <v>2023</v>
      </c>
      <c r="Q100" s="1252" t="s">
        <v>1486</v>
      </c>
      <c r="R100" s="1253" t="s">
        <v>1732</v>
      </c>
      <c r="S100" s="1252" t="s">
        <v>2022</v>
      </c>
      <c r="T100" s="1253" t="s">
        <v>584</v>
      </c>
      <c r="U100" s="1252" t="s">
        <v>2023</v>
      </c>
      <c r="V100" s="1252" t="s">
        <v>1486</v>
      </c>
      <c r="W100" s="1253" t="s">
        <v>1732</v>
      </c>
      <c r="X100" s="1252" t="s">
        <v>2022</v>
      </c>
      <c r="Y100" s="1253" t="s">
        <v>584</v>
      </c>
      <c r="Z100" s="1252" t="s">
        <v>2023</v>
      </c>
      <c r="AA100" s="1252" t="s">
        <v>1486</v>
      </c>
      <c r="AB100" s="1253" t="s">
        <v>1732</v>
      </c>
      <c r="AC100" s="1252" t="s">
        <v>2022</v>
      </c>
      <c r="AD100" s="1253" t="s">
        <v>584</v>
      </c>
      <c r="AE100" s="1252" t="s">
        <v>2023</v>
      </c>
      <c r="AF100" s="1252" t="s">
        <v>1486</v>
      </c>
      <c r="AG100" s="1253" t="s">
        <v>1732</v>
      </c>
      <c r="AH100" s="1252" t="s">
        <v>2022</v>
      </c>
      <c r="AI100" s="1253" t="s">
        <v>584</v>
      </c>
      <c r="AJ100" s="1252" t="s">
        <v>2023</v>
      </c>
      <c r="AK100" s="1252" t="s">
        <v>1486</v>
      </c>
      <c r="AL100" s="1253" t="s">
        <v>1732</v>
      </c>
      <c r="AM100" s="1252" t="s">
        <v>2022</v>
      </c>
      <c r="AN100" s="1253" t="s">
        <v>584</v>
      </c>
      <c r="AO100" s="1252" t="s">
        <v>2023</v>
      </c>
      <c r="AP100" s="1252" t="s">
        <v>1486</v>
      </c>
      <c r="AQ100" s="1253" t="s">
        <v>1732</v>
      </c>
      <c r="AR100" s="1252" t="s">
        <v>2022</v>
      </c>
      <c r="AS100" s="1253" t="s">
        <v>584</v>
      </c>
      <c r="AT100" s="1252" t="s">
        <v>2023</v>
      </c>
      <c r="AU100" s="1252" t="s">
        <v>1486</v>
      </c>
      <c r="AV100" s="1253" t="s">
        <v>1732</v>
      </c>
      <c r="AW100" s="1252" t="s">
        <v>2022</v>
      </c>
      <c r="AX100" s="1253" t="s">
        <v>584</v>
      </c>
      <c r="AY100" s="1252" t="s">
        <v>2023</v>
      </c>
      <c r="AZ100" s="1252" t="s">
        <v>1486</v>
      </c>
      <c r="BA100" s="1253" t="s">
        <v>1732</v>
      </c>
      <c r="BB100" s="1252" t="s">
        <v>2022</v>
      </c>
      <c r="BC100" s="1253" t="s">
        <v>584</v>
      </c>
      <c r="BD100" s="1252" t="s">
        <v>2023</v>
      </c>
      <c r="BE100" s="1252" t="s">
        <v>1486</v>
      </c>
      <c r="BF100" s="1253" t="s">
        <v>1732</v>
      </c>
      <c r="BG100" s="1252" t="s">
        <v>2022</v>
      </c>
      <c r="BH100" s="1253" t="s">
        <v>584</v>
      </c>
      <c r="BI100" s="1252" t="s">
        <v>2023</v>
      </c>
      <c r="BJ100" s="1252" t="s">
        <v>1486</v>
      </c>
      <c r="BK100" s="1253" t="s">
        <v>1732</v>
      </c>
      <c r="BL100" s="1252" t="s">
        <v>2022</v>
      </c>
      <c r="BM100" s="1253" t="s">
        <v>584</v>
      </c>
      <c r="BN100" s="1252" t="s">
        <v>2023</v>
      </c>
      <c r="BO100" s="1252" t="s">
        <v>1486</v>
      </c>
      <c r="BP100" s="1253" t="s">
        <v>1732</v>
      </c>
      <c r="BQ100" s="1252" t="s">
        <v>2022</v>
      </c>
      <c r="BR100" s="1253" t="s">
        <v>584</v>
      </c>
      <c r="BS100" s="1252" t="s">
        <v>2023</v>
      </c>
      <c r="BT100" s="1252" t="s">
        <v>1486</v>
      </c>
      <c r="BU100" s="1253" t="s">
        <v>1732</v>
      </c>
      <c r="BV100" s="1252" t="s">
        <v>2022</v>
      </c>
      <c r="BW100" s="1253" t="s">
        <v>584</v>
      </c>
      <c r="BX100" s="1252" t="s">
        <v>2023</v>
      </c>
      <c r="BY100" s="1252" t="s">
        <v>1486</v>
      </c>
      <c r="BZ100" s="1253" t="s">
        <v>1732</v>
      </c>
      <c r="CA100" s="1252" t="s">
        <v>2022</v>
      </c>
      <c r="CB100" s="1253" t="s">
        <v>584</v>
      </c>
      <c r="CC100" s="1252" t="s">
        <v>2023</v>
      </c>
      <c r="CD100" s="1252" t="s">
        <v>1486</v>
      </c>
      <c r="CE100" s="1253" t="s">
        <v>1732</v>
      </c>
      <c r="CF100" s="1252" t="s">
        <v>2022</v>
      </c>
      <c r="CG100" s="1253" t="s">
        <v>584</v>
      </c>
      <c r="CH100" s="1252" t="s">
        <v>2023</v>
      </c>
      <c r="CI100" s="1252" t="s">
        <v>1486</v>
      </c>
      <c r="CJ100" s="1253" t="s">
        <v>1732</v>
      </c>
      <c r="CK100" s="1252" t="s">
        <v>2022</v>
      </c>
      <c r="CL100" s="1253" t="s">
        <v>584</v>
      </c>
      <c r="CM100" s="1252" t="s">
        <v>2023</v>
      </c>
      <c r="CN100" s="1252" t="s">
        <v>1486</v>
      </c>
      <c r="CO100" s="1253" t="s">
        <v>1732</v>
      </c>
      <c r="CP100" s="1252" t="s">
        <v>2022</v>
      </c>
      <c r="CQ100" s="1253" t="s">
        <v>584</v>
      </c>
      <c r="CR100" s="1252" t="s">
        <v>2023</v>
      </c>
      <c r="CS100" s="1252" t="s">
        <v>1486</v>
      </c>
      <c r="CT100" s="1253" t="s">
        <v>1732</v>
      </c>
      <c r="CU100" s="1252" t="s">
        <v>2022</v>
      </c>
      <c r="CV100" s="1253" t="s">
        <v>584</v>
      </c>
      <c r="CW100" s="1252" t="s">
        <v>2023</v>
      </c>
      <c r="CX100" s="1252" t="s">
        <v>1486</v>
      </c>
      <c r="CY100" s="1253" t="s">
        <v>1732</v>
      </c>
      <c r="CZ100" s="1252" t="s">
        <v>2022</v>
      </c>
      <c r="DA100" s="1253" t="s">
        <v>584</v>
      </c>
      <c r="DB100" s="1252" t="s">
        <v>2023</v>
      </c>
      <c r="DC100" s="1252" t="s">
        <v>1486</v>
      </c>
      <c r="DD100" s="1253" t="s">
        <v>1732</v>
      </c>
      <c r="DE100" s="1252" t="s">
        <v>2022</v>
      </c>
      <c r="DF100" s="1253" t="s">
        <v>584</v>
      </c>
      <c r="DG100" s="1252" t="s">
        <v>2023</v>
      </c>
      <c r="DH100" s="1252" t="s">
        <v>1486</v>
      </c>
      <c r="DI100" s="1253" t="s">
        <v>1732</v>
      </c>
      <c r="DJ100" s="1252" t="s">
        <v>2022</v>
      </c>
      <c r="DK100" s="1253" t="s">
        <v>584</v>
      </c>
      <c r="DL100" s="1252" t="s">
        <v>2023</v>
      </c>
      <c r="DM100" s="1252" t="s">
        <v>1486</v>
      </c>
      <c r="DN100" s="1253" t="s">
        <v>1732</v>
      </c>
      <c r="DO100" s="1252" t="s">
        <v>2022</v>
      </c>
      <c r="DP100" s="1253" t="s">
        <v>584</v>
      </c>
      <c r="DQ100" s="1252" t="s">
        <v>2023</v>
      </c>
      <c r="DR100" s="1252" t="s">
        <v>1486</v>
      </c>
      <c r="DS100" s="1253" t="s">
        <v>1732</v>
      </c>
      <c r="DT100" s="1252" t="s">
        <v>2022</v>
      </c>
      <c r="DU100" s="1253" t="s">
        <v>584</v>
      </c>
      <c r="DV100" s="1252" t="s">
        <v>2023</v>
      </c>
      <c r="DW100" s="1252" t="s">
        <v>1486</v>
      </c>
      <c r="DX100" s="1253" t="s">
        <v>1732</v>
      </c>
      <c r="DY100" s="1252" t="s">
        <v>2022</v>
      </c>
      <c r="DZ100" s="1253" t="s">
        <v>584</v>
      </c>
      <c r="EA100" s="1252" t="s">
        <v>2023</v>
      </c>
    </row>
    <row r="101" spans="1:145" s="1295" customFormat="1">
      <c r="A101" s="1458" t="s">
        <v>282</v>
      </c>
      <c r="C101" s="1296" t="s">
        <v>1767</v>
      </c>
      <c r="D101" s="1297"/>
      <c r="E101" s="1297" t="s">
        <v>1453</v>
      </c>
      <c r="F101" s="1298" t="s">
        <v>172</v>
      </c>
      <c r="G101" s="1237"/>
      <c r="H101" s="1238"/>
      <c r="I101" s="1239"/>
      <c r="J101" s="1228">
        <f ca="1">OFFSET('VVP2'!$G$309,0,(COLUMN()-6)/5)</f>
        <v>0.61560000000000004</v>
      </c>
      <c r="K101" s="1240"/>
      <c r="L101" s="1299">
        <f ca="1">OFFSET('VVP2'!$G$109,0,(COLUMN()-7)/5)</f>
        <v>31.440306229910565</v>
      </c>
      <c r="M101" s="1228">
        <f ca="1">+J101*(1+L101/100)</f>
        <v>0.80914652515132945</v>
      </c>
      <c r="N101" s="1299">
        <f ca="1">+O101/M101*100-100</f>
        <v>0.87171786931314443</v>
      </c>
      <c r="O101" s="1228">
        <f ca="1">OFFSET('VVP2'!$G$309,0,(COLUMN()-6)/5)</f>
        <v>0.81620000000000004</v>
      </c>
      <c r="P101" s="1221">
        <f ca="1">(O101/J101-1)*100</f>
        <v>32.586094866796621</v>
      </c>
      <c r="Q101" s="1299">
        <f ca="1">OFFSET('VVP2'!$G$109,0,(COLUMN()-7)/5)</f>
        <v>25.934028418848797</v>
      </c>
      <c r="R101" s="1228">
        <f ca="1">+O101*(1+Q101/100)</f>
        <v>1.0278735399546439</v>
      </c>
      <c r="S101" s="1299">
        <f ca="1">+T101/R101*100-100</f>
        <v>4.8660129968481414</v>
      </c>
      <c r="T101" s="1228">
        <f ca="1">OFFSET('VVP2'!$G$309,0,(COLUMN()-6)/5)</f>
        <v>1.07789</v>
      </c>
      <c r="U101" s="1221">
        <f ca="1">(T101/O101-1)*100</f>
        <v>32.061994609164415</v>
      </c>
      <c r="V101" s="1299">
        <f ca="1">OFFSET('VVP2'!$G$109,0,(COLUMN()-7)/5)</f>
        <v>0.90039003070456758</v>
      </c>
      <c r="W101" s="1228">
        <f ca="1">+T101*(1+V101/100)</f>
        <v>1.0875952141019616</v>
      </c>
      <c r="X101" s="1299">
        <f ca="1">+Y101/W101*100-100</f>
        <v>-4.4626174768558258</v>
      </c>
      <c r="Y101" s="1228">
        <f ca="1">OFFSET('VVP2'!$G$309,0,(COLUMN()-6)/5)</f>
        <v>1.0390599999999999</v>
      </c>
      <c r="Z101" s="1221">
        <f ca="1">(Y101/T101-1)*100</f>
        <v>-3.6024084090213404</v>
      </c>
      <c r="AA101" s="1299">
        <f ca="1">OFFSET('VVP2'!$G$109,0,(COLUMN()-7)/5)</f>
        <v>-3.3336531739613262</v>
      </c>
      <c r="AB101" s="1228">
        <f ca="1">+Y101*(1+AA101/100)</f>
        <v>1.0044213433306373</v>
      </c>
      <c r="AC101" s="1299">
        <f ca="1">+AD101/AB101*100-100</f>
        <v>-6.0354495384992788</v>
      </c>
      <c r="AD101" s="1228">
        <f ca="1">OFFSET('VVP2'!$G$309,0,(COLUMN()-6)/5)</f>
        <v>0.94379999999999997</v>
      </c>
      <c r="AE101" s="1221">
        <f ca="1">(AD101/Y101-1)*100</f>
        <v>-9.1679017573575994</v>
      </c>
      <c r="AF101" s="1299">
        <f ca="1">OFFSET('VVP2'!$G$109,0,(COLUMN()-7)/5)</f>
        <v>-16.566412841564937</v>
      </c>
      <c r="AG101" s="1228">
        <f ca="1">+AD101*(1+AF101/100)</f>
        <v>0.78744619560131013</v>
      </c>
      <c r="AH101" s="1299">
        <f ca="1">+AI101/AG101*100-100</f>
        <v>3.6908940015255354</v>
      </c>
      <c r="AI101" s="1228">
        <f ca="1">OFFSET('VVP2'!$G$309,0,(COLUMN()-6)/5)</f>
        <v>0.81650999999999996</v>
      </c>
      <c r="AJ101" s="1221">
        <f ca="1">(AI101/AD101-1)*100</f>
        <v>-13.486967577876674</v>
      </c>
      <c r="AK101" s="1299">
        <f ca="1">OFFSET('VVP2'!$G$109,0,(COLUMN()-7)/5)</f>
        <v>-0.66215485857826772</v>
      </c>
      <c r="AL101" s="1228">
        <f ca="1">+AI101*(1+AK101/100)</f>
        <v>0.81110343936422258</v>
      </c>
      <c r="AM101" s="1299">
        <f ca="1">+AN101/AL101*100-100</f>
        <v>7.3796457678314766</v>
      </c>
      <c r="AN101" s="1228">
        <f ca="1">OFFSET('VVP2'!$G$309,0,(COLUMN()-6)/5)</f>
        <v>0.87096000000000007</v>
      </c>
      <c r="AO101" s="1221">
        <f ca="1">(AN101/AI101-1)*100</f>
        <v>6.6686262262556584</v>
      </c>
      <c r="AP101" s="1299">
        <f ca="1">OFFSET('VVP2'!$G$109,0,(COLUMN()-7)/5)</f>
        <v>18.174601273597691</v>
      </c>
      <c r="AQ101" s="1228">
        <f ca="1">+AN101*(1+AP101/100)</f>
        <v>1.0292535072525266</v>
      </c>
      <c r="AR101" s="1299">
        <f ca="1">+AS101/AQ101*100-100</f>
        <v>2.0574613152401611</v>
      </c>
      <c r="AS101" s="1228">
        <f ca="1">OFFSET('VVP2'!$G$309,0,(COLUMN()-6)/5)</f>
        <v>1.05043</v>
      </c>
      <c r="AT101" s="1221">
        <f ca="1">(AS101/AN101-1)*100</f>
        <v>20.605997979241273</v>
      </c>
      <c r="AU101" s="1299">
        <f ca="1">OFFSET('VVP2'!$G$109,0,(COLUMN()-7)/5)</f>
        <v>14.08194998219232</v>
      </c>
      <c r="AV101" s="1228">
        <f ca="1">+AS101*(1+AU101/100)</f>
        <v>1.1983510271979427</v>
      </c>
      <c r="AW101" s="1299">
        <f ca="1">+AX101/AV101*100-100</f>
        <v>-2.9725035811279668</v>
      </c>
      <c r="AX101" s="1228">
        <f ca="1">OFFSET('VVP2'!$G$309,0,(COLUMN()-6)/5)</f>
        <v>1.16273</v>
      </c>
      <c r="AY101" s="1221">
        <f ca="1">(AX101/AS101-1)*100</f>
        <v>10.690859933551033</v>
      </c>
      <c r="AZ101" s="1299">
        <f ca="1">OFFSET('VVP2'!$G$109,0,(COLUMN()-7)/5)</f>
        <v>18.351045509484052</v>
      </c>
      <c r="BA101" s="1228">
        <f ca="1">+AX101*(1+AZ101/100)</f>
        <v>1.376103111452424</v>
      </c>
      <c r="BB101" s="1299">
        <f ca="1">+BC101/BA101*100-100</f>
        <v>-2.4397235332887846</v>
      </c>
      <c r="BC101" s="1228">
        <f ca="1">OFFSET('VVP2'!$G$309,0,(COLUMN()-6)/5)</f>
        <v>1.34253</v>
      </c>
      <c r="BD101" s="1221">
        <f ca="1">(BC101/AX101-1)*100</f>
        <v>15.463607200295847</v>
      </c>
      <c r="BE101" s="1299">
        <f ca="1">OFFSET('VVP2'!$G$109,0,(COLUMN()-7)/5)</f>
        <v>23.434567705442344</v>
      </c>
      <c r="BF101" s="1228">
        <f ca="1">+BC101*(1+BE101/100)</f>
        <v>1.6571461018158751</v>
      </c>
      <c r="BG101" s="1299">
        <f ca="1">+BH101/BF101*100-100</f>
        <v>0.84264737845525417</v>
      </c>
      <c r="BH101" s="1228">
        <f ca="1">OFFSET('VVP2'!$G$309,0,(COLUMN()-6)/5)</f>
        <v>1.6711099999999999</v>
      </c>
      <c r="BI101" s="1221">
        <f ca="1">(BH101/BC101-1)*100</f>
        <v>24.474685854319823</v>
      </c>
      <c r="BJ101" s="1299">
        <f ca="1">OFFSET('VVP2'!$G$109,0,(COLUMN()-7)/5)</f>
        <v>16.218227371035752</v>
      </c>
      <c r="BK101" s="1228">
        <f ca="1">+BH101*(1+BJ101/100)</f>
        <v>1.9421344194201153</v>
      </c>
      <c r="BL101" s="1299">
        <f ca="1">+BM101/BK101*100-100</f>
        <v>4.8459869532607343</v>
      </c>
      <c r="BM101" s="1228">
        <f ca="1">OFFSET('VVP2'!$G$309,0,(COLUMN()-6)/5)</f>
        <v>2.0362499999999999</v>
      </c>
      <c r="BN101" s="1221">
        <f ca="1">(BM101/BH101-1)*100</f>
        <v>21.850147506747007</v>
      </c>
      <c r="BO101" s="1299">
        <f ca="1">OFFSET('VVP2'!$G$109,0,(COLUMN()-7)/5)</f>
        <v>17.647438171089558</v>
      </c>
      <c r="BP101" s="1228">
        <f ca="1">+BM101*(1+BO101/100)</f>
        <v>2.3955959597588108</v>
      </c>
      <c r="BQ101" s="1299">
        <f ca="1">+BR101/BP101*100-100</f>
        <v>4.0972702362994227</v>
      </c>
      <c r="BR101" s="1228">
        <f ca="1">OFFSET('VVP2'!$G$309,0,(COLUMN()-6)/5)</f>
        <v>2.4937499999999999</v>
      </c>
      <c r="BS101" s="1221">
        <f ca="1">(BR101/BM101-1)*100</f>
        <v>22.467771639042368</v>
      </c>
      <c r="BT101" s="1299">
        <f ca="1">OFFSET('VVP2'!$G$109,0,(COLUMN()-7)/5)</f>
        <v>8.946288596017272</v>
      </c>
      <c r="BU101" s="1228">
        <f ca="1">+BR101*(1+BT101/100)</f>
        <v>2.7168480718631804</v>
      </c>
      <c r="BV101" s="1299">
        <f ca="1">+BW101/BU101*100-100</f>
        <v>5.3890362752751457</v>
      </c>
      <c r="BW101" s="1228">
        <f ca="1">OFFSET('VVP2'!$G$309,0,(COLUMN()-6)/5)</f>
        <v>2.8632600000000004</v>
      </c>
      <c r="BX101" s="1221">
        <f ca="1">(BW101/BR101-1)*100</f>
        <v>14.817443609022574</v>
      </c>
      <c r="BY101" s="1299">
        <f ca="1">OFFSET('VVP2'!$G$109,0,(COLUMN()-7)/5)</f>
        <v>-17.304879407441486</v>
      </c>
      <c r="BZ101" s="1228">
        <f ca="1">+BW101*(1+BY101/100)</f>
        <v>2.367776309878491</v>
      </c>
      <c r="CA101" s="1299">
        <f ca="1">+CB101/BZ101*100-100</f>
        <v>-6.2732408149701371</v>
      </c>
      <c r="CB101" s="1228">
        <f ca="1">OFFSET('VVP2'!$G$309,0,(COLUMN()-6)/5)</f>
        <v>2.2192399999999997</v>
      </c>
      <c r="CC101" s="1221">
        <f ca="1">(CB101/BW101-1)*100</f>
        <v>-22.492543464442647</v>
      </c>
      <c r="CD101" s="1299">
        <f ca="1">OFFSET('VVP2'!$G$109,0,(COLUMN()-7)/5)</f>
        <v>-1.0430247718373753E-2</v>
      </c>
      <c r="CE101" s="1228">
        <f ca="1">+CB101*(1+CD101/100)</f>
        <v>2.2190085277705345</v>
      </c>
      <c r="CF101" s="1299">
        <f ca="1">+CG101/CE101*100-100</f>
        <v>3.6841441214109523</v>
      </c>
      <c r="CG101" s="1228">
        <f ca="1">OFFSET('VVP2'!$G$309,0,(COLUMN()-6)/5)</f>
        <v>2.3007600000000004</v>
      </c>
      <c r="CH101" s="1221">
        <f ca="1">(CG101/CB101-1)*100</f>
        <v>3.6733296083344191</v>
      </c>
      <c r="CI101" s="1299">
        <f ca="1">OFFSET('VVP2'!$G$109,0,(COLUMN()-7)/5)</f>
        <v>17.106086684399923</v>
      </c>
      <c r="CJ101" s="1228">
        <f ca="1">+CG101*(1+CI101/100)</f>
        <v>2.6943299999999999</v>
      </c>
      <c r="CK101" s="1299">
        <f ca="1">+CL101/CJ101*100-100</f>
        <v>2.650009464319524</v>
      </c>
      <c r="CL101" s="1228">
        <f ca="1">OFFSET('VVP2'!$G$309,0,(COLUMN()-6)/5)</f>
        <v>2.76573</v>
      </c>
      <c r="CM101" s="1221">
        <f ca="1">(CL101/CG101-1)*100</f>
        <v>20.20940906483073</v>
      </c>
      <c r="CN101" s="1299">
        <f ca="1">OFFSET('VVP2'!$G$109,0,(COLUMN()-7)/5)</f>
        <v>21.155166590580965</v>
      </c>
      <c r="CO101" s="1228">
        <f ca="1">+CL101*(1+CN101/100)</f>
        <v>3.3508247889456748</v>
      </c>
      <c r="CP101" s="1299">
        <f ca="1">+CQ101/CO101*100-100</f>
        <v>1.5749916626028835</v>
      </c>
      <c r="CQ101" s="1228">
        <f ca="1">OFFSET('VVP2'!$G$309,0,(COLUMN()-6)/5)</f>
        <v>3.4036</v>
      </c>
      <c r="CR101" s="1221">
        <f ca="1">(CQ101/CL101-1)*100</f>
        <v>23.063350363195244</v>
      </c>
      <c r="CS101" s="1299">
        <f ca="1">OFFSET('VVP2'!$G$109,0,(COLUMN()-7)/5)</f>
        <v>18.897044407411023</v>
      </c>
      <c r="CT101" s="1228">
        <f ca="1">+CQ101*(1+CS101/100)</f>
        <v>4.0467798034506419</v>
      </c>
      <c r="CU101" s="1299">
        <f ca="1">+CV101/CT101*100-100</f>
        <v>-0.33977147555489751</v>
      </c>
      <c r="CV101" s="1228">
        <f ca="1">OFFSET('VVP2'!$G$309,0,(COLUMN()-6)/5)</f>
        <v>4.0330300000000001</v>
      </c>
      <c r="CW101" s="1221">
        <f ca="1">(CV101/CQ101-1)*100</f>
        <v>18.493066165236804</v>
      </c>
      <c r="CX101" s="1299">
        <f ca="1">OFFSET('VVP2'!$G$109,0,(COLUMN()-7)/5)</f>
        <v>5.0226992821770677</v>
      </c>
      <c r="CY101" s="1228">
        <f ca="1">+CV101*(1+CX101/100)</f>
        <v>4.2355969688599862</v>
      </c>
      <c r="CZ101" s="1299">
        <f ca="1">+DA101/CY101*100-100</f>
        <v>-0.55427768582772785</v>
      </c>
      <c r="DA101" s="1228">
        <f ca="1">OFFSET('VVP2'!$G$309,0,(COLUMN()-6)/5)</f>
        <v>4.2121199999999996</v>
      </c>
      <c r="DB101" s="1221">
        <f ca="1">(DA101/CV101-1)*100</f>
        <v>4.4405818950020048</v>
      </c>
      <c r="DC101" s="1299">
        <f ca="1">OFFSET('VVP2'!$G$109,0,(COLUMN()-7)/5)</f>
        <v>-0.2087769741813128</v>
      </c>
      <c r="DD101" s="1228">
        <f ca="1">+DA101*(1+DC101/100)</f>
        <v>4.2033260633151137</v>
      </c>
      <c r="DE101" s="1299">
        <f ca="1">+DF101/DD101*100-100</f>
        <v>1.4998583439697342</v>
      </c>
      <c r="DF101" s="1228">
        <f ca="1">OFFSET('VVP2'!$G$309,0,(COLUMN()-6)/5)</f>
        <v>4.2663700000000002</v>
      </c>
      <c r="DG101" s="1221">
        <f ca="1">(DF101/DA101-1)*100</f>
        <v>1.2879500109208797</v>
      </c>
      <c r="DH101" s="1299">
        <f ca="1">OFFSET('VVP2'!$G$109,0,(COLUMN()-7)/5)</f>
        <v>6.5903564992710661</v>
      </c>
      <c r="DI101" s="1228">
        <f ca="1">+DF101*(1+DH101/100)</f>
        <v>4.5475389925779508</v>
      </c>
      <c r="DJ101" s="1299">
        <f ca="1">+DK101/DI101*100-100</f>
        <v>1.128984435446128</v>
      </c>
      <c r="DK101" s="1228">
        <f ca="1">OFFSET('VVP2'!$G$309,0,(COLUMN()-6)/5)</f>
        <v>4.5988800000000003</v>
      </c>
      <c r="DL101" s="1221">
        <f ca="1">(DK101/DF101-1)*100</f>
        <v>7.7937450338343872</v>
      </c>
      <c r="DM101" s="1299">
        <f ca="1">OFFSET('VVP2'!$G$109,0,(COLUMN()-7)/5)</f>
        <v>13.143267030777173</v>
      </c>
      <c r="DN101" s="1228">
        <f ca="1">+DK101*(1+DM101/100)</f>
        <v>5.2033230788250053</v>
      </c>
      <c r="DO101" s="1299">
        <f ca="1">+DP101/DN101*100-100</f>
        <v>3.3203189299944285</v>
      </c>
      <c r="DP101" s="1228">
        <f ca="1">OFFSET('VVP2'!$G$309,0,(COLUMN()-6)/5)</f>
        <v>5.3760900000000005</v>
      </c>
      <c r="DQ101" s="1221">
        <f ca="1">(DP101/DK101-1)*100</f>
        <v>16.899984344014207</v>
      </c>
      <c r="DR101" s="3352">
        <v>6.5</v>
      </c>
      <c r="DS101" s="1228">
        <f ca="1">+DP101*(1+DR101/100)</f>
        <v>5.72553585</v>
      </c>
      <c r="DT101" s="2244">
        <v>3</v>
      </c>
      <c r="DU101" s="2241">
        <f ca="1">+DS101*(1+DT101/100)</f>
        <v>5.8973019254999999</v>
      </c>
      <c r="DV101" s="2248">
        <f ca="1">(DU101/DP101-1)*100</f>
        <v>9.6949999999999861</v>
      </c>
      <c r="DW101" s="3352">
        <v>4.9000000000000004</v>
      </c>
      <c r="DX101" s="1228">
        <f ca="1">+DU101*(1+DW101/100)</f>
        <v>6.1862697198494994</v>
      </c>
      <c r="DY101" s="2244">
        <v>2</v>
      </c>
      <c r="DZ101" s="2241">
        <f ca="1">+DX101*(1+DY101/100)</f>
        <v>6.3099951142464894</v>
      </c>
      <c r="EA101" s="2248">
        <f ca="1">(DZ101/DU101-1)*100</f>
        <v>6.9979999999999931</v>
      </c>
      <c r="EB101"/>
      <c r="EC101"/>
      <c r="ED101"/>
      <c r="EE101"/>
      <c r="EF101"/>
      <c r="EG101"/>
      <c r="EH101"/>
      <c r="EI101"/>
      <c r="EJ101"/>
      <c r="EK101"/>
      <c r="EL101"/>
      <c r="EM101"/>
      <c r="EN101"/>
      <c r="EO101"/>
    </row>
    <row r="102" spans="1:145">
      <c r="A102" s="1456" t="s">
        <v>282</v>
      </c>
      <c r="B102" s="1"/>
      <c r="C102" s="1081" t="s">
        <v>1767</v>
      </c>
      <c r="D102" s="1077"/>
      <c r="E102" s="1078" t="s">
        <v>1454</v>
      </c>
      <c r="F102" s="1077" t="s">
        <v>173</v>
      </c>
      <c r="G102" s="1383"/>
      <c r="H102" s="1384"/>
      <c r="I102" s="1385"/>
      <c r="J102" s="1351">
        <f ca="1">OFFSET('VVP2'!$G$310,0,(COLUMN()-6)/5)</f>
        <v>3.0936900000000001</v>
      </c>
      <c r="K102" s="1382"/>
      <c r="L102" s="1359">
        <f ca="1">OFFSET('VVP2'!$G$110,0,(COLUMN()-7)/5)</f>
        <v>21.934509533001133</v>
      </c>
      <c r="M102" s="1351">
        <f ca="1">+J102*(1+L102/100)</f>
        <v>3.7722757279715027</v>
      </c>
      <c r="N102" s="1360">
        <f ca="1">+O102/M102*100-100</f>
        <v>10.297610780359975</v>
      </c>
      <c r="O102" s="1351">
        <f ca="1">OFFSET('VVP2'!$G$310,0,(COLUMN()-6)/5)</f>
        <v>4.1607299999999992</v>
      </c>
      <c r="P102" s="1358">
        <f ca="1">(O102/J102-1)*100</f>
        <v>34.490850731650525</v>
      </c>
      <c r="Q102" s="1359">
        <f ca="1">OFFSET('VVP2'!$G$110,0,(COLUMN()-7)/5)</f>
        <v>24.812977829645622</v>
      </c>
      <c r="R102" s="1351">
        <f ca="1">+O102*(1+Q102/100)</f>
        <v>5.1931310124514134</v>
      </c>
      <c r="S102" s="1360">
        <f ca="1">+T102/R102*100-100</f>
        <v>3.5115422104959464</v>
      </c>
      <c r="T102" s="1351">
        <f ca="1">OFFSET('VVP2'!$G$310,0,(COLUMN()-6)/5)</f>
        <v>5.3754900000000001</v>
      </c>
      <c r="U102" s="1358">
        <f ca="1">(T102/O102-1)*100</f>
        <v>29.195838230310578</v>
      </c>
      <c r="V102" s="1359">
        <f ca="1">OFFSET('VVP2'!$G$110,0,(COLUMN()-7)/5)</f>
        <v>7.035922349131285</v>
      </c>
      <c r="W102" s="1351">
        <f ca="1">+T102*(1+V102/100)</f>
        <v>5.7537053022853177</v>
      </c>
      <c r="X102" s="1360">
        <f ca="1">+Y102/W102*100-100</f>
        <v>-3.7046614500859789</v>
      </c>
      <c r="Y102" s="1351">
        <f ca="1">OFFSET('VVP2'!$G$310,0,(COLUMN()-6)/5)</f>
        <v>5.5405500000000005</v>
      </c>
      <c r="Z102" s="1358">
        <f ca="1">(Y102/T102-1)*100</f>
        <v>3.0706037961190535</v>
      </c>
      <c r="AA102" s="1359">
        <f ca="1">OFFSET('VVP2'!$G$110,0,(COLUMN()-7)/5)</f>
        <v>-13.797267175959703</v>
      </c>
      <c r="AB102" s="1351">
        <f ca="1">+Y102*(1+AA102/100)</f>
        <v>4.7761055134823653</v>
      </c>
      <c r="AC102" s="1360">
        <f ca="1">+AD102/AB102*100-100</f>
        <v>-6.9134886687545816</v>
      </c>
      <c r="AD102" s="1351">
        <f ca="1">OFFSET('VVP2'!$G$310,0,(COLUMN()-6)/5)</f>
        <v>4.4459099999999996</v>
      </c>
      <c r="AE102" s="1358">
        <f ca="1">(AD102/Y102-1)*100</f>
        <v>-19.756883341906505</v>
      </c>
      <c r="AF102" s="1359">
        <f ca="1">OFFSET('VVP2'!$G$110,0,(COLUMN()-7)/5)</f>
        <v>8.7392145036833124</v>
      </c>
      <c r="AG102" s="1351">
        <f ca="1">+AD102*(1+AF102/100)</f>
        <v>4.834447611540706</v>
      </c>
      <c r="AH102" s="1360">
        <f ca="1">+AI102/AG102*100-100</f>
        <v>6.7937935179035236</v>
      </c>
      <c r="AI102" s="1351">
        <f ca="1">OFFSET('VVP2'!$G$310,0,(COLUMN()-6)/5)</f>
        <v>5.16289</v>
      </c>
      <c r="AJ102" s="1358">
        <f ca="1">(AI102/AD102-1)*100</f>
        <v>16.126732210053738</v>
      </c>
      <c r="AK102" s="1359">
        <f ca="1">OFFSET('VVP2'!$G$110,0,(COLUMN()-7)/5)</f>
        <v>19.991382139484081</v>
      </c>
      <c r="AL102" s="1351">
        <f ca="1">+AI102*(1+AK102/100)</f>
        <v>6.1950230693412101</v>
      </c>
      <c r="AM102" s="1360">
        <f ca="1">+AN102/AL102*100-100</f>
        <v>-0.62345319636263241</v>
      </c>
      <c r="AN102" s="1351">
        <f ca="1">OFFSET('VVP2'!$G$310,0,(COLUMN()-6)/5)</f>
        <v>6.1563999999999997</v>
      </c>
      <c r="AO102" s="1358">
        <f ca="1">(AN102/AI102-1)*100</f>
        <v>19.243292032175763</v>
      </c>
      <c r="AP102" s="1359">
        <f ca="1">OFFSET('VVP2'!$G$110,0,(COLUMN()-7)/5)</f>
        <v>18.631991762337073</v>
      </c>
      <c r="AQ102" s="1351">
        <f ca="1">+AN102*(1+AP102/100)</f>
        <v>7.3034599408565191</v>
      </c>
      <c r="AR102" s="1360">
        <f ca="1">+AS102/AQ102*100-100</f>
        <v>-4.0260361970580618</v>
      </c>
      <c r="AS102" s="1351">
        <f ca="1">OFFSET('VVP2'!$G$310,0,(COLUMN()-6)/5)</f>
        <v>7.0094200000000004</v>
      </c>
      <c r="AT102" s="1358">
        <f ca="1">(AS102/AN102-1)*100</f>
        <v>13.855824832694452</v>
      </c>
      <c r="AU102" s="1359">
        <f ca="1">OFFSET('VVP2'!$G$110,0,(COLUMN()-7)/5)</f>
        <v>8.1657816106154524</v>
      </c>
      <c r="AV102" s="1351">
        <f ca="1">+AS102*(1+AU102/100)</f>
        <v>7.5817939293708019</v>
      </c>
      <c r="AW102" s="1360">
        <f ca="1">+AX102/AV102*100-100</f>
        <v>-1.1106069375561418</v>
      </c>
      <c r="AX102" s="1351">
        <f ca="1">OFFSET('VVP2'!$G$310,0,(COLUMN()-6)/5)</f>
        <v>7.4975899999999998</v>
      </c>
      <c r="AY102" s="1358">
        <f ca="1">(AX102/AS102-1)*100</f>
        <v>6.9644849359861372</v>
      </c>
      <c r="AZ102" s="1359">
        <f ca="1">OFFSET('VVP2'!$G$110,0,(COLUMN()-7)/5)</f>
        <v>14.698705559009673</v>
      </c>
      <c r="BA102" s="1351">
        <f ca="1">+AX102*(1+AZ102/100)</f>
        <v>8.5996386781217531</v>
      </c>
      <c r="BB102" s="1360">
        <f ca="1">+BC102/BA102*100-100</f>
        <v>-0.27650787447905145</v>
      </c>
      <c r="BC102" s="1351">
        <f ca="1">OFFSET('VVP2'!$G$310,0,(COLUMN()-6)/5)</f>
        <v>8.5758600000000005</v>
      </c>
      <c r="BD102" s="1358">
        <f ca="1">(BC102/AX102-1)*100</f>
        <v>14.381554606213465</v>
      </c>
      <c r="BE102" s="1359">
        <f ca="1">OFFSET('VVP2'!$G$110,0,(COLUMN()-7)/5)</f>
        <v>19.856034065376925</v>
      </c>
      <c r="BF102" s="1351">
        <f ca="1">+BC102*(1+BE102/100)</f>
        <v>10.278685682999035</v>
      </c>
      <c r="BG102" s="1360">
        <f ca="1">+BH102/BF102*100-100</f>
        <v>8.5353745027154844</v>
      </c>
      <c r="BH102" s="1351">
        <f ca="1">OFFSET('VVP2'!$G$310,0,(COLUMN()-6)/5)</f>
        <v>11.15601</v>
      </c>
      <c r="BI102" s="1358">
        <f ca="1">(BH102/BC102-1)*100</f>
        <v>30.086195436959095</v>
      </c>
      <c r="BJ102" s="1359">
        <f ca="1">OFFSET('VVP2'!$G$110,0,(COLUMN()-7)/5)</f>
        <v>13.965064977148401</v>
      </c>
      <c r="BK102" s="1351">
        <f ca="1">+BH102*(1+BJ102/100)</f>
        <v>12.713954045357173</v>
      </c>
      <c r="BL102" s="1360">
        <f ca="1">+BM102/BK102*100-100</f>
        <v>8.7628596946963881</v>
      </c>
      <c r="BM102" s="1351">
        <f ca="1">OFFSET('VVP2'!$G$310,0,(COLUMN()-6)/5)</f>
        <v>13.828059999999999</v>
      </c>
      <c r="BN102" s="1358">
        <f ca="1">(BM102/BH102-1)*100</f>
        <v>23.951663722065497</v>
      </c>
      <c r="BO102" s="1359">
        <f ca="1">OFFSET('VVP2'!$G$110,0,(COLUMN()-7)/5)</f>
        <v>9.8019689881788441</v>
      </c>
      <c r="BP102" s="1351">
        <f ca="1">+BM102*(1+BO102/100)</f>
        <v>15.183482152866763</v>
      </c>
      <c r="BQ102" s="1360">
        <f ca="1">+BR102/BP102*100-100</f>
        <v>4.9967974374705051</v>
      </c>
      <c r="BR102" s="1351">
        <f ca="1">OFFSET('VVP2'!$G$310,0,(COLUMN()-6)/5)</f>
        <v>15.942170000000001</v>
      </c>
      <c r="BS102" s="1358">
        <f ca="1">(BR102/BM102-1)*100</f>
        <v>15.288550960872339</v>
      </c>
      <c r="BT102" s="1359">
        <f ca="1">OFFSET('VVP2'!$G$110,0,(COLUMN()-7)/5)</f>
        <v>12.694478099170659</v>
      </c>
      <c r="BU102" s="1351">
        <f ca="1">+BR102*(1+BT102/100)</f>
        <v>17.965945279182556</v>
      </c>
      <c r="BV102" s="1360">
        <f ca="1">+BW102/BU102*100-100</f>
        <v>9.1090933173091742</v>
      </c>
      <c r="BW102" s="1351">
        <f ca="1">OFFSET('VVP2'!$G$310,0,(COLUMN()-6)/5)</f>
        <v>19.60248</v>
      </c>
      <c r="BX102" s="1358">
        <f ca="1">(BW102/BR102-1)*100</f>
        <v>22.959923272678683</v>
      </c>
      <c r="BY102" s="1359">
        <f ca="1">OFFSET('VVP2'!$G$110,0,(COLUMN()-7)/5)</f>
        <v>-29.558551744036432</v>
      </c>
      <c r="BZ102" s="1351">
        <f ca="1">+BW102*(1+BY102/100)</f>
        <v>13.808270806085607</v>
      </c>
      <c r="CA102" s="1360">
        <f ca="1">+CB102/BZ102*100-100</f>
        <v>-11.48022680281565</v>
      </c>
      <c r="CB102" s="1351">
        <f ca="1">OFFSET('VVP2'!$G$310,0,(COLUMN()-6)/5)</f>
        <v>12.223049999999999</v>
      </c>
      <c r="CC102" s="1358">
        <f ca="1">(CB102/BW102-1)*100</f>
        <v>-37.645389767009071</v>
      </c>
      <c r="CD102" s="1359">
        <f ca="1">OFFSET('VVP2'!$G$110,0,(COLUMN()-7)/5)</f>
        <v>22.063277686755555</v>
      </c>
      <c r="CE102" s="1351">
        <f ca="1">+CB102*(1+CD102/100)</f>
        <v>14.919855463290974</v>
      </c>
      <c r="CF102" s="1360">
        <f ca="1">+CG102/CE102*100-100</f>
        <v>10.854492127578624</v>
      </c>
      <c r="CG102" s="1351">
        <f ca="1">OFFSET('VVP2'!$G$310,0,(COLUMN()-6)/5)</f>
        <v>16.539330000000003</v>
      </c>
      <c r="CH102" s="1358">
        <f ca="1">(CG102/CB102-1)*100</f>
        <v>35.31262655392888</v>
      </c>
      <c r="CI102" s="1359">
        <f ca="1">OFFSET('VVP2'!$G$110,0,(COLUMN()-7)/5)</f>
        <v>14.714804045871244</v>
      </c>
      <c r="CJ102" s="1351">
        <f ca="1">+CG102*(1+CI102/100)</f>
        <v>18.97306</v>
      </c>
      <c r="CK102" s="1360">
        <f ca="1">+CL102/CJ102*100-100</f>
        <v>13.249944921905055</v>
      </c>
      <c r="CL102" s="1351">
        <f ca="1">OFFSET('VVP2'!$G$310,0,(COLUMN()-6)/5)</f>
        <v>21.486979999999999</v>
      </c>
      <c r="CM102" s="1358">
        <f ca="1">(CL102/CG102-1)*100</f>
        <v>29.914452399220504</v>
      </c>
      <c r="CN102" s="1359">
        <f ca="1">OFFSET('VVP2'!$G$110,0,(COLUMN()-7)/5)</f>
        <v>4.7772473180393682</v>
      </c>
      <c r="CO102" s="1351">
        <f ca="1">+CL102*(1+CN102/100)</f>
        <v>22.513466175777655</v>
      </c>
      <c r="CP102" s="1360">
        <f ca="1">+CQ102/CO102*100-100</f>
        <v>4.5134490455121892</v>
      </c>
      <c r="CQ102" s="1351">
        <f ca="1">OFFSET('VVP2'!$G$310,0,(COLUMN()-6)/5)</f>
        <v>23.529599999999999</v>
      </c>
      <c r="CR102" s="1358">
        <f ca="1">(CQ102/CL102-1)*100</f>
        <v>9.5063149870293628</v>
      </c>
      <c r="CS102" s="1359">
        <f ca="1">OFFSET('VVP2'!$G$110,0,(COLUMN()-7)/5)</f>
        <v>7.697496661124914</v>
      </c>
      <c r="CT102" s="1351">
        <f ca="1">+CQ102*(1+CS102/100)</f>
        <v>25.340790174376046</v>
      </c>
      <c r="CU102" s="1360">
        <f ca="1">+CV102/CT102*100-100</f>
        <v>-1.6700354308760836</v>
      </c>
      <c r="CV102" s="1351">
        <f ca="1">OFFSET('VVP2'!$G$310,0,(COLUMN()-6)/5)</f>
        <v>24.917590000000001</v>
      </c>
      <c r="CW102" s="1358">
        <f ca="1">(CV102/CQ102-1)*100</f>
        <v>5.8989103087175421</v>
      </c>
      <c r="CX102" s="1359">
        <f ca="1">OFFSET('VVP2'!$G$110,0,(COLUMN()-7)/5)</f>
        <v>2.7845828543830997</v>
      </c>
      <c r="CY102" s="1351">
        <f ca="1">+CV102*(1+CX102/100)</f>
        <v>25.611440938865478</v>
      </c>
      <c r="CZ102" s="1360">
        <f ca="1">+DA102/CY102*100-100</f>
        <v>-3.6119050898916498</v>
      </c>
      <c r="DA102" s="1351">
        <f ca="1">OFFSET('VVP2'!$G$310,0,(COLUMN()-6)/5)</f>
        <v>24.68638</v>
      </c>
      <c r="DB102" s="1358">
        <f ca="1">(DA102/CV102-1)*100</f>
        <v>-0.92789872535827822</v>
      </c>
      <c r="DC102" s="1359">
        <f ca="1">OFFSET('VVP2'!$G$110,0,(COLUMN()-7)/5)</f>
        <v>7.2942455275508689</v>
      </c>
      <c r="DD102" s="1351">
        <f ca="1">+DA102*(1+DC102/100)</f>
        <v>26.487065169064213</v>
      </c>
      <c r="DE102" s="1360">
        <f ca="1">+DF102/DD102*100-100</f>
        <v>-8.2711510508267168</v>
      </c>
      <c r="DF102" s="1351">
        <f ca="1">OFFSET('VVP2'!$G$310,0,(COLUMN()-6)/5)</f>
        <v>24.296279999999999</v>
      </c>
      <c r="DG102" s="1358">
        <f ca="1">(DF102/DA102-1)*100</f>
        <v>-1.5802235888777605</v>
      </c>
      <c r="DH102" s="1359">
        <f ca="1">OFFSET('VVP2'!$G$110,0,(COLUMN()-7)/5)</f>
        <v>2.9900046588454465</v>
      </c>
      <c r="DI102" s="1351">
        <f ca="1">+DF102*(1+DH102/100)</f>
        <v>25.022739903926134</v>
      </c>
      <c r="DJ102" s="1360">
        <f ca="1">+DK102/DI102*100-100</f>
        <v>-5.324716274244139</v>
      </c>
      <c r="DK102" s="1351">
        <f ca="1">OFFSET('VVP2'!$G$310,0,(COLUMN()-6)/5)</f>
        <v>23.690349999999999</v>
      </c>
      <c r="DL102" s="1358">
        <f ca="1">(DK102/DF102-1)*100</f>
        <v>-2.4939208800688895</v>
      </c>
      <c r="DM102" s="1359">
        <f ca="1">OFFSET('VVP2'!$G$110,0,(COLUMN()-7)/5)</f>
        <v>12.748093204046373</v>
      </c>
      <c r="DN102" s="1351">
        <f ca="1">+DK102*(1+DM102/100)</f>
        <v>26.710417898364799</v>
      </c>
      <c r="DO102" s="1360">
        <f ca="1">+DP102/DN102*100-100</f>
        <v>4.1311674936495422</v>
      </c>
      <c r="DP102" s="1351">
        <f ca="1">OFFSET('VVP2'!$G$310,0,(COLUMN()-6)/5)</f>
        <v>27.813869999999998</v>
      </c>
      <c r="DQ102" s="1358">
        <f ca="1">(DP102/DK102-1)*100</f>
        <v>17.405905780201646</v>
      </c>
      <c r="DR102" s="3352">
        <v>6.5</v>
      </c>
      <c r="DS102" s="2243">
        <f ca="1">+DP102*(1+DR102/100)</f>
        <v>29.621771549999995</v>
      </c>
      <c r="DT102" s="2244">
        <v>2.5</v>
      </c>
      <c r="DU102" s="2243">
        <f ca="1">+DS102*(1+DT102/100)</f>
        <v>30.362315838749993</v>
      </c>
      <c r="DV102" s="2245">
        <f ca="1">(DU102/DP102-1)*100</f>
        <v>9.1624999999999837</v>
      </c>
      <c r="DW102" s="3352">
        <v>5.2</v>
      </c>
      <c r="DX102" s="2243">
        <f ca="1">+DU102*(1+DW102/100)</f>
        <v>31.941156262364995</v>
      </c>
      <c r="DY102" s="2244">
        <v>1.5</v>
      </c>
      <c r="DZ102" s="2243">
        <f ca="1">+DX102*(1+DY102/100)</f>
        <v>32.420273606300469</v>
      </c>
      <c r="EA102" s="2245">
        <f ca="1">(DZ102/DU102-1)*100</f>
        <v>6.7780000000000173</v>
      </c>
    </row>
    <row r="103" spans="1:145" s="28" customFormat="1">
      <c r="A103" s="1457" t="s">
        <v>1940</v>
      </c>
      <c r="C103" s="176" t="s">
        <v>1769</v>
      </c>
      <c r="D103" s="1257"/>
      <c r="E103" s="1257" t="s">
        <v>1455</v>
      </c>
      <c r="F103" s="1200" t="s">
        <v>170</v>
      </c>
      <c r="G103" s="1258"/>
      <c r="H103" s="1258"/>
      <c r="I103" s="1258"/>
      <c r="J103" s="1259">
        <f ca="1">OFFSET('VVP2'!$G$311,0,(COLUMN()-6)/5)</f>
        <v>3.7092899999999998</v>
      </c>
      <c r="K103" s="1259"/>
      <c r="L103" s="1259">
        <f ca="1">OFFSET('VVP2'!$G$111,0,(COLUMN()-7)/5)</f>
        <v>23.166175697902137</v>
      </c>
      <c r="M103" s="1259">
        <f ca="1">+J103*(1+L103/100)</f>
        <v>4.5685906385447135</v>
      </c>
      <c r="N103" s="1259">
        <f ca="1">+O103/M103*100-100</f>
        <v>8.9381910913638478</v>
      </c>
      <c r="O103" s="1259">
        <f ca="1">OFFSET('VVP2'!$G$311,0,(COLUMN()-6)/5)</f>
        <v>4.9769399999999999</v>
      </c>
      <c r="P103" s="1259">
        <f ca="1">(O103/J103-1)*100</f>
        <v>34.175003841705553</v>
      </c>
      <c r="Q103" s="1259">
        <f ca="1">OFFSET('VVP2'!$G$111,0,(COLUMN()-7)/5)</f>
        <v>24.966294345254948</v>
      </c>
      <c r="R103" s="1259">
        <f ca="1">+O103*(1+Q103/100)</f>
        <v>6.2194974897867317</v>
      </c>
      <c r="S103" s="1259">
        <f ca="1">+T103/R103*100-100</f>
        <v>3.7604727809173539</v>
      </c>
      <c r="T103" s="1259">
        <f ca="1">OFFSET('VVP2'!$G$311,0,(COLUMN()-6)/5)</f>
        <v>6.4533800000000001</v>
      </c>
      <c r="U103" s="1259">
        <f ca="1">(T103/O103-1)*100</f>
        <v>29.665617829429337</v>
      </c>
      <c r="V103" s="1259">
        <f ca="1">OFFSET('VVP2'!$G$111,0,(COLUMN()-7)/5)</f>
        <v>6.1402011527074141</v>
      </c>
      <c r="W103" s="1259">
        <f ca="1">+T103*(1+V103/100)</f>
        <v>6.8496305131485897</v>
      </c>
      <c r="X103" s="1259">
        <f ca="1">+Y103/W103*100-100</f>
        <v>-3.9421179380443476</v>
      </c>
      <c r="Y103" s="1259">
        <f ca="1">OFFSET('VVP2'!$G$311,0,(COLUMN()-6)/5)</f>
        <v>6.5796099999999997</v>
      </c>
      <c r="Z103" s="1259">
        <f ca="1">(Y103/T103-1)*100</f>
        <v>1.9560292435901738</v>
      </c>
      <c r="AA103" s="1259">
        <f ca="1">OFFSET('VVP2'!$G$111,0,(COLUMN()-7)/5)</f>
        <v>-12.351269284311128</v>
      </c>
      <c r="AB103" s="1259">
        <f ca="1">+Y103*(1+AA103/100)</f>
        <v>5.766944651042536</v>
      </c>
      <c r="AC103" s="1259">
        <f ca="1">+AD103/AB103*100-100</f>
        <v>-6.5413260204316401</v>
      </c>
      <c r="AD103" s="1259">
        <f ca="1">OFFSET('VVP2'!$G$311,0,(COLUMN()-6)/5)</f>
        <v>5.38971</v>
      </c>
      <c r="AE103" s="1259">
        <f ca="1">(AD103/Y103-1)*100</f>
        <v>-18.084658513194551</v>
      </c>
      <c r="AF103" s="1259">
        <f ca="1">OFFSET('VVP2'!$G$111,0,(COLUMN()-7)/5)</f>
        <v>4.9760726387508836</v>
      </c>
      <c r="AG103" s="1259">
        <f ca="1">+AD103*(1+AF103/100)</f>
        <v>5.6579058846180201</v>
      </c>
      <c r="AH103" s="1259">
        <f ca="1">+AI103/AG103*100-100</f>
        <v>5.6822103785080031</v>
      </c>
      <c r="AI103" s="1259">
        <f ca="1">OFFSET('VVP2'!$G$311,0,(COLUMN()-6)/5)</f>
        <v>5.9794</v>
      </c>
      <c r="AJ103" s="1259">
        <f ca="1">(AI103/AD103-1)*100</f>
        <v>10.941033933180089</v>
      </c>
      <c r="AK103" s="1259">
        <f ca="1">OFFSET('VVP2'!$G$111,0,(COLUMN()-7)/5)</f>
        <v>17.576290385742467</v>
      </c>
      <c r="AL103" s="1259">
        <f ca="1">+AI103*(1+AK103/100)</f>
        <v>7.030356707325085</v>
      </c>
      <c r="AM103" s="1259">
        <f ca="1">+AN103/AL103*100-100</f>
        <v>-4.262525288315544E-2</v>
      </c>
      <c r="AN103" s="1259">
        <f ca="1">OFFSET('VVP2'!$G$311,0,(COLUMN()-6)/5)</f>
        <v>7.0273599999999998</v>
      </c>
      <c r="AO103" s="1259">
        <f ca="1">(AN103/AI103-1)*100</f>
        <v>17.526173194634922</v>
      </c>
      <c r="AP103" s="1259">
        <f ca="1">OFFSET('VVP2'!$G$111,0,(COLUMN()-7)/5)</f>
        <v>18.582320452280499</v>
      </c>
      <c r="AQ103" s="1259">
        <f ca="1">+AN103*(1+AP103/100)</f>
        <v>8.3332065545353782</v>
      </c>
      <c r="AR103" s="1259">
        <f ca="1">+AS103/AQ103*100-100</f>
        <v>-3.2803285595579297</v>
      </c>
      <c r="AS103" s="1259">
        <f ca="1">OFFSET('VVP2'!$G$311,0,(COLUMN()-6)/5)</f>
        <v>8.0598500000000008</v>
      </c>
      <c r="AT103" s="1259">
        <f ca="1">(AS103/AN103-1)*100</f>
        <v>14.692430727897833</v>
      </c>
      <c r="AU103" s="1259">
        <f ca="1">OFFSET('VVP2'!$G$111,0,(COLUMN()-7)/5)</f>
        <v>8.8562930633370165</v>
      </c>
      <c r="AV103" s="1259">
        <f ca="1">+AS103*(1+AU103/100)</f>
        <v>8.7736539364653687</v>
      </c>
      <c r="AW103" s="1259">
        <f ca="1">+AX103/AV103*100-100</f>
        <v>-1.2917529832619152</v>
      </c>
      <c r="AX103" s="1259">
        <f ca="1">OFFSET('VVP2'!$G$311,0,(COLUMN()-6)/5)</f>
        <v>8.6603200000000005</v>
      </c>
      <c r="AY103" s="1259">
        <f ca="1">(AX103/AS103-1)*100</f>
        <v>7.4501386502230149</v>
      </c>
      <c r="AZ103" s="1259">
        <f ca="1">OFFSET('VVP2'!$G$111,0,(COLUMN()-7)/5)</f>
        <v>15.140289710799216</v>
      </c>
      <c r="BA103" s="1259">
        <f ca="1">+AX103*(1+AZ103/100)</f>
        <v>9.9715175378822867</v>
      </c>
      <c r="BB103" s="1259">
        <f ca="1">+BC103/BA103*100-100</f>
        <v>-0.53279290419391145</v>
      </c>
      <c r="BC103" s="1259">
        <f ca="1">OFFSET('VVP2'!$G$311,0,(COLUMN()-6)/5)</f>
        <v>9.9183899999999987</v>
      </c>
      <c r="BD103" s="1259">
        <f ca="1">(BC103/AX103-1)*100</f>
        <v>14.526830417351766</v>
      </c>
      <c r="BE103" s="1259">
        <f ca="1">OFFSET('VVP2'!$G$111,0,(COLUMN()-7)/5)</f>
        <v>20.340344313524227</v>
      </c>
      <c r="BF103" s="1259">
        <f ca="1">+BC103*(1+BE103/100)</f>
        <v>11.935824676358154</v>
      </c>
      <c r="BG103" s="1259">
        <f ca="1">+BH103/BF103*100-100</f>
        <v>7.4673962445785236</v>
      </c>
      <c r="BH103" s="1259">
        <f ca="1">OFFSET('VVP2'!$G$311,0,(COLUMN()-6)/5)</f>
        <v>12.827120000000001</v>
      </c>
      <c r="BI103" s="1259">
        <f ca="1">(BH103/BC103-1)*100</f>
        <v>29.326634665505203</v>
      </c>
      <c r="BJ103" s="1259">
        <f ca="1">OFFSET('VVP2'!$G$111,0,(COLUMN()-7)/5)</f>
        <v>14.258666950116105</v>
      </c>
      <c r="BK103" s="1259">
        <f ca="1">+BH103*(1+BJ103/100)</f>
        <v>14.656096320091734</v>
      </c>
      <c r="BL103" s="1259">
        <f ca="1">+BM103/BK103*100-100</f>
        <v>8.2437618689224195</v>
      </c>
      <c r="BM103" s="1259">
        <f ca="1">OFFSET('VVP2'!$G$311,0,(COLUMN()-6)/5)</f>
        <v>15.86431</v>
      </c>
      <c r="BN103" s="1259">
        <f ca="1">(BM103/BH103-1)*100</f>
        <v>23.677879368088849</v>
      </c>
      <c r="BO103" s="1259">
        <f ca="1">OFFSET('VVP2'!$G$111,0,(COLUMN()-7)/5)</f>
        <v>10.808883185624163</v>
      </c>
      <c r="BP103" s="1259">
        <f ca="1">+BM103*(1+BO103/100)</f>
        <v>17.579064736105291</v>
      </c>
      <c r="BQ103" s="1259">
        <f ca="1">+BR103/BP103*100-100</f>
        <v>4.8742938077634506</v>
      </c>
      <c r="BR103" s="1259">
        <f ca="1">OFFSET('VVP2'!$G$311,0,(COLUMN()-6)/5)</f>
        <v>18.435919999999999</v>
      </c>
      <c r="BS103" s="1259">
        <f ca="1">(BR103/BM103-1)*100</f>
        <v>16.210033717192871</v>
      </c>
      <c r="BT103" s="1259">
        <f ca="1">OFFSET('VVP2'!$G$111,0,(COLUMN()-7)/5)</f>
        <v>12.187524486682811</v>
      </c>
      <c r="BU103" s="1259">
        <f ca="1">+BR103*(1+BT103/100)</f>
        <v>20.682802264345252</v>
      </c>
      <c r="BV103" s="1259">
        <f ca="1">+BW103/BU103*100-100</f>
        <v>8.6204360166820493</v>
      </c>
      <c r="BW103" s="1259">
        <f ca="1">OFFSET('VVP2'!$G$311,0,(COLUMN()-6)/5)</f>
        <v>22.46575</v>
      </c>
      <c r="BX103" s="1259">
        <f ca="1">(BW103/BR103-1)*100</f>
        <v>21.858578253756811</v>
      </c>
      <c r="BY103" s="1259">
        <f ca="1">OFFSET('VVP2'!$G$111,0,(COLUMN()-7)/5)</f>
        <v>-27.996827041084281</v>
      </c>
      <c r="BZ103" s="3127">
        <f ca="1">+BW103*(1+BY103/100)</f>
        <v>16.176052829017607</v>
      </c>
      <c r="CA103" s="1259">
        <f ca="1">+CB103/BZ103*100-100</f>
        <v>-10.718145194898582</v>
      </c>
      <c r="CB103" s="1259">
        <f ca="1">OFFSET('VVP2'!$G$311,0,(COLUMN()-6)/5)</f>
        <v>14.44228</v>
      </c>
      <c r="CC103" s="1259">
        <f ca="1">(CB103/BW103-1)*100</f>
        <v>-35.714231663754823</v>
      </c>
      <c r="CD103" s="1259">
        <f ca="1">OFFSET('VVP2'!$G$111,0,(COLUMN()-7)/5)</f>
        <v>18.671378225417847</v>
      </c>
      <c r="CE103" s="3127">
        <f ca="1">+CB103*(1+CD103/100)</f>
        <v>17.138852723173876</v>
      </c>
      <c r="CF103" s="1259">
        <f ca="1">+CG103/CE103*100-100</f>
        <v>9.9262027879254617</v>
      </c>
      <c r="CG103" s="1259">
        <f ca="1">OFFSET('VVP2'!$G$311,0,(COLUMN()-6)/5)</f>
        <v>18.84009</v>
      </c>
      <c r="CH103" s="1259">
        <f ca="1">(CG103/CB103-1)*100</f>
        <v>30.450939879298833</v>
      </c>
      <c r="CI103" s="1259">
        <f ca="1">OFFSET('VVP2'!$G$111,0,(COLUMN()-7)/5)</f>
        <v>15.006828523642945</v>
      </c>
      <c r="CJ103" s="3127">
        <f ca="1">+CG103*(1+CI103/100)</f>
        <v>21.667390000000001</v>
      </c>
      <c r="CK103" s="1259">
        <f ca="1">+CL103/CJ103*100-100</f>
        <v>11.931847813696066</v>
      </c>
      <c r="CL103" s="1259">
        <f ca="1">OFFSET('VVP2'!$G$311,0,(COLUMN()-6)/5)</f>
        <v>24.25271</v>
      </c>
      <c r="CM103" s="1259">
        <f ca="1">(CL103/CG103-1)*100</f>
        <v>28.729268278442397</v>
      </c>
      <c r="CN103" s="1259">
        <f ca="1">OFFSET('VVP2'!$G$111,0,(COLUMN()-7)/5)</f>
        <v>6.6449627758580876</v>
      </c>
      <c r="CO103" s="3127">
        <f ca="1">+CL103*(1+CN103/100)</f>
        <v>25.864293551636813</v>
      </c>
      <c r="CP103" s="1259">
        <f ca="1">+CQ103/CO103*100-100</f>
        <v>4.132788108939252</v>
      </c>
      <c r="CQ103" s="1259">
        <f ca="1">OFFSET('VVP2'!$G$311,0,(COLUMN()-6)/5)</f>
        <v>26.933209999999999</v>
      </c>
      <c r="CR103" s="1259">
        <f ca="1">(CQ103/CL103-1)*100</f>
        <v>11.052373116241432</v>
      </c>
      <c r="CS103" s="1259">
        <f ca="1">OFFSET('VVP2'!$G$111,0,(COLUMN()-7)/5)</f>
        <v>9.1127519671375001</v>
      </c>
      <c r="CT103" s="3127">
        <f ca="1">+CQ103*(1+CS103/100)</f>
        <v>29.387566624088272</v>
      </c>
      <c r="CU103" s="1259">
        <f ca="1">+CV103/CT103*100-100</f>
        <v>-1.4868417983614819</v>
      </c>
      <c r="CV103" s="1259">
        <f ca="1">OFFSET('VVP2'!$G$311,0,(COLUMN()-6)/5)</f>
        <v>28.950620000000001</v>
      </c>
      <c r="CW103" s="1259">
        <f ca="1">(CV103/CQ103-1)*100</f>
        <v>7.4904179635476131</v>
      </c>
      <c r="CX103" s="1259">
        <f ca="1">OFFSET('VVP2'!$G$111,0,(COLUMN()-7)/5)</f>
        <v>3.0964332515761805</v>
      </c>
      <c r="CY103" s="3127">
        <f ca="1">+CV103*(1+CX103/100)</f>
        <v>29.847056624217466</v>
      </c>
      <c r="CZ103" s="1259">
        <f ca="1">+DA103/CY103*100-100</f>
        <v>-3.1780575088527314</v>
      </c>
      <c r="DA103" s="1259">
        <f ca="1">OFFSET('VVP2'!$G$311,0,(COLUMN()-6)/5)</f>
        <v>28.898499999999999</v>
      </c>
      <c r="DB103" s="1259">
        <f ca="1">(DA103/CV103-1)*100</f>
        <v>-0.18003068673486666</v>
      </c>
      <c r="DC103" s="1259">
        <f ca="1">OFFSET('VVP2'!$G$111,0,(COLUMN()-7)/5)</f>
        <v>6.2006079962821703</v>
      </c>
      <c r="DD103" s="3127">
        <f ca="1">+DA103*(1+DC103/100)</f>
        <v>30.6903827018056</v>
      </c>
      <c r="DE103" s="1259">
        <f ca="1">+DF103/DD103*100-100</f>
        <v>-6.9328972612662199</v>
      </c>
      <c r="DF103" s="1259">
        <f ca="1">OFFSET('VVP2'!$G$311,0,(COLUMN()-6)/5)</f>
        <v>28.562650000000001</v>
      </c>
      <c r="DG103" s="1259">
        <f ca="1">(DF103/DA103-1)*100</f>
        <v>-1.1621710469401414</v>
      </c>
      <c r="DH103" s="3403">
        <f ca="1">IF(UPPER($F$2)="Y",(DI103/DF103-1)*100,OFFSET('VVP2'!$G$111,0,(COLUMN()-7)/5))</f>
        <v>3.5277850497208219</v>
      </c>
      <c r="DI103" s="3348">
        <f ca="1">IF(UPPER($F$2)="Y",+DI101+DI102,DF103*(1+DH103/100))</f>
        <v>29.570278896504085</v>
      </c>
      <c r="DJ103" s="1259">
        <f ca="1">+DK103/DI103*100-100</f>
        <v>-4.3322178359823909</v>
      </c>
      <c r="DK103" s="1259">
        <f ca="1">+DK101+DK102</f>
        <v>28.28923</v>
      </c>
      <c r="DL103" s="1259">
        <f ca="1">(DK103/DF103-1)*100</f>
        <v>-0.95726411940069145</v>
      </c>
      <c r="DM103" s="3403">
        <f ca="1">IF(UPPER($F$2)="Y",(DN103/DK103-1)*100,OFFSET('VVP2'!$G$111,0,(COLUMN()-7)/5))</f>
        <v>12.812335214460791</v>
      </c>
      <c r="DN103" s="3348">
        <f ca="1">IF(UPPER($F$2)="Y",+DN101+DN102,DK103*(1+DM103/100))</f>
        <v>31.913740977189804</v>
      </c>
      <c r="DO103" s="1259">
        <f ca="1">+DP103/DN103*100-100</f>
        <v>3.9989640315824033</v>
      </c>
      <c r="DP103" s="1259">
        <f ca="1">+DP101+DP102</f>
        <v>33.189959999999999</v>
      </c>
      <c r="DQ103" s="1259">
        <f ca="1">(DP103/DK103-1)*100</f>
        <v>17.323659922875233</v>
      </c>
      <c r="DR103" s="3348">
        <f ca="1">IF(UPPER($F$2)="Y",(DS103/DP103-1)*100,OFFSET('VVP2'!$G$111,0,(COLUMN()-7)/5))</f>
        <v>6.4999999999999725</v>
      </c>
      <c r="DS103" s="3348">
        <f ca="1">IF(UPPER($F$2)="Y",+DS101+DS102,DP103*(1+DR103/100))</f>
        <v>35.347307399999991</v>
      </c>
      <c r="DT103" s="1259">
        <f ca="1">+DU103/DS103*100-100</f>
        <v>2.5809897029101592</v>
      </c>
      <c r="DU103" s="1259">
        <f ca="1">+DU101+DU102</f>
        <v>36.259617764249995</v>
      </c>
      <c r="DV103" s="1259">
        <f ca="1">(DU103/DP103-1)*100</f>
        <v>9.2487540335993046</v>
      </c>
      <c r="DW103" s="3348">
        <f ca="1">IF(UPPER($F$2)="Y",(DX103/DU103-1)*100,OFFSET('VVP2'!$G$111,0,(COLUMN()-7)/5))</f>
        <v>5.1512076881462754</v>
      </c>
      <c r="DX103" s="3348">
        <f ca="1">IF(UPPER($F$2)="Y",+DX101+DX102,DU103*(1+DW103/100))</f>
        <v>38.127425982214497</v>
      </c>
      <c r="DY103" s="1259">
        <f ca="1">+DZ103/DX103*100-100</f>
        <v>1.581126243910802</v>
      </c>
      <c r="DZ103" s="1259">
        <f ca="1">+DZ101+DZ102</f>
        <v>38.73026872054696</v>
      </c>
      <c r="EA103" s="1259">
        <f ca="1">(DZ103/DU103-1)*100</f>
        <v>6.8137810286927225</v>
      </c>
      <c r="EB103"/>
      <c r="EC103"/>
      <c r="ED103"/>
      <c r="EE103"/>
      <c r="EF103"/>
      <c r="EG103"/>
      <c r="EH103"/>
      <c r="EI103"/>
      <c r="EJ103"/>
      <c r="EK103"/>
      <c r="EL103"/>
      <c r="EM103"/>
      <c r="EN103"/>
      <c r="EO103"/>
    </row>
    <row r="104" spans="1:145" s="2842" customFormat="1">
      <c r="A104" s="2841"/>
      <c r="C104" s="2843"/>
      <c r="D104" s="1782"/>
      <c r="E104" s="1782" t="s">
        <v>758</v>
      </c>
      <c r="F104" s="2844"/>
      <c r="G104" s="2845"/>
      <c r="H104" s="2845"/>
      <c r="I104" s="2845"/>
      <c r="J104" s="1232"/>
      <c r="K104" s="2845"/>
      <c r="L104" s="2847">
        <f ca="1">OFFSET('Q1'!$N242,0,(COLUMN()-12)*4/5)</f>
        <v>21.747467343786809</v>
      </c>
      <c r="M104" s="2846"/>
      <c r="N104" s="1232"/>
      <c r="O104" s="1232"/>
      <c r="P104" s="1232"/>
      <c r="Q104" s="2847">
        <f ca="1">OFFSET('Q1'!$N242,0,(COLUMN()-12)*4/5)</f>
        <v>25.646786894939112</v>
      </c>
      <c r="R104" s="1232"/>
      <c r="S104" s="1232"/>
      <c r="T104" s="1232"/>
      <c r="U104" s="1232"/>
      <c r="V104" s="2847">
        <f ca="1">OFFSET('Q1'!$N242,0,(COLUMN()-12)*4/5)</f>
        <v>6.5733463958895726</v>
      </c>
      <c r="W104" s="1232"/>
      <c r="X104" s="1232"/>
      <c r="Y104" s="1232"/>
      <c r="Z104" s="1232"/>
      <c r="AA104" s="2847">
        <f ca="1">OFFSET('Q1'!$N242,0,(COLUMN()-12)*4/5)</f>
        <v>-12.724798484215938</v>
      </c>
      <c r="AB104" s="1232"/>
      <c r="AC104" s="1232"/>
      <c r="AD104" s="1232"/>
      <c r="AE104" s="1232"/>
      <c r="AF104" s="2847">
        <f ca="1">OFFSET('Q1'!$N242,0,(COLUMN()-12)*4/5)</f>
        <v>4.5342274840970873</v>
      </c>
      <c r="AG104" s="1232"/>
      <c r="AH104" s="1232"/>
      <c r="AI104" s="1232"/>
      <c r="AJ104" s="1232"/>
      <c r="AK104" s="2847">
        <f ca="1">OFFSET('Q1'!$N242,0,(COLUMN()-12)*4/5)</f>
        <v>18.65658179002159</v>
      </c>
      <c r="AL104" s="1232"/>
      <c r="AM104" s="1232"/>
      <c r="AN104" s="1232"/>
      <c r="AO104" s="1232"/>
      <c r="AP104" s="2847">
        <f ca="1">OFFSET('Q1'!$N242,0,(COLUMN()-12)*4/5)</f>
        <v>18.53881752647662</v>
      </c>
      <c r="AQ104" s="1232"/>
      <c r="AR104" s="1232"/>
      <c r="AS104" s="1232"/>
      <c r="AT104" s="1232"/>
      <c r="AU104" s="2847">
        <f ca="1">OFFSET('Q1'!$N242,0,(COLUMN()-12)*4/5)</f>
        <v>8.3609142042006255</v>
      </c>
      <c r="AV104" s="1232"/>
      <c r="AW104" s="1232"/>
      <c r="AX104" s="1232"/>
      <c r="AY104" s="1232"/>
      <c r="AZ104" s="2847">
        <f ca="1">OFFSET('Q1'!$N242,0,(COLUMN()-12)*4/5)</f>
        <v>13.680703709370576</v>
      </c>
      <c r="BA104" s="1232"/>
      <c r="BB104" s="1232"/>
      <c r="BC104" s="1232"/>
      <c r="BD104" s="1232"/>
      <c r="BE104" s="2847">
        <f ca="1">OFFSET('Q1'!$N242,0,(COLUMN()-12)*4/5)</f>
        <v>36.59175157828443</v>
      </c>
      <c r="BF104" s="1232"/>
      <c r="BG104" s="1232"/>
      <c r="BH104" s="1232"/>
      <c r="BI104" s="1232"/>
      <c r="BJ104" s="2847">
        <f ca="1">OFFSET('Q1'!$N242,0,(COLUMN()-12)*4/5)</f>
        <v>14.208590374825889</v>
      </c>
      <c r="BK104" s="1232"/>
      <c r="BL104" s="1232"/>
      <c r="BM104" s="1232"/>
      <c r="BN104" s="1232"/>
      <c r="BO104" s="2847">
        <f ca="1">OFFSET('Q1'!$N242,0,(COLUMN()-12)*4/5)</f>
        <v>10.775491391860029</v>
      </c>
      <c r="BP104" s="1232"/>
      <c r="BQ104" s="1232"/>
      <c r="BR104" s="1232"/>
      <c r="BS104" s="1232"/>
      <c r="BT104" s="2847">
        <f ca="1">OFFSET('Q1'!$N242,0,(COLUMN()-12)*4/5)</f>
        <v>11.041484849099874</v>
      </c>
      <c r="BU104" s="1232"/>
      <c r="BV104" s="1232"/>
      <c r="BW104" s="1232"/>
      <c r="BX104" s="1232"/>
      <c r="BY104" s="2847">
        <f ca="1">OFFSET('Q1'!$N242,0,(COLUMN()-12)*4/5)</f>
        <v>-27.205556444058558</v>
      </c>
      <c r="BZ104" s="1232"/>
      <c r="CA104" s="1232"/>
      <c r="CB104" s="1232"/>
      <c r="CC104" s="1232"/>
      <c r="CD104" s="2847">
        <f ca="1">OFFSET('Q1'!$N242,0,(COLUMN()-12)*4/5)</f>
        <v>18.621278412122507</v>
      </c>
      <c r="CE104" s="1232"/>
      <c r="CF104" s="1232"/>
      <c r="CG104" s="1232"/>
      <c r="CH104" s="1232"/>
      <c r="CI104" s="2847">
        <f ca="1">OFFSET('Q1'!$N242,0,(COLUMN()-12)*4/5)</f>
        <v>15.30332536037082</v>
      </c>
      <c r="CJ104" s="1232"/>
      <c r="CK104" s="1232"/>
      <c r="CL104" s="1232"/>
      <c r="CM104" s="1232"/>
      <c r="CN104" s="2847">
        <f ca="1">OFFSET('Q1'!$N242,0,(COLUMN()-12)*4/5)</f>
        <v>4.6537029982881535</v>
      </c>
      <c r="CO104" s="1232"/>
      <c r="CP104" s="1232"/>
      <c r="CQ104" s="1232"/>
      <c r="CR104" s="1232"/>
      <c r="CS104" s="2847">
        <f ca="1">OFFSET('Q1'!$N242,0,(COLUMN()-12)*4/5)</f>
        <v>11.101999289570273</v>
      </c>
      <c r="CT104" s="1232"/>
      <c r="CU104" s="1232"/>
      <c r="CV104" s="1232"/>
      <c r="CW104" s="1232"/>
      <c r="CX104" s="2847">
        <f ca="1">OFFSET('Q1'!$N242,0,(COLUMN()-12)*4/5)</f>
        <v>2.7594563977469448</v>
      </c>
      <c r="CY104" s="1232"/>
      <c r="CZ104" s="1232"/>
      <c r="DA104" s="1232"/>
      <c r="DB104" s="1232"/>
      <c r="DC104" s="3351">
        <f ca="1">OFFSET('Q1'!$N242,0,(COLUMN()-12)*4/5)</f>
        <v>6.332921048790439</v>
      </c>
      <c r="DD104" s="1232"/>
      <c r="DE104" s="1232"/>
      <c r="DF104" s="1232"/>
      <c r="DG104" s="1232"/>
      <c r="DH104" s="2847">
        <f ca="1">OFFSET('Q1'!$N242,0,(COLUMN()-12)*4/5)</f>
        <v>2.6691953400162447</v>
      </c>
      <c r="DI104" s="1232"/>
      <c r="DJ104" s="1232"/>
      <c r="DK104" s="1232"/>
      <c r="DL104" s="1232"/>
      <c r="DM104" s="2847">
        <f ca="1">OFFSET('Q1'!$N242,0,(COLUMN()-12)*4/5)</f>
        <v>13.580611792522546</v>
      </c>
      <c r="DN104" s="1232"/>
      <c r="DO104" s="1232"/>
      <c r="DP104" s="1232"/>
      <c r="DQ104" s="1232"/>
      <c r="DR104" s="2847">
        <f ca="1">OFFSET('Q1'!$N242,0,(COLUMN()-12)*4/5)</f>
        <v>6.4978108278907172</v>
      </c>
      <c r="DS104" s="1232"/>
      <c r="DT104" s="1232"/>
      <c r="DU104" s="1232"/>
      <c r="DV104" s="1232"/>
      <c r="DW104" s="2847">
        <f ca="1">OFFSET('Q1'!$N242,0,(COLUMN()-12)*4/5)</f>
        <v>5.1689614157828316</v>
      </c>
      <c r="DX104" s="1232"/>
      <c r="DY104" s="1232"/>
      <c r="DZ104" s="1232"/>
      <c r="EA104" s="1232"/>
      <c r="EB104"/>
      <c r="EC104"/>
      <c r="ED104"/>
      <c r="EE104"/>
      <c r="EF104"/>
      <c r="EG104"/>
      <c r="EH104"/>
      <c r="EI104"/>
      <c r="EJ104"/>
      <c r="EK104"/>
      <c r="EL104"/>
      <c r="EM104"/>
      <c r="EN104"/>
      <c r="EO104"/>
    </row>
    <row r="105" spans="1:145">
      <c r="BZ105" s="3108">
        <f ca="1">BZ101+BZ102</f>
        <v>16.176047115964099</v>
      </c>
      <c r="CB105" s="3108">
        <f ca="1">CB101+CB102</f>
        <v>14.442289999999998</v>
      </c>
      <c r="CD105" s="3194">
        <f ca="1">CD102/CD101</f>
        <v>-2115.3167482196272</v>
      </c>
      <c r="CE105" s="3194">
        <f ca="1">CE102/CE101</f>
        <v>6.7236584612322954</v>
      </c>
      <c r="CG105" s="3194">
        <f ca="1">CG102/CG101</f>
        <v>7.1886376675533308</v>
      </c>
      <c r="CI105" s="3194">
        <f ca="1">CI102/CI101</f>
        <v>0.86020866825669517</v>
      </c>
      <c r="CJ105" s="3194">
        <f ca="1">CJ102/CJ101</f>
        <v>7.041847138249584</v>
      </c>
      <c r="CK105" s="3194"/>
      <c r="CL105" s="3194">
        <f ca="1">CL102/CL101</f>
        <v>7.7690085438564136</v>
      </c>
      <c r="CM105" s="3194"/>
      <c r="CN105" s="3194">
        <f ca="1">CN102/CN101</f>
        <v>0.225819413786435</v>
      </c>
      <c r="CO105" s="3194">
        <f ca="1">CO102/CO101</f>
        <v>6.7187834619253364</v>
      </c>
      <c r="CP105" s="3194"/>
      <c r="CQ105" s="3194">
        <f ca="1">CQ102/CQ101</f>
        <v>6.9131507815254434</v>
      </c>
      <c r="CR105" s="3194"/>
      <c r="CS105" s="3194">
        <f ca="1">CS102/CS101</f>
        <v>0.40733865546223291</v>
      </c>
      <c r="CT105" s="3194">
        <f ca="1">CT102/CT101</f>
        <v>6.2619641802028001</v>
      </c>
      <c r="CU105" s="3194"/>
      <c r="CV105" s="3194">
        <f ca="1">CV102/CV101</f>
        <v>6.1783795310225811</v>
      </c>
      <c r="CW105" s="3194"/>
      <c r="CX105" s="3194">
        <f ca="1">CX102/CX101</f>
        <v>0.55439967594001249</v>
      </c>
      <c r="CY105" s="3194">
        <f ca="1">CY102/CY101</f>
        <v>6.0467133977005405</v>
      </c>
      <c r="CZ105" s="3194"/>
      <c r="DA105" s="3194">
        <f ca="1">DA102/DA101</f>
        <v>5.8607969383588312</v>
      </c>
      <c r="DC105" s="3194">
        <f ca="1">DC102/DC101</f>
        <v>-34.93797894214218</v>
      </c>
      <c r="DD105" s="3194">
        <f ca="1">DD102/DD101</f>
        <v>6.3014538415737791</v>
      </c>
      <c r="DE105" s="3194"/>
      <c r="DF105" s="3194">
        <f ca="1">DF102/DF101</f>
        <v>5.6948365941069339</v>
      </c>
      <c r="DH105" s="3194">
        <f ca="1">DH102/DH101</f>
        <v>0.45369391764711958</v>
      </c>
      <c r="DI105" s="3194">
        <f ca="1">DI102/DI101</f>
        <v>5.5024794608173355</v>
      </c>
      <c r="DJ105" s="3194"/>
      <c r="DK105" s="3194">
        <f ca="1">DK102/DK101</f>
        <v>5.1513303239049497</v>
      </c>
      <c r="DM105" s="3194">
        <f ca="1">DM102/DM101</f>
        <v>0.96993336391892271</v>
      </c>
      <c r="DN105" s="3194">
        <f ca="1">DN102/DN101</f>
        <v>5.1333383481535506</v>
      </c>
      <c r="DO105" s="3194"/>
      <c r="DP105" s="3194">
        <f ca="1">DP102/DP101</f>
        <v>5.1736243254856218</v>
      </c>
      <c r="DR105" s="3194">
        <f>DR102/DR101</f>
        <v>1</v>
      </c>
      <c r="DS105" s="3194">
        <f ca="1">DS102/DS101</f>
        <v>5.1736243254856218</v>
      </c>
      <c r="DT105" s="3194"/>
      <c r="DU105" s="3194">
        <f ca="1">DU102/DU101</f>
        <v>5.1485096442939433</v>
      </c>
      <c r="DW105" s="3194">
        <f>DW102/DW101</f>
        <v>1.0612244897959184</v>
      </c>
      <c r="DX105" s="3194">
        <f ca="1">DX102/DX101</f>
        <v>5.1632336947542701</v>
      </c>
      <c r="DY105" s="3194"/>
      <c r="DZ105" s="3194">
        <f ca="1">DZ102/DZ101</f>
        <v>5.1379237256623371</v>
      </c>
    </row>
    <row r="107" spans="1:145">
      <c r="D107" s="3752"/>
      <c r="E107" s="3752" t="s">
        <v>626</v>
      </c>
      <c r="F107" s="3752"/>
      <c r="G107" s="3754">
        <f>+InputY!$G$3</f>
        <v>1995</v>
      </c>
      <c r="H107" s="3755"/>
      <c r="I107" s="3755"/>
      <c r="J107" s="3755"/>
      <c r="K107" s="3756"/>
      <c r="L107" s="3754">
        <f>+G107+1</f>
        <v>1996</v>
      </c>
      <c r="M107" s="3755"/>
      <c r="N107" s="3755"/>
      <c r="O107" s="3755"/>
      <c r="P107" s="3756"/>
      <c r="Q107" s="3754">
        <f>+L107+1</f>
        <v>1997</v>
      </c>
      <c r="R107" s="3755"/>
      <c r="S107" s="3755"/>
      <c r="T107" s="3755"/>
      <c r="U107" s="3756"/>
      <c r="V107" s="3754">
        <f>+Q107+1</f>
        <v>1998</v>
      </c>
      <c r="W107" s="3755"/>
      <c r="X107" s="3755"/>
      <c r="Y107" s="3755"/>
      <c r="Z107" s="3756"/>
      <c r="AA107" s="3754">
        <f>+V107+1</f>
        <v>1999</v>
      </c>
      <c r="AB107" s="3755"/>
      <c r="AC107" s="3755"/>
      <c r="AD107" s="3755"/>
      <c r="AE107" s="3756"/>
      <c r="AF107" s="3754">
        <f>+AA107+1</f>
        <v>2000</v>
      </c>
      <c r="AG107" s="3755"/>
      <c r="AH107" s="3755"/>
      <c r="AI107" s="3755"/>
      <c r="AJ107" s="3756"/>
      <c r="AK107" s="3754">
        <f>+AF107+1</f>
        <v>2001</v>
      </c>
      <c r="AL107" s="3755"/>
      <c r="AM107" s="3755"/>
      <c r="AN107" s="3755"/>
      <c r="AO107" s="3756"/>
      <c r="AP107" s="3754">
        <f>+AK107+1</f>
        <v>2002</v>
      </c>
      <c r="AQ107" s="3755"/>
      <c r="AR107" s="3755"/>
      <c r="AS107" s="3755"/>
      <c r="AT107" s="3756"/>
      <c r="AU107" s="3754">
        <f>+AP107+1</f>
        <v>2003</v>
      </c>
      <c r="AV107" s="3755"/>
      <c r="AW107" s="3755"/>
      <c r="AX107" s="3755"/>
      <c r="AY107" s="3756"/>
      <c r="AZ107" s="3754">
        <f>+AU107+1</f>
        <v>2004</v>
      </c>
      <c r="BA107" s="3755"/>
      <c r="BB107" s="3755"/>
      <c r="BC107" s="3755"/>
      <c r="BD107" s="3756"/>
      <c r="BE107" s="3754">
        <f>+AZ107+1</f>
        <v>2005</v>
      </c>
      <c r="BF107" s="3755"/>
      <c r="BG107" s="3755"/>
      <c r="BH107" s="3755"/>
      <c r="BI107" s="3756"/>
      <c r="BJ107" s="3754">
        <f>+BE107+1</f>
        <v>2006</v>
      </c>
      <c r="BK107" s="3755"/>
      <c r="BL107" s="3755"/>
      <c r="BM107" s="3755"/>
      <c r="BN107" s="3756"/>
      <c r="BO107" s="3754">
        <f>+BJ107+1</f>
        <v>2007</v>
      </c>
      <c r="BP107" s="3755"/>
      <c r="BQ107" s="3755"/>
      <c r="BR107" s="3755"/>
      <c r="BS107" s="3756"/>
      <c r="BT107" s="3754">
        <f>+BO107+1</f>
        <v>2008</v>
      </c>
      <c r="BU107" s="3755"/>
      <c r="BV107" s="3755"/>
      <c r="BW107" s="3755"/>
      <c r="BX107" s="3756"/>
      <c r="BY107" s="3754">
        <f>+BT107+1</f>
        <v>2009</v>
      </c>
      <c r="BZ107" s="3755"/>
      <c r="CA107" s="3755"/>
      <c r="CB107" s="3755"/>
      <c r="CC107" s="3756"/>
      <c r="CD107" s="3754">
        <f>+BY107+1</f>
        <v>2010</v>
      </c>
      <c r="CE107" s="3755"/>
      <c r="CF107" s="3755"/>
      <c r="CG107" s="3755"/>
      <c r="CH107" s="3756"/>
      <c r="CI107" s="3754">
        <f>+CD107+1</f>
        <v>2011</v>
      </c>
      <c r="CJ107" s="3755"/>
      <c r="CK107" s="3755"/>
      <c r="CL107" s="3755"/>
      <c r="CM107" s="3756"/>
      <c r="CN107" s="3754">
        <f>+CI107+1</f>
        <v>2012</v>
      </c>
      <c r="CO107" s="3755"/>
      <c r="CP107" s="3755"/>
      <c r="CQ107" s="3755"/>
      <c r="CR107" s="3756"/>
      <c r="CS107" s="3754">
        <f>+CN107+1</f>
        <v>2013</v>
      </c>
      <c r="CT107" s="3755"/>
      <c r="CU107" s="3755"/>
      <c r="CV107" s="3755"/>
      <c r="CW107" s="3756"/>
      <c r="CX107" s="3754">
        <f>+CS107+1</f>
        <v>2014</v>
      </c>
      <c r="CY107" s="3755"/>
      <c r="CZ107" s="3755"/>
      <c r="DA107" s="3755"/>
      <c r="DB107" s="3756"/>
      <c r="DC107" s="3754">
        <f>+CX107+1</f>
        <v>2015</v>
      </c>
      <c r="DD107" s="3755"/>
      <c r="DE107" s="3755"/>
      <c r="DF107" s="3755"/>
      <c r="DG107" s="3756"/>
      <c r="DH107" s="3754">
        <f>+DC107+1</f>
        <v>2016</v>
      </c>
      <c r="DI107" s="3755"/>
      <c r="DJ107" s="3755"/>
      <c r="DK107" s="3755"/>
      <c r="DL107" s="3756"/>
      <c r="DM107" s="3754">
        <f>+DH107+1</f>
        <v>2017</v>
      </c>
      <c r="DN107" s="3755"/>
      <c r="DO107" s="3755"/>
      <c r="DP107" s="3755"/>
      <c r="DQ107" s="3756"/>
      <c r="DR107" s="3754">
        <f>+DM107+1</f>
        <v>2018</v>
      </c>
      <c r="DS107" s="3755"/>
      <c r="DT107" s="3755"/>
      <c r="DU107" s="3755"/>
      <c r="DV107" s="3756"/>
      <c r="DW107" s="3754">
        <f>+DR107+1</f>
        <v>2019</v>
      </c>
      <c r="DX107" s="3755"/>
      <c r="DY107" s="3755"/>
      <c r="DZ107" s="3755"/>
      <c r="EA107" s="3756"/>
    </row>
    <row r="108" spans="1:145">
      <c r="C108" s="3"/>
      <c r="D108" s="3752"/>
      <c r="E108" s="3752" t="s">
        <v>1587</v>
      </c>
      <c r="F108" s="3752"/>
      <c r="G108" s="1256" t="s">
        <v>1486</v>
      </c>
      <c r="H108" s="1253" t="s">
        <v>1732</v>
      </c>
      <c r="I108" s="1252" t="s">
        <v>2022</v>
      </c>
      <c r="J108" s="1253" t="s">
        <v>584</v>
      </c>
      <c r="K108" s="1252" t="s">
        <v>2023</v>
      </c>
      <c r="L108" s="1252" t="s">
        <v>1486</v>
      </c>
      <c r="M108" s="1253" t="s">
        <v>1732</v>
      </c>
      <c r="N108" s="1252" t="s">
        <v>2022</v>
      </c>
      <c r="O108" s="1253" t="s">
        <v>584</v>
      </c>
      <c r="P108" s="1252" t="s">
        <v>2023</v>
      </c>
      <c r="Q108" s="1252" t="s">
        <v>1486</v>
      </c>
      <c r="R108" s="1253" t="s">
        <v>1732</v>
      </c>
      <c r="S108" s="1252" t="s">
        <v>2022</v>
      </c>
      <c r="T108" s="1253" t="s">
        <v>584</v>
      </c>
      <c r="U108" s="1252" t="s">
        <v>2023</v>
      </c>
      <c r="V108" s="1252" t="s">
        <v>1486</v>
      </c>
      <c r="W108" s="1253" t="s">
        <v>1732</v>
      </c>
      <c r="X108" s="1252" t="s">
        <v>2022</v>
      </c>
      <c r="Y108" s="1253" t="s">
        <v>584</v>
      </c>
      <c r="Z108" s="1252" t="s">
        <v>2023</v>
      </c>
      <c r="AA108" s="1252" t="s">
        <v>1486</v>
      </c>
      <c r="AB108" s="1253" t="s">
        <v>1732</v>
      </c>
      <c r="AC108" s="1252" t="s">
        <v>2022</v>
      </c>
      <c r="AD108" s="1253" t="s">
        <v>584</v>
      </c>
      <c r="AE108" s="1252" t="s">
        <v>2023</v>
      </c>
      <c r="AF108" s="1252" t="s">
        <v>1486</v>
      </c>
      <c r="AG108" s="1253" t="s">
        <v>1732</v>
      </c>
      <c r="AH108" s="1252" t="s">
        <v>2022</v>
      </c>
      <c r="AI108" s="1253" t="s">
        <v>584</v>
      </c>
      <c r="AJ108" s="1252" t="s">
        <v>2023</v>
      </c>
      <c r="AK108" s="1252" t="s">
        <v>1486</v>
      </c>
      <c r="AL108" s="1253" t="s">
        <v>1732</v>
      </c>
      <c r="AM108" s="1252" t="s">
        <v>2022</v>
      </c>
      <c r="AN108" s="1253" t="s">
        <v>584</v>
      </c>
      <c r="AO108" s="1252" t="s">
        <v>2023</v>
      </c>
      <c r="AP108" s="1252" t="s">
        <v>1486</v>
      </c>
      <c r="AQ108" s="1253" t="s">
        <v>1732</v>
      </c>
      <c r="AR108" s="1252" t="s">
        <v>2022</v>
      </c>
      <c r="AS108" s="1253" t="s">
        <v>584</v>
      </c>
      <c r="AT108" s="1252" t="s">
        <v>2023</v>
      </c>
      <c r="AU108" s="1252" t="s">
        <v>1486</v>
      </c>
      <c r="AV108" s="1253" t="s">
        <v>1732</v>
      </c>
      <c r="AW108" s="1252" t="s">
        <v>2022</v>
      </c>
      <c r="AX108" s="1253" t="s">
        <v>584</v>
      </c>
      <c r="AY108" s="1252" t="s">
        <v>2023</v>
      </c>
      <c r="AZ108" s="1252" t="s">
        <v>1486</v>
      </c>
      <c r="BA108" s="1253" t="s">
        <v>1732</v>
      </c>
      <c r="BB108" s="1252" t="s">
        <v>2022</v>
      </c>
      <c r="BC108" s="1253" t="s">
        <v>584</v>
      </c>
      <c r="BD108" s="1252" t="s">
        <v>2023</v>
      </c>
      <c r="BE108" s="1252" t="s">
        <v>1486</v>
      </c>
      <c r="BF108" s="1253" t="s">
        <v>1732</v>
      </c>
      <c r="BG108" s="1252" t="s">
        <v>2022</v>
      </c>
      <c r="BH108" s="1253" t="s">
        <v>584</v>
      </c>
      <c r="BI108" s="1252" t="s">
        <v>2023</v>
      </c>
      <c r="BJ108" s="1252" t="s">
        <v>1486</v>
      </c>
      <c r="BK108" s="1253" t="s">
        <v>1732</v>
      </c>
      <c r="BL108" s="1252" t="s">
        <v>2022</v>
      </c>
      <c r="BM108" s="1253" t="s">
        <v>584</v>
      </c>
      <c r="BN108" s="1252" t="s">
        <v>2023</v>
      </c>
      <c r="BO108" s="1252" t="s">
        <v>1486</v>
      </c>
      <c r="BP108" s="1253" t="s">
        <v>1732</v>
      </c>
      <c r="BQ108" s="1252" t="s">
        <v>2022</v>
      </c>
      <c r="BR108" s="1253" t="s">
        <v>584</v>
      </c>
      <c r="BS108" s="1252" t="s">
        <v>2023</v>
      </c>
      <c r="BT108" s="1252" t="s">
        <v>1486</v>
      </c>
      <c r="BU108" s="1253" t="s">
        <v>1732</v>
      </c>
      <c r="BV108" s="1252" t="s">
        <v>2022</v>
      </c>
      <c r="BW108" s="1253" t="s">
        <v>584</v>
      </c>
      <c r="BX108" s="1252" t="s">
        <v>2023</v>
      </c>
      <c r="BY108" s="1252" t="s">
        <v>1486</v>
      </c>
      <c r="BZ108" s="1253" t="s">
        <v>1732</v>
      </c>
      <c r="CA108" s="1252" t="s">
        <v>2022</v>
      </c>
      <c r="CB108" s="1253" t="s">
        <v>584</v>
      </c>
      <c r="CC108" s="1252" t="s">
        <v>2023</v>
      </c>
      <c r="CD108" s="1252" t="s">
        <v>1486</v>
      </c>
      <c r="CE108" s="1253" t="s">
        <v>1732</v>
      </c>
      <c r="CF108" s="1252" t="s">
        <v>2022</v>
      </c>
      <c r="CG108" s="1253" t="s">
        <v>584</v>
      </c>
      <c r="CH108" s="1252" t="s">
        <v>2023</v>
      </c>
      <c r="CI108" s="1252" t="s">
        <v>1486</v>
      </c>
      <c r="CJ108" s="1253" t="s">
        <v>1732</v>
      </c>
      <c r="CK108" s="1252" t="s">
        <v>2022</v>
      </c>
      <c r="CL108" s="1253" t="s">
        <v>584</v>
      </c>
      <c r="CM108" s="1252" t="s">
        <v>2023</v>
      </c>
      <c r="CN108" s="1252" t="s">
        <v>1486</v>
      </c>
      <c r="CO108" s="1253" t="s">
        <v>1732</v>
      </c>
      <c r="CP108" s="1252" t="s">
        <v>2022</v>
      </c>
      <c r="CQ108" s="1253" t="s">
        <v>584</v>
      </c>
      <c r="CR108" s="1252" t="s">
        <v>2023</v>
      </c>
      <c r="CS108" s="1252" t="s">
        <v>1486</v>
      </c>
      <c r="CT108" s="1253" t="s">
        <v>1732</v>
      </c>
      <c r="CU108" s="1252" t="s">
        <v>2022</v>
      </c>
      <c r="CV108" s="1253" t="s">
        <v>584</v>
      </c>
      <c r="CW108" s="1252" t="s">
        <v>2023</v>
      </c>
      <c r="CX108" s="1252" t="s">
        <v>1486</v>
      </c>
      <c r="CY108" s="1253" t="s">
        <v>1732</v>
      </c>
      <c r="CZ108" s="1252" t="s">
        <v>2022</v>
      </c>
      <c r="DA108" s="1253" t="s">
        <v>584</v>
      </c>
      <c r="DB108" s="1252" t="s">
        <v>2023</v>
      </c>
      <c r="DC108" s="1252" t="s">
        <v>1486</v>
      </c>
      <c r="DD108" s="1253" t="s">
        <v>1732</v>
      </c>
      <c r="DE108" s="1252" t="s">
        <v>2022</v>
      </c>
      <c r="DF108" s="1253" t="s">
        <v>584</v>
      </c>
      <c r="DG108" s="1252" t="s">
        <v>2023</v>
      </c>
      <c r="DH108" s="1252" t="s">
        <v>1486</v>
      </c>
      <c r="DI108" s="1253" t="s">
        <v>1732</v>
      </c>
      <c r="DJ108" s="1252" t="s">
        <v>2022</v>
      </c>
      <c r="DK108" s="1253" t="s">
        <v>584</v>
      </c>
      <c r="DL108" s="1252" t="s">
        <v>2023</v>
      </c>
      <c r="DM108" s="1252" t="s">
        <v>1486</v>
      </c>
      <c r="DN108" s="1253" t="s">
        <v>1732</v>
      </c>
      <c r="DO108" s="1252" t="s">
        <v>2022</v>
      </c>
      <c r="DP108" s="1253" t="s">
        <v>584</v>
      </c>
      <c r="DQ108" s="1252" t="s">
        <v>2023</v>
      </c>
      <c r="DR108" s="1252" t="s">
        <v>1486</v>
      </c>
      <c r="DS108" s="1253" t="s">
        <v>1732</v>
      </c>
      <c r="DT108" s="1252" t="s">
        <v>2022</v>
      </c>
      <c r="DU108" s="1253" t="s">
        <v>584</v>
      </c>
      <c r="DV108" s="1252" t="s">
        <v>2023</v>
      </c>
      <c r="DW108" s="1252" t="s">
        <v>1486</v>
      </c>
      <c r="DX108" s="1253" t="s">
        <v>1732</v>
      </c>
      <c r="DY108" s="1252" t="s">
        <v>2022</v>
      </c>
      <c r="DZ108" s="1253" t="s">
        <v>584</v>
      </c>
      <c r="EA108" s="1252" t="s">
        <v>2023</v>
      </c>
    </row>
    <row r="109" spans="1:145" s="1295" customFormat="1">
      <c r="A109" s="1458"/>
      <c r="C109" s="1296" t="s">
        <v>1767</v>
      </c>
      <c r="D109" s="1297"/>
      <c r="E109" s="1297" t="s">
        <v>402</v>
      </c>
      <c r="F109" s="1298" t="s">
        <v>144</v>
      </c>
      <c r="G109" s="1237"/>
      <c r="H109" s="1238"/>
      <c r="I109" s="1239"/>
      <c r="J109" s="1228" t="e">
        <f ca="1">OFFSET('VVP2'!$G$320,0,(COLUMN()-6)/5)</f>
        <v>#VALUE!</v>
      </c>
      <c r="K109" s="1240"/>
      <c r="L109" s="1237"/>
      <c r="M109" s="1238"/>
      <c r="N109" s="1239"/>
      <c r="O109" s="1228" t="e">
        <f ca="1">OFFSET('VVP2'!$G$320,0,(COLUMN()-6)/5)</f>
        <v>#VALUE!</v>
      </c>
      <c r="P109" s="1221" t="e">
        <f ca="1">(O109/J109-1)*100</f>
        <v>#VALUE!</v>
      </c>
      <c r="Q109" s="1237"/>
      <c r="R109" s="1238"/>
      <c r="S109" s="1239"/>
      <c r="T109" s="1228" t="e">
        <f ca="1">OFFSET('VVP2'!$G$320,0,(COLUMN()-6)/5)</f>
        <v>#VALUE!</v>
      </c>
      <c r="U109" s="1221" t="e">
        <f ca="1">(T109/O109-1)*100</f>
        <v>#VALUE!</v>
      </c>
      <c r="V109" s="1237"/>
      <c r="W109" s="1238"/>
      <c r="X109" s="1239"/>
      <c r="Y109" s="1228" t="e">
        <f ca="1">OFFSET('VVP2'!$G$320,0,(COLUMN()-6)/5)</f>
        <v>#VALUE!</v>
      </c>
      <c r="Z109" s="1221" t="e">
        <f ca="1">(Y109/T109-1)*100</f>
        <v>#VALUE!</v>
      </c>
      <c r="AA109" s="1237"/>
      <c r="AB109" s="1238"/>
      <c r="AC109" s="1239"/>
      <c r="AD109" s="1228">
        <f ca="1">OFFSET('VVP2'!$G$320,0,(COLUMN()-6)/5)</f>
        <v>3.2407852567684778</v>
      </c>
      <c r="AE109" s="1221" t="e">
        <f ca="1">(AD109/Y109-1)*100</f>
        <v>#VALUE!</v>
      </c>
      <c r="AF109" s="1237"/>
      <c r="AG109" s="1238"/>
      <c r="AH109" s="1239"/>
      <c r="AI109" s="1228">
        <f ca="1">OFFSET('VVP2'!$G$320,0,(COLUMN()-6)/5)</f>
        <v>3.3351650053206674</v>
      </c>
      <c r="AJ109" s="1221">
        <f ca="1">(AI109/AD109-1)*100</f>
        <v>2.9122493801486682</v>
      </c>
      <c r="AK109" s="1237"/>
      <c r="AL109" s="1238"/>
      <c r="AM109" s="1239"/>
      <c r="AN109" s="1228">
        <f ca="1">OFFSET('VVP2'!$G$320,0,(COLUMN()-6)/5)</f>
        <v>3.848407547340623</v>
      </c>
      <c r="AO109" s="1221">
        <f ca="1">(AN109/AI109-1)*100</f>
        <v>15.388820079401388</v>
      </c>
      <c r="AP109" s="1237"/>
      <c r="AQ109" s="1238"/>
      <c r="AR109" s="1239"/>
      <c r="AS109" s="1228">
        <f ca="1">OFFSET('VVP2'!$G$320,0,(COLUMN()-6)/5)</f>
        <v>4.5366989492076</v>
      </c>
      <c r="AT109" s="1221">
        <f ca="1">(AS109/AN109-1)*100</f>
        <v>17.88509645613312</v>
      </c>
      <c r="AU109" s="1237"/>
      <c r="AV109" s="1238"/>
      <c r="AW109" s="1239"/>
      <c r="AX109" s="1228">
        <f ca="1">OFFSET('VVP2'!$G$320,0,(COLUMN()-6)/5)</f>
        <v>4.7863298730296568</v>
      </c>
      <c r="AY109" s="1221">
        <f ca="1">(AX109/AS109-1)*100</f>
        <v>5.5024793713865039</v>
      </c>
      <c r="AZ109" s="1237"/>
      <c r="BA109" s="1238"/>
      <c r="BB109" s="1239"/>
      <c r="BC109" s="1228">
        <f ca="1">OFFSET('VVP2'!$G$320,0,(COLUMN()-6)/5)</f>
        <v>6.3279125068471966</v>
      </c>
      <c r="BD109" s="1221">
        <f ca="1">(BC109/AX109-1)*100</f>
        <v>32.208031512916733</v>
      </c>
      <c r="BE109" s="1237"/>
      <c r="BF109" s="1238"/>
      <c r="BG109" s="1239"/>
      <c r="BH109" s="1228">
        <f ca="1">OFFSET('VVP2'!$G$320,0,(COLUMN()-6)/5)</f>
        <v>7.4370991621200488</v>
      </c>
      <c r="BI109" s="1221">
        <f ca="1">(BH109/BC109-1)*100</f>
        <v>17.528476477395081</v>
      </c>
      <c r="BJ109" s="1237"/>
      <c r="BK109" s="1238"/>
      <c r="BL109" s="1239"/>
      <c r="BM109" s="1228">
        <f ca="1">OFFSET('VVP2'!$G$320,0,(COLUMN()-6)/5)</f>
        <v>9.6872999999999987</v>
      </c>
      <c r="BN109" s="1221">
        <f ca="1">(BM109/BH109-1)*100</f>
        <v>30.256431826821295</v>
      </c>
      <c r="BO109" s="1237"/>
      <c r="BP109" s="1238"/>
      <c r="BQ109" s="1239"/>
      <c r="BR109" s="1228">
        <f ca="1">OFFSET('VVP2'!$G$320,0,(COLUMN()-6)/5)</f>
        <v>12.179600000000002</v>
      </c>
      <c r="BS109" s="1221">
        <f ca="1">(BR109/BM109-1)*100</f>
        <v>25.727498890299707</v>
      </c>
      <c r="BT109" s="1308"/>
      <c r="BU109" s="1429"/>
      <c r="BV109" s="1054"/>
      <c r="BW109" s="1228">
        <f ca="1">OFFSET('VVP2'!$G$320,0,(COLUMN()-6)/5)</f>
        <v>12.173700000000002</v>
      </c>
      <c r="BX109" s="1221">
        <f ca="1">(BW109/BR109-1)*100</f>
        <v>-4.8441656540443301E-2</v>
      </c>
      <c r="BY109" s="1308"/>
      <c r="BZ109" s="1429"/>
      <c r="CA109" s="1054"/>
      <c r="CB109" s="1228">
        <f ca="1">OFFSET('VVP2'!$G$320,0,(COLUMN()-6)/5)</f>
        <v>7.7571000000000003</v>
      </c>
      <c r="CC109" s="1221">
        <f ca="1">(CB109/BW109-1)*100</f>
        <v>-36.279849183074994</v>
      </c>
      <c r="CD109" s="1308"/>
      <c r="CE109" s="1429"/>
      <c r="CF109" s="1054"/>
      <c r="CG109" s="1228">
        <f ca="1">OFFSET('VVP2'!$G$320,0,(COLUMN()-6)/5)</f>
        <v>9.9933999999999994</v>
      </c>
      <c r="CH109" s="1221">
        <f ca="1">(CG109/CB109-1)*100</f>
        <v>28.829072720475413</v>
      </c>
      <c r="CI109" s="1308"/>
      <c r="CJ109" s="1429"/>
      <c r="CK109" s="1054"/>
      <c r="CL109" s="1228">
        <f ca="1">OFFSET('VVP2'!$G$320,0,(COLUMN()-6)/5)</f>
        <v>12.954800000000001</v>
      </c>
      <c r="CM109" s="1221">
        <f ca="1">(CL109/CG109-1)*100</f>
        <v>29.633558148377936</v>
      </c>
      <c r="CN109" s="1308"/>
      <c r="CO109" s="1429"/>
      <c r="CP109" s="1054"/>
      <c r="CQ109" s="1228">
        <f ca="1">OFFSET('VVP2'!$G$320,0,(COLUMN()-6)/5)</f>
        <v>14.3413</v>
      </c>
      <c r="CR109" s="1221">
        <f ca="1">(CQ109/CL109-1)*100</f>
        <v>10.702596720906543</v>
      </c>
      <c r="CS109" s="1308"/>
      <c r="CT109" s="1429"/>
      <c r="CU109" s="1054"/>
      <c r="CV109" s="1228">
        <f ca="1">OFFSET('VVP2'!$G$320,0,(COLUMN()-6)/5)</f>
        <v>15.8088</v>
      </c>
      <c r="CW109" s="1221">
        <f ca="1">(CV109/CQ109-1)*100</f>
        <v>10.232684624127518</v>
      </c>
      <c r="CX109" s="1308"/>
      <c r="CY109" s="1429"/>
      <c r="CZ109" s="1054"/>
      <c r="DA109" s="1228">
        <f ca="1">OFFSET('VVP2'!$G$320,0,(COLUMN()-6)/5)</f>
        <v>16.982299999999999</v>
      </c>
      <c r="DB109" s="1221">
        <f ca="1">(DA109/CV109-1)*100</f>
        <v>7.4230808157481842</v>
      </c>
      <c r="DC109" s="1308"/>
      <c r="DD109" s="1429"/>
      <c r="DE109" s="1054"/>
      <c r="DF109" s="1228">
        <f ca="1">OFFSET('VVP2'!$G$320,0,(COLUMN()-6)/5)</f>
        <v>17.198700000000002</v>
      </c>
      <c r="DG109" s="1221">
        <f ca="1">(DF109/DA109-1)*100</f>
        <v>1.2742679142401458</v>
      </c>
      <c r="DH109" s="1308"/>
      <c r="DI109" s="1429"/>
      <c r="DJ109" s="1054"/>
      <c r="DK109" s="1210">
        <f ca="1">+DK111-DK110</f>
        <v>18.023064064265412</v>
      </c>
      <c r="DL109" s="1430">
        <f ca="1">(DK109/DF109-1)*100</f>
        <v>4.7931766021002131</v>
      </c>
      <c r="DM109" s="1308"/>
      <c r="DN109" s="1429"/>
      <c r="DO109" s="1054"/>
      <c r="DP109" s="1210">
        <f ca="1">+DP111-DP110</f>
        <v>22.376997958939242</v>
      </c>
      <c r="DQ109" s="1430">
        <f ca="1">(DP109/DK109-1)*100</f>
        <v>24.157567654139545</v>
      </c>
      <c r="DR109" s="1308"/>
      <c r="DS109" s="1429"/>
      <c r="DT109" s="1054"/>
      <c r="DU109" s="1210">
        <f ca="1">+DU111-DU110</f>
        <v>24.180418396693291</v>
      </c>
      <c r="DV109" s="1430">
        <f ca="1">(DU109/DP109-1)*100</f>
        <v>8.0592599644654825</v>
      </c>
      <c r="DW109" s="1308"/>
      <c r="DX109" s="1429"/>
      <c r="DY109" s="1054"/>
      <c r="DZ109" s="1210">
        <f ca="1">+DZ111-DZ110</f>
        <v>25.797734643149585</v>
      </c>
      <c r="EA109" s="1430">
        <f ca="1">(DZ109/DU109-1)*100</f>
        <v>6.6885370630206387</v>
      </c>
      <c r="EB109"/>
      <c r="EC109"/>
      <c r="ED109"/>
      <c r="EE109"/>
      <c r="EF109"/>
      <c r="EG109"/>
      <c r="EH109"/>
      <c r="EI109"/>
      <c r="EJ109"/>
      <c r="EK109"/>
      <c r="EL109"/>
      <c r="EM109"/>
      <c r="EN109"/>
      <c r="EO109"/>
    </row>
    <row r="110" spans="1:145" s="1295" customFormat="1">
      <c r="A110" s="1458"/>
      <c r="C110" s="1301" t="s">
        <v>1767</v>
      </c>
      <c r="D110" s="1302"/>
      <c r="E110" s="1302" t="s">
        <v>142</v>
      </c>
      <c r="F110" s="1303" t="s">
        <v>146</v>
      </c>
      <c r="G110" s="1246"/>
      <c r="H110" s="1247"/>
      <c r="I110" s="1248"/>
      <c r="J110" s="1231" t="e">
        <f ca="1">OFFSET('VVP2'!$G$321,0,(COLUMN()-6)/5)</f>
        <v>#VALUE!</v>
      </c>
      <c r="K110" s="1249"/>
      <c r="L110" s="1246"/>
      <c r="M110" s="1247"/>
      <c r="N110" s="1248"/>
      <c r="O110" s="1231" t="e">
        <f ca="1">OFFSET('VVP2'!$G$321,0,(COLUMN()-6)/5)</f>
        <v>#VALUE!</v>
      </c>
      <c r="P110" s="1218" t="e">
        <f ca="1">(O110/J110-1)*100</f>
        <v>#VALUE!</v>
      </c>
      <c r="Q110" s="1246"/>
      <c r="R110" s="1247"/>
      <c r="S110" s="1248"/>
      <c r="T110" s="1231" t="e">
        <f ca="1">OFFSET('VVP2'!$G$321,0,(COLUMN()-6)/5)</f>
        <v>#VALUE!</v>
      </c>
      <c r="U110" s="1218" t="e">
        <f ca="1">(T110/O110-1)*100</f>
        <v>#VALUE!</v>
      </c>
      <c r="V110" s="1246"/>
      <c r="W110" s="1247"/>
      <c r="X110" s="1248"/>
      <c r="Y110" s="1231" t="e">
        <f ca="1">OFFSET('VVP2'!$G$321,0,(COLUMN()-6)/5)</f>
        <v>#VALUE!</v>
      </c>
      <c r="Z110" s="1218" t="e">
        <f ca="1">(Y110/T110-1)*100</f>
        <v>#VALUE!</v>
      </c>
      <c r="AA110" s="1246"/>
      <c r="AB110" s="1247"/>
      <c r="AC110" s="1248"/>
      <c r="AD110" s="1231">
        <f ca="1">OFFSET('VVP2'!$G$321,0,(COLUMN()-6)/5)</f>
        <v>2.1305551120253718</v>
      </c>
      <c r="AE110" s="1218" t="e">
        <f ca="1">(AD110/Y110-1)*100</f>
        <v>#VALUE!</v>
      </c>
      <c r="AF110" s="1246"/>
      <c r="AG110" s="1247"/>
      <c r="AH110" s="1248"/>
      <c r="AI110" s="1231">
        <f ca="1">OFFSET('VVP2'!$G$321,0,(COLUMN()-6)/5)</f>
        <v>2.7447367761346153</v>
      </c>
      <c r="AJ110" s="1218">
        <f ca="1">(AI110/AD110-1)*100</f>
        <v>28.827307054516105</v>
      </c>
      <c r="AK110" s="1246"/>
      <c r="AL110" s="1247"/>
      <c r="AM110" s="1248"/>
      <c r="AN110" s="1231">
        <f ca="1">OFFSET('VVP2'!$G$321,0,(COLUMN()-6)/5)</f>
        <v>3.1762097607172723</v>
      </c>
      <c r="AO110" s="1218">
        <f ca="1">(AN110/AI110-1)*100</f>
        <v>15.720013238948759</v>
      </c>
      <c r="AP110" s="1246"/>
      <c r="AQ110" s="1247"/>
      <c r="AR110" s="1248"/>
      <c r="AS110" s="1231">
        <f ca="1">OFFSET('VVP2'!$G$321,0,(COLUMN()-6)/5)</f>
        <v>3.4369902993290085</v>
      </c>
      <c r="AT110" s="1218">
        <f ca="1">(AS110/AN110-1)*100</f>
        <v>8.2104318750297232</v>
      </c>
      <c r="AU110" s="1246"/>
      <c r="AV110" s="1247"/>
      <c r="AW110" s="1248"/>
      <c r="AX110" s="1231">
        <f ca="1">OFFSET('VVP2'!$G$321,0,(COLUMN()-6)/5)</f>
        <v>3.7393452129381379</v>
      </c>
      <c r="AY110" s="1218">
        <f ca="1">(AX110/AS110-1)*100</f>
        <v>8.7970837062925966</v>
      </c>
      <c r="AZ110" s="1246"/>
      <c r="BA110" s="1247"/>
      <c r="BB110" s="1248"/>
      <c r="BC110" s="1231">
        <f ca="1">OFFSET('VVP2'!$G$321,0,(COLUMN()-6)/5)</f>
        <v>3.6305645494656513</v>
      </c>
      <c r="BD110" s="1218">
        <f ca="1">(BC110/AX110-1)*100</f>
        <v>-2.9090832024843638</v>
      </c>
      <c r="BE110" s="1246"/>
      <c r="BF110" s="1247"/>
      <c r="BG110" s="1248"/>
      <c r="BH110" s="1231">
        <f ca="1">OFFSET('VVP2'!$G$321,0,(COLUMN()-6)/5)</f>
        <v>5.0605994298617372</v>
      </c>
      <c r="BI110" s="1218">
        <f ca="1">(BH110/BC110-1)*100</f>
        <v>39.388774415443436</v>
      </c>
      <c r="BJ110" s="1246"/>
      <c r="BK110" s="1247"/>
      <c r="BL110" s="1248"/>
      <c r="BM110" s="1231">
        <f ca="1">OFFSET('VVP2'!$G$321,0,(COLUMN()-6)/5)</f>
        <v>5.7422000000000004</v>
      </c>
      <c r="BN110" s="1218">
        <f ca="1">(BM110/BH110-1)*100</f>
        <v>13.468771428859871</v>
      </c>
      <c r="BO110" s="1246"/>
      <c r="BP110" s="1247"/>
      <c r="BQ110" s="1248"/>
      <c r="BR110" s="1231">
        <f ca="1">OFFSET('VVP2'!$G$321,0,(COLUMN()-6)/5)</f>
        <v>5.6330999999999989</v>
      </c>
      <c r="BS110" s="1218">
        <f ca="1">(BR110/BM110-1)*100</f>
        <v>-1.8999686531294913</v>
      </c>
      <c r="BT110" s="1205"/>
      <c r="BU110" s="1408"/>
      <c r="BV110" s="881"/>
      <c r="BW110" s="1231">
        <f ca="1">OFFSET('VVP2'!$G$321,0,(COLUMN()-6)/5)</f>
        <v>8.9702000000000002</v>
      </c>
      <c r="BX110" s="1218">
        <f ca="1">(BW110/BR110-1)*100</f>
        <v>59.240915304184227</v>
      </c>
      <c r="BY110" s="1205"/>
      <c r="BZ110" s="1408"/>
      <c r="CA110" s="881"/>
      <c r="CB110" s="1231">
        <f ca="1">OFFSET('VVP2'!$G$321,0,(COLUMN()-6)/5)</f>
        <v>5.3657999999999983</v>
      </c>
      <c r="CC110" s="1218">
        <f ca="1">(CB110/BW110-1)*100</f>
        <v>-40.181935742792817</v>
      </c>
      <c r="CD110" s="1205"/>
      <c r="CE110" s="1408"/>
      <c r="CF110" s="881"/>
      <c r="CG110" s="1231">
        <f ca="1">OFFSET('VVP2'!$G$321,0,(COLUMN()-6)/5)</f>
        <v>7.6598000000000006</v>
      </c>
      <c r="CH110" s="1218">
        <f ca="1">(CG110/CB110-1)*100</f>
        <v>42.752245704275268</v>
      </c>
      <c r="CI110" s="1205"/>
      <c r="CJ110" s="1408"/>
      <c r="CK110" s="881"/>
      <c r="CL110" s="1231">
        <f ca="1">OFFSET('VVP2'!$G$321,0,(COLUMN()-6)/5)</f>
        <v>9.8710000000000022</v>
      </c>
      <c r="CM110" s="1218">
        <f ca="1">(CL110/CG110-1)*100</f>
        <v>28.867594454163314</v>
      </c>
      <c r="CN110" s="1205"/>
      <c r="CO110" s="1408"/>
      <c r="CP110" s="881"/>
      <c r="CQ110" s="1231">
        <f ca="1">OFFSET('VVP2'!$G$321,0,(COLUMN()-6)/5)</f>
        <v>10.537599999999999</v>
      </c>
      <c r="CR110" s="1218">
        <f ca="1">(CQ110/CL110-1)*100</f>
        <v>6.7531151858980509</v>
      </c>
      <c r="CS110" s="1205"/>
      <c r="CT110" s="1408"/>
      <c r="CU110" s="881"/>
      <c r="CV110" s="1231">
        <f ca="1">OFFSET('VVP2'!$G$321,0,(COLUMN()-6)/5)</f>
        <v>10.398899999999999</v>
      </c>
      <c r="CW110" s="1218">
        <f ca="1">(CV110/CQ110-1)*100</f>
        <v>-1.3162389918007888</v>
      </c>
      <c r="CX110" s="1205"/>
      <c r="CY110" s="1408"/>
      <c r="CZ110" s="881"/>
      <c r="DA110" s="1231">
        <f ca="1">OFFSET('VVP2'!$G$321,0,(COLUMN()-6)/5)</f>
        <v>8.9072000000000013</v>
      </c>
      <c r="DB110" s="1218">
        <f ca="1">(DA110/CV110-1)*100</f>
        <v>-14.344786467799464</v>
      </c>
      <c r="DC110" s="1205"/>
      <c r="DD110" s="1408"/>
      <c r="DE110" s="881"/>
      <c r="DF110" s="1231">
        <f ca="1">OFFSET('VVP2'!$G$321,0,(COLUMN()-6)/5)</f>
        <v>8.2009000000000007</v>
      </c>
      <c r="DG110" s="1218">
        <f ca="1">(DF110/DA110-1)*100</f>
        <v>-7.9295401472965761</v>
      </c>
      <c r="DH110" s="1205"/>
      <c r="DI110" s="1408"/>
      <c r="DJ110" s="881"/>
      <c r="DK110" s="1210">
        <f ca="1">+DF110*(1+DL110/100)</f>
        <v>8.4469270000000005</v>
      </c>
      <c r="DL110" s="2252">
        <v>3</v>
      </c>
      <c r="DM110" s="1205"/>
      <c r="DN110" s="1408"/>
      <c r="DO110" s="881"/>
      <c r="DP110" s="1210">
        <f ca="1">+DK110*(1+DQ110/100)</f>
        <v>8.7003348100000011</v>
      </c>
      <c r="DQ110" s="2252">
        <v>3</v>
      </c>
      <c r="DR110" s="1205"/>
      <c r="DS110" s="1408"/>
      <c r="DT110" s="881"/>
      <c r="DU110" s="1210">
        <f ca="1">+DP110*(1+DV110/100)</f>
        <v>9.7443749872000023</v>
      </c>
      <c r="DV110" s="2252">
        <v>12</v>
      </c>
      <c r="DW110" s="1205"/>
      <c r="DX110" s="1408"/>
      <c r="DY110" s="881"/>
      <c r="DZ110" s="1210">
        <f ca="1">+DU110*(1+EA110/100)</f>
        <v>10.426481236304003</v>
      </c>
      <c r="EA110" s="2252">
        <v>7</v>
      </c>
      <c r="EB110"/>
      <c r="EC110"/>
      <c r="ED110"/>
      <c r="EE110"/>
      <c r="EF110"/>
      <c r="EG110"/>
      <c r="EH110"/>
      <c r="EI110"/>
      <c r="EJ110"/>
      <c r="EK110"/>
      <c r="EL110"/>
      <c r="EM110"/>
      <c r="EN110"/>
      <c r="EO110"/>
    </row>
    <row r="111" spans="1:145" s="28" customFormat="1">
      <c r="A111" s="1457"/>
      <c r="C111" s="176" t="s">
        <v>1769</v>
      </c>
      <c r="D111" s="1150"/>
      <c r="E111" s="1150" t="s">
        <v>1496</v>
      </c>
      <c r="F111" s="1140" t="s">
        <v>1122</v>
      </c>
      <c r="G111" s="1233"/>
      <c r="H111" s="1233"/>
      <c r="I111" s="1233"/>
      <c r="J111" s="1234" t="e">
        <f ca="1">+J109+J110</f>
        <v>#VALUE!</v>
      </c>
      <c r="K111" s="1233"/>
      <c r="L111" s="1233"/>
      <c r="M111" s="1233"/>
      <c r="N111" s="1233"/>
      <c r="O111" s="1234" t="e">
        <f ca="1">+O109+O110</f>
        <v>#VALUE!</v>
      </c>
      <c r="P111" s="1234" t="e">
        <f ca="1">(O111/J111-1)*100</f>
        <v>#VALUE!</v>
      </c>
      <c r="Q111" s="1233"/>
      <c r="R111" s="1233"/>
      <c r="S111" s="1233"/>
      <c r="T111" s="1234" t="e">
        <f ca="1">+T109+T110</f>
        <v>#VALUE!</v>
      </c>
      <c r="U111" s="1234" t="e">
        <f ca="1">(T111/O111-1)*100</f>
        <v>#VALUE!</v>
      </c>
      <c r="V111" s="1233"/>
      <c r="W111" s="1233"/>
      <c r="X111" s="1233"/>
      <c r="Y111" s="1234" t="e">
        <f ca="1">+Y109+Y110</f>
        <v>#VALUE!</v>
      </c>
      <c r="Z111" s="1234" t="e">
        <f ca="1">(Y111/T111-1)*100</f>
        <v>#VALUE!</v>
      </c>
      <c r="AA111" s="1233"/>
      <c r="AB111" s="1233"/>
      <c r="AC111" s="1233"/>
      <c r="AD111" s="1234">
        <f ca="1">+AD109+AD110</f>
        <v>5.3713403687938497</v>
      </c>
      <c r="AE111" s="1234" t="e">
        <f ca="1">(AD111/Y111-1)*100</f>
        <v>#VALUE!</v>
      </c>
      <c r="AF111" s="1233"/>
      <c r="AG111" s="1233"/>
      <c r="AH111" s="1233"/>
      <c r="AI111" s="1234">
        <f ca="1">+AI109+AI110</f>
        <v>6.0799017814552823</v>
      </c>
      <c r="AJ111" s="1234">
        <f ca="1">(AI111/AD111-1)*100</f>
        <v>13.191519509320205</v>
      </c>
      <c r="AK111" s="1233"/>
      <c r="AL111" s="1233"/>
      <c r="AM111" s="1233"/>
      <c r="AN111" s="1234">
        <f ca="1">+AN109+AN110</f>
        <v>7.0246173080578949</v>
      </c>
      <c r="AO111" s="1234">
        <f ca="1">(AN111/AI111-1)*100</f>
        <v>15.538335331076446</v>
      </c>
      <c r="AP111" s="1233"/>
      <c r="AQ111" s="1233"/>
      <c r="AR111" s="1233"/>
      <c r="AS111" s="1234">
        <f ca="1">+AS109+AS110</f>
        <v>7.9736892485366084</v>
      </c>
      <c r="AT111" s="1234">
        <f ca="1">(AS111/AN111-1)*100</f>
        <v>13.510656863684778</v>
      </c>
      <c r="AU111" s="1233"/>
      <c r="AV111" s="1233"/>
      <c r="AW111" s="1233"/>
      <c r="AX111" s="1234">
        <f ca="1">+AX109+AX110</f>
        <v>8.5256750859677943</v>
      </c>
      <c r="AY111" s="1234">
        <f ca="1">(AX111/AS111-1)*100</f>
        <v>6.9225902869551881</v>
      </c>
      <c r="AZ111" s="1233"/>
      <c r="BA111" s="1233"/>
      <c r="BB111" s="1233"/>
      <c r="BC111" s="1234">
        <f ca="1">+BC109+BC110</f>
        <v>9.958477056312848</v>
      </c>
      <c r="BD111" s="1234">
        <f ca="1">(BC111/AX111-1)*100</f>
        <v>16.805730407240937</v>
      </c>
      <c r="BE111" s="1233"/>
      <c r="BF111" s="1233"/>
      <c r="BG111" s="1233"/>
      <c r="BH111" s="1234">
        <f ca="1">+BH109+BH110</f>
        <v>12.497698591981786</v>
      </c>
      <c r="BI111" s="1234">
        <f ca="1">(BH111/BC111-1)*100</f>
        <v>25.498090936096318</v>
      </c>
      <c r="BJ111" s="1233"/>
      <c r="BK111" s="1233"/>
      <c r="BL111" s="1233"/>
      <c r="BM111" s="1234">
        <f ca="1">+BM109+BM110</f>
        <v>15.429499999999999</v>
      </c>
      <c r="BN111" s="1234">
        <f ca="1">(BM111/BH111-1)*100</f>
        <v>23.458730312948852</v>
      </c>
      <c r="BO111" s="1233"/>
      <c r="BP111" s="1233"/>
      <c r="BQ111" s="1233"/>
      <c r="BR111" s="1234">
        <f ca="1">+BR109+BR110</f>
        <v>17.8127</v>
      </c>
      <c r="BS111" s="1234">
        <f ca="1">(BR111/BM111-1)*100</f>
        <v>15.445737062121268</v>
      </c>
      <c r="BT111" s="1404"/>
      <c r="BU111" s="1398"/>
      <c r="BV111" s="1398"/>
      <c r="BW111" s="1398">
        <f ca="1">+BR111*(1+BX111/100)</f>
        <v>21.902482252792435</v>
      </c>
      <c r="BX111" s="1405">
        <f ca="1">+BX102</f>
        <v>22.959923272678683</v>
      </c>
      <c r="BY111" s="1404"/>
      <c r="BZ111" s="1398"/>
      <c r="CA111" s="1398"/>
      <c r="CB111" s="1398">
        <f ca="1">+BW111*(1+CC111/100)</f>
        <v>13.657207440078736</v>
      </c>
      <c r="CC111" s="1405">
        <f ca="1">+CC102</f>
        <v>-37.645389767009071</v>
      </c>
      <c r="CD111" s="1404"/>
      <c r="CE111" s="1398"/>
      <c r="CF111" s="1398"/>
      <c r="CG111" s="1398">
        <f ca="1">+CB111*(1+CH111/100)</f>
        <v>18.479926101089131</v>
      </c>
      <c r="CH111" s="1405">
        <f ca="1">+CH102</f>
        <v>35.31262655392888</v>
      </c>
      <c r="CI111" s="1404"/>
      <c r="CJ111" s="1398"/>
      <c r="CK111" s="1398"/>
      <c r="CL111" s="1398">
        <f ca="1">+CG111*(1+CM111/100)</f>
        <v>24.008094798010564</v>
      </c>
      <c r="CM111" s="1405">
        <f ca="1">+CM102</f>
        <v>29.914452399220504</v>
      </c>
      <c r="CN111" s="1404"/>
      <c r="CO111" s="1398"/>
      <c r="CP111" s="1398"/>
      <c r="CQ111" s="1398">
        <f ca="1">+CL111*(1+CR111/100)</f>
        <v>26.29037991189406</v>
      </c>
      <c r="CR111" s="1405">
        <f ca="1">+CR102</f>
        <v>9.5063149870293628</v>
      </c>
      <c r="CS111" s="1404"/>
      <c r="CT111" s="1398"/>
      <c r="CU111" s="1398"/>
      <c r="CV111" s="1398">
        <f ca="1">+CQ111*(1+CW111/100)</f>
        <v>27.841225842717787</v>
      </c>
      <c r="CW111" s="1405">
        <f ca="1">+CW102</f>
        <v>5.8989103087175421</v>
      </c>
      <c r="CX111" s="1404"/>
      <c r="CY111" s="1398"/>
      <c r="CZ111" s="1398"/>
      <c r="DA111" s="1398">
        <f ca="1">+CV111*(1+DB111/100)</f>
        <v>27.582887462999089</v>
      </c>
      <c r="DB111" s="1405">
        <f ca="1">+DB102</f>
        <v>-0.92789872535827822</v>
      </c>
      <c r="DC111" s="1404"/>
      <c r="DD111" s="1398"/>
      <c r="DE111" s="1398"/>
      <c r="DF111" s="1398">
        <f ca="1">+DA111*(1+DG111/100)</f>
        <v>27.147016168815171</v>
      </c>
      <c r="DG111" s="1405">
        <f ca="1">+DG102</f>
        <v>-1.5802235888777605</v>
      </c>
      <c r="DH111" s="1404"/>
      <c r="DI111" s="1398"/>
      <c r="DJ111" s="1398"/>
      <c r="DK111" s="1398">
        <f ca="1">+DF111*(1+DL111/100)</f>
        <v>26.469991064265411</v>
      </c>
      <c r="DL111" s="1405">
        <f ca="1">+DL102</f>
        <v>-2.4939208800688895</v>
      </c>
      <c r="DM111" s="1404"/>
      <c r="DN111" s="1398"/>
      <c r="DO111" s="1398"/>
      <c r="DP111" s="1398">
        <f ca="1">+DK111*(1+DQ111/100)</f>
        <v>31.077332768939243</v>
      </c>
      <c r="DQ111" s="1405">
        <f ca="1">+DQ102</f>
        <v>17.405905780201646</v>
      </c>
      <c r="DR111" s="1404"/>
      <c r="DS111" s="1398"/>
      <c r="DT111" s="1398"/>
      <c r="DU111" s="1398">
        <f ca="1">+DP111*(1+DV111/100)</f>
        <v>33.924793383893295</v>
      </c>
      <c r="DV111" s="1405">
        <f ca="1">+DV102</f>
        <v>9.1624999999999837</v>
      </c>
      <c r="DW111" s="1404"/>
      <c r="DX111" s="1398"/>
      <c r="DY111" s="1398"/>
      <c r="DZ111" s="1398">
        <f ca="1">+DU111*(1+EA111/100)</f>
        <v>36.224215879453588</v>
      </c>
      <c r="EA111" s="1405">
        <f ca="1">+EA102</f>
        <v>6.7780000000000173</v>
      </c>
      <c r="EB111"/>
      <c r="EC111"/>
      <c r="ED111"/>
      <c r="EE111"/>
      <c r="EF111"/>
      <c r="EG111"/>
      <c r="EH111"/>
      <c r="EI111"/>
      <c r="EJ111"/>
      <c r="EK111"/>
      <c r="EL111"/>
      <c r="EM111"/>
      <c r="EN111"/>
      <c r="EO111"/>
    </row>
    <row r="112" spans="1:145">
      <c r="CG112" s="3198">
        <f ca="1">CG110/CG111</f>
        <v>0.41449299949032609</v>
      </c>
      <c r="CH112" s="3194">
        <f ca="1">CH110/CH111</f>
        <v>1.2106787253274609</v>
      </c>
      <c r="CI112" s="3194"/>
      <c r="CJ112" s="3194"/>
      <c r="CK112" s="3194"/>
      <c r="CL112" s="1394">
        <f ca="1">CL109/CL111</f>
        <v>0.53960133484117623</v>
      </c>
      <c r="CM112" s="3194">
        <f ca="1">CM109/CM111</f>
        <v>0.99061008214043433</v>
      </c>
      <c r="CN112" s="3194"/>
      <c r="CO112" s="3194"/>
      <c r="CP112" s="3194"/>
      <c r="CQ112" s="1394">
        <f ca="1">CQ109/CQ111</f>
        <v>0.54549611105132167</v>
      </c>
      <c r="CR112" s="3194">
        <f ca="1">CR109/CR111</f>
        <v>1.1258407422339165</v>
      </c>
      <c r="CS112" s="3194"/>
      <c r="CT112" s="3194"/>
      <c r="CU112" s="3194"/>
      <c r="CV112" s="1394">
        <f ca="1">CV109/CV111</f>
        <v>0.56781982551012511</v>
      </c>
      <c r="CW112" s="3194">
        <f ca="1">CW109/CW111</f>
        <v>1.7346737089739146</v>
      </c>
      <c r="CX112" s="3194"/>
      <c r="CY112" s="3194"/>
      <c r="CZ112" s="3194"/>
      <c r="DA112" s="1394">
        <f ca="1">DA109/DA111</f>
        <v>0.61568245974178049</v>
      </c>
      <c r="DB112" s="3194">
        <f ca="1">DB109/DB111</f>
        <v>-7.9998825441666606</v>
      </c>
      <c r="DC112" s="3194"/>
      <c r="DD112" s="3194"/>
      <c r="DE112" s="3194"/>
      <c r="DF112" s="1394">
        <f ca="1">DF109/DF111</f>
        <v>0.63353924029989028</v>
      </c>
      <c r="DG112" s="3194">
        <f ca="1">DG109/DG111</f>
        <v>-0.80638456684797533</v>
      </c>
      <c r="DH112" s="3194"/>
      <c r="DI112" s="3194"/>
      <c r="DJ112" s="3194"/>
      <c r="DK112" s="1394">
        <f ca="1">DK109/DK111</f>
        <v>0.68088666975776269</v>
      </c>
      <c r="DL112" s="3194">
        <f ca="1">DL109/DL111</f>
        <v>-1.9219441323927693</v>
      </c>
      <c r="DM112" s="3194"/>
      <c r="DN112" s="3194"/>
      <c r="DO112" s="3194"/>
      <c r="DP112" s="1394">
        <f ca="1">DP109/DP111</f>
        <v>0.72004242208663105</v>
      </c>
      <c r="DQ112" s="3194">
        <f ca="1">DQ109/DQ111</f>
        <v>1.3878948880452737</v>
      </c>
      <c r="DR112" s="3194"/>
      <c r="DS112" s="3194"/>
      <c r="DT112" s="3194"/>
      <c r="DU112" s="1394">
        <f ca="1">DU109/DU111</f>
        <v>0.71276538439210047</v>
      </c>
      <c r="DV112" s="3194">
        <f ca="1">DV109/DV111</f>
        <v>0.87959181058286462</v>
      </c>
      <c r="DW112" s="3194"/>
      <c r="DX112" s="3194"/>
      <c r="DY112" s="3194"/>
      <c r="DZ112" s="1394">
        <f ca="1">DZ109/DZ111</f>
        <v>0.7121682006588882</v>
      </c>
      <c r="EA112" s="3194">
        <f ca="1">EA109/EA111</f>
        <v>0.98680098303638564</v>
      </c>
    </row>
    <row r="113" spans="1:145">
      <c r="DF113">
        <f ca="1">(DF88-DF103)/DF17</f>
        <v>-4.7957856722797296E-3</v>
      </c>
    </row>
    <row r="114" spans="1:145">
      <c r="B114" s="1"/>
      <c r="C114" s="774"/>
      <c r="D114" s="3752"/>
      <c r="E114" s="3752" t="s">
        <v>167</v>
      </c>
      <c r="F114" s="3752"/>
      <c r="G114" s="3754">
        <f>+InputY!$G$3</f>
        <v>1995</v>
      </c>
      <c r="H114" s="3755"/>
      <c r="I114" s="3755"/>
      <c r="J114" s="3755"/>
      <c r="K114" s="3756"/>
      <c r="L114" s="3754">
        <f>+G114+1</f>
        <v>1996</v>
      </c>
      <c r="M114" s="3755"/>
      <c r="N114" s="3755"/>
      <c r="O114" s="3755"/>
      <c r="P114" s="3756"/>
      <c r="Q114" s="3754">
        <f>+L114+1</f>
        <v>1997</v>
      </c>
      <c r="R114" s="3755"/>
      <c r="S114" s="3755"/>
      <c r="T114" s="3755"/>
      <c r="U114" s="3756"/>
      <c r="V114" s="3754">
        <f>+Q114+1</f>
        <v>1998</v>
      </c>
      <c r="W114" s="3755"/>
      <c r="X114" s="3755"/>
      <c r="Y114" s="3755"/>
      <c r="Z114" s="3756"/>
      <c r="AA114" s="3754">
        <f>+V114+1</f>
        <v>1999</v>
      </c>
      <c r="AB114" s="3755"/>
      <c r="AC114" s="3755"/>
      <c r="AD114" s="3755"/>
      <c r="AE114" s="3756"/>
      <c r="AF114" s="3754">
        <f>+AA114+1</f>
        <v>2000</v>
      </c>
      <c r="AG114" s="3755"/>
      <c r="AH114" s="3755"/>
      <c r="AI114" s="3755"/>
      <c r="AJ114" s="3756"/>
      <c r="AK114" s="3754">
        <f>+AF114+1</f>
        <v>2001</v>
      </c>
      <c r="AL114" s="3755"/>
      <c r="AM114" s="3755"/>
      <c r="AN114" s="3755"/>
      <c r="AO114" s="3756"/>
      <c r="AP114" s="3754">
        <f>+AK114+1</f>
        <v>2002</v>
      </c>
      <c r="AQ114" s="3755"/>
      <c r="AR114" s="3755"/>
      <c r="AS114" s="3755"/>
      <c r="AT114" s="3756"/>
      <c r="AU114" s="3754">
        <f>+AP114+1</f>
        <v>2003</v>
      </c>
      <c r="AV114" s="3755"/>
      <c r="AW114" s="3755"/>
      <c r="AX114" s="3755"/>
      <c r="AY114" s="3756"/>
      <c r="AZ114" s="3754">
        <f>+AU114+1</f>
        <v>2004</v>
      </c>
      <c r="BA114" s="3755"/>
      <c r="BB114" s="3755"/>
      <c r="BC114" s="3755"/>
      <c r="BD114" s="3756"/>
      <c r="BE114" s="3754">
        <f>+AZ114+1</f>
        <v>2005</v>
      </c>
      <c r="BF114" s="3755"/>
      <c r="BG114" s="3755"/>
      <c r="BH114" s="3755"/>
      <c r="BI114" s="3756"/>
      <c r="BJ114" s="3754">
        <f>+BE114+1</f>
        <v>2006</v>
      </c>
      <c r="BK114" s="3755"/>
      <c r="BL114" s="3755"/>
      <c r="BM114" s="3755"/>
      <c r="BN114" s="3756"/>
      <c r="BO114" s="3754">
        <f>+BJ114+1</f>
        <v>2007</v>
      </c>
      <c r="BP114" s="3755"/>
      <c r="BQ114" s="3755"/>
      <c r="BR114" s="3755"/>
      <c r="BS114" s="3756"/>
      <c r="BT114" s="3754">
        <f>+BO114+1</f>
        <v>2008</v>
      </c>
      <c r="BU114" s="3755"/>
      <c r="BV114" s="3755"/>
      <c r="BW114" s="3755"/>
      <c r="BX114" s="3756"/>
      <c r="BY114" s="3754">
        <f>+BT114+1</f>
        <v>2009</v>
      </c>
      <c r="BZ114" s="3755"/>
      <c r="CA114" s="3755"/>
      <c r="CB114" s="3755"/>
      <c r="CC114" s="3756"/>
      <c r="CD114" s="3754">
        <f>+BY114+1</f>
        <v>2010</v>
      </c>
      <c r="CE114" s="3755"/>
      <c r="CF114" s="3755"/>
      <c r="CG114" s="3755"/>
      <c r="CH114" s="3756"/>
      <c r="CI114" s="3754">
        <f>+CD114+1</f>
        <v>2011</v>
      </c>
      <c r="CJ114" s="3755"/>
      <c r="CK114" s="3755"/>
      <c r="CL114" s="3755"/>
      <c r="CM114" s="3756"/>
      <c r="CN114" s="3754">
        <f>+CI114+1</f>
        <v>2012</v>
      </c>
      <c r="CO114" s="3755"/>
      <c r="CP114" s="3755"/>
      <c r="CQ114" s="3755"/>
      <c r="CR114" s="3756"/>
      <c r="CS114" s="3754">
        <f>+CN114+1</f>
        <v>2013</v>
      </c>
      <c r="CT114" s="3755"/>
      <c r="CU114" s="3755"/>
      <c r="CV114" s="3755"/>
      <c r="CW114" s="3756"/>
      <c r="CX114" s="3754">
        <f>+CS114+1</f>
        <v>2014</v>
      </c>
      <c r="CY114" s="3755"/>
      <c r="CZ114" s="3755"/>
      <c r="DA114" s="3755"/>
      <c r="DB114" s="3756"/>
      <c r="DC114" s="3754">
        <f>+CX114+1</f>
        <v>2015</v>
      </c>
      <c r="DD114" s="3755"/>
      <c r="DE114" s="3755"/>
      <c r="DF114" s="3755"/>
      <c r="DG114" s="3756"/>
      <c r="DH114" s="3754">
        <f>+DC114+1</f>
        <v>2016</v>
      </c>
      <c r="DI114" s="3755"/>
      <c r="DJ114" s="3755"/>
      <c r="DK114" s="3755"/>
      <c r="DL114" s="3756"/>
      <c r="DM114" s="3754">
        <f>+DH114+1</f>
        <v>2017</v>
      </c>
      <c r="DN114" s="3755"/>
      <c r="DO114" s="3755"/>
      <c r="DP114" s="3755"/>
      <c r="DQ114" s="3756"/>
      <c r="DR114" s="3754">
        <f>+DM114+1</f>
        <v>2018</v>
      </c>
      <c r="DS114" s="3755"/>
      <c r="DT114" s="3755"/>
      <c r="DU114" s="3755"/>
      <c r="DV114" s="3756"/>
      <c r="DW114" s="3754">
        <f>+DR114+1</f>
        <v>2019</v>
      </c>
      <c r="DX114" s="3755"/>
      <c r="DY114" s="3755"/>
      <c r="DZ114" s="3755"/>
      <c r="EA114" s="3756"/>
    </row>
    <row r="115" spans="1:145">
      <c r="B115" s="1"/>
      <c r="C115" s="774"/>
      <c r="D115" s="3752"/>
      <c r="E115" s="3752"/>
      <c r="F115" s="3752"/>
      <c r="G115" s="1252" t="s">
        <v>1486</v>
      </c>
      <c r="H115" s="1253" t="s">
        <v>1732</v>
      </c>
      <c r="I115" s="1252" t="s">
        <v>2022</v>
      </c>
      <c r="J115" s="1253" t="s">
        <v>584</v>
      </c>
      <c r="K115" s="1252" t="s">
        <v>2023</v>
      </c>
      <c r="L115" s="1252" t="s">
        <v>1486</v>
      </c>
      <c r="M115" s="1253" t="s">
        <v>1732</v>
      </c>
      <c r="N115" s="1252" t="s">
        <v>2022</v>
      </c>
      <c r="O115" s="1253" t="s">
        <v>584</v>
      </c>
      <c r="P115" s="1252" t="s">
        <v>2023</v>
      </c>
      <c r="Q115" s="1252" t="s">
        <v>1486</v>
      </c>
      <c r="R115" s="1253" t="s">
        <v>1732</v>
      </c>
      <c r="S115" s="1252" t="s">
        <v>2022</v>
      </c>
      <c r="T115" s="1253" t="s">
        <v>584</v>
      </c>
      <c r="U115" s="1252" t="s">
        <v>2023</v>
      </c>
      <c r="V115" s="1252" t="s">
        <v>1486</v>
      </c>
      <c r="W115" s="1253" t="s">
        <v>1732</v>
      </c>
      <c r="X115" s="1252" t="s">
        <v>2022</v>
      </c>
      <c r="Y115" s="1253" t="s">
        <v>584</v>
      </c>
      <c r="Z115" s="1252" t="s">
        <v>2023</v>
      </c>
      <c r="AA115" s="1252" t="s">
        <v>1486</v>
      </c>
      <c r="AB115" s="1253" t="s">
        <v>1732</v>
      </c>
      <c r="AC115" s="1252" t="s">
        <v>2022</v>
      </c>
      <c r="AD115" s="1253" t="s">
        <v>584</v>
      </c>
      <c r="AE115" s="1252" t="s">
        <v>2023</v>
      </c>
      <c r="AF115" s="1252" t="s">
        <v>1486</v>
      </c>
      <c r="AG115" s="1253" t="s">
        <v>1732</v>
      </c>
      <c r="AH115" s="1252" t="s">
        <v>2022</v>
      </c>
      <c r="AI115" s="1253" t="s">
        <v>584</v>
      </c>
      <c r="AJ115" s="1252" t="s">
        <v>2023</v>
      </c>
      <c r="AK115" s="1252" t="s">
        <v>1486</v>
      </c>
      <c r="AL115" s="1253" t="s">
        <v>1732</v>
      </c>
      <c r="AM115" s="1252" t="s">
        <v>2022</v>
      </c>
      <c r="AN115" s="1253" t="s">
        <v>584</v>
      </c>
      <c r="AO115" s="1252" t="s">
        <v>2023</v>
      </c>
      <c r="AP115" s="1252" t="s">
        <v>1486</v>
      </c>
      <c r="AQ115" s="1253" t="s">
        <v>1732</v>
      </c>
      <c r="AR115" s="1252" t="s">
        <v>2022</v>
      </c>
      <c r="AS115" s="1253" t="s">
        <v>584</v>
      </c>
      <c r="AT115" s="1252" t="s">
        <v>2023</v>
      </c>
      <c r="AU115" s="1252" t="s">
        <v>1486</v>
      </c>
      <c r="AV115" s="1253" t="s">
        <v>1732</v>
      </c>
      <c r="AW115" s="1252" t="s">
        <v>2022</v>
      </c>
      <c r="AX115" s="1253" t="s">
        <v>584</v>
      </c>
      <c r="AY115" s="1252" t="s">
        <v>2023</v>
      </c>
      <c r="AZ115" s="1252" t="s">
        <v>1486</v>
      </c>
      <c r="BA115" s="1253" t="s">
        <v>1732</v>
      </c>
      <c r="BB115" s="1252" t="s">
        <v>2022</v>
      </c>
      <c r="BC115" s="1253" t="s">
        <v>584</v>
      </c>
      <c r="BD115" s="1252" t="s">
        <v>2023</v>
      </c>
      <c r="BE115" s="1252" t="s">
        <v>1486</v>
      </c>
      <c r="BF115" s="1253" t="s">
        <v>1732</v>
      </c>
      <c r="BG115" s="1252" t="s">
        <v>2022</v>
      </c>
      <c r="BH115" s="1253" t="s">
        <v>584</v>
      </c>
      <c r="BI115" s="1252" t="s">
        <v>2023</v>
      </c>
      <c r="BJ115" s="1252" t="s">
        <v>1486</v>
      </c>
      <c r="BK115" s="1253" t="s">
        <v>1732</v>
      </c>
      <c r="BL115" s="1252" t="s">
        <v>2022</v>
      </c>
      <c r="BM115" s="1253" t="s">
        <v>584</v>
      </c>
      <c r="BN115" s="1252" t="s">
        <v>2023</v>
      </c>
      <c r="BO115" s="1252" t="s">
        <v>1486</v>
      </c>
      <c r="BP115" s="1253" t="s">
        <v>1732</v>
      </c>
      <c r="BQ115" s="1252" t="s">
        <v>2022</v>
      </c>
      <c r="BR115" s="1253" t="s">
        <v>584</v>
      </c>
      <c r="BS115" s="1252" t="s">
        <v>2023</v>
      </c>
      <c r="BT115" s="1252" t="s">
        <v>1486</v>
      </c>
      <c r="BU115" s="1253" t="s">
        <v>1732</v>
      </c>
      <c r="BV115" s="1252" t="s">
        <v>2022</v>
      </c>
      <c r="BW115" s="1253" t="s">
        <v>584</v>
      </c>
      <c r="BX115" s="1252" t="s">
        <v>2023</v>
      </c>
      <c r="BY115" s="1252" t="s">
        <v>1486</v>
      </c>
      <c r="BZ115" s="1253" t="s">
        <v>1732</v>
      </c>
      <c r="CA115" s="1252" t="s">
        <v>2022</v>
      </c>
      <c r="CB115" s="1253" t="s">
        <v>584</v>
      </c>
      <c r="CC115" s="1252" t="s">
        <v>2023</v>
      </c>
      <c r="CD115" s="1252" t="s">
        <v>1486</v>
      </c>
      <c r="CE115" s="1253" t="s">
        <v>1732</v>
      </c>
      <c r="CF115" s="1252" t="s">
        <v>2022</v>
      </c>
      <c r="CG115" s="1253" t="s">
        <v>584</v>
      </c>
      <c r="CH115" s="1252" t="s">
        <v>2023</v>
      </c>
      <c r="CI115" s="1252" t="s">
        <v>1486</v>
      </c>
      <c r="CJ115" s="1253" t="s">
        <v>1732</v>
      </c>
      <c r="CK115" s="1252" t="s">
        <v>2022</v>
      </c>
      <c r="CL115" s="1253" t="s">
        <v>584</v>
      </c>
      <c r="CM115" s="1252" t="s">
        <v>2023</v>
      </c>
      <c r="CN115" s="1252" t="s">
        <v>1486</v>
      </c>
      <c r="CO115" s="1253" t="s">
        <v>1732</v>
      </c>
      <c r="CP115" s="1252" t="s">
        <v>2022</v>
      </c>
      <c r="CQ115" s="1253" t="s">
        <v>584</v>
      </c>
      <c r="CR115" s="1252" t="s">
        <v>2023</v>
      </c>
      <c r="CS115" s="1252" t="s">
        <v>1486</v>
      </c>
      <c r="CT115" s="1253" t="s">
        <v>1732</v>
      </c>
      <c r="CU115" s="1252" t="s">
        <v>2022</v>
      </c>
      <c r="CV115" s="1253" t="s">
        <v>584</v>
      </c>
      <c r="CW115" s="1252" t="s">
        <v>2023</v>
      </c>
      <c r="CX115" s="1252" t="s">
        <v>1486</v>
      </c>
      <c r="CY115" s="1253" t="s">
        <v>1732</v>
      </c>
      <c r="CZ115" s="1252" t="s">
        <v>2022</v>
      </c>
      <c r="DA115" s="1253" t="s">
        <v>584</v>
      </c>
      <c r="DB115" s="1252" t="s">
        <v>2023</v>
      </c>
      <c r="DC115" s="1252" t="s">
        <v>1486</v>
      </c>
      <c r="DD115" s="1253" t="s">
        <v>1732</v>
      </c>
      <c r="DE115" s="1252" t="s">
        <v>2022</v>
      </c>
      <c r="DF115" s="1253" t="s">
        <v>584</v>
      </c>
      <c r="DG115" s="1252" t="s">
        <v>2023</v>
      </c>
      <c r="DH115" s="1252" t="s">
        <v>1486</v>
      </c>
      <c r="DI115" s="1253" t="s">
        <v>1732</v>
      </c>
      <c r="DJ115" s="1252" t="s">
        <v>2022</v>
      </c>
      <c r="DK115" s="1253" t="s">
        <v>584</v>
      </c>
      <c r="DL115" s="1252" t="s">
        <v>2023</v>
      </c>
      <c r="DM115" s="1252" t="s">
        <v>1486</v>
      </c>
      <c r="DN115" s="1253" t="s">
        <v>1732</v>
      </c>
      <c r="DO115" s="1252" t="s">
        <v>2022</v>
      </c>
      <c r="DP115" s="1253" t="s">
        <v>584</v>
      </c>
      <c r="DQ115" s="1252" t="s">
        <v>2023</v>
      </c>
      <c r="DR115" s="1252" t="s">
        <v>1486</v>
      </c>
      <c r="DS115" s="1253" t="s">
        <v>1732</v>
      </c>
      <c r="DT115" s="1252" t="s">
        <v>2022</v>
      </c>
      <c r="DU115" s="1253" t="s">
        <v>584</v>
      </c>
      <c r="DV115" s="1252" t="s">
        <v>2023</v>
      </c>
      <c r="DW115" s="1252" t="s">
        <v>1486</v>
      </c>
      <c r="DX115" s="1253" t="s">
        <v>1732</v>
      </c>
      <c r="DY115" s="1252" t="s">
        <v>2022</v>
      </c>
      <c r="DZ115" s="1253" t="s">
        <v>584</v>
      </c>
      <c r="EA115" s="1252" t="s">
        <v>2023</v>
      </c>
    </row>
    <row r="116" spans="1:145">
      <c r="B116" s="1"/>
      <c r="C116" s="1090" t="s">
        <v>1767</v>
      </c>
      <c r="D116" s="996"/>
      <c r="E116" s="996" t="s">
        <v>1166</v>
      </c>
      <c r="F116" s="1091" t="s">
        <v>281</v>
      </c>
      <c r="G116" s="1308"/>
      <c r="H116" s="1309"/>
      <c r="I116" s="1054"/>
      <c r="J116" s="1352">
        <f ca="1">OFFSET('VVP2'!$G$341,0,(COLUMN()-6)/5)</f>
        <v>7.7645299999999997</v>
      </c>
      <c r="K116" s="1380"/>
      <c r="L116" s="1871">
        <f ca="1">+L17</f>
        <v>5.2391782869028569</v>
      </c>
      <c r="M116" s="1352">
        <f ca="1">+J116*(1+L116/100)</f>
        <v>8.1713275698400576</v>
      </c>
      <c r="N116" s="1362">
        <f ca="1">+O116/M116*100-100</f>
        <v>18.880927449958307</v>
      </c>
      <c r="O116" s="1352">
        <f ca="1">OFFSET('VVP2'!$G$341,0,(COLUMN()-6)/5)</f>
        <v>9.7141500000000001</v>
      </c>
      <c r="P116" s="1310">
        <f ca="1">(O116/J116-1)*100</f>
        <v>25.109311188185245</v>
      </c>
      <c r="Q116" s="1361">
        <f ca="1">+Q17</f>
        <v>8.1402408090708978</v>
      </c>
      <c r="R116" s="1352">
        <f ca="1">+O116*(1+Q116/100)</f>
        <v>10.50490520255436</v>
      </c>
      <c r="S116" s="1362">
        <f ca="1">+T116/R116*100-100</f>
        <v>11.608241806400343</v>
      </c>
      <c r="T116" s="1352">
        <f ca="1">OFFSET('VVP2'!$G$341,0,(COLUMN()-6)/5)</f>
        <v>11.72434</v>
      </c>
      <c r="U116" s="1310">
        <f ca="1">(T116/O116-1)*100</f>
        <v>20.693421452211467</v>
      </c>
      <c r="V116" s="1361">
        <f ca="1">+V17</f>
        <v>7.6233287300721653</v>
      </c>
      <c r="W116" s="1352">
        <f ca="1">+T116*(1+V116/100)</f>
        <v>12.618124979631343</v>
      </c>
      <c r="X116" s="1362">
        <f ca="1">+Y116/W116*100-100</f>
        <v>3.2004360475153248</v>
      </c>
      <c r="Y116" s="1352">
        <f ca="1">OFFSET('VVP2'!$G$341,0,(COLUMN()-6)/5)</f>
        <v>13.02196</v>
      </c>
      <c r="Z116" s="1310">
        <f ca="1">(Y116/T116-1)*100</f>
        <v>11.067744538285318</v>
      </c>
      <c r="AA116" s="1361">
        <f ca="1">+AA17</f>
        <v>-1.0214983734837313</v>
      </c>
      <c r="AB116" s="1352">
        <f ca="1">+Y116*(1+AA116/100)</f>
        <v>12.888940890404298</v>
      </c>
      <c r="AC116" s="1362">
        <f ca="1">+AD116/AB116*100-100</f>
        <v>-1.3721910272392392</v>
      </c>
      <c r="AD116" s="1352">
        <f ca="1">OFFSET('VVP2'!$G$341,0,(COLUMN()-6)/5)</f>
        <v>12.71208</v>
      </c>
      <c r="AE116" s="1310">
        <f ca="1">(AD116/Y116-1)*100</f>
        <v>-2.3796724916986367</v>
      </c>
      <c r="AF116" s="1361">
        <f ca="1">+AF17</f>
        <v>3.6213874204480856</v>
      </c>
      <c r="AG116" s="1352">
        <f ca="1">+AD116*(1+AF116/100)</f>
        <v>13.172433665997298</v>
      </c>
      <c r="AH116" s="1362">
        <f ca="1">+AI116/AG116*100-100</f>
        <v>1.4860301366177424</v>
      </c>
      <c r="AI116" s="1352">
        <f ca="1">OFFSET('VVP2'!$G$341,0,(COLUMN()-6)/5)</f>
        <v>13.368180000000001</v>
      </c>
      <c r="AJ116" s="1310">
        <f ca="1">(AI116/AD116-1)*100</f>
        <v>5.1612324654973785</v>
      </c>
      <c r="AK116" s="1361">
        <f ca="1">+AK17</f>
        <v>6.6996058629840372</v>
      </c>
      <c r="AL116" s="1352">
        <f ca="1">+AI116*(1+AK116/100)</f>
        <v>14.263795371054259</v>
      </c>
      <c r="AM116" s="1362">
        <f ca="1">+AN116/AL116*100-100</f>
        <v>-0.48567277679011056</v>
      </c>
      <c r="AN116" s="1352">
        <f ca="1">OFFSET('VVP2'!$G$341,0,(COLUMN()-6)/5)</f>
        <v>14.194520000000001</v>
      </c>
      <c r="AO116" s="1310">
        <f ca="1">(AN116/AI116-1)*100</f>
        <v>6.18139492436518</v>
      </c>
      <c r="AP116" s="1361">
        <f ca="1">+AP17</f>
        <v>6.8379975004915217</v>
      </c>
      <c r="AQ116" s="1352">
        <f ca="1">+AN116*(1+AP116/100)</f>
        <v>15.165140922806771</v>
      </c>
      <c r="AR116" s="1362">
        <f ca="1">+AS116/AQ116*100-100</f>
        <v>0.24417232508233155</v>
      </c>
      <c r="AS116" s="1352">
        <f ca="1">OFFSET('VVP2'!$G$341,0,(COLUMN()-6)/5)</f>
        <v>15.202170000000001</v>
      </c>
      <c r="AT116" s="1310">
        <f ca="1">(AS116/AN116-1)*100</f>
        <v>7.0988663230598936</v>
      </c>
      <c r="AU116" s="1361">
        <f ca="1">+AU17</f>
        <v>10.275887367570679</v>
      </c>
      <c r="AV116" s="1352">
        <f ca="1">+AS116*(1+AU116/100)</f>
        <v>16.764327866626619</v>
      </c>
      <c r="AW116" s="1362">
        <f ca="1">+AX116/AV116*100-100</f>
        <v>-0.57173700842147923</v>
      </c>
      <c r="AX116" s="1352">
        <f ca="1">OFFSET('VVP2'!$G$341,0,(COLUMN()-6)/5)</f>
        <v>16.668479999999999</v>
      </c>
      <c r="AY116" s="1310">
        <f ca="1">(AX116/AS116-1)*100</f>
        <v>9.645399308125068</v>
      </c>
      <c r="AZ116" s="1361">
        <f ca="1">+AZ17</f>
        <v>7.4482608885224399</v>
      </c>
      <c r="BA116" s="1352">
        <f ca="1">+AX116*(1+AZ116/100)</f>
        <v>17.909991876551185</v>
      </c>
      <c r="BB116" s="1362">
        <f ca="1">+BC116/BA116*100-100</f>
        <v>1.8298619324216219</v>
      </c>
      <c r="BC116" s="1352">
        <f ca="1">OFFSET('VVP2'!$G$341,0,(COLUMN()-6)/5)</f>
        <v>18.237719999999999</v>
      </c>
      <c r="BD116" s="1310">
        <f ca="1">(BC116/AX116-1)*100</f>
        <v>9.4144157115705784</v>
      </c>
      <c r="BE116" s="1361">
        <f ca="1">+BE17</f>
        <v>7.7273873836427809</v>
      </c>
      <c r="BF116" s="1352">
        <f ca="1">+BC116*(1+BE116/100)</f>
        <v>19.647019274344096</v>
      </c>
      <c r="BG116" s="1362">
        <f ca="1">+BH116/BF116*100-100</f>
        <v>6.8984038073691494</v>
      </c>
      <c r="BH116" s="1352">
        <f ca="1">OFFSET('VVP2'!$G$341,0,(COLUMN()-6)/5)</f>
        <v>21.00235</v>
      </c>
      <c r="BI116" s="1310">
        <f ca="1">(BH116/BC116-1)*100</f>
        <v>15.158857576495311</v>
      </c>
      <c r="BJ116" s="1361">
        <f ca="1">+BJ17</f>
        <v>7.4064505195753805</v>
      </c>
      <c r="BK116" s="1352">
        <f ca="1">+BH116*(1+BJ116/100)</f>
        <v>22.557878660698041</v>
      </c>
      <c r="BL116" s="1362">
        <f ca="1">+BM116/BK116*100-100</f>
        <v>6.7439911446659266</v>
      </c>
      <c r="BM116" s="1352">
        <f ca="1">OFFSET('VVP2'!$G$341,0,(COLUMN()-6)/5)</f>
        <v>24.079180000000001</v>
      </c>
      <c r="BN116" s="1310">
        <f ca="1">(BM116/BH116-1)*100</f>
        <v>14.649932031415535</v>
      </c>
      <c r="BO116" s="1361">
        <f ca="1">+BO17</f>
        <v>11.0869627998611</v>
      </c>
      <c r="BP116" s="1352">
        <f ca="1">+BM116*(1+BO116/100)</f>
        <v>26.748829729111595</v>
      </c>
      <c r="BQ116" s="1362">
        <f ca="1">+BR116/BP116*100-100</f>
        <v>8.5679646328382404</v>
      </c>
      <c r="BR116" s="1352">
        <f ca="1">OFFSET('VVP2'!$G$341,0,(COLUMN()-6)/5)</f>
        <v>29.040659999999999</v>
      </c>
      <c r="BS116" s="1310">
        <f ca="1">(BR116/BM116-1)*100</f>
        <v>20.604854484247383</v>
      </c>
      <c r="BT116" s="1361">
        <f ca="1">+BT17</f>
        <v>2.6280823574654777</v>
      </c>
      <c r="BU116" s="1352">
        <f ca="1">+BR116*(1+BT116/100)</f>
        <v>29.803872461951531</v>
      </c>
      <c r="BV116" s="1362">
        <f ca="1">+BW116/BU116*100-100</f>
        <v>9.7048044402317117</v>
      </c>
      <c r="BW116" s="1352">
        <f ca="1">OFFSET('VVP2'!$G$341,0,(COLUMN()-6)/5)</f>
        <v>32.696280000000002</v>
      </c>
      <c r="BX116" s="1310">
        <f ca="1">(BW116/BR116-1)*100</f>
        <v>12.587937051017439</v>
      </c>
      <c r="BY116" s="1361">
        <f ca="1">+BY17</f>
        <v>-14.814172950076221</v>
      </c>
      <c r="BZ116" s="1352">
        <f ca="1">+BW116*(1+BY116/100)</f>
        <v>27.85259653255882</v>
      </c>
      <c r="CA116" s="1362">
        <f ca="1">+CB116/BZ116*100-100</f>
        <v>-3.295120192783358</v>
      </c>
      <c r="CB116" s="1352">
        <f ca="1">OFFSET('VVP2'!$G$341,0,(COLUMN()-6)/5)</f>
        <v>26.934819999999998</v>
      </c>
      <c r="CC116" s="1310">
        <f ca="1">(CB116/BW116-1)*100</f>
        <v>-17.621148338587766</v>
      </c>
      <c r="CD116" s="1361">
        <f ca="1">+CD17</f>
        <v>1.639826991162785</v>
      </c>
      <c r="CE116" s="1352">
        <f ca="1">+CB116*(1+CD116/100)</f>
        <v>27.376504448381109</v>
      </c>
      <c r="CF116" s="1362">
        <f ca="1">+CG116/CE116*100-100</f>
        <v>2.3785197005215224</v>
      </c>
      <c r="CG116" s="1352">
        <f ca="1">OFFSET('VVP2'!$G$341,0,(COLUMN()-6)/5)</f>
        <v>28.027660000000001</v>
      </c>
      <c r="CH116" s="1310">
        <f ca="1">(CG116/CB116-1)*100</f>
        <v>4.0573502997235611</v>
      </c>
      <c r="CI116" s="1361">
        <f ca="1">+CI17</f>
        <v>6.0431373864246796</v>
      </c>
      <c r="CJ116" s="1352">
        <f ca="1">+CG116*(1+CI116/100)</f>
        <v>29.721409999999995</v>
      </c>
      <c r="CK116" s="1362">
        <f ca="1">+CL116/CJ116*100-100</f>
        <v>5.2282512841753004</v>
      </c>
      <c r="CL116" s="1352">
        <f ca="1">OFFSET('VVP2'!$G$341,0,(COLUMN()-6)/5)</f>
        <v>31.275320000000001</v>
      </c>
      <c r="CM116" s="1310">
        <f ca="1">(CL116/CG116-1)*100</f>
        <v>11.587339078610203</v>
      </c>
      <c r="CN116" s="1361">
        <f ca="1">+CN17</f>
        <v>3.8269382239940919</v>
      </c>
      <c r="CO116" s="1352">
        <f ca="1">+CL116*(1+CN116/100)</f>
        <v>32.472207175756466</v>
      </c>
      <c r="CP116" s="1362">
        <f ca="1">+CQ116/CO116*100-100</f>
        <v>2.6985317613326743</v>
      </c>
      <c r="CQ116" s="1352">
        <f ca="1">OFFSET('VVP2'!$G$341,0,(COLUMN()-6)/5)</f>
        <v>33.348480000000002</v>
      </c>
      <c r="CR116" s="1310">
        <f ca="1">(CQ116/CL116-1)*100</f>
        <v>6.6287411287878184</v>
      </c>
      <c r="CS116" s="1361">
        <f ca="1">+CS17</f>
        <v>3.498577230569011</v>
      </c>
      <c r="CT116" s="1352">
        <f ca="1">+CQ116*(1+CS116/100)</f>
        <v>34.515202328020862</v>
      </c>
      <c r="CU116" s="1362">
        <f ca="1">+CV116/CT116*100-100</f>
        <v>1.2876867061512769</v>
      </c>
      <c r="CV116" s="1352">
        <f ca="1">OFFSET('VVP2'!$G$341,0,(COLUMN()-6)/5)</f>
        <v>34.959650000000003</v>
      </c>
      <c r="CW116" s="1310">
        <f ca="1">(CV116/CQ116-1)*100</f>
        <v>4.8313146506227644</v>
      </c>
      <c r="CX116" s="1361">
        <f ca="1">+CX17</f>
        <v>3.5375855747539431</v>
      </c>
      <c r="CY116" s="1352">
        <f ca="1">+CV116*(1+CX116/100)</f>
        <v>36.196377535384471</v>
      </c>
      <c r="CZ116" s="1362">
        <f ca="1">+DA116/CY116*100-100</f>
        <v>1.027457690350289</v>
      </c>
      <c r="DA116" s="1352">
        <f ca="1">OFFSET('VVP2'!$G$341,0,(COLUMN()-6)/5)</f>
        <v>36.568280000000001</v>
      </c>
      <c r="DB116" s="1310">
        <f ca="1">(DA116/CV116-1)*100</f>
        <v>4.6013904601447608</v>
      </c>
      <c r="DC116" s="1361">
        <f ca="1">+DC17</f>
        <v>2.0346676424249033</v>
      </c>
      <c r="DD116" s="1352">
        <f ca="1">+DA116*(1+DC116/100)</f>
        <v>37.312322960551342</v>
      </c>
      <c r="DE116" s="1362">
        <f ca="1">+DF116/DD116*100-100</f>
        <v>0.30629837646263525</v>
      </c>
      <c r="DF116" s="1352">
        <f ca="1">OFFSET('VVP2'!$G$341,0,(COLUMN()-6)/5)</f>
        <v>37.426610000000004</v>
      </c>
      <c r="DG116" s="1310">
        <f ca="1">(DF116/DA116-1)*100</f>
        <v>2.3471981728427016</v>
      </c>
      <c r="DH116" s="1361">
        <f ca="1">+DH17</f>
        <v>2.3448829366414126</v>
      </c>
      <c r="DI116" s="1352">
        <f ca="1">+DF116*(1+DH116/100)</f>
        <v>38.304220191653336</v>
      </c>
      <c r="DJ116" s="1362">
        <f ca="1">+DK116/DI116*100-100</f>
        <v>0.95054750240288399</v>
      </c>
      <c r="DK116" s="1352">
        <f ca="1">OFFSET('VVP2'!$G$341,0,(COLUMN()-6)/5)</f>
        <v>38.668320000000001</v>
      </c>
      <c r="DL116" s="1310">
        <f ca="1">(DK116/DF116-1)*100</f>
        <v>3.3177196652328211</v>
      </c>
      <c r="DM116" s="1361">
        <f ca="1">+DM17</f>
        <v>4.565211033661698</v>
      </c>
      <c r="DN116" s="1352">
        <f ca="1">+DK116*(1+DM116/100)</f>
        <v>40.433610411171614</v>
      </c>
      <c r="DO116" s="1362">
        <f ca="1">+DP116/DN116*100-100</f>
        <v>3.3288753280726695</v>
      </c>
      <c r="DP116" s="1352">
        <f ca="1">OFFSET('VVP2'!$G$341,0,(COLUMN()-6)/5)</f>
        <v>41.779594892398123</v>
      </c>
      <c r="DQ116" s="1310">
        <f ca="1">(DP116/DK116-1)*100</f>
        <v>8.0460565455083621</v>
      </c>
      <c r="DR116" s="1406">
        <f ca="1">+DR17</f>
        <v>3.1205873424164476</v>
      </c>
      <c r="DS116" s="785">
        <f ca="1">+DP116*(1+DR116/100)</f>
        <v>43.083363642323164</v>
      </c>
      <c r="DT116" s="1407">
        <f ca="1">+DT17</f>
        <v>2.6186320478604159</v>
      </c>
      <c r="DU116" s="785">
        <f ca="1">+DS116*(1+DT116/100)</f>
        <v>44.211558409957277</v>
      </c>
      <c r="DV116" s="1310">
        <f ca="1">(DU116/DP116-1)*100</f>
        <v>5.8209360905068452</v>
      </c>
      <c r="DW116" s="1406">
        <f ca="1">+DW17</f>
        <v>2.6426635456776815</v>
      </c>
      <c r="DX116" s="785">
        <f ca="1">+DU116*(1+DW116/100)</f>
        <v>45.379921147033215</v>
      </c>
      <c r="DY116" s="1407">
        <f ca="1">+DY17</f>
        <v>2.8566130444941109</v>
      </c>
      <c r="DZ116" s="785">
        <f ca="1">+DX116*(1+DY116/100)</f>
        <v>46.676249894100508</v>
      </c>
      <c r="EA116" s="1310">
        <f ca="1">(DZ116/DU116-1)*100</f>
        <v>5.5747672617397104</v>
      </c>
    </row>
    <row r="117" spans="1:145">
      <c r="B117" s="1"/>
      <c r="C117" s="1080" t="s">
        <v>401</v>
      </c>
      <c r="D117" s="1044"/>
      <c r="E117" s="1044" t="s">
        <v>1766</v>
      </c>
      <c r="F117" s="3" t="s">
        <v>174</v>
      </c>
      <c r="G117" s="1205"/>
      <c r="H117" s="1306"/>
      <c r="I117" s="881"/>
      <c r="J117" s="1353">
        <f ca="1">OFFSET(Sector1!$G$8,0,(COLUMN()-6)/5)</f>
        <v>0.89854000000000001</v>
      </c>
      <c r="K117" s="1381"/>
      <c r="L117" s="1205"/>
      <c r="M117" s="1306"/>
      <c r="N117" s="881"/>
      <c r="O117" s="1353">
        <f ca="1">OFFSET(Sector1!$G$8,0,(COLUMN()-6)/5)</f>
        <v>1.06829</v>
      </c>
      <c r="P117" s="1307">
        <f ca="1">(O117/J117-1)*100</f>
        <v>18.891757740334313</v>
      </c>
      <c r="Q117" s="1205"/>
      <c r="R117" s="1306"/>
      <c r="S117" s="881"/>
      <c r="T117" s="1353">
        <f ca="1">OFFSET(Sector1!$G$8,0,(COLUMN()-6)/5)</f>
        <v>1.5122899999999999</v>
      </c>
      <c r="U117" s="1307">
        <f ca="1">(T117/O117-1)*100</f>
        <v>41.561748214436143</v>
      </c>
      <c r="V117" s="1205"/>
      <c r="W117" s="1306"/>
      <c r="X117" s="881"/>
      <c r="Y117" s="1353">
        <f ca="1">OFFSET(Sector1!$G$8,0,(COLUMN()-6)/5)</f>
        <v>1.7178800000000001</v>
      </c>
      <c r="Z117" s="1307">
        <f ca="1">(Y117/T117-1)*100</f>
        <v>13.594614789491445</v>
      </c>
      <c r="AA117" s="1205"/>
      <c r="AB117" s="1306"/>
      <c r="AC117" s="881"/>
      <c r="AD117" s="1353">
        <f ca="1">OFFSET(Sector1!$G$8,0,(COLUMN()-6)/5)</f>
        <v>1.65448</v>
      </c>
      <c r="AE117" s="1307">
        <f ca="1">(AD117/Y117-1)*100</f>
        <v>-3.690595385009432</v>
      </c>
      <c r="AF117" s="1205"/>
      <c r="AG117" s="1306"/>
      <c r="AH117" s="881"/>
      <c r="AI117" s="1353">
        <f ca="1">OFFSET(Sector1!$G$8,0,(COLUMN()-6)/5)</f>
        <v>1.58941</v>
      </c>
      <c r="AJ117" s="1307">
        <f ca="1">(AI117/AD117-1)*100</f>
        <v>-3.9329577873410404</v>
      </c>
      <c r="AK117" s="1205"/>
      <c r="AL117" s="1306"/>
      <c r="AM117" s="881"/>
      <c r="AN117" s="1353">
        <f ca="1">OFFSET(Sector1!$G$8,0,(COLUMN()-6)/5)</f>
        <v>1.6358499999999998</v>
      </c>
      <c r="AO117" s="1307">
        <f ca="1">(AN117/AI117-1)*100</f>
        <v>2.9218389213607532</v>
      </c>
      <c r="AP117" s="1205"/>
      <c r="AQ117" s="1306"/>
      <c r="AR117" s="881"/>
      <c r="AS117" s="1353">
        <f ca="1">OFFSET(Sector1!$G$8,0,(COLUMN()-6)/5)</f>
        <v>1.7799700000000001</v>
      </c>
      <c r="AT117" s="1307">
        <f ca="1">(AS117/AN117-1)*100</f>
        <v>8.8100987254332797</v>
      </c>
      <c r="AU117" s="1205"/>
      <c r="AV117" s="1306"/>
      <c r="AW117" s="881"/>
      <c r="AX117" s="1353">
        <f ca="1">OFFSET(Sector1!$G$8,0,(COLUMN()-6)/5)</f>
        <v>1.8392200000000001</v>
      </c>
      <c r="AY117" s="1307">
        <f ca="1">(AX117/AS117-1)*100</f>
        <v>3.3287077872099058</v>
      </c>
      <c r="AZ117" s="1205"/>
      <c r="BA117" s="1306"/>
      <c r="BB117" s="881"/>
      <c r="BC117" s="1353">
        <f ca="1">OFFSET(Sector1!$G$8,0,(COLUMN()-6)/5)</f>
        <v>1.9280999999999999</v>
      </c>
      <c r="BD117" s="1307">
        <f ca="1">(BC117/AX117-1)*100</f>
        <v>4.8324833353269314</v>
      </c>
      <c r="BE117" s="1205"/>
      <c r="BF117" s="1306"/>
      <c r="BG117" s="881"/>
      <c r="BH117" s="1353">
        <f ca="1">OFFSET(Sector1!$G$8,0,(COLUMN()-6)/5)</f>
        <v>2.2637700000000001</v>
      </c>
      <c r="BI117" s="1307">
        <f ca="1">(BH117/BC117-1)*100</f>
        <v>17.409366734090568</v>
      </c>
      <c r="BJ117" s="1205"/>
      <c r="BK117" s="1306"/>
      <c r="BL117" s="881"/>
      <c r="BM117" s="1353">
        <f ca="1">OFFSET(Sector1!$G$8,0,(COLUMN()-6)/5)</f>
        <v>2.61253</v>
      </c>
      <c r="BN117" s="1307">
        <f ca="1">(BM117/BH117-1)*100</f>
        <v>15.406158752876831</v>
      </c>
      <c r="BO117" s="1205"/>
      <c r="BP117" s="1306"/>
      <c r="BQ117" s="881"/>
      <c r="BR117" s="1353">
        <f ca="1">OFFSET(Sector1!$G$8,0,(COLUMN()-6)/5)</f>
        <v>3.2654899999999998</v>
      </c>
      <c r="BS117" s="1307">
        <f ca="1">(BR117/BM117-1)*100</f>
        <v>24.993397205008172</v>
      </c>
      <c r="BT117" s="1205"/>
      <c r="BU117" s="1306"/>
      <c r="BV117" s="881"/>
      <c r="BW117" s="1353">
        <f ca="1">OFFSET(Sector1!$G$8,0,(COLUMN()-6)/5)</f>
        <v>3.7011799999999999</v>
      </c>
      <c r="BX117" s="1307">
        <f ca="1">(BW117/BR117-1)*100</f>
        <v>13.342254914270146</v>
      </c>
      <c r="BY117" s="1205"/>
      <c r="BZ117" s="1306"/>
      <c r="CA117" s="881"/>
      <c r="CB117" s="1353">
        <f ca="1">OFFSET(Sector1!$G$8,0,(COLUMN()-6)/5)</f>
        <v>2.9961599999999997</v>
      </c>
      <c r="CC117" s="1307">
        <f ca="1">(CB117/BW117-1)*100</f>
        <v>-19.048519661297213</v>
      </c>
      <c r="CD117" s="1205"/>
      <c r="CE117" s="1306"/>
      <c r="CF117" s="881"/>
      <c r="CG117" s="1353">
        <f ca="1">OFFSET(Sector1!$G$8,0,(COLUMN()-6)/5)</f>
        <v>3.1924800000000002</v>
      </c>
      <c r="CH117" s="1307">
        <f ca="1">(CG117/CB117-1)*100</f>
        <v>6.5523870554309749</v>
      </c>
      <c r="CI117" s="1205"/>
      <c r="CJ117" s="1306"/>
      <c r="CK117" s="881"/>
      <c r="CL117" s="1353">
        <f ca="1">OFFSET(Sector1!$G$8,0,(COLUMN()-6)/5)</f>
        <v>3.5021399999999998</v>
      </c>
      <c r="CM117" s="1307">
        <f ca="1">(CL117/CG117-1)*100</f>
        <v>9.6996692226732684</v>
      </c>
      <c r="CN117" s="1205"/>
      <c r="CO117" s="1306"/>
      <c r="CP117" s="881"/>
      <c r="CQ117" s="1353">
        <f ca="1">OFFSET(Sector1!$G$8,0,(COLUMN()-6)/5)</f>
        <v>3.5937899999999998</v>
      </c>
      <c r="CR117" s="1307">
        <f ca="1">(CQ117/CL117-1)*100</f>
        <v>2.6169713375250536</v>
      </c>
      <c r="CS117" s="1205"/>
      <c r="CT117" s="1306"/>
      <c r="CU117" s="881"/>
      <c r="CV117" s="1353">
        <f ca="1">OFFSET(Sector1!$G$8,0,(COLUMN()-6)/5)</f>
        <v>3.7091500000000002</v>
      </c>
      <c r="CW117" s="1307">
        <f ca="1">(CV117/CQ117-1)*100</f>
        <v>3.2099816628128108</v>
      </c>
      <c r="CX117" s="1205"/>
      <c r="CY117" s="1306"/>
      <c r="CZ117" s="881"/>
      <c r="DA117" s="1353">
        <f ca="1">OFFSET(Sector1!$G$8,0,(COLUMN()-6)/5)</f>
        <v>3.9403299999999999</v>
      </c>
      <c r="DB117" s="1307">
        <f ca="1">(DA117/CV117-1)*100</f>
        <v>6.2326948222638512</v>
      </c>
      <c r="DC117" s="1205"/>
      <c r="DD117" s="1306"/>
      <c r="DE117" s="881"/>
      <c r="DF117" s="1353">
        <f ca="1">OFFSET(Sector1!$G$8,0,(COLUMN()-6)/5)</f>
        <v>4.2110900000000004</v>
      </c>
      <c r="DG117" s="1307">
        <f ca="1">(DF117/DA117-1)*100</f>
        <v>6.8715056860719992</v>
      </c>
      <c r="DH117" s="1205"/>
      <c r="DI117" s="1306"/>
      <c r="DJ117" s="881"/>
      <c r="DK117" s="1353">
        <f ca="1">OFFSET(Sector1!$G$8,0,(COLUMN()-6)/5)</f>
        <v>4.4171499999999995</v>
      </c>
      <c r="DL117" s="1307">
        <f ca="1">(DK117/DF117-1)*100</f>
        <v>4.8932699134903057</v>
      </c>
      <c r="DM117" s="1205"/>
      <c r="DN117" s="1306"/>
      <c r="DO117" s="881"/>
      <c r="DP117" s="1353">
        <f ca="1">OFFSET(Sector1!$G$8,0,(COLUMN()-6)/5)</f>
        <v>4.8132999999999999</v>
      </c>
      <c r="DQ117" s="1307">
        <f ca="1">(DP117/DK117-1)*100</f>
        <v>8.9684525089707368</v>
      </c>
      <c r="DR117" s="1205"/>
      <c r="DS117" s="1408"/>
      <c r="DT117" s="881"/>
      <c r="DU117" s="799">
        <f ca="1">OFFSET(Sector1!$G$8,0,(COLUMN()-6)/5)</f>
        <v>5.123979558019216</v>
      </c>
      <c r="DV117" s="1307">
        <f ca="1">(DU117/DP117-1)*100</f>
        <v>6.4546061541814526</v>
      </c>
      <c r="DW117" s="1205"/>
      <c r="DX117" s="1408"/>
      <c r="DY117" s="881"/>
      <c r="DZ117" s="799">
        <f ca="1">OFFSET(Sector1!$G$8,0,(COLUMN()-6)/5)</f>
        <v>5.4109224132682927</v>
      </c>
      <c r="EA117" s="1307">
        <f ca="1">(DZ117/DU117-1)*100</f>
        <v>5.600000000000005</v>
      </c>
    </row>
    <row r="118" spans="1:145">
      <c r="B118" s="1"/>
      <c r="C118" s="1081" t="s">
        <v>1767</v>
      </c>
      <c r="D118" s="1077"/>
      <c r="E118" s="1078" t="s">
        <v>1768</v>
      </c>
      <c r="F118" s="1077" t="s">
        <v>460</v>
      </c>
      <c r="G118" s="1383"/>
      <c r="H118" s="1386"/>
      <c r="I118" s="1385"/>
      <c r="J118" s="1351">
        <f ca="1">OFFSET(Sector1!$G$45,0,(COLUMN()-6)/5)</f>
        <v>6.9860000000000005E-2</v>
      </c>
      <c r="K118" s="1387"/>
      <c r="L118" s="1205"/>
      <c r="M118" s="1306"/>
      <c r="N118" s="881"/>
      <c r="O118" s="1351">
        <f ca="1">OFFSET(Sector1!$G$45,0,(COLUMN()-6)/5)</f>
        <v>8.7959999999999997E-2</v>
      </c>
      <c r="P118" s="1358">
        <f ca="1">(O118/J118-1)*100</f>
        <v>25.908960778700241</v>
      </c>
      <c r="Q118" s="1205"/>
      <c r="R118" s="1306"/>
      <c r="S118" s="881"/>
      <c r="T118" s="1351">
        <f ca="1">OFFSET(Sector1!$G$45,0,(COLUMN()-6)/5)</f>
        <v>6.3109999999999999E-2</v>
      </c>
      <c r="U118" s="1358">
        <f ca="1">(T118/O118-1)*100</f>
        <v>-28.251477944520232</v>
      </c>
      <c r="V118" s="1205"/>
      <c r="W118" s="1306"/>
      <c r="X118" s="881"/>
      <c r="Y118" s="1351">
        <f ca="1">OFFSET(Sector1!$G$45,0,(COLUMN()-6)/5)</f>
        <v>0.10904999999999999</v>
      </c>
      <c r="Z118" s="1358">
        <f ca="1">(Y118/T118-1)*100</f>
        <v>72.793535097448881</v>
      </c>
      <c r="AA118" s="1205"/>
      <c r="AB118" s="1306"/>
      <c r="AC118" s="881"/>
      <c r="AD118" s="1351">
        <f ca="1">OFFSET(Sector1!$G$45,0,(COLUMN()-6)/5)</f>
        <v>0.11612</v>
      </c>
      <c r="AE118" s="1358">
        <f ca="1">(AD118/Y118-1)*100</f>
        <v>6.483264557542423</v>
      </c>
      <c r="AF118" s="1205"/>
      <c r="AG118" s="1306"/>
      <c r="AH118" s="881"/>
      <c r="AI118" s="1351">
        <f ca="1">OFFSET(Sector1!$G$45,0,(COLUMN()-6)/5)</f>
        <v>0.10212</v>
      </c>
      <c r="AJ118" s="1358">
        <f ca="1">(AI118/AD118-1)*100</f>
        <v>-12.056493282810887</v>
      </c>
      <c r="AK118" s="1205"/>
      <c r="AL118" s="1306"/>
      <c r="AM118" s="881"/>
      <c r="AN118" s="1351">
        <f ca="1">OFFSET(Sector1!$G$45,0,(COLUMN()-6)/5)</f>
        <v>7.5840000000000005E-2</v>
      </c>
      <c r="AO118" s="1358">
        <f ca="1">(AN118/AI118-1)*100</f>
        <v>-25.734430082256164</v>
      </c>
      <c r="AP118" s="1205"/>
      <c r="AQ118" s="1306"/>
      <c r="AR118" s="881"/>
      <c r="AS118" s="1351">
        <f ca="1">OFFSET(Sector1!$G$45,0,(COLUMN()-6)/5)</f>
        <v>0.10173</v>
      </c>
      <c r="AT118" s="1358">
        <f ca="1">(AS118/AN118-1)*100</f>
        <v>34.137658227848092</v>
      </c>
      <c r="AU118" s="1205"/>
      <c r="AV118" s="1306"/>
      <c r="AW118" s="881"/>
      <c r="AX118" s="1351">
        <f ca="1">OFFSET(Sector1!$G$45,0,(COLUMN()-6)/5)</f>
        <v>0.10779000000000001</v>
      </c>
      <c r="AY118" s="1358">
        <f ca="1">(AX118/AS118-1)*100</f>
        <v>5.9569448540253811</v>
      </c>
      <c r="AZ118" s="1205"/>
      <c r="BA118" s="1306"/>
      <c r="BB118" s="881"/>
      <c r="BC118" s="1351">
        <f ca="1">OFFSET(Sector1!$G$45,0,(COLUMN()-6)/5)</f>
        <v>0.18997</v>
      </c>
      <c r="BD118" s="1358">
        <f ca="1">(BC118/AX118-1)*100</f>
        <v>76.240838667779926</v>
      </c>
      <c r="BE118" s="1205"/>
      <c r="BF118" s="1306"/>
      <c r="BG118" s="881"/>
      <c r="BH118" s="1351">
        <f ca="1">OFFSET(Sector1!$G$45,0,(COLUMN()-6)/5)</f>
        <v>0.27112999999999998</v>
      </c>
      <c r="BI118" s="1358">
        <f ca="1">(BH118/BC118-1)*100</f>
        <v>42.722535137126918</v>
      </c>
      <c r="BJ118" s="1205"/>
      <c r="BK118" s="1306"/>
      <c r="BL118" s="881"/>
      <c r="BM118" s="1351">
        <f ca="1">OFFSET(Sector1!$G$45,0,(COLUMN()-6)/5)</f>
        <v>0.26702999999999999</v>
      </c>
      <c r="BN118" s="1358">
        <f ca="1">(BM118/BH118-1)*100</f>
        <v>-1.5121897244864013</v>
      </c>
      <c r="BO118" s="1205"/>
      <c r="BP118" s="1306"/>
      <c r="BQ118" s="881"/>
      <c r="BR118" s="1351">
        <f ca="1">OFFSET(Sector1!$G$45,0,(COLUMN()-6)/5)</f>
        <v>0.30131999999999998</v>
      </c>
      <c r="BS118" s="1358">
        <f ca="1">(BR118/BM118-1)*100</f>
        <v>12.841253791708795</v>
      </c>
      <c r="BT118" s="1205"/>
      <c r="BU118" s="1306"/>
      <c r="BV118" s="881"/>
      <c r="BW118" s="1351">
        <f ca="1">OFFSET(Sector1!$G$45,0,(COLUMN()-6)/5)</f>
        <v>0.35411000000000004</v>
      </c>
      <c r="BX118" s="1358">
        <f ca="1">(BW118/BR118-1)*100</f>
        <v>17.51958051241207</v>
      </c>
      <c r="BY118" s="1205"/>
      <c r="BZ118" s="1306"/>
      <c r="CA118" s="881"/>
      <c r="CB118" s="1351">
        <f ca="1">OFFSET(Sector1!$G$45,0,(COLUMN()-6)/5)</f>
        <v>0.36169999999999997</v>
      </c>
      <c r="CC118" s="1358">
        <f ca="1">(CB118/BW118-1)*100</f>
        <v>2.1434017678122474</v>
      </c>
      <c r="CD118" s="1205"/>
      <c r="CE118" s="1306"/>
      <c r="CF118" s="881"/>
      <c r="CG118" s="1351">
        <f ca="1">OFFSET(Sector1!$G$45,0,(COLUMN()-6)/5)</f>
        <v>0.37457000000000001</v>
      </c>
      <c r="CH118" s="1358">
        <f ca="1">(CG118/CB118-1)*100</f>
        <v>3.5581974011611894</v>
      </c>
      <c r="CI118" s="1205"/>
      <c r="CJ118" s="1306"/>
      <c r="CK118" s="881"/>
      <c r="CL118" s="1351">
        <f ca="1">OFFSET(Sector1!$G$45,0,(COLUMN()-6)/5)</f>
        <v>0.38688</v>
      </c>
      <c r="CM118" s="1358">
        <f ca="1">(CL118/CG118-1)*100</f>
        <v>3.2864351122620539</v>
      </c>
      <c r="CN118" s="1205"/>
      <c r="CO118" s="1306"/>
      <c r="CP118" s="881"/>
      <c r="CQ118" s="1351">
        <f ca="1">OFFSET(Sector1!$G$45,0,(COLUMN()-6)/5)</f>
        <v>0.41048000000000001</v>
      </c>
      <c r="CR118" s="1358">
        <f ca="1">(CQ118/CL118-1)*100</f>
        <v>6.1000827129859436</v>
      </c>
      <c r="CS118" s="1205"/>
      <c r="CT118" s="1306"/>
      <c r="CU118" s="881"/>
      <c r="CV118" s="1351">
        <f ca="1">OFFSET(Sector1!$G$45,0,(COLUMN()-6)/5)</f>
        <v>0.43957999999999997</v>
      </c>
      <c r="CW118" s="1358">
        <f ca="1">(CV118/CQ118-1)*100</f>
        <v>7.0892613525628478</v>
      </c>
      <c r="CX118" s="1205"/>
      <c r="CY118" s="1306"/>
      <c r="CZ118" s="881"/>
      <c r="DA118" s="1351">
        <f ca="1">OFFSET(Sector1!$G$45,0,(COLUMN()-6)/5)</f>
        <v>0.43972</v>
      </c>
      <c r="DB118" s="1358">
        <f ca="1">(DA118/CV118-1)*100</f>
        <v>3.1848582738080999E-2</v>
      </c>
      <c r="DC118" s="1205"/>
      <c r="DD118" s="1306"/>
      <c r="DE118" s="881"/>
      <c r="DF118" s="1351">
        <f ca="1">OFFSET(Sector1!$G$45,0,(COLUMN()-6)/5)</f>
        <v>0.49363000000000001</v>
      </c>
      <c r="DG118" s="1358">
        <f ca="1">(DF118/DA118-1)*100</f>
        <v>12.260074592922777</v>
      </c>
      <c r="DH118" s="1205"/>
      <c r="DI118" s="1306"/>
      <c r="DJ118" s="881"/>
      <c r="DK118" s="1351">
        <f ca="1">OFFSET(Sector1!$G$45,0,(COLUMN()-6)/5)</f>
        <v>0.53820000000000001</v>
      </c>
      <c r="DL118" s="1358">
        <f ca="1">(DK118/DF118-1)*100</f>
        <v>9.0290298401636946</v>
      </c>
      <c r="DM118" s="1205"/>
      <c r="DN118" s="1306"/>
      <c r="DO118" s="881"/>
      <c r="DP118" s="1351">
        <f ca="1">OFFSET(Sector1!$G$45,0,(COLUMN()-6)/5)</f>
        <v>0.54600000000000004</v>
      </c>
      <c r="DQ118" s="1358">
        <f ca="1">(DP118/DK118-1)*100</f>
        <v>1.449275362318847</v>
      </c>
      <c r="DR118" s="1205"/>
      <c r="DS118" s="1408"/>
      <c r="DT118" s="881"/>
      <c r="DU118" s="1064">
        <f ca="1">OFFSET(Sector1!$G$45,0,(COLUMN()-6)/5)</f>
        <v>0.56565600000000005</v>
      </c>
      <c r="DV118" s="1358">
        <f ca="1">(DU118/DP118-1)*100</f>
        <v>3.6000000000000032</v>
      </c>
      <c r="DW118" s="1205"/>
      <c r="DX118" s="1408"/>
      <c r="DY118" s="881"/>
      <c r="DZ118" s="1064">
        <f ca="1">OFFSET(Sector1!$G$45,0,(COLUMN()-6)/5)</f>
        <v>0.58601961600000008</v>
      </c>
      <c r="EA118" s="1358">
        <f ca="1">(DZ118/DU118-1)*100</f>
        <v>3.6000000000000032</v>
      </c>
    </row>
    <row r="119" spans="1:145" s="28" customFormat="1">
      <c r="A119" s="1457"/>
      <c r="C119" s="176" t="s">
        <v>1769</v>
      </c>
      <c r="D119" s="1257"/>
      <c r="E119" s="1354" t="s">
        <v>1373</v>
      </c>
      <c r="F119" s="1200" t="s">
        <v>463</v>
      </c>
      <c r="G119" s="1258"/>
      <c r="H119" s="1259"/>
      <c r="I119" s="1258"/>
      <c r="J119" s="1259">
        <f ca="1">OFFSET(Sector1!$G$88,0,(COLUMN()-6)/5)</f>
        <v>6.9358399999999998</v>
      </c>
      <c r="K119" s="1258"/>
      <c r="L119" s="1259">
        <f ca="1">OFFSET('VVP2'!$G$162,0,(COLUMN()-7)/5)</f>
        <v>5.2391881530884588</v>
      </c>
      <c r="M119" s="1259">
        <f ca="1">+J119*(1+L119/100)</f>
        <v>7.2992217075971704</v>
      </c>
      <c r="N119" s="1259">
        <f ca="1">+O119/M119*100-100</f>
        <v>19.653989834418681</v>
      </c>
      <c r="O119" s="1259">
        <f ca="1">OFFSET(Sector1!$G$88,0,(COLUMN()-6)/5)</f>
        <v>8.7338100000000001</v>
      </c>
      <c r="P119" s="1259">
        <f ca="1">(O119/J119-1)*100</f>
        <v>25.922887494521206</v>
      </c>
      <c r="Q119" s="1259">
        <f ca="1">OFFSET('VVP2'!$G$162,0,(COLUMN()-7)/5)</f>
        <v>8.1402411461800597</v>
      </c>
      <c r="R119" s="1259">
        <f ca="1">+O119*(1+Q119/100)</f>
        <v>9.4447631952491893</v>
      </c>
      <c r="S119" s="1259">
        <f ca="1">+T119/R119*100-100</f>
        <v>8.7920341419306567</v>
      </c>
      <c r="T119" s="1259">
        <f ca="1">OFFSET(Sector1!$G$88,0,(COLUMN()-6)/5)</f>
        <v>10.27515</v>
      </c>
      <c r="U119" s="1259">
        <f ca="1">(T119/O119-1)*100</f>
        <v>17.647968068918374</v>
      </c>
      <c r="V119" s="1259">
        <f ca="1">OFFSET('VVP2'!$G$162,0,(COLUMN()-7)/5)</f>
        <v>7.6233192651531168</v>
      </c>
      <c r="W119" s="1259">
        <f ca="1">+T119*(1+V119/100)</f>
        <v>11.05845748947338</v>
      </c>
      <c r="X119" s="1259">
        <f ca="1">+Y119/W119*100-100</f>
        <v>3.2072511999456879</v>
      </c>
      <c r="Y119" s="1259">
        <f ca="1">OFFSET(Sector1!$G$88,0,(COLUMN()-6)/5)</f>
        <v>11.413129999999999</v>
      </c>
      <c r="Z119" s="1259">
        <f ca="1">(Y119/T119-1)*100</f>
        <v>11.075069463706111</v>
      </c>
      <c r="AA119" s="1259">
        <f ca="1">OFFSET('VVP2'!$G$162,0,(COLUMN()-7)/5)</f>
        <v>-1.0215048374722313</v>
      </c>
      <c r="AB119" s="1259">
        <f ca="1">+Y119*(1+AA119/100)</f>
        <v>11.296544324943005</v>
      </c>
      <c r="AC119" s="1259">
        <f ca="1">+AD119/AB119*100-100</f>
        <v>-1.0873619525555682</v>
      </c>
      <c r="AD119" s="1259">
        <f ca="1">OFFSET(Sector1!$G$88,0,(COLUMN()-6)/5)</f>
        <v>11.17371</v>
      </c>
      <c r="AE119" s="1259">
        <f ca="1">(AD119/Y119-1)*100</f>
        <v>-2.0977593350816059</v>
      </c>
      <c r="AF119" s="1259">
        <f ca="1">OFFSET('VVP2'!$G$162,0,(COLUMN()-7)/5)</f>
        <v>3.621382754134439</v>
      </c>
      <c r="AG119" s="1259">
        <f ca="1">+AD119*(1+AF119/100)</f>
        <v>11.578352806936994</v>
      </c>
      <c r="AH119" s="1259">
        <f ca="1">+AI119/AG119*100-100</f>
        <v>2.6129553841349917</v>
      </c>
      <c r="AI119" s="1259">
        <f ca="1">OFFSET(Sector1!$G$88,0,(COLUMN()-6)/5)</f>
        <v>11.880889999999999</v>
      </c>
      <c r="AJ119" s="1259">
        <f ca="1">(AI119/AD119-1)*100</f>
        <v>6.3289632539237139</v>
      </c>
      <c r="AK119" s="1259">
        <f ca="1">OFFSET('VVP2'!$G$162,0,(COLUMN()-7)/5)</f>
        <v>6.699598703270504</v>
      </c>
      <c r="AL119" s="1259">
        <f ca="1">+AI119*(1+AK119/100)</f>
        <v>12.676861952376994</v>
      </c>
      <c r="AM119" s="1259">
        <f ca="1">+AN119/AL119*100-100</f>
        <v>-0.33408861385487398</v>
      </c>
      <c r="AN119" s="1259">
        <f ca="1">OFFSET(Sector1!$G$88,0,(COLUMN()-6)/5)</f>
        <v>12.634510000000001</v>
      </c>
      <c r="AO119" s="1259">
        <f ca="1">(AN119/AI119-1)*100</f>
        <v>6.3431274929740322</v>
      </c>
      <c r="AP119" s="1259">
        <f ca="1">OFFSET('VVP2'!$G$162,0,(COLUMN()-7)/5)</f>
        <v>6.838005539912495</v>
      </c>
      <c r="AQ119" s="1259">
        <f ca="1">+AN119*(1+AP119/100)</f>
        <v>13.498458493740799</v>
      </c>
      <c r="AR119" s="1259">
        <f ca="1">+AS119/AQ119*100-100</f>
        <v>0.18862528836909576</v>
      </c>
      <c r="AS119" s="1259">
        <f ca="1">OFFSET(Sector1!$G$88,0,(COLUMN()-6)/5)</f>
        <v>13.52392</v>
      </c>
      <c r="AT119" s="1259">
        <f ca="1">(AS119/AN119-1)*100</f>
        <v>7.0395290359499541</v>
      </c>
      <c r="AU119" s="1259">
        <f ca="1">OFFSET('VVP2'!$G$162,0,(COLUMN()-7)/5)</f>
        <v>10.27589025957476</v>
      </c>
      <c r="AV119" s="1259">
        <f ca="1">+AS119*(1+AU119/100)</f>
        <v>14.913623177992683</v>
      </c>
      <c r="AW119" s="1259">
        <f ca="1">+AX119/AV119*100-100</f>
        <v>0.15715042366028342</v>
      </c>
      <c r="AX119" s="1259">
        <f ca="1">OFFSET(Sector1!$G$88,0,(COLUMN()-6)/5)</f>
        <v>14.937059999999999</v>
      </c>
      <c r="AY119" s="1259">
        <f ca="1">(AX119/AS119-1)*100</f>
        <v>10.449189288312844</v>
      </c>
      <c r="AZ119" s="1259">
        <f ca="1">OFFSET('VVP2'!$G$162,0,(COLUMN()-7)/5)</f>
        <v>7.453317138876292</v>
      </c>
      <c r="BA119" s="1259">
        <f ca="1">+AX119*(1+AZ119/100)</f>
        <v>16.050366453024235</v>
      </c>
      <c r="BB119" s="1259">
        <f ca="1">+BC119/BA119*100-100</f>
        <v>2.7988990051446336</v>
      </c>
      <c r="BC119" s="1259">
        <f ca="1">OFFSET(Sector1!$G$88,0,(COLUMN()-6)/5)</f>
        <v>16.499599999999997</v>
      </c>
      <c r="BD119" s="1259">
        <f ca="1">(BC119/AX119-1)*100</f>
        <v>10.46082696327122</v>
      </c>
      <c r="BE119" s="1259">
        <f ca="1">OFFSET('VVP2'!$G$162,0,(COLUMN()-7)/5)</f>
        <v>7.7273983463585827</v>
      </c>
      <c r="BF119" s="1259">
        <f ca="1">+BC119*(1+BE119/100)</f>
        <v>17.774589817555778</v>
      </c>
      <c r="BG119" s="1259">
        <f ca="1">+BH119/BF119*100-100</f>
        <v>6.9487971037413416</v>
      </c>
      <c r="BH119" s="1259">
        <f ca="1">OFFSET(Sector1!$G$88,0,(COLUMN()-6)/5)</f>
        <v>19.009709999999998</v>
      </c>
      <c r="BI119" s="1259">
        <f ca="1">(BH119/BC119-1)*100</f>
        <v>15.213156682586249</v>
      </c>
      <c r="BJ119" s="1259">
        <f ca="1">OFFSET('VVP2'!$G$162,0,(COLUMN()-7)/5)</f>
        <v>7.4064276711415244</v>
      </c>
      <c r="BK119" s="1259">
        <f ca="1">+BH119*(1+BJ119/100)</f>
        <v>20.417650421643756</v>
      </c>
      <c r="BL119" s="1259">
        <f ca="1">+BM119/BK119*100-100</f>
        <v>6.4455485875161429</v>
      </c>
      <c r="BM119" s="1259">
        <f ca="1">OFFSET(Sector1!$G$88,0,(COLUMN()-6)/5)</f>
        <v>21.73368</v>
      </c>
      <c r="BN119" s="1259">
        <f ca="1">(BM119/BH119-1)*100</f>
        <v>14.329361152800345</v>
      </c>
      <c r="BO119" s="1259">
        <f ca="1">OFFSET('VVP2'!$G$162,0,(COLUMN()-7)/5)</f>
        <v>11.08697831258878</v>
      </c>
      <c r="BP119" s="1259">
        <f ca="1">+BM119*(1+BO119/100)</f>
        <v>24.143288388127445</v>
      </c>
      <c r="BQ119" s="1259">
        <f ca="1">+BR119/BP119*100-100</f>
        <v>8.0072423474145182</v>
      </c>
      <c r="BR119" s="1259">
        <f ca="1">OFFSET(Sector1!$G$88,0,(COLUMN()-6)/5)</f>
        <v>26.076499999999999</v>
      </c>
      <c r="BS119" s="1259">
        <f ca="1">(BR119/BM119-1)*100</f>
        <v>19.981981882497578</v>
      </c>
      <c r="BT119" s="1259">
        <f ca="1">OFFSET('VVP2'!$G$162,0,(COLUMN()-7)/5)</f>
        <v>2.6280569755420702</v>
      </c>
      <c r="BU119" s="1259">
        <f ca="1">+BR119*(1+BT119/100)</f>
        <v>26.761805277227229</v>
      </c>
      <c r="BV119" s="1259">
        <f ca="1">+BW119/BU119*100-100</f>
        <v>9.6682742287737398</v>
      </c>
      <c r="BW119" s="1259">
        <f ca="1">OFFSET(Sector1!$G$88,0,(COLUMN()-6)/5)</f>
        <v>29.349209999999999</v>
      </c>
      <c r="BX119" s="1259">
        <f ca="1">(BW119/BR119-1)*100</f>
        <v>12.550418959599629</v>
      </c>
      <c r="BY119" s="1259">
        <f ca="1">OFFSET('VVP2'!$G$162,0,(COLUMN()-7)/5)</f>
        <v>-14.814140636349926</v>
      </c>
      <c r="BZ119" s="1259">
        <f ca="1">+BW119*(1+BY119/100)</f>
        <v>25.001376754942324</v>
      </c>
      <c r="CA119" s="1259">
        <f ca="1">+CB119/BZ119*100-100</f>
        <v>-2.8039126077476766</v>
      </c>
      <c r="CB119" s="1259">
        <f ca="1">OFFSET(Sector1!$G$88,0,(COLUMN()-6)/5)</f>
        <v>24.300360000000001</v>
      </c>
      <c r="CC119" s="1259">
        <f ca="1">(CB119/BW119-1)*100</f>
        <v>-17.202677687065503</v>
      </c>
      <c r="CD119" s="1259">
        <f ca="1">OFFSET('VVP2'!$G$162,0,(COLUMN()-7)/5)</f>
        <v>1.6397996535100656</v>
      </c>
      <c r="CE119" s="1259">
        <f ca="1">+CB119*(1+CD119/100)</f>
        <v>24.6988372190817</v>
      </c>
      <c r="CF119" s="1259">
        <f ca="1">+CG119/CE119*100-100</f>
        <v>2.0685701775611705</v>
      </c>
      <c r="CG119" s="1259">
        <f ca="1">OFFSET(Sector1!$G$88,0,(COLUMN()-6)/5)</f>
        <v>25.20975</v>
      </c>
      <c r="CH119" s="1259">
        <f ca="1">(CG119/CB119-1)*100</f>
        <v>3.7422902376754941</v>
      </c>
      <c r="CI119" s="1259">
        <f ca="1">OFFSET('VVP2'!$G$162,0,(COLUMN()-7)/5)</f>
        <v>6.0431380715794569</v>
      </c>
      <c r="CJ119" s="1259">
        <f ca="1">+CG119*(1+CI119/100)</f>
        <v>26.733210000000003</v>
      </c>
      <c r="CK119" s="1259">
        <f ca="1">+CL119/CJ119*100-100</f>
        <v>5.3373687634219635</v>
      </c>
      <c r="CL119" s="1259">
        <f ca="1">OFFSET(Sector1!$G$88,0,(COLUMN()-6)/5)</f>
        <v>28.160060000000001</v>
      </c>
      <c r="CM119" s="1259">
        <f ca="1">(CL119/CG119-1)*100</f>
        <v>11.703051398764375</v>
      </c>
      <c r="CN119" s="1259">
        <f ca="1">OFFSET('VVP2'!$G$162,0,(COLUMN()-7)/5)</f>
        <v>3.8269627927211225</v>
      </c>
      <c r="CO119" s="1259">
        <f ca="1">+CL119*(1+CN119/100)</f>
        <v>29.237735018607946</v>
      </c>
      <c r="CP119" s="1259">
        <f ca="1">+CQ119/CO119*100-100</f>
        <v>3.1720137719348145</v>
      </c>
      <c r="CQ119" s="1259">
        <f ca="1">OFFSET(Sector1!$G$88,0,(COLUMN()-6)/5)</f>
        <v>30.16516</v>
      </c>
      <c r="CR119" s="1259">
        <f ca="1">(CQ119/CL119-1)*100</f>
        <v>7.1203683514878824</v>
      </c>
      <c r="CS119" s="1259">
        <f ca="1">OFFSET('VVP2'!$G$162,0,(COLUMN()-7)/5)</f>
        <v>3.4985596052496959</v>
      </c>
      <c r="CT119" s="1259">
        <f ca="1">+CQ119*(1+CS119/100)</f>
        <v>31.220506102618938</v>
      </c>
      <c r="CU119" s="1259">
        <f ca="1">+CV119/CT119*100-100</f>
        <v>1.5040560067720179</v>
      </c>
      <c r="CV119" s="1259">
        <f ca="1">OFFSET(Sector1!$G$88,0,(COLUMN()-6)/5)</f>
        <v>31.690080000000002</v>
      </c>
      <c r="CW119" s="1259">
        <f ca="1">(CV119/CQ119-1)*100</f>
        <v>5.0552359079149678</v>
      </c>
      <c r="CX119" s="1259">
        <f ca="1">OFFSET('VVP2'!$G$162,0,(COLUMN()-7)/5)</f>
        <v>3.5376044083425873</v>
      </c>
      <c r="CY119" s="1259">
        <f ca="1">+CV119*(1+CX119/100)</f>
        <v>32.811149667087292</v>
      </c>
      <c r="CZ119" s="1259">
        <f ca="1">+DA119/CY119*100-100</f>
        <v>0.7818389038956326</v>
      </c>
      <c r="DA119" s="1259">
        <f ca="1">OFFSET(Sector1!$G$88,0,(COLUMN()-6)/5)</f>
        <v>33.067680000000003</v>
      </c>
      <c r="DB119" s="1259">
        <f ca="1">(DA119/CV119-1)*100</f>
        <v>4.3471016797685724</v>
      </c>
      <c r="DC119" s="1259">
        <f ca="1">OFFSET('VVP2'!$G$162,0,(COLUMN()-7)/5)</f>
        <v>2.0346555108811559</v>
      </c>
      <c r="DD119" s="1259">
        <f ca="1">+DA119*(1+DC119/100)</f>
        <v>33.74049337344055</v>
      </c>
      <c r="DE119" s="1259">
        <f ca="1">+DF119/DD119*100-100</f>
        <v>-9.289542121877048E-2</v>
      </c>
      <c r="DF119" s="1259">
        <f ca="1">OFFSET(Sector1!$G$88,0,(COLUMN()-6)/5)</f>
        <v>33.709150000000001</v>
      </c>
      <c r="DG119" s="1259">
        <f ca="1">(DF119/DA119-1)*100</f>
        <v>1.9398699878552028</v>
      </c>
      <c r="DH119" s="1259">
        <f ca="1">OFFSET('VVP2'!$G$162,0,(COLUMN()-7)/5)</f>
        <v>2.3448710805274331</v>
      </c>
      <c r="DI119" s="1259">
        <f ca="1">+DF119*(1+DH119/100)</f>
        <v>34.499586109841616</v>
      </c>
      <c r="DJ119" s="1259">
        <f ca="1">+DK119/DI119*100-100</f>
        <v>0.8399633816932095</v>
      </c>
      <c r="DK119" s="1259">
        <f ca="1">OFFSET(Sector1!$G$88,0,(COLUMN()-6)/5)</f>
        <v>34.789370000000005</v>
      </c>
      <c r="DL119" s="1259">
        <f ca="1">(DK119/DF119-1)*100</f>
        <v>3.2045305206449992</v>
      </c>
      <c r="DM119" s="1259">
        <f ca="1">OFFSET('VVP2'!$G$162,0,(COLUMN()-7)/5)</f>
        <v>3.8289231668718005</v>
      </c>
      <c r="DN119" s="1259">
        <f ca="1">+DK119*(1+DM119/100)</f>
        <v>36.121428247538752</v>
      </c>
      <c r="DO119" s="1259">
        <f ca="1">+DP119/DN119*100-100</f>
        <v>4.0649050264541984</v>
      </c>
      <c r="DP119" s="1259">
        <f ca="1">OFFSET(Sector1!$G$88,0,(COLUMN()-6)/5)</f>
        <v>37.589730000000003</v>
      </c>
      <c r="DQ119" s="1259">
        <f ca="1">(DP119/DK119-1)*100</f>
        <v>8.0494702835952392</v>
      </c>
      <c r="DR119" s="1420">
        <f ca="1">(DS119/DP119-1)*100</f>
        <v>2.7976519649474341</v>
      </c>
      <c r="DS119" s="1398">
        <f ca="1">+DU119/(1+DT119/100)</f>
        <v>38.641359819963441</v>
      </c>
      <c r="DT119" s="1409">
        <f ca="1">+DT116</f>
        <v>2.6186320478604159</v>
      </c>
      <c r="DU119" s="1398">
        <f ca="1">+DU116-DU117+DU118</f>
        <v>39.653234851938059</v>
      </c>
      <c r="DV119" s="1405">
        <f ca="1">(DU119/DP119-1)*100</f>
        <v>5.4895442237495651</v>
      </c>
      <c r="DW119" s="1420">
        <f ca="1">(DX119/DU119-1)*100</f>
        <v>2.6121057128520642</v>
      </c>
      <c r="DX119" s="1398">
        <f ca="1">+DZ119/(1+DY119/100)</f>
        <v>40.689019264836176</v>
      </c>
      <c r="DY119" s="1409">
        <f ca="1">+DY116</f>
        <v>2.8566130444941109</v>
      </c>
      <c r="DZ119" s="1398">
        <f ca="1">+DZ116-DZ117+DZ118</f>
        <v>41.851347096832214</v>
      </c>
      <c r="EA119" s="1405">
        <f ca="1">(DZ119/DU119-1)*100</f>
        <v>5.543336509875485</v>
      </c>
      <c r="EB119"/>
      <c r="EC119"/>
      <c r="ED119"/>
      <c r="EE119"/>
      <c r="EF119"/>
      <c r="EG119"/>
      <c r="EH119"/>
      <c r="EI119"/>
      <c r="EJ119"/>
      <c r="EK119"/>
      <c r="EL119"/>
      <c r="EM119"/>
      <c r="EN119"/>
      <c r="EO119"/>
    </row>
    <row r="121" spans="1:145">
      <c r="E121" t="s">
        <v>2456</v>
      </c>
      <c r="CX121" s="3265"/>
    </row>
    <row r="122" spans="1:145">
      <c r="E122" t="s">
        <v>2457</v>
      </c>
      <c r="CY122" s="3194">
        <f ca="1">(CY87-CV87)*0.6</f>
        <v>0.26132451680279445</v>
      </c>
      <c r="DA122" s="3194">
        <f ca="1">(DA87-CV87)*0.6</f>
        <v>-0.14883600000000144</v>
      </c>
      <c r="DD122" s="3194">
        <f ca="1">(DD87-DA87)*0.6</f>
        <v>-0.11163211925597168</v>
      </c>
      <c r="DF122" s="3194">
        <f ca="1">(DF87-DA87)*0.6</f>
        <v>-0.86412599999999806</v>
      </c>
      <c r="DI122" s="3194">
        <f ca="1">(DI87-DF87)*0.6</f>
        <v>0.18302650666829051</v>
      </c>
      <c r="DK122" s="3194">
        <f ca="1">(DK87-DF87)*0.6</f>
        <v>-0.23248800000000003</v>
      </c>
      <c r="DN122" s="3194">
        <f ca="1">(DN87-DK87)*0.6</f>
        <v>1.6060427901156658</v>
      </c>
      <c r="DP122" s="3194">
        <f ca="1">(DP87-DK87)*0.6</f>
        <v>2.2986059999999995</v>
      </c>
      <c r="DS122" s="3194">
        <f ca="1">(DS87-DP87)*0.6</f>
        <v>0.80349110399999968</v>
      </c>
      <c r="DU122" s="3194">
        <f ca="1">(DU87-DP87)*0.6</f>
        <v>1.1773616953919983</v>
      </c>
      <c r="DX122" s="3194">
        <f ca="1">(DX87-DU87)*0.6</f>
        <v>0.73168100259724933</v>
      </c>
      <c r="DZ122" s="3194">
        <f ca="1">(DZ87-DU87)*0.6</f>
        <v>1.078896896557034</v>
      </c>
    </row>
    <row r="123" spans="1:145">
      <c r="E123" t="s">
        <v>2460</v>
      </c>
      <c r="CY123" s="3194">
        <f ca="1">(CY35-CV35)*0.28</f>
        <v>0.24302460345380883</v>
      </c>
      <c r="DA123" s="3194">
        <f ca="1">(DA35-CV35)*0.28</f>
        <v>0.25063080000000071</v>
      </c>
      <c r="DD123" s="3194">
        <f ca="1">(DD35-DA35)*0.28</f>
        <v>0.25360105191665483</v>
      </c>
      <c r="DF123" s="3194">
        <f ca="1">(DF35-DA35)*0.28</f>
        <v>0.19510959999999972</v>
      </c>
      <c r="DI123" s="3194">
        <f ca="1">(DI35-DF35)*0.28</f>
        <v>0.32438332692605659</v>
      </c>
      <c r="DK123" s="3194">
        <f ca="1">(DK35-DF35)*0.28</f>
        <v>0.38911600000000041</v>
      </c>
      <c r="DN123" s="3194">
        <f ca="1">(DN35-DK35)*0.28</f>
        <v>0.27087938573163456</v>
      </c>
      <c r="DP123" s="3194">
        <f ca="1">(DP35-DK35)*0.28</f>
        <v>0.5423739999999998</v>
      </c>
      <c r="DS123" s="3194">
        <f ca="1">(DS35-DP35)*0.28</f>
        <v>0.26264382199999958</v>
      </c>
      <c r="DU123" s="3194">
        <f ca="1">(DU35-DP35)*0.28</f>
        <v>0.46457940057199998</v>
      </c>
      <c r="DX123" s="3194">
        <f ca="1">(DX35-DU35)*0.28</f>
        <v>0.26296672381887537</v>
      </c>
      <c r="DZ123" s="3194">
        <f ca="1">(DZ35-DU35)*0.28</f>
        <v>0.4440631409554745</v>
      </c>
    </row>
    <row r="124" spans="1:145">
      <c r="E124" t="s">
        <v>2458</v>
      </c>
      <c r="CY124" s="3194">
        <f ca="1">(CY65-CV65)*0.5</f>
        <v>0.18594652993444427</v>
      </c>
      <c r="DA124" s="3194">
        <f ca="1">(DA65-CV65)*0.5</f>
        <v>0.22530500000000053</v>
      </c>
      <c r="DD124" s="3194">
        <f ca="1">(DD65-DA65)*0.5</f>
        <v>0.16684454891510558</v>
      </c>
      <c r="DF124" s="3194">
        <f ca="1">(DF65-DA65)*0.5</f>
        <v>0.20986499999999975</v>
      </c>
      <c r="DI124" s="3194">
        <f ca="1">(DI65-DF65)*0.5</f>
        <v>-1.6989234189748625E-2</v>
      </c>
      <c r="DK124" s="3194">
        <f ca="1">(DK65-DF65)*0.5</f>
        <v>-5.5149999999999366E-3</v>
      </c>
      <c r="DN124" s="3194">
        <f ca="1">(DN65-DK65)*0.5</f>
        <v>0.27028674735890545</v>
      </c>
      <c r="DP124" s="3194">
        <f ca="1">(DP65-DK65)*0.5</f>
        <v>0.28310000000000013</v>
      </c>
      <c r="DS124" s="3194">
        <f ca="1">(DS65-DP65)*0.5</f>
        <v>0.26643930499999957</v>
      </c>
      <c r="DU124" s="3194">
        <f ca="1">(DU65-DP65)*0.5</f>
        <v>0.36606418647499872</v>
      </c>
      <c r="DX124" s="3194">
        <f ca="1">(DX65-DU65)*0.5</f>
        <v>0.17934456987877478</v>
      </c>
      <c r="DZ124" s="3194">
        <f ca="1">(DZ65-DU65)*0.5</f>
        <v>0.28594125053411101</v>
      </c>
    </row>
    <row r="125" spans="1:145">
      <c r="E125" t="s">
        <v>2459</v>
      </c>
      <c r="CY125" s="3194">
        <f ca="1">SUM(CY122:CY124)</f>
        <v>0.69029565019104755</v>
      </c>
      <c r="DA125" s="3194">
        <f ca="1">SUM(DA122:DA124)</f>
        <v>0.32709979999999983</v>
      </c>
      <c r="DD125" s="3194">
        <f ca="1">SUM(DD122:DD124)</f>
        <v>0.30881348157578875</v>
      </c>
      <c r="DF125" s="3194">
        <f ca="1">SUM(DF122:DF124)</f>
        <v>-0.45915139999999854</v>
      </c>
      <c r="DI125" s="3194">
        <f ca="1">SUM(DI122:DI124)</f>
        <v>0.49042059940459848</v>
      </c>
      <c r="DK125" s="3194">
        <f ca="1">SUM(DK122:DK124)</f>
        <v>0.15111300000000044</v>
      </c>
      <c r="DN125" s="3194">
        <f ca="1">SUM(DN122:DN124)</f>
        <v>2.1472089232062057</v>
      </c>
      <c r="DP125" s="3194">
        <f ca="1">SUM(DP122:DP124)</f>
        <v>3.1240799999999993</v>
      </c>
      <c r="DS125" s="3194">
        <f ca="1">SUM(DS122:DS124)</f>
        <v>1.3325742309999988</v>
      </c>
      <c r="DU125" s="3194">
        <f ca="1">SUM(DU122:DU124)</f>
        <v>2.0080052824389969</v>
      </c>
      <c r="DX125" s="3194">
        <f ca="1">SUM(DX122:DX124)</f>
        <v>1.1739922962948994</v>
      </c>
      <c r="DZ125" s="3194">
        <f ca="1">SUM(DZ122:DZ124)</f>
        <v>1.8089012880466195</v>
      </c>
    </row>
    <row r="126" spans="1:145">
      <c r="E126" t="s">
        <v>2461</v>
      </c>
      <c r="CY126" s="3194">
        <f ca="1">CY102-CV102</f>
        <v>0.69385093886547722</v>
      </c>
      <c r="DA126" s="3194">
        <f ca="1">DA102-CV102</f>
        <v>-0.2312100000000008</v>
      </c>
      <c r="DD126" s="3194">
        <f ca="1">DD102-DA102</f>
        <v>1.8006851690642129</v>
      </c>
      <c r="DF126" s="3194">
        <f ca="1">DF102-DA102</f>
        <v>-0.39010000000000034</v>
      </c>
      <c r="DI126" s="3194">
        <f ca="1">DI102-DF102</f>
        <v>0.72645990392613413</v>
      </c>
      <c r="DK126" s="3194">
        <f ca="1">DK102-DF102</f>
        <v>-0.60593000000000075</v>
      </c>
      <c r="DN126" s="3194">
        <f ca="1">DN102-DK102</f>
        <v>3.0200678983648004</v>
      </c>
      <c r="DP126" s="3194">
        <f ca="1">DP102-DK102</f>
        <v>4.1235199999999992</v>
      </c>
      <c r="DS126" s="3194">
        <f ca="1">DS102-DP102</f>
        <v>1.8079015499999969</v>
      </c>
      <c r="DU126" s="3194">
        <f ca="1">DU102-DP102</f>
        <v>2.5484458387499949</v>
      </c>
      <c r="DX126" s="3194">
        <f ca="1">DX102-DU102</f>
        <v>1.5788404236150022</v>
      </c>
      <c r="DZ126" s="3194">
        <f ca="1">DZ102-DU102</f>
        <v>2.0579577675504765</v>
      </c>
    </row>
  </sheetData>
  <protectedRanges>
    <protectedRange sqref="F2:F3" name="Range1"/>
  </protectedRanges>
  <mergeCells count="374">
    <mergeCell ref="DR39:DV39"/>
    <mergeCell ref="DR45:DV45"/>
    <mergeCell ref="DR107:DV107"/>
    <mergeCell ref="DR114:DV114"/>
    <mergeCell ref="DR54:DV54"/>
    <mergeCell ref="DR69:DV69"/>
    <mergeCell ref="DR79:DV79"/>
    <mergeCell ref="DR84:DV84"/>
    <mergeCell ref="DR92:DV92"/>
    <mergeCell ref="DR99:DV99"/>
    <mergeCell ref="AZ4:BD4"/>
    <mergeCell ref="AK5:AO5"/>
    <mergeCell ref="DR4:DV4"/>
    <mergeCell ref="DR5:DV5"/>
    <mergeCell ref="DR20:DV20"/>
    <mergeCell ref="DR33:DV33"/>
    <mergeCell ref="BT5:BX5"/>
    <mergeCell ref="BE5:BI5"/>
    <mergeCell ref="AU5:AY5"/>
    <mergeCell ref="BT4:BX4"/>
    <mergeCell ref="BJ4:BN4"/>
    <mergeCell ref="BE4:BI4"/>
    <mergeCell ref="BO5:BS5"/>
    <mergeCell ref="BO4:BS4"/>
    <mergeCell ref="AZ20:BD20"/>
    <mergeCell ref="BJ5:BN5"/>
    <mergeCell ref="BE33:BI33"/>
    <mergeCell ref="AZ33:BD33"/>
    <mergeCell ref="BE20:BI20"/>
    <mergeCell ref="AZ5:BD5"/>
    <mergeCell ref="BJ33:BN33"/>
    <mergeCell ref="CX4:DB4"/>
    <mergeCell ref="CX5:DB5"/>
    <mergeCell ref="CX20:DB20"/>
    <mergeCell ref="AU84:AY84"/>
    <mergeCell ref="AZ84:BD84"/>
    <mergeCell ref="BJ39:BN39"/>
    <mergeCell ref="BJ54:BN54"/>
    <mergeCell ref="AF5:AJ5"/>
    <mergeCell ref="AA5:AE5"/>
    <mergeCell ref="V5:Z5"/>
    <mergeCell ref="Q5:U5"/>
    <mergeCell ref="AU33:AY33"/>
    <mergeCell ref="AK33:AO33"/>
    <mergeCell ref="AF33:AJ33"/>
    <mergeCell ref="AP33:AT33"/>
    <mergeCell ref="AP5:AT5"/>
    <mergeCell ref="AU69:AY69"/>
    <mergeCell ref="BJ69:BN69"/>
    <mergeCell ref="BJ79:BN79"/>
    <mergeCell ref="AU79:AY79"/>
    <mergeCell ref="AF84:AJ84"/>
    <mergeCell ref="AA20:AE20"/>
    <mergeCell ref="Q20:U20"/>
    <mergeCell ref="V20:Z20"/>
    <mergeCell ref="AA39:AE39"/>
    <mergeCell ref="Q33:U33"/>
    <mergeCell ref="BE79:BI79"/>
    <mergeCell ref="CS99:CW99"/>
    <mergeCell ref="CN92:CR92"/>
    <mergeCell ref="CN99:CR99"/>
    <mergeCell ref="BJ45:BN45"/>
    <mergeCell ref="BO79:BS79"/>
    <mergeCell ref="BT79:BX79"/>
    <mergeCell ref="BO69:BS69"/>
    <mergeCell ref="BT69:BX69"/>
    <mergeCell ref="CS79:CW79"/>
    <mergeCell ref="CS84:CW84"/>
    <mergeCell ref="CN69:CR69"/>
    <mergeCell ref="CX33:DB33"/>
    <mergeCell ref="CX39:DB39"/>
    <mergeCell ref="CX45:DB45"/>
    <mergeCell ref="CD33:CH33"/>
    <mergeCell ref="CD39:CH39"/>
    <mergeCell ref="CD45:CH45"/>
    <mergeCell ref="CI33:CM33"/>
    <mergeCell ref="CI39:CM39"/>
    <mergeCell ref="CI45:CM45"/>
    <mergeCell ref="CS33:CW33"/>
    <mergeCell ref="CN33:CR33"/>
    <mergeCell ref="CN39:CR39"/>
    <mergeCell ref="CS39:CW39"/>
    <mergeCell ref="CS45:CW45"/>
    <mergeCell ref="CN45:CR45"/>
    <mergeCell ref="CD114:CH114"/>
    <mergeCell ref="CI99:CM99"/>
    <mergeCell ref="CI107:CM107"/>
    <mergeCell ref="CI114:CM114"/>
    <mergeCell ref="CD107:CH107"/>
    <mergeCell ref="CD99:CH99"/>
    <mergeCell ref="CD69:CH69"/>
    <mergeCell ref="CI69:CM69"/>
    <mergeCell ref="CD54:CH54"/>
    <mergeCell ref="CI54:CM54"/>
    <mergeCell ref="CI92:CM92"/>
    <mergeCell ref="CD92:CH92"/>
    <mergeCell ref="AZ92:BD92"/>
    <mergeCell ref="BE92:BI92"/>
    <mergeCell ref="BY69:CC69"/>
    <mergeCell ref="BY79:CC79"/>
    <mergeCell ref="CD79:CH79"/>
    <mergeCell ref="CI79:CM79"/>
    <mergeCell ref="CI84:CM84"/>
    <mergeCell ref="BO20:BS20"/>
    <mergeCell ref="BY20:CC20"/>
    <mergeCell ref="BO45:BS45"/>
    <mergeCell ref="BT33:BX33"/>
    <mergeCell ref="BY39:CC39"/>
    <mergeCell ref="BT20:BX20"/>
    <mergeCell ref="BO33:BS33"/>
    <mergeCell ref="BO39:BS39"/>
    <mergeCell ref="BY33:CC33"/>
    <mergeCell ref="BT39:BX39"/>
    <mergeCell ref="BT45:BX45"/>
    <mergeCell ref="BT54:BX54"/>
    <mergeCell ref="BY54:CC54"/>
    <mergeCell ref="BO54:BS54"/>
    <mergeCell ref="CD84:CH84"/>
    <mergeCell ref="BY45:CC45"/>
    <mergeCell ref="BE39:BI39"/>
    <mergeCell ref="AP107:AT107"/>
    <mergeCell ref="AU99:AY99"/>
    <mergeCell ref="AU92:AY92"/>
    <mergeCell ref="AP114:AT114"/>
    <mergeCell ref="BY99:CC99"/>
    <mergeCell ref="BT99:BX99"/>
    <mergeCell ref="BE69:BI69"/>
    <mergeCell ref="AZ69:BD69"/>
    <mergeCell ref="BY84:CC84"/>
    <mergeCell ref="BY92:CC92"/>
    <mergeCell ref="BY114:CC114"/>
    <mergeCell ref="BY107:CC107"/>
    <mergeCell ref="BO99:BS99"/>
    <mergeCell ref="BT107:BX107"/>
    <mergeCell ref="BJ107:BN107"/>
    <mergeCell ref="BO107:BS107"/>
    <mergeCell ref="BT114:BX114"/>
    <mergeCell ref="AZ99:BD99"/>
    <mergeCell ref="BE99:BI99"/>
    <mergeCell ref="BJ99:BN99"/>
    <mergeCell ref="BT92:BX92"/>
    <mergeCell ref="BT84:BX84"/>
    <mergeCell ref="AZ79:BD79"/>
    <mergeCell ref="BJ92:BN92"/>
    <mergeCell ref="AF107:AJ107"/>
    <mergeCell ref="AF114:AJ114"/>
    <mergeCell ref="AU107:AY107"/>
    <mergeCell ref="AF99:AJ99"/>
    <mergeCell ref="BO84:BS84"/>
    <mergeCell ref="AK84:AO84"/>
    <mergeCell ref="AF92:AJ92"/>
    <mergeCell ref="BO92:BS92"/>
    <mergeCell ref="BJ84:BN84"/>
    <mergeCell ref="AZ114:BD114"/>
    <mergeCell ref="AZ107:BD107"/>
    <mergeCell ref="BE84:BI84"/>
    <mergeCell ref="BO114:BS114"/>
    <mergeCell ref="BJ114:BN114"/>
    <mergeCell ref="BE107:BI107"/>
    <mergeCell ref="BE114:BI114"/>
    <mergeCell ref="AK92:AO92"/>
    <mergeCell ref="AP84:AT84"/>
    <mergeCell ref="AK114:AO114"/>
    <mergeCell ref="AK99:AO99"/>
    <mergeCell ref="AP92:AT92"/>
    <mergeCell ref="AU114:AY114"/>
    <mergeCell ref="AP99:AT99"/>
    <mergeCell ref="AK107:AO107"/>
    <mergeCell ref="L92:P92"/>
    <mergeCell ref="E107:F108"/>
    <mergeCell ref="G114:K114"/>
    <mergeCell ref="Q114:U114"/>
    <mergeCell ref="AA92:AE92"/>
    <mergeCell ref="Q92:U92"/>
    <mergeCell ref="AA114:AE114"/>
    <mergeCell ref="V92:Z92"/>
    <mergeCell ref="V114:Z114"/>
    <mergeCell ref="V99:Z99"/>
    <mergeCell ref="V107:Z107"/>
    <mergeCell ref="AA99:AE99"/>
    <mergeCell ref="AA107:AE107"/>
    <mergeCell ref="L114:P114"/>
    <mergeCell ref="Q107:U107"/>
    <mergeCell ref="L107:P107"/>
    <mergeCell ref="G107:K107"/>
    <mergeCell ref="Q99:U99"/>
    <mergeCell ref="L99:P99"/>
    <mergeCell ref="G99:K99"/>
    <mergeCell ref="G92:K92"/>
    <mergeCell ref="D84:D85"/>
    <mergeCell ref="E92:F93"/>
    <mergeCell ref="E84:F85"/>
    <mergeCell ref="E5:F6"/>
    <mergeCell ref="E33:F34"/>
    <mergeCell ref="E39:F40"/>
    <mergeCell ref="D114:D115"/>
    <mergeCell ref="E114:F115"/>
    <mergeCell ref="D107:D108"/>
    <mergeCell ref="D92:D93"/>
    <mergeCell ref="D99:D100"/>
    <mergeCell ref="E99:F100"/>
    <mergeCell ref="D79:D80"/>
    <mergeCell ref="E79:F80"/>
    <mergeCell ref="D39:D40"/>
    <mergeCell ref="D69:D70"/>
    <mergeCell ref="D45:D46"/>
    <mergeCell ref="D54:D55"/>
    <mergeCell ref="E69:F70"/>
    <mergeCell ref="E54:F55"/>
    <mergeCell ref="V84:Z84"/>
    <mergeCell ref="AA84:AE84"/>
    <mergeCell ref="AA33:AE33"/>
    <mergeCell ref="V69:Z69"/>
    <mergeCell ref="E45:F46"/>
    <mergeCell ref="L33:P33"/>
    <mergeCell ref="L45:P45"/>
    <mergeCell ref="L54:P54"/>
    <mergeCell ref="G45:K45"/>
    <mergeCell ref="G84:K84"/>
    <mergeCell ref="G39:K39"/>
    <mergeCell ref="L39:P39"/>
    <mergeCell ref="Q69:U69"/>
    <mergeCell ref="Q54:U54"/>
    <mergeCell ref="Q45:U45"/>
    <mergeCell ref="G79:K79"/>
    <mergeCell ref="Q79:U79"/>
    <mergeCell ref="G54:K54"/>
    <mergeCell ref="L84:P84"/>
    <mergeCell ref="Q84:U84"/>
    <mergeCell ref="Q39:U39"/>
    <mergeCell ref="AF39:AJ39"/>
    <mergeCell ref="V39:Z39"/>
    <mergeCell ref="AF54:AJ54"/>
    <mergeCell ref="G69:K69"/>
    <mergeCell ref="G33:K33"/>
    <mergeCell ref="AK54:AO54"/>
    <mergeCell ref="AF45:AJ45"/>
    <mergeCell ref="AK45:AO45"/>
    <mergeCell ref="V54:Z54"/>
    <mergeCell ref="AA54:AE54"/>
    <mergeCell ref="V45:Z45"/>
    <mergeCell ref="AA45:AE45"/>
    <mergeCell ref="AK39:AO39"/>
    <mergeCell ref="V33:Z33"/>
    <mergeCell ref="AF79:AJ79"/>
    <mergeCell ref="AA69:AE69"/>
    <mergeCell ref="AP79:AT79"/>
    <mergeCell ref="L79:P79"/>
    <mergeCell ref="L69:P69"/>
    <mergeCell ref="AK69:AO69"/>
    <mergeCell ref="AP69:AT69"/>
    <mergeCell ref="V79:Z79"/>
    <mergeCell ref="AK79:AO79"/>
    <mergeCell ref="AF69:AJ69"/>
    <mergeCell ref="AA79:AE79"/>
    <mergeCell ref="AU39:AY39"/>
    <mergeCell ref="AP39:AT39"/>
    <mergeCell ref="AZ39:BD39"/>
    <mergeCell ref="AU54:AY54"/>
    <mergeCell ref="BE45:BI45"/>
    <mergeCell ref="AZ45:BD45"/>
    <mergeCell ref="AZ54:BD54"/>
    <mergeCell ref="BE54:BI54"/>
    <mergeCell ref="AU45:AY45"/>
    <mergeCell ref="AP54:AT54"/>
    <mergeCell ref="AP45:AT45"/>
    <mergeCell ref="D4:F4"/>
    <mergeCell ref="D33:D34"/>
    <mergeCell ref="G4:K4"/>
    <mergeCell ref="L4:P4"/>
    <mergeCell ref="AU4:AY4"/>
    <mergeCell ref="Q4:U4"/>
    <mergeCell ref="V4:Z4"/>
    <mergeCell ref="AA4:AE4"/>
    <mergeCell ref="AF4:AJ4"/>
    <mergeCell ref="AK4:AO4"/>
    <mergeCell ref="L20:P20"/>
    <mergeCell ref="AU20:AY20"/>
    <mergeCell ref="AP20:AT20"/>
    <mergeCell ref="AK20:AO20"/>
    <mergeCell ref="AF20:AJ20"/>
    <mergeCell ref="G20:K20"/>
    <mergeCell ref="L5:P5"/>
    <mergeCell ref="G5:K5"/>
    <mergeCell ref="AP4:AT4"/>
    <mergeCell ref="BJ20:BN20"/>
    <mergeCell ref="CN5:CR5"/>
    <mergeCell ref="CD20:CH20"/>
    <mergeCell ref="CI5:CM5"/>
    <mergeCell ref="CI20:CM20"/>
    <mergeCell ref="CS4:CW4"/>
    <mergeCell ref="CD4:CH4"/>
    <mergeCell ref="CD5:CH5"/>
    <mergeCell ref="CN4:CR4"/>
    <mergeCell ref="CS5:CW5"/>
    <mergeCell ref="CN20:CR20"/>
    <mergeCell ref="CI4:CM4"/>
    <mergeCell ref="CS20:CW20"/>
    <mergeCell ref="BY4:CC4"/>
    <mergeCell ref="BY5:CC5"/>
    <mergeCell ref="CN114:CR114"/>
    <mergeCell ref="CS114:CW114"/>
    <mergeCell ref="CS107:CW107"/>
    <mergeCell ref="CN107:CR107"/>
    <mergeCell ref="DC54:DG54"/>
    <mergeCell ref="DC69:DG69"/>
    <mergeCell ref="DC79:DG79"/>
    <mergeCell ref="DC84:DG84"/>
    <mergeCell ref="DC92:DG92"/>
    <mergeCell ref="DC99:DG99"/>
    <mergeCell ref="CX107:DB107"/>
    <mergeCell ref="CX114:DB114"/>
    <mergeCell ref="CX54:DB54"/>
    <mergeCell ref="CX69:DB69"/>
    <mergeCell ref="CX79:DB79"/>
    <mergeCell ref="CX84:DB84"/>
    <mergeCell ref="CX92:DB92"/>
    <mergeCell ref="CX99:DB99"/>
    <mergeCell ref="CS69:CW69"/>
    <mergeCell ref="CN79:CR79"/>
    <mergeCell ref="CS92:CW92"/>
    <mergeCell ref="CN84:CR84"/>
    <mergeCell ref="CS54:CW54"/>
    <mergeCell ref="CN54:CR54"/>
    <mergeCell ref="DC4:DG4"/>
    <mergeCell ref="DC5:DG5"/>
    <mergeCell ref="DC20:DG20"/>
    <mergeCell ref="DC33:DG33"/>
    <mergeCell ref="DC39:DG39"/>
    <mergeCell ref="DC45:DG45"/>
    <mergeCell ref="DH107:DL107"/>
    <mergeCell ref="DH114:DL114"/>
    <mergeCell ref="DH54:DL54"/>
    <mergeCell ref="DH69:DL69"/>
    <mergeCell ref="DH79:DL79"/>
    <mergeCell ref="DH84:DL84"/>
    <mergeCell ref="DH92:DL92"/>
    <mergeCell ref="DH99:DL99"/>
    <mergeCell ref="DH4:DL4"/>
    <mergeCell ref="DH5:DL5"/>
    <mergeCell ref="DH20:DL20"/>
    <mergeCell ref="DH33:DL33"/>
    <mergeCell ref="DH39:DL39"/>
    <mergeCell ref="DH45:DL45"/>
    <mergeCell ref="DC107:DG107"/>
    <mergeCell ref="DC114:DG114"/>
    <mergeCell ref="DM107:DQ107"/>
    <mergeCell ref="DM114:DQ114"/>
    <mergeCell ref="DM54:DQ54"/>
    <mergeCell ref="DM69:DQ69"/>
    <mergeCell ref="DM79:DQ79"/>
    <mergeCell ref="DM84:DQ84"/>
    <mergeCell ref="DM92:DQ92"/>
    <mergeCell ref="DM99:DQ99"/>
    <mergeCell ref="DM4:DQ4"/>
    <mergeCell ref="DM5:DQ5"/>
    <mergeCell ref="DM20:DQ20"/>
    <mergeCell ref="DM33:DQ33"/>
    <mergeCell ref="DM39:DQ39"/>
    <mergeCell ref="DM45:DQ45"/>
    <mergeCell ref="DW84:EA84"/>
    <mergeCell ref="DW92:EA92"/>
    <mergeCell ref="DW99:EA99"/>
    <mergeCell ref="DW107:EA107"/>
    <mergeCell ref="DW114:EA114"/>
    <mergeCell ref="DW4:EA4"/>
    <mergeCell ref="DW5:EA5"/>
    <mergeCell ref="DW20:EA20"/>
    <mergeCell ref="DW33:EA33"/>
    <mergeCell ref="DW39:EA39"/>
    <mergeCell ref="DW45:EA45"/>
    <mergeCell ref="DW54:EA54"/>
    <mergeCell ref="DW69:EA69"/>
    <mergeCell ref="DW79:EA79"/>
  </mergeCells>
  <phoneticPr fontId="60" type="noConversion"/>
  <conditionalFormatting sqref="O75 T75 Y75 AD75 AI75 AN75 AS75 AX75 BC75 J75 CB75 BH75 BW75 BM75 CV75 BR75 CG75">
    <cfRule type="cellIs" dxfId="65" priority="31" stopIfTrue="1" operator="notEqual">
      <formula>0</formula>
    </cfRule>
  </conditionalFormatting>
  <conditionalFormatting sqref="F3">
    <cfRule type="cellIs" dxfId="64" priority="32" stopIfTrue="1" operator="notEqual">
      <formula>$F$2</formula>
    </cfRule>
  </conditionalFormatting>
  <conditionalFormatting sqref="D4">
    <cfRule type="cellIs" dxfId="63" priority="33" stopIfTrue="1" operator="notEqual">
      <formula>"ok"</formula>
    </cfRule>
  </conditionalFormatting>
  <conditionalFormatting sqref="M16 O16 R16 T16 W16 Y16 AB16 AD16 AG16 AI16 AL16 AN16 AQ16 AS16 AV16 AX16 BA16 BC16 BF16 BH16 BK16 BM16 BP16 BR16 BU16 BW16 BZ16 CB16 CE16 CG16 CJ16 CL16">
    <cfRule type="cellIs" dxfId="62" priority="34" stopIfTrue="1" operator="notBetween">
      <formula>-0.1</formula>
      <formula>0.1</formula>
    </cfRule>
  </conditionalFormatting>
  <conditionalFormatting sqref="DA75">
    <cfRule type="cellIs" dxfId="61" priority="29" stopIfTrue="1" operator="notEqual">
      <formula>0</formula>
    </cfRule>
  </conditionalFormatting>
  <conditionalFormatting sqref="CL75">
    <cfRule type="cellIs" dxfId="60" priority="28" stopIfTrue="1" operator="notEqual">
      <formula>0</formula>
    </cfRule>
  </conditionalFormatting>
  <conditionalFormatting sqref="CO16 CQ16">
    <cfRule type="cellIs" dxfId="59" priority="27" stopIfTrue="1" operator="notBetween">
      <formula>-0.1</formula>
      <formula>0.1</formula>
    </cfRule>
  </conditionalFormatting>
  <conditionalFormatting sqref="DF75 DK75 DP75">
    <cfRule type="cellIs" dxfId="58" priority="24" stopIfTrue="1" operator="notEqual">
      <formula>0</formula>
    </cfRule>
  </conditionalFormatting>
  <conditionalFormatting sqref="CT16 CV16">
    <cfRule type="cellIs" dxfId="57" priority="23" stopIfTrue="1" operator="notBetween">
      <formula>-0.1</formula>
      <formula>0.1</formula>
    </cfRule>
  </conditionalFormatting>
  <conditionalFormatting sqref="CQ75">
    <cfRule type="cellIs" dxfId="56" priority="21" stopIfTrue="1" operator="notEqual">
      <formula>0</formula>
    </cfRule>
  </conditionalFormatting>
  <conditionalFormatting sqref="CY16 DA16">
    <cfRule type="cellIs" dxfId="55" priority="20" stopIfTrue="1" operator="notBetween">
      <formula>-0.1</formula>
      <formula>0.1</formula>
    </cfRule>
  </conditionalFormatting>
  <conditionalFormatting sqref="DD16 DF16">
    <cfRule type="cellIs" dxfId="54" priority="19" stopIfTrue="1" operator="notBetween">
      <formula>-0.1</formula>
      <formula>0.1</formula>
    </cfRule>
  </conditionalFormatting>
  <conditionalFormatting sqref="DU75">
    <cfRule type="cellIs" dxfId="53" priority="16" stopIfTrue="1" operator="notEqual">
      <formula>0</formula>
    </cfRule>
  </conditionalFormatting>
  <conditionalFormatting sqref="DC4">
    <cfRule type="cellIs" dxfId="52" priority="6" stopIfTrue="1" operator="notEqual">
      <formula>"ok"</formula>
    </cfRule>
  </conditionalFormatting>
  <conditionalFormatting sqref="DH4 DM4 DR4">
    <cfRule type="cellIs" dxfId="51" priority="5" stopIfTrue="1" operator="notEqual">
      <formula>"ok"</formula>
    </cfRule>
  </conditionalFormatting>
  <conditionalFormatting sqref="G4 L4 Q4 V4 AA4 AF4 AK4 AP4 AU4 AZ4 BE4 BJ4 BO4 BT4 BY4 CD4 CI4 CN4 CS4 CX4">
    <cfRule type="cellIs" dxfId="50" priority="4" stopIfTrue="1" operator="notEqual">
      <formula>"ok"</formula>
    </cfRule>
  </conditionalFormatting>
  <conditionalFormatting sqref="DI16 DK16">
    <cfRule type="cellIs" dxfId="49" priority="3" stopIfTrue="1" operator="notBetween">
      <formula>-0.1</formula>
      <formula>0.1</formula>
    </cfRule>
  </conditionalFormatting>
  <conditionalFormatting sqref="DZ75">
    <cfRule type="cellIs" dxfId="48" priority="2" stopIfTrue="1" operator="notEqual">
      <formula>0</formula>
    </cfRule>
  </conditionalFormatting>
  <conditionalFormatting sqref="DW4">
    <cfRule type="cellIs" dxfId="47" priority="1" stopIfTrue="1" operator="notEqual">
      <formula>"ok"</formula>
    </cfRule>
  </conditionalFormatting>
  <dataValidations count="1">
    <dataValidation type="list" allowBlank="1" showInputMessage="1" showErrorMessage="1" sqref="F2:F3">
      <formula1>$B$2:$B$3</formula1>
    </dataValidation>
  </dataValidations>
  <hyperlinks>
    <hyperlink ref="E52" location="Sector1!C399" display="Follow this link to the detailed breakdown of nominal government consumption in the sector sheet"/>
  </hyperlinks>
  <printOptions horizontalCentered="1" verticalCentered="1"/>
  <pageMargins left="0.27559055118110237" right="0.31496062992125984" top="0.98425196850393704" bottom="0.98425196850393704" header="0.51181102362204722" footer="0.51181102362204722"/>
  <pageSetup paperSize="9" scale="10" orientation="landscape" r:id="rId1"/>
  <headerFooter alignWithMargins="0"/>
  <ignoredErrors>
    <ignoredError sqref="J13" formula="1"/>
  </ignoredErrors>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8" enableFormatConditionsCalculation="0">
    <tabColor indexed="44"/>
    <pageSetUpPr fitToPage="1"/>
  </sheetPr>
  <dimension ref="A1:CP1057"/>
  <sheetViews>
    <sheetView showGridLines="0" workbookViewId="0">
      <pane xSplit="6" ySplit="6" topLeftCell="X313" activePane="bottomRight" state="frozen"/>
      <selection pane="topRight" activeCell="G1" sqref="G1"/>
      <selection pane="bottomLeft" activeCell="A7" sqref="A7"/>
      <selection pane="bottomRight" activeCell="AD341" sqref="AC341:AD341"/>
    </sheetView>
  </sheetViews>
  <sheetFormatPr defaultRowHeight="12.75"/>
  <cols>
    <col min="1" max="2" width="3.7109375" style="665" customWidth="1"/>
    <col min="3" max="3" width="4.28515625" style="694" customWidth="1"/>
    <col min="4" max="4" width="4.28515625" style="546" customWidth="1"/>
    <col min="5" max="5" width="42" customWidth="1"/>
    <col min="6" max="6" width="10.42578125" style="546" customWidth="1"/>
    <col min="7" max="16" width="9.28515625" hidden="1" customWidth="1"/>
    <col min="17" max="19" width="9.28515625" style="557" hidden="1" customWidth="1"/>
    <col min="20" max="21" width="11.5703125" style="557" hidden="1" customWidth="1"/>
    <col min="22" max="23" width="10.5703125" style="557" hidden="1" customWidth="1"/>
    <col min="24" max="25" width="12.140625" style="557" bestFit="1" customWidth="1"/>
    <col min="26" max="26" width="12.5703125" style="557" bestFit="1" customWidth="1"/>
    <col min="27" max="27" width="12.85546875" style="557" bestFit="1" customWidth="1"/>
    <col min="28" max="28" width="11.28515625" bestFit="1" customWidth="1"/>
    <col min="29" max="29" width="17.42578125" bestFit="1" customWidth="1"/>
    <col min="30" max="30" width="12.5703125" bestFit="1" customWidth="1"/>
    <col min="31" max="31" width="12.42578125" style="3650" customWidth="1"/>
  </cols>
  <sheetData>
    <row r="1" spans="1:94" s="699" customFormat="1">
      <c r="A1" s="1918" t="s">
        <v>750</v>
      </c>
      <c r="B1" s="663"/>
      <c r="C1" s="694"/>
      <c r="D1" s="670"/>
      <c r="F1" s="694"/>
      <c r="Q1" s="843"/>
      <c r="R1" s="843"/>
      <c r="S1" s="843"/>
      <c r="T1" s="843"/>
      <c r="U1" s="843"/>
      <c r="V1" s="843"/>
      <c r="W1" s="843"/>
      <c r="X1" s="843"/>
      <c r="Y1" s="843"/>
      <c r="Z1" s="843"/>
      <c r="AA1" s="843"/>
      <c r="AB1"/>
      <c r="AC1"/>
      <c r="AD1"/>
      <c r="AE1" s="3650"/>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row>
    <row r="2" spans="1:94" s="699" customFormat="1" ht="22.5" customHeight="1">
      <c r="A2" s="574"/>
      <c r="B2" s="574"/>
      <c r="C2" s="3752" t="s">
        <v>738</v>
      </c>
      <c r="D2" s="3752"/>
      <c r="E2" s="3752"/>
      <c r="F2">
        <v>0.05</v>
      </c>
      <c r="G2" s="1977" t="str">
        <f t="shared" ref="G2:X2" si="0">IF(+G24+G30+G55+G73+G84+G95+G106+G194+G207+G213+G232+G251+G269+G280+G301+G312&lt;$F$2,"ok","Not ok")</f>
        <v>ok</v>
      </c>
      <c r="H2" s="1977" t="str">
        <f t="shared" ca="1" si="0"/>
        <v>Not ok</v>
      </c>
      <c r="I2" s="1977" t="str">
        <f t="shared" ca="1" si="0"/>
        <v>ok</v>
      </c>
      <c r="J2" s="1977" t="str">
        <f t="shared" ca="1" si="0"/>
        <v>Not ok</v>
      </c>
      <c r="K2" s="1977" t="str">
        <f t="shared" ca="1" si="0"/>
        <v>Not ok</v>
      </c>
      <c r="L2" s="1977" t="str">
        <f t="shared" ca="1" si="0"/>
        <v>Not ok</v>
      </c>
      <c r="M2" s="1977" t="str">
        <f t="shared" ca="1" si="0"/>
        <v>Not ok</v>
      </c>
      <c r="N2" s="1977" t="str">
        <f t="shared" ca="1" si="0"/>
        <v>Not ok</v>
      </c>
      <c r="O2" s="1977" t="str">
        <f t="shared" ca="1" si="0"/>
        <v>ok</v>
      </c>
      <c r="P2" s="1977" t="str">
        <f t="shared" ca="1" si="0"/>
        <v>Not ok</v>
      </c>
      <c r="Q2" s="1977" t="str">
        <f t="shared" ca="1" si="0"/>
        <v>ok</v>
      </c>
      <c r="R2" s="1977" t="str">
        <f t="shared" ca="1" si="0"/>
        <v>ok</v>
      </c>
      <c r="S2" s="1977" t="str">
        <f t="shared" ca="1" si="0"/>
        <v>ok</v>
      </c>
      <c r="T2" s="1977" t="str">
        <f t="shared" ca="1" si="0"/>
        <v>ok</v>
      </c>
      <c r="U2" s="1977" t="str">
        <f t="shared" ca="1" si="0"/>
        <v>ok</v>
      </c>
      <c r="V2" s="1977" t="str">
        <f t="shared" ca="1" si="0"/>
        <v>ok</v>
      </c>
      <c r="W2" s="1977" t="str">
        <f ca="1">IF(+W24+W30+W55+W73+W84+W95+W106+W194+W207+W213+W232+W251+W269+W280+W301+W312&lt;$F$2,"ok","Not ok")</f>
        <v>ok</v>
      </c>
      <c r="X2" s="1977" t="str">
        <f t="shared" ca="1" si="0"/>
        <v>ok</v>
      </c>
      <c r="Y2" s="1977" t="str">
        <f t="shared" ref="Y2:AD2" ca="1" si="1">IF(+Y24+Y30+Y55+Y73+Y84+Y95+Y106+Y194+Y207+Y213+Y232+Y251+Y269+Y280+Y301+Y312&lt;$F$2,"ok","Not ok")</f>
        <v>ok</v>
      </c>
      <c r="Z2" s="1977" t="str">
        <f t="shared" ca="1" si="1"/>
        <v>ok</v>
      </c>
      <c r="AA2" s="1977" t="str">
        <f t="shared" ca="1" si="1"/>
        <v>ok</v>
      </c>
      <c r="AB2" s="1977" t="str">
        <f t="shared" ca="1" si="1"/>
        <v>ok</v>
      </c>
      <c r="AC2" s="1977" t="str">
        <f t="shared" ca="1" si="1"/>
        <v>ok</v>
      </c>
      <c r="AD2" s="1977" t="str">
        <f t="shared" ca="1" si="1"/>
        <v>ok</v>
      </c>
      <c r="AE2" s="1977" t="str">
        <f t="shared" ref="AE2" ca="1" si="2">IF(+AE24+AE30+AE55+AE73+AE84+AE95+AE106+AE194+AE207+AE213+AE232+AE251+AE269+AE280+AE301+AE312&lt;$F$2,"ok","Not ok")</f>
        <v>ok</v>
      </c>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row>
    <row r="3" spans="1:94" ht="12.75" customHeight="1">
      <c r="T3" s="217"/>
      <c r="U3" s="217"/>
      <c r="V3" s="217"/>
      <c r="W3" s="217"/>
      <c r="X3" s="217"/>
      <c r="Y3" s="217"/>
      <c r="Z3" s="217"/>
      <c r="AA3" s="217"/>
    </row>
    <row r="4" spans="1:94" s="217" customFormat="1" ht="22.5" customHeight="1">
      <c r="A4" s="1130"/>
      <c r="B4" s="665"/>
      <c r="C4" s="3752" t="s">
        <v>279</v>
      </c>
      <c r="D4" s="3752"/>
      <c r="E4" s="3752"/>
      <c r="F4" s="3752"/>
      <c r="Q4" s="557"/>
      <c r="R4" s="557"/>
      <c r="S4" s="557"/>
      <c r="AB4"/>
      <c r="AC4"/>
      <c r="AD4"/>
      <c r="AE4" s="3650"/>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row>
    <row r="5" spans="1:94">
      <c r="T5" s="217"/>
      <c r="U5" s="217"/>
      <c r="V5" s="217"/>
      <c r="W5" s="217"/>
      <c r="X5" s="217"/>
      <c r="Y5" s="217"/>
      <c r="Z5" s="217"/>
      <c r="AA5" s="217"/>
    </row>
    <row r="6" spans="1:94">
      <c r="A6" s="1130"/>
      <c r="D6" s="1175"/>
      <c r="E6" s="1129" t="s">
        <v>575</v>
      </c>
      <c r="F6" s="1176"/>
      <c r="G6" s="707">
        <f>+InputY!$G$3</f>
        <v>1995</v>
      </c>
      <c r="H6" s="707">
        <f>+G6+1</f>
        <v>1996</v>
      </c>
      <c r="I6" s="707">
        <f t="shared" ref="I6:O6" si="3">+H6+1</f>
        <v>1997</v>
      </c>
      <c r="J6" s="707">
        <f t="shared" si="3"/>
        <v>1998</v>
      </c>
      <c r="K6" s="707">
        <f t="shared" si="3"/>
        <v>1999</v>
      </c>
      <c r="L6" s="707">
        <f t="shared" si="3"/>
        <v>2000</v>
      </c>
      <c r="M6" s="707">
        <f t="shared" si="3"/>
        <v>2001</v>
      </c>
      <c r="N6" s="707">
        <f t="shared" si="3"/>
        <v>2002</v>
      </c>
      <c r="O6" s="707">
        <f t="shared" si="3"/>
        <v>2003</v>
      </c>
      <c r="P6" s="707">
        <f t="shared" ref="P6:V6" si="4">+O6+1</f>
        <v>2004</v>
      </c>
      <c r="Q6" s="707">
        <f t="shared" si="4"/>
        <v>2005</v>
      </c>
      <c r="R6" s="707">
        <f t="shared" si="4"/>
        <v>2006</v>
      </c>
      <c r="S6" s="707">
        <f>+R6+1</f>
        <v>2007</v>
      </c>
      <c r="T6" s="707">
        <f t="shared" si="4"/>
        <v>2008</v>
      </c>
      <c r="U6" s="707">
        <f t="shared" si="4"/>
        <v>2009</v>
      </c>
      <c r="V6" s="707">
        <f t="shared" si="4"/>
        <v>2010</v>
      </c>
      <c r="W6" s="707">
        <f t="shared" ref="W6:AE6" si="5">+V6+1</f>
        <v>2011</v>
      </c>
      <c r="X6" s="707">
        <f t="shared" si="5"/>
        <v>2012</v>
      </c>
      <c r="Y6" s="707">
        <f t="shared" si="5"/>
        <v>2013</v>
      </c>
      <c r="Z6" s="707">
        <f t="shared" si="5"/>
        <v>2014</v>
      </c>
      <c r="AA6" s="707">
        <f t="shared" si="5"/>
        <v>2015</v>
      </c>
      <c r="AB6" s="707">
        <f t="shared" si="5"/>
        <v>2016</v>
      </c>
      <c r="AC6" s="707">
        <f t="shared" si="5"/>
        <v>2017</v>
      </c>
      <c r="AD6" s="707">
        <f t="shared" si="5"/>
        <v>2018</v>
      </c>
      <c r="AE6" s="707">
        <f t="shared" si="5"/>
        <v>2019</v>
      </c>
    </row>
    <row r="7" spans="1:94">
      <c r="A7" s="664">
        <f>+ROW(InputY!A19)</f>
        <v>19</v>
      </c>
      <c r="B7" s="665" t="s">
        <v>245</v>
      </c>
      <c r="C7" s="1082"/>
      <c r="D7" s="1086"/>
      <c r="E7" s="1087" t="s">
        <v>821</v>
      </c>
      <c r="F7" s="1089" t="s">
        <v>1017</v>
      </c>
      <c r="G7" s="1088">
        <f>+InputY!G19/1000</f>
        <v>8.6943311199494193</v>
      </c>
      <c r="H7" s="1088">
        <f>+InputY!H19/1000</f>
        <v>9.2573963830362906</v>
      </c>
      <c r="I7" s="1088">
        <f>+InputY!I19/1000</f>
        <v>9.7777647186781778</v>
      </c>
      <c r="J7" s="1088">
        <f>+InputY!J19/1000</f>
        <v>10.242725056307531</v>
      </c>
      <c r="K7" s="1088">
        <f>+InputY!K19/1000</f>
        <v>10.75122399026877</v>
      </c>
      <c r="L7" s="1088">
        <f>+InputY!L19/1000</f>
        <v>11.501958970631552</v>
      </c>
      <c r="M7" s="1088">
        <f>+InputY!M19/1000</f>
        <v>11.985963469608585</v>
      </c>
      <c r="N7" s="1088">
        <f>+InputY!N19/1000</f>
        <v>12.72480286303646</v>
      </c>
      <c r="O7" s="1088">
        <f>+InputY!O19/1000</f>
        <v>14.1518131829006</v>
      </c>
      <c r="P7" s="1088">
        <f>+InputY!P19/1000</f>
        <v>15.80466</v>
      </c>
      <c r="Q7" s="1088">
        <f>+InputY!Q19/1000</f>
        <v>17.638660000000002</v>
      </c>
      <c r="R7" s="1088">
        <f>+InputY!R19/1000</f>
        <v>19.24344</v>
      </c>
      <c r="S7" s="1088">
        <f>+InputY!S19/1000</f>
        <v>21.633119999999998</v>
      </c>
      <c r="T7" s="1088">
        <f>+InputY!T19/1000</f>
        <v>22.466799999999999</v>
      </c>
      <c r="U7" s="1088">
        <f>+InputY!U19/1000</f>
        <v>18.568369999999998</v>
      </c>
      <c r="V7" s="1088">
        <f>+InputY!V19/1000</f>
        <v>17.945540000000001</v>
      </c>
      <c r="W7" s="1088">
        <f>+InputY!W19/1000</f>
        <v>18.770810000000001</v>
      </c>
      <c r="X7" s="1088">
        <f>+InputY!X19/1000</f>
        <v>19.351680000000002</v>
      </c>
      <c r="Y7" s="1088">
        <f>+InputY!Y19/1000</f>
        <v>20.186400000000003</v>
      </c>
      <c r="Z7" s="1088">
        <f>+InputY!Z19/1000</f>
        <v>20.987099999999998</v>
      </c>
      <c r="AA7" s="1088">
        <f>+InputY!AA19/1000</f>
        <v>21.821650000000002</v>
      </c>
      <c r="AB7" s="1088">
        <f>+InputY!AB19/1000</f>
        <v>22.898630000000001</v>
      </c>
      <c r="AC7" s="1088">
        <f>+InputY!AC19/1000</f>
        <v>23.78961</v>
      </c>
      <c r="AD7" s="1343">
        <f ca="1">+AC7*(1+AD10/100)</f>
        <v>24.622246349999998</v>
      </c>
      <c r="AE7" s="1343">
        <f ca="1">+AD7*(1+AE10/100)</f>
        <v>25.434780479549996</v>
      </c>
    </row>
    <row r="8" spans="1:94">
      <c r="AB8" s="557"/>
      <c r="AC8" s="557"/>
      <c r="AD8" s="557"/>
      <c r="AE8" s="557"/>
    </row>
    <row r="9" spans="1:94" s="699" customFormat="1" ht="12.75" customHeight="1">
      <c r="A9" s="664"/>
      <c r="B9" s="664"/>
      <c r="C9" s="774"/>
      <c r="D9" s="1092"/>
      <c r="E9" s="1093" t="s">
        <v>916</v>
      </c>
      <c r="F9" s="1094"/>
      <c r="G9" s="896">
        <f>+InputY!$G$3</f>
        <v>1995</v>
      </c>
      <c r="H9" s="896">
        <f>+G9+1</f>
        <v>1996</v>
      </c>
      <c r="I9" s="896">
        <f t="shared" ref="I9:O9" si="6">+H9+1</f>
        <v>1997</v>
      </c>
      <c r="J9" s="896">
        <f t="shared" si="6"/>
        <v>1998</v>
      </c>
      <c r="K9" s="896">
        <f t="shared" si="6"/>
        <v>1999</v>
      </c>
      <c r="L9" s="896">
        <f t="shared" si="6"/>
        <v>2000</v>
      </c>
      <c r="M9" s="896">
        <f t="shared" si="6"/>
        <v>2001</v>
      </c>
      <c r="N9" s="896">
        <f t="shared" si="6"/>
        <v>2002</v>
      </c>
      <c r="O9" s="896">
        <f t="shared" si="6"/>
        <v>2003</v>
      </c>
      <c r="P9" s="896">
        <f t="shared" ref="P9:V9" si="7">+O9+1</f>
        <v>2004</v>
      </c>
      <c r="Q9" s="896">
        <f t="shared" si="7"/>
        <v>2005</v>
      </c>
      <c r="R9" s="896">
        <f t="shared" si="7"/>
        <v>2006</v>
      </c>
      <c r="S9" s="896">
        <f>+R9+1</f>
        <v>2007</v>
      </c>
      <c r="T9" s="896">
        <f t="shared" si="7"/>
        <v>2008</v>
      </c>
      <c r="U9" s="896">
        <f t="shared" si="7"/>
        <v>2009</v>
      </c>
      <c r="V9" s="896">
        <f t="shared" si="7"/>
        <v>2010</v>
      </c>
      <c r="W9" s="896">
        <f t="shared" ref="W9:AE9" si="8">+V9+1</f>
        <v>2011</v>
      </c>
      <c r="X9" s="896">
        <f t="shared" si="8"/>
        <v>2012</v>
      </c>
      <c r="Y9" s="896">
        <f t="shared" si="8"/>
        <v>2013</v>
      </c>
      <c r="Z9" s="896">
        <f t="shared" si="8"/>
        <v>2014</v>
      </c>
      <c r="AA9" s="896">
        <f t="shared" si="8"/>
        <v>2015</v>
      </c>
      <c r="AB9" s="896">
        <f t="shared" si="8"/>
        <v>2016</v>
      </c>
      <c r="AC9" s="896">
        <f t="shared" si="8"/>
        <v>2017</v>
      </c>
      <c r="AD9" s="896">
        <f t="shared" si="8"/>
        <v>2018</v>
      </c>
      <c r="AE9" s="896">
        <f t="shared" si="8"/>
        <v>2019</v>
      </c>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row>
    <row r="10" spans="1:94" s="699" customFormat="1" ht="12.75" customHeight="1">
      <c r="A10" s="664"/>
      <c r="B10" s="664"/>
      <c r="C10" s="798"/>
      <c r="D10" s="833"/>
      <c r="E10" s="834" t="s">
        <v>821</v>
      </c>
      <c r="F10" s="1114" t="s">
        <v>1017</v>
      </c>
      <c r="G10" s="1115"/>
      <c r="H10" s="1115">
        <f>+(H7/G7-1)*100</f>
        <v>6.4762344028386432</v>
      </c>
      <c r="I10" s="1115">
        <f t="shared" ref="I10:AB10" si="9">+(I7/H7-1)*100</f>
        <v>5.6211089393928937</v>
      </c>
      <c r="J10" s="1115">
        <f t="shared" si="9"/>
        <v>4.7552825314067348</v>
      </c>
      <c r="K10" s="1115">
        <f t="shared" si="9"/>
        <v>4.9644887582733777</v>
      </c>
      <c r="L10" s="1115">
        <f t="shared" si="9"/>
        <v>6.98278615571859</v>
      </c>
      <c r="M10" s="1115">
        <f t="shared" si="9"/>
        <v>4.2080179577484333</v>
      </c>
      <c r="N10" s="1115">
        <f t="shared" si="9"/>
        <v>6.1642052831319294</v>
      </c>
      <c r="O10" s="1115">
        <f t="shared" si="9"/>
        <v>11.214400216834619</v>
      </c>
      <c r="P10" s="1115">
        <f t="shared" si="9"/>
        <v>11.679399634080156</v>
      </c>
      <c r="Q10" s="1115">
        <f t="shared" si="9"/>
        <v>11.604172440280291</v>
      </c>
      <c r="R10" s="1115">
        <f t="shared" si="9"/>
        <v>9.0980834144997367</v>
      </c>
      <c r="S10" s="1115">
        <f t="shared" si="9"/>
        <v>12.41815392674075</v>
      </c>
      <c r="T10" s="1115">
        <f t="shared" si="9"/>
        <v>3.853720591389509</v>
      </c>
      <c r="U10" s="1115">
        <f t="shared" si="9"/>
        <v>-17.351959335552912</v>
      </c>
      <c r="V10" s="1115">
        <f t="shared" si="9"/>
        <v>-3.3542524195715462</v>
      </c>
      <c r="W10" s="1115">
        <f t="shared" si="9"/>
        <v>4.5987470981647682</v>
      </c>
      <c r="X10" s="1115">
        <f t="shared" si="9"/>
        <v>3.0945388078617908</v>
      </c>
      <c r="Y10" s="1115">
        <f t="shared" si="9"/>
        <v>4.3134239507887751</v>
      </c>
      <c r="Z10" s="1115">
        <f t="shared" si="9"/>
        <v>3.9665319224824414</v>
      </c>
      <c r="AA10" s="1115">
        <f t="shared" si="9"/>
        <v>3.9764903202443636</v>
      </c>
      <c r="AB10" s="1115">
        <f t="shared" si="9"/>
        <v>4.9353738145373915</v>
      </c>
      <c r="AC10" s="1115">
        <f>+(AC7/AB7-1)*100</f>
        <v>3.8909751369404999</v>
      </c>
      <c r="AD10" s="1427">
        <f ca="1">OFFSET('VVP1'!$G$35,0,5*(COLUMN()-7))</f>
        <v>3.5</v>
      </c>
      <c r="AE10" s="1427">
        <f ca="1">OFFSET('VVP1'!$G$35,0,5*(COLUMN()-7))</f>
        <v>3.3</v>
      </c>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row>
    <row r="11" spans="1:94">
      <c r="AB11" s="557"/>
      <c r="AC11" s="557"/>
      <c r="AD11" s="557"/>
      <c r="AE11" s="557"/>
    </row>
    <row r="12" spans="1:94">
      <c r="A12" s="1130"/>
      <c r="D12" s="1175"/>
      <c r="E12" s="1129" t="s">
        <v>1574</v>
      </c>
      <c r="F12" s="1176"/>
      <c r="G12" s="707">
        <f>+InputY!$G$3</f>
        <v>1995</v>
      </c>
      <c r="H12" s="707">
        <f>+G12+1</f>
        <v>1996</v>
      </c>
      <c r="I12" s="707">
        <f t="shared" ref="I12:O12" si="10">+H12+1</f>
        <v>1997</v>
      </c>
      <c r="J12" s="707">
        <f t="shared" si="10"/>
        <v>1998</v>
      </c>
      <c r="K12" s="707">
        <f t="shared" si="10"/>
        <v>1999</v>
      </c>
      <c r="L12" s="707">
        <f t="shared" si="10"/>
        <v>2000</v>
      </c>
      <c r="M12" s="707">
        <f t="shared" si="10"/>
        <v>2001</v>
      </c>
      <c r="N12" s="707">
        <f t="shared" si="10"/>
        <v>2002</v>
      </c>
      <c r="O12" s="707">
        <f t="shared" si="10"/>
        <v>2003</v>
      </c>
      <c r="P12" s="707">
        <f t="shared" ref="P12:V12" si="11">+O12+1</f>
        <v>2004</v>
      </c>
      <c r="Q12" s="707">
        <f t="shared" si="11"/>
        <v>2005</v>
      </c>
      <c r="R12" s="707">
        <f t="shared" si="11"/>
        <v>2006</v>
      </c>
      <c r="S12" s="707">
        <f>+R12+1</f>
        <v>2007</v>
      </c>
      <c r="T12" s="707">
        <f t="shared" si="11"/>
        <v>2008</v>
      </c>
      <c r="U12" s="707">
        <f t="shared" si="11"/>
        <v>2009</v>
      </c>
      <c r="V12" s="707">
        <f t="shared" si="11"/>
        <v>2010</v>
      </c>
      <c r="W12" s="707">
        <f t="shared" ref="W12:AE12" si="12">+V12+1</f>
        <v>2011</v>
      </c>
      <c r="X12" s="707">
        <f t="shared" si="12"/>
        <v>2012</v>
      </c>
      <c r="Y12" s="707">
        <f t="shared" si="12"/>
        <v>2013</v>
      </c>
      <c r="Z12" s="707">
        <f t="shared" si="12"/>
        <v>2014</v>
      </c>
      <c r="AA12" s="707">
        <f t="shared" si="12"/>
        <v>2015</v>
      </c>
      <c r="AB12" s="707">
        <f t="shared" si="12"/>
        <v>2016</v>
      </c>
      <c r="AC12" s="707">
        <f t="shared" si="12"/>
        <v>2017</v>
      </c>
      <c r="AD12" s="707">
        <f t="shared" si="12"/>
        <v>2018</v>
      </c>
      <c r="AE12" s="707">
        <f t="shared" si="12"/>
        <v>2019</v>
      </c>
    </row>
    <row r="13" spans="1:94">
      <c r="A13" s="664">
        <f>+ROW(InputY!A22)</f>
        <v>22</v>
      </c>
      <c r="B13" s="665" t="s">
        <v>246</v>
      </c>
      <c r="C13" s="1082" t="s">
        <v>1769</v>
      </c>
      <c r="D13" s="1086"/>
      <c r="E13" s="1087" t="s">
        <v>821</v>
      </c>
      <c r="F13" s="1089" t="s">
        <v>533</v>
      </c>
      <c r="G13" s="1088">
        <f>+InputY!G22/1000</f>
        <v>4.6696599057177908</v>
      </c>
      <c r="H13" s="1088">
        <f>+InputY!H22/1000</f>
        <v>4.6368703517540855</v>
      </c>
      <c r="I13" s="1088">
        <f>+InputY!I22/1000</f>
        <v>4.7952674096872592</v>
      </c>
      <c r="J13" s="1088">
        <f>+InputY!J22/1000</f>
        <v>5.03578041451786</v>
      </c>
      <c r="K13" s="1088">
        <f>+InputY!K22/1000</f>
        <v>4.8132083975837627</v>
      </c>
      <c r="L13" s="1088">
        <f>+InputY!L22/1000</f>
        <v>4.8239639312963334</v>
      </c>
      <c r="M13" s="1088">
        <f>+InputY!M22/1000</f>
        <v>4.8895965698279795</v>
      </c>
      <c r="N13" s="1088">
        <f>+InputY!N22/1000</f>
        <v>5.0098510133738872</v>
      </c>
      <c r="O13" s="1088">
        <f>+InputY!O22/1000</f>
        <v>5.1560925064067895</v>
      </c>
      <c r="P13" s="1088">
        <f>+InputY!P22/1000</f>
        <v>5.3929600000000004</v>
      </c>
      <c r="Q13" s="1088">
        <f>+InputY!Q22/1000</f>
        <v>5.5848100000000001</v>
      </c>
      <c r="R13" s="1088">
        <f>+InputY!R22/1000</f>
        <v>5.7023000000000001</v>
      </c>
      <c r="S13" s="1088">
        <f>+InputY!S22/1000</f>
        <v>5.80783</v>
      </c>
      <c r="T13" s="1088">
        <f>+InputY!T22/1000</f>
        <v>5.8215300000000001</v>
      </c>
      <c r="U13" s="1088">
        <f>+InputY!U22/1000</f>
        <v>5.7450100000000006</v>
      </c>
      <c r="V13" s="1088">
        <f>+InputY!V22/1000</f>
        <v>5.5633800000000004</v>
      </c>
      <c r="W13" s="1088">
        <f>+InputY!W22/1000</f>
        <v>5.5435799999999995</v>
      </c>
      <c r="X13" s="1088">
        <f>+InputY!X22/1000</f>
        <v>5.6148299999999995</v>
      </c>
      <c r="Y13" s="1088">
        <f>+InputY!Y22/1000</f>
        <v>5.6554099999999998</v>
      </c>
      <c r="Z13" s="1088">
        <f>+InputY!Z22/1000</f>
        <v>5.6716600000000001</v>
      </c>
      <c r="AA13" s="1088">
        <f>+InputY!AA22/1000</f>
        <v>5.6809799999999999</v>
      </c>
      <c r="AB13" s="1088">
        <f>+InputY!AB22/1000</f>
        <v>5.7543999999999995</v>
      </c>
      <c r="AC13" s="1088">
        <f>+InputY!AC22/1000</f>
        <v>5.8210899999999999</v>
      </c>
      <c r="AD13" s="1343">
        <f ca="1">+AC13*(1+AD16/100)</f>
        <v>5.9165558759999994</v>
      </c>
      <c r="AE13" s="1343">
        <f ca="1">+AD13*(1+AE16/100)</f>
        <v>6.0076708364903997</v>
      </c>
    </row>
    <row r="14" spans="1:94">
      <c r="AB14" s="557"/>
      <c r="AC14" s="557"/>
      <c r="AD14" s="557"/>
      <c r="AE14" s="557"/>
    </row>
    <row r="15" spans="1:94" s="699" customFormat="1" ht="12.75" customHeight="1">
      <c r="A15" s="664"/>
      <c r="B15" s="664"/>
      <c r="C15" s="774"/>
      <c r="D15" s="1092"/>
      <c r="E15" s="1093" t="s">
        <v>240</v>
      </c>
      <c r="F15" s="1094"/>
      <c r="G15" s="896">
        <f>+InputY!$G$3</f>
        <v>1995</v>
      </c>
      <c r="H15" s="896">
        <f>+G15+1</f>
        <v>1996</v>
      </c>
      <c r="I15" s="896">
        <f t="shared" ref="I15:O15" si="13">+H15+1</f>
        <v>1997</v>
      </c>
      <c r="J15" s="896">
        <f t="shared" si="13"/>
        <v>1998</v>
      </c>
      <c r="K15" s="896">
        <f t="shared" si="13"/>
        <v>1999</v>
      </c>
      <c r="L15" s="896">
        <f t="shared" si="13"/>
        <v>2000</v>
      </c>
      <c r="M15" s="896">
        <f t="shared" si="13"/>
        <v>2001</v>
      </c>
      <c r="N15" s="896">
        <f t="shared" si="13"/>
        <v>2002</v>
      </c>
      <c r="O15" s="896">
        <f t="shared" si="13"/>
        <v>2003</v>
      </c>
      <c r="P15" s="896">
        <f t="shared" ref="P15:V15" si="14">+O15+1</f>
        <v>2004</v>
      </c>
      <c r="Q15" s="896">
        <f t="shared" si="14"/>
        <v>2005</v>
      </c>
      <c r="R15" s="896">
        <f t="shared" si="14"/>
        <v>2006</v>
      </c>
      <c r="S15" s="896">
        <f>+R15+1</f>
        <v>2007</v>
      </c>
      <c r="T15" s="896">
        <f t="shared" si="14"/>
        <v>2008</v>
      </c>
      <c r="U15" s="896">
        <f t="shared" si="14"/>
        <v>2009</v>
      </c>
      <c r="V15" s="896">
        <f t="shared" si="14"/>
        <v>2010</v>
      </c>
      <c r="W15" s="896">
        <f t="shared" ref="W15:AE15" si="15">+V15+1</f>
        <v>2011</v>
      </c>
      <c r="X15" s="896">
        <f t="shared" si="15"/>
        <v>2012</v>
      </c>
      <c r="Y15" s="896">
        <f t="shared" si="15"/>
        <v>2013</v>
      </c>
      <c r="Z15" s="896">
        <f t="shared" si="15"/>
        <v>2014</v>
      </c>
      <c r="AA15" s="896">
        <f t="shared" si="15"/>
        <v>2015</v>
      </c>
      <c r="AB15" s="896">
        <f t="shared" si="15"/>
        <v>2016</v>
      </c>
      <c r="AC15" s="896">
        <f t="shared" si="15"/>
        <v>2017</v>
      </c>
      <c r="AD15" s="896">
        <f t="shared" si="15"/>
        <v>2018</v>
      </c>
      <c r="AE15" s="896">
        <f t="shared" si="15"/>
        <v>2019</v>
      </c>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row>
    <row r="16" spans="1:94" s="699" customFormat="1" ht="12.75" customHeight="1">
      <c r="A16" s="664"/>
      <c r="B16" s="664"/>
      <c r="C16" s="798" t="s">
        <v>1769</v>
      </c>
      <c r="D16" s="833"/>
      <c r="E16" s="834" t="s">
        <v>821</v>
      </c>
      <c r="F16" s="1114" t="s">
        <v>533</v>
      </c>
      <c r="G16" s="1115"/>
      <c r="H16" s="1115">
        <f>(H13/G13-1)*100</f>
        <v>-0.70218291322577953</v>
      </c>
      <c r="I16" s="1115">
        <f t="shared" ref="I16:AC16" si="16">(I13/H13-1)*100</f>
        <v>3.4160337882479963</v>
      </c>
      <c r="J16" s="1115">
        <f t="shared" si="16"/>
        <v>5.0156327954667068</v>
      </c>
      <c r="K16" s="1115">
        <f t="shared" si="16"/>
        <v>-4.4198117990299046</v>
      </c>
      <c r="L16" s="1115">
        <f t="shared" si="16"/>
        <v>0.22345871660096606</v>
      </c>
      <c r="M16" s="1115">
        <f t="shared" si="16"/>
        <v>1.3605540892593027</v>
      </c>
      <c r="N16" s="1115">
        <f t="shared" si="16"/>
        <v>2.4593939771627937</v>
      </c>
      <c r="O16" s="1115">
        <f t="shared" si="16"/>
        <v>2.919078684026899</v>
      </c>
      <c r="P16" s="1115">
        <f t="shared" si="16"/>
        <v>4.5939341332392081</v>
      </c>
      <c r="Q16" s="1115">
        <f t="shared" si="16"/>
        <v>3.5574155936628493</v>
      </c>
      <c r="R16" s="1115">
        <f t="shared" si="16"/>
        <v>2.1037421147720448</v>
      </c>
      <c r="S16" s="1115">
        <f t="shared" si="16"/>
        <v>1.8506567525384376</v>
      </c>
      <c r="T16" s="1115">
        <f t="shared" si="16"/>
        <v>0.23588844714808044</v>
      </c>
      <c r="U16" s="1115">
        <f t="shared" si="16"/>
        <v>-1.3144310859859787</v>
      </c>
      <c r="V16" s="1115">
        <f t="shared" si="16"/>
        <v>-3.1615262636618624</v>
      </c>
      <c r="W16" s="1115">
        <f t="shared" si="16"/>
        <v>-0.35589875219742551</v>
      </c>
      <c r="X16" s="1115">
        <f t="shared" si="16"/>
        <v>1.2852705291526378</v>
      </c>
      <c r="Y16" s="1115">
        <f t="shared" si="16"/>
        <v>0.72272891610254408</v>
      </c>
      <c r="Z16" s="1115">
        <f t="shared" si="16"/>
        <v>0.28733548938097986</v>
      </c>
      <c r="AA16" s="1115">
        <f t="shared" si="16"/>
        <v>0.16432578821721222</v>
      </c>
      <c r="AB16" s="1115">
        <f t="shared" si="16"/>
        <v>1.2923826522888593</v>
      </c>
      <c r="AC16" s="1115">
        <f t="shared" si="16"/>
        <v>1.1589392464896431</v>
      </c>
      <c r="AD16" s="1427">
        <f ca="1">OFFSET('VVP1'!$G$50,0,5*(COLUMN()-7))</f>
        <v>1.64</v>
      </c>
      <c r="AE16" s="1427">
        <f ca="1">OFFSET('VVP1'!$G$50,0,5*(COLUMN()-7))</f>
        <v>1.54</v>
      </c>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row>
    <row r="17" spans="1:94">
      <c r="AB17" s="557"/>
      <c r="AC17" s="557"/>
      <c r="AD17" s="557"/>
      <c r="AE17" s="557"/>
    </row>
    <row r="18" spans="1:94">
      <c r="A18" s="1130"/>
      <c r="D18" s="1126"/>
      <c r="E18" s="1127" t="s">
        <v>489</v>
      </c>
      <c r="F18" s="1128"/>
      <c r="G18" s="707">
        <f>+InputY!$G$3</f>
        <v>1995</v>
      </c>
      <c r="H18" s="707">
        <f>+G18+1</f>
        <v>1996</v>
      </c>
      <c r="I18" s="707">
        <f t="shared" ref="I18:O18" si="17">+H18+1</f>
        <v>1997</v>
      </c>
      <c r="J18" s="707">
        <f t="shared" si="17"/>
        <v>1998</v>
      </c>
      <c r="K18" s="707">
        <f t="shared" si="17"/>
        <v>1999</v>
      </c>
      <c r="L18" s="707">
        <f t="shared" si="17"/>
        <v>2000</v>
      </c>
      <c r="M18" s="707">
        <f t="shared" si="17"/>
        <v>2001</v>
      </c>
      <c r="N18" s="707">
        <f t="shared" si="17"/>
        <v>2002</v>
      </c>
      <c r="O18" s="707">
        <f t="shared" si="17"/>
        <v>2003</v>
      </c>
      <c r="P18" s="707">
        <f t="shared" ref="P18:V18" si="18">+O18+1</f>
        <v>2004</v>
      </c>
      <c r="Q18" s="707">
        <f t="shared" si="18"/>
        <v>2005</v>
      </c>
      <c r="R18" s="707">
        <f t="shared" si="18"/>
        <v>2006</v>
      </c>
      <c r="S18" s="707">
        <f>+R18+1</f>
        <v>2007</v>
      </c>
      <c r="T18" s="707">
        <f t="shared" si="18"/>
        <v>2008</v>
      </c>
      <c r="U18" s="707">
        <f t="shared" si="18"/>
        <v>2009</v>
      </c>
      <c r="V18" s="707">
        <f t="shared" si="18"/>
        <v>2010</v>
      </c>
      <c r="W18" s="707">
        <f t="shared" ref="W18:AE18" si="19">+V18+1</f>
        <v>2011</v>
      </c>
      <c r="X18" s="707">
        <f t="shared" si="19"/>
        <v>2012</v>
      </c>
      <c r="Y18" s="707">
        <f t="shared" si="19"/>
        <v>2013</v>
      </c>
      <c r="Z18" s="707">
        <f t="shared" si="19"/>
        <v>2014</v>
      </c>
      <c r="AA18" s="707">
        <f t="shared" si="19"/>
        <v>2015</v>
      </c>
      <c r="AB18" s="707">
        <f t="shared" si="19"/>
        <v>2016</v>
      </c>
      <c r="AC18" s="707">
        <f t="shared" si="19"/>
        <v>2017</v>
      </c>
      <c r="AD18" s="707">
        <f t="shared" si="19"/>
        <v>2018</v>
      </c>
      <c r="AE18" s="707">
        <f t="shared" si="19"/>
        <v>2019</v>
      </c>
    </row>
    <row r="19" spans="1:94">
      <c r="A19" s="664"/>
      <c r="B19" s="664"/>
      <c r="C19" s="1079" t="s">
        <v>1767</v>
      </c>
      <c r="D19" s="1058" t="s">
        <v>687</v>
      </c>
      <c r="E19" s="1059" t="s">
        <v>644</v>
      </c>
      <c r="F19" s="1069" t="s">
        <v>2051</v>
      </c>
      <c r="G19" s="1054"/>
      <c r="H19" s="1054"/>
      <c r="I19" s="1054"/>
      <c r="J19" s="1054"/>
      <c r="K19" s="1054"/>
      <c r="L19" s="1054"/>
      <c r="M19" s="1054"/>
      <c r="N19" s="1054"/>
      <c r="O19" s="1054"/>
      <c r="P19" s="1054"/>
      <c r="Q19" s="1054"/>
      <c r="R19" s="1054"/>
      <c r="S19" s="1054"/>
      <c r="T19" s="1339"/>
      <c r="U19" s="1339"/>
      <c r="V19" s="1339"/>
      <c r="W19" s="1339"/>
      <c r="X19" s="1339"/>
      <c r="Y19" s="1339"/>
      <c r="Z19" s="1339"/>
      <c r="AA19" s="1339"/>
      <c r="AB19" s="1339"/>
      <c r="AC19" s="1339"/>
      <c r="AD19" s="1339"/>
      <c r="AE19" s="1339"/>
    </row>
    <row r="20" spans="1:94" ht="12.75" customHeight="1">
      <c r="A20" s="664"/>
      <c r="B20" s="664"/>
      <c r="C20" s="1080" t="s">
        <v>1767</v>
      </c>
      <c r="D20" s="1070" t="s">
        <v>1447</v>
      </c>
      <c r="E20" s="1" t="s">
        <v>644</v>
      </c>
      <c r="F20" s="1070" t="s">
        <v>2052</v>
      </c>
      <c r="G20" s="881"/>
      <c r="H20" s="881"/>
      <c r="I20" s="881"/>
      <c r="J20" s="881"/>
      <c r="K20" s="881"/>
      <c r="L20" s="881"/>
      <c r="M20" s="881"/>
      <c r="N20" s="881"/>
      <c r="O20" s="881"/>
      <c r="P20" s="881"/>
      <c r="Q20" s="881"/>
      <c r="R20" s="881"/>
      <c r="S20" s="881"/>
      <c r="T20" s="935"/>
      <c r="U20" s="935"/>
      <c r="V20" s="935"/>
      <c r="W20" s="935"/>
      <c r="X20" s="935"/>
      <c r="Y20" s="935"/>
      <c r="Z20" s="935"/>
      <c r="AA20" s="935"/>
      <c r="AB20" s="935"/>
      <c r="AC20" s="935"/>
      <c r="AD20" s="935"/>
      <c r="AE20" s="935"/>
    </row>
    <row r="21" spans="1:94">
      <c r="A21" s="664">
        <f>+ROW(InputY!A26)</f>
        <v>26</v>
      </c>
      <c r="C21" s="1080" t="s">
        <v>1769</v>
      </c>
      <c r="D21" s="1227"/>
      <c r="E21" s="1203" t="s">
        <v>644</v>
      </c>
      <c r="F21" s="1227" t="s">
        <v>2053</v>
      </c>
      <c r="G21" s="1350">
        <f>+InputY!G26/1000</f>
        <v>1.3115943202225908</v>
      </c>
      <c r="H21" s="1350">
        <f>+InputY!H26/1000</f>
        <v>1.3420618084337053</v>
      </c>
      <c r="I21" s="1350">
        <f>+InputY!I26/1000</f>
        <v>1.6852078551433667</v>
      </c>
      <c r="J21" s="1350">
        <f>+InputY!J26/1000</f>
        <v>2.1726808052469688</v>
      </c>
      <c r="K21" s="1350">
        <f>+InputY!K26/1000</f>
        <v>1.966098130141837</v>
      </c>
      <c r="L21" s="1350">
        <f>+InputY!L26/1000</f>
        <v>1.5593823777062492</v>
      </c>
      <c r="M21" s="1350">
        <f>+InputY!M26/1000</f>
        <v>1.7347496857093734</v>
      </c>
      <c r="N21" s="1350">
        <f>+InputY!N26/1000</f>
        <v>1.996798901676716</v>
      </c>
      <c r="O21" s="1350">
        <f>+InputY!O26/1000</f>
        <v>2.4058783630839802</v>
      </c>
      <c r="P21" s="1350">
        <f>+InputY!P26/1000</f>
        <v>2.3543799999999999</v>
      </c>
      <c r="Q21" s="1350">
        <f>+InputY!Q26/1000</f>
        <v>2.6811400000000001</v>
      </c>
      <c r="R21" s="1350">
        <f>+InputY!R26/1000</f>
        <v>3.27664</v>
      </c>
      <c r="S21" s="1350">
        <f>+InputY!S26/1000</f>
        <v>4.0243099999999998</v>
      </c>
      <c r="T21" s="1350">
        <f>+InputY!T26/1000</f>
        <v>3.8657499999999998</v>
      </c>
      <c r="U21" s="1350">
        <f>+InputY!U26/1000</f>
        <v>2.1477399999999998</v>
      </c>
      <c r="V21" s="1350">
        <f>+InputY!V26/1000</f>
        <v>2.18391</v>
      </c>
      <c r="W21" s="1350">
        <f>+InputY!W26/1000</f>
        <v>2.5793200000000001</v>
      </c>
      <c r="X21" s="1350">
        <f>+InputY!X26/1000</f>
        <v>2.4279299999999999</v>
      </c>
      <c r="Y21" s="1350">
        <f>+InputY!Y26/1000</f>
        <v>2.6005400000000001</v>
      </c>
      <c r="Z21" s="1350">
        <f>+InputY!Z26/1000</f>
        <v>2.76186</v>
      </c>
      <c r="AA21" s="1350">
        <f>+InputY!AA26/1000</f>
        <v>2.64608</v>
      </c>
      <c r="AB21" s="1350">
        <f>+InputY!AB26/1000</f>
        <v>2.3484400000000001</v>
      </c>
      <c r="AC21" s="1350">
        <f>+InputY!AC26/1000</f>
        <v>2.54996</v>
      </c>
      <c r="AD21" s="937">
        <f t="shared" ref="AD21:AE22" ca="1" si="20">+AC21*(1+AD35/100)</f>
        <v>2.7157073999999999</v>
      </c>
      <c r="AE21" s="937">
        <f t="shared" ca="1" si="20"/>
        <v>2.8487770625999995</v>
      </c>
    </row>
    <row r="22" spans="1:94">
      <c r="A22" s="664">
        <f>+ROW(InputY!A27)</f>
        <v>27</v>
      </c>
      <c r="B22" s="664" t="s">
        <v>2115</v>
      </c>
      <c r="C22" s="1080" t="s">
        <v>1767</v>
      </c>
      <c r="D22" s="3"/>
      <c r="E22" s="1" t="s">
        <v>1443</v>
      </c>
      <c r="F22" s="3" t="s">
        <v>2054</v>
      </c>
      <c r="G22" s="1062">
        <f>+InputY!G27/1000</f>
        <v>0.32495167570905742</v>
      </c>
      <c r="H22" s="1062">
        <f>+InputY!H27/1000</f>
        <v>0.32860923241274653</v>
      </c>
      <c r="I22" s="1062">
        <f>+InputY!I27/1000</f>
        <v>0.29151257971117422</v>
      </c>
      <c r="J22" s="1062">
        <f>+InputY!J27/1000</f>
        <v>0.27287298039364449</v>
      </c>
      <c r="K22" s="1062">
        <f>+InputY!K27/1000</f>
        <v>0.28873456250519625</v>
      </c>
      <c r="L22" s="1062">
        <f>+InputY!L27/1000</f>
        <v>0.31569161835579745</v>
      </c>
      <c r="M22" s="1062">
        <f>+InputY!M27/1000</f>
        <v>0.3044567459039032</v>
      </c>
      <c r="N22" s="1062">
        <f>+InputY!N27/1000</f>
        <v>0.27315841585327905</v>
      </c>
      <c r="O22" s="1062">
        <f>+InputY!O27/1000</f>
        <v>0.31246553385853276</v>
      </c>
      <c r="P22" s="1062">
        <f>+InputY!P27/1000</f>
        <v>0.52055999999999991</v>
      </c>
      <c r="Q22" s="1062">
        <f>+InputY!Q27/1000</f>
        <v>0.52045000000000008</v>
      </c>
      <c r="R22" s="1062">
        <f>+InputY!R27/1000</f>
        <v>0.63063999999999998</v>
      </c>
      <c r="S22" s="1062">
        <f>+InputY!S27/1000</f>
        <v>0.72447000000000006</v>
      </c>
      <c r="T22" s="1062">
        <f>+InputY!T27/1000</f>
        <v>0.90061999999999998</v>
      </c>
      <c r="U22" s="1062">
        <f>+InputY!U27/1000</f>
        <v>0.83604000000000001</v>
      </c>
      <c r="V22" s="1062">
        <f>+InputY!V27/1000</f>
        <v>0.58810000000000007</v>
      </c>
      <c r="W22" s="1062">
        <f>+InputY!W27/1000</f>
        <v>0.59386000000000005</v>
      </c>
      <c r="X22" s="1062">
        <f>+InputY!X27/1000</f>
        <v>0.60724999999999996</v>
      </c>
      <c r="Y22" s="1062">
        <f>+InputY!Y27/1000</f>
        <v>0.67723</v>
      </c>
      <c r="Z22" s="1062">
        <f>+InputY!Z27/1000</f>
        <v>0.79179999999999995</v>
      </c>
      <c r="AA22" s="1062">
        <f>+InputY!AA27/1000</f>
        <v>0.90967999999999993</v>
      </c>
      <c r="AB22" s="1062">
        <f>+InputY!AB27/1000</f>
        <v>0.97132000000000007</v>
      </c>
      <c r="AC22" s="1062">
        <f>+InputY!AC27/1000</f>
        <v>0.92654999999999998</v>
      </c>
      <c r="AD22" s="937">
        <f t="shared" ca="1" si="20"/>
        <v>0.95897924999999995</v>
      </c>
      <c r="AE22" s="937">
        <f t="shared" ca="1" si="20"/>
        <v>0.97624087649999991</v>
      </c>
    </row>
    <row r="23" spans="1:94" s="1" customFormat="1">
      <c r="A23" s="664">
        <f>+ROW(InputY!A28)</f>
        <v>28</v>
      </c>
      <c r="B23" s="903" t="s">
        <v>247</v>
      </c>
      <c r="C23" s="1080" t="s">
        <v>1769</v>
      </c>
      <c r="D23" s="3051"/>
      <c r="E23" s="3052" t="s">
        <v>1444</v>
      </c>
      <c r="F23" s="3053" t="s">
        <v>1306</v>
      </c>
      <c r="G23" s="1978">
        <f>+InputY!G28/1000</f>
        <v>1.6190095588807722</v>
      </c>
      <c r="H23" s="1978">
        <f>+InputY!H28/1000</f>
        <v>1.6529379548483158</v>
      </c>
      <c r="I23" s="1978">
        <f>+InputY!I28/1000</f>
        <v>1.9593138492375815</v>
      </c>
      <c r="J23" s="1978">
        <f>+InputY!J28/1000</f>
        <v>2.4245674102883901</v>
      </c>
      <c r="K23" s="1978">
        <f>+InputY!K28/1000</f>
        <v>2.2358684505520268</v>
      </c>
      <c r="L23" s="1978">
        <f>+InputY!L28/1000</f>
        <v>1.8605336857733581</v>
      </c>
      <c r="M23" s="1978">
        <f>+InputY!M28/1000</f>
        <v>2.0229319395980099</v>
      </c>
      <c r="N23" s="1978">
        <f>+InputY!N28/1000</f>
        <v>2.2515572021803245</v>
      </c>
      <c r="O23" s="1978">
        <f>+InputY!O28/1000</f>
        <v>2.6961932741995072</v>
      </c>
      <c r="P23" s="1978">
        <f>+InputY!P28/1000</f>
        <v>2.8533895999999999</v>
      </c>
      <c r="Q23" s="1978">
        <f>+InputY!Q28/1000</f>
        <v>3.1764906599999998</v>
      </c>
      <c r="R23" s="1978">
        <f>+InputY!R28/1000</f>
        <v>3.8765144100000004</v>
      </c>
      <c r="S23" s="1978">
        <f>+InputY!S28/1000</f>
        <v>4.7097032799999994</v>
      </c>
      <c r="T23" s="1978">
        <f>+InputY!T28/1000</f>
        <v>4.73909643</v>
      </c>
      <c r="U23" s="1978">
        <f>+InputY!U28/1000</f>
        <v>2.9853189599999999</v>
      </c>
      <c r="V23" s="1978">
        <f>+InputY!V28/1000</f>
        <v>2.7720100000000003</v>
      </c>
      <c r="W23" s="1978">
        <f>+InputY!W28/1000</f>
        <v>3.1731799999999999</v>
      </c>
      <c r="X23" s="1978">
        <f>+InputY!X28/1000</f>
        <v>3.0351158200000001</v>
      </c>
      <c r="Y23" s="1978">
        <f>+InputY!Y28/1000</f>
        <v>3.2775326599999999</v>
      </c>
      <c r="Z23" s="1978">
        <f>+InputY!Z28/1000</f>
        <v>3.5532021599999997</v>
      </c>
      <c r="AA23" s="1978">
        <f>+InputY!AA28/1000</f>
        <v>3.55615389</v>
      </c>
      <c r="AB23" s="1978">
        <f>+InputY!AB28/1000</f>
        <v>3.32091745</v>
      </c>
      <c r="AC23" s="1978">
        <f>+InputY!AC28/1000</f>
        <v>3.47156603</v>
      </c>
      <c r="AD23" s="3054">
        <f ca="1">IF(UPPER('VVP1'!$F$2)="Y",+AC23*(1+AD37/100),+AD21+AD22)</f>
        <v>3.6686017493853877</v>
      </c>
      <c r="AE23" s="3054">
        <f ca="1">IF(UPPER('VVP1'!$F$2)="Y",+AD23*(1+AE37/100),+AE21+AE22)</f>
        <v>3.81775834549742</v>
      </c>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row>
    <row r="24" spans="1:94" s="699" customFormat="1" ht="12.75" customHeight="1">
      <c r="A24" s="664"/>
      <c r="B24" s="664"/>
      <c r="C24" s="782"/>
      <c r="D24" s="1973"/>
      <c r="E24" s="1973" t="s">
        <v>737</v>
      </c>
      <c r="F24" s="1973"/>
      <c r="G24" s="1002"/>
      <c r="H24" s="1002">
        <f ca="1">ABS(IF('VVP1'!$F$2="Y",OFFSET('VVP1'!$G$60,0,5*(COLUMN()-7)+1)-OFFSET('VVP1'!$G$58,0,5*(COLUMN()-7)+1)-OFFSET('VVP1'!$G$59,0,5*(COLUMN()-7)+1),ABS(H23-H21-H22)))</f>
        <v>5.5511151231257827E-17</v>
      </c>
      <c r="I24" s="1002">
        <f ca="1">ABS(IF('VVP1'!$F$2="Y",OFFSET('VVP1'!$G$60,0,5*(COLUMN()-7)+1)-OFFSET('VVP1'!$G$58,0,5*(COLUMN()-7)+1)-OFFSET('VVP1'!$G$59,0,5*(COLUMN()-7)+1),ABS(I23-I21-I22)))</f>
        <v>5.5511151231257827E-17</v>
      </c>
      <c r="J24" s="1002">
        <f ca="1">ABS(IF('VVP1'!$F$2="Y",OFFSET('VVP1'!$G$60,0,5*(COLUMN()-7)+1)-OFFSET('VVP1'!$G$58,0,5*(COLUMN()-7)+1)-OFFSET('VVP1'!$G$59,0,5*(COLUMN()-7)+1),ABS(J23-J21-J22)))</f>
        <v>1.1102230246251565E-16</v>
      </c>
      <c r="K24" s="1002">
        <f ca="1">ABS(IF('VVP1'!$F$2="Y",OFFSET('VVP1'!$G$60,0,5*(COLUMN()-7)+1)-OFFSET('VVP1'!$G$58,0,5*(COLUMN()-7)+1)-OFFSET('VVP1'!$G$59,0,5*(COLUMN()-7)+1),ABS(K23-K21-K22)))</f>
        <v>2.7755575615628914E-17</v>
      </c>
      <c r="L24" s="1002">
        <f ca="1">ABS(IF('VVP1'!$F$2="Y",OFFSET('VVP1'!$G$60,0,5*(COLUMN()-7)+1)-OFFSET('VVP1'!$G$58,0,5*(COLUMN()-7)+1)-OFFSET('VVP1'!$G$59,0,5*(COLUMN()-7)+1),ABS(L23-L21-L22)))</f>
        <v>5.5511151231257827E-17</v>
      </c>
      <c r="M24" s="1002">
        <f ca="1">ABS(IF('VVP1'!$F$2="Y",OFFSET('VVP1'!$G$60,0,5*(COLUMN()-7)+1)-OFFSET('VVP1'!$G$58,0,5*(COLUMN()-7)+1)-OFFSET('VVP1'!$G$59,0,5*(COLUMN()-7)+1),ABS(M23-M21-M22)))</f>
        <v>8.3266726846886741E-17</v>
      </c>
      <c r="N24" s="1002">
        <f ca="1">ABS(IF('VVP1'!$F$2="Y",OFFSET('VVP1'!$G$60,0,5*(COLUMN()-7)+1)-OFFSET('VVP1'!$G$58,0,5*(COLUMN()-7)+1)-OFFSET('VVP1'!$G$59,0,5*(COLUMN()-7)+1),ABS(N23-N21-N22)))</f>
        <v>5.5511151231257827E-17</v>
      </c>
      <c r="O24" s="1002">
        <f ca="1">ABS(IF('VVP1'!$F$2="Y",OFFSET('VVP1'!$G$60,0,5*(COLUMN()-7)+1)-OFFSET('VVP1'!$G$58,0,5*(COLUMN()-7)+1)-OFFSET('VVP1'!$G$59,0,5*(COLUMN()-7)+1),ABS(O23-O21-O22)))</f>
        <v>0</v>
      </c>
      <c r="P24" s="1002">
        <f ca="1">ABS(IF('VVP1'!$F$2="Y",OFFSET('VVP1'!$G$60,0,5*(COLUMN()-7)+1)-OFFSET('VVP1'!$G$58,0,5*(COLUMN()-7)+1)-OFFSET('VVP1'!$G$59,0,5*(COLUMN()-7)+1),ABS(P23-P21-P22)))</f>
        <v>5.5511151231257827E-17</v>
      </c>
      <c r="Q24" s="1002">
        <f ca="1">ABS(IF('VVP1'!$F$2="Y",OFFSET('VVP1'!$G$60,0,5*(COLUMN()-7)+1)-OFFSET('VVP1'!$G$58,0,5*(COLUMN()-7)+1)-OFFSET('VVP1'!$G$59,0,5*(COLUMN()-7)+1),ABS(Q23-Q21-Q22)))</f>
        <v>1.6653345369377348E-16</v>
      </c>
      <c r="R24" s="1002">
        <f ca="1">ABS(IF('VVP1'!$F$2="Y",OFFSET('VVP1'!$G$60,0,5*(COLUMN()-7)+1)-OFFSET('VVP1'!$G$58,0,5*(COLUMN()-7)+1)-OFFSET('VVP1'!$G$59,0,5*(COLUMN()-7)+1),ABS(R23-R21-R22)))</f>
        <v>0</v>
      </c>
      <c r="S24" s="1002">
        <f ca="1">ABS(IF('VVP1'!$F$2="Y",OFFSET('VVP1'!$G$60,0,5*(COLUMN()-7)+1)-OFFSET('VVP1'!$G$58,0,5*(COLUMN()-7)+1)-OFFSET('VVP1'!$G$59,0,5*(COLUMN()-7)+1),ABS(S23-S21-S22)))</f>
        <v>4.4408920985006262E-16</v>
      </c>
      <c r="T24" s="2906">
        <f ca="1">ABS(IF('VVP1'!$F$2="Y",OFFSET('VVP1'!$G$60,0,5*(COLUMN()-7)+1)-OFFSET('VVP1'!$G$58,0,5*(COLUMN()-7)+1)-OFFSET('VVP1'!$G$59,0,5*(COLUMN()-7)+1),ABS(T23-T21-T22)))</f>
        <v>2.2204460492503131E-16</v>
      </c>
      <c r="U24" s="2906">
        <f ca="1">ABS(IF('VVP1'!$F$2="Y",OFFSET('VVP1'!$G$60,0,5*(COLUMN()-7)+1)-OFFSET('VVP1'!$G$58,0,5*(COLUMN()-7)+1)-OFFSET('VVP1'!$G$59,0,5*(COLUMN()-7)+1),ABS(U23-U21-U22)))</f>
        <v>2.2204460492503131E-16</v>
      </c>
      <c r="V24" s="2906">
        <f ca="1">ABS(IF('VVP1'!$F$2="Y",OFFSET('VVP1'!$G$60,0,5*(COLUMN()-7)+1)-OFFSET('VVP1'!$G$58,0,5*(COLUMN()-7)+1)-OFFSET('VVP1'!$G$59,0,5*(COLUMN()-7)+1),ABS(V23-V21-V22)))</f>
        <v>0</v>
      </c>
      <c r="W24" s="2906">
        <f ca="1">ABS(IF('VVP1'!$F$2="Y",OFFSET('VVP1'!$G$60,0,5*(COLUMN()-7)+1)-OFFSET('VVP1'!$G$58,0,5*(COLUMN()-7)+1)-OFFSET('VVP1'!$G$59,0,5*(COLUMN()-7)+1),ABS(W23-W21-W22)))</f>
        <v>1.1102230246251565E-16</v>
      </c>
      <c r="X24" s="2906">
        <f ca="1">ABS(IF('VVP1'!$F$2="Y",OFFSET('VVP1'!$G$60,0,5*(COLUMN()-7)+1)-OFFSET('VVP1'!$G$58,0,5*(COLUMN()-7)+1)-OFFSET('VVP1'!$G$59,0,5*(COLUMN()-7)+1),ABS(X23-X21-X22)))</f>
        <v>0</v>
      </c>
      <c r="Y24" s="2906">
        <f ca="1">ABS(IF('VVP1'!$F$2="Y",OFFSET('VVP1'!$G$60,0,5*(COLUMN()-7)+1)-OFFSET('VVP1'!$G$58,0,5*(COLUMN()-7)+1)-OFFSET('VVP1'!$G$59,0,5*(COLUMN()-7)+1),ABS(Y23-Y21-Y22)))</f>
        <v>0</v>
      </c>
      <c r="Z24" s="2906">
        <f ca="1">ABS(IF('VVP1'!$F$2="Y",OFFSET('VVP1'!$G$60,0,5*(COLUMN()-7)+1)-OFFSET('VVP1'!$G$58,0,5*(COLUMN()-7)+1)-OFFSET('VVP1'!$G$59,0,5*(COLUMN()-7)+1),ABS(Z23-Z21-Z22)))</f>
        <v>0</v>
      </c>
      <c r="AA24" s="2906">
        <f ca="1">ABS(IF('VVP1'!$F$2="Y",OFFSET('VVP1'!$G$60,0,5*(COLUMN()-7)+1)-OFFSET('VVP1'!$G$58,0,5*(COLUMN()-7)+1)-OFFSET('VVP1'!$G$59,0,5*(COLUMN()-7)+1),ABS(AA23-AA21-AA22)))</f>
        <v>0</v>
      </c>
      <c r="AB24" s="2906">
        <f ca="1">ABS(IF('VVP1'!$F$2="Y",OFFSET('VVP1'!$G$60,0,5*(COLUMN()-7)+1)-OFFSET('VVP1'!$G$58,0,5*(COLUMN()-7)+1)-OFFSET('VVP1'!$G$59,0,5*(COLUMN()-7)+1),ABS(AB23-AB21-AB22)))</f>
        <v>0</v>
      </c>
      <c r="AC24" s="2906">
        <f ca="1">ABS(IF('VVP1'!$F$2="Y",OFFSET('VVP1'!$G$60,0,5*(COLUMN()-7)+1)-OFFSET('VVP1'!$G$58,0,5*(COLUMN()-7)+1)-OFFSET('VVP1'!$G$59,0,5*(COLUMN()-7)+1),ABS(AC23-AC21-AC22)))</f>
        <v>0</v>
      </c>
      <c r="AD24" s="2906">
        <f ca="1">ABS(IF('VVP1'!$F$2="Y",OFFSET('VVP1'!$G$60,0,5*(COLUMN()-7)+1)-OFFSET('VVP1'!$G$58,0,5*(COLUMN()-7)+1)-OFFSET('VVP1'!$G$59,0,5*(COLUMN()-7)+1),ABS(AD23-AD21-AD22)))</f>
        <v>4.4408920985006262E-16</v>
      </c>
      <c r="AE24" s="2906">
        <f ca="1">ABS(IF('VVP1'!$F$2="Y",OFFSET('VVP1'!$G$60,0,5*(COLUMN()-7)+1)-OFFSET('VVP1'!$G$58,0,5*(COLUMN()-7)+1)-OFFSET('VVP1'!$G$59,0,5*(COLUMN()-7)+1),ABS(AE23-AE21-AE22)))</f>
        <v>2.2204460492503131E-16</v>
      </c>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row>
    <row r="25" spans="1:94" s="1" customFormat="1">
      <c r="A25" s="664"/>
      <c r="B25" s="903"/>
      <c r="C25" s="1080" t="s">
        <v>1767</v>
      </c>
      <c r="D25" s="3" t="s">
        <v>687</v>
      </c>
      <c r="E25" s="29" t="s">
        <v>1445</v>
      </c>
      <c r="F25" s="3" t="s">
        <v>2055</v>
      </c>
      <c r="G25" s="881"/>
      <c r="H25" s="881"/>
      <c r="I25" s="881"/>
      <c r="J25" s="881"/>
      <c r="K25" s="881"/>
      <c r="L25" s="881"/>
      <c r="M25" s="881"/>
      <c r="N25" s="881"/>
      <c r="O25" s="881"/>
      <c r="P25" s="881"/>
      <c r="Q25" s="881"/>
      <c r="R25" s="881"/>
      <c r="S25" s="881"/>
      <c r="T25" s="935"/>
      <c r="U25" s="935"/>
      <c r="V25" s="935"/>
      <c r="W25" s="935"/>
      <c r="X25" s="935"/>
      <c r="Y25" s="935"/>
      <c r="Z25" s="935"/>
      <c r="AA25" s="935"/>
      <c r="AB25" s="935"/>
      <c r="AC25" s="935"/>
      <c r="AD25" s="935"/>
      <c r="AE25" s="93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row>
    <row r="26" spans="1:94">
      <c r="A26" s="664"/>
      <c r="C26" s="1080" t="s">
        <v>1767</v>
      </c>
      <c r="D26" s="1070" t="s">
        <v>1447</v>
      </c>
      <c r="E26" s="1" t="s">
        <v>1445</v>
      </c>
      <c r="F26" s="3" t="s">
        <v>2056</v>
      </c>
      <c r="G26" s="881"/>
      <c r="H26" s="881"/>
      <c r="I26" s="881"/>
      <c r="J26" s="881"/>
      <c r="K26" s="881"/>
      <c r="L26" s="881"/>
      <c r="M26" s="881"/>
      <c r="N26" s="881"/>
      <c r="O26" s="881"/>
      <c r="P26" s="881"/>
      <c r="Q26" s="881"/>
      <c r="R26" s="881"/>
      <c r="S26" s="881"/>
      <c r="T26" s="935"/>
      <c r="U26" s="935"/>
      <c r="V26" s="935"/>
      <c r="W26" s="935"/>
      <c r="X26" s="935"/>
      <c r="Y26" s="935"/>
      <c r="Z26" s="935"/>
      <c r="AA26" s="935"/>
      <c r="AB26" s="935"/>
      <c r="AC26" s="935"/>
      <c r="AD26" s="935"/>
      <c r="AE26" s="935"/>
    </row>
    <row r="27" spans="1:94">
      <c r="A27" s="664">
        <f>+ROW(InputY!A32)</f>
        <v>32</v>
      </c>
      <c r="B27" s="665" t="s">
        <v>248</v>
      </c>
      <c r="C27" s="1081" t="s">
        <v>1769</v>
      </c>
      <c r="D27" s="1178"/>
      <c r="E27" s="1179" t="s">
        <v>1445</v>
      </c>
      <c r="F27" s="1178" t="s">
        <v>2057</v>
      </c>
      <c r="G27" s="1180">
        <f>+InputY!G32/1000</f>
        <v>0.3815659260843095</v>
      </c>
      <c r="H27" s="1180">
        <f>+InputY!H32/1000</f>
        <v>0.58096263770138623</v>
      </c>
      <c r="I27" s="1180">
        <f>+InputY!I32/1000</f>
        <v>0.79030878799724424</v>
      </c>
      <c r="J27" s="1180">
        <f>+InputY!J32/1000</f>
        <v>0.94076973320196788</v>
      </c>
      <c r="K27" s="1180">
        <f>+InputY!K32/1000</f>
        <v>0.90611563093673042</v>
      </c>
      <c r="L27" s="1180">
        <f>+InputY!L32/1000</f>
        <v>0.8851872596014283</v>
      </c>
      <c r="M27" s="1180">
        <f>+InputY!M32/1000</f>
        <v>1.0908286114701735</v>
      </c>
      <c r="N27" s="1180">
        <f>+InputY!N32/1000</f>
        <v>1.2016812946178161</v>
      </c>
      <c r="O27" s="1180">
        <f>+InputY!O32/1000</f>
        <v>1.2830974019518255</v>
      </c>
      <c r="P27" s="1180">
        <f>+InputY!P32/1000</f>
        <v>1.6984300000000001</v>
      </c>
      <c r="Q27" s="1180">
        <f>+InputY!Q32/1000</f>
        <v>1.9031</v>
      </c>
      <c r="R27" s="1180">
        <f>+InputY!R32/1000</f>
        <v>2.2276199999999999</v>
      </c>
      <c r="S27" s="1180">
        <f>+InputY!S32/1000</f>
        <v>2.74457</v>
      </c>
      <c r="T27" s="1180">
        <f>+InputY!T32/1000</f>
        <v>2.2654099999999997</v>
      </c>
      <c r="U27" s="1180">
        <f>+InputY!U32/1000</f>
        <v>1.1356300000000001</v>
      </c>
      <c r="V27" s="1180">
        <f>+InputY!V32/1000</f>
        <v>1.3708499999999999</v>
      </c>
      <c r="W27" s="1180">
        <f>+InputY!W32/1000</f>
        <v>1.8692</v>
      </c>
      <c r="X27" s="1180">
        <f>+InputY!X32/1000</f>
        <v>1.9083800000000002</v>
      </c>
      <c r="Y27" s="1180">
        <f>+InputY!Y32/1000</f>
        <v>2.1440399999999999</v>
      </c>
      <c r="Z27" s="1180">
        <f>+InputY!Z32/1000</f>
        <v>2.1395</v>
      </c>
      <c r="AA27" s="1180">
        <f>+InputY!AA32/1000</f>
        <v>2.42591</v>
      </c>
      <c r="AB27" s="1180">
        <f>+InputY!AB32/1000</f>
        <v>2.64364</v>
      </c>
      <c r="AC27" s="1180">
        <f>+InputY!AC32/1000</f>
        <v>2.8781099999999999</v>
      </c>
      <c r="AD27" s="1342">
        <f t="shared" ref="AD27:AE28" ca="1" si="21">+AC27*(1+AD40/100)</f>
        <v>3.1227493499999999</v>
      </c>
      <c r="AE27" s="1342">
        <f t="shared" ca="1" si="21"/>
        <v>3.2539048227</v>
      </c>
    </row>
    <row r="28" spans="1:94">
      <c r="A28" s="664">
        <f>+ROW(InputY!A36)</f>
        <v>36</v>
      </c>
      <c r="B28" s="664" t="s">
        <v>249</v>
      </c>
      <c r="C28" s="1082" t="s">
        <v>1769</v>
      </c>
      <c r="D28" s="1181"/>
      <c r="E28" s="1182" t="s">
        <v>1446</v>
      </c>
      <c r="F28" s="1181" t="s">
        <v>743</v>
      </c>
      <c r="G28" s="1183">
        <f>InputY!G36/1000</f>
        <v>0.17870962891620323</v>
      </c>
      <c r="H28" s="1183">
        <f>InputY!H36/1000</f>
        <v>0.19122122870124314</v>
      </c>
      <c r="I28" s="1183">
        <f>InputY!I36/1000</f>
        <v>0.21354097521811696</v>
      </c>
      <c r="J28" s="1183">
        <f>InputY!J36/1000</f>
        <v>0.22079562606606054</v>
      </c>
      <c r="K28" s="1183">
        <f>InputY!K36/1000</f>
        <v>0.21328139893084769</v>
      </c>
      <c r="L28" s="1183">
        <f>InputY!L36/1000</f>
        <v>0.31682018300097692</v>
      </c>
      <c r="M28" s="1183">
        <f>InputY!M36/1000</f>
        <v>0.30222830848678722</v>
      </c>
      <c r="N28" s="1183">
        <f>InputY!N36/1000</f>
        <v>0.32762564906547426</v>
      </c>
      <c r="O28" s="1183">
        <f>InputY!O36/1000</f>
        <v>0.33537245623674344</v>
      </c>
      <c r="P28" s="1183">
        <f>InputY!P36/1000</f>
        <v>0.35443999999999998</v>
      </c>
      <c r="Q28" s="1183">
        <f>InputY!Q36/1000</f>
        <v>0.38112000000000001</v>
      </c>
      <c r="R28" s="1183">
        <f>InputY!R36/1000</f>
        <v>0.42629</v>
      </c>
      <c r="S28" s="1183">
        <f>InputY!S36/1000</f>
        <v>0.52798</v>
      </c>
      <c r="T28" s="1183">
        <f>InputY!T36/1000</f>
        <v>0.63348000000000004</v>
      </c>
      <c r="U28" s="1183">
        <f>InputY!U36/1000</f>
        <v>0.53010999999999997</v>
      </c>
      <c r="V28" s="1183">
        <f>InputY!V36/1000</f>
        <v>0.58343999999999996</v>
      </c>
      <c r="W28" s="1183">
        <f>InputY!W36/1000</f>
        <v>0.63612000000000002</v>
      </c>
      <c r="X28" s="1183">
        <f>InputY!X36/1000</f>
        <v>0.63763000000000003</v>
      </c>
      <c r="Y28" s="1183">
        <f>InputY!Y36/1000</f>
        <v>0.61253000000000002</v>
      </c>
      <c r="Z28" s="1183">
        <f>InputY!Z36/1000</f>
        <v>0.68237999999999999</v>
      </c>
      <c r="AA28" s="1183">
        <f>InputY!AA36/1000</f>
        <v>0.72344000000000008</v>
      </c>
      <c r="AB28" s="1183">
        <f>InputY!AB36/1000</f>
        <v>0.73787000000000003</v>
      </c>
      <c r="AC28" s="1183">
        <f>InputY!AC36/1000</f>
        <v>0.85201000000000005</v>
      </c>
      <c r="AD28" s="1343">
        <f t="shared" ca="1" si="21"/>
        <v>0.90483462000000014</v>
      </c>
      <c r="AE28" s="1343">
        <f t="shared" ca="1" si="21"/>
        <v>0.94555217790000012</v>
      </c>
    </row>
    <row r="29" spans="1:94">
      <c r="A29" s="664">
        <f>+ROW(InputY!A38)</f>
        <v>38</v>
      </c>
      <c r="B29" s="665" t="s">
        <v>250</v>
      </c>
      <c r="C29" s="1083" t="s">
        <v>1448</v>
      </c>
      <c r="D29" s="1176"/>
      <c r="E29" s="1462" t="s">
        <v>376</v>
      </c>
      <c r="F29" s="1459" t="s">
        <v>850</v>
      </c>
      <c r="G29" s="1184">
        <f>InputY!G38/1000</f>
        <v>1.865646436592058</v>
      </c>
      <c r="H29" s="1184">
        <f>InputY!H38/1000</f>
        <v>2.2584049991717587</v>
      </c>
      <c r="I29" s="1184">
        <f>InputY!I38/1000</f>
        <v>2.8351920988674078</v>
      </c>
      <c r="J29" s="1184">
        <f>InputY!J38/1000</f>
        <v>3.4334187190510512</v>
      </c>
      <c r="K29" s="1184">
        <f>InputY!K38/1000</f>
        <v>3.2293318550454053</v>
      </c>
      <c r="L29" s="1184">
        <f>InputY!L38/1000</f>
        <v>2.9589150459905524</v>
      </c>
      <c r="M29" s="1184">
        <f>InputY!M38/1000</f>
        <v>3.3490744830283035</v>
      </c>
      <c r="N29" s="1184">
        <f>InputY!N38/1000</f>
        <v>3.7071301482966423</v>
      </c>
      <c r="O29" s="1184">
        <f>InputY!O38/1000</f>
        <v>4.2073312057982788</v>
      </c>
      <c r="P29" s="1184">
        <f>InputY!P38/1000</f>
        <v>4.8688700000000003</v>
      </c>
      <c r="Q29" s="1184">
        <f>InputY!Q38/1000</f>
        <v>5.4274300000000002</v>
      </c>
      <c r="R29" s="1184">
        <f>InputY!R38/1000</f>
        <v>6.49085</v>
      </c>
      <c r="S29" s="1184">
        <f>InputY!S38/1000</f>
        <v>7.9405400000000004</v>
      </c>
      <c r="T29" s="1184">
        <f>InputY!T38/1000</f>
        <v>7.6232100000000003</v>
      </c>
      <c r="U29" s="1184">
        <f>InputY!U38/1000</f>
        <v>4.6575800000000003</v>
      </c>
      <c r="V29" s="1184">
        <f>InputY!V38/1000</f>
        <v>4.7263000000000002</v>
      </c>
      <c r="W29" s="1184">
        <f>InputY!W38/1000</f>
        <v>5.67849</v>
      </c>
      <c r="X29" s="1184">
        <f>InputY!X38/1000</f>
        <v>5.5775100000000002</v>
      </c>
      <c r="Y29" s="1184">
        <f>InputY!Y38/1000</f>
        <v>6.0404200000000001</v>
      </c>
      <c r="Z29" s="1184">
        <f>InputY!Z38/1000</f>
        <v>6.3878599999999999</v>
      </c>
      <c r="AA29" s="1184">
        <f>InputY!AA38/1000</f>
        <v>6.6961700000000004</v>
      </c>
      <c r="AB29" s="1184">
        <f>InputY!AB38/1000</f>
        <v>6.6646400000000003</v>
      </c>
      <c r="AC29" s="1184">
        <f>InputY!AC38/1000</f>
        <v>7.1514100000000003</v>
      </c>
      <c r="AD29" s="1464">
        <f ca="1">IF(UPPER('VVP1'!$F$2)="Y",+AC29*(1+AD42/100),+AD27+AD28+AD23)</f>
        <v>7.6349943683294992</v>
      </c>
      <c r="AE29" s="1464">
        <f ca="1">IF(UPPER('VVP1'!$F$2)="Y",+AD29*(1+AE42/100),+AE27+AE28+AE23)</f>
        <v>7.9529721587317974</v>
      </c>
    </row>
    <row r="30" spans="1:94" s="699" customFormat="1" ht="12.75" customHeight="1">
      <c r="A30" s="664"/>
      <c r="B30" s="664"/>
      <c r="C30" s="774"/>
      <c r="D30" s="1973"/>
      <c r="E30" s="1973" t="s">
        <v>737</v>
      </c>
      <c r="F30" s="1973"/>
      <c r="G30" s="1002"/>
      <c r="H30" s="1002">
        <f ca="1">ABS(IF('VVP1'!$F$2="Y",OFFSET('VVP1'!$G$65,0,5*(COLUMN()-7)+1)-OFFSET('VVP1'!$G$60,0,5*(COLUMN()-7)+1)-OFFSET('VVP1'!$G$63,0,5*(COLUMN()-7)+1)-OFFSET('VVP1'!$G$64,0,5*(COLUMN()-7)+1),ABS(H29-H23-H27-H28)))</f>
        <v>9.7144514654701197E-17</v>
      </c>
      <c r="I30" s="1002">
        <f ca="1">ABS(IF('VVP1'!$F$2="Y",OFFSET('VVP1'!$G$65,0,5*(COLUMN()-7)+1)-OFFSET('VVP1'!$G$60,0,5*(COLUMN()-7)+1)-OFFSET('VVP1'!$G$63,0,5*(COLUMN()-7)+1)-OFFSET('VVP1'!$G$64,0,5*(COLUMN()-7)+1),ABS(I29-I23-I27-I28)))</f>
        <v>1.2490009027033011E-16</v>
      </c>
      <c r="J30" s="1002">
        <f ca="1">ABS(IF('VVP1'!$F$2="Y",OFFSET('VVP1'!$G$65,0,5*(COLUMN()-7)+1)-OFFSET('VVP1'!$G$60,0,5*(COLUMN()-7)+1)-OFFSET('VVP1'!$G$63,0,5*(COLUMN()-7)+1)-OFFSET('VVP1'!$G$64,0,5*(COLUMN()-7)+1),ABS(J29-J23-J27-J28)))</f>
        <v>1.9428902930940239E-16</v>
      </c>
      <c r="K30" s="1002">
        <f ca="1">ABS(IF('VVP1'!$F$2="Y",OFFSET('VVP1'!$G$65,0,5*(COLUMN()-7)+1)-OFFSET('VVP1'!$G$60,0,5*(COLUMN()-7)+1)-OFFSET('VVP1'!$G$63,0,5*(COLUMN()-7)+1)-OFFSET('VVP1'!$G$64,0,5*(COLUMN()-7)+1),ABS(K29-K23-K27-K28)))</f>
        <v>2.0816681711721685E-16</v>
      </c>
      <c r="L30" s="1002">
        <f ca="1">ABS(IF('VVP1'!$F$2="Y",OFFSET('VVP1'!$G$65,0,5*(COLUMN()-7)+1)-OFFSET('VVP1'!$G$60,0,5*(COLUMN()-7)+1)-OFFSET('VVP1'!$G$63,0,5*(COLUMN()-7)+1)-OFFSET('VVP1'!$G$64,0,5*(COLUMN()-7)+1),ABS(L29-L23-L27-L28)))</f>
        <v>2.2204460492503131E-16</v>
      </c>
      <c r="M30" s="1002">
        <f ca="1">ABS(IF('VVP1'!$F$2="Y",OFFSET('VVP1'!$G$65,0,5*(COLUMN()-7)+1)-OFFSET('VVP1'!$G$60,0,5*(COLUMN()-7)+1)-OFFSET('VVP1'!$G$63,0,5*(COLUMN()-7)+1)-OFFSET('VVP1'!$G$64,0,5*(COLUMN()-7)+1),ABS(M29-M23-M27-M28)))</f>
        <v>1.3877787807814457E-16</v>
      </c>
      <c r="N30" s="1002">
        <f ca="1">ABS(IF('VVP1'!$F$2="Y",OFFSET('VVP1'!$G$65,0,5*(COLUMN()-7)+1)-OFFSET('VVP1'!$G$60,0,5*(COLUMN()-7)+1)-OFFSET('VVP1'!$G$63,0,5*(COLUMN()-7)+1)-OFFSET('VVP1'!$G$64,0,5*(COLUMN()-7)+1),ABS(N29-N23-N27-N28)))</f>
        <v>2.4980018054066022E-16</v>
      </c>
      <c r="O30" s="1002">
        <f ca="1">ABS(IF('VVP1'!$F$2="Y",OFFSET('VVP1'!$G$65,0,5*(COLUMN()-7)+1)-OFFSET('VVP1'!$G$60,0,5*(COLUMN()-7)+1)-OFFSET('VVP1'!$G$63,0,5*(COLUMN()-7)+1)-OFFSET('VVP1'!$G$64,0,5*(COLUMN()-7)+1),ABS(O29-O23-O27-O28)))</f>
        <v>5.5511151231257827E-17</v>
      </c>
      <c r="P30" s="1002">
        <f ca="1">ABS(IF('VVP1'!$F$2="Y",OFFSET('VVP1'!$G$65,0,5*(COLUMN()-7)+1)-OFFSET('VVP1'!$G$60,0,5*(COLUMN()-7)+1)-OFFSET('VVP1'!$G$63,0,5*(COLUMN()-7)+1)-OFFSET('VVP1'!$G$64,0,5*(COLUMN()-7)+1),ABS(P29-P23-P27-P28)))</f>
        <v>1.9428902930940239E-16</v>
      </c>
      <c r="Q30" s="1002">
        <f ca="1">ABS(IF('VVP1'!$F$2="Y",OFFSET('VVP1'!$G$65,0,5*(COLUMN()-7)+1)-OFFSET('VVP1'!$G$60,0,5*(COLUMN()-7)+1)-OFFSET('VVP1'!$G$63,0,5*(COLUMN()-7)+1)-OFFSET('VVP1'!$G$64,0,5*(COLUMN()-7)+1),ABS(Q29-Q23-Q27-Q28)))</f>
        <v>3.8857805861880479E-16</v>
      </c>
      <c r="R30" s="1002">
        <f ca="1">ABS(IF('VVP1'!$F$2="Y",OFFSET('VVP1'!$G$65,0,5*(COLUMN()-7)+1)-OFFSET('VVP1'!$G$60,0,5*(COLUMN()-7)+1)-OFFSET('VVP1'!$G$63,0,5*(COLUMN()-7)+1)-OFFSET('VVP1'!$G$64,0,5*(COLUMN()-7)+1),ABS(R29-R23-R27-R28)))</f>
        <v>3.8857805861880479E-16</v>
      </c>
      <c r="S30" s="1002">
        <f ca="1">ABS(IF('VVP1'!$F$2="Y",OFFSET('VVP1'!$G$65,0,5*(COLUMN()-7)+1)-OFFSET('VVP1'!$G$60,0,5*(COLUMN()-7)+1)-OFFSET('VVP1'!$G$63,0,5*(COLUMN()-7)+1)-OFFSET('VVP1'!$G$64,0,5*(COLUMN()-7)+1),ABS(S29-S23-S27-S28)))</f>
        <v>2.2204460492503131E-16</v>
      </c>
      <c r="T30" s="2906">
        <f ca="1">ABS(IF('VVP1'!$F$2="Y",OFFSET('VVP1'!$G$65,0,5*(COLUMN()-7)+1)-OFFSET('VVP1'!$G$60,0,5*(COLUMN()-7)+1)-OFFSET('VVP1'!$G$63,0,5*(COLUMN()-7)+1)-OFFSET('VVP1'!$G$64,0,5*(COLUMN()-7)+1),ABS(T29-T23-T27-T28)))</f>
        <v>6.6613381477509392E-16</v>
      </c>
      <c r="U30" s="2906">
        <f ca="1">ABS(IF('VVP1'!$F$2="Y",OFFSET('VVP1'!$G$65,0,5*(COLUMN()-7)+1)-OFFSET('VVP1'!$G$60,0,5*(COLUMN()-7)+1)-OFFSET('VVP1'!$G$63,0,5*(COLUMN()-7)+1)-OFFSET('VVP1'!$G$64,0,5*(COLUMN()-7)+1),ABS(U29-U23-U27-U28)))</f>
        <v>1.1102230246251565E-16</v>
      </c>
      <c r="V30" s="2906">
        <f ca="1">ABS(IF('VVP1'!$F$2="Y",OFFSET('VVP1'!$G$65,0,5*(COLUMN()-7)+1)-OFFSET('VVP1'!$G$60,0,5*(COLUMN()-7)+1)-OFFSET('VVP1'!$G$63,0,5*(COLUMN()-7)+1)-OFFSET('VVP1'!$G$64,0,5*(COLUMN()-7)+1),ABS(V29-V23-V27-V28)))</f>
        <v>5.5511151231257827E-16</v>
      </c>
      <c r="W30" s="2906">
        <f ca="1">ABS(IF('VVP1'!$F$2="Y",OFFSET('VVP1'!$G$65,0,5*(COLUMN()-7)+1)-OFFSET('VVP1'!$G$60,0,5*(COLUMN()-7)+1)-OFFSET('VVP1'!$G$63,0,5*(COLUMN()-7)+1)-OFFSET('VVP1'!$G$64,0,5*(COLUMN()-7)+1),ABS(W29-W23-W27-W28)))</f>
        <v>1.1102230246251565E-16</v>
      </c>
      <c r="X30" s="2906">
        <f ca="1">ABS(IF('VVP1'!$F$2="Y",OFFSET('VVP1'!$G$65,0,5*(COLUMN()-7)+1)-OFFSET('VVP1'!$G$60,0,5*(COLUMN()-7)+1)-OFFSET('VVP1'!$G$63,0,5*(COLUMN()-7)+1)-OFFSET('VVP1'!$G$64,0,5*(COLUMN()-7)+1),ABS(X29-X23-X27-X28)))</f>
        <v>2.2204460492503131E-16</v>
      </c>
      <c r="Y30" s="2906">
        <f ca="1">ABS(IF('VVP1'!$F$2="Y",OFFSET('VVP1'!$G$65,0,5*(COLUMN()-7)+1)-OFFSET('VVP1'!$G$60,0,5*(COLUMN()-7)+1)-OFFSET('VVP1'!$G$63,0,5*(COLUMN()-7)+1)-OFFSET('VVP1'!$G$64,0,5*(COLUMN()-7)+1),ABS(Y29-Y23-Y27-Y28)))</f>
        <v>4.4408920985006262E-16</v>
      </c>
      <c r="Z30" s="2906">
        <f ca="1">ABS(IF('VVP1'!$F$2="Y",OFFSET('VVP1'!$G$65,0,5*(COLUMN()-7)+1)-OFFSET('VVP1'!$G$60,0,5*(COLUMN()-7)+1)-OFFSET('VVP1'!$G$63,0,5*(COLUMN()-7)+1)-OFFSET('VVP1'!$G$64,0,5*(COLUMN()-7)+1),ABS(Z29-Z23-Z27-Z28)))</f>
        <v>0</v>
      </c>
      <c r="AA30" s="2906">
        <f ca="1">ABS(IF('VVP1'!$F$2="Y",OFFSET('VVP1'!$G$65,0,5*(COLUMN()-7)+1)-OFFSET('VVP1'!$G$60,0,5*(COLUMN()-7)+1)-OFFSET('VVP1'!$G$63,0,5*(COLUMN()-7)+1)-OFFSET('VVP1'!$G$64,0,5*(COLUMN()-7)+1),ABS(AA29-AA23-AA27-AA28)))</f>
        <v>1.1102230246251565E-16</v>
      </c>
      <c r="AB30" s="2906">
        <f ca="1">ABS(IF('VVP1'!$F$2="Y",OFFSET('VVP1'!$G$65,0,5*(COLUMN()-7)+1)-OFFSET('VVP1'!$G$60,0,5*(COLUMN()-7)+1)-OFFSET('VVP1'!$G$63,0,5*(COLUMN()-7)+1)-OFFSET('VVP1'!$G$64,0,5*(COLUMN()-7)+1),ABS(AB29-AB23-AB27-AB28)))</f>
        <v>2.2204460492503131E-16</v>
      </c>
      <c r="AC30" s="2906">
        <f ca="1">ABS(IF('VVP1'!$F$2="Y",OFFSET('VVP1'!$G$65,0,5*(COLUMN()-7)+1)-OFFSET('VVP1'!$G$60,0,5*(COLUMN()-7)+1)-OFFSET('VVP1'!$G$63,0,5*(COLUMN()-7)+1)-OFFSET('VVP1'!$G$64,0,5*(COLUMN()-7)+1),ABS(AC29-AC23-AC27-AC28)))</f>
        <v>0</v>
      </c>
      <c r="AD30" s="2906">
        <f ca="1">ABS(IF('VVP1'!$F$2="Y",OFFSET('VVP1'!$G$65,0,5*(COLUMN()-7)+1)-OFFSET('VVP1'!$G$60,0,5*(COLUMN()-7)+1)-OFFSET('VVP1'!$G$63,0,5*(COLUMN()-7)+1)-OFFSET('VVP1'!$G$64,0,5*(COLUMN()-7)+1),ABS(AD29-AD23-AD27-AD28)))</f>
        <v>1.1102230246251565E-16</v>
      </c>
      <c r="AE30" s="2906">
        <f ca="1">ABS(IF('VVP1'!$F$2="Y",OFFSET('VVP1'!$G$65,0,5*(COLUMN()-7)+1)-OFFSET('VVP1'!$G$60,0,5*(COLUMN()-7)+1)-OFFSET('VVP1'!$G$63,0,5*(COLUMN()-7)+1)-OFFSET('VVP1'!$G$64,0,5*(COLUMN()-7)+1),ABS(AE29-AE23-AE27-AE28)))</f>
        <v>8.8817841970012523E-16</v>
      </c>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row>
    <row r="31" spans="1:94">
      <c r="AB31" s="557"/>
      <c r="AC31" s="557"/>
      <c r="AD31" s="557"/>
      <c r="AE31" s="557"/>
    </row>
    <row r="32" spans="1:94" s="699" customFormat="1" ht="12.75" customHeight="1">
      <c r="A32" s="664"/>
      <c r="B32" s="664"/>
      <c r="C32" s="774"/>
      <c r="D32" s="1092"/>
      <c r="E32" s="1093" t="s">
        <v>1586</v>
      </c>
      <c r="F32" s="744"/>
      <c r="G32" s="745">
        <f>+InputY!$G$3</f>
        <v>1995</v>
      </c>
      <c r="H32" s="745">
        <f>+G32+1</f>
        <v>1996</v>
      </c>
      <c r="I32" s="745">
        <f t="shared" ref="I32:O32" si="22">+H32+1</f>
        <v>1997</v>
      </c>
      <c r="J32" s="745">
        <f t="shared" si="22"/>
        <v>1998</v>
      </c>
      <c r="K32" s="745">
        <f t="shared" si="22"/>
        <v>1999</v>
      </c>
      <c r="L32" s="745">
        <f t="shared" si="22"/>
        <v>2000</v>
      </c>
      <c r="M32" s="745">
        <f t="shared" si="22"/>
        <v>2001</v>
      </c>
      <c r="N32" s="745">
        <f t="shared" si="22"/>
        <v>2002</v>
      </c>
      <c r="O32" s="745">
        <f t="shared" si="22"/>
        <v>2003</v>
      </c>
      <c r="P32" s="745">
        <f t="shared" ref="P32:V32" si="23">+O32+1</f>
        <v>2004</v>
      </c>
      <c r="Q32" s="745">
        <f t="shared" si="23"/>
        <v>2005</v>
      </c>
      <c r="R32" s="745">
        <f t="shared" si="23"/>
        <v>2006</v>
      </c>
      <c r="S32" s="745">
        <f>+R32+1</f>
        <v>2007</v>
      </c>
      <c r="T32" s="745">
        <f t="shared" si="23"/>
        <v>2008</v>
      </c>
      <c r="U32" s="745">
        <f t="shared" si="23"/>
        <v>2009</v>
      </c>
      <c r="V32" s="745">
        <f t="shared" si="23"/>
        <v>2010</v>
      </c>
      <c r="W32" s="745">
        <f t="shared" ref="W32:AE32" si="24">+V32+1</f>
        <v>2011</v>
      </c>
      <c r="X32" s="745">
        <f t="shared" si="24"/>
        <v>2012</v>
      </c>
      <c r="Y32" s="745">
        <f t="shared" si="24"/>
        <v>2013</v>
      </c>
      <c r="Z32" s="745">
        <f t="shared" si="24"/>
        <v>2014</v>
      </c>
      <c r="AA32" s="745">
        <f t="shared" si="24"/>
        <v>2015</v>
      </c>
      <c r="AB32" s="745">
        <f t="shared" si="24"/>
        <v>2016</v>
      </c>
      <c r="AC32" s="745">
        <f t="shared" si="24"/>
        <v>2017</v>
      </c>
      <c r="AD32" s="745">
        <f t="shared" si="24"/>
        <v>2018</v>
      </c>
      <c r="AE32" s="745">
        <f t="shared" si="24"/>
        <v>2019</v>
      </c>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row>
    <row r="33" spans="1:94" s="699" customFormat="1" ht="12.75" customHeight="1">
      <c r="A33" s="664"/>
      <c r="B33" s="664"/>
      <c r="C33" s="794" t="s">
        <v>1767</v>
      </c>
      <c r="D33" s="689" t="s">
        <v>687</v>
      </c>
      <c r="E33" s="738" t="s">
        <v>644</v>
      </c>
      <c r="F33" s="704" t="s">
        <v>2051</v>
      </c>
      <c r="G33" s="881"/>
      <c r="H33" s="881"/>
      <c r="I33" s="881"/>
      <c r="J33" s="881"/>
      <c r="K33" s="881"/>
      <c r="L33" s="881"/>
      <c r="M33" s="881"/>
      <c r="N33" s="881"/>
      <c r="O33" s="881"/>
      <c r="P33" s="881"/>
      <c r="Q33" s="881"/>
      <c r="R33" s="881"/>
      <c r="S33" s="881"/>
      <c r="T33" s="935"/>
      <c r="U33" s="935"/>
      <c r="V33" s="935"/>
      <c r="W33" s="935"/>
      <c r="X33" s="935"/>
      <c r="Y33" s="935"/>
      <c r="Z33" s="935"/>
      <c r="AA33" s="935"/>
      <c r="AB33" s="935"/>
      <c r="AC33" s="935"/>
      <c r="AD33" s="935"/>
      <c r="AE33" s="935"/>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row>
    <row r="34" spans="1:94">
      <c r="A34" s="664"/>
      <c r="B34" s="664"/>
      <c r="C34" s="1100" t="s">
        <v>1767</v>
      </c>
      <c r="D34" s="1070" t="s">
        <v>1447</v>
      </c>
      <c r="E34" s="1" t="s">
        <v>644</v>
      </c>
      <c r="F34" s="1070" t="s">
        <v>2052</v>
      </c>
      <c r="G34" s="881"/>
      <c r="H34" s="881"/>
      <c r="I34" s="881"/>
      <c r="J34" s="881"/>
      <c r="K34" s="881"/>
      <c r="L34" s="881"/>
      <c r="M34" s="881"/>
      <c r="N34" s="881"/>
      <c r="O34" s="881"/>
      <c r="P34" s="881"/>
      <c r="Q34" s="881"/>
      <c r="R34" s="881"/>
      <c r="S34" s="881"/>
      <c r="T34" s="935"/>
      <c r="U34" s="935"/>
      <c r="V34" s="935"/>
      <c r="W34" s="935"/>
      <c r="X34" s="935"/>
      <c r="Y34" s="935"/>
      <c r="Z34" s="935"/>
      <c r="AA34" s="935"/>
      <c r="AB34" s="935"/>
      <c r="AC34" s="935"/>
      <c r="AD34" s="935"/>
      <c r="AE34" s="935"/>
    </row>
    <row r="35" spans="1:94">
      <c r="A35" s="1130"/>
      <c r="C35" s="1100" t="s">
        <v>1769</v>
      </c>
      <c r="D35" s="1111"/>
      <c r="E35" s="1112" t="s">
        <v>644</v>
      </c>
      <c r="F35" s="1111" t="s">
        <v>2053</v>
      </c>
      <c r="G35" s="1113"/>
      <c r="H35" s="1113">
        <f>(H21/G21-1)*100</f>
        <v>2.322935357477296</v>
      </c>
      <c r="I35" s="1113">
        <f t="shared" ref="I35:T35" si="25">(I21/H21-1)*100</f>
        <v>25.568572516800891</v>
      </c>
      <c r="J35" s="1113">
        <f t="shared" si="25"/>
        <v>28.92657713502831</v>
      </c>
      <c r="K35" s="1113">
        <f t="shared" si="25"/>
        <v>-9.5081925797033779</v>
      </c>
      <c r="L35" s="1113">
        <f t="shared" si="25"/>
        <v>-20.686442156691676</v>
      </c>
      <c r="M35" s="1113">
        <f t="shared" si="25"/>
        <v>11.24594650486419</v>
      </c>
      <c r="N35" s="1113">
        <f t="shared" si="25"/>
        <v>15.105880584736099</v>
      </c>
      <c r="O35" s="1113">
        <f t="shared" si="25"/>
        <v>20.486763141934784</v>
      </c>
      <c r="P35" s="1113">
        <f t="shared" si="25"/>
        <v>-2.1405223087823555</v>
      </c>
      <c r="Q35" s="1113">
        <f t="shared" si="25"/>
        <v>13.878813105785825</v>
      </c>
      <c r="R35" s="1113">
        <f t="shared" si="25"/>
        <v>22.210701418053503</v>
      </c>
      <c r="S35" s="1113">
        <f t="shared" si="25"/>
        <v>22.818191806240542</v>
      </c>
      <c r="T35" s="1113">
        <f t="shared" si="25"/>
        <v>-3.9400543198709892</v>
      </c>
      <c r="U35" s="1113">
        <f t="shared" ref="U35:AC35" si="26">(U21/T21-1)*100</f>
        <v>-44.441828881846988</v>
      </c>
      <c r="V35" s="1113">
        <f t="shared" si="26"/>
        <v>1.684095840278621</v>
      </c>
      <c r="W35" s="1113">
        <f t="shared" si="26"/>
        <v>18.105599589726683</v>
      </c>
      <c r="X35" s="1113">
        <f t="shared" si="26"/>
        <v>-5.8693764247941367</v>
      </c>
      <c r="Y35" s="1113">
        <f t="shared" si="26"/>
        <v>7.1093482925784546</v>
      </c>
      <c r="Z35" s="1113">
        <f t="shared" si="26"/>
        <v>6.2033270013151176</v>
      </c>
      <c r="AA35" s="1113">
        <f t="shared" si="26"/>
        <v>-4.1921024237289384</v>
      </c>
      <c r="AB35" s="1113">
        <f t="shared" si="26"/>
        <v>-11.24833716289757</v>
      </c>
      <c r="AC35" s="1113">
        <f t="shared" si="26"/>
        <v>8.5810154826182483</v>
      </c>
      <c r="AD35" s="1423">
        <f ca="1">OFFSET('VVP1'!$G$58,0,5*(COLUMN()-7))</f>
        <v>6.5</v>
      </c>
      <c r="AE35" s="1423">
        <f ca="1">OFFSET('VVP1'!$G$58,0,5*(COLUMN()-7))</f>
        <v>4.9000000000000004</v>
      </c>
    </row>
    <row r="36" spans="1:94">
      <c r="A36" s="664"/>
      <c r="B36" s="664"/>
      <c r="C36" s="1100" t="s">
        <v>1767</v>
      </c>
      <c r="D36" s="3"/>
      <c r="E36" s="1" t="s">
        <v>1443</v>
      </c>
      <c r="F36" s="3" t="s">
        <v>2054</v>
      </c>
      <c r="G36" s="1062"/>
      <c r="H36" s="1062">
        <f>(H22/G22-1)*100</f>
        <v>1.1255694237329861</v>
      </c>
      <c r="I36" s="1062">
        <f t="shared" ref="I36:AC36" si="27">(I22/H22-1)*100</f>
        <v>-11.288986748545582</v>
      </c>
      <c r="J36" s="1062">
        <f t="shared" si="27"/>
        <v>-6.394097755917616</v>
      </c>
      <c r="K36" s="1062">
        <f t="shared" si="27"/>
        <v>5.8128078817734075</v>
      </c>
      <c r="L36" s="1062">
        <f t="shared" si="27"/>
        <v>9.3362760650159693</v>
      </c>
      <c r="M36" s="1062">
        <f t="shared" si="27"/>
        <v>-3.5588123974935826</v>
      </c>
      <c r="N36" s="1062">
        <f t="shared" si="27"/>
        <v>-10.280057995661219</v>
      </c>
      <c r="O36" s="1062">
        <f t="shared" si="27"/>
        <v>14.389861605569809</v>
      </c>
      <c r="P36" s="1062">
        <f t="shared" si="27"/>
        <v>66.597574321806931</v>
      </c>
      <c r="Q36" s="1062">
        <f t="shared" si="27"/>
        <v>-2.1131089595782804E-2</v>
      </c>
      <c r="R36" s="1062">
        <f t="shared" si="27"/>
        <v>21.172062638101629</v>
      </c>
      <c r="S36" s="1062">
        <f t="shared" si="27"/>
        <v>14.878536090320949</v>
      </c>
      <c r="T36" s="1062">
        <f t="shared" si="27"/>
        <v>24.314326335113922</v>
      </c>
      <c r="U36" s="1062">
        <f t="shared" si="27"/>
        <v>-7.1706157980058194</v>
      </c>
      <c r="V36" s="1062">
        <f t="shared" si="27"/>
        <v>-29.656475766709722</v>
      </c>
      <c r="W36" s="1062">
        <f t="shared" si="27"/>
        <v>0.97942526781158445</v>
      </c>
      <c r="X36" s="1062">
        <f t="shared" si="27"/>
        <v>2.2547401744518636</v>
      </c>
      <c r="Y36" s="1062">
        <f t="shared" si="27"/>
        <v>11.5240839851791</v>
      </c>
      <c r="Z36" s="1062">
        <f t="shared" si="27"/>
        <v>16.917443113860877</v>
      </c>
      <c r="AA36" s="1062">
        <f t="shared" si="27"/>
        <v>14.887597878252091</v>
      </c>
      <c r="AB36" s="1062">
        <f t="shared" si="27"/>
        <v>6.7760091460733696</v>
      </c>
      <c r="AC36" s="1062">
        <f t="shared" si="27"/>
        <v>-4.6091916155335149</v>
      </c>
      <c r="AD36" s="1423">
        <f ca="1">OFFSET('VVP1'!$G$59,0,5*(COLUMN()-7))</f>
        <v>3.5</v>
      </c>
      <c r="AE36" s="1423">
        <f ca="1">OFFSET('VVP1'!$G$59,0,5*(COLUMN()-7))</f>
        <v>1.8</v>
      </c>
    </row>
    <row r="37" spans="1:94">
      <c r="A37" s="1130"/>
      <c r="C37" s="979" t="s">
        <v>1769</v>
      </c>
      <c r="D37" s="1101"/>
      <c r="E37" s="1469" t="s">
        <v>1444</v>
      </c>
      <c r="F37" s="1101" t="s">
        <v>1306</v>
      </c>
      <c r="G37" s="1103"/>
      <c r="H37" s="1103">
        <f>(H23/G23-1)*100</f>
        <v>2.0956266614632346</v>
      </c>
      <c r="I37" s="1103">
        <f t="shared" ref="I37:AC37" si="28">(I23/H23-1)*100</f>
        <v>18.53523258332952</v>
      </c>
      <c r="J37" s="1103">
        <f t="shared" si="28"/>
        <v>23.745739419534573</v>
      </c>
      <c r="K37" s="1103">
        <f t="shared" si="28"/>
        <v>-7.7827887538057139</v>
      </c>
      <c r="L37" s="1103">
        <f t="shared" si="28"/>
        <v>-16.786978888941341</v>
      </c>
      <c r="M37" s="1103">
        <f t="shared" si="28"/>
        <v>8.7285844414662463</v>
      </c>
      <c r="N37" s="1103">
        <f t="shared" si="28"/>
        <v>11.30167842560963</v>
      </c>
      <c r="O37" s="1103">
        <f t="shared" si="28"/>
        <v>19.747935854732603</v>
      </c>
      <c r="P37" s="1103">
        <f t="shared" si="28"/>
        <v>5.8303062805155959</v>
      </c>
      <c r="Q37" s="1103">
        <f t="shared" si="28"/>
        <v>11.323411986922505</v>
      </c>
      <c r="R37" s="1103">
        <f t="shared" si="28"/>
        <v>22.037645468789147</v>
      </c>
      <c r="S37" s="1103">
        <f t="shared" si="28"/>
        <v>21.493248363805218</v>
      </c>
      <c r="T37" s="1103">
        <f t="shared" si="28"/>
        <v>0.62409770324216574</v>
      </c>
      <c r="U37" s="1103">
        <f t="shared" si="28"/>
        <v>-37.006579121244009</v>
      </c>
      <c r="V37" s="1103">
        <f t="shared" si="28"/>
        <v>-7.1452653086020561</v>
      </c>
      <c r="W37" s="1103">
        <f t="shared" si="28"/>
        <v>14.472170013816665</v>
      </c>
      <c r="X37" s="1103">
        <f t="shared" si="28"/>
        <v>-4.3509722108421078</v>
      </c>
      <c r="Y37" s="1103">
        <f t="shared" si="28"/>
        <v>7.9870704901139344</v>
      </c>
      <c r="Z37" s="1103">
        <f t="shared" si="28"/>
        <v>8.41088491243287</v>
      </c>
      <c r="AA37" s="1103">
        <f t="shared" si="28"/>
        <v>8.3072391242722254E-2</v>
      </c>
      <c r="AB37" s="1103">
        <f t="shared" si="28"/>
        <v>-6.6149117073220909</v>
      </c>
      <c r="AC37" s="1103">
        <f t="shared" si="28"/>
        <v>4.5363542535512336</v>
      </c>
      <c r="AD37" s="1465">
        <f ca="1">IF(UPPER('VVP1'!$F$2)="Y",OFFSET('VVP1'!$G$60,0,5*(COLUMN()-7)),('VVP2'!AD23/'VVP2'!AC23-1)*100)</f>
        <v>5.6757013314071347</v>
      </c>
      <c r="AE37" s="1465">
        <f ca="1">IF(UPPER('VVP1'!$F$2)="Y",OFFSET('VVP1'!$G$60,0,5*(COLUMN()-7)),('VVP2'!AE23/'VVP2'!AD23-1)*100)</f>
        <v>4.065761461761852</v>
      </c>
    </row>
    <row r="38" spans="1:94">
      <c r="A38" s="1130"/>
      <c r="C38" s="1104" t="s">
        <v>1767</v>
      </c>
      <c r="D38" s="1105" t="s">
        <v>687</v>
      </c>
      <c r="E38" s="1106" t="s">
        <v>1445</v>
      </c>
      <c r="F38" s="1105" t="s">
        <v>2055</v>
      </c>
      <c r="G38" s="987"/>
      <c r="H38" s="987"/>
      <c r="I38" s="987"/>
      <c r="J38" s="987"/>
      <c r="K38" s="987"/>
      <c r="L38" s="987"/>
      <c r="M38" s="987"/>
      <c r="N38" s="987"/>
      <c r="O38" s="987"/>
      <c r="P38" s="987"/>
      <c r="Q38" s="987"/>
      <c r="R38" s="987"/>
      <c r="S38" s="987"/>
      <c r="T38" s="988"/>
      <c r="U38" s="988"/>
      <c r="V38" s="988"/>
      <c r="W38" s="988"/>
      <c r="X38" s="988"/>
      <c r="Y38" s="988"/>
      <c r="Z38" s="988"/>
      <c r="AA38" s="988"/>
      <c r="AB38" s="988"/>
      <c r="AC38" s="988"/>
      <c r="AD38" s="988"/>
      <c r="AE38" s="988"/>
    </row>
    <row r="39" spans="1:94">
      <c r="A39" s="1130"/>
      <c r="C39" s="1100" t="s">
        <v>1767</v>
      </c>
      <c r="D39" s="1070" t="s">
        <v>1447</v>
      </c>
      <c r="E39" s="1" t="s">
        <v>1445</v>
      </c>
      <c r="F39" s="3" t="s">
        <v>2056</v>
      </c>
      <c r="G39" s="881"/>
      <c r="H39" s="881"/>
      <c r="I39" s="881"/>
      <c r="J39" s="881"/>
      <c r="K39" s="881"/>
      <c r="L39" s="881"/>
      <c r="M39" s="881"/>
      <c r="N39" s="881"/>
      <c r="O39" s="881"/>
      <c r="P39" s="881"/>
      <c r="Q39" s="881"/>
      <c r="R39" s="881"/>
      <c r="S39" s="881"/>
      <c r="T39" s="935"/>
      <c r="U39" s="935"/>
      <c r="V39" s="935"/>
      <c r="W39" s="935"/>
      <c r="X39" s="935"/>
      <c r="Y39" s="935"/>
      <c r="Z39" s="935"/>
      <c r="AA39" s="935"/>
      <c r="AB39" s="935"/>
      <c r="AC39" s="935"/>
      <c r="AD39" s="935"/>
      <c r="AE39" s="935"/>
    </row>
    <row r="40" spans="1:94">
      <c r="A40" s="1130"/>
      <c r="C40" s="979" t="s">
        <v>1769</v>
      </c>
      <c r="D40" s="1101"/>
      <c r="E40" s="1102" t="s">
        <v>1445</v>
      </c>
      <c r="F40" s="1101" t="s">
        <v>2057</v>
      </c>
      <c r="G40" s="1103"/>
      <c r="H40" s="1103">
        <f>(H27/G27-1)*100</f>
        <v>52.257473213952196</v>
      </c>
      <c r="I40" s="1103">
        <f t="shared" ref="I40:AC40" si="29">(I27/H27-1)*100</f>
        <v>36.034356894988747</v>
      </c>
      <c r="J40" s="1103">
        <f t="shared" si="29"/>
        <v>19.038247769712036</v>
      </c>
      <c r="K40" s="1103">
        <f t="shared" si="29"/>
        <v>-3.6835902604232529</v>
      </c>
      <c r="L40" s="1103">
        <f t="shared" si="29"/>
        <v>-2.309679981313939</v>
      </c>
      <c r="M40" s="1103">
        <f t="shared" si="29"/>
        <v>23.231395350328366</v>
      </c>
      <c r="N40" s="1103">
        <f t="shared" si="29"/>
        <v>10.162245652709823</v>
      </c>
      <c r="O40" s="1103">
        <f t="shared" si="29"/>
        <v>6.7751830455098361</v>
      </c>
      <c r="P40" s="1103">
        <f t="shared" si="29"/>
        <v>32.369529968370124</v>
      </c>
      <c r="Q40" s="1103">
        <f t="shared" si="29"/>
        <v>12.050540793556387</v>
      </c>
      <c r="R40" s="1103">
        <f t="shared" si="29"/>
        <v>17.052178025327102</v>
      </c>
      <c r="S40" s="1103">
        <f t="shared" si="29"/>
        <v>23.206381698853495</v>
      </c>
      <c r="T40" s="1103">
        <f t="shared" si="29"/>
        <v>-17.458472547612203</v>
      </c>
      <c r="U40" s="1103">
        <f t="shared" si="29"/>
        <v>-49.870884299089333</v>
      </c>
      <c r="V40" s="1103">
        <f t="shared" si="29"/>
        <v>20.712732139869484</v>
      </c>
      <c r="W40" s="1103">
        <f t="shared" si="29"/>
        <v>36.353357405988994</v>
      </c>
      <c r="X40" s="1103">
        <f t="shared" si="29"/>
        <v>2.0960838861545206</v>
      </c>
      <c r="Y40" s="1103">
        <f t="shared" si="29"/>
        <v>12.348693656399657</v>
      </c>
      <c r="Z40" s="1103">
        <f t="shared" si="29"/>
        <v>-0.21174978078767337</v>
      </c>
      <c r="AA40" s="1103">
        <f t="shared" si="29"/>
        <v>13.386772610423003</v>
      </c>
      <c r="AB40" s="1103">
        <f t="shared" si="29"/>
        <v>8.9751886920784294</v>
      </c>
      <c r="AC40" s="1103">
        <f t="shared" si="29"/>
        <v>8.8692106338230658</v>
      </c>
      <c r="AD40" s="1424">
        <f ca="1">OFFSET('VVP1'!$G$63,0,5*(COLUMN()-7))</f>
        <v>8.5</v>
      </c>
      <c r="AE40" s="1424">
        <f ca="1">OFFSET('VVP1'!$G$63,0,5*(COLUMN()-7))</f>
        <v>4.2</v>
      </c>
    </row>
    <row r="41" spans="1:94">
      <c r="A41" s="664"/>
      <c r="B41" s="664"/>
      <c r="C41" s="1107" t="s">
        <v>1769</v>
      </c>
      <c r="D41" s="1108"/>
      <c r="E41" s="1109" t="s">
        <v>1446</v>
      </c>
      <c r="F41" s="1108" t="s">
        <v>743</v>
      </c>
      <c r="G41" s="1110"/>
      <c r="H41" s="1110">
        <f>(H28/G28-1)*100</f>
        <v>7.0010775921349966</v>
      </c>
      <c r="I41" s="1110">
        <f t="shared" ref="I41:AC41" si="30">(I28/H28-1)*100</f>
        <v>11.672211641179953</v>
      </c>
      <c r="J41" s="1110">
        <f t="shared" si="30"/>
        <v>3.3973109097837018</v>
      </c>
      <c r="K41" s="1110">
        <f t="shared" si="30"/>
        <v>-3.4032499959780194</v>
      </c>
      <c r="L41" s="1110">
        <f t="shared" si="30"/>
        <v>48.545623101290538</v>
      </c>
      <c r="M41" s="1110">
        <f t="shared" si="30"/>
        <v>-4.6057275694915916</v>
      </c>
      <c r="N41" s="1110">
        <f t="shared" si="30"/>
        <v>8.4033625790541642</v>
      </c>
      <c r="O41" s="1110">
        <f t="shared" si="30"/>
        <v>2.3645301255766471</v>
      </c>
      <c r="P41" s="1110">
        <f t="shared" si="30"/>
        <v>5.6854829335765578</v>
      </c>
      <c r="Q41" s="1110">
        <f t="shared" si="30"/>
        <v>7.527367114321204</v>
      </c>
      <c r="R41" s="1110">
        <f t="shared" si="30"/>
        <v>11.851910159529799</v>
      </c>
      <c r="S41" s="1110">
        <f t="shared" si="30"/>
        <v>23.854652935794874</v>
      </c>
      <c r="T41" s="1110">
        <f t="shared" si="30"/>
        <v>19.981817493086872</v>
      </c>
      <c r="U41" s="1110">
        <f t="shared" si="30"/>
        <v>-16.317800088400592</v>
      </c>
      <c r="V41" s="1110">
        <f t="shared" si="30"/>
        <v>10.060176189847381</v>
      </c>
      <c r="W41" s="1110">
        <f t="shared" si="30"/>
        <v>9.0292060880296177</v>
      </c>
      <c r="X41" s="1110">
        <f t="shared" si="30"/>
        <v>0.23737659561089419</v>
      </c>
      <c r="Y41" s="1110">
        <f t="shared" si="30"/>
        <v>-3.9364521744585379</v>
      </c>
      <c r="Z41" s="1110">
        <f t="shared" si="30"/>
        <v>11.403523092746482</v>
      </c>
      <c r="AA41" s="1110">
        <f t="shared" si="30"/>
        <v>6.0171751809842133</v>
      </c>
      <c r="AB41" s="1110">
        <f t="shared" si="30"/>
        <v>1.9946367355965888</v>
      </c>
      <c r="AC41" s="1110">
        <f t="shared" si="30"/>
        <v>15.468849526339334</v>
      </c>
      <c r="AD41" s="1425">
        <f ca="1">OFFSET('VVP1'!$G$64,0,5*(COLUMN()-7))</f>
        <v>6.2</v>
      </c>
      <c r="AE41" s="1425">
        <f ca="1">OFFSET('VVP1'!$G$64,0,5*(COLUMN()-7))</f>
        <v>4.5</v>
      </c>
    </row>
    <row r="42" spans="1:94">
      <c r="A42" s="1130"/>
      <c r="C42" s="1083" t="s">
        <v>1448</v>
      </c>
      <c r="D42" s="1097"/>
      <c r="E42" s="1470" t="s">
        <v>376</v>
      </c>
      <c r="F42" s="1097" t="s">
        <v>850</v>
      </c>
      <c r="G42" s="1099"/>
      <c r="H42" s="1099">
        <f>(H29/G29-1)*100</f>
        <v>21.052143368447961</v>
      </c>
      <c r="I42" s="1099">
        <f t="shared" ref="I42:AC42" si="31">(I29/H29-1)*100</f>
        <v>25.539577706707984</v>
      </c>
      <c r="J42" s="1099">
        <f t="shared" si="31"/>
        <v>21.100038350932927</v>
      </c>
      <c r="K42" s="1099">
        <f t="shared" si="31"/>
        <v>-5.9441297641102402</v>
      </c>
      <c r="L42" s="1099">
        <f t="shared" si="31"/>
        <v>-8.3737695967158743</v>
      </c>
      <c r="M42" s="1099">
        <f t="shared" si="31"/>
        <v>13.18589520055442</v>
      </c>
      <c r="N42" s="1099">
        <f t="shared" si="31"/>
        <v>10.691182506773567</v>
      </c>
      <c r="O42" s="1099">
        <f t="shared" si="31"/>
        <v>13.492945688229208</v>
      </c>
      <c r="P42" s="1099">
        <f t="shared" si="31"/>
        <v>15.723477944641729</v>
      </c>
      <c r="Q42" s="1099">
        <f t="shared" si="31"/>
        <v>11.472066413767458</v>
      </c>
      <c r="R42" s="1099">
        <f t="shared" si="31"/>
        <v>19.593435567110017</v>
      </c>
      <c r="S42" s="1099">
        <f t="shared" si="31"/>
        <v>22.334362987898349</v>
      </c>
      <c r="T42" s="1099">
        <f t="shared" si="31"/>
        <v>-3.9963277056724089</v>
      </c>
      <c r="U42" s="1099">
        <f>(U29/T29-1)*100</f>
        <v>-38.902640751074678</v>
      </c>
      <c r="V42" s="1099">
        <f t="shared" si="31"/>
        <v>1.4754443294586528</v>
      </c>
      <c r="W42" s="1099">
        <f t="shared" si="31"/>
        <v>20.146626325032258</v>
      </c>
      <c r="X42" s="1099">
        <f t="shared" si="31"/>
        <v>-1.7782896509459301</v>
      </c>
      <c r="Y42" s="1099">
        <f t="shared" si="31"/>
        <v>8.2995817129866154</v>
      </c>
      <c r="Z42" s="1099">
        <f t="shared" si="31"/>
        <v>5.75191791299281</v>
      </c>
      <c r="AA42" s="1099">
        <f t="shared" si="31"/>
        <v>4.8264990153196852</v>
      </c>
      <c r="AB42" s="1099">
        <f t="shared" si="31"/>
        <v>-0.47086618171282568</v>
      </c>
      <c r="AC42" s="1099">
        <f t="shared" si="31"/>
        <v>7.3037703461852344</v>
      </c>
      <c r="AD42" s="1466">
        <f ca="1">IF(UPPER('VVP1'!$F$2)="Y",OFFSET('VVP1'!$G$65,0,5*(COLUMN()-7)),('VVP2'!AD29/'VVP2'!AC29-1)*100)</f>
        <v>6.762084236947663</v>
      </c>
      <c r="AE42" s="1466">
        <f ca="1">IF(UPPER('VVP1'!$F$2)="Y",OFFSET('VVP1'!$G$65,0,5*(COLUMN()-7)),('VVP2'!AE29/'VVP2'!AD29-1)*100)</f>
        <v>4.1647416495982359</v>
      </c>
    </row>
    <row r="43" spans="1:94">
      <c r="AB43" s="557"/>
      <c r="AC43" s="557"/>
      <c r="AD43" s="557"/>
      <c r="AE43" s="557"/>
    </row>
    <row r="44" spans="1:94">
      <c r="A44" s="1130"/>
      <c r="D44" s="1175"/>
      <c r="E44" s="1129" t="s">
        <v>498</v>
      </c>
      <c r="F44" s="1176"/>
      <c r="G44" s="707">
        <f>+InputY!$G$3</f>
        <v>1995</v>
      </c>
      <c r="H44" s="707">
        <f>+G44+1</f>
        <v>1996</v>
      </c>
      <c r="I44" s="707">
        <f t="shared" ref="I44:O44" si="32">+H44+1</f>
        <v>1997</v>
      </c>
      <c r="J44" s="707">
        <f t="shared" si="32"/>
        <v>1998</v>
      </c>
      <c r="K44" s="707">
        <f t="shared" si="32"/>
        <v>1999</v>
      </c>
      <c r="L44" s="707">
        <f t="shared" si="32"/>
        <v>2000</v>
      </c>
      <c r="M44" s="707">
        <f t="shared" si="32"/>
        <v>2001</v>
      </c>
      <c r="N44" s="707">
        <f t="shared" si="32"/>
        <v>2002</v>
      </c>
      <c r="O44" s="707">
        <f t="shared" si="32"/>
        <v>2003</v>
      </c>
      <c r="P44" s="707">
        <f t="shared" ref="P44:V44" si="33">+O44+1</f>
        <v>2004</v>
      </c>
      <c r="Q44" s="707">
        <f t="shared" si="33"/>
        <v>2005</v>
      </c>
      <c r="R44" s="707">
        <f t="shared" si="33"/>
        <v>2006</v>
      </c>
      <c r="S44" s="707">
        <f>+R44+1</f>
        <v>2007</v>
      </c>
      <c r="T44" s="707">
        <f t="shared" si="33"/>
        <v>2008</v>
      </c>
      <c r="U44" s="707">
        <f t="shared" si="33"/>
        <v>2009</v>
      </c>
      <c r="V44" s="707">
        <f t="shared" si="33"/>
        <v>2010</v>
      </c>
      <c r="W44" s="707">
        <f t="shared" ref="W44:AE44" si="34">+V44+1</f>
        <v>2011</v>
      </c>
      <c r="X44" s="707">
        <f t="shared" si="34"/>
        <v>2012</v>
      </c>
      <c r="Y44" s="707">
        <f t="shared" si="34"/>
        <v>2013</v>
      </c>
      <c r="Z44" s="707">
        <f t="shared" si="34"/>
        <v>2014</v>
      </c>
      <c r="AA44" s="707">
        <f t="shared" si="34"/>
        <v>2015</v>
      </c>
      <c r="AB44" s="707">
        <f t="shared" si="34"/>
        <v>2016</v>
      </c>
      <c r="AC44" s="707">
        <f t="shared" si="34"/>
        <v>2017</v>
      </c>
      <c r="AD44" s="707">
        <f t="shared" si="34"/>
        <v>2018</v>
      </c>
      <c r="AE44" s="707">
        <f t="shared" si="34"/>
        <v>2019</v>
      </c>
    </row>
    <row r="45" spans="1:94">
      <c r="A45" s="664">
        <f>+ROW(InputY!A216)</f>
        <v>216</v>
      </c>
      <c r="B45" s="665" t="s">
        <v>257</v>
      </c>
      <c r="C45" s="1082" t="s">
        <v>1767</v>
      </c>
      <c r="D45" s="1086" t="s">
        <v>687</v>
      </c>
      <c r="E45" s="1087" t="s">
        <v>376</v>
      </c>
      <c r="F45" s="1089" t="s">
        <v>1855</v>
      </c>
      <c r="G45" s="1088">
        <f>+InputY!G216/1000</f>
        <v>0.25110055607043558</v>
      </c>
      <c r="H45" s="1088">
        <f>+InputY!H216/1000</f>
        <v>0.23111677479147361</v>
      </c>
      <c r="I45" s="1088">
        <f>+InputY!I216/1000</f>
        <v>0.26558155699721964</v>
      </c>
      <c r="J45" s="1088">
        <f>+InputY!J216/1000</f>
        <v>0.3295875810936052</v>
      </c>
      <c r="K45" s="1088">
        <f>+InputY!K216/1000</f>
        <v>0.32611214087117701</v>
      </c>
      <c r="L45" s="1088">
        <f>+InputY!L216/1000</f>
        <v>0.31858202038924932</v>
      </c>
      <c r="M45" s="1088">
        <f>+InputY!M216/1000</f>
        <v>0.31742354031510661</v>
      </c>
      <c r="N45" s="1088">
        <f>+InputY!N216/1000</f>
        <v>0.43703660797034294</v>
      </c>
      <c r="O45" s="1088">
        <f>+InputY!O216/1000</f>
        <v>0.49582947173308622</v>
      </c>
      <c r="P45" s="1088">
        <f>+InputY!P216/1000</f>
        <v>0.6345574606116775</v>
      </c>
      <c r="Q45" s="1088">
        <f>+InputY!Q216/1000</f>
        <v>0.8365380365115147</v>
      </c>
      <c r="R45" s="1088">
        <f>+InputY!R216/1000</f>
        <v>1.0698689956331877</v>
      </c>
      <c r="S45" s="1088">
        <f>+InputY!S216/1000</f>
        <v>1.5041622811214235</v>
      </c>
      <c r="T45" s="1088">
        <f>+InputY!T216/1000</f>
        <v>1.5750922310971023</v>
      </c>
      <c r="U45" s="1088">
        <f>+InputY!U216/1000</f>
        <v>1.1511947639518221</v>
      </c>
      <c r="V45" s="1088">
        <f>+InputY!V216/1000</f>
        <v>1.391</v>
      </c>
      <c r="W45" s="1088">
        <f>+InputY!W216/1000</f>
        <v>1.4527488286660053</v>
      </c>
      <c r="X45" s="1088">
        <f>+InputY!X216/1000</f>
        <v>1.2777767070749897</v>
      </c>
      <c r="Y45" s="1088">
        <f>+InputY!Y216/1000</f>
        <v>1.224955783681605</v>
      </c>
      <c r="Z45" s="1088">
        <f>+InputY!Z216/1000</f>
        <v>1.1868310777684246</v>
      </c>
      <c r="AA45" s="1088">
        <f>+InputY!AA216/1000</f>
        <v>1.2569245113991625</v>
      </c>
      <c r="AB45" s="1088">
        <f>+InputY!AB216/1000</f>
        <v>1.0515189619667233</v>
      </c>
      <c r="AC45" s="1343">
        <f ca="1">+AB45*(1+AC48/100)</f>
        <v>1.0830645308257252</v>
      </c>
      <c r="AD45" s="1343">
        <f ca="1">+AC45*(1+AD48/100)</f>
        <v>1.1517308220800762</v>
      </c>
      <c r="AE45" s="1343">
        <f ca="1">+AD45*(1+AE48/100)</f>
        <v>1.2035587090736795</v>
      </c>
    </row>
    <row r="46" spans="1:94">
      <c r="H46" s="1444"/>
      <c r="AB46" s="557"/>
      <c r="AC46" s="557"/>
      <c r="AD46" s="557"/>
      <c r="AE46" s="557"/>
    </row>
    <row r="47" spans="1:94" s="699" customFormat="1" ht="12.75" customHeight="1">
      <c r="A47" s="664"/>
      <c r="B47" s="664"/>
      <c r="C47" s="774"/>
      <c r="D47" s="1092"/>
      <c r="E47" s="1093" t="s">
        <v>1587</v>
      </c>
      <c r="F47" s="1094"/>
      <c r="G47" s="896">
        <f>+InputY!$G$3</f>
        <v>1995</v>
      </c>
      <c r="H47" s="896">
        <f>+G47+1</f>
        <v>1996</v>
      </c>
      <c r="I47" s="896">
        <f t="shared" ref="I47:O47" si="35">+H47+1</f>
        <v>1997</v>
      </c>
      <c r="J47" s="896">
        <f t="shared" si="35"/>
        <v>1998</v>
      </c>
      <c r="K47" s="896">
        <f t="shared" si="35"/>
        <v>1999</v>
      </c>
      <c r="L47" s="896">
        <f t="shared" si="35"/>
        <v>2000</v>
      </c>
      <c r="M47" s="896">
        <f t="shared" si="35"/>
        <v>2001</v>
      </c>
      <c r="N47" s="896">
        <f t="shared" si="35"/>
        <v>2002</v>
      </c>
      <c r="O47" s="896">
        <f t="shared" si="35"/>
        <v>2003</v>
      </c>
      <c r="P47" s="896">
        <f t="shared" ref="P47:V47" si="36">+O47+1</f>
        <v>2004</v>
      </c>
      <c r="Q47" s="896">
        <f t="shared" si="36"/>
        <v>2005</v>
      </c>
      <c r="R47" s="896">
        <f t="shared" si="36"/>
        <v>2006</v>
      </c>
      <c r="S47" s="896">
        <f>+R47+1</f>
        <v>2007</v>
      </c>
      <c r="T47" s="896">
        <f t="shared" si="36"/>
        <v>2008</v>
      </c>
      <c r="U47" s="896">
        <f t="shared" si="36"/>
        <v>2009</v>
      </c>
      <c r="V47" s="896">
        <f t="shared" si="36"/>
        <v>2010</v>
      </c>
      <c r="W47" s="896">
        <f t="shared" ref="W47:AE47" si="37">+V47+1</f>
        <v>2011</v>
      </c>
      <c r="X47" s="896">
        <f t="shared" si="37"/>
        <v>2012</v>
      </c>
      <c r="Y47" s="896">
        <f t="shared" si="37"/>
        <v>2013</v>
      </c>
      <c r="Z47" s="896">
        <f t="shared" si="37"/>
        <v>2014</v>
      </c>
      <c r="AA47" s="896">
        <f t="shared" si="37"/>
        <v>2015</v>
      </c>
      <c r="AB47" s="896">
        <f t="shared" si="37"/>
        <v>2016</v>
      </c>
      <c r="AC47" s="896">
        <f t="shared" si="37"/>
        <v>2017</v>
      </c>
      <c r="AD47" s="896">
        <f t="shared" si="37"/>
        <v>2018</v>
      </c>
      <c r="AE47" s="896">
        <f t="shared" si="37"/>
        <v>2019</v>
      </c>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row>
    <row r="48" spans="1:94" s="699" customFormat="1" ht="12.75" customHeight="1">
      <c r="A48" s="664"/>
      <c r="B48" s="664"/>
      <c r="C48" s="798" t="s">
        <v>1767</v>
      </c>
      <c r="D48" s="833" t="s">
        <v>687</v>
      </c>
      <c r="E48" s="834" t="s">
        <v>376</v>
      </c>
      <c r="F48" s="1114" t="s">
        <v>1855</v>
      </c>
      <c r="G48" s="1427">
        <f ca="1">OFFSET('VVP1'!$G$71,0,5*(COLUMN()-7))</f>
        <v>0</v>
      </c>
      <c r="H48" s="1427" t="e">
        <f ca="1">OFFSET('VVP1'!$G$71,0,5*(COLUMN()-7))</f>
        <v>#VALUE!</v>
      </c>
      <c r="I48" s="1427" t="e">
        <f ca="1">OFFSET('VVP1'!$G$71,0,5*(COLUMN()-7))</f>
        <v>#VALUE!</v>
      </c>
      <c r="J48" s="1427" t="e">
        <f ca="1">OFFSET('VVP1'!$G$71,0,5*(COLUMN()-7))</f>
        <v>#VALUE!</v>
      </c>
      <c r="K48" s="1427" t="e">
        <f ca="1">OFFSET('VVP1'!$G$71,0,5*(COLUMN()-7))</f>
        <v>#VALUE!</v>
      </c>
      <c r="L48" s="1427">
        <f ca="1">OFFSET('VVP1'!$G$71,0,5*(COLUMN()-7))</f>
        <v>-20.109579787634924</v>
      </c>
      <c r="M48" s="1427">
        <f ca="1">OFFSET('VVP1'!$G$71,0,5*(COLUMN()-7))</f>
        <v>6.8912200808358692</v>
      </c>
      <c r="N48" s="1427">
        <f ca="1">OFFSET('VVP1'!$G$71,0,5*(COLUMN()-7))</f>
        <v>49.52151328165364</v>
      </c>
      <c r="O48" s="1427">
        <f ca="1">OFFSET('VVP1'!$G$71,0,5*(COLUMN()-7))</f>
        <v>21.599324453991819</v>
      </c>
      <c r="P48" s="1427">
        <f ca="1">OFFSET('VVP1'!$G$71,0,5*(COLUMN()-7))</f>
        <v>37.283482198854891</v>
      </c>
      <c r="Q48" s="1427">
        <f ca="1">OFFSET('VVP1'!$G$71,0,5*(COLUMN()-7))</f>
        <v>23.296353434007266</v>
      </c>
      <c r="R48" s="1427">
        <f ca="1">OFFSET('VVP1'!$G$71,0,5*(COLUMN()-7))</f>
        <v>45.491152394296442</v>
      </c>
      <c r="S48" s="1427">
        <f ca="1">OFFSET('VVP1'!$G$71,0,5*(COLUMN()-7))</f>
        <v>63.54997432790892</v>
      </c>
      <c r="T48" s="1427">
        <f ca="1">OFFSET('VVP1'!$G$71,0,5*(COLUMN()-7))</f>
        <v>19.785433622793079</v>
      </c>
      <c r="U48" s="1427">
        <f ca="1">OFFSET('VVP1'!$G$71,0,5*(COLUMN()-7))</f>
        <v>-27.622237744881282</v>
      </c>
      <c r="V48" s="1427">
        <f ca="1">OFFSET('VVP1'!$G$71,0,5*(COLUMN()-7))</f>
        <v>14.11073646558869</v>
      </c>
      <c r="W48" s="1427">
        <f ca="1">OFFSET('VVP1'!$G$71,0,5*(COLUMN()-7))</f>
        <v>3.7544103234667059</v>
      </c>
      <c r="X48" s="1427">
        <f ca="1">OFFSET('VVP1'!$G$71,0,5*(COLUMN()-7))</f>
        <v>-12.52337447152383</v>
      </c>
      <c r="Y48" s="1427">
        <f ca="1">OFFSET('VVP1'!$G$71,0,5*(COLUMN()-7))</f>
        <v>-3.6784613622074303</v>
      </c>
      <c r="Z48" s="1427">
        <f ca="1">OFFSET('VVP1'!$G$71,0,5*(COLUMN()-7))</f>
        <v>-4.4133698202302512</v>
      </c>
      <c r="AA48" s="1427">
        <f ca="1">OFFSET('VVP1'!$G$71,0,5*(COLUMN()-7))</f>
        <v>4.5211434202917067</v>
      </c>
      <c r="AB48" s="1427">
        <f ca="1">OFFSET('VVP1'!$G$71,0,5*(COLUMN()-7))</f>
        <v>-15.22488565071013</v>
      </c>
      <c r="AC48" s="1427">
        <f ca="1">OFFSET('VVP1'!$G$71,0,5*(COLUMN()-7))</f>
        <v>3</v>
      </c>
      <c r="AD48" s="1427">
        <f ca="1">OFFSET('VVP1'!$G$71,0,5*(COLUMN()-7))</f>
        <v>6.34</v>
      </c>
      <c r="AE48" s="1427">
        <f ca="1">OFFSET('VVP1'!$G$71,0,5*(COLUMN()-7))</f>
        <v>4.5</v>
      </c>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row>
    <row r="49" spans="1:94">
      <c r="AB49" s="557"/>
      <c r="AC49" s="557"/>
      <c r="AD49" s="557"/>
      <c r="AE49" s="557"/>
    </row>
    <row r="50" spans="1:94">
      <c r="A50" s="1130"/>
      <c r="D50" s="1175"/>
      <c r="E50" s="1129" t="s">
        <v>1941</v>
      </c>
      <c r="F50" s="1176"/>
      <c r="G50" s="707">
        <f>+InputY!$G$3</f>
        <v>1995</v>
      </c>
      <c r="H50" s="707">
        <f>+G50+1</f>
        <v>1996</v>
      </c>
      <c r="I50" s="707">
        <f t="shared" ref="I50:O50" si="38">+H50+1</f>
        <v>1997</v>
      </c>
      <c r="J50" s="707">
        <f t="shared" si="38"/>
        <v>1998</v>
      </c>
      <c r="K50" s="707">
        <f t="shared" si="38"/>
        <v>1999</v>
      </c>
      <c r="L50" s="707">
        <f t="shared" si="38"/>
        <v>2000</v>
      </c>
      <c r="M50" s="707">
        <f t="shared" si="38"/>
        <v>2001</v>
      </c>
      <c r="N50" s="707">
        <f t="shared" si="38"/>
        <v>2002</v>
      </c>
      <c r="O50" s="707">
        <f t="shared" si="38"/>
        <v>2003</v>
      </c>
      <c r="P50" s="707">
        <f t="shared" ref="P50:V50" si="39">+O50+1</f>
        <v>2004</v>
      </c>
      <c r="Q50" s="707">
        <f t="shared" si="39"/>
        <v>2005</v>
      </c>
      <c r="R50" s="707">
        <f t="shared" si="39"/>
        <v>2006</v>
      </c>
      <c r="S50" s="707">
        <f>+R50+1</f>
        <v>2007</v>
      </c>
      <c r="T50" s="707">
        <f t="shared" si="39"/>
        <v>2008</v>
      </c>
      <c r="U50" s="707">
        <f t="shared" si="39"/>
        <v>2009</v>
      </c>
      <c r="V50" s="707">
        <f t="shared" si="39"/>
        <v>2010</v>
      </c>
      <c r="W50" s="707">
        <f t="shared" ref="W50:AE50" si="40">+V50+1</f>
        <v>2011</v>
      </c>
      <c r="X50" s="707">
        <f t="shared" si="40"/>
        <v>2012</v>
      </c>
      <c r="Y50" s="707">
        <f t="shared" si="40"/>
        <v>2013</v>
      </c>
      <c r="Z50" s="707">
        <f t="shared" si="40"/>
        <v>2014</v>
      </c>
      <c r="AA50" s="707">
        <f t="shared" si="40"/>
        <v>2015</v>
      </c>
      <c r="AB50" s="707">
        <f t="shared" si="40"/>
        <v>2016</v>
      </c>
      <c r="AC50" s="707">
        <f t="shared" si="40"/>
        <v>2017</v>
      </c>
      <c r="AD50" s="707">
        <f t="shared" si="40"/>
        <v>2018</v>
      </c>
      <c r="AE50" s="707">
        <f t="shared" si="40"/>
        <v>2019</v>
      </c>
    </row>
    <row r="51" spans="1:94">
      <c r="A51" s="664"/>
      <c r="C51" s="1079" t="s">
        <v>1767</v>
      </c>
      <c r="D51" s="1058" t="s">
        <v>685</v>
      </c>
      <c r="E51" s="1038" t="s">
        <v>821</v>
      </c>
      <c r="F51" s="1058" t="s">
        <v>1017</v>
      </c>
      <c r="G51" s="1084">
        <f t="shared" ref="G51:O51" si="41">+G7</f>
        <v>8.6943311199494193</v>
      </c>
      <c r="H51" s="1084">
        <f t="shared" si="41"/>
        <v>9.2573963830362906</v>
      </c>
      <c r="I51" s="1084">
        <f t="shared" si="41"/>
        <v>9.7777647186781778</v>
      </c>
      <c r="J51" s="1084">
        <f t="shared" si="41"/>
        <v>10.242725056307531</v>
      </c>
      <c r="K51" s="1084">
        <f t="shared" si="41"/>
        <v>10.75122399026877</v>
      </c>
      <c r="L51" s="1084">
        <f t="shared" si="41"/>
        <v>11.501958970631552</v>
      </c>
      <c r="M51" s="1084">
        <f t="shared" si="41"/>
        <v>11.985963469608585</v>
      </c>
      <c r="N51" s="1084">
        <f t="shared" si="41"/>
        <v>12.72480286303646</v>
      </c>
      <c r="O51" s="1084">
        <f t="shared" si="41"/>
        <v>14.1518131829006</v>
      </c>
      <c r="P51" s="1084">
        <f t="shared" ref="P51:V51" si="42">+P7</f>
        <v>15.80466</v>
      </c>
      <c r="Q51" s="1084">
        <f t="shared" si="42"/>
        <v>17.638660000000002</v>
      </c>
      <c r="R51" s="1084">
        <f t="shared" si="42"/>
        <v>19.24344</v>
      </c>
      <c r="S51" s="1084">
        <f>+S7</f>
        <v>21.633119999999998</v>
      </c>
      <c r="T51" s="1084">
        <f t="shared" si="42"/>
        <v>22.466799999999999</v>
      </c>
      <c r="U51" s="1084">
        <f t="shared" si="42"/>
        <v>18.568369999999998</v>
      </c>
      <c r="V51" s="1084">
        <f t="shared" si="42"/>
        <v>17.945540000000001</v>
      </c>
      <c r="W51" s="1084">
        <f t="shared" ref="W51:AB51" si="43">+W7</f>
        <v>18.770810000000001</v>
      </c>
      <c r="X51" s="1084">
        <f t="shared" si="43"/>
        <v>19.351680000000002</v>
      </c>
      <c r="Y51" s="1084">
        <f t="shared" si="43"/>
        <v>20.186400000000003</v>
      </c>
      <c r="Z51" s="1084">
        <f t="shared" si="43"/>
        <v>20.987099999999998</v>
      </c>
      <c r="AA51" s="1084">
        <f t="shared" si="43"/>
        <v>21.821650000000002</v>
      </c>
      <c r="AB51" s="1084">
        <f t="shared" si="43"/>
        <v>22.898630000000001</v>
      </c>
      <c r="AC51" s="1084">
        <f>+AC7</f>
        <v>23.78961</v>
      </c>
      <c r="AD51" s="1084">
        <f ca="1">+AD7</f>
        <v>24.622246349999998</v>
      </c>
      <c r="AE51" s="1084">
        <f ca="1">+AE7</f>
        <v>25.434780479549996</v>
      </c>
    </row>
    <row r="52" spans="1:94">
      <c r="A52" s="664"/>
      <c r="C52" s="1080" t="s">
        <v>1767</v>
      </c>
      <c r="D52" s="3" t="s">
        <v>687</v>
      </c>
      <c r="E52" s="29" t="s">
        <v>821</v>
      </c>
      <c r="F52" s="3" t="s">
        <v>533</v>
      </c>
      <c r="G52" s="1062">
        <f t="shared" ref="G52:O52" si="44">+G13</f>
        <v>4.6696599057177908</v>
      </c>
      <c r="H52" s="1062">
        <f t="shared" si="44"/>
        <v>4.6368703517540855</v>
      </c>
      <c r="I52" s="1062">
        <f t="shared" si="44"/>
        <v>4.7952674096872592</v>
      </c>
      <c r="J52" s="1062">
        <f t="shared" si="44"/>
        <v>5.03578041451786</v>
      </c>
      <c r="K52" s="1062">
        <f t="shared" si="44"/>
        <v>4.8132083975837627</v>
      </c>
      <c r="L52" s="1062">
        <f t="shared" si="44"/>
        <v>4.8239639312963334</v>
      </c>
      <c r="M52" s="1062">
        <f t="shared" si="44"/>
        <v>4.8895965698279795</v>
      </c>
      <c r="N52" s="1062">
        <f t="shared" si="44"/>
        <v>5.0098510133738872</v>
      </c>
      <c r="O52" s="1062">
        <f t="shared" si="44"/>
        <v>5.1560925064067895</v>
      </c>
      <c r="P52" s="1062">
        <f t="shared" ref="P52:V52" si="45">+P13</f>
        <v>5.3929600000000004</v>
      </c>
      <c r="Q52" s="1062">
        <f t="shared" si="45"/>
        <v>5.5848100000000001</v>
      </c>
      <c r="R52" s="1062">
        <f t="shared" si="45"/>
        <v>5.7023000000000001</v>
      </c>
      <c r="S52" s="1062">
        <f>+S13</f>
        <v>5.80783</v>
      </c>
      <c r="T52" s="1062">
        <f t="shared" si="45"/>
        <v>5.8215300000000001</v>
      </c>
      <c r="U52" s="1062">
        <f t="shared" si="45"/>
        <v>5.7450100000000006</v>
      </c>
      <c r="V52" s="1062">
        <f t="shared" si="45"/>
        <v>5.5633800000000004</v>
      </c>
      <c r="W52" s="1062">
        <f t="shared" ref="W52:AB52" si="46">+W13</f>
        <v>5.5435799999999995</v>
      </c>
      <c r="X52" s="1062">
        <f t="shared" si="46"/>
        <v>5.6148299999999995</v>
      </c>
      <c r="Y52" s="1062">
        <f t="shared" si="46"/>
        <v>5.6554099999999998</v>
      </c>
      <c r="Z52" s="1062">
        <f t="shared" si="46"/>
        <v>5.6716600000000001</v>
      </c>
      <c r="AA52" s="1062">
        <f t="shared" si="46"/>
        <v>5.6809799999999999</v>
      </c>
      <c r="AB52" s="1062">
        <f t="shared" si="46"/>
        <v>5.7543999999999995</v>
      </c>
      <c r="AC52" s="1062">
        <f>+AC13</f>
        <v>5.8210899999999999</v>
      </c>
      <c r="AD52" s="1062">
        <f ca="1">+AD13</f>
        <v>5.9165558759999994</v>
      </c>
      <c r="AE52" s="1062">
        <f ca="1">+AE13</f>
        <v>6.0076708364903997</v>
      </c>
    </row>
    <row r="53" spans="1:94">
      <c r="A53" s="664"/>
      <c r="C53" s="1081" t="s">
        <v>1767</v>
      </c>
      <c r="D53" s="1077"/>
      <c r="E53" s="1039" t="s">
        <v>376</v>
      </c>
      <c r="F53" s="1077" t="s">
        <v>850</v>
      </c>
      <c r="G53" s="1062">
        <f t="shared" ref="G53:O53" si="47">+G29</f>
        <v>1.865646436592058</v>
      </c>
      <c r="H53" s="1062">
        <f t="shared" si="47"/>
        <v>2.2584049991717587</v>
      </c>
      <c r="I53" s="1062">
        <f t="shared" si="47"/>
        <v>2.8351920988674078</v>
      </c>
      <c r="J53" s="1062">
        <f t="shared" si="47"/>
        <v>3.4334187190510512</v>
      </c>
      <c r="K53" s="1062">
        <f t="shared" si="47"/>
        <v>3.2293318550454053</v>
      </c>
      <c r="L53" s="1062">
        <f t="shared" si="47"/>
        <v>2.9589150459905524</v>
      </c>
      <c r="M53" s="1062">
        <f t="shared" si="47"/>
        <v>3.3490744830283035</v>
      </c>
      <c r="N53" s="1062">
        <f t="shared" si="47"/>
        <v>3.7071301482966423</v>
      </c>
      <c r="O53" s="1062">
        <f t="shared" si="47"/>
        <v>4.2073312057982788</v>
      </c>
      <c r="P53" s="1062">
        <f t="shared" ref="P53:V53" si="48">+P29</f>
        <v>4.8688700000000003</v>
      </c>
      <c r="Q53" s="1062">
        <f t="shared" si="48"/>
        <v>5.4274300000000002</v>
      </c>
      <c r="R53" s="1062">
        <f t="shared" si="48"/>
        <v>6.49085</v>
      </c>
      <c r="S53" s="1062">
        <f>+S29</f>
        <v>7.9405400000000004</v>
      </c>
      <c r="T53" s="1062">
        <f t="shared" si="48"/>
        <v>7.6232100000000003</v>
      </c>
      <c r="U53" s="1062">
        <f t="shared" si="48"/>
        <v>4.6575800000000003</v>
      </c>
      <c r="V53" s="1062">
        <f t="shared" si="48"/>
        <v>4.7263000000000002</v>
      </c>
      <c r="W53" s="1062">
        <f t="shared" ref="W53:AB53" si="49">+W29</f>
        <v>5.67849</v>
      </c>
      <c r="X53" s="1062">
        <f t="shared" si="49"/>
        <v>5.5775100000000002</v>
      </c>
      <c r="Y53" s="1062">
        <f t="shared" si="49"/>
        <v>6.0404200000000001</v>
      </c>
      <c r="Z53" s="1062">
        <f t="shared" si="49"/>
        <v>6.3878599999999999</v>
      </c>
      <c r="AA53" s="1062">
        <f t="shared" si="49"/>
        <v>6.6961700000000004</v>
      </c>
      <c r="AB53" s="1062">
        <f t="shared" si="49"/>
        <v>6.6646400000000003</v>
      </c>
      <c r="AC53" s="1062">
        <f>+AC29</f>
        <v>7.1514100000000003</v>
      </c>
      <c r="AD53" s="1062">
        <f ca="1">+AD29</f>
        <v>7.6349943683294992</v>
      </c>
      <c r="AE53" s="1062">
        <f ca="1">+AE29</f>
        <v>7.9529721587317974</v>
      </c>
    </row>
    <row r="54" spans="1:94">
      <c r="A54" s="664">
        <f>+ROW(InputY!A41)</f>
        <v>41</v>
      </c>
      <c r="B54" s="664"/>
      <c r="C54" s="694" t="s">
        <v>1769</v>
      </c>
      <c r="D54" s="1177"/>
      <c r="E54" s="1461" t="s">
        <v>1941</v>
      </c>
      <c r="F54" s="1460" t="s">
        <v>46</v>
      </c>
      <c r="G54" s="1184">
        <f>+InputY!G41/1000</f>
        <v>14.579253810129012</v>
      </c>
      <c r="H54" s="1184">
        <f>+InputY!H41/1000</f>
        <v>15.684726189883465</v>
      </c>
      <c r="I54" s="1184">
        <f>+InputY!I41/1000</f>
        <v>17.07736127695404</v>
      </c>
      <c r="J54" s="1184">
        <f>+InputY!J41/1000</f>
        <v>18.477134009203066</v>
      </c>
      <c r="K54" s="1184">
        <f>+InputY!K41/1000</f>
        <v>18.555156347933963</v>
      </c>
      <c r="L54" s="1184">
        <f>+InputY!L41/1000</f>
        <v>19.017219898719677</v>
      </c>
      <c r="M54" s="1184">
        <f>+InputY!M41/1000</f>
        <v>20.004497742649203</v>
      </c>
      <c r="N54" s="1184">
        <f>+InputY!N41/1000</f>
        <v>21.261742027629673</v>
      </c>
      <c r="O54" s="1184">
        <f>+InputY!O41/1000</f>
        <v>23.392936699256751</v>
      </c>
      <c r="P54" s="1184">
        <f>+InputY!P41/1000</f>
        <v>26.01232113</v>
      </c>
      <c r="Q54" s="1184">
        <f>+InputY!Q41/1000</f>
        <v>28.649446560000001</v>
      </c>
      <c r="R54" s="1184">
        <f>+InputY!R41/1000</f>
        <v>31.567883179999999</v>
      </c>
      <c r="S54" s="1184">
        <f>+InputY!S41/1000</f>
        <v>35.646567750000003</v>
      </c>
      <c r="T54" s="1184">
        <f>+InputY!T41/1000</f>
        <v>36.085323389999999</v>
      </c>
      <c r="U54" s="1184">
        <f>+InputY!U41/1000</f>
        <v>28.962535029999998</v>
      </c>
      <c r="V54" s="1184">
        <f>+InputY!V41/1000</f>
        <v>28.235220000000002</v>
      </c>
      <c r="W54" s="1184">
        <f>+InputY!W41/1000</f>
        <v>29.99288</v>
      </c>
      <c r="X54" s="1184">
        <f>+InputY!X41/1000</f>
        <v>30.548781930000001</v>
      </c>
      <c r="Y54" s="1184">
        <f>+InputY!Y41/1000</f>
        <v>31.886627019999999</v>
      </c>
      <c r="Z54" s="1184">
        <f>+InputY!Z41/1000</f>
        <v>33.058580730000003</v>
      </c>
      <c r="AA54" s="1184">
        <f>+InputY!AA41/1000</f>
        <v>34.213353669999996</v>
      </c>
      <c r="AB54" s="1184">
        <f>+InputY!AB41/1000</f>
        <v>35.322718180000003</v>
      </c>
      <c r="AC54" s="1184">
        <f>+InputY!AC41/1000</f>
        <v>36.759275770000002</v>
      </c>
      <c r="AD54" s="1464">
        <f ca="1">IF(UPPER('VVP1'!$F$2)="Y",+AC54*(1+AD61/100),+AD52+AD53+AD51)</f>
        <v>38.159328363100862</v>
      </c>
      <c r="AE54" s="1464">
        <f ca="1">IF(UPPER('VVP1'!$F$2)="Y",+AD54*(1+AE61/100),+AE52+AE53+AE51)</f>
        <v>39.372112970748816</v>
      </c>
    </row>
    <row r="55" spans="1:94" s="699" customFormat="1" ht="12.75" customHeight="1">
      <c r="A55" s="664"/>
      <c r="B55" s="664"/>
      <c r="C55" s="774"/>
      <c r="D55" s="1973"/>
      <c r="E55" s="1973" t="s">
        <v>737</v>
      </c>
      <c r="F55" s="1973"/>
      <c r="G55" s="1002"/>
      <c r="H55" s="1002">
        <f ca="1">ABS(IF('VVP1'!$F$2="Y",OFFSET('VVP1'!$G$10,0,5*(COLUMN()-7)+1)-OFFSET('VVP1'!$G$7,0,5*(COLUMN()-7)+1)-OFFSET('VVP1'!$G$8,0,5*(COLUMN()-7)+1)-OFFSET('VVP1'!$G$9,0,5*(COLUMN()-7)+1),ABS(H54-H51-H52-H53)))</f>
        <v>3.8001651733166053E-3</v>
      </c>
      <c r="I55" s="1002">
        <f ca="1">ABS(IF('VVP1'!$F$2="Y",OFFSET('VVP1'!$G$10,0,5*(COLUMN()-7)+1)-OFFSET('VVP1'!$G$7,0,5*(COLUMN()-7)+1)-OFFSET('VVP1'!$G$8,0,5*(COLUMN()-7)+1)-OFFSET('VVP1'!$G$9,0,5*(COLUMN()-7)+1),ABS(I54-I51-I52-I53)))</f>
        <v>2.2122257829342296E-3</v>
      </c>
      <c r="J55" s="1002">
        <f ca="1">ABS(IF('VVP1'!$F$2="Y",OFFSET('VVP1'!$G$10,0,5*(COLUMN()-7)+1)-OFFSET('VVP1'!$G$7,0,5*(COLUMN()-7)+1)-OFFSET('VVP1'!$G$8,0,5*(COLUMN()-7)+1)-OFFSET('VVP1'!$G$9,0,5*(COLUMN()-7)+1),ABS(J54-J51-J52-J53)))</f>
        <v>8.1449165506120025E-4</v>
      </c>
      <c r="K55" s="1002">
        <f ca="1">ABS(IF('VVP1'!$F$2="Y",OFFSET('VVP1'!$G$10,0,5*(COLUMN()-7)+1)-OFFSET('VVP1'!$G$7,0,5*(COLUMN()-7)+1)-OFFSET('VVP1'!$G$8,0,5*(COLUMN()-7)+1)-OFFSET('VVP1'!$G$9,0,5*(COLUMN()-7)+1),ABS(K54-K51-K52-K53)))</f>
        <v>6.8925093440075358E-4</v>
      </c>
      <c r="L55" s="1002">
        <f ca="1">ABS(IF('VVP1'!$F$2="Y",OFFSET('VVP1'!$G$10,0,5*(COLUMN()-7)+1)-OFFSET('VVP1'!$G$7,0,5*(COLUMN()-7)+1)-OFFSET('VVP1'!$G$8,0,5*(COLUMN()-7)+1)-OFFSET('VVP1'!$G$9,0,5*(COLUMN()-7)+1),ABS(L54-L51-L52-L53)))</f>
        <v>2.4343308552676746E-4</v>
      </c>
      <c r="M55" s="1002">
        <f ca="1">ABS(IF('VVP1'!$F$2="Y",OFFSET('VVP1'!$G$10,0,5*(COLUMN()-7)+1)-OFFSET('VVP1'!$G$7,0,5*(COLUMN()-7)+1)-OFFSET('VVP1'!$G$8,0,5*(COLUMN()-7)+1)-OFFSET('VVP1'!$G$9,0,5*(COLUMN()-7)+1),ABS(M54-M51-M52-M53)))</f>
        <v>4.1677593105706734E-3</v>
      </c>
      <c r="N55" s="1002">
        <f ca="1">ABS(IF('VVP1'!$F$2="Y",OFFSET('VVP1'!$G$10,0,5*(COLUMN()-7)+1)-OFFSET('VVP1'!$G$7,0,5*(COLUMN()-7)+1)-OFFSET('VVP1'!$G$8,0,5*(COLUMN()-7)+1)-OFFSET('VVP1'!$G$9,0,5*(COLUMN()-7)+1),ABS(N54-N51-N52-N53)))</f>
        <v>2.3191715707708838E-3</v>
      </c>
      <c r="O55" s="1002">
        <f ca="1">ABS(IF('VVP1'!$F$2="Y",OFFSET('VVP1'!$G$10,0,5*(COLUMN()-7)+1)-OFFSET('VVP1'!$G$7,0,5*(COLUMN()-7)+1)-OFFSET('VVP1'!$G$8,0,5*(COLUMN()-7)+1)-OFFSET('VVP1'!$G$9,0,5*(COLUMN()-7)+1),ABS(O54-O51-O52-O53)))</f>
        <v>3.7856923590497971E-3</v>
      </c>
      <c r="P55" s="1002">
        <f ca="1">ABS(IF('VVP1'!$F$2="Y",OFFSET('VVP1'!$G$10,0,5*(COLUMN()-7)+1)-OFFSET('VVP1'!$G$7,0,5*(COLUMN()-7)+1)-OFFSET('VVP1'!$G$8,0,5*(COLUMN()-7)+1)-OFFSET('VVP1'!$G$9,0,5*(COLUMN()-7)+1),ABS(P54-P51-P52-P53)))</f>
        <v>9.3645241084061581E-4</v>
      </c>
      <c r="Q55" s="1002">
        <f ca="1">ABS(IF('VVP1'!$F$2="Y",OFFSET('VVP1'!$G$10,0,5*(COLUMN()-7)+1)-OFFSET('VVP1'!$G$7,0,5*(COLUMN()-7)+1)-OFFSET('VVP1'!$G$8,0,5*(COLUMN()-7)+1)-OFFSET('VVP1'!$G$9,0,5*(COLUMN()-7)+1),ABS(Q54-Q51-Q52-Q53)))</f>
        <v>4.1298300414993605E-6</v>
      </c>
      <c r="R55" s="1002">
        <f ca="1">ABS(IF('VVP1'!$F$2="Y",OFFSET('VVP1'!$G$10,0,5*(COLUMN()-7)+1)-OFFSET('VVP1'!$G$7,0,5*(COLUMN()-7)+1)-OFFSET('VVP1'!$G$8,0,5*(COLUMN()-7)+1)-OFFSET('VVP1'!$G$9,0,5*(COLUMN()-7)+1),ABS(R54-R51-R52-R53)))</f>
        <v>6.7089530491060145E-6</v>
      </c>
      <c r="S55" s="1002">
        <f ca="1">ABS(IF('VVP1'!$F$2="Y",OFFSET('VVP1'!$G$10,0,5*(COLUMN()-7)+1)-OFFSET('VVP1'!$G$7,0,5*(COLUMN()-7)+1)-OFFSET('VVP1'!$G$8,0,5*(COLUMN()-7)+1)-OFFSET('VVP1'!$G$9,0,5*(COLUMN()-7)+1),ABS(S54-S51-S52-S53)))</f>
        <v>9.8619028499058459E-8</v>
      </c>
      <c r="T55" s="2906">
        <f ca="1">ABS(IF('VVP1'!$F$2="Y",OFFSET('VVP1'!$G$10,0,5*(COLUMN()-7)+1)-OFFSET('VVP1'!$G$7,0,5*(COLUMN()-7)+1)-OFFSET('VVP1'!$G$8,0,5*(COLUMN()-7)+1)-OFFSET('VVP1'!$G$9,0,5*(COLUMN()-7)+1),ABS(T54-T51-T52-T53)))</f>
        <v>1.2036373444601622E-6</v>
      </c>
      <c r="U55" s="2906">
        <f ca="1">ABS(IF('VVP1'!$F$2="Y",OFFSET('VVP1'!$G$10,0,5*(COLUMN()-7)+1)-OFFSET('VVP1'!$G$7,0,5*(COLUMN()-7)+1)-OFFSET('VVP1'!$G$8,0,5*(COLUMN()-7)+1)-OFFSET('VVP1'!$G$9,0,5*(COLUMN()-7)+1),ABS(U54-U51-U52-U53)))</f>
        <v>4.3809192069588221E-6</v>
      </c>
      <c r="V55" s="2906">
        <f ca="1">ABS(IF('VVP1'!$F$2="Y",OFFSET('VVP1'!$G$10,0,5*(COLUMN()-7)+1)-OFFSET('VVP1'!$G$7,0,5*(COLUMN()-7)+1)-OFFSET('VVP1'!$G$8,0,5*(COLUMN()-7)+1)-OFFSET('VVP1'!$G$9,0,5*(COLUMN()-7)+1),ABS(V54-V51-V52-V53)))</f>
        <v>1.1641128022432667E-5</v>
      </c>
      <c r="W55" s="2906">
        <f ca="1">ABS(IF('VVP1'!$F$2="Y",OFFSET('VVP1'!$G$10,0,5*(COLUMN()-7)+1)-OFFSET('VVP1'!$G$7,0,5*(COLUMN()-7)+1)-OFFSET('VVP1'!$G$8,0,5*(COLUMN()-7)+1)-OFFSET('VVP1'!$G$9,0,5*(COLUMN()-7)+1),ABS(W54-W51-W52-W53)))</f>
        <v>6.2172489379008766E-15</v>
      </c>
      <c r="X55" s="2906">
        <f ca="1">ABS(IF('VVP1'!$F$2="Y",OFFSET('VVP1'!$G$10,0,5*(COLUMN()-7)+1)-OFFSET('VVP1'!$G$7,0,5*(COLUMN()-7)+1)-OFFSET('VVP1'!$G$8,0,5*(COLUMN()-7)+1)-OFFSET('VVP1'!$G$9,0,5*(COLUMN()-7)+1),ABS(X54-X51-X52-X53)))</f>
        <v>4.540159770805019E-6</v>
      </c>
      <c r="Y55" s="2906">
        <f ca="1">ABS(IF('VVP1'!$F$2="Y",OFFSET('VVP1'!$G$10,0,5*(COLUMN()-7)+1)-OFFSET('VVP1'!$G$7,0,5*(COLUMN()-7)+1)-OFFSET('VVP1'!$G$8,0,5*(COLUMN()-7)+1)-OFFSET('VVP1'!$G$9,0,5*(COLUMN()-7)+1),ABS(Y54-Y51-Y52-Y53)))</f>
        <v>2.0104454501179703E-6</v>
      </c>
      <c r="Z55" s="2906">
        <f ca="1">ABS(IF('VVP1'!$F$2="Y",OFFSET('VVP1'!$G$10,0,5*(COLUMN()-7)+1)-OFFSET('VVP1'!$G$7,0,5*(COLUMN()-7)+1)-OFFSET('VVP1'!$G$8,0,5*(COLUMN()-7)+1)-OFFSET('VVP1'!$G$9,0,5*(COLUMN()-7)+1),ABS(Z54-Z51-Z52-Z53)))</f>
        <v>1.1017852363792713E-5</v>
      </c>
      <c r="AA55" s="2906">
        <f ca="1">ABS(IF('VVP1'!$F$2="Y",OFFSET('VVP1'!$G$10,0,5*(COLUMN()-7)+1)-OFFSET('VVP1'!$G$7,0,5*(COLUMN()-7)+1)-OFFSET('VVP1'!$G$8,0,5*(COLUMN()-7)+1)-OFFSET('VVP1'!$G$9,0,5*(COLUMN()-7)+1),ABS(AA54-AA51-AA52-AA53)))</f>
        <v>7.281131204628366E-6</v>
      </c>
      <c r="AB55" s="2906">
        <f ca="1">ABS(IF('VVP1'!$F$2="Y",OFFSET('VVP1'!$G$10,0,5*(COLUMN()-7)+1)-OFFSET('VVP1'!$G$7,0,5*(COLUMN()-7)+1)-OFFSET('VVP1'!$G$8,0,5*(COLUMN()-7)+1)-OFFSET('VVP1'!$G$9,0,5*(COLUMN()-7)+1),ABS(AB54-AB51-AB52-AB53)))</f>
        <v>2.0932363877790294E-6</v>
      </c>
      <c r="AC55" s="2906">
        <f ca="1">ABS(IF('VVP1'!$F$2="Y",OFFSET('VVP1'!$G$10,0,5*(COLUMN()-7)+1)-OFFSET('VVP1'!$G$7,0,5*(COLUMN()-7)+1)-OFFSET('VVP1'!$G$8,0,5*(COLUMN()-7)+1)-OFFSET('VVP1'!$G$9,0,5*(COLUMN()-7)+1),ABS(AC54-AC51-AC52-AC53)))</f>
        <v>8.8817841970012523E-16</v>
      </c>
      <c r="AD55" s="2906">
        <f ca="1">ABS(IF('VVP1'!$F$2="Y",OFFSET('VVP1'!$G$10,0,5*(COLUMN()-7)+1)-OFFSET('VVP1'!$G$7,0,5*(COLUMN()-7)+1)-OFFSET('VVP1'!$G$8,0,5*(COLUMN()-7)+1)-OFFSET('VVP1'!$G$9,0,5*(COLUMN()-7)+1),ABS(AD54-AD51-AD52-AD53)))</f>
        <v>3.5527136788005009E-15</v>
      </c>
      <c r="AE55" s="2906">
        <f ca="1">ABS(IF('VVP1'!$F$2="Y",OFFSET('VVP1'!$G$10,0,5*(COLUMN()-7)+1)-OFFSET('VVP1'!$G$7,0,5*(COLUMN()-7)+1)-OFFSET('VVP1'!$G$8,0,5*(COLUMN()-7)+1)-OFFSET('VVP1'!$G$9,0,5*(COLUMN()-7)+1),ABS(AE54-AE51-AE52-AE53)))</f>
        <v>5.3290705182007514E-15</v>
      </c>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row>
    <row r="56" spans="1:94">
      <c r="AB56" s="557"/>
      <c r="AC56" s="557"/>
      <c r="AD56" s="557"/>
      <c r="AE56" s="557"/>
    </row>
    <row r="57" spans="1:94" s="699" customFormat="1" ht="12.75" customHeight="1">
      <c r="A57" s="664"/>
      <c r="B57" s="664"/>
      <c r="C57" s="774"/>
      <c r="D57" s="1092"/>
      <c r="E57" s="1093" t="s">
        <v>1941</v>
      </c>
      <c r="F57" s="1094"/>
      <c r="G57" s="896">
        <f>+InputY!$G$3</f>
        <v>1995</v>
      </c>
      <c r="H57" s="896">
        <f>+G57+1</f>
        <v>1996</v>
      </c>
      <c r="I57" s="896">
        <f t="shared" ref="I57:O57" si="50">+H57+1</f>
        <v>1997</v>
      </c>
      <c r="J57" s="896">
        <f t="shared" si="50"/>
        <v>1998</v>
      </c>
      <c r="K57" s="896">
        <f t="shared" si="50"/>
        <v>1999</v>
      </c>
      <c r="L57" s="896">
        <f t="shared" si="50"/>
        <v>2000</v>
      </c>
      <c r="M57" s="896">
        <f t="shared" si="50"/>
        <v>2001</v>
      </c>
      <c r="N57" s="896">
        <f t="shared" si="50"/>
        <v>2002</v>
      </c>
      <c r="O57" s="896">
        <f t="shared" si="50"/>
        <v>2003</v>
      </c>
      <c r="P57" s="896">
        <f t="shared" ref="P57:V57" si="51">+O57+1</f>
        <v>2004</v>
      </c>
      <c r="Q57" s="896">
        <f t="shared" si="51"/>
        <v>2005</v>
      </c>
      <c r="R57" s="896">
        <f t="shared" si="51"/>
        <v>2006</v>
      </c>
      <c r="S57" s="896">
        <f>+R57+1</f>
        <v>2007</v>
      </c>
      <c r="T57" s="896">
        <f t="shared" si="51"/>
        <v>2008</v>
      </c>
      <c r="U57" s="896">
        <f t="shared" si="51"/>
        <v>2009</v>
      </c>
      <c r="V57" s="896">
        <f t="shared" si="51"/>
        <v>2010</v>
      </c>
      <c r="W57" s="896">
        <f t="shared" ref="W57:AE57" si="52">+V57+1</f>
        <v>2011</v>
      </c>
      <c r="X57" s="896">
        <f t="shared" si="52"/>
        <v>2012</v>
      </c>
      <c r="Y57" s="896">
        <f t="shared" si="52"/>
        <v>2013</v>
      </c>
      <c r="Z57" s="896">
        <f t="shared" si="52"/>
        <v>2014</v>
      </c>
      <c r="AA57" s="896">
        <f t="shared" si="52"/>
        <v>2015</v>
      </c>
      <c r="AB57" s="896">
        <f t="shared" si="52"/>
        <v>2016</v>
      </c>
      <c r="AC57" s="896">
        <f t="shared" si="52"/>
        <v>2017</v>
      </c>
      <c r="AD57" s="896">
        <f t="shared" si="52"/>
        <v>2018</v>
      </c>
      <c r="AE57" s="896">
        <f t="shared" si="52"/>
        <v>2019</v>
      </c>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row>
    <row r="58" spans="1:94" s="699" customFormat="1" ht="12.75" customHeight="1">
      <c r="A58" s="664"/>
      <c r="B58" s="664"/>
      <c r="C58" s="794" t="s">
        <v>1767</v>
      </c>
      <c r="D58" s="689" t="s">
        <v>685</v>
      </c>
      <c r="E58" s="738" t="s">
        <v>821</v>
      </c>
      <c r="F58" s="733" t="s">
        <v>1017</v>
      </c>
      <c r="G58" s="1095"/>
      <c r="H58" s="1095">
        <f>+(H51/G51-1)*100</f>
        <v>6.4762344028386432</v>
      </c>
      <c r="I58" s="1095">
        <f t="shared" ref="I58:S58" si="53">+(I51/H51-1)*100</f>
        <v>5.6211089393928937</v>
      </c>
      <c r="J58" s="1095">
        <f t="shared" si="53"/>
        <v>4.7552825314067348</v>
      </c>
      <c r="K58" s="1095">
        <f t="shared" si="53"/>
        <v>4.9644887582733777</v>
      </c>
      <c r="L58" s="1095">
        <f t="shared" si="53"/>
        <v>6.98278615571859</v>
      </c>
      <c r="M58" s="1095">
        <f t="shared" si="53"/>
        <v>4.2080179577484333</v>
      </c>
      <c r="N58" s="1095">
        <f t="shared" si="53"/>
        <v>6.1642052831319294</v>
      </c>
      <c r="O58" s="1095">
        <f t="shared" si="53"/>
        <v>11.214400216834619</v>
      </c>
      <c r="P58" s="1095">
        <f t="shared" si="53"/>
        <v>11.679399634080156</v>
      </c>
      <c r="Q58" s="1095">
        <f t="shared" si="53"/>
        <v>11.604172440280291</v>
      </c>
      <c r="R58" s="1095">
        <f t="shared" si="53"/>
        <v>9.0980834144997367</v>
      </c>
      <c r="S58" s="1095">
        <f t="shared" si="53"/>
        <v>12.41815392674075</v>
      </c>
      <c r="T58" s="1095">
        <f t="shared" ref="T58:AE60" si="54">+(T51/S51-1)*100</f>
        <v>3.853720591389509</v>
      </c>
      <c r="U58" s="1095">
        <f t="shared" si="54"/>
        <v>-17.351959335552912</v>
      </c>
      <c r="V58" s="1095">
        <f t="shared" si="54"/>
        <v>-3.3542524195715462</v>
      </c>
      <c r="W58" s="1095">
        <f t="shared" si="54"/>
        <v>4.5987470981647682</v>
      </c>
      <c r="X58" s="1095">
        <f t="shared" si="54"/>
        <v>3.0945388078617908</v>
      </c>
      <c r="Y58" s="1095">
        <f t="shared" si="54"/>
        <v>4.3134239507887751</v>
      </c>
      <c r="Z58" s="1095">
        <f t="shared" si="54"/>
        <v>3.9665319224824414</v>
      </c>
      <c r="AA58" s="1095">
        <f t="shared" si="54"/>
        <v>3.9764903202443636</v>
      </c>
      <c r="AB58" s="1095">
        <f t="shared" si="54"/>
        <v>4.9353738145373915</v>
      </c>
      <c r="AC58" s="1095">
        <f t="shared" si="54"/>
        <v>3.8909751369404999</v>
      </c>
      <c r="AD58" s="1095">
        <f t="shared" ca="1" si="54"/>
        <v>3.499999999999992</v>
      </c>
      <c r="AE58" s="1095">
        <f t="shared" ca="1" si="54"/>
        <v>3.2999999999999918</v>
      </c>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row>
    <row r="59" spans="1:94" s="699" customFormat="1" ht="12.75" customHeight="1">
      <c r="A59" s="664"/>
      <c r="B59" s="664"/>
      <c r="C59" s="795" t="s">
        <v>1767</v>
      </c>
      <c r="D59" s="674" t="s">
        <v>687</v>
      </c>
      <c r="E59" s="783" t="s">
        <v>821</v>
      </c>
      <c r="F59" s="704" t="s">
        <v>533</v>
      </c>
      <c r="G59" s="1044"/>
      <c r="H59" s="1044">
        <f>+(H52/G52-1)*100</f>
        <v>-0.70218291322577953</v>
      </c>
      <c r="I59" s="1044">
        <f t="shared" ref="I59:S59" si="55">+(I52/H52-1)*100</f>
        <v>3.4160337882479963</v>
      </c>
      <c r="J59" s="1044">
        <f t="shared" si="55"/>
        <v>5.0156327954667068</v>
      </c>
      <c r="K59" s="1044">
        <f t="shared" si="55"/>
        <v>-4.4198117990299046</v>
      </c>
      <c r="L59" s="1044">
        <f t="shared" si="55"/>
        <v>0.22345871660096606</v>
      </c>
      <c r="M59" s="1044">
        <f t="shared" si="55"/>
        <v>1.3605540892593027</v>
      </c>
      <c r="N59" s="1044">
        <f t="shared" si="55"/>
        <v>2.4593939771627937</v>
      </c>
      <c r="O59" s="1044">
        <f t="shared" si="55"/>
        <v>2.919078684026899</v>
      </c>
      <c r="P59" s="1044">
        <f t="shared" si="55"/>
        <v>4.5939341332392081</v>
      </c>
      <c r="Q59" s="1044">
        <f t="shared" si="55"/>
        <v>3.5574155936628493</v>
      </c>
      <c r="R59" s="1044">
        <f t="shared" si="55"/>
        <v>2.1037421147720448</v>
      </c>
      <c r="S59" s="1044">
        <f t="shared" si="55"/>
        <v>1.8506567525384376</v>
      </c>
      <c r="T59" s="1044">
        <f t="shared" si="54"/>
        <v>0.23588844714808044</v>
      </c>
      <c r="U59" s="1044">
        <f t="shared" si="54"/>
        <v>-1.3144310859859787</v>
      </c>
      <c r="V59" s="1044">
        <f t="shared" si="54"/>
        <v>-3.1615262636618624</v>
      </c>
      <c r="W59" s="1044">
        <f t="shared" si="54"/>
        <v>-0.35589875219742551</v>
      </c>
      <c r="X59" s="1044">
        <f t="shared" si="54"/>
        <v>1.2852705291526378</v>
      </c>
      <c r="Y59" s="1044">
        <f t="shared" si="54"/>
        <v>0.72272891610254408</v>
      </c>
      <c r="Z59" s="1044">
        <f t="shared" si="54"/>
        <v>0.28733548938097986</v>
      </c>
      <c r="AA59" s="1044">
        <f t="shared" si="54"/>
        <v>0.16432578821721222</v>
      </c>
      <c r="AB59" s="1044">
        <f t="shared" si="54"/>
        <v>1.2923826522888593</v>
      </c>
      <c r="AC59" s="1044">
        <f t="shared" si="54"/>
        <v>1.1589392464896431</v>
      </c>
      <c r="AD59" s="1044">
        <f t="shared" ca="1" si="54"/>
        <v>1.639999999999997</v>
      </c>
      <c r="AE59" s="1044">
        <f t="shared" ca="1" si="54"/>
        <v>1.540000000000008</v>
      </c>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row>
    <row r="60" spans="1:94" s="699" customFormat="1" ht="12.75" customHeight="1">
      <c r="A60" s="664"/>
      <c r="B60" s="664"/>
      <c r="C60" s="796" t="s">
        <v>1767</v>
      </c>
      <c r="D60" s="691" t="s">
        <v>1706</v>
      </c>
      <c r="E60" s="797" t="s">
        <v>376</v>
      </c>
      <c r="F60" s="736" t="s">
        <v>850</v>
      </c>
      <c r="G60" s="1096"/>
      <c r="H60" s="1096">
        <f>+(H53/G53-1)*100</f>
        <v>21.052143368447961</v>
      </c>
      <c r="I60" s="1096">
        <f t="shared" ref="I60:S60" si="56">+(I53/H53-1)*100</f>
        <v>25.539577706707984</v>
      </c>
      <c r="J60" s="1096">
        <f t="shared" si="56"/>
        <v>21.100038350932927</v>
      </c>
      <c r="K60" s="1096">
        <f t="shared" si="56"/>
        <v>-5.9441297641102402</v>
      </c>
      <c r="L60" s="1096">
        <f t="shared" si="56"/>
        <v>-8.3737695967158743</v>
      </c>
      <c r="M60" s="1096">
        <f t="shared" si="56"/>
        <v>13.18589520055442</v>
      </c>
      <c r="N60" s="1096">
        <f t="shared" si="56"/>
        <v>10.691182506773567</v>
      </c>
      <c r="O60" s="1096">
        <f t="shared" si="56"/>
        <v>13.492945688229208</v>
      </c>
      <c r="P60" s="1096">
        <f t="shared" si="56"/>
        <v>15.723477944641729</v>
      </c>
      <c r="Q60" s="1096">
        <f t="shared" si="56"/>
        <v>11.472066413767458</v>
      </c>
      <c r="R60" s="1096">
        <f t="shared" si="56"/>
        <v>19.593435567110017</v>
      </c>
      <c r="S60" s="1096">
        <f t="shared" si="56"/>
        <v>22.334362987898349</v>
      </c>
      <c r="T60" s="1096">
        <f t="shared" si="54"/>
        <v>-3.9963277056724089</v>
      </c>
      <c r="U60" s="1096">
        <f t="shared" si="54"/>
        <v>-38.902640751074678</v>
      </c>
      <c r="V60" s="1096">
        <f t="shared" si="54"/>
        <v>1.4754443294586528</v>
      </c>
      <c r="W60" s="1096">
        <f t="shared" si="54"/>
        <v>20.146626325032258</v>
      </c>
      <c r="X60" s="1096">
        <f t="shared" si="54"/>
        <v>-1.7782896509459301</v>
      </c>
      <c r="Y60" s="1096">
        <f t="shared" si="54"/>
        <v>8.2995817129866154</v>
      </c>
      <c r="Z60" s="1096">
        <f t="shared" si="54"/>
        <v>5.75191791299281</v>
      </c>
      <c r="AA60" s="1096">
        <f t="shared" si="54"/>
        <v>4.8264990153196852</v>
      </c>
      <c r="AB60" s="1096">
        <f t="shared" si="54"/>
        <v>-0.47086618171282568</v>
      </c>
      <c r="AC60" s="1096">
        <f t="shared" si="54"/>
        <v>7.3037703461852344</v>
      </c>
      <c r="AD60" s="1096">
        <f t="shared" ca="1" si="54"/>
        <v>6.762084236947663</v>
      </c>
      <c r="AE60" s="1096">
        <f t="shared" ca="1" si="54"/>
        <v>4.1647416495982359</v>
      </c>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row>
    <row r="61" spans="1:94" s="699" customFormat="1" ht="12.75" customHeight="1">
      <c r="A61" s="664"/>
      <c r="B61" s="664"/>
      <c r="C61" s="774" t="s">
        <v>1769</v>
      </c>
      <c r="D61" s="717"/>
      <c r="E61" s="1468" t="s">
        <v>1941</v>
      </c>
      <c r="F61" s="723" t="s">
        <v>46</v>
      </c>
      <c r="G61" s="721"/>
      <c r="H61" s="721">
        <f>+(H54/G54-1)*100</f>
        <v>7.5825031524344499</v>
      </c>
      <c r="I61" s="721">
        <f t="shared" ref="I61:AB61" si="57">+(I54/H54-1)*100</f>
        <v>8.8789250778812843</v>
      </c>
      <c r="J61" s="721">
        <f t="shared" si="57"/>
        <v>8.1966570218200197</v>
      </c>
      <c r="K61" s="721">
        <f t="shared" si="57"/>
        <v>0.42226428997069743</v>
      </c>
      <c r="L61" s="721">
        <f t="shared" si="57"/>
        <v>2.490216423518099</v>
      </c>
      <c r="M61" s="721">
        <f t="shared" si="57"/>
        <v>5.1914940732004311</v>
      </c>
      <c r="N61" s="721">
        <f t="shared" si="57"/>
        <v>6.2848080524413819</v>
      </c>
      <c r="O61" s="721">
        <f t="shared" si="57"/>
        <v>10.023612688262261</v>
      </c>
      <c r="P61" s="721">
        <f t="shared" si="57"/>
        <v>11.197330478077493</v>
      </c>
      <c r="Q61" s="721">
        <f t="shared" si="57"/>
        <v>10.137985829179264</v>
      </c>
      <c r="R61" s="721">
        <f t="shared" si="57"/>
        <v>10.186712032597111</v>
      </c>
      <c r="S61" s="721">
        <f t="shared" si="57"/>
        <v>12.920361326552543</v>
      </c>
      <c r="T61" s="721">
        <f t="shared" si="57"/>
        <v>1.2308496096373744</v>
      </c>
      <c r="U61" s="721">
        <f t="shared" si="57"/>
        <v>-19.738740548391142</v>
      </c>
      <c r="V61" s="721">
        <f t="shared" si="57"/>
        <v>-2.5112271051088153</v>
      </c>
      <c r="W61" s="721">
        <f t="shared" si="57"/>
        <v>6.2250621741215317</v>
      </c>
      <c r="X61" s="721">
        <f t="shared" si="57"/>
        <v>1.8534463179261218</v>
      </c>
      <c r="Y61" s="721">
        <f t="shared" si="57"/>
        <v>4.3793729421538252</v>
      </c>
      <c r="Z61" s="721">
        <f t="shared" si="57"/>
        <v>3.6753768570909839</v>
      </c>
      <c r="AA61" s="721">
        <f t="shared" si="57"/>
        <v>3.4931110607300253</v>
      </c>
      <c r="AB61" s="721">
        <f t="shared" si="57"/>
        <v>3.2424898204958863</v>
      </c>
      <c r="AC61" s="1463">
        <f ca="1">IF(UPPER('VVP1'!$F$2)="Y",OFFSET('VVP1'!$G$10,0,5*(COLUMN()-7)),('VVP2'!AC54/'VVP2'!AB54-1)*100)</f>
        <v>4.066932975258819</v>
      </c>
      <c r="AD61" s="1463">
        <f ca="1">IF(UPPER('VVP1'!$F$2)="Y",OFFSET('VVP1'!$G$10,0,5*(COLUMN()-7)),('VVP2'!AD54/'VVP2'!AC54-1)*100)</f>
        <v>3.8087055954553639</v>
      </c>
      <c r="AE61" s="1463">
        <f ca="1">IF(UPPER('VVP1'!$F$2)="Y",OFFSET('VVP1'!$G$10,0,5*(COLUMN()-7)),('VVP2'!AE54/'VVP2'!AD54-1)*100)</f>
        <v>3.1782126669207544</v>
      </c>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row>
    <row r="62" spans="1:94">
      <c r="AB62" s="557"/>
      <c r="AC62" s="557"/>
      <c r="AD62" s="557"/>
      <c r="AE62" s="557"/>
    </row>
    <row r="63" spans="1:94">
      <c r="A63" s="1130"/>
      <c r="D63" s="1175"/>
      <c r="E63" s="1129" t="s">
        <v>499</v>
      </c>
      <c r="F63" s="1176"/>
      <c r="G63" s="707">
        <f>+InputY!$G$3</f>
        <v>1995</v>
      </c>
      <c r="H63" s="707">
        <f>+G63+1</f>
        <v>1996</v>
      </c>
      <c r="I63" s="707">
        <f t="shared" ref="I63:O63" si="58">+H63+1</f>
        <v>1997</v>
      </c>
      <c r="J63" s="707">
        <f t="shared" si="58"/>
        <v>1998</v>
      </c>
      <c r="K63" s="707">
        <f t="shared" si="58"/>
        <v>1999</v>
      </c>
      <c r="L63" s="707">
        <f t="shared" si="58"/>
        <v>2000</v>
      </c>
      <c r="M63" s="707">
        <f t="shared" si="58"/>
        <v>2001</v>
      </c>
      <c r="N63" s="707">
        <f t="shared" si="58"/>
        <v>2002</v>
      </c>
      <c r="O63" s="707">
        <f t="shared" si="58"/>
        <v>2003</v>
      </c>
      <c r="P63" s="707">
        <f t="shared" ref="P63:V63" si="59">+O63+1</f>
        <v>2004</v>
      </c>
      <c r="Q63" s="707">
        <f t="shared" si="59"/>
        <v>2005</v>
      </c>
      <c r="R63" s="707">
        <f t="shared" si="59"/>
        <v>2006</v>
      </c>
      <c r="S63" s="707">
        <f>+R63+1</f>
        <v>2007</v>
      </c>
      <c r="T63" s="707">
        <f t="shared" si="59"/>
        <v>2008</v>
      </c>
      <c r="U63" s="707">
        <f t="shared" si="59"/>
        <v>2009</v>
      </c>
      <c r="V63" s="707">
        <f t="shared" si="59"/>
        <v>2010</v>
      </c>
      <c r="W63" s="707">
        <f t="shared" ref="W63:AE63" si="60">+V63+1</f>
        <v>2011</v>
      </c>
      <c r="X63" s="707">
        <f t="shared" si="60"/>
        <v>2012</v>
      </c>
      <c r="Y63" s="707">
        <f t="shared" si="60"/>
        <v>2013</v>
      </c>
      <c r="Z63" s="707">
        <f t="shared" si="60"/>
        <v>2014</v>
      </c>
      <c r="AA63" s="707">
        <f t="shared" si="60"/>
        <v>2015</v>
      </c>
      <c r="AB63" s="707">
        <f t="shared" si="60"/>
        <v>2016</v>
      </c>
      <c r="AC63" s="707">
        <f t="shared" si="60"/>
        <v>2017</v>
      </c>
      <c r="AD63" s="707">
        <f t="shared" si="60"/>
        <v>2018</v>
      </c>
      <c r="AE63" s="707">
        <f t="shared" si="60"/>
        <v>2019</v>
      </c>
    </row>
    <row r="64" spans="1:94">
      <c r="A64" s="664">
        <f>+ROW(InputY!A39)</f>
        <v>39</v>
      </c>
      <c r="B64" s="665" t="s">
        <v>251</v>
      </c>
      <c r="C64" s="1082"/>
      <c r="D64" s="1086"/>
      <c r="E64" s="1087" t="s">
        <v>1449</v>
      </c>
      <c r="F64" s="1089" t="s">
        <v>1992</v>
      </c>
      <c r="G64" s="1088">
        <f>+InputY!G39/1000</f>
        <v>-2.5132466412478337E-3</v>
      </c>
      <c r="H64" s="1088">
        <f>+InputY!H39/1000</f>
        <v>-2.5216880485268633E-3</v>
      </c>
      <c r="I64" s="1088">
        <f>+InputY!I39/1000</f>
        <v>-4.1039829462738306E-4</v>
      </c>
      <c r="J64" s="1088">
        <f>+InputY!J39/1000</f>
        <v>-7.69705232235702E-4</v>
      </c>
      <c r="K64" s="1088">
        <f>+InputY!K39/1000</f>
        <v>-1.8790728925476604E-3</v>
      </c>
      <c r="L64" s="1088">
        <f>+InputY!L39/1000</f>
        <v>-2.2338725355285963E-3</v>
      </c>
      <c r="M64" s="1088">
        <f>+InputY!M39/1000</f>
        <v>-1.7207965060658582E-3</v>
      </c>
      <c r="N64" s="1088">
        <f>+InputY!N39/1000</f>
        <v>-1.9326654072790298E-4</v>
      </c>
      <c r="O64" s="1088">
        <f>+InputY!O39/1000</f>
        <v>3.7629396707105722E-4</v>
      </c>
      <c r="P64" s="1088">
        <f>+InputY!P39/1000</f>
        <v>1.30522E-2</v>
      </c>
      <c r="Q64" s="1088">
        <f>+InputY!Q39/1000</f>
        <v>0.12232888</v>
      </c>
      <c r="R64" s="1088">
        <f>+InputY!R39/1000</f>
        <v>-0.16091435999999998</v>
      </c>
      <c r="S64" s="1088">
        <f>+InputY!S39/1000</f>
        <v>-0.62409140000000007</v>
      </c>
      <c r="T64" s="1088">
        <f>+InputY!T39/1000</f>
        <v>-1.0151909299999999</v>
      </c>
      <c r="U64" s="1088">
        <f>+InputY!U39/1000</f>
        <v>1.7763466699999999</v>
      </c>
      <c r="V64" s="1088">
        <f>+InputY!V39/1000</f>
        <v>0.31864999999999999</v>
      </c>
      <c r="W64" s="1088">
        <f>+InputY!W39/1000</f>
        <v>0.26089999999999997</v>
      </c>
      <c r="X64" s="1088">
        <f>+InputY!X39/1000</f>
        <v>8.7174920000000003E-2</v>
      </c>
      <c r="Y64" s="1088">
        <f>+InputY!Y39/1000</f>
        <v>2.482939E-2</v>
      </c>
      <c r="Z64" s="1088">
        <f>+InputY!Z39/1000</f>
        <v>1.8889160000000002E-2</v>
      </c>
      <c r="AA64" s="1088">
        <f>+InputY!AA39/1000</f>
        <v>0.51474562999999995</v>
      </c>
      <c r="AB64" s="1088">
        <f>+InputY!AB39/1000</f>
        <v>0.10346545</v>
      </c>
      <c r="AC64" s="1088">
        <f>+InputY!AC39/1000</f>
        <v>0.14906469999999999</v>
      </c>
      <c r="AD64" s="1343">
        <f ca="1">IF(AC64&lt;0,+AC64*(1-AD67/100),+AC64*(1+AD67/100))</f>
        <v>0.14906469999999999</v>
      </c>
      <c r="AE64" s="1343">
        <f ca="1">IF(AD64&lt;0,+AD64*(1-AE67/100),+AD64*(1+AE67/100))</f>
        <v>0.14906469999999999</v>
      </c>
    </row>
    <row r="65" spans="1:94">
      <c r="AB65" s="557"/>
      <c r="AC65" s="557"/>
      <c r="AD65" s="557"/>
      <c r="AE65" s="557"/>
    </row>
    <row r="66" spans="1:94" s="699" customFormat="1" ht="12.75" customHeight="1">
      <c r="A66" s="664"/>
      <c r="B66" s="664"/>
      <c r="C66" s="774"/>
      <c r="D66" s="1092"/>
      <c r="E66" s="1093" t="s">
        <v>636</v>
      </c>
      <c r="F66" s="1094"/>
      <c r="G66" s="896">
        <f>+InputY!$G$3</f>
        <v>1995</v>
      </c>
      <c r="H66" s="896">
        <f>+G66+1</f>
        <v>1996</v>
      </c>
      <c r="I66" s="896">
        <f t="shared" ref="I66:O66" si="61">+H66+1</f>
        <v>1997</v>
      </c>
      <c r="J66" s="896">
        <f t="shared" si="61"/>
        <v>1998</v>
      </c>
      <c r="K66" s="896">
        <f t="shared" si="61"/>
        <v>1999</v>
      </c>
      <c r="L66" s="896">
        <f t="shared" si="61"/>
        <v>2000</v>
      </c>
      <c r="M66" s="896">
        <f t="shared" si="61"/>
        <v>2001</v>
      </c>
      <c r="N66" s="896">
        <f t="shared" si="61"/>
        <v>2002</v>
      </c>
      <c r="O66" s="896">
        <f t="shared" si="61"/>
        <v>2003</v>
      </c>
      <c r="P66" s="896">
        <f t="shared" ref="P66:V66" si="62">+O66+1</f>
        <v>2004</v>
      </c>
      <c r="Q66" s="896">
        <f t="shared" si="62"/>
        <v>2005</v>
      </c>
      <c r="R66" s="896">
        <f t="shared" si="62"/>
        <v>2006</v>
      </c>
      <c r="S66" s="896">
        <f>+R66+1</f>
        <v>2007</v>
      </c>
      <c r="T66" s="896">
        <f t="shared" si="62"/>
        <v>2008</v>
      </c>
      <c r="U66" s="896">
        <f t="shared" si="62"/>
        <v>2009</v>
      </c>
      <c r="V66" s="896">
        <f t="shared" si="62"/>
        <v>2010</v>
      </c>
      <c r="W66" s="896">
        <f t="shared" ref="W66:AE66" si="63">+V66+1</f>
        <v>2011</v>
      </c>
      <c r="X66" s="896">
        <f t="shared" si="63"/>
        <v>2012</v>
      </c>
      <c r="Y66" s="896">
        <f t="shared" si="63"/>
        <v>2013</v>
      </c>
      <c r="Z66" s="896">
        <f t="shared" si="63"/>
        <v>2014</v>
      </c>
      <c r="AA66" s="896">
        <f t="shared" si="63"/>
        <v>2015</v>
      </c>
      <c r="AB66" s="896">
        <f t="shared" si="63"/>
        <v>2016</v>
      </c>
      <c r="AC66" s="896">
        <f t="shared" si="63"/>
        <v>2017</v>
      </c>
      <c r="AD66" s="896">
        <f t="shared" si="63"/>
        <v>2018</v>
      </c>
      <c r="AE66" s="896">
        <f t="shared" si="63"/>
        <v>2019</v>
      </c>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row>
    <row r="67" spans="1:94" s="699" customFormat="1" ht="12.75" customHeight="1">
      <c r="A67" s="664"/>
      <c r="B67" s="664"/>
      <c r="C67" s="798"/>
      <c r="D67" s="833"/>
      <c r="E67" s="834" t="s">
        <v>1449</v>
      </c>
      <c r="F67" s="1114" t="s">
        <v>1992</v>
      </c>
      <c r="G67" s="1115"/>
      <c r="H67" s="1115">
        <f>+(H64/G64-1)*100</f>
        <v>0.33587659645049062</v>
      </c>
      <c r="I67" s="1115">
        <f t="shared" ref="I67:AC67" si="64">+(I64/H64-1)*100</f>
        <v>-83.725255196925247</v>
      </c>
      <c r="J67" s="1115">
        <f t="shared" si="64"/>
        <v>87.550787201625184</v>
      </c>
      <c r="K67" s="1115">
        <f t="shared" si="64"/>
        <v>144.12889686220086</v>
      </c>
      <c r="L67" s="1115">
        <f t="shared" si="64"/>
        <v>18.881632766246547</v>
      </c>
      <c r="M67" s="1115">
        <f t="shared" si="64"/>
        <v>-22.968008304078559</v>
      </c>
      <c r="N67" s="1115">
        <f t="shared" si="64"/>
        <v>-88.768774224806208</v>
      </c>
      <c r="O67" s="1115">
        <f t="shared" si="64"/>
        <v>-294.70207603127523</v>
      </c>
      <c r="P67" s="1115">
        <f t="shared" si="64"/>
        <v>3368.6179269877307</v>
      </c>
      <c r="Q67" s="1115">
        <f t="shared" si="64"/>
        <v>837.2280535082208</v>
      </c>
      <c r="R67" s="1115">
        <f t="shared" si="64"/>
        <v>-231.54241255212992</v>
      </c>
      <c r="S67" s="1115">
        <f>+(S64/R64-1)*100</f>
        <v>287.84071228944401</v>
      </c>
      <c r="T67" s="1115">
        <f t="shared" si="64"/>
        <v>62.667027618070016</v>
      </c>
      <c r="U67" s="1115">
        <f t="shared" si="64"/>
        <v>-274.9766095723491</v>
      </c>
      <c r="V67" s="1115">
        <f t="shared" si="64"/>
        <v>-82.061497038750886</v>
      </c>
      <c r="W67" s="1115">
        <f t="shared" si="64"/>
        <v>-18.123332810293434</v>
      </c>
      <c r="X67" s="1115">
        <f t="shared" si="64"/>
        <v>-66.586845534687612</v>
      </c>
      <c r="Y67" s="1115">
        <f t="shared" si="64"/>
        <v>-71.517736982150367</v>
      </c>
      <c r="Z67" s="1115">
        <f t="shared" si="64"/>
        <v>-23.924188230157885</v>
      </c>
      <c r="AA67" s="1115">
        <f t="shared" si="64"/>
        <v>2625.0848105474242</v>
      </c>
      <c r="AB67" s="1115">
        <f t="shared" si="64"/>
        <v>-79.899693368936425</v>
      </c>
      <c r="AC67" s="1115">
        <f t="shared" si="64"/>
        <v>44.071958320386173</v>
      </c>
      <c r="AD67" s="1427">
        <f ca="1">OFFSET('VVP1'!$G$81,0,5*(COLUMN()-7))</f>
        <v>0</v>
      </c>
      <c r="AE67" s="1427">
        <f ca="1">OFFSET('VVP1'!$G$81,0,5*(COLUMN()-7))</f>
        <v>0</v>
      </c>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row>
    <row r="68" spans="1:94">
      <c r="AB68" s="557"/>
      <c r="AC68" s="557"/>
      <c r="AD68" s="557"/>
      <c r="AE68" s="557"/>
    </row>
    <row r="69" spans="1:94">
      <c r="A69" s="1130"/>
      <c r="D69" s="1175"/>
      <c r="E69" s="1129" t="s">
        <v>1942</v>
      </c>
      <c r="F69" s="1176"/>
      <c r="G69" s="707">
        <f>+InputY!$G$3</f>
        <v>1995</v>
      </c>
      <c r="H69" s="707">
        <f>+G69+1</f>
        <v>1996</v>
      </c>
      <c r="I69" s="707">
        <f t="shared" ref="I69:O69" si="65">+H69+1</f>
        <v>1997</v>
      </c>
      <c r="J69" s="707">
        <f t="shared" si="65"/>
        <v>1998</v>
      </c>
      <c r="K69" s="707">
        <f t="shared" si="65"/>
        <v>1999</v>
      </c>
      <c r="L69" s="707">
        <f t="shared" si="65"/>
        <v>2000</v>
      </c>
      <c r="M69" s="707">
        <f t="shared" si="65"/>
        <v>2001</v>
      </c>
      <c r="N69" s="707">
        <f t="shared" si="65"/>
        <v>2002</v>
      </c>
      <c r="O69" s="707">
        <f t="shared" si="65"/>
        <v>2003</v>
      </c>
      <c r="P69" s="707">
        <f t="shared" ref="P69:V69" si="66">+O69+1</f>
        <v>2004</v>
      </c>
      <c r="Q69" s="707">
        <f t="shared" si="66"/>
        <v>2005</v>
      </c>
      <c r="R69" s="707">
        <f t="shared" si="66"/>
        <v>2006</v>
      </c>
      <c r="S69" s="707">
        <f>+R69+1</f>
        <v>2007</v>
      </c>
      <c r="T69" s="707">
        <f t="shared" si="66"/>
        <v>2008</v>
      </c>
      <c r="U69" s="707">
        <f t="shared" si="66"/>
        <v>2009</v>
      </c>
      <c r="V69" s="707">
        <f t="shared" si="66"/>
        <v>2010</v>
      </c>
      <c r="W69" s="707">
        <f t="shared" ref="W69:AE69" si="67">+V69+1</f>
        <v>2011</v>
      </c>
      <c r="X69" s="707">
        <f t="shared" si="67"/>
        <v>2012</v>
      </c>
      <c r="Y69" s="707">
        <f t="shared" si="67"/>
        <v>2013</v>
      </c>
      <c r="Z69" s="707">
        <f t="shared" si="67"/>
        <v>2014</v>
      </c>
      <c r="AA69" s="707">
        <f t="shared" si="67"/>
        <v>2015</v>
      </c>
      <c r="AB69" s="707">
        <f t="shared" si="67"/>
        <v>2016</v>
      </c>
      <c r="AC69" s="707">
        <f t="shared" si="67"/>
        <v>2017</v>
      </c>
      <c r="AD69" s="707">
        <f t="shared" si="67"/>
        <v>2018</v>
      </c>
      <c r="AE69" s="707">
        <f t="shared" si="67"/>
        <v>2019</v>
      </c>
    </row>
    <row r="70" spans="1:94">
      <c r="A70" s="664"/>
      <c r="C70" s="1079" t="s">
        <v>1767</v>
      </c>
      <c r="D70" s="1058"/>
      <c r="E70" s="1038" t="s">
        <v>1941</v>
      </c>
      <c r="F70" s="1058"/>
      <c r="G70" s="1084">
        <f>+G54</f>
        <v>14.579253810129012</v>
      </c>
      <c r="H70" s="1084">
        <f t="shared" ref="H70:O70" si="68">+H54</f>
        <v>15.684726189883465</v>
      </c>
      <c r="I70" s="1084">
        <f t="shared" si="68"/>
        <v>17.07736127695404</v>
      </c>
      <c r="J70" s="1084">
        <f t="shared" si="68"/>
        <v>18.477134009203066</v>
      </c>
      <c r="K70" s="1084">
        <f t="shared" si="68"/>
        <v>18.555156347933963</v>
      </c>
      <c r="L70" s="1084">
        <f t="shared" si="68"/>
        <v>19.017219898719677</v>
      </c>
      <c r="M70" s="1084">
        <f t="shared" si="68"/>
        <v>20.004497742649203</v>
      </c>
      <c r="N70" s="1084">
        <f t="shared" si="68"/>
        <v>21.261742027629673</v>
      </c>
      <c r="O70" s="1084">
        <f t="shared" si="68"/>
        <v>23.392936699256751</v>
      </c>
      <c r="P70" s="1084">
        <f t="shared" ref="P70:V70" si="69">+P54</f>
        <v>26.01232113</v>
      </c>
      <c r="Q70" s="1084">
        <f t="shared" si="69"/>
        <v>28.649446560000001</v>
      </c>
      <c r="R70" s="1084">
        <f t="shared" si="69"/>
        <v>31.567883179999999</v>
      </c>
      <c r="S70" s="1084">
        <f>+S54</f>
        <v>35.646567750000003</v>
      </c>
      <c r="T70" s="1084">
        <f t="shared" si="69"/>
        <v>36.085323389999999</v>
      </c>
      <c r="U70" s="1084">
        <f t="shared" si="69"/>
        <v>28.962535029999998</v>
      </c>
      <c r="V70" s="1084">
        <f t="shared" si="69"/>
        <v>28.235220000000002</v>
      </c>
      <c r="W70" s="1084">
        <f t="shared" ref="W70:AB70" si="70">+W54</f>
        <v>29.99288</v>
      </c>
      <c r="X70" s="1084">
        <f t="shared" si="70"/>
        <v>30.548781930000001</v>
      </c>
      <c r="Y70" s="1084">
        <f t="shared" si="70"/>
        <v>31.886627019999999</v>
      </c>
      <c r="Z70" s="1084">
        <f t="shared" si="70"/>
        <v>33.058580730000003</v>
      </c>
      <c r="AA70" s="1084">
        <f t="shared" si="70"/>
        <v>34.213353669999996</v>
      </c>
      <c r="AB70" s="1084">
        <f t="shared" si="70"/>
        <v>35.322718180000003</v>
      </c>
      <c r="AC70" s="1084">
        <f>+AC54</f>
        <v>36.759275770000002</v>
      </c>
      <c r="AD70" s="1084">
        <f ca="1">+AD54</f>
        <v>38.159328363100862</v>
      </c>
      <c r="AE70" s="1084">
        <f ca="1">+AE54</f>
        <v>39.372112970748816</v>
      </c>
    </row>
    <row r="71" spans="1:94">
      <c r="A71" s="664"/>
      <c r="C71" s="1081" t="s">
        <v>1767</v>
      </c>
      <c r="D71" s="1077"/>
      <c r="E71" s="1039" t="s">
        <v>1449</v>
      </c>
      <c r="F71" s="1077" t="s">
        <v>1992</v>
      </c>
      <c r="G71" s="1062">
        <f>+G64</f>
        <v>-2.5132466412478337E-3</v>
      </c>
      <c r="H71" s="1062">
        <f t="shared" ref="H71:O71" si="71">+H64</f>
        <v>-2.5216880485268633E-3</v>
      </c>
      <c r="I71" s="1062">
        <f t="shared" si="71"/>
        <v>-4.1039829462738306E-4</v>
      </c>
      <c r="J71" s="1062">
        <f t="shared" si="71"/>
        <v>-7.69705232235702E-4</v>
      </c>
      <c r="K71" s="1062">
        <f t="shared" si="71"/>
        <v>-1.8790728925476604E-3</v>
      </c>
      <c r="L71" s="1062">
        <f t="shared" si="71"/>
        <v>-2.2338725355285963E-3</v>
      </c>
      <c r="M71" s="1062">
        <f t="shared" si="71"/>
        <v>-1.7207965060658582E-3</v>
      </c>
      <c r="N71" s="1062">
        <f t="shared" si="71"/>
        <v>-1.9326654072790298E-4</v>
      </c>
      <c r="O71" s="1062">
        <f t="shared" si="71"/>
        <v>3.7629396707105722E-4</v>
      </c>
      <c r="P71" s="1062">
        <f t="shared" ref="P71:V71" si="72">+P64</f>
        <v>1.30522E-2</v>
      </c>
      <c r="Q71" s="1062">
        <f t="shared" si="72"/>
        <v>0.12232888</v>
      </c>
      <c r="R71" s="1062">
        <f t="shared" si="72"/>
        <v>-0.16091435999999998</v>
      </c>
      <c r="S71" s="1062">
        <f>+S64</f>
        <v>-0.62409140000000007</v>
      </c>
      <c r="T71" s="1062">
        <f t="shared" si="72"/>
        <v>-1.0151909299999999</v>
      </c>
      <c r="U71" s="1062">
        <f t="shared" si="72"/>
        <v>1.7763466699999999</v>
      </c>
      <c r="V71" s="1062">
        <f t="shared" si="72"/>
        <v>0.31864999999999999</v>
      </c>
      <c r="W71" s="1062">
        <f t="shared" ref="W71:AB71" si="73">+W64</f>
        <v>0.26089999999999997</v>
      </c>
      <c r="X71" s="1062">
        <f t="shared" si="73"/>
        <v>8.7174920000000003E-2</v>
      </c>
      <c r="Y71" s="1062">
        <f t="shared" si="73"/>
        <v>2.482939E-2</v>
      </c>
      <c r="Z71" s="1062">
        <f t="shared" si="73"/>
        <v>1.8889160000000002E-2</v>
      </c>
      <c r="AA71" s="1062">
        <f t="shared" si="73"/>
        <v>0.51474562999999995</v>
      </c>
      <c r="AB71" s="1062">
        <f t="shared" si="73"/>
        <v>0.10346545</v>
      </c>
      <c r="AC71" s="1062">
        <f>+AC64</f>
        <v>0.14906469999999999</v>
      </c>
      <c r="AD71" s="1062">
        <f ca="1">+AD64</f>
        <v>0.14906469999999999</v>
      </c>
      <c r="AE71" s="1062">
        <f ca="1">+AE64</f>
        <v>0.14906469999999999</v>
      </c>
    </row>
    <row r="72" spans="1:94">
      <c r="A72" s="664">
        <f>+ROW(InputY!A42)</f>
        <v>42</v>
      </c>
      <c r="B72" s="664"/>
      <c r="C72" s="694" t="s">
        <v>1769</v>
      </c>
      <c r="D72" s="1177"/>
      <c r="E72" s="1461" t="s">
        <v>1942</v>
      </c>
      <c r="F72" s="1460" t="s">
        <v>47</v>
      </c>
      <c r="G72" s="1184">
        <f>+InputY!G42/1000</f>
        <v>13.836275402676117</v>
      </c>
      <c r="H72" s="1184">
        <f>+InputY!H42/1000</f>
        <v>15.044402112619391</v>
      </c>
      <c r="I72" s="1184">
        <f>+InputY!I42/1000</f>
        <v>16.904520540333646</v>
      </c>
      <c r="J72" s="1184">
        <f>+InputY!J42/1000</f>
        <v>18.287507990920549</v>
      </c>
      <c r="K72" s="1184">
        <f>+InputY!K42/1000</f>
        <v>18.187110671109533</v>
      </c>
      <c r="L72" s="1184">
        <f>+InputY!L42/1000</f>
        <v>18.575447364388694</v>
      </c>
      <c r="M72" s="1184">
        <f>+InputY!M42/1000</f>
        <v>19.65684720975181</v>
      </c>
      <c r="N72" s="1184">
        <f>+InputY!N42/1000</f>
        <v>21.1194781462228</v>
      </c>
      <c r="O72" s="1184">
        <f>+InputY!O42/1000</f>
        <v>23.318488136288344</v>
      </c>
      <c r="P72" s="1184">
        <f>+InputY!P42/1000</f>
        <v>26.40723272</v>
      </c>
      <c r="Q72" s="1184">
        <f>+InputY!Q42/1000</f>
        <v>28.643457320000003</v>
      </c>
      <c r="R72" s="1184">
        <f>+InputY!R42/1000</f>
        <v>31.129453789999999</v>
      </c>
      <c r="S72" s="1184">
        <f>+InputY!S42/1000</f>
        <v>35.771466449999998</v>
      </c>
      <c r="T72" s="1184">
        <f>+InputY!T42/1000</f>
        <v>36.898166749999994</v>
      </c>
      <c r="U72" s="1184">
        <f>+InputY!U42/1000</f>
        <v>28.05370173</v>
      </c>
      <c r="V72" s="1184">
        <f>+InputY!V42/1000</f>
        <v>28.55387</v>
      </c>
      <c r="W72" s="1184">
        <f>+InputY!W42/1000</f>
        <v>30.253779999999999</v>
      </c>
      <c r="X72" s="1184">
        <f>+InputY!X42/1000</f>
        <v>30.162026480000002</v>
      </c>
      <c r="Y72" s="1184">
        <f>+InputY!Y42/1000</f>
        <v>31.017061699999999</v>
      </c>
      <c r="Z72" s="1184">
        <f>+InputY!Z42/1000</f>
        <v>32.070553260000004</v>
      </c>
      <c r="AA72" s="1184">
        <f>+InputY!AA42/1000</f>
        <v>34.438025119999999</v>
      </c>
      <c r="AB72" s="1184">
        <f>+InputY!AB42/1000</f>
        <v>35.266515149999996</v>
      </c>
      <c r="AC72" s="1464">
        <f ca="1">IF(UPPER('VVP1'!$F$2)="Y",+AB72*(1+AC78/100),+AC70+AC71)</f>
        <v>36.725054851007108</v>
      </c>
      <c r="AD72" s="1464">
        <f ca="1">IF(UPPER('VVP1'!$F$2)="Y",+AC72*(1+AD78/100),+AD70+AD71)</f>
        <v>38.14587641386899</v>
      </c>
      <c r="AE72" s="1464">
        <f ca="1">IF(UPPER('VVP1'!$F$2)="Y",+AD72*(1+AE78/100),+AE70+AE71)</f>
        <v>39.376147701025829</v>
      </c>
    </row>
    <row r="73" spans="1:94" s="699" customFormat="1" ht="12.75" customHeight="1">
      <c r="A73" s="664"/>
      <c r="B73" s="664"/>
      <c r="C73" s="774"/>
      <c r="D73" s="1973"/>
      <c r="E73" s="1973" t="s">
        <v>737</v>
      </c>
      <c r="F73" s="1973"/>
      <c r="G73" s="1002"/>
      <c r="H73" s="1002">
        <f ca="1">ABS(IF('VVP1'!$F$2="Y",OFFSET('VVP1'!$G$12,0,5*(COLUMN()-7)+1)-OFFSET('VVP1'!$G$7,0,5*(COLUMN()-7)+1)-OFFSET('VVP1'!$G$8,0,5*(COLUMN()-7)+1)-OFFSET('VVP1'!$G$9,0,5*(COLUMN()-7)+1)-OFFSET('VVP1'!$G$11,0,5*(COLUMN()-7)+1),ABS(H72-H70-H71)))</f>
        <v>3.8001651733166053E-3</v>
      </c>
      <c r="I73" s="1002">
        <f ca="1">ABS(IF('VVP1'!$F$2="Y",OFFSET('VVP1'!$G$12,0,5*(COLUMN()-7)+1)-OFFSET('VVP1'!$G$7,0,5*(COLUMN()-7)+1)-OFFSET('VVP1'!$G$8,0,5*(COLUMN()-7)+1)-OFFSET('VVP1'!$G$9,0,5*(COLUMN()-7)+1)-OFFSET('VVP1'!$G$11,0,5*(COLUMN()-7)+1),ABS(I72-I70-I71)))</f>
        <v>2.2122257829342296E-3</v>
      </c>
      <c r="J73" s="1002">
        <f ca="1">ABS(IF('VVP1'!$F$2="Y",OFFSET('VVP1'!$G$12,0,5*(COLUMN()-7)+1)-OFFSET('VVP1'!$G$7,0,5*(COLUMN()-7)+1)-OFFSET('VVP1'!$G$8,0,5*(COLUMN()-7)+1)-OFFSET('VVP1'!$G$9,0,5*(COLUMN()-7)+1)-OFFSET('VVP1'!$G$11,0,5*(COLUMN()-7)+1),ABS(J72-J70-J71)))</f>
        <v>8.1449165506120025E-4</v>
      </c>
      <c r="K73" s="1002">
        <f ca="1">ABS(IF('VVP1'!$F$2="Y",OFFSET('VVP1'!$G$12,0,5*(COLUMN()-7)+1)-OFFSET('VVP1'!$G$7,0,5*(COLUMN()-7)+1)-OFFSET('VVP1'!$G$8,0,5*(COLUMN()-7)+1)-OFFSET('VVP1'!$G$9,0,5*(COLUMN()-7)+1)-OFFSET('VVP1'!$G$11,0,5*(COLUMN()-7)+1),ABS(K72-K70-K71)))</f>
        <v>6.8925093440075358E-4</v>
      </c>
      <c r="L73" s="1002">
        <f ca="1">ABS(IF('VVP1'!$F$2="Y",OFFSET('VVP1'!$G$12,0,5*(COLUMN()-7)+1)-OFFSET('VVP1'!$G$7,0,5*(COLUMN()-7)+1)-OFFSET('VVP1'!$G$8,0,5*(COLUMN()-7)+1)-OFFSET('VVP1'!$G$9,0,5*(COLUMN()-7)+1)-OFFSET('VVP1'!$G$11,0,5*(COLUMN()-7)+1),ABS(L72-L70-L71)))</f>
        <v>2.4343308552676746E-4</v>
      </c>
      <c r="M73" s="1002">
        <f ca="1">ABS(IF('VVP1'!$F$2="Y",OFFSET('VVP1'!$G$12,0,5*(COLUMN()-7)+1)-OFFSET('VVP1'!$G$7,0,5*(COLUMN()-7)+1)-OFFSET('VVP1'!$G$8,0,5*(COLUMN()-7)+1)-OFFSET('VVP1'!$G$9,0,5*(COLUMN()-7)+1)-OFFSET('VVP1'!$G$11,0,5*(COLUMN()-7)+1),ABS(M72-M70-M71)))</f>
        <v>4.1677593105706734E-3</v>
      </c>
      <c r="N73" s="1002">
        <f ca="1">ABS(IF('VVP1'!$F$2="Y",OFFSET('VVP1'!$G$12,0,5*(COLUMN()-7)+1)-OFFSET('VVP1'!$G$7,0,5*(COLUMN()-7)+1)-OFFSET('VVP1'!$G$8,0,5*(COLUMN()-7)+1)-OFFSET('VVP1'!$G$9,0,5*(COLUMN()-7)+1)-OFFSET('VVP1'!$G$11,0,5*(COLUMN()-7)+1),ABS(N72-N70-N71)))</f>
        <v>2.3191715707708838E-3</v>
      </c>
      <c r="O73" s="1002">
        <f ca="1">ABS(IF('VVP1'!$F$2="Y",OFFSET('VVP1'!$G$12,0,5*(COLUMN()-7)+1)-OFFSET('VVP1'!$G$7,0,5*(COLUMN()-7)+1)-OFFSET('VVP1'!$G$8,0,5*(COLUMN()-7)+1)-OFFSET('VVP1'!$G$9,0,5*(COLUMN()-7)+1)-OFFSET('VVP1'!$G$11,0,5*(COLUMN()-7)+1),ABS(O72-O70-O71)))</f>
        <v>3.7856923590497971E-3</v>
      </c>
      <c r="P73" s="1002">
        <f ca="1">ABS(IF('VVP1'!$F$2="Y",OFFSET('VVP1'!$G$12,0,5*(COLUMN()-7)+1)-OFFSET('VVP1'!$G$7,0,5*(COLUMN()-7)+1)-OFFSET('VVP1'!$G$8,0,5*(COLUMN()-7)+1)-OFFSET('VVP1'!$G$9,0,5*(COLUMN()-7)+1)-OFFSET('VVP1'!$G$11,0,5*(COLUMN()-7)+1),ABS(P72-P70-P71)))</f>
        <v>9.3645241084061581E-4</v>
      </c>
      <c r="Q73" s="1002">
        <f ca="1">ABS(IF('VVP1'!$F$2="Y",OFFSET('VVP1'!$G$12,0,5*(COLUMN()-7)+1)-OFFSET('VVP1'!$G$7,0,5*(COLUMN()-7)+1)-OFFSET('VVP1'!$G$8,0,5*(COLUMN()-7)+1)-OFFSET('VVP1'!$G$9,0,5*(COLUMN()-7)+1)-OFFSET('VVP1'!$G$11,0,5*(COLUMN()-7)+1),ABS(Q72-Q70-Q71)))</f>
        <v>4.1298300414993605E-6</v>
      </c>
      <c r="R73" s="1002">
        <f ca="1">ABS(IF('VVP1'!$F$2="Y",OFFSET('VVP1'!$G$12,0,5*(COLUMN()-7)+1)-OFFSET('VVP1'!$G$7,0,5*(COLUMN()-7)+1)-OFFSET('VVP1'!$G$8,0,5*(COLUMN()-7)+1)-OFFSET('VVP1'!$G$9,0,5*(COLUMN()-7)+1)-OFFSET('VVP1'!$G$11,0,5*(COLUMN()-7)+1),ABS(R72-R70-R71)))</f>
        <v>6.7089530491060145E-6</v>
      </c>
      <c r="S73" s="1002">
        <f ca="1">ABS(IF('VVP1'!$F$2="Y",OFFSET('VVP1'!$G$12,0,5*(COLUMN()-7)+1)-OFFSET('VVP1'!$G$7,0,5*(COLUMN()-7)+1)-OFFSET('VVP1'!$G$8,0,5*(COLUMN()-7)+1)-OFFSET('VVP1'!$G$9,0,5*(COLUMN()-7)+1)-OFFSET('VVP1'!$G$11,0,5*(COLUMN()-7)+1),ABS(S72-S70-S71)))</f>
        <v>9.8619028499058459E-8</v>
      </c>
      <c r="T73" s="2906">
        <f ca="1">ABS(IF('VVP1'!$F$2="Y",OFFSET('VVP1'!$G$12,0,5*(COLUMN()-7)+1)-OFFSET('VVP1'!$G$7,0,5*(COLUMN()-7)+1)-OFFSET('VVP1'!$G$8,0,5*(COLUMN()-7)+1)-OFFSET('VVP1'!$G$9,0,5*(COLUMN()-7)+1)-OFFSET('VVP1'!$G$11,0,5*(COLUMN()-7)+1),ABS(T72-T70-T71)))</f>
        <v>1.2036373453483407E-6</v>
      </c>
      <c r="U73" s="2906">
        <f ca="1">ABS(IF('VVP1'!$F$2="Y",OFFSET('VVP1'!$G$12,0,5*(COLUMN()-7)+1)-OFFSET('VVP1'!$G$7,0,5*(COLUMN()-7)+1)-OFFSET('VVP1'!$G$8,0,5*(COLUMN()-7)+1)-OFFSET('VVP1'!$G$9,0,5*(COLUMN()-7)+1)-OFFSET('VVP1'!$G$11,0,5*(COLUMN()-7)+1),ABS(U72-U70-U71)))</f>
        <v>4.3809192069588221E-6</v>
      </c>
      <c r="V73" s="2906">
        <f ca="1">ABS(IF('VVP1'!$F$2="Y",OFFSET('VVP1'!$G$12,0,5*(COLUMN()-7)+1)-OFFSET('VVP1'!$G$7,0,5*(COLUMN()-7)+1)-OFFSET('VVP1'!$G$8,0,5*(COLUMN()-7)+1)-OFFSET('VVP1'!$G$9,0,5*(COLUMN()-7)+1)-OFFSET('VVP1'!$G$11,0,5*(COLUMN()-7)+1),ABS(V72-V70-V71)))</f>
        <v>1.1641128022432667E-5</v>
      </c>
      <c r="W73" s="2906">
        <f ca="1">ABS(IF('VVP1'!$F$2="Y",OFFSET('VVP1'!$G$12,0,5*(COLUMN()-7)+1)-OFFSET('VVP1'!$G$7,0,5*(COLUMN()-7)+1)-OFFSET('VVP1'!$G$8,0,5*(COLUMN()-7)+1)-OFFSET('VVP1'!$G$9,0,5*(COLUMN()-7)+1)-OFFSET('VVP1'!$G$11,0,5*(COLUMN()-7)+1),ABS(W72-W70-W71)))</f>
        <v>6.2172489379008766E-15</v>
      </c>
      <c r="X73" s="2906">
        <f ca="1">ABS(IF('VVP1'!$F$2="Y",OFFSET('VVP1'!$G$12,0,5*(COLUMN()-7)+1)-OFFSET('VVP1'!$G$7,0,5*(COLUMN()-7)+1)-OFFSET('VVP1'!$G$8,0,5*(COLUMN()-7)+1)-OFFSET('VVP1'!$G$9,0,5*(COLUMN()-7)+1)-OFFSET('VVP1'!$G$11,0,5*(COLUMN()-7)+1),ABS(X72-X70-X71)))</f>
        <v>4.540159770805019E-6</v>
      </c>
      <c r="Y73" s="2906">
        <f ca="1">ABS(IF('VVP1'!$F$2="Y",OFFSET('VVP1'!$G$12,0,5*(COLUMN()-7)+1)-OFFSET('VVP1'!$G$7,0,5*(COLUMN()-7)+1)-OFFSET('VVP1'!$G$8,0,5*(COLUMN()-7)+1)-OFFSET('VVP1'!$G$9,0,5*(COLUMN()-7)+1)-OFFSET('VVP1'!$G$11,0,5*(COLUMN()-7)+1),ABS(Y72-Y70-Y71)))</f>
        <v>2.0104454501179703E-6</v>
      </c>
      <c r="Z73" s="2906">
        <f ca="1">ABS(IF('VVP1'!$F$2="Y",OFFSET('VVP1'!$G$12,0,5*(COLUMN()-7)+1)-OFFSET('VVP1'!$G$7,0,5*(COLUMN()-7)+1)-OFFSET('VVP1'!$G$8,0,5*(COLUMN()-7)+1)-OFFSET('VVP1'!$G$9,0,5*(COLUMN()-7)+1)-OFFSET('VVP1'!$G$11,0,5*(COLUMN()-7)+1),ABS(Z72-Z70-Z71)))</f>
        <v>1.1017852363792713E-5</v>
      </c>
      <c r="AA73" s="2906">
        <f ca="1">ABS(IF('VVP1'!$F$2="Y",OFFSET('VVP1'!$G$12,0,5*(COLUMN()-7)+1)-OFFSET('VVP1'!$G$7,0,5*(COLUMN()-7)+1)-OFFSET('VVP1'!$G$8,0,5*(COLUMN()-7)+1)-OFFSET('VVP1'!$G$9,0,5*(COLUMN()-7)+1)-OFFSET('VVP1'!$G$11,0,5*(COLUMN()-7)+1),ABS(AA72-AA70-AA71)))</f>
        <v>7.2811312037401876E-6</v>
      </c>
      <c r="AB73" s="2906">
        <f ca="1">ABS(IF('VVP1'!$F$2="Y",OFFSET('VVP1'!$G$12,0,5*(COLUMN()-7)+1)-OFFSET('VVP1'!$G$7,0,5*(COLUMN()-7)+1)-OFFSET('VVP1'!$G$8,0,5*(COLUMN()-7)+1)-OFFSET('VVP1'!$G$9,0,5*(COLUMN()-7)+1)-OFFSET('VVP1'!$G$11,0,5*(COLUMN()-7)+1),ABS(AB72-AB70-AB71)))</f>
        <v>2.0932363877790294E-6</v>
      </c>
      <c r="AC73" s="2906">
        <f ca="1">ABS(IF('VVP1'!$F$2="Y",OFFSET('VVP1'!$G$12,0,5*(COLUMN()-7)+1)-OFFSET('VVP1'!$G$7,0,5*(COLUMN()-7)+1)-OFFSET('VVP1'!$G$8,0,5*(COLUMN()-7)+1)-OFFSET('VVP1'!$G$9,0,5*(COLUMN()-7)+1)-OFFSET('VVP1'!$G$11,0,5*(COLUMN()-7)+1),ABS(AC72-AC70-AC71)))</f>
        <v>2.4424906541753444E-15</v>
      </c>
      <c r="AD73" s="2906">
        <f ca="1">ABS(IF('VVP1'!$F$2="Y",OFFSET('VVP1'!$G$12,0,5*(COLUMN()-7)+1)-OFFSET('VVP1'!$G$7,0,5*(COLUMN()-7)+1)-OFFSET('VVP1'!$G$8,0,5*(COLUMN()-7)+1)-OFFSET('VVP1'!$G$9,0,5*(COLUMN()-7)+1)-OFFSET('VVP1'!$G$11,0,5*(COLUMN()-7)+1),ABS(AD72-AD70-AD71)))</f>
        <v>5.1070259132757201E-15</v>
      </c>
      <c r="AE73" s="2906">
        <f ca="1">ABS(IF('VVP1'!$F$2="Y",OFFSET('VVP1'!$G$12,0,5*(COLUMN()-7)+1)-OFFSET('VVP1'!$G$7,0,5*(COLUMN()-7)+1)-OFFSET('VVP1'!$G$8,0,5*(COLUMN()-7)+1)-OFFSET('VVP1'!$G$9,0,5*(COLUMN()-7)+1)-OFFSET('VVP1'!$G$11,0,5*(COLUMN()-7)+1),ABS(AE72-AE70-AE71)))</f>
        <v>6.8833827526759706E-15</v>
      </c>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row>
    <row r="74" spans="1:94">
      <c r="R74" s="3056"/>
      <c r="S74" s="3056"/>
      <c r="V74" s="1693">
        <f t="shared" ref="V74:AC74" si="74">SUM(V64,V29,V13,V7)-V72</f>
        <v>0</v>
      </c>
      <c r="W74" s="1693">
        <f t="shared" si="74"/>
        <v>0</v>
      </c>
      <c r="X74" s="1693">
        <f t="shared" si="74"/>
        <v>0.46916844000000069</v>
      </c>
      <c r="Y74" s="1693">
        <f t="shared" si="74"/>
        <v>0.88999769000000128</v>
      </c>
      <c r="Z74" s="1693">
        <f t="shared" si="74"/>
        <v>0.99495589999999368</v>
      </c>
      <c r="AA74" s="1693">
        <f t="shared" si="74"/>
        <v>0.27552050999999977</v>
      </c>
      <c r="AB74" s="1693">
        <f t="shared" si="74"/>
        <v>0.15462030000000482</v>
      </c>
      <c r="AC74" s="1693">
        <f t="shared" ca="1" si="74"/>
        <v>0.18611984899289524</v>
      </c>
      <c r="AD74" s="557"/>
      <c r="AE74" s="557"/>
    </row>
    <row r="75" spans="1:94" s="699" customFormat="1" ht="12.75" customHeight="1">
      <c r="A75" s="664"/>
      <c r="B75" s="664"/>
      <c r="C75" s="774"/>
      <c r="D75" s="1092"/>
      <c r="E75" s="1093" t="s">
        <v>1942</v>
      </c>
      <c r="F75" s="1094"/>
      <c r="G75" s="896">
        <f>+InputY!$G$3</f>
        <v>1995</v>
      </c>
      <c r="H75" s="896">
        <f>+G75+1</f>
        <v>1996</v>
      </c>
      <c r="I75" s="896">
        <f t="shared" ref="I75:O75" si="75">+H75+1</f>
        <v>1997</v>
      </c>
      <c r="J75" s="896">
        <f t="shared" si="75"/>
        <v>1998</v>
      </c>
      <c r="K75" s="896">
        <f t="shared" si="75"/>
        <v>1999</v>
      </c>
      <c r="L75" s="896">
        <f t="shared" si="75"/>
        <v>2000</v>
      </c>
      <c r="M75" s="896">
        <f t="shared" si="75"/>
        <v>2001</v>
      </c>
      <c r="N75" s="896">
        <f t="shared" si="75"/>
        <v>2002</v>
      </c>
      <c r="O75" s="896">
        <f t="shared" si="75"/>
        <v>2003</v>
      </c>
      <c r="P75" s="896">
        <f t="shared" ref="P75:V75" si="76">+O75+1</f>
        <v>2004</v>
      </c>
      <c r="Q75" s="896">
        <f t="shared" si="76"/>
        <v>2005</v>
      </c>
      <c r="R75" s="896">
        <f t="shared" si="76"/>
        <v>2006</v>
      </c>
      <c r="S75" s="896">
        <f>+R75+1</f>
        <v>2007</v>
      </c>
      <c r="T75" s="896">
        <f t="shared" si="76"/>
        <v>2008</v>
      </c>
      <c r="U75" s="896">
        <f t="shared" si="76"/>
        <v>2009</v>
      </c>
      <c r="V75" s="896">
        <f t="shared" si="76"/>
        <v>2010</v>
      </c>
      <c r="W75" s="896">
        <f t="shared" ref="W75:AE75" si="77">+V75+1</f>
        <v>2011</v>
      </c>
      <c r="X75" s="896">
        <f t="shared" si="77"/>
        <v>2012</v>
      </c>
      <c r="Y75" s="896">
        <f t="shared" si="77"/>
        <v>2013</v>
      </c>
      <c r="Z75" s="896">
        <f t="shared" si="77"/>
        <v>2014</v>
      </c>
      <c r="AA75" s="896">
        <f t="shared" si="77"/>
        <v>2015</v>
      </c>
      <c r="AB75" s="896">
        <f t="shared" si="77"/>
        <v>2016</v>
      </c>
      <c r="AC75" s="896">
        <f t="shared" si="77"/>
        <v>2017</v>
      </c>
      <c r="AD75" s="896">
        <f t="shared" si="77"/>
        <v>2018</v>
      </c>
      <c r="AE75" s="896">
        <f t="shared" si="77"/>
        <v>2019</v>
      </c>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row>
    <row r="76" spans="1:94" s="699" customFormat="1" ht="12.75" customHeight="1">
      <c r="A76" s="664"/>
      <c r="B76" s="664"/>
      <c r="C76" s="794" t="s">
        <v>1767</v>
      </c>
      <c r="D76" s="689"/>
      <c r="E76" s="738" t="s">
        <v>1941</v>
      </c>
      <c r="F76" s="733" t="s">
        <v>46</v>
      </c>
      <c r="G76" s="1095"/>
      <c r="H76" s="1095">
        <f>+(H70/G70-1)*100</f>
        <v>7.5825031524344499</v>
      </c>
      <c r="I76" s="1095">
        <f t="shared" ref="I76:S76" si="78">+(I70/H70-1)*100</f>
        <v>8.8789250778812843</v>
      </c>
      <c r="J76" s="1095">
        <f t="shared" si="78"/>
        <v>8.1966570218200197</v>
      </c>
      <c r="K76" s="1095">
        <f t="shared" si="78"/>
        <v>0.42226428997069743</v>
      </c>
      <c r="L76" s="1095">
        <f t="shared" si="78"/>
        <v>2.490216423518099</v>
      </c>
      <c r="M76" s="1095">
        <f t="shared" si="78"/>
        <v>5.1914940732004311</v>
      </c>
      <c r="N76" s="1095">
        <f t="shared" si="78"/>
        <v>6.2848080524413819</v>
      </c>
      <c r="O76" s="1095">
        <f t="shared" si="78"/>
        <v>10.023612688262261</v>
      </c>
      <c r="P76" s="1095">
        <f t="shared" si="78"/>
        <v>11.197330478077493</v>
      </c>
      <c r="Q76" s="1095">
        <f t="shared" si="78"/>
        <v>10.137985829179264</v>
      </c>
      <c r="R76" s="1095">
        <f t="shared" si="78"/>
        <v>10.186712032597111</v>
      </c>
      <c r="S76" s="1095">
        <f t="shared" si="78"/>
        <v>12.920361326552543</v>
      </c>
      <c r="T76" s="1095">
        <f t="shared" ref="T76:AE77" si="79">+(T70/S70-1)*100</f>
        <v>1.2308496096373744</v>
      </c>
      <c r="U76" s="1095">
        <f t="shared" si="79"/>
        <v>-19.738740548391142</v>
      </c>
      <c r="V76" s="1095">
        <f t="shared" si="79"/>
        <v>-2.5112271051088153</v>
      </c>
      <c r="W76" s="1095">
        <f t="shared" si="79"/>
        <v>6.2250621741215317</v>
      </c>
      <c r="X76" s="1095">
        <f t="shared" si="79"/>
        <v>1.8534463179261218</v>
      </c>
      <c r="Y76" s="1095">
        <f t="shared" si="79"/>
        <v>4.3793729421538252</v>
      </c>
      <c r="Z76" s="1095">
        <f t="shared" si="79"/>
        <v>3.6753768570909839</v>
      </c>
      <c r="AA76" s="1095">
        <f t="shared" si="79"/>
        <v>3.4931110607300253</v>
      </c>
      <c r="AB76" s="1095">
        <f t="shared" si="79"/>
        <v>3.2424898204958863</v>
      </c>
      <c r="AC76" s="1095">
        <f t="shared" si="79"/>
        <v>4.0669508577439784</v>
      </c>
      <c r="AD76" s="1095">
        <f t="shared" ca="1" si="79"/>
        <v>3.8087055954553639</v>
      </c>
      <c r="AE76" s="1095">
        <f t="shared" ca="1" si="79"/>
        <v>3.1782126669207544</v>
      </c>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row>
    <row r="77" spans="1:94" s="699" customFormat="1" ht="12.75" customHeight="1">
      <c r="A77" s="664"/>
      <c r="B77" s="664"/>
      <c r="C77" s="796" t="s">
        <v>1767</v>
      </c>
      <c r="D77" s="691"/>
      <c r="E77" s="797" t="s">
        <v>1449</v>
      </c>
      <c r="F77" s="736" t="s">
        <v>1992</v>
      </c>
      <c r="G77" s="1096"/>
      <c r="H77" s="1096">
        <f>+(H71/G71-1)*100</f>
        <v>0.33587659645049062</v>
      </c>
      <c r="I77" s="1096">
        <f t="shared" ref="I77:S77" si="80">+(I71/H71-1)*100</f>
        <v>-83.725255196925247</v>
      </c>
      <c r="J77" s="1096">
        <f t="shared" si="80"/>
        <v>87.550787201625184</v>
      </c>
      <c r="K77" s="1096">
        <f t="shared" si="80"/>
        <v>144.12889686220086</v>
      </c>
      <c r="L77" s="1096">
        <f t="shared" si="80"/>
        <v>18.881632766246547</v>
      </c>
      <c r="M77" s="1096">
        <f t="shared" si="80"/>
        <v>-22.968008304078559</v>
      </c>
      <c r="N77" s="1096">
        <f t="shared" si="80"/>
        <v>-88.768774224806208</v>
      </c>
      <c r="O77" s="1096">
        <f t="shared" si="80"/>
        <v>-294.70207603127523</v>
      </c>
      <c r="P77" s="1096">
        <f t="shared" si="80"/>
        <v>3368.6179269877307</v>
      </c>
      <c r="Q77" s="1096">
        <f t="shared" si="80"/>
        <v>837.2280535082208</v>
      </c>
      <c r="R77" s="1096">
        <f t="shared" si="80"/>
        <v>-231.54241255212992</v>
      </c>
      <c r="S77" s="1096">
        <f t="shared" si="80"/>
        <v>287.84071228944401</v>
      </c>
      <c r="T77" s="1096">
        <f t="shared" si="79"/>
        <v>62.667027618070016</v>
      </c>
      <c r="U77" s="1096">
        <f t="shared" si="79"/>
        <v>-274.9766095723491</v>
      </c>
      <c r="V77" s="1096">
        <f t="shared" si="79"/>
        <v>-82.061497038750886</v>
      </c>
      <c r="W77" s="1096">
        <f t="shared" si="79"/>
        <v>-18.123332810293434</v>
      </c>
      <c r="X77" s="1096">
        <f t="shared" si="79"/>
        <v>-66.586845534687612</v>
      </c>
      <c r="Y77" s="1096">
        <f t="shared" si="79"/>
        <v>-71.517736982150367</v>
      </c>
      <c r="Z77" s="1096">
        <f t="shared" si="79"/>
        <v>-23.924188230157885</v>
      </c>
      <c r="AA77" s="1096">
        <f t="shared" si="79"/>
        <v>2625.0848105474242</v>
      </c>
      <c r="AB77" s="1096">
        <f t="shared" si="79"/>
        <v>-79.899693368936425</v>
      </c>
      <c r="AC77" s="1096">
        <f t="shared" si="79"/>
        <v>44.071958320386173</v>
      </c>
      <c r="AD77" s="1096">
        <f t="shared" ca="1" si="79"/>
        <v>0</v>
      </c>
      <c r="AE77" s="1096">
        <f t="shared" ca="1" si="79"/>
        <v>0</v>
      </c>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row>
    <row r="78" spans="1:94" s="699" customFormat="1" ht="12.75" customHeight="1">
      <c r="A78" s="664"/>
      <c r="B78" s="664"/>
      <c r="C78" s="774" t="s">
        <v>1769</v>
      </c>
      <c r="D78" s="717"/>
      <c r="E78" s="1468" t="s">
        <v>1942</v>
      </c>
      <c r="F78" s="723" t="s">
        <v>47</v>
      </c>
      <c r="G78" s="721"/>
      <c r="H78" s="721">
        <f>+(H72/G72-1)*100</f>
        <v>8.7315890641321392</v>
      </c>
      <c r="I78" s="721">
        <f t="shared" ref="I78:AB78" si="81">+(I72/H72-1)*100</f>
        <v>12.364189774972644</v>
      </c>
      <c r="J78" s="721">
        <f t="shared" si="81"/>
        <v>8.1811693344814973</v>
      </c>
      <c r="K78" s="721">
        <f t="shared" si="81"/>
        <v>-0.54899399010986949</v>
      </c>
      <c r="L78" s="721">
        <f t="shared" si="81"/>
        <v>2.1352302754501729</v>
      </c>
      <c r="M78" s="721">
        <f t="shared" si="81"/>
        <v>5.8216624566269415</v>
      </c>
      <c r="N78" s="721">
        <f t="shared" si="81"/>
        <v>7.440821617341431</v>
      </c>
      <c r="O78" s="721">
        <f t="shared" si="81"/>
        <v>10.412236395428343</v>
      </c>
      <c r="P78" s="721">
        <f t="shared" si="81"/>
        <v>13.245904132630869</v>
      </c>
      <c r="Q78" s="721">
        <f t="shared" si="81"/>
        <v>8.4682277151530538</v>
      </c>
      <c r="R78" s="721">
        <f t="shared" si="81"/>
        <v>8.6791075610281645</v>
      </c>
      <c r="S78" s="721">
        <f t="shared" si="81"/>
        <v>14.911963092301983</v>
      </c>
      <c r="T78" s="721">
        <f t="shared" si="81"/>
        <v>3.1497179506880357</v>
      </c>
      <c r="U78" s="721">
        <f t="shared" si="81"/>
        <v>-23.969930755435144</v>
      </c>
      <c r="V78" s="721">
        <f t="shared" si="81"/>
        <v>1.7828958003967443</v>
      </c>
      <c r="W78" s="721">
        <f t="shared" si="81"/>
        <v>5.9533436273261797</v>
      </c>
      <c r="X78" s="721">
        <f t="shared" si="81"/>
        <v>-0.30327952407929182</v>
      </c>
      <c r="Y78" s="721">
        <f t="shared" si="81"/>
        <v>2.8348069403326015</v>
      </c>
      <c r="Z78" s="721">
        <f t="shared" si="81"/>
        <v>3.3964905192808814</v>
      </c>
      <c r="AA78" s="721">
        <f t="shared" si="81"/>
        <v>7.3820736449621061</v>
      </c>
      <c r="AB78" s="721">
        <f t="shared" si="81"/>
        <v>2.4057419875649355</v>
      </c>
      <c r="AC78" s="1463">
        <f ca="1">IF(UPPER('VVP1'!$F$2)="Y",OFFSET('VVP1'!$G$12,0,5*(COLUMN()-7)),('VVP2'!AC72/'VVP2'!AB72-1)*100)</f>
        <v>4.1357636126038155</v>
      </c>
      <c r="AD78" s="1463">
        <f ca="1">IF(UPPER('VVP1'!$F$2)="Y",OFFSET('VVP1'!$G$12,0,5*(COLUMN()-7)),('VVP2'!AD72/'VVP2'!AC72-1)*100)</f>
        <v>3.8688071906934685</v>
      </c>
      <c r="AE78" s="1463">
        <f ca="1">IF(UPPER('VVP1'!$F$2)="Y",OFFSET('VVP1'!$G$12,0,5*(COLUMN()-7)),('VVP2'!AE72/'VVP2'!AD72-1)*100)</f>
        <v>3.2251750459442619</v>
      </c>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row>
    <row r="79" spans="1:94">
      <c r="AB79" s="557"/>
      <c r="AC79" s="557"/>
      <c r="AD79" s="557"/>
      <c r="AE79" s="557"/>
    </row>
    <row r="80" spans="1:94">
      <c r="A80" s="1130"/>
      <c r="D80" s="1173"/>
      <c r="E80" s="1174" t="s">
        <v>1519</v>
      </c>
      <c r="F80" s="1170"/>
      <c r="G80" s="1168">
        <f>+InputY!$G$3</f>
        <v>1995</v>
      </c>
      <c r="H80" s="1168">
        <f>+G80+1</f>
        <v>1996</v>
      </c>
      <c r="I80" s="1168">
        <f t="shared" ref="I80:O80" si="82">+H80+1</f>
        <v>1997</v>
      </c>
      <c r="J80" s="1168">
        <f t="shared" si="82"/>
        <v>1998</v>
      </c>
      <c r="K80" s="1168">
        <f t="shared" si="82"/>
        <v>1999</v>
      </c>
      <c r="L80" s="1168">
        <f t="shared" si="82"/>
        <v>2000</v>
      </c>
      <c r="M80" s="1168">
        <f t="shared" si="82"/>
        <v>2001</v>
      </c>
      <c r="N80" s="1168">
        <f t="shared" si="82"/>
        <v>2002</v>
      </c>
      <c r="O80" s="1168">
        <f t="shared" si="82"/>
        <v>2003</v>
      </c>
      <c r="P80" s="1168">
        <f t="shared" ref="P80:V80" si="83">+O80+1</f>
        <v>2004</v>
      </c>
      <c r="Q80" s="1168">
        <f t="shared" si="83"/>
        <v>2005</v>
      </c>
      <c r="R80" s="1168">
        <f t="shared" si="83"/>
        <v>2006</v>
      </c>
      <c r="S80" s="1168">
        <f>+R80+1</f>
        <v>2007</v>
      </c>
      <c r="T80" s="1125">
        <f t="shared" si="83"/>
        <v>2008</v>
      </c>
      <c r="U80" s="1125">
        <f t="shared" si="83"/>
        <v>2009</v>
      </c>
      <c r="V80" s="1125">
        <f t="shared" si="83"/>
        <v>2010</v>
      </c>
      <c r="W80" s="1125">
        <f t="shared" ref="W80:AE80" si="84">+V80+1</f>
        <v>2011</v>
      </c>
      <c r="X80" s="1125">
        <f t="shared" si="84"/>
        <v>2012</v>
      </c>
      <c r="Y80" s="1125">
        <f t="shared" si="84"/>
        <v>2013</v>
      </c>
      <c r="Z80" s="1125">
        <f t="shared" si="84"/>
        <v>2014</v>
      </c>
      <c r="AA80" s="1125">
        <f t="shared" si="84"/>
        <v>2015</v>
      </c>
      <c r="AB80" s="1125">
        <f t="shared" si="84"/>
        <v>2016</v>
      </c>
      <c r="AC80" s="1125">
        <f t="shared" si="84"/>
        <v>2017</v>
      </c>
      <c r="AD80" s="1125">
        <f t="shared" si="84"/>
        <v>2018</v>
      </c>
      <c r="AE80" s="1125">
        <f t="shared" si="84"/>
        <v>2019</v>
      </c>
    </row>
    <row r="81" spans="1:94">
      <c r="A81" s="664">
        <f>+ROW(InputY!A46)</f>
        <v>46</v>
      </c>
      <c r="B81" s="665" t="s">
        <v>252</v>
      </c>
      <c r="C81" s="1079" t="s">
        <v>1767</v>
      </c>
      <c r="D81" s="1058"/>
      <c r="E81" s="1038" t="s">
        <v>1450</v>
      </c>
      <c r="F81" s="1058" t="s">
        <v>1995</v>
      </c>
      <c r="G81" s="1084">
        <f>+InputY!G46/1000</f>
        <v>1.0998281060419637</v>
      </c>
      <c r="H81" s="1084">
        <f>+InputY!H46/1000</f>
        <v>1.4302389553745405</v>
      </c>
      <c r="I81" s="1084">
        <f>+InputY!I46/1000</f>
        <v>1.7227190172957554</v>
      </c>
      <c r="J81" s="1084">
        <f>+InputY!J46/1000</f>
        <v>1.9297793068012896</v>
      </c>
      <c r="K81" s="1084">
        <f>+InputY!K46/1000</f>
        <v>1.9354938303519413</v>
      </c>
      <c r="L81" s="1084">
        <f>+InputY!L46/1000</f>
        <v>1.8202071417810006</v>
      </c>
      <c r="M81" s="1084">
        <f>+InputY!M46/1000</f>
        <v>1.9754876509737651</v>
      </c>
      <c r="N81" s="1084">
        <f>+InputY!N46/1000</f>
        <v>2.3007566057456654</v>
      </c>
      <c r="O81" s="1084">
        <f>+InputY!O46/1000</f>
        <v>2.434689035538157</v>
      </c>
      <c r="P81" s="1084">
        <f>+InputY!P46/1000</f>
        <v>2.7227600000000001</v>
      </c>
      <c r="Q81" s="1084">
        <f>+InputY!Q46/1000</f>
        <v>2.9383000000000004</v>
      </c>
      <c r="R81" s="1084">
        <f>+InputY!R46/1000</f>
        <v>3.2352300000000001</v>
      </c>
      <c r="S81" s="1084">
        <f>+InputY!S46/1000</f>
        <v>3.2526899999999999</v>
      </c>
      <c r="T81" s="1084">
        <f>+InputY!T46/1000</f>
        <v>3.3791599999999997</v>
      </c>
      <c r="U81" s="1084">
        <f>+InputY!U46/1000</f>
        <v>2.96034</v>
      </c>
      <c r="V81" s="1084">
        <f>+InputY!V46/1000</f>
        <v>3.4228700000000001</v>
      </c>
      <c r="W81" s="1084">
        <f>+InputY!W46/1000</f>
        <v>3.9303499999999998</v>
      </c>
      <c r="X81" s="1084">
        <f>+InputY!X46/1000</f>
        <v>4.56433</v>
      </c>
      <c r="Y81" s="1084">
        <f>+InputY!Y46/1000</f>
        <v>5.1346400000000001</v>
      </c>
      <c r="Z81" s="1084">
        <f>+InputY!Z46/1000</f>
        <v>5.6348199999999995</v>
      </c>
      <c r="AA81" s="1084">
        <f>+InputY!AA46/1000</f>
        <v>5.7097199999999999</v>
      </c>
      <c r="AB81" s="1084">
        <f>+InputY!AB46/1000</f>
        <v>6.3447200000000006</v>
      </c>
      <c r="AC81" s="1084">
        <f>+InputY!AC46/1000</f>
        <v>7.3929099999999996</v>
      </c>
      <c r="AD81" s="1416">
        <f ca="1">+AC81*(1+AD87/100)</f>
        <v>7.873449149999999</v>
      </c>
      <c r="AE81" s="1416">
        <f t="shared" ref="AD81:AE82" ca="1" si="85">+AD81*(1+AE87/100)</f>
        <v>8.227754361749998</v>
      </c>
    </row>
    <row r="82" spans="1:94">
      <c r="A82" s="664">
        <f>+ROW(InputY!A45)</f>
        <v>45</v>
      </c>
      <c r="B82" s="665" t="s">
        <v>253</v>
      </c>
      <c r="C82" s="1081" t="s">
        <v>1767</v>
      </c>
      <c r="D82" s="1077"/>
      <c r="E82" s="1078" t="s">
        <v>1451</v>
      </c>
      <c r="F82" s="1077" t="s">
        <v>1332</v>
      </c>
      <c r="G82" s="1085">
        <f>+InputY!G45/1000</f>
        <v>3.9073501199141121</v>
      </c>
      <c r="H82" s="1085">
        <f>+InputY!H45/1000</f>
        <v>4.5739617407445854</v>
      </c>
      <c r="I82" s="1085">
        <f>+InputY!I45/1000</f>
        <v>5.4182026596939963</v>
      </c>
      <c r="J82" s="1085">
        <f>+InputY!J45/1000</f>
        <v>5.5721661905684066</v>
      </c>
      <c r="K82" s="1085">
        <f>+InputY!K45/1000</f>
        <v>4.3979269342993144</v>
      </c>
      <c r="L82" s="1085">
        <f>+InputY!L45/1000</f>
        <v>5.0560102189302842</v>
      </c>
      <c r="M82" s="1085">
        <f>+InputY!M45/1000</f>
        <v>6.2975428751735789</v>
      </c>
      <c r="N82" s="1085">
        <f>+InputY!N45/1000</f>
        <v>7.5018609734554005</v>
      </c>
      <c r="O82" s="1085">
        <f>+InputY!O45/1000</f>
        <v>8.1823168779551896</v>
      </c>
      <c r="P82" s="1085">
        <f>+InputY!P45/1000</f>
        <v>8.3521099999999997</v>
      </c>
      <c r="Q82" s="1085">
        <f>+InputY!Q45/1000</f>
        <v>10.43451</v>
      </c>
      <c r="R82" s="1085">
        <f>+InputY!R45/1000</f>
        <v>11.827110000000001</v>
      </c>
      <c r="S82" s="1085">
        <f>+InputY!S45/1000</f>
        <v>12.2881</v>
      </c>
      <c r="T82" s="1085">
        <f>+InputY!T45/1000</f>
        <v>14.26449</v>
      </c>
      <c r="U82" s="1085">
        <f>+InputY!U45/1000</f>
        <v>12.42754</v>
      </c>
      <c r="V82" s="1085">
        <f>+InputY!V45/1000</f>
        <v>14.891</v>
      </c>
      <c r="W82" s="1085">
        <f>+InputY!W45/1000</f>
        <v>17.204669999999997</v>
      </c>
      <c r="X82" s="1085">
        <f>+InputY!X45/1000</f>
        <v>19.202400000000001</v>
      </c>
      <c r="Y82" s="1085">
        <f>+InputY!Y45/1000</f>
        <v>20.987580000000001</v>
      </c>
      <c r="Z82" s="1085">
        <f>+InputY!Z45/1000</f>
        <v>21.368490000000001</v>
      </c>
      <c r="AA82" s="1085">
        <f>+InputY!AA45/1000</f>
        <v>21.201090000000001</v>
      </c>
      <c r="AB82" s="1085">
        <f>+InputY!AB45/1000</f>
        <v>21.49098</v>
      </c>
      <c r="AC82" s="1085">
        <f>+InputY!AC45/1000</f>
        <v>24.115099999999998</v>
      </c>
      <c r="AD82" s="1342">
        <f t="shared" ca="1" si="85"/>
        <v>25.369085200000001</v>
      </c>
      <c r="AE82" s="1342">
        <f t="shared" ca="1" si="85"/>
        <v>26.485324948800002</v>
      </c>
    </row>
    <row r="83" spans="1:94">
      <c r="A83" s="664">
        <f>+ROW(InputY!A47)</f>
        <v>47</v>
      </c>
      <c r="B83" s="664"/>
      <c r="C83" s="694" t="s">
        <v>1769</v>
      </c>
      <c r="D83" s="1171"/>
      <c r="E83" s="1461" t="s">
        <v>1452</v>
      </c>
      <c r="F83" s="1460" t="s">
        <v>1590</v>
      </c>
      <c r="G83" s="1172">
        <f>+InputY!G47/1000</f>
        <v>5.0488624980055201</v>
      </c>
      <c r="H83" s="1172">
        <f>+InputY!H47/1000</f>
        <v>6.0103945464491666</v>
      </c>
      <c r="I83" s="1172">
        <f>+InputY!I47/1000</f>
        <v>7.1426519644701454</v>
      </c>
      <c r="J83" s="1172">
        <f>+InputY!J47/1000</f>
        <v>7.475443470272916</v>
      </c>
      <c r="K83" s="1172">
        <f>+InputY!K47/1000</f>
        <v>6.2515592078803728</v>
      </c>
      <c r="L83" s="1172">
        <f>+InputY!L47/1000</f>
        <v>6.8490337777093986</v>
      </c>
      <c r="M83" s="1172">
        <f>+InputY!M47/1000</f>
        <v>8.3016546339835884</v>
      </c>
      <c r="N83" s="1172">
        <f>+InputY!N47/1000</f>
        <v>9.8466792846551261</v>
      </c>
      <c r="O83" s="1172">
        <f>+InputY!O47/1000</f>
        <v>10.676380457755817</v>
      </c>
      <c r="P83" s="1172">
        <f>+InputY!P47/1000</f>
        <v>11.102799999999998</v>
      </c>
      <c r="Q83" s="1172">
        <f>+InputY!Q47/1000</f>
        <v>13.38335</v>
      </c>
      <c r="R83" s="1172">
        <f>+InputY!R47/1000</f>
        <v>15.075610000000001</v>
      </c>
      <c r="S83" s="1172">
        <f>+InputY!S47/1000</f>
        <v>15.554209999999999</v>
      </c>
      <c r="T83" s="1172">
        <f>+InputY!T47/1000</f>
        <v>17.655139999999999</v>
      </c>
      <c r="U83" s="1172">
        <f>+InputY!U47/1000</f>
        <v>15.397290000000002</v>
      </c>
      <c r="V83" s="1172">
        <f>+InputY!V47/1000</f>
        <v>18.313880000000001</v>
      </c>
      <c r="W83" s="1172">
        <f>+InputY!W47/1000</f>
        <v>21.135020000000001</v>
      </c>
      <c r="X83" s="1172">
        <f>+InputY!X47/1000</f>
        <v>23.753349999999998</v>
      </c>
      <c r="Y83" s="1172">
        <f>+InputY!Y47/1000</f>
        <v>26.095380000000002</v>
      </c>
      <c r="Z83" s="1172">
        <f>+InputY!Z47/1000</f>
        <v>26.948370000000001</v>
      </c>
      <c r="AA83" s="1172">
        <f>+InputY!AA47/1000</f>
        <v>26.850680000000001</v>
      </c>
      <c r="AB83" s="1172">
        <f>+InputY!AB47/1000</f>
        <v>27.778269999999999</v>
      </c>
      <c r="AC83" s="1172">
        <f>+InputY!AC47/1000</f>
        <v>31.455689999999997</v>
      </c>
      <c r="AD83" s="1467">
        <f ca="1">IF(UPPER('VVP1'!$F$2)="Y",+AC83*(1+AD89/100),+AD81+AD82)</f>
        <v>33.190876111086119</v>
      </c>
      <c r="AE83" s="1467">
        <f ca="1">IF(UPPER('VVP1'!$F$2)="Y",+AD83*(1+AE89/100),+AE81+AE82)</f>
        <v>34.659437221662913</v>
      </c>
    </row>
    <row r="84" spans="1:94" s="699" customFormat="1" ht="12.75" customHeight="1">
      <c r="A84" s="664"/>
      <c r="B84" s="664"/>
      <c r="C84" s="774"/>
      <c r="D84" s="1973"/>
      <c r="E84" s="1973" t="s">
        <v>737</v>
      </c>
      <c r="F84" s="1973"/>
      <c r="G84" s="1002"/>
      <c r="H84" s="1002">
        <f ca="1">ABS(IF('VVP1'!$F$2="Y",OFFSET('VVP1'!$G$88,0,5*(COLUMN()-7)+1)-OFFSET('VVP1'!$G$86,0,5*(COLUMN()-7)+1)-OFFSET('VVP1'!$G$87,0,5*(COLUMN()-7)+1),ABS(H83-H81-H82)))</f>
        <v>3.5234791864409587E-2</v>
      </c>
      <c r="I84" s="1002">
        <f ca="1">ABS(IF('VVP1'!$F$2="Y",OFFSET('VVP1'!$G$88,0,5*(COLUMN()-7)+1)-OFFSET('VVP1'!$G$86,0,5*(COLUMN()-7)+1)-OFFSET('VVP1'!$G$87,0,5*(COLUMN()-7)+1),ABS(I83-I81-I82)))</f>
        <v>5.798041898596562E-3</v>
      </c>
      <c r="J84" s="1002">
        <f ca="1">ABS(IF('VVP1'!$F$2="Y",OFFSET('VVP1'!$G$88,0,5*(COLUMN()-7)+1)-OFFSET('VVP1'!$G$86,0,5*(COLUMN()-7)+1)-OFFSET('VVP1'!$G$87,0,5*(COLUMN()-7)+1),ABS(J83-J81-J82)))</f>
        <v>2.8211429759842588E-2</v>
      </c>
      <c r="K84" s="1002">
        <f ca="1">ABS(IF('VVP1'!$F$2="Y",OFFSET('VVP1'!$G$88,0,5*(COLUMN()-7)+1)-OFFSET('VVP1'!$G$86,0,5*(COLUMN()-7)+1)-OFFSET('VVP1'!$G$87,0,5*(COLUMN()-7)+1),ABS(K83-K81-K82)))</f>
        <v>6.9422923494331545E-2</v>
      </c>
      <c r="L84" s="1002">
        <f ca="1">ABS(IF('VVP1'!$F$2="Y",OFFSET('VVP1'!$G$88,0,5*(COLUMN()-7)+1)-OFFSET('VVP1'!$G$86,0,5*(COLUMN()-7)+1)-OFFSET('VVP1'!$G$87,0,5*(COLUMN()-7)+1),ABS(L83-L81-L82)))</f>
        <v>7.642483995256466E-2</v>
      </c>
      <c r="M84" s="1002">
        <f ca="1">ABS(IF('VVP1'!$F$2="Y",OFFSET('VVP1'!$G$88,0,5*(COLUMN()-7)+1)-OFFSET('VVP1'!$G$86,0,5*(COLUMN()-7)+1)-OFFSET('VVP1'!$G$87,0,5*(COLUMN()-7)+1),ABS(M83-M81-M82)))</f>
        <v>5.1781656621067818E-2</v>
      </c>
      <c r="N84" s="1002">
        <f ca="1">ABS(IF('VVP1'!$F$2="Y",OFFSET('VVP1'!$G$88,0,5*(COLUMN()-7)+1)-OFFSET('VVP1'!$G$86,0,5*(COLUMN()-7)+1)-OFFSET('VVP1'!$G$87,0,5*(COLUMN()-7)+1),ABS(N83-N81-N82)))</f>
        <v>8.1382988797873423E-3</v>
      </c>
      <c r="O84" s="1002">
        <f ca="1">ABS(IF('VVP1'!$F$2="Y",OFFSET('VVP1'!$G$88,0,5*(COLUMN()-7)+1)-OFFSET('VVP1'!$G$86,0,5*(COLUMN()-7)+1)-OFFSET('VVP1'!$G$87,0,5*(COLUMN()-7)+1),ABS(O83-O81-O82)))</f>
        <v>9.9768488241398501E-3</v>
      </c>
      <c r="P84" s="1002">
        <f ca="1">ABS(IF('VVP1'!$F$2="Y",OFFSET('VVP1'!$G$88,0,5*(COLUMN()-7)+1)-OFFSET('VVP1'!$G$86,0,5*(COLUMN()-7)+1)-OFFSET('VVP1'!$G$87,0,5*(COLUMN()-7)+1),ABS(P83-P81-P82)))</f>
        <v>3.0808100713693776E-2</v>
      </c>
      <c r="Q84" s="1002">
        <f ca="1">ABS(IF('VVP1'!$F$2="Y",OFFSET('VVP1'!$G$88,0,5*(COLUMN()-7)+1)-OFFSET('VVP1'!$G$86,0,5*(COLUMN()-7)+1)-OFFSET('VVP1'!$G$87,0,5*(COLUMN()-7)+1),ABS(Q83-Q81-Q82)))</f>
        <v>8.2867301252065317E-6</v>
      </c>
      <c r="R84" s="1002">
        <f ca="1">ABS(IF('VVP1'!$F$2="Y",OFFSET('VVP1'!$G$88,0,5*(COLUMN()-7)+1)-OFFSET('VVP1'!$G$86,0,5*(COLUMN()-7)+1)-OFFSET('VVP1'!$G$87,0,5*(COLUMN()-7)+1),ABS(R83-R81-R82)))</f>
        <v>7.7441315582404968E-7</v>
      </c>
      <c r="S84" s="1002">
        <f ca="1">ABS(IF('VVP1'!$F$2="Y",OFFSET('VVP1'!$G$88,0,5*(COLUMN()-7)+1)-OFFSET('VVP1'!$G$86,0,5*(COLUMN()-7)+1)-OFFSET('VVP1'!$G$87,0,5*(COLUMN()-7)+1),ABS(S83-S81-S82)))</f>
        <v>3.5305874810376281E-6</v>
      </c>
      <c r="T84" s="2906">
        <f ca="1">ABS(IF('VVP1'!$F$2="Y",OFFSET('VVP1'!$G$88,0,5*(COLUMN()-7)+1)-OFFSET('VVP1'!$G$86,0,5*(COLUMN()-7)+1)-OFFSET('VVP1'!$G$87,0,5*(COLUMN()-7)+1),ABS(T83-T81-T82)))</f>
        <v>2.1817957355452222E-5</v>
      </c>
      <c r="U84" s="2906">
        <f ca="1">ABS(IF('VVP1'!$F$2="Y",OFFSET('VVP1'!$G$88,0,5*(COLUMN()-7)+1)-OFFSET('VVP1'!$G$86,0,5*(COLUMN()-7)+1)-OFFSET('VVP1'!$G$87,0,5*(COLUMN()-7)+1),ABS(U83-U81-U82)))</f>
        <v>9.6556524944446664E-6</v>
      </c>
      <c r="V84" s="2906">
        <f ca="1">ABS(IF('VVP1'!$F$2="Y",OFFSET('VVP1'!$G$88,0,5*(COLUMN()-7)+1)-OFFSET('VVP1'!$G$86,0,5*(COLUMN()-7)+1)-OFFSET('VVP1'!$G$87,0,5*(COLUMN()-7)+1),ABS(V83-V81-V82)))</f>
        <v>2.083293509969053E-5</v>
      </c>
      <c r="W84" s="2906">
        <f ca="1">ABS(IF('VVP1'!$F$2="Y",OFFSET('VVP1'!$G$88,0,5*(COLUMN()-7)+1)-OFFSET('VVP1'!$G$86,0,5*(COLUMN()-7)+1)-OFFSET('VVP1'!$G$87,0,5*(COLUMN()-7)+1),ABS(W83-W81-W82)))</f>
        <v>3.5527136788005009E-15</v>
      </c>
      <c r="X84" s="2906">
        <f ca="1">ABS(IF('VVP1'!$F$2="Y",OFFSET('VVP1'!$G$88,0,5*(COLUMN()-7)+1)-OFFSET('VVP1'!$G$86,0,5*(COLUMN()-7)+1)-OFFSET('VVP1'!$G$87,0,5*(COLUMN()-7)+1),ABS(X83-X81-X82)))</f>
        <v>4.2195509486475657E-6</v>
      </c>
      <c r="Y84" s="2906">
        <f ca="1">ABS(IF('VVP1'!$F$2="Y",OFFSET('VVP1'!$G$88,0,5*(COLUMN()-7)+1)-OFFSET('VVP1'!$G$86,0,5*(COLUMN()-7)+1)-OFFSET('VVP1'!$G$87,0,5*(COLUMN()-7)+1),ABS(Y83-Y81-Y82)))</f>
        <v>4.3336974293595176E-6</v>
      </c>
      <c r="Z84" s="2906">
        <f ca="1">ABS(IF('VVP1'!$F$2="Y",OFFSET('VVP1'!$G$88,0,5*(COLUMN()-7)+1)-OFFSET('VVP1'!$G$86,0,5*(COLUMN()-7)+1)-OFFSET('VVP1'!$G$87,0,5*(COLUMN()-7)+1),ABS(Z83-Z81-Z82)))</f>
        <v>3.7456333075169823E-6</v>
      </c>
      <c r="AA84" s="2906">
        <f ca="1">ABS(IF('VVP1'!$F$2="Y",OFFSET('VVP1'!$G$88,0,5*(COLUMN()-7)+1)-OFFSET('VVP1'!$G$86,0,5*(COLUMN()-7)+1)-OFFSET('VVP1'!$G$87,0,5*(COLUMN()-7)+1),ABS(AA83-AA81-AA82)))</f>
        <v>6.0861199457917792E-6</v>
      </c>
      <c r="AB84" s="2906">
        <f ca="1">ABS(IF('VVP1'!$F$2="Y",OFFSET('VVP1'!$G$88,0,5*(COLUMN()-7)+1)-OFFSET('VVP1'!$G$86,0,5*(COLUMN()-7)+1)-OFFSET('VVP1'!$G$87,0,5*(COLUMN()-7)+1),ABS(AB83-AB81-AB82)))</f>
        <v>0</v>
      </c>
      <c r="AC84" s="2906">
        <f ca="1">ABS(IF('VVP1'!$F$2="Y",OFFSET('VVP1'!$G$88,0,5*(COLUMN()-7)+1)-OFFSET('VVP1'!$G$86,0,5*(COLUMN()-7)+1)-OFFSET('VVP1'!$G$87,0,5*(COLUMN()-7)+1),ABS(AC83-AC81-AC82)))</f>
        <v>0</v>
      </c>
      <c r="AD84" s="2906">
        <f ca="1">ABS(IF('VVP1'!$F$2="Y",OFFSET('VVP1'!$G$88,0,5*(COLUMN()-7)+1)-OFFSET('VVP1'!$G$86,0,5*(COLUMN()-7)+1)-OFFSET('VVP1'!$G$87,0,5*(COLUMN()-7)+1),ABS(AD83-AD81-AD82)))</f>
        <v>3.5527136788005009E-15</v>
      </c>
      <c r="AE84" s="2906">
        <f ca="1">ABS(IF('VVP1'!$F$2="Y",OFFSET('VVP1'!$G$88,0,5*(COLUMN()-7)+1)-OFFSET('VVP1'!$G$86,0,5*(COLUMN()-7)+1)-OFFSET('VVP1'!$G$87,0,5*(COLUMN()-7)+1),ABS(AE83-AE81-AE82)))</f>
        <v>0</v>
      </c>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row>
    <row r="85" spans="1:94">
      <c r="AB85" s="557"/>
      <c r="AC85" s="557"/>
      <c r="AD85" s="557"/>
      <c r="AE85" s="557"/>
    </row>
    <row r="86" spans="1:94">
      <c r="A86" s="1130"/>
      <c r="D86" s="1116"/>
      <c r="E86" s="927" t="s">
        <v>1519</v>
      </c>
      <c r="F86" s="1108"/>
      <c r="G86" s="896">
        <f>+InputY!$G$3</f>
        <v>1995</v>
      </c>
      <c r="H86" s="896">
        <f>+G86+1</f>
        <v>1996</v>
      </c>
      <c r="I86" s="896">
        <f t="shared" ref="I86:O86" si="86">+H86+1</f>
        <v>1997</v>
      </c>
      <c r="J86" s="896">
        <f t="shared" si="86"/>
        <v>1998</v>
      </c>
      <c r="K86" s="896">
        <f t="shared" si="86"/>
        <v>1999</v>
      </c>
      <c r="L86" s="896">
        <f t="shared" si="86"/>
        <v>2000</v>
      </c>
      <c r="M86" s="896">
        <f t="shared" si="86"/>
        <v>2001</v>
      </c>
      <c r="N86" s="896">
        <f t="shared" si="86"/>
        <v>2002</v>
      </c>
      <c r="O86" s="896">
        <f t="shared" si="86"/>
        <v>2003</v>
      </c>
      <c r="P86" s="896">
        <f t="shared" ref="P86:V86" si="87">+O86+1</f>
        <v>2004</v>
      </c>
      <c r="Q86" s="896">
        <f t="shared" si="87"/>
        <v>2005</v>
      </c>
      <c r="R86" s="896">
        <f t="shared" si="87"/>
        <v>2006</v>
      </c>
      <c r="S86" s="896">
        <f>+R86+1</f>
        <v>2007</v>
      </c>
      <c r="T86" s="896">
        <f t="shared" si="87"/>
        <v>2008</v>
      </c>
      <c r="U86" s="896">
        <f t="shared" si="87"/>
        <v>2009</v>
      </c>
      <c r="V86" s="896">
        <f t="shared" si="87"/>
        <v>2010</v>
      </c>
      <c r="W86" s="896">
        <f t="shared" ref="W86:AE86" si="88">+V86+1</f>
        <v>2011</v>
      </c>
      <c r="X86" s="896">
        <f t="shared" si="88"/>
        <v>2012</v>
      </c>
      <c r="Y86" s="896">
        <f t="shared" si="88"/>
        <v>2013</v>
      </c>
      <c r="Z86" s="896">
        <f t="shared" si="88"/>
        <v>2014</v>
      </c>
      <c r="AA86" s="896">
        <f t="shared" si="88"/>
        <v>2015</v>
      </c>
      <c r="AB86" s="896">
        <f t="shared" si="88"/>
        <v>2016</v>
      </c>
      <c r="AC86" s="896">
        <f t="shared" si="88"/>
        <v>2017</v>
      </c>
      <c r="AD86" s="896">
        <f t="shared" si="88"/>
        <v>2018</v>
      </c>
      <c r="AE86" s="896">
        <f t="shared" si="88"/>
        <v>2019</v>
      </c>
    </row>
    <row r="87" spans="1:94" s="699" customFormat="1" ht="12.75" customHeight="1">
      <c r="A87" s="664"/>
      <c r="B87" s="664"/>
      <c r="C87" s="794" t="s">
        <v>1767</v>
      </c>
      <c r="D87" s="689"/>
      <c r="E87" s="738" t="s">
        <v>1450</v>
      </c>
      <c r="F87" s="733" t="s">
        <v>1995</v>
      </c>
      <c r="G87" s="1095"/>
      <c r="H87" s="1095">
        <f>+(H81/G81-1)*100</f>
        <v>30.042044526544419</v>
      </c>
      <c r="I87" s="1095">
        <f t="shared" ref="I87:AB87" si="89">+(I81/H81-1)*100</f>
        <v>20.449733998793395</v>
      </c>
      <c r="J87" s="1095">
        <f t="shared" si="89"/>
        <v>12.01938838700276</v>
      </c>
      <c r="K87" s="1095">
        <f t="shared" si="89"/>
        <v>0.29612316447333864</v>
      </c>
      <c r="L87" s="1095">
        <f t="shared" si="89"/>
        <v>-5.9564482595109824</v>
      </c>
      <c r="M87" s="1095">
        <f t="shared" si="89"/>
        <v>8.5309251693644441</v>
      </c>
      <c r="N87" s="1095">
        <f t="shared" si="89"/>
        <v>16.465248700064894</v>
      </c>
      <c r="O87" s="1095">
        <f t="shared" si="89"/>
        <v>5.8212341739244833</v>
      </c>
      <c r="P87" s="1095">
        <f t="shared" si="89"/>
        <v>11.831940763563198</v>
      </c>
      <c r="Q87" s="1095">
        <f t="shared" si="89"/>
        <v>7.9162320586463775</v>
      </c>
      <c r="R87" s="1095">
        <f t="shared" si="89"/>
        <v>10.105503182112097</v>
      </c>
      <c r="S87" s="1095">
        <f t="shared" si="89"/>
        <v>0.53968342281691672</v>
      </c>
      <c r="T87" s="1095">
        <f t="shared" si="89"/>
        <v>3.888166409956062</v>
      </c>
      <c r="U87" s="1095">
        <f t="shared" si="89"/>
        <v>-12.394204476852233</v>
      </c>
      <c r="V87" s="1095">
        <f t="shared" si="89"/>
        <v>15.624218839727867</v>
      </c>
      <c r="W87" s="1095">
        <f t="shared" si="89"/>
        <v>14.826154659686154</v>
      </c>
      <c r="X87" s="1095">
        <f t="shared" si="89"/>
        <v>16.130370068823385</v>
      </c>
      <c r="Y87" s="1095">
        <f t="shared" si="89"/>
        <v>12.494933538986007</v>
      </c>
      <c r="Z87" s="1095">
        <f t="shared" si="89"/>
        <v>9.7412866335322423</v>
      </c>
      <c r="AA87" s="1095">
        <f t="shared" si="89"/>
        <v>1.3292350066195668</v>
      </c>
      <c r="AB87" s="1095">
        <f t="shared" si="89"/>
        <v>11.121385987403954</v>
      </c>
      <c r="AC87" s="1095">
        <f>+(AC81/AB81-1)*100</f>
        <v>16.52066600259743</v>
      </c>
      <c r="AD87" s="1421">
        <f ca="1">OFFSET('VVP1'!$G$86,0,5*(COLUMN()-7))</f>
        <v>6.5</v>
      </c>
      <c r="AE87" s="1421">
        <f ca="1">OFFSET('VVP1'!$G$86,0,5*(COLUMN()-7))</f>
        <v>4.5</v>
      </c>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row>
    <row r="88" spans="1:94">
      <c r="A88" s="1130"/>
      <c r="C88" s="979" t="s">
        <v>1767</v>
      </c>
      <c r="D88" s="1121"/>
      <c r="E88" s="1122" t="s">
        <v>1451</v>
      </c>
      <c r="F88" s="1121" t="s">
        <v>1332</v>
      </c>
      <c r="G88" s="1123"/>
      <c r="H88" s="1123">
        <f>+(H82/G82-1)*100</f>
        <v>17.060452746044842</v>
      </c>
      <c r="I88" s="1123">
        <f t="shared" ref="I88:AC88" si="90">+(I82/H82-1)*100</f>
        <v>18.457542209611468</v>
      </c>
      <c r="J88" s="1123">
        <f t="shared" si="90"/>
        <v>2.8415978608505199</v>
      </c>
      <c r="K88" s="1123">
        <f t="shared" si="90"/>
        <v>-21.073299254007182</v>
      </c>
      <c r="L88" s="1123">
        <f t="shared" si="90"/>
        <v>14.963488353992327</v>
      </c>
      <c r="M88" s="1123">
        <f t="shared" si="90"/>
        <v>24.555580437611724</v>
      </c>
      <c r="N88" s="1123">
        <f t="shared" si="90"/>
        <v>19.123618880461013</v>
      </c>
      <c r="O88" s="1123">
        <f t="shared" si="90"/>
        <v>9.070494733340384</v>
      </c>
      <c r="P88" s="1123">
        <f t="shared" si="90"/>
        <v>2.0751227870710709</v>
      </c>
      <c r="Q88" s="1123">
        <f t="shared" si="90"/>
        <v>24.932621816523003</v>
      </c>
      <c r="R88" s="1123">
        <f t="shared" si="90"/>
        <v>13.346098666827677</v>
      </c>
      <c r="S88" s="1123">
        <f t="shared" si="90"/>
        <v>3.8977400227105274</v>
      </c>
      <c r="T88" s="1123">
        <f t="shared" si="90"/>
        <v>16.083772104719209</v>
      </c>
      <c r="U88" s="1123">
        <f t="shared" si="90"/>
        <v>-12.877782521492176</v>
      </c>
      <c r="V88" s="1123">
        <f t="shared" si="90"/>
        <v>19.822587575658581</v>
      </c>
      <c r="W88" s="1123">
        <f t="shared" si="90"/>
        <v>15.537371566718129</v>
      </c>
      <c r="X88" s="1123">
        <f t="shared" si="90"/>
        <v>11.611556629682539</v>
      </c>
      <c r="Y88" s="1123">
        <f t="shared" si="90"/>
        <v>9.2966504186976717</v>
      </c>
      <c r="Z88" s="1123">
        <f t="shared" si="90"/>
        <v>1.814930544636395</v>
      </c>
      <c r="AA88" s="1123">
        <f t="shared" si="90"/>
        <v>-0.78339648707045351</v>
      </c>
      <c r="AB88" s="1123">
        <f t="shared" si="90"/>
        <v>1.3673353587009052</v>
      </c>
      <c r="AC88" s="1123">
        <f t="shared" si="90"/>
        <v>12.210331962525656</v>
      </c>
      <c r="AD88" s="1424">
        <f ca="1">OFFSET('VVP1'!$G$87,0,5*(COLUMN()-7))</f>
        <v>5.2</v>
      </c>
      <c r="AE88" s="1424">
        <f ca="1">OFFSET('VVP1'!$G$87,0,5*(COLUMN()-7))</f>
        <v>4.4000000000000004</v>
      </c>
    </row>
    <row r="89" spans="1:94">
      <c r="A89" s="664"/>
      <c r="B89" s="664"/>
      <c r="C89" s="694" t="s">
        <v>1769</v>
      </c>
      <c r="D89" s="1097"/>
      <c r="E89" s="1470" t="s">
        <v>1452</v>
      </c>
      <c r="F89" s="1475" t="s">
        <v>1590</v>
      </c>
      <c r="G89" s="1099"/>
      <c r="H89" s="1099">
        <f>+(H83/G83-1)*100</f>
        <v>19.044528323428999</v>
      </c>
      <c r="I89" s="1099">
        <f t="shared" ref="I89:AA89" si="91">+(I83/H83-1)*100</f>
        <v>18.838320999906678</v>
      </c>
      <c r="J89" s="1099">
        <f t="shared" si="91"/>
        <v>4.6592149170669783</v>
      </c>
      <c r="K89" s="1099">
        <f t="shared" si="91"/>
        <v>-16.372062303186162</v>
      </c>
      <c r="L89" s="1099">
        <f t="shared" si="91"/>
        <v>9.5572088492080773</v>
      </c>
      <c r="M89" s="1099">
        <f t="shared" si="91"/>
        <v>21.209135528019061</v>
      </c>
      <c r="N89" s="1099">
        <f t="shared" si="91"/>
        <v>18.611044650627086</v>
      </c>
      <c r="O89" s="1099">
        <f t="shared" si="91"/>
        <v>8.4262028762699828</v>
      </c>
      <c r="P89" s="1099">
        <f t="shared" si="91"/>
        <v>3.994045959034831</v>
      </c>
      <c r="Q89" s="1099">
        <f t="shared" si="91"/>
        <v>20.540314154987939</v>
      </c>
      <c r="R89" s="1099">
        <f t="shared" si="91"/>
        <v>12.644517254648502</v>
      </c>
      <c r="S89" s="1099">
        <f t="shared" si="91"/>
        <v>3.1746642424419269</v>
      </c>
      <c r="T89" s="1099">
        <f t="shared" si="91"/>
        <v>13.507146939638858</v>
      </c>
      <c r="U89" s="1099">
        <f t="shared" si="91"/>
        <v>-12.788626994744856</v>
      </c>
      <c r="V89" s="1099">
        <f t="shared" si="91"/>
        <v>18.942229444272328</v>
      </c>
      <c r="W89" s="1099">
        <f t="shared" si="91"/>
        <v>15.404381813138457</v>
      </c>
      <c r="X89" s="1099">
        <f t="shared" si="91"/>
        <v>12.388585390503515</v>
      </c>
      <c r="Y89" s="1099">
        <f t="shared" si="91"/>
        <v>9.8597881982962718</v>
      </c>
      <c r="Z89" s="1099">
        <f t="shared" si="91"/>
        <v>3.2687395240077022</v>
      </c>
      <c r="AA89" s="1099">
        <f t="shared" si="91"/>
        <v>-0.36250801068858918</v>
      </c>
      <c r="AB89" s="1099">
        <f>+(AB83/AA83-1)*100</f>
        <v>3.4546238679988628</v>
      </c>
      <c r="AC89" s="1099">
        <f>+(AC83/AB83-1)*100</f>
        <v>13.238477414180206</v>
      </c>
      <c r="AD89" s="1466">
        <f ca="1">IF(UPPER('VVP1'!$F$2)="Y",OFFSET('VVP1'!$G$88,0,5*(COLUMN()-7)),('VVP2'!AD83/'VVP2'!AC83-1)*100)</f>
        <v>5.5162869137066251</v>
      </c>
      <c r="AE89" s="1466">
        <f ca="1">IF(UPPER('VVP1'!$F$2)="Y",OFFSET('VVP1'!$G$88,0,5*(COLUMN()-7)),('VVP2'!AE83/'VVP2'!AD83-1)*100)</f>
        <v>4.424592787673598</v>
      </c>
    </row>
    <row r="90" spans="1:94">
      <c r="AB90" s="557"/>
      <c r="AC90" s="557"/>
      <c r="AD90" s="557"/>
      <c r="AE90" s="557"/>
    </row>
    <row r="91" spans="1:94">
      <c r="A91" s="1130"/>
      <c r="D91" s="1175"/>
      <c r="E91" s="1129" t="s">
        <v>1359</v>
      </c>
      <c r="F91" s="1176"/>
      <c r="G91" s="707">
        <f>+InputY!$G$3</f>
        <v>1995</v>
      </c>
      <c r="H91" s="707">
        <f>+G91+1</f>
        <v>1996</v>
      </c>
      <c r="I91" s="707">
        <f t="shared" ref="I91:O91" si="92">+H91+1</f>
        <v>1997</v>
      </c>
      <c r="J91" s="707">
        <f t="shared" si="92"/>
        <v>1998</v>
      </c>
      <c r="K91" s="707">
        <f t="shared" si="92"/>
        <v>1999</v>
      </c>
      <c r="L91" s="707">
        <f t="shared" si="92"/>
        <v>2000</v>
      </c>
      <c r="M91" s="707">
        <f t="shared" si="92"/>
        <v>2001</v>
      </c>
      <c r="N91" s="707">
        <f t="shared" si="92"/>
        <v>2002</v>
      </c>
      <c r="O91" s="707">
        <f t="shared" si="92"/>
        <v>2003</v>
      </c>
      <c r="P91" s="707">
        <f t="shared" ref="P91:V91" si="93">+O91+1</f>
        <v>2004</v>
      </c>
      <c r="Q91" s="707">
        <f t="shared" si="93"/>
        <v>2005</v>
      </c>
      <c r="R91" s="707">
        <f t="shared" si="93"/>
        <v>2006</v>
      </c>
      <c r="S91" s="707">
        <f>+R91+1</f>
        <v>2007</v>
      </c>
      <c r="T91" s="707">
        <f t="shared" si="93"/>
        <v>2008</v>
      </c>
      <c r="U91" s="707">
        <f t="shared" si="93"/>
        <v>2009</v>
      </c>
      <c r="V91" s="707">
        <f t="shared" si="93"/>
        <v>2010</v>
      </c>
      <c r="W91" s="707">
        <f t="shared" ref="W91:AE91" si="94">+V91+1</f>
        <v>2011</v>
      </c>
      <c r="X91" s="707">
        <f t="shared" si="94"/>
        <v>2012</v>
      </c>
      <c r="Y91" s="707">
        <f t="shared" si="94"/>
        <v>2013</v>
      </c>
      <c r="Z91" s="707">
        <f t="shared" si="94"/>
        <v>2014</v>
      </c>
      <c r="AA91" s="707">
        <f t="shared" si="94"/>
        <v>2015</v>
      </c>
      <c r="AB91" s="707">
        <f t="shared" si="94"/>
        <v>2016</v>
      </c>
      <c r="AC91" s="707">
        <f t="shared" si="94"/>
        <v>2017</v>
      </c>
      <c r="AD91" s="707">
        <f t="shared" si="94"/>
        <v>2018</v>
      </c>
      <c r="AE91" s="707">
        <f t="shared" si="94"/>
        <v>2019</v>
      </c>
    </row>
    <row r="92" spans="1:94">
      <c r="A92" s="664"/>
      <c r="C92" s="1079" t="s">
        <v>1767</v>
      </c>
      <c r="D92" s="1058"/>
      <c r="E92" s="1038" t="s">
        <v>1942</v>
      </c>
      <c r="F92" s="1058"/>
      <c r="G92" s="1084">
        <f>+G72</f>
        <v>13.836275402676117</v>
      </c>
      <c r="H92" s="1084">
        <f t="shared" ref="H92:O92" si="95">+H72</f>
        <v>15.044402112619391</v>
      </c>
      <c r="I92" s="1084">
        <f t="shared" si="95"/>
        <v>16.904520540333646</v>
      </c>
      <c r="J92" s="1084">
        <f t="shared" si="95"/>
        <v>18.287507990920549</v>
      </c>
      <c r="K92" s="1084">
        <f t="shared" si="95"/>
        <v>18.187110671109533</v>
      </c>
      <c r="L92" s="1084">
        <f t="shared" si="95"/>
        <v>18.575447364388694</v>
      </c>
      <c r="M92" s="1084">
        <f t="shared" si="95"/>
        <v>19.65684720975181</v>
      </c>
      <c r="N92" s="1084">
        <f t="shared" si="95"/>
        <v>21.1194781462228</v>
      </c>
      <c r="O92" s="1084">
        <f t="shared" si="95"/>
        <v>23.318488136288344</v>
      </c>
      <c r="P92" s="1084">
        <f t="shared" ref="P92:V92" si="96">+P72</f>
        <v>26.40723272</v>
      </c>
      <c r="Q92" s="1084">
        <f t="shared" si="96"/>
        <v>28.643457320000003</v>
      </c>
      <c r="R92" s="1084">
        <f t="shared" si="96"/>
        <v>31.129453789999999</v>
      </c>
      <c r="S92" s="1084">
        <f>+S72</f>
        <v>35.771466449999998</v>
      </c>
      <c r="T92" s="1084">
        <f>+T72</f>
        <v>36.898166749999994</v>
      </c>
      <c r="U92" s="1084">
        <f t="shared" si="96"/>
        <v>28.05370173</v>
      </c>
      <c r="V92" s="1084">
        <f t="shared" si="96"/>
        <v>28.55387</v>
      </c>
      <c r="W92" s="1084">
        <f t="shared" ref="W92:AA92" si="97">+W72</f>
        <v>30.253779999999999</v>
      </c>
      <c r="X92" s="1084">
        <f t="shared" si="97"/>
        <v>30.162026480000002</v>
      </c>
      <c r="Y92" s="1084">
        <f t="shared" si="97"/>
        <v>31.017061699999999</v>
      </c>
      <c r="Z92" s="1084">
        <f t="shared" si="97"/>
        <v>32.070553260000004</v>
      </c>
      <c r="AA92" s="1084">
        <f t="shared" si="97"/>
        <v>34.438025119999999</v>
      </c>
      <c r="AB92" s="1084">
        <f t="shared" ref="AB92" si="98">+AB72</f>
        <v>35.266515149999996</v>
      </c>
      <c r="AC92" s="1084">
        <f ca="1">+AC72</f>
        <v>36.725054851007108</v>
      </c>
      <c r="AD92" s="1084">
        <f ca="1">+AD72</f>
        <v>38.14587641386899</v>
      </c>
      <c r="AE92" s="1084">
        <f ca="1">+AE72</f>
        <v>39.376147701025829</v>
      </c>
    </row>
    <row r="93" spans="1:94" ht="12.75" customHeight="1">
      <c r="A93" s="664"/>
      <c r="C93" s="1081" t="s">
        <v>1767</v>
      </c>
      <c r="D93" s="1077"/>
      <c r="E93" s="1039" t="s">
        <v>1452</v>
      </c>
      <c r="F93" s="1077" t="s">
        <v>1590</v>
      </c>
      <c r="G93" s="1085">
        <f>+G83</f>
        <v>5.0488624980055201</v>
      </c>
      <c r="H93" s="1085">
        <f t="shared" ref="H93:O93" si="99">+H83</f>
        <v>6.0103945464491666</v>
      </c>
      <c r="I93" s="1085">
        <f t="shared" si="99"/>
        <v>7.1426519644701454</v>
      </c>
      <c r="J93" s="1085">
        <f t="shared" si="99"/>
        <v>7.475443470272916</v>
      </c>
      <c r="K93" s="1085">
        <f t="shared" si="99"/>
        <v>6.2515592078803728</v>
      </c>
      <c r="L93" s="1085">
        <f t="shared" si="99"/>
        <v>6.8490337777093986</v>
      </c>
      <c r="M93" s="1085">
        <f t="shared" si="99"/>
        <v>8.3016546339835884</v>
      </c>
      <c r="N93" s="1085">
        <f t="shared" si="99"/>
        <v>9.8466792846551261</v>
      </c>
      <c r="O93" s="1085">
        <f t="shared" si="99"/>
        <v>10.676380457755817</v>
      </c>
      <c r="P93" s="1085">
        <f t="shared" ref="P93:V93" si="100">+P83</f>
        <v>11.102799999999998</v>
      </c>
      <c r="Q93" s="1085">
        <f t="shared" si="100"/>
        <v>13.38335</v>
      </c>
      <c r="R93" s="1085">
        <f t="shared" si="100"/>
        <v>15.075610000000001</v>
      </c>
      <c r="S93" s="1085">
        <f>+S83</f>
        <v>15.554209999999999</v>
      </c>
      <c r="T93" s="1085">
        <f>+T83</f>
        <v>17.655139999999999</v>
      </c>
      <c r="U93" s="1085">
        <f t="shared" si="100"/>
        <v>15.397290000000002</v>
      </c>
      <c r="V93" s="1085">
        <f t="shared" si="100"/>
        <v>18.313880000000001</v>
      </c>
      <c r="W93" s="1085">
        <f t="shared" ref="W93:AA93" si="101">+W83</f>
        <v>21.135020000000001</v>
      </c>
      <c r="X93" s="1085">
        <f t="shared" si="101"/>
        <v>23.753349999999998</v>
      </c>
      <c r="Y93" s="1085">
        <f t="shared" si="101"/>
        <v>26.095380000000002</v>
      </c>
      <c r="Z93" s="1085">
        <f t="shared" si="101"/>
        <v>26.948370000000001</v>
      </c>
      <c r="AA93" s="1085">
        <f t="shared" si="101"/>
        <v>26.850680000000001</v>
      </c>
      <c r="AB93" s="1085">
        <f t="shared" ref="AB93" si="102">+AB83</f>
        <v>27.778269999999999</v>
      </c>
      <c r="AC93" s="1085">
        <f>+AC83</f>
        <v>31.455689999999997</v>
      </c>
      <c r="AD93" s="1085">
        <f ca="1">+AD83</f>
        <v>33.190876111086119</v>
      </c>
      <c r="AE93" s="1085">
        <f ca="1">+AE83</f>
        <v>34.659437221662913</v>
      </c>
    </row>
    <row r="94" spans="1:94">
      <c r="A94" s="664">
        <f>+ROW(InputY!A43)</f>
        <v>43</v>
      </c>
      <c r="B94" s="664"/>
      <c r="C94" s="694" t="s">
        <v>1769</v>
      </c>
      <c r="D94" s="1177"/>
      <c r="E94" s="1461" t="s">
        <v>1359</v>
      </c>
      <c r="F94" s="1460"/>
      <c r="G94" s="1184">
        <f>+InputY!G43/1000</f>
        <v>18.697227895180973</v>
      </c>
      <c r="H94" s="1184">
        <f>+InputY!H43/1000</f>
        <v>20.908572512990041</v>
      </c>
      <c r="I94" s="1184">
        <f>+InputY!I43/1000</f>
        <v>23.919420909441602</v>
      </c>
      <c r="J94" s="1184">
        <f>+InputY!J43/1000</f>
        <v>25.607469229881275</v>
      </c>
      <c r="K94" s="1184">
        <f>+InputY!K43/1000</f>
        <v>24.298456251731583</v>
      </c>
      <c r="L94" s="1184">
        <f>+InputY!L43/1000</f>
        <v>25.286247982793554</v>
      </c>
      <c r="M94" s="1184">
        <f>+InputY!M43/1000</f>
        <v>27.906859620407776</v>
      </c>
      <c r="N94" s="1184">
        <f>+InputY!N43/1000</f>
        <v>30.979501856890789</v>
      </c>
      <c r="O94" s="1184">
        <f>+InputY!O43/1000</f>
        <v>34.001155724657146</v>
      </c>
      <c r="P94" s="1184">
        <f>+InputY!P43/1000</f>
        <v>37.481002539999999</v>
      </c>
      <c r="Q94" s="1184">
        <f>+InputY!Q43/1000</f>
        <v>42.042632760000004</v>
      </c>
      <c r="R94" s="1184">
        <f>+InputY!R43/1000</f>
        <v>46.248838550000002</v>
      </c>
      <c r="S94" s="1184">
        <f>+InputY!S43/1000</f>
        <v>51.325337930000003</v>
      </c>
      <c r="T94" s="1184">
        <f>+InputY!T43/1000</f>
        <v>54.579444009999996</v>
      </c>
      <c r="U94" s="1184">
        <f>+InputY!U43/1000</f>
        <v>43.563655220000001</v>
      </c>
      <c r="V94" s="1184">
        <f>+InputY!V43/1000</f>
        <v>46.867750000000001</v>
      </c>
      <c r="W94" s="1184">
        <f>+InputY!W43/1000</f>
        <v>51.388800000000003</v>
      </c>
      <c r="X94" s="1184">
        <f>+InputY!X43/1000</f>
        <v>53.987926030000004</v>
      </c>
      <c r="Y94" s="1184">
        <f>+InputY!Y43/1000</f>
        <v>57.230938850000001</v>
      </c>
      <c r="Z94" s="1184">
        <f>+InputY!Z43/1000</f>
        <v>59.141162659999999</v>
      </c>
      <c r="AA94" s="1184">
        <f>+InputY!AA43/1000</f>
        <v>61.432050349999997</v>
      </c>
      <c r="AB94" s="1184">
        <f>+InputY!AB43/1000</f>
        <v>63.187093279999999</v>
      </c>
      <c r="AC94" s="1184">
        <f>+InputY!AC43/1000</f>
        <v>68.004727410000001</v>
      </c>
      <c r="AD94" s="1464">
        <f ca="1">IF(UPPER('VVP1'!$F$2)="Y",+AC94*(1+AD100/100),+AD92+AD93)</f>
        <v>71.144298205388168</v>
      </c>
      <c r="AE94" s="1464">
        <f ca="1">IF(UPPER('VVP1'!$F$2)="Y",+AD94*(1+AE100/100),+AE92+AE93)</f>
        <v>73.828566437201914</v>
      </c>
    </row>
    <row r="95" spans="1:94" s="699" customFormat="1" ht="12.75" customHeight="1">
      <c r="A95" s="664"/>
      <c r="B95" s="664"/>
      <c r="C95" s="774"/>
      <c r="D95" s="1973"/>
      <c r="E95" s="1973" t="s">
        <v>737</v>
      </c>
      <c r="F95" s="1973"/>
      <c r="G95" s="1002"/>
      <c r="H95" s="1002">
        <f ca="1">ABS(IF('VVP1'!$F$2="Y",OFFSET('VVP1'!$G$14,0,5*(COLUMN()-7)+1)-OFFSET('VVP1'!$G$88,0,5*(COLUMN()-7)+1)-OFFSET('VVP1'!$G$12,0,5*(COLUMN()-7)+1),ABS(H94-H92-H93)))</f>
        <v>5.7740803415034847E-2</v>
      </c>
      <c r="I95" s="1002">
        <f ca="1">ABS(IF('VVP1'!$F$2="Y",OFFSET('VVP1'!$G$14,0,5*(COLUMN()-7)+1)-OFFSET('VVP1'!$G$88,0,5*(COLUMN()-7)+1)-OFFSET('VVP1'!$G$12,0,5*(COLUMN()-7)+1),ABS(I94-I92-I93)))</f>
        <v>3.5326052647979722E-2</v>
      </c>
      <c r="J95" s="1002">
        <f ca="1">ABS(IF('VVP1'!$F$2="Y",OFFSET('VVP1'!$G$14,0,5*(COLUMN()-7)+1)-OFFSET('VVP1'!$G$88,0,5*(COLUMN()-7)+1)-OFFSET('VVP1'!$G$12,0,5*(COLUMN()-7)+1),ABS(J94-J92-J93)))</f>
        <v>1.8627520452564994E-2</v>
      </c>
      <c r="K95" s="1002">
        <f ca="1">ABS(IF('VVP1'!$F$2="Y",OFFSET('VVP1'!$G$14,0,5*(COLUMN()-7)+1)-OFFSET('VVP1'!$G$88,0,5*(COLUMN()-7)+1)-OFFSET('VVP1'!$G$12,0,5*(COLUMN()-7)+1),ABS(K94-K92-K93)))</f>
        <v>8.8233825819441947E-2</v>
      </c>
      <c r="L95" s="1002">
        <f ca="1">ABS(IF('VVP1'!$F$2="Y",OFFSET('VVP1'!$G$14,0,5*(COLUMN()-7)+1)-OFFSET('VVP1'!$G$88,0,5*(COLUMN()-7)+1)-OFFSET('VVP1'!$G$12,0,5*(COLUMN()-7)+1),ABS(L94-L92-L93)))</f>
        <v>4.3541774628888419E-2</v>
      </c>
      <c r="M95" s="1002">
        <f ca="1">ABS(IF('VVP1'!$F$2="Y",OFFSET('VVP1'!$G$14,0,5*(COLUMN()-7)+1)-OFFSET('VVP1'!$G$88,0,5*(COLUMN()-7)+1)-OFFSET('VVP1'!$G$12,0,5*(COLUMN()-7)+1),ABS(M94-M92-M93)))</f>
        <v>8.5896822027496711E-2</v>
      </c>
      <c r="N95" s="1002">
        <f ca="1">ABS(IF('VVP1'!$F$2="Y",OFFSET('VVP1'!$G$14,0,5*(COLUMN()-7)+1)-OFFSET('VVP1'!$G$88,0,5*(COLUMN()-7)+1)-OFFSET('VVP1'!$G$12,0,5*(COLUMN()-7)+1),ABS(N94-N92-N93)))</f>
        <v>5.9198380269467776E-2</v>
      </c>
      <c r="O95" s="1002">
        <f ca="1">ABS(IF('VVP1'!$F$2="Y",OFFSET('VVP1'!$G$14,0,5*(COLUMN()-7)+1)-OFFSET('VVP1'!$G$88,0,5*(COLUMN()-7)+1)-OFFSET('VVP1'!$G$12,0,5*(COLUMN()-7)+1),ABS(O94-O92-O93)))</f>
        <v>1.0248853838415783E-2</v>
      </c>
      <c r="P95" s="1002">
        <f ca="1">ABS(IF('VVP1'!$F$2="Y",OFFSET('VVP1'!$G$14,0,5*(COLUMN()-7)+1)-OFFSET('VVP1'!$G$88,0,5*(COLUMN()-7)+1)-OFFSET('VVP1'!$G$12,0,5*(COLUMN()-7)+1),ABS(P94-P92-P93)))</f>
        <v>5.0749745714636418E-2</v>
      </c>
      <c r="Q95" s="1002">
        <f ca="1">ABS(IF('VVP1'!$F$2="Y",OFFSET('VVP1'!$G$14,0,5*(COLUMN()-7)+1)-OFFSET('VVP1'!$G$88,0,5*(COLUMN()-7)+1)-OFFSET('VVP1'!$G$12,0,5*(COLUMN()-7)+1),ABS(Q94-Q92-Q93)))</f>
        <v>2.2222224060897133E-9</v>
      </c>
      <c r="R95" s="1002">
        <f ca="1">ABS(IF('VVP1'!$F$2="Y",OFFSET('VVP1'!$G$14,0,5*(COLUMN()-7)+1)-OFFSET('VVP1'!$G$88,0,5*(COLUMN()-7)+1)-OFFSET('VVP1'!$G$12,0,5*(COLUMN()-7)+1),ABS(R94-R92-R93)))</f>
        <v>1.3067588966464427E-7</v>
      </c>
      <c r="S95" s="1002">
        <f ca="1">ABS(IF('VVP1'!$F$2="Y",OFFSET('VVP1'!$G$14,0,5*(COLUMN()-7)+1)-OFFSET('VVP1'!$G$88,0,5*(COLUMN()-7)+1)-OFFSET('VVP1'!$G$12,0,5*(COLUMN()-7)+1),ABS(S94-S92-S93)))</f>
        <v>1.3402754461822042E-9</v>
      </c>
      <c r="T95" s="2906">
        <f ca="1">ABS(IF('VVP1'!$F$2="Y",OFFSET('VVP1'!$G$14,0,5*(COLUMN()-7)+1)-OFFSET('VVP1'!$G$88,0,5*(COLUMN()-7)+1)-OFFSET('VVP1'!$G$12,0,5*(COLUMN()-7)+1),ABS(T94-T92-T93)))</f>
        <v>3.1785784671001238E-7</v>
      </c>
      <c r="U95" s="2906">
        <f ca="1">ABS(IF('VVP1'!$F$2="Y",OFFSET('VVP1'!$G$14,0,5*(COLUMN()-7)+1)-OFFSET('VVP1'!$G$88,0,5*(COLUMN()-7)+1)-OFFSET('VVP1'!$G$12,0,5*(COLUMN()-7)+1),ABS(U94-U92-U93)))</f>
        <v>3.8090388443379197E-7</v>
      </c>
      <c r="V95" s="2906">
        <f ca="1">ABS(IF('VVP1'!$F$2="Y",OFFSET('VVP1'!$G$14,0,5*(COLUMN()-7)+1)-OFFSET('VVP1'!$G$88,0,5*(COLUMN()-7)+1)-OFFSET('VVP1'!$G$12,0,5*(COLUMN()-7)+1),ABS(V94-V92-V93)))</f>
        <v>5.2468962508100958E-9</v>
      </c>
      <c r="W95" s="2906">
        <f ca="1">ABS(IF('VVP1'!$F$2="Y",OFFSET('VVP1'!$G$14,0,5*(COLUMN()-7)+1)-OFFSET('VVP1'!$G$88,0,5*(COLUMN()-7)+1)-OFFSET('VVP1'!$G$12,0,5*(COLUMN()-7)+1),ABS(W94-W92-W93)))</f>
        <v>7.1054273576010019E-15</v>
      </c>
      <c r="X95" s="2906">
        <f ca="1">ABS(IF('VVP1'!$F$2="Y",OFFSET('VVP1'!$G$14,0,5*(COLUMN()-7)+1)-OFFSET('VVP1'!$G$88,0,5*(COLUMN()-7)+1)-OFFSET('VVP1'!$G$12,0,5*(COLUMN()-7)+1),ABS(X94-X92-X93)))</f>
        <v>5.4355651357695933E-7</v>
      </c>
      <c r="Y95" s="2906">
        <f ca="1">ABS(IF('VVP1'!$F$2="Y",OFFSET('VVP1'!$G$14,0,5*(COLUMN()-7)+1)-OFFSET('VVP1'!$G$88,0,5*(COLUMN()-7)+1)-OFFSET('VVP1'!$G$12,0,5*(COLUMN()-7)+1),ABS(Y94-Y92-Y93)))</f>
        <v>3.2750103429179944E-7</v>
      </c>
      <c r="Z95" s="2906">
        <f ca="1">ABS(IF('VVP1'!$F$2="Y",OFFSET('VVP1'!$G$14,0,5*(COLUMN()-7)+1)-OFFSET('VVP1'!$G$88,0,5*(COLUMN()-7)+1)-OFFSET('VVP1'!$G$12,0,5*(COLUMN()-7)+1),ABS(Z94-Z92-Z93)))</f>
        <v>1.4790870750402973E-9</v>
      </c>
      <c r="AA95" s="2906">
        <f ca="1">ABS(IF('VVP1'!$F$2="Y",OFFSET('VVP1'!$G$14,0,5*(COLUMN()-7)+1)-OFFSET('VVP1'!$G$88,0,5*(COLUMN()-7)+1)-OFFSET('VVP1'!$G$12,0,5*(COLUMN()-7)+1),ABS(AA94-AA92-AA93)))</f>
        <v>2.1567601038441353E-9</v>
      </c>
      <c r="AB95" s="2906">
        <f ca="1">ABS(IF('VVP1'!$F$2="Y",OFFSET('VVP1'!$G$14,0,5*(COLUMN()-7)+1)-OFFSET('VVP1'!$G$88,0,5*(COLUMN()-7)+1)-OFFSET('VVP1'!$G$12,0,5*(COLUMN()-7)+1),ABS(AB94-AB92-AB93)))</f>
        <v>1.5968394961873855E-7</v>
      </c>
      <c r="AC95" s="2906">
        <f ca="1">ABS(IF('VVP1'!$F$2="Y",OFFSET('VVP1'!$G$14,0,5*(COLUMN()-7)+1)-OFFSET('VVP1'!$G$88,0,5*(COLUMN()-7)+1)-OFFSET('VVP1'!$G$12,0,5*(COLUMN()-7)+1),ABS(AC94-AC92-AC93)))</f>
        <v>5.9906007123800009E-6</v>
      </c>
      <c r="AD95" s="2906">
        <f ca="1">ABS(IF('VVP1'!$F$2="Y",OFFSET('VVP1'!$G$14,0,5*(COLUMN()-7)+1)-OFFSET('VVP1'!$G$88,0,5*(COLUMN()-7)+1)-OFFSET('VVP1'!$G$12,0,5*(COLUMN()-7)+1),ABS(AD94-AD92-AD93)))</f>
        <v>6.5988554354134976E-6</v>
      </c>
      <c r="AE95" s="2906">
        <f ca="1">ABS(IF('VVP1'!$F$2="Y",OFFSET('VVP1'!$G$14,0,5*(COLUMN()-7)+1)-OFFSET('VVP1'!$G$88,0,5*(COLUMN()-7)+1)-OFFSET('VVP1'!$G$12,0,5*(COLUMN()-7)+1),ABS(AE94-AE92-AE93)))</f>
        <v>7.0527012496768293E-6</v>
      </c>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row>
    <row r="96" spans="1:94">
      <c r="AB96" s="557"/>
      <c r="AC96" s="557"/>
      <c r="AD96" s="557"/>
      <c r="AE96" s="557"/>
    </row>
    <row r="97" spans="1:94" s="699" customFormat="1" ht="12.75" customHeight="1">
      <c r="A97" s="664"/>
      <c r="B97" s="664"/>
      <c r="C97" s="774"/>
      <c r="D97" s="1092"/>
      <c r="E97" s="1093" t="s">
        <v>1359</v>
      </c>
      <c r="F97" s="1094"/>
      <c r="G97" s="896">
        <f>+InputY!$G$3</f>
        <v>1995</v>
      </c>
      <c r="H97" s="896">
        <f>+G97+1</f>
        <v>1996</v>
      </c>
      <c r="I97" s="896">
        <f t="shared" ref="I97:O97" si="103">+H97+1</f>
        <v>1997</v>
      </c>
      <c r="J97" s="896">
        <f t="shared" si="103"/>
        <v>1998</v>
      </c>
      <c r="K97" s="896">
        <f t="shared" si="103"/>
        <v>1999</v>
      </c>
      <c r="L97" s="896">
        <f t="shared" si="103"/>
        <v>2000</v>
      </c>
      <c r="M97" s="896">
        <f t="shared" si="103"/>
        <v>2001</v>
      </c>
      <c r="N97" s="896">
        <f t="shared" si="103"/>
        <v>2002</v>
      </c>
      <c r="O97" s="896">
        <f t="shared" si="103"/>
        <v>2003</v>
      </c>
      <c r="P97" s="896">
        <f t="shared" ref="P97:V97" si="104">+O97+1</f>
        <v>2004</v>
      </c>
      <c r="Q97" s="896">
        <f t="shared" si="104"/>
        <v>2005</v>
      </c>
      <c r="R97" s="896">
        <f t="shared" si="104"/>
        <v>2006</v>
      </c>
      <c r="S97" s="896">
        <f>+R97+1</f>
        <v>2007</v>
      </c>
      <c r="T97" s="896">
        <f t="shared" si="104"/>
        <v>2008</v>
      </c>
      <c r="U97" s="896">
        <f t="shared" si="104"/>
        <v>2009</v>
      </c>
      <c r="V97" s="896">
        <f t="shared" si="104"/>
        <v>2010</v>
      </c>
      <c r="W97" s="896">
        <f t="shared" ref="W97:AE97" si="105">+V97+1</f>
        <v>2011</v>
      </c>
      <c r="X97" s="896">
        <f t="shared" si="105"/>
        <v>2012</v>
      </c>
      <c r="Y97" s="896">
        <f t="shared" si="105"/>
        <v>2013</v>
      </c>
      <c r="Z97" s="896">
        <f t="shared" si="105"/>
        <v>2014</v>
      </c>
      <c r="AA97" s="896">
        <f t="shared" si="105"/>
        <v>2015</v>
      </c>
      <c r="AB97" s="896">
        <f t="shared" si="105"/>
        <v>2016</v>
      </c>
      <c r="AC97" s="896">
        <f t="shared" si="105"/>
        <v>2017</v>
      </c>
      <c r="AD97" s="896">
        <f t="shared" si="105"/>
        <v>2018</v>
      </c>
      <c r="AE97" s="896">
        <f t="shared" si="105"/>
        <v>2019</v>
      </c>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row>
    <row r="98" spans="1:94" s="699" customFormat="1" ht="12.75" customHeight="1">
      <c r="A98" s="664"/>
      <c r="B98" s="664"/>
      <c r="C98" s="794" t="s">
        <v>1767</v>
      </c>
      <c r="D98" s="689"/>
      <c r="E98" s="738" t="s">
        <v>1942</v>
      </c>
      <c r="F98" s="733" t="s">
        <v>47</v>
      </c>
      <c r="G98" s="1095"/>
      <c r="H98" s="1095">
        <f>+(H92/G92-1)*100</f>
        <v>8.7315890641321392</v>
      </c>
      <c r="I98" s="1095">
        <f t="shared" ref="I98:T98" si="106">+(I92/H92-1)*100</f>
        <v>12.364189774972644</v>
      </c>
      <c r="J98" s="1095">
        <f t="shared" si="106"/>
        <v>8.1811693344814973</v>
      </c>
      <c r="K98" s="1095">
        <f t="shared" si="106"/>
        <v>-0.54899399010986949</v>
      </c>
      <c r="L98" s="1095">
        <f t="shared" si="106"/>
        <v>2.1352302754501729</v>
      </c>
      <c r="M98" s="1095">
        <f t="shared" si="106"/>
        <v>5.8216624566269415</v>
      </c>
      <c r="N98" s="1095">
        <f t="shared" si="106"/>
        <v>7.440821617341431</v>
      </c>
      <c r="O98" s="1095">
        <f t="shared" si="106"/>
        <v>10.412236395428343</v>
      </c>
      <c r="P98" s="1095">
        <f t="shared" si="106"/>
        <v>13.245904132630869</v>
      </c>
      <c r="Q98" s="1095">
        <f t="shared" si="106"/>
        <v>8.4682277151530538</v>
      </c>
      <c r="R98" s="1095">
        <f t="shared" si="106"/>
        <v>8.6791075610281645</v>
      </c>
      <c r="S98" s="1095">
        <f t="shared" si="106"/>
        <v>14.911963092301983</v>
      </c>
      <c r="T98" s="1095">
        <f t="shared" si="106"/>
        <v>3.1497179506880357</v>
      </c>
      <c r="U98" s="1095">
        <f t="shared" ref="U98:AE99" si="107">+(U92/T92-1)*100</f>
        <v>-23.969930755435144</v>
      </c>
      <c r="V98" s="1095">
        <f t="shared" si="107"/>
        <v>1.7828958003967443</v>
      </c>
      <c r="W98" s="1095">
        <f t="shared" si="107"/>
        <v>5.9533436273261797</v>
      </c>
      <c r="X98" s="1095">
        <f t="shared" si="107"/>
        <v>-0.30327952407929182</v>
      </c>
      <c r="Y98" s="1095">
        <f t="shared" si="107"/>
        <v>2.8348069403326015</v>
      </c>
      <c r="Z98" s="1095">
        <f t="shared" si="107"/>
        <v>3.3964905192808814</v>
      </c>
      <c r="AA98" s="1095">
        <f t="shared" si="107"/>
        <v>7.3820736449621061</v>
      </c>
      <c r="AB98" s="1095">
        <f t="shared" si="107"/>
        <v>2.4057419875649355</v>
      </c>
      <c r="AC98" s="1095">
        <f t="shared" ca="1" si="107"/>
        <v>4.1357636126038155</v>
      </c>
      <c r="AD98" s="1095">
        <f t="shared" ca="1" si="107"/>
        <v>3.8688071906934685</v>
      </c>
      <c r="AE98" s="1095">
        <f t="shared" ca="1" si="107"/>
        <v>3.2251750459442619</v>
      </c>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row>
    <row r="99" spans="1:94" s="699" customFormat="1" ht="12.75" customHeight="1">
      <c r="A99" s="664"/>
      <c r="B99" s="664"/>
      <c r="C99" s="796" t="s">
        <v>1767</v>
      </c>
      <c r="D99" s="691"/>
      <c r="E99" s="797" t="s">
        <v>1452</v>
      </c>
      <c r="F99" s="736" t="s">
        <v>1590</v>
      </c>
      <c r="G99" s="1096"/>
      <c r="H99" s="1096">
        <f>+(H93/G93-1)*100</f>
        <v>19.044528323428999</v>
      </c>
      <c r="I99" s="1096">
        <f t="shared" ref="I99:T99" si="108">+(I93/H93-1)*100</f>
        <v>18.838320999906678</v>
      </c>
      <c r="J99" s="1096">
        <f t="shared" si="108"/>
        <v>4.6592149170669783</v>
      </c>
      <c r="K99" s="1096">
        <f t="shared" si="108"/>
        <v>-16.372062303186162</v>
      </c>
      <c r="L99" s="1096">
        <f t="shared" si="108"/>
        <v>9.5572088492080773</v>
      </c>
      <c r="M99" s="1096">
        <f t="shared" si="108"/>
        <v>21.209135528019061</v>
      </c>
      <c r="N99" s="1096">
        <f t="shared" si="108"/>
        <v>18.611044650627086</v>
      </c>
      <c r="O99" s="1096">
        <f t="shared" si="108"/>
        <v>8.4262028762699828</v>
      </c>
      <c r="P99" s="1096">
        <f t="shared" si="108"/>
        <v>3.994045959034831</v>
      </c>
      <c r="Q99" s="1096">
        <f t="shared" si="108"/>
        <v>20.540314154987939</v>
      </c>
      <c r="R99" s="1096">
        <f t="shared" si="108"/>
        <v>12.644517254648502</v>
      </c>
      <c r="S99" s="1096">
        <f t="shared" si="108"/>
        <v>3.1746642424419269</v>
      </c>
      <c r="T99" s="1096">
        <f t="shared" si="108"/>
        <v>13.507146939638858</v>
      </c>
      <c r="U99" s="1096">
        <f t="shared" si="107"/>
        <v>-12.788626994744856</v>
      </c>
      <c r="V99" s="1096">
        <f t="shared" si="107"/>
        <v>18.942229444272328</v>
      </c>
      <c r="W99" s="1096">
        <f t="shared" si="107"/>
        <v>15.404381813138457</v>
      </c>
      <c r="X99" s="1096">
        <f t="shared" si="107"/>
        <v>12.388585390503515</v>
      </c>
      <c r="Y99" s="1096">
        <f t="shared" si="107"/>
        <v>9.8597881982962718</v>
      </c>
      <c r="Z99" s="1096">
        <f t="shared" si="107"/>
        <v>3.2687395240077022</v>
      </c>
      <c r="AA99" s="1096">
        <f t="shared" si="107"/>
        <v>-0.36250801068858918</v>
      </c>
      <c r="AB99" s="1096">
        <f t="shared" si="107"/>
        <v>3.4546238679988628</v>
      </c>
      <c r="AC99" s="1096">
        <f t="shared" si="107"/>
        <v>13.238477414180206</v>
      </c>
      <c r="AD99" s="1096">
        <f t="shared" ca="1" si="107"/>
        <v>5.5162869137066251</v>
      </c>
      <c r="AE99" s="1096">
        <f t="shared" ca="1" si="107"/>
        <v>4.424592787673598</v>
      </c>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row>
    <row r="100" spans="1:94" s="699" customFormat="1" ht="12.75" customHeight="1">
      <c r="A100" s="664"/>
      <c r="B100" s="664"/>
      <c r="C100" s="774" t="s">
        <v>1769</v>
      </c>
      <c r="D100" s="717"/>
      <c r="E100" s="1468" t="s">
        <v>1359</v>
      </c>
      <c r="F100" s="723" t="s">
        <v>48</v>
      </c>
      <c r="G100" s="1099"/>
      <c r="H100" s="1099">
        <f>+(H94/G94-1)*100</f>
        <v>11.827125551478247</v>
      </c>
      <c r="I100" s="1099">
        <f>+(I94/H94-1)*100</f>
        <v>14.400066740955108</v>
      </c>
      <c r="J100" s="1099">
        <f t="shared" ref="J100:AC100" si="109">+(J94/I94-1)*100</f>
        <v>7.0572290476035748</v>
      </c>
      <c r="K100" s="1099">
        <f t="shared" si="109"/>
        <v>-5.1118404805977846</v>
      </c>
      <c r="L100" s="1099">
        <f t="shared" si="109"/>
        <v>4.0652448074415259</v>
      </c>
      <c r="M100" s="1099">
        <f t="shared" si="109"/>
        <v>10.363782081855156</v>
      </c>
      <c r="N100" s="1099">
        <f t="shared" si="109"/>
        <v>11.010347557114763</v>
      </c>
      <c r="O100" s="1099">
        <f t="shared" si="109"/>
        <v>9.7537199975804345</v>
      </c>
      <c r="P100" s="1099">
        <f t="shared" si="109"/>
        <v>10.234495684566735</v>
      </c>
      <c r="Q100" s="1099">
        <f t="shared" si="109"/>
        <v>12.170512822147161</v>
      </c>
      <c r="R100" s="1099">
        <f t="shared" si="109"/>
        <v>10.004620343381166</v>
      </c>
      <c r="S100" s="1099">
        <f t="shared" si="109"/>
        <v>10.976490522052252</v>
      </c>
      <c r="T100" s="1099">
        <f t="shared" si="109"/>
        <v>6.3401551967141367</v>
      </c>
      <c r="U100" s="1099">
        <f t="shared" si="109"/>
        <v>-20.183035920962645</v>
      </c>
      <c r="V100" s="1099">
        <f t="shared" si="109"/>
        <v>7.5845214624761237</v>
      </c>
      <c r="W100" s="1099">
        <f t="shared" si="109"/>
        <v>9.6463986429901283</v>
      </c>
      <c r="X100" s="1099">
        <f t="shared" si="109"/>
        <v>5.0577675096519004</v>
      </c>
      <c r="Y100" s="1099">
        <f t="shared" si="109"/>
        <v>6.0069223963111984</v>
      </c>
      <c r="Z100" s="1099">
        <f t="shared" si="109"/>
        <v>3.3377467649213566</v>
      </c>
      <c r="AA100" s="1099">
        <f t="shared" si="109"/>
        <v>3.8735925824965767</v>
      </c>
      <c r="AB100" s="1099">
        <f t="shared" si="109"/>
        <v>2.8568848345463138</v>
      </c>
      <c r="AC100" s="1099">
        <f t="shared" si="109"/>
        <v>7.6243958693458014</v>
      </c>
      <c r="AD100" s="1466">
        <f ca="1">IF(UPPER('VVP1'!$F$2)="Y",OFFSET('VVP1'!$G$14,0,5*(COLUMN()-7)),('VVP2'!AD94/'VVP2'!AC94-1)*100)</f>
        <v>4.6166949195453943</v>
      </c>
      <c r="AE100" s="1466">
        <f ca="1">IF(UPPER('VVP1'!$F$2)="Y",OFFSET('VVP1'!$G$14,0,5*(COLUMN()-7)),('VVP2'!AE94/'VVP2'!AD94-1)*100)</f>
        <v>3.7729913703898887</v>
      </c>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row>
    <row r="101" spans="1:94">
      <c r="AB101" s="557"/>
      <c r="AC101" s="557"/>
      <c r="AD101" s="557"/>
      <c r="AE101" s="557"/>
    </row>
    <row r="102" spans="1:94">
      <c r="A102" s="1130"/>
      <c r="D102" s="1173"/>
      <c r="E102" s="1174" t="s">
        <v>739</v>
      </c>
      <c r="F102" s="1170"/>
      <c r="G102" s="1168">
        <f>+InputY!$G$3</f>
        <v>1995</v>
      </c>
      <c r="H102" s="1168">
        <f>+G102+1</f>
        <v>1996</v>
      </c>
      <c r="I102" s="1168">
        <f t="shared" ref="I102:O102" si="110">+H102+1</f>
        <v>1997</v>
      </c>
      <c r="J102" s="1168">
        <f t="shared" si="110"/>
        <v>1998</v>
      </c>
      <c r="K102" s="1168">
        <f t="shared" si="110"/>
        <v>1999</v>
      </c>
      <c r="L102" s="1168">
        <f t="shared" si="110"/>
        <v>2000</v>
      </c>
      <c r="M102" s="1168">
        <f t="shared" si="110"/>
        <v>2001</v>
      </c>
      <c r="N102" s="1168">
        <f t="shared" si="110"/>
        <v>2002</v>
      </c>
      <c r="O102" s="1168">
        <f t="shared" si="110"/>
        <v>2003</v>
      </c>
      <c r="P102" s="1168">
        <f t="shared" ref="P102:V102" si="111">+O102+1</f>
        <v>2004</v>
      </c>
      <c r="Q102" s="1168">
        <f t="shared" si="111"/>
        <v>2005</v>
      </c>
      <c r="R102" s="1168">
        <f t="shared" si="111"/>
        <v>2006</v>
      </c>
      <c r="S102" s="1168">
        <f>+R102+1</f>
        <v>2007</v>
      </c>
      <c r="T102" s="1125">
        <f t="shared" si="111"/>
        <v>2008</v>
      </c>
      <c r="U102" s="1125">
        <f t="shared" si="111"/>
        <v>2009</v>
      </c>
      <c r="V102" s="1125">
        <f t="shared" si="111"/>
        <v>2010</v>
      </c>
      <c r="W102" s="1125">
        <f t="shared" ref="W102:AE102" si="112">+V102+1</f>
        <v>2011</v>
      </c>
      <c r="X102" s="1125">
        <f t="shared" si="112"/>
        <v>2012</v>
      </c>
      <c r="Y102" s="1125">
        <f t="shared" si="112"/>
        <v>2013</v>
      </c>
      <c r="Z102" s="1125">
        <f t="shared" si="112"/>
        <v>2014</v>
      </c>
      <c r="AA102" s="1125">
        <f t="shared" si="112"/>
        <v>2015</v>
      </c>
      <c r="AB102" s="1125">
        <f t="shared" si="112"/>
        <v>2016</v>
      </c>
      <c r="AC102" s="1125">
        <f t="shared" si="112"/>
        <v>2017</v>
      </c>
      <c r="AD102" s="1125">
        <f t="shared" si="112"/>
        <v>2018</v>
      </c>
      <c r="AE102" s="1125">
        <f t="shared" si="112"/>
        <v>2019</v>
      </c>
    </row>
    <row r="103" spans="1:94">
      <c r="A103" s="664">
        <f>+ROW(InputY!A50)</f>
        <v>50</v>
      </c>
      <c r="B103" s="665" t="s">
        <v>254</v>
      </c>
      <c r="C103" s="1079" t="s">
        <v>1769</v>
      </c>
      <c r="D103" s="1058"/>
      <c r="E103" s="1038" t="s">
        <v>1453</v>
      </c>
      <c r="F103" s="1058" t="s">
        <v>1703</v>
      </c>
      <c r="G103" s="1084">
        <f>+InputY!G50/1000</f>
        <v>0.7087974246077573</v>
      </c>
      <c r="H103" s="1084">
        <f>+InputY!H50/1000</f>
        <v>0.93164550545415559</v>
      </c>
      <c r="I103" s="1084">
        <f>+InputY!I50/1000</f>
        <v>1.1732587156015639</v>
      </c>
      <c r="J103" s="1084">
        <f>+InputY!J50/1000</f>
        <v>1.1838226201112128</v>
      </c>
      <c r="K103" s="1084">
        <f>+InputY!K50/1000</f>
        <v>1.1443580797618031</v>
      </c>
      <c r="L103" s="1084">
        <f>+InputY!L50/1000</f>
        <v>0.95477899588265791</v>
      </c>
      <c r="M103" s="1084">
        <f>+InputY!M50/1000</f>
        <v>0.94845688037273612</v>
      </c>
      <c r="N103" s="1084">
        <f>+InputY!N50/1000</f>
        <v>1.1208351366324842</v>
      </c>
      <c r="O103" s="1084">
        <f>+InputY!O50/1000</f>
        <v>1.2786705799559077</v>
      </c>
      <c r="P103" s="1084">
        <f>+InputY!P50/1000</f>
        <v>1.51332</v>
      </c>
      <c r="Q103" s="1084">
        <f>+InputY!Q50/1000</f>
        <v>1.8679600000000001</v>
      </c>
      <c r="R103" s="1084">
        <f>+InputY!R50/1000</f>
        <v>2.1709099999999997</v>
      </c>
      <c r="S103" s="1084">
        <f>+InputY!S50/1000</f>
        <v>2.55402</v>
      </c>
      <c r="T103" s="1084">
        <f>+InputY!T50/1000</f>
        <v>2.7825100000000003</v>
      </c>
      <c r="U103" s="1084">
        <f>+InputY!U50/1000</f>
        <v>2.3010000000000002</v>
      </c>
      <c r="V103" s="1084">
        <f>+InputY!V50/1000</f>
        <v>2.3007600000000004</v>
      </c>
      <c r="W103" s="1084">
        <f>+InputY!W50/1000</f>
        <v>2.6943299999999999</v>
      </c>
      <c r="X103" s="1084">
        <f>+InputY!X50/1000</f>
        <v>3.2643200000000001</v>
      </c>
      <c r="Y103" s="1084">
        <f>+InputY!Y50/1000</f>
        <v>3.8811799999999996</v>
      </c>
      <c r="Z103" s="1084">
        <f>+InputY!Z50/1000</f>
        <v>4.0761199999999995</v>
      </c>
      <c r="AA103" s="1084">
        <f>+InputY!AA50/1000</f>
        <v>4.0676100000000002</v>
      </c>
      <c r="AB103" s="1084">
        <f>+InputY!AB50/1000</f>
        <v>4.33568</v>
      </c>
      <c r="AC103" s="1084">
        <f>+InputY!AC50/1000</f>
        <v>4.9055299999999997</v>
      </c>
      <c r="AD103" s="1416">
        <f ca="1">+AC103*(1+AD109/100)</f>
        <v>5.2243894499999994</v>
      </c>
      <c r="AE103" s="1416">
        <f t="shared" ref="AD103:AE104" ca="1" si="113">+AD103*(1+AE109/100)</f>
        <v>5.4803845330499987</v>
      </c>
    </row>
    <row r="104" spans="1:94">
      <c r="A104" s="664">
        <f>+ROW(InputY!A49)</f>
        <v>49</v>
      </c>
      <c r="B104" s="665" t="s">
        <v>255</v>
      </c>
      <c r="C104" s="1081" t="s">
        <v>1767</v>
      </c>
      <c r="D104" s="1077"/>
      <c r="E104" s="1078" t="s">
        <v>1454</v>
      </c>
      <c r="F104" s="1077" t="s">
        <v>1521</v>
      </c>
      <c r="G104" s="1085">
        <f>+InputY!G49/1000</f>
        <v>4.2202361070355128</v>
      </c>
      <c r="H104" s="1085">
        <f>+InputY!H49/1000</f>
        <v>5.1459241982483732</v>
      </c>
      <c r="I104" s="1085">
        <f>+InputY!I49/1000</f>
        <v>6.4227812286901109</v>
      </c>
      <c r="J104" s="1085">
        <f>+InputY!J49/1000</f>
        <v>6.8746831285953274</v>
      </c>
      <c r="K104" s="1085">
        <f>+InputY!K49/1000</f>
        <v>5.9261647298424043</v>
      </c>
      <c r="L104" s="1085">
        <f>+InputY!L49/1000</f>
        <v>6.4440649774249561</v>
      </c>
      <c r="M104" s="1085">
        <f>+InputY!M49/1000</f>
        <v>7.7323226323786374</v>
      </c>
      <c r="N104" s="1085">
        <f>+InputY!N49/1000</f>
        <v>9.1730083482807512</v>
      </c>
      <c r="O104" s="1085">
        <f>+InputY!O49/1000</f>
        <v>9.9220561771248814</v>
      </c>
      <c r="P104" s="1085">
        <f>+InputY!P49/1000</f>
        <v>11.380469999999999</v>
      </c>
      <c r="Q104" s="1085">
        <f>+InputY!Q49/1000</f>
        <v>13.640180000000001</v>
      </c>
      <c r="R104" s="1085">
        <f>+InputY!R49/1000</f>
        <v>15.54504</v>
      </c>
      <c r="S104" s="1085">
        <f>+InputY!S49/1000</f>
        <v>17.068759999999997</v>
      </c>
      <c r="T104" s="1085">
        <f>+InputY!T49/1000</f>
        <v>19.23555</v>
      </c>
      <c r="U104" s="1085">
        <f>+InputY!U49/1000</f>
        <v>13.549799999999999</v>
      </c>
      <c r="V104" s="1085">
        <f>+InputY!V49/1000</f>
        <v>16.539330000000003</v>
      </c>
      <c r="W104" s="1085">
        <f>+InputY!W49/1000</f>
        <v>18.97306</v>
      </c>
      <c r="X104" s="1085">
        <f>+InputY!X49/1000</f>
        <v>19.879450000000002</v>
      </c>
      <c r="Y104" s="1085">
        <f>+InputY!Y49/1000</f>
        <v>21.409669999999998</v>
      </c>
      <c r="Z104" s="1085">
        <f>+InputY!Z49/1000</f>
        <v>22.005839999999999</v>
      </c>
      <c r="AA104" s="1085">
        <f>+InputY!AA49/1000</f>
        <v>23.611000000000001</v>
      </c>
      <c r="AB104" s="1085">
        <f>+InputY!AB49/1000</f>
        <v>24.316970000000001</v>
      </c>
      <c r="AC104" s="1085">
        <f>+InputY!AC49/1000</f>
        <v>27.416919999999998</v>
      </c>
      <c r="AD104" s="1342">
        <f t="shared" ca="1" si="113"/>
        <v>29.199019799999995</v>
      </c>
      <c r="AE104" s="1342">
        <f t="shared" ca="1" si="113"/>
        <v>30.717368829599994</v>
      </c>
    </row>
    <row r="105" spans="1:94">
      <c r="A105" s="664">
        <f>+ROW(InputY!A51)</f>
        <v>51</v>
      </c>
      <c r="B105" s="664"/>
      <c r="C105" s="694" t="s">
        <v>1769</v>
      </c>
      <c r="D105" s="1171"/>
      <c r="E105" s="1461" t="s">
        <v>1455</v>
      </c>
      <c r="F105" s="1460" t="s">
        <v>1591</v>
      </c>
      <c r="G105" s="1172">
        <f>+InputY!G51/1000</f>
        <v>4.9107185321392937</v>
      </c>
      <c r="H105" s="1172">
        <f>+InputY!H51/1000</f>
        <v>6.0483442153241231</v>
      </c>
      <c r="I105" s="1172">
        <f>+InputY!I51/1000</f>
        <v>7.558391635136144</v>
      </c>
      <c r="J105" s="1172">
        <f>+InputY!J51/1000</f>
        <v>8.0224920854429147</v>
      </c>
      <c r="K105" s="1172">
        <f>+InputY!K51/1000</f>
        <v>7.0316124846573125</v>
      </c>
      <c r="L105" s="1172">
        <f>+InputY!L51/1000</f>
        <v>7.3815106295693358</v>
      </c>
      <c r="M105" s="1172">
        <f>+InputY!M51/1000</f>
        <v>8.6789063726768898</v>
      </c>
      <c r="N105" s="1172">
        <f>+InputY!N51/1000</f>
        <v>10.291648566601102</v>
      </c>
      <c r="O105" s="1172">
        <f>+InputY!O51/1000</f>
        <v>11.203107124708019</v>
      </c>
      <c r="P105" s="1172">
        <f>+InputY!P51/1000</f>
        <v>12.899290000000001</v>
      </c>
      <c r="Q105" s="1172">
        <f>+InputY!Q51/1000</f>
        <v>15.52305</v>
      </c>
      <c r="R105" s="1172">
        <f>+InputY!R51/1000</f>
        <v>17.736429999999999</v>
      </c>
      <c r="S105" s="1172">
        <f>+InputY!S51/1000</f>
        <v>19.65354</v>
      </c>
      <c r="T105" s="1172">
        <f>+InputY!T51/1000</f>
        <v>22.048819999999999</v>
      </c>
      <c r="U105" s="1172">
        <f>+InputY!U51/1000</f>
        <v>15.87585</v>
      </c>
      <c r="V105" s="1172">
        <f>+InputY!V51/1000</f>
        <v>18.84009</v>
      </c>
      <c r="W105" s="1172">
        <f>+InputY!W51/1000</f>
        <v>21.667390000000001</v>
      </c>
      <c r="X105" s="1172">
        <f>+InputY!X51/1000</f>
        <v>23.10718</v>
      </c>
      <c r="Y105" s="1172">
        <f>+InputY!Y51/1000</f>
        <v>25.212880000000002</v>
      </c>
      <c r="Z105" s="1172">
        <f>+InputY!Z51/1000</f>
        <v>25.993580000000001</v>
      </c>
      <c r="AA105" s="1172">
        <f>+InputY!AA51/1000</f>
        <v>27.605340000000002</v>
      </c>
      <c r="AB105" s="1172">
        <f>+InputY!AB51/1000</f>
        <v>28.5792</v>
      </c>
      <c r="AC105" s="1172">
        <f>+InputY!AC51/1000</f>
        <v>32.240859999999998</v>
      </c>
      <c r="AD105" s="1467">
        <f ca="1">IF(UPPER('VVP1'!$F$2)="Y",+AC105*(1+AD111/100),+AD103+AD104)</f>
        <v>34.336515899999988</v>
      </c>
      <c r="AE105" s="1467">
        <f ca="1">IF(UPPER('VVP1'!$F$2)="Y",+AD105*(1+AE111/100),+AE103+AE104)</f>
        <v>36.105261146882356</v>
      </c>
    </row>
    <row r="106" spans="1:94" s="699" customFormat="1" ht="12.75" customHeight="1">
      <c r="A106" s="664"/>
      <c r="B106" s="664"/>
      <c r="C106" s="774"/>
      <c r="D106" s="1973"/>
      <c r="E106" s="1973" t="s">
        <v>737</v>
      </c>
      <c r="F106" s="1973"/>
      <c r="G106" s="1002"/>
      <c r="H106" s="1002">
        <f ca="1">ABS(IF('VVP1'!$F$2="Y",OFFSET('VVP1'!$G$103,0,5*(COLUMN()-7)+1)-OFFSET('VVP1'!$G$102,0,5*(COLUMN()-7)+1)-OFFSET('VVP1'!$G$101,0,5*(COLUMN()-7)+1),ABS(H105-H104-H103)))</f>
        <v>1.2831614578118655E-2</v>
      </c>
      <c r="I106" s="1002">
        <f ca="1">ABS(IF('VVP1'!$F$2="Y",OFFSET('VVP1'!$G$103,0,5*(COLUMN()-7)+1)-OFFSET('VVP1'!$G$102,0,5*(COLUMN()-7)+1)-OFFSET('VVP1'!$G$101,0,5*(COLUMN()-7)+1),ABS(I105-I104-I103)))</f>
        <v>1.5070626193256498E-3</v>
      </c>
      <c r="J106" s="1002">
        <f ca="1">ABS(IF('VVP1'!$F$2="Y",OFFSET('VVP1'!$G$103,0,5*(COLUMN()-7)+1)-OFFSET('VVP1'!$G$102,0,5*(COLUMN()-7)+1)-OFFSET('VVP1'!$G$101,0,5*(COLUMN()-7)+1),ABS(J105-J104-J103)))</f>
        <v>8.3299967613104098E-3</v>
      </c>
      <c r="K106" s="1002">
        <f ca="1">ABS(IF('VVP1'!$F$2="Y",OFFSET('VVP1'!$G$103,0,5*(COLUMN()-7)+1)-OFFSET('VVP1'!$G$102,0,5*(COLUMN()-7)+1)-OFFSET('VVP1'!$G$101,0,5*(COLUMN()-7)+1),ABS(K105-K104-K103)))</f>
        <v>1.3582205770466649E-2</v>
      </c>
      <c r="L106" s="1002">
        <f ca="1">ABS(IF('VVP1'!$F$2="Y",OFFSET('VVP1'!$G$103,0,5*(COLUMN()-7)+1)-OFFSET('VVP1'!$G$102,0,5*(COLUMN()-7)+1)-OFFSET('VVP1'!$G$101,0,5*(COLUMN()-7)+1),ABS(L105-L104-L103)))</f>
        <v>3.601207747600399E-2</v>
      </c>
      <c r="M106" s="1002">
        <f ca="1">ABS(IF('VVP1'!$F$2="Y",OFFSET('VVP1'!$G$103,0,5*(COLUMN()-7)+1)-OFFSET('VVP1'!$G$102,0,5*(COLUMN()-7)+1)-OFFSET('VVP1'!$G$101,0,5*(COLUMN()-7)+1),ABS(M105-M104-M103)))</f>
        <v>2.4230198619652366E-2</v>
      </c>
      <c r="N106" s="1002">
        <f ca="1">ABS(IF('VVP1'!$F$2="Y",OFFSET('VVP1'!$G$103,0,5*(COLUMN()-7)+1)-OFFSET('VVP1'!$G$102,0,5*(COLUMN()-7)+1)-OFFSET('VVP1'!$G$101,0,5*(COLUMN()-7)+1),ABS(N105-N104-N103)))</f>
        <v>4.9310642633249024E-4</v>
      </c>
      <c r="O106" s="1002">
        <f ca="1">ABS(IF('VVP1'!$F$2="Y",OFFSET('VVP1'!$G$103,0,5*(COLUMN()-7)+1)-OFFSET('VVP1'!$G$102,0,5*(COLUMN()-7)+1)-OFFSET('VVP1'!$G$101,0,5*(COLUMN()-7)+1),ABS(O105-O104-O103)))</f>
        <v>6.4910201033758774E-3</v>
      </c>
      <c r="P106" s="1002">
        <f ca="1">ABS(IF('VVP1'!$F$2="Y",OFFSET('VVP1'!$G$103,0,5*(COLUMN()-7)+1)-OFFSET('VVP1'!$G$102,0,5*(COLUMN()-7)+1)-OFFSET('VVP1'!$G$101,0,5*(COLUMN()-7)+1),ABS(P105-P104-P103)))</f>
        <v>4.224251691890446E-3</v>
      </c>
      <c r="Q106" s="1002">
        <f ca="1">ABS(IF('VVP1'!$F$2="Y",OFFSET('VVP1'!$G$103,0,5*(COLUMN()-7)+1)-OFFSET('VVP1'!$G$102,0,5*(COLUMN()-7)+1)-OFFSET('VVP1'!$G$101,0,5*(COLUMN()-7)+1),ABS(Q105-Q104-Q103)))</f>
        <v>7.1084567558887812E-6</v>
      </c>
      <c r="R106" s="1002">
        <f ca="1">ABS(IF('VVP1'!$F$2="Y",OFFSET('VVP1'!$G$103,0,5*(COLUMN()-7)+1)-OFFSET('VVP1'!$G$102,0,5*(COLUMN()-7)+1)-OFFSET('VVP1'!$G$101,0,5*(COLUMN()-7)+1),ABS(R105-R104-R103)))</f>
        <v>7.8553144455817403E-6</v>
      </c>
      <c r="S106" s="1002">
        <f ca="1">ABS(IF('VVP1'!$F$2="Y",OFFSET('VVP1'!$G$103,0,5*(COLUMN()-7)+1)-OFFSET('VVP1'!$G$102,0,5*(COLUMN()-7)+1)-OFFSET('VVP1'!$G$101,0,5*(COLUMN()-7)+1),ABS(S105-S104-S103)))</f>
        <v>1.3376520282104565E-5</v>
      </c>
      <c r="T106" s="2906">
        <f ca="1">ABS(IF('VVP1'!$F$2="Y",OFFSET('VVP1'!$G$103,0,5*(COLUMN()-7)+1)-OFFSET('VVP1'!$G$102,0,5*(COLUMN()-7)+1)-OFFSET('VVP1'!$G$101,0,5*(COLUMN()-7)+1),ABS(T105-T104-T103)))</f>
        <v>8.9132995158003325E-6</v>
      </c>
      <c r="U106" s="2906">
        <f ca="1">ABS(IF('VVP1'!$F$2="Y",OFFSET('VVP1'!$G$103,0,5*(COLUMN()-7)+1)-OFFSET('VVP1'!$G$102,0,5*(COLUMN()-7)+1)-OFFSET('VVP1'!$G$101,0,5*(COLUMN()-7)+1),ABS(U105-U104-U103)))</f>
        <v>5.7130535084937151E-6</v>
      </c>
      <c r="V106" s="2906">
        <f ca="1">ABS(IF('VVP1'!$F$2="Y",OFFSET('VVP1'!$G$103,0,5*(COLUMN()-7)+1)-OFFSET('VVP1'!$G$102,0,5*(COLUMN()-7)+1)-OFFSET('VVP1'!$G$101,0,5*(COLUMN()-7)+1),ABS(V105-V104-V103)))</f>
        <v>1.1267887631838391E-5</v>
      </c>
      <c r="W106" s="2906">
        <f ca="1">ABS(IF('VVP1'!$F$2="Y",OFFSET('VVP1'!$G$103,0,5*(COLUMN()-7)+1)-OFFSET('VVP1'!$G$102,0,5*(COLUMN()-7)+1)-OFFSET('VVP1'!$G$101,0,5*(COLUMN()-7)+1),ABS(W105-W104-W103)))</f>
        <v>8.8817841970012523E-16</v>
      </c>
      <c r="X106" s="2906">
        <f ca="1">ABS(IF('VVP1'!$F$2="Y",OFFSET('VVP1'!$G$103,0,5*(COLUMN()-7)+1)-OFFSET('VVP1'!$G$102,0,5*(COLUMN()-7)+1)-OFFSET('VVP1'!$G$101,0,5*(COLUMN()-7)+1),ABS(X105-X104-X103)))</f>
        <v>2.5869134829825668E-6</v>
      </c>
      <c r="Y106" s="2906">
        <f ca="1">ABS(IF('VVP1'!$F$2="Y",OFFSET('VVP1'!$G$103,0,5*(COLUMN()-7)+1)-OFFSET('VVP1'!$G$102,0,5*(COLUMN()-7)+1)-OFFSET('VVP1'!$G$101,0,5*(COLUMN()-7)+1),ABS(Y105-Y104-Y103)))</f>
        <v>3.3537384158677241E-6</v>
      </c>
      <c r="Z106" s="2906">
        <f ca="1">ABS(IF('VVP1'!$F$2="Y",OFFSET('VVP1'!$G$103,0,5*(COLUMN()-7)+1)-OFFSET('VVP1'!$G$102,0,5*(COLUMN()-7)+1)-OFFSET('VVP1'!$G$101,0,5*(COLUMN()-7)+1),ABS(Z105-Z104-Z103)))</f>
        <v>1.871649200158032E-5</v>
      </c>
      <c r="AA106" s="2906">
        <f ca="1">ABS(IF('VVP1'!$F$2="Y",OFFSET('VVP1'!$G$103,0,5*(COLUMN()-7)+1)-OFFSET('VVP1'!$G$102,0,5*(COLUMN()-7)+1)-OFFSET('VVP1'!$G$101,0,5*(COLUMN()-7)+1),ABS(AA105-AA104-AA103)))</f>
        <v>8.530573726517332E-6</v>
      </c>
      <c r="AB106" s="2906">
        <f ca="1">ABS(IF('VVP1'!$F$2="Y",OFFSET('VVP1'!$G$103,0,5*(COLUMN()-7)+1)-OFFSET('VVP1'!$G$102,0,5*(COLUMN()-7)+1)-OFFSET('VVP1'!$G$101,0,5*(COLUMN()-7)+1),ABS(AB105-AB104-AB103)))</f>
        <v>8.8817841970012523E-16</v>
      </c>
      <c r="AC106" s="2906">
        <f ca="1">ABS(IF('VVP1'!$F$2="Y",OFFSET('VVP1'!$G$103,0,5*(COLUMN()-7)+1)-OFFSET('VVP1'!$G$102,0,5*(COLUMN()-7)+1)-OFFSET('VVP1'!$G$101,0,5*(COLUMN()-7)+1),ABS(AC105-AC104-AC103)))</f>
        <v>8.8817841970012523E-16</v>
      </c>
      <c r="AD106" s="2906">
        <f ca="1">ABS(IF('VVP1'!$F$2="Y",OFFSET('VVP1'!$G$103,0,5*(COLUMN()-7)+1)-OFFSET('VVP1'!$G$102,0,5*(COLUMN()-7)+1)-OFFSET('VVP1'!$G$101,0,5*(COLUMN()-7)+1),ABS(AD105-AD104-AD103)))</f>
        <v>3.5527136788005009E-15</v>
      </c>
      <c r="AE106" s="2906">
        <f ca="1">ABS(IF('VVP1'!$F$2="Y",OFFSET('VVP1'!$G$103,0,5*(COLUMN()-7)+1)-OFFSET('VVP1'!$G$102,0,5*(COLUMN()-7)+1)-OFFSET('VVP1'!$G$101,0,5*(COLUMN()-7)+1),ABS(AE105-AE104-AE103)))</f>
        <v>2.6645352591003757E-15</v>
      </c>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row>
    <row r="107" spans="1:94">
      <c r="AB107" s="557"/>
      <c r="AC107" s="557"/>
      <c r="AD107" s="557"/>
      <c r="AE107" s="557"/>
    </row>
    <row r="108" spans="1:94">
      <c r="A108" s="1130"/>
      <c r="D108" s="1117"/>
      <c r="E108" s="930" t="s">
        <v>739</v>
      </c>
      <c r="F108" s="1118"/>
      <c r="G108" s="896">
        <f>+InputY!$G$3</f>
        <v>1995</v>
      </c>
      <c r="H108" s="896">
        <f>+G108+1</f>
        <v>1996</v>
      </c>
      <c r="I108" s="896">
        <f t="shared" ref="I108:O108" si="114">+H108+1</f>
        <v>1997</v>
      </c>
      <c r="J108" s="896">
        <f t="shared" si="114"/>
        <v>1998</v>
      </c>
      <c r="K108" s="896">
        <f t="shared" si="114"/>
        <v>1999</v>
      </c>
      <c r="L108" s="896">
        <f t="shared" si="114"/>
        <v>2000</v>
      </c>
      <c r="M108" s="896">
        <f t="shared" si="114"/>
        <v>2001</v>
      </c>
      <c r="N108" s="896">
        <f t="shared" si="114"/>
        <v>2002</v>
      </c>
      <c r="O108" s="896">
        <f t="shared" si="114"/>
        <v>2003</v>
      </c>
      <c r="P108" s="896">
        <f t="shared" ref="P108:V108" si="115">+O108+1</f>
        <v>2004</v>
      </c>
      <c r="Q108" s="896">
        <f t="shared" si="115"/>
        <v>2005</v>
      </c>
      <c r="R108" s="896">
        <f t="shared" si="115"/>
        <v>2006</v>
      </c>
      <c r="S108" s="896">
        <f>+R108+1</f>
        <v>2007</v>
      </c>
      <c r="T108" s="896">
        <f t="shared" si="115"/>
        <v>2008</v>
      </c>
      <c r="U108" s="896">
        <f t="shared" si="115"/>
        <v>2009</v>
      </c>
      <c r="V108" s="896">
        <f t="shared" si="115"/>
        <v>2010</v>
      </c>
      <c r="W108" s="896">
        <f t="shared" ref="W108:AE108" si="116">+V108+1</f>
        <v>2011</v>
      </c>
      <c r="X108" s="896">
        <f t="shared" si="116"/>
        <v>2012</v>
      </c>
      <c r="Y108" s="896">
        <f t="shared" si="116"/>
        <v>2013</v>
      </c>
      <c r="Z108" s="896">
        <f t="shared" si="116"/>
        <v>2014</v>
      </c>
      <c r="AA108" s="896">
        <f t="shared" si="116"/>
        <v>2015</v>
      </c>
      <c r="AB108" s="896">
        <f t="shared" si="116"/>
        <v>2016</v>
      </c>
      <c r="AC108" s="896">
        <f t="shared" si="116"/>
        <v>2017</v>
      </c>
      <c r="AD108" s="896">
        <f t="shared" si="116"/>
        <v>2018</v>
      </c>
      <c r="AE108" s="896">
        <f t="shared" si="116"/>
        <v>2019</v>
      </c>
    </row>
    <row r="109" spans="1:94" s="699" customFormat="1" ht="12.75" customHeight="1">
      <c r="A109" s="664"/>
      <c r="B109" s="664"/>
      <c r="C109" s="794" t="s">
        <v>1767</v>
      </c>
      <c r="D109" s="689"/>
      <c r="E109" s="738" t="s">
        <v>1453</v>
      </c>
      <c r="F109" s="733" t="s">
        <v>1703</v>
      </c>
      <c r="G109" s="1095"/>
      <c r="H109" s="1095">
        <f>+(H103/G103-1)*100</f>
        <v>31.440306229910565</v>
      </c>
      <c r="I109" s="1095">
        <f t="shared" ref="I109:AC109" si="117">+(I103/H103-1)*100</f>
        <v>25.934028418848797</v>
      </c>
      <c r="J109" s="1095">
        <f t="shared" si="117"/>
        <v>0.90039003070456758</v>
      </c>
      <c r="K109" s="1095">
        <f t="shared" si="117"/>
        <v>-3.3336531739613262</v>
      </c>
      <c r="L109" s="1095">
        <f t="shared" si="117"/>
        <v>-16.566412841564937</v>
      </c>
      <c r="M109" s="1095">
        <f t="shared" si="117"/>
        <v>-0.66215485857826772</v>
      </c>
      <c r="N109" s="1095">
        <f t="shared" si="117"/>
        <v>18.174601273597691</v>
      </c>
      <c r="O109" s="1095">
        <f t="shared" si="117"/>
        <v>14.08194998219232</v>
      </c>
      <c r="P109" s="1095">
        <f t="shared" si="117"/>
        <v>18.351045509484052</v>
      </c>
      <c r="Q109" s="1095">
        <f t="shared" si="117"/>
        <v>23.434567705442344</v>
      </c>
      <c r="R109" s="1095">
        <f t="shared" si="117"/>
        <v>16.218227371035752</v>
      </c>
      <c r="S109" s="1095">
        <f t="shared" si="117"/>
        <v>17.647438171089558</v>
      </c>
      <c r="T109" s="1095">
        <f t="shared" si="117"/>
        <v>8.946288596017272</v>
      </c>
      <c r="U109" s="1095">
        <f t="shared" si="117"/>
        <v>-17.304879407441486</v>
      </c>
      <c r="V109" s="1095">
        <f t="shared" si="117"/>
        <v>-1.0430247718373753E-2</v>
      </c>
      <c r="W109" s="1095">
        <f t="shared" si="117"/>
        <v>17.106086684399923</v>
      </c>
      <c r="X109" s="1095">
        <f t="shared" si="117"/>
        <v>21.155166590580965</v>
      </c>
      <c r="Y109" s="1095">
        <f t="shared" si="117"/>
        <v>18.897044407411023</v>
      </c>
      <c r="Z109" s="1095">
        <f t="shared" si="117"/>
        <v>5.0226992821770677</v>
      </c>
      <c r="AA109" s="1095">
        <f t="shared" si="117"/>
        <v>-0.2087769741813128</v>
      </c>
      <c r="AB109" s="1095">
        <f t="shared" si="117"/>
        <v>6.5903564992710661</v>
      </c>
      <c r="AC109" s="1095">
        <f t="shared" si="117"/>
        <v>13.143267030777173</v>
      </c>
      <c r="AD109" s="1421">
        <f ca="1">OFFSET('VVP1'!$G$101,0,5*(COLUMN()-7))</f>
        <v>6.5</v>
      </c>
      <c r="AE109" s="1421">
        <f ca="1">OFFSET('VVP1'!$G$101,0,5*(COLUMN()-7))</f>
        <v>4.9000000000000004</v>
      </c>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row>
    <row r="110" spans="1:94">
      <c r="A110" s="1130"/>
      <c r="C110" s="979" t="s">
        <v>1767</v>
      </c>
      <c r="D110" s="1121"/>
      <c r="E110" s="1122" t="s">
        <v>1454</v>
      </c>
      <c r="F110" s="1121" t="s">
        <v>1521</v>
      </c>
      <c r="G110" s="1123"/>
      <c r="H110" s="1123">
        <f>+(H104/G104-1)*100</f>
        <v>21.934509533001133</v>
      </c>
      <c r="I110" s="1123">
        <f t="shared" ref="I110:AC110" si="118">+(I104/H104-1)*100</f>
        <v>24.812977829645622</v>
      </c>
      <c r="J110" s="1123">
        <f t="shared" si="118"/>
        <v>7.035922349131285</v>
      </c>
      <c r="K110" s="1123">
        <f t="shared" si="118"/>
        <v>-13.797267175959703</v>
      </c>
      <c r="L110" s="1123">
        <f t="shared" si="118"/>
        <v>8.7392145036833124</v>
      </c>
      <c r="M110" s="1123">
        <f t="shared" si="118"/>
        <v>19.991382139484081</v>
      </c>
      <c r="N110" s="1123">
        <f t="shared" si="118"/>
        <v>18.631991762337073</v>
      </c>
      <c r="O110" s="1123">
        <f t="shared" si="118"/>
        <v>8.1657816106154524</v>
      </c>
      <c r="P110" s="1123">
        <f t="shared" si="118"/>
        <v>14.698705559009673</v>
      </c>
      <c r="Q110" s="1123">
        <f t="shared" si="118"/>
        <v>19.856034065376925</v>
      </c>
      <c r="R110" s="1123">
        <f t="shared" si="118"/>
        <v>13.965064977148401</v>
      </c>
      <c r="S110" s="1123">
        <f t="shared" si="118"/>
        <v>9.8019689881788441</v>
      </c>
      <c r="T110" s="1123">
        <f t="shared" si="118"/>
        <v>12.694478099170659</v>
      </c>
      <c r="U110" s="1123">
        <f t="shared" si="118"/>
        <v>-29.558551744036432</v>
      </c>
      <c r="V110" s="1123">
        <f t="shared" si="118"/>
        <v>22.063277686755555</v>
      </c>
      <c r="W110" s="1123">
        <f t="shared" si="118"/>
        <v>14.714804045871244</v>
      </c>
      <c r="X110" s="1123">
        <f t="shared" si="118"/>
        <v>4.7772473180393682</v>
      </c>
      <c r="Y110" s="1123">
        <f t="shared" si="118"/>
        <v>7.697496661124914</v>
      </c>
      <c r="Z110" s="1123">
        <f t="shared" si="118"/>
        <v>2.7845828543830997</v>
      </c>
      <c r="AA110" s="1123">
        <f t="shared" si="118"/>
        <v>7.2942455275508689</v>
      </c>
      <c r="AB110" s="1123">
        <f t="shared" si="118"/>
        <v>2.9900046588454465</v>
      </c>
      <c r="AC110" s="1123">
        <f t="shared" si="118"/>
        <v>12.748093204046373</v>
      </c>
      <c r="AD110" s="1424">
        <f ca="1">OFFSET('VVP1'!$G$102,0,5*(COLUMN()-7))</f>
        <v>6.5</v>
      </c>
      <c r="AE110" s="1424">
        <f ca="1">OFFSET('VVP1'!$G$102,0,5*(COLUMN()-7))</f>
        <v>5.2</v>
      </c>
    </row>
    <row r="111" spans="1:94">
      <c r="A111" s="664"/>
      <c r="B111" s="664"/>
      <c r="C111" s="694" t="s">
        <v>1769</v>
      </c>
      <c r="D111" s="1097"/>
      <c r="E111" s="1470" t="s">
        <v>1455</v>
      </c>
      <c r="F111" s="1475" t="s">
        <v>1591</v>
      </c>
      <c r="G111" s="1099"/>
      <c r="H111" s="1099">
        <f>+(H105/G105-1)*100</f>
        <v>23.166175697902137</v>
      </c>
      <c r="I111" s="1099">
        <f t="shared" ref="I111:AC111" si="119">+(I105/H105-1)*100</f>
        <v>24.966294345254948</v>
      </c>
      <c r="J111" s="1099">
        <f t="shared" si="119"/>
        <v>6.1402011527074141</v>
      </c>
      <c r="K111" s="1099">
        <f t="shared" si="119"/>
        <v>-12.351269284311128</v>
      </c>
      <c r="L111" s="1099">
        <f t="shared" si="119"/>
        <v>4.9760726387508836</v>
      </c>
      <c r="M111" s="1099">
        <f t="shared" si="119"/>
        <v>17.576290385742467</v>
      </c>
      <c r="N111" s="1099">
        <f t="shared" si="119"/>
        <v>18.582320452280499</v>
      </c>
      <c r="O111" s="1099">
        <f t="shared" si="119"/>
        <v>8.8562930633370165</v>
      </c>
      <c r="P111" s="1099">
        <f t="shared" si="119"/>
        <v>15.140289710799216</v>
      </c>
      <c r="Q111" s="1099">
        <f t="shared" si="119"/>
        <v>20.340344313524227</v>
      </c>
      <c r="R111" s="1099">
        <f t="shared" si="119"/>
        <v>14.258666950116105</v>
      </c>
      <c r="S111" s="1099">
        <f t="shared" si="119"/>
        <v>10.808883185624163</v>
      </c>
      <c r="T111" s="1099">
        <f t="shared" si="119"/>
        <v>12.187524486682811</v>
      </c>
      <c r="U111" s="1099">
        <f t="shared" si="119"/>
        <v>-27.996827041084281</v>
      </c>
      <c r="V111" s="1099">
        <f t="shared" si="119"/>
        <v>18.671378225417847</v>
      </c>
      <c r="W111" s="1099">
        <f t="shared" si="119"/>
        <v>15.006828523642945</v>
      </c>
      <c r="X111" s="1099">
        <f t="shared" si="119"/>
        <v>6.6449627758580876</v>
      </c>
      <c r="Y111" s="1099">
        <f t="shared" si="119"/>
        <v>9.1127519671375001</v>
      </c>
      <c r="Z111" s="1099">
        <f t="shared" si="119"/>
        <v>3.0964332515761805</v>
      </c>
      <c r="AA111" s="1099">
        <f t="shared" si="119"/>
        <v>6.2006079962821703</v>
      </c>
      <c r="AB111" s="1099">
        <f t="shared" si="119"/>
        <v>3.5277957090910528</v>
      </c>
      <c r="AC111" s="1099">
        <f t="shared" si="119"/>
        <v>12.812325047587048</v>
      </c>
      <c r="AD111" s="1466">
        <f ca="1">IF(UPPER('VVP1'!$F$2)="Y",OFFSET('VVP1'!$G$103,0,5*(COLUMN()-7)),('VVP2'!AD105/'VVP2'!AC105-1)*100)</f>
        <v>6.4999999999999725</v>
      </c>
      <c r="AE111" s="1466">
        <f ca="1">IF(UPPER('VVP1'!$F$2)="Y",OFFSET('VVP1'!$G$103,0,5*(COLUMN()-7)),('VVP2'!AE105/'VVP2'!AD105-1)*100)</f>
        <v>5.1512076881462754</v>
      </c>
    </row>
    <row r="112" spans="1:94">
      <c r="H112" s="3265">
        <f>H100-H111</f>
        <v>-11.33905014642389</v>
      </c>
      <c r="I112" s="3265">
        <f t="shared" ref="I112:AC112" si="120">I100-I111</f>
        <v>-10.56622760429984</v>
      </c>
      <c r="J112" s="3265">
        <f t="shared" si="120"/>
        <v>0.91702789489616077</v>
      </c>
      <c r="K112" s="3265">
        <f t="shared" si="120"/>
        <v>7.2394288037133432</v>
      </c>
      <c r="L112" s="3265">
        <f t="shared" si="120"/>
        <v>-0.91082783130935763</v>
      </c>
      <c r="M112" s="3265">
        <f t="shared" si="120"/>
        <v>-7.2125083038873115</v>
      </c>
      <c r="N112" s="3265">
        <f t="shared" si="120"/>
        <v>-7.5719728951657359</v>
      </c>
      <c r="O112" s="3265">
        <f t="shared" si="120"/>
        <v>0.89742693424341802</v>
      </c>
      <c r="P112" s="3265">
        <f t="shared" si="120"/>
        <v>-4.9057940262324813</v>
      </c>
      <c r="Q112" s="3265">
        <f t="shared" si="120"/>
        <v>-8.1698314913770655</v>
      </c>
      <c r="R112" s="3265">
        <f t="shared" si="120"/>
        <v>-4.2540466067349385</v>
      </c>
      <c r="S112" s="3265">
        <f t="shared" si="120"/>
        <v>0.16760733642808923</v>
      </c>
      <c r="T112" s="3265">
        <f t="shared" si="120"/>
        <v>-5.8473692899686744</v>
      </c>
      <c r="U112" s="3265">
        <f t="shared" si="120"/>
        <v>7.8137911201216355</v>
      </c>
      <c r="V112" s="3265">
        <f t="shared" si="120"/>
        <v>-11.086856762941723</v>
      </c>
      <c r="W112" s="3265">
        <f t="shared" si="120"/>
        <v>-5.3604298806528163</v>
      </c>
      <c r="X112" s="3265">
        <f t="shared" si="120"/>
        <v>-1.5871952662061872</v>
      </c>
      <c r="Y112" s="3265">
        <f t="shared" si="120"/>
        <v>-3.1058295708263017</v>
      </c>
      <c r="Z112" s="3265">
        <f t="shared" si="120"/>
        <v>0.24131351334517603</v>
      </c>
      <c r="AA112" s="3265">
        <f t="shared" si="120"/>
        <v>-2.3270154137855936</v>
      </c>
      <c r="AB112" s="3265">
        <f t="shared" si="120"/>
        <v>-0.67091087454473897</v>
      </c>
      <c r="AC112" s="3265">
        <f t="shared" si="120"/>
        <v>-5.1879291782412471</v>
      </c>
      <c r="AD112" s="3265">
        <f ca="1">AD100-AD111</f>
        <v>-1.8833050804545781</v>
      </c>
      <c r="AE112" s="3265">
        <f ca="1">AE100-AE111</f>
        <v>-1.3782163177563866</v>
      </c>
    </row>
    <row r="113" spans="1:94">
      <c r="A113" s="1130"/>
      <c r="D113" s="1169"/>
      <c r="E113" s="1166" t="s">
        <v>95</v>
      </c>
      <c r="F113" s="1170"/>
      <c r="G113" s="1168">
        <f>+InputY!$G$3</f>
        <v>1995</v>
      </c>
      <c r="H113" s="1168">
        <f>+G113+1</f>
        <v>1996</v>
      </c>
      <c r="I113" s="1168">
        <f t="shared" ref="I113:O113" si="121">+H113+1</f>
        <v>1997</v>
      </c>
      <c r="J113" s="1168">
        <f t="shared" si="121"/>
        <v>1998</v>
      </c>
      <c r="K113" s="1168">
        <f t="shared" si="121"/>
        <v>1999</v>
      </c>
      <c r="L113" s="1168">
        <f t="shared" si="121"/>
        <v>2000</v>
      </c>
      <c r="M113" s="1168">
        <f t="shared" si="121"/>
        <v>2001</v>
      </c>
      <c r="N113" s="1168">
        <f t="shared" si="121"/>
        <v>2002</v>
      </c>
      <c r="O113" s="1168">
        <f t="shared" si="121"/>
        <v>2003</v>
      </c>
      <c r="P113" s="1168">
        <f t="shared" ref="P113:V113" si="122">+O113+1</f>
        <v>2004</v>
      </c>
      <c r="Q113" s="1168">
        <f t="shared" si="122"/>
        <v>2005</v>
      </c>
      <c r="R113" s="1168">
        <f t="shared" si="122"/>
        <v>2006</v>
      </c>
      <c r="S113" s="1168">
        <f>+R113+1</f>
        <v>2007</v>
      </c>
      <c r="T113" s="1125">
        <f t="shared" si="122"/>
        <v>2008</v>
      </c>
      <c r="U113" s="1125">
        <f t="shared" si="122"/>
        <v>2009</v>
      </c>
      <c r="V113" s="1125">
        <f t="shared" si="122"/>
        <v>2010</v>
      </c>
      <c r="W113" s="1125">
        <f t="shared" ref="W113:AE113" si="123">+V113+1</f>
        <v>2011</v>
      </c>
      <c r="X113" s="1125">
        <f t="shared" si="123"/>
        <v>2012</v>
      </c>
      <c r="Y113" s="1125">
        <f t="shared" si="123"/>
        <v>2013</v>
      </c>
      <c r="Z113" s="1125">
        <f t="shared" si="123"/>
        <v>2014</v>
      </c>
      <c r="AA113" s="1125">
        <f t="shared" si="123"/>
        <v>2015</v>
      </c>
      <c r="AB113" s="1125">
        <f t="shared" si="123"/>
        <v>2016</v>
      </c>
      <c r="AC113" s="1125">
        <f t="shared" si="123"/>
        <v>2017</v>
      </c>
      <c r="AD113" s="1125">
        <f t="shared" si="123"/>
        <v>2018</v>
      </c>
      <c r="AE113" s="1125">
        <f t="shared" si="123"/>
        <v>2019</v>
      </c>
    </row>
    <row r="114" spans="1:94">
      <c r="A114" s="664"/>
      <c r="B114" s="664"/>
      <c r="C114" s="1090"/>
      <c r="D114" s="1091"/>
      <c r="E114" s="1038" t="s">
        <v>1618</v>
      </c>
      <c r="F114" s="176" t="s">
        <v>786</v>
      </c>
      <c r="G114" s="1044">
        <f t="shared" ref="G114:V114" si="124">+G82-G104</f>
        <v>-0.3128859871214007</v>
      </c>
      <c r="H114" s="1044">
        <f t="shared" si="124"/>
        <v>-0.57196245750378782</v>
      </c>
      <c r="I114" s="1044">
        <f t="shared" si="124"/>
        <v>-1.0045785689961146</v>
      </c>
      <c r="J114" s="1044">
        <f t="shared" si="124"/>
        <v>-1.3025169380269208</v>
      </c>
      <c r="K114" s="1044">
        <f t="shared" si="124"/>
        <v>-1.5282377955430899</v>
      </c>
      <c r="L114" s="1044">
        <f t="shared" si="124"/>
        <v>-1.3880547584946719</v>
      </c>
      <c r="M114" s="1044">
        <f t="shared" si="124"/>
        <v>-1.4347797572050585</v>
      </c>
      <c r="N114" s="1044">
        <f t="shared" si="124"/>
        <v>-1.6711473748253507</v>
      </c>
      <c r="O114" s="1044">
        <f t="shared" si="124"/>
        <v>-1.7397392991696918</v>
      </c>
      <c r="P114" s="1044">
        <f t="shared" si="124"/>
        <v>-3.0283599999999993</v>
      </c>
      <c r="Q114" s="1044">
        <f t="shared" si="124"/>
        <v>-3.2056700000000014</v>
      </c>
      <c r="R114" s="1044">
        <f t="shared" si="124"/>
        <v>-3.7179299999999991</v>
      </c>
      <c r="S114" s="1044">
        <f>+S82-S104</f>
        <v>-4.7806599999999975</v>
      </c>
      <c r="T114" s="1044">
        <f t="shared" si="124"/>
        <v>-4.9710599999999996</v>
      </c>
      <c r="U114" s="1044">
        <f t="shared" si="124"/>
        <v>-1.1222599999999989</v>
      </c>
      <c r="V114" s="1044">
        <f t="shared" si="124"/>
        <v>-1.6483300000000032</v>
      </c>
      <c r="W114" s="1044">
        <f t="shared" ref="W114:Y115" si="125">+W82-W104</f>
        <v>-1.7683900000000037</v>
      </c>
      <c r="X114" s="1044">
        <f>+X82-X104</f>
        <v>-0.67705000000000126</v>
      </c>
      <c r="Y114" s="1044">
        <f t="shared" si="125"/>
        <v>-0.42208999999999719</v>
      </c>
      <c r="Z114" s="1044">
        <f t="shared" ref="Z114:AB115" si="126">+Z82-Z104</f>
        <v>-0.63734999999999786</v>
      </c>
      <c r="AA114" s="1044">
        <f t="shared" si="126"/>
        <v>-2.40991</v>
      </c>
      <c r="AB114" s="1044">
        <f t="shared" si="126"/>
        <v>-2.8259900000000009</v>
      </c>
      <c r="AC114" s="1044">
        <f t="shared" ref="AC114:AE115" si="127">+AC82-AC104</f>
        <v>-3.3018199999999993</v>
      </c>
      <c r="AD114" s="1044">
        <f t="shared" ca="1" si="127"/>
        <v>-3.8299345999999943</v>
      </c>
      <c r="AE114" s="1044">
        <f t="shared" ca="1" si="127"/>
        <v>-4.2320438807999921</v>
      </c>
    </row>
    <row r="115" spans="1:94">
      <c r="A115" s="1130"/>
      <c r="C115" s="1081"/>
      <c r="D115" s="1077"/>
      <c r="E115" s="1078" t="s">
        <v>1619</v>
      </c>
      <c r="F115" s="1077" t="s">
        <v>1621</v>
      </c>
      <c r="G115" s="1085">
        <f t="shared" ref="G115:V115" si="128">+G83-G105</f>
        <v>0.13814396586622646</v>
      </c>
      <c r="H115" s="1085">
        <f t="shared" si="128"/>
        <v>-3.7949668874956544E-2</v>
      </c>
      <c r="I115" s="1085">
        <f t="shared" si="128"/>
        <v>-0.4157396706659986</v>
      </c>
      <c r="J115" s="1085">
        <f t="shared" si="128"/>
        <v>-0.5470486151699987</v>
      </c>
      <c r="K115" s="1085">
        <f t="shared" si="128"/>
        <v>-0.7800532767769397</v>
      </c>
      <c r="L115" s="1085">
        <f t="shared" si="128"/>
        <v>-0.53247685185993721</v>
      </c>
      <c r="M115" s="1085">
        <f t="shared" si="128"/>
        <v>-0.37725173869330142</v>
      </c>
      <c r="N115" s="1085">
        <f t="shared" si="128"/>
        <v>-0.44496928194597629</v>
      </c>
      <c r="O115" s="1085">
        <f t="shared" si="128"/>
        <v>-0.52672666695220194</v>
      </c>
      <c r="P115" s="1085">
        <f t="shared" si="128"/>
        <v>-1.7964900000000021</v>
      </c>
      <c r="Q115" s="1085">
        <f t="shared" si="128"/>
        <v>-2.1396999999999995</v>
      </c>
      <c r="R115" s="1085">
        <f t="shared" si="128"/>
        <v>-2.6608199999999975</v>
      </c>
      <c r="S115" s="1085">
        <f>+S83-S105</f>
        <v>-4.0993300000000001</v>
      </c>
      <c r="T115" s="1085">
        <f t="shared" si="128"/>
        <v>-4.3936799999999998</v>
      </c>
      <c r="U115" s="1085">
        <f t="shared" si="128"/>
        <v>-0.4785599999999981</v>
      </c>
      <c r="V115" s="1085">
        <f t="shared" si="128"/>
        <v>-0.52620999999999896</v>
      </c>
      <c r="W115" s="1085">
        <f t="shared" si="125"/>
        <v>-0.53237000000000023</v>
      </c>
      <c r="X115" s="1085">
        <f>+X83-X105</f>
        <v>0.64616999999999791</v>
      </c>
      <c r="Y115" s="1085">
        <f t="shared" si="125"/>
        <v>0.88250000000000028</v>
      </c>
      <c r="Z115" s="1085">
        <f t="shared" si="126"/>
        <v>0.95478999999999914</v>
      </c>
      <c r="AA115" s="1085">
        <f t="shared" si="126"/>
        <v>-0.75466000000000122</v>
      </c>
      <c r="AB115" s="1085">
        <f t="shared" si="126"/>
        <v>-0.80093000000000103</v>
      </c>
      <c r="AC115" s="1085">
        <f t="shared" si="127"/>
        <v>-0.78517000000000081</v>
      </c>
      <c r="AD115" s="1085">
        <f t="shared" ca="1" si="127"/>
        <v>-1.1456397889138685</v>
      </c>
      <c r="AE115" s="1085">
        <f t="shared" ca="1" si="127"/>
        <v>-1.4458239252194431</v>
      </c>
    </row>
    <row r="116" spans="1:94">
      <c r="AB116" s="557"/>
      <c r="AC116" s="557"/>
      <c r="AD116" s="557"/>
      <c r="AE116" s="557"/>
    </row>
    <row r="117" spans="1:94">
      <c r="A117" s="1130"/>
      <c r="D117" s="1117"/>
      <c r="E117" s="930" t="s">
        <v>95</v>
      </c>
      <c r="F117" s="1118"/>
      <c r="G117" s="896">
        <f>+InputY!$G$3</f>
        <v>1995</v>
      </c>
      <c r="H117" s="896">
        <f>+G117+1</f>
        <v>1996</v>
      </c>
      <c r="I117" s="896">
        <f t="shared" ref="I117:O117" si="129">+H117+1</f>
        <v>1997</v>
      </c>
      <c r="J117" s="896">
        <f t="shared" si="129"/>
        <v>1998</v>
      </c>
      <c r="K117" s="896">
        <f t="shared" si="129"/>
        <v>1999</v>
      </c>
      <c r="L117" s="896">
        <f t="shared" si="129"/>
        <v>2000</v>
      </c>
      <c r="M117" s="896">
        <f t="shared" si="129"/>
        <v>2001</v>
      </c>
      <c r="N117" s="896">
        <f t="shared" si="129"/>
        <v>2002</v>
      </c>
      <c r="O117" s="896">
        <f t="shared" si="129"/>
        <v>2003</v>
      </c>
      <c r="P117" s="896">
        <f t="shared" ref="P117:V117" si="130">+O117+1</f>
        <v>2004</v>
      </c>
      <c r="Q117" s="896">
        <f t="shared" si="130"/>
        <v>2005</v>
      </c>
      <c r="R117" s="896">
        <f t="shared" si="130"/>
        <v>2006</v>
      </c>
      <c r="S117" s="896">
        <f>+R117+1</f>
        <v>2007</v>
      </c>
      <c r="T117" s="896">
        <f t="shared" si="130"/>
        <v>2008</v>
      </c>
      <c r="U117" s="896">
        <f t="shared" si="130"/>
        <v>2009</v>
      </c>
      <c r="V117" s="896">
        <f t="shared" si="130"/>
        <v>2010</v>
      </c>
      <c r="W117" s="896">
        <f t="shared" ref="W117:AE117" si="131">+V117+1</f>
        <v>2011</v>
      </c>
      <c r="X117" s="896">
        <f t="shared" si="131"/>
        <v>2012</v>
      </c>
      <c r="Y117" s="896">
        <f t="shared" si="131"/>
        <v>2013</v>
      </c>
      <c r="Z117" s="896">
        <f t="shared" si="131"/>
        <v>2014</v>
      </c>
      <c r="AA117" s="896">
        <f t="shared" si="131"/>
        <v>2015</v>
      </c>
      <c r="AB117" s="896">
        <f t="shared" si="131"/>
        <v>2016</v>
      </c>
      <c r="AC117" s="896">
        <f t="shared" si="131"/>
        <v>2017</v>
      </c>
      <c r="AD117" s="896">
        <f t="shared" si="131"/>
        <v>2018</v>
      </c>
      <c r="AE117" s="896">
        <f t="shared" si="131"/>
        <v>2019</v>
      </c>
    </row>
    <row r="118" spans="1:94">
      <c r="A118" s="664"/>
      <c r="B118" s="664"/>
      <c r="C118" s="1119"/>
      <c r="D118" s="1120"/>
      <c r="E118" s="1106" t="s">
        <v>1618</v>
      </c>
      <c r="F118" s="1120" t="s">
        <v>786</v>
      </c>
      <c r="G118" s="1095"/>
      <c r="H118" s="1095">
        <f>+(H114/G114-1)*100</f>
        <v>82.802196661451859</v>
      </c>
      <c r="I118" s="1095">
        <f t="shared" ref="I118:S118" si="132">+(I114/H114-1)*100</f>
        <v>75.637151672574916</v>
      </c>
      <c r="J118" s="1095">
        <f t="shared" si="132"/>
        <v>29.658045495489603</v>
      </c>
      <c r="K118" s="1095">
        <f t="shared" si="132"/>
        <v>17.329590957803266</v>
      </c>
      <c r="L118" s="1095">
        <f t="shared" si="132"/>
        <v>-9.1728550005270133</v>
      </c>
      <c r="M118" s="1095">
        <f t="shared" si="132"/>
        <v>3.3662215719111321</v>
      </c>
      <c r="N118" s="1095">
        <f t="shared" si="132"/>
        <v>16.474139423372879</v>
      </c>
      <c r="O118" s="1095">
        <f t="shared" si="132"/>
        <v>4.104480872102001</v>
      </c>
      <c r="P118" s="1095">
        <f t="shared" si="132"/>
        <v>74.069758695760598</v>
      </c>
      <c r="Q118" s="1095">
        <f t="shared" si="132"/>
        <v>5.8549842158792886</v>
      </c>
      <c r="R118" s="1095">
        <f t="shared" si="132"/>
        <v>15.979810772786895</v>
      </c>
      <c r="S118" s="1095">
        <f t="shared" si="132"/>
        <v>28.583916319026947</v>
      </c>
      <c r="T118" s="1095">
        <f t="shared" ref="T118:AE119" si="133">+(T114/S114-1)*100</f>
        <v>3.9827136838846977</v>
      </c>
      <c r="U118" s="1095">
        <f t="shared" si="133"/>
        <v>-77.424130869472535</v>
      </c>
      <c r="V118" s="1095">
        <f t="shared" si="133"/>
        <v>46.87594675030784</v>
      </c>
      <c r="W118" s="1095">
        <f t="shared" si="133"/>
        <v>7.283735659728352</v>
      </c>
      <c r="X118" s="1095">
        <f t="shared" si="133"/>
        <v>-61.713762235705929</v>
      </c>
      <c r="Y118" s="1095">
        <f t="shared" si="133"/>
        <v>-37.657484676169204</v>
      </c>
      <c r="Z118" s="1095">
        <f t="shared" si="133"/>
        <v>50.998602193845421</v>
      </c>
      <c r="AA118" s="1095">
        <f t="shared" si="133"/>
        <v>278.11406605475923</v>
      </c>
      <c r="AB118" s="1095">
        <f t="shared" si="133"/>
        <v>17.26537505550003</v>
      </c>
      <c r="AC118" s="1095">
        <f t="shared" si="133"/>
        <v>16.837639199006315</v>
      </c>
      <c r="AD118" s="1095">
        <f t="shared" ca="1" si="133"/>
        <v>15.994651434663165</v>
      </c>
      <c r="AE118" s="1095">
        <f t="shared" ca="1" si="133"/>
        <v>10.499116115455287</v>
      </c>
    </row>
    <row r="119" spans="1:94" ht="12.75" customHeight="1">
      <c r="A119" s="1130"/>
      <c r="C119" s="979"/>
      <c r="D119" s="1121"/>
      <c r="E119" s="1122" t="s">
        <v>1619</v>
      </c>
      <c r="F119" s="1121" t="s">
        <v>1621</v>
      </c>
      <c r="G119" s="1124"/>
      <c r="H119" s="1124">
        <f>+(H115/G115-1)*100</f>
        <v>-127.47110135212536</v>
      </c>
      <c r="I119" s="1124">
        <f t="shared" ref="I119:S119" si="134">+(I115/H115-1)*100</f>
        <v>995.50276192357069</v>
      </c>
      <c r="J119" s="1124">
        <f t="shared" si="134"/>
        <v>31.584415385149157</v>
      </c>
      <c r="K119" s="1124">
        <f t="shared" si="134"/>
        <v>42.593044776200252</v>
      </c>
      <c r="L119" s="1124">
        <f t="shared" si="134"/>
        <v>-31.73839945137469</v>
      </c>
      <c r="M119" s="1124">
        <f t="shared" si="134"/>
        <v>-29.151523230434485</v>
      </c>
      <c r="N119" s="1124">
        <f t="shared" si="134"/>
        <v>17.950226945866497</v>
      </c>
      <c r="O119" s="1124">
        <f t="shared" si="134"/>
        <v>18.373714394098741</v>
      </c>
      <c r="P119" s="1124">
        <f t="shared" si="134"/>
        <v>241.06684030163703</v>
      </c>
      <c r="Q119" s="1124">
        <f t="shared" si="134"/>
        <v>19.104475950325185</v>
      </c>
      <c r="R119" s="1124">
        <f t="shared" si="134"/>
        <v>24.354816095714259</v>
      </c>
      <c r="S119" s="1124">
        <f t="shared" si="134"/>
        <v>54.062657376297672</v>
      </c>
      <c r="T119" s="1124">
        <f t="shared" si="133"/>
        <v>7.1804416819333916</v>
      </c>
      <c r="U119" s="1124">
        <f t="shared" si="133"/>
        <v>-89.107991478669405</v>
      </c>
      <c r="V119" s="1124">
        <f t="shared" si="133"/>
        <v>9.956954195921309</v>
      </c>
      <c r="W119" s="1124">
        <f t="shared" si="133"/>
        <v>1.1706352976950773</v>
      </c>
      <c r="X119" s="1124">
        <f t="shared" si="133"/>
        <v>-221.37611059977039</v>
      </c>
      <c r="Y119" s="1124">
        <f t="shared" si="133"/>
        <v>36.57396660321637</v>
      </c>
      <c r="Z119" s="1124">
        <f t="shared" si="133"/>
        <v>8.1915014164304587</v>
      </c>
      <c r="AA119" s="1124">
        <f t="shared" si="133"/>
        <v>-179.03936991380323</v>
      </c>
      <c r="AB119" s="1124">
        <f t="shared" si="133"/>
        <v>6.1312379084620616</v>
      </c>
      <c r="AC119" s="1124">
        <f t="shared" si="133"/>
        <v>-1.9677125341790447</v>
      </c>
      <c r="AD119" s="1124">
        <f t="shared" ca="1" si="133"/>
        <v>45.909776088473485</v>
      </c>
      <c r="AE119" s="1124">
        <f t="shared" ca="1" si="133"/>
        <v>26.20231413140479</v>
      </c>
    </row>
    <row r="120" spans="1:94">
      <c r="T120">
        <f>T125/O125-1</f>
        <v>0.41737637508315051</v>
      </c>
      <c r="U120">
        <f>(1+T120)/(1+Labour1!T28)-1</f>
        <v>0.41737637508315051</v>
      </c>
      <c r="AA120">
        <f>AA125/V125-1</f>
        <v>0.20385112421086871</v>
      </c>
      <c r="AB120" s="557"/>
      <c r="AC120" s="557"/>
      <c r="AD120" s="557"/>
      <c r="AE120" s="557"/>
    </row>
    <row r="121" spans="1:94">
      <c r="A121" s="1130"/>
      <c r="D121" s="1175"/>
      <c r="E121" s="1129" t="s">
        <v>1178</v>
      </c>
      <c r="F121" s="1176"/>
      <c r="G121" s="707">
        <f>+InputY!$G$3</f>
        <v>1995</v>
      </c>
      <c r="H121" s="707">
        <f>+G121+1</f>
        <v>1996</v>
      </c>
      <c r="I121" s="707">
        <f t="shared" ref="I121:O121" si="135">+H121+1</f>
        <v>1997</v>
      </c>
      <c r="J121" s="707">
        <f t="shared" si="135"/>
        <v>1998</v>
      </c>
      <c r="K121" s="707">
        <f t="shared" si="135"/>
        <v>1999</v>
      </c>
      <c r="L121" s="707">
        <f t="shared" si="135"/>
        <v>2000</v>
      </c>
      <c r="M121" s="707">
        <f t="shared" si="135"/>
        <v>2001</v>
      </c>
      <c r="N121" s="707">
        <f t="shared" si="135"/>
        <v>2002</v>
      </c>
      <c r="O121" s="707">
        <f t="shared" si="135"/>
        <v>2003</v>
      </c>
      <c r="P121" s="707">
        <f t="shared" ref="P121:V121" si="136">+O121+1</f>
        <v>2004</v>
      </c>
      <c r="Q121" s="707">
        <f t="shared" si="136"/>
        <v>2005</v>
      </c>
      <c r="R121" s="707">
        <f t="shared" si="136"/>
        <v>2006</v>
      </c>
      <c r="S121" s="707">
        <f>+R121+1</f>
        <v>2007</v>
      </c>
      <c r="T121" s="707">
        <f t="shared" si="136"/>
        <v>2008</v>
      </c>
      <c r="U121" s="707">
        <f t="shared" si="136"/>
        <v>2009</v>
      </c>
      <c r="V121" s="707">
        <f t="shared" si="136"/>
        <v>2010</v>
      </c>
      <c r="W121" s="707">
        <f t="shared" ref="W121:AE121" si="137">+V121+1</f>
        <v>2011</v>
      </c>
      <c r="X121" s="707">
        <f t="shared" si="137"/>
        <v>2012</v>
      </c>
      <c r="Y121" s="707">
        <f t="shared" si="137"/>
        <v>2013</v>
      </c>
      <c r="Z121" s="707">
        <f t="shared" si="137"/>
        <v>2014</v>
      </c>
      <c r="AA121" s="707">
        <f t="shared" si="137"/>
        <v>2015</v>
      </c>
      <c r="AB121" s="707">
        <f t="shared" si="137"/>
        <v>2016</v>
      </c>
      <c r="AC121" s="707">
        <f t="shared" si="137"/>
        <v>2017</v>
      </c>
      <c r="AD121" s="707">
        <f t="shared" si="137"/>
        <v>2018</v>
      </c>
      <c r="AE121" s="707">
        <f t="shared" si="137"/>
        <v>2019</v>
      </c>
    </row>
    <row r="122" spans="1:94">
      <c r="A122" s="664"/>
      <c r="C122" s="1079" t="s">
        <v>1767</v>
      </c>
      <c r="D122" s="1058"/>
      <c r="E122" s="1038" t="s">
        <v>1359</v>
      </c>
      <c r="F122" s="1058"/>
      <c r="G122" s="1084">
        <f>+G94</f>
        <v>18.697227895180973</v>
      </c>
      <c r="H122" s="1084">
        <f t="shared" ref="H122:O122" si="138">+H94</f>
        <v>20.908572512990041</v>
      </c>
      <c r="I122" s="1084">
        <f t="shared" si="138"/>
        <v>23.919420909441602</v>
      </c>
      <c r="J122" s="1084">
        <f t="shared" si="138"/>
        <v>25.607469229881275</v>
      </c>
      <c r="K122" s="1084">
        <f t="shared" si="138"/>
        <v>24.298456251731583</v>
      </c>
      <c r="L122" s="1084">
        <f t="shared" si="138"/>
        <v>25.286247982793554</v>
      </c>
      <c r="M122" s="1084">
        <f t="shared" si="138"/>
        <v>27.906859620407776</v>
      </c>
      <c r="N122" s="1084">
        <f t="shared" si="138"/>
        <v>30.979501856890789</v>
      </c>
      <c r="O122" s="1084">
        <f t="shared" si="138"/>
        <v>34.001155724657146</v>
      </c>
      <c r="P122" s="1084">
        <f t="shared" ref="P122:U122" si="139">+P94</f>
        <v>37.481002539999999</v>
      </c>
      <c r="Q122" s="1084">
        <f t="shared" si="139"/>
        <v>42.042632760000004</v>
      </c>
      <c r="R122" s="1084">
        <f>+R94</f>
        <v>46.248838550000002</v>
      </c>
      <c r="S122" s="1084">
        <f>+S94</f>
        <v>51.325337930000003</v>
      </c>
      <c r="T122" s="1084">
        <f>+T94</f>
        <v>54.579444009999996</v>
      </c>
      <c r="U122" s="1084">
        <f t="shared" si="139"/>
        <v>43.563655220000001</v>
      </c>
      <c r="V122" s="1084">
        <f t="shared" ref="V122:AA122" si="140">+V94</f>
        <v>46.867750000000001</v>
      </c>
      <c r="W122" s="1084">
        <f t="shared" si="140"/>
        <v>51.388800000000003</v>
      </c>
      <c r="X122" s="1084">
        <f t="shared" si="140"/>
        <v>53.987926030000004</v>
      </c>
      <c r="Y122" s="1084">
        <f t="shared" si="140"/>
        <v>57.230938850000001</v>
      </c>
      <c r="Z122" s="1084">
        <f t="shared" si="140"/>
        <v>59.141162659999999</v>
      </c>
      <c r="AA122" s="1084">
        <f t="shared" si="140"/>
        <v>61.432050349999997</v>
      </c>
      <c r="AB122" s="1084">
        <f>+AB94</f>
        <v>63.187093279999999</v>
      </c>
      <c r="AC122" s="1084">
        <f>+AC94</f>
        <v>68.004727410000001</v>
      </c>
      <c r="AD122" s="1084">
        <f ca="1">+AD94</f>
        <v>71.144298205388168</v>
      </c>
      <c r="AE122" s="1084">
        <f ca="1">+AE94</f>
        <v>73.828566437201914</v>
      </c>
    </row>
    <row r="123" spans="1:94" ht="12.75" customHeight="1">
      <c r="A123" s="664"/>
      <c r="C123" s="1081" t="s">
        <v>401</v>
      </c>
      <c r="D123" s="1077"/>
      <c r="E123" s="1039" t="s">
        <v>1455</v>
      </c>
      <c r="F123" s="1077" t="s">
        <v>1591</v>
      </c>
      <c r="G123" s="1085">
        <f>+G105</f>
        <v>4.9107185321392937</v>
      </c>
      <c r="H123" s="1085">
        <f t="shared" ref="H123:O123" si="141">+H105</f>
        <v>6.0483442153241231</v>
      </c>
      <c r="I123" s="1085">
        <f t="shared" si="141"/>
        <v>7.558391635136144</v>
      </c>
      <c r="J123" s="1085">
        <f t="shared" si="141"/>
        <v>8.0224920854429147</v>
      </c>
      <c r="K123" s="1085">
        <f t="shared" si="141"/>
        <v>7.0316124846573125</v>
      </c>
      <c r="L123" s="1085">
        <f t="shared" si="141"/>
        <v>7.3815106295693358</v>
      </c>
      <c r="M123" s="1085">
        <f t="shared" si="141"/>
        <v>8.6789063726768898</v>
      </c>
      <c r="N123" s="1085">
        <f t="shared" si="141"/>
        <v>10.291648566601102</v>
      </c>
      <c r="O123" s="1085">
        <f t="shared" si="141"/>
        <v>11.203107124708019</v>
      </c>
      <c r="P123" s="1085">
        <f t="shared" ref="P123:U123" si="142">+P105</f>
        <v>12.899290000000001</v>
      </c>
      <c r="Q123" s="1085">
        <f t="shared" si="142"/>
        <v>15.52305</v>
      </c>
      <c r="R123" s="1085">
        <f>+R105</f>
        <v>17.736429999999999</v>
      </c>
      <c r="S123" s="1085">
        <f>+S105</f>
        <v>19.65354</v>
      </c>
      <c r="T123" s="1085">
        <f>+T105</f>
        <v>22.048819999999999</v>
      </c>
      <c r="U123" s="1085">
        <f t="shared" si="142"/>
        <v>15.87585</v>
      </c>
      <c r="V123" s="1085">
        <f t="shared" ref="V123:AA123" si="143">+V105</f>
        <v>18.84009</v>
      </c>
      <c r="W123" s="1085">
        <f t="shared" si="143"/>
        <v>21.667390000000001</v>
      </c>
      <c r="X123" s="1085">
        <f t="shared" si="143"/>
        <v>23.10718</v>
      </c>
      <c r="Y123" s="1085">
        <f t="shared" si="143"/>
        <v>25.212880000000002</v>
      </c>
      <c r="Z123" s="1085">
        <f t="shared" si="143"/>
        <v>25.993580000000001</v>
      </c>
      <c r="AA123" s="1085">
        <f t="shared" si="143"/>
        <v>27.605340000000002</v>
      </c>
      <c r="AB123" s="1085">
        <f>+AB105</f>
        <v>28.5792</v>
      </c>
      <c r="AC123" s="1085">
        <f>+AC105</f>
        <v>32.240859999999998</v>
      </c>
      <c r="AD123" s="1085">
        <f ca="1">+AD105</f>
        <v>34.336515899999988</v>
      </c>
      <c r="AE123" s="1085">
        <f ca="1">+AE105</f>
        <v>36.105261146882356</v>
      </c>
    </row>
    <row r="124" spans="1:94">
      <c r="A124" s="664"/>
      <c r="B124" s="664"/>
      <c r="C124" s="1082"/>
      <c r="D124" s="1086"/>
      <c r="E124" s="1087" t="s">
        <v>1812</v>
      </c>
      <c r="F124" s="1089"/>
      <c r="G124" s="3060" t="str">
        <f>IF(UPPER('VVP1'!$F$2)="Y","n.a.",'VVP2'!G125-'VVP2'!G122+'VVP2'!G123)</f>
        <v>n.a.</v>
      </c>
      <c r="H124" s="3060" t="str">
        <f>IF(UPPER('VVP1'!$F$2)="Y","n.a.",'VVP2'!H125-'VVP2'!H122+'VVP2'!H123)</f>
        <v>n.a.</v>
      </c>
      <c r="I124" s="3060" t="str">
        <f>IF(UPPER('VVP1'!$F$2)="Y","n.a.",'VVP2'!I125-'VVP2'!I122+'VVP2'!I123)</f>
        <v>n.a.</v>
      </c>
      <c r="J124" s="3060" t="str">
        <f>IF(UPPER('VVP1'!$F$2)="Y","n.a.",'VVP2'!J125-'VVP2'!J122+'VVP2'!J123)</f>
        <v>n.a.</v>
      </c>
      <c r="K124" s="3060" t="str">
        <f>IF(UPPER('VVP1'!$F$2)="Y","n.a.",'VVP2'!K125-'VVP2'!K122+'VVP2'!K123)</f>
        <v>n.a.</v>
      </c>
      <c r="L124" s="3060" t="str">
        <f>IF(UPPER('VVP1'!$F$2)="Y","n.a.",'VVP2'!L125-'VVP2'!L122+'VVP2'!L123)</f>
        <v>n.a.</v>
      </c>
      <c r="M124" s="3060" t="str">
        <f>IF(UPPER('VVP1'!$F$2)="Y","n.a.",'VVP2'!M125-'VVP2'!M122+'VVP2'!M123)</f>
        <v>n.a.</v>
      </c>
      <c r="N124" s="3060" t="str">
        <f>IF(UPPER('VVP1'!$F$2)="Y","n.a.",'VVP2'!N125-'VVP2'!N122+'VVP2'!N123)</f>
        <v>n.a.</v>
      </c>
      <c r="O124" s="3060" t="str">
        <f>IF(UPPER('VVP1'!$F$2)="Y","n.a.",'VVP2'!O125-'VVP2'!O122+'VVP2'!O123)</f>
        <v>n.a.</v>
      </c>
      <c r="P124" s="3060" t="str">
        <f>IF(UPPER('VVP1'!$F$2)="Y","n.a.",'VVP2'!P125-'VVP2'!P122+'VVP2'!P123)</f>
        <v>n.a.</v>
      </c>
      <c r="Q124" s="3060" t="str">
        <f>IF(UPPER('VVP1'!$F$2)="Y","n.a.",'VVP2'!Q125-'VVP2'!Q122+'VVP2'!Q123)</f>
        <v>n.a.</v>
      </c>
      <c r="R124" s="3060" t="str">
        <f>IF(UPPER('VVP1'!$F$2)="Y","n.a.",'VVP2'!R125-'VVP2'!R122+'VVP2'!R123)</f>
        <v>n.a.</v>
      </c>
      <c r="S124" s="3060" t="str">
        <f>IF(UPPER('VVP1'!$F$2)="Y","n.a.",'VVP2'!S125-'VVP2'!S122+'VVP2'!S123)</f>
        <v>n.a.</v>
      </c>
      <c r="T124" s="3060" t="str">
        <f>IF(UPPER('VVP1'!$F$2)="Y","n.a.",'VVP2'!T125-'VVP2'!T122+'VVP2'!T123)</f>
        <v>n.a.</v>
      </c>
      <c r="U124" s="3060" t="str">
        <f>IF(UPPER('VVP1'!$F$2)="Y","n.a.",'VVP2'!U125-'VVP2'!U122+'VVP2'!U123)</f>
        <v>n.a.</v>
      </c>
      <c r="V124" s="3060" t="str">
        <f>IF(UPPER('VVP1'!$F$2)="Y","n.a.",'VVP2'!V125-'VVP2'!V122+'VVP2'!V123)</f>
        <v>n.a.</v>
      </c>
      <c r="W124" s="3060" t="str">
        <f>IF(UPPER('VVP1'!$F$2)="Y","n.a.",'VVP2'!W125-'VVP2'!W122+'VVP2'!W123)</f>
        <v>n.a.</v>
      </c>
      <c r="X124" s="3060" t="str">
        <f>IF(UPPER('VVP1'!$F$2)="Y","n.a.",'VVP2'!X125-'VVP2'!X122+'VVP2'!X123)</f>
        <v>n.a.</v>
      </c>
      <c r="Y124" s="3060" t="str">
        <f>IF(UPPER('VVP1'!$F$2)="Y","n.a.",'VVP2'!Y125-'VVP2'!Y122+'VVP2'!Y123)</f>
        <v>n.a.</v>
      </c>
      <c r="Z124" s="3060" t="str">
        <f>IF(UPPER('VVP1'!$F$2)="Y","n.a.",'VVP2'!Z125-'VVP2'!Z122+'VVP2'!Z123)</f>
        <v>n.a.</v>
      </c>
      <c r="AA124" s="3060" t="str">
        <f>IF(UPPER('VVP1'!$F$2)="Y","n.a.",'VVP2'!AA125-'VVP2'!AA122+'VVP2'!AA123)</f>
        <v>n.a.</v>
      </c>
      <c r="AB124" s="3060" t="str">
        <f>IF(UPPER('VVP1'!$F$2)="Y","n.a.",'VVP2'!AB125-'VVP2'!AB122+'VVP2'!AB123)</f>
        <v>n.a.</v>
      </c>
      <c r="AC124" s="3060" t="str">
        <f>IF(UPPER('VVP1'!$F$2)="Y","n.a.",'VVP2'!AC125-'VVP2'!AC122+'VVP2'!AC123)</f>
        <v>n.a.</v>
      </c>
      <c r="AD124" s="1398" t="str">
        <f>IF(UPPER('VVP1'!$F$2)="Y","n.a.",AC124*(1+AD130/100))</f>
        <v>n.a.</v>
      </c>
      <c r="AE124" s="1398" t="str">
        <f>IF(UPPER('VVP1'!$F$2)="Y","n.a.",AD124*(1+AE130/100))</f>
        <v>n.a.</v>
      </c>
    </row>
    <row r="125" spans="1:94">
      <c r="A125" s="664">
        <f>+ROW(InputY!A55)</f>
        <v>55</v>
      </c>
      <c r="B125" s="664" t="s">
        <v>256</v>
      </c>
      <c r="C125" s="694" t="s">
        <v>1769</v>
      </c>
      <c r="D125" s="1177"/>
      <c r="E125" s="1461" t="s">
        <v>1620</v>
      </c>
      <c r="F125" s="1460" t="s">
        <v>787</v>
      </c>
      <c r="G125" s="1184">
        <f>+InputY!G55/1000</f>
        <v>14.462380875625723</v>
      </c>
      <c r="H125" s="1184">
        <f>+InputY!H55/1000</f>
        <v>15.220090794230698</v>
      </c>
      <c r="I125" s="1184">
        <f>+InputY!I55/1000</f>
        <v>16.459042836240307</v>
      </c>
      <c r="J125" s="1184">
        <f>+InputY!J55/1000</f>
        <v>17.713769777470301</v>
      </c>
      <c r="K125" s="1184">
        <f>+InputY!K55/1000</f>
        <v>17.532823907310789</v>
      </c>
      <c r="L125" s="1184">
        <f>+InputY!L55/1000</f>
        <v>18.167755386739458</v>
      </c>
      <c r="M125" s="1184">
        <f>+InputY!M55/1000</f>
        <v>19.384923391802051</v>
      </c>
      <c r="N125" s="1184">
        <f>+InputY!N55/1000</f>
        <v>20.710463968805673</v>
      </c>
      <c r="O125" s="1184">
        <f>+InputY!O55/1000</f>
        <v>22.838647919541451</v>
      </c>
      <c r="P125" s="1184">
        <f>+InputY!P55/1000</f>
        <v>24.539729999999999</v>
      </c>
      <c r="Q125" s="1184">
        <f>+InputY!Q55/1000</f>
        <v>26.43601</v>
      </c>
      <c r="R125" s="1184">
        <f>+InputY!R55/1000</f>
        <v>28.393979999999999</v>
      </c>
      <c r="S125" s="1184">
        <f>+InputY!S55/1000</f>
        <v>31.542009999999998</v>
      </c>
      <c r="T125" s="1184">
        <f>+InputY!T55/1000</f>
        <v>32.370959999999997</v>
      </c>
      <c r="U125" s="1184">
        <f>+InputY!U55/1000</f>
        <v>27.575470000000003</v>
      </c>
      <c r="V125" s="1184">
        <f>+InputY!V55/1000</f>
        <v>28.027660000000001</v>
      </c>
      <c r="W125" s="1184">
        <f>+InputY!W55/1000</f>
        <v>29.721409999999999</v>
      </c>
      <c r="X125" s="1184">
        <f>+InputY!X55/1000</f>
        <v>30.858830000000001</v>
      </c>
      <c r="Y125" s="1184">
        <f>+InputY!Y55/1000</f>
        <v>31.93845</v>
      </c>
      <c r="Z125" s="1184">
        <f>+InputY!Z55/1000</f>
        <v>33.068300000000001</v>
      </c>
      <c r="AA125" s="1184">
        <f>+InputY!AA55/1000</f>
        <v>33.741129999999998</v>
      </c>
      <c r="AB125" s="1184">
        <f>+InputY!AB55/1000</f>
        <v>34.532319999999999</v>
      </c>
      <c r="AC125" s="1184">
        <f>+InputY!AC55/1000</f>
        <v>35.85454</v>
      </c>
      <c r="AD125" s="1464">
        <f ca="1">IF(UPPER('VVP1'!$F$2)="Y",+AC125*(1+AD131/100),+AD122-AD123+AD124)</f>
        <v>36.973412236921639</v>
      </c>
      <c r="AE125" s="1464">
        <f ca="1">IF(UPPER('VVP1'!$F$2)="Y",+AD125*(1+AE131/100),+AE122-AE123+AE124)</f>
        <v>37.950495123699902</v>
      </c>
    </row>
    <row r="126" spans="1:94">
      <c r="AB126" s="557"/>
      <c r="AC126" s="557"/>
      <c r="AD126" s="557"/>
      <c r="AE126" s="557"/>
    </row>
    <row r="127" spans="1:94" s="699" customFormat="1" ht="12.75" customHeight="1">
      <c r="A127" s="664"/>
      <c r="B127" s="664"/>
      <c r="C127" s="774"/>
      <c r="D127" s="1092"/>
      <c r="E127" s="1093" t="s">
        <v>1178</v>
      </c>
      <c r="F127" s="1094"/>
      <c r="G127" s="896">
        <f>+InputY!$G$3</f>
        <v>1995</v>
      </c>
      <c r="H127" s="896">
        <f>+G127+1</f>
        <v>1996</v>
      </c>
      <c r="I127" s="896">
        <f t="shared" ref="I127:O127" si="144">+H127+1</f>
        <v>1997</v>
      </c>
      <c r="J127" s="896">
        <f t="shared" si="144"/>
        <v>1998</v>
      </c>
      <c r="K127" s="896">
        <f t="shared" si="144"/>
        <v>1999</v>
      </c>
      <c r="L127" s="896">
        <f t="shared" si="144"/>
        <v>2000</v>
      </c>
      <c r="M127" s="896">
        <f t="shared" si="144"/>
        <v>2001</v>
      </c>
      <c r="N127" s="896">
        <f t="shared" si="144"/>
        <v>2002</v>
      </c>
      <c r="O127" s="896">
        <f t="shared" si="144"/>
        <v>2003</v>
      </c>
      <c r="P127" s="896">
        <f t="shared" ref="P127:V127" si="145">+O127+1</f>
        <v>2004</v>
      </c>
      <c r="Q127" s="896">
        <f t="shared" si="145"/>
        <v>2005</v>
      </c>
      <c r="R127" s="896">
        <f t="shared" si="145"/>
        <v>2006</v>
      </c>
      <c r="S127" s="896">
        <f>+R127+1</f>
        <v>2007</v>
      </c>
      <c r="T127" s="896">
        <f t="shared" si="145"/>
        <v>2008</v>
      </c>
      <c r="U127" s="896">
        <f t="shared" si="145"/>
        <v>2009</v>
      </c>
      <c r="V127" s="896">
        <f t="shared" si="145"/>
        <v>2010</v>
      </c>
      <c r="W127" s="896">
        <f t="shared" ref="W127:AE127" si="146">+V127+1</f>
        <v>2011</v>
      </c>
      <c r="X127" s="896">
        <f t="shared" si="146"/>
        <v>2012</v>
      </c>
      <c r="Y127" s="896">
        <f t="shared" si="146"/>
        <v>2013</v>
      </c>
      <c r="Z127" s="896">
        <f t="shared" si="146"/>
        <v>2014</v>
      </c>
      <c r="AA127" s="896">
        <f t="shared" si="146"/>
        <v>2015</v>
      </c>
      <c r="AB127" s="896">
        <f t="shared" si="146"/>
        <v>2016</v>
      </c>
      <c r="AC127" s="896">
        <f t="shared" si="146"/>
        <v>2017</v>
      </c>
      <c r="AD127" s="896">
        <f t="shared" si="146"/>
        <v>2018</v>
      </c>
      <c r="AE127" s="896">
        <f t="shared" si="146"/>
        <v>2019</v>
      </c>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row>
    <row r="128" spans="1:94" s="699" customFormat="1" ht="12.75" customHeight="1">
      <c r="A128" s="664"/>
      <c r="B128" s="664"/>
      <c r="C128" s="794"/>
      <c r="D128" s="689"/>
      <c r="E128" s="738" t="s">
        <v>1359</v>
      </c>
      <c r="F128" s="733"/>
      <c r="G128" s="1095"/>
      <c r="H128" s="1095">
        <f>+(H122/G122-1)*100</f>
        <v>11.827125551478247</v>
      </c>
      <c r="I128" s="1095">
        <f t="shared" ref="I128:T128" si="147">+(I122/H122-1)*100</f>
        <v>14.400066740955108</v>
      </c>
      <c r="J128" s="1095">
        <f t="shared" si="147"/>
        <v>7.0572290476035748</v>
      </c>
      <c r="K128" s="1095">
        <f t="shared" si="147"/>
        <v>-5.1118404805977846</v>
      </c>
      <c r="L128" s="1095">
        <f t="shared" si="147"/>
        <v>4.0652448074415259</v>
      </c>
      <c r="M128" s="1095">
        <f t="shared" si="147"/>
        <v>10.363782081855156</v>
      </c>
      <c r="N128" s="1095">
        <f t="shared" si="147"/>
        <v>11.010347557114763</v>
      </c>
      <c r="O128" s="1095">
        <f t="shared" si="147"/>
        <v>9.7537199975804345</v>
      </c>
      <c r="P128" s="1095">
        <f t="shared" si="147"/>
        <v>10.234495684566735</v>
      </c>
      <c r="Q128" s="1095">
        <f t="shared" si="147"/>
        <v>12.170512822147161</v>
      </c>
      <c r="R128" s="1095">
        <f t="shared" si="147"/>
        <v>10.004620343381166</v>
      </c>
      <c r="S128" s="1095">
        <f t="shared" si="147"/>
        <v>10.976490522052252</v>
      </c>
      <c r="T128" s="1095">
        <f t="shared" si="147"/>
        <v>6.3401551967141367</v>
      </c>
      <c r="U128" s="1095">
        <f t="shared" ref="U128:AE129" si="148">+(U122/T122-1)*100</f>
        <v>-20.183035920962645</v>
      </c>
      <c r="V128" s="1095">
        <f t="shared" si="148"/>
        <v>7.5845214624761237</v>
      </c>
      <c r="W128" s="1095">
        <f t="shared" si="148"/>
        <v>9.6463986429901283</v>
      </c>
      <c r="X128" s="1095">
        <f t="shared" si="148"/>
        <v>5.0577675096519004</v>
      </c>
      <c r="Y128" s="1095">
        <f t="shared" si="148"/>
        <v>6.0069223963111984</v>
      </c>
      <c r="Z128" s="1095">
        <f t="shared" si="148"/>
        <v>3.3377467649213566</v>
      </c>
      <c r="AA128" s="1095">
        <f t="shared" si="148"/>
        <v>3.8735925824965767</v>
      </c>
      <c r="AB128" s="1095">
        <f t="shared" si="148"/>
        <v>2.8568848345463138</v>
      </c>
      <c r="AC128" s="1095">
        <f t="shared" si="148"/>
        <v>7.6243958693458014</v>
      </c>
      <c r="AD128" s="1095">
        <f t="shared" ca="1" si="148"/>
        <v>4.6166949195453943</v>
      </c>
      <c r="AE128" s="1095">
        <f t="shared" ca="1" si="148"/>
        <v>3.7729913703898887</v>
      </c>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row>
    <row r="129" spans="1:94" ht="12.75" customHeight="1">
      <c r="A129" s="1130"/>
      <c r="C129" s="979"/>
      <c r="D129" s="1121"/>
      <c r="E129" s="1122" t="s">
        <v>1455</v>
      </c>
      <c r="F129" s="1121" t="s">
        <v>1591</v>
      </c>
      <c r="G129" s="1124"/>
      <c r="H129" s="1124">
        <f>+(H123/G123-1)*100</f>
        <v>23.166175697902137</v>
      </c>
      <c r="I129" s="1124">
        <f t="shared" ref="I129:T129" si="149">+(I123/H123-1)*100</f>
        <v>24.966294345254948</v>
      </c>
      <c r="J129" s="1124">
        <f t="shared" si="149"/>
        <v>6.1402011527074141</v>
      </c>
      <c r="K129" s="1124">
        <f t="shared" si="149"/>
        <v>-12.351269284311128</v>
      </c>
      <c r="L129" s="1124">
        <f t="shared" si="149"/>
        <v>4.9760726387508836</v>
      </c>
      <c r="M129" s="1124">
        <f t="shared" si="149"/>
        <v>17.576290385742467</v>
      </c>
      <c r="N129" s="1124">
        <f t="shared" si="149"/>
        <v>18.582320452280499</v>
      </c>
      <c r="O129" s="1124">
        <f t="shared" si="149"/>
        <v>8.8562930633370165</v>
      </c>
      <c r="P129" s="1124">
        <f t="shared" si="149"/>
        <v>15.140289710799216</v>
      </c>
      <c r="Q129" s="1124">
        <f t="shared" si="149"/>
        <v>20.340344313524227</v>
      </c>
      <c r="R129" s="1124">
        <f t="shared" si="149"/>
        <v>14.258666950116105</v>
      </c>
      <c r="S129" s="1124">
        <f t="shared" si="149"/>
        <v>10.808883185624163</v>
      </c>
      <c r="T129" s="1124">
        <f t="shared" si="149"/>
        <v>12.187524486682811</v>
      </c>
      <c r="U129" s="1124">
        <f t="shared" si="148"/>
        <v>-27.996827041084281</v>
      </c>
      <c r="V129" s="1124">
        <f t="shared" si="148"/>
        <v>18.671378225417847</v>
      </c>
      <c r="W129" s="1124">
        <f t="shared" si="148"/>
        <v>15.006828523642945</v>
      </c>
      <c r="X129" s="1124">
        <f t="shared" si="148"/>
        <v>6.6449627758580876</v>
      </c>
      <c r="Y129" s="1124">
        <f t="shared" si="148"/>
        <v>9.1127519671375001</v>
      </c>
      <c r="Z129" s="1124">
        <f t="shared" si="148"/>
        <v>3.0964332515761805</v>
      </c>
      <c r="AA129" s="1124">
        <f t="shared" si="148"/>
        <v>6.2006079962821703</v>
      </c>
      <c r="AB129" s="1124">
        <f t="shared" si="148"/>
        <v>3.5277957090910528</v>
      </c>
      <c r="AC129" s="1124">
        <f t="shared" si="148"/>
        <v>12.812325047587048</v>
      </c>
      <c r="AD129" s="1124">
        <f t="shared" ca="1" si="148"/>
        <v>6.4999999999999725</v>
      </c>
      <c r="AE129" s="1124">
        <f t="shared" ca="1" si="148"/>
        <v>5.1512076881462754</v>
      </c>
    </row>
    <row r="130" spans="1:94" s="699" customFormat="1" ht="12.75" customHeight="1">
      <c r="A130" s="664"/>
      <c r="B130" s="664"/>
      <c r="C130" s="798"/>
      <c r="D130" s="833"/>
      <c r="E130" s="834" t="s">
        <v>1812</v>
      </c>
      <c r="F130" s="1114" t="s">
        <v>1992</v>
      </c>
      <c r="G130" s="1115"/>
      <c r="H130" s="3061" t="str">
        <f>IF(UPPER('VVP1'!$F$2)="Y","n.a.",H124/G124*100-100)</f>
        <v>n.a.</v>
      </c>
      <c r="I130" s="3061" t="str">
        <f>IF(UPPER('VVP1'!$F$2)="Y","n.a.",I124/H124*100-100)</f>
        <v>n.a.</v>
      </c>
      <c r="J130" s="3061" t="str">
        <f>IF(UPPER('VVP1'!$F$2)="Y","n.a.",J124/I124*100-100)</f>
        <v>n.a.</v>
      </c>
      <c r="K130" s="3061" t="str">
        <f>IF(UPPER('VVP1'!$F$2)="Y","n.a.",K124/J124*100-100)</f>
        <v>n.a.</v>
      </c>
      <c r="L130" s="3061" t="str">
        <f>IF(UPPER('VVP1'!$F$2)="Y","n.a.",L124/K124*100-100)</f>
        <v>n.a.</v>
      </c>
      <c r="M130" s="3061" t="str">
        <f>IF(UPPER('VVP1'!$F$2)="Y","n.a.",M124/L124*100-100)</f>
        <v>n.a.</v>
      </c>
      <c r="N130" s="3061" t="str">
        <f>IF(UPPER('VVP1'!$F$2)="Y","n.a.",N124/M124*100-100)</f>
        <v>n.a.</v>
      </c>
      <c r="O130" s="3061" t="str">
        <f>IF(UPPER('VVP1'!$F$2)="Y","n.a.",O124/N124*100-100)</f>
        <v>n.a.</v>
      </c>
      <c r="P130" s="3061" t="str">
        <f>IF(UPPER('VVP1'!$F$2)="Y","n.a.",P124/O124*100-100)</f>
        <v>n.a.</v>
      </c>
      <c r="Q130" s="3061" t="str">
        <f>IF(UPPER('VVP1'!$F$2)="Y","n.a.",Q124/P124*100-100)</f>
        <v>n.a.</v>
      </c>
      <c r="R130" s="3061" t="str">
        <f>IF(UPPER('VVP1'!$F$2)="Y","n.a.",R124/Q124*100-100)</f>
        <v>n.a.</v>
      </c>
      <c r="S130" s="3061" t="str">
        <f>IF(UPPER('VVP1'!$F$2)="Y","n.a.",S124/R124*100-100)</f>
        <v>n.a.</v>
      </c>
      <c r="T130" s="3061" t="str">
        <f>IF(UPPER('VVP1'!$F$2)="Y","n.a.",T124/S124*100-100)</f>
        <v>n.a.</v>
      </c>
      <c r="U130" s="3061" t="str">
        <f>IF(UPPER('VVP1'!$F$2)="Y","n.a.",U124/T124*100-100)</f>
        <v>n.a.</v>
      </c>
      <c r="V130" s="3061" t="str">
        <f>IF(UPPER('VVP1'!$F$2)="Y","n.a.",V124/U124*100-100)</f>
        <v>n.a.</v>
      </c>
      <c r="W130" s="3061" t="str">
        <f>IF(UPPER('VVP1'!$F$2)="Y","n.a.",W124/V124*100-100)</f>
        <v>n.a.</v>
      </c>
      <c r="X130" s="3061" t="str">
        <f>IF(UPPER('VVP1'!$F$2)="Y","n.a.",X124/W124*100-100)</f>
        <v>n.a.</v>
      </c>
      <c r="Y130" s="3061" t="str">
        <f>IF(UPPER('VVP1'!$F$2)="Y","n.a.",Y124/X124*100-100)</f>
        <v>n.a.</v>
      </c>
      <c r="Z130" s="3061" t="str">
        <f>IF(UPPER('VVP1'!$F$2)="Y","n.a.",Z124/Y124*100-100)</f>
        <v>n.a.</v>
      </c>
      <c r="AA130" s="3061" t="str">
        <f>IF(UPPER('VVP1'!$F$2)="Y","n.a.",AA124/Z124*100-100)</f>
        <v>n.a.</v>
      </c>
      <c r="AB130" s="3061" t="str">
        <f>IF(UPPER('VVP1'!$F$2)="Y","n.a.",AB124/AA124*100-100)</f>
        <v>n.a.</v>
      </c>
      <c r="AC130" s="1427">
        <f ca="1">OFFSET('VVP1'!$G$81,0,5*(COLUMN()-7))</f>
        <v>0</v>
      </c>
      <c r="AD130" s="1427">
        <f ca="1">OFFSET('VVP1'!$G$81,0,5*(COLUMN()-7))</f>
        <v>0</v>
      </c>
      <c r="AE130" s="1427">
        <f ca="1">OFFSET('VVP1'!$G$81,0,5*(COLUMN()-7))</f>
        <v>0</v>
      </c>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row>
    <row r="131" spans="1:94" s="699" customFormat="1" ht="12.75" customHeight="1">
      <c r="A131" s="664"/>
      <c r="B131" s="664"/>
      <c r="C131" s="774"/>
      <c r="D131" s="717"/>
      <c r="E131" s="1099" t="s">
        <v>1620</v>
      </c>
      <c r="F131" s="1099" t="s">
        <v>787</v>
      </c>
      <c r="G131" s="1099"/>
      <c r="H131" s="1099">
        <f>+(H125/G125-1)*100</f>
        <v>5.2391782869028569</v>
      </c>
      <c r="I131" s="1099">
        <f>+(I125/H125-1)*100</f>
        <v>8.1402408090708978</v>
      </c>
      <c r="J131" s="1099">
        <f t="shared" ref="J131:AC131" si="150">+(J125/I125-1)*100</f>
        <v>7.6233287300721653</v>
      </c>
      <c r="K131" s="1099">
        <f t="shared" si="150"/>
        <v>-1.0214983734837313</v>
      </c>
      <c r="L131" s="1099">
        <f t="shared" si="150"/>
        <v>3.6213874204480856</v>
      </c>
      <c r="M131" s="1099">
        <f t="shared" si="150"/>
        <v>6.6996058629840372</v>
      </c>
      <c r="N131" s="1099">
        <f t="shared" si="150"/>
        <v>6.8379975004915217</v>
      </c>
      <c r="O131" s="1099">
        <f t="shared" si="150"/>
        <v>10.275887367570679</v>
      </c>
      <c r="P131" s="1099">
        <f t="shared" si="150"/>
        <v>7.4482608885224399</v>
      </c>
      <c r="Q131" s="1099">
        <f t="shared" si="150"/>
        <v>7.7273873836427809</v>
      </c>
      <c r="R131" s="1099">
        <f t="shared" si="150"/>
        <v>7.4064505195753805</v>
      </c>
      <c r="S131" s="1099">
        <f t="shared" si="150"/>
        <v>11.0869627998611</v>
      </c>
      <c r="T131" s="1099">
        <f t="shared" si="150"/>
        <v>2.6280823574654777</v>
      </c>
      <c r="U131" s="1099">
        <f t="shared" si="150"/>
        <v>-14.814172950076221</v>
      </c>
      <c r="V131" s="1099">
        <f t="shared" si="150"/>
        <v>1.639826991162785</v>
      </c>
      <c r="W131" s="1099">
        <f t="shared" si="150"/>
        <v>6.0431373864246796</v>
      </c>
      <c r="X131" s="1099">
        <f t="shared" si="150"/>
        <v>3.8269382239940919</v>
      </c>
      <c r="Y131" s="1099">
        <f t="shared" si="150"/>
        <v>3.498577230569011</v>
      </c>
      <c r="Z131" s="3397">
        <f t="shared" si="150"/>
        <v>3.5375855747539431</v>
      </c>
      <c r="AA131" s="3397">
        <f t="shared" si="150"/>
        <v>2.0346676424249033</v>
      </c>
      <c r="AB131" s="3748">
        <f t="shared" si="150"/>
        <v>2.3448829366414126</v>
      </c>
      <c r="AC131" s="3748">
        <f t="shared" si="150"/>
        <v>3.8289347486644365</v>
      </c>
      <c r="AD131" s="1466">
        <f ca="1">IF(UPPER('VVP1'!$F$2)="Y",OFFSET('VVP1'!$G$17,0,5*(COLUMN()-7)),('VVP2'!AD125/'VVP2'!AC125-1)*100)</f>
        <v>3.1205873424164476</v>
      </c>
      <c r="AE131" s="1466">
        <f ca="1">IF(UPPER('VVP1'!$F$2)="Y",OFFSET('VVP1'!$G$17,0,5*(COLUMN()-7)),('VVP2'!AE125/'VVP2'!AD125-1)*100)</f>
        <v>2.6426635456776815</v>
      </c>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row>
    <row r="132" spans="1:94">
      <c r="AB132" s="557"/>
      <c r="AC132" s="557"/>
      <c r="AD132" s="557"/>
      <c r="AE132" s="557"/>
    </row>
    <row r="133" spans="1:94">
      <c r="A133" s="1130"/>
      <c r="D133" s="1477"/>
      <c r="E133" s="1511" t="s">
        <v>1070</v>
      </c>
      <c r="F133" s="1512"/>
      <c r="G133" s="817">
        <f>+InputY!$G$3</f>
        <v>1995</v>
      </c>
      <c r="H133" s="817">
        <f>+G133+1</f>
        <v>1996</v>
      </c>
      <c r="I133" s="817">
        <f t="shared" ref="I133:O133" si="151">+H133+1</f>
        <v>1997</v>
      </c>
      <c r="J133" s="817">
        <f t="shared" si="151"/>
        <v>1998</v>
      </c>
      <c r="K133" s="817">
        <f t="shared" si="151"/>
        <v>1999</v>
      </c>
      <c r="L133" s="817">
        <f t="shared" si="151"/>
        <v>2000</v>
      </c>
      <c r="M133" s="817">
        <f t="shared" si="151"/>
        <v>2001</v>
      </c>
      <c r="N133" s="817">
        <f t="shared" si="151"/>
        <v>2002</v>
      </c>
      <c r="O133" s="817">
        <f t="shared" si="151"/>
        <v>2003</v>
      </c>
      <c r="P133" s="817">
        <f t="shared" ref="P133:V133" si="152">+O133+1</f>
        <v>2004</v>
      </c>
      <c r="Q133" s="817">
        <f t="shared" si="152"/>
        <v>2005</v>
      </c>
      <c r="R133" s="817">
        <f t="shared" si="152"/>
        <v>2006</v>
      </c>
      <c r="S133" s="817">
        <f>+R133+1</f>
        <v>2007</v>
      </c>
      <c r="T133" s="817">
        <f t="shared" si="152"/>
        <v>2008</v>
      </c>
      <c r="U133" s="817">
        <f t="shared" si="152"/>
        <v>2009</v>
      </c>
      <c r="V133" s="817">
        <f t="shared" si="152"/>
        <v>2010</v>
      </c>
      <c r="W133" s="817">
        <f t="shared" ref="W133:AE133" si="153">+V133+1</f>
        <v>2011</v>
      </c>
      <c r="X133" s="817">
        <f t="shared" si="153"/>
        <v>2012</v>
      </c>
      <c r="Y133" s="817">
        <f t="shared" si="153"/>
        <v>2013</v>
      </c>
      <c r="Z133" s="817">
        <f t="shared" si="153"/>
        <v>2014</v>
      </c>
      <c r="AA133" s="817">
        <f t="shared" si="153"/>
        <v>2015</v>
      </c>
      <c r="AB133" s="817">
        <f t="shared" si="153"/>
        <v>2016</v>
      </c>
      <c r="AC133" s="817">
        <f t="shared" si="153"/>
        <v>2017</v>
      </c>
      <c r="AD133" s="817">
        <f t="shared" si="153"/>
        <v>2018</v>
      </c>
      <c r="AE133" s="817">
        <f t="shared" si="153"/>
        <v>2019</v>
      </c>
    </row>
    <row r="134" spans="1:94">
      <c r="A134" s="664"/>
      <c r="C134" s="1479"/>
      <c r="D134" s="1963" t="s">
        <v>685</v>
      </c>
      <c r="E134" s="1" t="s">
        <v>821</v>
      </c>
      <c r="F134" s="1481" t="s">
        <v>1017</v>
      </c>
      <c r="G134" s="1062"/>
      <c r="H134" s="1062">
        <f ca="1">IF(UPPER('VVP1'!$F$2)="Y",(OFFSET('VVP1'!$M7,0,5*(COLUMN()-8))-OFFSET('VVP1'!$J7,0,5*(COLUMN()-8)))/OFFSET('VVP1'!$J$17,0,5*(COLUMN()-8))*100,(H7-G7)/G$125*100)</f>
        <v>4.1383599330262353</v>
      </c>
      <c r="I134" s="1062">
        <f ca="1">IF(UPPER('VVP1'!$F$2)="Y",(OFFSET('VVP1'!$M7,0,5*(COLUMN()-8))-OFFSET('VVP1'!$J7,0,5*(COLUMN()-8)))/OFFSET('VVP1'!$J$17,0,5*(COLUMN()-8))*100,(I7-H7)/H$125*100)</f>
        <v>3.6066547319100932</v>
      </c>
      <c r="J134" s="1062">
        <f ca="1">IF(UPPER('VVP1'!$F$2)="Y",(OFFSET('VVP1'!$M7,0,5*(COLUMN()-8))-OFFSET('VVP1'!$J7,0,5*(COLUMN()-8)))/OFFSET('VVP1'!$J$17,0,5*(COLUMN()-8))*100,(J7-I7)/I$125*100)</f>
        <v>2.9171376517814478</v>
      </c>
      <c r="K134" s="1062">
        <f ca="1">IF(UPPER('VVP1'!$F$2)="Y",(OFFSET('VVP1'!$M7,0,5*(COLUMN()-8))-OFFSET('VVP1'!$J7,0,5*(COLUMN()-8)))/OFFSET('VVP1'!$J$17,0,5*(COLUMN()-8))*100,(K7-J7)/J$125*100)</f>
        <v>3.0374552623936131</v>
      </c>
      <c r="L134" s="1062">
        <f ca="1">IF(UPPER('VVP1'!$F$2)="Y",(OFFSET('VVP1'!$M7,0,5*(COLUMN()-8))-OFFSET('VVP1'!$J7,0,5*(COLUMN()-8)))/OFFSET('VVP1'!$J$17,0,5*(COLUMN()-8))*100,(L7-K7)/K$125*100)</f>
        <v>4.5372169233459694</v>
      </c>
      <c r="M134" s="1062">
        <f ca="1">IF(UPPER('VVP1'!$F$2)="Y",(OFFSET('VVP1'!$M7,0,5*(COLUMN()-8))-OFFSET('VVP1'!$J7,0,5*(COLUMN()-8)))/OFFSET('VVP1'!$J$17,0,5*(COLUMN()-8))*100,(M7-L7)/L$125*100)</f>
        <v>2.7360215980615159</v>
      </c>
      <c r="N134" s="1062">
        <f ca="1">IF(UPPER('VVP1'!$F$2)="Y",(OFFSET('VVP1'!$M7,0,5*(COLUMN()-8))-OFFSET('VVP1'!$J7,0,5*(COLUMN()-8)))/OFFSET('VVP1'!$J$17,0,5*(COLUMN()-8))*100,(N7-M7)/M$125*100)</f>
        <v>4.025229715094861</v>
      </c>
      <c r="O134" s="1062">
        <f ca="1">IF(UPPER('VVP1'!$F$2)="Y",(OFFSET('VVP1'!$M7,0,5*(COLUMN()-8))-OFFSET('VVP1'!$J7,0,5*(COLUMN()-8)))/OFFSET('VVP1'!$J$17,0,5*(COLUMN()-8))*100,(O7-N7)/N$125*100)</f>
        <v>7.2310900992097835</v>
      </c>
      <c r="P134" s="1062">
        <f ca="1">IF(UPPER('VVP1'!$F$2)="Y",(OFFSET('VVP1'!$M7,0,5*(COLUMN()-8))-OFFSET('VVP1'!$J7,0,5*(COLUMN()-8)))/OFFSET('VVP1'!$J$17,0,5*(COLUMN()-8))*100,(P7-O7)/O$125*100)</f>
        <v>7.5253723484101833</v>
      </c>
      <c r="Q134" s="1062">
        <f ca="1">IF(UPPER('VVP1'!$F$2)="Y",(OFFSET('VVP1'!$M7,0,5*(COLUMN()-8))-OFFSET('VVP1'!$J7,0,5*(COLUMN()-8)))/OFFSET('VVP1'!$J$17,0,5*(COLUMN()-8))*100,(Q7-P7)/P$125*100)</f>
        <v>7.564702960473543</v>
      </c>
      <c r="R134" s="1062">
        <f ca="1">IF(UPPER('VVP1'!$F$2)="Y",(OFFSET('VVP1'!$M7,0,5*(COLUMN()-8))-OFFSET('VVP1'!$J7,0,5*(COLUMN()-8)))/OFFSET('VVP1'!$J$17,0,5*(COLUMN()-8))*100,(R7-Q7)/Q$125*100)</f>
        <v>5.8841032011095482</v>
      </c>
      <c r="S134" s="1062">
        <f ca="1">IF(UPPER('VVP1'!$F$2)="Y",(OFFSET('VVP1'!$M7,0,5*(COLUMN()-8))-OFFSET('VVP1'!$J7,0,5*(COLUMN()-8)))/OFFSET('VVP1'!$J$17,0,5*(COLUMN()-8))*100,(S7-R7)/R$125*100)</f>
        <v>7.9987599452772411</v>
      </c>
      <c r="T134" s="1062">
        <f ca="1">IF(UPPER('VVP1'!$F$2)="Y",(OFFSET('VVP1'!$M7,0,5*(COLUMN()-8))-OFFSET('VVP1'!$J7,0,5*(COLUMN()-8)))/OFFSET('VVP1'!$J$17,0,5*(COLUMN()-8))*100,(T7-S7)/S$125*100)</f>
        <v>2.4497388450059732</v>
      </c>
      <c r="U134" s="1062">
        <f ca="1">IF(UPPER('VVP1'!$F$2)="Y",(OFFSET('VVP1'!$M7,0,5*(COLUMN()-8))-OFFSET('VVP1'!$J7,0,5*(COLUMN()-8)))/OFFSET('VVP1'!$J$17,0,5*(COLUMN()-8))*100,(U7-T7)/T$125*100)</f>
        <v>-11.283150792692734</v>
      </c>
      <c r="V134" s="1062">
        <f ca="1">IF(UPPER('VVP1'!$F$2)="Y",(OFFSET('VVP1'!$M7,0,5*(COLUMN()-8))-OFFSET('VVP1'!$J7,0,5*(COLUMN()-8)))/OFFSET('VVP1'!$J$17,0,5*(COLUMN()-8))*100,(V7-U7)/U$125*100)</f>
        <v>-2.2833464738686966</v>
      </c>
      <c r="W134" s="1062">
        <f ca="1">IF(UPPER('VVP1'!$F$2)="Y",(OFFSET('VVP1'!$M7,0,5*(COLUMN()-8))-OFFSET('VVP1'!$J7,0,5*(COLUMN()-8)))/OFFSET('VVP1'!$J$17,0,5*(COLUMN()-8))*100,(W7-V7)/V$125*100)</f>
        <v>2.9444841274654974</v>
      </c>
      <c r="X134" s="1062">
        <f ca="1">IF(UPPER('VVP1'!$F$2)="Y",(OFFSET('VVP1'!$M7,0,5*(COLUMN()-8))-OFFSET('VVP1'!$J7,0,5*(COLUMN()-8)))/OFFSET('VVP1'!$J$17,0,5*(COLUMN()-8))*100,(X7-W7)/W$125*100)</f>
        <v>1.933767657054497</v>
      </c>
      <c r="Y134" s="1062">
        <f ca="1">IF(UPPER('VVP1'!$F$2)="Y",(OFFSET('VVP1'!$M7,0,5*(COLUMN()-8))-OFFSET('VVP1'!$J7,0,5*(COLUMN()-8)))/OFFSET('VVP1'!$J$17,0,5*(COLUMN()-8))*100,(Y7-X7)/X$125*100)</f>
        <v>2.6864840775891077</v>
      </c>
      <c r="Z134" s="1062">
        <f ca="1">IF(UPPER('VVP1'!$F$2)="Y",(OFFSET('VVP1'!$M7,0,5*(COLUMN()-8))-OFFSET('VVP1'!$J7,0,5*(COLUMN()-8)))/OFFSET('VVP1'!$J$17,0,5*(COLUMN()-8))*100,(Z7-Y7)/Y$125*100)</f>
        <v>2.4827050966901307</v>
      </c>
      <c r="AA134" s="1062">
        <f ca="1">IF(UPPER('VVP1'!$F$2)="Y",(OFFSET('VVP1'!$M7,0,5*(COLUMN()-8))-OFFSET('VVP1'!$J7,0,5*(COLUMN()-8)))/OFFSET('VVP1'!$J$17,0,5*(COLUMN()-8))*100,(AA7-Z7)/Z$125*100)</f>
        <v>2.4767860084189945</v>
      </c>
      <c r="AB134" s="1062">
        <f ca="1">IF(UPPER('VVP1'!$F$2)="Y",(OFFSET('VVP1'!$M7,0,5*(COLUMN()-8))-OFFSET('VVP1'!$J7,0,5*(COLUMN()-8)))/OFFSET('VVP1'!$J$17,0,5*(COLUMN()-8))*100,(AB7-AA7)/AA$125*100)</f>
        <v>3.0954229674522304</v>
      </c>
      <c r="AC134" s="1062">
        <f ca="1">IF(UPPER('VVP1'!$F$2)="Y",(OFFSET('VVP1'!$M7,0,5*(COLUMN()-8))-OFFSET('VVP1'!$J7,0,5*(COLUMN()-8)))/OFFSET('VVP1'!$J$17,0,5*(COLUMN()-8))*100,(AC7-AB7)/AB$125*100)</f>
        <v>2.5018577937003226</v>
      </c>
      <c r="AD134" s="1062">
        <f ca="1">IF(UPPER('VVP1'!$F$2)="Y",(OFFSET('VVP1'!$M7,0,5*(COLUMN()-8))-OFFSET('VVP1'!$J7,0,5*(COLUMN()-8)))/OFFSET('VVP1'!$J$17,0,5*(COLUMN()-8))*100,(AD7-AC7)/AC$125*100)</f>
        <v>2.2451477866547527</v>
      </c>
      <c r="AE134" s="1062">
        <f ca="1">IF(UPPER('VVP1'!$F$2)="Y",(OFFSET('VVP1'!$M7,0,5*(COLUMN()-8))-OFFSET('VVP1'!$J7,0,5*(COLUMN()-8)))/OFFSET('VVP1'!$J$17,0,5*(COLUMN()-8))*100,(AE7-AD7)/AD$125*100)</f>
        <v>2.1242564265053807</v>
      </c>
    </row>
    <row r="135" spans="1:94">
      <c r="A135" s="664"/>
      <c r="C135" s="1480"/>
      <c r="D135" s="1070" t="s">
        <v>687</v>
      </c>
      <c r="E135" s="1" t="s">
        <v>821</v>
      </c>
      <c r="F135" s="1481" t="s">
        <v>533</v>
      </c>
      <c r="G135" s="542"/>
      <c r="H135" s="542">
        <f ca="1">IF(UPPER('VVP1'!$F$2)="Y",(OFFSET('VVP1'!$M8,0,5*(COLUMN()-8))-OFFSET('VVP1'!$J8,0,5*(COLUMN()-8)))/OFFSET('VVP1'!$J$17,0,5*(COLUMN()-8))*100,(H13-G13)/G$125*100)</f>
        <v>-0.16842919596012002</v>
      </c>
      <c r="I135" s="542">
        <f ca="1">IF(UPPER('VVP1'!$F$2)="Y",(OFFSET('VVP1'!$M8,0,5*(COLUMN()-8))-OFFSET('VVP1'!$J8,0,5*(COLUMN()-8)))/OFFSET('VVP1'!$J$17,0,5*(COLUMN()-8))*100,(I13-H13)/H$125*100)</f>
        <v>0.82236385226781072</v>
      </c>
      <c r="J135" s="542">
        <f ca="1">IF(UPPER('VVP1'!$F$2)="Y",(OFFSET('VVP1'!$M8,0,5*(COLUMN()-8))-OFFSET('VVP1'!$J8,0,5*(COLUMN()-8)))/OFFSET('VVP1'!$J$17,0,5*(COLUMN()-8))*100,(J13-I13)/I$125*100)</f>
        <v>1.2115884201591725</v>
      </c>
      <c r="K135" s="542">
        <f ca="1">IF(UPPER('VVP1'!$F$2)="Y",(OFFSET('VVP1'!$M8,0,5*(COLUMN()-8))-OFFSET('VVP1'!$J8,0,5*(COLUMN()-8)))/OFFSET('VVP1'!$J$17,0,5*(COLUMN()-8))*100,(K13-J13)/J$125*100)</f>
        <v>-1.1439785619274152</v>
      </c>
      <c r="L135" s="542">
        <f ca="1">IF(UPPER('VVP1'!$F$2)="Y",(OFFSET('VVP1'!$M8,0,5*(COLUMN()-8))-OFFSET('VVP1'!$J8,0,5*(COLUMN()-8)))/OFFSET('VVP1'!$J$17,0,5*(COLUMN()-8))*100,(L13-K13)/K$125*100)</f>
        <v>5.2878627128147664E-2</v>
      </c>
      <c r="M135" s="542">
        <f ca="1">IF(UPPER('VVP1'!$F$2)="Y",(OFFSET('VVP1'!$M8,0,5*(COLUMN()-8))-OFFSET('VVP1'!$J8,0,5*(COLUMN()-8)))/OFFSET('VVP1'!$J$17,0,5*(COLUMN()-8))*100,(M13-L13)/L$125*100)</f>
        <v>0.30483105174849651</v>
      </c>
      <c r="N135" s="542">
        <f ca="1">IF(UPPER('VVP1'!$F$2)="Y",(OFFSET('VVP1'!$M8,0,5*(COLUMN()-8))-OFFSET('VVP1'!$J8,0,5*(COLUMN()-8)))/OFFSET('VVP1'!$J$17,0,5*(COLUMN()-8))*100,(N13-M13)/M$125*100)</f>
        <v>0.52004037183473018</v>
      </c>
      <c r="O135" s="542">
        <f ca="1">IF(UPPER('VVP1'!$F$2)="Y",(OFFSET('VVP1'!$M8,0,5*(COLUMN()-8))-OFFSET('VVP1'!$J8,0,5*(COLUMN()-8)))/OFFSET('VVP1'!$J$17,0,5*(COLUMN()-8))*100,(O13-N13)/N$125*100)</f>
        <v>0.60023052235130747</v>
      </c>
      <c r="P135" s="542">
        <f ca="1">IF(UPPER('VVP1'!$F$2)="Y",(OFFSET('VVP1'!$M8,0,5*(COLUMN()-8))-OFFSET('VVP1'!$J8,0,5*(COLUMN()-8)))/OFFSET('VVP1'!$J$17,0,5*(COLUMN()-8))*100,(P13-O13)/O$125*100)</f>
        <v>0.89823047290342184</v>
      </c>
      <c r="Q135" s="542">
        <f ca="1">IF(UPPER('VVP1'!$F$2)="Y",(OFFSET('VVP1'!$M8,0,5*(COLUMN()-8))-OFFSET('VVP1'!$J8,0,5*(COLUMN()-8)))/OFFSET('VVP1'!$J$17,0,5*(COLUMN()-8))*100,(Q13-P13)/P$125*100)</f>
        <v>0.6818237495417484</v>
      </c>
      <c r="R135" s="542">
        <f ca="1">IF(UPPER('VVP1'!$F$2)="Y",(OFFSET('VVP1'!$M8,0,5*(COLUMN()-8))-OFFSET('VVP1'!$J8,0,5*(COLUMN()-8)))/OFFSET('VVP1'!$J$17,0,5*(COLUMN()-8))*100,(R13-Q13)/Q$125*100)</f>
        <v>0.38928997908668406</v>
      </c>
      <c r="S135" s="542">
        <f ca="1">IF(UPPER('VVP1'!$F$2)="Y",(OFFSET('VVP1'!$M8,0,5*(COLUMN()-8))-OFFSET('VVP1'!$J8,0,5*(COLUMN()-8)))/OFFSET('VVP1'!$J$17,0,5*(COLUMN()-8))*100,(S13-R13)/R$125*100)</f>
        <v>0.35396552846964913</v>
      </c>
      <c r="T135" s="542">
        <f ca="1">IF(UPPER('VVP1'!$F$2)="Y",(OFFSET('VVP1'!$M8,0,5*(COLUMN()-8))-OFFSET('VVP1'!$J8,0,5*(COLUMN()-8)))/OFFSET('VVP1'!$J$17,0,5*(COLUMN()-8))*100,(T13-S13)/S$125*100)</f>
        <v>4.1156318784191064E-2</v>
      </c>
      <c r="U135" s="542">
        <f ca="1">IF(UPPER('VVP1'!$F$2)="Y",(OFFSET('VVP1'!$M8,0,5*(COLUMN()-8))-OFFSET('VVP1'!$J8,0,5*(COLUMN()-8)))/OFFSET('VVP1'!$J$17,0,5*(COLUMN()-8))*100,(U13-T13)/T$125*100)</f>
        <v>-0.24525974115047039</v>
      </c>
      <c r="V135" s="542">
        <f ca="1">IF(UPPER('VVP1'!$F$2)="Y",(OFFSET('VVP1'!$M8,0,5*(COLUMN()-8))-OFFSET('VVP1'!$J8,0,5*(COLUMN()-8)))/OFFSET('VVP1'!$J$17,0,5*(COLUMN()-8))*100,(V13-U13)/U$125*100)</f>
        <v>-0.67137603921916222</v>
      </c>
      <c r="W135" s="542">
        <f ca="1">IF(UPPER('VVP1'!$F$2)="Y",(OFFSET('VVP1'!$M8,0,5*(COLUMN()-8))-OFFSET('VVP1'!$J8,0,5*(COLUMN()-8)))/OFFSET('VVP1'!$J$17,0,5*(COLUMN()-8))*100,(W13-V13)/V$125*100)</f>
        <v>-7.0644499041307512E-2</v>
      </c>
      <c r="X135" s="542">
        <f ca="1">IF(UPPER('VVP1'!$F$2)="Y",(OFFSET('VVP1'!$M8,0,5*(COLUMN()-8))-OFFSET('VVP1'!$J8,0,5*(COLUMN()-8)))/OFFSET('VVP1'!$J$17,0,5*(COLUMN()-8))*100,(X13-W13)/W$125*100)</f>
        <v>0.23577722985146193</v>
      </c>
      <c r="Y135" s="542">
        <f ca="1">IF(UPPER('VVP1'!$F$2)="Y",(OFFSET('VVP1'!$M8,0,5*(COLUMN()-8))-OFFSET('VVP1'!$J8,0,5*(COLUMN()-8)))/OFFSET('VVP1'!$J$17,0,5*(COLUMN()-8))*100,(Y13-X13)/X$125*100)</f>
        <v>0.12636261192536491</v>
      </c>
      <c r="Z135" s="542">
        <f ca="1">IF(UPPER('VVP1'!$F$2)="Y",(OFFSET('VVP1'!$M8,0,5*(COLUMN()-8))-OFFSET('VVP1'!$J8,0,5*(COLUMN()-8)))/OFFSET('VVP1'!$J$17,0,5*(COLUMN()-8))*100,(Z13-Y13)/Y$125*100)</f>
        <v>4.7974411398629797E-2</v>
      </c>
      <c r="AA135" s="542">
        <f ca="1">IF(UPPER('VVP1'!$F$2)="Y",(OFFSET('VVP1'!$M8,0,5*(COLUMN()-8))-OFFSET('VVP1'!$J8,0,5*(COLUMN()-8)))/OFFSET('VVP1'!$J$17,0,5*(COLUMN()-8))*100,(AA13-Z13)/Z$125*100)</f>
        <v>2.7291541722860111E-2</v>
      </c>
      <c r="AB135" s="542">
        <f ca="1">IF(UPPER('VVP1'!$F$2)="Y",(OFFSET('VVP1'!$M8,0,5*(COLUMN()-8))-OFFSET('VVP1'!$J8,0,5*(COLUMN()-8)))/OFFSET('VVP1'!$J$17,0,5*(COLUMN()-8))*100,(AB13-AA13)/AA$125*100)</f>
        <v>0.22199260963135678</v>
      </c>
      <c r="AC135" s="542">
        <f ca="1">IF(UPPER('VVP1'!$F$2)="Y",(OFFSET('VVP1'!$M8,0,5*(COLUMN()-8))-OFFSET('VVP1'!$J8,0,5*(COLUMN()-8)))/OFFSET('VVP1'!$J$17,0,5*(COLUMN()-8))*100,(AC13-AB13)/AB$125*100)</f>
        <v>0.19891552353062456</v>
      </c>
      <c r="AD135" s="542">
        <f ca="1">IF(UPPER('VVP1'!$F$2)="Y",(OFFSET('VVP1'!$M8,0,5*(COLUMN()-8))-OFFSET('VVP1'!$J8,0,5*(COLUMN()-8)))/OFFSET('VVP1'!$J$17,0,5*(COLUMN()-8))*100,(AD13-AC13)/AC$125*100)</f>
        <v>0.27116591314917959</v>
      </c>
      <c r="AE135" s="542">
        <f ca="1">IF(UPPER('VVP1'!$F$2)="Y",(OFFSET('VVP1'!$M8,0,5*(COLUMN()-8))-OFFSET('VVP1'!$J8,0,5*(COLUMN()-8)))/OFFSET('VVP1'!$J$17,0,5*(COLUMN()-8))*100,(AE13-AD13)/AD$125*100)</f>
        <v>0.25420713640065562</v>
      </c>
    </row>
    <row r="136" spans="1:94">
      <c r="A136" s="664"/>
      <c r="C136" s="1480"/>
      <c r="D136" s="1964"/>
      <c r="E136" s="113" t="s">
        <v>376</v>
      </c>
      <c r="F136" s="1513" t="s">
        <v>850</v>
      </c>
      <c r="G136" s="1523"/>
      <c r="H136" s="1523">
        <f ca="1">IF(UPPER('VVP1'!$F$2)="Y",(OFFSET('VVP1'!$M9,0,5*(COLUMN()-8))-OFFSET('VVP1'!$J9,0,5*(COLUMN()-8)))/OFFSET('VVP1'!$J$17,0,5*(COLUMN()-8))*100,(H29-G29)/G$125*100)</f>
        <v>4.2872241666257933</v>
      </c>
      <c r="I136" s="1523">
        <f ca="1">IF(UPPER('VVP1'!$F$2)="Y",(OFFSET('VVP1'!$M9,0,5*(COLUMN()-8))-OFFSET('VVP1'!$J9,0,5*(COLUMN()-8)))/OFFSET('VVP1'!$J$17,0,5*(COLUMN()-8))*100,(I29-H29)/H$125*100)</f>
        <v>5.2551720431819753</v>
      </c>
      <c r="J136" s="1523">
        <f ca="1">IF(UPPER('VVP1'!$F$2)="Y",(OFFSET('VVP1'!$M9,0,5*(COLUMN()-8))-OFFSET('VVP1'!$J9,0,5*(COLUMN()-8)))/OFFSET('VVP1'!$J$17,0,5*(COLUMN()-8))*100,(J29-I29)/I$125*100)</f>
        <v>4.7200698362673137</v>
      </c>
      <c r="K136" s="1523">
        <f ca="1">IF(UPPER('VVP1'!$F$2)="Y",(OFFSET('VVP1'!$M9,0,5*(COLUMN()-8))-OFFSET('VVP1'!$J9,0,5*(COLUMN()-8)))/OFFSET('VVP1'!$J$17,0,5*(COLUMN()-8))*100,(K29-J29)/J$125*100)</f>
        <v>-1.4196800100178606</v>
      </c>
      <c r="L136" s="1523">
        <f ca="1">IF(UPPER('VVP1'!$F$2)="Y",(OFFSET('VVP1'!$M9,0,5*(COLUMN()-8))-OFFSET('VVP1'!$J9,0,5*(COLUMN()-8)))/OFFSET('VVP1'!$J$17,0,5*(COLUMN()-8))*100,(L29-K29)/K$125*100)</f>
        <v>-1.8380545733749503</v>
      </c>
      <c r="M136" s="1523">
        <f ca="1">IF(UPPER('VVP1'!$F$2)="Y",(OFFSET('VVP1'!$M9,0,5*(COLUMN()-8))-OFFSET('VVP1'!$J9,0,5*(COLUMN()-8)))/OFFSET('VVP1'!$J$17,0,5*(COLUMN()-8))*100,(M29-L29)/L$125*100)</f>
        <v>2.5218276833724187</v>
      </c>
      <c r="N136" s="1523">
        <f ca="1">IF(UPPER('VVP1'!$F$2)="Y",(OFFSET('VVP1'!$M9,0,5*(COLUMN()-8))-OFFSET('VVP1'!$J9,0,5*(COLUMN()-8)))/OFFSET('VVP1'!$J$17,0,5*(COLUMN()-8))*100,(N29-M29)/M$125*100)</f>
        <v>2.1933218669616785</v>
      </c>
      <c r="O136" s="1523">
        <f ca="1">IF(UPPER('VVP1'!$F$2)="Y",(OFFSET('VVP1'!$M9,0,5*(COLUMN()-8))-OFFSET('VVP1'!$J9,0,5*(COLUMN()-8)))/OFFSET('VVP1'!$J$17,0,5*(COLUMN()-8))*100,(O29-N29)/N$125*100)</f>
        <v>2.792197287663555</v>
      </c>
      <c r="P136" s="1523">
        <f ca="1">IF(UPPER('VVP1'!$F$2)="Y",(OFFSET('VVP1'!$M9,0,5*(COLUMN()-8))-OFFSET('VVP1'!$J9,0,5*(COLUMN()-8)))/OFFSET('VVP1'!$J$17,0,5*(COLUMN()-8))*100,(P29-O29)/O$125*100)</f>
        <v>3.3867328271737018</v>
      </c>
      <c r="Q136" s="1523">
        <f ca="1">IF(UPPER('VVP1'!$F$2)="Y",(OFFSET('VVP1'!$M9,0,5*(COLUMN()-8))-OFFSET('VVP1'!$J9,0,5*(COLUMN()-8)))/OFFSET('VVP1'!$J$17,0,5*(COLUMN()-8))*100,(Q29-P29)/P$125*100)</f>
        <v>2.6268277692547608</v>
      </c>
      <c r="R136" s="1523">
        <f ca="1">IF(UPPER('VVP1'!$F$2)="Y",(OFFSET('VVP1'!$M9,0,5*(COLUMN()-8))-OFFSET('VVP1'!$J9,0,5*(COLUMN()-8)))/OFFSET('VVP1'!$J$17,0,5*(COLUMN()-8))*100,(R29-Q29)/Q$125*100)</f>
        <v>4.5819066711864522</v>
      </c>
      <c r="S136" s="1523">
        <f ca="1">IF(UPPER('VVP1'!$F$2)="Y",(OFFSET('VVP1'!$M9,0,5*(COLUMN()-8))-OFFSET('VVP1'!$J9,0,5*(COLUMN()-8)))/OFFSET('VVP1'!$J$17,0,5*(COLUMN()-8))*100,(S29-R29)/R$125*100)</f>
        <v>5.7905291914903483</v>
      </c>
      <c r="T136" s="1523">
        <f ca="1">IF(UPPER('VVP1'!$F$2)="Y",(OFFSET('VVP1'!$M9,0,5*(COLUMN()-8))-OFFSET('VVP1'!$J9,0,5*(COLUMN()-8)))/OFFSET('VVP1'!$J$17,0,5*(COLUMN()-8))*100,(T29-S29)/S$125*100)</f>
        <v>-1.1419921186788604</v>
      </c>
      <c r="U136" s="1523">
        <f ca="1">IF(UPPER('VVP1'!$F$2)="Y",(OFFSET('VVP1'!$M9,0,5*(COLUMN()-8))-OFFSET('VVP1'!$J9,0,5*(COLUMN()-8)))/OFFSET('VVP1'!$J$17,0,5*(COLUMN()-8))*100,(U29-T29)/T$125*100)</f>
        <v>-10.129306133876364</v>
      </c>
      <c r="V136" s="1523">
        <f ca="1">IF(UPPER('VVP1'!$F$2)="Y",(OFFSET('VVP1'!$M9,0,5*(COLUMN()-8))-OFFSET('VVP1'!$J9,0,5*(COLUMN()-8)))/OFFSET('VVP1'!$J$17,0,5*(COLUMN()-8))*100,(V29-U29)/U$125*100)</f>
        <v>0.26351222899382509</v>
      </c>
      <c r="W136" s="1523">
        <f ca="1">IF(UPPER('VVP1'!$F$2)="Y",(OFFSET('VVP1'!$M9,0,5*(COLUMN()-8))-OFFSET('VVP1'!$J9,0,5*(COLUMN()-8)))/OFFSET('VVP1'!$J$17,0,5*(COLUMN()-8))*100,(W29-V29)/V$125*100)</f>
        <v>3.397322502128254</v>
      </c>
      <c r="X136" s="1523">
        <f ca="1">IF(UPPER('VVP1'!$F$2)="Y",(OFFSET('VVP1'!$M9,0,5*(COLUMN()-8))-OFFSET('VVP1'!$J9,0,5*(COLUMN()-8)))/OFFSET('VVP1'!$J$17,0,5*(COLUMN()-8))*100,(X29-W29)/W$125*100)</f>
        <v>-0.32870928527605825</v>
      </c>
      <c r="Y136" s="1523">
        <f ca="1">IF(UPPER('VVP1'!$F$2)="Y",(OFFSET('VVP1'!$M9,0,5*(COLUMN()-8))-OFFSET('VVP1'!$J9,0,5*(COLUMN()-8)))/OFFSET('VVP1'!$J$17,0,5*(COLUMN()-8))*100,(Y29-X29)/X$125*100)</f>
        <v>1.4404922785751533</v>
      </c>
      <c r="Z136" s="1523">
        <f ca="1">IF(UPPER('VVP1'!$F$2)="Y",(OFFSET('VVP1'!$M9,0,5*(COLUMN()-8))-OFFSET('VVP1'!$J9,0,5*(COLUMN()-8)))/OFFSET('VVP1'!$J$17,0,5*(COLUMN()-8))*100,(Z29-Y29)/Y$125*100)</f>
        <v>1.0620226431963415</v>
      </c>
      <c r="AA136" s="1523">
        <f ca="1">IF(UPPER('VVP1'!$F$2)="Y",(OFFSET('VVP1'!$M9,0,5*(COLUMN()-8))-OFFSET('VVP1'!$J9,0,5*(COLUMN()-8)))/OFFSET('VVP1'!$J$17,0,5*(COLUMN()-8))*100,(AA29-Z29)/Z$125*100)</f>
        <v>0.91142762758598306</v>
      </c>
      <c r="AB136" s="1523">
        <f ca="1">IF(UPPER('VVP1'!$F$2)="Y",(OFFSET('VVP1'!$M9,0,5*(COLUMN()-8))-OFFSET('VVP1'!$J9,0,5*(COLUMN()-8)))/OFFSET('VVP1'!$J$17,0,5*(COLUMN()-8))*100,(AB29-AA29)/AA$125*100)</f>
        <v>-9.215898451947481E-2</v>
      </c>
      <c r="AC136" s="1523">
        <f ca="1">IF(UPPER('VVP1'!$F$2)="Y",(OFFSET('VVP1'!$M9,0,5*(COLUMN()-8))-OFFSET('VVP1'!$J9,0,5*(COLUMN()-8)))/OFFSET('VVP1'!$J$17,0,5*(COLUMN()-8))*100,(AC29-AB29)/AB$125*100)</f>
        <v>1.3815246451376217</v>
      </c>
      <c r="AD136" s="1523">
        <f ca="1">IF(UPPER('VVP1'!$F$2)="Y",(OFFSET('VVP1'!$M9,0,5*(COLUMN()-8))-OFFSET('VVP1'!$J9,0,5*(COLUMN()-8)))/OFFSET('VVP1'!$J$17,0,5*(COLUMN()-8))*100,(AD29-AC29)/AC$125*100)</f>
        <v>1.2744205439365495</v>
      </c>
      <c r="AE136" s="1523">
        <f ca="1">IF(UPPER('VVP1'!$F$2)="Y",(OFFSET('VVP1'!$M9,0,5*(COLUMN()-8))-OFFSET('VVP1'!$J9,0,5*(COLUMN()-8)))/OFFSET('VVP1'!$J$17,0,5*(COLUMN()-8))*100,(AE29-AD29)/AD$125*100)</f>
        <v>0.81064573940295304</v>
      </c>
    </row>
    <row r="137" spans="1:94">
      <c r="A137" s="664"/>
      <c r="C137" s="1480"/>
      <c r="D137" s="1445"/>
      <c r="E137" s="50" t="s">
        <v>1343</v>
      </c>
      <c r="F137" s="30"/>
      <c r="G137" s="1524"/>
      <c r="H137" s="1524">
        <f ca="1">IF(UPPER('VVP1'!$F$2)="Y",(OFFSET('VVP1'!$M10,0,5*(COLUMN()-8))-OFFSET('VVP1'!$J10,0,5*(COLUMN()-8)))/OFFSET('VVP1'!$J$17,0,5*(COLUMN()-8))*100,(H54-G54)/G$125*100)</f>
        <v>8.2082122738956862</v>
      </c>
      <c r="I137" s="1524">
        <f ca="1">IF(UPPER('VVP1'!$F$2)="Y",(OFFSET('VVP1'!$M10,0,5*(COLUMN()-8))-OFFSET('VVP1'!$J10,0,5*(COLUMN()-8)))/OFFSET('VVP1'!$J$17,0,5*(COLUMN()-8))*100,(I54-H54)/H$125*100)</f>
        <v>9.6614173967330697</v>
      </c>
      <c r="J137" s="1524">
        <f ca="1">IF(UPPER('VVP1'!$F$2)="Y",(OFFSET('VVP1'!$M10,0,5*(COLUMN()-8))-OFFSET('VVP1'!$J10,0,5*(COLUMN()-8)))/OFFSET('VVP1'!$J$17,0,5*(COLUMN()-8))*100,(J54-I54)/I$125*100)</f>
        <v>8.8418488932368344</v>
      </c>
      <c r="K137" s="1524">
        <f ca="1">IF(UPPER('VVP1'!$F$2)="Y",(OFFSET('VVP1'!$M10,0,5*(COLUMN()-8))-OFFSET('VVP1'!$J10,0,5*(COLUMN()-8)))/OFFSET('VVP1'!$J$17,0,5*(COLUMN()-8))*100,(K54-J54)/J$125*100)</f>
        <v>0.46850370126390778</v>
      </c>
      <c r="L137" s="1524">
        <f ca="1">IF(UPPER('VVP1'!$F$2)="Y",(OFFSET('VVP1'!$M10,0,5*(COLUMN()-8))-OFFSET('VVP1'!$J10,0,5*(COLUMN()-8)))/OFFSET('VVP1'!$J$17,0,5*(COLUMN()-8))*100,(L54-K54)/K$125*100)</f>
        <v>2.7539559515606666</v>
      </c>
      <c r="M137" s="1524">
        <f ca="1">IF(UPPER('VVP1'!$F$2)="Y",(OFFSET('VVP1'!$M10,0,5*(COLUMN()-8))-OFFSET('VVP1'!$J10,0,5*(COLUMN()-8)))/OFFSET('VVP1'!$J$17,0,5*(COLUMN()-8))*100,(M54-L54)/L$125*100)</f>
        <v>5.5315036186964663</v>
      </c>
      <c r="N137" s="1524">
        <f ca="1">IF(UPPER('VVP1'!$F$2)="Y",(OFFSET('VVP1'!$M10,0,5*(COLUMN()-8))-OFFSET('VVP1'!$J10,0,5*(COLUMN()-8)))/OFFSET('VVP1'!$J$17,0,5*(COLUMN()-8))*100,(N54-M54)/M$125*100)</f>
        <v>6.7222534544508479</v>
      </c>
      <c r="O137" s="1524">
        <f ca="1">IF(UPPER('VVP1'!$F$2)="Y",(OFFSET('VVP1'!$M10,0,5*(COLUMN()-8))-OFFSET('VVP1'!$J10,0,5*(COLUMN()-8)))/OFFSET('VVP1'!$J$17,0,5*(COLUMN()-8))*100,(O54-N54)/N$125*100)</f>
        <v>10.598615593574646</v>
      </c>
      <c r="P137" s="1524">
        <f ca="1">IF(UPPER('VVP1'!$F$2)="Y",(OFFSET('VVP1'!$M10,0,5*(COLUMN()-8))-OFFSET('VVP1'!$J10,0,5*(COLUMN()-8)))/OFFSET('VVP1'!$J$17,0,5*(COLUMN()-8))*100,(P54-O54)/O$125*100)</f>
        <v>11.815953751702724</v>
      </c>
      <c r="Q137" s="1524">
        <f ca="1">IF(UPPER('VVP1'!$F$2)="Y",(OFFSET('VVP1'!$M10,0,5*(COLUMN()-8))-OFFSET('VVP1'!$J10,0,5*(COLUMN()-8)))/OFFSET('VVP1'!$J$17,0,5*(COLUMN()-8))*100,(Q54-P54)/P$125*100)</f>
        <v>10.873331834827438</v>
      </c>
      <c r="R137" s="1524">
        <f ca="1">IF(UPPER('VVP1'!$F$2)="Y",(OFFSET('VVP1'!$M10,0,5*(COLUMN()-8))-OFFSET('VVP1'!$J10,0,5*(COLUMN()-8)))/OFFSET('VVP1'!$J$17,0,5*(COLUMN()-8))*100,(R54-Q54)/Q$125*100)</f>
        <v>10.855331795203485</v>
      </c>
      <c r="S137" s="1524">
        <f ca="1">IF(UPPER('VVP1'!$F$2)="Y",(OFFSET('VVP1'!$M10,0,5*(COLUMN()-8))-OFFSET('VVP1'!$J10,0,5*(COLUMN()-8)))/OFFSET('VVP1'!$J$17,0,5*(COLUMN()-8))*100,(S54-R54)/R$125*100)</f>
        <v>14.143255074798653</v>
      </c>
      <c r="T137" s="1524">
        <f ca="1">IF(UPPER('VVP1'!$F$2)="Y",(OFFSET('VVP1'!$M10,0,5*(COLUMN()-8))-OFFSET('VVP1'!$J10,0,5*(COLUMN()-8)))/OFFSET('VVP1'!$J$17,0,5*(COLUMN()-8))*100,(T54-S54)/S$125*100)</f>
        <v>1.3489071897737965</v>
      </c>
      <c r="U137" s="1524">
        <f ca="1">IF(UPPER('VVP1'!$F$2)="Y",(OFFSET('VVP1'!$M10,0,5*(COLUMN()-8))-OFFSET('VVP1'!$J10,0,5*(COLUMN()-8)))/OFFSET('VVP1'!$J$17,0,5*(COLUMN()-8))*100,(U54-T54)/T$125*100)</f>
        <v>-21.657703268888838</v>
      </c>
      <c r="V137" s="1524">
        <f ca="1">IF(UPPER('VVP1'!$F$2)="Y",(OFFSET('VVP1'!$M10,0,5*(COLUMN()-8))-OFFSET('VVP1'!$J10,0,5*(COLUMN()-8)))/OFFSET('VVP1'!$J$17,0,5*(COLUMN()-8))*100,(V54-U54)/U$125*100)</f>
        <v>-2.6912535037183738</v>
      </c>
      <c r="W137" s="1524">
        <f ca="1">IF(UPPER('VVP1'!$F$2)="Y",(OFFSET('VVP1'!$M10,0,5*(COLUMN()-8))-OFFSET('VVP1'!$J10,0,5*(COLUMN()-8)))/OFFSET('VVP1'!$J$17,0,5*(COLUMN()-8))*100,(W54-V54)/V$125*100)</f>
        <v>6.2711621305524528</v>
      </c>
      <c r="X137" s="1524">
        <f ca="1">IF(UPPER('VVP1'!$F$2)="Y",(OFFSET('VVP1'!$M10,0,5*(COLUMN()-8))-OFFSET('VVP1'!$J10,0,5*(COLUMN()-8)))/OFFSET('VVP1'!$J$17,0,5*(COLUMN()-8))*100,(X54-W54)/W$125*100)</f>
        <v>1.8408210848806765</v>
      </c>
      <c r="Y137" s="1524">
        <f ca="1">IF(UPPER('VVP1'!$F$2)="Y",(OFFSET('VVP1'!$M10,0,5*(COLUMN()-8))-OFFSET('VVP1'!$J10,0,5*(COLUMN()-8)))/OFFSET('VVP1'!$J$17,0,5*(COLUMN()-8))*100,(Y54-X54)/X$125*100)</f>
        <v>4.2533449966865806</v>
      </c>
      <c r="Z137" s="1524">
        <f ca="1">IF(UPPER('VVP1'!$F$2)="Y",(OFFSET('VVP1'!$M10,0,5*(COLUMN()-8))-OFFSET('VVP1'!$J10,0,5*(COLUMN()-8)))/OFFSET('VVP1'!$J$17,0,5*(COLUMN()-8))*100,(Z54-Y54)/Y$125*100)</f>
        <v>3.5927336671966179</v>
      </c>
      <c r="AA137" s="1524">
        <f ca="1">IF(UPPER('VVP1'!$F$2)="Y",(OFFSET('VVP1'!$M10,0,5*(COLUMN()-8))-OFFSET('VVP1'!$J10,0,5*(COLUMN()-8)))/OFFSET('VVP1'!$J$17,0,5*(COLUMN()-8))*100,(AA54-Z54)/Z$125*100)</f>
        <v>3.4154852666704851</v>
      </c>
      <c r="AB137" s="1524">
        <f ca="1">IF(UPPER('VVP1'!$F$2)="Y",(OFFSET('VVP1'!$M10,0,5*(COLUMN()-8))-OFFSET('VVP1'!$J10,0,5*(COLUMN()-8)))/OFFSET('VVP1'!$J$17,0,5*(COLUMN()-8))*100,(AB54-AA54)/AA$125*100)</f>
        <v>3.2252509996547198</v>
      </c>
      <c r="AC137" s="1524">
        <f ca="1">IF(UPPER('VVP1'!$F$2)="Y",(OFFSET('VVP1'!$M10,0,5*(COLUMN()-8))-OFFSET('VVP1'!$J10,0,5*(COLUMN()-8)))/OFFSET('VVP1'!$J$17,0,5*(COLUMN()-8))*100,(AC54-AB54)/AB$125*100)</f>
        <v>4.0822979623685622</v>
      </c>
      <c r="AD137" s="1524">
        <f ca="1">IF(UPPER('VVP1'!$F$2)="Y",(OFFSET('VVP1'!$M10,0,5*(COLUMN()-8))-OFFSET('VVP1'!$J10,0,5*(COLUMN()-8)))/OFFSET('VVP1'!$J$17,0,5*(COLUMN()-8))*100,(AD54-AC54)/AC$125*100)</f>
        <v>3.7907342437404736</v>
      </c>
      <c r="AE137" s="1524">
        <f ca="1">IF(UPPER('VVP1'!$F$2)="Y",(OFFSET('VVP1'!$M10,0,5*(COLUMN()-8))-OFFSET('VVP1'!$J10,0,5*(COLUMN()-8)))/OFFSET('VVP1'!$J$17,0,5*(COLUMN()-8))*100,(AE54-AD54)/AD$125*100)</f>
        <v>3.1891093023089798</v>
      </c>
    </row>
    <row r="138" spans="1:94">
      <c r="A138" s="664"/>
      <c r="C138" s="1480"/>
      <c r="D138" s="1964"/>
      <c r="E138" s="113" t="s">
        <v>1272</v>
      </c>
      <c r="F138" s="1482" t="s">
        <v>1992</v>
      </c>
      <c r="G138" s="1523"/>
      <c r="H138" s="1523">
        <f ca="1">IF(UPPER('VVP1'!$F$2)="Y",(OFFSET('VVP1'!$M11,0,5*(COLUMN()-8))-OFFSET('VVP1'!$J11,0,5*(COLUMN()-8)))/OFFSET('VVP1'!$J$17,0,5*(COLUMN()-8))*100,(H64-G64)/G$125*100)</f>
        <v>1.4513428074752475</v>
      </c>
      <c r="I138" s="1523">
        <f ca="1">IF(UPPER('VVP1'!$F$2)="Y",(OFFSET('VVP1'!$M11,0,5*(COLUMN()-8))-OFFSET('VVP1'!$J11,0,5*(COLUMN()-8)))/OFFSET('VVP1'!$J$17,0,5*(COLUMN()-8))*100,(I64-H64)/H$125*100)</f>
        <v>3.8518325888653013</v>
      </c>
      <c r="J138" s="1523">
        <f ca="1">IF(UPPER('VVP1'!$F$2)="Y",(OFFSET('VVP1'!$M11,0,5*(COLUMN()-8))-OFFSET('VVP1'!$J11,0,5*(COLUMN()-8)))/OFFSET('VVP1'!$J$17,0,5*(COLUMN()-8))*100,(J64-I64)/I$125*100)</f>
        <v>0.1636449464963908</v>
      </c>
      <c r="K138" s="1523">
        <f ca="1">IF(UPPER('VVP1'!$F$2)="Y",(OFFSET('VVP1'!$M11,0,5*(COLUMN()-8))-OFFSET('VVP1'!$J11,0,5*(COLUMN()-8)))/OFFSET('VVP1'!$J$17,0,5*(COLUMN()-8))*100,(K64-J64)/J$125*100)</f>
        <v>-1.0800950873552702</v>
      </c>
      <c r="L138" s="1523">
        <f ca="1">IF(UPPER('VVP1'!$F$2)="Y",(OFFSET('VVP1'!$M11,0,5*(COLUMN()-8))-OFFSET('VVP1'!$J11,0,5*(COLUMN()-8)))/OFFSET('VVP1'!$J$17,0,5*(COLUMN()-8))*100,(L64-K64)/K$125*100)</f>
        <v>-0.40554328888543595</v>
      </c>
      <c r="M138" s="1523">
        <f ca="1">IF(UPPER('VVP1'!$F$2)="Y",(OFFSET('VVP1'!$M11,0,5*(COLUMN()-8))-OFFSET('VVP1'!$J11,0,5*(COLUMN()-8)))/OFFSET('VVP1'!$J$17,0,5*(COLUMN()-8))*100,(M64-L64)/L$125*100)</f>
        <v>0.6501102377115151</v>
      </c>
      <c r="N138" s="1523">
        <f ca="1">IF(UPPER('VVP1'!$F$2)="Y",(OFFSET('VVP1'!$M11,0,5*(COLUMN()-8))-OFFSET('VVP1'!$J11,0,5*(COLUMN()-8)))/OFFSET('VVP1'!$J$17,0,5*(COLUMN()-8))*100,(N64-M64)/M$125*100)</f>
        <v>1.1252035507024927</v>
      </c>
      <c r="O138" s="1523">
        <f ca="1">IF(UPPER('VVP1'!$F$2)="Y",(OFFSET('VVP1'!$M11,0,5*(COLUMN()-8))-OFFSET('VVP1'!$J11,0,5*(COLUMN()-8)))/OFFSET('VVP1'!$J$17,0,5*(COLUMN()-8))*100,(O64-N64)/N$125*100)</f>
        <v>0.40458840247042593</v>
      </c>
      <c r="P138" s="1523">
        <f ca="1">IF(UPPER('VVP1'!$F$2)="Y",(OFFSET('VVP1'!$M11,0,5*(COLUMN()-8))-OFFSET('VVP1'!$J11,0,5*(COLUMN()-8)))/OFFSET('VVP1'!$J$17,0,5*(COLUMN()-8))*100,(P64-O64)/O$125*100)</f>
        <v>2.1964233559087751</v>
      </c>
      <c r="Q138" s="1523">
        <f ca="1">IF(UPPER('VVP1'!$F$2)="Y",(OFFSET('VVP1'!$M11,0,5*(COLUMN()-8))-OFFSET('VVP1'!$J11,0,5*(COLUMN()-8)))/OFFSET('VVP1'!$J$17,0,5*(COLUMN()-8))*100,(Q64-P64)/P$125*100)</f>
        <v>-1.8091709559490972</v>
      </c>
      <c r="R138" s="1523">
        <f ca="1">IF(UPPER('VVP1'!$F$2)="Y",(OFFSET('VVP1'!$M11,0,5*(COLUMN()-8))-OFFSET('VVP1'!$J11,0,5*(COLUMN()-8)))/OFFSET('VVP1'!$J$17,0,5*(COLUMN()-8))*100,(R64-Q64)/Q$125*100)</f>
        <v>-1.548513963512715</v>
      </c>
      <c r="S138" s="1523">
        <f ca="1">IF(UPPER('VVP1'!$F$2)="Y",(OFFSET('VVP1'!$M11,0,5*(COLUMN()-8))-OFFSET('VVP1'!$J11,0,5*(COLUMN()-8)))/OFFSET('VVP1'!$J$17,0,5*(COLUMN()-8))*100,(S64-R64)/R$125*100)</f>
        <v>2.2992180093849104</v>
      </c>
      <c r="T138" s="1523">
        <f ca="1">IF(UPPER('VVP1'!$F$2)="Y",(OFFSET('VVP1'!$M11,0,5*(COLUMN()-8))-OFFSET('VVP1'!$J11,0,5*(COLUMN()-8)))/OFFSET('VVP1'!$J$17,0,5*(COLUMN()-8))*100,(T64-S64)/S$125*100)</f>
        <v>2.2142051004570154</v>
      </c>
      <c r="U138" s="1523">
        <f ca="1">IF(UPPER('VVP1'!$F$2)="Y",(OFFSET('VVP1'!$M11,0,5*(COLUMN()-8))-OFFSET('VVP1'!$J11,0,5*(COLUMN()-8)))/OFFSET('VVP1'!$J$17,0,5*(COLUMN()-8))*100,(U64-T64)/T$125*100)</f>
        <v>-5.085878670088305</v>
      </c>
      <c r="V138" s="1523">
        <f ca="1">IF(UPPER('VVP1'!$F$2)="Y",(OFFSET('VVP1'!$M11,0,5*(COLUMN()-8))-OFFSET('VVP1'!$J11,0,5*(COLUMN()-8)))/OFFSET('VVP1'!$J$17,0,5*(COLUMN()-8))*100,(V64-U64)/U$125*100)</f>
        <v>4.5041049338341725</v>
      </c>
      <c r="W138" s="1523">
        <f ca="1">IF(UPPER('VVP1'!$F$2)="Y",(OFFSET('VVP1'!$M11,0,5*(COLUMN()-8))-OFFSET('VVP1'!$J11,0,5*(COLUMN()-8)))/OFFSET('VVP1'!$J$17,0,5*(COLUMN()-8))*100,(W64-V64)/V$125*100)</f>
        <v>-0.20604645553711376</v>
      </c>
      <c r="X138" s="1523">
        <f ca="1">IF(UPPER('VVP1'!$F$2)="Y",(OFFSET('VVP1'!$M11,0,5*(COLUMN()-8))-OFFSET('VVP1'!$J11,0,5*(COLUMN()-8)))/OFFSET('VVP1'!$J$17,0,5*(COLUMN()-8))*100,(X64-W64)/W$125*100)</f>
        <v>-2.151835588016207</v>
      </c>
      <c r="Y138" s="1523">
        <f ca="1">IF(UPPER('VVP1'!$F$2)="Y",(OFFSET('VVP1'!$M11,0,5*(COLUMN()-8))-OFFSET('VVP1'!$J11,0,5*(COLUMN()-8)))/OFFSET('VVP1'!$J$17,0,5*(COLUMN()-8))*100,(Y64-X64)/X$125*100)</f>
        <v>-1.442923607568708</v>
      </c>
      <c r="Z138" s="1523">
        <f ca="1">IF(UPPER('VVP1'!$F$2)="Y",(OFFSET('VVP1'!$M11,0,5*(COLUMN()-8))-OFFSET('VVP1'!$J11,0,5*(COLUMN()-8)))/OFFSET('VVP1'!$J$17,0,5*(COLUMN()-8))*100,(Z64-Y64)/Y$125*100)</f>
        <v>-0.23872302156008876</v>
      </c>
      <c r="AA138" s="1523">
        <f ca="1">IF(UPPER('VVP1'!$F$2)="Y",(OFFSET('VVP1'!$M11,0,5*(COLUMN()-8))-OFFSET('VVP1'!$J11,0,5*(COLUMN()-8)))/OFFSET('VVP1'!$J$17,0,5*(COLUMN()-8))*100,(AA64-Z64)/Z$125*100)</f>
        <v>3.8132633497471562</v>
      </c>
      <c r="AB138" s="1523">
        <f ca="1">IF(UPPER('VVP1'!$F$2)="Y",(OFFSET('VVP1'!$M11,0,5*(COLUMN()-8))-OFFSET('VVP1'!$J11,0,5*(COLUMN()-8)))/OFFSET('VVP1'!$J$17,0,5*(COLUMN()-8))*100,(AB64-AA64)/AA$125*100)</f>
        <v>-0.80797158913461642</v>
      </c>
      <c r="AC138" s="1523">
        <f ca="1">IF(UPPER('VVP1'!$F$2)="Y",(OFFSET('VVP1'!$M11,0,5*(COLUMN()-8))-OFFSET('VVP1'!$J11,0,5*(COLUMN()-8)))/OFFSET('VVP1'!$J$17,0,5*(COLUMN()-8))*100,(AC64-AB64)/AB$125*100)</f>
        <v>0</v>
      </c>
      <c r="AD138" s="1523">
        <f ca="1">IF(UPPER('VVP1'!$F$2)="Y",(OFFSET('VVP1'!$M11,0,5*(COLUMN()-8))-OFFSET('VVP1'!$J11,0,5*(COLUMN()-8)))/OFFSET('VVP1'!$J$17,0,5*(COLUMN()-8))*100,(AD64-AC64)/AC$125*100)</f>
        <v>0</v>
      </c>
      <c r="AE138" s="1523">
        <f ca="1">IF(UPPER('VVP1'!$F$2)="Y",(OFFSET('VVP1'!$M11,0,5*(COLUMN()-8))-OFFSET('VVP1'!$J11,0,5*(COLUMN()-8)))/OFFSET('VVP1'!$J$17,0,5*(COLUMN()-8))*100,(AE64-AD64)/AD$125*100)</f>
        <v>0</v>
      </c>
    </row>
    <row r="139" spans="1:94">
      <c r="A139" s="664"/>
      <c r="C139" s="1480"/>
      <c r="D139" s="1445"/>
      <c r="E139" s="50" t="s">
        <v>1071</v>
      </c>
      <c r="F139" s="1483"/>
      <c r="G139" s="1524"/>
      <c r="H139" s="1524">
        <f ca="1">IF(UPPER('VVP1'!$F$2)="Y",(OFFSET('VVP1'!$M12,0,5*(COLUMN()-8))-OFFSET('VVP1'!$J12,0,5*(COLUMN()-8)))/OFFSET('VVP1'!$J$17,0,5*(COLUMN()-8))*100,(H72-G72)/G$125*100)</f>
        <v>9.6595550813709377</v>
      </c>
      <c r="I139" s="1524">
        <f ca="1">IF(UPPER('VVP1'!$F$2)="Y",(OFFSET('VVP1'!$M12,0,5*(COLUMN()-8))-OFFSET('VVP1'!$J12,0,5*(COLUMN()-8)))/OFFSET('VVP1'!$J$17,0,5*(COLUMN()-8))*100,(I72-H72)/H$125*100)</f>
        <v>13.513249985598369</v>
      </c>
      <c r="J139" s="1524">
        <f ca="1">IF(UPPER('VVP1'!$F$2)="Y",(OFFSET('VVP1'!$M12,0,5*(COLUMN()-8))-OFFSET('VVP1'!$J12,0,5*(COLUMN()-8)))/OFFSET('VVP1'!$J$17,0,5*(COLUMN()-8))*100,(J72-I72)/I$125*100)</f>
        <v>9.00549383973323</v>
      </c>
      <c r="K139" s="1524">
        <f ca="1">IF(UPPER('VVP1'!$F$2)="Y",(OFFSET('VVP1'!$M12,0,5*(COLUMN()-8))-OFFSET('VVP1'!$J12,0,5*(COLUMN()-8)))/OFFSET('VVP1'!$J$17,0,5*(COLUMN()-8))*100,(K72-J72)/J$125*100)</f>
        <v>-0.61159138609136254</v>
      </c>
      <c r="L139" s="1524">
        <f ca="1">IF(UPPER('VVP1'!$F$2)="Y",(OFFSET('VVP1'!$M12,0,5*(COLUMN()-8))-OFFSET('VVP1'!$J12,0,5*(COLUMN()-8)))/OFFSET('VVP1'!$J$17,0,5*(COLUMN()-8))*100,(L72-K72)/K$125*100)</f>
        <v>2.3484126626752246</v>
      </c>
      <c r="M139" s="1524">
        <f ca="1">IF(UPPER('VVP1'!$F$2)="Y",(OFFSET('VVP1'!$M12,0,5*(COLUMN()-8))-OFFSET('VVP1'!$J12,0,5*(COLUMN()-8)))/OFFSET('VVP1'!$J$17,0,5*(COLUMN()-8))*100,(M72-L72)/L$125*100)</f>
        <v>6.1816138564079841</v>
      </c>
      <c r="N139" s="1524">
        <f ca="1">IF(UPPER('VVP1'!$F$2)="Y",(OFFSET('VVP1'!$M12,0,5*(COLUMN()-8))-OFFSET('VVP1'!$J12,0,5*(COLUMN()-8)))/OFFSET('VVP1'!$J$17,0,5*(COLUMN()-8))*100,(N72-M72)/M$125*100)</f>
        <v>7.8474570051533421</v>
      </c>
      <c r="O139" s="1524">
        <f ca="1">IF(UPPER('VVP1'!$F$2)="Y",(OFFSET('VVP1'!$M12,0,5*(COLUMN()-8))-OFFSET('VVP1'!$J12,0,5*(COLUMN()-8)))/OFFSET('VVP1'!$J$17,0,5*(COLUMN()-8))*100,(O72-N72)/N$125*100)</f>
        <v>11.003203996045062</v>
      </c>
      <c r="P139" s="1524">
        <f ca="1">IF(UPPER('VVP1'!$F$2)="Y",(OFFSET('VVP1'!$M12,0,5*(COLUMN()-8))-OFFSET('VVP1'!$J12,0,5*(COLUMN()-8)))/OFFSET('VVP1'!$J$17,0,5*(COLUMN()-8))*100,(P72-O72)/O$125*100)</f>
        <v>14.012377107611499</v>
      </c>
      <c r="Q139" s="1524">
        <f ca="1">IF(UPPER('VVP1'!$F$2)="Y",(OFFSET('VVP1'!$M12,0,5*(COLUMN()-8))-OFFSET('VVP1'!$J12,0,5*(COLUMN()-8)))/OFFSET('VVP1'!$J$17,0,5*(COLUMN()-8))*100,(Q72-P72)/P$125*100)</f>
        <v>9.0641608788783419</v>
      </c>
      <c r="R139" s="1524">
        <f ca="1">IF(UPPER('VVP1'!$F$2)="Y",(OFFSET('VVP1'!$M12,0,5*(COLUMN()-8))-OFFSET('VVP1'!$J12,0,5*(COLUMN()-8)))/OFFSET('VVP1'!$J$17,0,5*(COLUMN()-8))*100,(R72-Q72)/Q$125*100)</f>
        <v>9.3068178316907648</v>
      </c>
      <c r="S139" s="1524">
        <f ca="1">IF(UPPER('VVP1'!$F$2)="Y",(OFFSET('VVP1'!$M12,0,5*(COLUMN()-8))-OFFSET('VVP1'!$J12,0,5*(COLUMN()-8)))/OFFSET('VVP1'!$J$17,0,5*(COLUMN()-8))*100,(S72-R72)/R$125*100)</f>
        <v>16.442473084183558</v>
      </c>
      <c r="T139" s="1524">
        <f ca="1">IF(UPPER('VVP1'!$F$2)="Y",(OFFSET('VVP1'!$M12,0,5*(COLUMN()-8))-OFFSET('VVP1'!$J12,0,5*(COLUMN()-8)))/OFFSET('VVP1'!$J$17,0,5*(COLUMN()-8))*100,(T72-S72)/S$125*100)</f>
        <v>3.5631122902308099</v>
      </c>
      <c r="U139" s="1524">
        <f ca="1">IF(UPPER('VVP1'!$F$2)="Y",(OFFSET('VVP1'!$M12,0,5*(COLUMN()-8))-OFFSET('VVP1'!$J12,0,5*(COLUMN()-8)))/OFFSET('VVP1'!$J$17,0,5*(COLUMN()-8))*100,(U72-T72)/T$125*100)</f>
        <v>-26.743581938977144</v>
      </c>
      <c r="V139" s="1524">
        <f ca="1">IF(UPPER('VVP1'!$F$2)="Y",(OFFSET('VVP1'!$M12,0,5*(COLUMN()-8))-OFFSET('VVP1'!$J12,0,5*(COLUMN()-8)))/OFFSET('VVP1'!$J$17,0,5*(COLUMN()-8))*100,(V72-U72)/U$125*100)</f>
        <v>1.8128514301158054</v>
      </c>
      <c r="W139" s="1524">
        <f ca="1">IF(UPPER('VVP1'!$F$2)="Y",(OFFSET('VVP1'!$M12,0,5*(COLUMN()-8))-OFFSET('VVP1'!$J12,0,5*(COLUMN()-8)))/OFFSET('VVP1'!$J$17,0,5*(COLUMN()-8))*100,(W72-V72)/V$125*100)</f>
        <v>6.065115675015333</v>
      </c>
      <c r="X139" s="1524">
        <f ca="1">IF(UPPER('VVP1'!$F$2)="Y",(OFFSET('VVP1'!$M12,0,5*(COLUMN()-8))-OFFSET('VVP1'!$J12,0,5*(COLUMN()-8)))/OFFSET('VVP1'!$J$17,0,5*(COLUMN()-8))*100,(X72-W72)/W$125*100)</f>
        <v>-0.31101450313552992</v>
      </c>
      <c r="Y139" s="1524">
        <f ca="1">IF(UPPER('VVP1'!$F$2)="Y",(OFFSET('VVP1'!$M12,0,5*(COLUMN()-8))-OFFSET('VVP1'!$J12,0,5*(COLUMN()-8)))/OFFSET('VVP1'!$J$17,0,5*(COLUMN()-8))*100,(Y72-X72)/X$125*100)</f>
        <v>2.8104213891178689</v>
      </c>
      <c r="Z139" s="1524">
        <f ca="1">IF(UPPER('VVP1'!$F$2)="Y",(OFFSET('VVP1'!$M12,0,5*(COLUMN()-8))-OFFSET('VVP1'!$J12,0,5*(COLUMN()-8)))/OFFSET('VVP1'!$J$17,0,5*(COLUMN()-8))*100,(Z72-Y72)/Y$125*100)</f>
        <v>3.3540106456365328</v>
      </c>
      <c r="AA139" s="1524">
        <f ca="1">IF(UPPER('VVP1'!$F$2)="Y",(OFFSET('VVP1'!$M12,0,5*(COLUMN()-8))-OFFSET('VVP1'!$J12,0,5*(COLUMN()-8)))/OFFSET('VVP1'!$J$17,0,5*(COLUMN()-8))*100,(AA72-Z72)/Z$125*100)</f>
        <v>7.2287486164176418</v>
      </c>
      <c r="AB139" s="1524">
        <f ca="1">IF(UPPER('VVP1'!$F$2)="Y",(OFFSET('VVP1'!$M12,0,5*(COLUMN()-8))-OFFSET('VVP1'!$J12,0,5*(COLUMN()-8)))/OFFSET('VVP1'!$J$17,0,5*(COLUMN()-8))*100,(AB72-AA72)/AA$125*100)</f>
        <v>2.4172794105201034</v>
      </c>
      <c r="AC139" s="1524">
        <f ca="1">IF(UPPER('VVP1'!$F$2)="Y",(OFFSET('VVP1'!$M12,0,5*(COLUMN()-8))-OFFSET('VVP1'!$J12,0,5*(COLUMN()-8)))/OFFSET('VVP1'!$J$17,0,5*(COLUMN()-8))*100,(AC72-AB72)/AB$125*100)</f>
        <v>4.0822979623685622</v>
      </c>
      <c r="AD139" s="1524">
        <f ca="1">IF(UPPER('VVP1'!$F$2)="Y",(OFFSET('VVP1'!$M12,0,5*(COLUMN()-8))-OFFSET('VVP1'!$J12,0,5*(COLUMN()-8)))/OFFSET('VVP1'!$J$17,0,5*(COLUMN()-8))*100,(AD72-AC72)/AC$125*100)</f>
        <v>3.7907342437404736</v>
      </c>
      <c r="AE139" s="1524">
        <f ca="1">IF(UPPER('VVP1'!$F$2)="Y",(OFFSET('VVP1'!$M12,0,5*(COLUMN()-8))-OFFSET('VVP1'!$J12,0,5*(COLUMN()-8)))/OFFSET('VVP1'!$J$17,0,5*(COLUMN()-8))*100,(AE72-AD72)/AD$125*100)</f>
        <v>3.1891093023089798</v>
      </c>
    </row>
    <row r="140" spans="1:94">
      <c r="A140" s="664"/>
      <c r="C140" s="1480"/>
      <c r="D140" s="1964"/>
      <c r="E140" s="113" t="s">
        <v>1358</v>
      </c>
      <c r="F140" s="1482" t="s">
        <v>1590</v>
      </c>
      <c r="G140" s="1523"/>
      <c r="H140" s="1523">
        <f ca="1">IF(UPPER('VVP1'!$F$2)="Y",(OFFSET('VVP1'!$M13,0,5*(COLUMN()-8))-OFFSET('VVP1'!$J13,0,5*(COLUMN()-8)))/OFFSET('VVP1'!$J$17,0,5*(COLUMN()-8))*100,(H83-G83)/G$125*100)</f>
        <v>7.0740050122288913</v>
      </c>
      <c r="I140" s="1523">
        <f ca="1">IF(UPPER('VVP1'!$F$2)="Y",(OFFSET('VVP1'!$M13,0,5*(COLUMN()-8))-OFFSET('VVP1'!$J13,0,5*(COLUMN()-8)))/OFFSET('VVP1'!$J$17,0,5*(COLUMN()-8))*100,(I83-H83)/H$125*100)</f>
        <v>7.9008800445720686</v>
      </c>
      <c r="J140" s="1523">
        <f ca="1">IF(UPPER('VVP1'!$F$2)="Y",(OFFSET('VVP1'!$M13,0,5*(COLUMN()-8))-OFFSET('VVP1'!$J13,0,5*(COLUMN()-8)))/OFFSET('VVP1'!$J$17,0,5*(COLUMN()-8))*100,(J83-I83)/I$125*100)</f>
        <v>2.0950956730633008</v>
      </c>
      <c r="K140" s="1523">
        <f ca="1">IF(UPPER('VVP1'!$F$2)="Y",(OFFSET('VVP1'!$M13,0,5*(COLUMN()-8))-OFFSET('VVP1'!$J13,0,5*(COLUMN()-8)))/OFFSET('VVP1'!$J$17,0,5*(COLUMN()-8))*100,(K83-J83)/J$125*100)</f>
        <v>-6.405529332212347</v>
      </c>
      <c r="L140" s="1523">
        <f ca="1">IF(UPPER('VVP1'!$F$2)="Y",(OFFSET('VVP1'!$M13,0,5*(COLUMN()-8))-OFFSET('VVP1'!$J13,0,5*(COLUMN()-8)))/OFFSET('VVP1'!$J$17,0,5*(COLUMN()-8))*100,(L83-K83)/K$125*100)</f>
        <v>3.0979085524568646</v>
      </c>
      <c r="M140" s="1523">
        <f ca="1">IF(UPPER('VVP1'!$F$2)="Y",(OFFSET('VVP1'!$M13,0,5*(COLUMN()-8))-OFFSET('VVP1'!$J13,0,5*(COLUMN()-8)))/OFFSET('VVP1'!$J$17,0,5*(COLUMN()-8))*100,(M83-L83)/L$125*100)</f>
        <v>8.1751961752125588</v>
      </c>
      <c r="N140" s="1523">
        <f ca="1">IF(UPPER('VVP1'!$F$2)="Y",(OFFSET('VVP1'!$M13,0,5*(COLUMN()-8))-OFFSET('VVP1'!$J13,0,5*(COLUMN()-8)))/OFFSET('VVP1'!$J$17,0,5*(COLUMN()-8))*100,(N83-M83)/M$125*100)</f>
        <v>8.1967936344199241</v>
      </c>
      <c r="O140" s="1523">
        <f ca="1">IF(UPPER('VVP1'!$F$2)="Y",(OFFSET('VVP1'!$M13,0,5*(COLUMN()-8))-OFFSET('VVP1'!$J13,0,5*(COLUMN()-8)))/OFFSET('VVP1'!$J$17,0,5*(COLUMN()-8))*100,(O83-N83)/N$125*100)</f>
        <v>3.9891433187894481</v>
      </c>
      <c r="P140" s="1523">
        <f ca="1">IF(UPPER('VVP1'!$F$2)="Y",(OFFSET('VVP1'!$M13,0,5*(COLUMN()-8))-OFFSET('VVP1'!$J13,0,5*(COLUMN()-8)))/OFFSET('VVP1'!$J$17,0,5*(COLUMN()-8))*100,(P83-O83)/O$125*100)</f>
        <v>1.8440397055448778</v>
      </c>
      <c r="Q140" s="1523">
        <f ca="1">IF(UPPER('VVP1'!$F$2)="Y",(OFFSET('VVP1'!$M13,0,5*(COLUMN()-8))-OFFSET('VVP1'!$J13,0,5*(COLUMN()-8)))/OFFSET('VVP1'!$J$17,0,5*(COLUMN()-8))*100,(Q83-P83)/P$125*100)</f>
        <v>9.7251625266620305</v>
      </c>
      <c r="R140" s="1523">
        <f ca="1">IF(UPPER('VVP1'!$F$2)="Y",(OFFSET('VVP1'!$M13,0,5*(COLUMN()-8))-OFFSET('VVP1'!$J13,0,5*(COLUMN()-8)))/OFFSET('VVP1'!$J$17,0,5*(COLUMN()-8))*100,(R83-Q83)/Q$125*100)</f>
        <v>6.8080939203460993</v>
      </c>
      <c r="S140" s="1523">
        <f ca="1">IF(UPPER('VVP1'!$F$2)="Y",(OFFSET('VVP1'!$M13,0,5*(COLUMN()-8))-OFFSET('VVP1'!$J13,0,5*(COLUMN()-8)))/OFFSET('VVP1'!$J$17,0,5*(COLUMN()-8))*100,(S83-R83)/R$125*100)</f>
        <v>1.7657561732833282</v>
      </c>
      <c r="T140" s="1523">
        <f ca="1">IF(UPPER('VVP1'!$F$2)="Y",(OFFSET('VVP1'!$M13,0,5*(COLUMN()-8))-OFFSET('VVP1'!$J13,0,5*(COLUMN()-8)))/OFFSET('VVP1'!$J$17,0,5*(COLUMN()-8))*100,(T83-S83)/S$125*100)</f>
        <v>6.8019729796976094</v>
      </c>
      <c r="U140" s="1523">
        <f ca="1">IF(UPPER('VVP1'!$F$2)="Y",(OFFSET('VVP1'!$M13,0,5*(COLUMN()-8))-OFFSET('VVP1'!$J13,0,5*(COLUMN()-8)))/OFFSET('VVP1'!$J$17,0,5*(COLUMN()-8))*100,(U83-T83)/T$125*100)</f>
        <v>-7.3072945840545671</v>
      </c>
      <c r="V140" s="1523">
        <f ca="1">IF(UPPER('VVP1'!$F$2)="Y",(OFFSET('VVP1'!$M13,0,5*(COLUMN()-8))-OFFSET('VVP1'!$J13,0,5*(COLUMN()-8)))/OFFSET('VVP1'!$J$17,0,5*(COLUMN()-8))*100,(V83-U83)/U$125*100)</f>
        <v>9.8384424148154626</v>
      </c>
      <c r="W140" s="1523">
        <f ca="1">IF(UPPER('VVP1'!$F$2)="Y",(OFFSET('VVP1'!$M13,0,5*(COLUMN()-8))-OFFSET('VVP1'!$J13,0,5*(COLUMN()-8)))/OFFSET('VVP1'!$J$17,0,5*(COLUMN()-8))*100,(W83-V83)/V$125*100)</f>
        <v>10.065556667948734</v>
      </c>
      <c r="X140" s="1523">
        <f ca="1">IF(UPPER('VVP1'!$F$2)="Y",(OFFSET('VVP1'!$M13,0,5*(COLUMN()-8))-OFFSET('VVP1'!$J13,0,5*(COLUMN()-8)))/OFFSET('VVP1'!$J$17,0,5*(COLUMN()-8))*100,(X83-W83)/W$125*100)</f>
        <v>9.2908686390268578</v>
      </c>
      <c r="Y140" s="1523">
        <f ca="1">IF(UPPER('VVP1'!$F$2)="Y",(OFFSET('VVP1'!$M13,0,5*(COLUMN()-8))-OFFSET('VVP1'!$J13,0,5*(COLUMN()-8)))/OFFSET('VVP1'!$J$17,0,5*(COLUMN()-8))*100,(Y83-X83)/X$125*100)</f>
        <v>8.0478667976111193</v>
      </c>
      <c r="Z140" s="1523">
        <f ca="1">IF(UPPER('VVP1'!$F$2)="Y",(OFFSET('VVP1'!$M13,0,5*(COLUMN()-8))-OFFSET('VVP1'!$J13,0,5*(COLUMN()-8)))/OFFSET('VVP1'!$J$17,0,5*(COLUMN()-8))*100,(Z83-Y83)/Y$125*100)</f>
        <v>2.7477761417920439</v>
      </c>
      <c r="AA140" s="1523">
        <f ca="1">IF(UPPER('VVP1'!$F$2)="Y",(OFFSET('VVP1'!$M13,0,5*(COLUMN()-8))-OFFSET('VVP1'!$J13,0,5*(COLUMN()-8)))/OFFSET('VVP1'!$J$17,0,5*(COLUMN()-8))*100,(AA83-Z83)/Z$125*100)</f>
        <v>-0.2940053464686429</v>
      </c>
      <c r="AB140" s="1523">
        <f ca="1">IF(UPPER('VVP1'!$F$2)="Y",(OFFSET('VVP1'!$M13,0,5*(COLUMN()-8))-OFFSET('VVP1'!$J13,0,5*(COLUMN()-8)))/OFFSET('VVP1'!$J$17,0,5*(COLUMN()-8))*100,(AB83-AA83)/AA$125*100)</f>
        <v>2.6198777283123023</v>
      </c>
      <c r="AC140" s="1523">
        <f ca="1">IF(UPPER('VVP1'!$F$2)="Y",(OFFSET('VVP1'!$M13,0,5*(COLUMN()-8))-OFFSET('VVP1'!$J13,0,5*(COLUMN()-8)))/OFFSET('VVP1'!$J$17,0,5*(COLUMN()-8))*100,(AC83-AB83)/AB$125*100)</f>
        <v>9.8562401283246217</v>
      </c>
      <c r="AD140" s="1523">
        <f ca="1">IF(UPPER('VVP1'!$F$2)="Y",(OFFSET('VVP1'!$M13,0,5*(COLUMN()-8))-OFFSET('VVP1'!$J13,0,5*(COLUMN()-8)))/OFFSET('VVP1'!$J$17,0,5*(COLUMN()-8))*100,(AD83-AC83)/AC$125*100)</f>
        <v>4.4934914995070203</v>
      </c>
      <c r="AE140" s="1523">
        <f ca="1">IF(UPPER('VVP1'!$F$2)="Y",(OFFSET('VVP1'!$M13,0,5*(COLUMN()-8))-OFFSET('VVP1'!$J13,0,5*(COLUMN()-8)))/OFFSET('VVP1'!$J$17,0,5*(COLUMN()-8))*100,(AE83-AD83)/AD$125*100)</f>
        <v>3.6782595394688311</v>
      </c>
    </row>
    <row r="141" spans="1:94">
      <c r="A141" s="664"/>
      <c r="C141" s="1480"/>
      <c r="D141" s="1445"/>
      <c r="E141" s="50" t="s">
        <v>1359</v>
      </c>
      <c r="F141" s="1483"/>
      <c r="G141" s="1524"/>
      <c r="H141" s="1524">
        <f ca="1">IF(UPPER('VVP1'!$F$2)="Y",(OFFSET('VVP1'!$M14,0,5*(COLUMN()-8))-OFFSET('VVP1'!$J14,0,5*(COLUMN()-8)))/OFFSET('VVP1'!$J$17,0,5*(COLUMN()-8))*100,(H94-G94)/G$125*100)</f>
        <v>17.477208497495941</v>
      </c>
      <c r="I141" s="1524">
        <f ca="1">IF(UPPER('VVP1'!$F$2)="Y",(OFFSET('VVP1'!$M14,0,5*(COLUMN()-8))-OFFSET('VVP1'!$J14,0,5*(COLUMN()-8)))/OFFSET('VVP1'!$J$17,0,5*(COLUMN()-8))*100,(I94-H94)/H$125*100)</f>
        <v>21.777785652617911</v>
      </c>
      <c r="J141" s="1524">
        <f ca="1">IF(UPPER('VVP1'!$F$2)="Y",(OFFSET('VVP1'!$M14,0,5*(COLUMN()-8))-OFFSET('VVP1'!$J14,0,5*(COLUMN()-8)))/OFFSET('VVP1'!$J$17,0,5*(COLUMN()-8))*100,(J94-I94)/I$125*100)</f>
        <v>10.941710459028352</v>
      </c>
      <c r="K141" s="1524">
        <f ca="1">IF(UPPER('VVP1'!$F$2)="Y",(OFFSET('VVP1'!$M14,0,5*(COLUMN()-8))-OFFSET('VVP1'!$J14,0,5*(COLUMN()-8)))/OFFSET('VVP1'!$J$17,0,5*(COLUMN()-8))*100,(K94-J94)/J$125*100)</f>
        <v>-7.6946978712011314</v>
      </c>
      <c r="L141" s="1524">
        <f ca="1">IF(UPPER('VVP1'!$F$2)="Y",(OFFSET('VVP1'!$M14,0,5*(COLUMN()-8))-OFFSET('VVP1'!$J14,0,5*(COLUMN()-8)))/OFFSET('VVP1'!$J$17,0,5*(COLUMN()-8))*100,(L94-K94)/K$125*100)</f>
        <v>5.7888440330256721</v>
      </c>
      <c r="M141" s="1524">
        <f ca="1">IF(UPPER('VVP1'!$F$2)="Y",(OFFSET('VVP1'!$M14,0,5*(COLUMN()-8))-OFFSET('VVP1'!$J14,0,5*(COLUMN()-8)))/OFFSET('VVP1'!$J$17,0,5*(COLUMN()-8))*100,(M94-L94)/L$125*100)</f>
        <v>14.999356900584745</v>
      </c>
      <c r="N141" s="1524">
        <f ca="1">IF(UPPER('VVP1'!$F$2)="Y",(OFFSET('VVP1'!$M14,0,5*(COLUMN()-8))-OFFSET('VVP1'!$J14,0,5*(COLUMN()-8)))/OFFSET('VVP1'!$J$17,0,5*(COLUMN()-8))*100,(N94-M94)/M$125*100)</f>
        <v>16.461301587893256</v>
      </c>
      <c r="O141" s="1524">
        <f ca="1">IF(UPPER('VVP1'!$F$2)="Y",(OFFSET('VVP1'!$M14,0,5*(COLUMN()-8))-OFFSET('VVP1'!$J14,0,5*(COLUMN()-8)))/OFFSET('VVP1'!$J$17,0,5*(COLUMN()-8))*100,(O94-N94)/N$125*100)</f>
        <v>14.924930269515208</v>
      </c>
      <c r="P141" s="1524">
        <f ca="1">IF(UPPER('VVP1'!$F$2)="Y",(OFFSET('VVP1'!$M14,0,5*(COLUMN()-8))-OFFSET('VVP1'!$J14,0,5*(COLUMN()-8)))/OFFSET('VVP1'!$J$17,0,5*(COLUMN()-8))*100,(P94-O94)/O$125*100)</f>
        <v>15.551951464698474</v>
      </c>
      <c r="Q141" s="1524">
        <f ca="1">IF(UPPER('VVP1'!$F$2)="Y",(OFFSET('VVP1'!$M14,0,5*(COLUMN()-8))-OFFSET('VVP1'!$J14,0,5*(COLUMN()-8)))/OFFSET('VVP1'!$J$17,0,5*(COLUMN()-8))*100,(Q94-P94)/P$125*100)</f>
        <v>18.789323417725132</v>
      </c>
      <c r="R141" s="1524">
        <f ca="1">IF(UPPER('VVP1'!$F$2)="Y",(OFFSET('VVP1'!$M14,0,5*(COLUMN()-8))-OFFSET('VVP1'!$J14,0,5*(COLUMN()-8)))/OFFSET('VVP1'!$J$17,0,5*(COLUMN()-8))*100,(R94-Q94)/Q$125*100)</f>
        <v>16.114911129840358</v>
      </c>
      <c r="S141" s="1524">
        <f ca="1">IF(UPPER('VVP1'!$F$2)="Y",(OFFSET('VVP1'!$M14,0,5*(COLUMN()-8))-OFFSET('VVP1'!$J14,0,5*(COLUMN()-8)))/OFFSET('VVP1'!$J$17,0,5*(COLUMN()-8))*100,(S94-R94)/R$125*100)</f>
        <v>18.208229251900768</v>
      </c>
      <c r="T141" s="1524">
        <f ca="1">IF(UPPER('VVP1'!$F$2)="Y",(OFFSET('VVP1'!$M14,0,5*(COLUMN()-8))-OFFSET('VVP1'!$J14,0,5*(COLUMN()-8)))/OFFSET('VVP1'!$J$17,0,5*(COLUMN()-8))*100,(T94-S94)/S$125*100)</f>
        <v>10.365084175401474</v>
      </c>
      <c r="U141" s="1524">
        <f ca="1">IF(UPPER('VVP1'!$F$2)="Y",(OFFSET('VVP1'!$M14,0,5*(COLUMN()-8))-OFFSET('VVP1'!$J14,0,5*(COLUMN()-8)))/OFFSET('VVP1'!$J$17,0,5*(COLUMN()-8))*100,(U94-T94)/T$125*100)</f>
        <v>-34.050877688007922</v>
      </c>
      <c r="V141" s="1524">
        <f ca="1">IF(UPPER('VVP1'!$F$2)="Y",(OFFSET('VVP1'!$M14,0,5*(COLUMN()-8))-OFFSET('VVP1'!$J14,0,5*(COLUMN()-8)))/OFFSET('VVP1'!$J$17,0,5*(COLUMN()-8))*100,(V94-U94)/U$125*100)</f>
        <v>11.651293864411235</v>
      </c>
      <c r="W141" s="1524">
        <f ca="1">IF(UPPER('VVP1'!$F$2)="Y",(OFFSET('VVP1'!$M14,0,5*(COLUMN()-8))-OFFSET('VVP1'!$J14,0,5*(COLUMN()-8)))/OFFSET('VVP1'!$J$17,0,5*(COLUMN()-8))*100,(W94-V94)/V$125*100)</f>
        <v>16.130672342964093</v>
      </c>
      <c r="X141" s="1524">
        <f ca="1">IF(UPPER('VVP1'!$F$2)="Y",(OFFSET('VVP1'!$M14,0,5*(COLUMN()-8))-OFFSET('VVP1'!$J14,0,5*(COLUMN()-8)))/OFFSET('VVP1'!$J$17,0,5*(COLUMN()-8))*100,(X94-W94)/W$125*100)</f>
        <v>8.9798558738639969</v>
      </c>
      <c r="Y141" s="1524">
        <f ca="1">IF(UPPER('VVP1'!$F$2)="Y",(OFFSET('VVP1'!$M14,0,5*(COLUMN()-8))-OFFSET('VVP1'!$J14,0,5*(COLUMN()-8)))/OFFSET('VVP1'!$J$17,0,5*(COLUMN()-8))*100,(Y94-X94)/X$125*100)</f>
        <v>10.858287204672132</v>
      </c>
      <c r="Z141" s="1524">
        <f ca="1">IF(UPPER('VVP1'!$F$2)="Y",(OFFSET('VVP1'!$M14,0,5*(COLUMN()-8))-OFFSET('VVP1'!$J14,0,5*(COLUMN()-8)))/OFFSET('VVP1'!$J$17,0,5*(COLUMN()-8))*100,(Z94-Y94)/Y$125*100)</f>
        <v>6.1017867831977357</v>
      </c>
      <c r="AA141" s="1524">
        <f ca="1">IF(UPPER('VVP1'!$F$2)="Y",(OFFSET('VVP1'!$M14,0,5*(COLUMN()-8))-OFFSET('VVP1'!$J14,0,5*(COLUMN()-8)))/OFFSET('VVP1'!$J$17,0,5*(COLUMN()-8))*100,(AA94-Z94)/Z$125*100)</f>
        <v>6.9347432640511002</v>
      </c>
      <c r="AB141" s="1524">
        <f ca="1">IF(UPPER('VVP1'!$F$2)="Y",(OFFSET('VVP1'!$M14,0,5*(COLUMN()-8))-OFFSET('VVP1'!$J14,0,5*(COLUMN()-8)))/OFFSET('VVP1'!$J$17,0,5*(COLUMN()-8))*100,(AB94-AA94)/AA$125*100)</f>
        <v>5.0371571493366138</v>
      </c>
      <c r="AC141" s="1524">
        <f ca="1">IF(UPPER('VVP1'!$F$2)="Y",(OFFSET('VVP1'!$M14,0,5*(COLUMN()-8))-OFFSET('VVP1'!$J14,0,5*(COLUMN()-8)))/OFFSET('VVP1'!$J$17,0,5*(COLUMN()-8))*100,(AC94-AB94)/AB$125*100)</f>
        <v>13.938538090693168</v>
      </c>
      <c r="AD141" s="1524">
        <f ca="1">IF(UPPER('VVP1'!$F$2)="Y",(OFFSET('VVP1'!$M14,0,5*(COLUMN()-8))-OFFSET('VVP1'!$J14,0,5*(COLUMN()-8)))/OFFSET('VVP1'!$J$17,0,5*(COLUMN()-8))*100,(AD94-AC94)/AC$125*100)</f>
        <v>8.2842257432474931</v>
      </c>
      <c r="AE141" s="1524">
        <f ca="1">IF(UPPER('VVP1'!$F$2)="Y",(OFFSET('VVP1'!$M14,0,5*(COLUMN()-8))-OFFSET('VVP1'!$J14,0,5*(COLUMN()-8)))/OFFSET('VVP1'!$J$17,0,5*(COLUMN()-8))*100,(AE94-AD94)/AD$125*100)</f>
        <v>6.8673688417778429</v>
      </c>
    </row>
    <row r="142" spans="1:94">
      <c r="A142" s="664"/>
      <c r="C142" s="1480"/>
      <c r="D142" s="1070"/>
      <c r="E142" s="1" t="s">
        <v>1455</v>
      </c>
      <c r="F142" s="1481" t="s">
        <v>1591</v>
      </c>
      <c r="G142" s="542"/>
      <c r="H142" s="542">
        <f ca="1">IF(UPPER('VVP1'!$F$2)="Y",-(OFFSET('VVP1'!$M15,0,5*(COLUMN()-8))-OFFSET('VVP1'!$J15,0,5*(COLUMN()-8)))/OFFSET('VVP1'!$J$17,0,5*(COLUMN()-8))*100,-(H105-G105)/G$125*100)</f>
        <v>-11.067001332272703</v>
      </c>
      <c r="I142" s="542">
        <f ca="1">IF(UPPER('VVP1'!$F$2)="Y",-(OFFSET('VVP1'!$M15,0,5*(COLUMN()-8))-OFFSET('VVP1'!$J15,0,5*(COLUMN()-8)))/OFFSET('VVP1'!$J$17,0,5*(COLUMN()-8))*100,-(I105-H105)/H$125*100)</f>
        <v>-12.791211683850175</v>
      </c>
      <c r="J142" s="542">
        <f ca="1">IF(UPPER('VVP1'!$F$2)="Y",-(OFFSET('VVP1'!$M15,0,5*(COLUMN()-8))-OFFSET('VVP1'!$J15,0,5*(COLUMN()-8)))/OFFSET('VVP1'!$J$17,0,5*(COLUMN()-8))*100,-(J105-I105)/I$125*100)</f>
        <v>-3.379725538056638</v>
      </c>
      <c r="K142" s="542">
        <f ca="1">IF(UPPER('VVP1'!$F$2)="Y",-(OFFSET('VVP1'!$M15,0,5*(COLUMN()-8))-OFFSET('VVP1'!$J15,0,5*(COLUMN()-8)))/OFFSET('VVP1'!$J$17,0,5*(COLUMN()-8))*100,-(K105-J105)/J$125*100)</f>
        <v>6.2407298821180817</v>
      </c>
      <c r="L142" s="542">
        <f ca="1">IF(UPPER('VVP1'!$F$2)="Y",-(OFFSET('VVP1'!$M15,0,5*(COLUMN()-8))-OFFSET('VVP1'!$J15,0,5*(COLUMN()-8)))/OFFSET('VVP1'!$J$17,0,5*(COLUMN()-8))*100,-(L105-K105)/K$125*100)</f>
        <v>-2.1097718439312851</v>
      </c>
      <c r="M142" s="542">
        <f ca="1">IF(UPPER('VVP1'!$F$2)="Y",-(OFFSET('VVP1'!$M15,0,5*(COLUMN()-8))-OFFSET('VVP1'!$J15,0,5*(COLUMN()-8)))/OFFSET('VVP1'!$J$17,0,5*(COLUMN()-8))*100,-(M105-L105)/L$125*100)</f>
        <v>-7.8616289377094333</v>
      </c>
      <c r="N142" s="542">
        <f ca="1">IF(UPPER('VVP1'!$F$2)="Y",-(OFFSET('VVP1'!$M15,0,5*(COLUMN()-8))-OFFSET('VVP1'!$J15,0,5*(COLUMN()-8)))/OFFSET('VVP1'!$J$17,0,5*(COLUMN()-8))*100,-(N105-M105)/M$125*100)</f>
        <v>-9.1996527852676824</v>
      </c>
      <c r="O142" s="542">
        <f ca="1">IF(UPPER('VVP1'!$F$2)="Y",-(OFFSET('VVP1'!$M15,0,5*(COLUMN()-8))-OFFSET('VVP1'!$J15,0,5*(COLUMN()-8)))/OFFSET('VVP1'!$J$17,0,5*(COLUMN()-8))*100,-(O105-N105)/N$125*100)</f>
        <v>-4.6954081980754587</v>
      </c>
      <c r="P142" s="542">
        <f ca="1">IF(UPPER('VVP1'!$F$2)="Y",-(OFFSET('VVP1'!$M15,0,5*(COLUMN()-8))-OFFSET('VVP1'!$J15,0,5*(COLUMN()-8)))/OFFSET('VVP1'!$J$17,0,5*(COLUMN()-8))*100,-(P105-O105)/O$125*100)</f>
        <v>-7.8663293706581898</v>
      </c>
      <c r="Q142" s="542">
        <f ca="1">IF(UPPER('VVP1'!$F$2)="Y",-(OFFSET('VVP1'!$M15,0,5*(COLUMN()-8))-OFFSET('VVP1'!$J15,0,5*(COLUMN()-8)))/OFFSET('VVP1'!$J$17,0,5*(COLUMN()-8))*100,-(Q105-P105)/P$125*100)</f>
        <v>-11.06187986413957</v>
      </c>
      <c r="R142" s="542">
        <f ca="1">IF(UPPER('VVP1'!$F$2)="Y",-(OFFSET('VVP1'!$M15,0,5*(COLUMN()-8))-OFFSET('VVP1'!$J15,0,5*(COLUMN()-8)))/OFFSET('VVP1'!$J$17,0,5*(COLUMN()-8))*100,-(R105-Q105)/Q$125*100)</f>
        <v>-8.7084365325391371</v>
      </c>
      <c r="S142" s="542">
        <f ca="1">IF(UPPER('VVP1'!$F$2)="Y",-(OFFSET('VVP1'!$M15,0,5*(COLUMN()-8))-OFFSET('VVP1'!$J15,0,5*(COLUMN()-8)))/OFFSET('VVP1'!$J$17,0,5*(COLUMN()-8))*100,-(S105-R105)/R$125*100)</f>
        <v>-7.1213169888064769</v>
      </c>
      <c r="T142" s="542">
        <f ca="1">IF(UPPER('VVP1'!$F$2)="Y",-(OFFSET('VVP1'!$M15,0,5*(COLUMN()-8))-OFFSET('VVP1'!$J15,0,5*(COLUMN()-8)))/OFFSET('VVP1'!$J$17,0,5*(COLUMN()-8))*100,-(T105-S105)/S$125*100)</f>
        <v>-7.7370220385667992</v>
      </c>
      <c r="U142" s="542">
        <f ca="1">IF(UPPER('VVP1'!$F$2)="Y",-(OFFSET('VVP1'!$M15,0,5*(COLUMN()-8))-OFFSET('VVP1'!$J15,0,5*(COLUMN()-8)))/OFFSET('VVP1'!$J$17,0,5*(COLUMN()-8))*100,-(U105-T105)/T$125*100)</f>
        <v>19.236736322855055</v>
      </c>
      <c r="V142" s="542">
        <f ca="1">IF(UPPER('VVP1'!$F$2)="Y",-(OFFSET('VVP1'!$M15,0,5*(COLUMN()-8))-OFFSET('VVP1'!$J15,0,5*(COLUMN()-8)))/OFFSET('VVP1'!$J$17,0,5*(COLUMN()-8))*100,-(V105-U105)/U$125*100)</f>
        <v>-10.011474823941189</v>
      </c>
      <c r="W142" s="542">
        <f ca="1">IF(UPPER('VVP1'!$F$2)="Y",-(OFFSET('VVP1'!$M15,0,5*(COLUMN()-8))-OFFSET('VVP1'!$J15,0,5*(COLUMN()-8)))/OFFSET('VVP1'!$J$17,0,5*(COLUMN()-8))*100,-(W105-V105)/V$125*100)</f>
        <v>-10.087534956539365</v>
      </c>
      <c r="X142" s="542">
        <f ca="1">IF(UPPER('VVP1'!$F$2)="Y",-(OFFSET('VVP1'!$M15,0,5*(COLUMN()-8))-OFFSET('VVP1'!$J15,0,5*(COLUMN()-8)))/OFFSET('VVP1'!$J$17,0,5*(COLUMN()-8))*100,-(X105-W105)/W$125*100)</f>
        <v>-5.1528922857921584</v>
      </c>
      <c r="Y142" s="542">
        <f ca="1">IF(UPPER('VVP1'!$F$2)="Y",-(OFFSET('VVP1'!$M15,0,5*(COLUMN()-8))-OFFSET('VVP1'!$J15,0,5*(COLUMN()-8)))/OFFSET('VVP1'!$J$17,0,5*(COLUMN()-8))*100,-(Y105-X105)/X$125*100)</f>
        <v>-7.3597256129462965</v>
      </c>
      <c r="Z142" s="542">
        <f ca="1">IF(UPPER('VVP1'!$F$2)="Y",-(OFFSET('VVP1'!$M15,0,5*(COLUMN()-8))-OFFSET('VVP1'!$J15,0,5*(COLUMN()-8)))/OFFSET('VVP1'!$J$17,0,5*(COLUMN()-8))*100,-(Z105-Y105)/Y$125*100)</f>
        <v>-2.5642036582673589</v>
      </c>
      <c r="AA142" s="542">
        <f ca="1">IF(UPPER('VVP1'!$F$2)="Y",-(OFFSET('VVP1'!$M15,0,5*(COLUMN()-8))-OFFSET('VVP1'!$J15,0,5*(COLUMN()-8)))/OFFSET('VVP1'!$J$17,0,5*(COLUMN()-8))*100,-(AA105-Z105)/Z$125*100)</f>
        <v>-4.9001011308314242</v>
      </c>
      <c r="AB142" s="542">
        <f ca="1">IF(UPPER('VVP1'!$F$2)="Y",-(OFFSET('VVP1'!$M15,0,5*(COLUMN()-8))-OFFSET('VVP1'!$J15,0,5*(COLUMN()-8)))/OFFSET('VVP1'!$J$17,0,5*(COLUMN()-8))*100,-(AB105-AA105)/AA$125*100)</f>
        <v>-2.6922874957221463</v>
      </c>
      <c r="AC142" s="542">
        <f ca="1">IF(UPPER('VVP1'!$F$2)="Y",-(OFFSET('VVP1'!$M15,0,5*(COLUMN()-8))-OFFSET('VVP1'!$J15,0,5*(COLUMN()-8)))/OFFSET('VVP1'!$J$17,0,5*(COLUMN()-8))*100,-(AC105-AB105)/AB$125*100)</f>
        <v>-9.3733270570314602</v>
      </c>
      <c r="AD142" s="542">
        <f ca="1">IF(UPPER('VVP1'!$F$2)="Y",-(OFFSET('VVP1'!$M15,0,5*(COLUMN()-8))-OFFSET('VVP1'!$J15,0,5*(COLUMN()-8)))/OFFSET('VVP1'!$J$17,0,5*(COLUMN()-8))*100,-(AD105-AC105)/AC$125*100)</f>
        <v>-5.1636384008310534</v>
      </c>
      <c r="AE142" s="542">
        <f ca="1">IF(UPPER('VVP1'!$F$2)="Y",-(OFFSET('VVP1'!$M15,0,5*(COLUMN()-8))-OFFSET('VVP1'!$J15,0,5*(COLUMN()-8)))/OFFSET('VVP1'!$J$17,0,5*(COLUMN()-8))*100,-(AE105-AD105)/AD$125*100)</f>
        <v>-4.224705296100157</v>
      </c>
    </row>
    <row r="143" spans="1:94">
      <c r="A143" s="664"/>
      <c r="C143" s="1484"/>
      <c r="D143" s="1965"/>
      <c r="E143" s="1485" t="s">
        <v>572</v>
      </c>
      <c r="F143" s="1522" t="s">
        <v>573</v>
      </c>
      <c r="G143" s="1525"/>
      <c r="H143" s="1525">
        <f ca="1">+H140+H142</f>
        <v>-3.9929963200438117</v>
      </c>
      <c r="I143" s="1525">
        <f t="shared" ref="I143:S143" ca="1" si="154">+I140+I142</f>
        <v>-4.8903316392781067</v>
      </c>
      <c r="J143" s="1525">
        <f t="shared" ca="1" si="154"/>
        <v>-1.2846298649933372</v>
      </c>
      <c r="K143" s="1525">
        <f t="shared" ca="1" si="154"/>
        <v>-0.16479945009426533</v>
      </c>
      <c r="L143" s="1525">
        <f t="shared" ca="1" si="154"/>
        <v>0.98813670852557944</v>
      </c>
      <c r="M143" s="1525">
        <f t="shared" ca="1" si="154"/>
        <v>0.31356723750312554</v>
      </c>
      <c r="N143" s="1525">
        <f t="shared" ca="1" si="154"/>
        <v>-1.0028591508477582</v>
      </c>
      <c r="O143" s="1525">
        <f t="shared" ca="1" si="154"/>
        <v>-0.70626487928601067</v>
      </c>
      <c r="P143" s="1525">
        <f t="shared" ca="1" si="154"/>
        <v>-6.0222896651133118</v>
      </c>
      <c r="Q143" s="1525">
        <f t="shared" ca="1" si="154"/>
        <v>-1.3367173374775394</v>
      </c>
      <c r="R143" s="1525">
        <f t="shared" ca="1" si="154"/>
        <v>-1.9003426121930378</v>
      </c>
      <c r="S143" s="1525">
        <f t="shared" ca="1" si="154"/>
        <v>-5.3555608155231482</v>
      </c>
      <c r="T143" s="1525">
        <f t="shared" ref="T143:Y143" ca="1" si="155">+T140+T142</f>
        <v>-0.93504905886918976</v>
      </c>
      <c r="U143" s="1525">
        <f t="shared" ca="1" si="155"/>
        <v>11.929441738800488</v>
      </c>
      <c r="V143" s="1525">
        <f t="shared" ca="1" si="155"/>
        <v>-0.17303240912572626</v>
      </c>
      <c r="W143" s="1525">
        <f t="shared" ca="1" si="155"/>
        <v>-2.1978288590631223E-2</v>
      </c>
      <c r="X143" s="1525">
        <f ca="1">+X140+X142</f>
        <v>4.1379763532346994</v>
      </c>
      <c r="Y143" s="1525">
        <f t="shared" ca="1" si="155"/>
        <v>0.68814118466482288</v>
      </c>
      <c r="Z143" s="1525">
        <f t="shared" ref="Z143:AE143" ca="1" si="156">+Z140+Z142</f>
        <v>0.18357248352468503</v>
      </c>
      <c r="AA143" s="1525">
        <f t="shared" ca="1" si="156"/>
        <v>-5.1941064773000667</v>
      </c>
      <c r="AB143" s="1525">
        <f t="shared" ca="1" si="156"/>
        <v>-7.2409767409844061E-2</v>
      </c>
      <c r="AC143" s="1525">
        <f t="shared" ca="1" si="156"/>
        <v>0.48291307129316152</v>
      </c>
      <c r="AD143" s="1525">
        <f t="shared" ca="1" si="156"/>
        <v>-0.6701469013240331</v>
      </c>
      <c r="AE143" s="1525">
        <f t="shared" ca="1" si="156"/>
        <v>-0.54644575663132589</v>
      </c>
    </row>
    <row r="144" spans="1:94">
      <c r="A144" s="664"/>
      <c r="C144" s="546"/>
      <c r="D144" s="1966"/>
      <c r="E144" s="45" t="s">
        <v>1166</v>
      </c>
      <c r="F144" s="1476" t="s">
        <v>787</v>
      </c>
      <c r="G144" s="1524"/>
      <c r="H144" s="1524">
        <f ca="1">IF(UPPER('VVP1'!$F$2)="Y",(OFFSET('VVP1'!$M17,0,5*(COLUMN()-8))-OFFSET('VVP1'!$J17,0,5*(COLUMN()-8)))/OFFSET('VVP1'!$J$17,0,5*(COLUMN()-8))*100,(H125-G125)/G$125*100)</f>
        <v>5.2391782869028507</v>
      </c>
      <c r="I144" s="1524">
        <f ca="1">IF(UPPER('VVP1'!$F$2)="Y",(OFFSET('VVP1'!$M17,0,5*(COLUMN()-8))-OFFSET('VVP1'!$J17,0,5*(COLUMN()-8)))/OFFSET('VVP1'!$J$17,0,5*(COLUMN()-8))*100,(I125-H125)/H$125*100)</f>
        <v>8.1402408090708889</v>
      </c>
      <c r="J144" s="1524">
        <f ca="1">IF(UPPER('VVP1'!$F$2)="Y",(OFFSET('VVP1'!$M17,0,5*(COLUMN()-8))-OFFSET('VVP1'!$J17,0,5*(COLUMN()-8)))/OFFSET('VVP1'!$J$17,0,5*(COLUMN()-8))*100,(J125-I125)/I$125*100)</f>
        <v>7.6233287300721679</v>
      </c>
      <c r="K144" s="1524">
        <f ca="1">IF(UPPER('VVP1'!$F$2)="Y",(OFFSET('VVP1'!$M17,0,5*(COLUMN()-8))-OFFSET('VVP1'!$J17,0,5*(COLUMN()-8)))/OFFSET('VVP1'!$J$17,0,5*(COLUMN()-8))*100,(K125-J125)/J$125*100)</f>
        <v>-1.0214983734837328</v>
      </c>
      <c r="L144" s="1524">
        <f ca="1">IF(UPPER('VVP1'!$F$2)="Y",(OFFSET('VVP1'!$M17,0,5*(COLUMN()-8))-OFFSET('VVP1'!$J17,0,5*(COLUMN()-8)))/OFFSET('VVP1'!$J$17,0,5*(COLUMN()-8))*100,(L125-K125)/K$125*100)</f>
        <v>3.6213874204480918</v>
      </c>
      <c r="M144" s="1524">
        <f ca="1">IF(UPPER('VVP1'!$F$2)="Y",(OFFSET('VVP1'!$M17,0,5*(COLUMN()-8))-OFFSET('VVP1'!$J17,0,5*(COLUMN()-8)))/OFFSET('VVP1'!$J$17,0,5*(COLUMN()-8))*100,(M125-L125)/L$125*100)</f>
        <v>6.6996058629840318</v>
      </c>
      <c r="N144" s="1524">
        <f ca="1">IF(UPPER('VVP1'!$F$2)="Y",(OFFSET('VVP1'!$M17,0,5*(COLUMN()-8))-OFFSET('VVP1'!$J17,0,5*(COLUMN()-8)))/OFFSET('VVP1'!$J$17,0,5*(COLUMN()-8))*100,(N125-M125)/M$125*100)</f>
        <v>6.837997500491527</v>
      </c>
      <c r="O144" s="1524">
        <f ca="1">IF(UPPER('VVP1'!$F$2)="Y",(OFFSET('VVP1'!$M17,0,5*(COLUMN()-8))-OFFSET('VVP1'!$J17,0,5*(COLUMN()-8)))/OFFSET('VVP1'!$J$17,0,5*(COLUMN()-8))*100,(O125-N125)/N$125*100)</f>
        <v>10.275887367570672</v>
      </c>
      <c r="P144" s="1524">
        <f ca="1">IF(UPPER('VVP1'!$F$2)="Y",(OFFSET('VVP1'!$M17,0,5*(COLUMN()-8))-OFFSET('VVP1'!$J17,0,5*(COLUMN()-8)))/OFFSET('VVP1'!$J$17,0,5*(COLUMN()-8))*100,(P125-O125)/O$125*100)</f>
        <v>7.4482608885224471</v>
      </c>
      <c r="Q144" s="1524">
        <f ca="1">IF(UPPER('VVP1'!$F$2)="Y",(OFFSET('VVP1'!$M17,0,5*(COLUMN()-8))-OFFSET('VVP1'!$J17,0,5*(COLUMN()-8)))/OFFSET('VVP1'!$J$17,0,5*(COLUMN()-8))*100,(Q125-P125)/P$125*100)</f>
        <v>7.7273873836427835</v>
      </c>
      <c r="R144" s="1524">
        <f ca="1">IF(UPPER('VVP1'!$F$2)="Y",(OFFSET('VVP1'!$M17,0,5*(COLUMN()-8))-OFFSET('VVP1'!$J17,0,5*(COLUMN()-8)))/OFFSET('VVP1'!$J$17,0,5*(COLUMN()-8))*100,(R125-Q125)/Q$125*100)</f>
        <v>7.4064505195753858</v>
      </c>
      <c r="S144" s="1524">
        <f ca="1">IF(UPPER('VVP1'!$F$2)="Y",(OFFSET('VVP1'!$M17,0,5*(COLUMN()-8))-OFFSET('VVP1'!$J17,0,5*(COLUMN()-8)))/OFFSET('VVP1'!$J$17,0,5*(COLUMN()-8))*100,(S125-R125)/R$125*100)</f>
        <v>11.0869627998611</v>
      </c>
      <c r="T144" s="1524">
        <f ca="1">IF(UPPER('VVP1'!$F$2)="Y",(OFFSET('VVP1'!$M17,0,5*(COLUMN()-8))-OFFSET('VVP1'!$J17,0,5*(COLUMN()-8)))/OFFSET('VVP1'!$J$17,0,5*(COLUMN()-8))*100,(T125-S125)/S$125*100)</f>
        <v>2.6280823574654724</v>
      </c>
      <c r="U144" s="1524">
        <f ca="1">IF(UPPER('VVP1'!$F$2)="Y",(OFFSET('VVP1'!$M17,0,5*(COLUMN()-8))-OFFSET('VVP1'!$J17,0,5*(COLUMN()-8)))/OFFSET('VVP1'!$J$17,0,5*(COLUMN()-8))*100,(U125-T125)/T$125*100)</f>
        <v>-14.814172950076221</v>
      </c>
      <c r="V144" s="1524">
        <f ca="1">IF(UPPER('VVP1'!$F$2)="Y",(OFFSET('VVP1'!$M17,0,5*(COLUMN()-8))-OFFSET('VVP1'!$J17,0,5*(COLUMN()-8)))/OFFSET('VVP1'!$J$17,0,5*(COLUMN()-8))*100,(V125-U125)/U$125*100)</f>
        <v>1.639826991162779</v>
      </c>
      <c r="W144" s="1524">
        <f ca="1">IF(UPPER('VVP1'!$F$2)="Y",(OFFSET('VVP1'!$M17,0,5*(COLUMN()-8))-OFFSET('VVP1'!$J17,0,5*(COLUMN()-8)))/OFFSET('VVP1'!$J$17,0,5*(COLUMN()-8))*100,(W125-V125)/V$125*100)</f>
        <v>6.0431373864246751</v>
      </c>
      <c r="X144" s="1524">
        <f ca="1">IF(UPPER('VVP1'!$F$2)="Y",(OFFSET('VVP1'!$M17,0,5*(COLUMN()-8))-OFFSET('VVP1'!$J17,0,5*(COLUMN()-8)))/OFFSET('VVP1'!$J$17,0,5*(COLUMN()-8))*100,(X125-W125)/W$125*100)</f>
        <v>3.8269382239940808</v>
      </c>
      <c r="Y144" s="1524">
        <f ca="1">IF(UPPER('VVP1'!$F$2)="Y",(OFFSET('VVP1'!$M17,0,5*(COLUMN()-8))-OFFSET('VVP1'!$J17,0,5*(COLUMN()-8)))/OFFSET('VVP1'!$J$17,0,5*(COLUMN()-8))*100,(Y125-X125)/X$125*100)</f>
        <v>3.4985772305690102</v>
      </c>
      <c r="Z144" s="1524">
        <f ca="1">IF(UPPER('VVP1'!$F$2)="Y",(OFFSET('VVP1'!$M17,0,5*(COLUMN()-8))-OFFSET('VVP1'!$J17,0,5*(COLUMN()-8)))/OFFSET('VVP1'!$J$17,0,5*(COLUMN()-8))*100,(Z125-Y125)/Y$125*100)</f>
        <v>3.5375855747539444</v>
      </c>
      <c r="AA144" s="1524">
        <f ca="1">IF(UPPER('VVP1'!$F$2)="Y",(OFFSET('VVP1'!$M17,0,5*(COLUMN()-8))-OFFSET('VVP1'!$J17,0,5*(COLUMN()-8)))/OFFSET('VVP1'!$J$17,0,5*(COLUMN()-8))*100,(AA125-Z125)/Z$125*100)</f>
        <v>2.0346676424249104</v>
      </c>
      <c r="AB144" s="1524">
        <f ca="1">IF(UPPER('VVP1'!$F$2)="Y",(OFFSET('VVP1'!$M17,0,5*(COLUMN()-8))-OFFSET('VVP1'!$J17,0,5*(COLUMN()-8)))/OFFSET('VVP1'!$J$17,0,5*(COLUMN()-8))*100,(AB125-AA125)/AA$125*100)</f>
        <v>2.3448829366414214</v>
      </c>
      <c r="AC144" s="1524">
        <f ca="1">IF(UPPER('VVP1'!$F$2)="Y",(OFFSET('VVP1'!$M17,0,5*(COLUMN()-8))-OFFSET('VVP1'!$J17,0,5*(COLUMN()-8)))/OFFSET('VVP1'!$J$17,0,5*(COLUMN()-8))*100,(AC125-AB125)/AB$125*100)</f>
        <v>4.5652110336616962</v>
      </c>
      <c r="AD144" s="1524">
        <f ca="1">IF(UPPER('VVP1'!$F$2)="Y",(OFFSET('VVP1'!$M17,0,5*(COLUMN()-8))-OFFSET('VVP1'!$J17,0,5*(COLUMN()-8)))/OFFSET('VVP1'!$J$17,0,5*(COLUMN()-8))*100,(AD125-AC125)/AC$125*100)</f>
        <v>3.1205873424164392</v>
      </c>
      <c r="AE144" s="1524">
        <f ca="1">IF(UPPER('VVP1'!$F$2)="Y",(OFFSET('VVP1'!$M17,0,5*(COLUMN()-8))-OFFSET('VVP1'!$J17,0,5*(COLUMN()-8)))/OFFSET('VVP1'!$J$17,0,5*(COLUMN()-8))*100,(AE125-AD125)/AD$125*100)</f>
        <v>2.6426635456776859</v>
      </c>
    </row>
    <row r="145" spans="1:31">
      <c r="AB145" s="557"/>
      <c r="AC145" s="557"/>
      <c r="AD145" s="557"/>
      <c r="AE145" s="557"/>
    </row>
    <row r="146" spans="1:31">
      <c r="A146" s="1130"/>
      <c r="D146" s="1477"/>
      <c r="E146" s="1511" t="s">
        <v>1263</v>
      </c>
      <c r="F146" s="1512"/>
      <c r="G146" s="817">
        <f>+InputY!$G$3</f>
        <v>1995</v>
      </c>
      <c r="H146" s="817">
        <f>+G146+1</f>
        <v>1996</v>
      </c>
      <c r="I146" s="817">
        <f t="shared" ref="I146:O146" si="157">+H146+1</f>
        <v>1997</v>
      </c>
      <c r="J146" s="817">
        <f t="shared" si="157"/>
        <v>1998</v>
      </c>
      <c r="K146" s="817">
        <f t="shared" si="157"/>
        <v>1999</v>
      </c>
      <c r="L146" s="817">
        <f t="shared" si="157"/>
        <v>2000</v>
      </c>
      <c r="M146" s="817">
        <f t="shared" si="157"/>
        <v>2001</v>
      </c>
      <c r="N146" s="817">
        <f t="shared" si="157"/>
        <v>2002</v>
      </c>
      <c r="O146" s="817">
        <f t="shared" si="157"/>
        <v>2003</v>
      </c>
      <c r="P146" s="817">
        <f t="shared" ref="P146:U146" si="158">+O146+1</f>
        <v>2004</v>
      </c>
      <c r="Q146" s="817">
        <f t="shared" si="158"/>
        <v>2005</v>
      </c>
      <c r="R146" s="817">
        <f>+Q146+1</f>
        <v>2006</v>
      </c>
      <c r="S146" s="817">
        <f>+R146+1</f>
        <v>2007</v>
      </c>
      <c r="T146" s="817">
        <f t="shared" si="158"/>
        <v>2008</v>
      </c>
      <c r="U146" s="817">
        <f t="shared" si="158"/>
        <v>2009</v>
      </c>
      <c r="V146" s="817">
        <f t="shared" ref="V146:AE146" si="159">+U146+1</f>
        <v>2010</v>
      </c>
      <c r="W146" s="817">
        <f t="shared" si="159"/>
        <v>2011</v>
      </c>
      <c r="X146" s="817">
        <f t="shared" si="159"/>
        <v>2012</v>
      </c>
      <c r="Y146" s="817">
        <f t="shared" si="159"/>
        <v>2013</v>
      </c>
      <c r="Z146" s="817">
        <f t="shared" si="159"/>
        <v>2014</v>
      </c>
      <c r="AA146" s="817">
        <f t="shared" si="159"/>
        <v>2015</v>
      </c>
      <c r="AB146" s="817">
        <f t="shared" si="159"/>
        <v>2016</v>
      </c>
      <c r="AC146" s="817">
        <f t="shared" si="159"/>
        <v>2017</v>
      </c>
      <c r="AD146" s="817">
        <f t="shared" si="159"/>
        <v>2018</v>
      </c>
      <c r="AE146" s="817">
        <f t="shared" si="159"/>
        <v>2019</v>
      </c>
    </row>
    <row r="147" spans="1:31">
      <c r="A147" s="664"/>
      <c r="C147" s="1479"/>
      <c r="D147" s="1963" t="s">
        <v>685</v>
      </c>
      <c r="E147" s="23" t="s">
        <v>821</v>
      </c>
      <c r="F147" s="1494" t="s">
        <v>1017</v>
      </c>
      <c r="G147" s="1967"/>
      <c r="H147" s="1967">
        <f ca="1">(H7-OFFSET('Q1'!$N$23,0,4*(COLUMN()-8)))/H7</f>
        <v>0.22775786195857478</v>
      </c>
      <c r="I147" s="1967">
        <f ca="1">(I7-OFFSET('Q1'!$N$23,0,4*(COLUMN()-8)))/I7</f>
        <v>0.22503898519076915</v>
      </c>
      <c r="J147" s="1967">
        <f ca="1">(J7-OFFSET('Q1'!$N$23,0,4*(COLUMN()-8)))/J7</f>
        <v>0.22514456882185199</v>
      </c>
      <c r="K147" s="1967">
        <f ca="1">(K7-OFFSET('Q1'!$N$23,0,4*(COLUMN()-8)))/K7</f>
        <v>0.22505428881729833</v>
      </c>
      <c r="L147" s="1967">
        <f ca="1">(L7-OFFSET('Q1'!$N$23,0,4*(COLUMN()-8)))/L7</f>
        <v>0.22779805986825252</v>
      </c>
      <c r="M147" s="1967">
        <f ca="1">(M7-OFFSET('Q1'!$N$23,0,4*(COLUMN()-8)))/M7</f>
        <v>0.22516139533309734</v>
      </c>
      <c r="N147" s="1967">
        <f ca="1">(N7-OFFSET('Q1'!$N$23,0,4*(COLUMN()-8)))/N7</f>
        <v>0.22515145773550471</v>
      </c>
      <c r="O147" s="1967">
        <f ca="1">(O7-OFFSET('Q1'!$N$23,0,4*(COLUMN()-8)))/O7</f>
        <v>0.22505771054632684</v>
      </c>
      <c r="P147" s="1967">
        <f ca="1">(P7-OFFSET('Q1'!$N$23,0,4*(COLUMN()-8)))/P7</f>
        <v>0.22750146530321388</v>
      </c>
      <c r="Q147" s="1967">
        <f ca="1">(Q7-OFFSET('Q1'!$N$23,0,4*(COLUMN()-8)))/Q7</f>
        <v>-3.707764648789137E-4</v>
      </c>
      <c r="R147" s="1967">
        <f ca="1">(R7-OFFSET('Q1'!$N$23,0,4*(COLUMN()-8)))/R7</f>
        <v>-3.4089539084489797E-4</v>
      </c>
      <c r="S147" s="1967">
        <f ca="1">(S7-OFFSET('Q1'!$N$23,0,4*(COLUMN()-8)))/S7</f>
        <v>-3.0416324598576565E-4</v>
      </c>
      <c r="T147" s="1967">
        <f ca="1">(T7-OFFSET('Q1'!$N$23,0,4*(COLUMN()-8)))/T7</f>
        <v>1.4821870493348852E-3</v>
      </c>
      <c r="U147" s="1967">
        <f ca="1">(U7-OFFSET('Q1'!$N$23,0,4*(COLUMN()-8)))/U7</f>
        <v>-5.8863540526184492E-4</v>
      </c>
      <c r="V147" s="1967">
        <f ca="1">(V7-OFFSET('Q1'!$N$23,0,4*(COLUMN()-8)))/V7</f>
        <v>-3.822676832235804E-4</v>
      </c>
      <c r="W147" s="1967">
        <f ca="1">(W7-OFFSET('Q1'!$N$23,0,4*(COLUMN()-8)))/W7</f>
        <v>-1.6296579636147889E-3</v>
      </c>
      <c r="X147" s="1967">
        <f ca="1">(X7-OFFSET('Q1'!$N$23,0,4*(COLUMN()-8)))/X7</f>
        <v>3.9107715712538632E-3</v>
      </c>
      <c r="Y147" s="1967">
        <f ca="1">(Y7-OFFSET('Q1'!$N$23,0,4*(COLUMN()-8)))/Y7</f>
        <v>-1.5208259025876803E-3</v>
      </c>
      <c r="Z147" s="1967">
        <f ca="1">(Z7-OFFSET('Q1'!$N$23,0,4*(COLUMN()-8)))/Z7</f>
        <v>-5.4319081721637837E-4</v>
      </c>
      <c r="AA147" s="1967">
        <f ca="1">(AA7-OFFSET('Q1'!$N$23,0,4*(COLUMN()-8)))/AA7</f>
        <v>-8.0882976310222741E-4</v>
      </c>
      <c r="AB147" s="1967">
        <f ca="1">(AB7-OFFSET('Q1'!$N$23,0,4*(COLUMN()-8)))/AB7</f>
        <v>1.7612407379830523E-3</v>
      </c>
      <c r="AC147" s="1967">
        <f ca="1">(AC7-OFFSET('Q1'!$N$23,0,4*(COLUMN()-8)))/AC7</f>
        <v>-4.7878044238649695E-4</v>
      </c>
      <c r="AD147" s="1967">
        <f ca="1">(AD7-OFFSET('Q1'!$N$23,0,4*(COLUMN()-8)))/AD7</f>
        <v>-5.5748852809827201E-4</v>
      </c>
      <c r="AE147" s="1967">
        <f ca="1">(AE7-OFFSET('Q1'!$N$23,0,4*(COLUMN()-8)))/AE7</f>
        <v>-2.1931804007442159E-4</v>
      </c>
    </row>
    <row r="148" spans="1:31">
      <c r="A148" s="664"/>
      <c r="C148" s="1480"/>
      <c r="D148" s="1070" t="s">
        <v>687</v>
      </c>
      <c r="E148" s="1" t="s">
        <v>821</v>
      </c>
      <c r="F148" s="1481" t="s">
        <v>533</v>
      </c>
      <c r="G148" s="1968"/>
      <c r="H148" s="1968">
        <f ca="1">(H13-OFFSET('Q1'!$N$42,0,4*(COLUMN()-8)))/H13</f>
        <v>0.29486140667706051</v>
      </c>
      <c r="I148" s="1968">
        <f ca="1">(I13-OFFSET('Q1'!$N$42,0,4*(COLUMN()-8)))/I13</f>
        <v>0.29676691668794053</v>
      </c>
      <c r="J148" s="1968">
        <f ca="1">(J13-OFFSET('Q1'!$N$42,0,4*(COLUMN()-8)))/J13</f>
        <v>0.29791113844373474</v>
      </c>
      <c r="K148" s="1968">
        <f ca="1">(K13-OFFSET('Q1'!$N$42,0,4*(COLUMN()-8)))/K13</f>
        <v>0.29677070323286336</v>
      </c>
      <c r="L148" s="1968">
        <f ca="1">(L13-OFFSET('Q1'!$N$42,0,4*(COLUMN()-8)))/L13</f>
        <v>0.29493448539042472</v>
      </c>
      <c r="M148" s="1968">
        <f ca="1">(M13-OFFSET('Q1'!$N$42,0,4*(COLUMN()-8)))/M13</f>
        <v>0.29794224438057543</v>
      </c>
      <c r="N148" s="1968">
        <f ca="1">(N13-OFFSET('Q1'!$N$42,0,4*(COLUMN()-8)))/N13</f>
        <v>0.29791938568255089</v>
      </c>
      <c r="O148" s="1968">
        <f ca="1">(O13-OFFSET('Q1'!$N$42,0,4*(COLUMN()-8)))/O13</f>
        <v>0.29676286033354221</v>
      </c>
      <c r="P148" s="1968">
        <f ca="1">(P13-OFFSET('Q1'!$N$42,0,4*(COLUMN()-8)))/P13</f>
        <v>0.29641093001925234</v>
      </c>
      <c r="Q148" s="1968">
        <f ca="1">(Q13-OFFSET('Q1'!$N$42,0,4*(COLUMN()-8)))/Q13</f>
        <v>1.4503626801993648E-4</v>
      </c>
      <c r="R148" s="1968">
        <f ca="1">(R13-OFFSET('Q1'!$N$42,0,4*(COLUMN()-8)))/R13</f>
        <v>1.4029426722549004E-4</v>
      </c>
      <c r="S148" s="1968">
        <f ca="1">(S13-OFFSET('Q1'!$N$42,0,4*(COLUMN()-8)))/S13</f>
        <v>1.4291051907505288E-4</v>
      </c>
      <c r="T148" s="1968">
        <f ca="1">(T13-OFFSET('Q1'!$N$42,0,4*(COLUMN()-8)))/T13</f>
        <v>-5.1017516013837617E-4</v>
      </c>
      <c r="U148" s="1968">
        <f ca="1">(U13-OFFSET('Q1'!$N$42,0,4*(COLUMN()-8)))/U13</f>
        <v>1.409919216853077E-4</v>
      </c>
      <c r="V148" s="1968">
        <f ca="1">(V13-OFFSET('Q1'!$N$42,0,4*(COLUMN()-8)))/V13</f>
        <v>-3.2713925707040983E-4</v>
      </c>
      <c r="W148" s="1968">
        <f ca="1">(W13-OFFSET('Q1'!$N$42,0,4*(COLUMN()-8)))/W13</f>
        <v>1.9481995389244528E-4</v>
      </c>
      <c r="X148" s="1968">
        <f ca="1">(X13-OFFSET('Q1'!$N$42,0,4*(COLUMN()-8)))/X13</f>
        <v>-1.9056676693706429E-4</v>
      </c>
      <c r="Y148" s="1968">
        <f ca="1">(Y13-OFFSET('Q1'!$N$42,0,4*(COLUMN()-8)))/Y13</f>
        <v>1.9627224197694493E-4</v>
      </c>
      <c r="Z148" s="1968">
        <f ca="1">(Z13-OFFSET('Q1'!$N$42,0,4*(COLUMN()-8)))/Z13</f>
        <v>-1.1284174298172878E-4</v>
      </c>
      <c r="AA148" s="1968">
        <f ca="1">(AA13-OFFSET('Q1'!$N$42,0,4*(COLUMN()-8)))/AA13</f>
        <v>2.2531323820896957E-4</v>
      </c>
      <c r="AB148" s="1968">
        <f ca="1">(AB13-OFFSET('Q1'!$N$42,0,4*(COLUMN()-8)))/AB13</f>
        <v>-1.7378006395220201E-5</v>
      </c>
      <c r="AC148" s="1968">
        <f ca="1">(AC13-OFFSET('Q1'!$N$42,0,4*(COLUMN()-8)))/AC13</f>
        <v>-1.0479137068830742E-4</v>
      </c>
      <c r="AD148" s="1968">
        <f ca="1">(AD13-OFFSET('Q1'!$N$42,0,4*(COLUMN()-8)))/AD13</f>
        <v>5.4554561820877698E-8</v>
      </c>
      <c r="AE148" s="1968">
        <f ca="1">(AE13-OFFSET('Q1'!$N$42,0,4*(COLUMN()-8)))/AE13</f>
        <v>1.2430490488684837E-5</v>
      </c>
    </row>
    <row r="149" spans="1:31">
      <c r="A149" s="664"/>
      <c r="C149" s="1480"/>
      <c r="D149" s="1964"/>
      <c r="E149" s="113" t="s">
        <v>376</v>
      </c>
      <c r="F149" s="1513" t="s">
        <v>850</v>
      </c>
      <c r="G149" s="1969"/>
      <c r="H149" s="1969">
        <f ca="1">(H29-OFFSET('Q1'!$N$72,0,4*(COLUMN()-8)))/H29</f>
        <v>0.11422688545170717</v>
      </c>
      <c r="I149" s="1969">
        <f ca="1">(I29-OFFSET('Q1'!$N$72,0,4*(COLUMN()-8)))/I29</f>
        <v>0.11618249734410632</v>
      </c>
      <c r="J149" s="1969">
        <f ca="1">(J29-OFFSET('Q1'!$N$72,0,4*(COLUMN()-8)))/J29</f>
        <v>0.11165064596379408</v>
      </c>
      <c r="K149" s="1969">
        <f ca="1">(K29-OFFSET('Q1'!$N$72,0,4*(COLUMN()-8)))/K29</f>
        <v>0.11664658120775989</v>
      </c>
      <c r="L149" s="1969">
        <f ca="1">(L29-OFFSET('Q1'!$N$72,0,4*(COLUMN()-8)))/L29</f>
        <v>0.11095161994455185</v>
      </c>
      <c r="M149" s="1969">
        <f ca="1">(M29-OFFSET('Q1'!$N$72,0,4*(COLUMN()-8)))/M29</f>
        <v>0.107507636379959</v>
      </c>
      <c r="N149" s="1969">
        <f ca="1">(N29-OFFSET('Q1'!$N$72,0,4*(COLUMN()-8)))/N29</f>
        <v>0.1096782251491729</v>
      </c>
      <c r="O149" s="1969">
        <f ca="1">(O29-OFFSET('Q1'!$N$72,0,4*(COLUMN()-8)))/O29</f>
        <v>0.11605043670082267</v>
      </c>
      <c r="P149" s="1969">
        <f ca="1">(P29-OFFSET('Q1'!$N$72,0,4*(COLUMN()-8)))/P29</f>
        <v>0.12576913115013275</v>
      </c>
      <c r="Q149" s="1969">
        <f ca="1">(Q29-OFFSET('Q1'!$N$72,0,4*(COLUMN()-8)))/Q29</f>
        <v>-4.9194554328663327E-4</v>
      </c>
      <c r="R149" s="1969">
        <f ca="1">(R29-OFFSET('Q1'!$N$72,0,4*(COLUMN()-8)))/R29</f>
        <v>-3.9286071932031618E-4</v>
      </c>
      <c r="S149" s="1969">
        <f ca="1">(S29-OFFSET('Q1'!$N$72,0,4*(COLUMN()-8)))/S29</f>
        <v>-3.3498981177598281E-4</v>
      </c>
      <c r="T149" s="1969">
        <f ca="1">(T29-OFFSET('Q1'!$N$72,0,4*(COLUMN()-8)))/T29</f>
        <v>-3.3962071096033724E-3</v>
      </c>
      <c r="U149" s="1969">
        <f ca="1">(U29-OFFSET('Q1'!$N$72,0,4*(COLUMN()-8)))/U29</f>
        <v>1.9924510153342292E-3</v>
      </c>
      <c r="V149" s="1969">
        <f ca="1">(V29-OFFSET('Q1'!$N$72,0,4*(COLUMN()-8)))/V29</f>
        <v>4.7605949685802533E-3</v>
      </c>
      <c r="W149" s="1969">
        <f ca="1">(W29-OFFSET('Q1'!$N$72,0,4*(COLUMN()-8)))/W29</f>
        <v>-1.4264355488878585E-4</v>
      </c>
      <c r="X149" s="1969">
        <f ca="1">(X29-OFFSET('Q1'!$N$72,0,4*(COLUMN()-8)))/X29</f>
        <v>-1.7194052543160316E-3</v>
      </c>
      <c r="Y149" s="1969">
        <f ca="1">(Y29-OFFSET('Q1'!$N$72,0,4*(COLUMN()-8)))/Y29</f>
        <v>-1.1257495339728263E-4</v>
      </c>
      <c r="Z149" s="1969">
        <f ca="1">(Z29-OFFSET('Q1'!$N$72,0,4*(COLUMN()-8)))/Z29</f>
        <v>1.9192656069481006E-3</v>
      </c>
      <c r="AA149" s="1969">
        <f ca="1">(AA29-OFFSET('Q1'!$N$72,0,4*(COLUMN()-8)))/AA29</f>
        <v>-4.9281902938536723E-5</v>
      </c>
      <c r="AB149" s="1969">
        <f ca="1">(AB29-OFFSET('Q1'!$N$72,0,4*(COLUMN()-8)))/AB29</f>
        <v>-3.6251020310174562E-3</v>
      </c>
      <c r="AC149" s="1969">
        <f ca="1">(AC29-OFFSET('Q1'!$N$72,0,4*(COLUMN()-8)))/AC29</f>
        <v>1.70735561238967E-3</v>
      </c>
      <c r="AD149" s="1969">
        <f ca="1">(AD29-OFFSET('Q1'!$N$72,0,4*(COLUMN()-8)))/AD29</f>
        <v>1.6865526297482657E-3</v>
      </c>
      <c r="AE149" s="1969">
        <f ca="1">(AE29-OFFSET('Q1'!$N$72,0,4*(COLUMN()-8)))/AE29</f>
        <v>1.7726874439810269E-3</v>
      </c>
    </row>
    <row r="150" spans="1:31">
      <c r="A150" s="664"/>
      <c r="C150" s="1480"/>
      <c r="D150" s="1445"/>
      <c r="E150" s="50" t="s">
        <v>1343</v>
      </c>
      <c r="F150" s="30"/>
      <c r="G150" s="1970"/>
      <c r="H150" s="1970">
        <f ca="1">(H54-OFFSET('Q1'!$N$106,0,4*(COLUMN()-8)))/H54</f>
        <v>0.20820917799460198</v>
      </c>
      <c r="I150" s="1970">
        <f ca="1">(I54-OFFSET('Q1'!$N$106,0,4*(COLUMN()-8)))/I54</f>
        <v>0.21209317195264116</v>
      </c>
      <c r="J150" s="1970">
        <f ca="1">(J54-OFFSET('Q1'!$N$106,0,4*(COLUMN()-8)))/J54</f>
        <v>0.21404089117975983</v>
      </c>
      <c r="K150" s="1970">
        <f ca="1">(K54-OFFSET('Q1'!$N$106,0,4*(COLUMN()-8)))/K54</f>
        <v>0.21482497160197145</v>
      </c>
      <c r="L150" s="1970">
        <f ca="1">(L54-OFFSET('Q1'!$N$106,0,4*(COLUMN()-8)))/L54</f>
        <v>0.21578104728764438</v>
      </c>
      <c r="M150" s="1970">
        <f ca="1">(M54-OFFSET('Q1'!$N$106,0,4*(COLUMN()-8)))/M54</f>
        <v>0.21472710750022558</v>
      </c>
      <c r="N150" s="1970">
        <f ca="1">(N54-OFFSET('Q1'!$N$106,0,4*(COLUMN()-8)))/N54</f>
        <v>0.21560270566272757</v>
      </c>
      <c r="O150" s="1970">
        <f ca="1">(O54-OFFSET('Q1'!$N$106,0,4*(COLUMN()-8)))/O54</f>
        <v>0.21720547225945186</v>
      </c>
      <c r="P150" s="1970">
        <f ca="1">(P54-OFFSET('Q1'!$N$106,0,4*(COLUMN()-8)))/P54</f>
        <v>0.22113752358395045</v>
      </c>
      <c r="Q150" s="1970">
        <f ca="1">(Q54-OFFSET('Q1'!$N$106,0,4*(COLUMN()-8)))/Q54</f>
        <v>-3.4393125114527679E-4</v>
      </c>
      <c r="R150" s="1970">
        <f ca="1">(R54-OFFSET('Q1'!$N$106,0,4*(COLUMN()-8)))/R54</f>
        <v>3.8958323337280856E-3</v>
      </c>
      <c r="S150" s="1970">
        <f ca="1">(S54-OFFSET('Q1'!$N$106,0,4*(COLUMN()-8)))/S54</f>
        <v>7.2003496044862666E-3</v>
      </c>
      <c r="T150" s="1970">
        <f ca="1">(T54-OFFSET('Q1'!$N$106,0,4*(COLUMN()-8)))/T54</f>
        <v>4.9389439599532275E-3</v>
      </c>
      <c r="U150" s="1970">
        <f ca="1">(U54-OFFSET('Q1'!$N$106,0,4*(COLUMN()-8)))/U54</f>
        <v>-3.1989499504815323E-4</v>
      </c>
      <c r="V150" s="1970">
        <f ca="1">(V54-OFFSET('Q1'!$N$106,0,4*(COLUMN()-8)))/V54</f>
        <v>4.8945961816504913E-4</v>
      </c>
      <c r="W150" s="1970">
        <f ca="1">(W54-OFFSET('Q1'!$N$106,0,4*(COLUMN()-8)))/W54</f>
        <v>-1.0109065884969927E-3</v>
      </c>
      <c r="X150" s="1970">
        <f ca="1">(X54-OFFSET('Q1'!$N$106,0,4*(COLUMN()-8)))/X54</f>
        <v>2.2842786386671923E-3</v>
      </c>
      <c r="Y150" s="1970">
        <f ca="1">(Y54-OFFSET('Q1'!$N$106,0,4*(COLUMN()-8)))/Y54</f>
        <v>-8.1140535760558616E-4</v>
      </c>
      <c r="Z150" s="1970">
        <f ca="1">(Z54-OFFSET('Q1'!$N$106,0,4*(COLUMN()-8)))/Z54</f>
        <v>3.6845895168561557E-4</v>
      </c>
      <c r="AA150" s="1970">
        <f ca="1">(AA54-OFFSET('Q1'!$N$106,0,4*(COLUMN()-8)))/AA54</f>
        <v>-6.2733692250818596E-5</v>
      </c>
      <c r="AB150" s="1970">
        <f ca="1">(AB54-OFFSET('Q1'!$N$106,0,4*(COLUMN()-8)))/AB54</f>
        <v>5.9786395521393542E-4</v>
      </c>
      <c r="AC150" s="1970">
        <f ca="1">(AC54-OFFSET('Q1'!$N$106,0,4*(COLUMN()-8)))/AC54</f>
        <v>-7.1389600176611809E-5</v>
      </c>
      <c r="AD150" s="1970">
        <f ca="1">(AD54-OFFSET('Q1'!$N$106,0,4*(COLUMN()-8)))/AD54</f>
        <v>-4.0141452055681781E-4</v>
      </c>
      <c r="AE150" s="1970">
        <f ca="1">(AE54-OFFSET('Q1'!$N$106,0,4*(COLUMN()-8)))/AE54</f>
        <v>-3.7376703799222715E-4</v>
      </c>
    </row>
    <row r="151" spans="1:31">
      <c r="A151" s="664"/>
      <c r="C151" s="1480"/>
      <c r="D151" s="1964"/>
      <c r="E151" s="113" t="s">
        <v>1272</v>
      </c>
      <c r="F151" s="1482" t="s">
        <v>1992</v>
      </c>
      <c r="G151" s="1969"/>
      <c r="H151" s="1969">
        <f ca="1">(H64-OFFSET('Q1'!$N$125,0,4*(COLUMN()-8)))/H64</f>
        <v>-115.24134909597653</v>
      </c>
      <c r="I151" s="1969">
        <f ca="1">(I64-OFFSET('Q1'!$N$125,0,4*(COLUMN()-8)))/I64</f>
        <v>-97.657521537826781</v>
      </c>
      <c r="J151" s="1969">
        <f ca="1">(J64-OFFSET('Q1'!$N$125,0,4*(COLUMN()-8)))/J64</f>
        <v>-108.98487196466922</v>
      </c>
      <c r="K151" s="1969">
        <f ca="1">(K64-OFFSET('Q1'!$N$125,0,4*(COLUMN()-8)))/K64</f>
        <v>-108.73999679055804</v>
      </c>
      <c r="L151" s="1969">
        <f ca="1">(L64-OFFSET('Q1'!$N$125,0,4*(COLUMN()-8)))/L64</f>
        <v>-112.02826286803366</v>
      </c>
      <c r="M151" s="1969">
        <f ca="1">(M64-OFFSET('Q1'!$N$125,0,4*(COLUMN()-8)))/M64</f>
        <v>-106.31177287227868</v>
      </c>
      <c r="N151" s="1969">
        <f ca="1">(N64-OFFSET('Q1'!$N$125,0,4*(COLUMN()-8)))/N64</f>
        <v>-109.7430147462501</v>
      </c>
      <c r="O151" s="1969">
        <f ca="1">(O64-OFFSET('Q1'!$N$125,0,4*(COLUMN()-8)))/O64</f>
        <v>-112.98727723167237</v>
      </c>
      <c r="P151" s="1969">
        <f ca="1">(P64-OFFSET('Q1'!$N$125,0,4*(COLUMN()-8)))/P64</f>
        <v>-29.783304861598076</v>
      </c>
      <c r="Q151" s="1969">
        <f ca="1">(Q64-OFFSET('Q1'!$N$125,0,4*(COLUMN()-8)))/Q64</f>
        <v>2.1910515325571547</v>
      </c>
      <c r="R151" s="1969">
        <f ca="1">(R64-OFFSET('Q1'!$N$125,0,4*(COLUMN()-8)))/R64</f>
        <v>-2.370737080270525</v>
      </c>
      <c r="S151" s="1969">
        <f ca="1">(S64-OFFSET('Q1'!$N$125,0,4*(COLUMN()-8)))/S64</f>
        <v>0.69539718060527655</v>
      </c>
      <c r="T151" s="1969">
        <f ca="1">(T64-OFFSET('Q1'!$N$125,0,4*(COLUMN()-8)))/T64</f>
        <v>1.3662365265615604</v>
      </c>
      <c r="U151" s="1969">
        <f ca="1">(U64-OFFSET('Q1'!$N$125,0,4*(COLUMN()-8)))/U64</f>
        <v>1.567907164202357</v>
      </c>
      <c r="V151" s="1969">
        <f ca="1">(V64-OFFSET('Q1'!$N$125,0,4*(COLUMN()-8)))/V64</f>
        <v>-8.6144672838538203E-2</v>
      </c>
      <c r="W151" s="1969">
        <f ca="1">(W64-OFFSET('Q1'!$N$125,0,4*(COLUMN()-8)))/W64</f>
        <v>-2.1847451130701141E-2</v>
      </c>
      <c r="X151" s="1969">
        <f ca="1">(X64-OFFSET('Q1'!$N$125,0,4*(COLUMN()-8)))/X64</f>
        <v>4.7419019139908594</v>
      </c>
      <c r="Y151" s="1969">
        <f ca="1">(Y64-OFFSET('Q1'!$N$125,0,4*(COLUMN()-8)))/Y64</f>
        <v>32.184817669705119</v>
      </c>
      <c r="Z151" s="1969">
        <f ca="1">(Z64-OFFSET('Q1'!$N$125,0,4*(COLUMN()-8)))/Z64</f>
        <v>48.196381416643206</v>
      </c>
      <c r="AA151" s="1969">
        <f ca="1">(AA64-OFFSET('Q1'!$N$125,0,4*(COLUMN()-8)))/AA64</f>
        <v>0.71636476059058518</v>
      </c>
      <c r="AB151" s="1969">
        <f ca="1">(AB64-OFFSET('Q1'!$N$125,0,4*(COLUMN()-8)))/AB64</f>
        <v>2.399500992843504</v>
      </c>
      <c r="AC151" s="1969">
        <f ca="1">(AC64-OFFSET('Q1'!$N$125,0,4*(COLUMN()-8)))/AC64</f>
        <v>3.3358984387316384</v>
      </c>
      <c r="AD151" s="1969">
        <f ca="1">(AD64-OFFSET('Q1'!$N$125,0,4*(COLUMN()-8)))/AD64</f>
        <v>3.3647005954124247</v>
      </c>
      <c r="AE151" s="1969">
        <f ca="1">(AE64-OFFSET('Q1'!$N$125,0,4*(COLUMN()-8)))/AE64</f>
        <v>2.9176012567502965</v>
      </c>
    </row>
    <row r="152" spans="1:31">
      <c r="A152" s="664"/>
      <c r="C152" s="1480"/>
      <c r="D152" s="1445"/>
      <c r="E152" s="50" t="s">
        <v>1071</v>
      </c>
      <c r="F152" s="1483"/>
      <c r="G152" s="1970"/>
      <c r="H152" s="1970">
        <f ca="1">(H72-OFFSET('Q1'!$N$145,0,4*(COLUMN()-8)))/H72</f>
        <v>0.19399270696931567</v>
      </c>
      <c r="I152" s="1970">
        <f ca="1">(I72-OFFSET('Q1'!$N$145,0,4*(COLUMN()-8)))/I72</f>
        <v>0.2064323478122384</v>
      </c>
      <c r="J152" s="1970">
        <f ca="1">(J72-OFFSET('Q1'!$N$145,0,4*(COLUMN()-8)))/J72</f>
        <v>0.21052032594186934</v>
      </c>
      <c r="K152" s="1970">
        <f ca="1">(K72-OFFSET('Q1'!$N$145,0,4*(COLUMN()-8)))/K72</f>
        <v>0.21027390117348005</v>
      </c>
      <c r="L152" s="1970">
        <f ca="1">(L72-OFFSET('Q1'!$N$145,0,4*(COLUMN()-8)))/L72</f>
        <v>0.21072299080008747</v>
      </c>
      <c r="M152" s="1970">
        <f ca="1">(M72-OFFSET('Q1'!$N$145,0,4*(COLUMN()-8)))/M72</f>
        <v>0.21023305945750345</v>
      </c>
      <c r="N152" s="1970">
        <f ca="1">(N72-OFFSET('Q1'!$N$145,0,4*(COLUMN()-8)))/N72</f>
        <v>0.21133231206383007</v>
      </c>
      <c r="O152" s="1970">
        <f ca="1">(O72-OFFSET('Q1'!$N$145,0,4*(COLUMN()-8)))/O72</f>
        <v>0.21286682681024269</v>
      </c>
      <c r="P152" s="1970">
        <f ca="1">(P72-OFFSET('Q1'!$N$145,0,4*(COLUMN()-8)))/P72</f>
        <v>0.21757001487296015</v>
      </c>
      <c r="Q152" s="1970">
        <f ca="1">(Q72-OFFSET('Q1'!$N$145,0,4*(COLUMN()-8)))/Q72</f>
        <v>4.5335770242138779E-3</v>
      </c>
      <c r="R152" s="1970">
        <f ca="1">(R72-OFFSET('Q1'!$N$145,0,4*(COLUMN()-8)))/R72</f>
        <v>7.2906447871213869E-3</v>
      </c>
      <c r="S152" s="1970">
        <f ca="1">(S72-OFFSET('Q1'!$N$145,0,4*(COLUMN()-8)))/S72</f>
        <v>1.5981073932181358E-2</v>
      </c>
      <c r="T152" s="1970">
        <f ca="1">(T72-OFFSET('Q1'!$N$145,0,4*(COLUMN()-8)))/T72</f>
        <v>1.6783130560273741E-2</v>
      </c>
      <c r="U152" s="1970">
        <f ca="1">(U72-OFFSET('Q1'!$N$145,0,4*(COLUMN()-8)))/U72</f>
        <v>3.2331465869618664E-3</v>
      </c>
      <c r="V152" s="1970">
        <f ca="1">(V72-OFFSET('Q1'!$N$145,0,4*(COLUMN()-8)))/V72</f>
        <v>-4.7734335135642174E-4</v>
      </c>
      <c r="W152" s="1970">
        <f ca="1">(W72-OFFSET('Q1'!$N$145,0,4*(COLUMN()-8)))/W72</f>
        <v>-1.1905950264727452E-3</v>
      </c>
      <c r="X152" s="1970">
        <f ca="1">(X72-OFFSET('Q1'!$N$145,0,4*(COLUMN()-8)))/X72</f>
        <v>3.0589721834904936E-4</v>
      </c>
      <c r="Y152" s="1970">
        <f ca="1">(Y72-OFFSET('Q1'!$N$145,0,4*(COLUMN()-8)))/Y72</f>
        <v>-3.905537577081388E-3</v>
      </c>
      <c r="Z152" s="1970">
        <f ca="1">(Z72-OFFSET('Q1'!$N$145,0,4*(COLUMN()-8)))/Z72</f>
        <v>-2.6300369474825816E-3</v>
      </c>
      <c r="AA152" s="1970">
        <f ca="1">(AA72-OFFSET('Q1'!$N$145,0,4*(COLUMN()-8)))/AA72</f>
        <v>2.2221111615241033E-3</v>
      </c>
      <c r="AB152" s="1970">
        <f ca="1">(AB72-OFFSET('Q1'!$N$145,0,4*(COLUMN()-8)))/AB72</f>
        <v>3.1110289614197833E-3</v>
      </c>
      <c r="AC152" s="1970">
        <f ca="1">(AC72-OFFSET('Q1'!$N$145,0,4*(COLUMN()-8)))/AC72</f>
        <v>8.477995533846797E-3</v>
      </c>
      <c r="AD152" s="1970">
        <f ca="1">(AD72-OFFSET('Q1'!$N$145,0,4*(COLUMN()-8)))/AD72</f>
        <v>8.4864671505039246E-3</v>
      </c>
      <c r="AE152" s="1970">
        <f ca="1">(AE72-OFFSET('Q1'!$N$145,0,4*(COLUMN()-8)))/AE72</f>
        <v>6.988123632073755E-3</v>
      </c>
    </row>
    <row r="153" spans="1:31">
      <c r="A153" s="664"/>
      <c r="C153" s="1480"/>
      <c r="D153" s="1964"/>
      <c r="E153" s="113" t="s">
        <v>1358</v>
      </c>
      <c r="F153" s="1482" t="s">
        <v>1590</v>
      </c>
      <c r="G153" s="1969"/>
      <c r="H153" s="1969">
        <f ca="1">(H83-OFFSET('Q1'!$N$172,0,4*(COLUMN()-8)))/H83</f>
        <v>7.1990198335925945E-2</v>
      </c>
      <c r="I153" s="1969">
        <f ca="1">(I83-OFFSET('Q1'!$N$172,0,4*(COLUMN()-8)))/I83</f>
        <v>7.9500319560159571E-2</v>
      </c>
      <c r="J153" s="1969">
        <f ca="1">(J83-OFFSET('Q1'!$N$172,0,4*(COLUMN()-8)))/J83</f>
        <v>7.3863686532948725E-2</v>
      </c>
      <c r="K153" s="1969">
        <f ca="1">(K83-OFFSET('Q1'!$N$172,0,4*(COLUMN()-8)))/K83</f>
        <v>7.8557030155321242E-2</v>
      </c>
      <c r="L153" s="1969">
        <f ca="1">(L83-OFFSET('Q1'!$N$172,0,4*(COLUMN()-8)))/L83</f>
        <v>7.0581848768692931E-2</v>
      </c>
      <c r="M153" s="1969">
        <f ca="1">(M83-OFFSET('Q1'!$N$172,0,4*(COLUMN()-8)))/M83</f>
        <v>7.3166918443611492E-2</v>
      </c>
      <c r="N153" s="1969">
        <f ca="1">(N83-OFFSET('Q1'!$N$172,0,4*(COLUMN()-8)))/N83</f>
        <v>7.4909354143793794E-2</v>
      </c>
      <c r="O153" s="1969">
        <f ca="1">(O83-OFFSET('Q1'!$N$172,0,4*(COLUMN()-8)))/O83</f>
        <v>7.8774772182494651E-2</v>
      </c>
      <c r="P153" s="1969">
        <f ca="1">(P83-OFFSET('Q1'!$N$172,0,4*(COLUMN()-8)))/P83</f>
        <v>7.9118003714414964E-2</v>
      </c>
      <c r="Q153" s="1969">
        <f ca="1">(Q83-OFFSET('Q1'!$N$172,0,4*(COLUMN()-8)))/Q83</f>
        <v>4.1469437771555698E-4</v>
      </c>
      <c r="R153" s="1969">
        <f ca="1">(R83-OFFSET('Q1'!$N$172,0,4*(COLUMN()-8)))/R83</f>
        <v>3.6549101495733931E-4</v>
      </c>
      <c r="S153" s="1969">
        <f ca="1">(S83-OFFSET('Q1'!$N$172,0,4*(COLUMN()-8)))/S83</f>
        <v>3.5424492790050012E-4</v>
      </c>
      <c r="T153" s="1969">
        <f ca="1">(T83-OFFSET('Q1'!$N$172,0,4*(COLUMN()-8)))/T83</f>
        <v>-1.0909004403251812E-3</v>
      </c>
      <c r="U153" s="1969">
        <f ca="1">(U83-OFFSET('Q1'!$N$172,0,4*(COLUMN()-8)))/U83</f>
        <v>3.5655625113261948E-4</v>
      </c>
      <c r="V153" s="1969">
        <f ca="1">(V83-OFFSET('Q1'!$N$172,0,4*(COLUMN()-8)))/V83</f>
        <v>-7.4915856170288807E-4</v>
      </c>
      <c r="W153" s="1969">
        <f ca="1">(W83-OFFSET('Q1'!$N$172,0,4*(COLUMN()-8)))/W83</f>
        <v>1.9493712331478019E-4</v>
      </c>
      <c r="X153" s="1969">
        <f ca="1">(X83-OFFSET('Q1'!$N$172,0,4*(COLUMN()-8)))/X83</f>
        <v>2.1049662467865424E-6</v>
      </c>
      <c r="Y153" s="1969">
        <f ca="1">(Y83-OFFSET('Q1'!$N$172,0,4*(COLUMN()-8)))/Y83</f>
        <v>1.6401370664084576E-4</v>
      </c>
      <c r="Z153" s="1969">
        <f ca="1">(Z83-OFFSET('Q1'!$N$172,0,4*(COLUMN()-8)))/Z83</f>
        <v>-3.7590399716198772E-4</v>
      </c>
      <c r="AA153" s="1969">
        <f ca="1">(AA83-OFFSET('Q1'!$N$172,0,4*(COLUMN()-8)))/AA83</f>
        <v>4.9831140216938642E-4</v>
      </c>
      <c r="AB153" s="1969">
        <f ca="1">(AB83-OFFSET('Q1'!$N$172,0,4*(COLUMN()-8)))/AB83</f>
        <v>2.4011574514885842E-4</v>
      </c>
      <c r="AC153" s="1969">
        <f ca="1">(AC83-OFFSET('Q1'!$N$172,0,4*(COLUMN()-8)))/AC83</f>
        <v>-3.2458356500845217E-4</v>
      </c>
      <c r="AD153" s="1969">
        <f ca="1">(AD83-OFFSET('Q1'!$N$172,0,4*(COLUMN()-8)))/AD83</f>
        <v>-3.5320868113251859E-4</v>
      </c>
      <c r="AE153" s="1969">
        <f ca="1">(AE83-OFFSET('Q1'!$N$172,0,4*(COLUMN()-8)))/AE83</f>
        <v>-2.8413597580630553E-4</v>
      </c>
    </row>
    <row r="154" spans="1:31">
      <c r="A154" s="664"/>
      <c r="C154" s="1480"/>
      <c r="D154" s="1445"/>
      <c r="E154" s="50" t="s">
        <v>1359</v>
      </c>
      <c r="F154" s="1483"/>
      <c r="G154" s="1970"/>
      <c r="H154" s="1970">
        <f ca="1">(H94-OFFSET('Q1'!$N$202,0,4*(COLUMN()-8)))/H94</f>
        <v>0.15786711120715491</v>
      </c>
      <c r="I154" s="1970">
        <f ca="1">(I94-OFFSET('Q1'!$N$202,0,4*(COLUMN()-8)))/I94</f>
        <v>0.16715035224374636</v>
      </c>
      <c r="J154" s="1970">
        <f ca="1">(J94-OFFSET('Q1'!$N$202,0,4*(COLUMN()-8)))/J94</f>
        <v>0.1686009540638882</v>
      </c>
      <c r="K154" s="1970">
        <f ca="1">(K94-OFFSET('Q1'!$N$202,0,4*(COLUMN()-8)))/K94</f>
        <v>0.17440177795413664</v>
      </c>
      <c r="L154" s="1970">
        <f ca="1">(L94-OFFSET('Q1'!$N$202,0,4*(COLUMN()-8)))/L94</f>
        <v>0.17146419361654139</v>
      </c>
      <c r="M154" s="1970">
        <f ca="1">(M94-OFFSET('Q1'!$N$202,0,4*(COLUMN()-8)))/M94</f>
        <v>0.16960094219349142</v>
      </c>
      <c r="N154" s="1970">
        <f ca="1">(N94-OFFSET('Q1'!$N$202,0,4*(COLUMN()-8)))/N94</f>
        <v>0.16947085935930692</v>
      </c>
      <c r="O154" s="1970">
        <f ca="1">(O94-OFFSET('Q1'!$N$202,0,4*(COLUMN()-8)))/O94</f>
        <v>0.17140058975516798</v>
      </c>
      <c r="P154" s="1970">
        <f ca="1">(P94-OFFSET('Q1'!$N$202,0,4*(COLUMN()-8)))/P94</f>
        <v>0.17671452779437433</v>
      </c>
      <c r="Q154" s="1970">
        <f ca="1">(Q94-OFFSET('Q1'!$N$202,0,4*(COLUMN()-8)))/Q94</f>
        <v>0.14728800784460552</v>
      </c>
      <c r="R154" s="1970">
        <f ca="1">(R94-OFFSET('Q1'!$N$202,0,4*(COLUMN()-8)))/R94</f>
        <v>2.8722569942244598E-3</v>
      </c>
      <c r="S154" s="1970">
        <f ca="1">(S94-OFFSET('Q1'!$N$202,0,4*(COLUMN()-8)))/S94</f>
        <v>1.7289302628854728E-3</v>
      </c>
      <c r="T154" s="1970">
        <f ca="1">(T94-OFFSET('Q1'!$N$202,0,4*(COLUMN()-8)))/T94</f>
        <v>4.3577580225335156E-3</v>
      </c>
      <c r="U154" s="1970">
        <f ca="1">(U94-OFFSET('Q1'!$N$202,0,4*(COLUMN()-8)))/U94</f>
        <v>2.2738041493480512E-3</v>
      </c>
      <c r="V154" s="1970">
        <f ca="1">(V94-OFFSET('Q1'!$N$202,0,4*(COLUMN()-8)))/V94</f>
        <v>-1.3474083991655917E-3</v>
      </c>
      <c r="W154" s="1970">
        <f ca="1">(W94-OFFSET('Q1'!$N$202,0,4*(COLUMN()-8)))/W94</f>
        <v>-1.1383803474688905E-3</v>
      </c>
      <c r="X154" s="1970">
        <f ca="1">(X94-OFFSET('Q1'!$N$202,0,4*(COLUMN()-8)))/X94</f>
        <v>2.6992337123493445E-3</v>
      </c>
      <c r="Y154" s="1970">
        <f ca="1">(Y94-OFFSET('Q1'!$N$202,0,4*(COLUMN()-8)))/Y94</f>
        <v>1.0106220719458981E-3</v>
      </c>
      <c r="Z154" s="1970">
        <f ca="1">(Z94-OFFSET('Q1'!$N$202,0,4*(COLUMN()-8)))/Z94</f>
        <v>1.0341808860204916E-3</v>
      </c>
      <c r="AA154" s="1970">
        <f ca="1">(AA94-OFFSET('Q1'!$N$202,0,4*(COLUMN()-8)))/AA94</f>
        <v>1.4691085432735852E-3</v>
      </c>
      <c r="AB154" s="1970">
        <f ca="1">(AB94-OFFSET('Q1'!$N$202,0,4*(COLUMN()-8)))/AB94</f>
        <v>3.630381903840432E-3</v>
      </c>
      <c r="AC154" s="1970">
        <f ca="1">(AC94-OFFSET('Q1'!$N$202,0,4*(COLUMN()-8)))/AC94</f>
        <v>2.5332665325073509E-4</v>
      </c>
      <c r="AD154" s="1970">
        <f ca="1">(AD94-OFFSET('Q1'!$N$202,0,4*(COLUMN()-8)))/AD94</f>
        <v>1.5882624728104093E-3</v>
      </c>
      <c r="AE154" s="1970">
        <f ca="1">(AE94-OFFSET('Q1'!$N$202,0,4*(COLUMN()-8)))/AE94</f>
        <v>6.9792972261739628E-4</v>
      </c>
    </row>
    <row r="155" spans="1:31">
      <c r="A155" s="664"/>
      <c r="C155" s="1484"/>
      <c r="D155" s="1964"/>
      <c r="E155" s="113" t="s">
        <v>1455</v>
      </c>
      <c r="F155" s="1482" t="s">
        <v>1591</v>
      </c>
      <c r="G155" s="1969"/>
      <c r="H155" s="1969">
        <f ca="1">(H105-OFFSET('Q1'!$N$229,0,4*(COLUMN()-8)))/H105</f>
        <v>0.10918660991918898</v>
      </c>
      <c r="I155" s="1969">
        <f ca="1">(I105-OFFSET('Q1'!$N$229,0,4*(COLUMN()-8)))/I105</f>
        <v>0.10433576691160071</v>
      </c>
      <c r="J155" s="1969">
        <f ca="1">(J105-OFFSET('Q1'!$N$229,0,4*(COLUMN()-8)))/J105</f>
        <v>0.10068067018258207</v>
      </c>
      <c r="K155" s="1969">
        <f ca="1">(K105-OFFSET('Q1'!$N$229,0,4*(COLUMN()-8)))/K105</f>
        <v>0.1045132645280185</v>
      </c>
      <c r="L155" s="1969">
        <f ca="1">(L105-OFFSET('Q1'!$N$229,0,4*(COLUMN()-8)))/L105</f>
        <v>0.10828237557570093</v>
      </c>
      <c r="M155" s="1969">
        <f ca="1">(M105-OFFSET('Q1'!$N$229,0,4*(COLUMN()-8)))/M105</f>
        <v>0.10008927064315597</v>
      </c>
      <c r="N155" s="1969">
        <f ca="1">(N105-OFFSET('Q1'!$N$229,0,4*(COLUMN()-8)))/N105</f>
        <v>0.10041941049486415</v>
      </c>
      <c r="O155" s="1969">
        <f ca="1">(O105-OFFSET('Q1'!$N$229,0,4*(COLUMN()-8)))/O105</f>
        <v>0.1045131858163424</v>
      </c>
      <c r="P155" s="1969">
        <f ca="1">(P105-OFFSET('Q1'!$N$229,0,4*(COLUMN()-8)))/P105</f>
        <v>0.11586490311468611</v>
      </c>
      <c r="Q155" s="1969">
        <f ca="1">(Q105-OFFSET('Q1'!$N$229,0,4*(COLUMN()-8)))/Q105</f>
        <v>-3.5334550877565984E-3</v>
      </c>
      <c r="R155" s="1969">
        <f ca="1">(R105-OFFSET('Q1'!$N$229,0,4*(COLUMN()-8)))/R105</f>
        <v>-3.0936327096267196E-3</v>
      </c>
      <c r="S155" s="1969">
        <f ca="1">(S105-OFFSET('Q1'!$N$229,0,4*(COLUMN()-8)))/S105</f>
        <v>-2.7913546363656579E-3</v>
      </c>
      <c r="T155" s="1969">
        <f ca="1">(T105-OFFSET('Q1'!$N$229,0,4*(COLUMN()-8)))/T105</f>
        <v>7.4525530164426049E-3</v>
      </c>
      <c r="U155" s="1969">
        <f ca="1">(U105-OFFSET('Q1'!$N$229,0,4*(COLUMN()-8)))/U105</f>
        <v>-3.4549331216912381E-3</v>
      </c>
      <c r="V155" s="1969">
        <f ca="1">(V105-OFFSET('Q1'!$N$229,0,4*(COLUMN()-8)))/V105</f>
        <v>-3.0313018674540063E-3</v>
      </c>
      <c r="W155" s="1969">
        <f ca="1">(W105-OFFSET('Q1'!$N$229,0,4*(COLUMN()-8)))/W105</f>
        <v>-5.6171970874201579E-3</v>
      </c>
      <c r="X155" s="1969">
        <f ca="1">(X105-OFFSET('Q1'!$N$229,0,4*(COLUMN()-8)))/X105</f>
        <v>1.3159546080482301E-2</v>
      </c>
      <c r="Y155" s="1969">
        <f ca="1">(Y105-OFFSET('Q1'!$N$229,0,4*(COLUMN()-8)))/Y105</f>
        <v>-4.8316574703088097E-3</v>
      </c>
      <c r="Z155" s="1969">
        <f ca="1">(Z105-OFFSET('Q1'!$N$229,0,4*(COLUMN()-8)))/Z105</f>
        <v>-1.5473051422696651E-3</v>
      </c>
      <c r="AA155" s="1969">
        <f ca="1">(AA105-OFFSET('Q1'!$N$229,0,4*(COLUMN()-8)))/AA105</f>
        <v>-2.7951113806242841E-3</v>
      </c>
      <c r="AB155" s="1969">
        <f ca="1">(AB105-OFFSET('Q1'!$N$229,0,4*(COLUMN()-8)))/AB105</f>
        <v>5.5214981525025797E-3</v>
      </c>
      <c r="AC155" s="1969">
        <f ca="1">(AC105-OFFSET('Q1'!$N$229,0,4*(COLUMN()-8)))/AC105</f>
        <v>-1.2512073189114834E-3</v>
      </c>
      <c r="AD155" s="1969">
        <f ca="1">(AD105-OFFSET('Q1'!$N$229,0,4*(COLUMN()-8)))/AD105</f>
        <v>-1.2306259929263695E-3</v>
      </c>
      <c r="AE155" s="1969">
        <f ca="1">(AE105-OFFSET('Q1'!$N$229,0,4*(COLUMN()-8)))/AE105</f>
        <v>-1.3996737502090838E-3</v>
      </c>
    </row>
    <row r="156" spans="1:31">
      <c r="A156" s="664"/>
      <c r="C156" s="546"/>
      <c r="D156" s="1966"/>
      <c r="E156" s="45" t="s">
        <v>1166</v>
      </c>
      <c r="F156" s="1476" t="s">
        <v>787</v>
      </c>
      <c r="G156" s="1970"/>
      <c r="H156" s="1970">
        <f ca="1">(H125-OFFSET('Q1'!$N$259,0,4*(COLUMN()-8)))/H125</f>
        <v>0.20738971145669885</v>
      </c>
      <c r="I156" s="1970">
        <f ca="1">(I125-OFFSET('Q1'!$N$259,0,4*(COLUMN()-8)))/I125</f>
        <v>0.20692289258344915</v>
      </c>
      <c r="J156" s="1970">
        <f ca="1">(J125-OFFSET('Q1'!$N$259,0,4*(COLUMN()-8)))/J125</f>
        <v>0.20623561655638742</v>
      </c>
      <c r="K156" s="1970">
        <f ca="1">(K125-OFFSET('Q1'!$N$259,0,4*(COLUMN()-8)))/K125</f>
        <v>0.20687621141472703</v>
      </c>
      <c r="L156" s="1970">
        <f ca="1">(L125-OFFSET('Q1'!$N$259,0,4*(COLUMN()-8)))/L125</f>
        <v>0.20710988841052402</v>
      </c>
      <c r="M156" s="1970">
        <f ca="1">(M125-OFFSET('Q1'!$N$259,0,4*(COLUMN()-8)))/M125</f>
        <v>0.20590015590682556</v>
      </c>
      <c r="N156" s="1970">
        <f ca="1">(N125-OFFSET('Q1'!$N$259,0,4*(COLUMN()-8)))/N125</f>
        <v>0.20608974318153933</v>
      </c>
      <c r="O156" s="1970">
        <f ca="1">(O125-OFFSET('Q1'!$N$259,0,4*(COLUMN()-8)))/O125</f>
        <v>0.20684561786894018</v>
      </c>
      <c r="P156" s="1970">
        <f ca="1">(P125-OFFSET('Q1'!$N$259,0,4*(COLUMN()-8)))/P125</f>
        <v>0.2094089042684214</v>
      </c>
      <c r="Q156" s="1970">
        <f ca="1">(Q125-OFFSET('Q1'!$N$259,0,4*(COLUMN()-8)))/Q125</f>
        <v>-5.5568143604128027E-4</v>
      </c>
      <c r="R156" s="1970">
        <f ca="1">(R125-OFFSET('Q1'!$N$259,0,4*(COLUMN()-8)))/R125</f>
        <v>-8.8469457258197489E-4</v>
      </c>
      <c r="S156" s="1970">
        <f ca="1">(S125-OFFSET('Q1'!$N$259,0,4*(COLUMN()-8)))/S125</f>
        <v>-7.6057296285180593E-4</v>
      </c>
      <c r="T156" s="1970">
        <f ca="1">(T125-OFFSET('Q1'!$N$259,0,4*(COLUMN()-8)))/T125</f>
        <v>-1.1071651875634032E-3</v>
      </c>
      <c r="U156" s="1970">
        <f ca="1">(U125-OFFSET('Q1'!$N$259,0,4*(COLUMN()-8)))/U125</f>
        <v>2.9627781502920315E-4</v>
      </c>
      <c r="V156" s="1970">
        <f ca="1">(V125-OFFSET('Q1'!$N$259,0,4*(COLUMN()-8)))/V125</f>
        <v>-1.3343960930025983E-4</v>
      </c>
      <c r="W156" s="1970">
        <f ca="1">(W125-OFFSET('Q1'!$N$259,0,4*(COLUMN()-8)))/W125</f>
        <v>2.7253081196274234E-5</v>
      </c>
      <c r="X156" s="1970">
        <f ca="1">(X125-OFFSET('Q1'!$N$259,0,4*(COLUMN()-8)))/X125</f>
        <v>9.1707948745932492E-5</v>
      </c>
      <c r="Y156" s="1970">
        <f ca="1">(Y125-OFFSET('Q1'!$N$259,0,4*(COLUMN()-8)))/Y125</f>
        <v>1.4089600465918904E-5</v>
      </c>
      <c r="Z156" s="1970">
        <f ca="1">(Z125-OFFSET('Q1'!$N$259,0,4*(COLUMN()-8)))/Z125</f>
        <v>-6.3504927679942976E-5</v>
      </c>
      <c r="AA156" s="1970">
        <f ca="1">(AA125-OFFSET('Q1'!$N$259,0,4*(COLUMN()-8)))/AA125</f>
        <v>6.8166063200002746E-6</v>
      </c>
      <c r="AB156" s="1970">
        <f ca="1">(AB125-OFFSET('Q1'!$N$259,0,4*(COLUMN()-8)))/AB125</f>
        <v>8.4558465808148332E-5</v>
      </c>
      <c r="AC156" s="1970">
        <f ca="1">(AC125-OFFSET('Q1'!$N$259,0,4*(COLUMN()-8)))/AC125</f>
        <v>-3.5141993175816431E-5</v>
      </c>
      <c r="AD156" s="1970">
        <f ca="1">(AD125-OFFSET('Q1'!$N$259,0,4*(COLUMN()-8)))/AD125</f>
        <v>-2.9446107689074582E-5</v>
      </c>
      <c r="AE156" s="1970">
        <f ca="1">(AE125-OFFSET('Q1'!$N$259,0,4*(COLUMN()-8)))/AE125</f>
        <v>-3.2327508665917307E-5</v>
      </c>
    </row>
    <row r="157" spans="1:31">
      <c r="AB157" s="557"/>
      <c r="AC157" s="557"/>
      <c r="AD157" s="557"/>
      <c r="AE157" s="557"/>
    </row>
    <row r="158" spans="1:31">
      <c r="A158" s="1130"/>
      <c r="D158" s="1165"/>
      <c r="E158" s="1166" t="s">
        <v>462</v>
      </c>
      <c r="F158" s="1167"/>
      <c r="G158" s="1168">
        <f>+InputY!$G$3</f>
        <v>1995</v>
      </c>
      <c r="H158" s="1168">
        <f>+G158+1</f>
        <v>1996</v>
      </c>
      <c r="I158" s="1168">
        <f t="shared" ref="I158:O158" si="160">+H158+1</f>
        <v>1997</v>
      </c>
      <c r="J158" s="1168">
        <f t="shared" si="160"/>
        <v>1998</v>
      </c>
      <c r="K158" s="1168">
        <f t="shared" si="160"/>
        <v>1999</v>
      </c>
      <c r="L158" s="1168">
        <f t="shared" si="160"/>
        <v>2000</v>
      </c>
      <c r="M158" s="1168">
        <f t="shared" si="160"/>
        <v>2001</v>
      </c>
      <c r="N158" s="1168">
        <f t="shared" si="160"/>
        <v>2002</v>
      </c>
      <c r="O158" s="1168">
        <f t="shared" si="160"/>
        <v>2003</v>
      </c>
      <c r="P158" s="1168">
        <f t="shared" ref="P158:V158" si="161">+O158+1</f>
        <v>2004</v>
      </c>
      <c r="Q158" s="1168">
        <f t="shared" si="161"/>
        <v>2005</v>
      </c>
      <c r="R158" s="1168">
        <f t="shared" si="161"/>
        <v>2006</v>
      </c>
      <c r="S158" s="1168">
        <f>+R158+1</f>
        <v>2007</v>
      </c>
      <c r="T158" s="1125">
        <f t="shared" si="161"/>
        <v>2008</v>
      </c>
      <c r="U158" s="1125">
        <f t="shared" si="161"/>
        <v>2009</v>
      </c>
      <c r="V158" s="1125">
        <f t="shared" si="161"/>
        <v>2010</v>
      </c>
      <c r="W158" s="1125">
        <f t="shared" ref="W158:AE158" si="162">+V158+1</f>
        <v>2011</v>
      </c>
      <c r="X158" s="1125">
        <f t="shared" si="162"/>
        <v>2012</v>
      </c>
      <c r="Y158" s="1125">
        <f t="shared" si="162"/>
        <v>2013</v>
      </c>
      <c r="Z158" s="1125">
        <f t="shared" si="162"/>
        <v>2014</v>
      </c>
      <c r="AA158" s="1125">
        <f t="shared" si="162"/>
        <v>2015</v>
      </c>
      <c r="AB158" s="1125">
        <f t="shared" si="162"/>
        <v>2016</v>
      </c>
      <c r="AC158" s="1125">
        <f t="shared" si="162"/>
        <v>2017</v>
      </c>
      <c r="AD158" s="1125">
        <f t="shared" si="162"/>
        <v>2018</v>
      </c>
      <c r="AE158" s="1125">
        <f t="shared" si="162"/>
        <v>2019</v>
      </c>
    </row>
    <row r="159" spans="1:31">
      <c r="A159" s="664">
        <f>+ROW(InputY!A53)</f>
        <v>53</v>
      </c>
      <c r="B159" s="665" t="s">
        <v>258</v>
      </c>
      <c r="C159" s="1082"/>
      <c r="D159" s="1086"/>
      <c r="E159" s="1087" t="s">
        <v>461</v>
      </c>
      <c r="F159" s="1086" t="s">
        <v>465</v>
      </c>
      <c r="G159" s="1088">
        <f>+InputY!G53/1000</f>
        <v>13.007718594954577</v>
      </c>
      <c r="H159" s="1088">
        <f>+InputY!H53/1000</f>
        <v>13.68921744656852</v>
      </c>
      <c r="I159" s="1088">
        <f>+InputY!I53/1000</f>
        <v>14.80355275774415</v>
      </c>
      <c r="J159" s="1088">
        <f>+InputY!J53/1000</f>
        <v>15.932074847052366</v>
      </c>
      <c r="K159" s="1088">
        <f>+InputY!K53/1000</f>
        <v>15.76932793178003</v>
      </c>
      <c r="L159" s="1088">
        <f>+InputY!L53/1000</f>
        <v>16.340395653944416</v>
      </c>
      <c r="M159" s="1088">
        <f>+InputY!M53/1000</f>
        <v>17.435136589285346</v>
      </c>
      <c r="N159" s="1088">
        <f>+InputY!N53/1000</f>
        <v>18.627352195151989</v>
      </c>
      <c r="O159" s="1088">
        <f>+InputY!O53/1000</f>
        <v>20.541478464990298</v>
      </c>
      <c r="P159" s="1088">
        <f>+InputY!P53/1000</f>
        <v>22.072500000000002</v>
      </c>
      <c r="Q159" s="1088">
        <f>+InputY!Q53/1000</f>
        <v>23.778130000000001</v>
      </c>
      <c r="R159" s="1088">
        <f>+InputY!R53/1000</f>
        <v>25.539240000000003</v>
      </c>
      <c r="S159" s="1088">
        <f>+InputY!S53/1000</f>
        <v>28.37077</v>
      </c>
      <c r="T159" s="1088">
        <f>+InputY!T53/1000</f>
        <v>29.11637</v>
      </c>
      <c r="U159" s="1088">
        <f>+InputY!U53/1000</f>
        <v>24.80303</v>
      </c>
      <c r="V159" s="1088">
        <f>+InputY!V53/1000</f>
        <v>25.20975</v>
      </c>
      <c r="W159" s="1088">
        <f>+InputY!W53/1000</f>
        <v>26.73321</v>
      </c>
      <c r="X159" s="1088">
        <f>+InputY!X53/1000</f>
        <v>27.75628</v>
      </c>
      <c r="Y159" s="1088">
        <f>+InputY!Y53/1000</f>
        <v>28.727349999999998</v>
      </c>
      <c r="Z159" s="1088">
        <f>+InputY!Z53/1000</f>
        <v>29.74361</v>
      </c>
      <c r="AA159" s="1088">
        <f>+InputY!AA53/1000</f>
        <v>30.348790000000001</v>
      </c>
      <c r="AB159" s="1088">
        <f>+InputY!AB53/1000</f>
        <v>31.06043</v>
      </c>
      <c r="AC159" s="1088">
        <f>+InputY!AC53/1000</f>
        <v>32.24971</v>
      </c>
      <c r="AD159" s="1343">
        <f ca="1">+AC159*(1+AD162/100)</f>
        <v>33.151944645504848</v>
      </c>
      <c r="AE159" s="1343">
        <f ca="1">+AD159*(1+AE162/100)</f>
        <v>34.017908485511633</v>
      </c>
    </row>
    <row r="160" spans="1:31">
      <c r="AB160" s="557"/>
      <c r="AC160" s="557"/>
      <c r="AD160" s="557"/>
      <c r="AE160" s="557"/>
    </row>
    <row r="161" spans="1:94" s="699" customFormat="1" ht="12.75" customHeight="1">
      <c r="A161" s="664"/>
      <c r="B161" s="664"/>
      <c r="C161" s="774"/>
      <c r="D161" s="1092"/>
      <c r="E161" s="1093" t="s">
        <v>462</v>
      </c>
      <c r="F161" s="1094"/>
      <c r="G161" s="896">
        <f>+InputY!$G$3</f>
        <v>1995</v>
      </c>
      <c r="H161" s="896">
        <f>+G161+1</f>
        <v>1996</v>
      </c>
      <c r="I161" s="896">
        <f t="shared" ref="I161:O161" si="163">+H161+1</f>
        <v>1997</v>
      </c>
      <c r="J161" s="896">
        <f t="shared" si="163"/>
        <v>1998</v>
      </c>
      <c r="K161" s="896">
        <f t="shared" si="163"/>
        <v>1999</v>
      </c>
      <c r="L161" s="896">
        <f t="shared" si="163"/>
        <v>2000</v>
      </c>
      <c r="M161" s="896">
        <f t="shared" si="163"/>
        <v>2001</v>
      </c>
      <c r="N161" s="896">
        <f t="shared" si="163"/>
        <v>2002</v>
      </c>
      <c r="O161" s="896">
        <f t="shared" si="163"/>
        <v>2003</v>
      </c>
      <c r="P161" s="896">
        <f t="shared" ref="P161:V161" si="164">+O161+1</f>
        <v>2004</v>
      </c>
      <c r="Q161" s="896">
        <f t="shared" si="164"/>
        <v>2005</v>
      </c>
      <c r="R161" s="896">
        <f t="shared" si="164"/>
        <v>2006</v>
      </c>
      <c r="S161" s="896">
        <f>+R161+1</f>
        <v>2007</v>
      </c>
      <c r="T161" s="896">
        <f t="shared" si="164"/>
        <v>2008</v>
      </c>
      <c r="U161" s="896">
        <f t="shared" si="164"/>
        <v>2009</v>
      </c>
      <c r="V161" s="896">
        <f t="shared" si="164"/>
        <v>2010</v>
      </c>
      <c r="W161" s="896">
        <f t="shared" ref="W161:AE161" si="165">+V161+1</f>
        <v>2011</v>
      </c>
      <c r="X161" s="896">
        <f t="shared" si="165"/>
        <v>2012</v>
      </c>
      <c r="Y161" s="896">
        <f t="shared" si="165"/>
        <v>2013</v>
      </c>
      <c r="Z161" s="896">
        <f t="shared" si="165"/>
        <v>2014</v>
      </c>
      <c r="AA161" s="896">
        <f t="shared" si="165"/>
        <v>2015</v>
      </c>
      <c r="AB161" s="896">
        <f t="shared" si="165"/>
        <v>2016</v>
      </c>
      <c r="AC161" s="896">
        <f t="shared" si="165"/>
        <v>2017</v>
      </c>
      <c r="AD161" s="896">
        <f t="shared" si="165"/>
        <v>2018</v>
      </c>
      <c r="AE161" s="896">
        <f t="shared" si="165"/>
        <v>2019</v>
      </c>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row>
    <row r="162" spans="1:94" s="699" customFormat="1" ht="12.75" customHeight="1">
      <c r="A162" s="664"/>
      <c r="B162" s="664"/>
      <c r="C162" s="798"/>
      <c r="D162" s="833"/>
      <c r="E162" s="834" t="s">
        <v>461</v>
      </c>
      <c r="F162" s="835" t="s">
        <v>465</v>
      </c>
      <c r="G162" s="1115"/>
      <c r="H162" s="1115">
        <f t="shared" ref="H162:AC162" si="166">+(H159/G159-1)*100</f>
        <v>5.2391881530884588</v>
      </c>
      <c r="I162" s="1115">
        <f t="shared" si="166"/>
        <v>8.1402411461800597</v>
      </c>
      <c r="J162" s="1115">
        <f t="shared" si="166"/>
        <v>7.6233192651531168</v>
      </c>
      <c r="K162" s="1115">
        <f t="shared" si="166"/>
        <v>-1.0215048374722313</v>
      </c>
      <c r="L162" s="1115">
        <f t="shared" si="166"/>
        <v>3.621382754134439</v>
      </c>
      <c r="M162" s="1115">
        <f t="shared" si="166"/>
        <v>6.699598703270504</v>
      </c>
      <c r="N162" s="1115">
        <f t="shared" si="166"/>
        <v>6.838005539912495</v>
      </c>
      <c r="O162" s="1115">
        <f t="shared" si="166"/>
        <v>10.27589025957476</v>
      </c>
      <c r="P162" s="1115">
        <f t="shared" si="166"/>
        <v>7.453317138876292</v>
      </c>
      <c r="Q162" s="1115">
        <f t="shared" si="166"/>
        <v>7.7273983463585827</v>
      </c>
      <c r="R162" s="1115">
        <f t="shared" si="166"/>
        <v>7.4064276711415244</v>
      </c>
      <c r="S162" s="1115">
        <f t="shared" si="166"/>
        <v>11.08697831258878</v>
      </c>
      <c r="T162" s="1115">
        <f t="shared" si="166"/>
        <v>2.6280569755420702</v>
      </c>
      <c r="U162" s="1115">
        <f t="shared" si="166"/>
        <v>-14.814140636349926</v>
      </c>
      <c r="V162" s="1115">
        <f t="shared" si="166"/>
        <v>1.6397996535100656</v>
      </c>
      <c r="W162" s="1115">
        <f t="shared" si="166"/>
        <v>6.0431380715794569</v>
      </c>
      <c r="X162" s="1115">
        <f t="shared" si="166"/>
        <v>3.8269627927211225</v>
      </c>
      <c r="Y162" s="1115">
        <f t="shared" si="166"/>
        <v>3.4985596052496959</v>
      </c>
      <c r="Z162" s="1115">
        <f t="shared" si="166"/>
        <v>3.5376044083425873</v>
      </c>
      <c r="AA162" s="1115">
        <f t="shared" si="166"/>
        <v>2.0346555108811559</v>
      </c>
      <c r="AB162" s="1115">
        <f t="shared" si="166"/>
        <v>2.3448710805274331</v>
      </c>
      <c r="AC162" s="1115">
        <f t="shared" si="166"/>
        <v>3.8289231668718005</v>
      </c>
      <c r="AD162" s="1427">
        <f ca="1">OFFSET('VVP1'!$G$119,0,5*(COLUMN()-7))</f>
        <v>2.7976519649474341</v>
      </c>
      <c r="AE162" s="1427">
        <f ca="1">OFFSET('VVP1'!$G$119,0,5*(COLUMN()-7))</f>
        <v>2.6121057128520642</v>
      </c>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row>
    <row r="163" spans="1:94">
      <c r="AB163" s="557"/>
      <c r="AC163" s="557"/>
      <c r="AD163" s="557"/>
      <c r="AE163" s="557"/>
    </row>
    <row r="164" spans="1:94">
      <c r="A164" s="664"/>
      <c r="D164" s="1477"/>
      <c r="E164" s="1511" t="s">
        <v>1206</v>
      </c>
      <c r="F164" s="1512"/>
      <c r="G164" s="817">
        <f>+InputY!$G$3</f>
        <v>1995</v>
      </c>
      <c r="H164" s="817">
        <f>+G164+1</f>
        <v>1996</v>
      </c>
      <c r="I164" s="817">
        <f t="shared" ref="I164:O164" si="167">+H164+1</f>
        <v>1997</v>
      </c>
      <c r="J164" s="817">
        <f t="shared" si="167"/>
        <v>1998</v>
      </c>
      <c r="K164" s="817">
        <f t="shared" si="167"/>
        <v>1999</v>
      </c>
      <c r="L164" s="817">
        <f t="shared" si="167"/>
        <v>2000</v>
      </c>
      <c r="M164" s="817">
        <f t="shared" si="167"/>
        <v>2001</v>
      </c>
      <c r="N164" s="817">
        <f t="shared" si="167"/>
        <v>2002</v>
      </c>
      <c r="O164" s="817">
        <f t="shared" si="167"/>
        <v>2003</v>
      </c>
      <c r="P164" s="817">
        <f t="shared" ref="P164:U164" si="168">+O164+1</f>
        <v>2004</v>
      </c>
      <c r="Q164" s="817">
        <f t="shared" si="168"/>
        <v>2005</v>
      </c>
      <c r="R164" s="817">
        <f>+Q164+1</f>
        <v>2006</v>
      </c>
      <c r="S164" s="817">
        <f>+R164+1</f>
        <v>2007</v>
      </c>
      <c r="T164" s="817">
        <f t="shared" si="168"/>
        <v>2008</v>
      </c>
      <c r="U164" s="817">
        <f t="shared" si="168"/>
        <v>2009</v>
      </c>
      <c r="V164" s="817">
        <f t="shared" ref="V164:AE164" si="169">+U164+1</f>
        <v>2010</v>
      </c>
      <c r="W164" s="817">
        <f t="shared" si="169"/>
        <v>2011</v>
      </c>
      <c r="X164" s="817">
        <f t="shared" si="169"/>
        <v>2012</v>
      </c>
      <c r="Y164" s="817">
        <f t="shared" si="169"/>
        <v>2013</v>
      </c>
      <c r="Z164" s="817">
        <f t="shared" si="169"/>
        <v>2014</v>
      </c>
      <c r="AA164" s="817">
        <f t="shared" si="169"/>
        <v>2015</v>
      </c>
      <c r="AB164" s="817">
        <f t="shared" si="169"/>
        <v>2016</v>
      </c>
      <c r="AC164" s="817">
        <f t="shared" si="169"/>
        <v>2017</v>
      </c>
      <c r="AD164" s="817">
        <f t="shared" si="169"/>
        <v>2018</v>
      </c>
      <c r="AE164" s="817">
        <f t="shared" si="169"/>
        <v>2019</v>
      </c>
    </row>
    <row r="165" spans="1:94">
      <c r="A165" s="664"/>
      <c r="B165" s="665">
        <v>1</v>
      </c>
      <c r="C165" s="1479"/>
      <c r="D165" s="23"/>
      <c r="E165" s="23" t="str">
        <f>+Transfer!B101</f>
        <v>VOL. PRIVATE CONSUMPTION EXPEND.</v>
      </c>
      <c r="F165" s="1494"/>
      <c r="G165" s="1905"/>
      <c r="H165" s="1905">
        <f ca="1">IF(UPPER('VVP1'!$F$3)="Y",OFFSET('VVP1'!$H7,0,5*(COLUMN()-7)),H7)</f>
        <v>5.2829141985078021</v>
      </c>
      <c r="I165" s="1905">
        <f ca="1">IF(UPPER('VVP1'!$F$3)="Y",OFFSET('VVP1'!$H7,0,5*(COLUMN()-7)),I7)</f>
        <v>6.5832158506398439</v>
      </c>
      <c r="J165" s="1905">
        <f ca="1">IF(UPPER('VVP1'!$F$3)="Y",OFFSET('VVP1'!$H7,0,5*(COLUMN()-7)),J7)</f>
        <v>7.5343351365628726</v>
      </c>
      <c r="K165" s="1905">
        <f ca="1">IF(UPPER('VVP1'!$F$3)="Y",OFFSET('VVP1'!$H7,0,5*(COLUMN()-7)),K7)</f>
        <v>8.3628462092867917</v>
      </c>
      <c r="L165" s="1905">
        <f ca="1">IF(UPPER('VVP1'!$F$3)="Y",OFFSET('VVP1'!$H7,0,5*(COLUMN()-7)),L7)</f>
        <v>8.8367246450692782</v>
      </c>
      <c r="M165" s="1905">
        <f ca="1">IF(UPPER('VVP1'!$F$3)="Y",OFFSET('VVP1'!$H7,0,5*(COLUMN()-7)),M7)</f>
        <v>9.057646292067739</v>
      </c>
      <c r="N165" s="1905">
        <f ca="1">IF(UPPER('VVP1'!$F$3)="Y",OFFSET('VVP1'!$H7,0,5*(COLUMN()-7)),N7)</f>
        <v>9.8403920369550839</v>
      </c>
      <c r="O165" s="1905">
        <f ca="1">IF(UPPER('VVP1'!$F$3)="Y",OFFSET('VVP1'!$H7,0,5*(COLUMN()-7)),O7)</f>
        <v>10.90170260973504</v>
      </c>
      <c r="P165" s="1905">
        <f ca="1">IF(UPPER('VVP1'!$F$3)="Y",OFFSET('VVP1'!$H7,0,5*(COLUMN()-7)),P7)</f>
        <v>11.994345184820281</v>
      </c>
      <c r="Q165" s="1905">
        <f ca="1">IF(UPPER('VVP1'!$F$3)="Y",OFFSET('VVP1'!$H7,0,5*(COLUMN()-7)),Q7)</f>
        <v>13.268709344762875</v>
      </c>
      <c r="R165" s="1905">
        <f ca="1">IF(UPPER('VVP1'!$F$3)="Y",OFFSET('VVP1'!$H7,0,5*(COLUMN()-7)),R7)</f>
        <v>14.818879948658232</v>
      </c>
      <c r="S165" s="1905">
        <f ca="1">IF(UPPER('VVP1'!$F$3)="Y",OFFSET('VVP1'!$H7,0,5*(COLUMN()-7)),S7)</f>
        <v>17.435875804991209</v>
      </c>
      <c r="T165" s="1905">
        <f ca="1">IF(UPPER('VVP1'!$F$3)="Y",OFFSET('VVP1'!$H7,0,5*(COLUMN()-7)),T7)</f>
        <v>19.172030328866111</v>
      </c>
      <c r="U165" s="1905">
        <f ca="1">IF(UPPER('VVP1'!$F$3)="Y",OFFSET('VVP1'!$H7,0,5*(COLUMN()-7)),U7)</f>
        <v>17.571659423998966</v>
      </c>
      <c r="V165" s="1905">
        <f ca="1">IF(UPPER('VVP1'!$F$3)="Y",OFFSET('VVP1'!$H7,0,5*(COLUMN()-7)),V7)</f>
        <v>17.72037473728712</v>
      </c>
      <c r="W165" s="1905">
        <f ca="1">IF(UPPER('VVP1'!$F$3)="Y",OFFSET('VVP1'!$H7,0,5*(COLUMN()-7)),W7)</f>
        <v>18.770809999999997</v>
      </c>
      <c r="X165" s="1905">
        <f ca="1">IF(UPPER('VVP1'!$F$3)="Y",OFFSET('VVP1'!$H7,0,5*(COLUMN()-7)),X7)</f>
        <v>20.148642022800296</v>
      </c>
      <c r="Y165" s="1905">
        <f ca="1">IF(UPPER('VVP1'!$F$3)="Y",OFFSET('VVP1'!$H7,0,5*(COLUMN()-7)),Y7)</f>
        <v>21.665981605317988</v>
      </c>
      <c r="Z165" s="1905">
        <f ca="1">IF(UPPER('VVP1'!$F$3)="Y",OFFSET('VVP1'!$H7,0,5*(COLUMN()-7)),Z7)</f>
        <v>22.74965501233503</v>
      </c>
      <c r="AA165" s="1905">
        <f ca="1">IF(UPPER('VVP1'!$F$3)="Y",OFFSET('VVP1'!$H7,0,5*(COLUMN()-7)),AA7)</f>
        <v>23.682538042559482</v>
      </c>
      <c r="AB165" s="1905">
        <f ca="1">IF(UPPER('VVP1'!$F$3)="Y",OFFSET('VVP1'!$H7,0,5*(COLUMN()-7)),AB7)</f>
        <v>24.632151881878773</v>
      </c>
      <c r="AC165" s="1905">
        <f ca="1">IF(UPPER('VVP1'!$F$3)="Y",OFFSET('VVP1'!$H7,0,5*(COLUMN()-7)),AC7)</f>
        <v>25.830766377612981</v>
      </c>
      <c r="AD165" s="1905">
        <f ca="1">IF(UPPER('VVP1'!$F$3)="Y",OFFSET('VVP1'!$H7,0,5*(COLUMN()-7)),AD7)</f>
        <v>27.738403649999995</v>
      </c>
      <c r="AE165" s="1905">
        <f ca="1">IF(UPPER('VVP1'!$F$3)="Y",OFFSET('VVP1'!$H7,0,5*(COLUMN()-7)),AE7)</f>
        <v>29.398769015681694</v>
      </c>
    </row>
    <row r="166" spans="1:94">
      <c r="A166" s="664"/>
      <c r="B166" s="665">
        <v>2</v>
      </c>
      <c r="C166" s="1480"/>
      <c r="D166" s="1"/>
      <c r="E166" s="1" t="str">
        <f>+Transfer!B102</f>
        <v xml:space="preserve">VOL. GOVERNMENT CONSUMPTION EXPEND. </v>
      </c>
      <c r="F166" s="1481"/>
      <c r="G166" s="1062"/>
      <c r="H166" s="1062">
        <f ca="1">IF(UPPER('VVP1'!$F$3)="Y",OFFSET('VVP1'!$H8,0,5*(COLUMN()-7)),H13)</f>
        <v>1.8493622645509178</v>
      </c>
      <c r="I166" s="1062">
        <f ca="1">IF(UPPER('VVP1'!$F$3)="Y",OFFSET('VVP1'!$H8,0,5*(COLUMN()-7)),I13)</f>
        <v>2.4184356581550737</v>
      </c>
      <c r="J166" s="1062">
        <f ca="1">IF(UPPER('VVP1'!$F$3)="Y",OFFSET('VVP1'!$H8,0,5*(COLUMN()-7)),J13)</f>
        <v>2.9742107457800899</v>
      </c>
      <c r="K166" s="1062">
        <f ca="1">IF(UPPER('VVP1'!$F$3)="Y",OFFSET('VVP1'!$H8,0,5*(COLUMN()-7)),K13)</f>
        <v>3.2215015692572364</v>
      </c>
      <c r="L166" s="1062">
        <f ca="1">IF(UPPER('VVP1'!$F$3)="Y",OFFSET('VVP1'!$H8,0,5*(COLUMN()-7)),L13)</f>
        <v>3.0148719733834319</v>
      </c>
      <c r="M166" s="1062">
        <f ca="1">IF(UPPER('VVP1'!$F$3)="Y",OFFSET('VVP1'!$H8,0,5*(COLUMN()-7)),M13)</f>
        <v>3.0358803636936322</v>
      </c>
      <c r="N166" s="1062">
        <f ca="1">IF(UPPER('VVP1'!$F$3)="Y",OFFSET('VVP1'!$H8,0,5*(COLUMN()-7)),N13)</f>
        <v>3.0752572345881553</v>
      </c>
      <c r="O166" s="1062">
        <f ca="1">IF(UPPER('VVP1'!$F$3)="Y",OFFSET('VVP1'!$H8,0,5*(COLUMN()-7)),O13)</f>
        <v>3.217168064399734</v>
      </c>
      <c r="P166" s="1062">
        <f ca="1">IF(UPPER('VVP1'!$F$3)="Y",OFFSET('VVP1'!$H8,0,5*(COLUMN()-7)),P13)</f>
        <v>3.4088313667298125</v>
      </c>
      <c r="Q166" s="1062">
        <f ca="1">IF(UPPER('VVP1'!$F$3)="Y",OFFSET('VVP1'!$H8,0,5*(COLUMN()-7)),Q13)</f>
        <v>3.6198391063349251</v>
      </c>
      <c r="R166" s="1062">
        <f ca="1">IF(UPPER('VVP1'!$F$3)="Y",OFFSET('VVP1'!$H8,0,5*(COLUMN()-7)),R13)</f>
        <v>3.9681700439227119</v>
      </c>
      <c r="S166" s="1062">
        <f ca="1">IF(UPPER('VVP1'!$F$3)="Y",OFFSET('VVP1'!$H8,0,5*(COLUMN()-7)),S13)</f>
        <v>4.6907319967381582</v>
      </c>
      <c r="T166" s="1062">
        <f ca="1">IF(UPPER('VVP1'!$F$3)="Y",OFFSET('VVP1'!$H8,0,5*(COLUMN()-7)),T13)</f>
        <v>5.0787820666066326</v>
      </c>
      <c r="U166" s="1062">
        <f ca="1">IF(UPPER('VVP1'!$F$3)="Y",OFFSET('VVP1'!$H8,0,5*(COLUMN()-7)),U13)</f>
        <v>6.0206091883061674</v>
      </c>
      <c r="V166" s="1062">
        <f ca="1">IF(UPPER('VVP1'!$F$3)="Y",OFFSET('VVP1'!$H8,0,5*(COLUMN()-7)),V13)</f>
        <v>5.5389960723131892</v>
      </c>
      <c r="W166" s="1062">
        <f ca="1">IF(UPPER('VVP1'!$F$3)="Y",OFFSET('VVP1'!$H8,0,5*(COLUMN()-7)),W13)</f>
        <v>5.5435799999999995</v>
      </c>
      <c r="X166" s="1062">
        <f ca="1">IF(UPPER('VVP1'!$F$3)="Y",OFFSET('VVP1'!$H8,0,5*(COLUMN()-7)),X13)</f>
        <v>5.8110600831231798</v>
      </c>
      <c r="Y166" s="1062">
        <f ca="1">IF(UPPER('VVP1'!$F$3)="Y",OFFSET('VVP1'!$H8,0,5*(COLUMN()-7)),Y13)</f>
        <v>5.872820010365408</v>
      </c>
      <c r="Z166" s="1062">
        <f ca="1">IF(UPPER('VVP1'!$F$3)="Y",OFFSET('VVP1'!$H8,0,5*(COLUMN()-7)),Z13)</f>
        <v>5.8537416863145211</v>
      </c>
      <c r="AA166" s="1062">
        <f ca="1">IF(UPPER('VVP1'!$F$3)="Y",OFFSET('VVP1'!$H8,0,5*(COLUMN()-7)),AA13)</f>
        <v>6.0833100473935326</v>
      </c>
      <c r="AB166" s="1062">
        <f ca="1">IF(UPPER('VVP1'!$F$3)="Y",OFFSET('VVP1'!$H8,0,5*(COLUMN()-7)),AB13)</f>
        <v>6.5118543082355504</v>
      </c>
      <c r="AC166" s="1062">
        <f ca="1">IF(UPPER('VVP1'!$F$3)="Y",OFFSET('VVP1'!$H8,0,5*(COLUMN()-7)),AC13)</f>
        <v>6.7137872911684973</v>
      </c>
      <c r="AD166" s="1062">
        <f ca="1">IF(UPPER('VVP1'!$F$3)="Y",OFFSET('VVP1'!$H8,0,5*(COLUMN()-7)),AD13)</f>
        <v>7.0213420200000005</v>
      </c>
      <c r="AE166" s="1062">
        <f ca="1">IF(UPPER('VVP1'!$F$3)="Y",OFFSET('VVP1'!$H8,0,5*(COLUMN()-7)),AE13)</f>
        <v>7.4103718321800569</v>
      </c>
    </row>
    <row r="167" spans="1:94">
      <c r="A167" s="664"/>
      <c r="B167" s="665">
        <v>3</v>
      </c>
      <c r="C167" s="1480"/>
      <c r="D167" s="1"/>
      <c r="E167" s="1" t="str">
        <f>+Transfer!B103</f>
        <v>VOL. G.F.C.F. TOTAL</v>
      </c>
      <c r="F167" s="3"/>
      <c r="G167" s="1062"/>
      <c r="H167" s="1062">
        <f ca="1">IF(UPPER('VVP1'!$F$3)="Y",OFFSET('VVP1'!$H9,0,5*(COLUMN()-7)),H29)</f>
        <v>1.9141128065849096</v>
      </c>
      <c r="I167" s="1062">
        <f ca="1">IF(UPPER('VVP1'!$F$3)="Y",OFFSET('VVP1'!$H9,0,5*(COLUMN()-7)),I29)</f>
        <v>2.5093352950327619</v>
      </c>
      <c r="J167" s="1062">
        <f ca="1">IF(UPPER('VVP1'!$F$3)="Y",OFFSET('VVP1'!$H9,0,5*(COLUMN()-7)),J29)</f>
        <v>3.1761270358414233</v>
      </c>
      <c r="K167" s="1062">
        <f ca="1">IF(UPPER('VVP1'!$F$3)="Y",OFFSET('VVP1'!$H9,0,5*(COLUMN()-7)),K29)</f>
        <v>2.9252598369674785</v>
      </c>
      <c r="L167" s="1062">
        <f ca="1">IF(UPPER('VVP1'!$F$3)="Y",OFFSET('VVP1'!$H9,0,5*(COLUMN()-7)),L29)</f>
        <v>2.5566650321889179</v>
      </c>
      <c r="M167" s="1062">
        <f ca="1">IF(UPPER('VVP1'!$F$3)="Y",OFFSET('VVP1'!$H9,0,5*(COLUMN()-7)),M29)</f>
        <v>2.8938124640030551</v>
      </c>
      <c r="N167" s="1062">
        <f ca="1">IF(UPPER('VVP1'!$F$3)="Y",OFFSET('VVP1'!$H9,0,5*(COLUMN()-7)),N29)</f>
        <v>3.223371511070249</v>
      </c>
      <c r="O167" s="1062">
        <f ca="1">IF(UPPER('VVP1'!$F$3)="Y",OFFSET('VVP1'!$H9,0,5*(COLUMN()-7)),O29)</f>
        <v>3.5703745784060028</v>
      </c>
      <c r="P167" s="1062">
        <f ca="1">IF(UPPER('VVP1'!$F$3)="Y",OFFSET('VVP1'!$H9,0,5*(COLUMN()-7)),P29)</f>
        <v>4.1547968839508833</v>
      </c>
      <c r="Q167" s="1062">
        <f ca="1">IF(UPPER('VVP1'!$F$3)="Y",OFFSET('VVP1'!$H9,0,5*(COLUMN()-7)),Q29)</f>
        <v>4.6550734934389295</v>
      </c>
      <c r="R167" s="1062">
        <f ca="1">IF(UPPER('VVP1'!$F$3)="Y",OFFSET('VVP1'!$H9,0,5*(COLUMN()-7)),R29)</f>
        <v>5.8736880757559282</v>
      </c>
      <c r="S167" s="1062">
        <f ca="1">IF(UPPER('VVP1'!$F$3)="Y",OFFSET('VVP1'!$H9,0,5*(COLUMN()-7)),S29)</f>
        <v>7.6372119469715054</v>
      </c>
      <c r="T167" s="1062">
        <f ca="1">IF(UPPER('VVP1'!$F$3)="Y",OFFSET('VVP1'!$H9,0,5*(COLUMN()-7)),T29)</f>
        <v>7.9670279515876752</v>
      </c>
      <c r="U167" s="1062">
        <f ca="1">IF(UPPER('VVP1'!$F$3)="Y",OFFSET('VVP1'!$H9,0,5*(COLUMN()-7)),U29)</f>
        <v>5.2014137044106095</v>
      </c>
      <c r="V167" s="1062">
        <f ca="1">IF(UPPER('VVP1'!$F$3)="Y",OFFSET('VVP1'!$H9,0,5*(COLUMN()-7)),V29)</f>
        <v>4.8814965445574749</v>
      </c>
      <c r="W167" s="1062">
        <f ca="1">IF(UPPER('VVP1'!$F$3)="Y",OFFSET('VVP1'!$H9,0,5*(COLUMN()-7)),W29)</f>
        <v>5.67849</v>
      </c>
      <c r="X167" s="1062">
        <f ca="1">IF(UPPER('VVP1'!$F$3)="Y",OFFSET('VVP1'!$H9,0,5*(COLUMN()-7)),X29)</f>
        <v>5.6783051191601999</v>
      </c>
      <c r="Y167" s="1062">
        <f ca="1">IF(UPPER('VVP1'!$F$3)="Y",OFFSET('VVP1'!$H9,0,5*(COLUMN()-7)),Y29)</f>
        <v>6.2684122794221793</v>
      </c>
      <c r="Z167" s="1062">
        <f ca="1">IF(UPPER('VVP1'!$F$3)="Y",OFFSET('VVP1'!$H9,0,5*(COLUMN()-7)),Z29)</f>
        <v>6.82615939898219</v>
      </c>
      <c r="AA167" s="1062">
        <f ca="1">IF(UPPER('VVP1'!$F$3)="Y",OFFSET('VVP1'!$H9,0,5*(COLUMN()-7)),AA29)</f>
        <v>7.238783406852999</v>
      </c>
      <c r="AB167" s="1062">
        <f ca="1">IF(UPPER('VVP1'!$F$3)="Y",OFFSET('VVP1'!$H9,0,5*(COLUMN()-7)),AB29)</f>
        <v>7.2907280162839356</v>
      </c>
      <c r="AC167" s="1062">
        <f ca="1">IF(UPPER('VVP1'!$F$3)="Y",OFFSET('VVP1'!$H9,0,5*(COLUMN()-7)),AC29)</f>
        <v>7.8484123706606796</v>
      </c>
      <c r="AD167" s="1062">
        <f ca="1">IF(UPPER('VVP1'!$F$3)="Y",OFFSET('VVP1'!$H9,0,5*(COLUMN()-7)),AD29)</f>
        <v>8.4064658956084077</v>
      </c>
      <c r="AE167" s="1062">
        <f ca="1">IF(UPPER('VVP1'!$F$3)="Y",OFFSET('VVP1'!$H9,0,5*(COLUMN()-7)),AE29)</f>
        <v>8.9639536658038441</v>
      </c>
    </row>
    <row r="168" spans="1:94">
      <c r="A168" s="664"/>
      <c r="B168" s="665">
        <v>4</v>
      </c>
      <c r="C168" s="1480"/>
      <c r="D168" s="1"/>
      <c r="E168" s="1" t="str">
        <f>+Transfer!B104</f>
        <v>VOL. G.F.C.F. CONSTRUCTION</v>
      </c>
      <c r="F168" s="1481"/>
      <c r="G168" s="1062"/>
      <c r="H168" s="1062">
        <f ca="1">IF(UPPER('VVP1'!$F$3)="Y",OFFSET('VVP1'!$H60,0,5*(COLUMN()-7)),H23)</f>
        <v>0.94836631144804184</v>
      </c>
      <c r="I168" s="1062">
        <f ca="1">IF(UPPER('VVP1'!$F$3)="Y",OFFSET('VVP1'!$H60,0,5*(COLUMN()-7)),I23)</f>
        <v>1.2798727897825861</v>
      </c>
      <c r="J168" s="1062">
        <f ca="1">IF(UPPER('VVP1'!$F$3)="Y",OFFSET('VVP1'!$H60,0,5*(COLUMN()-7)),J23)</f>
        <v>1.714537017361053</v>
      </c>
      <c r="K168" s="1062">
        <f ca="1">IF(UPPER('VVP1'!$F$3)="Y",OFFSET('VVP1'!$H60,0,5*(COLUMN()-7)),K23)</f>
        <v>1.6287551914803153</v>
      </c>
      <c r="L168" s="1062">
        <f ca="1">IF(UPPER('VVP1'!$F$3)="Y",OFFSET('VVP1'!$H60,0,5*(COLUMN()-7)),L23)</f>
        <v>1.3697749616074744</v>
      </c>
      <c r="M168" s="1062">
        <f ca="1">IF(UPPER('VVP1'!$F$3)="Y",OFFSET('VVP1'!$H60,0,5*(COLUMN()-7)),M23)</f>
        <v>1.5041154058552249</v>
      </c>
      <c r="N168" s="1062">
        <f ca="1">IF(UPPER('VVP1'!$F$3)="Y",OFFSET('VVP1'!$H60,0,5*(COLUMN()-7)),N23)</f>
        <v>1.6660919247678432</v>
      </c>
      <c r="O168" s="1062">
        <f ca="1">IF(UPPER('VVP1'!$F$3)="Y",OFFSET('VVP1'!$H60,0,5*(COLUMN()-7)),O23)</f>
        <v>1.9956464806861207</v>
      </c>
      <c r="P168" s="1062">
        <f ca="1">IF(UPPER('VVP1'!$F$3)="Y",OFFSET('VVP1'!$H60,0,5*(COLUMN()-7)),P23)</f>
        <v>2.1411369917112415</v>
      </c>
      <c r="Q168" s="1062">
        <f ca="1">IF(UPPER('VVP1'!$F$3)="Y",OFFSET('VVP1'!$H60,0,5*(COLUMN()-7)),Q23)</f>
        <v>2.5356244876680534</v>
      </c>
      <c r="R168" s="1062">
        <f ca="1">IF(UPPER('VVP1'!$F$3)="Y",OFFSET('VVP1'!$H60,0,5*(COLUMN()-7)),R23)</f>
        <v>3.3263801105327335</v>
      </c>
      <c r="S168" s="1062">
        <f ca="1">IF(UPPER('VVP1'!$F$3)="Y",OFFSET('VVP1'!$H60,0,5*(COLUMN()-7)),S23)</f>
        <v>4.4348680427096738</v>
      </c>
      <c r="T168" s="1062">
        <f ca="1">IF(UPPER('VVP1'!$F$3)="Y",OFFSET('VVP1'!$H60,0,5*(COLUMN()-7)),T23)</f>
        <v>5.0604864912023997</v>
      </c>
      <c r="U168" s="1062">
        <f ca="1">IF(UPPER('VVP1'!$F$3)="Y",OFFSET('VVP1'!$H60,0,5*(COLUMN()-7)),U23)</f>
        <v>3.4934135415330312</v>
      </c>
      <c r="V168" s="1062">
        <f ca="1">IF(UPPER('VVP1'!$F$3)="Y",OFFSET('VVP1'!$H60,0,5*(COLUMN()-7)),V23)</f>
        <v>2.8941149448023289</v>
      </c>
      <c r="W168" s="1062">
        <f ca="1">IF(UPPER('VVP1'!$F$3)="Y",OFFSET('VVP1'!$H60,0,5*(COLUMN()-7)),W23)</f>
        <v>3.1731799999999999</v>
      </c>
      <c r="X168" s="1062">
        <f ca="1">IF(UPPER('VVP1'!$F$3)="Y",OFFSET('VVP1'!$H60,0,5*(COLUMN()-7)),X23)</f>
        <v>3.1538449575737935</v>
      </c>
      <c r="Y168" s="1062">
        <f ca="1">IF(UPPER('VVP1'!$F$3)="Y",OFFSET('VVP1'!$H60,0,5*(COLUMN()-7)),Y23)</f>
        <v>3.527430054263589</v>
      </c>
      <c r="Z168" s="1062">
        <f ca="1">IF(UPPER('VVP1'!$F$3)="Y",OFFSET('VVP1'!$H60,0,5*(COLUMN()-7)),Z23)</f>
        <v>3.9826039490647931</v>
      </c>
      <c r="AA168" s="1062">
        <f ca="1">IF(UPPER('VVP1'!$F$3)="Y",OFFSET('VVP1'!$H60,0,5*(COLUMN()-7)),AA23)</f>
        <v>4.0795361517932864</v>
      </c>
      <c r="AB168" s="1062">
        <f ca="1">IF(UPPER('VVP1'!$F$3)="Y",OFFSET('VVP1'!$H60,0,5*(COLUMN()-7)),AB23)</f>
        <v>3.8266968006577176</v>
      </c>
      <c r="AC168" s="1062">
        <f ca="1">IF(UPPER('VVP1'!$F$3)="Y",OFFSET('VVP1'!$H60,0,5*(COLUMN()-7)),AC23)</f>
        <v>3.9568473536919488</v>
      </c>
      <c r="AD168" s="1062">
        <f ca="1">IF(UPPER('VVP1'!$F$3)="Y",OFFSET('VVP1'!$H60,0,5*(COLUMN()-7)),AD23)</f>
        <v>4.3305056999999998</v>
      </c>
      <c r="AE168" s="1062">
        <f ca="1">IF(UPPER('VVP1'!$F$3)="Y",OFFSET('VVP1'!$H60,0,5*(COLUMN()-7)),AE23)</f>
        <v>4.6552906650010488</v>
      </c>
    </row>
    <row r="169" spans="1:94">
      <c r="A169" s="664"/>
      <c r="B169" s="665">
        <v>5</v>
      </c>
      <c r="C169" s="1480"/>
      <c r="D169" s="1"/>
      <c r="E169" s="1" t="str">
        <f>+Transfer!B105</f>
        <v>VOL. G.F.C.F. EQUIPMENT</v>
      </c>
      <c r="F169" s="1481"/>
      <c r="G169" s="1062"/>
      <c r="H169" s="1062">
        <f ca="1">IF(UPPER('VVP1'!$F$3)="Y",OFFSET('VVP1'!$H63,0,5*(COLUMN()-7)),H27)</f>
        <v>0.88278882969449479</v>
      </c>
      <c r="I169" s="1062">
        <f ca="1">IF(UPPER('VVP1'!$F$3)="Y",OFFSET('VVP1'!$H63,0,5*(COLUMN()-7)),I27)</f>
        <v>1.1264188888332649</v>
      </c>
      <c r="J169" s="1062">
        <f ca="1">IF(UPPER('VVP1'!$F$3)="Y",OFFSET('VVP1'!$H63,0,5*(COLUMN()-7)),J27)</f>
        <v>1.3480010215689961</v>
      </c>
      <c r="K169" s="1062">
        <f ca="1">IF(UPPER('VVP1'!$F$3)="Y",OFFSET('VVP1'!$H63,0,5*(COLUMN()-7)),K27)</f>
        <v>1.2018361607304386</v>
      </c>
      <c r="L169" s="1062">
        <f ca="1">IF(UPPER('VVP1'!$F$3)="Y",OFFSET('VVP1'!$H63,0,5*(COLUMN()-7)),L27)</f>
        <v>1.0324889922774931</v>
      </c>
      <c r="M169" s="1062">
        <f ca="1">IF(UPPER('VVP1'!$F$3)="Y",OFFSET('VVP1'!$H63,0,5*(COLUMN()-7)),M27)</f>
        <v>1.2167744745496072</v>
      </c>
      <c r="N169" s="1062">
        <f ca="1">IF(UPPER('VVP1'!$F$3)="Y",OFFSET('VVP1'!$H63,0,5*(COLUMN()-7)),N27)</f>
        <v>1.3268932326623246</v>
      </c>
      <c r="O169" s="1062">
        <f ca="1">IF(UPPER('VVP1'!$F$3)="Y",OFFSET('VVP1'!$H63,0,5*(COLUMN()-7)),O27)</f>
        <v>1.3629638565393241</v>
      </c>
      <c r="P169" s="1062">
        <f ca="1">IF(UPPER('VVP1'!$F$3)="Y",OFFSET('VVP1'!$H63,0,5*(COLUMN()-7)),P27)</f>
        <v>1.7695291135701687</v>
      </c>
      <c r="Q169" s="1062">
        <f ca="1">IF(UPPER('VVP1'!$F$3)="Y",OFFSET('VVP1'!$H63,0,5*(COLUMN()-7)),Q27)</f>
        <v>1.8353766531443743</v>
      </c>
      <c r="R169" s="1062">
        <f ca="1">IF(UPPER('VVP1'!$F$3)="Y",OFFSET('VVP1'!$H63,0,5*(COLUMN()-7)),R27)</f>
        <v>2.1736472407125218</v>
      </c>
      <c r="S169" s="1062">
        <f ca="1">IF(UPPER('VVP1'!$F$3)="Y",OFFSET('VVP1'!$H63,0,5*(COLUMN()-7)),S27)</f>
        <v>2.662489908512224</v>
      </c>
      <c r="T169" s="1062">
        <f ca="1">IF(UPPER('VVP1'!$F$3)="Y",OFFSET('VVP1'!$H63,0,5*(COLUMN()-7)),T27)</f>
        <v>2.2436685616690411</v>
      </c>
      <c r="U169" s="1062">
        <f ca="1">IF(UPPER('VVP1'!$F$3)="Y",OFFSET('VVP1'!$H63,0,5*(COLUMN()-7)),U27)</f>
        <v>1.1576266559695598</v>
      </c>
      <c r="V169" s="1062">
        <f ca="1">IF(UPPER('VVP1'!$F$3)="Y",OFFSET('VVP1'!$H63,0,5*(COLUMN()-7)),V27)</f>
        <v>1.3861684457085492</v>
      </c>
      <c r="W169" s="1062">
        <f ca="1">IF(UPPER('VVP1'!$F$3)="Y",OFFSET('VVP1'!$H63,0,5*(COLUMN()-7)),W27)</f>
        <v>1.8692</v>
      </c>
      <c r="X169" s="1062">
        <f ca="1">IF(UPPER('VVP1'!$F$3)="Y",OFFSET('VVP1'!$H63,0,5*(COLUMN()-7)),X27)</f>
        <v>1.9205090147656754</v>
      </c>
      <c r="Y169" s="1062">
        <f ca="1">IF(UPPER('VVP1'!$F$3)="Y",OFFSET('VVP1'!$H63,0,5*(COLUMN()-7)),Y27)</f>
        <v>2.1835867401670521</v>
      </c>
      <c r="Z169" s="1062">
        <f ca="1">IF(UPPER('VVP1'!$F$3)="Y",OFFSET('VVP1'!$H63,0,5*(COLUMN()-7)),Z27)</f>
        <v>2.1843149031734481</v>
      </c>
      <c r="AA169" s="1062">
        <f ca="1">IF(UPPER('VVP1'!$F$3)="Y",OFFSET('VVP1'!$H63,0,5*(COLUMN()-7)),AA27)</f>
        <v>2.4625906209394719</v>
      </c>
      <c r="AB169" s="1062">
        <f ca="1">IF(UPPER('VVP1'!$F$3)="Y",OFFSET('VVP1'!$H63,0,5*(COLUMN()-7)),AB27)</f>
        <v>2.696198733506189</v>
      </c>
      <c r="AC169" s="1062">
        <f ca="1">IF(UPPER('VVP1'!$F$3)="Y",OFFSET('VVP1'!$H63,0,5*(COLUMN()-7)),AC27)</f>
        <v>2.9204492360154943</v>
      </c>
      <c r="AD169" s="1062">
        <f ca="1">IF(UPPER('VVP1'!$F$3)="Y",OFFSET('VVP1'!$H63,0,5*(COLUMN()-7)),AD27)</f>
        <v>3.1030891499999997</v>
      </c>
      <c r="AE169" s="1062">
        <f ca="1">IF(UPPER('VVP1'!$F$3)="Y",OFFSET('VVP1'!$H63,0,5*(COLUMN()-7)),AE27)</f>
        <v>3.2819201777144995</v>
      </c>
    </row>
    <row r="170" spans="1:94">
      <c r="A170" s="664"/>
      <c r="B170" s="665">
        <v>6</v>
      </c>
      <c r="C170" s="1480"/>
      <c r="D170" s="1"/>
      <c r="E170" s="1" t="str">
        <f>+Transfer!B106</f>
        <v>VOL. G.F.C.F. OTHER</v>
      </c>
      <c r="F170" s="1481"/>
      <c r="G170" s="1062"/>
      <c r="H170" s="1062">
        <f ca="1">IF(UPPER('VVP1'!$F$3)="Y",OFFSET('VVP1'!$H64,0,5*(COLUMN()-7)),H28)</f>
        <v>7.7597181469816298E-2</v>
      </c>
      <c r="I170" s="1062">
        <f ca="1">IF(UPPER('VVP1'!$F$3)="Y",OFFSET('VVP1'!$H64,0,5*(COLUMN()-7)),I28)</f>
        <v>0.10167754869929434</v>
      </c>
      <c r="J170" s="1062">
        <f ca="1">IF(UPPER('VVP1'!$F$3)="Y",OFFSET('VVP1'!$H64,0,5*(COLUMN()-7)),J28)</f>
        <v>0.10843275995109017</v>
      </c>
      <c r="K170" s="1062">
        <f ca="1">IF(UPPER('VVP1'!$F$3)="Y",OFFSET('VVP1'!$H64,0,5*(COLUMN()-7)),K28)</f>
        <v>9.2771518703862701E-2</v>
      </c>
      <c r="L170" s="1062">
        <f ca="1">IF(UPPER('VVP1'!$F$3)="Y",OFFSET('VVP1'!$H64,0,5*(COLUMN()-7)),L28)</f>
        <v>0.12929411034736327</v>
      </c>
      <c r="M170" s="1062">
        <f ca="1">IF(UPPER('VVP1'!$F$3)="Y",OFFSET('VVP1'!$H64,0,5*(COLUMN()-7)),M28)</f>
        <v>0.17745242557523175</v>
      </c>
      <c r="N170" s="1062">
        <f ca="1">IF(UPPER('VVP1'!$F$3)="Y",OFFSET('VVP1'!$H64,0,5*(COLUMN()-7)),N28)</f>
        <v>0.22850344798038827</v>
      </c>
      <c r="O170" s="1062">
        <f ca="1">IF(UPPER('VVP1'!$F$3)="Y",OFFSET('VVP1'!$H64,0,5*(COLUMN()-7)),O28)</f>
        <v>0.20769763162479499</v>
      </c>
      <c r="P170" s="1062">
        <f ca="1">IF(UPPER('VVP1'!$F$3)="Y",OFFSET('VVP1'!$H64,0,5*(COLUMN()-7)),P28)</f>
        <v>0.24249534059109143</v>
      </c>
      <c r="Q170" s="1062">
        <f ca="1">IF(UPPER('VVP1'!$F$3)="Y",OFFSET('VVP1'!$H64,0,5*(COLUMN()-7)),Q28)</f>
        <v>0.27989373659857814</v>
      </c>
      <c r="R170" s="1062">
        <f ca="1">IF(UPPER('VVP1'!$F$3)="Y",OFFSET('VVP1'!$H64,0,5*(COLUMN()-7)),R28)</f>
        <v>0.3676572286943745</v>
      </c>
      <c r="S170" s="1062">
        <f ca="1">IF(UPPER('VVP1'!$F$3)="Y",OFFSET('VVP1'!$H64,0,5*(COLUMN()-7)),S28)</f>
        <v>0.53456906753618427</v>
      </c>
      <c r="T170" s="1062">
        <f ca="1">IF(UPPER('VVP1'!$F$3)="Y",OFFSET('VVP1'!$H64,0,5*(COLUMN()-7)),T28)</f>
        <v>0.66151975074813429</v>
      </c>
      <c r="U170" s="1062">
        <f ca="1">IF(UPPER('VVP1'!$F$3)="Y",OFFSET('VVP1'!$H64,0,5*(COLUMN()-7)),U28)</f>
        <v>0.55091339489802349</v>
      </c>
      <c r="V170" s="1062">
        <f ca="1">IF(UPPER('VVP1'!$F$3)="Y",OFFSET('VVP1'!$H64,0,5*(COLUMN()-7)),V28)</f>
        <v>0.60025719492180862</v>
      </c>
      <c r="W170" s="1062">
        <f ca="1">IF(UPPER('VVP1'!$F$3)="Y",OFFSET('VVP1'!$H64,0,5*(COLUMN()-7)),W28)</f>
        <v>0.63611999999999991</v>
      </c>
      <c r="X170" s="1062">
        <f ca="1">IF(UPPER('VVP1'!$F$3)="Y",OFFSET('VVP1'!$H64,0,5*(COLUMN()-7)),X28)</f>
        <v>0.60415071621706606</v>
      </c>
      <c r="Y170" s="1062">
        <f ca="1">IF(UPPER('VVP1'!$F$3)="Y",OFFSET('VVP1'!$H64,0,5*(COLUMN()-7)),Y28)</f>
        <v>0.55517045559336919</v>
      </c>
      <c r="Z170" s="1062">
        <f ca="1">IF(UPPER('VVP1'!$F$3)="Y",OFFSET('VVP1'!$H64,0,5*(COLUMN()-7)),Z28)</f>
        <v>0.65985420763064662</v>
      </c>
      <c r="AA170" s="1062">
        <f ca="1">IF(UPPER('VVP1'!$F$3)="Y",OFFSET('VVP1'!$H64,0,5*(COLUMN()-7)),AA28)</f>
        <v>0.69705232509745307</v>
      </c>
      <c r="AB170" s="1062">
        <f ca="1">IF(UPPER('VVP1'!$F$3)="Y",OFFSET('VVP1'!$H64,0,5*(COLUMN()-7)),AB28)</f>
        <v>0.76834599745659626</v>
      </c>
      <c r="AC170" s="1062">
        <f ca="1">IF(UPPER('VVP1'!$F$3)="Y",OFFSET('VVP1'!$H64,0,5*(COLUMN()-7)),AC28)</f>
        <v>0.9774669050103677</v>
      </c>
      <c r="AD170" s="1062">
        <f ca="1">IF(UPPER('VVP1'!$F$3)="Y",OFFSET('VVP1'!$H64,0,5*(COLUMN()-7)),AD28)</f>
        <v>0.97967375999999995</v>
      </c>
      <c r="AE170" s="1062">
        <f ca="1">IF(UPPER('VVP1'!$F$3)="Y",OFFSET('VVP1'!$H64,0,5*(COLUMN()-7)),AE28)</f>
        <v>1.0339966699919998</v>
      </c>
    </row>
    <row r="171" spans="1:94">
      <c r="A171" s="664"/>
      <c r="B171" s="665">
        <v>7</v>
      </c>
      <c r="C171" s="1480"/>
      <c r="D171" s="1"/>
      <c r="E171" s="1" t="str">
        <f>+Transfer!B107</f>
        <v>VOL. CHANGE IN INVENTORIES</v>
      </c>
      <c r="F171" s="1481"/>
      <c r="G171" s="1062"/>
      <c r="H171" s="1062">
        <f ca="1">IF(UPPER('VVP1'!$F$3)="Y",OFFSET('VVP1'!$H11,0,5*(COLUMN()-7)),H64)</f>
        <v>0.29714994768925784</v>
      </c>
      <c r="I171" s="1062">
        <f ca="1">IF(UPPER('VVP1'!$F$3)="Y",OFFSET('VVP1'!$H11,0,5*(COLUMN()-7)),I64)</f>
        <v>0.42085279543125864</v>
      </c>
      <c r="J171" s="1062">
        <f ca="1">IF(UPPER('VVP1'!$F$3)="Y",OFFSET('VVP1'!$H11,0,5*(COLUMN()-7)),J64)</f>
        <v>0.27764628992005491</v>
      </c>
      <c r="K171" s="1062">
        <f ca="1">IF(UPPER('VVP1'!$F$3)="Y",OFFSET('VVP1'!$H11,0,5*(COLUMN()-7)),K64)</f>
        <v>-8.1809550237368356E-2</v>
      </c>
      <c r="L171" s="1062">
        <f ca="1">IF(UPPER('VVP1'!$F$3)="Y",OFFSET('VVP1'!$H11,0,5*(COLUMN()-7)),L64)</f>
        <v>-0.12871298731774772</v>
      </c>
      <c r="M171" s="1062">
        <f ca="1">IF(UPPER('VVP1'!$F$3)="Y",OFFSET('VVP1'!$H11,0,5*(COLUMN()-7)),M64)</f>
        <v>3.7927906775703235E-2</v>
      </c>
      <c r="N171" s="1062">
        <f ca="1">IF(UPPER('VVP1'!$F$3)="Y",OFFSET('VVP1'!$H11,0,5*(COLUMN()-7)),N64)</f>
        <v>-5.2552756954824531E-2</v>
      </c>
      <c r="O171" s="1062">
        <f ca="1">IF(UPPER('VVP1'!$F$3)="Y",OFFSET('VVP1'!$H11,0,5*(COLUMN()-7)),O64)</f>
        <v>5.2266216743838356E-2</v>
      </c>
      <c r="P171" s="1062">
        <f ca="1">IF(UPPER('VVP1'!$F$3)="Y",OFFSET('VVP1'!$H11,0,5*(COLUMN()-7)),P64)</f>
        <v>0.40974038779498301</v>
      </c>
      <c r="Q171" s="1062">
        <f ca="1">IF(UPPER('VVP1'!$F$3)="Y",OFFSET('VVP1'!$H11,0,5*(COLUMN()-7)),Q64)</f>
        <v>-0.36936153326731969</v>
      </c>
      <c r="R171" s="1062">
        <f ca="1">IF(UPPER('VVP1'!$F$3)="Y",OFFSET('VVP1'!$H11,0,5*(COLUMN()-7)),R64)</f>
        <v>-0.18476432241581264</v>
      </c>
      <c r="S171" s="1062">
        <f ca="1">IF(UPPER('VVP1'!$F$3)="Y",OFFSET('VVP1'!$H11,0,5*(COLUMN()-7)),S64)</f>
        <v>0.74597284307220946</v>
      </c>
      <c r="T171" s="1062">
        <f ca="1">IF(UPPER('VVP1'!$F$3)="Y",OFFSET('VVP1'!$H11,0,5*(COLUMN()-7)),T64)</f>
        <v>1.6690997749263801</v>
      </c>
      <c r="U171" s="1062">
        <f ca="1">IF(UPPER('VVP1'!$F$3)="Y",OFFSET('VVP1'!$H11,0,5*(COLUMN()-7)),U64)</f>
        <v>-1.0581531304323484</v>
      </c>
      <c r="V171" s="1062">
        <f ca="1">IF(UPPER('VVP1'!$F$3)="Y",OFFSET('VVP1'!$H11,0,5*(COLUMN()-7)),V64)</f>
        <v>-0.26519744346064655</v>
      </c>
      <c r="W171" s="1062">
        <f ca="1">IF(UPPER('VVP1'!$F$3)="Y",OFFSET('VVP1'!$H11,0,5*(COLUMN()-7)),W64)</f>
        <v>0.26090000000000657</v>
      </c>
      <c r="X171" s="1062">
        <f ca="1">IF(UPPER('VVP1'!$F$3)="Y",OFFSET('VVP1'!$H11,0,5*(COLUMN()-7)),X64)</f>
        <v>0.33770653397404971</v>
      </c>
      <c r="Y171" s="1062">
        <f ca="1">IF(UPPER('VVP1'!$F$3)="Y",OFFSET('VVP1'!$H11,0,5*(COLUMN()-7)),Y64)</f>
        <v>0.19162690931467097</v>
      </c>
      <c r="Z171" s="1062">
        <f ca="1">IF(UPPER('VVP1'!$F$3)="Y",OFFSET('VVP1'!$H11,0,5*(COLUMN()-7)),Z64)</f>
        <v>0.26539326719316847</v>
      </c>
      <c r="AA171" s="1062">
        <f ca="1">IF(UPPER('VVP1'!$F$3)="Y",OFFSET('VVP1'!$H11,0,5*(COLUMN()-7)),AA64)</f>
        <v>1.4475648188729195</v>
      </c>
      <c r="AB171" s="1062">
        <f ca="1">IF(UPPER('VVP1'!$F$3)="Y",OFFSET('VVP1'!$H11,0,5*(COLUMN()-7)),AB64)</f>
        <v>7.6073624423784736E-2</v>
      </c>
      <c r="AC171" s="1062">
        <f ca="1">IF(UPPER('VVP1'!$F$3)="Y",OFFSET('VVP1'!$H11,0,5*(COLUMN()-7)),AC64)</f>
        <v>-0.64598</v>
      </c>
      <c r="AD171" s="1062">
        <f ca="1">IF(UPPER('VVP1'!$F$3)="Y",OFFSET('VVP1'!$H11,0,5*(COLUMN()-7)),AD64)</f>
        <v>-0.64598</v>
      </c>
      <c r="AE171" s="1062">
        <f ca="1">IF(UPPER('VVP1'!$F$3)="Y",OFFSET('VVP1'!$H11,0,5*(COLUMN()-7)),AE64)</f>
        <v>-0.64598</v>
      </c>
    </row>
    <row r="172" spans="1:94">
      <c r="A172" s="664"/>
      <c r="B172" s="665">
        <v>8</v>
      </c>
      <c r="C172" s="1480"/>
      <c r="D172" s="1"/>
      <c r="E172" s="1" t="str">
        <f>+Transfer!B108</f>
        <v>VOL. EXPORTS OF GOODS (FOB)</v>
      </c>
      <c r="F172" s="1481"/>
      <c r="G172" s="1062"/>
      <c r="H172" s="1062">
        <f ca="1">IF(UPPER('VVP1'!$F$3)="Y",OFFSET('VVP1'!$H87,0,5*(COLUMN()-7)),H82)</f>
        <v>2.5425296215535447</v>
      </c>
      <c r="I172" s="1062">
        <f ca="1">IF(UPPER('VVP1'!$F$3)="Y",OFFSET('VVP1'!$H87,0,5*(COLUMN()-7)),I82)</f>
        <v>3.5582276528923091</v>
      </c>
      <c r="J172" s="1062">
        <f ca="1">IF(UPPER('VVP1'!$F$3)="Y",OFFSET('VVP1'!$H87,0,5*(COLUMN()-7)),J82)</f>
        <v>4.0320899590107944</v>
      </c>
      <c r="K172" s="1062">
        <f ca="1">IF(UPPER('VVP1'!$F$3)="Y",OFFSET('VVP1'!$H87,0,5*(COLUMN()-7)),K82)</f>
        <v>2.8801063442519492</v>
      </c>
      <c r="L172" s="1062">
        <f ca="1">IF(UPPER('VVP1'!$F$3)="Y",OFFSET('VVP1'!$H87,0,5*(COLUMN()-7)),L82)</f>
        <v>3.0929317052804679</v>
      </c>
      <c r="M172" s="1062">
        <f ca="1">IF(UPPER('VVP1'!$F$3)="Y",OFFSET('VVP1'!$H87,0,5*(COLUMN()-7)),M82)</f>
        <v>4.675280900632063</v>
      </c>
      <c r="N172" s="1062">
        <f ca="1">IF(UPPER('VVP1'!$F$3)="Y",OFFSET('VVP1'!$H87,0,5*(COLUMN()-7)),N82)</f>
        <v>5.6465667461908451</v>
      </c>
      <c r="O172" s="1062">
        <f ca="1">IF(UPPER('VVP1'!$F$3)="Y",OFFSET('VVP1'!$H87,0,5*(COLUMN()-7)),O82)</f>
        <v>5.9584011497381795</v>
      </c>
      <c r="P172" s="1062">
        <f ca="1">IF(UPPER('VVP1'!$F$3)="Y",OFFSET('VVP1'!$H87,0,5*(COLUMN()-7)),P82)</f>
        <v>5.9881962482544093</v>
      </c>
      <c r="Q172" s="1062">
        <f ca="1">IF(UPPER('VVP1'!$F$3)="Y",OFFSET('VVP1'!$H87,0,5*(COLUMN()-7)),Q82)</f>
        <v>8.0033086861882801</v>
      </c>
      <c r="R172" s="1062">
        <f ca="1">IF(UPPER('VVP1'!$F$3)="Y",OFFSET('VVP1'!$H87,0,5*(COLUMN()-7)),R82)</f>
        <v>10.042384999611865</v>
      </c>
      <c r="S172" s="1062">
        <f ca="1">IF(UPPER('VVP1'!$F$3)="Y",OFFSET('VVP1'!$H87,0,5*(COLUMN()-7)),S82)</f>
        <v>10.918790125144687</v>
      </c>
      <c r="T172" s="1062">
        <f ca="1">IF(UPPER('VVP1'!$F$3)="Y",OFFSET('VVP1'!$H87,0,5*(COLUMN()-7)),T82)</f>
        <v>13.389717518550469</v>
      </c>
      <c r="U172" s="1062">
        <f ca="1">IF(UPPER('VVP1'!$F$3)="Y",OFFSET('VVP1'!$H87,0,5*(COLUMN()-7)),U82)</f>
        <v>13.273888781694966</v>
      </c>
      <c r="V172" s="1062">
        <f ca="1">IF(UPPER('VVP1'!$F$3)="Y",OFFSET('VVP1'!$H87,0,5*(COLUMN()-7)),V82)</f>
        <v>13.247249779119599</v>
      </c>
      <c r="W172" s="1062">
        <f ca="1">IF(UPPER('VVP1'!$F$3)="Y",OFFSET('VVP1'!$H87,0,5*(COLUMN()-7)),W82)</f>
        <v>17.204669999999997</v>
      </c>
      <c r="X172" s="1062">
        <f ca="1">IF(UPPER('VVP1'!$F$3)="Y",OFFSET('VVP1'!$H87,0,5*(COLUMN()-7)),X82)</f>
        <v>21.677140722838629</v>
      </c>
      <c r="Y172" s="1062">
        <f ca="1">IF(UPPER('VVP1'!$F$3)="Y",OFFSET('VVP1'!$H87,0,5*(COLUMN()-7)),Y82)</f>
        <v>24.512134664041998</v>
      </c>
      <c r="Z172" s="1062">
        <f ca="1">IF(UPPER('VVP1'!$F$3)="Y",OFFSET('VVP1'!$H87,0,5*(COLUMN()-7)),Z82)</f>
        <v>24.433200861337991</v>
      </c>
      <c r="AA172" s="1062">
        <f ca="1">IF(UPPER('VVP1'!$F$3)="Y",OFFSET('VVP1'!$H87,0,5*(COLUMN()-7)),AA82)</f>
        <v>23.563546467906711</v>
      </c>
      <c r="AB172" s="1062">
        <f ca="1">IF(UPPER('VVP1'!$F$3)="Y",OFFSET('VVP1'!$H87,0,5*(COLUMN()-7)),AB82)</f>
        <v>22.614434177780485</v>
      </c>
      <c r="AC172" s="1062">
        <f ca="1">IF(UPPER('VVP1'!$F$3)="Y",OFFSET('VVP1'!$H87,0,5*(COLUMN()-7)),AC82)</f>
        <v>24.59864798352611</v>
      </c>
      <c r="AD172" s="1062">
        <f ca="1">IF(UPPER('VVP1'!$F$3)="Y",OFFSET('VVP1'!$H87,0,5*(COLUMN()-7)),AD82)</f>
        <v>27.092071839999999</v>
      </c>
      <c r="AE172" s="1062">
        <f ca="1">IF(UPPER('VVP1'!$F$3)="Y",OFFSET('VVP1'!$H87,0,5*(COLUMN()-7)),AE82)</f>
        <v>28.934657829982079</v>
      </c>
    </row>
    <row r="173" spans="1:94">
      <c r="A173" s="664"/>
      <c r="B173" s="665">
        <v>9</v>
      </c>
      <c r="C173" s="1480"/>
      <c r="D173" s="1"/>
      <c r="E173" s="1" t="str">
        <f>+Transfer!B109</f>
        <v>VOL. EXPORTS OF SERVICES</v>
      </c>
      <c r="F173" s="1481"/>
      <c r="G173" s="1062"/>
      <c r="H173" s="1062">
        <f ca="1">IF(UPPER('VVP1'!$F$3)="Y",OFFSET('VVP1'!$H86,0,5*(COLUMN()-7)),H81)</f>
        <v>0.92606841168688081</v>
      </c>
      <c r="I173" s="1062">
        <f ca="1">IF(UPPER('VVP1'!$F$3)="Y",OFFSET('VVP1'!$H86,0,5*(COLUMN()-7)),I81)</f>
        <v>1.289233727856085</v>
      </c>
      <c r="J173" s="1062">
        <f ca="1">IF(UPPER('VVP1'!$F$3)="Y",OFFSET('VVP1'!$H86,0,5*(COLUMN()-7)),J81)</f>
        <v>1.5138076107842779</v>
      </c>
      <c r="K173" s="1062">
        <f ca="1">IF(UPPER('VVP1'!$F$3)="Y",OFFSET('VVP1'!$H86,0,5*(COLUMN()-7)),K81)</f>
        <v>1.4500011118134242</v>
      </c>
      <c r="L173" s="1062">
        <f ca="1">IF(UPPER('VVP1'!$F$3)="Y",OFFSET('VVP1'!$H86,0,5*(COLUMN()-7)),L81)</f>
        <v>1.3449920682821259</v>
      </c>
      <c r="M173" s="1062">
        <f ca="1">IF(UPPER('VVP1'!$F$3)="Y",OFFSET('VVP1'!$H86,0,5*(COLUMN()-7)),M81)</f>
        <v>1.5186623828023997</v>
      </c>
      <c r="N173" s="1062">
        <f ca="1">IF(UPPER('VVP1'!$F$3)="Y",OFFSET('VVP1'!$H86,0,5*(COLUMN()-7)),N81)</f>
        <v>1.7604304667258308</v>
      </c>
      <c r="O173" s="1062">
        <f ca="1">IF(UPPER('VVP1'!$F$3)="Y",OFFSET('VVP1'!$H86,0,5*(COLUMN()-7)),O81)</f>
        <v>1.8350883503036941</v>
      </c>
      <c r="P173" s="1062">
        <f ca="1">IF(UPPER('VVP1'!$F$3)="Y",OFFSET('VVP1'!$H86,0,5*(COLUMN()-7)),P81)</f>
        <v>2.0457752419700905</v>
      </c>
      <c r="Q173" s="1062">
        <f ca="1">IF(UPPER('VVP1'!$F$3)="Y",OFFSET('VVP1'!$H86,0,5*(COLUMN()-7)),Q81)</f>
        <v>2.4052909382391396</v>
      </c>
      <c r="R173" s="1062">
        <f ca="1">IF(UPPER('VVP1'!$F$3)="Y",OFFSET('VVP1'!$H86,0,5*(COLUMN()-7)),R81)</f>
        <v>2.6956139394547867</v>
      </c>
      <c r="S173" s="1062">
        <f ca="1">IF(UPPER('VVP1'!$F$3)="Y",OFFSET('VVP1'!$H86,0,5*(COLUMN()-7)),S81)</f>
        <v>2.8992930127687981</v>
      </c>
      <c r="T173" s="1062">
        <f ca="1">IF(UPPER('VVP1'!$F$3)="Y",OFFSET('VVP1'!$H86,0,5*(COLUMN()-7)),T81)</f>
        <v>3.209988509818027</v>
      </c>
      <c r="U173" s="1062">
        <f ca="1">IF(UPPER('VVP1'!$F$3)="Y",OFFSET('VVP1'!$H86,0,5*(COLUMN()-7)),U81)</f>
        <v>3.0192373763302123</v>
      </c>
      <c r="V173" s="1062">
        <f ca="1">IF(UPPER('VVP1'!$F$3)="Y",OFFSET('VVP1'!$H86,0,5*(COLUMN()-7)),V81)</f>
        <v>3.3924261431794998</v>
      </c>
      <c r="W173" s="1062">
        <f ca="1">IF(UPPER('VVP1'!$F$3)="Y",OFFSET('VVP1'!$H86,0,5*(COLUMN()-7)),W81)</f>
        <v>3.9303499999999993</v>
      </c>
      <c r="X173" s="1062">
        <f ca="1">IF(UPPER('VVP1'!$F$3)="Y",OFFSET('VVP1'!$H86,0,5*(COLUMN()-7)),X81)</f>
        <v>4.6836539552457159</v>
      </c>
      <c r="Y173" s="1062">
        <f ca="1">IF(UPPER('VVP1'!$F$3)="Y",OFFSET('VVP1'!$H86,0,5*(COLUMN()-7)),Y81)</f>
        <v>5.3917809190834145</v>
      </c>
      <c r="Z173" s="1062">
        <f ca="1">IF(UPPER('VVP1'!$F$3)="Y",OFFSET('VVP1'!$H86,0,5*(COLUMN()-7)),Z81)</f>
        <v>5.9152858062493179</v>
      </c>
      <c r="AA173" s="1062">
        <f ca="1">IF(UPPER('VVP1'!$F$3)="Y",OFFSET('VVP1'!$H86,0,5*(COLUMN()-7)),AA81)</f>
        <v>5.9869669199016124</v>
      </c>
      <c r="AB173" s="1062">
        <f ca="1">IF(UPPER('VVP1'!$F$3)="Y",OFFSET('VVP1'!$H86,0,5*(COLUMN()-7)),AB81)</f>
        <v>6.7492574056871453</v>
      </c>
      <c r="AC173" s="1062">
        <f ca="1">IF(UPPER('VVP1'!$F$3)="Y",OFFSET('VVP1'!$H86,0,5*(COLUMN()-7)),AC81)</f>
        <v>8.0017304798635713</v>
      </c>
      <c r="AD173" s="1062">
        <f ca="1">IF(UPPER('VVP1'!$F$3)="Y",OFFSET('VVP1'!$H86,0,5*(COLUMN()-7)),AD81)</f>
        <v>8.8183810499999993</v>
      </c>
      <c r="AE173" s="1062">
        <f ca="1">IF(UPPER('VVP1'!$F$3)="Y",OFFSET('VVP1'!$H86,0,5*(COLUMN()-7)),AE81)</f>
        <v>9.4455884021812491</v>
      </c>
    </row>
    <row r="174" spans="1:94">
      <c r="A174" s="664"/>
      <c r="B174" s="665">
        <v>10</v>
      </c>
      <c r="C174" s="1480"/>
      <c r="D174" s="1"/>
      <c r="E174" s="1" t="str">
        <f>+Transfer!B110</f>
        <v>VOL. IMPORTS OF GOODS (FOB)</v>
      </c>
      <c r="F174" s="1481"/>
      <c r="G174" s="1062"/>
      <c r="H174" s="1062">
        <f ca="1">IF(UPPER('VVP1'!$F$3)="Y",OFFSET('VVP1'!$H102,0,5*(COLUMN()-7)),H104)</f>
        <v>3.7722757279715027</v>
      </c>
      <c r="I174" s="1062">
        <f ca="1">IF(UPPER('VVP1'!$F$3)="Y",OFFSET('VVP1'!$H102,0,5*(COLUMN()-7)),I104)</f>
        <v>5.1931310124514134</v>
      </c>
      <c r="J174" s="1062">
        <f ca="1">IF(UPPER('VVP1'!$F$3)="Y",OFFSET('VVP1'!$H102,0,5*(COLUMN()-7)),J104)</f>
        <v>5.7537053022853177</v>
      </c>
      <c r="K174" s="1062">
        <f ca="1">IF(UPPER('VVP1'!$F$3)="Y",OFFSET('VVP1'!$H102,0,5*(COLUMN()-7)),K104)</f>
        <v>4.7761055134823653</v>
      </c>
      <c r="L174" s="1062">
        <f ca="1">IF(UPPER('VVP1'!$F$3)="Y",OFFSET('VVP1'!$H102,0,5*(COLUMN()-7)),L104)</f>
        <v>4.834447611540706</v>
      </c>
      <c r="M174" s="1062">
        <f ca="1">IF(UPPER('VVP1'!$F$3)="Y",OFFSET('VVP1'!$H102,0,5*(COLUMN()-7)),M104)</f>
        <v>6.1950230693412101</v>
      </c>
      <c r="N174" s="1062">
        <f ca="1">IF(UPPER('VVP1'!$F$3)="Y",OFFSET('VVP1'!$H102,0,5*(COLUMN()-7)),N104)</f>
        <v>7.3034599408565191</v>
      </c>
      <c r="O174" s="1062">
        <f ca="1">IF(UPPER('VVP1'!$F$3)="Y",OFFSET('VVP1'!$H102,0,5*(COLUMN()-7)),O104)</f>
        <v>7.5817939293708019</v>
      </c>
      <c r="P174" s="1062">
        <f ca="1">IF(UPPER('VVP1'!$F$3)="Y",OFFSET('VVP1'!$H102,0,5*(COLUMN()-7)),P104)</f>
        <v>8.5996386781217531</v>
      </c>
      <c r="Q174" s="1062">
        <f ca="1">IF(UPPER('VVP1'!$F$3)="Y",OFFSET('VVP1'!$H102,0,5*(COLUMN()-7)),Q104)</f>
        <v>10.278685682999035</v>
      </c>
      <c r="R174" s="1062">
        <f ca="1">IF(UPPER('VVP1'!$F$3)="Y",OFFSET('VVP1'!$H102,0,5*(COLUMN()-7)),R104)</f>
        <v>12.713954045357173</v>
      </c>
      <c r="S174" s="1062">
        <f ca="1">IF(UPPER('VVP1'!$F$3)="Y",OFFSET('VVP1'!$H102,0,5*(COLUMN()-7)),S104)</f>
        <v>15.183482152866763</v>
      </c>
      <c r="T174" s="1062">
        <f ca="1">IF(UPPER('VVP1'!$F$3)="Y",OFFSET('VVP1'!$H102,0,5*(COLUMN()-7)),T104)</f>
        <v>17.965945279182556</v>
      </c>
      <c r="U174" s="1062">
        <f ca="1">IF(UPPER('VVP1'!$F$3)="Y",OFFSET('VVP1'!$H102,0,5*(COLUMN()-7)),U104)</f>
        <v>13.808270806085607</v>
      </c>
      <c r="V174" s="1062">
        <f ca="1">IF(UPPER('VVP1'!$F$3)="Y",OFFSET('VVP1'!$H102,0,5*(COLUMN()-7)),V104)</f>
        <v>14.919855463290974</v>
      </c>
      <c r="W174" s="1062">
        <f ca="1">IF(UPPER('VVP1'!$F$3)="Y",OFFSET('VVP1'!$H102,0,5*(COLUMN()-7)),W104)</f>
        <v>18.97306</v>
      </c>
      <c r="X174" s="1062">
        <f ca="1">IF(UPPER('VVP1'!$F$3)="Y",OFFSET('VVP1'!$H102,0,5*(COLUMN()-7)),X104)</f>
        <v>22.513466175777655</v>
      </c>
      <c r="Y174" s="1062">
        <f ca="1">IF(UPPER('VVP1'!$F$3)="Y",OFFSET('VVP1'!$H102,0,5*(COLUMN()-7)),Y104)</f>
        <v>25.340790174376046</v>
      </c>
      <c r="Z174" s="1062">
        <f ca="1">IF(UPPER('VVP1'!$F$3)="Y",OFFSET('VVP1'!$H102,0,5*(COLUMN()-7)),Z104)</f>
        <v>25.611440938865478</v>
      </c>
      <c r="AA174" s="1062">
        <f ca="1">IF(UPPER('VVP1'!$F$3)="Y",OFFSET('VVP1'!$H102,0,5*(COLUMN()-7)),AA104)</f>
        <v>26.487065169064213</v>
      </c>
      <c r="AB174" s="1062">
        <f ca="1">IF(UPPER('VVP1'!$F$3)="Y",OFFSET('VVP1'!$H102,0,5*(COLUMN()-7)),AB104)</f>
        <v>25.022739903926134</v>
      </c>
      <c r="AC174" s="1062">
        <f ca="1">IF(UPPER('VVP1'!$F$3)="Y",OFFSET('VVP1'!$H102,0,5*(COLUMN()-7)),AC104)</f>
        <v>26.710417898364799</v>
      </c>
      <c r="AD174" s="1062">
        <f ca="1">IF(UPPER('VVP1'!$F$3)="Y",OFFSET('VVP1'!$H102,0,5*(COLUMN()-7)),AD104)</f>
        <v>29.621771549999995</v>
      </c>
      <c r="AE174" s="1062">
        <f ca="1">IF(UPPER('VVP1'!$F$3)="Y",OFFSET('VVP1'!$H102,0,5*(COLUMN()-7)),AE104)</f>
        <v>31.941156262364995</v>
      </c>
    </row>
    <row r="175" spans="1:94">
      <c r="A175" s="664"/>
      <c r="B175" s="665">
        <v>11</v>
      </c>
      <c r="C175" s="1480"/>
      <c r="D175" s="1"/>
      <c r="E175" s="1" t="str">
        <f>+Transfer!B111</f>
        <v>VOL. IMPORTS OF SERVICES</v>
      </c>
      <c r="F175" s="1481"/>
      <c r="G175" s="1062"/>
      <c r="H175" s="1062">
        <f ca="1">IF(UPPER('VVP1'!$F$3)="Y",OFFSET('VVP1'!$H101,0,5*(COLUMN()-7)),H103)</f>
        <v>0.80914652515132945</v>
      </c>
      <c r="I175" s="1062">
        <f ca="1">IF(UPPER('VVP1'!$F$3)="Y",OFFSET('VVP1'!$H101,0,5*(COLUMN()-7)),I103)</f>
        <v>1.0278735399546439</v>
      </c>
      <c r="J175" s="1062">
        <f ca="1">IF(UPPER('VVP1'!$F$3)="Y",OFFSET('VVP1'!$H101,0,5*(COLUMN()-7)),J103)</f>
        <v>1.0875952141019616</v>
      </c>
      <c r="K175" s="1062">
        <f ca="1">IF(UPPER('VVP1'!$F$3)="Y",OFFSET('VVP1'!$H101,0,5*(COLUMN()-7)),K103)</f>
        <v>1.0044213433306373</v>
      </c>
      <c r="L175" s="1062">
        <f ca="1">IF(UPPER('VVP1'!$F$3)="Y",OFFSET('VVP1'!$H101,0,5*(COLUMN()-7)),L103)</f>
        <v>0.78744619560131013</v>
      </c>
      <c r="M175" s="1062">
        <f ca="1">IF(UPPER('VVP1'!$F$3)="Y",OFFSET('VVP1'!$H101,0,5*(COLUMN()-7)),M103)</f>
        <v>0.81110343936422258</v>
      </c>
      <c r="N175" s="1062">
        <f ca="1">IF(UPPER('VVP1'!$F$3)="Y",OFFSET('VVP1'!$H101,0,5*(COLUMN()-7)),N103)</f>
        <v>1.0292535072525266</v>
      </c>
      <c r="O175" s="1062">
        <f ca="1">IF(UPPER('VVP1'!$F$3)="Y",OFFSET('VVP1'!$H101,0,5*(COLUMN()-7)),O103)</f>
        <v>1.1983510271979427</v>
      </c>
      <c r="P175" s="1062">
        <f ca="1">IF(UPPER('VVP1'!$F$3)="Y",OFFSET('VVP1'!$H101,0,5*(COLUMN()-7)),P103)</f>
        <v>1.376103111452424</v>
      </c>
      <c r="Q175" s="1062">
        <f ca="1">IF(UPPER('VVP1'!$F$3)="Y",OFFSET('VVP1'!$H101,0,5*(COLUMN()-7)),Q103)</f>
        <v>1.6571461018158751</v>
      </c>
      <c r="R175" s="1062">
        <f ca="1">IF(UPPER('VVP1'!$F$3)="Y",OFFSET('VVP1'!$H101,0,5*(COLUMN()-7)),R103)</f>
        <v>1.9421344194201153</v>
      </c>
      <c r="S175" s="1062">
        <f ca="1">IF(UPPER('VVP1'!$F$3)="Y",OFFSET('VVP1'!$H101,0,5*(COLUMN()-7)),S103)</f>
        <v>2.3955959597588108</v>
      </c>
      <c r="T175" s="1062">
        <f ca="1">IF(UPPER('VVP1'!$F$3)="Y",OFFSET('VVP1'!$H101,0,5*(COLUMN()-7)),T103)</f>
        <v>2.7168480718631804</v>
      </c>
      <c r="U175" s="1062">
        <f ca="1">IF(UPPER('VVP1'!$F$3)="Y",OFFSET('VVP1'!$H101,0,5*(COLUMN()-7)),U103)</f>
        <v>2.367776309878491</v>
      </c>
      <c r="V175" s="1062">
        <f ca="1">IF(UPPER('VVP1'!$F$3)="Y",OFFSET('VVP1'!$H101,0,5*(COLUMN()-7)),V103)</f>
        <v>2.2190085277705345</v>
      </c>
      <c r="W175" s="1062">
        <f ca="1">IF(UPPER('VVP1'!$F$3)="Y",OFFSET('VVP1'!$H101,0,5*(COLUMN()-7)),W103)</f>
        <v>2.6943299999999999</v>
      </c>
      <c r="X175" s="1062">
        <f ca="1">IF(UPPER('VVP1'!$F$3)="Y",OFFSET('VVP1'!$H101,0,5*(COLUMN()-7)),X103)</f>
        <v>3.3508247889456748</v>
      </c>
      <c r="Y175" s="1062">
        <f ca="1">IF(UPPER('VVP1'!$F$3)="Y",OFFSET('VVP1'!$H101,0,5*(COLUMN()-7)),Y103)</f>
        <v>4.0467798034506419</v>
      </c>
      <c r="Z175" s="1062">
        <f ca="1">IF(UPPER('VVP1'!$F$3)="Y",OFFSET('VVP1'!$H101,0,5*(COLUMN()-7)),Z103)</f>
        <v>4.2355969688599862</v>
      </c>
      <c r="AA175" s="1062">
        <f ca="1">IF(UPPER('VVP1'!$F$3)="Y",OFFSET('VVP1'!$H101,0,5*(COLUMN()-7)),AA103)</f>
        <v>4.2033260633151137</v>
      </c>
      <c r="AB175" s="1062">
        <f ca="1">IF(UPPER('VVP1'!$F$3)="Y",OFFSET('VVP1'!$H101,0,5*(COLUMN()-7)),AB103)</f>
        <v>4.5475389925779508</v>
      </c>
      <c r="AC175" s="1062">
        <f ca="1">IF(UPPER('VVP1'!$F$3)="Y",OFFSET('VVP1'!$H101,0,5*(COLUMN()-7)),AC103)</f>
        <v>5.2033230788250053</v>
      </c>
      <c r="AD175" s="1062">
        <f ca="1">IF(UPPER('VVP1'!$F$3)="Y",OFFSET('VVP1'!$H101,0,5*(COLUMN()-7)),AD103)</f>
        <v>5.72553585</v>
      </c>
      <c r="AE175" s="1062">
        <f ca="1">IF(UPPER('VVP1'!$F$3)="Y",OFFSET('VVP1'!$H101,0,5*(COLUMN()-7)),AE103)</f>
        <v>6.1862697198494994</v>
      </c>
    </row>
    <row r="176" spans="1:94">
      <c r="A176" s="664"/>
      <c r="B176" s="665">
        <v>12</v>
      </c>
      <c r="C176" s="1480"/>
      <c r="D176" s="1"/>
      <c r="E176" s="1" t="str">
        <f>+Transfer!B112</f>
        <v>VOL. GROSS DOMESTIC PRODUCT</v>
      </c>
      <c r="F176" s="1481"/>
      <c r="G176" s="1062"/>
      <c r="H176" s="1062">
        <f ca="1">IF(UPPER('VVP1'!$F$3)="Y",OFFSET('VVP1'!$H17,0,5*(COLUMN()-7)),H125)</f>
        <v>8.1713275698400576</v>
      </c>
      <c r="I176" s="1062">
        <f ca="1">IF(UPPER('VVP1'!$F$3)="Y",OFFSET('VVP1'!$H17,0,5*(COLUMN()-7)),I125)</f>
        <v>10.50490520255436</v>
      </c>
      <c r="J176" s="1062">
        <f ca="1">IF(UPPER('VVP1'!$F$3)="Y",OFFSET('VVP1'!$H17,0,5*(COLUMN()-7)),J125)</f>
        <v>12.618124979631343</v>
      </c>
      <c r="K176" s="1062">
        <f ca="1">IF(UPPER('VVP1'!$F$3)="Y",OFFSET('VVP1'!$H17,0,5*(COLUMN()-7)),K125)</f>
        <v>12.888940890404298</v>
      </c>
      <c r="L176" s="1062">
        <f ca="1">IF(UPPER('VVP1'!$F$3)="Y",OFFSET('VVP1'!$H17,0,5*(COLUMN()-7)),L125)</f>
        <v>13.172433665997298</v>
      </c>
      <c r="M176" s="1062">
        <f ca="1">IF(UPPER('VVP1'!$F$3)="Y",OFFSET('VVP1'!$H17,0,5*(COLUMN()-7)),M125)</f>
        <v>14.263795371054259</v>
      </c>
      <c r="N176" s="1062">
        <f ca="1">IF(UPPER('VVP1'!$F$3)="Y",OFFSET('VVP1'!$H17,0,5*(COLUMN()-7)),N125)</f>
        <v>15.165140922806771</v>
      </c>
      <c r="O176" s="1062">
        <f ca="1">IF(UPPER('VVP1'!$F$3)="Y",OFFSET('VVP1'!$H17,0,5*(COLUMN()-7)),O125)</f>
        <v>16.764327866626619</v>
      </c>
      <c r="P176" s="1062">
        <f ca="1">IF(UPPER('VVP1'!$F$3)="Y",OFFSET('VVP1'!$H17,0,5*(COLUMN()-7)),P125)</f>
        <v>17.909991876551185</v>
      </c>
      <c r="Q176" s="1062">
        <f ca="1">IF(UPPER('VVP1'!$F$3)="Y",OFFSET('VVP1'!$H17,0,5*(COLUMN()-7)),Q125)</f>
        <v>19.647019274344096</v>
      </c>
      <c r="R176" s="1062">
        <f ca="1">IF(UPPER('VVP1'!$F$3)="Y",OFFSET('VVP1'!$H17,0,5*(COLUMN()-7)),R125)</f>
        <v>22.557878660698041</v>
      </c>
      <c r="S176" s="1062">
        <f ca="1">IF(UPPER('VVP1'!$F$3)="Y",OFFSET('VVP1'!$H17,0,5*(COLUMN()-7)),S125)</f>
        <v>26.748829729111595</v>
      </c>
      <c r="T176" s="1062">
        <f ca="1">IF(UPPER('VVP1'!$F$3)="Y",OFFSET('VVP1'!$H17,0,5*(COLUMN()-7)),T125)</f>
        <v>29.803872461951531</v>
      </c>
      <c r="U176" s="1062">
        <f ca="1">IF(UPPER('VVP1'!$F$3)="Y",OFFSET('VVP1'!$H17,0,5*(COLUMN()-7)),U125)</f>
        <v>27.85259653255882</v>
      </c>
      <c r="V176" s="1062">
        <f ca="1">IF(UPPER('VVP1'!$F$3)="Y",OFFSET('VVP1'!$H17,0,5*(COLUMN()-7)),V125)</f>
        <v>27.376504448381109</v>
      </c>
      <c r="W176" s="1062">
        <f ca="1">IF(UPPER('VVP1'!$F$3)="Y",OFFSET('VVP1'!$H17,0,5*(COLUMN()-7)),W125)</f>
        <v>29.721409999999995</v>
      </c>
      <c r="X176" s="1062">
        <f ca="1">IF(UPPER('VVP1'!$F$3)="Y",OFFSET('VVP1'!$H17,0,5*(COLUMN()-7)),X125)</f>
        <v>32.472207175756466</v>
      </c>
      <c r="Y176" s="1062">
        <f ca="1">IF(UPPER('VVP1'!$F$3)="Y",OFFSET('VVP1'!$H17,0,5*(COLUMN()-7)),Y125)</f>
        <v>34.515202328020862</v>
      </c>
      <c r="Z176" s="1062">
        <f ca="1">IF(UPPER('VVP1'!$F$3)="Y",OFFSET('VVP1'!$H17,0,5*(COLUMN()-7)),Z125)</f>
        <v>36.196377535384471</v>
      </c>
      <c r="AA176" s="1062">
        <f ca="1">IF(UPPER('VVP1'!$F$3)="Y",OFFSET('VVP1'!$H17,0,5*(COLUMN()-7)),AA125)</f>
        <v>37.312322960551342</v>
      </c>
      <c r="AB176" s="1062">
        <f ca="1">IF(UPPER('VVP1'!$F$3)="Y",OFFSET('VVP1'!$H17,0,5*(COLUMN()-7)),AB125)</f>
        <v>38.304220191653336</v>
      </c>
      <c r="AC176" s="1062">
        <f ca="1">IF(UPPER('VVP1'!$F$3)="Y",OFFSET('VVP1'!$H17,0,5*(COLUMN()-7)),AC125)</f>
        <v>40.433610411171614</v>
      </c>
      <c r="AD176" s="1062">
        <f ca="1">IF(UPPER('VVP1'!$F$3)="Y",OFFSET('VVP1'!$H17,0,5*(COLUMN()-7)),AD125)</f>
        <v>43.083363642323164</v>
      </c>
      <c r="AE176" s="1062">
        <f ca="1">IF(UPPER('VVP1'!$F$3)="Y",OFFSET('VVP1'!$H17,0,5*(COLUMN()-7)),AE125)</f>
        <v>45.379921147033215</v>
      </c>
    </row>
    <row r="177" spans="1:94">
      <c r="A177" s="664"/>
      <c r="B177" s="665">
        <v>28</v>
      </c>
      <c r="C177" s="1480"/>
      <c r="D177" s="1"/>
      <c r="E177" s="1" t="str">
        <f>+Transfer!B128</f>
        <v xml:space="preserve">VOL. FIXED INVESTMENT GOVERNMENT  </v>
      </c>
      <c r="F177" s="1481"/>
      <c r="G177" s="1062"/>
      <c r="H177" s="1062" t="e">
        <f ca="1">IF(UPPER('VVP1'!$F$3)="Y",OFFSET('VVP1'!$H71,0,5*(COLUMN()-7)),H45)</f>
        <v>#VALUE!</v>
      </c>
      <c r="I177" s="1062" t="e">
        <f ca="1">IF(UPPER('VVP1'!$F$3)="Y",OFFSET('VVP1'!$H71,0,5*(COLUMN()-7)),I45)</f>
        <v>#VALUE!</v>
      </c>
      <c r="J177" s="1062" t="e">
        <f ca="1">IF(UPPER('VVP1'!$F$3)="Y",OFFSET('VVP1'!$H71,0,5*(COLUMN()-7)),J45)</f>
        <v>#VALUE!</v>
      </c>
      <c r="K177" s="1062" t="e">
        <f ca="1">IF(UPPER('VVP1'!$F$3)="Y",OFFSET('VVP1'!$H71,0,5*(COLUMN()-7)),K45)</f>
        <v>#VALUE!</v>
      </c>
      <c r="L177" s="1062">
        <f ca="1">IF(UPPER('VVP1'!$F$3)="Y",OFFSET('VVP1'!$H71,0,5*(COLUMN()-7)),L45)</f>
        <v>0.34685224839400425</v>
      </c>
      <c r="M177" s="1062">
        <f ca="1">IF(UPPER('VVP1'!$F$3)="Y",OFFSET('VVP1'!$H71,0,5*(COLUMN()-7)),M45)</f>
        <v>0.34628479657387584</v>
      </c>
      <c r="N177" s="1062">
        <f ca="1">IF(UPPER('VVP1'!$F$3)="Y",OFFSET('VVP1'!$H71,0,5*(COLUMN()-7)),N45)</f>
        <v>0.48359743040685232</v>
      </c>
      <c r="O177" s="1062">
        <f ca="1">IF(UPPER('VVP1'!$F$3)="Y",OFFSET('VVP1'!$H71,0,5*(COLUMN()-7)),O45)</f>
        <v>0.54923982869379029</v>
      </c>
      <c r="P177" s="1062">
        <f ca="1">IF(UPPER('VVP1'!$F$3)="Y",OFFSET('VVP1'!$H71,0,5*(COLUMN()-7)),P45)</f>
        <v>0.70425053533190574</v>
      </c>
      <c r="Q177" s="1956">
        <f ca="1">IF(UPPER('VVP1'!$F$3)="Y",OFFSET('VVP1'!$H71,0,5*(COLUMN()-7)),Q45)</f>
        <v>0.81100642398286948</v>
      </c>
      <c r="R177" s="1956">
        <f ca="1">IF(UPPER('VVP1'!$F$3)="Y",OFFSET('VVP1'!$H71,0,5*(COLUMN()-7)),R45)</f>
        <v>1.1020663811563167</v>
      </c>
      <c r="S177" s="1956">
        <f ca="1">IF(UPPER('VVP1'!$F$3)="Y",OFFSET('VVP1'!$H71,0,5*(COLUMN()-7)),S45)</f>
        <v>1.6834689507494647</v>
      </c>
      <c r="T177" s="1956">
        <f ca="1">IF(UPPER('VVP1'!$F$3)="Y",OFFSET('VVP1'!$H71,0,5*(COLUMN()-7)),T45)</f>
        <v>1.8834582441113492</v>
      </c>
      <c r="U177" s="1956">
        <f ca="1">IF(UPPER('VVP1'!$F$3)="Y",OFFSET('VVP1'!$H71,0,5*(COLUMN()-7)),U45)</f>
        <v>1.2732334047109208</v>
      </c>
      <c r="V177" s="1956">
        <f ca="1">IF(UPPER('VVP1'!$F$3)="Y",OFFSET('VVP1'!$H71,0,5*(COLUMN()-7)),V45)</f>
        <v>1.3570048780487807</v>
      </c>
      <c r="W177" s="1956">
        <f ca="1">IF(UPPER('VVP1'!$F$3)="Y",OFFSET('VVP1'!$H71,0,5*(COLUMN()-7)),W45)</f>
        <v>1.4431512195121954</v>
      </c>
      <c r="X177" s="1956">
        <f ca="1">IF(UPPER('VVP1'!$F$3)="Y",OFFSET('VVP1'!$H71,0,5*(COLUMN()-7)),X45)</f>
        <v>1.2939804878048782</v>
      </c>
      <c r="Y177" s="1956">
        <f ca="1">IF(UPPER('VVP1'!$F$3)="Y",OFFSET('VVP1'!$H71,0,5*(COLUMN()-7)),Y45)</f>
        <v>1.2775414634146343</v>
      </c>
      <c r="Z177" s="1956">
        <f ca="1">IF(UPPER('VVP1'!$F$3)="Y",OFFSET('VVP1'!$H71,0,5*(COLUMN()-7)),Z45)</f>
        <v>1.2516878048780489</v>
      </c>
      <c r="AA177" s="1956">
        <f ca="1">IF(UPPER('VVP1'!$F$3)="Y",OFFSET('VVP1'!$H71,0,5*(COLUMN()-7)),AA45)</f>
        <v>1.3409853658536586</v>
      </c>
      <c r="AB177" s="1956">
        <f ca="1">IF(UPPER('VVP1'!$F$3)="Y",OFFSET('VVP1'!$H71,0,5*(COLUMN()-7)),AB45)</f>
        <v>1.1652424242424242</v>
      </c>
      <c r="AC177" s="1956">
        <f ca="1">IF(UPPER('VVP1'!$F$3)="Y",OFFSET('VVP1'!$H71,0,5*(COLUMN()-7)),AC45)</f>
        <v>1.1881976999999999</v>
      </c>
      <c r="AD177" s="1956">
        <f ca="1">IF(UPPER('VVP1'!$F$3)="Y",OFFSET('VVP1'!$H71,0,5*(COLUMN()-7)),AD45)</f>
        <v>1.3153341409813797</v>
      </c>
      <c r="AE177" s="1956">
        <f ca="1">IF(UPPER('VVP1'!$F$3)="Y",OFFSET('VVP1'!$H71,0,5*(COLUMN()-7)),AE45)</f>
        <v>1.4157599026453078</v>
      </c>
    </row>
    <row r="178" spans="1:94">
      <c r="A178" s="664"/>
      <c r="B178" s="665">
        <v>31</v>
      </c>
      <c r="C178" s="1480"/>
      <c r="D178" s="1"/>
      <c r="E178" s="1" t="str">
        <f>+Transfer!B131</f>
        <v>VOL. FIXED INVESTMENT HOUSING</v>
      </c>
      <c r="F178" s="1481"/>
      <c r="G178" s="1062"/>
      <c r="H178" s="1062">
        <f ca="1">IF(UPPER('VVP1'!$F$3)="Y",OFFSET('VVP1'!$H59,0,5*(COLUMN()-7)),H22)</f>
        <v>0.17832482912181075</v>
      </c>
      <c r="I178" s="1062">
        <f ca="1">IF(UPPER('VVP1'!$F$3)="Y",OFFSET('VVP1'!$H59,0,5*(COLUMN()-7)),I22)</f>
        <v>0.18278017170329669</v>
      </c>
      <c r="J178" s="1062">
        <f ca="1">IF(UPPER('VVP1'!$F$3)="Y",OFFSET('VVP1'!$H59,0,5*(COLUMN()-7)),J22)</f>
        <v>0.18995445742391637</v>
      </c>
      <c r="K178" s="1062">
        <f ca="1">IF(UPPER('VVP1'!$F$3)="Y",OFFSET('VVP1'!$H59,0,5*(COLUMN()-7)),K22)</f>
        <v>0.20994319211822662</v>
      </c>
      <c r="L178" s="1062">
        <f ca="1">IF(UPPER('VVP1'!$F$3)="Y",OFFSET('VVP1'!$H59,0,5*(COLUMN()-7)),L22)</f>
        <v>0.23297373703933605</v>
      </c>
      <c r="M178" s="1062">
        <f ca="1">IF(UPPER('VVP1'!$F$3)="Y",OFFSET('VVP1'!$H59,0,5*(COLUMN()-7)),M22)</f>
        <v>0.2262220937591993</v>
      </c>
      <c r="N178" s="1062">
        <f ca="1">IF(UPPER('VVP1'!$F$3)="Y",OFFSET('VVP1'!$H59,0,5*(COLUMN()-7)),N22)</f>
        <v>0.20058687433910022</v>
      </c>
      <c r="O178" s="1062">
        <f ca="1">IF(UPPER('VVP1'!$F$3)="Y",OFFSET('VVP1'!$H59,0,5*(COLUMN()-7)),O22)</f>
        <v>0.23057564403834707</v>
      </c>
      <c r="P178" s="1062">
        <f ca="1">IF(UPPER('VVP1'!$F$3)="Y",OFFSET('VVP1'!$H59,0,5*(COLUMN()-7)),P22)</f>
        <v>0.38885539822452958</v>
      </c>
      <c r="Q178" s="1062">
        <f ca="1">IF(UPPER('VVP1'!$F$3)="Y",OFFSET('VVP1'!$H59,0,5*(COLUMN()-7)),Q22)</f>
        <v>0.41865151567542663</v>
      </c>
      <c r="R178" s="1062">
        <f ca="1">IF(UPPER('VVP1'!$F$3)="Y",OFFSET('VVP1'!$H59,0,5*(COLUMN()-7)),R22)</f>
        <v>0.55030292247093859</v>
      </c>
      <c r="S178" s="1062">
        <f ca="1">IF(UPPER('VVP1'!$F$3)="Y",OFFSET('VVP1'!$H59,0,5*(COLUMN()-7)),S22)</f>
        <v>0.69978260259419001</v>
      </c>
      <c r="T178" s="1062">
        <f ca="1">IF(UPPER('VVP1'!$F$3)="Y",OFFSET('VVP1'!$H59,0,5*(COLUMN()-7)),T22)</f>
        <v>1.009917155713832</v>
      </c>
      <c r="U178" s="1062">
        <f ca="1">IF(UPPER('VVP1'!$F$3)="Y",OFFSET('VVP1'!$H59,0,5*(COLUMN()-7)),U22)</f>
        <v>1.0269807603650818</v>
      </c>
      <c r="V178" s="1062">
        <f ca="1">IF(UPPER('VVP1'!$F$3)="Y",OFFSET('VVP1'!$H59,0,5*(COLUMN()-7)),V22)</f>
        <v>0.61767241758767533</v>
      </c>
      <c r="W178" s="1062">
        <f ca="1">IF(UPPER('VVP1'!$F$3)="Y",OFFSET('VVP1'!$H59,0,5*(COLUMN()-7)),W22)</f>
        <v>0.59385999999999994</v>
      </c>
      <c r="X178" s="1062">
        <f ca="1">IF(UPPER('VVP1'!$F$3)="Y",OFFSET('VVP1'!$H59,0,5*(COLUMN()-7)),X22)</f>
        <v>0.63016528727309451</v>
      </c>
      <c r="Y178" s="1062">
        <f ca="1">IF(UPPER('VVP1'!$F$3)="Y",OFFSET('VVP1'!$H59,0,5*(COLUMN()-7)),Y22)</f>
        <v>0.72428201103334722</v>
      </c>
      <c r="Z178" s="1062">
        <f ca="1">IF(UPPER('VVP1'!$F$3)="Y",OFFSET('VVP1'!$H59,0,5*(COLUMN()-7)),Z22)</f>
        <v>0.8849715104174356</v>
      </c>
      <c r="AA178" s="1062">
        <f ca="1">IF(UPPER('VVP1'!$F$3)="Y",OFFSET('VVP1'!$H59,0,5*(COLUMN()-7)),AA22)</f>
        <v>1.0493143864612278</v>
      </c>
      <c r="AB178" s="1062">
        <f ca="1">IF(UPPER('VVP1'!$F$3)="Y",OFFSET('VVP1'!$H59,0,5*(COLUMN()-7)),AB22)</f>
        <v>1.1247678027438224</v>
      </c>
      <c r="AC178" s="1062">
        <f ca="1">IF(UPPER('VVP1'!$F$3)="Y",OFFSET('VVP1'!$H59,0,5*(COLUMN()-7)),AC22)</f>
        <v>1.1071820347568258</v>
      </c>
      <c r="AD178" s="1062">
        <f ca="1">IF(UPPER('VVP1'!$F$3)="Y",OFFSET('VVP1'!$H59,0,5*(COLUMN()-7)),AD22)</f>
        <v>1.16537895</v>
      </c>
      <c r="AE178" s="1062">
        <f ca="1">IF(UPPER('VVP1'!$F$3)="Y",OFFSET('VVP1'!$H59,0,5*(COLUMN()-7)),AE22)</f>
        <v>1.2255055115462998</v>
      </c>
    </row>
    <row r="179" spans="1:94">
      <c r="A179" s="664"/>
      <c r="B179" s="665">
        <v>58</v>
      </c>
      <c r="C179" s="1484"/>
      <c r="D179" s="113"/>
      <c r="E179" s="113" t="str">
        <f>+Transfer!B158</f>
        <v>VOL GROSS VALUE ADDED</v>
      </c>
      <c r="F179" s="1482"/>
      <c r="G179" s="1514"/>
      <c r="H179" s="1514">
        <f ca="1">IF(UPPER('VVP1'!$F$3)="Y",OFFSET('VVP1'!$H119,0,5*(COLUMN()-7)),H159)</f>
        <v>7.2992217075971704</v>
      </c>
      <c r="I179" s="1514">
        <f ca="1">IF(UPPER('VVP1'!$F$3)="Y",OFFSET('VVP1'!$H119,0,5*(COLUMN()-7)),I159)</f>
        <v>9.4447631952491893</v>
      </c>
      <c r="J179" s="1514">
        <f ca="1">IF(UPPER('VVP1'!$F$3)="Y",OFFSET('VVP1'!$H119,0,5*(COLUMN()-7)),J159)</f>
        <v>11.05845748947338</v>
      </c>
      <c r="K179" s="1514">
        <f ca="1">IF(UPPER('VVP1'!$F$3)="Y",OFFSET('VVP1'!$H119,0,5*(COLUMN()-7)),K159)</f>
        <v>11.296544324943005</v>
      </c>
      <c r="L179" s="1514">
        <f ca="1">IF(UPPER('VVP1'!$F$3)="Y",OFFSET('VVP1'!$H119,0,5*(COLUMN()-7)),L159)</f>
        <v>11.578352806936994</v>
      </c>
      <c r="M179" s="1514">
        <f ca="1">IF(UPPER('VVP1'!$F$3)="Y",OFFSET('VVP1'!$H119,0,5*(COLUMN()-7)),M159)</f>
        <v>12.676861952376994</v>
      </c>
      <c r="N179" s="1514">
        <f ca="1">IF(UPPER('VVP1'!$F$3)="Y",OFFSET('VVP1'!$H119,0,5*(COLUMN()-7)),N159)</f>
        <v>13.498458493740799</v>
      </c>
      <c r="O179" s="1514">
        <f ca="1">IF(UPPER('VVP1'!$F$3)="Y",OFFSET('VVP1'!$H119,0,5*(COLUMN()-7)),O159)</f>
        <v>14.913623177992683</v>
      </c>
      <c r="P179" s="1514">
        <f ca="1">IF(UPPER('VVP1'!$F$3)="Y",OFFSET('VVP1'!$H119,0,5*(COLUMN()-7)),P159)</f>
        <v>16.050366453024235</v>
      </c>
      <c r="Q179" s="1514">
        <f ca="1">IF(UPPER('VVP1'!$F$3)="Y",OFFSET('VVP1'!$H119,0,5*(COLUMN()-7)),Q159)</f>
        <v>17.774589817555778</v>
      </c>
      <c r="R179" s="1514">
        <f ca="1">IF(UPPER('VVP1'!$F$3)="Y",OFFSET('VVP1'!$H119,0,5*(COLUMN()-7)),R159)</f>
        <v>20.417650421643756</v>
      </c>
      <c r="S179" s="1514">
        <f ca="1">IF(UPPER('VVP1'!$F$3)="Y",OFFSET('VVP1'!$H119,0,5*(COLUMN()-7)),S159)</f>
        <v>24.143288388127445</v>
      </c>
      <c r="T179" s="1514">
        <f ca="1">IF(UPPER('VVP1'!$F$3)="Y",OFFSET('VVP1'!$H119,0,5*(COLUMN()-7)),T159)</f>
        <v>26.761805277227229</v>
      </c>
      <c r="U179" s="1514">
        <f ca="1">IF(UPPER('VVP1'!$F$3)="Y",OFFSET('VVP1'!$H119,0,5*(COLUMN()-7)),U159)</f>
        <v>25.001376754942324</v>
      </c>
      <c r="V179" s="1514">
        <f ca="1">IF(UPPER('VVP1'!$F$3)="Y",OFFSET('VVP1'!$H119,0,5*(COLUMN()-7)),V159)</f>
        <v>24.6988372190817</v>
      </c>
      <c r="W179" s="1514">
        <f ca="1">IF(UPPER('VVP1'!$F$3)="Y",OFFSET('VVP1'!$H119,0,5*(COLUMN()-7)),W159)</f>
        <v>26.733210000000003</v>
      </c>
      <c r="X179" s="1514">
        <f ca="1">IF(UPPER('VVP1'!$F$3)="Y",OFFSET('VVP1'!$H119,0,5*(COLUMN()-7)),X159)</f>
        <v>29.237735018607946</v>
      </c>
      <c r="Y179" s="1514">
        <f ca="1">IF(UPPER('VVP1'!$F$3)="Y",OFFSET('VVP1'!$H119,0,5*(COLUMN()-7)),Y159)</f>
        <v>31.220506102618938</v>
      </c>
      <c r="Z179" s="1514">
        <f ca="1">IF(UPPER('VVP1'!$F$3)="Y",OFFSET('VVP1'!$H119,0,5*(COLUMN()-7)),Z159)</f>
        <v>32.811149667087292</v>
      </c>
      <c r="AA179" s="1514">
        <f ca="1">IF(UPPER('VVP1'!$F$3)="Y",OFFSET('VVP1'!$H119,0,5*(COLUMN()-7)),AA159)</f>
        <v>33.74049337344055</v>
      </c>
      <c r="AB179" s="1514">
        <f ca="1">IF(UPPER('VVP1'!$F$3)="Y",OFFSET('VVP1'!$H119,0,5*(COLUMN()-7)),AB159)</f>
        <v>34.499586109841616</v>
      </c>
      <c r="AC179" s="1514">
        <f ca="1">IF(UPPER('VVP1'!$F$3)="Y",OFFSET('VVP1'!$H119,0,5*(COLUMN()-7)),AC159)</f>
        <v>36.121428247538752</v>
      </c>
      <c r="AD179" s="1514">
        <f ca="1">IF(UPPER('VVP1'!$F$3)="Y",OFFSET('VVP1'!$H119,0,5*(COLUMN()-7)),AD159)</f>
        <v>38.641359819963441</v>
      </c>
      <c r="AE179" s="1514">
        <f ca="1">IF(UPPER('VVP1'!$F$3)="Y",OFFSET('VVP1'!$H119,0,5*(COLUMN()-7)),AE159)</f>
        <v>40.689019264836176</v>
      </c>
    </row>
    <row r="180" spans="1:94">
      <c r="AB180" s="557"/>
      <c r="AC180" s="557"/>
      <c r="AD180" s="557"/>
      <c r="AE180" s="557"/>
    </row>
    <row r="181" spans="1:94">
      <c r="AB181" s="557"/>
      <c r="AC181" s="557"/>
      <c r="AD181" s="557"/>
      <c r="AE181" s="557"/>
    </row>
    <row r="182" spans="1:94" s="217" customFormat="1" ht="22.5" customHeight="1">
      <c r="A182" s="665"/>
      <c r="B182" s="665"/>
      <c r="C182" s="3752" t="s">
        <v>1384</v>
      </c>
      <c r="D182" s="3752"/>
      <c r="E182" s="3752"/>
      <c r="F182" s="3752"/>
      <c r="Q182" s="557"/>
      <c r="R182" s="557"/>
      <c r="S182" s="557"/>
      <c r="T182" s="557"/>
      <c r="U182" s="557"/>
      <c r="V182" s="557"/>
      <c r="W182" s="557"/>
      <c r="X182" s="557"/>
      <c r="Y182" s="557"/>
      <c r="Z182" s="557"/>
      <c r="AA182" s="557"/>
      <c r="AB182" s="557"/>
      <c r="AC182" s="557"/>
      <c r="AD182" s="557"/>
      <c r="AE182" s="557"/>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row>
    <row r="183" spans="1:94">
      <c r="AB183" s="557"/>
      <c r="AC183" s="557"/>
      <c r="AD183" s="557"/>
      <c r="AE183" s="557"/>
    </row>
    <row r="184" spans="1:94">
      <c r="A184" s="1130"/>
      <c r="B184" s="1130"/>
      <c r="D184" s="1074"/>
      <c r="E184" s="1075" t="s">
        <v>1273</v>
      </c>
      <c r="F184" s="1076"/>
      <c r="G184" s="698">
        <f>+InputY!$G$3</f>
        <v>1995</v>
      </c>
      <c r="H184" s="698">
        <f>+G184+1</f>
        <v>1996</v>
      </c>
      <c r="I184" s="698">
        <f t="shared" ref="I184:O184" si="170">+H184+1</f>
        <v>1997</v>
      </c>
      <c r="J184" s="698">
        <f t="shared" si="170"/>
        <v>1998</v>
      </c>
      <c r="K184" s="698">
        <f t="shared" si="170"/>
        <v>1999</v>
      </c>
      <c r="L184" s="698">
        <f t="shared" si="170"/>
        <v>2000</v>
      </c>
      <c r="M184" s="698">
        <f t="shared" si="170"/>
        <v>2001</v>
      </c>
      <c r="N184" s="698">
        <f t="shared" si="170"/>
        <v>2002</v>
      </c>
      <c r="O184" s="698">
        <f t="shared" si="170"/>
        <v>2003</v>
      </c>
      <c r="P184" s="698">
        <f t="shared" ref="P184:V184" si="171">+O184+1</f>
        <v>2004</v>
      </c>
      <c r="Q184" s="698">
        <f t="shared" si="171"/>
        <v>2005</v>
      </c>
      <c r="R184" s="698">
        <f t="shared" si="171"/>
        <v>2006</v>
      </c>
      <c r="S184" s="698">
        <f>+R184+1</f>
        <v>2007</v>
      </c>
      <c r="T184" s="698">
        <f t="shared" si="171"/>
        <v>2008</v>
      </c>
      <c r="U184" s="698">
        <f t="shared" si="171"/>
        <v>2009</v>
      </c>
      <c r="V184" s="698">
        <f t="shared" si="171"/>
        <v>2010</v>
      </c>
      <c r="W184" s="698">
        <f t="shared" ref="W184:AE184" si="172">+V184+1</f>
        <v>2011</v>
      </c>
      <c r="X184" s="698">
        <f t="shared" si="172"/>
        <v>2012</v>
      </c>
      <c r="Y184" s="698">
        <f t="shared" si="172"/>
        <v>2013</v>
      </c>
      <c r="Z184" s="698">
        <f t="shared" si="172"/>
        <v>2014</v>
      </c>
      <c r="AA184" s="698">
        <f t="shared" si="172"/>
        <v>2015</v>
      </c>
      <c r="AB184" s="698">
        <f t="shared" si="172"/>
        <v>2016</v>
      </c>
      <c r="AC184" s="698">
        <f t="shared" si="172"/>
        <v>2017</v>
      </c>
      <c r="AD184" s="698">
        <f t="shared" si="172"/>
        <v>2018</v>
      </c>
      <c r="AE184" s="698">
        <f t="shared" si="172"/>
        <v>2019</v>
      </c>
    </row>
    <row r="185" spans="1:94">
      <c r="A185" s="664">
        <f>+ROW(InputY!A60)</f>
        <v>60</v>
      </c>
      <c r="B185" s="1130" t="s">
        <v>746</v>
      </c>
      <c r="C185" s="1082" t="s">
        <v>1769</v>
      </c>
      <c r="D185" s="1086"/>
      <c r="E185" s="1087" t="s">
        <v>821</v>
      </c>
      <c r="F185" s="1086" t="s">
        <v>1895</v>
      </c>
      <c r="G185" s="1088">
        <f>+InputY!G60/1000</f>
        <v>4.9615900000000002</v>
      </c>
      <c r="H185" s="1088">
        <f>+InputY!H60/1000</f>
        <v>6.2328599999999996</v>
      </c>
      <c r="I185" s="1088">
        <f>+InputY!I60/1000</f>
        <v>7.1923199999999996</v>
      </c>
      <c r="J185" s="1088">
        <f>+InputY!J60/1000</f>
        <v>7.9673100000000003</v>
      </c>
      <c r="K185" s="1088">
        <f>+InputY!K60/1000</f>
        <v>8.2599499999999999</v>
      </c>
      <c r="L185" s="1088">
        <f>+InputY!L60/1000</f>
        <v>8.691889999999999</v>
      </c>
      <c r="M185" s="1088">
        <f>+InputY!M60/1000</f>
        <v>9.2690300000000008</v>
      </c>
      <c r="N185" s="1088">
        <f>+InputY!N60/1000</f>
        <v>9.8024199999999997</v>
      </c>
      <c r="O185" s="1088">
        <f>+InputY!O60/1000</f>
        <v>10.739979999999999</v>
      </c>
      <c r="P185" s="1088">
        <f>+InputY!P60/1000</f>
        <v>11.88908</v>
      </c>
      <c r="Q185" s="1088">
        <f>+InputY!Q60/1000</f>
        <v>13.583080000000001</v>
      </c>
      <c r="R185" s="1088">
        <f>+InputY!R60/1000</f>
        <v>15.509840000000001</v>
      </c>
      <c r="S185" s="1088">
        <f>+InputY!S60/1000</f>
        <v>18.460609999999999</v>
      </c>
      <c r="T185" s="1088">
        <f>+InputY!T60/1000</f>
        <v>21.260830000000002</v>
      </c>
      <c r="U185" s="1088">
        <f>+InputY!U60/1000</f>
        <v>18.33539</v>
      </c>
      <c r="V185" s="1088">
        <f>+InputY!V60/1000</f>
        <v>17.945540000000001</v>
      </c>
      <c r="W185" s="1088">
        <f>+InputY!W60/1000</f>
        <v>19.543849999999999</v>
      </c>
      <c r="X185" s="1088">
        <f>+InputY!X60/1000</f>
        <v>20.77008</v>
      </c>
      <c r="Y185" s="1088">
        <f>+InputY!Y60/1000</f>
        <v>21.881709999999998</v>
      </c>
      <c r="Z185" s="1088">
        <f>+InputY!Z60/1000</f>
        <v>22.776820000000001</v>
      </c>
      <c r="AA185" s="1088">
        <f>+InputY!AA60/1000</f>
        <v>23.47364</v>
      </c>
      <c r="AB185" s="1088">
        <f>+InputY!AB60/1000</f>
        <v>24.863340000000001</v>
      </c>
      <c r="AC185" s="1088">
        <f>+InputY!AC60/1000</f>
        <v>26.80039</v>
      </c>
      <c r="AD185" s="1340">
        <f ca="1">+AC185*(1+AD188/100)</f>
        <v>28.459602144899996</v>
      </c>
      <c r="AE185" s="1340">
        <f ca="1">+AD185*(1+AE188/100)</f>
        <v>30.045541934026691</v>
      </c>
    </row>
    <row r="186" spans="1:94">
      <c r="AB186" s="557"/>
      <c r="AC186" s="557"/>
      <c r="AD186" s="557"/>
      <c r="AE186" s="557"/>
    </row>
    <row r="187" spans="1:94" s="699" customFormat="1" ht="12.75" customHeight="1">
      <c r="A187" s="664"/>
      <c r="B187" s="664"/>
      <c r="C187" s="774"/>
      <c r="D187" s="1092"/>
      <c r="E187" s="1093" t="s">
        <v>1273</v>
      </c>
      <c r="F187" s="1094"/>
      <c r="G187" s="896">
        <f>+InputY!$G$3</f>
        <v>1995</v>
      </c>
      <c r="H187" s="896">
        <f>+G187+1</f>
        <v>1996</v>
      </c>
      <c r="I187" s="896">
        <f t="shared" ref="I187:O187" si="173">+H187+1</f>
        <v>1997</v>
      </c>
      <c r="J187" s="896">
        <f t="shared" si="173"/>
        <v>1998</v>
      </c>
      <c r="K187" s="896">
        <f t="shared" si="173"/>
        <v>1999</v>
      </c>
      <c r="L187" s="896">
        <f t="shared" si="173"/>
        <v>2000</v>
      </c>
      <c r="M187" s="896">
        <f t="shared" si="173"/>
        <v>2001</v>
      </c>
      <c r="N187" s="896">
        <f t="shared" si="173"/>
        <v>2002</v>
      </c>
      <c r="O187" s="896">
        <f t="shared" si="173"/>
        <v>2003</v>
      </c>
      <c r="P187" s="896">
        <f t="shared" ref="P187:V187" si="174">+O187+1</f>
        <v>2004</v>
      </c>
      <c r="Q187" s="896">
        <f t="shared" si="174"/>
        <v>2005</v>
      </c>
      <c r="R187" s="896">
        <f t="shared" si="174"/>
        <v>2006</v>
      </c>
      <c r="S187" s="896">
        <f>+R187+1</f>
        <v>2007</v>
      </c>
      <c r="T187" s="896">
        <f t="shared" si="174"/>
        <v>2008</v>
      </c>
      <c r="U187" s="896">
        <f t="shared" si="174"/>
        <v>2009</v>
      </c>
      <c r="V187" s="896">
        <f t="shared" si="174"/>
        <v>2010</v>
      </c>
      <c r="W187" s="896">
        <f t="shared" ref="W187:AE187" si="175">+V187+1</f>
        <v>2011</v>
      </c>
      <c r="X187" s="896">
        <f t="shared" si="175"/>
        <v>2012</v>
      </c>
      <c r="Y187" s="896">
        <f t="shared" si="175"/>
        <v>2013</v>
      </c>
      <c r="Z187" s="896">
        <f t="shared" si="175"/>
        <v>2014</v>
      </c>
      <c r="AA187" s="896">
        <f t="shared" si="175"/>
        <v>2015</v>
      </c>
      <c r="AB187" s="896">
        <f t="shared" si="175"/>
        <v>2016</v>
      </c>
      <c r="AC187" s="896">
        <f t="shared" si="175"/>
        <v>2017</v>
      </c>
      <c r="AD187" s="896">
        <f t="shared" si="175"/>
        <v>2018</v>
      </c>
      <c r="AE187" s="896">
        <f t="shared" si="175"/>
        <v>2019</v>
      </c>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row>
    <row r="188" spans="1:94" s="699" customFormat="1" ht="12.75" customHeight="1">
      <c r="A188" s="664"/>
      <c r="B188" s="664"/>
      <c r="C188" s="798" t="s">
        <v>1769</v>
      </c>
      <c r="D188" s="833" t="s">
        <v>685</v>
      </c>
      <c r="E188" s="834" t="s">
        <v>821</v>
      </c>
      <c r="F188" s="835" t="s">
        <v>1895</v>
      </c>
      <c r="G188" s="1115"/>
      <c r="H188" s="1115">
        <f>+(H185/G185-1)*100</f>
        <v>25.622229970634393</v>
      </c>
      <c r="I188" s="1115">
        <f t="shared" ref="I188:AC188" si="176">+(I185/H185-1)*100</f>
        <v>15.393575341015197</v>
      </c>
      <c r="J188" s="1115">
        <f t="shared" si="176"/>
        <v>10.775243593166062</v>
      </c>
      <c r="K188" s="1115">
        <f t="shared" si="176"/>
        <v>3.6730088323411403</v>
      </c>
      <c r="L188" s="1115">
        <f t="shared" si="176"/>
        <v>5.2293294753600117</v>
      </c>
      <c r="M188" s="1115">
        <f t="shared" si="176"/>
        <v>6.639982788553489</v>
      </c>
      <c r="N188" s="1115">
        <f t="shared" si="176"/>
        <v>5.75453957965395</v>
      </c>
      <c r="O188" s="1115">
        <f t="shared" si="176"/>
        <v>9.5645769105996195</v>
      </c>
      <c r="P188" s="1115">
        <f>+(P185/O185-1)*100</f>
        <v>10.699275045204937</v>
      </c>
      <c r="Q188" s="1115">
        <f t="shared" si="176"/>
        <v>14.248369091637048</v>
      </c>
      <c r="R188" s="1115">
        <f t="shared" si="176"/>
        <v>14.18500075093425</v>
      </c>
      <c r="S188" s="1115">
        <f t="shared" si="176"/>
        <v>19.025147906103477</v>
      </c>
      <c r="T188" s="1115">
        <f t="shared" si="176"/>
        <v>15.168621188573962</v>
      </c>
      <c r="U188" s="1115">
        <f t="shared" si="176"/>
        <v>-13.759763847413298</v>
      </c>
      <c r="V188" s="1115">
        <f t="shared" si="176"/>
        <v>-2.1262160226752647</v>
      </c>
      <c r="W188" s="1115">
        <f t="shared" si="176"/>
        <v>8.9064469500499612</v>
      </c>
      <c r="X188" s="1115">
        <f t="shared" si="176"/>
        <v>6.2742499558684717</v>
      </c>
      <c r="Y188" s="1115">
        <f t="shared" si="176"/>
        <v>5.3520737522436024</v>
      </c>
      <c r="Z188" s="1115">
        <f t="shared" si="176"/>
        <v>4.0906766427303953</v>
      </c>
      <c r="AA188" s="1115">
        <f t="shared" si="176"/>
        <v>3.0593383975462629</v>
      </c>
      <c r="AB188" s="1115">
        <f t="shared" si="176"/>
        <v>5.9202577870326012</v>
      </c>
      <c r="AC188" s="1115">
        <f t="shared" si="176"/>
        <v>7.790787561124124</v>
      </c>
      <c r="AD188" s="1427">
        <f ca="1">OFFSET('VVP1'!$K$35,0,5*(COLUMN()-7))</f>
        <v>6.190999999999991</v>
      </c>
      <c r="AE188" s="1427">
        <f ca="1">OFFSET('VVP1'!$K$35,0,5*(COLUMN()-7))</f>
        <v>5.5725999999999942</v>
      </c>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row>
    <row r="189" spans="1:94">
      <c r="AB189" s="557"/>
      <c r="AC189" s="557"/>
      <c r="AD189" s="557"/>
      <c r="AE189" s="557"/>
    </row>
    <row r="190" spans="1:94" s="699" customFormat="1" ht="12.75" customHeight="1">
      <c r="A190" s="664"/>
      <c r="B190" s="664"/>
      <c r="C190" s="774"/>
      <c r="D190" s="775"/>
      <c r="E190" s="776" t="s">
        <v>1274</v>
      </c>
      <c r="F190" s="777"/>
      <c r="G190" s="778">
        <f>+InputY!$G$3</f>
        <v>1995</v>
      </c>
      <c r="H190" s="778">
        <f>+G190+1</f>
        <v>1996</v>
      </c>
      <c r="I190" s="778">
        <f t="shared" ref="I190:Q190" si="177">+H190+1</f>
        <v>1997</v>
      </c>
      <c r="J190" s="778">
        <f t="shared" si="177"/>
        <v>1998</v>
      </c>
      <c r="K190" s="778">
        <f t="shared" si="177"/>
        <v>1999</v>
      </c>
      <c r="L190" s="778">
        <f t="shared" si="177"/>
        <v>2000</v>
      </c>
      <c r="M190" s="778">
        <f t="shared" si="177"/>
        <v>2001</v>
      </c>
      <c r="N190" s="778">
        <f t="shared" si="177"/>
        <v>2002</v>
      </c>
      <c r="O190" s="778">
        <f t="shared" si="177"/>
        <v>2003</v>
      </c>
      <c r="P190" s="778">
        <f>+O190+1</f>
        <v>2004</v>
      </c>
      <c r="Q190" s="778">
        <f t="shared" si="177"/>
        <v>2005</v>
      </c>
      <c r="R190" s="778">
        <f t="shared" ref="R190:AE190" si="178">+Q190+1</f>
        <v>2006</v>
      </c>
      <c r="S190" s="778">
        <f t="shared" si="178"/>
        <v>2007</v>
      </c>
      <c r="T190" s="778">
        <f t="shared" si="178"/>
        <v>2008</v>
      </c>
      <c r="U190" s="778">
        <f t="shared" si="178"/>
        <v>2009</v>
      </c>
      <c r="V190" s="778">
        <f t="shared" si="178"/>
        <v>2010</v>
      </c>
      <c r="W190" s="778">
        <f>+V190+1</f>
        <v>2011</v>
      </c>
      <c r="X190" s="778">
        <f t="shared" si="178"/>
        <v>2012</v>
      </c>
      <c r="Y190" s="778">
        <f t="shared" si="178"/>
        <v>2013</v>
      </c>
      <c r="Z190" s="778">
        <f t="shared" si="178"/>
        <v>2014</v>
      </c>
      <c r="AA190" s="778">
        <f t="shared" si="178"/>
        <v>2015</v>
      </c>
      <c r="AB190" s="778">
        <f t="shared" si="178"/>
        <v>2016</v>
      </c>
      <c r="AC190" s="778">
        <f t="shared" si="178"/>
        <v>2017</v>
      </c>
      <c r="AD190" s="778">
        <f t="shared" si="178"/>
        <v>2018</v>
      </c>
      <c r="AE190" s="778">
        <f t="shared" si="178"/>
        <v>2019</v>
      </c>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row>
    <row r="191" spans="1:94" s="699" customFormat="1" ht="12.75" customHeight="1">
      <c r="A191" s="664">
        <f>+ROW(InputY!A61)</f>
        <v>61</v>
      </c>
      <c r="B191" s="664">
        <v>119</v>
      </c>
      <c r="C191" s="779" t="s">
        <v>1767</v>
      </c>
      <c r="D191" s="668"/>
      <c r="E191" s="700" t="s">
        <v>1741</v>
      </c>
      <c r="F191" s="701" t="s">
        <v>744</v>
      </c>
      <c r="G191" s="780">
        <f>+InputY!G65/1000</f>
        <v>0.79224000000000006</v>
      </c>
      <c r="H191" s="780">
        <f>+InputY!H65/1000</f>
        <v>1.0240100000000001</v>
      </c>
      <c r="I191" s="780">
        <f>+InputY!I65/1000</f>
        <v>1.35297</v>
      </c>
      <c r="J191" s="780">
        <f>+InputY!J65/1000</f>
        <v>1.66221</v>
      </c>
      <c r="K191" s="780">
        <f>+InputY!K65/1000</f>
        <v>1.7330999999999999</v>
      </c>
      <c r="L191" s="780">
        <f>+InputY!L65/1000</f>
        <v>1.46346</v>
      </c>
      <c r="M191" s="780">
        <f>+InputY!M65/1000</f>
        <v>1.5200199999999999</v>
      </c>
      <c r="N191" s="780">
        <f>+InputY!N65/1000</f>
        <v>1.6473100000000001</v>
      </c>
      <c r="O191" s="780">
        <f>+InputY!O65/1000</f>
        <v>1.7149700000000001</v>
      </c>
      <c r="P191" s="780">
        <f>+InputY!P65/1000</f>
        <v>1.8429800000000001</v>
      </c>
      <c r="Q191" s="780">
        <f>+InputY!Q65/1000</f>
        <v>2.1234000000000002</v>
      </c>
      <c r="R191" s="780">
        <f>+InputY!R65/1000</f>
        <v>2.4421900000000001</v>
      </c>
      <c r="S191" s="780">
        <f>+InputY!S65/1000</f>
        <v>2.7316700000000003</v>
      </c>
      <c r="T191" s="780">
        <f>+InputY!T65/1000</f>
        <v>3.3761199999999998</v>
      </c>
      <c r="U191" s="780">
        <f>+InputY!U65/1000</f>
        <v>3.3891499999999999</v>
      </c>
      <c r="V191" s="780">
        <f>+InputY!V65/1000</f>
        <v>3.1927500000000002</v>
      </c>
      <c r="W191" s="780">
        <f>+InputY!W65/1000</f>
        <v>3.33344</v>
      </c>
      <c r="X191" s="780">
        <f>+InputY!X65/1000</f>
        <v>3.2970000000000002</v>
      </c>
      <c r="Y191" s="780">
        <f>+InputY!Y65/1000</f>
        <v>3.3099499999999997</v>
      </c>
      <c r="Z191" s="780">
        <f>+InputY!Z65/1000</f>
        <v>3.3924000000000003</v>
      </c>
      <c r="AA191" s="780">
        <f>+InputY!AA65/1000</f>
        <v>3.6384699999999999</v>
      </c>
      <c r="AB191" s="780">
        <f>+InputY!AB65/1000</f>
        <v>3.7765200000000001</v>
      </c>
      <c r="AC191" s="780">
        <f>+InputY!AC65/1000</f>
        <v>3.9208400000000001</v>
      </c>
      <c r="AD191" s="781">
        <f t="shared" ref="AD191:AE193" ca="1" si="179">+AC191*(1+AD197/100)</f>
        <v>4.161412395588</v>
      </c>
      <c r="AE191" s="781">
        <f t="shared" ca="1" si="179"/>
        <v>4.3792999700392308</v>
      </c>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row>
    <row r="192" spans="1:94" s="699" customFormat="1" ht="12.75" customHeight="1">
      <c r="A192" s="664">
        <f>+ROW(InputY!A62)</f>
        <v>62</v>
      </c>
      <c r="B192" s="664">
        <v>118</v>
      </c>
      <c r="C192" s="782" t="s">
        <v>1767</v>
      </c>
      <c r="D192" s="674"/>
      <c r="E192" s="783" t="s">
        <v>1742</v>
      </c>
      <c r="F192" s="704" t="s">
        <v>745</v>
      </c>
      <c r="G192" s="1133">
        <f>+InputY!G62/1000</f>
        <v>1.0702</v>
      </c>
      <c r="H192" s="1133">
        <f>+InputY!H62/1000</f>
        <v>1.31453</v>
      </c>
      <c r="I192" s="1133">
        <f>+InputY!I62/1000</f>
        <v>1.4791800000000002</v>
      </c>
      <c r="J192" s="1133">
        <f>+InputY!J62/1000</f>
        <v>1.7082599999999999</v>
      </c>
      <c r="K192" s="1133">
        <f>+InputY!K62/1000</f>
        <v>1.27505</v>
      </c>
      <c r="L192" s="1133">
        <f>+InputY!L62/1000</f>
        <v>1.5316700000000001</v>
      </c>
      <c r="M192" s="1133">
        <f>+InputY!M62/1000</f>
        <v>1.4814200000000002</v>
      </c>
      <c r="N192" s="1133">
        <f>+InputY!N62/1000</f>
        <v>1.47861</v>
      </c>
      <c r="O192" s="1133">
        <f>+InputY!O62/1000</f>
        <v>1.5441400000000001</v>
      </c>
      <c r="P192" s="1133">
        <f>+InputY!P62/1000</f>
        <v>1.6525099999999999</v>
      </c>
      <c r="Q192" s="1133">
        <f>+InputY!Q62/1000</f>
        <v>1.76301</v>
      </c>
      <c r="R192" s="1133">
        <f>+InputY!R62/1000</f>
        <v>2.1633200000000001</v>
      </c>
      <c r="S192" s="1133">
        <f>+InputY!S62/1000</f>
        <v>2.3351599999999997</v>
      </c>
      <c r="T192" s="1133">
        <f>+InputY!T62/1000</f>
        <v>2.7246799999999998</v>
      </c>
      <c r="U192" s="1133">
        <f>+InputY!U62/1000</f>
        <v>2.3306799999999996</v>
      </c>
      <c r="V192" s="1133">
        <f>+InputY!V62/1000</f>
        <v>2.3706300000000002</v>
      </c>
      <c r="W192" s="1133">
        <f>+InputY!W62/1000</f>
        <v>2.40388</v>
      </c>
      <c r="X192" s="1133">
        <f>+InputY!X62/1000</f>
        <v>2.5336799999999999</v>
      </c>
      <c r="Y192" s="1133">
        <f>+InputY!Y62/1000</f>
        <v>2.5270100000000002</v>
      </c>
      <c r="Z192" s="1133">
        <f>+InputY!Z62/1000</f>
        <v>2.68093</v>
      </c>
      <c r="AA192" s="1133">
        <f>+InputY!AA62/1000</f>
        <v>2.7902900000000002</v>
      </c>
      <c r="AB192" s="1133">
        <f>+InputY!AB62/1000</f>
        <v>2.8603499999999999</v>
      </c>
      <c r="AC192" s="1133">
        <f>+InputY!AC62/1000</f>
        <v>2.9872100000000001</v>
      </c>
      <c r="AD192" s="1428">
        <f t="shared" ca="1" si="179"/>
        <v>3.1365705000000004</v>
      </c>
      <c r="AE192" s="1428">
        <f t="shared" ca="1" si="179"/>
        <v>3.2933990250000007</v>
      </c>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row>
    <row r="193" spans="1:94" s="699" customFormat="1" ht="12.75" customHeight="1">
      <c r="A193" s="664">
        <f>+ROW(InputY!A63)</f>
        <v>63</v>
      </c>
      <c r="B193" s="664">
        <v>37</v>
      </c>
      <c r="C193" s="784" t="s">
        <v>1767</v>
      </c>
      <c r="D193" s="752"/>
      <c r="E193" s="753" t="s">
        <v>821</v>
      </c>
      <c r="F193" s="754" t="s">
        <v>1897</v>
      </c>
      <c r="G193" s="785">
        <f>+InputY!G63/1000</f>
        <v>1.8624400000000001</v>
      </c>
      <c r="H193" s="785">
        <f>+InputY!H63/1000</f>
        <v>2.3385500000000001</v>
      </c>
      <c r="I193" s="785">
        <f>+InputY!I63/1000</f>
        <v>2.83216</v>
      </c>
      <c r="J193" s="785">
        <f>+InputY!J63/1000</f>
        <v>3.3704699999999996</v>
      </c>
      <c r="K193" s="785">
        <f>+InputY!K63/1000</f>
        <v>3.0081500000000001</v>
      </c>
      <c r="L193" s="785">
        <f>+InputY!L63/1000</f>
        <v>2.9951300000000001</v>
      </c>
      <c r="M193" s="785">
        <f>+InputY!M63/1000</f>
        <v>3.0014400000000001</v>
      </c>
      <c r="N193" s="785">
        <f>+InputY!N63/1000</f>
        <v>3.1259200000000003</v>
      </c>
      <c r="O193" s="785">
        <f>+InputY!O63/1000</f>
        <v>3.2591100000000002</v>
      </c>
      <c r="P193" s="785">
        <f>+InputY!P63/1000</f>
        <v>3.4954899999999998</v>
      </c>
      <c r="Q193" s="785">
        <f>+InputY!Q63/1000</f>
        <v>3.8864099999999997</v>
      </c>
      <c r="R193" s="785">
        <f>+InputY!R63/1000</f>
        <v>4.6055000000000001</v>
      </c>
      <c r="S193" s="785">
        <f>+InputY!S63/1000</f>
        <v>5.0668299999999995</v>
      </c>
      <c r="T193" s="785">
        <f>+InputY!T63/1000</f>
        <v>6.1008000000000004</v>
      </c>
      <c r="U193" s="785">
        <f>+InputY!U63/1000</f>
        <v>5.71983</v>
      </c>
      <c r="V193" s="785">
        <f>+InputY!V63/1000</f>
        <v>5.5633800000000004</v>
      </c>
      <c r="W193" s="785">
        <f>+InputY!W63/1000</f>
        <v>5.7373199999999995</v>
      </c>
      <c r="X193" s="785">
        <f>+InputY!X63/1000</f>
        <v>5.8306800000000001</v>
      </c>
      <c r="Y193" s="785">
        <f>+InputY!Y63/1000</f>
        <v>5.83697</v>
      </c>
      <c r="Z193" s="785">
        <f>+InputY!Z63/1000</f>
        <v>6.0733300000000003</v>
      </c>
      <c r="AA193" s="785">
        <f>+InputY!AA63/1000</f>
        <v>6.4287700000000001</v>
      </c>
      <c r="AB193" s="785">
        <f>+InputY!AB63/1000</f>
        <v>6.63687</v>
      </c>
      <c r="AC193" s="785">
        <f>+InputY!AC63/1000</f>
        <v>6.9080500000000002</v>
      </c>
      <c r="AD193" s="781">
        <f t="shared" ca="1" si="179"/>
        <v>7.2979828955879995</v>
      </c>
      <c r="AE193" s="781">
        <f t="shared" ca="1" si="179"/>
        <v>7.6726989950392293</v>
      </c>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row>
    <row r="194" spans="1:94" s="699" customFormat="1" ht="12.75" customHeight="1">
      <c r="A194" s="664"/>
      <c r="B194" s="664"/>
      <c r="C194" s="774"/>
      <c r="D194" s="1973"/>
      <c r="E194" s="1973" t="s">
        <v>737</v>
      </c>
      <c r="F194" s="1973"/>
      <c r="G194" s="1002">
        <f t="shared" ref="G194:S194" si="180">ABS(G193-G191-G192)</f>
        <v>0</v>
      </c>
      <c r="H194" s="1002">
        <f t="shared" si="180"/>
        <v>1.0000000000065512E-5</v>
      </c>
      <c r="I194" s="1002">
        <f t="shared" si="180"/>
        <v>9.9999999998434674E-6</v>
      </c>
      <c r="J194" s="1002">
        <f t="shared" si="180"/>
        <v>2.2204460492503131E-16</v>
      </c>
      <c r="K194" s="1002">
        <f t="shared" si="180"/>
        <v>2.2204460492503131E-16</v>
      </c>
      <c r="L194" s="1002">
        <f t="shared" si="180"/>
        <v>0</v>
      </c>
      <c r="M194" s="1002">
        <f t="shared" si="180"/>
        <v>0</v>
      </c>
      <c r="N194" s="1002">
        <f t="shared" si="180"/>
        <v>2.2204460492503131E-16</v>
      </c>
      <c r="O194" s="1002">
        <f t="shared" si="180"/>
        <v>0</v>
      </c>
      <c r="P194" s="1002">
        <f t="shared" si="180"/>
        <v>2.2204460492503131E-16</v>
      </c>
      <c r="Q194" s="1002">
        <f t="shared" si="180"/>
        <v>4.4408920985006262E-16</v>
      </c>
      <c r="R194" s="1002">
        <f t="shared" si="180"/>
        <v>1.0000000000065512E-5</v>
      </c>
      <c r="S194" s="1002">
        <f t="shared" si="180"/>
        <v>4.4408920985006262E-16</v>
      </c>
      <c r="T194" s="2906">
        <f t="shared" ref="T194:Y194" si="181">ABS(T193-T191-T192)</f>
        <v>8.8817841970012523E-16</v>
      </c>
      <c r="U194" s="2906">
        <f t="shared" si="181"/>
        <v>4.4408920985006262E-16</v>
      </c>
      <c r="V194" s="2906">
        <f t="shared" si="181"/>
        <v>0</v>
      </c>
      <c r="W194" s="3125">
        <f t="shared" si="181"/>
        <v>4.4408920985006262E-16</v>
      </c>
      <c r="X194" s="3125">
        <f t="shared" si="181"/>
        <v>0</v>
      </c>
      <c r="Y194" s="3125">
        <f t="shared" si="181"/>
        <v>1.0000000000065512E-5</v>
      </c>
      <c r="Z194" s="3125">
        <f t="shared" ref="Z194:AE194" si="182">ABS(Z193-Z191-Z192)</f>
        <v>0</v>
      </c>
      <c r="AA194" s="3125">
        <f t="shared" si="182"/>
        <v>1.0000000000065512E-5</v>
      </c>
      <c r="AB194" s="3125">
        <f t="shared" si="182"/>
        <v>0</v>
      </c>
      <c r="AC194" s="3125">
        <f t="shared" si="182"/>
        <v>0</v>
      </c>
      <c r="AD194" s="3125">
        <f t="shared" ca="1" si="182"/>
        <v>8.8817841970012523E-16</v>
      </c>
      <c r="AE194" s="3125">
        <f t="shared" ca="1" si="182"/>
        <v>2.2204460492503131E-15</v>
      </c>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row>
    <row r="195" spans="1:94">
      <c r="AB195" s="557"/>
      <c r="AC195" s="557"/>
      <c r="AD195" s="557"/>
      <c r="AE195" s="557"/>
    </row>
    <row r="196" spans="1:94" s="699" customFormat="1" ht="12.75" customHeight="1">
      <c r="A196" s="664"/>
      <c r="B196" s="664"/>
      <c r="C196" s="774"/>
      <c r="D196" s="1092"/>
      <c r="E196" s="1093" t="s">
        <v>1274</v>
      </c>
      <c r="F196" s="1094"/>
      <c r="G196" s="896">
        <f>+InputY!$G$3</f>
        <v>1995</v>
      </c>
      <c r="H196" s="896">
        <f>+G196+1</f>
        <v>1996</v>
      </c>
      <c r="I196" s="896">
        <f t="shared" ref="I196:Q196" si="183">+H196+1</f>
        <v>1997</v>
      </c>
      <c r="J196" s="896">
        <f t="shared" si="183"/>
        <v>1998</v>
      </c>
      <c r="K196" s="896">
        <f t="shared" si="183"/>
        <v>1999</v>
      </c>
      <c r="L196" s="896">
        <f t="shared" si="183"/>
        <v>2000</v>
      </c>
      <c r="M196" s="896">
        <f t="shared" si="183"/>
        <v>2001</v>
      </c>
      <c r="N196" s="896">
        <f t="shared" si="183"/>
        <v>2002</v>
      </c>
      <c r="O196" s="896">
        <f t="shared" si="183"/>
        <v>2003</v>
      </c>
      <c r="P196" s="896">
        <f>+O196+1</f>
        <v>2004</v>
      </c>
      <c r="Q196" s="896">
        <f t="shared" si="183"/>
        <v>2005</v>
      </c>
      <c r="R196" s="896">
        <f t="shared" ref="R196:AE196" si="184">+Q196+1</f>
        <v>2006</v>
      </c>
      <c r="S196" s="896">
        <f t="shared" si="184"/>
        <v>2007</v>
      </c>
      <c r="T196" s="896">
        <f t="shared" si="184"/>
        <v>2008</v>
      </c>
      <c r="U196" s="896">
        <f t="shared" si="184"/>
        <v>2009</v>
      </c>
      <c r="V196" s="896">
        <f t="shared" si="184"/>
        <v>2010</v>
      </c>
      <c r="W196" s="896">
        <f>+V196+1</f>
        <v>2011</v>
      </c>
      <c r="X196" s="896">
        <f t="shared" si="184"/>
        <v>2012</v>
      </c>
      <c r="Y196" s="896">
        <f t="shared" si="184"/>
        <v>2013</v>
      </c>
      <c r="Z196" s="896">
        <f t="shared" si="184"/>
        <v>2014</v>
      </c>
      <c r="AA196" s="896">
        <f t="shared" si="184"/>
        <v>2015</v>
      </c>
      <c r="AB196" s="896">
        <f t="shared" si="184"/>
        <v>2016</v>
      </c>
      <c r="AC196" s="896">
        <f t="shared" si="184"/>
        <v>2017</v>
      </c>
      <c r="AD196" s="896">
        <f t="shared" si="184"/>
        <v>2018</v>
      </c>
      <c r="AE196" s="896">
        <f t="shared" si="184"/>
        <v>2019</v>
      </c>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row>
    <row r="197" spans="1:94" s="699" customFormat="1" ht="12.75" customHeight="1">
      <c r="A197" s="664"/>
      <c r="B197" s="664"/>
      <c r="C197" s="794" t="s">
        <v>1767</v>
      </c>
      <c r="D197" s="689"/>
      <c r="E197" s="738" t="s">
        <v>1741</v>
      </c>
      <c r="F197" s="733" t="s">
        <v>744</v>
      </c>
      <c r="G197" s="1095"/>
      <c r="H197" s="1095">
        <f>(H191/G191-1)*100</f>
        <v>29.255023730182785</v>
      </c>
      <c r="I197" s="1095">
        <f t="shared" ref="I197:AC197" si="185">(I191/H191-1)*100</f>
        <v>32.124686282360514</v>
      </c>
      <c r="J197" s="1095">
        <f t="shared" si="185"/>
        <v>22.856382624891893</v>
      </c>
      <c r="K197" s="1095">
        <f t="shared" si="185"/>
        <v>4.2648040861263059</v>
      </c>
      <c r="L197" s="1095">
        <f t="shared" si="185"/>
        <v>-15.558248225722693</v>
      </c>
      <c r="M197" s="1095">
        <f t="shared" si="185"/>
        <v>3.8648135241140746</v>
      </c>
      <c r="N197" s="1095">
        <f t="shared" si="185"/>
        <v>8.3742319180010849</v>
      </c>
      <c r="O197" s="1095">
        <f t="shared" si="185"/>
        <v>4.1073022078418786</v>
      </c>
      <c r="P197" s="1095">
        <f t="shared" si="185"/>
        <v>7.4642705120206099</v>
      </c>
      <c r="Q197" s="1095">
        <f t="shared" si="185"/>
        <v>15.21557477563511</v>
      </c>
      <c r="R197" s="1095">
        <f t="shared" si="185"/>
        <v>15.013186399171129</v>
      </c>
      <c r="S197" s="1095">
        <f t="shared" si="185"/>
        <v>11.853295607630866</v>
      </c>
      <c r="T197" s="1095">
        <f t="shared" si="185"/>
        <v>23.591795495063451</v>
      </c>
      <c r="U197" s="1095">
        <f t="shared" si="185"/>
        <v>0.38594599718020373</v>
      </c>
      <c r="V197" s="1095">
        <f t="shared" si="185"/>
        <v>-5.7949633388902688</v>
      </c>
      <c r="W197" s="1095">
        <f t="shared" si="185"/>
        <v>4.4065460809646684</v>
      </c>
      <c r="X197" s="1095">
        <f t="shared" si="185"/>
        <v>-1.0931650187193998</v>
      </c>
      <c r="Y197" s="1095">
        <f t="shared" si="185"/>
        <v>0.39278131634818969</v>
      </c>
      <c r="Z197" s="1095">
        <f t="shared" si="185"/>
        <v>2.4909741839000743</v>
      </c>
      <c r="AA197" s="1095">
        <f t="shared" si="185"/>
        <v>7.2535667963683492</v>
      </c>
      <c r="AB197" s="1095">
        <f t="shared" si="185"/>
        <v>3.7941772228436754</v>
      </c>
      <c r="AC197" s="1095">
        <f t="shared" si="185"/>
        <v>3.8215076313643292</v>
      </c>
      <c r="AD197" s="1421">
        <f ca="1">OFFSET('VVP1'!$K$47,0,5*(COLUMN()-7))</f>
        <v>6.1357361072627299</v>
      </c>
      <c r="AE197" s="1421">
        <f ca="1">OFFSET('VVP1'!$K$47,0,5*(COLUMN()-7))</f>
        <v>5.2359043934756073</v>
      </c>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row>
    <row r="198" spans="1:94" s="699" customFormat="1" ht="12.75" customHeight="1">
      <c r="A198" s="664"/>
      <c r="B198" s="664"/>
      <c r="C198" s="796" t="s">
        <v>1767</v>
      </c>
      <c r="D198" s="691"/>
      <c r="E198" s="797" t="s">
        <v>1742</v>
      </c>
      <c r="F198" s="736" t="s">
        <v>745</v>
      </c>
      <c r="G198" s="1096"/>
      <c r="H198" s="1096">
        <f>(H192/G192-1)*100</f>
        <v>22.830312091197904</v>
      </c>
      <c r="I198" s="1096">
        <f t="shared" ref="I198:AC198" si="186">(I192/H192-1)*100</f>
        <v>12.525389302640511</v>
      </c>
      <c r="J198" s="1096">
        <f t="shared" si="186"/>
        <v>15.486958990792177</v>
      </c>
      <c r="K198" s="1096">
        <f t="shared" si="186"/>
        <v>-25.359722758830618</v>
      </c>
      <c r="L198" s="1096">
        <f t="shared" si="186"/>
        <v>20.126269558056542</v>
      </c>
      <c r="M198" s="1096">
        <f t="shared" si="186"/>
        <v>-3.2807327949231802</v>
      </c>
      <c r="N198" s="1096">
        <f t="shared" si="186"/>
        <v>-0.18968287183919186</v>
      </c>
      <c r="O198" s="1096">
        <f t="shared" si="186"/>
        <v>4.4318650624573186</v>
      </c>
      <c r="P198" s="1096">
        <f t="shared" si="186"/>
        <v>7.0181460230289927</v>
      </c>
      <c r="Q198" s="1096">
        <f t="shared" si="186"/>
        <v>6.6867976593182554</v>
      </c>
      <c r="R198" s="1096">
        <f t="shared" si="186"/>
        <v>22.706053851084242</v>
      </c>
      <c r="S198" s="1096">
        <f t="shared" si="186"/>
        <v>7.9433463380359504</v>
      </c>
      <c r="T198" s="1096">
        <f t="shared" si="186"/>
        <v>16.680655715240068</v>
      </c>
      <c r="U198" s="1096">
        <f t="shared" si="186"/>
        <v>-14.460413699957432</v>
      </c>
      <c r="V198" s="1096">
        <f t="shared" si="186"/>
        <v>1.7140920246451863</v>
      </c>
      <c r="W198" s="1096">
        <f t="shared" si="186"/>
        <v>1.4025807485773756</v>
      </c>
      <c r="X198" s="1096">
        <f t="shared" si="186"/>
        <v>5.3996039735760393</v>
      </c>
      <c r="Y198" s="1096">
        <f t="shared" si="186"/>
        <v>-0.26325344952794483</v>
      </c>
      <c r="Z198" s="1096">
        <f t="shared" si="186"/>
        <v>6.090992912572557</v>
      </c>
      <c r="AA198" s="1096">
        <f t="shared" si="186"/>
        <v>4.0791814780691826</v>
      </c>
      <c r="AB198" s="1096">
        <f t="shared" si="186"/>
        <v>2.5108501266893235</v>
      </c>
      <c r="AC198" s="1096">
        <f t="shared" si="186"/>
        <v>4.4351215760309204</v>
      </c>
      <c r="AD198" s="1422">
        <f ca="1">OFFSET('VVP1'!$K$48,0,5*(COLUMN()-7))</f>
        <v>5</v>
      </c>
      <c r="AE198" s="1422">
        <f ca="1">OFFSET('VVP1'!$K$48,0,5*(COLUMN()-7))</f>
        <v>5</v>
      </c>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row>
    <row r="199" spans="1:94" s="699" customFormat="1" ht="12.75" customHeight="1">
      <c r="A199" s="664"/>
      <c r="B199" s="664"/>
      <c r="C199" s="774" t="s">
        <v>1767</v>
      </c>
      <c r="D199" s="717" t="s">
        <v>685</v>
      </c>
      <c r="E199" s="722" t="s">
        <v>821</v>
      </c>
      <c r="F199" s="723" t="s">
        <v>1897</v>
      </c>
      <c r="G199" s="721"/>
      <c r="H199" s="721">
        <f>(H193/G193-1)*100</f>
        <v>25.563776551190909</v>
      </c>
      <c r="I199" s="721">
        <f t="shared" ref="I199:AC199" si="187">(I193/H193-1)*100</f>
        <v>21.107523893010626</v>
      </c>
      <c r="J199" s="721">
        <f t="shared" si="187"/>
        <v>19.007047624427976</v>
      </c>
      <c r="K199" s="721">
        <f t="shared" si="187"/>
        <v>-10.74983607627421</v>
      </c>
      <c r="L199" s="721">
        <f t="shared" si="187"/>
        <v>-0.43282416102921051</v>
      </c>
      <c r="M199" s="721">
        <f t="shared" si="187"/>
        <v>0.21067532961842605</v>
      </c>
      <c r="N199" s="721">
        <f t="shared" si="187"/>
        <v>4.1473426088810772</v>
      </c>
      <c r="O199" s="721">
        <f t="shared" si="187"/>
        <v>4.260825612939545</v>
      </c>
      <c r="P199" s="721">
        <f t="shared" si="187"/>
        <v>7.2529003316856411</v>
      </c>
      <c r="Q199" s="721">
        <f t="shared" si="187"/>
        <v>11.183553664865297</v>
      </c>
      <c r="R199" s="721">
        <f t="shared" si="187"/>
        <v>18.502679851070791</v>
      </c>
      <c r="S199" s="721">
        <f t="shared" si="187"/>
        <v>10.016936271848852</v>
      </c>
      <c r="T199" s="721">
        <f t="shared" si="187"/>
        <v>20.406644785793105</v>
      </c>
      <c r="U199" s="721">
        <f t="shared" si="187"/>
        <v>-6.244590873328093</v>
      </c>
      <c r="V199" s="721">
        <f t="shared" si="187"/>
        <v>-2.7352211516775804</v>
      </c>
      <c r="W199" s="721">
        <f t="shared" si="187"/>
        <v>3.1265166140008294</v>
      </c>
      <c r="X199" s="721">
        <f t="shared" si="187"/>
        <v>1.6272405931689438</v>
      </c>
      <c r="Y199" s="721">
        <f t="shared" si="187"/>
        <v>0.10787764034383418</v>
      </c>
      <c r="Z199" s="721">
        <f t="shared" si="187"/>
        <v>4.0493612268009072</v>
      </c>
      <c r="AA199" s="721">
        <f t="shared" si="187"/>
        <v>5.8524730255065993</v>
      </c>
      <c r="AB199" s="721">
        <f t="shared" si="187"/>
        <v>3.2370111234341969</v>
      </c>
      <c r="AC199" s="721">
        <f t="shared" si="187"/>
        <v>4.0859622080890556</v>
      </c>
      <c r="AD199" s="1410">
        <f ca="1">OFFSET('VVP1'!$K$50,0,5*(COLUMN()-7))</f>
        <v>5.6446159999999912</v>
      </c>
      <c r="AE199" s="1410">
        <f ca="1">OFFSET('VVP1'!$K$50,0,5*(COLUMN()-7))</f>
        <v>5.1345160000000112</v>
      </c>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row>
    <row r="200" spans="1:94">
      <c r="AB200" s="557"/>
      <c r="AC200" s="557"/>
      <c r="AD200" s="557"/>
      <c r="AE200" s="557"/>
    </row>
    <row r="201" spans="1:94">
      <c r="A201" s="1130"/>
      <c r="B201" s="1130"/>
      <c r="D201" s="695"/>
      <c r="E201" s="696" t="s">
        <v>1275</v>
      </c>
      <c r="F201" s="697"/>
      <c r="G201" s="698">
        <f>+InputY!$G$3</f>
        <v>1995</v>
      </c>
      <c r="H201" s="698">
        <f>+G201+1</f>
        <v>1996</v>
      </c>
      <c r="I201" s="698">
        <f t="shared" ref="I201:Q201" si="188">+H201+1</f>
        <v>1997</v>
      </c>
      <c r="J201" s="698">
        <f t="shared" si="188"/>
        <v>1998</v>
      </c>
      <c r="K201" s="698">
        <f t="shared" si="188"/>
        <v>1999</v>
      </c>
      <c r="L201" s="698">
        <f t="shared" si="188"/>
        <v>2000</v>
      </c>
      <c r="M201" s="698">
        <f t="shared" si="188"/>
        <v>2001</v>
      </c>
      <c r="N201" s="698">
        <f t="shared" si="188"/>
        <v>2002</v>
      </c>
      <c r="O201" s="698">
        <f t="shared" si="188"/>
        <v>2003</v>
      </c>
      <c r="P201" s="698">
        <f>+O201+1</f>
        <v>2004</v>
      </c>
      <c r="Q201" s="698">
        <f t="shared" si="188"/>
        <v>2005</v>
      </c>
      <c r="R201" s="698">
        <f t="shared" ref="R201:AE201" si="189">+Q201+1</f>
        <v>2006</v>
      </c>
      <c r="S201" s="698">
        <f t="shared" si="189"/>
        <v>2007</v>
      </c>
      <c r="T201" s="698">
        <f t="shared" si="189"/>
        <v>2008</v>
      </c>
      <c r="U201" s="698">
        <f t="shared" si="189"/>
        <v>2009</v>
      </c>
      <c r="V201" s="698">
        <f t="shared" si="189"/>
        <v>2010</v>
      </c>
      <c r="W201" s="698">
        <f t="shared" si="189"/>
        <v>2011</v>
      </c>
      <c r="X201" s="698">
        <f t="shared" si="189"/>
        <v>2012</v>
      </c>
      <c r="Y201" s="698">
        <f t="shared" si="189"/>
        <v>2013</v>
      </c>
      <c r="Z201" s="698">
        <f t="shared" si="189"/>
        <v>2014</v>
      </c>
      <c r="AA201" s="698">
        <f t="shared" si="189"/>
        <v>2015</v>
      </c>
      <c r="AB201" s="698">
        <f t="shared" si="189"/>
        <v>2016</v>
      </c>
      <c r="AC201" s="698">
        <f t="shared" si="189"/>
        <v>2017</v>
      </c>
      <c r="AD201" s="698">
        <f t="shared" si="189"/>
        <v>2018</v>
      </c>
      <c r="AE201" s="698">
        <f t="shared" si="189"/>
        <v>2019</v>
      </c>
    </row>
    <row r="202" spans="1:94">
      <c r="A202" s="664"/>
      <c r="B202" s="664"/>
      <c r="C202" s="1079" t="s">
        <v>1767</v>
      </c>
      <c r="D202" s="1058" t="s">
        <v>687</v>
      </c>
      <c r="E202" s="1059" t="s">
        <v>644</v>
      </c>
      <c r="F202" s="1069" t="s">
        <v>1515</v>
      </c>
      <c r="G202" s="1054"/>
      <c r="H202" s="1054"/>
      <c r="I202" s="1054"/>
      <c r="J202" s="1054"/>
      <c r="K202" s="1054"/>
      <c r="L202" s="1054"/>
      <c r="M202" s="1054"/>
      <c r="N202" s="1054"/>
      <c r="O202" s="1054"/>
      <c r="P202" s="1054"/>
      <c r="Q202" s="1054"/>
      <c r="R202" s="1054"/>
      <c r="S202" s="1054"/>
      <c r="T202" s="1339"/>
      <c r="U202" s="1339"/>
      <c r="V202" s="1339"/>
      <c r="W202" s="1339"/>
      <c r="X202" s="1339"/>
      <c r="Y202" s="1339"/>
      <c r="Z202" s="1339"/>
      <c r="AA202" s="1339"/>
      <c r="AB202" s="1339"/>
      <c r="AC202" s="1339"/>
      <c r="AD202" s="1339"/>
      <c r="AE202" s="1339"/>
    </row>
    <row r="203" spans="1:94">
      <c r="A203" s="664"/>
      <c r="B203" s="664"/>
      <c r="C203" s="1080" t="s">
        <v>1767</v>
      </c>
      <c r="D203" s="1070" t="s">
        <v>1447</v>
      </c>
      <c r="E203" s="1" t="s">
        <v>644</v>
      </c>
      <c r="F203" s="1070" t="s">
        <v>98</v>
      </c>
      <c r="G203" s="881"/>
      <c r="H203" s="881"/>
      <c r="I203" s="881"/>
      <c r="J203" s="881"/>
      <c r="K203" s="881"/>
      <c r="L203" s="881"/>
      <c r="M203" s="881"/>
      <c r="N203" s="881"/>
      <c r="O203" s="881"/>
      <c r="P203" s="881"/>
      <c r="Q203" s="881"/>
      <c r="R203" s="881"/>
      <c r="S203" s="881"/>
      <c r="T203" s="935"/>
      <c r="U203" s="935"/>
      <c r="V203" s="935"/>
      <c r="W203" s="935"/>
      <c r="X203" s="935"/>
      <c r="Y203" s="935"/>
      <c r="Z203" s="935"/>
      <c r="AA203" s="935"/>
      <c r="AB203" s="935"/>
      <c r="AC203" s="935"/>
      <c r="AD203" s="935"/>
      <c r="AE203" s="935"/>
    </row>
    <row r="204" spans="1:94">
      <c r="A204" s="664">
        <f>+ROW(InputY!A68)</f>
        <v>68</v>
      </c>
      <c r="B204" s="1130"/>
      <c r="C204" s="1080" t="s">
        <v>1769</v>
      </c>
      <c r="D204" s="1071"/>
      <c r="E204" s="1067" t="s">
        <v>644</v>
      </c>
      <c r="F204" s="1071" t="s">
        <v>1517</v>
      </c>
      <c r="G204" s="1068">
        <f>+InputY!G68/1000</f>
        <v>0.7525599999999999</v>
      </c>
      <c r="H204" s="1068">
        <f>+InputY!H68/1000</f>
        <v>0.87370000000000003</v>
      </c>
      <c r="I204" s="1068">
        <f>+InputY!I68/1000</f>
        <v>1.18252</v>
      </c>
      <c r="J204" s="1068">
        <f>+InputY!J68/1000</f>
        <v>1.56789</v>
      </c>
      <c r="K204" s="1068">
        <f>+InputY!K68/1000</f>
        <v>1.4333</v>
      </c>
      <c r="L204" s="1068">
        <f>+InputY!L68/1000</f>
        <v>1.1487100000000001</v>
      </c>
      <c r="M204" s="1068">
        <f>+InputY!M68/1000</f>
        <v>1.27318</v>
      </c>
      <c r="N204" s="1068">
        <f>+InputY!N68/1000</f>
        <v>1.46495</v>
      </c>
      <c r="O204" s="1068">
        <f>+InputY!O68/1000</f>
        <v>1.7906099999999998</v>
      </c>
      <c r="P204" s="1068">
        <f>+InputY!P68/1000</f>
        <v>1.85897</v>
      </c>
      <c r="Q204" s="1068">
        <f>+InputY!Q68/1000</f>
        <v>2.2715500000000004</v>
      </c>
      <c r="R204" s="1068">
        <f>+InputY!R68/1000</f>
        <v>3.04115</v>
      </c>
      <c r="S204" s="1068">
        <f>+InputY!S68/1000</f>
        <v>4.21671</v>
      </c>
      <c r="T204" s="1068">
        <f>+InputY!T68/1000</f>
        <v>4.4393700000000003</v>
      </c>
      <c r="U204" s="1068">
        <f>+InputY!U68/1000</f>
        <v>2.23874</v>
      </c>
      <c r="V204" s="1068">
        <f>+InputY!V68/1000</f>
        <v>2.18391</v>
      </c>
      <c r="W204" s="1068">
        <f>+InputY!W68/1000</f>
        <v>2.6810399999999999</v>
      </c>
      <c r="X204" s="1068">
        <f>+InputY!X68/1000</f>
        <v>2.6170900000000001</v>
      </c>
      <c r="Y204" s="1068">
        <f>+InputY!Y68/1000</f>
        <v>2.9166999999999996</v>
      </c>
      <c r="Z204" s="1068">
        <f>+InputY!Z68/1000</f>
        <v>3.1628099999999999</v>
      </c>
      <c r="AA204" s="1068">
        <f>+InputY!AA68/1000</f>
        <v>3.0443699999999998</v>
      </c>
      <c r="AB204" s="1068">
        <f>+InputY!AB68/1000</f>
        <v>2.62446</v>
      </c>
      <c r="AC204" s="1068">
        <f>+InputY!AC68/1000</f>
        <v>2.9719499999999996</v>
      </c>
      <c r="AD204" s="939">
        <f t="shared" ref="AD204:AE206" ca="1" si="190">+AC204*(1+AD218/100)</f>
        <v>3.2695759327499996</v>
      </c>
      <c r="AE204" s="939">
        <f t="shared" ca="1" si="190"/>
        <v>3.5429680635187557</v>
      </c>
    </row>
    <row r="205" spans="1:94">
      <c r="A205" s="664">
        <f>+ROW(InputY!A70)</f>
        <v>70</v>
      </c>
      <c r="B205" s="664">
        <v>33</v>
      </c>
      <c r="C205" s="1080" t="s">
        <v>1767</v>
      </c>
      <c r="D205" s="3"/>
      <c r="E205" s="1" t="s">
        <v>1443</v>
      </c>
      <c r="F205" s="3" t="s">
        <v>1518</v>
      </c>
      <c r="G205" s="1062">
        <f>+InputY!G70/1000</f>
        <v>0.17634</v>
      </c>
      <c r="H205" s="1062">
        <f>+InputY!H70/1000</f>
        <v>0.20604</v>
      </c>
      <c r="I205" s="1062">
        <f>+InputY!I70/1000</f>
        <v>0.20293</v>
      </c>
      <c r="J205" s="1062">
        <f>+InputY!J70/1000</f>
        <v>0.19841</v>
      </c>
      <c r="K205" s="1062">
        <f>+InputY!K70/1000</f>
        <v>0.21308000000000002</v>
      </c>
      <c r="L205" s="1062">
        <f>+InputY!L70/1000</f>
        <v>0.23457</v>
      </c>
      <c r="M205" s="1062">
        <f>+InputY!M70/1000</f>
        <v>0.22356999999999999</v>
      </c>
      <c r="N205" s="1062">
        <f>+InputY!N70/1000</f>
        <v>0.20157</v>
      </c>
      <c r="O205" s="1062">
        <f>+InputY!O70/1000</f>
        <v>0.23341000000000001</v>
      </c>
      <c r="P205" s="1062">
        <f>+InputY!P70/1000</f>
        <v>0.41874</v>
      </c>
      <c r="Q205" s="1062">
        <f>+InputY!Q70/1000</f>
        <v>0.45415</v>
      </c>
      <c r="R205" s="1062">
        <f>+InputY!R70/1000</f>
        <v>0.60914999999999997</v>
      </c>
      <c r="S205" s="1062">
        <f>+InputY!S70/1000</f>
        <v>0.81238999999999995</v>
      </c>
      <c r="T205" s="1062">
        <f>+InputY!T70/1000</f>
        <v>1.1063099999999999</v>
      </c>
      <c r="U205" s="1062">
        <f>+InputY!U70/1000</f>
        <v>0.87808000000000008</v>
      </c>
      <c r="V205" s="1062">
        <f>+InputY!V70/1000</f>
        <v>0.58810000000000007</v>
      </c>
      <c r="W205" s="1062">
        <f>+InputY!W70/1000</f>
        <v>0.61626999999999998</v>
      </c>
      <c r="X205" s="1062">
        <f>+InputY!X70/1000</f>
        <v>0.64944000000000002</v>
      </c>
      <c r="Y205" s="1062">
        <f>+InputY!Y70/1000</f>
        <v>0.75691999999999993</v>
      </c>
      <c r="Z205" s="1062">
        <f>+InputY!Z70/1000</f>
        <v>0.91334000000000004</v>
      </c>
      <c r="AA205" s="1062">
        <f>+InputY!AA70/1000</f>
        <v>1.05339</v>
      </c>
      <c r="AB205" s="1062">
        <f>+InputY!AB70/1000</f>
        <v>1.1606800000000002</v>
      </c>
      <c r="AC205" s="1062">
        <f>+InputY!AC70/1000</f>
        <v>1.1259700000000001</v>
      </c>
      <c r="AD205" s="939">
        <f t="shared" ca="1" si="190"/>
        <v>1.2038364553499998</v>
      </c>
      <c r="AE205" s="939">
        <f t="shared" ca="1" si="190"/>
        <v>1.2659471934273276</v>
      </c>
    </row>
    <row r="206" spans="1:94" s="699" customFormat="1" ht="12.75" customHeight="1">
      <c r="A206" s="664">
        <f>+ROW(InputY!A74)</f>
        <v>74</v>
      </c>
      <c r="B206" s="664">
        <v>39</v>
      </c>
      <c r="C206" s="782" t="s">
        <v>1769</v>
      </c>
      <c r="D206" s="746"/>
      <c r="E206" s="747" t="s">
        <v>1444</v>
      </c>
      <c r="F206" s="748" t="s">
        <v>1900</v>
      </c>
      <c r="G206" s="799">
        <f>+InputY!G74/1000</f>
        <v>0.92889999999999995</v>
      </c>
      <c r="H206" s="799">
        <f>+InputY!H74/1000</f>
        <v>1.0797399999999999</v>
      </c>
      <c r="I206" s="799">
        <f>+InputY!I74/1000</f>
        <v>1.3854500000000001</v>
      </c>
      <c r="J206" s="799">
        <f>+InputY!J74/1000</f>
        <v>1.7663</v>
      </c>
      <c r="K206" s="799">
        <f>+InputY!K74/1000</f>
        <v>1.6463800000000002</v>
      </c>
      <c r="L206" s="799">
        <f>+InputY!L74/1000</f>
        <v>1.3832800000000001</v>
      </c>
      <c r="M206" s="799">
        <f>+InputY!M74/1000</f>
        <v>1.49675</v>
      </c>
      <c r="N206" s="799">
        <f>+InputY!N74/1000</f>
        <v>1.66652</v>
      </c>
      <c r="O206" s="799">
        <f>+InputY!O74/1000</f>
        <v>2.0240200000000002</v>
      </c>
      <c r="P206" s="799">
        <f>+InputY!P74/1000</f>
        <v>2.2777099999999999</v>
      </c>
      <c r="Q206" s="799">
        <f>+InputY!Q74/1000</f>
        <v>2.7256999999999998</v>
      </c>
      <c r="R206" s="2878">
        <f>+InputY!R74/1000</f>
        <v>3.6503000000000001</v>
      </c>
      <c r="S206" s="2878">
        <f>+InputY!S74/1000</f>
        <v>5.0291000000000006</v>
      </c>
      <c r="T206" s="2878">
        <f>+InputY!T74/1000</f>
        <v>5.5456799999999999</v>
      </c>
      <c r="U206" s="2878">
        <f>+InputY!U74/1000</f>
        <v>3.1168200000000001</v>
      </c>
      <c r="V206" s="2878">
        <f>+InputY!V74/1000</f>
        <v>2.7720100000000003</v>
      </c>
      <c r="W206" s="2878">
        <f>+InputY!W74/1000</f>
        <v>3.29731</v>
      </c>
      <c r="X206" s="2878">
        <f>+InputY!X74/1000</f>
        <v>3.2665300000000004</v>
      </c>
      <c r="Y206" s="2878">
        <f>+InputY!Y74/1000</f>
        <v>3.6736200000000001</v>
      </c>
      <c r="Z206" s="2878">
        <f>+InputY!Z74/1000</f>
        <v>4.0761500000000002</v>
      </c>
      <c r="AA206" s="2878">
        <f>+InputY!AA74/1000</f>
        <v>4.0977600000000001</v>
      </c>
      <c r="AB206" s="2878">
        <f>+InputY!AB74/1000</f>
        <v>3.7851399999999997</v>
      </c>
      <c r="AC206" s="2878">
        <f>+InputY!AC74/1000</f>
        <v>4.0979200000000002</v>
      </c>
      <c r="AD206" s="2876">
        <f t="shared" ca="1" si="190"/>
        <v>4.473412388099999</v>
      </c>
      <c r="AE206" s="2876">
        <f t="shared" ca="1" si="190"/>
        <v>4.8089152569460829</v>
      </c>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row>
    <row r="207" spans="1:94" s="699" customFormat="1" ht="12.75" customHeight="1">
      <c r="A207" s="664"/>
      <c r="B207" s="664"/>
      <c r="C207" s="782"/>
      <c r="D207" s="1973"/>
      <c r="E207" s="1973" t="s">
        <v>737</v>
      </c>
      <c r="F207" s="1973"/>
      <c r="G207" s="1002">
        <f t="shared" ref="G207:Y207" si="191">ABS(G206-G204-G205)</f>
        <v>5.5511151231257827E-17</v>
      </c>
      <c r="H207" s="1002">
        <f t="shared" si="191"/>
        <v>1.1102230246251565E-16</v>
      </c>
      <c r="I207" s="1002">
        <f t="shared" si="191"/>
        <v>5.5511151231257827E-17</v>
      </c>
      <c r="J207" s="1002">
        <f t="shared" si="191"/>
        <v>2.7755575615628914E-17</v>
      </c>
      <c r="K207" s="1002">
        <f t="shared" si="191"/>
        <v>1.3877787807814457E-16</v>
      </c>
      <c r="L207" s="1002">
        <f t="shared" si="191"/>
        <v>5.5511151231257827E-17</v>
      </c>
      <c r="M207" s="1002">
        <f t="shared" si="191"/>
        <v>5.5511151231257827E-17</v>
      </c>
      <c r="N207" s="1002">
        <f t="shared" si="191"/>
        <v>2.7755575615628914E-17</v>
      </c>
      <c r="O207" s="1002">
        <f t="shared" si="191"/>
        <v>3.3306690738754696E-16</v>
      </c>
      <c r="P207" s="1002">
        <f t="shared" si="191"/>
        <v>1.1102230246251565E-16</v>
      </c>
      <c r="Q207" s="1002">
        <f t="shared" si="191"/>
        <v>6.106226635438361E-16</v>
      </c>
      <c r="R207" s="1002">
        <f t="shared" si="191"/>
        <v>1.1102230246251565E-16</v>
      </c>
      <c r="S207" s="1002">
        <f t="shared" si="191"/>
        <v>6.6613381477509392E-16</v>
      </c>
      <c r="T207" s="2906">
        <f t="shared" si="191"/>
        <v>2.2204460492503131E-16</v>
      </c>
      <c r="U207" s="2906">
        <f t="shared" si="191"/>
        <v>1.1102230246251565E-16</v>
      </c>
      <c r="V207" s="2906">
        <f t="shared" si="191"/>
        <v>2.2204460492503131E-16</v>
      </c>
      <c r="W207" s="2906">
        <f t="shared" si="191"/>
        <v>1.1102230246251565E-16</v>
      </c>
      <c r="X207" s="2906">
        <f t="shared" si="191"/>
        <v>2.2204460492503131E-16</v>
      </c>
      <c r="Y207" s="2906">
        <f t="shared" si="191"/>
        <v>5.5511151231257827E-16</v>
      </c>
      <c r="Z207" s="2906">
        <f t="shared" ref="Z207:AE207" si="192">ABS(Z206-Z204-Z205)</f>
        <v>2.2204460492503131E-16</v>
      </c>
      <c r="AA207" s="2906">
        <f t="shared" si="192"/>
        <v>2.2204460492503131E-16</v>
      </c>
      <c r="AB207" s="2906">
        <f t="shared" si="192"/>
        <v>4.4408920985006262E-16</v>
      </c>
      <c r="AC207" s="2906">
        <f t="shared" si="192"/>
        <v>4.4408920985006262E-16</v>
      </c>
      <c r="AD207" s="2906">
        <f t="shared" ca="1" si="192"/>
        <v>4.4408920985006262E-16</v>
      </c>
      <c r="AE207" s="2906">
        <f t="shared" ca="1" si="192"/>
        <v>4.4408920985006262E-16</v>
      </c>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row>
    <row r="208" spans="1:94">
      <c r="A208" s="1130"/>
      <c r="B208" s="1130"/>
      <c r="C208" s="1080" t="s">
        <v>1767</v>
      </c>
      <c r="D208" s="1070" t="s">
        <v>687</v>
      </c>
      <c r="E208" s="1" t="s">
        <v>1445</v>
      </c>
      <c r="F208" s="3" t="s">
        <v>469</v>
      </c>
      <c r="G208" s="881"/>
      <c r="H208" s="881"/>
      <c r="I208" s="881"/>
      <c r="J208" s="881"/>
      <c r="K208" s="881"/>
      <c r="L208" s="881"/>
      <c r="M208" s="881"/>
      <c r="N208" s="881"/>
      <c r="O208" s="881"/>
      <c r="P208" s="881"/>
      <c r="Q208" s="881"/>
      <c r="R208" s="881"/>
      <c r="S208" s="881"/>
      <c r="T208" s="935"/>
      <c r="U208" s="935"/>
      <c r="V208" s="935"/>
      <c r="W208" s="935"/>
      <c r="X208" s="935"/>
      <c r="Y208" s="935"/>
      <c r="Z208" s="935"/>
      <c r="AA208" s="935"/>
      <c r="AB208" s="935"/>
      <c r="AC208" s="935"/>
      <c r="AD208" s="935"/>
      <c r="AE208" s="935"/>
    </row>
    <row r="209" spans="1:94">
      <c r="A209" s="1130"/>
      <c r="B209" s="1130"/>
      <c r="C209" s="1080" t="s">
        <v>1767</v>
      </c>
      <c r="D209" s="1070" t="s">
        <v>1447</v>
      </c>
      <c r="E209" s="1" t="s">
        <v>1445</v>
      </c>
      <c r="F209" s="3" t="s">
        <v>99</v>
      </c>
      <c r="G209" s="881"/>
      <c r="H209" s="881"/>
      <c r="I209" s="881"/>
      <c r="J209" s="881"/>
      <c r="K209" s="881"/>
      <c r="L209" s="881"/>
      <c r="M209" s="881"/>
      <c r="N209" s="881"/>
      <c r="O209" s="881"/>
      <c r="P209" s="881"/>
      <c r="Q209" s="881"/>
      <c r="R209" s="881"/>
      <c r="S209" s="881"/>
      <c r="T209" s="935"/>
      <c r="U209" s="935"/>
      <c r="V209" s="935"/>
      <c r="W209" s="935"/>
      <c r="X209" s="935"/>
      <c r="Y209" s="935"/>
      <c r="Z209" s="935"/>
      <c r="AA209" s="935"/>
      <c r="AB209" s="935"/>
      <c r="AC209" s="935"/>
      <c r="AD209" s="935"/>
      <c r="AE209" s="935"/>
    </row>
    <row r="210" spans="1:94">
      <c r="A210" s="664">
        <f>+ROW(InputY!A73)</f>
        <v>73</v>
      </c>
      <c r="B210" s="1130">
        <v>40</v>
      </c>
      <c r="C210" s="1081" t="s">
        <v>1769</v>
      </c>
      <c r="D210" s="1072"/>
      <c r="E210" s="1063" t="s">
        <v>1445</v>
      </c>
      <c r="F210" s="1072" t="s">
        <v>471</v>
      </c>
      <c r="G210" s="1064">
        <f>+InputY!G73/1000</f>
        <v>0.57979999999999998</v>
      </c>
      <c r="H210" s="1064">
        <f>+InputY!H73/1000</f>
        <v>0.82804</v>
      </c>
      <c r="I210" s="1064">
        <f>+InputY!I73/1000</f>
        <v>1.1324100000000001</v>
      </c>
      <c r="J210" s="1064">
        <f>+InputY!J73/1000</f>
        <v>1.2478</v>
      </c>
      <c r="K210" s="1064">
        <f>+InputY!K73/1000</f>
        <v>1.0569000000000002</v>
      </c>
      <c r="L210" s="1064">
        <f>+InputY!L73/1000</f>
        <v>0.98738999999999999</v>
      </c>
      <c r="M210" s="1064">
        <f>+InputY!M73/1000</f>
        <v>1.2044900000000001</v>
      </c>
      <c r="N210" s="1064">
        <f>+InputY!N73/1000</f>
        <v>1.2764800000000001</v>
      </c>
      <c r="O210" s="1064">
        <f>+InputY!O73/1000</f>
        <v>1.3368100000000001</v>
      </c>
      <c r="P210" s="1064">
        <f>+InputY!P73/1000</f>
        <v>1.6379900000000001</v>
      </c>
      <c r="Q210" s="1064">
        <f>+InputY!Q73/1000</f>
        <v>1.8569899999999999</v>
      </c>
      <c r="R210" s="1064">
        <f>+InputY!R73/1000</f>
        <v>2.161</v>
      </c>
      <c r="S210" s="1064">
        <f>+InputY!S73/1000</f>
        <v>2.7182300000000001</v>
      </c>
      <c r="T210" s="1064">
        <f>+InputY!T73/1000</f>
        <v>2.3092899999999998</v>
      </c>
      <c r="U210" s="1064">
        <f>+InputY!U73/1000</f>
        <v>1.14832</v>
      </c>
      <c r="V210" s="1064">
        <f>+InputY!V73/1000</f>
        <v>1.3708499999999999</v>
      </c>
      <c r="W210" s="1064">
        <f>+InputY!W73/1000</f>
        <v>1.8810799999999999</v>
      </c>
      <c r="X210" s="1064">
        <f>+InputY!X73/1000</f>
        <v>1.9435799999999999</v>
      </c>
      <c r="Y210" s="1064">
        <f>+InputY!Y73/1000</f>
        <v>2.1889499999999997</v>
      </c>
      <c r="Z210" s="1064">
        <f>+InputY!Z73/1000</f>
        <v>2.1718500000000001</v>
      </c>
      <c r="AA210" s="1064">
        <f>+InputY!AA73/1000</f>
        <v>2.4741399999999998</v>
      </c>
      <c r="AB210" s="1064">
        <f>+InputY!AB73/1000</f>
        <v>2.6825300000000003</v>
      </c>
      <c r="AC210" s="1064">
        <f>+InputY!AC73/1000</f>
        <v>2.8599899999999998</v>
      </c>
      <c r="AD210" s="940">
        <f t="shared" ref="AD210:AE212" ca="1" si="193">+AC210*(1+AD223/100)</f>
        <v>3.149635487249999</v>
      </c>
      <c r="AE210" s="940">
        <f t="shared" ca="1" si="193"/>
        <v>3.3311489803802168</v>
      </c>
    </row>
    <row r="211" spans="1:94">
      <c r="A211" s="664">
        <f>+ROW(InputY!A77)</f>
        <v>77</v>
      </c>
      <c r="B211" s="664">
        <v>41</v>
      </c>
      <c r="C211" s="1082" t="s">
        <v>1769</v>
      </c>
      <c r="D211" s="1065"/>
      <c r="E211" s="1037" t="s">
        <v>1446</v>
      </c>
      <c r="F211" s="1065" t="s">
        <v>1534</v>
      </c>
      <c r="G211" s="1066">
        <f>+InputY!G77/1000</f>
        <v>7.2520000000000001E-2</v>
      </c>
      <c r="H211" s="1066">
        <f>+InputY!H77/1000</f>
        <v>9.1049999999999992E-2</v>
      </c>
      <c r="I211" s="1066">
        <f>+InputY!I77/1000</f>
        <v>0.10487</v>
      </c>
      <c r="J211" s="1066">
        <f>+InputY!J77/1000</f>
        <v>9.6039999999999986E-2</v>
      </c>
      <c r="K211" s="1066">
        <f>+InputY!K77/1000</f>
        <v>8.7039999999999992E-2</v>
      </c>
      <c r="L211" s="1066">
        <f>+InputY!L77/1000</f>
        <v>0.18602000000000002</v>
      </c>
      <c r="M211" s="1066">
        <f>+InputY!M77/1000</f>
        <v>0.21079000000000001</v>
      </c>
      <c r="N211" s="1066">
        <f>+InputY!N77/1000</f>
        <v>0.20289999999999997</v>
      </c>
      <c r="O211" s="1066">
        <f>+InputY!O77/1000</f>
        <v>0.22945000000000002</v>
      </c>
      <c r="P211" s="1066">
        <f>+InputY!P77/1000</f>
        <v>0.26030000000000003</v>
      </c>
      <c r="Q211" s="1066">
        <f>+InputY!Q77/1000</f>
        <v>0.32870000000000005</v>
      </c>
      <c r="R211" s="1066">
        <f>+InputY!R77/1000</f>
        <v>0.43160999999999999</v>
      </c>
      <c r="S211" s="1066">
        <f>+InputY!S77/1000</f>
        <v>0.5513499999999999</v>
      </c>
      <c r="T211" s="1066">
        <f>+InputY!T77/1000</f>
        <v>0.65833999999999993</v>
      </c>
      <c r="U211" s="1066">
        <f>+InputY!U77/1000</f>
        <v>0.54539000000000004</v>
      </c>
      <c r="V211" s="1066">
        <f>+InputY!V77/1000</f>
        <v>0.58343999999999996</v>
      </c>
      <c r="W211" s="1066">
        <f>+InputY!W77/1000</f>
        <v>0.60272000000000003</v>
      </c>
      <c r="X211" s="1066">
        <f>+InputY!X77/1000</f>
        <v>0.57791999999999999</v>
      </c>
      <c r="Y211" s="1066">
        <f>+InputY!Y77/1000</f>
        <v>0.59230999999999989</v>
      </c>
      <c r="Z211" s="1066">
        <f>+InputY!Z77/1000</f>
        <v>0.65749000000000002</v>
      </c>
      <c r="AA211" s="1066">
        <f>+InputY!AA77/1000</f>
        <v>0.75331999999999999</v>
      </c>
      <c r="AB211" s="1066">
        <f>+InputY!AB77/1000</f>
        <v>0.84651999999999994</v>
      </c>
      <c r="AC211" s="1066">
        <f>+InputY!AC77/1000</f>
        <v>0.92247999999999986</v>
      </c>
      <c r="AD211" s="1340">
        <f t="shared" ca="1" si="193"/>
        <v>0.98947049759999994</v>
      </c>
      <c r="AE211" s="1340">
        <f t="shared" ca="1" si="193"/>
        <v>1.0443366366919198</v>
      </c>
    </row>
    <row r="212" spans="1:94">
      <c r="A212" s="664">
        <f>+ROW(InputY!A78)</f>
        <v>78</v>
      </c>
      <c r="B212" s="1130">
        <v>38</v>
      </c>
      <c r="C212" s="1083" t="s">
        <v>1448</v>
      </c>
      <c r="D212" s="1055"/>
      <c r="E212" s="1056" t="s">
        <v>376</v>
      </c>
      <c r="F212" s="1055" t="s">
        <v>1884</v>
      </c>
      <c r="G212" s="1057">
        <f>+InputY!G78/1000</f>
        <v>1.5812299999999999</v>
      </c>
      <c r="H212" s="1057">
        <f>+InputY!H78/1000</f>
        <v>1.99884</v>
      </c>
      <c r="I212" s="1057">
        <f>+InputY!I78/1000</f>
        <v>2.6227300000000002</v>
      </c>
      <c r="J212" s="1057">
        <f>+InputY!J78/1000</f>
        <v>3.1101300000000003</v>
      </c>
      <c r="K212" s="1057">
        <f>+InputY!K78/1000</f>
        <v>2.7903200000000004</v>
      </c>
      <c r="L212" s="1057">
        <f>+InputY!L78/1000</f>
        <v>2.5566900000000001</v>
      </c>
      <c r="M212" s="1057">
        <f>+InputY!M78/1000</f>
        <v>2.9120400000000002</v>
      </c>
      <c r="N212" s="1057">
        <f>+InputY!N78/1000</f>
        <v>3.1459000000000001</v>
      </c>
      <c r="O212" s="1057">
        <f>+InputY!O78/1000</f>
        <v>3.5902800000000004</v>
      </c>
      <c r="P212" s="1057">
        <f>+InputY!P78/1000</f>
        <v>4.1760000000000002</v>
      </c>
      <c r="Q212" s="1057">
        <f>+InputY!Q78/1000</f>
        <v>4.9113800000000003</v>
      </c>
      <c r="R212" s="1057">
        <f>+InputY!R78/1000</f>
        <v>6.2428999999999997</v>
      </c>
      <c r="S212" s="1057">
        <f>+InputY!S78/1000</f>
        <v>8.2986699999999995</v>
      </c>
      <c r="T212" s="1057">
        <f>+InputY!T78/1000</f>
        <v>8.5133200000000002</v>
      </c>
      <c r="U212" s="1057">
        <f>+InputY!U78/1000</f>
        <v>4.8105200000000004</v>
      </c>
      <c r="V212" s="1057">
        <f>+InputY!V78/1000</f>
        <v>4.7263000000000002</v>
      </c>
      <c r="W212" s="1057">
        <f>+InputY!W78/1000</f>
        <v>5.78111</v>
      </c>
      <c r="X212" s="1057">
        <f>+InputY!X78/1000</f>
        <v>5.78803</v>
      </c>
      <c r="Y212" s="1057">
        <f>+InputY!Y78/1000</f>
        <v>6.4548800000000002</v>
      </c>
      <c r="Z212" s="1057">
        <f>+InputY!Z78/1000</f>
        <v>6.9054899999999995</v>
      </c>
      <c r="AA212" s="1057">
        <f>+InputY!AA78/1000</f>
        <v>7.3252199999999998</v>
      </c>
      <c r="AB212" s="3726">
        <f>+InputY!AB78/1000</f>
        <v>7.3141999999999996</v>
      </c>
      <c r="AC212" s="3726">
        <f>+InputY!AC78/1000</f>
        <v>7.8803900000000002</v>
      </c>
      <c r="AD212" s="997">
        <f t="shared" ca="1" si="193"/>
        <v>8.6125183729499977</v>
      </c>
      <c r="AE212" s="997">
        <f t="shared" ca="1" si="193"/>
        <v>9.1844008740182197</v>
      </c>
    </row>
    <row r="213" spans="1:94" s="699" customFormat="1" ht="12.75" customHeight="1">
      <c r="A213" s="664"/>
      <c r="B213" s="664"/>
      <c r="C213" s="774"/>
      <c r="D213" s="1973"/>
      <c r="E213" s="1973" t="s">
        <v>737</v>
      </c>
      <c r="F213" s="1973"/>
      <c r="G213" s="1002">
        <f>ABS(G212-G211-G210-G206)</f>
        <v>1.0000000000065512E-5</v>
      </c>
      <c r="H213" s="1002">
        <f t="shared" ref="H213:Y213" si="194">ABS(H212-H211-H210-H206)</f>
        <v>9.9999999998434674E-6</v>
      </c>
      <c r="I213" s="1002">
        <f t="shared" si="194"/>
        <v>0</v>
      </c>
      <c r="J213" s="1002">
        <f t="shared" si="194"/>
        <v>9.9999999996214228E-6</v>
      </c>
      <c r="K213" s="1002">
        <f t="shared" si="194"/>
        <v>0</v>
      </c>
      <c r="L213" s="1002">
        <f t="shared" si="194"/>
        <v>0</v>
      </c>
      <c r="M213" s="1002">
        <f t="shared" si="194"/>
        <v>1.0000000000287557E-5</v>
      </c>
      <c r="N213" s="1002">
        <f t="shared" si="194"/>
        <v>0</v>
      </c>
      <c r="O213" s="1002">
        <f t="shared" si="194"/>
        <v>0</v>
      </c>
      <c r="P213" s="1002">
        <f t="shared" si="194"/>
        <v>0</v>
      </c>
      <c r="Q213" s="1002">
        <f t="shared" si="194"/>
        <v>9.9999999996214228E-6</v>
      </c>
      <c r="R213" s="1002">
        <f t="shared" si="194"/>
        <v>1.0000000000509601E-5</v>
      </c>
      <c r="S213" s="1002">
        <f t="shared" si="194"/>
        <v>1.000000000139778E-5</v>
      </c>
      <c r="T213" s="2906">
        <f t="shared" si="194"/>
        <v>1.0000000000509601E-5</v>
      </c>
      <c r="U213" s="2906">
        <f t="shared" si="194"/>
        <v>1.0000000000065512E-5</v>
      </c>
      <c r="V213" s="2906">
        <f t="shared" si="194"/>
        <v>4.4408920985006262E-16</v>
      </c>
      <c r="W213" s="2906">
        <f t="shared" si="194"/>
        <v>4.4408920985006262E-16</v>
      </c>
      <c r="X213" s="2906">
        <f t="shared" si="194"/>
        <v>0</v>
      </c>
      <c r="Y213" s="2906">
        <f t="shared" si="194"/>
        <v>0</v>
      </c>
      <c r="Z213" s="2906">
        <f t="shared" ref="Z213:AE213" si="195">ABS(Z212-Z211-Z210-Z206)</f>
        <v>8.8817841970012523E-16</v>
      </c>
      <c r="AA213" s="2906">
        <f t="shared" si="195"/>
        <v>8.8817841970012523E-16</v>
      </c>
      <c r="AB213" s="2906">
        <f t="shared" si="195"/>
        <v>9.9999999996214228E-6</v>
      </c>
      <c r="AC213" s="2906">
        <f t="shared" si="195"/>
        <v>0</v>
      </c>
      <c r="AD213" s="2906">
        <f t="shared" ca="1" si="195"/>
        <v>8.8817841970012523E-16</v>
      </c>
      <c r="AE213" s="2906">
        <f t="shared" ca="1" si="195"/>
        <v>0</v>
      </c>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row>
    <row r="214" spans="1:94">
      <c r="AB214" s="557"/>
      <c r="AC214" s="557"/>
      <c r="AD214" s="557"/>
      <c r="AE214" s="557"/>
    </row>
    <row r="215" spans="1:94" s="699" customFormat="1" ht="12.75" customHeight="1">
      <c r="A215" s="664"/>
      <c r="B215" s="664"/>
      <c r="C215" s="774"/>
      <c r="D215" s="1092"/>
      <c r="E215" s="1093" t="s">
        <v>1275</v>
      </c>
      <c r="F215" s="744"/>
      <c r="G215" s="745">
        <f>+InputY!$G$3</f>
        <v>1995</v>
      </c>
      <c r="H215" s="745">
        <f>+G215+1</f>
        <v>1996</v>
      </c>
      <c r="I215" s="745">
        <f t="shared" ref="I215:O215" si="196">+H215+1</f>
        <v>1997</v>
      </c>
      <c r="J215" s="745">
        <f t="shared" si="196"/>
        <v>1998</v>
      </c>
      <c r="K215" s="745">
        <f t="shared" si="196"/>
        <v>1999</v>
      </c>
      <c r="L215" s="745">
        <f t="shared" si="196"/>
        <v>2000</v>
      </c>
      <c r="M215" s="745">
        <f t="shared" si="196"/>
        <v>2001</v>
      </c>
      <c r="N215" s="745">
        <f t="shared" si="196"/>
        <v>2002</v>
      </c>
      <c r="O215" s="745">
        <f t="shared" si="196"/>
        <v>2003</v>
      </c>
      <c r="P215" s="745">
        <f t="shared" ref="P215:V215" si="197">+O215+1</f>
        <v>2004</v>
      </c>
      <c r="Q215" s="745">
        <f t="shared" si="197"/>
        <v>2005</v>
      </c>
      <c r="R215" s="745">
        <f t="shared" si="197"/>
        <v>2006</v>
      </c>
      <c r="S215" s="745">
        <f>+R215+1</f>
        <v>2007</v>
      </c>
      <c r="T215" s="745">
        <f t="shared" si="197"/>
        <v>2008</v>
      </c>
      <c r="U215" s="745">
        <f t="shared" si="197"/>
        <v>2009</v>
      </c>
      <c r="V215" s="745">
        <f t="shared" si="197"/>
        <v>2010</v>
      </c>
      <c r="W215" s="745">
        <f t="shared" ref="W215:AE215" si="198">+V215+1</f>
        <v>2011</v>
      </c>
      <c r="X215" s="745">
        <f t="shared" si="198"/>
        <v>2012</v>
      </c>
      <c r="Y215" s="745">
        <f t="shared" si="198"/>
        <v>2013</v>
      </c>
      <c r="Z215" s="745">
        <f t="shared" si="198"/>
        <v>2014</v>
      </c>
      <c r="AA215" s="745">
        <f t="shared" si="198"/>
        <v>2015</v>
      </c>
      <c r="AB215" s="745">
        <f t="shared" si="198"/>
        <v>2016</v>
      </c>
      <c r="AC215" s="745">
        <f t="shared" si="198"/>
        <v>2017</v>
      </c>
      <c r="AD215" s="745">
        <f t="shared" si="198"/>
        <v>2018</v>
      </c>
      <c r="AE215" s="745">
        <f t="shared" si="198"/>
        <v>2019</v>
      </c>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row>
    <row r="216" spans="1:94" s="699" customFormat="1" ht="12.75" customHeight="1">
      <c r="A216" s="664"/>
      <c r="B216" s="664"/>
      <c r="C216" s="794" t="s">
        <v>1767</v>
      </c>
      <c r="D216" s="689" t="s">
        <v>687</v>
      </c>
      <c r="E216" s="738" t="s">
        <v>644</v>
      </c>
      <c r="F216" s="981" t="s">
        <v>1515</v>
      </c>
      <c r="G216" s="881"/>
      <c r="H216" s="881"/>
      <c r="I216" s="881"/>
      <c r="J216" s="881"/>
      <c r="K216" s="881"/>
      <c r="L216" s="881"/>
      <c r="M216" s="881"/>
      <c r="N216" s="881"/>
      <c r="O216" s="881"/>
      <c r="P216" s="881"/>
      <c r="Q216" s="881"/>
      <c r="R216" s="881"/>
      <c r="S216" s="881"/>
      <c r="T216" s="935"/>
      <c r="U216" s="935"/>
      <c r="V216" s="935"/>
      <c r="W216" s="935"/>
      <c r="X216" s="935"/>
      <c r="Y216" s="935"/>
      <c r="Z216" s="935"/>
      <c r="AA216" s="935"/>
      <c r="AB216" s="935"/>
      <c r="AC216" s="935"/>
      <c r="AD216" s="935"/>
      <c r="AE216" s="935"/>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row>
    <row r="217" spans="1:94">
      <c r="A217" s="664"/>
      <c r="B217" s="664"/>
      <c r="C217" s="1100" t="s">
        <v>1767</v>
      </c>
      <c r="D217" s="1070" t="s">
        <v>1447</v>
      </c>
      <c r="E217" s="1" t="s">
        <v>644</v>
      </c>
      <c r="F217" s="674" t="s">
        <v>98</v>
      </c>
      <c r="G217" s="881"/>
      <c r="H217" s="881"/>
      <c r="I217" s="881"/>
      <c r="J217" s="881"/>
      <c r="K217" s="881"/>
      <c r="L217" s="881"/>
      <c r="M217" s="881"/>
      <c r="N217" s="881"/>
      <c r="O217" s="881"/>
      <c r="P217" s="881"/>
      <c r="Q217" s="881"/>
      <c r="R217" s="881"/>
      <c r="S217" s="881"/>
      <c r="T217" s="935"/>
      <c r="U217" s="935"/>
      <c r="V217" s="935"/>
      <c r="W217" s="935"/>
      <c r="X217" s="935"/>
      <c r="Y217" s="935"/>
      <c r="Z217" s="935"/>
      <c r="AA217" s="935"/>
      <c r="AB217" s="935"/>
      <c r="AC217" s="935"/>
      <c r="AD217" s="935"/>
      <c r="AE217" s="935"/>
    </row>
    <row r="218" spans="1:94">
      <c r="A218" s="1130"/>
      <c r="B218" s="1130"/>
      <c r="C218" s="1100" t="s">
        <v>1769</v>
      </c>
      <c r="D218" s="1111"/>
      <c r="E218" s="1112" t="s">
        <v>644</v>
      </c>
      <c r="F218" s="1111" t="s">
        <v>1517</v>
      </c>
      <c r="G218" s="1113"/>
      <c r="H218" s="1113">
        <f>(H204/G204-1)*100</f>
        <v>16.097055384288318</v>
      </c>
      <c r="I218" s="1113">
        <f t="shared" ref="I218:AC218" si="199">(I204/H204-1)*100</f>
        <v>35.346228682614168</v>
      </c>
      <c r="J218" s="1113">
        <f t="shared" si="199"/>
        <v>32.588877989378616</v>
      </c>
      <c r="K218" s="1113">
        <f t="shared" si="199"/>
        <v>-8.5841481226361473</v>
      </c>
      <c r="L218" s="1113">
        <f t="shared" si="199"/>
        <v>-19.855578036698518</v>
      </c>
      <c r="M218" s="1113">
        <f t="shared" si="199"/>
        <v>10.835633014424872</v>
      </c>
      <c r="N218" s="1113">
        <f t="shared" si="199"/>
        <v>15.062284987197415</v>
      </c>
      <c r="O218" s="1113">
        <f t="shared" si="199"/>
        <v>22.230110242670385</v>
      </c>
      <c r="P218" s="1113">
        <f t="shared" si="199"/>
        <v>3.8176934117423844</v>
      </c>
      <c r="Q218" s="1113">
        <f t="shared" si="199"/>
        <v>22.194010661818119</v>
      </c>
      <c r="R218" s="1113">
        <f t="shared" si="199"/>
        <v>33.879949814003638</v>
      </c>
      <c r="S218" s="1113">
        <f t="shared" si="199"/>
        <v>38.655114019367673</v>
      </c>
      <c r="T218" s="1113">
        <f t="shared" si="199"/>
        <v>5.2804200431141979</v>
      </c>
      <c r="U218" s="1113">
        <f t="shared" si="199"/>
        <v>-49.570772429421297</v>
      </c>
      <c r="V218" s="1113">
        <f t="shared" si="199"/>
        <v>-2.4491455014874375</v>
      </c>
      <c r="W218" s="1113">
        <f t="shared" si="199"/>
        <v>22.76330068546779</v>
      </c>
      <c r="X218" s="1113">
        <f t="shared" si="199"/>
        <v>-2.3852684033061733</v>
      </c>
      <c r="Y218" s="1113">
        <f t="shared" si="199"/>
        <v>11.448211563224774</v>
      </c>
      <c r="Z218" s="1113">
        <f t="shared" si="199"/>
        <v>8.4379607090204765</v>
      </c>
      <c r="AA218" s="1113">
        <f t="shared" si="199"/>
        <v>-3.7447712635283237</v>
      </c>
      <c r="AB218" s="1113">
        <f t="shared" si="199"/>
        <v>-13.793001507701097</v>
      </c>
      <c r="AC218" s="1113">
        <f t="shared" si="199"/>
        <v>13.240438032966772</v>
      </c>
      <c r="AD218" s="1423">
        <f ca="1">OFFSET('VVP1'!$K$58,0,5*(COLUMN()-7))</f>
        <v>10.014499999999993</v>
      </c>
      <c r="AE218" s="1423">
        <f ca="1">OFFSET('VVP1'!$K$58,0,5*(COLUMN()-7))</f>
        <v>8.361699999999983</v>
      </c>
    </row>
    <row r="219" spans="1:94">
      <c r="A219" s="664"/>
      <c r="B219" s="664"/>
      <c r="C219" s="1100" t="s">
        <v>1767</v>
      </c>
      <c r="D219" s="3"/>
      <c r="E219" s="1" t="s">
        <v>1443</v>
      </c>
      <c r="F219" s="3" t="s">
        <v>1518</v>
      </c>
      <c r="G219" s="1062"/>
      <c r="H219" s="1062">
        <f>(H205/G205-1)*100</f>
        <v>16.842463422932962</v>
      </c>
      <c r="I219" s="1062">
        <f t="shared" ref="I219:AC219" si="200">(I205/H205-1)*100</f>
        <v>-1.5094156474470988</v>
      </c>
      <c r="J219" s="1062">
        <f t="shared" si="200"/>
        <v>-2.2273690435125393</v>
      </c>
      <c r="K219" s="1062">
        <f t="shared" si="200"/>
        <v>7.3937805554155522</v>
      </c>
      <c r="L219" s="1062">
        <f t="shared" si="200"/>
        <v>10.085413929040721</v>
      </c>
      <c r="M219" s="1062">
        <f t="shared" si="200"/>
        <v>-4.6894317261371938</v>
      </c>
      <c r="N219" s="1062">
        <f t="shared" si="200"/>
        <v>-9.8403184684886185</v>
      </c>
      <c r="O219" s="1062">
        <f t="shared" si="200"/>
        <v>15.796001389095604</v>
      </c>
      <c r="P219" s="1062">
        <f t="shared" si="200"/>
        <v>79.401053939419896</v>
      </c>
      <c r="Q219" s="1062">
        <f t="shared" si="200"/>
        <v>8.4563213449873498</v>
      </c>
      <c r="R219" s="1062">
        <f t="shared" si="200"/>
        <v>34.129692832764505</v>
      </c>
      <c r="S219" s="1062">
        <f t="shared" si="200"/>
        <v>33.36452433719117</v>
      </c>
      <c r="T219" s="1062">
        <f t="shared" si="200"/>
        <v>36.17966740112508</v>
      </c>
      <c r="U219" s="1062">
        <f t="shared" si="200"/>
        <v>-20.629841545317305</v>
      </c>
      <c r="V219" s="1062">
        <f t="shared" si="200"/>
        <v>-33.024325801749264</v>
      </c>
      <c r="W219" s="1062">
        <f t="shared" si="200"/>
        <v>4.7900017003910778</v>
      </c>
      <c r="X219" s="1062">
        <f t="shared" si="200"/>
        <v>5.3823810991935339</v>
      </c>
      <c r="Y219" s="1062">
        <f t="shared" si="200"/>
        <v>16.549642769154961</v>
      </c>
      <c r="Z219" s="1062">
        <f t="shared" si="200"/>
        <v>20.665327907837039</v>
      </c>
      <c r="AA219" s="1062">
        <f t="shared" si="200"/>
        <v>15.333829680075329</v>
      </c>
      <c r="AB219" s="1062">
        <f t="shared" si="200"/>
        <v>10.18521155507457</v>
      </c>
      <c r="AC219" s="1062">
        <f t="shared" si="200"/>
        <v>-2.9904883344246458</v>
      </c>
      <c r="AD219" s="1423">
        <f ca="1">OFFSET('VVP1'!$K$59,0,5*(COLUMN()-7))</f>
        <v>6.9154999999999633</v>
      </c>
      <c r="AE219" s="1423">
        <f ca="1">OFFSET('VVP1'!$K$59,0,5*(COLUMN()-7))</f>
        <v>5.1593999999999918</v>
      </c>
    </row>
    <row r="220" spans="1:94">
      <c r="A220" s="1130"/>
      <c r="B220" s="1130"/>
      <c r="C220" s="979" t="s">
        <v>1769</v>
      </c>
      <c r="D220" s="1101"/>
      <c r="E220" s="1102" t="s">
        <v>1444</v>
      </c>
      <c r="F220" s="1101" t="s">
        <v>1900</v>
      </c>
      <c r="G220" s="1103"/>
      <c r="H220" s="1103">
        <f>(H206/G206-1)*100</f>
        <v>16.238561739692116</v>
      </c>
      <c r="I220" s="1103">
        <f t="shared" ref="I220:AC220" si="201">(I206/H206-1)*100</f>
        <v>28.313297645729541</v>
      </c>
      <c r="J220" s="1103">
        <f t="shared" si="201"/>
        <v>27.489263416218556</v>
      </c>
      <c r="K220" s="1103">
        <f t="shared" si="201"/>
        <v>-6.7893336352827793</v>
      </c>
      <c r="L220" s="1103">
        <f t="shared" si="201"/>
        <v>-15.980514826467774</v>
      </c>
      <c r="M220" s="1103">
        <f t="shared" si="201"/>
        <v>8.2029668613729623</v>
      </c>
      <c r="N220" s="1103">
        <f t="shared" si="201"/>
        <v>11.342575580424242</v>
      </c>
      <c r="O220" s="1103">
        <f t="shared" si="201"/>
        <v>21.451887766123434</v>
      </c>
      <c r="P220" s="1103">
        <f t="shared" si="201"/>
        <v>12.533967055661499</v>
      </c>
      <c r="Q220" s="1103">
        <f t="shared" si="201"/>
        <v>19.66843891452379</v>
      </c>
      <c r="R220" s="1103">
        <f t="shared" si="201"/>
        <v>33.921561433760147</v>
      </c>
      <c r="S220" s="1103">
        <f t="shared" si="201"/>
        <v>37.772237898254943</v>
      </c>
      <c r="T220" s="1103">
        <f t="shared" si="201"/>
        <v>10.271818019128665</v>
      </c>
      <c r="U220" s="1103">
        <f t="shared" si="201"/>
        <v>-43.797334141169344</v>
      </c>
      <c r="V220" s="1103">
        <f t="shared" si="201"/>
        <v>-11.062878189950009</v>
      </c>
      <c r="W220" s="1103">
        <f t="shared" si="201"/>
        <v>18.950148087488849</v>
      </c>
      <c r="X220" s="1103">
        <f t="shared" si="201"/>
        <v>-0.93348820705361213</v>
      </c>
      <c r="Y220" s="1103">
        <f t="shared" si="201"/>
        <v>12.462460164149714</v>
      </c>
      <c r="Z220" s="1103">
        <f t="shared" si="201"/>
        <v>10.957311861324804</v>
      </c>
      <c r="AA220" s="1103">
        <f t="shared" si="201"/>
        <v>0.53015713356967531</v>
      </c>
      <c r="AB220" s="1103">
        <f t="shared" si="201"/>
        <v>-7.6290461129983278</v>
      </c>
      <c r="AC220" s="1103">
        <f t="shared" si="201"/>
        <v>8.263366744691103</v>
      </c>
      <c r="AD220" s="1424">
        <f ca="1">OFFSET('VVP1'!$K$60,0,5*(COLUMN()-7))</f>
        <v>9.1629994753435575</v>
      </c>
      <c r="AE220" s="1424">
        <f ca="1">OFFSET('VVP1'!$K$60,0,5*(COLUMN()-7))</f>
        <v>7.4999315899999752</v>
      </c>
    </row>
    <row r="221" spans="1:94">
      <c r="A221" s="1130"/>
      <c r="B221" s="1130"/>
      <c r="C221" s="1104" t="s">
        <v>1767</v>
      </c>
      <c r="D221" s="1105" t="s">
        <v>687</v>
      </c>
      <c r="E221" s="1106" t="s">
        <v>1445</v>
      </c>
      <c r="F221" s="1105" t="s">
        <v>469</v>
      </c>
      <c r="G221" s="987"/>
      <c r="H221" s="987"/>
      <c r="I221" s="987"/>
      <c r="J221" s="987"/>
      <c r="K221" s="987"/>
      <c r="L221" s="987"/>
      <c r="M221" s="987"/>
      <c r="N221" s="987"/>
      <c r="O221" s="987"/>
      <c r="P221" s="987"/>
      <c r="Q221" s="987"/>
      <c r="R221" s="987"/>
      <c r="S221" s="987"/>
      <c r="T221" s="988"/>
      <c r="U221" s="988"/>
      <c r="V221" s="988"/>
      <c r="W221" s="988"/>
      <c r="X221" s="988"/>
      <c r="Y221" s="988"/>
      <c r="Z221" s="988"/>
      <c r="AA221" s="988"/>
      <c r="AB221" s="988"/>
      <c r="AC221" s="988"/>
      <c r="AD221" s="988"/>
      <c r="AE221" s="988"/>
      <c r="AI221">
        <v>-16.072636794203021</v>
      </c>
    </row>
    <row r="222" spans="1:94">
      <c r="A222" s="1130"/>
      <c r="B222" s="1130"/>
      <c r="C222" s="1100" t="s">
        <v>1767</v>
      </c>
      <c r="D222" s="1070" t="s">
        <v>1447</v>
      </c>
      <c r="E222" s="1" t="s">
        <v>1445</v>
      </c>
      <c r="F222" s="3" t="s">
        <v>99</v>
      </c>
      <c r="G222" s="881"/>
      <c r="H222" s="881"/>
      <c r="I222" s="881"/>
      <c r="J222" s="881"/>
      <c r="K222" s="881"/>
      <c r="L222" s="881"/>
      <c r="M222" s="881"/>
      <c r="N222" s="881"/>
      <c r="O222" s="881"/>
      <c r="P222" s="881"/>
      <c r="Q222" s="881"/>
      <c r="R222" s="881"/>
      <c r="S222" s="881"/>
      <c r="T222" s="935"/>
      <c r="U222" s="935"/>
      <c r="V222" s="935"/>
      <c r="W222" s="935"/>
      <c r="X222" s="935"/>
      <c r="Y222" s="935"/>
      <c r="Z222" s="935"/>
      <c r="AA222" s="935"/>
      <c r="AB222" s="935"/>
      <c r="AC222" s="935"/>
      <c r="AD222" s="935"/>
      <c r="AE222" s="935"/>
    </row>
    <row r="223" spans="1:94">
      <c r="A223" s="1130"/>
      <c r="B223" s="1130"/>
      <c r="C223" s="979" t="s">
        <v>1769</v>
      </c>
      <c r="D223" s="1101"/>
      <c r="E223" s="1102" t="s">
        <v>1445</v>
      </c>
      <c r="F223" s="1101" t="s">
        <v>471</v>
      </c>
      <c r="G223" s="1103"/>
      <c r="H223" s="1103">
        <f>(H210/G210-1)*100</f>
        <v>42.814763711624693</v>
      </c>
      <c r="I223" s="1103">
        <f t="shared" ref="I223:AC223" si="202">(I210/H210-1)*100</f>
        <v>36.757886092459316</v>
      </c>
      <c r="J223" s="1103">
        <f t="shared" si="202"/>
        <v>10.18977225563178</v>
      </c>
      <c r="K223" s="1103">
        <f t="shared" si="202"/>
        <v>-15.298926109953504</v>
      </c>
      <c r="L223" s="1103">
        <f t="shared" si="202"/>
        <v>-6.5767811524269248</v>
      </c>
      <c r="M223" s="1103">
        <f t="shared" si="202"/>
        <v>21.987259340280939</v>
      </c>
      <c r="N223" s="1103">
        <f t="shared" si="202"/>
        <v>5.9768034603857156</v>
      </c>
      <c r="O223" s="1103">
        <f t="shared" si="202"/>
        <v>4.7262785159187803</v>
      </c>
      <c r="P223" s="1103">
        <f t="shared" si="202"/>
        <v>22.529753667312491</v>
      </c>
      <c r="Q223" s="1103">
        <f t="shared" si="202"/>
        <v>13.370044994169671</v>
      </c>
      <c r="R223" s="1103">
        <f t="shared" si="202"/>
        <v>16.371116699605292</v>
      </c>
      <c r="S223" s="1103">
        <f t="shared" si="202"/>
        <v>25.785747339194831</v>
      </c>
      <c r="T223" s="1103">
        <f t="shared" si="202"/>
        <v>-15.044348712213473</v>
      </c>
      <c r="U223" s="1103">
        <f t="shared" si="202"/>
        <v>-50.273893707589764</v>
      </c>
      <c r="V223" s="1103">
        <f t="shared" si="202"/>
        <v>19.37874460080813</v>
      </c>
      <c r="W223" s="1103">
        <f t="shared" si="202"/>
        <v>37.219973009446683</v>
      </c>
      <c r="X223" s="1103">
        <f t="shared" si="202"/>
        <v>3.3225593807812537</v>
      </c>
      <c r="Y223" s="1103">
        <f t="shared" si="202"/>
        <v>12.624641126169234</v>
      </c>
      <c r="Z223" s="1103">
        <f t="shared" si="202"/>
        <v>-0.78119646405809817</v>
      </c>
      <c r="AA223" s="1103">
        <f t="shared" si="202"/>
        <v>13.918548702718869</v>
      </c>
      <c r="AB223" s="1103">
        <f t="shared" si="202"/>
        <v>8.4227246639236419</v>
      </c>
      <c r="AC223" s="1103">
        <f t="shared" si="202"/>
        <v>6.6153966591240065</v>
      </c>
      <c r="AD223" s="1424">
        <f ca="1">OFFSET('VVP1'!$K$63,0,5*(COLUMN()-7))</f>
        <v>10.127499999999978</v>
      </c>
      <c r="AE223" s="1424">
        <f ca="1">OFFSET('VVP1'!$K$63,0,5*(COLUMN()-7))</f>
        <v>5.763000000000007</v>
      </c>
    </row>
    <row r="224" spans="1:94">
      <c r="A224" s="664"/>
      <c r="B224" s="664"/>
      <c r="C224" s="1107" t="s">
        <v>1769</v>
      </c>
      <c r="D224" s="1108"/>
      <c r="E224" s="1109" t="s">
        <v>1446</v>
      </c>
      <c r="F224" s="1108" t="s">
        <v>1534</v>
      </c>
      <c r="G224" s="1110"/>
      <c r="H224" s="1110">
        <f>(H211/G211-1)*100</f>
        <v>25.551571980143393</v>
      </c>
      <c r="I224" s="1110">
        <f t="shared" ref="I224:AC224" si="203">(I211/H211-1)*100</f>
        <v>15.178473366282287</v>
      </c>
      <c r="J224" s="1110">
        <f t="shared" si="203"/>
        <v>-8.4199485076761889</v>
      </c>
      <c r="K224" s="1110">
        <f t="shared" si="203"/>
        <v>-9.3710953769262755</v>
      </c>
      <c r="L224" s="1110">
        <f t="shared" si="203"/>
        <v>113.71783088235298</v>
      </c>
      <c r="M224" s="1110">
        <f t="shared" si="203"/>
        <v>13.315772497580891</v>
      </c>
      <c r="N224" s="1110">
        <f t="shared" si="203"/>
        <v>-3.7430618150766315</v>
      </c>
      <c r="O224" s="1110">
        <f t="shared" si="203"/>
        <v>13.085263676688053</v>
      </c>
      <c r="P224" s="1110">
        <f t="shared" si="203"/>
        <v>13.445195031597311</v>
      </c>
      <c r="Q224" s="1110">
        <f t="shared" si="203"/>
        <v>26.277372262773735</v>
      </c>
      <c r="R224" s="1110">
        <f t="shared" si="203"/>
        <v>31.308183754183116</v>
      </c>
      <c r="S224" s="1110">
        <f t="shared" si="203"/>
        <v>27.742638029702714</v>
      </c>
      <c r="T224" s="1110">
        <f t="shared" si="203"/>
        <v>19.405096581119086</v>
      </c>
      <c r="U224" s="1110">
        <f t="shared" si="203"/>
        <v>-17.156788285688229</v>
      </c>
      <c r="V224" s="1110">
        <f t="shared" si="203"/>
        <v>6.9766589046370342</v>
      </c>
      <c r="W224" s="1110">
        <f t="shared" si="203"/>
        <v>3.3045385986562481</v>
      </c>
      <c r="X224" s="1110">
        <f t="shared" si="203"/>
        <v>-4.1146801168038261</v>
      </c>
      <c r="Y224" s="1110">
        <f t="shared" si="203"/>
        <v>2.4899640088593467</v>
      </c>
      <c r="Z224" s="1110">
        <f t="shared" si="203"/>
        <v>11.004372710236222</v>
      </c>
      <c r="AA224" s="1110">
        <f t="shared" si="203"/>
        <v>14.575126617895329</v>
      </c>
      <c r="AB224" s="1110">
        <f t="shared" si="203"/>
        <v>12.371900387617462</v>
      </c>
      <c r="AC224" s="1110">
        <f t="shared" si="203"/>
        <v>8.9732079572839361</v>
      </c>
      <c r="AD224" s="1425">
        <f ca="1">OFFSET('VVP1'!$K$64,0,5*(COLUMN()-7))</f>
        <v>7.2620000000000129</v>
      </c>
      <c r="AE224" s="1425">
        <f ca="1">OFFSET('VVP1'!$K$64,0,5*(COLUMN()-7))</f>
        <v>5.5449999999999777</v>
      </c>
    </row>
    <row r="225" spans="1:94" ht="12.75" customHeight="1">
      <c r="A225" s="1130"/>
      <c r="B225" s="1130"/>
      <c r="C225" s="1083" t="s">
        <v>1448</v>
      </c>
      <c r="D225" s="1097"/>
      <c r="E225" s="1098" t="s">
        <v>376</v>
      </c>
      <c r="F225" s="1097" t="s">
        <v>1884</v>
      </c>
      <c r="G225" s="1099"/>
      <c r="H225" s="1099">
        <f>(H212/G212-1)*100</f>
        <v>26.410452622325664</v>
      </c>
      <c r="I225" s="1099">
        <f t="shared" ref="I225:AC225" si="204">(I212/H212-1)*100</f>
        <v>31.212603309919771</v>
      </c>
      <c r="J225" s="1099">
        <f t="shared" si="204"/>
        <v>18.583689514361001</v>
      </c>
      <c r="K225" s="1099">
        <f t="shared" si="204"/>
        <v>-10.282849913026137</v>
      </c>
      <c r="L225" s="1099">
        <f t="shared" si="204"/>
        <v>-8.3728747957223622</v>
      </c>
      <c r="M225" s="1099">
        <f t="shared" si="204"/>
        <v>13.898830128017092</v>
      </c>
      <c r="N225" s="1099">
        <f t="shared" si="204"/>
        <v>8.0307962802708808</v>
      </c>
      <c r="O225" s="1099">
        <f t="shared" si="204"/>
        <v>14.125687402651078</v>
      </c>
      <c r="P225" s="1099">
        <f t="shared" si="204"/>
        <v>16.314047929409405</v>
      </c>
      <c r="Q225" s="1099">
        <f t="shared" si="204"/>
        <v>17.609674329501914</v>
      </c>
      <c r="R225" s="1099">
        <f t="shared" si="204"/>
        <v>27.110913836844208</v>
      </c>
      <c r="S225" s="1099">
        <f t="shared" si="204"/>
        <v>32.929728171202477</v>
      </c>
      <c r="T225" s="1099">
        <f t="shared" si="204"/>
        <v>2.5865590510286696</v>
      </c>
      <c r="U225" s="1099">
        <f t="shared" si="204"/>
        <v>-43.49419497916206</v>
      </c>
      <c r="V225" s="1099">
        <f t="shared" si="204"/>
        <v>-1.750746281067328</v>
      </c>
      <c r="W225" s="1099">
        <f t="shared" si="204"/>
        <v>22.317880794701985</v>
      </c>
      <c r="X225" s="1099">
        <f t="shared" si="204"/>
        <v>0.11970019598313009</v>
      </c>
      <c r="Y225" s="1099">
        <f t="shared" si="204"/>
        <v>11.521191147938081</v>
      </c>
      <c r="Z225" s="1099">
        <f t="shared" si="204"/>
        <v>6.9809198621817892</v>
      </c>
      <c r="AA225" s="1099">
        <f t="shared" si="204"/>
        <v>6.0782073393778058</v>
      </c>
      <c r="AB225" s="1099">
        <f t="shared" si="204"/>
        <v>-0.15043916769735821</v>
      </c>
      <c r="AC225" s="1099">
        <f t="shared" si="204"/>
        <v>7.7409696207377587</v>
      </c>
      <c r="AD225" s="1426">
        <f ca="1">OFFSET('VVP1'!$K$65,0,5*(COLUMN()-7))</f>
        <v>9.2905093903981495</v>
      </c>
      <c r="AE225" s="1426">
        <f ca="1">OFFSET('VVP1'!$K$65,0,5*(COLUMN()-7))</f>
        <v>6.6401309849669188</v>
      </c>
    </row>
    <row r="226" spans="1:94">
      <c r="AB226" s="557"/>
      <c r="AC226" s="557"/>
      <c r="AD226" s="557"/>
      <c r="AE226" s="557"/>
    </row>
    <row r="227" spans="1:94">
      <c r="A227" s="1130"/>
      <c r="B227" s="1130"/>
      <c r="D227" s="1074"/>
      <c r="E227" s="1075" t="s">
        <v>1276</v>
      </c>
      <c r="F227" s="1076"/>
      <c r="G227" s="698">
        <f>+InputY!$G$3</f>
        <v>1995</v>
      </c>
      <c r="H227" s="698">
        <f>+G227+1</f>
        <v>1996</v>
      </c>
      <c r="I227" s="698">
        <f t="shared" ref="I227:O227" si="205">+H227+1</f>
        <v>1997</v>
      </c>
      <c r="J227" s="698">
        <f t="shared" si="205"/>
        <v>1998</v>
      </c>
      <c r="K227" s="698">
        <f t="shared" si="205"/>
        <v>1999</v>
      </c>
      <c r="L227" s="698">
        <f t="shared" si="205"/>
        <v>2000</v>
      </c>
      <c r="M227" s="698">
        <f t="shared" si="205"/>
        <v>2001</v>
      </c>
      <c r="N227" s="698">
        <f t="shared" si="205"/>
        <v>2002</v>
      </c>
      <c r="O227" s="698">
        <f t="shared" si="205"/>
        <v>2003</v>
      </c>
      <c r="P227" s="698">
        <f t="shared" ref="P227:V227" si="206">+O227+1</f>
        <v>2004</v>
      </c>
      <c r="Q227" s="698">
        <f t="shared" si="206"/>
        <v>2005</v>
      </c>
      <c r="R227" s="698">
        <f t="shared" si="206"/>
        <v>2006</v>
      </c>
      <c r="S227" s="698">
        <f>+R227+1</f>
        <v>2007</v>
      </c>
      <c r="T227" s="698">
        <f t="shared" si="206"/>
        <v>2008</v>
      </c>
      <c r="U227" s="698">
        <f t="shared" si="206"/>
        <v>2009</v>
      </c>
      <c r="V227" s="698">
        <f t="shared" si="206"/>
        <v>2010</v>
      </c>
      <c r="W227" s="698">
        <f t="shared" ref="W227:AE227" si="207">+V227+1</f>
        <v>2011</v>
      </c>
      <c r="X227" s="698">
        <f t="shared" si="207"/>
        <v>2012</v>
      </c>
      <c r="Y227" s="698">
        <f t="shared" si="207"/>
        <v>2013</v>
      </c>
      <c r="Z227" s="698">
        <f t="shared" si="207"/>
        <v>2014</v>
      </c>
      <c r="AA227" s="698">
        <f t="shared" si="207"/>
        <v>2015</v>
      </c>
      <c r="AB227" s="698">
        <f t="shared" si="207"/>
        <v>2016</v>
      </c>
      <c r="AC227" s="698">
        <f t="shared" si="207"/>
        <v>2017</v>
      </c>
      <c r="AD227" s="698">
        <f t="shared" si="207"/>
        <v>2018</v>
      </c>
      <c r="AE227" s="698">
        <f t="shared" si="207"/>
        <v>2019</v>
      </c>
    </row>
    <row r="228" spans="1:94">
      <c r="A228" s="664">
        <f>+ROW(InputY!A206)</f>
        <v>206</v>
      </c>
      <c r="B228" s="1130" t="s">
        <v>675</v>
      </c>
      <c r="C228" s="1079" t="s">
        <v>1767</v>
      </c>
      <c r="D228" s="1058" t="s">
        <v>685</v>
      </c>
      <c r="E228" s="1038" t="s">
        <v>376</v>
      </c>
      <c r="F228" s="1058" t="s">
        <v>428</v>
      </c>
      <c r="G228" s="1084">
        <f>+InputY!G206/1000</f>
        <v>0.29872000000000004</v>
      </c>
      <c r="H228" s="1084">
        <f>+InputY!H206/1000</f>
        <v>0.31448999999999999</v>
      </c>
      <c r="I228" s="1084">
        <f>+InputY!I206/1000</f>
        <v>0.42637000000000003</v>
      </c>
      <c r="J228" s="1084">
        <f>+InputY!J206/1000</f>
        <v>0.58422000000000007</v>
      </c>
      <c r="K228" s="1084">
        <f>+InputY!K206/1000</f>
        <v>0.43416000000000005</v>
      </c>
      <c r="L228" s="1084">
        <f>+InputY!L206/1000</f>
        <v>0.48319000000000001</v>
      </c>
      <c r="M228" s="1084">
        <f>+InputY!M206/1000</f>
        <v>0.53537000000000001</v>
      </c>
      <c r="N228" s="1084">
        <f>+InputY!N206/1000</f>
        <v>0.53712000000000004</v>
      </c>
      <c r="O228" s="1084">
        <f>+InputY!O206/1000</f>
        <v>0.68988000000000005</v>
      </c>
      <c r="P228" s="1084">
        <f>+InputY!P206/1000</f>
        <v>0.79324000000000006</v>
      </c>
      <c r="Q228" s="1084">
        <f>+InputY!Q206/1000</f>
        <v>0.83965000000000001</v>
      </c>
      <c r="R228" s="1084">
        <f>+InputY!R206/1000</f>
        <v>0.87766999999999995</v>
      </c>
      <c r="S228" s="1084">
        <f>+InputY!S206/1000</f>
        <v>1.0825199999999999</v>
      </c>
      <c r="T228" s="1084">
        <f>+InputY!T206/1000</f>
        <v>1.27919</v>
      </c>
      <c r="U228" s="3160">
        <f>+InputY!U206/1000</f>
        <v>0.95716000000000001</v>
      </c>
      <c r="V228" s="3160">
        <f>+InputY!V206/1000</f>
        <v>0.92220000000000002</v>
      </c>
      <c r="W228" s="3160">
        <f>+InputY!W206/1000</f>
        <v>1.04375</v>
      </c>
      <c r="X228" s="3160">
        <f>+InputY!X206/1000</f>
        <v>1.00299</v>
      </c>
      <c r="Y228" s="3160">
        <f>+InputY!Y206/1000</f>
        <v>1.2413599999999998</v>
      </c>
      <c r="Z228" s="3160">
        <f>+InputY!Z206/1000</f>
        <v>1.37171</v>
      </c>
      <c r="AA228" s="3160">
        <f>+InputY!AA206/1000</f>
        <v>1.56351</v>
      </c>
      <c r="AB228" s="3160">
        <f>+InputY!AB206/1000</f>
        <v>1.7422800000000001</v>
      </c>
      <c r="AC228" s="3718">
        <f t="shared" ref="AC228:AE229" ca="1" si="208">+AB228*(1+AC235/100)</f>
        <v>1.8032598</v>
      </c>
      <c r="AD228" s="3718">
        <f t="shared" ca="1" si="208"/>
        <v>1.8663738929999998</v>
      </c>
      <c r="AE228" s="3718">
        <f t="shared" ca="1" si="208"/>
        <v>1.9316969792549996</v>
      </c>
    </row>
    <row r="229" spans="1:94">
      <c r="A229" s="664">
        <f>+ROW(InputY!A171)</f>
        <v>171</v>
      </c>
      <c r="B229" s="664">
        <v>126</v>
      </c>
      <c r="C229" s="1080" t="s">
        <v>1767</v>
      </c>
      <c r="D229" s="3" t="s">
        <v>687</v>
      </c>
      <c r="E229" s="29" t="s">
        <v>376</v>
      </c>
      <c r="F229" s="3" t="s">
        <v>1176</v>
      </c>
      <c r="G229" s="1062">
        <f>+InputY!G171/1000</f>
        <v>0.25098999999999999</v>
      </c>
      <c r="H229" s="1062">
        <f>+InputY!H171/1000</f>
        <v>0.23119000000000001</v>
      </c>
      <c r="I229" s="1062">
        <f>+InputY!I171/1000</f>
        <v>0.26547000000000004</v>
      </c>
      <c r="J229" s="1062">
        <f>+InputY!J171/1000</f>
        <v>0.32951999999999998</v>
      </c>
      <c r="K229" s="1062">
        <f>+InputY!K171/1000</f>
        <v>0.32613999999999999</v>
      </c>
      <c r="L229" s="1062">
        <f>+InputY!L171/1000</f>
        <v>0.32395999999999997</v>
      </c>
      <c r="M229" s="1062">
        <f>+InputY!M171/1000</f>
        <v>0.32343</v>
      </c>
      <c r="N229" s="1062">
        <f>+InputY!N171/1000</f>
        <v>0.45168000000000003</v>
      </c>
      <c r="O229" s="1062">
        <f>+InputY!O171/1000</f>
        <v>0.51299000000000006</v>
      </c>
      <c r="P229" s="1062">
        <f>+InputY!P171/1000</f>
        <v>0.65776999999999997</v>
      </c>
      <c r="Q229" s="1062">
        <f>+InputY!Q171/1000</f>
        <v>0.75748000000000004</v>
      </c>
      <c r="R229" s="1062">
        <f>+InputY!R171/1000</f>
        <v>1.0293299999999999</v>
      </c>
      <c r="S229" s="1062">
        <f>+InputY!S171/1000</f>
        <v>1.57236</v>
      </c>
      <c r="T229" s="1062">
        <f>+InputY!T171/1000</f>
        <v>1.75915</v>
      </c>
      <c r="U229" s="1062">
        <f>+InputY!U171/1000</f>
        <v>1.1892</v>
      </c>
      <c r="V229" s="1956">
        <f>+InputY!V171/1000</f>
        <v>1.39093</v>
      </c>
      <c r="W229" s="1062">
        <f>+InputY!W171/1000</f>
        <v>1.47923</v>
      </c>
      <c r="X229" s="1062">
        <f>+InputY!X171/1000</f>
        <v>1.32633</v>
      </c>
      <c r="Y229" s="1956">
        <f>+InputY!Y171/1000</f>
        <v>1.30948</v>
      </c>
      <c r="Z229" s="1956">
        <f>+InputY!Z171/1000</f>
        <v>1.28298</v>
      </c>
      <c r="AA229" s="1956">
        <f>+InputY!AA171/1000</f>
        <v>1.3745099999999999</v>
      </c>
      <c r="AB229" s="1956">
        <f>+InputY!AB171/1000</f>
        <v>1.1535899999999999</v>
      </c>
      <c r="AC229" s="3719">
        <f t="shared" ca="1" si="208"/>
        <v>1.2369138056999998</v>
      </c>
      <c r="AD229" s="3719">
        <f t="shared" ca="1" si="208"/>
        <v>1.3547941652108211</v>
      </c>
      <c r="AE229" s="3719">
        <f t="shared" ca="1" si="208"/>
        <v>1.4582326997246671</v>
      </c>
    </row>
    <row r="230" spans="1:94">
      <c r="A230" s="664">
        <f>+ROW(InputY!A133)</f>
        <v>133</v>
      </c>
      <c r="B230" s="1130" t="s">
        <v>676</v>
      </c>
      <c r="C230" s="1081" t="s">
        <v>1767</v>
      </c>
      <c r="D230" s="1077" t="s">
        <v>686</v>
      </c>
      <c r="E230" s="1039" t="s">
        <v>376</v>
      </c>
      <c r="F230" s="1077" t="s">
        <v>1558</v>
      </c>
      <c r="G230" s="1085">
        <f>+InputY!G133/1000</f>
        <v>1.0315099999999999</v>
      </c>
      <c r="H230" s="1085">
        <f>+InputY!H133/1000</f>
        <v>1.45316</v>
      </c>
      <c r="I230" s="1085">
        <f>+InputY!I133/1000</f>
        <v>1.9308800000000002</v>
      </c>
      <c r="J230" s="1085">
        <f>+InputY!J133/1000</f>
        <v>2.1963900000000001</v>
      </c>
      <c r="K230" s="1085">
        <f>+InputY!K133/1000</f>
        <v>2.0300199999999999</v>
      </c>
      <c r="L230" s="1085">
        <f>+InputY!L133/1000</f>
        <v>1.7495399999999999</v>
      </c>
      <c r="M230" s="1085">
        <f>+InputY!M133/1000</f>
        <v>2.0532399999999997</v>
      </c>
      <c r="N230" s="1085">
        <f>+InputY!N133/1000</f>
        <v>2.1570999999999998</v>
      </c>
      <c r="O230" s="1085">
        <f>+InputY!O133/1000</f>
        <v>2.38741</v>
      </c>
      <c r="P230" s="1085">
        <f>+InputY!P133/1000</f>
        <v>2.7249899999999996</v>
      </c>
      <c r="Q230" s="1085">
        <f>+InputY!Q133/1000</f>
        <v>3.3142499999999999</v>
      </c>
      <c r="R230" s="1085">
        <f>+InputY!R133/1000</f>
        <v>4.3358999999999996</v>
      </c>
      <c r="S230" s="1085">
        <f>+InputY!S133/1000</f>
        <v>5.6438000000000006</v>
      </c>
      <c r="T230" s="1085">
        <f>+InputY!T133/1000</f>
        <v>5.4749799999999995</v>
      </c>
      <c r="U230" s="3161">
        <f>+InputY!U133/1000</f>
        <v>2.6641699999999999</v>
      </c>
      <c r="V230" s="3161">
        <f>+InputY!V133/1000</f>
        <v>2.41317</v>
      </c>
      <c r="W230" s="3161">
        <f>+InputY!W133/1000</f>
        <v>3.25813</v>
      </c>
      <c r="X230" s="3161">
        <f>+InputY!X133/1000</f>
        <v>3.45871</v>
      </c>
      <c r="Y230" s="3715">
        <f>+InputY!Y133/1000</f>
        <v>3.9040300000000001</v>
      </c>
      <c r="Z230" s="3715">
        <f>+InputY!Z133/1000</f>
        <v>4.2507999999999999</v>
      </c>
      <c r="AA230" s="3715">
        <f>+InputY!AA133/1000</f>
        <v>4.3872</v>
      </c>
      <c r="AB230" s="3715">
        <f>+InputY!AB133/1000</f>
        <v>4.4183300000000001</v>
      </c>
      <c r="AC230" s="3720">
        <f ca="1">+AB230*(1+AC237/100)</f>
        <v>4.8402273491796706</v>
      </c>
      <c r="AD230" s="3720">
        <f ca="1">+AC230*(1+AD237/100)</f>
        <v>5.3913625170022881</v>
      </c>
      <c r="AE230" s="3720">
        <f ca="1">+AD230*(1+AE237/100)</f>
        <v>5.7944843096866441</v>
      </c>
      <c r="AF230" s="3655"/>
    </row>
    <row r="231" spans="1:94">
      <c r="A231" s="664"/>
      <c r="B231" s="664"/>
      <c r="C231" s="694" t="s">
        <v>1769</v>
      </c>
      <c r="D231" s="1055"/>
      <c r="E231" s="1056" t="s">
        <v>376</v>
      </c>
      <c r="F231" s="1055" t="s">
        <v>1884</v>
      </c>
      <c r="G231" s="1057">
        <f>+G212</f>
        <v>1.5812299999999999</v>
      </c>
      <c r="H231" s="1057">
        <f t="shared" ref="H231:R231" si="209">+H212</f>
        <v>1.99884</v>
      </c>
      <c r="I231" s="1057">
        <f t="shared" si="209"/>
        <v>2.6227300000000002</v>
      </c>
      <c r="J231" s="1057">
        <f t="shared" si="209"/>
        <v>3.1101300000000003</v>
      </c>
      <c r="K231" s="1057">
        <f t="shared" si="209"/>
        <v>2.7903200000000004</v>
      </c>
      <c r="L231" s="1057">
        <f t="shared" si="209"/>
        <v>2.5566900000000001</v>
      </c>
      <c r="M231" s="1057">
        <f t="shared" si="209"/>
        <v>2.9120400000000002</v>
      </c>
      <c r="N231" s="1057">
        <f t="shared" si="209"/>
        <v>3.1459000000000001</v>
      </c>
      <c r="O231" s="1057">
        <f t="shared" si="209"/>
        <v>3.5902800000000004</v>
      </c>
      <c r="P231" s="1057">
        <f t="shared" si="209"/>
        <v>4.1760000000000002</v>
      </c>
      <c r="Q231" s="1057">
        <f>+Q212</f>
        <v>4.9113800000000003</v>
      </c>
      <c r="R231" s="1057">
        <f t="shared" si="209"/>
        <v>6.2428999999999997</v>
      </c>
      <c r="S231" s="1057">
        <f t="shared" ref="S231:X231" si="210">+S212</f>
        <v>8.2986699999999995</v>
      </c>
      <c r="T231" s="1057">
        <f t="shared" si="210"/>
        <v>8.5133200000000002</v>
      </c>
      <c r="U231" s="1057">
        <f t="shared" si="210"/>
        <v>4.8105200000000004</v>
      </c>
      <c r="V231" s="1057">
        <f>+V212</f>
        <v>4.7263000000000002</v>
      </c>
      <c r="W231" s="1057">
        <f>+W212</f>
        <v>5.78111</v>
      </c>
      <c r="X231" s="3398">
        <f t="shared" si="210"/>
        <v>5.78803</v>
      </c>
      <c r="Y231" s="3714">
        <f t="shared" ref="Y231:AD231" si="211">+Y212</f>
        <v>6.4548800000000002</v>
      </c>
      <c r="Z231" s="3398">
        <f t="shared" si="211"/>
        <v>6.9054899999999995</v>
      </c>
      <c r="AA231" s="3705">
        <f t="shared" si="211"/>
        <v>7.3252199999999998</v>
      </c>
      <c r="AB231" s="3705">
        <f t="shared" si="211"/>
        <v>7.3141999999999996</v>
      </c>
      <c r="AC231" s="3725">
        <f t="shared" si="211"/>
        <v>7.8803900000000002</v>
      </c>
      <c r="AD231" s="2302">
        <f t="shared" ca="1" si="211"/>
        <v>8.6125183729499977</v>
      </c>
      <c r="AE231" s="2302">
        <f t="shared" ref="AE231" ca="1" si="212">+AE212</f>
        <v>9.1844008740182197</v>
      </c>
      <c r="AG231" s="3700"/>
      <c r="AH231" s="3700"/>
      <c r="AI231" s="3700"/>
      <c r="AJ231" s="3700"/>
    </row>
    <row r="232" spans="1:94" s="699" customFormat="1" ht="12.75" customHeight="1">
      <c r="A232" s="664"/>
      <c r="B232" s="664"/>
      <c r="C232" s="774"/>
      <c r="D232" s="1973"/>
      <c r="E232" s="1973" t="s">
        <v>737</v>
      </c>
      <c r="F232" s="1973"/>
      <c r="G232" s="1002">
        <f>ABS(G231-G230-G229-G228)</f>
        <v>9.9999999999544897E-6</v>
      </c>
      <c r="H232" s="1002">
        <f t="shared" ref="H232:Y232" si="213">ABS(H231-H230-H229-H228)</f>
        <v>5.5511151231257827E-17</v>
      </c>
      <c r="I232" s="1002">
        <f t="shared" si="213"/>
        <v>1.0000000000010001E-5</v>
      </c>
      <c r="J232" s="1002">
        <f t="shared" si="213"/>
        <v>1.1102230246251565E-16</v>
      </c>
      <c r="K232" s="1002">
        <f t="shared" si="213"/>
        <v>3.8857805861880479E-16</v>
      </c>
      <c r="L232" s="1002">
        <f t="shared" si="213"/>
        <v>2.7755575615628914E-16</v>
      </c>
      <c r="M232" s="1002">
        <f t="shared" si="213"/>
        <v>4.4408920985006262E-16</v>
      </c>
      <c r="N232" s="1002">
        <f t="shared" si="213"/>
        <v>2.2204460492503131E-16</v>
      </c>
      <c r="O232" s="1002">
        <f t="shared" si="213"/>
        <v>2.2204460492503131E-16</v>
      </c>
      <c r="P232" s="1002">
        <f t="shared" si="213"/>
        <v>5.5511151231257827E-16</v>
      </c>
      <c r="Q232" s="1002">
        <f t="shared" si="213"/>
        <v>3.3306690738754696E-16</v>
      </c>
      <c r="R232" s="1002">
        <f>ABS(R231-R230-R229-R228)</f>
        <v>2.2204460492503131E-16</v>
      </c>
      <c r="S232" s="1002">
        <f t="shared" si="213"/>
        <v>1.000000000095369E-5</v>
      </c>
      <c r="T232" s="2906">
        <f t="shared" si="213"/>
        <v>6.6613381477509392E-16</v>
      </c>
      <c r="U232" s="2906">
        <f>ABS(U231-U230-U229-U228)</f>
        <v>9.9999999996214228E-6</v>
      </c>
      <c r="V232" s="3192">
        <f>ABS(V231-V230-V229-V228)</f>
        <v>1.1102230246251565E-16</v>
      </c>
      <c r="W232" s="3146">
        <f t="shared" si="213"/>
        <v>0</v>
      </c>
      <c r="X232" s="3146">
        <f t="shared" si="213"/>
        <v>0</v>
      </c>
      <c r="Y232" s="3146">
        <f t="shared" si="213"/>
        <v>1.0000000000287557E-5</v>
      </c>
      <c r="Z232" s="3146">
        <f t="shared" ref="Z232:AE232" si="214">ABS(Z231-Z230-Z229-Z228)</f>
        <v>4.4408920985006262E-16</v>
      </c>
      <c r="AA232" s="3146">
        <f t="shared" si="214"/>
        <v>0</v>
      </c>
      <c r="AB232" s="3146">
        <f t="shared" si="214"/>
        <v>4.4408920985006262E-16</v>
      </c>
      <c r="AC232" s="3146">
        <f t="shared" ca="1" si="214"/>
        <v>1.0954879670066475E-5</v>
      </c>
      <c r="AD232" s="3146">
        <f t="shared" ca="1" si="214"/>
        <v>1.2202263111271705E-5</v>
      </c>
      <c r="AE232" s="3146">
        <f t="shared" ca="1" si="214"/>
        <v>1.3114648091061554E-5</v>
      </c>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row>
    <row r="233" spans="1:94">
      <c r="U233" s="3162"/>
      <c r="V233" s="3056"/>
      <c r="AB233" s="557"/>
      <c r="AC233" s="557"/>
      <c r="AD233" s="557"/>
      <c r="AE233" s="557"/>
    </row>
    <row r="234" spans="1:94" s="699" customFormat="1" ht="12.75" customHeight="1">
      <c r="A234" s="664"/>
      <c r="B234" s="664"/>
      <c r="C234" s="774"/>
      <c r="D234" s="1092"/>
      <c r="E234" s="1093" t="s">
        <v>1276</v>
      </c>
      <c r="F234" s="1094"/>
      <c r="G234" s="896">
        <f>+InputY!$G$3</f>
        <v>1995</v>
      </c>
      <c r="H234" s="896">
        <f>+G234+1</f>
        <v>1996</v>
      </c>
      <c r="I234" s="896">
        <f t="shared" ref="I234:O234" si="215">+H234+1</f>
        <v>1997</v>
      </c>
      <c r="J234" s="896">
        <f t="shared" si="215"/>
        <v>1998</v>
      </c>
      <c r="K234" s="896">
        <f t="shared" si="215"/>
        <v>1999</v>
      </c>
      <c r="L234" s="896">
        <f t="shared" si="215"/>
        <v>2000</v>
      </c>
      <c r="M234" s="896">
        <f t="shared" si="215"/>
        <v>2001</v>
      </c>
      <c r="N234" s="896">
        <f t="shared" si="215"/>
        <v>2002</v>
      </c>
      <c r="O234" s="896">
        <f t="shared" si="215"/>
        <v>2003</v>
      </c>
      <c r="P234" s="896">
        <f t="shared" ref="P234:V234" si="216">+O234+1</f>
        <v>2004</v>
      </c>
      <c r="Q234" s="896">
        <f t="shared" si="216"/>
        <v>2005</v>
      </c>
      <c r="R234" s="896">
        <f t="shared" si="216"/>
        <v>2006</v>
      </c>
      <c r="S234" s="896">
        <f>+R234+1</f>
        <v>2007</v>
      </c>
      <c r="T234" s="896">
        <f t="shared" si="216"/>
        <v>2008</v>
      </c>
      <c r="U234" s="896">
        <f t="shared" si="216"/>
        <v>2009</v>
      </c>
      <c r="V234" s="896">
        <f t="shared" si="216"/>
        <v>2010</v>
      </c>
      <c r="W234" s="896">
        <f t="shared" ref="W234:AE234" si="217">+V234+1</f>
        <v>2011</v>
      </c>
      <c r="X234" s="896">
        <f t="shared" si="217"/>
        <v>2012</v>
      </c>
      <c r="Y234" s="896">
        <f t="shared" si="217"/>
        <v>2013</v>
      </c>
      <c r="Z234" s="896">
        <f t="shared" si="217"/>
        <v>2014</v>
      </c>
      <c r="AA234" s="896">
        <f t="shared" si="217"/>
        <v>2015</v>
      </c>
      <c r="AB234" s="896">
        <f t="shared" si="217"/>
        <v>2016</v>
      </c>
      <c r="AC234" s="896">
        <f t="shared" si="217"/>
        <v>2017</v>
      </c>
      <c r="AD234" s="896">
        <f t="shared" si="217"/>
        <v>2018</v>
      </c>
      <c r="AE234" s="896">
        <f t="shared" si="217"/>
        <v>2019</v>
      </c>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row>
    <row r="235" spans="1:94" s="699" customFormat="1" ht="12.75" customHeight="1">
      <c r="A235" s="664"/>
      <c r="B235" s="664"/>
      <c r="C235" s="794" t="s">
        <v>1767</v>
      </c>
      <c r="D235" s="689" t="s">
        <v>685</v>
      </c>
      <c r="E235" s="738" t="s">
        <v>376</v>
      </c>
      <c r="F235" s="733" t="s">
        <v>428</v>
      </c>
      <c r="G235" s="1095"/>
      <c r="H235" s="1095">
        <f>+(H228/G228-1)*100</f>
        <v>5.2791912158542953</v>
      </c>
      <c r="I235" s="1095">
        <f t="shared" ref="I235:T235" si="218">+(I228/H228-1)*100</f>
        <v>35.575058030462039</v>
      </c>
      <c r="J235" s="1095">
        <f t="shared" si="218"/>
        <v>37.021835494992629</v>
      </c>
      <c r="K235" s="1095">
        <f t="shared" si="218"/>
        <v>-25.685529423847186</v>
      </c>
      <c r="L235" s="1095">
        <f t="shared" si="218"/>
        <v>11.293071678643818</v>
      </c>
      <c r="M235" s="1095">
        <f t="shared" si="218"/>
        <v>10.79906455017694</v>
      </c>
      <c r="N235" s="1095">
        <f t="shared" si="218"/>
        <v>0.32687673945122064</v>
      </c>
      <c r="O235" s="1095">
        <f t="shared" si="218"/>
        <v>28.440571939231461</v>
      </c>
      <c r="P235" s="1095">
        <f t="shared" si="218"/>
        <v>14.982315765060594</v>
      </c>
      <c r="Q235" s="1095">
        <f t="shared" si="218"/>
        <v>5.8506883162724899</v>
      </c>
      <c r="R235" s="1095">
        <f t="shared" si="218"/>
        <v>4.5280771750134008</v>
      </c>
      <c r="S235" s="1095">
        <f t="shared" si="218"/>
        <v>23.340207595109774</v>
      </c>
      <c r="T235" s="1095">
        <f t="shared" si="218"/>
        <v>18.167793666629727</v>
      </c>
      <c r="U235" s="1095">
        <f t="shared" ref="U235:AB235" si="219">+(U228/T228-1)*100</f>
        <v>-25.174524503787556</v>
      </c>
      <c r="V235" s="1095">
        <f t="shared" si="219"/>
        <v>-3.6524718960257441</v>
      </c>
      <c r="W235" s="1095">
        <f t="shared" si="219"/>
        <v>13.18043808284537</v>
      </c>
      <c r="X235" s="1095">
        <f t="shared" si="219"/>
        <v>-3.9051497005987978</v>
      </c>
      <c r="Y235" s="3709">
        <f t="shared" si="219"/>
        <v>23.765939839878737</v>
      </c>
      <c r="Z235" s="1095">
        <f t="shared" si="219"/>
        <v>10.500580009022386</v>
      </c>
      <c r="AA235" s="1095">
        <f t="shared" si="219"/>
        <v>13.982547331433025</v>
      </c>
      <c r="AB235" s="1095">
        <f t="shared" si="219"/>
        <v>11.433889134063758</v>
      </c>
      <c r="AC235" s="1421">
        <f ca="1">OFFSET('VVP1'!$K$72,0,5*(COLUMN()-7))</f>
        <v>3.5</v>
      </c>
      <c r="AD235" s="1421">
        <f ca="1">OFFSET('VVP1'!$K$72,0,5*(COLUMN()-7))</f>
        <v>3.5</v>
      </c>
      <c r="AE235" s="1421">
        <f ca="1">OFFSET('VVP1'!$K$72,0,5*(COLUMN()-7))</f>
        <v>3.5</v>
      </c>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row>
    <row r="236" spans="1:94" s="699" customFormat="1" ht="12.75" customHeight="1">
      <c r="A236" s="664"/>
      <c r="B236" s="664"/>
      <c r="C236" s="795" t="s">
        <v>1767</v>
      </c>
      <c r="D236" s="3" t="s">
        <v>687</v>
      </c>
      <c r="E236" s="29" t="s">
        <v>376</v>
      </c>
      <c r="F236" s="704" t="s">
        <v>1176</v>
      </c>
      <c r="G236" s="1044"/>
      <c r="H236" s="1044">
        <f>+(H229/G229-1)*100</f>
        <v>-7.8887605083867829</v>
      </c>
      <c r="I236" s="1044">
        <f t="shared" ref="I236:AB237" si="220">+(I229/H229-1)*100</f>
        <v>14.827630952895898</v>
      </c>
      <c r="J236" s="1044">
        <f t="shared" si="220"/>
        <v>24.127020002260124</v>
      </c>
      <c r="K236" s="1044">
        <f t="shared" si="220"/>
        <v>-1.0257344015537684</v>
      </c>
      <c r="L236" s="1044">
        <f t="shared" si="220"/>
        <v>-0.66842460293126127</v>
      </c>
      <c r="M236" s="1044">
        <f t="shared" si="220"/>
        <v>-0.16360044449931221</v>
      </c>
      <c r="N236" s="1044">
        <f t="shared" si="220"/>
        <v>39.653093405064467</v>
      </c>
      <c r="O236" s="1044">
        <f t="shared" si="220"/>
        <v>13.573769040028338</v>
      </c>
      <c r="P236" s="1044">
        <f t="shared" si="220"/>
        <v>28.222772373730454</v>
      </c>
      <c r="Q236" s="1044">
        <f t="shared" si="220"/>
        <v>15.158794107362761</v>
      </c>
      <c r="R236" s="1044">
        <f t="shared" si="220"/>
        <v>35.888736336272878</v>
      </c>
      <c r="S236" s="1044">
        <f t="shared" si="220"/>
        <v>52.75567602226694</v>
      </c>
      <c r="T236" s="1044">
        <f t="shared" si="220"/>
        <v>11.879595003688713</v>
      </c>
      <c r="U236" s="1044">
        <f t="shared" si="220"/>
        <v>-32.399170053719132</v>
      </c>
      <c r="V236" s="1044">
        <f t="shared" si="220"/>
        <v>16.963504877228374</v>
      </c>
      <c r="W236" s="1044">
        <f t="shared" si="220"/>
        <v>6.3482705815533613</v>
      </c>
      <c r="X236" s="1044">
        <f t="shared" si="220"/>
        <v>-10.336458833311923</v>
      </c>
      <c r="Y236" s="3710">
        <f t="shared" si="220"/>
        <v>-1.2704228962626241</v>
      </c>
      <c r="Z236" s="1044">
        <f t="shared" si="220"/>
        <v>-2.0237040657360095</v>
      </c>
      <c r="AA236" s="1044">
        <f t="shared" si="220"/>
        <v>7.1341720057989999</v>
      </c>
      <c r="AB236" s="1044">
        <f t="shared" si="220"/>
        <v>-16.072636794203021</v>
      </c>
      <c r="AC236" s="1410">
        <f ca="1">OFFSET('VVP1'!$K$71,0,5*(COLUMN()-7))</f>
        <v>7.2229999999999794</v>
      </c>
      <c r="AD236" s="1410">
        <f ca="1">OFFSET('VVP1'!$K$71,0,5*(COLUMN()-7))</f>
        <v>9.5302000000000007</v>
      </c>
      <c r="AE236" s="1410">
        <f ca="1">OFFSET('VVP1'!$K$71,0,5*(COLUMN()-7))</f>
        <v>7.6349999999999918</v>
      </c>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row>
    <row r="237" spans="1:94" s="699" customFormat="1" ht="12.75" customHeight="1">
      <c r="A237" s="664"/>
      <c r="B237" s="664"/>
      <c r="C237" s="796" t="s">
        <v>1767</v>
      </c>
      <c r="D237" s="691" t="s">
        <v>686</v>
      </c>
      <c r="E237" s="797" t="s">
        <v>376</v>
      </c>
      <c r="F237" s="736" t="s">
        <v>1558</v>
      </c>
      <c r="G237" s="1096"/>
      <c r="H237" s="1096">
        <f>+(H230/G230-1)*100</f>
        <v>40.876966776861124</v>
      </c>
      <c r="I237" s="1096">
        <f t="shared" ref="I237:S237" si="221">+(I230/H230-1)*100</f>
        <v>32.87456302127778</v>
      </c>
      <c r="J237" s="1096">
        <f t="shared" si="221"/>
        <v>13.750725058004631</v>
      </c>
      <c r="K237" s="1096">
        <f t="shared" si="221"/>
        <v>-7.5747021248503295</v>
      </c>
      <c r="L237" s="1096">
        <f t="shared" si="221"/>
        <v>-13.816612644210402</v>
      </c>
      <c r="M237" s="1096">
        <f t="shared" si="221"/>
        <v>17.358848611635057</v>
      </c>
      <c r="N237" s="1096">
        <f t="shared" si="221"/>
        <v>5.0583468079717919</v>
      </c>
      <c r="O237" s="1096">
        <f t="shared" si="221"/>
        <v>10.676834639098809</v>
      </c>
      <c r="P237" s="1096">
        <f t="shared" si="221"/>
        <v>14.140009466325409</v>
      </c>
      <c r="Q237" s="1096">
        <f t="shared" si="221"/>
        <v>21.62429953871392</v>
      </c>
      <c r="R237" s="1096">
        <f t="shared" si="221"/>
        <v>30.825978728219038</v>
      </c>
      <c r="S237" s="1096">
        <f t="shared" si="221"/>
        <v>30.164441061832626</v>
      </c>
      <c r="T237" s="1096">
        <f t="shared" si="220"/>
        <v>-2.9912470321414864</v>
      </c>
      <c r="U237" s="1096">
        <f t="shared" si="220"/>
        <v>-51.339182974184382</v>
      </c>
      <c r="V237" s="1096">
        <f t="shared" si="220"/>
        <v>-9.4213207115161559</v>
      </c>
      <c r="W237" s="1096">
        <f t="shared" si="220"/>
        <v>35.014524463672259</v>
      </c>
      <c r="X237" s="1096">
        <f t="shared" si="220"/>
        <v>6.156292106208161</v>
      </c>
      <c r="Y237" s="3711">
        <f t="shared" si="220"/>
        <v>12.87532056749483</v>
      </c>
      <c r="Z237" s="1096">
        <f t="shared" si="220"/>
        <v>8.8823600228481894</v>
      </c>
      <c r="AA237" s="1096">
        <f t="shared" si="220"/>
        <v>3.2088077538345638</v>
      </c>
      <c r="AB237" s="1096">
        <f t="shared" si="220"/>
        <v>0.7095641867250313</v>
      </c>
      <c r="AC237" s="1422">
        <f ca="1">OFFSET('VVP1'!$K$73,0,5*(COLUMN()-7))</f>
        <v>9.5487966987452424</v>
      </c>
      <c r="AD237" s="1422">
        <f ca="1">OFFSET('VVP1'!$K$73,0,5*(COLUMN()-7))</f>
        <v>11.38655538393305</v>
      </c>
      <c r="AE237" s="1422">
        <f ca="1">OFFSET('VVP1'!$K$73,0,5*(COLUMN()-7))</f>
        <v>7.4771783832577432</v>
      </c>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row>
    <row r="238" spans="1:94" s="699" customFormat="1" ht="12.75" customHeight="1">
      <c r="A238" s="664"/>
      <c r="B238" s="664"/>
      <c r="C238" s="774" t="s">
        <v>1769</v>
      </c>
      <c r="D238" s="717"/>
      <c r="E238" s="722" t="s">
        <v>376</v>
      </c>
      <c r="F238" s="723" t="s">
        <v>1884</v>
      </c>
      <c r="G238" s="721"/>
      <c r="H238" s="721">
        <f>+(H231/G231-1)*100</f>
        <v>26.410452622325664</v>
      </c>
      <c r="I238" s="721">
        <f t="shared" ref="I238:AB238" si="222">+(I231/H231-1)*100</f>
        <v>31.212603309919771</v>
      </c>
      <c r="J238" s="721">
        <f t="shared" si="222"/>
        <v>18.583689514361001</v>
      </c>
      <c r="K238" s="721">
        <f t="shared" si="222"/>
        <v>-10.282849913026137</v>
      </c>
      <c r="L238" s="721">
        <f t="shared" si="222"/>
        <v>-8.3728747957223622</v>
      </c>
      <c r="M238" s="721">
        <f t="shared" si="222"/>
        <v>13.898830128017092</v>
      </c>
      <c r="N238" s="721">
        <f t="shared" si="222"/>
        <v>8.0307962802708808</v>
      </c>
      <c r="O238" s="721">
        <f t="shared" si="222"/>
        <v>14.125687402651078</v>
      </c>
      <c r="P238" s="721">
        <f t="shared" si="222"/>
        <v>16.314047929409405</v>
      </c>
      <c r="Q238" s="721">
        <f t="shared" si="222"/>
        <v>17.609674329501914</v>
      </c>
      <c r="R238" s="721">
        <f t="shared" si="222"/>
        <v>27.110913836844208</v>
      </c>
      <c r="S238" s="721">
        <f t="shared" si="222"/>
        <v>32.929728171202477</v>
      </c>
      <c r="T238" s="721">
        <f t="shared" si="222"/>
        <v>2.5865590510286696</v>
      </c>
      <c r="U238" s="721">
        <f t="shared" si="222"/>
        <v>-43.49419497916206</v>
      </c>
      <c r="V238" s="721">
        <f t="shared" si="222"/>
        <v>-1.750746281067328</v>
      </c>
      <c r="W238" s="721">
        <f t="shared" si="222"/>
        <v>22.317880794701985</v>
      </c>
      <c r="X238" s="721">
        <f t="shared" si="222"/>
        <v>0.11970019598313009</v>
      </c>
      <c r="Y238" s="3712">
        <f t="shared" si="222"/>
        <v>11.521191147938081</v>
      </c>
      <c r="Z238" s="721">
        <f t="shared" si="222"/>
        <v>6.9809198621817892</v>
      </c>
      <c r="AA238" s="721">
        <f t="shared" si="222"/>
        <v>6.0782073393778058</v>
      </c>
      <c r="AB238" s="721">
        <f t="shared" si="222"/>
        <v>-0.15043916769735821</v>
      </c>
      <c r="AC238" s="1410">
        <f ca="1">OFFSET('VVP1'!$K$74,0,5*(COLUMN()-7))</f>
        <v>7.7411169247722622</v>
      </c>
      <c r="AD238" s="1410">
        <f ca="1">OFFSET('VVP1'!$K$74,0,5*(COLUMN()-7))</f>
        <v>9.2905093903981495</v>
      </c>
      <c r="AE238" s="1410">
        <f ca="1">OFFSET('VVP1'!$K$74,0,5*(COLUMN()-7))</f>
        <v>6.6401309849669188</v>
      </c>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row>
    <row r="239" spans="1:94">
      <c r="AB239" s="557"/>
      <c r="AC239" s="557"/>
      <c r="AD239" s="557"/>
      <c r="AE239" s="557"/>
    </row>
    <row r="240" spans="1:94" s="699" customFormat="1" ht="12.75" customHeight="1">
      <c r="A240" s="664"/>
      <c r="B240" s="664"/>
      <c r="C240" s="774"/>
      <c r="D240" s="982"/>
      <c r="E240" s="983" t="s">
        <v>1276</v>
      </c>
      <c r="F240" s="1876"/>
      <c r="G240" s="984">
        <f>+InputY!$G$3</f>
        <v>1995</v>
      </c>
      <c r="H240" s="984">
        <f>+G240+1</f>
        <v>1996</v>
      </c>
      <c r="I240" s="984">
        <f t="shared" ref="I240:O240" si="223">+H240+1</f>
        <v>1997</v>
      </c>
      <c r="J240" s="984">
        <f t="shared" si="223"/>
        <v>1998</v>
      </c>
      <c r="K240" s="984">
        <f t="shared" si="223"/>
        <v>1999</v>
      </c>
      <c r="L240" s="984">
        <f t="shared" si="223"/>
        <v>2000</v>
      </c>
      <c r="M240" s="984">
        <f t="shared" si="223"/>
        <v>2001</v>
      </c>
      <c r="N240" s="984">
        <f t="shared" si="223"/>
        <v>2002</v>
      </c>
      <c r="O240" s="984">
        <f t="shared" si="223"/>
        <v>2003</v>
      </c>
      <c r="P240" s="984">
        <f t="shared" ref="P240:U240" si="224">+O240+1</f>
        <v>2004</v>
      </c>
      <c r="Q240" s="984">
        <f t="shared" si="224"/>
        <v>2005</v>
      </c>
      <c r="R240" s="984">
        <f t="shared" si="224"/>
        <v>2006</v>
      </c>
      <c r="S240" s="984">
        <f>+R240+1</f>
        <v>2007</v>
      </c>
      <c r="T240" s="984">
        <f t="shared" si="224"/>
        <v>2008</v>
      </c>
      <c r="U240" s="984">
        <f t="shared" si="224"/>
        <v>2009</v>
      </c>
      <c r="V240" s="984">
        <f t="shared" ref="V240:AE240" si="225">+U240+1</f>
        <v>2010</v>
      </c>
      <c r="W240" s="984">
        <f t="shared" si="225"/>
        <v>2011</v>
      </c>
      <c r="X240" s="984">
        <f t="shared" si="225"/>
        <v>2012</v>
      </c>
      <c r="Y240" s="984">
        <f t="shared" si="225"/>
        <v>2013</v>
      </c>
      <c r="Z240" s="984">
        <f t="shared" si="225"/>
        <v>2014</v>
      </c>
      <c r="AA240" s="984">
        <f t="shared" si="225"/>
        <v>2015</v>
      </c>
      <c r="AB240" s="984">
        <f t="shared" si="225"/>
        <v>2016</v>
      </c>
      <c r="AC240" s="984">
        <f t="shared" si="225"/>
        <v>2017</v>
      </c>
      <c r="AD240" s="984">
        <f t="shared" si="225"/>
        <v>2018</v>
      </c>
      <c r="AE240" s="984">
        <f t="shared" si="225"/>
        <v>2019</v>
      </c>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row>
    <row r="241" spans="1:94" s="699" customFormat="1" ht="12.75" customHeight="1">
      <c r="A241" s="664"/>
      <c r="B241" s="664"/>
      <c r="C241" s="1873" t="s">
        <v>1767</v>
      </c>
      <c r="D241" s="863" t="s">
        <v>685</v>
      </c>
      <c r="E241" s="864" t="s">
        <v>376</v>
      </c>
      <c r="F241" s="865" t="s">
        <v>428</v>
      </c>
      <c r="G241" s="1877">
        <f t="shared" ref="G241:V241" si="226">+G228/G$341</f>
        <v>3.8472386609363356E-2</v>
      </c>
      <c r="H241" s="1877">
        <f t="shared" si="226"/>
        <v>3.2374422877966678E-2</v>
      </c>
      <c r="I241" s="1877">
        <f t="shared" si="226"/>
        <v>3.6366226158572684E-2</v>
      </c>
      <c r="J241" s="1877">
        <f t="shared" si="226"/>
        <v>4.486421398929194E-2</v>
      </c>
      <c r="K241" s="1877">
        <f t="shared" si="226"/>
        <v>3.4153340759340726E-2</v>
      </c>
      <c r="L241" s="1877">
        <f t="shared" si="226"/>
        <v>3.6144785602827009E-2</v>
      </c>
      <c r="M241" s="1877">
        <f t="shared" si="226"/>
        <v>3.7716668122627604E-2</v>
      </c>
      <c r="N241" s="1877">
        <f t="shared" si="226"/>
        <v>3.5331798026202836E-2</v>
      </c>
      <c r="O241" s="1877">
        <f t="shared" si="226"/>
        <v>4.1388296953291485E-2</v>
      </c>
      <c r="P241" s="1877">
        <f t="shared" si="226"/>
        <v>4.349447189670639E-2</v>
      </c>
      <c r="Q241" s="1877">
        <f t="shared" si="226"/>
        <v>3.9978859508578803E-2</v>
      </c>
      <c r="R241" s="1877">
        <f t="shared" si="226"/>
        <v>3.6449330915753773E-2</v>
      </c>
      <c r="S241" s="1877">
        <f>+S228/S$341</f>
        <v>3.7276012322034001E-2</v>
      </c>
      <c r="T241" s="1877">
        <f t="shared" si="226"/>
        <v>3.9123410981310412E-2</v>
      </c>
      <c r="U241" s="1877">
        <f t="shared" si="226"/>
        <v>3.5536157286367609E-2</v>
      </c>
      <c r="V241" s="1877">
        <f t="shared" si="226"/>
        <v>3.2903210614086228E-2</v>
      </c>
      <c r="W241" s="1877">
        <f>+W228/W$341</f>
        <v>3.3372959892976312E-2</v>
      </c>
      <c r="X241" s="1877">
        <f t="shared" ref="X241:Y244" si="227">+X228/X$341</f>
        <v>3.0076033450400139E-2</v>
      </c>
      <c r="Y241" s="1877">
        <f t="shared" si="227"/>
        <v>3.5508364643238699E-2</v>
      </c>
      <c r="Z241" s="1877">
        <f t="shared" ref="Z241:AA244" si="228">+Z228/Z$341</f>
        <v>3.7510924768679302E-2</v>
      </c>
      <c r="AA241" s="1877">
        <f t="shared" si="228"/>
        <v>4.1775357158983936E-2</v>
      </c>
      <c r="AB241" s="1877">
        <f t="shared" ref="AB241:AC244" si="229">+AB228/AB$341</f>
        <v>4.5057038940403929E-2</v>
      </c>
      <c r="AC241" s="1877">
        <f t="shared" ca="1" si="229"/>
        <v>4.3161256221948351E-2</v>
      </c>
      <c r="AD241" s="1877">
        <f t="shared" ref="AD241:AE244" ca="1" si="230">+AD228/AD$341</f>
        <v>4.2214614461083037E-2</v>
      </c>
      <c r="AE241" s="1877">
        <f t="shared" ca="1" si="230"/>
        <v>4.1385008085217875E-2</v>
      </c>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row>
    <row r="242" spans="1:94" s="699" customFormat="1" ht="12.75" customHeight="1">
      <c r="A242" s="664"/>
      <c r="B242" s="664"/>
      <c r="C242" s="1874" t="s">
        <v>1767</v>
      </c>
      <c r="D242" s="674" t="s">
        <v>687</v>
      </c>
      <c r="E242" s="783" t="s">
        <v>376</v>
      </c>
      <c r="F242" s="704" t="s">
        <v>1176</v>
      </c>
      <c r="G242" s="1502">
        <f t="shared" ref="G242:V242" si="231">+G229/G$341</f>
        <v>3.232520191177058E-2</v>
      </c>
      <c r="H242" s="1502">
        <f t="shared" si="231"/>
        <v>2.3799303078498892E-2</v>
      </c>
      <c r="I242" s="1502">
        <f t="shared" si="231"/>
        <v>2.2642639159219199E-2</v>
      </c>
      <c r="J242" s="1502">
        <f t="shared" si="231"/>
        <v>2.5304946413596721E-2</v>
      </c>
      <c r="K242" s="1502">
        <f t="shared" si="231"/>
        <v>2.5655911542406904E-2</v>
      </c>
      <c r="L242" s="1502">
        <f t="shared" si="231"/>
        <v>2.4233665315697421E-2</v>
      </c>
      <c r="M242" s="1502">
        <f t="shared" si="231"/>
        <v>2.2785553861631107E-2</v>
      </c>
      <c r="N242" s="1502">
        <f t="shared" si="231"/>
        <v>2.9711547759300152E-2</v>
      </c>
      <c r="O242" s="1502">
        <f t="shared" si="231"/>
        <v>3.0776051565589671E-2</v>
      </c>
      <c r="P242" s="1502">
        <f t="shared" si="231"/>
        <v>3.60664600618937E-2</v>
      </c>
      <c r="Q242" s="1502">
        <f t="shared" si="231"/>
        <v>3.6066440184074643E-2</v>
      </c>
      <c r="R242" s="1502">
        <f t="shared" si="231"/>
        <v>4.2747718153192914E-2</v>
      </c>
      <c r="S242" s="1502">
        <f>+S229/S$341</f>
        <v>5.4143397567410656E-2</v>
      </c>
      <c r="T242" s="1502">
        <f t="shared" si="231"/>
        <v>5.3802756766213156E-2</v>
      </c>
      <c r="U242" s="1502">
        <f t="shared" si="231"/>
        <v>4.4151028297200433E-2</v>
      </c>
      <c r="V242" s="1502">
        <f t="shared" si="231"/>
        <v>4.9627046995717801E-2</v>
      </c>
      <c r="W242" s="1502">
        <f>+W229/W$341</f>
        <v>4.7297038047892079E-2</v>
      </c>
      <c r="X242" s="1502">
        <f t="shared" si="227"/>
        <v>3.9771827681501525E-2</v>
      </c>
      <c r="Y242" s="1502">
        <f t="shared" si="227"/>
        <v>3.7456896736666412E-2</v>
      </c>
      <c r="Z242" s="1502">
        <f t="shared" si="228"/>
        <v>3.5084504931596455E-2</v>
      </c>
      <c r="AA242" s="1502">
        <f t="shared" si="228"/>
        <v>3.6725474201377034E-2</v>
      </c>
      <c r="AB242" s="1502">
        <f t="shared" si="229"/>
        <v>2.9832948522201117E-2</v>
      </c>
      <c r="AC242" s="1502">
        <f t="shared" ca="1" si="229"/>
        <v>2.9605691699156677E-2</v>
      </c>
      <c r="AD242" s="1502">
        <f t="shared" ca="1" si="230"/>
        <v>3.0643438366237185E-2</v>
      </c>
      <c r="AE242" s="1502">
        <f t="shared" ca="1" si="230"/>
        <v>3.1241427986033979E-2</v>
      </c>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row>
    <row r="243" spans="1:94" s="699" customFormat="1" ht="12.75" customHeight="1">
      <c r="A243" s="664"/>
      <c r="B243" s="664"/>
      <c r="C243" s="1875" t="s">
        <v>1767</v>
      </c>
      <c r="D243" s="868" t="s">
        <v>686</v>
      </c>
      <c r="E243" s="2848" t="s">
        <v>376</v>
      </c>
      <c r="F243" s="870" t="s">
        <v>1558</v>
      </c>
      <c r="G243" s="1878">
        <f t="shared" ref="G243:V243" si="232">+G230/G$341</f>
        <v>0.13284899407948711</v>
      </c>
      <c r="H243" s="1878">
        <f t="shared" si="232"/>
        <v>0.1495920898894911</v>
      </c>
      <c r="I243" s="1878">
        <f t="shared" si="232"/>
        <v>0.16468986740405006</v>
      </c>
      <c r="J243" s="1878">
        <f t="shared" si="232"/>
        <v>0.16866815748166944</v>
      </c>
      <c r="K243" s="1878">
        <f t="shared" si="232"/>
        <v>0.15969219828698372</v>
      </c>
      <c r="L243" s="1878">
        <f t="shared" si="232"/>
        <v>0.13087346220652324</v>
      </c>
      <c r="M243" s="1878">
        <f t="shared" si="232"/>
        <v>0.14465018894615667</v>
      </c>
      <c r="N243" s="1878">
        <f t="shared" si="232"/>
        <v>0.14189421641778771</v>
      </c>
      <c r="O243" s="1878">
        <f t="shared" si="232"/>
        <v>0.14322901668298491</v>
      </c>
      <c r="P243" s="1878">
        <f t="shared" si="232"/>
        <v>0.149415058461255</v>
      </c>
      <c r="Q243" s="1878">
        <f t="shared" si="232"/>
        <v>0.15780376957816625</v>
      </c>
      <c r="R243" s="1878">
        <f t="shared" si="232"/>
        <v>0.18006842425697217</v>
      </c>
      <c r="S243" s="1878">
        <f>+S230/S$341</f>
        <v>0.19434131317952144</v>
      </c>
      <c r="T243" s="1878">
        <f t="shared" si="232"/>
        <v>0.1674496303555022</v>
      </c>
      <c r="U243" s="1878">
        <f t="shared" si="232"/>
        <v>9.891174323793514E-2</v>
      </c>
      <c r="V243" s="1878">
        <f t="shared" si="232"/>
        <v>8.6099588763385887E-2</v>
      </c>
      <c r="W243" s="1878">
        <f>+W230/W$341</f>
        <v>0.10417575263818243</v>
      </c>
      <c r="X243" s="1878">
        <f t="shared" si="227"/>
        <v>0.10371417228011591</v>
      </c>
      <c r="Y243" s="1878">
        <f t="shared" si="227"/>
        <v>0.11167245667505252</v>
      </c>
      <c r="Z243" s="1878">
        <f t="shared" si="228"/>
        <v>0.1162428202803085</v>
      </c>
      <c r="AA243" s="1878">
        <f t="shared" si="228"/>
        <v>0.11722141011435445</v>
      </c>
      <c r="AB243" s="1878">
        <f t="shared" si="229"/>
        <v>0.11426226947537416</v>
      </c>
      <c r="AC243" s="1878">
        <f t="shared" ca="1" si="229"/>
        <v>0.11585146676614519</v>
      </c>
      <c r="AD243" s="1878">
        <f t="shared" ca="1" si="230"/>
        <v>0.12194463870760212</v>
      </c>
      <c r="AE243" s="1878">
        <f t="shared" ca="1" si="230"/>
        <v>0.12414202775144151</v>
      </c>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row>
    <row r="244" spans="1:94" s="699" customFormat="1" ht="12.75" customHeight="1">
      <c r="A244" s="664"/>
      <c r="B244" s="664"/>
      <c r="C244" s="774" t="s">
        <v>1769</v>
      </c>
      <c r="D244" s="806"/>
      <c r="E244" s="807" t="s">
        <v>376</v>
      </c>
      <c r="F244" s="808" t="s">
        <v>1884</v>
      </c>
      <c r="G244" s="841">
        <f t="shared" ref="G244:V244" si="233">+G231/G$341</f>
        <v>0.20364787050858196</v>
      </c>
      <c r="H244" s="841">
        <f t="shared" si="233"/>
        <v>0.20576581584595666</v>
      </c>
      <c r="I244" s="841">
        <f t="shared" si="233"/>
        <v>0.22369958564831796</v>
      </c>
      <c r="J244" s="841">
        <f t="shared" si="233"/>
        <v>0.23883731788455811</v>
      </c>
      <c r="K244" s="841">
        <f t="shared" si="233"/>
        <v>0.21950145058873138</v>
      </c>
      <c r="L244" s="841">
        <f t="shared" si="233"/>
        <v>0.19125191312504769</v>
      </c>
      <c r="M244" s="841">
        <f t="shared" si="233"/>
        <v>0.20515241093041539</v>
      </c>
      <c r="N244" s="841">
        <f t="shared" si="233"/>
        <v>0.20693756220329071</v>
      </c>
      <c r="O244" s="841">
        <f t="shared" si="233"/>
        <v>0.21539336520186608</v>
      </c>
      <c r="P244" s="841">
        <f t="shared" si="233"/>
        <v>0.22897599041985514</v>
      </c>
      <c r="Q244" s="841">
        <f t="shared" si="233"/>
        <v>0.23384906927081972</v>
      </c>
      <c r="R244" s="841">
        <f t="shared" si="233"/>
        <v>0.25926547332591887</v>
      </c>
      <c r="S244" s="841">
        <f>+S231/S$341</f>
        <v>0.28576037872417498</v>
      </c>
      <c r="T244" s="841">
        <f t="shared" si="233"/>
        <v>0.2603757981030258</v>
      </c>
      <c r="U244" s="841">
        <f t="shared" si="233"/>
        <v>0.17859855755486767</v>
      </c>
      <c r="V244" s="841">
        <f t="shared" si="233"/>
        <v>0.16862984637318992</v>
      </c>
      <c r="W244" s="841">
        <f>+W231/W$341</f>
        <v>0.18484575057905084</v>
      </c>
      <c r="X244" s="841">
        <f t="shared" si="227"/>
        <v>0.17356203341201756</v>
      </c>
      <c r="Y244" s="841">
        <f t="shared" si="227"/>
        <v>0.18463800409901127</v>
      </c>
      <c r="Z244" s="841">
        <f t="shared" si="228"/>
        <v>0.18883824998058424</v>
      </c>
      <c r="AA244" s="841">
        <f t="shared" si="228"/>
        <v>0.19572224147471542</v>
      </c>
      <c r="AB244" s="841">
        <f t="shared" si="229"/>
        <v>0.18915225693797919</v>
      </c>
      <c r="AC244" s="841">
        <f t="shared" ca="1" si="229"/>
        <v>0.18861815248079039</v>
      </c>
      <c r="AD244" s="841">
        <f t="shared" ca="1" si="230"/>
        <v>0.19480241553779512</v>
      </c>
      <c r="AE244" s="841">
        <f t="shared" ca="1" si="230"/>
        <v>0.19676818285221864</v>
      </c>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row>
    <row r="245" spans="1:94">
      <c r="AB245" s="557"/>
      <c r="AC245" s="557"/>
      <c r="AD245" s="557"/>
      <c r="AE245" s="557"/>
    </row>
    <row r="246" spans="1:94">
      <c r="A246" s="1130"/>
      <c r="B246" s="1130"/>
      <c r="D246" s="1074"/>
      <c r="E246" s="1075" t="s">
        <v>1941</v>
      </c>
      <c r="F246" s="1076"/>
      <c r="G246" s="698">
        <f>+InputY!$G$3</f>
        <v>1995</v>
      </c>
      <c r="H246" s="698">
        <f>+G246+1</f>
        <v>1996</v>
      </c>
      <c r="I246" s="698">
        <f t="shared" ref="I246:O246" si="234">+H246+1</f>
        <v>1997</v>
      </c>
      <c r="J246" s="698">
        <f t="shared" si="234"/>
        <v>1998</v>
      </c>
      <c r="K246" s="698">
        <f t="shared" si="234"/>
        <v>1999</v>
      </c>
      <c r="L246" s="698">
        <f t="shared" si="234"/>
        <v>2000</v>
      </c>
      <c r="M246" s="698">
        <f t="shared" si="234"/>
        <v>2001</v>
      </c>
      <c r="N246" s="698">
        <f t="shared" si="234"/>
        <v>2002</v>
      </c>
      <c r="O246" s="698">
        <f t="shared" si="234"/>
        <v>2003</v>
      </c>
      <c r="P246" s="698">
        <f t="shared" ref="P246:U246" si="235">+O246+1</f>
        <v>2004</v>
      </c>
      <c r="Q246" s="698">
        <f t="shared" si="235"/>
        <v>2005</v>
      </c>
      <c r="R246" s="698">
        <f t="shared" si="235"/>
        <v>2006</v>
      </c>
      <c r="S246" s="698">
        <f>+R246+1</f>
        <v>2007</v>
      </c>
      <c r="T246" s="698">
        <f t="shared" si="235"/>
        <v>2008</v>
      </c>
      <c r="U246" s="698">
        <f t="shared" si="235"/>
        <v>2009</v>
      </c>
      <c r="V246" s="698">
        <f t="shared" ref="V246:AE246" si="236">+U246+1</f>
        <v>2010</v>
      </c>
      <c r="W246" s="698">
        <f t="shared" si="236"/>
        <v>2011</v>
      </c>
      <c r="X246" s="698">
        <f t="shared" si="236"/>
        <v>2012</v>
      </c>
      <c r="Y246" s="698">
        <f t="shared" si="236"/>
        <v>2013</v>
      </c>
      <c r="Z246" s="698">
        <f t="shared" si="236"/>
        <v>2014</v>
      </c>
      <c r="AA246" s="698">
        <f t="shared" si="236"/>
        <v>2015</v>
      </c>
      <c r="AB246" s="698">
        <f t="shared" si="236"/>
        <v>2016</v>
      </c>
      <c r="AC246" s="698">
        <f t="shared" si="236"/>
        <v>2017</v>
      </c>
      <c r="AD246" s="698">
        <f t="shared" si="236"/>
        <v>2018</v>
      </c>
      <c r="AE246" s="698">
        <f t="shared" si="236"/>
        <v>2019</v>
      </c>
    </row>
    <row r="247" spans="1:94">
      <c r="A247" s="664"/>
      <c r="B247" s="1130"/>
      <c r="C247" s="1079" t="s">
        <v>1767</v>
      </c>
      <c r="D247" s="1058" t="s">
        <v>685</v>
      </c>
      <c r="E247" s="1038" t="s">
        <v>821</v>
      </c>
      <c r="F247" s="1058" t="s">
        <v>1895</v>
      </c>
      <c r="G247" s="1084">
        <f t="shared" ref="G247:R247" si="237">+G185</f>
        <v>4.9615900000000002</v>
      </c>
      <c r="H247" s="1084">
        <f t="shared" si="237"/>
        <v>6.2328599999999996</v>
      </c>
      <c r="I247" s="1084">
        <f t="shared" si="237"/>
        <v>7.1923199999999996</v>
      </c>
      <c r="J247" s="1084">
        <f t="shared" si="237"/>
        <v>7.9673100000000003</v>
      </c>
      <c r="K247" s="1084">
        <f t="shared" si="237"/>
        <v>8.2599499999999999</v>
      </c>
      <c r="L247" s="1084">
        <f t="shared" si="237"/>
        <v>8.691889999999999</v>
      </c>
      <c r="M247" s="1084">
        <f t="shared" si="237"/>
        <v>9.2690300000000008</v>
      </c>
      <c r="N247" s="1084">
        <f t="shared" si="237"/>
        <v>9.8024199999999997</v>
      </c>
      <c r="O247" s="1084">
        <f t="shared" si="237"/>
        <v>10.739979999999999</v>
      </c>
      <c r="P247" s="1084">
        <f t="shared" si="237"/>
        <v>11.88908</v>
      </c>
      <c r="Q247" s="1084">
        <f t="shared" si="237"/>
        <v>13.583080000000001</v>
      </c>
      <c r="R247" s="1084">
        <f t="shared" si="237"/>
        <v>15.509840000000001</v>
      </c>
      <c r="S247" s="1084">
        <f t="shared" ref="S247:AA247" si="238">+S185</f>
        <v>18.460609999999999</v>
      </c>
      <c r="T247" s="1084">
        <f t="shared" si="238"/>
        <v>21.260830000000002</v>
      </c>
      <c r="U247" s="1084">
        <f t="shared" si="238"/>
        <v>18.33539</v>
      </c>
      <c r="V247" s="1084">
        <f t="shared" si="238"/>
        <v>17.945540000000001</v>
      </c>
      <c r="W247" s="1084">
        <f t="shared" si="238"/>
        <v>19.543849999999999</v>
      </c>
      <c r="X247" s="1084">
        <f t="shared" si="238"/>
        <v>20.77008</v>
      </c>
      <c r="Y247" s="1084">
        <f t="shared" si="238"/>
        <v>21.881709999999998</v>
      </c>
      <c r="Z247" s="1084">
        <f t="shared" si="238"/>
        <v>22.776820000000001</v>
      </c>
      <c r="AA247" s="1084">
        <f t="shared" si="238"/>
        <v>23.47364</v>
      </c>
      <c r="AB247" s="1084">
        <f t="shared" ref="AB247:AC247" si="239">+AB185</f>
        <v>24.863340000000001</v>
      </c>
      <c r="AC247" s="1084">
        <f t="shared" si="239"/>
        <v>26.80039</v>
      </c>
      <c r="AD247" s="1341">
        <f ca="1">+AD185</f>
        <v>28.459602144899996</v>
      </c>
      <c r="AE247" s="1341">
        <f ca="1">+AE185</f>
        <v>30.045541934026691</v>
      </c>
    </row>
    <row r="248" spans="1:94">
      <c r="A248" s="664"/>
      <c r="B248" s="1196"/>
      <c r="C248" s="1080" t="s">
        <v>1767</v>
      </c>
      <c r="D248" s="3" t="s">
        <v>687</v>
      </c>
      <c r="E248" s="29" t="s">
        <v>821</v>
      </c>
      <c r="F248" s="3" t="s">
        <v>1897</v>
      </c>
      <c r="G248" s="1062">
        <f t="shared" ref="G248:R248" si="240">+G193</f>
        <v>1.8624400000000001</v>
      </c>
      <c r="H248" s="1062">
        <f t="shared" si="240"/>
        <v>2.3385500000000001</v>
      </c>
      <c r="I248" s="1062">
        <f t="shared" si="240"/>
        <v>2.83216</v>
      </c>
      <c r="J248" s="1062">
        <f t="shared" si="240"/>
        <v>3.3704699999999996</v>
      </c>
      <c r="K248" s="1062">
        <f t="shared" si="240"/>
        <v>3.0081500000000001</v>
      </c>
      <c r="L248" s="1062">
        <f t="shared" si="240"/>
        <v>2.9951300000000001</v>
      </c>
      <c r="M248" s="1062">
        <f t="shared" si="240"/>
        <v>3.0014400000000001</v>
      </c>
      <c r="N248" s="1062">
        <f t="shared" si="240"/>
        <v>3.1259200000000003</v>
      </c>
      <c r="O248" s="1062">
        <f t="shared" si="240"/>
        <v>3.2591100000000002</v>
      </c>
      <c r="P248" s="1062">
        <f t="shared" si="240"/>
        <v>3.4954899999999998</v>
      </c>
      <c r="Q248" s="1062">
        <f t="shared" si="240"/>
        <v>3.8864099999999997</v>
      </c>
      <c r="R248" s="1062">
        <f t="shared" si="240"/>
        <v>4.6055000000000001</v>
      </c>
      <c r="S248" s="1062">
        <f t="shared" ref="S248:Z248" si="241">+S193</f>
        <v>5.0668299999999995</v>
      </c>
      <c r="T248" s="1062">
        <f t="shared" si="241"/>
        <v>6.1008000000000004</v>
      </c>
      <c r="U248" s="1062">
        <f t="shared" si="241"/>
        <v>5.71983</v>
      </c>
      <c r="V248" s="1062">
        <f t="shared" si="241"/>
        <v>5.5633800000000004</v>
      </c>
      <c r="W248" s="1062">
        <f t="shared" si="241"/>
        <v>5.7373199999999995</v>
      </c>
      <c r="X248" s="1062">
        <f t="shared" si="241"/>
        <v>5.8306800000000001</v>
      </c>
      <c r="Y248" s="1062">
        <f t="shared" si="241"/>
        <v>5.83697</v>
      </c>
      <c r="Z248" s="1062">
        <f t="shared" si="241"/>
        <v>6.0733300000000003</v>
      </c>
      <c r="AA248" s="1062">
        <f>+AA193</f>
        <v>6.4287700000000001</v>
      </c>
      <c r="AB248" s="1062">
        <f>+AB193</f>
        <v>6.63687</v>
      </c>
      <c r="AC248" s="1062">
        <f>+AC193</f>
        <v>6.9080500000000002</v>
      </c>
      <c r="AD248" s="939">
        <f ca="1">+AD193</f>
        <v>7.2979828955879995</v>
      </c>
      <c r="AE248" s="939">
        <f ca="1">+AE193</f>
        <v>7.6726989950392293</v>
      </c>
    </row>
    <row r="249" spans="1:94">
      <c r="A249" s="664"/>
      <c r="B249" s="1130"/>
      <c r="C249" s="1081" t="s">
        <v>1767</v>
      </c>
      <c r="D249" s="1077"/>
      <c r="E249" s="1039" t="s">
        <v>376</v>
      </c>
      <c r="F249" s="1077" t="s">
        <v>1884</v>
      </c>
      <c r="G249" s="1085">
        <f t="shared" ref="G249:R249" si="242">+G212</f>
        <v>1.5812299999999999</v>
      </c>
      <c r="H249" s="1085">
        <f t="shared" si="242"/>
        <v>1.99884</v>
      </c>
      <c r="I249" s="1085">
        <f t="shared" si="242"/>
        <v>2.6227300000000002</v>
      </c>
      <c r="J249" s="1085">
        <f t="shared" si="242"/>
        <v>3.1101300000000003</v>
      </c>
      <c r="K249" s="1085">
        <f t="shared" si="242"/>
        <v>2.7903200000000004</v>
      </c>
      <c r="L249" s="1085">
        <f t="shared" si="242"/>
        <v>2.5566900000000001</v>
      </c>
      <c r="M249" s="1085">
        <f t="shared" si="242"/>
        <v>2.9120400000000002</v>
      </c>
      <c r="N249" s="1085">
        <f t="shared" si="242"/>
        <v>3.1459000000000001</v>
      </c>
      <c r="O249" s="1085">
        <f t="shared" si="242"/>
        <v>3.5902800000000004</v>
      </c>
      <c r="P249" s="1085">
        <f t="shared" si="242"/>
        <v>4.1760000000000002</v>
      </c>
      <c r="Q249" s="1085">
        <f t="shared" si="242"/>
        <v>4.9113800000000003</v>
      </c>
      <c r="R249" s="1085">
        <f t="shared" si="242"/>
        <v>6.2428999999999997</v>
      </c>
      <c r="S249" s="1085">
        <f t="shared" ref="S249:Z249" si="243">+S212</f>
        <v>8.2986699999999995</v>
      </c>
      <c r="T249" s="1085">
        <f t="shared" si="243"/>
        <v>8.5133200000000002</v>
      </c>
      <c r="U249" s="1085">
        <f t="shared" si="243"/>
        <v>4.8105200000000004</v>
      </c>
      <c r="V249" s="1085">
        <f t="shared" si="243"/>
        <v>4.7263000000000002</v>
      </c>
      <c r="W249" s="1085">
        <f t="shared" si="243"/>
        <v>5.78111</v>
      </c>
      <c r="X249" s="1085">
        <f t="shared" si="243"/>
        <v>5.78803</v>
      </c>
      <c r="Y249" s="1085">
        <f t="shared" si="243"/>
        <v>6.4548800000000002</v>
      </c>
      <c r="Z249" s="1085">
        <f t="shared" si="243"/>
        <v>6.9054899999999995</v>
      </c>
      <c r="AA249" s="1085">
        <f>+AA212</f>
        <v>7.3252199999999998</v>
      </c>
      <c r="AB249" s="1085">
        <f>+AB212</f>
        <v>7.3141999999999996</v>
      </c>
      <c r="AC249" s="1085">
        <f>+AC212</f>
        <v>7.8803900000000002</v>
      </c>
      <c r="AD249" s="940">
        <f ca="1">+AD212</f>
        <v>8.6125183729499977</v>
      </c>
      <c r="AE249" s="940">
        <f ca="1">+AE212</f>
        <v>9.1844008740182197</v>
      </c>
    </row>
    <row r="250" spans="1:94">
      <c r="A250" s="664">
        <f>+ROW(InputY!A81)</f>
        <v>81</v>
      </c>
      <c r="B250" s="664"/>
      <c r="C250" s="694" t="s">
        <v>1769</v>
      </c>
      <c r="D250" s="1055"/>
      <c r="E250" s="1056" t="s">
        <v>1941</v>
      </c>
      <c r="F250" s="1055"/>
      <c r="G250" s="1057">
        <f>+InputY!G81/1000</f>
        <v>8.4052600000000002</v>
      </c>
      <c r="H250" s="1057">
        <f>+InputY!H81/1000</f>
        <v>10.57025</v>
      </c>
      <c r="I250" s="1057">
        <f>+InputY!I81/1000</f>
        <v>12.647209999999999</v>
      </c>
      <c r="J250" s="1057">
        <f>+InputY!J81/1000</f>
        <v>14.44791</v>
      </c>
      <c r="K250" s="1057">
        <f>+InputY!K81/1000</f>
        <v>14.05842</v>
      </c>
      <c r="L250" s="1057">
        <f>+InputY!L81/1000</f>
        <v>14.243709999999998</v>
      </c>
      <c r="M250" s="1057">
        <f>+InputY!M81/1000</f>
        <v>15.182510000000001</v>
      </c>
      <c r="N250" s="1057">
        <f>+InputY!N81/1000</f>
        <v>16.07424</v>
      </c>
      <c r="O250" s="1057">
        <f>+InputY!O81/1000</f>
        <v>17.589369999999999</v>
      </c>
      <c r="P250" s="1057">
        <f>+InputY!P81/1000</f>
        <v>19.560569999999998</v>
      </c>
      <c r="Q250" s="1057">
        <f>+InputY!Q81/1000</f>
        <v>22.380869999999998</v>
      </c>
      <c r="R250" s="1057">
        <f>+InputY!R81/1000</f>
        <v>26.358240000000002</v>
      </c>
      <c r="S250" s="1057">
        <f>+InputY!S81/1000</f>
        <v>31.82611</v>
      </c>
      <c r="T250" s="1057">
        <f>+InputY!T81/1000</f>
        <v>35.874949999999998</v>
      </c>
      <c r="U250" s="1057">
        <f>+InputY!U81/1000</f>
        <v>28.865740000000002</v>
      </c>
      <c r="V250" s="1057">
        <f>+InputY!V81/1000</f>
        <v>28.235220000000002</v>
      </c>
      <c r="W250" s="1057">
        <f>+InputY!W81/1000</f>
        <v>31.062279999999998</v>
      </c>
      <c r="X250" s="1057">
        <f>+InputY!X81/1000</f>
        <v>32.38879</v>
      </c>
      <c r="Y250" s="1057">
        <f>+InputY!Y81/1000</f>
        <v>34.173559999999995</v>
      </c>
      <c r="Z250" s="1057">
        <f>+InputY!Z81/1000</f>
        <v>35.75564</v>
      </c>
      <c r="AA250" s="1057">
        <f>+InputY!AA81/1000</f>
        <v>37.227629999999998</v>
      </c>
      <c r="AB250" s="2302">
        <f>+AB247+AB248+AB249</f>
        <v>38.814410000000002</v>
      </c>
      <c r="AC250" s="2302">
        <f>+AC247+AC248+AC249</f>
        <v>41.588830000000002</v>
      </c>
      <c r="AD250" s="2302">
        <f ca="1">+AD247+AD248+AD249</f>
        <v>44.370103413437995</v>
      </c>
      <c r="AE250" s="2302">
        <f ca="1">+AE247+AE248+AE249</f>
        <v>46.902641803084137</v>
      </c>
    </row>
    <row r="251" spans="1:94" s="699" customFormat="1" ht="12.75" customHeight="1">
      <c r="A251" s="664"/>
      <c r="B251" s="664"/>
      <c r="C251" s="774"/>
      <c r="D251" s="1973"/>
      <c r="E251" s="1973" t="s">
        <v>737</v>
      </c>
      <c r="F251" s="1973"/>
      <c r="G251" s="1002">
        <f t="shared" ref="G251:Y251" si="244">ABS(G250-G249-G248-G247)</f>
        <v>0</v>
      </c>
      <c r="H251" s="1002">
        <f t="shared" si="244"/>
        <v>8.8817841970012523E-16</v>
      </c>
      <c r="I251" s="1002">
        <f t="shared" si="244"/>
        <v>8.8817841970012523E-16</v>
      </c>
      <c r="J251" s="1002">
        <f t="shared" si="244"/>
        <v>8.8817841970012523E-16</v>
      </c>
      <c r="K251" s="1002">
        <f t="shared" si="244"/>
        <v>0</v>
      </c>
      <c r="L251" s="1002">
        <f t="shared" si="244"/>
        <v>0</v>
      </c>
      <c r="M251" s="1002">
        <f t="shared" si="244"/>
        <v>1.7763568394002505E-15</v>
      </c>
      <c r="N251" s="1002">
        <f t="shared" si="244"/>
        <v>1.7763568394002505E-15</v>
      </c>
      <c r="O251" s="1002">
        <f t="shared" si="244"/>
        <v>0</v>
      </c>
      <c r="P251" s="1002">
        <f t="shared" si="244"/>
        <v>1.7763568394002505E-15</v>
      </c>
      <c r="Q251" s="1002">
        <f t="shared" si="244"/>
        <v>3.5527136788005009E-15</v>
      </c>
      <c r="R251" s="1002">
        <f t="shared" si="244"/>
        <v>3.5527136788005009E-15</v>
      </c>
      <c r="S251" s="1002">
        <f t="shared" si="244"/>
        <v>0</v>
      </c>
      <c r="T251" s="2906">
        <f t="shared" si="244"/>
        <v>3.5527136788005009E-15</v>
      </c>
      <c r="U251" s="2906">
        <f t="shared" si="244"/>
        <v>3.5527136788005009E-15</v>
      </c>
      <c r="V251" s="2906">
        <f t="shared" si="244"/>
        <v>0</v>
      </c>
      <c r="W251" s="2906">
        <f t="shared" si="244"/>
        <v>3.5527136788005009E-15</v>
      </c>
      <c r="X251" s="2906">
        <f t="shared" si="244"/>
        <v>0</v>
      </c>
      <c r="Y251" s="2906">
        <f t="shared" si="244"/>
        <v>3.5527136788005009E-15</v>
      </c>
      <c r="Z251" s="2906">
        <f t="shared" ref="Z251:AE251" si="245">ABS(Z250-Z249-Z248-Z247)</f>
        <v>0</v>
      </c>
      <c r="AA251" s="2906">
        <f t="shared" si="245"/>
        <v>3.5527136788005009E-15</v>
      </c>
      <c r="AB251" s="2906">
        <f t="shared" si="245"/>
        <v>0</v>
      </c>
      <c r="AC251" s="2906">
        <f t="shared" si="245"/>
        <v>3.5527136788005009E-15</v>
      </c>
      <c r="AD251" s="2906">
        <f t="shared" ca="1" si="245"/>
        <v>0</v>
      </c>
      <c r="AE251" s="2906">
        <f t="shared" ca="1" si="245"/>
        <v>7.1054273576010019E-15</v>
      </c>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row>
    <row r="252" spans="1:94">
      <c r="AB252" s="557"/>
      <c r="AC252" s="557"/>
      <c r="AD252" s="557"/>
      <c r="AE252" s="557"/>
    </row>
    <row r="253" spans="1:94" s="699" customFormat="1" ht="12.75" customHeight="1">
      <c r="A253" s="664"/>
      <c r="B253" s="664"/>
      <c r="C253" s="774"/>
      <c r="D253" s="1092"/>
      <c r="E253" s="1093"/>
      <c r="F253" s="1094"/>
      <c r="G253" s="896">
        <f>+InputY!$G$3</f>
        <v>1995</v>
      </c>
      <c r="H253" s="896">
        <f>+G253+1</f>
        <v>1996</v>
      </c>
      <c r="I253" s="896">
        <f t="shared" ref="I253:O253" si="246">+H253+1</f>
        <v>1997</v>
      </c>
      <c r="J253" s="896">
        <f t="shared" si="246"/>
        <v>1998</v>
      </c>
      <c r="K253" s="896">
        <f t="shared" si="246"/>
        <v>1999</v>
      </c>
      <c r="L253" s="896">
        <f t="shared" si="246"/>
        <v>2000</v>
      </c>
      <c r="M253" s="896">
        <f t="shared" si="246"/>
        <v>2001</v>
      </c>
      <c r="N253" s="896">
        <f t="shared" si="246"/>
        <v>2002</v>
      </c>
      <c r="O253" s="896">
        <f t="shared" si="246"/>
        <v>2003</v>
      </c>
      <c r="P253" s="896">
        <f t="shared" ref="P253:U253" si="247">+O253+1</f>
        <v>2004</v>
      </c>
      <c r="Q253" s="896">
        <f t="shared" si="247"/>
        <v>2005</v>
      </c>
      <c r="R253" s="896">
        <f t="shared" si="247"/>
        <v>2006</v>
      </c>
      <c r="S253" s="896">
        <f>+R253+1</f>
        <v>2007</v>
      </c>
      <c r="T253" s="896">
        <f t="shared" si="247"/>
        <v>2008</v>
      </c>
      <c r="U253" s="896">
        <f t="shared" si="247"/>
        <v>2009</v>
      </c>
      <c r="V253" s="896">
        <f t="shared" ref="V253:AE253" si="248">+U253+1</f>
        <v>2010</v>
      </c>
      <c r="W253" s="896">
        <f t="shared" si="248"/>
        <v>2011</v>
      </c>
      <c r="X253" s="896">
        <f t="shared" si="248"/>
        <v>2012</v>
      </c>
      <c r="Y253" s="896">
        <f t="shared" si="248"/>
        <v>2013</v>
      </c>
      <c r="Z253" s="896">
        <f t="shared" si="248"/>
        <v>2014</v>
      </c>
      <c r="AA253" s="896">
        <f t="shared" si="248"/>
        <v>2015</v>
      </c>
      <c r="AB253" s="896">
        <f t="shared" si="248"/>
        <v>2016</v>
      </c>
      <c r="AC253" s="896">
        <f t="shared" si="248"/>
        <v>2017</v>
      </c>
      <c r="AD253" s="896">
        <f t="shared" si="248"/>
        <v>2018</v>
      </c>
      <c r="AE253" s="896">
        <f t="shared" si="248"/>
        <v>2019</v>
      </c>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row>
    <row r="254" spans="1:94" s="699" customFormat="1" ht="12.75" customHeight="1">
      <c r="A254" s="664"/>
      <c r="B254" s="664"/>
      <c r="C254" s="794" t="s">
        <v>1767</v>
      </c>
      <c r="D254" s="689" t="s">
        <v>685</v>
      </c>
      <c r="E254" s="738" t="s">
        <v>821</v>
      </c>
      <c r="F254" s="733" t="s">
        <v>1895</v>
      </c>
      <c r="G254" s="1095"/>
      <c r="H254" s="1095">
        <f t="shared" ref="H254:AE254" si="249">+(H247/G247-1)*100</f>
        <v>25.622229970634393</v>
      </c>
      <c r="I254" s="1095">
        <f t="shared" si="249"/>
        <v>15.393575341015197</v>
      </c>
      <c r="J254" s="1095">
        <f t="shared" si="249"/>
        <v>10.775243593166062</v>
      </c>
      <c r="K254" s="1095">
        <f t="shared" si="249"/>
        <v>3.6730088323411403</v>
      </c>
      <c r="L254" s="1095">
        <f t="shared" si="249"/>
        <v>5.2293294753600117</v>
      </c>
      <c r="M254" s="1095">
        <f t="shared" si="249"/>
        <v>6.639982788553489</v>
      </c>
      <c r="N254" s="1095">
        <f t="shared" si="249"/>
        <v>5.75453957965395</v>
      </c>
      <c r="O254" s="1095">
        <f t="shared" si="249"/>
        <v>9.5645769105996195</v>
      </c>
      <c r="P254" s="1095">
        <f t="shared" si="249"/>
        <v>10.699275045204937</v>
      </c>
      <c r="Q254" s="1095">
        <f t="shared" si="249"/>
        <v>14.248369091637048</v>
      </c>
      <c r="R254" s="1095">
        <f t="shared" si="249"/>
        <v>14.18500075093425</v>
      </c>
      <c r="S254" s="1095">
        <f t="shared" si="249"/>
        <v>19.025147906103477</v>
      </c>
      <c r="T254" s="1095">
        <f t="shared" si="249"/>
        <v>15.168621188573962</v>
      </c>
      <c r="U254" s="1095">
        <f t="shared" si="249"/>
        <v>-13.759763847413298</v>
      </c>
      <c r="V254" s="1095">
        <f t="shared" si="249"/>
        <v>-2.1262160226752647</v>
      </c>
      <c r="W254" s="1095">
        <f t="shared" si="249"/>
        <v>8.9064469500499612</v>
      </c>
      <c r="X254" s="1095">
        <f t="shared" si="249"/>
        <v>6.2742499558684717</v>
      </c>
      <c r="Y254" s="1095">
        <f t="shared" si="249"/>
        <v>5.3520737522436024</v>
      </c>
      <c r="Z254" s="1095">
        <f t="shared" si="249"/>
        <v>4.0906766427303953</v>
      </c>
      <c r="AA254" s="1095">
        <f t="shared" si="249"/>
        <v>3.0593383975462629</v>
      </c>
      <c r="AB254" s="1095">
        <f t="shared" si="249"/>
        <v>5.9202577870326012</v>
      </c>
      <c r="AC254" s="1095">
        <f t="shared" si="249"/>
        <v>7.790787561124124</v>
      </c>
      <c r="AD254" s="1095">
        <f t="shared" ca="1" si="249"/>
        <v>6.190999999999991</v>
      </c>
      <c r="AE254" s="1095">
        <f t="shared" ca="1" si="249"/>
        <v>5.5725999999999942</v>
      </c>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row>
    <row r="255" spans="1:94" s="699" customFormat="1" ht="12.75" customHeight="1">
      <c r="A255" s="664"/>
      <c r="B255" s="664"/>
      <c r="C255" s="795" t="s">
        <v>1767</v>
      </c>
      <c r="D255" s="3" t="s">
        <v>687</v>
      </c>
      <c r="E255" s="29" t="s">
        <v>821</v>
      </c>
      <c r="F255" s="704" t="s">
        <v>1897</v>
      </c>
      <c r="G255" s="1044"/>
      <c r="H255" s="1044">
        <f t="shared" ref="H255:S255" si="250">+(H248/G248-1)*100</f>
        <v>25.563776551190909</v>
      </c>
      <c r="I255" s="1044">
        <f t="shared" si="250"/>
        <v>21.107523893010626</v>
      </c>
      <c r="J255" s="1044">
        <f t="shared" si="250"/>
        <v>19.007047624427976</v>
      </c>
      <c r="K255" s="1044">
        <f t="shared" si="250"/>
        <v>-10.74983607627421</v>
      </c>
      <c r="L255" s="1044">
        <f t="shared" si="250"/>
        <v>-0.43282416102921051</v>
      </c>
      <c r="M255" s="1044">
        <f t="shared" si="250"/>
        <v>0.21067532961842605</v>
      </c>
      <c r="N255" s="1044">
        <f t="shared" si="250"/>
        <v>4.1473426088810772</v>
      </c>
      <c r="O255" s="1044">
        <f t="shared" si="250"/>
        <v>4.260825612939545</v>
      </c>
      <c r="P255" s="1044">
        <f t="shared" si="250"/>
        <v>7.2529003316856411</v>
      </c>
      <c r="Q255" s="1044">
        <f t="shared" si="250"/>
        <v>11.183553664865297</v>
      </c>
      <c r="R255" s="1044">
        <f t="shared" si="250"/>
        <v>18.502679851070791</v>
      </c>
      <c r="S255" s="1044">
        <f t="shared" si="250"/>
        <v>10.016936271848852</v>
      </c>
      <c r="T255" s="1044">
        <f t="shared" ref="T255:AE257" si="251">+(T248/S248-1)*100</f>
        <v>20.406644785793105</v>
      </c>
      <c r="U255" s="1044">
        <f t="shared" si="251"/>
        <v>-6.244590873328093</v>
      </c>
      <c r="V255" s="1044">
        <f t="shared" si="251"/>
        <v>-2.7352211516775804</v>
      </c>
      <c r="W255" s="1044">
        <f t="shared" si="251"/>
        <v>3.1265166140008294</v>
      </c>
      <c r="X255" s="1044">
        <f t="shared" si="251"/>
        <v>1.6272405931689438</v>
      </c>
      <c r="Y255" s="1044">
        <f t="shared" si="251"/>
        <v>0.10787764034383418</v>
      </c>
      <c r="Z255" s="1044">
        <f t="shared" si="251"/>
        <v>4.0493612268009072</v>
      </c>
      <c r="AA255" s="1044">
        <f t="shared" si="251"/>
        <v>5.8524730255065993</v>
      </c>
      <c r="AB255" s="1044">
        <f t="shared" si="251"/>
        <v>3.2370111234341969</v>
      </c>
      <c r="AC255" s="1044">
        <f t="shared" si="251"/>
        <v>4.0859622080890556</v>
      </c>
      <c r="AD255" s="1044">
        <f t="shared" ca="1" si="251"/>
        <v>5.6446159999999912</v>
      </c>
      <c r="AE255" s="1044">
        <f t="shared" ca="1" si="251"/>
        <v>5.1345160000000112</v>
      </c>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row>
    <row r="256" spans="1:94" s="699" customFormat="1" ht="12.75" customHeight="1">
      <c r="A256" s="664"/>
      <c r="B256" s="664"/>
      <c r="C256" s="796" t="s">
        <v>1767</v>
      </c>
      <c r="D256" s="691"/>
      <c r="E256" s="797" t="s">
        <v>376</v>
      </c>
      <c r="F256" s="736" t="s">
        <v>1884</v>
      </c>
      <c r="G256" s="1096"/>
      <c r="H256" s="1096">
        <f t="shared" ref="H256:S256" si="252">+(H249/G249-1)*100</f>
        <v>26.410452622325664</v>
      </c>
      <c r="I256" s="1096">
        <f t="shared" si="252"/>
        <v>31.212603309919771</v>
      </c>
      <c r="J256" s="1096">
        <f t="shared" si="252"/>
        <v>18.583689514361001</v>
      </c>
      <c r="K256" s="1096">
        <f t="shared" si="252"/>
        <v>-10.282849913026137</v>
      </c>
      <c r="L256" s="1096">
        <f t="shared" si="252"/>
        <v>-8.3728747957223622</v>
      </c>
      <c r="M256" s="1096">
        <f t="shared" si="252"/>
        <v>13.898830128017092</v>
      </c>
      <c r="N256" s="1096">
        <f t="shared" si="252"/>
        <v>8.0307962802708808</v>
      </c>
      <c r="O256" s="1096">
        <f t="shared" si="252"/>
        <v>14.125687402651078</v>
      </c>
      <c r="P256" s="1096">
        <f t="shared" si="252"/>
        <v>16.314047929409405</v>
      </c>
      <c r="Q256" s="1096">
        <f t="shared" si="252"/>
        <v>17.609674329501914</v>
      </c>
      <c r="R256" s="1096">
        <f t="shared" si="252"/>
        <v>27.110913836844208</v>
      </c>
      <c r="S256" s="1096">
        <f t="shared" si="252"/>
        <v>32.929728171202477</v>
      </c>
      <c r="T256" s="1096">
        <f t="shared" si="251"/>
        <v>2.5865590510286696</v>
      </c>
      <c r="U256" s="1096">
        <f t="shared" si="251"/>
        <v>-43.49419497916206</v>
      </c>
      <c r="V256" s="1096">
        <f t="shared" si="251"/>
        <v>-1.750746281067328</v>
      </c>
      <c r="W256" s="1096">
        <f t="shared" si="251"/>
        <v>22.317880794701985</v>
      </c>
      <c r="X256" s="1096">
        <f t="shared" si="251"/>
        <v>0.11970019598313009</v>
      </c>
      <c r="Y256" s="1096">
        <f t="shared" si="251"/>
        <v>11.521191147938081</v>
      </c>
      <c r="Z256" s="1096">
        <f t="shared" si="251"/>
        <v>6.9809198621817892</v>
      </c>
      <c r="AA256" s="1096">
        <f t="shared" si="251"/>
        <v>6.0782073393778058</v>
      </c>
      <c r="AB256" s="1096">
        <f t="shared" si="251"/>
        <v>-0.15043916769735821</v>
      </c>
      <c r="AC256" s="1096">
        <f t="shared" si="251"/>
        <v>7.7409696207377587</v>
      </c>
      <c r="AD256" s="1096">
        <f t="shared" ca="1" si="251"/>
        <v>9.2905093903981495</v>
      </c>
      <c r="AE256" s="1096">
        <f t="shared" ca="1" si="251"/>
        <v>6.6401309849669188</v>
      </c>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row>
    <row r="257" spans="1:94" s="699" customFormat="1" ht="12.75" customHeight="1">
      <c r="A257" s="664"/>
      <c r="B257" s="664"/>
      <c r="C257" s="774" t="s">
        <v>1769</v>
      </c>
      <c r="D257" s="717"/>
      <c r="E257" s="722" t="s">
        <v>1941</v>
      </c>
      <c r="F257" s="723"/>
      <c r="G257" s="721"/>
      <c r="H257" s="721">
        <f t="shared" ref="H257:S257" si="253">+(H250/G250-1)*100</f>
        <v>25.757561336591593</v>
      </c>
      <c r="I257" s="721">
        <f t="shared" si="253"/>
        <v>19.649109529102905</v>
      </c>
      <c r="J257" s="721">
        <f t="shared" si="253"/>
        <v>14.237922830410831</v>
      </c>
      <c r="K257" s="721">
        <f t="shared" si="253"/>
        <v>-2.695822440754414</v>
      </c>
      <c r="L257" s="721">
        <f t="shared" si="253"/>
        <v>1.318000173561451</v>
      </c>
      <c r="M257" s="721">
        <f t="shared" si="253"/>
        <v>6.5909794568971281</v>
      </c>
      <c r="N257" s="721">
        <f t="shared" si="253"/>
        <v>5.8734030143895666</v>
      </c>
      <c r="O257" s="721">
        <f t="shared" si="253"/>
        <v>9.4258266642777357</v>
      </c>
      <c r="P257" s="721">
        <f t="shared" si="253"/>
        <v>11.206768633555386</v>
      </c>
      <c r="Q257" s="721">
        <f t="shared" si="253"/>
        <v>14.41829149150562</v>
      </c>
      <c r="R257" s="721">
        <f t="shared" si="253"/>
        <v>17.771293073057493</v>
      </c>
      <c r="S257" s="721">
        <f t="shared" si="253"/>
        <v>20.744442724552158</v>
      </c>
      <c r="T257" s="721">
        <f t="shared" si="251"/>
        <v>12.72175581621504</v>
      </c>
      <c r="U257" s="721">
        <f t="shared" si="251"/>
        <v>-19.537894826334245</v>
      </c>
      <c r="V257" s="721">
        <f t="shared" si="251"/>
        <v>-2.1843195428213558</v>
      </c>
      <c r="W257" s="721">
        <f t="shared" si="251"/>
        <v>10.012530449559076</v>
      </c>
      <c r="X257" s="721">
        <f t="shared" si="251"/>
        <v>4.2704849740585749</v>
      </c>
      <c r="Y257" s="721">
        <f t="shared" si="251"/>
        <v>5.5104559324383295</v>
      </c>
      <c r="Z257" s="721">
        <f t="shared" si="251"/>
        <v>4.6295440100475593</v>
      </c>
      <c r="AA257" s="721">
        <f t="shared" si="251"/>
        <v>4.116805069074414</v>
      </c>
      <c r="AB257" s="721">
        <f t="shared" si="251"/>
        <v>4.2623717921339788</v>
      </c>
      <c r="AC257" s="721">
        <f t="shared" si="251"/>
        <v>7.1479123346200435</v>
      </c>
      <c r="AD257" s="721">
        <f t="shared" ca="1" si="251"/>
        <v>6.6875490689158434</v>
      </c>
      <c r="AE257" s="721">
        <f t="shared" ca="1" si="251"/>
        <v>5.7077585915184859</v>
      </c>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row>
    <row r="258" spans="1:94">
      <c r="AB258" s="557"/>
      <c r="AC258" s="557"/>
      <c r="AD258" s="557"/>
      <c r="AE258" s="557"/>
    </row>
    <row r="259" spans="1:94">
      <c r="A259" s="1130"/>
      <c r="B259" s="1130"/>
      <c r="D259" s="1074"/>
      <c r="E259" s="1075" t="s">
        <v>2036</v>
      </c>
      <c r="F259" s="1076"/>
      <c r="G259" s="698">
        <f>+InputY!$G$3</f>
        <v>1995</v>
      </c>
      <c r="H259" s="698">
        <f>+G259+1</f>
        <v>1996</v>
      </c>
      <c r="I259" s="698">
        <f t="shared" ref="I259:O259" si="254">+H259+1</f>
        <v>1997</v>
      </c>
      <c r="J259" s="698">
        <f t="shared" si="254"/>
        <v>1998</v>
      </c>
      <c r="K259" s="698">
        <f t="shared" si="254"/>
        <v>1999</v>
      </c>
      <c r="L259" s="698">
        <f t="shared" si="254"/>
        <v>2000</v>
      </c>
      <c r="M259" s="698">
        <f t="shared" si="254"/>
        <v>2001</v>
      </c>
      <c r="N259" s="698">
        <f t="shared" si="254"/>
        <v>2002</v>
      </c>
      <c r="O259" s="698">
        <f t="shared" si="254"/>
        <v>2003</v>
      </c>
      <c r="P259" s="698">
        <f t="shared" ref="P259:V259" si="255">+O259+1</f>
        <v>2004</v>
      </c>
      <c r="Q259" s="698">
        <f t="shared" si="255"/>
        <v>2005</v>
      </c>
      <c r="R259" s="698">
        <f t="shared" si="255"/>
        <v>2006</v>
      </c>
      <c r="S259" s="698">
        <f>+R259+1</f>
        <v>2007</v>
      </c>
      <c r="T259" s="698">
        <f t="shared" si="255"/>
        <v>2008</v>
      </c>
      <c r="U259" s="698">
        <f t="shared" si="255"/>
        <v>2009</v>
      </c>
      <c r="V259" s="698">
        <f t="shared" si="255"/>
        <v>2010</v>
      </c>
      <c r="W259" s="698">
        <f t="shared" ref="W259:AE259" si="256">+V259+1</f>
        <v>2011</v>
      </c>
      <c r="X259" s="698">
        <f t="shared" si="256"/>
        <v>2012</v>
      </c>
      <c r="Y259" s="698">
        <f t="shared" si="256"/>
        <v>2013</v>
      </c>
      <c r="Z259" s="698">
        <f t="shared" si="256"/>
        <v>2014</v>
      </c>
      <c r="AA259" s="698">
        <f t="shared" si="256"/>
        <v>2015</v>
      </c>
      <c r="AB259" s="698">
        <f t="shared" si="256"/>
        <v>2016</v>
      </c>
      <c r="AC259" s="698">
        <f t="shared" si="256"/>
        <v>2017</v>
      </c>
      <c r="AD259" s="698">
        <f t="shared" si="256"/>
        <v>2018</v>
      </c>
      <c r="AE259" s="698">
        <f t="shared" si="256"/>
        <v>2019</v>
      </c>
    </row>
    <row r="260" spans="1:94">
      <c r="A260" s="664">
        <f>+ROW(InputY!A79)</f>
        <v>79</v>
      </c>
      <c r="B260" s="1130">
        <v>42</v>
      </c>
      <c r="C260" s="1082"/>
      <c r="D260" s="1086"/>
      <c r="E260" s="1087" t="s">
        <v>1449</v>
      </c>
      <c r="F260" s="1086" t="s">
        <v>1536</v>
      </c>
      <c r="G260" s="1088">
        <f>+InputY!G79/1000</f>
        <v>0.18446000000000001</v>
      </c>
      <c r="H260" s="1088">
        <f>+InputY!H79/1000</f>
        <v>4.6679999999999999E-2</v>
      </c>
      <c r="I260" s="1088">
        <f>+InputY!I79/1000</f>
        <v>0.25845999999999997</v>
      </c>
      <c r="J260" s="1088">
        <f>+InputY!J79/1000</f>
        <v>5.8840000000000003E-2</v>
      </c>
      <c r="K260" s="1088">
        <f>+InputY!K79/1000</f>
        <v>-7.7159999999999992E-2</v>
      </c>
      <c r="L260" s="1088">
        <f>+InputY!L79/1000</f>
        <v>-4.8979999999999996E-2</v>
      </c>
      <c r="M260" s="1088">
        <f>+InputY!M79/1000</f>
        <v>-0.21227000000000001</v>
      </c>
      <c r="N260" s="1088">
        <f>+InputY!N79/1000</f>
        <v>-9.2399999999999999E-3</v>
      </c>
      <c r="O260" s="1088">
        <f>+InputY!O79/1000</f>
        <v>4.3630000000000002E-2</v>
      </c>
      <c r="P260" s="1088">
        <f>+InputY!P79/1000</f>
        <v>-3.9409999999999994E-2</v>
      </c>
      <c r="Q260" s="1088">
        <f>+InputY!Q79/1000</f>
        <v>0.14046</v>
      </c>
      <c r="R260" s="1088">
        <f>+InputY!R79/1000</f>
        <v>0.19234000000000001</v>
      </c>
      <c r="S260" s="1088">
        <f>+InputY!S79/1000</f>
        <v>1.0260799999999999</v>
      </c>
      <c r="T260" s="1088">
        <f>+InputY!T79/1000</f>
        <v>0.60474000000000006</v>
      </c>
      <c r="U260" s="1088">
        <f>+InputY!U79/1000</f>
        <v>-1.47837</v>
      </c>
      <c r="V260" s="1088">
        <f>+InputY!V79/1000</f>
        <v>0.31864999999999999</v>
      </c>
      <c r="W260" s="1088">
        <f>+InputY!W79/1000</f>
        <v>1.0107000000000002</v>
      </c>
      <c r="X260" s="1088">
        <f>+InputY!X79/1000</f>
        <v>0.67282000000000008</v>
      </c>
      <c r="Y260" s="1088">
        <f>+InputY!Y79/1000</f>
        <v>0.34885000000000005</v>
      </c>
      <c r="Z260" s="1088">
        <f>+InputY!Z79/1000</f>
        <v>5.3120000000000001E-2</v>
      </c>
      <c r="AA260" s="1088">
        <f>+InputY!AA79/1000</f>
        <v>0.37847000000000003</v>
      </c>
      <c r="AB260" s="1088">
        <f>+InputY!AB79/1000</f>
        <v>-0.64598</v>
      </c>
      <c r="AC260" s="1340">
        <f ca="1">+AB260*(1+AC263/100)</f>
        <v>-0.64598</v>
      </c>
      <c r="AD260" s="1340">
        <f ca="1">+AC260*(1+AD263/100)</f>
        <v>-0.64598</v>
      </c>
      <c r="AE260" s="1340">
        <f ca="1">+AD260*(1+AE263/100)</f>
        <v>-0.64598</v>
      </c>
    </row>
    <row r="261" spans="1:94">
      <c r="AB261" s="557"/>
      <c r="AC261" s="557"/>
      <c r="AD261" s="557"/>
      <c r="AE261" s="557"/>
    </row>
    <row r="262" spans="1:94" s="699" customFormat="1" ht="12.75" customHeight="1">
      <c r="A262" s="664"/>
      <c r="B262" s="664"/>
      <c r="C262" s="774"/>
      <c r="D262" s="1092"/>
      <c r="E262" s="1093" t="s">
        <v>2036</v>
      </c>
      <c r="F262" s="1094"/>
      <c r="G262" s="896">
        <f>+InputY!$G$3</f>
        <v>1995</v>
      </c>
      <c r="H262" s="896">
        <f>+G262+1</f>
        <v>1996</v>
      </c>
      <c r="I262" s="896">
        <f t="shared" ref="I262:O262" si="257">+H262+1</f>
        <v>1997</v>
      </c>
      <c r="J262" s="896">
        <f t="shared" si="257"/>
        <v>1998</v>
      </c>
      <c r="K262" s="896">
        <f t="shared" si="257"/>
        <v>1999</v>
      </c>
      <c r="L262" s="896">
        <f t="shared" si="257"/>
        <v>2000</v>
      </c>
      <c r="M262" s="896">
        <f t="shared" si="257"/>
        <v>2001</v>
      </c>
      <c r="N262" s="896">
        <f t="shared" si="257"/>
        <v>2002</v>
      </c>
      <c r="O262" s="896">
        <f t="shared" si="257"/>
        <v>2003</v>
      </c>
      <c r="P262" s="896">
        <f t="shared" ref="P262:V262" si="258">+O262+1</f>
        <v>2004</v>
      </c>
      <c r="Q262" s="896">
        <f t="shared" si="258"/>
        <v>2005</v>
      </c>
      <c r="R262" s="896">
        <f t="shared" si="258"/>
        <v>2006</v>
      </c>
      <c r="S262" s="896">
        <f>+R262+1</f>
        <v>2007</v>
      </c>
      <c r="T262" s="896">
        <f t="shared" si="258"/>
        <v>2008</v>
      </c>
      <c r="U262" s="896">
        <f t="shared" si="258"/>
        <v>2009</v>
      </c>
      <c r="V262" s="896">
        <f t="shared" si="258"/>
        <v>2010</v>
      </c>
      <c r="W262" s="896">
        <f t="shared" ref="W262:AE262" si="259">+V262+1</f>
        <v>2011</v>
      </c>
      <c r="X262" s="896">
        <f t="shared" si="259"/>
        <v>2012</v>
      </c>
      <c r="Y262" s="896">
        <f t="shared" si="259"/>
        <v>2013</v>
      </c>
      <c r="Z262" s="896">
        <f t="shared" si="259"/>
        <v>2014</v>
      </c>
      <c r="AA262" s="896">
        <f t="shared" si="259"/>
        <v>2015</v>
      </c>
      <c r="AB262" s="896">
        <f t="shared" si="259"/>
        <v>2016</v>
      </c>
      <c r="AC262" s="896">
        <f t="shared" si="259"/>
        <v>2017</v>
      </c>
      <c r="AD262" s="896">
        <f t="shared" si="259"/>
        <v>2018</v>
      </c>
      <c r="AE262" s="896">
        <f t="shared" si="259"/>
        <v>2019</v>
      </c>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row>
    <row r="263" spans="1:94" s="699" customFormat="1" ht="12.75" customHeight="1">
      <c r="A263" s="664"/>
      <c r="B263" s="664"/>
      <c r="C263" s="798"/>
      <c r="D263" s="833"/>
      <c r="E263" s="834" t="s">
        <v>1449</v>
      </c>
      <c r="F263" s="835" t="s">
        <v>1536</v>
      </c>
      <c r="G263" s="1115"/>
      <c r="H263" s="1115">
        <f>+(H260/G260-1)*100</f>
        <v>-74.693700531280498</v>
      </c>
      <c r="I263" s="1115">
        <f t="shared" ref="I263:AB263" si="260">+(I260/H260-1)*100</f>
        <v>453.68466152527844</v>
      </c>
      <c r="J263" s="1115">
        <f t="shared" si="260"/>
        <v>-77.234388299930359</v>
      </c>
      <c r="K263" s="1115">
        <f t="shared" si="260"/>
        <v>-231.13528212100613</v>
      </c>
      <c r="L263" s="1115">
        <f t="shared" si="260"/>
        <v>-36.521513737687918</v>
      </c>
      <c r="M263" s="1115">
        <f t="shared" si="260"/>
        <v>333.38097182523489</v>
      </c>
      <c r="N263" s="1115">
        <f t="shared" si="260"/>
        <v>-95.647053281198467</v>
      </c>
      <c r="O263" s="1115">
        <f t="shared" si="260"/>
        <v>-572.1861471861472</v>
      </c>
      <c r="P263" s="1115">
        <f t="shared" si="260"/>
        <v>-190.32775613110243</v>
      </c>
      <c r="Q263" s="1115">
        <f t="shared" si="260"/>
        <v>-456.40700329865524</v>
      </c>
      <c r="R263" s="1115">
        <f t="shared" si="260"/>
        <v>36.935782429161335</v>
      </c>
      <c r="S263" s="1115">
        <f t="shared" si="260"/>
        <v>433.47197670791297</v>
      </c>
      <c r="T263" s="1115">
        <f t="shared" si="260"/>
        <v>-41.063075003898319</v>
      </c>
      <c r="U263" s="1115">
        <f t="shared" si="260"/>
        <v>-344.46373648179377</v>
      </c>
      <c r="V263" s="1115">
        <f t="shared" si="260"/>
        <v>-121.5541440911274</v>
      </c>
      <c r="W263" s="1115">
        <f t="shared" si="260"/>
        <v>217.18186097599252</v>
      </c>
      <c r="X263" s="1115">
        <f t="shared" si="260"/>
        <v>-33.430295834570103</v>
      </c>
      <c r="Y263" s="1115">
        <f t="shared" si="260"/>
        <v>-48.151065663921997</v>
      </c>
      <c r="Z263" s="1115">
        <f t="shared" si="260"/>
        <v>-84.772824996416801</v>
      </c>
      <c r="AA263" s="1115">
        <f t="shared" si="260"/>
        <v>612.48117469879526</v>
      </c>
      <c r="AB263" s="1115">
        <f t="shared" si="260"/>
        <v>-270.68195629772504</v>
      </c>
      <c r="AC263" s="1427">
        <f ca="1">OFFSET('VVP1'!$K$81,0,5*(COLUMN()-7))</f>
        <v>0</v>
      </c>
      <c r="AD263" s="1427">
        <f ca="1">OFFSET('VVP1'!$K$81,0,5*(COLUMN()-7))</f>
        <v>0</v>
      </c>
      <c r="AE263" s="1427">
        <f ca="1">OFFSET('VVP1'!$K$81,0,5*(COLUMN()-7))</f>
        <v>0</v>
      </c>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row>
    <row r="264" spans="1:94">
      <c r="AB264" s="557"/>
      <c r="AC264" s="557"/>
      <c r="AD264" s="557"/>
      <c r="AE264" s="557"/>
    </row>
    <row r="265" spans="1:94">
      <c r="A265" s="1130"/>
      <c r="B265" s="1130"/>
      <c r="D265" s="1074"/>
      <c r="E265" s="1075" t="s">
        <v>1942</v>
      </c>
      <c r="F265" s="1076"/>
      <c r="G265" s="698">
        <f>+InputY!$G$3</f>
        <v>1995</v>
      </c>
      <c r="H265" s="698">
        <f>+G265+1</f>
        <v>1996</v>
      </c>
      <c r="I265" s="698">
        <f t="shared" ref="I265:O265" si="261">+H265+1</f>
        <v>1997</v>
      </c>
      <c r="J265" s="698">
        <f t="shared" si="261"/>
        <v>1998</v>
      </c>
      <c r="K265" s="698">
        <f t="shared" si="261"/>
        <v>1999</v>
      </c>
      <c r="L265" s="698">
        <f t="shared" si="261"/>
        <v>2000</v>
      </c>
      <c r="M265" s="698">
        <f t="shared" si="261"/>
        <v>2001</v>
      </c>
      <c r="N265" s="698">
        <f t="shared" si="261"/>
        <v>2002</v>
      </c>
      <c r="O265" s="698">
        <f t="shared" si="261"/>
        <v>2003</v>
      </c>
      <c r="P265" s="698">
        <f t="shared" ref="P265:U265" si="262">+O265+1</f>
        <v>2004</v>
      </c>
      <c r="Q265" s="698">
        <f t="shared" si="262"/>
        <v>2005</v>
      </c>
      <c r="R265" s="698">
        <f t="shared" si="262"/>
        <v>2006</v>
      </c>
      <c r="S265" s="698">
        <f>+R265+1</f>
        <v>2007</v>
      </c>
      <c r="T265" s="698">
        <f t="shared" si="262"/>
        <v>2008</v>
      </c>
      <c r="U265" s="698">
        <f t="shared" si="262"/>
        <v>2009</v>
      </c>
      <c r="V265" s="698">
        <f t="shared" ref="V265:AE265" si="263">+U265+1</f>
        <v>2010</v>
      </c>
      <c r="W265" s="698">
        <f t="shared" si="263"/>
        <v>2011</v>
      </c>
      <c r="X265" s="698">
        <f t="shared" si="263"/>
        <v>2012</v>
      </c>
      <c r="Y265" s="698">
        <f t="shared" si="263"/>
        <v>2013</v>
      </c>
      <c r="Z265" s="698">
        <f t="shared" si="263"/>
        <v>2014</v>
      </c>
      <c r="AA265" s="698">
        <f t="shared" si="263"/>
        <v>2015</v>
      </c>
      <c r="AB265" s="698">
        <f t="shared" si="263"/>
        <v>2016</v>
      </c>
      <c r="AC265" s="698">
        <f t="shared" si="263"/>
        <v>2017</v>
      </c>
      <c r="AD265" s="698">
        <f t="shared" si="263"/>
        <v>2018</v>
      </c>
      <c r="AE265" s="698">
        <f t="shared" si="263"/>
        <v>2019</v>
      </c>
    </row>
    <row r="266" spans="1:94">
      <c r="A266" s="664"/>
      <c r="B266" s="1130"/>
      <c r="C266" s="1079" t="s">
        <v>1767</v>
      </c>
      <c r="D266" s="1058"/>
      <c r="E266" s="1038" t="s">
        <v>1941</v>
      </c>
      <c r="F266" s="1058"/>
      <c r="G266" s="1084">
        <f>+G250</f>
        <v>8.4052600000000002</v>
      </c>
      <c r="H266" s="1084">
        <f t="shared" ref="H266:R266" si="264">+H250</f>
        <v>10.57025</v>
      </c>
      <c r="I266" s="1084">
        <f t="shared" si="264"/>
        <v>12.647209999999999</v>
      </c>
      <c r="J266" s="1084">
        <f t="shared" si="264"/>
        <v>14.44791</v>
      </c>
      <c r="K266" s="1084">
        <f t="shared" si="264"/>
        <v>14.05842</v>
      </c>
      <c r="L266" s="1084">
        <f t="shared" si="264"/>
        <v>14.243709999999998</v>
      </c>
      <c r="M266" s="1084">
        <f t="shared" si="264"/>
        <v>15.182510000000001</v>
      </c>
      <c r="N266" s="1084">
        <f t="shared" si="264"/>
        <v>16.07424</v>
      </c>
      <c r="O266" s="1084">
        <f t="shared" si="264"/>
        <v>17.589369999999999</v>
      </c>
      <c r="P266" s="1084">
        <f t="shared" si="264"/>
        <v>19.560569999999998</v>
      </c>
      <c r="Q266" s="1084">
        <f t="shared" si="264"/>
        <v>22.380869999999998</v>
      </c>
      <c r="R266" s="1084">
        <f t="shared" si="264"/>
        <v>26.358240000000002</v>
      </c>
      <c r="S266" s="1084">
        <f t="shared" ref="S266:X266" si="265">+S250</f>
        <v>31.82611</v>
      </c>
      <c r="T266" s="1084">
        <f t="shared" si="265"/>
        <v>35.874949999999998</v>
      </c>
      <c r="U266" s="1084">
        <f t="shared" si="265"/>
        <v>28.865740000000002</v>
      </c>
      <c r="V266" s="1084">
        <f t="shared" si="265"/>
        <v>28.235220000000002</v>
      </c>
      <c r="W266" s="1084">
        <f t="shared" si="265"/>
        <v>31.062279999999998</v>
      </c>
      <c r="X266" s="1084">
        <f t="shared" si="265"/>
        <v>32.38879</v>
      </c>
      <c r="Y266" s="1084">
        <f t="shared" ref="Y266:AD266" si="266">+Y250</f>
        <v>34.173559999999995</v>
      </c>
      <c r="Z266" s="1084">
        <f t="shared" si="266"/>
        <v>35.75564</v>
      </c>
      <c r="AA266" s="1084">
        <f t="shared" si="266"/>
        <v>37.227629999999998</v>
      </c>
      <c r="AB266" s="1084">
        <f t="shared" ref="AB266:AC266" si="267">+AB250</f>
        <v>38.814410000000002</v>
      </c>
      <c r="AC266" s="1084">
        <f t="shared" si="267"/>
        <v>41.588830000000002</v>
      </c>
      <c r="AD266" s="1341">
        <f t="shared" ca="1" si="266"/>
        <v>44.370103413437995</v>
      </c>
      <c r="AE266" s="1341">
        <f t="shared" ref="AE266" ca="1" si="268">+AE250</f>
        <v>46.902641803084137</v>
      </c>
    </row>
    <row r="267" spans="1:94">
      <c r="A267" s="664"/>
      <c r="B267" s="1130"/>
      <c r="C267" s="1081" t="s">
        <v>1767</v>
      </c>
      <c r="D267" s="1077"/>
      <c r="E267" s="1039" t="s">
        <v>1449</v>
      </c>
      <c r="F267" s="1077" t="s">
        <v>1536</v>
      </c>
      <c r="G267" s="1085">
        <f>+G260</f>
        <v>0.18446000000000001</v>
      </c>
      <c r="H267" s="1085">
        <f t="shared" ref="H267:R267" si="269">+H260</f>
        <v>4.6679999999999999E-2</v>
      </c>
      <c r="I267" s="1085">
        <f t="shared" si="269"/>
        <v>0.25845999999999997</v>
      </c>
      <c r="J267" s="1085">
        <f t="shared" si="269"/>
        <v>5.8840000000000003E-2</v>
      </c>
      <c r="K267" s="1085">
        <f t="shared" si="269"/>
        <v>-7.7159999999999992E-2</v>
      </c>
      <c r="L267" s="1085">
        <f t="shared" si="269"/>
        <v>-4.8979999999999996E-2</v>
      </c>
      <c r="M267" s="1085">
        <f t="shared" si="269"/>
        <v>-0.21227000000000001</v>
      </c>
      <c r="N267" s="1085">
        <f t="shared" si="269"/>
        <v>-9.2399999999999999E-3</v>
      </c>
      <c r="O267" s="1085">
        <f t="shared" si="269"/>
        <v>4.3630000000000002E-2</v>
      </c>
      <c r="P267" s="1085">
        <f t="shared" si="269"/>
        <v>-3.9409999999999994E-2</v>
      </c>
      <c r="Q267" s="1085">
        <f t="shared" si="269"/>
        <v>0.14046</v>
      </c>
      <c r="R267" s="1085">
        <f t="shared" si="269"/>
        <v>0.19234000000000001</v>
      </c>
      <c r="S267" s="1085">
        <f t="shared" ref="S267:X267" si="270">+S260</f>
        <v>1.0260799999999999</v>
      </c>
      <c r="T267" s="1085">
        <f t="shared" si="270"/>
        <v>0.60474000000000006</v>
      </c>
      <c r="U267" s="1085">
        <f t="shared" si="270"/>
        <v>-1.47837</v>
      </c>
      <c r="V267" s="1085">
        <f t="shared" si="270"/>
        <v>0.31864999999999999</v>
      </c>
      <c r="W267" s="1085">
        <f t="shared" si="270"/>
        <v>1.0107000000000002</v>
      </c>
      <c r="X267" s="1085">
        <f t="shared" si="270"/>
        <v>0.67282000000000008</v>
      </c>
      <c r="Y267" s="1085">
        <f t="shared" ref="Y267:AD267" si="271">+Y260</f>
        <v>0.34885000000000005</v>
      </c>
      <c r="Z267" s="1085">
        <f t="shared" si="271"/>
        <v>5.3120000000000001E-2</v>
      </c>
      <c r="AA267" s="1085">
        <f t="shared" si="271"/>
        <v>0.37847000000000003</v>
      </c>
      <c r="AB267" s="1085">
        <f t="shared" ref="AB267:AC267" si="272">+AB260</f>
        <v>-0.64598</v>
      </c>
      <c r="AC267" s="1085">
        <f t="shared" ca="1" si="272"/>
        <v>-0.64598</v>
      </c>
      <c r="AD267" s="940">
        <f t="shared" ca="1" si="271"/>
        <v>-0.64598</v>
      </c>
      <c r="AE267" s="940">
        <f t="shared" ref="AE267" ca="1" si="273">+AE260</f>
        <v>-0.64598</v>
      </c>
    </row>
    <row r="268" spans="1:94">
      <c r="A268" s="664">
        <f>+ROW(InputY!A82)</f>
        <v>82</v>
      </c>
      <c r="B268" s="664"/>
      <c r="C268" s="694" t="s">
        <v>1769</v>
      </c>
      <c r="D268" s="1055"/>
      <c r="E268" s="1056" t="s">
        <v>1941</v>
      </c>
      <c r="F268" s="1055"/>
      <c r="G268" s="1057">
        <f>+InputY!G82/1000</f>
        <v>8.5897099999999984</v>
      </c>
      <c r="H268" s="1057">
        <f>+InputY!H82/1000</f>
        <v>10.61693</v>
      </c>
      <c r="I268" s="1057">
        <f>+InputY!I82/1000</f>
        <v>12.905670000000001</v>
      </c>
      <c r="J268" s="1057">
        <f>+InputY!J82/1000</f>
        <v>14.50676</v>
      </c>
      <c r="K268" s="1057">
        <f>+InputY!K82/1000</f>
        <v>13.981249999999999</v>
      </c>
      <c r="L268" s="1057">
        <f>+InputY!L82/1000</f>
        <v>14.19473</v>
      </c>
      <c r="M268" s="1057">
        <f>+InputY!M82/1000</f>
        <v>14.970229999999999</v>
      </c>
      <c r="N268" s="1057">
        <f>+InputY!N82/1000</f>
        <v>16.065000000000001</v>
      </c>
      <c r="O268" s="1057">
        <f>+InputY!O82/1000</f>
        <v>17.632999999999999</v>
      </c>
      <c r="P268" s="1057">
        <f>+InputY!P82/1000</f>
        <v>19.521159999999998</v>
      </c>
      <c r="Q268" s="1057">
        <f>+InputY!Q82/1000</f>
        <v>22.521330000000003</v>
      </c>
      <c r="R268" s="1057">
        <f>+InputY!R82/1000</f>
        <v>26.55058</v>
      </c>
      <c r="S268" s="1057">
        <f>+InputY!S82/1000</f>
        <v>32.852199999999996</v>
      </c>
      <c r="T268" s="1057">
        <f>+InputY!T82/1000</f>
        <v>36.479690000000005</v>
      </c>
      <c r="U268" s="1057">
        <f>+InputY!U82/1000</f>
        <v>27.387370000000001</v>
      </c>
      <c r="V268" s="1057">
        <f>+InputY!V82/1000</f>
        <v>28.55387</v>
      </c>
      <c r="W268" s="1057">
        <f>+InputY!W82/1000</f>
        <v>32.072980000000001</v>
      </c>
      <c r="X268" s="1057">
        <f>+InputY!X82/1000</f>
        <v>33.061620000000005</v>
      </c>
      <c r="Y268" s="1057">
        <f>+InputY!Y82/1000</f>
        <v>34.522400000000005</v>
      </c>
      <c r="Z268" s="1057">
        <f>+InputY!Z82/1000</f>
        <v>35.808759999999999</v>
      </c>
      <c r="AA268" s="1057">
        <f>+InputY!AA82/1000</f>
        <v>37.606099999999998</v>
      </c>
      <c r="AB268" s="1057">
        <f>+InputY!AB82/1000</f>
        <v>38.168430000000001</v>
      </c>
      <c r="AC268" s="2302">
        <f ca="1">+AC266+AC267</f>
        <v>40.94285</v>
      </c>
      <c r="AD268" s="2302">
        <f ca="1">+AD266+AD267</f>
        <v>43.724123413437994</v>
      </c>
      <c r="AE268" s="2302">
        <f ca="1">+AE266+AE267</f>
        <v>46.256661803084135</v>
      </c>
    </row>
    <row r="269" spans="1:94" s="699" customFormat="1" ht="12.75" customHeight="1">
      <c r="A269" s="664"/>
      <c r="B269" s="664"/>
      <c r="C269" s="774"/>
      <c r="D269" s="1973"/>
      <c r="E269" s="1973" t="s">
        <v>737</v>
      </c>
      <c r="F269" s="1973"/>
      <c r="G269" s="1002">
        <f>ABS(G268-G267-G266)</f>
        <v>1.000000000139778E-5</v>
      </c>
      <c r="H269" s="1002">
        <f t="shared" ref="H269:S269" si="274">ABS(H268-H267-H266)</f>
        <v>0</v>
      </c>
      <c r="I269" s="1002">
        <f t="shared" si="274"/>
        <v>1.7763568394002505E-15</v>
      </c>
      <c r="J269" s="1002">
        <f t="shared" si="274"/>
        <v>9.9999999996214228E-6</v>
      </c>
      <c r="K269" s="1002">
        <f t="shared" si="274"/>
        <v>1.000000000139778E-5</v>
      </c>
      <c r="L269" s="1002">
        <f t="shared" si="274"/>
        <v>1.7763568394002505E-15</v>
      </c>
      <c r="M269" s="1002">
        <f t="shared" si="274"/>
        <v>1.000000000139778E-5</v>
      </c>
      <c r="N269" s="1002">
        <f t="shared" si="274"/>
        <v>0</v>
      </c>
      <c r="O269" s="1002">
        <f t="shared" si="274"/>
        <v>0</v>
      </c>
      <c r="P269" s="1002">
        <f t="shared" si="274"/>
        <v>0</v>
      </c>
      <c r="Q269" s="1002">
        <f t="shared" si="274"/>
        <v>3.5527136788005009E-15</v>
      </c>
      <c r="R269" s="1002">
        <f t="shared" si="274"/>
        <v>3.5527136788005009E-15</v>
      </c>
      <c r="S269" s="1002">
        <f t="shared" si="274"/>
        <v>9.9999999960687092E-6</v>
      </c>
      <c r="T269" s="2906">
        <f t="shared" ref="T269:Y269" si="275">ABS(T268-T267-T266)</f>
        <v>7.1054273576010019E-15</v>
      </c>
      <c r="U269" s="2906">
        <f t="shared" si="275"/>
        <v>0</v>
      </c>
      <c r="V269" s="2906">
        <f t="shared" si="275"/>
        <v>3.5527136788005009E-15</v>
      </c>
      <c r="W269" s="2906">
        <f t="shared" si="275"/>
        <v>3.5527136788005009E-15</v>
      </c>
      <c r="X269" s="2906">
        <f t="shared" si="275"/>
        <v>1.0000000003174137E-5</v>
      </c>
      <c r="Y269" s="2906">
        <f t="shared" si="275"/>
        <v>9.9999999889632818E-6</v>
      </c>
      <c r="Z269" s="2906">
        <f t="shared" ref="Z269:AE269" si="276">ABS(Z268-Z267-Z266)</f>
        <v>0</v>
      </c>
      <c r="AA269" s="2906">
        <f t="shared" si="276"/>
        <v>0</v>
      </c>
      <c r="AB269" s="2906">
        <f t="shared" si="276"/>
        <v>0</v>
      </c>
      <c r="AC269" s="2906">
        <f t="shared" ca="1" si="276"/>
        <v>0</v>
      </c>
      <c r="AD269" s="2906">
        <f t="shared" ca="1" si="276"/>
        <v>0</v>
      </c>
      <c r="AE269" s="2906">
        <f t="shared" ca="1" si="276"/>
        <v>0</v>
      </c>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row>
    <row r="270" spans="1:94">
      <c r="AB270" s="557"/>
      <c r="AC270" s="557"/>
      <c r="AD270" s="557"/>
      <c r="AE270" s="557"/>
    </row>
    <row r="271" spans="1:94" s="699" customFormat="1" ht="12.75" customHeight="1">
      <c r="A271" s="664"/>
      <c r="B271" s="664"/>
      <c r="C271" s="774"/>
      <c r="D271" s="1092"/>
      <c r="E271" s="1093" t="s">
        <v>1942</v>
      </c>
      <c r="F271" s="1094"/>
      <c r="G271" s="896">
        <f>+InputY!$G$3</f>
        <v>1995</v>
      </c>
      <c r="H271" s="896">
        <f>+G271+1</f>
        <v>1996</v>
      </c>
      <c r="I271" s="896">
        <f t="shared" ref="I271:O271" si="277">+H271+1</f>
        <v>1997</v>
      </c>
      <c r="J271" s="896">
        <f t="shared" si="277"/>
        <v>1998</v>
      </c>
      <c r="K271" s="896">
        <f t="shared" si="277"/>
        <v>1999</v>
      </c>
      <c r="L271" s="896">
        <f t="shared" si="277"/>
        <v>2000</v>
      </c>
      <c r="M271" s="896">
        <f t="shared" si="277"/>
        <v>2001</v>
      </c>
      <c r="N271" s="896">
        <f t="shared" si="277"/>
        <v>2002</v>
      </c>
      <c r="O271" s="896">
        <f t="shared" si="277"/>
        <v>2003</v>
      </c>
      <c r="P271" s="896">
        <f t="shared" ref="P271:U271" si="278">+O271+1</f>
        <v>2004</v>
      </c>
      <c r="Q271" s="896">
        <f t="shared" si="278"/>
        <v>2005</v>
      </c>
      <c r="R271" s="896">
        <f t="shared" si="278"/>
        <v>2006</v>
      </c>
      <c r="S271" s="896">
        <f>+R271+1</f>
        <v>2007</v>
      </c>
      <c r="T271" s="896">
        <f t="shared" si="278"/>
        <v>2008</v>
      </c>
      <c r="U271" s="896">
        <f t="shared" si="278"/>
        <v>2009</v>
      </c>
      <c r="V271" s="896">
        <f t="shared" ref="V271:AE271" si="279">+U271+1</f>
        <v>2010</v>
      </c>
      <c r="W271" s="896">
        <f t="shared" si="279"/>
        <v>2011</v>
      </c>
      <c r="X271" s="896">
        <f t="shared" si="279"/>
        <v>2012</v>
      </c>
      <c r="Y271" s="896">
        <f t="shared" si="279"/>
        <v>2013</v>
      </c>
      <c r="Z271" s="896">
        <f t="shared" si="279"/>
        <v>2014</v>
      </c>
      <c r="AA271" s="896">
        <f t="shared" si="279"/>
        <v>2015</v>
      </c>
      <c r="AB271" s="896">
        <f t="shared" si="279"/>
        <v>2016</v>
      </c>
      <c r="AC271" s="896">
        <f t="shared" si="279"/>
        <v>2017</v>
      </c>
      <c r="AD271" s="896">
        <f t="shared" si="279"/>
        <v>2018</v>
      </c>
      <c r="AE271" s="896">
        <f t="shared" si="279"/>
        <v>2019</v>
      </c>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row>
    <row r="272" spans="1:94" s="699" customFormat="1" ht="12.75" customHeight="1">
      <c r="A272" s="664"/>
      <c r="B272" s="664"/>
      <c r="C272" s="794" t="s">
        <v>1767</v>
      </c>
      <c r="D272" s="689"/>
      <c r="E272" s="738" t="s">
        <v>1941</v>
      </c>
      <c r="F272" s="733"/>
      <c r="G272" s="1095"/>
      <c r="H272" s="1095">
        <f t="shared" ref="H272:AE272" si="280">+(H266/G266-1)*100</f>
        <v>25.757561336591593</v>
      </c>
      <c r="I272" s="1095">
        <f t="shared" si="280"/>
        <v>19.649109529102905</v>
      </c>
      <c r="J272" s="1095">
        <f t="shared" si="280"/>
        <v>14.237922830410831</v>
      </c>
      <c r="K272" s="1095">
        <f t="shared" si="280"/>
        <v>-2.695822440754414</v>
      </c>
      <c r="L272" s="1095">
        <f t="shared" si="280"/>
        <v>1.318000173561451</v>
      </c>
      <c r="M272" s="1095">
        <f t="shared" si="280"/>
        <v>6.5909794568971281</v>
      </c>
      <c r="N272" s="1095">
        <f t="shared" si="280"/>
        <v>5.8734030143895666</v>
      </c>
      <c r="O272" s="1095">
        <f t="shared" si="280"/>
        <v>9.4258266642777357</v>
      </c>
      <c r="P272" s="1095">
        <f t="shared" si="280"/>
        <v>11.206768633555386</v>
      </c>
      <c r="Q272" s="1095">
        <f t="shared" si="280"/>
        <v>14.41829149150562</v>
      </c>
      <c r="R272" s="1095">
        <f t="shared" si="280"/>
        <v>17.771293073057493</v>
      </c>
      <c r="S272" s="1095">
        <f t="shared" si="280"/>
        <v>20.744442724552158</v>
      </c>
      <c r="T272" s="1095">
        <f t="shared" si="280"/>
        <v>12.72175581621504</v>
      </c>
      <c r="U272" s="1095">
        <f t="shared" si="280"/>
        <v>-19.537894826334245</v>
      </c>
      <c r="V272" s="1095">
        <f t="shared" si="280"/>
        <v>-2.1843195428213558</v>
      </c>
      <c r="W272" s="1095">
        <f t="shared" si="280"/>
        <v>10.012530449559076</v>
      </c>
      <c r="X272" s="1095">
        <f t="shared" si="280"/>
        <v>4.2704849740585749</v>
      </c>
      <c r="Y272" s="1095">
        <f t="shared" si="280"/>
        <v>5.5104559324383295</v>
      </c>
      <c r="Z272" s="1095">
        <f t="shared" si="280"/>
        <v>4.6295440100475593</v>
      </c>
      <c r="AA272" s="1095">
        <f t="shared" si="280"/>
        <v>4.116805069074414</v>
      </c>
      <c r="AB272" s="1095">
        <f t="shared" si="280"/>
        <v>4.2623717921339788</v>
      </c>
      <c r="AC272" s="1095">
        <f t="shared" si="280"/>
        <v>7.1479123346200435</v>
      </c>
      <c r="AD272" s="1095">
        <f t="shared" ca="1" si="280"/>
        <v>6.6875490689158434</v>
      </c>
      <c r="AE272" s="1095">
        <f t="shared" ca="1" si="280"/>
        <v>5.7077585915184859</v>
      </c>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row>
    <row r="273" spans="1:94" s="699" customFormat="1" ht="12.75" customHeight="1">
      <c r="A273" s="664"/>
      <c r="B273" s="664"/>
      <c r="C273" s="796" t="s">
        <v>1767</v>
      </c>
      <c r="D273" s="691"/>
      <c r="E273" s="797" t="s">
        <v>1449</v>
      </c>
      <c r="F273" s="736" t="s">
        <v>1536</v>
      </c>
      <c r="G273" s="1096"/>
      <c r="H273" s="1096">
        <f t="shared" ref="H273:Q273" si="281">+(H267/G267-1)*100</f>
        <v>-74.693700531280498</v>
      </c>
      <c r="I273" s="1096">
        <f t="shared" si="281"/>
        <v>453.68466152527844</v>
      </c>
      <c r="J273" s="1096">
        <f t="shared" si="281"/>
        <v>-77.234388299930359</v>
      </c>
      <c r="K273" s="1096">
        <f t="shared" si="281"/>
        <v>-231.13528212100613</v>
      </c>
      <c r="L273" s="1096">
        <f t="shared" si="281"/>
        <v>-36.521513737687918</v>
      </c>
      <c r="M273" s="1096">
        <f t="shared" si="281"/>
        <v>333.38097182523489</v>
      </c>
      <c r="N273" s="1096">
        <f t="shared" si="281"/>
        <v>-95.647053281198467</v>
      </c>
      <c r="O273" s="1096">
        <f t="shared" si="281"/>
        <v>-572.1861471861472</v>
      </c>
      <c r="P273" s="1096">
        <f t="shared" si="281"/>
        <v>-190.32775613110243</v>
      </c>
      <c r="Q273" s="1096">
        <f t="shared" si="281"/>
        <v>-456.40700329865524</v>
      </c>
      <c r="R273" s="1096">
        <f t="shared" ref="R273:AE274" si="282">+(R267/Q267-1)*100</f>
        <v>36.935782429161335</v>
      </c>
      <c r="S273" s="1096">
        <f t="shared" si="282"/>
        <v>433.47197670791297</v>
      </c>
      <c r="T273" s="1096">
        <f t="shared" si="282"/>
        <v>-41.063075003898319</v>
      </c>
      <c r="U273" s="1096">
        <f t="shared" si="282"/>
        <v>-344.46373648179377</v>
      </c>
      <c r="V273" s="1096">
        <f t="shared" si="282"/>
        <v>-121.5541440911274</v>
      </c>
      <c r="W273" s="1096">
        <f t="shared" si="282"/>
        <v>217.18186097599252</v>
      </c>
      <c r="X273" s="1096">
        <f t="shared" si="282"/>
        <v>-33.430295834570103</v>
      </c>
      <c r="Y273" s="1096">
        <f t="shared" si="282"/>
        <v>-48.151065663921997</v>
      </c>
      <c r="Z273" s="1096">
        <f t="shared" si="282"/>
        <v>-84.772824996416801</v>
      </c>
      <c r="AA273" s="1096">
        <f t="shared" si="282"/>
        <v>612.48117469879526</v>
      </c>
      <c r="AB273" s="1096">
        <f t="shared" si="282"/>
        <v>-270.68195629772504</v>
      </c>
      <c r="AC273" s="1096">
        <f t="shared" ca="1" si="282"/>
        <v>0</v>
      </c>
      <c r="AD273" s="1096">
        <f t="shared" ca="1" si="282"/>
        <v>0</v>
      </c>
      <c r="AE273" s="1096">
        <f t="shared" ca="1" si="282"/>
        <v>0</v>
      </c>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row>
    <row r="274" spans="1:94" s="699" customFormat="1" ht="12.75" customHeight="1">
      <c r="A274" s="664"/>
      <c r="B274" s="664"/>
      <c r="C274" s="774" t="s">
        <v>1769</v>
      </c>
      <c r="D274" s="717"/>
      <c r="E274" s="722" t="s">
        <v>1941</v>
      </c>
      <c r="F274" s="723"/>
      <c r="G274" s="721"/>
      <c r="H274" s="721">
        <f t="shared" ref="H274:Q274" si="283">+(H268/G268-1)*100</f>
        <v>23.600563930563446</v>
      </c>
      <c r="I274" s="721">
        <f t="shared" si="283"/>
        <v>21.557455874720844</v>
      </c>
      <c r="J274" s="721">
        <f t="shared" si="283"/>
        <v>12.406097474985799</v>
      </c>
      <c r="K274" s="721">
        <f t="shared" si="283"/>
        <v>-3.622518053652235</v>
      </c>
      <c r="L274" s="721">
        <f t="shared" si="283"/>
        <v>1.5269021010281714</v>
      </c>
      <c r="M274" s="721">
        <f t="shared" si="283"/>
        <v>5.4632951806762087</v>
      </c>
      <c r="N274" s="721">
        <f t="shared" si="283"/>
        <v>7.312980495289656</v>
      </c>
      <c r="O274" s="721">
        <f t="shared" si="283"/>
        <v>9.7603485838779758</v>
      </c>
      <c r="P274" s="721">
        <f t="shared" si="283"/>
        <v>10.708104122951291</v>
      </c>
      <c r="Q274" s="721">
        <f t="shared" si="283"/>
        <v>15.368810050222459</v>
      </c>
      <c r="R274" s="721">
        <f t="shared" si="282"/>
        <v>17.890817282993488</v>
      </c>
      <c r="S274" s="721">
        <f t="shared" si="282"/>
        <v>23.734396762707235</v>
      </c>
      <c r="T274" s="721">
        <f t="shared" si="282"/>
        <v>11.041848034530432</v>
      </c>
      <c r="U274" s="721">
        <f t="shared" si="282"/>
        <v>-24.924334609203104</v>
      </c>
      <c r="V274" s="721">
        <f t="shared" si="282"/>
        <v>4.2592625724923616</v>
      </c>
      <c r="W274" s="721">
        <f t="shared" si="282"/>
        <v>12.324458996276167</v>
      </c>
      <c r="X274" s="721">
        <f t="shared" si="282"/>
        <v>3.0824700417610096</v>
      </c>
      <c r="Y274" s="721">
        <f t="shared" si="282"/>
        <v>4.4183557853486821</v>
      </c>
      <c r="Z274" s="721">
        <f t="shared" si="282"/>
        <v>3.7261604059972475</v>
      </c>
      <c r="AA274" s="721">
        <f t="shared" si="282"/>
        <v>5.0192746132510457</v>
      </c>
      <c r="AB274" s="721">
        <f t="shared" si="282"/>
        <v>1.4953159194917909</v>
      </c>
      <c r="AC274" s="721">
        <f t="shared" ca="1" si="282"/>
        <v>7.2688868785014238</v>
      </c>
      <c r="AD274" s="721">
        <f t="shared" ca="1" si="282"/>
        <v>6.7930625577799164</v>
      </c>
      <c r="AE274" s="721">
        <f t="shared" ca="1" si="282"/>
        <v>5.7920849909315786</v>
      </c>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row>
    <row r="275" spans="1:94">
      <c r="AB275" s="557"/>
      <c r="AC275" s="557"/>
      <c r="AD275" s="557"/>
      <c r="AE275" s="557"/>
    </row>
    <row r="276" spans="1:94">
      <c r="A276" s="1130"/>
      <c r="B276" s="1130"/>
      <c r="D276" s="1073"/>
      <c r="E276" s="901" t="s">
        <v>2037</v>
      </c>
      <c r="F276" s="1065"/>
      <c r="G276" s="778">
        <f>+InputY!$G$3</f>
        <v>1995</v>
      </c>
      <c r="H276" s="778">
        <f>+G276+1</f>
        <v>1996</v>
      </c>
      <c r="I276" s="778">
        <f t="shared" ref="I276:O276" si="284">+H276+1</f>
        <v>1997</v>
      </c>
      <c r="J276" s="778">
        <f t="shared" si="284"/>
        <v>1998</v>
      </c>
      <c r="K276" s="778">
        <f t="shared" si="284"/>
        <v>1999</v>
      </c>
      <c r="L276" s="778">
        <f t="shared" si="284"/>
        <v>2000</v>
      </c>
      <c r="M276" s="778">
        <f t="shared" si="284"/>
        <v>2001</v>
      </c>
      <c r="N276" s="778">
        <f t="shared" si="284"/>
        <v>2002</v>
      </c>
      <c r="O276" s="778">
        <f t="shared" si="284"/>
        <v>2003</v>
      </c>
      <c r="P276" s="778">
        <f t="shared" ref="P276:V276" si="285">+O276+1</f>
        <v>2004</v>
      </c>
      <c r="Q276" s="778">
        <f t="shared" si="285"/>
        <v>2005</v>
      </c>
      <c r="R276" s="778">
        <f t="shared" si="285"/>
        <v>2006</v>
      </c>
      <c r="S276" s="778">
        <f>+R276+1</f>
        <v>2007</v>
      </c>
      <c r="T276" s="778">
        <f t="shared" si="285"/>
        <v>2008</v>
      </c>
      <c r="U276" s="778">
        <f t="shared" si="285"/>
        <v>2009</v>
      </c>
      <c r="V276" s="778">
        <f t="shared" si="285"/>
        <v>2010</v>
      </c>
      <c r="W276" s="778">
        <f t="shared" ref="W276:AE276" si="286">+V276+1</f>
        <v>2011</v>
      </c>
      <c r="X276" s="778">
        <f t="shared" si="286"/>
        <v>2012</v>
      </c>
      <c r="Y276" s="778">
        <f t="shared" si="286"/>
        <v>2013</v>
      </c>
      <c r="Z276" s="778">
        <f t="shared" si="286"/>
        <v>2014</v>
      </c>
      <c r="AA276" s="778">
        <f t="shared" si="286"/>
        <v>2015</v>
      </c>
      <c r="AB276" s="778">
        <f t="shared" si="286"/>
        <v>2016</v>
      </c>
      <c r="AC276" s="778">
        <f t="shared" si="286"/>
        <v>2017</v>
      </c>
      <c r="AD276" s="778">
        <f t="shared" si="286"/>
        <v>2018</v>
      </c>
      <c r="AE276" s="778">
        <f t="shared" si="286"/>
        <v>2019</v>
      </c>
    </row>
    <row r="277" spans="1:94">
      <c r="A277" s="664">
        <f>+ROW(InputY!A88)</f>
        <v>88</v>
      </c>
      <c r="B277" s="665">
        <v>44</v>
      </c>
      <c r="C277" s="1079" t="s">
        <v>1767</v>
      </c>
      <c r="D277" s="1058"/>
      <c r="E277" s="1038" t="s">
        <v>1450</v>
      </c>
      <c r="F277" s="1058" t="s">
        <v>1539</v>
      </c>
      <c r="G277" s="1084">
        <f>+InputY!G88/1000</f>
        <v>0.71213000000000004</v>
      </c>
      <c r="H277" s="1084">
        <f>+InputY!H88/1000</f>
        <v>1.0703499999999999</v>
      </c>
      <c r="I277" s="1084">
        <f>+InputY!I88/1000</f>
        <v>1.35138</v>
      </c>
      <c r="J277" s="1084">
        <f>+InputY!J88/1000</f>
        <v>1.4457200000000001</v>
      </c>
      <c r="K277" s="1084">
        <f>+InputY!K88/1000</f>
        <v>1.43018</v>
      </c>
      <c r="L277" s="1084">
        <f>+InputY!L88/1000</f>
        <v>1.3992899999999999</v>
      </c>
      <c r="M277" s="1084">
        <f>+InputY!M88/1000</f>
        <v>1.5115499999999999</v>
      </c>
      <c r="N277" s="1084">
        <f>+InputY!N88/1000</f>
        <v>1.73414</v>
      </c>
      <c r="O277" s="1084">
        <f>+InputY!O88/1000</f>
        <v>1.8293299999999999</v>
      </c>
      <c r="P277" s="1084">
        <f>+InputY!P88/1000</f>
        <v>2.22885</v>
      </c>
      <c r="Q277" s="1084">
        <f>+InputY!Q88/1000</f>
        <v>2.44821</v>
      </c>
      <c r="R277" s="1084">
        <f>+InputY!R88/1000</f>
        <v>2.8837299999999999</v>
      </c>
      <c r="S277" s="1084">
        <f>+InputY!S88/1000</f>
        <v>3.0898499999999998</v>
      </c>
      <c r="T277" s="1084">
        <f>+InputY!T88/1000</f>
        <v>3.4463900000000001</v>
      </c>
      <c r="U277" s="1084">
        <f>+InputY!U88/1000</f>
        <v>2.9340100000000002</v>
      </c>
      <c r="V277" s="1084">
        <f>+InputY!V88/1000</f>
        <v>3.4228700000000001</v>
      </c>
      <c r="W277" s="1084">
        <f>+InputY!W88/1000</f>
        <v>4.0331000000000001</v>
      </c>
      <c r="X277" s="1084">
        <f>+InputY!X88/1000</f>
        <v>4.79291</v>
      </c>
      <c r="Y277" s="1084">
        <f>+InputY!Y88/1000</f>
        <v>5.3902099999999997</v>
      </c>
      <c r="Z277" s="1084">
        <f>+InputY!Z88/1000</f>
        <v>5.9084300000000001</v>
      </c>
      <c r="AA277" s="3160">
        <f>+InputY!AA88/1000</f>
        <v>6.0737700000000006</v>
      </c>
      <c r="AB277" s="3160">
        <f>+InputY!AB88/1000</f>
        <v>6.8672200000000005</v>
      </c>
      <c r="AC277" s="3160">
        <f>+InputY!AC88/1000</f>
        <v>8.28017</v>
      </c>
      <c r="AD277" s="1416">
        <f t="shared" ref="AD277:AE279" ca="1" si="287">+AC277*(1+AD283/100)</f>
        <v>9.0388405762499993</v>
      </c>
      <c r="AE277" s="1416">
        <f t="shared" ca="1" si="287"/>
        <v>9.6439457586270549</v>
      </c>
    </row>
    <row r="278" spans="1:94">
      <c r="A278" s="664">
        <f>+ROW(InputY!A87)</f>
        <v>87</v>
      </c>
      <c r="B278" s="1130">
        <v>43</v>
      </c>
      <c r="C278" s="1081" t="s">
        <v>1767</v>
      </c>
      <c r="D278" s="1077"/>
      <c r="E278" s="1078" t="s">
        <v>1451</v>
      </c>
      <c r="F278" s="1077" t="s">
        <v>1522</v>
      </c>
      <c r="G278" s="1085">
        <f>+InputY!G87/1000</f>
        <v>2.17198</v>
      </c>
      <c r="H278" s="1085">
        <f>+InputY!H87/1000</f>
        <v>3.0038</v>
      </c>
      <c r="I278" s="1085">
        <f>+InputY!I87/1000</f>
        <v>3.9206799999999999</v>
      </c>
      <c r="J278" s="1085">
        <f>+InputY!J87/1000</f>
        <v>3.6490900000000002</v>
      </c>
      <c r="K278" s="1085">
        <f>+InputY!K87/1000</f>
        <v>2.6903600000000001</v>
      </c>
      <c r="L278" s="1085">
        <f>+InputY!L87/1000</f>
        <v>3.7535700000000003</v>
      </c>
      <c r="M278" s="1085">
        <f>+InputY!M87/1000</f>
        <v>4.7400900000000004</v>
      </c>
      <c r="N278" s="1085">
        <f>+InputY!N87/1000</f>
        <v>5.4628900000000007</v>
      </c>
      <c r="O278" s="1085">
        <f>+InputY!O87/1000</f>
        <v>5.86646</v>
      </c>
      <c r="P278" s="1085">
        <f>+InputY!P87/1000</f>
        <v>6.4061000000000003</v>
      </c>
      <c r="Q278" s="1085">
        <f>+InputY!Q87/1000</f>
        <v>8.8599300000000003</v>
      </c>
      <c r="R278" s="1085">
        <f>+InputY!R87/1000</f>
        <v>10.509169999999999</v>
      </c>
      <c r="S278" s="1085">
        <f>+InputY!S87/1000</f>
        <v>11.53453</v>
      </c>
      <c r="T278" s="1085">
        <f>+InputY!T87/1000</f>
        <v>15.235940000000001</v>
      </c>
      <c r="U278" s="1085">
        <f>+InputY!U87/1000</f>
        <v>11.055719999999999</v>
      </c>
      <c r="V278" s="1085">
        <f>+InputY!V87/1000</f>
        <v>14.891</v>
      </c>
      <c r="W278" s="1085">
        <f>+InputY!W87/1000</f>
        <v>19.421950000000002</v>
      </c>
      <c r="X278" s="1085">
        <f>+InputY!X87/1000</f>
        <v>22.427160000000001</v>
      </c>
      <c r="Y278" s="1085">
        <f>+InputY!Y87/1000</f>
        <v>23.99766</v>
      </c>
      <c r="Z278" s="1085">
        <f>+InputY!Z87/1000</f>
        <v>23.749599999999997</v>
      </c>
      <c r="AA278" s="3161">
        <f>+InputY!AA87/1000</f>
        <v>22.30939</v>
      </c>
      <c r="AB278" s="3161">
        <f>+InputY!AB87/1000</f>
        <v>21.92191</v>
      </c>
      <c r="AC278" s="3161">
        <f>+InputY!AC87/1000</f>
        <v>25.75292</v>
      </c>
      <c r="AD278" s="1342">
        <f t="shared" ca="1" si="287"/>
        <v>27.715189492319997</v>
      </c>
      <c r="AE278" s="1342">
        <f t="shared" ca="1" si="287"/>
        <v>29.51335098658172</v>
      </c>
    </row>
    <row r="279" spans="1:94">
      <c r="A279" s="664">
        <f>+ROW(InputY!A89)</f>
        <v>89</v>
      </c>
      <c r="B279" s="664"/>
      <c r="C279" s="694" t="s">
        <v>1769</v>
      </c>
      <c r="D279" s="1055"/>
      <c r="E279" s="1056" t="s">
        <v>1358</v>
      </c>
      <c r="F279" s="1055" t="s">
        <v>1885</v>
      </c>
      <c r="G279" s="1057">
        <f>+InputY!G89/1000</f>
        <v>2.8841000000000001</v>
      </c>
      <c r="H279" s="1057">
        <f>+InputY!H89/1000</f>
        <v>4.07416</v>
      </c>
      <c r="I279" s="1057">
        <f>+InputY!I89/1000</f>
        <v>5.2720500000000001</v>
      </c>
      <c r="J279" s="1057">
        <f>+InputY!J89/1000</f>
        <v>5.0948100000000007</v>
      </c>
      <c r="K279" s="1057">
        <f>+InputY!K89/1000</f>
        <v>4.1205400000000001</v>
      </c>
      <c r="L279" s="1057">
        <f>+InputY!L89/1000</f>
        <v>5.1528499999999999</v>
      </c>
      <c r="M279" s="1057">
        <f>+InputY!M89/1000</f>
        <v>6.2516400000000001</v>
      </c>
      <c r="N279" s="1057">
        <f>+InputY!N89/1000</f>
        <v>7.1970299999999998</v>
      </c>
      <c r="O279" s="1057">
        <f>+InputY!O89/1000</f>
        <v>7.6957899999999997</v>
      </c>
      <c r="P279" s="1057">
        <f>+InputY!P89/1000</f>
        <v>8.6349599999999995</v>
      </c>
      <c r="Q279" s="1057">
        <f>+InputY!Q89/1000</f>
        <v>11.30814</v>
      </c>
      <c r="R279" s="1057">
        <f>+InputY!R89/1000</f>
        <v>13.392899999999999</v>
      </c>
      <c r="S279" s="1057">
        <f>+InputY!S89/1000</f>
        <v>14.62439</v>
      </c>
      <c r="T279" s="1057">
        <f>+InputY!T89/1000</f>
        <v>18.68233</v>
      </c>
      <c r="U279" s="1057">
        <f>+InputY!U89/1000</f>
        <v>13.98973</v>
      </c>
      <c r="V279" s="1057">
        <f>+InputY!V89/1000</f>
        <v>18.313880000000001</v>
      </c>
      <c r="W279" s="1057">
        <f>+InputY!W89/1000</f>
        <v>23.45505</v>
      </c>
      <c r="X279" s="1057">
        <f>+InputY!X89/1000</f>
        <v>27.22007</v>
      </c>
      <c r="Y279" s="1057">
        <f>+InputY!Y89/1000</f>
        <v>29.387869999999999</v>
      </c>
      <c r="Z279" s="1057">
        <f>+InputY!Z89/1000</f>
        <v>29.65802</v>
      </c>
      <c r="AA279" s="1057">
        <f>+InputY!AA89/1000</f>
        <v>28.38316</v>
      </c>
      <c r="AB279" s="1057">
        <f>+InputY!AB89/1000</f>
        <v>28.78913</v>
      </c>
      <c r="AC279" s="1057">
        <f>+InputY!AC89/1000</f>
        <v>34.033089999999994</v>
      </c>
      <c r="AD279" s="872">
        <f t="shared" ca="1" si="287"/>
        <v>36.754030068569989</v>
      </c>
      <c r="AE279" s="872">
        <f t="shared" ca="1" si="287"/>
        <v>39.157296745208768</v>
      </c>
    </row>
    <row r="280" spans="1:94" s="699" customFormat="1" ht="12.75" customHeight="1">
      <c r="A280" s="664"/>
      <c r="B280" s="664"/>
      <c r="C280" s="774"/>
      <c r="D280" s="1973"/>
      <c r="E280" s="1973" t="s">
        <v>737</v>
      </c>
      <c r="F280" s="1973"/>
      <c r="G280" s="1002">
        <f t="shared" ref="G280:Y280" si="288">ABS(G279-G278-G277)</f>
        <v>9.9999999999544897E-6</v>
      </c>
      <c r="H280" s="1002">
        <f t="shared" si="288"/>
        <v>1.0000000000065512E-5</v>
      </c>
      <c r="I280" s="1002">
        <f t="shared" si="288"/>
        <v>9.9999999998434674E-6</v>
      </c>
      <c r="J280" s="1002">
        <f t="shared" si="288"/>
        <v>4.4408920985006262E-16</v>
      </c>
      <c r="K280" s="1002">
        <f t="shared" si="288"/>
        <v>0</v>
      </c>
      <c r="L280" s="1002">
        <f t="shared" si="288"/>
        <v>1.0000000000287557E-5</v>
      </c>
      <c r="M280" s="1002">
        <f t="shared" si="288"/>
        <v>2.2204460492503131E-16</v>
      </c>
      <c r="N280" s="1002">
        <f t="shared" si="288"/>
        <v>8.8817841970012523E-16</v>
      </c>
      <c r="O280" s="1002">
        <f t="shared" si="288"/>
        <v>2.2204460492503131E-16</v>
      </c>
      <c r="P280" s="1002">
        <f t="shared" si="288"/>
        <v>9.9999999991773336E-6</v>
      </c>
      <c r="Q280" s="1002">
        <f t="shared" si="288"/>
        <v>4.4408920985006262E-16</v>
      </c>
      <c r="R280" s="1002">
        <f t="shared" si="288"/>
        <v>0</v>
      </c>
      <c r="S280" s="1002">
        <f t="shared" si="288"/>
        <v>1.0000000000065512E-5</v>
      </c>
      <c r="T280" s="2906">
        <f t="shared" si="288"/>
        <v>8.8817841970012523E-16</v>
      </c>
      <c r="U280" s="2906">
        <f t="shared" si="288"/>
        <v>4.4408920985006262E-16</v>
      </c>
      <c r="V280" s="2906">
        <f t="shared" si="288"/>
        <v>1.000000000095369E-5</v>
      </c>
      <c r="W280" s="2906">
        <f t="shared" si="288"/>
        <v>2.6645352591003757E-15</v>
      </c>
      <c r="X280" s="2906">
        <f t="shared" si="288"/>
        <v>8.8817841970012523E-16</v>
      </c>
      <c r="Y280" s="2906">
        <f t="shared" si="288"/>
        <v>0</v>
      </c>
      <c r="Z280" s="2906">
        <f t="shared" ref="Z280:AE280" si="289">ABS(Z279-Z278-Z277)</f>
        <v>9.9999999969568876E-6</v>
      </c>
      <c r="AA280" s="2906">
        <f t="shared" si="289"/>
        <v>8.8817841970012523E-16</v>
      </c>
      <c r="AB280" s="2906">
        <f t="shared" si="289"/>
        <v>8.8817841970012523E-16</v>
      </c>
      <c r="AC280" s="2906">
        <f t="shared" si="289"/>
        <v>5.3290705182007514E-15</v>
      </c>
      <c r="AD280" s="2906">
        <f t="shared" ca="1" si="289"/>
        <v>7.1054273576010019E-15</v>
      </c>
      <c r="AE280" s="2906">
        <f t="shared" ca="1" si="289"/>
        <v>7.1054273576010019E-15</v>
      </c>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row>
    <row r="281" spans="1:94">
      <c r="AB281" s="557"/>
      <c r="AC281" s="557"/>
      <c r="AD281" s="557"/>
      <c r="AE281" s="557"/>
    </row>
    <row r="282" spans="1:94">
      <c r="A282" s="1130"/>
      <c r="B282" s="1130"/>
      <c r="D282" s="1116"/>
      <c r="E282" s="927" t="s">
        <v>2037</v>
      </c>
      <c r="F282" s="1108"/>
      <c r="G282" s="896">
        <f>+InputY!$G$3</f>
        <v>1995</v>
      </c>
      <c r="H282" s="896">
        <f>+G282+1</f>
        <v>1996</v>
      </c>
      <c r="I282" s="896">
        <f t="shared" ref="I282:O282" si="290">+H282+1</f>
        <v>1997</v>
      </c>
      <c r="J282" s="896">
        <f t="shared" si="290"/>
        <v>1998</v>
      </c>
      <c r="K282" s="896">
        <f t="shared" si="290"/>
        <v>1999</v>
      </c>
      <c r="L282" s="896">
        <f t="shared" si="290"/>
        <v>2000</v>
      </c>
      <c r="M282" s="896">
        <f t="shared" si="290"/>
        <v>2001</v>
      </c>
      <c r="N282" s="896">
        <f t="shared" si="290"/>
        <v>2002</v>
      </c>
      <c r="O282" s="896">
        <f t="shared" si="290"/>
        <v>2003</v>
      </c>
      <c r="P282" s="896">
        <f t="shared" ref="P282:V282" si="291">+O282+1</f>
        <v>2004</v>
      </c>
      <c r="Q282" s="896">
        <f t="shared" si="291"/>
        <v>2005</v>
      </c>
      <c r="R282" s="896">
        <f t="shared" si="291"/>
        <v>2006</v>
      </c>
      <c r="S282" s="896">
        <f>+R282+1</f>
        <v>2007</v>
      </c>
      <c r="T282" s="896">
        <f t="shared" si="291"/>
        <v>2008</v>
      </c>
      <c r="U282" s="896">
        <f t="shared" si="291"/>
        <v>2009</v>
      </c>
      <c r="V282" s="896">
        <f t="shared" si="291"/>
        <v>2010</v>
      </c>
      <c r="W282" s="896">
        <f t="shared" ref="W282:AE282" si="292">+V282+1</f>
        <v>2011</v>
      </c>
      <c r="X282" s="896">
        <f t="shared" si="292"/>
        <v>2012</v>
      </c>
      <c r="Y282" s="896">
        <f t="shared" si="292"/>
        <v>2013</v>
      </c>
      <c r="Z282" s="896">
        <f t="shared" si="292"/>
        <v>2014</v>
      </c>
      <c r="AA282" s="896">
        <f t="shared" si="292"/>
        <v>2015</v>
      </c>
      <c r="AB282" s="896">
        <f t="shared" si="292"/>
        <v>2016</v>
      </c>
      <c r="AC282" s="896">
        <f t="shared" si="292"/>
        <v>2017</v>
      </c>
      <c r="AD282" s="896">
        <f t="shared" si="292"/>
        <v>2018</v>
      </c>
      <c r="AE282" s="896">
        <f t="shared" si="292"/>
        <v>2019</v>
      </c>
    </row>
    <row r="283" spans="1:94" s="1295" customFormat="1">
      <c r="A283" s="1448"/>
      <c r="B283" s="1448"/>
      <c r="C283" s="1450" t="s">
        <v>1769</v>
      </c>
      <c r="D283" s="1297"/>
      <c r="E283" s="1297" t="s">
        <v>1450</v>
      </c>
      <c r="F283" s="1449" t="s">
        <v>1539</v>
      </c>
      <c r="G283" s="1451"/>
      <c r="H283" s="1451">
        <f>+(H277/G277-1)*100</f>
        <v>50.302613286899842</v>
      </c>
      <c r="I283" s="1451">
        <f t="shared" ref="I283:AC283" si="293">+(I277/H277-1)*100</f>
        <v>26.25589760358762</v>
      </c>
      <c r="J283" s="1451">
        <f t="shared" si="293"/>
        <v>6.9810120025455502</v>
      </c>
      <c r="K283" s="1451">
        <f t="shared" si="293"/>
        <v>-1.0748969371662587</v>
      </c>
      <c r="L283" s="1451">
        <f t="shared" si="293"/>
        <v>-2.1598679886447925</v>
      </c>
      <c r="M283" s="1451">
        <f t="shared" si="293"/>
        <v>8.0226400531698161</v>
      </c>
      <c r="N283" s="1451">
        <f t="shared" si="293"/>
        <v>14.72594356786081</v>
      </c>
      <c r="O283" s="1451">
        <f t="shared" si="293"/>
        <v>5.4891761910802916</v>
      </c>
      <c r="P283" s="1451">
        <f t="shared" si="293"/>
        <v>21.839689941125997</v>
      </c>
      <c r="Q283" s="1451">
        <f t="shared" si="293"/>
        <v>9.8418466922403969</v>
      </c>
      <c r="R283" s="1451">
        <f t="shared" si="293"/>
        <v>17.789323628283515</v>
      </c>
      <c r="S283" s="1451">
        <f t="shared" si="293"/>
        <v>7.1476871967902644</v>
      </c>
      <c r="T283" s="1451">
        <f t="shared" si="293"/>
        <v>11.539071475961627</v>
      </c>
      <c r="U283" s="1451">
        <f t="shared" si="293"/>
        <v>-14.867150844797017</v>
      </c>
      <c r="V283" s="1451">
        <f t="shared" si="293"/>
        <v>16.661838235043504</v>
      </c>
      <c r="W283" s="1451">
        <f t="shared" si="293"/>
        <v>17.828021514109516</v>
      </c>
      <c r="X283" s="1451">
        <f t="shared" si="293"/>
        <v>18.839354342813209</v>
      </c>
      <c r="Y283" s="1451">
        <f t="shared" si="293"/>
        <v>12.462157645355321</v>
      </c>
      <c r="Z283" s="1451">
        <f t="shared" si="293"/>
        <v>9.6140966678478268</v>
      </c>
      <c r="AA283" s="1451">
        <f t="shared" si="293"/>
        <v>2.7983745258892911</v>
      </c>
      <c r="AB283" s="1451">
        <f t="shared" si="293"/>
        <v>13.063550315537142</v>
      </c>
      <c r="AC283" s="1451">
        <f t="shared" si="293"/>
        <v>20.575283739271487</v>
      </c>
      <c r="AD283" s="1421">
        <f ca="1">OFFSET('VVP1'!$K$86,0,5*(COLUMN()-7))</f>
        <v>9.1624999999999837</v>
      </c>
      <c r="AE283" s="1421">
        <f ca="1">OFFSET('VVP1'!$K$86,0,5*(COLUMN()-7))</f>
        <v>6.6945000000000032</v>
      </c>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row>
    <row r="284" spans="1:94">
      <c r="A284" s="1130"/>
      <c r="B284" s="1130"/>
      <c r="C284" s="979" t="s">
        <v>1767</v>
      </c>
      <c r="D284" s="1121"/>
      <c r="E284" s="1122" t="s">
        <v>1451</v>
      </c>
      <c r="F284" s="1121" t="s">
        <v>1522</v>
      </c>
      <c r="G284" s="1123"/>
      <c r="H284" s="1123">
        <f>+(H278/G278-1)*100</f>
        <v>38.297774380979568</v>
      </c>
      <c r="I284" s="1123">
        <f t="shared" ref="I284:S284" si="294">+(I278/H278-1)*100</f>
        <v>30.524002929622473</v>
      </c>
      <c r="J284" s="1123">
        <f t="shared" si="294"/>
        <v>-6.9271146841874298</v>
      </c>
      <c r="K284" s="1123">
        <f t="shared" si="294"/>
        <v>-26.273125628581372</v>
      </c>
      <c r="L284" s="1123">
        <f t="shared" si="294"/>
        <v>39.51924649489289</v>
      </c>
      <c r="M284" s="1123">
        <f t="shared" si="294"/>
        <v>26.282179365244286</v>
      </c>
      <c r="N284" s="1123">
        <f t="shared" si="294"/>
        <v>15.248655616243578</v>
      </c>
      <c r="O284" s="1123">
        <f t="shared" si="294"/>
        <v>7.3874817175524132</v>
      </c>
      <c r="P284" s="1123">
        <f t="shared" si="294"/>
        <v>9.1987331371900627</v>
      </c>
      <c r="Q284" s="1123">
        <f t="shared" si="294"/>
        <v>38.304584692714762</v>
      </c>
      <c r="R284" s="1123">
        <f t="shared" si="294"/>
        <v>18.614594020494501</v>
      </c>
      <c r="S284" s="1123">
        <f t="shared" si="294"/>
        <v>9.7568123838514431</v>
      </c>
      <c r="T284" s="1123">
        <f t="shared" ref="T284:AC284" si="295">+(T278/S278-1)*100</f>
        <v>32.089820738252882</v>
      </c>
      <c r="U284" s="1123">
        <f t="shared" si="295"/>
        <v>-27.436574310479045</v>
      </c>
      <c r="V284" s="1123">
        <f t="shared" si="295"/>
        <v>34.690458875586593</v>
      </c>
      <c r="W284" s="1123">
        <f t="shared" si="295"/>
        <v>30.427439392921919</v>
      </c>
      <c r="X284" s="1123">
        <f t="shared" si="295"/>
        <v>15.473266072665194</v>
      </c>
      <c r="Y284" s="1123">
        <f t="shared" si="295"/>
        <v>7.0026699769386802</v>
      </c>
      <c r="Z284" s="1123">
        <f t="shared" si="295"/>
        <v>-1.0336841175348055</v>
      </c>
      <c r="AA284" s="1123">
        <f t="shared" si="295"/>
        <v>-6.0641442382187378</v>
      </c>
      <c r="AB284" s="1123">
        <f t="shared" si="295"/>
        <v>-1.7368471302890875</v>
      </c>
      <c r="AC284" s="1123">
        <f t="shared" si="295"/>
        <v>17.475712654599885</v>
      </c>
      <c r="AD284" s="1424">
        <f ca="1">OFFSET('VVP1'!$K$87,0,5*(COLUMN()-7))</f>
        <v>7.619599999999993</v>
      </c>
      <c r="AE284" s="1424">
        <f ca="1">OFFSET('VVP1'!$K$87,0,5*(COLUMN()-7))</f>
        <v>6.4880000000000049</v>
      </c>
    </row>
    <row r="285" spans="1:94">
      <c r="A285" s="664"/>
      <c r="B285" s="664"/>
      <c r="C285" s="694" t="s">
        <v>1769</v>
      </c>
      <c r="D285" s="1097"/>
      <c r="E285" s="1098" t="s">
        <v>1452</v>
      </c>
      <c r="F285" s="1097" t="s">
        <v>1885</v>
      </c>
      <c r="G285" s="1099"/>
      <c r="H285" s="1099">
        <f>+(H279/G279-1)*100</f>
        <v>41.262785617697027</v>
      </c>
      <c r="I285" s="1099">
        <f t="shared" ref="I285:AC285" si="296">+(I279/H279-1)*100</f>
        <v>29.402134427710248</v>
      </c>
      <c r="J285" s="1099">
        <f t="shared" si="296"/>
        <v>-3.3618801035650181</v>
      </c>
      <c r="K285" s="1099">
        <f t="shared" si="296"/>
        <v>-19.122793587984642</v>
      </c>
      <c r="L285" s="1099">
        <f t="shared" si="296"/>
        <v>25.052784343799605</v>
      </c>
      <c r="M285" s="1099">
        <f t="shared" si="296"/>
        <v>21.323927535247478</v>
      </c>
      <c r="N285" s="1099">
        <f t="shared" si="296"/>
        <v>15.122271915849272</v>
      </c>
      <c r="O285" s="1099">
        <f t="shared" si="296"/>
        <v>6.9300808805854652</v>
      </c>
      <c r="P285" s="1099">
        <f t="shared" si="296"/>
        <v>12.203685391623221</v>
      </c>
      <c r="Q285" s="1099">
        <f t="shared" si="296"/>
        <v>30.957641957808725</v>
      </c>
      <c r="R285" s="1099">
        <f t="shared" si="296"/>
        <v>18.435923149165113</v>
      </c>
      <c r="S285" s="1099">
        <f t="shared" si="296"/>
        <v>9.1950959090264295</v>
      </c>
      <c r="T285" s="1099">
        <f t="shared" si="296"/>
        <v>27.74775563288452</v>
      </c>
      <c r="U285" s="1099">
        <f t="shared" si="296"/>
        <v>-25.117852002400131</v>
      </c>
      <c r="V285" s="1099">
        <f t="shared" si="296"/>
        <v>30.909460011022372</v>
      </c>
      <c r="W285" s="1099">
        <f t="shared" si="296"/>
        <v>28.072532964068774</v>
      </c>
      <c r="X285" s="1099">
        <f t="shared" si="296"/>
        <v>16.052065546651995</v>
      </c>
      <c r="Y285" s="1099">
        <f t="shared" si="296"/>
        <v>7.9639765805157747</v>
      </c>
      <c r="Z285" s="1099">
        <f t="shared" si="296"/>
        <v>0.91925682262783415</v>
      </c>
      <c r="AA285" s="1099">
        <f t="shared" si="296"/>
        <v>-4.2985337524217737</v>
      </c>
      <c r="AB285" s="1099">
        <f t="shared" si="296"/>
        <v>1.4303199502803787</v>
      </c>
      <c r="AC285" s="1099">
        <f t="shared" si="296"/>
        <v>18.215069368195547</v>
      </c>
      <c r="AD285" s="1426">
        <f ca="1">OFFSET('VVP1'!$K$88,0,5*(COLUMN()-7))</f>
        <v>7.9949839070445616</v>
      </c>
      <c r="AE285" s="1426">
        <f ca="1">OFFSET('VVP1'!$K$88,0,5*(COLUMN()-7))</f>
        <v>6.5387841065459584</v>
      </c>
    </row>
    <row r="286" spans="1:94">
      <c r="AB286" s="557"/>
      <c r="AC286" s="557"/>
      <c r="AD286" s="557"/>
      <c r="AE286" s="557"/>
    </row>
    <row r="287" spans="1:94">
      <c r="D287" s="1417"/>
      <c r="E287" s="1075" t="s">
        <v>456</v>
      </c>
      <c r="F287" s="1418"/>
      <c r="G287" s="698">
        <f>+InputY!$G$3</f>
        <v>1995</v>
      </c>
      <c r="H287" s="698">
        <f>+G287+1</f>
        <v>1996</v>
      </c>
      <c r="I287" s="698">
        <f t="shared" ref="I287:O287" si="297">+H287+1</f>
        <v>1997</v>
      </c>
      <c r="J287" s="698">
        <f t="shared" si="297"/>
        <v>1998</v>
      </c>
      <c r="K287" s="698">
        <f t="shared" si="297"/>
        <v>1999</v>
      </c>
      <c r="L287" s="698">
        <f t="shared" si="297"/>
        <v>2000</v>
      </c>
      <c r="M287" s="698">
        <f t="shared" si="297"/>
        <v>2001</v>
      </c>
      <c r="N287" s="698">
        <f t="shared" si="297"/>
        <v>2002</v>
      </c>
      <c r="O287" s="698">
        <f t="shared" si="297"/>
        <v>2003</v>
      </c>
      <c r="P287" s="698">
        <f t="shared" ref="P287:V287" si="298">+O287+1</f>
        <v>2004</v>
      </c>
      <c r="Q287" s="698">
        <f t="shared" si="298"/>
        <v>2005</v>
      </c>
      <c r="R287" s="698">
        <f t="shared" si="298"/>
        <v>2006</v>
      </c>
      <c r="S287" s="698">
        <f>+R287+1</f>
        <v>2007</v>
      </c>
      <c r="T287" s="698">
        <f t="shared" si="298"/>
        <v>2008</v>
      </c>
      <c r="U287" s="698">
        <f t="shared" si="298"/>
        <v>2009</v>
      </c>
      <c r="V287" s="698">
        <f t="shared" si="298"/>
        <v>2010</v>
      </c>
      <c r="W287" s="698">
        <f t="shared" ref="W287:AE287" si="299">+V287+1</f>
        <v>2011</v>
      </c>
      <c r="X287" s="698">
        <f t="shared" si="299"/>
        <v>2012</v>
      </c>
      <c r="Y287" s="698">
        <f t="shared" si="299"/>
        <v>2013</v>
      </c>
      <c r="Z287" s="698">
        <f t="shared" si="299"/>
        <v>2014</v>
      </c>
      <c r="AA287" s="698">
        <f t="shared" si="299"/>
        <v>2015</v>
      </c>
      <c r="AB287" s="698">
        <f t="shared" si="299"/>
        <v>2016</v>
      </c>
      <c r="AC287" s="698">
        <f t="shared" si="299"/>
        <v>2017</v>
      </c>
      <c r="AD287" s="698">
        <f t="shared" si="299"/>
        <v>2018</v>
      </c>
      <c r="AE287" s="698">
        <f t="shared" si="299"/>
        <v>2019</v>
      </c>
    </row>
    <row r="288" spans="1:94">
      <c r="A288" s="664">
        <f>+ROW(InputY!A259)</f>
        <v>259</v>
      </c>
      <c r="B288" s="665">
        <v>147</v>
      </c>
      <c r="C288" s="1079"/>
      <c r="D288" s="1058"/>
      <c r="E288" s="1038" t="s">
        <v>624</v>
      </c>
      <c r="F288" s="1058" t="s">
        <v>622</v>
      </c>
      <c r="G288" s="1084" t="e">
        <f>+InputY!G259/1000</f>
        <v>#VALUE!</v>
      </c>
      <c r="H288" s="1084" t="e">
        <f>+InputY!H259/1000</f>
        <v>#VALUE!</v>
      </c>
      <c r="I288" s="1084" t="e">
        <f>+InputY!I259/1000</f>
        <v>#VALUE!</v>
      </c>
      <c r="J288" s="1084" t="e">
        <f>+InputY!J259/1000</f>
        <v>#VALUE!</v>
      </c>
      <c r="K288" s="1084">
        <f>+InputY!K259/1000</f>
        <v>2.3549475673088223</v>
      </c>
      <c r="L288" s="1084">
        <f>+InputY!L259/1000</f>
        <v>3.0845246368679327</v>
      </c>
      <c r="M288" s="1084">
        <f>+InputY!M259/1000</f>
        <v>3.6374833151743515</v>
      </c>
      <c r="N288" s="1084">
        <f>+InputY!N259/1000</f>
        <v>3.8467760480538118</v>
      </c>
      <c r="O288" s="1084">
        <f>+InputY!O259/1000</f>
        <v>3.8693433082694626</v>
      </c>
      <c r="P288" s="1084">
        <f>+InputY!P259/1000</f>
        <v>5.029789426923946</v>
      </c>
      <c r="Q288" s="1084">
        <f>+InputY!Q259/1000</f>
        <v>6.2371992973034072</v>
      </c>
      <c r="R288" s="1084">
        <f>+InputY!R259/1000</f>
        <v>7.1744999999999992</v>
      </c>
      <c r="S288" s="1084">
        <f>+InputY!S259/1000</f>
        <v>8.1109000000000009</v>
      </c>
      <c r="T288" s="1084">
        <f>+InputY!T259/1000</f>
        <v>9.7027000000000001</v>
      </c>
      <c r="U288" s="1084">
        <f>+InputY!U259/1000</f>
        <v>7.5918999999999999</v>
      </c>
      <c r="V288" s="1084">
        <f>+InputY!V259/1000</f>
        <v>9.553700000000001</v>
      </c>
      <c r="W288" s="1084">
        <f>+InputY!W259/1000</f>
        <v>12.371499999999999</v>
      </c>
      <c r="X288" s="1084">
        <f>+InputY!X259/1000</f>
        <v>13.9255</v>
      </c>
      <c r="Y288" s="1084">
        <f>+InputY!Y259/1000</f>
        <v>13.612299999999999</v>
      </c>
      <c r="Z288" s="1084">
        <f>+InputY!Z259/1000</f>
        <v>13.358299999999998</v>
      </c>
      <c r="AA288" s="1084">
        <f>+InputY!AA259/1000</f>
        <v>14.048900000000001</v>
      </c>
      <c r="AB288" s="1084">
        <f>+InputY!AB259/1000</f>
        <v>13.721000000000002</v>
      </c>
      <c r="AC288" s="1084">
        <f>+InputY!AC259/1000</f>
        <v>15.371</v>
      </c>
      <c r="AD288" s="1416">
        <f t="shared" ref="AD288:AE290" ca="1" si="300">+AC288*(1+AD293/100)</f>
        <v>17.659465447348634</v>
      </c>
      <c r="AE288" s="1416">
        <f t="shared" ca="1" si="300"/>
        <v>18.927709970692618</v>
      </c>
    </row>
    <row r="289" spans="1:94">
      <c r="A289" s="664">
        <f>+ROW(InputY!A260)</f>
        <v>260</v>
      </c>
      <c r="B289" s="665">
        <v>149</v>
      </c>
      <c r="C289" s="1081" t="s">
        <v>1767</v>
      </c>
      <c r="D289" s="1077"/>
      <c r="E289" s="1039" t="s">
        <v>625</v>
      </c>
      <c r="F289" s="1077" t="s">
        <v>623</v>
      </c>
      <c r="G289" s="1085" t="e">
        <f>+InputY!G260/1000</f>
        <v>#VALUE!</v>
      </c>
      <c r="H289" s="1085" t="e">
        <f>+InputY!H260/1000</f>
        <v>#VALUE!</v>
      </c>
      <c r="I289" s="1085" t="e">
        <f>+InputY!I260/1000</f>
        <v>#VALUE!</v>
      </c>
      <c r="J289" s="1085" t="e">
        <f>+InputY!J260/1000</f>
        <v>#VALUE!</v>
      </c>
      <c r="K289" s="1085">
        <f>+InputY!K260/1000</f>
        <v>0.83656273642823209</v>
      </c>
      <c r="L289" s="1085">
        <f>+InputY!L260/1000</f>
        <v>1.0408745617298429</v>
      </c>
      <c r="M289" s="1085">
        <f>+InputY!M260/1000</f>
        <v>1.3228155239153734</v>
      </c>
      <c r="N289" s="1085">
        <f>+InputY!N260/1000</f>
        <v>1.7004605690360302</v>
      </c>
      <c r="O289" s="1085">
        <f>+InputY!O260/1000</f>
        <v>2.2887664661102876</v>
      </c>
      <c r="P289" s="1085">
        <f>+InputY!P260/1000</f>
        <v>2.4482435284401056</v>
      </c>
      <c r="Q289" s="1085">
        <f>+InputY!Q260/1000</f>
        <v>3.2526996335437048</v>
      </c>
      <c r="R289" s="1085">
        <f>+InputY!R260/1000</f>
        <v>4.0882000000000005</v>
      </c>
      <c r="S289" s="1085">
        <f>+InputY!S260/1000</f>
        <v>4.3986999999999998</v>
      </c>
      <c r="T289" s="1085">
        <f>+InputY!T260/1000</f>
        <v>6.3744000000000005</v>
      </c>
      <c r="U289" s="1085">
        <f>+InputY!U260/1000</f>
        <v>4.2051000000000016</v>
      </c>
      <c r="V289" s="1085">
        <f>+InputY!V260/1000</f>
        <v>6.0972999999999979</v>
      </c>
      <c r="W289" s="1085">
        <f>+InputY!W260/1000</f>
        <v>7.7796000000000012</v>
      </c>
      <c r="X289" s="1085">
        <f>+InputY!X260/1000</f>
        <v>9.1219000000000019</v>
      </c>
      <c r="Y289" s="1085">
        <f>+InputY!Y260/1000</f>
        <v>10.932100000000004</v>
      </c>
      <c r="Z289" s="1085">
        <f>+InputY!Z260/1000</f>
        <v>11.002800000000001</v>
      </c>
      <c r="AA289" s="1085">
        <f>+InputY!AA260/1000</f>
        <v>8.8555000000000046</v>
      </c>
      <c r="AB289" s="1085">
        <f>+InputY!AB260/1000</f>
        <v>8.8862000000000005</v>
      </c>
      <c r="AC289" s="1085">
        <f>+InputY!AC260/1000</f>
        <v>11.070200000000003</v>
      </c>
      <c r="AD289" s="1342">
        <f t="shared" ca="1" si="300"/>
        <v>12.398624000000005</v>
      </c>
      <c r="AE289" s="1342">
        <f t="shared" ca="1" si="300"/>
        <v>13.080548320000005</v>
      </c>
    </row>
    <row r="290" spans="1:94">
      <c r="A290" s="664"/>
      <c r="B290" s="664"/>
      <c r="C290" s="694" t="s">
        <v>1769</v>
      </c>
      <c r="D290" s="771"/>
      <c r="E290" s="770" t="s">
        <v>1451</v>
      </c>
      <c r="F290" s="771" t="s">
        <v>168</v>
      </c>
      <c r="G290" s="1419" t="e">
        <f>+G288+G289</f>
        <v>#VALUE!</v>
      </c>
      <c r="H290" s="1419" t="e">
        <f t="shared" ref="H290:X290" si="301">+H288+H289</f>
        <v>#VALUE!</v>
      </c>
      <c r="I290" s="1419" t="e">
        <f t="shared" si="301"/>
        <v>#VALUE!</v>
      </c>
      <c r="J290" s="1419" t="e">
        <f t="shared" si="301"/>
        <v>#VALUE!</v>
      </c>
      <c r="K290" s="1419">
        <f t="shared" si="301"/>
        <v>3.1915103037370542</v>
      </c>
      <c r="L290" s="1419">
        <f t="shared" si="301"/>
        <v>4.1253991985977754</v>
      </c>
      <c r="M290" s="1419">
        <f t="shared" si="301"/>
        <v>4.9602988390897247</v>
      </c>
      <c r="N290" s="1419">
        <f t="shared" si="301"/>
        <v>5.5472366170898422</v>
      </c>
      <c r="O290" s="1419">
        <f t="shared" si="301"/>
        <v>6.1581097743797502</v>
      </c>
      <c r="P290" s="1419">
        <f t="shared" si="301"/>
        <v>7.4780329553640517</v>
      </c>
      <c r="Q290" s="1419">
        <f t="shared" si="301"/>
        <v>9.4898989308471116</v>
      </c>
      <c r="R290" s="1419">
        <f t="shared" si="301"/>
        <v>11.262699999999999</v>
      </c>
      <c r="S290" s="1419">
        <f t="shared" si="301"/>
        <v>12.509600000000001</v>
      </c>
      <c r="T290" s="1419">
        <f t="shared" si="301"/>
        <v>16.077100000000002</v>
      </c>
      <c r="U290" s="1419">
        <f t="shared" si="301"/>
        <v>11.797000000000001</v>
      </c>
      <c r="V290" s="1419">
        <f t="shared" si="301"/>
        <v>15.651</v>
      </c>
      <c r="W290" s="1419">
        <f t="shared" si="301"/>
        <v>20.1511</v>
      </c>
      <c r="X290" s="1419">
        <f t="shared" si="301"/>
        <v>23.047400000000003</v>
      </c>
      <c r="Y290" s="1419">
        <f>+Y288+Y289</f>
        <v>24.544400000000003</v>
      </c>
      <c r="Z290" s="1419">
        <f>+Z288+Z289</f>
        <v>24.3611</v>
      </c>
      <c r="AA290" s="1419">
        <f>+AA288+AA289</f>
        <v>22.904400000000006</v>
      </c>
      <c r="AB290" s="1419">
        <f>+AB288+AB289</f>
        <v>22.607200000000002</v>
      </c>
      <c r="AC290" s="1419">
        <f>+AC288+AC289</f>
        <v>26.441200000000002</v>
      </c>
      <c r="AD290" s="872">
        <f t="shared" ca="1" si="300"/>
        <v>28.455913675200001</v>
      </c>
      <c r="AE290" s="872">
        <f t="shared" ca="1" si="300"/>
        <v>30.30213335444698</v>
      </c>
    </row>
    <row r="291" spans="1:94">
      <c r="AB291" s="557"/>
      <c r="AC291" s="557"/>
      <c r="AD291" s="557"/>
      <c r="AE291" s="557"/>
    </row>
    <row r="292" spans="1:94" s="699" customFormat="1" ht="12.75" customHeight="1">
      <c r="A292" s="664"/>
      <c r="B292" s="664"/>
      <c r="C292" s="774"/>
      <c r="D292" s="1092"/>
      <c r="E292" s="1093" t="s">
        <v>456</v>
      </c>
      <c r="F292" s="1094"/>
      <c r="G292" s="896">
        <f>+InputY!$G$3</f>
        <v>1995</v>
      </c>
      <c r="H292" s="896">
        <f>+G292+1</f>
        <v>1996</v>
      </c>
      <c r="I292" s="896">
        <f t="shared" ref="I292:O292" si="302">+H292+1</f>
        <v>1997</v>
      </c>
      <c r="J292" s="896">
        <f t="shared" si="302"/>
        <v>1998</v>
      </c>
      <c r="K292" s="896">
        <f t="shared" si="302"/>
        <v>1999</v>
      </c>
      <c r="L292" s="896">
        <f t="shared" si="302"/>
        <v>2000</v>
      </c>
      <c r="M292" s="896">
        <f t="shared" si="302"/>
        <v>2001</v>
      </c>
      <c r="N292" s="896">
        <f t="shared" si="302"/>
        <v>2002</v>
      </c>
      <c r="O292" s="896">
        <f t="shared" si="302"/>
        <v>2003</v>
      </c>
      <c r="P292" s="896">
        <f t="shared" ref="P292:V292" si="303">+O292+1</f>
        <v>2004</v>
      </c>
      <c r="Q292" s="896">
        <f t="shared" si="303"/>
        <v>2005</v>
      </c>
      <c r="R292" s="896">
        <f t="shared" si="303"/>
        <v>2006</v>
      </c>
      <c r="S292" s="896">
        <f>+R292+1</f>
        <v>2007</v>
      </c>
      <c r="T292" s="896">
        <f t="shared" si="303"/>
        <v>2008</v>
      </c>
      <c r="U292" s="896">
        <f t="shared" si="303"/>
        <v>2009</v>
      </c>
      <c r="V292" s="896">
        <f t="shared" si="303"/>
        <v>2010</v>
      </c>
      <c r="W292" s="896">
        <f t="shared" ref="W292:AE292" si="304">+V292+1</f>
        <v>2011</v>
      </c>
      <c r="X292" s="896">
        <f t="shared" si="304"/>
        <v>2012</v>
      </c>
      <c r="Y292" s="896">
        <f t="shared" si="304"/>
        <v>2013</v>
      </c>
      <c r="Z292" s="896">
        <f t="shared" si="304"/>
        <v>2014</v>
      </c>
      <c r="AA292" s="896">
        <f t="shared" si="304"/>
        <v>2015</v>
      </c>
      <c r="AB292" s="896">
        <f t="shared" si="304"/>
        <v>2016</v>
      </c>
      <c r="AC292" s="896">
        <f t="shared" si="304"/>
        <v>2017</v>
      </c>
      <c r="AD292" s="896">
        <f t="shared" si="304"/>
        <v>2018</v>
      </c>
      <c r="AE292" s="896">
        <f t="shared" si="304"/>
        <v>2019</v>
      </c>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row>
    <row r="293" spans="1:94" s="699" customFormat="1" ht="12.75" customHeight="1">
      <c r="A293" s="664"/>
      <c r="B293" s="664"/>
      <c r="C293" s="794"/>
      <c r="D293" s="689"/>
      <c r="E293" s="738" t="s">
        <v>624</v>
      </c>
      <c r="F293" s="733" t="s">
        <v>622</v>
      </c>
      <c r="G293" s="1095"/>
      <c r="H293" s="1095" t="e">
        <f t="shared" ref="H293:AC293" si="305">+(H288/G288-1)*100</f>
        <v>#VALUE!</v>
      </c>
      <c r="I293" s="1095" t="e">
        <f t="shared" si="305"/>
        <v>#VALUE!</v>
      </c>
      <c r="J293" s="1095" t="e">
        <f t="shared" si="305"/>
        <v>#VALUE!</v>
      </c>
      <c r="K293" s="1095" t="e">
        <f t="shared" si="305"/>
        <v>#VALUE!</v>
      </c>
      <c r="L293" s="1095">
        <f t="shared" si="305"/>
        <v>30.980607793015679</v>
      </c>
      <c r="M293" s="1095">
        <f t="shared" si="305"/>
        <v>17.926868590937907</v>
      </c>
      <c r="N293" s="1095">
        <f t="shared" si="305"/>
        <v>5.7537784986218865</v>
      </c>
      <c r="O293" s="1095">
        <f t="shared" si="305"/>
        <v>0.58665386114868934</v>
      </c>
      <c r="P293" s="1095">
        <f t="shared" si="305"/>
        <v>29.990776889050075</v>
      </c>
      <c r="Q293" s="1095">
        <f t="shared" si="305"/>
        <v>24.005177312519699</v>
      </c>
      <c r="R293" s="1095">
        <f t="shared" si="305"/>
        <v>15.027589435883915</v>
      </c>
      <c r="S293" s="1095">
        <f t="shared" si="305"/>
        <v>13.051780611889363</v>
      </c>
      <c r="T293" s="1095">
        <f t="shared" si="305"/>
        <v>19.625442306032603</v>
      </c>
      <c r="U293" s="1095">
        <f t="shared" si="305"/>
        <v>-21.754769291022093</v>
      </c>
      <c r="V293" s="1095">
        <f t="shared" si="305"/>
        <v>25.840698639339308</v>
      </c>
      <c r="W293" s="1095">
        <f t="shared" si="305"/>
        <v>29.494332038895909</v>
      </c>
      <c r="X293" s="1095">
        <f t="shared" si="305"/>
        <v>12.561128399951492</v>
      </c>
      <c r="Y293" s="1095">
        <f t="shared" si="305"/>
        <v>-2.2491113425011644</v>
      </c>
      <c r="Z293" s="1095">
        <f t="shared" si="305"/>
        <v>-1.865959463132616</v>
      </c>
      <c r="AA293" s="1095">
        <f t="shared" si="305"/>
        <v>5.1698195129620039</v>
      </c>
      <c r="AB293" s="1095">
        <f t="shared" si="305"/>
        <v>-2.3339905615386236</v>
      </c>
      <c r="AC293" s="1095">
        <f t="shared" si="305"/>
        <v>12.025362582902099</v>
      </c>
      <c r="AD293" s="1411">
        <f ca="1">OFFSET('VVP1'!$K$94,0,5*(COLUMN()-7))</f>
        <v>14.888201466063578</v>
      </c>
      <c r="AE293" s="1411">
        <f ca="1">OFFSET('VVP1'!$K$94,0,5*(COLUMN()-7))</f>
        <v>7.1816699498930658</v>
      </c>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row>
    <row r="294" spans="1:94" s="699" customFormat="1" ht="12.75" customHeight="1">
      <c r="A294" s="664"/>
      <c r="B294" s="664"/>
      <c r="C294" s="796"/>
      <c r="D294" s="691"/>
      <c r="E294" s="797" t="s">
        <v>625</v>
      </c>
      <c r="F294" s="736" t="s">
        <v>623</v>
      </c>
      <c r="G294" s="1096"/>
      <c r="H294" s="1096" t="e">
        <f t="shared" ref="H294:AC294" si="306">+(H289/G289-1)*100</f>
        <v>#VALUE!</v>
      </c>
      <c r="I294" s="1096" t="e">
        <f t="shared" si="306"/>
        <v>#VALUE!</v>
      </c>
      <c r="J294" s="1096" t="e">
        <f t="shared" si="306"/>
        <v>#VALUE!</v>
      </c>
      <c r="K294" s="1096" t="e">
        <f t="shared" si="306"/>
        <v>#VALUE!</v>
      </c>
      <c r="L294" s="1096">
        <f t="shared" si="306"/>
        <v>24.42277385841205</v>
      </c>
      <c r="M294" s="1096">
        <f t="shared" si="306"/>
        <v>27.086929833021301</v>
      </c>
      <c r="N294" s="1096">
        <f t="shared" si="306"/>
        <v>28.548579774969163</v>
      </c>
      <c r="O294" s="1096">
        <f t="shared" si="306"/>
        <v>34.596856156903463</v>
      </c>
      <c r="P294" s="1096">
        <f t="shared" si="306"/>
        <v>6.9678171491583507</v>
      </c>
      <c r="Q294" s="1096">
        <f t="shared" si="306"/>
        <v>32.858500216935418</v>
      </c>
      <c r="R294" s="1096">
        <f t="shared" si="306"/>
        <v>25.686367036173174</v>
      </c>
      <c r="S294" s="1096">
        <f t="shared" si="306"/>
        <v>7.5950295973778115</v>
      </c>
      <c r="T294" s="1096">
        <f t="shared" si="306"/>
        <v>44.915543228681209</v>
      </c>
      <c r="U294" s="1096">
        <f t="shared" si="306"/>
        <v>-34.031438253012027</v>
      </c>
      <c r="V294" s="1096">
        <f t="shared" si="306"/>
        <v>44.997740838505521</v>
      </c>
      <c r="W294" s="1096">
        <f t="shared" si="306"/>
        <v>27.590900890558178</v>
      </c>
      <c r="X294" s="1096">
        <f t="shared" si="306"/>
        <v>17.254100467890375</v>
      </c>
      <c r="Y294" s="1096">
        <f t="shared" si="306"/>
        <v>19.844549929291055</v>
      </c>
      <c r="Z294" s="1096">
        <f t="shared" si="306"/>
        <v>0.64671929455453192</v>
      </c>
      <c r="AA294" s="1096">
        <f t="shared" si="306"/>
        <v>-19.515941396735336</v>
      </c>
      <c r="AB294" s="1096">
        <f t="shared" si="306"/>
        <v>0.3466772062559631</v>
      </c>
      <c r="AC294" s="1096">
        <f t="shared" si="306"/>
        <v>24.577434673988918</v>
      </c>
      <c r="AD294" s="1412">
        <f ca="1">OFFSET('VVP1'!$K$95,0,5*(COLUMN()-7))</f>
        <v>12</v>
      </c>
      <c r="AE294" s="1412">
        <f ca="1">OFFSET('VVP1'!$K$95,0,5*(COLUMN()-7))</f>
        <v>5.5</v>
      </c>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row>
    <row r="295" spans="1:94" s="699" customFormat="1" ht="12.75" customHeight="1">
      <c r="A295" s="664"/>
      <c r="B295" s="664"/>
      <c r="C295" s="774"/>
      <c r="D295" s="717"/>
      <c r="E295" s="722" t="s">
        <v>1451</v>
      </c>
      <c r="F295" s="723" t="s">
        <v>168</v>
      </c>
      <c r="G295" s="721"/>
      <c r="H295" s="721" t="e">
        <f t="shared" ref="H295:AC295" si="307">+(H290/G290-1)*100</f>
        <v>#VALUE!</v>
      </c>
      <c r="I295" s="721" t="e">
        <f t="shared" si="307"/>
        <v>#VALUE!</v>
      </c>
      <c r="J295" s="721" t="e">
        <f t="shared" si="307"/>
        <v>#VALUE!</v>
      </c>
      <c r="K295" s="721" t="e">
        <f t="shared" si="307"/>
        <v>#VALUE!</v>
      </c>
      <c r="L295" s="721">
        <f t="shared" si="307"/>
        <v>29.261660028707936</v>
      </c>
      <c r="M295" s="721">
        <f t="shared" si="307"/>
        <v>20.238032740582579</v>
      </c>
      <c r="N295" s="721">
        <f t="shared" si="307"/>
        <v>11.832710024943328</v>
      </c>
      <c r="O295" s="721">
        <f t="shared" si="307"/>
        <v>11.01220660766371</v>
      </c>
      <c r="P295" s="721">
        <f t="shared" si="307"/>
        <v>21.43390146235653</v>
      </c>
      <c r="Q295" s="721">
        <f t="shared" si="307"/>
        <v>26.903678915187612</v>
      </c>
      <c r="R295" s="721">
        <f t="shared" si="307"/>
        <v>18.68092676298545</v>
      </c>
      <c r="S295" s="721">
        <f t="shared" si="307"/>
        <v>11.071057561685937</v>
      </c>
      <c r="T295" s="721">
        <f t="shared" si="307"/>
        <v>28.518098100658705</v>
      </c>
      <c r="U295" s="721">
        <f t="shared" si="307"/>
        <v>-26.622338605843098</v>
      </c>
      <c r="V295" s="721">
        <f t="shared" si="307"/>
        <v>32.669322709163339</v>
      </c>
      <c r="W295" s="721">
        <f t="shared" si="307"/>
        <v>28.752795348540026</v>
      </c>
      <c r="X295" s="721">
        <f t="shared" si="307"/>
        <v>14.372912644967295</v>
      </c>
      <c r="Y295" s="721">
        <f t="shared" si="307"/>
        <v>6.4953096661662491</v>
      </c>
      <c r="Z295" s="721">
        <f t="shared" si="307"/>
        <v>-0.74680986294226592</v>
      </c>
      <c r="AA295" s="721">
        <f t="shared" si="307"/>
        <v>-5.9796150420136751</v>
      </c>
      <c r="AB295" s="721">
        <f t="shared" si="307"/>
        <v>-1.2975672796493365</v>
      </c>
      <c r="AC295" s="721">
        <f t="shared" si="307"/>
        <v>16.959198839307831</v>
      </c>
      <c r="AD295" s="1413">
        <f ca="1">OFFSET('VVP1'!$K$96,0,5*(COLUMN()-7))</f>
        <v>7.619599999999993</v>
      </c>
      <c r="AE295" s="1413">
        <f ca="1">OFFSET('VVP1'!$K$96,0,5*(COLUMN()-7))</f>
        <v>6.4880000000000049</v>
      </c>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row>
    <row r="296" spans="1:94">
      <c r="AB296" s="557"/>
      <c r="AC296" s="557"/>
      <c r="AD296" s="557"/>
      <c r="AE296" s="557"/>
    </row>
    <row r="297" spans="1:94">
      <c r="A297" s="1130"/>
      <c r="B297" s="1130"/>
      <c r="D297" s="1074"/>
      <c r="E297" s="1075" t="s">
        <v>1359</v>
      </c>
      <c r="F297" s="1076"/>
      <c r="G297" s="698">
        <f>+InputY!$G$3</f>
        <v>1995</v>
      </c>
      <c r="H297" s="698">
        <f>+G297+1</f>
        <v>1996</v>
      </c>
      <c r="I297" s="698">
        <f t="shared" ref="I297:O297" si="308">+H297+1</f>
        <v>1997</v>
      </c>
      <c r="J297" s="698">
        <f t="shared" si="308"/>
        <v>1998</v>
      </c>
      <c r="K297" s="698">
        <f t="shared" si="308"/>
        <v>1999</v>
      </c>
      <c r="L297" s="698">
        <f t="shared" si="308"/>
        <v>2000</v>
      </c>
      <c r="M297" s="698">
        <f t="shared" si="308"/>
        <v>2001</v>
      </c>
      <c r="N297" s="698">
        <f t="shared" si="308"/>
        <v>2002</v>
      </c>
      <c r="O297" s="698">
        <f t="shared" si="308"/>
        <v>2003</v>
      </c>
      <c r="P297" s="698">
        <f t="shared" ref="P297:U297" si="309">+O297+1</f>
        <v>2004</v>
      </c>
      <c r="Q297" s="698">
        <f t="shared" si="309"/>
        <v>2005</v>
      </c>
      <c r="R297" s="698">
        <f t="shared" si="309"/>
        <v>2006</v>
      </c>
      <c r="S297" s="698">
        <f>+R297+1</f>
        <v>2007</v>
      </c>
      <c r="T297" s="698">
        <f t="shared" si="309"/>
        <v>2008</v>
      </c>
      <c r="U297" s="698">
        <f t="shared" si="309"/>
        <v>2009</v>
      </c>
      <c r="V297" s="698">
        <f t="shared" ref="V297:AE297" si="310">+U297+1</f>
        <v>2010</v>
      </c>
      <c r="W297" s="698">
        <f t="shared" si="310"/>
        <v>2011</v>
      </c>
      <c r="X297" s="698">
        <f t="shared" si="310"/>
        <v>2012</v>
      </c>
      <c r="Y297" s="698">
        <f t="shared" si="310"/>
        <v>2013</v>
      </c>
      <c r="Z297" s="698">
        <f t="shared" si="310"/>
        <v>2014</v>
      </c>
      <c r="AA297" s="698">
        <f t="shared" si="310"/>
        <v>2015</v>
      </c>
      <c r="AB297" s="698">
        <f t="shared" si="310"/>
        <v>2016</v>
      </c>
      <c r="AC297" s="698">
        <f t="shared" si="310"/>
        <v>2017</v>
      </c>
      <c r="AD297" s="698">
        <f t="shared" si="310"/>
        <v>2018</v>
      </c>
      <c r="AE297" s="698">
        <f t="shared" si="310"/>
        <v>2019</v>
      </c>
    </row>
    <row r="298" spans="1:94">
      <c r="A298" s="664"/>
      <c r="B298" s="1130"/>
      <c r="C298" s="1079" t="s">
        <v>1767</v>
      </c>
      <c r="D298" s="1058"/>
      <c r="E298" s="1038" t="s">
        <v>1942</v>
      </c>
      <c r="F298" s="1058"/>
      <c r="G298" s="1084">
        <f>+G268</f>
        <v>8.5897099999999984</v>
      </c>
      <c r="H298" s="1084">
        <f t="shared" ref="H298:R298" si="311">+H268</f>
        <v>10.61693</v>
      </c>
      <c r="I298" s="1084">
        <f t="shared" si="311"/>
        <v>12.905670000000001</v>
      </c>
      <c r="J298" s="1084">
        <f t="shared" si="311"/>
        <v>14.50676</v>
      </c>
      <c r="K298" s="1084">
        <f t="shared" si="311"/>
        <v>13.981249999999999</v>
      </c>
      <c r="L298" s="1084">
        <f t="shared" si="311"/>
        <v>14.19473</v>
      </c>
      <c r="M298" s="1084">
        <f t="shared" si="311"/>
        <v>14.970229999999999</v>
      </c>
      <c r="N298" s="1084">
        <f t="shared" si="311"/>
        <v>16.065000000000001</v>
      </c>
      <c r="O298" s="1084">
        <f t="shared" si="311"/>
        <v>17.632999999999999</v>
      </c>
      <c r="P298" s="1084">
        <f t="shared" si="311"/>
        <v>19.521159999999998</v>
      </c>
      <c r="Q298" s="1084">
        <f t="shared" si="311"/>
        <v>22.521330000000003</v>
      </c>
      <c r="R298" s="1084">
        <f t="shared" si="311"/>
        <v>26.55058</v>
      </c>
      <c r="S298" s="1084">
        <f t="shared" ref="S298:X298" si="312">+S268</f>
        <v>32.852199999999996</v>
      </c>
      <c r="T298" s="1084">
        <f t="shared" si="312"/>
        <v>36.479690000000005</v>
      </c>
      <c r="U298" s="1084">
        <f t="shared" si="312"/>
        <v>27.387370000000001</v>
      </c>
      <c r="V298" s="1084">
        <f t="shared" si="312"/>
        <v>28.55387</v>
      </c>
      <c r="W298" s="1084">
        <f t="shared" si="312"/>
        <v>32.072980000000001</v>
      </c>
      <c r="X298" s="1084">
        <f t="shared" si="312"/>
        <v>33.061620000000005</v>
      </c>
      <c r="Y298" s="1084">
        <f t="shared" ref="Y298:AD298" si="313">+Y268</f>
        <v>34.522400000000005</v>
      </c>
      <c r="Z298" s="1084">
        <f t="shared" si="313"/>
        <v>35.808759999999999</v>
      </c>
      <c r="AA298" s="1084">
        <f t="shared" si="313"/>
        <v>37.606099999999998</v>
      </c>
      <c r="AB298" s="1084">
        <f>+AB268</f>
        <v>38.168430000000001</v>
      </c>
      <c r="AC298" s="1084">
        <f ca="1">+AC268</f>
        <v>40.94285</v>
      </c>
      <c r="AD298" s="1416">
        <f t="shared" ca="1" si="313"/>
        <v>43.724123413437994</v>
      </c>
      <c r="AE298" s="1416">
        <f t="shared" ref="AE298" ca="1" si="314">+AE268</f>
        <v>46.256661803084135</v>
      </c>
    </row>
    <row r="299" spans="1:94">
      <c r="A299" s="664"/>
      <c r="B299" s="1130"/>
      <c r="C299" s="1081" t="s">
        <v>1767</v>
      </c>
      <c r="D299" s="1077"/>
      <c r="E299" s="1039" t="s">
        <v>1452</v>
      </c>
      <c r="F299" s="1077" t="s">
        <v>1590</v>
      </c>
      <c r="G299" s="1085">
        <f>+G279</f>
        <v>2.8841000000000001</v>
      </c>
      <c r="H299" s="1085">
        <f t="shared" ref="H299:R299" si="315">+H279</f>
        <v>4.07416</v>
      </c>
      <c r="I299" s="1085">
        <f t="shared" si="315"/>
        <v>5.2720500000000001</v>
      </c>
      <c r="J299" s="1085">
        <f t="shared" si="315"/>
        <v>5.0948100000000007</v>
      </c>
      <c r="K299" s="1085">
        <f t="shared" si="315"/>
        <v>4.1205400000000001</v>
      </c>
      <c r="L299" s="1085">
        <f t="shared" si="315"/>
        <v>5.1528499999999999</v>
      </c>
      <c r="M299" s="1085">
        <f t="shared" si="315"/>
        <v>6.2516400000000001</v>
      </c>
      <c r="N299" s="1085">
        <f t="shared" si="315"/>
        <v>7.1970299999999998</v>
      </c>
      <c r="O299" s="1085">
        <f t="shared" si="315"/>
        <v>7.6957899999999997</v>
      </c>
      <c r="P299" s="1085">
        <f t="shared" si="315"/>
        <v>8.6349599999999995</v>
      </c>
      <c r="Q299" s="1085">
        <f t="shared" si="315"/>
        <v>11.30814</v>
      </c>
      <c r="R299" s="1085">
        <f t="shared" si="315"/>
        <v>13.392899999999999</v>
      </c>
      <c r="S299" s="1085">
        <f t="shared" ref="S299:X299" si="316">+S279</f>
        <v>14.62439</v>
      </c>
      <c r="T299" s="1085">
        <f t="shared" si="316"/>
        <v>18.68233</v>
      </c>
      <c r="U299" s="1085">
        <f t="shared" si="316"/>
        <v>13.98973</v>
      </c>
      <c r="V299" s="1085">
        <f t="shared" si="316"/>
        <v>18.313880000000001</v>
      </c>
      <c r="W299" s="1085">
        <f t="shared" si="316"/>
        <v>23.45505</v>
      </c>
      <c r="X299" s="1085">
        <f t="shared" si="316"/>
        <v>27.22007</v>
      </c>
      <c r="Y299" s="1085">
        <f t="shared" ref="Y299:AD299" si="317">+Y279</f>
        <v>29.387869999999999</v>
      </c>
      <c r="Z299" s="1085">
        <f t="shared" si="317"/>
        <v>29.65802</v>
      </c>
      <c r="AA299" s="1085">
        <f t="shared" si="317"/>
        <v>28.38316</v>
      </c>
      <c r="AB299" s="1085">
        <f t="shared" ref="AB299:AC299" si="318">+AB279</f>
        <v>28.78913</v>
      </c>
      <c r="AC299" s="1085">
        <f t="shared" si="318"/>
        <v>34.033089999999994</v>
      </c>
      <c r="AD299" s="1342">
        <f t="shared" ca="1" si="317"/>
        <v>36.754030068569989</v>
      </c>
      <c r="AE299" s="1342">
        <f t="shared" ref="AE299" ca="1" si="319">+AE279</f>
        <v>39.157296745208768</v>
      </c>
    </row>
    <row r="300" spans="1:94">
      <c r="A300" s="664">
        <f>+ROW(InputY!A83)</f>
        <v>83</v>
      </c>
      <c r="B300" s="664"/>
      <c r="C300" s="694" t="s">
        <v>1769</v>
      </c>
      <c r="D300" s="1055"/>
      <c r="E300" s="1056" t="s">
        <v>1359</v>
      </c>
      <c r="F300" s="1055"/>
      <c r="G300" s="1057">
        <f>+InputY!G83/1000</f>
        <v>11.47381</v>
      </c>
      <c r="H300" s="1057">
        <f>+InputY!H83/1000</f>
        <v>14.691090000000001</v>
      </c>
      <c r="I300" s="1057">
        <f>+InputY!I83/1000</f>
        <v>18.177720000000001</v>
      </c>
      <c r="J300" s="1057">
        <f>+InputY!J83/1000</f>
        <v>19.601569999999999</v>
      </c>
      <c r="K300" s="1057">
        <f>+InputY!K83/1000</f>
        <v>18.101790000000001</v>
      </c>
      <c r="L300" s="1057">
        <f>+InputY!L83/1000</f>
        <v>19.347580000000001</v>
      </c>
      <c r="M300" s="1057">
        <f>+InputY!M83/1000</f>
        <v>21.221869999999999</v>
      </c>
      <c r="N300" s="1057">
        <f>+InputY!N83/1000</f>
        <v>23.262029999999999</v>
      </c>
      <c r="O300" s="1057">
        <f>+InputY!O83/1000</f>
        <v>25.328790000000001</v>
      </c>
      <c r="P300" s="1057">
        <f>+InputY!P83/1000</f>
        <v>28.156119999999998</v>
      </c>
      <c r="Q300" s="1057">
        <f>+InputY!Q83/1000</f>
        <v>33.829470000000001</v>
      </c>
      <c r="R300" s="1057">
        <f>+InputY!R83/1000</f>
        <v>39.943480000000001</v>
      </c>
      <c r="S300" s="1057">
        <f>+InputY!S83/1000</f>
        <v>47.476589999999995</v>
      </c>
      <c r="T300" s="1057">
        <f>+InputY!T83/1000</f>
        <v>55.162019999999998</v>
      </c>
      <c r="U300" s="1057">
        <f>+InputY!U83/1000</f>
        <v>41.377099999999999</v>
      </c>
      <c r="V300" s="1057">
        <f>+InputY!V83/1000</f>
        <v>46.867750000000001</v>
      </c>
      <c r="W300" s="1057">
        <f>+InputY!W83/1000</f>
        <v>55.528030000000001</v>
      </c>
      <c r="X300" s="1057">
        <f>+InputY!X83/1000</f>
        <v>60.281690000000005</v>
      </c>
      <c r="Y300" s="1057">
        <f>+InputY!Y83/1000</f>
        <v>63.910269999999997</v>
      </c>
      <c r="Z300" s="872">
        <f t="shared" ref="Z300:AE300" si="320">+Z298+Z299</f>
        <v>65.46678</v>
      </c>
      <c r="AA300" s="872">
        <f t="shared" si="320"/>
        <v>65.989260000000002</v>
      </c>
      <c r="AB300" s="872">
        <f t="shared" si="320"/>
        <v>66.957560000000001</v>
      </c>
      <c r="AC300" s="872">
        <f t="shared" ref="AC300" ca="1" si="321">+AC298+AC299</f>
        <v>74.975939999999994</v>
      </c>
      <c r="AD300" s="872">
        <f t="shared" ca="1" si="320"/>
        <v>80.478153482007983</v>
      </c>
      <c r="AE300" s="872">
        <f t="shared" ca="1" si="320"/>
        <v>85.413958548292896</v>
      </c>
    </row>
    <row r="301" spans="1:94" s="699" customFormat="1" ht="12.75" customHeight="1">
      <c r="B301" s="664"/>
      <c r="C301" s="774"/>
      <c r="D301" s="1973"/>
      <c r="E301" s="1973" t="s">
        <v>737</v>
      </c>
      <c r="F301" s="1973"/>
      <c r="G301" s="1002">
        <f t="shared" ref="G301:Y301" si="322">ABS(G300-G299-G298)</f>
        <v>1.7763568394002505E-15</v>
      </c>
      <c r="H301" s="1002">
        <f t="shared" si="322"/>
        <v>0</v>
      </c>
      <c r="I301" s="1002">
        <f t="shared" si="322"/>
        <v>0</v>
      </c>
      <c r="J301" s="1002">
        <f t="shared" si="322"/>
        <v>1.7763568394002505E-15</v>
      </c>
      <c r="K301" s="1002">
        <f t="shared" si="322"/>
        <v>1.7763568394002505E-15</v>
      </c>
      <c r="L301" s="1002">
        <f t="shared" si="322"/>
        <v>0</v>
      </c>
      <c r="M301" s="1002">
        <f t="shared" si="322"/>
        <v>0</v>
      </c>
      <c r="N301" s="1002">
        <f t="shared" si="322"/>
        <v>3.5527136788005009E-15</v>
      </c>
      <c r="O301" s="1002">
        <f t="shared" si="322"/>
        <v>3.5527136788005009E-15</v>
      </c>
      <c r="P301" s="1002">
        <f t="shared" si="322"/>
        <v>0</v>
      </c>
      <c r="Q301" s="1002">
        <f t="shared" si="322"/>
        <v>3.5527136788005009E-15</v>
      </c>
      <c r="R301" s="1002">
        <f t="shared" si="322"/>
        <v>3.5527136788005009E-15</v>
      </c>
      <c r="S301" s="1002">
        <f t="shared" si="322"/>
        <v>0</v>
      </c>
      <c r="T301" s="2906">
        <f t="shared" si="322"/>
        <v>7.1054273576010019E-15</v>
      </c>
      <c r="U301" s="2906">
        <f t="shared" si="322"/>
        <v>3.5527136788005009E-15</v>
      </c>
      <c r="V301" s="2906">
        <f t="shared" si="322"/>
        <v>0</v>
      </c>
      <c r="W301" s="2906">
        <f t="shared" si="322"/>
        <v>0</v>
      </c>
      <c r="X301" s="2906">
        <f t="shared" si="322"/>
        <v>0</v>
      </c>
      <c r="Y301" s="2906">
        <f t="shared" si="322"/>
        <v>7.1054273576010019E-15</v>
      </c>
      <c r="Z301" s="2906">
        <f t="shared" ref="Z301:AE301" si="323">ABS(Z300-Z299-Z298)</f>
        <v>0</v>
      </c>
      <c r="AA301" s="2906">
        <f t="shared" si="323"/>
        <v>0</v>
      </c>
      <c r="AB301" s="2906">
        <f t="shared" si="323"/>
        <v>0</v>
      </c>
      <c r="AC301" s="2906">
        <f t="shared" ca="1" si="323"/>
        <v>0</v>
      </c>
      <c r="AD301" s="2906">
        <f t="shared" ca="1" si="323"/>
        <v>0</v>
      </c>
      <c r="AE301" s="2906">
        <f t="shared" ca="1" si="323"/>
        <v>7.1054273576010019E-15</v>
      </c>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row>
    <row r="302" spans="1:94">
      <c r="P302" s="3265"/>
      <c r="Q302" s="3265"/>
      <c r="R302" s="3265"/>
      <c r="S302" s="3265"/>
      <c r="T302" s="3265"/>
      <c r="U302" s="3265"/>
      <c r="V302" s="3265"/>
      <c r="W302" s="3265"/>
      <c r="X302" s="3265"/>
      <c r="Y302" s="3265"/>
      <c r="Z302" s="3265"/>
      <c r="AA302" s="3265"/>
      <c r="AB302" s="3265"/>
      <c r="AC302" s="3265"/>
      <c r="AD302" s="3265"/>
      <c r="AE302" s="3265"/>
    </row>
    <row r="303" spans="1:94" s="699" customFormat="1" ht="12.75" customHeight="1">
      <c r="A303" s="664"/>
      <c r="B303" s="664"/>
      <c r="C303" s="774"/>
      <c r="D303" s="1092"/>
      <c r="E303" s="1093" t="s">
        <v>1359</v>
      </c>
      <c r="F303" s="1094"/>
      <c r="G303" s="896">
        <f>+InputY!$G$3</f>
        <v>1995</v>
      </c>
      <c r="H303" s="896">
        <f>+G303+1</f>
        <v>1996</v>
      </c>
      <c r="I303" s="896">
        <f t="shared" ref="I303:O303" si="324">+H303+1</f>
        <v>1997</v>
      </c>
      <c r="J303" s="896">
        <f t="shared" si="324"/>
        <v>1998</v>
      </c>
      <c r="K303" s="896">
        <f t="shared" si="324"/>
        <v>1999</v>
      </c>
      <c r="L303" s="896">
        <f t="shared" si="324"/>
        <v>2000</v>
      </c>
      <c r="M303" s="896">
        <f t="shared" si="324"/>
        <v>2001</v>
      </c>
      <c r="N303" s="896">
        <f t="shared" si="324"/>
        <v>2002</v>
      </c>
      <c r="O303" s="896">
        <f t="shared" si="324"/>
        <v>2003</v>
      </c>
      <c r="P303" s="896">
        <f t="shared" ref="P303:U303" si="325">+O303+1</f>
        <v>2004</v>
      </c>
      <c r="Q303" s="896">
        <f t="shared" si="325"/>
        <v>2005</v>
      </c>
      <c r="R303" s="896">
        <f t="shared" si="325"/>
        <v>2006</v>
      </c>
      <c r="S303" s="896">
        <f>+R303+1</f>
        <v>2007</v>
      </c>
      <c r="T303" s="896">
        <f t="shared" si="325"/>
        <v>2008</v>
      </c>
      <c r="U303" s="896">
        <f t="shared" si="325"/>
        <v>2009</v>
      </c>
      <c r="V303" s="896">
        <f t="shared" ref="V303:AE303" si="326">+U303+1</f>
        <v>2010</v>
      </c>
      <c r="W303" s="896">
        <f t="shared" si="326"/>
        <v>2011</v>
      </c>
      <c r="X303" s="896">
        <f t="shared" si="326"/>
        <v>2012</v>
      </c>
      <c r="Y303" s="896">
        <f t="shared" si="326"/>
        <v>2013</v>
      </c>
      <c r="Z303" s="896">
        <f t="shared" si="326"/>
        <v>2014</v>
      </c>
      <c r="AA303" s="896">
        <f t="shared" si="326"/>
        <v>2015</v>
      </c>
      <c r="AB303" s="896">
        <f t="shared" si="326"/>
        <v>2016</v>
      </c>
      <c r="AC303" s="896">
        <f t="shared" si="326"/>
        <v>2017</v>
      </c>
      <c r="AD303" s="896">
        <f t="shared" si="326"/>
        <v>2018</v>
      </c>
      <c r="AE303" s="896">
        <f t="shared" si="326"/>
        <v>2019</v>
      </c>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row>
    <row r="304" spans="1:94" s="699" customFormat="1" ht="12.75" customHeight="1">
      <c r="A304" s="664"/>
      <c r="B304" s="664"/>
      <c r="C304" s="794"/>
      <c r="D304" s="689"/>
      <c r="E304" s="738" t="s">
        <v>1942</v>
      </c>
      <c r="F304" s="733"/>
      <c r="G304" s="1095"/>
      <c r="H304" s="1095">
        <f t="shared" ref="H304:S304" si="327">+(H298/G298-1)*100</f>
        <v>23.600563930563446</v>
      </c>
      <c r="I304" s="1095">
        <f t="shared" si="327"/>
        <v>21.557455874720844</v>
      </c>
      <c r="J304" s="1095">
        <f t="shared" si="327"/>
        <v>12.406097474985799</v>
      </c>
      <c r="K304" s="1095">
        <f t="shared" si="327"/>
        <v>-3.622518053652235</v>
      </c>
      <c r="L304" s="1095">
        <f t="shared" si="327"/>
        <v>1.5269021010281714</v>
      </c>
      <c r="M304" s="1095">
        <f t="shared" si="327"/>
        <v>5.4632951806762087</v>
      </c>
      <c r="N304" s="1095">
        <f t="shared" si="327"/>
        <v>7.312980495289656</v>
      </c>
      <c r="O304" s="1095">
        <f t="shared" si="327"/>
        <v>9.7603485838779758</v>
      </c>
      <c r="P304" s="1095">
        <f t="shared" si="327"/>
        <v>10.708104122951291</v>
      </c>
      <c r="Q304" s="1095">
        <f t="shared" si="327"/>
        <v>15.368810050222459</v>
      </c>
      <c r="R304" s="1095">
        <f t="shared" si="327"/>
        <v>17.890817282993488</v>
      </c>
      <c r="S304" s="1095">
        <f t="shared" si="327"/>
        <v>23.734396762707235</v>
      </c>
      <c r="T304" s="1095">
        <f t="shared" ref="T304:AE306" si="328">+(T298/S298-1)*100</f>
        <v>11.041848034530432</v>
      </c>
      <c r="U304" s="1095">
        <f t="shared" si="328"/>
        <v>-24.924334609203104</v>
      </c>
      <c r="V304" s="1095">
        <f t="shared" si="328"/>
        <v>4.2592625724923616</v>
      </c>
      <c r="W304" s="1095">
        <f t="shared" si="328"/>
        <v>12.324458996276167</v>
      </c>
      <c r="X304" s="1095">
        <f t="shared" si="328"/>
        <v>3.0824700417610096</v>
      </c>
      <c r="Y304" s="1095">
        <f t="shared" si="328"/>
        <v>4.4183557853486821</v>
      </c>
      <c r="Z304" s="1095">
        <f t="shared" si="328"/>
        <v>3.7261604059972475</v>
      </c>
      <c r="AA304" s="1095">
        <f t="shared" si="328"/>
        <v>5.0192746132510457</v>
      </c>
      <c r="AB304" s="1095">
        <f t="shared" si="328"/>
        <v>1.4953159194917909</v>
      </c>
      <c r="AC304" s="1095">
        <f t="shared" ca="1" si="328"/>
        <v>7.2688868785014238</v>
      </c>
      <c r="AD304" s="1095">
        <f t="shared" ca="1" si="328"/>
        <v>6.7930625577799164</v>
      </c>
      <c r="AE304" s="1095">
        <f t="shared" ca="1" si="328"/>
        <v>5.7920849909315786</v>
      </c>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row>
    <row r="305" spans="1:94" s="699" customFormat="1" ht="12.75" customHeight="1">
      <c r="A305" s="664"/>
      <c r="B305" s="664"/>
      <c r="C305" s="796"/>
      <c r="D305" s="691"/>
      <c r="E305" s="797" t="s">
        <v>1452</v>
      </c>
      <c r="F305" s="736" t="s">
        <v>1590</v>
      </c>
      <c r="G305" s="1096"/>
      <c r="H305" s="1096">
        <f t="shared" ref="H305:S305" si="329">+(H299/G299-1)*100</f>
        <v>41.262785617697027</v>
      </c>
      <c r="I305" s="1096">
        <f t="shared" si="329"/>
        <v>29.402134427710248</v>
      </c>
      <c r="J305" s="1096">
        <f t="shared" si="329"/>
        <v>-3.3618801035650181</v>
      </c>
      <c r="K305" s="1096">
        <f t="shared" si="329"/>
        <v>-19.122793587984642</v>
      </c>
      <c r="L305" s="1096">
        <f t="shared" si="329"/>
        <v>25.052784343799605</v>
      </c>
      <c r="M305" s="1096">
        <f t="shared" si="329"/>
        <v>21.323927535247478</v>
      </c>
      <c r="N305" s="1096">
        <f t="shared" si="329"/>
        <v>15.122271915849272</v>
      </c>
      <c r="O305" s="1096">
        <f t="shared" si="329"/>
        <v>6.9300808805854652</v>
      </c>
      <c r="P305" s="1096">
        <f t="shared" si="329"/>
        <v>12.203685391623221</v>
      </c>
      <c r="Q305" s="1096">
        <f t="shared" si="329"/>
        <v>30.957641957808725</v>
      </c>
      <c r="R305" s="1096">
        <f t="shared" si="329"/>
        <v>18.435923149165113</v>
      </c>
      <c r="S305" s="1096">
        <f t="shared" si="329"/>
        <v>9.1950959090264295</v>
      </c>
      <c r="T305" s="1096">
        <f t="shared" si="328"/>
        <v>27.74775563288452</v>
      </c>
      <c r="U305" s="1096">
        <f t="shared" si="328"/>
        <v>-25.117852002400131</v>
      </c>
      <c r="V305" s="1096">
        <f t="shared" si="328"/>
        <v>30.909460011022372</v>
      </c>
      <c r="W305" s="1096">
        <f t="shared" si="328"/>
        <v>28.072532964068774</v>
      </c>
      <c r="X305" s="1096">
        <f t="shared" si="328"/>
        <v>16.052065546651995</v>
      </c>
      <c r="Y305" s="1096">
        <f t="shared" si="328"/>
        <v>7.9639765805157747</v>
      </c>
      <c r="Z305" s="1096">
        <f t="shared" si="328"/>
        <v>0.91925682262783415</v>
      </c>
      <c r="AA305" s="1096">
        <f t="shared" si="328"/>
        <v>-4.2985337524217737</v>
      </c>
      <c r="AB305" s="1096">
        <f t="shared" si="328"/>
        <v>1.4303199502803787</v>
      </c>
      <c r="AC305" s="1096">
        <f t="shared" si="328"/>
        <v>18.215069368195547</v>
      </c>
      <c r="AD305" s="1096">
        <f t="shared" ca="1" si="328"/>
        <v>7.9949839070445616</v>
      </c>
      <c r="AE305" s="1096">
        <f t="shared" ca="1" si="328"/>
        <v>6.5387841065459584</v>
      </c>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row>
    <row r="306" spans="1:94" s="699" customFormat="1" ht="12.75" customHeight="1">
      <c r="A306" s="664"/>
      <c r="B306" s="664"/>
      <c r="C306" s="774"/>
      <c r="D306" s="717"/>
      <c r="E306" s="722" t="s">
        <v>1359</v>
      </c>
      <c r="F306" s="723"/>
      <c r="G306" s="721"/>
      <c r="H306" s="721">
        <f t="shared" ref="H306:S306" si="330">+(H300/G300-1)*100</f>
        <v>28.040206348196463</v>
      </c>
      <c r="I306" s="721">
        <f t="shared" si="330"/>
        <v>23.732956506290549</v>
      </c>
      <c r="J306" s="721">
        <f t="shared" si="330"/>
        <v>7.8329405447987943</v>
      </c>
      <c r="K306" s="721">
        <f t="shared" si="330"/>
        <v>-7.6513258886915629</v>
      </c>
      <c r="L306" s="721">
        <f t="shared" si="330"/>
        <v>6.8821370704223117</v>
      </c>
      <c r="M306" s="721">
        <f t="shared" si="330"/>
        <v>9.6874647888779855</v>
      </c>
      <c r="N306" s="721">
        <f t="shared" si="330"/>
        <v>9.6134789252785069</v>
      </c>
      <c r="O306" s="721">
        <f t="shared" si="330"/>
        <v>8.8846932103518128</v>
      </c>
      <c r="P306" s="721">
        <f t="shared" si="330"/>
        <v>11.162515066846845</v>
      </c>
      <c r="Q306" s="721">
        <f t="shared" si="330"/>
        <v>20.149615785129505</v>
      </c>
      <c r="R306" s="721">
        <f t="shared" si="330"/>
        <v>18.073029225701731</v>
      </c>
      <c r="S306" s="721">
        <f t="shared" si="330"/>
        <v>18.859423365215022</v>
      </c>
      <c r="T306" s="721">
        <f t="shared" si="328"/>
        <v>16.187830676129032</v>
      </c>
      <c r="U306" s="721">
        <f t="shared" si="328"/>
        <v>-24.989875280129336</v>
      </c>
      <c r="V306" s="721">
        <f t="shared" si="328"/>
        <v>13.269779660730219</v>
      </c>
      <c r="W306" s="721">
        <f t="shared" si="328"/>
        <v>18.478121949528202</v>
      </c>
      <c r="X306" s="721">
        <f t="shared" si="328"/>
        <v>8.5608295486081509</v>
      </c>
      <c r="Y306" s="721">
        <f t="shared" si="328"/>
        <v>6.0193733785499193</v>
      </c>
      <c r="Z306" s="721">
        <f t="shared" si="328"/>
        <v>2.4354614680864417</v>
      </c>
      <c r="AA306" s="721">
        <f t="shared" si="328"/>
        <v>0.79808415810278532</v>
      </c>
      <c r="AB306" s="721">
        <f t="shared" si="328"/>
        <v>1.4673599916107616</v>
      </c>
      <c r="AC306" s="721">
        <f t="shared" ca="1" si="328"/>
        <v>11.975316902228794</v>
      </c>
      <c r="AD306" s="721">
        <f t="shared" ca="1" si="328"/>
        <v>7.338638878029391</v>
      </c>
      <c r="AE306" s="721">
        <f t="shared" ca="1" si="328"/>
        <v>6.1330992980453747</v>
      </c>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row>
    <row r="307" spans="1:94">
      <c r="Q307" s="1692"/>
      <c r="R307" s="1692">
        <f t="shared" ref="R307:Y307" si="331">R311-R313</f>
        <v>0.72381299999999982</v>
      </c>
      <c r="S307" s="1692">
        <f t="shared" si="331"/>
        <v>0.70498749999999788</v>
      </c>
      <c r="T307" s="1692">
        <f t="shared" si="331"/>
        <v>1.5555595000000011</v>
      </c>
      <c r="U307" s="1692">
        <f t="shared" si="331"/>
        <v>-1.1579484999999998</v>
      </c>
      <c r="V307" s="1692">
        <f t="shared" si="331"/>
        <v>1.0206440000000008</v>
      </c>
      <c r="W307" s="1692">
        <f t="shared" si="331"/>
        <v>2.5987225000000009</v>
      </c>
      <c r="X307" s="1692">
        <f t="shared" si="331"/>
        <v>2.8371324999999992</v>
      </c>
      <c r="Y307" s="1692">
        <f t="shared" si="331"/>
        <v>2.995338499999999</v>
      </c>
      <c r="Z307" s="1692">
        <f t="shared" ref="Z307:AE307" si="332">Z311-Z313</f>
        <v>2.3007979999999968</v>
      </c>
      <c r="AA307" s="1692">
        <f t="shared" si="332"/>
        <v>2.247209999999999</v>
      </c>
      <c r="AB307" s="1692">
        <f t="shared" si="332"/>
        <v>1.3391064999999962</v>
      </c>
      <c r="AC307" s="1692">
        <f t="shared" si="332"/>
        <v>2.4914485000000006</v>
      </c>
      <c r="AD307" s="1692">
        <f t="shared" ca="1" si="332"/>
        <v>3.2007613965915027</v>
      </c>
      <c r="AE307" s="1692">
        <f t="shared" ca="1" si="332"/>
        <v>3.58789249346502</v>
      </c>
    </row>
    <row r="308" spans="1:94" ht="17.25" customHeight="1">
      <c r="A308" s="1130"/>
      <c r="B308" s="1130"/>
      <c r="D308" s="1073"/>
      <c r="E308" s="901" t="s">
        <v>96</v>
      </c>
      <c r="F308" s="1065"/>
      <c r="G308" s="778">
        <f>+InputY!$G$3</f>
        <v>1995</v>
      </c>
      <c r="H308" s="778">
        <f>+G308+1</f>
        <v>1996</v>
      </c>
      <c r="I308" s="778">
        <f t="shared" ref="I308:O308" si="333">+H308+1</f>
        <v>1997</v>
      </c>
      <c r="J308" s="778">
        <f t="shared" si="333"/>
        <v>1998</v>
      </c>
      <c r="K308" s="778">
        <f t="shared" si="333"/>
        <v>1999</v>
      </c>
      <c r="L308" s="778">
        <f t="shared" si="333"/>
        <v>2000</v>
      </c>
      <c r="M308" s="778">
        <f t="shared" si="333"/>
        <v>2001</v>
      </c>
      <c r="N308" s="778">
        <f t="shared" si="333"/>
        <v>2002</v>
      </c>
      <c r="O308" s="778">
        <f t="shared" si="333"/>
        <v>2003</v>
      </c>
      <c r="P308" s="778">
        <f t="shared" ref="P308:V308" si="334">+O308+1</f>
        <v>2004</v>
      </c>
      <c r="Q308" s="778">
        <f t="shared" si="334"/>
        <v>2005</v>
      </c>
      <c r="R308" s="778">
        <f t="shared" si="334"/>
        <v>2006</v>
      </c>
      <c r="S308" s="778">
        <f>+R308+1</f>
        <v>2007</v>
      </c>
      <c r="T308" s="778">
        <f t="shared" si="334"/>
        <v>2008</v>
      </c>
      <c r="U308" s="778">
        <f t="shared" si="334"/>
        <v>2009</v>
      </c>
      <c r="V308" s="778">
        <f t="shared" si="334"/>
        <v>2010</v>
      </c>
      <c r="W308" s="778">
        <f t="shared" ref="W308:AE308" si="335">+V308+1</f>
        <v>2011</v>
      </c>
      <c r="X308" s="778">
        <f t="shared" si="335"/>
        <v>2012</v>
      </c>
      <c r="Y308" s="778">
        <f t="shared" si="335"/>
        <v>2013</v>
      </c>
      <c r="Z308" s="778">
        <f t="shared" si="335"/>
        <v>2014</v>
      </c>
      <c r="AA308" s="778">
        <f t="shared" si="335"/>
        <v>2015</v>
      </c>
      <c r="AB308" s="778">
        <f t="shared" si="335"/>
        <v>2016</v>
      </c>
      <c r="AC308" s="778">
        <f t="shared" si="335"/>
        <v>2017</v>
      </c>
      <c r="AD308" s="778">
        <f t="shared" si="335"/>
        <v>2018</v>
      </c>
      <c r="AE308" s="778">
        <f t="shared" si="335"/>
        <v>2019</v>
      </c>
    </row>
    <row r="309" spans="1:94">
      <c r="A309" s="664">
        <f>+ROW(InputY!A92)</f>
        <v>92</v>
      </c>
      <c r="B309" s="665">
        <v>46</v>
      </c>
      <c r="C309" s="1079" t="s">
        <v>1767</v>
      </c>
      <c r="D309" s="1058"/>
      <c r="E309" s="1038" t="s">
        <v>1453</v>
      </c>
      <c r="F309" s="1058" t="s">
        <v>1542</v>
      </c>
      <c r="G309" s="1084">
        <f>+InputY!G92/1000</f>
        <v>0.61560000000000004</v>
      </c>
      <c r="H309" s="1084">
        <f>+InputY!H92/1000</f>
        <v>0.81620000000000004</v>
      </c>
      <c r="I309" s="1084">
        <f>+InputY!I92/1000</f>
        <v>1.07789</v>
      </c>
      <c r="J309" s="1084">
        <f>+InputY!J92/1000</f>
        <v>1.0390599999999999</v>
      </c>
      <c r="K309" s="1084">
        <f>+InputY!K92/1000</f>
        <v>0.94379999999999997</v>
      </c>
      <c r="L309" s="1084">
        <f>+InputY!L92/1000</f>
        <v>0.81650999999999996</v>
      </c>
      <c r="M309" s="1084">
        <f>+InputY!M92/1000</f>
        <v>0.87096000000000007</v>
      </c>
      <c r="N309" s="1084">
        <f>+InputY!N92/1000</f>
        <v>1.05043</v>
      </c>
      <c r="O309" s="1084">
        <f>+InputY!O92/1000</f>
        <v>1.16273</v>
      </c>
      <c r="P309" s="1084">
        <f>+InputY!P92/1000</f>
        <v>1.34253</v>
      </c>
      <c r="Q309" s="1084">
        <f>+InputY!Q92/1000</f>
        <v>1.6711099999999999</v>
      </c>
      <c r="R309" s="1084">
        <f>+InputY!R92/1000</f>
        <v>2.0362499999999999</v>
      </c>
      <c r="S309" s="1084">
        <f>+InputY!S92/1000</f>
        <v>2.4937499999999999</v>
      </c>
      <c r="T309" s="1084">
        <f>+InputY!T92/1000</f>
        <v>2.8632600000000004</v>
      </c>
      <c r="U309" s="1084">
        <f>+InputY!U92/1000</f>
        <v>2.2192399999999997</v>
      </c>
      <c r="V309" s="1084">
        <f>+InputY!V92/1000</f>
        <v>2.3007600000000004</v>
      </c>
      <c r="W309" s="1084">
        <f>+InputY!W92/1000</f>
        <v>2.76573</v>
      </c>
      <c r="X309" s="1084">
        <f>+InputY!X92/1000</f>
        <v>3.4036</v>
      </c>
      <c r="Y309" s="1084">
        <f>+InputY!Y92/1000</f>
        <v>4.0330300000000001</v>
      </c>
      <c r="Z309" s="1084">
        <f>+InputY!Z92/1000</f>
        <v>4.2121199999999996</v>
      </c>
      <c r="AA309" s="1084">
        <f>+InputY!AA92/1000</f>
        <v>4.2663700000000002</v>
      </c>
      <c r="AB309" s="1084">
        <f>+InputY!AB92/1000</f>
        <v>4.5988800000000003</v>
      </c>
      <c r="AC309" s="1084">
        <f>+InputY!AC92/1000</f>
        <v>5.3760900000000005</v>
      </c>
      <c r="AD309" s="1416">
        <f t="shared" ref="AD309:AE311" ca="1" si="336">+AC309*(1+AD315/100)</f>
        <v>5.8973019254999999</v>
      </c>
      <c r="AE309" s="1416">
        <f t="shared" ca="1" si="336"/>
        <v>6.3099951142464894</v>
      </c>
    </row>
    <row r="310" spans="1:94">
      <c r="A310" s="664">
        <f>+ROW(InputY!A91)</f>
        <v>91</v>
      </c>
      <c r="B310" s="1130">
        <v>45</v>
      </c>
      <c r="C310" s="1081" t="s">
        <v>1767</v>
      </c>
      <c r="D310" s="1077"/>
      <c r="E310" s="1078" t="s">
        <v>1454</v>
      </c>
      <c r="F310" s="1077" t="s">
        <v>1436</v>
      </c>
      <c r="G310" s="1085">
        <f>+InputY!G91/1000</f>
        <v>3.0936900000000001</v>
      </c>
      <c r="H310" s="1085">
        <f>+InputY!H91/1000</f>
        <v>4.1607299999999992</v>
      </c>
      <c r="I310" s="1085">
        <f>+InputY!I91/1000</f>
        <v>5.3754900000000001</v>
      </c>
      <c r="J310" s="1085">
        <f>+InputY!J91/1000</f>
        <v>5.5405500000000005</v>
      </c>
      <c r="K310" s="1085">
        <f>+InputY!K91/1000</f>
        <v>4.4459099999999996</v>
      </c>
      <c r="L310" s="1085">
        <f>+InputY!L91/1000</f>
        <v>5.16289</v>
      </c>
      <c r="M310" s="1085">
        <f>+InputY!M91/1000</f>
        <v>6.1563999999999997</v>
      </c>
      <c r="N310" s="1085">
        <f>+InputY!N91/1000</f>
        <v>7.0094200000000004</v>
      </c>
      <c r="O310" s="1085">
        <f>+InputY!O91/1000</f>
        <v>7.4975899999999998</v>
      </c>
      <c r="P310" s="1085">
        <f>+InputY!P91/1000</f>
        <v>8.5758600000000005</v>
      </c>
      <c r="Q310" s="1085">
        <f>+InputY!Q91/1000</f>
        <v>11.15601</v>
      </c>
      <c r="R310" s="1085">
        <f>+InputY!R91/1000</f>
        <v>13.828059999999999</v>
      </c>
      <c r="S310" s="1085">
        <f>+InputY!S91/1000</f>
        <v>15.942170000000001</v>
      </c>
      <c r="T310" s="1085">
        <f>+InputY!T91/1000</f>
        <v>19.60248</v>
      </c>
      <c r="U310" s="1085">
        <f>+InputY!U91/1000</f>
        <v>12.223049999999999</v>
      </c>
      <c r="V310" s="1085">
        <f>+InputY!V91/1000</f>
        <v>16.539330000000003</v>
      </c>
      <c r="W310" s="1085">
        <f>+InputY!W91/1000</f>
        <v>21.486979999999999</v>
      </c>
      <c r="X310" s="1085">
        <f>+InputY!X91/1000</f>
        <v>23.529599999999999</v>
      </c>
      <c r="Y310" s="1085">
        <f>+InputY!Y91/1000</f>
        <v>24.917590000000001</v>
      </c>
      <c r="Z310" s="1085">
        <f>+InputY!Z91/1000</f>
        <v>24.68638</v>
      </c>
      <c r="AA310" s="1085">
        <f>+InputY!AA91/1000</f>
        <v>24.296279999999999</v>
      </c>
      <c r="AB310" s="1085">
        <f>+InputY!AB91/1000</f>
        <v>23.690349999999999</v>
      </c>
      <c r="AC310" s="1085">
        <f>+InputY!AC91/1000</f>
        <v>27.813869999999998</v>
      </c>
      <c r="AD310" s="1342">
        <f t="shared" ca="1" si="336"/>
        <v>30.362315838749993</v>
      </c>
      <c r="AE310" s="1342">
        <f t="shared" ca="1" si="336"/>
        <v>32.420273606300469</v>
      </c>
    </row>
    <row r="311" spans="1:94">
      <c r="A311" s="664">
        <f>+ROW(InputY!A93)</f>
        <v>93</v>
      </c>
      <c r="B311" s="664"/>
      <c r="C311" s="694" t="s">
        <v>1769</v>
      </c>
      <c r="D311" s="1055"/>
      <c r="E311" s="1056" t="s">
        <v>1455</v>
      </c>
      <c r="F311" s="1055" t="s">
        <v>1886</v>
      </c>
      <c r="G311" s="1057">
        <f>+InputY!G93/1000</f>
        <v>3.7092899999999998</v>
      </c>
      <c r="H311" s="1057">
        <f>+InputY!H93/1000</f>
        <v>4.9769399999999999</v>
      </c>
      <c r="I311" s="1057">
        <f>+InputY!I93/1000</f>
        <v>6.4533800000000001</v>
      </c>
      <c r="J311" s="1057">
        <f>+InputY!J93/1000</f>
        <v>6.5796099999999997</v>
      </c>
      <c r="K311" s="1057">
        <f>+InputY!K93/1000</f>
        <v>5.38971</v>
      </c>
      <c r="L311" s="1057">
        <f>+InputY!L93/1000</f>
        <v>5.9794</v>
      </c>
      <c r="M311" s="1057">
        <f>+InputY!M93/1000</f>
        <v>7.0273599999999998</v>
      </c>
      <c r="N311" s="1057">
        <f>+InputY!N93/1000</f>
        <v>8.0598500000000008</v>
      </c>
      <c r="O311" s="1057">
        <f>+InputY!O93/1000</f>
        <v>8.6603200000000005</v>
      </c>
      <c r="P311" s="1057">
        <f>+InputY!P93/1000</f>
        <v>9.9183899999999987</v>
      </c>
      <c r="Q311" s="1057">
        <f>+InputY!Q93/1000</f>
        <v>12.827120000000001</v>
      </c>
      <c r="R311" s="1057">
        <f>+InputY!R93/1000</f>
        <v>15.86431</v>
      </c>
      <c r="S311" s="1057">
        <f>+InputY!S93/1000</f>
        <v>18.435919999999999</v>
      </c>
      <c r="T311" s="1057">
        <f>+InputY!T93/1000</f>
        <v>22.46575</v>
      </c>
      <c r="U311" s="1057">
        <f>+InputY!U93/1000</f>
        <v>14.44228</v>
      </c>
      <c r="V311" s="1057">
        <f>+InputY!V93/1000</f>
        <v>18.84009</v>
      </c>
      <c r="W311" s="1057">
        <f>+InputY!W93/1000</f>
        <v>24.25271</v>
      </c>
      <c r="X311" s="1057">
        <f>+InputY!X93/1000</f>
        <v>26.933209999999999</v>
      </c>
      <c r="Y311" s="1057">
        <f>+InputY!Y93/1000</f>
        <v>28.950620000000001</v>
      </c>
      <c r="Z311" s="1057">
        <f>+InputY!Z93/1000</f>
        <v>28.898499999999999</v>
      </c>
      <c r="AA311" s="1057">
        <f>+InputY!AA93/1000</f>
        <v>28.562650000000001</v>
      </c>
      <c r="AB311" s="1057">
        <f>+InputY!AB93/1000</f>
        <v>28.28923</v>
      </c>
      <c r="AC311" s="1057">
        <f>+InputY!AC93/1000</f>
        <v>33.189959999999999</v>
      </c>
      <c r="AD311" s="872">
        <f t="shared" ca="1" si="336"/>
        <v>36.259617764249995</v>
      </c>
      <c r="AE311" s="872">
        <f t="shared" ca="1" si="336"/>
        <v>38.73026872054696</v>
      </c>
    </row>
    <row r="312" spans="1:94" s="699" customFormat="1" ht="12.75" customHeight="1">
      <c r="A312" s="664"/>
      <c r="B312" s="664"/>
      <c r="C312" s="774"/>
      <c r="D312" s="1973"/>
      <c r="E312" s="1973" t="s">
        <v>737</v>
      </c>
      <c r="F312" s="1973"/>
      <c r="G312" s="1002">
        <f t="shared" ref="G312:Y312" si="337">ABS(G311-G310-G309)</f>
        <v>3.3306690738754696E-16</v>
      </c>
      <c r="H312" s="1002">
        <f t="shared" si="337"/>
        <v>1.0000000000731646E-5</v>
      </c>
      <c r="I312" s="1002">
        <f t="shared" si="337"/>
        <v>0</v>
      </c>
      <c r="J312" s="1002">
        <f t="shared" si="337"/>
        <v>6.6613381477509392E-16</v>
      </c>
      <c r="K312" s="1002">
        <f t="shared" si="337"/>
        <v>4.4408920985006262E-16</v>
      </c>
      <c r="L312" s="1002">
        <f t="shared" si="337"/>
        <v>1.1102230246251565E-16</v>
      </c>
      <c r="M312" s="1002">
        <f t="shared" si="337"/>
        <v>1.1102230246251565E-16</v>
      </c>
      <c r="N312" s="1002">
        <f t="shared" si="337"/>
        <v>4.4408920985006262E-16</v>
      </c>
      <c r="O312" s="1002">
        <f t="shared" si="337"/>
        <v>6.6613381477509392E-16</v>
      </c>
      <c r="P312" s="1002">
        <f t="shared" si="337"/>
        <v>1.7763568394002505E-15</v>
      </c>
      <c r="Q312" s="1002">
        <f t="shared" si="337"/>
        <v>6.6613381477509392E-16</v>
      </c>
      <c r="R312" s="1002">
        <f t="shared" si="337"/>
        <v>8.8817841970012523E-16</v>
      </c>
      <c r="S312" s="1002">
        <f t="shared" si="337"/>
        <v>1.3322676295501878E-15</v>
      </c>
      <c r="T312" s="2906">
        <f t="shared" si="337"/>
        <v>9.9999999996214228E-6</v>
      </c>
      <c r="U312" s="2906">
        <f t="shared" si="337"/>
        <v>9.9999999982891552E-6</v>
      </c>
      <c r="V312" s="2906">
        <f t="shared" si="337"/>
        <v>3.5527136788005009E-15</v>
      </c>
      <c r="W312" s="2906">
        <f t="shared" si="337"/>
        <v>1.3322676295501878E-15</v>
      </c>
      <c r="X312" s="2906">
        <f t="shared" si="337"/>
        <v>1.0000000000509601E-5</v>
      </c>
      <c r="Y312" s="2906">
        <f t="shared" si="337"/>
        <v>0</v>
      </c>
      <c r="Z312" s="2906">
        <f t="shared" ref="Z312:AE312" si="338">ABS(Z311-Z310-Z309)</f>
        <v>8.8817841970012523E-16</v>
      </c>
      <c r="AA312" s="2906">
        <f t="shared" si="338"/>
        <v>1.7763568394002505E-15</v>
      </c>
      <c r="AB312" s="2906">
        <f t="shared" si="338"/>
        <v>8.8817841970012523E-16</v>
      </c>
      <c r="AC312" s="2906">
        <f t="shared" si="338"/>
        <v>8.8817841970012523E-16</v>
      </c>
      <c r="AD312" s="2906">
        <f t="shared" ca="1" si="338"/>
        <v>2.6645352591003757E-15</v>
      </c>
      <c r="AE312" s="2906">
        <f t="shared" ca="1" si="338"/>
        <v>8.8817841970012523E-16</v>
      </c>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row>
    <row r="313" spans="1:94">
      <c r="P313" s="3265">
        <f>P185*0.3+P212*0.5+P279*0.55</f>
        <v>10.403952</v>
      </c>
      <c r="Q313" s="3265">
        <f t="shared" ref="Q313:AC313" si="339">Q185*0.3+Q212*0.5+Q279*0.55</f>
        <v>12.750091000000001</v>
      </c>
      <c r="R313" s="3265">
        <f t="shared" si="339"/>
        <v>15.140497</v>
      </c>
      <c r="S313" s="3265">
        <f t="shared" si="339"/>
        <v>17.730932500000002</v>
      </c>
      <c r="T313" s="3265">
        <f t="shared" si="339"/>
        <v>20.910190499999999</v>
      </c>
      <c r="U313" s="3265">
        <f t="shared" si="339"/>
        <v>15.6002285</v>
      </c>
      <c r="V313" s="3265">
        <f t="shared" si="339"/>
        <v>17.819445999999999</v>
      </c>
      <c r="W313" s="3265">
        <f t="shared" si="339"/>
        <v>21.653987499999999</v>
      </c>
      <c r="X313" s="3265">
        <f t="shared" si="339"/>
        <v>24.0960775</v>
      </c>
      <c r="Y313" s="3265">
        <f t="shared" si="339"/>
        <v>25.955281500000002</v>
      </c>
      <c r="Z313" s="3265">
        <f t="shared" si="339"/>
        <v>26.597702000000002</v>
      </c>
      <c r="AA313" s="3265">
        <f t="shared" si="339"/>
        <v>26.315440000000002</v>
      </c>
      <c r="AB313" s="3265">
        <f t="shared" si="339"/>
        <v>26.950123500000004</v>
      </c>
      <c r="AC313" s="3265">
        <f t="shared" si="339"/>
        <v>30.698511499999999</v>
      </c>
      <c r="AD313" s="3265">
        <f ca="1">AD185*0.3+AD212*0.5+AD279*0.55</f>
        <v>33.058856367658493</v>
      </c>
      <c r="AE313" s="3265">
        <f ca="1">AE185*0.3+AE212*0.5+AE279*0.55</f>
        <v>35.14237622708194</v>
      </c>
    </row>
    <row r="314" spans="1:94">
      <c r="A314" s="1130"/>
      <c r="B314" s="1130"/>
      <c r="D314" s="1117"/>
      <c r="E314" s="930" t="s">
        <v>96</v>
      </c>
      <c r="F314" s="1118"/>
      <c r="G314" s="896">
        <f>+InputY!$G$3</f>
        <v>1995</v>
      </c>
      <c r="H314" s="896">
        <f>+G314+1</f>
        <v>1996</v>
      </c>
      <c r="I314" s="896">
        <f t="shared" ref="I314:O314" si="340">+H314+1</f>
        <v>1997</v>
      </c>
      <c r="J314" s="896">
        <f t="shared" si="340"/>
        <v>1998</v>
      </c>
      <c r="K314" s="896">
        <f t="shared" si="340"/>
        <v>1999</v>
      </c>
      <c r="L314" s="896">
        <f t="shared" si="340"/>
        <v>2000</v>
      </c>
      <c r="M314" s="896">
        <f t="shared" si="340"/>
        <v>2001</v>
      </c>
      <c r="N314" s="896">
        <f t="shared" si="340"/>
        <v>2002</v>
      </c>
      <c r="O314" s="896">
        <f t="shared" si="340"/>
        <v>2003</v>
      </c>
      <c r="P314" s="896">
        <f t="shared" ref="P314:V314" si="341">+O314+1</f>
        <v>2004</v>
      </c>
      <c r="Q314" s="896">
        <f t="shared" si="341"/>
        <v>2005</v>
      </c>
      <c r="R314" s="896">
        <f t="shared" si="341"/>
        <v>2006</v>
      </c>
      <c r="S314" s="896">
        <f>+R314+1</f>
        <v>2007</v>
      </c>
      <c r="T314" s="896">
        <f t="shared" si="341"/>
        <v>2008</v>
      </c>
      <c r="U314" s="896">
        <f t="shared" si="341"/>
        <v>2009</v>
      </c>
      <c r="V314" s="896">
        <f t="shared" si="341"/>
        <v>2010</v>
      </c>
      <c r="W314" s="896">
        <f t="shared" ref="W314:AE314" si="342">+V314+1</f>
        <v>2011</v>
      </c>
      <c r="X314" s="896">
        <f t="shared" si="342"/>
        <v>2012</v>
      </c>
      <c r="Y314" s="896">
        <f t="shared" si="342"/>
        <v>2013</v>
      </c>
      <c r="Z314" s="896">
        <f t="shared" si="342"/>
        <v>2014</v>
      </c>
      <c r="AA314" s="896">
        <f t="shared" si="342"/>
        <v>2015</v>
      </c>
      <c r="AB314" s="896">
        <f t="shared" si="342"/>
        <v>2016</v>
      </c>
      <c r="AC314" s="896">
        <f t="shared" si="342"/>
        <v>2017</v>
      </c>
      <c r="AD314" s="896">
        <f t="shared" si="342"/>
        <v>2018</v>
      </c>
      <c r="AE314" s="896">
        <f t="shared" si="342"/>
        <v>2019</v>
      </c>
    </row>
    <row r="315" spans="1:94" s="1295" customFormat="1">
      <c r="A315" s="1448"/>
      <c r="B315" s="1448"/>
      <c r="C315" s="1450"/>
      <c r="D315" s="1451"/>
      <c r="E315" s="1451" t="s">
        <v>1453</v>
      </c>
      <c r="F315" s="1452" t="s">
        <v>1542</v>
      </c>
      <c r="G315" s="1451"/>
      <c r="H315" s="1451">
        <f>+(H309/G309-1)*100</f>
        <v>32.586094866796621</v>
      </c>
      <c r="I315" s="1451">
        <f t="shared" ref="I315:AC315" si="343">+(I309/H309-1)*100</f>
        <v>32.061994609164415</v>
      </c>
      <c r="J315" s="1451">
        <f t="shared" si="343"/>
        <v>-3.6024084090213404</v>
      </c>
      <c r="K315" s="1451">
        <f t="shared" si="343"/>
        <v>-9.1679017573575994</v>
      </c>
      <c r="L315" s="1451">
        <f t="shared" si="343"/>
        <v>-13.486967577876674</v>
      </c>
      <c r="M315" s="1451">
        <f t="shared" si="343"/>
        <v>6.6686262262556584</v>
      </c>
      <c r="N315" s="1451">
        <f t="shared" si="343"/>
        <v>20.605997979241273</v>
      </c>
      <c r="O315" s="1451">
        <f t="shared" si="343"/>
        <v>10.690859933551033</v>
      </c>
      <c r="P315" s="1451">
        <f t="shared" si="343"/>
        <v>15.463607200295847</v>
      </c>
      <c r="Q315" s="1451">
        <f t="shared" si="343"/>
        <v>24.474685854319823</v>
      </c>
      <c r="R315" s="1451">
        <f t="shared" si="343"/>
        <v>21.850147506747007</v>
      </c>
      <c r="S315" s="1451">
        <f t="shared" si="343"/>
        <v>22.467771639042368</v>
      </c>
      <c r="T315" s="1451">
        <f t="shared" si="343"/>
        <v>14.817443609022574</v>
      </c>
      <c r="U315" s="1451">
        <f t="shared" si="343"/>
        <v>-22.492543464442647</v>
      </c>
      <c r="V315" s="1451">
        <f t="shared" si="343"/>
        <v>3.6733296083344191</v>
      </c>
      <c r="W315" s="1451">
        <f t="shared" si="343"/>
        <v>20.20940906483073</v>
      </c>
      <c r="X315" s="1451">
        <f t="shared" si="343"/>
        <v>23.063350363195244</v>
      </c>
      <c r="Y315" s="1451">
        <f t="shared" si="343"/>
        <v>18.493066165236804</v>
      </c>
      <c r="Z315" s="1451">
        <f t="shared" si="343"/>
        <v>4.4405818950020048</v>
      </c>
      <c r="AA315" s="1451">
        <f t="shared" si="343"/>
        <v>1.2879500109208797</v>
      </c>
      <c r="AB315" s="1451">
        <f t="shared" si="343"/>
        <v>7.7937450338343872</v>
      </c>
      <c r="AC315" s="1451">
        <f t="shared" si="343"/>
        <v>16.899984344014207</v>
      </c>
      <c r="AD315" s="1421">
        <f ca="1">OFFSET('VVP1'!$K$101,0,5*(COLUMN()-7))</f>
        <v>9.6949999999999861</v>
      </c>
      <c r="AE315" s="1421">
        <f ca="1">OFFSET('VVP1'!$K$101,0,5*(COLUMN()-7))</f>
        <v>6.9979999999999931</v>
      </c>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row>
    <row r="316" spans="1:94">
      <c r="A316" s="1130"/>
      <c r="B316" s="1130"/>
      <c r="C316" s="979"/>
      <c r="D316" s="1121"/>
      <c r="E316" s="1122" t="s">
        <v>1454</v>
      </c>
      <c r="F316" s="1121" t="s">
        <v>1436</v>
      </c>
      <c r="G316" s="1123"/>
      <c r="H316" s="1123">
        <f>+(H310/G310-1)*100</f>
        <v>34.490850731650525</v>
      </c>
      <c r="I316" s="1123">
        <f t="shared" ref="I316:AC316" si="344">+(I310/H310-1)*100</f>
        <v>29.195838230310578</v>
      </c>
      <c r="J316" s="1123">
        <f t="shared" si="344"/>
        <v>3.0706037961190535</v>
      </c>
      <c r="K316" s="1123">
        <f t="shared" si="344"/>
        <v>-19.756883341906505</v>
      </c>
      <c r="L316" s="1123">
        <f t="shared" si="344"/>
        <v>16.126732210053738</v>
      </c>
      <c r="M316" s="1123">
        <f t="shared" si="344"/>
        <v>19.243292032175763</v>
      </c>
      <c r="N316" s="1123">
        <f t="shared" si="344"/>
        <v>13.855824832694452</v>
      </c>
      <c r="O316" s="1123">
        <f t="shared" si="344"/>
        <v>6.9644849359861372</v>
      </c>
      <c r="P316" s="1123">
        <f t="shared" si="344"/>
        <v>14.381554606213465</v>
      </c>
      <c r="Q316" s="1123">
        <f t="shared" si="344"/>
        <v>30.086195436959095</v>
      </c>
      <c r="R316" s="1123">
        <f t="shared" si="344"/>
        <v>23.951663722065497</v>
      </c>
      <c r="S316" s="1123">
        <f t="shared" si="344"/>
        <v>15.288550960872339</v>
      </c>
      <c r="T316" s="1123">
        <f t="shared" si="344"/>
        <v>22.959923272678683</v>
      </c>
      <c r="U316" s="1123">
        <f t="shared" si="344"/>
        <v>-37.645389767009071</v>
      </c>
      <c r="V316" s="1123">
        <f t="shared" si="344"/>
        <v>35.31262655392888</v>
      </c>
      <c r="W316" s="1123">
        <f t="shared" si="344"/>
        <v>29.914452399220504</v>
      </c>
      <c r="X316" s="1123">
        <f t="shared" si="344"/>
        <v>9.5063149870293628</v>
      </c>
      <c r="Y316" s="1123">
        <f t="shared" si="344"/>
        <v>5.8989103087175421</v>
      </c>
      <c r="Z316" s="1123">
        <f t="shared" si="344"/>
        <v>-0.92789872535827822</v>
      </c>
      <c r="AA316" s="1123">
        <f t="shared" si="344"/>
        <v>-1.5802235888777605</v>
      </c>
      <c r="AB316" s="1123">
        <f t="shared" si="344"/>
        <v>-2.4939208800688895</v>
      </c>
      <c r="AC316" s="1123">
        <f t="shared" si="344"/>
        <v>17.405905780201646</v>
      </c>
      <c r="AD316" s="1424">
        <f ca="1">OFFSET('VVP1'!$K$102,0,5*(COLUMN()-7))</f>
        <v>9.1624999999999837</v>
      </c>
      <c r="AE316" s="1424">
        <f ca="1">OFFSET('VVP1'!$K$102,0,5*(COLUMN()-7))</f>
        <v>6.7780000000000173</v>
      </c>
    </row>
    <row r="317" spans="1:94">
      <c r="A317" s="664"/>
      <c r="B317" s="664"/>
      <c r="D317" s="1097"/>
      <c r="E317" s="1098" t="s">
        <v>1455</v>
      </c>
      <c r="F317" s="1097" t="s">
        <v>1886</v>
      </c>
      <c r="G317" s="1099"/>
      <c r="H317" s="1099">
        <f>+(H311/G311-1)*100</f>
        <v>34.175003841705553</v>
      </c>
      <c r="I317" s="1099">
        <f t="shared" ref="I317:AC317" si="345">+(I311/H311-1)*100</f>
        <v>29.665617829429337</v>
      </c>
      <c r="J317" s="1099">
        <f t="shared" si="345"/>
        <v>1.9560292435901738</v>
      </c>
      <c r="K317" s="1099">
        <f t="shared" si="345"/>
        <v>-18.084658513194551</v>
      </c>
      <c r="L317" s="1099">
        <f t="shared" si="345"/>
        <v>10.941033933180089</v>
      </c>
      <c r="M317" s="1099">
        <f t="shared" si="345"/>
        <v>17.526173194634922</v>
      </c>
      <c r="N317" s="1099">
        <f t="shared" si="345"/>
        <v>14.692430727897833</v>
      </c>
      <c r="O317" s="1099">
        <f t="shared" si="345"/>
        <v>7.4501386502230149</v>
      </c>
      <c r="P317" s="1099">
        <f t="shared" si="345"/>
        <v>14.526830417351766</v>
      </c>
      <c r="Q317" s="1099">
        <f t="shared" si="345"/>
        <v>29.326634665505203</v>
      </c>
      <c r="R317" s="1099">
        <f t="shared" si="345"/>
        <v>23.677879368088849</v>
      </c>
      <c r="S317" s="1099">
        <f t="shared" si="345"/>
        <v>16.210033717192871</v>
      </c>
      <c r="T317" s="1099">
        <f t="shared" si="345"/>
        <v>21.858578253756811</v>
      </c>
      <c r="U317" s="1099">
        <f t="shared" si="345"/>
        <v>-35.714231663754823</v>
      </c>
      <c r="V317" s="1099">
        <f t="shared" si="345"/>
        <v>30.450939879298833</v>
      </c>
      <c r="W317" s="1099">
        <f t="shared" si="345"/>
        <v>28.729268278442397</v>
      </c>
      <c r="X317" s="1099">
        <f t="shared" si="345"/>
        <v>11.052373116241432</v>
      </c>
      <c r="Y317" s="1099">
        <f t="shared" si="345"/>
        <v>7.4904179635476131</v>
      </c>
      <c r="Z317" s="1099">
        <f t="shared" si="345"/>
        <v>-0.18003068673486666</v>
      </c>
      <c r="AA317" s="1099">
        <f t="shared" si="345"/>
        <v>-1.1621710469401414</v>
      </c>
      <c r="AB317" s="1099">
        <f t="shared" si="345"/>
        <v>-0.95726411940069145</v>
      </c>
      <c r="AC317" s="1099">
        <f t="shared" si="345"/>
        <v>17.323659922875233</v>
      </c>
      <c r="AD317" s="1426">
        <f ca="1">OFFSET('VVP1'!$K$103,0,5*(COLUMN()-7))</f>
        <v>9.2487540335993046</v>
      </c>
      <c r="AE317" s="1426">
        <f ca="1">OFFSET('VVP1'!$K$103,0,5*(COLUMN()-7))</f>
        <v>6.8137810286927225</v>
      </c>
    </row>
    <row r="318" spans="1:94">
      <c r="Q318" s="1692"/>
      <c r="R318" s="1692"/>
      <c r="S318" s="1692"/>
      <c r="T318" s="1692"/>
      <c r="U318" s="1692"/>
      <c r="V318" s="1692"/>
      <c r="W318" s="1692"/>
      <c r="X318" s="1692"/>
      <c r="Y318" s="1692"/>
      <c r="Z318" s="1692"/>
      <c r="AA318" s="1692"/>
      <c r="AB318" s="1692"/>
      <c r="AC318" s="1692"/>
      <c r="AD318" s="1692"/>
      <c r="AE318" s="1692"/>
    </row>
    <row r="319" spans="1:94">
      <c r="A319" s="1130"/>
      <c r="D319" s="1417"/>
      <c r="E319" s="1075" t="s">
        <v>626</v>
      </c>
      <c r="F319" s="1418"/>
      <c r="G319" s="698">
        <f>+InputY!$G$3</f>
        <v>1995</v>
      </c>
      <c r="H319" s="698">
        <f>+G319+1</f>
        <v>1996</v>
      </c>
      <c r="I319" s="698">
        <f t="shared" ref="I319:O319" si="346">+H319+1</f>
        <v>1997</v>
      </c>
      <c r="J319" s="698">
        <f t="shared" si="346"/>
        <v>1998</v>
      </c>
      <c r="K319" s="698">
        <f t="shared" si="346"/>
        <v>1999</v>
      </c>
      <c r="L319" s="698">
        <f t="shared" si="346"/>
        <v>2000</v>
      </c>
      <c r="M319" s="698">
        <f t="shared" si="346"/>
        <v>2001</v>
      </c>
      <c r="N319" s="698">
        <f t="shared" si="346"/>
        <v>2002</v>
      </c>
      <c r="O319" s="698">
        <f t="shared" si="346"/>
        <v>2003</v>
      </c>
      <c r="P319" s="698">
        <f t="shared" ref="P319:V319" si="347">+O319+1</f>
        <v>2004</v>
      </c>
      <c r="Q319" s="698">
        <f t="shared" si="347"/>
        <v>2005</v>
      </c>
      <c r="R319" s="698">
        <f t="shared" si="347"/>
        <v>2006</v>
      </c>
      <c r="S319" s="698">
        <f>+R319+1</f>
        <v>2007</v>
      </c>
      <c r="T319" s="698">
        <f t="shared" si="347"/>
        <v>2008</v>
      </c>
      <c r="U319" s="698">
        <f t="shared" si="347"/>
        <v>2009</v>
      </c>
      <c r="V319" s="698">
        <f t="shared" si="347"/>
        <v>2010</v>
      </c>
      <c r="W319" s="698">
        <f t="shared" ref="W319:AE319" si="348">+V319+1</f>
        <v>2011</v>
      </c>
      <c r="X319" s="698">
        <f t="shared" si="348"/>
        <v>2012</v>
      </c>
      <c r="Y319" s="698">
        <f t="shared" si="348"/>
        <v>2013</v>
      </c>
      <c r="Z319" s="698">
        <f t="shared" si="348"/>
        <v>2014</v>
      </c>
      <c r="AA319" s="698">
        <f t="shared" si="348"/>
        <v>2015</v>
      </c>
      <c r="AB319" s="698">
        <f t="shared" si="348"/>
        <v>2016</v>
      </c>
      <c r="AC319" s="698">
        <f t="shared" si="348"/>
        <v>2017</v>
      </c>
      <c r="AD319" s="698">
        <f t="shared" si="348"/>
        <v>2018</v>
      </c>
      <c r="AE319" s="698">
        <f t="shared" si="348"/>
        <v>2019</v>
      </c>
    </row>
    <row r="320" spans="1:94">
      <c r="A320" s="664">
        <f>+ROW(InputY!A261)</f>
        <v>261</v>
      </c>
      <c r="B320" s="665">
        <v>150</v>
      </c>
      <c r="C320" s="1079" t="s">
        <v>1767</v>
      </c>
      <c r="D320" s="1058"/>
      <c r="E320" s="1038" t="s">
        <v>402</v>
      </c>
      <c r="F320" s="1058" t="s">
        <v>83</v>
      </c>
      <c r="G320" s="1084" t="e">
        <f>+InputY!G261/1000</f>
        <v>#VALUE!</v>
      </c>
      <c r="H320" s="1084" t="e">
        <f>+InputY!H261/1000</f>
        <v>#VALUE!</v>
      </c>
      <c r="I320" s="1084" t="e">
        <f>+InputY!I261/1000</f>
        <v>#VALUE!</v>
      </c>
      <c r="J320" s="1084" t="e">
        <f>+InputY!J261/1000</f>
        <v>#VALUE!</v>
      </c>
      <c r="K320" s="1084">
        <f>+InputY!K261/1000</f>
        <v>3.2407852567684778</v>
      </c>
      <c r="L320" s="1084">
        <f>+InputY!L261/1000</f>
        <v>3.3351650053206674</v>
      </c>
      <c r="M320" s="1084">
        <f>+InputY!M261/1000</f>
        <v>3.848407547340623</v>
      </c>
      <c r="N320" s="1084">
        <f>+InputY!N261/1000</f>
        <v>4.5366989492076</v>
      </c>
      <c r="O320" s="1084">
        <f>+InputY!O261/1000</f>
        <v>4.7863298730296568</v>
      </c>
      <c r="P320" s="1084">
        <f>+InputY!P261/1000</f>
        <v>6.3279125068471966</v>
      </c>
      <c r="Q320" s="1084">
        <f>+InputY!Q261/1000</f>
        <v>7.4370991621200488</v>
      </c>
      <c r="R320" s="1084">
        <f>+InputY!R261/1000</f>
        <v>9.6872999999999987</v>
      </c>
      <c r="S320" s="1084">
        <f>+InputY!S261/1000</f>
        <v>12.179600000000002</v>
      </c>
      <c r="T320" s="1084">
        <f>+InputY!T261/1000</f>
        <v>12.173700000000002</v>
      </c>
      <c r="U320" s="1084">
        <f>+InputY!U261/1000</f>
        <v>7.7571000000000003</v>
      </c>
      <c r="V320" s="1084">
        <f>+InputY!V261/1000</f>
        <v>9.9933999999999994</v>
      </c>
      <c r="W320" s="1084">
        <f>+InputY!W261/1000</f>
        <v>12.954800000000001</v>
      </c>
      <c r="X320" s="1084">
        <f>+InputY!X261/1000</f>
        <v>14.3413</v>
      </c>
      <c r="Y320" s="1084">
        <f>+InputY!Y261/1000</f>
        <v>15.8088</v>
      </c>
      <c r="Z320" s="1084">
        <f>+InputY!Z261/1000</f>
        <v>16.982299999999999</v>
      </c>
      <c r="AA320" s="1084">
        <f>+InputY!AA261/1000</f>
        <v>17.198700000000002</v>
      </c>
      <c r="AB320" s="1084">
        <f>+InputY!AB261/1000</f>
        <v>17.5396</v>
      </c>
      <c r="AC320" s="1084">
        <f>+InputY!AC261/1000</f>
        <v>20.116099999999996</v>
      </c>
      <c r="AD320" s="1416">
        <f t="shared" ref="AD320:AE322" ca="1" si="349">+AC320*(1+AD325/100)</f>
        <v>21.737308793711836</v>
      </c>
      <c r="AE320" s="1416">
        <f t="shared" ca="1" si="349"/>
        <v>23.191216748882496</v>
      </c>
    </row>
    <row r="321" spans="1:94">
      <c r="A321" s="664">
        <f>+ROW(InputY!A262)</f>
        <v>262</v>
      </c>
      <c r="B321" s="665">
        <v>152</v>
      </c>
      <c r="C321" s="1081" t="s">
        <v>1767</v>
      </c>
      <c r="D321" s="1077"/>
      <c r="E321" s="1039" t="s">
        <v>142</v>
      </c>
      <c r="F321" s="1077" t="s">
        <v>85</v>
      </c>
      <c r="G321" s="1085" t="e">
        <f>+InputY!G262/1000</f>
        <v>#VALUE!</v>
      </c>
      <c r="H321" s="1085" t="e">
        <f>+InputY!H262/1000</f>
        <v>#VALUE!</v>
      </c>
      <c r="I321" s="1085" t="e">
        <f>+InputY!I262/1000</f>
        <v>#VALUE!</v>
      </c>
      <c r="J321" s="1085" t="e">
        <f>+InputY!J262/1000</f>
        <v>#VALUE!</v>
      </c>
      <c r="K321" s="1085">
        <f>+InputY!K262/1000</f>
        <v>2.1305551120253718</v>
      </c>
      <c r="L321" s="1085">
        <f>+InputY!L262/1000</f>
        <v>2.7447367761346153</v>
      </c>
      <c r="M321" s="1085">
        <f>+InputY!M262/1000</f>
        <v>3.1762097607172723</v>
      </c>
      <c r="N321" s="1085">
        <f>+InputY!N262/1000</f>
        <v>3.4369902993290085</v>
      </c>
      <c r="O321" s="1085">
        <f>+InputY!O262/1000</f>
        <v>3.7393452129381379</v>
      </c>
      <c r="P321" s="1085">
        <f>+InputY!P262/1000</f>
        <v>3.6305645494656513</v>
      </c>
      <c r="Q321" s="1085">
        <f>+InputY!Q262/1000</f>
        <v>5.0605994298617372</v>
      </c>
      <c r="R321" s="1085">
        <f>+InputY!R262/1000</f>
        <v>5.7422000000000004</v>
      </c>
      <c r="S321" s="1085">
        <f>+InputY!S262/1000</f>
        <v>5.6330999999999989</v>
      </c>
      <c r="T321" s="1085">
        <f>+InputY!T262/1000</f>
        <v>8.9702000000000002</v>
      </c>
      <c r="U321" s="1085">
        <f>+InputY!U262/1000</f>
        <v>5.3657999999999983</v>
      </c>
      <c r="V321" s="1085">
        <f>+InputY!V262/1000</f>
        <v>7.6598000000000006</v>
      </c>
      <c r="W321" s="1085">
        <f>+InputY!W262/1000</f>
        <v>9.8710000000000022</v>
      </c>
      <c r="X321" s="1085">
        <f>+InputY!X262/1000</f>
        <v>10.537599999999999</v>
      </c>
      <c r="Y321" s="1085">
        <f>+InputY!Y262/1000</f>
        <v>10.398899999999999</v>
      </c>
      <c r="Z321" s="1085">
        <f>+InputY!Z262/1000</f>
        <v>8.9072000000000013</v>
      </c>
      <c r="AA321" s="1085">
        <f>+InputY!AA262/1000</f>
        <v>8.2009000000000007</v>
      </c>
      <c r="AB321" s="1085">
        <f>+InputY!AB262/1000</f>
        <v>7.1599000000000013</v>
      </c>
      <c r="AC321" s="1085">
        <f>+InputY!AC262/1000</f>
        <v>8.679700000000004</v>
      </c>
      <c r="AD321" s="1342">
        <f t="shared" ca="1" si="349"/>
        <v>9.721264000000005</v>
      </c>
      <c r="AE321" s="1342">
        <f t="shared" ca="1" si="349"/>
        <v>10.401752480000006</v>
      </c>
    </row>
    <row r="322" spans="1:94">
      <c r="A322" s="664"/>
      <c r="B322" s="664"/>
      <c r="C322" s="694" t="s">
        <v>1769</v>
      </c>
      <c r="D322" s="771"/>
      <c r="E322" s="770" t="s">
        <v>143</v>
      </c>
      <c r="F322" s="771" t="s">
        <v>145</v>
      </c>
      <c r="G322" s="1419" t="e">
        <f t="shared" ref="G322:W322" si="350">+G320+G321</f>
        <v>#VALUE!</v>
      </c>
      <c r="H322" s="1419" t="e">
        <f t="shared" si="350"/>
        <v>#VALUE!</v>
      </c>
      <c r="I322" s="1419" t="e">
        <f t="shared" si="350"/>
        <v>#VALUE!</v>
      </c>
      <c r="J322" s="1419" t="e">
        <f t="shared" si="350"/>
        <v>#VALUE!</v>
      </c>
      <c r="K322" s="1419">
        <f t="shared" si="350"/>
        <v>5.3713403687938497</v>
      </c>
      <c r="L322" s="1419">
        <f t="shared" si="350"/>
        <v>6.0799017814552823</v>
      </c>
      <c r="M322" s="1419">
        <f t="shared" si="350"/>
        <v>7.0246173080578949</v>
      </c>
      <c r="N322" s="1419">
        <f t="shared" si="350"/>
        <v>7.9736892485366084</v>
      </c>
      <c r="O322" s="1419">
        <f t="shared" si="350"/>
        <v>8.5256750859677943</v>
      </c>
      <c r="P322" s="1419">
        <f t="shared" si="350"/>
        <v>9.958477056312848</v>
      </c>
      <c r="Q322" s="1419">
        <f t="shared" si="350"/>
        <v>12.497698591981786</v>
      </c>
      <c r="R322" s="1419">
        <f t="shared" si="350"/>
        <v>15.429499999999999</v>
      </c>
      <c r="S322" s="1419">
        <f t="shared" si="350"/>
        <v>17.8127</v>
      </c>
      <c r="T322" s="1419">
        <f t="shared" si="350"/>
        <v>21.143900000000002</v>
      </c>
      <c r="U322" s="1419">
        <f t="shared" si="350"/>
        <v>13.122899999999998</v>
      </c>
      <c r="V322" s="1419">
        <f t="shared" si="350"/>
        <v>17.653199999999998</v>
      </c>
      <c r="W322" s="1419">
        <f t="shared" si="350"/>
        <v>22.825800000000001</v>
      </c>
      <c r="X322" s="1419">
        <f t="shared" ref="X322:AC322" si="351">+X320+X321</f>
        <v>24.878900000000002</v>
      </c>
      <c r="Y322" s="1419">
        <f t="shared" si="351"/>
        <v>26.207699999999999</v>
      </c>
      <c r="Z322" s="1419">
        <f t="shared" si="351"/>
        <v>25.889499999999998</v>
      </c>
      <c r="AA322" s="1419">
        <f t="shared" si="351"/>
        <v>25.399600000000003</v>
      </c>
      <c r="AB322" s="1419">
        <f t="shared" si="351"/>
        <v>24.6995</v>
      </c>
      <c r="AC322" s="1419">
        <f t="shared" si="351"/>
        <v>28.7958</v>
      </c>
      <c r="AD322" s="872">
        <f t="shared" ca="1" si="349"/>
        <v>31.434215174999995</v>
      </c>
      <c r="AE322" s="872">
        <f t="shared" ca="1" si="349"/>
        <v>33.564826279561501</v>
      </c>
    </row>
    <row r="323" spans="1:94">
      <c r="AB323" s="557"/>
      <c r="AC323" s="557"/>
      <c r="AD323" s="557"/>
      <c r="AE323" s="557"/>
    </row>
    <row r="324" spans="1:94" s="699" customFormat="1" ht="12.75" customHeight="1">
      <c r="A324" s="664"/>
      <c r="B324" s="664"/>
      <c r="C324" s="774"/>
      <c r="D324" s="1092"/>
      <c r="E324" s="1093" t="s">
        <v>626</v>
      </c>
      <c r="F324" s="1094"/>
      <c r="G324" s="896">
        <f>+InputY!$G$3</f>
        <v>1995</v>
      </c>
      <c r="H324" s="896">
        <f>+G324+1</f>
        <v>1996</v>
      </c>
      <c r="I324" s="896">
        <f t="shared" ref="I324:O324" si="352">+H324+1</f>
        <v>1997</v>
      </c>
      <c r="J324" s="896">
        <f t="shared" si="352"/>
        <v>1998</v>
      </c>
      <c r="K324" s="896">
        <f t="shared" si="352"/>
        <v>1999</v>
      </c>
      <c r="L324" s="896">
        <f t="shared" si="352"/>
        <v>2000</v>
      </c>
      <c r="M324" s="896">
        <f t="shared" si="352"/>
        <v>2001</v>
      </c>
      <c r="N324" s="896">
        <f t="shared" si="352"/>
        <v>2002</v>
      </c>
      <c r="O324" s="896">
        <f t="shared" si="352"/>
        <v>2003</v>
      </c>
      <c r="P324" s="896">
        <f t="shared" ref="P324:V324" si="353">+O324+1</f>
        <v>2004</v>
      </c>
      <c r="Q324" s="896">
        <f t="shared" si="353"/>
        <v>2005</v>
      </c>
      <c r="R324" s="896">
        <f t="shared" si="353"/>
        <v>2006</v>
      </c>
      <c r="S324" s="896">
        <f>+R324+1</f>
        <v>2007</v>
      </c>
      <c r="T324" s="896">
        <f t="shared" si="353"/>
        <v>2008</v>
      </c>
      <c r="U324" s="896">
        <f t="shared" si="353"/>
        <v>2009</v>
      </c>
      <c r="V324" s="896">
        <f t="shared" si="353"/>
        <v>2010</v>
      </c>
      <c r="W324" s="896">
        <f t="shared" ref="W324:AE324" si="354">+V324+1</f>
        <v>2011</v>
      </c>
      <c r="X324" s="896">
        <f t="shared" si="354"/>
        <v>2012</v>
      </c>
      <c r="Y324" s="896">
        <f t="shared" si="354"/>
        <v>2013</v>
      </c>
      <c r="Z324" s="896">
        <f t="shared" si="354"/>
        <v>2014</v>
      </c>
      <c r="AA324" s="896">
        <f t="shared" si="354"/>
        <v>2015</v>
      </c>
      <c r="AB324" s="896">
        <f t="shared" si="354"/>
        <v>2016</v>
      </c>
      <c r="AC324" s="896">
        <f t="shared" si="354"/>
        <v>2017</v>
      </c>
      <c r="AD324" s="896">
        <f t="shared" si="354"/>
        <v>2018</v>
      </c>
      <c r="AE324" s="896">
        <f t="shared" si="354"/>
        <v>2019</v>
      </c>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row>
    <row r="325" spans="1:94" s="699" customFormat="1" ht="12.75" customHeight="1">
      <c r="A325" s="664"/>
      <c r="B325" s="664"/>
      <c r="C325" s="794"/>
      <c r="D325" s="689"/>
      <c r="E325" s="738" t="s">
        <v>402</v>
      </c>
      <c r="F325" s="733" t="s">
        <v>83</v>
      </c>
      <c r="G325" s="1095"/>
      <c r="H325" s="1095" t="e">
        <f t="shared" ref="H325:S325" si="355">+(H320/G320-1)*100</f>
        <v>#VALUE!</v>
      </c>
      <c r="I325" s="1095" t="e">
        <f t="shared" si="355"/>
        <v>#VALUE!</v>
      </c>
      <c r="J325" s="1095" t="e">
        <f t="shared" si="355"/>
        <v>#VALUE!</v>
      </c>
      <c r="K325" s="1095" t="e">
        <f t="shared" si="355"/>
        <v>#VALUE!</v>
      </c>
      <c r="L325" s="1095">
        <f t="shared" si="355"/>
        <v>2.9122493801486682</v>
      </c>
      <c r="M325" s="1095">
        <f t="shared" si="355"/>
        <v>15.388820079401388</v>
      </c>
      <c r="N325" s="1095">
        <f t="shared" si="355"/>
        <v>17.88509645613312</v>
      </c>
      <c r="O325" s="1095">
        <f t="shared" si="355"/>
        <v>5.5024793713865039</v>
      </c>
      <c r="P325" s="1095">
        <f t="shared" si="355"/>
        <v>32.208031512916733</v>
      </c>
      <c r="Q325" s="1095">
        <f>+(Q320/P320-1)*100</f>
        <v>17.528476477395081</v>
      </c>
      <c r="R325" s="1095">
        <f>+(R320/Q320-1)*100</f>
        <v>30.256431826821295</v>
      </c>
      <c r="S325" s="1095">
        <f t="shared" si="355"/>
        <v>25.727498890299707</v>
      </c>
      <c r="T325" s="1095">
        <f t="shared" ref="T325:AC325" si="356">+(T320/S320-1)*100</f>
        <v>-4.8441656540443301E-2</v>
      </c>
      <c r="U325" s="1095">
        <f t="shared" si="356"/>
        <v>-36.279849183074994</v>
      </c>
      <c r="V325" s="1095">
        <f t="shared" si="356"/>
        <v>28.829072720475413</v>
      </c>
      <c r="W325" s="1095">
        <f t="shared" si="356"/>
        <v>29.633558148377936</v>
      </c>
      <c r="X325" s="1095">
        <f t="shared" si="356"/>
        <v>10.702596720906543</v>
      </c>
      <c r="Y325" s="1095">
        <f t="shared" si="356"/>
        <v>10.232684624127518</v>
      </c>
      <c r="Z325" s="1095">
        <f t="shared" si="356"/>
        <v>7.4230808157481842</v>
      </c>
      <c r="AA325" s="1095">
        <f t="shared" si="356"/>
        <v>1.2742679142401458</v>
      </c>
      <c r="AB325" s="1095">
        <f t="shared" si="356"/>
        <v>1.9821265560769019</v>
      </c>
      <c r="AC325" s="1095">
        <f t="shared" si="356"/>
        <v>14.689616638919901</v>
      </c>
      <c r="AD325" s="1411">
        <f ca="1">OFFSET('VVP1'!$K$109,0,5*(COLUMN()-7))</f>
        <v>8.0592599644654825</v>
      </c>
      <c r="AE325" s="1411">
        <f ca="1">OFFSET('VVP1'!$K$109,0,5*(COLUMN()-7))</f>
        <v>6.6885370630206387</v>
      </c>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row>
    <row r="326" spans="1:94" s="699" customFormat="1" ht="12.75" customHeight="1">
      <c r="A326" s="664"/>
      <c r="B326" s="664"/>
      <c r="C326" s="796"/>
      <c r="D326" s="691"/>
      <c r="E326" s="797" t="s">
        <v>142</v>
      </c>
      <c r="F326" s="736" t="s">
        <v>85</v>
      </c>
      <c r="G326" s="1096"/>
      <c r="H326" s="1096" t="e">
        <f t="shared" ref="H326:AC326" si="357">+(H321/G321-1)*100</f>
        <v>#VALUE!</v>
      </c>
      <c r="I326" s="1096" t="e">
        <f t="shared" si="357"/>
        <v>#VALUE!</v>
      </c>
      <c r="J326" s="1096" t="e">
        <f t="shared" si="357"/>
        <v>#VALUE!</v>
      </c>
      <c r="K326" s="1096" t="e">
        <f t="shared" si="357"/>
        <v>#VALUE!</v>
      </c>
      <c r="L326" s="1096">
        <f t="shared" si="357"/>
        <v>28.827307054516105</v>
      </c>
      <c r="M326" s="1096">
        <f t="shared" si="357"/>
        <v>15.720013238948759</v>
      </c>
      <c r="N326" s="1096">
        <f t="shared" si="357"/>
        <v>8.2104318750297232</v>
      </c>
      <c r="O326" s="1096">
        <f t="shared" si="357"/>
        <v>8.7970837062925966</v>
      </c>
      <c r="P326" s="1096">
        <f t="shared" si="357"/>
        <v>-2.9090832024843638</v>
      </c>
      <c r="Q326" s="1096">
        <f t="shared" si="357"/>
        <v>39.388774415443436</v>
      </c>
      <c r="R326" s="1096">
        <f t="shared" si="357"/>
        <v>13.468771428859871</v>
      </c>
      <c r="S326" s="1096">
        <f t="shared" si="357"/>
        <v>-1.8999686531294913</v>
      </c>
      <c r="T326" s="1096">
        <f t="shared" si="357"/>
        <v>59.240915304184227</v>
      </c>
      <c r="U326" s="1096">
        <f t="shared" si="357"/>
        <v>-40.181935742792817</v>
      </c>
      <c r="V326" s="1096">
        <f t="shared" si="357"/>
        <v>42.752245704275268</v>
      </c>
      <c r="W326" s="1096">
        <f t="shared" si="357"/>
        <v>28.867594454163314</v>
      </c>
      <c r="X326" s="1096">
        <f t="shared" si="357"/>
        <v>6.7531151858980509</v>
      </c>
      <c r="Y326" s="1096">
        <f t="shared" si="357"/>
        <v>-1.3162389918007888</v>
      </c>
      <c r="Z326" s="1096">
        <f t="shared" si="357"/>
        <v>-14.344786467799464</v>
      </c>
      <c r="AA326" s="1096">
        <f t="shared" si="357"/>
        <v>-7.9295401472965761</v>
      </c>
      <c r="AB326" s="1096">
        <f t="shared" si="357"/>
        <v>-12.693728737089828</v>
      </c>
      <c r="AC326" s="1096">
        <f t="shared" si="357"/>
        <v>21.226553443483876</v>
      </c>
      <c r="AD326" s="1412">
        <f ca="1">OFFSET('VVP1'!$K$110,0,5*(COLUMN()-7))</f>
        <v>12</v>
      </c>
      <c r="AE326" s="1412">
        <f ca="1">OFFSET('VVP1'!$K$110,0,5*(COLUMN()-7))</f>
        <v>7</v>
      </c>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row>
    <row r="327" spans="1:94" s="699" customFormat="1" ht="12.75" customHeight="1">
      <c r="A327" s="664"/>
      <c r="B327" s="664"/>
      <c r="C327" s="774"/>
      <c r="D327" s="717"/>
      <c r="E327" s="722" t="s">
        <v>143</v>
      </c>
      <c r="F327" s="723" t="s">
        <v>145</v>
      </c>
      <c r="G327" s="721"/>
      <c r="H327" s="721" t="e">
        <f t="shared" ref="H327:AC327" si="358">+(H322/G322-1)*100</f>
        <v>#VALUE!</v>
      </c>
      <c r="I327" s="721" t="e">
        <f t="shared" si="358"/>
        <v>#VALUE!</v>
      </c>
      <c r="J327" s="721" t="e">
        <f t="shared" si="358"/>
        <v>#VALUE!</v>
      </c>
      <c r="K327" s="721" t="e">
        <f t="shared" si="358"/>
        <v>#VALUE!</v>
      </c>
      <c r="L327" s="721">
        <f t="shared" si="358"/>
        <v>13.191519509320205</v>
      </c>
      <c r="M327" s="721">
        <f t="shared" si="358"/>
        <v>15.538335331076446</v>
      </c>
      <c r="N327" s="721">
        <f t="shared" si="358"/>
        <v>13.510656863684778</v>
      </c>
      <c r="O327" s="721">
        <f t="shared" si="358"/>
        <v>6.9225902869551881</v>
      </c>
      <c r="P327" s="721">
        <f t="shared" si="358"/>
        <v>16.805730407240937</v>
      </c>
      <c r="Q327" s="721">
        <f t="shared" si="358"/>
        <v>25.498090936096318</v>
      </c>
      <c r="R327" s="721">
        <f t="shared" si="358"/>
        <v>23.458730312948852</v>
      </c>
      <c r="S327" s="721">
        <f t="shared" si="358"/>
        <v>15.445737062121268</v>
      </c>
      <c r="T327" s="721">
        <f t="shared" si="358"/>
        <v>18.701263705109294</v>
      </c>
      <c r="U327" s="721">
        <f t="shared" si="358"/>
        <v>-37.935291029564098</v>
      </c>
      <c r="V327" s="721">
        <f t="shared" si="358"/>
        <v>34.522094963765639</v>
      </c>
      <c r="W327" s="721">
        <f t="shared" si="358"/>
        <v>29.301203181292923</v>
      </c>
      <c r="X327" s="721">
        <f t="shared" si="358"/>
        <v>8.994646408888185</v>
      </c>
      <c r="Y327" s="721">
        <f t="shared" si="358"/>
        <v>5.3410721535116057</v>
      </c>
      <c r="Z327" s="721">
        <f t="shared" si="358"/>
        <v>-1.2141469873357846</v>
      </c>
      <c r="AA327" s="721">
        <f t="shared" si="358"/>
        <v>-1.8922729291797613</v>
      </c>
      <c r="AB327" s="721">
        <f t="shared" si="358"/>
        <v>-2.756342619568819</v>
      </c>
      <c r="AC327" s="721">
        <f t="shared" si="358"/>
        <v>16.584546245875419</v>
      </c>
      <c r="AD327" s="1413">
        <f ca="1">OFFSET('VVP1'!$K$111,0,5*(COLUMN()-7))</f>
        <v>9.1624999999999837</v>
      </c>
      <c r="AE327" s="1413">
        <f ca="1">OFFSET('VVP1'!$K$111,0,5*(COLUMN()-7))</f>
        <v>6.7780000000000173</v>
      </c>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row>
    <row r="328" spans="1:94">
      <c r="AB328" s="557"/>
      <c r="AC328" s="557"/>
      <c r="AD328" s="557"/>
      <c r="AE328" s="557"/>
    </row>
    <row r="329" spans="1:94">
      <c r="A329" s="1130"/>
      <c r="B329" s="1130"/>
      <c r="D329" s="1074"/>
      <c r="E329" s="1075" t="s">
        <v>97</v>
      </c>
      <c r="F329" s="1065"/>
      <c r="G329" s="778">
        <f>+InputY!$G$3</f>
        <v>1995</v>
      </c>
      <c r="H329" s="778">
        <f>+G329+1</f>
        <v>1996</v>
      </c>
      <c r="I329" s="778">
        <f t="shared" ref="I329:O329" si="359">+H329+1</f>
        <v>1997</v>
      </c>
      <c r="J329" s="778">
        <f t="shared" si="359"/>
        <v>1998</v>
      </c>
      <c r="K329" s="778">
        <f t="shared" si="359"/>
        <v>1999</v>
      </c>
      <c r="L329" s="778">
        <f t="shared" si="359"/>
        <v>2000</v>
      </c>
      <c r="M329" s="778">
        <f t="shared" si="359"/>
        <v>2001</v>
      </c>
      <c r="N329" s="778">
        <f t="shared" si="359"/>
        <v>2002</v>
      </c>
      <c r="O329" s="778">
        <f t="shared" si="359"/>
        <v>2003</v>
      </c>
      <c r="P329" s="778">
        <f t="shared" ref="P329:V329" si="360">+O329+1</f>
        <v>2004</v>
      </c>
      <c r="Q329" s="778">
        <f t="shared" si="360"/>
        <v>2005</v>
      </c>
      <c r="R329" s="778">
        <f t="shared" si="360"/>
        <v>2006</v>
      </c>
      <c r="S329" s="778">
        <f>+R329+1</f>
        <v>2007</v>
      </c>
      <c r="T329" s="778">
        <f t="shared" si="360"/>
        <v>2008</v>
      </c>
      <c r="U329" s="778">
        <f t="shared" si="360"/>
        <v>2009</v>
      </c>
      <c r="V329" s="778">
        <f t="shared" si="360"/>
        <v>2010</v>
      </c>
      <c r="W329" s="778">
        <f t="shared" ref="W329:AE329" si="361">+V329+1</f>
        <v>2011</v>
      </c>
      <c r="X329" s="778">
        <f t="shared" si="361"/>
        <v>2012</v>
      </c>
      <c r="Y329" s="778">
        <f t="shared" si="361"/>
        <v>2013</v>
      </c>
      <c r="Z329" s="778">
        <f t="shared" si="361"/>
        <v>2014</v>
      </c>
      <c r="AA329" s="778">
        <f t="shared" si="361"/>
        <v>2015</v>
      </c>
      <c r="AB329" s="778">
        <f t="shared" si="361"/>
        <v>2016</v>
      </c>
      <c r="AC329" s="778">
        <f t="shared" si="361"/>
        <v>2017</v>
      </c>
      <c r="AD329" s="778">
        <f t="shared" si="361"/>
        <v>2018</v>
      </c>
      <c r="AE329" s="778">
        <f t="shared" si="361"/>
        <v>2019</v>
      </c>
    </row>
    <row r="330" spans="1:94">
      <c r="A330" s="664"/>
      <c r="B330" s="664"/>
      <c r="C330" s="1090"/>
      <c r="D330" s="1091"/>
      <c r="E330" s="1038" t="s">
        <v>1618</v>
      </c>
      <c r="F330" s="176" t="s">
        <v>1887</v>
      </c>
      <c r="G330" s="1044">
        <f t="shared" ref="G330:R330" si="362">+G278-G310</f>
        <v>-0.92171000000000003</v>
      </c>
      <c r="H330" s="1044">
        <f t="shared" si="362"/>
        <v>-1.1569299999999991</v>
      </c>
      <c r="I330" s="1044">
        <f t="shared" si="362"/>
        <v>-1.4548100000000002</v>
      </c>
      <c r="J330" s="1044">
        <f t="shared" si="362"/>
        <v>-1.8914600000000004</v>
      </c>
      <c r="K330" s="1044">
        <f t="shared" si="362"/>
        <v>-1.7555499999999995</v>
      </c>
      <c r="L330" s="1044">
        <f t="shared" si="362"/>
        <v>-1.4093199999999997</v>
      </c>
      <c r="M330" s="1044">
        <f t="shared" si="362"/>
        <v>-1.4163099999999993</v>
      </c>
      <c r="N330" s="1044">
        <f t="shared" si="362"/>
        <v>-1.5465299999999997</v>
      </c>
      <c r="O330" s="1044">
        <f t="shared" si="362"/>
        <v>-1.6311299999999997</v>
      </c>
      <c r="P330" s="1044">
        <f t="shared" si="362"/>
        <v>-2.1697600000000001</v>
      </c>
      <c r="Q330" s="1044">
        <f t="shared" si="362"/>
        <v>-2.2960799999999999</v>
      </c>
      <c r="R330" s="1044">
        <f t="shared" si="362"/>
        <v>-3.3188899999999997</v>
      </c>
      <c r="S330" s="1044">
        <f>+S278-S310</f>
        <v>-4.4076400000000007</v>
      </c>
      <c r="T330" s="1044">
        <f t="shared" ref="T330:V331" si="363">+T278-T310</f>
        <v>-4.3665399999999988</v>
      </c>
      <c r="U330" s="1044">
        <f t="shared" si="363"/>
        <v>-1.1673299999999998</v>
      </c>
      <c r="V330" s="1044">
        <f t="shared" si="363"/>
        <v>-1.6483300000000032</v>
      </c>
      <c r="W330" s="1044">
        <f t="shared" ref="W330:Y331" si="364">+W278-W310</f>
        <v>-2.0650299999999966</v>
      </c>
      <c r="X330" s="1044">
        <f t="shared" si="364"/>
        <v>-1.1024399999999979</v>
      </c>
      <c r="Y330" s="1044">
        <f t="shared" si="364"/>
        <v>-0.9199300000000008</v>
      </c>
      <c r="Z330" s="1044">
        <f t="shared" ref="Z330:AB331" si="365">+Z278-Z310</f>
        <v>-0.93678000000000239</v>
      </c>
      <c r="AA330" s="1044">
        <f t="shared" si="365"/>
        <v>-1.9868899999999989</v>
      </c>
      <c r="AB330" s="1044">
        <f t="shared" si="365"/>
        <v>-1.7684399999999982</v>
      </c>
      <c r="AC330" s="1044">
        <f t="shared" ref="AC330:AE331" si="366">+AC278-AC310</f>
        <v>-2.0609499999999983</v>
      </c>
      <c r="AD330" s="1044">
        <f t="shared" ca="1" si="366"/>
        <v>-2.6471263464299959</v>
      </c>
      <c r="AE330" s="1044">
        <f t="shared" ca="1" si="366"/>
        <v>-2.906922619718749</v>
      </c>
    </row>
    <row r="331" spans="1:94">
      <c r="A331" s="1130"/>
      <c r="B331" s="1130"/>
      <c r="C331" s="1081"/>
      <c r="D331" s="1077"/>
      <c r="E331" s="1078" t="s">
        <v>1619</v>
      </c>
      <c r="F331" s="1077" t="s">
        <v>1888</v>
      </c>
      <c r="G331" s="1085">
        <f t="shared" ref="G331:R331" si="367">+G279-G311</f>
        <v>-0.82518999999999965</v>
      </c>
      <c r="H331" s="1085">
        <f t="shared" si="367"/>
        <v>-0.90277999999999992</v>
      </c>
      <c r="I331" s="1085">
        <f t="shared" si="367"/>
        <v>-1.18133</v>
      </c>
      <c r="J331" s="1085">
        <f t="shared" si="367"/>
        <v>-1.484799999999999</v>
      </c>
      <c r="K331" s="1085">
        <f t="shared" si="367"/>
        <v>-1.2691699999999999</v>
      </c>
      <c r="L331" s="1085">
        <f t="shared" si="367"/>
        <v>-0.82655000000000012</v>
      </c>
      <c r="M331" s="1085">
        <f t="shared" si="367"/>
        <v>-0.77571999999999974</v>
      </c>
      <c r="N331" s="1085">
        <f t="shared" si="367"/>
        <v>-0.86282000000000103</v>
      </c>
      <c r="O331" s="1085">
        <f t="shared" si="367"/>
        <v>-0.96453000000000078</v>
      </c>
      <c r="P331" s="1085">
        <f t="shared" si="367"/>
        <v>-1.2834299999999992</v>
      </c>
      <c r="Q331" s="1085">
        <f t="shared" si="367"/>
        <v>-1.5189800000000009</v>
      </c>
      <c r="R331" s="1085">
        <f t="shared" si="367"/>
        <v>-2.4714100000000006</v>
      </c>
      <c r="S331" s="1085">
        <f>+S279-S311</f>
        <v>-3.8115299999999994</v>
      </c>
      <c r="T331" s="1085">
        <f t="shared" si="363"/>
        <v>-3.7834199999999996</v>
      </c>
      <c r="U331" s="1085">
        <f t="shared" si="363"/>
        <v>-0.45255000000000045</v>
      </c>
      <c r="V331" s="1085">
        <f>+V279-V311</f>
        <v>-0.52620999999999896</v>
      </c>
      <c r="W331" s="1085">
        <f t="shared" si="364"/>
        <v>-0.79766000000000048</v>
      </c>
      <c r="X331" s="1085">
        <f t="shared" si="364"/>
        <v>0.28686000000000078</v>
      </c>
      <c r="Y331" s="1085">
        <f>+Y279-Y311</f>
        <v>0.43724999999999881</v>
      </c>
      <c r="Z331" s="1085">
        <f t="shared" si="365"/>
        <v>0.75952000000000197</v>
      </c>
      <c r="AA331" s="1085">
        <f t="shared" si="365"/>
        <v>-0.17949000000000126</v>
      </c>
      <c r="AB331" s="1085">
        <f t="shared" si="365"/>
        <v>0.49990000000000023</v>
      </c>
      <c r="AC331" s="1085">
        <f t="shared" si="366"/>
        <v>0.84312999999999505</v>
      </c>
      <c r="AD331" s="1085">
        <f t="shared" ca="1" si="366"/>
        <v>0.49441230431999372</v>
      </c>
      <c r="AE331" s="1085">
        <f t="shared" ca="1" si="366"/>
        <v>0.42702802466180856</v>
      </c>
    </row>
    <row r="332" spans="1:94">
      <c r="AB332" s="557"/>
      <c r="AC332" s="557"/>
      <c r="AD332" s="557"/>
      <c r="AE332" s="557"/>
    </row>
    <row r="333" spans="1:94">
      <c r="A333" s="1130"/>
      <c r="B333" s="1130"/>
      <c r="D333" s="1117"/>
      <c r="E333" s="930" t="s">
        <v>97</v>
      </c>
      <c r="F333" s="1118"/>
      <c r="G333" s="896">
        <f>+InputY!$G$3</f>
        <v>1995</v>
      </c>
      <c r="H333" s="896">
        <f>+G333+1</f>
        <v>1996</v>
      </c>
      <c r="I333" s="896">
        <f t="shared" ref="I333:O333" si="368">+H333+1</f>
        <v>1997</v>
      </c>
      <c r="J333" s="896">
        <f t="shared" si="368"/>
        <v>1998</v>
      </c>
      <c r="K333" s="896">
        <f t="shared" si="368"/>
        <v>1999</v>
      </c>
      <c r="L333" s="896">
        <f t="shared" si="368"/>
        <v>2000</v>
      </c>
      <c r="M333" s="896">
        <f t="shared" si="368"/>
        <v>2001</v>
      </c>
      <c r="N333" s="896">
        <f t="shared" si="368"/>
        <v>2002</v>
      </c>
      <c r="O333" s="896">
        <f t="shared" si="368"/>
        <v>2003</v>
      </c>
      <c r="P333" s="896">
        <f t="shared" ref="P333:V333" si="369">+O333+1</f>
        <v>2004</v>
      </c>
      <c r="Q333" s="896">
        <f t="shared" si="369"/>
        <v>2005</v>
      </c>
      <c r="R333" s="896">
        <f t="shared" si="369"/>
        <v>2006</v>
      </c>
      <c r="S333" s="896">
        <f>+R333+1</f>
        <v>2007</v>
      </c>
      <c r="T333" s="896">
        <f t="shared" si="369"/>
        <v>2008</v>
      </c>
      <c r="U333" s="896">
        <f t="shared" si="369"/>
        <v>2009</v>
      </c>
      <c r="V333" s="896">
        <f t="shared" si="369"/>
        <v>2010</v>
      </c>
      <c r="W333" s="896">
        <f t="shared" ref="W333:AE333" si="370">+V333+1</f>
        <v>2011</v>
      </c>
      <c r="X333" s="896">
        <f t="shared" si="370"/>
        <v>2012</v>
      </c>
      <c r="Y333" s="896">
        <f t="shared" si="370"/>
        <v>2013</v>
      </c>
      <c r="Z333" s="896">
        <f t="shared" si="370"/>
        <v>2014</v>
      </c>
      <c r="AA333" s="896">
        <f t="shared" si="370"/>
        <v>2015</v>
      </c>
      <c r="AB333" s="896">
        <f t="shared" si="370"/>
        <v>2016</v>
      </c>
      <c r="AC333" s="896">
        <f t="shared" si="370"/>
        <v>2017</v>
      </c>
      <c r="AD333" s="896">
        <f t="shared" si="370"/>
        <v>2018</v>
      </c>
      <c r="AE333" s="896">
        <f t="shared" si="370"/>
        <v>2019</v>
      </c>
    </row>
    <row r="334" spans="1:94">
      <c r="A334" s="664"/>
      <c r="B334" s="664"/>
      <c r="C334" s="1119"/>
      <c r="D334" s="1120"/>
      <c r="E334" s="1106" t="s">
        <v>1618</v>
      </c>
      <c r="F334" s="1120" t="s">
        <v>1887</v>
      </c>
      <c r="G334" s="1095"/>
      <c r="H334" s="1095">
        <f>+(H330/G330-1)*100</f>
        <v>25.519957470353916</v>
      </c>
      <c r="I334" s="1095">
        <f t="shared" ref="I334:S334" si="371">+(I330/H330-1)*100</f>
        <v>25.747452309128583</v>
      </c>
      <c r="J334" s="1095">
        <f t="shared" si="371"/>
        <v>30.014228662162079</v>
      </c>
      <c r="K334" s="1095">
        <f t="shared" si="371"/>
        <v>-7.1854546223552589</v>
      </c>
      <c r="L334" s="1095">
        <f t="shared" si="371"/>
        <v>-19.722024436786189</v>
      </c>
      <c r="M334" s="1095">
        <f t="shared" si="371"/>
        <v>0.49598387875000594</v>
      </c>
      <c r="N334" s="1095">
        <f t="shared" si="371"/>
        <v>9.1943148039624454</v>
      </c>
      <c r="O334" s="1095">
        <f t="shared" si="371"/>
        <v>5.4703109542006967</v>
      </c>
      <c r="P334" s="1095">
        <f t="shared" si="371"/>
        <v>33.021892798244188</v>
      </c>
      <c r="Q334" s="1095">
        <f t="shared" si="371"/>
        <v>5.821842047046677</v>
      </c>
      <c r="R334" s="1095">
        <f t="shared" si="371"/>
        <v>44.54592174488694</v>
      </c>
      <c r="S334" s="1095">
        <f t="shared" si="371"/>
        <v>32.804642516021957</v>
      </c>
      <c r="T334" s="1095">
        <f t="shared" ref="T334:AE335" si="372">+(T330/S330-1)*100</f>
        <v>-0.93247179896729371</v>
      </c>
      <c r="U334" s="1095">
        <f t="shared" si="372"/>
        <v>-73.266476432140763</v>
      </c>
      <c r="V334" s="1095">
        <f t="shared" si="372"/>
        <v>41.205143361346288</v>
      </c>
      <c r="W334" s="1095">
        <f t="shared" si="372"/>
        <v>25.280132012399982</v>
      </c>
      <c r="X334" s="1095">
        <f t="shared" si="372"/>
        <v>-46.613850646237594</v>
      </c>
      <c r="Y334" s="1095">
        <f t="shared" si="372"/>
        <v>-16.555095968941391</v>
      </c>
      <c r="Z334" s="1095">
        <f t="shared" si="372"/>
        <v>1.8316611046494291</v>
      </c>
      <c r="AA334" s="1095">
        <f t="shared" si="372"/>
        <v>112.09782446251988</v>
      </c>
      <c r="AB334" s="1095">
        <f t="shared" si="372"/>
        <v>-10.994569402432985</v>
      </c>
      <c r="AC334" s="1095">
        <f t="shared" si="372"/>
        <v>16.540566827260193</v>
      </c>
      <c r="AD334" s="1095">
        <f t="shared" ca="1" si="372"/>
        <v>28.442045970547468</v>
      </c>
      <c r="AE334" s="1095">
        <f t="shared" ca="1" si="372"/>
        <v>9.8142755308647587</v>
      </c>
    </row>
    <row r="335" spans="1:94">
      <c r="A335" s="1130"/>
      <c r="B335" s="1130"/>
      <c r="C335" s="979"/>
      <c r="D335" s="1121"/>
      <c r="E335" s="1122" t="s">
        <v>1619</v>
      </c>
      <c r="F335" s="1121" t="s">
        <v>1888</v>
      </c>
      <c r="G335" s="1124"/>
      <c r="H335" s="1124">
        <f>+(H331/G331-1)*100</f>
        <v>9.4026830184563934</v>
      </c>
      <c r="I335" s="1124">
        <f t="shared" ref="I335:S335" si="373">+(I331/H331-1)*100</f>
        <v>30.854693280755008</v>
      </c>
      <c r="J335" s="1124">
        <f t="shared" si="373"/>
        <v>25.688842237139408</v>
      </c>
      <c r="K335" s="1124">
        <f t="shared" si="373"/>
        <v>-14.522494612068915</v>
      </c>
      <c r="L335" s="1124">
        <f t="shared" si="373"/>
        <v>-34.87476067035935</v>
      </c>
      <c r="M335" s="1124">
        <f t="shared" si="373"/>
        <v>-6.1496582178936947</v>
      </c>
      <c r="N335" s="1124">
        <f t="shared" si="373"/>
        <v>11.228278244727651</v>
      </c>
      <c r="O335" s="1124">
        <f t="shared" si="373"/>
        <v>11.788090215803937</v>
      </c>
      <c r="P335" s="1124">
        <f t="shared" si="373"/>
        <v>33.06273521818899</v>
      </c>
      <c r="Q335" s="1124">
        <f t="shared" si="373"/>
        <v>18.353163008500808</v>
      </c>
      <c r="R335" s="1124">
        <f t="shared" si="373"/>
        <v>62.701944726066117</v>
      </c>
      <c r="S335" s="1124">
        <f t="shared" si="373"/>
        <v>54.224916140988277</v>
      </c>
      <c r="T335" s="1124">
        <f t="shared" si="372"/>
        <v>-0.73749911452880568</v>
      </c>
      <c r="U335" s="1124">
        <f t="shared" si="372"/>
        <v>-88.038599996828253</v>
      </c>
      <c r="V335" s="1124">
        <f t="shared" si="372"/>
        <v>16.276654513313105</v>
      </c>
      <c r="W335" s="1124">
        <f t="shared" si="372"/>
        <v>51.585868759621079</v>
      </c>
      <c r="X335" s="1124">
        <f t="shared" si="372"/>
        <v>-135.96269087079716</v>
      </c>
      <c r="Y335" s="1124">
        <f t="shared" si="372"/>
        <v>52.426270654673914</v>
      </c>
      <c r="Z335" s="1124">
        <f t="shared" si="372"/>
        <v>73.703830760435451</v>
      </c>
      <c r="AA335" s="1124">
        <f t="shared" si="372"/>
        <v>-123.63203075626723</v>
      </c>
      <c r="AB335" s="1124">
        <f t="shared" si="372"/>
        <v>-378.5113376789775</v>
      </c>
      <c r="AC335" s="1124">
        <f t="shared" si="372"/>
        <v>68.65973194638822</v>
      </c>
      <c r="AD335" s="1124">
        <f t="shared" ca="1" si="372"/>
        <v>-41.359896537900845</v>
      </c>
      <c r="AE335" s="1124">
        <f t="shared" ca="1" si="372"/>
        <v>-13.629167209109882</v>
      </c>
    </row>
    <row r="336" spans="1:94">
      <c r="AB336" s="557"/>
      <c r="AC336" s="557"/>
      <c r="AD336" s="557"/>
      <c r="AE336" s="557"/>
    </row>
    <row r="337" spans="1:94">
      <c r="A337" s="1130"/>
      <c r="B337" s="1130"/>
      <c r="D337" s="1074"/>
      <c r="E337" s="1075" t="s">
        <v>1497</v>
      </c>
      <c r="F337" s="1065"/>
      <c r="G337" s="778">
        <f>+InputY!$G$3</f>
        <v>1995</v>
      </c>
      <c r="H337" s="778">
        <f>+G337+1</f>
        <v>1996</v>
      </c>
      <c r="I337" s="778">
        <f t="shared" ref="I337:O337" si="374">+H337+1</f>
        <v>1997</v>
      </c>
      <c r="J337" s="778">
        <f t="shared" si="374"/>
        <v>1998</v>
      </c>
      <c r="K337" s="778">
        <f t="shared" si="374"/>
        <v>1999</v>
      </c>
      <c r="L337" s="778">
        <f t="shared" si="374"/>
        <v>2000</v>
      </c>
      <c r="M337" s="778">
        <f t="shared" si="374"/>
        <v>2001</v>
      </c>
      <c r="N337" s="778">
        <f t="shared" si="374"/>
        <v>2002</v>
      </c>
      <c r="O337" s="778">
        <f t="shared" si="374"/>
        <v>2003</v>
      </c>
      <c r="P337" s="778">
        <f t="shared" ref="P337:U337" si="375">+O337+1</f>
        <v>2004</v>
      </c>
      <c r="Q337" s="778">
        <f t="shared" si="375"/>
        <v>2005</v>
      </c>
      <c r="R337" s="778">
        <f t="shared" si="375"/>
        <v>2006</v>
      </c>
      <c r="S337" s="778">
        <f>+R337+1</f>
        <v>2007</v>
      </c>
      <c r="T337" s="778">
        <f t="shared" si="375"/>
        <v>2008</v>
      </c>
      <c r="U337" s="778">
        <f t="shared" si="375"/>
        <v>2009</v>
      </c>
      <c r="V337" s="778">
        <f t="shared" ref="V337:AE337" si="376">+U337+1</f>
        <v>2010</v>
      </c>
      <c r="W337" s="778">
        <f t="shared" si="376"/>
        <v>2011</v>
      </c>
      <c r="X337" s="778">
        <f t="shared" si="376"/>
        <v>2012</v>
      </c>
      <c r="Y337" s="778">
        <f t="shared" si="376"/>
        <v>2013</v>
      </c>
      <c r="Z337" s="778">
        <f t="shared" si="376"/>
        <v>2014</v>
      </c>
      <c r="AA337" s="778">
        <f t="shared" si="376"/>
        <v>2015</v>
      </c>
      <c r="AB337" s="778">
        <f t="shared" si="376"/>
        <v>2016</v>
      </c>
      <c r="AC337" s="778">
        <f t="shared" si="376"/>
        <v>2017</v>
      </c>
      <c r="AD337" s="778">
        <f t="shared" si="376"/>
        <v>2018</v>
      </c>
      <c r="AE337" s="778">
        <f t="shared" si="376"/>
        <v>2019</v>
      </c>
    </row>
    <row r="338" spans="1:94">
      <c r="A338" s="664"/>
      <c r="B338" s="664"/>
      <c r="C338" s="1090" t="s">
        <v>1767</v>
      </c>
      <c r="D338" s="1091"/>
      <c r="E338" s="1038" t="s">
        <v>1359</v>
      </c>
      <c r="F338" s="176"/>
      <c r="G338" s="1044">
        <f>+G300</f>
        <v>11.47381</v>
      </c>
      <c r="H338" s="1044">
        <f t="shared" ref="H338:R338" si="377">+H300</f>
        <v>14.691090000000001</v>
      </c>
      <c r="I338" s="1044">
        <f t="shared" si="377"/>
        <v>18.177720000000001</v>
      </c>
      <c r="J338" s="1044">
        <f t="shared" si="377"/>
        <v>19.601569999999999</v>
      </c>
      <c r="K338" s="1044">
        <f t="shared" si="377"/>
        <v>18.101790000000001</v>
      </c>
      <c r="L338" s="1044">
        <f t="shared" si="377"/>
        <v>19.347580000000001</v>
      </c>
      <c r="M338" s="1044">
        <f t="shared" si="377"/>
        <v>21.221869999999999</v>
      </c>
      <c r="N338" s="1044">
        <f t="shared" si="377"/>
        <v>23.262029999999999</v>
      </c>
      <c r="O338" s="1044">
        <f t="shared" si="377"/>
        <v>25.328790000000001</v>
      </c>
      <c r="P338" s="1044">
        <f t="shared" si="377"/>
        <v>28.156119999999998</v>
      </c>
      <c r="Q338" s="1044">
        <f t="shared" si="377"/>
        <v>33.829470000000001</v>
      </c>
      <c r="R338" s="1044">
        <f t="shared" si="377"/>
        <v>39.943480000000001</v>
      </c>
      <c r="S338" s="1044">
        <f t="shared" ref="S338:X338" si="378">+S300</f>
        <v>47.476589999999995</v>
      </c>
      <c r="T338" s="1044">
        <f t="shared" si="378"/>
        <v>55.162019999999998</v>
      </c>
      <c r="U338" s="1044">
        <f t="shared" si="378"/>
        <v>41.377099999999999</v>
      </c>
      <c r="V338" s="1044">
        <f t="shared" si="378"/>
        <v>46.867750000000001</v>
      </c>
      <c r="W338" s="1044">
        <f>+W300</f>
        <v>55.528030000000001</v>
      </c>
      <c r="X338" s="1044">
        <f t="shared" si="378"/>
        <v>60.281690000000005</v>
      </c>
      <c r="Y338" s="1044">
        <f t="shared" ref="Y338:AD338" si="379">+Y300</f>
        <v>63.910269999999997</v>
      </c>
      <c r="Z338" s="1044">
        <f t="shared" si="379"/>
        <v>65.46678</v>
      </c>
      <c r="AA338" s="1044">
        <f t="shared" si="379"/>
        <v>65.989260000000002</v>
      </c>
      <c r="AB338" s="1044">
        <f t="shared" si="379"/>
        <v>66.957560000000001</v>
      </c>
      <c r="AC338" s="1044">
        <f t="shared" ca="1" si="379"/>
        <v>74.975939999999994</v>
      </c>
      <c r="AD338" s="1044">
        <f t="shared" ca="1" si="379"/>
        <v>80.478153482007983</v>
      </c>
      <c r="AE338" s="1044">
        <f t="shared" ref="AE338" ca="1" si="380">+AE300</f>
        <v>85.413958548292896</v>
      </c>
    </row>
    <row r="339" spans="1:94">
      <c r="A339" s="1130"/>
      <c r="B339" s="1130"/>
      <c r="C339" s="1081" t="s">
        <v>401</v>
      </c>
      <c r="D339" s="1077"/>
      <c r="E339" s="1078" t="s">
        <v>1455</v>
      </c>
      <c r="F339" s="1077"/>
      <c r="G339" s="1085">
        <f>+G311</f>
        <v>3.7092899999999998</v>
      </c>
      <c r="H339" s="1085">
        <f t="shared" ref="H339:Q339" si="381">+H311</f>
        <v>4.9769399999999999</v>
      </c>
      <c r="I339" s="1085">
        <f t="shared" si="381"/>
        <v>6.4533800000000001</v>
      </c>
      <c r="J339" s="1085">
        <f t="shared" si="381"/>
        <v>6.5796099999999997</v>
      </c>
      <c r="K339" s="1085">
        <f t="shared" si="381"/>
        <v>5.38971</v>
      </c>
      <c r="L339" s="1085">
        <f t="shared" si="381"/>
        <v>5.9794</v>
      </c>
      <c r="M339" s="1085">
        <f t="shared" si="381"/>
        <v>7.0273599999999998</v>
      </c>
      <c r="N339" s="1085">
        <f t="shared" si="381"/>
        <v>8.0598500000000008</v>
      </c>
      <c r="O339" s="1085">
        <f t="shared" si="381"/>
        <v>8.6603200000000005</v>
      </c>
      <c r="P339" s="1085">
        <f t="shared" si="381"/>
        <v>9.9183899999999987</v>
      </c>
      <c r="Q339" s="1085">
        <f t="shared" si="381"/>
        <v>12.827120000000001</v>
      </c>
      <c r="R339" s="1085">
        <f>+R311</f>
        <v>15.86431</v>
      </c>
      <c r="S339" s="1085">
        <f t="shared" ref="S339:X339" si="382">+S311</f>
        <v>18.435919999999999</v>
      </c>
      <c r="T339" s="1085">
        <f t="shared" si="382"/>
        <v>22.46575</v>
      </c>
      <c r="U339" s="1085">
        <f t="shared" si="382"/>
        <v>14.44228</v>
      </c>
      <c r="V339" s="1085">
        <f t="shared" si="382"/>
        <v>18.84009</v>
      </c>
      <c r="W339" s="1085">
        <f>+W311</f>
        <v>24.25271</v>
      </c>
      <c r="X339" s="1085">
        <f t="shared" si="382"/>
        <v>26.933209999999999</v>
      </c>
      <c r="Y339" s="1085">
        <f t="shared" ref="Y339:AD339" si="383">+Y311</f>
        <v>28.950620000000001</v>
      </c>
      <c r="Z339" s="1085">
        <f t="shared" si="383"/>
        <v>28.898499999999999</v>
      </c>
      <c r="AA339" s="1085">
        <f t="shared" si="383"/>
        <v>28.562650000000001</v>
      </c>
      <c r="AB339" s="1085">
        <f t="shared" si="383"/>
        <v>28.28923</v>
      </c>
      <c r="AC339" s="1085">
        <f t="shared" si="383"/>
        <v>33.189959999999999</v>
      </c>
      <c r="AD339" s="1085">
        <f t="shared" ca="1" si="383"/>
        <v>36.259617764249995</v>
      </c>
      <c r="AE339" s="1085">
        <f t="shared" ref="AE339" ca="1" si="384">+AE311</f>
        <v>38.73026872054696</v>
      </c>
    </row>
    <row r="340" spans="1:94">
      <c r="A340" s="664"/>
      <c r="B340" s="1130"/>
      <c r="C340" s="1082"/>
      <c r="D340" s="1086"/>
      <c r="E340" s="1087" t="s">
        <v>1812</v>
      </c>
      <c r="F340" s="1086"/>
      <c r="G340" s="1088">
        <f>+G341-G338+G339</f>
        <v>9.9999999991773336E-6</v>
      </c>
      <c r="H340" s="1088">
        <f t="shared" ref="H340:Q340" si="385">+H341-H338+H339</f>
        <v>0</v>
      </c>
      <c r="I340" s="1088">
        <f t="shared" si="385"/>
        <v>0</v>
      </c>
      <c r="J340" s="1088">
        <f t="shared" si="385"/>
        <v>0</v>
      </c>
      <c r="K340" s="1088">
        <f t="shared" si="385"/>
        <v>0</v>
      </c>
      <c r="L340" s="1088">
        <f t="shared" si="385"/>
        <v>0</v>
      </c>
      <c r="M340" s="1088">
        <f t="shared" si="385"/>
        <v>1.000000000139778E-5</v>
      </c>
      <c r="N340" s="1088">
        <f t="shared" si="385"/>
        <v>-9.999999997845066E-6</v>
      </c>
      <c r="O340" s="1088">
        <f t="shared" si="385"/>
        <v>9.999999997845066E-6</v>
      </c>
      <c r="P340" s="1088">
        <f t="shared" si="385"/>
        <v>-9.9999999996214228E-6</v>
      </c>
      <c r="Q340" s="1088">
        <f t="shared" si="385"/>
        <v>0</v>
      </c>
      <c r="R340" s="1088">
        <f t="shared" ref="R340:AA340" si="386">+R341-R338+R339</f>
        <v>9.9999999996214228E-6</v>
      </c>
      <c r="S340" s="1088">
        <f t="shared" si="386"/>
        <v>-9.9999999960687092E-6</v>
      </c>
      <c r="T340" s="3166">
        <f t="shared" si="386"/>
        <v>1.0000000003174137E-5</v>
      </c>
      <c r="U340" s="3166">
        <f t="shared" si="386"/>
        <v>0</v>
      </c>
      <c r="V340" s="3165">
        <f t="shared" si="386"/>
        <v>0</v>
      </c>
      <c r="W340" s="3165">
        <f t="shared" si="386"/>
        <v>0</v>
      </c>
      <c r="X340" s="3165">
        <f t="shared" si="386"/>
        <v>0</v>
      </c>
      <c r="Y340" s="3165">
        <f t="shared" si="386"/>
        <v>0</v>
      </c>
      <c r="Z340" s="3165">
        <f t="shared" si="386"/>
        <v>0</v>
      </c>
      <c r="AA340" s="3165">
        <f t="shared" si="386"/>
        <v>0</v>
      </c>
      <c r="AB340" s="3165">
        <f>+AB341-AB338+AB339</f>
        <v>-9.9999999996214228E-6</v>
      </c>
      <c r="AC340" s="3165">
        <f ca="1">+AC341-AC338+AC339</f>
        <v>-6.3851076018721642E-3</v>
      </c>
      <c r="AD340" s="3165">
        <f ca="1">+AD341-AD338+AD339</f>
        <v>-6.977307800710264E-3</v>
      </c>
      <c r="AE340" s="3165">
        <f ca="1">+AE341-AE338+AE339</f>
        <v>-7.4399336454291642E-3</v>
      </c>
    </row>
    <row r="341" spans="1:94">
      <c r="A341" s="664">
        <f>+ROW(InputY!A98)</f>
        <v>98</v>
      </c>
      <c r="B341" s="664">
        <v>47</v>
      </c>
      <c r="D341" s="1055"/>
      <c r="E341" s="1056" t="s">
        <v>281</v>
      </c>
      <c r="F341" s="1055" t="s">
        <v>1907</v>
      </c>
      <c r="G341" s="1057">
        <f>+InputY!G98/1000</f>
        <v>7.7645299999999997</v>
      </c>
      <c r="H341" s="1057">
        <f>+InputY!H98/1000</f>
        <v>9.7141500000000001</v>
      </c>
      <c r="I341" s="1057">
        <f>+InputY!I98/1000</f>
        <v>11.72434</v>
      </c>
      <c r="J341" s="1057">
        <f>+InputY!J98/1000</f>
        <v>13.02196</v>
      </c>
      <c r="K341" s="1057">
        <f>+InputY!K98/1000</f>
        <v>12.71208</v>
      </c>
      <c r="L341" s="1057">
        <f>+InputY!L98/1000</f>
        <v>13.368180000000001</v>
      </c>
      <c r="M341" s="1057">
        <f>+InputY!M98/1000</f>
        <v>14.194520000000001</v>
      </c>
      <c r="N341" s="1057">
        <f>+InputY!N98/1000</f>
        <v>15.202170000000001</v>
      </c>
      <c r="O341" s="1057">
        <f>+InputY!O98/1000</f>
        <v>16.668479999999999</v>
      </c>
      <c r="P341" s="1057">
        <f>+InputY!P98/1000</f>
        <v>18.237719999999999</v>
      </c>
      <c r="Q341" s="1057">
        <f>+InputY!Q98/1000</f>
        <v>21.00235</v>
      </c>
      <c r="R341" s="1057">
        <f>+InputY!R98/1000</f>
        <v>24.079180000000001</v>
      </c>
      <c r="S341" s="1057">
        <f>+InputY!S98/1000</f>
        <v>29.040659999999999</v>
      </c>
      <c r="T341" s="1057">
        <f>+InputY!T98/1000</f>
        <v>32.696280000000002</v>
      </c>
      <c r="U341" s="1057">
        <f>+InputY!U98/1000</f>
        <v>26.934819999999998</v>
      </c>
      <c r="V341" s="1057">
        <f>+InputY!V98/1000</f>
        <v>28.027660000000001</v>
      </c>
      <c r="W341" s="1057">
        <f>+InputY!W98/1000</f>
        <v>31.275320000000001</v>
      </c>
      <c r="X341" s="1057">
        <f>+InputY!X98/1000</f>
        <v>33.348480000000002</v>
      </c>
      <c r="Y341" s="1057">
        <f>+InputY!Y98/1000</f>
        <v>34.959650000000003</v>
      </c>
      <c r="Z341" s="1057">
        <f>+InputY!Z98/1000</f>
        <v>36.568280000000001</v>
      </c>
      <c r="AA341" s="1057">
        <f>+InputY!AA98/1000</f>
        <v>37.426610000000004</v>
      </c>
      <c r="AB341" s="1057">
        <f>+InputY!AB98/1000</f>
        <v>38.668320000000001</v>
      </c>
      <c r="AC341" s="997">
        <f t="shared" ref="AC341:AE342" ca="1" si="387">+AB341*(1+AC348/100)</f>
        <v>41.779594892398123</v>
      </c>
      <c r="AD341" s="997">
        <f t="shared" ca="1" si="387"/>
        <v>44.211558409957277</v>
      </c>
      <c r="AE341" s="997">
        <f t="shared" ca="1" si="387"/>
        <v>46.676249894100508</v>
      </c>
    </row>
    <row r="342" spans="1:94">
      <c r="A342" s="664">
        <f>+ROW(InputY!A268)</f>
        <v>268</v>
      </c>
      <c r="B342" s="664">
        <v>136</v>
      </c>
      <c r="D342" s="1055"/>
      <c r="E342" s="1056" t="s">
        <v>884</v>
      </c>
      <c r="F342" s="1055"/>
      <c r="G342" s="1057">
        <f>+InputY!G268/1000</f>
        <v>7.7978741890639487</v>
      </c>
      <c r="H342" s="1057">
        <f>+InputY!H268/1000</f>
        <v>9.7620481927710845</v>
      </c>
      <c r="I342" s="1057">
        <f>+InputY!I268/1000</f>
        <v>11.733926088971272</v>
      </c>
      <c r="J342" s="1057">
        <f>+InputY!J268/1000</f>
        <v>13.037592678405931</v>
      </c>
      <c r="K342" s="1057">
        <f>+InputY!K268/1000</f>
        <v>12.710090361445785</v>
      </c>
      <c r="L342" s="1057">
        <f>+InputY!L268/1000</f>
        <v>13.323244902687675</v>
      </c>
      <c r="M342" s="1057">
        <f>+InputY!M268/1000</f>
        <v>14.156481696014829</v>
      </c>
      <c r="N342" s="1057">
        <f>+InputY!N268/1000</f>
        <v>15.161897590361447</v>
      </c>
      <c r="O342" s="1057">
        <f>+InputY!O268/1000</f>
        <v>16.575648748841523</v>
      </c>
      <c r="P342" s="1057">
        <f>+InputY!P268/1000</f>
        <v>18.245308155699725</v>
      </c>
      <c r="Q342" s="1057">
        <f>+InputY!Q268/1000</f>
        <v>21.002400000000002</v>
      </c>
      <c r="R342" s="1057">
        <f>+InputY!R268/1000</f>
        <v>24.0792</v>
      </c>
      <c r="S342" s="1057">
        <f>+InputY!S268/1000</f>
        <v>29.040700000000001</v>
      </c>
      <c r="T342" s="1057">
        <f>+InputY!T268/1000</f>
        <v>32.696300000000001</v>
      </c>
      <c r="U342" s="1057">
        <f>+InputY!U268/1000</f>
        <v>26.934799999999999</v>
      </c>
      <c r="V342" s="1057">
        <f>+InputY!V268/1000</f>
        <v>28.027699999999999</v>
      </c>
      <c r="W342" s="1057">
        <f>+InputY!W268/1000</f>
        <v>31.275299999999998</v>
      </c>
      <c r="X342" s="1057">
        <f>+InputY!X268/1000</f>
        <v>33.348500000000001</v>
      </c>
      <c r="Y342" s="1057">
        <f>+InputY!Y268/1000</f>
        <v>34.959600000000002</v>
      </c>
      <c r="Z342" s="1057">
        <f>+InputY!Z268/1000</f>
        <v>36.568300000000001</v>
      </c>
      <c r="AA342" s="1057">
        <f>+InputY!AA268/1000</f>
        <v>37.426600000000001</v>
      </c>
      <c r="AB342" s="1057">
        <f>+InputY!AB268/1000</f>
        <v>38.668300000000002</v>
      </c>
      <c r="AC342" s="997">
        <f t="shared" ca="1" si="387"/>
        <v>41.779573283186814</v>
      </c>
      <c r="AD342" s="997">
        <f t="shared" ca="1" si="387"/>
        <v>44.211535542887589</v>
      </c>
      <c r="AE342" s="997">
        <f t="shared" ca="1" si="387"/>
        <v>46.676225752244903</v>
      </c>
    </row>
    <row r="343" spans="1:94">
      <c r="AB343" s="557"/>
      <c r="AC343" s="557"/>
      <c r="AD343" s="557"/>
      <c r="AE343" s="557"/>
    </row>
    <row r="344" spans="1:94" s="699" customFormat="1" ht="12.75" customHeight="1">
      <c r="A344" s="664"/>
      <c r="B344" s="664"/>
      <c r="C344" s="774"/>
      <c r="D344" s="1092"/>
      <c r="E344" s="1093" t="s">
        <v>1497</v>
      </c>
      <c r="F344" s="1094"/>
      <c r="G344" s="896">
        <f>+InputY!$G$3</f>
        <v>1995</v>
      </c>
      <c r="H344" s="896">
        <f>+G344+1</f>
        <v>1996</v>
      </c>
      <c r="I344" s="896">
        <f t="shared" ref="I344:O344" si="388">+H344+1</f>
        <v>1997</v>
      </c>
      <c r="J344" s="896">
        <f t="shared" si="388"/>
        <v>1998</v>
      </c>
      <c r="K344" s="896">
        <f t="shared" si="388"/>
        <v>1999</v>
      </c>
      <c r="L344" s="896">
        <f t="shared" si="388"/>
        <v>2000</v>
      </c>
      <c r="M344" s="896">
        <f t="shared" si="388"/>
        <v>2001</v>
      </c>
      <c r="N344" s="896">
        <f t="shared" si="388"/>
        <v>2002</v>
      </c>
      <c r="O344" s="896">
        <f t="shared" si="388"/>
        <v>2003</v>
      </c>
      <c r="P344" s="896">
        <f t="shared" ref="P344:U344" si="389">+O344+1</f>
        <v>2004</v>
      </c>
      <c r="Q344" s="896">
        <f t="shared" si="389"/>
        <v>2005</v>
      </c>
      <c r="R344" s="896">
        <f t="shared" si="389"/>
        <v>2006</v>
      </c>
      <c r="S344" s="896">
        <f>+R344+1</f>
        <v>2007</v>
      </c>
      <c r="T344" s="896">
        <f t="shared" si="389"/>
        <v>2008</v>
      </c>
      <c r="U344" s="896">
        <f t="shared" si="389"/>
        <v>2009</v>
      </c>
      <c r="V344" s="896">
        <f t="shared" ref="V344:AE344" si="390">+U344+1</f>
        <v>2010</v>
      </c>
      <c r="W344" s="896">
        <f t="shared" si="390"/>
        <v>2011</v>
      </c>
      <c r="X344" s="896">
        <f t="shared" si="390"/>
        <v>2012</v>
      </c>
      <c r="Y344" s="896">
        <f t="shared" si="390"/>
        <v>2013</v>
      </c>
      <c r="Z344" s="896">
        <f t="shared" si="390"/>
        <v>2014</v>
      </c>
      <c r="AA344" s="896">
        <f t="shared" si="390"/>
        <v>2015</v>
      </c>
      <c r="AB344" s="896">
        <f t="shared" si="390"/>
        <v>2016</v>
      </c>
      <c r="AC344" s="896">
        <f t="shared" si="390"/>
        <v>2017</v>
      </c>
      <c r="AD344" s="896">
        <f t="shared" si="390"/>
        <v>2018</v>
      </c>
      <c r="AE344" s="896">
        <f t="shared" si="390"/>
        <v>2019</v>
      </c>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row>
    <row r="345" spans="1:94">
      <c r="A345" s="664"/>
      <c r="B345" s="664"/>
      <c r="C345" s="1119" t="s">
        <v>1767</v>
      </c>
      <c r="D345" s="1120"/>
      <c r="E345" s="1106" t="s">
        <v>1359</v>
      </c>
      <c r="F345" s="1120"/>
      <c r="G345" s="1095"/>
      <c r="H345" s="1095">
        <f>+(H338/G338-1)*100</f>
        <v>28.040206348196463</v>
      </c>
      <c r="I345" s="1095">
        <f t="shared" ref="I345:Q345" si="391">+(I338/H338-1)*100</f>
        <v>23.732956506290549</v>
      </c>
      <c r="J345" s="1095">
        <f t="shared" si="391"/>
        <v>7.8329405447987943</v>
      </c>
      <c r="K345" s="1095">
        <f t="shared" si="391"/>
        <v>-7.6513258886915629</v>
      </c>
      <c r="L345" s="1095">
        <f t="shared" si="391"/>
        <v>6.8821370704223117</v>
      </c>
      <c r="M345" s="1095">
        <f t="shared" si="391"/>
        <v>9.6874647888779855</v>
      </c>
      <c r="N345" s="1095">
        <f t="shared" si="391"/>
        <v>9.6134789252785069</v>
      </c>
      <c r="O345" s="1095">
        <f t="shared" si="391"/>
        <v>8.8846932103518128</v>
      </c>
      <c r="P345" s="1095">
        <f t="shared" si="391"/>
        <v>11.162515066846845</v>
      </c>
      <c r="Q345" s="1095">
        <f t="shared" si="391"/>
        <v>20.149615785129505</v>
      </c>
      <c r="R345" s="1095">
        <f t="shared" ref="R345:AE346" si="392">+(R338/Q338-1)*100</f>
        <v>18.073029225701731</v>
      </c>
      <c r="S345" s="1095">
        <f t="shared" si="392"/>
        <v>18.859423365215022</v>
      </c>
      <c r="T345" s="1095">
        <f t="shared" si="392"/>
        <v>16.187830676129032</v>
      </c>
      <c r="U345" s="1095">
        <f t="shared" si="392"/>
        <v>-24.989875280129336</v>
      </c>
      <c r="V345" s="1095">
        <f t="shared" si="392"/>
        <v>13.269779660730219</v>
      </c>
      <c r="W345" s="1095">
        <f t="shared" si="392"/>
        <v>18.478121949528202</v>
      </c>
      <c r="X345" s="1095">
        <f t="shared" si="392"/>
        <v>8.5608295486081509</v>
      </c>
      <c r="Y345" s="1095">
        <f t="shared" si="392"/>
        <v>6.0193733785499193</v>
      </c>
      <c r="Z345" s="1095">
        <f t="shared" si="392"/>
        <v>2.4354614680864417</v>
      </c>
      <c r="AA345" s="1095">
        <f t="shared" si="392"/>
        <v>0.79808415810278532</v>
      </c>
      <c r="AB345" s="1095">
        <f t="shared" si="392"/>
        <v>1.4673599916107616</v>
      </c>
      <c r="AC345" s="1095">
        <f t="shared" ca="1" si="392"/>
        <v>11.975316902228794</v>
      </c>
      <c r="AD345" s="1095">
        <f t="shared" ca="1" si="392"/>
        <v>7.338638878029391</v>
      </c>
      <c r="AE345" s="1095">
        <f t="shared" ca="1" si="392"/>
        <v>6.1330992980453747</v>
      </c>
    </row>
    <row r="346" spans="1:94">
      <c r="A346" s="1130"/>
      <c r="B346" s="1130"/>
      <c r="C346" s="979" t="s">
        <v>401</v>
      </c>
      <c r="D346" s="1121"/>
      <c r="E346" s="1122" t="s">
        <v>1455</v>
      </c>
      <c r="F346" s="1121"/>
      <c r="G346" s="1124"/>
      <c r="H346" s="1124">
        <f>+(H339/G339-1)*100</f>
        <v>34.175003841705553</v>
      </c>
      <c r="I346" s="1124">
        <f t="shared" ref="I346:Q346" si="393">+(I339/H339-1)*100</f>
        <v>29.665617829429337</v>
      </c>
      <c r="J346" s="1124">
        <f t="shared" si="393"/>
        <v>1.9560292435901738</v>
      </c>
      <c r="K346" s="1124">
        <f t="shared" si="393"/>
        <v>-18.084658513194551</v>
      </c>
      <c r="L346" s="1124">
        <f t="shared" si="393"/>
        <v>10.941033933180089</v>
      </c>
      <c r="M346" s="1124">
        <f t="shared" si="393"/>
        <v>17.526173194634922</v>
      </c>
      <c r="N346" s="1124">
        <f t="shared" si="393"/>
        <v>14.692430727897833</v>
      </c>
      <c r="O346" s="1124">
        <f t="shared" si="393"/>
        <v>7.4501386502230149</v>
      </c>
      <c r="P346" s="1124">
        <f t="shared" si="393"/>
        <v>14.526830417351766</v>
      </c>
      <c r="Q346" s="1124">
        <f t="shared" si="393"/>
        <v>29.326634665505203</v>
      </c>
      <c r="R346" s="1124">
        <f t="shared" si="392"/>
        <v>23.677879368088849</v>
      </c>
      <c r="S346" s="1124">
        <f t="shared" si="392"/>
        <v>16.210033717192871</v>
      </c>
      <c r="T346" s="1124">
        <f t="shared" si="392"/>
        <v>21.858578253756811</v>
      </c>
      <c r="U346" s="1124">
        <f t="shared" si="392"/>
        <v>-35.714231663754823</v>
      </c>
      <c r="V346" s="1124">
        <f t="shared" si="392"/>
        <v>30.450939879298833</v>
      </c>
      <c r="W346" s="1124">
        <f t="shared" si="392"/>
        <v>28.729268278442397</v>
      </c>
      <c r="X346" s="1124">
        <f t="shared" si="392"/>
        <v>11.052373116241432</v>
      </c>
      <c r="Y346" s="1124">
        <f t="shared" si="392"/>
        <v>7.4904179635476131</v>
      </c>
      <c r="Z346" s="1124">
        <f t="shared" si="392"/>
        <v>-0.18003068673486666</v>
      </c>
      <c r="AA346" s="1124">
        <f t="shared" si="392"/>
        <v>-1.1621710469401414</v>
      </c>
      <c r="AB346" s="1124">
        <f t="shared" si="392"/>
        <v>-0.95726411940069145</v>
      </c>
      <c r="AC346" s="1124">
        <f t="shared" si="392"/>
        <v>17.323659922875233</v>
      </c>
      <c r="AD346" s="1124">
        <f t="shared" ca="1" si="392"/>
        <v>9.2487540335993046</v>
      </c>
      <c r="AE346" s="1124">
        <f t="shared" ca="1" si="392"/>
        <v>6.8137810286927225</v>
      </c>
    </row>
    <row r="347" spans="1:94" s="699" customFormat="1" ht="12.75" customHeight="1">
      <c r="A347" s="664"/>
      <c r="B347" s="664"/>
      <c r="C347" s="798"/>
      <c r="D347" s="833"/>
      <c r="E347" s="834" t="s">
        <v>1812</v>
      </c>
      <c r="F347" s="835"/>
      <c r="G347" s="1115"/>
      <c r="H347" s="1115">
        <f>+(H340/G340-1)*100</f>
        <v>-100</v>
      </c>
      <c r="I347" s="1115" t="e">
        <f t="shared" ref="I347:R347" si="394">+(I340/H340-1)*100</f>
        <v>#DIV/0!</v>
      </c>
      <c r="J347" s="1115" t="e">
        <f t="shared" si="394"/>
        <v>#DIV/0!</v>
      </c>
      <c r="K347" s="1115" t="e">
        <f t="shared" si="394"/>
        <v>#DIV/0!</v>
      </c>
      <c r="L347" s="1115" t="e">
        <f t="shared" si="394"/>
        <v>#DIV/0!</v>
      </c>
      <c r="M347" s="1115" t="e">
        <f t="shared" si="394"/>
        <v>#DIV/0!</v>
      </c>
      <c r="N347" s="1115">
        <f t="shared" si="394"/>
        <v>-199.99999996447286</v>
      </c>
      <c r="O347" s="1115">
        <f t="shared" si="394"/>
        <v>-200</v>
      </c>
      <c r="P347" s="1115">
        <f t="shared" si="394"/>
        <v>-200.00000001776357</v>
      </c>
      <c r="Q347" s="1115">
        <f t="shared" si="394"/>
        <v>-100</v>
      </c>
      <c r="R347" s="1115" t="e">
        <f t="shared" si="394"/>
        <v>#DIV/0!</v>
      </c>
      <c r="S347" s="1115">
        <f t="shared" ref="S347:AB347" si="395">+(S340/R340-1)*100</f>
        <v>-199.99999996447286</v>
      </c>
      <c r="T347" s="1115">
        <f t="shared" si="395"/>
        <v>-200.00000007105427</v>
      </c>
      <c r="U347" s="1115">
        <f t="shared" si="395"/>
        <v>-100</v>
      </c>
      <c r="V347" s="1115" t="e">
        <f t="shared" si="395"/>
        <v>#DIV/0!</v>
      </c>
      <c r="W347" s="1115" t="e">
        <f t="shared" si="395"/>
        <v>#DIV/0!</v>
      </c>
      <c r="X347" s="1115" t="e">
        <f t="shared" si="395"/>
        <v>#DIV/0!</v>
      </c>
      <c r="Y347" s="1115" t="e">
        <f t="shared" si="395"/>
        <v>#DIV/0!</v>
      </c>
      <c r="Z347" s="1115" t="e">
        <f t="shared" si="395"/>
        <v>#DIV/0!</v>
      </c>
      <c r="AA347" s="1115" t="e">
        <f t="shared" si="395"/>
        <v>#DIV/0!</v>
      </c>
      <c r="AB347" s="1115" t="e">
        <f t="shared" si="395"/>
        <v>#DIV/0!</v>
      </c>
      <c r="AC347" s="1427">
        <f ca="1">OFFSET('VVP1'!$K$16,0,5*(COLUMN()-7))</f>
        <v>0</v>
      </c>
      <c r="AD347" s="1427">
        <f ca="1">OFFSET('VVP1'!$K$16,0,5*(COLUMN()-7))</f>
        <v>0</v>
      </c>
      <c r="AE347" s="1427">
        <f ca="1">OFFSET('VVP1'!$K$16,0,5*(COLUMN()-7))</f>
        <v>0</v>
      </c>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row>
    <row r="348" spans="1:94" s="699" customFormat="1" ht="12.75" customHeight="1">
      <c r="A348" s="664"/>
      <c r="B348" s="664"/>
      <c r="C348" s="774"/>
      <c r="D348" s="717"/>
      <c r="E348" s="722" t="s">
        <v>281</v>
      </c>
      <c r="F348" s="723" t="s">
        <v>1907</v>
      </c>
      <c r="G348" s="721"/>
      <c r="H348" s="721">
        <f t="shared" ref="H348:AB348" si="396">(+H341/G341-1)*100</f>
        <v>25.109311188185245</v>
      </c>
      <c r="I348" s="721">
        <f t="shared" si="396"/>
        <v>20.693421452211467</v>
      </c>
      <c r="J348" s="721">
        <f t="shared" si="396"/>
        <v>11.067744538285318</v>
      </c>
      <c r="K348" s="721">
        <f t="shared" si="396"/>
        <v>-2.3796724916986367</v>
      </c>
      <c r="L348" s="721">
        <f t="shared" si="396"/>
        <v>5.1612324654973785</v>
      </c>
      <c r="M348" s="721">
        <f t="shared" si="396"/>
        <v>6.18139492436518</v>
      </c>
      <c r="N348" s="721">
        <f t="shared" si="396"/>
        <v>7.0988663230598936</v>
      </c>
      <c r="O348" s="721">
        <f t="shared" si="396"/>
        <v>9.645399308125068</v>
      </c>
      <c r="P348" s="721">
        <f t="shared" si="396"/>
        <v>9.4144157115705784</v>
      </c>
      <c r="Q348" s="721">
        <f t="shared" si="396"/>
        <v>15.158857576495311</v>
      </c>
      <c r="R348" s="721">
        <f t="shared" si="396"/>
        <v>14.649932031415535</v>
      </c>
      <c r="S348" s="721">
        <f t="shared" si="396"/>
        <v>20.604854484247383</v>
      </c>
      <c r="T348" s="721">
        <f t="shared" si="396"/>
        <v>12.587937051017439</v>
      </c>
      <c r="U348" s="721">
        <f t="shared" si="396"/>
        <v>-17.621148338587766</v>
      </c>
      <c r="V348" s="721">
        <f t="shared" si="396"/>
        <v>4.0573502997235611</v>
      </c>
      <c r="W348" s="721">
        <f t="shared" si="396"/>
        <v>11.587339078610203</v>
      </c>
      <c r="X348" s="721">
        <f t="shared" si="396"/>
        <v>6.6287411287878184</v>
      </c>
      <c r="Y348" s="721">
        <f t="shared" si="396"/>
        <v>4.8313146506227644</v>
      </c>
      <c r="Z348" s="721">
        <f t="shared" si="396"/>
        <v>4.6013904601447608</v>
      </c>
      <c r="AA348" s="721">
        <f t="shared" si="396"/>
        <v>2.3471981728427016</v>
      </c>
      <c r="AB348" s="721">
        <f t="shared" si="396"/>
        <v>3.3177196652328211</v>
      </c>
      <c r="AC348" s="1413">
        <f ca="1">OFFSET('VVP1'!$K$17,0,5*(COLUMN()-7))</f>
        <v>8.0460565455083621</v>
      </c>
      <c r="AD348" s="1413">
        <f ca="1">OFFSET('VVP1'!$K$17,0,5*(COLUMN()-7))</f>
        <v>5.8209360905068452</v>
      </c>
      <c r="AE348" s="1413">
        <f ca="1">OFFSET('VVP1'!$K$17,0,5*(COLUMN()-7))</f>
        <v>5.5747672617397104</v>
      </c>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row>
    <row r="349" spans="1:94" s="699" customFormat="1" ht="12.75" customHeight="1">
      <c r="A349" s="664"/>
      <c r="B349" s="664"/>
      <c r="C349" s="774"/>
      <c r="D349" s="717"/>
      <c r="E349" s="722" t="s">
        <v>884</v>
      </c>
      <c r="F349" s="723"/>
      <c r="G349" s="721"/>
      <c r="H349" s="721">
        <f>(+H342/G342-1)*100</f>
        <v>25.188582889190126</v>
      </c>
      <c r="I349" s="721">
        <f t="shared" ref="I349:X349" si="397">(+I342/H342-1)*100</f>
        <v>20.199428001803831</v>
      </c>
      <c r="J349" s="721">
        <f t="shared" si="397"/>
        <v>11.110233519026313</v>
      </c>
      <c r="K349" s="721">
        <f t="shared" si="397"/>
        <v>-2.5119845744420721</v>
      </c>
      <c r="L349" s="721">
        <f t="shared" si="397"/>
        <v>4.8241556417396136</v>
      </c>
      <c r="M349" s="721">
        <f t="shared" si="397"/>
        <v>6.2540079343514021</v>
      </c>
      <c r="N349" s="721">
        <f t="shared" si="397"/>
        <v>7.1021593919741388</v>
      </c>
      <c r="O349" s="721">
        <f t="shared" si="397"/>
        <v>9.3243682069110498</v>
      </c>
      <c r="P349" s="721">
        <f t="shared" si="397"/>
        <v>10.072965662806377</v>
      </c>
      <c r="Q349" s="721">
        <f t="shared" si="397"/>
        <v>15.111237479642003</v>
      </c>
      <c r="R349" s="721">
        <f t="shared" si="397"/>
        <v>14.649754313792695</v>
      </c>
      <c r="S349" s="721">
        <f t="shared" si="397"/>
        <v>20.60492042925015</v>
      </c>
      <c r="T349" s="721">
        <f t="shared" si="397"/>
        <v>12.587850843815751</v>
      </c>
      <c r="U349" s="721">
        <f t="shared" si="397"/>
        <v>-17.621259897908949</v>
      </c>
      <c r="V349" s="721">
        <f t="shared" si="397"/>
        <v>4.0575760725900967</v>
      </c>
      <c r="W349" s="721">
        <f t="shared" si="397"/>
        <v>11.587108467694463</v>
      </c>
      <c r="X349" s="721">
        <f t="shared" si="397"/>
        <v>6.628873264205315</v>
      </c>
      <c r="Y349" s="721">
        <f>(+Y342/X342-1)*100</f>
        <v>4.8311018486588697</v>
      </c>
      <c r="Z349" s="721">
        <f>(+Z342/Y342-1)*100</f>
        <v>4.6015972722800003</v>
      </c>
      <c r="AA349" s="721">
        <f>(+AA342/Z342-1)*100</f>
        <v>2.3471148508407591</v>
      </c>
      <c r="AB349" s="721">
        <f>(+AB342/AA342-1)*100</f>
        <v>3.3176938327285965</v>
      </c>
      <c r="AC349" s="1413">
        <f ca="1">+AC348</f>
        <v>8.0460565455083621</v>
      </c>
      <c r="AD349" s="1413">
        <f ca="1">+AD348</f>
        <v>5.8209360905068452</v>
      </c>
      <c r="AE349" s="1413">
        <f ca="1">+AE348</f>
        <v>5.5747672617397104</v>
      </c>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row>
    <row r="350" spans="1:94">
      <c r="AB350" s="557"/>
      <c r="AC350" s="557"/>
      <c r="AD350" s="557"/>
      <c r="AE350" s="557"/>
    </row>
    <row r="351" spans="1:94" s="699" customFormat="1" ht="12.75" customHeight="1">
      <c r="A351" s="664"/>
      <c r="B351" s="664"/>
      <c r="C351" s="774"/>
      <c r="D351" s="775"/>
      <c r="E351" s="776" t="s">
        <v>678</v>
      </c>
      <c r="F351" s="777"/>
      <c r="G351" s="778">
        <f>+InputY!$G$3</f>
        <v>1995</v>
      </c>
      <c r="H351" s="778">
        <f t="shared" ref="H351:O351" si="398">+G351+1</f>
        <v>1996</v>
      </c>
      <c r="I351" s="778">
        <f t="shared" si="398"/>
        <v>1997</v>
      </c>
      <c r="J351" s="778">
        <f t="shared" si="398"/>
        <v>1998</v>
      </c>
      <c r="K351" s="778">
        <f t="shared" si="398"/>
        <v>1999</v>
      </c>
      <c r="L351" s="778">
        <f t="shared" si="398"/>
        <v>2000</v>
      </c>
      <c r="M351" s="778">
        <f t="shared" si="398"/>
        <v>2001</v>
      </c>
      <c r="N351" s="778">
        <f t="shared" si="398"/>
        <v>2002</v>
      </c>
      <c r="O351" s="778">
        <f t="shared" si="398"/>
        <v>2003</v>
      </c>
      <c r="P351" s="778">
        <f t="shared" ref="P351:V351" si="399">+O351+1</f>
        <v>2004</v>
      </c>
      <c r="Q351" s="778">
        <f t="shared" si="399"/>
        <v>2005</v>
      </c>
      <c r="R351" s="778">
        <f t="shared" si="399"/>
        <v>2006</v>
      </c>
      <c r="S351" s="778">
        <f>+R351+1</f>
        <v>2007</v>
      </c>
      <c r="T351" s="778">
        <f t="shared" si="399"/>
        <v>2008</v>
      </c>
      <c r="U351" s="778">
        <f t="shared" si="399"/>
        <v>2009</v>
      </c>
      <c r="V351" s="778">
        <f t="shared" si="399"/>
        <v>2010</v>
      </c>
      <c r="W351" s="778">
        <f t="shared" ref="W351:AE351" si="400">+V351+1</f>
        <v>2011</v>
      </c>
      <c r="X351" s="778">
        <f t="shared" si="400"/>
        <v>2012</v>
      </c>
      <c r="Y351" s="778">
        <f t="shared" si="400"/>
        <v>2013</v>
      </c>
      <c r="Z351" s="778">
        <f t="shared" si="400"/>
        <v>2014</v>
      </c>
      <c r="AA351" s="778">
        <f t="shared" si="400"/>
        <v>2015</v>
      </c>
      <c r="AB351" s="778">
        <f t="shared" si="400"/>
        <v>2016</v>
      </c>
      <c r="AC351" s="778">
        <f t="shared" si="400"/>
        <v>2017</v>
      </c>
      <c r="AD351" s="778">
        <f t="shared" si="400"/>
        <v>2018</v>
      </c>
      <c r="AE351" s="778">
        <f t="shared" si="400"/>
        <v>2019</v>
      </c>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row>
    <row r="352" spans="1:94" s="699" customFormat="1" ht="12.75" customHeight="1">
      <c r="A352" s="664"/>
      <c r="B352" s="1132"/>
      <c r="C352" s="789"/>
      <c r="D352" s="678"/>
      <c r="E352" s="790" t="s">
        <v>461</v>
      </c>
      <c r="F352" s="791" t="s">
        <v>464</v>
      </c>
      <c r="G352" s="1311">
        <f>+Sector1!G88</f>
        <v>6.9358399999999998</v>
      </c>
      <c r="H352" s="1311">
        <f>+Sector1!H88</f>
        <v>8.7338100000000001</v>
      </c>
      <c r="I352" s="1311">
        <f>+Sector1!I88</f>
        <v>10.27515</v>
      </c>
      <c r="J352" s="1311">
        <f>+Sector1!J88</f>
        <v>11.413129999999999</v>
      </c>
      <c r="K352" s="1311">
        <f>+Sector1!K88</f>
        <v>11.17371</v>
      </c>
      <c r="L352" s="1311">
        <f>+Sector1!L88</f>
        <v>11.880889999999999</v>
      </c>
      <c r="M352" s="1311">
        <f>+Sector1!M88</f>
        <v>12.634510000000001</v>
      </c>
      <c r="N352" s="1311">
        <f>+Sector1!N88</f>
        <v>13.52392</v>
      </c>
      <c r="O352" s="1311">
        <f>+Sector1!O88</f>
        <v>14.937059999999999</v>
      </c>
      <c r="P352" s="1311">
        <f>+Sector1!P88</f>
        <v>16.499599999999997</v>
      </c>
      <c r="Q352" s="1311">
        <f>+Sector1!Q88</f>
        <v>19.009709999999998</v>
      </c>
      <c r="R352" s="1311">
        <f>+Sector1!R88</f>
        <v>21.73368</v>
      </c>
      <c r="S352" s="1311">
        <f>+Sector1!S88</f>
        <v>26.076499999999999</v>
      </c>
      <c r="T352" s="1311">
        <f>+Sector1!T88</f>
        <v>29.349209999999999</v>
      </c>
      <c r="U352" s="1311">
        <f>+Sector1!U88</f>
        <v>24.300360000000001</v>
      </c>
      <c r="V352" s="1311">
        <f>+Sector1!V88</f>
        <v>25.20975</v>
      </c>
      <c r="W352" s="1311">
        <f>+Sector1!W88</f>
        <v>28.160060000000001</v>
      </c>
      <c r="X352" s="1311">
        <f>+Sector1!X88</f>
        <v>30.16516</v>
      </c>
      <c r="Y352" s="1311">
        <f>+Sector1!Y88</f>
        <v>31.690080000000002</v>
      </c>
      <c r="Z352" s="1311">
        <f>+Sector1!Z88</f>
        <v>33.067680000000003</v>
      </c>
      <c r="AA352" s="1311">
        <f>+Sector1!AA88</f>
        <v>33.709150000000001</v>
      </c>
      <c r="AB352" s="1311">
        <f>+Sector1!AB88</f>
        <v>34.789370000000005</v>
      </c>
      <c r="AC352" s="1311">
        <f>+Sector1!AC88</f>
        <v>37.589730000000003</v>
      </c>
      <c r="AD352" s="1311">
        <f ca="1">+Sector1!AD88</f>
        <v>39.653234851938059</v>
      </c>
      <c r="AE352" s="1311">
        <f ca="1">+Sector1!AE88</f>
        <v>41.851347096832214</v>
      </c>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row>
    <row r="353" spans="1:94">
      <c r="AB353" s="557"/>
      <c r="AC353" s="557"/>
      <c r="AD353" s="557"/>
      <c r="AE353" s="557"/>
    </row>
    <row r="354" spans="1:94" s="699" customFormat="1" ht="12.75" customHeight="1">
      <c r="A354" s="664"/>
      <c r="B354" s="664"/>
      <c r="C354" s="774"/>
      <c r="D354" s="742"/>
      <c r="E354" s="743" t="s">
        <v>678</v>
      </c>
      <c r="F354" s="744"/>
      <c r="G354" s="745">
        <f>+InputY!$G$3</f>
        <v>1995</v>
      </c>
      <c r="H354" s="745">
        <f t="shared" ref="H354:O354" si="401">+G354+1</f>
        <v>1996</v>
      </c>
      <c r="I354" s="745">
        <f t="shared" si="401"/>
        <v>1997</v>
      </c>
      <c r="J354" s="745">
        <f t="shared" si="401"/>
        <v>1998</v>
      </c>
      <c r="K354" s="745">
        <f t="shared" si="401"/>
        <v>1999</v>
      </c>
      <c r="L354" s="745">
        <f t="shared" si="401"/>
        <v>2000</v>
      </c>
      <c r="M354" s="745">
        <f t="shared" si="401"/>
        <v>2001</v>
      </c>
      <c r="N354" s="745">
        <f t="shared" si="401"/>
        <v>2002</v>
      </c>
      <c r="O354" s="745">
        <f t="shared" si="401"/>
        <v>2003</v>
      </c>
      <c r="P354" s="745">
        <f t="shared" ref="P354:V354" si="402">+O354+1</f>
        <v>2004</v>
      </c>
      <c r="Q354" s="745">
        <f t="shared" si="402"/>
        <v>2005</v>
      </c>
      <c r="R354" s="745">
        <f t="shared" si="402"/>
        <v>2006</v>
      </c>
      <c r="S354" s="745">
        <f>+R354+1</f>
        <v>2007</v>
      </c>
      <c r="T354" s="745">
        <f t="shared" si="402"/>
        <v>2008</v>
      </c>
      <c r="U354" s="745">
        <f t="shared" si="402"/>
        <v>2009</v>
      </c>
      <c r="V354" s="745">
        <f t="shared" si="402"/>
        <v>2010</v>
      </c>
      <c r="W354" s="745">
        <f t="shared" ref="W354:AE354" si="403">+V354+1</f>
        <v>2011</v>
      </c>
      <c r="X354" s="745">
        <f t="shared" si="403"/>
        <v>2012</v>
      </c>
      <c r="Y354" s="745">
        <f t="shared" si="403"/>
        <v>2013</v>
      </c>
      <c r="Z354" s="745">
        <f t="shared" si="403"/>
        <v>2014</v>
      </c>
      <c r="AA354" s="745">
        <f t="shared" si="403"/>
        <v>2015</v>
      </c>
      <c r="AB354" s="745">
        <f t="shared" si="403"/>
        <v>2016</v>
      </c>
      <c r="AC354" s="745">
        <f t="shared" si="403"/>
        <v>2017</v>
      </c>
      <c r="AD354" s="745">
        <f t="shared" si="403"/>
        <v>2018</v>
      </c>
      <c r="AE354" s="745">
        <f t="shared" si="403"/>
        <v>2019</v>
      </c>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row>
    <row r="355" spans="1:94" s="699" customFormat="1" ht="12.75" customHeight="1">
      <c r="A355" s="664"/>
      <c r="B355" s="664"/>
      <c r="C355" s="798"/>
      <c r="D355" s="833"/>
      <c r="E355" s="834" t="s">
        <v>461</v>
      </c>
      <c r="F355" s="835" t="s">
        <v>464</v>
      </c>
      <c r="G355" s="836"/>
      <c r="H355" s="836">
        <f t="shared" ref="H355:S355" si="404">(+H352/G352-1)*100</f>
        <v>25.922887494521206</v>
      </c>
      <c r="I355" s="836">
        <f t="shared" si="404"/>
        <v>17.647968068918374</v>
      </c>
      <c r="J355" s="836">
        <f t="shared" si="404"/>
        <v>11.075069463706111</v>
      </c>
      <c r="K355" s="836">
        <f t="shared" si="404"/>
        <v>-2.0977593350816059</v>
      </c>
      <c r="L355" s="836">
        <f t="shared" si="404"/>
        <v>6.3289632539237139</v>
      </c>
      <c r="M355" s="836">
        <f t="shared" si="404"/>
        <v>6.3431274929740322</v>
      </c>
      <c r="N355" s="836">
        <f t="shared" si="404"/>
        <v>7.0395290359499541</v>
      </c>
      <c r="O355" s="836">
        <f t="shared" si="404"/>
        <v>10.449189288312844</v>
      </c>
      <c r="P355" s="836">
        <f t="shared" si="404"/>
        <v>10.46082696327122</v>
      </c>
      <c r="Q355" s="836">
        <f t="shared" si="404"/>
        <v>15.213156682586249</v>
      </c>
      <c r="R355" s="836">
        <f t="shared" si="404"/>
        <v>14.329361152800345</v>
      </c>
      <c r="S355" s="836">
        <f t="shared" si="404"/>
        <v>19.981981882497578</v>
      </c>
      <c r="T355" s="836">
        <f t="shared" ref="T355:AE355" si="405">(+T352/S352-1)*100</f>
        <v>12.550418959599629</v>
      </c>
      <c r="U355" s="836">
        <f t="shared" si="405"/>
        <v>-17.202677687065503</v>
      </c>
      <c r="V355" s="836">
        <f t="shared" si="405"/>
        <v>3.7422902376754941</v>
      </c>
      <c r="W355" s="836">
        <f t="shared" si="405"/>
        <v>11.703051398764375</v>
      </c>
      <c r="X355" s="836">
        <f t="shared" si="405"/>
        <v>7.1203683514878824</v>
      </c>
      <c r="Y355" s="836">
        <f t="shared" si="405"/>
        <v>5.0552359079149678</v>
      </c>
      <c r="Z355" s="836">
        <f t="shared" si="405"/>
        <v>4.3471016797685724</v>
      </c>
      <c r="AA355" s="836">
        <f t="shared" si="405"/>
        <v>1.9398699878552028</v>
      </c>
      <c r="AB355" s="836">
        <f t="shared" si="405"/>
        <v>3.2045305206449992</v>
      </c>
      <c r="AC355" s="836">
        <f t="shared" si="405"/>
        <v>8.0494702835952392</v>
      </c>
      <c r="AD355" s="836">
        <f t="shared" ca="1" si="405"/>
        <v>5.4895442237495651</v>
      </c>
      <c r="AE355" s="836">
        <f t="shared" ca="1" si="405"/>
        <v>5.543336509875485</v>
      </c>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row>
    <row r="356" spans="1:94">
      <c r="AB356" s="557"/>
      <c r="AC356" s="557"/>
      <c r="AD356" s="557"/>
      <c r="AE356" s="557"/>
    </row>
    <row r="357" spans="1:94">
      <c r="AB357" s="557"/>
      <c r="AC357" s="557"/>
      <c r="AD357" s="557"/>
      <c r="AE357" s="557"/>
    </row>
    <row r="358" spans="1:94" s="217" customFormat="1" ht="22.5" customHeight="1">
      <c r="A358" s="1433"/>
      <c r="B358" s="665"/>
      <c r="C358" s="3752" t="s">
        <v>2031</v>
      </c>
      <c r="D358" s="3752"/>
      <c r="E358" s="3752"/>
      <c r="F358" s="3752"/>
      <c r="Q358" s="557"/>
      <c r="R358" s="557"/>
      <c r="S358" s="557"/>
      <c r="T358" s="557"/>
      <c r="U358" s="557"/>
      <c r="V358" s="557"/>
      <c r="W358" s="557"/>
      <c r="X358" s="557"/>
      <c r="Y358" s="557"/>
      <c r="Z358" s="557"/>
      <c r="AA358" s="557"/>
      <c r="AB358" s="557"/>
      <c r="AC358" s="557"/>
      <c r="AD358" s="557"/>
      <c r="AE358" s="557"/>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row>
    <row r="359" spans="1:94">
      <c r="AB359" s="557"/>
      <c r="AC359" s="557"/>
      <c r="AD359" s="557"/>
      <c r="AE359" s="557"/>
    </row>
    <row r="360" spans="1:94" s="699" customFormat="1" ht="12.75" customHeight="1">
      <c r="A360" s="1433"/>
      <c r="B360" s="664"/>
      <c r="C360" s="774"/>
      <c r="D360" s="1134"/>
      <c r="E360" s="1135" t="s">
        <v>667</v>
      </c>
      <c r="F360" s="1136"/>
      <c r="G360" s="1137">
        <f>+InputY!$G$3</f>
        <v>1995</v>
      </c>
      <c r="H360" s="1137">
        <f>+G360+1</f>
        <v>1996</v>
      </c>
      <c r="I360" s="1137">
        <f t="shared" ref="I360:O360" si="406">+H360+1</f>
        <v>1997</v>
      </c>
      <c r="J360" s="1137">
        <f t="shared" si="406"/>
        <v>1998</v>
      </c>
      <c r="K360" s="1137">
        <f t="shared" si="406"/>
        <v>1999</v>
      </c>
      <c r="L360" s="1137">
        <f t="shared" si="406"/>
        <v>2000</v>
      </c>
      <c r="M360" s="1137">
        <f t="shared" si="406"/>
        <v>2001</v>
      </c>
      <c r="N360" s="1137">
        <f t="shared" si="406"/>
        <v>2002</v>
      </c>
      <c r="O360" s="1137">
        <f t="shared" si="406"/>
        <v>2003</v>
      </c>
      <c r="P360" s="1137">
        <f t="shared" ref="P360:U360" si="407">+O360+1</f>
        <v>2004</v>
      </c>
      <c r="Q360" s="1137">
        <f t="shared" si="407"/>
        <v>2005</v>
      </c>
      <c r="R360" s="1137">
        <f t="shared" si="407"/>
        <v>2006</v>
      </c>
      <c r="S360" s="1137">
        <f>+R360+1</f>
        <v>2007</v>
      </c>
      <c r="T360" s="1137">
        <f t="shared" si="407"/>
        <v>2008</v>
      </c>
      <c r="U360" s="1137">
        <f t="shared" si="407"/>
        <v>2009</v>
      </c>
      <c r="V360" s="1137">
        <f t="shared" ref="V360:AE360" si="408">+U360+1</f>
        <v>2010</v>
      </c>
      <c r="W360" s="1137">
        <f t="shared" si="408"/>
        <v>2011</v>
      </c>
      <c r="X360" s="1137">
        <f t="shared" si="408"/>
        <v>2012</v>
      </c>
      <c r="Y360" s="1137">
        <f t="shared" si="408"/>
        <v>2013</v>
      </c>
      <c r="Z360" s="1137">
        <f t="shared" si="408"/>
        <v>2014</v>
      </c>
      <c r="AA360" s="1137">
        <f t="shared" si="408"/>
        <v>2015</v>
      </c>
      <c r="AB360" s="1137">
        <f t="shared" si="408"/>
        <v>2016</v>
      </c>
      <c r="AC360" s="1137">
        <f t="shared" si="408"/>
        <v>2017</v>
      </c>
      <c r="AD360" s="1137">
        <f t="shared" si="408"/>
        <v>2018</v>
      </c>
      <c r="AE360" s="1137">
        <f t="shared" si="408"/>
        <v>2019</v>
      </c>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row>
    <row r="361" spans="1:94" s="699" customFormat="1" ht="12.75" customHeight="1">
      <c r="A361" s="1433"/>
      <c r="B361" s="664"/>
      <c r="C361" s="779"/>
      <c r="D361" s="996"/>
      <c r="E361" s="996" t="s">
        <v>668</v>
      </c>
      <c r="F361" s="1220" t="s">
        <v>703</v>
      </c>
      <c r="G361" s="1652">
        <f t="shared" ref="G361:V361" si="409">+G185/G7*100</f>
        <v>57.066954680567363</v>
      </c>
      <c r="H361" s="1652">
        <f t="shared" si="409"/>
        <v>67.328433850163307</v>
      </c>
      <c r="I361" s="1652">
        <f t="shared" si="409"/>
        <v>73.557916425016046</v>
      </c>
      <c r="J361" s="1652">
        <f t="shared" si="409"/>
        <v>77.785061653038156</v>
      </c>
      <c r="K361" s="1652">
        <f t="shared" si="409"/>
        <v>76.827996584168545</v>
      </c>
      <c r="L361" s="996">
        <f t="shared" si="409"/>
        <v>75.568779389609858</v>
      </c>
      <c r="M361" s="996">
        <f t="shared" si="409"/>
        <v>77.332373183869635</v>
      </c>
      <c r="N361" s="996">
        <f t="shared" si="409"/>
        <v>77.03396355533711</v>
      </c>
      <c r="O361" s="996">
        <f t="shared" si="409"/>
        <v>75.891194020119883</v>
      </c>
      <c r="P361" s="996">
        <f t="shared" si="409"/>
        <v>75.225155112479484</v>
      </c>
      <c r="Q361" s="996">
        <f t="shared" si="409"/>
        <v>77.007437072884215</v>
      </c>
      <c r="R361" s="996">
        <f t="shared" si="409"/>
        <v>80.598063547889581</v>
      </c>
      <c r="S361" s="996">
        <f t="shared" si="409"/>
        <v>85.334940128839492</v>
      </c>
      <c r="T361" s="996">
        <f t="shared" si="409"/>
        <v>94.63221286520556</v>
      </c>
      <c r="U361" s="996">
        <f t="shared" si="409"/>
        <v>98.745285665893149</v>
      </c>
      <c r="V361" s="996">
        <f t="shared" si="409"/>
        <v>100</v>
      </c>
      <c r="W361" s="996">
        <f t="shared" ref="W361:AC361" si="410">+W185/W7*100</f>
        <v>104.11830922586718</v>
      </c>
      <c r="X361" s="996">
        <f t="shared" si="410"/>
        <v>107.32959619009821</v>
      </c>
      <c r="Y361" s="996">
        <f t="shared" si="410"/>
        <v>108.39827804858714</v>
      </c>
      <c r="Z361" s="996">
        <f t="shared" si="410"/>
        <v>108.52771464375736</v>
      </c>
      <c r="AA361" s="996">
        <f t="shared" si="410"/>
        <v>107.57041745239246</v>
      </c>
      <c r="AB361" s="996">
        <f t="shared" si="410"/>
        <v>108.58003295393655</v>
      </c>
      <c r="AC361" s="996">
        <f t="shared" si="410"/>
        <v>112.65586110911445</v>
      </c>
      <c r="AD361" s="1441">
        <f t="shared" ref="AC361:AE363" ca="1" si="411">+AC361*(1+AD366/100)</f>
        <v>115.58491349795143</v>
      </c>
      <c r="AE361" s="1441">
        <f t="shared" ca="1" si="411"/>
        <v>118.12778159490637</v>
      </c>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row>
    <row r="362" spans="1:94" s="699" customFormat="1" ht="12.75" customHeight="1">
      <c r="A362" s="664">
        <f>+ROW(InputY!A266)</f>
        <v>266</v>
      </c>
      <c r="B362" s="664">
        <v>55</v>
      </c>
      <c r="C362" s="782"/>
      <c r="D362" s="1044"/>
      <c r="E362" s="1044" t="s">
        <v>1796</v>
      </c>
      <c r="F362" s="1043" t="s">
        <v>551</v>
      </c>
      <c r="G362" s="1653">
        <f>+InputY!G266</f>
        <v>66.068980652933803</v>
      </c>
      <c r="H362" s="1653">
        <f>+InputY!H266</f>
        <v>82.33861128143279</v>
      </c>
      <c r="I362" s="1653">
        <f>+InputY!I266</f>
        <v>89.651135061851093</v>
      </c>
      <c r="J362" s="1653">
        <f>+InputY!J266</f>
        <v>94.194267636048167</v>
      </c>
      <c r="K362" s="1653">
        <f>+InputY!K266</f>
        <v>94.879575853725868</v>
      </c>
      <c r="L362" s="1044">
        <f>+InputY!L266</f>
        <v>95.810967364838703</v>
      </c>
      <c r="M362" s="1044">
        <f>+InputY!M266</f>
        <v>97.120808813198579</v>
      </c>
      <c r="N362" s="1044">
        <f>+InputY!N266</f>
        <v>97.394175434303676</v>
      </c>
      <c r="O362" s="1044">
        <f>+InputY!O266</f>
        <v>96.289433951761211</v>
      </c>
      <c r="P362" s="1044">
        <f>+InputY!P266</f>
        <v>97.410342098276729</v>
      </c>
      <c r="Q362" s="1044">
        <f>+InputY!Q266</f>
        <v>100</v>
      </c>
      <c r="R362" s="1044">
        <f>+InputY!R266</f>
        <v>103.73908271015331</v>
      </c>
      <c r="S362" s="1044">
        <f>+InputY!S266</f>
        <v>109.69079005153519</v>
      </c>
      <c r="T362" s="1044">
        <f>+InputY!T266</f>
        <v>121.67546305408973</v>
      </c>
      <c r="U362" s="1044">
        <f>+InputY!U266</f>
        <v>127.09376215103943</v>
      </c>
      <c r="V362" s="1044">
        <f>+InputY!V266</f>
        <v>128.77039520493449</v>
      </c>
      <c r="W362" s="1044">
        <f>+InputY!W266</f>
        <v>134.08896098517272</v>
      </c>
      <c r="X362" s="1044">
        <f>+InputY!X266</f>
        <v>138.24571877571375</v>
      </c>
      <c r="Y362" s="1044">
        <f>+InputY!Y266</f>
        <v>139.6281759634702</v>
      </c>
      <c r="Z362" s="1044">
        <f>+InputY!Z266</f>
        <v>139.77309592786955</v>
      </c>
      <c r="AA362" s="1044">
        <f>+InputY!AA266</f>
        <v>138.53735019739733</v>
      </c>
      <c r="AB362" s="1044">
        <f>+InputY!AB266</f>
        <v>139.79183576338338</v>
      </c>
      <c r="AC362" s="1442">
        <f t="shared" ca="1" si="411"/>
        <v>144.99068628199879</v>
      </c>
      <c r="AD362" s="1442">
        <f t="shared" ca="1" si="411"/>
        <v>149.06419985794838</v>
      </c>
      <c r="AE362" s="1442">
        <f t="shared" ca="1" si="411"/>
        <v>152.56181978383856</v>
      </c>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row>
    <row r="363" spans="1:94" s="699" customFormat="1" ht="12.75" customHeight="1">
      <c r="A363" s="664">
        <f>+ROW(InputY!A267)</f>
        <v>267</v>
      </c>
      <c r="B363" s="664">
        <v>54</v>
      </c>
      <c r="C363" s="842"/>
      <c r="D363" s="1438"/>
      <c r="E363" s="1438" t="s">
        <v>1399</v>
      </c>
      <c r="F363" s="1439" t="s">
        <v>599</v>
      </c>
      <c r="G363" s="1654">
        <f>+InputY!G267</f>
        <v>46.202189580827167</v>
      </c>
      <c r="H363" s="1654">
        <f>+InputY!H267</f>
        <v>57.612499999999997</v>
      </c>
      <c r="I363" s="1654">
        <f>+InputY!I267</f>
        <v>63.555833333333297</v>
      </c>
      <c r="J363" s="1654">
        <f>+InputY!J267</f>
        <v>66.968333333333305</v>
      </c>
      <c r="K363" s="1654">
        <f>+InputY!K267</f>
        <v>67.935000000000002</v>
      </c>
      <c r="L363" s="1438">
        <f>+InputY!L267</f>
        <v>68.678333333333299</v>
      </c>
      <c r="M363" s="1438">
        <f>+InputY!M267</f>
        <v>69.742500000000007</v>
      </c>
      <c r="N363" s="1438">
        <f>+InputY!N267</f>
        <v>69.976666666666702</v>
      </c>
      <c r="O363" s="1438">
        <f>+InputY!O267</f>
        <v>69.223333333333301</v>
      </c>
      <c r="P363" s="1438">
        <f>+InputY!P267</f>
        <v>70.022499999999994</v>
      </c>
      <c r="Q363" s="1438">
        <f>+InputY!Q267</f>
        <v>71.893333333333302</v>
      </c>
      <c r="R363" s="1438">
        <f>+InputY!R267</f>
        <v>74.594166666666695</v>
      </c>
      <c r="S363" s="1438">
        <f>+InputY!S267</f>
        <v>78.934166666666698</v>
      </c>
      <c r="T363" s="1438">
        <f>+InputY!T267</f>
        <v>87.689166666666694</v>
      </c>
      <c r="U363" s="1438">
        <f>+InputY!U267</f>
        <v>91.338333333333296</v>
      </c>
      <c r="V363" s="1438">
        <f>+InputY!V267</f>
        <v>92.425833333333301</v>
      </c>
      <c r="W363" s="1438">
        <f>+InputY!W267</f>
        <v>96.237499999999997</v>
      </c>
      <c r="X363" s="1438">
        <f>+InputY!X267</f>
        <v>99.282499999999999</v>
      </c>
      <c r="Y363" s="1438">
        <f>+InputY!Y267</f>
        <v>100.43833333333301</v>
      </c>
      <c r="Z363" s="1438">
        <f>+InputY!Z267</f>
        <v>100.681666666667</v>
      </c>
      <c r="AA363" s="1438">
        <f>+InputY!AA267</f>
        <v>100</v>
      </c>
      <c r="AB363" s="1438">
        <f>+InputY!AB267</f>
        <v>100.678333333333</v>
      </c>
      <c r="AC363" s="1438">
        <f>+InputY!AC267</f>
        <v>104.42166666666699</v>
      </c>
      <c r="AD363" s="1443">
        <f t="shared" ca="1" si="411"/>
        <v>107.35539356801183</v>
      </c>
      <c r="AE363" s="1443">
        <f t="shared" ca="1" si="411"/>
        <v>109.87436434740141</v>
      </c>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row>
    <row r="364" spans="1:94">
      <c r="AB364" s="557"/>
      <c r="AC364" s="557"/>
      <c r="AD364" s="557"/>
      <c r="AE364" s="557"/>
    </row>
    <row r="365" spans="1:94" s="699" customFormat="1" ht="12.75" customHeight="1">
      <c r="A365" s="1433"/>
      <c r="B365" s="664"/>
      <c r="C365" s="774"/>
      <c r="D365" s="742"/>
      <c r="E365" s="743" t="s">
        <v>667</v>
      </c>
      <c r="F365" s="744"/>
      <c r="G365" s="896">
        <f>+InputY!$G$3</f>
        <v>1995</v>
      </c>
      <c r="H365" s="896">
        <f>+G365+1</f>
        <v>1996</v>
      </c>
      <c r="I365" s="896">
        <f t="shared" ref="I365:O365" si="412">+H365+1</f>
        <v>1997</v>
      </c>
      <c r="J365" s="896">
        <f t="shared" si="412"/>
        <v>1998</v>
      </c>
      <c r="K365" s="896">
        <f t="shared" si="412"/>
        <v>1999</v>
      </c>
      <c r="L365" s="896">
        <f t="shared" si="412"/>
        <v>2000</v>
      </c>
      <c r="M365" s="896">
        <f t="shared" si="412"/>
        <v>2001</v>
      </c>
      <c r="N365" s="896">
        <f t="shared" si="412"/>
        <v>2002</v>
      </c>
      <c r="O365" s="896">
        <f t="shared" si="412"/>
        <v>2003</v>
      </c>
      <c r="P365" s="896">
        <f t="shared" ref="P365:U365" si="413">+O365+1</f>
        <v>2004</v>
      </c>
      <c r="Q365" s="896">
        <f t="shared" si="413"/>
        <v>2005</v>
      </c>
      <c r="R365" s="896">
        <f t="shared" si="413"/>
        <v>2006</v>
      </c>
      <c r="S365" s="896">
        <f>+R365+1</f>
        <v>2007</v>
      </c>
      <c r="T365" s="896">
        <f>+S365+1</f>
        <v>2008</v>
      </c>
      <c r="U365" s="896">
        <f t="shared" si="413"/>
        <v>2009</v>
      </c>
      <c r="V365" s="896">
        <f t="shared" ref="V365:AE365" si="414">+U365+1</f>
        <v>2010</v>
      </c>
      <c r="W365" s="896">
        <f t="shared" si="414"/>
        <v>2011</v>
      </c>
      <c r="X365" s="896">
        <f t="shared" si="414"/>
        <v>2012</v>
      </c>
      <c r="Y365" s="896">
        <f t="shared" si="414"/>
        <v>2013</v>
      </c>
      <c r="Z365" s="896">
        <f t="shared" si="414"/>
        <v>2014</v>
      </c>
      <c r="AA365" s="896">
        <f t="shared" si="414"/>
        <v>2015</v>
      </c>
      <c r="AB365" s="896">
        <f t="shared" si="414"/>
        <v>2016</v>
      </c>
      <c r="AC365" s="896">
        <f t="shared" si="414"/>
        <v>2017</v>
      </c>
      <c r="AD365" s="896">
        <f t="shared" si="414"/>
        <v>2018</v>
      </c>
      <c r="AE365" s="896">
        <f t="shared" si="414"/>
        <v>2019</v>
      </c>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row>
    <row r="366" spans="1:94" s="699" customFormat="1" ht="12.75" customHeight="1">
      <c r="A366" s="1433"/>
      <c r="B366" s="664"/>
      <c r="C366" s="794" t="s">
        <v>1767</v>
      </c>
      <c r="D366" s="1044"/>
      <c r="E366" s="1044" t="s">
        <v>668</v>
      </c>
      <c r="F366" s="1043" t="s">
        <v>703</v>
      </c>
      <c r="G366" s="1095"/>
      <c r="H366" s="1095">
        <f>(H361/G361-1)*100</f>
        <v>17.981473213411569</v>
      </c>
      <c r="I366" s="1095">
        <f t="shared" ref="I366:Q366" si="415">(I361/H361-1)*100</f>
        <v>9.2523800400826204</v>
      </c>
      <c r="J366" s="1095">
        <f t="shared" si="415"/>
        <v>5.7466897289446761</v>
      </c>
      <c r="K366" s="1095">
        <f t="shared" si="415"/>
        <v>-1.2303970049398649</v>
      </c>
      <c r="L366" s="1095">
        <f t="shared" si="415"/>
        <v>-1.6390082398922812</v>
      </c>
      <c r="M366" s="1095">
        <f t="shared" si="415"/>
        <v>2.3337597993573711</v>
      </c>
      <c r="N366" s="1095">
        <f t="shared" si="415"/>
        <v>-0.38587931062584735</v>
      </c>
      <c r="O366" s="1095">
        <f t="shared" si="415"/>
        <v>-1.4834619464910714</v>
      </c>
      <c r="P366" s="1095">
        <f t="shared" si="415"/>
        <v>-0.87762344003156079</v>
      </c>
      <c r="Q366" s="1095">
        <f t="shared" si="415"/>
        <v>2.3692632574034533</v>
      </c>
      <c r="R366" s="1095">
        <f t="shared" ref="R366:AC368" si="416">(R361/Q361-1)*100</f>
        <v>4.662700917584095</v>
      </c>
      <c r="S366" s="1095">
        <f t="shared" si="416"/>
        <v>5.8771592919665716</v>
      </c>
      <c r="T366" s="1095">
        <f t="shared" si="416"/>
        <v>10.895036338373188</v>
      </c>
      <c r="U366" s="1095">
        <f t="shared" si="416"/>
        <v>4.3463770698739301</v>
      </c>
      <c r="V366" s="1095">
        <f t="shared" si="416"/>
        <v>1.2706574553363437</v>
      </c>
      <c r="W366" s="1095">
        <f t="shared" si="416"/>
        <v>4.1183092258671783</v>
      </c>
      <c r="X366" s="1095">
        <f t="shared" si="416"/>
        <v>3.0842672994858988</v>
      </c>
      <c r="Y366" s="1095">
        <f t="shared" si="416"/>
        <v>0.99570099620622798</v>
      </c>
      <c r="Z366" s="1095">
        <f t="shared" si="416"/>
        <v>0.11940834992987259</v>
      </c>
      <c r="AA366" s="1095">
        <f t="shared" si="416"/>
        <v>-0.88207624615264102</v>
      </c>
      <c r="AB366" s="1095">
        <f t="shared" si="416"/>
        <v>0.93856240912228994</v>
      </c>
      <c r="AC366" s="1095">
        <f t="shared" si="416"/>
        <v>3.7537547597789045</v>
      </c>
      <c r="AD366" s="1785">
        <f ca="1">OFFSET('VVP1'!$I$35,0,5*(COLUMN()-7))</f>
        <v>2.6</v>
      </c>
      <c r="AE366" s="1785">
        <f ca="1">OFFSET('VVP1'!$I$35,0,5*(COLUMN()-7))</f>
        <v>2.2000000000000002</v>
      </c>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row>
    <row r="367" spans="1:94" s="699" customFormat="1" ht="12.75" customHeight="1">
      <c r="A367" s="1433"/>
      <c r="B367" s="664"/>
      <c r="C367" s="795" t="s">
        <v>1767</v>
      </c>
      <c r="D367" s="1044"/>
      <c r="E367" s="1044" t="s">
        <v>1796</v>
      </c>
      <c r="F367" s="1043" t="s">
        <v>551</v>
      </c>
      <c r="G367" s="1044"/>
      <c r="H367" s="1044">
        <f t="shared" ref="H367:Q368" si="417">(H362/G362-1)*100</f>
        <v>24.625218170028674</v>
      </c>
      <c r="I367" s="1044">
        <f t="shared" si="417"/>
        <v>8.8810385147548132</v>
      </c>
      <c r="J367" s="1044">
        <f t="shared" si="417"/>
        <v>5.0675683816638006</v>
      </c>
      <c r="K367" s="1044">
        <f t="shared" si="417"/>
        <v>0.72754768934095715</v>
      </c>
      <c r="L367" s="1044">
        <f t="shared" si="417"/>
        <v>0.98165648690160534</v>
      </c>
      <c r="M367" s="1044">
        <f t="shared" si="417"/>
        <v>1.3671101382080053</v>
      </c>
      <c r="N367" s="1044">
        <f t="shared" si="417"/>
        <v>0.28147070071347091</v>
      </c>
      <c r="O367" s="1044">
        <f t="shared" si="417"/>
        <v>-1.1342993332159379</v>
      </c>
      <c r="P367" s="1044">
        <f t="shared" si="417"/>
        <v>1.1641029555507165</v>
      </c>
      <c r="Q367" s="1044">
        <f t="shared" si="417"/>
        <v>2.6585040622386646</v>
      </c>
      <c r="R367" s="1044">
        <f t="shared" si="416"/>
        <v>3.7390827101533075</v>
      </c>
      <c r="S367" s="1044">
        <f t="shared" si="416"/>
        <v>5.7371890958501481</v>
      </c>
      <c r="T367" s="1044">
        <f t="shared" si="416"/>
        <v>10.92586989019213</v>
      </c>
      <c r="U367" s="1044">
        <f t="shared" si="416"/>
        <v>4.4530745648701853</v>
      </c>
      <c r="V367" s="1044">
        <f t="shared" si="416"/>
        <v>1.3192095548344218</v>
      </c>
      <c r="W367" s="1044">
        <f t="shared" si="416"/>
        <v>4.130270604337194</v>
      </c>
      <c r="X367" s="1044">
        <f t="shared" si="416"/>
        <v>3.1000000000005024</v>
      </c>
      <c r="Y367" s="1044">
        <f t="shared" si="416"/>
        <v>0.99999999999949019</v>
      </c>
      <c r="Z367" s="1044">
        <f t="shared" ref="Z367:AC368" si="418">(Z362/Y362-1)*100</f>
        <v>0.10378991446344799</v>
      </c>
      <c r="AA367" s="1044">
        <f t="shared" si="418"/>
        <v>-0.8841084346517758</v>
      </c>
      <c r="AB367" s="1044">
        <f t="shared" si="418"/>
        <v>0.90552155371714793</v>
      </c>
      <c r="AC367" s="1413">
        <f ca="1">OFFSET('VVP1'!$I$42,0,5*(COLUMN()-7))</f>
        <v>3.7189943820576019</v>
      </c>
      <c r="AD367" s="1413">
        <f ca="1">OFFSET('VVP1'!$I$42,0,5*(COLUMN()-7))</f>
        <v>2.8095001688776193</v>
      </c>
      <c r="AE367" s="1413">
        <f ca="1">OFFSET('VVP1'!$I$42,0,5*(COLUMN()-7))</f>
        <v>2.3463849329505422</v>
      </c>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row>
    <row r="368" spans="1:94" s="699" customFormat="1" ht="12.75" customHeight="1">
      <c r="A368" s="1433"/>
      <c r="B368" s="664"/>
      <c r="C368" s="796" t="s">
        <v>401</v>
      </c>
      <c r="D368" s="1096"/>
      <c r="E368" s="1096" t="s">
        <v>1399</v>
      </c>
      <c r="F368" s="1440" t="s">
        <v>599</v>
      </c>
      <c r="G368" s="1096"/>
      <c r="H368" s="1096">
        <f t="shared" si="417"/>
        <v>24.696471147133337</v>
      </c>
      <c r="I368" s="1096">
        <f t="shared" si="417"/>
        <v>10.316048311274994</v>
      </c>
      <c r="J368" s="1096">
        <f t="shared" si="417"/>
        <v>5.3692947146210201</v>
      </c>
      <c r="K368" s="1096">
        <f t="shared" si="417"/>
        <v>1.4434683059157738</v>
      </c>
      <c r="L368" s="1096">
        <f t="shared" si="417"/>
        <v>1.0941831652804934</v>
      </c>
      <c r="M368" s="1096">
        <f t="shared" si="417"/>
        <v>1.5494940180067029</v>
      </c>
      <c r="N368" s="1096">
        <f t="shared" si="417"/>
        <v>0.33575892270378827</v>
      </c>
      <c r="O368" s="1096">
        <f t="shared" si="417"/>
        <v>-1.076549325965892</v>
      </c>
      <c r="P368" s="1096">
        <f t="shared" si="417"/>
        <v>1.1544758511099706</v>
      </c>
      <c r="Q368" s="1096">
        <f t="shared" si="417"/>
        <v>2.6717602675330188</v>
      </c>
      <c r="R368" s="1096">
        <f t="shared" si="416"/>
        <v>3.7567229228487431</v>
      </c>
      <c r="S368" s="1096">
        <f t="shared" si="416"/>
        <v>5.8181493190933242</v>
      </c>
      <c r="T368" s="1096">
        <f t="shared" si="416"/>
        <v>11.091521415525584</v>
      </c>
      <c r="U368" s="1096">
        <f t="shared" si="416"/>
        <v>4.1614794681972489</v>
      </c>
      <c r="V368" s="1096">
        <f t="shared" si="416"/>
        <v>1.1906282502782695</v>
      </c>
      <c r="W368" s="1096">
        <f t="shared" si="416"/>
        <v>4.1240273732993549</v>
      </c>
      <c r="X368" s="1096">
        <f t="shared" si="416"/>
        <v>3.1640472788673879</v>
      </c>
      <c r="Y368" s="1096">
        <f t="shared" si="416"/>
        <v>1.1641863705416533</v>
      </c>
      <c r="Z368" s="1096">
        <f t="shared" si="418"/>
        <v>0.24227137713090929</v>
      </c>
      <c r="AA368" s="1096">
        <f t="shared" si="418"/>
        <v>-0.67705143273386614</v>
      </c>
      <c r="AB368" s="1096">
        <f t="shared" si="418"/>
        <v>0.67833333333300327</v>
      </c>
      <c r="AC368" s="1096">
        <f t="shared" si="418"/>
        <v>3.7181121393222716</v>
      </c>
      <c r="AD368" s="1412">
        <f ca="1">OFFSET('VVP1'!$I$41,0,5*(COLUMN()-7))</f>
        <v>2.8095001688776193</v>
      </c>
      <c r="AE368" s="1412">
        <f ca="1">OFFSET('VVP1'!$I$41,0,5*(COLUMN()-7))</f>
        <v>2.3463849329505422</v>
      </c>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row>
    <row r="369" spans="1:31">
      <c r="Z369" s="3399"/>
      <c r="AB369" s="557"/>
      <c r="AC369" s="557"/>
      <c r="AD369" s="557"/>
      <c r="AE369" s="557"/>
    </row>
    <row r="370" spans="1:31">
      <c r="A370" s="664"/>
      <c r="D370" s="1477"/>
      <c r="E370" s="1511" t="s">
        <v>1935</v>
      </c>
      <c r="F370" s="1512"/>
      <c r="G370" s="817">
        <f>+InputY!$G$3</f>
        <v>1995</v>
      </c>
      <c r="H370" s="817">
        <f>+G370+1</f>
        <v>1996</v>
      </c>
      <c r="I370" s="817">
        <f>+H370+1</f>
        <v>1997</v>
      </c>
      <c r="J370" s="817">
        <f>+I370+1</f>
        <v>1998</v>
      </c>
      <c r="K370" s="817">
        <f t="shared" ref="K370:U370" si="419">+J370+1</f>
        <v>1999</v>
      </c>
      <c r="L370" s="817">
        <f t="shared" si="419"/>
        <v>2000</v>
      </c>
      <c r="M370" s="817">
        <f t="shared" si="419"/>
        <v>2001</v>
      </c>
      <c r="N370" s="817">
        <f t="shared" si="419"/>
        <v>2002</v>
      </c>
      <c r="O370" s="817">
        <f t="shared" si="419"/>
        <v>2003</v>
      </c>
      <c r="P370" s="817">
        <f t="shared" si="419"/>
        <v>2004</v>
      </c>
      <c r="Q370" s="817">
        <f t="shared" si="419"/>
        <v>2005</v>
      </c>
      <c r="R370" s="817">
        <f t="shared" si="419"/>
        <v>2006</v>
      </c>
      <c r="S370" s="817">
        <f>+R370+1</f>
        <v>2007</v>
      </c>
      <c r="T370" s="817">
        <f t="shared" si="419"/>
        <v>2008</v>
      </c>
      <c r="U370" s="817">
        <f t="shared" si="419"/>
        <v>2009</v>
      </c>
      <c r="V370" s="817">
        <f t="shared" ref="V370:AE370" si="420">+U370+1</f>
        <v>2010</v>
      </c>
      <c r="W370" s="817">
        <f t="shared" si="420"/>
        <v>2011</v>
      </c>
      <c r="X370" s="817">
        <f t="shared" si="420"/>
        <v>2012</v>
      </c>
      <c r="Y370" s="817">
        <f t="shared" si="420"/>
        <v>2013</v>
      </c>
      <c r="Z370" s="817">
        <f t="shared" si="420"/>
        <v>2014</v>
      </c>
      <c r="AA370" s="817">
        <f t="shared" si="420"/>
        <v>2015</v>
      </c>
      <c r="AB370" s="817">
        <f t="shared" si="420"/>
        <v>2016</v>
      </c>
      <c r="AC370" s="817">
        <f t="shared" si="420"/>
        <v>2017</v>
      </c>
      <c r="AD370" s="817">
        <f t="shared" si="420"/>
        <v>2018</v>
      </c>
      <c r="AE370" s="817">
        <f t="shared" si="420"/>
        <v>2019</v>
      </c>
    </row>
    <row r="371" spans="1:31">
      <c r="A371" s="664"/>
      <c r="B371" s="665">
        <v>161</v>
      </c>
      <c r="C371" s="1479"/>
      <c r="D371" s="23"/>
      <c r="E371" s="23" t="s">
        <v>435</v>
      </c>
      <c r="F371" s="1494"/>
      <c r="G371" s="1905"/>
      <c r="H371" s="1905">
        <f ca="1">OFFSET('Q1'!$F303,0,4*(COLUMN()-6))</f>
        <v>201.94000000000003</v>
      </c>
      <c r="I371" s="1905">
        <f ca="1">OFFSET('Q1'!$F303,0,4*(COLUMN()-6))</f>
        <v>206.91000000000003</v>
      </c>
      <c r="J371" s="1905">
        <f ca="1">OFFSET('Q1'!$F303,0,4*(COLUMN()-6))</f>
        <v>202.31</v>
      </c>
      <c r="K371" s="1905">
        <f ca="1">OFFSET('Q1'!$F303,0,4*(COLUMN()-6))</f>
        <v>253.32</v>
      </c>
      <c r="L371" s="1905">
        <f ca="1">OFFSET('Q1'!$F303,0,4*(COLUMN()-6))</f>
        <v>256.58999999999997</v>
      </c>
      <c r="M371" s="1905">
        <f ca="1">OFFSET('Q1'!$F303,0,4*(COLUMN()-6))</f>
        <v>233.14</v>
      </c>
      <c r="N371" s="1905">
        <f ca="1">OFFSET('Q1'!$F303,0,4*(COLUMN()-6))</f>
        <v>246.14000000000001</v>
      </c>
      <c r="O371" s="1905">
        <f ca="1">OFFSET('Q1'!$F303,0,4*(COLUMN()-6))</f>
        <v>244.02</v>
      </c>
      <c r="P371" s="1905">
        <f ca="1">OFFSET('Q1'!$F303,0,4*(COLUMN()-6))</f>
        <v>257.04000000000002</v>
      </c>
      <c r="Q371" s="1905">
        <f ca="1">OFFSET('Q1'!$F303,0,4*(COLUMN()-6))</f>
        <v>271.23</v>
      </c>
      <c r="R371" s="1905">
        <f ca="1">OFFSET('Q1'!$F303,0,4*(COLUMN()-6))</f>
        <v>271.83999999999997</v>
      </c>
      <c r="S371" s="1905">
        <f ca="1">OFFSET('Q1'!$F303,0,4*(COLUMN()-6))</f>
        <v>287.05</v>
      </c>
      <c r="T371" s="1905">
        <f ca="1">OFFSET('Q1'!$F303,0,4*(COLUMN()-6))</f>
        <v>289.37</v>
      </c>
      <c r="U371" s="1905">
        <f ca="1">OFFSET('Q1'!$F303,0,4*(COLUMN()-6))</f>
        <v>292.51</v>
      </c>
      <c r="V371" s="1905">
        <f ca="1">OFFSET('Q1'!$F303,0,4*(COLUMN()-6))</f>
        <v>266.68</v>
      </c>
      <c r="W371" s="1905">
        <f ca="1">OFFSET('Q1'!$F303,0,4*(COLUMN()-6))</f>
        <v>252.33000000000004</v>
      </c>
      <c r="X371" s="1905">
        <f ca="1">OFFSET('Q1'!$F303,0,4*(COLUMN()-6))</f>
        <v>243.38</v>
      </c>
      <c r="Y371" s="1905">
        <f ca="1">OFFSET('Q1'!$F303,0,4*(COLUMN()-6))</f>
        <v>238.83000000000004</v>
      </c>
      <c r="Z371" s="1905">
        <f ca="1">OFFSET('Q1'!$F303,0,4*(COLUMN()-6))</f>
        <v>300.89999999999998</v>
      </c>
      <c r="AA371" s="1905">
        <f ca="1">OFFSET('Q1'!$F303,0,4*(COLUMN()-6))</f>
        <v>321.58999999999997</v>
      </c>
      <c r="AB371" s="1905">
        <f ca="1">OFFSET('Q1'!$F303,0,4*(COLUMN()-6))</f>
        <v>336.99</v>
      </c>
      <c r="AC371" s="1905">
        <f ca="1">OFFSET('Q1'!$F303,0,4*(COLUMN()-6))</f>
        <v>324.63</v>
      </c>
      <c r="AD371" s="1905">
        <f ca="1">OFFSET('Q1'!$F303,0,4*(COLUMN()-6))</f>
        <v>324.63</v>
      </c>
      <c r="AE371" s="1905">
        <f ca="1">OFFSET('Q1'!$F303,0,4*(COLUMN()-6))</f>
        <v>324.63</v>
      </c>
    </row>
    <row r="372" spans="1:31">
      <c r="A372" s="664"/>
      <c r="B372" s="665">
        <v>162</v>
      </c>
      <c r="C372" s="1480"/>
      <c r="D372" s="1"/>
      <c r="E372" s="1" t="s">
        <v>436</v>
      </c>
      <c r="F372" s="1481"/>
      <c r="G372" s="1062"/>
      <c r="H372" s="1062">
        <f ca="1">OFFSET('Q1'!$F304,0,4*(COLUMN()-6))</f>
        <v>116.59</v>
      </c>
      <c r="I372" s="1062">
        <f ca="1">OFFSET('Q1'!$F304,0,4*(COLUMN()-6))</f>
        <v>144.16999999999999</v>
      </c>
      <c r="J372" s="1062">
        <f ca="1">OFFSET('Q1'!$F304,0,4*(COLUMN()-6))</f>
        <v>162.15</v>
      </c>
      <c r="K372" s="1062">
        <f ca="1">OFFSET('Q1'!$F304,0,4*(COLUMN()-6))</f>
        <v>131.61000000000001</v>
      </c>
      <c r="L372" s="1062">
        <f ca="1">OFFSET('Q1'!$F304,0,4*(COLUMN()-6))</f>
        <v>150.61000000000001</v>
      </c>
      <c r="M372" s="1062">
        <f ca="1">OFFSET('Q1'!$F304,0,4*(COLUMN()-6))</f>
        <v>156.51</v>
      </c>
      <c r="N372" s="1062">
        <f ca="1">OFFSET('Q1'!$F304,0,4*(COLUMN()-6))</f>
        <v>130.04</v>
      </c>
      <c r="O372" s="1062">
        <f ca="1">OFFSET('Q1'!$F304,0,4*(COLUMN()-6))</f>
        <v>144.53</v>
      </c>
      <c r="P372" s="1062">
        <f ca="1">OFFSET('Q1'!$F304,0,4*(COLUMN()-6))</f>
        <v>139.24</v>
      </c>
      <c r="Q372" s="1062">
        <f ca="1">OFFSET('Q1'!$F304,0,4*(COLUMN()-6))</f>
        <v>130.71</v>
      </c>
      <c r="R372" s="1062">
        <f ca="1">OFFSET('Q1'!$F304,0,4*(COLUMN()-6))</f>
        <v>131.59</v>
      </c>
      <c r="S372" s="1062">
        <f ca="1">OFFSET('Q1'!$F304,0,4*(COLUMN()-6))</f>
        <v>133.38</v>
      </c>
      <c r="T372" s="1062">
        <f ca="1">OFFSET('Q1'!$F304,0,4*(COLUMN()-6))</f>
        <v>133.54</v>
      </c>
      <c r="U372" s="1062">
        <f ca="1">OFFSET('Q1'!$F304,0,4*(COLUMN()-6))</f>
        <v>125.36000000000001</v>
      </c>
      <c r="V372" s="1062">
        <f ca="1">OFFSET('Q1'!$F304,0,4*(COLUMN()-6))</f>
        <v>136.25</v>
      </c>
      <c r="W372" s="1062">
        <f ca="1">OFFSET('Q1'!$F304,0,4*(COLUMN()-6))</f>
        <v>153.46</v>
      </c>
      <c r="X372" s="1062">
        <f ca="1">OFFSET('Q1'!$F304,0,4*(COLUMN()-6))</f>
        <v>163.93</v>
      </c>
      <c r="Y372" s="1062">
        <f ca="1">OFFSET('Q1'!$F304,0,4*(COLUMN()-6))</f>
        <v>168.38</v>
      </c>
      <c r="Z372" s="1062">
        <f ca="1">OFFSET('Q1'!$F304,0,4*(COLUMN()-6))</f>
        <v>142.51</v>
      </c>
      <c r="AA372" s="1062">
        <f ca="1">OFFSET('Q1'!$F304,0,4*(COLUMN()-6))</f>
        <v>136.01</v>
      </c>
      <c r="AB372" s="1062">
        <f ca="1">OFFSET('Q1'!$F304,0,4*(COLUMN()-6))</f>
        <v>117.86</v>
      </c>
      <c r="AC372" s="1062">
        <f ca="1">OFFSET('Q1'!$F304,0,4*(COLUMN()-6))</f>
        <v>120.19</v>
      </c>
      <c r="AD372" s="1062">
        <f ca="1">OFFSET('Q1'!$F304,0,4*(COLUMN()-6))</f>
        <v>120.19</v>
      </c>
      <c r="AE372" s="1062">
        <f ca="1">OFFSET('Q1'!$F304,0,4*(COLUMN()-6))</f>
        <v>120.19</v>
      </c>
    </row>
    <row r="373" spans="1:31">
      <c r="A373" s="664"/>
      <c r="B373" s="665">
        <v>164</v>
      </c>
      <c r="C373" s="1480"/>
      <c r="D373" s="1"/>
      <c r="E373" s="1" t="s">
        <v>1239</v>
      </c>
      <c r="F373" s="3"/>
      <c r="G373" s="1062"/>
      <c r="H373" s="1062">
        <f ca="1">OFFSET('Q1'!$F305,0,4*(COLUMN()-6))</f>
        <v>248.77000000000004</v>
      </c>
      <c r="I373" s="1062">
        <f ca="1">OFFSET('Q1'!$F305,0,4*(COLUMN()-6))</f>
        <v>192.56</v>
      </c>
      <c r="J373" s="1062">
        <f ca="1">OFFSET('Q1'!$F305,0,4*(COLUMN()-6))</f>
        <v>180.19000000000003</v>
      </c>
      <c r="K373" s="1062">
        <f ca="1">OFFSET('Q1'!$F305,0,4*(COLUMN()-6))</f>
        <v>174.74</v>
      </c>
      <c r="L373" s="1062">
        <f ca="1">OFFSET('Q1'!$F305,0,4*(COLUMN()-6))</f>
        <v>165.14</v>
      </c>
      <c r="M373" s="1062">
        <f ca="1">OFFSET('Q1'!$F305,0,4*(COLUMN()-6))</f>
        <v>163.66</v>
      </c>
      <c r="N373" s="1062">
        <f ca="1">OFFSET('Q1'!$F305,0,4*(COLUMN()-6))</f>
        <v>152.71</v>
      </c>
      <c r="O373" s="1062">
        <f ca="1">OFFSET('Q1'!$F305,0,4*(COLUMN()-6))</f>
        <v>130.96</v>
      </c>
      <c r="P373" s="1062">
        <f ca="1">OFFSET('Q1'!$F305,0,4*(COLUMN()-6))</f>
        <v>121.5</v>
      </c>
      <c r="Q373" s="1062">
        <f ca="1">OFFSET('Q1'!$F305,0,4*(COLUMN()-6))</f>
        <v>120.35</v>
      </c>
      <c r="R373" s="1062">
        <f ca="1">OFFSET('Q1'!$F305,0,4*(COLUMN()-6))</f>
        <v>120.72000000000001</v>
      </c>
      <c r="S373" s="1062">
        <f ca="1">OFFSET('Q1'!$F305,0,4*(COLUMN()-6))</f>
        <v>112.88</v>
      </c>
      <c r="T373" s="1062">
        <f ca="1">OFFSET('Q1'!$F305,0,4*(COLUMN()-6))</f>
        <v>110.28</v>
      </c>
      <c r="U373" s="1062">
        <f ca="1">OFFSET('Q1'!$F305,0,4*(COLUMN()-6))</f>
        <v>115.75000000000001</v>
      </c>
      <c r="V373" s="1062">
        <f ca="1">OFFSET('Q1'!$F305,0,4*(COLUMN()-6))</f>
        <v>113.57</v>
      </c>
      <c r="W373" s="1062">
        <f ca="1">OFFSET('Q1'!$F305,0,4*(COLUMN()-6))</f>
        <v>114.47000000000001</v>
      </c>
      <c r="X373" s="1062">
        <f ca="1">OFFSET('Q1'!$F305,0,4*(COLUMN()-6))</f>
        <v>111.19</v>
      </c>
      <c r="Y373" s="1062">
        <f ca="1">OFFSET('Q1'!$F305,0,4*(COLUMN()-6))</f>
        <v>111.46000000000001</v>
      </c>
      <c r="Z373" s="1062">
        <f ca="1">OFFSET('Q1'!$F305,0,4*(COLUMN()-6))</f>
        <v>102.8</v>
      </c>
      <c r="AA373" s="1062">
        <f ca="1">OFFSET('Q1'!$F305,0,4*(COLUMN()-6))</f>
        <v>95.36</v>
      </c>
      <c r="AB373" s="1062">
        <f ca="1">OFFSET('Q1'!$F305,0,4*(COLUMN()-6))</f>
        <v>92.19</v>
      </c>
      <c r="AC373" s="1062">
        <f ca="1">OFFSET('Q1'!$F305,0,4*(COLUMN()-6))</f>
        <v>80.97</v>
      </c>
      <c r="AD373" s="1062">
        <f ca="1">OFFSET('Q1'!$F305,0,4*(COLUMN()-6))</f>
        <v>80.97</v>
      </c>
      <c r="AE373" s="1062">
        <f ca="1">OFFSET('Q1'!$F305,0,4*(COLUMN()-6))</f>
        <v>80.97</v>
      </c>
    </row>
    <row r="374" spans="1:31">
      <c r="A374" s="664"/>
      <c r="B374" s="665">
        <v>163</v>
      </c>
      <c r="C374" s="1480"/>
      <c r="D374" s="1"/>
      <c r="E374" s="1" t="s">
        <v>1238</v>
      </c>
      <c r="F374" s="1481"/>
      <c r="G374" s="1062"/>
      <c r="H374" s="1062">
        <f ca="1">OFFSET('Q1'!$F306,0,4*(COLUMN()-6))</f>
        <v>329.58</v>
      </c>
      <c r="I374" s="1062">
        <f ca="1">OFFSET('Q1'!$F306,0,4*(COLUMN()-6))</f>
        <v>328.30000000000007</v>
      </c>
      <c r="J374" s="1062">
        <f ca="1">OFFSET('Q1'!$F306,0,4*(COLUMN()-6))</f>
        <v>321.64</v>
      </c>
      <c r="K374" s="1062">
        <f ca="1">OFFSET('Q1'!$F306,0,4*(COLUMN()-6))</f>
        <v>294.95</v>
      </c>
      <c r="L374" s="1062">
        <f ca="1">OFFSET('Q1'!$F306,0,4*(COLUMN()-6))</f>
        <v>274.73</v>
      </c>
      <c r="M374" s="1062">
        <f ca="1">OFFSET('Q1'!$F306,0,4*(COLUMN()-6))</f>
        <v>276.14999999999998</v>
      </c>
      <c r="N374" s="1062">
        <f ca="1">OFFSET('Q1'!$F306,0,4*(COLUMN()-6))</f>
        <v>261.55</v>
      </c>
      <c r="O374" s="1062">
        <f ca="1">OFFSET('Q1'!$F306,0,4*(COLUMN()-6))</f>
        <v>258.43000000000006</v>
      </c>
      <c r="P374" s="1062">
        <f ca="1">OFFSET('Q1'!$F306,0,4*(COLUMN()-6))</f>
        <v>251.84</v>
      </c>
      <c r="Q374" s="1062">
        <f ca="1">OFFSET('Q1'!$F306,0,4*(COLUMN()-6))</f>
        <v>236.39</v>
      </c>
      <c r="R374" s="1062">
        <f ca="1">OFFSET('Q1'!$F306,0,4*(COLUMN()-6))</f>
        <v>224.20000000000002</v>
      </c>
      <c r="S374" s="1062">
        <f ca="1">OFFSET('Q1'!$F306,0,4*(COLUMN()-6))</f>
        <v>221.72</v>
      </c>
      <c r="T374" s="1062">
        <f ca="1">OFFSET('Q1'!$F306,0,4*(COLUMN()-6))</f>
        <v>215.87000000000003</v>
      </c>
      <c r="U374" s="1062">
        <f ca="1">OFFSET('Q1'!$F306,0,4*(COLUMN()-6))</f>
        <v>213.01000000000002</v>
      </c>
      <c r="V374" s="1062">
        <f ca="1">OFFSET('Q1'!$F306,0,4*(COLUMN()-6))</f>
        <v>223.05000000000004</v>
      </c>
      <c r="W374" s="1062">
        <f ca="1">OFFSET('Q1'!$F306,0,4*(COLUMN()-6))</f>
        <v>232.45000000000002</v>
      </c>
      <c r="X374" s="1062">
        <f ca="1">OFFSET('Q1'!$F306,0,4*(COLUMN()-6))</f>
        <v>233.29000000000002</v>
      </c>
      <c r="Y374" s="1062">
        <f ca="1">OFFSET('Q1'!$F306,0,4*(COLUMN()-6))</f>
        <v>230.58000000000004</v>
      </c>
      <c r="Z374" s="1062">
        <f ca="1">OFFSET('Q1'!$F306,0,4*(COLUMN()-6))</f>
        <v>219.69</v>
      </c>
      <c r="AA374" s="1062">
        <f ca="1">OFFSET('Q1'!$F306,0,4*(COLUMN()-6))</f>
        <v>206.54</v>
      </c>
      <c r="AB374" s="1062">
        <f ca="1">OFFSET('Q1'!$F306,0,4*(COLUMN()-6))</f>
        <v>208.15</v>
      </c>
      <c r="AC374" s="1062">
        <f ca="1">OFFSET('Q1'!$F306,0,4*(COLUMN()-6))</f>
        <v>209.09</v>
      </c>
      <c r="AD374" s="1062">
        <f ca="1">OFFSET('Q1'!$F306,0,4*(COLUMN()-6))</f>
        <v>209.09</v>
      </c>
      <c r="AE374" s="1062">
        <f ca="1">OFFSET('Q1'!$F306,0,4*(COLUMN()-6))</f>
        <v>209.09</v>
      </c>
    </row>
    <row r="375" spans="1:31">
      <c r="A375" s="664"/>
      <c r="B375" s="665">
        <v>165</v>
      </c>
      <c r="C375" s="1484"/>
      <c r="D375" s="113"/>
      <c r="E375" s="113" t="s">
        <v>1240</v>
      </c>
      <c r="F375" s="1482"/>
      <c r="G375" s="1514"/>
      <c r="H375" s="1514">
        <f ca="1">OFFSET('Q1'!$F307,0,4*(COLUMN()-6))</f>
        <v>103.13000000000001</v>
      </c>
      <c r="I375" s="1514">
        <f ca="1">OFFSET('Q1'!$F307,0,4*(COLUMN()-6))</f>
        <v>128.07</v>
      </c>
      <c r="J375" s="1514">
        <f ca="1">OFFSET('Q1'!$F307,0,4*(COLUMN()-6))</f>
        <v>133.72</v>
      </c>
      <c r="K375" s="1514">
        <f ca="1">OFFSET('Q1'!$F307,0,4*(COLUMN()-6))</f>
        <v>145.38999999999999</v>
      </c>
      <c r="L375" s="1514">
        <f ca="1">OFFSET('Q1'!$F307,0,4*(COLUMN()-6))</f>
        <v>152.91999999999999</v>
      </c>
      <c r="M375" s="1514">
        <f ca="1">OFFSET('Q1'!$F307,0,4*(COLUMN()-6))</f>
        <v>170.54</v>
      </c>
      <c r="N375" s="1514">
        <f ca="1">OFFSET('Q1'!$F307,0,4*(COLUMN()-6))</f>
        <v>209.57</v>
      </c>
      <c r="O375" s="1514">
        <f ca="1">OFFSET('Q1'!$F307,0,4*(COLUMN()-6))</f>
        <v>222.06000000000003</v>
      </c>
      <c r="P375" s="1514">
        <f ca="1">OFFSET('Q1'!$F307,0,4*(COLUMN()-6))</f>
        <v>230.37000000000003</v>
      </c>
      <c r="Q375" s="1514">
        <f ca="1">OFFSET('Q1'!$F307,0,4*(COLUMN()-6))</f>
        <v>241.33000000000004</v>
      </c>
      <c r="R375" s="1514">
        <f ca="1">OFFSET('Q1'!$F307,0,4*(COLUMN()-6))</f>
        <v>251.66</v>
      </c>
      <c r="S375" s="1514">
        <f ca="1">OFFSET('Q1'!$F307,0,4*(COLUMN()-6))</f>
        <v>244.97</v>
      </c>
      <c r="T375" s="1514">
        <f ca="1">OFFSET('Q1'!$F307,0,4*(COLUMN()-6))</f>
        <v>250.94</v>
      </c>
      <c r="U375" s="1514">
        <f ca="1">OFFSET('Q1'!$F307,0,4*(COLUMN()-6))</f>
        <v>253.37000000000003</v>
      </c>
      <c r="V375" s="1514">
        <f ca="1">OFFSET('Q1'!$F307,0,4*(COLUMN()-6))</f>
        <v>260.44</v>
      </c>
      <c r="W375" s="1514">
        <f ca="1">OFFSET('Q1'!$F307,0,4*(COLUMN()-6))</f>
        <v>247.30000000000004</v>
      </c>
      <c r="X375" s="1514">
        <f ca="1">OFFSET('Q1'!$F307,0,4*(COLUMN()-6))</f>
        <v>248.21</v>
      </c>
      <c r="Y375" s="1514">
        <f ca="1">OFFSET('Q1'!$F307,0,4*(COLUMN()-6))</f>
        <v>250.74</v>
      </c>
      <c r="Z375" s="1514">
        <f ca="1">OFFSET('Q1'!$F307,0,4*(COLUMN()-6))</f>
        <v>234.10000000000002</v>
      </c>
      <c r="AA375" s="1514">
        <f ca="1">OFFSET('Q1'!$F307,0,4*(COLUMN()-6))</f>
        <v>240.50000000000009</v>
      </c>
      <c r="AB375" s="1514">
        <f ca="1">OFFSET('Q1'!$F307,0,4*(COLUMN()-6))</f>
        <v>244.80999999999997</v>
      </c>
      <c r="AC375" s="1514">
        <f ca="1">OFFSET('Q1'!$F307,0,4*(COLUMN()-6))</f>
        <v>265.12</v>
      </c>
      <c r="AD375" s="1514">
        <f ca="1">OFFSET('Q1'!$F307,0,4*(COLUMN()-6))</f>
        <v>265.12</v>
      </c>
      <c r="AE375" s="1514">
        <f ca="1">OFFSET('Q1'!$F307,0,4*(COLUMN()-6))</f>
        <v>265.12</v>
      </c>
    </row>
    <row r="376" spans="1:31">
      <c r="AB376" s="557"/>
      <c r="AC376" s="557"/>
      <c r="AD376" s="557"/>
      <c r="AE376" s="557"/>
    </row>
    <row r="377" spans="1:31">
      <c r="A377" s="664"/>
      <c r="D377" s="1477"/>
      <c r="E377" s="1511" t="s">
        <v>352</v>
      </c>
      <c r="F377" s="1512"/>
      <c r="G377" s="817">
        <f>+InputY!$G$3</f>
        <v>1995</v>
      </c>
      <c r="H377" s="817">
        <f>+G377+1</f>
        <v>1996</v>
      </c>
      <c r="I377" s="817">
        <f>+H377+1</f>
        <v>1997</v>
      </c>
      <c r="J377" s="817">
        <f>+I377+1</f>
        <v>1998</v>
      </c>
      <c r="K377" s="817">
        <f t="shared" ref="K377:U377" si="421">+J377+1</f>
        <v>1999</v>
      </c>
      <c r="L377" s="817">
        <f t="shared" si="421"/>
        <v>2000</v>
      </c>
      <c r="M377" s="817">
        <f t="shared" si="421"/>
        <v>2001</v>
      </c>
      <c r="N377" s="817">
        <f t="shared" si="421"/>
        <v>2002</v>
      </c>
      <c r="O377" s="817">
        <f t="shared" si="421"/>
        <v>2003</v>
      </c>
      <c r="P377" s="817">
        <f t="shared" si="421"/>
        <v>2004</v>
      </c>
      <c r="Q377" s="817">
        <f t="shared" si="421"/>
        <v>2005</v>
      </c>
      <c r="R377" s="817">
        <f t="shared" si="421"/>
        <v>2006</v>
      </c>
      <c r="S377" s="817">
        <f>+R377+1</f>
        <v>2007</v>
      </c>
      <c r="T377" s="817">
        <f t="shared" si="421"/>
        <v>2008</v>
      </c>
      <c r="U377" s="817">
        <f t="shared" si="421"/>
        <v>2009</v>
      </c>
      <c r="V377" s="817">
        <f t="shared" ref="V377:AE377" si="422">+U377+1</f>
        <v>2010</v>
      </c>
      <c r="W377" s="817">
        <f t="shared" si="422"/>
        <v>2011</v>
      </c>
      <c r="X377" s="817">
        <f t="shared" si="422"/>
        <v>2012</v>
      </c>
      <c r="Y377" s="817">
        <f t="shared" si="422"/>
        <v>2013</v>
      </c>
      <c r="Z377" s="817">
        <f t="shared" si="422"/>
        <v>2014</v>
      </c>
      <c r="AA377" s="817">
        <f t="shared" si="422"/>
        <v>2015</v>
      </c>
      <c r="AB377" s="817">
        <f t="shared" si="422"/>
        <v>2016</v>
      </c>
      <c r="AC377" s="817">
        <f t="shared" si="422"/>
        <v>2017</v>
      </c>
      <c r="AD377" s="817">
        <f t="shared" si="422"/>
        <v>2018</v>
      </c>
      <c r="AE377" s="817">
        <f t="shared" si="422"/>
        <v>2019</v>
      </c>
    </row>
    <row r="378" spans="1:31">
      <c r="A378" s="664"/>
      <c r="B378" s="665">
        <v>172</v>
      </c>
      <c r="C378" s="1479"/>
      <c r="D378" s="23"/>
      <c r="E378" s="23" t="s">
        <v>435</v>
      </c>
      <c r="F378" s="1494"/>
      <c r="G378" s="1905"/>
      <c r="H378" s="1905">
        <f ca="1">OFFSET('Q1'!$F290,0,4*(COLUMN()-6))</f>
        <v>92.647499999999994</v>
      </c>
      <c r="I378" s="1905">
        <f ca="1">OFFSET('Q1'!$F290,0,4*(COLUMN()-6))</f>
        <v>100.49166666666667</v>
      </c>
      <c r="J378" s="1905">
        <f ca="1">OFFSET('Q1'!$F290,0,4*(COLUMN()-6))</f>
        <v>105.71583333333334</v>
      </c>
      <c r="K378" s="1905">
        <f ca="1">OFFSET('Q1'!$F290,0,4*(COLUMN()-6))</f>
        <v>107.93</v>
      </c>
      <c r="L378" s="1905">
        <f ca="1">OFFSET('Q1'!$F290,0,4*(COLUMN()-6))</f>
        <v>105.96999999999998</v>
      </c>
      <c r="M378" s="1905">
        <f ca="1">OFFSET('Q1'!$F290,0,4*(COLUMN()-6))</f>
        <v>103.17249999999999</v>
      </c>
      <c r="N378" s="1905">
        <f ca="1">OFFSET('Q1'!$F290,0,4*(COLUMN()-6))</f>
        <v>101.37833333333334</v>
      </c>
      <c r="O378" s="1905">
        <f ca="1">OFFSET('Q1'!$F290,0,4*(COLUMN()-6))</f>
        <v>99.831666666666649</v>
      </c>
      <c r="P378" s="1905">
        <f ca="1">OFFSET('Q1'!$F290,0,4*(COLUMN()-6))</f>
        <v>99.630833333333342</v>
      </c>
      <c r="Q378" s="1905">
        <f ca="1">OFFSET('Q1'!$F290,0,4*(COLUMN()-6))</f>
        <v>98.982500000000016</v>
      </c>
      <c r="R378" s="1905">
        <f ca="1">OFFSET('Q1'!$F290,0,4*(COLUMN()-6))</f>
        <v>98.850833333333341</v>
      </c>
      <c r="S378" s="1905">
        <f ca="1">OFFSET('Q1'!$F290,0,4*(COLUMN()-6))</f>
        <v>98.637499999999989</v>
      </c>
      <c r="T378" s="1905">
        <f ca="1">OFFSET('Q1'!$F290,0,4*(COLUMN()-6))</f>
        <v>100.42916666666666</v>
      </c>
      <c r="U378" s="1905">
        <f ca="1">OFFSET('Q1'!$F290,0,4*(COLUMN()-6))</f>
        <v>100.66833333333334</v>
      </c>
      <c r="V378" s="1905">
        <f ca="1">OFFSET('Q1'!$F290,0,4*(COLUMN()-6))</f>
        <v>97.775833333333338</v>
      </c>
      <c r="W378" s="1905">
        <f ca="1">OFFSET('Q1'!$F290,0,4*(COLUMN()-6))</f>
        <v>97.137499999999989</v>
      </c>
      <c r="X378" s="1905">
        <f ca="1">OFFSET('Q1'!$F290,0,4*(COLUMN()-6))</f>
        <v>98.225000000000009</v>
      </c>
      <c r="Y378" s="1905">
        <f ca="1">OFFSET('Q1'!$F290,0,4*(COLUMN()-6))</f>
        <v>99.164166666666659</v>
      </c>
      <c r="Z378" s="1905">
        <f ca="1">OFFSET('Q1'!$F290,0,4*(COLUMN()-6))</f>
        <v>99.24</v>
      </c>
      <c r="AA378" s="1905">
        <f ca="1">OFFSET('Q1'!$F290,0,4*(COLUMN()-6))</f>
        <v>100</v>
      </c>
      <c r="AB378" s="1905">
        <f ca="1">OFFSET('Q1'!$F290,0,4*(COLUMN()-6))</f>
        <v>100.68666666666667</v>
      </c>
      <c r="AC378" s="1905">
        <f ca="1">OFFSET('Q1'!$F290,0,4*(COLUMN()-6))</f>
        <v>101.41083333333333</v>
      </c>
      <c r="AD378" s="1905">
        <f ca="1">OFFSET('Q1'!$F290,0,4*(COLUMN()-6))</f>
        <v>102.20236517779105</v>
      </c>
      <c r="AE378" s="1905">
        <f ca="1">OFFSET('Q1'!$F290,0,4*(COLUMN()-6))</f>
        <v>103.25423650859683</v>
      </c>
    </row>
    <row r="379" spans="1:31">
      <c r="A379" s="664"/>
      <c r="B379" s="665">
        <v>173</v>
      </c>
      <c r="C379" s="1480"/>
      <c r="D379" s="1"/>
      <c r="E379" s="1" t="s">
        <v>436</v>
      </c>
      <c r="F379" s="1481"/>
      <c r="G379" s="1062"/>
      <c r="H379" s="1062">
        <f ca="1">OFFSET('Q1'!$F291,0,4*(COLUMN()-6))</f>
        <v>31.152499999999996</v>
      </c>
      <c r="I379" s="1062">
        <f ca="1">OFFSET('Q1'!$F291,0,4*(COLUMN()-6))</f>
        <v>37.234999999999999</v>
      </c>
      <c r="J379" s="1062">
        <f ca="1">OFFSET('Q1'!$F291,0,4*(COLUMN()-6))</f>
        <v>42.76</v>
      </c>
      <c r="K379" s="1062">
        <f ca="1">OFFSET('Q1'!$F291,0,4*(COLUMN()-6))</f>
        <v>46.583333333333336</v>
      </c>
      <c r="L379" s="1062">
        <f ca="1">OFFSET('Q1'!$F291,0,4*(COLUMN()-6))</f>
        <v>54.626666666666672</v>
      </c>
      <c r="M379" s="1062">
        <f ca="1">OFFSET('Q1'!$F291,0,4*(COLUMN()-6))</f>
        <v>54.610833333333332</v>
      </c>
      <c r="N379" s="1062">
        <f ca="1">OFFSET('Q1'!$F291,0,4*(COLUMN()-6))</f>
        <v>55.532499999999999</v>
      </c>
      <c r="O379" s="1062">
        <f ca="1">OFFSET('Q1'!$F291,0,4*(COLUMN()-6))</f>
        <v>56.129999999999995</v>
      </c>
      <c r="P379" s="1062">
        <f ca="1">OFFSET('Q1'!$F291,0,4*(COLUMN()-6))</f>
        <v>57.662500000000001</v>
      </c>
      <c r="Q379" s="1062">
        <f ca="1">OFFSET('Q1'!$F291,0,4*(COLUMN()-6))</f>
        <v>61.830833333333338</v>
      </c>
      <c r="R379" s="1062">
        <f ca="1">OFFSET('Q1'!$F291,0,4*(COLUMN()-6))</f>
        <v>66.524166666666659</v>
      </c>
      <c r="S379" s="1062">
        <f ca="1">OFFSET('Q1'!$F291,0,4*(COLUMN()-6))</f>
        <v>71.067499999999995</v>
      </c>
      <c r="T379" s="1062">
        <f ca="1">OFFSET('Q1'!$F291,0,4*(COLUMN()-6))</f>
        <v>83.804999999999993</v>
      </c>
      <c r="U379" s="1062">
        <f ca="1">OFFSET('Q1'!$F291,0,4*(COLUMN()-6))</f>
        <v>90.648333333333326</v>
      </c>
      <c r="V379" s="1062">
        <f ca="1">OFFSET('Q1'!$F291,0,4*(COLUMN()-6))</f>
        <v>100.07666666666665</v>
      </c>
      <c r="W379" s="1062">
        <f ca="1">OFFSET('Q1'!$F291,0,4*(COLUMN()-6))</f>
        <v>112.12833333333333</v>
      </c>
      <c r="X379" s="1062">
        <f ca="1">OFFSET('Q1'!$F291,0,4*(COLUMN()-6))</f>
        <v>119.5925</v>
      </c>
      <c r="Y379" s="1062">
        <f ca="1">OFFSET('Q1'!$F291,0,4*(COLUMN()-6))</f>
        <v>118.10416666666667</v>
      </c>
      <c r="Z379" s="1062">
        <f ca="1">OFFSET('Q1'!$F291,0,4*(COLUMN()-6))</f>
        <v>113.42666666666666</v>
      </c>
      <c r="AA379" s="1062">
        <f ca="1">OFFSET('Q1'!$F291,0,4*(COLUMN()-6))</f>
        <v>99.999166666666667</v>
      </c>
      <c r="AB379" s="1062">
        <f ca="1">OFFSET('Q1'!$F291,0,4*(COLUMN()-6))</f>
        <v>92.814999999999998</v>
      </c>
      <c r="AC379" s="1062">
        <f ca="1">OFFSET('Q1'!$F291,0,4*(COLUMN()-6))</f>
        <v>97.161666666666676</v>
      </c>
      <c r="AD379" s="1062">
        <f ca="1">OFFSET('Q1'!$F291,0,4*(COLUMN()-6))</f>
        <v>102.56256044002525</v>
      </c>
      <c r="AE379" s="1062">
        <f ca="1">OFFSET('Q1'!$F291,0,4*(COLUMN()-6))</f>
        <v>103.7678881637022</v>
      </c>
    </row>
    <row r="380" spans="1:31">
      <c r="A380" s="664"/>
      <c r="B380" s="665">
        <v>175</v>
      </c>
      <c r="C380" s="1480"/>
      <c r="D380" s="1"/>
      <c r="E380" s="1" t="s">
        <v>1239</v>
      </c>
      <c r="F380" s="3"/>
      <c r="G380" s="1062"/>
      <c r="H380" s="1062">
        <f ca="1">OFFSET('Q1'!$F292,0,4*(COLUMN()-6))</f>
        <v>65.643333333333331</v>
      </c>
      <c r="I380" s="1062">
        <f ca="1">OFFSET('Q1'!$F292,0,4*(COLUMN()-6))</f>
        <v>68.896666666666661</v>
      </c>
      <c r="J380" s="1062">
        <f ca="1">OFFSET('Q1'!$F292,0,4*(COLUMN()-6))</f>
        <v>69.525833333333324</v>
      </c>
      <c r="K380" s="1062">
        <f ca="1">OFFSET('Q1'!$F292,0,4*(COLUMN()-6))</f>
        <v>65.62166666666667</v>
      </c>
      <c r="L380" s="1062">
        <f ca="1">OFFSET('Q1'!$F292,0,4*(COLUMN()-6))</f>
        <v>63.368333333333332</v>
      </c>
      <c r="M380" s="1062">
        <f ca="1">OFFSET('Q1'!$F292,0,4*(COLUMN()-6))</f>
        <v>69.052500000000009</v>
      </c>
      <c r="N380" s="1062">
        <f ca="1">OFFSET('Q1'!$F292,0,4*(COLUMN()-6))</f>
        <v>67.540833333333339</v>
      </c>
      <c r="O380" s="1062">
        <f ca="1">OFFSET('Q1'!$F292,0,4*(COLUMN()-6))</f>
        <v>59.44166666666667</v>
      </c>
      <c r="P380" s="1062">
        <f ca="1">OFFSET('Q1'!$F292,0,4*(COLUMN()-6))</f>
        <v>60.920833333333334</v>
      </c>
      <c r="Q380" s="1062">
        <f ca="1">OFFSET('Q1'!$F292,0,4*(COLUMN()-6))</f>
        <v>64.811666666666667</v>
      </c>
      <c r="R380" s="1062">
        <f ca="1">OFFSET('Q1'!$F292,0,4*(COLUMN()-6))</f>
        <v>70.037499999999994</v>
      </c>
      <c r="S380" s="1062">
        <f ca="1">OFFSET('Q1'!$F292,0,4*(COLUMN()-6))</f>
        <v>76.116666666666674</v>
      </c>
      <c r="T380" s="1062">
        <f ca="1">OFFSET('Q1'!$F292,0,4*(COLUMN()-6))</f>
        <v>87.634166666666658</v>
      </c>
      <c r="U380" s="1062">
        <f ca="1">OFFSET('Q1'!$F292,0,4*(COLUMN()-6))</f>
        <v>90.356666666666655</v>
      </c>
      <c r="V380" s="1062">
        <f ca="1">OFFSET('Q1'!$F292,0,4*(COLUMN()-6))</f>
        <v>88.270833333333329</v>
      </c>
      <c r="W380" s="1062">
        <f ca="1">OFFSET('Q1'!$F292,0,4*(COLUMN()-6))</f>
        <v>92.708333333333329</v>
      </c>
      <c r="X380" s="1062">
        <f ca="1">OFFSET('Q1'!$F292,0,4*(COLUMN()-6))</f>
        <v>95.808333333333337</v>
      </c>
      <c r="Y380" s="1062">
        <f ca="1">OFFSET('Q1'!$F292,0,4*(COLUMN()-6))</f>
        <v>98.91</v>
      </c>
      <c r="Z380" s="1062">
        <f ca="1">OFFSET('Q1'!$F292,0,4*(COLUMN()-6))</f>
        <v>99.243333333333325</v>
      </c>
      <c r="AA380" s="1062">
        <f ca="1">OFFSET('Q1'!$F292,0,4*(COLUMN()-6))</f>
        <v>100.00083333333333</v>
      </c>
      <c r="AB380" s="1062">
        <f ca="1">OFFSET('Q1'!$F292,0,4*(COLUMN()-6))</f>
        <v>101.51583333333333</v>
      </c>
      <c r="AC380" s="1062">
        <f ca="1">OFFSET('Q1'!$F292,0,4*(COLUMN()-6))</f>
        <v>103.17833333333333</v>
      </c>
      <c r="AD380" s="1062">
        <f ca="1">OFFSET('Q1'!$F292,0,4*(COLUMN()-6))</f>
        <v>103.72429535838776</v>
      </c>
      <c r="AE380" s="1062">
        <f ca="1">OFFSET('Q1'!$F292,0,4*(COLUMN()-6))</f>
        <v>104.64775631611455</v>
      </c>
    </row>
    <row r="381" spans="1:31">
      <c r="A381" s="664"/>
      <c r="B381" s="665">
        <v>174</v>
      </c>
      <c r="C381" s="1480"/>
      <c r="D381" s="1"/>
      <c r="E381" s="1" t="s">
        <v>1238</v>
      </c>
      <c r="F381" s="1481"/>
      <c r="G381" s="1062"/>
      <c r="H381" s="1062">
        <f ca="1">OFFSET('Q1'!$F293,0,4*(COLUMN()-6))</f>
        <v>52.674166666666672</v>
      </c>
      <c r="I381" s="1062">
        <f ca="1">OFFSET('Q1'!$F293,0,4*(COLUMN()-6))</f>
        <v>57.693333333333335</v>
      </c>
      <c r="J381" s="1062">
        <f ca="1">OFFSET('Q1'!$F293,0,4*(COLUMN()-6))</f>
        <v>58.402499999999996</v>
      </c>
      <c r="K381" s="1062">
        <f ca="1">OFFSET('Q1'!$F293,0,4*(COLUMN()-6))</f>
        <v>58.040833333333332</v>
      </c>
      <c r="L381" s="1062">
        <f ca="1">OFFSET('Q1'!$F293,0,4*(COLUMN()-6))</f>
        <v>55.8125</v>
      </c>
      <c r="M381" s="1062">
        <f ca="1">OFFSET('Q1'!$F293,0,4*(COLUMN()-6))</f>
        <v>55.701666666666668</v>
      </c>
      <c r="N381" s="1062">
        <f ca="1">OFFSET('Q1'!$F293,0,4*(COLUMN()-6))</f>
        <v>56.135000000000005</v>
      </c>
      <c r="O381" s="1062">
        <f ca="1">OFFSET('Q1'!$F293,0,4*(COLUMN()-6))</f>
        <v>57.87916666666667</v>
      </c>
      <c r="P381" s="1062">
        <f ca="1">OFFSET('Q1'!$F293,0,4*(COLUMN()-6))</f>
        <v>59.210833333333333</v>
      </c>
      <c r="Q381" s="1062">
        <f ca="1">OFFSET('Q1'!$F293,0,4*(COLUMN()-6))</f>
        <v>60.044166666666662</v>
      </c>
      <c r="R381" s="1062">
        <f ca="1">OFFSET('Q1'!$F293,0,4*(COLUMN()-6))</f>
        <v>61.684166666666663</v>
      </c>
      <c r="S381" s="1062">
        <f ca="1">OFFSET('Q1'!$F293,0,4*(COLUMN()-6))</f>
        <v>68.12833333333333</v>
      </c>
      <c r="T381" s="1062">
        <f ca="1">OFFSET('Q1'!$F293,0,4*(COLUMN()-6))</f>
        <v>78.965833333333336</v>
      </c>
      <c r="U381" s="1062">
        <f ca="1">OFFSET('Q1'!$F293,0,4*(COLUMN()-6))</f>
        <v>83.563333333333333</v>
      </c>
      <c r="V381" s="1062">
        <f ca="1">OFFSET('Q1'!$F293,0,4*(COLUMN()-6))</f>
        <v>87.921666666666667</v>
      </c>
      <c r="W381" s="1062">
        <f ca="1">OFFSET('Q1'!$F293,0,4*(COLUMN()-6))</f>
        <v>94.091666666666654</v>
      </c>
      <c r="X381" s="1062">
        <f ca="1">OFFSET('Q1'!$F293,0,4*(COLUMN()-6))</f>
        <v>97.045000000000002</v>
      </c>
      <c r="Y381" s="1062">
        <f ca="1">OFFSET('Q1'!$F293,0,4*(COLUMN()-6))</f>
        <v>98.36</v>
      </c>
      <c r="Z381" s="1062">
        <f ca="1">OFFSET('Q1'!$F293,0,4*(COLUMN()-6))</f>
        <v>100.47416666666666</v>
      </c>
      <c r="AA381" s="1062">
        <f ca="1">OFFSET('Q1'!$F293,0,4*(COLUMN()-6))</f>
        <v>100</v>
      </c>
      <c r="AB381" s="1062">
        <f ca="1">OFFSET('Q1'!$F293,0,4*(COLUMN()-6))</f>
        <v>102.22916666666669</v>
      </c>
      <c r="AC381" s="1062">
        <f ca="1">OFFSET('Q1'!$F293,0,4*(COLUMN()-6))</f>
        <v>109.50749999999999</v>
      </c>
      <c r="AD381" s="1062">
        <f ca="1">OFFSET('Q1'!$F293,0,4*(COLUMN()-6))</f>
        <v>113.45385723326497</v>
      </c>
      <c r="AE381" s="1062">
        <f ca="1">OFFSET('Q1'!$F293,0,4*(COLUMN()-6))</f>
        <v>116.90379942504249</v>
      </c>
    </row>
    <row r="382" spans="1:31">
      <c r="A382" s="664"/>
      <c r="B382" s="665">
        <v>176</v>
      </c>
      <c r="C382" s="1484"/>
      <c r="D382" s="113"/>
      <c r="E382" s="113" t="s">
        <v>1240</v>
      </c>
      <c r="F382" s="1482"/>
      <c r="G382" s="1514"/>
      <c r="H382" s="1514">
        <f ca="1">OFFSET('Q1'!$F294,0,4*(COLUMN()-6))</f>
        <v>42.58</v>
      </c>
      <c r="I382" s="1514">
        <f ca="1">OFFSET('Q1'!$F294,0,4*(COLUMN()-6))</f>
        <v>49.239166666666662</v>
      </c>
      <c r="J382" s="1514">
        <f ca="1">OFFSET('Q1'!$F294,0,4*(COLUMN()-6))</f>
        <v>54.837500000000006</v>
      </c>
      <c r="K382" s="1514">
        <f ca="1">OFFSET('Q1'!$F294,0,4*(COLUMN()-6))</f>
        <v>58.460833333333333</v>
      </c>
      <c r="L382" s="1514">
        <f ca="1">OFFSET('Q1'!$F294,0,4*(COLUMN()-6))</f>
        <v>61.570833333333333</v>
      </c>
      <c r="M382" s="1514">
        <f ca="1">OFFSET('Q1'!$F294,0,4*(COLUMN()-6))</f>
        <v>64.30916666666667</v>
      </c>
      <c r="N382" s="1514">
        <f ca="1">OFFSET('Q1'!$F294,0,4*(COLUMN()-6))</f>
        <v>66.39</v>
      </c>
      <c r="O382" s="1514">
        <f ca="1">OFFSET('Q1'!$F294,0,4*(COLUMN()-6))</f>
        <v>66.591666666666669</v>
      </c>
      <c r="P382" s="1514">
        <f ca="1">OFFSET('Q1'!$F294,0,4*(COLUMN()-6))</f>
        <v>66.379166666666663</v>
      </c>
      <c r="Q382" s="1514">
        <f ca="1">OFFSET('Q1'!$F294,0,4*(COLUMN()-6))</f>
        <v>68.586666666666673</v>
      </c>
      <c r="R382" s="1514">
        <f ca="1">OFFSET('Q1'!$F294,0,4*(COLUMN()-6))</f>
        <v>71.902500000000003</v>
      </c>
      <c r="S382" s="1514">
        <f ca="1">OFFSET('Q1'!$F294,0,4*(COLUMN()-6))</f>
        <v>76.798333333333332</v>
      </c>
      <c r="T382" s="1514">
        <f ca="1">OFFSET('Q1'!$F294,0,4*(COLUMN()-6))</f>
        <v>86.142499999999998</v>
      </c>
      <c r="U382" s="1514">
        <f ca="1">OFFSET('Q1'!$F294,0,4*(COLUMN()-6))</f>
        <v>91.1</v>
      </c>
      <c r="V382" s="1514">
        <f ca="1">OFFSET('Q1'!$F294,0,4*(COLUMN()-6))</f>
        <v>89.738333333333344</v>
      </c>
      <c r="W382" s="1514">
        <f ca="1">OFFSET('Q1'!$F294,0,4*(COLUMN()-6))</f>
        <v>90.865000000000009</v>
      </c>
      <c r="X382" s="1514">
        <f ca="1">OFFSET('Q1'!$F294,0,4*(COLUMN()-6))</f>
        <v>93.49166666666666</v>
      </c>
      <c r="Y382" s="1514">
        <f ca="1">OFFSET('Q1'!$F294,0,4*(COLUMN()-6))</f>
        <v>95.222500000000011</v>
      </c>
      <c r="Z382" s="1514">
        <f ca="1">OFFSET('Q1'!$F294,0,4*(COLUMN()-6))</f>
        <v>96.748333333333335</v>
      </c>
      <c r="AA382" s="1514">
        <f ca="1">OFFSET('Q1'!$F294,0,4*(COLUMN()-6))</f>
        <v>100.00166666666665</v>
      </c>
      <c r="AB382" s="1514">
        <f ca="1">OFFSET('Q1'!$F294,0,4*(COLUMN()-6))</f>
        <v>103.155</v>
      </c>
      <c r="AC382" s="1514">
        <f ca="1">OFFSET('Q1'!$F294,0,4*(COLUMN()-6))</f>
        <v>108.35250000000001</v>
      </c>
      <c r="AD382" s="1514">
        <f ca="1">OFFSET('Q1'!$F294,0,4*(COLUMN()-6))</f>
        <v>112.7976710636909</v>
      </c>
      <c r="AE382" s="1514">
        <f ca="1">OFFSET('Q1'!$F294,0,4*(COLUMN()-6))</f>
        <v>117.73308146752153</v>
      </c>
    </row>
    <row r="383" spans="1:31">
      <c r="A383" s="664"/>
      <c r="C383" s="546"/>
      <c r="D383" s="1966"/>
      <c r="E383" s="45" t="s">
        <v>599</v>
      </c>
      <c r="F383" s="1476"/>
      <c r="G383" s="1524"/>
      <c r="H383" s="1524">
        <f ca="1">OFFSET('Q1'!$F296,0,4*(COLUMN()-6))</f>
        <v>57.612499999999997</v>
      </c>
      <c r="I383" s="1524">
        <f ca="1">OFFSET('Q1'!$F296,0,4*(COLUMN()-6))</f>
        <v>63.555833333333325</v>
      </c>
      <c r="J383" s="1524">
        <f ca="1">OFFSET('Q1'!$F296,0,4*(COLUMN()-6))</f>
        <v>66.968333333333334</v>
      </c>
      <c r="K383" s="1524">
        <f ca="1">OFFSET('Q1'!$F296,0,4*(COLUMN()-6))</f>
        <v>67.935000000000002</v>
      </c>
      <c r="L383" s="1524">
        <f ca="1">OFFSET('Q1'!$F296,0,4*(COLUMN()-6))</f>
        <v>68.678333333333327</v>
      </c>
      <c r="M383" s="1524">
        <f ca="1">OFFSET('Q1'!$F296,0,4*(COLUMN()-6))</f>
        <v>69.742500000000007</v>
      </c>
      <c r="N383" s="1524">
        <f ca="1">OFFSET('Q1'!$F296,0,4*(COLUMN()-6))</f>
        <v>69.976666666666659</v>
      </c>
      <c r="O383" s="1524">
        <f ca="1">OFFSET('Q1'!$F296,0,4*(COLUMN()-6))</f>
        <v>69.223333333333329</v>
      </c>
      <c r="P383" s="1524">
        <f ca="1">OFFSET('Q1'!$F296,0,4*(COLUMN()-6))</f>
        <v>70.022499999999994</v>
      </c>
      <c r="Q383" s="1524">
        <f ca="1">OFFSET('Q1'!$F296,0,4*(COLUMN()-6))</f>
        <v>71.893333333333345</v>
      </c>
      <c r="R383" s="1524">
        <f ca="1">OFFSET('Q1'!$F296,0,4*(COLUMN()-6))</f>
        <v>74.594166666666666</v>
      </c>
      <c r="S383" s="1524">
        <f ca="1">OFFSET('Q1'!$F296,0,4*(COLUMN()-6))</f>
        <v>78.93416666666667</v>
      </c>
      <c r="T383" s="1524">
        <f ca="1">OFFSET('Q1'!$F296,0,4*(COLUMN()-6))</f>
        <v>87.68907881029466</v>
      </c>
      <c r="U383" s="1524">
        <f ca="1">OFFSET('Q1'!$F296,0,4*(COLUMN()-6))</f>
        <v>91.335141080643311</v>
      </c>
      <c r="V383" s="1524">
        <f ca="1">OFFSET('Q1'!$F296,0,4*(COLUMN()-6))</f>
        <v>92.440840893030213</v>
      </c>
      <c r="W383" s="1524">
        <f ca="1">OFFSET('Q1'!$F296,0,4*(COLUMN()-6))</f>
        <v>96.27433615383903</v>
      </c>
      <c r="X383" s="1524">
        <f ca="1">OFFSET('Q1'!$F296,0,4*(COLUMN()-6))</f>
        <v>99.330847638236648</v>
      </c>
      <c r="Y383" s="1524">
        <f ca="1">OFFSET('Q1'!$F296,0,4*(COLUMN()-6))</f>
        <v>100.47995531917081</v>
      </c>
      <c r="Z383" s="1524">
        <f ca="1">OFFSET('Q1'!$F296,0,4*(COLUMN()-6))</f>
        <v>100.71631644051455</v>
      </c>
      <c r="AA383" s="1524">
        <f ca="1">OFFSET('Q1'!$F296,0,4*(COLUMN()-6))</f>
        <v>100.05583806701935</v>
      </c>
      <c r="AB383" s="1524">
        <f ca="1">OFFSET('Q1'!$F296,0,4*(COLUMN()-6))</f>
        <v>100.75678654639877</v>
      </c>
      <c r="AC383" s="1524">
        <f ca="1">OFFSET('Q1'!$F296,0,4*(COLUMN()-6))</f>
        <v>104.50392577760113</v>
      </c>
      <c r="AD383" s="1524">
        <f ca="1">OFFSET('Q1'!$F296,0,4*(COLUMN()-6))</f>
        <v>107.43996374880658</v>
      </c>
      <c r="AE383" s="1524">
        <f ca="1">OFFSET('Q1'!$F296,0,4*(COLUMN()-6))</f>
        <v>109.9609188701761</v>
      </c>
    </row>
    <row r="384" spans="1:31">
      <c r="A384" s="664"/>
      <c r="B384" s="665">
        <v>177</v>
      </c>
      <c r="C384" s="546"/>
      <c r="D384" s="1966"/>
      <c r="E384" s="45" t="s">
        <v>924</v>
      </c>
      <c r="F384" s="1476"/>
      <c r="G384" s="1524"/>
      <c r="H384" s="1524">
        <f ca="1">OFFSET('Q1'!$F299,0,4*(COLUMN()-6))</f>
        <v>62.905833333333334</v>
      </c>
      <c r="I384" s="1524">
        <f ca="1">OFFSET('Q1'!$F299,0,4*(COLUMN()-6))</f>
        <v>69.408333333333331</v>
      </c>
      <c r="J384" s="1524">
        <f ca="1">OFFSET('Q1'!$F299,0,4*(COLUMN()-6))</f>
        <v>72.52</v>
      </c>
      <c r="K384" s="1524">
        <f ca="1">OFFSET('Q1'!$F299,0,4*(COLUMN()-6))</f>
        <v>73.77</v>
      </c>
      <c r="L384" s="1524">
        <f ca="1">OFFSET('Q1'!$F299,0,4*(COLUMN()-6))</f>
        <v>72.943333333333328</v>
      </c>
      <c r="M384" s="1524">
        <f ca="1">OFFSET('Q1'!$F299,0,4*(COLUMN()-6))</f>
        <v>72.987499999999997</v>
      </c>
      <c r="N384" s="1524">
        <f ca="1">OFFSET('Q1'!$F299,0,4*(COLUMN()-6))</f>
        <v>73.418333333333337</v>
      </c>
      <c r="O384" s="1524">
        <f ca="1">OFFSET('Q1'!$F299,0,4*(COLUMN()-6))</f>
        <v>73.923333333333332</v>
      </c>
      <c r="P384" s="1524">
        <f ca="1">OFFSET('Q1'!$F299,0,4*(COLUMN()-6))</f>
        <v>74.397500000000008</v>
      </c>
      <c r="Q384" s="1524">
        <f ca="1">OFFSET('Q1'!$F299,0,4*(COLUMN()-6))</f>
        <v>75.345833333333331</v>
      </c>
      <c r="R384" s="1524">
        <f ca="1">OFFSET('Q1'!$F299,0,4*(COLUMN()-6))</f>
        <v>77.144999999999996</v>
      </c>
      <c r="S384" s="1524">
        <f ca="1">OFFSET('Q1'!$F299,0,4*(COLUMN()-6))</f>
        <v>81.166666666666671</v>
      </c>
      <c r="T384" s="1524">
        <f ca="1">OFFSET('Q1'!$F299,0,4*(COLUMN()-6))</f>
        <v>88.718479654104129</v>
      </c>
      <c r="U384" s="1524">
        <f ca="1">OFFSET('Q1'!$F299,0,4*(COLUMN()-6))</f>
        <v>91.971289596773047</v>
      </c>
      <c r="V384" s="1524">
        <f ca="1">OFFSET('Q1'!$F299,0,4*(COLUMN()-6))</f>
        <v>91.940942604269452</v>
      </c>
      <c r="W384" s="1524">
        <f ca="1">OFFSET('Q1'!$F299,0,4*(COLUMN()-6))</f>
        <v>94.133974819775545</v>
      </c>
      <c r="X384" s="1524">
        <f ca="1">OFFSET('Q1'!$F299,0,4*(COLUMN()-6))</f>
        <v>96.37345961048149</v>
      </c>
      <c r="Y384" s="1524">
        <f ca="1">OFFSET('Q1'!$F299,0,4*(COLUMN()-6))</f>
        <v>97.721304516742009</v>
      </c>
      <c r="Z384" s="1524">
        <f ca="1">OFFSET('Q1'!$F299,0,4*(COLUMN()-6))</f>
        <v>98.79762654833354</v>
      </c>
      <c r="AA384" s="1524">
        <f ca="1">OFFSET('Q1'!$F299,0,4*(COLUMN()-6))</f>
        <v>100.01690956701754</v>
      </c>
      <c r="AB384" s="1524">
        <f ca="1">OFFSET('Q1'!$F299,0,4*(COLUMN()-6))</f>
        <v>101.87689292992803</v>
      </c>
      <c r="AC384" s="1524">
        <f ca="1">OFFSET('Q1'!$F299,0,4*(COLUMN()-6))</f>
        <v>105.78290553732657</v>
      </c>
      <c r="AD384" s="1524">
        <f ca="1">OFFSET('Q1'!$F299,0,4*(COLUMN()-6))</f>
        <v>108.56307228509658</v>
      </c>
      <c r="AE384" s="1524">
        <f ca="1">OFFSET('Q1'!$F299,0,4*(COLUMN()-6))</f>
        <v>111.45986830707687</v>
      </c>
    </row>
    <row r="385" spans="1:94">
      <c r="AB385" s="557"/>
      <c r="AC385" s="557"/>
      <c r="AD385" s="557"/>
      <c r="AE385" s="557"/>
    </row>
    <row r="386" spans="1:94">
      <c r="AB386" s="557"/>
      <c r="AC386" s="557"/>
      <c r="AD386" s="557"/>
      <c r="AE386" s="557"/>
    </row>
    <row r="387" spans="1:94">
      <c r="A387" s="1130"/>
      <c r="D387" s="1149"/>
      <c r="E387" s="1150" t="s">
        <v>2032</v>
      </c>
      <c r="F387" s="1151"/>
      <c r="G387" s="1141">
        <f>+InputY!$G$3</f>
        <v>1995</v>
      </c>
      <c r="H387" s="1141">
        <f>+G387+1</f>
        <v>1996</v>
      </c>
      <c r="I387" s="1141">
        <f t="shared" ref="I387:O387" si="423">+H387+1</f>
        <v>1997</v>
      </c>
      <c r="J387" s="1141">
        <f t="shared" si="423"/>
        <v>1998</v>
      </c>
      <c r="K387" s="1141">
        <f t="shared" si="423"/>
        <v>1999</v>
      </c>
      <c r="L387" s="1141">
        <f t="shared" si="423"/>
        <v>2000</v>
      </c>
      <c r="M387" s="1141">
        <f t="shared" si="423"/>
        <v>2001</v>
      </c>
      <c r="N387" s="1141">
        <f t="shared" si="423"/>
        <v>2002</v>
      </c>
      <c r="O387" s="1141">
        <f t="shared" si="423"/>
        <v>2003</v>
      </c>
      <c r="P387" s="1141">
        <f t="shared" ref="P387:V387" si="424">+O387+1</f>
        <v>2004</v>
      </c>
      <c r="Q387" s="1141">
        <f t="shared" si="424"/>
        <v>2005</v>
      </c>
      <c r="R387" s="1141">
        <f t="shared" si="424"/>
        <v>2006</v>
      </c>
      <c r="S387" s="1141">
        <f>+R387+1</f>
        <v>2007</v>
      </c>
      <c r="T387" s="1141">
        <f t="shared" si="424"/>
        <v>2008</v>
      </c>
      <c r="U387" s="1141">
        <f t="shared" si="424"/>
        <v>2009</v>
      </c>
      <c r="V387" s="1141">
        <f t="shared" si="424"/>
        <v>2010</v>
      </c>
      <c r="W387" s="1141">
        <f t="shared" ref="W387:AE387" si="425">+V387+1</f>
        <v>2011</v>
      </c>
      <c r="X387" s="1141">
        <f t="shared" si="425"/>
        <v>2012</v>
      </c>
      <c r="Y387" s="1141">
        <f t="shared" si="425"/>
        <v>2013</v>
      </c>
      <c r="Z387" s="1141">
        <f t="shared" si="425"/>
        <v>2014</v>
      </c>
      <c r="AA387" s="1141">
        <f t="shared" si="425"/>
        <v>2015</v>
      </c>
      <c r="AB387" s="1141">
        <f t="shared" si="425"/>
        <v>2016</v>
      </c>
      <c r="AC387" s="1141">
        <f t="shared" si="425"/>
        <v>2017</v>
      </c>
      <c r="AD387" s="1141">
        <f t="shared" si="425"/>
        <v>2018</v>
      </c>
      <c r="AE387" s="1141">
        <f t="shared" si="425"/>
        <v>2019</v>
      </c>
    </row>
    <row r="388" spans="1:94">
      <c r="A388" s="1130"/>
      <c r="C388" s="1082" t="s">
        <v>1769</v>
      </c>
      <c r="D388" s="1086"/>
      <c r="E388" s="1087" t="s">
        <v>821</v>
      </c>
      <c r="F388" s="1089" t="s">
        <v>703</v>
      </c>
      <c r="G388" s="1088">
        <f>+$G$185/$G$7*100</f>
        <v>57.066954680567363</v>
      </c>
      <c r="H388" s="1088">
        <f t="shared" ref="H388:X388" si="426">+H185/H7*100</f>
        <v>67.328433850163307</v>
      </c>
      <c r="I388" s="1088">
        <f t="shared" si="426"/>
        <v>73.557916425016046</v>
      </c>
      <c r="J388" s="1088">
        <f t="shared" si="426"/>
        <v>77.785061653038156</v>
      </c>
      <c r="K388" s="1088">
        <f t="shared" si="426"/>
        <v>76.827996584168545</v>
      </c>
      <c r="L388" s="1088">
        <f t="shared" si="426"/>
        <v>75.568779389609858</v>
      </c>
      <c r="M388" s="1088">
        <f t="shared" si="426"/>
        <v>77.332373183869635</v>
      </c>
      <c r="N388" s="1088">
        <f t="shared" si="426"/>
        <v>77.03396355533711</v>
      </c>
      <c r="O388" s="1088">
        <f t="shared" si="426"/>
        <v>75.891194020119883</v>
      </c>
      <c r="P388" s="1088">
        <f t="shared" si="426"/>
        <v>75.225155112479484</v>
      </c>
      <c r="Q388" s="1088">
        <f t="shared" si="426"/>
        <v>77.007437072884215</v>
      </c>
      <c r="R388" s="1088">
        <f t="shared" si="426"/>
        <v>80.598063547889581</v>
      </c>
      <c r="S388" s="1088">
        <f t="shared" si="426"/>
        <v>85.334940128839492</v>
      </c>
      <c r="T388" s="1088">
        <f t="shared" si="426"/>
        <v>94.63221286520556</v>
      </c>
      <c r="U388" s="1088">
        <f t="shared" si="426"/>
        <v>98.745285665893149</v>
      </c>
      <c r="V388" s="1088">
        <f t="shared" si="426"/>
        <v>100</v>
      </c>
      <c r="W388" s="1088">
        <f>+W185/W7*100</f>
        <v>104.11830922586718</v>
      </c>
      <c r="X388" s="1088">
        <f t="shared" si="426"/>
        <v>107.32959619009821</v>
      </c>
      <c r="Y388" s="1088">
        <f t="shared" ref="Y388:AD388" si="427">+Y185/Y7*100</f>
        <v>108.39827804858714</v>
      </c>
      <c r="Z388" s="1088">
        <f t="shared" si="427"/>
        <v>108.52771464375736</v>
      </c>
      <c r="AA388" s="1088">
        <f t="shared" si="427"/>
        <v>107.57041745239246</v>
      </c>
      <c r="AB388" s="1088">
        <f t="shared" si="427"/>
        <v>108.58003295393655</v>
      </c>
      <c r="AC388" s="1088">
        <f>+AC185/AC7*100</f>
        <v>112.65586110911445</v>
      </c>
      <c r="AD388" s="1088">
        <f t="shared" ca="1" si="427"/>
        <v>115.58491349795142</v>
      </c>
      <c r="AE388" s="1088">
        <f t="shared" ref="AE388" ca="1" si="428">+AE185/AE7*100</f>
        <v>118.12778159490634</v>
      </c>
    </row>
    <row r="389" spans="1:94">
      <c r="V389"/>
      <c r="W389"/>
      <c r="X389"/>
      <c r="Y389"/>
      <c r="Z389"/>
      <c r="AA389"/>
    </row>
    <row r="390" spans="1:94" s="699" customFormat="1" ht="12.75" customHeight="1">
      <c r="A390" s="664"/>
      <c r="B390" s="664"/>
      <c r="C390" s="774"/>
      <c r="D390" s="1092"/>
      <c r="E390" s="1093" t="s">
        <v>2032</v>
      </c>
      <c r="F390" s="1094"/>
      <c r="G390" s="896">
        <f>+InputY!$G$3</f>
        <v>1995</v>
      </c>
      <c r="H390" s="896">
        <f>+G390+1</f>
        <v>1996</v>
      </c>
      <c r="I390" s="896">
        <f t="shared" ref="I390:O390" si="429">+H390+1</f>
        <v>1997</v>
      </c>
      <c r="J390" s="896">
        <f t="shared" si="429"/>
        <v>1998</v>
      </c>
      <c r="K390" s="896">
        <f t="shared" si="429"/>
        <v>1999</v>
      </c>
      <c r="L390" s="896">
        <f t="shared" si="429"/>
        <v>2000</v>
      </c>
      <c r="M390" s="896">
        <f t="shared" si="429"/>
        <v>2001</v>
      </c>
      <c r="N390" s="896">
        <f t="shared" si="429"/>
        <v>2002</v>
      </c>
      <c r="O390" s="896">
        <f t="shared" si="429"/>
        <v>2003</v>
      </c>
      <c r="P390" s="896">
        <f t="shared" ref="P390:V390" si="430">+O390+1</f>
        <v>2004</v>
      </c>
      <c r="Q390" s="896">
        <f t="shared" si="430"/>
        <v>2005</v>
      </c>
      <c r="R390" s="896">
        <f t="shared" si="430"/>
        <v>2006</v>
      </c>
      <c r="S390" s="896">
        <f>+R390+1</f>
        <v>2007</v>
      </c>
      <c r="T390" s="896">
        <f t="shared" si="430"/>
        <v>2008</v>
      </c>
      <c r="U390" s="896">
        <f t="shared" si="430"/>
        <v>2009</v>
      </c>
      <c r="V390" s="896">
        <f t="shared" si="430"/>
        <v>2010</v>
      </c>
      <c r="W390" s="896">
        <f t="shared" ref="W390:AE390" si="431">+V390+1</f>
        <v>2011</v>
      </c>
      <c r="X390" s="896">
        <f t="shared" si="431"/>
        <v>2012</v>
      </c>
      <c r="Y390" s="896">
        <f t="shared" si="431"/>
        <v>2013</v>
      </c>
      <c r="Z390" s="896">
        <f t="shared" si="431"/>
        <v>2014</v>
      </c>
      <c r="AA390" s="896">
        <f t="shared" si="431"/>
        <v>2015</v>
      </c>
      <c r="AB390" s="896">
        <f t="shared" si="431"/>
        <v>2016</v>
      </c>
      <c r="AC390" s="896">
        <f t="shared" si="431"/>
        <v>2017</v>
      </c>
      <c r="AD390" s="896">
        <f t="shared" si="431"/>
        <v>2018</v>
      </c>
      <c r="AE390" s="896">
        <f t="shared" si="431"/>
        <v>2019</v>
      </c>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row>
    <row r="391" spans="1:94" s="699" customFormat="1" ht="12.75" customHeight="1">
      <c r="A391" s="664"/>
      <c r="B391" s="664"/>
      <c r="C391" s="798" t="s">
        <v>1769</v>
      </c>
      <c r="D391" s="833"/>
      <c r="E391" s="834" t="s">
        <v>821</v>
      </c>
      <c r="F391" s="1114" t="s">
        <v>703</v>
      </c>
      <c r="G391" s="1115"/>
      <c r="H391" s="1115">
        <f>+(H388/G388-1)*100</f>
        <v>17.981473213411569</v>
      </c>
      <c r="I391" s="1115">
        <f t="shared" ref="I391:S391" si="432">+(I388/H388-1)*100</f>
        <v>9.2523800400826204</v>
      </c>
      <c r="J391" s="1115">
        <f t="shared" si="432"/>
        <v>5.7466897289446761</v>
      </c>
      <c r="K391" s="1115">
        <f t="shared" si="432"/>
        <v>-1.2303970049398649</v>
      </c>
      <c r="L391" s="1115">
        <f t="shared" si="432"/>
        <v>-1.6390082398922812</v>
      </c>
      <c r="M391" s="1115">
        <f t="shared" si="432"/>
        <v>2.3337597993573711</v>
      </c>
      <c r="N391" s="1115">
        <f t="shared" si="432"/>
        <v>-0.38587931062584735</v>
      </c>
      <c r="O391" s="1115">
        <f t="shared" si="432"/>
        <v>-1.4834619464910714</v>
      </c>
      <c r="P391" s="1115">
        <f t="shared" si="432"/>
        <v>-0.87762344003156079</v>
      </c>
      <c r="Q391" s="1115">
        <f t="shared" si="432"/>
        <v>2.3692632574034533</v>
      </c>
      <c r="R391" s="1115">
        <f t="shared" si="432"/>
        <v>4.662700917584095</v>
      </c>
      <c r="S391" s="1115">
        <f t="shared" si="432"/>
        <v>5.8771592919665716</v>
      </c>
      <c r="T391" s="1115">
        <f t="shared" ref="T391:AE391" si="433">+(T388/S388-1)*100</f>
        <v>10.895036338373188</v>
      </c>
      <c r="U391" s="1115">
        <f t="shared" si="433"/>
        <v>4.3463770698739301</v>
      </c>
      <c r="V391" s="1115">
        <f t="shared" si="433"/>
        <v>1.2706574553363437</v>
      </c>
      <c r="W391" s="1115">
        <f t="shared" si="433"/>
        <v>4.1183092258671783</v>
      </c>
      <c r="X391" s="1115">
        <f t="shared" si="433"/>
        <v>3.0842672994858988</v>
      </c>
      <c r="Y391" s="1115">
        <f t="shared" si="433"/>
        <v>0.99570099620622798</v>
      </c>
      <c r="Z391" s="1115">
        <f t="shared" si="433"/>
        <v>0.11940834992987259</v>
      </c>
      <c r="AA391" s="1115">
        <f t="shared" si="433"/>
        <v>-0.88207624615264102</v>
      </c>
      <c r="AB391" s="1115">
        <f t="shared" si="433"/>
        <v>0.93856240912228994</v>
      </c>
      <c r="AC391" s="1115">
        <f>+(AC388/AB388-1)*100</f>
        <v>3.7537547597789045</v>
      </c>
      <c r="AD391" s="1115">
        <f ca="1">+(AD388/AC388-1)*100</f>
        <v>2.5999999999999801</v>
      </c>
      <c r="AE391" s="1115">
        <f t="shared" ca="1" si="433"/>
        <v>2.1999999999999797</v>
      </c>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row>
    <row r="392" spans="1:94">
      <c r="V392"/>
      <c r="W392"/>
      <c r="X392"/>
      <c r="Y392"/>
      <c r="Z392"/>
      <c r="AA392"/>
    </row>
    <row r="393" spans="1:94">
      <c r="A393" s="1130"/>
      <c r="D393" s="1149"/>
      <c r="E393" s="1150" t="s">
        <v>2033</v>
      </c>
      <c r="F393" s="1151"/>
      <c r="G393" s="1141">
        <f>+InputY!$G$3</f>
        <v>1995</v>
      </c>
      <c r="H393" s="1141">
        <f>+G393+1</f>
        <v>1996</v>
      </c>
      <c r="I393" s="1141">
        <f t="shared" ref="I393:O393" si="434">+H393+1</f>
        <v>1997</v>
      </c>
      <c r="J393" s="1141">
        <f t="shared" si="434"/>
        <v>1998</v>
      </c>
      <c r="K393" s="1141">
        <f t="shared" si="434"/>
        <v>1999</v>
      </c>
      <c r="L393" s="1141">
        <f t="shared" si="434"/>
        <v>2000</v>
      </c>
      <c r="M393" s="1141">
        <f t="shared" si="434"/>
        <v>2001</v>
      </c>
      <c r="N393" s="1141">
        <f t="shared" si="434"/>
        <v>2002</v>
      </c>
      <c r="O393" s="1141">
        <f t="shared" si="434"/>
        <v>2003</v>
      </c>
      <c r="P393" s="1141">
        <f t="shared" ref="P393:V393" si="435">+O393+1</f>
        <v>2004</v>
      </c>
      <c r="Q393" s="1141">
        <f t="shared" si="435"/>
        <v>2005</v>
      </c>
      <c r="R393" s="1141">
        <f t="shared" si="435"/>
        <v>2006</v>
      </c>
      <c r="S393" s="1141">
        <f>+R393+1</f>
        <v>2007</v>
      </c>
      <c r="T393" s="1141">
        <f t="shared" si="435"/>
        <v>2008</v>
      </c>
      <c r="U393" s="1141">
        <f t="shared" si="435"/>
        <v>2009</v>
      </c>
      <c r="V393" s="1141">
        <f t="shared" si="435"/>
        <v>2010</v>
      </c>
      <c r="W393" s="1141">
        <f t="shared" ref="W393:AE393" si="436">+V393+1</f>
        <v>2011</v>
      </c>
      <c r="X393" s="1141">
        <f t="shared" si="436"/>
        <v>2012</v>
      </c>
      <c r="Y393" s="1141">
        <f t="shared" si="436"/>
        <v>2013</v>
      </c>
      <c r="Z393" s="1141">
        <f t="shared" si="436"/>
        <v>2014</v>
      </c>
      <c r="AA393" s="1141">
        <f t="shared" si="436"/>
        <v>2015</v>
      </c>
      <c r="AB393" s="1141">
        <f t="shared" si="436"/>
        <v>2016</v>
      </c>
      <c r="AC393" s="1141">
        <f t="shared" si="436"/>
        <v>2017</v>
      </c>
      <c r="AD393" s="1141">
        <f t="shared" si="436"/>
        <v>2018</v>
      </c>
      <c r="AE393" s="1141">
        <f t="shared" si="436"/>
        <v>2019</v>
      </c>
    </row>
    <row r="394" spans="1:94">
      <c r="A394" s="1130"/>
      <c r="C394" s="1082" t="s">
        <v>1767</v>
      </c>
      <c r="D394" s="1086"/>
      <c r="E394" s="1087" t="s">
        <v>821</v>
      </c>
      <c r="F394" s="1089" t="s">
        <v>1660</v>
      </c>
      <c r="G394" s="1088">
        <f t="shared" ref="G394:X394" si="437">+G193/G13*100</f>
        <v>39.883846738378637</v>
      </c>
      <c r="H394" s="1088">
        <f t="shared" si="437"/>
        <v>50.433801736883765</v>
      </c>
      <c r="I394" s="1088">
        <f t="shared" si="437"/>
        <v>59.061565456778339</v>
      </c>
      <c r="J394" s="1088">
        <f t="shared" si="437"/>
        <v>66.93044022100591</v>
      </c>
      <c r="K394" s="1088">
        <f t="shared" si="437"/>
        <v>62.497813340267903</v>
      </c>
      <c r="L394" s="1088">
        <f t="shared" si="437"/>
        <v>62.088565392633967</v>
      </c>
      <c r="M394" s="1088">
        <f t="shared" si="437"/>
        <v>61.384205366161602</v>
      </c>
      <c r="N394" s="1088">
        <f t="shared" si="437"/>
        <v>62.395468281497813</v>
      </c>
      <c r="O394" s="1088">
        <f t="shared" si="437"/>
        <v>63.208912484606081</v>
      </c>
      <c r="P394" s="1088">
        <f t="shared" si="437"/>
        <v>64.815796890761277</v>
      </c>
      <c r="Q394" s="1088">
        <f t="shared" si="437"/>
        <v>69.588938567292345</v>
      </c>
      <c r="R394" s="1088">
        <f t="shared" si="437"/>
        <v>80.765655963383196</v>
      </c>
      <c r="S394" s="1088">
        <f t="shared" si="437"/>
        <v>87.241362092209997</v>
      </c>
      <c r="T394" s="1088">
        <f t="shared" si="437"/>
        <v>104.7971924906339</v>
      </c>
      <c r="U394" s="1088">
        <f t="shared" si="437"/>
        <v>99.561706594070316</v>
      </c>
      <c r="V394" s="1088">
        <f t="shared" si="437"/>
        <v>100</v>
      </c>
      <c r="W394" s="1088">
        <f>+W193/W13*100</f>
        <v>103.49485350621801</v>
      </c>
      <c r="X394" s="1088">
        <f t="shared" si="437"/>
        <v>103.84428379844093</v>
      </c>
      <c r="Y394" s="1088">
        <f t="shared" ref="Y394:AD394" si="438">+Y193/Y13*100</f>
        <v>103.21037732012357</v>
      </c>
      <c r="Z394" s="1088">
        <f t="shared" si="438"/>
        <v>107.08205357867008</v>
      </c>
      <c r="AA394" s="1088">
        <f t="shared" si="438"/>
        <v>113.16304581251826</v>
      </c>
      <c r="AB394" s="1088">
        <f t="shared" si="438"/>
        <v>115.33556930348952</v>
      </c>
      <c r="AC394" s="1088">
        <f t="shared" si="438"/>
        <v>118.67279152186273</v>
      </c>
      <c r="AD394" s="1088">
        <f t="shared" ca="1" si="438"/>
        <v>123.34849950782414</v>
      </c>
      <c r="AE394" s="1088">
        <f t="shared" ref="AE394" ca="1" si="439">+AE193/AE13*100</f>
        <v>127.71503639040111</v>
      </c>
    </row>
    <row r="395" spans="1:94">
      <c r="V395"/>
      <c r="W395"/>
      <c r="X395"/>
      <c r="Y395"/>
      <c r="Z395"/>
      <c r="AA395"/>
    </row>
    <row r="396" spans="1:94" s="699" customFormat="1" ht="12.75" customHeight="1">
      <c r="A396" s="664"/>
      <c r="B396" s="664"/>
      <c r="C396" s="774"/>
      <c r="D396" s="1092"/>
      <c r="E396" s="1093" t="s">
        <v>2033</v>
      </c>
      <c r="F396" s="1094"/>
      <c r="G396" s="896">
        <f>+InputY!$G$3</f>
        <v>1995</v>
      </c>
      <c r="H396" s="896">
        <f>+G396+1</f>
        <v>1996</v>
      </c>
      <c r="I396" s="896">
        <f t="shared" ref="I396:O396" si="440">+H396+1</f>
        <v>1997</v>
      </c>
      <c r="J396" s="896">
        <f t="shared" si="440"/>
        <v>1998</v>
      </c>
      <c r="K396" s="896">
        <f t="shared" si="440"/>
        <v>1999</v>
      </c>
      <c r="L396" s="896">
        <f t="shared" si="440"/>
        <v>2000</v>
      </c>
      <c r="M396" s="896">
        <f t="shared" si="440"/>
        <v>2001</v>
      </c>
      <c r="N396" s="896">
        <f t="shared" si="440"/>
        <v>2002</v>
      </c>
      <c r="O396" s="896">
        <f t="shared" si="440"/>
        <v>2003</v>
      </c>
      <c r="P396" s="896">
        <f t="shared" ref="P396:V396" si="441">+O396+1</f>
        <v>2004</v>
      </c>
      <c r="Q396" s="896">
        <f t="shared" si="441"/>
        <v>2005</v>
      </c>
      <c r="R396" s="896">
        <f t="shared" si="441"/>
        <v>2006</v>
      </c>
      <c r="S396" s="896">
        <f>+R396+1</f>
        <v>2007</v>
      </c>
      <c r="T396" s="896">
        <f t="shared" si="441"/>
        <v>2008</v>
      </c>
      <c r="U396" s="896">
        <f t="shared" si="441"/>
        <v>2009</v>
      </c>
      <c r="V396" s="896">
        <f t="shared" si="441"/>
        <v>2010</v>
      </c>
      <c r="W396" s="896">
        <f t="shared" ref="W396:AE396" si="442">+V396+1</f>
        <v>2011</v>
      </c>
      <c r="X396" s="896">
        <f t="shared" si="442"/>
        <v>2012</v>
      </c>
      <c r="Y396" s="896">
        <f t="shared" si="442"/>
        <v>2013</v>
      </c>
      <c r="Z396" s="896">
        <f t="shared" si="442"/>
        <v>2014</v>
      </c>
      <c r="AA396" s="896">
        <f t="shared" si="442"/>
        <v>2015</v>
      </c>
      <c r="AB396" s="896">
        <f t="shared" si="442"/>
        <v>2016</v>
      </c>
      <c r="AC396" s="896">
        <f t="shared" si="442"/>
        <v>2017</v>
      </c>
      <c r="AD396" s="896">
        <f t="shared" si="442"/>
        <v>2018</v>
      </c>
      <c r="AE396" s="896">
        <f t="shared" si="442"/>
        <v>2019</v>
      </c>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row>
    <row r="397" spans="1:94" s="699" customFormat="1" ht="12.75" customHeight="1">
      <c r="A397" s="664"/>
      <c r="B397" s="664"/>
      <c r="C397" s="798" t="s">
        <v>1767</v>
      </c>
      <c r="D397" s="833"/>
      <c r="E397" s="834" t="s">
        <v>821</v>
      </c>
      <c r="F397" s="1114" t="s">
        <v>1660</v>
      </c>
      <c r="G397" s="1115"/>
      <c r="H397" s="1115">
        <f>(H394/G394-1)*100</f>
        <v>26.451698773461917</v>
      </c>
      <c r="I397" s="1115">
        <f t="shared" ref="I397:S397" si="443">(I394/H394-1)*100</f>
        <v>17.107105597365326</v>
      </c>
      <c r="J397" s="1115">
        <f t="shared" si="443"/>
        <v>13.323173375731233</v>
      </c>
      <c r="K397" s="1115">
        <f t="shared" si="443"/>
        <v>-6.6227367788129987</v>
      </c>
      <c r="L397" s="1115">
        <f t="shared" si="443"/>
        <v>-0.65481962609762467</v>
      </c>
      <c r="M397" s="1115">
        <f t="shared" si="443"/>
        <v>-1.1344440349332463</v>
      </c>
      <c r="N397" s="1115">
        <f t="shared" si="443"/>
        <v>1.6474317934132232</v>
      </c>
      <c r="O397" s="1115">
        <f t="shared" si="443"/>
        <v>1.3036911582078536</v>
      </c>
      <c r="P397" s="1115">
        <f t="shared" si="443"/>
        <v>2.5421801182650361</v>
      </c>
      <c r="Q397" s="1115">
        <f t="shared" si="443"/>
        <v>7.3641641474771813</v>
      </c>
      <c r="R397" s="1115">
        <f t="shared" si="443"/>
        <v>16.061054567290167</v>
      </c>
      <c r="S397" s="1115">
        <f t="shared" si="443"/>
        <v>8.0178957894710745</v>
      </c>
      <c r="T397" s="1115">
        <f t="shared" ref="T397:AE397" si="444">(T394/S394-1)*100</f>
        <v>20.123287827473657</v>
      </c>
      <c r="U397" s="1115">
        <f t="shared" si="444"/>
        <v>-4.9958264836450716</v>
      </c>
      <c r="V397" s="1115">
        <f t="shared" si="444"/>
        <v>0.44022287375675706</v>
      </c>
      <c r="W397" s="1115">
        <f t="shared" si="444"/>
        <v>3.4948535062180097</v>
      </c>
      <c r="X397" s="1115">
        <f t="shared" si="444"/>
        <v>0.33763059744986723</v>
      </c>
      <c r="Y397" s="1115">
        <f t="shared" si="444"/>
        <v>-0.61043945331430427</v>
      </c>
      <c r="Z397" s="1115">
        <f t="shared" si="444"/>
        <v>3.7512470732840031</v>
      </c>
      <c r="AA397" s="1115">
        <f t="shared" si="444"/>
        <v>5.6788154789921386</v>
      </c>
      <c r="AB397" s="1115">
        <f t="shared" si="444"/>
        <v>1.9198170881425058</v>
      </c>
      <c r="AC397" s="1115">
        <f t="shared" si="444"/>
        <v>2.8934891799005991</v>
      </c>
      <c r="AD397" s="1115">
        <f t="shared" ca="1" si="444"/>
        <v>3.9400000000000102</v>
      </c>
      <c r="AE397" s="1115">
        <f t="shared" ca="1" si="444"/>
        <v>3.5399999999999876</v>
      </c>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row>
    <row r="398" spans="1:94">
      <c r="V398"/>
      <c r="W398"/>
      <c r="X398"/>
      <c r="Y398"/>
      <c r="Z398"/>
      <c r="AA398"/>
    </row>
    <row r="399" spans="1:94">
      <c r="A399" s="1130"/>
      <c r="D399" s="1138"/>
      <c r="E399" s="1139" t="s">
        <v>2034</v>
      </c>
      <c r="F399" s="1140"/>
      <c r="G399" s="1141">
        <f>+InputY!$G$3</f>
        <v>1995</v>
      </c>
      <c r="H399" s="1141">
        <f>+G399+1</f>
        <v>1996</v>
      </c>
      <c r="I399" s="1141">
        <f t="shared" ref="I399:O399" si="445">+H399+1</f>
        <v>1997</v>
      </c>
      <c r="J399" s="1141">
        <f t="shared" si="445"/>
        <v>1998</v>
      </c>
      <c r="K399" s="1141">
        <f t="shared" si="445"/>
        <v>1999</v>
      </c>
      <c r="L399" s="1141">
        <f t="shared" si="445"/>
        <v>2000</v>
      </c>
      <c r="M399" s="1141">
        <f t="shared" si="445"/>
        <v>2001</v>
      </c>
      <c r="N399" s="1141">
        <f t="shared" si="445"/>
        <v>2002</v>
      </c>
      <c r="O399" s="1141">
        <f t="shared" si="445"/>
        <v>2003</v>
      </c>
      <c r="P399" s="1141">
        <f t="shared" ref="P399:V399" si="446">+O399+1</f>
        <v>2004</v>
      </c>
      <c r="Q399" s="1141">
        <f t="shared" si="446"/>
        <v>2005</v>
      </c>
      <c r="R399" s="1141">
        <f t="shared" si="446"/>
        <v>2006</v>
      </c>
      <c r="S399" s="1141">
        <f>+R399+1</f>
        <v>2007</v>
      </c>
      <c r="T399" s="1141">
        <f t="shared" si="446"/>
        <v>2008</v>
      </c>
      <c r="U399" s="1141">
        <f t="shared" si="446"/>
        <v>2009</v>
      </c>
      <c r="V399" s="1141">
        <f t="shared" si="446"/>
        <v>2010</v>
      </c>
      <c r="W399" s="1141">
        <f t="shared" ref="W399:AE399" si="447">+V399+1</f>
        <v>2011</v>
      </c>
      <c r="X399" s="1141">
        <f t="shared" si="447"/>
        <v>2012</v>
      </c>
      <c r="Y399" s="1141">
        <f t="shared" si="447"/>
        <v>2013</v>
      </c>
      <c r="Z399" s="1141">
        <f t="shared" si="447"/>
        <v>2014</v>
      </c>
      <c r="AA399" s="1141">
        <f t="shared" si="447"/>
        <v>2015</v>
      </c>
      <c r="AB399" s="1141">
        <f t="shared" si="447"/>
        <v>2016</v>
      </c>
      <c r="AC399" s="1141">
        <f t="shared" si="447"/>
        <v>2017</v>
      </c>
      <c r="AD399" s="1141">
        <f t="shared" si="447"/>
        <v>2018</v>
      </c>
      <c r="AE399" s="1141">
        <f t="shared" si="447"/>
        <v>2019</v>
      </c>
    </row>
    <row r="400" spans="1:94">
      <c r="A400" s="664"/>
      <c r="B400" s="664"/>
      <c r="C400" s="1079" t="s">
        <v>1767</v>
      </c>
      <c r="D400" s="1058" t="s">
        <v>687</v>
      </c>
      <c r="E400" s="1059" t="s">
        <v>644</v>
      </c>
      <c r="F400" s="1069" t="s">
        <v>1661</v>
      </c>
      <c r="G400" s="1054"/>
      <c r="H400" s="1054"/>
      <c r="I400" s="1054"/>
      <c r="J400" s="1054"/>
      <c r="K400" s="1054"/>
      <c r="L400" s="1054"/>
      <c r="M400" s="1054"/>
      <c r="N400" s="1054"/>
      <c r="O400" s="1054"/>
      <c r="P400" s="1054"/>
      <c r="Q400" s="1054"/>
      <c r="R400" s="1054"/>
      <c r="S400" s="1054"/>
      <c r="T400" s="1054"/>
      <c r="U400" s="1054"/>
      <c r="V400" s="1054"/>
      <c r="W400" s="1054"/>
      <c r="X400" s="1054"/>
      <c r="Y400" s="1054"/>
      <c r="Z400" s="1054"/>
      <c r="AA400" s="1054"/>
      <c r="AB400" s="1054"/>
      <c r="AC400" s="1054"/>
      <c r="AD400" s="1054"/>
      <c r="AE400" s="1054"/>
    </row>
    <row r="401" spans="1:94">
      <c r="A401" s="664"/>
      <c r="B401" s="664"/>
      <c r="C401" s="1080" t="s">
        <v>1767</v>
      </c>
      <c r="D401" s="1070" t="s">
        <v>1447</v>
      </c>
      <c r="E401" s="1" t="s">
        <v>644</v>
      </c>
      <c r="F401" s="1070" t="s">
        <v>1662</v>
      </c>
      <c r="G401" s="881"/>
      <c r="H401" s="881"/>
      <c r="I401" s="881"/>
      <c r="J401" s="881"/>
      <c r="K401" s="881"/>
      <c r="L401" s="881"/>
      <c r="M401" s="881"/>
      <c r="N401" s="881"/>
      <c r="O401" s="881"/>
      <c r="P401" s="881"/>
      <c r="Q401" s="881"/>
      <c r="R401" s="881"/>
      <c r="S401" s="881"/>
      <c r="T401" s="881"/>
      <c r="U401" s="881"/>
      <c r="V401" s="881"/>
      <c r="W401" s="881"/>
      <c r="X401" s="881"/>
      <c r="Y401" s="881"/>
      <c r="Z401" s="881"/>
      <c r="AA401" s="881"/>
      <c r="AB401" s="881"/>
      <c r="AC401" s="881"/>
      <c r="AD401" s="881"/>
      <c r="AE401" s="881"/>
    </row>
    <row r="402" spans="1:94">
      <c r="A402" s="1130"/>
      <c r="C402" s="1080" t="s">
        <v>1769</v>
      </c>
      <c r="D402" s="1071"/>
      <c r="E402" s="1067" t="s">
        <v>644</v>
      </c>
      <c r="F402" s="1071" t="s">
        <v>1663</v>
      </c>
      <c r="G402" s="1068">
        <f t="shared" ref="G402:X402" si="448">+G204/G21*100</f>
        <v>57.377497629928968</v>
      </c>
      <c r="H402" s="1068">
        <f t="shared" si="448"/>
        <v>65.101323538867305</v>
      </c>
      <c r="I402" s="1068">
        <f t="shared" si="448"/>
        <v>70.170572513703291</v>
      </c>
      <c r="J402" s="1068">
        <f t="shared" si="448"/>
        <v>72.16384460218849</v>
      </c>
      <c r="K402" s="1068">
        <f t="shared" si="448"/>
        <v>72.900735625876393</v>
      </c>
      <c r="L402" s="1068">
        <f t="shared" si="448"/>
        <v>73.664421018382825</v>
      </c>
      <c r="M402" s="1068">
        <f t="shared" si="448"/>
        <v>73.39272117979209</v>
      </c>
      <c r="N402" s="1068">
        <f t="shared" si="448"/>
        <v>73.364924167870811</v>
      </c>
      <c r="O402" s="1068">
        <f t="shared" si="448"/>
        <v>74.42645594537467</v>
      </c>
      <c r="P402" s="1068">
        <f t="shared" si="448"/>
        <v>78.957942218333486</v>
      </c>
      <c r="Q402" s="1068">
        <f t="shared" si="448"/>
        <v>84.7232893470688</v>
      </c>
      <c r="R402" s="1068">
        <f t="shared" si="448"/>
        <v>92.813064602763802</v>
      </c>
      <c r="S402" s="1068">
        <f t="shared" si="448"/>
        <v>104.78094381397061</v>
      </c>
      <c r="T402" s="1068">
        <f t="shared" si="448"/>
        <v>114.83851775205329</v>
      </c>
      <c r="U402" s="1068">
        <f t="shared" si="448"/>
        <v>104.23701192881821</v>
      </c>
      <c r="V402" s="1068">
        <f t="shared" si="448"/>
        <v>100</v>
      </c>
      <c r="W402" s="1068">
        <f>+W204/W21*100</f>
        <v>103.94367507715212</v>
      </c>
      <c r="X402" s="1068">
        <f t="shared" si="448"/>
        <v>107.79099891677274</v>
      </c>
      <c r="Y402" s="1068">
        <f t="shared" ref="Y402:Z404" si="449">+Y204/Y21*100</f>
        <v>112.15747498596444</v>
      </c>
      <c r="Z402" s="1068">
        <f t="shared" si="449"/>
        <v>114.51739045425909</v>
      </c>
      <c r="AA402" s="1068">
        <f t="shared" ref="AA402:AB404" si="450">+AA204/AA21*100</f>
        <v>115.05207703470795</v>
      </c>
      <c r="AB402" s="1068">
        <f t="shared" si="450"/>
        <v>111.75333412818722</v>
      </c>
      <c r="AC402" s="1068">
        <f t="shared" ref="AC402:AD404" si="451">+AC204/AC21*100</f>
        <v>116.54888704136535</v>
      </c>
      <c r="AD402" s="1068">
        <f t="shared" ca="1" si="451"/>
        <v>120.39500031373041</v>
      </c>
      <c r="AE402" s="1068">
        <f t="shared" ref="AE402" ca="1" si="452">+AE204/AE21*100</f>
        <v>124.36803532408349</v>
      </c>
    </row>
    <row r="403" spans="1:94" ht="12.75" customHeight="1">
      <c r="A403" s="664"/>
      <c r="B403" s="664"/>
      <c r="C403" s="1080" t="s">
        <v>1767</v>
      </c>
      <c r="D403" s="3"/>
      <c r="E403" s="1" t="s">
        <v>1443</v>
      </c>
      <c r="F403" s="3" t="s">
        <v>1664</v>
      </c>
      <c r="G403" s="1062">
        <f t="shared" ref="G403:X403" si="453">+G205/G22*100</f>
        <v>54.266530435708368</v>
      </c>
      <c r="H403" s="1062">
        <f t="shared" si="453"/>
        <v>62.700612057425516</v>
      </c>
      <c r="I403" s="1062">
        <f t="shared" si="453"/>
        <v>69.612776299760242</v>
      </c>
      <c r="J403" s="1062">
        <f t="shared" si="453"/>
        <v>72.711486389665708</v>
      </c>
      <c r="K403" s="1062">
        <f t="shared" si="453"/>
        <v>73.797884863945001</v>
      </c>
      <c r="L403" s="1062">
        <f t="shared" si="453"/>
        <v>74.30352482010781</v>
      </c>
      <c r="M403" s="1062">
        <f t="shared" si="453"/>
        <v>73.432434330282902</v>
      </c>
      <c r="N403" s="1062">
        <f t="shared" si="453"/>
        <v>73.792344771932207</v>
      </c>
      <c r="O403" s="1062">
        <f t="shared" si="453"/>
        <v>74.699438724552337</v>
      </c>
      <c r="P403" s="1062">
        <f t="shared" si="453"/>
        <v>80.440295066851093</v>
      </c>
      <c r="Q403" s="1062">
        <f t="shared" si="453"/>
        <v>87.261024113747709</v>
      </c>
      <c r="R403" s="1062">
        <f t="shared" si="453"/>
        <v>96.592350627933527</v>
      </c>
      <c r="S403" s="1062">
        <f t="shared" si="453"/>
        <v>112.13576821676534</v>
      </c>
      <c r="T403" s="1062">
        <f t="shared" si="453"/>
        <v>122.83871111012412</v>
      </c>
      <c r="U403" s="1062">
        <f t="shared" si="453"/>
        <v>105.02846753743842</v>
      </c>
      <c r="V403" s="1062">
        <f t="shared" si="453"/>
        <v>100</v>
      </c>
      <c r="W403" s="1062">
        <f>+W205/W22*100</f>
        <v>103.77361667733133</v>
      </c>
      <c r="X403" s="1062">
        <f t="shared" si="453"/>
        <v>106.9477151090984</v>
      </c>
      <c r="Y403" s="1062">
        <f t="shared" si="449"/>
        <v>111.76705107570544</v>
      </c>
      <c r="Z403" s="1062">
        <f t="shared" si="449"/>
        <v>115.34983581712555</v>
      </c>
      <c r="AA403" s="1062">
        <f t="shared" si="450"/>
        <v>115.79786298478587</v>
      </c>
      <c r="AB403" s="1062">
        <f t="shared" si="450"/>
        <v>119.49512004282832</v>
      </c>
      <c r="AC403" s="1062">
        <f t="shared" si="451"/>
        <v>121.52285359667584</v>
      </c>
      <c r="AD403" s="1062">
        <f t="shared" ca="1" si="451"/>
        <v>125.53310776536613</v>
      </c>
      <c r="AE403" s="1062">
        <f t="shared" ref="AE403" ca="1" si="454">+AE205/AE22*100</f>
        <v>129.6757003216232</v>
      </c>
    </row>
    <row r="404" spans="1:94">
      <c r="A404" s="1130"/>
      <c r="C404" s="1081" t="s">
        <v>1769</v>
      </c>
      <c r="D404" s="1142"/>
      <c r="E404" s="1143" t="s">
        <v>1444</v>
      </c>
      <c r="F404" s="1142" t="s">
        <v>1665</v>
      </c>
      <c r="G404" s="1144">
        <f t="shared" ref="G404:X404" si="455">+G206/G23*100</f>
        <v>57.374584041502033</v>
      </c>
      <c r="H404" s="1144">
        <f t="shared" si="455"/>
        <v>65.322476069531831</v>
      </c>
      <c r="I404" s="1144">
        <f t="shared" si="455"/>
        <v>70.710978771426213</v>
      </c>
      <c r="J404" s="1144">
        <f t="shared" si="455"/>
        <v>72.850108951596752</v>
      </c>
      <c r="K404" s="1144">
        <f t="shared" si="455"/>
        <v>73.634922465743273</v>
      </c>
      <c r="L404" s="1144">
        <f t="shared" si="455"/>
        <v>74.348559801808662</v>
      </c>
      <c r="M404" s="1144">
        <f t="shared" si="455"/>
        <v>73.989142724071527</v>
      </c>
      <c r="N404" s="1144">
        <f t="shared" si="455"/>
        <v>74.016329604515661</v>
      </c>
      <c r="O404" s="1144">
        <f t="shared" si="455"/>
        <v>75.069544137221627</v>
      </c>
      <c r="P404" s="1144">
        <f t="shared" si="455"/>
        <v>79.824710933270381</v>
      </c>
      <c r="Q404" s="1144">
        <f t="shared" si="455"/>
        <v>85.808531859495531</v>
      </c>
      <c r="R404" s="1144">
        <f t="shared" si="455"/>
        <v>94.164489382099319</v>
      </c>
      <c r="S404" s="1144">
        <f t="shared" si="455"/>
        <v>106.78167394018931</v>
      </c>
      <c r="T404" s="1144">
        <f t="shared" si="455"/>
        <v>117.01977543428042</v>
      </c>
      <c r="U404" s="1144">
        <f t="shared" si="455"/>
        <v>104.404924289899</v>
      </c>
      <c r="V404" s="1144">
        <f t="shared" si="455"/>
        <v>100</v>
      </c>
      <c r="W404" s="1144">
        <f>+W206/W23*100</f>
        <v>103.91184868176404</v>
      </c>
      <c r="X404" s="1144">
        <f t="shared" si="455"/>
        <v>107.62455845918922</v>
      </c>
      <c r="Y404" s="1144">
        <f t="shared" si="449"/>
        <v>112.08492427349299</v>
      </c>
      <c r="Z404" s="1144">
        <f t="shared" si="449"/>
        <v>114.7176495018229</v>
      </c>
      <c r="AA404" s="1144">
        <f t="shared" si="450"/>
        <v>115.23010889722774</v>
      </c>
      <c r="AB404" s="1144">
        <f t="shared" si="450"/>
        <v>113.97874403653121</v>
      </c>
      <c r="AC404" s="1144">
        <f t="shared" si="451"/>
        <v>118.04240405013988</v>
      </c>
      <c r="AD404" s="1144">
        <f t="shared" ca="1" si="451"/>
        <v>121.93780338379447</v>
      </c>
      <c r="AE404" s="1144">
        <f t="shared" ref="AE404" ca="1" si="456">+AE206/AE23*100</f>
        <v>125.96175089545967</v>
      </c>
    </row>
    <row r="405" spans="1:94">
      <c r="A405" s="1130"/>
      <c r="C405" s="1079" t="s">
        <v>1767</v>
      </c>
      <c r="D405" s="1058" t="s">
        <v>687</v>
      </c>
      <c r="E405" s="1038" t="s">
        <v>1445</v>
      </c>
      <c r="F405" s="1058" t="s">
        <v>704</v>
      </c>
      <c r="G405" s="1054"/>
      <c r="H405" s="1054"/>
      <c r="I405" s="1054"/>
      <c r="J405" s="1054"/>
      <c r="K405" s="1054"/>
      <c r="L405" s="1054"/>
      <c r="M405" s="1054"/>
      <c r="N405" s="1054"/>
      <c r="O405" s="1054"/>
      <c r="P405" s="1054"/>
      <c r="Q405" s="1054"/>
      <c r="R405" s="1054"/>
      <c r="S405" s="1054"/>
      <c r="T405" s="1054"/>
      <c r="U405" s="1054"/>
      <c r="V405" s="1054"/>
      <c r="W405" s="1054"/>
      <c r="X405" s="1054"/>
      <c r="Y405" s="1054"/>
      <c r="Z405" s="1054"/>
      <c r="AA405" s="1054"/>
      <c r="AB405" s="1054"/>
      <c r="AC405" s="1054"/>
      <c r="AD405" s="1054"/>
      <c r="AE405" s="1054"/>
    </row>
    <row r="406" spans="1:94">
      <c r="A406" s="1130"/>
      <c r="C406" s="1080" t="s">
        <v>1767</v>
      </c>
      <c r="D406" s="1070" t="s">
        <v>1447</v>
      </c>
      <c r="E406" s="1" t="s">
        <v>1445</v>
      </c>
      <c r="F406" s="3" t="s">
        <v>705</v>
      </c>
      <c r="G406" s="881"/>
      <c r="H406" s="881"/>
      <c r="I406" s="881"/>
      <c r="J406" s="881"/>
      <c r="K406" s="881"/>
      <c r="L406" s="881"/>
      <c r="M406" s="881"/>
      <c r="N406" s="881"/>
      <c r="O406" s="881"/>
      <c r="P406" s="881"/>
      <c r="Q406" s="881"/>
      <c r="R406" s="881"/>
      <c r="S406" s="881"/>
      <c r="T406" s="881"/>
      <c r="U406" s="881"/>
      <c r="V406" s="881"/>
      <c r="W406" s="881"/>
      <c r="X406" s="881"/>
      <c r="Y406" s="881"/>
      <c r="Z406" s="881"/>
      <c r="AA406" s="881"/>
      <c r="AB406" s="881"/>
      <c r="AC406" s="881"/>
      <c r="AD406" s="881"/>
      <c r="AE406" s="881"/>
    </row>
    <row r="407" spans="1:94">
      <c r="A407" s="1130"/>
      <c r="C407" s="1081" t="s">
        <v>1769</v>
      </c>
      <c r="D407" s="1156"/>
      <c r="E407" s="1157" t="s">
        <v>1445</v>
      </c>
      <c r="F407" s="1156" t="s">
        <v>705</v>
      </c>
      <c r="G407" s="1158">
        <f t="shared" ref="G407:X407" si="457">+G210/G27*100</f>
        <v>151.95277155641233</v>
      </c>
      <c r="H407" s="1158">
        <f t="shared" si="457"/>
        <v>142.52895905254601</v>
      </c>
      <c r="I407" s="1158">
        <f t="shared" si="457"/>
        <v>143.28703124631693</v>
      </c>
      <c r="J407" s="1158">
        <f t="shared" si="457"/>
        <v>132.63606980137803</v>
      </c>
      <c r="K407" s="1158">
        <f t="shared" si="457"/>
        <v>116.64074251841245</v>
      </c>
      <c r="L407" s="1158">
        <f t="shared" si="457"/>
        <v>111.54588922174391</v>
      </c>
      <c r="M407" s="1158">
        <f t="shared" si="457"/>
        <v>110.41972930803846</v>
      </c>
      <c r="N407" s="1158">
        <f t="shared" si="457"/>
        <v>106.22450442702223</v>
      </c>
      <c r="O407" s="1158">
        <f t="shared" si="457"/>
        <v>104.18616684645046</v>
      </c>
      <c r="P407" s="1158">
        <f t="shared" si="457"/>
        <v>96.441419428531049</v>
      </c>
      <c r="Q407" s="1158">
        <f t="shared" si="457"/>
        <v>97.577111029373114</v>
      </c>
      <c r="R407" s="1158">
        <f t="shared" si="457"/>
        <v>97.009364254226497</v>
      </c>
      <c r="S407" s="1158">
        <f t="shared" si="457"/>
        <v>99.040286820886337</v>
      </c>
      <c r="T407" s="1158">
        <f t="shared" si="457"/>
        <v>101.93695622425962</v>
      </c>
      <c r="U407" s="1158">
        <f t="shared" si="457"/>
        <v>101.11744142018087</v>
      </c>
      <c r="V407" s="1158">
        <f t="shared" si="457"/>
        <v>100</v>
      </c>
      <c r="W407" s="1158">
        <f>+W210/W27*100</f>
        <v>100.63556601754762</v>
      </c>
      <c r="X407" s="1158">
        <f t="shared" si="457"/>
        <v>101.84449637912782</v>
      </c>
      <c r="Y407" s="1158">
        <f t="shared" ref="Y407:Z409" si="458">+Y210/Y27*100</f>
        <v>102.09464375664632</v>
      </c>
      <c r="Z407" s="1158">
        <f t="shared" si="458"/>
        <v>101.51203552231831</v>
      </c>
      <c r="AA407" s="1158">
        <f t="shared" ref="AA407:AB409" si="459">+AA210/AA27*100</f>
        <v>101.98811992200865</v>
      </c>
      <c r="AB407" s="1158">
        <f t="shared" si="459"/>
        <v>101.47107775642677</v>
      </c>
      <c r="AC407" s="1158">
        <f t="shared" ref="AC407:AD409" si="460">+AC210/AC27*100</f>
        <v>99.370420171570913</v>
      </c>
      <c r="AD407" s="1158">
        <f t="shared" ca="1" si="460"/>
        <v>100.86097647414446</v>
      </c>
      <c r="AE407" s="1158">
        <f t="shared" ref="AE407" ca="1" si="461">+AE210/AE27*100</f>
        <v>102.37389112125663</v>
      </c>
    </row>
    <row r="408" spans="1:94">
      <c r="A408" s="664"/>
      <c r="B408" s="664"/>
      <c r="C408" s="1082" t="s">
        <v>1769</v>
      </c>
      <c r="D408" s="1159"/>
      <c r="E408" s="1160" t="s">
        <v>1446</v>
      </c>
      <c r="F408" s="1159" t="s">
        <v>706</v>
      </c>
      <c r="G408" s="1161">
        <f t="shared" ref="G408:X408" si="462">+G211/G28*100</f>
        <v>40.579794407163455</v>
      </c>
      <c r="H408" s="1161">
        <f t="shared" si="462"/>
        <v>47.615006251347275</v>
      </c>
      <c r="I408" s="1161">
        <f t="shared" si="462"/>
        <v>49.110012676903217</v>
      </c>
      <c r="J408" s="1161">
        <f t="shared" si="462"/>
        <v>43.497238469418534</v>
      </c>
      <c r="K408" s="1161">
        <f t="shared" si="462"/>
        <v>40.809934873045819</v>
      </c>
      <c r="L408" s="1161">
        <f t="shared" si="462"/>
        <v>58.714693690908703</v>
      </c>
      <c r="M408" s="1161">
        <f t="shared" si="462"/>
        <v>69.745286619706334</v>
      </c>
      <c r="N408" s="1161">
        <f t="shared" si="462"/>
        <v>61.930438162810461</v>
      </c>
      <c r="O408" s="1161">
        <f t="shared" si="462"/>
        <v>68.416471219696263</v>
      </c>
      <c r="P408" s="1161">
        <f t="shared" si="462"/>
        <v>73.439792348493413</v>
      </c>
      <c r="Q408" s="1161">
        <f t="shared" si="462"/>
        <v>86.245801847187238</v>
      </c>
      <c r="R408" s="1161">
        <f t="shared" si="462"/>
        <v>101.24797672945647</v>
      </c>
      <c r="S408" s="1161">
        <f t="shared" si="462"/>
        <v>104.42630402666767</v>
      </c>
      <c r="T408" s="1161">
        <f t="shared" si="462"/>
        <v>103.92435436004293</v>
      </c>
      <c r="U408" s="1161">
        <f t="shared" si="462"/>
        <v>102.88242062968065</v>
      </c>
      <c r="V408" s="1161">
        <f t="shared" si="462"/>
        <v>100</v>
      </c>
      <c r="W408" s="1161">
        <f>+W211/W28*100</f>
        <v>94.749418348739241</v>
      </c>
      <c r="X408" s="1161">
        <f t="shared" si="462"/>
        <v>90.635635086178496</v>
      </c>
      <c r="Y408" s="1161">
        <f t="shared" si="458"/>
        <v>96.698937194912887</v>
      </c>
      <c r="Z408" s="1161">
        <f t="shared" si="458"/>
        <v>96.35247222954952</v>
      </c>
      <c r="AA408" s="1161">
        <f t="shared" si="459"/>
        <v>104.13026650447858</v>
      </c>
      <c r="AB408" s="1161">
        <f t="shared" si="459"/>
        <v>114.72481602450296</v>
      </c>
      <c r="AC408" s="1161">
        <f t="shared" si="460"/>
        <v>108.27102968275017</v>
      </c>
      <c r="AD408" s="1161">
        <f t="shared" ca="1" si="460"/>
        <v>109.3537399795777</v>
      </c>
      <c r="AE408" s="1161">
        <f t="shared" ref="AE408" ca="1" si="463">+AE211/AE28*100</f>
        <v>110.44727737937346</v>
      </c>
    </row>
    <row r="409" spans="1:94">
      <c r="A409" s="1130"/>
      <c r="C409" s="1083" t="s">
        <v>1448</v>
      </c>
      <c r="D409" s="1162"/>
      <c r="E409" s="1163" t="s">
        <v>376</v>
      </c>
      <c r="F409" s="1162" t="s">
        <v>707</v>
      </c>
      <c r="G409" s="1164">
        <f t="shared" ref="G409:X409" si="464">+G212/G29*100</f>
        <v>84.755073039905866</v>
      </c>
      <c r="H409" s="1164">
        <f t="shared" si="464"/>
        <v>88.506711627588899</v>
      </c>
      <c r="I409" s="1164">
        <f t="shared" si="464"/>
        <v>92.506253845999325</v>
      </c>
      <c r="J409" s="1164">
        <f t="shared" si="464"/>
        <v>90.584057887923336</v>
      </c>
      <c r="K409" s="1164">
        <f t="shared" si="464"/>
        <v>86.405489595022374</v>
      </c>
      <c r="L409" s="1164">
        <f t="shared" si="464"/>
        <v>86.406333411444734</v>
      </c>
      <c r="M409" s="1164">
        <f t="shared" si="464"/>
        <v>86.950589327200404</v>
      </c>
      <c r="N409" s="1164">
        <f t="shared" si="464"/>
        <v>84.860791883594459</v>
      </c>
      <c r="O409" s="1164">
        <f t="shared" si="464"/>
        <v>85.333904662701684</v>
      </c>
      <c r="P409" s="1164">
        <f t="shared" si="464"/>
        <v>85.769387968871627</v>
      </c>
      <c r="Q409" s="1164">
        <f t="shared" si="464"/>
        <v>90.491816568799592</v>
      </c>
      <c r="R409" s="1164">
        <f t="shared" si="464"/>
        <v>96.180007240962269</v>
      </c>
      <c r="S409" s="1164">
        <f t="shared" si="464"/>
        <v>104.51014666508827</v>
      </c>
      <c r="T409" s="1164">
        <f t="shared" si="464"/>
        <v>111.67631483325266</v>
      </c>
      <c r="U409" s="1164">
        <f t="shared" si="464"/>
        <v>103.28367950738367</v>
      </c>
      <c r="V409" s="1164">
        <f t="shared" si="464"/>
        <v>100</v>
      </c>
      <c r="W409" s="1164">
        <f>+W212/W29*100</f>
        <v>101.80717056823205</v>
      </c>
      <c r="X409" s="1164">
        <f t="shared" si="464"/>
        <v>103.77444415160171</v>
      </c>
      <c r="Y409" s="1164">
        <f t="shared" si="458"/>
        <v>106.86144340956423</v>
      </c>
      <c r="Z409" s="1164">
        <f t="shared" si="458"/>
        <v>108.1033397726312</v>
      </c>
      <c r="AA409" s="1164">
        <f t="shared" si="459"/>
        <v>109.39417607378546</v>
      </c>
      <c r="AB409" s="1164">
        <f t="shared" si="459"/>
        <v>109.74636289431987</v>
      </c>
      <c r="AC409" s="1164">
        <f t="shared" si="460"/>
        <v>110.19351428599396</v>
      </c>
      <c r="AD409" s="1164">
        <f t="shared" ca="1" si="460"/>
        <v>112.80320531309542</v>
      </c>
      <c r="AE409" s="1164">
        <f t="shared" ref="AE409" ca="1" si="465">+AE212/AE29*100</f>
        <v>115.48388062611789</v>
      </c>
    </row>
    <row r="410" spans="1:94">
      <c r="V410"/>
      <c r="W410"/>
      <c r="X410"/>
      <c r="Y410"/>
      <c r="Z410"/>
      <c r="AA410"/>
    </row>
    <row r="411" spans="1:94" s="699" customFormat="1" ht="12.75" customHeight="1">
      <c r="A411" s="664"/>
      <c r="B411" s="664"/>
      <c r="C411" s="774"/>
      <c r="D411" s="1092"/>
      <c r="E411" s="1093" t="s">
        <v>2034</v>
      </c>
      <c r="F411" s="744"/>
      <c r="G411" s="745">
        <f>+InputY!$G$3</f>
        <v>1995</v>
      </c>
      <c r="H411" s="745">
        <f>+G411+1</f>
        <v>1996</v>
      </c>
      <c r="I411" s="745">
        <f t="shared" ref="I411:O411" si="466">+H411+1</f>
        <v>1997</v>
      </c>
      <c r="J411" s="745">
        <f t="shared" si="466"/>
        <v>1998</v>
      </c>
      <c r="K411" s="745">
        <f t="shared" si="466"/>
        <v>1999</v>
      </c>
      <c r="L411" s="745">
        <f t="shared" si="466"/>
        <v>2000</v>
      </c>
      <c r="M411" s="745">
        <f t="shared" si="466"/>
        <v>2001</v>
      </c>
      <c r="N411" s="745">
        <f t="shared" si="466"/>
        <v>2002</v>
      </c>
      <c r="O411" s="745">
        <f t="shared" si="466"/>
        <v>2003</v>
      </c>
      <c r="P411" s="745">
        <f t="shared" ref="P411:V411" si="467">+O411+1</f>
        <v>2004</v>
      </c>
      <c r="Q411" s="745">
        <f t="shared" si="467"/>
        <v>2005</v>
      </c>
      <c r="R411" s="745">
        <f t="shared" si="467"/>
        <v>2006</v>
      </c>
      <c r="S411" s="745">
        <f>+R411+1</f>
        <v>2007</v>
      </c>
      <c r="T411" s="745">
        <f t="shared" si="467"/>
        <v>2008</v>
      </c>
      <c r="U411" s="745">
        <f t="shared" si="467"/>
        <v>2009</v>
      </c>
      <c r="V411" s="745">
        <f t="shared" si="467"/>
        <v>2010</v>
      </c>
      <c r="W411" s="745">
        <f t="shared" ref="W411:AE411" si="468">+V411+1</f>
        <v>2011</v>
      </c>
      <c r="X411" s="745">
        <f t="shared" si="468"/>
        <v>2012</v>
      </c>
      <c r="Y411" s="745">
        <f t="shared" si="468"/>
        <v>2013</v>
      </c>
      <c r="Z411" s="745">
        <f t="shared" si="468"/>
        <v>2014</v>
      </c>
      <c r="AA411" s="745">
        <f t="shared" si="468"/>
        <v>2015</v>
      </c>
      <c r="AB411" s="745">
        <f t="shared" si="468"/>
        <v>2016</v>
      </c>
      <c r="AC411" s="745">
        <f t="shared" si="468"/>
        <v>2017</v>
      </c>
      <c r="AD411" s="745">
        <f t="shared" si="468"/>
        <v>2018</v>
      </c>
      <c r="AE411" s="745">
        <f t="shared" si="468"/>
        <v>2019</v>
      </c>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row>
    <row r="412" spans="1:94" s="699" customFormat="1" ht="12.75" customHeight="1">
      <c r="A412" s="664"/>
      <c r="B412" s="664"/>
      <c r="C412" s="794" t="s">
        <v>1767</v>
      </c>
      <c r="D412" s="689" t="s">
        <v>687</v>
      </c>
      <c r="E412" s="738" t="s">
        <v>644</v>
      </c>
      <c r="F412" s="704" t="s">
        <v>1661</v>
      </c>
      <c r="G412" s="881"/>
      <c r="H412" s="881"/>
      <c r="I412" s="881"/>
      <c r="J412" s="881"/>
      <c r="K412" s="881"/>
      <c r="L412" s="881"/>
      <c r="M412" s="881"/>
      <c r="N412" s="881"/>
      <c r="O412" s="881"/>
      <c r="P412" s="881"/>
      <c r="Q412" s="881"/>
      <c r="R412" s="881"/>
      <c r="S412" s="881"/>
      <c r="T412" s="881"/>
      <c r="U412" s="881"/>
      <c r="V412" s="881"/>
      <c r="W412" s="881"/>
      <c r="X412" s="881"/>
      <c r="Y412" s="881"/>
      <c r="Z412" s="881"/>
      <c r="AA412" s="881"/>
      <c r="AB412" s="881"/>
      <c r="AC412" s="881"/>
      <c r="AD412" s="881"/>
      <c r="AE412" s="881"/>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row>
    <row r="413" spans="1:94">
      <c r="A413" s="664"/>
      <c r="B413" s="664"/>
      <c r="C413" s="1100" t="s">
        <v>1767</v>
      </c>
      <c r="D413" s="1070" t="s">
        <v>1447</v>
      </c>
      <c r="E413" s="1" t="s">
        <v>644</v>
      </c>
      <c r="F413" s="1070" t="s">
        <v>1662</v>
      </c>
      <c r="G413" s="881"/>
      <c r="H413" s="881"/>
      <c r="I413" s="881"/>
      <c r="J413" s="881"/>
      <c r="K413" s="881"/>
      <c r="L413" s="881"/>
      <c r="M413" s="881"/>
      <c r="N413" s="881"/>
      <c r="O413" s="881"/>
      <c r="P413" s="881"/>
      <c r="Q413" s="881"/>
      <c r="R413" s="881"/>
      <c r="S413" s="881"/>
      <c r="T413" s="881"/>
      <c r="U413" s="881"/>
      <c r="V413" s="881"/>
      <c r="W413" s="881"/>
      <c r="X413" s="881"/>
      <c r="Y413" s="881"/>
      <c r="Z413" s="881"/>
      <c r="AA413" s="881"/>
      <c r="AB413" s="881"/>
      <c r="AC413" s="881"/>
      <c r="AD413" s="881"/>
      <c r="AE413" s="881"/>
    </row>
    <row r="414" spans="1:94">
      <c r="A414" s="1130"/>
      <c r="C414" s="1100" t="s">
        <v>1769</v>
      </c>
      <c r="D414" s="1111"/>
      <c r="E414" s="1112" t="s">
        <v>644</v>
      </c>
      <c r="F414" s="1111" t="s">
        <v>1663</v>
      </c>
      <c r="G414" s="1113"/>
      <c r="H414" s="1113">
        <f>(H402/G402-1)*100</f>
        <v>13.461419943328924</v>
      </c>
      <c r="I414" s="1113">
        <f t="shared" ref="I414:S414" si="469">(I402/H402-1)*100</f>
        <v>7.7867064742693115</v>
      </c>
      <c r="J414" s="1113">
        <f t="shared" si="469"/>
        <v>2.8406096987393603</v>
      </c>
      <c r="K414" s="1113">
        <f t="shared" si="469"/>
        <v>1.0211360380673939</v>
      </c>
      <c r="L414" s="1113">
        <f t="shared" si="469"/>
        <v>1.0475688426871743</v>
      </c>
      <c r="M414" s="1113">
        <f t="shared" si="469"/>
        <v>-0.36883455382474839</v>
      </c>
      <c r="N414" s="1113">
        <f t="shared" si="469"/>
        <v>-3.7874344314314801E-2</v>
      </c>
      <c r="O414" s="1113">
        <f t="shared" si="469"/>
        <v>1.4469200228093948</v>
      </c>
      <c r="P414" s="1113">
        <f t="shared" si="469"/>
        <v>6.0885423273206785</v>
      </c>
      <c r="Q414" s="1113">
        <f t="shared" si="469"/>
        <v>7.301795065521155</v>
      </c>
      <c r="R414" s="1113">
        <f t="shared" si="469"/>
        <v>9.5484669186476587</v>
      </c>
      <c r="S414" s="1113">
        <f t="shared" si="469"/>
        <v>12.894606230737926</v>
      </c>
      <c r="T414" s="1113">
        <f t="shared" ref="T414:AE416" si="470">(T402/S402-1)*100</f>
        <v>9.5986670590971546</v>
      </c>
      <c r="U414" s="1113">
        <f t="shared" si="470"/>
        <v>-9.2316637577338767</v>
      </c>
      <c r="V414" s="1113">
        <f t="shared" si="470"/>
        <v>-4.0647864423738351</v>
      </c>
      <c r="W414" s="1113">
        <f t="shared" si="470"/>
        <v>3.9436750771521201</v>
      </c>
      <c r="X414" s="1113">
        <f t="shared" si="470"/>
        <v>3.7013544467856763</v>
      </c>
      <c r="Y414" s="1113">
        <f t="shared" si="470"/>
        <v>4.0508726267238115</v>
      </c>
      <c r="Z414" s="1113">
        <f t="shared" si="470"/>
        <v>2.1041089491270704</v>
      </c>
      <c r="AA414" s="1113">
        <f t="shared" si="470"/>
        <v>0.46690426521938111</v>
      </c>
      <c r="AB414" s="1113">
        <f t="shared" si="470"/>
        <v>-2.8671737108453832</v>
      </c>
      <c r="AC414" s="1113">
        <f t="shared" si="470"/>
        <v>4.2911944870274388</v>
      </c>
      <c r="AD414" s="1113">
        <f t="shared" ca="1" si="470"/>
        <v>3.2999999999999918</v>
      </c>
      <c r="AE414" s="1113">
        <f t="shared" ca="1" si="470"/>
        <v>3.2999999999999918</v>
      </c>
    </row>
    <row r="415" spans="1:94">
      <c r="A415" s="664"/>
      <c r="B415" s="664"/>
      <c r="C415" s="1100" t="s">
        <v>1767</v>
      </c>
      <c r="D415" s="3"/>
      <c r="E415" s="1" t="s">
        <v>1443</v>
      </c>
      <c r="F415" s="3" t="s">
        <v>1664</v>
      </c>
      <c r="G415" s="1062"/>
      <c r="H415" s="1062">
        <f>(H403/G403-1)*100</f>
        <v>15.541958466847849</v>
      </c>
      <c r="I415" s="1062">
        <f t="shared" ref="I415:S415" si="471">(I403/H403-1)*100</f>
        <v>11.024077780937924</v>
      </c>
      <c r="J415" s="1062">
        <f t="shared" si="471"/>
        <v>4.4513525456334024</v>
      </c>
      <c r="K415" s="1062">
        <f t="shared" si="471"/>
        <v>1.4941222195035353</v>
      </c>
      <c r="L415" s="1062">
        <f t="shared" si="471"/>
        <v>0.68516862928391653</v>
      </c>
      <c r="M415" s="1062">
        <f t="shared" si="471"/>
        <v>-1.1723407361008187</v>
      </c>
      <c r="N415" s="1062">
        <f t="shared" si="471"/>
        <v>0.4901246226299838</v>
      </c>
      <c r="O415" s="1062">
        <f t="shared" si="471"/>
        <v>1.2292521066021855</v>
      </c>
      <c r="P415" s="1062">
        <f t="shared" si="471"/>
        <v>7.6852737320660003</v>
      </c>
      <c r="Q415" s="1062">
        <f t="shared" si="471"/>
        <v>8.4792441912702401</v>
      </c>
      <c r="R415" s="1062">
        <f t="shared" si="471"/>
        <v>10.69357895917209</v>
      </c>
      <c r="S415" s="1062">
        <f t="shared" si="471"/>
        <v>16.091768641912331</v>
      </c>
      <c r="T415" s="1062">
        <f t="shared" si="470"/>
        <v>9.5446288580012464</v>
      </c>
      <c r="U415" s="1062">
        <f t="shared" si="470"/>
        <v>-14.498885092272696</v>
      </c>
      <c r="V415" s="1062">
        <f t="shared" si="470"/>
        <v>-4.7877186588921479</v>
      </c>
      <c r="W415" s="1062">
        <f t="shared" si="470"/>
        <v>3.7736166773313373</v>
      </c>
      <c r="X415" s="1062">
        <f t="shared" si="470"/>
        <v>3.0586757341574122</v>
      </c>
      <c r="Y415" s="1062">
        <f t="shared" si="470"/>
        <v>4.5062542586260967</v>
      </c>
      <c r="Z415" s="1062">
        <f t="shared" si="470"/>
        <v>3.2055822417586421</v>
      </c>
      <c r="AA415" s="1062">
        <f t="shared" si="470"/>
        <v>0.38840728683013914</v>
      </c>
      <c r="AB415" s="1062">
        <f t="shared" si="470"/>
        <v>3.1928543090024242</v>
      </c>
      <c r="AC415" s="1062">
        <f t="shared" si="470"/>
        <v>1.6969174583202795</v>
      </c>
      <c r="AD415" s="1062">
        <f t="shared" ca="1" si="470"/>
        <v>3.2999999999999918</v>
      </c>
      <c r="AE415" s="1062">
        <f t="shared" ca="1" si="470"/>
        <v>3.2999999999999918</v>
      </c>
    </row>
    <row r="416" spans="1:94">
      <c r="A416" s="1130"/>
      <c r="C416" s="979" t="s">
        <v>1769</v>
      </c>
      <c r="D416" s="1101"/>
      <c r="E416" s="1102" t="s">
        <v>1444</v>
      </c>
      <c r="F416" s="1101" t="s">
        <v>1665</v>
      </c>
      <c r="G416" s="1103"/>
      <c r="H416" s="1103">
        <f>(H404/G404-1)*100</f>
        <v>13.852635554238923</v>
      </c>
      <c r="I416" s="1103">
        <f t="shared" ref="I416:S416" si="472">(I404/H404-1)*100</f>
        <v>8.2490790706687847</v>
      </c>
      <c r="J416" s="1103">
        <f t="shared" si="472"/>
        <v>3.0251740498251189</v>
      </c>
      <c r="K416" s="1103">
        <f t="shared" si="472"/>
        <v>1.0772990259602322</v>
      </c>
      <c r="L416" s="1103">
        <f t="shared" si="472"/>
        <v>0.96915609084451404</v>
      </c>
      <c r="M416" s="1103">
        <f t="shared" si="472"/>
        <v>-0.48342170809392293</v>
      </c>
      <c r="N416" s="1103">
        <f t="shared" si="472"/>
        <v>3.6744418766310183E-2</v>
      </c>
      <c r="O416" s="1103">
        <f t="shared" si="472"/>
        <v>1.4229488794344602</v>
      </c>
      <c r="P416" s="1103">
        <f t="shared" si="472"/>
        <v>6.3343488370685375</v>
      </c>
      <c r="Q416" s="1103">
        <f t="shared" si="472"/>
        <v>7.4962011841512854</v>
      </c>
      <c r="R416" s="1103">
        <f t="shared" si="472"/>
        <v>9.7379099042109054</v>
      </c>
      <c r="S416" s="1103">
        <f t="shared" si="472"/>
        <v>13.399089870165559</v>
      </c>
      <c r="T416" s="1103">
        <f t="shared" si="470"/>
        <v>9.5878825610335348</v>
      </c>
      <c r="U416" s="1103">
        <f t="shared" si="470"/>
        <v>-10.780101993501134</v>
      </c>
      <c r="V416" s="1103">
        <f t="shared" si="470"/>
        <v>-4.2190771363120216</v>
      </c>
      <c r="W416" s="1103">
        <f t="shared" si="470"/>
        <v>3.9118486817640408</v>
      </c>
      <c r="X416" s="1103">
        <f t="shared" si="470"/>
        <v>3.5729417044590983</v>
      </c>
      <c r="Y416" s="1103">
        <f t="shared" si="470"/>
        <v>4.1443754828458745</v>
      </c>
      <c r="Z416" s="1103">
        <f t="shared" si="470"/>
        <v>2.3488664915416457</v>
      </c>
      <c r="AA416" s="1103">
        <f t="shared" si="470"/>
        <v>0.44671364661867941</v>
      </c>
      <c r="AB416" s="1103">
        <f t="shared" si="470"/>
        <v>-1.0859703880108262</v>
      </c>
      <c r="AC416" s="1103">
        <f t="shared" si="470"/>
        <v>3.565278814009587</v>
      </c>
      <c r="AD416" s="1103">
        <f t="shared" ca="1" si="470"/>
        <v>3.2999999999999918</v>
      </c>
      <c r="AE416" s="1103">
        <f t="shared" ca="1" si="470"/>
        <v>3.2999999999999918</v>
      </c>
    </row>
    <row r="417" spans="1:94">
      <c r="A417" s="1130"/>
      <c r="C417" s="1104" t="s">
        <v>1767</v>
      </c>
      <c r="D417" s="1105" t="s">
        <v>687</v>
      </c>
      <c r="E417" s="1106" t="s">
        <v>1445</v>
      </c>
      <c r="F417" s="1105" t="s">
        <v>704</v>
      </c>
      <c r="G417" s="987"/>
      <c r="H417" s="987"/>
      <c r="I417" s="987"/>
      <c r="J417" s="987"/>
      <c r="K417" s="987"/>
      <c r="L417" s="987"/>
      <c r="M417" s="987"/>
      <c r="N417" s="987"/>
      <c r="O417" s="987"/>
      <c r="P417" s="987"/>
      <c r="Q417" s="987"/>
      <c r="R417" s="987"/>
      <c r="S417" s="987"/>
      <c r="T417" s="987"/>
      <c r="U417" s="987"/>
      <c r="V417" s="987"/>
      <c r="W417" s="987"/>
      <c r="X417" s="987"/>
      <c r="Y417" s="987"/>
      <c r="Z417" s="987"/>
      <c r="AA417" s="987"/>
      <c r="AB417" s="987"/>
      <c r="AC417" s="987"/>
      <c r="AD417" s="987"/>
      <c r="AE417" s="987"/>
    </row>
    <row r="418" spans="1:94">
      <c r="A418" s="1130"/>
      <c r="C418" s="1100" t="s">
        <v>1767</v>
      </c>
      <c r="D418" s="1070" t="s">
        <v>1447</v>
      </c>
      <c r="E418" s="1" t="s">
        <v>1445</v>
      </c>
      <c r="F418" s="3" t="s">
        <v>705</v>
      </c>
      <c r="G418" s="881"/>
      <c r="H418" s="881"/>
      <c r="I418" s="881"/>
      <c r="J418" s="881"/>
      <c r="K418" s="881"/>
      <c r="L418" s="881"/>
      <c r="M418" s="881"/>
      <c r="N418" s="881"/>
      <c r="O418" s="881"/>
      <c r="P418" s="881"/>
      <c r="Q418" s="881"/>
      <c r="R418" s="881"/>
      <c r="S418" s="881"/>
      <c r="T418" s="881"/>
      <c r="U418" s="881"/>
      <c r="V418" s="881"/>
      <c r="W418" s="881"/>
      <c r="X418" s="881"/>
      <c r="Y418" s="881"/>
      <c r="Z418" s="881"/>
      <c r="AA418" s="881"/>
      <c r="AB418" s="881"/>
      <c r="AC418" s="881"/>
      <c r="AD418" s="881"/>
      <c r="AE418" s="881"/>
    </row>
    <row r="419" spans="1:94">
      <c r="A419" s="1130"/>
      <c r="C419" s="979" t="s">
        <v>1769</v>
      </c>
      <c r="D419" s="1101"/>
      <c r="E419" s="1102" t="s">
        <v>1445</v>
      </c>
      <c r="F419" s="1101" t="s">
        <v>705</v>
      </c>
      <c r="G419" s="1103"/>
      <c r="H419" s="1103">
        <f>(H407/G407-1)*100</f>
        <v>-6.2018036310497511</v>
      </c>
      <c r="I419" s="1103">
        <f t="shared" ref="I419:S419" si="473">(I407/H407-1)*100</f>
        <v>0.53187239899186167</v>
      </c>
      <c r="J419" s="1103">
        <f t="shared" si="473"/>
        <v>-7.4333045721558744</v>
      </c>
      <c r="K419" s="1103">
        <f t="shared" si="473"/>
        <v>-12.059560651124922</v>
      </c>
      <c r="L419" s="1103">
        <f t="shared" si="473"/>
        <v>-4.3679877088096291</v>
      </c>
      <c r="M419" s="1103">
        <f t="shared" si="473"/>
        <v>-1.0095933804129209</v>
      </c>
      <c r="N419" s="1103">
        <f t="shared" si="473"/>
        <v>-3.7993435659607444</v>
      </c>
      <c r="O419" s="1103">
        <f t="shared" si="473"/>
        <v>-1.9188958249950039</v>
      </c>
      <c r="P419" s="1103">
        <f t="shared" si="473"/>
        <v>-7.4335659448279916</v>
      </c>
      <c r="Q419" s="1103">
        <f t="shared" si="473"/>
        <v>1.1775973513990845</v>
      </c>
      <c r="R419" s="1103">
        <f t="shared" si="473"/>
        <v>-0.58184421444462675</v>
      </c>
      <c r="S419" s="1103">
        <f t="shared" si="473"/>
        <v>2.0935324978911485</v>
      </c>
      <c r="T419" s="1103">
        <f t="shared" ref="T419:AE421" si="474">(T407/S407-1)*100</f>
        <v>2.9247385042532104</v>
      </c>
      <c r="U419" s="1103">
        <f t="shared" si="474"/>
        <v>-0.80394278427916577</v>
      </c>
      <c r="V419" s="1103">
        <f t="shared" si="474"/>
        <v>-1.1050926570990605</v>
      </c>
      <c r="W419" s="1103">
        <f t="shared" si="474"/>
        <v>0.63556601754761743</v>
      </c>
      <c r="X419" s="1103">
        <f t="shared" si="474"/>
        <v>1.2012953366500767</v>
      </c>
      <c r="Y419" s="1103">
        <f t="shared" si="474"/>
        <v>0.24561698119385245</v>
      </c>
      <c r="Z419" s="1103">
        <f t="shared" si="474"/>
        <v>-0.57065504407529666</v>
      </c>
      <c r="AA419" s="1103">
        <f t="shared" si="474"/>
        <v>0.46899305805532254</v>
      </c>
      <c r="AB419" s="1103">
        <f t="shared" si="474"/>
        <v>-0.50696313058548048</v>
      </c>
      <c r="AC419" s="1103">
        <f t="shared" si="474"/>
        <v>-2.0702032848200491</v>
      </c>
      <c r="AD419" s="1103">
        <f t="shared" ca="1" si="474"/>
        <v>1.4999999999999902</v>
      </c>
      <c r="AE419" s="1103">
        <f t="shared" ca="1" si="474"/>
        <v>1.5000000000000124</v>
      </c>
    </row>
    <row r="420" spans="1:94">
      <c r="A420" s="664"/>
      <c r="B420" s="664"/>
      <c r="C420" s="1107" t="s">
        <v>1769</v>
      </c>
      <c r="D420" s="1108"/>
      <c r="E420" s="1109" t="s">
        <v>1446</v>
      </c>
      <c r="F420" s="1108" t="s">
        <v>706</v>
      </c>
      <c r="G420" s="1110"/>
      <c r="H420" s="1110">
        <f>(H408/G408-1)*100</f>
        <v>17.336736045518041</v>
      </c>
      <c r="I420" s="1110">
        <f t="shared" ref="I420:S420" si="475">(I408/H408-1)*100</f>
        <v>3.1397799627793654</v>
      </c>
      <c r="J420" s="1110">
        <f t="shared" si="475"/>
        <v>-11.428981385957593</v>
      </c>
      <c r="K420" s="1110">
        <f t="shared" si="475"/>
        <v>-6.1781016242262616</v>
      </c>
      <c r="L420" s="1110">
        <f t="shared" si="475"/>
        <v>43.87352950589645</v>
      </c>
      <c r="M420" s="1110">
        <f t="shared" si="475"/>
        <v>18.78676739227474</v>
      </c>
      <c r="N420" s="1110">
        <f t="shared" si="475"/>
        <v>-11.204840980161389</v>
      </c>
      <c r="O420" s="1110">
        <f t="shared" si="475"/>
        <v>10.473094086359458</v>
      </c>
      <c r="P420" s="1110">
        <f t="shared" si="475"/>
        <v>7.3422686660737924</v>
      </c>
      <c r="Q420" s="1110">
        <f t="shared" si="475"/>
        <v>17.437426072673979</v>
      </c>
      <c r="R420" s="1110">
        <f t="shared" si="475"/>
        <v>17.394672622848951</v>
      </c>
      <c r="S420" s="1110">
        <f t="shared" si="475"/>
        <v>3.1391514180119984</v>
      </c>
      <c r="T420" s="1110">
        <f t="shared" si="474"/>
        <v>-0.48067359206407367</v>
      </c>
      <c r="U420" s="1110">
        <f t="shared" si="474"/>
        <v>-1.0025886008899532</v>
      </c>
      <c r="V420" s="1110">
        <f t="shared" si="474"/>
        <v>-2.801664863675557</v>
      </c>
      <c r="W420" s="1110">
        <f t="shared" si="474"/>
        <v>-5.250581651260755</v>
      </c>
      <c r="X420" s="1110">
        <f t="shared" si="474"/>
        <v>-4.3417504130942035</v>
      </c>
      <c r="Y420" s="1110">
        <f t="shared" si="474"/>
        <v>6.6897551972458391</v>
      </c>
      <c r="Z420" s="1110">
        <f t="shared" si="474"/>
        <v>-0.35829242328176969</v>
      </c>
      <c r="AA420" s="1110">
        <f t="shared" si="474"/>
        <v>8.0722311477377637</v>
      </c>
      <c r="AB420" s="1110">
        <f t="shared" si="474"/>
        <v>10.174322870448727</v>
      </c>
      <c r="AC420" s="1110">
        <f t="shared" si="474"/>
        <v>-5.6254492841151134</v>
      </c>
      <c r="AD420" s="1110">
        <f t="shared" ca="1" si="474"/>
        <v>1.0000000000000231</v>
      </c>
      <c r="AE420" s="1110">
        <f t="shared" ca="1" si="474"/>
        <v>0.99999999999997868</v>
      </c>
    </row>
    <row r="421" spans="1:94">
      <c r="A421" s="1130"/>
      <c r="C421" s="1083" t="s">
        <v>1448</v>
      </c>
      <c r="D421" s="1097"/>
      <c r="E421" s="1098" t="s">
        <v>376</v>
      </c>
      <c r="F421" s="1097" t="s">
        <v>707</v>
      </c>
      <c r="G421" s="1099"/>
      <c r="H421" s="1099">
        <f>(H409/G409-1)*100</f>
        <v>4.4264472356912776</v>
      </c>
      <c r="I421" s="1099">
        <f t="shared" ref="I421:S421" si="476">(I409/H409-1)*100</f>
        <v>4.5189140403717243</v>
      </c>
      <c r="J421" s="1099">
        <f t="shared" si="476"/>
        <v>-2.0779091987402132</v>
      </c>
      <c r="K421" s="1099">
        <f t="shared" si="476"/>
        <v>-4.6129179795311952</v>
      </c>
      <c r="L421" s="1099">
        <f t="shared" si="476"/>
        <v>9.7657732895939375E-4</v>
      </c>
      <c r="M421" s="1099">
        <f t="shared" si="476"/>
        <v>0.62987965611740471</v>
      </c>
      <c r="N421" s="1099">
        <f t="shared" si="476"/>
        <v>-2.4034310287902816</v>
      </c>
      <c r="O421" s="1099">
        <f t="shared" si="476"/>
        <v>0.55751633776432996</v>
      </c>
      <c r="P421" s="1099">
        <f t="shared" si="476"/>
        <v>0.51032858263226899</v>
      </c>
      <c r="Q421" s="1099">
        <f t="shared" si="476"/>
        <v>5.5059604734988721</v>
      </c>
      <c r="R421" s="1099">
        <f t="shared" si="476"/>
        <v>6.2858619572942587</v>
      </c>
      <c r="S421" s="1099">
        <f t="shared" si="476"/>
        <v>8.6609885599782555</v>
      </c>
      <c r="T421" s="1099">
        <f t="shared" si="474"/>
        <v>6.8569114070129444</v>
      </c>
      <c r="U421" s="1099">
        <f t="shared" si="474"/>
        <v>-7.5151435095259895</v>
      </c>
      <c r="V421" s="1099">
        <f t="shared" si="474"/>
        <v>-3.1792820734556804</v>
      </c>
      <c r="W421" s="1099">
        <f t="shared" si="474"/>
        <v>1.8071705682320527</v>
      </c>
      <c r="X421" s="1099">
        <f t="shared" si="474"/>
        <v>1.9323526745605557</v>
      </c>
      <c r="Y421" s="1099">
        <f t="shared" si="474"/>
        <v>2.9747201087897857</v>
      </c>
      <c r="Z421" s="1099">
        <f t="shared" si="474"/>
        <v>1.1621557069065647</v>
      </c>
      <c r="AA421" s="1099">
        <f t="shared" si="474"/>
        <v>1.1940762458118481</v>
      </c>
      <c r="AB421" s="1099">
        <f t="shared" si="474"/>
        <v>0.32194293441807353</v>
      </c>
      <c r="AC421" s="1099">
        <f t="shared" si="474"/>
        <v>0.40744073870098152</v>
      </c>
      <c r="AD421" s="1099">
        <f t="shared" ca="1" si="474"/>
        <v>2.3682800607740973</v>
      </c>
      <c r="AE421" s="1099">
        <f t="shared" ca="1" si="474"/>
        <v>2.3764176785420421</v>
      </c>
    </row>
    <row r="422" spans="1:94">
      <c r="V422"/>
      <c r="W422"/>
      <c r="X422"/>
      <c r="Y422"/>
      <c r="Z422"/>
      <c r="AA422"/>
    </row>
    <row r="423" spans="1:94">
      <c r="A423" s="1130"/>
      <c r="D423" s="1149"/>
      <c r="E423" s="1150" t="s">
        <v>2035</v>
      </c>
      <c r="F423" s="1151"/>
      <c r="G423" s="1141">
        <f>+InputY!$G$3</f>
        <v>1995</v>
      </c>
      <c r="H423" s="1141">
        <f>+G423+1</f>
        <v>1996</v>
      </c>
      <c r="I423" s="1141">
        <f t="shared" ref="I423:O423" si="477">+H423+1</f>
        <v>1997</v>
      </c>
      <c r="J423" s="1141">
        <f t="shared" si="477"/>
        <v>1998</v>
      </c>
      <c r="K423" s="1141">
        <f t="shared" si="477"/>
        <v>1999</v>
      </c>
      <c r="L423" s="1141">
        <f t="shared" si="477"/>
        <v>2000</v>
      </c>
      <c r="M423" s="1141">
        <f t="shared" si="477"/>
        <v>2001</v>
      </c>
      <c r="N423" s="1141">
        <f t="shared" si="477"/>
        <v>2002</v>
      </c>
      <c r="O423" s="1141">
        <f t="shared" si="477"/>
        <v>2003</v>
      </c>
      <c r="P423" s="1141">
        <f t="shared" ref="P423:V423" si="478">+O423+1</f>
        <v>2004</v>
      </c>
      <c r="Q423" s="1141">
        <f t="shared" si="478"/>
        <v>2005</v>
      </c>
      <c r="R423" s="1141">
        <f t="shared" si="478"/>
        <v>2006</v>
      </c>
      <c r="S423" s="1141">
        <f>+R423+1</f>
        <v>2007</v>
      </c>
      <c r="T423" s="1141">
        <f t="shared" si="478"/>
        <v>2008</v>
      </c>
      <c r="U423" s="1141">
        <f t="shared" si="478"/>
        <v>2009</v>
      </c>
      <c r="V423" s="1141">
        <f t="shared" si="478"/>
        <v>2010</v>
      </c>
      <c r="W423" s="1141">
        <f t="shared" ref="W423:AE423" si="479">+V423+1</f>
        <v>2011</v>
      </c>
      <c r="X423" s="1141">
        <f t="shared" si="479"/>
        <v>2012</v>
      </c>
      <c r="Y423" s="1141">
        <f t="shared" si="479"/>
        <v>2013</v>
      </c>
      <c r="Z423" s="1141">
        <f t="shared" si="479"/>
        <v>2014</v>
      </c>
      <c r="AA423" s="1141">
        <f t="shared" si="479"/>
        <v>2015</v>
      </c>
      <c r="AB423" s="1141">
        <f t="shared" si="479"/>
        <v>2016</v>
      </c>
      <c r="AC423" s="1141">
        <f t="shared" si="479"/>
        <v>2017</v>
      </c>
      <c r="AD423" s="1141">
        <f t="shared" si="479"/>
        <v>2018</v>
      </c>
      <c r="AE423" s="1141">
        <f t="shared" si="479"/>
        <v>2019</v>
      </c>
    </row>
    <row r="424" spans="1:94">
      <c r="A424" s="1130"/>
      <c r="C424" s="1082"/>
      <c r="D424" s="1086" t="s">
        <v>687</v>
      </c>
      <c r="E424" s="1087" t="s">
        <v>376</v>
      </c>
      <c r="F424" s="1089" t="s">
        <v>708</v>
      </c>
      <c r="G424" s="1088">
        <f t="shared" ref="G424:X424" si="480">+G229/G45*100</f>
        <v>99.95597139561707</v>
      </c>
      <c r="H424" s="1088">
        <f t="shared" si="480"/>
        <v>100.03168320802006</v>
      </c>
      <c r="I424" s="1088">
        <f t="shared" si="480"/>
        <v>99.957995201744836</v>
      </c>
      <c r="J424" s="1088">
        <f t="shared" si="480"/>
        <v>99.979495254833026</v>
      </c>
      <c r="K424" s="1088">
        <f t="shared" si="480"/>
        <v>100.0085428063943</v>
      </c>
      <c r="L424" s="1088">
        <f t="shared" si="480"/>
        <v>101.6880989090909</v>
      </c>
      <c r="M424" s="1088">
        <f t="shared" si="480"/>
        <v>101.89225401459854</v>
      </c>
      <c r="N424" s="1088">
        <f t="shared" si="480"/>
        <v>103.35060994035786</v>
      </c>
      <c r="O424" s="1088">
        <f t="shared" si="480"/>
        <v>103.4609738317757</v>
      </c>
      <c r="P424" s="1088">
        <f t="shared" si="480"/>
        <v>103.6580673664993</v>
      </c>
      <c r="Q424" s="1088">
        <f t="shared" si="480"/>
        <v>90.549379339498032</v>
      </c>
      <c r="R424" s="1088">
        <f t="shared" si="480"/>
        <v>96.210844897959177</v>
      </c>
      <c r="S424" s="1088">
        <f t="shared" si="480"/>
        <v>104.53393358778629</v>
      </c>
      <c r="T424" s="1088">
        <f t="shared" si="480"/>
        <v>111.68552325184764</v>
      </c>
      <c r="U424" s="1088">
        <f t="shared" si="480"/>
        <v>103.30137325483602</v>
      </c>
      <c r="V424" s="1088">
        <f t="shared" si="480"/>
        <v>99.994967649173262</v>
      </c>
      <c r="W424" s="1088">
        <f>+W229/W45*100</f>
        <v>101.82283205544287</v>
      </c>
      <c r="X424" s="1088">
        <f t="shared" si="480"/>
        <v>103.7998261085973</v>
      </c>
      <c r="Y424" s="1088">
        <f t="shared" ref="Y424:AD424" si="481">+Y229/Y45*100</f>
        <v>106.90018508785333</v>
      </c>
      <c r="Z424" s="1088">
        <f t="shared" si="481"/>
        <v>108.10131484021824</v>
      </c>
      <c r="AA424" s="1088">
        <f t="shared" si="481"/>
        <v>109.35501595636363</v>
      </c>
      <c r="AB424" s="1088">
        <f t="shared" si="481"/>
        <v>109.7070087868284</v>
      </c>
      <c r="AC424" s="1088">
        <f t="shared" ca="1" si="481"/>
        <v>114.20499614708832</v>
      </c>
      <c r="AD424" s="1088">
        <f t="shared" ca="1" si="481"/>
        <v>117.63114603150098</v>
      </c>
      <c r="AE424" s="1088">
        <f t="shared" ref="AE424" ca="1" si="482">+AE229/AE45*100</f>
        <v>121.16008041244599</v>
      </c>
    </row>
    <row r="425" spans="1:94">
      <c r="V425"/>
      <c r="W425"/>
      <c r="X425"/>
      <c r="Y425"/>
      <c r="Z425"/>
      <c r="AA425"/>
    </row>
    <row r="426" spans="1:94" s="699" customFormat="1" ht="12.75" customHeight="1">
      <c r="A426" s="664"/>
      <c r="B426" s="664"/>
      <c r="C426" s="774"/>
      <c r="D426" s="1092"/>
      <c r="E426" s="1093" t="s">
        <v>2035</v>
      </c>
      <c r="F426" s="1094"/>
      <c r="G426" s="896">
        <f>+InputY!$G$3</f>
        <v>1995</v>
      </c>
      <c r="H426" s="896">
        <f>+G426+1</f>
        <v>1996</v>
      </c>
      <c r="I426" s="896">
        <f t="shared" ref="I426:O426" si="483">+H426+1</f>
        <v>1997</v>
      </c>
      <c r="J426" s="896">
        <f t="shared" si="483"/>
        <v>1998</v>
      </c>
      <c r="K426" s="896">
        <f t="shared" si="483"/>
        <v>1999</v>
      </c>
      <c r="L426" s="896">
        <f t="shared" si="483"/>
        <v>2000</v>
      </c>
      <c r="M426" s="896">
        <f t="shared" si="483"/>
        <v>2001</v>
      </c>
      <c r="N426" s="896">
        <f t="shared" si="483"/>
        <v>2002</v>
      </c>
      <c r="O426" s="896">
        <f t="shared" si="483"/>
        <v>2003</v>
      </c>
      <c r="P426" s="896">
        <f t="shared" ref="P426:V426" si="484">+O426+1</f>
        <v>2004</v>
      </c>
      <c r="Q426" s="896">
        <f t="shared" si="484"/>
        <v>2005</v>
      </c>
      <c r="R426" s="896">
        <f t="shared" si="484"/>
        <v>2006</v>
      </c>
      <c r="S426" s="896">
        <f>+R426+1</f>
        <v>2007</v>
      </c>
      <c r="T426" s="896">
        <f t="shared" si="484"/>
        <v>2008</v>
      </c>
      <c r="U426" s="896">
        <f t="shared" si="484"/>
        <v>2009</v>
      </c>
      <c r="V426" s="896">
        <f t="shared" si="484"/>
        <v>2010</v>
      </c>
      <c r="W426" s="896">
        <f t="shared" ref="W426:AE426" si="485">+V426+1</f>
        <v>2011</v>
      </c>
      <c r="X426" s="896">
        <f t="shared" si="485"/>
        <v>2012</v>
      </c>
      <c r="Y426" s="896">
        <f t="shared" si="485"/>
        <v>2013</v>
      </c>
      <c r="Z426" s="896">
        <f t="shared" si="485"/>
        <v>2014</v>
      </c>
      <c r="AA426" s="896">
        <f t="shared" si="485"/>
        <v>2015</v>
      </c>
      <c r="AB426" s="896">
        <f t="shared" si="485"/>
        <v>2016</v>
      </c>
      <c r="AC426" s="896">
        <f t="shared" si="485"/>
        <v>2017</v>
      </c>
      <c r="AD426" s="896">
        <f t="shared" si="485"/>
        <v>2018</v>
      </c>
      <c r="AE426" s="896">
        <f t="shared" si="485"/>
        <v>2019</v>
      </c>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row>
    <row r="427" spans="1:94" s="699" customFormat="1" ht="12.75" customHeight="1">
      <c r="A427" s="664"/>
      <c r="B427" s="664"/>
      <c r="C427" s="798"/>
      <c r="D427" s="833" t="s">
        <v>687</v>
      </c>
      <c r="E427" s="834" t="s">
        <v>376</v>
      </c>
      <c r="F427" s="1114" t="s">
        <v>708</v>
      </c>
      <c r="G427" s="1115"/>
      <c r="H427" s="1115">
        <f>+(H424/G424-1)*100</f>
        <v>7.5745161940665717E-2</v>
      </c>
      <c r="I427" s="1115">
        <f t="shared" ref="I427:S427" si="486">+(I424/H424-1)*100</f>
        <v>-7.366466694554985E-2</v>
      </c>
      <c r="J427" s="1115">
        <f t="shared" si="486"/>
        <v>2.1509087937188198E-2</v>
      </c>
      <c r="K427" s="1115">
        <f t="shared" si="486"/>
        <v>2.9053508909249182E-2</v>
      </c>
      <c r="L427" s="1115">
        <f t="shared" si="486"/>
        <v>1.679412633726729</v>
      </c>
      <c r="M427" s="1115">
        <f t="shared" si="486"/>
        <v>0.20076597723608369</v>
      </c>
      <c r="N427" s="1115">
        <f t="shared" si="486"/>
        <v>1.4312726122933439</v>
      </c>
      <c r="O427" s="1115">
        <f t="shared" si="486"/>
        <v>0.10678591203432397</v>
      </c>
      <c r="P427" s="1115">
        <f t="shared" si="486"/>
        <v>0.19050036687655592</v>
      </c>
      <c r="Q427" s="1115">
        <f t="shared" si="486"/>
        <v>-12.646085693121645</v>
      </c>
      <c r="R427" s="1115">
        <f t="shared" si="486"/>
        <v>6.25235158955042</v>
      </c>
      <c r="S427" s="1115">
        <f t="shared" si="486"/>
        <v>8.6508841063131179</v>
      </c>
      <c r="T427" s="1115">
        <f t="shared" ref="T427:AE427" si="487">+(T424/S424-1)*100</f>
        <v>6.8414049090150586</v>
      </c>
      <c r="U427" s="1115">
        <f t="shared" si="487"/>
        <v>-7.5069263704890421</v>
      </c>
      <c r="V427" s="1115">
        <f t="shared" si="487"/>
        <v>-3.200737319828395</v>
      </c>
      <c r="W427" s="1115">
        <f t="shared" si="487"/>
        <v>1.8279563954483935</v>
      </c>
      <c r="X427" s="1115">
        <f t="shared" si="487"/>
        <v>1.9416019111292648</v>
      </c>
      <c r="Y427" s="1115">
        <f t="shared" si="487"/>
        <v>2.986863365274206</v>
      </c>
      <c r="Z427" s="3400">
        <f t="shared" si="487"/>
        <v>1.1235993196623495</v>
      </c>
      <c r="AA427" s="1115">
        <f t="shared" si="487"/>
        <v>1.1597464082638176</v>
      </c>
      <c r="AB427" s="1115">
        <f t="shared" si="487"/>
        <v>0.32188082767528048</v>
      </c>
      <c r="AC427" s="1115">
        <f t="shared" ca="1" si="487"/>
        <v>4.0999999999999703</v>
      </c>
      <c r="AD427" s="1115">
        <f t="shared" ca="1" si="487"/>
        <v>3.0000000000000027</v>
      </c>
      <c r="AE427" s="1115">
        <f t="shared" ca="1" si="487"/>
        <v>2.9999999999999805</v>
      </c>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row>
    <row r="428" spans="1:94">
      <c r="V428"/>
      <c r="W428"/>
      <c r="X428"/>
      <c r="Y428"/>
      <c r="Z428"/>
      <c r="AA428"/>
    </row>
    <row r="429" spans="1:94">
      <c r="A429" s="1130"/>
      <c r="D429" s="1149"/>
      <c r="E429" s="1150" t="s">
        <v>1831</v>
      </c>
      <c r="F429" s="1151"/>
      <c r="G429" s="1141">
        <f>+InputY!$G$3</f>
        <v>1995</v>
      </c>
      <c r="H429" s="1141">
        <f>+G429+1</f>
        <v>1996</v>
      </c>
      <c r="I429" s="1141">
        <f t="shared" ref="I429:O429" si="488">+H429+1</f>
        <v>1997</v>
      </c>
      <c r="J429" s="1141">
        <f t="shared" si="488"/>
        <v>1998</v>
      </c>
      <c r="K429" s="1141">
        <f t="shared" si="488"/>
        <v>1999</v>
      </c>
      <c r="L429" s="1141">
        <f t="shared" si="488"/>
        <v>2000</v>
      </c>
      <c r="M429" s="1141">
        <f t="shared" si="488"/>
        <v>2001</v>
      </c>
      <c r="N429" s="1141">
        <f t="shared" si="488"/>
        <v>2002</v>
      </c>
      <c r="O429" s="1141">
        <f t="shared" si="488"/>
        <v>2003</v>
      </c>
      <c r="P429" s="1141">
        <f t="shared" ref="P429:V429" si="489">+O429+1</f>
        <v>2004</v>
      </c>
      <c r="Q429" s="1141">
        <f t="shared" si="489"/>
        <v>2005</v>
      </c>
      <c r="R429" s="1141">
        <f t="shared" si="489"/>
        <v>2006</v>
      </c>
      <c r="S429" s="1141">
        <f>+R429+1</f>
        <v>2007</v>
      </c>
      <c r="T429" s="1141">
        <f t="shared" si="489"/>
        <v>2008</v>
      </c>
      <c r="U429" s="1141">
        <f t="shared" si="489"/>
        <v>2009</v>
      </c>
      <c r="V429" s="1141">
        <f t="shared" si="489"/>
        <v>2010</v>
      </c>
      <c r="W429" s="1141">
        <f t="shared" ref="W429:AE429" si="490">+V429+1</f>
        <v>2011</v>
      </c>
      <c r="X429" s="1141">
        <f t="shared" si="490"/>
        <v>2012</v>
      </c>
      <c r="Y429" s="1141">
        <f t="shared" si="490"/>
        <v>2013</v>
      </c>
      <c r="Z429" s="1141">
        <f t="shared" si="490"/>
        <v>2014</v>
      </c>
      <c r="AA429" s="1141">
        <f t="shared" si="490"/>
        <v>2015</v>
      </c>
      <c r="AB429" s="1141">
        <f t="shared" si="490"/>
        <v>2016</v>
      </c>
      <c r="AC429" s="1141">
        <f t="shared" si="490"/>
        <v>2017</v>
      </c>
      <c r="AD429" s="1141">
        <f t="shared" si="490"/>
        <v>2018</v>
      </c>
      <c r="AE429" s="1141">
        <f t="shared" si="490"/>
        <v>2019</v>
      </c>
    </row>
    <row r="430" spans="1:94">
      <c r="A430" s="1130"/>
      <c r="C430" s="1082"/>
      <c r="D430" s="1086"/>
      <c r="E430" s="1087" t="s">
        <v>1449</v>
      </c>
      <c r="F430" s="1089" t="s">
        <v>1409</v>
      </c>
      <c r="G430" s="1088">
        <f t="shared" ref="G430:V430" si="491">+G260/G64*100</f>
        <v>-7339.51045522596</v>
      </c>
      <c r="H430" s="1088">
        <f t="shared" si="491"/>
        <v>-1851.1409461320895</v>
      </c>
      <c r="I430" s="1088">
        <f t="shared" si="491"/>
        <v>-62977.844543595405</v>
      </c>
      <c r="J430" s="1088">
        <f t="shared" si="491"/>
        <v>-7644.4848671603932</v>
      </c>
      <c r="K430" s="1088">
        <f t="shared" si="491"/>
        <v>4106.2802995037582</v>
      </c>
      <c r="L430" s="1088">
        <f t="shared" si="491"/>
        <v>2192.6049593698044</v>
      </c>
      <c r="M430" s="1088">
        <f t="shared" si="491"/>
        <v>12335.566654845128</v>
      </c>
      <c r="N430" s="1088">
        <f t="shared" si="491"/>
        <v>4780.9620667908857</v>
      </c>
      <c r="O430" s="1088">
        <f t="shared" si="491"/>
        <v>11594.658383603892</v>
      </c>
      <c r="P430" s="1088">
        <f t="shared" si="491"/>
        <v>-301.94143516035609</v>
      </c>
      <c r="Q430" s="1088">
        <f t="shared" si="491"/>
        <v>114.82161857445274</v>
      </c>
      <c r="R430" s="1088">
        <f t="shared" si="491"/>
        <v>-119.52941925133347</v>
      </c>
      <c r="S430" s="1088">
        <f>+S260/S64*100</f>
        <v>-164.4118153206405</v>
      </c>
      <c r="T430" s="1088">
        <f t="shared" si="491"/>
        <v>-59.569090121796108</v>
      </c>
      <c r="U430" s="1088">
        <f t="shared" si="491"/>
        <v>-83.225308717470114</v>
      </c>
      <c r="V430" s="1088">
        <f t="shared" si="491"/>
        <v>100</v>
      </c>
      <c r="W430" s="1088">
        <f t="shared" ref="W430:AB430" si="492">+W260/W64*100</f>
        <v>387.38980452280578</v>
      </c>
      <c r="X430" s="1088">
        <f t="shared" si="492"/>
        <v>771.80455112548429</v>
      </c>
      <c r="Y430" s="1088">
        <f t="shared" si="492"/>
        <v>1404.9882014821953</v>
      </c>
      <c r="Z430" s="1088">
        <f t="shared" si="492"/>
        <v>281.21949308492276</v>
      </c>
      <c r="AA430" s="1088">
        <f t="shared" si="492"/>
        <v>73.525636341973424</v>
      </c>
      <c r="AB430" s="1088">
        <f t="shared" si="492"/>
        <v>-624.34368187641383</v>
      </c>
      <c r="AC430" s="1088">
        <f ca="1">+AC260/AC64*100</f>
        <v>-433.35544900972531</v>
      </c>
      <c r="AD430" s="1088">
        <f ca="1">+AD260/AD64*100</f>
        <v>-433.35544900972531</v>
      </c>
      <c r="AE430" s="1088">
        <f ca="1">+AE260/AE64*100</f>
        <v>-433.35544900972531</v>
      </c>
    </row>
    <row r="431" spans="1:94">
      <c r="V431"/>
      <c r="W431"/>
      <c r="X431"/>
      <c r="Y431"/>
      <c r="Z431"/>
      <c r="AA431"/>
    </row>
    <row r="432" spans="1:94" s="699" customFormat="1" ht="12.75" customHeight="1">
      <c r="A432" s="664"/>
      <c r="B432" s="664"/>
      <c r="C432" s="774"/>
      <c r="D432" s="1092"/>
      <c r="E432" s="1093" t="s">
        <v>1831</v>
      </c>
      <c r="F432" s="1094"/>
      <c r="G432" s="896">
        <f>+InputY!$G$3</f>
        <v>1995</v>
      </c>
      <c r="H432" s="896">
        <f>+G432+1</f>
        <v>1996</v>
      </c>
      <c r="I432" s="896">
        <f t="shared" ref="I432:O432" si="493">+H432+1</f>
        <v>1997</v>
      </c>
      <c r="J432" s="896">
        <f t="shared" si="493"/>
        <v>1998</v>
      </c>
      <c r="K432" s="896">
        <f t="shared" si="493"/>
        <v>1999</v>
      </c>
      <c r="L432" s="896">
        <f t="shared" si="493"/>
        <v>2000</v>
      </c>
      <c r="M432" s="896">
        <f t="shared" si="493"/>
        <v>2001</v>
      </c>
      <c r="N432" s="896">
        <f t="shared" si="493"/>
        <v>2002</v>
      </c>
      <c r="O432" s="896">
        <f t="shared" si="493"/>
        <v>2003</v>
      </c>
      <c r="P432" s="896">
        <f t="shared" ref="P432:V432" si="494">+O432+1</f>
        <v>2004</v>
      </c>
      <c r="Q432" s="896">
        <f t="shared" si="494"/>
        <v>2005</v>
      </c>
      <c r="R432" s="896">
        <f t="shared" si="494"/>
        <v>2006</v>
      </c>
      <c r="S432" s="896">
        <f>+R432+1</f>
        <v>2007</v>
      </c>
      <c r="T432" s="896">
        <f t="shared" si="494"/>
        <v>2008</v>
      </c>
      <c r="U432" s="896">
        <f t="shared" si="494"/>
        <v>2009</v>
      </c>
      <c r="V432" s="896">
        <f t="shared" si="494"/>
        <v>2010</v>
      </c>
      <c r="W432" s="896">
        <f t="shared" ref="W432:AE432" si="495">+V432+1</f>
        <v>2011</v>
      </c>
      <c r="X432" s="896">
        <f t="shared" si="495"/>
        <v>2012</v>
      </c>
      <c r="Y432" s="896">
        <f t="shared" si="495"/>
        <v>2013</v>
      </c>
      <c r="Z432" s="896">
        <f t="shared" si="495"/>
        <v>2014</v>
      </c>
      <c r="AA432" s="896">
        <f t="shared" si="495"/>
        <v>2015</v>
      </c>
      <c r="AB432" s="896">
        <f t="shared" si="495"/>
        <v>2016</v>
      </c>
      <c r="AC432" s="896">
        <f t="shared" si="495"/>
        <v>2017</v>
      </c>
      <c r="AD432" s="896">
        <f t="shared" si="495"/>
        <v>2018</v>
      </c>
      <c r="AE432" s="896">
        <f t="shared" si="495"/>
        <v>2019</v>
      </c>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row>
    <row r="433" spans="1:94" s="699" customFormat="1" ht="12.75" customHeight="1">
      <c r="A433" s="664"/>
      <c r="B433" s="664"/>
      <c r="C433" s="798"/>
      <c r="D433" s="833"/>
      <c r="E433" s="834" t="s">
        <v>1449</v>
      </c>
      <c r="F433" s="1114" t="s">
        <v>1409</v>
      </c>
      <c r="G433" s="1115"/>
      <c r="H433" s="1115">
        <f>+(H430/G430-1)*100</f>
        <v>-74.778413936122675</v>
      </c>
      <c r="I433" s="1115">
        <f t="shared" ref="I433:S433" si="496">+(I430/H430-1)*100</f>
        <v>3302.1096381226916</v>
      </c>
      <c r="J433" s="1115">
        <f t="shared" si="496"/>
        <v>-87.861628287597838</v>
      </c>
      <c r="K433" s="1115">
        <f t="shared" si="496"/>
        <v>-153.7155919706735</v>
      </c>
      <c r="L433" s="1115">
        <f t="shared" si="496"/>
        <v>-46.603621783082382</v>
      </c>
      <c r="M433" s="1115">
        <f t="shared" si="496"/>
        <v>462.59868436996516</v>
      </c>
      <c r="N433" s="1115">
        <f t="shared" si="496"/>
        <v>-61.242460921622651</v>
      </c>
      <c r="O433" s="1115">
        <f t="shared" si="496"/>
        <v>142.51726371438349</v>
      </c>
      <c r="P433" s="1115">
        <f t="shared" si="496"/>
        <v>-102.60414257299149</v>
      </c>
      <c r="Q433" s="1115">
        <f t="shared" si="496"/>
        <v>-138.02777797405409</v>
      </c>
      <c r="R433" s="1115">
        <f t="shared" si="496"/>
        <v>-204.10009955906352</v>
      </c>
      <c r="S433" s="1115">
        <f t="shared" si="496"/>
        <v>37.549246328163967</v>
      </c>
      <c r="T433" s="1115">
        <f t="shared" ref="T433:AE433" si="497">+(T430/S430-1)*100</f>
        <v>-63.768364210550921</v>
      </c>
      <c r="U433" s="1115">
        <f t="shared" si="497"/>
        <v>39.712237583797318</v>
      </c>
      <c r="V433" s="1115">
        <f t="shared" si="497"/>
        <v>-220.15575735438352</v>
      </c>
      <c r="W433" s="1115">
        <f t="shared" si="497"/>
        <v>287.38980452280578</v>
      </c>
      <c r="X433" s="1115">
        <f t="shared" si="497"/>
        <v>99.232024724091033</v>
      </c>
      <c r="Y433" s="1115">
        <f t="shared" si="497"/>
        <v>82.039377642094834</v>
      </c>
      <c r="Z433" s="1115">
        <f t="shared" si="497"/>
        <v>-79.984209633344278</v>
      </c>
      <c r="AA433" s="1115">
        <f t="shared" si="497"/>
        <v>-73.854715569176378</v>
      </c>
      <c r="AB433" s="1115">
        <f t="shared" si="497"/>
        <v>-949.15100764656154</v>
      </c>
      <c r="AC433" s="1115">
        <f t="shared" ca="1" si="497"/>
        <v>-30.590240345299723</v>
      </c>
      <c r="AD433" s="1115">
        <f t="shared" ca="1" si="497"/>
        <v>0</v>
      </c>
      <c r="AE433" s="1115">
        <f t="shared" ca="1" si="497"/>
        <v>0</v>
      </c>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row>
    <row r="434" spans="1:94">
      <c r="V434"/>
      <c r="W434"/>
      <c r="X434"/>
      <c r="Y434"/>
      <c r="Z434"/>
      <c r="AA434"/>
    </row>
    <row r="435" spans="1:94">
      <c r="A435" s="1130"/>
      <c r="D435" s="1185"/>
      <c r="E435" s="1186" t="s">
        <v>1832</v>
      </c>
      <c r="F435" s="1145"/>
      <c r="G435" s="1137">
        <f>+InputY!$G$3</f>
        <v>1995</v>
      </c>
      <c r="H435" s="1137">
        <f>+G435+1</f>
        <v>1996</v>
      </c>
      <c r="I435" s="1137">
        <f t="shared" ref="I435:O435" si="498">+H435+1</f>
        <v>1997</v>
      </c>
      <c r="J435" s="1137">
        <f t="shared" si="498"/>
        <v>1998</v>
      </c>
      <c r="K435" s="1137">
        <f t="shared" si="498"/>
        <v>1999</v>
      </c>
      <c r="L435" s="1137">
        <f t="shared" si="498"/>
        <v>2000</v>
      </c>
      <c r="M435" s="1137">
        <f t="shared" si="498"/>
        <v>2001</v>
      </c>
      <c r="N435" s="1137">
        <f t="shared" si="498"/>
        <v>2002</v>
      </c>
      <c r="O435" s="1137">
        <f t="shared" si="498"/>
        <v>2003</v>
      </c>
      <c r="P435" s="1137">
        <f t="shared" ref="P435:V435" si="499">+O435+1</f>
        <v>2004</v>
      </c>
      <c r="Q435" s="1137">
        <f t="shared" si="499"/>
        <v>2005</v>
      </c>
      <c r="R435" s="1137">
        <f t="shared" si="499"/>
        <v>2006</v>
      </c>
      <c r="S435" s="1137">
        <f>+R435+1</f>
        <v>2007</v>
      </c>
      <c r="T435" s="1137">
        <f t="shared" si="499"/>
        <v>2008</v>
      </c>
      <c r="U435" s="1137">
        <f t="shared" si="499"/>
        <v>2009</v>
      </c>
      <c r="V435" s="1137">
        <f t="shared" si="499"/>
        <v>2010</v>
      </c>
      <c r="W435" s="1137">
        <f t="shared" ref="W435:AE435" si="500">+V435+1</f>
        <v>2011</v>
      </c>
      <c r="X435" s="1137">
        <f t="shared" si="500"/>
        <v>2012</v>
      </c>
      <c r="Y435" s="1137">
        <f t="shared" si="500"/>
        <v>2013</v>
      </c>
      <c r="Z435" s="1137">
        <f t="shared" si="500"/>
        <v>2014</v>
      </c>
      <c r="AA435" s="1137">
        <f t="shared" si="500"/>
        <v>2015</v>
      </c>
      <c r="AB435" s="1137">
        <f t="shared" si="500"/>
        <v>2016</v>
      </c>
      <c r="AC435" s="1137">
        <f t="shared" si="500"/>
        <v>2017</v>
      </c>
      <c r="AD435" s="1137">
        <f t="shared" si="500"/>
        <v>2018</v>
      </c>
      <c r="AE435" s="1137">
        <f t="shared" si="500"/>
        <v>2019</v>
      </c>
    </row>
    <row r="436" spans="1:94">
      <c r="A436" s="664"/>
      <c r="B436" s="664"/>
      <c r="C436" s="1090" t="s">
        <v>1769</v>
      </c>
      <c r="D436" s="1091"/>
      <c r="E436" s="1038" t="s">
        <v>1450</v>
      </c>
      <c r="F436" s="176" t="s">
        <v>1410</v>
      </c>
      <c r="G436" s="1044">
        <f t="shared" ref="G436:V436" si="501">+G277/G81*100</f>
        <v>64.749209088936382</v>
      </c>
      <c r="H436" s="1044">
        <f t="shared" si="501"/>
        <v>74.837144938462714</v>
      </c>
      <c r="I436" s="1044">
        <f t="shared" si="501"/>
        <v>78.444597547970062</v>
      </c>
      <c r="J436" s="1044">
        <f t="shared" si="501"/>
        <v>74.91633861471739</v>
      </c>
      <c r="K436" s="1044">
        <f t="shared" si="501"/>
        <v>73.892253107308676</v>
      </c>
      <c r="L436" s="1044">
        <f t="shared" si="501"/>
        <v>76.875316434087281</v>
      </c>
      <c r="M436" s="1044">
        <f t="shared" si="501"/>
        <v>76.515284681983246</v>
      </c>
      <c r="N436" s="1044">
        <f t="shared" si="501"/>
        <v>75.372596808777729</v>
      </c>
      <c r="O436" s="1044">
        <f t="shared" si="501"/>
        <v>75.136084045971401</v>
      </c>
      <c r="P436" s="1044">
        <f t="shared" si="501"/>
        <v>81.859950932142382</v>
      </c>
      <c r="Q436" s="1044">
        <f t="shared" si="501"/>
        <v>83.32062757376714</v>
      </c>
      <c r="R436" s="1044">
        <f t="shared" si="501"/>
        <v>89.13523922565011</v>
      </c>
      <c r="S436" s="1044">
        <f>+S277/S81*100</f>
        <v>94.993682152310853</v>
      </c>
      <c r="T436" s="1044">
        <f t="shared" si="501"/>
        <v>101.98954769824455</v>
      </c>
      <c r="U436" s="1044">
        <f t="shared" si="501"/>
        <v>99.110575136639724</v>
      </c>
      <c r="V436" s="1044">
        <f t="shared" si="501"/>
        <v>100</v>
      </c>
      <c r="W436" s="1044">
        <f>+W277/W81*100</f>
        <v>102.61427099367741</v>
      </c>
      <c r="X436" s="1044">
        <f t="shared" ref="X436:Y438" si="502">+X277/X81*100</f>
        <v>105.00796392898847</v>
      </c>
      <c r="Y436" s="1044">
        <f t="shared" si="502"/>
        <v>104.97736939688079</v>
      </c>
      <c r="Z436" s="1044">
        <f t="shared" ref="Z436:AA438" si="503">+Z277/Z81*100</f>
        <v>104.85570080322</v>
      </c>
      <c r="AA436" s="1044">
        <f t="shared" si="503"/>
        <v>106.37596939955026</v>
      </c>
      <c r="AB436" s="1044">
        <f t="shared" ref="AB436:AC438" si="504">+AB277/AB81*100</f>
        <v>108.23519398807197</v>
      </c>
      <c r="AC436" s="1044">
        <f t="shared" si="504"/>
        <v>112.00149873324578</v>
      </c>
      <c r="AD436" s="1044">
        <f t="shared" ref="AD436:AE438" ca="1" si="505">+AD277/AD81*100</f>
        <v>114.80153620157691</v>
      </c>
      <c r="AE436" s="1044">
        <f t="shared" ca="1" si="505"/>
        <v>117.21236846181004</v>
      </c>
    </row>
    <row r="437" spans="1:94">
      <c r="A437" s="1130"/>
      <c r="B437" s="1130"/>
      <c r="C437" s="1081" t="s">
        <v>1767</v>
      </c>
      <c r="D437" s="1077"/>
      <c r="E437" s="1078" t="s">
        <v>1451</v>
      </c>
      <c r="F437" s="1077" t="s">
        <v>1411</v>
      </c>
      <c r="G437" s="1085">
        <f t="shared" ref="G437:V437" si="506">+G278/G82*100</f>
        <v>55.587032985099952</v>
      </c>
      <c r="H437" s="1085">
        <f t="shared" si="506"/>
        <v>65.671734270147567</v>
      </c>
      <c r="I437" s="1085">
        <f t="shared" si="506"/>
        <v>72.361265280199532</v>
      </c>
      <c r="J437" s="1085">
        <f t="shared" si="506"/>
        <v>65.487817039207215</v>
      </c>
      <c r="K437" s="1085">
        <f t="shared" si="506"/>
        <v>61.173367365836718</v>
      </c>
      <c r="L437" s="1085">
        <f t="shared" si="506"/>
        <v>74.239762925047145</v>
      </c>
      <c r="M437" s="1085">
        <f t="shared" si="506"/>
        <v>75.268880164144164</v>
      </c>
      <c r="N437" s="1085">
        <f t="shared" si="506"/>
        <v>72.820464406497294</v>
      </c>
      <c r="O437" s="1085">
        <f t="shared" si="506"/>
        <v>71.696807731871459</v>
      </c>
      <c r="P437" s="1085">
        <f t="shared" si="506"/>
        <v>76.700378706698075</v>
      </c>
      <c r="Q437" s="1085">
        <f t="shared" si="506"/>
        <v>84.909880770635141</v>
      </c>
      <c r="R437" s="1085">
        <f t="shared" si="506"/>
        <v>88.856618396210052</v>
      </c>
      <c r="S437" s="1085">
        <f>+S278/S82*100</f>
        <v>93.867481547187936</v>
      </c>
      <c r="T437" s="1085">
        <f t="shared" si="506"/>
        <v>106.81026801519018</v>
      </c>
      <c r="U437" s="1085">
        <f t="shared" si="506"/>
        <v>88.961451743466512</v>
      </c>
      <c r="V437" s="1085">
        <f t="shared" si="506"/>
        <v>100</v>
      </c>
      <c r="W437" s="1085">
        <f>+W278/W82*100</f>
        <v>112.88766364016286</v>
      </c>
      <c r="X437" s="1085">
        <f t="shared" si="502"/>
        <v>116.79352580927385</v>
      </c>
      <c r="Y437" s="1085">
        <f t="shared" si="502"/>
        <v>114.34219667060232</v>
      </c>
      <c r="Z437" s="1085">
        <f t="shared" si="503"/>
        <v>111.14308966145944</v>
      </c>
      <c r="AA437" s="1085">
        <f t="shared" si="503"/>
        <v>105.22756141311602</v>
      </c>
      <c r="AB437" s="1085">
        <f t="shared" si="504"/>
        <v>102.00516681882353</v>
      </c>
      <c r="AC437" s="1085">
        <f t="shared" si="504"/>
        <v>106.79167824309251</v>
      </c>
      <c r="AD437" s="1085">
        <f t="shared" ca="1" si="505"/>
        <v>109.24788684268361</v>
      </c>
      <c r="AE437" s="1085">
        <f t="shared" ca="1" si="505"/>
        <v>111.43284457953729</v>
      </c>
    </row>
    <row r="438" spans="1:94">
      <c r="A438" s="664"/>
      <c r="B438" s="664"/>
      <c r="C438" s="694" t="s">
        <v>1769</v>
      </c>
      <c r="D438" s="1146"/>
      <c r="E438" s="1147" t="s">
        <v>1452</v>
      </c>
      <c r="F438" s="1146" t="s">
        <v>1412</v>
      </c>
      <c r="G438" s="1148">
        <f t="shared" ref="G438:V438" si="507">+G279/G83*100</f>
        <v>57.123758096785608</v>
      </c>
      <c r="H438" s="1148">
        <f t="shared" si="507"/>
        <v>67.785233872989934</v>
      </c>
      <c r="I438" s="1148">
        <f t="shared" si="507"/>
        <v>73.810820213904833</v>
      </c>
      <c r="J438" s="1148">
        <f t="shared" si="507"/>
        <v>68.153949933006416</v>
      </c>
      <c r="K438" s="1148">
        <f t="shared" si="507"/>
        <v>65.91219666936648</v>
      </c>
      <c r="L438" s="1148">
        <f t="shared" si="507"/>
        <v>75.234699772839008</v>
      </c>
      <c r="M438" s="1148">
        <f t="shared" si="507"/>
        <v>75.305951351051576</v>
      </c>
      <c r="N438" s="1148">
        <f t="shared" si="507"/>
        <v>73.090935450855113</v>
      </c>
      <c r="O438" s="1148">
        <f t="shared" si="507"/>
        <v>72.082388131919956</v>
      </c>
      <c r="P438" s="1148">
        <f t="shared" si="507"/>
        <v>77.772814064920567</v>
      </c>
      <c r="Q438" s="1148">
        <f t="shared" si="507"/>
        <v>84.494091539113896</v>
      </c>
      <c r="R438" s="1148">
        <f t="shared" si="507"/>
        <v>88.838196265358405</v>
      </c>
      <c r="S438" s="1148">
        <f>+S279/S83*100</f>
        <v>94.022068623221628</v>
      </c>
      <c r="T438" s="1148">
        <f t="shared" si="507"/>
        <v>105.81807904100448</v>
      </c>
      <c r="U438" s="1148">
        <f t="shared" si="507"/>
        <v>90.858391314315696</v>
      </c>
      <c r="V438" s="1148">
        <f t="shared" si="507"/>
        <v>100</v>
      </c>
      <c r="W438" s="1148">
        <f>+W279/W83*100</f>
        <v>110.97718383990174</v>
      </c>
      <c r="X438" s="1148">
        <f t="shared" si="502"/>
        <v>114.59465717467221</v>
      </c>
      <c r="Y438" s="1148">
        <f t="shared" si="502"/>
        <v>112.61713759293789</v>
      </c>
      <c r="Z438" s="1148">
        <f t="shared" si="503"/>
        <v>110.05496807413584</v>
      </c>
      <c r="AA438" s="1148">
        <f t="shared" si="503"/>
        <v>105.70741597605722</v>
      </c>
      <c r="AB438" s="1148">
        <f t="shared" si="504"/>
        <v>103.63903151636154</v>
      </c>
      <c r="AC438" s="1148">
        <f t="shared" si="504"/>
        <v>108.19374809454187</v>
      </c>
      <c r="AD438" s="1148">
        <f t="shared" ca="1" si="505"/>
        <v>110.73534168112464</v>
      </c>
      <c r="AE438" s="1148">
        <f t="shared" ca="1" si="505"/>
        <v>112.97730108766623</v>
      </c>
    </row>
    <row r="439" spans="1:94">
      <c r="V439"/>
      <c r="W439"/>
      <c r="X439"/>
      <c r="Y439"/>
      <c r="Z439"/>
      <c r="AA439"/>
    </row>
    <row r="440" spans="1:94">
      <c r="A440" s="1130"/>
      <c r="D440" s="1116"/>
      <c r="E440" s="927" t="s">
        <v>1833</v>
      </c>
      <c r="F440" s="1108"/>
      <c r="G440" s="896">
        <f>+InputY!$G$3</f>
        <v>1995</v>
      </c>
      <c r="H440" s="896">
        <f>+G440+1</f>
        <v>1996</v>
      </c>
      <c r="I440" s="896">
        <f t="shared" ref="I440:O440" si="508">+H440+1</f>
        <v>1997</v>
      </c>
      <c r="J440" s="896">
        <f t="shared" si="508"/>
        <v>1998</v>
      </c>
      <c r="K440" s="896">
        <f t="shared" si="508"/>
        <v>1999</v>
      </c>
      <c r="L440" s="896">
        <f t="shared" si="508"/>
        <v>2000</v>
      </c>
      <c r="M440" s="896">
        <f t="shared" si="508"/>
        <v>2001</v>
      </c>
      <c r="N440" s="896">
        <f t="shared" si="508"/>
        <v>2002</v>
      </c>
      <c r="O440" s="896">
        <f t="shared" si="508"/>
        <v>2003</v>
      </c>
      <c r="P440" s="896">
        <f t="shared" ref="P440:V440" si="509">+O440+1</f>
        <v>2004</v>
      </c>
      <c r="Q440" s="896">
        <f t="shared" si="509"/>
        <v>2005</v>
      </c>
      <c r="R440" s="896">
        <f t="shared" si="509"/>
        <v>2006</v>
      </c>
      <c r="S440" s="896">
        <f>+R440+1</f>
        <v>2007</v>
      </c>
      <c r="T440" s="896">
        <f t="shared" si="509"/>
        <v>2008</v>
      </c>
      <c r="U440" s="896">
        <f t="shared" si="509"/>
        <v>2009</v>
      </c>
      <c r="V440" s="896">
        <f t="shared" si="509"/>
        <v>2010</v>
      </c>
      <c r="W440" s="896">
        <f t="shared" ref="W440:AE440" si="510">+V440+1</f>
        <v>2011</v>
      </c>
      <c r="X440" s="896">
        <f t="shared" si="510"/>
        <v>2012</v>
      </c>
      <c r="Y440" s="896">
        <f t="shared" si="510"/>
        <v>2013</v>
      </c>
      <c r="Z440" s="896">
        <f t="shared" si="510"/>
        <v>2014</v>
      </c>
      <c r="AA440" s="896">
        <f t="shared" si="510"/>
        <v>2015</v>
      </c>
      <c r="AB440" s="896">
        <f t="shared" si="510"/>
        <v>2016</v>
      </c>
      <c r="AC440" s="896">
        <f t="shared" si="510"/>
        <v>2017</v>
      </c>
      <c r="AD440" s="896">
        <f t="shared" si="510"/>
        <v>2018</v>
      </c>
      <c r="AE440" s="896">
        <f t="shared" si="510"/>
        <v>2019</v>
      </c>
    </row>
    <row r="441" spans="1:94">
      <c r="A441" s="664"/>
      <c r="B441" s="664"/>
      <c r="C441" s="1119" t="s">
        <v>1769</v>
      </c>
      <c r="D441" s="1120"/>
      <c r="E441" s="1106" t="s">
        <v>1450</v>
      </c>
      <c r="F441" s="1120" t="s">
        <v>1410</v>
      </c>
      <c r="G441" s="1095"/>
      <c r="H441" s="1095">
        <f>+(H436/G436-1)*100</f>
        <v>15.580014013252308</v>
      </c>
      <c r="I441" s="1095">
        <f t="shared" ref="I441:S441" si="511">+(I436/H436-1)*100</f>
        <v>4.8204038415331052</v>
      </c>
      <c r="J441" s="1095">
        <f t="shared" si="511"/>
        <v>-4.4977717313102294</v>
      </c>
      <c r="K441" s="1095">
        <f t="shared" si="511"/>
        <v>-1.3669721803616475</v>
      </c>
      <c r="L441" s="1095">
        <f t="shared" si="511"/>
        <v>4.0370447527787512</v>
      </c>
      <c r="M441" s="1095">
        <f t="shared" si="511"/>
        <v>-0.46833205872098826</v>
      </c>
      <c r="N441" s="1095">
        <f t="shared" si="511"/>
        <v>-1.4934112549601197</v>
      </c>
      <c r="O441" s="1095">
        <f t="shared" si="511"/>
        <v>-0.31379144784724478</v>
      </c>
      <c r="P441" s="1095">
        <f t="shared" si="511"/>
        <v>8.9489184478353181</v>
      </c>
      <c r="Q441" s="1095">
        <f t="shared" si="511"/>
        <v>1.7843605145031027</v>
      </c>
      <c r="R441" s="1095">
        <f t="shared" si="511"/>
        <v>6.9785980029195782</v>
      </c>
      <c r="S441" s="1095">
        <f t="shared" si="511"/>
        <v>6.5725329034343138</v>
      </c>
      <c r="T441" s="1095">
        <f t="shared" ref="T441:AE443" si="512">+(T436/S436-1)*100</f>
        <v>7.3645587658310419</v>
      </c>
      <c r="U441" s="1095">
        <f t="shared" si="512"/>
        <v>-2.822811382714252</v>
      </c>
      <c r="V441" s="1095">
        <f t="shared" si="512"/>
        <v>0.89740662097264057</v>
      </c>
      <c r="W441" s="1095">
        <f t="shared" si="512"/>
        <v>2.6142709936774144</v>
      </c>
      <c r="X441" s="1095">
        <f t="shared" si="512"/>
        <v>2.3327095852569535</v>
      </c>
      <c r="Y441" s="1095">
        <f t="shared" si="512"/>
        <v>-2.9135439792327134E-2</v>
      </c>
      <c r="Z441" s="1095">
        <f t="shared" si="512"/>
        <v>-0.11589983094432155</v>
      </c>
      <c r="AA441" s="1095">
        <f t="shared" si="512"/>
        <v>1.449867374577285</v>
      </c>
      <c r="AB441" s="1095">
        <f t="shared" si="512"/>
        <v>1.7477862707304004</v>
      </c>
      <c r="AC441" s="1095">
        <f t="shared" si="512"/>
        <v>3.4797412989243437</v>
      </c>
      <c r="AD441" s="1095">
        <f t="shared" ca="1" si="512"/>
        <v>2.4999999999999911</v>
      </c>
      <c r="AE441" s="1095">
        <f t="shared" ca="1" si="512"/>
        <v>2.100000000000013</v>
      </c>
    </row>
    <row r="442" spans="1:94">
      <c r="A442" s="1130"/>
      <c r="B442" s="1130"/>
      <c r="C442" s="979" t="s">
        <v>1767</v>
      </c>
      <c r="D442" s="1121"/>
      <c r="E442" s="1122" t="s">
        <v>1451</v>
      </c>
      <c r="F442" s="1121" t="s">
        <v>1411</v>
      </c>
      <c r="G442" s="1124"/>
      <c r="H442" s="1124">
        <f>+(H437/G437-1)*100</f>
        <v>18.142183065879426</v>
      </c>
      <c r="I442" s="1124">
        <f t="shared" ref="I442:S442" si="513">+(I437/H437-1)*100</f>
        <v>10.186316966343355</v>
      </c>
      <c r="J442" s="1124">
        <f t="shared" si="513"/>
        <v>-9.4987949898011621</v>
      </c>
      <c r="K442" s="1124">
        <f t="shared" si="513"/>
        <v>-6.5881714621628955</v>
      </c>
      <c r="L442" s="1124">
        <f t="shared" si="513"/>
        <v>21.359614685046058</v>
      </c>
      <c r="M442" s="1124">
        <f t="shared" si="513"/>
        <v>1.3862076043211768</v>
      </c>
      <c r="N442" s="1124">
        <f t="shared" si="513"/>
        <v>-3.2528924999381426</v>
      </c>
      <c r="O442" s="1124">
        <f t="shared" si="513"/>
        <v>-1.5430506846995318</v>
      </c>
      <c r="P442" s="1124">
        <f t="shared" si="513"/>
        <v>6.9787918501737822</v>
      </c>
      <c r="Q442" s="1124">
        <f t="shared" si="513"/>
        <v>10.703339673628175</v>
      </c>
      <c r="R442" s="1124">
        <f t="shared" si="513"/>
        <v>4.648148825265852</v>
      </c>
      <c r="S442" s="1124">
        <f t="shared" si="513"/>
        <v>5.6392683419872469</v>
      </c>
      <c r="T442" s="1124">
        <f t="shared" si="512"/>
        <v>13.788360201712457</v>
      </c>
      <c r="U442" s="1124">
        <f t="shared" si="512"/>
        <v>-16.710768171825265</v>
      </c>
      <c r="V442" s="1124">
        <f t="shared" si="512"/>
        <v>12.408237545813417</v>
      </c>
      <c r="W442" s="1124">
        <f t="shared" si="512"/>
        <v>12.887663640162849</v>
      </c>
      <c r="X442" s="1124">
        <f t="shared" si="512"/>
        <v>3.4599548286881054</v>
      </c>
      <c r="Y442" s="1124">
        <f t="shared" si="512"/>
        <v>-2.0988570399652073</v>
      </c>
      <c r="Z442" s="1124">
        <f t="shared" si="512"/>
        <v>-2.7978358841214912</v>
      </c>
      <c r="AA442" s="1124">
        <f t="shared" si="512"/>
        <v>-5.3224435872370019</v>
      </c>
      <c r="AB442" s="1124">
        <f t="shared" si="512"/>
        <v>-3.0623104356106823</v>
      </c>
      <c r="AC442" s="1124">
        <f t="shared" si="512"/>
        <v>4.6924205641176497</v>
      </c>
      <c r="AD442" s="1124">
        <f t="shared" ca="1" si="512"/>
        <v>2.2999999999999909</v>
      </c>
      <c r="AE442" s="1124">
        <f t="shared" ca="1" si="512"/>
        <v>2.0000000000000018</v>
      </c>
    </row>
    <row r="443" spans="1:94" ht="12.75" customHeight="1">
      <c r="A443" s="664"/>
      <c r="B443" s="664"/>
      <c r="C443" s="694" t="s">
        <v>1769</v>
      </c>
      <c r="D443" s="1097"/>
      <c r="E443" s="1098" t="s">
        <v>1452</v>
      </c>
      <c r="F443" s="1097" t="s">
        <v>1412</v>
      </c>
      <c r="G443" s="1099"/>
      <c r="H443" s="1099">
        <f>+(H438/G438-1)*100</f>
        <v>18.66382067885035</v>
      </c>
      <c r="I443" s="1099">
        <f t="shared" ref="I443:S443" si="514">+(I438/H438-1)*100</f>
        <v>8.8892314692092356</v>
      </c>
      <c r="J443" s="1099">
        <f t="shared" si="514"/>
        <v>-7.6640122200305143</v>
      </c>
      <c r="K443" s="1099">
        <f t="shared" si="514"/>
        <v>-3.2892492156999298</v>
      </c>
      <c r="L443" s="1099">
        <f t="shared" si="514"/>
        <v>14.143820983901879</v>
      </c>
      <c r="M443" s="1099">
        <f t="shared" si="514"/>
        <v>9.4705738745148871E-2</v>
      </c>
      <c r="N443" s="1099">
        <f t="shared" si="514"/>
        <v>-2.941355710215765</v>
      </c>
      <c r="O443" s="1099">
        <f t="shared" si="514"/>
        <v>-1.3798527994121623</v>
      </c>
      <c r="P443" s="1099">
        <f t="shared" si="514"/>
        <v>7.8943360236434001</v>
      </c>
      <c r="Q443" s="1099">
        <f t="shared" si="514"/>
        <v>8.6421940044277825</v>
      </c>
      <c r="R443" s="1099">
        <f t="shared" si="514"/>
        <v>5.1413118327138241</v>
      </c>
      <c r="S443" s="1099">
        <f t="shared" si="514"/>
        <v>5.8351841615278621</v>
      </c>
      <c r="T443" s="1099">
        <f t="shared" si="512"/>
        <v>12.546001795656592</v>
      </c>
      <c r="U443" s="1099">
        <f t="shared" si="512"/>
        <v>-14.137175671930224</v>
      </c>
      <c r="V443" s="1099">
        <f t="shared" si="512"/>
        <v>10.061380741443916</v>
      </c>
      <c r="W443" s="1099">
        <f t="shared" si="512"/>
        <v>10.977183839901738</v>
      </c>
      <c r="X443" s="1099">
        <f t="shared" si="512"/>
        <v>3.2596550116005041</v>
      </c>
      <c r="Y443" s="1099">
        <f t="shared" si="512"/>
        <v>-1.7256647303548034</v>
      </c>
      <c r="Z443" s="1099">
        <f t="shared" si="512"/>
        <v>-2.2751151144181803</v>
      </c>
      <c r="AA443" s="1099">
        <f t="shared" si="512"/>
        <v>-3.9503460626602482</v>
      </c>
      <c r="AB443" s="1099">
        <f t="shared" si="512"/>
        <v>-1.9567070489776905</v>
      </c>
      <c r="AC443" s="1099">
        <f t="shared" si="512"/>
        <v>4.3947888276641089</v>
      </c>
      <c r="AD443" s="1099">
        <f t="shared" ca="1" si="512"/>
        <v>2.3491131709032498</v>
      </c>
      <c r="AE443" s="1099">
        <f t="shared" ca="1" si="512"/>
        <v>2.0246105466469544</v>
      </c>
    </row>
    <row r="444" spans="1:94">
      <c r="V444"/>
      <c r="W444"/>
      <c r="X444"/>
      <c r="Y444"/>
      <c r="Z444"/>
      <c r="AA444"/>
    </row>
    <row r="445" spans="1:94">
      <c r="A445" s="1130"/>
      <c r="D445" s="1185"/>
      <c r="E445" s="1186" t="s">
        <v>748</v>
      </c>
      <c r="F445" s="1145"/>
      <c r="G445" s="1137">
        <f>+InputY!$G$3</f>
        <v>1995</v>
      </c>
      <c r="H445" s="1137">
        <f>+G445+1</f>
        <v>1996</v>
      </c>
      <c r="I445" s="1137">
        <f t="shared" ref="I445:O445" si="515">+H445+1</f>
        <v>1997</v>
      </c>
      <c r="J445" s="1137">
        <f t="shared" si="515"/>
        <v>1998</v>
      </c>
      <c r="K445" s="1137">
        <f t="shared" si="515"/>
        <v>1999</v>
      </c>
      <c r="L445" s="1137">
        <f t="shared" si="515"/>
        <v>2000</v>
      </c>
      <c r="M445" s="1137">
        <f t="shared" si="515"/>
        <v>2001</v>
      </c>
      <c r="N445" s="1137">
        <f t="shared" si="515"/>
        <v>2002</v>
      </c>
      <c r="O445" s="1137">
        <f t="shared" si="515"/>
        <v>2003</v>
      </c>
      <c r="P445" s="1137">
        <f t="shared" ref="P445:V445" si="516">+O445+1</f>
        <v>2004</v>
      </c>
      <c r="Q445" s="1137">
        <f t="shared" si="516"/>
        <v>2005</v>
      </c>
      <c r="R445" s="1137">
        <f t="shared" si="516"/>
        <v>2006</v>
      </c>
      <c r="S445" s="1137">
        <f>+R445+1</f>
        <v>2007</v>
      </c>
      <c r="T445" s="1137">
        <f t="shared" si="516"/>
        <v>2008</v>
      </c>
      <c r="U445" s="1137">
        <f t="shared" si="516"/>
        <v>2009</v>
      </c>
      <c r="V445" s="1137">
        <f t="shared" si="516"/>
        <v>2010</v>
      </c>
      <c r="W445" s="1137">
        <f t="shared" ref="W445:AE445" si="517">+V445+1</f>
        <v>2011</v>
      </c>
      <c r="X445" s="1137">
        <f t="shared" si="517"/>
        <v>2012</v>
      </c>
      <c r="Y445" s="1137">
        <f t="shared" si="517"/>
        <v>2013</v>
      </c>
      <c r="Z445" s="1137">
        <f t="shared" si="517"/>
        <v>2014</v>
      </c>
      <c r="AA445" s="1137">
        <f t="shared" si="517"/>
        <v>2015</v>
      </c>
      <c r="AB445" s="1137">
        <f t="shared" si="517"/>
        <v>2016</v>
      </c>
      <c r="AC445" s="1137">
        <f t="shared" si="517"/>
        <v>2017</v>
      </c>
      <c r="AD445" s="1137">
        <f t="shared" si="517"/>
        <v>2018</v>
      </c>
      <c r="AE445" s="1137">
        <f t="shared" si="517"/>
        <v>2019</v>
      </c>
    </row>
    <row r="446" spans="1:94">
      <c r="A446" s="664"/>
      <c r="B446" s="664"/>
      <c r="C446" s="1090" t="s">
        <v>1769</v>
      </c>
      <c r="D446" s="1091"/>
      <c r="E446" s="1038" t="s">
        <v>1453</v>
      </c>
      <c r="F446" s="176" t="s">
        <v>1542</v>
      </c>
      <c r="G446" s="1044">
        <f t="shared" ref="G446:V446" si="518">+G309/G103*100</f>
        <v>86.851331371677603</v>
      </c>
      <c r="H446" s="1044">
        <f t="shared" si="518"/>
        <v>87.608429946980905</v>
      </c>
      <c r="I446" s="1044">
        <f t="shared" si="518"/>
        <v>91.871467534535583</v>
      </c>
      <c r="J446" s="1044">
        <f t="shared" si="518"/>
        <v>87.77159536809549</v>
      </c>
      <c r="K446" s="1044">
        <f t="shared" si="518"/>
        <v>82.474185020518306</v>
      </c>
      <c r="L446" s="1044">
        <f t="shared" si="518"/>
        <v>85.51821976824769</v>
      </c>
      <c r="M446" s="1044">
        <f t="shared" si="518"/>
        <v>91.829161454100017</v>
      </c>
      <c r="N446" s="1044">
        <f t="shared" si="518"/>
        <v>93.718510927127568</v>
      </c>
      <c r="O446" s="1044">
        <f t="shared" si="518"/>
        <v>90.932724833638886</v>
      </c>
      <c r="P446" s="1044">
        <f t="shared" si="518"/>
        <v>88.714217746411862</v>
      </c>
      <c r="Q446" s="1044">
        <f t="shared" si="518"/>
        <v>89.461765776569081</v>
      </c>
      <c r="R446" s="1044">
        <f t="shared" si="518"/>
        <v>93.797071274258272</v>
      </c>
      <c r="S446" s="1044">
        <f>+S309/S103*100</f>
        <v>97.640190758098996</v>
      </c>
      <c r="T446" s="1044">
        <f t="shared" si="518"/>
        <v>102.90205605730078</v>
      </c>
      <c r="U446" s="1044">
        <f t="shared" si="518"/>
        <v>96.446762277270722</v>
      </c>
      <c r="V446" s="1044">
        <f t="shared" si="518"/>
        <v>100</v>
      </c>
      <c r="W446" s="1044">
        <f>+W309/W103*100</f>
        <v>102.65000946431952</v>
      </c>
      <c r="X446" s="1044">
        <f t="shared" ref="X446:Y448" si="519">+X309/X103*100</f>
        <v>104.26673855504363</v>
      </c>
      <c r="Y446" s="1044">
        <f t="shared" si="519"/>
        <v>103.91246991894218</v>
      </c>
      <c r="Z446" s="1044">
        <f t="shared" ref="Z446:AA448" si="520">+Z309/Z103*100</f>
        <v>103.33650628538904</v>
      </c>
      <c r="AA446" s="1044">
        <f t="shared" si="520"/>
        <v>104.88640749727726</v>
      </c>
      <c r="AB446" s="1044">
        <f t="shared" ref="AB446:AC448" si="521">+AB309/AB103*100</f>
        <v>106.07055871282014</v>
      </c>
      <c r="AC446" s="1044">
        <f t="shared" si="521"/>
        <v>109.59243955291275</v>
      </c>
      <c r="AD446" s="1044">
        <f t="shared" ref="AD446:AE448" ca="1" si="522">+AD309/AD103*100</f>
        <v>112.88021273950012</v>
      </c>
      <c r="AE446" s="1044">
        <f t="shared" ca="1" si="522"/>
        <v>115.13781699429013</v>
      </c>
    </row>
    <row r="447" spans="1:94">
      <c r="A447" s="1130"/>
      <c r="B447" s="1130"/>
      <c r="C447" s="1081" t="s">
        <v>1767</v>
      </c>
      <c r="D447" s="1077"/>
      <c r="E447" s="1078" t="s">
        <v>1454</v>
      </c>
      <c r="F447" s="1077" t="s">
        <v>1436</v>
      </c>
      <c r="G447" s="1085">
        <f t="shared" ref="G447:V447" si="523">+G310/G104*100</f>
        <v>73.306088131954056</v>
      </c>
      <c r="H447" s="1085">
        <f t="shared" si="523"/>
        <v>80.854863766090347</v>
      </c>
      <c r="I447" s="1085">
        <f t="shared" si="523"/>
        <v>83.69411643647561</v>
      </c>
      <c r="J447" s="1085">
        <f t="shared" si="523"/>
        <v>80.593532768863426</v>
      </c>
      <c r="K447" s="1085">
        <f t="shared" si="523"/>
        <v>75.021708013139062</v>
      </c>
      <c r="L447" s="1085">
        <f t="shared" si="523"/>
        <v>80.118527949156203</v>
      </c>
      <c r="M447" s="1085">
        <f t="shared" si="523"/>
        <v>79.6190264257785</v>
      </c>
      <c r="N447" s="1085">
        <f t="shared" si="523"/>
        <v>76.413535602131432</v>
      </c>
      <c r="O447" s="1085">
        <f t="shared" si="523"/>
        <v>75.564881574502223</v>
      </c>
      <c r="P447" s="1085">
        <f t="shared" si="523"/>
        <v>75.35593872660796</v>
      </c>
      <c r="Q447" s="1085">
        <f t="shared" si="523"/>
        <v>81.787850306960749</v>
      </c>
      <c r="R447" s="1085">
        <f t="shared" si="523"/>
        <v>88.954804876668049</v>
      </c>
      <c r="S447" s="1085">
        <f>+S310/S104*100</f>
        <v>93.399696287252283</v>
      </c>
      <c r="T447" s="1085">
        <f t="shared" si="523"/>
        <v>101.90756178014146</v>
      </c>
      <c r="U447" s="1085">
        <f t="shared" si="523"/>
        <v>90.208342558561753</v>
      </c>
      <c r="V447" s="1085">
        <f t="shared" si="523"/>
        <v>100</v>
      </c>
      <c r="W447" s="1085">
        <f>+W310/W104*100</f>
        <v>113.24994492190505</v>
      </c>
      <c r="X447" s="1085">
        <f t="shared" si="519"/>
        <v>118.36142348002583</v>
      </c>
      <c r="Y447" s="1085">
        <f t="shared" si="519"/>
        <v>116.38474577142013</v>
      </c>
      <c r="Z447" s="1085">
        <f t="shared" si="520"/>
        <v>112.18103921504475</v>
      </c>
      <c r="AA447" s="1085">
        <f t="shared" si="520"/>
        <v>102.90237601118122</v>
      </c>
      <c r="AB447" s="1085">
        <f t="shared" si="521"/>
        <v>97.42311644912995</v>
      </c>
      <c r="AC447" s="1085">
        <f t="shared" si="521"/>
        <v>101.44782856717676</v>
      </c>
      <c r="AD447" s="1085">
        <f t="shared" ca="1" si="522"/>
        <v>103.98402428135618</v>
      </c>
      <c r="AE447" s="1085">
        <f t="shared" ca="1" si="522"/>
        <v>105.54378464557652</v>
      </c>
    </row>
    <row r="448" spans="1:94">
      <c r="A448" s="664"/>
      <c r="B448" s="664"/>
      <c r="C448" s="694" t="s">
        <v>1769</v>
      </c>
      <c r="D448" s="1146"/>
      <c r="E448" s="1147" t="s">
        <v>1455</v>
      </c>
      <c r="F448" s="1146" t="s">
        <v>1886</v>
      </c>
      <c r="G448" s="1148">
        <f t="shared" ref="G448:V448" si="524">+G311/G105*100</f>
        <v>75.53456741052706</v>
      </c>
      <c r="H448" s="1148">
        <f t="shared" si="524"/>
        <v>82.285991385715008</v>
      </c>
      <c r="I448" s="1148">
        <f t="shared" si="524"/>
        <v>85.380333694282825</v>
      </c>
      <c r="J448" s="1148">
        <f t="shared" si="524"/>
        <v>82.014540244158368</v>
      </c>
      <c r="K448" s="1148">
        <f t="shared" si="524"/>
        <v>76.649701782629862</v>
      </c>
      <c r="L448" s="1148">
        <f t="shared" si="524"/>
        <v>81.005099092417893</v>
      </c>
      <c r="M448" s="1148">
        <f t="shared" si="524"/>
        <v>80.97057046408149</v>
      </c>
      <c r="N448" s="1148">
        <f t="shared" si="524"/>
        <v>78.314469716311237</v>
      </c>
      <c r="O448" s="1148">
        <f t="shared" si="524"/>
        <v>77.302840217425043</v>
      </c>
      <c r="P448" s="1148">
        <f t="shared" si="524"/>
        <v>76.89097617000624</v>
      </c>
      <c r="Q448" s="1148">
        <f t="shared" si="524"/>
        <v>82.632730036945063</v>
      </c>
      <c r="R448" s="1148">
        <f t="shared" si="524"/>
        <v>89.444775526980351</v>
      </c>
      <c r="S448" s="1148">
        <f>+S311/S105*100</f>
        <v>93.804576681859857</v>
      </c>
      <c r="T448" s="1148">
        <f t="shared" si="524"/>
        <v>101.89094019543903</v>
      </c>
      <c r="U448" s="1148">
        <f t="shared" si="524"/>
        <v>90.970121284844595</v>
      </c>
      <c r="V448" s="1148">
        <f t="shared" si="524"/>
        <v>100</v>
      </c>
      <c r="W448" s="1148">
        <f>+W311/W105*100</f>
        <v>111.93184781369607</v>
      </c>
      <c r="X448" s="1148">
        <f t="shared" si="519"/>
        <v>116.55775391025647</v>
      </c>
      <c r="Y448" s="1148">
        <f t="shared" si="519"/>
        <v>114.82472450588746</v>
      </c>
      <c r="Z448" s="1148">
        <f t="shared" si="520"/>
        <v>111.17552872670866</v>
      </c>
      <c r="AA448" s="1148">
        <f t="shared" si="520"/>
        <v>103.46784354041645</v>
      </c>
      <c r="AB448" s="1148">
        <f t="shared" si="521"/>
        <v>98.985380976374429</v>
      </c>
      <c r="AC448" s="1148">
        <f t="shared" si="521"/>
        <v>102.94378003564421</v>
      </c>
      <c r="AD448" s="1148">
        <f t="shared" ca="1" si="522"/>
        <v>105.6007483981507</v>
      </c>
      <c r="AE448" s="1148">
        <f t="shared" ca="1" si="522"/>
        <v>107.2704295448401</v>
      </c>
    </row>
    <row r="449" spans="1:94">
      <c r="V449"/>
      <c r="W449"/>
      <c r="X449"/>
      <c r="Y449"/>
      <c r="Z449"/>
      <c r="AA449"/>
    </row>
    <row r="450" spans="1:94">
      <c r="A450" s="1130"/>
      <c r="D450" s="1117"/>
      <c r="E450" s="930" t="s">
        <v>748</v>
      </c>
      <c r="F450" s="1118"/>
      <c r="G450" s="896">
        <f>+InputY!$G$3</f>
        <v>1995</v>
      </c>
      <c r="H450" s="896">
        <f>+G450+1</f>
        <v>1996</v>
      </c>
      <c r="I450" s="896">
        <f t="shared" ref="I450:O450" si="525">+H450+1</f>
        <v>1997</v>
      </c>
      <c r="J450" s="896">
        <f t="shared" si="525"/>
        <v>1998</v>
      </c>
      <c r="K450" s="896">
        <f t="shared" si="525"/>
        <v>1999</v>
      </c>
      <c r="L450" s="896">
        <f t="shared" si="525"/>
        <v>2000</v>
      </c>
      <c r="M450" s="896">
        <f t="shared" si="525"/>
        <v>2001</v>
      </c>
      <c r="N450" s="896">
        <f t="shared" si="525"/>
        <v>2002</v>
      </c>
      <c r="O450" s="896">
        <f t="shared" si="525"/>
        <v>2003</v>
      </c>
      <c r="P450" s="896">
        <f t="shared" ref="P450:V450" si="526">+O450+1</f>
        <v>2004</v>
      </c>
      <c r="Q450" s="896">
        <f t="shared" si="526"/>
        <v>2005</v>
      </c>
      <c r="R450" s="896">
        <f t="shared" si="526"/>
        <v>2006</v>
      </c>
      <c r="S450" s="896">
        <f>+R450+1</f>
        <v>2007</v>
      </c>
      <c r="T450" s="896">
        <f t="shared" si="526"/>
        <v>2008</v>
      </c>
      <c r="U450" s="896">
        <f t="shared" si="526"/>
        <v>2009</v>
      </c>
      <c r="V450" s="896">
        <f t="shared" si="526"/>
        <v>2010</v>
      </c>
      <c r="W450" s="896">
        <f t="shared" ref="W450:AE450" si="527">+V450+1</f>
        <v>2011</v>
      </c>
      <c r="X450" s="896">
        <f t="shared" si="527"/>
        <v>2012</v>
      </c>
      <c r="Y450" s="896">
        <f t="shared" si="527"/>
        <v>2013</v>
      </c>
      <c r="Z450" s="896">
        <f t="shared" si="527"/>
        <v>2014</v>
      </c>
      <c r="AA450" s="896">
        <f t="shared" si="527"/>
        <v>2015</v>
      </c>
      <c r="AB450" s="896">
        <f t="shared" si="527"/>
        <v>2016</v>
      </c>
      <c r="AC450" s="896">
        <f t="shared" si="527"/>
        <v>2017</v>
      </c>
      <c r="AD450" s="896">
        <f t="shared" si="527"/>
        <v>2018</v>
      </c>
      <c r="AE450" s="896">
        <f t="shared" si="527"/>
        <v>2019</v>
      </c>
    </row>
    <row r="451" spans="1:94">
      <c r="A451" s="664"/>
      <c r="B451" s="664"/>
      <c r="C451" s="1119" t="s">
        <v>1769</v>
      </c>
      <c r="D451" s="1120"/>
      <c r="E451" s="1106" t="s">
        <v>1453</v>
      </c>
      <c r="F451" s="1120" t="s">
        <v>1542</v>
      </c>
      <c r="G451" s="1095"/>
      <c r="H451" s="1095">
        <f>+(H446/G446-1)*100</f>
        <v>0.87171786931317108</v>
      </c>
      <c r="I451" s="1095">
        <f t="shared" ref="I451:S451" si="528">+(I446/H446-1)*100</f>
        <v>4.8660129968481236</v>
      </c>
      <c r="J451" s="1095">
        <f t="shared" si="528"/>
        <v>-4.4626174768558009</v>
      </c>
      <c r="K451" s="1095">
        <f t="shared" si="528"/>
        <v>-6.035449538499293</v>
      </c>
      <c r="L451" s="1095">
        <f t="shared" si="528"/>
        <v>3.6908940015255354</v>
      </c>
      <c r="M451" s="1095">
        <f t="shared" si="528"/>
        <v>7.3796457678314997</v>
      </c>
      <c r="N451" s="1095">
        <f t="shared" si="528"/>
        <v>2.0574613152401833</v>
      </c>
      <c r="O451" s="1095">
        <f t="shared" si="528"/>
        <v>-2.9725035811279721</v>
      </c>
      <c r="P451" s="1095">
        <f t="shared" si="528"/>
        <v>-2.4397235332887846</v>
      </c>
      <c r="Q451" s="1095">
        <f t="shared" si="528"/>
        <v>0.84264737845525239</v>
      </c>
      <c r="R451" s="1095">
        <f t="shared" si="528"/>
        <v>4.8459869532607058</v>
      </c>
      <c r="S451" s="1095">
        <f t="shared" si="528"/>
        <v>4.0972702362993996</v>
      </c>
      <c r="T451" s="1095">
        <f t="shared" ref="T451:AE453" si="529">+(T446/S446-1)*100</f>
        <v>5.3890362752751164</v>
      </c>
      <c r="U451" s="1095">
        <f t="shared" si="529"/>
        <v>-6.2732408149701602</v>
      </c>
      <c r="V451" s="1095">
        <f t="shared" si="529"/>
        <v>3.6841441214109594</v>
      </c>
      <c r="W451" s="1095">
        <f t="shared" si="529"/>
        <v>2.6500094643195249</v>
      </c>
      <c r="X451" s="1095">
        <f t="shared" si="529"/>
        <v>1.574991662602887</v>
      </c>
      <c r="Y451" s="1095">
        <f t="shared" si="529"/>
        <v>-0.33977147555490639</v>
      </c>
      <c r="Z451" s="1095">
        <f t="shared" si="529"/>
        <v>-0.55427768582771986</v>
      </c>
      <c r="AA451" s="1095">
        <f t="shared" si="529"/>
        <v>1.499858343969751</v>
      </c>
      <c r="AB451" s="1095">
        <f t="shared" si="529"/>
        <v>1.1289844354461565</v>
      </c>
      <c r="AC451" s="1095">
        <f t="shared" si="529"/>
        <v>3.3203189299944036</v>
      </c>
      <c r="AD451" s="1095">
        <f t="shared" ca="1" si="529"/>
        <v>2.9999999999999805</v>
      </c>
      <c r="AE451" s="1095">
        <f t="shared" ca="1" si="529"/>
        <v>2.0000000000000018</v>
      </c>
    </row>
    <row r="452" spans="1:94">
      <c r="A452" s="1130"/>
      <c r="B452" s="1130"/>
      <c r="C452" s="979" t="s">
        <v>1767</v>
      </c>
      <c r="D452" s="1121"/>
      <c r="E452" s="1122" t="s">
        <v>1454</v>
      </c>
      <c r="F452" s="1121" t="s">
        <v>1436</v>
      </c>
      <c r="G452" s="1124"/>
      <c r="H452" s="1124">
        <f>+(H447/G447-1)*100</f>
        <v>10.297610780359978</v>
      </c>
      <c r="I452" s="1124">
        <f t="shared" ref="I452:S452" si="530">+(I447/H447-1)*100</f>
        <v>3.5115422104959659</v>
      </c>
      <c r="J452" s="1124">
        <f t="shared" si="530"/>
        <v>-3.7046614500859776</v>
      </c>
      <c r="K452" s="1124">
        <f t="shared" si="530"/>
        <v>-6.9134886687545531</v>
      </c>
      <c r="L452" s="1124">
        <f t="shared" si="530"/>
        <v>6.7937935179035014</v>
      </c>
      <c r="M452" s="1124">
        <f t="shared" si="530"/>
        <v>-0.6234531963626333</v>
      </c>
      <c r="N452" s="1124">
        <f t="shared" si="530"/>
        <v>-4.0260361970580689</v>
      </c>
      <c r="O452" s="1124">
        <f t="shared" si="530"/>
        <v>-1.1106069375561467</v>
      </c>
      <c r="P452" s="1124">
        <f t="shared" si="530"/>
        <v>-0.27650787447904834</v>
      </c>
      <c r="Q452" s="1124">
        <f t="shared" si="530"/>
        <v>8.5353745027154648</v>
      </c>
      <c r="R452" s="1124">
        <f t="shared" si="530"/>
        <v>8.762859694696413</v>
      </c>
      <c r="S452" s="1124">
        <f t="shared" si="530"/>
        <v>4.9967974374705015</v>
      </c>
      <c r="T452" s="1124">
        <f t="shared" si="529"/>
        <v>9.1090933173092026</v>
      </c>
      <c r="U452" s="1124">
        <f t="shared" si="529"/>
        <v>-11.48022680281564</v>
      </c>
      <c r="V452" s="1124">
        <f t="shared" si="529"/>
        <v>10.854492127578631</v>
      </c>
      <c r="W452" s="1124">
        <f t="shared" si="529"/>
        <v>13.249944921905055</v>
      </c>
      <c r="X452" s="1124">
        <f t="shared" si="529"/>
        <v>4.5134490455121634</v>
      </c>
      <c r="Y452" s="1124">
        <f t="shared" si="529"/>
        <v>-1.6700354308760712</v>
      </c>
      <c r="Z452" s="1124">
        <f t="shared" si="529"/>
        <v>-3.6119050898916538</v>
      </c>
      <c r="AA452" s="1124">
        <f t="shared" si="529"/>
        <v>-8.2711510508267416</v>
      </c>
      <c r="AB452" s="1124">
        <f t="shared" si="529"/>
        <v>-5.3247162742441461</v>
      </c>
      <c r="AC452" s="1124">
        <f t="shared" si="529"/>
        <v>4.1311674936495457</v>
      </c>
      <c r="AD452" s="1124">
        <f t="shared" ca="1" si="529"/>
        <v>2.5000000000000133</v>
      </c>
      <c r="AE452" s="1124">
        <f t="shared" ca="1" si="529"/>
        <v>1.4999999999999902</v>
      </c>
    </row>
    <row r="453" spans="1:94">
      <c r="A453" s="664"/>
      <c r="B453" s="664"/>
      <c r="C453" s="694" t="s">
        <v>1769</v>
      </c>
      <c r="D453" s="1097"/>
      <c r="E453" s="1098" t="s">
        <v>1455</v>
      </c>
      <c r="F453" s="1097" t="s">
        <v>1886</v>
      </c>
      <c r="G453" s="1099"/>
      <c r="H453" s="1099">
        <f>+(H448/G448-1)*100</f>
        <v>8.9381910913638443</v>
      </c>
      <c r="I453" s="1099">
        <f t="shared" ref="I453:S453" si="531">+(I448/H448-1)*100</f>
        <v>3.7604727809173566</v>
      </c>
      <c r="J453" s="1099">
        <f t="shared" si="531"/>
        <v>-3.9421179380443649</v>
      </c>
      <c r="K453" s="1099">
        <f t="shared" si="531"/>
        <v>-6.5413260204316366</v>
      </c>
      <c r="L453" s="1099">
        <f t="shared" si="531"/>
        <v>5.6822103785080014</v>
      </c>
      <c r="M453" s="1099">
        <f t="shared" si="531"/>
        <v>-4.2625252883166098E-2</v>
      </c>
      <c r="N453" s="1099">
        <f t="shared" si="531"/>
        <v>-3.2803285595579434</v>
      </c>
      <c r="O453" s="1099">
        <f t="shared" si="531"/>
        <v>-1.2917529832619068</v>
      </c>
      <c r="P453" s="1099">
        <f t="shared" si="531"/>
        <v>-0.53279290419391279</v>
      </c>
      <c r="Q453" s="1099">
        <f t="shared" si="531"/>
        <v>7.467396244578528</v>
      </c>
      <c r="R453" s="1099">
        <f t="shared" si="531"/>
        <v>8.243761868922439</v>
      </c>
      <c r="S453" s="1099">
        <f t="shared" si="531"/>
        <v>4.8742938077634301</v>
      </c>
      <c r="T453" s="1099">
        <f t="shared" si="529"/>
        <v>8.6204360166820528</v>
      </c>
      <c r="U453" s="1099">
        <f t="shared" si="529"/>
        <v>-10.718145194898575</v>
      </c>
      <c r="V453" s="1099">
        <f t="shared" si="529"/>
        <v>9.9262027879254422</v>
      </c>
      <c r="W453" s="1099">
        <f t="shared" si="529"/>
        <v>11.931847813696074</v>
      </c>
      <c r="X453" s="1099">
        <f t="shared" si="529"/>
        <v>4.1327881089392449</v>
      </c>
      <c r="Y453" s="1099">
        <f t="shared" si="529"/>
        <v>-1.4868417983614823</v>
      </c>
      <c r="Z453" s="1099">
        <f t="shared" si="529"/>
        <v>-3.1780575088527163</v>
      </c>
      <c r="AA453" s="1099">
        <f t="shared" si="529"/>
        <v>-6.9328972612662021</v>
      </c>
      <c r="AB453" s="1099">
        <f t="shared" si="529"/>
        <v>-4.3322276860743631</v>
      </c>
      <c r="AC453" s="1099">
        <f t="shared" si="529"/>
        <v>3.9989734041782965</v>
      </c>
      <c r="AD453" s="1099">
        <f t="shared" ca="1" si="529"/>
        <v>2.5809897029101858</v>
      </c>
      <c r="AE453" s="1099">
        <f t="shared" ca="1" si="529"/>
        <v>1.5811262439108242</v>
      </c>
    </row>
    <row r="454" spans="1:94">
      <c r="V454"/>
      <c r="W454"/>
      <c r="X454"/>
      <c r="Y454"/>
      <c r="Z454"/>
      <c r="AA454"/>
    </row>
    <row r="455" spans="1:94">
      <c r="A455" s="1130"/>
      <c r="D455" s="1152"/>
      <c r="E455" s="1153" t="s">
        <v>749</v>
      </c>
      <c r="F455" s="1155"/>
      <c r="G455" s="1154">
        <f>+InputY!$G$3</f>
        <v>1995</v>
      </c>
      <c r="H455" s="1154">
        <f>+G455+1</f>
        <v>1996</v>
      </c>
      <c r="I455" s="1154">
        <f t="shared" ref="I455:O455" si="532">+H455+1</f>
        <v>1997</v>
      </c>
      <c r="J455" s="1154">
        <f t="shared" si="532"/>
        <v>1998</v>
      </c>
      <c r="K455" s="1154">
        <f t="shared" si="532"/>
        <v>1999</v>
      </c>
      <c r="L455" s="1154">
        <f t="shared" si="532"/>
        <v>2000</v>
      </c>
      <c r="M455" s="1154">
        <f t="shared" si="532"/>
        <v>2001</v>
      </c>
      <c r="N455" s="1154">
        <f t="shared" si="532"/>
        <v>2002</v>
      </c>
      <c r="O455" s="1154">
        <f t="shared" si="532"/>
        <v>2003</v>
      </c>
      <c r="P455" s="1154">
        <f t="shared" ref="P455:V455" si="533">+O455+1</f>
        <v>2004</v>
      </c>
      <c r="Q455" s="1154">
        <f t="shared" si="533"/>
        <v>2005</v>
      </c>
      <c r="R455" s="1154">
        <f t="shared" si="533"/>
        <v>2006</v>
      </c>
      <c r="S455" s="1154">
        <f>+R455+1</f>
        <v>2007</v>
      </c>
      <c r="T455" s="1154">
        <f t="shared" si="533"/>
        <v>2008</v>
      </c>
      <c r="U455" s="1154">
        <f t="shared" si="533"/>
        <v>2009</v>
      </c>
      <c r="V455" s="1154">
        <f t="shared" si="533"/>
        <v>2010</v>
      </c>
      <c r="W455" s="1154">
        <f t="shared" ref="W455:AE455" si="534">+V455+1</f>
        <v>2011</v>
      </c>
      <c r="X455" s="1154">
        <f t="shared" si="534"/>
        <v>2012</v>
      </c>
      <c r="Y455" s="1154">
        <f t="shared" si="534"/>
        <v>2013</v>
      </c>
      <c r="Z455" s="1154">
        <f t="shared" si="534"/>
        <v>2014</v>
      </c>
      <c r="AA455" s="1154">
        <f t="shared" si="534"/>
        <v>2015</v>
      </c>
      <c r="AB455" s="1154">
        <f t="shared" si="534"/>
        <v>2016</v>
      </c>
      <c r="AC455" s="1154">
        <f t="shared" si="534"/>
        <v>2017</v>
      </c>
      <c r="AD455" s="1154">
        <f t="shared" si="534"/>
        <v>2018</v>
      </c>
      <c r="AE455" s="1154">
        <f t="shared" si="534"/>
        <v>2019</v>
      </c>
    </row>
    <row r="456" spans="1:94">
      <c r="A456" s="1130"/>
      <c r="C456" s="1082"/>
      <c r="D456" s="1086"/>
      <c r="E456" s="1087" t="s">
        <v>281</v>
      </c>
      <c r="F456" s="1086" t="s">
        <v>1907</v>
      </c>
      <c r="G456" s="1088">
        <f t="shared" ref="G456:V456" si="535">+G341/G125*100</f>
        <v>53.687771514066583</v>
      </c>
      <c r="H456" s="1088">
        <f t="shared" si="535"/>
        <v>63.824520703136869</v>
      </c>
      <c r="I456" s="1088">
        <f t="shared" si="535"/>
        <v>71.233425398133051</v>
      </c>
      <c r="J456" s="1088">
        <f t="shared" si="535"/>
        <v>73.513205622454819</v>
      </c>
      <c r="K456" s="1088">
        <f t="shared" si="535"/>
        <v>72.504464011067554</v>
      </c>
      <c r="L456" s="1088">
        <f t="shared" si="535"/>
        <v>73.581902196665197</v>
      </c>
      <c r="M456" s="1088">
        <f t="shared" si="535"/>
        <v>73.224534929051671</v>
      </c>
      <c r="N456" s="1088">
        <f t="shared" si="535"/>
        <v>73.403328978518672</v>
      </c>
      <c r="O456" s="1088">
        <f t="shared" si="535"/>
        <v>72.983654981335093</v>
      </c>
      <c r="P456" s="1088">
        <f t="shared" si="535"/>
        <v>74.319155100728494</v>
      </c>
      <c r="Q456" s="1088">
        <f t="shared" si="535"/>
        <v>79.445990525801733</v>
      </c>
      <c r="R456" s="1088">
        <f t="shared" si="535"/>
        <v>84.803821091653944</v>
      </c>
      <c r="S456" s="1088">
        <f>+S341/S125*100</f>
        <v>92.069782490082275</v>
      </c>
      <c r="T456" s="1088">
        <f t="shared" si="535"/>
        <v>101.00497482929146</v>
      </c>
      <c r="U456" s="1088">
        <f t="shared" si="535"/>
        <v>97.676739507975725</v>
      </c>
      <c r="V456" s="1088">
        <f t="shared" si="535"/>
        <v>100</v>
      </c>
      <c r="W456" s="1088">
        <f t="shared" ref="W456:AB456" si="536">+W341/W125*100</f>
        <v>105.22825128417527</v>
      </c>
      <c r="X456" s="1088">
        <f t="shared" si="536"/>
        <v>108.0678690669737</v>
      </c>
      <c r="Y456" s="1088">
        <f t="shared" si="536"/>
        <v>109.45944465057009</v>
      </c>
      <c r="Z456" s="1088">
        <f t="shared" si="536"/>
        <v>110.58409413244709</v>
      </c>
      <c r="AA456" s="1088">
        <f t="shared" si="536"/>
        <v>110.92281141740068</v>
      </c>
      <c r="AB456" s="1088">
        <f t="shared" si="536"/>
        <v>111.97718543092385</v>
      </c>
      <c r="AC456" s="1088">
        <f ca="1">+AC341/AC125*100</f>
        <v>116.5252570313219</v>
      </c>
      <c r="AD456" s="1088">
        <f ca="1">+AD341/AD125*100</f>
        <v>119.57662475579581</v>
      </c>
      <c r="AE456" s="1088">
        <f ca="1">+AE341/AE125*100</f>
        <v>122.99246621673564</v>
      </c>
    </row>
    <row r="457" spans="1:94">
      <c r="V457"/>
      <c r="W457"/>
      <c r="X457"/>
      <c r="Y457"/>
      <c r="Z457"/>
      <c r="AA457"/>
    </row>
    <row r="458" spans="1:94" s="699" customFormat="1" ht="12.75" customHeight="1">
      <c r="A458" s="664"/>
      <c r="B458" s="664"/>
      <c r="C458" s="774"/>
      <c r="D458" s="1092"/>
      <c r="E458" s="1093" t="s">
        <v>749</v>
      </c>
      <c r="F458" s="1094"/>
      <c r="G458" s="896">
        <f>+InputY!$G$3</f>
        <v>1995</v>
      </c>
      <c r="H458" s="896">
        <f>+G458+1</f>
        <v>1996</v>
      </c>
      <c r="I458" s="896">
        <f t="shared" ref="I458:O458" si="537">+H458+1</f>
        <v>1997</v>
      </c>
      <c r="J458" s="896">
        <f t="shared" si="537"/>
        <v>1998</v>
      </c>
      <c r="K458" s="896">
        <f t="shared" si="537"/>
        <v>1999</v>
      </c>
      <c r="L458" s="896">
        <f t="shared" si="537"/>
        <v>2000</v>
      </c>
      <c r="M458" s="896">
        <f t="shared" si="537"/>
        <v>2001</v>
      </c>
      <c r="N458" s="896">
        <f t="shared" si="537"/>
        <v>2002</v>
      </c>
      <c r="O458" s="896">
        <f t="shared" si="537"/>
        <v>2003</v>
      </c>
      <c r="P458" s="896">
        <f t="shared" ref="P458:V458" si="538">+O458+1</f>
        <v>2004</v>
      </c>
      <c r="Q458" s="896">
        <f t="shared" si="538"/>
        <v>2005</v>
      </c>
      <c r="R458" s="896">
        <f t="shared" si="538"/>
        <v>2006</v>
      </c>
      <c r="S458" s="896">
        <f>+R458+1</f>
        <v>2007</v>
      </c>
      <c r="T458" s="896">
        <f t="shared" si="538"/>
        <v>2008</v>
      </c>
      <c r="U458" s="896">
        <f t="shared" si="538"/>
        <v>2009</v>
      </c>
      <c r="V458" s="896">
        <f t="shared" si="538"/>
        <v>2010</v>
      </c>
      <c r="W458" s="896">
        <f t="shared" ref="W458:AE458" si="539">+V458+1</f>
        <v>2011</v>
      </c>
      <c r="X458" s="896">
        <f t="shared" si="539"/>
        <v>2012</v>
      </c>
      <c r="Y458" s="896">
        <f t="shared" si="539"/>
        <v>2013</v>
      </c>
      <c r="Z458" s="896">
        <f t="shared" si="539"/>
        <v>2014</v>
      </c>
      <c r="AA458" s="896">
        <f t="shared" si="539"/>
        <v>2015</v>
      </c>
      <c r="AB458" s="896">
        <f t="shared" si="539"/>
        <v>2016</v>
      </c>
      <c r="AC458" s="896">
        <f t="shared" si="539"/>
        <v>2017</v>
      </c>
      <c r="AD458" s="896">
        <f t="shared" si="539"/>
        <v>2018</v>
      </c>
      <c r="AE458" s="896">
        <f t="shared" si="539"/>
        <v>2019</v>
      </c>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row>
    <row r="459" spans="1:94" s="699" customFormat="1" ht="12.75" customHeight="1">
      <c r="A459" s="664"/>
      <c r="B459" s="664"/>
      <c r="C459" s="798"/>
      <c r="D459" s="833"/>
      <c r="E459" s="834" t="s">
        <v>281</v>
      </c>
      <c r="F459" s="835" t="s">
        <v>1907</v>
      </c>
      <c r="G459" s="1115"/>
      <c r="H459" s="1115">
        <f>+(H456/G456-1)*100</f>
        <v>18.880927449958286</v>
      </c>
      <c r="I459" s="1115">
        <f t="shared" ref="I459:S459" si="540">+(I456/H456-1)*100</f>
        <v>11.608241806400343</v>
      </c>
      <c r="J459" s="1115">
        <f t="shared" si="540"/>
        <v>3.2004360475152982</v>
      </c>
      <c r="K459" s="1115">
        <f t="shared" si="540"/>
        <v>-1.3721910272392446</v>
      </c>
      <c r="L459" s="1115">
        <f t="shared" si="540"/>
        <v>1.4860301366177664</v>
      </c>
      <c r="M459" s="1115">
        <f t="shared" si="540"/>
        <v>-0.48567277679011367</v>
      </c>
      <c r="N459" s="1115">
        <f t="shared" si="540"/>
        <v>0.24417232508233688</v>
      </c>
      <c r="O459" s="1115">
        <f t="shared" si="540"/>
        <v>-0.57173700842150232</v>
      </c>
      <c r="P459" s="1115">
        <f t="shared" si="540"/>
        <v>1.8298619324216503</v>
      </c>
      <c r="Q459" s="1115">
        <f t="shared" si="540"/>
        <v>6.8984038073691467</v>
      </c>
      <c r="R459" s="1115">
        <f t="shared" si="540"/>
        <v>6.7439911446659506</v>
      </c>
      <c r="S459" s="1115">
        <f t="shared" si="540"/>
        <v>8.5679646328382439</v>
      </c>
      <c r="T459" s="1115">
        <f t="shared" ref="T459:AE459" si="541">+(T456/S456-1)*100</f>
        <v>9.7048044402317188</v>
      </c>
      <c r="U459" s="1115">
        <f t="shared" si="541"/>
        <v>-3.2951201927833629</v>
      </c>
      <c r="V459" s="1115">
        <f t="shared" si="541"/>
        <v>2.3785197005214975</v>
      </c>
      <c r="W459" s="1115">
        <f t="shared" si="541"/>
        <v>5.2282512841752782</v>
      </c>
      <c r="X459" s="1115">
        <f t="shared" si="541"/>
        <v>2.6985317613326787</v>
      </c>
      <c r="Y459" s="1115">
        <f t="shared" si="541"/>
        <v>1.2876867061512698</v>
      </c>
      <c r="Z459" s="1115">
        <f t="shared" si="541"/>
        <v>1.0274576903502863</v>
      </c>
      <c r="AA459" s="1115">
        <f t="shared" si="541"/>
        <v>0.30629837646263258</v>
      </c>
      <c r="AB459" s="1115">
        <f t="shared" si="541"/>
        <v>0.95054750240288755</v>
      </c>
      <c r="AC459" s="1115">
        <f t="shared" ca="1" si="541"/>
        <v>4.0616055698271314</v>
      </c>
      <c r="AD459" s="1115">
        <f t="shared" ca="1" si="541"/>
        <v>2.6186320478604141</v>
      </c>
      <c r="AE459" s="1115">
        <f t="shared" ca="1" si="541"/>
        <v>2.8566130444941162</v>
      </c>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row>
    <row r="460" spans="1:94">
      <c r="A460" s="1131"/>
      <c r="B460" s="1131"/>
      <c r="AB460" s="557"/>
      <c r="AC460" s="557"/>
      <c r="AD460" s="557"/>
      <c r="AE460" s="557"/>
    </row>
    <row r="461" spans="1:94">
      <c r="A461" s="664"/>
      <c r="B461" s="664"/>
      <c r="E461" s="3218" t="s">
        <v>2356</v>
      </c>
      <c r="G461" s="217"/>
      <c r="H461" s="217"/>
      <c r="I461" s="217"/>
      <c r="J461" s="217"/>
      <c r="K461" s="217"/>
      <c r="L461" s="217"/>
      <c r="M461" s="217"/>
      <c r="N461" s="217"/>
      <c r="O461" s="217"/>
      <c r="P461" s="217"/>
      <c r="Q461" s="217"/>
      <c r="R461" s="217"/>
      <c r="S461" s="217"/>
      <c r="T461" s="217"/>
      <c r="U461" s="217"/>
      <c r="V461">
        <f>V331+Sector1!V772+Sector1!V782</f>
        <v>-0.16520999999999886</v>
      </c>
      <c r="W461">
        <f>W331+Sector1!W772+Sector1!W782</f>
        <v>-1.2646600000000003</v>
      </c>
      <c r="X461" s="3194">
        <f>X331+Sector1!X772+Sector1!X782</f>
        <v>-0.35613999999999912</v>
      </c>
      <c r="Y461" s="3194">
        <f>Y331+Sector1!Y772+Sector1!Y782</f>
        <v>0.45424999999999882</v>
      </c>
      <c r="Z461" s="3194">
        <f>Z331+Sector1!Z772+Sector1!Z782</f>
        <v>1.4215200000000019</v>
      </c>
      <c r="AA461" s="3194">
        <f>AA331+Sector1!AA772+Sector1!AA782</f>
        <v>-0.78749000000000124</v>
      </c>
      <c r="AB461" s="3194">
        <f>AB331+Sector1!AB772+Sector1!AB782</f>
        <v>-0.25501999999999991</v>
      </c>
      <c r="AC461" s="3194">
        <f>AC331+Sector1!AC772+Sector1!AC782</f>
        <v>0.14305840799999514</v>
      </c>
      <c r="AD461" s="3194">
        <f ca="1">AD331+Sector1!AD772+Sector1!AD782</f>
        <v>-0.19902025200000661</v>
      </c>
      <c r="AE461" s="3194">
        <f ca="1">AE331+Sector1!AE772+Sector1!AE782</f>
        <v>-0.2625227012653919</v>
      </c>
    </row>
    <row r="462" spans="1:94">
      <c r="A462"/>
      <c r="B462"/>
      <c r="C462"/>
      <c r="D462"/>
      <c r="E462" s="3218" t="s">
        <v>2440</v>
      </c>
      <c r="F462"/>
      <c r="Q462"/>
      <c r="R462"/>
      <c r="S462"/>
      <c r="T462"/>
      <c r="U462"/>
      <c r="V462" s="3194">
        <f t="shared" ref="V462:AC462" si="542">V331</f>
        <v>-0.52620999999999896</v>
      </c>
      <c r="W462" s="3194">
        <f t="shared" si="542"/>
        <v>-0.79766000000000048</v>
      </c>
      <c r="X462" s="3194">
        <f t="shared" si="542"/>
        <v>0.28686000000000078</v>
      </c>
      <c r="Y462" s="3194">
        <f t="shared" si="542"/>
        <v>0.43724999999999881</v>
      </c>
      <c r="Z462" s="3194">
        <f t="shared" si="542"/>
        <v>0.75952000000000197</v>
      </c>
      <c r="AA462" s="3194">
        <f t="shared" si="542"/>
        <v>-0.17949000000000126</v>
      </c>
      <c r="AB462" s="3194">
        <f t="shared" si="542"/>
        <v>0.49990000000000023</v>
      </c>
      <c r="AC462" s="3194">
        <f t="shared" si="542"/>
        <v>0.84312999999999505</v>
      </c>
      <c r="AD462" s="3194">
        <f ca="1">AD331</f>
        <v>0.49441230431999372</v>
      </c>
      <c r="AE462" s="3194">
        <f ca="1">AE331</f>
        <v>0.42702802466180856</v>
      </c>
    </row>
    <row r="463" spans="1:94">
      <c r="A463"/>
      <c r="B463"/>
      <c r="C463"/>
      <c r="D463"/>
      <c r="E463" s="3218" t="s">
        <v>2449</v>
      </c>
      <c r="F463"/>
      <c r="Q463"/>
      <c r="R463"/>
      <c r="S463"/>
      <c r="T463"/>
      <c r="U463"/>
      <c r="V463" s="3194">
        <f t="shared" ref="V463:AC463" si="543">V330</f>
        <v>-1.6483300000000032</v>
      </c>
      <c r="W463" s="3194">
        <f t="shared" si="543"/>
        <v>-2.0650299999999966</v>
      </c>
      <c r="X463" s="3194">
        <f t="shared" si="543"/>
        <v>-1.1024399999999979</v>
      </c>
      <c r="Y463" s="3194">
        <f t="shared" si="543"/>
        <v>-0.9199300000000008</v>
      </c>
      <c r="Z463" s="3194">
        <f t="shared" si="543"/>
        <v>-0.93678000000000239</v>
      </c>
      <c r="AA463" s="3194">
        <f t="shared" si="543"/>
        <v>-1.9868899999999989</v>
      </c>
      <c r="AB463" s="3194">
        <f t="shared" si="543"/>
        <v>-1.7684399999999982</v>
      </c>
      <c r="AC463" s="3194">
        <f t="shared" si="543"/>
        <v>-2.0609499999999983</v>
      </c>
      <c r="AD463" s="3194">
        <f ca="1">AD330</f>
        <v>-2.6471263464299959</v>
      </c>
      <c r="AE463" s="3194">
        <f ca="1">AE330</f>
        <v>-2.906922619718749</v>
      </c>
    </row>
    <row r="464" spans="1:94">
      <c r="A464"/>
      <c r="B464"/>
      <c r="C464"/>
      <c r="D464"/>
      <c r="E464" s="3218" t="s">
        <v>2441</v>
      </c>
      <c r="F464"/>
      <c r="Q464"/>
      <c r="R464"/>
      <c r="S464"/>
      <c r="T464"/>
      <c r="U464"/>
      <c r="V464" s="3194">
        <f>Sector1!V772</f>
        <v>-0.59799999999999998</v>
      </c>
      <c r="W464" s="3194">
        <f>Sector1!W772</f>
        <v>-1.2149999999999999</v>
      </c>
      <c r="X464" s="3194">
        <f>Sector1!X772</f>
        <v>-1.0469999999999999</v>
      </c>
      <c r="Y464" s="3194">
        <f>Sector1!Y772</f>
        <v>-0.95499999999999996</v>
      </c>
      <c r="Z464" s="3194">
        <f>Sector1!Z772</f>
        <v>-0.50700000000000001</v>
      </c>
      <c r="AA464" s="3194">
        <f>Sector1!AA772</f>
        <v>-1.554</v>
      </c>
      <c r="AB464" s="3194">
        <f>Sector1!AB772</f>
        <v>-1.5429999999999999</v>
      </c>
      <c r="AC464" s="3194">
        <f>Sector1!AC772</f>
        <v>-1.5165699999999998</v>
      </c>
      <c r="AD464" s="3194">
        <f>Sector1!AD772</f>
        <v>-1.546837625</v>
      </c>
      <c r="AE464" s="3194">
        <f>Sector1!AE772</f>
        <v>-1.5777439521250001</v>
      </c>
    </row>
    <row r="465" spans="1:31">
      <c r="A465"/>
      <c r="B465"/>
      <c r="C465"/>
      <c r="D465"/>
      <c r="E465" s="3218" t="s">
        <v>838</v>
      </c>
      <c r="F465"/>
      <c r="Q465"/>
      <c r="R465"/>
      <c r="S465"/>
      <c r="T465"/>
      <c r="U465"/>
      <c r="V465" s="3194">
        <f>Sector1!V782</f>
        <v>0.95899999999999996</v>
      </c>
      <c r="W465" s="3194">
        <f>Sector1!W782</f>
        <v>0.748</v>
      </c>
      <c r="X465" s="3194">
        <f>Sector1!X782</f>
        <v>0.40400000000000003</v>
      </c>
      <c r="Y465" s="3194">
        <f>Sector1!Y782</f>
        <v>0.97199999999999998</v>
      </c>
      <c r="Z465" s="3194">
        <f>Sector1!Z782</f>
        <v>1.1689999999999998</v>
      </c>
      <c r="AA465" s="3194">
        <f>Sector1!AA782</f>
        <v>0.94600000000000006</v>
      </c>
      <c r="AB465" s="3194">
        <f>Sector1!AB782</f>
        <v>0.78807999999999978</v>
      </c>
      <c r="AC465" s="3194">
        <f>Sector1!AC782</f>
        <v>0.81649840799999984</v>
      </c>
      <c r="AD465" s="3194">
        <f>Sector1!AD782</f>
        <v>0.85340506867999966</v>
      </c>
      <c r="AE465" s="3194">
        <f>Sector1!AE782</f>
        <v>0.88819322619779961</v>
      </c>
    </row>
    <row r="466" spans="1:31">
      <c r="A466"/>
      <c r="B466"/>
      <c r="C466"/>
      <c r="D466"/>
      <c r="E466" s="3218" t="s">
        <v>2447</v>
      </c>
      <c r="F466"/>
      <c r="Q466"/>
      <c r="R466"/>
      <c r="S466"/>
      <c r="T466"/>
      <c r="U466"/>
      <c r="V466" s="3194">
        <f>Sector1!V789</f>
        <v>1.0577899999999998</v>
      </c>
      <c r="W466" s="3194">
        <f>Sector1!W789</f>
        <v>1.0038099999999999</v>
      </c>
      <c r="X466" s="3194">
        <f>Sector1!X789</f>
        <v>0.96409999999999996</v>
      </c>
      <c r="Y466" s="3194">
        <f>Sector1!Y789</f>
        <v>1.0888499999999999</v>
      </c>
      <c r="Z466" s="3194">
        <f>Sector1!Z789</f>
        <v>0.97572999999999999</v>
      </c>
      <c r="AA466" s="3194">
        <f>Sector1!AA789</f>
        <v>1.1172599999999999</v>
      </c>
      <c r="AB466" s="3194">
        <f>Sector1!AB789</f>
        <v>0.56872</v>
      </c>
      <c r="AC466" s="3194">
        <f>Sector1!AC789</f>
        <v>0.42262839999999996</v>
      </c>
      <c r="AD466" s="3194">
        <f>Sector1!AD789</f>
        <v>0.51935231400000004</v>
      </c>
      <c r="AE466" s="3194">
        <f>Sector1!AE789</f>
        <v>0.50018883386000002</v>
      </c>
    </row>
    <row r="467" spans="1:31">
      <c r="A467"/>
      <c r="B467"/>
      <c r="C467"/>
      <c r="D467"/>
      <c r="F467"/>
      <c r="Q467"/>
      <c r="R467"/>
      <c r="S467"/>
      <c r="T467"/>
      <c r="U467"/>
      <c r="V467"/>
      <c r="W467"/>
      <c r="X467"/>
      <c r="Y467"/>
      <c r="Z467"/>
      <c r="AA467"/>
    </row>
    <row r="468" spans="1:31">
      <c r="A468"/>
      <c r="B468"/>
      <c r="C468"/>
      <c r="D468"/>
      <c r="E468" s="3218" t="s">
        <v>2442</v>
      </c>
      <c r="F468"/>
      <c r="Q468"/>
      <c r="R468"/>
      <c r="S468"/>
      <c r="T468"/>
      <c r="U468"/>
      <c r="V468" s="3194">
        <f t="shared" ref="V468:AC470" si="544">V461/V$341*100</f>
        <v>-0.58945341851584776</v>
      </c>
      <c r="W468" s="3194">
        <f t="shared" si="544"/>
        <v>-4.0436356846228918</v>
      </c>
      <c r="X468" s="3194">
        <f t="shared" si="544"/>
        <v>-1.067934730458477</v>
      </c>
      <c r="Y468" s="3194">
        <f t="shared" si="544"/>
        <v>1.2993551136810544</v>
      </c>
      <c r="Z468" s="3194">
        <f t="shared" si="544"/>
        <v>3.8873034225290386</v>
      </c>
      <c r="AA468" s="3194">
        <f t="shared" si="544"/>
        <v>-2.1040911800454305</v>
      </c>
      <c r="AB468" s="3194">
        <f t="shared" si="544"/>
        <v>-0.65950628317961546</v>
      </c>
      <c r="AC468" s="3194">
        <f t="shared" ca="1" si="544"/>
        <v>0.3424121472896926</v>
      </c>
      <c r="AD468" s="3194">
        <f t="shared" ref="AD468:AE472" ca="1" si="545">AD461/AD$341*100</f>
        <v>-0.45015434686686712</v>
      </c>
      <c r="AE468" s="3194">
        <f t="shared" ca="1" si="545"/>
        <v>-0.56243314718085913</v>
      </c>
    </row>
    <row r="469" spans="1:31" ht="12.75" customHeight="1">
      <c r="A469"/>
      <c r="B469"/>
      <c r="C469"/>
      <c r="D469"/>
      <c r="E469" s="3218" t="s">
        <v>2443</v>
      </c>
      <c r="F469"/>
      <c r="Q469"/>
      <c r="R469"/>
      <c r="S469"/>
      <c r="T469"/>
      <c r="U469"/>
      <c r="V469" s="3194">
        <f t="shared" si="544"/>
        <v>-1.8774667596224548</v>
      </c>
      <c r="W469" s="3194">
        <f t="shared" si="544"/>
        <v>-2.5504455270161919</v>
      </c>
      <c r="X469" s="3194">
        <f t="shared" si="544"/>
        <v>0.86018913005930331</v>
      </c>
      <c r="Y469" s="3194">
        <f t="shared" si="544"/>
        <v>1.2507276245614551</v>
      </c>
      <c r="Z469" s="3194">
        <f t="shared" si="544"/>
        <v>2.0769913159711146</v>
      </c>
      <c r="AA469" s="3194">
        <f t="shared" si="544"/>
        <v>-0.47957856722797298</v>
      </c>
      <c r="AB469" s="3194">
        <f t="shared" si="544"/>
        <v>1.2927895496882207</v>
      </c>
      <c r="AC469" s="3194">
        <f t="shared" ca="1" si="544"/>
        <v>2.0180425448629808</v>
      </c>
      <c r="AD469" s="3194">
        <f t="shared" ca="1" si="545"/>
        <v>1.1182874390798283</v>
      </c>
      <c r="AE469" s="3194">
        <f t="shared" ca="1" si="545"/>
        <v>0.91487217938599086</v>
      </c>
    </row>
    <row r="470" spans="1:31" ht="12.75" customHeight="1">
      <c r="A470"/>
      <c r="B470"/>
      <c r="C470"/>
      <c r="D470"/>
      <c r="E470" s="3218" t="s">
        <v>2450</v>
      </c>
      <c r="F470"/>
      <c r="Q470"/>
      <c r="R470"/>
      <c r="S470"/>
      <c r="T470"/>
      <c r="U470"/>
      <c r="V470" s="3194">
        <f t="shared" si="544"/>
        <v>-5.8810831871087457</v>
      </c>
      <c r="W470" s="3194">
        <f t="shared" si="544"/>
        <v>-6.6027461909262524</v>
      </c>
      <c r="X470" s="3194">
        <f t="shared" si="544"/>
        <v>-3.3058178363751445</v>
      </c>
      <c r="Y470" s="3194">
        <f t="shared" si="544"/>
        <v>-2.6314050626937076</v>
      </c>
      <c r="Z470" s="3194">
        <f t="shared" si="544"/>
        <v>-2.5617283613011121</v>
      </c>
      <c r="AA470" s="3194">
        <f t="shared" si="544"/>
        <v>-5.3087629363172315</v>
      </c>
      <c r="AB470" s="3194">
        <f t="shared" si="544"/>
        <v>-4.5733561737360153</v>
      </c>
      <c r="AC470" s="3194">
        <f t="shared" ca="1" si="544"/>
        <v>-4.9329104442202052</v>
      </c>
      <c r="AD470" s="3194">
        <f t="shared" ca="1" si="545"/>
        <v>-5.9874079123929125</v>
      </c>
      <c r="AE470" s="3194">
        <f t="shared" ca="1" si="545"/>
        <v>-6.2278409818997904</v>
      </c>
    </row>
    <row r="471" spans="1:31">
      <c r="A471"/>
      <c r="B471"/>
      <c r="C471"/>
      <c r="D471"/>
      <c r="E471" s="3218" t="s">
        <v>2444</v>
      </c>
      <c r="F471"/>
      <c r="Q471"/>
      <c r="R471"/>
      <c r="S471"/>
      <c r="T471"/>
      <c r="U471"/>
      <c r="V471" s="3194">
        <f t="shared" ref="V471:AA473" si="546">V464/V$341*100</f>
        <v>-2.133606587207066</v>
      </c>
      <c r="W471" s="3194">
        <f t="shared" si="546"/>
        <v>-3.8848523372422719</v>
      </c>
      <c r="X471" s="3194">
        <f t="shared" si="546"/>
        <v>-3.1395733778571016</v>
      </c>
      <c r="Y471" s="3194">
        <f t="shared" ref="Y471:AD473" si="547">Y464/Y$341*100</f>
        <v>-2.7317207123069021</v>
      </c>
      <c r="Z471" s="3194">
        <f t="shared" si="547"/>
        <v>-1.3864474894635459</v>
      </c>
      <c r="AA471" s="3194">
        <f t="shared" si="547"/>
        <v>-4.1521259873656735</v>
      </c>
      <c r="AB471" s="3194">
        <f t="shared" si="547"/>
        <v>-3.9903466196617798</v>
      </c>
      <c r="AC471" s="3194">
        <f t="shared" ca="1" si="547"/>
        <v>-3.6299298830107678</v>
      </c>
      <c r="AD471" s="3194">
        <f t="shared" ca="1" si="545"/>
        <v>-3.4987177123609894</v>
      </c>
      <c r="AE471" s="3194">
        <f t="shared" ca="1" si="545"/>
        <v>-3.3801857597913281</v>
      </c>
    </row>
    <row r="472" spans="1:31">
      <c r="A472"/>
      <c r="B472"/>
      <c r="C472"/>
      <c r="D472"/>
      <c r="E472" s="3218" t="s">
        <v>2445</v>
      </c>
      <c r="F472"/>
      <c r="Q472"/>
      <c r="R472"/>
      <c r="S472"/>
      <c r="T472"/>
      <c r="U472"/>
      <c r="V472" s="3194">
        <f t="shared" si="546"/>
        <v>3.4216199283136723</v>
      </c>
      <c r="W472" s="3194">
        <f t="shared" si="546"/>
        <v>2.3916621796355719</v>
      </c>
      <c r="X472" s="3194">
        <f t="shared" si="546"/>
        <v>1.2114495173393212</v>
      </c>
      <c r="Y472" s="3194">
        <f t="shared" si="547"/>
        <v>2.7803482014265013</v>
      </c>
      <c r="Z472" s="3194">
        <f t="shared" si="547"/>
        <v>3.1967595960214692</v>
      </c>
      <c r="AA472" s="3194">
        <f t="shared" si="547"/>
        <v>2.5276133745482157</v>
      </c>
      <c r="AB472" s="3194">
        <f t="shared" si="547"/>
        <v>2.0380507867939435</v>
      </c>
      <c r="AC472" s="3194">
        <f t="shared" ca="1" si="547"/>
        <v>1.9542994854374791</v>
      </c>
      <c r="AD472" s="3194">
        <f t="shared" ca="1" si="545"/>
        <v>1.9302759264142944</v>
      </c>
      <c r="AE472" s="3194">
        <f t="shared" ca="1" si="545"/>
        <v>1.9028804332244778</v>
      </c>
    </row>
    <row r="473" spans="1:31">
      <c r="A473"/>
      <c r="B473"/>
      <c r="C473"/>
      <c r="D473"/>
      <c r="E473" s="3218" t="s">
        <v>2448</v>
      </c>
      <c r="F473"/>
      <c r="Q473"/>
      <c r="R473"/>
      <c r="S473"/>
      <c r="T473"/>
      <c r="U473"/>
      <c r="V473" s="3194">
        <f t="shared" si="546"/>
        <v>3.7740931636818762</v>
      </c>
      <c r="W473" s="3194">
        <f t="shared" si="546"/>
        <v>3.2095914606149507</v>
      </c>
      <c r="X473" s="3194">
        <f t="shared" si="546"/>
        <v>2.890986335809008</v>
      </c>
      <c r="Y473" s="3194">
        <f t="shared" si="546"/>
        <v>3.1145906781103347</v>
      </c>
      <c r="Z473" s="3194">
        <f t="shared" si="546"/>
        <v>2.6682414376612735</v>
      </c>
      <c r="AA473" s="3194">
        <f t="shared" si="546"/>
        <v>2.9852022397967644</v>
      </c>
      <c r="AB473" s="3194">
        <f t="shared" si="547"/>
        <v>1.4707646983370366</v>
      </c>
      <c r="AC473" s="3194">
        <f t="shared" ca="1" si="547"/>
        <v>1.0115665340663655</v>
      </c>
      <c r="AD473" s="3194">
        <f t="shared" ca="1" si="547"/>
        <v>1.1746980488320269</v>
      </c>
      <c r="AE473" s="3194">
        <f t="shared" ref="AE473" ca="1" si="548">AE466/AE$341*100</f>
        <v>1.0716131544304286</v>
      </c>
    </row>
    <row r="474" spans="1:31">
      <c r="A474"/>
      <c r="B474"/>
      <c r="C474"/>
      <c r="D474"/>
      <c r="F474"/>
      <c r="Q474"/>
      <c r="R474"/>
      <c r="S474"/>
      <c r="T474"/>
      <c r="U474"/>
      <c r="V474"/>
      <c r="W474"/>
      <c r="X474"/>
      <c r="Y474"/>
      <c r="Z474"/>
      <c r="AA474"/>
    </row>
    <row r="475" spans="1:31">
      <c r="A475"/>
      <c r="B475"/>
      <c r="C475"/>
      <c r="D475"/>
      <c r="F475"/>
      <c r="Q475"/>
      <c r="R475"/>
      <c r="S475"/>
      <c r="T475"/>
      <c r="U475"/>
      <c r="V475"/>
      <c r="W475"/>
      <c r="X475"/>
      <c r="Y475"/>
      <c r="Z475"/>
      <c r="AA475"/>
    </row>
    <row r="476" spans="1:31">
      <c r="A476"/>
      <c r="B476"/>
      <c r="C476"/>
      <c r="D476"/>
      <c r="F476"/>
      <c r="Q476"/>
      <c r="R476"/>
      <c r="S476"/>
      <c r="T476"/>
      <c r="U476"/>
      <c r="V476"/>
      <c r="W476"/>
      <c r="X476"/>
      <c r="Y476"/>
      <c r="Z476"/>
      <c r="AA476"/>
    </row>
    <row r="477" spans="1:31">
      <c r="A477"/>
      <c r="B477"/>
      <c r="C477"/>
      <c r="D477"/>
      <c r="F477"/>
      <c r="Q477"/>
      <c r="R477"/>
      <c r="S477"/>
      <c r="T477"/>
      <c r="U477"/>
      <c r="V477"/>
      <c r="W477"/>
      <c r="X477"/>
      <c r="Y477"/>
      <c r="Z477"/>
      <c r="AA477"/>
    </row>
    <row r="478" spans="1:31">
      <c r="A478"/>
      <c r="B478"/>
      <c r="C478"/>
      <c r="D478"/>
      <c r="F478"/>
      <c r="Q478"/>
      <c r="R478"/>
      <c r="S478"/>
      <c r="T478"/>
      <c r="U478"/>
      <c r="V478"/>
      <c r="W478"/>
      <c r="X478"/>
      <c r="Y478"/>
      <c r="Z478"/>
      <c r="AA478"/>
    </row>
    <row r="479" spans="1:31">
      <c r="A479"/>
      <c r="B479"/>
      <c r="C479"/>
      <c r="D479"/>
      <c r="F479"/>
      <c r="Q479"/>
      <c r="R479"/>
      <c r="S479"/>
      <c r="T479"/>
      <c r="U479"/>
      <c r="V479"/>
      <c r="W479"/>
      <c r="X479"/>
      <c r="Y479"/>
      <c r="Z479"/>
      <c r="AA479"/>
    </row>
    <row r="480" spans="1:31">
      <c r="A480"/>
      <c r="B480"/>
      <c r="C480"/>
      <c r="D480"/>
      <c r="F480"/>
      <c r="Q480"/>
      <c r="R480"/>
      <c r="S480"/>
      <c r="T480"/>
      <c r="U480"/>
      <c r="V480"/>
      <c r="W480"/>
      <c r="X480"/>
      <c r="Y480"/>
      <c r="Z480"/>
      <c r="AA480"/>
    </row>
    <row r="481" spans="1:27">
      <c r="A481"/>
      <c r="B481"/>
      <c r="C481"/>
      <c r="D481"/>
      <c r="F481"/>
      <c r="Q481"/>
      <c r="R481"/>
      <c r="S481"/>
      <c r="T481"/>
      <c r="U481"/>
      <c r="V481"/>
      <c r="W481"/>
      <c r="X481"/>
      <c r="Y481"/>
      <c r="Z481"/>
      <c r="AA481"/>
    </row>
    <row r="482" spans="1:27">
      <c r="A482"/>
      <c r="B482"/>
      <c r="C482"/>
      <c r="D482"/>
      <c r="F482"/>
      <c r="Q482"/>
      <c r="R482"/>
      <c r="S482"/>
      <c r="T482"/>
      <c r="U482"/>
      <c r="V482"/>
      <c r="W482"/>
      <c r="X482"/>
      <c r="Y482"/>
      <c r="Z482"/>
      <c r="AA482"/>
    </row>
    <row r="483" spans="1:27">
      <c r="A483"/>
      <c r="B483"/>
      <c r="C483"/>
      <c r="D483"/>
      <c r="F483"/>
      <c r="Q483"/>
      <c r="R483"/>
      <c r="S483"/>
      <c r="T483"/>
      <c r="U483"/>
      <c r="V483"/>
      <c r="W483"/>
      <c r="X483"/>
      <c r="Y483"/>
      <c r="Z483"/>
      <c r="AA483"/>
    </row>
    <row r="484" spans="1:27">
      <c r="A484"/>
      <c r="B484"/>
      <c r="C484"/>
      <c r="D484"/>
      <c r="F484"/>
      <c r="Q484"/>
      <c r="R484"/>
      <c r="S484"/>
      <c r="T484"/>
      <c r="U484"/>
      <c r="V484"/>
      <c r="W484"/>
      <c r="X484"/>
      <c r="Y484"/>
      <c r="Z484"/>
      <c r="AA484"/>
    </row>
    <row r="485" spans="1:27">
      <c r="A485"/>
      <c r="B485"/>
      <c r="C485"/>
      <c r="D485"/>
      <c r="F485"/>
      <c r="Q485"/>
      <c r="R485"/>
      <c r="S485"/>
      <c r="T485"/>
      <c r="U485"/>
      <c r="V485"/>
      <c r="W485"/>
      <c r="X485"/>
      <c r="Y485"/>
      <c r="Z485"/>
      <c r="AA485"/>
    </row>
    <row r="486" spans="1:27">
      <c r="A486"/>
      <c r="B486"/>
      <c r="C486"/>
      <c r="D486"/>
      <c r="F486"/>
      <c r="Q486"/>
      <c r="R486"/>
      <c r="S486"/>
      <c r="T486"/>
      <c r="U486"/>
      <c r="V486"/>
      <c r="W486"/>
      <c r="X486"/>
      <c r="Y486"/>
      <c r="Z486"/>
      <c r="AA486"/>
    </row>
    <row r="487" spans="1:27">
      <c r="A487"/>
      <c r="B487"/>
      <c r="C487"/>
      <c r="D487"/>
      <c r="F487"/>
      <c r="Q487"/>
      <c r="R487"/>
      <c r="S487"/>
      <c r="T487"/>
      <c r="U487"/>
      <c r="V487"/>
      <c r="W487"/>
      <c r="X487"/>
      <c r="Y487"/>
      <c r="Z487"/>
      <c r="AA487"/>
    </row>
    <row r="488" spans="1:27">
      <c r="A488"/>
      <c r="B488"/>
      <c r="C488"/>
      <c r="D488"/>
      <c r="F488"/>
      <c r="Q488"/>
      <c r="R488"/>
      <c r="S488"/>
      <c r="T488"/>
      <c r="U488"/>
      <c r="V488"/>
      <c r="W488"/>
      <c r="X488"/>
      <c r="Y488"/>
      <c r="Z488"/>
      <c r="AA488"/>
    </row>
    <row r="489" spans="1:27">
      <c r="A489"/>
      <c r="B489"/>
      <c r="C489"/>
      <c r="D489"/>
      <c r="F489"/>
      <c r="Q489"/>
      <c r="R489"/>
      <c r="S489"/>
      <c r="T489"/>
      <c r="U489"/>
      <c r="V489"/>
      <c r="W489"/>
      <c r="X489"/>
      <c r="Y489"/>
      <c r="Z489"/>
      <c r="AA489"/>
    </row>
    <row r="490" spans="1:27">
      <c r="A490"/>
      <c r="B490"/>
      <c r="C490"/>
      <c r="D490"/>
      <c r="F490"/>
      <c r="Q490"/>
      <c r="R490"/>
      <c r="S490"/>
      <c r="T490"/>
      <c r="U490"/>
      <c r="V490"/>
      <c r="W490"/>
      <c r="X490"/>
      <c r="Y490"/>
      <c r="Z490"/>
      <c r="AA490"/>
    </row>
    <row r="491" spans="1:27">
      <c r="A491"/>
      <c r="B491"/>
      <c r="C491"/>
      <c r="D491"/>
      <c r="F491"/>
      <c r="Q491"/>
      <c r="R491"/>
      <c r="S491"/>
      <c r="T491"/>
      <c r="U491"/>
      <c r="V491"/>
      <c r="W491"/>
      <c r="X491"/>
      <c r="Y491"/>
      <c r="Z491"/>
      <c r="AA491"/>
    </row>
    <row r="492" spans="1:27">
      <c r="A492"/>
      <c r="B492"/>
      <c r="C492"/>
      <c r="D492"/>
      <c r="F492"/>
      <c r="Q492"/>
      <c r="R492"/>
      <c r="S492"/>
      <c r="T492"/>
      <c r="U492"/>
      <c r="V492"/>
      <c r="W492"/>
      <c r="X492"/>
      <c r="Y492"/>
      <c r="Z492"/>
      <c r="AA492"/>
    </row>
    <row r="493" spans="1:27">
      <c r="A493"/>
      <c r="B493"/>
      <c r="C493"/>
      <c r="D493"/>
      <c r="F493"/>
      <c r="Q493"/>
      <c r="R493"/>
      <c r="S493"/>
      <c r="T493"/>
      <c r="U493"/>
      <c r="V493"/>
      <c r="W493"/>
      <c r="X493"/>
      <c r="Y493"/>
      <c r="Z493"/>
      <c r="AA493"/>
    </row>
    <row r="494" spans="1:27">
      <c r="A494"/>
      <c r="B494"/>
      <c r="C494"/>
      <c r="D494"/>
      <c r="F494"/>
      <c r="Q494"/>
      <c r="R494"/>
      <c r="S494"/>
      <c r="T494"/>
      <c r="U494"/>
      <c r="V494"/>
      <c r="W494"/>
      <c r="X494"/>
      <c r="Y494"/>
      <c r="Z494"/>
      <c r="AA494"/>
    </row>
    <row r="495" spans="1:27">
      <c r="A495"/>
      <c r="B495"/>
      <c r="C495"/>
      <c r="D495"/>
      <c r="F495"/>
      <c r="Q495"/>
      <c r="R495"/>
      <c r="S495"/>
      <c r="T495"/>
      <c r="U495"/>
      <c r="V495"/>
      <c r="W495"/>
      <c r="X495"/>
      <c r="Y495"/>
      <c r="Z495"/>
      <c r="AA495"/>
    </row>
    <row r="496" spans="1:27">
      <c r="A496"/>
      <c r="B496"/>
      <c r="C496"/>
      <c r="D496"/>
      <c r="F496"/>
      <c r="Q496"/>
      <c r="R496"/>
      <c r="S496"/>
      <c r="T496"/>
      <c r="U496"/>
      <c r="V496"/>
      <c r="W496"/>
      <c r="X496"/>
      <c r="Y496"/>
      <c r="Z496"/>
      <c r="AA496"/>
    </row>
    <row r="497" spans="1:27">
      <c r="A497"/>
      <c r="B497"/>
      <c r="C497"/>
      <c r="D497"/>
      <c r="F497"/>
      <c r="Q497"/>
      <c r="R497"/>
      <c r="S497"/>
      <c r="T497"/>
      <c r="U497"/>
      <c r="V497"/>
      <c r="W497"/>
      <c r="X497"/>
      <c r="Y497"/>
      <c r="Z497"/>
      <c r="AA497"/>
    </row>
    <row r="498" spans="1:27" ht="12.75" customHeight="1">
      <c r="A498"/>
      <c r="B498"/>
      <c r="C498"/>
      <c r="D498"/>
      <c r="F498"/>
      <c r="Q498"/>
      <c r="R498"/>
      <c r="S498"/>
      <c r="T498"/>
      <c r="U498"/>
      <c r="V498"/>
      <c r="W498"/>
      <c r="X498"/>
      <c r="Y498"/>
      <c r="Z498"/>
      <c r="AA498"/>
    </row>
    <row r="499" spans="1:27">
      <c r="A499"/>
      <c r="B499"/>
      <c r="C499"/>
      <c r="D499"/>
      <c r="F499"/>
      <c r="Q499"/>
      <c r="R499"/>
      <c r="S499"/>
      <c r="T499"/>
      <c r="U499"/>
      <c r="V499"/>
      <c r="W499"/>
      <c r="X499"/>
      <c r="Y499"/>
      <c r="Z499"/>
      <c r="AA499"/>
    </row>
    <row r="500" spans="1:27">
      <c r="A500"/>
      <c r="B500"/>
      <c r="C500"/>
      <c r="D500"/>
      <c r="F500"/>
      <c r="Q500"/>
      <c r="R500"/>
      <c r="S500"/>
      <c r="T500"/>
      <c r="U500"/>
      <c r="V500"/>
      <c r="W500"/>
      <c r="X500"/>
      <c r="Y500"/>
      <c r="Z500"/>
      <c r="AA500"/>
    </row>
    <row r="501" spans="1:27">
      <c r="A501"/>
      <c r="B501"/>
      <c r="C501"/>
      <c r="D501"/>
      <c r="F501"/>
      <c r="Q501"/>
      <c r="R501"/>
      <c r="S501"/>
      <c r="T501"/>
      <c r="U501"/>
      <c r="V501"/>
      <c r="W501"/>
      <c r="X501"/>
      <c r="Y501"/>
      <c r="Z501"/>
      <c r="AA501"/>
    </row>
    <row r="502" spans="1:27">
      <c r="A502"/>
      <c r="B502"/>
      <c r="C502"/>
      <c r="D502"/>
      <c r="F502"/>
      <c r="Q502"/>
      <c r="R502"/>
      <c r="S502"/>
      <c r="T502"/>
      <c r="U502"/>
      <c r="V502"/>
      <c r="W502"/>
      <c r="X502"/>
      <c r="Y502"/>
      <c r="Z502"/>
      <c r="AA502"/>
    </row>
    <row r="503" spans="1:27">
      <c r="A503"/>
      <c r="B503"/>
      <c r="C503"/>
      <c r="D503"/>
      <c r="F503"/>
      <c r="Q503"/>
      <c r="R503"/>
      <c r="S503"/>
      <c r="T503"/>
      <c r="U503"/>
      <c r="V503"/>
      <c r="W503"/>
      <c r="X503"/>
      <c r="Y503"/>
      <c r="Z503"/>
      <c r="AA503"/>
    </row>
    <row r="504" spans="1:27">
      <c r="A504"/>
      <c r="B504"/>
      <c r="C504"/>
      <c r="D504"/>
      <c r="F504"/>
      <c r="Q504"/>
      <c r="R504"/>
      <c r="S504"/>
      <c r="T504"/>
      <c r="U504"/>
      <c r="V504"/>
      <c r="W504"/>
      <c r="X504"/>
      <c r="Y504"/>
      <c r="Z504"/>
      <c r="AA504"/>
    </row>
    <row r="505" spans="1:27">
      <c r="A505"/>
      <c r="B505"/>
      <c r="C505"/>
      <c r="D505"/>
      <c r="F505"/>
      <c r="Q505"/>
      <c r="R505"/>
      <c r="S505"/>
      <c r="T505"/>
      <c r="U505"/>
      <c r="V505"/>
      <c r="W505"/>
      <c r="X505"/>
      <c r="Y505"/>
      <c r="Z505"/>
      <c r="AA505"/>
    </row>
    <row r="506" spans="1:27">
      <c r="A506"/>
      <c r="B506"/>
      <c r="C506"/>
      <c r="D506"/>
      <c r="F506"/>
      <c r="Q506"/>
      <c r="R506"/>
      <c r="S506"/>
      <c r="T506"/>
      <c r="U506"/>
      <c r="V506"/>
      <c r="W506"/>
      <c r="X506"/>
      <c r="Y506"/>
      <c r="Z506"/>
      <c r="AA506"/>
    </row>
    <row r="507" spans="1:27">
      <c r="A507"/>
      <c r="B507"/>
      <c r="C507"/>
      <c r="D507"/>
      <c r="F507"/>
      <c r="Q507"/>
      <c r="R507"/>
      <c r="S507"/>
      <c r="T507"/>
      <c r="U507"/>
      <c r="V507"/>
      <c r="W507"/>
      <c r="X507"/>
      <c r="Y507"/>
      <c r="Z507"/>
      <c r="AA507"/>
    </row>
    <row r="508" spans="1:27">
      <c r="A508"/>
      <c r="B508"/>
      <c r="C508"/>
      <c r="D508"/>
      <c r="F508"/>
      <c r="Q508"/>
      <c r="R508"/>
      <c r="S508"/>
      <c r="T508"/>
      <c r="U508"/>
      <c r="V508"/>
      <c r="W508"/>
      <c r="X508"/>
      <c r="Y508"/>
      <c r="Z508"/>
      <c r="AA508"/>
    </row>
    <row r="509" spans="1:27">
      <c r="A509"/>
      <c r="B509"/>
      <c r="C509"/>
      <c r="D509"/>
      <c r="F509"/>
      <c r="Q509"/>
      <c r="R509"/>
      <c r="S509"/>
      <c r="T509"/>
      <c r="U509"/>
      <c r="V509"/>
      <c r="W509"/>
      <c r="X509"/>
      <c r="Y509"/>
      <c r="Z509"/>
      <c r="AA509"/>
    </row>
    <row r="510" spans="1:27">
      <c r="A510"/>
      <c r="B510"/>
      <c r="C510"/>
      <c r="D510"/>
      <c r="F510"/>
      <c r="Q510"/>
      <c r="R510"/>
      <c r="S510"/>
      <c r="T510"/>
      <c r="U510"/>
      <c r="V510"/>
      <c r="W510"/>
      <c r="X510"/>
      <c r="Y510"/>
      <c r="Z510"/>
      <c r="AA510"/>
    </row>
    <row r="511" spans="1:27">
      <c r="A511"/>
      <c r="B511"/>
      <c r="C511"/>
      <c r="D511"/>
      <c r="F511"/>
      <c r="Q511"/>
      <c r="R511"/>
      <c r="S511"/>
      <c r="T511"/>
      <c r="U511"/>
      <c r="V511"/>
      <c r="W511"/>
      <c r="X511"/>
      <c r="Y511"/>
      <c r="Z511"/>
      <c r="AA511"/>
    </row>
    <row r="512" spans="1:27">
      <c r="A512"/>
      <c r="B512"/>
      <c r="C512"/>
      <c r="D512"/>
      <c r="F512"/>
      <c r="Q512"/>
      <c r="R512"/>
      <c r="S512"/>
      <c r="T512"/>
      <c r="U512"/>
      <c r="V512"/>
      <c r="W512"/>
      <c r="X512"/>
      <c r="Y512"/>
      <c r="Z512"/>
      <c r="AA512"/>
    </row>
    <row r="513" spans="1:27">
      <c r="A513"/>
      <c r="B513"/>
      <c r="C513"/>
      <c r="D513"/>
      <c r="F513"/>
      <c r="Q513"/>
      <c r="R513"/>
      <c r="S513"/>
      <c r="T513"/>
      <c r="U513"/>
      <c r="V513"/>
      <c r="W513"/>
      <c r="X513"/>
      <c r="Y513"/>
      <c r="Z513"/>
      <c r="AA513"/>
    </row>
    <row r="514" spans="1:27">
      <c r="A514"/>
      <c r="B514"/>
      <c r="C514"/>
      <c r="D514"/>
      <c r="F514"/>
      <c r="Q514"/>
      <c r="R514"/>
      <c r="S514"/>
      <c r="T514"/>
      <c r="U514"/>
      <c r="V514"/>
      <c r="W514"/>
      <c r="X514"/>
      <c r="Y514"/>
      <c r="Z514"/>
      <c r="AA514"/>
    </row>
    <row r="515" spans="1:27">
      <c r="A515"/>
      <c r="B515"/>
      <c r="C515"/>
      <c r="D515"/>
      <c r="F515"/>
      <c r="Q515"/>
      <c r="R515"/>
      <c r="S515"/>
      <c r="T515"/>
      <c r="U515"/>
      <c r="V515"/>
      <c r="W515"/>
      <c r="X515"/>
      <c r="Y515"/>
      <c r="Z515"/>
      <c r="AA515"/>
    </row>
    <row r="516" spans="1:27">
      <c r="A516"/>
      <c r="B516"/>
      <c r="C516"/>
      <c r="D516"/>
      <c r="F516"/>
      <c r="Q516"/>
      <c r="R516"/>
      <c r="S516"/>
      <c r="T516"/>
      <c r="U516"/>
      <c r="V516"/>
      <c r="W516"/>
      <c r="X516"/>
      <c r="Y516"/>
      <c r="Z516"/>
      <c r="AA516"/>
    </row>
    <row r="517" spans="1:27">
      <c r="A517"/>
      <c r="B517"/>
      <c r="C517"/>
      <c r="D517"/>
      <c r="F517"/>
      <c r="Q517"/>
      <c r="R517"/>
      <c r="S517"/>
      <c r="T517"/>
      <c r="U517"/>
      <c r="V517"/>
      <c r="W517"/>
      <c r="X517"/>
      <c r="Y517"/>
      <c r="Z517"/>
      <c r="AA517"/>
    </row>
    <row r="518" spans="1:27">
      <c r="A518"/>
      <c r="B518"/>
      <c r="C518"/>
      <c r="D518"/>
      <c r="F518"/>
      <c r="Q518"/>
      <c r="R518"/>
      <c r="S518"/>
      <c r="T518"/>
      <c r="U518"/>
      <c r="V518"/>
      <c r="W518"/>
      <c r="X518"/>
      <c r="Y518"/>
      <c r="Z518"/>
      <c r="AA518"/>
    </row>
    <row r="519" spans="1:27">
      <c r="A519"/>
      <c r="B519"/>
      <c r="C519"/>
      <c r="D519"/>
      <c r="F519"/>
      <c r="Q519"/>
      <c r="R519"/>
      <c r="S519"/>
      <c r="T519"/>
      <c r="U519"/>
      <c r="V519"/>
      <c r="W519"/>
      <c r="X519"/>
      <c r="Y519"/>
      <c r="Z519"/>
      <c r="AA519"/>
    </row>
    <row r="520" spans="1:27">
      <c r="A520"/>
      <c r="B520"/>
      <c r="C520"/>
      <c r="D520"/>
      <c r="F520"/>
      <c r="Q520"/>
      <c r="R520"/>
      <c r="S520"/>
      <c r="T520"/>
      <c r="U520"/>
      <c r="V520"/>
      <c r="W520"/>
      <c r="X520"/>
      <c r="Y520"/>
      <c r="Z520"/>
      <c r="AA520"/>
    </row>
    <row r="521" spans="1:27">
      <c r="A521"/>
      <c r="B521"/>
      <c r="C521"/>
      <c r="D521"/>
      <c r="F521"/>
      <c r="Q521"/>
      <c r="R521"/>
      <c r="S521"/>
      <c r="T521"/>
      <c r="U521"/>
      <c r="V521"/>
      <c r="W521"/>
      <c r="X521"/>
      <c r="Y521"/>
      <c r="Z521"/>
      <c r="AA521"/>
    </row>
    <row r="522" spans="1:27">
      <c r="A522"/>
      <c r="B522"/>
      <c r="C522"/>
      <c r="D522"/>
      <c r="F522"/>
      <c r="Q522"/>
      <c r="R522"/>
      <c r="S522"/>
      <c r="T522"/>
      <c r="U522"/>
      <c r="V522"/>
      <c r="W522"/>
      <c r="X522"/>
      <c r="Y522"/>
      <c r="Z522"/>
      <c r="AA522"/>
    </row>
    <row r="523" spans="1:27">
      <c r="A523"/>
      <c r="B523"/>
      <c r="C523"/>
      <c r="D523"/>
      <c r="F523"/>
      <c r="Q523"/>
      <c r="R523"/>
      <c r="S523"/>
      <c r="T523"/>
      <c r="U523"/>
      <c r="V523"/>
      <c r="W523"/>
      <c r="X523"/>
      <c r="Y523"/>
      <c r="Z523"/>
      <c r="AA523"/>
    </row>
    <row r="524" spans="1:27">
      <c r="A524"/>
      <c r="B524"/>
      <c r="C524"/>
      <c r="D524"/>
      <c r="F524"/>
      <c r="Q524"/>
      <c r="R524"/>
      <c r="S524"/>
      <c r="T524"/>
      <c r="U524"/>
      <c r="V524"/>
      <c r="W524"/>
      <c r="X524"/>
      <c r="Y524"/>
      <c r="Z524"/>
      <c r="AA524"/>
    </row>
    <row r="525" spans="1:27">
      <c r="A525"/>
      <c r="B525"/>
      <c r="C525"/>
      <c r="D525"/>
      <c r="F525"/>
      <c r="Q525"/>
      <c r="R525"/>
      <c r="S525"/>
      <c r="T525"/>
      <c r="U525"/>
      <c r="V525"/>
      <c r="W525"/>
      <c r="X525"/>
      <c r="Y525"/>
      <c r="Z525"/>
      <c r="AA525"/>
    </row>
    <row r="526" spans="1:27">
      <c r="A526"/>
      <c r="B526"/>
      <c r="C526"/>
      <c r="D526"/>
      <c r="F526"/>
      <c r="Q526"/>
      <c r="R526"/>
      <c r="S526"/>
      <c r="T526"/>
      <c r="U526"/>
      <c r="V526"/>
      <c r="W526"/>
      <c r="X526"/>
      <c r="Y526"/>
      <c r="Z526"/>
      <c r="AA526"/>
    </row>
    <row r="527" spans="1:27">
      <c r="A527"/>
      <c r="B527"/>
      <c r="C527"/>
      <c r="D527"/>
      <c r="F527"/>
      <c r="Q527"/>
      <c r="R527"/>
      <c r="S527"/>
      <c r="T527"/>
      <c r="U527"/>
      <c r="V527"/>
      <c r="W527"/>
      <c r="X527"/>
      <c r="Y527"/>
      <c r="Z527"/>
      <c r="AA527"/>
    </row>
    <row r="528" spans="1:27">
      <c r="A528"/>
      <c r="B528"/>
      <c r="C528"/>
      <c r="D528"/>
      <c r="F528"/>
      <c r="Q528"/>
      <c r="R528"/>
      <c r="S528"/>
      <c r="T528"/>
      <c r="U528"/>
      <c r="V528"/>
      <c r="W528"/>
      <c r="X528"/>
      <c r="Y528"/>
      <c r="Z528"/>
      <c r="AA528"/>
    </row>
    <row r="529" spans="1:27">
      <c r="A529"/>
      <c r="B529"/>
      <c r="C529"/>
      <c r="D529"/>
      <c r="F529"/>
      <c r="Q529"/>
      <c r="R529"/>
      <c r="S529"/>
      <c r="T529"/>
      <c r="U529"/>
      <c r="V529"/>
      <c r="W529"/>
      <c r="X529"/>
      <c r="Y529"/>
      <c r="Z529"/>
      <c r="AA529"/>
    </row>
    <row r="530" spans="1:27">
      <c r="A530"/>
      <c r="B530"/>
      <c r="C530"/>
      <c r="D530"/>
      <c r="F530"/>
      <c r="Q530"/>
      <c r="R530"/>
      <c r="S530"/>
      <c r="T530"/>
      <c r="U530"/>
      <c r="V530"/>
      <c r="W530"/>
      <c r="X530"/>
      <c r="Y530"/>
      <c r="Z530"/>
      <c r="AA530"/>
    </row>
    <row r="531" spans="1:27">
      <c r="A531"/>
      <c r="B531"/>
      <c r="C531"/>
      <c r="D531"/>
      <c r="F531"/>
      <c r="Q531"/>
      <c r="R531"/>
      <c r="S531"/>
      <c r="T531"/>
      <c r="U531"/>
      <c r="V531"/>
      <c r="W531"/>
      <c r="X531"/>
      <c r="Y531"/>
      <c r="Z531"/>
      <c r="AA531"/>
    </row>
    <row r="532" spans="1:27">
      <c r="A532"/>
      <c r="B532"/>
      <c r="C532"/>
      <c r="D532"/>
      <c r="F532"/>
      <c r="Q532"/>
      <c r="R532"/>
      <c r="S532"/>
      <c r="T532"/>
      <c r="U532"/>
      <c r="V532"/>
      <c r="W532"/>
      <c r="X532"/>
      <c r="Y532"/>
      <c r="Z532"/>
      <c r="AA532"/>
    </row>
    <row r="533" spans="1:27">
      <c r="A533"/>
      <c r="B533"/>
      <c r="C533"/>
      <c r="D533"/>
      <c r="F533"/>
      <c r="Q533"/>
      <c r="R533"/>
      <c r="S533"/>
      <c r="T533"/>
      <c r="U533"/>
      <c r="V533"/>
      <c r="W533"/>
      <c r="X533"/>
      <c r="Y533"/>
      <c r="Z533"/>
      <c r="AA533"/>
    </row>
    <row r="534" spans="1:27">
      <c r="A534"/>
      <c r="B534"/>
      <c r="C534"/>
      <c r="D534"/>
      <c r="F534"/>
      <c r="Q534"/>
      <c r="R534"/>
      <c r="S534"/>
      <c r="T534"/>
      <c r="U534"/>
      <c r="V534"/>
      <c r="W534"/>
      <c r="X534"/>
      <c r="Y534"/>
      <c r="Z534"/>
      <c r="AA534"/>
    </row>
    <row r="535" spans="1:27">
      <c r="A535"/>
      <c r="B535"/>
      <c r="C535"/>
      <c r="D535"/>
      <c r="F535"/>
      <c r="Q535"/>
      <c r="R535"/>
      <c r="S535"/>
      <c r="T535"/>
      <c r="U535"/>
      <c r="V535"/>
      <c r="W535"/>
      <c r="X535"/>
      <c r="Y535"/>
      <c r="Z535"/>
      <c r="AA535"/>
    </row>
    <row r="536" spans="1:27">
      <c r="A536"/>
      <c r="B536"/>
      <c r="C536"/>
      <c r="D536"/>
      <c r="F536"/>
      <c r="Q536"/>
      <c r="R536"/>
      <c r="S536"/>
      <c r="T536"/>
      <c r="U536"/>
      <c r="V536"/>
      <c r="W536"/>
      <c r="X536"/>
      <c r="Y536"/>
      <c r="Z536"/>
      <c r="AA536"/>
    </row>
    <row r="537" spans="1:27">
      <c r="A537"/>
      <c r="B537"/>
      <c r="C537"/>
      <c r="D537"/>
      <c r="F537"/>
      <c r="Q537"/>
      <c r="R537"/>
      <c r="S537"/>
      <c r="T537"/>
      <c r="U537"/>
      <c r="V537"/>
      <c r="W537"/>
      <c r="X537"/>
      <c r="Y537"/>
      <c r="Z537"/>
      <c r="AA537"/>
    </row>
    <row r="538" spans="1:27">
      <c r="A538"/>
      <c r="B538"/>
      <c r="C538"/>
      <c r="D538"/>
      <c r="F538"/>
      <c r="Q538"/>
      <c r="R538"/>
      <c r="S538"/>
      <c r="T538"/>
      <c r="U538"/>
      <c r="V538"/>
      <c r="W538"/>
      <c r="X538"/>
      <c r="Y538"/>
      <c r="Z538"/>
      <c r="AA538"/>
    </row>
    <row r="539" spans="1:27">
      <c r="A539"/>
      <c r="B539"/>
      <c r="C539"/>
      <c r="D539"/>
      <c r="F539"/>
      <c r="Q539"/>
      <c r="R539"/>
      <c r="S539"/>
      <c r="T539"/>
      <c r="U539"/>
      <c r="V539"/>
      <c r="W539"/>
      <c r="X539"/>
      <c r="Y539"/>
      <c r="Z539"/>
      <c r="AA539"/>
    </row>
    <row r="540" spans="1:27">
      <c r="A540"/>
      <c r="B540"/>
      <c r="C540"/>
      <c r="D540"/>
      <c r="F540"/>
      <c r="Q540"/>
      <c r="R540"/>
      <c r="S540"/>
      <c r="T540"/>
      <c r="U540"/>
      <c r="V540"/>
      <c r="W540"/>
      <c r="X540"/>
      <c r="Y540"/>
      <c r="Z540"/>
      <c r="AA540"/>
    </row>
    <row r="541" spans="1:27">
      <c r="A541"/>
      <c r="B541"/>
      <c r="C541"/>
      <c r="D541"/>
      <c r="F541"/>
      <c r="Q541"/>
      <c r="R541"/>
      <c r="S541"/>
      <c r="T541"/>
      <c r="U541"/>
      <c r="V541"/>
      <c r="W541"/>
      <c r="X541"/>
      <c r="Y541"/>
      <c r="Z541"/>
      <c r="AA541"/>
    </row>
    <row r="542" spans="1:27">
      <c r="A542"/>
      <c r="B542"/>
      <c r="C542"/>
      <c r="D542"/>
      <c r="F542"/>
      <c r="Q542"/>
      <c r="R542"/>
      <c r="S542"/>
      <c r="T542"/>
      <c r="U542"/>
      <c r="V542"/>
      <c r="W542"/>
      <c r="X542"/>
      <c r="Y542"/>
      <c r="Z542"/>
      <c r="AA542"/>
    </row>
    <row r="543" spans="1:27">
      <c r="A543"/>
      <c r="B543"/>
      <c r="C543"/>
      <c r="D543"/>
      <c r="F543"/>
      <c r="Q543"/>
      <c r="R543"/>
      <c r="S543"/>
      <c r="T543"/>
      <c r="U543"/>
      <c r="V543"/>
      <c r="W543"/>
      <c r="X543"/>
      <c r="Y543"/>
      <c r="Z543"/>
      <c r="AA543"/>
    </row>
    <row r="544" spans="1:27">
      <c r="A544"/>
      <c r="B544"/>
      <c r="C544"/>
      <c r="D544"/>
      <c r="F544"/>
      <c r="Q544"/>
      <c r="R544"/>
      <c r="S544"/>
      <c r="T544"/>
      <c r="U544"/>
      <c r="V544"/>
      <c r="W544"/>
      <c r="X544"/>
      <c r="Y544"/>
      <c r="Z544"/>
      <c r="AA544"/>
    </row>
    <row r="545" spans="1:27">
      <c r="A545"/>
      <c r="B545"/>
      <c r="C545"/>
      <c r="D545"/>
      <c r="F545"/>
      <c r="Q545"/>
      <c r="R545"/>
      <c r="S545"/>
      <c r="T545"/>
      <c r="U545"/>
      <c r="V545"/>
      <c r="W545"/>
      <c r="X545"/>
      <c r="Y545"/>
      <c r="Z545"/>
      <c r="AA545"/>
    </row>
    <row r="546" spans="1:27">
      <c r="A546"/>
      <c r="B546"/>
      <c r="C546"/>
      <c r="D546"/>
      <c r="F546"/>
      <c r="Q546"/>
      <c r="R546"/>
      <c r="S546"/>
      <c r="T546"/>
      <c r="U546"/>
      <c r="V546"/>
      <c r="W546"/>
      <c r="X546"/>
      <c r="Y546"/>
      <c r="Z546"/>
      <c r="AA546"/>
    </row>
    <row r="547" spans="1:27">
      <c r="A547"/>
      <c r="B547"/>
      <c r="C547"/>
      <c r="D547"/>
      <c r="F547"/>
      <c r="Q547"/>
      <c r="R547"/>
      <c r="S547"/>
      <c r="T547"/>
      <c r="U547"/>
      <c r="V547"/>
      <c r="W547"/>
      <c r="X547"/>
      <c r="Y547"/>
      <c r="Z547"/>
      <c r="AA547"/>
    </row>
    <row r="548" spans="1:27">
      <c r="A548"/>
      <c r="B548"/>
      <c r="C548"/>
      <c r="D548"/>
      <c r="F548"/>
      <c r="Q548"/>
      <c r="R548"/>
      <c r="S548"/>
      <c r="T548"/>
      <c r="U548"/>
      <c r="V548"/>
      <c r="W548"/>
      <c r="X548"/>
      <c r="Y548"/>
      <c r="Z548"/>
      <c r="AA548"/>
    </row>
    <row r="549" spans="1:27">
      <c r="A549"/>
      <c r="B549"/>
      <c r="C549"/>
      <c r="D549"/>
      <c r="F549"/>
      <c r="Q549"/>
      <c r="R549"/>
      <c r="S549"/>
      <c r="T549"/>
      <c r="U549"/>
      <c r="V549"/>
      <c r="W549"/>
      <c r="X549"/>
      <c r="Y549"/>
      <c r="Z549"/>
      <c r="AA549"/>
    </row>
    <row r="550" spans="1:27">
      <c r="A550"/>
      <c r="B550"/>
      <c r="C550"/>
      <c r="D550"/>
      <c r="F550"/>
      <c r="Q550"/>
      <c r="R550"/>
      <c r="S550"/>
      <c r="T550"/>
      <c r="U550"/>
      <c r="V550"/>
      <c r="W550"/>
      <c r="X550"/>
      <c r="Y550"/>
      <c r="Z550"/>
      <c r="AA550"/>
    </row>
    <row r="551" spans="1:27">
      <c r="A551"/>
      <c r="B551"/>
      <c r="C551"/>
      <c r="D551"/>
      <c r="F551"/>
      <c r="Q551"/>
      <c r="R551"/>
      <c r="S551"/>
      <c r="T551"/>
      <c r="U551"/>
      <c r="V551"/>
      <c r="W551"/>
      <c r="X551"/>
      <c r="Y551"/>
      <c r="Z551"/>
      <c r="AA551"/>
    </row>
    <row r="552" spans="1:27">
      <c r="A552"/>
      <c r="B552"/>
      <c r="C552"/>
      <c r="D552"/>
      <c r="F552"/>
      <c r="Q552"/>
      <c r="R552"/>
      <c r="S552"/>
      <c r="T552"/>
      <c r="U552"/>
      <c r="V552"/>
      <c r="W552"/>
      <c r="X552"/>
      <c r="Y552"/>
      <c r="Z552"/>
      <c r="AA552"/>
    </row>
    <row r="553" spans="1:27">
      <c r="A553"/>
      <c r="B553"/>
      <c r="C553"/>
      <c r="D553"/>
      <c r="F553"/>
      <c r="Q553"/>
      <c r="R553"/>
      <c r="S553"/>
      <c r="T553"/>
      <c r="U553"/>
      <c r="V553"/>
      <c r="W553"/>
      <c r="X553"/>
      <c r="Y553"/>
      <c r="Z553"/>
      <c r="AA553"/>
    </row>
    <row r="554" spans="1:27">
      <c r="A554"/>
      <c r="B554"/>
      <c r="C554"/>
      <c r="D554"/>
      <c r="F554"/>
      <c r="Q554"/>
      <c r="R554"/>
      <c r="S554"/>
      <c r="T554"/>
      <c r="U554"/>
      <c r="V554"/>
      <c r="W554"/>
      <c r="X554"/>
      <c r="Y554"/>
      <c r="Z554"/>
      <c r="AA554"/>
    </row>
    <row r="555" spans="1:27">
      <c r="A555"/>
      <c r="B555"/>
      <c r="C555"/>
      <c r="D555"/>
      <c r="F555"/>
      <c r="Q555"/>
      <c r="R555"/>
      <c r="S555"/>
      <c r="T555"/>
      <c r="U555"/>
      <c r="V555"/>
      <c r="W555"/>
      <c r="X555"/>
      <c r="Y555"/>
      <c r="Z555"/>
      <c r="AA555"/>
    </row>
    <row r="556" spans="1:27">
      <c r="A556"/>
      <c r="B556"/>
      <c r="C556"/>
      <c r="D556"/>
      <c r="F556"/>
      <c r="Q556"/>
      <c r="R556"/>
      <c r="S556"/>
      <c r="T556"/>
      <c r="U556"/>
      <c r="V556"/>
      <c r="W556"/>
      <c r="X556"/>
      <c r="Y556"/>
      <c r="Z556"/>
      <c r="AA556"/>
    </row>
    <row r="557" spans="1:27">
      <c r="A557"/>
      <c r="B557"/>
      <c r="C557"/>
      <c r="D557"/>
      <c r="F557"/>
      <c r="Q557"/>
      <c r="R557"/>
      <c r="S557"/>
      <c r="T557"/>
      <c r="U557"/>
      <c r="V557"/>
      <c r="W557"/>
      <c r="X557"/>
      <c r="Y557"/>
      <c r="Z557"/>
      <c r="AA557"/>
    </row>
    <row r="558" spans="1:27">
      <c r="A558"/>
      <c r="B558"/>
      <c r="C558"/>
      <c r="D558"/>
      <c r="F558"/>
      <c r="Q558"/>
      <c r="R558"/>
      <c r="S558"/>
      <c r="T558"/>
      <c r="U558"/>
      <c r="V558"/>
      <c r="W558"/>
      <c r="X558"/>
      <c r="Y558"/>
      <c r="Z558"/>
      <c r="AA558"/>
    </row>
    <row r="559" spans="1:27">
      <c r="A559"/>
      <c r="B559"/>
      <c r="C559"/>
      <c r="D559"/>
      <c r="F559"/>
      <c r="Q559"/>
      <c r="R559"/>
      <c r="S559"/>
      <c r="T559"/>
      <c r="U559"/>
      <c r="V559"/>
      <c r="W559"/>
      <c r="X559"/>
      <c r="Y559"/>
      <c r="Z559"/>
      <c r="AA559"/>
    </row>
    <row r="560" spans="1:27">
      <c r="A560"/>
      <c r="B560"/>
      <c r="C560"/>
      <c r="D560"/>
      <c r="F560"/>
      <c r="Q560"/>
      <c r="R560"/>
      <c r="S560"/>
      <c r="T560"/>
      <c r="U560"/>
      <c r="V560"/>
      <c r="W560"/>
      <c r="X560"/>
      <c r="Y560"/>
      <c r="Z560"/>
      <c r="AA560"/>
    </row>
    <row r="561" spans="1:27">
      <c r="A561"/>
      <c r="B561"/>
      <c r="C561"/>
      <c r="D561"/>
      <c r="F561"/>
      <c r="Q561"/>
      <c r="R561"/>
      <c r="S561"/>
      <c r="T561"/>
      <c r="U561"/>
      <c r="V561"/>
      <c r="W561"/>
      <c r="X561"/>
      <c r="Y561"/>
      <c r="Z561"/>
      <c r="AA561"/>
    </row>
    <row r="562" spans="1:27">
      <c r="A562"/>
      <c r="B562"/>
      <c r="C562"/>
      <c r="D562"/>
      <c r="F562"/>
      <c r="Q562"/>
      <c r="R562"/>
      <c r="S562"/>
      <c r="T562"/>
      <c r="U562"/>
      <c r="V562"/>
      <c r="W562"/>
      <c r="X562"/>
      <c r="Y562"/>
      <c r="Z562"/>
      <c r="AA562"/>
    </row>
    <row r="563" spans="1:27">
      <c r="A563"/>
      <c r="B563"/>
      <c r="C563"/>
      <c r="D563"/>
      <c r="F563"/>
      <c r="Q563"/>
      <c r="R563"/>
      <c r="S563"/>
      <c r="T563"/>
      <c r="U563"/>
      <c r="V563"/>
      <c r="W563"/>
      <c r="X563"/>
      <c r="Y563"/>
      <c r="Z563"/>
      <c r="AA563"/>
    </row>
    <row r="564" spans="1:27">
      <c r="A564"/>
      <c r="B564"/>
      <c r="C564"/>
      <c r="D564"/>
      <c r="F564"/>
      <c r="Q564"/>
      <c r="R564"/>
      <c r="S564"/>
      <c r="T564"/>
      <c r="U564"/>
      <c r="V564"/>
      <c r="W564"/>
      <c r="X564"/>
      <c r="Y564"/>
      <c r="Z564"/>
      <c r="AA564"/>
    </row>
    <row r="565" spans="1:27">
      <c r="A565"/>
      <c r="B565"/>
      <c r="C565"/>
      <c r="D565"/>
      <c r="F565"/>
      <c r="Q565"/>
      <c r="R565"/>
      <c r="S565"/>
      <c r="T565"/>
      <c r="U565"/>
      <c r="V565"/>
      <c r="W565"/>
      <c r="X565"/>
      <c r="Y565"/>
      <c r="Z565"/>
      <c r="AA565"/>
    </row>
    <row r="566" spans="1:27">
      <c r="A566"/>
      <c r="B566"/>
      <c r="C566"/>
      <c r="D566"/>
      <c r="F566"/>
      <c r="Q566"/>
      <c r="R566"/>
      <c r="S566"/>
      <c r="T566"/>
      <c r="U566"/>
      <c r="V566"/>
      <c r="W566"/>
      <c r="X566"/>
      <c r="Y566"/>
      <c r="Z566"/>
      <c r="AA566"/>
    </row>
    <row r="567" spans="1:27">
      <c r="A567"/>
      <c r="B567"/>
      <c r="C567"/>
      <c r="D567"/>
      <c r="F567"/>
      <c r="Q567"/>
      <c r="R567"/>
      <c r="S567"/>
      <c r="T567"/>
      <c r="U567"/>
      <c r="V567"/>
      <c r="W567"/>
      <c r="X567"/>
      <c r="Y567"/>
      <c r="Z567"/>
      <c r="AA567"/>
    </row>
    <row r="568" spans="1:27">
      <c r="A568"/>
      <c r="B568"/>
      <c r="C568"/>
      <c r="D568"/>
      <c r="F568"/>
      <c r="Q568"/>
      <c r="R568"/>
      <c r="S568"/>
      <c r="T568"/>
      <c r="U568"/>
      <c r="V568"/>
      <c r="W568"/>
      <c r="X568"/>
      <c r="Y568"/>
      <c r="Z568"/>
      <c r="AA568"/>
    </row>
    <row r="569" spans="1:27">
      <c r="A569"/>
      <c r="B569"/>
      <c r="C569"/>
      <c r="D569"/>
      <c r="F569"/>
      <c r="Q569"/>
      <c r="R569"/>
      <c r="S569"/>
      <c r="T569"/>
      <c r="U569"/>
      <c r="V569"/>
      <c r="W569"/>
      <c r="X569"/>
      <c r="Y569"/>
      <c r="Z569"/>
      <c r="AA569"/>
    </row>
    <row r="570" spans="1:27">
      <c r="A570"/>
      <c r="B570"/>
      <c r="C570"/>
      <c r="D570"/>
      <c r="F570"/>
      <c r="Q570"/>
      <c r="R570"/>
      <c r="S570"/>
      <c r="T570"/>
      <c r="U570"/>
      <c r="V570"/>
      <c r="W570"/>
      <c r="X570"/>
      <c r="Y570"/>
      <c r="Z570"/>
      <c r="AA570"/>
    </row>
    <row r="571" spans="1:27">
      <c r="A571"/>
      <c r="B571"/>
      <c r="C571"/>
      <c r="D571"/>
      <c r="F571"/>
      <c r="Q571"/>
      <c r="R571"/>
      <c r="S571"/>
      <c r="T571"/>
      <c r="U571"/>
      <c r="V571"/>
      <c r="W571"/>
      <c r="X571"/>
      <c r="Y571"/>
      <c r="Z571"/>
      <c r="AA571"/>
    </row>
    <row r="572" spans="1:27">
      <c r="A572"/>
      <c r="B572"/>
      <c r="C572"/>
      <c r="D572"/>
      <c r="F572"/>
      <c r="Q572"/>
      <c r="R572"/>
      <c r="S572"/>
      <c r="T572"/>
      <c r="U572"/>
      <c r="V572"/>
      <c r="W572"/>
      <c r="X572"/>
      <c r="Y572"/>
      <c r="Z572"/>
      <c r="AA572"/>
    </row>
    <row r="573" spans="1:27">
      <c r="A573"/>
      <c r="B573"/>
      <c r="C573"/>
      <c r="D573"/>
      <c r="F573"/>
      <c r="Q573"/>
      <c r="R573"/>
      <c r="S573"/>
      <c r="T573"/>
      <c r="U573"/>
      <c r="V573"/>
      <c r="W573"/>
      <c r="X573"/>
      <c r="Y573"/>
      <c r="Z573"/>
      <c r="AA573"/>
    </row>
    <row r="574" spans="1:27">
      <c r="A574"/>
      <c r="B574"/>
      <c r="C574"/>
      <c r="D574"/>
      <c r="F574"/>
      <c r="Q574"/>
      <c r="R574"/>
      <c r="S574"/>
      <c r="T574"/>
      <c r="U574"/>
      <c r="V574"/>
      <c r="W574"/>
      <c r="X574"/>
      <c r="Y574"/>
      <c r="Z574"/>
      <c r="AA574"/>
    </row>
    <row r="575" spans="1:27">
      <c r="A575"/>
      <c r="B575"/>
      <c r="C575"/>
      <c r="D575"/>
      <c r="F575"/>
      <c r="Q575"/>
      <c r="R575"/>
      <c r="S575"/>
      <c r="T575"/>
      <c r="U575"/>
      <c r="V575"/>
      <c r="W575"/>
      <c r="X575"/>
      <c r="Y575"/>
      <c r="Z575"/>
      <c r="AA575"/>
    </row>
    <row r="576" spans="1:27">
      <c r="A576"/>
      <c r="B576"/>
      <c r="C576"/>
      <c r="D576"/>
      <c r="F576"/>
      <c r="Q576"/>
      <c r="R576"/>
      <c r="S576"/>
      <c r="T576"/>
      <c r="U576"/>
      <c r="V576"/>
      <c r="W576"/>
      <c r="X576"/>
      <c r="Y576"/>
      <c r="Z576"/>
      <c r="AA576"/>
    </row>
    <row r="577" spans="1:27">
      <c r="A577"/>
      <c r="B577"/>
      <c r="C577"/>
      <c r="D577"/>
      <c r="F577"/>
      <c r="Q577"/>
      <c r="R577"/>
      <c r="S577"/>
      <c r="T577"/>
      <c r="U577"/>
      <c r="V577"/>
      <c r="W577"/>
      <c r="X577"/>
      <c r="Y577"/>
      <c r="Z577"/>
      <c r="AA577"/>
    </row>
    <row r="578" spans="1:27">
      <c r="A578"/>
      <c r="B578"/>
      <c r="C578"/>
      <c r="D578"/>
      <c r="F578"/>
      <c r="Q578"/>
      <c r="R578"/>
      <c r="S578"/>
      <c r="T578"/>
      <c r="U578"/>
      <c r="V578"/>
      <c r="W578"/>
      <c r="X578"/>
      <c r="Y578"/>
      <c r="Z578"/>
      <c r="AA578"/>
    </row>
    <row r="579" spans="1:27">
      <c r="A579"/>
      <c r="B579"/>
      <c r="C579"/>
      <c r="D579"/>
      <c r="F579"/>
      <c r="Q579"/>
      <c r="R579"/>
      <c r="S579"/>
      <c r="T579"/>
      <c r="U579"/>
      <c r="V579"/>
      <c r="W579"/>
      <c r="X579"/>
      <c r="Y579"/>
      <c r="Z579"/>
      <c r="AA579"/>
    </row>
    <row r="580" spans="1:27">
      <c r="A580"/>
      <c r="B580"/>
      <c r="C580"/>
      <c r="D580"/>
      <c r="F580"/>
      <c r="Q580"/>
      <c r="R580"/>
      <c r="S580"/>
      <c r="T580"/>
      <c r="U580"/>
      <c r="V580"/>
      <c r="W580"/>
      <c r="X580"/>
      <c r="Y580"/>
      <c r="Z580"/>
      <c r="AA580"/>
    </row>
    <row r="581" spans="1:27">
      <c r="A581"/>
      <c r="B581"/>
      <c r="C581"/>
      <c r="D581"/>
      <c r="F581"/>
      <c r="Q581"/>
      <c r="R581"/>
      <c r="S581"/>
      <c r="T581"/>
      <c r="U581"/>
      <c r="V581"/>
      <c r="W581"/>
      <c r="X581"/>
      <c r="Y581"/>
      <c r="Z581"/>
      <c r="AA581"/>
    </row>
    <row r="582" spans="1:27">
      <c r="A582"/>
      <c r="B582"/>
      <c r="C582"/>
      <c r="D582"/>
      <c r="F582"/>
      <c r="Q582"/>
      <c r="R582"/>
      <c r="S582"/>
      <c r="T582"/>
      <c r="U582"/>
      <c r="V582"/>
      <c r="W582"/>
      <c r="X582"/>
      <c r="Y582"/>
      <c r="Z582"/>
      <c r="AA582"/>
    </row>
    <row r="583" spans="1:27">
      <c r="A583"/>
      <c r="B583"/>
      <c r="C583"/>
      <c r="D583"/>
      <c r="F583"/>
      <c r="Q583"/>
      <c r="R583"/>
      <c r="S583"/>
      <c r="T583"/>
      <c r="U583"/>
      <c r="V583"/>
      <c r="W583"/>
      <c r="X583"/>
      <c r="Y583"/>
      <c r="Z583"/>
      <c r="AA583"/>
    </row>
    <row r="584" spans="1:27">
      <c r="A584"/>
      <c r="B584"/>
      <c r="C584"/>
      <c r="D584"/>
      <c r="F584"/>
      <c r="Q584"/>
      <c r="R584"/>
      <c r="S584"/>
      <c r="T584"/>
      <c r="U584"/>
      <c r="V584"/>
      <c r="W584"/>
      <c r="X584"/>
      <c r="Y584"/>
      <c r="Z584"/>
      <c r="AA584"/>
    </row>
    <row r="585" spans="1:27">
      <c r="A585"/>
      <c r="B585"/>
      <c r="C585"/>
      <c r="D585"/>
      <c r="F585"/>
      <c r="Q585"/>
      <c r="R585"/>
      <c r="S585"/>
      <c r="T585"/>
      <c r="U585"/>
      <c r="V585"/>
      <c r="W585"/>
      <c r="X585"/>
      <c r="Y585"/>
      <c r="Z585"/>
      <c r="AA585"/>
    </row>
    <row r="586" spans="1:27">
      <c r="A586"/>
      <c r="B586"/>
      <c r="C586"/>
      <c r="D586"/>
      <c r="F586"/>
      <c r="Q586"/>
      <c r="R586"/>
      <c r="S586"/>
      <c r="T586"/>
      <c r="U586"/>
      <c r="V586"/>
      <c r="W586"/>
      <c r="X586"/>
      <c r="Y586"/>
      <c r="Z586"/>
      <c r="AA586"/>
    </row>
    <row r="587" spans="1:27">
      <c r="A587"/>
      <c r="B587"/>
      <c r="C587"/>
      <c r="D587"/>
      <c r="F587"/>
      <c r="Q587"/>
      <c r="R587"/>
      <c r="S587"/>
      <c r="T587"/>
      <c r="U587"/>
      <c r="V587"/>
      <c r="W587"/>
      <c r="X587"/>
      <c r="Y587"/>
      <c r="Z587"/>
      <c r="AA587"/>
    </row>
    <row r="588" spans="1:27">
      <c r="A588"/>
      <c r="B588"/>
      <c r="C588"/>
      <c r="D588"/>
      <c r="F588"/>
      <c r="Q588"/>
      <c r="R588"/>
      <c r="S588"/>
      <c r="T588"/>
      <c r="U588"/>
      <c r="V588"/>
      <c r="W588"/>
      <c r="X588"/>
      <c r="Y588"/>
      <c r="Z588"/>
      <c r="AA588"/>
    </row>
    <row r="589" spans="1:27">
      <c r="A589"/>
      <c r="B589"/>
      <c r="C589"/>
      <c r="D589"/>
      <c r="F589"/>
      <c r="Q589"/>
      <c r="R589"/>
      <c r="S589"/>
      <c r="T589"/>
      <c r="U589"/>
      <c r="V589"/>
      <c r="W589"/>
      <c r="X589"/>
      <c r="Y589"/>
      <c r="Z589"/>
      <c r="AA589"/>
    </row>
    <row r="590" spans="1:27">
      <c r="A590"/>
      <c r="B590"/>
      <c r="C590"/>
      <c r="D590"/>
      <c r="F590"/>
      <c r="Q590"/>
      <c r="R590"/>
      <c r="S590"/>
      <c r="T590"/>
      <c r="U590"/>
      <c r="V590"/>
      <c r="W590"/>
      <c r="X590"/>
      <c r="Y590"/>
      <c r="Z590"/>
      <c r="AA590"/>
    </row>
    <row r="591" spans="1:27">
      <c r="A591"/>
      <c r="B591"/>
      <c r="C591"/>
      <c r="D591"/>
      <c r="F591"/>
      <c r="Q591"/>
      <c r="R591"/>
      <c r="S591"/>
      <c r="T591"/>
      <c r="U591"/>
      <c r="V591"/>
      <c r="W591"/>
      <c r="X591"/>
      <c r="Y591"/>
      <c r="Z591"/>
      <c r="AA591"/>
    </row>
    <row r="592" spans="1:27">
      <c r="A592"/>
      <c r="B592"/>
      <c r="C592"/>
      <c r="D592"/>
      <c r="F592"/>
      <c r="Q592"/>
      <c r="R592"/>
      <c r="S592"/>
      <c r="T592"/>
      <c r="U592"/>
      <c r="V592"/>
      <c r="W592"/>
      <c r="X592"/>
      <c r="Y592"/>
      <c r="Z592"/>
      <c r="AA592"/>
    </row>
    <row r="593" spans="1:27">
      <c r="A593"/>
      <c r="B593"/>
      <c r="C593"/>
      <c r="D593"/>
      <c r="F593"/>
      <c r="Q593"/>
      <c r="R593"/>
      <c r="S593"/>
      <c r="T593"/>
      <c r="U593"/>
      <c r="V593"/>
      <c r="W593"/>
      <c r="X593"/>
      <c r="Y593"/>
      <c r="Z593"/>
      <c r="AA593"/>
    </row>
    <row r="594" spans="1:27">
      <c r="A594"/>
      <c r="B594"/>
      <c r="C594"/>
      <c r="D594"/>
      <c r="F594"/>
      <c r="Q594"/>
      <c r="R594"/>
      <c r="S594"/>
      <c r="T594"/>
      <c r="U594"/>
      <c r="V594"/>
      <c r="W594"/>
      <c r="X594"/>
      <c r="Y594"/>
      <c r="Z594"/>
      <c r="AA594"/>
    </row>
    <row r="595" spans="1:27">
      <c r="A595"/>
      <c r="B595"/>
      <c r="C595"/>
      <c r="D595"/>
      <c r="F595"/>
      <c r="Q595"/>
      <c r="R595"/>
      <c r="S595"/>
      <c r="T595"/>
      <c r="U595"/>
      <c r="V595"/>
      <c r="W595"/>
      <c r="X595"/>
      <c r="Y595"/>
      <c r="Z595"/>
      <c r="AA595"/>
    </row>
    <row r="596" spans="1:27">
      <c r="A596"/>
      <c r="B596"/>
      <c r="C596"/>
      <c r="D596"/>
      <c r="F596"/>
      <c r="Q596"/>
      <c r="R596"/>
      <c r="S596"/>
      <c r="T596"/>
      <c r="U596"/>
      <c r="V596"/>
      <c r="W596"/>
      <c r="X596"/>
      <c r="Y596"/>
      <c r="Z596"/>
      <c r="AA596"/>
    </row>
    <row r="597" spans="1:27">
      <c r="A597"/>
      <c r="B597"/>
      <c r="C597"/>
      <c r="D597"/>
      <c r="F597"/>
      <c r="Q597"/>
      <c r="R597"/>
      <c r="S597"/>
      <c r="T597"/>
      <c r="U597"/>
      <c r="V597"/>
      <c r="W597"/>
      <c r="X597"/>
      <c r="Y597"/>
      <c r="Z597"/>
      <c r="AA597"/>
    </row>
    <row r="598" spans="1:27">
      <c r="A598"/>
      <c r="B598"/>
      <c r="C598"/>
      <c r="D598"/>
      <c r="F598"/>
      <c r="Q598"/>
      <c r="R598"/>
      <c r="S598"/>
      <c r="T598"/>
      <c r="U598"/>
      <c r="V598"/>
      <c r="W598"/>
      <c r="X598"/>
      <c r="Y598"/>
      <c r="Z598"/>
      <c r="AA598"/>
    </row>
    <row r="599" spans="1:27">
      <c r="A599"/>
      <c r="B599"/>
      <c r="C599"/>
      <c r="D599"/>
      <c r="F599"/>
      <c r="Q599"/>
      <c r="R599"/>
      <c r="S599"/>
      <c r="T599"/>
      <c r="U599"/>
      <c r="V599"/>
      <c r="W599"/>
      <c r="X599"/>
      <c r="Y599"/>
      <c r="Z599"/>
      <c r="AA599"/>
    </row>
    <row r="600" spans="1:27">
      <c r="A600"/>
      <c r="B600"/>
      <c r="C600"/>
      <c r="D600"/>
      <c r="F600"/>
      <c r="Q600"/>
      <c r="R600"/>
      <c r="S600"/>
      <c r="T600"/>
      <c r="U600"/>
      <c r="V600"/>
      <c r="W600"/>
      <c r="X600"/>
      <c r="Y600"/>
      <c r="Z600"/>
      <c r="AA600"/>
    </row>
    <row r="601" spans="1:27">
      <c r="A601"/>
      <c r="B601"/>
      <c r="C601"/>
      <c r="D601"/>
      <c r="F601"/>
      <c r="Q601"/>
      <c r="R601"/>
      <c r="S601"/>
      <c r="T601"/>
      <c r="U601"/>
      <c r="V601"/>
      <c r="W601"/>
      <c r="X601"/>
      <c r="Y601"/>
      <c r="Z601"/>
      <c r="AA601"/>
    </row>
    <row r="602" spans="1:27">
      <c r="A602"/>
      <c r="B602"/>
      <c r="C602"/>
      <c r="D602"/>
      <c r="F602"/>
      <c r="Q602"/>
      <c r="R602"/>
      <c r="S602"/>
      <c r="T602"/>
      <c r="U602"/>
      <c r="V602"/>
      <c r="W602"/>
      <c r="X602"/>
      <c r="Y602"/>
      <c r="Z602"/>
      <c r="AA602"/>
    </row>
    <row r="603" spans="1:27">
      <c r="A603"/>
      <c r="B603"/>
      <c r="C603"/>
      <c r="D603"/>
      <c r="F603"/>
      <c r="Q603"/>
      <c r="R603"/>
      <c r="S603"/>
      <c r="T603"/>
      <c r="U603"/>
      <c r="V603"/>
      <c r="W603"/>
      <c r="X603"/>
      <c r="Y603"/>
      <c r="Z603"/>
      <c r="AA603"/>
    </row>
    <row r="604" spans="1:27">
      <c r="A604"/>
      <c r="B604"/>
      <c r="C604"/>
      <c r="D604"/>
      <c r="F604"/>
      <c r="Q604"/>
      <c r="R604"/>
      <c r="S604"/>
      <c r="T604"/>
      <c r="U604"/>
      <c r="V604"/>
      <c r="W604"/>
      <c r="X604"/>
      <c r="Y604"/>
      <c r="Z604"/>
      <c r="AA604"/>
    </row>
    <row r="605" spans="1:27">
      <c r="A605"/>
      <c r="B605"/>
      <c r="C605"/>
      <c r="D605"/>
      <c r="F605"/>
      <c r="Q605"/>
      <c r="R605"/>
      <c r="S605"/>
      <c r="T605"/>
      <c r="U605"/>
      <c r="V605"/>
      <c r="W605"/>
      <c r="X605"/>
      <c r="Y605"/>
      <c r="Z605"/>
      <c r="AA605"/>
    </row>
    <row r="606" spans="1:27">
      <c r="A606"/>
      <c r="B606"/>
      <c r="C606"/>
      <c r="D606"/>
      <c r="F606"/>
      <c r="Q606"/>
      <c r="R606"/>
      <c r="S606"/>
      <c r="T606"/>
      <c r="U606"/>
      <c r="V606"/>
      <c r="W606"/>
      <c r="X606"/>
      <c r="Y606"/>
      <c r="Z606"/>
      <c r="AA606"/>
    </row>
    <row r="607" spans="1:27">
      <c r="A607"/>
      <c r="B607"/>
      <c r="C607"/>
      <c r="D607"/>
      <c r="F607"/>
      <c r="Q607"/>
      <c r="R607"/>
      <c r="S607"/>
      <c r="T607"/>
      <c r="U607"/>
      <c r="V607"/>
      <c r="W607"/>
      <c r="X607"/>
      <c r="Y607"/>
      <c r="Z607"/>
      <c r="AA607"/>
    </row>
    <row r="608" spans="1:27">
      <c r="A608"/>
      <c r="B608"/>
      <c r="C608"/>
      <c r="D608"/>
      <c r="F608"/>
      <c r="Q608"/>
      <c r="R608"/>
      <c r="S608"/>
      <c r="T608"/>
      <c r="U608"/>
      <c r="V608"/>
      <c r="W608"/>
      <c r="X608"/>
      <c r="Y608"/>
      <c r="Z608"/>
      <c r="AA608"/>
    </row>
    <row r="609" spans="1:27">
      <c r="A609"/>
      <c r="B609"/>
      <c r="C609"/>
      <c r="D609"/>
      <c r="F609"/>
      <c r="Q609"/>
      <c r="R609"/>
      <c r="S609"/>
      <c r="T609"/>
      <c r="U609"/>
      <c r="V609"/>
      <c r="W609"/>
      <c r="X609"/>
      <c r="Y609"/>
      <c r="Z609"/>
      <c r="AA609"/>
    </row>
    <row r="610" spans="1:27">
      <c r="A610"/>
      <c r="B610"/>
      <c r="C610"/>
      <c r="D610"/>
      <c r="F610"/>
      <c r="Q610"/>
      <c r="R610"/>
      <c r="S610"/>
      <c r="T610"/>
      <c r="U610"/>
      <c r="V610"/>
      <c r="W610"/>
      <c r="X610"/>
      <c r="Y610"/>
      <c r="Z610"/>
      <c r="AA610"/>
    </row>
    <row r="611" spans="1:27">
      <c r="A611"/>
      <c r="B611"/>
      <c r="C611"/>
      <c r="D611"/>
      <c r="F611"/>
      <c r="Q611"/>
      <c r="R611"/>
      <c r="S611"/>
      <c r="T611"/>
      <c r="U611"/>
      <c r="V611"/>
      <c r="W611"/>
      <c r="X611"/>
      <c r="Y611"/>
      <c r="Z611"/>
      <c r="AA611"/>
    </row>
    <row r="612" spans="1:27">
      <c r="A612"/>
      <c r="B612"/>
      <c r="C612"/>
      <c r="D612"/>
      <c r="F612"/>
      <c r="Q612"/>
      <c r="R612"/>
      <c r="S612"/>
      <c r="T612"/>
      <c r="U612"/>
      <c r="V612"/>
      <c r="W612"/>
      <c r="X612"/>
      <c r="Y612"/>
      <c r="Z612"/>
      <c r="AA612"/>
    </row>
    <row r="613" spans="1:27">
      <c r="A613"/>
      <c r="B613"/>
      <c r="C613"/>
      <c r="D613"/>
      <c r="F613"/>
      <c r="Q613"/>
      <c r="R613"/>
      <c r="S613"/>
      <c r="T613"/>
      <c r="U613"/>
      <c r="V613"/>
      <c r="W613"/>
      <c r="X613"/>
      <c r="Y613"/>
      <c r="Z613"/>
      <c r="AA613"/>
    </row>
    <row r="614" spans="1:27">
      <c r="A614"/>
      <c r="B614"/>
      <c r="C614"/>
      <c r="D614"/>
      <c r="F614"/>
      <c r="Q614"/>
      <c r="R614"/>
      <c r="S614"/>
      <c r="T614"/>
      <c r="U614"/>
      <c r="V614"/>
      <c r="W614"/>
      <c r="X614"/>
      <c r="Y614"/>
      <c r="Z614"/>
      <c r="AA614"/>
    </row>
    <row r="615" spans="1:27">
      <c r="A615"/>
      <c r="B615"/>
      <c r="C615"/>
      <c r="D615"/>
      <c r="F615"/>
      <c r="Q615"/>
      <c r="R615"/>
      <c r="S615"/>
      <c r="T615"/>
      <c r="U615"/>
      <c r="V615"/>
      <c r="W615"/>
      <c r="X615"/>
      <c r="Y615"/>
      <c r="Z615"/>
      <c r="AA615"/>
    </row>
    <row r="616" spans="1:27">
      <c r="A616"/>
      <c r="B616"/>
      <c r="C616"/>
      <c r="D616"/>
      <c r="F616"/>
      <c r="Q616"/>
      <c r="R616"/>
      <c r="S616"/>
      <c r="T616"/>
      <c r="U616"/>
      <c r="V616"/>
      <c r="W616"/>
      <c r="X616"/>
      <c r="Y616"/>
      <c r="Z616"/>
      <c r="AA616"/>
    </row>
    <row r="617" spans="1:27">
      <c r="A617"/>
      <c r="B617"/>
      <c r="C617"/>
      <c r="D617"/>
      <c r="F617"/>
      <c r="Q617"/>
      <c r="R617"/>
      <c r="S617"/>
      <c r="T617"/>
      <c r="U617"/>
      <c r="V617"/>
      <c r="W617"/>
      <c r="X617"/>
      <c r="Y617"/>
      <c r="Z617"/>
      <c r="AA617"/>
    </row>
    <row r="618" spans="1:27">
      <c r="A618"/>
      <c r="B618"/>
      <c r="C618"/>
      <c r="D618"/>
      <c r="F618"/>
      <c r="Q618"/>
      <c r="R618"/>
      <c r="S618"/>
      <c r="T618"/>
      <c r="U618"/>
      <c r="V618"/>
      <c r="W618"/>
      <c r="X618"/>
      <c r="Y618"/>
      <c r="Z618"/>
      <c r="AA618"/>
    </row>
    <row r="619" spans="1:27">
      <c r="A619"/>
      <c r="B619"/>
      <c r="C619"/>
      <c r="D619"/>
      <c r="F619"/>
      <c r="Q619"/>
      <c r="R619"/>
      <c r="S619"/>
      <c r="T619"/>
      <c r="U619"/>
      <c r="V619"/>
      <c r="W619"/>
      <c r="X619"/>
      <c r="Y619"/>
      <c r="Z619"/>
      <c r="AA619"/>
    </row>
    <row r="620" spans="1:27">
      <c r="A620"/>
      <c r="B620"/>
      <c r="C620"/>
      <c r="D620"/>
      <c r="F620"/>
      <c r="Q620"/>
      <c r="R620"/>
      <c r="S620"/>
      <c r="T620"/>
      <c r="U620"/>
      <c r="V620"/>
      <c r="W620"/>
      <c r="X620"/>
      <c r="Y620"/>
      <c r="Z620"/>
      <c r="AA620"/>
    </row>
    <row r="621" spans="1:27">
      <c r="A621"/>
      <c r="B621"/>
      <c r="C621"/>
      <c r="D621"/>
      <c r="F621"/>
      <c r="Q621"/>
      <c r="R621"/>
      <c r="S621"/>
      <c r="T621"/>
      <c r="U621"/>
      <c r="V621"/>
      <c r="W621"/>
      <c r="X621"/>
      <c r="Y621"/>
      <c r="Z621"/>
      <c r="AA621"/>
    </row>
    <row r="622" spans="1:27">
      <c r="A622"/>
      <c r="B622"/>
      <c r="C622"/>
      <c r="D622"/>
      <c r="F622"/>
      <c r="Q622"/>
      <c r="R622"/>
      <c r="S622"/>
      <c r="T622"/>
      <c r="U622"/>
      <c r="V622"/>
      <c r="W622"/>
      <c r="X622"/>
      <c r="Y622"/>
      <c r="Z622"/>
      <c r="AA622"/>
    </row>
    <row r="623" spans="1:27">
      <c r="A623"/>
      <c r="B623"/>
      <c r="C623"/>
      <c r="D623"/>
      <c r="F623"/>
      <c r="Q623"/>
      <c r="R623"/>
      <c r="S623"/>
      <c r="T623"/>
      <c r="U623"/>
      <c r="V623"/>
      <c r="W623"/>
      <c r="X623"/>
      <c r="Y623"/>
      <c r="Z623"/>
      <c r="AA623"/>
    </row>
    <row r="624" spans="1:27">
      <c r="A624"/>
      <c r="B624"/>
      <c r="C624"/>
      <c r="D624"/>
      <c r="F624"/>
      <c r="Q624"/>
      <c r="R624"/>
      <c r="S624"/>
      <c r="T624"/>
      <c r="U624"/>
      <c r="V624"/>
      <c r="W624"/>
      <c r="X624"/>
      <c r="Y624"/>
      <c r="Z624"/>
      <c r="AA624"/>
    </row>
    <row r="625" spans="1:27">
      <c r="A625"/>
      <c r="B625"/>
      <c r="C625"/>
      <c r="D625"/>
      <c r="F625"/>
      <c r="Q625"/>
      <c r="R625"/>
      <c r="S625"/>
      <c r="T625"/>
      <c r="U625"/>
      <c r="V625"/>
      <c r="W625"/>
      <c r="X625"/>
      <c r="Y625"/>
      <c r="Z625"/>
      <c r="AA625"/>
    </row>
    <row r="626" spans="1:27">
      <c r="A626"/>
      <c r="B626"/>
      <c r="C626"/>
      <c r="D626"/>
      <c r="F626"/>
      <c r="Q626"/>
      <c r="R626"/>
      <c r="S626"/>
      <c r="T626"/>
      <c r="U626"/>
      <c r="V626"/>
      <c r="W626"/>
      <c r="X626"/>
      <c r="Y626"/>
      <c r="Z626"/>
      <c r="AA626"/>
    </row>
    <row r="627" spans="1:27">
      <c r="A627"/>
      <c r="B627"/>
      <c r="C627"/>
      <c r="D627"/>
      <c r="F627"/>
      <c r="Q627"/>
      <c r="R627"/>
      <c r="S627"/>
      <c r="T627"/>
      <c r="U627"/>
      <c r="V627"/>
      <c r="W627"/>
      <c r="X627"/>
      <c r="Y627"/>
      <c r="Z627"/>
      <c r="AA627"/>
    </row>
    <row r="628" spans="1:27">
      <c r="A628"/>
      <c r="B628"/>
      <c r="C628"/>
      <c r="D628"/>
      <c r="F628"/>
      <c r="Q628"/>
      <c r="R628"/>
      <c r="S628"/>
      <c r="T628"/>
      <c r="U628"/>
      <c r="V628"/>
      <c r="W628"/>
      <c r="X628"/>
      <c r="Y628"/>
      <c r="Z628"/>
      <c r="AA628"/>
    </row>
    <row r="629" spans="1:27">
      <c r="A629"/>
      <c r="B629"/>
      <c r="C629"/>
      <c r="D629"/>
      <c r="F629"/>
      <c r="Q629"/>
      <c r="R629"/>
      <c r="S629"/>
      <c r="T629"/>
      <c r="U629"/>
      <c r="V629"/>
      <c r="W629"/>
      <c r="X629"/>
      <c r="Y629"/>
      <c r="Z629"/>
      <c r="AA629"/>
    </row>
    <row r="630" spans="1:27">
      <c r="A630"/>
      <c r="B630"/>
      <c r="C630"/>
      <c r="D630"/>
      <c r="F630"/>
      <c r="Q630"/>
      <c r="R630"/>
      <c r="S630"/>
      <c r="T630"/>
      <c r="U630"/>
      <c r="V630"/>
      <c r="W630"/>
      <c r="X630"/>
      <c r="Y630"/>
      <c r="Z630"/>
      <c r="AA630"/>
    </row>
    <row r="631" spans="1:27">
      <c r="A631"/>
      <c r="B631"/>
      <c r="C631"/>
      <c r="D631"/>
      <c r="F631"/>
      <c r="Q631"/>
      <c r="R631"/>
      <c r="S631"/>
      <c r="T631"/>
      <c r="U631"/>
      <c r="V631"/>
      <c r="W631"/>
      <c r="X631"/>
      <c r="Y631"/>
      <c r="Z631"/>
      <c r="AA631"/>
    </row>
    <row r="632" spans="1:27">
      <c r="A632"/>
      <c r="B632"/>
      <c r="C632"/>
      <c r="D632"/>
      <c r="F632"/>
      <c r="Q632"/>
      <c r="R632"/>
      <c r="S632"/>
      <c r="T632"/>
      <c r="U632"/>
      <c r="V632"/>
      <c r="W632"/>
      <c r="X632"/>
      <c r="Y632"/>
      <c r="Z632"/>
      <c r="AA632"/>
    </row>
    <row r="633" spans="1:27">
      <c r="A633"/>
      <c r="B633"/>
      <c r="C633"/>
      <c r="D633"/>
      <c r="F633"/>
      <c r="Q633"/>
      <c r="R633"/>
      <c r="S633"/>
      <c r="T633"/>
      <c r="U633"/>
      <c r="V633"/>
      <c r="W633"/>
      <c r="X633"/>
      <c r="Y633"/>
      <c r="Z633"/>
      <c r="AA633"/>
    </row>
    <row r="634" spans="1:27">
      <c r="A634"/>
      <c r="B634"/>
      <c r="C634"/>
      <c r="D634"/>
      <c r="F634"/>
      <c r="Q634"/>
      <c r="R634"/>
      <c r="S634"/>
      <c r="T634"/>
      <c r="U634"/>
      <c r="V634"/>
      <c r="W634"/>
      <c r="X634"/>
      <c r="Y634"/>
      <c r="Z634"/>
      <c r="AA634"/>
    </row>
    <row r="635" spans="1:27">
      <c r="A635"/>
      <c r="B635"/>
      <c r="C635"/>
      <c r="D635"/>
      <c r="F635"/>
      <c r="Q635"/>
      <c r="R635"/>
      <c r="S635"/>
      <c r="T635"/>
      <c r="U635"/>
      <c r="V635"/>
      <c r="W635"/>
      <c r="X635"/>
      <c r="Y635"/>
      <c r="Z635"/>
      <c r="AA635"/>
    </row>
    <row r="636" spans="1:27">
      <c r="A636"/>
      <c r="B636"/>
      <c r="C636"/>
      <c r="D636"/>
      <c r="F636"/>
      <c r="Q636"/>
      <c r="R636"/>
      <c r="S636"/>
      <c r="T636"/>
      <c r="U636"/>
      <c r="V636"/>
      <c r="W636"/>
      <c r="X636"/>
      <c r="Y636"/>
      <c r="Z636"/>
      <c r="AA636"/>
    </row>
    <row r="637" spans="1:27">
      <c r="A637"/>
      <c r="B637"/>
      <c r="C637"/>
      <c r="D637"/>
      <c r="F637"/>
      <c r="Q637"/>
      <c r="R637"/>
      <c r="S637"/>
      <c r="T637"/>
      <c r="U637"/>
      <c r="V637"/>
      <c r="W637"/>
      <c r="X637"/>
      <c r="Y637"/>
      <c r="Z637"/>
      <c r="AA637"/>
    </row>
    <row r="638" spans="1:27">
      <c r="A638"/>
      <c r="B638"/>
      <c r="C638"/>
      <c r="D638"/>
      <c r="F638"/>
      <c r="Q638"/>
      <c r="R638"/>
      <c r="S638"/>
      <c r="T638"/>
      <c r="U638"/>
      <c r="V638"/>
      <c r="W638"/>
      <c r="X638"/>
      <c r="Y638"/>
      <c r="Z638"/>
      <c r="AA638"/>
    </row>
    <row r="639" spans="1:27">
      <c r="A639"/>
      <c r="B639"/>
      <c r="C639"/>
      <c r="D639"/>
      <c r="F639"/>
      <c r="Q639"/>
      <c r="R639"/>
      <c r="S639"/>
      <c r="T639"/>
      <c r="U639"/>
      <c r="V639"/>
      <c r="W639"/>
      <c r="X639"/>
      <c r="Y639"/>
      <c r="Z639"/>
      <c r="AA639"/>
    </row>
    <row r="640" spans="1:27">
      <c r="A640"/>
      <c r="B640"/>
      <c r="C640"/>
      <c r="D640"/>
      <c r="F640"/>
      <c r="Q640"/>
      <c r="R640"/>
      <c r="S640"/>
      <c r="T640"/>
      <c r="U640"/>
      <c r="V640"/>
      <c r="W640"/>
      <c r="X640"/>
      <c r="Y640"/>
      <c r="Z640"/>
      <c r="AA640"/>
    </row>
    <row r="641" spans="1:27">
      <c r="A641"/>
      <c r="B641"/>
      <c r="C641"/>
      <c r="D641"/>
      <c r="F641"/>
      <c r="Q641"/>
      <c r="R641"/>
      <c r="S641"/>
      <c r="T641"/>
      <c r="U641"/>
      <c r="V641"/>
      <c r="W641"/>
      <c r="X641"/>
      <c r="Y641"/>
      <c r="Z641"/>
      <c r="AA641"/>
    </row>
    <row r="642" spans="1:27">
      <c r="A642"/>
      <c r="B642"/>
      <c r="C642"/>
      <c r="D642"/>
      <c r="F642"/>
      <c r="Q642"/>
      <c r="R642"/>
      <c r="S642"/>
      <c r="T642"/>
      <c r="U642"/>
      <c r="V642"/>
      <c r="W642"/>
      <c r="X642"/>
      <c r="Y642"/>
      <c r="Z642"/>
      <c r="AA642"/>
    </row>
    <row r="643" spans="1:27">
      <c r="A643"/>
      <c r="B643"/>
      <c r="C643"/>
      <c r="D643"/>
      <c r="F643"/>
      <c r="Q643"/>
      <c r="R643"/>
      <c r="S643"/>
      <c r="T643"/>
      <c r="U643"/>
      <c r="V643"/>
      <c r="W643"/>
      <c r="X643"/>
      <c r="Y643"/>
      <c r="Z643"/>
      <c r="AA643"/>
    </row>
    <row r="644" spans="1:27">
      <c r="A644"/>
      <c r="B644"/>
      <c r="C644"/>
      <c r="D644"/>
      <c r="F644"/>
      <c r="Q644"/>
      <c r="R644"/>
      <c r="S644"/>
      <c r="T644"/>
      <c r="U644"/>
      <c r="V644"/>
      <c r="W644"/>
      <c r="X644"/>
      <c r="Y644"/>
      <c r="Z644"/>
      <c r="AA644"/>
    </row>
    <row r="645" spans="1:27">
      <c r="A645"/>
      <c r="B645"/>
      <c r="C645"/>
      <c r="D645"/>
      <c r="F645"/>
      <c r="Q645"/>
      <c r="R645"/>
      <c r="S645"/>
      <c r="T645"/>
      <c r="U645"/>
      <c r="V645"/>
      <c r="W645"/>
      <c r="X645"/>
      <c r="Y645"/>
      <c r="Z645"/>
      <c r="AA645"/>
    </row>
    <row r="646" spans="1:27">
      <c r="A646"/>
      <c r="B646"/>
      <c r="C646"/>
      <c r="D646"/>
      <c r="F646"/>
      <c r="Q646"/>
      <c r="R646"/>
      <c r="S646"/>
      <c r="T646"/>
      <c r="U646"/>
      <c r="V646"/>
      <c r="W646"/>
      <c r="X646"/>
      <c r="Y646"/>
      <c r="Z646"/>
      <c r="AA646"/>
    </row>
    <row r="647" spans="1:27">
      <c r="A647"/>
      <c r="B647"/>
      <c r="C647"/>
      <c r="D647"/>
      <c r="F647"/>
      <c r="Q647"/>
      <c r="R647"/>
      <c r="S647"/>
      <c r="T647"/>
      <c r="U647"/>
      <c r="V647"/>
      <c r="W647"/>
      <c r="X647"/>
      <c r="Y647"/>
      <c r="Z647"/>
      <c r="AA647"/>
    </row>
    <row r="648" spans="1:27">
      <c r="A648"/>
      <c r="B648"/>
      <c r="C648"/>
      <c r="D648"/>
      <c r="F648"/>
      <c r="Q648"/>
      <c r="R648"/>
      <c r="S648"/>
      <c r="T648"/>
      <c r="U648"/>
      <c r="V648"/>
      <c r="W648"/>
      <c r="X648"/>
      <c r="Y648"/>
      <c r="Z648"/>
      <c r="AA648"/>
    </row>
    <row r="649" spans="1:27">
      <c r="A649"/>
      <c r="B649"/>
      <c r="C649"/>
      <c r="D649"/>
      <c r="F649"/>
      <c r="Q649"/>
      <c r="R649"/>
      <c r="S649"/>
      <c r="T649"/>
      <c r="U649"/>
      <c r="V649"/>
      <c r="W649"/>
      <c r="X649"/>
      <c r="Y649"/>
      <c r="Z649"/>
      <c r="AA649"/>
    </row>
    <row r="650" spans="1:27">
      <c r="A650"/>
      <c r="B650"/>
      <c r="C650"/>
      <c r="D650"/>
      <c r="F650"/>
      <c r="Q650"/>
      <c r="R650"/>
      <c r="S650"/>
      <c r="T650"/>
      <c r="U650"/>
      <c r="V650"/>
      <c r="W650"/>
      <c r="X650"/>
      <c r="Y650"/>
      <c r="Z650"/>
      <c r="AA650"/>
    </row>
    <row r="651" spans="1:27">
      <c r="A651"/>
      <c r="B651"/>
      <c r="C651"/>
      <c r="D651"/>
      <c r="F651"/>
      <c r="Q651"/>
      <c r="R651"/>
      <c r="S651"/>
      <c r="T651"/>
      <c r="U651"/>
      <c r="V651"/>
      <c r="W651"/>
      <c r="X651"/>
      <c r="Y651"/>
      <c r="Z651"/>
      <c r="AA651"/>
    </row>
    <row r="652" spans="1:27">
      <c r="A652"/>
      <c r="B652"/>
      <c r="C652"/>
      <c r="D652"/>
      <c r="F652"/>
      <c r="Q652"/>
      <c r="R652"/>
      <c r="S652"/>
      <c r="T652"/>
      <c r="U652"/>
      <c r="V652"/>
      <c r="W652"/>
      <c r="X652"/>
      <c r="Y652"/>
      <c r="Z652"/>
      <c r="AA652"/>
    </row>
    <row r="653" spans="1:27">
      <c r="A653"/>
      <c r="B653"/>
      <c r="C653"/>
      <c r="D653"/>
      <c r="F653"/>
      <c r="Q653"/>
      <c r="R653"/>
      <c r="S653"/>
      <c r="T653"/>
      <c r="U653"/>
      <c r="V653"/>
      <c r="W653"/>
      <c r="X653"/>
      <c r="Y653"/>
      <c r="Z653"/>
      <c r="AA653"/>
    </row>
    <row r="654" spans="1:27">
      <c r="A654"/>
      <c r="B654"/>
      <c r="C654"/>
      <c r="D654"/>
      <c r="F654"/>
      <c r="Q654"/>
      <c r="R654"/>
      <c r="S654"/>
      <c r="T654"/>
      <c r="U654"/>
      <c r="V654"/>
      <c r="W654"/>
      <c r="X654"/>
      <c r="Y654"/>
      <c r="Z654"/>
      <c r="AA654"/>
    </row>
    <row r="655" spans="1:27">
      <c r="A655"/>
      <c r="B655"/>
      <c r="C655"/>
      <c r="D655"/>
      <c r="F655"/>
      <c r="Q655"/>
      <c r="R655"/>
      <c r="S655"/>
      <c r="T655"/>
      <c r="U655"/>
      <c r="V655"/>
      <c r="W655"/>
      <c r="X655"/>
      <c r="Y655"/>
      <c r="Z655"/>
      <c r="AA655"/>
    </row>
    <row r="656" spans="1:27">
      <c r="A656"/>
      <c r="B656"/>
      <c r="C656"/>
      <c r="D656"/>
      <c r="F656"/>
      <c r="Q656"/>
      <c r="R656"/>
      <c r="S656"/>
      <c r="T656"/>
      <c r="U656"/>
      <c r="V656"/>
      <c r="W656"/>
      <c r="X656"/>
      <c r="Y656"/>
      <c r="Z656"/>
      <c r="AA656"/>
    </row>
    <row r="657" spans="1:27">
      <c r="A657"/>
      <c r="B657"/>
      <c r="C657"/>
      <c r="D657"/>
      <c r="F657"/>
      <c r="Q657"/>
      <c r="R657"/>
      <c r="S657"/>
      <c r="T657"/>
      <c r="U657"/>
      <c r="V657"/>
      <c r="W657"/>
      <c r="X657"/>
      <c r="Y657"/>
      <c r="Z657"/>
      <c r="AA657"/>
    </row>
    <row r="658" spans="1:27">
      <c r="A658"/>
      <c r="B658"/>
      <c r="C658"/>
      <c r="D658"/>
      <c r="F658"/>
      <c r="Q658"/>
      <c r="R658"/>
      <c r="S658"/>
      <c r="T658"/>
      <c r="U658"/>
      <c r="V658"/>
      <c r="W658"/>
      <c r="X658"/>
      <c r="Y658"/>
      <c r="Z658"/>
      <c r="AA658"/>
    </row>
    <row r="659" spans="1:27">
      <c r="A659"/>
      <c r="B659"/>
      <c r="C659"/>
      <c r="D659"/>
      <c r="F659"/>
      <c r="Q659"/>
      <c r="R659"/>
      <c r="S659"/>
      <c r="T659"/>
      <c r="U659"/>
      <c r="V659"/>
      <c r="W659"/>
      <c r="X659"/>
      <c r="Y659"/>
      <c r="Z659"/>
      <c r="AA659"/>
    </row>
    <row r="660" spans="1:27">
      <c r="A660"/>
      <c r="B660"/>
      <c r="C660"/>
      <c r="D660"/>
      <c r="F660"/>
      <c r="Q660"/>
      <c r="R660"/>
      <c r="S660"/>
      <c r="T660"/>
      <c r="U660"/>
      <c r="V660"/>
      <c r="W660"/>
      <c r="X660"/>
      <c r="Y660"/>
      <c r="Z660"/>
      <c r="AA660"/>
    </row>
    <row r="661" spans="1:27">
      <c r="A661"/>
      <c r="B661"/>
      <c r="C661"/>
      <c r="D661"/>
      <c r="F661"/>
      <c r="Q661"/>
      <c r="R661"/>
      <c r="S661"/>
      <c r="T661"/>
      <c r="U661"/>
      <c r="V661"/>
      <c r="W661"/>
      <c r="X661"/>
      <c r="Y661"/>
      <c r="Z661"/>
      <c r="AA661"/>
    </row>
    <row r="662" spans="1:27">
      <c r="A662"/>
      <c r="B662"/>
      <c r="C662"/>
      <c r="D662"/>
      <c r="F662"/>
      <c r="Q662"/>
      <c r="R662"/>
      <c r="S662"/>
      <c r="T662"/>
      <c r="U662"/>
      <c r="V662"/>
      <c r="W662"/>
      <c r="X662"/>
      <c r="Y662"/>
      <c r="Z662"/>
      <c r="AA662"/>
    </row>
    <row r="663" spans="1:27">
      <c r="A663"/>
      <c r="B663"/>
      <c r="C663"/>
      <c r="D663"/>
      <c r="F663"/>
      <c r="Q663"/>
      <c r="R663"/>
      <c r="S663"/>
      <c r="T663"/>
      <c r="U663"/>
      <c r="V663"/>
      <c r="W663"/>
      <c r="X663"/>
      <c r="Y663"/>
      <c r="Z663"/>
      <c r="AA663"/>
    </row>
    <row r="664" spans="1:27">
      <c r="A664"/>
      <c r="B664"/>
      <c r="C664"/>
      <c r="D664"/>
      <c r="F664"/>
      <c r="Q664"/>
      <c r="R664"/>
      <c r="S664"/>
      <c r="T664"/>
      <c r="U664"/>
      <c r="V664"/>
      <c r="W664"/>
      <c r="X664"/>
      <c r="Y664"/>
      <c r="Z664"/>
      <c r="AA664"/>
    </row>
    <row r="665" spans="1:27">
      <c r="A665"/>
      <c r="B665"/>
      <c r="C665"/>
      <c r="D665"/>
      <c r="F665"/>
      <c r="Q665"/>
      <c r="R665"/>
      <c r="S665"/>
      <c r="T665"/>
      <c r="U665"/>
      <c r="V665"/>
      <c r="W665"/>
      <c r="X665"/>
      <c r="Y665"/>
      <c r="Z665"/>
      <c r="AA665"/>
    </row>
    <row r="666" spans="1:27">
      <c r="A666"/>
      <c r="B666"/>
      <c r="C666"/>
      <c r="D666"/>
      <c r="F666"/>
      <c r="Q666"/>
      <c r="R666"/>
      <c r="S666"/>
      <c r="T666"/>
      <c r="U666"/>
      <c r="V666"/>
      <c r="W666"/>
      <c r="X666"/>
      <c r="Y666"/>
      <c r="Z666"/>
      <c r="AA666"/>
    </row>
    <row r="667" spans="1:27">
      <c r="A667"/>
      <c r="B667"/>
      <c r="C667"/>
      <c r="D667"/>
      <c r="F667"/>
      <c r="Q667"/>
      <c r="R667"/>
      <c r="S667"/>
      <c r="T667"/>
      <c r="U667"/>
      <c r="V667"/>
      <c r="W667"/>
      <c r="X667"/>
      <c r="Y667"/>
      <c r="Z667"/>
      <c r="AA667"/>
    </row>
    <row r="668" spans="1:27">
      <c r="A668"/>
      <c r="B668"/>
      <c r="C668"/>
      <c r="D668"/>
      <c r="F668"/>
      <c r="Q668"/>
      <c r="R668"/>
      <c r="S668"/>
      <c r="T668"/>
      <c r="U668"/>
      <c r="V668"/>
      <c r="W668"/>
      <c r="X668"/>
      <c r="Y668"/>
      <c r="Z668"/>
      <c r="AA668"/>
    </row>
    <row r="669" spans="1:27">
      <c r="A669"/>
      <c r="B669"/>
      <c r="C669"/>
      <c r="D669"/>
      <c r="F669"/>
      <c r="Q669"/>
      <c r="R669"/>
      <c r="S669"/>
      <c r="T669"/>
      <c r="U669"/>
      <c r="V669"/>
      <c r="W669"/>
      <c r="X669"/>
      <c r="Y669"/>
      <c r="Z669"/>
      <c r="AA669"/>
    </row>
    <row r="670" spans="1:27">
      <c r="A670"/>
      <c r="B670"/>
      <c r="C670"/>
      <c r="D670"/>
      <c r="F670"/>
      <c r="Q670"/>
      <c r="R670"/>
      <c r="S670"/>
      <c r="T670"/>
      <c r="U670"/>
      <c r="V670"/>
      <c r="W670"/>
      <c r="X670"/>
      <c r="Y670"/>
      <c r="Z670"/>
      <c r="AA670"/>
    </row>
    <row r="671" spans="1:27">
      <c r="A671"/>
      <c r="B671"/>
      <c r="C671"/>
      <c r="D671"/>
      <c r="F671"/>
      <c r="Q671"/>
      <c r="R671"/>
      <c r="S671"/>
      <c r="T671"/>
      <c r="U671"/>
      <c r="V671"/>
      <c r="W671"/>
      <c r="X671"/>
      <c r="Y671"/>
      <c r="Z671"/>
      <c r="AA671"/>
    </row>
    <row r="672" spans="1:27">
      <c r="A672"/>
      <c r="B672"/>
      <c r="C672"/>
      <c r="D672"/>
      <c r="F672"/>
      <c r="Q672"/>
      <c r="R672"/>
      <c r="S672"/>
      <c r="T672"/>
      <c r="U672"/>
      <c r="V672"/>
      <c r="W672"/>
      <c r="X672"/>
      <c r="Y672"/>
      <c r="Z672"/>
      <c r="AA672"/>
    </row>
    <row r="673" spans="1:27">
      <c r="A673"/>
      <c r="B673"/>
      <c r="C673"/>
      <c r="D673"/>
      <c r="F673"/>
      <c r="Q673"/>
      <c r="R673"/>
      <c r="S673"/>
      <c r="T673"/>
      <c r="U673"/>
      <c r="V673"/>
      <c r="W673"/>
      <c r="X673"/>
      <c r="Y673"/>
      <c r="Z673"/>
      <c r="AA673"/>
    </row>
    <row r="674" spans="1:27">
      <c r="A674"/>
      <c r="B674"/>
      <c r="C674"/>
      <c r="D674"/>
      <c r="F674"/>
      <c r="Q674"/>
      <c r="R674"/>
      <c r="S674"/>
      <c r="T674"/>
      <c r="U674"/>
      <c r="V674"/>
      <c r="W674"/>
      <c r="X674"/>
      <c r="Y674"/>
      <c r="Z674"/>
      <c r="AA674"/>
    </row>
    <row r="675" spans="1:27">
      <c r="A675"/>
      <c r="B675"/>
      <c r="C675"/>
      <c r="D675"/>
      <c r="F675"/>
      <c r="Q675"/>
      <c r="R675"/>
      <c r="S675"/>
      <c r="T675"/>
      <c r="U675"/>
      <c r="V675"/>
      <c r="W675"/>
      <c r="X675"/>
      <c r="Y675"/>
      <c r="Z675"/>
      <c r="AA675"/>
    </row>
    <row r="676" spans="1:27">
      <c r="A676"/>
      <c r="B676"/>
      <c r="C676"/>
      <c r="D676"/>
      <c r="F676"/>
      <c r="Q676"/>
      <c r="R676"/>
      <c r="S676"/>
      <c r="T676"/>
      <c r="U676"/>
      <c r="V676"/>
      <c r="W676"/>
      <c r="X676"/>
      <c r="Y676"/>
      <c r="Z676"/>
      <c r="AA676"/>
    </row>
    <row r="677" spans="1:27">
      <c r="A677"/>
      <c r="B677"/>
      <c r="C677"/>
      <c r="D677"/>
      <c r="F677"/>
      <c r="Q677"/>
      <c r="R677"/>
      <c r="S677"/>
      <c r="T677"/>
      <c r="U677"/>
      <c r="V677"/>
      <c r="W677"/>
      <c r="X677"/>
      <c r="Y677"/>
      <c r="Z677"/>
      <c r="AA677"/>
    </row>
    <row r="678" spans="1:27">
      <c r="A678"/>
      <c r="B678"/>
      <c r="C678"/>
      <c r="D678"/>
      <c r="F678"/>
      <c r="Q678"/>
      <c r="R678"/>
      <c r="S678"/>
      <c r="T678"/>
      <c r="U678"/>
      <c r="V678"/>
      <c r="W678"/>
      <c r="X678"/>
      <c r="Y678"/>
      <c r="Z678"/>
      <c r="AA678"/>
    </row>
    <row r="679" spans="1:27">
      <c r="A679"/>
      <c r="B679"/>
      <c r="C679"/>
      <c r="D679"/>
      <c r="F679"/>
      <c r="Q679"/>
      <c r="R679"/>
      <c r="S679"/>
      <c r="T679"/>
      <c r="U679"/>
      <c r="V679"/>
      <c r="W679"/>
      <c r="X679"/>
      <c r="Y679"/>
      <c r="Z679"/>
      <c r="AA679"/>
    </row>
    <row r="680" spans="1:27">
      <c r="A680"/>
      <c r="B680"/>
      <c r="C680"/>
      <c r="D680"/>
      <c r="F680"/>
      <c r="Q680"/>
      <c r="R680"/>
      <c r="S680"/>
      <c r="T680"/>
      <c r="U680"/>
      <c r="V680"/>
      <c r="W680"/>
      <c r="X680"/>
      <c r="Y680"/>
      <c r="Z680"/>
      <c r="AA680"/>
    </row>
    <row r="681" spans="1:27">
      <c r="A681"/>
      <c r="B681"/>
      <c r="C681"/>
      <c r="D681"/>
      <c r="F681"/>
      <c r="Q681"/>
      <c r="R681"/>
      <c r="S681"/>
      <c r="T681"/>
      <c r="U681"/>
      <c r="V681"/>
      <c r="W681"/>
      <c r="X681"/>
      <c r="Y681"/>
      <c r="Z681"/>
      <c r="AA681"/>
    </row>
    <row r="682" spans="1:27">
      <c r="A682"/>
      <c r="B682"/>
      <c r="C682"/>
      <c r="D682"/>
      <c r="F682"/>
      <c r="Q682"/>
      <c r="R682"/>
      <c r="S682"/>
      <c r="T682"/>
      <c r="U682"/>
      <c r="V682"/>
      <c r="W682"/>
      <c r="X682"/>
      <c r="Y682"/>
      <c r="Z682"/>
      <c r="AA682"/>
    </row>
    <row r="683" spans="1:27">
      <c r="A683"/>
      <c r="B683"/>
      <c r="C683"/>
      <c r="D683"/>
      <c r="F683"/>
      <c r="Q683"/>
      <c r="R683"/>
      <c r="S683"/>
      <c r="T683"/>
      <c r="U683"/>
      <c r="V683"/>
      <c r="W683"/>
      <c r="X683"/>
      <c r="Y683"/>
      <c r="Z683"/>
      <c r="AA683"/>
    </row>
    <row r="684" spans="1:27">
      <c r="A684"/>
      <c r="B684"/>
      <c r="C684"/>
      <c r="D684"/>
      <c r="F684"/>
      <c r="Q684"/>
      <c r="R684"/>
      <c r="S684"/>
      <c r="T684"/>
      <c r="U684"/>
      <c r="V684"/>
      <c r="W684"/>
      <c r="X684"/>
      <c r="Y684"/>
      <c r="Z684"/>
      <c r="AA684"/>
    </row>
    <row r="685" spans="1:27">
      <c r="A685"/>
      <c r="B685"/>
      <c r="C685"/>
      <c r="D685"/>
      <c r="F685"/>
      <c r="Q685"/>
      <c r="R685"/>
      <c r="S685"/>
      <c r="T685"/>
      <c r="U685"/>
      <c r="V685"/>
      <c r="W685"/>
      <c r="X685"/>
      <c r="Y685"/>
      <c r="Z685"/>
      <c r="AA685"/>
    </row>
    <row r="686" spans="1:27">
      <c r="A686"/>
      <c r="B686"/>
      <c r="C686"/>
      <c r="D686"/>
      <c r="F686"/>
      <c r="Q686"/>
      <c r="R686"/>
      <c r="S686"/>
      <c r="T686"/>
      <c r="U686"/>
      <c r="V686"/>
      <c r="W686"/>
      <c r="X686"/>
      <c r="Y686"/>
      <c r="Z686"/>
      <c r="AA686"/>
    </row>
    <row r="687" spans="1:27">
      <c r="A687"/>
      <c r="B687"/>
      <c r="C687"/>
      <c r="D687"/>
      <c r="F687"/>
      <c r="Q687"/>
      <c r="R687"/>
      <c r="S687"/>
      <c r="T687"/>
      <c r="U687"/>
      <c r="V687"/>
      <c r="W687"/>
      <c r="X687"/>
      <c r="Y687"/>
      <c r="Z687"/>
      <c r="AA687"/>
    </row>
    <row r="688" spans="1:27">
      <c r="A688"/>
      <c r="B688"/>
      <c r="C688"/>
      <c r="D688"/>
      <c r="F688"/>
      <c r="Q688"/>
      <c r="R688"/>
      <c r="S688"/>
      <c r="T688"/>
      <c r="U688"/>
      <c r="V688"/>
      <c r="W688"/>
      <c r="X688"/>
      <c r="Y688"/>
      <c r="Z688"/>
      <c r="AA688"/>
    </row>
    <row r="689" spans="1:27">
      <c r="A689"/>
      <c r="B689"/>
      <c r="C689"/>
      <c r="D689"/>
      <c r="F689"/>
      <c r="Q689"/>
      <c r="R689"/>
      <c r="S689"/>
      <c r="T689"/>
      <c r="U689"/>
      <c r="V689"/>
      <c r="W689"/>
      <c r="X689"/>
      <c r="Y689"/>
      <c r="Z689"/>
      <c r="AA689"/>
    </row>
    <row r="690" spans="1:27">
      <c r="A690"/>
      <c r="B690"/>
      <c r="C690"/>
      <c r="D690"/>
      <c r="F690"/>
      <c r="Q690"/>
      <c r="R690"/>
      <c r="S690"/>
      <c r="T690"/>
      <c r="U690"/>
      <c r="V690"/>
      <c r="W690"/>
      <c r="X690"/>
      <c r="Y690"/>
      <c r="Z690"/>
      <c r="AA690"/>
    </row>
    <row r="691" spans="1:27">
      <c r="A691"/>
      <c r="B691"/>
      <c r="C691"/>
      <c r="D691"/>
      <c r="F691"/>
      <c r="Q691"/>
      <c r="R691"/>
      <c r="S691"/>
      <c r="T691"/>
      <c r="U691"/>
      <c r="V691"/>
      <c r="W691"/>
      <c r="X691"/>
      <c r="Y691"/>
      <c r="Z691"/>
      <c r="AA691"/>
    </row>
    <row r="692" spans="1:27">
      <c r="A692"/>
      <c r="B692"/>
      <c r="C692"/>
      <c r="D692"/>
      <c r="F692"/>
      <c r="Q692"/>
      <c r="R692"/>
      <c r="S692"/>
      <c r="T692"/>
      <c r="U692"/>
      <c r="V692"/>
      <c r="W692"/>
      <c r="X692"/>
      <c r="Y692"/>
      <c r="Z692"/>
      <c r="AA692"/>
    </row>
    <row r="693" spans="1:27">
      <c r="A693"/>
      <c r="B693"/>
      <c r="C693"/>
      <c r="D693"/>
      <c r="F693"/>
      <c r="Q693"/>
      <c r="R693"/>
      <c r="S693"/>
      <c r="T693"/>
      <c r="U693"/>
      <c r="V693"/>
      <c r="W693"/>
      <c r="X693"/>
      <c r="Y693"/>
      <c r="Z693"/>
      <c r="AA693"/>
    </row>
    <row r="694" spans="1:27">
      <c r="A694"/>
      <c r="B694"/>
      <c r="C694"/>
      <c r="D694"/>
      <c r="F694"/>
      <c r="Q694"/>
      <c r="R694"/>
      <c r="S694"/>
      <c r="T694"/>
      <c r="U694"/>
      <c r="V694"/>
      <c r="W694"/>
      <c r="X694"/>
      <c r="Y694"/>
      <c r="Z694"/>
      <c r="AA694"/>
    </row>
    <row r="695" spans="1:27">
      <c r="A695"/>
      <c r="B695"/>
      <c r="C695"/>
      <c r="D695"/>
      <c r="F695"/>
      <c r="Q695"/>
      <c r="R695"/>
      <c r="S695"/>
      <c r="T695"/>
      <c r="U695"/>
      <c r="V695"/>
      <c r="W695"/>
      <c r="X695"/>
      <c r="Y695"/>
      <c r="Z695"/>
      <c r="AA695"/>
    </row>
    <row r="696" spans="1:27">
      <c r="A696"/>
      <c r="B696"/>
      <c r="C696"/>
      <c r="D696"/>
      <c r="F696"/>
      <c r="Q696"/>
      <c r="R696"/>
      <c r="S696"/>
      <c r="T696"/>
      <c r="U696"/>
      <c r="V696"/>
      <c r="W696"/>
      <c r="X696"/>
      <c r="Y696"/>
      <c r="Z696"/>
      <c r="AA696"/>
    </row>
    <row r="697" spans="1:27">
      <c r="A697"/>
      <c r="B697"/>
      <c r="C697"/>
      <c r="D697"/>
      <c r="F697"/>
      <c r="Q697"/>
      <c r="R697"/>
      <c r="S697"/>
      <c r="T697"/>
      <c r="U697"/>
      <c r="V697"/>
      <c r="W697"/>
      <c r="X697"/>
      <c r="Y697"/>
      <c r="Z697"/>
      <c r="AA697"/>
    </row>
    <row r="698" spans="1:27">
      <c r="A698"/>
      <c r="B698"/>
      <c r="C698"/>
      <c r="D698"/>
      <c r="F698"/>
      <c r="Q698"/>
      <c r="R698"/>
      <c r="S698"/>
      <c r="T698"/>
      <c r="U698"/>
      <c r="V698"/>
      <c r="W698"/>
      <c r="X698"/>
      <c r="Y698"/>
      <c r="Z698"/>
      <c r="AA698"/>
    </row>
    <row r="699" spans="1:27">
      <c r="A699"/>
      <c r="B699"/>
      <c r="C699"/>
      <c r="D699"/>
      <c r="F699"/>
      <c r="Q699"/>
      <c r="R699"/>
      <c r="S699"/>
      <c r="T699"/>
      <c r="U699"/>
      <c r="V699"/>
      <c r="W699"/>
      <c r="X699"/>
      <c r="Y699"/>
      <c r="Z699"/>
      <c r="AA699"/>
    </row>
    <row r="700" spans="1:27">
      <c r="A700"/>
      <c r="B700"/>
      <c r="C700"/>
      <c r="D700"/>
      <c r="F700"/>
      <c r="Q700"/>
      <c r="R700"/>
      <c r="S700"/>
      <c r="T700"/>
      <c r="U700"/>
      <c r="V700"/>
      <c r="W700"/>
      <c r="X700"/>
      <c r="Y700"/>
      <c r="Z700"/>
      <c r="AA700"/>
    </row>
    <row r="701" spans="1:27">
      <c r="A701"/>
      <c r="B701"/>
      <c r="C701"/>
      <c r="D701"/>
      <c r="F701"/>
      <c r="Q701"/>
      <c r="R701"/>
      <c r="S701"/>
      <c r="T701"/>
      <c r="U701"/>
      <c r="V701"/>
      <c r="W701"/>
      <c r="X701"/>
      <c r="Y701"/>
      <c r="Z701"/>
      <c r="AA701"/>
    </row>
    <row r="702" spans="1:27">
      <c r="A702"/>
      <c r="B702"/>
      <c r="C702"/>
      <c r="D702"/>
      <c r="F702"/>
      <c r="Q702"/>
      <c r="R702"/>
      <c r="S702"/>
      <c r="T702"/>
      <c r="U702"/>
      <c r="V702"/>
      <c r="W702"/>
      <c r="X702"/>
      <c r="Y702"/>
      <c r="Z702"/>
      <c r="AA702"/>
    </row>
    <row r="703" spans="1:27">
      <c r="A703"/>
      <c r="B703"/>
      <c r="C703"/>
      <c r="D703"/>
      <c r="F703"/>
      <c r="Q703"/>
      <c r="R703"/>
      <c r="S703"/>
      <c r="T703"/>
      <c r="U703"/>
      <c r="V703"/>
      <c r="W703"/>
      <c r="X703"/>
      <c r="Y703"/>
      <c r="Z703"/>
      <c r="AA703"/>
    </row>
    <row r="704" spans="1:27">
      <c r="A704"/>
      <c r="B704"/>
      <c r="C704"/>
      <c r="D704"/>
      <c r="F704"/>
      <c r="Q704"/>
      <c r="R704"/>
      <c r="S704"/>
      <c r="T704"/>
      <c r="U704"/>
      <c r="V704"/>
      <c r="W704"/>
      <c r="X704"/>
      <c r="Y704"/>
      <c r="Z704"/>
      <c r="AA704"/>
    </row>
    <row r="705" spans="1:27">
      <c r="A705"/>
      <c r="B705"/>
      <c r="C705"/>
      <c r="D705"/>
      <c r="F705"/>
      <c r="Q705"/>
      <c r="R705"/>
      <c r="S705"/>
      <c r="T705"/>
      <c r="U705"/>
      <c r="V705"/>
      <c r="W705"/>
      <c r="X705"/>
      <c r="Y705"/>
      <c r="Z705"/>
      <c r="AA705"/>
    </row>
    <row r="706" spans="1:27">
      <c r="A706"/>
      <c r="B706"/>
      <c r="C706"/>
      <c r="D706"/>
      <c r="F706"/>
      <c r="Q706"/>
      <c r="R706"/>
      <c r="S706"/>
      <c r="T706"/>
      <c r="U706"/>
      <c r="V706"/>
      <c r="W706"/>
      <c r="X706"/>
      <c r="Y706"/>
      <c r="Z706"/>
      <c r="AA706"/>
    </row>
    <row r="707" spans="1:27">
      <c r="A707"/>
      <c r="B707"/>
      <c r="C707"/>
      <c r="D707"/>
      <c r="F707"/>
      <c r="Q707"/>
      <c r="R707"/>
      <c r="S707"/>
      <c r="T707"/>
      <c r="U707"/>
      <c r="V707"/>
      <c r="W707"/>
      <c r="X707"/>
      <c r="Y707"/>
      <c r="Z707"/>
      <c r="AA707"/>
    </row>
    <row r="708" spans="1:27">
      <c r="A708"/>
      <c r="B708"/>
      <c r="C708"/>
      <c r="D708"/>
      <c r="F708"/>
      <c r="Q708"/>
      <c r="R708"/>
      <c r="S708"/>
      <c r="T708"/>
      <c r="U708"/>
      <c r="V708"/>
      <c r="W708"/>
      <c r="X708"/>
      <c r="Y708"/>
      <c r="Z708"/>
      <c r="AA708"/>
    </row>
    <row r="709" spans="1:27">
      <c r="A709"/>
      <c r="B709"/>
      <c r="C709"/>
      <c r="D709"/>
      <c r="F709"/>
      <c r="Q709"/>
      <c r="R709"/>
      <c r="S709"/>
      <c r="T709"/>
      <c r="U709"/>
      <c r="V709"/>
      <c r="W709"/>
      <c r="X709"/>
      <c r="Y709"/>
      <c r="Z709"/>
      <c r="AA709"/>
    </row>
    <row r="710" spans="1:27">
      <c r="A710"/>
      <c r="B710"/>
      <c r="C710"/>
      <c r="D710"/>
      <c r="F710"/>
      <c r="Q710"/>
      <c r="R710"/>
      <c r="S710"/>
      <c r="T710"/>
      <c r="U710"/>
      <c r="V710"/>
      <c r="W710"/>
      <c r="X710"/>
      <c r="Y710"/>
      <c r="Z710"/>
      <c r="AA710"/>
    </row>
    <row r="711" spans="1:27">
      <c r="A711"/>
      <c r="B711"/>
      <c r="C711"/>
      <c r="D711"/>
      <c r="F711"/>
      <c r="Q711"/>
      <c r="R711"/>
      <c r="S711"/>
      <c r="T711"/>
      <c r="U711"/>
      <c r="V711"/>
      <c r="W711"/>
      <c r="X711"/>
      <c r="Y711"/>
      <c r="Z711"/>
      <c r="AA711"/>
    </row>
    <row r="712" spans="1:27">
      <c r="A712"/>
      <c r="B712"/>
      <c r="C712"/>
      <c r="D712"/>
      <c r="F712"/>
      <c r="Q712"/>
      <c r="R712"/>
      <c r="S712"/>
      <c r="T712"/>
      <c r="U712"/>
      <c r="V712"/>
      <c r="W712"/>
      <c r="X712"/>
      <c r="Y712"/>
      <c r="Z712"/>
      <c r="AA712"/>
    </row>
    <row r="713" spans="1:27">
      <c r="A713"/>
      <c r="B713"/>
      <c r="C713"/>
      <c r="D713"/>
      <c r="F713"/>
      <c r="Q713"/>
      <c r="R713"/>
      <c r="S713"/>
      <c r="T713"/>
      <c r="U713"/>
      <c r="V713"/>
      <c r="W713"/>
      <c r="X713"/>
      <c r="Y713"/>
      <c r="Z713"/>
      <c r="AA713"/>
    </row>
    <row r="714" spans="1:27">
      <c r="A714"/>
      <c r="B714"/>
      <c r="C714"/>
      <c r="D714"/>
      <c r="F714"/>
      <c r="Q714"/>
      <c r="R714"/>
      <c r="S714"/>
      <c r="T714"/>
      <c r="U714"/>
      <c r="V714"/>
      <c r="W714"/>
      <c r="X714"/>
      <c r="Y714"/>
      <c r="Z714"/>
      <c r="AA714"/>
    </row>
    <row r="715" spans="1:27">
      <c r="A715"/>
      <c r="B715"/>
      <c r="C715"/>
      <c r="D715"/>
      <c r="F715"/>
      <c r="Q715"/>
      <c r="R715"/>
      <c r="S715"/>
      <c r="T715"/>
      <c r="U715"/>
      <c r="V715"/>
      <c r="W715"/>
      <c r="X715"/>
      <c r="Y715"/>
      <c r="Z715"/>
      <c r="AA715"/>
    </row>
    <row r="716" spans="1:27">
      <c r="A716"/>
      <c r="B716"/>
      <c r="C716"/>
      <c r="D716"/>
      <c r="F716"/>
      <c r="Q716"/>
      <c r="R716"/>
      <c r="S716"/>
      <c r="T716"/>
      <c r="U716"/>
      <c r="V716"/>
      <c r="W716"/>
      <c r="X716"/>
      <c r="Y716"/>
      <c r="Z716"/>
      <c r="AA716"/>
    </row>
    <row r="717" spans="1:27">
      <c r="A717"/>
      <c r="B717"/>
      <c r="C717"/>
      <c r="D717"/>
      <c r="F717"/>
      <c r="Q717"/>
      <c r="R717"/>
      <c r="S717"/>
      <c r="T717"/>
      <c r="U717"/>
      <c r="V717"/>
      <c r="W717"/>
      <c r="X717"/>
      <c r="Y717"/>
      <c r="Z717"/>
      <c r="AA717"/>
    </row>
    <row r="718" spans="1:27">
      <c r="A718"/>
      <c r="B718"/>
      <c r="C718"/>
      <c r="D718"/>
      <c r="F718"/>
      <c r="Q718"/>
      <c r="R718"/>
      <c r="S718"/>
      <c r="T718"/>
      <c r="U718"/>
      <c r="V718"/>
      <c r="W718"/>
      <c r="X718"/>
      <c r="Y718"/>
      <c r="Z718"/>
      <c r="AA718"/>
    </row>
    <row r="719" spans="1:27">
      <c r="A719"/>
      <c r="B719"/>
      <c r="C719"/>
      <c r="D719"/>
      <c r="F719"/>
      <c r="Q719"/>
      <c r="R719"/>
      <c r="S719"/>
      <c r="T719"/>
      <c r="U719"/>
      <c r="V719"/>
      <c r="W719"/>
      <c r="X719"/>
      <c r="Y719"/>
      <c r="Z719"/>
      <c r="AA719"/>
    </row>
    <row r="720" spans="1:27">
      <c r="A720"/>
      <c r="B720"/>
      <c r="C720"/>
      <c r="D720"/>
      <c r="F720"/>
      <c r="Q720"/>
      <c r="R720"/>
      <c r="S720"/>
      <c r="T720"/>
      <c r="U720"/>
      <c r="V720"/>
      <c r="W720"/>
      <c r="X720"/>
      <c r="Y720"/>
      <c r="Z720"/>
      <c r="AA720"/>
    </row>
    <row r="721" spans="1:27">
      <c r="A721"/>
      <c r="B721"/>
      <c r="C721"/>
      <c r="D721"/>
      <c r="F721"/>
      <c r="Q721"/>
      <c r="R721"/>
      <c r="S721"/>
      <c r="T721"/>
      <c r="U721"/>
      <c r="V721"/>
      <c r="W721"/>
      <c r="X721"/>
      <c r="Y721"/>
      <c r="Z721"/>
      <c r="AA721"/>
    </row>
    <row r="722" spans="1:27">
      <c r="A722"/>
      <c r="B722"/>
      <c r="C722"/>
      <c r="D722"/>
      <c r="F722"/>
      <c r="Q722"/>
      <c r="R722"/>
      <c r="S722"/>
      <c r="T722"/>
      <c r="U722"/>
      <c r="V722"/>
      <c r="W722"/>
      <c r="X722"/>
      <c r="Y722"/>
      <c r="Z722"/>
      <c r="AA722"/>
    </row>
    <row r="723" spans="1:27">
      <c r="A723"/>
      <c r="B723"/>
      <c r="C723"/>
      <c r="D723"/>
      <c r="F723"/>
      <c r="Q723"/>
      <c r="R723"/>
      <c r="S723"/>
      <c r="T723"/>
      <c r="U723"/>
      <c r="V723"/>
      <c r="W723"/>
      <c r="X723"/>
      <c r="Y723"/>
      <c r="Z723"/>
      <c r="AA723"/>
    </row>
    <row r="724" spans="1:27">
      <c r="A724"/>
      <c r="B724"/>
      <c r="C724"/>
      <c r="D724"/>
      <c r="F724"/>
      <c r="Q724"/>
      <c r="R724"/>
      <c r="S724"/>
      <c r="T724"/>
      <c r="U724"/>
      <c r="V724"/>
      <c r="W724"/>
      <c r="X724"/>
      <c r="Y724"/>
      <c r="Z724"/>
      <c r="AA724"/>
    </row>
    <row r="725" spans="1:27">
      <c r="A725"/>
      <c r="B725"/>
      <c r="C725"/>
      <c r="D725"/>
      <c r="F725"/>
      <c r="Q725"/>
      <c r="R725"/>
      <c r="S725"/>
      <c r="T725"/>
      <c r="U725"/>
      <c r="V725"/>
      <c r="W725"/>
      <c r="X725"/>
      <c r="Y725"/>
      <c r="Z725"/>
      <c r="AA725"/>
    </row>
    <row r="726" spans="1:27">
      <c r="A726"/>
      <c r="B726"/>
      <c r="C726"/>
      <c r="D726"/>
      <c r="F726"/>
      <c r="Q726"/>
      <c r="R726"/>
      <c r="S726"/>
      <c r="T726"/>
      <c r="U726"/>
      <c r="V726"/>
      <c r="W726"/>
      <c r="X726"/>
      <c r="Y726"/>
      <c r="Z726"/>
      <c r="AA726"/>
    </row>
    <row r="727" spans="1:27">
      <c r="A727"/>
      <c r="B727"/>
      <c r="C727"/>
      <c r="D727"/>
      <c r="F727"/>
      <c r="Q727"/>
      <c r="R727"/>
      <c r="S727"/>
      <c r="T727"/>
      <c r="U727"/>
      <c r="V727"/>
      <c r="W727"/>
      <c r="X727"/>
      <c r="Y727"/>
      <c r="Z727"/>
      <c r="AA727"/>
    </row>
    <row r="728" spans="1:27">
      <c r="A728"/>
      <c r="B728"/>
      <c r="C728"/>
      <c r="D728"/>
      <c r="F728"/>
      <c r="Q728"/>
      <c r="R728"/>
      <c r="S728"/>
      <c r="T728"/>
      <c r="U728"/>
      <c r="V728"/>
      <c r="W728"/>
      <c r="X728"/>
      <c r="Y728"/>
      <c r="Z728"/>
      <c r="AA728"/>
    </row>
    <row r="729" spans="1:27">
      <c r="A729"/>
      <c r="B729"/>
      <c r="C729"/>
      <c r="D729"/>
      <c r="F729"/>
      <c r="Q729"/>
      <c r="R729"/>
      <c r="S729"/>
      <c r="T729"/>
      <c r="U729"/>
      <c r="V729"/>
      <c r="W729"/>
      <c r="X729"/>
      <c r="Y729"/>
      <c r="Z729"/>
      <c r="AA729"/>
    </row>
    <row r="730" spans="1:27">
      <c r="A730"/>
      <c r="B730"/>
      <c r="C730"/>
      <c r="D730"/>
      <c r="F730"/>
      <c r="Q730"/>
      <c r="R730"/>
      <c r="S730"/>
      <c r="T730"/>
      <c r="U730"/>
      <c r="V730"/>
      <c r="W730"/>
      <c r="X730"/>
      <c r="Y730"/>
      <c r="Z730"/>
      <c r="AA730"/>
    </row>
    <row r="731" spans="1:27">
      <c r="A731"/>
      <c r="B731"/>
      <c r="C731"/>
      <c r="D731"/>
      <c r="F731"/>
      <c r="Q731"/>
      <c r="R731"/>
      <c r="S731"/>
      <c r="T731"/>
      <c r="U731"/>
      <c r="V731"/>
      <c r="W731"/>
      <c r="X731"/>
      <c r="Y731"/>
      <c r="Z731"/>
      <c r="AA731"/>
    </row>
    <row r="732" spans="1:27">
      <c r="A732"/>
      <c r="B732"/>
      <c r="C732"/>
      <c r="D732"/>
      <c r="F732"/>
      <c r="Q732"/>
      <c r="R732"/>
      <c r="S732"/>
      <c r="T732"/>
      <c r="U732"/>
      <c r="V732"/>
      <c r="W732"/>
      <c r="X732"/>
      <c r="Y732"/>
      <c r="Z732"/>
      <c r="AA732"/>
    </row>
    <row r="733" spans="1:27">
      <c r="A733"/>
      <c r="B733"/>
      <c r="C733"/>
      <c r="D733"/>
      <c r="F733"/>
      <c r="Q733"/>
      <c r="R733"/>
      <c r="S733"/>
      <c r="T733"/>
      <c r="U733"/>
      <c r="V733"/>
      <c r="W733"/>
      <c r="X733"/>
      <c r="Y733"/>
      <c r="Z733"/>
      <c r="AA733"/>
    </row>
    <row r="734" spans="1:27">
      <c r="A734"/>
      <c r="B734"/>
      <c r="C734"/>
      <c r="D734"/>
      <c r="F734"/>
      <c r="Q734"/>
      <c r="R734"/>
      <c r="S734"/>
      <c r="T734"/>
      <c r="U734"/>
      <c r="V734"/>
      <c r="W734"/>
      <c r="X734"/>
      <c r="Y734"/>
      <c r="Z734"/>
      <c r="AA734"/>
    </row>
    <row r="735" spans="1:27">
      <c r="A735"/>
      <c r="B735"/>
      <c r="C735"/>
      <c r="D735"/>
      <c r="F735"/>
      <c r="Q735"/>
      <c r="R735"/>
      <c r="S735"/>
      <c r="T735"/>
      <c r="U735"/>
      <c r="V735"/>
      <c r="W735"/>
      <c r="X735"/>
      <c r="Y735"/>
      <c r="Z735"/>
      <c r="AA735"/>
    </row>
    <row r="736" spans="1:27">
      <c r="A736"/>
      <c r="B736"/>
      <c r="C736"/>
      <c r="D736"/>
      <c r="F736"/>
      <c r="Q736"/>
      <c r="R736"/>
      <c r="S736"/>
      <c r="T736"/>
      <c r="U736"/>
      <c r="V736"/>
      <c r="W736"/>
      <c r="X736"/>
      <c r="Y736"/>
      <c r="Z736"/>
      <c r="AA736"/>
    </row>
    <row r="737" spans="1:27">
      <c r="A737"/>
      <c r="B737"/>
      <c r="C737"/>
      <c r="D737"/>
      <c r="F737"/>
      <c r="Q737"/>
      <c r="R737"/>
      <c r="S737"/>
      <c r="T737"/>
      <c r="U737"/>
      <c r="V737"/>
      <c r="W737"/>
      <c r="X737"/>
      <c r="Y737"/>
      <c r="Z737"/>
      <c r="AA737"/>
    </row>
    <row r="738" spans="1:27">
      <c r="A738"/>
      <c r="B738"/>
      <c r="C738"/>
      <c r="D738"/>
      <c r="F738"/>
      <c r="Q738"/>
      <c r="R738"/>
      <c r="S738"/>
      <c r="T738"/>
      <c r="U738"/>
      <c r="V738"/>
      <c r="W738"/>
      <c r="X738"/>
      <c r="Y738"/>
      <c r="Z738"/>
      <c r="AA738"/>
    </row>
    <row r="739" spans="1:27">
      <c r="A739"/>
      <c r="B739"/>
      <c r="C739"/>
      <c r="D739"/>
      <c r="F739"/>
      <c r="Q739"/>
      <c r="R739"/>
      <c r="S739"/>
      <c r="T739"/>
      <c r="U739"/>
      <c r="V739"/>
      <c r="W739"/>
      <c r="X739"/>
      <c r="Y739"/>
      <c r="Z739"/>
      <c r="AA739"/>
    </row>
    <row r="740" spans="1:27">
      <c r="A740"/>
      <c r="B740"/>
      <c r="C740"/>
      <c r="D740"/>
      <c r="F740"/>
      <c r="Q740"/>
      <c r="R740"/>
      <c r="S740"/>
      <c r="T740"/>
      <c r="U740"/>
      <c r="V740"/>
      <c r="W740"/>
      <c r="X740"/>
      <c r="Y740"/>
      <c r="Z740"/>
      <c r="AA740"/>
    </row>
    <row r="741" spans="1:27">
      <c r="A741"/>
      <c r="B741"/>
      <c r="C741"/>
      <c r="D741"/>
      <c r="F741"/>
      <c r="Q741"/>
      <c r="R741"/>
      <c r="S741"/>
      <c r="T741"/>
      <c r="U741"/>
      <c r="V741"/>
      <c r="W741"/>
      <c r="X741"/>
      <c r="Y741"/>
      <c r="Z741"/>
      <c r="AA741"/>
    </row>
    <row r="742" spans="1:27">
      <c r="A742"/>
      <c r="B742"/>
      <c r="C742"/>
      <c r="D742"/>
      <c r="F742"/>
      <c r="Q742"/>
      <c r="R742"/>
      <c r="S742"/>
      <c r="T742"/>
      <c r="U742"/>
      <c r="V742"/>
      <c r="W742"/>
      <c r="X742"/>
      <c r="Y742"/>
      <c r="Z742"/>
      <c r="AA742"/>
    </row>
    <row r="743" spans="1:27">
      <c r="A743"/>
      <c r="B743"/>
      <c r="C743"/>
      <c r="D743"/>
      <c r="F743"/>
      <c r="Q743"/>
      <c r="R743"/>
      <c r="S743"/>
      <c r="T743"/>
      <c r="U743"/>
      <c r="V743"/>
      <c r="W743"/>
      <c r="X743"/>
      <c r="Y743"/>
      <c r="Z743"/>
      <c r="AA743"/>
    </row>
    <row r="744" spans="1:27">
      <c r="A744"/>
      <c r="B744"/>
      <c r="C744"/>
      <c r="D744"/>
      <c r="F744"/>
      <c r="Q744"/>
      <c r="R744"/>
      <c r="S744"/>
      <c r="T744"/>
      <c r="U744"/>
      <c r="V744"/>
      <c r="W744"/>
      <c r="X744"/>
      <c r="Y744"/>
      <c r="Z744"/>
      <c r="AA744"/>
    </row>
    <row r="745" spans="1:27">
      <c r="A745"/>
      <c r="B745"/>
      <c r="C745"/>
      <c r="D745"/>
      <c r="F745"/>
      <c r="Q745"/>
      <c r="R745"/>
      <c r="S745"/>
      <c r="T745"/>
      <c r="U745"/>
      <c r="V745"/>
      <c r="W745"/>
      <c r="X745"/>
      <c r="Y745"/>
      <c r="Z745"/>
      <c r="AA745"/>
    </row>
    <row r="746" spans="1:27">
      <c r="A746"/>
      <c r="B746"/>
      <c r="C746"/>
      <c r="D746"/>
      <c r="F746"/>
      <c r="Q746"/>
      <c r="R746"/>
      <c r="S746"/>
      <c r="T746"/>
      <c r="U746"/>
      <c r="V746"/>
      <c r="W746"/>
      <c r="X746"/>
      <c r="Y746"/>
      <c r="Z746"/>
      <c r="AA746"/>
    </row>
    <row r="747" spans="1:27">
      <c r="A747"/>
      <c r="B747"/>
      <c r="C747"/>
      <c r="D747"/>
      <c r="F747"/>
      <c r="Q747"/>
      <c r="R747"/>
      <c r="S747"/>
      <c r="T747"/>
      <c r="U747"/>
      <c r="V747"/>
      <c r="W747"/>
      <c r="X747"/>
      <c r="Y747"/>
      <c r="Z747"/>
      <c r="AA747"/>
    </row>
    <row r="748" spans="1:27">
      <c r="A748"/>
      <c r="B748"/>
      <c r="C748"/>
      <c r="D748"/>
      <c r="F748"/>
      <c r="Q748"/>
      <c r="R748"/>
      <c r="S748"/>
      <c r="T748"/>
      <c r="U748"/>
      <c r="V748"/>
      <c r="W748"/>
      <c r="X748"/>
      <c r="Y748"/>
      <c r="Z748"/>
      <c r="AA748"/>
    </row>
    <row r="749" spans="1:27">
      <c r="A749"/>
      <c r="B749"/>
      <c r="C749"/>
      <c r="D749"/>
      <c r="F749"/>
      <c r="Q749"/>
      <c r="R749"/>
      <c r="S749"/>
      <c r="T749"/>
      <c r="U749"/>
      <c r="V749"/>
      <c r="W749"/>
      <c r="X749"/>
      <c r="Y749"/>
      <c r="Z749"/>
      <c r="AA749"/>
    </row>
    <row r="750" spans="1:27">
      <c r="A750"/>
      <c r="B750"/>
      <c r="C750"/>
      <c r="D750"/>
      <c r="F750"/>
      <c r="Q750"/>
      <c r="R750"/>
      <c r="S750"/>
      <c r="T750"/>
      <c r="U750"/>
      <c r="V750"/>
      <c r="W750"/>
      <c r="X750"/>
      <c r="Y750"/>
      <c r="Z750"/>
      <c r="AA750"/>
    </row>
    <row r="751" spans="1:27">
      <c r="A751"/>
      <c r="B751"/>
      <c r="C751"/>
      <c r="D751"/>
      <c r="F751"/>
      <c r="Q751"/>
      <c r="R751"/>
      <c r="S751"/>
      <c r="T751"/>
      <c r="U751"/>
      <c r="V751"/>
      <c r="W751"/>
      <c r="X751"/>
      <c r="Y751"/>
      <c r="Z751"/>
      <c r="AA751"/>
    </row>
    <row r="752" spans="1:27">
      <c r="A752"/>
      <c r="B752"/>
      <c r="C752"/>
      <c r="D752"/>
      <c r="F752"/>
      <c r="Q752"/>
      <c r="R752"/>
      <c r="S752"/>
      <c r="T752"/>
      <c r="U752"/>
      <c r="V752"/>
      <c r="W752"/>
      <c r="X752"/>
      <c r="Y752"/>
      <c r="Z752"/>
      <c r="AA752"/>
    </row>
    <row r="753" spans="1:27">
      <c r="A753"/>
      <c r="B753"/>
      <c r="C753"/>
      <c r="D753"/>
      <c r="F753"/>
      <c r="Q753"/>
      <c r="R753"/>
      <c r="S753"/>
      <c r="T753"/>
      <c r="U753"/>
      <c r="V753"/>
      <c r="W753"/>
      <c r="X753"/>
      <c r="Y753"/>
      <c r="Z753"/>
      <c r="AA753"/>
    </row>
    <row r="754" spans="1:27">
      <c r="A754"/>
      <c r="B754"/>
      <c r="C754"/>
      <c r="D754"/>
      <c r="F754"/>
      <c r="Q754"/>
      <c r="R754"/>
      <c r="S754"/>
      <c r="T754"/>
      <c r="U754"/>
      <c r="V754"/>
      <c r="W754"/>
      <c r="X754"/>
      <c r="Y754"/>
      <c r="Z754"/>
      <c r="AA754"/>
    </row>
    <row r="755" spans="1:27">
      <c r="A755"/>
      <c r="B755"/>
      <c r="C755"/>
      <c r="D755"/>
      <c r="F755"/>
      <c r="Q755"/>
      <c r="R755"/>
      <c r="S755"/>
      <c r="T755"/>
      <c r="U755"/>
      <c r="V755"/>
      <c r="W755"/>
      <c r="X755"/>
      <c r="Y755"/>
      <c r="Z755"/>
      <c r="AA755"/>
    </row>
    <row r="756" spans="1:27">
      <c r="A756"/>
      <c r="B756"/>
      <c r="C756"/>
      <c r="D756"/>
      <c r="F756"/>
      <c r="Q756"/>
      <c r="R756"/>
      <c r="S756"/>
      <c r="T756"/>
      <c r="U756"/>
      <c r="V756"/>
      <c r="W756"/>
      <c r="X756"/>
      <c r="Y756"/>
      <c r="Z756"/>
      <c r="AA756"/>
    </row>
    <row r="757" spans="1:27">
      <c r="A757"/>
      <c r="B757"/>
      <c r="C757"/>
      <c r="D757"/>
      <c r="F757"/>
      <c r="Q757"/>
      <c r="R757"/>
      <c r="S757"/>
      <c r="T757"/>
      <c r="U757"/>
      <c r="V757"/>
      <c r="W757"/>
      <c r="X757"/>
      <c r="Y757"/>
      <c r="Z757"/>
      <c r="AA757"/>
    </row>
    <row r="758" spans="1:27">
      <c r="A758"/>
      <c r="B758"/>
      <c r="C758"/>
      <c r="D758"/>
      <c r="F758"/>
      <c r="Q758"/>
      <c r="R758"/>
      <c r="S758"/>
      <c r="T758"/>
      <c r="U758"/>
      <c r="V758"/>
      <c r="W758"/>
      <c r="X758"/>
      <c r="Y758"/>
      <c r="Z758"/>
      <c r="AA758"/>
    </row>
    <row r="759" spans="1:27">
      <c r="A759"/>
      <c r="B759"/>
      <c r="C759"/>
      <c r="D759"/>
      <c r="F759"/>
      <c r="Q759"/>
      <c r="R759"/>
      <c r="S759"/>
      <c r="T759"/>
      <c r="U759"/>
      <c r="V759"/>
      <c r="W759"/>
      <c r="X759"/>
      <c r="Y759"/>
      <c r="Z759"/>
      <c r="AA759"/>
    </row>
    <row r="760" spans="1:27">
      <c r="A760"/>
      <c r="B760"/>
      <c r="C760"/>
      <c r="D760"/>
      <c r="F760"/>
      <c r="Q760"/>
      <c r="R760"/>
      <c r="S760"/>
      <c r="T760"/>
      <c r="U760"/>
      <c r="V760"/>
      <c r="W760"/>
      <c r="X760"/>
      <c r="Y760"/>
      <c r="Z760"/>
      <c r="AA760"/>
    </row>
    <row r="761" spans="1:27">
      <c r="A761"/>
      <c r="B761"/>
      <c r="C761"/>
      <c r="D761"/>
      <c r="F761"/>
      <c r="Q761"/>
      <c r="R761"/>
      <c r="S761"/>
      <c r="T761"/>
      <c r="U761"/>
      <c r="V761"/>
      <c r="W761"/>
      <c r="X761"/>
      <c r="Y761"/>
      <c r="Z761"/>
      <c r="AA761"/>
    </row>
    <row r="762" spans="1:27">
      <c r="A762"/>
      <c r="B762"/>
      <c r="C762"/>
      <c r="D762"/>
      <c r="F762"/>
      <c r="Q762"/>
      <c r="R762"/>
      <c r="S762"/>
      <c r="T762"/>
      <c r="U762"/>
      <c r="V762"/>
      <c r="W762"/>
      <c r="X762"/>
      <c r="Y762"/>
      <c r="Z762"/>
      <c r="AA762"/>
    </row>
    <row r="763" spans="1:27">
      <c r="A763"/>
      <c r="B763"/>
      <c r="C763"/>
      <c r="D763"/>
      <c r="F763"/>
      <c r="Q763"/>
      <c r="R763"/>
      <c r="S763"/>
      <c r="T763"/>
      <c r="U763"/>
      <c r="V763"/>
      <c r="W763"/>
      <c r="X763"/>
      <c r="Y763"/>
      <c r="Z763"/>
      <c r="AA763"/>
    </row>
    <row r="764" spans="1:27">
      <c r="A764"/>
      <c r="B764"/>
      <c r="C764"/>
      <c r="D764"/>
      <c r="F764"/>
      <c r="Q764"/>
      <c r="R764"/>
      <c r="S764"/>
      <c r="T764"/>
      <c r="U764"/>
      <c r="V764"/>
      <c r="W764"/>
      <c r="X764"/>
      <c r="Y764"/>
      <c r="Z764"/>
      <c r="AA764"/>
    </row>
    <row r="765" spans="1:27">
      <c r="A765"/>
      <c r="B765"/>
      <c r="C765"/>
      <c r="D765"/>
      <c r="F765"/>
      <c r="Q765"/>
      <c r="R765"/>
      <c r="S765"/>
      <c r="T765"/>
      <c r="U765"/>
      <c r="V765"/>
      <c r="W765"/>
      <c r="X765"/>
      <c r="Y765"/>
      <c r="Z765"/>
      <c r="AA765"/>
    </row>
    <row r="766" spans="1:27">
      <c r="A766"/>
      <c r="B766"/>
      <c r="C766"/>
      <c r="D766"/>
      <c r="F766"/>
      <c r="Q766"/>
      <c r="R766"/>
      <c r="S766"/>
      <c r="T766"/>
      <c r="U766"/>
      <c r="V766"/>
      <c r="W766"/>
      <c r="X766"/>
      <c r="Y766"/>
      <c r="Z766"/>
      <c r="AA766"/>
    </row>
    <row r="767" spans="1:27">
      <c r="A767"/>
      <c r="B767"/>
      <c r="C767"/>
      <c r="D767"/>
      <c r="F767"/>
      <c r="Q767"/>
      <c r="R767"/>
      <c r="S767"/>
      <c r="T767"/>
      <c r="U767"/>
      <c r="V767"/>
      <c r="W767"/>
      <c r="X767"/>
      <c r="Y767"/>
      <c r="Z767"/>
      <c r="AA767"/>
    </row>
    <row r="768" spans="1:27">
      <c r="A768"/>
      <c r="B768"/>
      <c r="C768"/>
      <c r="D768"/>
      <c r="F768"/>
      <c r="Q768"/>
      <c r="R768"/>
      <c r="S768"/>
      <c r="T768"/>
      <c r="U768"/>
      <c r="V768"/>
      <c r="W768"/>
      <c r="X768"/>
      <c r="Y768"/>
      <c r="Z768"/>
      <c r="AA768"/>
    </row>
    <row r="769" spans="1:27">
      <c r="A769"/>
      <c r="B769"/>
      <c r="C769"/>
      <c r="D769"/>
      <c r="F769"/>
      <c r="Q769"/>
      <c r="R769"/>
      <c r="S769"/>
      <c r="T769"/>
      <c r="U769"/>
      <c r="V769"/>
      <c r="W769"/>
      <c r="X769"/>
      <c r="Y769"/>
      <c r="Z769"/>
      <c r="AA769"/>
    </row>
    <row r="770" spans="1:27">
      <c r="A770"/>
      <c r="B770"/>
      <c r="C770"/>
      <c r="D770"/>
      <c r="F770"/>
      <c r="Q770"/>
      <c r="R770"/>
      <c r="S770"/>
      <c r="T770"/>
      <c r="U770"/>
      <c r="V770"/>
      <c r="W770"/>
      <c r="X770"/>
      <c r="Y770"/>
      <c r="Z770"/>
      <c r="AA770"/>
    </row>
    <row r="771" spans="1:27">
      <c r="A771"/>
      <c r="B771"/>
      <c r="C771"/>
      <c r="D771"/>
      <c r="F771"/>
      <c r="Q771"/>
      <c r="R771"/>
      <c r="S771"/>
      <c r="T771"/>
      <c r="U771"/>
      <c r="V771"/>
      <c r="W771"/>
      <c r="X771"/>
      <c r="Y771"/>
      <c r="Z771"/>
      <c r="AA771"/>
    </row>
    <row r="772" spans="1:27">
      <c r="A772"/>
      <c r="B772"/>
      <c r="C772"/>
      <c r="D772"/>
      <c r="F772"/>
      <c r="Q772"/>
      <c r="R772"/>
      <c r="S772"/>
      <c r="T772"/>
      <c r="U772"/>
      <c r="V772"/>
      <c r="W772"/>
      <c r="X772"/>
      <c r="Y772"/>
      <c r="Z772"/>
      <c r="AA772"/>
    </row>
    <row r="773" spans="1:27">
      <c r="A773"/>
      <c r="B773"/>
      <c r="C773"/>
      <c r="D773"/>
      <c r="F773"/>
      <c r="Q773"/>
      <c r="R773"/>
      <c r="S773"/>
      <c r="T773"/>
      <c r="U773"/>
      <c r="V773"/>
      <c r="W773"/>
      <c r="X773"/>
      <c r="Y773"/>
      <c r="Z773"/>
      <c r="AA773"/>
    </row>
    <row r="774" spans="1:27">
      <c r="A774"/>
      <c r="B774"/>
      <c r="C774"/>
      <c r="D774"/>
      <c r="F774"/>
      <c r="Q774"/>
      <c r="R774"/>
      <c r="S774"/>
      <c r="T774"/>
      <c r="U774"/>
      <c r="V774"/>
      <c r="W774"/>
      <c r="X774"/>
      <c r="Y774"/>
      <c r="Z774"/>
      <c r="AA774"/>
    </row>
    <row r="775" spans="1:27">
      <c r="A775"/>
      <c r="B775"/>
      <c r="C775"/>
      <c r="D775"/>
      <c r="F775"/>
      <c r="Q775"/>
      <c r="R775"/>
      <c r="S775"/>
      <c r="T775"/>
      <c r="U775"/>
      <c r="V775"/>
      <c r="W775"/>
      <c r="X775"/>
      <c r="Y775"/>
      <c r="Z775"/>
      <c r="AA775"/>
    </row>
    <row r="776" spans="1:27">
      <c r="A776"/>
      <c r="B776"/>
      <c r="C776"/>
      <c r="D776"/>
      <c r="F776"/>
      <c r="Q776"/>
      <c r="R776"/>
      <c r="S776"/>
      <c r="T776"/>
      <c r="U776"/>
      <c r="V776"/>
      <c r="W776"/>
      <c r="X776"/>
      <c r="Y776"/>
      <c r="Z776"/>
      <c r="AA776"/>
    </row>
    <row r="777" spans="1:27">
      <c r="A777"/>
      <c r="B777"/>
      <c r="C777"/>
      <c r="D777"/>
      <c r="F777"/>
      <c r="Q777"/>
      <c r="R777"/>
      <c r="S777"/>
      <c r="T777"/>
      <c r="U777"/>
      <c r="V777"/>
      <c r="W777"/>
      <c r="X777"/>
      <c r="Y777"/>
      <c r="Z777"/>
      <c r="AA777"/>
    </row>
    <row r="778" spans="1:27">
      <c r="A778"/>
      <c r="B778"/>
      <c r="C778"/>
      <c r="D778"/>
      <c r="F778"/>
      <c r="Q778"/>
      <c r="R778"/>
      <c r="S778"/>
      <c r="T778"/>
      <c r="U778"/>
      <c r="V778"/>
      <c r="W778"/>
      <c r="X778"/>
      <c r="Y778"/>
      <c r="Z778"/>
      <c r="AA778"/>
    </row>
    <row r="779" spans="1:27">
      <c r="A779"/>
      <c r="B779"/>
      <c r="C779"/>
      <c r="D779"/>
      <c r="F779"/>
      <c r="Q779"/>
      <c r="R779"/>
      <c r="S779"/>
      <c r="T779"/>
      <c r="U779"/>
      <c r="V779"/>
      <c r="W779"/>
      <c r="X779"/>
      <c r="Y779"/>
      <c r="Z779"/>
      <c r="AA779"/>
    </row>
    <row r="780" spans="1:27">
      <c r="A780"/>
      <c r="B780"/>
      <c r="C780"/>
      <c r="D780"/>
      <c r="F780"/>
      <c r="Q780"/>
      <c r="R780"/>
      <c r="S780"/>
      <c r="T780"/>
      <c r="U780"/>
      <c r="V780"/>
      <c r="W780"/>
      <c r="X780"/>
      <c r="Y780"/>
      <c r="Z780"/>
      <c r="AA780"/>
    </row>
    <row r="781" spans="1:27">
      <c r="A781"/>
      <c r="B781"/>
      <c r="C781"/>
      <c r="D781"/>
      <c r="F781"/>
      <c r="Q781"/>
      <c r="R781"/>
      <c r="S781"/>
      <c r="T781"/>
      <c r="U781"/>
      <c r="V781"/>
      <c r="W781"/>
      <c r="X781"/>
      <c r="Y781"/>
      <c r="Z781"/>
      <c r="AA781"/>
    </row>
    <row r="782" spans="1:27">
      <c r="A782"/>
      <c r="B782"/>
      <c r="C782"/>
      <c r="D782"/>
      <c r="F782"/>
      <c r="Q782"/>
      <c r="R782"/>
      <c r="S782"/>
      <c r="T782"/>
      <c r="U782"/>
      <c r="V782"/>
      <c r="W782"/>
      <c r="X782"/>
      <c r="Y782"/>
      <c r="Z782"/>
      <c r="AA782"/>
    </row>
    <row r="783" spans="1:27">
      <c r="A783"/>
      <c r="B783"/>
      <c r="C783"/>
      <c r="D783"/>
      <c r="F783"/>
      <c r="Q783"/>
      <c r="R783"/>
      <c r="S783"/>
      <c r="T783"/>
      <c r="U783"/>
      <c r="V783"/>
      <c r="W783"/>
      <c r="X783"/>
      <c r="Y783"/>
      <c r="Z783"/>
      <c r="AA783"/>
    </row>
    <row r="784" spans="1:27">
      <c r="A784"/>
      <c r="B784"/>
      <c r="C784"/>
      <c r="D784"/>
      <c r="F784"/>
      <c r="Q784"/>
      <c r="R784"/>
      <c r="S784"/>
      <c r="T784"/>
      <c r="U784"/>
      <c r="V784"/>
      <c r="W784"/>
      <c r="X784"/>
      <c r="Y784"/>
      <c r="Z784"/>
      <c r="AA784"/>
    </row>
    <row r="785" spans="1:27">
      <c r="A785"/>
      <c r="B785"/>
      <c r="C785"/>
      <c r="D785"/>
      <c r="F785"/>
      <c r="Q785"/>
      <c r="R785"/>
      <c r="S785"/>
      <c r="T785"/>
      <c r="U785"/>
      <c r="V785"/>
      <c r="W785"/>
      <c r="X785"/>
      <c r="Y785"/>
      <c r="Z785"/>
      <c r="AA785"/>
    </row>
    <row r="786" spans="1:27">
      <c r="A786"/>
      <c r="B786"/>
      <c r="C786"/>
      <c r="D786"/>
      <c r="F786"/>
      <c r="Q786"/>
      <c r="R786"/>
      <c r="S786"/>
      <c r="T786"/>
      <c r="U786"/>
      <c r="V786"/>
      <c r="W786"/>
      <c r="X786"/>
      <c r="Y786"/>
      <c r="Z786"/>
      <c r="AA786"/>
    </row>
    <row r="787" spans="1:27">
      <c r="A787"/>
      <c r="B787"/>
      <c r="C787"/>
      <c r="D787"/>
      <c r="F787"/>
      <c r="Q787"/>
      <c r="R787"/>
      <c r="S787"/>
      <c r="T787"/>
      <c r="U787"/>
      <c r="V787"/>
      <c r="W787"/>
      <c r="X787"/>
      <c r="Y787"/>
      <c r="Z787"/>
      <c r="AA787"/>
    </row>
    <row r="788" spans="1:27">
      <c r="A788"/>
      <c r="B788"/>
      <c r="C788"/>
      <c r="D788"/>
      <c r="F788"/>
      <c r="Q788"/>
      <c r="R788"/>
      <c r="S788"/>
      <c r="T788"/>
      <c r="U788"/>
      <c r="V788"/>
      <c r="W788"/>
      <c r="X788"/>
      <c r="Y788"/>
      <c r="Z788"/>
      <c r="AA788"/>
    </row>
    <row r="789" spans="1:27">
      <c r="A789"/>
      <c r="B789"/>
      <c r="C789"/>
      <c r="D789"/>
      <c r="F789"/>
      <c r="Q789"/>
      <c r="R789"/>
      <c r="S789"/>
      <c r="T789"/>
      <c r="U789"/>
      <c r="V789"/>
      <c r="W789"/>
      <c r="X789"/>
      <c r="Y789"/>
      <c r="Z789"/>
      <c r="AA789"/>
    </row>
    <row r="790" spans="1:27">
      <c r="A790"/>
      <c r="B790"/>
      <c r="C790"/>
      <c r="D790"/>
      <c r="F790"/>
      <c r="Q790"/>
      <c r="R790"/>
      <c r="S790"/>
      <c r="T790"/>
      <c r="U790"/>
      <c r="V790"/>
      <c r="W790"/>
      <c r="X790"/>
      <c r="Y790"/>
      <c r="Z790"/>
      <c r="AA790"/>
    </row>
    <row r="791" spans="1:27">
      <c r="A791"/>
      <c r="B791"/>
      <c r="C791"/>
      <c r="D791"/>
      <c r="F791"/>
      <c r="Q791"/>
      <c r="R791"/>
      <c r="S791"/>
      <c r="T791"/>
      <c r="U791"/>
      <c r="V791"/>
      <c r="W791"/>
      <c r="X791"/>
      <c r="Y791"/>
      <c r="Z791"/>
      <c r="AA791"/>
    </row>
    <row r="792" spans="1:27">
      <c r="A792"/>
      <c r="B792"/>
      <c r="C792"/>
      <c r="D792"/>
      <c r="F792"/>
      <c r="Q792"/>
      <c r="R792"/>
      <c r="S792"/>
      <c r="T792"/>
      <c r="U792"/>
      <c r="V792"/>
      <c r="W792"/>
      <c r="X792"/>
      <c r="Y792"/>
      <c r="Z792"/>
      <c r="AA792"/>
    </row>
    <row r="793" spans="1:27">
      <c r="A793"/>
      <c r="B793"/>
      <c r="C793"/>
      <c r="D793"/>
      <c r="F793"/>
      <c r="Q793"/>
      <c r="R793"/>
      <c r="S793"/>
      <c r="T793"/>
      <c r="U793"/>
      <c r="V793"/>
      <c r="W793"/>
      <c r="X793"/>
      <c r="Y793"/>
      <c r="Z793"/>
      <c r="AA793"/>
    </row>
    <row r="794" spans="1:27">
      <c r="A794"/>
      <c r="B794"/>
      <c r="C794"/>
      <c r="D794"/>
      <c r="F794"/>
      <c r="Q794"/>
      <c r="R794"/>
      <c r="S794"/>
      <c r="T794"/>
      <c r="U794"/>
      <c r="V794"/>
      <c r="W794"/>
      <c r="X794"/>
      <c r="Y794"/>
      <c r="Z794"/>
      <c r="AA794"/>
    </row>
    <row r="795" spans="1:27">
      <c r="A795"/>
      <c r="B795"/>
      <c r="C795"/>
      <c r="D795"/>
      <c r="F795"/>
      <c r="Q795"/>
      <c r="R795"/>
      <c r="S795"/>
      <c r="T795"/>
      <c r="U795"/>
      <c r="V795"/>
      <c r="W795"/>
      <c r="X795"/>
      <c r="Y795"/>
      <c r="Z795"/>
      <c r="AA795"/>
    </row>
    <row r="796" spans="1:27">
      <c r="A796"/>
      <c r="B796"/>
      <c r="C796"/>
      <c r="D796"/>
      <c r="F796"/>
      <c r="Q796"/>
      <c r="R796"/>
      <c r="S796"/>
      <c r="T796"/>
      <c r="U796"/>
      <c r="V796"/>
      <c r="W796"/>
      <c r="X796"/>
      <c r="Y796"/>
      <c r="Z796"/>
      <c r="AA796"/>
    </row>
    <row r="797" spans="1:27">
      <c r="A797"/>
      <c r="B797"/>
      <c r="C797"/>
      <c r="D797"/>
      <c r="F797"/>
      <c r="Q797"/>
      <c r="R797"/>
      <c r="S797"/>
      <c r="T797"/>
      <c r="U797"/>
      <c r="V797"/>
      <c r="W797"/>
      <c r="X797"/>
      <c r="Y797"/>
      <c r="Z797"/>
      <c r="AA797"/>
    </row>
    <row r="798" spans="1:27">
      <c r="A798"/>
      <c r="B798"/>
      <c r="C798"/>
      <c r="D798"/>
      <c r="F798"/>
      <c r="Q798"/>
      <c r="R798"/>
      <c r="S798"/>
      <c r="T798"/>
      <c r="U798"/>
      <c r="V798"/>
      <c r="W798"/>
      <c r="X798"/>
      <c r="Y798"/>
      <c r="Z798"/>
      <c r="AA798"/>
    </row>
    <row r="799" spans="1:27">
      <c r="A799"/>
      <c r="B799"/>
      <c r="C799"/>
      <c r="D799"/>
      <c r="F799"/>
      <c r="Q799"/>
      <c r="R799"/>
      <c r="S799"/>
      <c r="T799"/>
      <c r="U799"/>
      <c r="V799"/>
      <c r="W799"/>
      <c r="X799"/>
      <c r="Y799"/>
      <c r="Z799"/>
      <c r="AA799"/>
    </row>
    <row r="800" spans="1:27">
      <c r="A800"/>
      <c r="B800"/>
      <c r="C800"/>
      <c r="D800"/>
      <c r="F800"/>
      <c r="Q800"/>
      <c r="R800"/>
      <c r="S800"/>
      <c r="T800"/>
      <c r="U800"/>
      <c r="V800"/>
      <c r="W800"/>
      <c r="X800"/>
      <c r="Y800"/>
      <c r="Z800"/>
      <c r="AA800"/>
    </row>
    <row r="801" spans="1:27">
      <c r="A801"/>
      <c r="B801"/>
      <c r="C801"/>
      <c r="D801"/>
      <c r="F801"/>
      <c r="Q801"/>
      <c r="R801"/>
      <c r="S801"/>
      <c r="T801"/>
      <c r="U801"/>
      <c r="V801"/>
      <c r="W801"/>
      <c r="X801"/>
      <c r="Y801"/>
      <c r="Z801"/>
      <c r="AA801"/>
    </row>
    <row r="802" spans="1:27">
      <c r="A802"/>
      <c r="B802"/>
      <c r="C802"/>
      <c r="D802"/>
      <c r="F802"/>
      <c r="Q802"/>
      <c r="R802"/>
      <c r="S802"/>
      <c r="T802"/>
      <c r="U802"/>
      <c r="V802"/>
      <c r="W802"/>
      <c r="X802"/>
      <c r="Y802"/>
      <c r="Z802"/>
      <c r="AA802"/>
    </row>
    <row r="803" spans="1:27">
      <c r="A803"/>
      <c r="B803"/>
      <c r="C803"/>
      <c r="D803"/>
      <c r="F803"/>
      <c r="Q803"/>
      <c r="R803"/>
      <c r="S803"/>
      <c r="T803"/>
      <c r="U803"/>
      <c r="V803"/>
      <c r="W803"/>
      <c r="X803"/>
      <c r="Y803"/>
      <c r="Z803"/>
      <c r="AA803"/>
    </row>
    <row r="804" spans="1:27">
      <c r="A804"/>
      <c r="B804"/>
      <c r="C804"/>
      <c r="D804"/>
      <c r="F804"/>
      <c r="Q804"/>
      <c r="R804"/>
      <c r="S804"/>
      <c r="T804"/>
      <c r="U804"/>
      <c r="V804"/>
      <c r="W804"/>
      <c r="X804"/>
      <c r="Y804"/>
      <c r="Z804"/>
      <c r="AA804"/>
    </row>
    <row r="805" spans="1:27">
      <c r="A805"/>
      <c r="B805"/>
      <c r="C805"/>
      <c r="D805"/>
      <c r="F805"/>
      <c r="Q805"/>
      <c r="R805"/>
      <c r="S805"/>
      <c r="T805"/>
      <c r="U805"/>
      <c r="V805"/>
      <c r="W805"/>
      <c r="X805"/>
      <c r="Y805"/>
      <c r="Z805"/>
      <c r="AA805"/>
    </row>
    <row r="806" spans="1:27">
      <c r="A806"/>
      <c r="B806"/>
      <c r="C806"/>
      <c r="D806"/>
      <c r="F806"/>
      <c r="Q806"/>
      <c r="R806"/>
      <c r="S806"/>
      <c r="T806"/>
      <c r="U806"/>
      <c r="V806"/>
      <c r="W806"/>
      <c r="X806"/>
      <c r="Y806"/>
      <c r="Z806"/>
      <c r="AA806"/>
    </row>
    <row r="807" spans="1:27">
      <c r="A807"/>
      <c r="B807"/>
      <c r="C807"/>
      <c r="D807"/>
      <c r="F807"/>
      <c r="Q807"/>
      <c r="R807"/>
      <c r="S807"/>
      <c r="T807"/>
      <c r="U807"/>
      <c r="V807"/>
      <c r="W807"/>
      <c r="X807"/>
      <c r="Y807"/>
      <c r="Z807"/>
      <c r="AA807"/>
    </row>
    <row r="808" spans="1:27">
      <c r="A808"/>
      <c r="B808"/>
      <c r="C808"/>
      <c r="D808"/>
      <c r="F808"/>
      <c r="Q808"/>
      <c r="R808"/>
      <c r="S808"/>
      <c r="T808"/>
      <c r="U808"/>
      <c r="V808"/>
      <c r="W808"/>
      <c r="X808"/>
      <c r="Y808"/>
      <c r="Z808"/>
      <c r="AA808"/>
    </row>
    <row r="809" spans="1:27">
      <c r="A809"/>
      <c r="B809"/>
      <c r="C809"/>
      <c r="D809"/>
      <c r="F809"/>
      <c r="Q809"/>
      <c r="R809"/>
      <c r="S809"/>
      <c r="T809"/>
      <c r="U809"/>
      <c r="V809"/>
      <c r="W809"/>
      <c r="X809"/>
      <c r="Y809"/>
      <c r="Z809"/>
      <c r="AA809"/>
    </row>
    <row r="810" spans="1:27">
      <c r="A810"/>
      <c r="B810"/>
      <c r="C810"/>
      <c r="D810"/>
      <c r="F810"/>
      <c r="Q810"/>
      <c r="R810"/>
      <c r="S810"/>
      <c r="T810"/>
      <c r="U810"/>
      <c r="V810"/>
      <c r="W810"/>
      <c r="X810"/>
      <c r="Y810"/>
      <c r="Z810"/>
      <c r="AA810"/>
    </row>
    <row r="811" spans="1:27">
      <c r="A811"/>
      <c r="B811"/>
      <c r="C811"/>
      <c r="D811"/>
      <c r="F811"/>
      <c r="Q811"/>
      <c r="R811"/>
      <c r="S811"/>
      <c r="T811"/>
      <c r="U811"/>
      <c r="V811"/>
      <c r="W811"/>
      <c r="X811"/>
      <c r="Y811"/>
      <c r="Z811"/>
      <c r="AA811"/>
    </row>
    <row r="812" spans="1:27">
      <c r="A812"/>
      <c r="B812"/>
      <c r="C812"/>
      <c r="D812"/>
      <c r="F812"/>
      <c r="Q812"/>
      <c r="R812"/>
      <c r="S812"/>
      <c r="T812"/>
      <c r="U812"/>
      <c r="V812"/>
      <c r="W812"/>
      <c r="X812"/>
      <c r="Y812"/>
      <c r="Z812"/>
      <c r="AA812"/>
    </row>
    <row r="813" spans="1:27">
      <c r="A813"/>
      <c r="B813"/>
      <c r="C813"/>
      <c r="D813"/>
      <c r="F813"/>
      <c r="Q813"/>
      <c r="R813"/>
      <c r="S813"/>
      <c r="T813"/>
      <c r="U813"/>
      <c r="V813"/>
      <c r="W813"/>
      <c r="X813"/>
      <c r="Y813"/>
      <c r="Z813"/>
      <c r="AA813"/>
    </row>
    <row r="814" spans="1:27">
      <c r="A814"/>
      <c r="B814"/>
      <c r="C814"/>
      <c r="D814"/>
      <c r="F814"/>
      <c r="Q814"/>
      <c r="R814"/>
      <c r="S814"/>
      <c r="T814"/>
      <c r="U814"/>
      <c r="V814"/>
      <c r="W814"/>
      <c r="X814"/>
      <c r="Y814"/>
      <c r="Z814"/>
      <c r="AA814"/>
    </row>
    <row r="815" spans="1:27">
      <c r="A815"/>
      <c r="B815"/>
      <c r="C815"/>
      <c r="D815"/>
      <c r="F815"/>
      <c r="Q815"/>
      <c r="R815"/>
      <c r="S815"/>
      <c r="T815"/>
      <c r="U815"/>
      <c r="V815"/>
      <c r="W815"/>
      <c r="X815"/>
      <c r="Y815"/>
      <c r="Z815"/>
      <c r="AA815"/>
    </row>
    <row r="816" spans="1:27">
      <c r="A816"/>
      <c r="B816"/>
      <c r="C816"/>
      <c r="D816"/>
      <c r="F816"/>
      <c r="Q816"/>
      <c r="R816"/>
      <c r="S816"/>
      <c r="T816"/>
      <c r="U816"/>
      <c r="V816"/>
      <c r="W816"/>
      <c r="X816"/>
      <c r="Y816"/>
      <c r="Z816"/>
      <c r="AA816"/>
    </row>
    <row r="817" spans="1:27">
      <c r="A817"/>
      <c r="B817"/>
      <c r="C817"/>
      <c r="D817"/>
      <c r="F817"/>
      <c r="Q817"/>
      <c r="R817"/>
      <c r="S817"/>
      <c r="T817"/>
      <c r="U817"/>
      <c r="V817"/>
      <c r="W817"/>
      <c r="X817"/>
      <c r="Y817"/>
      <c r="Z817"/>
      <c r="AA817"/>
    </row>
    <row r="818" spans="1:27">
      <c r="A818"/>
      <c r="B818"/>
      <c r="C818"/>
      <c r="D818"/>
      <c r="F818"/>
      <c r="Q818"/>
      <c r="R818"/>
      <c r="S818"/>
      <c r="T818"/>
      <c r="U818"/>
      <c r="V818"/>
      <c r="W818"/>
      <c r="X818"/>
      <c r="Y818"/>
      <c r="Z818"/>
      <c r="AA818"/>
    </row>
    <row r="819" spans="1:27">
      <c r="A819"/>
      <c r="B819"/>
      <c r="C819"/>
      <c r="D819"/>
      <c r="F819"/>
      <c r="Q819"/>
      <c r="R819"/>
      <c r="S819"/>
      <c r="T819"/>
      <c r="U819"/>
      <c r="V819"/>
      <c r="W819"/>
      <c r="X819"/>
      <c r="Y819"/>
      <c r="Z819"/>
      <c r="AA819"/>
    </row>
    <row r="820" spans="1:27">
      <c r="A820"/>
      <c r="B820"/>
      <c r="C820"/>
      <c r="D820"/>
      <c r="F820"/>
      <c r="Q820"/>
      <c r="R820"/>
      <c r="S820"/>
      <c r="T820"/>
      <c r="U820"/>
      <c r="V820"/>
      <c r="W820"/>
      <c r="X820"/>
      <c r="Y820"/>
      <c r="Z820"/>
      <c r="AA820"/>
    </row>
    <row r="821" spans="1:27">
      <c r="A821"/>
      <c r="B821"/>
      <c r="C821"/>
      <c r="D821"/>
      <c r="F821"/>
      <c r="Q821"/>
      <c r="R821"/>
      <c r="S821"/>
      <c r="T821"/>
      <c r="U821"/>
      <c r="V821"/>
      <c r="W821"/>
      <c r="X821"/>
      <c r="Y821"/>
      <c r="Z821"/>
      <c r="AA821"/>
    </row>
    <row r="822" spans="1:27">
      <c r="A822"/>
      <c r="B822"/>
      <c r="C822"/>
      <c r="D822"/>
      <c r="F822"/>
      <c r="Q822"/>
      <c r="R822"/>
      <c r="S822"/>
      <c r="T822"/>
      <c r="U822"/>
      <c r="V822"/>
      <c r="W822"/>
      <c r="X822"/>
      <c r="Y822"/>
      <c r="Z822"/>
      <c r="AA822"/>
    </row>
    <row r="823" spans="1:27">
      <c r="A823"/>
      <c r="B823"/>
      <c r="C823"/>
      <c r="D823"/>
      <c r="F823"/>
      <c r="Q823"/>
      <c r="R823"/>
      <c r="S823"/>
      <c r="T823"/>
      <c r="U823"/>
      <c r="V823"/>
      <c r="W823"/>
      <c r="X823"/>
      <c r="Y823"/>
      <c r="Z823"/>
      <c r="AA823"/>
    </row>
    <row r="824" spans="1:27">
      <c r="A824"/>
      <c r="B824"/>
      <c r="C824"/>
      <c r="D824"/>
      <c r="F824"/>
      <c r="Q824"/>
      <c r="R824"/>
      <c r="S824"/>
      <c r="T824"/>
      <c r="U824"/>
      <c r="V824"/>
      <c r="W824"/>
      <c r="X824"/>
      <c r="Y824"/>
      <c r="Z824"/>
      <c r="AA824"/>
    </row>
    <row r="825" spans="1:27">
      <c r="A825"/>
      <c r="B825"/>
      <c r="C825"/>
      <c r="D825"/>
      <c r="F825"/>
      <c r="Q825"/>
      <c r="R825"/>
      <c r="S825"/>
      <c r="T825"/>
      <c r="U825"/>
      <c r="V825"/>
      <c r="W825"/>
      <c r="X825"/>
      <c r="Y825"/>
      <c r="Z825"/>
      <c r="AA825"/>
    </row>
    <row r="826" spans="1:27">
      <c r="A826"/>
      <c r="B826"/>
      <c r="C826"/>
      <c r="D826"/>
      <c r="F826"/>
      <c r="Q826"/>
      <c r="R826"/>
      <c r="S826"/>
      <c r="T826"/>
      <c r="U826"/>
      <c r="V826"/>
      <c r="W826"/>
      <c r="X826"/>
      <c r="Y826"/>
      <c r="Z826"/>
      <c r="AA826"/>
    </row>
    <row r="827" spans="1:27">
      <c r="A827"/>
      <c r="B827"/>
      <c r="C827"/>
      <c r="D827"/>
      <c r="F827"/>
      <c r="Q827"/>
      <c r="R827"/>
      <c r="S827"/>
      <c r="T827"/>
      <c r="U827"/>
      <c r="V827"/>
      <c r="W827"/>
      <c r="X827"/>
      <c r="Y827"/>
      <c r="Z827"/>
      <c r="AA827"/>
    </row>
    <row r="828" spans="1:27">
      <c r="A828"/>
      <c r="B828"/>
      <c r="C828"/>
      <c r="D828"/>
      <c r="F828"/>
      <c r="Q828"/>
      <c r="R828"/>
      <c r="S828"/>
      <c r="T828"/>
      <c r="U828"/>
      <c r="V828"/>
      <c r="W828"/>
      <c r="X828"/>
      <c r="Y828"/>
      <c r="Z828"/>
      <c r="AA828"/>
    </row>
    <row r="829" spans="1:27">
      <c r="A829"/>
      <c r="B829"/>
      <c r="C829"/>
      <c r="D829"/>
      <c r="F829"/>
      <c r="Q829"/>
      <c r="R829"/>
      <c r="S829"/>
      <c r="T829"/>
      <c r="U829"/>
      <c r="V829"/>
      <c r="W829"/>
      <c r="X829"/>
      <c r="Y829"/>
      <c r="Z829"/>
      <c r="AA829"/>
    </row>
    <row r="830" spans="1:27">
      <c r="A830"/>
      <c r="B830"/>
      <c r="C830"/>
      <c r="D830"/>
      <c r="F830"/>
      <c r="Q830"/>
      <c r="R830"/>
      <c r="S830"/>
      <c r="T830"/>
      <c r="U830"/>
      <c r="V830"/>
      <c r="W830"/>
      <c r="X830"/>
      <c r="Y830"/>
      <c r="Z830"/>
      <c r="AA830"/>
    </row>
    <row r="831" spans="1:27">
      <c r="A831"/>
      <c r="B831"/>
      <c r="C831"/>
      <c r="D831"/>
      <c r="F831"/>
      <c r="Q831"/>
      <c r="R831"/>
      <c r="S831"/>
      <c r="T831"/>
      <c r="U831"/>
      <c r="V831"/>
      <c r="W831"/>
      <c r="X831"/>
      <c r="Y831"/>
      <c r="Z831"/>
      <c r="AA831"/>
    </row>
    <row r="832" spans="1:27">
      <c r="A832"/>
      <c r="B832"/>
      <c r="C832"/>
      <c r="D832"/>
      <c r="F832"/>
      <c r="Q832"/>
      <c r="R832"/>
      <c r="S832"/>
      <c r="T832"/>
      <c r="U832"/>
      <c r="V832"/>
      <c r="W832"/>
      <c r="X832"/>
      <c r="Y832"/>
      <c r="Z832"/>
      <c r="AA832"/>
    </row>
    <row r="833" spans="1:27">
      <c r="A833"/>
      <c r="B833"/>
      <c r="C833"/>
      <c r="D833"/>
      <c r="F833"/>
      <c r="Q833"/>
      <c r="R833"/>
      <c r="S833"/>
      <c r="T833"/>
      <c r="U833"/>
      <c r="V833"/>
      <c r="W833"/>
      <c r="X833"/>
      <c r="Y833"/>
      <c r="Z833"/>
      <c r="AA833"/>
    </row>
    <row r="834" spans="1:27">
      <c r="A834"/>
      <c r="B834"/>
      <c r="C834"/>
      <c r="D834"/>
      <c r="F834"/>
      <c r="Q834"/>
      <c r="R834"/>
      <c r="S834"/>
      <c r="T834"/>
      <c r="U834"/>
      <c r="V834"/>
      <c r="W834"/>
      <c r="X834"/>
      <c r="Y834"/>
      <c r="Z834"/>
      <c r="AA834"/>
    </row>
    <row r="835" spans="1:27">
      <c r="A835"/>
      <c r="B835"/>
      <c r="C835"/>
      <c r="D835"/>
      <c r="F835"/>
      <c r="Q835"/>
      <c r="R835"/>
      <c r="S835"/>
      <c r="T835"/>
      <c r="U835"/>
      <c r="V835"/>
      <c r="W835"/>
      <c r="X835"/>
      <c r="Y835"/>
      <c r="Z835"/>
      <c r="AA835"/>
    </row>
    <row r="836" spans="1:27">
      <c r="A836"/>
      <c r="B836"/>
      <c r="C836"/>
      <c r="D836"/>
      <c r="F836"/>
      <c r="Q836"/>
      <c r="R836"/>
      <c r="S836"/>
      <c r="T836"/>
      <c r="U836"/>
      <c r="V836"/>
      <c r="W836"/>
      <c r="X836"/>
      <c r="Y836"/>
      <c r="Z836"/>
      <c r="AA836"/>
    </row>
    <row r="837" spans="1:27">
      <c r="A837"/>
      <c r="B837"/>
      <c r="C837"/>
      <c r="D837"/>
      <c r="F837"/>
      <c r="Q837"/>
      <c r="R837"/>
      <c r="S837"/>
      <c r="T837"/>
      <c r="U837"/>
      <c r="V837"/>
      <c r="W837"/>
      <c r="X837"/>
      <c r="Y837"/>
      <c r="Z837"/>
      <c r="AA837"/>
    </row>
    <row r="838" spans="1:27">
      <c r="A838"/>
      <c r="B838"/>
      <c r="C838"/>
      <c r="D838"/>
      <c r="F838"/>
      <c r="Q838"/>
      <c r="R838"/>
      <c r="S838"/>
      <c r="T838"/>
      <c r="U838"/>
      <c r="V838"/>
      <c r="W838"/>
      <c r="X838"/>
      <c r="Y838"/>
      <c r="Z838"/>
      <c r="AA838"/>
    </row>
    <row r="839" spans="1:27">
      <c r="A839"/>
      <c r="B839"/>
      <c r="C839"/>
      <c r="D839"/>
      <c r="F839"/>
      <c r="Q839"/>
      <c r="R839"/>
      <c r="S839"/>
      <c r="T839"/>
      <c r="U839"/>
      <c r="V839"/>
      <c r="W839"/>
      <c r="X839"/>
      <c r="Y839"/>
      <c r="Z839"/>
      <c r="AA839"/>
    </row>
    <row r="840" spans="1:27">
      <c r="A840"/>
      <c r="B840"/>
      <c r="C840"/>
      <c r="D840"/>
      <c r="F840"/>
      <c r="Q840"/>
      <c r="R840"/>
      <c r="S840"/>
      <c r="T840"/>
      <c r="U840"/>
      <c r="V840"/>
      <c r="W840"/>
      <c r="X840"/>
      <c r="Y840"/>
      <c r="Z840"/>
      <c r="AA840"/>
    </row>
    <row r="841" spans="1:27">
      <c r="A841"/>
      <c r="B841"/>
      <c r="C841"/>
      <c r="D841"/>
      <c r="F841"/>
      <c r="Q841"/>
      <c r="R841"/>
      <c r="S841"/>
      <c r="T841"/>
      <c r="U841"/>
      <c r="V841"/>
      <c r="W841"/>
      <c r="X841"/>
      <c r="Y841"/>
      <c r="Z841"/>
      <c r="AA841"/>
    </row>
    <row r="842" spans="1:27">
      <c r="A842"/>
      <c r="B842"/>
      <c r="C842"/>
      <c r="D842"/>
      <c r="F842"/>
      <c r="Q842"/>
      <c r="R842"/>
      <c r="S842"/>
      <c r="T842"/>
      <c r="U842"/>
      <c r="V842"/>
      <c r="W842"/>
      <c r="X842"/>
      <c r="Y842"/>
      <c r="Z842"/>
      <c r="AA842"/>
    </row>
    <row r="843" spans="1:27">
      <c r="A843"/>
      <c r="B843"/>
      <c r="C843"/>
      <c r="D843"/>
      <c r="F843"/>
      <c r="Q843"/>
      <c r="R843"/>
      <c r="S843"/>
      <c r="T843"/>
      <c r="U843"/>
      <c r="V843"/>
      <c r="W843"/>
      <c r="X843"/>
      <c r="Y843"/>
      <c r="Z843"/>
      <c r="AA843"/>
    </row>
    <row r="844" spans="1:27">
      <c r="A844"/>
      <c r="B844"/>
      <c r="C844"/>
      <c r="D844"/>
      <c r="F844"/>
      <c r="Q844"/>
      <c r="R844"/>
      <c r="S844"/>
      <c r="T844"/>
      <c r="U844"/>
      <c r="V844"/>
      <c r="W844"/>
      <c r="X844"/>
      <c r="Y844"/>
      <c r="Z844"/>
      <c r="AA844"/>
    </row>
    <row r="845" spans="1:27">
      <c r="A845"/>
      <c r="B845"/>
      <c r="C845"/>
      <c r="D845"/>
      <c r="F845"/>
      <c r="Q845"/>
      <c r="R845"/>
      <c r="S845"/>
      <c r="T845"/>
      <c r="U845"/>
      <c r="V845"/>
      <c r="W845"/>
      <c r="X845"/>
      <c r="Y845"/>
      <c r="Z845"/>
      <c r="AA845"/>
    </row>
    <row r="846" spans="1:27">
      <c r="A846"/>
      <c r="B846"/>
      <c r="C846"/>
      <c r="D846"/>
      <c r="F846"/>
      <c r="Q846"/>
      <c r="R846"/>
      <c r="S846"/>
      <c r="T846"/>
      <c r="U846"/>
      <c r="V846"/>
      <c r="W846"/>
      <c r="X846"/>
      <c r="Y846"/>
      <c r="Z846"/>
      <c r="AA846"/>
    </row>
    <row r="847" spans="1:27">
      <c r="A847"/>
      <c r="B847"/>
      <c r="C847"/>
      <c r="D847"/>
      <c r="F847"/>
      <c r="Q847"/>
      <c r="R847"/>
      <c r="S847"/>
      <c r="T847"/>
      <c r="U847"/>
      <c r="V847"/>
      <c r="W847"/>
      <c r="X847"/>
      <c r="Y847"/>
      <c r="Z847"/>
      <c r="AA847"/>
    </row>
    <row r="848" spans="1:27">
      <c r="A848"/>
      <c r="B848"/>
      <c r="C848"/>
      <c r="D848"/>
      <c r="F848"/>
      <c r="Q848"/>
      <c r="R848"/>
      <c r="S848"/>
      <c r="T848"/>
      <c r="U848"/>
      <c r="V848"/>
      <c r="W848"/>
      <c r="X848"/>
      <c r="Y848"/>
      <c r="Z848"/>
      <c r="AA848"/>
    </row>
    <row r="849" spans="1:27">
      <c r="A849"/>
      <c r="B849"/>
      <c r="C849"/>
      <c r="D849"/>
      <c r="F849"/>
      <c r="Q849"/>
      <c r="R849"/>
      <c r="S849"/>
      <c r="T849"/>
      <c r="U849"/>
      <c r="V849"/>
      <c r="W849"/>
      <c r="X849"/>
      <c r="Y849"/>
      <c r="Z849"/>
      <c r="AA849"/>
    </row>
    <row r="850" spans="1:27">
      <c r="A850"/>
      <c r="B850"/>
      <c r="C850"/>
      <c r="D850"/>
      <c r="F850"/>
      <c r="Q850"/>
      <c r="R850"/>
      <c r="S850"/>
      <c r="T850"/>
      <c r="U850"/>
      <c r="V850"/>
      <c r="W850"/>
      <c r="X850"/>
      <c r="Y850"/>
      <c r="Z850"/>
      <c r="AA850"/>
    </row>
    <row r="851" spans="1:27">
      <c r="A851"/>
      <c r="B851"/>
      <c r="C851"/>
      <c r="D851"/>
      <c r="F851"/>
      <c r="Q851"/>
      <c r="R851"/>
      <c r="S851"/>
      <c r="T851"/>
      <c r="U851"/>
      <c r="V851"/>
      <c r="W851"/>
      <c r="X851"/>
      <c r="Y851"/>
      <c r="Z851"/>
      <c r="AA851"/>
    </row>
    <row r="852" spans="1:27">
      <c r="A852"/>
      <c r="B852"/>
      <c r="C852"/>
      <c r="D852"/>
      <c r="F852"/>
      <c r="Q852"/>
      <c r="R852"/>
      <c r="S852"/>
      <c r="T852"/>
      <c r="U852"/>
      <c r="V852"/>
      <c r="W852"/>
      <c r="X852"/>
      <c r="Y852"/>
      <c r="Z852"/>
      <c r="AA852"/>
    </row>
    <row r="853" spans="1:27">
      <c r="A853"/>
      <c r="B853"/>
      <c r="C853"/>
      <c r="D853"/>
      <c r="F853"/>
      <c r="Q853"/>
      <c r="R853"/>
      <c r="S853"/>
      <c r="T853"/>
      <c r="U853"/>
      <c r="V853"/>
      <c r="W853"/>
      <c r="X853"/>
      <c r="Y853"/>
      <c r="Z853"/>
      <c r="AA853"/>
    </row>
    <row r="854" spans="1:27">
      <c r="A854"/>
      <c r="B854"/>
      <c r="C854"/>
      <c r="D854"/>
      <c r="F854"/>
      <c r="Q854"/>
      <c r="R854"/>
      <c r="S854"/>
      <c r="T854"/>
      <c r="U854"/>
      <c r="V854"/>
      <c r="W854"/>
      <c r="X854"/>
      <c r="Y854"/>
      <c r="Z854"/>
      <c r="AA854"/>
    </row>
    <row r="855" spans="1:27">
      <c r="A855"/>
      <c r="B855"/>
      <c r="C855"/>
      <c r="D855"/>
      <c r="F855"/>
      <c r="Q855"/>
      <c r="R855"/>
      <c r="S855"/>
      <c r="T855"/>
      <c r="U855"/>
      <c r="V855"/>
      <c r="W855"/>
      <c r="X855"/>
      <c r="Y855"/>
      <c r="Z855"/>
      <c r="AA855"/>
    </row>
    <row r="856" spans="1:27">
      <c r="A856"/>
      <c r="B856"/>
      <c r="C856"/>
      <c r="D856"/>
      <c r="F856"/>
      <c r="Q856"/>
      <c r="R856"/>
      <c r="S856"/>
      <c r="T856"/>
      <c r="U856"/>
      <c r="V856"/>
      <c r="W856"/>
      <c r="X856"/>
      <c r="Y856"/>
      <c r="Z856"/>
      <c r="AA856"/>
    </row>
    <row r="857" spans="1:27">
      <c r="A857"/>
      <c r="B857"/>
      <c r="C857"/>
      <c r="D857"/>
      <c r="F857"/>
      <c r="Q857"/>
      <c r="R857"/>
      <c r="S857"/>
      <c r="T857"/>
      <c r="U857"/>
      <c r="V857"/>
      <c r="W857"/>
      <c r="X857"/>
      <c r="Y857"/>
      <c r="Z857"/>
      <c r="AA857"/>
    </row>
    <row r="858" spans="1:27">
      <c r="A858"/>
      <c r="B858"/>
      <c r="C858"/>
      <c r="D858"/>
      <c r="F858"/>
      <c r="Q858"/>
      <c r="R858"/>
      <c r="S858"/>
      <c r="T858"/>
      <c r="U858"/>
      <c r="V858"/>
      <c r="W858"/>
      <c r="X858"/>
      <c r="Y858"/>
      <c r="Z858"/>
      <c r="AA858"/>
    </row>
    <row r="859" spans="1:27">
      <c r="A859"/>
      <c r="B859"/>
      <c r="C859"/>
      <c r="D859"/>
      <c r="F859"/>
      <c r="Q859"/>
      <c r="R859"/>
      <c r="S859"/>
      <c r="T859"/>
      <c r="U859"/>
      <c r="V859"/>
      <c r="W859"/>
      <c r="X859"/>
      <c r="Y859"/>
      <c r="Z859"/>
      <c r="AA859"/>
    </row>
    <row r="860" spans="1:27">
      <c r="A860"/>
      <c r="B860"/>
      <c r="C860"/>
      <c r="D860"/>
      <c r="F860"/>
      <c r="Q860"/>
      <c r="R860"/>
      <c r="S860"/>
      <c r="T860"/>
      <c r="U860"/>
      <c r="V860"/>
      <c r="W860"/>
      <c r="X860"/>
      <c r="Y860"/>
      <c r="Z860"/>
      <c r="AA860"/>
    </row>
    <row r="861" spans="1:27">
      <c r="A861"/>
      <c r="B861"/>
      <c r="C861"/>
      <c r="D861"/>
      <c r="F861"/>
      <c r="Q861"/>
      <c r="R861"/>
      <c r="S861"/>
      <c r="T861"/>
      <c r="U861"/>
      <c r="V861"/>
      <c r="W861"/>
      <c r="X861"/>
      <c r="Y861"/>
      <c r="Z861"/>
      <c r="AA861"/>
    </row>
    <row r="862" spans="1:27">
      <c r="A862"/>
      <c r="B862"/>
      <c r="C862"/>
      <c r="D862"/>
      <c r="F862"/>
      <c r="Q862"/>
      <c r="R862"/>
      <c r="S862"/>
      <c r="T862"/>
      <c r="U862"/>
      <c r="V862"/>
      <c r="W862"/>
      <c r="X862"/>
      <c r="Y862"/>
      <c r="Z862"/>
      <c r="AA862"/>
    </row>
    <row r="863" spans="1:27">
      <c r="A863"/>
      <c r="B863"/>
      <c r="C863"/>
      <c r="D863"/>
      <c r="F863"/>
      <c r="Q863"/>
      <c r="R863"/>
      <c r="S863"/>
      <c r="T863"/>
      <c r="U863"/>
      <c r="V863"/>
      <c r="W863"/>
      <c r="X863"/>
      <c r="Y863"/>
      <c r="Z863"/>
      <c r="AA863"/>
    </row>
    <row r="864" spans="1:27">
      <c r="A864"/>
      <c r="B864"/>
      <c r="C864"/>
      <c r="D864"/>
      <c r="F864"/>
      <c r="Q864"/>
      <c r="R864"/>
      <c r="S864"/>
      <c r="T864"/>
      <c r="U864"/>
      <c r="V864"/>
      <c r="W864"/>
      <c r="X864"/>
      <c r="Y864"/>
      <c r="Z864"/>
      <c r="AA864"/>
    </row>
    <row r="865" spans="1:27">
      <c r="A865"/>
      <c r="B865"/>
      <c r="C865"/>
      <c r="D865"/>
      <c r="F865"/>
      <c r="Q865"/>
      <c r="R865"/>
      <c r="S865"/>
      <c r="T865"/>
      <c r="U865"/>
      <c r="V865"/>
      <c r="W865"/>
      <c r="X865"/>
      <c r="Y865"/>
      <c r="Z865"/>
      <c r="AA865"/>
    </row>
    <row r="866" spans="1:27">
      <c r="A866"/>
      <c r="B866"/>
      <c r="C866"/>
      <c r="D866"/>
      <c r="F866"/>
      <c r="Q866"/>
      <c r="R866"/>
      <c r="S866"/>
      <c r="T866"/>
      <c r="U866"/>
      <c r="V866"/>
      <c r="W866"/>
      <c r="X866"/>
      <c r="Y866"/>
      <c r="Z866"/>
      <c r="AA866"/>
    </row>
    <row r="867" spans="1:27">
      <c r="A867"/>
      <c r="B867"/>
      <c r="C867"/>
      <c r="D867"/>
      <c r="F867"/>
      <c r="Q867"/>
      <c r="R867"/>
      <c r="S867"/>
      <c r="T867"/>
      <c r="U867"/>
      <c r="V867"/>
      <c r="W867"/>
      <c r="X867"/>
      <c r="Y867"/>
      <c r="Z867"/>
      <c r="AA867"/>
    </row>
    <row r="868" spans="1:27">
      <c r="A868"/>
      <c r="B868"/>
      <c r="C868"/>
      <c r="D868"/>
      <c r="F868"/>
      <c r="Q868"/>
      <c r="R868"/>
      <c r="S868"/>
      <c r="T868"/>
      <c r="U868"/>
      <c r="V868"/>
      <c r="W868"/>
      <c r="X868"/>
      <c r="Y868"/>
      <c r="Z868"/>
      <c r="AA868"/>
    </row>
    <row r="869" spans="1:27">
      <c r="A869"/>
      <c r="B869"/>
      <c r="C869"/>
      <c r="D869"/>
      <c r="F869"/>
      <c r="Q869"/>
      <c r="R869"/>
      <c r="S869"/>
      <c r="T869"/>
      <c r="U869"/>
      <c r="V869"/>
      <c r="W869"/>
      <c r="X869"/>
      <c r="Y869"/>
      <c r="Z869"/>
      <c r="AA869"/>
    </row>
    <row r="870" spans="1:27">
      <c r="A870"/>
      <c r="B870"/>
      <c r="C870"/>
      <c r="D870"/>
      <c r="F870"/>
      <c r="Q870"/>
      <c r="R870"/>
      <c r="S870"/>
      <c r="T870"/>
      <c r="U870"/>
      <c r="V870"/>
      <c r="W870"/>
      <c r="X870"/>
      <c r="Y870"/>
      <c r="Z870"/>
      <c r="AA870"/>
    </row>
    <row r="871" spans="1:27">
      <c r="A871"/>
      <c r="B871"/>
      <c r="C871"/>
      <c r="D871"/>
      <c r="F871"/>
      <c r="Q871"/>
      <c r="R871"/>
      <c r="S871"/>
      <c r="T871"/>
      <c r="U871"/>
      <c r="V871"/>
      <c r="W871"/>
      <c r="X871"/>
      <c r="Y871"/>
      <c r="Z871"/>
      <c r="AA871"/>
    </row>
    <row r="872" spans="1:27">
      <c r="A872"/>
      <c r="B872"/>
      <c r="C872"/>
      <c r="D872"/>
      <c r="F872"/>
      <c r="Q872"/>
      <c r="R872"/>
      <c r="S872"/>
      <c r="T872"/>
      <c r="U872"/>
      <c r="V872"/>
      <c r="W872"/>
      <c r="X872"/>
      <c r="Y872"/>
      <c r="Z872"/>
      <c r="AA872"/>
    </row>
    <row r="873" spans="1:27">
      <c r="A873"/>
      <c r="B873"/>
      <c r="C873"/>
      <c r="D873"/>
      <c r="F873"/>
      <c r="Q873"/>
      <c r="R873"/>
      <c r="S873"/>
      <c r="T873"/>
      <c r="U873"/>
      <c r="V873"/>
      <c r="W873"/>
      <c r="X873"/>
      <c r="Y873"/>
      <c r="Z873"/>
      <c r="AA873"/>
    </row>
    <row r="874" spans="1:27">
      <c r="A874"/>
      <c r="B874"/>
      <c r="C874"/>
      <c r="D874"/>
      <c r="F874"/>
      <c r="Q874"/>
      <c r="R874"/>
      <c r="S874"/>
      <c r="T874"/>
      <c r="U874"/>
      <c r="V874"/>
      <c r="W874"/>
      <c r="X874"/>
      <c r="Y874"/>
      <c r="Z874"/>
      <c r="AA874"/>
    </row>
    <row r="875" spans="1:27">
      <c r="A875"/>
      <c r="B875"/>
      <c r="C875"/>
      <c r="D875"/>
      <c r="F875"/>
      <c r="Q875"/>
      <c r="R875"/>
      <c r="S875"/>
      <c r="T875"/>
      <c r="U875"/>
      <c r="V875"/>
      <c r="W875"/>
      <c r="X875"/>
      <c r="Y875"/>
      <c r="Z875"/>
      <c r="AA875"/>
    </row>
    <row r="876" spans="1:27">
      <c r="A876"/>
      <c r="B876"/>
      <c r="C876"/>
      <c r="D876"/>
      <c r="F876"/>
      <c r="Q876"/>
      <c r="R876"/>
      <c r="S876"/>
      <c r="T876"/>
      <c r="U876"/>
      <c r="V876"/>
      <c r="W876"/>
      <c r="X876"/>
      <c r="Y876"/>
      <c r="Z876"/>
      <c r="AA876"/>
    </row>
    <row r="877" spans="1:27">
      <c r="A877"/>
      <c r="B877"/>
      <c r="C877"/>
      <c r="D877"/>
      <c r="F877"/>
      <c r="Q877"/>
      <c r="R877"/>
      <c r="S877"/>
      <c r="T877"/>
      <c r="U877"/>
      <c r="V877"/>
      <c r="W877"/>
      <c r="X877"/>
      <c r="Y877"/>
      <c r="Z877"/>
      <c r="AA877"/>
    </row>
    <row r="878" spans="1:27">
      <c r="A878"/>
      <c r="B878"/>
      <c r="C878"/>
      <c r="D878"/>
      <c r="F878"/>
      <c r="Q878"/>
      <c r="R878"/>
      <c r="S878"/>
      <c r="T878"/>
      <c r="U878"/>
      <c r="V878"/>
      <c r="W878"/>
      <c r="X878"/>
      <c r="Y878"/>
      <c r="Z878"/>
      <c r="AA878"/>
    </row>
    <row r="879" spans="1:27">
      <c r="A879"/>
      <c r="B879"/>
      <c r="C879"/>
      <c r="D879"/>
      <c r="F879"/>
      <c r="Q879"/>
      <c r="R879"/>
      <c r="S879"/>
      <c r="T879"/>
      <c r="U879"/>
      <c r="V879"/>
      <c r="W879"/>
      <c r="X879"/>
      <c r="Y879"/>
      <c r="Z879"/>
      <c r="AA879"/>
    </row>
    <row r="880" spans="1:27">
      <c r="A880"/>
      <c r="B880"/>
      <c r="C880"/>
      <c r="D880"/>
      <c r="F880"/>
      <c r="Q880"/>
      <c r="R880"/>
      <c r="S880"/>
      <c r="T880"/>
      <c r="U880"/>
      <c r="V880"/>
      <c r="W880"/>
      <c r="X880"/>
      <c r="Y880"/>
      <c r="Z880"/>
      <c r="AA880"/>
    </row>
    <row r="881" spans="1:27">
      <c r="A881"/>
      <c r="B881"/>
      <c r="C881"/>
      <c r="D881"/>
      <c r="F881"/>
      <c r="Q881"/>
      <c r="R881"/>
      <c r="S881"/>
      <c r="T881"/>
      <c r="U881"/>
      <c r="V881"/>
      <c r="W881"/>
      <c r="X881"/>
      <c r="Y881"/>
      <c r="Z881"/>
      <c r="AA881"/>
    </row>
    <row r="882" spans="1:27">
      <c r="A882"/>
      <c r="B882"/>
      <c r="C882"/>
      <c r="D882"/>
      <c r="F882"/>
      <c r="Q882"/>
      <c r="R882"/>
      <c r="S882"/>
      <c r="T882"/>
      <c r="U882"/>
      <c r="V882"/>
      <c r="W882"/>
      <c r="X882"/>
      <c r="Y882"/>
      <c r="Z882"/>
      <c r="AA882"/>
    </row>
    <row r="883" spans="1:27">
      <c r="A883"/>
      <c r="B883"/>
      <c r="C883"/>
      <c r="D883"/>
      <c r="F883"/>
      <c r="Q883"/>
      <c r="R883"/>
      <c r="S883"/>
      <c r="T883"/>
      <c r="U883"/>
      <c r="V883"/>
      <c r="W883"/>
      <c r="X883"/>
      <c r="Y883"/>
      <c r="Z883"/>
      <c r="AA883"/>
    </row>
    <row r="884" spans="1:27">
      <c r="A884"/>
      <c r="B884"/>
      <c r="C884"/>
      <c r="D884"/>
      <c r="F884"/>
      <c r="Q884"/>
      <c r="R884"/>
      <c r="S884"/>
      <c r="T884"/>
      <c r="U884"/>
      <c r="V884"/>
      <c r="W884"/>
      <c r="X884"/>
      <c r="Y884"/>
      <c r="Z884"/>
      <c r="AA884"/>
    </row>
    <row r="885" spans="1:27">
      <c r="A885"/>
      <c r="B885"/>
      <c r="C885"/>
      <c r="D885"/>
      <c r="F885"/>
      <c r="Q885"/>
      <c r="R885"/>
      <c r="S885"/>
      <c r="T885"/>
      <c r="U885"/>
      <c r="V885"/>
      <c r="W885"/>
      <c r="X885"/>
      <c r="Y885"/>
      <c r="Z885"/>
      <c r="AA885"/>
    </row>
    <row r="886" spans="1:27">
      <c r="A886"/>
      <c r="B886"/>
      <c r="C886"/>
      <c r="D886"/>
      <c r="F886"/>
      <c r="Q886"/>
      <c r="R886"/>
      <c r="S886"/>
      <c r="T886"/>
      <c r="U886"/>
      <c r="V886"/>
      <c r="W886"/>
      <c r="X886"/>
      <c r="Y886"/>
      <c r="Z886"/>
      <c r="AA886"/>
    </row>
    <row r="887" spans="1:27">
      <c r="A887"/>
      <c r="B887"/>
      <c r="C887"/>
      <c r="D887"/>
      <c r="F887"/>
      <c r="Q887"/>
      <c r="R887"/>
      <c r="S887"/>
      <c r="T887"/>
      <c r="U887"/>
      <c r="V887"/>
      <c r="W887"/>
      <c r="X887"/>
      <c r="Y887"/>
      <c r="Z887"/>
      <c r="AA887"/>
    </row>
    <row r="888" spans="1:27">
      <c r="A888"/>
      <c r="B888"/>
      <c r="C888"/>
      <c r="D888"/>
      <c r="F888"/>
      <c r="Q888"/>
      <c r="R888"/>
      <c r="S888"/>
      <c r="T888"/>
      <c r="U888"/>
      <c r="V888"/>
      <c r="W888"/>
      <c r="X888"/>
      <c r="Y888"/>
      <c r="Z888"/>
      <c r="AA888"/>
    </row>
    <row r="889" spans="1:27">
      <c r="A889"/>
      <c r="B889"/>
      <c r="C889"/>
      <c r="D889"/>
      <c r="F889"/>
      <c r="Q889"/>
      <c r="R889"/>
      <c r="S889"/>
      <c r="T889"/>
      <c r="U889"/>
      <c r="V889"/>
      <c r="W889"/>
      <c r="X889"/>
      <c r="Y889"/>
      <c r="Z889"/>
      <c r="AA889"/>
    </row>
    <row r="890" spans="1:27">
      <c r="A890"/>
      <c r="B890"/>
      <c r="C890"/>
      <c r="D890"/>
      <c r="F890"/>
      <c r="Q890"/>
      <c r="R890"/>
      <c r="S890"/>
      <c r="T890"/>
      <c r="U890"/>
      <c r="V890"/>
      <c r="W890"/>
      <c r="X890"/>
      <c r="Y890"/>
      <c r="Z890"/>
      <c r="AA890"/>
    </row>
    <row r="891" spans="1:27">
      <c r="A891"/>
      <c r="B891"/>
      <c r="C891"/>
      <c r="D891"/>
      <c r="F891"/>
      <c r="Q891"/>
      <c r="R891"/>
      <c r="S891"/>
      <c r="T891"/>
      <c r="U891"/>
      <c r="V891"/>
      <c r="W891"/>
      <c r="X891"/>
      <c r="Y891"/>
      <c r="Z891"/>
      <c r="AA891"/>
    </row>
    <row r="892" spans="1:27">
      <c r="A892"/>
      <c r="B892"/>
      <c r="C892"/>
      <c r="D892"/>
      <c r="F892"/>
      <c r="Q892"/>
      <c r="R892"/>
      <c r="S892"/>
      <c r="T892"/>
      <c r="U892"/>
      <c r="V892"/>
      <c r="W892"/>
      <c r="X892"/>
      <c r="Y892"/>
      <c r="Z892"/>
      <c r="AA892"/>
    </row>
    <row r="893" spans="1:27">
      <c r="A893"/>
      <c r="B893"/>
      <c r="C893"/>
      <c r="D893"/>
      <c r="F893"/>
      <c r="Q893"/>
      <c r="R893"/>
      <c r="S893"/>
      <c r="T893"/>
      <c r="U893"/>
      <c r="V893"/>
      <c r="W893"/>
      <c r="X893"/>
      <c r="Y893"/>
      <c r="Z893"/>
      <c r="AA893"/>
    </row>
    <row r="894" spans="1:27">
      <c r="A894"/>
      <c r="B894"/>
      <c r="C894"/>
      <c r="D894"/>
      <c r="F894"/>
      <c r="Q894"/>
      <c r="R894"/>
      <c r="S894"/>
      <c r="T894"/>
      <c r="U894"/>
      <c r="V894"/>
      <c r="W894"/>
      <c r="X894"/>
      <c r="Y894"/>
      <c r="Z894"/>
      <c r="AA894"/>
    </row>
    <row r="895" spans="1:27">
      <c r="A895"/>
      <c r="B895"/>
      <c r="C895"/>
      <c r="D895"/>
      <c r="F895"/>
      <c r="Q895"/>
      <c r="R895"/>
      <c r="S895"/>
      <c r="T895"/>
      <c r="U895"/>
      <c r="V895"/>
      <c r="W895"/>
      <c r="X895"/>
      <c r="Y895"/>
      <c r="Z895"/>
      <c r="AA895"/>
    </row>
    <row r="896" spans="1:27">
      <c r="A896"/>
      <c r="B896"/>
      <c r="C896"/>
      <c r="D896"/>
      <c r="F896"/>
      <c r="Q896"/>
      <c r="R896"/>
      <c r="S896"/>
      <c r="T896"/>
      <c r="U896"/>
      <c r="V896"/>
      <c r="W896"/>
      <c r="X896"/>
      <c r="Y896"/>
      <c r="Z896"/>
      <c r="AA896"/>
    </row>
    <row r="897" spans="1:27">
      <c r="A897"/>
      <c r="B897"/>
      <c r="C897"/>
      <c r="D897"/>
      <c r="F897"/>
      <c r="Q897"/>
      <c r="R897"/>
      <c r="S897"/>
      <c r="T897"/>
      <c r="U897"/>
      <c r="V897"/>
      <c r="W897"/>
      <c r="X897"/>
      <c r="Y897"/>
      <c r="Z897"/>
      <c r="AA897"/>
    </row>
    <row r="898" spans="1:27">
      <c r="A898"/>
      <c r="B898"/>
      <c r="C898"/>
      <c r="D898"/>
      <c r="F898"/>
      <c r="Q898"/>
      <c r="R898"/>
      <c r="S898"/>
      <c r="T898"/>
      <c r="U898"/>
      <c r="V898"/>
      <c r="W898"/>
      <c r="X898"/>
      <c r="Y898"/>
      <c r="Z898"/>
      <c r="AA898"/>
    </row>
    <row r="899" spans="1:27">
      <c r="A899"/>
      <c r="B899"/>
      <c r="C899"/>
      <c r="D899"/>
      <c r="F899"/>
      <c r="Q899"/>
      <c r="R899"/>
      <c r="S899"/>
      <c r="T899"/>
      <c r="U899"/>
      <c r="V899"/>
      <c r="W899"/>
      <c r="X899"/>
      <c r="Y899"/>
      <c r="Z899"/>
      <c r="AA899"/>
    </row>
    <row r="900" spans="1:27">
      <c r="A900"/>
      <c r="B900"/>
      <c r="C900"/>
      <c r="D900"/>
      <c r="F900"/>
      <c r="Q900"/>
      <c r="R900"/>
      <c r="S900"/>
      <c r="T900"/>
      <c r="U900"/>
      <c r="V900"/>
      <c r="W900"/>
      <c r="X900"/>
      <c r="Y900"/>
      <c r="Z900"/>
      <c r="AA900"/>
    </row>
    <row r="901" spans="1:27">
      <c r="A901"/>
      <c r="B901"/>
      <c r="C901"/>
      <c r="D901"/>
      <c r="F901"/>
      <c r="Q901"/>
      <c r="R901"/>
      <c r="S901"/>
      <c r="T901"/>
      <c r="U901"/>
      <c r="V901"/>
      <c r="W901"/>
      <c r="X901"/>
      <c r="Y901"/>
      <c r="Z901"/>
      <c r="AA901"/>
    </row>
    <row r="902" spans="1:27">
      <c r="A902"/>
      <c r="B902"/>
      <c r="C902"/>
      <c r="D902"/>
      <c r="F902"/>
      <c r="Q902"/>
      <c r="R902"/>
      <c r="S902"/>
      <c r="T902"/>
      <c r="U902"/>
      <c r="V902"/>
      <c r="W902"/>
      <c r="X902"/>
      <c r="Y902"/>
      <c r="Z902"/>
      <c r="AA902"/>
    </row>
    <row r="903" spans="1:27">
      <c r="A903"/>
      <c r="B903"/>
      <c r="C903"/>
      <c r="D903"/>
      <c r="F903"/>
      <c r="Q903"/>
      <c r="R903"/>
      <c r="S903"/>
      <c r="T903"/>
      <c r="U903"/>
      <c r="V903"/>
      <c r="W903"/>
      <c r="X903"/>
      <c r="Y903"/>
      <c r="Z903"/>
      <c r="AA903"/>
    </row>
    <row r="904" spans="1:27">
      <c r="A904"/>
      <c r="B904"/>
      <c r="C904"/>
      <c r="D904"/>
      <c r="F904"/>
      <c r="Q904"/>
      <c r="R904"/>
      <c r="S904"/>
      <c r="T904"/>
      <c r="U904"/>
      <c r="V904"/>
      <c r="W904"/>
      <c r="X904"/>
      <c r="Y904"/>
      <c r="Z904"/>
      <c r="AA904"/>
    </row>
    <row r="905" spans="1:27">
      <c r="A905"/>
      <c r="B905"/>
      <c r="C905"/>
      <c r="D905"/>
      <c r="F905"/>
      <c r="Q905"/>
      <c r="R905"/>
      <c r="S905"/>
      <c r="T905"/>
      <c r="U905"/>
      <c r="V905"/>
      <c r="W905"/>
      <c r="X905"/>
      <c r="Y905"/>
      <c r="Z905"/>
      <c r="AA905"/>
    </row>
    <row r="906" spans="1:27">
      <c r="A906"/>
      <c r="B906"/>
      <c r="C906"/>
      <c r="D906"/>
      <c r="F906"/>
      <c r="Q906"/>
      <c r="R906"/>
      <c r="S906"/>
      <c r="T906"/>
      <c r="U906"/>
      <c r="V906"/>
      <c r="W906"/>
      <c r="X906"/>
      <c r="Y906"/>
      <c r="Z906"/>
      <c r="AA906"/>
    </row>
    <row r="907" spans="1:27">
      <c r="A907"/>
      <c r="B907"/>
      <c r="C907"/>
      <c r="D907"/>
      <c r="F907"/>
      <c r="Q907"/>
      <c r="R907"/>
      <c r="S907"/>
      <c r="T907"/>
      <c r="U907"/>
      <c r="V907"/>
      <c r="W907"/>
      <c r="X907"/>
      <c r="Y907"/>
      <c r="Z907"/>
      <c r="AA907"/>
    </row>
    <row r="908" spans="1:27">
      <c r="A908"/>
      <c r="B908"/>
      <c r="C908"/>
      <c r="D908"/>
      <c r="F908"/>
      <c r="Q908"/>
      <c r="R908"/>
      <c r="S908"/>
      <c r="T908"/>
      <c r="U908"/>
      <c r="V908"/>
      <c r="W908"/>
      <c r="X908"/>
      <c r="Y908"/>
      <c r="Z908"/>
      <c r="AA908"/>
    </row>
    <row r="909" spans="1:27">
      <c r="A909"/>
      <c r="B909"/>
      <c r="C909"/>
      <c r="D909"/>
      <c r="F909"/>
      <c r="Q909"/>
      <c r="R909"/>
      <c r="S909"/>
      <c r="T909"/>
      <c r="U909"/>
      <c r="V909"/>
      <c r="W909"/>
      <c r="X909"/>
      <c r="Y909"/>
      <c r="Z909"/>
      <c r="AA909"/>
    </row>
    <row r="910" spans="1:27">
      <c r="A910"/>
      <c r="B910"/>
      <c r="C910"/>
      <c r="D910"/>
      <c r="F910"/>
      <c r="Q910"/>
      <c r="R910"/>
      <c r="S910"/>
      <c r="T910"/>
      <c r="U910"/>
      <c r="V910"/>
      <c r="W910"/>
      <c r="X910"/>
      <c r="Y910"/>
      <c r="Z910"/>
      <c r="AA910"/>
    </row>
    <row r="911" spans="1:27">
      <c r="A911"/>
      <c r="B911"/>
      <c r="C911"/>
      <c r="D911"/>
      <c r="F911"/>
      <c r="Q911"/>
      <c r="R911"/>
      <c r="S911"/>
      <c r="T911"/>
      <c r="U911"/>
      <c r="V911"/>
      <c r="W911"/>
      <c r="X911"/>
      <c r="Y911"/>
      <c r="Z911"/>
      <c r="AA911"/>
    </row>
    <row r="912" spans="1:27">
      <c r="A912"/>
      <c r="B912"/>
      <c r="C912"/>
      <c r="D912"/>
      <c r="F912"/>
      <c r="Q912"/>
      <c r="R912"/>
      <c r="S912"/>
      <c r="T912"/>
      <c r="U912"/>
      <c r="V912"/>
      <c r="W912"/>
      <c r="X912"/>
      <c r="Y912"/>
      <c r="Z912"/>
      <c r="AA912"/>
    </row>
    <row r="913" spans="1:27">
      <c r="A913"/>
      <c r="B913"/>
      <c r="C913"/>
      <c r="D913"/>
      <c r="F913"/>
      <c r="Q913"/>
      <c r="R913"/>
      <c r="S913"/>
      <c r="T913"/>
      <c r="U913"/>
      <c r="V913"/>
      <c r="W913"/>
      <c r="X913"/>
      <c r="Y913"/>
      <c r="Z913"/>
      <c r="AA913"/>
    </row>
    <row r="914" spans="1:27">
      <c r="A914"/>
      <c r="B914"/>
      <c r="C914"/>
      <c r="D914"/>
      <c r="F914"/>
      <c r="Q914"/>
      <c r="R914"/>
      <c r="S914"/>
      <c r="T914"/>
      <c r="U914"/>
      <c r="V914"/>
      <c r="W914"/>
      <c r="X914"/>
      <c r="Y914"/>
      <c r="Z914"/>
      <c r="AA914"/>
    </row>
    <row r="915" spans="1:27">
      <c r="A915"/>
      <c r="B915"/>
      <c r="C915"/>
      <c r="D915"/>
      <c r="F915"/>
      <c r="Q915"/>
      <c r="R915"/>
      <c r="S915"/>
      <c r="T915"/>
      <c r="U915"/>
      <c r="V915"/>
      <c r="W915"/>
      <c r="X915"/>
      <c r="Y915"/>
      <c r="Z915"/>
      <c r="AA915"/>
    </row>
    <row r="916" spans="1:27">
      <c r="A916"/>
      <c r="B916"/>
      <c r="C916"/>
      <c r="D916"/>
      <c r="F916"/>
      <c r="Q916"/>
      <c r="R916"/>
      <c r="S916"/>
      <c r="T916"/>
      <c r="U916"/>
      <c r="V916"/>
      <c r="W916"/>
      <c r="X916"/>
      <c r="Y916"/>
      <c r="Z916"/>
      <c r="AA916"/>
    </row>
    <row r="917" spans="1:27">
      <c r="A917"/>
      <c r="B917"/>
      <c r="C917"/>
      <c r="D917"/>
      <c r="F917"/>
      <c r="Q917"/>
      <c r="R917"/>
      <c r="S917"/>
      <c r="T917"/>
      <c r="U917"/>
      <c r="V917"/>
      <c r="W917"/>
      <c r="X917"/>
      <c r="Y917"/>
      <c r="Z917"/>
      <c r="AA917"/>
    </row>
    <row r="918" spans="1:27">
      <c r="A918"/>
      <c r="B918"/>
      <c r="C918"/>
      <c r="D918"/>
      <c r="F918"/>
      <c r="Q918"/>
      <c r="R918"/>
      <c r="S918"/>
      <c r="T918"/>
      <c r="U918"/>
      <c r="V918"/>
      <c r="W918"/>
      <c r="X918"/>
      <c r="Y918"/>
      <c r="Z918"/>
      <c r="AA918"/>
    </row>
    <row r="919" spans="1:27">
      <c r="A919"/>
      <c r="B919"/>
      <c r="C919"/>
      <c r="D919"/>
      <c r="F919"/>
      <c r="Q919"/>
      <c r="R919"/>
      <c r="S919"/>
      <c r="T919"/>
      <c r="U919"/>
      <c r="V919"/>
      <c r="W919"/>
      <c r="X919"/>
      <c r="Y919"/>
      <c r="Z919"/>
      <c r="AA919"/>
    </row>
    <row r="920" spans="1:27">
      <c r="A920"/>
      <c r="B920"/>
      <c r="C920"/>
      <c r="D920"/>
      <c r="F920"/>
      <c r="Q920"/>
      <c r="R920"/>
      <c r="S920"/>
      <c r="T920"/>
      <c r="U920"/>
      <c r="V920"/>
      <c r="W920"/>
      <c r="X920"/>
      <c r="Y920"/>
      <c r="Z920"/>
      <c r="AA920"/>
    </row>
    <row r="921" spans="1:27">
      <c r="A921"/>
      <c r="B921"/>
      <c r="C921"/>
      <c r="D921"/>
      <c r="F921"/>
      <c r="Q921"/>
      <c r="R921"/>
      <c r="S921"/>
      <c r="T921"/>
      <c r="U921"/>
      <c r="V921"/>
      <c r="W921"/>
      <c r="X921"/>
      <c r="Y921"/>
      <c r="Z921"/>
      <c r="AA921"/>
    </row>
    <row r="922" spans="1:27">
      <c r="A922"/>
      <c r="B922"/>
      <c r="C922"/>
      <c r="D922"/>
      <c r="F922"/>
      <c r="Q922"/>
      <c r="R922"/>
      <c r="S922"/>
      <c r="T922"/>
      <c r="U922"/>
      <c r="V922"/>
      <c r="W922"/>
      <c r="X922"/>
      <c r="Y922"/>
      <c r="Z922"/>
      <c r="AA922"/>
    </row>
    <row r="923" spans="1:27">
      <c r="A923"/>
      <c r="B923"/>
      <c r="C923"/>
      <c r="D923"/>
      <c r="F923"/>
      <c r="Q923"/>
      <c r="R923"/>
      <c r="S923"/>
      <c r="T923"/>
      <c r="U923"/>
      <c r="V923"/>
      <c r="W923"/>
      <c r="X923"/>
      <c r="Y923"/>
      <c r="Z923"/>
      <c r="AA923"/>
    </row>
    <row r="924" spans="1:27">
      <c r="A924"/>
      <c r="B924"/>
      <c r="C924"/>
      <c r="D924"/>
      <c r="F924"/>
      <c r="Q924"/>
      <c r="R924"/>
      <c r="S924"/>
      <c r="T924"/>
      <c r="U924"/>
      <c r="V924"/>
      <c r="W924"/>
      <c r="X924"/>
      <c r="Y924"/>
      <c r="Z924"/>
      <c r="AA924"/>
    </row>
    <row r="925" spans="1:27">
      <c r="A925"/>
      <c r="B925"/>
      <c r="C925"/>
      <c r="D925"/>
      <c r="F925"/>
      <c r="Q925"/>
      <c r="R925"/>
      <c r="S925"/>
      <c r="T925"/>
      <c r="U925"/>
      <c r="V925"/>
      <c r="W925"/>
      <c r="X925"/>
      <c r="Y925"/>
      <c r="Z925"/>
      <c r="AA925"/>
    </row>
    <row r="926" spans="1:27">
      <c r="A926"/>
      <c r="B926"/>
      <c r="C926"/>
      <c r="D926"/>
      <c r="F926"/>
      <c r="Q926"/>
      <c r="R926"/>
      <c r="S926"/>
      <c r="T926"/>
      <c r="U926"/>
      <c r="V926"/>
      <c r="W926"/>
      <c r="X926"/>
      <c r="Y926"/>
      <c r="Z926"/>
      <c r="AA926"/>
    </row>
    <row r="927" spans="1:27">
      <c r="A927"/>
      <c r="B927"/>
      <c r="C927"/>
      <c r="D927"/>
      <c r="F927"/>
      <c r="Q927"/>
      <c r="R927"/>
      <c r="S927"/>
      <c r="T927"/>
      <c r="U927"/>
      <c r="V927"/>
      <c r="W927"/>
      <c r="X927"/>
      <c r="Y927"/>
      <c r="Z927"/>
      <c r="AA927"/>
    </row>
    <row r="928" spans="1:27">
      <c r="A928"/>
      <c r="B928"/>
      <c r="C928"/>
      <c r="D928"/>
      <c r="F928"/>
      <c r="Q928"/>
      <c r="R928"/>
      <c r="S928"/>
      <c r="T928"/>
      <c r="U928"/>
      <c r="V928"/>
      <c r="W928"/>
      <c r="X928"/>
      <c r="Y928"/>
      <c r="Z928"/>
      <c r="AA928"/>
    </row>
    <row r="929" spans="1:27">
      <c r="A929"/>
      <c r="B929"/>
      <c r="C929"/>
      <c r="D929"/>
      <c r="F929"/>
      <c r="Q929"/>
      <c r="R929"/>
      <c r="S929"/>
      <c r="T929"/>
      <c r="U929"/>
      <c r="V929"/>
      <c r="W929"/>
      <c r="X929"/>
      <c r="Y929"/>
      <c r="Z929"/>
      <c r="AA929"/>
    </row>
    <row r="930" spans="1:27">
      <c r="A930"/>
      <c r="B930"/>
      <c r="C930"/>
      <c r="D930"/>
      <c r="F930"/>
      <c r="Q930"/>
      <c r="R930"/>
      <c r="S930"/>
      <c r="T930"/>
      <c r="U930"/>
      <c r="V930"/>
      <c r="W930"/>
      <c r="X930"/>
      <c r="Y930"/>
      <c r="Z930"/>
      <c r="AA930"/>
    </row>
    <row r="931" spans="1:27">
      <c r="A931"/>
      <c r="B931"/>
      <c r="C931"/>
      <c r="D931"/>
      <c r="F931"/>
      <c r="Q931"/>
      <c r="R931"/>
      <c r="S931"/>
      <c r="T931"/>
      <c r="U931"/>
      <c r="V931"/>
      <c r="W931"/>
      <c r="X931"/>
      <c r="Y931"/>
      <c r="Z931"/>
      <c r="AA931"/>
    </row>
    <row r="932" spans="1:27">
      <c r="A932"/>
      <c r="B932"/>
      <c r="C932"/>
      <c r="D932"/>
      <c r="F932"/>
      <c r="Q932"/>
      <c r="R932"/>
      <c r="S932"/>
      <c r="T932"/>
      <c r="U932"/>
      <c r="V932"/>
      <c r="W932"/>
      <c r="X932"/>
      <c r="Y932"/>
      <c r="Z932"/>
      <c r="AA932"/>
    </row>
    <row r="933" spans="1:27">
      <c r="A933"/>
      <c r="B933"/>
      <c r="C933"/>
      <c r="D933"/>
      <c r="F933"/>
      <c r="Q933"/>
      <c r="R933"/>
      <c r="S933"/>
      <c r="T933"/>
      <c r="U933"/>
      <c r="V933"/>
      <c r="W933"/>
      <c r="X933"/>
      <c r="Y933"/>
      <c r="Z933"/>
      <c r="AA933"/>
    </row>
    <row r="934" spans="1:27">
      <c r="A934"/>
      <c r="B934"/>
      <c r="C934"/>
      <c r="D934"/>
      <c r="F934"/>
      <c r="Q934"/>
      <c r="R934"/>
      <c r="S934"/>
      <c r="T934"/>
      <c r="U934"/>
      <c r="V934"/>
      <c r="W934"/>
      <c r="X934"/>
      <c r="Y934"/>
      <c r="Z934"/>
      <c r="AA934"/>
    </row>
    <row r="935" spans="1:27">
      <c r="A935"/>
      <c r="B935"/>
      <c r="C935"/>
      <c r="D935"/>
      <c r="F935"/>
      <c r="Q935"/>
      <c r="R935"/>
      <c r="S935"/>
      <c r="T935"/>
      <c r="U935"/>
      <c r="V935"/>
      <c r="W935"/>
      <c r="X935"/>
      <c r="Y935"/>
      <c r="Z935"/>
      <c r="AA935"/>
    </row>
    <row r="936" spans="1:27">
      <c r="A936"/>
      <c r="B936"/>
      <c r="C936"/>
      <c r="D936"/>
      <c r="F936"/>
      <c r="Q936"/>
      <c r="R936"/>
      <c r="S936"/>
      <c r="T936"/>
      <c r="U936"/>
      <c r="V936"/>
      <c r="W936"/>
      <c r="X936"/>
      <c r="Y936"/>
      <c r="Z936"/>
      <c r="AA936"/>
    </row>
    <row r="937" spans="1:27">
      <c r="A937"/>
      <c r="B937"/>
      <c r="C937"/>
      <c r="D937"/>
      <c r="F937"/>
      <c r="Q937"/>
      <c r="R937"/>
      <c r="S937"/>
      <c r="T937"/>
      <c r="U937"/>
      <c r="V937"/>
      <c r="W937"/>
      <c r="X937"/>
      <c r="Y937"/>
      <c r="Z937"/>
      <c r="AA937"/>
    </row>
    <row r="938" spans="1:27">
      <c r="A938"/>
      <c r="B938"/>
      <c r="C938"/>
      <c r="D938"/>
      <c r="F938"/>
      <c r="Q938"/>
      <c r="R938"/>
      <c r="S938"/>
      <c r="T938"/>
      <c r="U938"/>
      <c r="V938"/>
      <c r="W938"/>
      <c r="X938"/>
      <c r="Y938"/>
      <c r="Z938"/>
      <c r="AA938"/>
    </row>
    <row r="939" spans="1:27">
      <c r="A939"/>
      <c r="B939"/>
      <c r="C939"/>
      <c r="D939"/>
      <c r="F939"/>
      <c r="Q939"/>
      <c r="R939"/>
      <c r="S939"/>
      <c r="T939"/>
      <c r="U939"/>
      <c r="V939"/>
      <c r="W939"/>
      <c r="X939"/>
      <c r="Y939"/>
      <c r="Z939"/>
      <c r="AA939"/>
    </row>
    <row r="940" spans="1:27">
      <c r="A940"/>
      <c r="B940"/>
      <c r="C940"/>
      <c r="D940"/>
      <c r="F940"/>
      <c r="Q940"/>
      <c r="R940"/>
      <c r="S940"/>
      <c r="T940"/>
      <c r="U940"/>
      <c r="V940"/>
      <c r="W940"/>
      <c r="X940"/>
      <c r="Y940"/>
      <c r="Z940"/>
      <c r="AA940"/>
    </row>
    <row r="941" spans="1:27">
      <c r="A941"/>
      <c r="B941"/>
      <c r="C941"/>
      <c r="D941"/>
      <c r="F941"/>
      <c r="Q941"/>
      <c r="R941"/>
      <c r="S941"/>
      <c r="T941"/>
      <c r="U941"/>
      <c r="V941"/>
      <c r="W941"/>
      <c r="X941"/>
      <c r="Y941"/>
      <c r="Z941"/>
      <c r="AA941"/>
    </row>
    <row r="942" spans="1:27">
      <c r="A942"/>
      <c r="B942"/>
      <c r="C942"/>
      <c r="D942"/>
      <c r="F942"/>
      <c r="Q942"/>
      <c r="R942"/>
      <c r="S942"/>
      <c r="T942"/>
      <c r="U942"/>
      <c r="V942"/>
      <c r="W942"/>
      <c r="X942"/>
      <c r="Y942"/>
      <c r="Z942"/>
      <c r="AA942"/>
    </row>
    <row r="943" spans="1:27">
      <c r="A943"/>
      <c r="B943"/>
      <c r="C943"/>
      <c r="D943"/>
      <c r="F943"/>
      <c r="Q943"/>
      <c r="R943"/>
      <c r="S943"/>
      <c r="T943"/>
      <c r="U943"/>
      <c r="V943"/>
      <c r="W943"/>
      <c r="X943"/>
      <c r="Y943"/>
      <c r="Z943"/>
      <c r="AA943"/>
    </row>
    <row r="944" spans="1:27">
      <c r="A944"/>
      <c r="B944"/>
      <c r="C944"/>
      <c r="D944"/>
      <c r="F944"/>
      <c r="Q944"/>
      <c r="R944"/>
      <c r="S944"/>
      <c r="T944"/>
      <c r="U944"/>
      <c r="V944"/>
      <c r="W944"/>
      <c r="X944"/>
      <c r="Y944"/>
      <c r="Z944"/>
      <c r="AA944"/>
    </row>
    <row r="945" spans="1:27">
      <c r="A945"/>
      <c r="B945"/>
      <c r="C945"/>
      <c r="D945"/>
      <c r="F945"/>
      <c r="Q945"/>
      <c r="R945"/>
      <c r="S945"/>
      <c r="T945"/>
      <c r="U945"/>
      <c r="V945"/>
      <c r="W945"/>
      <c r="X945"/>
      <c r="Y945"/>
      <c r="Z945"/>
      <c r="AA945"/>
    </row>
    <row r="946" spans="1:27">
      <c r="A946"/>
      <c r="B946"/>
      <c r="C946"/>
      <c r="D946"/>
      <c r="F946"/>
      <c r="Q946"/>
      <c r="R946"/>
      <c r="S946"/>
      <c r="T946"/>
      <c r="U946"/>
      <c r="V946"/>
      <c r="W946"/>
      <c r="X946"/>
      <c r="Y946"/>
      <c r="Z946"/>
      <c r="AA946"/>
    </row>
    <row r="947" spans="1:27">
      <c r="A947"/>
      <c r="B947"/>
      <c r="C947"/>
      <c r="D947"/>
      <c r="F947"/>
      <c r="Q947"/>
      <c r="R947"/>
      <c r="S947"/>
      <c r="T947"/>
      <c r="U947"/>
      <c r="V947"/>
      <c r="W947"/>
      <c r="X947"/>
      <c r="Y947"/>
      <c r="Z947"/>
      <c r="AA947"/>
    </row>
    <row r="948" spans="1:27">
      <c r="A948"/>
      <c r="B948"/>
      <c r="C948"/>
      <c r="D948"/>
      <c r="F948"/>
      <c r="Q948"/>
      <c r="R948"/>
      <c r="S948"/>
      <c r="T948"/>
      <c r="U948"/>
      <c r="V948"/>
      <c r="W948"/>
      <c r="X948"/>
      <c r="Y948"/>
      <c r="Z948"/>
      <c r="AA948"/>
    </row>
    <row r="949" spans="1:27">
      <c r="A949"/>
      <c r="B949"/>
      <c r="C949"/>
      <c r="D949"/>
      <c r="F949"/>
      <c r="Q949"/>
      <c r="R949"/>
      <c r="S949"/>
      <c r="T949"/>
      <c r="U949"/>
      <c r="V949"/>
      <c r="W949"/>
      <c r="X949"/>
      <c r="Y949"/>
      <c r="Z949"/>
      <c r="AA949"/>
    </row>
    <row r="950" spans="1:27">
      <c r="A950"/>
      <c r="B950"/>
      <c r="C950"/>
      <c r="D950"/>
      <c r="F950"/>
      <c r="Q950"/>
      <c r="R950"/>
      <c r="S950"/>
      <c r="T950"/>
      <c r="U950"/>
      <c r="V950"/>
      <c r="W950"/>
      <c r="X950"/>
      <c r="Y950"/>
      <c r="Z950"/>
      <c r="AA950"/>
    </row>
    <row r="951" spans="1:27">
      <c r="A951"/>
      <c r="B951"/>
      <c r="C951"/>
      <c r="D951"/>
      <c r="F951"/>
      <c r="Q951"/>
      <c r="R951"/>
      <c r="S951"/>
      <c r="T951"/>
      <c r="U951"/>
      <c r="V951"/>
      <c r="W951"/>
      <c r="X951"/>
      <c r="Y951"/>
      <c r="Z951"/>
      <c r="AA951"/>
    </row>
    <row r="952" spans="1:27">
      <c r="A952"/>
      <c r="B952"/>
      <c r="C952"/>
      <c r="D952"/>
      <c r="F952"/>
      <c r="Q952"/>
      <c r="R952"/>
      <c r="S952"/>
      <c r="T952"/>
      <c r="U952"/>
      <c r="V952"/>
      <c r="W952"/>
      <c r="X952"/>
      <c r="Y952"/>
      <c r="Z952"/>
      <c r="AA952"/>
    </row>
    <row r="953" spans="1:27">
      <c r="A953"/>
      <c r="B953"/>
      <c r="C953"/>
      <c r="D953"/>
      <c r="F953"/>
      <c r="Q953"/>
      <c r="R953"/>
      <c r="S953"/>
      <c r="T953"/>
      <c r="U953"/>
      <c r="V953"/>
      <c r="W953"/>
      <c r="X953"/>
      <c r="Y953"/>
      <c r="Z953"/>
      <c r="AA953"/>
    </row>
    <row r="954" spans="1:27">
      <c r="A954"/>
      <c r="B954"/>
      <c r="C954"/>
      <c r="D954"/>
      <c r="F954"/>
      <c r="Q954"/>
      <c r="R954"/>
      <c r="S954"/>
      <c r="T954"/>
      <c r="U954"/>
      <c r="V954"/>
      <c r="W954"/>
      <c r="X954"/>
      <c r="Y954"/>
      <c r="Z954"/>
      <c r="AA954"/>
    </row>
    <row r="955" spans="1:27">
      <c r="A955"/>
      <c r="B955"/>
      <c r="C955"/>
      <c r="D955"/>
      <c r="F955"/>
      <c r="Q955"/>
      <c r="R955"/>
      <c r="S955"/>
      <c r="T955"/>
      <c r="U955"/>
      <c r="V955"/>
      <c r="W955"/>
      <c r="X955"/>
      <c r="Y955"/>
      <c r="Z955"/>
      <c r="AA955"/>
    </row>
    <row r="956" spans="1:27">
      <c r="A956"/>
      <c r="B956"/>
      <c r="C956"/>
      <c r="D956"/>
      <c r="F956"/>
      <c r="Q956"/>
      <c r="R956"/>
      <c r="S956"/>
      <c r="T956"/>
      <c r="U956"/>
      <c r="V956"/>
      <c r="W956"/>
      <c r="X956"/>
      <c r="Y956"/>
      <c r="Z956"/>
      <c r="AA956"/>
    </row>
    <row r="957" spans="1:27">
      <c r="A957"/>
      <c r="B957"/>
      <c r="C957"/>
      <c r="D957"/>
      <c r="F957"/>
      <c r="Q957"/>
      <c r="R957"/>
      <c r="S957"/>
      <c r="T957"/>
      <c r="U957"/>
      <c r="V957"/>
      <c r="W957"/>
      <c r="X957"/>
      <c r="Y957"/>
      <c r="Z957"/>
      <c r="AA957"/>
    </row>
    <row r="958" spans="1:27">
      <c r="A958"/>
      <c r="B958"/>
      <c r="C958"/>
      <c r="D958"/>
      <c r="F958"/>
      <c r="Q958"/>
      <c r="R958"/>
      <c r="S958"/>
      <c r="T958"/>
      <c r="U958"/>
      <c r="V958"/>
      <c r="W958"/>
      <c r="X958"/>
      <c r="Y958"/>
      <c r="Z958"/>
      <c r="AA958"/>
    </row>
    <row r="959" spans="1:27">
      <c r="A959"/>
      <c r="B959"/>
      <c r="C959"/>
      <c r="D959"/>
      <c r="F959"/>
      <c r="Q959"/>
      <c r="R959"/>
      <c r="S959"/>
      <c r="T959"/>
      <c r="U959"/>
      <c r="V959"/>
      <c r="W959"/>
      <c r="X959"/>
      <c r="Y959"/>
      <c r="Z959"/>
      <c r="AA959"/>
    </row>
    <row r="960" spans="1:27">
      <c r="A960"/>
      <c r="B960"/>
      <c r="C960"/>
      <c r="D960"/>
      <c r="F960"/>
      <c r="Q960"/>
      <c r="R960"/>
      <c r="S960"/>
      <c r="T960"/>
      <c r="U960"/>
      <c r="V960"/>
      <c r="W960"/>
      <c r="X960"/>
      <c r="Y960"/>
      <c r="Z960"/>
      <c r="AA960"/>
    </row>
    <row r="961" spans="1:27">
      <c r="A961"/>
      <c r="B961"/>
      <c r="C961"/>
      <c r="D961"/>
      <c r="F961"/>
      <c r="Q961"/>
      <c r="R961"/>
      <c r="S961"/>
      <c r="T961"/>
      <c r="U961"/>
      <c r="V961"/>
      <c r="W961"/>
      <c r="X961"/>
      <c r="Y961"/>
      <c r="Z961"/>
      <c r="AA961"/>
    </row>
    <row r="962" spans="1:27">
      <c r="A962"/>
      <c r="B962"/>
      <c r="C962"/>
      <c r="D962"/>
      <c r="F962"/>
      <c r="Q962"/>
      <c r="R962"/>
      <c r="S962"/>
      <c r="T962"/>
      <c r="U962"/>
      <c r="V962"/>
      <c r="W962"/>
      <c r="X962"/>
      <c r="Y962"/>
      <c r="Z962"/>
      <c r="AA962"/>
    </row>
    <row r="963" spans="1:27">
      <c r="A963"/>
      <c r="B963"/>
      <c r="C963"/>
      <c r="D963"/>
      <c r="F963"/>
      <c r="Q963"/>
      <c r="R963"/>
      <c r="S963"/>
      <c r="T963"/>
      <c r="U963"/>
      <c r="V963"/>
      <c r="W963"/>
      <c r="X963"/>
      <c r="Y963"/>
      <c r="Z963"/>
      <c r="AA963"/>
    </row>
    <row r="964" spans="1:27">
      <c r="A964"/>
      <c r="B964"/>
      <c r="C964"/>
      <c r="D964"/>
      <c r="F964"/>
      <c r="Q964"/>
      <c r="R964"/>
      <c r="S964"/>
      <c r="T964"/>
      <c r="U964"/>
      <c r="V964"/>
      <c r="W964"/>
      <c r="X964"/>
      <c r="Y964"/>
      <c r="Z964"/>
      <c r="AA964"/>
    </row>
    <row r="965" spans="1:27">
      <c r="A965"/>
      <c r="B965"/>
      <c r="C965"/>
      <c r="D965"/>
      <c r="F965"/>
      <c r="Q965"/>
      <c r="R965"/>
      <c r="S965"/>
      <c r="T965"/>
      <c r="U965"/>
      <c r="V965"/>
      <c r="W965"/>
      <c r="X965"/>
      <c r="Y965"/>
      <c r="Z965"/>
      <c r="AA965"/>
    </row>
    <row r="966" spans="1:27">
      <c r="A966"/>
      <c r="B966"/>
      <c r="C966"/>
      <c r="D966"/>
      <c r="F966"/>
      <c r="Q966"/>
      <c r="R966"/>
      <c r="S966"/>
      <c r="T966"/>
      <c r="U966"/>
      <c r="V966"/>
      <c r="W966"/>
      <c r="X966"/>
      <c r="Y966"/>
      <c r="Z966"/>
      <c r="AA966"/>
    </row>
    <row r="967" spans="1:27">
      <c r="A967"/>
      <c r="B967"/>
      <c r="C967"/>
      <c r="D967"/>
      <c r="F967"/>
      <c r="Q967"/>
      <c r="R967"/>
      <c r="S967"/>
      <c r="T967"/>
      <c r="U967"/>
      <c r="V967"/>
      <c r="W967"/>
      <c r="X967"/>
      <c r="Y967"/>
      <c r="Z967"/>
      <c r="AA967"/>
    </row>
    <row r="968" spans="1:27">
      <c r="A968"/>
      <c r="B968"/>
      <c r="C968"/>
      <c r="D968"/>
      <c r="F968"/>
      <c r="Q968"/>
      <c r="R968"/>
      <c r="S968"/>
      <c r="T968"/>
      <c r="U968"/>
      <c r="V968"/>
      <c r="W968"/>
      <c r="X968"/>
      <c r="Y968"/>
      <c r="Z968"/>
      <c r="AA968"/>
    </row>
    <row r="969" spans="1:27">
      <c r="A969"/>
      <c r="B969"/>
      <c r="C969"/>
      <c r="D969"/>
      <c r="F969"/>
      <c r="Q969"/>
      <c r="R969"/>
      <c r="S969"/>
      <c r="T969"/>
      <c r="U969"/>
      <c r="V969"/>
      <c r="W969"/>
      <c r="X969"/>
      <c r="Y969"/>
      <c r="Z969"/>
      <c r="AA969"/>
    </row>
    <row r="970" spans="1:27">
      <c r="A970"/>
      <c r="B970"/>
      <c r="C970"/>
      <c r="D970"/>
      <c r="F970"/>
      <c r="Q970"/>
      <c r="R970"/>
      <c r="S970"/>
      <c r="T970"/>
      <c r="U970"/>
      <c r="V970"/>
      <c r="W970"/>
      <c r="X970"/>
      <c r="Y970"/>
      <c r="Z970"/>
      <c r="AA970"/>
    </row>
    <row r="971" spans="1:27">
      <c r="A971"/>
      <c r="B971"/>
      <c r="C971"/>
      <c r="D971"/>
      <c r="F971"/>
      <c r="Q971"/>
      <c r="R971"/>
      <c r="S971"/>
      <c r="T971"/>
      <c r="U971"/>
      <c r="V971"/>
      <c r="W971"/>
      <c r="X971"/>
      <c r="Y971"/>
      <c r="Z971"/>
      <c r="AA971"/>
    </row>
    <row r="972" spans="1:27">
      <c r="A972"/>
      <c r="B972"/>
      <c r="C972"/>
      <c r="D972"/>
      <c r="F972"/>
      <c r="Q972"/>
      <c r="R972"/>
      <c r="S972"/>
      <c r="T972"/>
      <c r="U972"/>
      <c r="V972"/>
      <c r="W972"/>
      <c r="X972"/>
      <c r="Y972"/>
      <c r="Z972"/>
      <c r="AA972"/>
    </row>
    <row r="973" spans="1:27">
      <c r="A973"/>
      <c r="B973"/>
      <c r="C973"/>
      <c r="D973"/>
      <c r="F973"/>
      <c r="Q973"/>
      <c r="R973"/>
      <c r="S973"/>
      <c r="T973"/>
      <c r="U973"/>
      <c r="V973"/>
      <c r="W973"/>
      <c r="X973"/>
      <c r="Y973"/>
      <c r="Z973"/>
      <c r="AA973"/>
    </row>
    <row r="974" spans="1:27">
      <c r="A974"/>
      <c r="B974"/>
      <c r="C974"/>
      <c r="D974"/>
      <c r="F974"/>
      <c r="Q974"/>
      <c r="R974"/>
      <c r="S974"/>
      <c r="T974"/>
      <c r="U974"/>
      <c r="V974"/>
      <c r="W974"/>
      <c r="X974"/>
      <c r="Y974"/>
      <c r="Z974"/>
      <c r="AA974"/>
    </row>
    <row r="975" spans="1:27">
      <c r="A975"/>
      <c r="B975"/>
      <c r="C975"/>
      <c r="D975"/>
      <c r="F975"/>
      <c r="Q975"/>
      <c r="R975"/>
      <c r="S975"/>
      <c r="T975"/>
      <c r="U975"/>
      <c r="V975"/>
      <c r="W975"/>
      <c r="X975"/>
      <c r="Y975"/>
      <c r="Z975"/>
      <c r="AA975"/>
    </row>
    <row r="976" spans="1:27">
      <c r="A976"/>
      <c r="B976"/>
      <c r="C976"/>
      <c r="D976"/>
      <c r="F976"/>
      <c r="Q976"/>
      <c r="R976"/>
      <c r="S976"/>
      <c r="T976"/>
      <c r="U976"/>
      <c r="V976"/>
      <c r="W976"/>
      <c r="X976"/>
      <c r="Y976"/>
      <c r="Z976"/>
      <c r="AA976"/>
    </row>
    <row r="977" spans="1:27">
      <c r="A977"/>
      <c r="B977"/>
      <c r="C977"/>
      <c r="D977"/>
      <c r="F977"/>
      <c r="Q977"/>
      <c r="R977"/>
      <c r="S977"/>
      <c r="T977"/>
      <c r="U977"/>
      <c r="V977"/>
      <c r="W977"/>
      <c r="X977"/>
      <c r="Y977"/>
      <c r="Z977"/>
      <c r="AA977"/>
    </row>
    <row r="978" spans="1:27">
      <c r="A978"/>
      <c r="B978"/>
      <c r="C978"/>
      <c r="D978"/>
      <c r="F978"/>
      <c r="Q978"/>
      <c r="R978"/>
      <c r="S978"/>
      <c r="T978"/>
      <c r="U978"/>
      <c r="V978"/>
      <c r="W978"/>
      <c r="X978"/>
      <c r="Y978"/>
      <c r="Z978"/>
      <c r="AA978"/>
    </row>
    <row r="979" spans="1:27">
      <c r="A979"/>
      <c r="B979"/>
      <c r="C979"/>
      <c r="D979"/>
      <c r="F979"/>
      <c r="Q979"/>
      <c r="R979"/>
      <c r="S979"/>
      <c r="T979"/>
      <c r="U979"/>
      <c r="V979"/>
      <c r="W979"/>
      <c r="X979"/>
      <c r="Y979"/>
      <c r="Z979"/>
      <c r="AA979"/>
    </row>
    <row r="980" spans="1:27">
      <c r="A980"/>
      <c r="B980"/>
      <c r="C980"/>
      <c r="D980"/>
      <c r="F980"/>
      <c r="Q980"/>
      <c r="R980"/>
      <c r="S980"/>
      <c r="T980"/>
      <c r="U980"/>
      <c r="V980"/>
      <c r="W980"/>
      <c r="X980"/>
      <c r="Y980"/>
      <c r="Z980"/>
      <c r="AA980"/>
    </row>
    <row r="981" spans="1:27">
      <c r="A981"/>
      <c r="B981"/>
      <c r="C981"/>
      <c r="D981"/>
      <c r="F981"/>
      <c r="Q981"/>
      <c r="R981"/>
      <c r="S981"/>
      <c r="T981"/>
      <c r="U981"/>
      <c r="V981"/>
      <c r="W981"/>
      <c r="X981"/>
      <c r="Y981"/>
      <c r="Z981"/>
      <c r="AA981"/>
    </row>
    <row r="982" spans="1:27">
      <c r="A982"/>
      <c r="B982"/>
      <c r="C982"/>
      <c r="D982"/>
      <c r="F982"/>
      <c r="Q982"/>
      <c r="R982"/>
      <c r="S982"/>
      <c r="T982"/>
      <c r="U982"/>
      <c r="V982"/>
      <c r="W982"/>
      <c r="X982"/>
      <c r="Y982"/>
      <c r="Z982"/>
      <c r="AA982"/>
    </row>
    <row r="983" spans="1:27">
      <c r="A983"/>
      <c r="B983"/>
      <c r="C983"/>
      <c r="D983"/>
      <c r="F983"/>
      <c r="Q983"/>
      <c r="R983"/>
      <c r="S983"/>
      <c r="T983"/>
      <c r="U983"/>
      <c r="V983"/>
      <c r="W983"/>
      <c r="X983"/>
      <c r="Y983"/>
      <c r="Z983"/>
      <c r="AA983"/>
    </row>
    <row r="984" spans="1:27">
      <c r="A984"/>
      <c r="B984"/>
      <c r="C984"/>
      <c r="D984"/>
      <c r="F984"/>
      <c r="Q984"/>
      <c r="R984"/>
      <c r="S984"/>
      <c r="T984"/>
      <c r="U984"/>
      <c r="V984"/>
      <c r="W984"/>
      <c r="X984"/>
      <c r="Y984"/>
      <c r="Z984"/>
      <c r="AA984"/>
    </row>
    <row r="985" spans="1:27">
      <c r="A985"/>
      <c r="B985"/>
      <c r="C985"/>
      <c r="D985"/>
      <c r="F985"/>
      <c r="Q985"/>
      <c r="R985"/>
      <c r="S985"/>
      <c r="T985"/>
      <c r="U985"/>
      <c r="V985"/>
      <c r="W985"/>
      <c r="X985"/>
      <c r="Y985"/>
      <c r="Z985"/>
      <c r="AA985"/>
    </row>
    <row r="986" spans="1:27">
      <c r="A986"/>
      <c r="B986"/>
      <c r="C986"/>
      <c r="D986"/>
      <c r="F986"/>
      <c r="Q986"/>
      <c r="R986"/>
      <c r="S986"/>
      <c r="T986"/>
      <c r="U986"/>
      <c r="V986"/>
      <c r="W986"/>
      <c r="X986"/>
      <c r="Y986"/>
      <c r="Z986"/>
      <c r="AA986"/>
    </row>
    <row r="987" spans="1:27">
      <c r="A987"/>
      <c r="B987"/>
      <c r="C987"/>
      <c r="D987"/>
      <c r="F987"/>
      <c r="Q987"/>
      <c r="R987"/>
      <c r="S987"/>
      <c r="T987"/>
      <c r="U987"/>
      <c r="V987"/>
      <c r="W987"/>
      <c r="X987"/>
      <c r="Y987"/>
      <c r="Z987"/>
      <c r="AA987"/>
    </row>
    <row r="988" spans="1:27">
      <c r="A988"/>
      <c r="B988"/>
      <c r="C988"/>
      <c r="D988"/>
      <c r="F988"/>
      <c r="Q988"/>
      <c r="R988"/>
      <c r="S988"/>
      <c r="T988"/>
      <c r="U988"/>
      <c r="V988"/>
      <c r="W988"/>
      <c r="X988"/>
      <c r="Y988"/>
      <c r="Z988"/>
      <c r="AA988"/>
    </row>
    <row r="989" spans="1:27">
      <c r="A989"/>
      <c r="B989"/>
      <c r="C989"/>
      <c r="D989"/>
      <c r="F989"/>
      <c r="Q989"/>
      <c r="R989"/>
      <c r="S989"/>
      <c r="T989"/>
      <c r="U989"/>
      <c r="V989"/>
      <c r="W989"/>
      <c r="X989"/>
      <c r="Y989"/>
      <c r="Z989"/>
      <c r="AA989"/>
    </row>
    <row r="990" spans="1:27">
      <c r="A990"/>
      <c r="B990"/>
      <c r="C990"/>
      <c r="D990"/>
      <c r="F990"/>
      <c r="Q990"/>
      <c r="R990"/>
      <c r="S990"/>
      <c r="T990"/>
      <c r="U990"/>
      <c r="V990"/>
      <c r="W990"/>
      <c r="X990"/>
      <c r="Y990"/>
      <c r="Z990"/>
      <c r="AA990"/>
    </row>
    <row r="991" spans="1:27">
      <c r="A991"/>
      <c r="B991"/>
      <c r="C991"/>
      <c r="D991"/>
      <c r="F991"/>
      <c r="Q991"/>
      <c r="R991"/>
      <c r="S991"/>
      <c r="T991"/>
      <c r="U991"/>
      <c r="V991"/>
      <c r="W991"/>
      <c r="X991"/>
      <c r="Y991"/>
      <c r="Z991"/>
      <c r="AA991"/>
    </row>
    <row r="992" spans="1:27">
      <c r="A992"/>
      <c r="B992"/>
      <c r="C992"/>
      <c r="D992"/>
      <c r="F992"/>
      <c r="Q992"/>
      <c r="R992"/>
      <c r="S992"/>
      <c r="T992"/>
      <c r="U992"/>
      <c r="V992"/>
      <c r="W992"/>
      <c r="X992"/>
      <c r="Y992"/>
      <c r="Z992"/>
      <c r="AA992"/>
    </row>
    <row r="993" spans="1:27">
      <c r="A993"/>
      <c r="B993"/>
      <c r="C993"/>
      <c r="D993"/>
      <c r="F993"/>
      <c r="Q993"/>
      <c r="R993"/>
      <c r="S993"/>
      <c r="T993"/>
      <c r="U993"/>
      <c r="V993"/>
      <c r="W993"/>
      <c r="X993"/>
      <c r="Y993"/>
      <c r="Z993"/>
      <c r="AA993"/>
    </row>
    <row r="994" spans="1:27">
      <c r="A994"/>
      <c r="B994"/>
      <c r="C994"/>
      <c r="D994"/>
      <c r="F994"/>
      <c r="Q994"/>
      <c r="R994"/>
      <c r="S994"/>
      <c r="T994"/>
      <c r="U994"/>
      <c r="V994"/>
      <c r="W994"/>
      <c r="X994"/>
      <c r="Y994"/>
      <c r="Z994"/>
      <c r="AA994"/>
    </row>
    <row r="995" spans="1:27">
      <c r="A995"/>
      <c r="B995"/>
      <c r="C995"/>
      <c r="D995"/>
      <c r="F995"/>
      <c r="Q995"/>
      <c r="R995"/>
      <c r="S995"/>
      <c r="T995"/>
      <c r="U995"/>
      <c r="V995"/>
      <c r="W995"/>
      <c r="X995"/>
      <c r="Y995"/>
      <c r="Z995"/>
      <c r="AA995"/>
    </row>
    <row r="996" spans="1:27">
      <c r="A996"/>
      <c r="B996"/>
      <c r="C996"/>
      <c r="D996"/>
      <c r="F996"/>
      <c r="Q996"/>
      <c r="R996"/>
      <c r="S996"/>
      <c r="T996"/>
      <c r="U996"/>
      <c r="V996"/>
      <c r="W996"/>
      <c r="X996"/>
      <c r="Y996"/>
      <c r="Z996"/>
      <c r="AA996"/>
    </row>
    <row r="997" spans="1:27">
      <c r="A997"/>
      <c r="B997"/>
      <c r="C997"/>
      <c r="D997"/>
      <c r="F997"/>
      <c r="Q997"/>
      <c r="R997"/>
      <c r="S997"/>
      <c r="T997"/>
      <c r="U997"/>
      <c r="V997"/>
      <c r="W997"/>
      <c r="X997"/>
      <c r="Y997"/>
      <c r="Z997"/>
      <c r="AA997"/>
    </row>
    <row r="998" spans="1:27">
      <c r="A998"/>
      <c r="B998"/>
      <c r="C998"/>
      <c r="D998"/>
      <c r="F998"/>
      <c r="Q998"/>
      <c r="R998"/>
      <c r="S998"/>
      <c r="T998"/>
      <c r="U998"/>
      <c r="V998"/>
      <c r="W998"/>
      <c r="X998"/>
      <c r="Y998"/>
      <c r="Z998"/>
      <c r="AA998"/>
    </row>
    <row r="999" spans="1:27">
      <c r="A999"/>
      <c r="B999"/>
      <c r="C999"/>
      <c r="D999"/>
      <c r="F999"/>
      <c r="Q999"/>
      <c r="R999"/>
      <c r="S999"/>
      <c r="T999"/>
      <c r="U999"/>
      <c r="V999"/>
      <c r="W999"/>
      <c r="X999"/>
      <c r="Y999"/>
      <c r="Z999"/>
      <c r="AA999"/>
    </row>
    <row r="1000" spans="1:27">
      <c r="A1000"/>
      <c r="B1000"/>
      <c r="C1000"/>
      <c r="D1000"/>
      <c r="F1000"/>
      <c r="Q1000"/>
      <c r="R1000"/>
      <c r="S1000"/>
      <c r="T1000"/>
      <c r="U1000"/>
      <c r="V1000"/>
      <c r="W1000"/>
      <c r="X1000"/>
      <c r="Y1000"/>
      <c r="Z1000"/>
      <c r="AA1000"/>
    </row>
    <row r="1001" spans="1:27">
      <c r="A1001"/>
      <c r="B1001"/>
      <c r="C1001"/>
      <c r="D1001"/>
      <c r="F1001"/>
      <c r="Q1001"/>
      <c r="R1001"/>
      <c r="S1001"/>
      <c r="T1001"/>
      <c r="U1001"/>
      <c r="V1001"/>
      <c r="W1001"/>
      <c r="X1001"/>
      <c r="Y1001"/>
      <c r="Z1001"/>
      <c r="AA1001"/>
    </row>
    <row r="1002" spans="1:27">
      <c r="A1002"/>
      <c r="B1002"/>
      <c r="C1002"/>
      <c r="D1002"/>
      <c r="F1002"/>
      <c r="Q1002"/>
      <c r="R1002"/>
      <c r="S1002"/>
      <c r="T1002"/>
      <c r="U1002"/>
      <c r="V1002"/>
      <c r="W1002"/>
      <c r="X1002"/>
      <c r="Y1002"/>
      <c r="Z1002"/>
      <c r="AA1002"/>
    </row>
    <row r="1003" spans="1:27">
      <c r="A1003"/>
      <c r="B1003"/>
      <c r="C1003"/>
      <c r="D1003"/>
      <c r="F1003"/>
      <c r="Q1003"/>
      <c r="R1003"/>
      <c r="S1003"/>
      <c r="T1003"/>
      <c r="U1003"/>
      <c r="V1003"/>
      <c r="W1003"/>
      <c r="X1003"/>
      <c r="Y1003"/>
      <c r="Z1003"/>
      <c r="AA1003"/>
    </row>
    <row r="1004" spans="1:27">
      <c r="A1004"/>
      <c r="B1004"/>
      <c r="C1004"/>
      <c r="D1004"/>
      <c r="F1004"/>
      <c r="Q1004"/>
      <c r="R1004"/>
      <c r="S1004"/>
      <c r="T1004"/>
      <c r="U1004"/>
      <c r="V1004"/>
      <c r="W1004"/>
      <c r="X1004"/>
      <c r="Y1004"/>
      <c r="Z1004"/>
      <c r="AA1004"/>
    </row>
    <row r="1005" spans="1:27">
      <c r="A1005"/>
      <c r="B1005"/>
      <c r="C1005"/>
      <c r="D1005"/>
      <c r="F1005"/>
      <c r="Q1005"/>
      <c r="R1005"/>
      <c r="S1005"/>
      <c r="T1005"/>
      <c r="U1005"/>
      <c r="V1005"/>
      <c r="W1005"/>
      <c r="X1005"/>
      <c r="Y1005"/>
      <c r="Z1005"/>
      <c r="AA1005"/>
    </row>
    <row r="1006" spans="1:27">
      <c r="A1006"/>
      <c r="B1006"/>
      <c r="C1006"/>
      <c r="D1006"/>
      <c r="F1006"/>
      <c r="Q1006"/>
      <c r="R1006"/>
      <c r="S1006"/>
      <c r="T1006"/>
      <c r="U1006"/>
      <c r="V1006"/>
      <c r="W1006"/>
      <c r="X1006"/>
      <c r="Y1006"/>
      <c r="Z1006"/>
      <c r="AA1006"/>
    </row>
    <row r="1007" spans="1:27">
      <c r="A1007"/>
      <c r="B1007"/>
      <c r="C1007"/>
      <c r="D1007"/>
      <c r="F1007"/>
      <c r="Q1007"/>
      <c r="R1007"/>
      <c r="S1007"/>
      <c r="T1007"/>
      <c r="U1007"/>
      <c r="V1007"/>
      <c r="W1007"/>
      <c r="X1007"/>
      <c r="Y1007"/>
      <c r="Z1007"/>
      <c r="AA1007"/>
    </row>
    <row r="1008" spans="1:27">
      <c r="A1008"/>
      <c r="B1008"/>
      <c r="C1008"/>
      <c r="D1008"/>
      <c r="F1008"/>
      <c r="Q1008"/>
      <c r="R1008"/>
      <c r="S1008"/>
      <c r="T1008"/>
      <c r="U1008"/>
      <c r="V1008"/>
      <c r="W1008"/>
      <c r="X1008"/>
      <c r="Y1008"/>
      <c r="Z1008"/>
      <c r="AA1008"/>
    </row>
    <row r="1009" spans="1:27">
      <c r="A1009"/>
      <c r="B1009"/>
      <c r="C1009"/>
      <c r="D1009"/>
      <c r="F1009"/>
      <c r="Q1009"/>
      <c r="R1009"/>
      <c r="S1009"/>
      <c r="T1009"/>
      <c r="U1009"/>
      <c r="V1009"/>
      <c r="W1009"/>
      <c r="X1009"/>
      <c r="Y1009"/>
      <c r="Z1009"/>
      <c r="AA1009"/>
    </row>
    <row r="1010" spans="1:27">
      <c r="A1010"/>
      <c r="B1010"/>
      <c r="C1010"/>
      <c r="D1010"/>
      <c r="F1010"/>
      <c r="Q1010"/>
      <c r="R1010"/>
      <c r="S1010"/>
      <c r="T1010"/>
      <c r="U1010"/>
      <c r="V1010"/>
      <c r="W1010"/>
      <c r="X1010"/>
      <c r="Y1010"/>
      <c r="Z1010"/>
      <c r="AA1010"/>
    </row>
    <row r="1011" spans="1:27">
      <c r="A1011"/>
      <c r="B1011"/>
      <c r="C1011"/>
      <c r="D1011"/>
      <c r="F1011"/>
      <c r="Q1011"/>
      <c r="R1011"/>
      <c r="S1011"/>
      <c r="T1011"/>
      <c r="U1011"/>
      <c r="V1011"/>
      <c r="W1011"/>
      <c r="X1011"/>
      <c r="Y1011"/>
      <c r="Z1011"/>
      <c r="AA1011"/>
    </row>
    <row r="1012" spans="1:27">
      <c r="A1012"/>
      <c r="B1012"/>
      <c r="C1012"/>
      <c r="D1012"/>
      <c r="F1012"/>
      <c r="Q1012"/>
      <c r="R1012"/>
      <c r="S1012"/>
      <c r="T1012"/>
      <c r="U1012"/>
      <c r="V1012"/>
      <c r="W1012"/>
      <c r="X1012"/>
      <c r="Y1012"/>
      <c r="Z1012"/>
      <c r="AA1012"/>
    </row>
    <row r="1013" spans="1:27">
      <c r="A1013"/>
      <c r="B1013"/>
      <c r="C1013"/>
      <c r="D1013"/>
      <c r="F1013"/>
      <c r="Q1013"/>
      <c r="R1013"/>
      <c r="S1013"/>
      <c r="T1013"/>
      <c r="U1013"/>
      <c r="V1013"/>
      <c r="W1013"/>
      <c r="X1013"/>
      <c r="Y1013"/>
      <c r="Z1013"/>
      <c r="AA1013"/>
    </row>
    <row r="1014" spans="1:27">
      <c r="A1014"/>
      <c r="B1014"/>
      <c r="C1014"/>
      <c r="D1014"/>
      <c r="F1014"/>
      <c r="Q1014"/>
      <c r="R1014"/>
      <c r="S1014"/>
      <c r="T1014"/>
      <c r="U1014"/>
      <c r="V1014"/>
      <c r="W1014"/>
      <c r="X1014"/>
      <c r="Y1014"/>
      <c r="Z1014"/>
      <c r="AA1014"/>
    </row>
    <row r="1015" spans="1:27">
      <c r="A1015"/>
      <c r="B1015"/>
      <c r="C1015"/>
      <c r="D1015"/>
      <c r="F1015"/>
      <c r="Q1015"/>
      <c r="R1015"/>
      <c r="S1015"/>
      <c r="T1015"/>
      <c r="U1015"/>
      <c r="V1015"/>
      <c r="W1015"/>
      <c r="X1015"/>
      <c r="Y1015"/>
      <c r="Z1015"/>
      <c r="AA1015"/>
    </row>
    <row r="1016" spans="1:27">
      <c r="A1016"/>
      <c r="B1016"/>
      <c r="C1016"/>
      <c r="D1016"/>
      <c r="F1016"/>
      <c r="Q1016"/>
      <c r="R1016"/>
      <c r="S1016"/>
      <c r="T1016"/>
      <c r="U1016"/>
      <c r="V1016"/>
      <c r="W1016"/>
      <c r="X1016"/>
      <c r="Y1016"/>
      <c r="Z1016"/>
      <c r="AA1016"/>
    </row>
    <row r="1017" spans="1:27">
      <c r="A1017"/>
      <c r="B1017"/>
      <c r="C1017"/>
      <c r="D1017"/>
      <c r="F1017"/>
      <c r="Q1017"/>
      <c r="R1017"/>
      <c r="S1017"/>
      <c r="T1017"/>
      <c r="U1017"/>
      <c r="V1017"/>
      <c r="W1017"/>
      <c r="X1017"/>
      <c r="Y1017"/>
      <c r="Z1017"/>
      <c r="AA1017"/>
    </row>
    <row r="1018" spans="1:27">
      <c r="A1018"/>
      <c r="B1018"/>
      <c r="C1018"/>
      <c r="D1018"/>
      <c r="F1018"/>
      <c r="Q1018"/>
      <c r="R1018"/>
      <c r="S1018"/>
      <c r="T1018"/>
      <c r="U1018"/>
      <c r="V1018"/>
      <c r="W1018"/>
      <c r="X1018"/>
      <c r="Y1018"/>
      <c r="Z1018"/>
      <c r="AA1018"/>
    </row>
    <row r="1019" spans="1:27">
      <c r="A1019"/>
      <c r="B1019"/>
      <c r="C1019"/>
      <c r="D1019"/>
      <c r="F1019"/>
      <c r="Q1019"/>
      <c r="R1019"/>
      <c r="S1019"/>
      <c r="T1019"/>
      <c r="U1019"/>
      <c r="V1019"/>
      <c r="W1019"/>
      <c r="X1019"/>
      <c r="Y1019"/>
      <c r="Z1019"/>
      <c r="AA1019"/>
    </row>
    <row r="1020" spans="1:27">
      <c r="A1020"/>
      <c r="B1020"/>
      <c r="C1020"/>
      <c r="D1020"/>
      <c r="F1020"/>
      <c r="Q1020"/>
      <c r="R1020"/>
      <c r="S1020"/>
      <c r="T1020"/>
      <c r="U1020"/>
      <c r="V1020"/>
      <c r="W1020"/>
      <c r="X1020"/>
      <c r="Y1020"/>
      <c r="Z1020"/>
      <c r="AA1020"/>
    </row>
    <row r="1021" spans="1:27">
      <c r="A1021"/>
      <c r="B1021"/>
      <c r="C1021"/>
      <c r="D1021"/>
      <c r="F1021"/>
      <c r="Q1021"/>
      <c r="R1021"/>
      <c r="S1021"/>
      <c r="T1021"/>
      <c r="U1021"/>
      <c r="V1021"/>
      <c r="W1021"/>
      <c r="X1021"/>
      <c r="Y1021"/>
      <c r="Z1021"/>
      <c r="AA1021"/>
    </row>
    <row r="1022" spans="1:27">
      <c r="A1022"/>
      <c r="B1022"/>
      <c r="C1022"/>
      <c r="D1022"/>
      <c r="F1022"/>
      <c r="Q1022"/>
      <c r="R1022"/>
      <c r="S1022"/>
      <c r="T1022"/>
      <c r="U1022"/>
      <c r="V1022"/>
      <c r="W1022"/>
      <c r="X1022"/>
      <c r="Y1022"/>
      <c r="Z1022"/>
      <c r="AA1022"/>
    </row>
    <row r="1023" spans="1:27">
      <c r="A1023"/>
      <c r="B1023"/>
      <c r="C1023"/>
      <c r="D1023"/>
      <c r="F1023"/>
      <c r="Q1023"/>
      <c r="R1023"/>
      <c r="S1023"/>
      <c r="T1023"/>
      <c r="U1023"/>
      <c r="V1023"/>
      <c r="W1023"/>
      <c r="X1023"/>
      <c r="Y1023"/>
      <c r="Z1023"/>
      <c r="AA1023"/>
    </row>
    <row r="1024" spans="1:27">
      <c r="A1024"/>
      <c r="B1024"/>
      <c r="C1024"/>
      <c r="D1024"/>
      <c r="F1024"/>
      <c r="Q1024"/>
      <c r="R1024"/>
      <c r="S1024"/>
      <c r="T1024"/>
      <c r="U1024"/>
      <c r="V1024"/>
      <c r="W1024"/>
      <c r="X1024"/>
      <c r="Y1024"/>
      <c r="Z1024"/>
      <c r="AA1024"/>
    </row>
    <row r="1025" spans="1:27">
      <c r="A1025"/>
      <c r="B1025"/>
      <c r="C1025"/>
      <c r="D1025"/>
      <c r="F1025"/>
      <c r="Q1025"/>
      <c r="R1025"/>
      <c r="S1025"/>
      <c r="T1025"/>
      <c r="U1025"/>
      <c r="V1025"/>
      <c r="W1025"/>
      <c r="X1025"/>
      <c r="Y1025"/>
      <c r="Z1025"/>
      <c r="AA1025"/>
    </row>
    <row r="1026" spans="1:27">
      <c r="A1026"/>
      <c r="B1026"/>
      <c r="C1026"/>
      <c r="D1026"/>
      <c r="F1026"/>
      <c r="Q1026"/>
      <c r="R1026"/>
      <c r="S1026"/>
      <c r="T1026"/>
      <c r="U1026"/>
      <c r="V1026"/>
      <c r="W1026"/>
      <c r="X1026"/>
      <c r="Y1026"/>
      <c r="Z1026"/>
      <c r="AA1026"/>
    </row>
    <row r="1027" spans="1:27">
      <c r="A1027"/>
      <c r="B1027"/>
      <c r="C1027"/>
      <c r="D1027"/>
      <c r="F1027"/>
      <c r="Q1027"/>
      <c r="R1027"/>
      <c r="S1027"/>
      <c r="T1027"/>
      <c r="U1027"/>
      <c r="V1027"/>
      <c r="W1027"/>
      <c r="X1027"/>
      <c r="Y1027"/>
      <c r="Z1027"/>
      <c r="AA1027"/>
    </row>
    <row r="1028" spans="1:27">
      <c r="A1028"/>
      <c r="B1028"/>
      <c r="C1028"/>
      <c r="D1028"/>
      <c r="F1028"/>
      <c r="Q1028"/>
      <c r="R1028"/>
      <c r="S1028"/>
      <c r="T1028"/>
      <c r="U1028"/>
      <c r="V1028"/>
      <c r="W1028"/>
      <c r="X1028"/>
      <c r="Y1028"/>
      <c r="Z1028"/>
      <c r="AA1028"/>
    </row>
    <row r="1029" spans="1:27">
      <c r="A1029"/>
      <c r="B1029"/>
      <c r="C1029"/>
      <c r="D1029"/>
      <c r="F1029"/>
      <c r="Q1029"/>
      <c r="R1029"/>
      <c r="S1029"/>
      <c r="T1029"/>
      <c r="U1029"/>
      <c r="V1029"/>
      <c r="W1029"/>
      <c r="X1029"/>
      <c r="Y1029"/>
      <c r="Z1029"/>
      <c r="AA1029"/>
    </row>
    <row r="1030" spans="1:27">
      <c r="A1030"/>
      <c r="B1030"/>
      <c r="C1030"/>
      <c r="D1030"/>
      <c r="F1030"/>
      <c r="Q1030"/>
      <c r="R1030"/>
      <c r="S1030"/>
      <c r="T1030"/>
      <c r="U1030"/>
      <c r="V1030"/>
      <c r="W1030"/>
      <c r="X1030"/>
      <c r="Y1030"/>
      <c r="Z1030"/>
      <c r="AA1030"/>
    </row>
    <row r="1031" spans="1:27">
      <c r="A1031"/>
      <c r="B1031"/>
      <c r="C1031"/>
      <c r="D1031"/>
      <c r="F1031"/>
      <c r="Q1031"/>
      <c r="R1031"/>
      <c r="S1031"/>
      <c r="T1031"/>
      <c r="U1031"/>
      <c r="V1031"/>
      <c r="W1031"/>
      <c r="X1031"/>
      <c r="Y1031"/>
      <c r="Z1031"/>
      <c r="AA1031"/>
    </row>
    <row r="1032" spans="1:27">
      <c r="A1032"/>
      <c r="B1032"/>
      <c r="C1032"/>
      <c r="D1032"/>
      <c r="F1032"/>
      <c r="Q1032"/>
      <c r="R1032"/>
      <c r="S1032"/>
      <c r="T1032"/>
      <c r="U1032"/>
      <c r="V1032"/>
      <c r="W1032"/>
      <c r="X1032"/>
      <c r="Y1032"/>
      <c r="Z1032"/>
      <c r="AA1032"/>
    </row>
    <row r="1033" spans="1:27">
      <c r="A1033"/>
      <c r="B1033"/>
      <c r="C1033"/>
      <c r="D1033"/>
      <c r="F1033"/>
      <c r="Q1033"/>
      <c r="R1033"/>
      <c r="S1033"/>
      <c r="T1033"/>
      <c r="U1033"/>
      <c r="V1033"/>
      <c r="W1033"/>
      <c r="X1033"/>
      <c r="Y1033"/>
      <c r="Z1033"/>
      <c r="AA1033"/>
    </row>
    <row r="1034" spans="1:27">
      <c r="A1034"/>
      <c r="B1034"/>
      <c r="C1034"/>
      <c r="D1034"/>
      <c r="F1034"/>
      <c r="Q1034"/>
      <c r="R1034"/>
      <c r="S1034"/>
      <c r="T1034"/>
      <c r="U1034"/>
      <c r="V1034"/>
      <c r="W1034"/>
      <c r="X1034"/>
      <c r="Y1034"/>
      <c r="Z1034"/>
      <c r="AA1034"/>
    </row>
    <row r="1035" spans="1:27">
      <c r="A1035"/>
      <c r="B1035"/>
      <c r="C1035"/>
      <c r="D1035"/>
      <c r="F1035"/>
      <c r="Q1035"/>
      <c r="R1035"/>
      <c r="S1035"/>
      <c r="T1035"/>
      <c r="U1035"/>
      <c r="V1035"/>
      <c r="W1035"/>
      <c r="X1035"/>
      <c r="Y1035"/>
      <c r="Z1035"/>
      <c r="AA1035"/>
    </row>
    <row r="1036" spans="1:27">
      <c r="A1036"/>
      <c r="B1036"/>
      <c r="C1036"/>
      <c r="D1036"/>
      <c r="F1036"/>
      <c r="Q1036"/>
      <c r="R1036"/>
      <c r="S1036"/>
      <c r="T1036"/>
      <c r="U1036"/>
      <c r="V1036"/>
      <c r="W1036"/>
      <c r="X1036"/>
      <c r="Y1036"/>
      <c r="Z1036"/>
      <c r="AA1036"/>
    </row>
    <row r="1037" spans="1:27">
      <c r="A1037"/>
      <c r="B1037"/>
      <c r="C1037"/>
      <c r="D1037"/>
      <c r="F1037"/>
      <c r="Q1037"/>
      <c r="R1037"/>
      <c r="S1037"/>
      <c r="T1037"/>
      <c r="U1037"/>
      <c r="V1037"/>
      <c r="W1037"/>
      <c r="X1037"/>
      <c r="Y1037"/>
      <c r="Z1037"/>
      <c r="AA1037"/>
    </row>
    <row r="1038" spans="1:27">
      <c r="A1038"/>
      <c r="B1038"/>
      <c r="C1038"/>
      <c r="D1038"/>
      <c r="F1038"/>
      <c r="Q1038"/>
      <c r="R1038"/>
      <c r="S1038"/>
      <c r="T1038"/>
      <c r="U1038"/>
      <c r="V1038"/>
      <c r="W1038"/>
      <c r="X1038"/>
      <c r="Y1038"/>
      <c r="Z1038"/>
      <c r="AA1038"/>
    </row>
    <row r="1039" spans="1:27">
      <c r="A1039"/>
      <c r="B1039"/>
      <c r="C1039"/>
      <c r="D1039"/>
      <c r="F1039"/>
      <c r="Q1039"/>
      <c r="R1039"/>
      <c r="S1039"/>
      <c r="T1039"/>
      <c r="U1039"/>
      <c r="V1039"/>
      <c r="W1039"/>
      <c r="X1039"/>
      <c r="Y1039"/>
      <c r="Z1039"/>
      <c r="AA1039"/>
    </row>
    <row r="1040" spans="1:27">
      <c r="A1040"/>
      <c r="B1040"/>
      <c r="C1040"/>
      <c r="D1040"/>
      <c r="F1040"/>
      <c r="Q1040"/>
      <c r="R1040"/>
      <c r="S1040"/>
      <c r="T1040"/>
      <c r="U1040"/>
      <c r="V1040"/>
      <c r="W1040"/>
      <c r="X1040"/>
      <c r="Y1040"/>
      <c r="Z1040"/>
      <c r="AA1040"/>
    </row>
    <row r="1041" spans="1:27">
      <c r="A1041"/>
      <c r="B1041"/>
      <c r="C1041"/>
      <c r="D1041"/>
      <c r="F1041"/>
      <c r="Q1041"/>
      <c r="R1041"/>
      <c r="S1041"/>
      <c r="T1041"/>
      <c r="U1041"/>
      <c r="V1041"/>
      <c r="W1041"/>
      <c r="X1041"/>
      <c r="Y1041"/>
      <c r="Z1041"/>
      <c r="AA1041"/>
    </row>
    <row r="1042" spans="1:27">
      <c r="A1042"/>
      <c r="B1042"/>
      <c r="C1042"/>
      <c r="D1042"/>
      <c r="F1042"/>
      <c r="Q1042"/>
      <c r="R1042"/>
      <c r="S1042"/>
      <c r="T1042"/>
      <c r="U1042"/>
      <c r="V1042"/>
      <c r="W1042"/>
      <c r="X1042"/>
      <c r="Y1042"/>
      <c r="Z1042"/>
      <c r="AA1042"/>
    </row>
    <row r="1043" spans="1:27">
      <c r="A1043"/>
      <c r="B1043"/>
      <c r="C1043"/>
      <c r="D1043"/>
      <c r="F1043"/>
      <c r="Q1043"/>
      <c r="R1043"/>
      <c r="S1043"/>
      <c r="T1043"/>
      <c r="U1043"/>
      <c r="V1043"/>
      <c r="W1043"/>
      <c r="X1043"/>
      <c r="Y1043"/>
      <c r="Z1043"/>
      <c r="AA1043"/>
    </row>
    <row r="1044" spans="1:27">
      <c r="A1044"/>
      <c r="B1044"/>
      <c r="C1044"/>
      <c r="D1044"/>
      <c r="F1044"/>
      <c r="Q1044"/>
      <c r="R1044"/>
      <c r="S1044"/>
      <c r="T1044"/>
      <c r="U1044"/>
      <c r="V1044"/>
      <c r="W1044"/>
      <c r="X1044"/>
      <c r="Y1044"/>
      <c r="Z1044"/>
      <c r="AA1044"/>
    </row>
    <row r="1045" spans="1:27">
      <c r="A1045"/>
      <c r="B1045"/>
      <c r="C1045"/>
      <c r="D1045"/>
      <c r="F1045"/>
      <c r="Q1045"/>
      <c r="R1045"/>
      <c r="S1045"/>
      <c r="T1045"/>
      <c r="U1045"/>
      <c r="V1045"/>
      <c r="W1045"/>
      <c r="X1045"/>
      <c r="Y1045"/>
      <c r="Z1045"/>
      <c r="AA1045"/>
    </row>
    <row r="1046" spans="1:27">
      <c r="A1046"/>
      <c r="B1046"/>
      <c r="C1046"/>
      <c r="D1046"/>
      <c r="F1046"/>
      <c r="Q1046"/>
      <c r="R1046"/>
      <c r="S1046"/>
      <c r="T1046"/>
      <c r="U1046"/>
      <c r="V1046"/>
      <c r="W1046"/>
      <c r="X1046"/>
      <c r="Y1046"/>
      <c r="Z1046"/>
      <c r="AA1046"/>
    </row>
    <row r="1047" spans="1:27">
      <c r="A1047"/>
      <c r="B1047"/>
      <c r="C1047"/>
      <c r="D1047"/>
      <c r="F1047"/>
      <c r="Q1047"/>
      <c r="R1047"/>
      <c r="S1047"/>
      <c r="T1047"/>
      <c r="U1047"/>
      <c r="V1047"/>
      <c r="W1047"/>
      <c r="X1047"/>
      <c r="Y1047"/>
      <c r="Z1047"/>
      <c r="AA1047"/>
    </row>
    <row r="1048" spans="1:27">
      <c r="A1048"/>
      <c r="B1048"/>
      <c r="C1048"/>
      <c r="D1048"/>
      <c r="F1048"/>
      <c r="Q1048"/>
      <c r="R1048"/>
      <c r="S1048"/>
      <c r="T1048"/>
      <c r="U1048"/>
      <c r="V1048"/>
      <c r="W1048"/>
      <c r="X1048"/>
      <c r="Y1048"/>
      <c r="Z1048"/>
      <c r="AA1048"/>
    </row>
    <row r="1049" spans="1:27">
      <c r="A1049"/>
      <c r="B1049"/>
      <c r="C1049"/>
      <c r="D1049"/>
      <c r="F1049"/>
      <c r="Q1049"/>
      <c r="R1049"/>
      <c r="S1049"/>
      <c r="T1049"/>
      <c r="U1049"/>
      <c r="V1049"/>
      <c r="W1049"/>
      <c r="X1049"/>
      <c r="Y1049"/>
      <c r="Z1049"/>
      <c r="AA1049"/>
    </row>
    <row r="1050" spans="1:27">
      <c r="A1050"/>
      <c r="B1050"/>
      <c r="C1050"/>
      <c r="D1050"/>
      <c r="F1050"/>
      <c r="Q1050"/>
      <c r="R1050"/>
      <c r="S1050"/>
      <c r="T1050"/>
      <c r="U1050"/>
      <c r="V1050"/>
      <c r="W1050"/>
      <c r="X1050"/>
      <c r="Y1050"/>
      <c r="Z1050"/>
      <c r="AA1050"/>
    </row>
    <row r="1051" spans="1:27">
      <c r="A1051"/>
      <c r="B1051"/>
      <c r="C1051"/>
      <c r="D1051"/>
      <c r="F1051"/>
      <c r="Q1051"/>
      <c r="R1051"/>
      <c r="S1051"/>
      <c r="T1051"/>
      <c r="U1051"/>
      <c r="V1051"/>
      <c r="W1051"/>
      <c r="X1051"/>
      <c r="Y1051"/>
      <c r="Z1051"/>
      <c r="AA1051"/>
    </row>
    <row r="1052" spans="1:27">
      <c r="A1052"/>
      <c r="B1052"/>
      <c r="C1052"/>
      <c r="D1052"/>
      <c r="F1052"/>
      <c r="Q1052"/>
      <c r="R1052"/>
      <c r="S1052"/>
      <c r="T1052"/>
      <c r="U1052"/>
      <c r="V1052"/>
      <c r="W1052"/>
      <c r="X1052"/>
      <c r="Y1052"/>
      <c r="Z1052"/>
      <c r="AA1052"/>
    </row>
    <row r="1053" spans="1:27">
      <c r="A1053"/>
      <c r="B1053"/>
      <c r="C1053"/>
      <c r="D1053"/>
      <c r="F1053"/>
      <c r="Q1053"/>
      <c r="R1053"/>
      <c r="S1053"/>
      <c r="T1053"/>
      <c r="U1053"/>
      <c r="V1053"/>
      <c r="W1053"/>
      <c r="X1053"/>
      <c r="Y1053"/>
      <c r="Z1053"/>
      <c r="AA1053"/>
    </row>
    <row r="1054" spans="1:27">
      <c r="A1054"/>
      <c r="B1054"/>
      <c r="C1054"/>
      <c r="D1054"/>
      <c r="F1054"/>
      <c r="Q1054"/>
      <c r="R1054"/>
      <c r="S1054"/>
      <c r="T1054"/>
      <c r="U1054"/>
      <c r="V1054"/>
      <c r="W1054"/>
      <c r="X1054"/>
      <c r="Y1054"/>
      <c r="Z1054"/>
      <c r="AA1054"/>
    </row>
    <row r="1055" spans="1:27">
      <c r="A1055"/>
      <c r="B1055"/>
      <c r="C1055"/>
      <c r="D1055"/>
      <c r="F1055"/>
      <c r="Q1055"/>
      <c r="R1055"/>
      <c r="S1055"/>
      <c r="T1055"/>
      <c r="U1055"/>
      <c r="V1055"/>
      <c r="W1055"/>
      <c r="X1055"/>
      <c r="Y1055"/>
      <c r="Z1055"/>
      <c r="AA1055"/>
    </row>
    <row r="1056" spans="1:27">
      <c r="A1056"/>
      <c r="B1056"/>
      <c r="C1056"/>
      <c r="D1056"/>
      <c r="F1056"/>
      <c r="Q1056"/>
      <c r="R1056"/>
      <c r="S1056"/>
      <c r="T1056"/>
      <c r="U1056"/>
      <c r="V1056"/>
      <c r="W1056"/>
      <c r="X1056"/>
      <c r="Y1056"/>
      <c r="Z1056"/>
      <c r="AA1056"/>
    </row>
    <row r="1057" spans="1:27">
      <c r="A1057"/>
      <c r="B1057"/>
      <c r="C1057"/>
      <c r="D1057"/>
      <c r="F1057"/>
      <c r="Q1057"/>
      <c r="R1057"/>
      <c r="S1057"/>
      <c r="T1057"/>
      <c r="U1057"/>
      <c r="V1057"/>
      <c r="W1057"/>
      <c r="X1057"/>
      <c r="Y1057"/>
      <c r="Z1057"/>
      <c r="AA1057"/>
    </row>
  </sheetData>
  <mergeCells count="4">
    <mergeCell ref="C4:F4"/>
    <mergeCell ref="C182:F182"/>
    <mergeCell ref="C358:F358"/>
    <mergeCell ref="C2:E2"/>
  </mergeCells>
  <phoneticPr fontId="60" type="noConversion"/>
  <conditionalFormatting sqref="G207:Y207 G213:Y213 G251:Y251 G269:Y269 G280:Y280 G312:Y312 G301:Y301 G194:Y194 G232:Y232 G73:Y73 G84:Y84 G106:Y106 G95:Y95 G55:Y55 G30:Y30 G24:Y24">
    <cfRule type="cellIs" dxfId="46" priority="9" stopIfTrue="1" operator="notBetween">
      <formula>-0.001</formula>
      <formula>0.001</formula>
    </cfRule>
  </conditionalFormatting>
  <conditionalFormatting sqref="G2:Y2">
    <cfRule type="cellIs" dxfId="45" priority="10" stopIfTrue="1" operator="notEqual">
      <formula>"ok"</formula>
    </cfRule>
  </conditionalFormatting>
  <conditionalFormatting sqref="Z30 Z55 Z251 Z269 Z280 Z312 Z301 Z194 Z106 Z95 Z84 Z73 Z232 Z24:AA24 Z207:AB207 Z213:AB213">
    <cfRule type="cellIs" dxfId="44" priority="7" stopIfTrue="1" operator="notBetween">
      <formula>-0.001</formula>
      <formula>0.001</formula>
    </cfRule>
  </conditionalFormatting>
  <conditionalFormatting sqref="Z2">
    <cfRule type="cellIs" dxfId="43" priority="8" stopIfTrue="1" operator="notEqual">
      <formula>"ok"</formula>
    </cfRule>
  </conditionalFormatting>
  <conditionalFormatting sqref="AB24:AC24 AA30:AC30 AC207 AC213 AA55:AC55 AA251:AC251 AA269:AC269 AA280:AC280 AA312:AC312 AA301:AC301 AA194:AC194 AA106:AC106 AA95:AC95 AA84:AC84 AA73:AC73 AA232:AC232">
    <cfRule type="cellIs" dxfId="42" priority="5" stopIfTrue="1" operator="notBetween">
      <formula>-0.001</formula>
      <formula>0.001</formula>
    </cfRule>
  </conditionalFormatting>
  <conditionalFormatting sqref="AA2:AC2">
    <cfRule type="cellIs" dxfId="41" priority="6" stopIfTrue="1" operator="notEqual">
      <formula>"ok"</formula>
    </cfRule>
  </conditionalFormatting>
  <conditionalFormatting sqref="AD24 AD30 AD207 AD213 AD55 AD251 AD269 AD280 AD312 AD301 AD194 AD106 AD95 AD84 AD73 AD232">
    <cfRule type="cellIs" dxfId="40" priority="3" stopIfTrue="1" operator="notBetween">
      <formula>-0.001</formula>
      <formula>0.001</formula>
    </cfRule>
  </conditionalFormatting>
  <conditionalFormatting sqref="AD2">
    <cfRule type="cellIs" dxfId="39" priority="4" stopIfTrue="1" operator="notEqual">
      <formula>"ok"</formula>
    </cfRule>
  </conditionalFormatting>
  <conditionalFormatting sqref="AE24 AE30 AE207 AE213 AE55 AE251 AE269 AE280 AE312 AE301 AE194 AE106 AE95 AE84 AE73 AE232">
    <cfRule type="cellIs" dxfId="38" priority="1" stopIfTrue="1" operator="notBetween">
      <formula>-0.001</formula>
      <formula>0.001</formula>
    </cfRule>
  </conditionalFormatting>
  <conditionalFormatting sqref="AE2">
    <cfRule type="cellIs" dxfId="37" priority="2" stopIfTrue="1" operator="notEqual">
      <formula>"ok"</formula>
    </cfRule>
  </conditionalFormatting>
  <pageMargins left="0.75" right="0.75" top="1" bottom="1" header="0.5" footer="0.5"/>
  <pageSetup paperSize="9" scale="56" fitToHeight="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9" enableFormatConditionsCalculation="0">
    <tabColor indexed="42"/>
  </sheetPr>
  <dimension ref="A1:N280"/>
  <sheetViews>
    <sheetView showGridLines="0" zoomScale="110" workbookViewId="0">
      <selection activeCell="A75" sqref="A75"/>
    </sheetView>
  </sheetViews>
  <sheetFormatPr defaultRowHeight="12.75"/>
  <sheetData>
    <row r="1" spans="1:14">
      <c r="A1" s="1503"/>
      <c r="B1" s="1503"/>
      <c r="C1" s="1503"/>
      <c r="D1" s="1503"/>
      <c r="E1" s="1503"/>
      <c r="F1" s="1503"/>
      <c r="G1" s="1503"/>
      <c r="H1" s="1503"/>
      <c r="I1" s="1503"/>
      <c r="J1" s="1503"/>
      <c r="K1" s="1503"/>
      <c r="L1" s="1503"/>
      <c r="M1" s="1503"/>
      <c r="N1" s="1503"/>
    </row>
    <row r="2" spans="1:14" ht="18">
      <c r="A2" s="1504" t="s">
        <v>1671</v>
      </c>
      <c r="B2" s="1503"/>
      <c r="C2" s="1503"/>
      <c r="D2" s="1503"/>
      <c r="E2" s="1503"/>
      <c r="F2" s="1503"/>
      <c r="G2" s="1503"/>
      <c r="H2" s="1503"/>
      <c r="I2" s="1503"/>
      <c r="J2" s="1503"/>
      <c r="K2" s="1503"/>
      <c r="L2" s="1503"/>
      <c r="M2" s="1503"/>
      <c r="N2" s="1503"/>
    </row>
    <row r="3" spans="1:14">
      <c r="A3" s="1503"/>
      <c r="B3" s="1503"/>
      <c r="C3" s="1503"/>
      <c r="D3" s="1503"/>
      <c r="E3" s="1503"/>
      <c r="F3" s="1503"/>
      <c r="G3" s="1503"/>
      <c r="H3" s="1503"/>
      <c r="I3" s="1503"/>
      <c r="J3" s="1503"/>
      <c r="K3" s="1503"/>
      <c r="L3" s="1503"/>
      <c r="M3" s="1503"/>
      <c r="N3" s="1503"/>
    </row>
    <row r="29" spans="1:14">
      <c r="A29" s="1503"/>
      <c r="B29" s="1503"/>
      <c r="C29" s="1503"/>
      <c r="D29" s="1503"/>
      <c r="E29" s="1503"/>
      <c r="F29" s="1503"/>
      <c r="G29" s="1503"/>
      <c r="H29" s="1503"/>
      <c r="I29" s="1503"/>
      <c r="J29" s="1503"/>
      <c r="K29" s="1503"/>
      <c r="L29" s="1503"/>
      <c r="M29" s="1503"/>
      <c r="N29" s="1503"/>
    </row>
    <row r="30" spans="1:14" ht="18">
      <c r="A30" s="1504" t="s">
        <v>49</v>
      </c>
      <c r="B30" s="1503"/>
      <c r="C30" s="1503"/>
      <c r="D30" s="1503"/>
      <c r="E30" s="1503"/>
      <c r="F30" s="1503"/>
      <c r="G30" s="1503"/>
      <c r="H30" s="1503"/>
      <c r="I30" s="1503"/>
      <c r="J30" s="1503"/>
      <c r="K30" s="1503"/>
      <c r="L30" s="1503"/>
      <c r="M30" s="1503"/>
      <c r="N30" s="1503"/>
    </row>
    <row r="31" spans="1:14">
      <c r="A31" s="1503"/>
      <c r="B31" s="1503"/>
      <c r="C31" s="1503"/>
      <c r="D31" s="1503"/>
      <c r="E31" s="1503"/>
      <c r="F31" s="1503"/>
      <c r="G31" s="1503"/>
      <c r="H31" s="1503"/>
      <c r="I31" s="1503"/>
      <c r="J31" s="1503"/>
      <c r="K31" s="1503"/>
      <c r="L31" s="1503"/>
      <c r="M31" s="1503"/>
      <c r="N31" s="1503"/>
    </row>
    <row r="74" spans="1:14">
      <c r="A74" s="1503"/>
      <c r="B74" s="1503"/>
      <c r="C74" s="1503"/>
      <c r="D74" s="1503"/>
      <c r="E74" s="1503"/>
      <c r="F74" s="1503"/>
      <c r="G74" s="1503"/>
      <c r="H74" s="1503"/>
      <c r="I74" s="1503"/>
      <c r="J74" s="1503"/>
      <c r="K74" s="1503"/>
      <c r="L74" s="1503"/>
      <c r="M74" s="1503"/>
      <c r="N74" s="1503"/>
    </row>
    <row r="75" spans="1:14" ht="18">
      <c r="A75" s="1504" t="s">
        <v>877</v>
      </c>
      <c r="B75" s="1503"/>
      <c r="C75" s="1503"/>
      <c r="D75" s="1503"/>
      <c r="E75" s="1503"/>
      <c r="F75" s="1503"/>
      <c r="G75" s="1503"/>
      <c r="H75" s="1503"/>
      <c r="I75" s="1503"/>
      <c r="J75" s="1503"/>
      <c r="K75" s="1503"/>
      <c r="L75" s="1503"/>
      <c r="M75" s="1503"/>
      <c r="N75" s="1503"/>
    </row>
    <row r="76" spans="1:14">
      <c r="A76" s="1503"/>
      <c r="B76" s="1503"/>
      <c r="C76" s="1503"/>
      <c r="D76" s="1503"/>
      <c r="E76" s="1503"/>
      <c r="F76" s="1503"/>
      <c r="G76" s="1503"/>
      <c r="H76" s="1503"/>
      <c r="I76" s="1503"/>
      <c r="J76" s="1503"/>
      <c r="K76" s="1503"/>
      <c r="L76" s="1503"/>
      <c r="M76" s="1503"/>
      <c r="N76" s="1503"/>
    </row>
    <row r="140" spans="1:14">
      <c r="A140" s="1503"/>
      <c r="B140" s="1503"/>
      <c r="C140" s="1503"/>
      <c r="D140" s="1503"/>
      <c r="E140" s="1503"/>
      <c r="F140" s="1503"/>
      <c r="G140" s="1503"/>
      <c r="H140" s="1503"/>
      <c r="I140" s="1503"/>
      <c r="J140" s="1503"/>
      <c r="K140" s="1503"/>
      <c r="L140" s="1503"/>
      <c r="M140" s="1503"/>
      <c r="N140" s="1503"/>
    </row>
    <row r="141" spans="1:14" ht="18">
      <c r="A141" s="1504" t="s">
        <v>45</v>
      </c>
      <c r="B141" s="1503"/>
      <c r="C141" s="1503"/>
      <c r="D141" s="1503"/>
      <c r="E141" s="1503"/>
      <c r="F141" s="1503"/>
      <c r="G141" s="1503"/>
      <c r="H141" s="1503"/>
      <c r="I141" s="1503"/>
      <c r="J141" s="1503"/>
      <c r="K141" s="1503"/>
      <c r="L141" s="1503"/>
      <c r="M141" s="1503"/>
      <c r="N141" s="1503"/>
    </row>
    <row r="142" spans="1:14">
      <c r="A142" s="1503"/>
      <c r="B142" s="1503"/>
      <c r="C142" s="1503"/>
      <c r="D142" s="1503"/>
      <c r="E142" s="1503"/>
      <c r="F142" s="1503"/>
      <c r="G142" s="1503"/>
      <c r="H142" s="1503"/>
      <c r="I142" s="1503"/>
      <c r="J142" s="1503"/>
      <c r="K142" s="1503"/>
      <c r="L142" s="1503"/>
      <c r="M142" s="1503"/>
      <c r="N142" s="1503"/>
    </row>
    <row r="164" spans="1:14">
      <c r="A164" s="1503"/>
      <c r="B164" s="1503"/>
      <c r="C164" s="1503"/>
      <c r="D164" s="1503"/>
      <c r="E164" s="1503"/>
      <c r="F164" s="1503"/>
      <c r="G164" s="1503"/>
      <c r="H164" s="1503"/>
      <c r="I164" s="1503"/>
      <c r="J164" s="1503"/>
      <c r="K164" s="1503"/>
      <c r="L164" s="1503"/>
      <c r="M164" s="1503"/>
      <c r="N164" s="1503"/>
    </row>
    <row r="165" spans="1:14" ht="18">
      <c r="A165" s="1504" t="s">
        <v>1668</v>
      </c>
      <c r="B165" s="1503"/>
      <c r="C165" s="1503"/>
      <c r="D165" s="1503"/>
      <c r="E165" s="1503"/>
      <c r="F165" s="1503"/>
      <c r="G165" s="1503"/>
      <c r="H165" s="1503"/>
      <c r="I165" s="1503"/>
      <c r="J165" s="1503"/>
      <c r="K165" s="1503"/>
      <c r="L165" s="1503"/>
      <c r="M165" s="1503"/>
      <c r="N165" s="1503"/>
    </row>
    <row r="166" spans="1:14">
      <c r="A166" s="1503"/>
      <c r="B166" s="1503"/>
      <c r="C166" s="1503"/>
      <c r="D166" s="1503"/>
      <c r="E166" s="1503"/>
      <c r="F166" s="1503"/>
      <c r="G166" s="1503"/>
      <c r="H166" s="1503"/>
      <c r="I166" s="1503"/>
      <c r="J166" s="1503"/>
      <c r="K166" s="1503"/>
      <c r="L166" s="1503"/>
      <c r="M166" s="1503"/>
      <c r="N166" s="1503"/>
    </row>
    <row r="209" spans="1:14">
      <c r="A209" s="1503"/>
      <c r="B209" s="1503"/>
      <c r="C209" s="1503"/>
      <c r="D209" s="1503"/>
      <c r="E209" s="1503"/>
      <c r="F209" s="1503"/>
      <c r="G209" s="1503"/>
      <c r="H209" s="1503"/>
      <c r="I209" s="1503"/>
      <c r="J209" s="1503"/>
      <c r="K209" s="1503"/>
      <c r="L209" s="1503"/>
      <c r="M209" s="1503"/>
      <c r="N209" s="1503"/>
    </row>
    <row r="210" spans="1:14" ht="18">
      <c r="A210" s="1504" t="s">
        <v>1670</v>
      </c>
      <c r="B210" s="1503"/>
      <c r="C210" s="1503"/>
      <c r="D210" s="1503"/>
      <c r="E210" s="1503"/>
      <c r="F210" s="1503"/>
      <c r="G210" s="1503"/>
      <c r="H210" s="1503"/>
      <c r="I210" s="1503"/>
      <c r="J210" s="1503"/>
      <c r="K210" s="1503"/>
      <c r="L210" s="1503"/>
      <c r="M210" s="1503"/>
      <c r="N210" s="1503"/>
    </row>
    <row r="211" spans="1:14">
      <c r="A211" s="1503"/>
      <c r="B211" s="1503"/>
      <c r="C211" s="1503"/>
      <c r="D211" s="1503"/>
      <c r="E211" s="1503"/>
      <c r="F211" s="1503"/>
      <c r="G211" s="1503"/>
      <c r="H211" s="1503"/>
      <c r="I211" s="1503"/>
      <c r="J211" s="1503"/>
      <c r="K211" s="1503"/>
      <c r="L211" s="1503"/>
      <c r="M211" s="1503"/>
      <c r="N211" s="1503"/>
    </row>
    <row r="254" spans="1:14">
      <c r="A254" s="1503"/>
      <c r="B254" s="1503"/>
      <c r="C254" s="1503"/>
      <c r="D254" s="1503"/>
      <c r="E254" s="1503"/>
      <c r="F254" s="1503"/>
      <c r="G254" s="1503"/>
      <c r="H254" s="1503"/>
      <c r="I254" s="1503"/>
      <c r="J254" s="1503"/>
      <c r="K254" s="1503"/>
      <c r="L254" s="1503"/>
      <c r="M254" s="1503"/>
      <c r="N254" s="1503"/>
    </row>
    <row r="255" spans="1:14" ht="18">
      <c r="A255" s="1504" t="s">
        <v>1875</v>
      </c>
      <c r="B255" s="1503"/>
      <c r="C255" s="1503"/>
      <c r="D255" s="1503"/>
      <c r="E255" s="1503"/>
      <c r="F255" s="1503"/>
      <c r="G255" s="1503"/>
      <c r="H255" s="1503"/>
      <c r="I255" s="1503"/>
      <c r="J255" s="1503"/>
      <c r="K255" s="1503"/>
      <c r="L255" s="1503"/>
      <c r="M255" s="1503"/>
      <c r="N255" s="1503"/>
    </row>
    <row r="256" spans="1:14">
      <c r="A256" s="1503"/>
      <c r="B256" s="1503"/>
      <c r="C256" s="1503"/>
      <c r="D256" s="1503"/>
      <c r="E256" s="1503"/>
      <c r="F256" s="1503"/>
      <c r="G256" s="1503"/>
      <c r="H256" s="1503"/>
      <c r="I256" s="1503"/>
      <c r="J256" s="1503"/>
      <c r="K256" s="1503"/>
      <c r="L256" s="1503"/>
      <c r="M256" s="1503"/>
      <c r="N256" s="1503"/>
    </row>
    <row r="278" spans="1:14">
      <c r="A278" s="1503"/>
      <c r="B278" s="1503"/>
      <c r="C278" s="1503"/>
      <c r="D278" s="1503"/>
      <c r="E278" s="1503"/>
      <c r="F278" s="1503"/>
      <c r="G278" s="1503"/>
      <c r="H278" s="1503"/>
      <c r="I278" s="1503"/>
      <c r="J278" s="1503"/>
      <c r="K278" s="1503"/>
      <c r="L278" s="1503"/>
      <c r="M278" s="1503"/>
      <c r="N278" s="1503"/>
    </row>
    <row r="279" spans="1:14" ht="18">
      <c r="A279" s="1504" t="s">
        <v>1876</v>
      </c>
      <c r="B279" s="1503"/>
      <c r="C279" s="1503"/>
      <c r="D279" s="1503"/>
      <c r="E279" s="1503"/>
      <c r="F279" s="1503"/>
      <c r="G279" s="1503"/>
      <c r="H279" s="1503"/>
      <c r="I279" s="1503"/>
      <c r="J279" s="1503"/>
      <c r="K279" s="1503"/>
      <c r="L279" s="1503"/>
      <c r="M279" s="1503"/>
      <c r="N279" s="1503"/>
    </row>
    <row r="280" spans="1:14">
      <c r="A280" s="1503"/>
      <c r="B280" s="1503"/>
      <c r="C280" s="1503"/>
      <c r="D280" s="1503"/>
      <c r="E280" s="1503"/>
      <c r="F280" s="1503"/>
      <c r="G280" s="1503"/>
      <c r="H280" s="1503"/>
      <c r="I280" s="1503"/>
      <c r="J280" s="1503"/>
      <c r="K280" s="1503"/>
      <c r="L280" s="1503"/>
      <c r="M280" s="1503"/>
      <c r="N280" s="1503"/>
    </row>
  </sheetData>
  <phoneticPr fontId="60" type="noConversion"/>
  <pageMargins left="0.75" right="0.75" top="1" bottom="1" header="0.5" footer="0.5"/>
  <headerFooter alignWithMargins="0"/>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5" enableFormatConditionsCalculation="0">
    <tabColor indexed="43"/>
    <pageSetUpPr fitToPage="1"/>
  </sheetPr>
  <dimension ref="A1:DO1325"/>
  <sheetViews>
    <sheetView showGridLines="0" topLeftCell="CD107" zoomScale="90" zoomScaleNormal="90" workbookViewId="0">
      <pane ySplit="8700" topLeftCell="A256" activePane="bottomLeft"/>
      <selection activeCell="CT254" sqref="CT254"/>
      <selection pane="bottomLeft" activeCell="DA263" sqref="DA263"/>
    </sheetView>
  </sheetViews>
  <sheetFormatPr defaultColWidth="7.7109375" defaultRowHeight="12.75"/>
  <cols>
    <col min="1" max="2" width="3.7109375" style="665" customWidth="1"/>
    <col min="3" max="4" width="3.7109375" style="670" customWidth="1"/>
    <col min="5" max="5" width="36.5703125" style="217" customWidth="1"/>
    <col min="6" max="6" width="7.7109375" style="694" customWidth="1"/>
    <col min="7" max="9" width="9.140625" style="217" hidden="1" customWidth="1"/>
    <col min="10" max="10" width="9.28515625" style="217" hidden="1" customWidth="1"/>
    <col min="11" max="13" width="9.140625" style="217" hidden="1" customWidth="1"/>
    <col min="14" max="14" width="9.28515625" style="217" hidden="1" customWidth="1"/>
    <col min="15" max="50" width="9.140625" style="217" hidden="1" customWidth="1"/>
    <col min="51" max="51" width="9.140625" style="557" hidden="1" customWidth="1"/>
    <col min="52" max="52" width="9.140625" style="217" hidden="1" customWidth="1"/>
    <col min="53" max="53" width="9.5703125" style="557" hidden="1" customWidth="1"/>
    <col min="54" max="54" width="1.28515625" style="557" hidden="1" customWidth="1"/>
    <col min="55" max="66" width="9.140625" style="557" hidden="1" customWidth="1"/>
    <col min="67" max="69" width="9.28515625" style="557" hidden="1" customWidth="1"/>
    <col min="70" max="70" width="12.140625" style="557" hidden="1" customWidth="1"/>
    <col min="71" max="73" width="9.28515625" style="557" hidden="1" customWidth="1"/>
    <col min="74" max="74" width="12.140625" style="557" hidden="1" customWidth="1"/>
    <col min="75" max="75" width="9.28515625" style="557" hidden="1" customWidth="1"/>
    <col min="76" max="76" width="9.5703125" style="557" hidden="1" customWidth="1"/>
    <col min="77" max="77" width="9.28515625" style="557" hidden="1" customWidth="1"/>
    <col min="78" max="78" width="12.140625" style="557" hidden="1" customWidth="1"/>
    <col min="79" max="81" width="9.28515625" style="557" hidden="1" customWidth="1"/>
    <col min="82" max="82" width="12.140625" style="557" customWidth="1"/>
    <col min="83" max="85" width="9.28515625" style="557" customWidth="1"/>
    <col min="86" max="86" width="12.140625" style="557" customWidth="1"/>
    <col min="87" max="87" width="9.28515625" style="557" customWidth="1"/>
    <col min="88" max="88" width="9.5703125" style="557" customWidth="1"/>
    <col min="89" max="89" width="9.28515625" style="557" customWidth="1"/>
    <col min="90" max="90" width="12.140625" style="557" customWidth="1"/>
    <col min="91" max="91" width="8.7109375" bestFit="1" customWidth="1"/>
    <col min="92" max="92" width="8.28515625" customWidth="1"/>
    <col min="93" max="93" width="9.5703125" bestFit="1" customWidth="1"/>
    <col min="94" max="94" width="11.140625" customWidth="1"/>
    <col min="95" max="95" width="13.7109375" customWidth="1"/>
    <col min="96" max="96" width="8.28515625" customWidth="1"/>
    <col min="97" max="97" width="10.7109375" customWidth="1"/>
    <col min="98" max="98" width="11.85546875" style="3383" customWidth="1"/>
    <col min="99" max="100" width="8.28515625" customWidth="1"/>
    <col min="101" max="101" width="10.7109375" customWidth="1"/>
    <col min="102" max="102" width="11.85546875" style="3383" customWidth="1"/>
    <col min="103" max="104" width="8.28515625" style="3650" customWidth="1"/>
    <col min="105" max="105" width="10.7109375" style="3650" customWidth="1"/>
    <col min="106" max="106" width="11.85546875" style="3383" customWidth="1"/>
    <col min="107" max="119" width="7.7109375" customWidth="1"/>
    <col min="120" max="16384" width="7.7109375" style="217"/>
  </cols>
  <sheetData>
    <row r="1" spans="1:119">
      <c r="A1" s="665" t="s">
        <v>1501</v>
      </c>
      <c r="B1" s="1433" t="s">
        <v>1784</v>
      </c>
      <c r="CT1"/>
      <c r="CX1"/>
      <c r="DB1" s="3650"/>
    </row>
    <row r="2" spans="1:119">
      <c r="A2" s="665" t="s">
        <v>235</v>
      </c>
      <c r="B2" s="1433" t="s">
        <v>1152</v>
      </c>
      <c r="CH2" s="3056"/>
      <c r="CT2"/>
      <c r="CX2"/>
      <c r="DB2" s="3650"/>
    </row>
    <row r="3" spans="1:119">
      <c r="A3" s="2849"/>
      <c r="CT3"/>
      <c r="CX3"/>
      <c r="DB3" s="3650"/>
      <c r="DI3" s="3752" t="s">
        <v>2467</v>
      </c>
      <c r="DJ3" s="3752"/>
      <c r="DK3" s="3752"/>
      <c r="DL3" s="3752"/>
      <c r="DM3" s="3752"/>
      <c r="DN3" s="3752"/>
    </row>
    <row r="4" spans="1:119">
      <c r="C4" s="3764" t="s">
        <v>1713</v>
      </c>
      <c r="D4" s="3765"/>
      <c r="E4" s="3765"/>
      <c r="F4" s="3766"/>
      <c r="G4" s="3764">
        <f ca="1">OFFSET(InputY!$G$3,0,(COLUMN()-7)/4)</f>
        <v>1995</v>
      </c>
      <c r="H4" s="3765"/>
      <c r="I4" s="3765"/>
      <c r="J4" s="3766"/>
      <c r="K4" s="3764">
        <f ca="1">OFFSET(InputY!$G$3,0,(COLUMN()-7)/4)</f>
        <v>1996</v>
      </c>
      <c r="L4" s="3765"/>
      <c r="M4" s="3765"/>
      <c r="N4" s="3766"/>
      <c r="O4" s="3764">
        <f ca="1">OFFSET(InputY!$G$3,0,(COLUMN()-7)/4)</f>
        <v>1997</v>
      </c>
      <c r="P4" s="3765"/>
      <c r="Q4" s="3765"/>
      <c r="R4" s="3766"/>
      <c r="S4" s="3764">
        <f ca="1">OFFSET(InputY!$G$3,0,(COLUMN()-7)/4)</f>
        <v>1998</v>
      </c>
      <c r="T4" s="3765"/>
      <c r="U4" s="3765"/>
      <c r="V4" s="3766"/>
      <c r="W4" s="3764">
        <f ca="1">OFFSET(InputY!$G$3,0,(COLUMN()-7)/4)</f>
        <v>1999</v>
      </c>
      <c r="X4" s="3765"/>
      <c r="Y4" s="3765"/>
      <c r="Z4" s="3766"/>
      <c r="AA4" s="3764">
        <f ca="1">OFFSET(InputY!$G$3,0,(COLUMN()-7)/4)</f>
        <v>2000</v>
      </c>
      <c r="AB4" s="3765"/>
      <c r="AC4" s="3765"/>
      <c r="AD4" s="3766"/>
      <c r="AE4" s="3764">
        <f ca="1">OFFSET(InputY!$G$3,0,(COLUMN()-7)/4)</f>
        <v>2001</v>
      </c>
      <c r="AF4" s="3765"/>
      <c r="AG4" s="3765"/>
      <c r="AH4" s="3766"/>
      <c r="AI4" s="3764">
        <f ca="1">OFFSET(InputY!$G$3,0,(COLUMN()-7)/4)</f>
        <v>2002</v>
      </c>
      <c r="AJ4" s="3765"/>
      <c r="AK4" s="3765"/>
      <c r="AL4" s="3766"/>
      <c r="AM4" s="3764">
        <f ca="1">OFFSET(InputY!$G$3,0,(COLUMN()-7)/4)</f>
        <v>2003</v>
      </c>
      <c r="AN4" s="3765"/>
      <c r="AO4" s="3765"/>
      <c r="AP4" s="3766"/>
      <c r="AQ4" s="3764">
        <f ca="1">OFFSET(InputY!$G$3,0,(COLUMN()-7)/4)</f>
        <v>2004</v>
      </c>
      <c r="AR4" s="3765"/>
      <c r="AS4" s="3765"/>
      <c r="AT4" s="3766"/>
      <c r="AU4" s="3764">
        <f ca="1">OFFSET(InputY!$G$3,0,(COLUMN()-7)/4)</f>
        <v>2005</v>
      </c>
      <c r="AV4" s="3765"/>
      <c r="AW4" s="3765"/>
      <c r="AX4" s="3766"/>
      <c r="AY4" s="3764">
        <f ca="1">OFFSET(InputY!$G$3,0,(COLUMN()-7)/4)</f>
        <v>2006</v>
      </c>
      <c r="AZ4" s="3765"/>
      <c r="BA4" s="3765"/>
      <c r="BB4" s="3766"/>
      <c r="BC4" s="3764">
        <f ca="1">OFFSET(InputY!$G$3,0,(COLUMN()-7)/4)</f>
        <v>2007</v>
      </c>
      <c r="BD4" s="3765"/>
      <c r="BE4" s="3765"/>
      <c r="BF4" s="3766"/>
      <c r="BG4" s="3764">
        <f ca="1">OFFSET(InputY!$G$3,0,(COLUMN()-7)/4)</f>
        <v>2008</v>
      </c>
      <c r="BH4" s="3765"/>
      <c r="BI4" s="3765"/>
      <c r="BJ4" s="3766"/>
      <c r="BK4" s="3764">
        <f ca="1">OFFSET(InputY!$G$3,0,(COLUMN()-7)/4)</f>
        <v>2009</v>
      </c>
      <c r="BL4" s="3765"/>
      <c r="BM4" s="3765"/>
      <c r="BN4" s="3766"/>
      <c r="BO4" s="3764">
        <f ca="1">OFFSET(InputY!$G$3,0,(COLUMN()-7)/4)</f>
        <v>2010</v>
      </c>
      <c r="BP4" s="3765"/>
      <c r="BQ4" s="3765"/>
      <c r="BR4" s="3766"/>
      <c r="BS4" s="3764">
        <f ca="1">OFFSET(InputY!$G$3,0,(COLUMN()-7)/4)</f>
        <v>2011</v>
      </c>
      <c r="BT4" s="3765"/>
      <c r="BU4" s="3765"/>
      <c r="BV4" s="3766"/>
      <c r="BW4" s="3764">
        <f ca="1">OFFSET(InputY!$G$3,0,(COLUMN()-7)/4)</f>
        <v>2012</v>
      </c>
      <c r="BX4" s="3765"/>
      <c r="BY4" s="3765"/>
      <c r="BZ4" s="3766"/>
      <c r="CA4" s="3764">
        <f ca="1">OFFSET(InputY!$G$3,0,(COLUMN()-7)/4)</f>
        <v>2013</v>
      </c>
      <c r="CB4" s="3765"/>
      <c r="CC4" s="3765"/>
      <c r="CD4" s="3766"/>
      <c r="CE4" s="3764">
        <f ca="1">OFFSET(InputY!$G$3,0,(COLUMN()-7)/4)</f>
        <v>2014</v>
      </c>
      <c r="CF4" s="3765"/>
      <c r="CG4" s="3765"/>
      <c r="CH4" s="3766"/>
      <c r="CI4" s="3764">
        <f ca="1">OFFSET(InputY!$G$3,0,(COLUMN()-7)/4)</f>
        <v>2015</v>
      </c>
      <c r="CJ4" s="3765"/>
      <c r="CK4" s="3765"/>
      <c r="CL4" s="3766"/>
      <c r="CM4" s="3764">
        <f ca="1">OFFSET(InputY!$G$3,0,(COLUMN()-7)/4)</f>
        <v>2016</v>
      </c>
      <c r="CN4" s="3765"/>
      <c r="CO4" s="3765"/>
      <c r="CP4" s="3766"/>
      <c r="CQ4" s="3764">
        <f ca="1">OFFSET(InputY!$G$3,0,(COLUMN()-7)/4)</f>
        <v>2017</v>
      </c>
      <c r="CR4" s="3765"/>
      <c r="CS4" s="3765"/>
      <c r="CT4" s="3766"/>
      <c r="CU4" s="3764">
        <f ca="1">OFFSET(InputY!$G$3,0,(COLUMN()-7)/4)</f>
        <v>2018</v>
      </c>
      <c r="CV4" s="3765"/>
      <c r="CW4" s="3765"/>
      <c r="CX4" s="3766"/>
      <c r="CY4" s="3764">
        <f ca="1">OFFSET(InputY!$G$3,0,(COLUMN()-7)/4)</f>
        <v>2019</v>
      </c>
      <c r="CZ4" s="3765"/>
      <c r="DA4" s="3765"/>
      <c r="DB4" s="3766"/>
      <c r="DC4" s="3749">
        <v>2016</v>
      </c>
      <c r="DD4" s="3752">
        <v>2017</v>
      </c>
      <c r="DE4" s="3752"/>
      <c r="DF4" s="3752">
        <v>2018</v>
      </c>
      <c r="DG4" s="3752"/>
      <c r="DI4" s="3752">
        <v>2016</v>
      </c>
      <c r="DJ4" s="3752"/>
      <c r="DK4" s="3752">
        <v>2017</v>
      </c>
      <c r="DL4" s="3752"/>
      <c r="DM4" s="3752">
        <v>2018</v>
      </c>
      <c r="DN4" s="3752"/>
    </row>
    <row r="5" spans="1:119" s="699" customFormat="1" ht="12.75" customHeight="1">
      <c r="A5" s="664"/>
      <c r="B5" s="664"/>
      <c r="C5" s="1553"/>
      <c r="D5" s="742"/>
      <c r="E5" s="743" t="s">
        <v>917</v>
      </c>
      <c r="F5" s="744"/>
      <c r="G5" s="1578" t="s">
        <v>1842</v>
      </c>
      <c r="H5" s="1579" t="s">
        <v>1843</v>
      </c>
      <c r="I5" s="1579" t="s">
        <v>1844</v>
      </c>
      <c r="J5" s="1580" t="s">
        <v>1845</v>
      </c>
      <c r="K5" s="1578" t="s">
        <v>1842</v>
      </c>
      <c r="L5" s="1579" t="s">
        <v>1843</v>
      </c>
      <c r="M5" s="1579" t="s">
        <v>1844</v>
      </c>
      <c r="N5" s="1580" t="s">
        <v>1845</v>
      </c>
      <c r="O5" s="1578" t="s">
        <v>1842</v>
      </c>
      <c r="P5" s="1579" t="s">
        <v>1843</v>
      </c>
      <c r="Q5" s="1579" t="s">
        <v>1844</v>
      </c>
      <c r="R5" s="1580" t="s">
        <v>1845</v>
      </c>
      <c r="S5" s="1578" t="s">
        <v>1842</v>
      </c>
      <c r="T5" s="1579" t="s">
        <v>1843</v>
      </c>
      <c r="U5" s="1579" t="s">
        <v>1844</v>
      </c>
      <c r="V5" s="1580" t="s">
        <v>1845</v>
      </c>
      <c r="W5" s="1578" t="s">
        <v>1842</v>
      </c>
      <c r="X5" s="1579" t="s">
        <v>1843</v>
      </c>
      <c r="Y5" s="1579" t="s">
        <v>1844</v>
      </c>
      <c r="Z5" s="1580" t="s">
        <v>1845</v>
      </c>
      <c r="AA5" s="1578" t="s">
        <v>1842</v>
      </c>
      <c r="AB5" s="1579" t="s">
        <v>1843</v>
      </c>
      <c r="AC5" s="1579" t="s">
        <v>1844</v>
      </c>
      <c r="AD5" s="1580" t="s">
        <v>1845</v>
      </c>
      <c r="AE5" s="1578" t="s">
        <v>1842</v>
      </c>
      <c r="AF5" s="1579" t="s">
        <v>1843</v>
      </c>
      <c r="AG5" s="1579" t="s">
        <v>1844</v>
      </c>
      <c r="AH5" s="1580" t="s">
        <v>1845</v>
      </c>
      <c r="AI5" s="1578" t="s">
        <v>1842</v>
      </c>
      <c r="AJ5" s="1579" t="s">
        <v>1843</v>
      </c>
      <c r="AK5" s="1579" t="s">
        <v>1844</v>
      </c>
      <c r="AL5" s="1580" t="s">
        <v>1845</v>
      </c>
      <c r="AM5" s="1578" t="s">
        <v>1842</v>
      </c>
      <c r="AN5" s="1579" t="s">
        <v>1843</v>
      </c>
      <c r="AO5" s="1579" t="s">
        <v>1844</v>
      </c>
      <c r="AP5" s="1580" t="s">
        <v>1845</v>
      </c>
      <c r="AQ5" s="1578" t="s">
        <v>1842</v>
      </c>
      <c r="AR5" s="1579" t="s">
        <v>1843</v>
      </c>
      <c r="AS5" s="1579" t="s">
        <v>1844</v>
      </c>
      <c r="AT5" s="1580" t="s">
        <v>1845</v>
      </c>
      <c r="AU5" s="1578" t="s">
        <v>1842</v>
      </c>
      <c r="AV5" s="1579" t="s">
        <v>1843</v>
      </c>
      <c r="AW5" s="1579" t="s">
        <v>1844</v>
      </c>
      <c r="AX5" s="1580" t="s">
        <v>1845</v>
      </c>
      <c r="AY5" s="1578" t="s">
        <v>1842</v>
      </c>
      <c r="AZ5" s="1579" t="s">
        <v>1843</v>
      </c>
      <c r="BA5" s="1579" t="s">
        <v>1844</v>
      </c>
      <c r="BB5" s="1579" t="s">
        <v>1845</v>
      </c>
      <c r="BC5" s="1579" t="s">
        <v>1842</v>
      </c>
      <c r="BD5" s="1579" t="s">
        <v>1843</v>
      </c>
      <c r="BE5" s="1579" t="s">
        <v>1844</v>
      </c>
      <c r="BF5" s="1579" t="s">
        <v>1845</v>
      </c>
      <c r="BG5" s="1579" t="s">
        <v>1842</v>
      </c>
      <c r="BH5" s="1579" t="s">
        <v>1843</v>
      </c>
      <c r="BI5" s="1579" t="s">
        <v>1844</v>
      </c>
      <c r="BJ5" s="1579" t="s">
        <v>1845</v>
      </c>
      <c r="BK5" s="1579" t="s">
        <v>1842</v>
      </c>
      <c r="BL5" s="1579" t="s">
        <v>1843</v>
      </c>
      <c r="BM5" s="1579" t="s">
        <v>1844</v>
      </c>
      <c r="BN5" s="1579" t="s">
        <v>1845</v>
      </c>
      <c r="BO5" s="1579" t="s">
        <v>1842</v>
      </c>
      <c r="BP5" s="1579" t="s">
        <v>1843</v>
      </c>
      <c r="BQ5" s="1579" t="s">
        <v>1844</v>
      </c>
      <c r="BR5" s="1579" t="s">
        <v>1845</v>
      </c>
      <c r="BS5" s="1579" t="s">
        <v>1842</v>
      </c>
      <c r="BT5" s="1579" t="s">
        <v>1843</v>
      </c>
      <c r="BU5" s="1579" t="s">
        <v>1844</v>
      </c>
      <c r="BV5" s="1579" t="s">
        <v>1845</v>
      </c>
      <c r="BW5" s="1579" t="s">
        <v>1842</v>
      </c>
      <c r="BX5" s="1579" t="s">
        <v>1843</v>
      </c>
      <c r="BY5" s="1579" t="s">
        <v>1844</v>
      </c>
      <c r="BZ5" s="1579" t="s">
        <v>1845</v>
      </c>
      <c r="CA5" s="1579" t="s">
        <v>1842</v>
      </c>
      <c r="CB5" s="1579" t="s">
        <v>1843</v>
      </c>
      <c r="CC5" s="1579" t="s">
        <v>1844</v>
      </c>
      <c r="CD5" s="1579" t="s">
        <v>1845</v>
      </c>
      <c r="CE5" s="1579" t="s">
        <v>1842</v>
      </c>
      <c r="CF5" s="1579" t="s">
        <v>1843</v>
      </c>
      <c r="CG5" s="1579" t="s">
        <v>1844</v>
      </c>
      <c r="CH5" s="1579" t="s">
        <v>1845</v>
      </c>
      <c r="CI5" s="1579" t="s">
        <v>1842</v>
      </c>
      <c r="CJ5" s="1579" t="s">
        <v>1843</v>
      </c>
      <c r="CK5" s="1579" t="s">
        <v>1844</v>
      </c>
      <c r="CL5" s="1579" t="s">
        <v>1845</v>
      </c>
      <c r="CM5" s="1579" t="s">
        <v>1842</v>
      </c>
      <c r="CN5" s="1579" t="s">
        <v>1843</v>
      </c>
      <c r="CO5" s="1579" t="s">
        <v>1844</v>
      </c>
      <c r="CP5" s="1579" t="s">
        <v>1845</v>
      </c>
      <c r="CQ5" s="1579" t="s">
        <v>1842</v>
      </c>
      <c r="CR5" s="1579" t="s">
        <v>1843</v>
      </c>
      <c r="CS5" s="1579" t="s">
        <v>1844</v>
      </c>
      <c r="CT5" s="1579" t="s">
        <v>1845</v>
      </c>
      <c r="CU5" s="1579" t="s">
        <v>1842</v>
      </c>
      <c r="CV5" s="1579" t="s">
        <v>1843</v>
      </c>
      <c r="CW5" s="1579" t="s">
        <v>1844</v>
      </c>
      <c r="CX5" s="1579" t="s">
        <v>1845</v>
      </c>
      <c r="CY5" s="1579" t="s">
        <v>1842</v>
      </c>
      <c r="CZ5" s="1579" t="s">
        <v>1843</v>
      </c>
      <c r="DA5" s="1579" t="s">
        <v>1844</v>
      </c>
      <c r="DB5" s="1579" t="s">
        <v>1845</v>
      </c>
      <c r="DC5" t="s">
        <v>2466</v>
      </c>
      <c r="DD5" s="3218" t="s">
        <v>2465</v>
      </c>
      <c r="DE5" t="s">
        <v>2466</v>
      </c>
      <c r="DF5" s="3218" t="s">
        <v>2465</v>
      </c>
      <c r="DG5" t="s">
        <v>2466</v>
      </c>
      <c r="DH5"/>
      <c r="DI5" s="3218" t="s">
        <v>2465</v>
      </c>
      <c r="DJ5" t="s">
        <v>2466</v>
      </c>
      <c r="DK5" s="3218" t="s">
        <v>2465</v>
      </c>
      <c r="DL5" t="s">
        <v>2466</v>
      </c>
      <c r="DM5" s="3218" t="s">
        <v>2465</v>
      </c>
      <c r="DN5" t="s">
        <v>2466</v>
      </c>
      <c r="DO5"/>
    </row>
    <row r="6" spans="1:119">
      <c r="B6" s="665">
        <v>15</v>
      </c>
      <c r="C6" s="762"/>
      <c r="D6" s="689"/>
      <c r="E6" s="732" t="s">
        <v>1069</v>
      </c>
      <c r="F6" s="763"/>
      <c r="G6" s="2852"/>
      <c r="H6" s="2852">
        <f t="shared" ref="H6:BD6" si="0">+H27</f>
        <v>2.6037399821905449</v>
      </c>
      <c r="I6" s="2852">
        <f t="shared" si="0"/>
        <v>2.2825105880719398</v>
      </c>
      <c r="J6" s="2852">
        <f t="shared" si="0"/>
        <v>1.6274373377229479</v>
      </c>
      <c r="K6" s="2852">
        <f t="shared" si="0"/>
        <v>1.1238018902581581</v>
      </c>
      <c r="L6" s="2852">
        <f t="shared" si="0"/>
        <v>1.3111180831915981</v>
      </c>
      <c r="M6" s="2852">
        <f t="shared" si="0"/>
        <v>0.19069972128500368</v>
      </c>
      <c r="N6" s="2852">
        <f t="shared" si="0"/>
        <v>3.232471124125591</v>
      </c>
      <c r="O6" s="2852">
        <f t="shared" si="0"/>
        <v>1.6562396583513106</v>
      </c>
      <c r="P6" s="2852">
        <f t="shared" si="0"/>
        <v>-0.17052148570718684</v>
      </c>
      <c r="Q6" s="2852">
        <f t="shared" si="0"/>
        <v>2.158452125842425</v>
      </c>
      <c r="R6" s="2852">
        <f t="shared" si="0"/>
        <v>1.7480391560770858</v>
      </c>
      <c r="S6" s="2852">
        <f t="shared" si="0"/>
        <v>1.3475156114613585</v>
      </c>
      <c r="T6" s="2852">
        <f t="shared" si="0"/>
        <v>-0.83431603773584939</v>
      </c>
      <c r="U6" s="2852">
        <f t="shared" si="0"/>
        <v>3.0502125635461175</v>
      </c>
      <c r="V6" s="2852">
        <f t="shared" si="0"/>
        <v>0.38946427025934316</v>
      </c>
      <c r="W6" s="2852">
        <f t="shared" si="0"/>
        <v>-0.51583424334731287</v>
      </c>
      <c r="X6" s="2852">
        <f t="shared" si="0"/>
        <v>4.4730418706760977</v>
      </c>
      <c r="Y6" s="2852">
        <f t="shared" si="0"/>
        <v>1.1032156385655245</v>
      </c>
      <c r="Z6" s="2852">
        <f t="shared" si="0"/>
        <v>-0.22014986599570019</v>
      </c>
      <c r="AA6" s="2852">
        <f t="shared" si="0"/>
        <v>1.9062367241780676</v>
      </c>
      <c r="AB6" s="2852">
        <f t="shared" si="0"/>
        <v>3.1239073720448651</v>
      </c>
      <c r="AC6" s="2852">
        <f t="shared" si="0"/>
        <v>0.9063050140184048</v>
      </c>
      <c r="AD6" s="2852">
        <f t="shared" si="0"/>
        <v>1.1178599121219879</v>
      </c>
      <c r="AE6" s="2852">
        <f t="shared" si="0"/>
        <v>2.1701067160841081</v>
      </c>
      <c r="AF6" s="2852">
        <f t="shared" si="0"/>
        <v>-1.4860588169070654</v>
      </c>
      <c r="AG6" s="2852">
        <f t="shared" si="0"/>
        <v>1.8182972509682038</v>
      </c>
      <c r="AH6" s="2852">
        <f t="shared" si="0"/>
        <v>1.9903475625724809</v>
      </c>
      <c r="AI6" s="2852">
        <f t="shared" si="0"/>
        <v>2.0334299304256342</v>
      </c>
      <c r="AJ6" s="2852">
        <f t="shared" si="0"/>
        <v>1.1624283968075133</v>
      </c>
      <c r="AK6" s="2852">
        <f t="shared" si="0"/>
        <v>1.3172858225928508</v>
      </c>
      <c r="AL6" s="2852">
        <f t="shared" si="0"/>
        <v>1.778364979889635</v>
      </c>
      <c r="AM6" s="2852">
        <f t="shared" si="0"/>
        <v>5.3751335454743865</v>
      </c>
      <c r="AN6" s="2852">
        <f t="shared" si="0"/>
        <v>2.0462672248386715</v>
      </c>
      <c r="AO6" s="2852">
        <f t="shared" si="0"/>
        <v>1.04054270605205</v>
      </c>
      <c r="AP6" s="2852">
        <f t="shared" si="0"/>
        <v>4.4111272058279472</v>
      </c>
      <c r="AQ6" s="2852">
        <f t="shared" si="0"/>
        <v>1.890613765936533</v>
      </c>
      <c r="AR6" s="2852">
        <f t="shared" si="0"/>
        <v>3.5739132163231213</v>
      </c>
      <c r="AS6" s="2852">
        <f t="shared" si="0"/>
        <v>3.2826683554992631</v>
      </c>
      <c r="AT6" s="2852">
        <f t="shared" si="0"/>
        <v>1.3499326427277136</v>
      </c>
      <c r="AU6" s="2852">
        <f t="shared" si="0"/>
        <v>31.717761806981535</v>
      </c>
      <c r="AV6" s="2852">
        <f t="shared" si="0"/>
        <v>5.4211221915174912</v>
      </c>
      <c r="AW6" s="2852">
        <f t="shared" si="0"/>
        <v>1.5591165006496155</v>
      </c>
      <c r="AX6" s="2852">
        <f t="shared" si="0"/>
        <v>4.1656379755358852</v>
      </c>
      <c r="AY6" s="2852">
        <f t="shared" si="0"/>
        <v>-3.0229902393829167</v>
      </c>
      <c r="AZ6" s="2852">
        <f t="shared" si="0"/>
        <v>4.8791325986491163</v>
      </c>
      <c r="BA6" s="2852">
        <f t="shared" si="0"/>
        <v>6.0079654266587568</v>
      </c>
      <c r="BB6" s="2852">
        <f t="shared" si="0"/>
        <v>0.41566746602719196</v>
      </c>
      <c r="BC6" s="2852">
        <f t="shared" si="0"/>
        <v>3.5344690335933793</v>
      </c>
      <c r="BD6" s="2852">
        <f t="shared" si="0"/>
        <v>3.1254805474396408</v>
      </c>
      <c r="BE6" s="2852">
        <f t="shared" ref="BE6:BN6" si="1">+BE27</f>
        <v>0.42311276794033681</v>
      </c>
      <c r="BF6" s="2852">
        <f t="shared" si="1"/>
        <v>5.5107002988288301</v>
      </c>
      <c r="BG6" s="2852">
        <f t="shared" si="1"/>
        <v>0.49431798191603704</v>
      </c>
      <c r="BH6" s="2852">
        <f t="shared" si="1"/>
        <v>-0.38160589563603908</v>
      </c>
      <c r="BI6" s="2852">
        <f t="shared" si="1"/>
        <v>-1.9926549403433635</v>
      </c>
      <c r="BJ6" s="2852">
        <f t="shared" si="1"/>
        <v>-2.2429403854773655</v>
      </c>
      <c r="BK6" s="2852">
        <f t="shared" si="1"/>
        <v>-11.69026483750274</v>
      </c>
      <c r="BL6" s="2852">
        <f t="shared" si="1"/>
        <v>-1.7673935617861014</v>
      </c>
      <c r="BM6" s="2852">
        <f t="shared" si="1"/>
        <v>-2.3911710606989378</v>
      </c>
      <c r="BN6" s="2852">
        <f t="shared" si="1"/>
        <v>-4.3146768324380584</v>
      </c>
      <c r="BO6" s="2852">
        <f t="shared" ref="BO6:BZ6" si="2">+BO27</f>
        <v>0.67004708438969107</v>
      </c>
      <c r="BP6" s="2852">
        <f t="shared" si="2"/>
        <v>-0.67907897103794967</v>
      </c>
      <c r="BQ6" s="2852">
        <f t="shared" si="2"/>
        <v>2.644328729907186</v>
      </c>
      <c r="BR6" s="2852">
        <f t="shared" si="2"/>
        <v>0.45436499183906243</v>
      </c>
      <c r="BS6" s="2852">
        <f>+BS27</f>
        <v>1.2405585807131692</v>
      </c>
      <c r="BT6" s="2852">
        <f>+BT27</f>
        <v>1.3207833611659447</v>
      </c>
      <c r="BU6" s="2852">
        <f>+BU27</f>
        <v>1.224367481484645</v>
      </c>
      <c r="BV6" s="2852">
        <f>+BV27</f>
        <v>1.2835694650031648</v>
      </c>
      <c r="BW6" s="2852">
        <f t="shared" si="2"/>
        <v>-0.24844979852599591</v>
      </c>
      <c r="BX6" s="2852">
        <f t="shared" si="2"/>
        <v>0.2072083385658674</v>
      </c>
      <c r="BY6" s="2852">
        <f t="shared" si="2"/>
        <v>0.59945276437536332</v>
      </c>
      <c r="BZ6" s="2852">
        <f t="shared" si="2"/>
        <v>1.6132381031475962</v>
      </c>
      <c r="CA6" s="2852">
        <f t="shared" ref="CA6:CH6" si="3">+CA27</f>
        <v>1.8369056619194302</v>
      </c>
      <c r="CB6" s="2852">
        <f t="shared" si="3"/>
        <v>0.58186195826646081</v>
      </c>
      <c r="CC6" s="2852">
        <f t="shared" si="3"/>
        <v>1.3943746259724721</v>
      </c>
      <c r="CD6" s="2852">
        <f t="shared" si="3"/>
        <v>1.0682877884672148</v>
      </c>
      <c r="CE6" s="2852">
        <f t="shared" si="3"/>
        <v>1.3703963248462347</v>
      </c>
      <c r="CF6" s="2852">
        <f t="shared" si="3"/>
        <v>0.35717028957675812</v>
      </c>
      <c r="CG6" s="2852">
        <f t="shared" si="3"/>
        <v>0.31380352837626635</v>
      </c>
      <c r="CH6" s="2852">
        <f t="shared" si="3"/>
        <v>1.5164231488193014</v>
      </c>
      <c r="CI6" s="2852">
        <f t="shared" ref="CI6:CP6" si="4">+CI27</f>
        <v>1.1987749196745501</v>
      </c>
      <c r="CJ6" s="2852">
        <f t="shared" si="4"/>
        <v>0.27664828533766617</v>
      </c>
      <c r="CK6" s="2852">
        <f t="shared" si="4"/>
        <v>2.0885794697081961</v>
      </c>
      <c r="CL6" s="2852">
        <f t="shared" si="4"/>
        <v>0.46067904817177485</v>
      </c>
      <c r="CM6" s="2852">
        <f t="shared" si="4"/>
        <v>0.24372630438709297</v>
      </c>
      <c r="CN6" s="2852">
        <f t="shared" si="4"/>
        <v>2.5970283656010729</v>
      </c>
      <c r="CO6" s="2852">
        <f t="shared" si="4"/>
        <v>1.4043218003405578</v>
      </c>
      <c r="CP6" s="2852">
        <f t="shared" si="4"/>
        <v>0.96421832534145935</v>
      </c>
      <c r="CQ6" s="2852">
        <f t="shared" ref="CQ6:CX6" si="5">+CQ27</f>
        <v>0.71497153830328841</v>
      </c>
      <c r="CR6" s="2852">
        <f t="shared" si="5"/>
        <v>1.1508145928738056</v>
      </c>
      <c r="CS6" s="2852">
        <f t="shared" si="5"/>
        <v>-2.1879260144408441E-2</v>
      </c>
      <c r="CT6" s="2852">
        <f t="shared" si="5"/>
        <v>1.7574574102754204</v>
      </c>
      <c r="CU6" s="2852">
        <f t="shared" si="5"/>
        <v>0.75</v>
      </c>
      <c r="CV6" s="2852">
        <f t="shared" si="5"/>
        <v>0.75</v>
      </c>
      <c r="CW6" s="2852">
        <f t="shared" si="5"/>
        <v>0.75</v>
      </c>
      <c r="CX6" s="2852">
        <f t="shared" si="5"/>
        <v>0.75</v>
      </c>
      <c r="CY6" s="2852">
        <f t="shared" ref="CY6:DB6" si="6">+CY27</f>
        <v>0.84</v>
      </c>
      <c r="CZ6" s="2852">
        <f t="shared" si="6"/>
        <v>0.84</v>
      </c>
      <c r="DA6" s="2852">
        <f t="shared" si="6"/>
        <v>0.84</v>
      </c>
      <c r="DB6" s="2852">
        <f t="shared" si="6"/>
        <v>0.84</v>
      </c>
      <c r="DC6">
        <f ca="1">CP29</f>
        <v>4.9353738145373853</v>
      </c>
      <c r="DD6">
        <f>CT28</f>
        <v>4.1241037172493122</v>
      </c>
      <c r="DE6">
        <f ca="1">CT29</f>
        <v>3.8909751369404972</v>
      </c>
      <c r="DF6">
        <f>CX28</f>
        <v>3.5081423884548002</v>
      </c>
      <c r="DG6">
        <f ca="1">CX29</f>
        <v>3.4999999999999858</v>
      </c>
      <c r="DI6" s="3194">
        <v>1.3631026590950484</v>
      </c>
      <c r="DJ6" s="3194">
        <v>1.3631026590950484</v>
      </c>
      <c r="DK6" s="3194">
        <v>1.9442805267155165</v>
      </c>
      <c r="DL6" s="3194">
        <v>1.9442805267155165</v>
      </c>
      <c r="DM6" s="3194">
        <v>2.0410349442003621</v>
      </c>
      <c r="DN6" s="3194">
        <v>2.0410349442003621</v>
      </c>
    </row>
    <row r="7" spans="1:119">
      <c r="B7" s="665">
        <v>16</v>
      </c>
      <c r="C7" s="932"/>
      <c r="D7" s="674"/>
      <c r="E7" s="220" t="s">
        <v>1846</v>
      </c>
      <c r="F7" s="710"/>
      <c r="G7" s="2853"/>
      <c r="H7" s="2853">
        <f t="shared" ref="H7:BD7" si="7">+H46</f>
        <v>-0.23001521639123279</v>
      </c>
      <c r="I7" s="2853">
        <f t="shared" si="7"/>
        <v>0.18443640490883872</v>
      </c>
      <c r="J7" s="2853">
        <f t="shared" si="7"/>
        <v>0.84967783048928158</v>
      </c>
      <c r="K7" s="2853">
        <f t="shared" si="7"/>
        <v>-1.2883521729972536</v>
      </c>
      <c r="L7" s="2853">
        <f t="shared" si="7"/>
        <v>-9.9576798605927053E-2</v>
      </c>
      <c r="M7" s="2853">
        <f t="shared" si="7"/>
        <v>1.39190488056673</v>
      </c>
      <c r="N7" s="2853">
        <f t="shared" si="7"/>
        <v>-0.9830770311073711</v>
      </c>
      <c r="O7" s="2853">
        <f t="shared" si="7"/>
        <v>0.92901212679952216</v>
      </c>
      <c r="P7" s="2853">
        <f t="shared" si="7"/>
        <v>2.7086846543001863</v>
      </c>
      <c r="Q7" s="2853">
        <f t="shared" si="7"/>
        <v>0.71147597058320855</v>
      </c>
      <c r="R7" s="2853">
        <f t="shared" si="7"/>
        <v>-0.50945895459022505</v>
      </c>
      <c r="S7" s="2853">
        <f t="shared" si="7"/>
        <v>3.7278530706994717</v>
      </c>
      <c r="T7" s="2853">
        <f t="shared" si="7"/>
        <v>0.10860622017443422</v>
      </c>
      <c r="U7" s="2853">
        <f t="shared" si="7"/>
        <v>0.12163850351765149</v>
      </c>
      <c r="V7" s="2853">
        <f t="shared" si="7"/>
        <v>1.1919225086192808</v>
      </c>
      <c r="W7" s="2853">
        <f t="shared" si="7"/>
        <v>-3.8484002855474264</v>
      </c>
      <c r="X7" s="2853">
        <f t="shared" si="7"/>
        <v>-0.60070194384448383</v>
      </c>
      <c r="Y7" s="2853">
        <f t="shared" si="7"/>
        <v>-1.8673185305900675</v>
      </c>
      <c r="Z7" s="2853">
        <f t="shared" si="7"/>
        <v>-8.3033490174366786E-2</v>
      </c>
      <c r="AA7" s="2853">
        <f t="shared" si="7"/>
        <v>2.1087257617728561</v>
      </c>
      <c r="AB7" s="2853">
        <f t="shared" si="7"/>
        <v>-0.96307097561804111</v>
      </c>
      <c r="AC7" s="2853">
        <f t="shared" si="7"/>
        <v>0.34240712206814461</v>
      </c>
      <c r="AD7" s="2853">
        <f t="shared" si="7"/>
        <v>0.45384746630268147</v>
      </c>
      <c r="AE7" s="2853">
        <f t="shared" si="7"/>
        <v>0.46198790678715351</v>
      </c>
      <c r="AF7" s="2853">
        <f t="shared" si="7"/>
        <v>0.29755866639615824</v>
      </c>
      <c r="AG7" s="2853">
        <f t="shared" si="7"/>
        <v>-0.16182320814509543</v>
      </c>
      <c r="AH7" s="2853">
        <f t="shared" si="7"/>
        <v>0.21273721888295238</v>
      </c>
      <c r="AI7" s="2853">
        <f t="shared" si="7"/>
        <v>1.533173838325963</v>
      </c>
      <c r="AJ7" s="2853">
        <f t="shared" si="7"/>
        <v>-0.34182928448159844</v>
      </c>
      <c r="AK7" s="2853">
        <f t="shared" si="7"/>
        <v>1.9014952212860869</v>
      </c>
      <c r="AL7" s="2853">
        <f t="shared" si="7"/>
        <v>0.27777777777777679</v>
      </c>
      <c r="AM7" s="2853">
        <f t="shared" si="7"/>
        <v>0.47254358807236052</v>
      </c>
      <c r="AN7" s="2853">
        <f t="shared" si="7"/>
        <v>1.2455400583846865</v>
      </c>
      <c r="AO7" s="2853">
        <f t="shared" si="7"/>
        <v>0.57025693599026539</v>
      </c>
      <c r="AP7" s="2853">
        <f t="shared" si="7"/>
        <v>1.1754587155963447</v>
      </c>
      <c r="AQ7" s="2853">
        <f t="shared" si="7"/>
        <v>1.1460596328831008</v>
      </c>
      <c r="AR7" s="2853">
        <f t="shared" si="7"/>
        <v>1.9828793774318898</v>
      </c>
      <c r="AS7" s="2853">
        <f t="shared" si="7"/>
        <v>0.60435870825956695</v>
      </c>
      <c r="AT7" s="2853">
        <f t="shared" si="7"/>
        <v>0.6280339805825097</v>
      </c>
      <c r="AU7" s="2853">
        <f t="shared" si="7"/>
        <v>45.026552898965868</v>
      </c>
      <c r="AV7" s="2853">
        <f t="shared" si="7"/>
        <v>0.17945588974230819</v>
      </c>
      <c r="AW7" s="2853">
        <f t="shared" si="7"/>
        <v>0.27944969905417949</v>
      </c>
      <c r="AX7" s="2853">
        <f t="shared" si="7"/>
        <v>-0.26438013576277619</v>
      </c>
      <c r="AY7" s="2853">
        <f t="shared" si="7"/>
        <v>0.5659836652815553</v>
      </c>
      <c r="AZ7" s="2853">
        <f t="shared" si="7"/>
        <v>0.46306190781506551</v>
      </c>
      <c r="BA7" s="2853">
        <f t="shared" si="7"/>
        <v>2.1557225925400436</v>
      </c>
      <c r="BB7" s="2853">
        <f t="shared" si="7"/>
        <v>0.44425933638763127</v>
      </c>
      <c r="BC7" s="2853">
        <f t="shared" si="7"/>
        <v>0.44920525224603214</v>
      </c>
      <c r="BD7" s="2853">
        <f t="shared" si="7"/>
        <v>0.57791537667699622</v>
      </c>
      <c r="BE7" s="2853">
        <f t="shared" ref="BE7:BN7" si="8">+BE46</f>
        <v>-1.757986182365423</v>
      </c>
      <c r="BF7" s="2853">
        <f t="shared" si="8"/>
        <v>1.3368611613981285</v>
      </c>
      <c r="BG7" s="2853">
        <f t="shared" si="8"/>
        <v>-0.43287068847053245</v>
      </c>
      <c r="BH7" s="2853">
        <f t="shared" si="8"/>
        <v>0.10351252501552555</v>
      </c>
      <c r="BI7" s="2853">
        <f t="shared" si="8"/>
        <v>1.0478422721632574</v>
      </c>
      <c r="BJ7" s="2853">
        <f t="shared" si="8"/>
        <v>-0.46391049256377936</v>
      </c>
      <c r="BK7" s="2853">
        <f t="shared" si="8"/>
        <v>-0.26730637422893722</v>
      </c>
      <c r="BL7" s="2853">
        <f t="shared" si="8"/>
        <v>-0.45357707374062972</v>
      </c>
      <c r="BM7" s="2853">
        <f t="shared" si="8"/>
        <v>-1.7259233690024134</v>
      </c>
      <c r="BN7" s="2853">
        <f t="shared" si="8"/>
        <v>-0.44959606603443003</v>
      </c>
      <c r="BO7" s="2853">
        <f t="shared" ref="BO7:BZ7" si="9">+BO46</f>
        <v>-0.93853644767482036</v>
      </c>
      <c r="BP7" s="2853">
        <f>+BP46</f>
        <v>-0.97592249608207116</v>
      </c>
      <c r="BQ7" s="2853">
        <f t="shared" si="9"/>
        <v>2.1581181210006406E-2</v>
      </c>
      <c r="BR7" s="2853">
        <f t="shared" si="9"/>
        <v>-0.6832566168009202</v>
      </c>
      <c r="BS7" s="2853">
        <f>+BS46</f>
        <v>-6.5174885943963812E-2</v>
      </c>
      <c r="BT7" s="2853">
        <f>+BT46</f>
        <v>0.34057971014493926</v>
      </c>
      <c r="BU7" s="2853">
        <f>+BU46</f>
        <v>0.12999205604102837</v>
      </c>
      <c r="BV7" s="2853">
        <f>+BV46</f>
        <v>0.34619545618463921</v>
      </c>
      <c r="BW7" s="2853">
        <f t="shared" si="9"/>
        <v>0.66125206641272083</v>
      </c>
      <c r="BX7" s="2853">
        <f t="shared" si="9"/>
        <v>0.1071046054980318</v>
      </c>
      <c r="BY7" s="2853">
        <f t="shared" si="9"/>
        <v>0.23537803138373725</v>
      </c>
      <c r="BZ7" s="2853">
        <f t="shared" si="9"/>
        <v>0.19924571265921287</v>
      </c>
      <c r="CA7" s="2853">
        <f t="shared" ref="CA7:CH7" si="10">+CA46</f>
        <v>0.19884951352888702</v>
      </c>
      <c r="CB7" s="2853">
        <f t="shared" si="10"/>
        <v>0.14884116521369783</v>
      </c>
      <c r="CC7" s="2853">
        <f t="shared" si="10"/>
        <v>0.26185421089879313</v>
      </c>
      <c r="CD7" s="2853">
        <f t="shared" si="10"/>
        <v>-0.21175972330063075</v>
      </c>
      <c r="CE7" s="2853">
        <f t="shared" si="10"/>
        <v>0.14854636768761864</v>
      </c>
      <c r="CF7" s="2853">
        <f t="shared" si="10"/>
        <v>0.10594716767906576</v>
      </c>
      <c r="CG7" s="2853">
        <f t="shared" si="10"/>
        <v>-1.4111338460465195E-2</v>
      </c>
      <c r="CH7" s="2853">
        <f t="shared" si="10"/>
        <v>0.35283325100559093</v>
      </c>
      <c r="CI7" s="2853">
        <f t="shared" ref="CI7:CP7" si="11">+CI46</f>
        <v>-0.30236973489908836</v>
      </c>
      <c r="CJ7" s="2853">
        <f t="shared" si="11"/>
        <v>0.23275497249257704</v>
      </c>
      <c r="CK7" s="2853">
        <f t="shared" si="11"/>
        <v>7.0368024769784654E-3</v>
      </c>
      <c r="CL7" s="2853">
        <f t="shared" si="11"/>
        <v>-0.11258091753447719</v>
      </c>
      <c r="CM7" s="2853">
        <f t="shared" si="11"/>
        <v>0.69033530571991353</v>
      </c>
      <c r="CN7" s="2853">
        <f t="shared" si="11"/>
        <v>0.23786204001678968</v>
      </c>
      <c r="CO7" s="2853">
        <f t="shared" si="11"/>
        <v>0.63512004466781402</v>
      </c>
      <c r="CP7" s="2853">
        <f t="shared" si="11"/>
        <v>0.58949996532353666</v>
      </c>
      <c r="CQ7" s="2853">
        <f t="shared" ref="CQ7:CX7" si="12">+CQ46</f>
        <v>8.9630446773303341E-2</v>
      </c>
      <c r="CR7" s="2853">
        <f t="shared" si="12"/>
        <v>0.22731969415168418</v>
      </c>
      <c r="CS7" s="2853">
        <f t="shared" si="12"/>
        <v>9.6219931271490644E-2</v>
      </c>
      <c r="CT7" s="2853">
        <f t="shared" si="12"/>
        <v>0.15105740181267091</v>
      </c>
      <c r="CU7" s="2853">
        <f t="shared" si="12"/>
        <v>0.5</v>
      </c>
      <c r="CV7" s="2853">
        <f t="shared" si="12"/>
        <v>0.6</v>
      </c>
      <c r="CW7" s="2853">
        <f t="shared" si="12"/>
        <v>0.6</v>
      </c>
      <c r="CX7" s="2853">
        <f t="shared" si="12"/>
        <v>0.6</v>
      </c>
      <c r="CY7" s="2853">
        <f t="shared" ref="CY7:DB7" si="13">+CY46</f>
        <v>0.3</v>
      </c>
      <c r="CZ7" s="2853">
        <f t="shared" si="13"/>
        <v>0.25</v>
      </c>
      <c r="DA7" s="2853">
        <f t="shared" si="13"/>
        <v>0.2</v>
      </c>
      <c r="DB7" s="2853">
        <f t="shared" si="13"/>
        <v>0.18</v>
      </c>
      <c r="DC7">
        <f ca="1">CP48</f>
        <v>1.2923826522888646</v>
      </c>
      <c r="DD7">
        <f>CT47</f>
        <v>1.1677817360326657</v>
      </c>
      <c r="DE7">
        <f ca="1">CT48</f>
        <v>1.1589392464896378</v>
      </c>
      <c r="DF7">
        <f>CX47</f>
        <v>1.6293445767539652</v>
      </c>
      <c r="DG7">
        <f ca="1">CX48</f>
        <v>1.6400000000000006</v>
      </c>
      <c r="DI7" s="3194">
        <v>1.093451057099287</v>
      </c>
      <c r="DJ7" s="3194">
        <v>1.093451057099287</v>
      </c>
      <c r="DK7" s="3194">
        <v>0.83154181785911874</v>
      </c>
      <c r="DL7" s="3194">
        <v>0.79999999999999716</v>
      </c>
      <c r="DM7" s="3194">
        <v>1.2803319009105678</v>
      </c>
      <c r="DN7" s="3194">
        <v>1.2999999999999829</v>
      </c>
    </row>
    <row r="8" spans="1:119">
      <c r="B8" s="665">
        <v>17</v>
      </c>
      <c r="C8" s="932"/>
      <c r="D8" s="674"/>
      <c r="E8" s="220" t="s">
        <v>1067</v>
      </c>
      <c r="F8" s="710"/>
      <c r="G8" s="2853"/>
      <c r="H8" s="2853">
        <f>+H86</f>
        <v>5.0036845983787881</v>
      </c>
      <c r="I8" s="2853">
        <f t="shared" ref="I8:BN8" si="14">+I86</f>
        <v>0.65969541722226133</v>
      </c>
      <c r="J8" s="2853">
        <f t="shared" si="14"/>
        <v>8.1572892700271673</v>
      </c>
      <c r="K8" s="2853">
        <f t="shared" si="14"/>
        <v>4.3382969122671478</v>
      </c>
      <c r="L8" s="2853">
        <f t="shared" si="14"/>
        <v>3.4041764487829029</v>
      </c>
      <c r="M8" s="2853">
        <f t="shared" si="14"/>
        <v>3.160662006333248</v>
      </c>
      <c r="N8" s="2853">
        <f t="shared" si="14"/>
        <v>9.359434727209571</v>
      </c>
      <c r="O8" s="2853">
        <f t="shared" si="14"/>
        <v>6.7471666137061792</v>
      </c>
      <c r="P8" s="2853">
        <f t="shared" si="14"/>
        <v>2.4905735264933559</v>
      </c>
      <c r="Q8" s="2853">
        <f t="shared" si="14"/>
        <v>8.0114241456094462</v>
      </c>
      <c r="R8" s="2853">
        <f t="shared" si="14"/>
        <v>4.8402276699681668</v>
      </c>
      <c r="S8" s="2853">
        <f t="shared" si="14"/>
        <v>8.0323173598939803</v>
      </c>
      <c r="T8" s="2853">
        <f t="shared" si="14"/>
        <v>5.729661285216836</v>
      </c>
      <c r="U8" s="2853">
        <f t="shared" si="14"/>
        <v>2.4625748502994149</v>
      </c>
      <c r="V8" s="2853">
        <f t="shared" si="14"/>
        <v>-5.2414347286142249</v>
      </c>
      <c r="W8" s="2853">
        <f t="shared" si="14"/>
        <v>-1.7654087807886576</v>
      </c>
      <c r="X8" s="2853">
        <f t="shared" si="14"/>
        <v>2.9821463606042764</v>
      </c>
      <c r="Y8" s="2853">
        <f t="shared" si="14"/>
        <v>-8.6797485235282963</v>
      </c>
      <c r="Z8" s="2853">
        <f t="shared" si="14"/>
        <v>-4.8733675470438387</v>
      </c>
      <c r="AA8" s="2853">
        <f t="shared" si="14"/>
        <v>-2.1711478573621656</v>
      </c>
      <c r="AB8" s="2853">
        <f t="shared" si="14"/>
        <v>-0.96395265423243615</v>
      </c>
      <c r="AC8" s="2853">
        <f t="shared" si="14"/>
        <v>3.3998822943546836</v>
      </c>
      <c r="AD8" s="2853">
        <f t="shared" si="14"/>
        <v>3.3143607705779177</v>
      </c>
      <c r="AE8" s="2853">
        <f t="shared" si="14"/>
        <v>4.4031020892486339</v>
      </c>
      <c r="AF8" s="2853">
        <f t="shared" si="14"/>
        <v>-2.5937652216268869</v>
      </c>
      <c r="AG8" s="2853">
        <f t="shared" si="14"/>
        <v>2.8503562945368266</v>
      </c>
      <c r="AH8" s="2853">
        <f t="shared" si="14"/>
        <v>21.109355374579629</v>
      </c>
      <c r="AI8" s="2853">
        <f t="shared" si="14"/>
        <v>-6.0185340068917075</v>
      </c>
      <c r="AJ8" s="2853">
        <f t="shared" si="14"/>
        <v>-1.5200056955716801</v>
      </c>
      <c r="AK8" s="2853">
        <f t="shared" si="14"/>
        <v>1.5579251762154467</v>
      </c>
      <c r="AL8" s="2853">
        <f t="shared" si="14"/>
        <v>7.1611617312072884</v>
      </c>
      <c r="AM8" s="2853">
        <f t="shared" si="14"/>
        <v>-0.43842168194501152</v>
      </c>
      <c r="AN8" s="2853">
        <f t="shared" si="14"/>
        <v>6.4518281291700008</v>
      </c>
      <c r="AO8" s="2853">
        <f t="shared" si="14"/>
        <v>2.8611720463804557</v>
      </c>
      <c r="AP8" s="2853">
        <f t="shared" si="14"/>
        <v>2.6810468269201637</v>
      </c>
      <c r="AQ8" s="2853">
        <f t="shared" si="14"/>
        <v>4.2755837759249848</v>
      </c>
      <c r="AR8" s="2853">
        <f t="shared" si="14"/>
        <v>4.7917140905986866</v>
      </c>
      <c r="AS8" s="2853">
        <f t="shared" si="14"/>
        <v>1.7486694906049927</v>
      </c>
      <c r="AT8" s="2853">
        <f t="shared" si="14"/>
        <v>0.14143894107601085</v>
      </c>
      <c r="AU8" s="2853">
        <f t="shared" si="14"/>
        <v>17.777055296469001</v>
      </c>
      <c r="AV8" s="2853">
        <f t="shared" si="14"/>
        <v>0.77343750000000711</v>
      </c>
      <c r="AW8" s="2853">
        <f t="shared" si="14"/>
        <v>9.1945112024187878</v>
      </c>
      <c r="AX8" s="2853">
        <f t="shared" si="14"/>
        <v>3.067092651757175</v>
      </c>
      <c r="AY8" s="2853">
        <f t="shared" si="14"/>
        <v>1.8185575532134735</v>
      </c>
      <c r="AZ8" s="2853">
        <f t="shared" si="14"/>
        <v>5.7912184561261126</v>
      </c>
      <c r="BA8" s="2853">
        <f t="shared" si="14"/>
        <v>5.1480463004412558</v>
      </c>
      <c r="BB8" s="2853">
        <f t="shared" si="14"/>
        <v>9.9257997810485286</v>
      </c>
      <c r="BC8" s="2853">
        <f t="shared" si="14"/>
        <v>4.0112869315038102</v>
      </c>
      <c r="BD8" s="2853">
        <f t="shared" si="14"/>
        <v>6.7663173573062174</v>
      </c>
      <c r="BE8" s="2853">
        <f t="shared" si="14"/>
        <v>9.4663943002348816E-2</v>
      </c>
      <c r="BF8" s="2853">
        <f t="shared" si="14"/>
        <v>1.9014435042309819</v>
      </c>
      <c r="BG8" s="2853">
        <f t="shared" si="14"/>
        <v>-0.90367330988667671</v>
      </c>
      <c r="BH8" s="2853">
        <f t="shared" si="14"/>
        <v>-0.82318726277912369</v>
      </c>
      <c r="BI8" s="2853">
        <f t="shared" si="14"/>
        <v>-6.2574552683896663</v>
      </c>
      <c r="BJ8" s="2853">
        <f t="shared" si="14"/>
        <v>-8.6845872435183722</v>
      </c>
      <c r="BK8" s="2853">
        <f t="shared" si="14"/>
        <v>-22.051907333217201</v>
      </c>
      <c r="BL8" s="2853">
        <f t="shared" si="14"/>
        <v>-12.931098696461818</v>
      </c>
      <c r="BM8" s="2853">
        <f t="shared" si="14"/>
        <v>-9.0255796047566061</v>
      </c>
      <c r="BN8" s="2853">
        <f t="shared" si="14"/>
        <v>0.94978371261986716</v>
      </c>
      <c r="BO8" s="2853">
        <f t="shared" ref="BO8:BV8" si="15">+BO86</f>
        <v>-2.8132277596646493</v>
      </c>
      <c r="BP8" s="2853">
        <f t="shared" si="15"/>
        <v>6.8820090098725251</v>
      </c>
      <c r="BQ8" s="2853">
        <f t="shared" si="15"/>
        <v>12.088601919110387</v>
      </c>
      <c r="BR8" s="2853">
        <f t="shared" si="15"/>
        <v>3.6482918633490735</v>
      </c>
      <c r="BS8" s="2853">
        <f t="shared" si="15"/>
        <v>6.5766113469702736</v>
      </c>
      <c r="BT8" s="2853">
        <f t="shared" si="15"/>
        <v>1.6151227638154575</v>
      </c>
      <c r="BU8" s="2853">
        <f t="shared" si="15"/>
        <v>2.9151817533856095</v>
      </c>
      <c r="BV8" s="2853">
        <f t="shared" si="15"/>
        <v>0.54020361520878968</v>
      </c>
      <c r="BW8" s="2853">
        <f t="shared" ref="BW8:CD8" si="16">+BW86</f>
        <v>-1.467245298615405</v>
      </c>
      <c r="BX8" s="2853">
        <f t="shared" si="16"/>
        <v>-3.4955257270693485</v>
      </c>
      <c r="BY8" s="2853">
        <f t="shared" si="16"/>
        <v>1.2894813097652946</v>
      </c>
      <c r="BZ8" s="2853">
        <f t="shared" si="16"/>
        <v>-1.4375625804606051</v>
      </c>
      <c r="CA8" s="2853">
        <f t="shared" si="16"/>
        <v>4.0635657789710455</v>
      </c>
      <c r="CB8" s="2853">
        <f t="shared" si="16"/>
        <v>3.082072379889822</v>
      </c>
      <c r="CC8" s="2853">
        <f t="shared" si="16"/>
        <v>5.8039640127172998</v>
      </c>
      <c r="CD8" s="2853">
        <f t="shared" si="16"/>
        <v>3.1967265520127519E-2</v>
      </c>
      <c r="CE8" s="2853">
        <f t="shared" ref="CE8:CL8" si="17">+CE86</f>
        <v>1.2846733989518189</v>
      </c>
      <c r="CF8" s="2853">
        <f t="shared" si="17"/>
        <v>7.5724111819286399E-2</v>
      </c>
      <c r="CG8" s="2853">
        <f t="shared" si="17"/>
        <v>0.59272337473987857</v>
      </c>
      <c r="CH8" s="2853">
        <f t="shared" si="17"/>
        <v>0.90265153889552696</v>
      </c>
      <c r="CI8" s="2853">
        <f t="shared" si="17"/>
        <v>5.1438156178169603</v>
      </c>
      <c r="CJ8" s="2853">
        <f t="shared" si="17"/>
        <v>1.9852289512555465</v>
      </c>
      <c r="CK8" s="2853">
        <f t="shared" si="17"/>
        <v>-2.659173860147146</v>
      </c>
      <c r="CL8" s="2853">
        <f t="shared" si="17"/>
        <v>-4.9101297464587574</v>
      </c>
      <c r="CM8" s="2853">
        <f t="shared" ref="CM8:CT8" si="18">+CM86</f>
        <v>3.9306503098203605</v>
      </c>
      <c r="CN8" s="2853">
        <f t="shared" si="18"/>
        <v>1.4935260463715627</v>
      </c>
      <c r="CO8" s="2853">
        <f t="shared" si="18"/>
        <v>-3.5186613659289212</v>
      </c>
      <c r="CP8" s="2853">
        <f t="shared" si="18"/>
        <v>5.5965559655596575</v>
      </c>
      <c r="CQ8" s="2853">
        <f t="shared" si="18"/>
        <v>-0.68142108328480555</v>
      </c>
      <c r="CR8" s="2853">
        <f t="shared" si="18"/>
        <v>2.738521081334655</v>
      </c>
      <c r="CS8" s="2853">
        <f t="shared" si="18"/>
        <v>1.2557077625570789</v>
      </c>
      <c r="CT8" s="2853">
        <f t="shared" si="18"/>
        <v>7.5479143179256081</v>
      </c>
      <c r="CU8" s="2853">
        <f t="shared" ref="CU8:DB8" si="19">+CU86</f>
        <v>-1.5</v>
      </c>
      <c r="CV8" s="2853">
        <f t="shared" si="19"/>
        <v>0.8</v>
      </c>
      <c r="CW8" s="2853">
        <f t="shared" si="19"/>
        <v>1</v>
      </c>
      <c r="CX8" s="2853">
        <f t="shared" si="19"/>
        <v>1.1499999999999999</v>
      </c>
      <c r="CY8" s="2853">
        <f t="shared" si="19"/>
        <v>1.03</v>
      </c>
      <c r="CZ8" s="2853">
        <f t="shared" si="19"/>
        <v>1</v>
      </c>
      <c r="DA8" s="2853">
        <f t="shared" si="19"/>
        <v>1</v>
      </c>
      <c r="DB8" s="2853">
        <f t="shared" si="19"/>
        <v>1</v>
      </c>
      <c r="DC8">
        <f ca="1">CP89</f>
        <v>-0.47086618171282169</v>
      </c>
      <c r="DD8">
        <f>CT88</f>
        <v>6.7336443009209432</v>
      </c>
      <c r="DE8">
        <f ca="1">CT89</f>
        <v>7.3037703461852317</v>
      </c>
      <c r="DF8">
        <f>CX88</f>
        <v>6.7643090052033727</v>
      </c>
      <c r="DG8">
        <f ca="1">CX89</f>
        <v>6.7620842369476577</v>
      </c>
      <c r="DI8" s="3194">
        <v>6.8917275722953519</v>
      </c>
      <c r="DJ8" s="3194">
        <v>6.9034219476379093</v>
      </c>
      <c r="DK8" s="3194">
        <v>4.1542311058883001</v>
      </c>
      <c r="DL8" s="3194">
        <v>4.1464367913572886</v>
      </c>
      <c r="DM8" s="3194">
        <v>3.097003462457451</v>
      </c>
      <c r="DN8" s="3194">
        <v>3.0880734052364005</v>
      </c>
    </row>
    <row r="9" spans="1:119">
      <c r="B9" s="665">
        <v>18</v>
      </c>
      <c r="C9" s="932"/>
      <c r="D9" s="717"/>
      <c r="E9" s="718" t="s">
        <v>2107</v>
      </c>
      <c r="F9" s="924"/>
      <c r="G9" s="2854"/>
      <c r="H9" s="2854">
        <f t="shared" ref="H9:BD9" si="20">+H110</f>
        <v>2.1188213800916733</v>
      </c>
      <c r="I9" s="2854">
        <f t="shared" si="20"/>
        <v>1.4601968917095531</v>
      </c>
      <c r="J9" s="2854">
        <f t="shared" si="20"/>
        <v>2.3336222861421119</v>
      </c>
      <c r="K9" s="2854">
        <f t="shared" si="20"/>
        <v>0.94238821774077497</v>
      </c>
      <c r="L9" s="2854">
        <f t="shared" si="20"/>
        <v>1.2559124198962657</v>
      </c>
      <c r="M9" s="2854">
        <f t="shared" si="20"/>
        <v>0.97663423776381819</v>
      </c>
      <c r="N9" s="2854">
        <f t="shared" si="20"/>
        <v>3.0992930291555476</v>
      </c>
      <c r="O9" s="2854">
        <f t="shared" si="20"/>
        <v>2.3403081209686816</v>
      </c>
      <c r="P9" s="2854">
        <f t="shared" si="20"/>
        <v>1.028039035428896</v>
      </c>
      <c r="Q9" s="2854">
        <f t="shared" si="20"/>
        <v>2.8462433612445492</v>
      </c>
      <c r="R9" s="2854">
        <f t="shared" si="20"/>
        <v>1.7695501259102908</v>
      </c>
      <c r="S9" s="2854">
        <f t="shared" si="20"/>
        <v>3.2376446198087327</v>
      </c>
      <c r="T9" s="2854">
        <f t="shared" si="20"/>
        <v>0.74090868604095306</v>
      </c>
      <c r="U9" s="2854">
        <f t="shared" si="20"/>
        <v>2.2079863678744927</v>
      </c>
      <c r="V9" s="2854">
        <f t="shared" si="20"/>
        <v>-0.63070643839602258</v>
      </c>
      <c r="W9" s="2854">
        <f t="shared" si="20"/>
        <v>-1.585191164715849</v>
      </c>
      <c r="X9" s="2854">
        <f t="shared" si="20"/>
        <v>2.9584894735995571</v>
      </c>
      <c r="Y9" s="2854">
        <f t="shared" si="20"/>
        <v>-1.585528730874064</v>
      </c>
      <c r="Z9" s="2854">
        <f t="shared" si="20"/>
        <v>-1.0737839575248098</v>
      </c>
      <c r="AA9" s="2854">
        <f t="shared" si="20"/>
        <v>1.2073806658644326</v>
      </c>
      <c r="AB9" s="2854">
        <f t="shared" si="20"/>
        <v>1.4458404343862474</v>
      </c>
      <c r="AC9" s="2854">
        <f t="shared" si="20"/>
        <v>1.2080106892537357</v>
      </c>
      <c r="AD9" s="2854">
        <f t="shared" si="20"/>
        <v>1.3549507817023576</v>
      </c>
      <c r="AE9" s="2854">
        <f t="shared" si="20"/>
        <v>2.1884521633150467</v>
      </c>
      <c r="AF9" s="2854">
        <f t="shared" si="20"/>
        <v>-1.2962811118648165</v>
      </c>
      <c r="AG9" s="2854">
        <f t="shared" si="20"/>
        <v>1.5617683930702064</v>
      </c>
      <c r="AH9" s="2854">
        <f t="shared" si="20"/>
        <v>5.1077467616484018</v>
      </c>
      <c r="AI9" s="2854">
        <f t="shared" si="20"/>
        <v>0.22567933725265998</v>
      </c>
      <c r="AJ9" s="2854">
        <f t="shared" si="20"/>
        <v>0.31058092750759769</v>
      </c>
      <c r="AK9" s="2854">
        <f t="shared" si="20"/>
        <v>1.487580043628145</v>
      </c>
      <c r="AL9" s="2854">
        <f t="shared" si="20"/>
        <v>2.5085977368538126</v>
      </c>
      <c r="AM9" s="2854">
        <f t="shared" si="20"/>
        <v>3.1736583650112893</v>
      </c>
      <c r="AN9" s="2854">
        <f t="shared" si="20"/>
        <v>2.7502065113351737</v>
      </c>
      <c r="AO9" s="2854">
        <f t="shared" si="20"/>
        <v>1.3175608853498666</v>
      </c>
      <c r="AP9" s="2854">
        <f t="shared" si="20"/>
        <v>3.4138569467360602</v>
      </c>
      <c r="AQ9" s="2854">
        <f t="shared" si="20"/>
        <v>2.2360929269555019</v>
      </c>
      <c r="AR9" s="2854">
        <f t="shared" si="20"/>
        <v>3.5243943843180192</v>
      </c>
      <c r="AS9" s="2854">
        <f t="shared" si="20"/>
        <v>2.4527628823272307</v>
      </c>
      <c r="AT9" s="2854">
        <f t="shared" si="20"/>
        <v>0.96199745039788898</v>
      </c>
      <c r="AU9" s="2854">
        <f t="shared" si="20"/>
        <v>31.263248859717429</v>
      </c>
      <c r="AV9" s="2854">
        <f t="shared" si="20"/>
        <v>3.4822813332162861</v>
      </c>
      <c r="AW9" s="2854">
        <f t="shared" si="20"/>
        <v>2.699148827870923</v>
      </c>
      <c r="AX9" s="2854">
        <f t="shared" si="20"/>
        <v>3.0990569284780056</v>
      </c>
      <c r="AY9" s="2854">
        <f t="shared" si="20"/>
        <v>-1.4154848703362477</v>
      </c>
      <c r="AZ9" s="2854">
        <f t="shared" si="20"/>
        <v>4.2220897786687583</v>
      </c>
      <c r="BA9" s="2854">
        <f t="shared" si="20"/>
        <v>5.1271720624358474</v>
      </c>
      <c r="BB9" s="2854">
        <f t="shared" si="20"/>
        <v>2.3538720205716679</v>
      </c>
      <c r="BC9" s="2854">
        <f t="shared" si="20"/>
        <v>3.0993332689148501</v>
      </c>
      <c r="BD9" s="2854">
        <f t="shared" si="20"/>
        <v>3.4935214039691687</v>
      </c>
      <c r="BE9" s="2854">
        <f t="shared" ref="BE9:BN9" si="21">+BE110</f>
        <v>-1.245189042335948E-2</v>
      </c>
      <c r="BF9" s="2854">
        <f t="shared" si="21"/>
        <v>4.0111401691403703</v>
      </c>
      <c r="BG9" s="2854">
        <f t="shared" si="21"/>
        <v>3.5919540229878422E-2</v>
      </c>
      <c r="BH9" s="2854">
        <f t="shared" si="21"/>
        <v>-0.40258963059681685</v>
      </c>
      <c r="BI9" s="2854">
        <f t="shared" si="21"/>
        <v>-2.4482438411536522</v>
      </c>
      <c r="BJ9" s="2854">
        <f t="shared" si="21"/>
        <v>-3.3115326897663944</v>
      </c>
      <c r="BK9" s="2854">
        <f t="shared" si="21"/>
        <v>-11.826910826181114</v>
      </c>
      <c r="BL9" s="2854">
        <f t="shared" si="21"/>
        <v>-3.4850116911436468</v>
      </c>
      <c r="BM9" s="2854">
        <f t="shared" si="21"/>
        <v>-3.3155036544036287</v>
      </c>
      <c r="BN9" s="2854">
        <f t="shared" si="21"/>
        <v>-2.7520869406084114</v>
      </c>
      <c r="BO9" s="2854">
        <f t="shared" ref="BO9:BZ9" si="22">+BO110</f>
        <v>-0.20121015604644965</v>
      </c>
      <c r="BP9" s="2854">
        <f t="shared" si="22"/>
        <v>0.40468212871502818</v>
      </c>
      <c r="BQ9" s="2854">
        <f t="shared" si="22"/>
        <v>3.6390164976452422</v>
      </c>
      <c r="BR9" s="2854">
        <f t="shared" si="22"/>
        <v>0.79034303954501617</v>
      </c>
      <c r="BS9" s="2854">
        <f>+BS110</f>
        <v>1.9472257564861373</v>
      </c>
      <c r="BT9" s="2854">
        <f>+BT110</f>
        <v>1.1924141299039626</v>
      </c>
      <c r="BU9" s="2854">
        <f>+BU110</f>
        <v>1.3392318520007995</v>
      </c>
      <c r="BV9" s="2854">
        <f>+BV110</f>
        <v>0.96965367621770771</v>
      </c>
      <c r="BW9" s="2854">
        <f t="shared" si="22"/>
        <v>-0.31443656897296446</v>
      </c>
      <c r="BX9" s="2854">
        <f t="shared" si="22"/>
        <v>-0.50731399582057968</v>
      </c>
      <c r="BY9" s="2854">
        <f t="shared" si="22"/>
        <v>0.65785128333839538</v>
      </c>
      <c r="BZ9" s="2854">
        <f t="shared" si="22"/>
        <v>0.79266132101472042</v>
      </c>
      <c r="CA9" s="2854">
        <f t="shared" ref="CA9:CH9" si="23">+CA110</f>
        <v>1.9361222868898187</v>
      </c>
      <c r="CB9" s="2854">
        <f t="shared" si="23"/>
        <v>0.9618086601098419</v>
      </c>
      <c r="CC9" s="2854">
        <f t="shared" si="23"/>
        <v>2.0166238629606426</v>
      </c>
      <c r="CD9" s="2854">
        <f t="shared" si="23"/>
        <v>0.64238500936297793</v>
      </c>
      <c r="CE9" s="2854">
        <f t="shared" si="23"/>
        <v>1.1410264309038132</v>
      </c>
      <c r="CF9" s="2854">
        <f t="shared" si="23"/>
        <v>0.25949976242980455</v>
      </c>
      <c r="CG9" s="2854">
        <f t="shared" si="23"/>
        <v>0.31107978710478434</v>
      </c>
      <c r="CH9" s="2854">
        <f t="shared" si="23"/>
        <v>1.1980617807389571</v>
      </c>
      <c r="CI9" s="2854">
        <f t="shared" ref="CI9:CP9" si="24">+CI110</f>
        <v>1.7033960186260133</v>
      </c>
      <c r="CJ9" s="2854">
        <f t="shared" si="24"/>
        <v>0.60968432946493234</v>
      </c>
      <c r="CK9" s="2854">
        <f t="shared" si="24"/>
        <v>0.78380907814694645</v>
      </c>
      <c r="CL9" s="2854">
        <f t="shared" si="24"/>
        <v>-0.68136970400464181</v>
      </c>
      <c r="CM9" s="2854">
        <f t="shared" si="24"/>
        <v>1.0062760772763912</v>
      </c>
      <c r="CN9" s="2854">
        <f t="shared" si="24"/>
        <v>1.9948162547440473</v>
      </c>
      <c r="CO9" s="2854">
        <f t="shared" si="24"/>
        <v>0.33806779507192797</v>
      </c>
      <c r="CP9" s="2854">
        <f t="shared" si="24"/>
        <v>1.7547430070325332</v>
      </c>
      <c r="CQ9" s="2854">
        <f t="shared" ref="CQ9:CX9" si="25">+CQ110</f>
        <v>0.34778550634460004</v>
      </c>
      <c r="CR9" s="2854">
        <f t="shared" si="25"/>
        <v>1.3021669564062144</v>
      </c>
      <c r="CS9" s="2854">
        <f t="shared" si="25"/>
        <v>0.24156437526641206</v>
      </c>
      <c r="CT9" s="2854">
        <f t="shared" si="25"/>
        <v>2.6224538753434778</v>
      </c>
      <c r="CU9" s="2854">
        <f t="shared" si="25"/>
        <v>0.25512415925536319</v>
      </c>
      <c r="CV9" s="2854">
        <f t="shared" si="25"/>
        <v>0.73665440050966002</v>
      </c>
      <c r="CW9" s="2854">
        <f t="shared" si="25"/>
        <v>0.77655240047236962</v>
      </c>
      <c r="CX9" s="2854">
        <f t="shared" si="25"/>
        <v>0.80666502587561029</v>
      </c>
      <c r="CY9" s="2854">
        <f t="shared" ref="CY9:DB9" si="26">+CY110</f>
        <v>0.79461665962858952</v>
      </c>
      <c r="CZ9" s="2854">
        <f t="shared" si="26"/>
        <v>0.7813982376775449</v>
      </c>
      <c r="DA9" s="2854">
        <f t="shared" si="26"/>
        <v>0.77429678563838522</v>
      </c>
      <c r="DB9" s="2854">
        <f t="shared" si="26"/>
        <v>0.77188451507112787</v>
      </c>
      <c r="DC9" s="3194">
        <f ca="1">CP112</f>
        <v>3.2424898204958907</v>
      </c>
      <c r="DD9" s="3194">
        <f>CT111</f>
        <v>4.1366396990504768</v>
      </c>
      <c r="DE9" s="3194">
        <f ca="1">CT112</f>
        <v>4.0669508577439757</v>
      </c>
      <c r="DF9" s="3194">
        <f>CX111</f>
        <v>3.8429626096597218</v>
      </c>
      <c r="DG9" s="3194">
        <f ca="1">CX112</f>
        <v>3.8087055954553648</v>
      </c>
      <c r="DI9" s="3194">
        <v>2.549773903161153</v>
      </c>
      <c r="DJ9" s="3194">
        <v>2.4909518575748848</v>
      </c>
      <c r="DK9" s="3194">
        <v>2.1583679105995515</v>
      </c>
      <c r="DL9" s="3194">
        <v>2.1237521971876276</v>
      </c>
      <c r="DM9" s="3194">
        <v>2.086738302286804</v>
      </c>
      <c r="DN9" s="3194">
        <v>2.0780778192292786</v>
      </c>
    </row>
    <row r="10" spans="1:119">
      <c r="B10" s="665">
        <v>19</v>
      </c>
      <c r="C10" s="932"/>
      <c r="D10" s="806"/>
      <c r="E10" s="334" t="s">
        <v>2108</v>
      </c>
      <c r="F10" s="187"/>
      <c r="G10" s="2856"/>
      <c r="H10" s="2856">
        <f t="shared" ref="H10:BD10" si="27">+H134</f>
        <v>-2.9461950869824225</v>
      </c>
      <c r="I10" s="2856">
        <f t="shared" si="27"/>
        <v>-2.4165219848992612</v>
      </c>
      <c r="J10" s="2856">
        <f t="shared" si="27"/>
        <v>-3.757849390285978</v>
      </c>
      <c r="K10" s="2856">
        <f t="shared" si="27"/>
        <v>-3.7643064133711919</v>
      </c>
      <c r="L10" s="2856">
        <f t="shared" si="27"/>
        <v>-3.0829365779110098</v>
      </c>
      <c r="M10" s="2856">
        <f t="shared" si="27"/>
        <v>-1.2630542431616096</v>
      </c>
      <c r="N10" s="2856">
        <f t="shared" si="27"/>
        <v>-1.6756309474555253</v>
      </c>
      <c r="O10" s="2856">
        <f t="shared" si="27"/>
        <v>-0.36240615441653473</v>
      </c>
      <c r="P10" s="2856">
        <f t="shared" si="27"/>
        <v>-1.0777797736665477E-2</v>
      </c>
      <c r="Q10" s="2856">
        <f t="shared" si="27"/>
        <v>-1.9391306623400433</v>
      </c>
      <c r="R10" s="2856">
        <f t="shared" si="27"/>
        <v>1.0510549064920598</v>
      </c>
      <c r="S10" s="2856">
        <f t="shared" si="27"/>
        <v>-0.78654983019579794</v>
      </c>
      <c r="T10" s="2856">
        <f t="shared" si="27"/>
        <v>-6.5112215546158606E-2</v>
      </c>
      <c r="U10" s="2856">
        <f t="shared" si="27"/>
        <v>0.48919124192507424</v>
      </c>
      <c r="V10" s="2856">
        <f t="shared" si="27"/>
        <v>-2.0456995394113613</v>
      </c>
      <c r="W10" s="2856">
        <f t="shared" si="27"/>
        <v>-1.6466159803003022</v>
      </c>
      <c r="X10" s="2856">
        <f t="shared" si="27"/>
        <v>-1.7231694422416071</v>
      </c>
      <c r="Y10" s="2856">
        <f t="shared" si="27"/>
        <v>-1.7356710617976083</v>
      </c>
      <c r="Z10" s="2856">
        <f t="shared" si="27"/>
        <v>-0.8213070515076859</v>
      </c>
      <c r="AA10" s="2856">
        <f t="shared" si="27"/>
        <v>-1.2082683947174169</v>
      </c>
      <c r="AB10" s="2856">
        <f t="shared" si="27"/>
        <v>-1.3251849990679121</v>
      </c>
      <c r="AC10" s="2856">
        <f t="shared" si="27"/>
        <v>-2.0669684995280555</v>
      </c>
      <c r="AD10" s="2856">
        <f t="shared" si="27"/>
        <v>-2.3812896422556933</v>
      </c>
      <c r="AE10" s="2856">
        <f t="shared" si="27"/>
        <v>-1.9996173713411096</v>
      </c>
      <c r="AF10" s="2856">
        <f t="shared" si="27"/>
        <v>-1.2855852130901473</v>
      </c>
      <c r="AG10" s="2856">
        <f t="shared" si="27"/>
        <v>-0.8979995356466135</v>
      </c>
      <c r="AH10" s="2856">
        <f t="shared" si="27"/>
        <v>-0.64734151104869353</v>
      </c>
      <c r="AI10" s="2856">
        <f t="shared" si="27"/>
        <v>-0.73750182189184998</v>
      </c>
      <c r="AJ10" s="2856">
        <f t="shared" si="27"/>
        <v>0.80117203258476977</v>
      </c>
      <c r="AK10" s="2856">
        <f t="shared" si="27"/>
        <v>0.50720043474323073</v>
      </c>
      <c r="AL10" s="2856">
        <f t="shared" si="27"/>
        <v>-1.0894337964742746</v>
      </c>
      <c r="AM10" s="2856">
        <f t="shared" si="27"/>
        <v>-1.0372282626591227</v>
      </c>
      <c r="AN10" s="2856">
        <f t="shared" si="27"/>
        <v>-0.40600050587922354</v>
      </c>
      <c r="AO10" s="2856">
        <f t="shared" si="27"/>
        <v>1.0374308589902257</v>
      </c>
      <c r="AP10" s="2856">
        <f t="shared" si="27"/>
        <v>1.2660349944739011</v>
      </c>
      <c r="AQ10" s="2856">
        <f t="shared" si="27"/>
        <v>2.9556017612524421</v>
      </c>
      <c r="AR10" s="2856">
        <f t="shared" si="27"/>
        <v>1.9752062639337042</v>
      </c>
      <c r="AS10" s="2856">
        <f t="shared" si="27"/>
        <v>1.2047905618780934</v>
      </c>
      <c r="AT10" s="2856">
        <f t="shared" si="27"/>
        <v>2.1677870676482067</v>
      </c>
      <c r="AU10" s="2856">
        <f t="shared" si="27"/>
        <v>-1.2538207223504476</v>
      </c>
      <c r="AV10" s="2856">
        <f t="shared" si="27"/>
        <v>0.69349407224024584</v>
      </c>
      <c r="AW10" s="2856">
        <f t="shared" si="27"/>
        <v>-1.863808925955819</v>
      </c>
      <c r="AX10" s="2856">
        <f t="shared" si="27"/>
        <v>0.20892992811641573</v>
      </c>
      <c r="AY10" s="2856">
        <f t="shared" si="27"/>
        <v>-7.8636959370902329E-2</v>
      </c>
      <c r="AZ10" s="2856">
        <f t="shared" si="27"/>
        <v>-3.7246145969622857</v>
      </c>
      <c r="BA10" s="2856">
        <f t="shared" si="27"/>
        <v>-2.6558939878947152</v>
      </c>
      <c r="BB10" s="2856">
        <f t="shared" si="27"/>
        <v>-1.1552140743355162</v>
      </c>
      <c r="BC10" s="2856">
        <f t="shared" si="27"/>
        <v>-1.973987639516652</v>
      </c>
      <c r="BD10" s="2856">
        <f t="shared" si="27"/>
        <v>-0.26521120805626858</v>
      </c>
      <c r="BE10" s="2856">
        <f t="shared" ref="BE10:BN10" si="28">+BE134</f>
        <v>-0.41303235628096069</v>
      </c>
      <c r="BF10" s="2856">
        <f t="shared" si="28"/>
        <v>0.16547565056445301</v>
      </c>
      <c r="BG10" s="2856">
        <f t="shared" si="28"/>
        <v>0.9719382098598125</v>
      </c>
      <c r="BH10" s="2856">
        <f t="shared" si="28"/>
        <v>0.72425711738339438</v>
      </c>
      <c r="BI10" s="2856">
        <f t="shared" si="28"/>
        <v>2.065738134044552</v>
      </c>
      <c r="BJ10" s="2856">
        <f t="shared" si="28"/>
        <v>0.8284910965323331</v>
      </c>
      <c r="BK10" s="2856">
        <f t="shared" si="28"/>
        <v>-7.6148702092471421</v>
      </c>
      <c r="BL10" s="2856">
        <f t="shared" si="28"/>
        <v>-3.687553598162765</v>
      </c>
      <c r="BM10" s="2856">
        <f t="shared" si="28"/>
        <v>-0.78030171666377823</v>
      </c>
      <c r="BN10" s="2856">
        <f t="shared" si="28"/>
        <v>-2.518529390181258</v>
      </c>
      <c r="BO10" s="2856">
        <f t="shared" ref="BO10:BZ10" si="29">+BO134</f>
        <v>0.75721241188867294</v>
      </c>
      <c r="BP10" s="2856">
        <f t="shared" si="29"/>
        <v>2.3386128423580557</v>
      </c>
      <c r="BQ10" s="2856">
        <f t="shared" si="29"/>
        <v>-0.53355839102821101</v>
      </c>
      <c r="BR10" s="2856">
        <f t="shared" si="29"/>
        <v>2.3407076558029178</v>
      </c>
      <c r="BS10" s="2856">
        <f>+BS134</f>
        <v>2.8654001561451339</v>
      </c>
      <c r="BT10" s="2856">
        <f>+BT134</f>
        <v>1.1055533833978239</v>
      </c>
      <c r="BU10" s="2856">
        <f>+BU134</f>
        <v>-0.3688601550553961</v>
      </c>
      <c r="BV10" s="2856">
        <f>+BV134</f>
        <v>3.8424846300612991E-2</v>
      </c>
      <c r="BW10" s="2856">
        <f t="shared" si="29"/>
        <v>-0.45919844214626049</v>
      </c>
      <c r="BX10" s="2856">
        <f t="shared" si="29"/>
        <v>-3.0061357753806961</v>
      </c>
      <c r="BY10" s="2856">
        <f t="shared" si="29"/>
        <v>1.0728293470737529</v>
      </c>
      <c r="BZ10" s="2856">
        <f t="shared" si="29"/>
        <v>-1.8641063892182719</v>
      </c>
      <c r="CA10" s="2856">
        <f t="shared" ref="CA10:CG10" si="30">+CA134</f>
        <v>-3.188538565284881</v>
      </c>
      <c r="CB10" s="2856">
        <f t="shared" si="30"/>
        <v>-2.8420481912519371</v>
      </c>
      <c r="CC10" s="2856">
        <f t="shared" si="30"/>
        <v>-1.9992535456581215</v>
      </c>
      <c r="CD10" s="2856">
        <f t="shared" si="30"/>
        <v>-1.6967335413147207</v>
      </c>
      <c r="CE10" s="2856">
        <f t="shared" si="30"/>
        <v>-2.8405422853453843</v>
      </c>
      <c r="CF10" s="2856">
        <f t="shared" si="30"/>
        <v>-3.1145636706838982</v>
      </c>
      <c r="CG10" s="2856">
        <f t="shared" si="30"/>
        <v>-3.1031320882196813</v>
      </c>
      <c r="CH10" s="2856">
        <f>+CH134</f>
        <v>-1.7296789802477164</v>
      </c>
      <c r="CI10" s="2856">
        <f t="shared" ref="CI10:CP10" si="31">+CI134</f>
        <v>0.19287673858612858</v>
      </c>
      <c r="CJ10" s="2856">
        <f t="shared" si="31"/>
        <v>1.5310788820392227</v>
      </c>
      <c r="CK10" s="2856">
        <f t="shared" si="31"/>
        <v>-0.29240455585162778</v>
      </c>
      <c r="CL10" s="2856">
        <f t="shared" si="31"/>
        <v>0.30376885309596924</v>
      </c>
      <c r="CM10" s="2856">
        <f t="shared" si="31"/>
        <v>-1.7061522394714927</v>
      </c>
      <c r="CN10" s="2856">
        <f t="shared" si="31"/>
        <v>0.15624635619505248</v>
      </c>
      <c r="CO10" s="2856">
        <f t="shared" si="31"/>
        <v>7.1553873141908017E-2</v>
      </c>
      <c r="CP10" s="2856">
        <f t="shared" si="31"/>
        <v>-0.21673910315640582</v>
      </c>
      <c r="CQ10" s="2856">
        <f t="shared" ref="CQ10:CX10" si="32">+CQ134</f>
        <v>-3.4982790723917051E-2</v>
      </c>
      <c r="CR10" s="2856">
        <f t="shared" si="32"/>
        <v>-1.8397552968594193</v>
      </c>
      <c r="CS10" s="2856">
        <f t="shared" si="32"/>
        <v>-9.1375083574772059E-2</v>
      </c>
      <c r="CT10" s="2856">
        <f t="shared" si="32"/>
        <v>-1.8988037646230984</v>
      </c>
      <c r="CU10" s="2856">
        <f t="shared" si="32"/>
        <v>-1.1408173679182696</v>
      </c>
      <c r="CV10" s="2856">
        <f t="shared" si="32"/>
        <v>-0.87782655901667106</v>
      </c>
      <c r="CW10" s="2856">
        <f t="shared" si="32"/>
        <v>-0.78985290792442342</v>
      </c>
      <c r="CX10" s="2856">
        <f t="shared" si="32"/>
        <v>-1.0063826224170245</v>
      </c>
      <c r="CY10" s="2856">
        <f t="shared" ref="CY10:DB10" si="33">+CY134</f>
        <v>-0.99440241878043356</v>
      </c>
      <c r="CZ10" s="2856">
        <f t="shared" si="33"/>
        <v>-0.83737945049919571</v>
      </c>
      <c r="DA10" s="2856">
        <f t="shared" si="33"/>
        <v>-0.66858942834525592</v>
      </c>
      <c r="DB10" s="2856">
        <f t="shared" si="33"/>
        <v>-0.51741238415788593</v>
      </c>
      <c r="DC10">
        <f ca="1">CP131</f>
        <v>-79.899693368936425</v>
      </c>
      <c r="DD10">
        <f>CT130</f>
        <v>140.46961325966865</v>
      </c>
      <c r="DE10">
        <f ca="1">CT131</f>
        <v>44.071958320386159</v>
      </c>
      <c r="DF10">
        <f>CX130</f>
        <v>1.2330226435882707</v>
      </c>
      <c r="DG10">
        <f ca="1">CX131</f>
        <v>0</v>
      </c>
      <c r="DI10" s="3194">
        <v>426.01164863713893</v>
      </c>
      <c r="DJ10" s="3194">
        <v>402.96401407302324</v>
      </c>
      <c r="DK10" s="3194">
        <v>0.47313493196963918</v>
      </c>
      <c r="DL10" s="3194">
        <v>-4.6218093770123261</v>
      </c>
      <c r="DM10" s="3194">
        <v>0</v>
      </c>
      <c r="DN10" s="3194">
        <v>-0.97136546772179599</v>
      </c>
    </row>
    <row r="11" spans="1:119">
      <c r="B11" s="665">
        <v>20</v>
      </c>
      <c r="C11" s="932"/>
      <c r="D11" s="717"/>
      <c r="E11" s="718" t="s">
        <v>1712</v>
      </c>
      <c r="F11" s="924"/>
      <c r="G11" s="2854"/>
      <c r="H11" s="2854">
        <f t="shared" ref="H11:BD11" si="34">+H149</f>
        <v>-0.5908633861654855</v>
      </c>
      <c r="I11" s="2854">
        <f t="shared" si="34"/>
        <v>2.1574781801686926</v>
      </c>
      <c r="J11" s="2854">
        <f t="shared" si="34"/>
        <v>1.6821819369590374</v>
      </c>
      <c r="K11" s="2854">
        <f t="shared" si="34"/>
        <v>0.32123353678124023</v>
      </c>
      <c r="L11" s="2854">
        <f t="shared" si="34"/>
        <v>2.0673230867755299</v>
      </c>
      <c r="M11" s="2854">
        <f t="shared" si="34"/>
        <v>3.6489480598419499</v>
      </c>
      <c r="N11" s="2854">
        <f t="shared" si="34"/>
        <v>1.881313609019708</v>
      </c>
      <c r="O11" s="2854">
        <f t="shared" si="34"/>
        <v>3.9261741851030152</v>
      </c>
      <c r="P11" s="2854">
        <f t="shared" si="34"/>
        <v>2.3842704257561964</v>
      </c>
      <c r="Q11" s="2854">
        <f t="shared" si="34"/>
        <v>0.38303478723682449</v>
      </c>
      <c r="R11" s="2854">
        <f t="shared" si="34"/>
        <v>3.6279878313776548</v>
      </c>
      <c r="S11" s="2854">
        <f t="shared" si="34"/>
        <v>2.2679997315976586</v>
      </c>
      <c r="T11" s="2854">
        <f t="shared" si="34"/>
        <v>1.1400170592480885</v>
      </c>
      <c r="U11" s="2854">
        <f t="shared" si="34"/>
        <v>2.6078917919525102</v>
      </c>
      <c r="V11" s="2854">
        <f t="shared" si="34"/>
        <v>-1.7852909099530634</v>
      </c>
      <c r="W11" s="2854">
        <f t="shared" si="34"/>
        <v>-1.8821162743914654</v>
      </c>
      <c r="X11" s="2854">
        <f t="shared" si="34"/>
        <v>3.1221296417792921</v>
      </c>
      <c r="Y11" s="2854">
        <f t="shared" si="34"/>
        <v>-2.0494182578751907</v>
      </c>
      <c r="Z11" s="2854">
        <f t="shared" si="34"/>
        <v>-0.20297809460403382</v>
      </c>
      <c r="AA11" s="2854">
        <f t="shared" si="34"/>
        <v>1.3659735103648041</v>
      </c>
      <c r="AB11" s="2854">
        <f t="shared" si="34"/>
        <v>0.60756852201131473</v>
      </c>
      <c r="AC11" s="2854">
        <f t="shared" si="34"/>
        <v>0.58475333460972223</v>
      </c>
      <c r="AD11" s="2854">
        <f t="shared" si="34"/>
        <v>1.1674663917198957</v>
      </c>
      <c r="AE11" s="2854">
        <f t="shared" si="34"/>
        <v>2.8967442006318844</v>
      </c>
      <c r="AF11" s="2854">
        <f t="shared" si="34"/>
        <v>-0.4129460884405689</v>
      </c>
      <c r="AG11" s="2854">
        <f t="shared" si="34"/>
        <v>1.6272664677530635</v>
      </c>
      <c r="AH11" s="2854">
        <f t="shared" si="34"/>
        <v>5.1514261839698205</v>
      </c>
      <c r="AI11" s="2854">
        <f t="shared" si="34"/>
        <v>0.59922680412372031</v>
      </c>
      <c r="AJ11" s="2854">
        <f t="shared" si="34"/>
        <v>1.2653273269426224</v>
      </c>
      <c r="AK11" s="2854">
        <f t="shared" si="34"/>
        <v>1.8201623388031996</v>
      </c>
      <c r="AL11" s="2854">
        <f t="shared" si="34"/>
        <v>0.88622010560099884</v>
      </c>
      <c r="AM11" s="2854">
        <f t="shared" si="34"/>
        <v>3.0895743967599198</v>
      </c>
      <c r="AN11" s="2854">
        <f t="shared" si="34"/>
        <v>3.6387165278561007</v>
      </c>
      <c r="AO11" s="2854">
        <f t="shared" si="34"/>
        <v>2.7118231647969004</v>
      </c>
      <c r="AP11" s="2854">
        <f t="shared" si="34"/>
        <v>3.4382149959788499</v>
      </c>
      <c r="AQ11" s="2854">
        <f t="shared" si="34"/>
        <v>3.6566255620246402</v>
      </c>
      <c r="AR11" s="2854">
        <f t="shared" si="34"/>
        <v>2.993865744105606</v>
      </c>
      <c r="AS11" s="2854">
        <f t="shared" si="34"/>
        <v>1.5338670159314116</v>
      </c>
      <c r="AT11" s="2854">
        <f t="shared" si="34"/>
        <v>2.0027689587492015</v>
      </c>
      <c r="AU11" s="2854">
        <f t="shared" si="34"/>
        <v>1.1676015110137383</v>
      </c>
      <c r="AV11" s="2854">
        <f t="shared" si="34"/>
        <v>3.7360920283412868</v>
      </c>
      <c r="AW11" s="2854">
        <f t="shared" si="34"/>
        <v>2.1503254055233123</v>
      </c>
      <c r="AX11" s="2854">
        <f t="shared" si="34"/>
        <v>2.2713289842323681</v>
      </c>
      <c r="AY11" s="2854">
        <f t="shared" si="34"/>
        <v>27.717001034126177</v>
      </c>
      <c r="AZ11" s="2854">
        <f t="shared" si="34"/>
        <v>-0.31452035645640475</v>
      </c>
      <c r="BA11" s="2854">
        <f t="shared" si="34"/>
        <v>6.3210409222679065</v>
      </c>
      <c r="BB11" s="2854">
        <f t="shared" si="34"/>
        <v>5.3124167755190133</v>
      </c>
      <c r="BC11" s="2854">
        <f t="shared" si="34"/>
        <v>2.6974302160352348</v>
      </c>
      <c r="BD11" s="2854">
        <f t="shared" si="34"/>
        <v>4.9869843577777351</v>
      </c>
      <c r="BE11" s="2854">
        <f t="shared" ref="BE11:BN11" si="35">+BE149</f>
        <v>-0.22114256994471004</v>
      </c>
      <c r="BF11" s="2854">
        <f t="shared" si="35"/>
        <v>3.7923816559768175</v>
      </c>
      <c r="BG11" s="2854">
        <f t="shared" si="35"/>
        <v>1.8689673766513648</v>
      </c>
      <c r="BH11" s="2854">
        <f t="shared" si="35"/>
        <v>-0.97080183785384078</v>
      </c>
      <c r="BI11" s="2854">
        <f t="shared" si="35"/>
        <v>-1.5372938069937336</v>
      </c>
      <c r="BJ11" s="2854">
        <f t="shared" si="35"/>
        <v>-6.0074047533739456</v>
      </c>
      <c r="BK11" s="2854">
        <f t="shared" si="35"/>
        <v>-16.736744830772786</v>
      </c>
      <c r="BL11" s="2854">
        <f t="shared" si="35"/>
        <v>-1.2485953302534658</v>
      </c>
      <c r="BM11" s="2854">
        <f t="shared" si="35"/>
        <v>-1.5144490805130584</v>
      </c>
      <c r="BN11" s="2854">
        <f t="shared" si="35"/>
        <v>-3.9085345848251851</v>
      </c>
      <c r="BO11" s="2854">
        <f t="shared" ref="BO11:BZ11" si="36">+BO149</f>
        <v>3.3267520745809964</v>
      </c>
      <c r="BP11" s="2854">
        <f t="shared" si="36"/>
        <v>2.5170967185794035</v>
      </c>
      <c r="BQ11" s="2854">
        <f t="shared" si="36"/>
        <v>-0.21161500084085905</v>
      </c>
      <c r="BR11" s="2854">
        <f t="shared" si="36"/>
        <v>3.7399059054841644</v>
      </c>
      <c r="BS11" s="2854">
        <f>+BS149</f>
        <v>2.8185411815671246</v>
      </c>
      <c r="BT11" s="2854">
        <f>+BT149</f>
        <v>-0.55167873601051909</v>
      </c>
      <c r="BU11" s="2854">
        <f>+BU149</f>
        <v>-0.20653771299202761</v>
      </c>
      <c r="BV11" s="2854">
        <f>+BV149</f>
        <v>1.237810945273643</v>
      </c>
      <c r="BW11" s="2854">
        <f t="shared" si="36"/>
        <v>-0.76925093043977988</v>
      </c>
      <c r="BX11" s="2854">
        <f t="shared" si="36"/>
        <v>-3.3953592794601306</v>
      </c>
      <c r="BY11" s="2854">
        <f t="shared" si="36"/>
        <v>5.1852358168147594</v>
      </c>
      <c r="BZ11" s="2854">
        <f t="shared" si="36"/>
        <v>-2.4277712072573232</v>
      </c>
      <c r="CA11" s="2854">
        <f t="shared" ref="CA11:CH11" si="37">+CA149</f>
        <v>0.73792873792872804</v>
      </c>
      <c r="CB11" s="2854">
        <f t="shared" si="37"/>
        <v>1.2719988364251922</v>
      </c>
      <c r="CC11" s="2854">
        <f t="shared" si="37"/>
        <v>3.032993432648734</v>
      </c>
      <c r="CD11" s="2854">
        <f t="shared" si="37"/>
        <v>0.97828015307803717</v>
      </c>
      <c r="CE11" s="2854">
        <f t="shared" si="37"/>
        <v>-2.7608362824094179E-2</v>
      </c>
      <c r="CF11" s="2854">
        <f t="shared" si="37"/>
        <v>-1.8829082145011E-2</v>
      </c>
      <c r="CG11" s="2854">
        <f t="shared" si="37"/>
        <v>0.21594746952253718</v>
      </c>
      <c r="CH11" s="2854">
        <f t="shared" si="37"/>
        <v>2.8313351123137931</v>
      </c>
      <c r="CI11" s="2854">
        <f t="shared" ref="CI11:CP11" si="38">+CI149</f>
        <v>4.355453759091632</v>
      </c>
      <c r="CJ11" s="2854">
        <f t="shared" si="38"/>
        <v>2.2356869337816443</v>
      </c>
      <c r="CK11" s="2854">
        <f t="shared" si="38"/>
        <v>-1.7905470989254657</v>
      </c>
      <c r="CL11" s="2854">
        <f t="shared" si="38"/>
        <v>-0.21859702568514106</v>
      </c>
      <c r="CM11" s="2854">
        <f t="shared" si="38"/>
        <v>-0.94156033327507105</v>
      </c>
      <c r="CN11" s="2854">
        <f t="shared" si="38"/>
        <v>3.8514475278506488</v>
      </c>
      <c r="CO11" s="2854">
        <f t="shared" si="38"/>
        <v>0.4089215119901235</v>
      </c>
      <c r="CP11" s="2854">
        <f t="shared" si="38"/>
        <v>1.4541639403442996</v>
      </c>
      <c r="CQ11" s="2854">
        <f t="shared" ref="CQ11:CX11" si="39">+CQ149</f>
        <v>0.96963227363200399</v>
      </c>
      <c r="CR11" s="2854">
        <f t="shared" si="39"/>
        <v>-0.78411506227766825</v>
      </c>
      <c r="CS11" s="2854">
        <f t="shared" si="39"/>
        <v>2.0301694952880922</v>
      </c>
      <c r="CT11" s="2854">
        <f t="shared" si="39"/>
        <v>0.52436901653614143</v>
      </c>
      <c r="CU11" s="2854">
        <f t="shared" si="39"/>
        <v>0.99892643016384974</v>
      </c>
      <c r="CV11" s="2854">
        <f t="shared" si="39"/>
        <v>0.99737581391350105</v>
      </c>
      <c r="CW11" s="2854">
        <f t="shared" si="39"/>
        <v>0.86426948405353454</v>
      </c>
      <c r="CX11" s="2854">
        <f t="shared" si="39"/>
        <v>0.59457503831887559</v>
      </c>
      <c r="CY11" s="2854">
        <f t="shared" ref="CY11:DB11" si="40">+CY149</f>
        <v>0.8079110092352495</v>
      </c>
      <c r="CZ11" s="2854">
        <f t="shared" si="40"/>
        <v>0.93684187936210372</v>
      </c>
      <c r="DA11" s="2854">
        <f t="shared" si="40"/>
        <v>0.94052166190287134</v>
      </c>
      <c r="DB11" s="2854">
        <f t="shared" si="40"/>
        <v>0.92032399104302232</v>
      </c>
      <c r="DC11" s="3194">
        <f ca="1">CP151</f>
        <v>2.4057419875649373</v>
      </c>
      <c r="DD11" s="3194">
        <f>CT150</f>
        <v>3.575126291357563</v>
      </c>
      <c r="DE11" s="3194">
        <f ca="1">CT151</f>
        <v>4.1357636126038102</v>
      </c>
      <c r="DF11" s="3194">
        <f>CX150</f>
        <v>3.8679197300892696</v>
      </c>
      <c r="DG11" s="3194">
        <f ca="1">CX151</f>
        <v>3.8688071906934738</v>
      </c>
      <c r="DI11" s="3194">
        <v>1.7753540828695122</v>
      </c>
      <c r="DJ11" s="3194">
        <v>1.7956354428364278</v>
      </c>
      <c r="DK11" s="3194">
        <v>2.1742964088779786</v>
      </c>
      <c r="DL11" s="3194">
        <v>2.1820225557837318</v>
      </c>
      <c r="DM11" s="3194">
        <v>2.1061333641269329</v>
      </c>
      <c r="DN11" s="3194">
        <v>2.1028041095488845</v>
      </c>
    </row>
    <row r="12" spans="1:119">
      <c r="B12" s="665">
        <v>21</v>
      </c>
      <c r="C12" s="932"/>
      <c r="D12" s="674"/>
      <c r="E12" s="220" t="s">
        <v>912</v>
      </c>
      <c r="F12" s="710"/>
      <c r="G12" s="2853"/>
      <c r="H12" s="2853">
        <f>+H183</f>
        <v>3.2939762812810303</v>
      </c>
      <c r="I12" s="2853">
        <f t="shared" ref="I12:BN12" si="41">+I183</f>
        <v>4.2965885238853696</v>
      </c>
      <c r="J12" s="2853">
        <f t="shared" si="41"/>
        <v>3.8140730323456884</v>
      </c>
      <c r="K12" s="2853">
        <f t="shared" si="41"/>
        <v>5.3976410136634456</v>
      </c>
      <c r="L12" s="2853">
        <f t="shared" si="41"/>
        <v>3.2597615565306048</v>
      </c>
      <c r="M12" s="2853">
        <f t="shared" si="41"/>
        <v>5.5840504753524645</v>
      </c>
      <c r="N12" s="2853">
        <f t="shared" si="41"/>
        <v>5.0122969979064846</v>
      </c>
      <c r="O12" s="2853">
        <f t="shared" si="41"/>
        <v>3.9969031259072807</v>
      </c>
      <c r="P12" s="2853">
        <f t="shared" si="41"/>
        <v>2.9815745393634741</v>
      </c>
      <c r="Q12" s="2853">
        <f t="shared" si="41"/>
        <v>2.150654232632121</v>
      </c>
      <c r="R12" s="2853">
        <f t="shared" si="41"/>
        <v>8.6851137610133975</v>
      </c>
      <c r="S12" s="2853">
        <f t="shared" si="41"/>
        <v>2.9545343556185211</v>
      </c>
      <c r="T12" s="2853">
        <f t="shared" si="41"/>
        <v>-1.3360528729089771</v>
      </c>
      <c r="U12" s="2853">
        <f t="shared" si="41"/>
        <v>-6.464639989743759</v>
      </c>
      <c r="V12" s="2853">
        <f t="shared" si="41"/>
        <v>-5.712131855329206</v>
      </c>
      <c r="W12" s="2853">
        <f t="shared" si="41"/>
        <v>-5.5221412606981328</v>
      </c>
      <c r="X12" s="2853">
        <f t="shared" si="41"/>
        <v>-4.9967303919682848</v>
      </c>
      <c r="Y12" s="2853">
        <f t="shared" si="41"/>
        <v>-0.80168434691070267</v>
      </c>
      <c r="Z12" s="2853">
        <f t="shared" si="41"/>
        <v>-1.0061224489795961</v>
      </c>
      <c r="AA12" s="2853">
        <f t="shared" si="41"/>
        <v>8.5121735007318566</v>
      </c>
      <c r="AB12" s="2853">
        <f t="shared" si="41"/>
        <v>0.68014286799908952</v>
      </c>
      <c r="AC12" s="2853">
        <f t="shared" si="41"/>
        <v>7.4687700494395548</v>
      </c>
      <c r="AD12" s="2853">
        <f t="shared" si="41"/>
        <v>0.45301306363254579</v>
      </c>
      <c r="AE12" s="2853">
        <f t="shared" si="41"/>
        <v>10.12060828526482</v>
      </c>
      <c r="AF12" s="2853">
        <f t="shared" si="41"/>
        <v>3.9365079365079492</v>
      </c>
      <c r="AG12" s="2853">
        <f t="shared" si="41"/>
        <v>2.6389737324373774</v>
      </c>
      <c r="AH12" s="2853">
        <f t="shared" si="41"/>
        <v>4.1230210689203739</v>
      </c>
      <c r="AI12" s="2853">
        <f t="shared" si="41"/>
        <v>4.9271924434473036</v>
      </c>
      <c r="AJ12" s="2853">
        <f t="shared" si="41"/>
        <v>8.348427690086746</v>
      </c>
      <c r="AK12" s="2853">
        <f t="shared" si="41"/>
        <v>-1.3135236371406567</v>
      </c>
      <c r="AL12" s="2853">
        <f t="shared" si="41"/>
        <v>5.7443448135316988</v>
      </c>
      <c r="AM12" s="2853">
        <f t="shared" si="41"/>
        <v>5.8213485582134794</v>
      </c>
      <c r="AN12" s="2853">
        <f t="shared" si="41"/>
        <v>-7.8151499630072401</v>
      </c>
      <c r="AO12" s="2853">
        <f t="shared" si="41"/>
        <v>3.7017372729630127</v>
      </c>
      <c r="AP12" s="2853">
        <f t="shared" si="41"/>
        <v>3.3064640956338209</v>
      </c>
      <c r="AQ12" s="2853">
        <f t="shared" si="41"/>
        <v>-5.1426859065971886</v>
      </c>
      <c r="AR12" s="2853">
        <f t="shared" si="41"/>
        <v>4.4032951811620702</v>
      </c>
      <c r="AS12" s="2853">
        <f t="shared" si="41"/>
        <v>4.7284873030281505</v>
      </c>
      <c r="AT12" s="2853">
        <f t="shared" si="41"/>
        <v>5.3573214503995104</v>
      </c>
      <c r="AU12" s="2853">
        <f t="shared" si="41"/>
        <v>14.330981120135021</v>
      </c>
      <c r="AV12" s="2853">
        <f t="shared" si="41"/>
        <v>3.7714212906924782</v>
      </c>
      <c r="AW12" s="2853">
        <f t="shared" si="41"/>
        <v>5.0432807416047609</v>
      </c>
      <c r="AX12" s="2853">
        <f t="shared" si="41"/>
        <v>3.985856637737073</v>
      </c>
      <c r="AY12" s="2853">
        <f t="shared" si="41"/>
        <v>4.4513137557959714</v>
      </c>
      <c r="AZ12" s="2853">
        <f t="shared" si="41"/>
        <v>2.0097392988780882</v>
      </c>
      <c r="BA12" s="2853">
        <f t="shared" si="41"/>
        <v>-1.645743221858853</v>
      </c>
      <c r="BB12" s="2853">
        <f t="shared" si="41"/>
        <v>2.7673495655904823</v>
      </c>
      <c r="BC12" s="2853">
        <f t="shared" si="41"/>
        <v>-2.0326688237136015</v>
      </c>
      <c r="BD12" s="2853">
        <f t="shared" si="41"/>
        <v>0.41017445731788005</v>
      </c>
      <c r="BE12" s="2853">
        <f t="shared" si="41"/>
        <v>5.9815910236345804</v>
      </c>
      <c r="BF12" s="2853">
        <f t="shared" si="41"/>
        <v>0.83846423386895186</v>
      </c>
      <c r="BG12" s="2853">
        <f t="shared" si="41"/>
        <v>8.8113380823549683</v>
      </c>
      <c r="BH12" s="2853">
        <f t="shared" si="41"/>
        <v>4.103651999361313</v>
      </c>
      <c r="BI12" s="2853">
        <f t="shared" si="41"/>
        <v>-2.9492966387659525</v>
      </c>
      <c r="BJ12" s="2853">
        <f t="shared" si="41"/>
        <v>-2.9734489298293032</v>
      </c>
      <c r="BK12" s="2853">
        <f t="shared" si="41"/>
        <v>-7.7649796393251975</v>
      </c>
      <c r="BL12" s="2853">
        <f t="shared" si="41"/>
        <v>-6.3751955194510268</v>
      </c>
      <c r="BM12" s="2853">
        <f t="shared" si="41"/>
        <v>2.1071919377004145</v>
      </c>
      <c r="BN12" s="2853">
        <f t="shared" si="41"/>
        <v>3.6497506135697799</v>
      </c>
      <c r="BO12" s="2853">
        <f t="shared" ref="BO12:BV12" si="42">+BO183</f>
        <v>6.0342193706080183</v>
      </c>
      <c r="BP12" s="2853">
        <f t="shared" si="42"/>
        <v>7.9071219324785114</v>
      </c>
      <c r="BQ12" s="2853">
        <f t="shared" si="42"/>
        <v>4.8821736131200222</v>
      </c>
      <c r="BR12" s="2853">
        <f t="shared" si="42"/>
        <v>5.1450151698385405</v>
      </c>
      <c r="BS12" s="2853">
        <f t="shared" si="42"/>
        <v>3.0529884176116795</v>
      </c>
      <c r="BT12" s="2853">
        <f t="shared" si="42"/>
        <v>3.2562511014078366</v>
      </c>
      <c r="BU12" s="2853">
        <f t="shared" si="42"/>
        <v>1.3596541130959316</v>
      </c>
      <c r="BV12" s="2853">
        <f t="shared" si="42"/>
        <v>1.1262651774522459</v>
      </c>
      <c r="BW12" s="2853">
        <f t="shared" ref="BW12:CD12" si="43">+BW183</f>
        <v>4.2680332266479049</v>
      </c>
      <c r="BX12" s="2853">
        <f t="shared" si="43"/>
        <v>2.7980837473385201</v>
      </c>
      <c r="BY12" s="2853">
        <f t="shared" si="43"/>
        <v>4.2339092462502448</v>
      </c>
      <c r="BZ12" s="2853">
        <f t="shared" si="43"/>
        <v>4.0668984931280017</v>
      </c>
      <c r="CA12" s="2853">
        <f t="shared" si="43"/>
        <v>2.7320752315183272</v>
      </c>
      <c r="CB12" s="2853">
        <f t="shared" si="43"/>
        <v>9.4481359292464262E-2</v>
      </c>
      <c r="CC12" s="2853">
        <f t="shared" si="43"/>
        <v>1.341606833374609</v>
      </c>
      <c r="CD12" s="2853">
        <f t="shared" si="43"/>
        <v>1.1329801041364496</v>
      </c>
      <c r="CE12" s="2853">
        <f t="shared" ref="CE12:CL12" si="44">+CE183</f>
        <v>0.13739374631980272</v>
      </c>
      <c r="CF12" s="2853">
        <f t="shared" si="44"/>
        <v>2.0520475242747915</v>
      </c>
      <c r="CG12" s="2853">
        <f t="shared" si="44"/>
        <v>0.38413237792715993</v>
      </c>
      <c r="CH12" s="2853">
        <f t="shared" si="44"/>
        <v>-0.46213849437044541</v>
      </c>
      <c r="CI12" s="2853">
        <f t="shared" si="44"/>
        <v>-1.3248362437343952</v>
      </c>
      <c r="CJ12" s="2853">
        <f t="shared" si="44"/>
        <v>0.35513598561474069</v>
      </c>
      <c r="CK12" s="2853">
        <f t="shared" si="44"/>
        <v>0.19709729439170154</v>
      </c>
      <c r="CL12" s="2853">
        <f t="shared" si="44"/>
        <v>0.68252265140675838</v>
      </c>
      <c r="CM12" s="2853">
        <f t="shared" ref="CM12:CT12" si="45">+CM183</f>
        <v>0.63497232171931817</v>
      </c>
      <c r="CN12" s="2853">
        <f t="shared" si="45"/>
        <v>0.6471444750040467</v>
      </c>
      <c r="CO12" s="2853">
        <f t="shared" si="45"/>
        <v>1.9874033698177751</v>
      </c>
      <c r="CP12" s="2853">
        <f t="shared" si="45"/>
        <v>2.4530383573813319</v>
      </c>
      <c r="CQ12" s="2853">
        <f t="shared" si="45"/>
        <v>4.7914073535376023</v>
      </c>
      <c r="CR12" s="2853">
        <f t="shared" si="45"/>
        <v>3.7902547745198856</v>
      </c>
      <c r="CS12" s="2853">
        <f t="shared" si="45"/>
        <v>2.7967442039887436</v>
      </c>
      <c r="CT12" s="2853">
        <f t="shared" si="45"/>
        <v>2.593065145601936</v>
      </c>
      <c r="CU12" s="2853">
        <f t="shared" ref="CU12:DB12" si="46">+CU183</f>
        <v>0.4</v>
      </c>
      <c r="CV12" s="2853">
        <f t="shared" si="46"/>
        <v>0.4</v>
      </c>
      <c r="CW12" s="2853">
        <f t="shared" si="46"/>
        <v>0.55000000000000004</v>
      </c>
      <c r="CX12" s="2853">
        <f t="shared" si="46"/>
        <v>0.9</v>
      </c>
      <c r="CY12" s="2853">
        <f t="shared" si="46"/>
        <v>1.34</v>
      </c>
      <c r="CZ12" s="2853">
        <f t="shared" si="46"/>
        <v>1.3</v>
      </c>
      <c r="DA12" s="2853">
        <f t="shared" si="46"/>
        <v>1.3</v>
      </c>
      <c r="DB12" s="2853">
        <f t="shared" si="46"/>
        <v>1.3</v>
      </c>
      <c r="DC12">
        <f ca="1">CP186</f>
        <v>3.4546238679988619</v>
      </c>
      <c r="DD12">
        <f>CT185</f>
        <v>13.302438462314001</v>
      </c>
      <c r="DE12">
        <f ca="1">CT186</f>
        <v>13.23847741418021</v>
      </c>
      <c r="DF12">
        <f>CX185</f>
        <v>5.5193063496132453</v>
      </c>
      <c r="DG12">
        <f ca="1">CX186</f>
        <v>5.5162869137066224</v>
      </c>
      <c r="DI12" s="3194">
        <v>3.3310297248138738</v>
      </c>
      <c r="DJ12" s="3194">
        <v>3.3298383193819348</v>
      </c>
      <c r="DK12" s="3194">
        <v>3.3153789288348889</v>
      </c>
      <c r="DL12" s="3194">
        <v>3.316097746246399</v>
      </c>
      <c r="DM12" s="3194">
        <v>3.2420750176052024</v>
      </c>
      <c r="DN12" s="3194">
        <v>3.25</v>
      </c>
    </row>
    <row r="13" spans="1:119">
      <c r="B13" s="665">
        <v>22</v>
      </c>
      <c r="C13" s="932"/>
      <c r="D13" s="717"/>
      <c r="E13" s="718" t="s">
        <v>1359</v>
      </c>
      <c r="F13" s="924"/>
      <c r="G13" s="2854"/>
      <c r="H13" s="2854">
        <f t="shared" ref="H13:BD13" si="47">+H206</f>
        <v>0.51279767868142034</v>
      </c>
      <c r="I13" s="2854">
        <f t="shared" si="47"/>
        <v>2.782002628431357</v>
      </c>
      <c r="J13" s="2854">
        <f t="shared" si="47"/>
        <v>2.3137705624596272</v>
      </c>
      <c r="K13" s="2854">
        <f t="shared" si="47"/>
        <v>1.8472102281104075</v>
      </c>
      <c r="L13" s="2854">
        <f t="shared" si="47"/>
        <v>2.4382677751582094</v>
      </c>
      <c r="M13" s="2854">
        <f t="shared" si="47"/>
        <v>4.2557486927906396</v>
      </c>
      <c r="N13" s="2854">
        <f t="shared" si="47"/>
        <v>2.8756220832284685</v>
      </c>
      <c r="O13" s="2854">
        <f t="shared" si="47"/>
        <v>3.9491021345480437</v>
      </c>
      <c r="P13" s="2854">
        <f t="shared" si="47"/>
        <v>2.5779854169684757</v>
      </c>
      <c r="Q13" s="2854">
        <f t="shared" si="47"/>
        <v>0.95855669253810394</v>
      </c>
      <c r="R13" s="2854">
        <f t="shared" si="47"/>
        <v>5.2939873639055168</v>
      </c>
      <c r="S13" s="2854">
        <f t="shared" si="47"/>
        <v>2.501453045860913</v>
      </c>
      <c r="T13" s="2854">
        <f t="shared" si="47"/>
        <v>0.29431777679369553</v>
      </c>
      <c r="U13" s="2854">
        <f t="shared" si="47"/>
        <v>-0.4404503577986052</v>
      </c>
      <c r="V13" s="2854">
        <f t="shared" si="47"/>
        <v>-3.0248619531532905</v>
      </c>
      <c r="W13" s="2854">
        <f t="shared" si="47"/>
        <v>-2.999308452495153</v>
      </c>
      <c r="X13" s="2854">
        <f t="shared" si="47"/>
        <v>0.6951072270453551</v>
      </c>
      <c r="Y13" s="2854">
        <f t="shared" si="47"/>
        <v>-1.6975088358389567</v>
      </c>
      <c r="Z13" s="2854">
        <f t="shared" si="47"/>
        <v>-0.43156023837459534</v>
      </c>
      <c r="AA13" s="2854">
        <f t="shared" si="47"/>
        <v>3.3881101135786906</v>
      </c>
      <c r="AB13" s="2854">
        <f t="shared" si="47"/>
        <v>0.62912244471904355</v>
      </c>
      <c r="AC13" s="2854">
        <f t="shared" si="47"/>
        <v>2.6302804660603529</v>
      </c>
      <c r="AD13" s="2854">
        <f t="shared" si="47"/>
        <v>0.94516409250589017</v>
      </c>
      <c r="AE13" s="2854">
        <f t="shared" si="47"/>
        <v>5.1334924526565962</v>
      </c>
      <c r="AF13" s="2854">
        <f t="shared" si="47"/>
        <v>0.99767312563061594</v>
      </c>
      <c r="AG13" s="2854">
        <f t="shared" si="47"/>
        <v>1.9649319537183407</v>
      </c>
      <c r="AH13" s="2854">
        <f t="shared" si="47"/>
        <v>4.8059186682996247</v>
      </c>
      <c r="AI13" s="2854">
        <f t="shared" si="47"/>
        <v>2.0437949241387088</v>
      </c>
      <c r="AJ13" s="2854">
        <f t="shared" si="47"/>
        <v>3.6962943574019524</v>
      </c>
      <c r="AK13" s="2854">
        <f t="shared" si="47"/>
        <v>0.69641021942556947</v>
      </c>
      <c r="AL13" s="2854">
        <f t="shared" si="47"/>
        <v>2.5935889917948707</v>
      </c>
      <c r="AM13" s="2854">
        <f t="shared" si="47"/>
        <v>4.0791305068698103</v>
      </c>
      <c r="AN13" s="2854">
        <f t="shared" si="47"/>
        <v>-0.57977697660770433</v>
      </c>
      <c r="AO13" s="2854">
        <f t="shared" si="47"/>
        <v>3.0498783506284877</v>
      </c>
      <c r="AP13" s="2854">
        <f t="shared" si="47"/>
        <v>3.3929375179017063</v>
      </c>
      <c r="AQ13" s="2854">
        <f t="shared" si="47"/>
        <v>0.63518572751524172</v>
      </c>
      <c r="AR13" s="2854">
        <f t="shared" si="47"/>
        <v>3.4500387357591977</v>
      </c>
      <c r="AS13" s="2854">
        <f t="shared" si="47"/>
        <v>2.5773587774652107</v>
      </c>
      <c r="AT13" s="2854">
        <f t="shared" si="47"/>
        <v>3.1214793951971576</v>
      </c>
      <c r="AU13" s="2854">
        <f t="shared" si="47"/>
        <v>5.6526391219817285</v>
      </c>
      <c r="AV13" s="2854">
        <f t="shared" si="47"/>
        <v>3.7491182011047286</v>
      </c>
      <c r="AW13" s="2854">
        <f t="shared" si="47"/>
        <v>3.2172097531274479</v>
      </c>
      <c r="AX13" s="2854">
        <f t="shared" si="47"/>
        <v>2.9148107897316811</v>
      </c>
      <c r="AY13" s="2854">
        <f t="shared" si="47"/>
        <v>18.894249318390898</v>
      </c>
      <c r="AZ13" s="2854">
        <f t="shared" si="47"/>
        <v>0.45980926430517766</v>
      </c>
      <c r="BA13" s="2854">
        <f t="shared" si="47"/>
        <v>3.6259490903899794</v>
      </c>
      <c r="BB13" s="2854">
        <f t="shared" si="47"/>
        <v>4.4952430151965261</v>
      </c>
      <c r="BC13" s="2854">
        <f t="shared" si="47"/>
        <v>1.2037967799878091</v>
      </c>
      <c r="BD13" s="2854">
        <f t="shared" si="47"/>
        <v>3.5879733283398663</v>
      </c>
      <c r="BE13" s="2854">
        <f t="shared" ref="BE13:BN13" si="48">+BE206</f>
        <v>1.6167062263231502</v>
      </c>
      <c r="BF13" s="2854">
        <f t="shared" si="48"/>
        <v>2.8795507807968024</v>
      </c>
      <c r="BG13" s="2854">
        <f t="shared" si="48"/>
        <v>3.9717623708782623</v>
      </c>
      <c r="BH13" s="2854">
        <f t="shared" si="48"/>
        <v>0.63775786893427444</v>
      </c>
      <c r="BI13" s="2854">
        <f t="shared" si="48"/>
        <v>-2.0003017696635372</v>
      </c>
      <c r="BJ13" s="2854">
        <f t="shared" si="48"/>
        <v>-5.0221782323399022</v>
      </c>
      <c r="BK13" s="2854">
        <f t="shared" si="48"/>
        <v>-13.760469334980108</v>
      </c>
      <c r="BL13" s="2854">
        <f t="shared" si="48"/>
        <v>-3.0675176111494062</v>
      </c>
      <c r="BM13" s="2854">
        <f t="shared" si="48"/>
        <v>-0.27333505706792494</v>
      </c>
      <c r="BN13" s="2854">
        <f t="shared" si="48"/>
        <v>-1.25652801955628</v>
      </c>
      <c r="BO13" s="2854">
        <f t="shared" ref="BO13:BZ13" si="49">+BO206</f>
        <v>4.3239340203865329</v>
      </c>
      <c r="BP13" s="2854">
        <f t="shared" si="49"/>
        <v>4.5348314606741491</v>
      </c>
      <c r="BQ13" s="2854">
        <f t="shared" si="49"/>
        <v>1.7567393267122311</v>
      </c>
      <c r="BR13" s="2854">
        <f t="shared" si="49"/>
        <v>4.2995487501901408</v>
      </c>
      <c r="BS13" s="2854">
        <f>+BS206</f>
        <v>2.9126764214995049</v>
      </c>
      <c r="BT13" s="2854">
        <f>+BT206</f>
        <v>0.9793656167090381</v>
      </c>
      <c r="BU13" s="2854">
        <f>+BU206</f>
        <v>0.43737574552684677</v>
      </c>
      <c r="BV13" s="2854">
        <f>+BV206</f>
        <v>1.1915296601617831</v>
      </c>
      <c r="BW13" s="2854">
        <f t="shared" si="49"/>
        <v>1.3194130146285898</v>
      </c>
      <c r="BX13" s="2854">
        <f t="shared" si="49"/>
        <v>-0.7525684996327997</v>
      </c>
      <c r="BY13" s="2854">
        <f t="shared" si="49"/>
        <v>4.764774539046579</v>
      </c>
      <c r="BZ13" s="2854">
        <f t="shared" si="49"/>
        <v>0.4281563790203391</v>
      </c>
      <c r="CA13" s="2854">
        <f t="shared" ref="CA13:CH13" si="50">+CA206</f>
        <v>1.646594789770961</v>
      </c>
      <c r="CB13" s="2854">
        <f t="shared" si="50"/>
        <v>0.72971353572242048</v>
      </c>
      <c r="CC13" s="2854">
        <f t="shared" si="50"/>
        <v>2.2589668236377314</v>
      </c>
      <c r="CD13" s="2854">
        <f t="shared" si="50"/>
        <v>1.0484401509643027</v>
      </c>
      <c r="CE13" s="2854">
        <f t="shared" si="50"/>
        <v>4.728650826826275E-2</v>
      </c>
      <c r="CF13" s="2854">
        <f t="shared" si="50"/>
        <v>0.92199358851412505</v>
      </c>
      <c r="CG13" s="2854">
        <f t="shared" si="50"/>
        <v>0.29321134293509576</v>
      </c>
      <c r="CH13" s="2854">
        <f t="shared" si="50"/>
        <v>1.316947064954066</v>
      </c>
      <c r="CI13" s="2854">
        <f t="shared" ref="CI13:CP13" si="51">+CI206</f>
        <v>1.7894357165758157</v>
      </c>
      <c r="CJ13" s="2854">
        <f t="shared" si="51"/>
        <v>1.4121568859053246</v>
      </c>
      <c r="CK13" s="2854">
        <f t="shared" si="51"/>
        <v>-0.92919122833128309</v>
      </c>
      <c r="CL13" s="2854">
        <f t="shared" si="51"/>
        <v>0.17634726041266813</v>
      </c>
      <c r="CM13" s="2854">
        <f t="shared" si="51"/>
        <v>-0.24710354225209175</v>
      </c>
      <c r="CN13" s="2854">
        <f t="shared" si="51"/>
        <v>2.4274827121923082</v>
      </c>
      <c r="CO13" s="2854">
        <f t="shared" si="51"/>
        <v>1.0981928633416738</v>
      </c>
      <c r="CP13" s="2854">
        <f t="shared" si="51"/>
        <v>1.894176087052557</v>
      </c>
      <c r="CQ13" s="2854">
        <f t="shared" ref="CQ13:CX13" si="52">+CQ206</f>
        <v>2.6623883444627463</v>
      </c>
      <c r="CR13" s="2854">
        <f t="shared" si="52"/>
        <v>1.2840006757898377</v>
      </c>
      <c r="CS13" s="2854">
        <f t="shared" si="52"/>
        <v>2.385321100917432</v>
      </c>
      <c r="CT13" s="2854">
        <f t="shared" si="52"/>
        <v>1.4866405995438448</v>
      </c>
      <c r="CU13" s="2854">
        <f t="shared" si="52"/>
        <v>0.7172934141349282</v>
      </c>
      <c r="CV13" s="2854">
        <f t="shared" si="52"/>
        <v>0.71735688560220434</v>
      </c>
      <c r="CW13" s="2854">
        <f t="shared" si="52"/>
        <v>0.71742036040082702</v>
      </c>
      <c r="CX13" s="2854">
        <f t="shared" si="52"/>
        <v>0.73705413590036328</v>
      </c>
      <c r="CY13" s="2854">
        <f t="shared" ref="CY13:DB13" si="53">+CY206</f>
        <v>1.0565291535579697</v>
      </c>
      <c r="CZ13" s="2854">
        <f t="shared" si="53"/>
        <v>1.107003192825434</v>
      </c>
      <c r="DA13" s="2854">
        <f t="shared" si="53"/>
        <v>1.1092802960500661</v>
      </c>
      <c r="DB13" s="2854">
        <f t="shared" si="53"/>
        <v>1.0989007179173624</v>
      </c>
      <c r="DC13" s="3194">
        <f ca="1">CP208</f>
        <v>2.8568848345463209</v>
      </c>
      <c r="DD13" s="3194">
        <f>CT207</f>
        <v>7.9891736832825586</v>
      </c>
      <c r="DE13" s="3194">
        <f ca="1">CT208</f>
        <v>7.624395869345804</v>
      </c>
      <c r="DF13" s="3194">
        <f>CX207</f>
        <v>4.4770029584763762</v>
      </c>
      <c r="DG13" s="3194">
        <f ca="1">CX208</f>
        <v>4.6166949195453952</v>
      </c>
      <c r="DI13" s="3194">
        <v>2.5340607786905593</v>
      </c>
      <c r="DJ13" s="3194">
        <v>2.5325453560998596</v>
      </c>
      <c r="DK13" s="3194">
        <v>2.7351306450517967</v>
      </c>
      <c r="DL13" s="3194">
        <v>2.7242002809527719</v>
      </c>
      <c r="DM13" s="3194">
        <v>2.6675942220740296</v>
      </c>
      <c r="DN13" s="3194">
        <v>2.6560751855424769</v>
      </c>
    </row>
    <row r="14" spans="1:119">
      <c r="B14" s="665">
        <v>23</v>
      </c>
      <c r="C14" s="690"/>
      <c r="D14" s="691"/>
      <c r="E14" s="735" t="s">
        <v>1086</v>
      </c>
      <c r="F14" s="933"/>
      <c r="G14" s="2855"/>
      <c r="H14" s="2855">
        <f>+H240</f>
        <v>-0.99948950804698011</v>
      </c>
      <c r="I14" s="2855">
        <f t="shared" ref="I14:BN14" si="54">+I240</f>
        <v>4.890493120199757</v>
      </c>
      <c r="J14" s="2855">
        <f t="shared" si="54"/>
        <v>3.7258402545990776</v>
      </c>
      <c r="K14" s="2855">
        <f t="shared" si="54"/>
        <v>6.2910025193943619</v>
      </c>
      <c r="L14" s="2855">
        <f t="shared" si="54"/>
        <v>4.5551618126774773</v>
      </c>
      <c r="M14" s="2855">
        <f t="shared" si="54"/>
        <v>7.3644280840366338</v>
      </c>
      <c r="N14" s="2855">
        <f t="shared" si="54"/>
        <v>6.7024857316078545</v>
      </c>
      <c r="O14" s="2855">
        <f t="shared" si="54"/>
        <v>6.7262289621661919</v>
      </c>
      <c r="P14" s="2855">
        <f t="shared" si="54"/>
        <v>7.3634160669701965</v>
      </c>
      <c r="Q14" s="2855">
        <f t="shared" si="54"/>
        <v>0.65318126635089957</v>
      </c>
      <c r="R14" s="2855">
        <f t="shared" si="54"/>
        <v>5.2017327783912215</v>
      </c>
      <c r="S14" s="2855">
        <f t="shared" si="54"/>
        <v>3.0051512264440472</v>
      </c>
      <c r="T14" s="2855">
        <f t="shared" si="54"/>
        <v>0.12384774565747936</v>
      </c>
      <c r="U14" s="2855">
        <f t="shared" si="54"/>
        <v>1.3340222650194855</v>
      </c>
      <c r="V14" s="2855">
        <f t="shared" si="54"/>
        <v>-12.331772740617131</v>
      </c>
      <c r="W14" s="2855">
        <f t="shared" si="54"/>
        <v>-5.1693750220310868</v>
      </c>
      <c r="X14" s="2855">
        <f t="shared" si="54"/>
        <v>3.5572902146640439</v>
      </c>
      <c r="Y14" s="2855">
        <f t="shared" si="54"/>
        <v>-1.8880453705199307</v>
      </c>
      <c r="Z14" s="2855">
        <f t="shared" si="54"/>
        <v>-2.6432765653867873</v>
      </c>
      <c r="AA14" s="2855">
        <f t="shared" si="54"/>
        <v>2.825899064296733</v>
      </c>
      <c r="AB14" s="2855">
        <f t="shared" si="54"/>
        <v>0.50615795051711654</v>
      </c>
      <c r="AC14" s="2855">
        <f t="shared" si="54"/>
        <v>6.7978110284893534</v>
      </c>
      <c r="AD14" s="2855">
        <f t="shared" si="54"/>
        <v>9.8736849273106664E-2</v>
      </c>
      <c r="AE14" s="2855">
        <f t="shared" si="54"/>
        <v>8.0969387755101874</v>
      </c>
      <c r="AF14" s="2855">
        <f t="shared" si="54"/>
        <v>2.6919022671134885</v>
      </c>
      <c r="AG14" s="2855">
        <f t="shared" si="54"/>
        <v>3.9955876945704238</v>
      </c>
      <c r="AH14" s="2855">
        <f t="shared" si="54"/>
        <v>7.4823217442545609</v>
      </c>
      <c r="AI14" s="2855">
        <f t="shared" si="54"/>
        <v>3.0414342301840813</v>
      </c>
      <c r="AJ14" s="2855">
        <f t="shared" si="54"/>
        <v>7.5128362020803863</v>
      </c>
      <c r="AK14" s="2855">
        <f t="shared" si="54"/>
        <v>-0.80172221809813315</v>
      </c>
      <c r="AL14" s="2855">
        <f t="shared" si="54"/>
        <v>4.1233256005388075</v>
      </c>
      <c r="AM14" s="2855">
        <f t="shared" si="54"/>
        <v>1.2936610608020649</v>
      </c>
      <c r="AN14" s="2855">
        <f t="shared" si="54"/>
        <v>-1.020528830235079</v>
      </c>
      <c r="AO14" s="2855">
        <f t="shared" si="54"/>
        <v>4.0644675690851839</v>
      </c>
      <c r="AP14" s="2855">
        <f t="shared" si="54"/>
        <v>4.5027151762855544</v>
      </c>
      <c r="AQ14" s="2855">
        <f t="shared" si="54"/>
        <v>1.0832188959077227</v>
      </c>
      <c r="AR14" s="2855">
        <f t="shared" si="54"/>
        <v>5.6373694449576517</v>
      </c>
      <c r="AS14" s="2855">
        <f t="shared" si="54"/>
        <v>4.0268318278154025</v>
      </c>
      <c r="AT14" s="2855">
        <f t="shared" si="54"/>
        <v>2.3231663897460342</v>
      </c>
      <c r="AU14" s="2855">
        <f t="shared" si="54"/>
        <v>18.554109471201706</v>
      </c>
      <c r="AV14" s="2855">
        <f t="shared" si="54"/>
        <v>7.6708703974777581</v>
      </c>
      <c r="AW14" s="2855">
        <f t="shared" si="54"/>
        <v>2.3530026928808567</v>
      </c>
      <c r="AX14" s="2855">
        <f t="shared" si="54"/>
        <v>9.4715062964571004</v>
      </c>
      <c r="AY14" s="2855">
        <f t="shared" si="54"/>
        <v>0.30566768555897461</v>
      </c>
      <c r="AZ14" s="2855">
        <f t="shared" si="54"/>
        <v>-1.0398250674606757</v>
      </c>
      <c r="BA14" s="2855">
        <f t="shared" si="54"/>
        <v>6.2010766084483082</v>
      </c>
      <c r="BB14" s="2855">
        <f t="shared" si="54"/>
        <v>4.4843843378560955</v>
      </c>
      <c r="BC14" s="2855">
        <f t="shared" si="54"/>
        <v>-0.25209193941319041</v>
      </c>
      <c r="BD14" s="2855">
        <f t="shared" si="54"/>
        <v>5.0099817355476972</v>
      </c>
      <c r="BE14" s="2855">
        <f t="shared" si="54"/>
        <v>0.25685104661745672</v>
      </c>
      <c r="BF14" s="2855">
        <f t="shared" si="54"/>
        <v>2.842330347776989</v>
      </c>
      <c r="BG14" s="2855">
        <f t="shared" si="54"/>
        <v>6.1611188481983215</v>
      </c>
      <c r="BH14" s="2855">
        <f t="shared" si="54"/>
        <v>4.5766970917556549</v>
      </c>
      <c r="BI14" s="2855">
        <f t="shared" si="54"/>
        <v>-0.33746179261116005</v>
      </c>
      <c r="BJ14" s="2855">
        <f t="shared" si="54"/>
        <v>-8.3179690823996566</v>
      </c>
      <c r="BK14" s="2855">
        <f t="shared" si="54"/>
        <v>-24.661613427179219</v>
      </c>
      <c r="BL14" s="2855">
        <f t="shared" si="54"/>
        <v>-1.6272265284122955</v>
      </c>
      <c r="BM14" s="2855">
        <f t="shared" si="54"/>
        <v>5.1007096639532401</v>
      </c>
      <c r="BN14" s="2855">
        <f t="shared" si="54"/>
        <v>3.602015738649067</v>
      </c>
      <c r="BO14" s="2855">
        <f t="shared" ref="BO14:BV14" si="55">+BO240</f>
        <v>0.68529256721139298</v>
      </c>
      <c r="BP14" s="2855">
        <f t="shared" si="55"/>
        <v>8.807710613993347</v>
      </c>
      <c r="BQ14" s="2855">
        <f t="shared" si="55"/>
        <v>6.1569082041075029</v>
      </c>
      <c r="BR14" s="2855">
        <f t="shared" si="55"/>
        <v>8.5688973133344337</v>
      </c>
      <c r="BS14" s="2855">
        <f t="shared" si="55"/>
        <v>4.920770471581748</v>
      </c>
      <c r="BT14" s="2855">
        <f t="shared" si="55"/>
        <v>-2.5575170018810711</v>
      </c>
      <c r="BU14" s="2855">
        <f t="shared" si="55"/>
        <v>0.29513308831718987</v>
      </c>
      <c r="BV14" s="2855">
        <f t="shared" si="55"/>
        <v>1.2270279273777218</v>
      </c>
      <c r="BW14" s="2855">
        <f t="shared" ref="BW14:CD14" si="56">+BW240</f>
        <v>-2.7863097849934348</v>
      </c>
      <c r="BX14" s="2855">
        <f t="shared" si="56"/>
        <v>-1.0287369292108495</v>
      </c>
      <c r="BY14" s="2855">
        <f t="shared" si="56"/>
        <v>14.476009501187658</v>
      </c>
      <c r="BZ14" s="2855">
        <f t="shared" si="56"/>
        <v>2.901581926530894</v>
      </c>
      <c r="CA14" s="2855">
        <f t="shared" si="56"/>
        <v>2.4616476585310743</v>
      </c>
      <c r="CB14" s="2855">
        <f t="shared" si="56"/>
        <v>-4.943558417431559</v>
      </c>
      <c r="CC14" s="2855">
        <f t="shared" si="56"/>
        <v>5.4375010351623843</v>
      </c>
      <c r="CD14" s="2855">
        <f t="shared" si="56"/>
        <v>3.3506126295947292</v>
      </c>
      <c r="CE14" s="2855">
        <f t="shared" ref="CE14:CL14" si="57">+CE240</f>
        <v>-4.9473348228534881</v>
      </c>
      <c r="CF14" s="2855">
        <f t="shared" si="57"/>
        <v>3.9208161437845668</v>
      </c>
      <c r="CG14" s="2855">
        <f t="shared" si="57"/>
        <v>1.2832743498999877</v>
      </c>
      <c r="CH14" s="2855">
        <f t="shared" si="57"/>
        <v>1.765313563441917</v>
      </c>
      <c r="CI14" s="2855">
        <f t="shared" si="57"/>
        <v>1.5480846744095667</v>
      </c>
      <c r="CJ14" s="2855">
        <f t="shared" si="57"/>
        <v>2.5726592476074339</v>
      </c>
      <c r="CK14" s="2855">
        <f t="shared" si="57"/>
        <v>-0.70227738523498395</v>
      </c>
      <c r="CL14" s="2855">
        <f t="shared" si="57"/>
        <v>0.66827360247103673</v>
      </c>
      <c r="CM14" s="2855">
        <f t="shared" ref="CM14:CT14" si="58">+CM240</f>
        <v>-0.96492988845239269</v>
      </c>
      <c r="CN14" s="2855">
        <f t="shared" si="58"/>
        <v>2.293226007267668</v>
      </c>
      <c r="CO14" s="2855">
        <f t="shared" si="58"/>
        <v>1.1138316090408606</v>
      </c>
      <c r="CP14" s="2855">
        <f t="shared" si="58"/>
        <v>2.233917473825664</v>
      </c>
      <c r="CQ14" s="2855">
        <f t="shared" si="58"/>
        <v>6.1610076670317593</v>
      </c>
      <c r="CR14" s="2855">
        <f t="shared" si="58"/>
        <v>2.1382512251741037</v>
      </c>
      <c r="CS14" s="2855">
        <f t="shared" si="58"/>
        <v>3.3043763731407383</v>
      </c>
      <c r="CT14" s="2855">
        <f t="shared" si="58"/>
        <v>2.9872272810609335</v>
      </c>
      <c r="CU14" s="2855">
        <f t="shared" ref="CU14:DB14" si="59">+CU240</f>
        <v>0.8</v>
      </c>
      <c r="CV14" s="2855">
        <f t="shared" si="59"/>
        <v>0.8</v>
      </c>
      <c r="CW14" s="2855">
        <f t="shared" si="59"/>
        <v>0.8</v>
      </c>
      <c r="CX14" s="2855">
        <f t="shared" si="59"/>
        <v>0.75</v>
      </c>
      <c r="CY14" s="2855">
        <f t="shared" si="59"/>
        <v>1.5</v>
      </c>
      <c r="CZ14" s="2855">
        <f t="shared" si="59"/>
        <v>1.6</v>
      </c>
      <c r="DA14" s="2855">
        <f t="shared" si="59"/>
        <v>1.6</v>
      </c>
      <c r="DB14" s="2855">
        <f t="shared" si="59"/>
        <v>1.6</v>
      </c>
      <c r="DC14">
        <f ca="1">CP243</f>
        <v>3.5277957090910519</v>
      </c>
      <c r="DD14">
        <f>CT242</f>
        <v>13.580611792522546</v>
      </c>
      <c r="DE14">
        <f ca="1">CT243</f>
        <v>12.812325047587052</v>
      </c>
      <c r="DF14">
        <f>CX242</f>
        <v>6.4978108278907172</v>
      </c>
      <c r="DG14">
        <f ca="1">CX243</f>
        <v>6.4999999999999716</v>
      </c>
      <c r="DI14" s="3194">
        <v>3.7100412173419244</v>
      </c>
      <c r="DJ14" s="3194">
        <v>3.7194458133919142</v>
      </c>
      <c r="DK14" s="3194">
        <v>4.1871073491434885</v>
      </c>
      <c r="DL14" s="3194">
        <v>4.2032303881083095</v>
      </c>
      <c r="DM14" s="3194">
        <v>3.9216622332840245</v>
      </c>
      <c r="DN14" s="3194">
        <v>3.9304277297574401</v>
      </c>
    </row>
    <row r="15" spans="1:119">
      <c r="B15" s="665">
        <v>24</v>
      </c>
      <c r="C15" s="674"/>
      <c r="D15" s="717"/>
      <c r="E15" s="718" t="s">
        <v>1269</v>
      </c>
      <c r="F15" s="924"/>
      <c r="G15" s="2854"/>
      <c r="H15" s="2854">
        <f t="shared" ref="H15:BD15" si="60">+H263</f>
        <v>2.0272984805562722</v>
      </c>
      <c r="I15" s="2854">
        <f t="shared" si="60"/>
        <v>2.5241561745903418E-2</v>
      </c>
      <c r="J15" s="2854">
        <f t="shared" si="60"/>
        <v>2.3953244236282423</v>
      </c>
      <c r="K15" s="2854">
        <f t="shared" si="60"/>
        <v>1.0331128439191151</v>
      </c>
      <c r="L15" s="2854">
        <f t="shared" si="60"/>
        <v>-0.40101864590347258</v>
      </c>
      <c r="M15" s="2854">
        <f t="shared" si="60"/>
        <v>3.4669566410000519</v>
      </c>
      <c r="N15" s="2854">
        <f t="shared" si="60"/>
        <v>0.69212342709978891</v>
      </c>
      <c r="O15" s="2854">
        <f t="shared" si="60"/>
        <v>1.4499567457780138</v>
      </c>
      <c r="P15" s="2854">
        <f t="shared" si="60"/>
        <v>3.1977013624988393</v>
      </c>
      <c r="Q15" s="2854">
        <f t="shared" si="60"/>
        <v>2.9629962277707866</v>
      </c>
      <c r="R15" s="2854">
        <f t="shared" si="60"/>
        <v>1.9155784680606081</v>
      </c>
      <c r="S15" s="2854">
        <f t="shared" si="60"/>
        <v>2.0712971284289727</v>
      </c>
      <c r="T15" s="2854">
        <f t="shared" si="60"/>
        <v>1.7391304347826209</v>
      </c>
      <c r="U15" s="2854">
        <f t="shared" si="60"/>
        <v>0.92146148076719392</v>
      </c>
      <c r="V15" s="2854">
        <f t="shared" si="60"/>
        <v>4.0833993482758402E-3</v>
      </c>
      <c r="W15" s="2854">
        <f t="shared" si="60"/>
        <v>-1.5034462483258682</v>
      </c>
      <c r="X15" s="2854">
        <f t="shared" si="60"/>
        <v>0.36895473878832963</v>
      </c>
      <c r="Y15" s="2854">
        <f t="shared" si="60"/>
        <v>-1.5769561194818982</v>
      </c>
      <c r="Z15" s="2854">
        <f t="shared" si="60"/>
        <v>0.14687738675753792</v>
      </c>
      <c r="AA15" s="2854">
        <f t="shared" si="60"/>
        <v>2.1689210707162232</v>
      </c>
      <c r="AB15" s="2854">
        <f t="shared" si="60"/>
        <v>1.2049872857025523</v>
      </c>
      <c r="AC15" s="2854">
        <f t="shared" si="60"/>
        <v>1.3251849990679077</v>
      </c>
      <c r="AD15" s="2854">
        <f t="shared" si="60"/>
        <v>1.6478154446701865</v>
      </c>
      <c r="AE15" s="2854">
        <f t="shared" si="60"/>
        <v>2.8337818908667378</v>
      </c>
      <c r="AF15" s="2854">
        <f t="shared" si="60"/>
        <v>-5.5863784197429656E-2</v>
      </c>
      <c r="AG15" s="2854">
        <f t="shared" si="60"/>
        <v>2.2335033154162964</v>
      </c>
      <c r="AH15" s="2854">
        <f t="shared" si="60"/>
        <v>2.3921689048000516</v>
      </c>
      <c r="AI15" s="2854">
        <f t="shared" si="60"/>
        <v>0.37084988260078777</v>
      </c>
      <c r="AJ15" s="2854">
        <f t="shared" si="60"/>
        <v>2.9682262060924058</v>
      </c>
      <c r="AK15" s="2854">
        <f t="shared" si="60"/>
        <v>1.5853580856800997</v>
      </c>
      <c r="AL15" s="2854">
        <f t="shared" si="60"/>
        <v>1.4902496290052136</v>
      </c>
      <c r="AM15" s="2854">
        <f t="shared" si="60"/>
        <v>4.2389752320281193</v>
      </c>
      <c r="AN15" s="2854">
        <f t="shared" si="60"/>
        <v>1.5410248473792798</v>
      </c>
      <c r="AO15" s="2854">
        <f t="shared" si="60"/>
        <v>2.7142366087931968</v>
      </c>
      <c r="AP15" s="2854">
        <f t="shared" si="60"/>
        <v>1.6934811709140574</v>
      </c>
      <c r="AQ15" s="2854">
        <f t="shared" si="60"/>
        <v>1.5311634607026336</v>
      </c>
      <c r="AR15" s="2854">
        <f t="shared" si="60"/>
        <v>1.7692025440313008</v>
      </c>
      <c r="AS15" s="2854">
        <f t="shared" si="60"/>
        <v>0.85149597687681489</v>
      </c>
      <c r="AT15" s="2854">
        <f t="shared" si="60"/>
        <v>2.5507954477745232</v>
      </c>
      <c r="AU15" s="2854">
        <f t="shared" si="60"/>
        <v>28.642182777393678</v>
      </c>
      <c r="AV15" s="2854">
        <f t="shared" si="60"/>
        <v>1.4175659659410034</v>
      </c>
      <c r="AW15" s="2854">
        <f t="shared" si="60"/>
        <v>2.8800762689711545</v>
      </c>
      <c r="AX15" s="2854">
        <f t="shared" si="60"/>
        <v>2.2987474964875965</v>
      </c>
      <c r="AY15" s="2854">
        <f t="shared" si="60"/>
        <v>0.33019694933085209</v>
      </c>
      <c r="AZ15" s="2854">
        <f t="shared" si="60"/>
        <v>2.3969710208242345</v>
      </c>
      <c r="BA15" s="2854">
        <f t="shared" si="60"/>
        <v>1.7392911997269334</v>
      </c>
      <c r="BB15" s="2854">
        <f t="shared" si="60"/>
        <v>2.9732034275010921</v>
      </c>
      <c r="BC15" s="2854">
        <f t="shared" si="60"/>
        <v>3.0149594113973999</v>
      </c>
      <c r="BD15" s="2854">
        <f t="shared" si="60"/>
        <v>2.8516083123591773</v>
      </c>
      <c r="BE15" s="2854">
        <f t="shared" ref="BE15:BN15" si="61">+BE263</f>
        <v>2.675173924741503</v>
      </c>
      <c r="BF15" s="2854">
        <f t="shared" si="61"/>
        <v>1.8018692521743596</v>
      </c>
      <c r="BG15" s="2854">
        <f t="shared" si="61"/>
        <v>-0.49642695169336282</v>
      </c>
      <c r="BH15" s="2854">
        <f t="shared" si="61"/>
        <v>0.86107073344994234</v>
      </c>
      <c r="BI15" s="2854">
        <f t="shared" si="61"/>
        <v>-1.0857750039693581</v>
      </c>
      <c r="BJ15" s="2854">
        <f t="shared" si="61"/>
        <v>-1.1890650466735986</v>
      </c>
      <c r="BK15" s="2854">
        <f t="shared" si="61"/>
        <v>-13.108403623867538</v>
      </c>
      <c r="BL15" s="2854">
        <f t="shared" si="61"/>
        <v>-1.058459768461939</v>
      </c>
      <c r="BM15" s="2854">
        <f t="shared" si="61"/>
        <v>0.5886713469672511</v>
      </c>
      <c r="BN15" s="2854">
        <f t="shared" si="61"/>
        <v>-1.5447083983584742</v>
      </c>
      <c r="BO15" s="2854">
        <f t="shared" ref="BO15:BZ15" si="62">+BO263</f>
        <v>0.98334189476771972</v>
      </c>
      <c r="BP15" s="2854">
        <f t="shared" si="62"/>
        <v>1.6728435433471578</v>
      </c>
      <c r="BQ15" s="2854">
        <f t="shared" si="62"/>
        <v>-6.861455772200209E-2</v>
      </c>
      <c r="BR15" s="2854">
        <f t="shared" si="62"/>
        <v>2.4846941694798952</v>
      </c>
      <c r="BS15" s="2854">
        <f>+BS263</f>
        <v>1.903831390885613</v>
      </c>
      <c r="BT15" s="2854">
        <f>+BT263</f>
        <v>1.5915845991590238</v>
      </c>
      <c r="BU15" s="2854">
        <f>+BU263</f>
        <v>0.51637432419677776</v>
      </c>
      <c r="BV15" s="2854">
        <f>+BV263</f>
        <v>1.2313222630576437</v>
      </c>
      <c r="BW15" s="2854">
        <f t="shared" si="62"/>
        <v>0.70224719101124045</v>
      </c>
      <c r="BX15" s="2854">
        <f t="shared" si="62"/>
        <v>0.1434172784926746</v>
      </c>
      <c r="BY15" s="2854">
        <f t="shared" si="62"/>
        <v>2.5055511029943078</v>
      </c>
      <c r="BZ15" s="2854">
        <f t="shared" si="62"/>
        <v>0.5268015073444543</v>
      </c>
      <c r="CA15" s="2854">
        <f t="shared" ref="CA15:CH15" si="63">+CA263</f>
        <v>0.21038136403626062</v>
      </c>
      <c r="CB15" s="2854">
        <f t="shared" si="63"/>
        <v>0.90973865689492062</v>
      </c>
      <c r="CC15" s="2854">
        <f t="shared" si="63"/>
        <v>1.3504142026756316</v>
      </c>
      <c r="CD15" s="2854">
        <f t="shared" si="63"/>
        <v>0.89201293854193064</v>
      </c>
      <c r="CE15" s="2854">
        <f t="shared" si="63"/>
        <v>1.2330912364205915</v>
      </c>
      <c r="CF15" s="2854">
        <f t="shared" si="63"/>
        <v>0.66628500432412974</v>
      </c>
      <c r="CG15" s="2854">
        <f t="shared" si="63"/>
        <v>0.29040220705676134</v>
      </c>
      <c r="CH15" s="2854">
        <f t="shared" si="63"/>
        <v>0.23526856811930674</v>
      </c>
      <c r="CI15" s="2854">
        <f t="shared" ref="CI15:CP15" si="64">+CI263</f>
        <v>0.47424740307415725</v>
      </c>
      <c r="CJ15" s="2854">
        <f t="shared" si="64"/>
        <v>0.85776239023396261</v>
      </c>
      <c r="CK15" s="2854">
        <f t="shared" si="64"/>
        <v>0.74237727018968691</v>
      </c>
      <c r="CL15" s="2854">
        <f t="shared" si="64"/>
        <v>0.14030702478364798</v>
      </c>
      <c r="CM15" s="2854">
        <f t="shared" si="64"/>
        <v>0.33909081275829145</v>
      </c>
      <c r="CN15" s="2854">
        <f t="shared" si="64"/>
        <v>0.63482005608945791</v>
      </c>
      <c r="CO15" s="2854">
        <f t="shared" si="64"/>
        <v>1.033091579021006</v>
      </c>
      <c r="CP15" s="2854">
        <f t="shared" si="64"/>
        <v>1.1714061490167182</v>
      </c>
      <c r="CQ15" s="2854">
        <f t="shared" ref="CQ15:CX15" si="65">+CQ263</f>
        <v>1.0859769800257935</v>
      </c>
      <c r="CR15" s="2854">
        <f t="shared" si="65"/>
        <v>0.71771144840040435</v>
      </c>
      <c r="CS15" s="2854">
        <f t="shared" si="65"/>
        <v>0.54789302080648916</v>
      </c>
      <c r="CT15" s="2854">
        <f>+CT263</f>
        <v>1.3505683084466202</v>
      </c>
      <c r="CU15" s="2854">
        <f t="shared" si="65"/>
        <v>0.64000000000000046</v>
      </c>
      <c r="CV15" s="2854">
        <f t="shared" si="65"/>
        <v>0.64000000000000268</v>
      </c>
      <c r="CW15" s="2854">
        <f t="shared" si="65"/>
        <v>0.63999999999999979</v>
      </c>
      <c r="CX15" s="2854">
        <f t="shared" si="65"/>
        <v>0.72489778708730856</v>
      </c>
      <c r="CY15" s="2854">
        <f t="shared" ref="CY15:DB15" si="66">+CY263</f>
        <v>0.64000000000000046</v>
      </c>
      <c r="CZ15" s="2854">
        <f t="shared" si="66"/>
        <v>0.64000000000000123</v>
      </c>
      <c r="DA15" s="2854">
        <f t="shared" si="66"/>
        <v>0.64000000000000123</v>
      </c>
      <c r="DB15" s="2854">
        <f t="shared" si="66"/>
        <v>0.61512319845919095</v>
      </c>
      <c r="DC15" s="3194">
        <f ca="1">CP265</f>
        <v>2.3448829366414117</v>
      </c>
      <c r="DD15" s="3194">
        <f>CT264</f>
        <v>3.8413641708225441</v>
      </c>
      <c r="DE15" s="3194">
        <f ca="1">CT265</f>
        <v>3.8289347486644374</v>
      </c>
      <c r="DF15" s="3194">
        <f>CX264</f>
        <v>3.1199999999999903</v>
      </c>
      <c r="DG15" s="3194">
        <f ca="1">CX265</f>
        <v>3.1205873424164423</v>
      </c>
      <c r="DI15" s="3194">
        <v>1.6817302323734964</v>
      </c>
      <c r="DJ15" s="3194">
        <v>1.6817302323734822</v>
      </c>
      <c r="DK15" s="3194">
        <v>1.6617704561005411</v>
      </c>
      <c r="DL15" s="3194">
        <v>1.6617704561005411</v>
      </c>
      <c r="DM15" s="3194">
        <v>1.7175075267257682</v>
      </c>
      <c r="DN15" s="3194">
        <v>1.7175075267257967</v>
      </c>
    </row>
    <row r="16" spans="1:119">
      <c r="BV16" s="3199" t="s">
        <v>2350</v>
      </c>
      <c r="BW16" s="3199">
        <v>0.3</v>
      </c>
      <c r="BX16" s="3199">
        <v>0.6</v>
      </c>
      <c r="BY16" s="3199">
        <v>1.2</v>
      </c>
      <c r="BZ16" s="3199">
        <v>1</v>
      </c>
      <c r="CA16" s="3199">
        <v>0.6</v>
      </c>
      <c r="CB16" s="3199">
        <v>0.6</v>
      </c>
      <c r="CC16" s="3199">
        <v>0.7</v>
      </c>
      <c r="CD16" s="3199">
        <v>0.8</v>
      </c>
      <c r="CE16" s="3199">
        <v>0.9</v>
      </c>
      <c r="CF16" s="3199">
        <v>1</v>
      </c>
      <c r="CG16" s="3199">
        <v>1</v>
      </c>
      <c r="CH16" s="3199">
        <v>1</v>
      </c>
      <c r="CI16" s="3199"/>
      <c r="CJ16" s="3199"/>
      <c r="CK16" s="3199"/>
      <c r="CL16" s="3199"/>
      <c r="CM16" s="3199"/>
      <c r="CN16" s="3199"/>
      <c r="CO16" s="3199"/>
      <c r="CP16" s="3199"/>
      <c r="CQ16" s="3199"/>
      <c r="CR16" s="3199"/>
      <c r="CS16" s="3199"/>
      <c r="CT16" s="3199"/>
      <c r="CU16" s="3199"/>
      <c r="CV16" s="3199"/>
      <c r="CW16" s="3199"/>
      <c r="CX16" s="3199"/>
      <c r="CY16" s="3199"/>
      <c r="CZ16" s="3199"/>
      <c r="DA16" s="3199"/>
      <c r="DB16" s="3199"/>
      <c r="DC16" s="3194"/>
    </row>
    <row r="17" spans="1:119">
      <c r="BV17" s="3196" t="s">
        <v>2129</v>
      </c>
      <c r="BW17" s="3196">
        <f>BW15</f>
        <v>0.70224719101124045</v>
      </c>
      <c r="BX17" s="3196">
        <f t="shared" ref="BX17:CD17" si="67">BX15</f>
        <v>0.1434172784926746</v>
      </c>
      <c r="BY17" s="3196">
        <f t="shared" si="67"/>
        <v>2.5055511029943078</v>
      </c>
      <c r="BZ17" s="3196">
        <f t="shared" si="67"/>
        <v>0.5268015073444543</v>
      </c>
      <c r="CA17" s="3196">
        <f t="shared" si="67"/>
        <v>0.21038136403626062</v>
      </c>
      <c r="CB17" s="3196">
        <f t="shared" si="67"/>
        <v>0.90973865689492062</v>
      </c>
      <c r="CC17" s="3196">
        <f t="shared" si="67"/>
        <v>1.3504142026756316</v>
      </c>
      <c r="CD17" s="3196">
        <f t="shared" si="67"/>
        <v>0.89201293854193064</v>
      </c>
      <c r="CE17" s="3196">
        <f t="shared" ref="CE17:CL17" si="68">CE15</f>
        <v>1.2330912364205915</v>
      </c>
      <c r="CF17" s="3196">
        <f t="shared" si="68"/>
        <v>0.66628500432412974</v>
      </c>
      <c r="CG17" s="3196">
        <f t="shared" si="68"/>
        <v>0.29040220705676134</v>
      </c>
      <c r="CH17" s="3196">
        <f t="shared" si="68"/>
        <v>0.23526856811930674</v>
      </c>
      <c r="CI17" s="3196">
        <f t="shared" si="68"/>
        <v>0.47424740307415725</v>
      </c>
      <c r="CJ17" s="3196">
        <f t="shared" si="68"/>
        <v>0.85776239023396261</v>
      </c>
      <c r="CK17" s="3196">
        <f t="shared" si="68"/>
        <v>0.74237727018968691</v>
      </c>
      <c r="CL17" s="3196">
        <f t="shared" si="68"/>
        <v>0.14030702478364798</v>
      </c>
      <c r="CM17" s="3196">
        <f t="shared" ref="CM17:CT17" si="69">CM15</f>
        <v>0.33909081275829145</v>
      </c>
      <c r="CN17" s="3196">
        <f t="shared" si="69"/>
        <v>0.63482005608945791</v>
      </c>
      <c r="CO17" s="3196">
        <f t="shared" si="69"/>
        <v>1.033091579021006</v>
      </c>
      <c r="CP17" s="3196">
        <f t="shared" si="69"/>
        <v>1.1714061490167182</v>
      </c>
      <c r="CQ17" s="3196">
        <f t="shared" si="69"/>
        <v>1.0859769800257935</v>
      </c>
      <c r="CR17" s="3196">
        <f t="shared" si="69"/>
        <v>0.71771144840040435</v>
      </c>
      <c r="CS17" s="3196">
        <f t="shared" si="69"/>
        <v>0.54789302080648916</v>
      </c>
      <c r="CT17" s="3196">
        <f t="shared" si="69"/>
        <v>1.3505683084466202</v>
      </c>
      <c r="CU17" s="3196">
        <f t="shared" ref="CU17:DB17" si="70">CU15</f>
        <v>0.64000000000000046</v>
      </c>
      <c r="CV17" s="3196">
        <f t="shared" si="70"/>
        <v>0.64000000000000268</v>
      </c>
      <c r="CW17" s="3196">
        <f t="shared" si="70"/>
        <v>0.63999999999999979</v>
      </c>
      <c r="CX17" s="3196">
        <f t="shared" si="70"/>
        <v>0.72489778708730856</v>
      </c>
      <c r="CY17" s="3196">
        <f t="shared" si="70"/>
        <v>0.64000000000000046</v>
      </c>
      <c r="CZ17" s="3196">
        <f t="shared" si="70"/>
        <v>0.64000000000000123</v>
      </c>
      <c r="DA17" s="3196">
        <f t="shared" si="70"/>
        <v>0.64000000000000123</v>
      </c>
      <c r="DB17" s="3196">
        <f t="shared" si="70"/>
        <v>0.61512319845919095</v>
      </c>
    </row>
    <row r="18" spans="1:119" ht="30" customHeight="1">
      <c r="C18" s="3767" t="s">
        <v>1069</v>
      </c>
      <c r="D18" s="3767"/>
      <c r="E18" s="3767"/>
      <c r="F18" s="3767"/>
      <c r="AX18" s="217">
        <f>+AX23/AT23</f>
        <v>1.4452526137751898</v>
      </c>
      <c r="BM18" s="557" t="s">
        <v>1706</v>
      </c>
      <c r="BV18" s="3199" t="s">
        <v>2138</v>
      </c>
      <c r="BW18" s="3199">
        <v>0.1</v>
      </c>
      <c r="BX18" s="3199">
        <v>0.5</v>
      </c>
      <c r="BY18" s="3200">
        <v>0.9</v>
      </c>
      <c r="BZ18" s="3199">
        <v>0.7</v>
      </c>
      <c r="CA18" s="3199">
        <v>0.7</v>
      </c>
      <c r="CB18" s="3199">
        <v>0.7</v>
      </c>
      <c r="CC18" s="3199">
        <v>0.8</v>
      </c>
      <c r="CD18" s="3199">
        <v>0.9</v>
      </c>
      <c r="CE18" s="3199">
        <v>0.9</v>
      </c>
      <c r="CF18" s="3199">
        <v>0.9</v>
      </c>
      <c r="CG18" s="3199">
        <v>0.9</v>
      </c>
      <c r="CH18" s="3199">
        <v>0.9</v>
      </c>
      <c r="CI18" s="3199"/>
      <c r="CJ18" s="3199"/>
      <c r="CK18" s="3199"/>
      <c r="CL18" s="3199"/>
      <c r="CM18" s="3199"/>
      <c r="CN18" s="3199"/>
      <c r="CO18" s="3199"/>
      <c r="CP18" s="3199"/>
      <c r="CQ18" s="3199"/>
      <c r="CR18" s="3199"/>
      <c r="CS18" s="3199"/>
      <c r="CT18" s="3199"/>
      <c r="CU18" s="3199"/>
      <c r="CV18" s="3199"/>
      <c r="CW18" s="3199"/>
      <c r="CX18" s="3199"/>
      <c r="CY18" s="3199"/>
      <c r="CZ18" s="3199"/>
      <c r="DA18" s="3199"/>
      <c r="DB18" s="3199"/>
    </row>
    <row r="19" spans="1:119">
      <c r="C19" s="665"/>
      <c r="D19" s="665"/>
      <c r="E19" s="665"/>
      <c r="F19" s="665"/>
      <c r="BV19" s="3199"/>
      <c r="BW19" s="3199"/>
      <c r="BX19" s="3199"/>
      <c r="BY19" s="3199"/>
      <c r="BZ19" s="3199"/>
      <c r="CA19" s="3199"/>
      <c r="CB19" s="3199"/>
      <c r="CC19" s="3199"/>
      <c r="CD19" s="3199"/>
      <c r="CE19" s="3199"/>
      <c r="CF19" s="3199"/>
      <c r="CG19" s="3199"/>
      <c r="CH19" s="3199"/>
      <c r="CI19" s="3199"/>
      <c r="CJ19" s="3199"/>
      <c r="CK19" s="3199"/>
      <c r="CL19" s="3199"/>
      <c r="CM19" s="3199"/>
      <c r="CN19" s="3199"/>
      <c r="CO19" s="3199"/>
      <c r="CP19" s="3199"/>
      <c r="CQ19" s="3199"/>
      <c r="CR19" s="3199"/>
      <c r="CS19" s="3199"/>
      <c r="CT19" s="3199"/>
      <c r="CU19" s="3199"/>
      <c r="CV19" s="3199"/>
      <c r="CW19" s="3199"/>
      <c r="CX19" s="3199"/>
      <c r="CY19" s="3199"/>
      <c r="CZ19" s="3199"/>
      <c r="DA19" s="3199"/>
      <c r="DB19" s="3199"/>
    </row>
    <row r="20" spans="1:119">
      <c r="E20" s="599"/>
      <c r="F20" s="3617"/>
      <c r="G20" s="3764">
        <f ca="1">OFFSET(InputY!$G$3,0,(COLUMN()-7)/4)</f>
        <v>1995</v>
      </c>
      <c r="H20" s="3765"/>
      <c r="I20" s="3765"/>
      <c r="J20" s="3766"/>
      <c r="K20" s="3764">
        <f ca="1">OFFSET(InputY!$G$3,0,(COLUMN()-7)/4)</f>
        <v>1996</v>
      </c>
      <c r="L20" s="3765"/>
      <c r="M20" s="3765"/>
      <c r="N20" s="3766"/>
      <c r="O20" s="3764">
        <f ca="1">OFFSET(InputY!$G$3,0,(COLUMN()-7)/4)</f>
        <v>1997</v>
      </c>
      <c r="P20" s="3765"/>
      <c r="Q20" s="3765"/>
      <c r="R20" s="3766"/>
      <c r="S20" s="3764">
        <f ca="1">OFFSET(InputY!$G$3,0,(COLUMN()-7)/4)</f>
        <v>1998</v>
      </c>
      <c r="T20" s="3765"/>
      <c r="U20" s="3765"/>
      <c r="V20" s="3766"/>
      <c r="W20" s="3764">
        <f ca="1">OFFSET(InputY!$G$3,0,(COLUMN()-7)/4)</f>
        <v>1999</v>
      </c>
      <c r="X20" s="3765"/>
      <c r="Y20" s="3765"/>
      <c r="Z20" s="3766"/>
      <c r="AA20" s="3764">
        <f ca="1">OFFSET(InputY!$G$3,0,(COLUMN()-7)/4)</f>
        <v>2000</v>
      </c>
      <c r="AB20" s="3765"/>
      <c r="AC20" s="3765"/>
      <c r="AD20" s="3766"/>
      <c r="AE20" s="3764">
        <f ca="1">OFFSET(InputY!$G$3,0,(COLUMN()-7)/4)</f>
        <v>2001</v>
      </c>
      <c r="AF20" s="3765"/>
      <c r="AG20" s="3765"/>
      <c r="AH20" s="3766"/>
      <c r="AI20" s="3764">
        <f ca="1">OFFSET(InputY!$G$3,0,(COLUMN()-7)/4)</f>
        <v>2002</v>
      </c>
      <c r="AJ20" s="3765"/>
      <c r="AK20" s="3765"/>
      <c r="AL20" s="3766"/>
      <c r="AM20" s="3764">
        <f ca="1">OFFSET(InputY!$G$3,0,(COLUMN()-7)/4)</f>
        <v>2003</v>
      </c>
      <c r="AN20" s="3765"/>
      <c r="AO20" s="3765"/>
      <c r="AP20" s="3766"/>
      <c r="AQ20" s="3764">
        <f ca="1">OFFSET(InputY!$G$3,0,(COLUMN()-7)/4)</f>
        <v>2004</v>
      </c>
      <c r="AR20" s="3765"/>
      <c r="AS20" s="3765"/>
      <c r="AT20" s="3766"/>
      <c r="AU20" s="3764">
        <f ca="1">OFFSET(InputY!$G$3,0,(COLUMN()-7)/4)</f>
        <v>2005</v>
      </c>
      <c r="AV20" s="3765"/>
      <c r="AW20" s="3765"/>
      <c r="AX20" s="3766"/>
      <c r="AY20" s="3764">
        <f ca="1">OFFSET(InputY!$G$3,0,(COLUMN()-7)/4)</f>
        <v>2006</v>
      </c>
      <c r="AZ20" s="3765"/>
      <c r="BA20" s="3765"/>
      <c r="BB20" s="3766"/>
      <c r="BC20" s="3764">
        <f ca="1">OFFSET(InputY!$G$3,0,(COLUMN()-7)/4)</f>
        <v>2007</v>
      </c>
      <c r="BD20" s="3765"/>
      <c r="BE20" s="3765"/>
      <c r="BF20" s="3766"/>
      <c r="BG20" s="3764">
        <f ca="1">OFFSET(InputY!$G$3,0,(COLUMN()-7)/4)</f>
        <v>2008</v>
      </c>
      <c r="BH20" s="3765"/>
      <c r="BI20" s="3765"/>
      <c r="BJ20" s="3766"/>
      <c r="BK20" s="3764">
        <f ca="1">OFFSET(InputY!$G$3,0,(COLUMN()-7)/4)</f>
        <v>2009</v>
      </c>
      <c r="BL20" s="3765"/>
      <c r="BM20" s="3765"/>
      <c r="BN20" s="3766"/>
      <c r="BO20" s="3764">
        <f ca="1">OFFSET(InputY!$G$3,0,(COLUMN()-7)/4)</f>
        <v>2010</v>
      </c>
      <c r="BP20" s="3765"/>
      <c r="BQ20" s="3765"/>
      <c r="BR20" s="3766"/>
      <c r="BS20" s="3764">
        <f ca="1">OFFSET(InputY!$G$3,0,(COLUMN()-7)/4)</f>
        <v>2011</v>
      </c>
      <c r="BT20" s="3765"/>
      <c r="BU20" s="3765"/>
      <c r="BV20" s="3766"/>
      <c r="BW20" s="3764">
        <f ca="1">OFFSET(InputY!$G$3,0,(COLUMN()-7)/4)</f>
        <v>2012</v>
      </c>
      <c r="BX20" s="3765"/>
      <c r="BY20" s="3765"/>
      <c r="BZ20" s="3766"/>
      <c r="CA20" s="3764">
        <f ca="1">OFFSET(InputY!$G$3,0,(COLUMN()-7)/4)</f>
        <v>2013</v>
      </c>
      <c r="CB20" s="3765"/>
      <c r="CC20" s="3765"/>
      <c r="CD20" s="3766"/>
      <c r="CE20" s="3764">
        <f ca="1">OFFSET(InputY!$G$3,0,(COLUMN()-7)/4)</f>
        <v>2014</v>
      </c>
      <c r="CF20" s="3765"/>
      <c r="CG20" s="3765"/>
      <c r="CH20" s="3766"/>
      <c r="CI20" s="3764">
        <f ca="1">OFFSET(InputY!$G$3,0,(COLUMN()-7)/4)</f>
        <v>2015</v>
      </c>
      <c r="CJ20" s="3765"/>
      <c r="CK20" s="3765"/>
      <c r="CL20" s="3766"/>
      <c r="CM20" s="3764">
        <f ca="1">OFFSET(InputY!$G$3,0,(COLUMN()-7)/4)</f>
        <v>2016</v>
      </c>
      <c r="CN20" s="3765"/>
      <c r="CO20" s="3765"/>
      <c r="CP20" s="3766"/>
      <c r="CQ20" s="3764">
        <f ca="1">OFFSET(InputY!$G$3,0,(COLUMN()-7)/4)</f>
        <v>2017</v>
      </c>
      <c r="CR20" s="3765"/>
      <c r="CS20" s="3765"/>
      <c r="CT20" s="3766"/>
      <c r="CU20" s="3764">
        <f ca="1">OFFSET(InputY!$G$3,0,(COLUMN()-7)/4)</f>
        <v>2018</v>
      </c>
      <c r="CV20" s="3765"/>
      <c r="CW20" s="3765"/>
      <c r="CX20" s="3766"/>
      <c r="CY20" s="3764">
        <f ca="1">OFFSET(InputY!$G$3,0,(COLUMN()-7)/4)</f>
        <v>2019</v>
      </c>
      <c r="CZ20" s="3765"/>
      <c r="DA20" s="3765"/>
      <c r="DB20" s="3766"/>
    </row>
    <row r="21" spans="1:119" s="699" customFormat="1" ht="12.75" customHeight="1">
      <c r="A21" s="664"/>
      <c r="B21" s="664"/>
      <c r="C21" s="666"/>
      <c r="D21" s="695"/>
      <c r="E21" s="3618" t="s">
        <v>1892</v>
      </c>
      <c r="F21" s="3619"/>
      <c r="G21" s="1566" t="s">
        <v>1842</v>
      </c>
      <c r="H21" s="1567" t="s">
        <v>1843</v>
      </c>
      <c r="I21" s="1567" t="s">
        <v>1844</v>
      </c>
      <c r="J21" s="1568" t="s">
        <v>1845</v>
      </c>
      <c r="K21" s="1566" t="s">
        <v>1842</v>
      </c>
      <c r="L21" s="1567" t="s">
        <v>1843</v>
      </c>
      <c r="M21" s="1567" t="s">
        <v>1844</v>
      </c>
      <c r="N21" s="1568" t="s">
        <v>1845</v>
      </c>
      <c r="O21" s="1566" t="s">
        <v>1842</v>
      </c>
      <c r="P21" s="1567" t="s">
        <v>1843</v>
      </c>
      <c r="Q21" s="1567" t="s">
        <v>1844</v>
      </c>
      <c r="R21" s="1568" t="s">
        <v>1845</v>
      </c>
      <c r="S21" s="1566" t="s">
        <v>1842</v>
      </c>
      <c r="T21" s="1567" t="s">
        <v>1843</v>
      </c>
      <c r="U21" s="1567" t="s">
        <v>1844</v>
      </c>
      <c r="V21" s="1568" t="s">
        <v>1845</v>
      </c>
      <c r="W21" s="1566" t="s">
        <v>1842</v>
      </c>
      <c r="X21" s="1567" t="s">
        <v>1843</v>
      </c>
      <c r="Y21" s="1567" t="s">
        <v>1844</v>
      </c>
      <c r="Z21" s="1568" t="s">
        <v>1845</v>
      </c>
      <c r="AA21" s="1566" t="s">
        <v>1842</v>
      </c>
      <c r="AB21" s="1567" t="s">
        <v>1843</v>
      </c>
      <c r="AC21" s="1567" t="s">
        <v>1844</v>
      </c>
      <c r="AD21" s="1568" t="s">
        <v>1845</v>
      </c>
      <c r="AE21" s="1566" t="s">
        <v>1842</v>
      </c>
      <c r="AF21" s="1567" t="s">
        <v>1843</v>
      </c>
      <c r="AG21" s="1567" t="s">
        <v>1844</v>
      </c>
      <c r="AH21" s="1568" t="s">
        <v>1845</v>
      </c>
      <c r="AI21" s="1566" t="s">
        <v>1842</v>
      </c>
      <c r="AJ21" s="1567" t="s">
        <v>1843</v>
      </c>
      <c r="AK21" s="1567" t="s">
        <v>1844</v>
      </c>
      <c r="AL21" s="1568" t="s">
        <v>1845</v>
      </c>
      <c r="AM21" s="1566" t="s">
        <v>1842</v>
      </c>
      <c r="AN21" s="1567" t="s">
        <v>1843</v>
      </c>
      <c r="AO21" s="1567" t="s">
        <v>1844</v>
      </c>
      <c r="AP21" s="1568" t="s">
        <v>1845</v>
      </c>
      <c r="AQ21" s="1566" t="s">
        <v>1842</v>
      </c>
      <c r="AR21" s="1567" t="s">
        <v>1843</v>
      </c>
      <c r="AS21" s="1567" t="s">
        <v>1844</v>
      </c>
      <c r="AT21" s="1568" t="s">
        <v>1845</v>
      </c>
      <c r="AU21" s="1566" t="s">
        <v>1842</v>
      </c>
      <c r="AV21" s="1567" t="s">
        <v>1843</v>
      </c>
      <c r="AW21" s="1567" t="s">
        <v>1844</v>
      </c>
      <c r="AX21" s="1568" t="s">
        <v>1845</v>
      </c>
      <c r="AY21" s="1566" t="s">
        <v>1842</v>
      </c>
      <c r="AZ21" s="1567" t="s">
        <v>1843</v>
      </c>
      <c r="BA21" s="1567" t="s">
        <v>1844</v>
      </c>
      <c r="BB21" s="1568" t="s">
        <v>1845</v>
      </c>
      <c r="BC21" s="1566" t="s">
        <v>1842</v>
      </c>
      <c r="BD21" s="1567" t="s">
        <v>1843</v>
      </c>
      <c r="BE21" s="1567" t="s">
        <v>1844</v>
      </c>
      <c r="BF21" s="1568" t="s">
        <v>1845</v>
      </c>
      <c r="BG21" s="1566" t="s">
        <v>1842</v>
      </c>
      <c r="BH21" s="1567" t="s">
        <v>1843</v>
      </c>
      <c r="BI21" s="1567" t="s">
        <v>1844</v>
      </c>
      <c r="BJ21" s="1568" t="s">
        <v>1845</v>
      </c>
      <c r="BK21" s="1566" t="s">
        <v>1842</v>
      </c>
      <c r="BL21" s="1567" t="s">
        <v>1843</v>
      </c>
      <c r="BM21" s="1567" t="s">
        <v>1844</v>
      </c>
      <c r="BN21" s="1568" t="s">
        <v>1845</v>
      </c>
      <c r="BO21" s="1566" t="s">
        <v>1842</v>
      </c>
      <c r="BP21" s="1567" t="s">
        <v>1843</v>
      </c>
      <c r="BQ21" s="1567" t="s">
        <v>1844</v>
      </c>
      <c r="BR21" s="1568" t="s">
        <v>1845</v>
      </c>
      <c r="BS21" s="1566" t="s">
        <v>1842</v>
      </c>
      <c r="BT21" s="1567" t="s">
        <v>1843</v>
      </c>
      <c r="BU21" s="1567" t="s">
        <v>1844</v>
      </c>
      <c r="BV21" s="1568" t="s">
        <v>1845</v>
      </c>
      <c r="BW21" s="1566" t="s">
        <v>1842</v>
      </c>
      <c r="BX21" s="1567" t="s">
        <v>1843</v>
      </c>
      <c r="BY21" s="1567" t="s">
        <v>1844</v>
      </c>
      <c r="BZ21" s="1568" t="s">
        <v>1845</v>
      </c>
      <c r="CA21" s="1566" t="s">
        <v>1842</v>
      </c>
      <c r="CB21" s="1567" t="s">
        <v>1843</v>
      </c>
      <c r="CC21" s="1567" t="s">
        <v>1844</v>
      </c>
      <c r="CD21" s="1568" t="s">
        <v>1845</v>
      </c>
      <c r="CE21" s="1566" t="s">
        <v>1842</v>
      </c>
      <c r="CF21" s="1567" t="s">
        <v>1843</v>
      </c>
      <c r="CG21" s="1567" t="s">
        <v>1844</v>
      </c>
      <c r="CH21" s="1568" t="s">
        <v>1845</v>
      </c>
      <c r="CI21" s="1566" t="s">
        <v>1842</v>
      </c>
      <c r="CJ21" s="1567" t="s">
        <v>1843</v>
      </c>
      <c r="CK21" s="1567" t="s">
        <v>1844</v>
      </c>
      <c r="CL21" s="1568" t="s">
        <v>1845</v>
      </c>
      <c r="CM21" s="1566" t="s">
        <v>1842</v>
      </c>
      <c r="CN21" s="1567" t="s">
        <v>1843</v>
      </c>
      <c r="CO21" s="1567" t="s">
        <v>1844</v>
      </c>
      <c r="CP21" s="1568" t="s">
        <v>1845</v>
      </c>
      <c r="CQ21" s="1566" t="s">
        <v>1842</v>
      </c>
      <c r="CR21" s="1567" t="s">
        <v>1843</v>
      </c>
      <c r="CS21" s="1567" t="s">
        <v>1844</v>
      </c>
      <c r="CT21" s="1568" t="s">
        <v>1845</v>
      </c>
      <c r="CU21" s="1566" t="s">
        <v>1842</v>
      </c>
      <c r="CV21" s="1567" t="s">
        <v>1843</v>
      </c>
      <c r="CW21" s="1567" t="s">
        <v>1844</v>
      </c>
      <c r="CX21" s="1568" t="s">
        <v>1845</v>
      </c>
      <c r="CY21" s="1566" t="s">
        <v>1842</v>
      </c>
      <c r="CZ21" s="1567" t="s">
        <v>1843</v>
      </c>
      <c r="DA21" s="1567" t="s">
        <v>1844</v>
      </c>
      <c r="DB21" s="1568" t="s">
        <v>1845</v>
      </c>
      <c r="DC21"/>
      <c r="DD21"/>
      <c r="DE21"/>
      <c r="DF21"/>
      <c r="DG21"/>
      <c r="DH21"/>
      <c r="DI21"/>
      <c r="DJ21"/>
      <c r="DK21"/>
      <c r="DL21"/>
      <c r="DM21"/>
      <c r="DN21"/>
      <c r="DO21"/>
    </row>
    <row r="22" spans="1:119" s="699" customFormat="1" ht="12.75" customHeight="1">
      <c r="A22" s="664" t="str">
        <f>"Q" &amp; ROW(InputQ!A5)</f>
        <v>Q5</v>
      </c>
      <c r="C22" s="667"/>
      <c r="D22" s="668"/>
      <c r="E22" s="3620" t="s">
        <v>2131</v>
      </c>
      <c r="F22" s="3621"/>
      <c r="G22" s="1565">
        <f>InputQ!G5/1000</f>
        <v>1.62621640407785</v>
      </c>
      <c r="H22" s="780">
        <f>InputQ!H5/1000</f>
        <v>1.6685588507877664</v>
      </c>
      <c r="I22" s="780">
        <f>InputQ!I5/1000</f>
        <v>1.7066438832252087</v>
      </c>
      <c r="J22" s="780">
        <f>InputQ!J5/1000</f>
        <v>1.7344184430027805</v>
      </c>
      <c r="K22" s="780">
        <f>InputQ!K5/1000</f>
        <v>1.7539098702502318</v>
      </c>
      <c r="L22" s="780">
        <f>InputQ!L5/1000</f>
        <v>1.776905699721965</v>
      </c>
      <c r="M22" s="780">
        <f>InputQ!M5/1000</f>
        <v>1.7802942539388322</v>
      </c>
      <c r="N22" s="1589">
        <f>InputQ!N5/1000</f>
        <v>1.8378417516218721</v>
      </c>
      <c r="O22" s="780">
        <f>InputQ!O5/1000</f>
        <v>1.8682808155699722</v>
      </c>
      <c r="P22" s="780">
        <f>InputQ!P5/1000</f>
        <v>1.8650949953660798</v>
      </c>
      <c r="Q22" s="780">
        <f>InputQ!Q5/1000</f>
        <v>1.9053521779425395</v>
      </c>
      <c r="R22" s="1589">
        <f>InputQ!R5/1000</f>
        <v>1.9386584800741427</v>
      </c>
      <c r="S22" s="780">
        <f>InputQ!S5/1000</f>
        <v>1.9647822057460611</v>
      </c>
      <c r="T22" s="780">
        <f>InputQ!T5/1000</f>
        <v>1.9483897126969416</v>
      </c>
      <c r="U22" s="780">
        <f>InputQ!U5/1000</f>
        <v>2.0078197405004636</v>
      </c>
      <c r="V22" s="1589">
        <f>InputQ!V5/1000</f>
        <v>2.0156394810009268</v>
      </c>
      <c r="W22" s="780">
        <f>InputQ!W5/1000</f>
        <v>2.0052421223354959</v>
      </c>
      <c r="X22" s="780">
        <f>InputQ!X5/1000</f>
        <v>2.0949374420759965</v>
      </c>
      <c r="Y22" s="780">
        <f>InputQ!Y5/1000</f>
        <v>2.1180491195551436</v>
      </c>
      <c r="Z22" s="1589">
        <f>InputQ!Z5/1000</f>
        <v>2.1133862372567198</v>
      </c>
      <c r="AA22" s="780">
        <f>InputQ!AA5/1000</f>
        <v>2.1536723818350323</v>
      </c>
      <c r="AB22" s="780">
        <f>InputQ!AB5/1000</f>
        <v>2.2209511121408712</v>
      </c>
      <c r="AC22" s="780">
        <f>InputQ!AC5/1000</f>
        <v>2.2410797034291012</v>
      </c>
      <c r="AD22" s="1589">
        <f>InputQ!AD5/1000</f>
        <v>2.2661318350324375</v>
      </c>
      <c r="AE22" s="780">
        <f>InputQ!AE5/1000</f>
        <v>2.3153093141797965</v>
      </c>
      <c r="AF22" s="780">
        <f>InputQ!AF5/1000</f>
        <v>2.2809024559777571</v>
      </c>
      <c r="AG22" s="780">
        <f>InputQ!AG5/1000</f>
        <v>2.322376042632067</v>
      </c>
      <c r="AH22" s="1589">
        <f>InputQ!AH5/1000</f>
        <v>2.3685993975903616</v>
      </c>
      <c r="AI22" s="780">
        <f>InputQ!AI5/1000</f>
        <v>2.4167632066728455</v>
      </c>
      <c r="AJ22" s="780">
        <f>InputQ!AJ5/1000</f>
        <v>2.4448563484708066</v>
      </c>
      <c r="AK22" s="780">
        <f>InputQ!AK5/1000</f>
        <v>2.4770620945319739</v>
      </c>
      <c r="AL22" s="1589">
        <f>InputQ!AL5/1000</f>
        <v>2.5211132993512511</v>
      </c>
      <c r="AM22" s="780">
        <f>InputQ!AM5/1000</f>
        <v>2.6566265060240961</v>
      </c>
      <c r="AN22" s="780">
        <f>InputQ!AN5/1000</f>
        <v>2.7109881835032437</v>
      </c>
      <c r="AO22" s="780">
        <f>InputQ!AO5/1000</f>
        <v>2.7391971733086193</v>
      </c>
      <c r="AP22" s="1589">
        <f>InputQ!AP5/1000</f>
        <v>2.8600266450417058</v>
      </c>
      <c r="AQ22" s="780">
        <f>InputQ!AQ5/1000</f>
        <v>2.9140987025023168</v>
      </c>
      <c r="AR22" s="780">
        <f>InputQ!AR5/1000</f>
        <v>3.0182460611677477</v>
      </c>
      <c r="AS22" s="780">
        <f>InputQ!AS5/1000</f>
        <v>3.1173250695088046</v>
      </c>
      <c r="AT22" s="1589">
        <f>InputQ!AT5/1000</f>
        <v>3.1594068582020385</v>
      </c>
      <c r="AU22" s="780">
        <f>InputQ!AU5/1000</f>
        <v>4.1615000000000002</v>
      </c>
      <c r="AV22" s="780">
        <f>InputQ!AV5/1000</f>
        <v>4.3871000000000002</v>
      </c>
      <c r="AW22" s="780">
        <f>InputQ!AW5/1000</f>
        <v>4.4554999999999998</v>
      </c>
      <c r="AX22" s="1589">
        <f>InputQ!AX5/1000</f>
        <v>4.6411000000000007</v>
      </c>
      <c r="AY22" s="780">
        <f>InputQ!AY5/1000</f>
        <v>4.5007999999999999</v>
      </c>
      <c r="AZ22" s="780">
        <f>InputQ!AZ5/1000</f>
        <v>4.7203999999999997</v>
      </c>
      <c r="BA22" s="780">
        <f>InputQ!BA5/1000</f>
        <v>5.0039999999999996</v>
      </c>
      <c r="BB22" s="1589">
        <f>InputQ!BB5/1000</f>
        <v>5.0247999999999999</v>
      </c>
      <c r="BC22" s="780">
        <f>InputQ!BC5/1000</f>
        <v>5.2023999999999999</v>
      </c>
      <c r="BD22" s="780">
        <f>InputQ!BD5/1000</f>
        <v>5.3650000000000002</v>
      </c>
      <c r="BE22" s="780">
        <f>InputQ!BE5/1000</f>
        <v>5.3876999999999997</v>
      </c>
      <c r="BF22" s="1589">
        <f>InputQ!BF5/1000</f>
        <v>5.6846000000000005</v>
      </c>
      <c r="BG22" s="780">
        <f>InputQ!BG5/1000</f>
        <v>5.7126999999999999</v>
      </c>
      <c r="BH22" s="780">
        <f>InputQ!BH5/1000</f>
        <v>5.6909000000000001</v>
      </c>
      <c r="BI22" s="780">
        <f>InputQ!BI5/1000</f>
        <v>5.5774999999999997</v>
      </c>
      <c r="BJ22" s="1589">
        <f>InputQ!BJ5/1000</f>
        <v>5.4523999999999999</v>
      </c>
      <c r="BK22" s="1589">
        <f>InputQ!BK5/1000</f>
        <v>4.8150000000000004</v>
      </c>
      <c r="BL22" s="1589">
        <f>InputQ!BL5/1000</f>
        <v>4.7298999999999998</v>
      </c>
      <c r="BM22" s="1589">
        <f>InputQ!BM5/1000</f>
        <v>4.6168000000000005</v>
      </c>
      <c r="BN22" s="1589">
        <f>InputQ!BN5/1000</f>
        <v>4.4176000000000002</v>
      </c>
      <c r="BO22" s="1589">
        <f>InputQ!BO5/1000</f>
        <v>4.4471999999999996</v>
      </c>
      <c r="BP22" s="1589">
        <f>InputQ!BP5/1000</f>
        <v>4.4169999999999998</v>
      </c>
      <c r="BQ22" s="1589">
        <f>InputQ!BQ5/1000</f>
        <v>4.5338000000000003</v>
      </c>
      <c r="BR22" s="1589">
        <f>InputQ!BR5/1000</f>
        <v>4.5543999999999993</v>
      </c>
      <c r="BS22" s="1589">
        <f>InputQ!BS5/1000</f>
        <v>4.6109</v>
      </c>
      <c r="BT22" s="1589">
        <f>InputQ!BT5/1000</f>
        <v>4.6718000000000002</v>
      </c>
      <c r="BU22" s="1589">
        <f>InputQ!BU5/1000</f>
        <v>4.7290000000000001</v>
      </c>
      <c r="BV22" s="3180">
        <f>InputQ!BV5/1000</f>
        <v>4.7896999999999998</v>
      </c>
      <c r="BW22" s="3180">
        <f>InputQ!BW5/1000</f>
        <v>4.7778</v>
      </c>
      <c r="BX22" s="3180">
        <f>InputQ!BX5/1000</f>
        <v>4.7877000000000001</v>
      </c>
      <c r="BY22" s="3180">
        <f>InputQ!BY5/1000</f>
        <v>4.8163999999999998</v>
      </c>
      <c r="BZ22" s="3180">
        <f>InputQ!BZ5/1000</f>
        <v>4.8941000000000008</v>
      </c>
      <c r="CA22" s="3180">
        <f>InputQ!CA5/1000</f>
        <v>4.984</v>
      </c>
      <c r="CB22" s="3180">
        <f>InputQ!CB5/1000</f>
        <v>5.0129999999999999</v>
      </c>
      <c r="CC22" s="3180">
        <f>InputQ!CC5/1000</f>
        <v>5.0828999999999995</v>
      </c>
      <c r="CD22" s="3180">
        <f>InputQ!CD5/1000</f>
        <v>5.1372</v>
      </c>
      <c r="CE22" s="3180">
        <f>InputQ!CE5/1000</f>
        <v>5.2076000000000002</v>
      </c>
      <c r="CF22" s="3180">
        <f>InputQ!CF5/1000</f>
        <v>5.2261999999999995</v>
      </c>
      <c r="CG22" s="3180">
        <f>InputQ!CG5/1000</f>
        <v>5.2426000000000004</v>
      </c>
      <c r="CH22" s="3180">
        <f>InputQ!CH5/1000</f>
        <v>5.3221000000000007</v>
      </c>
      <c r="CI22" s="3180">
        <f>InputQ!CI5/1000</f>
        <v>5.3858999999999995</v>
      </c>
      <c r="CJ22" s="3180">
        <f>InputQ!CJ5/1000</f>
        <v>5.4008000000000003</v>
      </c>
      <c r="CK22" s="3180">
        <f>InputQ!CK5/1000</f>
        <v>5.5136000000000003</v>
      </c>
      <c r="CL22" s="3180">
        <f>InputQ!CL5/1000</f>
        <v>5.5389999999999997</v>
      </c>
      <c r="CM22" s="3180">
        <f>InputQ!CM5/1000</f>
        <v>5.5525000000000002</v>
      </c>
      <c r="CN22" s="3180">
        <f>InputQ!CN5/1000</f>
        <v>5.6966999999999999</v>
      </c>
      <c r="CO22" s="3180">
        <f>InputQ!CO5/1000</f>
        <v>5.7766999999999999</v>
      </c>
      <c r="CP22" s="3180">
        <f>InputQ!CP5/1000</f>
        <v>5.8323999999999998</v>
      </c>
      <c r="CQ22" s="3180">
        <f>InputQ!CQ5/1000</f>
        <v>5.8741000000000003</v>
      </c>
      <c r="CR22" s="3180">
        <f>InputQ!CR5/1000</f>
        <v>5.9417</v>
      </c>
      <c r="CS22" s="3180">
        <f>InputQ!CS5/1000</f>
        <v>5.9403999999999995</v>
      </c>
      <c r="CT22" s="3180">
        <f>InputQ!CT5/1000</f>
        <v>6.0448000000000004</v>
      </c>
      <c r="CU22" s="1591">
        <f>CT22*(1+CU27/100)</f>
        <v>6.0901360000000011</v>
      </c>
      <c r="CV22" s="1591">
        <f t="shared" ref="CV22:CX22" si="71">CU22*(1+CV27/100)</f>
        <v>6.1358120200000013</v>
      </c>
      <c r="CW22" s="1591">
        <f t="shared" si="71"/>
        <v>6.1818306101500013</v>
      </c>
      <c r="CX22" s="1591">
        <f t="shared" si="71"/>
        <v>6.2281943397261266</v>
      </c>
      <c r="CY22" s="1591">
        <f t="shared" ref="CY22" si="72">CX22*(1+CY27/100)</f>
        <v>6.2805111721798257</v>
      </c>
      <c r="CZ22" s="1591">
        <f t="shared" ref="CZ22" si="73">CY22*(1+CZ27/100)</f>
        <v>6.3332674660261361</v>
      </c>
      <c r="DA22" s="1591">
        <f t="shared" ref="DA22" si="74">CZ22*(1+DA27/100)</f>
        <v>6.3864669127407554</v>
      </c>
      <c r="DB22" s="1591">
        <f t="shared" ref="DB22" si="75">DA22*(1+DB27/100)</f>
        <v>6.4401132348077779</v>
      </c>
      <c r="DC22"/>
      <c r="DD22"/>
      <c r="DE22"/>
      <c r="DF22"/>
      <c r="DG22"/>
      <c r="DH22"/>
      <c r="DI22"/>
      <c r="DJ22"/>
      <c r="DK22"/>
      <c r="DL22"/>
      <c r="DM22"/>
      <c r="DN22"/>
      <c r="DO22"/>
    </row>
    <row r="23" spans="1:119" s="26" customFormat="1">
      <c r="A23" s="673"/>
      <c r="B23" s="673"/>
      <c r="C23" s="687"/>
      <c r="D23" s="683"/>
      <c r="E23" s="684" t="s">
        <v>266</v>
      </c>
      <c r="F23" s="685"/>
      <c r="G23" s="1570"/>
      <c r="H23" s="1571"/>
      <c r="I23" s="1571"/>
      <c r="J23" s="1575">
        <f>SUM(G22:J22)</f>
        <v>6.7358375810936053</v>
      </c>
      <c r="K23" s="1570"/>
      <c r="L23" s="1571"/>
      <c r="M23" s="1571"/>
      <c r="N23" s="1575">
        <f>SUM(K22:N22)</f>
        <v>7.1489515755329016</v>
      </c>
      <c r="O23" s="1570"/>
      <c r="P23" s="1571"/>
      <c r="Q23" s="1571"/>
      <c r="R23" s="1575">
        <f>SUM(O22:R22)</f>
        <v>7.5773864689527342</v>
      </c>
      <c r="S23" s="1570"/>
      <c r="T23" s="1571"/>
      <c r="U23" s="1571"/>
      <c r="V23" s="1575">
        <f>SUM(S22:V22)</f>
        <v>7.9366311399443923</v>
      </c>
      <c r="W23" s="1570"/>
      <c r="X23" s="1571"/>
      <c r="Y23" s="1571"/>
      <c r="Z23" s="1575">
        <f>SUM(W22:Z22)</f>
        <v>8.3316149212233555</v>
      </c>
      <c r="AA23" s="1570"/>
      <c r="AB23" s="1571"/>
      <c r="AC23" s="1571"/>
      <c r="AD23" s="1575">
        <f>SUM(AA22:AD22)</f>
        <v>8.8818350324374418</v>
      </c>
      <c r="AE23" s="1570"/>
      <c r="AF23" s="1571"/>
      <c r="AG23" s="1571"/>
      <c r="AH23" s="1575">
        <f>SUM(AE22:AH22)</f>
        <v>9.2871872103799831</v>
      </c>
      <c r="AI23" s="1570"/>
      <c r="AJ23" s="1571"/>
      <c r="AK23" s="1571"/>
      <c r="AL23" s="1575">
        <f>SUM(AI22:AL22)</f>
        <v>9.8597949490268775</v>
      </c>
      <c r="AM23" s="1570"/>
      <c r="AN23" s="1571"/>
      <c r="AO23" s="1571"/>
      <c r="AP23" s="1575">
        <f>SUM(AM22:AP22)</f>
        <v>10.966838507877664</v>
      </c>
      <c r="AQ23" s="1570"/>
      <c r="AR23" s="1571"/>
      <c r="AS23" s="1571"/>
      <c r="AT23" s="1575">
        <f>SUM(AQ22:AT22)</f>
        <v>12.209076691380908</v>
      </c>
      <c r="AU23" s="1570"/>
      <c r="AV23" s="1571"/>
      <c r="AW23" s="1571"/>
      <c r="AX23" s="1575">
        <f>SUM(AU22:AX22)</f>
        <v>17.645200000000003</v>
      </c>
      <c r="AY23" s="1570"/>
      <c r="AZ23" s="1571"/>
      <c r="BA23" s="1571"/>
      <c r="BB23" s="1575">
        <f>SUM(AY22:BB22)</f>
        <v>19.25</v>
      </c>
      <c r="BC23" s="1570"/>
      <c r="BD23" s="1571"/>
      <c r="BE23" s="1571"/>
      <c r="BF23" s="1575">
        <f>SUM(BC22:BF22)</f>
        <v>21.639699999999998</v>
      </c>
      <c r="BG23" s="1570"/>
      <c r="BH23" s="1571"/>
      <c r="BI23" s="1571"/>
      <c r="BJ23" s="1575">
        <f>SUM(BG22:BJ22)</f>
        <v>22.433500000000002</v>
      </c>
      <c r="BK23" s="1570"/>
      <c r="BL23" s="1571"/>
      <c r="BM23" s="1571"/>
      <c r="BN23" s="1575">
        <f>SUM(BK22:BN22)</f>
        <v>18.5793</v>
      </c>
      <c r="BO23" s="1570"/>
      <c r="BP23" s="1571"/>
      <c r="BQ23" s="1571"/>
      <c r="BR23" s="1575">
        <f>SUM(BO22:BR22)</f>
        <v>17.952399999999997</v>
      </c>
      <c r="BS23" s="1570"/>
      <c r="BT23" s="1571"/>
      <c r="BU23" s="1571"/>
      <c r="BV23" s="1575">
        <f>SUM(BS22:BV22)</f>
        <v>18.801400000000001</v>
      </c>
      <c r="BW23" s="1570"/>
      <c r="BX23" s="1571"/>
      <c r="BY23" s="1571"/>
      <c r="BZ23" s="1575">
        <f>SUM(BW22:BZ22)</f>
        <v>19.276</v>
      </c>
      <c r="CA23" s="1570"/>
      <c r="CB23" s="1571"/>
      <c r="CC23" s="1571"/>
      <c r="CD23" s="1575">
        <f>SUM(CA22:CD22)</f>
        <v>20.217099999999999</v>
      </c>
      <c r="CE23" s="1570"/>
      <c r="CF23" s="1571"/>
      <c r="CG23" s="1571"/>
      <c r="CH23" s="1575">
        <f>SUM(CE22:CH22)</f>
        <v>20.9985</v>
      </c>
      <c r="CI23" s="1570"/>
      <c r="CJ23" s="1571"/>
      <c r="CK23" s="1571"/>
      <c r="CL23" s="1575">
        <f>SUM(CI22:CL22)</f>
        <v>21.839300000000001</v>
      </c>
      <c r="CM23" s="1570"/>
      <c r="CN23" s="1571"/>
      <c r="CO23" s="1571"/>
      <c r="CP23" s="1575">
        <f>SUM(CM22:CP22)</f>
        <v>22.8583</v>
      </c>
      <c r="CQ23" s="1570"/>
      <c r="CR23" s="1571"/>
      <c r="CS23" s="1571"/>
      <c r="CT23" s="1616">
        <f>SUM(CQ22:CT22)</f>
        <v>23.801000000000002</v>
      </c>
      <c r="CU23" s="1570"/>
      <c r="CV23" s="1571"/>
      <c r="CW23" s="1571"/>
      <c r="CX23" s="1575">
        <f>SUM(CU22:CX22)</f>
        <v>24.635972969876132</v>
      </c>
      <c r="CY23" s="1570"/>
      <c r="CZ23" s="1571"/>
      <c r="DA23" s="1571"/>
      <c r="DB23" s="1575">
        <f>SUM(CY22:DB22)</f>
        <v>25.440358785754494</v>
      </c>
      <c r="DC23"/>
      <c r="DD23"/>
      <c r="DE23"/>
      <c r="DF23"/>
      <c r="DG23"/>
      <c r="DH23"/>
      <c r="DI23"/>
      <c r="DJ23"/>
      <c r="DK23"/>
      <c r="DL23"/>
      <c r="DM23"/>
      <c r="DN23"/>
      <c r="DO23"/>
    </row>
    <row r="24" spans="1:119" s="699" customFormat="1" ht="12.75" customHeight="1">
      <c r="A24" s="664"/>
      <c r="B24" s="664"/>
      <c r="C24" s="669"/>
      <c r="D24" s="679"/>
      <c r="E24" s="1572" t="s">
        <v>1847</v>
      </c>
      <c r="F24" s="679"/>
      <c r="G24" s="1573"/>
      <c r="H24" s="2839" t="s">
        <v>757</v>
      </c>
      <c r="I24" s="2840">
        <f ca="1">+J24/J23*100</f>
        <v>129.07572392114955</v>
      </c>
      <c r="J24" s="1574">
        <f ca="1">OFFSET('VVP2'!$G$7,0,(COLUMN()-10)/4)</f>
        <v>8.6943311199494193</v>
      </c>
      <c r="K24" s="1573"/>
      <c r="L24" s="2839" t="s">
        <v>757</v>
      </c>
      <c r="M24" s="2840">
        <f ca="1">+N24/N23*100</f>
        <v>129.49306321670281</v>
      </c>
      <c r="N24" s="1574">
        <f ca="1">OFFSET('VVP2'!$G$7,0,(COLUMN()-10)/4)</f>
        <v>9.2573963830362906</v>
      </c>
      <c r="O24" s="1573"/>
      <c r="P24" s="2839" t="s">
        <v>757</v>
      </c>
      <c r="Q24" s="2840">
        <f ca="1">+R24/R23*100</f>
        <v>129.03874916161635</v>
      </c>
      <c r="R24" s="1574">
        <f ca="1">OFFSET('VVP2'!$G$7,0,(COLUMN()-10)/4)</f>
        <v>9.7777647186781778</v>
      </c>
      <c r="S24" s="1573"/>
      <c r="T24" s="2839" t="s">
        <v>757</v>
      </c>
      <c r="U24" s="2840">
        <f ca="1">+V24/V23*100</f>
        <v>129.05633228633698</v>
      </c>
      <c r="V24" s="1574">
        <f ca="1">OFFSET('VVP2'!$G$7,0,(COLUMN()-10)/4)</f>
        <v>10.242725056307531</v>
      </c>
      <c r="W24" s="1573"/>
      <c r="X24" s="2839" t="s">
        <v>757</v>
      </c>
      <c r="Y24" s="2840">
        <f ca="1">+Z24/Z23*100</f>
        <v>129.04129741860578</v>
      </c>
      <c r="Z24" s="1574">
        <f ca="1">OFFSET('VVP2'!$G$7,0,(COLUMN()-10)/4)</f>
        <v>10.75122399026877</v>
      </c>
      <c r="AA24" s="1573"/>
      <c r="AB24" s="2839" t="s">
        <v>757</v>
      </c>
      <c r="AC24" s="2840">
        <f ca="1">+AD24/AD23*100</f>
        <v>129.49980413535184</v>
      </c>
      <c r="AD24" s="1574">
        <f ca="1">OFFSET('VVP2'!$G$7,0,(COLUMN()-10)/4)</f>
        <v>11.501958970631552</v>
      </c>
      <c r="AE24" s="1573"/>
      <c r="AF24" s="2839" t="s">
        <v>757</v>
      </c>
      <c r="AG24" s="2840">
        <f ca="1">+AH24/AH23*100</f>
        <v>129.05913489298752</v>
      </c>
      <c r="AH24" s="1574">
        <f ca="1">OFFSET('VVP2'!$G$7,0,(COLUMN()-10)/4)</f>
        <v>11.985963469608585</v>
      </c>
      <c r="AI24" s="1573"/>
      <c r="AJ24" s="2839" t="s">
        <v>757</v>
      </c>
      <c r="AK24" s="2840">
        <f ca="1">+AL24/AL23*100</f>
        <v>129.05747968209366</v>
      </c>
      <c r="AL24" s="1574">
        <f ca="1">OFFSET('VVP2'!$G$7,0,(COLUMN()-10)/4)</f>
        <v>12.72480286303646</v>
      </c>
      <c r="AM24" s="1573"/>
      <c r="AN24" s="2839" t="s">
        <v>757</v>
      </c>
      <c r="AO24" s="2840">
        <f ca="1">+AP24/AP23*100</f>
        <v>129.04186719568372</v>
      </c>
      <c r="AP24" s="1574">
        <f ca="1">OFFSET('VVP2'!$G$7,0,(COLUMN()-10)/4)</f>
        <v>14.1518131829006</v>
      </c>
      <c r="AQ24" s="1573"/>
      <c r="AR24" s="2839" t="s">
        <v>757</v>
      </c>
      <c r="AS24" s="2840">
        <f ca="1">+AT24/AT23*100</f>
        <v>129.45008373284625</v>
      </c>
      <c r="AT24" s="1574">
        <f ca="1">OFFSET('VVP2'!$G$7,0,(COLUMN()-10)/4)</f>
        <v>15.80466</v>
      </c>
      <c r="AU24" s="1573"/>
      <c r="AV24" s="2839" t="s">
        <v>757</v>
      </c>
      <c r="AW24" s="2840">
        <f ca="1">+AX24/AX23*100</f>
        <v>99.962936095935433</v>
      </c>
      <c r="AX24" s="1574">
        <f ca="1">OFFSET('VVP2'!$G$7,0,(COLUMN()-10)/4)</f>
        <v>17.638660000000002</v>
      </c>
      <c r="AY24" s="1573"/>
      <c r="AZ24" s="2839" t="s">
        <v>757</v>
      </c>
      <c r="BA24" s="2840">
        <f ca="1">+BB24/BB23*100</f>
        <v>99.965922077922073</v>
      </c>
      <c r="BB24" s="1574">
        <f ca="1">OFFSET('VVP2'!$G$7,0,(COLUMN()-10)/4)</f>
        <v>19.24344</v>
      </c>
      <c r="BC24" s="1573"/>
      <c r="BD24" s="2839" t="s">
        <v>757</v>
      </c>
      <c r="BE24" s="2840">
        <f ca="1">+BF24/BF23*100</f>
        <v>99.969592924116327</v>
      </c>
      <c r="BF24" s="1574">
        <f ca="1">OFFSET('VVP2'!$G$7,0,(COLUMN()-10)/4)</f>
        <v>21.633119999999998</v>
      </c>
      <c r="BG24" s="1573"/>
      <c r="BH24" s="2839" t="s">
        <v>757</v>
      </c>
      <c r="BI24" s="2840">
        <f ca="1">+BJ24/BJ23*100</f>
        <v>100.14843871888024</v>
      </c>
      <c r="BJ24" s="1574">
        <f ca="1">OFFSET('VVP2'!$G$7,0,(COLUMN()-10)/4)</f>
        <v>22.466799999999999</v>
      </c>
      <c r="BK24" s="1573"/>
      <c r="BL24" s="2839" t="s">
        <v>757</v>
      </c>
      <c r="BM24" s="2840">
        <f ca="1">+BN24/BN23*100</f>
        <v>99.941171088254123</v>
      </c>
      <c r="BN24" s="1574">
        <f ca="1">OFFSET('VVP2'!$G$7,0,(COLUMN()-10)/4)</f>
        <v>18.568369999999998</v>
      </c>
      <c r="BO24" s="1573"/>
      <c r="BP24" s="2839" t="s">
        <v>757</v>
      </c>
      <c r="BQ24" s="2840">
        <f ca="1">+BR24/BR23*100</f>
        <v>99.961787838951921</v>
      </c>
      <c r="BR24" s="1574">
        <f ca="1">OFFSET('VVP2'!$G$7,0,(COLUMN()-10)/4)</f>
        <v>17.945540000000001</v>
      </c>
      <c r="BS24" s="1573"/>
      <c r="BT24" s="2839" t="s">
        <v>757</v>
      </c>
      <c r="BU24" s="2840">
        <f ca="1">+BV24/BV23*100</f>
        <v>99.837299350048397</v>
      </c>
      <c r="BV24" s="1574">
        <f ca="1">OFFSET('VVP2'!$G$7,0,(COLUMN()-10)/4)</f>
        <v>18.770810000000001</v>
      </c>
      <c r="BW24" s="1573"/>
      <c r="BX24" s="2839" t="s">
        <v>757</v>
      </c>
      <c r="BY24" s="2840">
        <f ca="1">+BZ24/BZ23*100</f>
        <v>100.3926125752231</v>
      </c>
      <c r="BZ24" s="1574">
        <f ca="1">OFFSET('VVP2'!$G$7,0,(COLUMN()-10)/4)</f>
        <v>19.351680000000002</v>
      </c>
      <c r="CA24" s="1573"/>
      <c r="CB24" s="2839" t="s">
        <v>757</v>
      </c>
      <c r="CC24" s="2840">
        <f ca="1">+CD24/CD23*100</f>
        <v>99.848148349664413</v>
      </c>
      <c r="CD24" s="1574">
        <f ca="1">OFFSET('VVP2'!$G$7,0,(COLUMN()-10)/4)</f>
        <v>20.186400000000003</v>
      </c>
      <c r="CE24" s="1573"/>
      <c r="CF24" s="2839" t="s">
        <v>757</v>
      </c>
      <c r="CG24" s="2840">
        <f ca="1">+CH24/CH23*100</f>
        <v>99.945710407886267</v>
      </c>
      <c r="CH24" s="1574">
        <f ca="1">OFFSET('VVP2'!$G$7,0,(COLUMN()-10)/4)</f>
        <v>20.987099999999998</v>
      </c>
      <c r="CI24" s="1573"/>
      <c r="CJ24" s="2839" t="s">
        <v>757</v>
      </c>
      <c r="CK24" s="2840">
        <f ca="1">+CL24/CL23*100</f>
        <v>99.919182391377021</v>
      </c>
      <c r="CL24" s="1574">
        <f ca="1">OFFSET('VVP2'!$G$7,0,(COLUMN()-10)/4)</f>
        <v>21.821650000000002</v>
      </c>
      <c r="CM24" s="1573"/>
      <c r="CN24" s="2839" t="s">
        <v>757</v>
      </c>
      <c r="CO24" s="2840">
        <f ca="1">+CP24/CP23*100</f>
        <v>100.17643481798734</v>
      </c>
      <c r="CP24" s="1574">
        <f ca="1">OFFSET('VVP2'!$G$7,0,(COLUMN()-10)/4)</f>
        <v>22.898630000000001</v>
      </c>
      <c r="CQ24" s="1573"/>
      <c r="CR24" s="2839" t="s">
        <v>757</v>
      </c>
      <c r="CS24" s="2840">
        <f ca="1">+CT24/CT23*100</f>
        <v>99.952144867862685</v>
      </c>
      <c r="CT24" s="1617">
        <f ca="1">OFFSET('VVP2'!$G$7,0,(COLUMN()-10)/4)</f>
        <v>23.78961</v>
      </c>
      <c r="CU24" s="1573"/>
      <c r="CV24" s="2839" t="s">
        <v>757</v>
      </c>
      <c r="CW24" s="2840">
        <f ca="1">+CX24/CX23*100</f>
        <v>99.944282209219352</v>
      </c>
      <c r="CX24" s="1574">
        <f ca="1">OFFSET('VVP2'!$G$7,0,(COLUMN()-10)/4)</f>
        <v>24.622246349999998</v>
      </c>
      <c r="CY24" s="1573"/>
      <c r="CZ24" s="2839" t="s">
        <v>757</v>
      </c>
      <c r="DA24" s="2840">
        <f ca="1">+DB24/DB23*100</f>
        <v>99.978073004978128</v>
      </c>
      <c r="DB24" s="1574">
        <f ca="1">OFFSET('VVP2'!$G$7,0,(COLUMN()-10)/4)</f>
        <v>25.434780479549996</v>
      </c>
      <c r="DC24"/>
      <c r="DD24"/>
      <c r="DE24"/>
      <c r="DF24"/>
      <c r="DG24"/>
      <c r="DH24"/>
      <c r="DI24"/>
      <c r="DJ24"/>
      <c r="DK24"/>
      <c r="DL24"/>
      <c r="DM24"/>
      <c r="DN24"/>
      <c r="DO24"/>
    </row>
    <row r="25" spans="1:119">
      <c r="E25" s="599"/>
      <c r="F25" s="3617"/>
      <c r="AY25" s="217"/>
      <c r="BA25" s="217"/>
      <c r="BB25" s="217"/>
      <c r="BC25" s="217"/>
      <c r="BD25" s="217"/>
      <c r="BE25" s="217"/>
      <c r="BF25" s="217"/>
      <c r="BG25" s="217"/>
      <c r="BH25" s="217"/>
      <c r="BI25" s="217"/>
      <c r="BJ25" s="217"/>
      <c r="CM25" s="557"/>
      <c r="CN25" s="557"/>
      <c r="CO25" s="3426">
        <f>(CO22/CL22)^(1/3)-1</f>
        <v>1.410474850894694E-2</v>
      </c>
      <c r="CP25" s="557"/>
      <c r="CQ25" s="557"/>
      <c r="CR25" s="557"/>
      <c r="CS25" s="557"/>
      <c r="CT25" s="557"/>
      <c r="CU25" s="557"/>
      <c r="CV25" s="557"/>
      <c r="CW25" s="557"/>
      <c r="CX25" s="557"/>
      <c r="CY25" s="557"/>
      <c r="CZ25" s="557"/>
      <c r="DA25" s="557"/>
      <c r="DB25" s="557"/>
    </row>
    <row r="26" spans="1:119" s="699" customFormat="1" ht="12.75" customHeight="1">
      <c r="A26" s="664"/>
      <c r="C26" s="1553"/>
      <c r="D26" s="742"/>
      <c r="E26" s="3384" t="s">
        <v>762</v>
      </c>
      <c r="F26" s="3622"/>
      <c r="G26" s="1578" t="str">
        <f t="shared" ref="G26:N26" si="76">G21</f>
        <v>Q1</v>
      </c>
      <c r="H26" s="1579" t="str">
        <f t="shared" si="76"/>
        <v>Q2</v>
      </c>
      <c r="I26" s="1579" t="str">
        <f t="shared" si="76"/>
        <v>Q3</v>
      </c>
      <c r="J26" s="1580" t="str">
        <f t="shared" si="76"/>
        <v>Q4</v>
      </c>
      <c r="K26" s="1578" t="str">
        <f t="shared" si="76"/>
        <v>Q1</v>
      </c>
      <c r="L26" s="1579" t="str">
        <f t="shared" si="76"/>
        <v>Q2</v>
      </c>
      <c r="M26" s="1579" t="str">
        <f t="shared" si="76"/>
        <v>Q3</v>
      </c>
      <c r="N26" s="1580" t="str">
        <f t="shared" si="76"/>
        <v>Q4</v>
      </c>
      <c r="O26" s="1578" t="str">
        <f t="shared" ref="O26:AX26" si="77">O21</f>
        <v>Q1</v>
      </c>
      <c r="P26" s="1579" t="str">
        <f t="shared" si="77"/>
        <v>Q2</v>
      </c>
      <c r="Q26" s="1579" t="str">
        <f t="shared" si="77"/>
        <v>Q3</v>
      </c>
      <c r="R26" s="1580" t="str">
        <f t="shared" si="77"/>
        <v>Q4</v>
      </c>
      <c r="S26" s="1578" t="str">
        <f t="shared" si="77"/>
        <v>Q1</v>
      </c>
      <c r="T26" s="1579" t="str">
        <f t="shared" si="77"/>
        <v>Q2</v>
      </c>
      <c r="U26" s="1579" t="str">
        <f t="shared" si="77"/>
        <v>Q3</v>
      </c>
      <c r="V26" s="1580" t="str">
        <f t="shared" si="77"/>
        <v>Q4</v>
      </c>
      <c r="W26" s="1578" t="str">
        <f t="shared" si="77"/>
        <v>Q1</v>
      </c>
      <c r="X26" s="1579" t="str">
        <f t="shared" si="77"/>
        <v>Q2</v>
      </c>
      <c r="Y26" s="1579" t="str">
        <f t="shared" si="77"/>
        <v>Q3</v>
      </c>
      <c r="Z26" s="1580" t="str">
        <f t="shared" si="77"/>
        <v>Q4</v>
      </c>
      <c r="AA26" s="1578" t="str">
        <f t="shared" si="77"/>
        <v>Q1</v>
      </c>
      <c r="AB26" s="1579" t="str">
        <f t="shared" si="77"/>
        <v>Q2</v>
      </c>
      <c r="AC26" s="1579" t="str">
        <f t="shared" si="77"/>
        <v>Q3</v>
      </c>
      <c r="AD26" s="1580" t="str">
        <f t="shared" si="77"/>
        <v>Q4</v>
      </c>
      <c r="AE26" s="1578" t="str">
        <f t="shared" si="77"/>
        <v>Q1</v>
      </c>
      <c r="AF26" s="1579" t="str">
        <f t="shared" si="77"/>
        <v>Q2</v>
      </c>
      <c r="AG26" s="1579" t="str">
        <f t="shared" si="77"/>
        <v>Q3</v>
      </c>
      <c r="AH26" s="1580" t="str">
        <f t="shared" si="77"/>
        <v>Q4</v>
      </c>
      <c r="AI26" s="1578" t="str">
        <f t="shared" si="77"/>
        <v>Q1</v>
      </c>
      <c r="AJ26" s="1579" t="str">
        <f t="shared" si="77"/>
        <v>Q2</v>
      </c>
      <c r="AK26" s="1579" t="str">
        <f t="shared" si="77"/>
        <v>Q3</v>
      </c>
      <c r="AL26" s="1580" t="str">
        <f t="shared" si="77"/>
        <v>Q4</v>
      </c>
      <c r="AM26" s="1578" t="str">
        <f t="shared" si="77"/>
        <v>Q1</v>
      </c>
      <c r="AN26" s="1579" t="str">
        <f t="shared" si="77"/>
        <v>Q2</v>
      </c>
      <c r="AO26" s="1579" t="str">
        <f t="shared" si="77"/>
        <v>Q3</v>
      </c>
      <c r="AP26" s="1580" t="str">
        <f t="shared" si="77"/>
        <v>Q4</v>
      </c>
      <c r="AQ26" s="1578" t="str">
        <f t="shared" si="77"/>
        <v>Q1</v>
      </c>
      <c r="AR26" s="1579" t="str">
        <f t="shared" si="77"/>
        <v>Q2</v>
      </c>
      <c r="AS26" s="1579" t="str">
        <f t="shared" si="77"/>
        <v>Q3</v>
      </c>
      <c r="AT26" s="1580" t="str">
        <f t="shared" si="77"/>
        <v>Q4</v>
      </c>
      <c r="AU26" s="1578" t="str">
        <f t="shared" si="77"/>
        <v>Q1</v>
      </c>
      <c r="AV26" s="1579" t="str">
        <f t="shared" si="77"/>
        <v>Q2</v>
      </c>
      <c r="AW26" s="1579" t="str">
        <f t="shared" si="77"/>
        <v>Q3</v>
      </c>
      <c r="AX26" s="1580" t="str">
        <f t="shared" si="77"/>
        <v>Q4</v>
      </c>
      <c r="AY26" s="1578" t="str">
        <f t="shared" ref="AY26:BF26" si="78">AY21</f>
        <v>Q1</v>
      </c>
      <c r="AZ26" s="1579" t="str">
        <f t="shared" si="78"/>
        <v>Q2</v>
      </c>
      <c r="BA26" s="1579" t="str">
        <f t="shared" si="78"/>
        <v>Q3</v>
      </c>
      <c r="BB26" s="1580" t="str">
        <f t="shared" si="78"/>
        <v>Q4</v>
      </c>
      <c r="BC26" s="1578" t="str">
        <f t="shared" si="78"/>
        <v>Q1</v>
      </c>
      <c r="BD26" s="1579" t="str">
        <f t="shared" si="78"/>
        <v>Q2</v>
      </c>
      <c r="BE26" s="1579" t="str">
        <f t="shared" si="78"/>
        <v>Q3</v>
      </c>
      <c r="BF26" s="1580" t="str">
        <f t="shared" si="78"/>
        <v>Q4</v>
      </c>
      <c r="BG26" s="1578" t="str">
        <f t="shared" ref="BG26:BN26" si="79">BG21</f>
        <v>Q1</v>
      </c>
      <c r="BH26" s="1579" t="str">
        <f t="shared" si="79"/>
        <v>Q2</v>
      </c>
      <c r="BI26" s="1579" t="str">
        <f t="shared" si="79"/>
        <v>Q3</v>
      </c>
      <c r="BJ26" s="1580" t="str">
        <f t="shared" si="79"/>
        <v>Q4</v>
      </c>
      <c r="BK26" s="1579" t="str">
        <f t="shared" si="79"/>
        <v>Q1</v>
      </c>
      <c r="BL26" s="1579" t="str">
        <f t="shared" si="79"/>
        <v>Q2</v>
      </c>
      <c r="BM26" s="1579" t="str">
        <f t="shared" si="79"/>
        <v>Q3</v>
      </c>
      <c r="BN26" s="1579" t="str">
        <f t="shared" si="79"/>
        <v>Q4</v>
      </c>
      <c r="BO26" s="1579" t="str">
        <f t="shared" ref="BO26:BZ26" si="80">BO21</f>
        <v>Q1</v>
      </c>
      <c r="BP26" s="1579" t="str">
        <f t="shared" si="80"/>
        <v>Q2</v>
      </c>
      <c r="BQ26" s="1579" t="str">
        <f t="shared" si="80"/>
        <v>Q3</v>
      </c>
      <c r="BR26" s="1579" t="str">
        <f t="shared" si="80"/>
        <v>Q4</v>
      </c>
      <c r="BS26" s="1579" t="str">
        <f>BS21</f>
        <v>Q1</v>
      </c>
      <c r="BT26" s="1579" t="str">
        <f>BT21</f>
        <v>Q2</v>
      </c>
      <c r="BU26" s="1579" t="str">
        <f>BU21</f>
        <v>Q3</v>
      </c>
      <c r="BV26" s="1579" t="str">
        <f>BV21</f>
        <v>Q4</v>
      </c>
      <c r="BW26" s="1579" t="str">
        <f t="shared" si="80"/>
        <v>Q1</v>
      </c>
      <c r="BX26" s="1579" t="str">
        <f t="shared" si="80"/>
        <v>Q2</v>
      </c>
      <c r="BY26" s="1579" t="str">
        <f t="shared" si="80"/>
        <v>Q3</v>
      </c>
      <c r="BZ26" s="1579" t="str">
        <f t="shared" si="80"/>
        <v>Q4</v>
      </c>
      <c r="CA26" s="1579" t="str">
        <f t="shared" ref="CA26:CH26" si="81">CA21</f>
        <v>Q1</v>
      </c>
      <c r="CB26" s="1579" t="str">
        <f t="shared" si="81"/>
        <v>Q2</v>
      </c>
      <c r="CC26" s="1579" t="str">
        <f t="shared" si="81"/>
        <v>Q3</v>
      </c>
      <c r="CD26" s="1579" t="str">
        <f t="shared" si="81"/>
        <v>Q4</v>
      </c>
      <c r="CE26" s="1579" t="str">
        <f t="shared" si="81"/>
        <v>Q1</v>
      </c>
      <c r="CF26" s="1579" t="str">
        <f t="shared" si="81"/>
        <v>Q2</v>
      </c>
      <c r="CG26" s="1579" t="str">
        <f t="shared" si="81"/>
        <v>Q3</v>
      </c>
      <c r="CH26" s="1579" t="str">
        <f t="shared" si="81"/>
        <v>Q4</v>
      </c>
      <c r="CI26" s="1579" t="str">
        <f t="shared" ref="CI26:CP26" si="82">CI21</f>
        <v>Q1</v>
      </c>
      <c r="CJ26" s="1579" t="str">
        <f t="shared" si="82"/>
        <v>Q2</v>
      </c>
      <c r="CK26" s="1579" t="str">
        <f t="shared" si="82"/>
        <v>Q3</v>
      </c>
      <c r="CL26" s="1579" t="str">
        <f t="shared" si="82"/>
        <v>Q4</v>
      </c>
      <c r="CM26" s="1579" t="str">
        <f t="shared" si="82"/>
        <v>Q1</v>
      </c>
      <c r="CN26" s="1579" t="str">
        <f t="shared" si="82"/>
        <v>Q2</v>
      </c>
      <c r="CO26" s="1579" t="str">
        <f t="shared" si="82"/>
        <v>Q3</v>
      </c>
      <c r="CP26" s="1579" t="str">
        <f t="shared" si="82"/>
        <v>Q4</v>
      </c>
      <c r="CQ26" s="1579" t="str">
        <f t="shared" ref="CQ26:CX26" si="83">CQ21</f>
        <v>Q1</v>
      </c>
      <c r="CR26" s="1579" t="str">
        <f t="shared" si="83"/>
        <v>Q2</v>
      </c>
      <c r="CS26" s="1579" t="str">
        <f t="shared" si="83"/>
        <v>Q3</v>
      </c>
      <c r="CT26" s="1579" t="str">
        <f t="shared" si="83"/>
        <v>Q4</v>
      </c>
      <c r="CU26" s="1579" t="str">
        <f t="shared" si="83"/>
        <v>Q1</v>
      </c>
      <c r="CV26" s="1579" t="str">
        <f t="shared" si="83"/>
        <v>Q2</v>
      </c>
      <c r="CW26" s="1579" t="str">
        <f t="shared" si="83"/>
        <v>Q3</v>
      </c>
      <c r="CX26" s="1579" t="str">
        <f t="shared" si="83"/>
        <v>Q4</v>
      </c>
      <c r="CY26" s="1579" t="str">
        <f t="shared" ref="CY26:DB26" si="84">CY21</f>
        <v>Q1</v>
      </c>
      <c r="CZ26" s="1579" t="str">
        <f t="shared" si="84"/>
        <v>Q2</v>
      </c>
      <c r="DA26" s="1579" t="str">
        <f t="shared" si="84"/>
        <v>Q3</v>
      </c>
      <c r="DB26" s="1579" t="str">
        <f t="shared" si="84"/>
        <v>Q4</v>
      </c>
      <c r="DC26"/>
      <c r="DD26"/>
      <c r="DE26"/>
      <c r="DF26"/>
      <c r="DG26"/>
      <c r="DH26"/>
      <c r="DI26"/>
      <c r="DJ26"/>
      <c r="DK26"/>
      <c r="DL26"/>
      <c r="DM26"/>
      <c r="DN26"/>
      <c r="DO26"/>
    </row>
    <row r="27" spans="1:119" s="699" customFormat="1" ht="12.75" customHeight="1">
      <c r="B27" s="664"/>
      <c r="C27" s="1576"/>
      <c r="D27" s="689"/>
      <c r="E27" s="3623" t="str">
        <f>E22</f>
        <v xml:space="preserve">Household final consumption expenditure (domestic HH + NPISH)            </v>
      </c>
      <c r="F27" s="3624" t="s">
        <v>563</v>
      </c>
      <c r="G27" s="1569"/>
      <c r="H27" s="978">
        <f t="shared" ref="H27:AX27" si="85">(H22/G22-1)*100</f>
        <v>2.6037399821905449</v>
      </c>
      <c r="I27" s="978">
        <f t="shared" si="85"/>
        <v>2.2825105880719398</v>
      </c>
      <c r="J27" s="978">
        <f t="shared" si="85"/>
        <v>1.6274373377229479</v>
      </c>
      <c r="K27" s="978">
        <f t="shared" si="85"/>
        <v>1.1238018902581581</v>
      </c>
      <c r="L27" s="978">
        <f t="shared" si="85"/>
        <v>1.3111180831915981</v>
      </c>
      <c r="M27" s="978">
        <f t="shared" si="85"/>
        <v>0.19069972128500368</v>
      </c>
      <c r="N27" s="1590">
        <f t="shared" si="85"/>
        <v>3.232471124125591</v>
      </c>
      <c r="O27" s="978">
        <f t="shared" si="85"/>
        <v>1.6562396583513106</v>
      </c>
      <c r="P27" s="978">
        <f t="shared" si="85"/>
        <v>-0.17052148570718684</v>
      </c>
      <c r="Q27" s="978">
        <f t="shared" si="85"/>
        <v>2.158452125842425</v>
      </c>
      <c r="R27" s="1590">
        <f t="shared" si="85"/>
        <v>1.7480391560770858</v>
      </c>
      <c r="S27" s="978">
        <f t="shared" si="85"/>
        <v>1.3475156114613585</v>
      </c>
      <c r="T27" s="978">
        <f t="shared" si="85"/>
        <v>-0.83431603773584939</v>
      </c>
      <c r="U27" s="978">
        <f t="shared" si="85"/>
        <v>3.0502125635461175</v>
      </c>
      <c r="V27" s="1590">
        <f t="shared" si="85"/>
        <v>0.38946427025934316</v>
      </c>
      <c r="W27" s="978">
        <f t="shared" si="85"/>
        <v>-0.51583424334731287</v>
      </c>
      <c r="X27" s="978">
        <f t="shared" si="85"/>
        <v>4.4730418706760977</v>
      </c>
      <c r="Y27" s="978">
        <f t="shared" si="85"/>
        <v>1.1032156385655245</v>
      </c>
      <c r="Z27" s="1590">
        <f t="shared" si="85"/>
        <v>-0.22014986599570019</v>
      </c>
      <c r="AA27" s="978">
        <f t="shared" si="85"/>
        <v>1.9062367241780676</v>
      </c>
      <c r="AB27" s="978">
        <f t="shared" si="85"/>
        <v>3.1239073720448651</v>
      </c>
      <c r="AC27" s="978">
        <f t="shared" si="85"/>
        <v>0.9063050140184048</v>
      </c>
      <c r="AD27" s="1590">
        <f t="shared" si="85"/>
        <v>1.1178599121219879</v>
      </c>
      <c r="AE27" s="978">
        <f t="shared" si="85"/>
        <v>2.1701067160841081</v>
      </c>
      <c r="AF27" s="978">
        <f t="shared" si="85"/>
        <v>-1.4860588169070654</v>
      </c>
      <c r="AG27" s="978">
        <f t="shared" si="85"/>
        <v>1.8182972509682038</v>
      </c>
      <c r="AH27" s="1590">
        <f t="shared" si="85"/>
        <v>1.9903475625724809</v>
      </c>
      <c r="AI27" s="978">
        <f t="shared" si="85"/>
        <v>2.0334299304256342</v>
      </c>
      <c r="AJ27" s="978">
        <f t="shared" si="85"/>
        <v>1.1624283968075133</v>
      </c>
      <c r="AK27" s="978">
        <f t="shared" si="85"/>
        <v>1.3172858225928508</v>
      </c>
      <c r="AL27" s="1590">
        <f t="shared" si="85"/>
        <v>1.778364979889635</v>
      </c>
      <c r="AM27" s="978">
        <f t="shared" si="85"/>
        <v>5.3751335454743865</v>
      </c>
      <c r="AN27" s="978">
        <f t="shared" si="85"/>
        <v>2.0462672248386715</v>
      </c>
      <c r="AO27" s="978">
        <f t="shared" si="85"/>
        <v>1.04054270605205</v>
      </c>
      <c r="AP27" s="1590">
        <f t="shared" si="85"/>
        <v>4.4111272058279472</v>
      </c>
      <c r="AQ27" s="978">
        <f t="shared" si="85"/>
        <v>1.890613765936533</v>
      </c>
      <c r="AR27" s="978">
        <f t="shared" si="85"/>
        <v>3.5739132163231213</v>
      </c>
      <c r="AS27" s="978">
        <f t="shared" si="85"/>
        <v>3.2826683554992631</v>
      </c>
      <c r="AT27" s="1590">
        <f t="shared" si="85"/>
        <v>1.3499326427277136</v>
      </c>
      <c r="AU27" s="978">
        <f t="shared" si="85"/>
        <v>31.717761806981535</v>
      </c>
      <c r="AV27" s="978">
        <f t="shared" si="85"/>
        <v>5.4211221915174912</v>
      </c>
      <c r="AW27" s="978">
        <f t="shared" si="85"/>
        <v>1.5591165006496155</v>
      </c>
      <c r="AX27" s="1590">
        <f t="shared" si="85"/>
        <v>4.1656379755358852</v>
      </c>
      <c r="AY27" s="978">
        <f t="shared" ref="AY27:BF27" si="86">(AY22/AX22-1)*100</f>
        <v>-3.0229902393829167</v>
      </c>
      <c r="AZ27" s="978">
        <f t="shared" si="86"/>
        <v>4.8791325986491163</v>
      </c>
      <c r="BA27" s="978">
        <f t="shared" si="86"/>
        <v>6.0079654266587568</v>
      </c>
      <c r="BB27" s="1590">
        <f t="shared" si="86"/>
        <v>0.41566746602719196</v>
      </c>
      <c r="BC27" s="978">
        <f t="shared" si="86"/>
        <v>3.5344690335933793</v>
      </c>
      <c r="BD27" s="978">
        <f t="shared" si="86"/>
        <v>3.1254805474396408</v>
      </c>
      <c r="BE27" s="978">
        <f t="shared" si="86"/>
        <v>0.42311276794033681</v>
      </c>
      <c r="BF27" s="1590">
        <f t="shared" si="86"/>
        <v>5.5107002988288301</v>
      </c>
      <c r="BG27" s="978">
        <f t="shared" ref="BG27:BM27" si="87">(BG22/BF22-1)*100</f>
        <v>0.49431798191603704</v>
      </c>
      <c r="BH27" s="978">
        <f t="shared" si="87"/>
        <v>-0.38160589563603908</v>
      </c>
      <c r="BI27" s="978">
        <f t="shared" si="87"/>
        <v>-1.9926549403433635</v>
      </c>
      <c r="BJ27" s="1590">
        <f t="shared" si="87"/>
        <v>-2.2429403854773655</v>
      </c>
      <c r="BK27" s="1590">
        <f t="shared" si="87"/>
        <v>-11.69026483750274</v>
      </c>
      <c r="BL27" s="1590">
        <f t="shared" si="87"/>
        <v>-1.7673935617861014</v>
      </c>
      <c r="BM27" s="1590">
        <f t="shared" si="87"/>
        <v>-2.3911710606989378</v>
      </c>
      <c r="BN27" s="1590">
        <f t="shared" ref="BN27:CE27" si="88">(BN22/BM22-1)*100</f>
        <v>-4.3146768324380584</v>
      </c>
      <c r="BO27" s="1590">
        <f t="shared" si="88"/>
        <v>0.67004708438969107</v>
      </c>
      <c r="BP27" s="1590">
        <f t="shared" si="88"/>
        <v>-0.67907897103794967</v>
      </c>
      <c r="BQ27" s="1590">
        <f t="shared" si="88"/>
        <v>2.644328729907186</v>
      </c>
      <c r="BR27" s="1590">
        <f t="shared" si="88"/>
        <v>0.45436499183906243</v>
      </c>
      <c r="BS27" s="1590">
        <f t="shared" si="88"/>
        <v>1.2405585807131692</v>
      </c>
      <c r="BT27" s="1590">
        <f t="shared" si="88"/>
        <v>1.3207833611659447</v>
      </c>
      <c r="BU27" s="1590">
        <f t="shared" si="88"/>
        <v>1.224367481484645</v>
      </c>
      <c r="BV27" s="1590">
        <f t="shared" si="88"/>
        <v>1.2835694650031648</v>
      </c>
      <c r="BW27" s="1590">
        <f t="shared" si="88"/>
        <v>-0.24844979852599591</v>
      </c>
      <c r="BX27" s="1590">
        <f t="shared" si="88"/>
        <v>0.2072083385658674</v>
      </c>
      <c r="BY27" s="1590">
        <f t="shared" si="88"/>
        <v>0.59945276437536332</v>
      </c>
      <c r="BZ27" s="1590">
        <f t="shared" si="88"/>
        <v>1.6132381031475962</v>
      </c>
      <c r="CA27" s="1590">
        <f t="shared" si="88"/>
        <v>1.8369056619194302</v>
      </c>
      <c r="CB27" s="1590">
        <f t="shared" si="88"/>
        <v>0.58186195826646081</v>
      </c>
      <c r="CC27" s="1590">
        <f t="shared" si="88"/>
        <v>1.3943746259724721</v>
      </c>
      <c r="CD27" s="1590">
        <f t="shared" si="88"/>
        <v>1.0682877884672148</v>
      </c>
      <c r="CE27" s="1590">
        <f t="shared" si="88"/>
        <v>1.3703963248462347</v>
      </c>
      <c r="CF27" s="1590">
        <f t="shared" ref="CF27:CL27" si="89">(CF22/CE22-1)*100</f>
        <v>0.35717028957675812</v>
      </c>
      <c r="CG27" s="1590">
        <f t="shared" si="89"/>
        <v>0.31380352837626635</v>
      </c>
      <c r="CH27" s="1590">
        <f t="shared" si="89"/>
        <v>1.5164231488193014</v>
      </c>
      <c r="CI27" s="1590">
        <f t="shared" si="89"/>
        <v>1.1987749196745501</v>
      </c>
      <c r="CJ27" s="1590">
        <f t="shared" si="89"/>
        <v>0.27664828533766617</v>
      </c>
      <c r="CK27" s="1590">
        <f t="shared" si="89"/>
        <v>2.0885794697081961</v>
      </c>
      <c r="CL27" s="1590">
        <f t="shared" si="89"/>
        <v>0.46067904817177485</v>
      </c>
      <c r="CM27" s="1590">
        <f>(CM22/CL22-1)*100</f>
        <v>0.24372630438709297</v>
      </c>
      <c r="CN27" s="1590">
        <f>(CN22/CM22-1)*100</f>
        <v>2.5970283656010729</v>
      </c>
      <c r="CO27" s="1590">
        <f>(CO22/CN22-1)*100</f>
        <v>1.4043218003405578</v>
      </c>
      <c r="CP27" s="1590">
        <f>(CP22/CO22-1)*100</f>
        <v>0.96421832534145935</v>
      </c>
      <c r="CQ27" s="1590">
        <f t="shared" ref="CQ27:CT27" si="90">(CQ22/CP22-1)*100</f>
        <v>0.71497153830328841</v>
      </c>
      <c r="CR27" s="1590">
        <f t="shared" si="90"/>
        <v>1.1508145928738056</v>
      </c>
      <c r="CS27" s="1590">
        <f t="shared" si="90"/>
        <v>-2.1879260144408441E-2</v>
      </c>
      <c r="CT27" s="1590">
        <f t="shared" si="90"/>
        <v>1.7574574102754204</v>
      </c>
      <c r="CU27" s="3269">
        <v>0.75</v>
      </c>
      <c r="CV27" s="3269">
        <v>0.75</v>
      </c>
      <c r="CW27" s="3269">
        <v>0.75</v>
      </c>
      <c r="CX27" s="3269">
        <v>0.75</v>
      </c>
      <c r="CY27" s="3269">
        <v>0.84</v>
      </c>
      <c r="CZ27" s="3269">
        <v>0.84</v>
      </c>
      <c r="DA27" s="3269">
        <v>0.84</v>
      </c>
      <c r="DB27" s="3269">
        <v>0.84</v>
      </c>
      <c r="DC27" s="3669"/>
      <c r="DD27"/>
      <c r="DE27"/>
      <c r="DF27"/>
      <c r="DG27"/>
      <c r="DH27"/>
      <c r="DI27"/>
      <c r="DJ27"/>
      <c r="DK27"/>
      <c r="DL27"/>
      <c r="DM27"/>
      <c r="DN27"/>
      <c r="DO27"/>
    </row>
    <row r="28" spans="1:119" s="26" customFormat="1">
      <c r="A28" s="673"/>
      <c r="B28" s="673"/>
      <c r="C28" s="1603"/>
      <c r="D28" s="1604"/>
      <c r="E28" s="1582" t="s">
        <v>763</v>
      </c>
      <c r="F28" s="1649"/>
      <c r="G28" s="1605"/>
      <c r="H28" s="1606"/>
      <c r="I28" s="1606"/>
      <c r="J28" s="1606"/>
      <c r="K28" s="1607"/>
      <c r="L28" s="1607"/>
      <c r="M28" s="1607"/>
      <c r="N28" s="1608">
        <f>N23/J23*100-100</f>
        <v>6.1330753520369825</v>
      </c>
      <c r="O28" s="1607"/>
      <c r="P28" s="1607"/>
      <c r="Q28" s="1607"/>
      <c r="R28" s="1608">
        <f>R23/N23*100-100</f>
        <v>5.9929751781525624</v>
      </c>
      <c r="S28" s="1607"/>
      <c r="T28" s="1607"/>
      <c r="U28" s="1607"/>
      <c r="V28" s="1608">
        <f>V23/R23*100-100</f>
        <v>4.7410102739726057</v>
      </c>
      <c r="W28" s="1607"/>
      <c r="X28" s="1607"/>
      <c r="Y28" s="1607"/>
      <c r="Z28" s="1608">
        <f>Z23/V23*100-100</f>
        <v>4.9767183873651817</v>
      </c>
      <c r="AA28" s="1607"/>
      <c r="AB28" s="1607"/>
      <c r="AC28" s="1607"/>
      <c r="AD28" s="1608">
        <f>AD23/Z23*100-100</f>
        <v>6.6040031424459613</v>
      </c>
      <c r="AE28" s="1607"/>
      <c r="AF28" s="1607"/>
      <c r="AG28" s="1607"/>
      <c r="AH28" s="1608">
        <f>AH23/AD23*100-100</f>
        <v>4.5638336724578892</v>
      </c>
      <c r="AI28" s="1607"/>
      <c r="AJ28" s="1607"/>
      <c r="AK28" s="1607"/>
      <c r="AL28" s="1608">
        <f>AL23/AH23*100-100</f>
        <v>6.1655668791397886</v>
      </c>
      <c r="AM28" s="1607"/>
      <c r="AN28" s="1607"/>
      <c r="AO28" s="1607"/>
      <c r="AP28" s="1608">
        <f>AP23/AL23*100-100</f>
        <v>11.227855797954973</v>
      </c>
      <c r="AQ28" s="1607"/>
      <c r="AR28" s="1607"/>
      <c r="AS28" s="1607"/>
      <c r="AT28" s="1608">
        <f>AT23/AP23*100-100</f>
        <v>11.327222358667214</v>
      </c>
      <c r="AU28" s="1607"/>
      <c r="AV28" s="1607"/>
      <c r="AW28" s="1607"/>
      <c r="AX28" s="1608">
        <f>AX23/AT23*100-100</f>
        <v>44.525261377518973</v>
      </c>
      <c r="AY28" s="1607"/>
      <c r="AZ28" s="1607"/>
      <c r="BA28" s="1607"/>
      <c r="BB28" s="1608">
        <f>BB23/AX23*100-100</f>
        <v>9.0948246548636149</v>
      </c>
      <c r="BC28" s="1607"/>
      <c r="BD28" s="1607"/>
      <c r="BE28" s="1607"/>
      <c r="BF28" s="1608">
        <f>BF23/BB23*100-100</f>
        <v>12.414025974025961</v>
      </c>
      <c r="BG28" s="1607"/>
      <c r="BH28" s="1607"/>
      <c r="BI28" s="1607"/>
      <c r="BJ28" s="1608">
        <f>BJ23/BF23*100-100</f>
        <v>3.6682578778818709</v>
      </c>
      <c r="BK28" s="1609"/>
      <c r="BL28" s="1609"/>
      <c r="BM28" s="1609"/>
      <c r="BN28" s="1610">
        <f>BN23/BJ23*100-100</f>
        <v>-17.180555865112453</v>
      </c>
      <c r="BO28" s="1609"/>
      <c r="BP28" s="1609"/>
      <c r="BQ28" s="1609"/>
      <c r="BR28" s="1610">
        <f>BR23/BN23*100-100</f>
        <v>-3.37418524917517</v>
      </c>
      <c r="BS28" s="1609"/>
      <c r="BT28" s="1609"/>
      <c r="BU28" s="1609"/>
      <c r="BV28" s="1610">
        <f>BV23/BR23*100-100</f>
        <v>4.7291727011430424</v>
      </c>
      <c r="BW28" s="1609"/>
      <c r="BX28" s="1609"/>
      <c r="BY28" s="1609"/>
      <c r="BZ28" s="1610">
        <f>BZ23/BV23*100-100</f>
        <v>2.5242801068005463</v>
      </c>
      <c r="CA28" s="1609"/>
      <c r="CB28" s="1609"/>
      <c r="CC28" s="1609"/>
      <c r="CD28" s="1610">
        <f>CD23/BZ23*100-100</f>
        <v>4.8822369786262669</v>
      </c>
      <c r="CE28" s="1609"/>
      <c r="CF28" s="1609"/>
      <c r="CG28" s="1609"/>
      <c r="CH28" s="1610">
        <f>CH23/CD23*100-100</f>
        <v>3.8650449372066333</v>
      </c>
      <c r="CI28" s="1609"/>
      <c r="CJ28" s="1609"/>
      <c r="CK28" s="1609"/>
      <c r="CL28" s="1610">
        <f>CL23/CH23*100-100</f>
        <v>4.0040955306331512</v>
      </c>
      <c r="CM28" s="1609"/>
      <c r="CN28" s="1609"/>
      <c r="CO28" s="1609"/>
      <c r="CP28" s="1610">
        <f>CP23/CL23*100-100</f>
        <v>4.6659004638427035</v>
      </c>
      <c r="CQ28" s="1609"/>
      <c r="CR28" s="1609"/>
      <c r="CS28" s="1609"/>
      <c r="CT28" s="1610">
        <f>CT23/CP23*100-100</f>
        <v>4.1241037172493122</v>
      </c>
      <c r="CU28" s="1609"/>
      <c r="CV28" s="1609"/>
      <c r="CW28" s="1609"/>
      <c r="CX28" s="3723">
        <f>CX23/CT23*100-100</f>
        <v>3.5081423884548002</v>
      </c>
      <c r="CY28" s="1609"/>
      <c r="CZ28" s="1609"/>
      <c r="DA28" s="1609"/>
      <c r="DB28" s="1610">
        <f>DB23/CX23*100-100</f>
        <v>3.2650864524893564</v>
      </c>
      <c r="DC28"/>
      <c r="DD28"/>
      <c r="DE28"/>
      <c r="DF28"/>
      <c r="DG28"/>
      <c r="DH28"/>
      <c r="DI28"/>
      <c r="DJ28"/>
      <c r="DK28"/>
      <c r="DL28"/>
      <c r="DM28"/>
      <c r="DN28"/>
      <c r="DO28"/>
    </row>
    <row r="29" spans="1:119" s="1600" customFormat="1" ht="12.75" customHeight="1">
      <c r="A29" s="998"/>
      <c r="B29" s="998"/>
      <c r="C29" s="1595"/>
      <c r="D29" s="1000"/>
      <c r="E29" s="1596" t="s">
        <v>1847</v>
      </c>
      <c r="F29" s="1000"/>
      <c r="G29" s="1597"/>
      <c r="H29" s="1597"/>
      <c r="I29" s="1597"/>
      <c r="J29" s="1598"/>
      <c r="K29" s="1597"/>
      <c r="L29" s="1597"/>
      <c r="M29" s="1597"/>
      <c r="N29" s="1599">
        <f ca="1">N24/J24*100-100</f>
        <v>6.4762344028386423</v>
      </c>
      <c r="O29" s="1597"/>
      <c r="P29" s="1597"/>
      <c r="Q29" s="1597"/>
      <c r="R29" s="1599">
        <f ca="1">R24/N24*100-100</f>
        <v>5.6211089393928972</v>
      </c>
      <c r="S29" s="1597"/>
      <c r="T29" s="1597"/>
      <c r="U29" s="1597"/>
      <c r="V29" s="1599">
        <f ca="1">V24/R24*100-100</f>
        <v>4.7552825314067348</v>
      </c>
      <c r="W29" s="1597"/>
      <c r="X29" s="1597"/>
      <c r="Y29" s="1597"/>
      <c r="Z29" s="1599">
        <f ca="1">Z24/V24*100-100</f>
        <v>4.9644887582733759</v>
      </c>
      <c r="AA29" s="1597"/>
      <c r="AB29" s="1597"/>
      <c r="AC29" s="1597"/>
      <c r="AD29" s="1599">
        <f ca="1">AD24/Z24*100-100</f>
        <v>6.9827861557185855</v>
      </c>
      <c r="AE29" s="1597"/>
      <c r="AF29" s="1597"/>
      <c r="AG29" s="1597"/>
      <c r="AH29" s="1599">
        <f ca="1">AH24/AD24*100-100</f>
        <v>4.2080179577484387</v>
      </c>
      <c r="AI29" s="1597"/>
      <c r="AJ29" s="1597"/>
      <c r="AK29" s="1597"/>
      <c r="AL29" s="1599">
        <f ca="1">AL24/AH24*100-100</f>
        <v>6.1642052831319347</v>
      </c>
      <c r="AM29" s="1597"/>
      <c r="AN29" s="1597"/>
      <c r="AO29" s="1597"/>
      <c r="AP29" s="1599">
        <f ca="1">AP24/AL24*100-100</f>
        <v>11.214400216834619</v>
      </c>
      <c r="AQ29" s="1597"/>
      <c r="AR29" s="1597"/>
      <c r="AS29" s="1597"/>
      <c r="AT29" s="1599">
        <f ca="1">AT24/AP24*100-100</f>
        <v>11.679399634080156</v>
      </c>
      <c r="AU29" s="1597"/>
      <c r="AV29" s="1597"/>
      <c r="AW29" s="1597"/>
      <c r="AX29" s="1599">
        <f ca="1">AX24/AT24*100-100</f>
        <v>11.604172440280294</v>
      </c>
      <c r="AY29" s="1597"/>
      <c r="AZ29" s="1597"/>
      <c r="BA29" s="1597"/>
      <c r="BB29" s="1599">
        <f ca="1">BB24/AX24*100-100</f>
        <v>9.0980834144997402</v>
      </c>
      <c r="BC29" s="1597"/>
      <c r="BD29" s="1597"/>
      <c r="BE29" s="1597"/>
      <c r="BF29" s="1599">
        <f ca="1">BF24/BB24*100-100</f>
        <v>12.418153926740743</v>
      </c>
      <c r="BG29" s="1597"/>
      <c r="BH29" s="1597"/>
      <c r="BI29" s="1597"/>
      <c r="BJ29" s="1599">
        <f ca="1">BJ24/BF24*100-100</f>
        <v>3.8537205913895036</v>
      </c>
      <c r="BK29" s="1611"/>
      <c r="BL29" s="1611"/>
      <c r="BM29" s="1597"/>
      <c r="BN29" s="1612">
        <f ca="1">BN24/BJ24*100-100</f>
        <v>-17.35195933555292</v>
      </c>
      <c r="BO29" s="1611"/>
      <c r="BP29" s="1611"/>
      <c r="BQ29" s="1597"/>
      <c r="BR29" s="1612">
        <f ca="1">BR24/BN24*100-100</f>
        <v>-3.3542524195715515</v>
      </c>
      <c r="BS29" s="1611"/>
      <c r="BT29" s="1611"/>
      <c r="BU29" s="1597"/>
      <c r="BV29" s="1612">
        <f ca="1">BV24/BR24*100-100</f>
        <v>4.5987470981647647</v>
      </c>
      <c r="BW29" s="1611"/>
      <c r="BX29" s="1611"/>
      <c r="BY29" s="1597"/>
      <c r="BZ29" s="1612">
        <f ca="1">BZ24/BV24*100-100</f>
        <v>3.0945388078617952</v>
      </c>
      <c r="CA29" s="1611"/>
      <c r="CB29" s="1611"/>
      <c r="CC29" s="1597"/>
      <c r="CD29" s="1612">
        <f ca="1">CD24/BZ24*100-100</f>
        <v>4.3134239507887742</v>
      </c>
      <c r="CE29" s="1611"/>
      <c r="CF29" s="1611"/>
      <c r="CG29" s="1597"/>
      <c r="CH29" s="1612">
        <f ca="1">CH24/CD24*100-100</f>
        <v>3.9665319224824458</v>
      </c>
      <c r="CI29" s="1611"/>
      <c r="CJ29" s="1611"/>
      <c r="CK29" s="1597"/>
      <c r="CL29" s="1612">
        <f ca="1">CL24/CH24*100-100</f>
        <v>3.9764903202443662</v>
      </c>
      <c r="CM29" s="1611"/>
      <c r="CN29" s="1611"/>
      <c r="CO29" s="1597"/>
      <c r="CP29" s="1612">
        <f ca="1">CP24/CL24*100-100</f>
        <v>4.9353738145373853</v>
      </c>
      <c r="CQ29" s="1611"/>
      <c r="CR29" s="1611"/>
      <c r="CS29" s="1597"/>
      <c r="CT29" s="1612">
        <f ca="1">CT24/CP24*100-100</f>
        <v>3.8909751369404972</v>
      </c>
      <c r="CU29" s="1611"/>
      <c r="CV29" s="1611"/>
      <c r="CW29" s="1597"/>
      <c r="CX29" s="3724">
        <f ca="1">CX24/CT24*100-100</f>
        <v>3.4999999999999858</v>
      </c>
      <c r="CY29" s="1611"/>
      <c r="CZ29" s="1611"/>
      <c r="DA29" s="1597"/>
      <c r="DB29" s="1612">
        <f ca="1">DB24/CX24*100-100</f>
        <v>3.2999999999999972</v>
      </c>
      <c r="DC29"/>
      <c r="DD29"/>
      <c r="DE29"/>
      <c r="DF29"/>
      <c r="DG29"/>
      <c r="DH29"/>
      <c r="DI29"/>
      <c r="DJ29"/>
      <c r="DK29"/>
      <c r="DL29"/>
      <c r="DM29"/>
      <c r="DN29"/>
      <c r="DO29"/>
    </row>
    <row r="30" spans="1:119" s="26" customFormat="1">
      <c r="A30" s="673"/>
      <c r="B30" s="673"/>
      <c r="C30" s="1007"/>
      <c r="D30" s="1007"/>
      <c r="F30" s="1601"/>
      <c r="BK30" s="1602"/>
      <c r="BL30" s="1602"/>
      <c r="BM30" s="1602"/>
      <c r="BN30" s="1602"/>
      <c r="BO30" s="1602"/>
      <c r="BP30" s="1602"/>
      <c r="BQ30" s="1602"/>
      <c r="BR30" s="1602"/>
      <c r="BS30" s="1602"/>
      <c r="BT30" s="1602"/>
      <c r="BU30" s="1602"/>
      <c r="BV30" s="1602"/>
      <c r="BW30" s="1602"/>
      <c r="BX30" s="1602"/>
      <c r="BY30" s="1602"/>
      <c r="BZ30" s="1602"/>
      <c r="CA30" s="1602"/>
      <c r="CB30" s="1602"/>
      <c r="CC30" s="1602"/>
      <c r="CD30" s="1602"/>
      <c r="CE30" s="1602"/>
      <c r="CF30" s="1602"/>
      <c r="CG30" s="1602"/>
      <c r="CH30" s="1602"/>
      <c r="CI30" s="1602"/>
      <c r="CJ30" s="1602"/>
      <c r="CK30" s="1602"/>
      <c r="CL30" s="1602"/>
      <c r="CM30" s="1602"/>
      <c r="CN30" s="1602"/>
      <c r="CO30" s="1602"/>
      <c r="CP30" s="1602"/>
      <c r="CQ30" s="1602"/>
      <c r="CR30" s="1602"/>
      <c r="CS30" s="1602"/>
      <c r="CT30" s="1602"/>
      <c r="CU30" s="1602"/>
      <c r="CV30" s="1602"/>
      <c r="CW30" s="1602"/>
      <c r="CX30" s="1602"/>
      <c r="CY30" s="1602"/>
      <c r="CZ30" s="1602"/>
      <c r="DA30" s="1602"/>
      <c r="DB30" s="1602"/>
      <c r="DC30"/>
      <c r="DD30"/>
      <c r="DE30"/>
      <c r="DF30"/>
      <c r="DG30"/>
      <c r="DH30"/>
      <c r="DI30"/>
      <c r="DJ30"/>
      <c r="DK30"/>
      <c r="DL30"/>
      <c r="DM30"/>
      <c r="DN30"/>
      <c r="DO30"/>
    </row>
    <row r="31" spans="1:119" s="699" customFormat="1" ht="12.75" customHeight="1">
      <c r="A31" s="664"/>
      <c r="B31" s="664"/>
      <c r="C31" s="666"/>
      <c r="D31" s="858"/>
      <c r="E31" s="3625"/>
      <c r="F31" s="3626"/>
      <c r="G31" s="1588" t="str">
        <f t="shared" ref="G31:N31" si="91">G26</f>
        <v>Q1</v>
      </c>
      <c r="H31" s="1588" t="str">
        <f t="shared" si="91"/>
        <v>Q2</v>
      </c>
      <c r="I31" s="1588" t="str">
        <f t="shared" si="91"/>
        <v>Q3</v>
      </c>
      <c r="J31" s="1588" t="str">
        <f t="shared" si="91"/>
        <v>Q4</v>
      </c>
      <c r="K31" s="1593" t="str">
        <f t="shared" si="91"/>
        <v>Q1</v>
      </c>
      <c r="L31" s="1588" t="str">
        <f t="shared" si="91"/>
        <v>Q2</v>
      </c>
      <c r="M31" s="1588" t="str">
        <f t="shared" si="91"/>
        <v>Q3</v>
      </c>
      <c r="N31" s="1594" t="str">
        <f t="shared" si="91"/>
        <v>Q4</v>
      </c>
      <c r="O31" s="1593" t="str">
        <f t="shared" ref="O31:AX31" si="92">O26</f>
        <v>Q1</v>
      </c>
      <c r="P31" s="1588" t="str">
        <f t="shared" si="92"/>
        <v>Q2</v>
      </c>
      <c r="Q31" s="1588" t="str">
        <f t="shared" si="92"/>
        <v>Q3</v>
      </c>
      <c r="R31" s="1594" t="str">
        <f t="shared" si="92"/>
        <v>Q4</v>
      </c>
      <c r="S31" s="1593" t="str">
        <f t="shared" si="92"/>
        <v>Q1</v>
      </c>
      <c r="T31" s="1588" t="str">
        <f t="shared" si="92"/>
        <v>Q2</v>
      </c>
      <c r="U31" s="1588" t="str">
        <f t="shared" si="92"/>
        <v>Q3</v>
      </c>
      <c r="V31" s="1594" t="str">
        <f t="shared" si="92"/>
        <v>Q4</v>
      </c>
      <c r="W31" s="1593" t="str">
        <f t="shared" si="92"/>
        <v>Q1</v>
      </c>
      <c r="X31" s="1588" t="str">
        <f t="shared" si="92"/>
        <v>Q2</v>
      </c>
      <c r="Y31" s="1588" t="str">
        <f t="shared" si="92"/>
        <v>Q3</v>
      </c>
      <c r="Z31" s="1594" t="str">
        <f t="shared" si="92"/>
        <v>Q4</v>
      </c>
      <c r="AA31" s="1593" t="str">
        <f t="shared" si="92"/>
        <v>Q1</v>
      </c>
      <c r="AB31" s="1588" t="str">
        <f t="shared" si="92"/>
        <v>Q2</v>
      </c>
      <c r="AC31" s="1588" t="str">
        <f t="shared" si="92"/>
        <v>Q3</v>
      </c>
      <c r="AD31" s="1594" t="str">
        <f t="shared" si="92"/>
        <v>Q4</v>
      </c>
      <c r="AE31" s="1593" t="str">
        <f t="shared" si="92"/>
        <v>Q1</v>
      </c>
      <c r="AF31" s="1588" t="str">
        <f t="shared" si="92"/>
        <v>Q2</v>
      </c>
      <c r="AG31" s="1588" t="str">
        <f t="shared" si="92"/>
        <v>Q3</v>
      </c>
      <c r="AH31" s="1594" t="str">
        <f t="shared" si="92"/>
        <v>Q4</v>
      </c>
      <c r="AI31" s="1593" t="str">
        <f t="shared" si="92"/>
        <v>Q1</v>
      </c>
      <c r="AJ31" s="1588" t="str">
        <f t="shared" si="92"/>
        <v>Q2</v>
      </c>
      <c r="AK31" s="1588" t="str">
        <f t="shared" si="92"/>
        <v>Q3</v>
      </c>
      <c r="AL31" s="1594" t="str">
        <f t="shared" si="92"/>
        <v>Q4</v>
      </c>
      <c r="AM31" s="1593" t="str">
        <f t="shared" si="92"/>
        <v>Q1</v>
      </c>
      <c r="AN31" s="1588" t="str">
        <f t="shared" si="92"/>
        <v>Q2</v>
      </c>
      <c r="AO31" s="1588" t="str">
        <f t="shared" si="92"/>
        <v>Q3</v>
      </c>
      <c r="AP31" s="1594" t="str">
        <f t="shared" si="92"/>
        <v>Q4</v>
      </c>
      <c r="AQ31" s="1593" t="str">
        <f t="shared" si="92"/>
        <v>Q1</v>
      </c>
      <c r="AR31" s="1588" t="str">
        <f t="shared" si="92"/>
        <v>Q2</v>
      </c>
      <c r="AS31" s="1588" t="str">
        <f t="shared" si="92"/>
        <v>Q3</v>
      </c>
      <c r="AT31" s="1594" t="str">
        <f t="shared" si="92"/>
        <v>Q4</v>
      </c>
      <c r="AU31" s="1593" t="str">
        <f t="shared" si="92"/>
        <v>Q1</v>
      </c>
      <c r="AV31" s="1588" t="str">
        <f t="shared" si="92"/>
        <v>Q2</v>
      </c>
      <c r="AW31" s="1588" t="str">
        <f t="shared" si="92"/>
        <v>Q3</v>
      </c>
      <c r="AX31" s="1594" t="str">
        <f t="shared" si="92"/>
        <v>Q4</v>
      </c>
      <c r="AY31" s="1593" t="str">
        <f t="shared" ref="AY31:BF31" si="93">AY26</f>
        <v>Q1</v>
      </c>
      <c r="AZ31" s="1588" t="str">
        <f t="shared" si="93"/>
        <v>Q2</v>
      </c>
      <c r="BA31" s="1588" t="str">
        <f t="shared" si="93"/>
        <v>Q3</v>
      </c>
      <c r="BB31" s="1594" t="str">
        <f t="shared" si="93"/>
        <v>Q4</v>
      </c>
      <c r="BC31" s="1593" t="str">
        <f t="shared" si="93"/>
        <v>Q1</v>
      </c>
      <c r="BD31" s="1588" t="str">
        <f t="shared" si="93"/>
        <v>Q2</v>
      </c>
      <c r="BE31" s="1588" t="str">
        <f t="shared" si="93"/>
        <v>Q3</v>
      </c>
      <c r="BF31" s="1594" t="str">
        <f t="shared" si="93"/>
        <v>Q4</v>
      </c>
      <c r="BG31" s="1593" t="str">
        <f t="shared" ref="BG31:BN31" si="94">BG26</f>
        <v>Q1</v>
      </c>
      <c r="BH31" s="1588" t="str">
        <f t="shared" si="94"/>
        <v>Q2</v>
      </c>
      <c r="BI31" s="1588" t="str">
        <f t="shared" si="94"/>
        <v>Q3</v>
      </c>
      <c r="BJ31" s="1594" t="str">
        <f t="shared" si="94"/>
        <v>Q4</v>
      </c>
      <c r="BK31" s="1593" t="str">
        <f t="shared" si="94"/>
        <v>Q1</v>
      </c>
      <c r="BL31" s="1588" t="str">
        <f t="shared" si="94"/>
        <v>Q2</v>
      </c>
      <c r="BM31" s="1588" t="str">
        <f t="shared" si="94"/>
        <v>Q3</v>
      </c>
      <c r="BN31" s="1594" t="str">
        <f t="shared" si="94"/>
        <v>Q4</v>
      </c>
      <c r="BO31" s="1593" t="str">
        <f t="shared" ref="BO31:BZ31" si="95">BO26</f>
        <v>Q1</v>
      </c>
      <c r="BP31" s="1588" t="str">
        <f t="shared" si="95"/>
        <v>Q2</v>
      </c>
      <c r="BQ31" s="1588" t="str">
        <f t="shared" si="95"/>
        <v>Q3</v>
      </c>
      <c r="BR31" s="1594" t="str">
        <f t="shared" si="95"/>
        <v>Q4</v>
      </c>
      <c r="BS31" s="1593" t="str">
        <f>BS26</f>
        <v>Q1</v>
      </c>
      <c r="BT31" s="1588" t="str">
        <f>BT26</f>
        <v>Q2</v>
      </c>
      <c r="BU31" s="1588" t="str">
        <f>BU26</f>
        <v>Q3</v>
      </c>
      <c r="BV31" s="1594" t="str">
        <f>BV26</f>
        <v>Q4</v>
      </c>
      <c r="BW31" s="1593" t="str">
        <f t="shared" si="95"/>
        <v>Q1</v>
      </c>
      <c r="BX31" s="1588" t="str">
        <f t="shared" si="95"/>
        <v>Q2</v>
      </c>
      <c r="BY31" s="1588" t="str">
        <f t="shared" si="95"/>
        <v>Q3</v>
      </c>
      <c r="BZ31" s="1594" t="str">
        <f t="shared" si="95"/>
        <v>Q4</v>
      </c>
      <c r="CA31" s="1593" t="str">
        <f t="shared" ref="CA31:CH31" si="96">CA26</f>
        <v>Q1</v>
      </c>
      <c r="CB31" s="1588" t="str">
        <f t="shared" si="96"/>
        <v>Q2</v>
      </c>
      <c r="CC31" s="1588" t="str">
        <f t="shared" si="96"/>
        <v>Q3</v>
      </c>
      <c r="CD31" s="1594" t="str">
        <f t="shared" si="96"/>
        <v>Q4</v>
      </c>
      <c r="CE31" s="1593" t="str">
        <f t="shared" si="96"/>
        <v>Q1</v>
      </c>
      <c r="CF31" s="1588" t="str">
        <f t="shared" si="96"/>
        <v>Q2</v>
      </c>
      <c r="CG31" s="1588" t="str">
        <f t="shared" si="96"/>
        <v>Q3</v>
      </c>
      <c r="CH31" s="1594" t="str">
        <f t="shared" si="96"/>
        <v>Q4</v>
      </c>
      <c r="CI31" s="1593" t="str">
        <f t="shared" ref="CI31:CP31" si="97">CI26</f>
        <v>Q1</v>
      </c>
      <c r="CJ31" s="1588" t="str">
        <f t="shared" si="97"/>
        <v>Q2</v>
      </c>
      <c r="CK31" s="1588" t="str">
        <f t="shared" si="97"/>
        <v>Q3</v>
      </c>
      <c r="CL31" s="1594" t="str">
        <f t="shared" si="97"/>
        <v>Q4</v>
      </c>
      <c r="CM31" s="1593" t="str">
        <f t="shared" si="97"/>
        <v>Q1</v>
      </c>
      <c r="CN31" s="1588" t="str">
        <f t="shared" si="97"/>
        <v>Q2</v>
      </c>
      <c r="CO31" s="1588" t="str">
        <f t="shared" si="97"/>
        <v>Q3</v>
      </c>
      <c r="CP31" s="1594" t="str">
        <f t="shared" si="97"/>
        <v>Q4</v>
      </c>
      <c r="CQ31" s="1593" t="str">
        <f t="shared" ref="CQ31:CX31" si="98">CQ26</f>
        <v>Q1</v>
      </c>
      <c r="CR31" s="1588" t="str">
        <f t="shared" si="98"/>
        <v>Q2</v>
      </c>
      <c r="CS31" s="1588" t="str">
        <f t="shared" si="98"/>
        <v>Q3</v>
      </c>
      <c r="CT31" s="1594" t="str">
        <f t="shared" si="98"/>
        <v>Q4</v>
      </c>
      <c r="CU31" s="1593" t="str">
        <f t="shared" si="98"/>
        <v>Q1</v>
      </c>
      <c r="CV31" s="1588" t="str">
        <f t="shared" si="98"/>
        <v>Q2</v>
      </c>
      <c r="CW31" s="1588" t="str">
        <f t="shared" si="98"/>
        <v>Q3</v>
      </c>
      <c r="CX31" s="1594" t="str">
        <f t="shared" si="98"/>
        <v>Q4</v>
      </c>
      <c r="CY31" s="1593" t="str">
        <f t="shared" ref="CY31:DB31" si="99">CY26</f>
        <v>Q1</v>
      </c>
      <c r="CZ31" s="1588" t="str">
        <f t="shared" si="99"/>
        <v>Q2</v>
      </c>
      <c r="DA31" s="1588" t="str">
        <f t="shared" si="99"/>
        <v>Q3</v>
      </c>
      <c r="DB31" s="1594" t="str">
        <f t="shared" si="99"/>
        <v>Q4</v>
      </c>
      <c r="DC31"/>
      <c r="DD31"/>
      <c r="DE31"/>
      <c r="DF31"/>
      <c r="DG31"/>
      <c r="DH31"/>
      <c r="DI31"/>
      <c r="DJ31"/>
      <c r="DK31"/>
      <c r="DL31"/>
      <c r="DM31"/>
      <c r="DN31"/>
      <c r="DO31"/>
    </row>
    <row r="32" spans="1:119" s="699" customFormat="1" ht="12.75" customHeight="1">
      <c r="A32" s="664"/>
      <c r="B32" s="664"/>
      <c r="C32" s="862"/>
      <c r="D32" s="863"/>
      <c r="E32" s="3627" t="s">
        <v>1848</v>
      </c>
      <c r="F32" s="3628"/>
      <c r="G32" s="705"/>
      <c r="H32" s="705"/>
      <c r="I32" s="705"/>
      <c r="J32" s="705"/>
      <c r="K32" s="1564">
        <f t="shared" ref="K32:AX32" si="100">(K22/G22-1)*100</f>
        <v>7.8521816562778346</v>
      </c>
      <c r="L32" s="1564">
        <f t="shared" si="100"/>
        <v>6.4934388669027454</v>
      </c>
      <c r="M32" s="1564">
        <f t="shared" si="100"/>
        <v>4.3155090196344448</v>
      </c>
      <c r="N32" s="1564">
        <f t="shared" si="100"/>
        <v>5.9629963597501945</v>
      </c>
      <c r="O32" s="1564">
        <f t="shared" si="100"/>
        <v>6.5209134893244425</v>
      </c>
      <c r="P32" s="1564">
        <f t="shared" si="100"/>
        <v>4.9630824898537984</v>
      </c>
      <c r="Q32" s="1564">
        <f t="shared" si="100"/>
        <v>7.0245648283715711</v>
      </c>
      <c r="R32" s="1564">
        <f t="shared" si="100"/>
        <v>5.485604425043733</v>
      </c>
      <c r="S32" s="1564">
        <f t="shared" si="100"/>
        <v>5.1652508216035287</v>
      </c>
      <c r="T32" s="1564">
        <f t="shared" si="100"/>
        <v>4.4659772042610069</v>
      </c>
      <c r="U32" s="1564">
        <f t="shared" si="100"/>
        <v>5.377880464522411</v>
      </c>
      <c r="V32" s="1564">
        <f t="shared" si="100"/>
        <v>3.9708386865457745</v>
      </c>
      <c r="W32" s="1564">
        <f t="shared" si="100"/>
        <v>2.0592570754716988</v>
      </c>
      <c r="X32" s="1564">
        <f t="shared" si="100"/>
        <v>7.5214793233641553</v>
      </c>
      <c r="Y32" s="1564">
        <f t="shared" si="100"/>
        <v>5.4900037503966548</v>
      </c>
      <c r="Z32" s="1564">
        <f t="shared" si="100"/>
        <v>4.8494166331398691</v>
      </c>
      <c r="AA32" s="1564">
        <f t="shared" si="100"/>
        <v>7.402111587734872</v>
      </c>
      <c r="AB32" s="1564">
        <f t="shared" si="100"/>
        <v>6.0151519340835513</v>
      </c>
      <c r="AC32" s="1564">
        <f t="shared" si="100"/>
        <v>5.8086747251545168</v>
      </c>
      <c r="AD32" s="1564">
        <f t="shared" si="100"/>
        <v>7.2275287442956415</v>
      </c>
      <c r="AE32" s="1564">
        <f t="shared" si="100"/>
        <v>7.5051773755413054</v>
      </c>
      <c r="AF32" s="1564">
        <f t="shared" si="100"/>
        <v>2.6993545021842591</v>
      </c>
      <c r="AG32" s="1564">
        <f t="shared" si="100"/>
        <v>3.6275523391057218</v>
      </c>
      <c r="AH32" s="1564">
        <f t="shared" si="100"/>
        <v>4.5216946769761623</v>
      </c>
      <c r="AI32" s="1564">
        <f t="shared" si="100"/>
        <v>4.3818720838597391</v>
      </c>
      <c r="AJ32" s="1564">
        <f t="shared" si="100"/>
        <v>7.188115040314913</v>
      </c>
      <c r="AK32" s="1564">
        <f t="shared" si="100"/>
        <v>6.6606806589596612</v>
      </c>
      <c r="AL32" s="1564">
        <f t="shared" si="100"/>
        <v>6.438990988347193</v>
      </c>
      <c r="AM32" s="1564">
        <f t="shared" si="100"/>
        <v>9.9249814251132218</v>
      </c>
      <c r="AN32" s="1564">
        <f t="shared" si="100"/>
        <v>10.885377179681566</v>
      </c>
      <c r="AO32" s="1564">
        <f t="shared" si="100"/>
        <v>10.582499298475367</v>
      </c>
      <c r="AP32" s="1564">
        <f t="shared" si="100"/>
        <v>13.443003365920369</v>
      </c>
      <c r="AQ32" s="1564">
        <f t="shared" si="100"/>
        <v>9.6916971916972017</v>
      </c>
      <c r="AR32" s="1564">
        <f t="shared" si="100"/>
        <v>11.333796271566676</v>
      </c>
      <c r="AS32" s="1564">
        <f t="shared" si="100"/>
        <v>13.804332885735725</v>
      </c>
      <c r="AT32" s="1564">
        <f t="shared" si="100"/>
        <v>10.46774209881416</v>
      </c>
      <c r="AU32" s="1564">
        <f t="shared" si="100"/>
        <v>42.805732572700727</v>
      </c>
      <c r="AV32" s="1564">
        <f t="shared" si="100"/>
        <v>45.35262901337633</v>
      </c>
      <c r="AW32" s="1564">
        <f t="shared" si="100"/>
        <v>42.927025595763446</v>
      </c>
      <c r="AX32" s="1564">
        <f t="shared" si="100"/>
        <v>46.897826342035827</v>
      </c>
      <c r="AY32" s="1564">
        <f t="shared" ref="AY32:BF32" si="101">(AY22/AU22-1)*100</f>
        <v>8.1533101045295986</v>
      </c>
      <c r="AZ32" s="1564">
        <f t="shared" si="101"/>
        <v>7.5972738255339456</v>
      </c>
      <c r="BA32" s="1564">
        <f t="shared" si="101"/>
        <v>12.310627314555035</v>
      </c>
      <c r="BB32" s="1564">
        <f t="shared" si="101"/>
        <v>8.2674365990820888</v>
      </c>
      <c r="BC32" s="1564">
        <f t="shared" si="101"/>
        <v>15.588339850693211</v>
      </c>
      <c r="BD32" s="1564">
        <f t="shared" si="101"/>
        <v>13.655622404880962</v>
      </c>
      <c r="BE32" s="1564">
        <f t="shared" si="101"/>
        <v>7.6678657074340517</v>
      </c>
      <c r="BF32" s="1564">
        <f t="shared" si="101"/>
        <v>13.130870880433054</v>
      </c>
      <c r="BG32" s="1564">
        <f t="shared" ref="BG32:BN32" si="102">(BG22/BC22-1)*100</f>
        <v>9.8089343379978544</v>
      </c>
      <c r="BH32" s="1564">
        <f t="shared" si="102"/>
        <v>6.074557315936624</v>
      </c>
      <c r="BI32" s="1564">
        <f t="shared" si="102"/>
        <v>3.5228390593388559</v>
      </c>
      <c r="BJ32" s="1564">
        <f t="shared" si="102"/>
        <v>-4.0847201210287505</v>
      </c>
      <c r="BK32" s="1564">
        <f t="shared" si="102"/>
        <v>-15.714110665709724</v>
      </c>
      <c r="BL32" s="1564">
        <f t="shared" si="102"/>
        <v>-16.886608445061423</v>
      </c>
      <c r="BM32" s="1564">
        <f t="shared" si="102"/>
        <v>-17.224562976243828</v>
      </c>
      <c r="BN32" s="1564">
        <f t="shared" si="102"/>
        <v>-18.978798327342083</v>
      </c>
      <c r="BO32" s="1564">
        <f t="shared" ref="BO32:BZ32" si="103">(BO22/BK22-1)*100</f>
        <v>-7.6386292834891183</v>
      </c>
      <c r="BP32" s="1564">
        <f t="shared" si="103"/>
        <v>-6.6153618469735109</v>
      </c>
      <c r="BQ32" s="1564">
        <f t="shared" si="103"/>
        <v>-1.7977820135158584</v>
      </c>
      <c r="BR32" s="1564">
        <f t="shared" si="103"/>
        <v>3.096704092720004</v>
      </c>
      <c r="BS32" s="1564">
        <f>(BS22/BO22-1)*100</f>
        <v>3.68096779996403</v>
      </c>
      <c r="BT32" s="1564">
        <f>(BT22/BP22-1)*100</f>
        <v>5.7686212361331313</v>
      </c>
      <c r="BU32" s="1564">
        <f>(BU22/BQ22-1)*100</f>
        <v>4.3054391459702579</v>
      </c>
      <c r="BV32" s="1564">
        <f>(BV22/BR22-1)*100</f>
        <v>5.1664324609169254</v>
      </c>
      <c r="BW32" s="1564">
        <f t="shared" si="103"/>
        <v>3.6196837927519487</v>
      </c>
      <c r="BX32" s="1564">
        <f t="shared" si="103"/>
        <v>2.4808425018194358</v>
      </c>
      <c r="BY32" s="1564">
        <f t="shared" si="103"/>
        <v>1.8481708606470582</v>
      </c>
      <c r="BZ32" s="1564">
        <f t="shared" si="103"/>
        <v>2.179677224043286</v>
      </c>
      <c r="CA32" s="1564">
        <f t="shared" ref="CA32:CH32" si="104">(CA22/BW22-1)*100</f>
        <v>4.3157938800284734</v>
      </c>
      <c r="CB32" s="1564">
        <f t="shared" si="104"/>
        <v>4.7058086346262185</v>
      </c>
      <c r="CC32" s="1564">
        <f t="shared" si="104"/>
        <v>5.5331783074495489</v>
      </c>
      <c r="CD32" s="1564">
        <f t="shared" si="104"/>
        <v>4.9672054105964092</v>
      </c>
      <c r="CE32" s="1564">
        <f t="shared" si="104"/>
        <v>4.4863563402889328</v>
      </c>
      <c r="CF32" s="1564">
        <f t="shared" si="104"/>
        <v>4.2529423498902874</v>
      </c>
      <c r="CG32" s="1564">
        <f t="shared" si="104"/>
        <v>3.1419071789726472</v>
      </c>
      <c r="CH32" s="1564">
        <f t="shared" si="104"/>
        <v>3.5992369384100442</v>
      </c>
      <c r="CI32" s="1564">
        <f t="shared" ref="CI32:CP32" si="105">(CI22/CE22-1)*100</f>
        <v>3.4238420769644229</v>
      </c>
      <c r="CJ32" s="1564">
        <f t="shared" si="105"/>
        <v>3.340859515517991</v>
      </c>
      <c r="CK32" s="1564">
        <f t="shared" si="105"/>
        <v>5.1691908594971858</v>
      </c>
      <c r="CL32" s="1564">
        <f t="shared" si="105"/>
        <v>4.0754589353826365</v>
      </c>
      <c r="CM32" s="1564">
        <f t="shared" si="105"/>
        <v>3.0932620360571317</v>
      </c>
      <c r="CN32" s="1564">
        <f t="shared" si="105"/>
        <v>5.4788179528958647</v>
      </c>
      <c r="CO32" s="1564">
        <f t="shared" si="105"/>
        <v>4.7718369123621596</v>
      </c>
      <c r="CP32" s="1564">
        <f t="shared" si="105"/>
        <v>5.2969850153457232</v>
      </c>
      <c r="CQ32" s="1564">
        <f t="shared" ref="CQ32:CX32" si="106">(CQ22/CM22-1)*100</f>
        <v>5.7919855920756325</v>
      </c>
      <c r="CR32" s="1564">
        <f t="shared" si="106"/>
        <v>4.3007355135429304</v>
      </c>
      <c r="CS32" s="1564">
        <f t="shared" si="106"/>
        <v>2.8337978430591715</v>
      </c>
      <c r="CT32" s="1564">
        <f t="shared" si="106"/>
        <v>3.6417255332281906</v>
      </c>
      <c r="CU32" s="1564">
        <f t="shared" si="106"/>
        <v>3.6777719139953424</v>
      </c>
      <c r="CV32" s="1564">
        <f t="shared" si="106"/>
        <v>3.2669441405658528</v>
      </c>
      <c r="CW32" s="1564">
        <f t="shared" si="106"/>
        <v>4.064214701871971</v>
      </c>
      <c r="CX32" s="1564">
        <f t="shared" si="106"/>
        <v>3.0339190664062654</v>
      </c>
      <c r="CY32" s="1564">
        <f t="shared" ref="CY32" si="107">(CY22/CU22-1)*100</f>
        <v>3.1259592918750023</v>
      </c>
      <c r="CZ32" s="1564">
        <f t="shared" ref="CZ32" si="108">(CZ22/CV22-1)*100</f>
        <v>3.2180817368999914</v>
      </c>
      <c r="DA32" s="1564">
        <f t="shared" ref="DA32" si="109">(DA22/CW22-1)*100</f>
        <v>3.3102864749279926</v>
      </c>
      <c r="DB32" s="1564">
        <f t="shared" ref="DB32" si="110">(DB22/CX22-1)*100</f>
        <v>3.4025735794713574</v>
      </c>
      <c r="DC32"/>
      <c r="DD32"/>
      <c r="DE32"/>
      <c r="DF32"/>
      <c r="DG32"/>
      <c r="DH32"/>
      <c r="DI32"/>
      <c r="DJ32"/>
      <c r="DK32"/>
      <c r="DL32"/>
      <c r="DM32"/>
      <c r="DN32"/>
      <c r="DO32"/>
    </row>
    <row r="33" spans="1:119" s="699" customFormat="1" ht="12.75" customHeight="1">
      <c r="A33" s="664"/>
      <c r="B33" s="664"/>
      <c r="C33" s="944"/>
      <c r="D33" s="674"/>
      <c r="E33" s="3629" t="s">
        <v>1938</v>
      </c>
      <c r="F33" s="3630"/>
      <c r="G33" s="705"/>
      <c r="H33" s="705"/>
      <c r="I33" s="705"/>
      <c r="J33" s="705"/>
      <c r="K33" s="1564">
        <f>(4*K22/J23-1)*100</f>
        <v>4.1539288401591046</v>
      </c>
      <c r="L33" s="1564">
        <f>((K22+3*L22)/J23-1)*100</f>
        <v>5.1781145866924838</v>
      </c>
      <c r="M33" s="1564">
        <f>((K22+L22+2*M22)/J23-1)*100</f>
        <v>5.2787272922713235</v>
      </c>
      <c r="N33" s="1621"/>
      <c r="O33" s="1564">
        <f>(4*O22/N23-1)*100</f>
        <v>4.5345346561928901</v>
      </c>
      <c r="P33" s="1564">
        <f>((O22+3*P22)/N23-1)*100</f>
        <v>4.4008442750132604</v>
      </c>
      <c r="Q33" s="1564">
        <f>((O22+P22+2*Q22)/N23-1)*100</f>
        <v>5.5270844558598986</v>
      </c>
      <c r="R33" s="1621"/>
      <c r="S33" s="1564">
        <f>(4*S22/R23-1)*100</f>
        <v>3.7181996086105729</v>
      </c>
      <c r="T33" s="1564">
        <f>((S22+3*T22)/R23-1)*100</f>
        <v>3.0691964285714191</v>
      </c>
      <c r="U33" s="1564">
        <f>((S22+T22+2*U22)/R23-1)*100</f>
        <v>4.6378118884540243</v>
      </c>
      <c r="V33" s="1621"/>
      <c r="W33" s="1564">
        <f>(4*W22/V23-1)*100</f>
        <v>1.0626341064677858</v>
      </c>
      <c r="X33" s="1564">
        <f>((W22+3*X22)/V23-1)*100</f>
        <v>4.4530645608606312</v>
      </c>
      <c r="Y33" s="1564">
        <f>((W22+X22+2*Y22)/V23-1)*100</f>
        <v>5.0354697922900815</v>
      </c>
      <c r="Z33" s="1621"/>
      <c r="AA33" s="1564">
        <f>(4*AA22/Z23-1)*100</f>
        <v>3.3975958897918934</v>
      </c>
      <c r="AB33" s="1564">
        <f>((AA22+3*AB22)/Z23-1)*100</f>
        <v>5.8201297301806898</v>
      </c>
      <c r="AC33" s="1564">
        <f>((AA22+AB22+2*AC22)/Z23-1)*100</f>
        <v>6.3033155585836553</v>
      </c>
      <c r="AD33" s="1621"/>
      <c r="AE33" s="1564">
        <f>(4*AE22/AD23-1)*100</f>
        <v>4.2716648406114777</v>
      </c>
      <c r="AF33" s="1564">
        <f>((AE22+3*AF22)/AD23-1)*100</f>
        <v>3.1095111389367158</v>
      </c>
      <c r="AG33" s="1564">
        <f>((AE22+AF22+2*AG22)/AD23-1)*100</f>
        <v>4.0434079407314805</v>
      </c>
      <c r="AH33" s="1621"/>
      <c r="AI33" s="1564">
        <f>(4*AI22/AH23-1)*100</f>
        <v>4.0902116831114999</v>
      </c>
      <c r="AJ33" s="1564">
        <f>((AI22+3*AJ22)/AH23-1)*100</f>
        <v>4.9976923172876608</v>
      </c>
      <c r="AK33" s="1564">
        <f>((AI22+AJ22+2*AK22)/AH23-1)*100</f>
        <v>5.6912445270497658</v>
      </c>
      <c r="AL33" s="1621"/>
      <c r="AM33" s="1564">
        <f>(4*AM22/AL23-1)*100</f>
        <v>7.7761361066152723</v>
      </c>
      <c r="AN33" s="1564">
        <f>((AM22+3*AN22)/AL23-1)*100</f>
        <v>9.4301769186256443</v>
      </c>
      <c r="AO33" s="1564">
        <f>((AM22+AN22+2*AO22)/AL23-1)*100</f>
        <v>10.002379280869711</v>
      </c>
      <c r="AP33" s="1621"/>
      <c r="AQ33" s="1564">
        <f>(4*AQ22/AP23-1)*100</f>
        <v>6.2876489120933243</v>
      </c>
      <c r="AR33" s="1564">
        <f>((AQ22+3*AR22)/AP23-1)*100</f>
        <v>9.1366201609346618</v>
      </c>
      <c r="AS33" s="1564">
        <f>((AQ22+AR22+2*AS22)/AP23-1)*100</f>
        <v>10.9435038543507</v>
      </c>
      <c r="AT33" s="1621"/>
      <c r="AU33" s="1564">
        <f>(4*AU22/AT23-1)*100</f>
        <v>36.341186322069483</v>
      </c>
      <c r="AV33" s="1564">
        <f>((AU22+3*AV22)/AT23-1)*100</f>
        <v>41.884603052982428</v>
      </c>
      <c r="AW33" s="1564">
        <f>((AU22+AV22+2*AW22)/AT23-1)*100</f>
        <v>43.005080902847801</v>
      </c>
      <c r="AX33" s="1621"/>
      <c r="AY33" s="1564">
        <f>(4*AY22/AX23-1)*100</f>
        <v>2.0288803753995222</v>
      </c>
      <c r="AZ33" s="1564">
        <f>((AY22+3*AZ22)/AX23-1)*100</f>
        <v>5.7624736472241533</v>
      </c>
      <c r="BA33" s="1564">
        <f>((AY22+AZ22+2*BA22)/AX23-1)*100</f>
        <v>8.9769455716001811</v>
      </c>
      <c r="BB33" s="1621"/>
      <c r="BC33" s="1564">
        <f>(4*BC22/BB23-1)*100</f>
        <v>8.1018181818181887</v>
      </c>
      <c r="BD33" s="1564">
        <f>((BC22+3*BD22)/BB23-1)*100</f>
        <v>10.635844155844154</v>
      </c>
      <c r="BE33" s="1564">
        <f>((BC22+BD22+2*BE22)/BB23-1)*100</f>
        <v>10.871688311688299</v>
      </c>
      <c r="BF33" s="1621"/>
      <c r="BG33" s="1564">
        <f>(4*BG22/BF23-1)*100</f>
        <v>5.5966579943344863</v>
      </c>
      <c r="BH33" s="1564">
        <f>((BG22+3*BH22)/BF23-1)*100</f>
        <v>5.2944356899587541</v>
      </c>
      <c r="BI33" s="1564">
        <f>((BG22+BH22+2*BI22)/BF23-1)*100</f>
        <v>4.2463620105639199</v>
      </c>
      <c r="BJ33" s="1621"/>
      <c r="BK33" s="1564">
        <f>(4*BK22/BJ23-1)*100</f>
        <v>-14.146254485479304</v>
      </c>
      <c r="BL33" s="1564">
        <f>((BK22+3*BL22)/BJ23-1)*100</f>
        <v>-15.284284663561198</v>
      </c>
      <c r="BM33" s="1564">
        <f>((BK22+BL22+2*BM22)/BJ23-1)*100</f>
        <v>-16.292598123342326</v>
      </c>
      <c r="BN33" s="1621"/>
      <c r="BO33" s="1564">
        <f>(4*BO22/BN23-1)*100</f>
        <v>-4.2547351084271323</v>
      </c>
      <c r="BP33" s="1564">
        <f>((BO22+3*BP22)/BN23-1)*100</f>
        <v>-4.7423745781595699</v>
      </c>
      <c r="BQ33" s="1564">
        <f>((BO22+BP22+2*BQ22)/BN23-1)*100</f>
        <v>-3.4850613316970924</v>
      </c>
      <c r="BR33" s="1621"/>
      <c r="BS33" s="1564">
        <f>(4*BS22/BR23-1)*100</f>
        <v>2.7361244179051392</v>
      </c>
      <c r="BT33" s="1564">
        <f>((BS22+3*BT22)/BR23-1)*100</f>
        <v>3.7538156458189587</v>
      </c>
      <c r="BU33" s="1564">
        <f>((BS22+BT22+2*BU22)/BR23-1)*100</f>
        <v>4.3910563490118459</v>
      </c>
      <c r="BV33" s="1621"/>
      <c r="BW33" s="1564">
        <f>(4*BW22/BV23-1)*100</f>
        <v>1.6477496356654298</v>
      </c>
      <c r="BX33" s="1564">
        <f>((BW22+3*BX22)/BV23-1)*100</f>
        <v>1.8057165955726484</v>
      </c>
      <c r="BY33" s="1564">
        <f>((BW22+BX22+2*BY22)/BV23-1)*100</f>
        <v>2.1110130096694935</v>
      </c>
      <c r="BZ33" s="1621"/>
      <c r="CA33" s="1564">
        <f>(4*CA22/BZ23-1)*100</f>
        <v>3.4239468769454273</v>
      </c>
      <c r="CB33" s="1564">
        <f>((CA22+3*CB22)/BZ23-1)*100</f>
        <v>3.8752853289064193</v>
      </c>
      <c r="CC33" s="1564">
        <f>((CA22+CB22+2*CC22)/BZ23-1)*100</f>
        <v>4.6005395310230179</v>
      </c>
      <c r="CD33" s="1621"/>
      <c r="CE33" s="1564">
        <f>(4*CE22/CD23-1)*100</f>
        <v>3.0335705912321931</v>
      </c>
      <c r="CF33" s="1564">
        <f>((CE22+3*CF22)/CD23-1)*100</f>
        <v>3.3095745680636668</v>
      </c>
      <c r="CG33" s="1564">
        <f>((CE22+CF22+2*CG22)/CD23-1)*100</f>
        <v>3.4718134648391796</v>
      </c>
      <c r="CH33" s="1621"/>
      <c r="CI33" s="1564">
        <f>(4*CI22/CH23-1)*100</f>
        <v>2.5958997071219292</v>
      </c>
      <c r="CJ33" s="1564">
        <f>((CI22+3*CJ22)/CH23-1)*100</f>
        <v>2.8087720551468021</v>
      </c>
      <c r="CK33" s="1564">
        <f>((CI22+CJ22+2*CK22)/CH23-1)*100</f>
        <v>3.8831345096078218</v>
      </c>
      <c r="CL33" s="1621"/>
      <c r="CM33" s="1564">
        <f>(4*CM22/CL23-1)*100</f>
        <v>1.6973987261496459</v>
      </c>
      <c r="CN33" s="1564">
        <f>((CM22+3*CN22)/CL23-1)*100</f>
        <v>3.678231445147051</v>
      </c>
      <c r="CO33" s="1564">
        <f>((CM22+CN22+2*CO22)/CL23-1)*100</f>
        <v>4.4108556592930892</v>
      </c>
      <c r="CP33" s="1621"/>
      <c r="CQ33" s="1564">
        <f>(4*CQ22/CP23-1)*100</f>
        <v>2.7915461779747464</v>
      </c>
      <c r="CR33" s="1564">
        <f>((CQ22+3*CR22)/CP23-1)*100</f>
        <v>3.6787512632172836</v>
      </c>
      <c r="CS33" s="1564">
        <f>((CQ22+CR22+2*CS22)/CP23-1)*100</f>
        <v>3.6673768390474981</v>
      </c>
      <c r="CT33" s="1621"/>
      <c r="CU33" s="1564">
        <f>(4*CU22/CT23-1)*100</f>
        <v>2.3509264316625478</v>
      </c>
      <c r="CV33" s="1564">
        <f>((CU22+3*CV22)/CT23-1)*100</f>
        <v>2.9266503928406351</v>
      </c>
      <c r="CW33" s="1564">
        <f>((CU22+CV22+2*CW22)/CT23-1)*100</f>
        <v>3.3133449867652764</v>
      </c>
      <c r="CX33" s="1621"/>
      <c r="CY33" s="1564">
        <f>(4*CY22/CX23-1)*100</f>
        <v>1.9730161233636689</v>
      </c>
      <c r="CZ33" s="1564">
        <f>((CY22+3*CZ22)/CX23-1)*100</f>
        <v>2.6154461249408456</v>
      </c>
      <c r="DA33" s="1564">
        <f>((CY22+CZ22+2*DA22)/CX23-1)*100</f>
        <v>3.0473304006678248</v>
      </c>
      <c r="DB33" s="1621"/>
      <c r="DC33"/>
      <c r="DD33"/>
      <c r="DE33"/>
      <c r="DF33"/>
      <c r="DG33"/>
      <c r="DH33"/>
      <c r="DI33"/>
      <c r="DJ33"/>
      <c r="DK33"/>
      <c r="DL33"/>
      <c r="DM33"/>
      <c r="DN33"/>
      <c r="DO33"/>
    </row>
    <row r="34" spans="1:119">
      <c r="C34" s="1557"/>
      <c r="D34" s="828"/>
      <c r="E34" s="3631" t="s">
        <v>1807</v>
      </c>
      <c r="F34" s="828"/>
      <c r="G34" s="876"/>
      <c r="H34" s="876"/>
      <c r="I34" s="876"/>
      <c r="J34" s="876"/>
      <c r="K34" s="1620"/>
      <c r="L34" s="883">
        <f>(4*L22/(K22+3*L22)-1)*100</f>
        <v>0.32458772453376472</v>
      </c>
      <c r="M34" s="883">
        <f>(4*M22/(K22+L22+2*M22)-1)*100</f>
        <v>0.419845457664203</v>
      </c>
      <c r="N34" s="883">
        <f>+(4*N22/N23-1)*100</f>
        <v>2.8314002244377745</v>
      </c>
      <c r="O34" s="1620"/>
      <c r="P34" s="883">
        <f>(4*P22/(O22+3*P22)-1)*100</f>
        <v>-4.2684961699934743E-2</v>
      </c>
      <c r="Q34" s="883">
        <f>(4*Q22/(O22+P22+2*Q22)-1)*100</f>
        <v>1.0250228422693297</v>
      </c>
      <c r="R34" s="883">
        <f>+(4*R22/R23-1)*100</f>
        <v>2.3391634050880628</v>
      </c>
      <c r="S34" s="1620"/>
      <c r="T34" s="883">
        <f>(4*T22/(S22+3*T22)-1)*100</f>
        <v>-0.2098923837989819</v>
      </c>
      <c r="U34" s="883">
        <f>(4*U22/(S22+T22+2*U22)-1)*100</f>
        <v>1.292344557030467</v>
      </c>
      <c r="V34" s="883">
        <f>+(4*V22/V23-1)*100</f>
        <v>1.5866528485308562</v>
      </c>
      <c r="W34" s="1620"/>
      <c r="X34" s="883">
        <f>(4*X22/(W22+3*X22)-1)*100</f>
        <v>1.081962974996431</v>
      </c>
      <c r="Y34" s="883">
        <f>(4*Y22/(W22+X22+2*Y22)-1)*100</f>
        <v>1.6304479997220511</v>
      </c>
      <c r="Z34" s="883">
        <f>+(4*Z22/Z23-1)*100</f>
        <v>1.4634621133644554</v>
      </c>
      <c r="AA34" s="1620"/>
      <c r="AB34" s="883">
        <f>(4*AB22/(AA22+3*AB22)-1)*100</f>
        <v>0.76309798730032075</v>
      </c>
      <c r="AC34" s="883">
        <f>(4*AC22/(AA22+AB22+2*AC22)-1)*100</f>
        <v>1.2141644893674863</v>
      </c>
      <c r="AD34" s="883">
        <f>+(4*AD22/AD23-1)*100</f>
        <v>2.0569207492043606</v>
      </c>
      <c r="AE34" s="1620"/>
      <c r="AF34" s="883">
        <f>(4*AF22/(AE22+3*AF22)-1)*100</f>
        <v>-0.37570206952386442</v>
      </c>
      <c r="AG34" s="883">
        <f>(4*AG22/(AE22+AF22+2*AG22)-1)*100</f>
        <v>0.52527329254838939</v>
      </c>
      <c r="AH34" s="883">
        <f>+(4*AH22/AH23-1)*100</f>
        <v>2.0157920341287383</v>
      </c>
      <c r="AI34" s="1620"/>
      <c r="AJ34" s="883">
        <f>(4*AJ22/(AI22+3*AJ22)-1)*100</f>
        <v>0.28809542195582516</v>
      </c>
      <c r="AK34" s="883">
        <f>(4*AK22/(AI22+AJ22+2*AK22)-1)*100</f>
        <v>0.94241084864183922</v>
      </c>
      <c r="AL34" s="883">
        <f>+(4*AL22/AL23-1)*100</f>
        <v>2.2785286057120269</v>
      </c>
      <c r="AM34" s="1620"/>
      <c r="AN34" s="883">
        <f>(4*AN22/(AM22+3*AN22)-1)*100</f>
        <v>0.50383445669357485</v>
      </c>
      <c r="AO34" s="883">
        <f>(4*AO22/(AM22+AN22+2*AO22)-1)*100</f>
        <v>1.0213863617550167</v>
      </c>
      <c r="AP34" s="883">
        <f>+(4*AP22/AP23-1)*100</f>
        <v>4.3154467164735033</v>
      </c>
      <c r="AQ34" s="1620"/>
      <c r="AR34" s="883">
        <f>(4*AR22/(AQ22+3*AR22)-1)*100</f>
        <v>0.87015438222910468</v>
      </c>
      <c r="AS34" s="883">
        <f>(4*AS22/(AQ22+AR22+2*AS22)-1)*100</f>
        <v>2.4846346839577205</v>
      </c>
      <c r="AT34" s="883">
        <f>+(4*AT22/AT23-1)*100</f>
        <v>3.510099512519127</v>
      </c>
      <c r="AU34" s="1620"/>
      <c r="AV34" s="883">
        <f>(4*AV22/(AU22+3*AV22)-1)*100</f>
        <v>1.3023298773870318</v>
      </c>
      <c r="AW34" s="883">
        <f>(4*AW22/(AU22+AV22+2*AW22)-1)*100</f>
        <v>2.0756489266649636</v>
      </c>
      <c r="AX34" s="883">
        <f>+(4*AX22/AX23-1)*100</f>
        <v>5.2093487180649767</v>
      </c>
      <c r="AY34" s="1620"/>
      <c r="AZ34" s="883">
        <f>(4*AZ22/(AY22+3*AZ22)-1)*100</f>
        <v>1.176722752116599</v>
      </c>
      <c r="BA34" s="883">
        <f>(4*BA22/(AY22+AZ22+2*BA22)-1)*100</f>
        <v>4.0916938822207927</v>
      </c>
      <c r="BB34" s="883">
        <f>+(4*BB22/BB23-1)*100</f>
        <v>4.4114285714285772</v>
      </c>
      <c r="BC34" s="1620"/>
      <c r="BD34" s="883">
        <f>(4*BD22/(BC22+3*BD22)-1)*100</f>
        <v>0.76347347563552326</v>
      </c>
      <c r="BE34" s="883">
        <f>(4*BE22/(BC22+BD22+2*BE22)-1)*100</f>
        <v>0.9745675356560568</v>
      </c>
      <c r="BF34" s="883">
        <f>+(4*BF22/BF23-1)*100</f>
        <v>5.0772422907896297</v>
      </c>
      <c r="BG34" s="1620"/>
      <c r="BH34" s="883">
        <f>(4*BH22/(BG22+3*BH22)-1)*100</f>
        <v>-9.5675300850550649E-2</v>
      </c>
      <c r="BI34" s="883">
        <f>(4*BI22/(BG22+BH22+2*BI22)-1)*100</f>
        <v>-1.1020187422978389</v>
      </c>
      <c r="BJ34" s="883">
        <f>+(4*BJ22/BJ23-1)*100</f>
        <v>-2.7811086098914695</v>
      </c>
      <c r="BK34" s="1620"/>
      <c r="BL34" s="883">
        <f>(4*BL22/(BK22+3*BL22)-1)*100</f>
        <v>-0.44778396922866559</v>
      </c>
      <c r="BM34" s="883">
        <f>(4*BM22/(BK22+BL22+2*BM22)-1)*100</f>
        <v>-1.6577468913917426</v>
      </c>
      <c r="BN34" s="883">
        <f>+(4*BN22/BN23-1)*100</f>
        <v>-4.8920034662231604</v>
      </c>
      <c r="BO34" s="1620"/>
      <c r="BP34" s="883">
        <f>(4*BP22/(BO22+3*BP22)-1)*100</f>
        <v>-0.17063882202710268</v>
      </c>
      <c r="BQ34" s="883">
        <f>(4*BQ22/(BO22+BP22+2*BQ22)-1)*100</f>
        <v>1.1342977280585309</v>
      </c>
      <c r="BR34" s="883">
        <f>+(4*BR22/BR23-1)*100</f>
        <v>1.4772398119471397</v>
      </c>
      <c r="BS34" s="1620"/>
      <c r="BT34" s="883">
        <f>(4*BT22/(BS22+3*BT22)-1)*100</f>
        <v>0.32695704460896646</v>
      </c>
      <c r="BU34" s="883">
        <f>(4*BU22/(BS22+BT22+2*BU22)-1)*100</f>
        <v>0.93539729038936148</v>
      </c>
      <c r="BV34" s="883">
        <f>+(4*BV22/BV23-1)*100</f>
        <v>1.9009222717457197</v>
      </c>
      <c r="BW34" s="1620"/>
      <c r="BX34" s="883">
        <f>(4*BX22/(BW22+3*BX22)-1)*100</f>
        <v>5.1721705875906743E-2</v>
      </c>
      <c r="BY34" s="883">
        <f>(4*BY22/(BW22+BX22+2*BY22)-1)*100</f>
        <v>0.35055187178030245</v>
      </c>
      <c r="BZ34" s="883">
        <f>+(4*BZ22/BZ23-1)*100</f>
        <v>1.5584146088400308</v>
      </c>
      <c r="CA34" s="1620"/>
      <c r="CB34" s="883">
        <f>(4*CB22/(CA22+3*CB22)-1)*100</f>
        <v>0.14483344154223587</v>
      </c>
      <c r="CC34" s="883">
        <f>(4*CC22/(CA22+CB22+2*CC22)-1)*100</f>
        <v>0.83718531156387055</v>
      </c>
      <c r="CD34" s="883">
        <f>+(4*CD22/CD23-1)*100</f>
        <v>1.6406903067205603</v>
      </c>
      <c r="CE34" s="1620"/>
      <c r="CF34" s="883">
        <f>(4*CF22/(CE22+3*CF22)-1)*100</f>
        <v>8.9054016527656543E-2</v>
      </c>
      <c r="CG34" s="883">
        <f>(4*CG22/(CE22+CF22+2*CG22)-1)*100</f>
        <v>0.24570964195229639</v>
      </c>
      <c r="CH34" s="883">
        <f>+(4*CH22/CH23-1)*100</f>
        <v>1.3805748029621201</v>
      </c>
      <c r="CI34" s="1620"/>
      <c r="CJ34" s="883">
        <f>(4*CJ22/(CI22+3*CJ22)-1)*100</f>
        <v>6.9018866700942816E-2</v>
      </c>
      <c r="CK34" s="883">
        <f>(4*CK22/(CI22+CJ22+2*CK22)-1)*100</f>
        <v>1.1025080338683102</v>
      </c>
      <c r="CL34" s="883">
        <f>+(4*CL22/CL23-1)*100</f>
        <v>1.4501380538753494</v>
      </c>
      <c r="CM34" s="1620"/>
      <c r="CN34" s="883">
        <f>(4*CN22/(CM22+3*CN22)-1)*100</f>
        <v>0.63685265826360915</v>
      </c>
      <c r="CO34" s="883">
        <f>(4*CO22/(CM22+CN22+2*CO22)-1)*100</f>
        <v>1.3340583968494801</v>
      </c>
      <c r="CP34" s="883">
        <f>+(4*CP22/CP23-1)*100</f>
        <v>2.0618331196983197</v>
      </c>
      <c r="CQ34" s="1620"/>
      <c r="CR34" s="883">
        <f>(4*CR22/(CQ22+3*CR22)-1)*100</f>
        <v>0.2852416959222337</v>
      </c>
      <c r="CS34" s="883">
        <f>(4*CS22/(CQ22+CR22+2*CS22)-1)*100</f>
        <v>0.27430095456733028</v>
      </c>
      <c r="CT34" s="883">
        <f>+(4*CT22/CT23-1)*100</f>
        <v>1.5890088651737244</v>
      </c>
      <c r="CU34" s="1620"/>
      <c r="CV34" s="883">
        <f>(4*CV22/(CU22+3*CV22)-1)*100</f>
        <v>0.18645121193288094</v>
      </c>
      <c r="CW34" s="883">
        <f>(4*CW22/(CU22+CV22+2*CW22)-1)*100</f>
        <v>0.56004631449897424</v>
      </c>
      <c r="CX34" s="883">
        <f>+(4*CX22/CX23-1)*100</f>
        <v>1.1235780675958651</v>
      </c>
      <c r="CY34" s="1620"/>
      <c r="CZ34" s="883">
        <f>(4*CZ22/(CY22+3*CZ22)-1)*100</f>
        <v>0.20868528271886788</v>
      </c>
      <c r="DA34" s="883">
        <f>(4*DA22/(CY22+CZ22+2*DA22)-1)*100</f>
        <v>0.62692318866888197</v>
      </c>
      <c r="DB34" s="883">
        <f>+(4*DB22/DB23-1)*100</f>
        <v>1.2582139905033651</v>
      </c>
    </row>
    <row r="35" spans="1:119" s="884" customFormat="1" ht="30" customHeight="1">
      <c r="A35" s="664"/>
      <c r="B35" s="664"/>
      <c r="C35" s="666"/>
      <c r="D35" s="1041"/>
      <c r="E35" s="3632"/>
      <c r="F35" s="1041"/>
      <c r="G35" s="1044"/>
      <c r="J35" s="1044"/>
      <c r="K35" s="1044"/>
      <c r="L35" s="1044"/>
      <c r="M35" s="1044"/>
      <c r="N35" s="1044"/>
      <c r="O35" s="1044"/>
      <c r="P35" s="1044"/>
      <c r="Q35" s="1044"/>
      <c r="R35" s="1044"/>
      <c r="S35" s="1044"/>
      <c r="T35" s="1044"/>
      <c r="U35" s="1044"/>
      <c r="V35" s="1044"/>
      <c r="W35" s="1044"/>
      <c r="X35" s="1044"/>
      <c r="Y35" s="1044"/>
      <c r="Z35" s="1044"/>
      <c r="AA35" s="1044"/>
      <c r="AB35" s="1044"/>
      <c r="AC35" s="1044"/>
      <c r="AD35" s="1044"/>
      <c r="AE35" s="1044"/>
      <c r="AF35" s="1044"/>
      <c r="AG35" s="1044"/>
      <c r="AH35" s="1044"/>
      <c r="AI35" s="1044"/>
      <c r="AJ35" s="1044"/>
      <c r="AK35" s="1044"/>
      <c r="AL35" s="1044"/>
      <c r="AM35" s="1044"/>
      <c r="AN35" s="1044"/>
      <c r="AO35" s="1044"/>
      <c r="AP35" s="1044"/>
      <c r="AQ35" s="1044"/>
      <c r="AR35" s="1044"/>
      <c r="AS35" s="1044"/>
      <c r="AT35" s="1044"/>
      <c r="AU35" s="1044"/>
      <c r="AV35" s="1044"/>
      <c r="AW35" s="1044"/>
      <c r="AX35" s="1044"/>
      <c r="AY35" s="1560"/>
      <c r="AZ35" s="1044"/>
      <c r="BA35" s="1560"/>
      <c r="BB35" s="1560"/>
      <c r="BC35" s="1560"/>
      <c r="BD35" s="1560"/>
      <c r="BE35" s="1560"/>
      <c r="BF35" s="1560"/>
      <c r="BG35" s="1560"/>
      <c r="BH35" s="1560"/>
      <c r="BI35" s="1560"/>
      <c r="BJ35" s="1560"/>
      <c r="BK35" s="1560"/>
      <c r="BL35" s="1560"/>
      <c r="BM35" s="1560"/>
      <c r="BN35" s="1312">
        <f>(BM32+BN32)/2</f>
        <v>-18.101680651792954</v>
      </c>
      <c r="BO35" s="1560"/>
      <c r="BP35" s="1560"/>
      <c r="BQ35" s="1560"/>
      <c r="BR35" s="1312">
        <f>(BQ32+BR32)/2</f>
        <v>0.6494610396020728</v>
      </c>
      <c r="BS35" s="1560"/>
      <c r="BT35" s="1560"/>
      <c r="BU35" s="1560"/>
      <c r="BV35" s="1312"/>
      <c r="BW35" s="1560"/>
      <c r="BX35" s="1560"/>
      <c r="BY35" s="1560"/>
      <c r="BZ35" s="1560"/>
      <c r="CA35" s="1560"/>
      <c r="CB35" s="1560"/>
      <c r="CC35" s="1560"/>
      <c r="CD35" s="1560"/>
      <c r="CE35" s="1560"/>
      <c r="CF35" s="1560"/>
      <c r="CG35" s="1560"/>
      <c r="CH35" s="1560"/>
      <c r="CI35" s="1560"/>
      <c r="CJ35" s="1560"/>
      <c r="CK35" s="1560"/>
      <c r="CL35" s="1560"/>
      <c r="CM35" s="1560"/>
      <c r="CN35" s="1560"/>
      <c r="CO35" s="1560"/>
      <c r="CP35" s="3428"/>
      <c r="CQ35" s="3428"/>
      <c r="CR35" s="3428"/>
      <c r="CS35" s="3428"/>
      <c r="CT35" s="3428"/>
      <c r="CU35" s="3422"/>
      <c r="CV35" s="1560"/>
      <c r="CW35" s="1560"/>
      <c r="CY35" s="3422"/>
      <c r="CZ35" s="1560"/>
      <c r="DA35" s="1560"/>
      <c r="DC35"/>
      <c r="DD35"/>
      <c r="DE35"/>
      <c r="DF35"/>
      <c r="DG35"/>
      <c r="DH35"/>
      <c r="DI35"/>
      <c r="DJ35"/>
      <c r="DK35"/>
      <c r="DL35"/>
      <c r="DM35"/>
      <c r="DN35"/>
      <c r="DO35"/>
    </row>
    <row r="36" spans="1:119" s="884" customFormat="1" ht="30" customHeight="1">
      <c r="A36" s="664"/>
      <c r="B36" s="664"/>
      <c r="C36" s="666"/>
      <c r="D36" s="1041"/>
      <c r="E36" s="3632"/>
      <c r="F36" s="1041"/>
      <c r="G36" s="1044"/>
      <c r="M36" s="1559"/>
      <c r="N36" s="1559"/>
      <c r="Q36" s="1559"/>
      <c r="R36" s="1559"/>
      <c r="U36" s="1559"/>
      <c r="V36" s="1559"/>
      <c r="Y36" s="1559"/>
      <c r="Z36" s="1559"/>
      <c r="AC36" s="1559"/>
      <c r="AD36" s="1559"/>
      <c r="AG36" s="1559"/>
      <c r="AH36" s="1559"/>
      <c r="AK36" s="1559"/>
      <c r="AL36" s="1559"/>
      <c r="AO36" s="1559"/>
      <c r="AP36" s="1559"/>
      <c r="AS36" s="1559"/>
      <c r="AT36" s="1559"/>
      <c r="AW36" s="1559"/>
      <c r="AX36" s="1559"/>
      <c r="AY36" s="1560"/>
      <c r="BA36" s="1560"/>
      <c r="BB36" s="1560"/>
      <c r="BC36" s="1560"/>
      <c r="BD36" s="1560"/>
      <c r="BE36" s="1560"/>
      <c r="BF36" s="1560"/>
      <c r="BG36" s="1560"/>
      <c r="BH36" s="1560"/>
      <c r="BI36" s="1560"/>
      <c r="BJ36" s="1560"/>
      <c r="BK36" s="1560"/>
      <c r="BL36" s="1560"/>
      <c r="BM36" s="1560"/>
      <c r="BN36" s="1560"/>
      <c r="BO36" s="1560"/>
      <c r="BP36" s="1560"/>
      <c r="BQ36" s="1560"/>
      <c r="BR36" s="1560"/>
      <c r="BS36" s="1560"/>
      <c r="BT36" s="1560"/>
      <c r="BU36" s="1560"/>
      <c r="BV36" s="1560"/>
      <c r="BW36" s="1560"/>
      <c r="BX36" s="1560"/>
      <c r="BY36" s="1560"/>
      <c r="BZ36" s="1560"/>
      <c r="CA36" s="1560"/>
      <c r="CB36" s="1560"/>
      <c r="CC36" s="1560"/>
      <c r="CD36" s="1560"/>
      <c r="CE36" s="1560"/>
      <c r="CF36" s="1560"/>
      <c r="CG36" s="1560"/>
      <c r="CH36" s="1560"/>
      <c r="CI36" s="1560"/>
      <c r="CJ36" s="1560"/>
      <c r="CK36" s="1560"/>
      <c r="CL36" s="1560"/>
      <c r="CM36" s="1560"/>
      <c r="CN36" s="1560"/>
      <c r="CO36" s="1560"/>
      <c r="CP36" s="1560"/>
      <c r="CQ36" s="1560"/>
      <c r="CR36" s="1560"/>
      <c r="CS36" s="1560"/>
      <c r="CT36" s="3428"/>
      <c r="CU36" s="1560"/>
      <c r="CV36" s="1560"/>
      <c r="CW36" s="1560"/>
      <c r="CX36" s="3428"/>
      <c r="CY36" s="1560"/>
      <c r="CZ36" s="1560"/>
      <c r="DA36" s="1560"/>
      <c r="DB36" s="3428"/>
      <c r="DC36"/>
      <c r="DD36"/>
      <c r="DE36"/>
      <c r="DF36"/>
      <c r="DG36"/>
      <c r="DH36"/>
      <c r="DI36"/>
      <c r="DJ36"/>
      <c r="DK36"/>
      <c r="DL36"/>
      <c r="DM36"/>
      <c r="DN36"/>
      <c r="DO36"/>
    </row>
    <row r="37" spans="1:119" ht="30" customHeight="1">
      <c r="C37" s="3767" t="s">
        <v>1846</v>
      </c>
      <c r="D37" s="3767"/>
      <c r="E37" s="3767"/>
      <c r="F37" s="3767"/>
      <c r="CG37" s="2997"/>
      <c r="CM37" s="557"/>
      <c r="CN37" s="557"/>
      <c r="CO37" s="557"/>
      <c r="CP37" s="557"/>
      <c r="CQ37" s="557"/>
      <c r="CR37" s="557"/>
      <c r="CS37" s="557"/>
      <c r="CT37" s="3428"/>
      <c r="CU37" s="557"/>
      <c r="CV37" s="557"/>
      <c r="CW37" s="557"/>
      <c r="CX37" s="3428"/>
      <c r="CY37" s="557"/>
      <c r="CZ37" s="557"/>
      <c r="DA37" s="557"/>
      <c r="DB37" s="3428"/>
    </row>
    <row r="38" spans="1:119">
      <c r="C38" s="665"/>
      <c r="D38" s="665"/>
      <c r="E38" s="665"/>
      <c r="F38" s="665"/>
      <c r="CM38" s="557"/>
      <c r="CN38" s="557"/>
      <c r="CO38" s="557"/>
      <c r="CP38" s="557"/>
      <c r="CQ38" s="557"/>
      <c r="CR38" s="557"/>
      <c r="CS38" s="557"/>
      <c r="CT38" s="557"/>
      <c r="CU38" s="557"/>
      <c r="CV38" s="557"/>
      <c r="CW38" s="557"/>
      <c r="CX38" s="557"/>
      <c r="CY38" s="557"/>
      <c r="CZ38" s="557"/>
      <c r="DA38" s="557"/>
      <c r="DB38" s="557"/>
    </row>
    <row r="39" spans="1:119">
      <c r="E39" s="599"/>
      <c r="F39" s="3617"/>
      <c r="G39" s="3764">
        <f ca="1">OFFSET(InputY!$G$3,0,(COLUMN()-7)/4)</f>
        <v>1995</v>
      </c>
      <c r="H39" s="3765"/>
      <c r="I39" s="3765"/>
      <c r="J39" s="3766"/>
      <c r="K39" s="3764">
        <f ca="1">OFFSET(InputY!$G$3,0,(COLUMN()-7)/4)</f>
        <v>1996</v>
      </c>
      <c r="L39" s="3765"/>
      <c r="M39" s="3765"/>
      <c r="N39" s="3766"/>
      <c r="O39" s="3764">
        <f ca="1">OFFSET(InputY!$G$3,0,(COLUMN()-7)/4)</f>
        <v>1997</v>
      </c>
      <c r="P39" s="3765"/>
      <c r="Q39" s="3765"/>
      <c r="R39" s="3766"/>
      <c r="S39" s="3764">
        <f ca="1">OFFSET(InputY!$G$3,0,(COLUMN()-7)/4)</f>
        <v>1998</v>
      </c>
      <c r="T39" s="3765"/>
      <c r="U39" s="3765"/>
      <c r="V39" s="3766"/>
      <c r="W39" s="3764">
        <f ca="1">OFFSET(InputY!$G$3,0,(COLUMN()-7)/4)</f>
        <v>1999</v>
      </c>
      <c r="X39" s="3765"/>
      <c r="Y39" s="3765"/>
      <c r="Z39" s="3766"/>
      <c r="AA39" s="3764">
        <f ca="1">OFFSET(InputY!$G$3,0,(COLUMN()-7)/4)</f>
        <v>2000</v>
      </c>
      <c r="AB39" s="3765"/>
      <c r="AC39" s="3765"/>
      <c r="AD39" s="3766"/>
      <c r="AE39" s="3764">
        <f ca="1">OFFSET(InputY!$G$3,0,(COLUMN()-7)/4)</f>
        <v>2001</v>
      </c>
      <c r="AF39" s="3765"/>
      <c r="AG39" s="3765"/>
      <c r="AH39" s="3766"/>
      <c r="AI39" s="3764">
        <f ca="1">OFFSET(InputY!$G$3,0,(COLUMN()-7)/4)</f>
        <v>2002</v>
      </c>
      <c r="AJ39" s="3765"/>
      <c r="AK39" s="3765"/>
      <c r="AL39" s="3766"/>
      <c r="AM39" s="3764">
        <f ca="1">OFFSET(InputY!$G$3,0,(COLUMN()-7)/4)</f>
        <v>2003</v>
      </c>
      <c r="AN39" s="3765"/>
      <c r="AO39" s="3765"/>
      <c r="AP39" s="3766"/>
      <c r="AQ39" s="3764">
        <f ca="1">OFFSET(InputY!$G$3,0,(COLUMN()-7)/4)</f>
        <v>2004</v>
      </c>
      <c r="AR39" s="3765"/>
      <c r="AS39" s="3765"/>
      <c r="AT39" s="3766"/>
      <c r="AU39" s="3764">
        <f ca="1">OFFSET(InputY!$G$3,0,(COLUMN()-7)/4)</f>
        <v>2005</v>
      </c>
      <c r="AV39" s="3765"/>
      <c r="AW39" s="3765"/>
      <c r="AX39" s="3766"/>
      <c r="AY39" s="3764">
        <f ca="1">OFFSET(InputY!$G$3,0,(COLUMN()-7)/4)</f>
        <v>2006</v>
      </c>
      <c r="AZ39" s="3765"/>
      <c r="BA39" s="3765"/>
      <c r="BB39" s="3766"/>
      <c r="BC39" s="3764">
        <f ca="1">OFFSET(InputY!$G$3,0,(COLUMN()-7)/4)</f>
        <v>2007</v>
      </c>
      <c r="BD39" s="3765"/>
      <c r="BE39" s="3765"/>
      <c r="BF39" s="3766"/>
      <c r="BG39" s="3764">
        <f ca="1">OFFSET(InputY!$G$3,0,(COLUMN()-7)/4)</f>
        <v>2008</v>
      </c>
      <c r="BH39" s="3765"/>
      <c r="BI39" s="3765"/>
      <c r="BJ39" s="3766"/>
      <c r="BK39" s="3764">
        <f ca="1">OFFSET(InputY!$G$3,0,(COLUMN()-7)/4)</f>
        <v>2009</v>
      </c>
      <c r="BL39" s="3765"/>
      <c r="BM39" s="3765"/>
      <c r="BN39" s="3766"/>
      <c r="BO39" s="3764">
        <f ca="1">OFFSET(InputY!$G$3,0,(COLUMN()-7)/4)</f>
        <v>2010</v>
      </c>
      <c r="BP39" s="3765"/>
      <c r="BQ39" s="3765"/>
      <c r="BR39" s="3766"/>
      <c r="BS39" s="3764">
        <f ca="1">OFFSET(InputY!$G$3,0,(COLUMN()-7)/4)</f>
        <v>2011</v>
      </c>
      <c r="BT39" s="3765"/>
      <c r="BU39" s="3765"/>
      <c r="BV39" s="3766"/>
      <c r="BW39" s="3764">
        <f ca="1">OFFSET(InputY!$G$3,0,(COLUMN()-7)/4)</f>
        <v>2012</v>
      </c>
      <c r="BX39" s="3765"/>
      <c r="BY39" s="3765"/>
      <c r="BZ39" s="3766"/>
      <c r="CA39" s="3764">
        <f ca="1">OFFSET(InputY!$G$3,0,(COLUMN()-7)/4)</f>
        <v>2013</v>
      </c>
      <c r="CB39" s="3765"/>
      <c r="CC39" s="3765"/>
      <c r="CD39" s="3766"/>
      <c r="CE39" s="3764">
        <f ca="1">OFFSET(InputY!$G$3,0,(COLUMN()-7)/4)</f>
        <v>2014</v>
      </c>
      <c r="CF39" s="3765"/>
      <c r="CG39" s="3765"/>
      <c r="CH39" s="3766"/>
      <c r="CI39" s="3764">
        <f ca="1">OFFSET(InputY!$G$3,0,(COLUMN()-7)/4)</f>
        <v>2015</v>
      </c>
      <c r="CJ39" s="3765"/>
      <c r="CK39" s="3765"/>
      <c r="CL39" s="3766"/>
      <c r="CM39" s="3764">
        <f ca="1">OFFSET(InputY!$G$3,0,(COLUMN()-7)/4)</f>
        <v>2016</v>
      </c>
      <c r="CN39" s="3765"/>
      <c r="CO39" s="3765"/>
      <c r="CP39" s="3766"/>
      <c r="CQ39" s="3764">
        <f ca="1">OFFSET(InputY!$G$3,0,(COLUMN()-7)/4)</f>
        <v>2017</v>
      </c>
      <c r="CR39" s="3765"/>
      <c r="CS39" s="3765"/>
      <c r="CT39" s="3766"/>
      <c r="CU39" s="3764">
        <f ca="1">OFFSET(InputY!$G$3,0,(COLUMN()-7)/4)</f>
        <v>2018</v>
      </c>
      <c r="CV39" s="3765"/>
      <c r="CW39" s="3765"/>
      <c r="CX39" s="3766"/>
      <c r="CY39" s="3764">
        <f ca="1">OFFSET(InputY!$G$3,0,(COLUMN()-7)/4)</f>
        <v>2019</v>
      </c>
      <c r="CZ39" s="3765"/>
      <c r="DA39" s="3765"/>
      <c r="DB39" s="3766"/>
    </row>
    <row r="40" spans="1:119" s="699" customFormat="1" ht="12.75" customHeight="1">
      <c r="A40" s="664"/>
      <c r="B40" s="664"/>
      <c r="C40" s="666"/>
      <c r="D40" s="695"/>
      <c r="E40" s="3618" t="s">
        <v>1892</v>
      </c>
      <c r="F40" s="3619"/>
      <c r="G40" s="1566" t="s">
        <v>1842</v>
      </c>
      <c r="H40" s="1567" t="s">
        <v>1843</v>
      </c>
      <c r="I40" s="1567" t="s">
        <v>1844</v>
      </c>
      <c r="J40" s="1568" t="s">
        <v>1845</v>
      </c>
      <c r="K40" s="1566" t="s">
        <v>1842</v>
      </c>
      <c r="L40" s="1567" t="s">
        <v>1843</v>
      </c>
      <c r="M40" s="1567" t="s">
        <v>1844</v>
      </c>
      <c r="N40" s="1568" t="s">
        <v>1845</v>
      </c>
      <c r="O40" s="1566" t="s">
        <v>1842</v>
      </c>
      <c r="P40" s="1567" t="s">
        <v>1843</v>
      </c>
      <c r="Q40" s="1567" t="s">
        <v>1844</v>
      </c>
      <c r="R40" s="1568" t="s">
        <v>1845</v>
      </c>
      <c r="S40" s="1566" t="s">
        <v>1842</v>
      </c>
      <c r="T40" s="1567" t="s">
        <v>1843</v>
      </c>
      <c r="U40" s="1567" t="s">
        <v>1844</v>
      </c>
      <c r="V40" s="1568" t="s">
        <v>1845</v>
      </c>
      <c r="W40" s="1566" t="s">
        <v>1842</v>
      </c>
      <c r="X40" s="1567" t="s">
        <v>1843</v>
      </c>
      <c r="Y40" s="1567" t="s">
        <v>1844</v>
      </c>
      <c r="Z40" s="1568" t="s">
        <v>1845</v>
      </c>
      <c r="AA40" s="1566" t="s">
        <v>1842</v>
      </c>
      <c r="AB40" s="1567" t="s">
        <v>1843</v>
      </c>
      <c r="AC40" s="1567" t="s">
        <v>1844</v>
      </c>
      <c r="AD40" s="1568" t="s">
        <v>1845</v>
      </c>
      <c r="AE40" s="1566" t="s">
        <v>1842</v>
      </c>
      <c r="AF40" s="1567" t="s">
        <v>1843</v>
      </c>
      <c r="AG40" s="1567" t="s">
        <v>1844</v>
      </c>
      <c r="AH40" s="1568" t="s">
        <v>1845</v>
      </c>
      <c r="AI40" s="1566" t="s">
        <v>1842</v>
      </c>
      <c r="AJ40" s="1567" t="s">
        <v>1843</v>
      </c>
      <c r="AK40" s="1567" t="s">
        <v>1844</v>
      </c>
      <c r="AL40" s="1568" t="s">
        <v>1845</v>
      </c>
      <c r="AM40" s="1566" t="s">
        <v>1842</v>
      </c>
      <c r="AN40" s="1567" t="s">
        <v>1843</v>
      </c>
      <c r="AO40" s="1567" t="s">
        <v>1844</v>
      </c>
      <c r="AP40" s="1568" t="s">
        <v>1845</v>
      </c>
      <c r="AQ40" s="1566" t="s">
        <v>1842</v>
      </c>
      <c r="AR40" s="1567" t="s">
        <v>1843</v>
      </c>
      <c r="AS40" s="1567" t="s">
        <v>1844</v>
      </c>
      <c r="AT40" s="1568" t="s">
        <v>1845</v>
      </c>
      <c r="AU40" s="1566" t="s">
        <v>1842</v>
      </c>
      <c r="AV40" s="1567" t="s">
        <v>1843</v>
      </c>
      <c r="AW40" s="1567" t="s">
        <v>1844</v>
      </c>
      <c r="AX40" s="1568" t="s">
        <v>1845</v>
      </c>
      <c r="AY40" s="1566" t="s">
        <v>1842</v>
      </c>
      <c r="AZ40" s="1567" t="s">
        <v>1843</v>
      </c>
      <c r="BA40" s="1567" t="s">
        <v>1844</v>
      </c>
      <c r="BB40" s="1568" t="s">
        <v>1845</v>
      </c>
      <c r="BC40" s="1566" t="s">
        <v>1842</v>
      </c>
      <c r="BD40" s="1567" t="s">
        <v>1843</v>
      </c>
      <c r="BE40" s="1567" t="s">
        <v>1844</v>
      </c>
      <c r="BF40" s="1568" t="s">
        <v>1845</v>
      </c>
      <c r="BG40" s="1566" t="s">
        <v>1842</v>
      </c>
      <c r="BH40" s="1567" t="s">
        <v>1843</v>
      </c>
      <c r="BI40" s="1567" t="s">
        <v>1844</v>
      </c>
      <c r="BJ40" s="1568" t="s">
        <v>1845</v>
      </c>
      <c r="BK40" s="1566" t="s">
        <v>1842</v>
      </c>
      <c r="BL40" s="1567" t="s">
        <v>1843</v>
      </c>
      <c r="BM40" s="1567" t="s">
        <v>1844</v>
      </c>
      <c r="BN40" s="1568" t="s">
        <v>1845</v>
      </c>
      <c r="BO40" s="1566" t="s">
        <v>1842</v>
      </c>
      <c r="BP40" s="1567" t="s">
        <v>1843</v>
      </c>
      <c r="BQ40" s="1567" t="s">
        <v>1844</v>
      </c>
      <c r="BR40" s="1568" t="s">
        <v>1845</v>
      </c>
      <c r="BS40" s="1566" t="s">
        <v>1842</v>
      </c>
      <c r="BT40" s="1567" t="s">
        <v>1843</v>
      </c>
      <c r="BU40" s="1567" t="s">
        <v>1844</v>
      </c>
      <c r="BV40" s="1568" t="s">
        <v>1845</v>
      </c>
      <c r="BW40" s="1566" t="s">
        <v>1842</v>
      </c>
      <c r="BX40" s="1567" t="s">
        <v>1843</v>
      </c>
      <c r="BY40" s="1567" t="s">
        <v>1844</v>
      </c>
      <c r="BZ40" s="1568" t="s">
        <v>1845</v>
      </c>
      <c r="CA40" s="1566" t="s">
        <v>1842</v>
      </c>
      <c r="CB40" s="1567" t="s">
        <v>1843</v>
      </c>
      <c r="CC40" s="1567" t="s">
        <v>1844</v>
      </c>
      <c r="CD40" s="1568" t="s">
        <v>1845</v>
      </c>
      <c r="CE40" s="1566" t="s">
        <v>1842</v>
      </c>
      <c r="CF40" s="1567" t="s">
        <v>1843</v>
      </c>
      <c r="CG40" s="1567" t="s">
        <v>1844</v>
      </c>
      <c r="CH40" s="1568" t="s">
        <v>1845</v>
      </c>
      <c r="CI40" s="1566" t="s">
        <v>1842</v>
      </c>
      <c r="CJ40" s="1567" t="s">
        <v>1843</v>
      </c>
      <c r="CK40" s="1567" t="s">
        <v>1844</v>
      </c>
      <c r="CL40" s="1568" t="s">
        <v>1845</v>
      </c>
      <c r="CM40" s="1566" t="s">
        <v>1842</v>
      </c>
      <c r="CN40" s="1567" t="s">
        <v>1843</v>
      </c>
      <c r="CO40" s="1567" t="s">
        <v>1844</v>
      </c>
      <c r="CP40" s="1568" t="s">
        <v>1845</v>
      </c>
      <c r="CQ40" s="1566" t="s">
        <v>1842</v>
      </c>
      <c r="CR40" s="1567" t="s">
        <v>1843</v>
      </c>
      <c r="CS40" s="1567" t="s">
        <v>1844</v>
      </c>
      <c r="CT40" s="1568" t="s">
        <v>1845</v>
      </c>
      <c r="CU40" s="1566" t="s">
        <v>1842</v>
      </c>
      <c r="CV40" s="1567" t="s">
        <v>1843</v>
      </c>
      <c r="CW40" s="1567" t="s">
        <v>1844</v>
      </c>
      <c r="CX40" s="1568" t="s">
        <v>1845</v>
      </c>
      <c r="CY40" s="1566" t="s">
        <v>1842</v>
      </c>
      <c r="CZ40" s="1567" t="s">
        <v>1843</v>
      </c>
      <c r="DA40" s="1567" t="s">
        <v>1844</v>
      </c>
      <c r="DB40" s="1568" t="s">
        <v>1845</v>
      </c>
      <c r="DC40"/>
      <c r="DD40"/>
      <c r="DE40"/>
      <c r="DF40"/>
      <c r="DG40"/>
      <c r="DH40"/>
      <c r="DI40"/>
      <c r="DJ40"/>
      <c r="DK40"/>
      <c r="DL40"/>
      <c r="DM40"/>
      <c r="DN40"/>
      <c r="DO40"/>
    </row>
    <row r="41" spans="1:119" s="699" customFormat="1" ht="12.75" customHeight="1">
      <c r="A41" s="664" t="str">
        <f>"Q" &amp; ROW(InputQ!A6)</f>
        <v>Q6</v>
      </c>
      <c r="C41" s="667"/>
      <c r="D41" s="668"/>
      <c r="E41" s="3620" t="s">
        <v>764</v>
      </c>
      <c r="F41" s="3621"/>
      <c r="G41" s="780">
        <f>InputQ!G6/1000</f>
        <v>0.81843721037998152</v>
      </c>
      <c r="H41" s="780">
        <f>InputQ!H6/1000</f>
        <v>0.81655468025949962</v>
      </c>
      <c r="I41" s="780">
        <f>InputQ!I6/1000</f>
        <v>0.81806070435588507</v>
      </c>
      <c r="J41" s="780">
        <f>InputQ!J6/1000</f>
        <v>0.82501158480074144</v>
      </c>
      <c r="K41" s="780">
        <f>InputQ!K6/1000</f>
        <v>0.81438253012048201</v>
      </c>
      <c r="L41" s="780">
        <f>InputQ!L6/1000</f>
        <v>0.81357159406858204</v>
      </c>
      <c r="M41" s="780">
        <f>InputQ!M6/1000</f>
        <v>0.82489573679332717</v>
      </c>
      <c r="N41" s="780">
        <f>InputQ!N6/1000</f>
        <v>0.81678637627432804</v>
      </c>
      <c r="O41" s="780">
        <f>InputQ!O6/1000</f>
        <v>0.82437442075996292</v>
      </c>
      <c r="P41" s="780">
        <f>InputQ!P6/1000</f>
        <v>0.84670412418906404</v>
      </c>
      <c r="Q41" s="780">
        <f>InputQ!Q6/1000</f>
        <v>0.85272822057460618</v>
      </c>
      <c r="R41" s="780">
        <f>InputQ!R6/1000</f>
        <v>0.84838392029657095</v>
      </c>
      <c r="S41" s="780">
        <f>InputQ!S6/1000</f>
        <v>0.88001042632066728</v>
      </c>
      <c r="T41" s="780">
        <f>InputQ!T6/1000</f>
        <v>0.88096617238183517</v>
      </c>
      <c r="U41" s="780">
        <f>InputQ!U6/1000</f>
        <v>0.88203776645041709</v>
      </c>
      <c r="V41" s="780">
        <f>InputQ!V6/1000</f>
        <v>0.89255097312326237</v>
      </c>
      <c r="W41" s="780">
        <f>InputQ!W6/1000</f>
        <v>0.85820203892493041</v>
      </c>
      <c r="X41" s="780">
        <f>InputQ!X6/1000</f>
        <v>0.85304680259499532</v>
      </c>
      <c r="Y41" s="780">
        <f>InputQ!Y6/1000</f>
        <v>0.83711770157553289</v>
      </c>
      <c r="Z41" s="780">
        <f>InputQ!Z6/1000</f>
        <v>0.8364226135310473</v>
      </c>
      <c r="AA41" s="780">
        <f>InputQ!AA6/1000</f>
        <v>0.8540604726598704</v>
      </c>
      <c r="AB41" s="780">
        <f>InputQ!AB6/1000</f>
        <v>0.84583526413345689</v>
      </c>
      <c r="AC41" s="780">
        <f>InputQ!AC6/1000</f>
        <v>0.84873146431881374</v>
      </c>
      <c r="AD41" s="780">
        <f>InputQ!AD6/1000</f>
        <v>0.85258341056533837</v>
      </c>
      <c r="AE41" s="780">
        <f>InputQ!AE6/1000</f>
        <v>0.85652224281742362</v>
      </c>
      <c r="AF41" s="780">
        <f>InputQ!AF6/1000</f>
        <v>0.85907089898053757</v>
      </c>
      <c r="AG41" s="780">
        <f>InputQ!AG6/1000</f>
        <v>0.85768072289156638</v>
      </c>
      <c r="AH41" s="780">
        <f>InputQ!AH6/1000</f>
        <v>0.85950532900834109</v>
      </c>
      <c r="AI41" s="780">
        <f>InputQ!AI6/1000</f>
        <v>0.87268303985171447</v>
      </c>
      <c r="AJ41" s="780">
        <f>InputQ!AJ6/1000</f>
        <v>0.86969995366079711</v>
      </c>
      <c r="AK41" s="780">
        <f>InputQ!AK6/1000</f>
        <v>0.88623725671918441</v>
      </c>
      <c r="AL41" s="780">
        <f>InputQ!AL6/1000</f>
        <v>0.88869902687673774</v>
      </c>
      <c r="AM41" s="780">
        <f>InputQ!AM6/1000</f>
        <v>0.89289851714550517</v>
      </c>
      <c r="AN41" s="780">
        <f>InputQ!AN6/1000</f>
        <v>0.90401992585727531</v>
      </c>
      <c r="AO41" s="780">
        <f>InputQ!AO6/1000</f>
        <v>0.9091751621872104</v>
      </c>
      <c r="AP41" s="780">
        <f>InputQ!AP6/1000</f>
        <v>0.91986214087117713</v>
      </c>
      <c r="AQ41" s="780">
        <f>InputQ!AQ6/1000</f>
        <v>0.93040430954587594</v>
      </c>
      <c r="AR41" s="780">
        <f>InputQ!AR6/1000</f>
        <v>0.94885310472659867</v>
      </c>
      <c r="AS41" s="780">
        <f>InputQ!AS6/1000</f>
        <v>0.9545875810936052</v>
      </c>
      <c r="AT41" s="780">
        <f>InputQ!AT6/1000</f>
        <v>0.96058271547729368</v>
      </c>
      <c r="AU41" s="780">
        <f>InputQ!AU6/1000</f>
        <v>1.3931</v>
      </c>
      <c r="AV41" s="780">
        <f>InputQ!AV6/1000</f>
        <v>1.3956</v>
      </c>
      <c r="AW41" s="780">
        <f>InputQ!AW6/1000</f>
        <v>1.3995</v>
      </c>
      <c r="AX41" s="780">
        <f>InputQ!AX6/1000</f>
        <v>1.3957999999999999</v>
      </c>
      <c r="AY41" s="780">
        <f>InputQ!AY6/1000</f>
        <v>1.4036999999999999</v>
      </c>
      <c r="AZ41" s="780">
        <f>InputQ!AZ6/1000</f>
        <v>1.4102000000000001</v>
      </c>
      <c r="BA41" s="780">
        <f>InputQ!BA6/1000</f>
        <v>1.4405999999999999</v>
      </c>
      <c r="BB41" s="780">
        <f>InputQ!BB6/1000</f>
        <v>1.4470000000000001</v>
      </c>
      <c r="BC41" s="780">
        <f>InputQ!BC6/1000</f>
        <v>1.4535</v>
      </c>
      <c r="BD41" s="780">
        <f>InputQ!BD6/1000</f>
        <v>1.4619000000000002</v>
      </c>
      <c r="BE41" s="780">
        <f>InputQ!BE6/1000</f>
        <v>1.4362000000000001</v>
      </c>
      <c r="BF41" s="780">
        <f>InputQ!BF6/1000</f>
        <v>1.4554</v>
      </c>
      <c r="BG41" s="780">
        <f>InputQ!BG6/1000</f>
        <v>1.4490999999999998</v>
      </c>
      <c r="BH41" s="780">
        <f>InputQ!BH6/1000</f>
        <v>1.4505999999999999</v>
      </c>
      <c r="BI41" s="780">
        <f>InputQ!BI6/1000</f>
        <v>1.4658</v>
      </c>
      <c r="BJ41" s="780">
        <f>InputQ!BJ6/1000</f>
        <v>1.4590000000000001</v>
      </c>
      <c r="BK41" s="780">
        <f>InputQ!BK6/1000</f>
        <v>1.4550999999999998</v>
      </c>
      <c r="BL41" s="780">
        <f>InputQ!BL6/1000</f>
        <v>1.4484999999999999</v>
      </c>
      <c r="BM41" s="780">
        <f>InputQ!BM6/1000</f>
        <v>1.4235</v>
      </c>
      <c r="BN41" s="780">
        <f>InputQ!BN6/1000</f>
        <v>1.4170999999999998</v>
      </c>
      <c r="BO41" s="780">
        <f>InputQ!BO6/1000</f>
        <v>1.4037999999999999</v>
      </c>
      <c r="BP41" s="780">
        <f>InputQ!BP6/1000</f>
        <v>1.3900999999999999</v>
      </c>
      <c r="BQ41" s="780">
        <f>InputQ!BQ6/1000</f>
        <v>1.3904000000000001</v>
      </c>
      <c r="BR41" s="780">
        <f>InputQ!BR6/1000</f>
        <v>1.3809</v>
      </c>
      <c r="BS41" s="780">
        <f>InputQ!BS6/1000</f>
        <v>1.38</v>
      </c>
      <c r="BT41" s="780">
        <f>InputQ!BT6/1000</f>
        <v>1.3847</v>
      </c>
      <c r="BU41" s="780">
        <f>InputQ!BU6/1000</f>
        <v>1.3865000000000001</v>
      </c>
      <c r="BV41" s="780">
        <f>InputQ!BV6/1000</f>
        <v>1.3913</v>
      </c>
      <c r="BW41" s="780">
        <f>InputQ!BW6/1000</f>
        <v>1.4005000000000001</v>
      </c>
      <c r="BX41" s="780">
        <f>InputQ!BX6/1000</f>
        <v>1.4019999999999999</v>
      </c>
      <c r="BY41" s="780">
        <f>InputQ!BY6/1000</f>
        <v>1.4053</v>
      </c>
      <c r="BZ41" s="780">
        <f>InputQ!BZ6/1000</f>
        <v>1.4080999999999999</v>
      </c>
      <c r="CA41" s="780">
        <f>InputQ!CA6/1000</f>
        <v>1.4109</v>
      </c>
      <c r="CB41" s="780">
        <f>InputQ!CB6/1000</f>
        <v>1.413</v>
      </c>
      <c r="CC41" s="780">
        <f>InputQ!CC6/1000</f>
        <v>1.4167000000000001</v>
      </c>
      <c r="CD41" s="780">
        <f>InputQ!CD6/1000</f>
        <v>1.4137</v>
      </c>
      <c r="CE41" s="780">
        <f>InputQ!CE6/1000</f>
        <v>1.4157999999999999</v>
      </c>
      <c r="CF41" s="780">
        <f>InputQ!CF6/1000</f>
        <v>1.4173</v>
      </c>
      <c r="CG41" s="780">
        <f>InputQ!CG6/1000</f>
        <v>1.4170999999999998</v>
      </c>
      <c r="CH41" s="780">
        <f>InputQ!CH6/1000</f>
        <v>1.4220999999999999</v>
      </c>
      <c r="CI41" s="780">
        <f>InputQ!CI6/1000</f>
        <v>1.4177999999999999</v>
      </c>
      <c r="CJ41" s="780">
        <f>InputQ!CJ6/1000</f>
        <v>1.4210999999999998</v>
      </c>
      <c r="CK41" s="780">
        <f>InputQ!CK6/1000</f>
        <v>1.4212</v>
      </c>
      <c r="CL41" s="780">
        <f>InputQ!CL6/1000</f>
        <v>1.4196</v>
      </c>
      <c r="CM41" s="780">
        <f>InputQ!CM6/1000</f>
        <v>1.4294</v>
      </c>
      <c r="CN41" s="780">
        <f>InputQ!CN6/1000</f>
        <v>1.4327999999999999</v>
      </c>
      <c r="CO41" s="780">
        <f>InputQ!CO6/1000</f>
        <v>1.4419000000000002</v>
      </c>
      <c r="CP41" s="780">
        <f>InputQ!CP6/1000</f>
        <v>1.4504000000000001</v>
      </c>
      <c r="CQ41" s="780">
        <f>InputQ!CQ6/1000</f>
        <v>1.4517</v>
      </c>
      <c r="CR41" s="780">
        <f>InputQ!CR6/1000</f>
        <v>1.4550000000000001</v>
      </c>
      <c r="CS41" s="780">
        <f>InputQ!CS6/1000</f>
        <v>1.4564000000000001</v>
      </c>
      <c r="CT41" s="780">
        <f>InputQ!CT6/1000</f>
        <v>1.4585999999999999</v>
      </c>
      <c r="CU41" s="1591">
        <f t="shared" ref="CU41:CX41" si="111">CT41*(1+CU46/100)</f>
        <v>1.4658929999999997</v>
      </c>
      <c r="CV41" s="1591">
        <f t="shared" si="111"/>
        <v>1.4746883579999996</v>
      </c>
      <c r="CW41" s="1591">
        <f t="shared" si="111"/>
        <v>1.4835364881479995</v>
      </c>
      <c r="CX41" s="1591">
        <f t="shared" si="111"/>
        <v>1.4924377070768875</v>
      </c>
      <c r="CY41" s="1591">
        <f t="shared" ref="CY41" si="112">CX41*(1+CY46/100)</f>
        <v>1.4969150201981181</v>
      </c>
      <c r="CZ41" s="1591">
        <f t="shared" ref="CZ41" si="113">CY41*(1+CZ46/100)</f>
        <v>1.5006573077486132</v>
      </c>
      <c r="DA41" s="1591">
        <f t="shared" ref="DA41" si="114">CZ41*(1+DA46/100)</f>
        <v>1.5036586223641104</v>
      </c>
      <c r="DB41" s="1591">
        <f t="shared" ref="DB41" si="115">DA41*(1+DB46/100)</f>
        <v>1.5063652078843659</v>
      </c>
      <c r="DC41"/>
      <c r="DD41"/>
      <c r="DE41"/>
      <c r="DF41"/>
      <c r="DG41"/>
      <c r="DH41"/>
      <c r="DI41"/>
      <c r="DJ41"/>
      <c r="DK41"/>
      <c r="DL41"/>
      <c r="DM41"/>
      <c r="DN41"/>
      <c r="DO41"/>
    </row>
    <row r="42" spans="1:119" s="26" customFormat="1">
      <c r="A42" s="673"/>
      <c r="B42" s="673"/>
      <c r="C42" s="687"/>
      <c r="D42" s="683"/>
      <c r="E42" s="684" t="s">
        <v>266</v>
      </c>
      <c r="F42" s="685"/>
      <c r="G42" s="1570"/>
      <c r="H42" s="1571"/>
      <c r="I42" s="1571"/>
      <c r="J42" s="1575">
        <f>SUM(G41:J41)</f>
        <v>3.2780641797961079</v>
      </c>
      <c r="K42" s="1570"/>
      <c r="L42" s="1571"/>
      <c r="M42" s="1571"/>
      <c r="N42" s="1575">
        <f>SUM(K41:N41)</f>
        <v>3.2696362372567194</v>
      </c>
      <c r="O42" s="1570"/>
      <c r="P42" s="1571"/>
      <c r="Q42" s="1571"/>
      <c r="R42" s="1575">
        <f>SUM(O41:R41)</f>
        <v>3.372190685820204</v>
      </c>
      <c r="S42" s="1570"/>
      <c r="T42" s="1571"/>
      <c r="U42" s="1571"/>
      <c r="V42" s="1575">
        <f>SUM(S41:V41)</f>
        <v>3.5355653382761818</v>
      </c>
      <c r="W42" s="1570"/>
      <c r="X42" s="1571"/>
      <c r="Y42" s="1571"/>
      <c r="Z42" s="1575">
        <f>SUM(W41:Z41)</f>
        <v>3.384789156626506</v>
      </c>
      <c r="AA42" s="1570"/>
      <c r="AB42" s="1571"/>
      <c r="AC42" s="1571"/>
      <c r="AD42" s="1575">
        <f>SUM(AA41:AD41)</f>
        <v>3.4012106116774792</v>
      </c>
      <c r="AE42" s="1570"/>
      <c r="AF42" s="1571"/>
      <c r="AG42" s="1571"/>
      <c r="AH42" s="1575">
        <f>SUM(AE41:AH41)</f>
        <v>3.4327791936978684</v>
      </c>
      <c r="AI42" s="1570"/>
      <c r="AJ42" s="1571"/>
      <c r="AK42" s="1571"/>
      <c r="AL42" s="1575">
        <f>SUM(AI41:AL41)</f>
        <v>3.5173192771084336</v>
      </c>
      <c r="AM42" s="1570"/>
      <c r="AN42" s="1571"/>
      <c r="AO42" s="1571"/>
      <c r="AP42" s="1575">
        <f>SUM(AM41:AP41)</f>
        <v>3.6259557460611678</v>
      </c>
      <c r="AQ42" s="1570"/>
      <c r="AR42" s="1571"/>
      <c r="AS42" s="1571"/>
      <c r="AT42" s="1575">
        <f>SUM(AQ41:AT41)</f>
        <v>3.7944277108433733</v>
      </c>
      <c r="AU42" s="1570"/>
      <c r="AV42" s="1571"/>
      <c r="AW42" s="1571"/>
      <c r="AX42" s="1575">
        <f>SUM(AU41:AX41)</f>
        <v>5.5839999999999996</v>
      </c>
      <c r="AY42" s="1570"/>
      <c r="AZ42" s="1571"/>
      <c r="BA42" s="1571"/>
      <c r="BB42" s="1575">
        <f>SUM(AY41:BB41)</f>
        <v>5.7015000000000002</v>
      </c>
      <c r="BC42" s="1570"/>
      <c r="BD42" s="1571"/>
      <c r="BE42" s="1571"/>
      <c r="BF42" s="1575">
        <f>SUM(BC41:BF41)</f>
        <v>5.8070000000000004</v>
      </c>
      <c r="BG42" s="1570"/>
      <c r="BH42" s="1571"/>
      <c r="BI42" s="1571"/>
      <c r="BJ42" s="1575">
        <f>SUM(BG41:BJ41)</f>
        <v>5.8245000000000005</v>
      </c>
      <c r="BK42" s="1570"/>
      <c r="BL42" s="1571"/>
      <c r="BM42" s="1571"/>
      <c r="BN42" s="1575">
        <f>SUM(BK41:BN41)</f>
        <v>5.7441999999999993</v>
      </c>
      <c r="BO42" s="1570"/>
      <c r="BP42" s="1571"/>
      <c r="BQ42" s="1571"/>
      <c r="BR42" s="1575">
        <f>SUM(BO41:BR41)</f>
        <v>5.5652000000000008</v>
      </c>
      <c r="BS42" s="1570"/>
      <c r="BT42" s="1571"/>
      <c r="BU42" s="1571"/>
      <c r="BV42" s="1575">
        <f>SUM(BS41:BV41)</f>
        <v>5.5425000000000004</v>
      </c>
      <c r="BW42" s="1570"/>
      <c r="BX42" s="1571"/>
      <c r="BY42" s="1571"/>
      <c r="BZ42" s="1575">
        <f>SUM(BW41:BZ41)</f>
        <v>5.6159000000000008</v>
      </c>
      <c r="CA42" s="1570"/>
      <c r="CB42" s="1571"/>
      <c r="CC42" s="1571"/>
      <c r="CD42" s="1575">
        <f>SUM(CA41:CD41)</f>
        <v>5.654300000000001</v>
      </c>
      <c r="CE42" s="1570"/>
      <c r="CF42" s="1571"/>
      <c r="CG42" s="1571"/>
      <c r="CH42" s="1575">
        <f>SUM(CE41:CH41)</f>
        <v>5.6722999999999999</v>
      </c>
      <c r="CI42" s="1570"/>
      <c r="CJ42" s="1571"/>
      <c r="CK42" s="1571"/>
      <c r="CL42" s="1575">
        <f>SUM(CI41:CL41)</f>
        <v>5.6796999999999995</v>
      </c>
      <c r="CM42" s="1570"/>
      <c r="CN42" s="1571"/>
      <c r="CO42" s="1571"/>
      <c r="CP42" s="1575">
        <f>SUM(CM41:CP41)</f>
        <v>5.7545000000000002</v>
      </c>
      <c r="CQ42" s="1570"/>
      <c r="CR42" s="1571"/>
      <c r="CS42" s="1571"/>
      <c r="CT42" s="1575">
        <f>SUM(CQ41:CT41)</f>
        <v>5.8216999999999999</v>
      </c>
      <c r="CU42" s="1570"/>
      <c r="CV42" s="1571"/>
      <c r="CW42" s="1571"/>
      <c r="CX42" s="1575">
        <f>SUM(CU41:CX41)</f>
        <v>5.9165555532248861</v>
      </c>
      <c r="CY42" s="1570"/>
      <c r="CZ42" s="1571"/>
      <c r="DA42" s="1571"/>
      <c r="DB42" s="1575">
        <f>SUM(CY41:DB41)</f>
        <v>6.0075961581952075</v>
      </c>
      <c r="DC42"/>
      <c r="DD42"/>
      <c r="DE42"/>
      <c r="DF42"/>
      <c r="DG42"/>
      <c r="DH42"/>
      <c r="DI42"/>
      <c r="DJ42"/>
      <c r="DK42"/>
      <c r="DL42"/>
      <c r="DM42"/>
      <c r="DN42"/>
      <c r="DO42"/>
    </row>
    <row r="43" spans="1:119" s="699" customFormat="1" ht="12.75" customHeight="1">
      <c r="A43" s="664"/>
      <c r="B43" s="664"/>
      <c r="C43" s="669"/>
      <c r="D43" s="679"/>
      <c r="E43" s="1572" t="s">
        <v>1847</v>
      </c>
      <c r="F43" s="679"/>
      <c r="G43" s="1573"/>
      <c r="H43" s="2839" t="s">
        <v>757</v>
      </c>
      <c r="I43" s="2840">
        <f ca="1">+J43/J42*100</f>
        <v>142.45175352266102</v>
      </c>
      <c r="J43" s="1574">
        <f ca="1">OFFSET('VVP2'!$G$13,0,(COLUMN()-10)/4)</f>
        <v>4.6696599057177908</v>
      </c>
      <c r="K43" s="1573"/>
      <c r="L43" s="2839" t="s">
        <v>757</v>
      </c>
      <c r="M43" s="2840">
        <f ca="1">+N43/N42*100</f>
        <v>141.81609253402755</v>
      </c>
      <c r="N43" s="1574">
        <f ca="1">OFFSET('VVP2'!$G$13,0,(COLUMN()-10)/4)</f>
        <v>4.6368703517540855</v>
      </c>
      <c r="O43" s="1573"/>
      <c r="P43" s="2839" t="s">
        <v>757</v>
      </c>
      <c r="Q43" s="2840">
        <f ca="1">+R43/R42*100</f>
        <v>142.20036339733042</v>
      </c>
      <c r="R43" s="1574">
        <f ca="1">OFFSET('VVP2'!$G$13,0,(COLUMN()-10)/4)</f>
        <v>4.7952674096872592</v>
      </c>
      <c r="S43" s="1573"/>
      <c r="T43" s="2839" t="s">
        <v>757</v>
      </c>
      <c r="U43" s="2840">
        <f ca="1">+V43/V42*100</f>
        <v>142.43211290710101</v>
      </c>
      <c r="V43" s="1574">
        <f ca="1">OFFSET('VVP2'!$G$13,0,(COLUMN()-10)/4)</f>
        <v>5.03578041451786</v>
      </c>
      <c r="W43" s="1573"/>
      <c r="X43" s="2839" t="s">
        <v>757</v>
      </c>
      <c r="Y43" s="2840">
        <f ca="1">+Z43/Z42*100</f>
        <v>142.20112907655701</v>
      </c>
      <c r="Z43" s="1574">
        <f ca="1">OFFSET('VVP2'!$G$13,0,(COLUMN()-10)/4)</f>
        <v>4.8132083975837627</v>
      </c>
      <c r="AA43" s="1573"/>
      <c r="AB43" s="2839" t="s">
        <v>757</v>
      </c>
      <c r="AC43" s="2840">
        <f ca="1">+AD43/AD42*100</f>
        <v>141.83079150506214</v>
      </c>
      <c r="AD43" s="1574">
        <f ca="1">OFFSET('VVP2'!$G$13,0,(COLUMN()-10)/4)</f>
        <v>4.8239639312963334</v>
      </c>
      <c r="AE43" s="1573"/>
      <c r="AF43" s="2839" t="s">
        <v>757</v>
      </c>
      <c r="AG43" s="2840">
        <f ca="1">+AH43/AH42*100</f>
        <v>142.43842361910828</v>
      </c>
      <c r="AH43" s="1574">
        <f ca="1">OFFSET('VVP2'!$G$13,0,(COLUMN()-10)/4)</f>
        <v>4.8895965698279795</v>
      </c>
      <c r="AI43" s="1573"/>
      <c r="AJ43" s="2839" t="s">
        <v>757</v>
      </c>
      <c r="AK43" s="2840">
        <f ca="1">+AL43/AL42*100</f>
        <v>142.43378603640596</v>
      </c>
      <c r="AL43" s="1574">
        <f ca="1">OFFSET('VVP2'!$G$13,0,(COLUMN()-10)/4)</f>
        <v>5.0098510133738872</v>
      </c>
      <c r="AM43" s="1573"/>
      <c r="AN43" s="2839" t="s">
        <v>757</v>
      </c>
      <c r="AO43" s="2840">
        <f ca="1">+AP43/AP42*100</f>
        <v>142.19954316893666</v>
      </c>
      <c r="AP43" s="1574">
        <f ca="1">OFFSET('VVP2'!$G$13,0,(COLUMN()-10)/4)</f>
        <v>5.1560925064067895</v>
      </c>
      <c r="AQ43" s="1573"/>
      <c r="AR43" s="2839" t="s">
        <v>757</v>
      </c>
      <c r="AS43" s="2840">
        <f ca="1">+AT43/AT42*100</f>
        <v>142.12841595554676</v>
      </c>
      <c r="AT43" s="1574">
        <f ca="1">OFFSET('VVP2'!$G$13,0,(COLUMN()-10)/4)</f>
        <v>5.3929600000000004</v>
      </c>
      <c r="AU43" s="1573"/>
      <c r="AV43" s="2839" t="s">
        <v>757</v>
      </c>
      <c r="AW43" s="2840">
        <f ca="1">+AX43/AX42*100</f>
        <v>100.01450573065904</v>
      </c>
      <c r="AX43" s="1574">
        <f ca="1">OFFSET('VVP2'!$G$13,0,(COLUMN()-10)/4)</f>
        <v>5.5848100000000001</v>
      </c>
      <c r="AY43" s="1573"/>
      <c r="AZ43" s="2839" t="s">
        <v>757</v>
      </c>
      <c r="BA43" s="2840">
        <f ca="1">+BB43/BB42*100</f>
        <v>100.01403139524687</v>
      </c>
      <c r="BB43" s="1574">
        <f ca="1">OFFSET('VVP2'!$G$13,0,(COLUMN()-10)/4)</f>
        <v>5.7023000000000001</v>
      </c>
      <c r="BC43" s="1573"/>
      <c r="BD43" s="2839" t="s">
        <v>757</v>
      </c>
      <c r="BE43" s="2840">
        <f ca="1">+BF43/BF42*100</f>
        <v>100.01429309454106</v>
      </c>
      <c r="BF43" s="1574">
        <f ca="1">OFFSET('VVP2'!$G$13,0,(COLUMN()-10)/4)</f>
        <v>5.80783</v>
      </c>
      <c r="BG43" s="1573"/>
      <c r="BH43" s="2839" t="s">
        <v>757</v>
      </c>
      <c r="BI43" s="2840">
        <f ca="1">+BJ43/BJ42*100</f>
        <v>99.949008498583552</v>
      </c>
      <c r="BJ43" s="1574">
        <f ca="1">OFFSET('VVP2'!$G$13,0,(COLUMN()-10)/4)</f>
        <v>5.8215300000000001</v>
      </c>
      <c r="BK43" s="1573"/>
      <c r="BL43" s="2839" t="s">
        <v>757</v>
      </c>
      <c r="BM43" s="2840">
        <f ca="1">+BN43/BN42*100</f>
        <v>100.01410118032103</v>
      </c>
      <c r="BN43" s="1574">
        <f ca="1">OFFSET('VVP2'!$G$13,0,(COLUMN()-10)/4)</f>
        <v>5.7450100000000006</v>
      </c>
      <c r="BO43" s="1573"/>
      <c r="BP43" s="2839" t="s">
        <v>757</v>
      </c>
      <c r="BQ43" s="2840">
        <f ca="1">+BR43/BR42*100</f>
        <v>99.967296772802399</v>
      </c>
      <c r="BR43" s="1574">
        <f ca="1">OFFSET('VVP2'!$G$13,0,(COLUMN()-10)/4)</f>
        <v>5.5633800000000004</v>
      </c>
      <c r="BS43" s="1573"/>
      <c r="BT43" s="2839" t="s">
        <v>757</v>
      </c>
      <c r="BU43" s="2840">
        <f ca="1">+BV43/BV42*100</f>
        <v>100.01948579161026</v>
      </c>
      <c r="BV43" s="1574">
        <f ca="1">OFFSET('VVP2'!$G$13,0,(COLUMN()-10)/4)</f>
        <v>5.5435799999999995</v>
      </c>
      <c r="BW43" s="1573"/>
      <c r="BX43" s="2839" t="s">
        <v>757</v>
      </c>
      <c r="BY43" s="2840">
        <f ca="1">+BZ43/BZ42*100</f>
        <v>99.980946954183636</v>
      </c>
      <c r="BZ43" s="1574">
        <f ca="1">OFFSET('VVP2'!$G$13,0,(COLUMN()-10)/4)</f>
        <v>5.6148299999999995</v>
      </c>
      <c r="CA43" s="1573"/>
      <c r="CB43" s="2839" t="s">
        <v>757</v>
      </c>
      <c r="CC43" s="2840">
        <f ca="1">+CD43/CD42*100</f>
        <v>100.01963107723324</v>
      </c>
      <c r="CD43" s="1574">
        <f ca="1">OFFSET('VVP2'!$G$13,0,(COLUMN()-10)/4)</f>
        <v>5.6554099999999998</v>
      </c>
      <c r="CE43" s="1573"/>
      <c r="CF43" s="2839" t="s">
        <v>757</v>
      </c>
      <c r="CG43" s="2840">
        <f ca="1">+CH43/CH42*100</f>
        <v>99.988717098884052</v>
      </c>
      <c r="CH43" s="1574">
        <f ca="1">OFFSET('VVP2'!$G$13,0,(COLUMN()-10)/4)</f>
        <v>5.6716600000000001</v>
      </c>
      <c r="CI43" s="1573"/>
      <c r="CJ43" s="2839" t="s">
        <v>757</v>
      </c>
      <c r="CK43" s="2840">
        <f ca="1">+CL43/CL42*100</f>
        <v>100.02253640157051</v>
      </c>
      <c r="CL43" s="1574">
        <f ca="1">OFFSET('VVP2'!$G$13,0,(COLUMN()-10)/4)</f>
        <v>5.6809799999999999</v>
      </c>
      <c r="CM43" s="1573"/>
      <c r="CN43" s="2839" t="s">
        <v>757</v>
      </c>
      <c r="CO43" s="2840">
        <f ca="1">+CP43/CP42*100</f>
        <v>99.998262229559458</v>
      </c>
      <c r="CP43" s="1574">
        <f ca="1">OFFSET('VVP2'!$G$13,0,(COLUMN()-10)/4)</f>
        <v>5.7543999999999995</v>
      </c>
      <c r="CQ43" s="1573"/>
      <c r="CR43" s="2839" t="s">
        <v>757</v>
      </c>
      <c r="CS43" s="2840">
        <f ca="1">+CT43/CT42*100</f>
        <v>99.989521960939243</v>
      </c>
      <c r="CT43" s="1574">
        <f ca="1">OFFSET('VVP2'!$G$13,0,(COLUMN()-10)/4)</f>
        <v>5.8210899999999999</v>
      </c>
      <c r="CU43" s="1573"/>
      <c r="CV43" s="2839" t="s">
        <v>757</v>
      </c>
      <c r="CW43" s="2840">
        <f ca="1">+CX43/CX42*100</f>
        <v>100.00000545545649</v>
      </c>
      <c r="CX43" s="1574">
        <f ca="1">OFFSET('VVP2'!$G$13,0,(COLUMN()-10)/4)</f>
        <v>5.9165558759999994</v>
      </c>
      <c r="CY43" s="1573"/>
      <c r="CZ43" s="2839" t="s">
        <v>757</v>
      </c>
      <c r="DA43" s="2840">
        <f ca="1">+DB43/DB42*100</f>
        <v>100.00124306450078</v>
      </c>
      <c r="DB43" s="1574">
        <f ca="1">OFFSET('VVP2'!$G$13,0,(COLUMN()-10)/4)</f>
        <v>6.0076708364903997</v>
      </c>
      <c r="DC43"/>
      <c r="DD43"/>
      <c r="DE43"/>
      <c r="DF43"/>
      <c r="DG43"/>
      <c r="DH43"/>
      <c r="DI43"/>
      <c r="DJ43"/>
      <c r="DK43"/>
      <c r="DL43"/>
      <c r="DM43"/>
      <c r="DN43"/>
      <c r="DO43"/>
    </row>
    <row r="44" spans="1:119">
      <c r="E44" s="599"/>
      <c r="F44" s="3617"/>
      <c r="AY44" s="217"/>
      <c r="BC44" s="217"/>
      <c r="BD44" s="217"/>
      <c r="BG44" s="217"/>
      <c r="BH44" s="217"/>
      <c r="CM44" s="557"/>
      <c r="CN44" s="557"/>
      <c r="CO44" s="557"/>
      <c r="CP44" s="557"/>
      <c r="CQ44" s="557">
        <v>1</v>
      </c>
      <c r="CR44" s="557"/>
      <c r="CS44" s="557"/>
      <c r="CT44" s="557"/>
      <c r="CU44" s="557">
        <v>1</v>
      </c>
      <c r="CV44" s="557"/>
      <c r="CW44" s="557"/>
      <c r="CX44" s="557"/>
      <c r="CY44" s="557">
        <v>1</v>
      </c>
      <c r="CZ44" s="557"/>
      <c r="DA44" s="557"/>
      <c r="DB44" s="557"/>
    </row>
    <row r="45" spans="1:119" s="699" customFormat="1" ht="12.75" customHeight="1">
      <c r="A45" s="664"/>
      <c r="B45" s="664"/>
      <c r="C45" s="1553"/>
      <c r="D45" s="742"/>
      <c r="E45" s="3384" t="s">
        <v>762</v>
      </c>
      <c r="F45" s="3622"/>
      <c r="G45" s="1578" t="str">
        <f t="shared" ref="G45:N45" si="116">G40</f>
        <v>Q1</v>
      </c>
      <c r="H45" s="1579" t="str">
        <f t="shared" si="116"/>
        <v>Q2</v>
      </c>
      <c r="I45" s="1579" t="str">
        <f t="shared" si="116"/>
        <v>Q3</v>
      </c>
      <c r="J45" s="1580" t="str">
        <f t="shared" si="116"/>
        <v>Q4</v>
      </c>
      <c r="K45" s="1578" t="str">
        <f t="shared" si="116"/>
        <v>Q1</v>
      </c>
      <c r="L45" s="1579" t="str">
        <f t="shared" si="116"/>
        <v>Q2</v>
      </c>
      <c r="M45" s="1579" t="str">
        <f t="shared" si="116"/>
        <v>Q3</v>
      </c>
      <c r="N45" s="1580" t="str">
        <f t="shared" si="116"/>
        <v>Q4</v>
      </c>
      <c r="O45" s="1578" t="str">
        <f t="shared" ref="O45:AX45" si="117">O40</f>
        <v>Q1</v>
      </c>
      <c r="P45" s="1579" t="str">
        <f t="shared" si="117"/>
        <v>Q2</v>
      </c>
      <c r="Q45" s="1579" t="str">
        <f t="shared" si="117"/>
        <v>Q3</v>
      </c>
      <c r="R45" s="1580" t="str">
        <f t="shared" si="117"/>
        <v>Q4</v>
      </c>
      <c r="S45" s="1578" t="str">
        <f t="shared" si="117"/>
        <v>Q1</v>
      </c>
      <c r="T45" s="1579" t="str">
        <f t="shared" si="117"/>
        <v>Q2</v>
      </c>
      <c r="U45" s="1579" t="str">
        <f t="shared" si="117"/>
        <v>Q3</v>
      </c>
      <c r="V45" s="1580" t="str">
        <f t="shared" si="117"/>
        <v>Q4</v>
      </c>
      <c r="W45" s="1578" t="str">
        <f t="shared" si="117"/>
        <v>Q1</v>
      </c>
      <c r="X45" s="1579" t="str">
        <f t="shared" si="117"/>
        <v>Q2</v>
      </c>
      <c r="Y45" s="1579" t="str">
        <f t="shared" si="117"/>
        <v>Q3</v>
      </c>
      <c r="Z45" s="1580" t="str">
        <f t="shared" si="117"/>
        <v>Q4</v>
      </c>
      <c r="AA45" s="1578" t="str">
        <f t="shared" si="117"/>
        <v>Q1</v>
      </c>
      <c r="AB45" s="1579" t="str">
        <f t="shared" si="117"/>
        <v>Q2</v>
      </c>
      <c r="AC45" s="1579" t="str">
        <f t="shared" si="117"/>
        <v>Q3</v>
      </c>
      <c r="AD45" s="1580" t="str">
        <f t="shared" si="117"/>
        <v>Q4</v>
      </c>
      <c r="AE45" s="1578" t="str">
        <f t="shared" si="117"/>
        <v>Q1</v>
      </c>
      <c r="AF45" s="1579" t="str">
        <f t="shared" si="117"/>
        <v>Q2</v>
      </c>
      <c r="AG45" s="1579" t="str">
        <f t="shared" si="117"/>
        <v>Q3</v>
      </c>
      <c r="AH45" s="1580" t="str">
        <f t="shared" si="117"/>
        <v>Q4</v>
      </c>
      <c r="AI45" s="1578" t="str">
        <f t="shared" si="117"/>
        <v>Q1</v>
      </c>
      <c r="AJ45" s="1579" t="str">
        <f t="shared" si="117"/>
        <v>Q2</v>
      </c>
      <c r="AK45" s="1579" t="str">
        <f t="shared" si="117"/>
        <v>Q3</v>
      </c>
      <c r="AL45" s="1580" t="str">
        <f t="shared" si="117"/>
        <v>Q4</v>
      </c>
      <c r="AM45" s="1578" t="str">
        <f t="shared" si="117"/>
        <v>Q1</v>
      </c>
      <c r="AN45" s="1579" t="str">
        <f t="shared" si="117"/>
        <v>Q2</v>
      </c>
      <c r="AO45" s="1579" t="str">
        <f t="shared" si="117"/>
        <v>Q3</v>
      </c>
      <c r="AP45" s="1580" t="str">
        <f t="shared" si="117"/>
        <v>Q4</v>
      </c>
      <c r="AQ45" s="1578" t="str">
        <f t="shared" si="117"/>
        <v>Q1</v>
      </c>
      <c r="AR45" s="1579" t="str">
        <f t="shared" si="117"/>
        <v>Q2</v>
      </c>
      <c r="AS45" s="1579" t="str">
        <f t="shared" si="117"/>
        <v>Q3</v>
      </c>
      <c r="AT45" s="1580" t="str">
        <f t="shared" si="117"/>
        <v>Q4</v>
      </c>
      <c r="AU45" s="1578" t="str">
        <f t="shared" si="117"/>
        <v>Q1</v>
      </c>
      <c r="AV45" s="1579" t="str">
        <f t="shared" si="117"/>
        <v>Q2</v>
      </c>
      <c r="AW45" s="1579" t="str">
        <f t="shared" si="117"/>
        <v>Q3</v>
      </c>
      <c r="AX45" s="1580" t="str">
        <f t="shared" si="117"/>
        <v>Q4</v>
      </c>
      <c r="AY45" s="1578" t="str">
        <f t="shared" ref="AY45:BF45" si="118">AY40</f>
        <v>Q1</v>
      </c>
      <c r="AZ45" s="1579" t="str">
        <f t="shared" si="118"/>
        <v>Q2</v>
      </c>
      <c r="BA45" s="1579" t="str">
        <f t="shared" si="118"/>
        <v>Q3</v>
      </c>
      <c r="BB45" s="1579" t="str">
        <f t="shared" si="118"/>
        <v>Q4</v>
      </c>
      <c r="BC45" s="1578" t="str">
        <f t="shared" si="118"/>
        <v>Q1</v>
      </c>
      <c r="BD45" s="1579" t="str">
        <f t="shared" si="118"/>
        <v>Q2</v>
      </c>
      <c r="BE45" s="1579" t="str">
        <f t="shared" si="118"/>
        <v>Q3</v>
      </c>
      <c r="BF45" s="1579" t="str">
        <f t="shared" si="118"/>
        <v>Q4</v>
      </c>
      <c r="BG45" s="1578" t="str">
        <f t="shared" ref="BG45:BN45" si="119">BG40</f>
        <v>Q1</v>
      </c>
      <c r="BH45" s="1579" t="str">
        <f t="shared" si="119"/>
        <v>Q2</v>
      </c>
      <c r="BI45" s="1579" t="str">
        <f t="shared" si="119"/>
        <v>Q3</v>
      </c>
      <c r="BJ45" s="1579" t="str">
        <f t="shared" si="119"/>
        <v>Q4</v>
      </c>
      <c r="BK45" s="1579" t="str">
        <f t="shared" si="119"/>
        <v>Q1</v>
      </c>
      <c r="BL45" s="1579" t="str">
        <f t="shared" si="119"/>
        <v>Q2</v>
      </c>
      <c r="BM45" s="1579" t="str">
        <f t="shared" si="119"/>
        <v>Q3</v>
      </c>
      <c r="BN45" s="1579" t="str">
        <f t="shared" si="119"/>
        <v>Q4</v>
      </c>
      <c r="BO45" s="1579" t="str">
        <f t="shared" ref="BO45:BZ45" si="120">BO40</f>
        <v>Q1</v>
      </c>
      <c r="BP45" s="1579" t="str">
        <f t="shared" si="120"/>
        <v>Q2</v>
      </c>
      <c r="BQ45" s="1579" t="str">
        <f t="shared" si="120"/>
        <v>Q3</v>
      </c>
      <c r="BR45" s="1579" t="str">
        <f t="shared" si="120"/>
        <v>Q4</v>
      </c>
      <c r="BS45" s="1579" t="str">
        <f>BS40</f>
        <v>Q1</v>
      </c>
      <c r="BT45" s="1579" t="str">
        <f>BT40</f>
        <v>Q2</v>
      </c>
      <c r="BU45" s="1579" t="str">
        <f>BU40</f>
        <v>Q3</v>
      </c>
      <c r="BV45" s="1579" t="str">
        <f>BV40</f>
        <v>Q4</v>
      </c>
      <c r="BW45" s="1579" t="str">
        <f t="shared" si="120"/>
        <v>Q1</v>
      </c>
      <c r="BX45" s="1579" t="str">
        <f t="shared" si="120"/>
        <v>Q2</v>
      </c>
      <c r="BY45" s="1579" t="str">
        <f t="shared" si="120"/>
        <v>Q3</v>
      </c>
      <c r="BZ45" s="1579" t="str">
        <f t="shared" si="120"/>
        <v>Q4</v>
      </c>
      <c r="CA45" s="1579" t="str">
        <f t="shared" ref="CA45:CH45" si="121">CA40</f>
        <v>Q1</v>
      </c>
      <c r="CB45" s="1579" t="str">
        <f t="shared" si="121"/>
        <v>Q2</v>
      </c>
      <c r="CC45" s="1579" t="str">
        <f t="shared" si="121"/>
        <v>Q3</v>
      </c>
      <c r="CD45" s="1579" t="str">
        <f t="shared" si="121"/>
        <v>Q4</v>
      </c>
      <c r="CE45" s="1579" t="str">
        <f t="shared" si="121"/>
        <v>Q1</v>
      </c>
      <c r="CF45" s="1579" t="str">
        <f t="shared" si="121"/>
        <v>Q2</v>
      </c>
      <c r="CG45" s="1579" t="str">
        <f t="shared" si="121"/>
        <v>Q3</v>
      </c>
      <c r="CH45" s="1579" t="str">
        <f t="shared" si="121"/>
        <v>Q4</v>
      </c>
      <c r="CI45" s="1579" t="str">
        <f t="shared" ref="CI45:CP45" si="122">CI40</f>
        <v>Q1</v>
      </c>
      <c r="CJ45" s="1579" t="str">
        <f t="shared" si="122"/>
        <v>Q2</v>
      </c>
      <c r="CK45" s="1579" t="str">
        <f t="shared" si="122"/>
        <v>Q3</v>
      </c>
      <c r="CL45" s="1579" t="str">
        <f t="shared" si="122"/>
        <v>Q4</v>
      </c>
      <c r="CM45" s="1579" t="str">
        <f t="shared" si="122"/>
        <v>Q1</v>
      </c>
      <c r="CN45" s="1579" t="str">
        <f t="shared" si="122"/>
        <v>Q2</v>
      </c>
      <c r="CO45" s="1579" t="str">
        <f t="shared" si="122"/>
        <v>Q3</v>
      </c>
      <c r="CP45" s="1579" t="str">
        <f t="shared" si="122"/>
        <v>Q4</v>
      </c>
      <c r="CQ45" s="1579" t="str">
        <f t="shared" ref="CQ45:CX45" si="123">CQ40</f>
        <v>Q1</v>
      </c>
      <c r="CR45" s="1579" t="str">
        <f t="shared" si="123"/>
        <v>Q2</v>
      </c>
      <c r="CS45" s="1579" t="str">
        <f t="shared" si="123"/>
        <v>Q3</v>
      </c>
      <c r="CT45" s="1579" t="str">
        <f t="shared" si="123"/>
        <v>Q4</v>
      </c>
      <c r="CU45" s="1579" t="str">
        <f t="shared" si="123"/>
        <v>Q1</v>
      </c>
      <c r="CV45" s="1579" t="str">
        <f t="shared" si="123"/>
        <v>Q2</v>
      </c>
      <c r="CW45" s="1579" t="str">
        <f t="shared" si="123"/>
        <v>Q3</v>
      </c>
      <c r="CX45" s="1579" t="str">
        <f t="shared" si="123"/>
        <v>Q4</v>
      </c>
      <c r="CY45" s="1579" t="str">
        <f t="shared" ref="CY45:DB45" si="124">CY40</f>
        <v>Q1</v>
      </c>
      <c r="CZ45" s="1579" t="str">
        <f t="shared" si="124"/>
        <v>Q2</v>
      </c>
      <c r="DA45" s="1579" t="str">
        <f t="shared" si="124"/>
        <v>Q3</v>
      </c>
      <c r="DB45" s="1579" t="str">
        <f t="shared" si="124"/>
        <v>Q4</v>
      </c>
      <c r="DC45"/>
      <c r="DD45"/>
      <c r="DE45"/>
      <c r="DF45"/>
      <c r="DG45"/>
      <c r="DH45"/>
      <c r="DI45"/>
      <c r="DJ45"/>
      <c r="DK45"/>
      <c r="DL45"/>
      <c r="DM45"/>
      <c r="DN45"/>
      <c r="DO45"/>
    </row>
    <row r="46" spans="1:119" s="699" customFormat="1" ht="12.75" customHeight="1">
      <c r="B46" s="664"/>
      <c r="C46" s="1576"/>
      <c r="D46" s="689"/>
      <c r="E46" s="3623" t="str">
        <f>E41</f>
        <v xml:space="preserve">Government final consumption expenditure                                        </v>
      </c>
      <c r="F46" s="3624" t="s">
        <v>564</v>
      </c>
      <c r="G46" s="978"/>
      <c r="H46" s="978">
        <f t="shared" ref="H46:N46" si="125">(H41/G41-1)*100</f>
        <v>-0.23001521639123279</v>
      </c>
      <c r="I46" s="978">
        <f t="shared" si="125"/>
        <v>0.18443640490883872</v>
      </c>
      <c r="J46" s="978">
        <f t="shared" si="125"/>
        <v>0.84967783048928158</v>
      </c>
      <c r="K46" s="978">
        <f t="shared" si="125"/>
        <v>-1.2883521729972536</v>
      </c>
      <c r="L46" s="978">
        <f t="shared" si="125"/>
        <v>-9.9576798605927053E-2</v>
      </c>
      <c r="M46" s="978">
        <f t="shared" si="125"/>
        <v>1.39190488056673</v>
      </c>
      <c r="N46" s="978">
        <f t="shared" si="125"/>
        <v>-0.9830770311073711</v>
      </c>
      <c r="O46" s="978">
        <f t="shared" ref="O46:AX46" si="126">(O41/N41-1)*100</f>
        <v>0.92901212679952216</v>
      </c>
      <c r="P46" s="978">
        <f t="shared" si="126"/>
        <v>2.7086846543001863</v>
      </c>
      <c r="Q46" s="978">
        <f t="shared" si="126"/>
        <v>0.71147597058320855</v>
      </c>
      <c r="R46" s="978">
        <f t="shared" si="126"/>
        <v>-0.50945895459022505</v>
      </c>
      <c r="S46" s="978">
        <f t="shared" si="126"/>
        <v>3.7278530706994717</v>
      </c>
      <c r="T46" s="978">
        <f t="shared" si="126"/>
        <v>0.10860622017443422</v>
      </c>
      <c r="U46" s="978">
        <f t="shared" si="126"/>
        <v>0.12163850351765149</v>
      </c>
      <c r="V46" s="978">
        <f t="shared" si="126"/>
        <v>1.1919225086192808</v>
      </c>
      <c r="W46" s="978">
        <f t="shared" si="126"/>
        <v>-3.8484002855474264</v>
      </c>
      <c r="X46" s="978">
        <f t="shared" si="126"/>
        <v>-0.60070194384448383</v>
      </c>
      <c r="Y46" s="978">
        <f t="shared" si="126"/>
        <v>-1.8673185305900675</v>
      </c>
      <c r="Z46" s="978">
        <f t="shared" si="126"/>
        <v>-8.3033490174366786E-2</v>
      </c>
      <c r="AA46" s="978">
        <f t="shared" si="126"/>
        <v>2.1087257617728561</v>
      </c>
      <c r="AB46" s="978">
        <f t="shared" si="126"/>
        <v>-0.96307097561804111</v>
      </c>
      <c r="AC46" s="978">
        <f t="shared" si="126"/>
        <v>0.34240712206814461</v>
      </c>
      <c r="AD46" s="978">
        <f t="shared" si="126"/>
        <v>0.45384746630268147</v>
      </c>
      <c r="AE46" s="978">
        <f t="shared" si="126"/>
        <v>0.46198790678715351</v>
      </c>
      <c r="AF46" s="978">
        <f t="shared" si="126"/>
        <v>0.29755866639615824</v>
      </c>
      <c r="AG46" s="978">
        <f t="shared" si="126"/>
        <v>-0.16182320814509543</v>
      </c>
      <c r="AH46" s="978">
        <f t="shared" si="126"/>
        <v>0.21273721888295238</v>
      </c>
      <c r="AI46" s="978">
        <f t="shared" si="126"/>
        <v>1.533173838325963</v>
      </c>
      <c r="AJ46" s="978">
        <f t="shared" si="126"/>
        <v>-0.34182928448159844</v>
      </c>
      <c r="AK46" s="978">
        <f t="shared" si="126"/>
        <v>1.9014952212860869</v>
      </c>
      <c r="AL46" s="978">
        <f t="shared" si="126"/>
        <v>0.27777777777777679</v>
      </c>
      <c r="AM46" s="978">
        <f t="shared" si="126"/>
        <v>0.47254358807236052</v>
      </c>
      <c r="AN46" s="978">
        <f t="shared" si="126"/>
        <v>1.2455400583846865</v>
      </c>
      <c r="AO46" s="978">
        <f t="shared" si="126"/>
        <v>0.57025693599026539</v>
      </c>
      <c r="AP46" s="978">
        <f t="shared" si="126"/>
        <v>1.1754587155963447</v>
      </c>
      <c r="AQ46" s="978">
        <f t="shared" si="126"/>
        <v>1.1460596328831008</v>
      </c>
      <c r="AR46" s="978">
        <f t="shared" si="126"/>
        <v>1.9828793774318898</v>
      </c>
      <c r="AS46" s="978">
        <f t="shared" si="126"/>
        <v>0.60435870825956695</v>
      </c>
      <c r="AT46" s="978">
        <f t="shared" si="126"/>
        <v>0.6280339805825097</v>
      </c>
      <c r="AU46" s="978">
        <f t="shared" si="126"/>
        <v>45.026552898965868</v>
      </c>
      <c r="AV46" s="978">
        <f t="shared" si="126"/>
        <v>0.17945588974230819</v>
      </c>
      <c r="AW46" s="978">
        <f t="shared" si="126"/>
        <v>0.27944969905417949</v>
      </c>
      <c r="AX46" s="978">
        <f t="shared" si="126"/>
        <v>-0.26438013576277619</v>
      </c>
      <c r="AY46" s="978">
        <f t="shared" ref="AY46:BN46" si="127">(AY41/AX41-1)*100</f>
        <v>0.5659836652815553</v>
      </c>
      <c r="AZ46" s="978">
        <f t="shared" si="127"/>
        <v>0.46306190781506551</v>
      </c>
      <c r="BA46" s="978">
        <f t="shared" si="127"/>
        <v>2.1557225925400436</v>
      </c>
      <c r="BB46" s="978">
        <f t="shared" si="127"/>
        <v>0.44425933638763127</v>
      </c>
      <c r="BC46" s="978">
        <f t="shared" si="127"/>
        <v>0.44920525224603214</v>
      </c>
      <c r="BD46" s="978">
        <f t="shared" si="127"/>
        <v>0.57791537667699622</v>
      </c>
      <c r="BE46" s="978">
        <f t="shared" si="127"/>
        <v>-1.757986182365423</v>
      </c>
      <c r="BF46" s="978">
        <f t="shared" si="127"/>
        <v>1.3368611613981285</v>
      </c>
      <c r="BG46" s="978">
        <f t="shared" si="127"/>
        <v>-0.43287068847053245</v>
      </c>
      <c r="BH46" s="978">
        <f t="shared" si="127"/>
        <v>0.10351252501552555</v>
      </c>
      <c r="BI46" s="978">
        <f t="shared" si="127"/>
        <v>1.0478422721632574</v>
      </c>
      <c r="BJ46" s="978">
        <f t="shared" si="127"/>
        <v>-0.46391049256377936</v>
      </c>
      <c r="BK46" s="978">
        <f t="shared" si="127"/>
        <v>-0.26730637422893722</v>
      </c>
      <c r="BL46" s="978">
        <f t="shared" si="127"/>
        <v>-0.45357707374062972</v>
      </c>
      <c r="BM46" s="978">
        <f t="shared" si="127"/>
        <v>-1.7259233690024134</v>
      </c>
      <c r="BN46" s="978">
        <f t="shared" si="127"/>
        <v>-0.44959606603443003</v>
      </c>
      <c r="BO46" s="978">
        <f t="shared" ref="BO46:CE46" si="128">(BO41/BN41-1)*100</f>
        <v>-0.93853644767482036</v>
      </c>
      <c r="BP46" s="978">
        <f t="shared" si="128"/>
        <v>-0.97592249608207116</v>
      </c>
      <c r="BQ46" s="978">
        <f t="shared" si="128"/>
        <v>2.1581181210006406E-2</v>
      </c>
      <c r="BR46" s="978">
        <f t="shared" si="128"/>
        <v>-0.6832566168009202</v>
      </c>
      <c r="BS46" s="978">
        <f t="shared" si="128"/>
        <v>-6.5174885943963812E-2</v>
      </c>
      <c r="BT46" s="978">
        <f t="shared" si="128"/>
        <v>0.34057971014493926</v>
      </c>
      <c r="BU46" s="978">
        <f t="shared" si="128"/>
        <v>0.12999205604102837</v>
      </c>
      <c r="BV46" s="978">
        <f t="shared" si="128"/>
        <v>0.34619545618463921</v>
      </c>
      <c r="BW46" s="978">
        <f t="shared" si="128"/>
        <v>0.66125206641272083</v>
      </c>
      <c r="BX46" s="978">
        <f t="shared" si="128"/>
        <v>0.1071046054980318</v>
      </c>
      <c r="BY46" s="978">
        <f t="shared" si="128"/>
        <v>0.23537803138373725</v>
      </c>
      <c r="BZ46" s="978">
        <f t="shared" si="128"/>
        <v>0.19924571265921287</v>
      </c>
      <c r="CA46" s="978">
        <f t="shared" si="128"/>
        <v>0.19884951352888702</v>
      </c>
      <c r="CB46" s="978">
        <f t="shared" si="128"/>
        <v>0.14884116521369783</v>
      </c>
      <c r="CC46" s="978">
        <f t="shared" si="128"/>
        <v>0.26185421089879313</v>
      </c>
      <c r="CD46" s="978">
        <f t="shared" si="128"/>
        <v>-0.21175972330063075</v>
      </c>
      <c r="CE46" s="978">
        <f t="shared" si="128"/>
        <v>0.14854636768761864</v>
      </c>
      <c r="CF46" s="978">
        <f t="shared" ref="CF46:CL46" si="129">(CF41/CE41-1)*100</f>
        <v>0.10594716767906576</v>
      </c>
      <c r="CG46" s="978">
        <f t="shared" si="129"/>
        <v>-1.4111338460465195E-2</v>
      </c>
      <c r="CH46" s="978">
        <f t="shared" si="129"/>
        <v>0.35283325100559093</v>
      </c>
      <c r="CI46" s="978">
        <f t="shared" si="129"/>
        <v>-0.30236973489908836</v>
      </c>
      <c r="CJ46" s="978">
        <f t="shared" si="129"/>
        <v>0.23275497249257704</v>
      </c>
      <c r="CK46" s="978">
        <f t="shared" si="129"/>
        <v>7.0368024769784654E-3</v>
      </c>
      <c r="CL46" s="978">
        <f t="shared" si="129"/>
        <v>-0.11258091753447719</v>
      </c>
      <c r="CM46" s="978">
        <f>(CM41/CL41-1)*100</f>
        <v>0.69033530571991353</v>
      </c>
      <c r="CN46" s="978">
        <f>(CN41/CM41-1)*100</f>
        <v>0.23786204001678968</v>
      </c>
      <c r="CO46" s="978">
        <f>(CO41/CN41-1)*100</f>
        <v>0.63512004466781402</v>
      </c>
      <c r="CP46" s="978">
        <f t="shared" ref="CP46:CT46" si="130">(CP41/CO41-1)*100</f>
        <v>0.58949996532353666</v>
      </c>
      <c r="CQ46" s="978">
        <f t="shared" si="130"/>
        <v>8.9630446773303341E-2</v>
      </c>
      <c r="CR46" s="978">
        <f t="shared" si="130"/>
        <v>0.22731969415168418</v>
      </c>
      <c r="CS46" s="978">
        <f t="shared" si="130"/>
        <v>9.6219931271490644E-2</v>
      </c>
      <c r="CT46" s="978">
        <f t="shared" si="130"/>
        <v>0.15105740181267091</v>
      </c>
      <c r="CU46" s="740">
        <v>0.5</v>
      </c>
      <c r="CV46" s="740">
        <v>0.6</v>
      </c>
      <c r="CW46" s="740">
        <v>0.6</v>
      </c>
      <c r="CX46" s="740">
        <v>0.6</v>
      </c>
      <c r="CY46" s="740">
        <v>0.3</v>
      </c>
      <c r="CZ46" s="740">
        <v>0.25</v>
      </c>
      <c r="DA46" s="740">
        <v>0.2</v>
      </c>
      <c r="DB46" s="740">
        <v>0.18</v>
      </c>
      <c r="DC46" s="3669"/>
      <c r="DD46"/>
      <c r="DE46"/>
      <c r="DF46"/>
      <c r="DG46"/>
      <c r="DH46"/>
      <c r="DI46"/>
      <c r="DJ46"/>
      <c r="DK46"/>
      <c r="DL46"/>
      <c r="DM46"/>
      <c r="DN46"/>
      <c r="DO46"/>
    </row>
    <row r="47" spans="1:119">
      <c r="C47" s="1577"/>
      <c r="D47" s="1581"/>
      <c r="E47" s="1582" t="s">
        <v>763</v>
      </c>
      <c r="F47" s="1649"/>
      <c r="G47" s="1605"/>
      <c r="H47" s="1606"/>
      <c r="I47" s="1606"/>
      <c r="J47" s="1606"/>
      <c r="K47" s="1607"/>
      <c r="L47" s="1607"/>
      <c r="M47" s="1607"/>
      <c r="N47" s="1608">
        <f>N42/J42*100-100</f>
        <v>-0.25710120599019604</v>
      </c>
      <c r="O47" s="1607"/>
      <c r="P47" s="1607"/>
      <c r="Q47" s="1607"/>
      <c r="R47" s="1608">
        <f>R42/N42*100-100</f>
        <v>3.1365705883394952</v>
      </c>
      <c r="S47" s="1607"/>
      <c r="T47" s="1607"/>
      <c r="U47" s="1607"/>
      <c r="V47" s="1608">
        <f>V42/R42*100-100</f>
        <v>4.8447631725855729</v>
      </c>
      <c r="W47" s="1607"/>
      <c r="X47" s="1607"/>
      <c r="Y47" s="1607"/>
      <c r="Z47" s="1608">
        <f>Z42/V42*100-100</f>
        <v>-4.2645565057832897</v>
      </c>
      <c r="AA47" s="1607"/>
      <c r="AB47" s="1607"/>
      <c r="AC47" s="1607"/>
      <c r="AD47" s="1608">
        <f>AD42/Z42*100-100</f>
        <v>0.48515444510994143</v>
      </c>
      <c r="AE47" s="1607"/>
      <c r="AF47" s="1607"/>
      <c r="AG47" s="1607"/>
      <c r="AH47" s="1608">
        <f>AH42/AD42*100-100</f>
        <v>0.92815722472474249</v>
      </c>
      <c r="AI47" s="1607"/>
      <c r="AJ47" s="1607"/>
      <c r="AK47" s="1607"/>
      <c r="AL47" s="1608">
        <f>AL42/AH42*100-100</f>
        <v>2.4627300108835897</v>
      </c>
      <c r="AM47" s="1607"/>
      <c r="AN47" s="1607"/>
      <c r="AO47" s="1607"/>
      <c r="AP47" s="1608">
        <f>AP42/AL42*100-100</f>
        <v>3.0886155163611875</v>
      </c>
      <c r="AQ47" s="1607"/>
      <c r="AR47" s="1607"/>
      <c r="AS47" s="1607"/>
      <c r="AT47" s="1608">
        <f>AT42/AP42*100-100</f>
        <v>4.6462774667124478</v>
      </c>
      <c r="AU47" s="1607"/>
      <c r="AV47" s="1607"/>
      <c r="AW47" s="1607"/>
      <c r="AX47" s="1608">
        <f>AX42/AT42*100-100</f>
        <v>47.163167295098248</v>
      </c>
      <c r="AY47" s="1607"/>
      <c r="AZ47" s="1607"/>
      <c r="BA47" s="1607"/>
      <c r="BB47" s="1608">
        <f>BB42/AX42*100-100</f>
        <v>2.1042263610315359</v>
      </c>
      <c r="BC47" s="1607"/>
      <c r="BD47" s="1607"/>
      <c r="BE47" s="1607"/>
      <c r="BF47" s="1608">
        <f>BF42/BB42*100-100</f>
        <v>1.8503902481803038</v>
      </c>
      <c r="BG47" s="1607"/>
      <c r="BH47" s="1607"/>
      <c r="BI47" s="1607"/>
      <c r="BJ47" s="1608">
        <f>BJ42/BF42*100-100</f>
        <v>0.30136042707079014</v>
      </c>
      <c r="BK47" s="1609"/>
      <c r="BL47" s="1609"/>
      <c r="BM47" s="1609"/>
      <c r="BN47" s="1610">
        <f>BN42/BJ42*100-100</f>
        <v>-1.3786591123701868</v>
      </c>
      <c r="BO47" s="1609"/>
      <c r="BP47" s="1609"/>
      <c r="BQ47" s="1609"/>
      <c r="BR47" s="1610">
        <f>BR42/BN42*100-100</f>
        <v>-3.1161867622993356</v>
      </c>
      <c r="BS47" s="1609"/>
      <c r="BT47" s="1609"/>
      <c r="BU47" s="1609"/>
      <c r="BV47" s="1610">
        <f>BV42/BR42*100-100</f>
        <v>-0.40789189966218942</v>
      </c>
      <c r="BW47" s="1609"/>
      <c r="BX47" s="1609"/>
      <c r="BY47" s="1609"/>
      <c r="BZ47" s="1610">
        <f>BZ42/BV42*100-100</f>
        <v>1.3243121335137573</v>
      </c>
      <c r="CA47" s="1609"/>
      <c r="CB47" s="1609"/>
      <c r="CC47" s="1609"/>
      <c r="CD47" s="1610">
        <f>CD42/BZ42*100-100</f>
        <v>0.68377285920333009</v>
      </c>
      <c r="CE47" s="1609"/>
      <c r="CF47" s="1609"/>
      <c r="CG47" s="1609"/>
      <c r="CH47" s="1610">
        <f>CH42/CD42*100-100</f>
        <v>0.31834179297169385</v>
      </c>
      <c r="CI47" s="1609"/>
      <c r="CJ47" s="1609"/>
      <c r="CK47" s="1609"/>
      <c r="CL47" s="1610">
        <f>CL42/CH42*100-100</f>
        <v>0.13045854415317137</v>
      </c>
      <c r="CM47" s="1609"/>
      <c r="CN47" s="1609"/>
      <c r="CO47" s="1609"/>
      <c r="CP47" s="1610">
        <f>CP42/CL42*100-100</f>
        <v>1.316970966776438</v>
      </c>
      <c r="CQ47" s="1609"/>
      <c r="CR47" s="1609"/>
      <c r="CS47" s="1609"/>
      <c r="CT47" s="1610">
        <f>CT42/CP42*100-100</f>
        <v>1.1677817360326657</v>
      </c>
      <c r="CU47" s="1609"/>
      <c r="CV47" s="1609"/>
      <c r="CW47" s="1609"/>
      <c r="CX47" s="1610">
        <f>CX42/CT42*100-100</f>
        <v>1.6293445767539652</v>
      </c>
      <c r="CY47" s="1609"/>
      <c r="CZ47" s="1609"/>
      <c r="DA47" s="1609"/>
      <c r="DB47" s="1610">
        <f>DB42/CX42*100-100</f>
        <v>1.5387433473974284</v>
      </c>
    </row>
    <row r="48" spans="1:119" s="699" customFormat="1" ht="12.75" customHeight="1">
      <c r="A48" s="664"/>
      <c r="B48" s="664"/>
      <c r="C48" s="666"/>
      <c r="D48" s="717"/>
      <c r="E48" s="1596" t="s">
        <v>1847</v>
      </c>
      <c r="F48" s="717"/>
      <c r="G48" s="1597"/>
      <c r="H48" s="1597"/>
      <c r="I48" s="1597"/>
      <c r="J48" s="1598"/>
      <c r="K48" s="1597"/>
      <c r="L48" s="1597"/>
      <c r="M48" s="1597"/>
      <c r="N48" s="1599">
        <f ca="1">N43/J43*100-100</f>
        <v>-0.70218291322578352</v>
      </c>
      <c r="O48" s="1597"/>
      <c r="P48" s="1597"/>
      <c r="Q48" s="1597"/>
      <c r="R48" s="1599">
        <f ca="1">R43/N43*100-100</f>
        <v>3.4160337882480007</v>
      </c>
      <c r="S48" s="1597"/>
      <c r="T48" s="1597"/>
      <c r="U48" s="1597"/>
      <c r="V48" s="1599">
        <f ca="1">V43/R43*100-100</f>
        <v>5.0156327954667006</v>
      </c>
      <c r="W48" s="1597"/>
      <c r="X48" s="1597"/>
      <c r="Y48" s="1597"/>
      <c r="Z48" s="1599">
        <f ca="1">Z43/V43*100-100</f>
        <v>-4.4198117990299011</v>
      </c>
      <c r="AA48" s="1597"/>
      <c r="AB48" s="1597"/>
      <c r="AC48" s="1597"/>
      <c r="AD48" s="1599">
        <f ca="1">AD43/Z43*100-100</f>
        <v>0.22345871660095895</v>
      </c>
      <c r="AE48" s="1597"/>
      <c r="AF48" s="1597"/>
      <c r="AG48" s="1597"/>
      <c r="AH48" s="1599">
        <f ca="1">AH43/AD43*100-100</f>
        <v>1.3605540892592956</v>
      </c>
      <c r="AI48" s="1597"/>
      <c r="AJ48" s="1597"/>
      <c r="AK48" s="1597"/>
      <c r="AL48" s="1599">
        <f ca="1">AL43/AH43*100-100</f>
        <v>2.4593939771627902</v>
      </c>
      <c r="AM48" s="1597"/>
      <c r="AN48" s="1597"/>
      <c r="AO48" s="1597"/>
      <c r="AP48" s="1599">
        <f ca="1">AP43/AL43*100-100</f>
        <v>2.9190786840268999</v>
      </c>
      <c r="AQ48" s="1597"/>
      <c r="AR48" s="1597"/>
      <c r="AS48" s="1597"/>
      <c r="AT48" s="1599">
        <f ca="1">AT43/AP43*100-100</f>
        <v>4.5939341332392019</v>
      </c>
      <c r="AU48" s="1597"/>
      <c r="AV48" s="1597"/>
      <c r="AW48" s="1597"/>
      <c r="AX48" s="1599">
        <f ca="1">AX43/AT43*100-100</f>
        <v>3.5574155936628529</v>
      </c>
      <c r="AY48" s="1597"/>
      <c r="AZ48" s="1597"/>
      <c r="BA48" s="1597"/>
      <c r="BB48" s="1599">
        <f ca="1">BB43/AX43*100-100</f>
        <v>2.1037421147720465</v>
      </c>
      <c r="BC48" s="1597"/>
      <c r="BD48" s="1597"/>
      <c r="BE48" s="1597"/>
      <c r="BF48" s="1599">
        <f ca="1">BF43/BB43*100-100</f>
        <v>1.8506567525384412</v>
      </c>
      <c r="BG48" s="1597"/>
      <c r="BH48" s="1597"/>
      <c r="BI48" s="1597"/>
      <c r="BJ48" s="1599">
        <f ca="1">BJ43/BF43*100-100</f>
        <v>0.23588844714808488</v>
      </c>
      <c r="BK48" s="1611"/>
      <c r="BL48" s="1611"/>
      <c r="BM48" s="1611"/>
      <c r="BN48" s="1612">
        <f ca="1">BN43/BJ43*100-100</f>
        <v>-1.3144310859859729</v>
      </c>
      <c r="BO48" s="1611"/>
      <c r="BP48" s="1611"/>
      <c r="BQ48" s="1611"/>
      <c r="BR48" s="1612">
        <f ca="1">BR43/BN43*100-100</f>
        <v>-3.1615262636618695</v>
      </c>
      <c r="BS48" s="1611"/>
      <c r="BT48" s="1611"/>
      <c r="BU48" s="1611"/>
      <c r="BV48" s="1612">
        <f ca="1">BV43/BR43*100-100</f>
        <v>-0.35589875219741884</v>
      </c>
      <c r="BW48" s="1611"/>
      <c r="BX48" s="1611"/>
      <c r="BY48" s="1611"/>
      <c r="BZ48" s="1612">
        <f ca="1">BZ43/BV43*100-100</f>
        <v>1.2852705291526405</v>
      </c>
      <c r="CA48" s="1611"/>
      <c r="CB48" s="1611"/>
      <c r="CC48" s="1611"/>
      <c r="CD48" s="1612">
        <f ca="1">CD43/BZ43*100-100</f>
        <v>0.72272891610253964</v>
      </c>
      <c r="CE48" s="1611"/>
      <c r="CF48" s="1611"/>
      <c r="CG48" s="1611"/>
      <c r="CH48" s="1612">
        <f ca="1">CH43/CD43*100-100</f>
        <v>0.28733548938097897</v>
      </c>
      <c r="CI48" s="1611"/>
      <c r="CJ48" s="1611"/>
      <c r="CK48" s="1611"/>
      <c r="CL48" s="1612">
        <f ca="1">CL43/CH43*100-100</f>
        <v>0.16432578821721222</v>
      </c>
      <c r="CM48" s="1611"/>
      <c r="CN48" s="1611"/>
      <c r="CO48" s="1611"/>
      <c r="CP48" s="1612">
        <f ca="1">CP43/CL43*100-100</f>
        <v>1.2923826522888646</v>
      </c>
      <c r="CQ48" s="1611"/>
      <c r="CR48" s="1611"/>
      <c r="CS48" s="1611"/>
      <c r="CT48" s="1612">
        <f ca="1">CT43/CP43*100-100</f>
        <v>1.1589392464896378</v>
      </c>
      <c r="CU48" s="1611"/>
      <c r="CV48" s="1611"/>
      <c r="CW48" s="1611"/>
      <c r="CX48" s="1612">
        <f ca="1">CX43/CT43*100-100</f>
        <v>1.6400000000000006</v>
      </c>
      <c r="CY48" s="1611"/>
      <c r="CZ48" s="1611"/>
      <c r="DA48" s="1611"/>
      <c r="DB48" s="1612">
        <f ca="1">DB43/CX43*100-100</f>
        <v>1.5400000000000063</v>
      </c>
      <c r="DC48"/>
      <c r="DD48"/>
      <c r="DE48"/>
      <c r="DF48"/>
      <c r="DG48"/>
      <c r="DH48"/>
      <c r="DI48"/>
      <c r="DJ48"/>
      <c r="DK48"/>
      <c r="DL48"/>
      <c r="DM48"/>
      <c r="DN48"/>
      <c r="DO48"/>
    </row>
    <row r="49" spans="1:119">
      <c r="E49" s="599"/>
      <c r="F49" s="3617"/>
      <c r="AY49" s="217"/>
      <c r="BA49" s="1602"/>
      <c r="BB49" s="1602"/>
      <c r="BC49" s="217"/>
      <c r="BD49" s="217"/>
      <c r="BE49" s="1602"/>
      <c r="BF49" s="1602"/>
      <c r="BG49" s="217"/>
      <c r="BH49" s="217"/>
      <c r="BI49" s="1602"/>
      <c r="BJ49" s="1602"/>
      <c r="BK49" s="1602"/>
      <c r="BL49" s="1602"/>
      <c r="BM49" s="1602"/>
      <c r="BN49" s="1602"/>
      <c r="BO49" s="1602"/>
      <c r="BP49" s="1602"/>
      <c r="BQ49" s="1602"/>
      <c r="BR49" s="1602"/>
      <c r="BS49" s="1602"/>
      <c r="BT49" s="1602"/>
      <c r="BU49" s="1602"/>
      <c r="BV49" s="1602"/>
      <c r="BW49" s="1602"/>
      <c r="BX49" s="1602"/>
      <c r="BY49" s="1602"/>
      <c r="BZ49" s="1602"/>
      <c r="CA49" s="1602"/>
      <c r="CB49" s="1602"/>
      <c r="CC49" s="1602"/>
      <c r="CD49" s="1602"/>
      <c r="CE49" s="1602"/>
      <c r="CF49" s="1602"/>
      <c r="CG49" s="1602"/>
      <c r="CH49" s="1602"/>
      <c r="CI49" s="1602"/>
      <c r="CJ49" s="1602"/>
      <c r="CK49" s="1602"/>
      <c r="CL49" s="1602"/>
      <c r="CM49" s="1602"/>
      <c r="CN49" s="1602"/>
      <c r="CO49" s="1602"/>
      <c r="CP49" s="1602"/>
      <c r="CQ49" s="1602"/>
      <c r="CR49" s="1602"/>
      <c r="CS49" s="1602"/>
      <c r="CT49" s="1602"/>
      <c r="CU49" s="1602"/>
      <c r="CV49" s="1602"/>
      <c r="CW49" s="1602"/>
      <c r="CX49" s="1602"/>
      <c r="CY49" s="1602"/>
      <c r="CZ49" s="1602"/>
      <c r="DA49" s="1602"/>
      <c r="DB49" s="1602"/>
    </row>
    <row r="50" spans="1:119" s="699" customFormat="1" ht="12.75" customHeight="1">
      <c r="A50" s="664"/>
      <c r="B50" s="664"/>
      <c r="C50" s="666"/>
      <c r="D50" s="858"/>
      <c r="E50" s="3625"/>
      <c r="F50" s="3626"/>
      <c r="G50" s="1588" t="str">
        <f t="shared" ref="G50:N50" si="131">G45</f>
        <v>Q1</v>
      </c>
      <c r="H50" s="1588" t="str">
        <f t="shared" si="131"/>
        <v>Q2</v>
      </c>
      <c r="I50" s="1588" t="str">
        <f t="shared" si="131"/>
        <v>Q3</v>
      </c>
      <c r="J50" s="1588" t="str">
        <f t="shared" si="131"/>
        <v>Q4</v>
      </c>
      <c r="K50" s="1593" t="str">
        <f t="shared" si="131"/>
        <v>Q1</v>
      </c>
      <c r="L50" s="1588" t="str">
        <f t="shared" si="131"/>
        <v>Q2</v>
      </c>
      <c r="M50" s="1588" t="str">
        <f t="shared" si="131"/>
        <v>Q3</v>
      </c>
      <c r="N50" s="1594" t="str">
        <f t="shared" si="131"/>
        <v>Q4</v>
      </c>
      <c r="O50" s="1593" t="str">
        <f t="shared" ref="O50:AX50" si="132">O45</f>
        <v>Q1</v>
      </c>
      <c r="P50" s="1588" t="str">
        <f t="shared" si="132"/>
        <v>Q2</v>
      </c>
      <c r="Q50" s="1588" t="str">
        <f t="shared" si="132"/>
        <v>Q3</v>
      </c>
      <c r="R50" s="1594" t="str">
        <f t="shared" si="132"/>
        <v>Q4</v>
      </c>
      <c r="S50" s="1593" t="str">
        <f t="shared" si="132"/>
        <v>Q1</v>
      </c>
      <c r="T50" s="1588" t="str">
        <f t="shared" si="132"/>
        <v>Q2</v>
      </c>
      <c r="U50" s="1588" t="str">
        <f t="shared" si="132"/>
        <v>Q3</v>
      </c>
      <c r="V50" s="1594" t="str">
        <f t="shared" si="132"/>
        <v>Q4</v>
      </c>
      <c r="W50" s="1593" t="str">
        <f t="shared" si="132"/>
        <v>Q1</v>
      </c>
      <c r="X50" s="1588" t="str">
        <f t="shared" si="132"/>
        <v>Q2</v>
      </c>
      <c r="Y50" s="1588" t="str">
        <f t="shared" si="132"/>
        <v>Q3</v>
      </c>
      <c r="Z50" s="1594" t="str">
        <f t="shared" si="132"/>
        <v>Q4</v>
      </c>
      <c r="AA50" s="1593" t="str">
        <f t="shared" si="132"/>
        <v>Q1</v>
      </c>
      <c r="AB50" s="1588" t="str">
        <f t="shared" si="132"/>
        <v>Q2</v>
      </c>
      <c r="AC50" s="1588" t="str">
        <f t="shared" si="132"/>
        <v>Q3</v>
      </c>
      <c r="AD50" s="1594" t="str">
        <f t="shared" si="132"/>
        <v>Q4</v>
      </c>
      <c r="AE50" s="1593" t="str">
        <f t="shared" si="132"/>
        <v>Q1</v>
      </c>
      <c r="AF50" s="1588" t="str">
        <f t="shared" si="132"/>
        <v>Q2</v>
      </c>
      <c r="AG50" s="1588" t="str">
        <f t="shared" si="132"/>
        <v>Q3</v>
      </c>
      <c r="AH50" s="1594" t="str">
        <f t="shared" si="132"/>
        <v>Q4</v>
      </c>
      <c r="AI50" s="1593" t="str">
        <f t="shared" si="132"/>
        <v>Q1</v>
      </c>
      <c r="AJ50" s="1588" t="str">
        <f t="shared" si="132"/>
        <v>Q2</v>
      </c>
      <c r="AK50" s="1588" t="str">
        <f t="shared" si="132"/>
        <v>Q3</v>
      </c>
      <c r="AL50" s="1594" t="str">
        <f t="shared" si="132"/>
        <v>Q4</v>
      </c>
      <c r="AM50" s="1593" t="str">
        <f t="shared" si="132"/>
        <v>Q1</v>
      </c>
      <c r="AN50" s="1588" t="str">
        <f t="shared" si="132"/>
        <v>Q2</v>
      </c>
      <c r="AO50" s="1588" t="str">
        <f t="shared" si="132"/>
        <v>Q3</v>
      </c>
      <c r="AP50" s="1594" t="str">
        <f t="shared" si="132"/>
        <v>Q4</v>
      </c>
      <c r="AQ50" s="1593" t="str">
        <f t="shared" si="132"/>
        <v>Q1</v>
      </c>
      <c r="AR50" s="1588" t="str">
        <f t="shared" si="132"/>
        <v>Q2</v>
      </c>
      <c r="AS50" s="1588" t="str">
        <f t="shared" si="132"/>
        <v>Q3</v>
      </c>
      <c r="AT50" s="1594" t="str">
        <f t="shared" si="132"/>
        <v>Q4</v>
      </c>
      <c r="AU50" s="1593" t="str">
        <f t="shared" si="132"/>
        <v>Q1</v>
      </c>
      <c r="AV50" s="1588" t="str">
        <f t="shared" si="132"/>
        <v>Q2</v>
      </c>
      <c r="AW50" s="1588" t="str">
        <f t="shared" si="132"/>
        <v>Q3</v>
      </c>
      <c r="AX50" s="1594" t="str">
        <f t="shared" si="132"/>
        <v>Q4</v>
      </c>
      <c r="AY50" s="1593" t="str">
        <f t="shared" ref="AY50:BF50" si="133">AY45</f>
        <v>Q1</v>
      </c>
      <c r="AZ50" s="1588" t="str">
        <f t="shared" si="133"/>
        <v>Q2</v>
      </c>
      <c r="BA50" s="1588" t="str">
        <f t="shared" si="133"/>
        <v>Q3</v>
      </c>
      <c r="BB50" s="1594" t="str">
        <f t="shared" si="133"/>
        <v>Q4</v>
      </c>
      <c r="BC50" s="1593" t="str">
        <f t="shared" si="133"/>
        <v>Q1</v>
      </c>
      <c r="BD50" s="1588" t="str">
        <f t="shared" si="133"/>
        <v>Q2</v>
      </c>
      <c r="BE50" s="1588" t="str">
        <f t="shared" si="133"/>
        <v>Q3</v>
      </c>
      <c r="BF50" s="1594" t="str">
        <f t="shared" si="133"/>
        <v>Q4</v>
      </c>
      <c r="BG50" s="1593" t="str">
        <f t="shared" ref="BG50:BN50" si="134">BG45</f>
        <v>Q1</v>
      </c>
      <c r="BH50" s="1588" t="str">
        <f t="shared" si="134"/>
        <v>Q2</v>
      </c>
      <c r="BI50" s="1588" t="str">
        <f t="shared" si="134"/>
        <v>Q3</v>
      </c>
      <c r="BJ50" s="1594" t="str">
        <f t="shared" si="134"/>
        <v>Q4</v>
      </c>
      <c r="BK50" s="1593" t="str">
        <f t="shared" si="134"/>
        <v>Q1</v>
      </c>
      <c r="BL50" s="1588" t="str">
        <f t="shared" si="134"/>
        <v>Q2</v>
      </c>
      <c r="BM50" s="1588" t="str">
        <f t="shared" si="134"/>
        <v>Q3</v>
      </c>
      <c r="BN50" s="1594" t="str">
        <f t="shared" si="134"/>
        <v>Q4</v>
      </c>
      <c r="BO50" s="1593" t="str">
        <f t="shared" ref="BO50:BZ50" si="135">BO45</f>
        <v>Q1</v>
      </c>
      <c r="BP50" s="1588" t="str">
        <f t="shared" si="135"/>
        <v>Q2</v>
      </c>
      <c r="BQ50" s="1588" t="str">
        <f t="shared" si="135"/>
        <v>Q3</v>
      </c>
      <c r="BR50" s="1594" t="str">
        <f t="shared" si="135"/>
        <v>Q4</v>
      </c>
      <c r="BS50" s="1593" t="str">
        <f>BS45</f>
        <v>Q1</v>
      </c>
      <c r="BT50" s="1588" t="str">
        <f>BT45</f>
        <v>Q2</v>
      </c>
      <c r="BU50" s="1588" t="str">
        <f>BU45</f>
        <v>Q3</v>
      </c>
      <c r="BV50" s="1594" t="str">
        <f>BV45</f>
        <v>Q4</v>
      </c>
      <c r="BW50" s="1593" t="str">
        <f t="shared" si="135"/>
        <v>Q1</v>
      </c>
      <c r="BX50" s="1588" t="str">
        <f t="shared" si="135"/>
        <v>Q2</v>
      </c>
      <c r="BY50" s="1588" t="str">
        <f t="shared" si="135"/>
        <v>Q3</v>
      </c>
      <c r="BZ50" s="1594" t="str">
        <f t="shared" si="135"/>
        <v>Q4</v>
      </c>
      <c r="CA50" s="1593" t="str">
        <f t="shared" ref="CA50:CH50" si="136">CA45</f>
        <v>Q1</v>
      </c>
      <c r="CB50" s="1588" t="str">
        <f t="shared" si="136"/>
        <v>Q2</v>
      </c>
      <c r="CC50" s="1588" t="str">
        <f t="shared" si="136"/>
        <v>Q3</v>
      </c>
      <c r="CD50" s="1594" t="str">
        <f t="shared" si="136"/>
        <v>Q4</v>
      </c>
      <c r="CE50" s="1593" t="str">
        <f t="shared" si="136"/>
        <v>Q1</v>
      </c>
      <c r="CF50" s="1588" t="str">
        <f t="shared" si="136"/>
        <v>Q2</v>
      </c>
      <c r="CG50" s="1588" t="str">
        <f t="shared" si="136"/>
        <v>Q3</v>
      </c>
      <c r="CH50" s="1594" t="str">
        <f t="shared" si="136"/>
        <v>Q4</v>
      </c>
      <c r="CI50" s="1593" t="str">
        <f t="shared" ref="CI50:CP50" si="137">CI45</f>
        <v>Q1</v>
      </c>
      <c r="CJ50" s="1588" t="str">
        <f t="shared" si="137"/>
        <v>Q2</v>
      </c>
      <c r="CK50" s="1588" t="str">
        <f t="shared" si="137"/>
        <v>Q3</v>
      </c>
      <c r="CL50" s="1594" t="str">
        <f t="shared" si="137"/>
        <v>Q4</v>
      </c>
      <c r="CM50" s="1593" t="str">
        <f t="shared" si="137"/>
        <v>Q1</v>
      </c>
      <c r="CN50" s="1588" t="str">
        <f t="shared" si="137"/>
        <v>Q2</v>
      </c>
      <c r="CO50" s="1588" t="str">
        <f t="shared" si="137"/>
        <v>Q3</v>
      </c>
      <c r="CP50" s="1594" t="str">
        <f t="shared" si="137"/>
        <v>Q4</v>
      </c>
      <c r="CQ50" s="1593" t="str">
        <f t="shared" ref="CQ50:CX50" si="138">CQ45</f>
        <v>Q1</v>
      </c>
      <c r="CR50" s="1588" t="str">
        <f t="shared" si="138"/>
        <v>Q2</v>
      </c>
      <c r="CS50" s="1588" t="str">
        <f t="shared" si="138"/>
        <v>Q3</v>
      </c>
      <c r="CT50" s="1594" t="str">
        <f t="shared" si="138"/>
        <v>Q4</v>
      </c>
      <c r="CU50" s="1593" t="str">
        <f t="shared" si="138"/>
        <v>Q1</v>
      </c>
      <c r="CV50" s="1588" t="str">
        <f t="shared" si="138"/>
        <v>Q2</v>
      </c>
      <c r="CW50" s="1588" t="str">
        <f t="shared" si="138"/>
        <v>Q3</v>
      </c>
      <c r="CX50" s="1594" t="str">
        <f t="shared" si="138"/>
        <v>Q4</v>
      </c>
      <c r="CY50" s="1593" t="str">
        <f t="shared" ref="CY50:DB50" si="139">CY45</f>
        <v>Q1</v>
      </c>
      <c r="CZ50" s="1588" t="str">
        <f t="shared" si="139"/>
        <v>Q2</v>
      </c>
      <c r="DA50" s="1588" t="str">
        <f t="shared" si="139"/>
        <v>Q3</v>
      </c>
      <c r="DB50" s="1594" t="str">
        <f t="shared" si="139"/>
        <v>Q4</v>
      </c>
      <c r="DC50"/>
      <c r="DD50"/>
      <c r="DE50"/>
      <c r="DF50"/>
      <c r="DG50"/>
      <c r="DH50"/>
      <c r="DI50"/>
      <c r="DJ50"/>
      <c r="DK50"/>
      <c r="DL50"/>
      <c r="DM50"/>
      <c r="DN50"/>
      <c r="DO50"/>
    </row>
    <row r="51" spans="1:119" s="699" customFormat="1" ht="12.75" customHeight="1">
      <c r="A51" s="664"/>
      <c r="B51" s="664"/>
      <c r="C51" s="862"/>
      <c r="D51" s="863"/>
      <c r="E51" s="3627" t="s">
        <v>1848</v>
      </c>
      <c r="F51" s="3628"/>
      <c r="G51" s="705"/>
      <c r="H51" s="705"/>
      <c r="I51" s="705"/>
      <c r="J51" s="705"/>
      <c r="K51" s="1564">
        <f t="shared" ref="K51:BB51" si="140">(K41/G41-1)*100</f>
        <v>-0.49541738915035438</v>
      </c>
      <c r="L51" s="1564">
        <f t="shared" si="140"/>
        <v>-0.36532595587714933</v>
      </c>
      <c r="M51" s="1564">
        <f t="shared" si="140"/>
        <v>0.83551653331446207</v>
      </c>
      <c r="N51" s="1564">
        <f t="shared" si="140"/>
        <v>-0.99698097310960687</v>
      </c>
      <c r="O51" s="1564">
        <f t="shared" si="140"/>
        <v>1.2269284113944234</v>
      </c>
      <c r="P51" s="1564">
        <f t="shared" si="140"/>
        <v>4.0724787298423104</v>
      </c>
      <c r="Q51" s="1564">
        <f t="shared" si="140"/>
        <v>3.3740608103363545</v>
      </c>
      <c r="R51" s="1564">
        <f t="shared" si="140"/>
        <v>3.8685199631231848</v>
      </c>
      <c r="S51" s="1564">
        <f t="shared" si="140"/>
        <v>6.7488757729061266</v>
      </c>
      <c r="T51" s="1564">
        <f t="shared" si="140"/>
        <v>4.0465195826919764</v>
      </c>
      <c r="U51" s="1564">
        <f t="shared" si="140"/>
        <v>3.4371497469687151</v>
      </c>
      <c r="V51" s="1564">
        <f t="shared" si="140"/>
        <v>5.2060219164988375</v>
      </c>
      <c r="W51" s="1564">
        <f t="shared" si="140"/>
        <v>-2.4781964785255961</v>
      </c>
      <c r="X51" s="1564">
        <f t="shared" si="140"/>
        <v>-3.169176145703223</v>
      </c>
      <c r="Y51" s="1564">
        <f t="shared" si="140"/>
        <v>-5.0927598095550923</v>
      </c>
      <c r="Z51" s="1564">
        <f t="shared" si="140"/>
        <v>-6.2885326757090017</v>
      </c>
      <c r="AA51" s="1564">
        <f t="shared" si="140"/>
        <v>-0.48258639308852436</v>
      </c>
      <c r="AB51" s="1564">
        <f t="shared" si="140"/>
        <v>-0.84538602566713861</v>
      </c>
      <c r="AC51" s="1564">
        <f t="shared" si="140"/>
        <v>1.3873512316634473</v>
      </c>
      <c r="AD51" s="1564">
        <f t="shared" si="140"/>
        <v>1.9321329639889306</v>
      </c>
      <c r="AE51" s="1564">
        <f t="shared" si="140"/>
        <v>0.28824307368848778</v>
      </c>
      <c r="AF51" s="1564">
        <f t="shared" si="140"/>
        <v>1.5648005478513971</v>
      </c>
      <c r="AG51" s="1564">
        <f t="shared" si="140"/>
        <v>1.0544275720866914</v>
      </c>
      <c r="AH51" s="1564">
        <f t="shared" si="140"/>
        <v>0.81187580678034887</v>
      </c>
      <c r="AI51" s="1564">
        <f t="shared" si="140"/>
        <v>1.8867924528301661</v>
      </c>
      <c r="AJ51" s="1564">
        <f t="shared" si="140"/>
        <v>1.2372732789427632</v>
      </c>
      <c r="AK51" s="1564">
        <f t="shared" si="140"/>
        <v>3.3295063145809323</v>
      </c>
      <c r="AL51" s="1564">
        <f t="shared" si="140"/>
        <v>3.3965697341375556</v>
      </c>
      <c r="AM51" s="1564">
        <f t="shared" si="140"/>
        <v>2.3164741802734756</v>
      </c>
      <c r="AN51" s="1564">
        <f t="shared" si="140"/>
        <v>3.9461853541576497</v>
      </c>
      <c r="AO51" s="1564">
        <f t="shared" si="140"/>
        <v>2.5882352941176467</v>
      </c>
      <c r="AP51" s="1564">
        <f t="shared" si="140"/>
        <v>3.5065993156265352</v>
      </c>
      <c r="AQ51" s="1564">
        <f t="shared" si="140"/>
        <v>4.2004541031462894</v>
      </c>
      <c r="AR51" s="1564">
        <f t="shared" si="140"/>
        <v>4.9593131287242853</v>
      </c>
      <c r="AS51" s="1564">
        <f t="shared" si="140"/>
        <v>4.9949031600407645</v>
      </c>
      <c r="AT51" s="1564">
        <f t="shared" si="140"/>
        <v>4.4268127577846705</v>
      </c>
      <c r="AU51" s="1564">
        <f t="shared" si="140"/>
        <v>49.730604824902699</v>
      </c>
      <c r="AV51" s="1564">
        <f t="shared" si="140"/>
        <v>47.082830108052008</v>
      </c>
      <c r="AW51" s="1564">
        <f t="shared" si="140"/>
        <v>46.60781553398057</v>
      </c>
      <c r="AX51" s="1564">
        <f t="shared" si="140"/>
        <v>45.307632285102663</v>
      </c>
      <c r="AY51" s="1564">
        <f t="shared" si="140"/>
        <v>0.76089297250734322</v>
      </c>
      <c r="AZ51" s="1564">
        <f t="shared" si="140"/>
        <v>1.04614502722844</v>
      </c>
      <c r="BA51" s="1564">
        <f t="shared" si="140"/>
        <v>2.9367631296891794</v>
      </c>
      <c r="BB51" s="1564">
        <f t="shared" si="140"/>
        <v>3.6681472990399921</v>
      </c>
      <c r="BC51" s="1564">
        <f t="shared" ref="BC51:BN51" si="141">(BC41/AY41-1)*100</f>
        <v>3.5477666167984756</v>
      </c>
      <c r="BD51" s="1564">
        <f t="shared" si="141"/>
        <v>3.666146645865842</v>
      </c>
      <c r="BE51" s="1564">
        <f t="shared" si="141"/>
        <v>-0.30542829376646319</v>
      </c>
      <c r="BF51" s="1564">
        <f t="shared" si="141"/>
        <v>0.58051140290256154</v>
      </c>
      <c r="BG51" s="1564">
        <f t="shared" si="141"/>
        <v>-0.30271757825938161</v>
      </c>
      <c r="BH51" s="1564">
        <f t="shared" si="141"/>
        <v>-0.77296668718792594</v>
      </c>
      <c r="BI51" s="1564">
        <f t="shared" si="141"/>
        <v>2.0609942904887824</v>
      </c>
      <c r="BJ51" s="1564">
        <f t="shared" si="141"/>
        <v>0.24735467912602171</v>
      </c>
      <c r="BK51" s="1564">
        <f t="shared" si="141"/>
        <v>0.41405010006210219</v>
      </c>
      <c r="BL51" s="1564">
        <f t="shared" si="141"/>
        <v>-0.14476768233834258</v>
      </c>
      <c r="BM51" s="1564">
        <f t="shared" si="141"/>
        <v>-2.8857961522718023</v>
      </c>
      <c r="BN51" s="1564">
        <f t="shared" si="141"/>
        <v>-2.8718300205620495</v>
      </c>
      <c r="BO51" s="1564">
        <f t="shared" ref="BO51:BZ51" si="142">(BO41/BK41-1)*100</f>
        <v>-3.5255308913476724</v>
      </c>
      <c r="BP51" s="1564">
        <f t="shared" si="142"/>
        <v>-4.0317569899896437</v>
      </c>
      <c r="BQ51" s="1564">
        <f t="shared" si="142"/>
        <v>-2.3252546540217689</v>
      </c>
      <c r="BR51" s="1564">
        <f t="shared" si="142"/>
        <v>-2.5545127372803456</v>
      </c>
      <c r="BS51" s="1564">
        <f>(BS41/BO41-1)*100</f>
        <v>-1.6953982048724892</v>
      </c>
      <c r="BT51" s="1564">
        <f>(BT41/BP41-1)*100</f>
        <v>-0.38846126177971563</v>
      </c>
      <c r="BU51" s="1564">
        <f>(BU41/BQ41-1)*100</f>
        <v>-0.28049482163405859</v>
      </c>
      <c r="BV51" s="1564">
        <f>(BV41/BR41-1)*100</f>
        <v>0.75313201535229801</v>
      </c>
      <c r="BW51" s="1564">
        <f t="shared" si="142"/>
        <v>1.485507246376816</v>
      </c>
      <c r="BX51" s="1564">
        <f t="shared" si="142"/>
        <v>1.2493680941720209</v>
      </c>
      <c r="BY51" s="1564">
        <f t="shared" si="142"/>
        <v>1.3559322033898313</v>
      </c>
      <c r="BZ51" s="1564">
        <f t="shared" si="142"/>
        <v>1.2075037734492922</v>
      </c>
      <c r="CA51" s="1564">
        <f t="shared" ref="CA51:CH51" si="143">(CA41/BW41-1)*100</f>
        <v>0.74259193145305158</v>
      </c>
      <c r="CB51" s="1564">
        <f t="shared" si="143"/>
        <v>0.78459343794579084</v>
      </c>
      <c r="CC51" s="1564">
        <f t="shared" si="143"/>
        <v>0.81121468725540158</v>
      </c>
      <c r="CD51" s="1564">
        <f t="shared" si="143"/>
        <v>0.39769902705775184</v>
      </c>
      <c r="CE51" s="1564">
        <f t="shared" si="143"/>
        <v>0.34729605216528014</v>
      </c>
      <c r="CF51" s="1564">
        <f t="shared" si="143"/>
        <v>0.30431705590940883</v>
      </c>
      <c r="CG51" s="1564">
        <f t="shared" si="143"/>
        <v>2.8234629773393749E-2</v>
      </c>
      <c r="CH51" s="1564">
        <f t="shared" si="143"/>
        <v>0.59418547075051897</v>
      </c>
      <c r="CI51" s="1564">
        <f t="shared" ref="CI51:CP51" si="144">(CI41/CE41-1)*100</f>
        <v>0.14126289023872474</v>
      </c>
      <c r="CJ51" s="1564">
        <f t="shared" si="144"/>
        <v>0.26811543074858335</v>
      </c>
      <c r="CK51" s="1564">
        <f t="shared" si="144"/>
        <v>0.28932326582458145</v>
      </c>
      <c r="CL51" s="1564">
        <f t="shared" si="144"/>
        <v>-0.1757963574994692</v>
      </c>
      <c r="CM51" s="1564">
        <f t="shared" si="144"/>
        <v>0.8181689942164061</v>
      </c>
      <c r="CN51" s="1564">
        <f t="shared" si="144"/>
        <v>0.82330588980368269</v>
      </c>
      <c r="CO51" s="1564">
        <f t="shared" si="144"/>
        <v>1.4565156206023167</v>
      </c>
      <c r="CP51" s="1564">
        <f t="shared" si="144"/>
        <v>2.1696252465483346</v>
      </c>
      <c r="CQ51" s="1564">
        <f t="shared" ref="CQ51:CX51" si="145">(CQ41/CM41-1)*100</f>
        <v>1.5600951448160094</v>
      </c>
      <c r="CR51" s="1564">
        <f t="shared" si="145"/>
        <v>1.5494137353434079</v>
      </c>
      <c r="CS51" s="1564">
        <f t="shared" si="145"/>
        <v>1.0056175879048501</v>
      </c>
      <c r="CT51" s="1564">
        <f t="shared" si="145"/>
        <v>0.56536127964696981</v>
      </c>
      <c r="CU51" s="1564">
        <f t="shared" si="145"/>
        <v>0.97768133911964039</v>
      </c>
      <c r="CV51" s="1564">
        <f t="shared" si="145"/>
        <v>1.3531517525772863</v>
      </c>
      <c r="CW51" s="1564">
        <f t="shared" si="145"/>
        <v>1.8632579063443622</v>
      </c>
      <c r="CX51" s="1564">
        <f t="shared" si="145"/>
        <v>2.3198757079999632</v>
      </c>
      <c r="CY51" s="1564">
        <f t="shared" ref="CY51" si="146">(CY41/CU41-1)*100</f>
        <v>2.1162540647999828</v>
      </c>
      <c r="CZ51" s="1564">
        <f t="shared" ref="CZ51" si="147">(CZ41/CV41-1)*100</f>
        <v>1.7609788269999704</v>
      </c>
      <c r="DA51" s="1564">
        <f t="shared" ref="DA51" si="148">(DA41/CW41-1)*100</f>
        <v>1.3563626089999836</v>
      </c>
      <c r="DB51" s="1564">
        <f t="shared" ref="DB51" si="149">(DB41/CX41-1)*100</f>
        <v>0.93320483269998533</v>
      </c>
      <c r="DC51"/>
      <c r="DD51"/>
      <c r="DE51"/>
      <c r="DF51"/>
      <c r="DG51"/>
      <c r="DH51"/>
      <c r="DI51"/>
      <c r="DJ51"/>
      <c r="DK51"/>
      <c r="DL51"/>
      <c r="DM51"/>
      <c r="DN51"/>
      <c r="DO51"/>
    </row>
    <row r="52" spans="1:119" s="699" customFormat="1" ht="12.75" customHeight="1">
      <c r="A52" s="664"/>
      <c r="B52" s="664"/>
      <c r="C52" s="944"/>
      <c r="D52" s="674"/>
      <c r="E52" s="3629" t="s">
        <v>1938</v>
      </c>
      <c r="F52" s="3630"/>
      <c r="G52" s="705"/>
      <c r="H52" s="705"/>
      <c r="I52" s="705"/>
      <c r="J52" s="705"/>
      <c r="K52" s="1564">
        <f>(4*K41/J42-1)*100</f>
        <v>-0.6264080929451743</v>
      </c>
      <c r="L52" s="1564">
        <f>((K41+3*L41)/J42-1)*100</f>
        <v>-0.7006228740557563</v>
      </c>
      <c r="M52" s="1564">
        <f>((K41+L41+2*M41)/J42-1)*100</f>
        <v>-9.7186022883000156E-3</v>
      </c>
      <c r="N52" s="1621"/>
      <c r="O52" s="1564">
        <f>(4*O41/N42-1)*100</f>
        <v>0.8521267737877869</v>
      </c>
      <c r="P52" s="1564">
        <f>((O41+3*P41)/N42-1)*100</f>
        <v>2.9009513348805083</v>
      </c>
      <c r="Q52" s="1564">
        <f>((O41+P41+2*Q41)/N42-1)*100</f>
        <v>3.2694385884103561</v>
      </c>
      <c r="R52" s="1621"/>
      <c r="S52" s="1564">
        <f>(4*S41/R42-1)*100</f>
        <v>4.3844204921200669</v>
      </c>
      <c r="T52" s="1564">
        <f>((S41+3*T41)/R42-1)*100</f>
        <v>4.4694464722806915</v>
      </c>
      <c r="U52" s="1564">
        <f>((S41+T41+2*U41)/R42-1)*100</f>
        <v>4.5330012453300261</v>
      </c>
      <c r="V52" s="1621"/>
      <c r="W52" s="1564">
        <f>(4*W41/V42-1)*100</f>
        <v>-2.9063861856548523</v>
      </c>
      <c r="X52" s="1564">
        <f>((W41+3*X41)/V42-1)*100</f>
        <v>-3.3438186048035834</v>
      </c>
      <c r="Y52" s="1564">
        <f>((W41+X41+2*Y41)/V42-1)*100</f>
        <v>-4.244896621776606</v>
      </c>
      <c r="Z52" s="1621"/>
      <c r="AA52" s="1564">
        <f>(4*AA41/Z42-1)*100</f>
        <v>0.92923761444341224</v>
      </c>
      <c r="AB52" s="1564">
        <f>((AA41+3*AB41)/Z42-1)*100</f>
        <v>0.2002224694104493</v>
      </c>
      <c r="AC52" s="1564">
        <f>((AA41+AB41+2*AC41)/Z42-1)*100</f>
        <v>0.37135278514590642</v>
      </c>
      <c r="AD52" s="1621"/>
      <c r="AE52" s="1564">
        <f>(4*AE41/AD42-1)*100</f>
        <v>0.73145601471427124</v>
      </c>
      <c r="AF52" s="1564">
        <f>((AE41+3*AF41)/AD42-1)*100</f>
        <v>0.95625739758338213</v>
      </c>
      <c r="AG52" s="1564">
        <f>((AE41+AF41+2*AG41)/AD42-1)*100</f>
        <v>0.87451144017645088</v>
      </c>
      <c r="AH52" s="1621"/>
      <c r="AI52" s="1564">
        <f>(4*AI41/AH42-1)*100</f>
        <v>1.688222936546091</v>
      </c>
      <c r="AJ52" s="1564">
        <f>((AI41+3*AJ41)/AH42-1)*100</f>
        <v>1.4275228428965558</v>
      </c>
      <c r="AK52" s="1564">
        <f>((AI41+AJ41+2*AK41)/AH42-1)*100</f>
        <v>2.3910163928893891</v>
      </c>
      <c r="AL52" s="1621"/>
      <c r="AM52" s="1564">
        <f>(4*AM41/AL42-1)*100</f>
        <v>1.5430726413385498</v>
      </c>
      <c r="AN52" s="1564">
        <f>((AM41+3*AN41)/AL42-1)*100</f>
        <v>2.4916423760354522</v>
      </c>
      <c r="AO52" s="1564">
        <f>((AM41+AN41+2*AO41)/AL42-1)*100</f>
        <v>2.7847767732160911</v>
      </c>
      <c r="AP52" s="1621"/>
      <c r="AQ52" s="1564">
        <f>(4*AQ41/AP42-1)*100</f>
        <v>2.6382421304024906</v>
      </c>
      <c r="AR52" s="1564">
        <f>((AQ41+3*AR41)/AP42-1)*100</f>
        <v>4.1646365328242618</v>
      </c>
      <c r="AS52" s="1564">
        <f>((AQ41+AR41+2*AS41)/AP42-1)*100</f>
        <v>4.480938041646354</v>
      </c>
      <c r="AT52" s="1621"/>
      <c r="AU52" s="1564">
        <f>(4*AU41/AT42-1)*100</f>
        <v>46.857455844413586</v>
      </c>
      <c r="AV52" s="1564">
        <f>((AU41+3*AV41)/AT42-1)*100</f>
        <v>47.055114109942473</v>
      </c>
      <c r="AW52" s="1564">
        <f>((AU41+AV41+2*AW41)/AT42-1)*100</f>
        <v>47.260678706092477</v>
      </c>
      <c r="AX52" s="1621"/>
      <c r="AY52" s="1564">
        <f>(4*AY41/AX42-1)*100</f>
        <v>0.55157593123209558</v>
      </c>
      <c r="AZ52" s="1564">
        <f>((AY41+3*AZ41)/AX42-1)*100</f>
        <v>0.90078796561605667</v>
      </c>
      <c r="BA52" s="1564">
        <f>((AY41+AZ41+2*BA41)/AX42-1)*100</f>
        <v>1.9896131805157591</v>
      </c>
      <c r="BB52" s="1621"/>
      <c r="BC52" s="1564">
        <f>(4*BC41/BB42-1)*100</f>
        <v>1.9731649565903675</v>
      </c>
      <c r="BD52" s="1564">
        <f>((BC41+3*BD41)/BB42-1)*100</f>
        <v>2.4151539068666183</v>
      </c>
      <c r="BE52" s="1564">
        <f>((BC41+BD41+2*BE41)/BB42-1)*100</f>
        <v>1.5136367622555547</v>
      </c>
      <c r="BF52" s="1621"/>
      <c r="BG52" s="1564">
        <f>(4*BG41/BF42-1)*100</f>
        <v>-0.18253831582574209</v>
      </c>
      <c r="BH52" s="1564">
        <f>((BG41+3*BH41)/BF42-1)*100</f>
        <v>-0.10504563457897076</v>
      </c>
      <c r="BI52" s="1564">
        <f>((BG41+BH41+2*BI41)/BF42-1)*100</f>
        <v>0.41846047873255188</v>
      </c>
      <c r="BJ52" s="1621"/>
      <c r="BK52" s="1564">
        <f>(4*BK41/BJ42-1)*100</f>
        <v>-7.0392308352662525E-2</v>
      </c>
      <c r="BL52" s="1564">
        <f>((BK41+3*BL41)/BJ42-1)*100</f>
        <v>-0.41033565112886805</v>
      </c>
      <c r="BM52" s="1564">
        <f>((BK41+BL41+2*BM41)/BJ42-1)*100</f>
        <v>-1.2687784359172505</v>
      </c>
      <c r="BN52" s="1621"/>
      <c r="BO52" s="1564">
        <f>(4*BO41/BN42-1)*100</f>
        <v>-2.245743532606792</v>
      </c>
      <c r="BP52" s="1564">
        <f>((BO41+3*BP41)/BN42-1)*100</f>
        <v>-2.9612478674140852</v>
      </c>
      <c r="BQ52" s="1564">
        <f>((BO41+BP41+2*BQ41)/BN42-1)*100</f>
        <v>-2.9508025486577605</v>
      </c>
      <c r="BR52" s="1621"/>
      <c r="BS52" s="1564">
        <f>(4*BS41/BR42-1)*100</f>
        <v>-0.81219003809389623</v>
      </c>
      <c r="BT52" s="1564">
        <f>((BS41+3*BT41)/BR42-1)*100</f>
        <v>-0.55882987134336926</v>
      </c>
      <c r="BU52" s="1564">
        <f>((BS41+BT41+2*BU41)/BR42-1)*100</f>
        <v>-0.49414216919428933</v>
      </c>
      <c r="BV52" s="1621"/>
      <c r="BW52" s="1564">
        <f>(4*BW41/BV42-1)*100</f>
        <v>1.0735227785295454</v>
      </c>
      <c r="BX52" s="1564">
        <f>((BW41+3*BX41)/BV42-1)*100</f>
        <v>1.1547135769057082</v>
      </c>
      <c r="BY52" s="1564">
        <f>((BW41+BX41+2*BY41)/BV42-1)*100</f>
        <v>1.2737934145241381</v>
      </c>
      <c r="BZ52" s="1621"/>
      <c r="CA52" s="1564">
        <f>(4*CA41/BZ42-1)*100</f>
        <v>0.49324240103989503</v>
      </c>
      <c r="CB52" s="1564">
        <f>((CA41+3*CB41)/BZ42-1)*100</f>
        <v>0.60542388575293149</v>
      </c>
      <c r="CC52" s="1564">
        <f>((CA41+CB41+2*CC41)/BZ42-1)*100</f>
        <v>0.73719261382858559</v>
      </c>
      <c r="CD52" s="1621"/>
      <c r="CE52" s="1564">
        <f>(4*CE41/CD42-1)*100</f>
        <v>0.1574023309693251</v>
      </c>
      <c r="CF52" s="1564">
        <f>((CE41+3*CF41)/CD42-1)*100</f>
        <v>0.236987779212261</v>
      </c>
      <c r="CG52" s="1564">
        <f>((CE41+CF41+2*CG41)/CD42-1)*100</f>
        <v>0.22991351714620745</v>
      </c>
      <c r="CH52" s="1621"/>
      <c r="CI52" s="1564">
        <f>(4*CI41/CH42-1)*100</f>
        <v>-1.9392486293035027E-2</v>
      </c>
      <c r="CJ52" s="1564">
        <f>((CI41+3*CJ41)/CH42-1)*100</f>
        <v>0.15513989034428022</v>
      </c>
      <c r="CK52" s="1564">
        <f>((CI41+CJ41+2*CK41)/CH42-1)*100</f>
        <v>0.15866579694303606</v>
      </c>
      <c r="CL52" s="1621"/>
      <c r="CM52" s="1564">
        <f>(4*CM41/CL42-1)*100</f>
        <v>0.66728876525168346</v>
      </c>
      <c r="CN52" s="1564">
        <f>((CM41+3*CN41)/CL42-1)*100</f>
        <v>0.8468757152666484</v>
      </c>
      <c r="CO52" s="1564">
        <f>((CM41+CN41+2*CO41)/CL42-1)*100</f>
        <v>1.1673151750972943</v>
      </c>
      <c r="CP52" s="1621"/>
      <c r="CQ52" s="1564">
        <f>(4*CQ41/CP42-1)*100</f>
        <v>0.90885394039446066</v>
      </c>
      <c r="CR52" s="1564">
        <f>((CQ41+3*CR41)/CP42-1)*100</f>
        <v>1.0808932140064176</v>
      </c>
      <c r="CS52" s="1564">
        <f>((CQ41+CR41+2*CS41)/CP42-1)*100</f>
        <v>1.1295507863411158</v>
      </c>
      <c r="CT52" s="1621"/>
      <c r="CU52" s="1564">
        <f>(4*CU41/CT42-1)*100</f>
        <v>0.71924008451138555</v>
      </c>
      <c r="CV52" s="1564">
        <f>((CU41+3*CV41)/CT42-1)*100</f>
        <v>1.172476664891664</v>
      </c>
      <c r="CW52" s="1564">
        <f>((CU41+CV41+2*CW41)/CT42-1)*100</f>
        <v>1.4764473314667237</v>
      </c>
      <c r="CX52" s="1621"/>
      <c r="CY52" s="1564">
        <f>(4*CY41/CX42-1)*100</f>
        <v>1.2017892323994195</v>
      </c>
      <c r="CZ52" s="1564">
        <f>((CY41+3*CZ41)/CX42-1)*100</f>
        <v>1.3915425872101705</v>
      </c>
      <c r="DA52" s="1564">
        <f>((CY41+CZ41+2*DA41)/CX42-1)*100</f>
        <v>1.4929973809156172</v>
      </c>
      <c r="DB52" s="1621"/>
      <c r="DC52"/>
      <c r="DD52"/>
      <c r="DE52"/>
      <c r="DF52"/>
      <c r="DG52"/>
      <c r="DH52"/>
      <c r="DI52"/>
      <c r="DJ52"/>
      <c r="DK52"/>
      <c r="DL52"/>
      <c r="DM52"/>
      <c r="DN52"/>
      <c r="DO52"/>
    </row>
    <row r="53" spans="1:119">
      <c r="C53" s="1557"/>
      <c r="D53" s="828"/>
      <c r="E53" s="3631" t="s">
        <v>1807</v>
      </c>
      <c r="F53" s="828"/>
      <c r="G53" s="876"/>
      <c r="H53" s="876"/>
      <c r="I53" s="876"/>
      <c r="J53" s="876"/>
      <c r="K53" s="1620"/>
      <c r="L53" s="883">
        <f>(4*L41/(K41+3*L41)-1)*100</f>
        <v>-2.4912805181864783E-2</v>
      </c>
      <c r="M53" s="883">
        <f>(4*M41/(K41+L41+2*M41)-1)*100</f>
        <v>0.66623075971512513</v>
      </c>
      <c r="N53" s="883">
        <f>+(4*N41/N42-1)*100</f>
        <v>-7.6177653373976639E-2</v>
      </c>
      <c r="O53" s="1620"/>
      <c r="P53" s="883">
        <f>(4*P41/(O41+3*P41)-1)*100</f>
        <v>0.66368824729490239</v>
      </c>
      <c r="Q53" s="883">
        <f>(4*Q41/(O41+P41+2*Q41)-1)*100</f>
        <v>1.0181412703178072</v>
      </c>
      <c r="R53" s="883">
        <f>+(4*R41/R42-1)*100</f>
        <v>0.63297118564005217</v>
      </c>
      <c r="S53" s="1620"/>
      <c r="T53" s="883">
        <f>(4*T41/(S41+3*T41)-1)*100</f>
        <v>2.7129456835384147E-2</v>
      </c>
      <c r="U53" s="883">
        <f>(4*U41/(S41+T41+2*U41)-1)*100</f>
        <v>8.7911726767053722E-2</v>
      </c>
      <c r="V53" s="883">
        <f>+(4*V41/V42-1)*100</f>
        <v>0.97971755299977037</v>
      </c>
      <c r="W53" s="1620"/>
      <c r="X53" s="883">
        <f>(4*X41/(W41+3*X41)-1)*100</f>
        <v>-0.15085512822685665</v>
      </c>
      <c r="Y53" s="883">
        <f>(4*Y41/(W41+X41+2*Y41)-1)*100</f>
        <v>-1.0932982017896498</v>
      </c>
      <c r="Z53" s="883">
        <f>+(4*Z41/Z42-1)*100</f>
        <v>-1.155129631214169</v>
      </c>
      <c r="AA53" s="1620"/>
      <c r="AB53" s="883">
        <f>(4*AB41/(AA41+3*AB41)-1)*100</f>
        <v>-0.24251946987293715</v>
      </c>
      <c r="AC53" s="883">
        <f>(4*AC41/(AA41+AB41+2*AC41)-1)*100</f>
        <v>-7.1608811293732977E-2</v>
      </c>
      <c r="AD53" s="883">
        <f>+(4*AD41/AD42-1)*100</f>
        <v>0.26822892274156462</v>
      </c>
      <c r="AE53" s="1620"/>
      <c r="AF53" s="883">
        <f>(4*AF41/(AE41+3*AF41)-1)*100</f>
        <v>7.4224021592450562E-2</v>
      </c>
      <c r="AG53" s="883">
        <f>(4*AG41/(AE41+AF41+2*AG41)-1)*100</f>
        <v>-6.7531064289472198E-3</v>
      </c>
      <c r="AH53" s="883">
        <f>+(4*AH41/AH42-1)*100</f>
        <v>0.15270782184650944</v>
      </c>
      <c r="AI53" s="1620"/>
      <c r="AJ53" s="883">
        <f>(4*AJ41/(AI41+3*AJ41)-1)*100</f>
        <v>-8.5676972857862133E-2</v>
      </c>
      <c r="AK53" s="883">
        <f>(4*AK41/(AI41+AJ41+2*AK41)-1)*100</f>
        <v>0.85612346635244307</v>
      </c>
      <c r="AL53" s="883">
        <f>+(4*AL41/AL42-1)*100</f>
        <v>1.0654941290779485</v>
      </c>
      <c r="AM53" s="1620"/>
      <c r="AN53" s="883">
        <f>(4*AN41/(AM41+3*AN41)-1)*100</f>
        <v>0.30850311716690282</v>
      </c>
      <c r="AO53" s="883">
        <f>(4*AO41/(AM41+AN41+2*AO41)-1)*100</f>
        <v>0.59281571442304504</v>
      </c>
      <c r="AP53" s="883">
        <f>+(4*AP41/AP42-1)*100</f>
        <v>1.4752749666525622</v>
      </c>
      <c r="AQ53" s="1620"/>
      <c r="AR53" s="883">
        <f>(4*AR41/(AQ41+3*AR41)-1)*100</f>
        <v>0.48845572842781682</v>
      </c>
      <c r="AS53" s="883">
        <f>(4*AS41/(AQ41+AR41+2*AS41)-1)*100</f>
        <v>0.78971308874908885</v>
      </c>
      <c r="AT53" s="883">
        <f>+(4*AT41/AT42-1)*100</f>
        <v>1.2624605004045275</v>
      </c>
      <c r="AU53" s="1620"/>
      <c r="AV53" s="883">
        <f>(4*AV41/(AU41+3*AV41)-1)*100</f>
        <v>4.4803670316673205E-2</v>
      </c>
      <c r="AW53" s="883">
        <f>(4*AW41/(AU41+AV41+2*AW41)-1)*100</f>
        <v>0.18433344667752039</v>
      </c>
      <c r="AX53" s="883">
        <f>+(4*AX41/AX42-1)*100</f>
        <v>-1.4326647564466555E-2</v>
      </c>
      <c r="AY53" s="1620"/>
      <c r="AZ53" s="883">
        <f>(4*AZ41/(AY41+3*AZ41)-1)*100</f>
        <v>0.11536481905471963</v>
      </c>
      <c r="BA53" s="883">
        <f>(4*BA41/(AY41+AZ41+2*BA41)-1)*100</f>
        <v>1.1817176168987364</v>
      </c>
      <c r="BB53" s="883">
        <f>+(4*BB41/BB42-1)*100</f>
        <v>1.5171446110672671</v>
      </c>
      <c r="BC53" s="1620"/>
      <c r="BD53" s="883">
        <f>(4*BD41/(BC41+3*BD41)-1)*100</f>
        <v>0.14385532264693524</v>
      </c>
      <c r="BE53" s="883">
        <f>(4*BE41/(BC41+BD41+2*BE41)-1)*100</f>
        <v>-0.7429420505200568</v>
      </c>
      <c r="BF53" s="883">
        <f>+(4*BF41/BF42-1)*100</f>
        <v>0.25142069915617959</v>
      </c>
      <c r="BG53" s="1620"/>
      <c r="BH53" s="883">
        <f>(4*BH41/(BG41+3*BH41)-1)*100</f>
        <v>2.5858056508476501E-2</v>
      </c>
      <c r="BI53" s="883">
        <f>(4*BI41/(BG41+BH41+2*BI41)-1)*100</f>
        <v>0.54704782810008901</v>
      </c>
      <c r="BJ53" s="883">
        <f>+(4*BJ41/BJ42-1)*100</f>
        <v>0.1974418405013223</v>
      </c>
      <c r="BK53" s="1620"/>
      <c r="BL53" s="883">
        <f>(4*BL41/(BK41+3*BL41)-1)*100</f>
        <v>-0.11378133296554571</v>
      </c>
      <c r="BM53" s="883">
        <f>(4*BM41/(BK41+BL41+2*BM41)-1)*100</f>
        <v>-0.98424512224811744</v>
      </c>
      <c r="BN53" s="883">
        <f>+(4*BN41/BN42-1)*100</f>
        <v>-1.3195919362139263</v>
      </c>
      <c r="BO53" s="1620"/>
      <c r="BP53" s="883">
        <f>(4*BP41/(BO41+3*BP41)-1)*100</f>
        <v>-0.24577958773613906</v>
      </c>
      <c r="BQ53" s="883">
        <f>(4*BQ41/(BO41+BP41+2*BQ41)-1)*100</f>
        <v>-0.23499022368915767</v>
      </c>
      <c r="BR53" s="883">
        <f>+(4*BR41/BR42-1)*100</f>
        <v>-0.7475023359448163</v>
      </c>
      <c r="BS53" s="1620"/>
      <c r="BT53" s="883">
        <f>(4*BT41/(BS41+3*BT41)-1)*100</f>
        <v>8.4927991904737432E-2</v>
      </c>
      <c r="BU53" s="883">
        <f>(4*BU41/(BS41+BT41+2*BU41)-1)*100</f>
        <v>0.1498817198475999</v>
      </c>
      <c r="BV53" s="883">
        <f>+(4*BV41/BV42-1)*100</f>
        <v>0.40956247180874428</v>
      </c>
      <c r="BW53" s="1620"/>
      <c r="BX53" s="883">
        <f>(4*BX41/(BW41+3*BX41)-1)*100</f>
        <v>2.6754659769911981E-2</v>
      </c>
      <c r="BY53" s="883">
        <f>(4*BY41/(BW41+BX41+2*BY41)-1)*100</f>
        <v>0.14430528584916669</v>
      </c>
      <c r="BZ53" s="883">
        <f>+(4*BZ41/BZ42-1)*100</f>
        <v>0.29380865043890925</v>
      </c>
      <c r="CA53" s="1620"/>
      <c r="CB53" s="883">
        <f>(4*CB41/(CA41+3*CB41)-1)*100</f>
        <v>3.7168799447795386E-2</v>
      </c>
      <c r="CC53" s="883">
        <f>(4*CC41/(CA41+CB41+2*CC41)-1)*100</f>
        <v>0.1679246283562863</v>
      </c>
      <c r="CD53" s="883">
        <f>+(4*CD41/CD42-1)*100</f>
        <v>8.84282758253363E-3</v>
      </c>
      <c r="CE53" s="1620"/>
      <c r="CF53" s="883">
        <f>(4*CF41/(CE41+3*CF41)-1)*100</f>
        <v>2.6465762125726933E-2</v>
      </c>
      <c r="CG53" s="883">
        <f>(4*CG41/(CE41+CF41+2*CG41)-1)*100</f>
        <v>1.9409595398167667E-2</v>
      </c>
      <c r="CH53" s="883">
        <f>+(4*CH41/CH42-1)*100</f>
        <v>0.28383548119810253</v>
      </c>
      <c r="CI53" s="1620"/>
      <c r="CJ53" s="883">
        <f>(4*CJ41/(CI41+3*CJ41)-1)*100</f>
        <v>5.8087342240065176E-2</v>
      </c>
      <c r="CK53" s="883">
        <f>(4*CK41/(CI41+CJ41+2*CK41)-1)*100</f>
        <v>6.1605618432403197E-2</v>
      </c>
      <c r="CL53" s="883">
        <f>+(4*CL41/CL42-1)*100</f>
        <v>-2.2888532845033449E-2</v>
      </c>
      <c r="CM53" s="1620"/>
      <c r="CN53" s="883">
        <f>(4*CN41/(CM41+3*CN41)-1)*100</f>
        <v>5.9359614511689252E-2</v>
      </c>
      <c r="CO53" s="883">
        <f>(4*CO41/(CM41+CN41+2*CO41)-1)*100</f>
        <v>0.37591367908109685</v>
      </c>
      <c r="CP53" s="883">
        <f>+(4*CP41/CP42-1)*100</f>
        <v>0.81848987748718294</v>
      </c>
      <c r="CQ53" s="1620"/>
      <c r="CR53" s="883">
        <f>(4*CR41/(CQ41+3*CR41)-1)*100</f>
        <v>5.6733199236691512E-2</v>
      </c>
      <c r="CS53" s="883">
        <f>(4*CS41/(CQ41+CR41+2*CS41)-1)*100</f>
        <v>0.10482000171838646</v>
      </c>
      <c r="CT53" s="883">
        <f>+(4*CT41/CT42-1)*100</f>
        <v>0.21814933782227097</v>
      </c>
      <c r="CU53" s="1620"/>
      <c r="CV53" s="883">
        <f>(4*CV41/(CU41+3*CV41)-1)*100</f>
        <v>0.14932802389249211</v>
      </c>
      <c r="CW53" s="883">
        <f>(4*CW41/(CU41+CV41+2*CW41)-1)*100</f>
        <v>0.44842871293615527</v>
      </c>
      <c r="CX53" s="883">
        <f>+(4*CX41/CX42-1)*100</f>
        <v>0.89909195652981833</v>
      </c>
      <c r="CY53" s="1620"/>
      <c r="CZ53" s="883">
        <f>(4*CZ41/(CY41+3*CZ41)-1)*100</f>
        <v>6.2383031815338441E-2</v>
      </c>
      <c r="DA53" s="883">
        <f>(4*DA41/(CY41+CZ41+2*DA41)-1)*100</f>
        <v>0.1622830305795242</v>
      </c>
      <c r="DB53" s="883">
        <f>+(4*DB41/DB42-1)*100</f>
        <v>0.29736807987477132</v>
      </c>
    </row>
    <row r="54" spans="1:119" s="884" customFormat="1" ht="30" customHeight="1">
      <c r="A54" s="664"/>
      <c r="B54" s="664"/>
      <c r="C54" s="666"/>
      <c r="D54" s="1041"/>
      <c r="E54" s="3632"/>
      <c r="F54" s="1041"/>
      <c r="G54" s="1044"/>
      <c r="H54" s="1559"/>
      <c r="I54" s="1559"/>
      <c r="J54" s="1559"/>
      <c r="K54" s="1044"/>
      <c r="L54" s="1559"/>
      <c r="M54" s="1559"/>
      <c r="N54" s="1559"/>
      <c r="O54" s="1044"/>
      <c r="P54" s="1559"/>
      <c r="Q54" s="1559"/>
      <c r="R54" s="1559"/>
      <c r="S54" s="1044"/>
      <c r="T54" s="1559"/>
      <c r="U54" s="1559"/>
      <c r="V54" s="1559"/>
      <c r="W54" s="1044"/>
      <c r="X54" s="1559"/>
      <c r="Y54" s="1559"/>
      <c r="Z54" s="1559"/>
      <c r="AA54" s="1044"/>
      <c r="AB54" s="1559"/>
      <c r="AC54" s="1559"/>
      <c r="AD54" s="1559"/>
      <c r="AE54" s="1044"/>
      <c r="AF54" s="1559"/>
      <c r="AG54" s="1559"/>
      <c r="AH54" s="1559"/>
      <c r="AI54" s="1044"/>
      <c r="AJ54" s="1559"/>
      <c r="AK54" s="1559"/>
      <c r="AL54" s="1559"/>
      <c r="AM54" s="1044"/>
      <c r="AN54" s="1559"/>
      <c r="AO54" s="1559"/>
      <c r="AP54" s="1559"/>
      <c r="AQ54" s="1044"/>
      <c r="AR54" s="1559"/>
      <c r="AS54" s="1559"/>
      <c r="AT54" s="1559"/>
      <c r="AU54" s="1044"/>
      <c r="AV54" s="1559"/>
      <c r="AW54" s="1559"/>
      <c r="AX54" s="1559"/>
      <c r="AY54" s="1560"/>
      <c r="AZ54" s="1559"/>
      <c r="BA54" s="1560"/>
      <c r="BB54" s="1560"/>
      <c r="BC54" s="1560"/>
      <c r="BD54" s="1560"/>
      <c r="BE54" s="1560"/>
      <c r="BF54" s="1560"/>
      <c r="BG54" s="1560"/>
      <c r="BH54" s="1560"/>
      <c r="BI54" s="1560"/>
      <c r="BJ54" s="1560"/>
      <c r="BK54" s="1560"/>
      <c r="BL54" s="1560"/>
      <c r="BM54" s="1560"/>
      <c r="BN54" s="1312">
        <f>(BM51+BN51)/2</f>
        <v>-2.8788130864169261</v>
      </c>
      <c r="BO54" s="1560"/>
      <c r="BP54" s="1560"/>
      <c r="BQ54" s="1560"/>
      <c r="BR54" s="1312">
        <f>(BQ51+BR51)/2</f>
        <v>-2.4398836956510572</v>
      </c>
      <c r="BS54" s="1560"/>
      <c r="BT54" s="1560"/>
      <c r="BU54" s="1560"/>
      <c r="BV54" s="1312">
        <f>(BU51+BV51)/2</f>
        <v>0.23631859685911971</v>
      </c>
      <c r="BW54" s="1560"/>
      <c r="BX54" s="1560"/>
      <c r="BY54" s="1560"/>
      <c r="BZ54" s="1560"/>
      <c r="CA54" s="1560"/>
      <c r="CB54" s="1560"/>
      <c r="CC54" s="1560"/>
      <c r="CD54" s="1560"/>
      <c r="CE54" s="1560"/>
      <c r="CF54" s="1560"/>
      <c r="CG54" s="1560"/>
      <c r="CH54" s="1560"/>
      <c r="CI54" s="1560"/>
      <c r="CJ54" s="1560"/>
      <c r="CK54" s="1560"/>
      <c r="CL54" s="1560"/>
      <c r="CM54" s="1560"/>
      <c r="CN54" s="1560"/>
      <c r="CO54" s="1560"/>
      <c r="CP54" s="1560"/>
      <c r="CQ54" s="1560"/>
      <c r="CR54" s="1560"/>
      <c r="CS54" s="1560"/>
      <c r="CT54" s="1560"/>
      <c r="CU54" s="1560"/>
      <c r="CV54" s="1560"/>
      <c r="CW54" s="1560"/>
      <c r="CX54" s="1560"/>
      <c r="CY54" s="1560"/>
      <c r="CZ54" s="1560"/>
      <c r="DA54" s="1560"/>
      <c r="DB54" s="1560"/>
      <c r="DC54"/>
      <c r="DD54"/>
      <c r="DE54"/>
      <c r="DF54"/>
      <c r="DG54"/>
      <c r="DH54"/>
      <c r="DI54"/>
      <c r="DJ54"/>
      <c r="DK54"/>
      <c r="DL54"/>
      <c r="DM54"/>
      <c r="DN54"/>
      <c r="DO54"/>
    </row>
    <row r="55" spans="1:119" s="884" customFormat="1" ht="30" customHeight="1">
      <c r="A55" s="664"/>
      <c r="B55" s="664"/>
      <c r="C55" s="666"/>
      <c r="D55" s="1041"/>
      <c r="E55" s="3632"/>
      <c r="F55" s="1041"/>
      <c r="G55" s="1044"/>
      <c r="H55" s="1559"/>
      <c r="I55" s="1559"/>
      <c r="J55" s="1559"/>
      <c r="K55" s="1044"/>
      <c r="L55" s="1559"/>
      <c r="M55" s="1559"/>
      <c r="N55" s="1559"/>
      <c r="O55" s="1044"/>
      <c r="P55" s="1559"/>
      <c r="Q55" s="1559"/>
      <c r="R55" s="1559"/>
      <c r="S55" s="1044"/>
      <c r="T55" s="1559"/>
      <c r="U55" s="1559"/>
      <c r="V55" s="1559"/>
      <c r="W55" s="1044"/>
      <c r="X55" s="1559"/>
      <c r="Y55" s="1559"/>
      <c r="Z55" s="1559"/>
      <c r="AA55" s="1044"/>
      <c r="AB55" s="1559"/>
      <c r="AC55" s="1559"/>
      <c r="AD55" s="1559"/>
      <c r="AE55" s="1044"/>
      <c r="AF55" s="1559"/>
      <c r="AG55" s="1559"/>
      <c r="AH55" s="1559"/>
      <c r="AI55" s="1044"/>
      <c r="AJ55" s="1559"/>
      <c r="AK55" s="1559"/>
      <c r="AL55" s="1559"/>
      <c r="AM55" s="1044"/>
      <c r="AN55" s="1559"/>
      <c r="AO55" s="1559"/>
      <c r="AP55" s="1559"/>
      <c r="AQ55" s="1044"/>
      <c r="AR55" s="1559"/>
      <c r="AS55" s="1559"/>
      <c r="AT55" s="1559"/>
      <c r="AU55" s="1044"/>
      <c r="AV55" s="1559"/>
      <c r="AW55" s="1559"/>
      <c r="AX55" s="1559"/>
      <c r="AY55" s="1560"/>
      <c r="AZ55" s="1559"/>
      <c r="BA55" s="1560"/>
      <c r="BB55" s="1560"/>
      <c r="BC55" s="1560"/>
      <c r="BD55" s="1560"/>
      <c r="BE55" s="1560"/>
      <c r="BF55" s="1560"/>
      <c r="BG55" s="1560"/>
      <c r="BH55" s="1560"/>
      <c r="BI55" s="1560"/>
      <c r="BJ55" s="1560"/>
      <c r="BK55" s="1560"/>
      <c r="BL55" s="1560"/>
      <c r="BM55" s="1560"/>
      <c r="BN55" s="1560"/>
      <c r="BO55" s="1560"/>
      <c r="BP55" s="1560"/>
      <c r="BQ55" s="1560"/>
      <c r="BR55" s="1560"/>
      <c r="BS55" s="1560"/>
      <c r="BT55" s="1560"/>
      <c r="BU55" s="1560"/>
      <c r="BV55" s="1560"/>
      <c r="BW55" s="1560"/>
      <c r="BX55" s="1560"/>
      <c r="BY55" s="1560"/>
      <c r="BZ55" s="1560"/>
      <c r="CA55" s="1560"/>
      <c r="CB55" s="1560"/>
      <c r="CC55" s="1560"/>
      <c r="CD55" s="1560"/>
      <c r="CE55" s="1560"/>
      <c r="CF55" s="1560"/>
      <c r="CG55" s="1560"/>
      <c r="CH55" s="1560"/>
      <c r="CI55" s="1560"/>
      <c r="CJ55" s="1560"/>
      <c r="CK55" s="1560"/>
      <c r="CL55" s="1560"/>
      <c r="CM55" s="1560"/>
      <c r="CN55" s="1560"/>
      <c r="CO55" s="1560"/>
      <c r="CP55" s="1560"/>
      <c r="CQ55" s="1560"/>
      <c r="CR55" s="1560"/>
      <c r="CS55" s="1560"/>
      <c r="CT55" s="3422"/>
      <c r="CU55" s="1560"/>
      <c r="CV55" s="1560"/>
      <c r="CW55" s="1560"/>
      <c r="CX55" s="1560"/>
      <c r="CY55" s="1560"/>
      <c r="CZ55" s="1560"/>
      <c r="DA55" s="1560"/>
      <c r="DB55" s="1560"/>
      <c r="DC55"/>
      <c r="DD55"/>
      <c r="DE55"/>
      <c r="DF55"/>
      <c r="DG55"/>
      <c r="DH55"/>
      <c r="DI55"/>
      <c r="DJ55"/>
      <c r="DK55"/>
      <c r="DL55"/>
      <c r="DM55"/>
      <c r="DN55"/>
      <c r="DO55"/>
    </row>
    <row r="56" spans="1:119" ht="30" customHeight="1">
      <c r="C56" s="3767" t="s">
        <v>1067</v>
      </c>
      <c r="D56" s="3767"/>
      <c r="E56" s="3767"/>
      <c r="F56" s="3767"/>
      <c r="CM56" s="557"/>
      <c r="CN56" s="557"/>
      <c r="CO56" s="3162"/>
      <c r="CP56" s="557"/>
      <c r="CQ56" s="3162"/>
      <c r="CR56" s="3162"/>
      <c r="CS56" s="3162"/>
      <c r="CT56" s="3162"/>
      <c r="CU56" s="557"/>
      <c r="CV56" s="557"/>
      <c r="CW56" s="557"/>
      <c r="CX56" s="557"/>
      <c r="CY56" s="557"/>
      <c r="CZ56" s="557"/>
      <c r="DA56" s="557"/>
      <c r="DB56" s="557"/>
    </row>
    <row r="57" spans="1:119">
      <c r="A57" s="664"/>
      <c r="E57" s="599"/>
      <c r="F57" s="3617"/>
      <c r="CM57" s="557"/>
      <c r="CN57" s="557"/>
      <c r="CO57" s="557"/>
      <c r="CP57" s="557"/>
      <c r="CQ57" s="557"/>
      <c r="CR57" s="557"/>
      <c r="CS57" s="557"/>
      <c r="CT57" s="557"/>
      <c r="CU57" s="557"/>
      <c r="CV57" s="557"/>
      <c r="CW57" s="557"/>
      <c r="CX57" s="557"/>
      <c r="CY57" s="557"/>
      <c r="CZ57" s="557"/>
      <c r="DA57" s="557"/>
      <c r="DB57" s="557"/>
    </row>
    <row r="58" spans="1:119">
      <c r="A58" s="664"/>
      <c r="E58" s="599"/>
      <c r="F58" s="3617"/>
      <c r="G58" s="3764">
        <f ca="1">OFFSET(InputY!$G$3,0,(COLUMN()-7)/4)</f>
        <v>1995</v>
      </c>
      <c r="H58" s="3765"/>
      <c r="I58" s="3765"/>
      <c r="J58" s="3766"/>
      <c r="K58" s="3764">
        <f ca="1">OFFSET(InputY!$G$3,0,(COLUMN()-7)/4)</f>
        <v>1996</v>
      </c>
      <c r="L58" s="3765"/>
      <c r="M58" s="3765"/>
      <c r="N58" s="3766"/>
      <c r="O58" s="3764">
        <f ca="1">OFFSET(InputY!$G$3,0,(COLUMN()-7)/4)</f>
        <v>1997</v>
      </c>
      <c r="P58" s="3765"/>
      <c r="Q58" s="3765"/>
      <c r="R58" s="3766"/>
      <c r="S58" s="3764">
        <f ca="1">OFFSET(InputY!$G$3,0,(COLUMN()-7)/4)</f>
        <v>1998</v>
      </c>
      <c r="T58" s="3765"/>
      <c r="U58" s="3765"/>
      <c r="V58" s="3766"/>
      <c r="W58" s="3764">
        <f ca="1">OFFSET(InputY!$G$3,0,(COLUMN()-7)/4)</f>
        <v>1999</v>
      </c>
      <c r="X58" s="3765"/>
      <c r="Y58" s="3765"/>
      <c r="Z58" s="3766"/>
      <c r="AA58" s="3764">
        <f ca="1">OFFSET(InputY!$G$3,0,(COLUMN()-7)/4)</f>
        <v>2000</v>
      </c>
      <c r="AB58" s="3765"/>
      <c r="AC58" s="3765"/>
      <c r="AD58" s="3766"/>
      <c r="AE58" s="3764">
        <f ca="1">OFFSET(InputY!$G$3,0,(COLUMN()-7)/4)</f>
        <v>2001</v>
      </c>
      <c r="AF58" s="3765"/>
      <c r="AG58" s="3765"/>
      <c r="AH58" s="3766"/>
      <c r="AI58" s="3764">
        <f ca="1">OFFSET(InputY!$G$3,0,(COLUMN()-7)/4)</f>
        <v>2002</v>
      </c>
      <c r="AJ58" s="3765"/>
      <c r="AK58" s="3765"/>
      <c r="AL58" s="3766"/>
      <c r="AM58" s="3764">
        <f ca="1">OFFSET(InputY!$G$3,0,(COLUMN()-7)/4)</f>
        <v>2003</v>
      </c>
      <c r="AN58" s="3765"/>
      <c r="AO58" s="3765"/>
      <c r="AP58" s="3766"/>
      <c r="AQ58" s="3764">
        <f ca="1">OFFSET(InputY!$G$3,0,(COLUMN()-7)/4)</f>
        <v>2004</v>
      </c>
      <c r="AR58" s="3765"/>
      <c r="AS58" s="3765"/>
      <c r="AT58" s="3766"/>
      <c r="AU58" s="3764">
        <f ca="1">OFFSET(InputY!$G$3,0,(COLUMN()-7)/4)</f>
        <v>2005</v>
      </c>
      <c r="AV58" s="3765"/>
      <c r="AW58" s="3765"/>
      <c r="AX58" s="3766"/>
      <c r="AY58" s="3764">
        <f ca="1">OFFSET(InputY!$G$3,0,(COLUMN()-7)/4)</f>
        <v>2006</v>
      </c>
      <c r="AZ58" s="3765"/>
      <c r="BA58" s="3765"/>
      <c r="BB58" s="3766"/>
      <c r="BC58" s="3764">
        <f ca="1">OFFSET(InputY!$G$3,0,(COLUMN()-7)/4)</f>
        <v>2007</v>
      </c>
      <c r="BD58" s="3765"/>
      <c r="BE58" s="3765"/>
      <c r="BF58" s="3766"/>
      <c r="BG58" s="3764">
        <f ca="1">OFFSET(InputY!$G$3,0,(COLUMN()-7)/4)</f>
        <v>2008</v>
      </c>
      <c r="BH58" s="3765"/>
      <c r="BI58" s="3765"/>
      <c r="BJ58" s="3766"/>
      <c r="BK58" s="3764">
        <f ca="1">OFFSET(InputY!$G$3,0,(COLUMN()-7)/4)</f>
        <v>2009</v>
      </c>
      <c r="BL58" s="3765"/>
      <c r="BM58" s="3765"/>
      <c r="BN58" s="3766"/>
      <c r="BO58" s="3764">
        <f ca="1">OFFSET(InputY!$G$3,0,(COLUMN()-7)/4)</f>
        <v>2010</v>
      </c>
      <c r="BP58" s="3765"/>
      <c r="BQ58" s="3765"/>
      <c r="BR58" s="3766"/>
      <c r="BS58" s="3764">
        <f ca="1">OFFSET(InputY!$G$3,0,(COLUMN()-7)/4)</f>
        <v>2011</v>
      </c>
      <c r="BT58" s="3765"/>
      <c r="BU58" s="3765"/>
      <c r="BV58" s="3766"/>
      <c r="BW58" s="3764">
        <f ca="1">OFFSET(InputY!$G$3,0,(COLUMN()-7)/4)</f>
        <v>2012</v>
      </c>
      <c r="BX58" s="3765"/>
      <c r="BY58" s="3765"/>
      <c r="BZ58" s="3766"/>
      <c r="CA58" s="3764">
        <f ca="1">OFFSET(InputY!$G$3,0,(COLUMN()-7)/4)</f>
        <v>2013</v>
      </c>
      <c r="CB58" s="3765"/>
      <c r="CC58" s="3765"/>
      <c r="CD58" s="3766"/>
      <c r="CE58" s="3764">
        <f ca="1">OFFSET(InputY!$G$3,0,(COLUMN()-7)/4)</f>
        <v>2014</v>
      </c>
      <c r="CF58" s="3765"/>
      <c r="CG58" s="3765"/>
      <c r="CH58" s="3766"/>
      <c r="CI58" s="3764">
        <f ca="1">OFFSET(InputY!$G$3,0,(COLUMN()-7)/4)</f>
        <v>2015</v>
      </c>
      <c r="CJ58" s="3765"/>
      <c r="CK58" s="3765"/>
      <c r="CL58" s="3766"/>
      <c r="CM58" s="3764">
        <f ca="1">OFFSET(InputY!$G$3,0,(COLUMN()-7)/4)</f>
        <v>2016</v>
      </c>
      <c r="CN58" s="3765"/>
      <c r="CO58" s="3765"/>
      <c r="CP58" s="3766"/>
      <c r="CQ58" s="3764">
        <f ca="1">OFFSET(InputY!$G$3,0,(COLUMN()-7)/4)</f>
        <v>2017</v>
      </c>
      <c r="CR58" s="3765"/>
      <c r="CS58" s="3765"/>
      <c r="CT58" s="3766"/>
      <c r="CU58" s="3764">
        <f ca="1">OFFSET(InputY!$G$3,0,(COLUMN()-7)/4)</f>
        <v>2018</v>
      </c>
      <c r="CV58" s="3765"/>
      <c r="CW58" s="3765"/>
      <c r="CX58" s="3766"/>
      <c r="CY58" s="3764">
        <f ca="1">OFFSET(InputY!$G$3,0,(COLUMN()-7)/4)</f>
        <v>2019</v>
      </c>
      <c r="CZ58" s="3765"/>
      <c r="DA58" s="3765"/>
      <c r="DB58" s="3766"/>
    </row>
    <row r="59" spans="1:119" s="699" customFormat="1" ht="12.75" customHeight="1">
      <c r="A59" s="664"/>
      <c r="B59" s="664"/>
      <c r="C59" s="666"/>
      <c r="D59" s="695"/>
      <c r="E59" s="3618" t="s">
        <v>1892</v>
      </c>
      <c r="F59" s="3619"/>
      <c r="G59" s="1566" t="s">
        <v>1842</v>
      </c>
      <c r="H59" s="1567" t="s">
        <v>1843</v>
      </c>
      <c r="I59" s="1567" t="s">
        <v>1844</v>
      </c>
      <c r="J59" s="1568" t="s">
        <v>1845</v>
      </c>
      <c r="K59" s="1566" t="s">
        <v>1842</v>
      </c>
      <c r="L59" s="1567" t="s">
        <v>1843</v>
      </c>
      <c r="M59" s="1567" t="s">
        <v>1844</v>
      </c>
      <c r="N59" s="1568" t="s">
        <v>1845</v>
      </c>
      <c r="O59" s="1566" t="s">
        <v>1842</v>
      </c>
      <c r="P59" s="1567" t="s">
        <v>1843</v>
      </c>
      <c r="Q59" s="1567" t="s">
        <v>1844</v>
      </c>
      <c r="R59" s="1568" t="s">
        <v>1845</v>
      </c>
      <c r="S59" s="1566" t="s">
        <v>1842</v>
      </c>
      <c r="T59" s="1567" t="s">
        <v>1843</v>
      </c>
      <c r="U59" s="1567" t="s">
        <v>1844</v>
      </c>
      <c r="V59" s="1568" t="s">
        <v>1845</v>
      </c>
      <c r="W59" s="1566" t="s">
        <v>1842</v>
      </c>
      <c r="X59" s="1567" t="s">
        <v>1843</v>
      </c>
      <c r="Y59" s="1567" t="s">
        <v>1844</v>
      </c>
      <c r="Z59" s="1568" t="s">
        <v>1845</v>
      </c>
      <c r="AA59" s="1566" t="s">
        <v>1842</v>
      </c>
      <c r="AB59" s="1567" t="s">
        <v>1843</v>
      </c>
      <c r="AC59" s="1567" t="s">
        <v>1844</v>
      </c>
      <c r="AD59" s="1568" t="s">
        <v>1845</v>
      </c>
      <c r="AE59" s="1566" t="s">
        <v>1842</v>
      </c>
      <c r="AF59" s="1567" t="s">
        <v>1843</v>
      </c>
      <c r="AG59" s="1567" t="s">
        <v>1844</v>
      </c>
      <c r="AH59" s="1568" t="s">
        <v>1845</v>
      </c>
      <c r="AI59" s="1566" t="s">
        <v>1842</v>
      </c>
      <c r="AJ59" s="1567" t="s">
        <v>1843</v>
      </c>
      <c r="AK59" s="1567" t="s">
        <v>1844</v>
      </c>
      <c r="AL59" s="1568" t="s">
        <v>1845</v>
      </c>
      <c r="AM59" s="1566" t="s">
        <v>1842</v>
      </c>
      <c r="AN59" s="1567" t="s">
        <v>1843</v>
      </c>
      <c r="AO59" s="1567" t="s">
        <v>1844</v>
      </c>
      <c r="AP59" s="1568" t="s">
        <v>1845</v>
      </c>
      <c r="AQ59" s="1566" t="s">
        <v>1842</v>
      </c>
      <c r="AR59" s="1567" t="s">
        <v>1843</v>
      </c>
      <c r="AS59" s="1567" t="s">
        <v>1844</v>
      </c>
      <c r="AT59" s="1568" t="s">
        <v>1845</v>
      </c>
      <c r="AU59" s="1566" t="s">
        <v>1842</v>
      </c>
      <c r="AV59" s="1567" t="s">
        <v>1843</v>
      </c>
      <c r="AW59" s="1567" t="s">
        <v>1844</v>
      </c>
      <c r="AX59" s="1568" t="s">
        <v>1845</v>
      </c>
      <c r="AY59" s="1566" t="s">
        <v>1842</v>
      </c>
      <c r="AZ59" s="1567" t="s">
        <v>1843</v>
      </c>
      <c r="BA59" s="1567" t="s">
        <v>1844</v>
      </c>
      <c r="BB59" s="1568" t="s">
        <v>1845</v>
      </c>
      <c r="BC59" s="1566" t="s">
        <v>1842</v>
      </c>
      <c r="BD59" s="1567" t="s">
        <v>1843</v>
      </c>
      <c r="BE59" s="1567" t="s">
        <v>1844</v>
      </c>
      <c r="BF59" s="1568" t="s">
        <v>1845</v>
      </c>
      <c r="BG59" s="1566" t="s">
        <v>1842</v>
      </c>
      <c r="BH59" s="1567" t="s">
        <v>1843</v>
      </c>
      <c r="BI59" s="1567" t="s">
        <v>1844</v>
      </c>
      <c r="BJ59" s="1568" t="s">
        <v>1845</v>
      </c>
      <c r="BK59" s="1566" t="s">
        <v>1842</v>
      </c>
      <c r="BL59" s="1567" t="s">
        <v>1843</v>
      </c>
      <c r="BM59" s="1567" t="s">
        <v>1844</v>
      </c>
      <c r="BN59" s="1568" t="s">
        <v>1845</v>
      </c>
      <c r="BO59" s="1566" t="s">
        <v>1842</v>
      </c>
      <c r="BP59" s="1567" t="s">
        <v>1843</v>
      </c>
      <c r="BQ59" s="1567" t="s">
        <v>1844</v>
      </c>
      <c r="BR59" s="1568" t="s">
        <v>1845</v>
      </c>
      <c r="BS59" s="1566" t="s">
        <v>1842</v>
      </c>
      <c r="BT59" s="1567" t="s">
        <v>1843</v>
      </c>
      <c r="BU59" s="1567" t="s">
        <v>1844</v>
      </c>
      <c r="BV59" s="1568" t="s">
        <v>1845</v>
      </c>
      <c r="BW59" s="1566" t="s">
        <v>1842</v>
      </c>
      <c r="BX59" s="1567" t="s">
        <v>1843</v>
      </c>
      <c r="BY59" s="1567" t="s">
        <v>1844</v>
      </c>
      <c r="BZ59" s="1568" t="s">
        <v>1845</v>
      </c>
      <c r="CA59" s="1566" t="s">
        <v>1842</v>
      </c>
      <c r="CB59" s="1567" t="s">
        <v>1843</v>
      </c>
      <c r="CC59" s="1567" t="s">
        <v>1844</v>
      </c>
      <c r="CD59" s="1568" t="s">
        <v>1845</v>
      </c>
      <c r="CE59" s="1566" t="s">
        <v>1842</v>
      </c>
      <c r="CF59" s="1567" t="s">
        <v>1843</v>
      </c>
      <c r="CG59" s="1567" t="s">
        <v>1844</v>
      </c>
      <c r="CH59" s="1568" t="s">
        <v>1845</v>
      </c>
      <c r="CI59" s="1566" t="s">
        <v>1842</v>
      </c>
      <c r="CJ59" s="1567" t="s">
        <v>1843</v>
      </c>
      <c r="CK59" s="1567" t="s">
        <v>1844</v>
      </c>
      <c r="CL59" s="1568" t="s">
        <v>1845</v>
      </c>
      <c r="CM59" s="1566" t="s">
        <v>1842</v>
      </c>
      <c r="CN59" s="1567" t="s">
        <v>1843</v>
      </c>
      <c r="CO59" s="1567" t="s">
        <v>1844</v>
      </c>
      <c r="CP59" s="1568" t="s">
        <v>1845</v>
      </c>
      <c r="CQ59" s="1566" t="s">
        <v>1842</v>
      </c>
      <c r="CR59" s="1567" t="s">
        <v>1843</v>
      </c>
      <c r="CS59" s="1567" t="s">
        <v>1844</v>
      </c>
      <c r="CT59" s="1568" t="s">
        <v>1845</v>
      </c>
      <c r="CU59" s="1566" t="s">
        <v>1842</v>
      </c>
      <c r="CV59" s="1567" t="s">
        <v>1843</v>
      </c>
      <c r="CW59" s="1567" t="s">
        <v>1844</v>
      </c>
      <c r="CX59" s="1568" t="s">
        <v>1845</v>
      </c>
      <c r="CY59" s="1566" t="s">
        <v>1842</v>
      </c>
      <c r="CZ59" s="1567" t="s">
        <v>1843</v>
      </c>
      <c r="DA59" s="1567" t="s">
        <v>1844</v>
      </c>
      <c r="DB59" s="1568" t="s">
        <v>1845</v>
      </c>
      <c r="DC59"/>
      <c r="DD59"/>
      <c r="DE59"/>
      <c r="DF59"/>
      <c r="DG59"/>
      <c r="DH59"/>
      <c r="DI59"/>
      <c r="DJ59"/>
      <c r="DK59"/>
      <c r="DL59"/>
      <c r="DM59"/>
      <c r="DN59"/>
      <c r="DO59"/>
    </row>
    <row r="60" spans="1:119" s="699" customFormat="1" ht="12.75" customHeight="1">
      <c r="A60" s="664" t="str">
        <f>"Q" &amp; ROW(InputQ!A62)</f>
        <v>Q62</v>
      </c>
      <c r="C60" s="3069" t="s">
        <v>1767</v>
      </c>
      <c r="D60" s="668"/>
      <c r="E60" s="3620" t="s">
        <v>1789</v>
      </c>
      <c r="F60" s="3621"/>
      <c r="G60" s="780" t="e">
        <f>InputQ!G62/1000</f>
        <v>#VALUE!</v>
      </c>
      <c r="H60" s="780" t="e">
        <f>InputQ!H62/1000</f>
        <v>#VALUE!</v>
      </c>
      <c r="I60" s="780" t="e">
        <f>InputQ!I62/1000</f>
        <v>#VALUE!</v>
      </c>
      <c r="J60" s="780" t="e">
        <f>InputQ!J62/1000</f>
        <v>#VALUE!</v>
      </c>
      <c r="K60" s="780" t="e">
        <f>InputQ!K62/1000</f>
        <v>#VALUE!</v>
      </c>
      <c r="L60" s="780" t="e">
        <f>InputQ!L62/1000</f>
        <v>#VALUE!</v>
      </c>
      <c r="M60" s="780" t="e">
        <f>InputQ!M62/1000</f>
        <v>#VALUE!</v>
      </c>
      <c r="N60" s="780" t="e">
        <f>InputQ!N62/1000</f>
        <v>#VALUE!</v>
      </c>
      <c r="O60" s="780" t="e">
        <f>InputQ!O62/1000</f>
        <v>#VALUE!</v>
      </c>
      <c r="P60" s="780" t="e">
        <f>InputQ!P62/1000</f>
        <v>#VALUE!</v>
      </c>
      <c r="Q60" s="780" t="e">
        <f>InputQ!Q62/1000</f>
        <v>#VALUE!</v>
      </c>
      <c r="R60" s="780" t="e">
        <f>InputQ!R62/1000</f>
        <v>#VALUE!</v>
      </c>
      <c r="S60" s="780" t="e">
        <f>InputQ!S62/1000</f>
        <v>#VALUE!</v>
      </c>
      <c r="T60" s="780" t="e">
        <f>InputQ!T62/1000</f>
        <v>#VALUE!</v>
      </c>
      <c r="U60" s="780" t="e">
        <f>InputQ!U62/1000</f>
        <v>#VALUE!</v>
      </c>
      <c r="V60" s="780" t="e">
        <f>InputQ!V62/1000</f>
        <v>#VALUE!</v>
      </c>
      <c r="W60" s="780" t="e">
        <f>InputQ!W62/1000</f>
        <v>#VALUE!</v>
      </c>
      <c r="X60" s="780" t="e">
        <f>InputQ!X62/1000</f>
        <v>#VALUE!</v>
      </c>
      <c r="Y60" s="780" t="e">
        <f>InputQ!Y62/1000</f>
        <v>#VALUE!</v>
      </c>
      <c r="Z60" s="780" t="e">
        <f>InputQ!Z62/1000</f>
        <v>#VALUE!</v>
      </c>
      <c r="AA60" s="780" t="e">
        <f>InputQ!AA62/1000</f>
        <v>#VALUE!</v>
      </c>
      <c r="AB60" s="780" t="e">
        <f>InputQ!AB62/1000</f>
        <v>#VALUE!</v>
      </c>
      <c r="AC60" s="780" t="e">
        <f>InputQ!AC62/1000</f>
        <v>#VALUE!</v>
      </c>
      <c r="AD60" s="780" t="e">
        <f>InputQ!AD62/1000</f>
        <v>#VALUE!</v>
      </c>
      <c r="AE60" s="780" t="e">
        <f>InputQ!AE62/1000</f>
        <v>#VALUE!</v>
      </c>
      <c r="AF60" s="780" t="e">
        <f>InputQ!AF62/1000</f>
        <v>#VALUE!</v>
      </c>
      <c r="AG60" s="780" t="e">
        <f>InputQ!AG62/1000</f>
        <v>#VALUE!</v>
      </c>
      <c r="AH60" s="780" t="e">
        <f>InputQ!AH62/1000</f>
        <v>#VALUE!</v>
      </c>
      <c r="AI60" s="780" t="e">
        <f>InputQ!AI62/1000</f>
        <v>#VALUE!</v>
      </c>
      <c r="AJ60" s="780" t="e">
        <f>InputQ!AJ62/1000</f>
        <v>#VALUE!</v>
      </c>
      <c r="AK60" s="780" t="e">
        <f>InputQ!AK62/1000</f>
        <v>#VALUE!</v>
      </c>
      <c r="AL60" s="780" t="e">
        <f>InputQ!AL62/1000</f>
        <v>#VALUE!</v>
      </c>
      <c r="AM60" s="780" t="e">
        <f>InputQ!AM62/1000</f>
        <v>#VALUE!</v>
      </c>
      <c r="AN60" s="780" t="e">
        <f>InputQ!AN62/1000</f>
        <v>#VALUE!</v>
      </c>
      <c r="AO60" s="780" t="e">
        <f>InputQ!AO62/1000</f>
        <v>#VALUE!</v>
      </c>
      <c r="AP60" s="780" t="e">
        <f>InputQ!AP62/1000</f>
        <v>#VALUE!</v>
      </c>
      <c r="AQ60" s="780" t="e">
        <f>InputQ!AQ62/1000</f>
        <v>#VALUE!</v>
      </c>
      <c r="AR60" s="780" t="e">
        <f>InputQ!AR62/1000</f>
        <v>#VALUE!</v>
      </c>
      <c r="AS60" s="780" t="e">
        <f>InputQ!AS62/1000</f>
        <v>#VALUE!</v>
      </c>
      <c r="AT60" s="780" t="e">
        <f>InputQ!AT62/1000</f>
        <v>#VALUE!</v>
      </c>
      <c r="AU60" s="780" t="e">
        <f>InputQ!AU62/1000</f>
        <v>#VALUE!</v>
      </c>
      <c r="AV60" s="780" t="e">
        <f>InputQ!AV62/1000</f>
        <v>#VALUE!</v>
      </c>
      <c r="AW60" s="780" t="e">
        <f>InputQ!AW62/1000</f>
        <v>#VALUE!</v>
      </c>
      <c r="AX60" s="780" t="e">
        <f>InputQ!AX62/1000</f>
        <v>#VALUE!</v>
      </c>
      <c r="AY60" s="780" t="e">
        <f>InputQ!AY62/1000</f>
        <v>#VALUE!</v>
      </c>
      <c r="AZ60" s="780" t="e">
        <f>InputQ!AZ62/1000</f>
        <v>#VALUE!</v>
      </c>
      <c r="BA60" s="780" t="e">
        <f>InputQ!BA62/1000</f>
        <v>#VALUE!</v>
      </c>
      <c r="BB60" s="780" t="e">
        <f>InputQ!BB62/1000</f>
        <v>#VALUE!</v>
      </c>
      <c r="BC60" s="780" t="e">
        <f>InputQ!BC62/1000</f>
        <v>#VALUE!</v>
      </c>
      <c r="BD60" s="780" t="e">
        <f>InputQ!BD62/1000</f>
        <v>#VALUE!</v>
      </c>
      <c r="BE60" s="780" t="e">
        <f>InputQ!BE62/1000</f>
        <v>#VALUE!</v>
      </c>
      <c r="BF60" s="780" t="e">
        <f>InputQ!BF62/1000</f>
        <v>#VALUE!</v>
      </c>
      <c r="BG60" s="780" t="e">
        <f>InputQ!BG62/1000</f>
        <v>#VALUE!</v>
      </c>
      <c r="BH60" s="780" t="e">
        <f>InputQ!BH62/1000</f>
        <v>#VALUE!</v>
      </c>
      <c r="BI60" s="780" t="e">
        <f>InputQ!BI62/1000</f>
        <v>#VALUE!</v>
      </c>
      <c r="BJ60" s="780" t="e">
        <f>InputQ!BJ62/1000</f>
        <v>#VALUE!</v>
      </c>
      <c r="BK60" s="1591" t="e">
        <f t="shared" ref="BK60:BZ60" si="150">+BJ60*(1+BK76/100)</f>
        <v>#VALUE!</v>
      </c>
      <c r="BL60" s="1591" t="e">
        <f t="shared" si="150"/>
        <v>#VALUE!</v>
      </c>
      <c r="BM60" s="1591" t="e">
        <f t="shared" si="150"/>
        <v>#VALUE!</v>
      </c>
      <c r="BN60" s="1591" t="e">
        <f t="shared" si="150"/>
        <v>#VALUE!</v>
      </c>
      <c r="BO60" s="1591" t="e">
        <f t="shared" si="150"/>
        <v>#VALUE!</v>
      </c>
      <c r="BP60" s="1591" t="e">
        <f t="shared" si="150"/>
        <v>#VALUE!</v>
      </c>
      <c r="BQ60" s="1591" t="e">
        <f t="shared" si="150"/>
        <v>#VALUE!</v>
      </c>
      <c r="BR60" s="1591" t="e">
        <f t="shared" si="150"/>
        <v>#VALUE!</v>
      </c>
      <c r="BS60" s="1591" t="e">
        <f>+BR60*(1+BS76/100)</f>
        <v>#VALUE!</v>
      </c>
      <c r="BT60" s="1591" t="e">
        <f>+BS60*(1+BT76/100)</f>
        <v>#VALUE!</v>
      </c>
      <c r="BU60" s="1591" t="e">
        <f>+BT60*(1+BU76/100)</f>
        <v>#VALUE!</v>
      </c>
      <c r="BV60" s="1591" t="e">
        <f>+BU60*(1+BV76/100)</f>
        <v>#VALUE!</v>
      </c>
      <c r="BW60" s="1591" t="e">
        <f t="shared" si="150"/>
        <v>#VALUE!</v>
      </c>
      <c r="BX60" s="1591" t="e">
        <f t="shared" si="150"/>
        <v>#VALUE!</v>
      </c>
      <c r="BY60" s="1591" t="e">
        <f t="shared" si="150"/>
        <v>#VALUE!</v>
      </c>
      <c r="BZ60" s="1591" t="e">
        <f t="shared" si="150"/>
        <v>#VALUE!</v>
      </c>
      <c r="CA60" s="1591" t="e">
        <f t="shared" ref="CA60:CH60" si="151">+BZ60*(1+CA76/100)</f>
        <v>#VALUE!</v>
      </c>
      <c r="CB60" s="1591" t="e">
        <f t="shared" si="151"/>
        <v>#VALUE!</v>
      </c>
      <c r="CC60" s="1591" t="e">
        <f>+CB60*(1+CC76/100)</f>
        <v>#VALUE!</v>
      </c>
      <c r="CD60" s="1591" t="e">
        <f t="shared" si="151"/>
        <v>#VALUE!</v>
      </c>
      <c r="CE60" s="1591" t="e">
        <f t="shared" si="151"/>
        <v>#VALUE!</v>
      </c>
      <c r="CF60" s="1591" t="e">
        <f t="shared" si="151"/>
        <v>#VALUE!</v>
      </c>
      <c r="CG60" s="1591" t="e">
        <f t="shared" si="151"/>
        <v>#VALUE!</v>
      </c>
      <c r="CH60" s="1591" t="e">
        <f t="shared" si="151"/>
        <v>#VALUE!</v>
      </c>
      <c r="CI60" s="1591" t="e">
        <f t="shared" ref="CI60:CO60" si="152">+CH60*(1+CI76/100)</f>
        <v>#VALUE!</v>
      </c>
      <c r="CJ60" s="1591" t="e">
        <f t="shared" si="152"/>
        <v>#VALUE!</v>
      </c>
      <c r="CK60" s="1591" t="e">
        <f t="shared" si="152"/>
        <v>#VALUE!</v>
      </c>
      <c r="CL60" s="1591" t="e">
        <f t="shared" si="152"/>
        <v>#VALUE!</v>
      </c>
      <c r="CM60" s="1591" t="e">
        <f t="shared" si="152"/>
        <v>#VALUE!</v>
      </c>
      <c r="CN60" s="1591" t="e">
        <f t="shared" si="152"/>
        <v>#VALUE!</v>
      </c>
      <c r="CO60" s="1591" t="e">
        <f t="shared" si="152"/>
        <v>#VALUE!</v>
      </c>
      <c r="CP60" s="1591" t="e">
        <f t="shared" ref="CP60:CX60" si="153">+CO60*(1+CP76/100)</f>
        <v>#VALUE!</v>
      </c>
      <c r="CQ60" s="1591" t="e">
        <f t="shared" si="153"/>
        <v>#VALUE!</v>
      </c>
      <c r="CR60" s="1591" t="e">
        <f t="shared" si="153"/>
        <v>#VALUE!</v>
      </c>
      <c r="CS60" s="1591" t="e">
        <f t="shared" si="153"/>
        <v>#VALUE!</v>
      </c>
      <c r="CT60" s="1591" t="e">
        <f t="shared" si="153"/>
        <v>#VALUE!</v>
      </c>
      <c r="CU60" s="1591" t="e">
        <f t="shared" si="153"/>
        <v>#VALUE!</v>
      </c>
      <c r="CV60" s="1591" t="e">
        <f t="shared" si="153"/>
        <v>#VALUE!</v>
      </c>
      <c r="CW60" s="1591" t="e">
        <f t="shared" si="153"/>
        <v>#VALUE!</v>
      </c>
      <c r="CX60" s="1591" t="e">
        <f t="shared" si="153"/>
        <v>#VALUE!</v>
      </c>
      <c r="CY60" s="1591" t="e">
        <f t="shared" ref="CY60" si="154">+CX60*(1+CY76/100)</f>
        <v>#VALUE!</v>
      </c>
      <c r="CZ60" s="1591" t="e">
        <f t="shared" ref="CZ60" si="155">+CY60*(1+CZ76/100)</f>
        <v>#VALUE!</v>
      </c>
      <c r="DA60" s="1591" t="e">
        <f t="shared" ref="DA60" si="156">+CZ60*(1+DA76/100)</f>
        <v>#VALUE!</v>
      </c>
      <c r="DB60" s="1591" t="e">
        <f t="shared" ref="DB60" si="157">+DA60*(1+DB76/100)</f>
        <v>#VALUE!</v>
      </c>
      <c r="DC60"/>
      <c r="DD60"/>
      <c r="DE60"/>
      <c r="DF60"/>
      <c r="DG60"/>
      <c r="DH60"/>
      <c r="DI60"/>
      <c r="DJ60"/>
      <c r="DK60"/>
      <c r="DL60"/>
      <c r="DM60"/>
      <c r="DN60"/>
      <c r="DO60"/>
    </row>
    <row r="61" spans="1:119" s="699" customFormat="1" ht="12.75" customHeight="1">
      <c r="A61" s="664"/>
      <c r="C61" s="3070"/>
      <c r="D61" s="679"/>
      <c r="E61" s="680" t="s">
        <v>266</v>
      </c>
      <c r="F61" s="1908"/>
      <c r="G61" s="3064"/>
      <c r="H61" s="3064"/>
      <c r="I61" s="3066"/>
      <c r="J61" s="1575" t="e">
        <f>SUM(G60:J60)</f>
        <v>#VALUE!</v>
      </c>
      <c r="K61" s="3064"/>
      <c r="L61" s="3064"/>
      <c r="M61" s="3066"/>
      <c r="N61" s="1575" t="e">
        <f>SUM(K60:N60)</f>
        <v>#VALUE!</v>
      </c>
      <c r="O61" s="3064"/>
      <c r="P61" s="3064"/>
      <c r="Q61" s="3066"/>
      <c r="R61" s="1575" t="e">
        <f>SUM(O60:R60)</f>
        <v>#VALUE!</v>
      </c>
      <c r="S61" s="3064"/>
      <c r="T61" s="3064"/>
      <c r="U61" s="3066"/>
      <c r="V61" s="1575" t="e">
        <f>SUM(S60:V60)</f>
        <v>#VALUE!</v>
      </c>
      <c r="W61" s="3064"/>
      <c r="X61" s="3064"/>
      <c r="Y61" s="3066"/>
      <c r="Z61" s="1575" t="e">
        <f>SUM(W60:Z60)</f>
        <v>#VALUE!</v>
      </c>
      <c r="AA61" s="3064"/>
      <c r="AB61" s="3064"/>
      <c r="AC61" s="3066"/>
      <c r="AD61" s="1575" t="e">
        <f>SUM(AA60:AD60)</f>
        <v>#VALUE!</v>
      </c>
      <c r="AE61" s="3064"/>
      <c r="AF61" s="3064"/>
      <c r="AG61" s="3066"/>
      <c r="AH61" s="1575" t="e">
        <f>SUM(AE60:AH60)</f>
        <v>#VALUE!</v>
      </c>
      <c r="AI61" s="3064"/>
      <c r="AJ61" s="3064"/>
      <c r="AK61" s="3066"/>
      <c r="AL61" s="1575" t="e">
        <f>SUM(AI60:AL60)</f>
        <v>#VALUE!</v>
      </c>
      <c r="AM61" s="3064"/>
      <c r="AN61" s="3064"/>
      <c r="AO61" s="3066"/>
      <c r="AP61" s="1575" t="e">
        <f>SUM(AM60:AP60)</f>
        <v>#VALUE!</v>
      </c>
      <c r="AQ61" s="3064"/>
      <c r="AR61" s="3064"/>
      <c r="AS61" s="3066"/>
      <c r="AT61" s="1575" t="e">
        <f>SUM(AQ60:AT60)</f>
        <v>#VALUE!</v>
      </c>
      <c r="AU61" s="3064"/>
      <c r="AV61" s="3064"/>
      <c r="AW61" s="3066"/>
      <c r="AX61" s="1575" t="e">
        <f>SUM(AU60:AX60)</f>
        <v>#VALUE!</v>
      </c>
      <c r="AY61" s="3064"/>
      <c r="AZ61" s="3064"/>
      <c r="BA61" s="3066"/>
      <c r="BB61" s="1575" t="e">
        <f>SUM(AY60:BB60)</f>
        <v>#VALUE!</v>
      </c>
      <c r="BC61" s="3064"/>
      <c r="BD61" s="3064"/>
      <c r="BE61" s="3066"/>
      <c r="BF61" s="1575" t="e">
        <f>SUM(BC60:BF60)</f>
        <v>#VALUE!</v>
      </c>
      <c r="BG61" s="3064"/>
      <c r="BH61" s="3064"/>
      <c r="BI61" s="3066"/>
      <c r="BJ61" s="1575" t="e">
        <f>SUM(BG60:BJ60)</f>
        <v>#VALUE!</v>
      </c>
      <c r="BK61" s="3064"/>
      <c r="BL61" s="3064"/>
      <c r="BM61" s="3066"/>
      <c r="BN61" s="1575" t="e">
        <f>SUM(BK60:BN60)</f>
        <v>#VALUE!</v>
      </c>
      <c r="BO61" s="3064"/>
      <c r="BP61" s="3064"/>
      <c r="BQ61" s="3066"/>
      <c r="BR61" s="1575" t="e">
        <f>SUM(BO60:BR60)</f>
        <v>#VALUE!</v>
      </c>
      <c r="BS61" s="3064"/>
      <c r="BT61" s="3064"/>
      <c r="BU61" s="3066"/>
      <c r="BV61" s="1575" t="e">
        <f>SUM(BS60:BV60)</f>
        <v>#VALUE!</v>
      </c>
      <c r="BW61" s="3064"/>
      <c r="BX61" s="3064"/>
      <c r="BY61" s="3066"/>
      <c r="BZ61" s="1575" t="e">
        <f>SUM(BW60:BZ60)</f>
        <v>#VALUE!</v>
      </c>
      <c r="CA61" s="3064"/>
      <c r="CB61" s="3064"/>
      <c r="CC61" s="3066"/>
      <c r="CD61" s="1575" t="e">
        <f>SUM(CA60:CD60)</f>
        <v>#VALUE!</v>
      </c>
      <c r="CE61" s="3064"/>
      <c r="CF61" s="3064"/>
      <c r="CG61" s="3066"/>
      <c r="CH61" s="1575" t="e">
        <f>SUM(CE60:CH60)</f>
        <v>#VALUE!</v>
      </c>
      <c r="CI61" s="3064"/>
      <c r="CJ61" s="3064"/>
      <c r="CK61" s="3066"/>
      <c r="CL61" s="1575" t="e">
        <f>SUM(CI60:CL60)</f>
        <v>#VALUE!</v>
      </c>
      <c r="CM61" s="3064"/>
      <c r="CN61" s="3064"/>
      <c r="CO61" s="3066"/>
      <c r="CP61" s="1575" t="e">
        <f>SUM(CM60:CP60)</f>
        <v>#VALUE!</v>
      </c>
      <c r="CQ61" s="3064"/>
      <c r="CR61" s="3064"/>
      <c r="CS61" s="3066"/>
      <c r="CT61" s="1575" t="e">
        <f>SUM(CQ60:CT60)</f>
        <v>#VALUE!</v>
      </c>
      <c r="CU61" s="3064"/>
      <c r="CV61" s="3064"/>
      <c r="CW61" s="3066"/>
      <c r="CX61" s="1575" t="e">
        <f>SUM(CU60:CX60)</f>
        <v>#VALUE!</v>
      </c>
      <c r="CY61" s="3064"/>
      <c r="CZ61" s="3064"/>
      <c r="DA61" s="3066"/>
      <c r="DB61" s="1575" t="e">
        <f>SUM(CY60:DB60)</f>
        <v>#VALUE!</v>
      </c>
      <c r="DC61"/>
      <c r="DD61"/>
      <c r="DE61"/>
      <c r="DF61"/>
      <c r="DG61"/>
      <c r="DH61"/>
      <c r="DI61"/>
      <c r="DJ61"/>
      <c r="DK61"/>
      <c r="DL61"/>
      <c r="DM61"/>
      <c r="DN61"/>
      <c r="DO61"/>
    </row>
    <row r="62" spans="1:119" s="699" customFormat="1" ht="12.75" customHeight="1">
      <c r="A62" s="664"/>
      <c r="C62" s="3070"/>
      <c r="D62" s="679"/>
      <c r="E62" s="680" t="s">
        <v>1847</v>
      </c>
      <c r="F62" s="1908"/>
      <c r="G62" s="3064"/>
      <c r="H62" s="3067" t="s">
        <v>757</v>
      </c>
      <c r="I62" s="3064" t="e">
        <f ca="1">+J62/J61*100</f>
        <v>#VALUE!</v>
      </c>
      <c r="J62" s="1575">
        <f ca="1">OFFSET('VVP2'!$G$27,0,(COLUMN()-10)/4)</f>
        <v>0.3815659260843095</v>
      </c>
      <c r="K62" s="3064"/>
      <c r="L62" s="3067" t="s">
        <v>757</v>
      </c>
      <c r="M62" s="3064" t="e">
        <f ca="1">+N62/N61*100</f>
        <v>#VALUE!</v>
      </c>
      <c r="N62" s="1575">
        <f ca="1">OFFSET('VVP2'!$G$27,0,(COLUMN()-10)/4)</f>
        <v>0.58096263770138623</v>
      </c>
      <c r="O62" s="3064"/>
      <c r="P62" s="3067" t="s">
        <v>757</v>
      </c>
      <c r="Q62" s="3064" t="e">
        <f ca="1">+R62/R61*100</f>
        <v>#VALUE!</v>
      </c>
      <c r="R62" s="1575">
        <f ca="1">OFFSET('VVP2'!$G$27,0,(COLUMN()-10)/4)</f>
        <v>0.79030878799724424</v>
      </c>
      <c r="S62" s="3064"/>
      <c r="T62" s="3067" t="s">
        <v>757</v>
      </c>
      <c r="U62" s="3064" t="e">
        <f ca="1">+V62/V61*100</f>
        <v>#VALUE!</v>
      </c>
      <c r="V62" s="1575">
        <f ca="1">OFFSET('VVP2'!$G$27,0,(COLUMN()-10)/4)</f>
        <v>0.94076973320196788</v>
      </c>
      <c r="W62" s="3064"/>
      <c r="X62" s="3067" t="s">
        <v>757</v>
      </c>
      <c r="Y62" s="3064" t="e">
        <f ca="1">+Z62/Z61*100</f>
        <v>#VALUE!</v>
      </c>
      <c r="Z62" s="1575">
        <f ca="1">OFFSET('VVP2'!$G$27,0,(COLUMN()-10)/4)</f>
        <v>0.90611563093673042</v>
      </c>
      <c r="AA62" s="3064"/>
      <c r="AB62" s="3067" t="s">
        <v>757</v>
      </c>
      <c r="AC62" s="3064" t="e">
        <f ca="1">+AD62/AD61*100</f>
        <v>#VALUE!</v>
      </c>
      <c r="AD62" s="1575">
        <f ca="1">OFFSET('VVP2'!$G$27,0,(COLUMN()-10)/4)</f>
        <v>0.8851872596014283</v>
      </c>
      <c r="AE62" s="3064"/>
      <c r="AF62" s="3067" t="s">
        <v>757</v>
      </c>
      <c r="AG62" s="3064" t="e">
        <f ca="1">+AH62/AH61*100</f>
        <v>#VALUE!</v>
      </c>
      <c r="AH62" s="1575">
        <f ca="1">OFFSET('VVP2'!$G$27,0,(COLUMN()-10)/4)</f>
        <v>1.0908286114701735</v>
      </c>
      <c r="AI62" s="3064"/>
      <c r="AJ62" s="3067" t="s">
        <v>757</v>
      </c>
      <c r="AK62" s="3064" t="e">
        <f ca="1">+AL62/AL61*100</f>
        <v>#VALUE!</v>
      </c>
      <c r="AL62" s="1575">
        <f ca="1">OFFSET('VVP2'!$G$27,0,(COLUMN()-10)/4)</f>
        <v>1.2016812946178161</v>
      </c>
      <c r="AM62" s="3064"/>
      <c r="AN62" s="3067" t="s">
        <v>757</v>
      </c>
      <c r="AO62" s="3064" t="e">
        <f ca="1">+AP62/AP61*100</f>
        <v>#VALUE!</v>
      </c>
      <c r="AP62" s="1575">
        <f ca="1">OFFSET('VVP2'!$G$27,0,(COLUMN()-10)/4)</f>
        <v>1.2830974019518255</v>
      </c>
      <c r="AQ62" s="3064"/>
      <c r="AR62" s="3067" t="s">
        <v>757</v>
      </c>
      <c r="AS62" s="3064" t="e">
        <f ca="1">+AT62/AT61*100</f>
        <v>#VALUE!</v>
      </c>
      <c r="AT62" s="1575">
        <f ca="1">OFFSET('VVP2'!$G$27,0,(COLUMN()-10)/4)</f>
        <v>1.6984300000000001</v>
      </c>
      <c r="AU62" s="3064"/>
      <c r="AV62" s="3067" t="s">
        <v>757</v>
      </c>
      <c r="AW62" s="3064" t="e">
        <f ca="1">+AX62/AX61*100</f>
        <v>#VALUE!</v>
      </c>
      <c r="AX62" s="1575">
        <f ca="1">OFFSET('VVP2'!$G$27,0,(COLUMN()-10)/4)</f>
        <v>1.9031</v>
      </c>
      <c r="AY62" s="3064"/>
      <c r="AZ62" s="3067" t="s">
        <v>757</v>
      </c>
      <c r="BA62" s="3064" t="e">
        <f ca="1">+BB62/BB61*100</f>
        <v>#VALUE!</v>
      </c>
      <c r="BB62" s="1575">
        <f ca="1">OFFSET('VVP2'!$G$27,0,(COLUMN()-10)/4)</f>
        <v>2.2276199999999999</v>
      </c>
      <c r="BC62" s="3064"/>
      <c r="BD62" s="3067" t="s">
        <v>757</v>
      </c>
      <c r="BE62" s="3064" t="e">
        <f ca="1">+BF62/BF61*100</f>
        <v>#VALUE!</v>
      </c>
      <c r="BF62" s="1575">
        <f ca="1">OFFSET('VVP2'!$G$27,0,(COLUMN()-10)/4)</f>
        <v>2.74457</v>
      </c>
      <c r="BG62" s="3064"/>
      <c r="BH62" s="3067" t="s">
        <v>757</v>
      </c>
      <c r="BI62" s="3064" t="e">
        <f ca="1">+BJ62/BJ61*100</f>
        <v>#VALUE!</v>
      </c>
      <c r="BJ62" s="1575">
        <f ca="1">OFFSET('VVP2'!$G$27,0,(COLUMN()-10)/4)</f>
        <v>2.2654099999999997</v>
      </c>
      <c r="BK62" s="3064"/>
      <c r="BL62" s="3067" t="s">
        <v>757</v>
      </c>
      <c r="BM62" s="3064" t="e">
        <f ca="1">+BN62/BN61*100</f>
        <v>#VALUE!</v>
      </c>
      <c r="BN62" s="1575">
        <f ca="1">OFFSET('VVP2'!$G$27,0,(COLUMN()-10)/4)</f>
        <v>1.1356300000000001</v>
      </c>
      <c r="BO62" s="3064"/>
      <c r="BP62" s="3067" t="s">
        <v>757</v>
      </c>
      <c r="BQ62" s="3064" t="e">
        <f ca="1">+BR62/BR61*100</f>
        <v>#VALUE!</v>
      </c>
      <c r="BR62" s="1575">
        <f ca="1">OFFSET('VVP2'!$G$27,0,(COLUMN()-10)/4)</f>
        <v>1.3708499999999999</v>
      </c>
      <c r="BS62" s="3064"/>
      <c r="BT62" s="3067" t="s">
        <v>757</v>
      </c>
      <c r="BU62" s="3064" t="e">
        <f ca="1">+BV62/BV61*100</f>
        <v>#VALUE!</v>
      </c>
      <c r="BV62" s="1575">
        <f ca="1">OFFSET('VVP2'!$G$27,0,(COLUMN()-10)/4)</f>
        <v>1.8692</v>
      </c>
      <c r="BW62" s="3064"/>
      <c r="BX62" s="3067" t="s">
        <v>757</v>
      </c>
      <c r="BY62" s="3064" t="e">
        <f ca="1">+BZ62/BZ61*100</f>
        <v>#VALUE!</v>
      </c>
      <c r="BZ62" s="1575">
        <f ca="1">OFFSET('VVP2'!$G$27,0,(COLUMN()-10)/4)</f>
        <v>1.9083800000000002</v>
      </c>
      <c r="CA62" s="3064"/>
      <c r="CB62" s="3067" t="s">
        <v>757</v>
      </c>
      <c r="CC62" s="3064" t="e">
        <f ca="1">+CD62/CD61*100</f>
        <v>#VALUE!</v>
      </c>
      <c r="CD62" s="1575">
        <f ca="1">OFFSET('VVP2'!$G$27,0,(COLUMN()-10)/4)</f>
        <v>2.1440399999999999</v>
      </c>
      <c r="CE62" s="3064"/>
      <c r="CF62" s="3067" t="s">
        <v>757</v>
      </c>
      <c r="CG62" s="3064" t="e">
        <f ca="1">+CH62/CH61*100</f>
        <v>#VALUE!</v>
      </c>
      <c r="CH62" s="1575">
        <f ca="1">OFFSET('VVP2'!$G$27,0,(COLUMN()-10)/4)</f>
        <v>2.1395</v>
      </c>
      <c r="CI62" s="3064"/>
      <c r="CJ62" s="3067" t="s">
        <v>757</v>
      </c>
      <c r="CK62" s="3064" t="e">
        <f ca="1">+CL62/CL61*100</f>
        <v>#VALUE!</v>
      </c>
      <c r="CL62" s="1575">
        <f ca="1">OFFSET('VVP2'!$G$27,0,(COLUMN()-10)/4)</f>
        <v>2.42591</v>
      </c>
      <c r="CM62" s="3064"/>
      <c r="CN62" s="3067" t="s">
        <v>757</v>
      </c>
      <c r="CO62" s="3064" t="e">
        <f ca="1">+CP62/CP61*100</f>
        <v>#VALUE!</v>
      </c>
      <c r="CP62" s="1575">
        <f ca="1">OFFSET('VVP2'!$G$27,0,(COLUMN()-10)/4)</f>
        <v>2.64364</v>
      </c>
      <c r="CQ62" s="3064"/>
      <c r="CR62" s="3067" t="s">
        <v>757</v>
      </c>
      <c r="CS62" s="3064" t="e">
        <f ca="1">+CT62/CT61*100</f>
        <v>#VALUE!</v>
      </c>
      <c r="CT62" s="1575">
        <f ca="1">OFFSET('VVP2'!$G$27,0,(COLUMN()-10)/4)</f>
        <v>2.8781099999999999</v>
      </c>
      <c r="CU62" s="3064"/>
      <c r="CV62" s="3067" t="s">
        <v>757</v>
      </c>
      <c r="CW62" s="3064" t="e">
        <f ca="1">+CX62/CX61*100</f>
        <v>#VALUE!</v>
      </c>
      <c r="CX62" s="1575">
        <f ca="1">OFFSET('VVP2'!$G$27,0,(COLUMN()-10)/4)</f>
        <v>3.1227493499999999</v>
      </c>
      <c r="CY62" s="3064"/>
      <c r="CZ62" s="3067" t="s">
        <v>757</v>
      </c>
      <c r="DA62" s="3064" t="e">
        <f ca="1">+DB62/DB61*100</f>
        <v>#VALUE!</v>
      </c>
      <c r="DB62" s="1575">
        <f ca="1">OFFSET('VVP2'!$G$27,0,(COLUMN()-10)/4)</f>
        <v>3.2539048227</v>
      </c>
      <c r="DC62"/>
      <c r="DD62"/>
      <c r="DE62"/>
      <c r="DF62"/>
      <c r="DG62"/>
      <c r="DH62"/>
      <c r="DI62"/>
      <c r="DJ62"/>
      <c r="DK62"/>
      <c r="DL62"/>
      <c r="DM62"/>
      <c r="DN62"/>
      <c r="DO62"/>
    </row>
    <row r="63" spans="1:119" s="699" customFormat="1" ht="12.75" customHeight="1">
      <c r="A63" s="664" t="str">
        <f>"Q" &amp; ROW(InputQ!A63)</f>
        <v>Q63</v>
      </c>
      <c r="C63" s="3070" t="s">
        <v>1767</v>
      </c>
      <c r="D63" s="674"/>
      <c r="E63" s="3629" t="s">
        <v>1790</v>
      </c>
      <c r="F63" s="3630"/>
      <c r="G63" s="706" t="e">
        <f>InputQ!G63/1000</f>
        <v>#VALUE!</v>
      </c>
      <c r="H63" s="706" t="e">
        <f>InputQ!H63/1000</f>
        <v>#VALUE!</v>
      </c>
      <c r="I63" s="706" t="e">
        <f>InputQ!I63/1000</f>
        <v>#VALUE!</v>
      </c>
      <c r="J63" s="706" t="e">
        <f>InputQ!J63/1000</f>
        <v>#VALUE!</v>
      </c>
      <c r="K63" s="706" t="e">
        <f>InputQ!K63/1000</f>
        <v>#VALUE!</v>
      </c>
      <c r="L63" s="706" t="e">
        <f>InputQ!L63/1000</f>
        <v>#VALUE!</v>
      </c>
      <c r="M63" s="706" t="e">
        <f>InputQ!M63/1000</f>
        <v>#VALUE!</v>
      </c>
      <c r="N63" s="706" t="e">
        <f>InputQ!N63/1000</f>
        <v>#VALUE!</v>
      </c>
      <c r="O63" s="706" t="e">
        <f>InputQ!O63/1000</f>
        <v>#VALUE!</v>
      </c>
      <c r="P63" s="706" t="e">
        <f>InputQ!P63/1000</f>
        <v>#VALUE!</v>
      </c>
      <c r="Q63" s="706" t="e">
        <f>InputQ!Q63/1000</f>
        <v>#VALUE!</v>
      </c>
      <c r="R63" s="706" t="e">
        <f>InputQ!R63/1000</f>
        <v>#VALUE!</v>
      </c>
      <c r="S63" s="706" t="e">
        <f>InputQ!S63/1000</f>
        <v>#VALUE!</v>
      </c>
      <c r="T63" s="706" t="e">
        <f>InputQ!T63/1000</f>
        <v>#VALUE!</v>
      </c>
      <c r="U63" s="706" t="e">
        <f>InputQ!U63/1000</f>
        <v>#VALUE!</v>
      </c>
      <c r="V63" s="706" t="e">
        <f>InputQ!V63/1000</f>
        <v>#VALUE!</v>
      </c>
      <c r="W63" s="706" t="e">
        <f>InputQ!W63/1000</f>
        <v>#VALUE!</v>
      </c>
      <c r="X63" s="706" t="e">
        <f>InputQ!X63/1000</f>
        <v>#VALUE!</v>
      </c>
      <c r="Y63" s="706" t="e">
        <f>InputQ!Y63/1000</f>
        <v>#VALUE!</v>
      </c>
      <c r="Z63" s="706" t="e">
        <f>InputQ!Z63/1000</f>
        <v>#VALUE!</v>
      </c>
      <c r="AA63" s="706" t="e">
        <f>InputQ!AA63/1000</f>
        <v>#VALUE!</v>
      </c>
      <c r="AB63" s="706" t="e">
        <f>InputQ!AB63/1000</f>
        <v>#VALUE!</v>
      </c>
      <c r="AC63" s="706" t="e">
        <f>InputQ!AC63/1000</f>
        <v>#VALUE!</v>
      </c>
      <c r="AD63" s="706" t="e">
        <f>InputQ!AD63/1000</f>
        <v>#VALUE!</v>
      </c>
      <c r="AE63" s="706" t="e">
        <f>InputQ!AE63/1000</f>
        <v>#VALUE!</v>
      </c>
      <c r="AF63" s="706" t="e">
        <f>InputQ!AF63/1000</f>
        <v>#VALUE!</v>
      </c>
      <c r="AG63" s="706" t="e">
        <f>InputQ!AG63/1000</f>
        <v>#VALUE!</v>
      </c>
      <c r="AH63" s="706" t="e">
        <f>InputQ!AH63/1000</f>
        <v>#VALUE!</v>
      </c>
      <c r="AI63" s="706" t="e">
        <f>InputQ!AI63/1000</f>
        <v>#VALUE!</v>
      </c>
      <c r="AJ63" s="706" t="e">
        <f>InputQ!AJ63/1000</f>
        <v>#VALUE!</v>
      </c>
      <c r="AK63" s="706" t="e">
        <f>InputQ!AK63/1000</f>
        <v>#VALUE!</v>
      </c>
      <c r="AL63" s="706" t="e">
        <f>InputQ!AL63/1000</f>
        <v>#VALUE!</v>
      </c>
      <c r="AM63" s="706" t="e">
        <f>InputQ!AM63/1000</f>
        <v>#VALUE!</v>
      </c>
      <c r="AN63" s="706" t="e">
        <f>InputQ!AN63/1000</f>
        <v>#VALUE!</v>
      </c>
      <c r="AO63" s="706" t="e">
        <f>InputQ!AO63/1000</f>
        <v>#VALUE!</v>
      </c>
      <c r="AP63" s="706" t="e">
        <f>InputQ!AP63/1000</f>
        <v>#VALUE!</v>
      </c>
      <c r="AQ63" s="706" t="e">
        <f>InputQ!AQ63/1000</f>
        <v>#VALUE!</v>
      </c>
      <c r="AR63" s="706" t="e">
        <f>InputQ!AR63/1000</f>
        <v>#VALUE!</v>
      </c>
      <c r="AS63" s="706" t="e">
        <f>InputQ!AS63/1000</f>
        <v>#VALUE!</v>
      </c>
      <c r="AT63" s="706" t="e">
        <f>InputQ!AT63/1000</f>
        <v>#VALUE!</v>
      </c>
      <c r="AU63" s="706" t="e">
        <f>InputQ!AU63/1000</f>
        <v>#VALUE!</v>
      </c>
      <c r="AV63" s="706" t="e">
        <f>InputQ!AV63/1000</f>
        <v>#VALUE!</v>
      </c>
      <c r="AW63" s="706" t="e">
        <f>InputQ!AW63/1000</f>
        <v>#VALUE!</v>
      </c>
      <c r="AX63" s="706" t="e">
        <f>InputQ!AX63/1000</f>
        <v>#VALUE!</v>
      </c>
      <c r="AY63" s="706" t="e">
        <f>InputQ!AY63/1000</f>
        <v>#VALUE!</v>
      </c>
      <c r="AZ63" s="706" t="e">
        <f>InputQ!AZ63/1000</f>
        <v>#VALUE!</v>
      </c>
      <c r="BA63" s="706" t="e">
        <f>InputQ!BA63/1000</f>
        <v>#VALUE!</v>
      </c>
      <c r="BB63" s="706" t="e">
        <f>InputQ!BB63/1000</f>
        <v>#VALUE!</v>
      </c>
      <c r="BC63" s="706" t="e">
        <f>InputQ!BC63/1000</f>
        <v>#VALUE!</v>
      </c>
      <c r="BD63" s="706" t="e">
        <f>InputQ!BD63/1000</f>
        <v>#VALUE!</v>
      </c>
      <c r="BE63" s="706" t="e">
        <f>InputQ!BE63/1000</f>
        <v>#VALUE!</v>
      </c>
      <c r="BF63" s="706" t="e">
        <f>InputQ!BF63/1000</f>
        <v>#VALUE!</v>
      </c>
      <c r="BG63" s="706" t="e">
        <f>InputQ!BG63/1000</f>
        <v>#VALUE!</v>
      </c>
      <c r="BH63" s="706" t="e">
        <f>InputQ!BH63/1000</f>
        <v>#VALUE!</v>
      </c>
      <c r="BI63" s="706" t="e">
        <f>InputQ!BI63/1000</f>
        <v>#VALUE!</v>
      </c>
      <c r="BJ63" s="706" t="e">
        <f>InputQ!BJ63/1000</f>
        <v>#VALUE!</v>
      </c>
      <c r="BK63" s="3065" t="e">
        <f t="shared" ref="BK63:BZ63" si="158">+BJ63*(1+BK79/100)</f>
        <v>#VALUE!</v>
      </c>
      <c r="BL63" s="3065" t="e">
        <f t="shared" si="158"/>
        <v>#VALUE!</v>
      </c>
      <c r="BM63" s="3065" t="e">
        <f t="shared" si="158"/>
        <v>#VALUE!</v>
      </c>
      <c r="BN63" s="3065" t="e">
        <f t="shared" si="158"/>
        <v>#VALUE!</v>
      </c>
      <c r="BO63" s="3065" t="e">
        <f t="shared" si="158"/>
        <v>#VALUE!</v>
      </c>
      <c r="BP63" s="3065" t="e">
        <f t="shared" si="158"/>
        <v>#VALUE!</v>
      </c>
      <c r="BQ63" s="3065" t="e">
        <f t="shared" si="158"/>
        <v>#VALUE!</v>
      </c>
      <c r="BR63" s="3065" t="e">
        <f t="shared" si="158"/>
        <v>#VALUE!</v>
      </c>
      <c r="BS63" s="3065" t="e">
        <f>+BR63*(1+BS79/100)</f>
        <v>#VALUE!</v>
      </c>
      <c r="BT63" s="3065" t="e">
        <f>+BS63*(1+BT79/100)</f>
        <v>#VALUE!</v>
      </c>
      <c r="BU63" s="3065" t="e">
        <f>+BT63*(1+BU79/100)</f>
        <v>#VALUE!</v>
      </c>
      <c r="BV63" s="3065" t="e">
        <f>+BU63*(1+BV79/100)</f>
        <v>#VALUE!</v>
      </c>
      <c r="BW63" s="3065" t="e">
        <f t="shared" si="158"/>
        <v>#VALUE!</v>
      </c>
      <c r="BX63" s="3065" t="e">
        <f t="shared" si="158"/>
        <v>#VALUE!</v>
      </c>
      <c r="BY63" s="3065" t="e">
        <f t="shared" si="158"/>
        <v>#VALUE!</v>
      </c>
      <c r="BZ63" s="3065" t="e">
        <f t="shared" si="158"/>
        <v>#VALUE!</v>
      </c>
      <c r="CA63" s="3065" t="e">
        <f t="shared" ref="CA63:CH63" si="159">+BZ63*(1+CA79/100)</f>
        <v>#VALUE!</v>
      </c>
      <c r="CB63" s="3065" t="e">
        <f t="shared" si="159"/>
        <v>#VALUE!</v>
      </c>
      <c r="CC63" s="3065" t="e">
        <f t="shared" si="159"/>
        <v>#VALUE!</v>
      </c>
      <c r="CD63" s="3065" t="e">
        <f t="shared" si="159"/>
        <v>#VALUE!</v>
      </c>
      <c r="CE63" s="3065" t="e">
        <f t="shared" si="159"/>
        <v>#VALUE!</v>
      </c>
      <c r="CF63" s="3065" t="e">
        <f t="shared" si="159"/>
        <v>#VALUE!</v>
      </c>
      <c r="CG63" s="3065" t="e">
        <f t="shared" si="159"/>
        <v>#VALUE!</v>
      </c>
      <c r="CH63" s="3065" t="e">
        <f t="shared" si="159"/>
        <v>#VALUE!</v>
      </c>
      <c r="CI63" s="3065" t="e">
        <f t="shared" ref="CI63:CP63" si="160">+CH63*(1+CI79/100)</f>
        <v>#VALUE!</v>
      </c>
      <c r="CJ63" s="3065" t="e">
        <f t="shared" si="160"/>
        <v>#VALUE!</v>
      </c>
      <c r="CK63" s="3065" t="e">
        <f t="shared" si="160"/>
        <v>#VALUE!</v>
      </c>
      <c r="CL63" s="3065" t="e">
        <f t="shared" si="160"/>
        <v>#VALUE!</v>
      </c>
      <c r="CM63" s="3065" t="e">
        <f t="shared" si="160"/>
        <v>#VALUE!</v>
      </c>
      <c r="CN63" s="3065" t="e">
        <f t="shared" si="160"/>
        <v>#VALUE!</v>
      </c>
      <c r="CO63" s="3065" t="e">
        <f t="shared" si="160"/>
        <v>#VALUE!</v>
      </c>
      <c r="CP63" s="3065" t="e">
        <f t="shared" si="160"/>
        <v>#VALUE!</v>
      </c>
      <c r="CQ63" s="3065" t="e">
        <f t="shared" ref="CQ63:CX63" si="161">+CP63*(1+CQ79/100)</f>
        <v>#VALUE!</v>
      </c>
      <c r="CR63" s="3065" t="e">
        <f t="shared" si="161"/>
        <v>#VALUE!</v>
      </c>
      <c r="CS63" s="3065" t="e">
        <f t="shared" si="161"/>
        <v>#VALUE!</v>
      </c>
      <c r="CT63" s="3065" t="e">
        <f t="shared" si="161"/>
        <v>#VALUE!</v>
      </c>
      <c r="CU63" s="3065" t="e">
        <f t="shared" si="161"/>
        <v>#VALUE!</v>
      </c>
      <c r="CV63" s="3065" t="e">
        <f t="shared" si="161"/>
        <v>#VALUE!</v>
      </c>
      <c r="CW63" s="3065" t="e">
        <f t="shared" si="161"/>
        <v>#VALUE!</v>
      </c>
      <c r="CX63" s="3065" t="e">
        <f t="shared" si="161"/>
        <v>#VALUE!</v>
      </c>
      <c r="CY63" s="3065" t="e">
        <f t="shared" ref="CY63" si="162">+CX63*(1+CY79/100)</f>
        <v>#VALUE!</v>
      </c>
      <c r="CZ63" s="3065" t="e">
        <f t="shared" ref="CZ63" si="163">+CY63*(1+CZ79/100)</f>
        <v>#VALUE!</v>
      </c>
      <c r="DA63" s="3065" t="e">
        <f t="shared" ref="DA63" si="164">+CZ63*(1+DA79/100)</f>
        <v>#VALUE!</v>
      </c>
      <c r="DB63" s="3065" t="e">
        <f t="shared" ref="DB63" si="165">+DA63*(1+DB79/100)</f>
        <v>#VALUE!</v>
      </c>
      <c r="DC63"/>
      <c r="DD63"/>
      <c r="DE63"/>
      <c r="DF63"/>
      <c r="DG63"/>
      <c r="DH63"/>
      <c r="DI63"/>
      <c r="DJ63"/>
      <c r="DK63"/>
      <c r="DL63"/>
      <c r="DM63"/>
      <c r="DN63"/>
      <c r="DO63"/>
    </row>
    <row r="64" spans="1:119" s="699" customFormat="1" ht="12.75" customHeight="1">
      <c r="A64" s="664"/>
      <c r="C64" s="3070"/>
      <c r="D64" s="679"/>
      <c r="E64" s="680" t="s">
        <v>266</v>
      </c>
      <c r="F64" s="1908"/>
      <c r="G64" s="3064"/>
      <c r="H64" s="3064"/>
      <c r="I64" s="3066"/>
      <c r="J64" s="1575" t="e">
        <f>SUM(G63:J63)</f>
        <v>#VALUE!</v>
      </c>
      <c r="K64" s="3064"/>
      <c r="L64" s="3064"/>
      <c r="M64" s="3066"/>
      <c r="N64" s="1575" t="e">
        <f>SUM(K63:N63)</f>
        <v>#VALUE!</v>
      </c>
      <c r="O64" s="3064"/>
      <c r="P64" s="3064"/>
      <c r="Q64" s="3066"/>
      <c r="R64" s="1575" t="e">
        <f>SUM(O63:R63)</f>
        <v>#VALUE!</v>
      </c>
      <c r="S64" s="3064"/>
      <c r="T64" s="3064"/>
      <c r="U64" s="3066"/>
      <c r="V64" s="1575" t="e">
        <f>SUM(S63:V63)</f>
        <v>#VALUE!</v>
      </c>
      <c r="W64" s="3064"/>
      <c r="X64" s="3064"/>
      <c r="Y64" s="3066"/>
      <c r="Z64" s="1575" t="e">
        <f>SUM(W63:Z63)</f>
        <v>#VALUE!</v>
      </c>
      <c r="AA64" s="3064"/>
      <c r="AB64" s="3064"/>
      <c r="AC64" s="3066"/>
      <c r="AD64" s="1575" t="e">
        <f>SUM(AA63:AD63)</f>
        <v>#VALUE!</v>
      </c>
      <c r="AE64" s="3064"/>
      <c r="AF64" s="3064"/>
      <c r="AG64" s="3066"/>
      <c r="AH64" s="1575" t="e">
        <f>SUM(AE63:AH63)</f>
        <v>#VALUE!</v>
      </c>
      <c r="AI64" s="3064"/>
      <c r="AJ64" s="3064"/>
      <c r="AK64" s="3066"/>
      <c r="AL64" s="1575" t="e">
        <f>SUM(AI63:AL63)</f>
        <v>#VALUE!</v>
      </c>
      <c r="AM64" s="3064"/>
      <c r="AN64" s="3064"/>
      <c r="AO64" s="3066"/>
      <c r="AP64" s="1575" t="e">
        <f>SUM(AM63:AP63)</f>
        <v>#VALUE!</v>
      </c>
      <c r="AQ64" s="3064"/>
      <c r="AR64" s="3064"/>
      <c r="AS64" s="3066"/>
      <c r="AT64" s="1575" t="e">
        <f>SUM(AQ63:AT63)</f>
        <v>#VALUE!</v>
      </c>
      <c r="AU64" s="3064"/>
      <c r="AV64" s="3064"/>
      <c r="AW64" s="3066"/>
      <c r="AX64" s="1575" t="e">
        <f>SUM(AU63:AX63)</f>
        <v>#VALUE!</v>
      </c>
      <c r="AY64" s="3064"/>
      <c r="AZ64" s="3064"/>
      <c r="BA64" s="3066"/>
      <c r="BB64" s="1575" t="e">
        <f>SUM(AY63:BB63)</f>
        <v>#VALUE!</v>
      </c>
      <c r="BC64" s="3064"/>
      <c r="BD64" s="3064"/>
      <c r="BE64" s="3066"/>
      <c r="BF64" s="1575" t="e">
        <f>SUM(BC63:BF63)</f>
        <v>#VALUE!</v>
      </c>
      <c r="BG64" s="3064"/>
      <c r="BH64" s="3064"/>
      <c r="BI64" s="3066"/>
      <c r="BJ64" s="1575" t="e">
        <f>SUM(BG63:BJ63)</f>
        <v>#VALUE!</v>
      </c>
      <c r="BK64" s="3064"/>
      <c r="BL64" s="3064"/>
      <c r="BM64" s="3066"/>
      <c r="BN64" s="1575" t="e">
        <f>SUM(BK63:BN63)</f>
        <v>#VALUE!</v>
      </c>
      <c r="BO64" s="3064"/>
      <c r="BP64" s="3064"/>
      <c r="BQ64" s="3066"/>
      <c r="BR64" s="1575" t="e">
        <f>SUM(BO63:BR63)</f>
        <v>#VALUE!</v>
      </c>
      <c r="BS64" s="3064"/>
      <c r="BT64" s="3064"/>
      <c r="BU64" s="3066"/>
      <c r="BV64" s="1575" t="e">
        <f>SUM(BS63:BV63)</f>
        <v>#VALUE!</v>
      </c>
      <c r="BW64" s="3064"/>
      <c r="BX64" s="3064"/>
      <c r="BY64" s="3066"/>
      <c r="BZ64" s="1575" t="e">
        <f>SUM(BW63:BZ63)</f>
        <v>#VALUE!</v>
      </c>
      <c r="CA64" s="3064"/>
      <c r="CB64" s="3064"/>
      <c r="CC64" s="3066"/>
      <c r="CD64" s="1575" t="e">
        <f>SUM(CA63:CD63)</f>
        <v>#VALUE!</v>
      </c>
      <c r="CE64" s="3064"/>
      <c r="CF64" s="3064"/>
      <c r="CG64" s="3066"/>
      <c r="CH64" s="1575" t="e">
        <f>SUM(CE63:CH63)</f>
        <v>#VALUE!</v>
      </c>
      <c r="CI64" s="3064"/>
      <c r="CJ64" s="3064"/>
      <c r="CK64" s="3066"/>
      <c r="CL64" s="1575" t="e">
        <f>SUM(CI63:CL63)</f>
        <v>#VALUE!</v>
      </c>
      <c r="CM64" s="3064"/>
      <c r="CN64" s="3064"/>
      <c r="CO64" s="3066"/>
      <c r="CP64" s="1575" t="e">
        <f>SUM(CM63:CP63)</f>
        <v>#VALUE!</v>
      </c>
      <c r="CQ64" s="3064"/>
      <c r="CR64" s="3064"/>
      <c r="CS64" s="3066"/>
      <c r="CT64" s="1575" t="e">
        <f>SUM(CQ63:CT63)</f>
        <v>#VALUE!</v>
      </c>
      <c r="CU64" s="3064"/>
      <c r="CV64" s="3064"/>
      <c r="CW64" s="3066"/>
      <c r="CX64" s="1575" t="e">
        <f>SUM(CU63:CX63)</f>
        <v>#VALUE!</v>
      </c>
      <c r="CY64" s="3064"/>
      <c r="CZ64" s="3064"/>
      <c r="DA64" s="3066"/>
      <c r="DB64" s="1575" t="e">
        <f>SUM(CY63:DB63)</f>
        <v>#VALUE!</v>
      </c>
      <c r="DC64"/>
      <c r="DD64"/>
      <c r="DE64"/>
      <c r="DF64"/>
      <c r="DG64"/>
      <c r="DH64"/>
      <c r="DI64"/>
      <c r="DJ64"/>
      <c r="DK64"/>
      <c r="DL64"/>
      <c r="DM64"/>
      <c r="DN64"/>
      <c r="DO64"/>
    </row>
    <row r="65" spans="1:119" s="699" customFormat="1" ht="12.75" customHeight="1">
      <c r="A65" s="664"/>
      <c r="C65" s="3070"/>
      <c r="D65" s="679"/>
      <c r="E65" s="680" t="s">
        <v>1847</v>
      </c>
      <c r="F65" s="1908"/>
      <c r="G65" s="3064"/>
      <c r="H65" s="3067" t="s">
        <v>757</v>
      </c>
      <c r="I65" s="3064" t="e">
        <f ca="1">+J65/J64*100</f>
        <v>#VALUE!</v>
      </c>
      <c r="J65" s="1575">
        <f ca="1">OFFSET('VVP2'!$G$23,0,(COLUMN()-10)/4)</f>
        <v>1.6190095588807722</v>
      </c>
      <c r="K65" s="3064"/>
      <c r="L65" s="3067" t="s">
        <v>757</v>
      </c>
      <c r="M65" s="3064" t="e">
        <f ca="1">+N65/N64*100</f>
        <v>#VALUE!</v>
      </c>
      <c r="N65" s="1575">
        <f ca="1">OFFSET('VVP2'!$G$23,0,(COLUMN()-10)/4)</f>
        <v>1.6529379548483158</v>
      </c>
      <c r="O65" s="3064"/>
      <c r="P65" s="3067" t="s">
        <v>757</v>
      </c>
      <c r="Q65" s="3064" t="e">
        <f ca="1">+R65/R64*100</f>
        <v>#VALUE!</v>
      </c>
      <c r="R65" s="1575">
        <f ca="1">OFFSET('VVP2'!$G$23,0,(COLUMN()-10)/4)</f>
        <v>1.9593138492375815</v>
      </c>
      <c r="S65" s="3064"/>
      <c r="T65" s="3067" t="s">
        <v>757</v>
      </c>
      <c r="U65" s="3064" t="e">
        <f ca="1">+V65/V64*100</f>
        <v>#VALUE!</v>
      </c>
      <c r="V65" s="1575">
        <f ca="1">OFFSET('VVP2'!$G$23,0,(COLUMN()-10)/4)</f>
        <v>2.4245674102883901</v>
      </c>
      <c r="W65" s="3064"/>
      <c r="X65" s="3067" t="s">
        <v>757</v>
      </c>
      <c r="Y65" s="3064" t="e">
        <f ca="1">+Z65/Z64*100</f>
        <v>#VALUE!</v>
      </c>
      <c r="Z65" s="1575">
        <f ca="1">OFFSET('VVP2'!$G$23,0,(COLUMN()-10)/4)</f>
        <v>2.2358684505520268</v>
      </c>
      <c r="AA65" s="3064"/>
      <c r="AB65" s="3067" t="s">
        <v>757</v>
      </c>
      <c r="AC65" s="3064" t="e">
        <f ca="1">+AD65/AD64*100</f>
        <v>#VALUE!</v>
      </c>
      <c r="AD65" s="1575">
        <f ca="1">OFFSET('VVP2'!$G$23,0,(COLUMN()-10)/4)</f>
        <v>1.8605336857733581</v>
      </c>
      <c r="AE65" s="3064"/>
      <c r="AF65" s="3067" t="s">
        <v>757</v>
      </c>
      <c r="AG65" s="3064" t="e">
        <f ca="1">+AH65/AH64*100</f>
        <v>#VALUE!</v>
      </c>
      <c r="AH65" s="1575">
        <f ca="1">OFFSET('VVP2'!$G$23,0,(COLUMN()-10)/4)</f>
        <v>2.0229319395980099</v>
      </c>
      <c r="AI65" s="3064"/>
      <c r="AJ65" s="3067" t="s">
        <v>757</v>
      </c>
      <c r="AK65" s="3064" t="e">
        <f ca="1">+AL65/AL64*100</f>
        <v>#VALUE!</v>
      </c>
      <c r="AL65" s="1575">
        <f ca="1">OFFSET('VVP2'!$G$23,0,(COLUMN()-10)/4)</f>
        <v>2.2515572021803245</v>
      </c>
      <c r="AM65" s="3064"/>
      <c r="AN65" s="3067" t="s">
        <v>757</v>
      </c>
      <c r="AO65" s="3064" t="e">
        <f ca="1">+AP65/AP64*100</f>
        <v>#VALUE!</v>
      </c>
      <c r="AP65" s="1575">
        <f ca="1">OFFSET('VVP2'!$G$23,0,(COLUMN()-10)/4)</f>
        <v>2.6961932741995072</v>
      </c>
      <c r="AQ65" s="3064"/>
      <c r="AR65" s="3067" t="s">
        <v>757</v>
      </c>
      <c r="AS65" s="3064" t="e">
        <f ca="1">+AT65/AT64*100</f>
        <v>#VALUE!</v>
      </c>
      <c r="AT65" s="1575">
        <f ca="1">OFFSET('VVP2'!$G$23,0,(COLUMN()-10)/4)</f>
        <v>2.8533895999999999</v>
      </c>
      <c r="AU65" s="3064"/>
      <c r="AV65" s="3067" t="s">
        <v>757</v>
      </c>
      <c r="AW65" s="3064" t="e">
        <f ca="1">+AX65/AX64*100</f>
        <v>#VALUE!</v>
      </c>
      <c r="AX65" s="1575">
        <f ca="1">OFFSET('VVP2'!$G$23,0,(COLUMN()-10)/4)</f>
        <v>3.1764906599999998</v>
      </c>
      <c r="AY65" s="3064"/>
      <c r="AZ65" s="3067" t="s">
        <v>757</v>
      </c>
      <c r="BA65" s="3064" t="e">
        <f ca="1">+BB65/BB64*100</f>
        <v>#VALUE!</v>
      </c>
      <c r="BB65" s="1575">
        <f ca="1">OFFSET('VVP2'!$G$23,0,(COLUMN()-10)/4)</f>
        <v>3.8765144100000004</v>
      </c>
      <c r="BC65" s="3064"/>
      <c r="BD65" s="3067" t="s">
        <v>757</v>
      </c>
      <c r="BE65" s="3064" t="e">
        <f ca="1">+BF65/BF64*100</f>
        <v>#VALUE!</v>
      </c>
      <c r="BF65" s="1575">
        <f ca="1">OFFSET('VVP2'!$G$23,0,(COLUMN()-10)/4)</f>
        <v>4.7097032799999994</v>
      </c>
      <c r="BG65" s="3064"/>
      <c r="BH65" s="3067" t="s">
        <v>757</v>
      </c>
      <c r="BI65" s="3064" t="e">
        <f ca="1">+BJ65/BJ64*100</f>
        <v>#VALUE!</v>
      </c>
      <c r="BJ65" s="1575">
        <f ca="1">OFFSET('VVP2'!$G$23,0,(COLUMN()-10)/4)</f>
        <v>4.73909643</v>
      </c>
      <c r="BK65" s="3064"/>
      <c r="BL65" s="3067" t="s">
        <v>757</v>
      </c>
      <c r="BM65" s="3064" t="e">
        <f ca="1">+BN65/BN64*100</f>
        <v>#VALUE!</v>
      </c>
      <c r="BN65" s="1575">
        <f ca="1">OFFSET('VVP2'!$G$23,0,(COLUMN()-10)/4)</f>
        <v>2.9853189599999999</v>
      </c>
      <c r="BO65" s="3064"/>
      <c r="BP65" s="3067" t="s">
        <v>757</v>
      </c>
      <c r="BQ65" s="3064" t="e">
        <f ca="1">+BR65/BR64*100</f>
        <v>#VALUE!</v>
      </c>
      <c r="BR65" s="1575">
        <f ca="1">OFFSET('VVP2'!$G$23,0,(COLUMN()-10)/4)</f>
        <v>2.7720100000000003</v>
      </c>
      <c r="BS65" s="3064"/>
      <c r="BT65" s="3067" t="s">
        <v>757</v>
      </c>
      <c r="BU65" s="3064" t="e">
        <f ca="1">+BV65/BV64*100</f>
        <v>#VALUE!</v>
      </c>
      <c r="BV65" s="1575">
        <f ca="1">OFFSET('VVP2'!$G$23,0,(COLUMN()-10)/4)</f>
        <v>3.1731799999999999</v>
      </c>
      <c r="BW65" s="3064"/>
      <c r="BX65" s="3067" t="s">
        <v>757</v>
      </c>
      <c r="BY65" s="3064" t="e">
        <f ca="1">+BZ65/BZ64*100</f>
        <v>#VALUE!</v>
      </c>
      <c r="BZ65" s="1575">
        <f ca="1">OFFSET('VVP2'!$G$23,0,(COLUMN()-10)/4)</f>
        <v>3.0351158200000001</v>
      </c>
      <c r="CA65" s="3064"/>
      <c r="CB65" s="3067" t="s">
        <v>757</v>
      </c>
      <c r="CC65" s="3064" t="e">
        <f ca="1">+CD65/CD64*100</f>
        <v>#VALUE!</v>
      </c>
      <c r="CD65" s="1575">
        <f ca="1">OFFSET('VVP2'!$G$23,0,(COLUMN()-10)/4)</f>
        <v>3.2775326599999999</v>
      </c>
      <c r="CE65" s="3064"/>
      <c r="CF65" s="3067" t="s">
        <v>757</v>
      </c>
      <c r="CG65" s="3064" t="e">
        <f ca="1">+CH65/CH64*100</f>
        <v>#VALUE!</v>
      </c>
      <c r="CH65" s="1575">
        <f ca="1">OFFSET('VVP2'!$G$23,0,(COLUMN()-10)/4)</f>
        <v>3.5532021599999997</v>
      </c>
      <c r="CI65" s="3064"/>
      <c r="CJ65" s="3067" t="s">
        <v>757</v>
      </c>
      <c r="CK65" s="3064" t="e">
        <f ca="1">+CL65/CL64*100</f>
        <v>#VALUE!</v>
      </c>
      <c r="CL65" s="1575">
        <f ca="1">OFFSET('VVP2'!$G$23,0,(COLUMN()-10)/4)</f>
        <v>3.55615389</v>
      </c>
      <c r="CM65" s="3064"/>
      <c r="CN65" s="3067" t="s">
        <v>757</v>
      </c>
      <c r="CO65" s="3064" t="e">
        <f ca="1">+CP65/CP64*100</f>
        <v>#VALUE!</v>
      </c>
      <c r="CP65" s="1575">
        <f ca="1">OFFSET('VVP2'!$G$23,0,(COLUMN()-10)/4)</f>
        <v>3.32091745</v>
      </c>
      <c r="CQ65" s="3064"/>
      <c r="CR65" s="3067" t="s">
        <v>757</v>
      </c>
      <c r="CS65" s="3064" t="e">
        <f ca="1">+CT65/CT64*100</f>
        <v>#VALUE!</v>
      </c>
      <c r="CT65" s="1575">
        <f ca="1">OFFSET('VVP2'!$G$23,0,(COLUMN()-10)/4)</f>
        <v>3.47156603</v>
      </c>
      <c r="CU65" s="3064"/>
      <c r="CV65" s="3067" t="s">
        <v>757</v>
      </c>
      <c r="CW65" s="3064" t="e">
        <f ca="1">+CX65/CX64*100</f>
        <v>#VALUE!</v>
      </c>
      <c r="CX65" s="1575">
        <f ca="1">OFFSET('VVP2'!$G$23,0,(COLUMN()-10)/4)</f>
        <v>3.6686017493853877</v>
      </c>
      <c r="CY65" s="3064"/>
      <c r="CZ65" s="3067" t="s">
        <v>757</v>
      </c>
      <c r="DA65" s="3064" t="e">
        <f ca="1">+DB65/DB64*100</f>
        <v>#VALUE!</v>
      </c>
      <c r="DB65" s="1575">
        <f ca="1">OFFSET('VVP2'!$G$23,0,(COLUMN()-10)/4)</f>
        <v>3.81775834549742</v>
      </c>
      <c r="DC65"/>
      <c r="DD65"/>
      <c r="DE65"/>
      <c r="DF65"/>
      <c r="DG65"/>
      <c r="DH65"/>
      <c r="DI65"/>
      <c r="DJ65"/>
      <c r="DK65"/>
      <c r="DL65"/>
      <c r="DM65"/>
      <c r="DN65"/>
      <c r="DO65"/>
    </row>
    <row r="66" spans="1:119" s="699" customFormat="1" ht="12.75" customHeight="1">
      <c r="A66" s="664" t="str">
        <f>"Q" &amp; ROW(InputQ!A64)</f>
        <v>Q64</v>
      </c>
      <c r="C66" s="3070" t="s">
        <v>1767</v>
      </c>
      <c r="D66" s="674"/>
      <c r="E66" s="3629" t="s">
        <v>1791</v>
      </c>
      <c r="F66" s="3630"/>
      <c r="G66" s="706" t="e">
        <f>InputQ!G64/1000</f>
        <v>#VALUE!</v>
      </c>
      <c r="H66" s="706" t="e">
        <f>InputQ!H64/1000</f>
        <v>#VALUE!</v>
      </c>
      <c r="I66" s="706" t="e">
        <f>InputQ!I64/1000</f>
        <v>#VALUE!</v>
      </c>
      <c r="J66" s="706" t="e">
        <f>InputQ!J64/1000</f>
        <v>#VALUE!</v>
      </c>
      <c r="K66" s="706" t="e">
        <f>InputQ!K64/1000</f>
        <v>#VALUE!</v>
      </c>
      <c r="L66" s="706" t="e">
        <f>InputQ!L64/1000</f>
        <v>#VALUE!</v>
      </c>
      <c r="M66" s="706" t="e">
        <f>InputQ!M64/1000</f>
        <v>#VALUE!</v>
      </c>
      <c r="N66" s="706" t="e">
        <f>InputQ!N64/1000</f>
        <v>#VALUE!</v>
      </c>
      <c r="O66" s="706" t="e">
        <f>InputQ!O64/1000</f>
        <v>#VALUE!</v>
      </c>
      <c r="P66" s="706" t="e">
        <f>InputQ!P64/1000</f>
        <v>#VALUE!</v>
      </c>
      <c r="Q66" s="706" t="e">
        <f>InputQ!Q64/1000</f>
        <v>#VALUE!</v>
      </c>
      <c r="R66" s="706" t="e">
        <f>InputQ!R64/1000</f>
        <v>#VALUE!</v>
      </c>
      <c r="S66" s="706" t="e">
        <f>InputQ!S64/1000</f>
        <v>#VALUE!</v>
      </c>
      <c r="T66" s="706" t="e">
        <f>InputQ!T64/1000</f>
        <v>#VALUE!</v>
      </c>
      <c r="U66" s="706" t="e">
        <f>InputQ!U64/1000</f>
        <v>#VALUE!</v>
      </c>
      <c r="V66" s="706" t="e">
        <f>InputQ!V64/1000</f>
        <v>#VALUE!</v>
      </c>
      <c r="W66" s="706" t="e">
        <f>InputQ!W64/1000</f>
        <v>#VALUE!</v>
      </c>
      <c r="X66" s="706" t="e">
        <f>InputQ!X64/1000</f>
        <v>#VALUE!</v>
      </c>
      <c r="Y66" s="706" t="e">
        <f>InputQ!Y64/1000</f>
        <v>#VALUE!</v>
      </c>
      <c r="Z66" s="706" t="e">
        <f>InputQ!Z64/1000</f>
        <v>#VALUE!</v>
      </c>
      <c r="AA66" s="706" t="e">
        <f>InputQ!AA64/1000</f>
        <v>#VALUE!</v>
      </c>
      <c r="AB66" s="706" t="e">
        <f>InputQ!AB64/1000</f>
        <v>#VALUE!</v>
      </c>
      <c r="AC66" s="706" t="e">
        <f>InputQ!AC64/1000</f>
        <v>#VALUE!</v>
      </c>
      <c r="AD66" s="706" t="e">
        <f>InputQ!AD64/1000</f>
        <v>#VALUE!</v>
      </c>
      <c r="AE66" s="706" t="e">
        <f>InputQ!AE64/1000</f>
        <v>#VALUE!</v>
      </c>
      <c r="AF66" s="706" t="e">
        <f>InputQ!AF64/1000</f>
        <v>#VALUE!</v>
      </c>
      <c r="AG66" s="706" t="e">
        <f>InputQ!AG64/1000</f>
        <v>#VALUE!</v>
      </c>
      <c r="AH66" s="706" t="e">
        <f>InputQ!AH64/1000</f>
        <v>#VALUE!</v>
      </c>
      <c r="AI66" s="706" t="e">
        <f>InputQ!AI64/1000</f>
        <v>#VALUE!</v>
      </c>
      <c r="AJ66" s="706" t="e">
        <f>InputQ!AJ64/1000</f>
        <v>#VALUE!</v>
      </c>
      <c r="AK66" s="706" t="e">
        <f>InputQ!AK64/1000</f>
        <v>#VALUE!</v>
      </c>
      <c r="AL66" s="706" t="e">
        <f>InputQ!AL64/1000</f>
        <v>#VALUE!</v>
      </c>
      <c r="AM66" s="706" t="e">
        <f>InputQ!AM64/1000</f>
        <v>#VALUE!</v>
      </c>
      <c r="AN66" s="706" t="e">
        <f>InputQ!AN64/1000</f>
        <v>#VALUE!</v>
      </c>
      <c r="AO66" s="706" t="e">
        <f>InputQ!AO64/1000</f>
        <v>#VALUE!</v>
      </c>
      <c r="AP66" s="706" t="e">
        <f>InputQ!AP64/1000</f>
        <v>#VALUE!</v>
      </c>
      <c r="AQ66" s="706" t="e">
        <f>InputQ!AQ64/1000</f>
        <v>#VALUE!</v>
      </c>
      <c r="AR66" s="706" t="e">
        <f>InputQ!AR64/1000</f>
        <v>#VALUE!</v>
      </c>
      <c r="AS66" s="706" t="e">
        <f>InputQ!AS64/1000</f>
        <v>#VALUE!</v>
      </c>
      <c r="AT66" s="706" t="e">
        <f>InputQ!AT64/1000</f>
        <v>#VALUE!</v>
      </c>
      <c r="AU66" s="706" t="e">
        <f>InputQ!AU64/1000</f>
        <v>#VALUE!</v>
      </c>
      <c r="AV66" s="706" t="e">
        <f>InputQ!AV64/1000</f>
        <v>#VALUE!</v>
      </c>
      <c r="AW66" s="706" t="e">
        <f>InputQ!AW64/1000</f>
        <v>#VALUE!</v>
      </c>
      <c r="AX66" s="706" t="e">
        <f>InputQ!AX64/1000</f>
        <v>#VALUE!</v>
      </c>
      <c r="AY66" s="706" t="e">
        <f>InputQ!AY64/1000</f>
        <v>#VALUE!</v>
      </c>
      <c r="AZ66" s="706" t="e">
        <f>InputQ!AZ64/1000</f>
        <v>#VALUE!</v>
      </c>
      <c r="BA66" s="706" t="e">
        <f>InputQ!BA64/1000</f>
        <v>#VALUE!</v>
      </c>
      <c r="BB66" s="706" t="e">
        <f>InputQ!BB64/1000</f>
        <v>#VALUE!</v>
      </c>
      <c r="BC66" s="706" t="e">
        <f>InputQ!BC64/1000</f>
        <v>#VALUE!</v>
      </c>
      <c r="BD66" s="706" t="e">
        <f>InputQ!BD64/1000</f>
        <v>#VALUE!</v>
      </c>
      <c r="BE66" s="706" t="e">
        <f>InputQ!BE64/1000</f>
        <v>#VALUE!</v>
      </c>
      <c r="BF66" s="706" t="e">
        <f>InputQ!BF64/1000</f>
        <v>#VALUE!</v>
      </c>
      <c r="BG66" s="706" t="e">
        <f>InputQ!BG64/1000</f>
        <v>#VALUE!</v>
      </c>
      <c r="BH66" s="706" t="e">
        <f>InputQ!BH64/1000</f>
        <v>#VALUE!</v>
      </c>
      <c r="BI66" s="706" t="e">
        <f>InputQ!BI64/1000</f>
        <v>#VALUE!</v>
      </c>
      <c r="BJ66" s="706" t="e">
        <f>InputQ!BJ64/1000</f>
        <v>#VALUE!</v>
      </c>
      <c r="BK66" s="3065" t="e">
        <f t="shared" ref="BK66:BZ66" si="166">+BJ66*(1+BK82/100)</f>
        <v>#VALUE!</v>
      </c>
      <c r="BL66" s="3065" t="e">
        <f t="shared" si="166"/>
        <v>#VALUE!</v>
      </c>
      <c r="BM66" s="3065" t="e">
        <f t="shared" si="166"/>
        <v>#VALUE!</v>
      </c>
      <c r="BN66" s="3065" t="e">
        <f t="shared" si="166"/>
        <v>#VALUE!</v>
      </c>
      <c r="BO66" s="3065" t="e">
        <f t="shared" si="166"/>
        <v>#VALUE!</v>
      </c>
      <c r="BP66" s="3065" t="e">
        <f t="shared" si="166"/>
        <v>#VALUE!</v>
      </c>
      <c r="BQ66" s="3065" t="e">
        <f t="shared" si="166"/>
        <v>#VALUE!</v>
      </c>
      <c r="BR66" s="3065" t="e">
        <f t="shared" si="166"/>
        <v>#VALUE!</v>
      </c>
      <c r="BS66" s="3065" t="e">
        <f>+BR66*(1+BS82/100)</f>
        <v>#VALUE!</v>
      </c>
      <c r="BT66" s="3065" t="e">
        <f>+BS66*(1+BT82/100)</f>
        <v>#VALUE!</v>
      </c>
      <c r="BU66" s="3065" t="e">
        <f>+BT66*(1+BU82/100)</f>
        <v>#VALUE!</v>
      </c>
      <c r="BV66" s="3065" t="e">
        <f>+BU66*(1+BV82/100)</f>
        <v>#VALUE!</v>
      </c>
      <c r="BW66" s="3065" t="e">
        <f t="shared" si="166"/>
        <v>#VALUE!</v>
      </c>
      <c r="BX66" s="3065" t="e">
        <f t="shared" si="166"/>
        <v>#VALUE!</v>
      </c>
      <c r="BY66" s="3065" t="e">
        <f t="shared" si="166"/>
        <v>#VALUE!</v>
      </c>
      <c r="BZ66" s="3065" t="e">
        <f t="shared" si="166"/>
        <v>#VALUE!</v>
      </c>
      <c r="CA66" s="3065" t="e">
        <f t="shared" ref="CA66:CH66" si="167">+BZ66*(1+CA82/100)</f>
        <v>#VALUE!</v>
      </c>
      <c r="CB66" s="3065" t="e">
        <f t="shared" si="167"/>
        <v>#VALUE!</v>
      </c>
      <c r="CC66" s="3065" t="e">
        <f t="shared" si="167"/>
        <v>#VALUE!</v>
      </c>
      <c r="CD66" s="3065" t="e">
        <f t="shared" si="167"/>
        <v>#VALUE!</v>
      </c>
      <c r="CE66" s="3065" t="e">
        <f t="shared" si="167"/>
        <v>#VALUE!</v>
      </c>
      <c r="CF66" s="3065" t="e">
        <f t="shared" si="167"/>
        <v>#VALUE!</v>
      </c>
      <c r="CG66" s="3065" t="e">
        <f t="shared" si="167"/>
        <v>#VALUE!</v>
      </c>
      <c r="CH66" s="3065" t="e">
        <f t="shared" si="167"/>
        <v>#VALUE!</v>
      </c>
      <c r="CI66" s="3065" t="e">
        <f t="shared" ref="CI66:CP66" si="168">+CH66*(1+CI82/100)</f>
        <v>#VALUE!</v>
      </c>
      <c r="CJ66" s="3065" t="e">
        <f t="shared" si="168"/>
        <v>#VALUE!</v>
      </c>
      <c r="CK66" s="3065" t="e">
        <f t="shared" si="168"/>
        <v>#VALUE!</v>
      </c>
      <c r="CL66" s="3065" t="e">
        <f t="shared" si="168"/>
        <v>#VALUE!</v>
      </c>
      <c r="CM66" s="3065" t="e">
        <f t="shared" si="168"/>
        <v>#VALUE!</v>
      </c>
      <c r="CN66" s="3065" t="e">
        <f t="shared" si="168"/>
        <v>#VALUE!</v>
      </c>
      <c r="CO66" s="3065" t="e">
        <f t="shared" si="168"/>
        <v>#VALUE!</v>
      </c>
      <c r="CP66" s="3065" t="e">
        <f t="shared" si="168"/>
        <v>#VALUE!</v>
      </c>
      <c r="CQ66" s="3065" t="e">
        <f t="shared" ref="CQ66:CX66" si="169">+CP66*(1+CQ82/100)</f>
        <v>#VALUE!</v>
      </c>
      <c r="CR66" s="3065" t="e">
        <f t="shared" si="169"/>
        <v>#VALUE!</v>
      </c>
      <c r="CS66" s="3065" t="e">
        <f t="shared" si="169"/>
        <v>#VALUE!</v>
      </c>
      <c r="CT66" s="3065" t="e">
        <f t="shared" si="169"/>
        <v>#VALUE!</v>
      </c>
      <c r="CU66" s="3065" t="e">
        <f t="shared" si="169"/>
        <v>#VALUE!</v>
      </c>
      <c r="CV66" s="3065" t="e">
        <f t="shared" si="169"/>
        <v>#VALUE!</v>
      </c>
      <c r="CW66" s="3065" t="e">
        <f t="shared" si="169"/>
        <v>#VALUE!</v>
      </c>
      <c r="CX66" s="3065" t="e">
        <f t="shared" si="169"/>
        <v>#VALUE!</v>
      </c>
      <c r="CY66" s="3065" t="e">
        <f t="shared" ref="CY66" si="170">+CX66*(1+CY82/100)</f>
        <v>#VALUE!</v>
      </c>
      <c r="CZ66" s="3065" t="e">
        <f t="shared" ref="CZ66" si="171">+CY66*(1+CZ82/100)</f>
        <v>#VALUE!</v>
      </c>
      <c r="DA66" s="3065" t="e">
        <f t="shared" ref="DA66" si="172">+CZ66*(1+DA82/100)</f>
        <v>#VALUE!</v>
      </c>
      <c r="DB66" s="3065" t="e">
        <f t="shared" ref="DB66" si="173">+DA66*(1+DB82/100)</f>
        <v>#VALUE!</v>
      </c>
      <c r="DC66"/>
      <c r="DD66"/>
      <c r="DE66"/>
      <c r="DF66"/>
      <c r="DG66"/>
      <c r="DH66"/>
      <c r="DI66"/>
      <c r="DJ66"/>
      <c r="DK66"/>
      <c r="DL66"/>
      <c r="DM66"/>
      <c r="DN66"/>
      <c r="DO66"/>
    </row>
    <row r="67" spans="1:119" s="699" customFormat="1" ht="12.75" customHeight="1">
      <c r="A67" s="664"/>
      <c r="C67" s="3070"/>
      <c r="D67" s="679"/>
      <c r="E67" s="680" t="s">
        <v>266</v>
      </c>
      <c r="F67" s="1908"/>
      <c r="G67" s="3064"/>
      <c r="H67" s="3064"/>
      <c r="I67" s="3066"/>
      <c r="J67" s="1575" t="e">
        <f>SUM(G66:J66)</f>
        <v>#VALUE!</v>
      </c>
      <c r="K67" s="3064"/>
      <c r="L67" s="3064"/>
      <c r="M67" s="3066"/>
      <c r="N67" s="1575" t="e">
        <f>SUM(K66:N66)</f>
        <v>#VALUE!</v>
      </c>
      <c r="O67" s="3064"/>
      <c r="P67" s="3064"/>
      <c r="Q67" s="3066"/>
      <c r="R67" s="1575" t="e">
        <f>SUM(O66:R66)</f>
        <v>#VALUE!</v>
      </c>
      <c r="S67" s="3064"/>
      <c r="T67" s="3064"/>
      <c r="U67" s="3066"/>
      <c r="V67" s="1575" t="e">
        <f>SUM(S66:V66)</f>
        <v>#VALUE!</v>
      </c>
      <c r="W67" s="3064"/>
      <c r="X67" s="3064"/>
      <c r="Y67" s="3066"/>
      <c r="Z67" s="1575" t="e">
        <f>SUM(W66:Z66)</f>
        <v>#VALUE!</v>
      </c>
      <c r="AA67" s="3064"/>
      <c r="AB67" s="3064"/>
      <c r="AC67" s="3066"/>
      <c r="AD67" s="1575" t="e">
        <f>SUM(AA66:AD66)</f>
        <v>#VALUE!</v>
      </c>
      <c r="AE67" s="3064"/>
      <c r="AF67" s="3064"/>
      <c r="AG67" s="3066"/>
      <c r="AH67" s="1575" t="e">
        <f>SUM(AE66:AH66)</f>
        <v>#VALUE!</v>
      </c>
      <c r="AI67" s="3064"/>
      <c r="AJ67" s="3064"/>
      <c r="AK67" s="3066"/>
      <c r="AL67" s="1575" t="e">
        <f>SUM(AI66:AL66)</f>
        <v>#VALUE!</v>
      </c>
      <c r="AM67" s="3064"/>
      <c r="AN67" s="3064"/>
      <c r="AO67" s="3066"/>
      <c r="AP67" s="1575" t="e">
        <f>SUM(AM66:AP66)</f>
        <v>#VALUE!</v>
      </c>
      <c r="AQ67" s="3064"/>
      <c r="AR67" s="3064"/>
      <c r="AS67" s="3066"/>
      <c r="AT67" s="1575" t="e">
        <f>SUM(AQ66:AT66)</f>
        <v>#VALUE!</v>
      </c>
      <c r="AU67" s="3064"/>
      <c r="AV67" s="3064"/>
      <c r="AW67" s="3066"/>
      <c r="AX67" s="1575" t="e">
        <f>SUM(AU66:AX66)</f>
        <v>#VALUE!</v>
      </c>
      <c r="AY67" s="3064"/>
      <c r="AZ67" s="3064"/>
      <c r="BA67" s="3066"/>
      <c r="BB67" s="1575" t="e">
        <f>SUM(AY66:BB66)</f>
        <v>#VALUE!</v>
      </c>
      <c r="BC67" s="3064"/>
      <c r="BD67" s="3064"/>
      <c r="BE67" s="3066"/>
      <c r="BF67" s="1575" t="e">
        <f>SUM(BC66:BF66)</f>
        <v>#VALUE!</v>
      </c>
      <c r="BG67" s="3064"/>
      <c r="BH67" s="3064"/>
      <c r="BI67" s="3066"/>
      <c r="BJ67" s="1575" t="e">
        <f>SUM(BG66:BJ66)</f>
        <v>#VALUE!</v>
      </c>
      <c r="BK67" s="3064"/>
      <c r="BL67" s="3064"/>
      <c r="BM67" s="3066"/>
      <c r="BN67" s="1575" t="e">
        <f>SUM(BK66:BN66)</f>
        <v>#VALUE!</v>
      </c>
      <c r="BO67" s="3064"/>
      <c r="BP67" s="3064"/>
      <c r="BQ67" s="3066"/>
      <c r="BR67" s="1575" t="e">
        <f>SUM(BO66:BR66)</f>
        <v>#VALUE!</v>
      </c>
      <c r="BS67" s="3064"/>
      <c r="BT67" s="3064"/>
      <c r="BU67" s="3066"/>
      <c r="BV67" s="1575" t="e">
        <f>SUM(BS66:BV66)</f>
        <v>#VALUE!</v>
      </c>
      <c r="BW67" s="3064"/>
      <c r="BX67" s="3064"/>
      <c r="BY67" s="3066"/>
      <c r="BZ67" s="1575" t="e">
        <f>SUM(BW66:BZ66)</f>
        <v>#VALUE!</v>
      </c>
      <c r="CA67" s="3064"/>
      <c r="CB67" s="3064"/>
      <c r="CC67" s="3066"/>
      <c r="CD67" s="1575" t="e">
        <f>SUM(CA66:CD66)</f>
        <v>#VALUE!</v>
      </c>
      <c r="CE67" s="3064"/>
      <c r="CF67" s="3064"/>
      <c r="CG67" s="3066"/>
      <c r="CH67" s="1575" t="e">
        <f>SUM(CE66:CH66)</f>
        <v>#VALUE!</v>
      </c>
      <c r="CI67" s="3064"/>
      <c r="CJ67" s="3064"/>
      <c r="CK67" s="3066"/>
      <c r="CL67" s="1575" t="e">
        <f>SUM(CI66:CL66)</f>
        <v>#VALUE!</v>
      </c>
      <c r="CM67" s="3064"/>
      <c r="CN67" s="3064"/>
      <c r="CO67" s="3066"/>
      <c r="CP67" s="1575" t="e">
        <f>SUM(CM66:CP66)</f>
        <v>#VALUE!</v>
      </c>
      <c r="CQ67" s="3064"/>
      <c r="CR67" s="3064"/>
      <c r="CS67" s="3066"/>
      <c r="CT67" s="1575" t="e">
        <f>SUM(CQ66:CT66)</f>
        <v>#VALUE!</v>
      </c>
      <c r="CU67" s="3064"/>
      <c r="CV67" s="3064"/>
      <c r="CW67" s="3066"/>
      <c r="CX67" s="1575" t="e">
        <f>SUM(CU66:CX66)</f>
        <v>#VALUE!</v>
      </c>
      <c r="CY67" s="3064"/>
      <c r="CZ67" s="3064"/>
      <c r="DA67" s="3066"/>
      <c r="DB67" s="1575" t="e">
        <f>SUM(CY66:DB66)</f>
        <v>#VALUE!</v>
      </c>
      <c r="DC67"/>
      <c r="DD67"/>
      <c r="DE67"/>
      <c r="DF67"/>
      <c r="DG67"/>
      <c r="DH67"/>
      <c r="DI67"/>
      <c r="DJ67"/>
      <c r="DK67"/>
      <c r="DL67"/>
      <c r="DM67"/>
      <c r="DN67"/>
      <c r="DO67"/>
    </row>
    <row r="68" spans="1:119" s="699" customFormat="1" ht="12.75" customHeight="1">
      <c r="A68" s="664"/>
      <c r="C68" s="3070"/>
      <c r="D68" s="679"/>
      <c r="E68" s="680" t="s">
        <v>1847</v>
      </c>
      <c r="F68" s="1908"/>
      <c r="G68" s="3064"/>
      <c r="H68" s="3067" t="s">
        <v>757</v>
      </c>
      <c r="I68" s="3064" t="e">
        <f ca="1">+J68/J67*100</f>
        <v>#VALUE!</v>
      </c>
      <c r="J68" s="1575">
        <f ca="1">OFFSET('VVP2'!$G$28,0,(COLUMN()-10)/4)</f>
        <v>0.17870962891620323</v>
      </c>
      <c r="K68" s="3064"/>
      <c r="L68" s="3067" t="s">
        <v>757</v>
      </c>
      <c r="M68" s="3064" t="e">
        <f ca="1">+N68/N67*100</f>
        <v>#VALUE!</v>
      </c>
      <c r="N68" s="1575">
        <f ca="1">OFFSET('VVP2'!$G$28,0,(COLUMN()-10)/4)</f>
        <v>0.19122122870124314</v>
      </c>
      <c r="O68" s="3064"/>
      <c r="P68" s="3067" t="s">
        <v>757</v>
      </c>
      <c r="Q68" s="3064" t="e">
        <f ca="1">+R68/R67*100</f>
        <v>#VALUE!</v>
      </c>
      <c r="R68" s="1575">
        <f ca="1">OFFSET('VVP2'!$G$28,0,(COLUMN()-10)/4)</f>
        <v>0.21354097521811696</v>
      </c>
      <c r="S68" s="3064"/>
      <c r="T68" s="3067" t="s">
        <v>757</v>
      </c>
      <c r="U68" s="3064" t="e">
        <f ca="1">+V68/V67*100</f>
        <v>#VALUE!</v>
      </c>
      <c r="V68" s="1575">
        <f ca="1">OFFSET('VVP2'!$G$28,0,(COLUMN()-10)/4)</f>
        <v>0.22079562606606054</v>
      </c>
      <c r="W68" s="3064"/>
      <c r="X68" s="3067" t="s">
        <v>757</v>
      </c>
      <c r="Y68" s="3064" t="e">
        <f ca="1">+Z68/Z67*100</f>
        <v>#VALUE!</v>
      </c>
      <c r="Z68" s="1575">
        <f ca="1">OFFSET('VVP2'!$G$28,0,(COLUMN()-10)/4)</f>
        <v>0.21328139893084769</v>
      </c>
      <c r="AA68" s="3064"/>
      <c r="AB68" s="3067" t="s">
        <v>757</v>
      </c>
      <c r="AC68" s="3064" t="e">
        <f ca="1">+AD68/AD67*100</f>
        <v>#VALUE!</v>
      </c>
      <c r="AD68" s="1575">
        <f ca="1">OFFSET('VVP2'!$G$28,0,(COLUMN()-10)/4)</f>
        <v>0.31682018300097692</v>
      </c>
      <c r="AE68" s="3064"/>
      <c r="AF68" s="3067" t="s">
        <v>757</v>
      </c>
      <c r="AG68" s="3064" t="e">
        <f ca="1">+AH68/AH67*100</f>
        <v>#VALUE!</v>
      </c>
      <c r="AH68" s="1575">
        <f ca="1">OFFSET('VVP2'!$G$28,0,(COLUMN()-10)/4)</f>
        <v>0.30222830848678722</v>
      </c>
      <c r="AI68" s="3064"/>
      <c r="AJ68" s="3067" t="s">
        <v>757</v>
      </c>
      <c r="AK68" s="3064" t="e">
        <f ca="1">+AL68/AL67*100</f>
        <v>#VALUE!</v>
      </c>
      <c r="AL68" s="1575">
        <f ca="1">OFFSET('VVP2'!$G$28,0,(COLUMN()-10)/4)</f>
        <v>0.32762564906547426</v>
      </c>
      <c r="AM68" s="3064"/>
      <c r="AN68" s="3067" t="s">
        <v>757</v>
      </c>
      <c r="AO68" s="3064" t="e">
        <f ca="1">+AP68/AP67*100</f>
        <v>#VALUE!</v>
      </c>
      <c r="AP68" s="1575">
        <f ca="1">OFFSET('VVP2'!$G$28,0,(COLUMN()-10)/4)</f>
        <v>0.33537245623674344</v>
      </c>
      <c r="AQ68" s="3064"/>
      <c r="AR68" s="3067" t="s">
        <v>757</v>
      </c>
      <c r="AS68" s="3064" t="e">
        <f ca="1">+AT68/AT67*100</f>
        <v>#VALUE!</v>
      </c>
      <c r="AT68" s="1575">
        <f ca="1">OFFSET('VVP2'!$G$28,0,(COLUMN()-10)/4)</f>
        <v>0.35443999999999998</v>
      </c>
      <c r="AU68" s="3064"/>
      <c r="AV68" s="3067" t="s">
        <v>757</v>
      </c>
      <c r="AW68" s="3064" t="e">
        <f ca="1">+AX68/AX67*100</f>
        <v>#VALUE!</v>
      </c>
      <c r="AX68" s="1575">
        <f ca="1">OFFSET('VVP2'!$G$28,0,(COLUMN()-10)/4)</f>
        <v>0.38112000000000001</v>
      </c>
      <c r="AY68" s="3064"/>
      <c r="AZ68" s="3067" t="s">
        <v>757</v>
      </c>
      <c r="BA68" s="3064" t="e">
        <f ca="1">+BB68/BB67*100</f>
        <v>#VALUE!</v>
      </c>
      <c r="BB68" s="1575">
        <f ca="1">OFFSET('VVP2'!$G$28,0,(COLUMN()-10)/4)</f>
        <v>0.42629</v>
      </c>
      <c r="BC68" s="3064"/>
      <c r="BD68" s="3067" t="s">
        <v>757</v>
      </c>
      <c r="BE68" s="3064" t="e">
        <f ca="1">+BF68/BF67*100</f>
        <v>#VALUE!</v>
      </c>
      <c r="BF68" s="1575">
        <f ca="1">OFFSET('VVP2'!$G$28,0,(COLUMN()-10)/4)</f>
        <v>0.52798</v>
      </c>
      <c r="BG68" s="3064"/>
      <c r="BH68" s="3067" t="s">
        <v>757</v>
      </c>
      <c r="BI68" s="3064" t="e">
        <f ca="1">+BJ68/BJ67*100</f>
        <v>#VALUE!</v>
      </c>
      <c r="BJ68" s="1575">
        <f ca="1">OFFSET('VVP2'!$G$28,0,(COLUMN()-10)/4)</f>
        <v>0.63348000000000004</v>
      </c>
      <c r="BK68" s="3064"/>
      <c r="BL68" s="3067" t="s">
        <v>757</v>
      </c>
      <c r="BM68" s="3064" t="e">
        <f ca="1">+BN68/BN67*100</f>
        <v>#VALUE!</v>
      </c>
      <c r="BN68" s="1575">
        <f ca="1">OFFSET('VVP2'!$G$28,0,(COLUMN()-10)/4)</f>
        <v>0.53010999999999997</v>
      </c>
      <c r="BO68" s="3064"/>
      <c r="BP68" s="3067" t="s">
        <v>757</v>
      </c>
      <c r="BQ68" s="3064" t="e">
        <f ca="1">+BR68/BR67*100</f>
        <v>#VALUE!</v>
      </c>
      <c r="BR68" s="1575">
        <f ca="1">OFFSET('VVP2'!$G$28,0,(COLUMN()-10)/4)</f>
        <v>0.58343999999999996</v>
      </c>
      <c r="BS68" s="3064"/>
      <c r="BT68" s="3067" t="s">
        <v>757</v>
      </c>
      <c r="BU68" s="3064" t="e">
        <f ca="1">+BV68/BV67*100</f>
        <v>#VALUE!</v>
      </c>
      <c r="BV68" s="1575">
        <f ca="1">OFFSET('VVP2'!$G$28,0,(COLUMN()-10)/4)</f>
        <v>0.63612000000000002</v>
      </c>
      <c r="BW68" s="3064"/>
      <c r="BX68" s="3067" t="s">
        <v>757</v>
      </c>
      <c r="BY68" s="3064" t="e">
        <f ca="1">+BZ68/BZ67*100</f>
        <v>#VALUE!</v>
      </c>
      <c r="BZ68" s="1575">
        <f ca="1">OFFSET('VVP2'!$G$28,0,(COLUMN()-10)/4)</f>
        <v>0.63763000000000003</v>
      </c>
      <c r="CA68" s="3064"/>
      <c r="CB68" s="3067" t="s">
        <v>757</v>
      </c>
      <c r="CC68" s="3064" t="e">
        <f ca="1">+CD68/CD67*100</f>
        <v>#VALUE!</v>
      </c>
      <c r="CD68" s="1575">
        <f ca="1">OFFSET('VVP2'!$G$28,0,(COLUMN()-10)/4)</f>
        <v>0.61253000000000002</v>
      </c>
      <c r="CE68" s="3064"/>
      <c r="CF68" s="3067" t="s">
        <v>757</v>
      </c>
      <c r="CG68" s="3064" t="e">
        <f ca="1">+CH68/CH67*100</f>
        <v>#VALUE!</v>
      </c>
      <c r="CH68" s="1575">
        <f ca="1">OFFSET('VVP2'!$G$28,0,(COLUMN()-10)/4)</f>
        <v>0.68237999999999999</v>
      </c>
      <c r="CI68" s="3064"/>
      <c r="CJ68" s="3067" t="s">
        <v>757</v>
      </c>
      <c r="CK68" s="3064" t="e">
        <f ca="1">+CL68/CL67*100</f>
        <v>#VALUE!</v>
      </c>
      <c r="CL68" s="1575">
        <f ca="1">OFFSET('VVP2'!$G$28,0,(COLUMN()-10)/4)</f>
        <v>0.72344000000000008</v>
      </c>
      <c r="CM68" s="3064"/>
      <c r="CN68" s="3067" t="s">
        <v>757</v>
      </c>
      <c r="CO68" s="3064" t="e">
        <f ca="1">+CP68/CP67*100</f>
        <v>#VALUE!</v>
      </c>
      <c r="CP68" s="1575">
        <f ca="1">OFFSET('VVP2'!$G$28,0,(COLUMN()-10)/4)</f>
        <v>0.73787000000000003</v>
      </c>
      <c r="CQ68" s="3064"/>
      <c r="CR68" s="3067" t="s">
        <v>757</v>
      </c>
      <c r="CS68" s="3064" t="e">
        <f ca="1">+CT68/CT67*100</f>
        <v>#VALUE!</v>
      </c>
      <c r="CT68" s="1575">
        <f ca="1">OFFSET('VVP2'!$G$28,0,(COLUMN()-10)/4)</f>
        <v>0.85201000000000005</v>
      </c>
      <c r="CU68" s="3064"/>
      <c r="CV68" s="3067" t="s">
        <v>757</v>
      </c>
      <c r="CW68" s="3064" t="e">
        <f ca="1">+CX68/CX67*100</f>
        <v>#VALUE!</v>
      </c>
      <c r="CX68" s="1575">
        <f ca="1">OFFSET('VVP2'!$G$28,0,(COLUMN()-10)/4)</f>
        <v>0.90483462000000014</v>
      </c>
      <c r="CY68" s="3064"/>
      <c r="CZ68" s="3067" t="s">
        <v>757</v>
      </c>
      <c r="DA68" s="3064" t="e">
        <f ca="1">+DB68/DB67*100</f>
        <v>#VALUE!</v>
      </c>
      <c r="DB68" s="1575">
        <f ca="1">OFFSET('VVP2'!$G$28,0,(COLUMN()-10)/4)</f>
        <v>0.94555217790000012</v>
      </c>
      <c r="DC68"/>
      <c r="DD68"/>
      <c r="DE68"/>
      <c r="DF68"/>
      <c r="DG68"/>
      <c r="DH68"/>
      <c r="DI68"/>
      <c r="DJ68"/>
      <c r="DK68"/>
      <c r="DL68"/>
      <c r="DM68"/>
      <c r="DN68"/>
      <c r="DO68"/>
    </row>
    <row r="69" spans="1:119" s="699" customFormat="1" ht="12.75" customHeight="1">
      <c r="A69" s="664"/>
      <c r="C69" s="3070" t="s">
        <v>1767</v>
      </c>
      <c r="D69" s="674"/>
      <c r="E69" s="3629" t="s">
        <v>616</v>
      </c>
      <c r="F69" s="3630"/>
      <c r="G69" s="706" t="e">
        <f t="shared" ref="G69:AL69" si="174">G70-G60-G63-G66</f>
        <v>#VALUE!</v>
      </c>
      <c r="H69" s="706" t="e">
        <f t="shared" si="174"/>
        <v>#VALUE!</v>
      </c>
      <c r="I69" s="706" t="e">
        <f t="shared" si="174"/>
        <v>#VALUE!</v>
      </c>
      <c r="J69" s="706" t="e">
        <f t="shared" si="174"/>
        <v>#VALUE!</v>
      </c>
      <c r="K69" s="706" t="e">
        <f t="shared" si="174"/>
        <v>#VALUE!</v>
      </c>
      <c r="L69" s="706" t="e">
        <f t="shared" si="174"/>
        <v>#VALUE!</v>
      </c>
      <c r="M69" s="706" t="e">
        <f t="shared" si="174"/>
        <v>#VALUE!</v>
      </c>
      <c r="N69" s="706" t="e">
        <f t="shared" si="174"/>
        <v>#VALUE!</v>
      </c>
      <c r="O69" s="706" t="e">
        <f t="shared" si="174"/>
        <v>#VALUE!</v>
      </c>
      <c r="P69" s="706" t="e">
        <f t="shared" si="174"/>
        <v>#VALUE!</v>
      </c>
      <c r="Q69" s="706" t="e">
        <f t="shared" si="174"/>
        <v>#VALUE!</v>
      </c>
      <c r="R69" s="706" t="e">
        <f t="shared" si="174"/>
        <v>#VALUE!</v>
      </c>
      <c r="S69" s="706" t="e">
        <f t="shared" si="174"/>
        <v>#VALUE!</v>
      </c>
      <c r="T69" s="706" t="e">
        <f t="shared" si="174"/>
        <v>#VALUE!</v>
      </c>
      <c r="U69" s="706" t="e">
        <f t="shared" si="174"/>
        <v>#VALUE!</v>
      </c>
      <c r="V69" s="706" t="e">
        <f t="shared" si="174"/>
        <v>#VALUE!</v>
      </c>
      <c r="W69" s="706" t="e">
        <f t="shared" si="174"/>
        <v>#VALUE!</v>
      </c>
      <c r="X69" s="706" t="e">
        <f t="shared" si="174"/>
        <v>#VALUE!</v>
      </c>
      <c r="Y69" s="706" t="e">
        <f t="shared" si="174"/>
        <v>#VALUE!</v>
      </c>
      <c r="Z69" s="706" t="e">
        <f t="shared" si="174"/>
        <v>#VALUE!</v>
      </c>
      <c r="AA69" s="706" t="e">
        <f t="shared" si="174"/>
        <v>#VALUE!</v>
      </c>
      <c r="AB69" s="706" t="e">
        <f t="shared" si="174"/>
        <v>#VALUE!</v>
      </c>
      <c r="AC69" s="706" t="e">
        <f t="shared" si="174"/>
        <v>#VALUE!</v>
      </c>
      <c r="AD69" s="706" t="e">
        <f t="shared" si="174"/>
        <v>#VALUE!</v>
      </c>
      <c r="AE69" s="706" t="e">
        <f t="shared" si="174"/>
        <v>#VALUE!</v>
      </c>
      <c r="AF69" s="706" t="e">
        <f t="shared" si="174"/>
        <v>#VALUE!</v>
      </c>
      <c r="AG69" s="706" t="e">
        <f t="shared" si="174"/>
        <v>#VALUE!</v>
      </c>
      <c r="AH69" s="706" t="e">
        <f t="shared" si="174"/>
        <v>#VALUE!</v>
      </c>
      <c r="AI69" s="706" t="e">
        <f t="shared" si="174"/>
        <v>#VALUE!</v>
      </c>
      <c r="AJ69" s="706" t="e">
        <f t="shared" si="174"/>
        <v>#VALUE!</v>
      </c>
      <c r="AK69" s="706" t="e">
        <f t="shared" si="174"/>
        <v>#VALUE!</v>
      </c>
      <c r="AL69" s="706" t="e">
        <f t="shared" si="174"/>
        <v>#VALUE!</v>
      </c>
      <c r="AM69" s="706" t="e">
        <f t="shared" ref="AM69:BN69" si="175">AM70-AM60-AM63-AM66</f>
        <v>#VALUE!</v>
      </c>
      <c r="AN69" s="706" t="e">
        <f t="shared" si="175"/>
        <v>#VALUE!</v>
      </c>
      <c r="AO69" s="706" t="e">
        <f t="shared" si="175"/>
        <v>#VALUE!</v>
      </c>
      <c r="AP69" s="706" t="e">
        <f t="shared" si="175"/>
        <v>#VALUE!</v>
      </c>
      <c r="AQ69" s="706" t="e">
        <f t="shared" si="175"/>
        <v>#VALUE!</v>
      </c>
      <c r="AR69" s="706" t="e">
        <f t="shared" si="175"/>
        <v>#VALUE!</v>
      </c>
      <c r="AS69" s="706" t="e">
        <f t="shared" si="175"/>
        <v>#VALUE!</v>
      </c>
      <c r="AT69" s="706" t="e">
        <f t="shared" si="175"/>
        <v>#VALUE!</v>
      </c>
      <c r="AU69" s="706" t="e">
        <f t="shared" si="175"/>
        <v>#VALUE!</v>
      </c>
      <c r="AV69" s="706" t="e">
        <f t="shared" si="175"/>
        <v>#VALUE!</v>
      </c>
      <c r="AW69" s="706" t="e">
        <f t="shared" si="175"/>
        <v>#VALUE!</v>
      </c>
      <c r="AX69" s="706" t="e">
        <f t="shared" si="175"/>
        <v>#VALUE!</v>
      </c>
      <c r="AY69" s="706" t="e">
        <f t="shared" si="175"/>
        <v>#VALUE!</v>
      </c>
      <c r="AZ69" s="706" t="e">
        <f t="shared" si="175"/>
        <v>#VALUE!</v>
      </c>
      <c r="BA69" s="706" t="e">
        <f t="shared" si="175"/>
        <v>#VALUE!</v>
      </c>
      <c r="BB69" s="706" t="e">
        <f t="shared" si="175"/>
        <v>#VALUE!</v>
      </c>
      <c r="BC69" s="706" t="e">
        <f t="shared" si="175"/>
        <v>#VALUE!</v>
      </c>
      <c r="BD69" s="706" t="e">
        <f t="shared" si="175"/>
        <v>#VALUE!</v>
      </c>
      <c r="BE69" s="706" t="e">
        <f t="shared" si="175"/>
        <v>#VALUE!</v>
      </c>
      <c r="BF69" s="706" t="e">
        <f t="shared" si="175"/>
        <v>#VALUE!</v>
      </c>
      <c r="BG69" s="706" t="e">
        <f t="shared" si="175"/>
        <v>#VALUE!</v>
      </c>
      <c r="BH69" s="706" t="e">
        <f t="shared" si="175"/>
        <v>#VALUE!</v>
      </c>
      <c r="BI69" s="706" t="e">
        <f t="shared" si="175"/>
        <v>#VALUE!</v>
      </c>
      <c r="BJ69" s="706" t="e">
        <f t="shared" si="175"/>
        <v>#VALUE!</v>
      </c>
      <c r="BK69" s="706" t="e">
        <f t="shared" si="175"/>
        <v>#VALUE!</v>
      </c>
      <c r="BL69" s="706" t="e">
        <f t="shared" si="175"/>
        <v>#VALUE!</v>
      </c>
      <c r="BM69" s="706" t="e">
        <f t="shared" si="175"/>
        <v>#VALUE!</v>
      </c>
      <c r="BN69" s="706" t="e">
        <f t="shared" si="175"/>
        <v>#VALUE!</v>
      </c>
      <c r="BO69" s="706" t="e">
        <f t="shared" ref="BO69:BV69" si="176">BO70-BO60-BO63-BO66</f>
        <v>#VALUE!</v>
      </c>
      <c r="BP69" s="706" t="e">
        <f t="shared" si="176"/>
        <v>#VALUE!</v>
      </c>
      <c r="BQ69" s="706" t="e">
        <f t="shared" si="176"/>
        <v>#VALUE!</v>
      </c>
      <c r="BR69" s="706" t="e">
        <f t="shared" si="176"/>
        <v>#VALUE!</v>
      </c>
      <c r="BS69" s="706" t="e">
        <f t="shared" si="176"/>
        <v>#VALUE!</v>
      </c>
      <c r="BT69" s="706" t="e">
        <f t="shared" si="176"/>
        <v>#VALUE!</v>
      </c>
      <c r="BU69" s="706" t="e">
        <f t="shared" si="176"/>
        <v>#VALUE!</v>
      </c>
      <c r="BV69" s="706" t="e">
        <f t="shared" si="176"/>
        <v>#VALUE!</v>
      </c>
      <c r="BW69" s="706" t="e">
        <f t="shared" ref="BW69:CD69" si="177">BW70-BW60-BW63-BW66</f>
        <v>#VALUE!</v>
      </c>
      <c r="BX69" s="706" t="e">
        <f t="shared" si="177"/>
        <v>#VALUE!</v>
      </c>
      <c r="BY69" s="706" t="e">
        <f t="shared" si="177"/>
        <v>#VALUE!</v>
      </c>
      <c r="BZ69" s="706" t="e">
        <f t="shared" si="177"/>
        <v>#VALUE!</v>
      </c>
      <c r="CA69" s="706" t="e">
        <f t="shared" si="177"/>
        <v>#VALUE!</v>
      </c>
      <c r="CB69" s="706" t="e">
        <f t="shared" si="177"/>
        <v>#VALUE!</v>
      </c>
      <c r="CC69" s="706" t="e">
        <f t="shared" si="177"/>
        <v>#VALUE!</v>
      </c>
      <c r="CD69" s="706" t="e">
        <f t="shared" si="177"/>
        <v>#VALUE!</v>
      </c>
      <c r="CE69" s="706" t="e">
        <f t="shared" ref="CE69:CL69" si="178">CE70-CE60-CE63-CE66</f>
        <v>#VALUE!</v>
      </c>
      <c r="CF69" s="706" t="e">
        <f t="shared" si="178"/>
        <v>#VALUE!</v>
      </c>
      <c r="CG69" s="706" t="e">
        <f t="shared" si="178"/>
        <v>#VALUE!</v>
      </c>
      <c r="CH69" s="706" t="e">
        <f t="shared" si="178"/>
        <v>#VALUE!</v>
      </c>
      <c r="CI69" s="706" t="e">
        <f t="shared" si="178"/>
        <v>#VALUE!</v>
      </c>
      <c r="CJ69" s="706" t="e">
        <f t="shared" si="178"/>
        <v>#VALUE!</v>
      </c>
      <c r="CK69" s="706" t="e">
        <f t="shared" si="178"/>
        <v>#VALUE!</v>
      </c>
      <c r="CL69" s="706" t="e">
        <f t="shared" si="178"/>
        <v>#VALUE!</v>
      </c>
      <c r="CM69" s="706" t="e">
        <f t="shared" ref="CM69:CT69" si="179">CM70-CM60-CM63-CM66</f>
        <v>#VALUE!</v>
      </c>
      <c r="CN69" s="706" t="e">
        <f t="shared" si="179"/>
        <v>#VALUE!</v>
      </c>
      <c r="CO69" s="706" t="e">
        <f t="shared" si="179"/>
        <v>#VALUE!</v>
      </c>
      <c r="CP69" s="706" t="e">
        <f t="shared" si="179"/>
        <v>#VALUE!</v>
      </c>
      <c r="CQ69" s="706" t="e">
        <f t="shared" si="179"/>
        <v>#VALUE!</v>
      </c>
      <c r="CR69" s="706" t="e">
        <f t="shared" si="179"/>
        <v>#VALUE!</v>
      </c>
      <c r="CS69" s="706" t="e">
        <f t="shared" si="179"/>
        <v>#VALUE!</v>
      </c>
      <c r="CT69" s="706" t="e">
        <f t="shared" si="179"/>
        <v>#VALUE!</v>
      </c>
      <c r="CU69" s="706" t="e">
        <f t="shared" ref="CU69:DB69" si="180">CU70-CU60-CU63-CU66</f>
        <v>#VALUE!</v>
      </c>
      <c r="CV69" s="706" t="e">
        <f t="shared" si="180"/>
        <v>#VALUE!</v>
      </c>
      <c r="CW69" s="706" t="e">
        <f t="shared" si="180"/>
        <v>#VALUE!</v>
      </c>
      <c r="CX69" s="706" t="e">
        <f t="shared" si="180"/>
        <v>#VALUE!</v>
      </c>
      <c r="CY69" s="706" t="e">
        <f t="shared" si="180"/>
        <v>#VALUE!</v>
      </c>
      <c r="CZ69" s="706" t="e">
        <f t="shared" si="180"/>
        <v>#VALUE!</v>
      </c>
      <c r="DA69" s="706" t="e">
        <f t="shared" si="180"/>
        <v>#VALUE!</v>
      </c>
      <c r="DB69" s="706" t="e">
        <f t="shared" si="180"/>
        <v>#VALUE!</v>
      </c>
      <c r="DC69"/>
      <c r="DD69"/>
      <c r="DE69"/>
      <c r="DF69"/>
      <c r="DG69"/>
      <c r="DH69"/>
      <c r="DI69"/>
      <c r="DJ69"/>
      <c r="DK69"/>
      <c r="DL69"/>
      <c r="DM69"/>
      <c r="DN69"/>
      <c r="DO69"/>
    </row>
    <row r="70" spans="1:119" s="699" customFormat="1" ht="12.75" customHeight="1">
      <c r="A70" s="664" t="str">
        <f>"Q" &amp; ROW(InputQ!A7)</f>
        <v>Q7</v>
      </c>
      <c r="B70" s="1953" t="s">
        <v>1940</v>
      </c>
      <c r="C70" s="3071"/>
      <c r="D70" s="746"/>
      <c r="E70" s="3615" t="s">
        <v>1067</v>
      </c>
      <c r="F70" s="3633"/>
      <c r="G70" s="799">
        <f>InputQ!G7/1000</f>
        <v>0.39301436515291938</v>
      </c>
      <c r="H70" s="799">
        <f>InputQ!H7/1000</f>
        <v>0.41267956441149217</v>
      </c>
      <c r="I70" s="799">
        <f>InputQ!I7/1000</f>
        <v>0.41540199258572758</v>
      </c>
      <c r="J70" s="799">
        <f>InputQ!J7/1000</f>
        <v>0.4492875347544022</v>
      </c>
      <c r="K70" s="799">
        <f>InputQ!K7/1000</f>
        <v>0.46877896200185359</v>
      </c>
      <c r="L70" s="799">
        <f>InputQ!L7/1000</f>
        <v>0.48473702502316962</v>
      </c>
      <c r="M70" s="799">
        <f>InputQ!M7/1000</f>
        <v>0.50005792400370708</v>
      </c>
      <c r="N70" s="799">
        <f>InputQ!N7/1000</f>
        <v>0.54686051899907329</v>
      </c>
      <c r="O70" s="799">
        <f>InputQ!O7/1000</f>
        <v>0.58375810936051908</v>
      </c>
      <c r="P70" s="799">
        <f>InputQ!P7/1000</f>
        <v>0.59829703429101033</v>
      </c>
      <c r="Q70" s="799">
        <f>InputQ!Q7/1000</f>
        <v>0.64622914735866555</v>
      </c>
      <c r="R70" s="799">
        <f>InputQ!R7/1000</f>
        <v>0.67750810936051908</v>
      </c>
      <c r="S70" s="799">
        <f>InputQ!S7/1000</f>
        <v>0.73192771084337349</v>
      </c>
      <c r="T70" s="799">
        <f>InputQ!T7/1000</f>
        <v>0.77386468952734011</v>
      </c>
      <c r="U70" s="799">
        <f>InputQ!U7/1000</f>
        <v>0.79292168674698804</v>
      </c>
      <c r="V70" s="799">
        <f>InputQ!V7/1000</f>
        <v>0.75136121408711776</v>
      </c>
      <c r="W70" s="799">
        <f>InputQ!W7/1000</f>
        <v>0.73809661723818354</v>
      </c>
      <c r="X70" s="799">
        <f>InputQ!X7/1000</f>
        <v>0.76010773864689529</v>
      </c>
      <c r="Y70" s="799">
        <f>InputQ!Y7/1000</f>
        <v>0.69413229842446711</v>
      </c>
      <c r="Z70" s="799">
        <f>InputQ!Z7/1000</f>
        <v>0.66030468025949962</v>
      </c>
      <c r="AA70" s="799">
        <f>InputQ!AA7/1000</f>
        <v>0.64596848934198337</v>
      </c>
      <c r="AB70" s="799">
        <f>InputQ!AB7/1000</f>
        <v>0.63974165894346613</v>
      </c>
      <c r="AC70" s="799">
        <f>InputQ!AC7/1000</f>
        <v>0.66149212233549592</v>
      </c>
      <c r="AD70" s="799">
        <f>InputQ!AD7/1000</f>
        <v>0.68341635773864684</v>
      </c>
      <c r="AE70" s="799">
        <f>InputQ!AE7/1000</f>
        <v>0.71350787766450408</v>
      </c>
      <c r="AF70" s="799">
        <f>InputQ!AF7/1000</f>
        <v>0.69500115848007404</v>
      </c>
      <c r="AG70" s="799">
        <f>InputQ!AG7/1000</f>
        <v>0.71481116774791476</v>
      </c>
      <c r="AH70" s="799">
        <f>InputQ!AH7/1000</f>
        <v>0.86570319740500468</v>
      </c>
      <c r="AI70" s="799">
        <f>InputQ!AI7/1000</f>
        <v>0.81360055607043558</v>
      </c>
      <c r="AJ70" s="799">
        <f>InputQ!AJ7/1000</f>
        <v>0.80123378127896205</v>
      </c>
      <c r="AK70" s="799">
        <f>InputQ!AK7/1000</f>
        <v>0.81371640407784995</v>
      </c>
      <c r="AL70" s="799">
        <f>InputQ!AL7/1000</f>
        <v>0.87198795180722899</v>
      </c>
      <c r="AM70" s="799">
        <f>InputQ!AM7/1000</f>
        <v>0.8681649675625579</v>
      </c>
      <c r="AN70" s="799">
        <f>InputQ!AN7/1000</f>
        <v>0.9241774791473587</v>
      </c>
      <c r="AO70" s="799">
        <f>InputQ!AO7/1000</f>
        <v>0.95061978683966641</v>
      </c>
      <c r="AP70" s="799">
        <f>InputQ!AP7/1000</f>
        <v>0.97610634847080646</v>
      </c>
      <c r="AQ70" s="799">
        <f>InputQ!AQ7/1000</f>
        <v>1.017840593141798</v>
      </c>
      <c r="AR70" s="799">
        <f>InputQ!AR7/1000</f>
        <v>1.0666126042632067</v>
      </c>
      <c r="AS70" s="799">
        <f>InputQ!AS7/1000</f>
        <v>1.0852641334569046</v>
      </c>
      <c r="AT70" s="799">
        <f>InputQ!AT7/1000</f>
        <v>1.0867991195551439</v>
      </c>
      <c r="AU70" s="799">
        <f>InputQ!AU7/1000</f>
        <v>1.28</v>
      </c>
      <c r="AV70" s="799">
        <f>InputQ!AV7/1000</f>
        <v>1.2899</v>
      </c>
      <c r="AW70" s="799">
        <f>InputQ!AW7/1000</f>
        <v>1.4085000000000001</v>
      </c>
      <c r="AX70" s="799">
        <f>InputQ!AX7/1000</f>
        <v>1.4517</v>
      </c>
      <c r="AY70" s="799">
        <f>InputQ!AY7/1000</f>
        <v>1.4781</v>
      </c>
      <c r="AZ70" s="799">
        <f>InputQ!AZ7/1000</f>
        <v>1.5637000000000001</v>
      </c>
      <c r="BA70" s="799">
        <f>InputQ!BA7/1000</f>
        <v>1.6442000000000001</v>
      </c>
      <c r="BB70" s="799">
        <f>InputQ!BB7/1000</f>
        <v>1.8074000000000001</v>
      </c>
      <c r="BC70" s="799">
        <f>InputQ!BC7/1000</f>
        <v>1.8799000000000001</v>
      </c>
      <c r="BD70" s="799">
        <f>InputQ!BD7/1000</f>
        <v>2.0070999999999999</v>
      </c>
      <c r="BE70" s="799">
        <f>InputQ!BE7/1000</f>
        <v>2.0089999999999999</v>
      </c>
      <c r="BF70" s="799">
        <f>InputQ!BF7/1000</f>
        <v>2.0472000000000001</v>
      </c>
      <c r="BG70" s="799">
        <f>InputQ!BG7/1000</f>
        <v>2.0287000000000002</v>
      </c>
      <c r="BH70" s="799">
        <f>InputQ!BH7/1000</f>
        <v>2.012</v>
      </c>
      <c r="BI70" s="799">
        <f>InputQ!BI7/1000</f>
        <v>1.8860999999999999</v>
      </c>
      <c r="BJ70" s="799">
        <f>InputQ!BJ7/1000</f>
        <v>1.7222999999999999</v>
      </c>
      <c r="BK70" s="3065">
        <f t="shared" ref="BK70:BZ70" si="181">+BJ70*(1+BK86/100)</f>
        <v>1.3425</v>
      </c>
      <c r="BL70" s="3065">
        <f t="shared" si="181"/>
        <v>1.1689000000000001</v>
      </c>
      <c r="BM70" s="3065">
        <f t="shared" si="181"/>
        <v>1.0634000000000001</v>
      </c>
      <c r="BN70" s="3065">
        <f t="shared" si="181"/>
        <v>1.0734999999999999</v>
      </c>
      <c r="BO70" s="3065">
        <f t="shared" si="181"/>
        <v>1.0432999999999999</v>
      </c>
      <c r="BP70" s="3065">
        <f t="shared" si="181"/>
        <v>1.1151</v>
      </c>
      <c r="BQ70" s="3065">
        <f t="shared" si="181"/>
        <v>1.2498999999999998</v>
      </c>
      <c r="BR70" s="3065">
        <f t="shared" si="181"/>
        <v>1.2954999999999999</v>
      </c>
      <c r="BS70" s="3065">
        <f>+BR70*(1+BS86/100)</f>
        <v>1.3806999999999998</v>
      </c>
      <c r="BT70" s="3065">
        <f>+BS70*(1+BT86/100)</f>
        <v>1.4029999999999998</v>
      </c>
      <c r="BU70" s="3065">
        <f>+BT70*(1+BU86/100)</f>
        <v>1.4439</v>
      </c>
      <c r="BV70" s="3065">
        <f>+BU70*(1+BV86/100)</f>
        <v>1.4516999999999998</v>
      </c>
      <c r="BW70" s="3065">
        <f t="shared" si="181"/>
        <v>1.4303999999999999</v>
      </c>
      <c r="BX70" s="3065">
        <f t="shared" si="181"/>
        <v>1.3803999999999998</v>
      </c>
      <c r="BY70" s="3065">
        <f t="shared" si="181"/>
        <v>1.3981999999999999</v>
      </c>
      <c r="BZ70" s="3065">
        <f t="shared" si="181"/>
        <v>1.3780999999999997</v>
      </c>
      <c r="CA70" s="3065">
        <f t="shared" ref="CA70:CH70" si="182">+BZ70*(1+CA86/100)</f>
        <v>1.4340999999999997</v>
      </c>
      <c r="CB70" s="3065">
        <f t="shared" si="182"/>
        <v>1.4782999999999997</v>
      </c>
      <c r="CC70" s="3065">
        <f t="shared" si="182"/>
        <v>1.5640999999999996</v>
      </c>
      <c r="CD70" s="3065">
        <f t="shared" si="182"/>
        <v>1.5646</v>
      </c>
      <c r="CE70" s="3065">
        <f t="shared" si="182"/>
        <v>1.5847000000000002</v>
      </c>
      <c r="CF70" s="3065">
        <f t="shared" si="182"/>
        <v>1.5859000000000005</v>
      </c>
      <c r="CG70" s="3065">
        <f t="shared" si="182"/>
        <v>1.5953000000000002</v>
      </c>
      <c r="CH70" s="3065">
        <f t="shared" si="182"/>
        <v>1.6097000000000006</v>
      </c>
      <c r="CI70" s="3065">
        <f t="shared" ref="CI70:CP70" si="183">+CH70*(1+CI86/100)</f>
        <v>1.6925000000000001</v>
      </c>
      <c r="CJ70" s="3065">
        <f t="shared" si="183"/>
        <v>1.7261000000000002</v>
      </c>
      <c r="CK70" s="3065">
        <f t="shared" si="183"/>
        <v>1.6802000000000004</v>
      </c>
      <c r="CL70" s="3065">
        <f t="shared" si="183"/>
        <v>1.5977000000000003</v>
      </c>
      <c r="CM70" s="3065">
        <f t="shared" si="183"/>
        <v>1.6605000000000003</v>
      </c>
      <c r="CN70" s="3065">
        <f t="shared" si="183"/>
        <v>1.6853</v>
      </c>
      <c r="CO70" s="3065">
        <f t="shared" si="183"/>
        <v>1.6259999999999999</v>
      </c>
      <c r="CP70" s="3065">
        <f t="shared" si="183"/>
        <v>1.7169999999999999</v>
      </c>
      <c r="CQ70" s="3065">
        <f t="shared" ref="CQ70:CX70" si="184">+CP70*(1+CQ86/100)</f>
        <v>1.7052999999999998</v>
      </c>
      <c r="CR70" s="3065">
        <f t="shared" si="184"/>
        <v>1.7519999999999998</v>
      </c>
      <c r="CS70" s="3065">
        <f>+CR70*(1+CS86/100)</f>
        <v>1.7739999999999998</v>
      </c>
      <c r="CT70" s="3065">
        <f t="shared" si="184"/>
        <v>1.9079000000000002</v>
      </c>
      <c r="CU70" s="3065">
        <f t="shared" si="184"/>
        <v>1.8792815</v>
      </c>
      <c r="CV70" s="3065">
        <f t="shared" si="184"/>
        <v>1.894315752</v>
      </c>
      <c r="CW70" s="3065">
        <f t="shared" si="184"/>
        <v>1.9132589095200001</v>
      </c>
      <c r="CX70" s="3065">
        <f t="shared" si="184"/>
        <v>1.9352613869794801</v>
      </c>
      <c r="CY70" s="3065">
        <f t="shared" ref="CY70" si="185">+CX70*(1+CY86/100)</f>
        <v>1.9551945792653687</v>
      </c>
      <c r="CZ70" s="3065">
        <f t="shared" ref="CZ70" si="186">+CY70*(1+CZ86/100)</f>
        <v>1.9747465250580223</v>
      </c>
      <c r="DA70" s="3065">
        <f t="shared" ref="DA70" si="187">+CZ70*(1+DA86/100)</f>
        <v>1.9944939903086025</v>
      </c>
      <c r="DB70" s="3065">
        <f t="shared" ref="DB70" si="188">+DA70*(1+DB86/100)</f>
        <v>2.0144389302116887</v>
      </c>
      <c r="DC70"/>
      <c r="DD70"/>
      <c r="DE70"/>
      <c r="DF70"/>
      <c r="DG70"/>
      <c r="DH70"/>
      <c r="DI70"/>
      <c r="DJ70"/>
      <c r="DK70"/>
      <c r="DL70"/>
      <c r="DM70"/>
      <c r="DN70"/>
      <c r="DO70"/>
    </row>
    <row r="71" spans="1:119" s="699" customFormat="1" ht="12.75" customHeight="1">
      <c r="A71" s="664" t="str">
        <f>"Q" &amp; ROW(InputQ!A7)</f>
        <v>Q7</v>
      </c>
      <c r="C71" s="667"/>
      <c r="D71" s="668"/>
      <c r="E71" s="3620" t="s">
        <v>1067</v>
      </c>
      <c r="F71" s="3620"/>
      <c r="G71" s="780">
        <f>InputQ!G7/1000</f>
        <v>0.39301436515291938</v>
      </c>
      <c r="H71" s="780">
        <f>InputQ!H7/1000</f>
        <v>0.41267956441149217</v>
      </c>
      <c r="I71" s="780">
        <f>InputQ!I7/1000</f>
        <v>0.41540199258572758</v>
      </c>
      <c r="J71" s="780">
        <f>InputQ!J7/1000</f>
        <v>0.4492875347544022</v>
      </c>
      <c r="K71" s="780">
        <f>InputQ!K7/1000</f>
        <v>0.46877896200185359</v>
      </c>
      <c r="L71" s="780">
        <f>InputQ!L7/1000</f>
        <v>0.48473702502316962</v>
      </c>
      <c r="M71" s="780">
        <f>InputQ!M7/1000</f>
        <v>0.50005792400370708</v>
      </c>
      <c r="N71" s="780">
        <f>InputQ!N7/1000</f>
        <v>0.54686051899907329</v>
      </c>
      <c r="O71" s="780">
        <f>InputQ!O7/1000</f>
        <v>0.58375810936051908</v>
      </c>
      <c r="P71" s="780">
        <f>InputQ!P7/1000</f>
        <v>0.59829703429101033</v>
      </c>
      <c r="Q71" s="780">
        <f>InputQ!Q7/1000</f>
        <v>0.64622914735866555</v>
      </c>
      <c r="R71" s="780">
        <f>InputQ!R7/1000</f>
        <v>0.67750810936051908</v>
      </c>
      <c r="S71" s="780">
        <f>InputQ!S7/1000</f>
        <v>0.73192771084337349</v>
      </c>
      <c r="T71" s="780">
        <f>InputQ!T7/1000</f>
        <v>0.77386468952734011</v>
      </c>
      <c r="U71" s="780">
        <f>InputQ!U7/1000</f>
        <v>0.79292168674698804</v>
      </c>
      <c r="V71" s="780">
        <f>InputQ!V7/1000</f>
        <v>0.75136121408711776</v>
      </c>
      <c r="W71" s="780">
        <f>InputQ!W7/1000</f>
        <v>0.73809661723818354</v>
      </c>
      <c r="X71" s="780">
        <f>InputQ!X7/1000</f>
        <v>0.76010773864689529</v>
      </c>
      <c r="Y71" s="780">
        <f>InputQ!Y7/1000</f>
        <v>0.69413229842446711</v>
      </c>
      <c r="Z71" s="780">
        <f>InputQ!Z7/1000</f>
        <v>0.66030468025949962</v>
      </c>
      <c r="AA71" s="780">
        <f>InputQ!AA7/1000</f>
        <v>0.64596848934198337</v>
      </c>
      <c r="AB71" s="780">
        <f>InputQ!AB7/1000</f>
        <v>0.63974165894346613</v>
      </c>
      <c r="AC71" s="780">
        <f>InputQ!AC7/1000</f>
        <v>0.66149212233549592</v>
      </c>
      <c r="AD71" s="780">
        <f>InputQ!AD7/1000</f>
        <v>0.68341635773864684</v>
      </c>
      <c r="AE71" s="780">
        <f>InputQ!AE7/1000</f>
        <v>0.71350787766450408</v>
      </c>
      <c r="AF71" s="780">
        <f>InputQ!AF7/1000</f>
        <v>0.69500115848007404</v>
      </c>
      <c r="AG71" s="780">
        <f>InputQ!AG7/1000</f>
        <v>0.71481116774791476</v>
      </c>
      <c r="AH71" s="780">
        <f>InputQ!AH7/1000</f>
        <v>0.86570319740500468</v>
      </c>
      <c r="AI71" s="780">
        <f>InputQ!AI7/1000</f>
        <v>0.81360055607043558</v>
      </c>
      <c r="AJ71" s="780">
        <f>InputQ!AJ7/1000</f>
        <v>0.80123378127896205</v>
      </c>
      <c r="AK71" s="780">
        <f>InputQ!AK7/1000</f>
        <v>0.81371640407784995</v>
      </c>
      <c r="AL71" s="780">
        <f>InputQ!AL7/1000</f>
        <v>0.87198795180722899</v>
      </c>
      <c r="AM71" s="780">
        <f>InputQ!AM7/1000</f>
        <v>0.8681649675625579</v>
      </c>
      <c r="AN71" s="780">
        <f>InputQ!AN7/1000</f>
        <v>0.9241774791473587</v>
      </c>
      <c r="AO71" s="780">
        <f>InputQ!AO7/1000</f>
        <v>0.95061978683966641</v>
      </c>
      <c r="AP71" s="780">
        <f>InputQ!AP7/1000</f>
        <v>0.97610634847080646</v>
      </c>
      <c r="AQ71" s="780">
        <f>InputQ!AQ7/1000</f>
        <v>1.017840593141798</v>
      </c>
      <c r="AR71" s="780">
        <f>InputQ!AR7/1000</f>
        <v>1.0666126042632067</v>
      </c>
      <c r="AS71" s="780">
        <f>InputQ!AS7/1000</f>
        <v>1.0852641334569046</v>
      </c>
      <c r="AT71" s="780">
        <f>InputQ!AT7/1000</f>
        <v>1.0867991195551439</v>
      </c>
      <c r="AU71" s="780">
        <f>InputQ!AU7/1000</f>
        <v>1.28</v>
      </c>
      <c r="AV71" s="780">
        <f>InputQ!AV7/1000</f>
        <v>1.2899</v>
      </c>
      <c r="AW71" s="780">
        <f>InputQ!AW7/1000</f>
        <v>1.4085000000000001</v>
      </c>
      <c r="AX71" s="780">
        <f>InputQ!AX7/1000</f>
        <v>1.4517</v>
      </c>
      <c r="AY71" s="780">
        <f>InputQ!AY7/1000</f>
        <v>1.4781</v>
      </c>
      <c r="AZ71" s="780">
        <f>InputQ!AZ7/1000</f>
        <v>1.5637000000000001</v>
      </c>
      <c r="BA71" s="780">
        <f>InputQ!BA7/1000</f>
        <v>1.6442000000000001</v>
      </c>
      <c r="BB71" s="780">
        <f>InputQ!BB7/1000</f>
        <v>1.8074000000000001</v>
      </c>
      <c r="BC71" s="780">
        <f>InputQ!BC7/1000</f>
        <v>1.8799000000000001</v>
      </c>
      <c r="BD71" s="780">
        <f>InputQ!BD7/1000</f>
        <v>2.0070999999999999</v>
      </c>
      <c r="BE71" s="780">
        <f>InputQ!BE7/1000</f>
        <v>2.0089999999999999</v>
      </c>
      <c r="BF71" s="780">
        <f>InputQ!BF7/1000</f>
        <v>2.0472000000000001</v>
      </c>
      <c r="BG71" s="780">
        <f>InputQ!BG7/1000</f>
        <v>2.0287000000000002</v>
      </c>
      <c r="BH71" s="780">
        <f>InputQ!BH7/1000</f>
        <v>2.012</v>
      </c>
      <c r="BI71" s="780">
        <f>InputQ!BI7/1000</f>
        <v>1.8860999999999999</v>
      </c>
      <c r="BJ71" s="780">
        <f>InputQ!BJ7/1000</f>
        <v>1.7222999999999999</v>
      </c>
      <c r="BK71" s="780">
        <f>InputQ!BK7/1000</f>
        <v>1.3425</v>
      </c>
      <c r="BL71" s="780">
        <f>InputQ!BL7/1000</f>
        <v>1.1689000000000001</v>
      </c>
      <c r="BM71" s="780">
        <f>InputQ!BM7/1000</f>
        <v>1.0634000000000001</v>
      </c>
      <c r="BN71" s="780">
        <f>InputQ!BN7/1000</f>
        <v>1.0734999999999999</v>
      </c>
      <c r="BO71" s="780">
        <f>InputQ!BO7/1000</f>
        <v>1.0432999999999999</v>
      </c>
      <c r="BP71" s="780">
        <f>InputQ!BP7/1000</f>
        <v>1.1151</v>
      </c>
      <c r="BQ71" s="780">
        <f>InputQ!BQ7/1000</f>
        <v>1.2499</v>
      </c>
      <c r="BR71" s="780">
        <f>InputQ!BR7/1000</f>
        <v>1.2955000000000001</v>
      </c>
      <c r="BS71" s="780">
        <f>InputQ!BS7/1000</f>
        <v>1.3807</v>
      </c>
      <c r="BT71" s="780">
        <f>InputQ!BT7/1000</f>
        <v>1.403</v>
      </c>
      <c r="BU71" s="780">
        <f>InputQ!BU7/1000</f>
        <v>1.4439000000000002</v>
      </c>
      <c r="BV71" s="780">
        <f>InputQ!BV7/1000</f>
        <v>1.4517</v>
      </c>
      <c r="BW71" s="780">
        <f>InputQ!BW7/1000</f>
        <v>1.4304000000000001</v>
      </c>
      <c r="BX71" s="780">
        <f>InputQ!BX7/1000</f>
        <v>1.3804000000000001</v>
      </c>
      <c r="BY71" s="780">
        <f>InputQ!BY7/1000</f>
        <v>1.3982000000000001</v>
      </c>
      <c r="BZ71" s="780">
        <f>InputQ!BZ7/1000</f>
        <v>1.3780999999999999</v>
      </c>
      <c r="CA71" s="780">
        <f>InputQ!CA7/1000</f>
        <v>1.4340999999999999</v>
      </c>
      <c r="CB71" s="780">
        <f>InputQ!CB7/1000</f>
        <v>1.4782999999999999</v>
      </c>
      <c r="CC71" s="780">
        <f>InputQ!CC7/1000</f>
        <v>1.5640999999999998</v>
      </c>
      <c r="CD71" s="780">
        <f>InputQ!CD7/1000</f>
        <v>1.5646</v>
      </c>
      <c r="CE71" s="780">
        <f>InputQ!CE7/1000</f>
        <v>1.5847</v>
      </c>
      <c r="CF71" s="780">
        <f>InputQ!CF7/1000</f>
        <v>1.5859000000000001</v>
      </c>
      <c r="CG71" s="780">
        <f>InputQ!CG7/1000</f>
        <v>1.5952999999999999</v>
      </c>
      <c r="CH71" s="780">
        <f>InputQ!CH7/1000</f>
        <v>1.6097000000000001</v>
      </c>
      <c r="CI71" s="780">
        <f>InputQ!CI7/1000</f>
        <v>1.6924999999999999</v>
      </c>
      <c r="CJ71" s="780">
        <f>InputQ!CJ7/1000</f>
        <v>1.7261</v>
      </c>
      <c r="CK71" s="780">
        <f>InputQ!CK7/1000</f>
        <v>1.6802000000000001</v>
      </c>
      <c r="CL71" s="780">
        <f>InputQ!CL7/1000</f>
        <v>1.5977000000000001</v>
      </c>
      <c r="CM71" s="780">
        <f>InputQ!CM7/1000</f>
        <v>1.6605000000000001</v>
      </c>
      <c r="CN71" s="780">
        <f>InputQ!CN7/1000</f>
        <v>1.6853</v>
      </c>
      <c r="CO71" s="780">
        <f>InputQ!CO7/1000</f>
        <v>1.6259999999999999</v>
      </c>
      <c r="CP71" s="780">
        <f>InputQ!CP7/1000</f>
        <v>1.7170000000000001</v>
      </c>
      <c r="CQ71" s="780">
        <f>InputQ!CQ7/1000</f>
        <v>1.7053</v>
      </c>
      <c r="CR71" s="780">
        <f>InputQ!CR7/1000</f>
        <v>1.752</v>
      </c>
      <c r="CS71" s="780">
        <f>InputQ!CS7/1000</f>
        <v>1.774</v>
      </c>
      <c r="CT71" s="780">
        <f>InputQ!CT7/1000</f>
        <v>1.9079000000000002</v>
      </c>
      <c r="CU71" s="1591">
        <f>CT71*(1+CU87/100)</f>
        <v>1.8792815</v>
      </c>
      <c r="CV71" s="1591">
        <f t="shared" ref="CV71:CX71" si="189">CU71*(1+CV87/100)</f>
        <v>1.894315752</v>
      </c>
      <c r="CW71" s="1591">
        <f t="shared" si="189"/>
        <v>1.9132589095200001</v>
      </c>
      <c r="CX71" s="1591">
        <f t="shared" si="189"/>
        <v>1.9352613869794801</v>
      </c>
      <c r="CY71" s="1591">
        <f t="shared" ref="CY71" si="190">CX71*(1+CY87/100)</f>
        <v>1.9551945792653687</v>
      </c>
      <c r="CZ71" s="1591">
        <f t="shared" ref="CZ71" si="191">CY71*(1+CZ87/100)</f>
        <v>1.9747465250580223</v>
      </c>
      <c r="DA71" s="1591">
        <f t="shared" ref="DA71" si="192">CZ71*(1+DA87/100)</f>
        <v>1.9944939903086025</v>
      </c>
      <c r="DB71" s="1591">
        <f t="shared" ref="DB71" si="193">DA71*(1+DB87/100)</f>
        <v>2.0144389302116887</v>
      </c>
      <c r="DC71"/>
      <c r="DD71"/>
      <c r="DE71"/>
      <c r="DF71"/>
      <c r="DG71"/>
      <c r="DH71"/>
      <c r="DI71"/>
      <c r="DJ71"/>
      <c r="DK71"/>
      <c r="DL71"/>
      <c r="DM71"/>
      <c r="DN71"/>
      <c r="DO71"/>
    </row>
    <row r="72" spans="1:119" s="26" customFormat="1">
      <c r="A72" s="664"/>
      <c r="B72" s="673"/>
      <c r="C72" s="687"/>
      <c r="D72" s="683"/>
      <c r="E72" s="684" t="s">
        <v>266</v>
      </c>
      <c r="F72" s="685"/>
      <c r="G72" s="1570"/>
      <c r="H72" s="1571"/>
      <c r="I72" s="1571"/>
      <c r="J72" s="1575">
        <f>SUM(G71:J71)</f>
        <v>1.6703834569045415</v>
      </c>
      <c r="K72" s="1570"/>
      <c r="L72" s="1571"/>
      <c r="M72" s="1571"/>
      <c r="N72" s="1575">
        <f>SUM(K71:N71)</f>
        <v>2.0004344300278034</v>
      </c>
      <c r="O72" s="1570"/>
      <c r="P72" s="1571"/>
      <c r="Q72" s="1571"/>
      <c r="R72" s="1575">
        <f>SUM(O71:R71)</f>
        <v>2.5057924003707139</v>
      </c>
      <c r="S72" s="1570"/>
      <c r="T72" s="1571"/>
      <c r="U72" s="1571"/>
      <c r="V72" s="1575">
        <f>SUM(S71:V71)</f>
        <v>3.050075301204819</v>
      </c>
      <c r="W72" s="1570"/>
      <c r="X72" s="1571"/>
      <c r="Y72" s="1571"/>
      <c r="Z72" s="1575">
        <f>SUM(W71:Z71)</f>
        <v>2.8526413345690456</v>
      </c>
      <c r="AA72" s="1570"/>
      <c r="AB72" s="1571"/>
      <c r="AC72" s="1571"/>
      <c r="AD72" s="1575">
        <f>SUM(AA71:AD71)</f>
        <v>2.6306186283595925</v>
      </c>
      <c r="AE72" s="1570"/>
      <c r="AF72" s="1571"/>
      <c r="AG72" s="1571"/>
      <c r="AH72" s="1575">
        <f>SUM(AE71:AH71)</f>
        <v>2.9890234012974974</v>
      </c>
      <c r="AI72" s="1570"/>
      <c r="AJ72" s="1571"/>
      <c r="AK72" s="1571"/>
      <c r="AL72" s="1575">
        <f>SUM(AI71:AL71)</f>
        <v>3.3005386932344765</v>
      </c>
      <c r="AM72" s="1570"/>
      <c r="AN72" s="1571"/>
      <c r="AO72" s="1571"/>
      <c r="AP72" s="1575">
        <f>SUM(AM71:AP71)</f>
        <v>3.7190685820203897</v>
      </c>
      <c r="AQ72" s="1570"/>
      <c r="AR72" s="1571"/>
      <c r="AS72" s="1571"/>
      <c r="AT72" s="1575">
        <f>SUM(AQ71:AT71)</f>
        <v>4.2565164504170534</v>
      </c>
      <c r="AU72" s="1570"/>
      <c r="AV72" s="1571"/>
      <c r="AW72" s="1571"/>
      <c r="AX72" s="1575">
        <f>SUM(AU71:AX71)</f>
        <v>5.4301000000000004</v>
      </c>
      <c r="AY72" s="1570"/>
      <c r="AZ72" s="1571"/>
      <c r="BA72" s="1571"/>
      <c r="BB72" s="1575">
        <f>SUM(AY71:BB71)</f>
        <v>6.4934000000000003</v>
      </c>
      <c r="BC72" s="1570"/>
      <c r="BD72" s="1571"/>
      <c r="BE72" s="1571"/>
      <c r="BF72" s="1575">
        <f>SUM(BC71:BF71)</f>
        <v>7.9432</v>
      </c>
      <c r="BG72" s="1570"/>
      <c r="BH72" s="1571"/>
      <c r="BI72" s="1571"/>
      <c r="BJ72" s="1575">
        <f>SUM(BG71:BJ71)</f>
        <v>7.6490999999999998</v>
      </c>
      <c r="BK72" s="1570"/>
      <c r="BL72" s="1571"/>
      <c r="BM72" s="1571"/>
      <c r="BN72" s="1575">
        <f>SUM(BK71:BN71)</f>
        <v>4.6482999999999999</v>
      </c>
      <c r="BO72" s="1570"/>
      <c r="BP72" s="1571"/>
      <c r="BQ72" s="1571"/>
      <c r="BR72" s="1575">
        <f>SUM(BO71:BR71)</f>
        <v>4.7037999999999993</v>
      </c>
      <c r="BS72" s="1570"/>
      <c r="BT72" s="1571"/>
      <c r="BU72" s="1571"/>
      <c r="BV72" s="1575">
        <f>SUM(BS71:BV71)</f>
        <v>5.6793000000000005</v>
      </c>
      <c r="BW72" s="1570"/>
      <c r="BX72" s="1571"/>
      <c r="BY72" s="1571"/>
      <c r="BZ72" s="1575">
        <f>SUM(BW71:BZ71)</f>
        <v>5.5871000000000004</v>
      </c>
      <c r="CA72" s="1570"/>
      <c r="CB72" s="1571"/>
      <c r="CC72" s="1571"/>
      <c r="CD72" s="1575">
        <f>SUM(CA71:CD71)</f>
        <v>6.0411000000000001</v>
      </c>
      <c r="CE72" s="1570"/>
      <c r="CF72" s="1571"/>
      <c r="CG72" s="1571"/>
      <c r="CH72" s="1575">
        <f>SUM(CE71:CH71)</f>
        <v>6.3756000000000004</v>
      </c>
      <c r="CI72" s="1570"/>
      <c r="CJ72" s="1571"/>
      <c r="CK72" s="1571"/>
      <c r="CL72" s="1575">
        <f>SUM(CI71:CL71)</f>
        <v>6.6965000000000003</v>
      </c>
      <c r="CM72" s="1570"/>
      <c r="CN72" s="1571"/>
      <c r="CO72" s="1571"/>
      <c r="CP72" s="1575">
        <f>SUM(CM71:CP71)</f>
        <v>6.6888000000000005</v>
      </c>
      <c r="CQ72" s="1570"/>
      <c r="CR72" s="1571"/>
      <c r="CS72" s="1571"/>
      <c r="CT72" s="1616">
        <f>SUM(CQ71:CT71)</f>
        <v>7.1392000000000007</v>
      </c>
      <c r="CU72" s="1570"/>
      <c r="CV72" s="1571"/>
      <c r="CW72" s="1571"/>
      <c r="CX72" s="1616">
        <f>SUM(CU71:CX71)</f>
        <v>7.6221175484994799</v>
      </c>
      <c r="CY72" s="1570"/>
      <c r="CZ72" s="1571"/>
      <c r="DA72" s="1571"/>
      <c r="DB72" s="1616">
        <f>SUM(CY71:DB71)</f>
        <v>7.9388740248436829</v>
      </c>
      <c r="DC72"/>
      <c r="DD72"/>
      <c r="DE72"/>
      <c r="DF72"/>
      <c r="DG72"/>
      <c r="DH72"/>
      <c r="DI72"/>
      <c r="DJ72"/>
      <c r="DK72"/>
      <c r="DL72"/>
      <c r="DM72"/>
      <c r="DN72"/>
      <c r="DO72"/>
    </row>
    <row r="73" spans="1:119" s="699" customFormat="1" ht="12.75" customHeight="1">
      <c r="A73" s="664"/>
      <c r="B73" s="664"/>
      <c r="C73" s="669"/>
      <c r="D73" s="679"/>
      <c r="E73" s="1572" t="s">
        <v>1847</v>
      </c>
      <c r="F73" s="679"/>
      <c r="G73" s="1573"/>
      <c r="H73" s="2839" t="s">
        <v>757</v>
      </c>
      <c r="I73" s="2840">
        <f ca="1">+J73/J72*100</f>
        <v>111.68970986155277</v>
      </c>
      <c r="J73" s="1574">
        <f ca="1">OFFSET('VVP2'!$G$29,0,(COLUMN()-10)/4)</f>
        <v>1.865646436592058</v>
      </c>
      <c r="K73" s="1573"/>
      <c r="L73" s="2839" t="s">
        <v>757</v>
      </c>
      <c r="M73" s="2840">
        <f ca="1">+N73/N72*100</f>
        <v>112.8957273116105</v>
      </c>
      <c r="N73" s="1574">
        <f ca="1">OFFSET('VVP2'!$G$29,0,(COLUMN()-10)/4)</f>
        <v>2.2584049991717587</v>
      </c>
      <c r="O73" s="1573"/>
      <c r="P73" s="2839" t="s">
        <v>757</v>
      </c>
      <c r="Q73" s="2840">
        <f ca="1">+R73/R72*100</f>
        <v>113.14553027010383</v>
      </c>
      <c r="R73" s="1574">
        <f ca="1">OFFSET('VVP2'!$G$29,0,(COLUMN()-10)/4)</f>
        <v>2.8351920988674078</v>
      </c>
      <c r="S73" s="1573"/>
      <c r="T73" s="2839" t="s">
        <v>757</v>
      </c>
      <c r="U73" s="2840">
        <f ca="1">+V73/V72*100</f>
        <v>112.56832635229716</v>
      </c>
      <c r="V73" s="1574">
        <f ca="1">OFFSET('VVP2'!$G$29,0,(COLUMN()-10)/4)</f>
        <v>3.4334187190510512</v>
      </c>
      <c r="W73" s="1573"/>
      <c r="X73" s="2839" t="s">
        <v>757</v>
      </c>
      <c r="Y73" s="2840">
        <f ca="1">+Z73/Z72*100</f>
        <v>113.20497308622457</v>
      </c>
      <c r="Z73" s="1574">
        <f ca="1">OFFSET('VVP2'!$G$29,0,(COLUMN()-10)/4)</f>
        <v>3.2293318550454053</v>
      </c>
      <c r="AA73" s="1573"/>
      <c r="AB73" s="2839" t="s">
        <v>757</v>
      </c>
      <c r="AC73" s="2840">
        <f ca="1">+AD73/AD72*100</f>
        <v>112.47981802043574</v>
      </c>
      <c r="AD73" s="1574">
        <f ca="1">OFFSET('VVP2'!$G$29,0,(COLUMN()-10)/4)</f>
        <v>2.9589150459905524</v>
      </c>
      <c r="AE73" s="1573"/>
      <c r="AF73" s="2839" t="s">
        <v>757</v>
      </c>
      <c r="AG73" s="2840">
        <f ca="1">+AH73/AH72*100</f>
        <v>112.04577660966162</v>
      </c>
      <c r="AH73" s="1574">
        <f ca="1">OFFSET('VVP2'!$G$29,0,(COLUMN()-10)/4)</f>
        <v>3.3490744830283035</v>
      </c>
      <c r="AI73" s="1573"/>
      <c r="AJ73" s="2839" t="s">
        <v>757</v>
      </c>
      <c r="AK73" s="2840">
        <f ca="1">+AL73/AL72*100</f>
        <v>112.31894223496323</v>
      </c>
      <c r="AL73" s="1574">
        <f ca="1">OFFSET('VVP2'!$G$29,0,(COLUMN()-10)/4)</f>
        <v>3.7071301482966423</v>
      </c>
      <c r="AM73" s="1573"/>
      <c r="AN73" s="2839" t="s">
        <v>757</v>
      </c>
      <c r="AO73" s="2840">
        <f ca="1">+AP73/AP72*100</f>
        <v>113.12862650983004</v>
      </c>
      <c r="AP73" s="1574">
        <f ca="1">OFFSET('VVP2'!$G$29,0,(COLUMN()-10)/4)</f>
        <v>4.2073312057982788</v>
      </c>
      <c r="AQ73" s="1573"/>
      <c r="AR73" s="2839" t="s">
        <v>757</v>
      </c>
      <c r="AS73" s="2840">
        <f ca="1">+AT73/AT72*100</f>
        <v>114.38626061278228</v>
      </c>
      <c r="AT73" s="1574">
        <f ca="1">OFFSET('VVP2'!$G$29,0,(COLUMN()-10)/4)</f>
        <v>4.8688700000000003</v>
      </c>
      <c r="AU73" s="1573"/>
      <c r="AV73" s="2839" t="s">
        <v>757</v>
      </c>
      <c r="AW73" s="2840">
        <f ca="1">+AX73/AX72*100</f>
        <v>99.95082963481336</v>
      </c>
      <c r="AX73" s="1574">
        <f ca="1">OFFSET('VVP2'!$G$29,0,(COLUMN()-10)/4)</f>
        <v>5.4274300000000002</v>
      </c>
      <c r="AY73" s="1573"/>
      <c r="AZ73" s="2839" t="s">
        <v>757</v>
      </c>
      <c r="BA73" s="2840">
        <f ca="1">+BB73/BB72*100</f>
        <v>99.960729355961433</v>
      </c>
      <c r="BB73" s="1574">
        <f ca="1">OFFSET('VVP2'!$G$29,0,(COLUMN()-10)/4)</f>
        <v>6.49085</v>
      </c>
      <c r="BC73" s="1573"/>
      <c r="BD73" s="2839" t="s">
        <v>757</v>
      </c>
      <c r="BE73" s="2840">
        <f ca="1">+BF73/BF72*100</f>
        <v>99.966512236881869</v>
      </c>
      <c r="BF73" s="1574">
        <f ca="1">OFFSET('VVP2'!$G$29,0,(COLUMN()-10)/4)</f>
        <v>7.9405400000000004</v>
      </c>
      <c r="BG73" s="1573"/>
      <c r="BH73" s="2839" t="s">
        <v>757</v>
      </c>
      <c r="BI73" s="2840">
        <f ca="1">+BJ73/BJ72*100</f>
        <v>99.661528807310674</v>
      </c>
      <c r="BJ73" s="1574">
        <f ca="1">OFFSET('VVP2'!$G$29,0,(COLUMN()-10)/4)</f>
        <v>7.6232100000000003</v>
      </c>
      <c r="BK73" s="1573"/>
      <c r="BL73" s="2839" t="s">
        <v>757</v>
      </c>
      <c r="BM73" s="2840">
        <f ca="1">+BN73/BN72*100</f>
        <v>100.19964288019277</v>
      </c>
      <c r="BN73" s="1574">
        <f ca="1">OFFSET('VVP2'!$G$29,0,(COLUMN()-10)/4)</f>
        <v>4.6575800000000003</v>
      </c>
      <c r="BO73" s="1573"/>
      <c r="BP73" s="2839" t="s">
        <v>757</v>
      </c>
      <c r="BQ73" s="2840">
        <f ca="1">+BR73/BR72*100</f>
        <v>100.47833666397383</v>
      </c>
      <c r="BR73" s="1574">
        <f ca="1">OFFSET('VVP2'!$G$29,0,(COLUMN()-10)/4)</f>
        <v>4.7263000000000002</v>
      </c>
      <c r="BS73" s="1573"/>
      <c r="BT73" s="2839" t="s">
        <v>757</v>
      </c>
      <c r="BU73" s="2840">
        <f ca="1">+BV73/BV72*100</f>
        <v>99.985737678939302</v>
      </c>
      <c r="BV73" s="1574">
        <f ca="1">OFFSET('VVP2'!$G$29,0,(COLUMN()-10)/4)</f>
        <v>5.67849</v>
      </c>
      <c r="BW73" s="1573"/>
      <c r="BX73" s="2839" t="s">
        <v>757</v>
      </c>
      <c r="BY73" s="2840">
        <f ca="1">+BZ73/BZ72*100</f>
        <v>99.828354602566634</v>
      </c>
      <c r="BZ73" s="1574">
        <f ca="1">OFFSET('VVP2'!$G$29,0,(COLUMN()-10)/4)</f>
        <v>5.5775100000000002</v>
      </c>
      <c r="CA73" s="1573"/>
      <c r="CB73" s="2839" t="s">
        <v>757</v>
      </c>
      <c r="CC73" s="2840">
        <f ca="1">+CD73/CD72*100</f>
        <v>99.988743771829633</v>
      </c>
      <c r="CD73" s="1574">
        <f ca="1">OFFSET('VVP2'!$G$29,0,(COLUMN()-10)/4)</f>
        <v>6.0404200000000001</v>
      </c>
      <c r="CE73" s="1573"/>
      <c r="CF73" s="2839" t="s">
        <v>757</v>
      </c>
      <c r="CG73" s="2840">
        <f ca="1">+CH73/CH72*100</f>
        <v>100.19229562707824</v>
      </c>
      <c r="CH73" s="1574">
        <f ca="1">OFFSET('VVP2'!$G$29,0,(COLUMN()-10)/4)</f>
        <v>6.3878599999999999</v>
      </c>
      <c r="CI73" s="1573"/>
      <c r="CJ73" s="2839" t="s">
        <v>757</v>
      </c>
      <c r="CK73" s="2840">
        <f ca="1">+CL73/CL72*100</f>
        <v>99.995072052564765</v>
      </c>
      <c r="CL73" s="1574">
        <f ca="1">OFFSET('VVP2'!$G$29,0,(COLUMN()-10)/4)</f>
        <v>6.6961700000000004</v>
      </c>
      <c r="CM73" s="1573"/>
      <c r="CN73" s="2839" t="s">
        <v>757</v>
      </c>
      <c r="CO73" s="2840">
        <f ca="1">+CP73/CP72*100</f>
        <v>99.638799186700155</v>
      </c>
      <c r="CP73" s="1574">
        <f ca="1">OFFSET('VVP2'!$G$29,0,(COLUMN()-10)/4)</f>
        <v>6.6646400000000003</v>
      </c>
      <c r="CQ73" s="1573"/>
      <c r="CR73" s="2839" t="s">
        <v>757</v>
      </c>
      <c r="CS73" s="2840">
        <f ca="1">+CT73/CT72*100</f>
        <v>100.17102756611385</v>
      </c>
      <c r="CT73" s="1617">
        <f ca="1">OFFSET('VVP2'!$G$29,0,(COLUMN()-10)/4)</f>
        <v>7.1514100000000003</v>
      </c>
      <c r="CU73" s="1573"/>
      <c r="CV73" s="2839" t="s">
        <v>757</v>
      </c>
      <c r="CW73" s="2840">
        <f ca="1">+CX73/CX72*100</f>
        <v>100.16894018949569</v>
      </c>
      <c r="CX73" s="1617">
        <f ca="1">OFFSET('VVP2'!$G$29,0,(COLUMN()-10)/4)</f>
        <v>7.6349943683294992</v>
      </c>
      <c r="CY73" s="1573"/>
      <c r="CZ73" s="2839" t="s">
        <v>757</v>
      </c>
      <c r="DA73" s="2840">
        <f ca="1">+DB73/DB72*100</f>
        <v>100.17758354451773</v>
      </c>
      <c r="DB73" s="1617">
        <f ca="1">OFFSET('VVP2'!$G$29,0,(COLUMN()-10)/4)</f>
        <v>7.9529721587317974</v>
      </c>
      <c r="DC73"/>
      <c r="DD73"/>
      <c r="DE73"/>
      <c r="DF73"/>
      <c r="DG73"/>
      <c r="DH73"/>
      <c r="DI73"/>
      <c r="DJ73"/>
      <c r="DK73"/>
      <c r="DL73"/>
      <c r="DM73"/>
      <c r="DN73"/>
      <c r="DO73"/>
    </row>
    <row r="74" spans="1:119">
      <c r="A74" s="664"/>
      <c r="E74" s="599"/>
      <c r="F74" s="3617"/>
      <c r="AY74" s="217"/>
      <c r="BA74" s="217"/>
      <c r="BB74" s="217"/>
      <c r="BC74" s="217"/>
      <c r="BD74" s="217"/>
      <c r="BE74" s="217"/>
      <c r="BF74" s="217"/>
      <c r="BG74" s="217"/>
      <c r="BH74" s="217"/>
      <c r="BI74" s="217"/>
      <c r="BJ74" s="217"/>
      <c r="CM74" s="557"/>
      <c r="CN74" s="557"/>
      <c r="CO74" s="557"/>
      <c r="CP74" s="557"/>
      <c r="CQ74" s="557"/>
      <c r="CR74" s="557"/>
      <c r="CS74" s="557"/>
      <c r="CT74" s="557"/>
      <c r="CU74" s="557"/>
      <c r="CV74" s="557"/>
      <c r="CW74" s="557"/>
      <c r="CX74" s="557"/>
      <c r="CY74" s="557"/>
      <c r="CZ74" s="557"/>
      <c r="DA74" s="557"/>
      <c r="DB74" s="557"/>
    </row>
    <row r="75" spans="1:119" s="699" customFormat="1" ht="12.75" customHeight="1">
      <c r="A75" s="664"/>
      <c r="B75" s="664"/>
      <c r="C75" s="1553"/>
      <c r="D75" s="742"/>
      <c r="E75" s="3384" t="s">
        <v>762</v>
      </c>
      <c r="F75" s="3622"/>
      <c r="G75" s="1578" t="str">
        <f t="shared" ref="G75:N75" si="194">G59</f>
        <v>Q1</v>
      </c>
      <c r="H75" s="1579" t="str">
        <f t="shared" si="194"/>
        <v>Q2</v>
      </c>
      <c r="I75" s="1579" t="str">
        <f t="shared" si="194"/>
        <v>Q3</v>
      </c>
      <c r="J75" s="1580" t="str">
        <f t="shared" si="194"/>
        <v>Q4</v>
      </c>
      <c r="K75" s="1578" t="str">
        <f t="shared" si="194"/>
        <v>Q1</v>
      </c>
      <c r="L75" s="1579" t="str">
        <f t="shared" si="194"/>
        <v>Q2</v>
      </c>
      <c r="M75" s="1579" t="str">
        <f t="shared" si="194"/>
        <v>Q3</v>
      </c>
      <c r="N75" s="1580" t="str">
        <f t="shared" si="194"/>
        <v>Q4</v>
      </c>
      <c r="O75" s="1578" t="str">
        <f t="shared" ref="O75:BJ75" si="195">O59</f>
        <v>Q1</v>
      </c>
      <c r="P75" s="1579" t="str">
        <f t="shared" si="195"/>
        <v>Q2</v>
      </c>
      <c r="Q75" s="1579" t="str">
        <f t="shared" si="195"/>
        <v>Q3</v>
      </c>
      <c r="R75" s="1580" t="str">
        <f t="shared" si="195"/>
        <v>Q4</v>
      </c>
      <c r="S75" s="1578" t="str">
        <f t="shared" si="195"/>
        <v>Q1</v>
      </c>
      <c r="T75" s="1579" t="str">
        <f t="shared" si="195"/>
        <v>Q2</v>
      </c>
      <c r="U75" s="1579" t="str">
        <f t="shared" si="195"/>
        <v>Q3</v>
      </c>
      <c r="V75" s="1580" t="str">
        <f t="shared" si="195"/>
        <v>Q4</v>
      </c>
      <c r="W75" s="1578" t="str">
        <f t="shared" si="195"/>
        <v>Q1</v>
      </c>
      <c r="X75" s="1579" t="str">
        <f t="shared" si="195"/>
        <v>Q2</v>
      </c>
      <c r="Y75" s="1579" t="str">
        <f t="shared" si="195"/>
        <v>Q3</v>
      </c>
      <c r="Z75" s="1580" t="str">
        <f t="shared" si="195"/>
        <v>Q4</v>
      </c>
      <c r="AA75" s="1578" t="str">
        <f t="shared" si="195"/>
        <v>Q1</v>
      </c>
      <c r="AB75" s="1579" t="str">
        <f t="shared" si="195"/>
        <v>Q2</v>
      </c>
      <c r="AC75" s="1579" t="str">
        <f t="shared" si="195"/>
        <v>Q3</v>
      </c>
      <c r="AD75" s="1580" t="str">
        <f t="shared" si="195"/>
        <v>Q4</v>
      </c>
      <c r="AE75" s="1578" t="str">
        <f t="shared" si="195"/>
        <v>Q1</v>
      </c>
      <c r="AF75" s="1579" t="str">
        <f t="shared" si="195"/>
        <v>Q2</v>
      </c>
      <c r="AG75" s="1579" t="str">
        <f t="shared" si="195"/>
        <v>Q3</v>
      </c>
      <c r="AH75" s="1580" t="str">
        <f t="shared" si="195"/>
        <v>Q4</v>
      </c>
      <c r="AI75" s="1578" t="str">
        <f t="shared" si="195"/>
        <v>Q1</v>
      </c>
      <c r="AJ75" s="1579" t="str">
        <f t="shared" si="195"/>
        <v>Q2</v>
      </c>
      <c r="AK75" s="1579" t="str">
        <f t="shared" si="195"/>
        <v>Q3</v>
      </c>
      <c r="AL75" s="1580" t="str">
        <f t="shared" si="195"/>
        <v>Q4</v>
      </c>
      <c r="AM75" s="1578" t="str">
        <f t="shared" si="195"/>
        <v>Q1</v>
      </c>
      <c r="AN75" s="1579" t="str">
        <f t="shared" si="195"/>
        <v>Q2</v>
      </c>
      <c r="AO75" s="1579" t="str">
        <f t="shared" si="195"/>
        <v>Q3</v>
      </c>
      <c r="AP75" s="1580" t="str">
        <f t="shared" si="195"/>
        <v>Q4</v>
      </c>
      <c r="AQ75" s="1578" t="str">
        <f t="shared" si="195"/>
        <v>Q1</v>
      </c>
      <c r="AR75" s="1579" t="str">
        <f t="shared" si="195"/>
        <v>Q2</v>
      </c>
      <c r="AS75" s="1579" t="str">
        <f t="shared" si="195"/>
        <v>Q3</v>
      </c>
      <c r="AT75" s="1580" t="str">
        <f t="shared" si="195"/>
        <v>Q4</v>
      </c>
      <c r="AU75" s="1578" t="str">
        <f t="shared" si="195"/>
        <v>Q1</v>
      </c>
      <c r="AV75" s="1579" t="str">
        <f t="shared" si="195"/>
        <v>Q2</v>
      </c>
      <c r="AW75" s="1579" t="str">
        <f t="shared" si="195"/>
        <v>Q3</v>
      </c>
      <c r="AX75" s="1580" t="str">
        <f t="shared" si="195"/>
        <v>Q4</v>
      </c>
      <c r="AY75" s="1578" t="str">
        <f t="shared" si="195"/>
        <v>Q1</v>
      </c>
      <c r="AZ75" s="1579" t="str">
        <f t="shared" si="195"/>
        <v>Q2</v>
      </c>
      <c r="BA75" s="1579" t="str">
        <f t="shared" si="195"/>
        <v>Q3</v>
      </c>
      <c r="BB75" s="1580" t="str">
        <f t="shared" si="195"/>
        <v>Q4</v>
      </c>
      <c r="BC75" s="1578" t="str">
        <f t="shared" si="195"/>
        <v>Q1</v>
      </c>
      <c r="BD75" s="1579" t="str">
        <f t="shared" si="195"/>
        <v>Q2</v>
      </c>
      <c r="BE75" s="1579" t="str">
        <f t="shared" si="195"/>
        <v>Q3</v>
      </c>
      <c r="BF75" s="1580" t="str">
        <f t="shared" si="195"/>
        <v>Q4</v>
      </c>
      <c r="BG75" s="1578" t="str">
        <f t="shared" si="195"/>
        <v>Q1</v>
      </c>
      <c r="BH75" s="1579" t="str">
        <f t="shared" si="195"/>
        <v>Q2</v>
      </c>
      <c r="BI75" s="1579" t="str">
        <f t="shared" si="195"/>
        <v>Q3</v>
      </c>
      <c r="BJ75" s="1580" t="str">
        <f t="shared" si="195"/>
        <v>Q4</v>
      </c>
      <c r="BK75" s="1579" t="str">
        <f t="shared" ref="BK75:BR75" si="196">BK59</f>
        <v>Q1</v>
      </c>
      <c r="BL75" s="1579" t="str">
        <f t="shared" si="196"/>
        <v>Q2</v>
      </c>
      <c r="BM75" s="1579" t="str">
        <f t="shared" si="196"/>
        <v>Q3</v>
      </c>
      <c r="BN75" s="1579" t="str">
        <f t="shared" si="196"/>
        <v>Q4</v>
      </c>
      <c r="BO75" s="1579" t="str">
        <f t="shared" si="196"/>
        <v>Q1</v>
      </c>
      <c r="BP75" s="1579" t="str">
        <f t="shared" si="196"/>
        <v>Q2</v>
      </c>
      <c r="BQ75" s="1579" t="str">
        <f t="shared" si="196"/>
        <v>Q3</v>
      </c>
      <c r="BR75" s="1579" t="str">
        <f t="shared" si="196"/>
        <v>Q4</v>
      </c>
      <c r="BS75" s="1579" t="str">
        <f t="shared" ref="BS75:CD75" si="197">BS59</f>
        <v>Q1</v>
      </c>
      <c r="BT75" s="1579" t="str">
        <f t="shared" si="197"/>
        <v>Q2</v>
      </c>
      <c r="BU75" s="1579" t="str">
        <f t="shared" si="197"/>
        <v>Q3</v>
      </c>
      <c r="BV75" s="1579" t="str">
        <f t="shared" si="197"/>
        <v>Q4</v>
      </c>
      <c r="BW75" s="1579" t="str">
        <f t="shared" si="197"/>
        <v>Q1</v>
      </c>
      <c r="BX75" s="1579" t="str">
        <f t="shared" si="197"/>
        <v>Q2</v>
      </c>
      <c r="BY75" s="1579" t="str">
        <f t="shared" si="197"/>
        <v>Q3</v>
      </c>
      <c r="BZ75" s="1579" t="str">
        <f t="shared" si="197"/>
        <v>Q4</v>
      </c>
      <c r="CA75" s="1579" t="str">
        <f t="shared" si="197"/>
        <v>Q1</v>
      </c>
      <c r="CB75" s="1579" t="str">
        <f t="shared" si="197"/>
        <v>Q2</v>
      </c>
      <c r="CC75" s="1579" t="str">
        <f t="shared" si="197"/>
        <v>Q3</v>
      </c>
      <c r="CD75" s="1579" t="str">
        <f t="shared" si="197"/>
        <v>Q4</v>
      </c>
      <c r="CE75" s="1579" t="str">
        <f t="shared" ref="CE75:CL75" si="198">CE59</f>
        <v>Q1</v>
      </c>
      <c r="CF75" s="1579" t="str">
        <f t="shared" si="198"/>
        <v>Q2</v>
      </c>
      <c r="CG75" s="1579" t="str">
        <f t="shared" si="198"/>
        <v>Q3</v>
      </c>
      <c r="CH75" s="1579" t="str">
        <f t="shared" si="198"/>
        <v>Q4</v>
      </c>
      <c r="CI75" s="1579" t="str">
        <f t="shared" si="198"/>
        <v>Q1</v>
      </c>
      <c r="CJ75" s="1579" t="str">
        <f t="shared" si="198"/>
        <v>Q2</v>
      </c>
      <c r="CK75" s="1579" t="str">
        <f t="shared" si="198"/>
        <v>Q3</v>
      </c>
      <c r="CL75" s="1579" t="str">
        <f t="shared" si="198"/>
        <v>Q4</v>
      </c>
      <c r="CM75" s="1579" t="str">
        <f t="shared" ref="CM75:CT75" si="199">CM59</f>
        <v>Q1</v>
      </c>
      <c r="CN75" s="1579" t="str">
        <f t="shared" si="199"/>
        <v>Q2</v>
      </c>
      <c r="CO75" s="1579" t="str">
        <f t="shared" si="199"/>
        <v>Q3</v>
      </c>
      <c r="CP75" s="1579" t="str">
        <f t="shared" si="199"/>
        <v>Q4</v>
      </c>
      <c r="CQ75" s="1579" t="str">
        <f t="shared" si="199"/>
        <v>Q1</v>
      </c>
      <c r="CR75" s="1579" t="str">
        <f t="shared" si="199"/>
        <v>Q2</v>
      </c>
      <c r="CS75" s="1579" t="str">
        <f t="shared" si="199"/>
        <v>Q3</v>
      </c>
      <c r="CT75" s="1579" t="str">
        <f t="shared" si="199"/>
        <v>Q4</v>
      </c>
      <c r="CU75" s="1579" t="str">
        <f t="shared" ref="CU75:DB75" si="200">CU59</f>
        <v>Q1</v>
      </c>
      <c r="CV75" s="1579" t="str">
        <f t="shared" si="200"/>
        <v>Q2</v>
      </c>
      <c r="CW75" s="1579" t="str">
        <f t="shared" si="200"/>
        <v>Q3</v>
      </c>
      <c r="CX75" s="1579" t="str">
        <f t="shared" si="200"/>
        <v>Q4</v>
      </c>
      <c r="CY75" s="1579" t="str">
        <f t="shared" si="200"/>
        <v>Q1</v>
      </c>
      <c r="CZ75" s="1579" t="str">
        <f t="shared" si="200"/>
        <v>Q2</v>
      </c>
      <c r="DA75" s="1579" t="str">
        <f t="shared" si="200"/>
        <v>Q3</v>
      </c>
      <c r="DB75" s="1579" t="str">
        <f t="shared" si="200"/>
        <v>Q4</v>
      </c>
      <c r="DC75"/>
      <c r="DD75"/>
      <c r="DE75"/>
      <c r="DF75"/>
      <c r="DG75"/>
      <c r="DH75"/>
      <c r="DI75"/>
      <c r="DJ75"/>
      <c r="DK75"/>
      <c r="DL75"/>
      <c r="DM75"/>
      <c r="DN75"/>
      <c r="DO75"/>
    </row>
    <row r="76" spans="1:119" ht="12.75" customHeight="1">
      <c r="A76" s="664"/>
      <c r="C76" s="929"/>
      <c r="E76" s="599" t="s">
        <v>1789</v>
      </c>
      <c r="F76" s="3617"/>
      <c r="H76" s="217" t="e">
        <f>(H60/G60-1)*100</f>
        <v>#VALUE!</v>
      </c>
      <c r="I76" s="217" t="e">
        <f t="shared" ref="I76:N76" si="201">(I60/H60-1)*100</f>
        <v>#VALUE!</v>
      </c>
      <c r="J76" s="217" t="e">
        <f t="shared" si="201"/>
        <v>#VALUE!</v>
      </c>
      <c r="K76" s="217" t="e">
        <f t="shared" si="201"/>
        <v>#VALUE!</v>
      </c>
      <c r="L76" s="217" t="e">
        <f t="shared" si="201"/>
        <v>#VALUE!</v>
      </c>
      <c r="M76" s="217" t="e">
        <f t="shared" si="201"/>
        <v>#VALUE!</v>
      </c>
      <c r="N76" s="217" t="e">
        <f t="shared" si="201"/>
        <v>#VALUE!</v>
      </c>
      <c r="O76" s="217" t="e">
        <f t="shared" ref="O76:BJ76" si="202">(O60/N60-1)*100</f>
        <v>#VALUE!</v>
      </c>
      <c r="P76" s="217" t="e">
        <f t="shared" si="202"/>
        <v>#VALUE!</v>
      </c>
      <c r="Q76" s="217" t="e">
        <f t="shared" si="202"/>
        <v>#VALUE!</v>
      </c>
      <c r="R76" s="217" t="e">
        <f t="shared" si="202"/>
        <v>#VALUE!</v>
      </c>
      <c r="S76" s="217" t="e">
        <f t="shared" si="202"/>
        <v>#VALUE!</v>
      </c>
      <c r="T76" s="217" t="e">
        <f t="shared" si="202"/>
        <v>#VALUE!</v>
      </c>
      <c r="U76" s="217" t="e">
        <f t="shared" si="202"/>
        <v>#VALUE!</v>
      </c>
      <c r="V76" s="217" t="e">
        <f t="shared" si="202"/>
        <v>#VALUE!</v>
      </c>
      <c r="W76" s="217" t="e">
        <f t="shared" si="202"/>
        <v>#VALUE!</v>
      </c>
      <c r="X76" s="217" t="e">
        <f t="shared" si="202"/>
        <v>#VALUE!</v>
      </c>
      <c r="Y76" s="217" t="e">
        <f t="shared" si="202"/>
        <v>#VALUE!</v>
      </c>
      <c r="Z76" s="217" t="e">
        <f t="shared" si="202"/>
        <v>#VALUE!</v>
      </c>
      <c r="AA76" s="217" t="e">
        <f t="shared" si="202"/>
        <v>#VALUE!</v>
      </c>
      <c r="AB76" s="217" t="e">
        <f t="shared" si="202"/>
        <v>#VALUE!</v>
      </c>
      <c r="AC76" s="217" t="e">
        <f t="shared" si="202"/>
        <v>#VALUE!</v>
      </c>
      <c r="AD76" s="217" t="e">
        <f t="shared" si="202"/>
        <v>#VALUE!</v>
      </c>
      <c r="AE76" s="217" t="e">
        <f t="shared" si="202"/>
        <v>#VALUE!</v>
      </c>
      <c r="AF76" s="217" t="e">
        <f t="shared" si="202"/>
        <v>#VALUE!</v>
      </c>
      <c r="AG76" s="217" t="e">
        <f t="shared" si="202"/>
        <v>#VALUE!</v>
      </c>
      <c r="AH76" s="217" t="e">
        <f t="shared" si="202"/>
        <v>#VALUE!</v>
      </c>
      <c r="AI76" s="217" t="e">
        <f t="shared" si="202"/>
        <v>#VALUE!</v>
      </c>
      <c r="AJ76" s="217" t="e">
        <f t="shared" si="202"/>
        <v>#VALUE!</v>
      </c>
      <c r="AK76" s="217" t="e">
        <f t="shared" si="202"/>
        <v>#VALUE!</v>
      </c>
      <c r="AL76" s="217" t="e">
        <f t="shared" si="202"/>
        <v>#VALUE!</v>
      </c>
      <c r="AM76" s="217" t="e">
        <f t="shared" si="202"/>
        <v>#VALUE!</v>
      </c>
      <c r="AN76" s="217" t="e">
        <f t="shared" si="202"/>
        <v>#VALUE!</v>
      </c>
      <c r="AO76" s="217" t="e">
        <f t="shared" si="202"/>
        <v>#VALUE!</v>
      </c>
      <c r="AP76" s="217" t="e">
        <f t="shared" si="202"/>
        <v>#VALUE!</v>
      </c>
      <c r="AQ76" s="217" t="e">
        <f t="shared" si="202"/>
        <v>#VALUE!</v>
      </c>
      <c r="AR76" s="217" t="e">
        <f t="shared" si="202"/>
        <v>#VALUE!</v>
      </c>
      <c r="AS76" s="217" t="e">
        <f t="shared" si="202"/>
        <v>#VALUE!</v>
      </c>
      <c r="AT76" s="217" t="e">
        <f t="shared" si="202"/>
        <v>#VALUE!</v>
      </c>
      <c r="AU76" s="217" t="e">
        <f t="shared" si="202"/>
        <v>#VALUE!</v>
      </c>
      <c r="AV76" s="217" t="e">
        <f t="shared" si="202"/>
        <v>#VALUE!</v>
      </c>
      <c r="AW76" s="217" t="e">
        <f t="shared" si="202"/>
        <v>#VALUE!</v>
      </c>
      <c r="AX76" s="217" t="e">
        <f t="shared" si="202"/>
        <v>#VALUE!</v>
      </c>
      <c r="AY76" s="217" t="e">
        <f t="shared" si="202"/>
        <v>#VALUE!</v>
      </c>
      <c r="AZ76" s="217" t="e">
        <f t="shared" si="202"/>
        <v>#VALUE!</v>
      </c>
      <c r="BA76" s="217" t="e">
        <f t="shared" si="202"/>
        <v>#VALUE!</v>
      </c>
      <c r="BB76" s="217" t="e">
        <f t="shared" si="202"/>
        <v>#VALUE!</v>
      </c>
      <c r="BC76" s="217" t="e">
        <f t="shared" si="202"/>
        <v>#VALUE!</v>
      </c>
      <c r="BD76" s="217" t="e">
        <f t="shared" si="202"/>
        <v>#VALUE!</v>
      </c>
      <c r="BE76" s="217" t="e">
        <f t="shared" si="202"/>
        <v>#VALUE!</v>
      </c>
      <c r="BF76" s="217" t="e">
        <f t="shared" si="202"/>
        <v>#VALUE!</v>
      </c>
      <c r="BG76" s="217" t="e">
        <f t="shared" si="202"/>
        <v>#VALUE!</v>
      </c>
      <c r="BH76" s="217" t="e">
        <f t="shared" si="202"/>
        <v>#VALUE!</v>
      </c>
      <c r="BI76" s="217" t="e">
        <f t="shared" si="202"/>
        <v>#VALUE!</v>
      </c>
      <c r="BJ76" s="217" t="e">
        <f t="shared" si="202"/>
        <v>#VALUE!</v>
      </c>
      <c r="BK76" s="740">
        <v>0</v>
      </c>
      <c r="BL76" s="740">
        <v>0</v>
      </c>
      <c r="BM76" s="740">
        <v>0</v>
      </c>
      <c r="BN76" s="740">
        <v>0</v>
      </c>
      <c r="BO76" s="740">
        <v>0</v>
      </c>
      <c r="BP76" s="740">
        <v>0</v>
      </c>
      <c r="BQ76" s="740">
        <v>0</v>
      </c>
      <c r="BR76" s="740">
        <v>0</v>
      </c>
      <c r="BS76" s="740">
        <v>0</v>
      </c>
      <c r="BT76" s="740">
        <v>0</v>
      </c>
      <c r="BU76" s="740">
        <v>0</v>
      </c>
      <c r="BV76" s="740">
        <v>0</v>
      </c>
      <c r="BW76" s="740">
        <v>0</v>
      </c>
      <c r="BX76" s="740">
        <v>0</v>
      </c>
      <c r="BY76" s="740">
        <v>0</v>
      </c>
      <c r="BZ76" s="740">
        <v>0</v>
      </c>
      <c r="CA76" s="740">
        <v>0</v>
      </c>
      <c r="CB76" s="740">
        <v>0</v>
      </c>
      <c r="CC76" s="740">
        <v>0</v>
      </c>
      <c r="CD76" s="740">
        <v>0</v>
      </c>
      <c r="CE76" s="740">
        <v>0</v>
      </c>
      <c r="CF76" s="740">
        <v>0</v>
      </c>
      <c r="CG76" s="740">
        <v>0</v>
      </c>
      <c r="CH76" s="740">
        <v>0</v>
      </c>
      <c r="CI76" s="740">
        <v>0</v>
      </c>
      <c r="CJ76" s="740">
        <v>0</v>
      </c>
      <c r="CK76" s="740">
        <v>0</v>
      </c>
      <c r="CL76" s="740">
        <v>0</v>
      </c>
      <c r="CM76" s="740">
        <v>0</v>
      </c>
      <c r="CN76" s="740">
        <v>0</v>
      </c>
      <c r="CO76" s="740">
        <v>0</v>
      </c>
      <c r="CP76" s="740">
        <v>0</v>
      </c>
      <c r="CQ76" s="740">
        <v>0</v>
      </c>
      <c r="CR76" s="740">
        <v>0</v>
      </c>
      <c r="CS76" s="740">
        <v>0</v>
      </c>
      <c r="CT76" s="740">
        <v>0</v>
      </c>
      <c r="CU76" s="740">
        <v>0</v>
      </c>
      <c r="CV76" s="740">
        <v>0</v>
      </c>
      <c r="CW76" s="740">
        <v>0</v>
      </c>
      <c r="CX76" s="740">
        <v>0</v>
      </c>
      <c r="CY76" s="740">
        <v>0</v>
      </c>
      <c r="CZ76" s="740">
        <v>0</v>
      </c>
      <c r="DA76" s="740">
        <v>0</v>
      </c>
      <c r="DB76" s="740">
        <v>0</v>
      </c>
    </row>
    <row r="77" spans="1:119" ht="12.75" customHeight="1">
      <c r="C77" s="3072"/>
      <c r="D77" s="717"/>
      <c r="E77" s="3068" t="s">
        <v>266</v>
      </c>
      <c r="F77" s="3634"/>
      <c r="G77" s="2854"/>
      <c r="H77" s="2854"/>
      <c r="I77" s="2854"/>
      <c r="J77" s="2854"/>
      <c r="K77" s="2854"/>
      <c r="L77" s="2854"/>
      <c r="M77" s="2854"/>
      <c r="N77" s="1608" t="e">
        <f>N61/J61*100-100</f>
        <v>#VALUE!</v>
      </c>
      <c r="O77" s="2854"/>
      <c r="P77" s="2854"/>
      <c r="Q77" s="2854"/>
      <c r="R77" s="1608" t="e">
        <f>R61/N61*100-100</f>
        <v>#VALUE!</v>
      </c>
      <c r="S77" s="2854"/>
      <c r="T77" s="2854"/>
      <c r="U77" s="2854"/>
      <c r="V77" s="1608" t="e">
        <f>V61/R61*100-100</f>
        <v>#VALUE!</v>
      </c>
      <c r="W77" s="2854"/>
      <c r="X77" s="2854"/>
      <c r="Y77" s="2854"/>
      <c r="Z77" s="1608" t="e">
        <f>Z61/V61*100-100</f>
        <v>#VALUE!</v>
      </c>
      <c r="AA77" s="2854"/>
      <c r="AB77" s="2854"/>
      <c r="AC77" s="2854"/>
      <c r="AD77" s="1608" t="e">
        <f>AD61/Z61*100-100</f>
        <v>#VALUE!</v>
      </c>
      <c r="AE77" s="2854"/>
      <c r="AF77" s="2854"/>
      <c r="AG77" s="2854"/>
      <c r="AH77" s="1608" t="e">
        <f>AH61/AD61*100-100</f>
        <v>#VALUE!</v>
      </c>
      <c r="AI77" s="2854"/>
      <c r="AJ77" s="2854"/>
      <c r="AK77" s="2854"/>
      <c r="AL77" s="1608" t="e">
        <f>AL61/AH61*100-100</f>
        <v>#VALUE!</v>
      </c>
      <c r="AM77" s="2854"/>
      <c r="AN77" s="2854"/>
      <c r="AO77" s="2854"/>
      <c r="AP77" s="1608" t="e">
        <f>AP61/AL61*100-100</f>
        <v>#VALUE!</v>
      </c>
      <c r="AQ77" s="2854"/>
      <c r="AR77" s="2854"/>
      <c r="AS77" s="2854"/>
      <c r="AT77" s="1608" t="e">
        <f>AT61/AP61*100-100</f>
        <v>#VALUE!</v>
      </c>
      <c r="AU77" s="2854"/>
      <c r="AV77" s="2854"/>
      <c r="AW77" s="2854"/>
      <c r="AX77" s="1608" t="e">
        <f>AX61/AT61*100-100</f>
        <v>#VALUE!</v>
      </c>
      <c r="AY77" s="2854"/>
      <c r="AZ77" s="2854"/>
      <c r="BA77" s="2854"/>
      <c r="BB77" s="1608" t="e">
        <f>BB61/AX61*100-100</f>
        <v>#VALUE!</v>
      </c>
      <c r="BC77" s="2854"/>
      <c r="BD77" s="2854"/>
      <c r="BE77" s="2854"/>
      <c r="BF77" s="1608" t="e">
        <f>BF61/BB61*100-100</f>
        <v>#VALUE!</v>
      </c>
      <c r="BG77" s="2854"/>
      <c r="BH77" s="2854"/>
      <c r="BI77" s="2854"/>
      <c r="BJ77" s="1608" t="e">
        <f>BJ61/BF61*100-100</f>
        <v>#VALUE!</v>
      </c>
      <c r="BK77" s="2854"/>
      <c r="BL77" s="2854"/>
      <c r="BM77" s="2854"/>
      <c r="BN77" s="1610" t="e">
        <f>BN61/BJ61*100-100</f>
        <v>#VALUE!</v>
      </c>
      <c r="BO77" s="2854"/>
      <c r="BP77" s="2854"/>
      <c r="BQ77" s="2854"/>
      <c r="BR77" s="1610" t="e">
        <f>BR61/BN61*100-100</f>
        <v>#VALUE!</v>
      </c>
      <c r="BS77" s="2854"/>
      <c r="BT77" s="2854"/>
      <c r="BU77" s="2854"/>
      <c r="BV77" s="1610" t="e">
        <f>BV61/BR61*100-100</f>
        <v>#VALUE!</v>
      </c>
      <c r="BW77" s="2854"/>
      <c r="BX77" s="2854"/>
      <c r="BY77" s="2854"/>
      <c r="BZ77" s="1610" t="e">
        <f>BZ61/BV61*100-100</f>
        <v>#VALUE!</v>
      </c>
      <c r="CA77" s="2854"/>
      <c r="CB77" s="2854"/>
      <c r="CC77" s="2854"/>
      <c r="CD77" s="1610" t="e">
        <f>CD61/BZ61*100-100</f>
        <v>#VALUE!</v>
      </c>
      <c r="CE77" s="2854"/>
      <c r="CF77" s="2854"/>
      <c r="CG77" s="2854"/>
      <c r="CH77" s="1610" t="e">
        <f>CH61/CD61*100-100</f>
        <v>#VALUE!</v>
      </c>
      <c r="CI77" s="2854"/>
      <c r="CJ77" s="2854"/>
      <c r="CK77" s="2854"/>
      <c r="CL77" s="1610" t="e">
        <f>CL61/CH61*100-100</f>
        <v>#VALUE!</v>
      </c>
      <c r="CM77" s="2854"/>
      <c r="CN77" s="2854"/>
      <c r="CO77" s="2854"/>
      <c r="CP77" s="1610" t="e">
        <f>CP61/CL61*100-100</f>
        <v>#VALUE!</v>
      </c>
      <c r="CQ77" s="2854"/>
      <c r="CR77" s="2854"/>
      <c r="CS77" s="2854"/>
      <c r="CT77" s="1610" t="e">
        <f>CT61/CP61*100-100</f>
        <v>#VALUE!</v>
      </c>
      <c r="CU77" s="2854"/>
      <c r="CV77" s="2854"/>
      <c r="CW77" s="2854"/>
      <c r="CX77" s="1610" t="e">
        <f>CX61/CT61*100-100</f>
        <v>#VALUE!</v>
      </c>
      <c r="CY77" s="2854"/>
      <c r="CZ77" s="2854"/>
      <c r="DA77" s="2854"/>
      <c r="DB77" s="1610" t="e">
        <f>DB61/CX61*100-100</f>
        <v>#VALUE!</v>
      </c>
    </row>
    <row r="78" spans="1:119" ht="12.75" customHeight="1">
      <c r="C78" s="3072"/>
      <c r="D78" s="717"/>
      <c r="E78" s="3068" t="s">
        <v>1847</v>
      </c>
      <c r="F78" s="3634"/>
      <c r="G78" s="2854"/>
      <c r="H78" s="2854"/>
      <c r="I78" s="2854"/>
      <c r="J78" s="2854"/>
      <c r="K78" s="2854"/>
      <c r="L78" s="2854"/>
      <c r="M78" s="2854"/>
      <c r="N78" s="1599">
        <f ca="1">N62/J62*100-100</f>
        <v>52.25747321395221</v>
      </c>
      <c r="O78" s="2854"/>
      <c r="P78" s="2854"/>
      <c r="Q78" s="2854"/>
      <c r="R78" s="1599">
        <f ca="1">R62/N62*100-100</f>
        <v>36.034356894988747</v>
      </c>
      <c r="S78" s="2854"/>
      <c r="T78" s="2854"/>
      <c r="U78" s="2854"/>
      <c r="V78" s="1599">
        <f ca="1">V62/R62*100-100</f>
        <v>19.038247769712029</v>
      </c>
      <c r="W78" s="2854"/>
      <c r="X78" s="2854"/>
      <c r="Y78" s="2854"/>
      <c r="Z78" s="1599">
        <f ca="1">Z62/V62*100-100</f>
        <v>-3.6835902604232587</v>
      </c>
      <c r="AA78" s="2854"/>
      <c r="AB78" s="2854"/>
      <c r="AC78" s="2854"/>
      <c r="AD78" s="1599">
        <f ca="1">AD62/Z62*100-100</f>
        <v>-2.3096799813139341</v>
      </c>
      <c r="AE78" s="2854"/>
      <c r="AF78" s="2854"/>
      <c r="AG78" s="2854"/>
      <c r="AH78" s="1599">
        <f ca="1">AH62/AD62*100-100</f>
        <v>23.23139535032837</v>
      </c>
      <c r="AI78" s="2854"/>
      <c r="AJ78" s="2854"/>
      <c r="AK78" s="2854"/>
      <c r="AL78" s="1599">
        <f ca="1">AL62/AH62*100-100</f>
        <v>10.162245652709828</v>
      </c>
      <c r="AM78" s="2854"/>
      <c r="AN78" s="2854"/>
      <c r="AO78" s="2854"/>
      <c r="AP78" s="1599">
        <f ca="1">AP62/AL62*100-100</f>
        <v>6.7751830455098343</v>
      </c>
      <c r="AQ78" s="2854"/>
      <c r="AR78" s="2854"/>
      <c r="AS78" s="2854"/>
      <c r="AT78" s="1599">
        <f ca="1">AT62/AP62*100-100</f>
        <v>32.369529968370131</v>
      </c>
      <c r="AU78" s="2854"/>
      <c r="AV78" s="2854"/>
      <c r="AW78" s="2854"/>
      <c r="AX78" s="1599">
        <f ca="1">AX62/AT62*100-100</f>
        <v>12.05054079355638</v>
      </c>
      <c r="AY78" s="2854"/>
      <c r="AZ78" s="2854"/>
      <c r="BA78" s="2854"/>
      <c r="BB78" s="1599">
        <f ca="1">BB62/AX62*100-100</f>
        <v>17.052178025327109</v>
      </c>
      <c r="BC78" s="2854"/>
      <c r="BD78" s="2854"/>
      <c r="BE78" s="2854"/>
      <c r="BF78" s="1599">
        <f ca="1">BF62/BB62*100-100</f>
        <v>23.206381698853491</v>
      </c>
      <c r="BG78" s="2854"/>
      <c r="BH78" s="2854"/>
      <c r="BI78" s="2854"/>
      <c r="BJ78" s="1599">
        <f ca="1">BJ62/BF62*100-100</f>
        <v>-17.458472547612203</v>
      </c>
      <c r="BK78" s="2854"/>
      <c r="BL78" s="2854"/>
      <c r="BM78" s="2854"/>
      <c r="BN78" s="1612">
        <f ca="1">BN62/BJ62*100-100</f>
        <v>-49.870884299089333</v>
      </c>
      <c r="BO78" s="2854"/>
      <c r="BP78" s="2854"/>
      <c r="BQ78" s="2854"/>
      <c r="BR78" s="1612">
        <f ca="1">BR62/BN62*100-100</f>
        <v>20.712732139869487</v>
      </c>
      <c r="BS78" s="2854"/>
      <c r="BT78" s="2854"/>
      <c r="BU78" s="2854"/>
      <c r="BV78" s="1612">
        <f ca="1">BV62/BR62*100-100</f>
        <v>36.353357405988987</v>
      </c>
      <c r="BW78" s="2854"/>
      <c r="BX78" s="2854"/>
      <c r="BY78" s="2854"/>
      <c r="BZ78" s="1612">
        <f ca="1">BZ62/BV62*100-100</f>
        <v>2.096083886154517</v>
      </c>
      <c r="CA78" s="2854"/>
      <c r="CB78" s="2854"/>
      <c r="CC78" s="2854"/>
      <c r="CD78" s="1612">
        <f ca="1">CD62/BZ62*100-100</f>
        <v>12.348693656399661</v>
      </c>
      <c r="CE78" s="2854"/>
      <c r="CF78" s="2854"/>
      <c r="CG78" s="2854"/>
      <c r="CH78" s="1612">
        <f ca="1">CH62/CD62*100-100</f>
        <v>-0.21174978078767026</v>
      </c>
      <c r="CI78" s="2854"/>
      <c r="CJ78" s="2854"/>
      <c r="CK78" s="2854"/>
      <c r="CL78" s="1612">
        <f ca="1">CL62/CH62*100-100</f>
        <v>13.386772610423009</v>
      </c>
      <c r="CM78" s="2854"/>
      <c r="CN78" s="2854"/>
      <c r="CO78" s="2854"/>
      <c r="CP78" s="1612">
        <f ca="1">CP62/CL62*100-100</f>
        <v>8.975188692078433</v>
      </c>
      <c r="CQ78" s="2854"/>
      <c r="CR78" s="2854"/>
      <c r="CS78" s="2854"/>
      <c r="CT78" s="1612">
        <f ca="1">CT62/CP62*100-100</f>
        <v>8.8692106338230587</v>
      </c>
      <c r="CU78" s="2854"/>
      <c r="CV78" s="2854"/>
      <c r="CW78" s="2854"/>
      <c r="CX78" s="1612">
        <f ca="1">CX62/CT62*100-100</f>
        <v>8.5</v>
      </c>
      <c r="CY78" s="2854"/>
      <c r="CZ78" s="2854"/>
      <c r="DA78" s="2854"/>
      <c r="DB78" s="1612">
        <f ca="1">DB62/CX62*100-100</f>
        <v>4.2000000000000028</v>
      </c>
    </row>
    <row r="79" spans="1:119" ht="12.75" customHeight="1">
      <c r="C79" s="3072"/>
      <c r="D79" s="674"/>
      <c r="E79" s="3545" t="s">
        <v>1790</v>
      </c>
      <c r="F79" s="3057"/>
      <c r="G79" s="2853"/>
      <c r="H79" s="2853" t="e">
        <f t="shared" ref="H79:N79" si="203">(H63/G63-1)*100</f>
        <v>#VALUE!</v>
      </c>
      <c r="I79" s="2853" t="e">
        <f t="shared" si="203"/>
        <v>#VALUE!</v>
      </c>
      <c r="J79" s="2853" t="e">
        <f t="shared" si="203"/>
        <v>#VALUE!</v>
      </c>
      <c r="K79" s="2853" t="e">
        <f t="shared" si="203"/>
        <v>#VALUE!</v>
      </c>
      <c r="L79" s="2853" t="e">
        <f t="shared" si="203"/>
        <v>#VALUE!</v>
      </c>
      <c r="M79" s="2853" t="e">
        <f t="shared" si="203"/>
        <v>#VALUE!</v>
      </c>
      <c r="N79" s="2853" t="e">
        <f t="shared" si="203"/>
        <v>#VALUE!</v>
      </c>
      <c r="O79" s="2853" t="e">
        <f t="shared" ref="O79:BJ79" si="204">(O63/N63-1)*100</f>
        <v>#VALUE!</v>
      </c>
      <c r="P79" s="2853" t="e">
        <f t="shared" si="204"/>
        <v>#VALUE!</v>
      </c>
      <c r="Q79" s="2853" t="e">
        <f t="shared" si="204"/>
        <v>#VALUE!</v>
      </c>
      <c r="R79" s="2853" t="e">
        <f t="shared" si="204"/>
        <v>#VALUE!</v>
      </c>
      <c r="S79" s="2853" t="e">
        <f t="shared" si="204"/>
        <v>#VALUE!</v>
      </c>
      <c r="T79" s="2853" t="e">
        <f t="shared" si="204"/>
        <v>#VALUE!</v>
      </c>
      <c r="U79" s="2853" t="e">
        <f t="shared" si="204"/>
        <v>#VALUE!</v>
      </c>
      <c r="V79" s="2853" t="e">
        <f t="shared" si="204"/>
        <v>#VALUE!</v>
      </c>
      <c r="W79" s="2853" t="e">
        <f t="shared" si="204"/>
        <v>#VALUE!</v>
      </c>
      <c r="X79" s="2853" t="e">
        <f t="shared" si="204"/>
        <v>#VALUE!</v>
      </c>
      <c r="Y79" s="2853" t="e">
        <f t="shared" si="204"/>
        <v>#VALUE!</v>
      </c>
      <c r="Z79" s="2853" t="e">
        <f t="shared" si="204"/>
        <v>#VALUE!</v>
      </c>
      <c r="AA79" s="2853" t="e">
        <f t="shared" si="204"/>
        <v>#VALUE!</v>
      </c>
      <c r="AB79" s="2853" t="e">
        <f t="shared" si="204"/>
        <v>#VALUE!</v>
      </c>
      <c r="AC79" s="2853" t="e">
        <f t="shared" si="204"/>
        <v>#VALUE!</v>
      </c>
      <c r="AD79" s="2853" t="e">
        <f t="shared" si="204"/>
        <v>#VALUE!</v>
      </c>
      <c r="AE79" s="2853" t="e">
        <f t="shared" si="204"/>
        <v>#VALUE!</v>
      </c>
      <c r="AF79" s="2853" t="e">
        <f t="shared" si="204"/>
        <v>#VALUE!</v>
      </c>
      <c r="AG79" s="2853" t="e">
        <f t="shared" si="204"/>
        <v>#VALUE!</v>
      </c>
      <c r="AH79" s="2853" t="e">
        <f t="shared" si="204"/>
        <v>#VALUE!</v>
      </c>
      <c r="AI79" s="2853" t="e">
        <f t="shared" si="204"/>
        <v>#VALUE!</v>
      </c>
      <c r="AJ79" s="2853" t="e">
        <f t="shared" si="204"/>
        <v>#VALUE!</v>
      </c>
      <c r="AK79" s="2853" t="e">
        <f t="shared" si="204"/>
        <v>#VALUE!</v>
      </c>
      <c r="AL79" s="2853" t="e">
        <f t="shared" si="204"/>
        <v>#VALUE!</v>
      </c>
      <c r="AM79" s="2853" t="e">
        <f t="shared" si="204"/>
        <v>#VALUE!</v>
      </c>
      <c r="AN79" s="2853" t="e">
        <f t="shared" si="204"/>
        <v>#VALUE!</v>
      </c>
      <c r="AO79" s="2853" t="e">
        <f t="shared" si="204"/>
        <v>#VALUE!</v>
      </c>
      <c r="AP79" s="2853" t="e">
        <f t="shared" si="204"/>
        <v>#VALUE!</v>
      </c>
      <c r="AQ79" s="2853" t="e">
        <f t="shared" si="204"/>
        <v>#VALUE!</v>
      </c>
      <c r="AR79" s="2853" t="e">
        <f t="shared" si="204"/>
        <v>#VALUE!</v>
      </c>
      <c r="AS79" s="2853" t="e">
        <f t="shared" si="204"/>
        <v>#VALUE!</v>
      </c>
      <c r="AT79" s="2853" t="e">
        <f t="shared" si="204"/>
        <v>#VALUE!</v>
      </c>
      <c r="AU79" s="2853" t="e">
        <f t="shared" si="204"/>
        <v>#VALUE!</v>
      </c>
      <c r="AV79" s="2853" t="e">
        <f t="shared" si="204"/>
        <v>#VALUE!</v>
      </c>
      <c r="AW79" s="2853" t="e">
        <f t="shared" si="204"/>
        <v>#VALUE!</v>
      </c>
      <c r="AX79" s="2853" t="e">
        <f t="shared" si="204"/>
        <v>#VALUE!</v>
      </c>
      <c r="AY79" s="2853" t="e">
        <f t="shared" si="204"/>
        <v>#VALUE!</v>
      </c>
      <c r="AZ79" s="2853" t="e">
        <f t="shared" si="204"/>
        <v>#VALUE!</v>
      </c>
      <c r="BA79" s="2853" t="e">
        <f t="shared" si="204"/>
        <v>#VALUE!</v>
      </c>
      <c r="BB79" s="2853" t="e">
        <f t="shared" si="204"/>
        <v>#VALUE!</v>
      </c>
      <c r="BC79" s="2853" t="e">
        <f t="shared" si="204"/>
        <v>#VALUE!</v>
      </c>
      <c r="BD79" s="2853" t="e">
        <f t="shared" si="204"/>
        <v>#VALUE!</v>
      </c>
      <c r="BE79" s="2853" t="e">
        <f t="shared" si="204"/>
        <v>#VALUE!</v>
      </c>
      <c r="BF79" s="2853" t="e">
        <f t="shared" si="204"/>
        <v>#VALUE!</v>
      </c>
      <c r="BG79" s="2853" t="e">
        <f t="shared" si="204"/>
        <v>#VALUE!</v>
      </c>
      <c r="BH79" s="2853" t="e">
        <f t="shared" si="204"/>
        <v>#VALUE!</v>
      </c>
      <c r="BI79" s="2853" t="e">
        <f t="shared" si="204"/>
        <v>#VALUE!</v>
      </c>
      <c r="BJ79" s="2853" t="e">
        <f t="shared" si="204"/>
        <v>#VALUE!</v>
      </c>
      <c r="BK79" s="2880">
        <v>0</v>
      </c>
      <c r="BL79" s="2880">
        <v>0</v>
      </c>
      <c r="BM79" s="2880">
        <v>0</v>
      </c>
      <c r="BN79" s="740">
        <v>0</v>
      </c>
      <c r="BO79" s="2880">
        <v>0</v>
      </c>
      <c r="BP79" s="2880">
        <v>0</v>
      </c>
      <c r="BQ79" s="2880">
        <v>0</v>
      </c>
      <c r="BR79" s="740">
        <v>0</v>
      </c>
      <c r="BS79" s="2880">
        <v>0</v>
      </c>
      <c r="BT79" s="2880">
        <v>0</v>
      </c>
      <c r="BU79" s="2880">
        <v>0</v>
      </c>
      <c r="BV79" s="740">
        <v>0</v>
      </c>
      <c r="BW79" s="2880">
        <v>0</v>
      </c>
      <c r="BX79" s="2880">
        <v>0</v>
      </c>
      <c r="BY79" s="2880">
        <v>0</v>
      </c>
      <c r="BZ79" s="740">
        <v>0</v>
      </c>
      <c r="CA79" s="2880">
        <v>0</v>
      </c>
      <c r="CB79" s="2880">
        <v>0</v>
      </c>
      <c r="CC79" s="2880">
        <v>0</v>
      </c>
      <c r="CD79" s="740">
        <v>0</v>
      </c>
      <c r="CE79" s="2880">
        <v>0</v>
      </c>
      <c r="CF79" s="2880">
        <v>0</v>
      </c>
      <c r="CG79" s="2880">
        <v>0</v>
      </c>
      <c r="CH79" s="740">
        <v>0</v>
      </c>
      <c r="CI79" s="2880">
        <v>0</v>
      </c>
      <c r="CJ79" s="2880">
        <v>0</v>
      </c>
      <c r="CK79" s="2880">
        <v>0</v>
      </c>
      <c r="CL79" s="740">
        <v>0</v>
      </c>
      <c r="CM79" s="2880">
        <v>0</v>
      </c>
      <c r="CN79" s="2880">
        <v>0</v>
      </c>
      <c r="CO79" s="2880">
        <v>0</v>
      </c>
      <c r="CP79" s="740">
        <v>0</v>
      </c>
      <c r="CQ79" s="2880">
        <v>0</v>
      </c>
      <c r="CR79" s="2880">
        <v>0</v>
      </c>
      <c r="CS79" s="2880">
        <v>0</v>
      </c>
      <c r="CT79" s="740">
        <v>0</v>
      </c>
      <c r="CU79" s="2880">
        <v>0</v>
      </c>
      <c r="CV79" s="2880">
        <v>0</v>
      </c>
      <c r="CW79" s="2880">
        <v>0</v>
      </c>
      <c r="CX79" s="740">
        <v>0</v>
      </c>
      <c r="CY79" s="2880">
        <v>0</v>
      </c>
      <c r="CZ79" s="2880">
        <v>0</v>
      </c>
      <c r="DA79" s="2880">
        <v>0</v>
      </c>
      <c r="DB79" s="740">
        <v>0</v>
      </c>
    </row>
    <row r="80" spans="1:119" ht="12.75" customHeight="1">
      <c r="C80" s="3072"/>
      <c r="D80" s="717"/>
      <c r="E80" s="3068" t="s">
        <v>266</v>
      </c>
      <c r="F80" s="3634"/>
      <c r="G80" s="2854"/>
      <c r="H80" s="2854"/>
      <c r="I80" s="2854"/>
      <c r="J80" s="2854"/>
      <c r="K80" s="2854"/>
      <c r="L80" s="2854"/>
      <c r="M80" s="2854"/>
      <c r="N80" s="1608" t="e">
        <f>N64/J64*100-100</f>
        <v>#VALUE!</v>
      </c>
      <c r="O80" s="2854"/>
      <c r="P80" s="2854"/>
      <c r="Q80" s="2854"/>
      <c r="R80" s="1608" t="e">
        <f>R64/N64*100-100</f>
        <v>#VALUE!</v>
      </c>
      <c r="S80" s="2854"/>
      <c r="T80" s="2854"/>
      <c r="U80" s="2854"/>
      <c r="V80" s="1608" t="e">
        <f>V64/R64*100-100</f>
        <v>#VALUE!</v>
      </c>
      <c r="W80" s="2854"/>
      <c r="X80" s="2854"/>
      <c r="Y80" s="2854"/>
      <c r="Z80" s="1608" t="e">
        <f>Z64/V64*100-100</f>
        <v>#VALUE!</v>
      </c>
      <c r="AA80" s="2854"/>
      <c r="AB80" s="2854"/>
      <c r="AC80" s="2854"/>
      <c r="AD80" s="1608" t="e">
        <f>AD64/Z64*100-100</f>
        <v>#VALUE!</v>
      </c>
      <c r="AE80" s="2854"/>
      <c r="AF80" s="2854"/>
      <c r="AG80" s="2854"/>
      <c r="AH80" s="1608" t="e">
        <f>AH64/AD64*100-100</f>
        <v>#VALUE!</v>
      </c>
      <c r="AI80" s="2854"/>
      <c r="AJ80" s="2854"/>
      <c r="AK80" s="2854"/>
      <c r="AL80" s="1608" t="e">
        <f>AL64/AH64*100-100</f>
        <v>#VALUE!</v>
      </c>
      <c r="AM80" s="2854"/>
      <c r="AN80" s="2854"/>
      <c r="AO80" s="2854"/>
      <c r="AP80" s="1608" t="e">
        <f>AP64/AL64*100-100</f>
        <v>#VALUE!</v>
      </c>
      <c r="AQ80" s="2854"/>
      <c r="AR80" s="2854"/>
      <c r="AS80" s="2854"/>
      <c r="AT80" s="1608" t="e">
        <f>AT64/AP64*100-100</f>
        <v>#VALUE!</v>
      </c>
      <c r="AU80" s="2854"/>
      <c r="AV80" s="2854"/>
      <c r="AW80" s="2854"/>
      <c r="AX80" s="1608" t="e">
        <f>AX64/AT64*100-100</f>
        <v>#VALUE!</v>
      </c>
      <c r="AY80" s="2854"/>
      <c r="AZ80" s="2854"/>
      <c r="BA80" s="2854"/>
      <c r="BB80" s="1608" t="e">
        <f>BB64/AX64*100-100</f>
        <v>#VALUE!</v>
      </c>
      <c r="BC80" s="2854"/>
      <c r="BD80" s="2854"/>
      <c r="BE80" s="2854"/>
      <c r="BF80" s="1608" t="e">
        <f>BF64/BB64*100-100</f>
        <v>#VALUE!</v>
      </c>
      <c r="BG80" s="2854"/>
      <c r="BH80" s="2854"/>
      <c r="BI80" s="2854"/>
      <c r="BJ80" s="1608" t="e">
        <f>BJ64/BF64*100-100</f>
        <v>#VALUE!</v>
      </c>
      <c r="BK80" s="2854"/>
      <c r="BL80" s="2854"/>
      <c r="BM80" s="2854"/>
      <c r="BN80" s="1610" t="e">
        <f>BN64/BJ64*100-100</f>
        <v>#VALUE!</v>
      </c>
      <c r="BO80" s="2854"/>
      <c r="BP80" s="2854"/>
      <c r="BQ80" s="2854"/>
      <c r="BR80" s="1610" t="e">
        <f>BR64/BN64*100-100</f>
        <v>#VALUE!</v>
      </c>
      <c r="BS80" s="2854"/>
      <c r="BT80" s="2854"/>
      <c r="BU80" s="2854"/>
      <c r="BV80" s="1610" t="e">
        <f>BV64/BR64*100-100</f>
        <v>#VALUE!</v>
      </c>
      <c r="BW80" s="2854"/>
      <c r="BX80" s="2854"/>
      <c r="BY80" s="2854"/>
      <c r="BZ80" s="1610" t="e">
        <f>BZ64/BV64*100-100</f>
        <v>#VALUE!</v>
      </c>
      <c r="CA80" s="2854"/>
      <c r="CB80" s="2854"/>
      <c r="CC80" s="2854"/>
      <c r="CD80" s="1610" t="e">
        <f>CD64/BZ64*100-100</f>
        <v>#VALUE!</v>
      </c>
      <c r="CE80" s="2854"/>
      <c r="CF80" s="2854"/>
      <c r="CG80" s="2854"/>
      <c r="CH80" s="1610" t="e">
        <f>CH64/CD64*100-100</f>
        <v>#VALUE!</v>
      </c>
      <c r="CI80" s="2854"/>
      <c r="CJ80" s="2854"/>
      <c r="CK80" s="2854"/>
      <c r="CL80" s="1610" t="e">
        <f>CL64/CH64*100-100</f>
        <v>#VALUE!</v>
      </c>
      <c r="CM80" s="2854"/>
      <c r="CN80" s="2854"/>
      <c r="CO80" s="2854"/>
      <c r="CP80" s="1610" t="e">
        <f>CP64/CL64*100-100</f>
        <v>#VALUE!</v>
      </c>
      <c r="CQ80" s="2854"/>
      <c r="CR80" s="2854"/>
      <c r="CS80" s="2854"/>
      <c r="CT80" s="1610" t="e">
        <f>CT64/CP64*100-100</f>
        <v>#VALUE!</v>
      </c>
      <c r="CU80" s="2854"/>
      <c r="CV80" s="2854"/>
      <c r="CW80" s="2854"/>
      <c r="CX80" s="1610" t="e">
        <f>CX64/CT64*100-100</f>
        <v>#VALUE!</v>
      </c>
      <c r="CY80" s="2854"/>
      <c r="CZ80" s="2854"/>
      <c r="DA80" s="2854"/>
      <c r="DB80" s="1610" t="e">
        <f>DB64/CX64*100-100</f>
        <v>#VALUE!</v>
      </c>
    </row>
    <row r="81" spans="1:119" ht="12.75" customHeight="1">
      <c r="C81" s="3072"/>
      <c r="D81" s="717"/>
      <c r="E81" s="3068" t="s">
        <v>1847</v>
      </c>
      <c r="F81" s="3634"/>
      <c r="G81" s="2854"/>
      <c r="H81" s="2854"/>
      <c r="I81" s="2854"/>
      <c r="J81" s="2854"/>
      <c r="K81" s="2854"/>
      <c r="L81" s="2854"/>
      <c r="M81" s="2854"/>
      <c r="N81" s="1599">
        <f ca="1">N65/J65*100-100</f>
        <v>2.0956266614632284</v>
      </c>
      <c r="O81" s="2854"/>
      <c r="P81" s="2854"/>
      <c r="Q81" s="2854"/>
      <c r="R81" s="1599">
        <f ca="1">R65/N65*100-100</f>
        <v>18.535232583329517</v>
      </c>
      <c r="S81" s="2854"/>
      <c r="T81" s="2854"/>
      <c r="U81" s="2854"/>
      <c r="V81" s="1599">
        <f ca="1">V65/R65*100-100</f>
        <v>23.745739419534573</v>
      </c>
      <c r="W81" s="2854"/>
      <c r="X81" s="2854"/>
      <c r="Y81" s="2854"/>
      <c r="Z81" s="1599">
        <f ca="1">Z65/V65*100-100</f>
        <v>-7.7827887538057183</v>
      </c>
      <c r="AA81" s="2854"/>
      <c r="AB81" s="2854"/>
      <c r="AC81" s="2854"/>
      <c r="AD81" s="1599">
        <f ca="1">AD65/Z65*100-100</f>
        <v>-16.786978888941334</v>
      </c>
      <c r="AE81" s="2854"/>
      <c r="AF81" s="2854"/>
      <c r="AG81" s="2854"/>
      <c r="AH81" s="1599">
        <f ca="1">AH65/AD65*100-100</f>
        <v>8.7285844414662535</v>
      </c>
      <c r="AI81" s="2854"/>
      <c r="AJ81" s="2854"/>
      <c r="AK81" s="2854"/>
      <c r="AL81" s="1599">
        <f ca="1">AL65/AH65*100-100</f>
        <v>11.301678425609623</v>
      </c>
      <c r="AM81" s="2854"/>
      <c r="AN81" s="2854"/>
      <c r="AO81" s="2854"/>
      <c r="AP81" s="1599">
        <f ca="1">AP65/AL65*100-100</f>
        <v>19.747935854732603</v>
      </c>
      <c r="AQ81" s="2854"/>
      <c r="AR81" s="2854"/>
      <c r="AS81" s="2854"/>
      <c r="AT81" s="1599">
        <f ca="1">AT65/AP65*100-100</f>
        <v>5.8303062805156003</v>
      </c>
      <c r="AU81" s="2854"/>
      <c r="AV81" s="2854"/>
      <c r="AW81" s="2854"/>
      <c r="AX81" s="1599">
        <f ca="1">AX65/AT65*100-100</f>
        <v>11.323411986922508</v>
      </c>
      <c r="AY81" s="2854"/>
      <c r="AZ81" s="2854"/>
      <c r="BA81" s="2854"/>
      <c r="BB81" s="1599">
        <f ca="1">BB65/AX65*100-100</f>
        <v>22.037645468789151</v>
      </c>
      <c r="BC81" s="2854"/>
      <c r="BD81" s="2854"/>
      <c r="BE81" s="2854"/>
      <c r="BF81" s="1599">
        <f ca="1">BF65/BB65*100-100</f>
        <v>21.493248363805222</v>
      </c>
      <c r="BG81" s="2854"/>
      <c r="BH81" s="2854"/>
      <c r="BI81" s="2854"/>
      <c r="BJ81" s="1599">
        <f ca="1">BJ65/BF65*100-100</f>
        <v>0.62409770324217106</v>
      </c>
      <c r="BK81" s="2854"/>
      <c r="BL81" s="2854"/>
      <c r="BM81" s="2854"/>
      <c r="BN81" s="1612">
        <f ca="1">BN65/BJ65*100-100</f>
        <v>-37.006579121244009</v>
      </c>
      <c r="BO81" s="2854"/>
      <c r="BP81" s="2854"/>
      <c r="BQ81" s="2854"/>
      <c r="BR81" s="1612">
        <f ca="1">BR65/BN65*100-100</f>
        <v>-7.145265308602049</v>
      </c>
      <c r="BS81" s="2854"/>
      <c r="BT81" s="2854"/>
      <c r="BU81" s="2854"/>
      <c r="BV81" s="1612">
        <f ca="1">BV65/BR65*100-100</f>
        <v>14.472170013816665</v>
      </c>
      <c r="BW81" s="2854"/>
      <c r="BX81" s="2854"/>
      <c r="BY81" s="2854"/>
      <c r="BZ81" s="1612">
        <f ca="1">BZ65/BV65*100-100</f>
        <v>-4.3509722108421016</v>
      </c>
      <c r="CA81" s="2854"/>
      <c r="CB81" s="2854"/>
      <c r="CC81" s="2854"/>
      <c r="CD81" s="1612">
        <f ca="1">CD65/BZ65*100-100</f>
        <v>7.9870704901139362</v>
      </c>
      <c r="CE81" s="2854"/>
      <c r="CF81" s="2854"/>
      <c r="CG81" s="2854"/>
      <c r="CH81" s="1612">
        <f ca="1">CH65/CD65*100-100</f>
        <v>8.4108849124328628</v>
      </c>
      <c r="CI81" s="2854"/>
      <c r="CJ81" s="2854"/>
      <c r="CK81" s="2854"/>
      <c r="CL81" s="1612">
        <f ca="1">CL65/CH65*100-100</f>
        <v>8.3072391242723143E-2</v>
      </c>
      <c r="CM81" s="2854"/>
      <c r="CN81" s="2854"/>
      <c r="CO81" s="2854"/>
      <c r="CP81" s="1612">
        <f ca="1">CP65/CL65*100-100</f>
        <v>-6.6149117073220935</v>
      </c>
      <c r="CQ81" s="2854"/>
      <c r="CR81" s="2854"/>
      <c r="CS81" s="2854"/>
      <c r="CT81" s="1612">
        <f ca="1">CT65/CP65*100-100</f>
        <v>4.536354253551238</v>
      </c>
      <c r="CU81" s="2854"/>
      <c r="CV81" s="2854"/>
      <c r="CW81" s="2854"/>
      <c r="CX81" s="1612">
        <f ca="1">CX65/CT65*100-100</f>
        <v>5.6757013314071401</v>
      </c>
      <c r="CY81" s="2854"/>
      <c r="CZ81" s="2854"/>
      <c r="DA81" s="2854"/>
      <c r="DB81" s="1612">
        <f ca="1">DB65/CX65*100-100</f>
        <v>4.065761461761852</v>
      </c>
    </row>
    <row r="82" spans="1:119" ht="12.75" customHeight="1">
      <c r="C82" s="3072"/>
      <c r="D82" s="674"/>
      <c r="E82" s="3545" t="s">
        <v>1791</v>
      </c>
      <c r="F82" s="3057"/>
      <c r="G82" s="2853"/>
      <c r="H82" s="2853" t="e">
        <f t="shared" ref="H82:N82" si="205">(H66/G66-1)*100</f>
        <v>#VALUE!</v>
      </c>
      <c r="I82" s="2853" t="e">
        <f t="shared" si="205"/>
        <v>#VALUE!</v>
      </c>
      <c r="J82" s="2853" t="e">
        <f t="shared" si="205"/>
        <v>#VALUE!</v>
      </c>
      <c r="K82" s="2853" t="e">
        <f t="shared" si="205"/>
        <v>#VALUE!</v>
      </c>
      <c r="L82" s="2853" t="e">
        <f t="shared" si="205"/>
        <v>#VALUE!</v>
      </c>
      <c r="M82" s="2853" t="e">
        <f t="shared" si="205"/>
        <v>#VALUE!</v>
      </c>
      <c r="N82" s="2853" t="e">
        <f t="shared" si="205"/>
        <v>#VALUE!</v>
      </c>
      <c r="O82" s="2853" t="e">
        <f t="shared" ref="O82:BJ82" si="206">(O66/N66-1)*100</f>
        <v>#VALUE!</v>
      </c>
      <c r="P82" s="2853" t="e">
        <f t="shared" si="206"/>
        <v>#VALUE!</v>
      </c>
      <c r="Q82" s="2853" t="e">
        <f t="shared" si="206"/>
        <v>#VALUE!</v>
      </c>
      <c r="R82" s="2853" t="e">
        <f t="shared" si="206"/>
        <v>#VALUE!</v>
      </c>
      <c r="S82" s="2853" t="e">
        <f t="shared" si="206"/>
        <v>#VALUE!</v>
      </c>
      <c r="T82" s="2853" t="e">
        <f t="shared" si="206"/>
        <v>#VALUE!</v>
      </c>
      <c r="U82" s="2853" t="e">
        <f t="shared" si="206"/>
        <v>#VALUE!</v>
      </c>
      <c r="V82" s="2853" t="e">
        <f t="shared" si="206"/>
        <v>#VALUE!</v>
      </c>
      <c r="W82" s="2853" t="e">
        <f t="shared" si="206"/>
        <v>#VALUE!</v>
      </c>
      <c r="X82" s="2853" t="e">
        <f t="shared" si="206"/>
        <v>#VALUE!</v>
      </c>
      <c r="Y82" s="2853" t="e">
        <f t="shared" si="206"/>
        <v>#VALUE!</v>
      </c>
      <c r="Z82" s="2853" t="e">
        <f t="shared" si="206"/>
        <v>#VALUE!</v>
      </c>
      <c r="AA82" s="2853" t="e">
        <f t="shared" si="206"/>
        <v>#VALUE!</v>
      </c>
      <c r="AB82" s="2853" t="e">
        <f t="shared" si="206"/>
        <v>#VALUE!</v>
      </c>
      <c r="AC82" s="2853" t="e">
        <f t="shared" si="206"/>
        <v>#VALUE!</v>
      </c>
      <c r="AD82" s="2853" t="e">
        <f t="shared" si="206"/>
        <v>#VALUE!</v>
      </c>
      <c r="AE82" s="2853" t="e">
        <f t="shared" si="206"/>
        <v>#VALUE!</v>
      </c>
      <c r="AF82" s="2853" t="e">
        <f t="shared" si="206"/>
        <v>#VALUE!</v>
      </c>
      <c r="AG82" s="2853" t="e">
        <f t="shared" si="206"/>
        <v>#VALUE!</v>
      </c>
      <c r="AH82" s="2853" t="e">
        <f t="shared" si="206"/>
        <v>#VALUE!</v>
      </c>
      <c r="AI82" s="2853" t="e">
        <f t="shared" si="206"/>
        <v>#VALUE!</v>
      </c>
      <c r="AJ82" s="2853" t="e">
        <f t="shared" si="206"/>
        <v>#VALUE!</v>
      </c>
      <c r="AK82" s="2853" t="e">
        <f t="shared" si="206"/>
        <v>#VALUE!</v>
      </c>
      <c r="AL82" s="2853" t="e">
        <f t="shared" si="206"/>
        <v>#VALUE!</v>
      </c>
      <c r="AM82" s="2853" t="e">
        <f t="shared" si="206"/>
        <v>#VALUE!</v>
      </c>
      <c r="AN82" s="2853" t="e">
        <f t="shared" si="206"/>
        <v>#VALUE!</v>
      </c>
      <c r="AO82" s="2853" t="e">
        <f t="shared" si="206"/>
        <v>#VALUE!</v>
      </c>
      <c r="AP82" s="2853" t="e">
        <f t="shared" si="206"/>
        <v>#VALUE!</v>
      </c>
      <c r="AQ82" s="2853" t="e">
        <f t="shared" si="206"/>
        <v>#VALUE!</v>
      </c>
      <c r="AR82" s="2853" t="e">
        <f t="shared" si="206"/>
        <v>#VALUE!</v>
      </c>
      <c r="AS82" s="2853" t="e">
        <f t="shared" si="206"/>
        <v>#VALUE!</v>
      </c>
      <c r="AT82" s="2853" t="e">
        <f t="shared" si="206"/>
        <v>#VALUE!</v>
      </c>
      <c r="AU82" s="2853" t="e">
        <f t="shared" si="206"/>
        <v>#VALUE!</v>
      </c>
      <c r="AV82" s="2853" t="e">
        <f t="shared" si="206"/>
        <v>#VALUE!</v>
      </c>
      <c r="AW82" s="2853" t="e">
        <f t="shared" si="206"/>
        <v>#VALUE!</v>
      </c>
      <c r="AX82" s="2853" t="e">
        <f t="shared" si="206"/>
        <v>#VALUE!</v>
      </c>
      <c r="AY82" s="2853" t="e">
        <f t="shared" si="206"/>
        <v>#VALUE!</v>
      </c>
      <c r="AZ82" s="2853" t="e">
        <f t="shared" si="206"/>
        <v>#VALUE!</v>
      </c>
      <c r="BA82" s="2853" t="e">
        <f t="shared" si="206"/>
        <v>#VALUE!</v>
      </c>
      <c r="BB82" s="2853" t="e">
        <f t="shared" si="206"/>
        <v>#VALUE!</v>
      </c>
      <c r="BC82" s="2853" t="e">
        <f t="shared" si="206"/>
        <v>#VALUE!</v>
      </c>
      <c r="BD82" s="2853" t="e">
        <f t="shared" si="206"/>
        <v>#VALUE!</v>
      </c>
      <c r="BE82" s="2853" t="e">
        <f t="shared" si="206"/>
        <v>#VALUE!</v>
      </c>
      <c r="BF82" s="2853" t="e">
        <f t="shared" si="206"/>
        <v>#VALUE!</v>
      </c>
      <c r="BG82" s="2853" t="e">
        <f t="shared" si="206"/>
        <v>#VALUE!</v>
      </c>
      <c r="BH82" s="2853" t="e">
        <f t="shared" si="206"/>
        <v>#VALUE!</v>
      </c>
      <c r="BI82" s="2853" t="e">
        <f t="shared" si="206"/>
        <v>#VALUE!</v>
      </c>
      <c r="BJ82" s="2853" t="e">
        <f t="shared" si="206"/>
        <v>#VALUE!</v>
      </c>
      <c r="BK82" s="2880">
        <v>0</v>
      </c>
      <c r="BL82" s="2880">
        <v>0</v>
      </c>
      <c r="BM82" s="2880">
        <v>0</v>
      </c>
      <c r="BN82" s="740">
        <v>0</v>
      </c>
      <c r="BO82" s="2880">
        <v>0</v>
      </c>
      <c r="BP82" s="2880">
        <v>0</v>
      </c>
      <c r="BQ82" s="2880">
        <v>0</v>
      </c>
      <c r="BR82" s="740">
        <v>0</v>
      </c>
      <c r="BS82" s="2880">
        <v>0</v>
      </c>
      <c r="BT82" s="2880">
        <v>0</v>
      </c>
      <c r="BU82" s="2880">
        <v>0</v>
      </c>
      <c r="BV82" s="740">
        <v>0</v>
      </c>
      <c r="BW82" s="2880">
        <v>0</v>
      </c>
      <c r="BX82" s="2880">
        <v>0</v>
      </c>
      <c r="BY82" s="2880">
        <v>0</v>
      </c>
      <c r="BZ82" s="740">
        <v>0</v>
      </c>
      <c r="CA82" s="2880">
        <v>0</v>
      </c>
      <c r="CB82" s="2880">
        <v>0</v>
      </c>
      <c r="CC82" s="2880">
        <v>0</v>
      </c>
      <c r="CD82" s="740">
        <v>0</v>
      </c>
      <c r="CE82" s="2880">
        <v>0</v>
      </c>
      <c r="CF82" s="2880">
        <v>0</v>
      </c>
      <c r="CG82" s="2880">
        <v>0</v>
      </c>
      <c r="CH82" s="740">
        <v>0</v>
      </c>
      <c r="CI82" s="2880">
        <v>0</v>
      </c>
      <c r="CJ82" s="2880">
        <v>0</v>
      </c>
      <c r="CK82" s="2880">
        <v>0</v>
      </c>
      <c r="CL82" s="740">
        <v>0</v>
      </c>
      <c r="CM82" s="2880">
        <v>0</v>
      </c>
      <c r="CN82" s="2880">
        <v>0</v>
      </c>
      <c r="CO82" s="2880">
        <v>0</v>
      </c>
      <c r="CP82" s="740">
        <v>0</v>
      </c>
      <c r="CQ82" s="2880">
        <v>0</v>
      </c>
      <c r="CR82" s="2880">
        <v>0</v>
      </c>
      <c r="CS82" s="2880">
        <v>0</v>
      </c>
      <c r="CT82" s="740">
        <v>0</v>
      </c>
      <c r="CU82" s="2880">
        <v>0</v>
      </c>
      <c r="CV82" s="2880">
        <v>0</v>
      </c>
      <c r="CW82" s="2880">
        <v>0</v>
      </c>
      <c r="CX82" s="740">
        <v>0</v>
      </c>
      <c r="CY82" s="2880">
        <v>0</v>
      </c>
      <c r="CZ82" s="2880">
        <v>0</v>
      </c>
      <c r="DA82" s="2880">
        <v>0</v>
      </c>
      <c r="DB82" s="740">
        <v>0</v>
      </c>
    </row>
    <row r="83" spans="1:119" ht="12.75" customHeight="1">
      <c r="C83" s="3072"/>
      <c r="D83" s="717"/>
      <c r="E83" s="3068" t="s">
        <v>266</v>
      </c>
      <c r="F83" s="3634"/>
      <c r="G83" s="2854"/>
      <c r="H83" s="2854"/>
      <c r="I83" s="2854"/>
      <c r="J83" s="2854"/>
      <c r="K83" s="2854"/>
      <c r="L83" s="2854"/>
      <c r="M83" s="2854"/>
      <c r="N83" s="1608" t="e">
        <f>N67/J67*100-100</f>
        <v>#VALUE!</v>
      </c>
      <c r="O83" s="2854"/>
      <c r="P83" s="2854"/>
      <c r="Q83" s="2854"/>
      <c r="R83" s="1608" t="e">
        <f>R67/N67*100-100</f>
        <v>#VALUE!</v>
      </c>
      <c r="S83" s="2854"/>
      <c r="T83" s="2854"/>
      <c r="U83" s="2854"/>
      <c r="V83" s="1608" t="e">
        <f>V67/R67*100-100</f>
        <v>#VALUE!</v>
      </c>
      <c r="W83" s="2854"/>
      <c r="X83" s="2854"/>
      <c r="Y83" s="2854"/>
      <c r="Z83" s="1608" t="e">
        <f>Z67/V67*100-100</f>
        <v>#VALUE!</v>
      </c>
      <c r="AA83" s="2854"/>
      <c r="AB83" s="2854"/>
      <c r="AC83" s="2854"/>
      <c r="AD83" s="1608" t="e">
        <f>AD67/Z67*100-100</f>
        <v>#VALUE!</v>
      </c>
      <c r="AE83" s="2854"/>
      <c r="AF83" s="2854"/>
      <c r="AG83" s="2854"/>
      <c r="AH83" s="1608" t="e">
        <f>AH67/AD67*100-100</f>
        <v>#VALUE!</v>
      </c>
      <c r="AI83" s="2854"/>
      <c r="AJ83" s="2854"/>
      <c r="AK83" s="2854"/>
      <c r="AL83" s="1608" t="e">
        <f>AL67/AH67*100-100</f>
        <v>#VALUE!</v>
      </c>
      <c r="AM83" s="2854"/>
      <c r="AN83" s="2854"/>
      <c r="AO83" s="2854"/>
      <c r="AP83" s="1608" t="e">
        <f>AP67/AL67*100-100</f>
        <v>#VALUE!</v>
      </c>
      <c r="AQ83" s="2854"/>
      <c r="AR83" s="2854"/>
      <c r="AS83" s="2854"/>
      <c r="AT83" s="1608" t="e">
        <f>AT67/AP67*100-100</f>
        <v>#VALUE!</v>
      </c>
      <c r="AU83" s="2854"/>
      <c r="AV83" s="2854"/>
      <c r="AW83" s="2854"/>
      <c r="AX83" s="1608" t="e">
        <f>AX67/AT67*100-100</f>
        <v>#VALUE!</v>
      </c>
      <c r="AY83" s="2854"/>
      <c r="AZ83" s="2854"/>
      <c r="BA83" s="2854"/>
      <c r="BB83" s="1608" t="e">
        <f>BB67/AX67*100-100</f>
        <v>#VALUE!</v>
      </c>
      <c r="BC83" s="2854"/>
      <c r="BD83" s="2854"/>
      <c r="BE83" s="2854"/>
      <c r="BF83" s="1608" t="e">
        <f>BF67/BB67*100-100</f>
        <v>#VALUE!</v>
      </c>
      <c r="BG83" s="2854"/>
      <c r="BH83" s="2854"/>
      <c r="BI83" s="2854"/>
      <c r="BJ83" s="1608" t="e">
        <f>BJ67/BF67*100-100</f>
        <v>#VALUE!</v>
      </c>
      <c r="BK83" s="2854"/>
      <c r="BL83" s="2854"/>
      <c r="BM83" s="2854"/>
      <c r="BN83" s="1610" t="e">
        <f>BN67/BJ67*100-100</f>
        <v>#VALUE!</v>
      </c>
      <c r="BO83" s="2854"/>
      <c r="BP83" s="2854"/>
      <c r="BQ83" s="2854"/>
      <c r="BR83" s="1610" t="e">
        <f>BR67/BN67*100-100</f>
        <v>#VALUE!</v>
      </c>
      <c r="BS83" s="2854"/>
      <c r="BT83" s="2854"/>
      <c r="BU83" s="2854"/>
      <c r="BV83" s="1610" t="e">
        <f>BV67/BR67*100-100</f>
        <v>#VALUE!</v>
      </c>
      <c r="BW83" s="2854"/>
      <c r="BX83" s="2854"/>
      <c r="BY83" s="2854"/>
      <c r="BZ83" s="1610" t="e">
        <f>BZ67/BV67*100-100</f>
        <v>#VALUE!</v>
      </c>
      <c r="CA83" s="2854"/>
      <c r="CB83" s="2854"/>
      <c r="CC83" s="2854"/>
      <c r="CD83" s="1610" t="e">
        <f>CD67/BZ67*100-100</f>
        <v>#VALUE!</v>
      </c>
      <c r="CE83" s="2854"/>
      <c r="CF83" s="2854"/>
      <c r="CG83" s="2854"/>
      <c r="CH83" s="1610" t="e">
        <f>CH67/CD67*100-100</f>
        <v>#VALUE!</v>
      </c>
      <c r="CI83" s="2854"/>
      <c r="CJ83" s="2854"/>
      <c r="CK83" s="2854"/>
      <c r="CL83" s="1610" t="e">
        <f>CL67/CH67*100-100</f>
        <v>#VALUE!</v>
      </c>
      <c r="CM83" s="2854"/>
      <c r="CN83" s="2854"/>
      <c r="CO83" s="2854"/>
      <c r="CP83" s="1610" t="e">
        <f>CP67/CL67*100-100</f>
        <v>#VALUE!</v>
      </c>
      <c r="CQ83" s="2854"/>
      <c r="CR83" s="2854"/>
      <c r="CS83" s="2854"/>
      <c r="CT83" s="1610" t="e">
        <f>CT67/CP67*100-100</f>
        <v>#VALUE!</v>
      </c>
      <c r="CU83" s="2854"/>
      <c r="CV83" s="2854"/>
      <c r="CW83" s="2854"/>
      <c r="CX83" s="1610" t="e">
        <f>CX67/CT67*100-100</f>
        <v>#VALUE!</v>
      </c>
      <c r="CY83" s="2854"/>
      <c r="CZ83" s="2854"/>
      <c r="DA83" s="2854"/>
      <c r="DB83" s="1610" t="e">
        <f>DB67/CX67*100-100</f>
        <v>#VALUE!</v>
      </c>
    </row>
    <row r="84" spans="1:119" ht="12.75" customHeight="1">
      <c r="C84" s="3072"/>
      <c r="D84" s="717"/>
      <c r="E84" s="3068" t="s">
        <v>1847</v>
      </c>
      <c r="F84" s="3634"/>
      <c r="G84" s="2854"/>
      <c r="H84" s="2854"/>
      <c r="I84" s="2854"/>
      <c r="J84" s="2854"/>
      <c r="K84" s="2854"/>
      <c r="L84" s="2854"/>
      <c r="M84" s="2854"/>
      <c r="N84" s="1599">
        <f ca="1">N68/J68*100-100</f>
        <v>7.0010775921349904</v>
      </c>
      <c r="O84" s="2854"/>
      <c r="P84" s="2854"/>
      <c r="Q84" s="2854"/>
      <c r="R84" s="1599">
        <f ca="1">R68/N68*100-100</f>
        <v>11.672211641179956</v>
      </c>
      <c r="S84" s="2854"/>
      <c r="T84" s="2854"/>
      <c r="U84" s="2854"/>
      <c r="V84" s="1599">
        <f ca="1">V68/R68*100-100</f>
        <v>3.3973109097836982</v>
      </c>
      <c r="W84" s="2854"/>
      <c r="X84" s="2854"/>
      <c r="Y84" s="2854"/>
      <c r="Z84" s="1599">
        <f ca="1">Z68/V68*100-100</f>
        <v>-3.4032499959780154</v>
      </c>
      <c r="AA84" s="2854"/>
      <c r="AB84" s="2854"/>
      <c r="AC84" s="2854"/>
      <c r="AD84" s="1599">
        <f ca="1">AD68/Z68*100-100</f>
        <v>48.545623101290545</v>
      </c>
      <c r="AE84" s="2854"/>
      <c r="AF84" s="2854"/>
      <c r="AG84" s="2854"/>
      <c r="AH84" s="1599">
        <f ca="1">AH68/AD68*100-100</f>
        <v>-4.6057275694915916</v>
      </c>
      <c r="AI84" s="2854"/>
      <c r="AJ84" s="2854"/>
      <c r="AK84" s="2854"/>
      <c r="AL84" s="1599">
        <f ca="1">AL68/AH68*100-100</f>
        <v>8.4033625790541606</v>
      </c>
      <c r="AM84" s="2854"/>
      <c r="AN84" s="2854"/>
      <c r="AO84" s="2854"/>
      <c r="AP84" s="1599">
        <f ca="1">AP68/AL68*100-100</f>
        <v>2.3645301255766498</v>
      </c>
      <c r="AQ84" s="2854"/>
      <c r="AR84" s="2854"/>
      <c r="AS84" s="2854"/>
      <c r="AT84" s="1599">
        <f ca="1">AT68/AP68*100-100</f>
        <v>5.6854829335765515</v>
      </c>
      <c r="AU84" s="2854"/>
      <c r="AV84" s="2854"/>
      <c r="AW84" s="2854"/>
      <c r="AX84" s="1599">
        <f ca="1">AX68/AT68*100-100</f>
        <v>7.5273671143212084</v>
      </c>
      <c r="AY84" s="2854"/>
      <c r="AZ84" s="2854"/>
      <c r="BA84" s="2854"/>
      <c r="BB84" s="1599">
        <f ca="1">BB68/AX68*100-100</f>
        <v>11.851910159529794</v>
      </c>
      <c r="BC84" s="2854"/>
      <c r="BD84" s="2854"/>
      <c r="BE84" s="2854"/>
      <c r="BF84" s="1599">
        <f ca="1">BF68/BB68*100-100</f>
        <v>23.854652935794874</v>
      </c>
      <c r="BG84" s="2854"/>
      <c r="BH84" s="2854"/>
      <c r="BI84" s="2854"/>
      <c r="BJ84" s="1599">
        <f ca="1">BJ68/BF68*100-100</f>
        <v>19.981817493086879</v>
      </c>
      <c r="BK84" s="2854"/>
      <c r="BL84" s="2854"/>
      <c r="BM84" s="2854"/>
      <c r="BN84" s="1612">
        <f ca="1">BN68/BJ68*100-100</f>
        <v>-16.317800088400588</v>
      </c>
      <c r="BO84" s="2854"/>
      <c r="BP84" s="2854"/>
      <c r="BQ84" s="2854"/>
      <c r="BR84" s="1612">
        <f ca="1">BR68/BN68*100-100</f>
        <v>10.060176189847382</v>
      </c>
      <c r="BS84" s="2854"/>
      <c r="BT84" s="2854"/>
      <c r="BU84" s="2854"/>
      <c r="BV84" s="1612">
        <f ca="1">BV68/BR68*100-100</f>
        <v>9.0292060880296106</v>
      </c>
      <c r="BW84" s="2854"/>
      <c r="BX84" s="2854"/>
      <c r="BY84" s="2854"/>
      <c r="BZ84" s="1612">
        <f ca="1">BZ68/BV68*100-100</f>
        <v>0.23737659561089686</v>
      </c>
      <c r="CA84" s="2854"/>
      <c r="CB84" s="2854"/>
      <c r="CC84" s="2854"/>
      <c r="CD84" s="1612">
        <f ca="1">CD68/BZ68*100-100</f>
        <v>-3.9364521744585375</v>
      </c>
      <c r="CE84" s="2854"/>
      <c r="CF84" s="2854"/>
      <c r="CG84" s="2854"/>
      <c r="CH84" s="1612">
        <f ca="1">CH68/CD68*100-100</f>
        <v>11.403523092746482</v>
      </c>
      <c r="CI84" s="2854"/>
      <c r="CJ84" s="2854"/>
      <c r="CK84" s="2854"/>
      <c r="CL84" s="1612">
        <f ca="1">CL68/CH68*100-100</f>
        <v>6.0171751809842107</v>
      </c>
      <c r="CM84" s="2854"/>
      <c r="CN84" s="2854"/>
      <c r="CO84" s="2854"/>
      <c r="CP84" s="1612">
        <f ca="1">CP68/CL68*100-100</f>
        <v>1.9946367355965862</v>
      </c>
      <c r="CQ84" s="2854"/>
      <c r="CR84" s="2854"/>
      <c r="CS84" s="2854"/>
      <c r="CT84" s="1612">
        <f ca="1">CT68/CP68*100-100</f>
        <v>15.468849526339341</v>
      </c>
      <c r="CU84" s="2854"/>
      <c r="CV84" s="2854"/>
      <c r="CW84" s="2854"/>
      <c r="CX84" s="1612">
        <f ca="1">CX68/CT68*100-100</f>
        <v>6.2000000000000028</v>
      </c>
      <c r="CY84" s="2854"/>
      <c r="CZ84" s="2854"/>
      <c r="DA84" s="2854"/>
      <c r="DB84" s="1612">
        <f ca="1">DB68/CX68*100-100</f>
        <v>4.5</v>
      </c>
    </row>
    <row r="85" spans="1:119" ht="12.75" customHeight="1">
      <c r="C85" s="3072"/>
      <c r="D85" s="674"/>
      <c r="E85" s="3635" t="s">
        <v>616</v>
      </c>
      <c r="F85" s="3057"/>
      <c r="G85" s="2853"/>
      <c r="H85" s="2853" t="e">
        <f t="shared" ref="H85:N87" si="207">(H69/G69-1)*100</f>
        <v>#VALUE!</v>
      </c>
      <c r="I85" s="2853" t="e">
        <f t="shared" si="207"/>
        <v>#VALUE!</v>
      </c>
      <c r="J85" s="2853" t="e">
        <f t="shared" si="207"/>
        <v>#VALUE!</v>
      </c>
      <c r="K85" s="2853" t="e">
        <f t="shared" si="207"/>
        <v>#VALUE!</v>
      </c>
      <c r="L85" s="2853" t="e">
        <f t="shared" si="207"/>
        <v>#VALUE!</v>
      </c>
      <c r="M85" s="2853" t="e">
        <f t="shared" si="207"/>
        <v>#VALUE!</v>
      </c>
      <c r="N85" s="2853" t="e">
        <f t="shared" si="207"/>
        <v>#VALUE!</v>
      </c>
      <c r="O85" s="2853" t="e">
        <f t="shared" ref="O85:BN85" si="208">(O69/N69-1)*100</f>
        <v>#VALUE!</v>
      </c>
      <c r="P85" s="2853" t="e">
        <f t="shared" si="208"/>
        <v>#VALUE!</v>
      </c>
      <c r="Q85" s="2853" t="e">
        <f t="shared" si="208"/>
        <v>#VALUE!</v>
      </c>
      <c r="R85" s="2853" t="e">
        <f t="shared" si="208"/>
        <v>#VALUE!</v>
      </c>
      <c r="S85" s="2853" t="e">
        <f t="shared" si="208"/>
        <v>#VALUE!</v>
      </c>
      <c r="T85" s="2853" t="e">
        <f t="shared" si="208"/>
        <v>#VALUE!</v>
      </c>
      <c r="U85" s="2853" t="e">
        <f t="shared" si="208"/>
        <v>#VALUE!</v>
      </c>
      <c r="V85" s="2853" t="e">
        <f t="shared" si="208"/>
        <v>#VALUE!</v>
      </c>
      <c r="W85" s="2853" t="e">
        <f t="shared" si="208"/>
        <v>#VALUE!</v>
      </c>
      <c r="X85" s="2853" t="e">
        <f t="shared" si="208"/>
        <v>#VALUE!</v>
      </c>
      <c r="Y85" s="2853" t="e">
        <f t="shared" si="208"/>
        <v>#VALUE!</v>
      </c>
      <c r="Z85" s="2853" t="e">
        <f t="shared" si="208"/>
        <v>#VALUE!</v>
      </c>
      <c r="AA85" s="2853" t="e">
        <f t="shared" si="208"/>
        <v>#VALUE!</v>
      </c>
      <c r="AB85" s="2853" t="e">
        <f t="shared" si="208"/>
        <v>#VALUE!</v>
      </c>
      <c r="AC85" s="2853" t="e">
        <f t="shared" si="208"/>
        <v>#VALUE!</v>
      </c>
      <c r="AD85" s="2853" t="e">
        <f t="shared" si="208"/>
        <v>#VALUE!</v>
      </c>
      <c r="AE85" s="2853" t="e">
        <f t="shared" si="208"/>
        <v>#VALUE!</v>
      </c>
      <c r="AF85" s="2853" t="e">
        <f t="shared" si="208"/>
        <v>#VALUE!</v>
      </c>
      <c r="AG85" s="2853" t="e">
        <f t="shared" si="208"/>
        <v>#VALUE!</v>
      </c>
      <c r="AH85" s="2853" t="e">
        <f t="shared" si="208"/>
        <v>#VALUE!</v>
      </c>
      <c r="AI85" s="2853" t="e">
        <f t="shared" si="208"/>
        <v>#VALUE!</v>
      </c>
      <c r="AJ85" s="2853" t="e">
        <f t="shared" si="208"/>
        <v>#VALUE!</v>
      </c>
      <c r="AK85" s="2853" t="e">
        <f t="shared" si="208"/>
        <v>#VALUE!</v>
      </c>
      <c r="AL85" s="2853" t="e">
        <f t="shared" si="208"/>
        <v>#VALUE!</v>
      </c>
      <c r="AM85" s="2853" t="e">
        <f t="shared" si="208"/>
        <v>#VALUE!</v>
      </c>
      <c r="AN85" s="2853" t="e">
        <f t="shared" si="208"/>
        <v>#VALUE!</v>
      </c>
      <c r="AO85" s="2853" t="e">
        <f t="shared" si="208"/>
        <v>#VALUE!</v>
      </c>
      <c r="AP85" s="2853" t="e">
        <f t="shared" si="208"/>
        <v>#VALUE!</v>
      </c>
      <c r="AQ85" s="2853" t="e">
        <f t="shared" si="208"/>
        <v>#VALUE!</v>
      </c>
      <c r="AR85" s="2853" t="e">
        <f t="shared" si="208"/>
        <v>#VALUE!</v>
      </c>
      <c r="AS85" s="2853" t="e">
        <f t="shared" si="208"/>
        <v>#VALUE!</v>
      </c>
      <c r="AT85" s="2853" t="e">
        <f t="shared" si="208"/>
        <v>#VALUE!</v>
      </c>
      <c r="AU85" s="2853" t="e">
        <f t="shared" si="208"/>
        <v>#VALUE!</v>
      </c>
      <c r="AV85" s="2853" t="e">
        <f t="shared" si="208"/>
        <v>#VALUE!</v>
      </c>
      <c r="AW85" s="2853" t="e">
        <f t="shared" si="208"/>
        <v>#VALUE!</v>
      </c>
      <c r="AX85" s="2853" t="e">
        <f t="shared" si="208"/>
        <v>#VALUE!</v>
      </c>
      <c r="AY85" s="2853" t="e">
        <f t="shared" si="208"/>
        <v>#VALUE!</v>
      </c>
      <c r="AZ85" s="2853" t="e">
        <f t="shared" si="208"/>
        <v>#VALUE!</v>
      </c>
      <c r="BA85" s="2853" t="e">
        <f t="shared" si="208"/>
        <v>#VALUE!</v>
      </c>
      <c r="BB85" s="2853" t="e">
        <f t="shared" si="208"/>
        <v>#VALUE!</v>
      </c>
      <c r="BC85" s="2853" t="e">
        <f t="shared" si="208"/>
        <v>#VALUE!</v>
      </c>
      <c r="BD85" s="2853" t="e">
        <f t="shared" si="208"/>
        <v>#VALUE!</v>
      </c>
      <c r="BE85" s="2853" t="e">
        <f t="shared" si="208"/>
        <v>#VALUE!</v>
      </c>
      <c r="BF85" s="2853" t="e">
        <f t="shared" si="208"/>
        <v>#VALUE!</v>
      </c>
      <c r="BG85" s="2853" t="e">
        <f t="shared" si="208"/>
        <v>#VALUE!</v>
      </c>
      <c r="BH85" s="2853" t="e">
        <f t="shared" si="208"/>
        <v>#VALUE!</v>
      </c>
      <c r="BI85" s="2853" t="e">
        <f t="shared" si="208"/>
        <v>#VALUE!</v>
      </c>
      <c r="BJ85" s="2853" t="e">
        <f t="shared" si="208"/>
        <v>#VALUE!</v>
      </c>
      <c r="BK85" s="2853" t="e">
        <f t="shared" si="208"/>
        <v>#VALUE!</v>
      </c>
      <c r="BL85" s="2853" t="e">
        <f t="shared" si="208"/>
        <v>#VALUE!</v>
      </c>
      <c r="BM85" s="2853" t="e">
        <f t="shared" si="208"/>
        <v>#VALUE!</v>
      </c>
      <c r="BN85" s="2853" t="e">
        <f t="shared" si="208"/>
        <v>#VALUE!</v>
      </c>
      <c r="BO85" s="2853" t="e">
        <f t="shared" ref="BO85:BV85" si="209">(BO69/BN69-1)*100</f>
        <v>#VALUE!</v>
      </c>
      <c r="BP85" s="2853" t="e">
        <f t="shared" si="209"/>
        <v>#VALUE!</v>
      </c>
      <c r="BQ85" s="2853" t="e">
        <f t="shared" si="209"/>
        <v>#VALUE!</v>
      </c>
      <c r="BR85" s="2853" t="e">
        <f t="shared" si="209"/>
        <v>#VALUE!</v>
      </c>
      <c r="BS85" s="2853" t="e">
        <f t="shared" si="209"/>
        <v>#VALUE!</v>
      </c>
      <c r="BT85" s="2853" t="e">
        <f t="shared" si="209"/>
        <v>#VALUE!</v>
      </c>
      <c r="BU85" s="2853" t="e">
        <f t="shared" si="209"/>
        <v>#VALUE!</v>
      </c>
      <c r="BV85" s="2853" t="e">
        <f t="shared" si="209"/>
        <v>#VALUE!</v>
      </c>
      <c r="BW85" s="2853" t="e">
        <f t="shared" ref="BW85:CD85" si="210">(BW69/BV69-1)*100</f>
        <v>#VALUE!</v>
      </c>
      <c r="BX85" s="2853" t="e">
        <f t="shared" si="210"/>
        <v>#VALUE!</v>
      </c>
      <c r="BY85" s="2853" t="e">
        <f t="shared" si="210"/>
        <v>#VALUE!</v>
      </c>
      <c r="BZ85" s="2853" t="e">
        <f t="shared" si="210"/>
        <v>#VALUE!</v>
      </c>
      <c r="CA85" s="2853" t="e">
        <f t="shared" si="210"/>
        <v>#VALUE!</v>
      </c>
      <c r="CB85" s="2853" t="e">
        <f t="shared" si="210"/>
        <v>#VALUE!</v>
      </c>
      <c r="CC85" s="2853" t="e">
        <f t="shared" si="210"/>
        <v>#VALUE!</v>
      </c>
      <c r="CD85" s="2853" t="e">
        <f t="shared" si="210"/>
        <v>#VALUE!</v>
      </c>
      <c r="CE85" s="2853" t="e">
        <f t="shared" ref="CE85:CL85" si="211">(CE69/CD69-1)*100</f>
        <v>#VALUE!</v>
      </c>
      <c r="CF85" s="2853" t="e">
        <f t="shared" si="211"/>
        <v>#VALUE!</v>
      </c>
      <c r="CG85" s="2853" t="e">
        <f t="shared" si="211"/>
        <v>#VALUE!</v>
      </c>
      <c r="CH85" s="2853" t="e">
        <f t="shared" si="211"/>
        <v>#VALUE!</v>
      </c>
      <c r="CI85" s="2853" t="e">
        <f t="shared" si="211"/>
        <v>#VALUE!</v>
      </c>
      <c r="CJ85" s="2853" t="e">
        <f t="shared" si="211"/>
        <v>#VALUE!</v>
      </c>
      <c r="CK85" s="2853" t="e">
        <f t="shared" si="211"/>
        <v>#VALUE!</v>
      </c>
      <c r="CL85" s="2853" t="e">
        <f t="shared" si="211"/>
        <v>#VALUE!</v>
      </c>
      <c r="CM85" s="2853" t="e">
        <f t="shared" ref="CM85:CT85" si="212">(CM69/CL69-1)*100</f>
        <v>#VALUE!</v>
      </c>
      <c r="CN85" s="2853" t="e">
        <f t="shared" si="212"/>
        <v>#VALUE!</v>
      </c>
      <c r="CO85" s="2853" t="e">
        <f t="shared" si="212"/>
        <v>#VALUE!</v>
      </c>
      <c r="CP85" s="2853" t="e">
        <f t="shared" si="212"/>
        <v>#VALUE!</v>
      </c>
      <c r="CQ85" s="2853" t="e">
        <f t="shared" si="212"/>
        <v>#VALUE!</v>
      </c>
      <c r="CR85" s="2853" t="e">
        <f t="shared" si="212"/>
        <v>#VALUE!</v>
      </c>
      <c r="CS85" s="2853" t="e">
        <f t="shared" si="212"/>
        <v>#VALUE!</v>
      </c>
      <c r="CT85" s="2853" t="e">
        <f t="shared" si="212"/>
        <v>#VALUE!</v>
      </c>
      <c r="CU85" s="2853" t="e">
        <f t="shared" ref="CU85:DB85" si="213">(CU69/CT69-1)*100</f>
        <v>#VALUE!</v>
      </c>
      <c r="CV85" s="2853" t="e">
        <f t="shared" si="213"/>
        <v>#VALUE!</v>
      </c>
      <c r="CW85" s="2853" t="e">
        <f t="shared" si="213"/>
        <v>#VALUE!</v>
      </c>
      <c r="CX85" s="2853" t="e">
        <f t="shared" si="213"/>
        <v>#VALUE!</v>
      </c>
      <c r="CY85" s="2853" t="e">
        <f t="shared" si="213"/>
        <v>#VALUE!</v>
      </c>
      <c r="CZ85" s="2853" t="e">
        <f t="shared" si="213"/>
        <v>#VALUE!</v>
      </c>
      <c r="DA85" s="2853" t="e">
        <f t="shared" si="213"/>
        <v>#VALUE!</v>
      </c>
      <c r="DB85" s="2853" t="e">
        <f t="shared" si="213"/>
        <v>#VALUE!</v>
      </c>
    </row>
    <row r="86" spans="1:119" ht="12.75" customHeight="1">
      <c r="C86" s="3072"/>
      <c r="D86" s="717"/>
      <c r="E86" s="3636" t="s">
        <v>1067</v>
      </c>
      <c r="F86" s="3634"/>
      <c r="G86" s="2854"/>
      <c r="H86" s="2854">
        <f t="shared" si="207"/>
        <v>5.0036845983787881</v>
      </c>
      <c r="I86" s="2854">
        <f t="shared" si="207"/>
        <v>0.65969541722226133</v>
      </c>
      <c r="J86" s="2854">
        <f t="shared" si="207"/>
        <v>8.1572892700271673</v>
      </c>
      <c r="K86" s="2854">
        <f t="shared" si="207"/>
        <v>4.3382969122671478</v>
      </c>
      <c r="L86" s="2854">
        <f t="shared" si="207"/>
        <v>3.4041764487829029</v>
      </c>
      <c r="M86" s="2854">
        <f t="shared" si="207"/>
        <v>3.160662006333248</v>
      </c>
      <c r="N86" s="2854">
        <f t="shared" si="207"/>
        <v>9.359434727209571</v>
      </c>
      <c r="O86" s="2854">
        <f t="shared" ref="O86:BJ86" si="214">(O70/N70-1)*100</f>
        <v>6.7471666137061792</v>
      </c>
      <c r="P86" s="2854">
        <f t="shared" si="214"/>
        <v>2.4905735264933559</v>
      </c>
      <c r="Q86" s="2854">
        <f t="shared" si="214"/>
        <v>8.0114241456094462</v>
      </c>
      <c r="R86" s="2854">
        <f t="shared" si="214"/>
        <v>4.8402276699681668</v>
      </c>
      <c r="S86" s="2854">
        <f t="shared" si="214"/>
        <v>8.0323173598939803</v>
      </c>
      <c r="T86" s="2854">
        <f t="shared" si="214"/>
        <v>5.729661285216836</v>
      </c>
      <c r="U86" s="2854">
        <f t="shared" si="214"/>
        <v>2.4625748502994149</v>
      </c>
      <c r="V86" s="2854">
        <f t="shared" si="214"/>
        <v>-5.2414347286142249</v>
      </c>
      <c r="W86" s="2854">
        <f t="shared" si="214"/>
        <v>-1.7654087807886576</v>
      </c>
      <c r="X86" s="2854">
        <f t="shared" si="214"/>
        <v>2.9821463606042764</v>
      </c>
      <c r="Y86" s="2854">
        <f t="shared" si="214"/>
        <v>-8.6797485235282963</v>
      </c>
      <c r="Z86" s="2854">
        <f t="shared" si="214"/>
        <v>-4.8733675470438387</v>
      </c>
      <c r="AA86" s="2854">
        <f t="shared" si="214"/>
        <v>-2.1711478573621656</v>
      </c>
      <c r="AB86" s="2854">
        <f t="shared" si="214"/>
        <v>-0.96395265423243615</v>
      </c>
      <c r="AC86" s="2854">
        <f t="shared" si="214"/>
        <v>3.3998822943546836</v>
      </c>
      <c r="AD86" s="2854">
        <f t="shared" si="214"/>
        <v>3.3143607705779177</v>
      </c>
      <c r="AE86" s="2854">
        <f t="shared" si="214"/>
        <v>4.4031020892486339</v>
      </c>
      <c r="AF86" s="2854">
        <f t="shared" si="214"/>
        <v>-2.5937652216268869</v>
      </c>
      <c r="AG86" s="2854">
        <f t="shared" si="214"/>
        <v>2.8503562945368266</v>
      </c>
      <c r="AH86" s="2854">
        <f t="shared" si="214"/>
        <v>21.109355374579629</v>
      </c>
      <c r="AI86" s="2854">
        <f t="shared" si="214"/>
        <v>-6.0185340068917075</v>
      </c>
      <c r="AJ86" s="2854">
        <f t="shared" si="214"/>
        <v>-1.5200056955716801</v>
      </c>
      <c r="AK86" s="2854">
        <f t="shared" si="214"/>
        <v>1.5579251762154467</v>
      </c>
      <c r="AL86" s="2854">
        <f t="shared" si="214"/>
        <v>7.1611617312072884</v>
      </c>
      <c r="AM86" s="2854">
        <f t="shared" si="214"/>
        <v>-0.43842168194501152</v>
      </c>
      <c r="AN86" s="2854">
        <f t="shared" si="214"/>
        <v>6.4518281291700008</v>
      </c>
      <c r="AO86" s="2854">
        <f t="shared" si="214"/>
        <v>2.8611720463804557</v>
      </c>
      <c r="AP86" s="2854">
        <f t="shared" si="214"/>
        <v>2.6810468269201637</v>
      </c>
      <c r="AQ86" s="2854">
        <f t="shared" si="214"/>
        <v>4.2755837759249848</v>
      </c>
      <c r="AR86" s="2854">
        <f t="shared" si="214"/>
        <v>4.7917140905986866</v>
      </c>
      <c r="AS86" s="2854">
        <f t="shared" si="214"/>
        <v>1.7486694906049927</v>
      </c>
      <c r="AT86" s="2854">
        <f t="shared" si="214"/>
        <v>0.14143894107601085</v>
      </c>
      <c r="AU86" s="2854">
        <f t="shared" si="214"/>
        <v>17.777055296469001</v>
      </c>
      <c r="AV86" s="2854">
        <f t="shared" si="214"/>
        <v>0.77343750000000711</v>
      </c>
      <c r="AW86" s="2854">
        <f t="shared" si="214"/>
        <v>9.1945112024187878</v>
      </c>
      <c r="AX86" s="2854">
        <f t="shared" si="214"/>
        <v>3.067092651757175</v>
      </c>
      <c r="AY86" s="2854">
        <f t="shared" si="214"/>
        <v>1.8185575532134735</v>
      </c>
      <c r="AZ86" s="2854">
        <f t="shared" si="214"/>
        <v>5.7912184561261126</v>
      </c>
      <c r="BA86" s="2854">
        <f t="shared" si="214"/>
        <v>5.1480463004412558</v>
      </c>
      <c r="BB86" s="2854">
        <f t="shared" si="214"/>
        <v>9.9257997810485286</v>
      </c>
      <c r="BC86" s="2854">
        <f t="shared" si="214"/>
        <v>4.0112869315038102</v>
      </c>
      <c r="BD86" s="2854">
        <f t="shared" si="214"/>
        <v>6.7663173573062174</v>
      </c>
      <c r="BE86" s="2854">
        <f t="shared" si="214"/>
        <v>9.4663943002348816E-2</v>
      </c>
      <c r="BF86" s="2854">
        <f t="shared" si="214"/>
        <v>1.9014435042309819</v>
      </c>
      <c r="BG86" s="2854">
        <f t="shared" si="214"/>
        <v>-0.90367330988667671</v>
      </c>
      <c r="BH86" s="2854">
        <f t="shared" si="214"/>
        <v>-0.82318726277912369</v>
      </c>
      <c r="BI86" s="2854">
        <f t="shared" si="214"/>
        <v>-6.2574552683896663</v>
      </c>
      <c r="BJ86" s="2854">
        <f t="shared" si="214"/>
        <v>-8.6845872435183722</v>
      </c>
      <c r="BK86" s="2854">
        <f t="shared" ref="BK86:BZ86" si="215">IF(UPPER($F87)="N",BK87,(BJ60*BK76+BJ63*BK79+BJ66*BK82)/(BJ60+BJ63+BJ66))</f>
        <v>-22.051907333217201</v>
      </c>
      <c r="BL86" s="2854">
        <f t="shared" si="215"/>
        <v>-12.931098696461818</v>
      </c>
      <c r="BM86" s="2854">
        <f t="shared" si="215"/>
        <v>-9.0255796047566061</v>
      </c>
      <c r="BN86" s="2854">
        <f t="shared" si="215"/>
        <v>0.94978371261986716</v>
      </c>
      <c r="BO86" s="2854">
        <f t="shared" si="215"/>
        <v>-2.8132277596646493</v>
      </c>
      <c r="BP86" s="2854">
        <f t="shared" si="215"/>
        <v>6.8820090098725251</v>
      </c>
      <c r="BQ86" s="2854">
        <f t="shared" si="215"/>
        <v>12.088601919110387</v>
      </c>
      <c r="BR86" s="2854">
        <f t="shared" si="215"/>
        <v>3.6482918633490735</v>
      </c>
      <c r="BS86" s="2854">
        <f>IF(UPPER($F87)="N",BS87,(BR60*BS76+BR63*BS79+BR66*BS82)/(BR60+BR63+BR66))</f>
        <v>6.5766113469702736</v>
      </c>
      <c r="BT86" s="2854">
        <f>IF(UPPER($F87)="N",BT87,(BS60*BT76+BS63*BT79+BS66*BT82)/(BS60+BS63+BS66))</f>
        <v>1.6151227638154575</v>
      </c>
      <c r="BU86" s="2854">
        <f>IF(UPPER($F87)="N",BU87,(BT60*BU76+BT63*BU79+BT66*BU82)/(BT60+BT63+BT66))</f>
        <v>2.9151817533856095</v>
      </c>
      <c r="BV86" s="2854">
        <f>IF(UPPER($F87)="N",BV87,(BU60*BV76+BU63*BV79+BU66*BV82)/(BU60+BU63+BU66))</f>
        <v>0.54020361520878968</v>
      </c>
      <c r="BW86" s="2854">
        <f t="shared" si="215"/>
        <v>-1.467245298615405</v>
      </c>
      <c r="BX86" s="2854">
        <f t="shared" si="215"/>
        <v>-3.4955257270693485</v>
      </c>
      <c r="BY86" s="2854">
        <f t="shared" si="215"/>
        <v>1.2894813097652946</v>
      </c>
      <c r="BZ86" s="2854">
        <f t="shared" si="215"/>
        <v>-1.4375625804606051</v>
      </c>
      <c r="CA86" s="2854">
        <f t="shared" ref="CA86:CH86" si="216">IF(UPPER($F87)="N",CA87,(BZ60*CA76+BZ63*CA79+BZ66*CA82)/(BZ60+BZ63+BZ66))</f>
        <v>4.0635657789710455</v>
      </c>
      <c r="CB86" s="2854">
        <f t="shared" si="216"/>
        <v>3.082072379889822</v>
      </c>
      <c r="CC86" s="2854">
        <f t="shared" si="216"/>
        <v>5.8039640127172998</v>
      </c>
      <c r="CD86" s="2854">
        <f t="shared" si="216"/>
        <v>3.1967265520127519E-2</v>
      </c>
      <c r="CE86" s="2854">
        <f t="shared" si="216"/>
        <v>1.2846733989518189</v>
      </c>
      <c r="CF86" s="2854">
        <f t="shared" si="216"/>
        <v>7.5724111819286399E-2</v>
      </c>
      <c r="CG86" s="2854">
        <f t="shared" si="216"/>
        <v>0.59272337473987857</v>
      </c>
      <c r="CH86" s="2854">
        <f t="shared" si="216"/>
        <v>0.90265153889552696</v>
      </c>
      <c r="CI86" s="2854">
        <f t="shared" ref="CI86:CP86" si="217">IF(UPPER($F87)="N",CI87,(CH60*CI76+CH63*CI79+CH66*CI82)/(CH60+CH63+CH66))</f>
        <v>5.1438156178169603</v>
      </c>
      <c r="CJ86" s="2854">
        <f t="shared" si="217"/>
        <v>1.9852289512555465</v>
      </c>
      <c r="CK86" s="2854">
        <f t="shared" si="217"/>
        <v>-2.659173860147146</v>
      </c>
      <c r="CL86" s="2854">
        <f t="shared" si="217"/>
        <v>-4.9101297464587574</v>
      </c>
      <c r="CM86" s="2854">
        <f t="shared" si="217"/>
        <v>3.9306503098203605</v>
      </c>
      <c r="CN86" s="2854">
        <f t="shared" si="217"/>
        <v>1.4935260463715627</v>
      </c>
      <c r="CO86" s="2854">
        <f t="shared" si="217"/>
        <v>-3.5186613659289212</v>
      </c>
      <c r="CP86" s="2854">
        <f t="shared" si="217"/>
        <v>5.5965559655596575</v>
      </c>
      <c r="CQ86" s="2854">
        <f t="shared" ref="CQ86:CX86" si="218">IF(UPPER($F87)="N",CQ87,(CP60*CQ76+CP63*CQ79+CP66*CQ82)/(CP60+CP63+CP66))</f>
        <v>-0.68142108328480555</v>
      </c>
      <c r="CR86" s="2854">
        <f t="shared" si="218"/>
        <v>2.738521081334655</v>
      </c>
      <c r="CS86" s="2854">
        <f t="shared" si="218"/>
        <v>1.2557077625570789</v>
      </c>
      <c r="CT86" s="2854">
        <f t="shared" si="218"/>
        <v>7.5479143179256081</v>
      </c>
      <c r="CU86" s="2854">
        <f t="shared" si="218"/>
        <v>-1.5</v>
      </c>
      <c r="CV86" s="2854">
        <f t="shared" si="218"/>
        <v>0.8</v>
      </c>
      <c r="CW86" s="2854">
        <f t="shared" si="218"/>
        <v>1</v>
      </c>
      <c r="CX86" s="2854">
        <f t="shared" si="218"/>
        <v>1.1499999999999999</v>
      </c>
      <c r="CY86" s="2854">
        <f t="shared" ref="CY86" si="219">IF(UPPER($F87)="N",CY87,(CX60*CY76+CX63*CY79+CX66*CY82)/(CX60+CX63+CX66))</f>
        <v>1.03</v>
      </c>
      <c r="CZ86" s="2854">
        <f t="shared" ref="CZ86" si="220">IF(UPPER($F87)="N",CZ87,(CY60*CZ76+CY63*CZ79+CY66*CZ82)/(CY60+CY63+CY66))</f>
        <v>1</v>
      </c>
      <c r="DA86" s="2854">
        <f t="shared" ref="DA86" si="221">IF(UPPER($F87)="N",DA87,(CZ60*DA76+CZ63*DA79+CZ66*DA82)/(CZ60+CZ63+CZ66))</f>
        <v>1</v>
      </c>
      <c r="DB86" s="2854">
        <f t="shared" ref="DB86" si="222">IF(UPPER($F87)="N",DB87,(DA60*DB76+DA63*DB79+DA66*DB82)/(DA60+DA63+DA66))</f>
        <v>1</v>
      </c>
    </row>
    <row r="87" spans="1:119" s="699" customFormat="1" ht="12.75" customHeight="1">
      <c r="A87" s="664"/>
      <c r="B87" s="664"/>
      <c r="C87" s="1576"/>
      <c r="D87" s="689"/>
      <c r="E87" s="3623" t="s">
        <v>1067</v>
      </c>
      <c r="F87" s="3637" t="s">
        <v>235</v>
      </c>
      <c r="G87" s="978"/>
      <c r="H87" s="978">
        <f t="shared" si="207"/>
        <v>5.0036845983787881</v>
      </c>
      <c r="I87" s="978">
        <f t="shared" si="207"/>
        <v>0.65969541722226133</v>
      </c>
      <c r="J87" s="978">
        <f t="shared" si="207"/>
        <v>8.1572892700271673</v>
      </c>
      <c r="K87" s="978">
        <f t="shared" si="207"/>
        <v>4.3382969122671478</v>
      </c>
      <c r="L87" s="978">
        <f t="shared" si="207"/>
        <v>3.4041764487829029</v>
      </c>
      <c r="M87" s="978">
        <f t="shared" si="207"/>
        <v>3.160662006333248</v>
      </c>
      <c r="N87" s="978">
        <f t="shared" si="207"/>
        <v>9.359434727209571</v>
      </c>
      <c r="O87" s="978">
        <f t="shared" ref="O87:BJ87" si="223">(O71/N71-1)*100</f>
        <v>6.7471666137061792</v>
      </c>
      <c r="P87" s="978">
        <f t="shared" si="223"/>
        <v>2.4905735264933559</v>
      </c>
      <c r="Q87" s="978">
        <f t="shared" si="223"/>
        <v>8.0114241456094462</v>
      </c>
      <c r="R87" s="978">
        <f t="shared" si="223"/>
        <v>4.8402276699681668</v>
      </c>
      <c r="S87" s="978">
        <f t="shared" si="223"/>
        <v>8.0323173598939803</v>
      </c>
      <c r="T87" s="978">
        <f t="shared" si="223"/>
        <v>5.729661285216836</v>
      </c>
      <c r="U87" s="978">
        <f t="shared" si="223"/>
        <v>2.4625748502994149</v>
      </c>
      <c r="V87" s="978">
        <f t="shared" si="223"/>
        <v>-5.2414347286142249</v>
      </c>
      <c r="W87" s="978">
        <f t="shared" si="223"/>
        <v>-1.7654087807886576</v>
      </c>
      <c r="X87" s="978">
        <f t="shared" si="223"/>
        <v>2.9821463606042764</v>
      </c>
      <c r="Y87" s="978">
        <f t="shared" si="223"/>
        <v>-8.6797485235282963</v>
      </c>
      <c r="Z87" s="978">
        <f t="shared" si="223"/>
        <v>-4.8733675470438387</v>
      </c>
      <c r="AA87" s="978">
        <f t="shared" si="223"/>
        <v>-2.1711478573621656</v>
      </c>
      <c r="AB87" s="978">
        <f t="shared" si="223"/>
        <v>-0.96395265423243615</v>
      </c>
      <c r="AC87" s="978">
        <f t="shared" si="223"/>
        <v>3.3998822943546836</v>
      </c>
      <c r="AD87" s="978">
        <f t="shared" si="223"/>
        <v>3.3143607705779177</v>
      </c>
      <c r="AE87" s="978">
        <f t="shared" si="223"/>
        <v>4.4031020892486339</v>
      </c>
      <c r="AF87" s="978">
        <f t="shared" si="223"/>
        <v>-2.5937652216268869</v>
      </c>
      <c r="AG87" s="978">
        <f t="shared" si="223"/>
        <v>2.8503562945368266</v>
      </c>
      <c r="AH87" s="978">
        <f t="shared" si="223"/>
        <v>21.109355374579629</v>
      </c>
      <c r="AI87" s="978">
        <f t="shared" si="223"/>
        <v>-6.0185340068917075</v>
      </c>
      <c r="AJ87" s="978">
        <f t="shared" si="223"/>
        <v>-1.5200056955716801</v>
      </c>
      <c r="AK87" s="978">
        <f t="shared" si="223"/>
        <v>1.5579251762154467</v>
      </c>
      <c r="AL87" s="978">
        <f t="shared" si="223"/>
        <v>7.1611617312072884</v>
      </c>
      <c r="AM87" s="978">
        <f t="shared" si="223"/>
        <v>-0.43842168194501152</v>
      </c>
      <c r="AN87" s="978">
        <f t="shared" si="223"/>
        <v>6.4518281291700008</v>
      </c>
      <c r="AO87" s="978">
        <f t="shared" si="223"/>
        <v>2.8611720463804557</v>
      </c>
      <c r="AP87" s="978">
        <f t="shared" si="223"/>
        <v>2.6810468269201637</v>
      </c>
      <c r="AQ87" s="978">
        <f t="shared" si="223"/>
        <v>4.2755837759249848</v>
      </c>
      <c r="AR87" s="978">
        <f t="shared" si="223"/>
        <v>4.7917140905986866</v>
      </c>
      <c r="AS87" s="978">
        <f t="shared" si="223"/>
        <v>1.7486694906049927</v>
      </c>
      <c r="AT87" s="978">
        <f t="shared" si="223"/>
        <v>0.14143894107601085</v>
      </c>
      <c r="AU87" s="978">
        <f t="shared" si="223"/>
        <v>17.777055296469001</v>
      </c>
      <c r="AV87" s="978">
        <f t="shared" si="223"/>
        <v>0.77343750000000711</v>
      </c>
      <c r="AW87" s="978">
        <f t="shared" si="223"/>
        <v>9.1945112024187878</v>
      </c>
      <c r="AX87" s="978">
        <f t="shared" si="223"/>
        <v>3.067092651757175</v>
      </c>
      <c r="AY87" s="978">
        <f t="shared" si="223"/>
        <v>1.8185575532134735</v>
      </c>
      <c r="AZ87" s="978">
        <f t="shared" si="223"/>
        <v>5.7912184561261126</v>
      </c>
      <c r="BA87" s="978">
        <f t="shared" si="223"/>
        <v>5.1480463004412558</v>
      </c>
      <c r="BB87" s="978">
        <f t="shared" si="223"/>
        <v>9.9257997810485286</v>
      </c>
      <c r="BC87" s="978">
        <f t="shared" si="223"/>
        <v>4.0112869315038102</v>
      </c>
      <c r="BD87" s="978">
        <f t="shared" si="223"/>
        <v>6.7663173573062174</v>
      </c>
      <c r="BE87" s="978">
        <f t="shared" si="223"/>
        <v>9.4663943002348816E-2</v>
      </c>
      <c r="BF87" s="978">
        <f t="shared" si="223"/>
        <v>1.9014435042309819</v>
      </c>
      <c r="BG87" s="978">
        <f t="shared" si="223"/>
        <v>-0.90367330988667671</v>
      </c>
      <c r="BH87" s="978">
        <f t="shared" si="223"/>
        <v>-0.82318726277912369</v>
      </c>
      <c r="BI87" s="978">
        <f t="shared" si="223"/>
        <v>-6.2574552683896663</v>
      </c>
      <c r="BJ87" s="978">
        <f t="shared" si="223"/>
        <v>-8.6845872435183722</v>
      </c>
      <c r="BK87" s="978">
        <f t="shared" ref="BK87:BR87" si="224">(BK71/BJ71-1)*100</f>
        <v>-22.051907333217201</v>
      </c>
      <c r="BL87" s="978">
        <f t="shared" si="224"/>
        <v>-12.931098696461818</v>
      </c>
      <c r="BM87" s="978">
        <f t="shared" si="224"/>
        <v>-9.0255796047566061</v>
      </c>
      <c r="BN87" s="978">
        <f t="shared" si="224"/>
        <v>0.94978371261986716</v>
      </c>
      <c r="BO87" s="978">
        <f>(BO71/BN71-1)*100</f>
        <v>-2.8132277596646493</v>
      </c>
      <c r="BP87" s="978">
        <f>(BP71/BO71-1)*100</f>
        <v>6.8820090098725251</v>
      </c>
      <c r="BQ87" s="978">
        <f t="shared" si="224"/>
        <v>12.088601919110387</v>
      </c>
      <c r="BR87" s="978">
        <f t="shared" si="224"/>
        <v>3.6482918633490735</v>
      </c>
      <c r="BS87" s="978">
        <f t="shared" ref="BS87:CE87" si="225">(BS71/BR71-1)*100</f>
        <v>6.5766113469702736</v>
      </c>
      <c r="BT87" s="978">
        <f t="shared" si="225"/>
        <v>1.6151227638154575</v>
      </c>
      <c r="BU87" s="978">
        <f t="shared" si="225"/>
        <v>2.9151817533856095</v>
      </c>
      <c r="BV87" s="978">
        <f t="shared" si="225"/>
        <v>0.54020361520878968</v>
      </c>
      <c r="BW87" s="978">
        <f t="shared" si="225"/>
        <v>-1.467245298615405</v>
      </c>
      <c r="BX87" s="978">
        <f t="shared" si="225"/>
        <v>-3.4955257270693485</v>
      </c>
      <c r="BY87" s="978">
        <f t="shared" si="225"/>
        <v>1.2894813097652946</v>
      </c>
      <c r="BZ87" s="978">
        <f t="shared" si="225"/>
        <v>-1.4375625804606051</v>
      </c>
      <c r="CA87" s="978">
        <f>(CA71/BZ71-1)*100</f>
        <v>4.0635657789710455</v>
      </c>
      <c r="CB87" s="978">
        <f>(CB71/CA71-1)*100</f>
        <v>3.082072379889822</v>
      </c>
      <c r="CC87" s="978">
        <f>(CC71/CB71-1)*100</f>
        <v>5.8039640127172998</v>
      </c>
      <c r="CD87" s="978">
        <f>(CD71/CC71-1)*100</f>
        <v>3.1967265520127519E-2</v>
      </c>
      <c r="CE87" s="978">
        <f t="shared" si="225"/>
        <v>1.2846733989518189</v>
      </c>
      <c r="CF87" s="978">
        <f t="shared" ref="CF87:CL87" si="226">(CF71/CE71-1)*100</f>
        <v>7.5724111819286399E-2</v>
      </c>
      <c r="CG87" s="978">
        <f t="shared" si="226"/>
        <v>0.59272337473987857</v>
      </c>
      <c r="CH87" s="978">
        <f t="shared" si="226"/>
        <v>0.90265153889552696</v>
      </c>
      <c r="CI87" s="978">
        <f t="shared" si="226"/>
        <v>5.1438156178169603</v>
      </c>
      <c r="CJ87" s="978">
        <f t="shared" si="226"/>
        <v>1.9852289512555465</v>
      </c>
      <c r="CK87" s="978">
        <f t="shared" si="226"/>
        <v>-2.659173860147146</v>
      </c>
      <c r="CL87" s="978">
        <f t="shared" si="226"/>
        <v>-4.9101297464587574</v>
      </c>
      <c r="CM87" s="978">
        <f>(CM71/CL71-1)*100</f>
        <v>3.9306503098203605</v>
      </c>
      <c r="CN87" s="978">
        <f>(CN71/CM71-1)*100</f>
        <v>1.4935260463715627</v>
      </c>
      <c r="CO87" s="978">
        <f>(CO71/CN71-1)*100</f>
        <v>-3.5186613659289212</v>
      </c>
      <c r="CP87" s="978">
        <f t="shared" ref="CP87" si="227">(CP71/CO71-1)*100</f>
        <v>5.5965559655596575</v>
      </c>
      <c r="CQ87" s="978">
        <f t="shared" ref="CQ87" si="228">(CQ71/CP71-1)*100</f>
        <v>-0.68142108328480555</v>
      </c>
      <c r="CR87" s="978">
        <f t="shared" ref="CR87:CT87" si="229">(CR71/CQ71-1)*100</f>
        <v>2.738521081334655</v>
      </c>
      <c r="CS87" s="978">
        <f t="shared" si="229"/>
        <v>1.2557077625570789</v>
      </c>
      <c r="CT87" s="978">
        <f t="shared" si="229"/>
        <v>7.5479143179256081</v>
      </c>
      <c r="CU87" s="740">
        <v>-1.5</v>
      </c>
      <c r="CV87" s="740">
        <v>0.8</v>
      </c>
      <c r="CW87" s="740">
        <v>1</v>
      </c>
      <c r="CX87" s="740">
        <v>1.1499999999999999</v>
      </c>
      <c r="CY87" s="740">
        <v>1.03</v>
      </c>
      <c r="CZ87" s="740">
        <v>1</v>
      </c>
      <c r="DA87" s="740">
        <v>1</v>
      </c>
      <c r="DB87" s="740">
        <v>1</v>
      </c>
      <c r="DC87"/>
      <c r="DD87"/>
      <c r="DE87"/>
      <c r="DF87"/>
      <c r="DG87"/>
      <c r="DH87"/>
      <c r="DI87"/>
      <c r="DJ87"/>
      <c r="DK87"/>
      <c r="DL87"/>
      <c r="DM87"/>
      <c r="DN87"/>
      <c r="DO87"/>
    </row>
    <row r="88" spans="1:119">
      <c r="A88" s="664"/>
      <c r="C88" s="1577"/>
      <c r="D88" s="1581"/>
      <c r="E88" s="1582" t="s">
        <v>266</v>
      </c>
      <c r="F88" s="1649"/>
      <c r="G88" s="1605"/>
      <c r="H88" s="1606"/>
      <c r="I88" s="1606"/>
      <c r="J88" s="1606"/>
      <c r="K88" s="1607"/>
      <c r="L88" s="1607"/>
      <c r="M88" s="1607"/>
      <c r="N88" s="1608">
        <f>N72/J72*100-100</f>
        <v>19.758994364976147</v>
      </c>
      <c r="O88" s="1607"/>
      <c r="P88" s="1607"/>
      <c r="Q88" s="1607"/>
      <c r="R88" s="1608">
        <f>R72/N72*100-100</f>
        <v>25.262411142158086</v>
      </c>
      <c r="S88" s="1607"/>
      <c r="T88" s="1607"/>
      <c r="U88" s="1607"/>
      <c r="V88" s="1608">
        <f>V72/R72*100-100</f>
        <v>21.720989366620415</v>
      </c>
      <c r="W88" s="1607"/>
      <c r="X88" s="1607"/>
      <c r="Y88" s="1607"/>
      <c r="Z88" s="1608">
        <f>Z72/V72*100-100</f>
        <v>-6.4730849942552027</v>
      </c>
      <c r="AA88" s="1607"/>
      <c r="AB88" s="1607"/>
      <c r="AC88" s="1607"/>
      <c r="AD88" s="1608">
        <f>AD72/Z72*100-100</f>
        <v>-7.7830571799869972</v>
      </c>
      <c r="AE88" s="1607"/>
      <c r="AF88" s="1607"/>
      <c r="AG88" s="1607"/>
      <c r="AH88" s="1608">
        <f>AH72/AD72*100-100</f>
        <v>13.624353187272902</v>
      </c>
      <c r="AI88" s="1607"/>
      <c r="AJ88" s="1607"/>
      <c r="AK88" s="1607"/>
      <c r="AL88" s="1608">
        <f>AL72/AH72*100-100</f>
        <v>10.421975679472922</v>
      </c>
      <c r="AM88" s="1607"/>
      <c r="AN88" s="1607"/>
      <c r="AO88" s="1607"/>
      <c r="AP88" s="1608">
        <f>AP72/AL72*100-100</f>
        <v>12.680653907915882</v>
      </c>
      <c r="AQ88" s="1607"/>
      <c r="AR88" s="1607"/>
      <c r="AS88" s="1607"/>
      <c r="AT88" s="1608">
        <f>AT72/AP72*100-100</f>
        <v>14.451141637853169</v>
      </c>
      <c r="AU88" s="1607"/>
      <c r="AV88" s="1607"/>
      <c r="AW88" s="1607"/>
      <c r="AX88" s="1608">
        <f>AX72/AT72*100-100</f>
        <v>27.571455749171591</v>
      </c>
      <c r="AY88" s="1607"/>
      <c r="AZ88" s="1607"/>
      <c r="BA88" s="1607"/>
      <c r="BB88" s="1608">
        <f>BB72/AX72*100-100</f>
        <v>19.581591499235728</v>
      </c>
      <c r="BC88" s="1607"/>
      <c r="BD88" s="1607"/>
      <c r="BE88" s="1607"/>
      <c r="BF88" s="1608">
        <f>BF72/BB72*100-100</f>
        <v>22.327286167493128</v>
      </c>
      <c r="BG88" s="1607"/>
      <c r="BH88" s="1607"/>
      <c r="BI88" s="1607"/>
      <c r="BJ88" s="1608">
        <f>BJ72/BF72*100-100</f>
        <v>-3.7025380199415991</v>
      </c>
      <c r="BK88" s="1609"/>
      <c r="BL88" s="1609"/>
      <c r="BM88" s="1609"/>
      <c r="BN88" s="1610">
        <f>BN72/BJ72*100-100</f>
        <v>-39.230759174281935</v>
      </c>
      <c r="BO88" s="1609"/>
      <c r="BP88" s="1609"/>
      <c r="BQ88" s="1609"/>
      <c r="BR88" s="1610">
        <f>BR72/BN72*100-100</f>
        <v>1.1939848977045244</v>
      </c>
      <c r="BS88" s="1609"/>
      <c r="BT88" s="1609"/>
      <c r="BU88" s="1609"/>
      <c r="BV88" s="1610">
        <f>BV72/BR72*100-100</f>
        <v>20.73855180917559</v>
      </c>
      <c r="BW88" s="1609"/>
      <c r="BX88" s="1609"/>
      <c r="BY88" s="1609"/>
      <c r="BZ88" s="1610">
        <f>BZ72/BV72*100-100</f>
        <v>-1.6234395083901205</v>
      </c>
      <c r="CA88" s="1609"/>
      <c r="CB88" s="1609"/>
      <c r="CC88" s="1609"/>
      <c r="CD88" s="3355">
        <f>CD72/BZ72*100-100</f>
        <v>8.1258613592024318</v>
      </c>
      <c r="CE88" s="1609"/>
      <c r="CF88" s="1609"/>
      <c r="CG88" s="1609"/>
      <c r="CH88" s="1610">
        <f>CH72/CD72*100-100</f>
        <v>5.5370710632169704</v>
      </c>
      <c r="CI88" s="1609"/>
      <c r="CJ88" s="1609"/>
      <c r="CK88" s="1609"/>
      <c r="CL88" s="1610">
        <f>CL72/CH72*100-100</f>
        <v>5.033251772382215</v>
      </c>
      <c r="CM88" s="1609"/>
      <c r="CN88" s="1609"/>
      <c r="CO88" s="1609"/>
      <c r="CP88" s="1610">
        <f>CP72/CL72*100-100</f>
        <v>-0.11498544015530854</v>
      </c>
      <c r="CQ88" s="1609"/>
      <c r="CR88" s="1609"/>
      <c r="CS88" s="1609"/>
      <c r="CT88" s="1610">
        <f>CT72/CP72*100-100</f>
        <v>6.7336443009209432</v>
      </c>
      <c r="CU88" s="1609"/>
      <c r="CV88" s="1609"/>
      <c r="CW88" s="1609"/>
      <c r="CX88" s="1610">
        <f>CX72/CT72*100-100</f>
        <v>6.7643090052033727</v>
      </c>
      <c r="CY88" s="1609"/>
      <c r="CZ88" s="1609"/>
      <c r="DA88" s="1609"/>
      <c r="DB88" s="1610">
        <f>DB72/CX72*100-100</f>
        <v>4.1557542812569466</v>
      </c>
    </row>
    <row r="89" spans="1:119" s="699" customFormat="1" ht="12.75" customHeight="1">
      <c r="A89" s="664"/>
      <c r="B89" s="664"/>
      <c r="C89" s="666"/>
      <c r="D89" s="717"/>
      <c r="E89" s="1596" t="s">
        <v>1847</v>
      </c>
      <c r="F89" s="717"/>
      <c r="G89" s="1597"/>
      <c r="H89" s="1597"/>
      <c r="I89" s="1597"/>
      <c r="J89" s="1598"/>
      <c r="K89" s="1597"/>
      <c r="L89" s="1597"/>
      <c r="M89" s="1597"/>
      <c r="N89" s="1599">
        <f ca="1">N73/J73*100-100</f>
        <v>21.052143368447958</v>
      </c>
      <c r="O89" s="1597"/>
      <c r="P89" s="1597"/>
      <c r="Q89" s="1597"/>
      <c r="R89" s="1599">
        <f ca="1">R73/N73*100-100</f>
        <v>25.539577706707988</v>
      </c>
      <c r="S89" s="1597"/>
      <c r="T89" s="1597"/>
      <c r="U89" s="1597"/>
      <c r="V89" s="1599">
        <f ca="1">V73/R73*100-100</f>
        <v>21.10003835093292</v>
      </c>
      <c r="W89" s="1597"/>
      <c r="X89" s="1597"/>
      <c r="Y89" s="1597"/>
      <c r="Z89" s="1599">
        <f ca="1">Z73/V73*100-100</f>
        <v>-5.9441297641102437</v>
      </c>
      <c r="AA89" s="1597"/>
      <c r="AB89" s="1597"/>
      <c r="AC89" s="1597"/>
      <c r="AD89" s="1599">
        <f ca="1">AD73/Z73*100-100</f>
        <v>-8.3737695967158743</v>
      </c>
      <c r="AE89" s="1597"/>
      <c r="AF89" s="1597"/>
      <c r="AG89" s="1597"/>
      <c r="AH89" s="1599">
        <f ca="1">AH73/AD73*100-100</f>
        <v>13.185895200554427</v>
      </c>
      <c r="AI89" s="1597"/>
      <c r="AJ89" s="1597"/>
      <c r="AK89" s="1597"/>
      <c r="AL89" s="1599">
        <f ca="1">AL73/AH73*100-100</f>
        <v>10.691182506773572</v>
      </c>
      <c r="AM89" s="1597"/>
      <c r="AN89" s="1597"/>
      <c r="AO89" s="1597"/>
      <c r="AP89" s="1599">
        <f ca="1">AP73/AL73*100-100</f>
        <v>13.492945688229213</v>
      </c>
      <c r="AQ89" s="1597"/>
      <c r="AR89" s="1597"/>
      <c r="AS89" s="1597"/>
      <c r="AT89" s="1599">
        <f ca="1">AT73/AP73*100-100</f>
        <v>15.723477944641729</v>
      </c>
      <c r="AU89" s="1597"/>
      <c r="AV89" s="1597"/>
      <c r="AW89" s="1597"/>
      <c r="AX89" s="1599">
        <f ca="1">AX73/AT73*100-100</f>
        <v>11.47206641376745</v>
      </c>
      <c r="AY89" s="1597"/>
      <c r="AZ89" s="1597"/>
      <c r="BA89" s="1597"/>
      <c r="BB89" s="1599">
        <f ca="1">BB73/AX73*100-100</f>
        <v>19.593435567110021</v>
      </c>
      <c r="BC89" s="1597"/>
      <c r="BD89" s="1597"/>
      <c r="BE89" s="1597"/>
      <c r="BF89" s="1599">
        <f ca="1">BF73/BB73*100-100</f>
        <v>22.334362987898345</v>
      </c>
      <c r="BG89" s="1597"/>
      <c r="BH89" s="1597"/>
      <c r="BI89" s="1597"/>
      <c r="BJ89" s="1599">
        <f ca="1">BJ73/BF73*100-100</f>
        <v>-3.9963277056724138</v>
      </c>
      <c r="BK89" s="1611"/>
      <c r="BL89" s="1611"/>
      <c r="BM89" s="1611"/>
      <c r="BN89" s="1612">
        <f ca="1">BN73/BJ73*100-100</f>
        <v>-38.902640751074678</v>
      </c>
      <c r="BO89" s="1611"/>
      <c r="BP89" s="1611"/>
      <c r="BQ89" s="1611"/>
      <c r="BR89" s="1612">
        <f ca="1">BR73/BN73*100-100</f>
        <v>1.4754443294586537</v>
      </c>
      <c r="BS89" s="1611"/>
      <c r="BT89" s="1611"/>
      <c r="BU89" s="1611"/>
      <c r="BV89" s="1612">
        <f ca="1">BV73/BR73*100-100</f>
        <v>20.146626325032258</v>
      </c>
      <c r="BW89" s="1611"/>
      <c r="BX89" s="1611"/>
      <c r="BY89" s="1611"/>
      <c r="BZ89" s="1612">
        <f ca="1">BZ73/BV73*100-100</f>
        <v>-1.7782896509459363</v>
      </c>
      <c r="CA89" s="1611"/>
      <c r="CB89" s="1611"/>
      <c r="CC89" s="1611"/>
      <c r="CD89" s="1612">
        <f ca="1">CD73/BZ73*100-100</f>
        <v>8.2995817129866083</v>
      </c>
      <c r="CE89" s="1611"/>
      <c r="CF89" s="1611"/>
      <c r="CG89" s="1611"/>
      <c r="CH89" s="1612">
        <f ca="1">CH73/CD73*100-100</f>
        <v>5.7519179129928091</v>
      </c>
      <c r="CI89" s="1611"/>
      <c r="CJ89" s="1611"/>
      <c r="CK89" s="1611"/>
      <c r="CL89" s="1612">
        <f ca="1">CL73/CH73*100-100</f>
        <v>4.8264990153196834</v>
      </c>
      <c r="CM89" s="1611"/>
      <c r="CN89" s="1611"/>
      <c r="CO89" s="1611"/>
      <c r="CP89" s="1612">
        <f ca="1">CP73/CL73*100-100</f>
        <v>-0.47086618171282169</v>
      </c>
      <c r="CQ89" s="1611"/>
      <c r="CR89" s="1611"/>
      <c r="CS89" s="1611"/>
      <c r="CT89" s="1612">
        <f ca="1">CT73/CP73*100-100</f>
        <v>7.3037703461852317</v>
      </c>
      <c r="CU89" s="1611"/>
      <c r="CV89" s="1611"/>
      <c r="CW89" s="1611"/>
      <c r="CX89" s="1612">
        <f ca="1">CX73/CT73*100-100</f>
        <v>6.7620842369476577</v>
      </c>
      <c r="CY89" s="1611"/>
      <c r="CZ89" s="1611"/>
      <c r="DA89" s="1611"/>
      <c r="DB89" s="1612">
        <f ca="1">DB73/CX73*100-100</f>
        <v>4.1647416495982412</v>
      </c>
      <c r="DC89"/>
      <c r="DD89"/>
      <c r="DE89"/>
      <c r="DF89"/>
      <c r="DG89"/>
      <c r="DH89"/>
      <c r="DI89"/>
      <c r="DJ89"/>
      <c r="DK89"/>
      <c r="DL89"/>
      <c r="DM89"/>
      <c r="DN89"/>
      <c r="DO89"/>
    </row>
    <row r="90" spans="1:119">
      <c r="A90" s="664"/>
      <c r="E90" s="599"/>
      <c r="F90" s="3617"/>
      <c r="AY90" s="217"/>
      <c r="BA90" s="217"/>
      <c r="BB90" s="217"/>
      <c r="BC90" s="217"/>
      <c r="BD90" s="217"/>
      <c r="BE90" s="217"/>
      <c r="BF90" s="217"/>
      <c r="BG90" s="217"/>
      <c r="BH90" s="217"/>
      <c r="BI90" s="217"/>
      <c r="BJ90" s="217"/>
      <c r="BK90" s="1602"/>
      <c r="BL90" s="1602"/>
      <c r="BM90" s="1602"/>
      <c r="BN90" s="1602"/>
      <c r="BO90" s="1602"/>
      <c r="BP90" s="1602"/>
      <c r="BQ90" s="1602"/>
      <c r="BR90" s="1602"/>
      <c r="BS90" s="1602"/>
      <c r="BT90" s="1602"/>
      <c r="BU90" s="1602"/>
      <c r="BV90" s="1602"/>
      <c r="BW90" s="1602"/>
      <c r="BX90" s="1602"/>
      <c r="BY90" s="1602"/>
      <c r="BZ90" s="1602"/>
      <c r="CA90" s="1602"/>
      <c r="CB90" s="1602"/>
      <c r="CC90" s="1602"/>
      <c r="CD90" s="1602"/>
      <c r="CE90" s="1602"/>
      <c r="CF90" s="1602"/>
      <c r="CG90" s="1602"/>
      <c r="CH90" s="1602"/>
      <c r="CI90" s="1602"/>
      <c r="CJ90" s="1602"/>
      <c r="CK90" s="1602"/>
      <c r="CL90" s="1602"/>
      <c r="CM90" s="1602"/>
      <c r="CN90" s="1602"/>
      <c r="CO90" s="1602"/>
      <c r="CP90" s="1602"/>
      <c r="CQ90" s="1602"/>
      <c r="CR90" s="1602"/>
      <c r="CS90" s="1602"/>
      <c r="CT90" s="3741"/>
      <c r="CU90" s="1602">
        <v>1</v>
      </c>
      <c r="CV90" s="1602"/>
      <c r="CW90" s="1602"/>
      <c r="CX90" s="1602"/>
      <c r="CY90" s="1602">
        <v>1</v>
      </c>
      <c r="CZ90" s="1602"/>
      <c r="DA90" s="1602"/>
      <c r="DB90" s="1602"/>
    </row>
    <row r="91" spans="1:119" s="699" customFormat="1" ht="12.75" customHeight="1">
      <c r="A91" s="664"/>
      <c r="B91" s="664"/>
      <c r="C91" s="666"/>
      <c r="D91" s="858"/>
      <c r="E91" s="3625"/>
      <c r="F91" s="3626"/>
      <c r="G91" s="1588" t="str">
        <f>G75</f>
        <v>Q1</v>
      </c>
      <c r="H91" s="1588" t="str">
        <f t="shared" ref="H91:BN91" si="230">H75</f>
        <v>Q2</v>
      </c>
      <c r="I91" s="1588" t="str">
        <f t="shared" si="230"/>
        <v>Q3</v>
      </c>
      <c r="J91" s="1588" t="str">
        <f t="shared" si="230"/>
        <v>Q4</v>
      </c>
      <c r="K91" s="1593" t="str">
        <f t="shared" si="230"/>
        <v>Q1</v>
      </c>
      <c r="L91" s="1588" t="str">
        <f t="shared" si="230"/>
        <v>Q2</v>
      </c>
      <c r="M91" s="1588" t="str">
        <f t="shared" si="230"/>
        <v>Q3</v>
      </c>
      <c r="N91" s="1594" t="str">
        <f t="shared" si="230"/>
        <v>Q4</v>
      </c>
      <c r="O91" s="1593" t="str">
        <f t="shared" si="230"/>
        <v>Q1</v>
      </c>
      <c r="P91" s="1588" t="str">
        <f t="shared" si="230"/>
        <v>Q2</v>
      </c>
      <c r="Q91" s="1588" t="str">
        <f t="shared" si="230"/>
        <v>Q3</v>
      </c>
      <c r="R91" s="1594" t="str">
        <f t="shared" si="230"/>
        <v>Q4</v>
      </c>
      <c r="S91" s="1593" t="str">
        <f t="shared" si="230"/>
        <v>Q1</v>
      </c>
      <c r="T91" s="1588" t="str">
        <f t="shared" si="230"/>
        <v>Q2</v>
      </c>
      <c r="U91" s="1588" t="str">
        <f t="shared" si="230"/>
        <v>Q3</v>
      </c>
      <c r="V91" s="1594" t="str">
        <f t="shared" si="230"/>
        <v>Q4</v>
      </c>
      <c r="W91" s="1593" t="str">
        <f t="shared" si="230"/>
        <v>Q1</v>
      </c>
      <c r="X91" s="1588" t="str">
        <f t="shared" si="230"/>
        <v>Q2</v>
      </c>
      <c r="Y91" s="1588" t="str">
        <f t="shared" si="230"/>
        <v>Q3</v>
      </c>
      <c r="Z91" s="1594" t="str">
        <f t="shared" si="230"/>
        <v>Q4</v>
      </c>
      <c r="AA91" s="1593" t="str">
        <f t="shared" si="230"/>
        <v>Q1</v>
      </c>
      <c r="AB91" s="1588" t="str">
        <f t="shared" si="230"/>
        <v>Q2</v>
      </c>
      <c r="AC91" s="1588" t="str">
        <f t="shared" si="230"/>
        <v>Q3</v>
      </c>
      <c r="AD91" s="1594" t="str">
        <f t="shared" si="230"/>
        <v>Q4</v>
      </c>
      <c r="AE91" s="1593" t="str">
        <f t="shared" si="230"/>
        <v>Q1</v>
      </c>
      <c r="AF91" s="1588" t="str">
        <f t="shared" si="230"/>
        <v>Q2</v>
      </c>
      <c r="AG91" s="1588" t="str">
        <f t="shared" si="230"/>
        <v>Q3</v>
      </c>
      <c r="AH91" s="1594" t="str">
        <f t="shared" si="230"/>
        <v>Q4</v>
      </c>
      <c r="AI91" s="1593" t="str">
        <f t="shared" si="230"/>
        <v>Q1</v>
      </c>
      <c r="AJ91" s="1588" t="str">
        <f t="shared" si="230"/>
        <v>Q2</v>
      </c>
      <c r="AK91" s="1588" t="str">
        <f t="shared" si="230"/>
        <v>Q3</v>
      </c>
      <c r="AL91" s="1594" t="str">
        <f t="shared" si="230"/>
        <v>Q4</v>
      </c>
      <c r="AM91" s="1593" t="str">
        <f t="shared" si="230"/>
        <v>Q1</v>
      </c>
      <c r="AN91" s="1588" t="str">
        <f t="shared" si="230"/>
        <v>Q2</v>
      </c>
      <c r="AO91" s="1588" t="str">
        <f t="shared" si="230"/>
        <v>Q3</v>
      </c>
      <c r="AP91" s="1594" t="str">
        <f t="shared" si="230"/>
        <v>Q4</v>
      </c>
      <c r="AQ91" s="1593" t="str">
        <f t="shared" si="230"/>
        <v>Q1</v>
      </c>
      <c r="AR91" s="1588" t="str">
        <f t="shared" si="230"/>
        <v>Q2</v>
      </c>
      <c r="AS91" s="1588" t="str">
        <f t="shared" si="230"/>
        <v>Q3</v>
      </c>
      <c r="AT91" s="1594" t="str">
        <f t="shared" si="230"/>
        <v>Q4</v>
      </c>
      <c r="AU91" s="1593" t="str">
        <f t="shared" si="230"/>
        <v>Q1</v>
      </c>
      <c r="AV91" s="1588" t="str">
        <f t="shared" si="230"/>
        <v>Q2</v>
      </c>
      <c r="AW91" s="1588" t="str">
        <f t="shared" si="230"/>
        <v>Q3</v>
      </c>
      <c r="AX91" s="1594" t="str">
        <f t="shared" si="230"/>
        <v>Q4</v>
      </c>
      <c r="AY91" s="1593" t="str">
        <f t="shared" si="230"/>
        <v>Q1</v>
      </c>
      <c r="AZ91" s="1588" t="str">
        <f t="shared" si="230"/>
        <v>Q2</v>
      </c>
      <c r="BA91" s="1588" t="str">
        <f t="shared" si="230"/>
        <v>Q3</v>
      </c>
      <c r="BB91" s="1594" t="str">
        <f t="shared" si="230"/>
        <v>Q4</v>
      </c>
      <c r="BC91" s="1593" t="str">
        <f t="shared" si="230"/>
        <v>Q1</v>
      </c>
      <c r="BD91" s="1588" t="str">
        <f t="shared" si="230"/>
        <v>Q2</v>
      </c>
      <c r="BE91" s="1588" t="str">
        <f t="shared" si="230"/>
        <v>Q3</v>
      </c>
      <c r="BF91" s="1594" t="str">
        <f t="shared" si="230"/>
        <v>Q4</v>
      </c>
      <c r="BG91" s="1593" t="str">
        <f t="shared" si="230"/>
        <v>Q1</v>
      </c>
      <c r="BH91" s="1588" t="str">
        <f t="shared" si="230"/>
        <v>Q2</v>
      </c>
      <c r="BI91" s="1588" t="str">
        <f t="shared" si="230"/>
        <v>Q3</v>
      </c>
      <c r="BJ91" s="1594" t="str">
        <f t="shared" si="230"/>
        <v>Q4</v>
      </c>
      <c r="BK91" s="1593" t="str">
        <f t="shared" si="230"/>
        <v>Q1</v>
      </c>
      <c r="BL91" s="1588" t="str">
        <f t="shared" si="230"/>
        <v>Q2</v>
      </c>
      <c r="BM91" s="1588" t="str">
        <f t="shared" si="230"/>
        <v>Q3</v>
      </c>
      <c r="BN91" s="1594" t="str">
        <f t="shared" si="230"/>
        <v>Q4</v>
      </c>
      <c r="BO91" s="1593" t="str">
        <f t="shared" ref="BO91:BV91" si="231">BO75</f>
        <v>Q1</v>
      </c>
      <c r="BP91" s="1588" t="str">
        <f t="shared" si="231"/>
        <v>Q2</v>
      </c>
      <c r="BQ91" s="1588" t="str">
        <f t="shared" si="231"/>
        <v>Q3</v>
      </c>
      <c r="BR91" s="1594" t="str">
        <f t="shared" si="231"/>
        <v>Q4</v>
      </c>
      <c r="BS91" s="1593" t="str">
        <f t="shared" si="231"/>
        <v>Q1</v>
      </c>
      <c r="BT91" s="1588" t="str">
        <f t="shared" si="231"/>
        <v>Q2</v>
      </c>
      <c r="BU91" s="1588" t="str">
        <f t="shared" si="231"/>
        <v>Q3</v>
      </c>
      <c r="BV91" s="1594" t="str">
        <f t="shared" si="231"/>
        <v>Q4</v>
      </c>
      <c r="BW91" s="1593" t="str">
        <f t="shared" ref="BW91:CD91" si="232">BW75</f>
        <v>Q1</v>
      </c>
      <c r="BX91" s="1588" t="str">
        <f t="shared" si="232"/>
        <v>Q2</v>
      </c>
      <c r="BY91" s="1588" t="str">
        <f t="shared" si="232"/>
        <v>Q3</v>
      </c>
      <c r="BZ91" s="1594" t="str">
        <f t="shared" si="232"/>
        <v>Q4</v>
      </c>
      <c r="CA91" s="1593" t="str">
        <f t="shared" si="232"/>
        <v>Q1</v>
      </c>
      <c r="CB91" s="1588" t="str">
        <f t="shared" si="232"/>
        <v>Q2</v>
      </c>
      <c r="CC91" s="1588" t="str">
        <f t="shared" si="232"/>
        <v>Q3</v>
      </c>
      <c r="CD91" s="1594" t="str">
        <f t="shared" si="232"/>
        <v>Q4</v>
      </c>
      <c r="CE91" s="1593" t="str">
        <f t="shared" ref="CE91:CL91" si="233">CE75</f>
        <v>Q1</v>
      </c>
      <c r="CF91" s="1588" t="str">
        <f t="shared" si="233"/>
        <v>Q2</v>
      </c>
      <c r="CG91" s="1588" t="str">
        <f t="shared" si="233"/>
        <v>Q3</v>
      </c>
      <c r="CH91" s="1594" t="str">
        <f t="shared" si="233"/>
        <v>Q4</v>
      </c>
      <c r="CI91" s="1593" t="str">
        <f t="shared" si="233"/>
        <v>Q1</v>
      </c>
      <c r="CJ91" s="1588" t="str">
        <f t="shared" si="233"/>
        <v>Q2</v>
      </c>
      <c r="CK91" s="1588" t="str">
        <f t="shared" si="233"/>
        <v>Q3</v>
      </c>
      <c r="CL91" s="1594" t="str">
        <f t="shared" si="233"/>
        <v>Q4</v>
      </c>
      <c r="CM91" s="1593" t="str">
        <f t="shared" ref="CM91:CT91" si="234">CM75</f>
        <v>Q1</v>
      </c>
      <c r="CN91" s="1588" t="str">
        <f t="shared" si="234"/>
        <v>Q2</v>
      </c>
      <c r="CO91" s="1588" t="str">
        <f t="shared" si="234"/>
        <v>Q3</v>
      </c>
      <c r="CP91" s="1594" t="str">
        <f t="shared" si="234"/>
        <v>Q4</v>
      </c>
      <c r="CQ91" s="1593" t="str">
        <f t="shared" si="234"/>
        <v>Q1</v>
      </c>
      <c r="CR91" s="1588" t="str">
        <f t="shared" si="234"/>
        <v>Q2</v>
      </c>
      <c r="CS91" s="1588" t="str">
        <f t="shared" si="234"/>
        <v>Q3</v>
      </c>
      <c r="CT91" s="1594" t="str">
        <f t="shared" si="234"/>
        <v>Q4</v>
      </c>
      <c r="CU91" s="1593" t="str">
        <f t="shared" ref="CU91:DB91" si="235">CU75</f>
        <v>Q1</v>
      </c>
      <c r="CV91" s="1588" t="str">
        <f t="shared" si="235"/>
        <v>Q2</v>
      </c>
      <c r="CW91" s="1588" t="str">
        <f t="shared" si="235"/>
        <v>Q3</v>
      </c>
      <c r="CX91" s="1594" t="str">
        <f t="shared" si="235"/>
        <v>Q4</v>
      </c>
      <c r="CY91" s="1593" t="str">
        <f t="shared" si="235"/>
        <v>Q1</v>
      </c>
      <c r="CZ91" s="1588" t="str">
        <f t="shared" si="235"/>
        <v>Q2</v>
      </c>
      <c r="DA91" s="1588" t="str">
        <f t="shared" si="235"/>
        <v>Q3</v>
      </c>
      <c r="DB91" s="1594" t="str">
        <f t="shared" si="235"/>
        <v>Q4</v>
      </c>
      <c r="DC91"/>
      <c r="DD91"/>
      <c r="DE91"/>
      <c r="DF91"/>
      <c r="DG91"/>
      <c r="DH91"/>
      <c r="DI91"/>
      <c r="DJ91"/>
      <c r="DK91"/>
      <c r="DL91"/>
      <c r="DM91"/>
      <c r="DN91"/>
      <c r="DO91"/>
    </row>
    <row r="92" spans="1:119" s="699" customFormat="1" ht="12.75" customHeight="1">
      <c r="A92" s="664"/>
      <c r="B92" s="664"/>
      <c r="C92" s="862"/>
      <c r="D92" s="863"/>
      <c r="E92" s="3627" t="s">
        <v>1848</v>
      </c>
      <c r="F92" s="3628"/>
      <c r="G92" s="705"/>
      <c r="H92" s="705"/>
      <c r="I92" s="705"/>
      <c r="J92" s="705"/>
      <c r="K92" s="1564">
        <f t="shared" ref="K92:AP92" si="236">(K71/G71-1)*100</f>
        <v>19.277818717759775</v>
      </c>
      <c r="L92" s="1564">
        <f t="shared" si="236"/>
        <v>17.460874447329623</v>
      </c>
      <c r="M92" s="1564">
        <f t="shared" si="236"/>
        <v>20.379279090845671</v>
      </c>
      <c r="N92" s="1564">
        <f t="shared" si="236"/>
        <v>21.717269386965789</v>
      </c>
      <c r="O92" s="1564">
        <f t="shared" si="236"/>
        <v>24.527369331521086</v>
      </c>
      <c r="P92" s="1564">
        <f t="shared" si="236"/>
        <v>23.427137479835114</v>
      </c>
      <c r="Q92" s="1564">
        <f t="shared" si="236"/>
        <v>29.230858334298659</v>
      </c>
      <c r="R92" s="1564">
        <f t="shared" si="236"/>
        <v>23.890477703633085</v>
      </c>
      <c r="S92" s="1564">
        <f t="shared" si="236"/>
        <v>25.382020242111516</v>
      </c>
      <c r="T92" s="1564">
        <f t="shared" si="236"/>
        <v>29.344563849356152</v>
      </c>
      <c r="U92" s="1564">
        <f t="shared" si="236"/>
        <v>22.69977143369335</v>
      </c>
      <c r="V92" s="1564">
        <f t="shared" si="236"/>
        <v>10.900696789637919</v>
      </c>
      <c r="W92" s="1564">
        <f t="shared" si="236"/>
        <v>0.84283000949667564</v>
      </c>
      <c r="X92" s="1564">
        <f t="shared" si="236"/>
        <v>-1.7776946107784353</v>
      </c>
      <c r="Y92" s="1564">
        <f t="shared" si="236"/>
        <v>-12.458908612754771</v>
      </c>
      <c r="Z92" s="1564">
        <f t="shared" si="236"/>
        <v>-12.118875997378865</v>
      </c>
      <c r="AA92" s="1564">
        <f t="shared" si="236"/>
        <v>-12.481852069845001</v>
      </c>
      <c r="AB92" s="1564">
        <f t="shared" si="236"/>
        <v>-15.835397218517821</v>
      </c>
      <c r="AC92" s="1564">
        <f t="shared" si="236"/>
        <v>-4.7022989944506932</v>
      </c>
      <c r="AD92" s="1564">
        <f t="shared" si="236"/>
        <v>3.5001535155050334</v>
      </c>
      <c r="AE92" s="1564">
        <f t="shared" si="236"/>
        <v>10.455523672883761</v>
      </c>
      <c r="AF92" s="1564">
        <f t="shared" si="236"/>
        <v>8.6377835121553623</v>
      </c>
      <c r="AG92" s="1564">
        <f t="shared" si="236"/>
        <v>8.0604203152364171</v>
      </c>
      <c r="AH92" s="1564">
        <f t="shared" si="236"/>
        <v>26.672882146035537</v>
      </c>
      <c r="AI92" s="1564">
        <f t="shared" si="236"/>
        <v>14.028251339503184</v>
      </c>
      <c r="AJ92" s="1564">
        <f t="shared" si="236"/>
        <v>15.285243988831954</v>
      </c>
      <c r="AK92" s="1564">
        <f t="shared" si="236"/>
        <v>13.836554434585313</v>
      </c>
      <c r="AL92" s="1564">
        <f t="shared" si="236"/>
        <v>0.72597102806866154</v>
      </c>
      <c r="AM92" s="1564">
        <f t="shared" si="236"/>
        <v>6.7065356685177324</v>
      </c>
      <c r="AN92" s="1564">
        <f t="shared" si="236"/>
        <v>15.344297849268029</v>
      </c>
      <c r="AO92" s="1564">
        <f t="shared" si="236"/>
        <v>16.82445899772209</v>
      </c>
      <c r="AP92" s="1564">
        <f t="shared" si="236"/>
        <v>11.940348080244467</v>
      </c>
      <c r="AQ92" s="1564">
        <f t="shared" ref="AQ92:BN92" si="237">(AQ71/AM71-1)*100</f>
        <v>17.240459033893796</v>
      </c>
      <c r="AR92" s="1564">
        <f t="shared" si="237"/>
        <v>15.412096521466623</v>
      </c>
      <c r="AS92" s="1564">
        <f t="shared" si="237"/>
        <v>14.163848520854284</v>
      </c>
      <c r="AT92" s="1564">
        <f t="shared" si="237"/>
        <v>11.340236774174418</v>
      </c>
      <c r="AU92" s="1564">
        <f t="shared" si="237"/>
        <v>25.756430685180966</v>
      </c>
      <c r="AV92" s="1564">
        <f t="shared" si="237"/>
        <v>20.934254371673731</v>
      </c>
      <c r="AW92" s="1564">
        <f t="shared" si="237"/>
        <v>29.784073441502979</v>
      </c>
      <c r="AX92" s="1564">
        <f t="shared" si="237"/>
        <v>33.575743104596903</v>
      </c>
      <c r="AY92" s="1564">
        <f t="shared" si="237"/>
        <v>15.476562500000002</v>
      </c>
      <c r="AZ92" s="1564">
        <f t="shared" si="237"/>
        <v>21.226451662919608</v>
      </c>
      <c r="BA92" s="1564">
        <f t="shared" si="237"/>
        <v>16.734114305999292</v>
      </c>
      <c r="BB92" s="1564">
        <f t="shared" si="237"/>
        <v>24.502307639319419</v>
      </c>
      <c r="BC92" s="1564">
        <f t="shared" si="237"/>
        <v>27.183546444760175</v>
      </c>
      <c r="BD92" s="1564">
        <f t="shared" si="237"/>
        <v>28.355822728144766</v>
      </c>
      <c r="BE92" s="1564">
        <f t="shared" si="237"/>
        <v>22.18708186352023</v>
      </c>
      <c r="BF92" s="1564">
        <f t="shared" si="237"/>
        <v>13.267677326546412</v>
      </c>
      <c r="BG92" s="1564">
        <f t="shared" si="237"/>
        <v>7.9153146443959876</v>
      </c>
      <c r="BH92" s="1564">
        <f t="shared" si="237"/>
        <v>0.24413332669026566</v>
      </c>
      <c r="BI92" s="1564">
        <f t="shared" si="237"/>
        <v>-6.1174713787954254</v>
      </c>
      <c r="BJ92" s="1564">
        <f t="shared" si="237"/>
        <v>-15.870457209847611</v>
      </c>
      <c r="BK92" s="1564">
        <f t="shared" si="237"/>
        <v>-33.82461674964263</v>
      </c>
      <c r="BL92" s="1564">
        <f t="shared" si="237"/>
        <v>-41.903578528827033</v>
      </c>
      <c r="BM92" s="1564">
        <f t="shared" si="237"/>
        <v>-43.619108212714053</v>
      </c>
      <c r="BN92" s="1564">
        <f t="shared" si="237"/>
        <v>-37.670556813563259</v>
      </c>
      <c r="BO92" s="1564">
        <f t="shared" ref="BO92:BV92" si="238">(BO71/BK71-1)*100</f>
        <v>-22.286778398510254</v>
      </c>
      <c r="BP92" s="1564">
        <f t="shared" si="238"/>
        <v>-4.6026178458379752</v>
      </c>
      <c r="BQ92" s="1564">
        <f t="shared" si="238"/>
        <v>17.538085386496128</v>
      </c>
      <c r="BR92" s="1564">
        <f t="shared" si="238"/>
        <v>20.680018630647435</v>
      </c>
      <c r="BS92" s="1564">
        <f t="shared" si="238"/>
        <v>32.339691363941348</v>
      </c>
      <c r="BT92" s="1564">
        <f t="shared" si="238"/>
        <v>25.818312258990229</v>
      </c>
      <c r="BU92" s="1564">
        <f t="shared" si="238"/>
        <v>15.521241699335953</v>
      </c>
      <c r="BV92" s="1564">
        <f t="shared" si="238"/>
        <v>12.057120802778831</v>
      </c>
      <c r="BW92" s="1564">
        <f t="shared" ref="BW92:CD92" si="239">(BW71/BS71-1)*100</f>
        <v>3.5996233794452159</v>
      </c>
      <c r="BX92" s="1564">
        <f t="shared" si="239"/>
        <v>-1.6108339272986383</v>
      </c>
      <c r="BY92" s="1564">
        <f t="shared" si="239"/>
        <v>-3.1650391301336733</v>
      </c>
      <c r="BZ92" s="1564">
        <f t="shared" si="239"/>
        <v>-5.0699180271405968</v>
      </c>
      <c r="CA92" s="1564">
        <f t="shared" si="239"/>
        <v>0.25866890380312757</v>
      </c>
      <c r="CB92" s="1564">
        <f t="shared" si="239"/>
        <v>7.0921472037090538</v>
      </c>
      <c r="CC92" s="1564">
        <f t="shared" si="239"/>
        <v>11.865255328279201</v>
      </c>
      <c r="CD92" s="1564">
        <f t="shared" si="239"/>
        <v>13.533125317466087</v>
      </c>
      <c r="CE92" s="1564">
        <f t="shared" ref="CE92:CL92" si="240">(CE71/CA71-1)*100</f>
        <v>10.501359737814653</v>
      </c>
      <c r="CF92" s="1564">
        <f t="shared" si="240"/>
        <v>7.2786308597713623</v>
      </c>
      <c r="CG92" s="1564">
        <f t="shared" si="240"/>
        <v>1.9947573684547137</v>
      </c>
      <c r="CH92" s="1564">
        <f t="shared" si="240"/>
        <v>2.8825258852102964</v>
      </c>
      <c r="CI92" s="1564">
        <f t="shared" si="240"/>
        <v>6.802549378431233</v>
      </c>
      <c r="CJ92" s="1564">
        <f t="shared" si="240"/>
        <v>8.8404060785673764</v>
      </c>
      <c r="CK92" s="1564">
        <f t="shared" si="240"/>
        <v>5.3218830314047727</v>
      </c>
      <c r="CL92" s="1564">
        <f t="shared" si="240"/>
        <v>-0.74548052432130696</v>
      </c>
      <c r="CM92" s="1564">
        <f t="shared" ref="CM92:CT92" si="241">(CM71/CI71-1)*100</f>
        <v>-1.8906942392909798</v>
      </c>
      <c r="CN92" s="1564">
        <f t="shared" si="241"/>
        <v>-2.3637100979085779</v>
      </c>
      <c r="CO92" s="1564">
        <f t="shared" si="241"/>
        <v>-3.2258064516129226</v>
      </c>
      <c r="CP92" s="1564">
        <f t="shared" si="241"/>
        <v>7.4669837891969681</v>
      </c>
      <c r="CQ92" s="1564">
        <f t="shared" si="241"/>
        <v>2.6979825353809161</v>
      </c>
      <c r="CR92" s="1564">
        <f t="shared" si="241"/>
        <v>3.9577523289622052</v>
      </c>
      <c r="CS92" s="1564">
        <f t="shared" si="241"/>
        <v>9.102091020910219</v>
      </c>
      <c r="CT92" s="1564">
        <f t="shared" si="241"/>
        <v>11.118229470005826</v>
      </c>
      <c r="CU92" s="1564">
        <f t="shared" ref="CU92:DB92" si="242">(CU71/CQ71-1)*100</f>
        <v>10.202398404972723</v>
      </c>
      <c r="CV92" s="1564">
        <f t="shared" si="242"/>
        <v>8.1230452054794622</v>
      </c>
      <c r="CW92" s="1564">
        <f t="shared" si="242"/>
        <v>7.849994899661783</v>
      </c>
      <c r="CX92" s="1564">
        <f t="shared" si="242"/>
        <v>1.4341101200000095</v>
      </c>
      <c r="CY92" s="1564">
        <f t="shared" si="242"/>
        <v>4.0394735575999929</v>
      </c>
      <c r="CZ92" s="1564">
        <f t="shared" si="242"/>
        <v>4.2459010845000034</v>
      </c>
      <c r="DA92" s="1564">
        <f t="shared" si="242"/>
        <v>4.2459010845000034</v>
      </c>
      <c r="DB92" s="1564">
        <f t="shared" si="242"/>
        <v>4.091310030000006</v>
      </c>
      <c r="DC92"/>
      <c r="DD92"/>
      <c r="DE92"/>
      <c r="DF92"/>
      <c r="DG92"/>
      <c r="DH92"/>
      <c r="DI92"/>
      <c r="DJ92"/>
      <c r="DK92"/>
      <c r="DL92"/>
      <c r="DM92"/>
      <c r="DN92"/>
      <c r="DO92"/>
    </row>
    <row r="93" spans="1:119" s="699" customFormat="1" ht="12.75" customHeight="1">
      <c r="A93" s="664"/>
      <c r="B93" s="664"/>
      <c r="C93" s="944"/>
      <c r="D93" s="674"/>
      <c r="E93" s="3629" t="s">
        <v>1938</v>
      </c>
      <c r="F93" s="3630"/>
      <c r="G93" s="705"/>
      <c r="H93" s="705"/>
      <c r="I93" s="705"/>
      <c r="J93" s="705"/>
      <c r="K93" s="1564">
        <f>(4*K71/J72-1)*100</f>
        <v>12.256610316428262</v>
      </c>
      <c r="L93" s="1564">
        <f>((K71+3*L71)/J72-1)*100</f>
        <v>15.122670134373628</v>
      </c>
      <c r="M93" s="1564">
        <f>((K71+L71+2*M71)/J72-1)*100</f>
        <v>16.957087126137814</v>
      </c>
      <c r="N93" s="1621"/>
      <c r="O93" s="1564">
        <f>(4*O71/N72-1)*100</f>
        <v>16.726267174356835</v>
      </c>
      <c r="P93" s="1564">
        <f>((O71+3*P71)/N72-1)*100</f>
        <v>18.906632305888181</v>
      </c>
      <c r="Q93" s="1564">
        <f>((O71+P71+2*Q71)/N72-1)*100</f>
        <v>23.698802681298979</v>
      </c>
      <c r="R93" s="1621"/>
      <c r="S93" s="1564">
        <f>(4*S71/R72-1)*100</f>
        <v>16.837725381414682</v>
      </c>
      <c r="T93" s="1564">
        <f>((S71+3*T71)/R72-1)*100</f>
        <v>21.858529819694827</v>
      </c>
      <c r="U93" s="1564">
        <f>((S71+T71+2*U71)/R72-1)*100</f>
        <v>23.379565418400361</v>
      </c>
      <c r="V93" s="1621"/>
      <c r="W93" s="1564">
        <f>(4*W71/V72-1)*100</f>
        <v>-3.2028334583574569</v>
      </c>
      <c r="X93" s="1564">
        <f>((W71+3*X71)/V72-1)*100</f>
        <v>-1.0378585739652113</v>
      </c>
      <c r="Y93" s="1564">
        <f>((W71+X71+2*Y71)/V72-1)*100</f>
        <v>-5.3640101411981274</v>
      </c>
      <c r="Z93" s="1621"/>
      <c r="AA93" s="1564">
        <f>(4*AA71/Z72-1)*100</f>
        <v>-9.4217024041585375</v>
      </c>
      <c r="AB93" s="1564">
        <f>((AA71+3*AB71)/Z72-1)*100</f>
        <v>-10.076551332033789</v>
      </c>
      <c r="AC93" s="1564">
        <f>((AA71+AB71+2*AC71)/Z72-1)*100</f>
        <v>-8.5516163092917434</v>
      </c>
      <c r="AD93" s="1621"/>
      <c r="AE93" s="1564">
        <f>(4*AE71/AD72-1)*100</f>
        <v>8.4927887261917689</v>
      </c>
      <c r="AF93" s="1564">
        <f>((AE71+3*AF71)/AD72-1)*100</f>
        <v>6.3822525597269308</v>
      </c>
      <c r="AG93" s="1564">
        <f>((AE71+AF71+2*AG71)/AD72-1)*100</f>
        <v>7.8883628757018487</v>
      </c>
      <c r="AH93" s="1621"/>
      <c r="AI93" s="1564">
        <f>(4*AI71/AH72-1)*100</f>
        <v>8.8784458117339362</v>
      </c>
      <c r="AJ93" s="1564">
        <f>((AI71+3*AJ71)/AH72-1)*100</f>
        <v>7.6372268785427133</v>
      </c>
      <c r="AK93" s="1564">
        <f>((AI71+AJ71+2*AK71)/AH72-1)*100</f>
        <v>8.4724577297611745</v>
      </c>
      <c r="AL93" s="1621"/>
      <c r="AM93" s="1564">
        <f>(4*AM71/AL72-1)*100</f>
        <v>5.214941953826302</v>
      </c>
      <c r="AN93" s="1564">
        <f>((AM71+3*AN71)/AL72-1)*100</f>
        <v>10.306157369626456</v>
      </c>
      <c r="AO93" s="1564">
        <f>((AM71+AN71+2*AO71)/AL72-1)*100</f>
        <v>11.908459911724201</v>
      </c>
      <c r="AP93" s="1621"/>
      <c r="AQ93" s="1564">
        <f>(4*AQ71/AP72-1)*100</f>
        <v>9.4726349562346037</v>
      </c>
      <c r="AR93" s="1564">
        <f>((AQ71+3*AR71)/AP72-1)*100</f>
        <v>13.406846712145249</v>
      </c>
      <c r="AS93" s="1564">
        <f>((AQ71+AR71+2*AS71)/AP72-1)*100</f>
        <v>14.409868236613388</v>
      </c>
      <c r="AT93" s="1621"/>
      <c r="AU93" s="1564">
        <f>(4*AU71/AT72-1)*100</f>
        <v>20.286155583830599</v>
      </c>
      <c r="AV93" s="1564">
        <f>((AU71+3*AV71)/AT72-1)*100</f>
        <v>20.983909259775867</v>
      </c>
      <c r="AW93" s="1564">
        <f>((AU71+AV71+2*AW71)/AT72-1)*100</f>
        <v>26.556541311433012</v>
      </c>
      <c r="AX93" s="1621"/>
      <c r="AY93" s="1564">
        <f>(4*AY71/AX72-1)*100</f>
        <v>8.8819727076849375</v>
      </c>
      <c r="AZ93" s="1564">
        <f>((AY71+3*AZ71)/AX72-1)*100</f>
        <v>13.611167381816159</v>
      </c>
      <c r="BA93" s="1564">
        <f>((AY71+AZ71+2*BA71)/AX72-1)*100</f>
        <v>16.57612198670375</v>
      </c>
      <c r="BB93" s="1621"/>
      <c r="BC93" s="1564">
        <f>(4*BC71/BB72-1)*100</f>
        <v>15.803739181322584</v>
      </c>
      <c r="BD93" s="1564">
        <f>((BC71+3*BD71)/BB72-1)*100</f>
        <v>21.680475559799174</v>
      </c>
      <c r="BE93" s="1564">
        <f>((BC71+BD71+2*BE71)/BB72-1)*100</f>
        <v>21.738996519542898</v>
      </c>
      <c r="BF93" s="1621"/>
      <c r="BG93" s="1564">
        <f>(4*BG71/BF72-1)*100</f>
        <v>2.160338402658879</v>
      </c>
      <c r="BH93" s="1564">
        <f>((BG71+3*BH71)/BF72-1)*100</f>
        <v>1.5296102326518346</v>
      </c>
      <c r="BI93" s="1564">
        <f>((BG71+BH71+2*BI71)/BF72-1)*100</f>
        <v>-1.6403968174035666</v>
      </c>
      <c r="BJ93" s="1621"/>
      <c r="BK93" s="1564">
        <f>(4*BK71/BJ72-1)*100</f>
        <v>-29.795662234772713</v>
      </c>
      <c r="BL93" s="1564">
        <f>((BK71+3*BL71)/BJ72-1)*100</f>
        <v>-36.604306388986927</v>
      </c>
      <c r="BM93" s="1564">
        <f>((BK71+BL71+2*BM71)/BJ72-1)*100</f>
        <v>-39.362800852387856</v>
      </c>
      <c r="BN93" s="1621"/>
      <c r="BO93" s="1564">
        <f>(4*BO71/BN72-1)*100</f>
        <v>-10.22094098917885</v>
      </c>
      <c r="BP93" s="1564">
        <f>((BO71+3*BP71)/BN72-1)*100</f>
        <v>-5.5869887916012217</v>
      </c>
      <c r="BQ93" s="1564">
        <f>((BO71+BP71+2*BQ71)/BN72-1)*100</f>
        <v>0.21298108986080866</v>
      </c>
      <c r="BR93" s="1621"/>
      <c r="BS93" s="1564">
        <f>(4*BS71/BR72-1)*100</f>
        <v>17.411454568646654</v>
      </c>
      <c r="BT93" s="1564">
        <f>((BS71+3*BT71)/BR72-1)*100</f>
        <v>18.833708916195423</v>
      </c>
      <c r="BU93" s="1564">
        <f>((BS71+BT71+2*BU71)/BR72-1)*100</f>
        <v>20.572728432331331</v>
      </c>
      <c r="BV93" s="1621"/>
      <c r="BW93" s="1564">
        <f>(4*BW71/BV72-1)*100</f>
        <v>0.74481009983624613</v>
      </c>
      <c r="BX93" s="1564">
        <f>((BW71+3*BX71)/BV72-1)*100</f>
        <v>-1.8963604669589573</v>
      </c>
      <c r="BY93" s="1564">
        <f>((BW71+BX71+2*BY71)/BV72-1)*100</f>
        <v>-1.2695226524395586</v>
      </c>
      <c r="BZ93" s="1621"/>
      <c r="CA93" s="1564">
        <f>(4*CA71/BZ72-1)*100</f>
        <v>2.6722270945571003</v>
      </c>
      <c r="CB93" s="1564">
        <f>((CA71+3*CB71)/BZ72-1)*100</f>
        <v>5.0455513593814283</v>
      </c>
      <c r="CC93" s="1564">
        <f>((CA71+CB71+2*CC71)/BZ72-1)*100</f>
        <v>8.1169121726834881</v>
      </c>
      <c r="CD93" s="1621"/>
      <c r="CE93" s="1564">
        <f>(4*CE71/CD72-1)*100</f>
        <v>4.9279104798794826</v>
      </c>
      <c r="CF93" s="1564">
        <f>((CE71+3*CF71)/CD72-1)*100</f>
        <v>4.9875022760755394</v>
      </c>
      <c r="CG93" s="1564">
        <f>((CE71+CF71+2*CG71)/CD72-1)*100</f>
        <v>5.2987038784327423</v>
      </c>
      <c r="CH93" s="1621"/>
      <c r="CI93" s="1564">
        <f>(4*CI71/CH72-1)*100</f>
        <v>6.1860844469540099</v>
      </c>
      <c r="CJ93" s="1564">
        <f>((CI71+3*CJ71)/CH72-1)*100</f>
        <v>7.7671121149381905</v>
      </c>
      <c r="CK93" s="1564">
        <f>((CI71+CJ71+2*CK71)/CH72-1)*100</f>
        <v>6.3272476315954451</v>
      </c>
      <c r="CL93" s="1621"/>
      <c r="CM93" s="1564">
        <f>(4*CM71/CL72-1)*100</f>
        <v>-0.81385798551482091</v>
      </c>
      <c r="CN93" s="1564">
        <f>((CM71+3*CN71)/CL72-1)*100</f>
        <v>0.29717016351824554</v>
      </c>
      <c r="CO93" s="1564">
        <f>((CM71+CN71+2*CO71)/CL72-1)*100</f>
        <v>-1.4739042783543765</v>
      </c>
      <c r="CP93" s="1621"/>
      <c r="CQ93" s="1564">
        <f>(4*CQ71/CP72-1)*100</f>
        <v>1.9794282980504674</v>
      </c>
      <c r="CR93" s="1564">
        <f>((CQ71+3*CR71)/CP72-1)*100</f>
        <v>4.0739744049754778</v>
      </c>
      <c r="CS93" s="1564">
        <f>((CQ71+CR71+2*CS71)/CP72-1)*100</f>
        <v>4.7317904556871015</v>
      </c>
      <c r="CT93" s="1621"/>
      <c r="CU93" s="1564">
        <f>(4*CU71/CT72-1)*100</f>
        <v>5.2936743612729709</v>
      </c>
      <c r="CV93" s="1564">
        <f>((CU71+3*CV71)/CT72-1)*100</f>
        <v>5.9254364074406096</v>
      </c>
      <c r="CW93" s="1564">
        <f>((CU71+CV71+2*CW71)/CT72-1)*100</f>
        <v>6.4561165262214226</v>
      </c>
      <c r="CX93" s="1621"/>
      <c r="CY93" s="1564">
        <f>(4*CY71/CX72-1)*100</f>
        <v>2.6063724063282612</v>
      </c>
      <c r="CZ93" s="1564">
        <f>((CY71+3*CZ71)/CX72-1)*100</f>
        <v>3.3759201993757149</v>
      </c>
      <c r="DA93" s="1564">
        <f>((CY71+CZ71+2*DA71)/CX72-1)*100</f>
        <v>3.8940823800276858</v>
      </c>
      <c r="DB93" s="1621"/>
      <c r="DC93"/>
      <c r="DD93"/>
      <c r="DE93"/>
      <c r="DF93"/>
      <c r="DG93"/>
      <c r="DH93"/>
      <c r="DI93"/>
      <c r="DJ93"/>
      <c r="DK93"/>
      <c r="DL93"/>
      <c r="DM93"/>
      <c r="DN93"/>
      <c r="DO93"/>
    </row>
    <row r="94" spans="1:119">
      <c r="C94" s="1557"/>
      <c r="D94" s="828"/>
      <c r="E94" s="3631" t="s">
        <v>1807</v>
      </c>
      <c r="F94" s="828"/>
      <c r="G94" s="876"/>
      <c r="H94" s="876"/>
      <c r="I94" s="876"/>
      <c r="J94" s="876"/>
      <c r="K94" s="1620"/>
      <c r="L94" s="883">
        <f>(4*L71/(K71+3*L71)-1)*100</f>
        <v>0.82985677063722729</v>
      </c>
      <c r="M94" s="883">
        <f>(4*M71/(K71+L71+2*M71)-1)*100</f>
        <v>2.3852938996367978</v>
      </c>
      <c r="N94" s="883">
        <f>+(4*N71/N72-1)*100</f>
        <v>9.3483516960808579</v>
      </c>
      <c r="O94" s="1620"/>
      <c r="P94" s="883">
        <f>(4*P71/(O71+3*P71)-1)*100</f>
        <v>0.61122610495556451</v>
      </c>
      <c r="Q94" s="883">
        <f>(4*Q71/(O71+P71+2*Q71)-1)*100</f>
        <v>4.4616104868913986</v>
      </c>
      <c r="R94" s="883">
        <f>+(4*R71/R72-1)*100</f>
        <v>8.1507165973185423</v>
      </c>
      <c r="S94" s="1620"/>
      <c r="T94" s="883">
        <f>(4*T71/(S71+3*T71)-1)*100</f>
        <v>1.3733970710979593</v>
      </c>
      <c r="U94" s="883">
        <f>(4*U71/(S71+T71+2*U71)-1)*100</f>
        <v>2.5892756772960546</v>
      </c>
      <c r="V94" s="883">
        <f>+(4*V71/V72-1)*100</f>
        <v>-1.4632571477405265</v>
      </c>
      <c r="W94" s="1620"/>
      <c r="X94" s="883">
        <f>(4*X71/(W71+3*X71)-1)*100</f>
        <v>0.72922663596237669</v>
      </c>
      <c r="Y94" s="883">
        <f>(4*Y71/(W71+X71+2*Y71)-1)*100</f>
        <v>-3.808797559800936</v>
      </c>
      <c r="Z94" s="883">
        <f>+(4*Z71/Z72-1)*100</f>
        <v>-7.4114684860298823</v>
      </c>
      <c r="AA94" s="1620"/>
      <c r="AB94" s="883">
        <f>(4*AB71/(AA71+3*AB71)-1)*100</f>
        <v>-0.24274311004731652</v>
      </c>
      <c r="AC94" s="883">
        <f>(4*AC71/(AA71+AB71+2*AC71)-1)*100</f>
        <v>1.4288410511474003</v>
      </c>
      <c r="AD94" s="883">
        <f>+(4*AD71/AD72-1)*100</f>
        <v>3.9172079709346885</v>
      </c>
      <c r="AE94" s="1620"/>
      <c r="AF94" s="883">
        <f>(4*AF71/(AE71+3*AF71)-1)*100</f>
        <v>-0.66130584619206179</v>
      </c>
      <c r="AG94" s="883">
        <f>(4*AG71/(AE71+AF71+2*AG71)-1)*100</f>
        <v>0.7439155058931668</v>
      </c>
      <c r="AH94" s="883">
        <f>+(4*AH71/AH72-1)*100</f>
        <v>15.850976212392819</v>
      </c>
      <c r="AI94" s="1620"/>
      <c r="AJ94" s="883">
        <f>(4*AJ71/(AI71+3*AJ71)-1)*100</f>
        <v>-0.38438341120021757</v>
      </c>
      <c r="AK94" s="883">
        <f>(4*AK71/(AI71+AJ71+2*AK71)-1)*100</f>
        <v>0.38856979517458701</v>
      </c>
      <c r="AL94" s="883">
        <f>+(4*AL71/AL72-1)*100</f>
        <v>5.678258351541321</v>
      </c>
      <c r="AM94" s="1620"/>
      <c r="AN94" s="883">
        <f>(4*AN71/(AM71+3*AN71)-1)*100</f>
        <v>1.5385104927370108</v>
      </c>
      <c r="AO94" s="883">
        <f>(4*AO71/(AM71+AN71+2*AO71)-1)*100</f>
        <v>2.9482796474610273</v>
      </c>
      <c r="AP94" s="883">
        <f>+(4*AP71/AP72-1)*100</f>
        <v>4.9839578855558786</v>
      </c>
      <c r="AQ94" s="1620"/>
      <c r="AR94" s="883">
        <f>(4*AR71/(AQ71+3*AR71)-1)*100</f>
        <v>1.156371027549663</v>
      </c>
      <c r="AS94" s="883">
        <f>(4*AS71/(AQ71+AR71+2*AS71)-1)*100</f>
        <v>2.0229246644341226</v>
      </c>
      <c r="AT94" s="883">
        <f>+(4*AT71/AT72-1)*100</f>
        <v>2.1303812368594688</v>
      </c>
      <c r="AU94" s="1620"/>
      <c r="AV94" s="883">
        <f>(4*AV71/(AU71+3*AV71)-1)*100</f>
        <v>0.19224420840049383</v>
      </c>
      <c r="AW94" s="883">
        <f>(4*AW71/(AU71+AV71+2*AW71)-1)*100</f>
        <v>4.587053778611061</v>
      </c>
      <c r="AX94" s="883">
        <f>+(4*AX71/AX72-1)*100</f>
        <v>6.9372571407524619</v>
      </c>
      <c r="AY94" s="1620"/>
      <c r="AZ94" s="883">
        <f>(4*AZ71/(AY71+3*AZ71)-1)*100</f>
        <v>1.3875380924593284</v>
      </c>
      <c r="BA94" s="883">
        <f>(4*BA71/(AY71+AZ71+2*BA71)-1)*100</f>
        <v>3.8956115130643676</v>
      </c>
      <c r="BB94" s="883">
        <f>+(4*BB71/BB72-1)*100</f>
        <v>11.337665937721386</v>
      </c>
      <c r="BC94" s="1620"/>
      <c r="BD94" s="883">
        <f>(4*BD71/(BC71+3*BD71)-1)*100</f>
        <v>1.6098820432339345</v>
      </c>
      <c r="BE94" s="883">
        <f>(4*BE71/(BC71+BD71+2*BE71)-1)*100</f>
        <v>1.6571790006325138</v>
      </c>
      <c r="BF94" s="883">
        <f>+(4*BF71/BF72-1)*100</f>
        <v>3.0919528653439388</v>
      </c>
      <c r="BG94" s="1620"/>
      <c r="BH94" s="883">
        <f>(4*BH71/(BG71+3*BH71)-1)*100</f>
        <v>-0.20707527868364384</v>
      </c>
      <c r="BI94" s="883">
        <f>(4*BI71/(BG71+BH71+2*BI71)-1)*100</f>
        <v>-3.4366240448489127</v>
      </c>
      <c r="BJ94" s="883">
        <f>+(4*BJ71/BJ72-1)*100</f>
        <v>-9.9345020982860692</v>
      </c>
      <c r="BK94" s="1620"/>
      <c r="BL94" s="883">
        <f>(4*BL71/(BK71+3*BL71)-1)*100</f>
        <v>-3.5799719541367736</v>
      </c>
      <c r="BM94" s="883">
        <f>(4*BM71/(BK71+BL71+2*BM71)-1)*100</f>
        <v>-8.2920098314001045</v>
      </c>
      <c r="BN94" s="883">
        <f>+(4*BN71/BN72-1)*100</f>
        <v>-7.6221414280489679</v>
      </c>
      <c r="BO94" s="1620"/>
      <c r="BP94" s="883">
        <f>(4*BP71/(BO71+3*BP71)-1)*100</f>
        <v>1.6360570569202038</v>
      </c>
      <c r="BQ94" s="883">
        <f>(4*BQ71/(BO71+BP71+2*BQ71)-1)*100</f>
        <v>7.329011206045255</v>
      </c>
      <c r="BR94" s="883">
        <f>+(4*BR71/BR72-1)*100</f>
        <v>10.16624856499002</v>
      </c>
      <c r="BS94" s="1620"/>
      <c r="BT94" s="883">
        <f>(4*BT71/(BS71+3*BT71)-1)*100</f>
        <v>0.39894806519134018</v>
      </c>
      <c r="BU94" s="883">
        <f>(4*BU71/(BS71+BT71+2*BU71)-1)*100</f>
        <v>1.8354932557524517</v>
      </c>
      <c r="BV94" s="883">
        <f>+(4*BV71/BV72-1)*100</f>
        <v>2.2449949817759052</v>
      </c>
      <c r="BW94" s="1620"/>
      <c r="BX94" s="883">
        <f>(4*BX71/(BW71+3*BX71)-1)*100</f>
        <v>-0.89740828487328006</v>
      </c>
      <c r="BY94" s="883">
        <f>(4*BY71/(BW71+BX71+2*BY71)-1)*100</f>
        <v>-0.25681266942503278</v>
      </c>
      <c r="BZ94" s="883">
        <f>+(4*BZ71/BZ72-1)*100</f>
        <v>-1.3370084659304671</v>
      </c>
      <c r="CA94" s="1620"/>
      <c r="CB94" s="883">
        <f>(4*CB71/(CA71+3*CB71)-1)*100</f>
        <v>0.75310955869825058</v>
      </c>
      <c r="CC94" s="883">
        <f>(4*CC71/(CA71+CB71+2*CC71)-1)*100</f>
        <v>3.5724927987285993</v>
      </c>
      <c r="CD94" s="883">
        <f>+(4*CD71/CD72-1)*100</f>
        <v>3.5970270315008879</v>
      </c>
      <c r="CE94" s="1620"/>
      <c r="CF94" s="883">
        <f>(4*CF71/(CE71+3*CF71)-1)*100</f>
        <v>1.8920282542889133E-2</v>
      </c>
      <c r="CG94" s="883">
        <f>(4*CG71/(CE71+CF71+2*CG71)-1)*100</f>
        <v>0.31440608690183058</v>
      </c>
      <c r="CH94" s="883">
        <f>+(4*CH71/CH72-1)*100</f>
        <v>0.99127925214881341</v>
      </c>
      <c r="CI94" s="1620"/>
      <c r="CJ94" s="883">
        <f>(4*CJ71/(CI71+3*CJ71)-1)*100</f>
        <v>0.48902602317051347</v>
      </c>
      <c r="CK94" s="883">
        <f>(4*CK71/(CI71+CJ71+2*CK71)-1)*100</f>
        <v>-0.85853370703642407</v>
      </c>
      <c r="CL94" s="883">
        <f>+(4*CL71/CL72-1)*100</f>
        <v>-4.5650713059060655</v>
      </c>
      <c r="CM94" s="1620"/>
      <c r="CN94" s="883">
        <f>(4*CN71/(CM71+3*CN71)-1)*100</f>
        <v>0.36924542909892999</v>
      </c>
      <c r="CO94" s="883">
        <f>(4*CO71/(CM71+CN71+2*CO71)-1)*100</f>
        <v>-1.4216860165509715</v>
      </c>
      <c r="CP94" s="883">
        <f>+(4*CP71/CP72-1)*100</f>
        <v>2.6791053701710199</v>
      </c>
      <c r="CQ94" s="1620"/>
      <c r="CR94" s="883">
        <f>(4*CR71/(CQ71+3*CR71)-1)*100</f>
        <v>0.67085170873255606</v>
      </c>
      <c r="CS94" s="883">
        <f>(4*CS71/(CQ71+CR71+2*CS71)-1)*100</f>
        <v>1.2947339871240304</v>
      </c>
      <c r="CT94" s="883">
        <f>+(4*CT71/CT72-1)*100</f>
        <v>6.8971313312415905</v>
      </c>
      <c r="CU94" s="1620"/>
      <c r="CV94" s="883">
        <f>(4*CV71/(CU71+3*CV71)-1)*100</f>
        <v>0.19880715705764551</v>
      </c>
      <c r="CW94" s="883">
        <f>(4*CW71/(CU71+CV71+2*CW71)-1)*100</f>
        <v>0.69631270770691422</v>
      </c>
      <c r="CX94" s="883">
        <f>+(4*CX71/CX72-1)*100</f>
        <v>1.5603013029083179</v>
      </c>
      <c r="CY94" s="1620"/>
      <c r="CZ94" s="883">
        <f>(4*CZ71/(CY71+3*CZ71)-1)*100</f>
        <v>0.24813895781636841</v>
      </c>
      <c r="DA94" s="883">
        <f>(4*DA71/(CY71+CZ71+2*DA71)-1)*100</f>
        <v>0.7456421905090993</v>
      </c>
      <c r="DB94" s="883">
        <f>+(4*DB71/DB72-1)*100</f>
        <v>1.497462935311078</v>
      </c>
    </row>
    <row r="95" spans="1:119" ht="30" customHeight="1">
      <c r="E95" s="599"/>
      <c r="F95" s="3617"/>
      <c r="BN95" s="1312"/>
      <c r="BR95" s="1312"/>
      <c r="BV95" s="1312"/>
      <c r="CE95" s="1693"/>
      <c r="CF95" s="1693"/>
      <c r="CG95" s="1693"/>
      <c r="CH95" s="1693"/>
      <c r="CI95" s="1693"/>
      <c r="CJ95" s="1693"/>
      <c r="CK95" s="1693"/>
      <c r="CL95" s="1693"/>
      <c r="CM95" s="1693"/>
      <c r="CN95" s="1693"/>
      <c r="CO95" s="1693"/>
      <c r="CP95" s="3427">
        <f>1.007^4</f>
        <v>1.0282953744009995</v>
      </c>
      <c r="CQ95" s="1564"/>
      <c r="CR95" s="1564"/>
      <c r="CS95" s="1564"/>
      <c r="CT95" s="1564"/>
      <c r="CU95" s="557"/>
      <c r="CV95" s="557"/>
      <c r="CW95" s="557"/>
      <c r="CX95" s="557"/>
      <c r="CY95" s="557"/>
      <c r="CZ95" s="557"/>
      <c r="DA95" s="557"/>
      <c r="DB95" s="557"/>
    </row>
    <row r="96" spans="1:119" ht="30" customHeight="1">
      <c r="E96" s="599"/>
      <c r="F96" s="3617"/>
      <c r="CM96" s="557"/>
      <c r="CN96" s="557"/>
      <c r="CO96" s="557"/>
      <c r="CP96" s="557"/>
      <c r="CQ96" s="557"/>
      <c r="CR96" s="557"/>
      <c r="CS96" s="557"/>
      <c r="CT96" s="557"/>
      <c r="CU96" s="557"/>
      <c r="CV96" s="557"/>
      <c r="CW96" s="557"/>
      <c r="CX96" s="557"/>
      <c r="CY96" s="557"/>
      <c r="CZ96" s="557"/>
      <c r="DA96" s="557"/>
      <c r="DB96" s="557"/>
    </row>
    <row r="97" spans="1:119" ht="30" customHeight="1">
      <c r="C97" s="3769" t="s">
        <v>1068</v>
      </c>
      <c r="D97" s="3769"/>
      <c r="E97" s="3769"/>
      <c r="F97" s="3769"/>
      <c r="CM97" s="557"/>
      <c r="CN97" s="557"/>
      <c r="CO97" s="557"/>
      <c r="CP97" s="557"/>
      <c r="CQ97" s="557"/>
      <c r="CR97" s="557"/>
      <c r="CS97" s="557"/>
      <c r="CT97" s="557"/>
      <c r="CU97" s="557"/>
      <c r="CV97" s="557"/>
      <c r="CW97" s="557"/>
      <c r="CX97" s="557"/>
      <c r="CY97" s="557"/>
      <c r="CZ97" s="557"/>
      <c r="DA97" s="557"/>
      <c r="DB97" s="557"/>
    </row>
    <row r="98" spans="1:119" s="884" customFormat="1" ht="12.75" customHeight="1">
      <c r="A98" s="664"/>
      <c r="B98" s="664"/>
      <c r="C98" s="666"/>
      <c r="D98" s="1041"/>
      <c r="E98" s="3632"/>
      <c r="F98" s="1041"/>
      <c r="G98" s="1044"/>
      <c r="H98" s="1559"/>
      <c r="I98" s="1559"/>
      <c r="J98" s="1559"/>
      <c r="K98" s="1044"/>
      <c r="L98" s="1559"/>
      <c r="M98" s="1559"/>
      <c r="N98" s="1559"/>
      <c r="O98" s="1044"/>
      <c r="P98" s="1559"/>
      <c r="Q98" s="1559"/>
      <c r="R98" s="1559"/>
      <c r="S98" s="1044"/>
      <c r="T98" s="1559"/>
      <c r="U98" s="1559"/>
      <c r="V98" s="1559"/>
      <c r="W98" s="1044"/>
      <c r="X98" s="1559"/>
      <c r="Y98" s="1559"/>
      <c r="Z98" s="1559"/>
      <c r="AA98" s="1044"/>
      <c r="AB98" s="1559"/>
      <c r="AC98" s="1559"/>
      <c r="AD98" s="1559"/>
      <c r="AE98" s="1044"/>
      <c r="AF98" s="1559"/>
      <c r="AG98" s="1559"/>
      <c r="AH98" s="1559"/>
      <c r="AI98" s="1044"/>
      <c r="AJ98" s="1559"/>
      <c r="AK98" s="1559"/>
      <c r="AL98" s="1559"/>
      <c r="AM98" s="1044"/>
      <c r="AN98" s="1559"/>
      <c r="AO98" s="1559"/>
      <c r="AP98" s="1559"/>
      <c r="AQ98" s="1044"/>
      <c r="AR98" s="1559"/>
      <c r="AS98" s="1559"/>
      <c r="AT98" s="1559"/>
      <c r="AU98" s="1044"/>
      <c r="AV98" s="1559"/>
      <c r="AW98" s="1559"/>
      <c r="AX98" s="1559"/>
      <c r="AY98" s="1560"/>
      <c r="AZ98" s="1559"/>
      <c r="BA98" s="1560"/>
      <c r="BB98" s="1560"/>
      <c r="BC98" s="1560"/>
      <c r="BD98" s="1560"/>
      <c r="BE98" s="1560"/>
      <c r="BF98" s="1560"/>
      <c r="BG98" s="1560"/>
      <c r="BH98" s="1560"/>
      <c r="BI98" s="1560"/>
      <c r="BJ98" s="1560"/>
      <c r="BK98" s="1560"/>
      <c r="BL98" s="1560"/>
      <c r="BM98" s="1560"/>
      <c r="BN98" s="1560"/>
      <c r="BO98" s="1560"/>
      <c r="BP98" s="1560"/>
      <c r="BQ98" s="1560"/>
      <c r="BR98" s="1560"/>
      <c r="BS98" s="1560"/>
      <c r="BT98" s="1560"/>
      <c r="BU98" s="1560"/>
      <c r="BV98" s="1560"/>
      <c r="BW98" s="1560"/>
      <c r="BX98" s="1560"/>
      <c r="BY98" s="1560"/>
      <c r="BZ98" s="1560"/>
      <c r="CA98" s="1560"/>
      <c r="CB98" s="1560"/>
      <c r="CC98" s="1560"/>
      <c r="CD98" s="1560"/>
      <c r="CE98" s="1560"/>
      <c r="CF98" s="1560"/>
      <c r="CG98" s="1560"/>
      <c r="CH98" s="1560"/>
      <c r="CI98" s="1560"/>
      <c r="CJ98" s="1560"/>
      <c r="CK98" s="1560"/>
      <c r="CL98" s="1560"/>
      <c r="CM98" s="1560"/>
      <c r="CN98" s="1560"/>
      <c r="CO98" s="1560"/>
      <c r="CP98" s="1560"/>
      <c r="CQ98" s="1560"/>
      <c r="CR98" s="1560"/>
      <c r="CS98" s="1560"/>
      <c r="CT98" s="1560"/>
      <c r="CU98" s="1560"/>
      <c r="CV98" s="1560"/>
      <c r="CW98" s="1560"/>
      <c r="CX98" s="1560"/>
      <c r="CY98" s="1560"/>
      <c r="CZ98" s="1560"/>
      <c r="DA98" s="1560"/>
      <c r="DB98" s="1560"/>
      <c r="DC98"/>
      <c r="DD98"/>
      <c r="DE98"/>
      <c r="DF98"/>
      <c r="DG98"/>
      <c r="DH98"/>
      <c r="DI98"/>
      <c r="DJ98"/>
      <c r="DK98"/>
      <c r="DL98"/>
      <c r="DM98"/>
      <c r="DN98"/>
      <c r="DO98"/>
    </row>
    <row r="99" spans="1:119">
      <c r="E99" s="599"/>
      <c r="F99" s="3617"/>
      <c r="G99" s="3764">
        <f ca="1">OFFSET(InputY!$G$3,0,(COLUMN()-7)/4)</f>
        <v>1995</v>
      </c>
      <c r="H99" s="3765"/>
      <c r="I99" s="3765"/>
      <c r="J99" s="3766"/>
      <c r="K99" s="3764">
        <f ca="1">OFFSET(InputY!$G$3,0,(COLUMN()-7)/4)</f>
        <v>1996</v>
      </c>
      <c r="L99" s="3765"/>
      <c r="M99" s="3765"/>
      <c r="N99" s="3766"/>
      <c r="O99" s="3764">
        <f ca="1">OFFSET(InputY!$G$3,0,(COLUMN()-7)/4)</f>
        <v>1997</v>
      </c>
      <c r="P99" s="3765"/>
      <c r="Q99" s="3765"/>
      <c r="R99" s="3766"/>
      <c r="S99" s="3764">
        <f ca="1">OFFSET(InputY!$G$3,0,(COLUMN()-7)/4)</f>
        <v>1998</v>
      </c>
      <c r="T99" s="3765"/>
      <c r="U99" s="3765"/>
      <c r="V99" s="3766"/>
      <c r="W99" s="3764">
        <f ca="1">OFFSET(InputY!$G$3,0,(COLUMN()-7)/4)</f>
        <v>1999</v>
      </c>
      <c r="X99" s="3765"/>
      <c r="Y99" s="3765"/>
      <c r="Z99" s="3766"/>
      <c r="AA99" s="3764">
        <f ca="1">OFFSET(InputY!$G$3,0,(COLUMN()-7)/4)</f>
        <v>2000</v>
      </c>
      <c r="AB99" s="3765"/>
      <c r="AC99" s="3765"/>
      <c r="AD99" s="3766"/>
      <c r="AE99" s="3764">
        <f ca="1">OFFSET(InputY!$G$3,0,(COLUMN()-7)/4)</f>
        <v>2001</v>
      </c>
      <c r="AF99" s="3765"/>
      <c r="AG99" s="3765"/>
      <c r="AH99" s="3766"/>
      <c r="AI99" s="3764">
        <f ca="1">OFFSET(InputY!$G$3,0,(COLUMN()-7)/4)</f>
        <v>2002</v>
      </c>
      <c r="AJ99" s="3765"/>
      <c r="AK99" s="3765"/>
      <c r="AL99" s="3766"/>
      <c r="AM99" s="3764">
        <f ca="1">OFFSET(InputY!$G$3,0,(COLUMN()-7)/4)</f>
        <v>2003</v>
      </c>
      <c r="AN99" s="3765"/>
      <c r="AO99" s="3765"/>
      <c r="AP99" s="3766"/>
      <c r="AQ99" s="3764">
        <f ca="1">OFFSET(InputY!$G$3,0,(COLUMN()-7)/4)</f>
        <v>2004</v>
      </c>
      <c r="AR99" s="3765"/>
      <c r="AS99" s="3765"/>
      <c r="AT99" s="3766"/>
      <c r="AU99" s="3764">
        <f ca="1">OFFSET(InputY!$G$3,0,(COLUMN()-7)/4)</f>
        <v>2005</v>
      </c>
      <c r="AV99" s="3765"/>
      <c r="AW99" s="3765"/>
      <c r="AX99" s="3766"/>
      <c r="AY99" s="3764">
        <f ca="1">OFFSET(InputY!$G$3,0,(COLUMN()-7)/4)</f>
        <v>2006</v>
      </c>
      <c r="AZ99" s="3765"/>
      <c r="BA99" s="3765"/>
      <c r="BB99" s="3766"/>
      <c r="BC99" s="3764">
        <f ca="1">OFFSET(InputY!$G$3,0,(COLUMN()-7)/4)</f>
        <v>2007</v>
      </c>
      <c r="BD99" s="3765"/>
      <c r="BE99" s="3765"/>
      <c r="BF99" s="3766"/>
      <c r="BG99" s="3764">
        <f ca="1">OFFSET(InputY!$G$3,0,(COLUMN()-7)/4)</f>
        <v>2008</v>
      </c>
      <c r="BH99" s="3765"/>
      <c r="BI99" s="3765"/>
      <c r="BJ99" s="3766"/>
      <c r="BK99" s="3764">
        <f ca="1">OFFSET(InputY!$G$3,0,(COLUMN()-7)/4)</f>
        <v>2009</v>
      </c>
      <c r="BL99" s="3765"/>
      <c r="BM99" s="3765"/>
      <c r="BN99" s="3766"/>
      <c r="BO99" s="3764">
        <f ca="1">OFFSET(InputY!$G$3,0,(COLUMN()-7)/4)</f>
        <v>2010</v>
      </c>
      <c r="BP99" s="3765"/>
      <c r="BQ99" s="3765"/>
      <c r="BR99" s="3766"/>
      <c r="BS99" s="3764">
        <f ca="1">OFFSET(InputY!$G$3,0,(COLUMN()-7)/4)</f>
        <v>2011</v>
      </c>
      <c r="BT99" s="3765"/>
      <c r="BU99" s="3765"/>
      <c r="BV99" s="3766"/>
      <c r="BW99" s="3764">
        <f ca="1">OFFSET(InputY!$G$3,0,(COLUMN()-7)/4)</f>
        <v>2012</v>
      </c>
      <c r="BX99" s="3765"/>
      <c r="BY99" s="3765"/>
      <c r="BZ99" s="3766"/>
      <c r="CA99" s="3764">
        <f ca="1">OFFSET(InputY!$G$3,0,(COLUMN()-7)/4)</f>
        <v>2013</v>
      </c>
      <c r="CB99" s="3765"/>
      <c r="CC99" s="3765"/>
      <c r="CD99" s="3766"/>
      <c r="CE99" s="3764">
        <f ca="1">OFFSET(InputY!$G$3,0,(COLUMN()-7)/4)</f>
        <v>2014</v>
      </c>
      <c r="CF99" s="3765"/>
      <c r="CG99" s="3765"/>
      <c r="CH99" s="3766"/>
      <c r="CI99" s="3764">
        <f ca="1">OFFSET(InputY!$G$3,0,(COLUMN()-7)/4)</f>
        <v>2015</v>
      </c>
      <c r="CJ99" s="3765"/>
      <c r="CK99" s="3765"/>
      <c r="CL99" s="3766"/>
      <c r="CM99" s="3764">
        <f ca="1">OFFSET(InputY!$G$3,0,(COLUMN()-7)/4)</f>
        <v>2016</v>
      </c>
      <c r="CN99" s="3765"/>
      <c r="CO99" s="3765"/>
      <c r="CP99" s="3766"/>
      <c r="CQ99" s="3764">
        <f ca="1">OFFSET(InputY!$G$3,0,(COLUMN()-7)/4)</f>
        <v>2017</v>
      </c>
      <c r="CR99" s="3765"/>
      <c r="CS99" s="3765"/>
      <c r="CT99" s="3766"/>
      <c r="CU99" s="3764">
        <f ca="1">OFFSET(InputY!$G$3,0,(COLUMN()-7)/4)</f>
        <v>2018</v>
      </c>
      <c r="CV99" s="3765"/>
      <c r="CW99" s="3765"/>
      <c r="CX99" s="3766"/>
      <c r="CY99" s="3764">
        <f ca="1">OFFSET(InputY!$G$3,0,(COLUMN()-7)/4)</f>
        <v>2019</v>
      </c>
      <c r="CZ99" s="3765"/>
      <c r="DA99" s="3765"/>
      <c r="DB99" s="3766"/>
    </row>
    <row r="100" spans="1:119" s="699" customFormat="1" ht="12.75" customHeight="1">
      <c r="A100" s="664"/>
      <c r="B100" s="664"/>
      <c r="C100" s="666"/>
      <c r="D100" s="695"/>
      <c r="E100" s="3618" t="s">
        <v>1892</v>
      </c>
      <c r="F100" s="3619"/>
      <c r="G100" s="1566" t="s">
        <v>1842</v>
      </c>
      <c r="H100" s="1567" t="s">
        <v>1843</v>
      </c>
      <c r="I100" s="1567" t="s">
        <v>1844</v>
      </c>
      <c r="J100" s="1568" t="s">
        <v>1845</v>
      </c>
      <c r="K100" s="1566" t="s">
        <v>1842</v>
      </c>
      <c r="L100" s="1567" t="s">
        <v>1843</v>
      </c>
      <c r="M100" s="1567" t="s">
        <v>1844</v>
      </c>
      <c r="N100" s="1568" t="s">
        <v>1845</v>
      </c>
      <c r="O100" s="1566" t="s">
        <v>1842</v>
      </c>
      <c r="P100" s="1567" t="s">
        <v>1843</v>
      </c>
      <c r="Q100" s="1567" t="s">
        <v>1844</v>
      </c>
      <c r="R100" s="1568" t="s">
        <v>1845</v>
      </c>
      <c r="S100" s="1566" t="s">
        <v>1842</v>
      </c>
      <c r="T100" s="1567" t="s">
        <v>1843</v>
      </c>
      <c r="U100" s="1567" t="s">
        <v>1844</v>
      </c>
      <c r="V100" s="1568" t="s">
        <v>1845</v>
      </c>
      <c r="W100" s="1566" t="s">
        <v>1842</v>
      </c>
      <c r="X100" s="1567" t="s">
        <v>1843</v>
      </c>
      <c r="Y100" s="1567" t="s">
        <v>1844</v>
      </c>
      <c r="Z100" s="1568" t="s">
        <v>1845</v>
      </c>
      <c r="AA100" s="1566" t="s">
        <v>1842</v>
      </c>
      <c r="AB100" s="1567" t="s">
        <v>1843</v>
      </c>
      <c r="AC100" s="1567" t="s">
        <v>1844</v>
      </c>
      <c r="AD100" s="1568" t="s">
        <v>1845</v>
      </c>
      <c r="AE100" s="1566" t="s">
        <v>1842</v>
      </c>
      <c r="AF100" s="1567" t="s">
        <v>1843</v>
      </c>
      <c r="AG100" s="1567" t="s">
        <v>1844</v>
      </c>
      <c r="AH100" s="1568" t="s">
        <v>1845</v>
      </c>
      <c r="AI100" s="1566" t="s">
        <v>1842</v>
      </c>
      <c r="AJ100" s="1567" t="s">
        <v>1843</v>
      </c>
      <c r="AK100" s="1567" t="s">
        <v>1844</v>
      </c>
      <c r="AL100" s="1568" t="s">
        <v>1845</v>
      </c>
      <c r="AM100" s="1566" t="s">
        <v>1842</v>
      </c>
      <c r="AN100" s="1567" t="s">
        <v>1843</v>
      </c>
      <c r="AO100" s="1567" t="s">
        <v>1844</v>
      </c>
      <c r="AP100" s="1568" t="s">
        <v>1845</v>
      </c>
      <c r="AQ100" s="1566" t="s">
        <v>1842</v>
      </c>
      <c r="AR100" s="1567" t="s">
        <v>1843</v>
      </c>
      <c r="AS100" s="1567" t="s">
        <v>1844</v>
      </c>
      <c r="AT100" s="1568" t="s">
        <v>1845</v>
      </c>
      <c r="AU100" s="1566" t="s">
        <v>1842</v>
      </c>
      <c r="AV100" s="1567" t="s">
        <v>1843</v>
      </c>
      <c r="AW100" s="1567" t="s">
        <v>1844</v>
      </c>
      <c r="AX100" s="1568" t="s">
        <v>1845</v>
      </c>
      <c r="AY100" s="1566" t="s">
        <v>1842</v>
      </c>
      <c r="AZ100" s="1567" t="s">
        <v>1843</v>
      </c>
      <c r="BA100" s="1567" t="s">
        <v>1844</v>
      </c>
      <c r="BB100" s="1568" t="s">
        <v>1845</v>
      </c>
      <c r="BC100" s="1566" t="s">
        <v>1842</v>
      </c>
      <c r="BD100" s="1567" t="s">
        <v>1843</v>
      </c>
      <c r="BE100" s="1567" t="s">
        <v>1844</v>
      </c>
      <c r="BF100" s="1568" t="s">
        <v>1845</v>
      </c>
      <c r="BG100" s="1566" t="s">
        <v>1842</v>
      </c>
      <c r="BH100" s="1567" t="s">
        <v>1843</v>
      </c>
      <c r="BI100" s="1567" t="s">
        <v>1844</v>
      </c>
      <c r="BJ100" s="1568" t="s">
        <v>1845</v>
      </c>
      <c r="BK100" s="1566" t="s">
        <v>1842</v>
      </c>
      <c r="BL100" s="1567" t="s">
        <v>1843</v>
      </c>
      <c r="BM100" s="1567" t="s">
        <v>1844</v>
      </c>
      <c r="BN100" s="1568" t="s">
        <v>1845</v>
      </c>
      <c r="BO100" s="1566" t="s">
        <v>1842</v>
      </c>
      <c r="BP100" s="1567" t="s">
        <v>1843</v>
      </c>
      <c r="BQ100" s="1567" t="s">
        <v>1844</v>
      </c>
      <c r="BR100" s="1568" t="s">
        <v>1845</v>
      </c>
      <c r="BS100" s="1566" t="s">
        <v>1842</v>
      </c>
      <c r="BT100" s="1567" t="s">
        <v>1843</v>
      </c>
      <c r="BU100" s="1567" t="s">
        <v>1844</v>
      </c>
      <c r="BV100" s="1568" t="s">
        <v>1845</v>
      </c>
      <c r="BW100" s="1566" t="s">
        <v>1842</v>
      </c>
      <c r="BX100" s="1567" t="s">
        <v>1843</v>
      </c>
      <c r="BY100" s="1567" t="s">
        <v>1844</v>
      </c>
      <c r="BZ100" s="1568" t="s">
        <v>1845</v>
      </c>
      <c r="CA100" s="1566" t="s">
        <v>1842</v>
      </c>
      <c r="CB100" s="1567" t="s">
        <v>1843</v>
      </c>
      <c r="CC100" s="1567" t="s">
        <v>1844</v>
      </c>
      <c r="CD100" s="1568" t="s">
        <v>1845</v>
      </c>
      <c r="CE100" s="1566" t="s">
        <v>1842</v>
      </c>
      <c r="CF100" s="1567" t="s">
        <v>1843</v>
      </c>
      <c r="CG100" s="1567" t="s">
        <v>1844</v>
      </c>
      <c r="CH100" s="1568" t="s">
        <v>1845</v>
      </c>
      <c r="CI100" s="1566" t="s">
        <v>1842</v>
      </c>
      <c r="CJ100" s="1567" t="s">
        <v>1843</v>
      </c>
      <c r="CK100" s="1567" t="s">
        <v>1844</v>
      </c>
      <c r="CL100" s="1568" t="s">
        <v>1845</v>
      </c>
      <c r="CM100" s="1566" t="s">
        <v>1842</v>
      </c>
      <c r="CN100" s="1567" t="s">
        <v>1843</v>
      </c>
      <c r="CO100" s="1567" t="s">
        <v>1844</v>
      </c>
      <c r="CP100" s="1568" t="s">
        <v>1845</v>
      </c>
      <c r="CQ100" s="1566" t="s">
        <v>1842</v>
      </c>
      <c r="CR100" s="1567" t="s">
        <v>1843</v>
      </c>
      <c r="CS100" s="1567" t="s">
        <v>1844</v>
      </c>
      <c r="CT100" s="1568" t="s">
        <v>1845</v>
      </c>
      <c r="CU100" s="1566" t="s">
        <v>1842</v>
      </c>
      <c r="CV100" s="1567" t="s">
        <v>1843</v>
      </c>
      <c r="CW100" s="1567" t="s">
        <v>1844</v>
      </c>
      <c r="CX100" s="1568" t="s">
        <v>1845</v>
      </c>
      <c r="CY100" s="1566" t="s">
        <v>1842</v>
      </c>
      <c r="CZ100" s="1567" t="s">
        <v>1843</v>
      </c>
      <c r="DA100" s="1567" t="s">
        <v>1844</v>
      </c>
      <c r="DB100" s="1568" t="s">
        <v>1845</v>
      </c>
      <c r="DC100"/>
      <c r="DD100"/>
      <c r="DE100"/>
      <c r="DF100"/>
      <c r="DG100"/>
      <c r="DH100"/>
      <c r="DI100"/>
      <c r="DJ100"/>
      <c r="DK100"/>
      <c r="DL100"/>
      <c r="DM100"/>
      <c r="DN100"/>
      <c r="DO100"/>
    </row>
    <row r="101" spans="1:119" s="699" customFormat="1" ht="12.75" customHeight="1">
      <c r="A101" s="664"/>
      <c r="B101" s="664"/>
      <c r="C101" s="1561" t="s">
        <v>1767</v>
      </c>
      <c r="D101" s="668"/>
      <c r="E101" s="3620" t="str">
        <f>E22</f>
        <v xml:space="preserve">Household final consumption expenditure (domestic HH + NPISH)            </v>
      </c>
      <c r="F101" s="3621"/>
      <c r="G101" s="780">
        <f>G22</f>
        <v>1.62621640407785</v>
      </c>
      <c r="H101" s="780">
        <f t="shared" ref="H101:N101" si="243">H22</f>
        <v>1.6685588507877664</v>
      </c>
      <c r="I101" s="780">
        <f t="shared" si="243"/>
        <v>1.7066438832252087</v>
      </c>
      <c r="J101" s="780">
        <f t="shared" si="243"/>
        <v>1.7344184430027805</v>
      </c>
      <c r="K101" s="780">
        <f t="shared" si="243"/>
        <v>1.7539098702502318</v>
      </c>
      <c r="L101" s="780">
        <f t="shared" si="243"/>
        <v>1.776905699721965</v>
      </c>
      <c r="M101" s="780">
        <f t="shared" si="243"/>
        <v>1.7802942539388322</v>
      </c>
      <c r="N101" s="780">
        <f t="shared" si="243"/>
        <v>1.8378417516218721</v>
      </c>
      <c r="O101" s="780">
        <f t="shared" ref="O101:AX101" si="244">O22</f>
        <v>1.8682808155699722</v>
      </c>
      <c r="P101" s="780">
        <f t="shared" si="244"/>
        <v>1.8650949953660798</v>
      </c>
      <c r="Q101" s="780">
        <f t="shared" si="244"/>
        <v>1.9053521779425395</v>
      </c>
      <c r="R101" s="780">
        <f t="shared" si="244"/>
        <v>1.9386584800741427</v>
      </c>
      <c r="S101" s="780">
        <f t="shared" si="244"/>
        <v>1.9647822057460611</v>
      </c>
      <c r="T101" s="780">
        <f t="shared" si="244"/>
        <v>1.9483897126969416</v>
      </c>
      <c r="U101" s="780">
        <f t="shared" si="244"/>
        <v>2.0078197405004636</v>
      </c>
      <c r="V101" s="780">
        <f t="shared" si="244"/>
        <v>2.0156394810009268</v>
      </c>
      <c r="W101" s="780">
        <f t="shared" si="244"/>
        <v>2.0052421223354959</v>
      </c>
      <c r="X101" s="780">
        <f t="shared" si="244"/>
        <v>2.0949374420759965</v>
      </c>
      <c r="Y101" s="780">
        <f t="shared" si="244"/>
        <v>2.1180491195551436</v>
      </c>
      <c r="Z101" s="780">
        <f t="shared" si="244"/>
        <v>2.1133862372567198</v>
      </c>
      <c r="AA101" s="780">
        <f t="shared" si="244"/>
        <v>2.1536723818350323</v>
      </c>
      <c r="AB101" s="780">
        <f t="shared" si="244"/>
        <v>2.2209511121408712</v>
      </c>
      <c r="AC101" s="780">
        <f t="shared" si="244"/>
        <v>2.2410797034291012</v>
      </c>
      <c r="AD101" s="780">
        <f t="shared" si="244"/>
        <v>2.2661318350324375</v>
      </c>
      <c r="AE101" s="780">
        <f t="shared" si="244"/>
        <v>2.3153093141797965</v>
      </c>
      <c r="AF101" s="780">
        <f t="shared" si="244"/>
        <v>2.2809024559777571</v>
      </c>
      <c r="AG101" s="780">
        <f t="shared" si="244"/>
        <v>2.322376042632067</v>
      </c>
      <c r="AH101" s="780">
        <f t="shared" si="244"/>
        <v>2.3685993975903616</v>
      </c>
      <c r="AI101" s="780">
        <f t="shared" si="244"/>
        <v>2.4167632066728455</v>
      </c>
      <c r="AJ101" s="780">
        <f t="shared" si="244"/>
        <v>2.4448563484708066</v>
      </c>
      <c r="AK101" s="780">
        <f t="shared" si="244"/>
        <v>2.4770620945319739</v>
      </c>
      <c r="AL101" s="780">
        <f t="shared" si="244"/>
        <v>2.5211132993512511</v>
      </c>
      <c r="AM101" s="780">
        <f t="shared" si="244"/>
        <v>2.6566265060240961</v>
      </c>
      <c r="AN101" s="780">
        <f t="shared" si="244"/>
        <v>2.7109881835032437</v>
      </c>
      <c r="AO101" s="780">
        <f t="shared" si="244"/>
        <v>2.7391971733086193</v>
      </c>
      <c r="AP101" s="780">
        <f t="shared" si="244"/>
        <v>2.8600266450417058</v>
      </c>
      <c r="AQ101" s="780">
        <f t="shared" si="244"/>
        <v>2.9140987025023168</v>
      </c>
      <c r="AR101" s="780">
        <f t="shared" si="244"/>
        <v>3.0182460611677477</v>
      </c>
      <c r="AS101" s="780">
        <f t="shared" si="244"/>
        <v>3.1173250695088046</v>
      </c>
      <c r="AT101" s="780">
        <f t="shared" si="244"/>
        <v>3.1594068582020385</v>
      </c>
      <c r="AU101" s="780">
        <f t="shared" si="244"/>
        <v>4.1615000000000002</v>
      </c>
      <c r="AV101" s="780">
        <f t="shared" si="244"/>
        <v>4.3871000000000002</v>
      </c>
      <c r="AW101" s="780">
        <f t="shared" si="244"/>
        <v>4.4554999999999998</v>
      </c>
      <c r="AX101" s="780">
        <f t="shared" si="244"/>
        <v>4.6411000000000007</v>
      </c>
      <c r="AY101" s="780">
        <f t="shared" ref="AY101:BF101" si="245">AY22</f>
        <v>4.5007999999999999</v>
      </c>
      <c r="AZ101" s="780">
        <f t="shared" si="245"/>
        <v>4.7203999999999997</v>
      </c>
      <c r="BA101" s="780">
        <f t="shared" si="245"/>
        <v>5.0039999999999996</v>
      </c>
      <c r="BB101" s="780">
        <f t="shared" si="245"/>
        <v>5.0247999999999999</v>
      </c>
      <c r="BC101" s="780">
        <f t="shared" si="245"/>
        <v>5.2023999999999999</v>
      </c>
      <c r="BD101" s="780">
        <f t="shared" si="245"/>
        <v>5.3650000000000002</v>
      </c>
      <c r="BE101" s="780">
        <f t="shared" si="245"/>
        <v>5.3876999999999997</v>
      </c>
      <c r="BF101" s="780">
        <f t="shared" si="245"/>
        <v>5.6846000000000005</v>
      </c>
      <c r="BG101" s="780">
        <f t="shared" ref="BG101:BV101" si="246">BG22</f>
        <v>5.7126999999999999</v>
      </c>
      <c r="BH101" s="780">
        <f t="shared" si="246"/>
        <v>5.6909000000000001</v>
      </c>
      <c r="BI101" s="780">
        <f t="shared" si="246"/>
        <v>5.5774999999999997</v>
      </c>
      <c r="BJ101" s="780">
        <f t="shared" si="246"/>
        <v>5.4523999999999999</v>
      </c>
      <c r="BK101" s="780">
        <f t="shared" si="246"/>
        <v>4.8150000000000004</v>
      </c>
      <c r="BL101" s="780">
        <f t="shared" si="246"/>
        <v>4.7298999999999998</v>
      </c>
      <c r="BM101" s="780">
        <f t="shared" si="246"/>
        <v>4.6168000000000005</v>
      </c>
      <c r="BN101" s="780">
        <f t="shared" si="246"/>
        <v>4.4176000000000002</v>
      </c>
      <c r="BO101" s="780">
        <f t="shared" si="246"/>
        <v>4.4471999999999996</v>
      </c>
      <c r="BP101" s="780">
        <f t="shared" si="246"/>
        <v>4.4169999999999998</v>
      </c>
      <c r="BQ101" s="780">
        <f t="shared" si="246"/>
        <v>4.5338000000000003</v>
      </c>
      <c r="BR101" s="780">
        <f t="shared" si="246"/>
        <v>4.5543999999999993</v>
      </c>
      <c r="BS101" s="780">
        <f t="shared" si="246"/>
        <v>4.6109</v>
      </c>
      <c r="BT101" s="780">
        <f t="shared" si="246"/>
        <v>4.6718000000000002</v>
      </c>
      <c r="BU101" s="780">
        <f t="shared" si="246"/>
        <v>4.7290000000000001</v>
      </c>
      <c r="BV101" s="780">
        <f t="shared" si="246"/>
        <v>4.7896999999999998</v>
      </c>
      <c r="BW101" s="780">
        <f>BW22</f>
        <v>4.7778</v>
      </c>
      <c r="BX101" s="780">
        <f t="shared" ref="BX101:CD101" si="247">BX22</f>
        <v>4.7877000000000001</v>
      </c>
      <c r="BY101" s="780">
        <f t="shared" si="247"/>
        <v>4.8163999999999998</v>
      </c>
      <c r="BZ101" s="780">
        <f t="shared" si="247"/>
        <v>4.8941000000000008</v>
      </c>
      <c r="CA101" s="780">
        <f t="shared" si="247"/>
        <v>4.984</v>
      </c>
      <c r="CB101" s="780">
        <f t="shared" si="247"/>
        <v>5.0129999999999999</v>
      </c>
      <c r="CC101" s="780">
        <f t="shared" si="247"/>
        <v>5.0828999999999995</v>
      </c>
      <c r="CD101" s="780">
        <f t="shared" si="247"/>
        <v>5.1372</v>
      </c>
      <c r="CE101" s="780">
        <f t="shared" ref="CE101:CL101" si="248">CE22</f>
        <v>5.2076000000000002</v>
      </c>
      <c r="CF101" s="780">
        <f t="shared" si="248"/>
        <v>5.2261999999999995</v>
      </c>
      <c r="CG101" s="780">
        <f t="shared" si="248"/>
        <v>5.2426000000000004</v>
      </c>
      <c r="CH101" s="780">
        <f t="shared" si="248"/>
        <v>5.3221000000000007</v>
      </c>
      <c r="CI101" s="780">
        <f t="shared" si="248"/>
        <v>5.3858999999999995</v>
      </c>
      <c r="CJ101" s="780">
        <f t="shared" si="248"/>
        <v>5.4008000000000003</v>
      </c>
      <c r="CK101" s="780">
        <f t="shared" si="248"/>
        <v>5.5136000000000003</v>
      </c>
      <c r="CL101" s="780">
        <f t="shared" si="248"/>
        <v>5.5389999999999997</v>
      </c>
      <c r="CM101" s="780">
        <f t="shared" ref="CM101:CT101" si="249">CM22</f>
        <v>5.5525000000000002</v>
      </c>
      <c r="CN101" s="780">
        <f t="shared" si="249"/>
        <v>5.6966999999999999</v>
      </c>
      <c r="CO101" s="780">
        <f t="shared" si="249"/>
        <v>5.7766999999999999</v>
      </c>
      <c r="CP101" s="780">
        <f t="shared" si="249"/>
        <v>5.8323999999999998</v>
      </c>
      <c r="CQ101" s="780">
        <f t="shared" si="249"/>
        <v>5.8741000000000003</v>
      </c>
      <c r="CR101" s="780">
        <f t="shared" si="249"/>
        <v>5.9417</v>
      </c>
      <c r="CS101" s="780">
        <f t="shared" si="249"/>
        <v>5.9403999999999995</v>
      </c>
      <c r="CT101" s="780">
        <f t="shared" si="249"/>
        <v>6.0448000000000004</v>
      </c>
      <c r="CU101" s="780">
        <f t="shared" ref="CU101:DB101" si="250">CU22</f>
        <v>6.0901360000000011</v>
      </c>
      <c r="CV101" s="780">
        <f t="shared" si="250"/>
        <v>6.1358120200000013</v>
      </c>
      <c r="CW101" s="780">
        <f t="shared" si="250"/>
        <v>6.1818306101500013</v>
      </c>
      <c r="CX101" s="780">
        <f t="shared" si="250"/>
        <v>6.2281943397261266</v>
      </c>
      <c r="CY101" s="780">
        <f t="shared" si="250"/>
        <v>6.2805111721798257</v>
      </c>
      <c r="CZ101" s="780">
        <f t="shared" si="250"/>
        <v>6.3332674660261361</v>
      </c>
      <c r="DA101" s="780">
        <f t="shared" si="250"/>
        <v>6.3864669127407554</v>
      </c>
      <c r="DB101" s="780">
        <f t="shared" si="250"/>
        <v>6.4401132348077779</v>
      </c>
      <c r="DC101"/>
      <c r="DD101"/>
      <c r="DE101"/>
      <c r="DF101"/>
      <c r="DG101"/>
      <c r="DH101"/>
      <c r="DI101"/>
      <c r="DJ101"/>
      <c r="DK101"/>
      <c r="DL101"/>
      <c r="DM101"/>
      <c r="DN101"/>
      <c r="DO101"/>
    </row>
    <row r="102" spans="1:119" s="699" customFormat="1" ht="12.75" customHeight="1">
      <c r="A102" s="664"/>
      <c r="B102" s="664"/>
      <c r="C102" s="1562" t="s">
        <v>1767</v>
      </c>
      <c r="D102" s="674"/>
      <c r="E102" s="3629" t="str">
        <f>E41</f>
        <v xml:space="preserve">Government final consumption expenditure                                        </v>
      </c>
      <c r="F102" s="3630"/>
      <c r="G102" s="706">
        <f>G41</f>
        <v>0.81843721037998152</v>
      </c>
      <c r="H102" s="706">
        <f t="shared" ref="H102:N102" si="251">H41</f>
        <v>0.81655468025949962</v>
      </c>
      <c r="I102" s="706">
        <f t="shared" si="251"/>
        <v>0.81806070435588507</v>
      </c>
      <c r="J102" s="706">
        <f t="shared" si="251"/>
        <v>0.82501158480074144</v>
      </c>
      <c r="K102" s="706">
        <f t="shared" si="251"/>
        <v>0.81438253012048201</v>
      </c>
      <c r="L102" s="706">
        <f t="shared" si="251"/>
        <v>0.81357159406858204</v>
      </c>
      <c r="M102" s="706">
        <f t="shared" si="251"/>
        <v>0.82489573679332717</v>
      </c>
      <c r="N102" s="706">
        <f t="shared" si="251"/>
        <v>0.81678637627432804</v>
      </c>
      <c r="O102" s="706">
        <f t="shared" ref="O102:AX102" si="252">O41</f>
        <v>0.82437442075996292</v>
      </c>
      <c r="P102" s="706">
        <f t="shared" si="252"/>
        <v>0.84670412418906404</v>
      </c>
      <c r="Q102" s="706">
        <f t="shared" si="252"/>
        <v>0.85272822057460618</v>
      </c>
      <c r="R102" s="706">
        <f t="shared" si="252"/>
        <v>0.84838392029657095</v>
      </c>
      <c r="S102" s="706">
        <f t="shared" si="252"/>
        <v>0.88001042632066728</v>
      </c>
      <c r="T102" s="706">
        <f t="shared" si="252"/>
        <v>0.88096617238183517</v>
      </c>
      <c r="U102" s="706">
        <f t="shared" si="252"/>
        <v>0.88203776645041709</v>
      </c>
      <c r="V102" s="706">
        <f t="shared" si="252"/>
        <v>0.89255097312326237</v>
      </c>
      <c r="W102" s="706">
        <f t="shared" si="252"/>
        <v>0.85820203892493041</v>
      </c>
      <c r="X102" s="706">
        <f t="shared" si="252"/>
        <v>0.85304680259499532</v>
      </c>
      <c r="Y102" s="706">
        <f t="shared" si="252"/>
        <v>0.83711770157553289</v>
      </c>
      <c r="Z102" s="706">
        <f t="shared" si="252"/>
        <v>0.8364226135310473</v>
      </c>
      <c r="AA102" s="706">
        <f t="shared" si="252"/>
        <v>0.8540604726598704</v>
      </c>
      <c r="AB102" s="706">
        <f t="shared" si="252"/>
        <v>0.84583526413345689</v>
      </c>
      <c r="AC102" s="706">
        <f t="shared" si="252"/>
        <v>0.84873146431881374</v>
      </c>
      <c r="AD102" s="706">
        <f t="shared" si="252"/>
        <v>0.85258341056533837</v>
      </c>
      <c r="AE102" s="706">
        <f t="shared" si="252"/>
        <v>0.85652224281742362</v>
      </c>
      <c r="AF102" s="706">
        <f t="shared" si="252"/>
        <v>0.85907089898053757</v>
      </c>
      <c r="AG102" s="706">
        <f t="shared" si="252"/>
        <v>0.85768072289156638</v>
      </c>
      <c r="AH102" s="706">
        <f t="shared" si="252"/>
        <v>0.85950532900834109</v>
      </c>
      <c r="AI102" s="706">
        <f t="shared" si="252"/>
        <v>0.87268303985171447</v>
      </c>
      <c r="AJ102" s="706">
        <f t="shared" si="252"/>
        <v>0.86969995366079711</v>
      </c>
      <c r="AK102" s="706">
        <f t="shared" si="252"/>
        <v>0.88623725671918441</v>
      </c>
      <c r="AL102" s="706">
        <f t="shared" si="252"/>
        <v>0.88869902687673774</v>
      </c>
      <c r="AM102" s="706">
        <f t="shared" si="252"/>
        <v>0.89289851714550517</v>
      </c>
      <c r="AN102" s="706">
        <f t="shared" si="252"/>
        <v>0.90401992585727531</v>
      </c>
      <c r="AO102" s="706">
        <f t="shared" si="252"/>
        <v>0.9091751621872104</v>
      </c>
      <c r="AP102" s="706">
        <f t="shared" si="252"/>
        <v>0.91986214087117713</v>
      </c>
      <c r="AQ102" s="706">
        <f t="shared" si="252"/>
        <v>0.93040430954587594</v>
      </c>
      <c r="AR102" s="706">
        <f t="shared" si="252"/>
        <v>0.94885310472659867</v>
      </c>
      <c r="AS102" s="706">
        <f t="shared" si="252"/>
        <v>0.9545875810936052</v>
      </c>
      <c r="AT102" s="706">
        <f t="shared" si="252"/>
        <v>0.96058271547729368</v>
      </c>
      <c r="AU102" s="706">
        <f t="shared" si="252"/>
        <v>1.3931</v>
      </c>
      <c r="AV102" s="706">
        <f t="shared" si="252"/>
        <v>1.3956</v>
      </c>
      <c r="AW102" s="706">
        <f t="shared" si="252"/>
        <v>1.3995</v>
      </c>
      <c r="AX102" s="706">
        <f t="shared" si="252"/>
        <v>1.3957999999999999</v>
      </c>
      <c r="AY102" s="706">
        <f t="shared" ref="AY102:BF102" si="253">AY41</f>
        <v>1.4036999999999999</v>
      </c>
      <c r="AZ102" s="706">
        <f t="shared" si="253"/>
        <v>1.4102000000000001</v>
      </c>
      <c r="BA102" s="706">
        <f t="shared" si="253"/>
        <v>1.4405999999999999</v>
      </c>
      <c r="BB102" s="706">
        <f t="shared" si="253"/>
        <v>1.4470000000000001</v>
      </c>
      <c r="BC102" s="706">
        <f t="shared" si="253"/>
        <v>1.4535</v>
      </c>
      <c r="BD102" s="706">
        <f t="shared" si="253"/>
        <v>1.4619000000000002</v>
      </c>
      <c r="BE102" s="706">
        <f t="shared" si="253"/>
        <v>1.4362000000000001</v>
      </c>
      <c r="BF102" s="706">
        <f t="shared" si="253"/>
        <v>1.4554</v>
      </c>
      <c r="BG102" s="706">
        <f t="shared" ref="BG102:BV102" si="254">BG41</f>
        <v>1.4490999999999998</v>
      </c>
      <c r="BH102" s="706">
        <f t="shared" si="254"/>
        <v>1.4505999999999999</v>
      </c>
      <c r="BI102" s="706">
        <f t="shared" si="254"/>
        <v>1.4658</v>
      </c>
      <c r="BJ102" s="706">
        <f t="shared" si="254"/>
        <v>1.4590000000000001</v>
      </c>
      <c r="BK102" s="706">
        <f t="shared" si="254"/>
        <v>1.4550999999999998</v>
      </c>
      <c r="BL102" s="706">
        <f t="shared" si="254"/>
        <v>1.4484999999999999</v>
      </c>
      <c r="BM102" s="706">
        <f t="shared" si="254"/>
        <v>1.4235</v>
      </c>
      <c r="BN102" s="706">
        <f t="shared" si="254"/>
        <v>1.4170999999999998</v>
      </c>
      <c r="BO102" s="706">
        <f t="shared" si="254"/>
        <v>1.4037999999999999</v>
      </c>
      <c r="BP102" s="706">
        <f t="shared" si="254"/>
        <v>1.3900999999999999</v>
      </c>
      <c r="BQ102" s="706">
        <f t="shared" si="254"/>
        <v>1.3904000000000001</v>
      </c>
      <c r="BR102" s="706">
        <f t="shared" si="254"/>
        <v>1.3809</v>
      </c>
      <c r="BS102" s="706">
        <f t="shared" si="254"/>
        <v>1.38</v>
      </c>
      <c r="BT102" s="706">
        <f t="shared" si="254"/>
        <v>1.3847</v>
      </c>
      <c r="BU102" s="706">
        <f t="shared" si="254"/>
        <v>1.3865000000000001</v>
      </c>
      <c r="BV102" s="706">
        <f t="shared" si="254"/>
        <v>1.3913</v>
      </c>
      <c r="BW102" s="706">
        <f>BW41</f>
        <v>1.4005000000000001</v>
      </c>
      <c r="BX102" s="706">
        <f t="shared" ref="BX102:CD102" si="255">BX41</f>
        <v>1.4019999999999999</v>
      </c>
      <c r="BY102" s="706">
        <f t="shared" si="255"/>
        <v>1.4053</v>
      </c>
      <c r="BZ102" s="706">
        <f t="shared" si="255"/>
        <v>1.4080999999999999</v>
      </c>
      <c r="CA102" s="706">
        <f t="shared" si="255"/>
        <v>1.4109</v>
      </c>
      <c r="CB102" s="706">
        <f t="shared" si="255"/>
        <v>1.413</v>
      </c>
      <c r="CC102" s="706">
        <f t="shared" si="255"/>
        <v>1.4167000000000001</v>
      </c>
      <c r="CD102" s="706">
        <f t="shared" si="255"/>
        <v>1.4137</v>
      </c>
      <c r="CE102" s="706">
        <f t="shared" ref="CE102:CL102" si="256">CE41</f>
        <v>1.4157999999999999</v>
      </c>
      <c r="CF102" s="706">
        <f t="shared" si="256"/>
        <v>1.4173</v>
      </c>
      <c r="CG102" s="706">
        <f t="shared" si="256"/>
        <v>1.4170999999999998</v>
      </c>
      <c r="CH102" s="706">
        <f t="shared" si="256"/>
        <v>1.4220999999999999</v>
      </c>
      <c r="CI102" s="706">
        <f t="shared" si="256"/>
        <v>1.4177999999999999</v>
      </c>
      <c r="CJ102" s="706">
        <f t="shared" si="256"/>
        <v>1.4210999999999998</v>
      </c>
      <c r="CK102" s="706">
        <f t="shared" si="256"/>
        <v>1.4212</v>
      </c>
      <c r="CL102" s="706">
        <f t="shared" si="256"/>
        <v>1.4196</v>
      </c>
      <c r="CM102" s="706">
        <f t="shared" ref="CM102:CT102" si="257">CM41</f>
        <v>1.4294</v>
      </c>
      <c r="CN102" s="706">
        <f t="shared" si="257"/>
        <v>1.4327999999999999</v>
      </c>
      <c r="CO102" s="706">
        <f t="shared" si="257"/>
        <v>1.4419000000000002</v>
      </c>
      <c r="CP102" s="706">
        <f t="shared" si="257"/>
        <v>1.4504000000000001</v>
      </c>
      <c r="CQ102" s="706">
        <f t="shared" si="257"/>
        <v>1.4517</v>
      </c>
      <c r="CR102" s="706">
        <f t="shared" si="257"/>
        <v>1.4550000000000001</v>
      </c>
      <c r="CS102" s="706">
        <f t="shared" si="257"/>
        <v>1.4564000000000001</v>
      </c>
      <c r="CT102" s="706">
        <f t="shared" si="257"/>
        <v>1.4585999999999999</v>
      </c>
      <c r="CU102" s="706">
        <f t="shared" ref="CU102:DB102" si="258">CU41</f>
        <v>1.4658929999999997</v>
      </c>
      <c r="CV102" s="706">
        <f t="shared" si="258"/>
        <v>1.4746883579999996</v>
      </c>
      <c r="CW102" s="706">
        <f t="shared" si="258"/>
        <v>1.4835364881479995</v>
      </c>
      <c r="CX102" s="706">
        <f t="shared" si="258"/>
        <v>1.4924377070768875</v>
      </c>
      <c r="CY102" s="706">
        <f t="shared" si="258"/>
        <v>1.4969150201981181</v>
      </c>
      <c r="CZ102" s="706">
        <f t="shared" si="258"/>
        <v>1.5006573077486132</v>
      </c>
      <c r="DA102" s="706">
        <f t="shared" si="258"/>
        <v>1.5036586223641104</v>
      </c>
      <c r="DB102" s="706">
        <f t="shared" si="258"/>
        <v>1.5063652078843659</v>
      </c>
      <c r="DC102"/>
      <c r="DD102"/>
      <c r="DE102"/>
      <c r="DF102"/>
      <c r="DG102"/>
      <c r="DH102"/>
      <c r="DI102"/>
      <c r="DJ102"/>
      <c r="DK102"/>
      <c r="DL102"/>
      <c r="DM102"/>
      <c r="DN102"/>
      <c r="DO102"/>
    </row>
    <row r="103" spans="1:119" s="699" customFormat="1" ht="12.75" customHeight="1">
      <c r="A103" s="664"/>
      <c r="B103" s="664"/>
      <c r="C103" s="1562" t="s">
        <v>1767</v>
      </c>
      <c r="D103" s="674"/>
      <c r="E103" s="3629" t="str">
        <f>+E86</f>
        <v>Gross fixed capital formation</v>
      </c>
      <c r="F103" s="3630"/>
      <c r="G103" s="706">
        <f>G70</f>
        <v>0.39301436515291938</v>
      </c>
      <c r="H103" s="706">
        <f t="shared" ref="H103:BN103" si="259">H70</f>
        <v>0.41267956441149217</v>
      </c>
      <c r="I103" s="706">
        <f t="shared" si="259"/>
        <v>0.41540199258572758</v>
      </c>
      <c r="J103" s="706">
        <f t="shared" si="259"/>
        <v>0.4492875347544022</v>
      </c>
      <c r="K103" s="706">
        <f t="shared" si="259"/>
        <v>0.46877896200185359</v>
      </c>
      <c r="L103" s="706">
        <f t="shared" si="259"/>
        <v>0.48473702502316962</v>
      </c>
      <c r="M103" s="706">
        <f t="shared" si="259"/>
        <v>0.50005792400370708</v>
      </c>
      <c r="N103" s="706">
        <f t="shared" si="259"/>
        <v>0.54686051899907329</v>
      </c>
      <c r="O103" s="706">
        <f t="shared" si="259"/>
        <v>0.58375810936051908</v>
      </c>
      <c r="P103" s="706">
        <f t="shared" si="259"/>
        <v>0.59829703429101033</v>
      </c>
      <c r="Q103" s="706">
        <f t="shared" si="259"/>
        <v>0.64622914735866555</v>
      </c>
      <c r="R103" s="706">
        <f t="shared" si="259"/>
        <v>0.67750810936051908</v>
      </c>
      <c r="S103" s="706">
        <f t="shared" si="259"/>
        <v>0.73192771084337349</v>
      </c>
      <c r="T103" s="706">
        <f t="shared" si="259"/>
        <v>0.77386468952734011</v>
      </c>
      <c r="U103" s="706">
        <f t="shared" si="259"/>
        <v>0.79292168674698804</v>
      </c>
      <c r="V103" s="706">
        <f t="shared" si="259"/>
        <v>0.75136121408711776</v>
      </c>
      <c r="W103" s="706">
        <f t="shared" si="259"/>
        <v>0.73809661723818354</v>
      </c>
      <c r="X103" s="706">
        <f t="shared" si="259"/>
        <v>0.76010773864689529</v>
      </c>
      <c r="Y103" s="706">
        <f t="shared" si="259"/>
        <v>0.69413229842446711</v>
      </c>
      <c r="Z103" s="706">
        <f t="shared" si="259"/>
        <v>0.66030468025949962</v>
      </c>
      <c r="AA103" s="706">
        <f t="shared" si="259"/>
        <v>0.64596848934198337</v>
      </c>
      <c r="AB103" s="706">
        <f t="shared" si="259"/>
        <v>0.63974165894346613</v>
      </c>
      <c r="AC103" s="706">
        <f t="shared" si="259"/>
        <v>0.66149212233549592</v>
      </c>
      <c r="AD103" s="706">
        <f t="shared" si="259"/>
        <v>0.68341635773864684</v>
      </c>
      <c r="AE103" s="706">
        <f t="shared" si="259"/>
        <v>0.71350787766450408</v>
      </c>
      <c r="AF103" s="706">
        <f t="shared" si="259"/>
        <v>0.69500115848007404</v>
      </c>
      <c r="AG103" s="706">
        <f t="shared" si="259"/>
        <v>0.71481116774791476</v>
      </c>
      <c r="AH103" s="706">
        <f t="shared" si="259"/>
        <v>0.86570319740500468</v>
      </c>
      <c r="AI103" s="706">
        <f t="shared" si="259"/>
        <v>0.81360055607043558</v>
      </c>
      <c r="AJ103" s="706">
        <f t="shared" si="259"/>
        <v>0.80123378127896205</v>
      </c>
      <c r="AK103" s="706">
        <f t="shared" si="259"/>
        <v>0.81371640407784995</v>
      </c>
      <c r="AL103" s="706">
        <f t="shared" si="259"/>
        <v>0.87198795180722899</v>
      </c>
      <c r="AM103" s="706">
        <f t="shared" si="259"/>
        <v>0.8681649675625579</v>
      </c>
      <c r="AN103" s="706">
        <f t="shared" si="259"/>
        <v>0.9241774791473587</v>
      </c>
      <c r="AO103" s="706">
        <f t="shared" si="259"/>
        <v>0.95061978683966641</v>
      </c>
      <c r="AP103" s="706">
        <f t="shared" si="259"/>
        <v>0.97610634847080646</v>
      </c>
      <c r="AQ103" s="706">
        <f t="shared" si="259"/>
        <v>1.017840593141798</v>
      </c>
      <c r="AR103" s="706">
        <f t="shared" si="259"/>
        <v>1.0666126042632067</v>
      </c>
      <c r="AS103" s="706">
        <f t="shared" si="259"/>
        <v>1.0852641334569046</v>
      </c>
      <c r="AT103" s="706">
        <f t="shared" si="259"/>
        <v>1.0867991195551439</v>
      </c>
      <c r="AU103" s="706">
        <f t="shared" si="259"/>
        <v>1.28</v>
      </c>
      <c r="AV103" s="706">
        <f t="shared" si="259"/>
        <v>1.2899</v>
      </c>
      <c r="AW103" s="706">
        <f t="shared" si="259"/>
        <v>1.4085000000000001</v>
      </c>
      <c r="AX103" s="706">
        <f t="shared" si="259"/>
        <v>1.4517</v>
      </c>
      <c r="AY103" s="706">
        <f t="shared" si="259"/>
        <v>1.4781</v>
      </c>
      <c r="AZ103" s="706">
        <f t="shared" si="259"/>
        <v>1.5637000000000001</v>
      </c>
      <c r="BA103" s="706">
        <f t="shared" si="259"/>
        <v>1.6442000000000001</v>
      </c>
      <c r="BB103" s="706">
        <f t="shared" si="259"/>
        <v>1.8074000000000001</v>
      </c>
      <c r="BC103" s="706">
        <f t="shared" si="259"/>
        <v>1.8799000000000001</v>
      </c>
      <c r="BD103" s="706">
        <f t="shared" si="259"/>
        <v>2.0070999999999999</v>
      </c>
      <c r="BE103" s="706">
        <f t="shared" si="259"/>
        <v>2.0089999999999999</v>
      </c>
      <c r="BF103" s="706">
        <f t="shared" si="259"/>
        <v>2.0472000000000001</v>
      </c>
      <c r="BG103" s="706">
        <f t="shared" si="259"/>
        <v>2.0287000000000002</v>
      </c>
      <c r="BH103" s="706">
        <f t="shared" si="259"/>
        <v>2.012</v>
      </c>
      <c r="BI103" s="706">
        <f t="shared" si="259"/>
        <v>1.8860999999999999</v>
      </c>
      <c r="BJ103" s="706">
        <f t="shared" si="259"/>
        <v>1.7222999999999999</v>
      </c>
      <c r="BK103" s="706">
        <f t="shared" si="259"/>
        <v>1.3425</v>
      </c>
      <c r="BL103" s="706">
        <f t="shared" si="259"/>
        <v>1.1689000000000001</v>
      </c>
      <c r="BM103" s="706">
        <f t="shared" si="259"/>
        <v>1.0634000000000001</v>
      </c>
      <c r="BN103" s="706">
        <f t="shared" si="259"/>
        <v>1.0734999999999999</v>
      </c>
      <c r="BO103" s="706">
        <f t="shared" ref="BO103:BV103" si="260">BO70</f>
        <v>1.0432999999999999</v>
      </c>
      <c r="BP103" s="706">
        <f t="shared" si="260"/>
        <v>1.1151</v>
      </c>
      <c r="BQ103" s="706">
        <f t="shared" si="260"/>
        <v>1.2498999999999998</v>
      </c>
      <c r="BR103" s="706">
        <f t="shared" si="260"/>
        <v>1.2954999999999999</v>
      </c>
      <c r="BS103" s="706">
        <f t="shared" si="260"/>
        <v>1.3806999999999998</v>
      </c>
      <c r="BT103" s="706">
        <f t="shared" si="260"/>
        <v>1.4029999999999998</v>
      </c>
      <c r="BU103" s="706">
        <f t="shared" si="260"/>
        <v>1.4439</v>
      </c>
      <c r="BV103" s="706">
        <f t="shared" si="260"/>
        <v>1.4516999999999998</v>
      </c>
      <c r="BW103" s="706">
        <f>BW70</f>
        <v>1.4303999999999999</v>
      </c>
      <c r="BX103" s="706">
        <f t="shared" ref="BX103:CD103" si="261">BX70</f>
        <v>1.3803999999999998</v>
      </c>
      <c r="BY103" s="706">
        <f t="shared" si="261"/>
        <v>1.3981999999999999</v>
      </c>
      <c r="BZ103" s="706">
        <f t="shared" si="261"/>
        <v>1.3780999999999997</v>
      </c>
      <c r="CA103" s="706">
        <f t="shared" si="261"/>
        <v>1.4340999999999997</v>
      </c>
      <c r="CB103" s="706">
        <f t="shared" si="261"/>
        <v>1.4782999999999997</v>
      </c>
      <c r="CC103" s="706">
        <f t="shared" si="261"/>
        <v>1.5640999999999996</v>
      </c>
      <c r="CD103" s="706">
        <f t="shared" si="261"/>
        <v>1.5646</v>
      </c>
      <c r="CE103" s="706">
        <f t="shared" ref="CE103:CL103" si="262">CE70</f>
        <v>1.5847000000000002</v>
      </c>
      <c r="CF103" s="706">
        <f t="shared" si="262"/>
        <v>1.5859000000000005</v>
      </c>
      <c r="CG103" s="706">
        <f t="shared" si="262"/>
        <v>1.5953000000000002</v>
      </c>
      <c r="CH103" s="706">
        <f t="shared" si="262"/>
        <v>1.6097000000000006</v>
      </c>
      <c r="CI103" s="706">
        <f t="shared" si="262"/>
        <v>1.6925000000000001</v>
      </c>
      <c r="CJ103" s="706">
        <f t="shared" si="262"/>
        <v>1.7261000000000002</v>
      </c>
      <c r="CK103" s="706">
        <f t="shared" si="262"/>
        <v>1.6802000000000004</v>
      </c>
      <c r="CL103" s="706">
        <f t="shared" si="262"/>
        <v>1.5977000000000003</v>
      </c>
      <c r="CM103" s="706">
        <f t="shared" ref="CM103:CT103" si="263">CM70</f>
        <v>1.6605000000000003</v>
      </c>
      <c r="CN103" s="706">
        <f t="shared" si="263"/>
        <v>1.6853</v>
      </c>
      <c r="CO103" s="706">
        <f t="shared" si="263"/>
        <v>1.6259999999999999</v>
      </c>
      <c r="CP103" s="706">
        <f t="shared" si="263"/>
        <v>1.7169999999999999</v>
      </c>
      <c r="CQ103" s="706">
        <f t="shared" si="263"/>
        <v>1.7052999999999998</v>
      </c>
      <c r="CR103" s="706">
        <f t="shared" si="263"/>
        <v>1.7519999999999998</v>
      </c>
      <c r="CS103" s="706">
        <f t="shared" si="263"/>
        <v>1.7739999999999998</v>
      </c>
      <c r="CT103" s="706">
        <f t="shared" si="263"/>
        <v>1.9079000000000002</v>
      </c>
      <c r="CU103" s="706">
        <f t="shared" ref="CU103:DB103" si="264">CU70</f>
        <v>1.8792815</v>
      </c>
      <c r="CV103" s="706">
        <f t="shared" si="264"/>
        <v>1.894315752</v>
      </c>
      <c r="CW103" s="706">
        <f t="shared" si="264"/>
        <v>1.9132589095200001</v>
      </c>
      <c r="CX103" s="706">
        <f t="shared" si="264"/>
        <v>1.9352613869794801</v>
      </c>
      <c r="CY103" s="706">
        <f t="shared" si="264"/>
        <v>1.9551945792653687</v>
      </c>
      <c r="CZ103" s="706">
        <f t="shared" si="264"/>
        <v>1.9747465250580223</v>
      </c>
      <c r="DA103" s="706">
        <f t="shared" si="264"/>
        <v>1.9944939903086025</v>
      </c>
      <c r="DB103" s="706">
        <f t="shared" si="264"/>
        <v>2.0144389302116887</v>
      </c>
      <c r="DC103"/>
      <c r="DD103"/>
      <c r="DE103"/>
      <c r="DF103"/>
      <c r="DG103"/>
      <c r="DH103"/>
      <c r="DI103"/>
      <c r="DJ103"/>
      <c r="DK103"/>
      <c r="DL103"/>
      <c r="DM103"/>
      <c r="DN103"/>
      <c r="DO103"/>
    </row>
    <row r="104" spans="1:119" s="1960" customFormat="1" ht="12.75" customHeight="1">
      <c r="A104" s="1957"/>
      <c r="B104" s="1957"/>
      <c r="C104" s="1961" t="s">
        <v>1767</v>
      </c>
      <c r="D104" s="1958"/>
      <c r="E104" s="1959" t="s">
        <v>616</v>
      </c>
      <c r="F104" s="1958"/>
      <c r="G104" s="1959">
        <f>-SUM(G101:G103)+G105</f>
        <v>0</v>
      </c>
      <c r="H104" s="1959">
        <f t="shared" ref="H104:BN104" si="265">-SUM(H101:H103)+H105</f>
        <v>0</v>
      </c>
      <c r="I104" s="1959">
        <f t="shared" si="265"/>
        <v>0</v>
      </c>
      <c r="J104" s="1959">
        <f t="shared" si="265"/>
        <v>0</v>
      </c>
      <c r="K104" s="1959">
        <f t="shared" si="265"/>
        <v>0</v>
      </c>
      <c r="L104" s="1959">
        <f t="shared" si="265"/>
        <v>0</v>
      </c>
      <c r="M104" s="1959">
        <f t="shared" si="265"/>
        <v>0</v>
      </c>
      <c r="N104" s="1959">
        <f t="shared" si="265"/>
        <v>0</v>
      </c>
      <c r="O104" s="1959">
        <f t="shared" si="265"/>
        <v>0</v>
      </c>
      <c r="P104" s="1959">
        <f t="shared" si="265"/>
        <v>0</v>
      </c>
      <c r="Q104" s="1959">
        <f t="shared" si="265"/>
        <v>0</v>
      </c>
      <c r="R104" s="1959">
        <f t="shared" si="265"/>
        <v>0</v>
      </c>
      <c r="S104" s="1959">
        <f t="shared" si="265"/>
        <v>0</v>
      </c>
      <c r="T104" s="1959">
        <f t="shared" si="265"/>
        <v>0</v>
      </c>
      <c r="U104" s="1959">
        <f t="shared" si="265"/>
        <v>0</v>
      </c>
      <c r="V104" s="1959">
        <f t="shared" si="265"/>
        <v>0</v>
      </c>
      <c r="W104" s="1959">
        <f t="shared" si="265"/>
        <v>0</v>
      </c>
      <c r="X104" s="1959">
        <f t="shared" si="265"/>
        <v>0</v>
      </c>
      <c r="Y104" s="1959">
        <f t="shared" si="265"/>
        <v>0</v>
      </c>
      <c r="Z104" s="1959">
        <f t="shared" si="265"/>
        <v>0</v>
      </c>
      <c r="AA104" s="1959">
        <f t="shared" si="265"/>
        <v>0</v>
      </c>
      <c r="AB104" s="1959">
        <f t="shared" si="265"/>
        <v>0</v>
      </c>
      <c r="AC104" s="1959">
        <f t="shared" si="265"/>
        <v>0</v>
      </c>
      <c r="AD104" s="1959">
        <f t="shared" si="265"/>
        <v>0</v>
      </c>
      <c r="AE104" s="1959">
        <f t="shared" si="265"/>
        <v>0</v>
      </c>
      <c r="AF104" s="1959">
        <f t="shared" si="265"/>
        <v>0</v>
      </c>
      <c r="AG104" s="1959">
        <f t="shared" si="265"/>
        <v>0</v>
      </c>
      <c r="AH104" s="1959">
        <f t="shared" si="265"/>
        <v>0</v>
      </c>
      <c r="AI104" s="1959">
        <f t="shared" si="265"/>
        <v>0</v>
      </c>
      <c r="AJ104" s="1959">
        <f t="shared" si="265"/>
        <v>0</v>
      </c>
      <c r="AK104" s="1959">
        <f t="shared" si="265"/>
        <v>0</v>
      </c>
      <c r="AL104" s="1959">
        <f t="shared" si="265"/>
        <v>0</v>
      </c>
      <c r="AM104" s="1959">
        <f t="shared" si="265"/>
        <v>0</v>
      </c>
      <c r="AN104" s="1959">
        <f t="shared" si="265"/>
        <v>0</v>
      </c>
      <c r="AO104" s="1959">
        <f t="shared" si="265"/>
        <v>0</v>
      </c>
      <c r="AP104" s="1959">
        <f t="shared" si="265"/>
        <v>0</v>
      </c>
      <c r="AQ104" s="1959">
        <f t="shared" si="265"/>
        <v>0</v>
      </c>
      <c r="AR104" s="1959">
        <f t="shared" si="265"/>
        <v>0</v>
      </c>
      <c r="AS104" s="1959">
        <f t="shared" si="265"/>
        <v>0</v>
      </c>
      <c r="AT104" s="1959">
        <f t="shared" si="265"/>
        <v>0</v>
      </c>
      <c r="AU104" s="1959">
        <f t="shared" si="265"/>
        <v>0</v>
      </c>
      <c r="AV104" s="1959">
        <f t="shared" si="265"/>
        <v>0</v>
      </c>
      <c r="AW104" s="1959">
        <f t="shared" si="265"/>
        <v>0</v>
      </c>
      <c r="AX104" s="1959">
        <f t="shared" si="265"/>
        <v>0</v>
      </c>
      <c r="AY104" s="1959">
        <f t="shared" si="265"/>
        <v>0</v>
      </c>
      <c r="AZ104" s="1959">
        <f t="shared" si="265"/>
        <v>0</v>
      </c>
      <c r="BA104" s="1959">
        <f t="shared" si="265"/>
        <v>0</v>
      </c>
      <c r="BB104" s="1959">
        <f t="shared" si="265"/>
        <v>0</v>
      </c>
      <c r="BC104" s="1959">
        <f t="shared" si="265"/>
        <v>0</v>
      </c>
      <c r="BD104" s="1959">
        <f t="shared" si="265"/>
        <v>0</v>
      </c>
      <c r="BE104" s="1959">
        <f t="shared" si="265"/>
        <v>0</v>
      </c>
      <c r="BF104" s="1959">
        <f t="shared" si="265"/>
        <v>0</v>
      </c>
      <c r="BG104" s="1959">
        <f t="shared" si="265"/>
        <v>0</v>
      </c>
      <c r="BH104" s="1959">
        <f t="shared" si="265"/>
        <v>0</v>
      </c>
      <c r="BI104" s="1959">
        <f t="shared" si="265"/>
        <v>0</v>
      </c>
      <c r="BJ104" s="1959">
        <f t="shared" si="265"/>
        <v>0</v>
      </c>
      <c r="BK104" s="1959">
        <f t="shared" si="265"/>
        <v>0</v>
      </c>
      <c r="BL104" s="1959">
        <f t="shared" si="265"/>
        <v>0</v>
      </c>
      <c r="BM104" s="1959">
        <f t="shared" si="265"/>
        <v>0</v>
      </c>
      <c r="BN104" s="1959">
        <f t="shared" si="265"/>
        <v>0</v>
      </c>
      <c r="BO104" s="1959">
        <f t="shared" ref="BO104:BW104" si="266">-SUM(BO101:BO103)+BO105</f>
        <v>0</v>
      </c>
      <c r="BP104" s="1959">
        <f t="shared" si="266"/>
        <v>0</v>
      </c>
      <c r="BQ104" s="1959">
        <f t="shared" si="266"/>
        <v>0</v>
      </c>
      <c r="BR104" s="1959">
        <f t="shared" si="266"/>
        <v>0</v>
      </c>
      <c r="BS104" s="1959">
        <f t="shared" si="266"/>
        <v>0</v>
      </c>
      <c r="BT104" s="1959">
        <f t="shared" si="266"/>
        <v>0</v>
      </c>
      <c r="BU104" s="1959">
        <f t="shared" si="266"/>
        <v>0</v>
      </c>
      <c r="BV104" s="1959">
        <f t="shared" si="266"/>
        <v>0</v>
      </c>
      <c r="BW104" s="1959">
        <f t="shared" si="266"/>
        <v>0</v>
      </c>
      <c r="BX104" s="1959">
        <f t="shared" ref="BX104:CD104" si="267">-SUM(BX101:BX103)+BX105</f>
        <v>0</v>
      </c>
      <c r="BY104" s="1959">
        <f t="shared" si="267"/>
        <v>0</v>
      </c>
      <c r="BZ104" s="1959">
        <f t="shared" si="267"/>
        <v>0</v>
      </c>
      <c r="CA104" s="1959">
        <f t="shared" si="267"/>
        <v>0</v>
      </c>
      <c r="CB104" s="1959">
        <f t="shared" si="267"/>
        <v>0</v>
      </c>
      <c r="CC104" s="1959">
        <f t="shared" si="267"/>
        <v>0</v>
      </c>
      <c r="CD104" s="1959">
        <f t="shared" si="267"/>
        <v>0</v>
      </c>
      <c r="CE104" s="1959">
        <f t="shared" ref="CE104:CL104" si="268">-SUM(CE101:CE103)+CE105</f>
        <v>0</v>
      </c>
      <c r="CF104" s="1959">
        <f t="shared" si="268"/>
        <v>0</v>
      </c>
      <c r="CG104" s="1959">
        <f t="shared" si="268"/>
        <v>0</v>
      </c>
      <c r="CH104" s="1959">
        <f t="shared" si="268"/>
        <v>0</v>
      </c>
      <c r="CI104" s="1959">
        <f t="shared" si="268"/>
        <v>0</v>
      </c>
      <c r="CJ104" s="1959">
        <f t="shared" si="268"/>
        <v>0</v>
      </c>
      <c r="CK104" s="1959">
        <f t="shared" si="268"/>
        <v>0</v>
      </c>
      <c r="CL104" s="1959">
        <f t="shared" si="268"/>
        <v>0</v>
      </c>
      <c r="CM104" s="1959">
        <f t="shared" ref="CM104:CT104" si="269">-SUM(CM101:CM103)+CM105</f>
        <v>0</v>
      </c>
      <c r="CN104" s="1959">
        <f t="shared" si="269"/>
        <v>0</v>
      </c>
      <c r="CO104" s="1959">
        <f t="shared" si="269"/>
        <v>0</v>
      </c>
      <c r="CP104" s="1959">
        <f t="shared" si="269"/>
        <v>0</v>
      </c>
      <c r="CQ104" s="1959">
        <f t="shared" si="269"/>
        <v>0</v>
      </c>
      <c r="CR104" s="1959">
        <f t="shared" si="269"/>
        <v>0</v>
      </c>
      <c r="CS104" s="1959">
        <f t="shared" si="269"/>
        <v>0</v>
      </c>
      <c r="CT104" s="1959">
        <f t="shared" si="269"/>
        <v>0</v>
      </c>
      <c r="CU104" s="1959">
        <f t="shared" ref="CU104:DB104" si="270">-SUM(CU101:CU103)+CU105</f>
        <v>0</v>
      </c>
      <c r="CV104" s="1959">
        <f t="shared" si="270"/>
        <v>0</v>
      </c>
      <c r="CW104" s="1959">
        <f t="shared" si="270"/>
        <v>0</v>
      </c>
      <c r="CX104" s="1959">
        <f t="shared" si="270"/>
        <v>0</v>
      </c>
      <c r="CY104" s="1959">
        <f t="shared" si="270"/>
        <v>0</v>
      </c>
      <c r="CZ104" s="1959">
        <f t="shared" si="270"/>
        <v>0</v>
      </c>
      <c r="DA104" s="1959">
        <f t="shared" si="270"/>
        <v>0</v>
      </c>
      <c r="DB104" s="1959">
        <f t="shared" si="270"/>
        <v>0</v>
      </c>
      <c r="DC104"/>
      <c r="DD104"/>
      <c r="DE104"/>
      <c r="DF104"/>
      <c r="DG104"/>
      <c r="DH104"/>
      <c r="DI104"/>
      <c r="DJ104"/>
      <c r="DK104"/>
      <c r="DL104"/>
      <c r="DM104"/>
      <c r="DN104"/>
      <c r="DO104"/>
    </row>
    <row r="105" spans="1:119" s="699" customFormat="1" ht="12.75" customHeight="1">
      <c r="A105" s="665" t="str">
        <f>"Q" &amp; ROW(InputQ!A11)</f>
        <v>Q11</v>
      </c>
      <c r="B105" s="1953" t="s">
        <v>1940</v>
      </c>
      <c r="C105" s="1562" t="s">
        <v>1769</v>
      </c>
      <c r="D105" s="746"/>
      <c r="E105" s="3638" t="str">
        <f>+C97</f>
        <v>Domestic demand (excl. Inventories)</v>
      </c>
      <c r="F105" s="3633"/>
      <c r="G105" s="799">
        <f>+InputQ!G11/1000</f>
        <v>2.8376679796107505</v>
      </c>
      <c r="H105" s="799">
        <f>+InputQ!H11/1000</f>
        <v>2.8977930954587583</v>
      </c>
      <c r="I105" s="799">
        <f>+InputQ!I11/1000</f>
        <v>2.9401065801668209</v>
      </c>
      <c r="J105" s="799">
        <f>+InputQ!J11/1000</f>
        <v>3.0087175625579246</v>
      </c>
      <c r="K105" s="799">
        <f>+InputQ!K11/1000</f>
        <v>3.0370713623725676</v>
      </c>
      <c r="L105" s="799">
        <f>+InputQ!L11/1000</f>
        <v>3.0752143188137171</v>
      </c>
      <c r="M105" s="799">
        <f>+InputQ!M11/1000</f>
        <v>3.1052479147358669</v>
      </c>
      <c r="N105" s="799">
        <f>+InputQ!N11/1000</f>
        <v>3.2014886468952737</v>
      </c>
      <c r="O105" s="799">
        <f>+InputQ!O11/1000</f>
        <v>3.2764133456904543</v>
      </c>
      <c r="P105" s="799">
        <f>+InputQ!P11/1000</f>
        <v>3.3100961538461542</v>
      </c>
      <c r="Q105" s="799">
        <f>+InputQ!Q11/1000</f>
        <v>3.4043095458758117</v>
      </c>
      <c r="R105" s="799">
        <f>+InputQ!R11/1000</f>
        <v>3.4645505097312328</v>
      </c>
      <c r="S105" s="799">
        <f>+InputQ!S11/1000</f>
        <v>3.576720342910102</v>
      </c>
      <c r="T105" s="799">
        <f>+InputQ!T11/1000</f>
        <v>3.6032205746061168</v>
      </c>
      <c r="U105" s="799">
        <f>+InputQ!U11/1000</f>
        <v>3.6827791936978689</v>
      </c>
      <c r="V105" s="799">
        <f>+InputQ!V11/1000</f>
        <v>3.6595516682113072</v>
      </c>
      <c r="W105" s="799">
        <f>+InputQ!W11/1000</f>
        <v>3.60154077849861</v>
      </c>
      <c r="X105" s="799">
        <f>+InputQ!X11/1000</f>
        <v>3.7080919833178867</v>
      </c>
      <c r="Y105" s="799">
        <f>+InputQ!Y11/1000</f>
        <v>3.6492991195551436</v>
      </c>
      <c r="Z105" s="799">
        <f>+InputQ!Z11/1000</f>
        <v>3.6101135310472663</v>
      </c>
      <c r="AA105" s="799">
        <f>+InputQ!AA11/1000</f>
        <v>3.6537013438368864</v>
      </c>
      <c r="AB105" s="799">
        <f>+InputQ!AB11/1000</f>
        <v>3.7065280352177941</v>
      </c>
      <c r="AC105" s="799">
        <f>+InputQ!AC11/1000</f>
        <v>3.7513032900834111</v>
      </c>
      <c r="AD105" s="799">
        <f>+InputQ!AD11/1000</f>
        <v>3.8021316033364227</v>
      </c>
      <c r="AE105" s="799">
        <f>+InputQ!AE11/1000</f>
        <v>3.885339434661724</v>
      </c>
      <c r="AF105" s="799">
        <f>+InputQ!AF11/1000</f>
        <v>3.834974513438369</v>
      </c>
      <c r="AG105" s="799">
        <f>+InputQ!AG11/1000</f>
        <v>3.8948679332715477</v>
      </c>
      <c r="AH105" s="799">
        <f>+InputQ!AH11/1000</f>
        <v>4.0938079240037073</v>
      </c>
      <c r="AI105" s="799">
        <f>+InputQ!AI11/1000</f>
        <v>4.1030468025949958</v>
      </c>
      <c r="AJ105" s="799">
        <f>+InputQ!AJ11/1000</f>
        <v>4.1157900834105661</v>
      </c>
      <c r="AK105" s="799">
        <f>+InputQ!AK11/1000</f>
        <v>4.1770157553290082</v>
      </c>
      <c r="AL105" s="799">
        <f>+InputQ!AL11/1000</f>
        <v>4.2818002780352185</v>
      </c>
      <c r="AM105" s="799">
        <f>+InputQ!AM11/1000</f>
        <v>4.4176899907321596</v>
      </c>
      <c r="AN105" s="799">
        <f>+InputQ!AN11/1000</f>
        <v>4.5391855885078778</v>
      </c>
      <c r="AO105" s="799">
        <f>+InputQ!AO11/1000</f>
        <v>4.5989921223354955</v>
      </c>
      <c r="AP105" s="799">
        <f>+InputQ!AP11/1000</f>
        <v>4.7559951343836895</v>
      </c>
      <c r="AQ105" s="799">
        <f>+InputQ!AQ11/1000</f>
        <v>4.8623436051899906</v>
      </c>
      <c r="AR105" s="799">
        <f>+InputQ!AR11/1000</f>
        <v>5.0337117701575531</v>
      </c>
      <c r="AS105" s="799">
        <f>+InputQ!AS11/1000</f>
        <v>5.1571767840593141</v>
      </c>
      <c r="AT105" s="799">
        <f>+InputQ!AT11/1000</f>
        <v>5.2067886932344765</v>
      </c>
      <c r="AU105" s="799">
        <f>+InputQ!AU11/1000</f>
        <v>6.8346</v>
      </c>
      <c r="AV105" s="799">
        <f>+InputQ!AV11/1000</f>
        <v>7.0726000000000004</v>
      </c>
      <c r="AW105" s="799">
        <f>+InputQ!AW11/1000</f>
        <v>7.2634999999999996</v>
      </c>
      <c r="AX105" s="799">
        <f>+InputQ!AX11/1000</f>
        <v>7.4885999999999999</v>
      </c>
      <c r="AY105" s="799">
        <f>+InputQ!AY11/1000</f>
        <v>7.3826000000000001</v>
      </c>
      <c r="AZ105" s="799">
        <f>+InputQ!AZ11/1000</f>
        <v>7.6942999999999993</v>
      </c>
      <c r="BA105" s="799">
        <f>+InputQ!BA11/1000</f>
        <v>8.0888000000000009</v>
      </c>
      <c r="BB105" s="799">
        <f>+InputQ!BB11/1000</f>
        <v>8.2792000000000012</v>
      </c>
      <c r="BC105" s="799">
        <f>+InputQ!BC11/1000</f>
        <v>8.5358000000000001</v>
      </c>
      <c r="BD105" s="799">
        <f>+InputQ!BD11/1000</f>
        <v>8.8339999999999996</v>
      </c>
      <c r="BE105" s="799">
        <f>+InputQ!BE11/1000</f>
        <v>8.8329000000000004</v>
      </c>
      <c r="BF105" s="799">
        <f>+InputQ!BF11/1000</f>
        <v>9.1872000000000007</v>
      </c>
      <c r="BG105" s="799">
        <f>+InputQ!BG11/1000</f>
        <v>9.1905000000000001</v>
      </c>
      <c r="BH105" s="799">
        <f>+InputQ!BH11/1000</f>
        <v>9.1534999999999993</v>
      </c>
      <c r="BI105" s="799">
        <f>+InputQ!BI11/1000</f>
        <v>8.9293999999999993</v>
      </c>
      <c r="BJ105" s="799">
        <f>+InputQ!BJ11/1000</f>
        <v>8.6336999999999993</v>
      </c>
      <c r="BK105" s="799">
        <f>+InputQ!BK11/1000</f>
        <v>7.6126000000000005</v>
      </c>
      <c r="BL105" s="799">
        <f>+InputQ!BL11/1000</f>
        <v>7.3472999999999988</v>
      </c>
      <c r="BM105" s="799">
        <f>+InputQ!BM11/1000</f>
        <v>7.1037000000000008</v>
      </c>
      <c r="BN105" s="799">
        <f>+InputQ!BN11/1000</f>
        <v>6.9082000000000008</v>
      </c>
      <c r="BO105" s="799">
        <f>+InputQ!BO11/1000</f>
        <v>6.8943000000000003</v>
      </c>
      <c r="BP105" s="799">
        <f>+InputQ!BP11/1000</f>
        <v>6.922200000000001</v>
      </c>
      <c r="BQ105" s="799">
        <f>+InputQ!BQ11/1000</f>
        <v>7.1741000000000001</v>
      </c>
      <c r="BR105" s="799">
        <f>+InputQ!BR11/1000</f>
        <v>7.2307999999999995</v>
      </c>
      <c r="BS105" s="799">
        <f>+InputQ!BS11/1000</f>
        <v>7.371599999999999</v>
      </c>
      <c r="BT105" s="799">
        <f>+InputQ!BT11/1000</f>
        <v>7.4595000000000002</v>
      </c>
      <c r="BU105" s="799">
        <f>+InputQ!BU11/1000</f>
        <v>7.5593999999999992</v>
      </c>
      <c r="BV105" s="799">
        <f>+InputQ!BV11/1000</f>
        <v>7.6326999999999998</v>
      </c>
      <c r="BW105" s="799">
        <f>+InputQ!BW11/1000</f>
        <v>7.6087000000000007</v>
      </c>
      <c r="BX105" s="799">
        <f>+InputQ!BX11/1000</f>
        <v>7.5701000000000001</v>
      </c>
      <c r="BY105" s="799">
        <f>+InputQ!BY11/1000</f>
        <v>7.6198999999999995</v>
      </c>
      <c r="BZ105" s="799">
        <f>+InputQ!BZ11/1000</f>
        <v>7.6803000000000008</v>
      </c>
      <c r="CA105" s="799">
        <f>+InputQ!CA11/1000</f>
        <v>7.8289999999999997</v>
      </c>
      <c r="CB105" s="799">
        <f>+InputQ!CB11/1000</f>
        <v>7.9043000000000001</v>
      </c>
      <c r="CC105" s="799">
        <f>+InputQ!CC11/1000</f>
        <v>8.063699999999999</v>
      </c>
      <c r="CD105" s="799">
        <f>+InputQ!CD11/1000</f>
        <v>8.1155000000000008</v>
      </c>
      <c r="CE105" s="799">
        <f>+InputQ!CE11/1000</f>
        <v>8.2081</v>
      </c>
      <c r="CF105" s="799">
        <f>+InputQ!CF11/1000</f>
        <v>8.2294</v>
      </c>
      <c r="CG105" s="799">
        <f>+InputQ!CG11/1000</f>
        <v>8.2550000000000008</v>
      </c>
      <c r="CH105" s="799">
        <f>+InputQ!CH11/1000</f>
        <v>8.3539000000000012</v>
      </c>
      <c r="CI105" s="799">
        <f>+InputQ!CI11/1000</f>
        <v>8.4962</v>
      </c>
      <c r="CJ105" s="799">
        <f>+InputQ!CJ11/1000</f>
        <v>8.548</v>
      </c>
      <c r="CK105" s="799">
        <f>+InputQ!CK11/1000</f>
        <v>8.6150000000000002</v>
      </c>
      <c r="CL105" s="799">
        <f>+InputQ!CL11/1000</f>
        <v>8.5563000000000002</v>
      </c>
      <c r="CM105" s="799">
        <f>+InputQ!CM11/1000</f>
        <v>8.6424000000000003</v>
      </c>
      <c r="CN105" s="799">
        <f>+InputQ!CN11/1000</f>
        <v>8.8148</v>
      </c>
      <c r="CO105" s="799">
        <f>+InputQ!CO11/1000</f>
        <v>8.8445999999999998</v>
      </c>
      <c r="CP105" s="799">
        <f>+InputQ!CP11/1000</f>
        <v>8.9997999999999987</v>
      </c>
      <c r="CQ105" s="799">
        <f>+InputQ!CQ11/1000</f>
        <v>9.0311000000000003</v>
      </c>
      <c r="CR105" s="799">
        <f>+InputQ!CR11/1000</f>
        <v>9.1487000000000016</v>
      </c>
      <c r="CS105" s="799">
        <f>+InputQ!CS11/1000</f>
        <v>9.1707999999999998</v>
      </c>
      <c r="CT105" s="799">
        <f>+InputQ!CT11/1000</f>
        <v>9.4112999999999989</v>
      </c>
      <c r="CU105" s="3065">
        <f t="shared" ref="CU105:CX105" si="271">+CT105*(1+CU110/100)</f>
        <v>9.4353104999999999</v>
      </c>
      <c r="CV105" s="3065">
        <f t="shared" si="271"/>
        <v>9.5048161299999983</v>
      </c>
      <c r="CW105" s="3065">
        <f t="shared" si="271"/>
        <v>9.5786260078179968</v>
      </c>
      <c r="CX105" s="3065">
        <f t="shared" si="271"/>
        <v>9.6558934337824898</v>
      </c>
      <c r="CY105" s="3065">
        <f t="shared" ref="CY105" si="272">+CX105*(1+CY110/100)</f>
        <v>9.7326207716433082</v>
      </c>
      <c r="CZ105" s="3065">
        <f t="shared" ref="CZ105" si="273">+CY105*(1+CZ110/100)</f>
        <v>9.8086712988327687</v>
      </c>
      <c r="DA105" s="3065">
        <f t="shared" ref="DA105" si="274">+CZ105*(1+DA110/100)</f>
        <v>9.8846195254134663</v>
      </c>
      <c r="DB105" s="3065">
        <f t="shared" ref="DB105" si="275">+DA105*(1+DB110/100)</f>
        <v>9.9609173729038307</v>
      </c>
      <c r="DC105"/>
      <c r="DD105"/>
      <c r="DE105"/>
      <c r="DF105"/>
      <c r="DG105"/>
      <c r="DH105"/>
      <c r="DI105"/>
      <c r="DJ105"/>
      <c r="DK105"/>
      <c r="DL105"/>
      <c r="DM105"/>
      <c r="DN105"/>
      <c r="DO105"/>
    </row>
    <row r="106" spans="1:119" s="26" customFormat="1">
      <c r="A106" s="673"/>
      <c r="B106" s="673"/>
      <c r="C106" s="1613"/>
      <c r="D106" s="683"/>
      <c r="E106" s="684" t="s">
        <v>266</v>
      </c>
      <c r="F106" s="685"/>
      <c r="G106" s="1571"/>
      <c r="H106" s="1571"/>
      <c r="I106" s="1571"/>
      <c r="J106" s="1575">
        <f>SUM(G101:J103)</f>
        <v>11.684285217794255</v>
      </c>
      <c r="K106" s="1571"/>
      <c r="L106" s="1571"/>
      <c r="M106" s="1571"/>
      <c r="N106" s="1575">
        <f>SUM(K101:N103)</f>
        <v>12.419022242817423</v>
      </c>
      <c r="O106" s="1571"/>
      <c r="P106" s="1571"/>
      <c r="Q106" s="1571"/>
      <c r="R106" s="1575">
        <f>SUM(O101:R103)</f>
        <v>13.455369555143651</v>
      </c>
      <c r="S106" s="1571"/>
      <c r="T106" s="1571"/>
      <c r="U106" s="1571"/>
      <c r="V106" s="1575">
        <f>SUM(S101:V103)</f>
        <v>14.522271779425393</v>
      </c>
      <c r="W106" s="1571"/>
      <c r="X106" s="1571"/>
      <c r="Y106" s="1571"/>
      <c r="Z106" s="1575">
        <f>SUM(W101:Z103)</f>
        <v>14.569045412418909</v>
      </c>
      <c r="AA106" s="1571"/>
      <c r="AB106" s="1571"/>
      <c r="AC106" s="1571"/>
      <c r="AD106" s="1575">
        <f>SUM(AA101:AD103)</f>
        <v>14.913664272474515</v>
      </c>
      <c r="AE106" s="1571"/>
      <c r="AF106" s="1571"/>
      <c r="AG106" s="1571"/>
      <c r="AH106" s="1575">
        <f>SUM(AE101:AH103)</f>
        <v>15.708989805375348</v>
      </c>
      <c r="AI106" s="1571"/>
      <c r="AJ106" s="1571"/>
      <c r="AK106" s="1571"/>
      <c r="AL106" s="1575">
        <f>SUM(AI101:AL103)</f>
        <v>16.677652919369788</v>
      </c>
      <c r="AM106" s="1571"/>
      <c r="AN106" s="1571"/>
      <c r="AO106" s="1571"/>
      <c r="AP106" s="1575">
        <f>SUM(AM101:AP103)</f>
        <v>18.311862835959225</v>
      </c>
      <c r="AQ106" s="1571"/>
      <c r="AR106" s="1571"/>
      <c r="AS106" s="1571"/>
      <c r="AT106" s="1575">
        <f>SUM(AQ101:AT103)</f>
        <v>20.260020852641333</v>
      </c>
      <c r="AU106" s="1571"/>
      <c r="AV106" s="1571"/>
      <c r="AW106" s="1571"/>
      <c r="AX106" s="1575">
        <f>SUM(AU101:AX103)</f>
        <v>28.659300000000002</v>
      </c>
      <c r="AY106" s="1571"/>
      <c r="AZ106" s="1571"/>
      <c r="BA106" s="1571"/>
      <c r="BB106" s="1575">
        <f>SUM(AY101:BB103)</f>
        <v>31.444900000000004</v>
      </c>
      <c r="BC106" s="1571"/>
      <c r="BD106" s="1571"/>
      <c r="BE106" s="1571"/>
      <c r="BF106" s="1575">
        <f>SUM(BC101:BF103)</f>
        <v>35.389899999999997</v>
      </c>
      <c r="BG106" s="1571"/>
      <c r="BH106" s="1571"/>
      <c r="BI106" s="1571"/>
      <c r="BJ106" s="1575">
        <f>SUM(BG101:BJ103)</f>
        <v>35.9071</v>
      </c>
      <c r="BK106" s="1571"/>
      <c r="BL106" s="1571"/>
      <c r="BM106" s="1571"/>
      <c r="BN106" s="1575">
        <f>SUM(BK101:BN103)</f>
        <v>28.971800000000002</v>
      </c>
      <c r="BO106" s="1571"/>
      <c r="BP106" s="1571"/>
      <c r="BQ106" s="1571"/>
      <c r="BR106" s="1575">
        <f>SUM(BO101:BR103)</f>
        <v>28.221399999999996</v>
      </c>
      <c r="BS106" s="1571"/>
      <c r="BT106" s="1571"/>
      <c r="BU106" s="1571"/>
      <c r="BV106" s="1575">
        <f>SUM(BS101:BV103)</f>
        <v>30.023199999999999</v>
      </c>
      <c r="BW106" s="1571"/>
      <c r="BX106" s="1571"/>
      <c r="BY106" s="1571"/>
      <c r="BZ106" s="1575">
        <f>SUM(BW101:BZ103)</f>
        <v>30.478999999999999</v>
      </c>
      <c r="CA106" s="1571"/>
      <c r="CB106" s="1571"/>
      <c r="CC106" s="1571"/>
      <c r="CD106" s="1575">
        <f>SUM(CA101:CD103)</f>
        <v>31.912499999999998</v>
      </c>
      <c r="CE106" s="1571"/>
      <c r="CF106" s="1571"/>
      <c r="CG106" s="1571"/>
      <c r="CH106" s="1575">
        <f>SUM(CE101:CH103)</f>
        <v>33.046400000000013</v>
      </c>
      <c r="CI106" s="1571"/>
      <c r="CJ106" s="1571"/>
      <c r="CK106" s="1571"/>
      <c r="CL106" s="1575">
        <f>SUM(CI101:CL103)</f>
        <v>34.215499999999999</v>
      </c>
      <c r="CM106" s="1571"/>
      <c r="CN106" s="1571"/>
      <c r="CO106" s="1571"/>
      <c r="CP106" s="1575">
        <f>SUM(CM101:CP103)</f>
        <v>35.301600000000001</v>
      </c>
      <c r="CQ106" s="1571"/>
      <c r="CR106" s="1571"/>
      <c r="CS106" s="1571"/>
      <c r="CT106" s="1575">
        <f>SUM(CQ101:CT103)</f>
        <v>36.761900000000004</v>
      </c>
      <c r="CU106" s="1571"/>
      <c r="CV106" s="1571"/>
      <c r="CW106" s="1571"/>
      <c r="CX106" s="1575">
        <f>SUM(CU101:CX103)</f>
        <v>38.174646071600506</v>
      </c>
      <c r="CY106" s="1571"/>
      <c r="CZ106" s="1571"/>
      <c r="DA106" s="1571"/>
      <c r="DB106" s="1575">
        <f>SUM(CY101:DB103)</f>
        <v>39.386828968793388</v>
      </c>
      <c r="DC106"/>
      <c r="DD106"/>
      <c r="DE106"/>
      <c r="DF106"/>
      <c r="DG106"/>
      <c r="DH106"/>
      <c r="DI106"/>
      <c r="DJ106"/>
      <c r="DK106"/>
      <c r="DL106"/>
      <c r="DM106"/>
      <c r="DN106"/>
      <c r="DO106"/>
    </row>
    <row r="107" spans="1:119" s="1600" customFormat="1" ht="12.75" customHeight="1">
      <c r="A107" s="998"/>
      <c r="B107" s="998"/>
      <c r="C107" s="1614"/>
      <c r="D107" s="679"/>
      <c r="E107" s="1572" t="s">
        <v>1847</v>
      </c>
      <c r="F107" s="679"/>
      <c r="G107" s="1573"/>
      <c r="H107" s="2839" t="s">
        <v>757</v>
      </c>
      <c r="I107" s="2840">
        <f ca="1">+J107/J106*100</f>
        <v>124.77659983792545</v>
      </c>
      <c r="J107" s="1615">
        <f ca="1">OFFSET('VVP2'!$G$54,0,(COLUMN()-10)/4)</f>
        <v>14.579253810129012</v>
      </c>
      <c r="K107" s="1573"/>
      <c r="L107" s="2839" t="s">
        <v>757</v>
      </c>
      <c r="M107" s="2840">
        <f ca="1">+N107/N106*100</f>
        <v>126.2959827530285</v>
      </c>
      <c r="N107" s="1615">
        <f ca="1">OFFSET('VVP2'!$G$54,0,(COLUMN()-10)/4)</f>
        <v>15.684726189883465</v>
      </c>
      <c r="O107" s="1573"/>
      <c r="P107" s="2839" t="s">
        <v>757</v>
      </c>
      <c r="Q107" s="2840">
        <f ca="1">+R107/R106*100</f>
        <v>126.9185599620026</v>
      </c>
      <c r="R107" s="1615">
        <f ca="1">OFFSET('VVP2'!$G$54,0,(COLUMN()-10)/4)</f>
        <v>17.07736127695404</v>
      </c>
      <c r="S107" s="1573"/>
      <c r="T107" s="2839" t="s">
        <v>757</v>
      </c>
      <c r="U107" s="2840">
        <f ca="1">+V107/V106*100</f>
        <v>127.23308232931416</v>
      </c>
      <c r="V107" s="1615">
        <f ca="1">OFFSET('VVP2'!$G$54,0,(COLUMN()-10)/4)</f>
        <v>18.477134009203066</v>
      </c>
      <c r="W107" s="1573"/>
      <c r="X107" s="2839" t="s">
        <v>757</v>
      </c>
      <c r="Y107" s="2840">
        <f ca="1">+Z107/Z106*100</f>
        <v>127.36013803702761</v>
      </c>
      <c r="Z107" s="1615">
        <f ca="1">OFFSET('VVP2'!$G$54,0,(COLUMN()-10)/4)</f>
        <v>18.555156347933963</v>
      </c>
      <c r="AA107" s="1573"/>
      <c r="AB107" s="2839" t="s">
        <v>757</v>
      </c>
      <c r="AC107" s="2840">
        <f ca="1">+AD107/AD106*100</f>
        <v>127.51540836157156</v>
      </c>
      <c r="AD107" s="1615">
        <f ca="1">OFFSET('VVP2'!$G$54,0,(COLUMN()-10)/4)</f>
        <v>19.017219898719677</v>
      </c>
      <c r="AE107" s="1573"/>
      <c r="AF107" s="2839" t="s">
        <v>757</v>
      </c>
      <c r="AG107" s="2840">
        <f ca="1">+AH107/AH106*100</f>
        <v>127.34426586618579</v>
      </c>
      <c r="AH107" s="1615">
        <f ca="1">OFFSET('VVP2'!$G$54,0,(COLUMN()-10)/4)</f>
        <v>20.004497742649203</v>
      </c>
      <c r="AI107" s="1573"/>
      <c r="AJ107" s="2839" t="s">
        <v>757</v>
      </c>
      <c r="AK107" s="2840">
        <f ca="1">+AL107/AL106*100</f>
        <v>127.48641628664561</v>
      </c>
      <c r="AL107" s="1615">
        <f ca="1">OFFSET('VVP2'!$G$54,0,(COLUMN()-10)/4)</f>
        <v>21.261742027629673</v>
      </c>
      <c r="AM107" s="1573"/>
      <c r="AN107" s="2839" t="s">
        <v>757</v>
      </c>
      <c r="AO107" s="2840">
        <f ca="1">+AP107/AP106*100</f>
        <v>127.74744387730865</v>
      </c>
      <c r="AP107" s="1615">
        <f ca="1">OFFSET('VVP2'!$G$54,0,(COLUMN()-10)/4)</f>
        <v>23.392936699256751</v>
      </c>
      <c r="AQ107" s="1573"/>
      <c r="AR107" s="2839" t="s">
        <v>757</v>
      </c>
      <c r="AS107" s="2840">
        <f ca="1">+AT107/AT106*100</f>
        <v>128.39237096149745</v>
      </c>
      <c r="AT107" s="1615">
        <f ca="1">OFFSET('VVP2'!$G$54,0,(COLUMN()-10)/4)</f>
        <v>26.01232113</v>
      </c>
      <c r="AU107" s="1573"/>
      <c r="AV107" s="2839" t="s">
        <v>757</v>
      </c>
      <c r="AW107" s="2840">
        <f ca="1">+AX107/AX106*100</f>
        <v>99.965618699689102</v>
      </c>
      <c r="AX107" s="1615">
        <f ca="1">OFFSET('VVP2'!$G$54,0,(COLUMN()-10)/4)</f>
        <v>28.649446560000001</v>
      </c>
      <c r="AY107" s="1573"/>
      <c r="AZ107" s="2839" t="s">
        <v>757</v>
      </c>
      <c r="BA107" s="2840">
        <f ca="1">+BB107/BB106*100</f>
        <v>100.39110692035908</v>
      </c>
      <c r="BB107" s="1615">
        <f ca="1">OFFSET('VVP2'!$G$54,0,(COLUMN()-10)/4)</f>
        <v>31.567883179999999</v>
      </c>
      <c r="BC107" s="1573"/>
      <c r="BD107" s="2839" t="s">
        <v>757</v>
      </c>
      <c r="BE107" s="2840">
        <f ca="1">+BF107/BF106*100</f>
        <v>100.72525706486881</v>
      </c>
      <c r="BF107" s="1615">
        <f ca="1">OFFSET('VVP2'!$G$54,0,(COLUMN()-10)/4)</f>
        <v>35.646567750000003</v>
      </c>
      <c r="BG107" s="1573"/>
      <c r="BH107" s="2839" t="s">
        <v>757</v>
      </c>
      <c r="BI107" s="2840">
        <f ca="1">+BJ107/BJ106*100</f>
        <v>100.49634582018598</v>
      </c>
      <c r="BJ107" s="1615">
        <f ca="1">OFFSET('VVP2'!$G$54,0,(COLUMN()-10)/4)</f>
        <v>36.085323389999999</v>
      </c>
      <c r="BK107" s="1573"/>
      <c r="BL107" s="2839" t="s">
        <v>757</v>
      </c>
      <c r="BM107" s="2840">
        <f ca="1">+BN107/BN106*100</f>
        <v>99.96802073050344</v>
      </c>
      <c r="BN107" s="1615">
        <f ca="1">OFFSET('VVP2'!$G$54,0,(COLUMN()-10)/4)</f>
        <v>28.962535029999998</v>
      </c>
      <c r="BO107" s="1573"/>
      <c r="BP107" s="2839" t="s">
        <v>757</v>
      </c>
      <c r="BQ107" s="2840">
        <f ca="1">+BR107/BR106*100</f>
        <v>100.04896993062005</v>
      </c>
      <c r="BR107" s="1615">
        <f ca="1">OFFSET('VVP2'!$G$54,0,(COLUMN()-10)/4)</f>
        <v>28.235220000000002</v>
      </c>
      <c r="BS107" s="1573"/>
      <c r="BT107" s="2839" t="s">
        <v>757</v>
      </c>
      <c r="BU107" s="2840">
        <f ca="1">+BV107/BV106*100</f>
        <v>99.899011431159906</v>
      </c>
      <c r="BV107" s="1615">
        <f ca="1">OFFSET('VVP2'!$G$54,0,(COLUMN()-10)/4)</f>
        <v>29.99288</v>
      </c>
      <c r="BW107" s="1573"/>
      <c r="BX107" s="2839" t="s">
        <v>757</v>
      </c>
      <c r="BY107" s="2840">
        <f ca="1">+BZ107/BZ106*100</f>
        <v>100.22895085140588</v>
      </c>
      <c r="BZ107" s="1615">
        <f ca="1">OFFSET('VVP2'!$G$54,0,(COLUMN()-10)/4)</f>
        <v>30.548781930000001</v>
      </c>
      <c r="CA107" s="1573"/>
      <c r="CB107" s="2839" t="s">
        <v>757</v>
      </c>
      <c r="CC107" s="2840">
        <f ca="1">+CD107/CD106*100</f>
        <v>99.918925248726993</v>
      </c>
      <c r="CD107" s="1615">
        <f ca="1">OFFSET('VVP2'!$G$54,0,(COLUMN()-10)/4)</f>
        <v>31.886627019999999</v>
      </c>
      <c r="CE107" s="1573"/>
      <c r="CF107" s="2839" t="s">
        <v>757</v>
      </c>
      <c r="CG107" s="2840">
        <f ca="1">+CH107/CH106*100</f>
        <v>100.03685947637257</v>
      </c>
      <c r="CH107" s="1615">
        <f ca="1">OFFSET('VVP2'!$G$54,0,(COLUMN()-10)/4)</f>
        <v>33.058580730000003</v>
      </c>
      <c r="CI107" s="1573"/>
      <c r="CJ107" s="2839" t="s">
        <v>757</v>
      </c>
      <c r="CK107" s="2840">
        <f ca="1">+CL107/CL106*100</f>
        <v>99.993727024301847</v>
      </c>
      <c r="CL107" s="1615">
        <f ca="1">OFFSET('VVP2'!$G$54,0,(COLUMN()-10)/4)</f>
        <v>34.213353669999996</v>
      </c>
      <c r="CM107" s="1573"/>
      <c r="CN107" s="2839" t="s">
        <v>757</v>
      </c>
      <c r="CO107" s="2840">
        <f ca="1">+CP107/CP106*100</f>
        <v>100.0598221610352</v>
      </c>
      <c r="CP107" s="1615">
        <f ca="1">OFFSET('VVP2'!$G$54,0,(COLUMN()-10)/4)</f>
        <v>35.322718180000003</v>
      </c>
      <c r="CQ107" s="1573"/>
      <c r="CR107" s="2839" t="s">
        <v>757</v>
      </c>
      <c r="CS107" s="2840">
        <f ca="1">+CT107/CT106*100</f>
        <v>99.992861549593457</v>
      </c>
      <c r="CT107" s="1615">
        <f ca="1">OFFSET('VVP2'!$G$54,0,(COLUMN()-10)/4)</f>
        <v>36.759275770000002</v>
      </c>
      <c r="CU107" s="1573"/>
      <c r="CV107" s="2839" t="s">
        <v>757</v>
      </c>
      <c r="CW107" s="2840">
        <f ca="1">+CX107/CX106*100</f>
        <v>99.959874654840505</v>
      </c>
      <c r="CX107" s="1615">
        <f ca="1">OFFSET('VVP2'!$G$54,0,(COLUMN()-10)/4)</f>
        <v>38.159328363100862</v>
      </c>
      <c r="CY107" s="1573"/>
      <c r="CZ107" s="2839" t="s">
        <v>757</v>
      </c>
      <c r="DA107" s="2840">
        <f ca="1">+DB107/DB106*100</f>
        <v>99.962637261161007</v>
      </c>
      <c r="DB107" s="1615">
        <f ca="1">OFFSET('VVP2'!$G$54,0,(COLUMN()-10)/4)</f>
        <v>39.372112970748816</v>
      </c>
      <c r="DC107"/>
      <c r="DD107"/>
      <c r="DE107"/>
      <c r="DF107"/>
      <c r="DG107"/>
      <c r="DH107"/>
      <c r="DI107"/>
      <c r="DJ107"/>
      <c r="DK107"/>
      <c r="DL107"/>
      <c r="DM107"/>
      <c r="DN107"/>
      <c r="DO107"/>
    </row>
    <row r="108" spans="1:119">
      <c r="E108" s="599"/>
      <c r="F108" s="3617"/>
      <c r="AY108" s="217"/>
      <c r="BA108" s="217"/>
      <c r="BB108" s="217"/>
      <c r="BC108" s="217"/>
      <c r="BD108" s="217"/>
      <c r="BE108" s="217"/>
      <c r="BF108" s="217"/>
      <c r="BG108" s="217"/>
      <c r="BH108" s="217"/>
      <c r="BI108" s="217"/>
      <c r="BJ108" s="217"/>
      <c r="CM108" s="557"/>
      <c r="CN108" s="557"/>
      <c r="CO108" s="557"/>
      <c r="CP108" s="557"/>
      <c r="CQ108" s="557"/>
      <c r="CR108" s="557"/>
      <c r="CS108" s="557"/>
      <c r="CT108" s="557"/>
      <c r="CU108" s="557"/>
      <c r="CV108" s="557"/>
      <c r="CW108" s="557"/>
      <c r="CX108" s="557"/>
      <c r="CY108" s="557"/>
      <c r="CZ108" s="557"/>
      <c r="DA108" s="557"/>
      <c r="DB108" s="557"/>
    </row>
    <row r="109" spans="1:119" s="699" customFormat="1" ht="12.75" customHeight="1">
      <c r="A109" s="664"/>
      <c r="B109" s="664"/>
      <c r="C109" s="1553"/>
      <c r="D109" s="742"/>
      <c r="E109" s="3384" t="s">
        <v>762</v>
      </c>
      <c r="F109" s="3622"/>
      <c r="G109" s="1578" t="s">
        <v>1842</v>
      </c>
      <c r="H109" s="1579" t="s">
        <v>1843</v>
      </c>
      <c r="I109" s="1579" t="s">
        <v>1844</v>
      </c>
      <c r="J109" s="1580" t="s">
        <v>1845</v>
      </c>
      <c r="K109" s="1578" t="s">
        <v>1842</v>
      </c>
      <c r="L109" s="1579" t="s">
        <v>1843</v>
      </c>
      <c r="M109" s="1579" t="s">
        <v>1844</v>
      </c>
      <c r="N109" s="1580" t="s">
        <v>1845</v>
      </c>
      <c r="O109" s="1578" t="s">
        <v>1842</v>
      </c>
      <c r="P109" s="1579" t="s">
        <v>1843</v>
      </c>
      <c r="Q109" s="1579" t="s">
        <v>1844</v>
      </c>
      <c r="R109" s="1580" t="s">
        <v>1845</v>
      </c>
      <c r="S109" s="1578" t="s">
        <v>1842</v>
      </c>
      <c r="T109" s="1579" t="s">
        <v>1843</v>
      </c>
      <c r="U109" s="1579" t="s">
        <v>1844</v>
      </c>
      <c r="V109" s="1580" t="s">
        <v>1845</v>
      </c>
      <c r="W109" s="1578" t="s">
        <v>1842</v>
      </c>
      <c r="X109" s="1579" t="s">
        <v>1843</v>
      </c>
      <c r="Y109" s="1579" t="s">
        <v>1844</v>
      </c>
      <c r="Z109" s="1580" t="s">
        <v>1845</v>
      </c>
      <c r="AA109" s="1578" t="s">
        <v>1842</v>
      </c>
      <c r="AB109" s="1579" t="s">
        <v>1843</v>
      </c>
      <c r="AC109" s="1579" t="s">
        <v>1844</v>
      </c>
      <c r="AD109" s="1580" t="s">
        <v>1845</v>
      </c>
      <c r="AE109" s="1578" t="s">
        <v>1842</v>
      </c>
      <c r="AF109" s="1579" t="s">
        <v>1843</v>
      </c>
      <c r="AG109" s="1579" t="s">
        <v>1844</v>
      </c>
      <c r="AH109" s="1580" t="s">
        <v>1845</v>
      </c>
      <c r="AI109" s="1578" t="s">
        <v>1842</v>
      </c>
      <c r="AJ109" s="1579" t="s">
        <v>1843</v>
      </c>
      <c r="AK109" s="1579" t="s">
        <v>1844</v>
      </c>
      <c r="AL109" s="1580" t="s">
        <v>1845</v>
      </c>
      <c r="AM109" s="1578" t="s">
        <v>1842</v>
      </c>
      <c r="AN109" s="1579" t="s">
        <v>1843</v>
      </c>
      <c r="AO109" s="1579" t="s">
        <v>1844</v>
      </c>
      <c r="AP109" s="1580" t="s">
        <v>1845</v>
      </c>
      <c r="AQ109" s="1578" t="s">
        <v>1842</v>
      </c>
      <c r="AR109" s="1579" t="s">
        <v>1843</v>
      </c>
      <c r="AS109" s="1579" t="s">
        <v>1844</v>
      </c>
      <c r="AT109" s="1580" t="s">
        <v>1845</v>
      </c>
      <c r="AU109" s="1578" t="s">
        <v>1842</v>
      </c>
      <c r="AV109" s="1579" t="s">
        <v>1843</v>
      </c>
      <c r="AW109" s="1579" t="s">
        <v>1844</v>
      </c>
      <c r="AX109" s="1580" t="s">
        <v>1845</v>
      </c>
      <c r="AY109" s="1578" t="s">
        <v>1842</v>
      </c>
      <c r="AZ109" s="1579" t="s">
        <v>1843</v>
      </c>
      <c r="BA109" s="1579" t="s">
        <v>1844</v>
      </c>
      <c r="BB109" s="1580" t="s">
        <v>1845</v>
      </c>
      <c r="BC109" s="1578" t="s">
        <v>1842</v>
      </c>
      <c r="BD109" s="1579" t="s">
        <v>1843</v>
      </c>
      <c r="BE109" s="1579" t="s">
        <v>1844</v>
      </c>
      <c r="BF109" s="1580" t="s">
        <v>1845</v>
      </c>
      <c r="BG109" s="1578" t="s">
        <v>1842</v>
      </c>
      <c r="BH109" s="1579" t="s">
        <v>1843</v>
      </c>
      <c r="BI109" s="1579" t="s">
        <v>1844</v>
      </c>
      <c r="BJ109" s="1580" t="s">
        <v>1845</v>
      </c>
      <c r="BK109" s="1578" t="s">
        <v>1842</v>
      </c>
      <c r="BL109" s="1579" t="s">
        <v>1843</v>
      </c>
      <c r="BM109" s="1579" t="s">
        <v>1844</v>
      </c>
      <c r="BN109" s="1580" t="s">
        <v>1845</v>
      </c>
      <c r="BO109" s="1578" t="s">
        <v>1842</v>
      </c>
      <c r="BP109" s="1579" t="s">
        <v>1843</v>
      </c>
      <c r="BQ109" s="1579" t="s">
        <v>1844</v>
      </c>
      <c r="BR109" s="1580" t="s">
        <v>1845</v>
      </c>
      <c r="BS109" s="1578" t="s">
        <v>1842</v>
      </c>
      <c r="BT109" s="1579" t="s">
        <v>1843</v>
      </c>
      <c r="BU109" s="1579" t="s">
        <v>1844</v>
      </c>
      <c r="BV109" s="1580" t="s">
        <v>1845</v>
      </c>
      <c r="BW109" s="1578" t="s">
        <v>1842</v>
      </c>
      <c r="BX109" s="1579" t="s">
        <v>1843</v>
      </c>
      <c r="BY109" s="1579" t="s">
        <v>1844</v>
      </c>
      <c r="BZ109" s="1580" t="s">
        <v>1845</v>
      </c>
      <c r="CA109" s="1578" t="s">
        <v>1842</v>
      </c>
      <c r="CB109" s="1579" t="s">
        <v>1843</v>
      </c>
      <c r="CC109" s="1579" t="s">
        <v>1844</v>
      </c>
      <c r="CD109" s="1580" t="s">
        <v>1845</v>
      </c>
      <c r="CE109" s="1578" t="s">
        <v>1842</v>
      </c>
      <c r="CF109" s="1579" t="s">
        <v>1843</v>
      </c>
      <c r="CG109" s="1579" t="s">
        <v>1844</v>
      </c>
      <c r="CH109" s="1580" t="s">
        <v>1845</v>
      </c>
      <c r="CI109" s="1578" t="s">
        <v>1842</v>
      </c>
      <c r="CJ109" s="1579" t="s">
        <v>1843</v>
      </c>
      <c r="CK109" s="1579" t="s">
        <v>1844</v>
      </c>
      <c r="CL109" s="1580" t="s">
        <v>1845</v>
      </c>
      <c r="CM109" s="1578" t="s">
        <v>1842</v>
      </c>
      <c r="CN109" s="1579" t="s">
        <v>1843</v>
      </c>
      <c r="CO109" s="1579" t="s">
        <v>1844</v>
      </c>
      <c r="CP109" s="1580" t="s">
        <v>1845</v>
      </c>
      <c r="CQ109" s="1578" t="s">
        <v>1842</v>
      </c>
      <c r="CR109" s="1579" t="s">
        <v>1843</v>
      </c>
      <c r="CS109" s="1579" t="s">
        <v>1844</v>
      </c>
      <c r="CT109" s="1580" t="s">
        <v>1845</v>
      </c>
      <c r="CU109" s="1578" t="s">
        <v>1842</v>
      </c>
      <c r="CV109" s="1579" t="s">
        <v>1843</v>
      </c>
      <c r="CW109" s="1579" t="s">
        <v>1844</v>
      </c>
      <c r="CX109" s="1580" t="s">
        <v>1845</v>
      </c>
      <c r="CY109" s="1578" t="s">
        <v>1842</v>
      </c>
      <c r="CZ109" s="1579" t="s">
        <v>1843</v>
      </c>
      <c r="DA109" s="1579" t="s">
        <v>1844</v>
      </c>
      <c r="DB109" s="1580" t="s">
        <v>1845</v>
      </c>
      <c r="DC109"/>
      <c r="DD109"/>
      <c r="DE109"/>
      <c r="DF109"/>
      <c r="DG109"/>
      <c r="DH109"/>
      <c r="DI109"/>
      <c r="DJ109"/>
      <c r="DK109"/>
      <c r="DL109"/>
      <c r="DM109"/>
      <c r="DN109"/>
      <c r="DO109"/>
    </row>
    <row r="110" spans="1:119" s="699" customFormat="1" ht="12.75" customHeight="1">
      <c r="B110" s="664"/>
      <c r="C110" s="692"/>
      <c r="D110" s="689"/>
      <c r="E110" s="3623" t="str">
        <f>E105</f>
        <v>Domestic demand (excl. Inventories)</v>
      </c>
      <c r="F110" s="3624" t="s">
        <v>1123</v>
      </c>
      <c r="G110" s="978"/>
      <c r="H110" s="978">
        <f>(H105/G105-1)*100</f>
        <v>2.1188213800916733</v>
      </c>
      <c r="I110" s="978">
        <f t="shared" ref="I110:N110" si="276">(I105/H105-1)*100</f>
        <v>1.4601968917095531</v>
      </c>
      <c r="J110" s="978">
        <f t="shared" si="276"/>
        <v>2.3336222861421119</v>
      </c>
      <c r="K110" s="978">
        <f t="shared" si="276"/>
        <v>0.94238821774077497</v>
      </c>
      <c r="L110" s="978">
        <f t="shared" si="276"/>
        <v>1.2559124198962657</v>
      </c>
      <c r="M110" s="978">
        <f t="shared" si="276"/>
        <v>0.97663423776381819</v>
      </c>
      <c r="N110" s="978">
        <f t="shared" si="276"/>
        <v>3.0992930291555476</v>
      </c>
      <c r="O110" s="978">
        <f t="shared" ref="O110:AX110" si="277">(O105/N105-1)*100</f>
        <v>2.3403081209686816</v>
      </c>
      <c r="P110" s="978">
        <f t="shared" si="277"/>
        <v>1.028039035428896</v>
      </c>
      <c r="Q110" s="978">
        <f t="shared" si="277"/>
        <v>2.8462433612445492</v>
      </c>
      <c r="R110" s="978">
        <f t="shared" si="277"/>
        <v>1.7695501259102908</v>
      </c>
      <c r="S110" s="978">
        <f t="shared" si="277"/>
        <v>3.2376446198087327</v>
      </c>
      <c r="T110" s="978">
        <f t="shared" si="277"/>
        <v>0.74090868604095306</v>
      </c>
      <c r="U110" s="978">
        <f t="shared" si="277"/>
        <v>2.2079863678744927</v>
      </c>
      <c r="V110" s="978">
        <f t="shared" si="277"/>
        <v>-0.63070643839602258</v>
      </c>
      <c r="W110" s="978">
        <f t="shared" si="277"/>
        <v>-1.585191164715849</v>
      </c>
      <c r="X110" s="978">
        <f t="shared" si="277"/>
        <v>2.9584894735995571</v>
      </c>
      <c r="Y110" s="978">
        <f t="shared" si="277"/>
        <v>-1.585528730874064</v>
      </c>
      <c r="Z110" s="978">
        <f t="shared" si="277"/>
        <v>-1.0737839575248098</v>
      </c>
      <c r="AA110" s="978">
        <f t="shared" si="277"/>
        <v>1.2073806658644326</v>
      </c>
      <c r="AB110" s="978">
        <f t="shared" si="277"/>
        <v>1.4458404343862474</v>
      </c>
      <c r="AC110" s="978">
        <f t="shared" si="277"/>
        <v>1.2080106892537357</v>
      </c>
      <c r="AD110" s="978">
        <f t="shared" si="277"/>
        <v>1.3549507817023576</v>
      </c>
      <c r="AE110" s="978">
        <f t="shared" si="277"/>
        <v>2.1884521633150467</v>
      </c>
      <c r="AF110" s="978">
        <f t="shared" si="277"/>
        <v>-1.2962811118648165</v>
      </c>
      <c r="AG110" s="978">
        <f t="shared" si="277"/>
        <v>1.5617683930702064</v>
      </c>
      <c r="AH110" s="978">
        <f t="shared" si="277"/>
        <v>5.1077467616484018</v>
      </c>
      <c r="AI110" s="978">
        <f t="shared" si="277"/>
        <v>0.22567933725265998</v>
      </c>
      <c r="AJ110" s="978">
        <f t="shared" si="277"/>
        <v>0.31058092750759769</v>
      </c>
      <c r="AK110" s="978">
        <f t="shared" si="277"/>
        <v>1.487580043628145</v>
      </c>
      <c r="AL110" s="978">
        <f t="shared" si="277"/>
        <v>2.5085977368538126</v>
      </c>
      <c r="AM110" s="978">
        <f t="shared" si="277"/>
        <v>3.1736583650112893</v>
      </c>
      <c r="AN110" s="978">
        <f t="shared" si="277"/>
        <v>2.7502065113351737</v>
      </c>
      <c r="AO110" s="978">
        <f t="shared" si="277"/>
        <v>1.3175608853498666</v>
      </c>
      <c r="AP110" s="978">
        <f t="shared" si="277"/>
        <v>3.4138569467360602</v>
      </c>
      <c r="AQ110" s="978">
        <f t="shared" si="277"/>
        <v>2.2360929269555019</v>
      </c>
      <c r="AR110" s="978">
        <f t="shared" si="277"/>
        <v>3.5243943843180192</v>
      </c>
      <c r="AS110" s="978">
        <f t="shared" si="277"/>
        <v>2.4527628823272307</v>
      </c>
      <c r="AT110" s="978">
        <f t="shared" si="277"/>
        <v>0.96199745039788898</v>
      </c>
      <c r="AU110" s="978">
        <f t="shared" si="277"/>
        <v>31.263248859717429</v>
      </c>
      <c r="AV110" s="978">
        <f t="shared" si="277"/>
        <v>3.4822813332162861</v>
      </c>
      <c r="AW110" s="978">
        <f t="shared" si="277"/>
        <v>2.699148827870923</v>
      </c>
      <c r="AX110" s="978">
        <f t="shared" si="277"/>
        <v>3.0990569284780056</v>
      </c>
      <c r="AY110" s="978">
        <f t="shared" ref="AY110:BJ110" si="278">(AY105/AX105-1)*100</f>
        <v>-1.4154848703362477</v>
      </c>
      <c r="AZ110" s="978">
        <f t="shared" si="278"/>
        <v>4.2220897786687583</v>
      </c>
      <c r="BA110" s="978">
        <f t="shared" si="278"/>
        <v>5.1271720624358474</v>
      </c>
      <c r="BB110" s="978">
        <f t="shared" si="278"/>
        <v>2.3538720205716679</v>
      </c>
      <c r="BC110" s="978">
        <f t="shared" si="278"/>
        <v>3.0993332689148501</v>
      </c>
      <c r="BD110" s="978">
        <f t="shared" si="278"/>
        <v>3.4935214039691687</v>
      </c>
      <c r="BE110" s="978">
        <f t="shared" si="278"/>
        <v>-1.245189042335948E-2</v>
      </c>
      <c r="BF110" s="978">
        <f t="shared" si="278"/>
        <v>4.0111401691403703</v>
      </c>
      <c r="BG110" s="978">
        <f t="shared" si="278"/>
        <v>3.5919540229878422E-2</v>
      </c>
      <c r="BH110" s="978">
        <f t="shared" si="278"/>
        <v>-0.40258963059681685</v>
      </c>
      <c r="BI110" s="978">
        <f t="shared" si="278"/>
        <v>-2.4482438411536522</v>
      </c>
      <c r="BJ110" s="978">
        <f t="shared" si="278"/>
        <v>-3.3115326897663944</v>
      </c>
      <c r="BK110" s="978">
        <f t="shared" ref="BK110:BR110" si="279">(BK105/BJ105-1)*100</f>
        <v>-11.826910826181114</v>
      </c>
      <c r="BL110" s="978">
        <f t="shared" si="279"/>
        <v>-3.4850116911436468</v>
      </c>
      <c r="BM110" s="978">
        <f t="shared" si="279"/>
        <v>-3.3155036544036287</v>
      </c>
      <c r="BN110" s="978">
        <f t="shared" si="279"/>
        <v>-2.7520869406084114</v>
      </c>
      <c r="BO110" s="978">
        <f t="shared" si="279"/>
        <v>-0.20121015604644965</v>
      </c>
      <c r="BP110" s="978">
        <f t="shared" si="279"/>
        <v>0.40468212871502818</v>
      </c>
      <c r="BQ110" s="978">
        <f t="shared" si="279"/>
        <v>3.6390164976452422</v>
      </c>
      <c r="BR110" s="978">
        <f t="shared" si="279"/>
        <v>0.79034303954501617</v>
      </c>
      <c r="BS110" s="978">
        <f t="shared" ref="BS110:CA110" si="280">(BS105/BR105-1)*100</f>
        <v>1.9472257564861373</v>
      </c>
      <c r="BT110" s="978">
        <f t="shared" si="280"/>
        <v>1.1924141299039626</v>
      </c>
      <c r="BU110" s="978">
        <f t="shared" si="280"/>
        <v>1.3392318520007995</v>
      </c>
      <c r="BV110" s="978">
        <f t="shared" si="280"/>
        <v>0.96965367621770771</v>
      </c>
      <c r="BW110" s="978">
        <f t="shared" si="280"/>
        <v>-0.31443656897296446</v>
      </c>
      <c r="BX110" s="978">
        <f t="shared" si="280"/>
        <v>-0.50731399582057968</v>
      </c>
      <c r="BY110" s="978">
        <f t="shared" si="280"/>
        <v>0.65785128333839538</v>
      </c>
      <c r="BZ110" s="978">
        <f t="shared" si="280"/>
        <v>0.79266132101472042</v>
      </c>
      <c r="CA110" s="978">
        <f t="shared" si="280"/>
        <v>1.9361222868898187</v>
      </c>
      <c r="CB110" s="978">
        <f t="shared" ref="CB110:CL110" si="281">(CB105/CA105-1)*100</f>
        <v>0.9618086601098419</v>
      </c>
      <c r="CC110" s="978">
        <f t="shared" si="281"/>
        <v>2.0166238629606426</v>
      </c>
      <c r="CD110" s="978">
        <f t="shared" si="281"/>
        <v>0.64238500936297793</v>
      </c>
      <c r="CE110" s="978">
        <f t="shared" si="281"/>
        <v>1.1410264309038132</v>
      </c>
      <c r="CF110" s="978">
        <f t="shared" si="281"/>
        <v>0.25949976242980455</v>
      </c>
      <c r="CG110" s="978">
        <f t="shared" si="281"/>
        <v>0.31107978710478434</v>
      </c>
      <c r="CH110" s="978">
        <f t="shared" si="281"/>
        <v>1.1980617807389571</v>
      </c>
      <c r="CI110" s="978">
        <f t="shared" si="281"/>
        <v>1.7033960186260133</v>
      </c>
      <c r="CJ110" s="978">
        <f t="shared" si="281"/>
        <v>0.60968432946493234</v>
      </c>
      <c r="CK110" s="978">
        <f t="shared" si="281"/>
        <v>0.78380907814694645</v>
      </c>
      <c r="CL110" s="978">
        <f t="shared" si="281"/>
        <v>-0.68136970400464181</v>
      </c>
      <c r="CM110" s="978">
        <f>(CM105/CL105-1)*100</f>
        <v>1.0062760772763912</v>
      </c>
      <c r="CN110" s="978">
        <f>(CN105/CM105-1)*100</f>
        <v>1.9948162547440473</v>
      </c>
      <c r="CO110" s="978">
        <f>(CO105/CN105-1)*100</f>
        <v>0.33806779507192797</v>
      </c>
      <c r="CP110" s="978">
        <f>(CP105/CO105-1)*100</f>
        <v>1.7547430070325332</v>
      </c>
      <c r="CQ110" s="978">
        <f t="shared" ref="CQ110:CT110" si="282">(CQ105/CP105-1)*100</f>
        <v>0.34778550634460004</v>
      </c>
      <c r="CR110" s="978">
        <f t="shared" si="282"/>
        <v>1.3021669564062144</v>
      </c>
      <c r="CS110" s="978">
        <f t="shared" si="282"/>
        <v>0.24156437526641206</v>
      </c>
      <c r="CT110" s="978">
        <f t="shared" si="282"/>
        <v>2.6224538753434778</v>
      </c>
      <c r="CU110" s="1962">
        <f t="shared" ref="CU110:DB110" si="283">+(CT22*CU27+CT41*CU46+CT70*CU86)/(CT22+CT41+CT70)</f>
        <v>0.25512415925536319</v>
      </c>
      <c r="CV110" s="1962">
        <f t="shared" si="283"/>
        <v>0.73665440050966002</v>
      </c>
      <c r="CW110" s="1962">
        <f t="shared" si="283"/>
        <v>0.77655240047236962</v>
      </c>
      <c r="CX110" s="1962">
        <f t="shared" si="283"/>
        <v>0.80666502587561029</v>
      </c>
      <c r="CY110" s="1962">
        <f t="shared" si="283"/>
        <v>0.79461665962858952</v>
      </c>
      <c r="CZ110" s="1962">
        <f t="shared" si="283"/>
        <v>0.7813982376775449</v>
      </c>
      <c r="DA110" s="1962">
        <f t="shared" si="283"/>
        <v>0.77429678563838522</v>
      </c>
      <c r="DB110" s="1962">
        <f t="shared" si="283"/>
        <v>0.77188451507112787</v>
      </c>
      <c r="DC110"/>
      <c r="DD110"/>
      <c r="DE110"/>
      <c r="DF110"/>
      <c r="DG110"/>
      <c r="DH110"/>
      <c r="DI110"/>
      <c r="DJ110"/>
      <c r="DK110"/>
      <c r="DL110"/>
      <c r="DM110"/>
      <c r="DN110"/>
      <c r="DO110"/>
    </row>
    <row r="111" spans="1:119">
      <c r="C111" s="1555"/>
      <c r="D111" s="1581"/>
      <c r="E111" s="1582" t="s">
        <v>763</v>
      </c>
      <c r="F111" s="1649"/>
      <c r="G111" s="1583"/>
      <c r="H111" s="1583"/>
      <c r="I111" s="1583"/>
      <c r="J111" s="1583"/>
      <c r="K111" s="1583"/>
      <c r="L111" s="1583"/>
      <c r="M111" s="1583"/>
      <c r="N111" s="1586">
        <f>N106/J106*100-100</f>
        <v>6.2882496560784205</v>
      </c>
      <c r="O111" s="1583"/>
      <c r="P111" s="1583"/>
      <c r="Q111" s="1583"/>
      <c r="R111" s="1586">
        <f>R106/N106*100-100</f>
        <v>8.3448382011361844</v>
      </c>
      <c r="S111" s="1583"/>
      <c r="T111" s="1583"/>
      <c r="U111" s="1583"/>
      <c r="V111" s="1586">
        <f>V106/R106*100-100</f>
        <v>7.929193025203034</v>
      </c>
      <c r="W111" s="1583"/>
      <c r="X111" s="1583"/>
      <c r="Y111" s="1583"/>
      <c r="Z111" s="1586">
        <f>Z106/V106*100-100</f>
        <v>0.32208206611159085</v>
      </c>
      <c r="AA111" s="1583"/>
      <c r="AB111" s="1583"/>
      <c r="AC111" s="1583"/>
      <c r="AD111" s="1586">
        <f>AD106/Z106*100-100</f>
        <v>2.365418256997458</v>
      </c>
      <c r="AE111" s="1583"/>
      <c r="AF111" s="1583"/>
      <c r="AG111" s="1583"/>
      <c r="AH111" s="1586">
        <f>AH106/AD106*100-100</f>
        <v>5.332864669407428</v>
      </c>
      <c r="AI111" s="1583"/>
      <c r="AJ111" s="1583"/>
      <c r="AK111" s="1583"/>
      <c r="AL111" s="1586">
        <f>AL106/AH106*100-100</f>
        <v>6.166297935103259</v>
      </c>
      <c r="AM111" s="1583"/>
      <c r="AN111" s="1583"/>
      <c r="AO111" s="1583"/>
      <c r="AP111" s="1586">
        <f>AP106/AL106*100-100</f>
        <v>9.7988003737110319</v>
      </c>
      <c r="AQ111" s="1583"/>
      <c r="AR111" s="1583"/>
      <c r="AS111" s="1583"/>
      <c r="AT111" s="1586">
        <f>AT106/AP106*100-100</f>
        <v>10.638775716780088</v>
      </c>
      <c r="AU111" s="1583"/>
      <c r="AV111" s="1583"/>
      <c r="AW111" s="1583"/>
      <c r="AX111" s="1586">
        <f>AX106/AT106*100-100</f>
        <v>41.45740623096961</v>
      </c>
      <c r="AY111" s="1583"/>
      <c r="AZ111" s="1583"/>
      <c r="BA111" s="1583"/>
      <c r="BB111" s="1586">
        <f>BB106/AX106*100-100</f>
        <v>9.7197070409954307</v>
      </c>
      <c r="BC111" s="1583"/>
      <c r="BD111" s="1583"/>
      <c r="BE111" s="1583"/>
      <c r="BF111" s="1586">
        <f>BF106/BB106*100-100</f>
        <v>12.545754637476961</v>
      </c>
      <c r="BG111" s="1583"/>
      <c r="BH111" s="1583"/>
      <c r="BI111" s="1583"/>
      <c r="BJ111" s="1586">
        <f>BJ106/BF106*100-100</f>
        <v>1.4614339119353446</v>
      </c>
      <c r="BK111" s="1583"/>
      <c r="BL111" s="1583"/>
      <c r="BM111" s="1583"/>
      <c r="BN111" s="1586">
        <f>BN106/BJ106*100-100</f>
        <v>-19.314564529020714</v>
      </c>
      <c r="BO111" s="1583"/>
      <c r="BP111" s="1583"/>
      <c r="BQ111" s="1583"/>
      <c r="BR111" s="1586">
        <f>BR106/BN106*100-100</f>
        <v>-2.5901048605885961</v>
      </c>
      <c r="BS111" s="1583"/>
      <c r="BT111" s="1583"/>
      <c r="BU111" s="1583"/>
      <c r="BV111" s="1586">
        <f>BV106/BR106*100-100</f>
        <v>6.3845167142664963</v>
      </c>
      <c r="BW111" s="1583"/>
      <c r="BX111" s="1583"/>
      <c r="BY111" s="1583"/>
      <c r="BZ111" s="1586">
        <f>BZ106/BV106*100-100</f>
        <v>1.518159290148958</v>
      </c>
      <c r="CA111" s="1583"/>
      <c r="CB111" s="1583"/>
      <c r="CC111" s="1583"/>
      <c r="CD111" s="1586">
        <f>CD106/BZ106*100-100</f>
        <v>4.7032382952196627</v>
      </c>
      <c r="CE111" s="1583"/>
      <c r="CF111" s="1583"/>
      <c r="CG111" s="1583"/>
      <c r="CH111" s="1586">
        <f>CH106/CD106*100-100</f>
        <v>3.5531531531532039</v>
      </c>
      <c r="CI111" s="1583"/>
      <c r="CJ111" s="1583"/>
      <c r="CK111" s="1583"/>
      <c r="CL111" s="1586">
        <f>CL106/CH106*100-100</f>
        <v>3.5377529776314134</v>
      </c>
      <c r="CM111" s="1583"/>
      <c r="CN111" s="1583"/>
      <c r="CO111" s="1583"/>
      <c r="CP111" s="1586">
        <f>CP106/CL106*100-100</f>
        <v>3.1742923528809968</v>
      </c>
      <c r="CQ111" s="1583"/>
      <c r="CR111" s="1583"/>
      <c r="CS111" s="1583"/>
      <c r="CT111" s="1586">
        <f>CT106/CP106*100-100</f>
        <v>4.1366396990504768</v>
      </c>
      <c r="CU111" s="1583"/>
      <c r="CV111" s="1583"/>
      <c r="CW111" s="1583"/>
      <c r="CX111" s="1586">
        <f>CX106/CT106*100-100</f>
        <v>3.8429626096597218</v>
      </c>
      <c r="CY111" s="1583"/>
      <c r="CZ111" s="1583"/>
      <c r="DA111" s="1583"/>
      <c r="DB111" s="1586">
        <f>DB106/CX106*100-100</f>
        <v>3.1753611937077579</v>
      </c>
    </row>
    <row r="112" spans="1:119" s="699" customFormat="1" ht="12.75" customHeight="1">
      <c r="A112" s="664"/>
      <c r="B112" s="664"/>
      <c r="C112" s="666"/>
      <c r="D112" s="717"/>
      <c r="E112" s="1596" t="s">
        <v>1847</v>
      </c>
      <c r="F112" s="717"/>
      <c r="G112" s="1584"/>
      <c r="H112" s="1584"/>
      <c r="I112" s="1584"/>
      <c r="J112" s="1585"/>
      <c r="K112" s="1584"/>
      <c r="L112" s="1584"/>
      <c r="M112" s="1584"/>
      <c r="N112" s="1587">
        <f ca="1">N107/J107*100-100</f>
        <v>7.5825031524344553</v>
      </c>
      <c r="O112" s="1584"/>
      <c r="P112" s="1584"/>
      <c r="Q112" s="1584"/>
      <c r="R112" s="1587">
        <f ca="1">R107/N107*100-100</f>
        <v>8.8789250778812772</v>
      </c>
      <c r="S112" s="1584"/>
      <c r="T112" s="1584"/>
      <c r="U112" s="1584"/>
      <c r="V112" s="1587">
        <f ca="1">V107/R107*100-100</f>
        <v>8.1966570218200161</v>
      </c>
      <c r="W112" s="1584"/>
      <c r="X112" s="1584"/>
      <c r="Y112" s="1584"/>
      <c r="Z112" s="1587">
        <f ca="1">Z107/V107*100-100</f>
        <v>0.42226428997069831</v>
      </c>
      <c r="AA112" s="1584"/>
      <c r="AB112" s="1584"/>
      <c r="AC112" s="1584"/>
      <c r="AD112" s="1587">
        <f ca="1">AD107/Z107*100-100</f>
        <v>2.4902164235180919</v>
      </c>
      <c r="AE112" s="1584"/>
      <c r="AF112" s="1584"/>
      <c r="AG112" s="1584"/>
      <c r="AH112" s="1587">
        <f ca="1">AH107/AD107*100-100</f>
        <v>5.1914940732004311</v>
      </c>
      <c r="AI112" s="1584"/>
      <c r="AJ112" s="1584"/>
      <c r="AK112" s="1584"/>
      <c r="AL112" s="1587">
        <f ca="1">AL107/AH107*100-100</f>
        <v>6.2848080524413774</v>
      </c>
      <c r="AM112" s="1584"/>
      <c r="AN112" s="1584"/>
      <c r="AO112" s="1584"/>
      <c r="AP112" s="1587">
        <f ca="1">AP107/AL107*100-100</f>
        <v>10.023612688262261</v>
      </c>
      <c r="AQ112" s="1584"/>
      <c r="AR112" s="1584"/>
      <c r="AS112" s="1584"/>
      <c r="AT112" s="1587">
        <f ca="1">AT107/AP107*100-100</f>
        <v>11.19733047807749</v>
      </c>
      <c r="AU112" s="1584"/>
      <c r="AV112" s="1584"/>
      <c r="AW112" s="1584"/>
      <c r="AX112" s="1587">
        <f ca="1">AX107/AT107*100-100</f>
        <v>10.137985829179257</v>
      </c>
      <c r="AY112" s="1584"/>
      <c r="AZ112" s="1584"/>
      <c r="BA112" s="1584"/>
      <c r="BB112" s="1587">
        <f ca="1">BB107/AX107*100-100</f>
        <v>10.186712032597114</v>
      </c>
      <c r="BC112" s="1584"/>
      <c r="BD112" s="1584"/>
      <c r="BE112" s="1584"/>
      <c r="BF112" s="1587">
        <f ca="1">BF107/BB107*100-100</f>
        <v>12.920361326552538</v>
      </c>
      <c r="BG112" s="1584"/>
      <c r="BH112" s="1584"/>
      <c r="BI112" s="1584"/>
      <c r="BJ112" s="1587">
        <f ca="1">BJ107/BF107*100-100</f>
        <v>1.2308496096373744</v>
      </c>
      <c r="BK112" s="1584"/>
      <c r="BL112" s="1584"/>
      <c r="BM112" s="1584"/>
      <c r="BN112" s="1587">
        <f ca="1">BN107/BJ107*100-100</f>
        <v>-19.738740548391149</v>
      </c>
      <c r="BO112" s="1584"/>
      <c r="BP112" s="1584"/>
      <c r="BQ112" s="1584"/>
      <c r="BR112" s="1587">
        <f ca="1">BR107/BN107*100-100</f>
        <v>-2.5112271051088157</v>
      </c>
      <c r="BS112" s="1584"/>
      <c r="BT112" s="1584"/>
      <c r="BU112" s="1584"/>
      <c r="BV112" s="1587">
        <f ca="1">BV107/BR107*100-100</f>
        <v>6.2250621741215326</v>
      </c>
      <c r="BW112" s="1584"/>
      <c r="BX112" s="1584"/>
      <c r="BY112" s="1584"/>
      <c r="BZ112" s="1587">
        <f ca="1">BZ107/BV107*100-100</f>
        <v>1.853446317926128</v>
      </c>
      <c r="CA112" s="1584"/>
      <c r="CB112" s="1584"/>
      <c r="CC112" s="1584"/>
      <c r="CD112" s="1587">
        <f ca="1">CD107/BZ107*100-100</f>
        <v>4.3793729421538217</v>
      </c>
      <c r="CE112" s="1584"/>
      <c r="CF112" s="1584"/>
      <c r="CG112" s="1584"/>
      <c r="CH112" s="1587">
        <f ca="1">CH107/CD107*100-100</f>
        <v>3.6753768570909813</v>
      </c>
      <c r="CI112" s="1584"/>
      <c r="CJ112" s="1584"/>
      <c r="CK112" s="1584"/>
      <c r="CL112" s="1587">
        <f ca="1">CL107/CH107*100-100</f>
        <v>3.4931110607300297</v>
      </c>
      <c r="CM112" s="1584"/>
      <c r="CN112" s="1584"/>
      <c r="CO112" s="1584"/>
      <c r="CP112" s="1587">
        <f ca="1">CP107/CL107*100-100</f>
        <v>3.2424898204958907</v>
      </c>
      <c r="CQ112" s="1584"/>
      <c r="CR112" s="1584"/>
      <c r="CS112" s="1584"/>
      <c r="CT112" s="1587">
        <f ca="1">CT107/CP107*100-100</f>
        <v>4.0669508577439757</v>
      </c>
      <c r="CU112" s="1584"/>
      <c r="CV112" s="1584"/>
      <c r="CW112" s="1584"/>
      <c r="CX112" s="1587">
        <f ca="1">CX107/CT107*100-100</f>
        <v>3.8087055954553648</v>
      </c>
      <c r="CY112" s="1584"/>
      <c r="CZ112" s="1584"/>
      <c r="DA112" s="1584"/>
      <c r="DB112" s="1587">
        <f ca="1">DB107/CX107*100-100</f>
        <v>3.1782126669207571</v>
      </c>
      <c r="DC112"/>
      <c r="DD112"/>
      <c r="DE112"/>
      <c r="DF112"/>
      <c r="DG112"/>
      <c r="DH112"/>
      <c r="DI112"/>
      <c r="DJ112"/>
      <c r="DK112"/>
      <c r="DL112"/>
      <c r="DM112"/>
      <c r="DN112"/>
      <c r="DO112"/>
    </row>
    <row r="113" spans="1:119">
      <c r="E113" s="599"/>
      <c r="F113" s="3617"/>
      <c r="AY113" s="217"/>
      <c r="BC113" s="217"/>
      <c r="BD113" s="217"/>
      <c r="BG113" s="217"/>
      <c r="BH113" s="217"/>
      <c r="CM113" s="557"/>
      <c r="CN113" s="557"/>
      <c r="CO113" s="557"/>
      <c r="CP113" s="557"/>
      <c r="CQ113" s="557"/>
      <c r="CR113" s="557"/>
      <c r="CS113" s="557"/>
      <c r="CT113" s="557"/>
      <c r="CU113" s="557"/>
      <c r="CV113" s="557"/>
      <c r="CW113" s="557"/>
      <c r="CX113" s="557"/>
      <c r="CY113" s="557"/>
      <c r="CZ113" s="557"/>
      <c r="DA113" s="557"/>
      <c r="DB113" s="557"/>
    </row>
    <row r="114" spans="1:119" s="699" customFormat="1" ht="12.75" customHeight="1">
      <c r="A114" s="664"/>
      <c r="B114" s="664"/>
      <c r="C114" s="666"/>
      <c r="D114" s="858"/>
      <c r="E114" s="3625"/>
      <c r="F114" s="3626"/>
      <c r="G114" s="1588" t="str">
        <f t="shared" ref="G114:N114" si="284">G109</f>
        <v>Q1</v>
      </c>
      <c r="H114" s="1588" t="str">
        <f t="shared" si="284"/>
        <v>Q2</v>
      </c>
      <c r="I114" s="1588" t="str">
        <f t="shared" si="284"/>
        <v>Q3</v>
      </c>
      <c r="J114" s="1588" t="str">
        <f t="shared" si="284"/>
        <v>Q4</v>
      </c>
      <c r="K114" s="1593" t="str">
        <f t="shared" si="284"/>
        <v>Q1</v>
      </c>
      <c r="L114" s="1588" t="str">
        <f t="shared" si="284"/>
        <v>Q2</v>
      </c>
      <c r="M114" s="1588" t="str">
        <f t="shared" si="284"/>
        <v>Q3</v>
      </c>
      <c r="N114" s="1594" t="str">
        <f t="shared" si="284"/>
        <v>Q4</v>
      </c>
      <c r="O114" s="1593" t="str">
        <f t="shared" ref="O114:AX114" si="285">O109</f>
        <v>Q1</v>
      </c>
      <c r="P114" s="1588" t="str">
        <f t="shared" si="285"/>
        <v>Q2</v>
      </c>
      <c r="Q114" s="1588" t="str">
        <f t="shared" si="285"/>
        <v>Q3</v>
      </c>
      <c r="R114" s="1594" t="str">
        <f t="shared" si="285"/>
        <v>Q4</v>
      </c>
      <c r="S114" s="1593" t="str">
        <f t="shared" si="285"/>
        <v>Q1</v>
      </c>
      <c r="T114" s="1588" t="str">
        <f t="shared" si="285"/>
        <v>Q2</v>
      </c>
      <c r="U114" s="1588" t="str">
        <f t="shared" si="285"/>
        <v>Q3</v>
      </c>
      <c r="V114" s="1594" t="str">
        <f t="shared" si="285"/>
        <v>Q4</v>
      </c>
      <c r="W114" s="1593" t="str">
        <f t="shared" si="285"/>
        <v>Q1</v>
      </c>
      <c r="X114" s="1588" t="str">
        <f t="shared" si="285"/>
        <v>Q2</v>
      </c>
      <c r="Y114" s="1588" t="str">
        <f t="shared" si="285"/>
        <v>Q3</v>
      </c>
      <c r="Z114" s="1594" t="str">
        <f t="shared" si="285"/>
        <v>Q4</v>
      </c>
      <c r="AA114" s="1593" t="str">
        <f t="shared" si="285"/>
        <v>Q1</v>
      </c>
      <c r="AB114" s="1588" t="str">
        <f t="shared" si="285"/>
        <v>Q2</v>
      </c>
      <c r="AC114" s="1588" t="str">
        <f t="shared" si="285"/>
        <v>Q3</v>
      </c>
      <c r="AD114" s="1594" t="str">
        <f t="shared" si="285"/>
        <v>Q4</v>
      </c>
      <c r="AE114" s="1593" t="str">
        <f t="shared" si="285"/>
        <v>Q1</v>
      </c>
      <c r="AF114" s="1588" t="str">
        <f t="shared" si="285"/>
        <v>Q2</v>
      </c>
      <c r="AG114" s="1588" t="str">
        <f t="shared" si="285"/>
        <v>Q3</v>
      </c>
      <c r="AH114" s="1594" t="str">
        <f t="shared" si="285"/>
        <v>Q4</v>
      </c>
      <c r="AI114" s="1593" t="str">
        <f t="shared" si="285"/>
        <v>Q1</v>
      </c>
      <c r="AJ114" s="1588" t="str">
        <f t="shared" si="285"/>
        <v>Q2</v>
      </c>
      <c r="AK114" s="1588" t="str">
        <f t="shared" si="285"/>
        <v>Q3</v>
      </c>
      <c r="AL114" s="1594" t="str">
        <f t="shared" si="285"/>
        <v>Q4</v>
      </c>
      <c r="AM114" s="1593" t="str">
        <f t="shared" si="285"/>
        <v>Q1</v>
      </c>
      <c r="AN114" s="1588" t="str">
        <f t="shared" si="285"/>
        <v>Q2</v>
      </c>
      <c r="AO114" s="1588" t="str">
        <f t="shared" si="285"/>
        <v>Q3</v>
      </c>
      <c r="AP114" s="1594" t="str">
        <f t="shared" si="285"/>
        <v>Q4</v>
      </c>
      <c r="AQ114" s="1593" t="str">
        <f t="shared" si="285"/>
        <v>Q1</v>
      </c>
      <c r="AR114" s="1588" t="str">
        <f t="shared" si="285"/>
        <v>Q2</v>
      </c>
      <c r="AS114" s="1588" t="str">
        <f t="shared" si="285"/>
        <v>Q3</v>
      </c>
      <c r="AT114" s="1594" t="str">
        <f t="shared" si="285"/>
        <v>Q4</v>
      </c>
      <c r="AU114" s="1593" t="str">
        <f t="shared" si="285"/>
        <v>Q1</v>
      </c>
      <c r="AV114" s="1588" t="str">
        <f t="shared" si="285"/>
        <v>Q2</v>
      </c>
      <c r="AW114" s="1588" t="str">
        <f t="shared" si="285"/>
        <v>Q3</v>
      </c>
      <c r="AX114" s="1594" t="str">
        <f t="shared" si="285"/>
        <v>Q4</v>
      </c>
      <c r="AY114" s="1593" t="str">
        <f t="shared" ref="AY114:BJ114" si="286">AY109</f>
        <v>Q1</v>
      </c>
      <c r="AZ114" s="1588" t="str">
        <f t="shared" si="286"/>
        <v>Q2</v>
      </c>
      <c r="BA114" s="1588" t="str">
        <f t="shared" si="286"/>
        <v>Q3</v>
      </c>
      <c r="BB114" s="1594" t="str">
        <f t="shared" si="286"/>
        <v>Q4</v>
      </c>
      <c r="BC114" s="1593" t="str">
        <f t="shared" si="286"/>
        <v>Q1</v>
      </c>
      <c r="BD114" s="1588" t="str">
        <f t="shared" si="286"/>
        <v>Q2</v>
      </c>
      <c r="BE114" s="1588" t="str">
        <f t="shared" si="286"/>
        <v>Q3</v>
      </c>
      <c r="BF114" s="1594" t="str">
        <f t="shared" si="286"/>
        <v>Q4</v>
      </c>
      <c r="BG114" s="1593" t="str">
        <f t="shared" si="286"/>
        <v>Q1</v>
      </c>
      <c r="BH114" s="1588" t="str">
        <f t="shared" si="286"/>
        <v>Q2</v>
      </c>
      <c r="BI114" s="1588" t="str">
        <f t="shared" si="286"/>
        <v>Q3</v>
      </c>
      <c r="BJ114" s="1594" t="str">
        <f t="shared" si="286"/>
        <v>Q4</v>
      </c>
      <c r="BK114" s="1593" t="str">
        <f t="shared" ref="BK114:BV114" si="287">BK109</f>
        <v>Q1</v>
      </c>
      <c r="BL114" s="1588" t="str">
        <f t="shared" si="287"/>
        <v>Q2</v>
      </c>
      <c r="BM114" s="1588" t="str">
        <f t="shared" si="287"/>
        <v>Q3</v>
      </c>
      <c r="BN114" s="1594" t="str">
        <f t="shared" si="287"/>
        <v>Q4</v>
      </c>
      <c r="BO114" s="1593" t="str">
        <f t="shared" si="287"/>
        <v>Q1</v>
      </c>
      <c r="BP114" s="1588" t="str">
        <f t="shared" si="287"/>
        <v>Q2</v>
      </c>
      <c r="BQ114" s="1588" t="str">
        <f t="shared" si="287"/>
        <v>Q3</v>
      </c>
      <c r="BR114" s="1594" t="str">
        <f t="shared" si="287"/>
        <v>Q4</v>
      </c>
      <c r="BS114" s="1593" t="str">
        <f t="shared" si="287"/>
        <v>Q1</v>
      </c>
      <c r="BT114" s="1588" t="str">
        <f t="shared" si="287"/>
        <v>Q2</v>
      </c>
      <c r="BU114" s="1588" t="str">
        <f t="shared" si="287"/>
        <v>Q3</v>
      </c>
      <c r="BV114" s="1594" t="str">
        <f t="shared" si="287"/>
        <v>Q4</v>
      </c>
      <c r="BW114" s="1593" t="str">
        <f t="shared" ref="BW114:CD114" si="288">BW109</f>
        <v>Q1</v>
      </c>
      <c r="BX114" s="1588" t="str">
        <f t="shared" si="288"/>
        <v>Q2</v>
      </c>
      <c r="BY114" s="1588" t="str">
        <f t="shared" si="288"/>
        <v>Q3</v>
      </c>
      <c r="BZ114" s="1594" t="str">
        <f t="shared" si="288"/>
        <v>Q4</v>
      </c>
      <c r="CA114" s="1593" t="str">
        <f t="shared" si="288"/>
        <v>Q1</v>
      </c>
      <c r="CB114" s="1588" t="str">
        <f t="shared" si="288"/>
        <v>Q2</v>
      </c>
      <c r="CC114" s="1588" t="str">
        <f t="shared" si="288"/>
        <v>Q3</v>
      </c>
      <c r="CD114" s="1594" t="str">
        <f t="shared" si="288"/>
        <v>Q4</v>
      </c>
      <c r="CE114" s="1593" t="str">
        <f t="shared" ref="CE114:CL114" si="289">CE109</f>
        <v>Q1</v>
      </c>
      <c r="CF114" s="1588" t="str">
        <f t="shared" si="289"/>
        <v>Q2</v>
      </c>
      <c r="CG114" s="1588" t="str">
        <f t="shared" si="289"/>
        <v>Q3</v>
      </c>
      <c r="CH114" s="1594" t="str">
        <f t="shared" si="289"/>
        <v>Q4</v>
      </c>
      <c r="CI114" s="1593" t="str">
        <f t="shared" si="289"/>
        <v>Q1</v>
      </c>
      <c r="CJ114" s="1588" t="str">
        <f t="shared" si="289"/>
        <v>Q2</v>
      </c>
      <c r="CK114" s="1588" t="str">
        <f t="shared" si="289"/>
        <v>Q3</v>
      </c>
      <c r="CL114" s="1594" t="str">
        <f t="shared" si="289"/>
        <v>Q4</v>
      </c>
      <c r="CM114" s="1593" t="str">
        <f t="shared" ref="CM114:CT114" si="290">CM109</f>
        <v>Q1</v>
      </c>
      <c r="CN114" s="1588" t="str">
        <f t="shared" si="290"/>
        <v>Q2</v>
      </c>
      <c r="CO114" s="1588" t="str">
        <f t="shared" si="290"/>
        <v>Q3</v>
      </c>
      <c r="CP114" s="1594" t="str">
        <f t="shared" si="290"/>
        <v>Q4</v>
      </c>
      <c r="CQ114" s="1593" t="str">
        <f t="shared" si="290"/>
        <v>Q1</v>
      </c>
      <c r="CR114" s="1588" t="str">
        <f t="shared" si="290"/>
        <v>Q2</v>
      </c>
      <c r="CS114" s="1588" t="str">
        <f t="shared" si="290"/>
        <v>Q3</v>
      </c>
      <c r="CT114" s="1594" t="str">
        <f t="shared" si="290"/>
        <v>Q4</v>
      </c>
      <c r="CU114" s="1593" t="str">
        <f t="shared" ref="CU114:DB114" si="291">CU109</f>
        <v>Q1</v>
      </c>
      <c r="CV114" s="1588" t="str">
        <f t="shared" si="291"/>
        <v>Q2</v>
      </c>
      <c r="CW114" s="1588" t="str">
        <f t="shared" si="291"/>
        <v>Q3</v>
      </c>
      <c r="CX114" s="1594" t="str">
        <f t="shared" si="291"/>
        <v>Q4</v>
      </c>
      <c r="CY114" s="1593" t="str">
        <f t="shared" si="291"/>
        <v>Q1</v>
      </c>
      <c r="CZ114" s="1588" t="str">
        <f t="shared" si="291"/>
        <v>Q2</v>
      </c>
      <c r="DA114" s="1588" t="str">
        <f t="shared" si="291"/>
        <v>Q3</v>
      </c>
      <c r="DB114" s="1594" t="str">
        <f t="shared" si="291"/>
        <v>Q4</v>
      </c>
      <c r="DC114"/>
      <c r="DD114"/>
      <c r="DE114"/>
      <c r="DF114"/>
      <c r="DG114"/>
      <c r="DH114"/>
      <c r="DI114"/>
      <c r="DJ114"/>
      <c r="DK114"/>
      <c r="DL114"/>
      <c r="DM114"/>
      <c r="DN114"/>
      <c r="DO114"/>
    </row>
    <row r="115" spans="1:119" s="699" customFormat="1" ht="12.75" customHeight="1">
      <c r="A115" s="664"/>
      <c r="B115" s="664"/>
      <c r="C115" s="862"/>
      <c r="D115" s="863"/>
      <c r="E115" s="3627" t="s">
        <v>1848</v>
      </c>
      <c r="F115" s="3628"/>
      <c r="G115" s="705"/>
      <c r="H115" s="705"/>
      <c r="I115" s="705"/>
      <c r="J115" s="705"/>
      <c r="K115" s="1564">
        <f t="shared" ref="K115:AX115" si="292">(K105/G105-1)*100</f>
        <v>7.0270159932230625</v>
      </c>
      <c r="L115" s="1564">
        <f t="shared" si="292"/>
        <v>6.1226325520963742</v>
      </c>
      <c r="M115" s="1564">
        <f t="shared" si="292"/>
        <v>5.6168485755940134</v>
      </c>
      <c r="N115" s="1564">
        <f t="shared" si="292"/>
        <v>6.4070847571834122</v>
      </c>
      <c r="O115" s="1564">
        <f t="shared" si="292"/>
        <v>7.8806835520292884</v>
      </c>
      <c r="P115" s="1564">
        <f t="shared" si="292"/>
        <v>7.637901319445084</v>
      </c>
      <c r="Q115" s="1564">
        <f t="shared" si="292"/>
        <v>9.6308455669757098</v>
      </c>
      <c r="R115" s="1564">
        <f t="shared" si="292"/>
        <v>8.2168607123148885</v>
      </c>
      <c r="S115" s="1564">
        <f t="shared" si="292"/>
        <v>9.1657237819107618</v>
      </c>
      <c r="T115" s="1564">
        <f t="shared" si="292"/>
        <v>8.8554654347236408</v>
      </c>
      <c r="U115" s="1564">
        <f t="shared" si="292"/>
        <v>8.1799156060708977</v>
      </c>
      <c r="V115" s="1564">
        <f t="shared" si="292"/>
        <v>5.6284692035043271</v>
      </c>
      <c r="W115" s="1564">
        <f t="shared" si="292"/>
        <v>0.69394398244491118</v>
      </c>
      <c r="X115" s="1564">
        <f t="shared" si="292"/>
        <v>2.9104909494261033</v>
      </c>
      <c r="Y115" s="1564">
        <f t="shared" si="292"/>
        <v>-0.90909805833642165</v>
      </c>
      <c r="Z115" s="1564">
        <f t="shared" si="292"/>
        <v>-1.3509342576984329</v>
      </c>
      <c r="AA115" s="1564">
        <f t="shared" si="292"/>
        <v>1.4482847355131279</v>
      </c>
      <c r="AB115" s="1564">
        <f t="shared" si="292"/>
        <v>-4.2176626338519263E-2</v>
      </c>
      <c r="AC115" s="1564">
        <f t="shared" si="292"/>
        <v>2.7951715435347024</v>
      </c>
      <c r="AD115" s="1564">
        <f t="shared" si="292"/>
        <v>5.3188929001203311</v>
      </c>
      <c r="AE115" s="1564">
        <f t="shared" si="292"/>
        <v>6.3398200626213708</v>
      </c>
      <c r="AF115" s="1564">
        <f t="shared" si="292"/>
        <v>3.4654122942045174</v>
      </c>
      <c r="AG115" s="1564">
        <f t="shared" si="292"/>
        <v>3.827060413047656</v>
      </c>
      <c r="AH115" s="1564">
        <f t="shared" si="292"/>
        <v>7.6713893967093272</v>
      </c>
      <c r="AI115" s="1564">
        <f t="shared" si="292"/>
        <v>5.6033036905622779</v>
      </c>
      <c r="AJ115" s="1564">
        <f t="shared" si="292"/>
        <v>7.3224885586116395</v>
      </c>
      <c r="AK115" s="1564">
        <f t="shared" si="292"/>
        <v>7.2440921461608188</v>
      </c>
      <c r="AL115" s="1564">
        <f t="shared" si="292"/>
        <v>4.5921146649121836</v>
      </c>
      <c r="AM115" s="1564">
        <f t="shared" si="292"/>
        <v>7.6685254464600838</v>
      </c>
      <c r="AN115" s="1564">
        <f t="shared" si="292"/>
        <v>10.287101541059718</v>
      </c>
      <c r="AO115" s="1564">
        <f t="shared" si="292"/>
        <v>10.10234080319503</v>
      </c>
      <c r="AP115" s="1564">
        <f t="shared" si="292"/>
        <v>11.074660786515334</v>
      </c>
      <c r="AQ115" s="1564">
        <f t="shared" si="292"/>
        <v>10.065296917408562</v>
      </c>
      <c r="AR115" s="1564">
        <f t="shared" si="292"/>
        <v>10.894601509612123</v>
      </c>
      <c r="AS115" s="1564">
        <f t="shared" si="292"/>
        <v>12.137108454979417</v>
      </c>
      <c r="AT115" s="1564">
        <f t="shared" si="292"/>
        <v>9.4784276710409898</v>
      </c>
      <c r="AU115" s="1564">
        <f t="shared" si="292"/>
        <v>40.561847433094876</v>
      </c>
      <c r="AV115" s="1564">
        <f t="shared" si="292"/>
        <v>40.504667786702278</v>
      </c>
      <c r="AW115" s="1564">
        <f t="shared" si="292"/>
        <v>40.842563754092566</v>
      </c>
      <c r="AX115" s="1564">
        <f t="shared" si="292"/>
        <v>43.823773945933908</v>
      </c>
      <c r="AY115" s="1564">
        <f t="shared" ref="AY115:BF115" si="293">(AY105/AU105-1)*100</f>
        <v>8.0180259269013519</v>
      </c>
      <c r="AZ115" s="1564">
        <f t="shared" si="293"/>
        <v>8.7902610072674747</v>
      </c>
      <c r="BA115" s="1564">
        <f t="shared" si="293"/>
        <v>11.362290906587758</v>
      </c>
      <c r="BB115" s="1564">
        <f t="shared" si="293"/>
        <v>10.557380551772045</v>
      </c>
      <c r="BC115" s="1564">
        <f t="shared" si="293"/>
        <v>15.620513098366429</v>
      </c>
      <c r="BD115" s="1564">
        <f t="shared" si="293"/>
        <v>14.812263623721456</v>
      </c>
      <c r="BE115" s="1564">
        <f t="shared" si="293"/>
        <v>9.199139550984059</v>
      </c>
      <c r="BF115" s="1564">
        <f t="shared" si="293"/>
        <v>10.96724321190452</v>
      </c>
      <c r="BG115" s="1564">
        <f t="shared" ref="BG115:BN115" si="294">(BG105/BC105-1)*100</f>
        <v>7.670048501604998</v>
      </c>
      <c r="BH115" s="1564">
        <f t="shared" si="294"/>
        <v>3.6167081729680639</v>
      </c>
      <c r="BI115" s="1564">
        <f t="shared" si="294"/>
        <v>1.0925064248434646</v>
      </c>
      <c r="BJ115" s="1564">
        <f t="shared" si="294"/>
        <v>-6.0246865203761875</v>
      </c>
      <c r="BK115" s="1564">
        <f t="shared" si="294"/>
        <v>-17.168815624829982</v>
      </c>
      <c r="BL115" s="1564">
        <f t="shared" si="294"/>
        <v>-19.732342819686465</v>
      </c>
      <c r="BM115" s="1564">
        <f t="shared" si="294"/>
        <v>-20.445942616525169</v>
      </c>
      <c r="BN115" s="1564">
        <f t="shared" si="294"/>
        <v>-19.985637675619937</v>
      </c>
      <c r="BO115" s="1564">
        <f t="shared" ref="BO115:BV115" si="295">(BO105/BK105-1)*100</f>
        <v>-9.4356724378004913</v>
      </c>
      <c r="BP115" s="1564">
        <f t="shared" si="295"/>
        <v>-5.785798864889113</v>
      </c>
      <c r="BQ115" s="1564">
        <f t="shared" si="295"/>
        <v>0.9910328420400516</v>
      </c>
      <c r="BR115" s="1564">
        <f t="shared" si="295"/>
        <v>4.6698126863726985</v>
      </c>
      <c r="BS115" s="1564">
        <f t="shared" si="295"/>
        <v>6.9231103955441187</v>
      </c>
      <c r="BT115" s="1564">
        <f t="shared" si="295"/>
        <v>7.7619831845366916</v>
      </c>
      <c r="BU115" s="1564">
        <f t="shared" si="295"/>
        <v>5.3707085209294458</v>
      </c>
      <c r="BV115" s="1564">
        <f t="shared" si="295"/>
        <v>5.5581678375836718</v>
      </c>
      <c r="BW115" s="1564">
        <f t="shared" ref="BW115:CD115" si="296">(BW105/BS105-1)*100</f>
        <v>3.2163980682619941</v>
      </c>
      <c r="BX115" s="1564">
        <f t="shared" si="296"/>
        <v>1.4826731014143002</v>
      </c>
      <c r="BY115" s="1564">
        <f t="shared" si="296"/>
        <v>0.80032806836520809</v>
      </c>
      <c r="BZ115" s="1564">
        <f t="shared" si="296"/>
        <v>0.62363252846306949</v>
      </c>
      <c r="CA115" s="1564">
        <f t="shared" si="296"/>
        <v>2.8953697740744078</v>
      </c>
      <c r="CB115" s="1564">
        <f t="shared" si="296"/>
        <v>4.4147369255360003</v>
      </c>
      <c r="CC115" s="1564">
        <f t="shared" si="296"/>
        <v>5.8242234150054362</v>
      </c>
      <c r="CD115" s="1564">
        <f t="shared" si="296"/>
        <v>5.6664453211463073</v>
      </c>
      <c r="CE115" s="1564">
        <f t="shared" ref="CE115:CL115" si="297">(CE105/CA105-1)*100</f>
        <v>4.8422531613232955</v>
      </c>
      <c r="CF115" s="1564">
        <f t="shared" si="297"/>
        <v>4.1129511784724793</v>
      </c>
      <c r="CG115" s="1564">
        <f t="shared" si="297"/>
        <v>2.3723600828404079</v>
      </c>
      <c r="CH115" s="1564">
        <f t="shared" si="297"/>
        <v>2.9375885650914979</v>
      </c>
      <c r="CI115" s="1564">
        <f t="shared" si="297"/>
        <v>3.5099474908931505</v>
      </c>
      <c r="CJ115" s="1564">
        <f t="shared" si="297"/>
        <v>3.8714851629523483</v>
      </c>
      <c r="CK115" s="1564">
        <f t="shared" si="297"/>
        <v>4.3609933373712773</v>
      </c>
      <c r="CL115" s="1564">
        <f t="shared" si="297"/>
        <v>2.4228204790576635</v>
      </c>
      <c r="CM115" s="1564">
        <f t="shared" ref="CM115:CT115" si="298">(CM105/CI105-1)*100</f>
        <v>1.7207692850921719</v>
      </c>
      <c r="CN115" s="1564">
        <f t="shared" si="298"/>
        <v>3.1211979410388446</v>
      </c>
      <c r="CO115" s="1564">
        <f t="shared" si="298"/>
        <v>2.6651189785258156</v>
      </c>
      <c r="CP115" s="1564">
        <f t="shared" si="298"/>
        <v>5.183315218026463</v>
      </c>
      <c r="CQ115" s="1564">
        <f t="shared" si="298"/>
        <v>4.497593261131172</v>
      </c>
      <c r="CR115" s="1564">
        <f t="shared" si="298"/>
        <v>3.7879475427689879</v>
      </c>
      <c r="CS115" s="1564">
        <f t="shared" si="298"/>
        <v>3.6881260882346334</v>
      </c>
      <c r="CT115" s="1564">
        <f t="shared" si="298"/>
        <v>4.5723238294184343</v>
      </c>
      <c r="CU115" s="1564">
        <f t="shared" ref="CU115:DB115" si="299">(CU105/CQ105-1)*100</f>
        <v>4.4757615351396884</v>
      </c>
      <c r="CV115" s="1564">
        <f t="shared" si="299"/>
        <v>3.8925326002601013</v>
      </c>
      <c r="CW115" s="1564">
        <f t="shared" si="299"/>
        <v>4.4470057990360301</v>
      </c>
      <c r="CX115" s="1564">
        <f t="shared" si="299"/>
        <v>2.5989335562833116</v>
      </c>
      <c r="CY115" s="1564">
        <f t="shared" si="299"/>
        <v>3.1510385550460596</v>
      </c>
      <c r="CZ115" s="1564">
        <f t="shared" si="299"/>
        <v>3.1968547805329317</v>
      </c>
      <c r="DA115" s="1564">
        <f t="shared" si="299"/>
        <v>3.1945449936736203</v>
      </c>
      <c r="DB115" s="1564">
        <f t="shared" si="299"/>
        <v>3.1589406118979424</v>
      </c>
      <c r="DC115"/>
      <c r="DD115"/>
      <c r="DE115"/>
      <c r="DF115"/>
      <c r="DG115"/>
      <c r="DH115"/>
      <c r="DI115"/>
      <c r="DJ115"/>
      <c r="DK115"/>
      <c r="DL115"/>
      <c r="DM115"/>
      <c r="DN115"/>
      <c r="DO115"/>
    </row>
    <row r="116" spans="1:119" s="699" customFormat="1" ht="12.75" customHeight="1">
      <c r="A116" s="664"/>
      <c r="B116" s="664"/>
      <c r="C116" s="944"/>
      <c r="D116" s="674"/>
      <c r="E116" s="3629" t="s">
        <v>1938</v>
      </c>
      <c r="F116" s="3630"/>
      <c r="G116" s="705"/>
      <c r="H116" s="705"/>
      <c r="I116" s="705"/>
      <c r="J116" s="705"/>
      <c r="K116" s="1564">
        <f>(4*K105/J106-1)*100</f>
        <v>3.9711477685376861</v>
      </c>
      <c r="L116" s="1564">
        <f>((K105+3*L105)/J106-1)*100</f>
        <v>4.9504876869880032</v>
      </c>
      <c r="M116" s="1564">
        <f>((K105+L105+2*M105)/J106-1)*100</f>
        <v>5.4645729795382181</v>
      </c>
      <c r="N116" s="1621"/>
      <c r="O116" s="1564">
        <f>(4*O105/N106-1)*100</f>
        <v>5.5288663352021095</v>
      </c>
      <c r="P116" s="1564">
        <f>((O105+3*P105)/N106-1)*100</f>
        <v>6.3425247898807102</v>
      </c>
      <c r="Q116" s="1564">
        <f>((O105+P105+2*Q105)/N106-1)*100</f>
        <v>7.8597680991782104</v>
      </c>
      <c r="R116" s="1621"/>
      <c r="S116" s="1564">
        <f>(4*S105/R106-1)*100</f>
        <v>6.3284164214668204</v>
      </c>
      <c r="T116" s="1564">
        <f>((S105+3*T105)/R106-1)*100</f>
        <v>6.9192637762141462</v>
      </c>
      <c r="U116" s="1564">
        <f>((S105+T105+2*U105)/R106-1)*100</f>
        <v>8.1018194654607356</v>
      </c>
      <c r="V116" s="1621"/>
      <c r="W116" s="1564">
        <f>(4*W105/V106-1)*100</f>
        <v>-0.7995213641122767</v>
      </c>
      <c r="X116" s="1564">
        <f>((W105+3*X105)/V106-1)*100</f>
        <v>1.4016054245400644</v>
      </c>
      <c r="Y116" s="1564">
        <f>((W105+X105+2*Y105)/V106-1)*100</f>
        <v>0.59191304781374132</v>
      </c>
      <c r="Z116" s="1621"/>
      <c r="AA116" s="1564">
        <f>(4*AA105/Z106-1)*100</f>
        <v>0.31409033078879656</v>
      </c>
      <c r="AB116" s="1564">
        <f>((AA105+3*AB105)/Z106-1)*100</f>
        <v>1.4018765903307751</v>
      </c>
      <c r="AC116" s="1564">
        <f>((AA105+AB105+2*AC105)/Z106-1)*100</f>
        <v>2.0165394402035464</v>
      </c>
      <c r="AD116" s="1621"/>
      <c r="AE116" s="1564">
        <f>(4*AE105/AD106-1)*100</f>
        <v>4.2088480383113414</v>
      </c>
      <c r="AF116" s="1564">
        <f>((AE105+3*AF105)/AD106-1)*100</f>
        <v>3.1957183278019219</v>
      </c>
      <c r="AG116" s="1564">
        <f>((AE105+AF105+2*AG105)/AD106-1)*100</f>
        <v>3.9989202604580276</v>
      </c>
      <c r="AH116" s="1621"/>
      <c r="AI116" s="1564">
        <f>(4*AI105/AH106-1)*100</f>
        <v>4.4764011799410142</v>
      </c>
      <c r="AJ116" s="1564">
        <f>((AI105+3*AJ105)/AH106-1)*100</f>
        <v>4.7197640117994322</v>
      </c>
      <c r="AK116" s="1564">
        <f>((AI105+AJ105+2*AK105)/AH106-1)*100</f>
        <v>5.4992625368731618</v>
      </c>
      <c r="AL116" s="1621"/>
      <c r="AM116" s="1564">
        <f>(4*AM105/AL106-1)*100</f>
        <v>5.9547170597694432</v>
      </c>
      <c r="AN116" s="1564">
        <f>((AM105+3*AN105)/AL106-1)*100</f>
        <v>8.1401972055028757</v>
      </c>
      <c r="AO116" s="1564">
        <f>((AM105+AN105+2*AO105)/AL106-1)*100</f>
        <v>8.8574028472890198</v>
      </c>
      <c r="AP116" s="1621"/>
      <c r="AQ116" s="1564">
        <f>(4*AQ105/AP106-1)*100</f>
        <v>6.211883493180137</v>
      </c>
      <c r="AR116" s="1564">
        <f>((AQ105+3*AR105)/AP106-1)*100</f>
        <v>9.01937773616417</v>
      </c>
      <c r="AS116" s="1564">
        <f>((AQ105+AR105+2*AS105)/AP106-1)*100</f>
        <v>10.367848014778414</v>
      </c>
      <c r="AT116" s="1621"/>
      <c r="AU116" s="1564">
        <f>(4*AU105/AT106-1)*100</f>
        <v>34.937669604796319</v>
      </c>
      <c r="AV116" s="1564">
        <f>((AU105+3*AV105)/AT106-1)*100</f>
        <v>38.461851564889969</v>
      </c>
      <c r="AW116" s="1564">
        <f>((AU105+AV105+2*AW105)/AT106-1)*100</f>
        <v>40.346351106015675</v>
      </c>
      <c r="AX116" s="1621"/>
      <c r="AY116" s="1564">
        <f>(4*AY105/AX106-1)*100</f>
        <v>3.0395020115634219</v>
      </c>
      <c r="AZ116" s="1564">
        <f>((AY105+3*AZ105)/AX106-1)*100</f>
        <v>6.3023172233794833</v>
      </c>
      <c r="BA116" s="1564">
        <f>((AY105+AZ105+2*BA105)/AX106-1)*100</f>
        <v>9.0553502702438671</v>
      </c>
      <c r="BB116" s="1621"/>
      <c r="BC116" s="1564">
        <f>(4*BC105/BB106-1)*100</f>
        <v>8.5810417587589569</v>
      </c>
      <c r="BD116" s="1564">
        <f>((BC105+3*BD105)/BB106-1)*100</f>
        <v>11.426018209630161</v>
      </c>
      <c r="BE116" s="1564">
        <f>((BC105+BD105+2*BE105)/BB106-1)*100</f>
        <v>11.41902184455985</v>
      </c>
      <c r="BF116" s="1621"/>
      <c r="BG116" s="1564">
        <f>(4*BG105/BF106-1)*100</f>
        <v>3.8770948773520164</v>
      </c>
      <c r="BH116" s="1564">
        <f>((BG105+3*BH105)/BF106-1)*100</f>
        <v>3.5634460679459412</v>
      </c>
      <c r="BI116" s="1564">
        <f>((BG105+BH105+2*BI105)/BF106-1)*100</f>
        <v>2.2969830375332956</v>
      </c>
      <c r="BJ116" s="1621"/>
      <c r="BK116" s="1564">
        <f>(4*BK105/BJ106-1)*100</f>
        <v>-15.196715969822117</v>
      </c>
      <c r="BL116" s="1564">
        <f>((BK105+3*BL105)/BJ106-1)*100</f>
        <v>-17.413269242016206</v>
      </c>
      <c r="BM116" s="1564">
        <f>((BK105+BL105+2*BM105)/BJ106-1)*100</f>
        <v>-18.770103962726036</v>
      </c>
      <c r="BN116" s="1621"/>
      <c r="BO116" s="1564">
        <f>(4*BO105/BN106-1)*100</f>
        <v>-4.8136463733699735</v>
      </c>
      <c r="BP116" s="1564">
        <f>((BO105+3*BP105)/BN106-1)*100</f>
        <v>-4.5247447517931079</v>
      </c>
      <c r="BQ116" s="1564">
        <f>((BO105+BP105+2*BQ105)/BN106-1)*100</f>
        <v>-2.7858124106890036</v>
      </c>
      <c r="BR116" s="1621"/>
      <c r="BS116" s="1564">
        <f>(4*BS105/BR106-1)*100</f>
        <v>4.4824140545826952</v>
      </c>
      <c r="BT116" s="1564">
        <f>((BS105+3*BT105)/BR106-1)*100</f>
        <v>5.4168113559214248</v>
      </c>
      <c r="BU116" s="1564">
        <f>((BS105+BT105+2*BU105)/BR106-1)*100</f>
        <v>6.1247847378230746</v>
      </c>
      <c r="BV116" s="1621"/>
      <c r="BW116" s="1564">
        <f>(4*BW105/BV106-1)*100</f>
        <v>1.3709398065496092</v>
      </c>
      <c r="BX116" s="1564">
        <f>((BW105+3*BX105)/BV106-1)*100</f>
        <v>0.98523808254951106</v>
      </c>
      <c r="BY116" s="1564">
        <f>((BW105+BX105+2*BY105)/BV106-1)*100</f>
        <v>1.3169815342801483</v>
      </c>
      <c r="BZ116" s="1621"/>
      <c r="CA116" s="1564">
        <f>(4*CA105/BZ106-1)*100</f>
        <v>2.7461530890121155</v>
      </c>
      <c r="CB116" s="1564">
        <f>((CA105+3*CB105)/BZ106-1)*100</f>
        <v>3.4873191377669865</v>
      </c>
      <c r="CC116" s="1564">
        <f>((CA105+CB105+2*CC105)/BZ106-1)*100</f>
        <v>4.5332852127694334</v>
      </c>
      <c r="CD116" s="1621"/>
      <c r="CE116" s="1564">
        <f>(4*CE105/CD106-1)*100</f>
        <v>2.8825695260477957</v>
      </c>
      <c r="CF116" s="1564">
        <f>((CE105+3*CF105)/CD106-1)*100</f>
        <v>3.0828045436741336</v>
      </c>
      <c r="CG116" s="1564">
        <f>((CE105+CF105+2*CG105)/CD106-1)*100</f>
        <v>3.2432432432432767</v>
      </c>
      <c r="CH116" s="1621"/>
      <c r="CI116" s="1564">
        <f>(4*CI105/CH106-1)*100</f>
        <v>2.8396436525611968</v>
      </c>
      <c r="CJ116" s="1564">
        <f>((CI105+3*CJ105)/CH106-1)*100</f>
        <v>3.3098915464316425</v>
      </c>
      <c r="CK116" s="1564">
        <f>((CI105+CJ105+2*CK105)/CH106-1)*100</f>
        <v>3.715382008327639</v>
      </c>
      <c r="CL116" s="1621"/>
      <c r="CM116" s="1564">
        <f>(4*CM105/CL106-1)*100</f>
        <v>1.0349110783124615</v>
      </c>
      <c r="CN116" s="1564">
        <f>((CM105+3*CN105)/CL106-1)*100</f>
        <v>2.5465067001797514</v>
      </c>
      <c r="CO116" s="1564">
        <f>((CM105+CN105+2*CO105)/CL106-1)*100</f>
        <v>2.7206967602402488</v>
      </c>
      <c r="CP116" s="1621"/>
      <c r="CQ116" s="1564">
        <f>(4*CQ105/CP106-1)*100</f>
        <v>2.3307725428875825</v>
      </c>
      <c r="CR116" s="1564">
        <f>((CQ105+3*CR105)/CP106-1)*100</f>
        <v>3.3301606726040767</v>
      </c>
      <c r="CS116" s="1564">
        <f>((CQ105+CR105+2*CS105)/CP106-1)*100</f>
        <v>3.4553674620980246</v>
      </c>
      <c r="CT116" s="1621"/>
      <c r="CU116" s="1564">
        <f>(4*CU105/CT106-1)*100</f>
        <v>2.6640135575146884</v>
      </c>
      <c r="CV116" s="1564">
        <f>((CU105+3*CV105)/CT106-1)*100</f>
        <v>3.2312227877231425</v>
      </c>
      <c r="CW116" s="1564">
        <f>((CU105+CV105+2*CW105)/CT106-1)*100</f>
        <v>3.6327791698361311</v>
      </c>
      <c r="CX116" s="1621"/>
      <c r="CY116" s="1564">
        <f>(4*CY105/CX106-1)*100</f>
        <v>1.979945049274523</v>
      </c>
      <c r="CZ116" s="1564">
        <f>((CY105+3*CZ105)/CX106-1)*100</f>
        <v>2.5775971693242195</v>
      </c>
      <c r="DA116" s="1564">
        <f>((CY105+CZ105+2*DA105)/CX106-1)*100</f>
        <v>2.975495955016938</v>
      </c>
      <c r="DB116" s="1621"/>
      <c r="DC116"/>
      <c r="DD116"/>
      <c r="DE116"/>
      <c r="DF116"/>
      <c r="DG116"/>
      <c r="DH116"/>
      <c r="DI116"/>
      <c r="DJ116"/>
      <c r="DK116"/>
      <c r="DL116"/>
      <c r="DM116"/>
      <c r="DN116"/>
      <c r="DO116"/>
    </row>
    <row r="117" spans="1:119">
      <c r="C117" s="1557"/>
      <c r="D117" s="828"/>
      <c r="E117" s="3631" t="s">
        <v>1807</v>
      </c>
      <c r="F117" s="828"/>
      <c r="G117" s="876"/>
      <c r="H117" s="876"/>
      <c r="I117" s="876"/>
      <c r="J117" s="876"/>
      <c r="K117" s="1620"/>
      <c r="L117" s="883">
        <f>(4*L105/(K105+3*L105)-1)*100</f>
        <v>0.31104823491345801</v>
      </c>
      <c r="M117" s="883">
        <f>(4*M105/(K105+L105+2*M105)-1)*100</f>
        <v>0.796980358699928</v>
      </c>
      <c r="N117" s="883">
        <f>+(4*N105/N106-1)*100</f>
        <v>3.1156425779610419</v>
      </c>
      <c r="O117" s="1620"/>
      <c r="P117" s="883">
        <f>(4*P105/(O105+3*P105)-1)*100</f>
        <v>0.25504330034362699</v>
      </c>
      <c r="Q117" s="883">
        <f>(4*Q105/(O105+P105+2*Q105)-1)*100</f>
        <v>1.6581370660335937</v>
      </c>
      <c r="R117" s="883">
        <f>+(4*R105/R106-1)*100</f>
        <v>2.9938418423244739</v>
      </c>
      <c r="S117" s="1620"/>
      <c r="T117" s="883">
        <f>(4*T105/(S105+3*T105)-1)*100</f>
        <v>0.18420358623243427</v>
      </c>
      <c r="U117" s="883">
        <f>(4*U105/(S105+T105+2*U105)-1)*100</f>
        <v>1.276116178540776</v>
      </c>
      <c r="V117" s="883">
        <f>+(4*V105/V106-1)*100</f>
        <v>0.79832477439298888</v>
      </c>
      <c r="W117" s="1620"/>
      <c r="X117" s="883">
        <f>(4*X105/(W105+3*X105)-1)*100</f>
        <v>0.72356737004206639</v>
      </c>
      <c r="Y117" s="883">
        <f>(4*Y105/(W105+X105+2*Y105)-1)*100</f>
        <v>-7.5536337736648029E-2</v>
      </c>
      <c r="Z117" s="883">
        <f>+(4*Z105/Z106-1)*100</f>
        <v>-0.88263358778626344</v>
      </c>
      <c r="AA117" s="1620"/>
      <c r="AB117" s="883">
        <f>(4*AB105/(AA105+3*AB105)-1)*100</f>
        <v>0.35758255373539161</v>
      </c>
      <c r="AC117" s="883">
        <f>(4*AC105/(AA105+AB105+2*AC105)-1)*100</f>
        <v>0.95794101141111199</v>
      </c>
      <c r="AD117" s="883">
        <f>+(4*AD105/AD106-1)*100</f>
        <v>1.9771273879041873</v>
      </c>
      <c r="AE117" s="1620"/>
      <c r="AF117" s="883">
        <f>(4*AF105/(AE105+3*AF105)-1)*100</f>
        <v>-0.32725185596401696</v>
      </c>
      <c r="AG117" s="883">
        <f>(4*AG105/(AE105+AF105+2*AG105)-1)*100</f>
        <v>0.44759313653177646</v>
      </c>
      <c r="AH117" s="883">
        <f>+(4*AH105/AH106-1)*100</f>
        <v>4.2411504424778812</v>
      </c>
      <c r="AI117" s="1620"/>
      <c r="AJ117" s="883">
        <f>(4*AJ105/(AI105+3*AJ105)-1)*100</f>
        <v>7.7464788732406475E-2</v>
      </c>
      <c r="AK117" s="883">
        <f>(4*AK105/(AI105+AJ105+2*AK105)-1)*100</f>
        <v>0.81575875350383686</v>
      </c>
      <c r="AL117" s="883">
        <f>+(4*AL105/AL106-1)*100</f>
        <v>2.6955123418413995</v>
      </c>
      <c r="AM117" s="1620"/>
      <c r="AN117" s="883">
        <f>(4*AN105/(AM105+3*AN105)-1)*100</f>
        <v>0.67365642077270582</v>
      </c>
      <c r="AO117" s="883">
        <f>(4*AO105/(AM105+AN105+2*AO105)-1)*100</f>
        <v>1.3280667973728955</v>
      </c>
      <c r="AP117" s="883">
        <f>+(4*AP105/AP106-1)*100</f>
        <v>3.888832654300689</v>
      </c>
      <c r="AQ117" s="1620"/>
      <c r="AR117" s="883">
        <f>(4*AR105/(AQ105+3*AR105)-1)*100</f>
        <v>0.85840832497943165</v>
      </c>
      <c r="AS117" s="883">
        <f>(4*AS105/(AQ105+AR105+2*AS105)-1)*100</f>
        <v>2.069716619496309</v>
      </c>
      <c r="AT117" s="883">
        <f>+(4*AT105/AT106-1)*100</f>
        <v>2.7992760936503824</v>
      </c>
      <c r="AU117" s="1620"/>
      <c r="AV117" s="883">
        <f>(4*AV105/(AU105+3*AV105)-1)*100</f>
        <v>0.84841225706180357</v>
      </c>
      <c r="AW117" s="883">
        <f>(4*AW105/(AU105+AV105+2*AW105)-1)*100</f>
        <v>2.1797694325847106</v>
      </c>
      <c r="AX117" s="883">
        <f>+(4*AX105/AX106-1)*100</f>
        <v>4.5189519632370612</v>
      </c>
      <c r="AY117" s="1620"/>
      <c r="AZ117" s="883">
        <f>(4*AZ105/(AY105+3*AZ105)-1)*100</f>
        <v>1.0231245178972781</v>
      </c>
      <c r="BA117" s="883">
        <f>(4*BA105/(AY105+AZ105+2*BA105)-1)*100</f>
        <v>3.5217328704666651</v>
      </c>
      <c r="BB117" s="883">
        <f>+(4*BB105/BB106-1)*100</f>
        <v>5.3169194368562156</v>
      </c>
      <c r="BC117" s="1620"/>
      <c r="BD117" s="883">
        <f>(4*BD105/(BC105+3*BD105)-1)*100</f>
        <v>0.85108083270069024</v>
      </c>
      <c r="BE117" s="883">
        <f>(4*BE105/(BC105+BD105+2*BE105)-1)*100</f>
        <v>0.84485494753907542</v>
      </c>
      <c r="BF117" s="883">
        <f>+(4*BF105/BF106-1)*100</f>
        <v>3.8397961000172565</v>
      </c>
      <c r="BG117" s="1620"/>
      <c r="BH117" s="883">
        <f>(4*BH105/(BG105+3*BH105)-1)*100</f>
        <v>-0.10095222504160617</v>
      </c>
      <c r="BI117" s="883">
        <f>(4*BI105/(BG105+BH105+2*BI105)-1)*100</f>
        <v>-1.3402278276818391</v>
      </c>
      <c r="BJ117" s="883">
        <f>+(4*BJ105/BJ106-1)*100</f>
        <v>-3.821806829290042</v>
      </c>
      <c r="BK117" s="1620"/>
      <c r="BL117" s="883">
        <f>(4*BL105/(BK105+3*BL105)-1)*100</f>
        <v>-0.89463656443373729</v>
      </c>
      <c r="BM117" s="883">
        <f>(4*BM105/(BK105+BL105+2*BM105)-1)*100</f>
        <v>-2.5799439783593225</v>
      </c>
      <c r="BN117" s="883">
        <f>+(4*BN105/BN106-1)*100</f>
        <v>-4.6217356187741139</v>
      </c>
      <c r="BO117" s="1620"/>
      <c r="BP117" s="883">
        <f>(4*BP105/(BO105+3*BP105)-1)*100</f>
        <v>0.10086439703695937</v>
      </c>
      <c r="BQ117" s="883">
        <f>(4*BQ105/(BO105+BP105+2*BQ105)-1)*100</f>
        <v>1.8878241202640034</v>
      </c>
      <c r="BR117" s="883">
        <f>+(4*BR105/BR106-1)*100</f>
        <v>2.4867653624554453</v>
      </c>
      <c r="BS117" s="1620"/>
      <c r="BT117" s="883">
        <f>(4*BT105/(BS105+3*BT105)-1)*100</f>
        <v>0.29546119172707552</v>
      </c>
      <c r="BU117" s="883">
        <f>(4*BU105/(BS105+BT105+2*BU105)-1)*100</f>
        <v>0.96060420902905896</v>
      </c>
      <c r="BV117" s="883">
        <f>+(4*BV105/BV106-1)*100</f>
        <v>1.6906925311092724</v>
      </c>
      <c r="BW117" s="1620"/>
      <c r="BX117" s="883">
        <f>(4*BX105/(BW105+3*BX105)-1)*100</f>
        <v>-0.12731290609849788</v>
      </c>
      <c r="BY117" s="883">
        <f>(4*BY105/(BW105+BX105+2*BY105)-1)*100</f>
        <v>0.20053519885858684</v>
      </c>
      <c r="BZ117" s="883">
        <f>+(4*BZ105/BZ106-1)*100</f>
        <v>0.79464549361856207</v>
      </c>
      <c r="CA117" s="1620"/>
      <c r="CB117" s="883">
        <f>(4*CB105/(CA105+3*CB105)-1)*100</f>
        <v>0.23873007016064207</v>
      </c>
      <c r="CC117" s="883">
        <f>(4*CC105/(CA105+CB105+2*CC105)-1)*100</f>
        <v>1.2369470852806153</v>
      </c>
      <c r="CD117" s="883">
        <f>+(4*CD105/CD106-1)*100</f>
        <v>1.7218958088523584</v>
      </c>
      <c r="CE117" s="1620"/>
      <c r="CF117" s="883">
        <f>(4*CF105/(CE105+3*CF105)-1)*100</f>
        <v>6.4748923131152658E-2</v>
      </c>
      <c r="CG117" s="883">
        <f>(4*CG105/(CE105+CF105+2*CG105)-1)*100</f>
        <v>0.22004704454055002</v>
      </c>
      <c r="CH117" s="883">
        <f>+(4*CH105/CH106-1)*100</f>
        <v>1.1172170039701612</v>
      </c>
      <c r="CI117" s="1620"/>
      <c r="CJ117" s="883">
        <f>(4*CJ105/(CI105+3*CJ105)-1)*100</f>
        <v>0.15172728923673606</v>
      </c>
      <c r="CK117" s="883">
        <f>(4*CK105/(CI105+CJ105+2*CK105)-1)*100</f>
        <v>0.5420987214872941</v>
      </c>
      <c r="CL117" s="883">
        <f>+(4*CL105/CL106-1)*100</f>
        <v>2.8349724540044363E-2</v>
      </c>
      <c r="CM117" s="1620"/>
      <c r="CN117" s="883">
        <f>(4*CN105/(CM105+3*CN105)-1)*100</f>
        <v>0.49135287344528322</v>
      </c>
      <c r="CO117" s="883">
        <f>(4*CO105/(CM105+CN105+2*CO105)-1)*100</f>
        <v>0.66009605535701787</v>
      </c>
      <c r="CP117" s="883">
        <f>+(4*CP105/CP106-1)*100</f>
        <v>1.9761143970811412</v>
      </c>
      <c r="CQ117" s="1620"/>
      <c r="CR117" s="883">
        <f>(4*CR105/(CQ105+3*CR105)-1)*100</f>
        <v>0.32239316614215419</v>
      </c>
      <c r="CS117" s="883">
        <f>(4*CS105/(CQ105+CR105+2*CS105)-1)*100</f>
        <v>0.44302792335453312</v>
      </c>
      <c r="CT117" s="883">
        <f>+(4*CT105/CT106-1)*100</f>
        <v>2.4027593785957535</v>
      </c>
      <c r="CU117" s="1620"/>
      <c r="CV117" s="883">
        <f>(4*CV105/(CU105+3*CV105)-1)*100</f>
        <v>0.18315170381308921</v>
      </c>
      <c r="CW117" s="883">
        <f>(4*CW105/(CU105+CV105+2*CW105)-1)*100</f>
        <v>0.56992211368553924</v>
      </c>
      <c r="CX117" s="883">
        <f>+(4*CX105/CX106-1)*100</f>
        <v>1.1759838262480393</v>
      </c>
      <c r="CY117" s="1620"/>
      <c r="CZ117" s="883">
        <f>(4*CZ105/(CY105+3*CZ105)-1)*100</f>
        <v>0.19421138615778322</v>
      </c>
      <c r="DA117" s="883">
        <f>(4*DA105/(CY105+CZ105+2*DA105)-1)*100</f>
        <v>0.57986237745673019</v>
      </c>
      <c r="DB117" s="883">
        <f>+(4*DB105/DB106-1)*100</f>
        <v>1.1598814496691201</v>
      </c>
    </row>
    <row r="118" spans="1:119" s="884" customFormat="1" ht="30" customHeight="1">
      <c r="A118" s="664"/>
      <c r="B118" s="664"/>
      <c r="C118" s="666"/>
      <c r="D118" s="1041"/>
      <c r="E118" s="3632"/>
      <c r="F118" s="1041"/>
      <c r="G118" s="1044"/>
      <c r="H118" s="1559"/>
      <c r="I118" s="1559"/>
      <c r="J118" s="1559"/>
      <c r="K118" s="1044"/>
      <c r="L118" s="1559"/>
      <c r="M118" s="1559"/>
      <c r="N118" s="1559"/>
      <c r="O118" s="1044"/>
      <c r="P118" s="1559"/>
      <c r="Q118" s="1559"/>
      <c r="R118" s="1559"/>
      <c r="S118" s="1044"/>
      <c r="T118" s="1559"/>
      <c r="U118" s="1559"/>
      <c r="V118" s="1559"/>
      <c r="W118" s="1044"/>
      <c r="X118" s="1559"/>
      <c r="Y118" s="1559"/>
      <c r="Z118" s="1559"/>
      <c r="AA118" s="1044"/>
      <c r="AB118" s="1559"/>
      <c r="AC118" s="1559"/>
      <c r="AD118" s="1559"/>
      <c r="AE118" s="1044"/>
      <c r="AF118" s="1559"/>
      <c r="AG118" s="1559"/>
      <c r="AH118" s="1559"/>
      <c r="AI118" s="1044"/>
      <c r="AJ118" s="1559"/>
      <c r="AK118" s="1559"/>
      <c r="AL118" s="1559"/>
      <c r="AM118" s="1044"/>
      <c r="AN118" s="1559"/>
      <c r="AO118" s="1559"/>
      <c r="AP118" s="1559"/>
      <c r="AQ118" s="1044"/>
      <c r="AR118" s="1559"/>
      <c r="AS118" s="1559"/>
      <c r="AT118" s="1559"/>
      <c r="AU118" s="1044"/>
      <c r="AV118" s="1559"/>
      <c r="AW118" s="1559"/>
      <c r="AX118" s="1559"/>
      <c r="AY118" s="1560"/>
      <c r="AZ118" s="1559"/>
      <c r="BA118" s="1560"/>
      <c r="BB118" s="1560"/>
      <c r="BC118" s="1560"/>
      <c r="BD118" s="1560"/>
      <c r="BE118" s="1560"/>
      <c r="BF118" s="1560"/>
      <c r="BG118" s="1560"/>
      <c r="BH118" s="1560"/>
      <c r="BI118" s="1560"/>
      <c r="BJ118" s="1560"/>
      <c r="BK118" s="1560"/>
      <c r="BL118" s="1560"/>
      <c r="BM118" s="1560"/>
      <c r="BN118" s="1312"/>
      <c r="BO118" s="1560"/>
      <c r="BP118" s="1560"/>
      <c r="BQ118" s="1560"/>
      <c r="BR118" s="1312"/>
      <c r="BS118" s="1560"/>
      <c r="BT118" s="1560"/>
      <c r="BU118" s="1560"/>
      <c r="BV118" s="1312"/>
      <c r="BW118" s="1560"/>
      <c r="BX118" s="1560"/>
      <c r="BY118" s="1560"/>
      <c r="BZ118" s="1560"/>
      <c r="CA118" s="1560"/>
      <c r="CB118" s="1560"/>
      <c r="CC118" s="1560"/>
      <c r="CD118" s="1560"/>
      <c r="CE118" s="1560"/>
      <c r="CF118" s="1560"/>
      <c r="CG118" s="1560"/>
      <c r="CH118" s="1560"/>
      <c r="CI118" s="1560"/>
      <c r="CJ118" s="1560"/>
      <c r="CK118" s="1560"/>
      <c r="CL118" s="1560"/>
      <c r="CM118" s="1560"/>
      <c r="CN118" s="1560"/>
      <c r="CO118" s="1560"/>
      <c r="CP118" s="1560"/>
      <c r="CQ118" s="3730">
        <f>CQ149</f>
        <v>0.96963227363200399</v>
      </c>
      <c r="CR118" s="3730">
        <f t="shared" ref="CR118:DB118" si="300">CR149</f>
        <v>-0.78411506227766825</v>
      </c>
      <c r="CS118" s="3730">
        <f t="shared" si="300"/>
        <v>2.0301694952880922</v>
      </c>
      <c r="CT118" s="3730">
        <f t="shared" si="300"/>
        <v>0.52436901653614143</v>
      </c>
      <c r="CU118" s="3730">
        <f t="shared" si="300"/>
        <v>0.99892643016384974</v>
      </c>
      <c r="CV118" s="3730">
        <f t="shared" si="300"/>
        <v>0.99737581391350105</v>
      </c>
      <c r="CW118" s="3730">
        <f t="shared" si="300"/>
        <v>0.86426948405353454</v>
      </c>
      <c r="CX118" s="3730">
        <f t="shared" si="300"/>
        <v>0.59457503831887559</v>
      </c>
      <c r="CY118" s="3730">
        <f t="shared" si="300"/>
        <v>0.8079110092352495</v>
      </c>
      <c r="CZ118" s="3730">
        <f t="shared" si="300"/>
        <v>0.93684187936210372</v>
      </c>
      <c r="DA118" s="3730">
        <f t="shared" si="300"/>
        <v>0.94052166190287134</v>
      </c>
      <c r="DB118" s="3730">
        <f t="shared" si="300"/>
        <v>0.92032399104302232</v>
      </c>
      <c r="DC118"/>
      <c r="DD118"/>
      <c r="DE118"/>
      <c r="DF118"/>
      <c r="DG118"/>
      <c r="DH118"/>
      <c r="DI118"/>
      <c r="DJ118"/>
      <c r="DK118"/>
      <c r="DL118"/>
      <c r="DM118"/>
      <c r="DN118"/>
      <c r="DO118"/>
    </row>
    <row r="119" spans="1:119" s="884" customFormat="1" ht="30" customHeight="1">
      <c r="A119" s="664"/>
      <c r="B119" s="664"/>
      <c r="C119" s="666"/>
      <c r="D119" s="1041"/>
      <c r="E119" s="3632"/>
      <c r="F119" s="1041"/>
      <c r="G119" s="1044"/>
      <c r="H119" s="1559"/>
      <c r="I119" s="1559"/>
      <c r="J119" s="1559"/>
      <c r="K119" s="1044"/>
      <c r="L119" s="1559"/>
      <c r="M119" s="1559"/>
      <c r="N119" s="1559"/>
      <c r="O119" s="1044"/>
      <c r="P119" s="1559"/>
      <c r="Q119" s="1559"/>
      <c r="R119" s="1559"/>
      <c r="S119" s="1044"/>
      <c r="T119" s="1559"/>
      <c r="U119" s="1559"/>
      <c r="V119" s="1559"/>
      <c r="W119" s="1044"/>
      <c r="X119" s="1559"/>
      <c r="Y119" s="1559"/>
      <c r="Z119" s="1559"/>
      <c r="AA119" s="1044"/>
      <c r="AB119" s="1559"/>
      <c r="AC119" s="1559"/>
      <c r="AD119" s="1559"/>
      <c r="AE119" s="1044"/>
      <c r="AF119" s="1559"/>
      <c r="AG119" s="1559"/>
      <c r="AH119" s="1559"/>
      <c r="AI119" s="1044"/>
      <c r="AJ119" s="1559"/>
      <c r="AK119" s="1559"/>
      <c r="AL119" s="1559"/>
      <c r="AM119" s="1044"/>
      <c r="AN119" s="1559"/>
      <c r="AO119" s="1559"/>
      <c r="AP119" s="1559"/>
      <c r="AQ119" s="1044"/>
      <c r="AR119" s="1559"/>
      <c r="AS119" s="1559"/>
      <c r="AT119" s="1559"/>
      <c r="AU119" s="1044"/>
      <c r="AV119" s="1559"/>
      <c r="AW119" s="1559"/>
      <c r="AX119" s="1559"/>
      <c r="AY119" s="1560"/>
      <c r="AZ119" s="1559"/>
      <c r="BA119" s="1560"/>
      <c r="BB119" s="1560"/>
      <c r="BC119" s="1560"/>
      <c r="BD119" s="1560"/>
      <c r="BE119" s="1560"/>
      <c r="BF119" s="1560"/>
      <c r="BG119" s="1560"/>
      <c r="BH119" s="1560"/>
      <c r="BI119" s="1560"/>
      <c r="BJ119" s="1560"/>
      <c r="BK119" s="1560"/>
      <c r="BL119" s="1560"/>
      <c r="BM119" s="1560"/>
      <c r="BN119" s="1560"/>
      <c r="BO119" s="1560"/>
      <c r="BP119" s="1560"/>
      <c r="BQ119" s="1560"/>
      <c r="BR119" s="1560"/>
      <c r="BS119" s="1560"/>
      <c r="BT119" s="1560"/>
      <c r="BU119" s="1560"/>
      <c r="BV119" s="1560"/>
      <c r="BW119" s="1560"/>
      <c r="BX119" s="1560"/>
      <c r="BY119" s="1560"/>
      <c r="BZ119" s="1560"/>
      <c r="CA119" s="3392" t="s">
        <v>2429</v>
      </c>
      <c r="CB119" s="3393"/>
      <c r="CC119" s="3393"/>
      <c r="CD119" s="3393"/>
      <c r="CE119" s="3393"/>
      <c r="CF119" s="3393"/>
      <c r="CG119" s="3393"/>
      <c r="CH119" s="3393"/>
      <c r="CI119" s="3393"/>
      <c r="CJ119" s="3393"/>
      <c r="CK119" s="3393"/>
      <c r="CL119" s="3229"/>
      <c r="CM119" s="3229"/>
      <c r="CN119" s="3229"/>
      <c r="CO119" s="3229"/>
      <c r="CP119" s="3229">
        <f>CP206</f>
        <v>1.894176087052557</v>
      </c>
      <c r="CQ119" s="3229">
        <f>CQ206</f>
        <v>2.6623883444627463</v>
      </c>
      <c r="CR119" s="3229">
        <f t="shared" ref="CR119:DB119" si="301">CR206</f>
        <v>1.2840006757898377</v>
      </c>
      <c r="CS119" s="3229">
        <f t="shared" si="301"/>
        <v>2.385321100917432</v>
      </c>
      <c r="CT119" s="3229">
        <f t="shared" si="301"/>
        <v>1.4866405995438448</v>
      </c>
      <c r="CU119" s="3229">
        <f t="shared" si="301"/>
        <v>0.7172934141349282</v>
      </c>
      <c r="CV119" s="3229">
        <f t="shared" si="301"/>
        <v>0.71735688560220434</v>
      </c>
      <c r="CW119" s="3229">
        <f t="shared" si="301"/>
        <v>0.71742036040082702</v>
      </c>
      <c r="CX119" s="3229">
        <f t="shared" si="301"/>
        <v>0.73705413590036328</v>
      </c>
      <c r="CY119" s="3229">
        <f t="shared" si="301"/>
        <v>1.0565291535579697</v>
      </c>
      <c r="CZ119" s="3229">
        <f t="shared" si="301"/>
        <v>1.107003192825434</v>
      </c>
      <c r="DA119" s="3229">
        <f t="shared" si="301"/>
        <v>1.1092802960500661</v>
      </c>
      <c r="DB119" s="3229">
        <f t="shared" si="301"/>
        <v>1.0989007179173624</v>
      </c>
      <c r="DC119"/>
      <c r="DD119"/>
      <c r="DE119"/>
      <c r="DF119"/>
      <c r="DG119"/>
      <c r="DH119"/>
      <c r="DI119"/>
      <c r="DJ119"/>
      <c r="DK119"/>
      <c r="DL119"/>
      <c r="DM119"/>
      <c r="DN119"/>
      <c r="DO119"/>
    </row>
    <row r="120" spans="1:119" ht="30" customHeight="1">
      <c r="C120" s="3767" t="s">
        <v>1550</v>
      </c>
      <c r="D120" s="3767"/>
      <c r="E120" s="3767"/>
      <c r="F120" s="3767"/>
      <c r="BN120" s="1693">
        <f>BN264</f>
        <v>-14.933594183936719</v>
      </c>
      <c r="BR120" s="1693">
        <f>BR264</f>
        <v>1.6835163400115363</v>
      </c>
      <c r="BV120" s="1693">
        <f>BV264</f>
        <v>6.026099302924564</v>
      </c>
      <c r="BZ120" s="1693">
        <f>BZ264</f>
        <v>3.8202458900560572</v>
      </c>
      <c r="CA120" s="1287"/>
      <c r="CD120" s="1693">
        <f>CD264</f>
        <v>3.5066113559761476</v>
      </c>
      <c r="CH120" s="3056">
        <f>CH264</f>
        <v>3.5456196380487199</v>
      </c>
      <c r="CL120" s="1693">
        <f ca="1">CL264-CL265</f>
        <v>-7.1747787159779364E-3</v>
      </c>
      <c r="CM120" s="557"/>
      <c r="CN120" s="557"/>
      <c r="CO120" s="557"/>
      <c r="CP120" s="1693">
        <f ca="1">CP264-CP265</f>
        <v>-7.9565357451514274E-3</v>
      </c>
      <c r="CQ120" s="557">
        <v>0</v>
      </c>
      <c r="CR120" s="557">
        <v>-0.14729999999999932</v>
      </c>
      <c r="CS120" s="557">
        <v>0.24</v>
      </c>
      <c r="CT120" s="1693">
        <v>-0.33385810559559315</v>
      </c>
      <c r="CU120" s="557"/>
      <c r="CV120" s="557"/>
      <c r="CW120" s="557"/>
      <c r="CX120" s="1693"/>
      <c r="CY120" s="557"/>
      <c r="CZ120" s="557"/>
      <c r="DA120" s="557"/>
      <c r="DB120" s="1693">
        <f ca="1">DB264-DB265</f>
        <v>2.9574596246106921E-4</v>
      </c>
    </row>
    <row r="121" spans="1:119" s="884" customFormat="1" ht="12.75" customHeight="1">
      <c r="A121" s="664"/>
      <c r="B121" s="664"/>
      <c r="C121" s="666"/>
      <c r="D121" s="1041"/>
      <c r="E121" s="3632"/>
      <c r="F121" s="1041"/>
      <c r="G121" s="1044"/>
      <c r="H121" s="1559"/>
      <c r="I121" s="1559"/>
      <c r="J121" s="1559"/>
      <c r="K121" s="1044"/>
      <c r="L121" s="1559"/>
      <c r="M121" s="1559"/>
      <c r="N121" s="1559"/>
      <c r="O121" s="1044"/>
      <c r="P121" s="1559"/>
      <c r="Q121" s="1559"/>
      <c r="R121" s="1559"/>
      <c r="S121" s="1044"/>
      <c r="T121" s="1559"/>
      <c r="U121" s="1559"/>
      <c r="V121" s="1559"/>
      <c r="W121" s="1044"/>
      <c r="X121" s="1559"/>
      <c r="Y121" s="1559"/>
      <c r="Z121" s="1559"/>
      <c r="AA121" s="1044"/>
      <c r="AB121" s="1559"/>
      <c r="AC121" s="1559"/>
      <c r="AD121" s="1559"/>
      <c r="AE121" s="1044"/>
      <c r="AF121" s="1559"/>
      <c r="AG121" s="1559"/>
      <c r="AH121" s="1559"/>
      <c r="AI121" s="1044"/>
      <c r="AJ121" s="1559"/>
      <c r="AK121" s="1559"/>
      <c r="AL121" s="1559"/>
      <c r="AM121" s="1044"/>
      <c r="AN121" s="1559"/>
      <c r="AO121" s="1559"/>
      <c r="AP121" s="1559"/>
      <c r="AQ121" s="1044"/>
      <c r="AR121" s="1559"/>
      <c r="AS121" s="1559"/>
      <c r="AT121" s="1559"/>
      <c r="AU121" s="1044"/>
      <c r="AV121" s="1559"/>
      <c r="AW121" s="1559"/>
      <c r="AX121" s="1559"/>
      <c r="AY121" s="1560"/>
      <c r="AZ121" s="1559"/>
      <c r="BA121" s="1560"/>
      <c r="BB121" s="1560"/>
      <c r="BC121" s="1560"/>
      <c r="BD121" s="1560"/>
      <c r="BE121" s="1560"/>
      <c r="BF121" s="1560"/>
      <c r="BG121" s="1560"/>
      <c r="BH121" s="1560"/>
      <c r="BI121" s="1560"/>
      <c r="BJ121" s="1560"/>
      <c r="BK121" s="1044">
        <f t="shared" ref="BK121:CA121" si="302">BK15</f>
        <v>-13.108403623867538</v>
      </c>
      <c r="BL121" s="1044">
        <f t="shared" si="302"/>
        <v>-1.058459768461939</v>
      </c>
      <c r="BM121" s="1044">
        <f t="shared" si="302"/>
        <v>0.5886713469672511</v>
      </c>
      <c r="BN121" s="1044">
        <f t="shared" si="302"/>
        <v>-1.5447083983584742</v>
      </c>
      <c r="BO121" s="1044">
        <f t="shared" si="302"/>
        <v>0.98334189476771972</v>
      </c>
      <c r="BP121" s="1044">
        <f t="shared" si="302"/>
        <v>1.6728435433471578</v>
      </c>
      <c r="BQ121" s="1044">
        <f t="shared" si="302"/>
        <v>-6.861455772200209E-2</v>
      </c>
      <c r="BR121" s="1044">
        <f t="shared" si="302"/>
        <v>2.4846941694798952</v>
      </c>
      <c r="BS121" s="3206">
        <f t="shared" si="302"/>
        <v>1.903831390885613</v>
      </c>
      <c r="BT121" s="3206">
        <f t="shared" si="302"/>
        <v>1.5915845991590238</v>
      </c>
      <c r="BU121" s="3206">
        <f t="shared" si="302"/>
        <v>0.51637432419677776</v>
      </c>
      <c r="BV121" s="3206">
        <f t="shared" si="302"/>
        <v>1.2313222630576437</v>
      </c>
      <c r="BW121" s="3206">
        <f t="shared" si="302"/>
        <v>0.70224719101124045</v>
      </c>
      <c r="BX121" s="3206">
        <f t="shared" si="302"/>
        <v>0.1434172784926746</v>
      </c>
      <c r="BY121" s="1044">
        <f t="shared" si="302"/>
        <v>2.5055511029943078</v>
      </c>
      <c r="BZ121" s="1044">
        <f t="shared" si="302"/>
        <v>0.5268015073444543</v>
      </c>
      <c r="CA121" s="1044">
        <f t="shared" si="302"/>
        <v>0.21038136403626062</v>
      </c>
      <c r="CB121" s="1044">
        <f t="shared" ref="CB121:CH121" si="303">CB15</f>
        <v>0.90973865689492062</v>
      </c>
      <c r="CC121" s="1044">
        <f t="shared" si="303"/>
        <v>1.3504142026756316</v>
      </c>
      <c r="CD121" s="1044">
        <f t="shared" si="303"/>
        <v>0.89201293854193064</v>
      </c>
      <c r="CE121" s="1044">
        <f>CE15</f>
        <v>1.2330912364205915</v>
      </c>
      <c r="CF121" s="1044">
        <f t="shared" si="303"/>
        <v>0.66628500432412974</v>
      </c>
      <c r="CG121" s="1044">
        <f t="shared" si="303"/>
        <v>0.29040220705676134</v>
      </c>
      <c r="CH121" s="1044">
        <f t="shared" si="303"/>
        <v>0.23526856811930674</v>
      </c>
      <c r="CI121" s="1044">
        <f t="shared" ref="CI121:CO121" si="304">CI15</f>
        <v>0.47424740307415725</v>
      </c>
      <c r="CJ121" s="1044">
        <f>CJ15</f>
        <v>0.85776239023396261</v>
      </c>
      <c r="CK121" s="1044">
        <f t="shared" si="304"/>
        <v>0.74237727018968691</v>
      </c>
      <c r="CL121" s="1044">
        <f t="shared" si="304"/>
        <v>0.14030702478364798</v>
      </c>
      <c r="CM121" s="1044">
        <f t="shared" si="304"/>
        <v>0.33909081275829145</v>
      </c>
      <c r="CN121" s="1044">
        <f t="shared" si="304"/>
        <v>0.63482005608945791</v>
      </c>
      <c r="CO121" s="1044">
        <f t="shared" si="304"/>
        <v>1.033091579021006</v>
      </c>
      <c r="CP121" s="1044">
        <f>CP15</f>
        <v>1.1714061490167182</v>
      </c>
      <c r="CQ121" s="3229">
        <f t="shared" ref="CQ121:CX121" si="305">CQ15</f>
        <v>1.0859769800257935</v>
      </c>
      <c r="CR121" s="1044">
        <f t="shared" si="305"/>
        <v>0.71771144840040435</v>
      </c>
      <c r="CS121" s="1044">
        <f t="shared" si="305"/>
        <v>0.54789302080648916</v>
      </c>
      <c r="CT121" s="1044">
        <f t="shared" si="305"/>
        <v>1.3505683084466202</v>
      </c>
      <c r="CU121" s="1044">
        <f t="shared" si="305"/>
        <v>0.64000000000000046</v>
      </c>
      <c r="CV121" s="1044">
        <f t="shared" si="305"/>
        <v>0.64000000000000268</v>
      </c>
      <c r="CW121" s="1044">
        <f t="shared" si="305"/>
        <v>0.63999999999999979</v>
      </c>
      <c r="CX121" s="1044">
        <f t="shared" si="305"/>
        <v>0.72489778708730856</v>
      </c>
      <c r="CY121" s="1044">
        <f t="shared" ref="CY121:DB121" si="306">CY15</f>
        <v>0.64000000000000046</v>
      </c>
      <c r="CZ121" s="1044">
        <f t="shared" si="306"/>
        <v>0.64000000000000123</v>
      </c>
      <c r="DA121" s="1044">
        <f t="shared" si="306"/>
        <v>0.64000000000000123</v>
      </c>
      <c r="DB121" s="1044">
        <f t="shared" si="306"/>
        <v>0.61512319845919095</v>
      </c>
      <c r="DC121"/>
      <c r="DD121"/>
      <c r="DE121"/>
      <c r="DF121"/>
      <c r="DG121"/>
      <c r="DH121"/>
      <c r="DI121"/>
      <c r="DJ121"/>
      <c r="DK121"/>
      <c r="DL121"/>
      <c r="DM121"/>
      <c r="DN121"/>
      <c r="DO121"/>
    </row>
    <row r="122" spans="1:119">
      <c r="E122" s="599"/>
      <c r="F122" s="3617"/>
      <c r="G122" s="3764">
        <f ca="1">OFFSET(InputY!$G$3,0,(COLUMN()-7)/4)</f>
        <v>1995</v>
      </c>
      <c r="H122" s="3765"/>
      <c r="I122" s="3765"/>
      <c r="J122" s="3766"/>
      <c r="K122" s="3764">
        <f ca="1">OFFSET(InputY!$G$3,0,(COLUMN()-7)/4)</f>
        <v>1996</v>
      </c>
      <c r="L122" s="3765"/>
      <c r="M122" s="3765"/>
      <c r="N122" s="3766"/>
      <c r="O122" s="3764">
        <f ca="1">OFFSET(InputY!$G$3,0,(COLUMN()-7)/4)</f>
        <v>1997</v>
      </c>
      <c r="P122" s="3765"/>
      <c r="Q122" s="3765"/>
      <c r="R122" s="3766"/>
      <c r="S122" s="3764">
        <f ca="1">OFFSET(InputY!$G$3,0,(COLUMN()-7)/4)</f>
        <v>1998</v>
      </c>
      <c r="T122" s="3765"/>
      <c r="U122" s="3765"/>
      <c r="V122" s="3766"/>
      <c r="W122" s="3764">
        <f ca="1">OFFSET(InputY!$G$3,0,(COLUMN()-7)/4)</f>
        <v>1999</v>
      </c>
      <c r="X122" s="3765"/>
      <c r="Y122" s="3765"/>
      <c r="Z122" s="3766"/>
      <c r="AA122" s="3764">
        <f ca="1">OFFSET(InputY!$G$3,0,(COLUMN()-7)/4)</f>
        <v>2000</v>
      </c>
      <c r="AB122" s="3765"/>
      <c r="AC122" s="3765"/>
      <c r="AD122" s="3766"/>
      <c r="AE122" s="3764">
        <f ca="1">OFFSET(InputY!$G$3,0,(COLUMN()-7)/4)</f>
        <v>2001</v>
      </c>
      <c r="AF122" s="3765"/>
      <c r="AG122" s="3765"/>
      <c r="AH122" s="3766"/>
      <c r="AI122" s="3764">
        <f ca="1">OFFSET(InputY!$G$3,0,(COLUMN()-7)/4)</f>
        <v>2002</v>
      </c>
      <c r="AJ122" s="3765"/>
      <c r="AK122" s="3765"/>
      <c r="AL122" s="3766"/>
      <c r="AM122" s="3764">
        <f ca="1">OFFSET(InputY!$G$3,0,(COLUMN()-7)/4)</f>
        <v>2003</v>
      </c>
      <c r="AN122" s="3765"/>
      <c r="AO122" s="3765"/>
      <c r="AP122" s="3766"/>
      <c r="AQ122" s="3764">
        <f ca="1">OFFSET(InputY!$G$3,0,(COLUMN()-7)/4)</f>
        <v>2004</v>
      </c>
      <c r="AR122" s="3765"/>
      <c r="AS122" s="3765"/>
      <c r="AT122" s="3766"/>
      <c r="AU122" s="3764">
        <f ca="1">OFFSET(InputY!$G$3,0,(COLUMN()-7)/4)</f>
        <v>2005</v>
      </c>
      <c r="AV122" s="3765"/>
      <c r="AW122" s="3765"/>
      <c r="AX122" s="3766"/>
      <c r="AY122" s="3764">
        <f ca="1">OFFSET(InputY!$G$3,0,(COLUMN()-7)/4)</f>
        <v>2006</v>
      </c>
      <c r="AZ122" s="3765"/>
      <c r="BA122" s="3765"/>
      <c r="BB122" s="3766"/>
      <c r="BC122" s="3764">
        <f ca="1">OFFSET(InputY!$G$3,0,(COLUMN()-7)/4)</f>
        <v>2007</v>
      </c>
      <c r="BD122" s="3765"/>
      <c r="BE122" s="3765"/>
      <c r="BF122" s="3766"/>
      <c r="BG122" s="3764">
        <f ca="1">OFFSET(InputY!$G$3,0,(COLUMN()-7)/4)</f>
        <v>2008</v>
      </c>
      <c r="BH122" s="3765"/>
      <c r="BI122" s="3765"/>
      <c r="BJ122" s="3766"/>
      <c r="BK122" s="3764">
        <f ca="1">OFFSET(InputY!$G$3,0,(COLUMN()-7)/4)</f>
        <v>2009</v>
      </c>
      <c r="BL122" s="3765"/>
      <c r="BM122" s="3765"/>
      <c r="BN122" s="3766"/>
      <c r="BO122" s="3764">
        <f ca="1">OFFSET(InputY!$G$3,0,(COLUMN()-7)/4)</f>
        <v>2010</v>
      </c>
      <c r="BP122" s="3765"/>
      <c r="BQ122" s="3765"/>
      <c r="BR122" s="3766"/>
      <c r="BS122" s="3764">
        <f ca="1">OFFSET(InputY!$G$3,0,(COLUMN()-7)/4)</f>
        <v>2011</v>
      </c>
      <c r="BT122" s="3765"/>
      <c r="BU122" s="3765"/>
      <c r="BV122" s="3766"/>
      <c r="BW122" s="3764">
        <f ca="1">OFFSET(InputY!$G$3,0,(COLUMN()-7)/4)</f>
        <v>2012</v>
      </c>
      <c r="BX122" s="3765"/>
      <c r="BY122" s="3765"/>
      <c r="BZ122" s="3766"/>
      <c r="CA122" s="3764">
        <f ca="1">OFFSET(InputY!$G$3,0,(COLUMN()-7)/4)</f>
        <v>2013</v>
      </c>
      <c r="CB122" s="3765"/>
      <c r="CC122" s="3765"/>
      <c r="CD122" s="3766"/>
      <c r="CE122" s="3764">
        <f ca="1">OFFSET(InputY!$G$3,0,(COLUMN()-7)/4)</f>
        <v>2014</v>
      </c>
      <c r="CF122" s="3765"/>
      <c r="CG122" s="3765"/>
      <c r="CH122" s="3766"/>
      <c r="CI122" s="3764">
        <f ca="1">OFFSET(InputY!$G$3,0,(COLUMN()-7)/4)</f>
        <v>2015</v>
      </c>
      <c r="CJ122" s="3765"/>
      <c r="CK122" s="3765"/>
      <c r="CL122" s="3766"/>
      <c r="CM122" s="3764">
        <f ca="1">OFFSET(InputY!$G$3,0,(COLUMN()-7)/4)</f>
        <v>2016</v>
      </c>
      <c r="CN122" s="3765"/>
      <c r="CO122" s="3765"/>
      <c r="CP122" s="3766"/>
      <c r="CQ122" s="3764">
        <f ca="1">OFFSET(InputY!$G$3,0,(COLUMN()-7)/4)</f>
        <v>2017</v>
      </c>
      <c r="CR122" s="3765"/>
      <c r="CS122" s="3765"/>
      <c r="CT122" s="3766"/>
      <c r="CU122" s="3764">
        <f ca="1">OFFSET(InputY!$G$3,0,(COLUMN()-7)/4)</f>
        <v>2018</v>
      </c>
      <c r="CV122" s="3765"/>
      <c r="CW122" s="3765"/>
      <c r="CX122" s="3766"/>
      <c r="CY122" s="3764">
        <f ca="1">OFFSET(InputY!$G$3,0,(COLUMN()-7)/4)</f>
        <v>2019</v>
      </c>
      <c r="CZ122" s="3765"/>
      <c r="DA122" s="3765"/>
      <c r="DB122" s="3766"/>
    </row>
    <row r="123" spans="1:119" s="699" customFormat="1" ht="12.75" customHeight="1">
      <c r="A123" s="664"/>
      <c r="B123" s="664"/>
      <c r="C123" s="666"/>
      <c r="D123" s="695"/>
      <c r="E123" s="3618" t="s">
        <v>1892</v>
      </c>
      <c r="F123" s="3619"/>
      <c r="G123" s="1566" t="s">
        <v>1842</v>
      </c>
      <c r="H123" s="1567" t="s">
        <v>1843</v>
      </c>
      <c r="I123" s="1567" t="s">
        <v>1844</v>
      </c>
      <c r="J123" s="1568" t="s">
        <v>1845</v>
      </c>
      <c r="K123" s="1566" t="s">
        <v>1842</v>
      </c>
      <c r="L123" s="1567" t="s">
        <v>1843</v>
      </c>
      <c r="M123" s="1567" t="s">
        <v>1844</v>
      </c>
      <c r="N123" s="1568" t="s">
        <v>1845</v>
      </c>
      <c r="O123" s="1566" t="s">
        <v>1842</v>
      </c>
      <c r="P123" s="1567" t="s">
        <v>1843</v>
      </c>
      <c r="Q123" s="1567" t="s">
        <v>1844</v>
      </c>
      <c r="R123" s="1568" t="s">
        <v>1845</v>
      </c>
      <c r="S123" s="1566" t="s">
        <v>1842</v>
      </c>
      <c r="T123" s="1567" t="s">
        <v>1843</v>
      </c>
      <c r="U123" s="1567" t="s">
        <v>1844</v>
      </c>
      <c r="V123" s="1568" t="s">
        <v>1845</v>
      </c>
      <c r="W123" s="1566" t="s">
        <v>1842</v>
      </c>
      <c r="X123" s="1567" t="s">
        <v>1843</v>
      </c>
      <c r="Y123" s="1567" t="s">
        <v>1844</v>
      </c>
      <c r="Z123" s="1568" t="s">
        <v>1845</v>
      </c>
      <c r="AA123" s="1566" t="s">
        <v>1842</v>
      </c>
      <c r="AB123" s="1567" t="s">
        <v>1843</v>
      </c>
      <c r="AC123" s="1567" t="s">
        <v>1844</v>
      </c>
      <c r="AD123" s="1568" t="s">
        <v>1845</v>
      </c>
      <c r="AE123" s="1566" t="s">
        <v>1842</v>
      </c>
      <c r="AF123" s="1567" t="s">
        <v>1843</v>
      </c>
      <c r="AG123" s="1567" t="s">
        <v>1844</v>
      </c>
      <c r="AH123" s="1568" t="s">
        <v>1845</v>
      </c>
      <c r="AI123" s="1566" t="s">
        <v>1842</v>
      </c>
      <c r="AJ123" s="1567" t="s">
        <v>1843</v>
      </c>
      <c r="AK123" s="1567" t="s">
        <v>1844</v>
      </c>
      <c r="AL123" s="1568" t="s">
        <v>1845</v>
      </c>
      <c r="AM123" s="1566" t="s">
        <v>1842</v>
      </c>
      <c r="AN123" s="1567" t="s">
        <v>1843</v>
      </c>
      <c r="AO123" s="1567" t="s">
        <v>1844</v>
      </c>
      <c r="AP123" s="1568" t="s">
        <v>1845</v>
      </c>
      <c r="AQ123" s="1566" t="s">
        <v>1842</v>
      </c>
      <c r="AR123" s="1567" t="s">
        <v>1843</v>
      </c>
      <c r="AS123" s="1567" t="s">
        <v>1844</v>
      </c>
      <c r="AT123" s="1568" t="s">
        <v>1845</v>
      </c>
      <c r="AU123" s="1566" t="s">
        <v>1842</v>
      </c>
      <c r="AV123" s="1567" t="s">
        <v>1843</v>
      </c>
      <c r="AW123" s="1567" t="s">
        <v>1844</v>
      </c>
      <c r="AX123" s="1568" t="s">
        <v>1845</v>
      </c>
      <c r="AY123" s="1566" t="s">
        <v>1842</v>
      </c>
      <c r="AZ123" s="1567" t="s">
        <v>1843</v>
      </c>
      <c r="BA123" s="1567" t="s">
        <v>1844</v>
      </c>
      <c r="BB123" s="1568" t="s">
        <v>1845</v>
      </c>
      <c r="BC123" s="1566" t="s">
        <v>1842</v>
      </c>
      <c r="BD123" s="1567" t="s">
        <v>1843</v>
      </c>
      <c r="BE123" s="1567" t="s">
        <v>1844</v>
      </c>
      <c r="BF123" s="1568" t="s">
        <v>1845</v>
      </c>
      <c r="BG123" s="1566" t="s">
        <v>1842</v>
      </c>
      <c r="BH123" s="1567" t="s">
        <v>1843</v>
      </c>
      <c r="BI123" s="1567" t="s">
        <v>1844</v>
      </c>
      <c r="BJ123" s="1568" t="s">
        <v>1845</v>
      </c>
      <c r="BK123" s="1566" t="s">
        <v>1842</v>
      </c>
      <c r="BL123" s="1567" t="s">
        <v>1843</v>
      </c>
      <c r="BM123" s="1567" t="s">
        <v>1844</v>
      </c>
      <c r="BN123" s="1568" t="s">
        <v>1845</v>
      </c>
      <c r="BO123" s="1566" t="s">
        <v>1842</v>
      </c>
      <c r="BP123" s="1567" t="s">
        <v>1843</v>
      </c>
      <c r="BQ123" s="1567" t="s">
        <v>1844</v>
      </c>
      <c r="BR123" s="1568" t="s">
        <v>1845</v>
      </c>
      <c r="BS123" s="1566" t="s">
        <v>1842</v>
      </c>
      <c r="BT123" s="1567" t="s">
        <v>1843</v>
      </c>
      <c r="BU123" s="1567" t="s">
        <v>1844</v>
      </c>
      <c r="BV123" s="1568" t="s">
        <v>1845</v>
      </c>
      <c r="BW123" s="1566" t="s">
        <v>1842</v>
      </c>
      <c r="BX123" s="1567" t="s">
        <v>1843</v>
      </c>
      <c r="BY123" s="1567" t="s">
        <v>1844</v>
      </c>
      <c r="BZ123" s="1568" t="s">
        <v>1845</v>
      </c>
      <c r="CA123" s="1566" t="s">
        <v>1842</v>
      </c>
      <c r="CB123" s="1567" t="s">
        <v>1843</v>
      </c>
      <c r="CC123" s="1567" t="s">
        <v>1844</v>
      </c>
      <c r="CD123" s="1568" t="s">
        <v>1845</v>
      </c>
      <c r="CE123" s="1566" t="s">
        <v>1842</v>
      </c>
      <c r="CF123" s="1567" t="s">
        <v>1843</v>
      </c>
      <c r="CG123" s="1567" t="s">
        <v>1844</v>
      </c>
      <c r="CH123" s="1568" t="s">
        <v>1845</v>
      </c>
      <c r="CI123" s="1566" t="s">
        <v>1842</v>
      </c>
      <c r="CJ123" s="1567" t="s">
        <v>1843</v>
      </c>
      <c r="CK123" s="1567" t="s">
        <v>1844</v>
      </c>
      <c r="CL123" s="1568" t="s">
        <v>1845</v>
      </c>
      <c r="CM123" s="1566" t="s">
        <v>1842</v>
      </c>
      <c r="CN123" s="1567" t="s">
        <v>1843</v>
      </c>
      <c r="CO123" s="1567" t="s">
        <v>1844</v>
      </c>
      <c r="CP123" s="1568" t="s">
        <v>1845</v>
      </c>
      <c r="CQ123" s="1566" t="s">
        <v>1842</v>
      </c>
      <c r="CR123" s="1567" t="s">
        <v>1843</v>
      </c>
      <c r="CS123" s="1567" t="s">
        <v>1844</v>
      </c>
      <c r="CT123" s="1568" t="s">
        <v>1845</v>
      </c>
      <c r="CU123" s="1566" t="s">
        <v>1842</v>
      </c>
      <c r="CV123" s="1567" t="s">
        <v>1843</v>
      </c>
      <c r="CW123" s="1567" t="s">
        <v>1844</v>
      </c>
      <c r="CX123" s="1568" t="s">
        <v>1845</v>
      </c>
      <c r="CY123" s="1566" t="s">
        <v>1842</v>
      </c>
      <c r="CZ123" s="1567" t="s">
        <v>1843</v>
      </c>
      <c r="DA123" s="1567" t="s">
        <v>1844</v>
      </c>
      <c r="DB123" s="1568" t="s">
        <v>1845</v>
      </c>
      <c r="DC123"/>
      <c r="DD123"/>
      <c r="DE123"/>
      <c r="DF123"/>
      <c r="DG123"/>
      <c r="DH123"/>
      <c r="DI123"/>
      <c r="DJ123"/>
      <c r="DK123"/>
      <c r="DL123"/>
      <c r="DM123"/>
      <c r="DN123"/>
      <c r="DO123"/>
    </row>
    <row r="124" spans="1:119" s="699" customFormat="1" ht="12.75" customHeight="1">
      <c r="A124" s="664" t="str">
        <f>"Q" &amp; ROW(InputQ!A8)</f>
        <v>Q8</v>
      </c>
      <c r="C124" s="667"/>
      <c r="D124" s="668"/>
      <c r="E124" s="3620" t="s">
        <v>1567</v>
      </c>
      <c r="F124" s="3621"/>
      <c r="G124" s="780">
        <f>InputQ!G8/1000</f>
        <v>-2.1055375347544043E-2</v>
      </c>
      <c r="H124" s="780">
        <f>InputQ!H8/1000</f>
        <v>-8.4511121408711795E-2</v>
      </c>
      <c r="I124" s="780">
        <f>InputQ!I8/1000</f>
        <v>-6.9335032437442073E-2</v>
      </c>
      <c r="J124" s="780">
        <f>InputQ!J8/1000</f>
        <v>-0.11040315106580163</v>
      </c>
      <c r="K124" s="780">
        <f>InputQ!K8/1000</f>
        <v>-0.11173540315106584</v>
      </c>
      <c r="L124" s="780">
        <f>InputQ!L8/1000</f>
        <v>-9.1143419833178876E-2</v>
      </c>
      <c r="M124" s="780">
        <f>InputQ!M8/1000</f>
        <v>-3.8635310472659799E-2</v>
      </c>
      <c r="N124" s="780">
        <f>InputQ!N8/1000</f>
        <v>-5.1610287303058444E-2</v>
      </c>
      <c r="O124" s="780">
        <f>InputQ!O8/1000</f>
        <v>-1.1324142724745115E-2</v>
      </c>
      <c r="P124" s="780">
        <f>InputQ!P8/1000</f>
        <v>-3.4754402224291425E-4</v>
      </c>
      <c r="Q124" s="780">
        <f>InputQ!Q8/1000</f>
        <v>-6.4382530120481993E-2</v>
      </c>
      <c r="R124" s="780">
        <f>InputQ!R8/1000</f>
        <v>3.5565338276181593E-2</v>
      </c>
      <c r="S124" s="780">
        <f>InputQ!S8/1000</f>
        <v>-2.7166357738646865E-2</v>
      </c>
      <c r="T124" s="780">
        <f>InputQ!T8/1000</f>
        <v>-2.2879981464318461E-3</v>
      </c>
      <c r="U124" s="780">
        <f>InputQ!U8/1000</f>
        <v>1.734823911028718E-2</v>
      </c>
      <c r="V124" s="780">
        <f>InputQ!V8/1000</f>
        <v>-7.2549814643188146E-2</v>
      </c>
      <c r="W124" s="780">
        <f>InputQ!W8/1000</f>
        <v>-5.7518535681186221E-2</v>
      </c>
      <c r="X124" s="780">
        <f>InputQ!X8/1000</f>
        <v>-6.0414735866543084E-2</v>
      </c>
      <c r="Y124" s="780">
        <f>InputQ!Y8/1000</f>
        <v>-5.9893419833178765E-2</v>
      </c>
      <c r="Z124" s="780">
        <f>InputQ!Z8/1000</f>
        <v>-2.8382761816496783E-2</v>
      </c>
      <c r="AA124" s="780">
        <f>InputQ!AA8/1000</f>
        <v>-4.266102873030593E-2</v>
      </c>
      <c r="AB124" s="780">
        <f>InputQ!AB8/1000</f>
        <v>-4.7352873030583852E-2</v>
      </c>
      <c r="AC124" s="780">
        <f>InputQ!AC8/1000</f>
        <v>-7.4837812789620109E-2</v>
      </c>
      <c r="AD124" s="780">
        <f>InputQ!AD8/1000</f>
        <v>-8.7639017608897127E-2</v>
      </c>
      <c r="AE124" s="780">
        <f>InputQ!AE8/1000</f>
        <v>-7.5677710843373353E-2</v>
      </c>
      <c r="AF124" s="780">
        <f>InputQ!AF8/1000</f>
        <v>-4.8627201112140708E-2</v>
      </c>
      <c r="AG124" s="780">
        <f>InputQ!AG8/1000</f>
        <v>-3.4725440222428232E-2</v>
      </c>
      <c r="AH124" s="780">
        <f>InputQ!AH8/1000</f>
        <v>-2.5631371640407793E-2</v>
      </c>
      <c r="AI124" s="780">
        <f>InputQ!AI8/1000</f>
        <v>-2.930954587581084E-2</v>
      </c>
      <c r="AJ124" s="780">
        <f>InputQ!AJ8/1000</f>
        <v>3.2784986098239072E-2</v>
      </c>
      <c r="AK124" s="780">
        <f>InputQ!AK8/1000</f>
        <v>2.1084337349397627E-2</v>
      </c>
      <c r="AL124" s="780">
        <f>InputQ!AL8/1000</f>
        <v>-4.5962696941612764E-2</v>
      </c>
      <c r="AM124" s="780">
        <f>InputQ!AM8/1000</f>
        <v>-4.5615152919369732E-2</v>
      </c>
      <c r="AN124" s="780">
        <f>InputQ!AN8/1000</f>
        <v>-1.8130213160333596E-2</v>
      </c>
      <c r="AO124" s="780">
        <f>InputQ!AO8/1000</f>
        <v>4.7584569045412424E-2</v>
      </c>
      <c r="AP124" s="780">
        <f>InputQ!AP8/1000</f>
        <v>5.9053521779425293E-2</v>
      </c>
      <c r="AQ124" s="780">
        <f>InputQ!AQ8/1000</f>
        <v>0.13997335495829452</v>
      </c>
      <c r="AR124" s="780">
        <f>InputQ!AR8/1000</f>
        <v>9.5198100092678262E-2</v>
      </c>
      <c r="AS124" s="780">
        <f>InputQ!AS8/1000</f>
        <v>5.8561167747914852E-2</v>
      </c>
      <c r="AT124" s="780">
        <f>InputQ!AT8/1000</f>
        <v>0.10805722891566279</v>
      </c>
      <c r="AU124" s="780">
        <f>InputQ!AU8/1000</f>
        <v>-8.0400000000000096E-2</v>
      </c>
      <c r="AV124" s="780">
        <f>InputQ!AV8/1000</f>
        <v>4.5099999999999911E-2</v>
      </c>
      <c r="AW124" s="780">
        <f>InputQ!AW8/1000</f>
        <v>-0.12470000000000005</v>
      </c>
      <c r="AX124" s="780">
        <f>InputQ!AX8/1000</f>
        <v>1.4299999999999955E-2</v>
      </c>
      <c r="AY124" s="780">
        <f>InputQ!AY8/1000</f>
        <v>-5.3999999999998632E-3</v>
      </c>
      <c r="AZ124" s="780">
        <f>InputQ!AZ8/1000</f>
        <v>-0.26190000000000008</v>
      </c>
      <c r="BA124" s="780">
        <f>InputQ!BA8/1000</f>
        <v>-0.19</v>
      </c>
      <c r="BB124" s="780">
        <f>InputQ!BB8/1000</f>
        <v>-8.5100000000000134E-2</v>
      </c>
      <c r="BC124" s="780">
        <f>InputQ!BC8/1000</f>
        <v>-0.14980000000000018</v>
      </c>
      <c r="BD124" s="780">
        <f>InputQ!BD8/1000</f>
        <v>-2.0699999999999819E-2</v>
      </c>
      <c r="BE124" s="780">
        <f>InputQ!BE8/1000</f>
        <v>-3.3099999999999907E-2</v>
      </c>
      <c r="BF124" s="780">
        <f>InputQ!BF8/1000</f>
        <v>1.3499999999999773E-2</v>
      </c>
      <c r="BG124" s="780">
        <f>InputQ!BG8/1000</f>
        <v>7.8899999999999859E-2</v>
      </c>
      <c r="BH124" s="780">
        <f>InputQ!BH8/1000</f>
        <v>5.9300000000000179E-2</v>
      </c>
      <c r="BI124" s="780">
        <f>InputQ!BI8/1000</f>
        <v>0.16730000000000017</v>
      </c>
      <c r="BJ124" s="780">
        <f>InputQ!BJ8/1000</f>
        <v>6.6299999999999956E-2</v>
      </c>
      <c r="BK124" s="780">
        <f>InputQ!BK8/1000</f>
        <v>-0.52949999999999997</v>
      </c>
      <c r="BL124" s="780">
        <f>InputQ!BL8/1000</f>
        <v>-0.25370000000000004</v>
      </c>
      <c r="BM124" s="780">
        <f>InputQ!BM8/1000</f>
        <v>-5.400000000000011E-2</v>
      </c>
      <c r="BN124" s="780">
        <f>InputQ!BN8/1000</f>
        <v>-0.17160000000000003</v>
      </c>
      <c r="BO124" s="780">
        <f>InputQ!BO8/1000</f>
        <v>5.2100000000000139E-2</v>
      </c>
      <c r="BP124" s="780">
        <f>InputQ!BP8/1000</f>
        <v>0.16360000000000013</v>
      </c>
      <c r="BQ124" s="780">
        <f>InputQ!BQ8/1000</f>
        <v>-3.730000000000018E-2</v>
      </c>
      <c r="BR124" s="780">
        <f>InputQ!BR8/1000</f>
        <v>0.16770000000000004</v>
      </c>
      <c r="BS124" s="780">
        <f>InputQ!BS8/1000</f>
        <v>0.20920000000000005</v>
      </c>
      <c r="BT124" s="780">
        <f>InputQ!BT8/1000</f>
        <v>8.2000000000000003E-2</v>
      </c>
      <c r="BU124" s="780">
        <f>InputQ!BU8/1000</f>
        <v>-2.75E-2</v>
      </c>
      <c r="BV124" s="780">
        <f>InputQ!BV8/1000</f>
        <v>2.8999999999998636E-3</v>
      </c>
      <c r="BW124" s="780">
        <f>InputQ!BW8/1000</f>
        <v>-3.4900000000000091E-2</v>
      </c>
      <c r="BX124" s="780">
        <f>InputQ!BX8/1000</f>
        <v>-0.22880000000000017</v>
      </c>
      <c r="BY124" s="780">
        <f>InputQ!BY8/1000</f>
        <v>8.3700000000000052E-2</v>
      </c>
      <c r="BZ124" s="780">
        <f>InputQ!BZ8/1000</f>
        <v>-0.14619999999999983</v>
      </c>
      <c r="CA124" s="780">
        <f>InputQ!CA8/1000</f>
        <v>-0.25059999999999993</v>
      </c>
      <c r="CB124" s="780">
        <f>InputQ!CB8/1000</f>
        <v>-0.22539999999999985</v>
      </c>
      <c r="CC124" s="780">
        <f>InputQ!CC8/1000</f>
        <v>-0.16069999999999982</v>
      </c>
      <c r="CD124" s="780">
        <f>InputQ!CD8/1000</f>
        <v>-0.13759999999999992</v>
      </c>
      <c r="CE124" s="2872">
        <f>InputQ!CE8/1000</f>
        <v>-0.23320000000000005</v>
      </c>
      <c r="CF124" s="2872">
        <f>InputQ!CF8/1000</f>
        <v>-0.25740000000000007</v>
      </c>
      <c r="CG124" s="2872">
        <f>InputQ!CG8/1000</f>
        <v>-0.25720000000000004</v>
      </c>
      <c r="CH124" s="2872">
        <f>InputQ!CH8/1000</f>
        <v>-0.14370000000000005</v>
      </c>
      <c r="CI124" s="2872">
        <f>InputQ!CI8/1000</f>
        <v>1.609999999999991E-2</v>
      </c>
      <c r="CJ124" s="2872">
        <f>InputQ!CJ8/1000</f>
        <v>0.1289000000000001</v>
      </c>
      <c r="CK124" s="2872">
        <f>InputQ!CK8/1000</f>
        <v>-2.4799999999999954E-2</v>
      </c>
      <c r="CL124" s="2872">
        <f>InputQ!CL8/1000</f>
        <v>2.5799999999999955E-2</v>
      </c>
      <c r="CM124" s="3194">
        <f>InputQ!CM8/1000</f>
        <v>-0.14540000000000008</v>
      </c>
      <c r="CN124" s="3194">
        <f>InputQ!CN8/1000</f>
        <v>1.3400000000000091E-2</v>
      </c>
      <c r="CO124" s="3194">
        <f>InputQ!CO8/1000</f>
        <v>6.2000000000000458E-3</v>
      </c>
      <c r="CP124" s="3194">
        <f>InputQ!CP8/1000</f>
        <v>-1.9E-2</v>
      </c>
      <c r="CQ124" s="3194">
        <f>InputQ!CQ8/1000</f>
        <v>-3.0999999999999093E-3</v>
      </c>
      <c r="CR124" s="3194">
        <f>InputQ!CR8/1000</f>
        <v>-0.16420000000000004</v>
      </c>
      <c r="CS124" s="3194">
        <f>InputQ!CS8/1000</f>
        <v>-8.2000000000000458E-3</v>
      </c>
      <c r="CT124" s="3194">
        <f>InputQ!CT8/1000</f>
        <v>-0.17270000000000005</v>
      </c>
      <c r="CU124" s="740">
        <v>-0.10442368282288264</v>
      </c>
      <c r="CV124" s="740">
        <v>-8.0865304484714809E-2</v>
      </c>
      <c r="CW124" s="740">
        <v>-7.3226851125575018E-2</v>
      </c>
      <c r="CX124" s="740">
        <v>-9.3977546411801949E-2</v>
      </c>
      <c r="CY124" s="740">
        <v>-9.3453113124738488E-2</v>
      </c>
      <c r="CZ124" s="740">
        <v>-7.9199880867268521E-2</v>
      </c>
      <c r="DA124" s="740">
        <v>-6.3640321173351513E-2</v>
      </c>
      <c r="DB124" s="740">
        <v>-4.9553340891747399E-2</v>
      </c>
      <c r="DC124"/>
      <c r="DD124"/>
      <c r="DE124"/>
      <c r="DF124"/>
      <c r="DG124"/>
      <c r="DH124"/>
      <c r="DI124"/>
      <c r="DJ124"/>
      <c r="DK124"/>
      <c r="DL124"/>
      <c r="DM124"/>
      <c r="DN124"/>
      <c r="DO124"/>
    </row>
    <row r="125" spans="1:119" s="26" customFormat="1">
      <c r="A125" s="673"/>
      <c r="B125" s="673"/>
      <c r="C125" s="687"/>
      <c r="D125" s="683"/>
      <c r="E125" s="684" t="s">
        <v>266</v>
      </c>
      <c r="F125" s="685"/>
      <c r="G125" s="1570"/>
      <c r="H125" s="1571"/>
      <c r="I125" s="1571"/>
      <c r="J125" s="1575">
        <f>SUM(G124:J124)</f>
        <v>-0.28530468025949957</v>
      </c>
      <c r="K125" s="1570"/>
      <c r="L125" s="1571"/>
      <c r="M125" s="1571"/>
      <c r="N125" s="1575">
        <f>SUM(K124:N124)</f>
        <v>-0.29312442075996292</v>
      </c>
      <c r="O125" s="1570"/>
      <c r="P125" s="1571"/>
      <c r="Q125" s="1571"/>
      <c r="R125" s="1575">
        <f>SUM(O124:R124)</f>
        <v>-4.0488878591288427E-2</v>
      </c>
      <c r="S125" s="1570"/>
      <c r="T125" s="1571"/>
      <c r="U125" s="1571"/>
      <c r="V125" s="1575">
        <f>SUM(S124:V124)</f>
        <v>-8.4655931417979668E-2</v>
      </c>
      <c r="W125" s="1570"/>
      <c r="X125" s="1571"/>
      <c r="Y125" s="1571"/>
      <c r="Z125" s="1575">
        <f>SUM(W124:Z124)</f>
        <v>-0.20620945319740486</v>
      </c>
      <c r="AA125" s="1570"/>
      <c r="AB125" s="1571"/>
      <c r="AC125" s="1571"/>
      <c r="AD125" s="1575">
        <f>SUM(AA124:AD124)</f>
        <v>-0.25249073215940704</v>
      </c>
      <c r="AE125" s="1570"/>
      <c r="AF125" s="1571"/>
      <c r="AG125" s="1571"/>
      <c r="AH125" s="1575">
        <f>SUM(AE124:AH124)</f>
        <v>-0.18466172381835008</v>
      </c>
      <c r="AI125" s="1570"/>
      <c r="AJ125" s="1571"/>
      <c r="AK125" s="1571"/>
      <c r="AL125" s="1575">
        <f>SUM(AI124:AL124)</f>
        <v>-2.1402919369786905E-2</v>
      </c>
      <c r="AM125" s="1570"/>
      <c r="AN125" s="1571"/>
      <c r="AO125" s="1571"/>
      <c r="AP125" s="1575">
        <f>SUM(AM124:AP124)</f>
        <v>4.2892724745134392E-2</v>
      </c>
      <c r="AQ125" s="1570"/>
      <c r="AR125" s="1571"/>
      <c r="AS125" s="1571"/>
      <c r="AT125" s="1575">
        <f>SUM(AQ124:AT124)</f>
        <v>0.40178985171455039</v>
      </c>
      <c r="AU125" s="1570"/>
      <c r="AV125" s="1571"/>
      <c r="AW125" s="1571"/>
      <c r="AX125" s="1616">
        <f>SUM(AU124:AX124)</f>
        <v>-0.14570000000000027</v>
      </c>
      <c r="AY125" s="1570"/>
      <c r="AZ125" s="1571"/>
      <c r="BA125" s="1571"/>
      <c r="BB125" s="1616">
        <f>SUM(AY124:BB124)</f>
        <v>-0.5424000000000001</v>
      </c>
      <c r="BC125" s="1570"/>
      <c r="BD125" s="1571"/>
      <c r="BE125" s="1571"/>
      <c r="BF125" s="1616">
        <f>SUM(BC124:BF124)</f>
        <v>-0.19010000000000016</v>
      </c>
      <c r="BG125" s="1570"/>
      <c r="BH125" s="1571"/>
      <c r="BI125" s="1571"/>
      <c r="BJ125" s="1616">
        <f>SUM(BG124:BJ124)</f>
        <v>0.37180000000000019</v>
      </c>
      <c r="BK125" s="1570"/>
      <c r="BL125" s="1571"/>
      <c r="BM125" s="1571"/>
      <c r="BN125" s="1616">
        <f>SUM(BK124:BN124)</f>
        <v>-1.0088000000000001</v>
      </c>
      <c r="BO125" s="1570"/>
      <c r="BP125" s="1571"/>
      <c r="BQ125" s="1571"/>
      <c r="BR125" s="1616">
        <f>SUM(BO124:BR124)</f>
        <v>0.34610000000000019</v>
      </c>
      <c r="BS125" s="1570"/>
      <c r="BT125" s="1571"/>
      <c r="BU125" s="1571"/>
      <c r="BV125" s="1616">
        <f>SUM(BS124:BV124)</f>
        <v>0.26659999999999989</v>
      </c>
      <c r="BW125" s="1570"/>
      <c r="BX125" s="1571"/>
      <c r="BY125" s="1571"/>
      <c r="BZ125" s="1616">
        <f>SUM(BW124:BZ124)</f>
        <v>-0.32620000000000005</v>
      </c>
      <c r="CA125" s="1570"/>
      <c r="CB125" s="1571"/>
      <c r="CC125" s="1571"/>
      <c r="CD125" s="1616">
        <f>SUM(CA124:CD124)</f>
        <v>-0.77429999999999954</v>
      </c>
      <c r="CE125" s="1570"/>
      <c r="CF125" s="1571"/>
      <c r="CG125" s="1571"/>
      <c r="CH125" s="1616">
        <f>SUM(CE124:CH124)</f>
        <v>-0.89150000000000029</v>
      </c>
      <c r="CI125" s="1570"/>
      <c r="CJ125" s="1571"/>
      <c r="CK125" s="1571"/>
      <c r="CL125" s="1616">
        <f>SUM(CI124:CL124)</f>
        <v>0.14600000000000002</v>
      </c>
      <c r="CM125" s="1570"/>
      <c r="CN125" s="1571"/>
      <c r="CO125" s="1571"/>
      <c r="CP125" s="1616">
        <f>SUM(CM124:CP124)</f>
        <v>-0.14479999999999996</v>
      </c>
      <c r="CQ125" s="1570"/>
      <c r="CR125" s="1571"/>
      <c r="CS125" s="1571"/>
      <c r="CT125" s="1616">
        <f>SUM(CQ124:CT124)</f>
        <v>-0.34820000000000007</v>
      </c>
      <c r="CU125" s="1570"/>
      <c r="CV125" s="1571"/>
      <c r="CW125" s="1571"/>
      <c r="CX125" s="1616">
        <f>SUM(CU124:CX124)</f>
        <v>-0.35249338484497444</v>
      </c>
      <c r="CY125" s="1570"/>
      <c r="CZ125" s="1571"/>
      <c r="DA125" s="1571"/>
      <c r="DB125" s="1616">
        <f>SUM(CY124:DB124)</f>
        <v>-0.28584665605710591</v>
      </c>
      <c r="DC125"/>
      <c r="DD125"/>
      <c r="DE125"/>
      <c r="DF125"/>
      <c r="DG125"/>
      <c r="DH125"/>
      <c r="DI125"/>
      <c r="DJ125"/>
      <c r="DK125"/>
      <c r="DL125"/>
      <c r="DM125"/>
      <c r="DN125"/>
      <c r="DO125"/>
    </row>
    <row r="126" spans="1:119" s="699" customFormat="1" ht="12.75" customHeight="1">
      <c r="A126" s="664"/>
      <c r="B126" s="664"/>
      <c r="C126" s="669"/>
      <c r="D126" s="679"/>
      <c r="E126" s="1572" t="s">
        <v>1847</v>
      </c>
      <c r="F126" s="679"/>
      <c r="G126" s="1573"/>
      <c r="H126" s="2839" t="s">
        <v>757</v>
      </c>
      <c r="I126" s="2840">
        <f ca="1">+J126/J125*100</f>
        <v>0.88089919834539832</v>
      </c>
      <c r="J126" s="1574">
        <f ca="1">OFFSET('VVP2'!$G$64,0,(COLUMN()-10)/4)</f>
        <v>-2.5132466412478337E-3</v>
      </c>
      <c r="K126" s="1573"/>
      <c r="L126" s="2839" t="s">
        <v>757</v>
      </c>
      <c r="M126" s="2840">
        <f ca="1">+N126/N125*100</f>
        <v>0.86027907261669345</v>
      </c>
      <c r="N126" s="1574">
        <f ca="1">OFFSET('VVP2'!$G$64,0,(COLUMN()-10)/4)</f>
        <v>-2.5216880485268633E-3</v>
      </c>
      <c r="O126" s="1573"/>
      <c r="P126" s="2839" t="s">
        <v>757</v>
      </c>
      <c r="Q126" s="2840">
        <f ca="1">+R126/R125*100</f>
        <v>1.0136074618665387</v>
      </c>
      <c r="R126" s="1574">
        <f ca="1">OFFSET('VVP2'!$G$64,0,(COLUMN()-10)/4)</f>
        <v>-4.1039829462738306E-4</v>
      </c>
      <c r="S126" s="1573"/>
      <c r="T126" s="2839" t="s">
        <v>757</v>
      </c>
      <c r="U126" s="2840">
        <f ca="1">+V126/V125*100</f>
        <v>0.90921595137305167</v>
      </c>
      <c r="V126" s="1574">
        <f ca="1">OFFSET('VVP2'!$G$64,0,(COLUMN()-10)/4)</f>
        <v>-7.69705232235702E-4</v>
      </c>
      <c r="W126" s="1573"/>
      <c r="X126" s="2839" t="s">
        <v>757</v>
      </c>
      <c r="Y126" s="2840">
        <f ca="1">+Z126/Z125*100</f>
        <v>0.91124478699277622</v>
      </c>
      <c r="Z126" s="1574">
        <f ca="1">OFFSET('VVP2'!$G$64,0,(COLUMN()-10)/4)</f>
        <v>-1.8790728925476604E-3</v>
      </c>
      <c r="AA126" s="1573"/>
      <c r="AB126" s="2839" t="s">
        <v>757</v>
      </c>
      <c r="AC126" s="2840">
        <f ca="1">+AD126/AD125*100</f>
        <v>0.88473446784504839</v>
      </c>
      <c r="AD126" s="1574">
        <f ca="1">OFFSET('VVP2'!$G$64,0,(COLUMN()-10)/4)</f>
        <v>-2.2338725355285963E-3</v>
      </c>
      <c r="AE126" s="1573"/>
      <c r="AF126" s="2839" t="s">
        <v>757</v>
      </c>
      <c r="AG126" s="2840">
        <f ca="1">+AH126/AH125*100</f>
        <v>0.93186420579426021</v>
      </c>
      <c r="AH126" s="1574">
        <f ca="1">OFFSET('VVP2'!$G$64,0,(COLUMN()-10)/4)</f>
        <v>-1.7207965060658582E-3</v>
      </c>
      <c r="AI126" s="1573"/>
      <c r="AJ126" s="2839" t="s">
        <v>757</v>
      </c>
      <c r="AK126" s="2840">
        <f ca="1">+AL126/AL125*100</f>
        <v>0.90299149096793141</v>
      </c>
      <c r="AL126" s="1574">
        <f ca="1">OFFSET('VVP2'!$G$64,0,(COLUMN()-10)/4)</f>
        <v>-1.9326654072790298E-4</v>
      </c>
      <c r="AM126" s="1573"/>
      <c r="AN126" s="2839" t="s">
        <v>757</v>
      </c>
      <c r="AO126" s="2840">
        <f ca="1">+AP126/AP125*100</f>
        <v>0.87729089095404877</v>
      </c>
      <c r="AP126" s="1574">
        <f ca="1">OFFSET('VVP2'!$G$64,0,(COLUMN()-10)/4)</f>
        <v>3.7629396707105722E-4</v>
      </c>
      <c r="AQ126" s="1573"/>
      <c r="AR126" s="2839" t="s">
        <v>757</v>
      </c>
      <c r="AS126" s="2840">
        <f ca="1">+AT126/AT125*100</f>
        <v>3.2485141036545819</v>
      </c>
      <c r="AT126" s="1574">
        <f ca="1">OFFSET('VVP2'!$G$64,0,(COLUMN()-10)/4)</f>
        <v>1.30522E-2</v>
      </c>
      <c r="AU126" s="1573"/>
      <c r="AV126" s="2839" t="s">
        <v>757</v>
      </c>
      <c r="AW126" s="2840">
        <f ca="1">+AX126/AX125*100</f>
        <v>-83.959423472889341</v>
      </c>
      <c r="AX126" s="1617">
        <f ca="1">OFFSET('VVP2'!$G$64,0,(COLUMN()-10)/4)</f>
        <v>0.12232888</v>
      </c>
      <c r="AY126" s="1573"/>
      <c r="AZ126" s="2839" t="s">
        <v>757</v>
      </c>
      <c r="BA126" s="2840">
        <f ca="1">+BB126/BB125*100</f>
        <v>29.667101769911497</v>
      </c>
      <c r="BB126" s="1617">
        <f ca="1">OFFSET('VVP2'!$G$64,0,(COLUMN()-10)/4)</f>
        <v>-0.16091435999999998</v>
      </c>
      <c r="BC126" s="1573"/>
      <c r="BD126" s="2839" t="s">
        <v>757</v>
      </c>
      <c r="BE126" s="2840">
        <f ca="1">+BF126/BF125*100</f>
        <v>328.29637033140432</v>
      </c>
      <c r="BF126" s="1617">
        <f ca="1">OFFSET('VVP2'!$G$64,0,(COLUMN()-10)/4)</f>
        <v>-0.62409140000000007</v>
      </c>
      <c r="BG126" s="1573"/>
      <c r="BH126" s="2839" t="s">
        <v>757</v>
      </c>
      <c r="BI126" s="2840">
        <f ca="1">+BJ126/BJ125*100</f>
        <v>-273.04758741258729</v>
      </c>
      <c r="BJ126" s="1617">
        <f ca="1">OFFSET('VVP2'!$G$64,0,(COLUMN()-10)/4)</f>
        <v>-1.0151909299999999</v>
      </c>
      <c r="BK126" s="1573"/>
      <c r="BL126" s="2839" t="s">
        <v>757</v>
      </c>
      <c r="BM126" s="2840">
        <f ca="1">+BN126/BN125*100</f>
        <v>-176.08511796193494</v>
      </c>
      <c r="BN126" s="1617">
        <f ca="1">OFFSET('VVP2'!$G$64,0,(COLUMN()-10)/4)</f>
        <v>1.7763466699999999</v>
      </c>
      <c r="BO126" s="1573"/>
      <c r="BP126" s="2839" t="s">
        <v>757</v>
      </c>
      <c r="BQ126" s="2840">
        <f ca="1">+BR126/BR125*100</f>
        <v>92.068766252528121</v>
      </c>
      <c r="BR126" s="1617">
        <f ca="1">OFFSET('VVP2'!$G$64,0,(COLUMN()-10)/4)</f>
        <v>0.31864999999999999</v>
      </c>
      <c r="BS126" s="1573"/>
      <c r="BT126" s="2839" t="s">
        <v>757</v>
      </c>
      <c r="BU126" s="2840">
        <f ca="1">+BV126/BV125*100</f>
        <v>97.861965491372871</v>
      </c>
      <c r="BV126" s="1617">
        <f ca="1">OFFSET('VVP2'!$G$64,0,(COLUMN()-10)/4)</f>
        <v>0.26089999999999997</v>
      </c>
      <c r="BW126" s="1573"/>
      <c r="BX126" s="2839" t="s">
        <v>757</v>
      </c>
      <c r="BY126" s="2840">
        <f ca="1">+BZ126/BZ125*100</f>
        <v>-26.724377682403432</v>
      </c>
      <c r="BZ126" s="1617">
        <f ca="1">OFFSET('VVP2'!$G$64,0,(COLUMN()-10)/4)</f>
        <v>8.7174920000000003E-2</v>
      </c>
      <c r="CA126" s="1573"/>
      <c r="CB126" s="2839" t="s">
        <v>757</v>
      </c>
      <c r="CC126" s="2840">
        <f ca="1">+CD126/CD125*100</f>
        <v>-3.2066886219811463</v>
      </c>
      <c r="CD126" s="1617">
        <f ca="1">OFFSET('VVP2'!$G$64,0,(COLUMN()-10)/4)</f>
        <v>2.482939E-2</v>
      </c>
      <c r="CE126" s="1573"/>
      <c r="CF126" s="2839" t="s">
        <v>757</v>
      </c>
      <c r="CG126" s="2840">
        <f ca="1">+CH126/CH125*100</f>
        <v>-2.1188065058889505</v>
      </c>
      <c r="CH126" s="1617">
        <f ca="1">OFFSET('VVP2'!$G$64,0,(COLUMN()-10)/4)</f>
        <v>1.8889160000000002E-2</v>
      </c>
      <c r="CI126" s="1573"/>
      <c r="CJ126" s="2839" t="s">
        <v>757</v>
      </c>
      <c r="CK126" s="2840">
        <f ca="1">+CL126/CL125*100</f>
        <v>352.56549999999993</v>
      </c>
      <c r="CL126" s="1617">
        <f ca="1">OFFSET('VVP2'!$G$64,0,(COLUMN()-10)/4)</f>
        <v>0.51474562999999995</v>
      </c>
      <c r="CM126" s="1573"/>
      <c r="CN126" s="2839" t="s">
        <v>757</v>
      </c>
      <c r="CO126" s="2840">
        <f ca="1">+CP126/CP125*100</f>
        <v>-71.45404005524864</v>
      </c>
      <c r="CP126" s="1617">
        <f ca="1">OFFSET('VVP2'!$G$64,0,(COLUMN()-10)/4)</f>
        <v>0.10346545</v>
      </c>
      <c r="CQ126" s="1573"/>
      <c r="CR126" s="2839" t="s">
        <v>757</v>
      </c>
      <c r="CS126" s="2840">
        <f ca="1">+CT126/CT125*100</f>
        <v>-42.810080413555418</v>
      </c>
      <c r="CT126" s="1617">
        <f ca="1">OFFSET('VVP2'!$G$64,0,(COLUMN()-10)/4)</f>
        <v>0.14906469999999999</v>
      </c>
      <c r="CU126" s="1573"/>
      <c r="CV126" s="2839" t="s">
        <v>757</v>
      </c>
      <c r="CW126" s="2840">
        <f ca="1">+CX126/CX125*100</f>
        <v>-42.288651761665882</v>
      </c>
      <c r="CX126" s="1617">
        <f ca="1">OFFSET('VVP2'!$G$64,0,(COLUMN()-10)/4)</f>
        <v>0.14906469999999999</v>
      </c>
      <c r="CY126" s="1573"/>
      <c r="CZ126" s="2839" t="s">
        <v>757</v>
      </c>
      <c r="DA126" s="2840">
        <f ca="1">+DB126/DB125*100</f>
        <v>-52.148484805160756</v>
      </c>
      <c r="DB126" s="1617">
        <f ca="1">OFFSET('VVP2'!$G$64,0,(COLUMN()-10)/4)</f>
        <v>0.14906469999999999</v>
      </c>
      <c r="DC126"/>
      <c r="DD126"/>
      <c r="DE126"/>
      <c r="DF126"/>
      <c r="DG126"/>
      <c r="DH126"/>
      <c r="DI126"/>
      <c r="DJ126"/>
      <c r="DK126"/>
      <c r="DL126"/>
      <c r="DM126"/>
      <c r="DN126"/>
      <c r="DO126"/>
    </row>
    <row r="127" spans="1:119">
      <c r="E127" s="599"/>
      <c r="F127" s="3617"/>
      <c r="AY127" s="217"/>
      <c r="BF127" s="217"/>
      <c r="BJ127" s="217"/>
      <c r="CM127" s="557"/>
      <c r="CN127" s="557"/>
      <c r="CO127" s="557">
        <v>-0.19380653614508397</v>
      </c>
      <c r="CQ127" s="557">
        <v>-0.53093094241501049</v>
      </c>
      <c r="CR127" s="557"/>
      <c r="CS127" s="557"/>
      <c r="CT127" s="557"/>
      <c r="CU127" s="557">
        <v>0.21712576121147953</v>
      </c>
      <c r="CV127" s="557"/>
      <c r="CW127" s="557"/>
      <c r="CX127" s="557"/>
      <c r="CY127" s="557">
        <v>-0.15656413196711266</v>
      </c>
      <c r="CZ127" s="557"/>
      <c r="DA127" s="557"/>
      <c r="DB127" s="557"/>
      <c r="DC127" s="3218" t="s">
        <v>2468</v>
      </c>
    </row>
    <row r="128" spans="1:119" s="699" customFormat="1" ht="12.75" customHeight="1">
      <c r="A128" s="664"/>
      <c r="B128" s="664"/>
      <c r="C128" s="1553"/>
      <c r="D128" s="742"/>
      <c r="E128" s="3384" t="s">
        <v>762</v>
      </c>
      <c r="F128" s="3622"/>
      <c r="G128" s="1578" t="str">
        <f t="shared" ref="G128:N128" si="307">G123</f>
        <v>Q1</v>
      </c>
      <c r="H128" s="1579" t="str">
        <f t="shared" si="307"/>
        <v>Q2</v>
      </c>
      <c r="I128" s="1579" t="str">
        <f t="shared" si="307"/>
        <v>Q3</v>
      </c>
      <c r="J128" s="1580" t="str">
        <f t="shared" si="307"/>
        <v>Q4</v>
      </c>
      <c r="K128" s="1578" t="str">
        <f t="shared" si="307"/>
        <v>Q1</v>
      </c>
      <c r="L128" s="1579" t="str">
        <f t="shared" si="307"/>
        <v>Q2</v>
      </c>
      <c r="M128" s="1579" t="str">
        <f t="shared" si="307"/>
        <v>Q3</v>
      </c>
      <c r="N128" s="1580" t="str">
        <f t="shared" si="307"/>
        <v>Q4</v>
      </c>
      <c r="O128" s="1578" t="str">
        <f t="shared" ref="O128:AX128" si="308">O123</f>
        <v>Q1</v>
      </c>
      <c r="P128" s="1579" t="str">
        <f t="shared" si="308"/>
        <v>Q2</v>
      </c>
      <c r="Q128" s="1579" t="str">
        <f t="shared" si="308"/>
        <v>Q3</v>
      </c>
      <c r="R128" s="1580" t="str">
        <f t="shared" si="308"/>
        <v>Q4</v>
      </c>
      <c r="S128" s="1578" t="str">
        <f t="shared" si="308"/>
        <v>Q1</v>
      </c>
      <c r="T128" s="1579" t="str">
        <f t="shared" si="308"/>
        <v>Q2</v>
      </c>
      <c r="U128" s="1579" t="str">
        <f t="shared" si="308"/>
        <v>Q3</v>
      </c>
      <c r="V128" s="1580" t="str">
        <f t="shared" si="308"/>
        <v>Q4</v>
      </c>
      <c r="W128" s="1578" t="str">
        <f t="shared" si="308"/>
        <v>Q1</v>
      </c>
      <c r="X128" s="1579" t="str">
        <f t="shared" si="308"/>
        <v>Q2</v>
      </c>
      <c r="Y128" s="1579" t="str">
        <f t="shared" si="308"/>
        <v>Q3</v>
      </c>
      <c r="Z128" s="1580" t="str">
        <f t="shared" si="308"/>
        <v>Q4</v>
      </c>
      <c r="AA128" s="1578" t="str">
        <f t="shared" si="308"/>
        <v>Q1</v>
      </c>
      <c r="AB128" s="1579" t="str">
        <f t="shared" si="308"/>
        <v>Q2</v>
      </c>
      <c r="AC128" s="1579" t="str">
        <f t="shared" si="308"/>
        <v>Q3</v>
      </c>
      <c r="AD128" s="1580" t="str">
        <f t="shared" si="308"/>
        <v>Q4</v>
      </c>
      <c r="AE128" s="1578" t="str">
        <f t="shared" si="308"/>
        <v>Q1</v>
      </c>
      <c r="AF128" s="1579" t="str">
        <f t="shared" si="308"/>
        <v>Q2</v>
      </c>
      <c r="AG128" s="1579" t="str">
        <f t="shared" si="308"/>
        <v>Q3</v>
      </c>
      <c r="AH128" s="1580" t="str">
        <f t="shared" si="308"/>
        <v>Q4</v>
      </c>
      <c r="AI128" s="1578" t="str">
        <f t="shared" si="308"/>
        <v>Q1</v>
      </c>
      <c r="AJ128" s="1579" t="str">
        <f t="shared" si="308"/>
        <v>Q2</v>
      </c>
      <c r="AK128" s="1579" t="str">
        <f t="shared" si="308"/>
        <v>Q3</v>
      </c>
      <c r="AL128" s="1580" t="str">
        <f t="shared" si="308"/>
        <v>Q4</v>
      </c>
      <c r="AM128" s="1578" t="str">
        <f t="shared" si="308"/>
        <v>Q1</v>
      </c>
      <c r="AN128" s="1579" t="str">
        <f t="shared" si="308"/>
        <v>Q2</v>
      </c>
      <c r="AO128" s="1579" t="str">
        <f t="shared" si="308"/>
        <v>Q3</v>
      </c>
      <c r="AP128" s="1580" t="str">
        <f t="shared" si="308"/>
        <v>Q4</v>
      </c>
      <c r="AQ128" s="1578" t="str">
        <f t="shared" si="308"/>
        <v>Q1</v>
      </c>
      <c r="AR128" s="1579" t="str">
        <f t="shared" si="308"/>
        <v>Q2</v>
      </c>
      <c r="AS128" s="1579" t="str">
        <f t="shared" si="308"/>
        <v>Q3</v>
      </c>
      <c r="AT128" s="1580" t="str">
        <f t="shared" si="308"/>
        <v>Q4</v>
      </c>
      <c r="AU128" s="1578" t="str">
        <f t="shared" si="308"/>
        <v>Q1</v>
      </c>
      <c r="AV128" s="1579" t="str">
        <f t="shared" si="308"/>
        <v>Q2</v>
      </c>
      <c r="AW128" s="1579" t="str">
        <f t="shared" si="308"/>
        <v>Q3</v>
      </c>
      <c r="AX128" s="1580" t="str">
        <f t="shared" si="308"/>
        <v>Q4</v>
      </c>
      <c r="AY128" s="1578" t="str">
        <f t="shared" ref="AY128:BF128" si="309">AY123</f>
        <v>Q1</v>
      </c>
      <c r="AZ128" s="1579" t="str">
        <f t="shared" si="309"/>
        <v>Q2</v>
      </c>
      <c r="BA128" s="1554" t="str">
        <f t="shared" si="309"/>
        <v>Q3</v>
      </c>
      <c r="BB128" s="1554" t="str">
        <f t="shared" si="309"/>
        <v>Q4</v>
      </c>
      <c r="BC128" s="1554" t="str">
        <f t="shared" si="309"/>
        <v>Q1</v>
      </c>
      <c r="BD128" s="1554" t="str">
        <f t="shared" si="309"/>
        <v>Q2</v>
      </c>
      <c r="BE128" s="1554" t="str">
        <f t="shared" si="309"/>
        <v>Q3</v>
      </c>
      <c r="BF128" s="1580" t="str">
        <f t="shared" si="309"/>
        <v>Q4</v>
      </c>
      <c r="BG128" s="1554" t="str">
        <f t="shared" ref="BG128:BN128" si="310">BG123</f>
        <v>Q1</v>
      </c>
      <c r="BH128" s="1554" t="str">
        <f t="shared" si="310"/>
        <v>Q2</v>
      </c>
      <c r="BI128" s="1554" t="str">
        <f t="shared" si="310"/>
        <v>Q3</v>
      </c>
      <c r="BJ128" s="1580" t="str">
        <f t="shared" si="310"/>
        <v>Q4</v>
      </c>
      <c r="BK128" s="1554" t="str">
        <f t="shared" si="310"/>
        <v>Q1</v>
      </c>
      <c r="BL128" s="1554" t="str">
        <f t="shared" si="310"/>
        <v>Q2</v>
      </c>
      <c r="BM128" s="1554" t="str">
        <f t="shared" si="310"/>
        <v>Q3</v>
      </c>
      <c r="BN128" s="1554" t="str">
        <f t="shared" si="310"/>
        <v>Q4</v>
      </c>
      <c r="BO128" s="1554" t="str">
        <f t="shared" ref="BO128:CD128" si="311">BO123</f>
        <v>Q1</v>
      </c>
      <c r="BP128" s="1554" t="str">
        <f t="shared" si="311"/>
        <v>Q2</v>
      </c>
      <c r="BQ128" s="1554" t="str">
        <f t="shared" si="311"/>
        <v>Q3</v>
      </c>
      <c r="BR128" s="1554" t="str">
        <f t="shared" si="311"/>
        <v>Q4</v>
      </c>
      <c r="BS128" s="1554" t="str">
        <f t="shared" si="311"/>
        <v>Q1</v>
      </c>
      <c r="BT128" s="1554" t="str">
        <f t="shared" si="311"/>
        <v>Q2</v>
      </c>
      <c r="BU128" s="1554" t="str">
        <f t="shared" si="311"/>
        <v>Q3</v>
      </c>
      <c r="BV128" s="1554" t="str">
        <f t="shared" si="311"/>
        <v>Q4</v>
      </c>
      <c r="BW128" s="1554" t="str">
        <f t="shared" si="311"/>
        <v>Q1</v>
      </c>
      <c r="BX128" s="1554" t="str">
        <f t="shared" si="311"/>
        <v>Q2</v>
      </c>
      <c r="BY128" s="1554" t="str">
        <f t="shared" si="311"/>
        <v>Q3</v>
      </c>
      <c r="BZ128" s="1554" t="str">
        <f t="shared" si="311"/>
        <v>Q4</v>
      </c>
      <c r="CA128" s="1554" t="str">
        <f t="shared" si="311"/>
        <v>Q1</v>
      </c>
      <c r="CB128" s="1554" t="str">
        <f t="shared" si="311"/>
        <v>Q2</v>
      </c>
      <c r="CC128" s="1554" t="str">
        <f t="shared" si="311"/>
        <v>Q3</v>
      </c>
      <c r="CD128" s="1554" t="str">
        <f t="shared" si="311"/>
        <v>Q4</v>
      </c>
      <c r="CE128" s="1554" t="str">
        <f t="shared" ref="CE128:CL128" si="312">CE123</f>
        <v>Q1</v>
      </c>
      <c r="CF128" s="1554" t="str">
        <f t="shared" si="312"/>
        <v>Q2</v>
      </c>
      <c r="CG128" s="1554" t="str">
        <f t="shared" si="312"/>
        <v>Q3</v>
      </c>
      <c r="CH128" s="1554" t="str">
        <f t="shared" si="312"/>
        <v>Q4</v>
      </c>
      <c r="CI128" s="1554" t="str">
        <f t="shared" si="312"/>
        <v>Q1</v>
      </c>
      <c r="CJ128" s="1554" t="str">
        <f t="shared" si="312"/>
        <v>Q2</v>
      </c>
      <c r="CK128" s="1554" t="str">
        <f t="shared" si="312"/>
        <v>Q3</v>
      </c>
      <c r="CL128" s="1554" t="str">
        <f t="shared" si="312"/>
        <v>Q4</v>
      </c>
      <c r="CM128" s="1554" t="str">
        <f t="shared" ref="CM128:CT128" si="313">CM123</f>
        <v>Q1</v>
      </c>
      <c r="CN128" s="1554" t="str">
        <f t="shared" si="313"/>
        <v>Q2</v>
      </c>
      <c r="CO128" s="1554" t="str">
        <f t="shared" si="313"/>
        <v>Q3</v>
      </c>
      <c r="CP128" s="1554" t="str">
        <f t="shared" si="313"/>
        <v>Q4</v>
      </c>
      <c r="CQ128" s="1554" t="str">
        <f t="shared" si="313"/>
        <v>Q1</v>
      </c>
      <c r="CR128" s="1554" t="str">
        <f t="shared" si="313"/>
        <v>Q2</v>
      </c>
      <c r="CS128" s="1554" t="str">
        <f t="shared" si="313"/>
        <v>Q3</v>
      </c>
      <c r="CT128" s="1554" t="str">
        <f t="shared" si="313"/>
        <v>Q4</v>
      </c>
      <c r="CU128" s="1554" t="str">
        <f t="shared" ref="CU128:DB128" si="314">CU123</f>
        <v>Q1</v>
      </c>
      <c r="CV128" s="1554" t="str">
        <f t="shared" si="314"/>
        <v>Q2</v>
      </c>
      <c r="CW128" s="1554" t="str">
        <f t="shared" si="314"/>
        <v>Q3</v>
      </c>
      <c r="CX128" s="1554" t="str">
        <f t="shared" si="314"/>
        <v>Q4</v>
      </c>
      <c r="CY128" s="1554" t="str">
        <f t="shared" si="314"/>
        <v>Q1</v>
      </c>
      <c r="CZ128" s="1554" t="str">
        <f t="shared" si="314"/>
        <v>Q2</v>
      </c>
      <c r="DA128" s="1554" t="str">
        <f t="shared" si="314"/>
        <v>Q3</v>
      </c>
      <c r="DB128" s="1554" t="str">
        <f t="shared" si="314"/>
        <v>Q4</v>
      </c>
      <c r="DC128"/>
      <c r="DD128"/>
      <c r="DE128"/>
      <c r="DF128"/>
      <c r="DG128"/>
      <c r="DH128"/>
      <c r="DI128"/>
      <c r="DJ128"/>
      <c r="DK128"/>
      <c r="DL128"/>
      <c r="DM128"/>
      <c r="DN128"/>
      <c r="DO128"/>
    </row>
    <row r="129" spans="1:119" s="699" customFormat="1" ht="12.75" customHeight="1">
      <c r="A129" s="664"/>
      <c r="B129" s="1563"/>
      <c r="C129" s="692"/>
      <c r="D129" s="689"/>
      <c r="E129" s="3623" t="str">
        <f>E124</f>
        <v xml:space="preserve">Changes in inventories and net acquisition of valuables                         </v>
      </c>
      <c r="F129" s="3624" t="s">
        <v>1125</v>
      </c>
      <c r="G129" s="978"/>
      <c r="H129" s="978">
        <f t="shared" ref="H129:AM129" si="315">(H124/G124-1)*100</f>
        <v>301.37551581843161</v>
      </c>
      <c r="I129" s="978">
        <f t="shared" si="315"/>
        <v>-17.957505140507223</v>
      </c>
      <c r="J129" s="978">
        <f t="shared" si="315"/>
        <v>59.231411862990768</v>
      </c>
      <c r="K129" s="978">
        <f t="shared" si="315"/>
        <v>1.2067156348374297</v>
      </c>
      <c r="L129" s="978">
        <f t="shared" si="315"/>
        <v>-18.429237947122878</v>
      </c>
      <c r="M129" s="978">
        <f t="shared" si="315"/>
        <v>-57.610422624722048</v>
      </c>
      <c r="N129" s="978">
        <f t="shared" si="315"/>
        <v>33.583208395802487</v>
      </c>
      <c r="O129" s="978">
        <f t="shared" si="315"/>
        <v>-78.058361391694788</v>
      </c>
      <c r="P129" s="978">
        <f t="shared" si="315"/>
        <v>-96.930946291559238</v>
      </c>
      <c r="Q129" s="978">
        <f t="shared" si="315"/>
        <v>18424.99999999486</v>
      </c>
      <c r="R129" s="978">
        <f t="shared" si="315"/>
        <v>-155.24066576698141</v>
      </c>
      <c r="S129" s="978">
        <f t="shared" si="315"/>
        <v>-176.38436482084694</v>
      </c>
      <c r="T129" s="978">
        <f t="shared" si="315"/>
        <v>-91.577825159914838</v>
      </c>
      <c r="U129" s="978">
        <f t="shared" si="315"/>
        <v>-858.22784810127223</v>
      </c>
      <c r="V129" s="978">
        <f t="shared" si="315"/>
        <v>-518.19699499165574</v>
      </c>
      <c r="W129" s="978">
        <f t="shared" si="315"/>
        <v>-20.718562874251589</v>
      </c>
      <c r="X129" s="978">
        <f t="shared" si="315"/>
        <v>5.0352467270897261</v>
      </c>
      <c r="Y129" s="978">
        <f t="shared" si="315"/>
        <v>-0.86289549376813435</v>
      </c>
      <c r="Z129" s="978">
        <f t="shared" si="315"/>
        <v>-52.611218568665251</v>
      </c>
      <c r="AA129" s="978">
        <f t="shared" si="315"/>
        <v>50.306122448979785</v>
      </c>
      <c r="AB129" s="978">
        <f t="shared" si="315"/>
        <v>10.997963340121908</v>
      </c>
      <c r="AC129" s="978">
        <f t="shared" si="315"/>
        <v>58.042813455657758</v>
      </c>
      <c r="AD129" s="978">
        <f t="shared" si="315"/>
        <v>17.105263157894601</v>
      </c>
      <c r="AE129" s="978">
        <f t="shared" si="315"/>
        <v>-13.648380700595009</v>
      </c>
      <c r="AF129" s="978">
        <f t="shared" si="315"/>
        <v>-35.744355147340315</v>
      </c>
      <c r="AG129" s="978">
        <f t="shared" si="315"/>
        <v>-28.588445503275405</v>
      </c>
      <c r="AH129" s="978">
        <f t="shared" si="315"/>
        <v>-26.188490408673992</v>
      </c>
      <c r="AI129" s="978">
        <f t="shared" si="315"/>
        <v>14.350282485875287</v>
      </c>
      <c r="AJ129" s="978">
        <f t="shared" si="315"/>
        <v>-211.85770750988166</v>
      </c>
      <c r="AK129" s="978">
        <f t="shared" si="315"/>
        <v>-35.689045936395573</v>
      </c>
      <c r="AL129" s="978">
        <f t="shared" si="315"/>
        <v>-317.99450549450586</v>
      </c>
      <c r="AM129" s="978">
        <f t="shared" si="315"/>
        <v>-0.7561436672972488</v>
      </c>
      <c r="AN129" s="978">
        <f t="shared" ref="AN129:BE129" si="316">(AN124/AM124-1)*100</f>
        <v>-60.253968253968317</v>
      </c>
      <c r="AO129" s="978">
        <f t="shared" si="316"/>
        <v>-362.46006389776426</v>
      </c>
      <c r="AP129" s="978">
        <f t="shared" si="316"/>
        <v>24.102251978088638</v>
      </c>
      <c r="AQ129" s="978">
        <f t="shared" si="316"/>
        <v>137.02795487984312</v>
      </c>
      <c r="AR129" s="978">
        <f t="shared" si="316"/>
        <v>-31.988412993999592</v>
      </c>
      <c r="AS129" s="978">
        <f t="shared" si="316"/>
        <v>-38.484940675387676</v>
      </c>
      <c r="AT129" s="978">
        <f t="shared" si="316"/>
        <v>84.520276953511228</v>
      </c>
      <c r="AU129" s="978">
        <f t="shared" si="316"/>
        <v>-174.40501742160279</v>
      </c>
      <c r="AV129" s="978">
        <f t="shared" si="316"/>
        <v>-156.09452736318389</v>
      </c>
      <c r="AW129" s="978">
        <f t="shared" si="316"/>
        <v>-376.4966740576503</v>
      </c>
      <c r="AX129" s="978">
        <f t="shared" si="316"/>
        <v>-111.46752205292698</v>
      </c>
      <c r="AY129" s="978">
        <f t="shared" si="316"/>
        <v>-137.76223776223694</v>
      </c>
      <c r="AZ129" s="978">
        <f t="shared" si="316"/>
        <v>4750.0000000001246</v>
      </c>
      <c r="BA129" s="978">
        <f t="shared" si="316"/>
        <v>-27.453226422298606</v>
      </c>
      <c r="BB129" s="978">
        <f>(BB124/BA124-1)*100</f>
        <v>-55.210526315789402</v>
      </c>
      <c r="BC129" s="978">
        <f>(BC124/BB124-1)*100</f>
        <v>76.028202115158578</v>
      </c>
      <c r="BD129" s="978">
        <f>(BD124/BC124-1)*100</f>
        <v>-86.181575433912016</v>
      </c>
      <c r="BE129" s="978">
        <f t="shared" si="316"/>
        <v>59.903381642513033</v>
      </c>
      <c r="BF129" s="978">
        <f t="shared" ref="BF129:BN129" si="317">(BF124/BE124-1)*100</f>
        <v>-140.78549848942541</v>
      </c>
      <c r="BG129" s="978">
        <f t="shared" si="317"/>
        <v>484.44444444445321</v>
      </c>
      <c r="BH129" s="978">
        <f t="shared" si="317"/>
        <v>-24.841571609632084</v>
      </c>
      <c r="BI129" s="978">
        <f t="shared" si="317"/>
        <v>182.12478920741933</v>
      </c>
      <c r="BJ129" s="978">
        <f t="shared" si="317"/>
        <v>-60.370591751344961</v>
      </c>
      <c r="BK129" s="936">
        <f t="shared" si="317"/>
        <v>-898.64253393665194</v>
      </c>
      <c r="BL129" s="936">
        <f t="shared" si="317"/>
        <v>-52.086874409820581</v>
      </c>
      <c r="BM129" s="936">
        <f t="shared" si="317"/>
        <v>-78.715017737485184</v>
      </c>
      <c r="BN129" s="936">
        <f t="shared" si="317"/>
        <v>217.77777777777717</v>
      </c>
      <c r="BO129" s="936">
        <f t="shared" ref="BO129:CL129" si="318">(BO124/BN124-1)*100</f>
        <v>-130.36130536130543</v>
      </c>
      <c r="BP129" s="936">
        <f t="shared" si="318"/>
        <v>214.0115163147787</v>
      </c>
      <c r="BQ129" s="936">
        <f t="shared" si="318"/>
        <v>-122.79951100244509</v>
      </c>
      <c r="BR129" s="936">
        <f t="shared" si="318"/>
        <v>-549.59785522788002</v>
      </c>
      <c r="BS129" s="936">
        <f t="shared" si="318"/>
        <v>24.746571258199168</v>
      </c>
      <c r="BT129" s="936">
        <f t="shared" si="318"/>
        <v>-60.803059273422576</v>
      </c>
      <c r="BU129" s="936">
        <f t="shared" si="318"/>
        <v>-133.53658536585365</v>
      </c>
      <c r="BV129" s="936">
        <f t="shared" si="318"/>
        <v>-110.54545454545406</v>
      </c>
      <c r="BW129" s="936">
        <f t="shared" si="318"/>
        <v>-1303.4482758621286</v>
      </c>
      <c r="BX129" s="936">
        <f t="shared" si="318"/>
        <v>555.587392550142</v>
      </c>
      <c r="BY129" s="936">
        <f t="shared" si="318"/>
        <v>-136.58216783216784</v>
      </c>
      <c r="BZ129" s="936">
        <f t="shared" si="318"/>
        <v>-274.67144563918725</v>
      </c>
      <c r="CA129" s="936">
        <f t="shared" si="318"/>
        <v>71.409028727770334</v>
      </c>
      <c r="CB129" s="936">
        <f t="shared" si="318"/>
        <v>-10.055865921787744</v>
      </c>
      <c r="CC129" s="936">
        <f t="shared" si="318"/>
        <v>-28.70452528837626</v>
      </c>
      <c r="CD129" s="936">
        <f t="shared" si="318"/>
        <v>-14.37461107654009</v>
      </c>
      <c r="CE129" s="936">
        <f t="shared" si="318"/>
        <v>69.476744186046659</v>
      </c>
      <c r="CF129" s="936">
        <f>(CF124/CE124-1)*100</f>
        <v>10.377358490566046</v>
      </c>
      <c r="CG129" s="936">
        <f>(CG124/CF124-1)*100</f>
        <v>-7.7700077700093573E-2</v>
      </c>
      <c r="CH129" s="936">
        <f>(CH124/CG124-1)*100</f>
        <v>-44.129082426127518</v>
      </c>
      <c r="CI129" s="936">
        <f t="shared" si="318"/>
        <v>-111.20389700765476</v>
      </c>
      <c r="CJ129" s="936">
        <f t="shared" si="318"/>
        <v>700.62111801242747</v>
      </c>
      <c r="CK129" s="936">
        <f t="shared" si="318"/>
        <v>-119.23972071373153</v>
      </c>
      <c r="CL129" s="936">
        <f t="shared" si="318"/>
        <v>-204.03225806451616</v>
      </c>
      <c r="CM129" s="936">
        <f t="shared" ref="CM129:CT129" si="319">(CM124/CL124-1)*100</f>
        <v>-663.56589147286957</v>
      </c>
      <c r="CN129" s="936">
        <f t="shared" si="319"/>
        <v>-109.21595598349387</v>
      </c>
      <c r="CO129" s="936">
        <f t="shared" si="319"/>
        <v>-53.731343283582063</v>
      </c>
      <c r="CP129" s="936">
        <f t="shared" si="319"/>
        <v>-406.45161290322346</v>
      </c>
      <c r="CQ129" s="936">
        <f>(CQ124/CP124-1)*100</f>
        <v>-83.684210526316278</v>
      </c>
      <c r="CR129" s="936">
        <f>(CR124/CQ124-1)*100</f>
        <v>5196.7741935485437</v>
      </c>
      <c r="CS129" s="936">
        <f>(CS124/CR124-1)*100</f>
        <v>-95.006090133982923</v>
      </c>
      <c r="CT129" s="936">
        <f t="shared" si="319"/>
        <v>2006.0975609755985</v>
      </c>
      <c r="CU129" s="936">
        <f t="shared" ref="CU129:DB129" si="320">(CU124/CT124-1)*100</f>
        <v>-39.534636466194208</v>
      </c>
      <c r="CV129" s="936">
        <f t="shared" si="320"/>
        <v>-22.560378739108621</v>
      </c>
      <c r="CW129" s="936">
        <f t="shared" si="320"/>
        <v>-9.4458969861216708</v>
      </c>
      <c r="CX129" s="936">
        <f t="shared" si="320"/>
        <v>28.337549638235913</v>
      </c>
      <c r="CY129" s="936">
        <f t="shared" si="320"/>
        <v>-0.55804105032221107</v>
      </c>
      <c r="CZ129" s="936">
        <f t="shared" si="320"/>
        <v>-15.2517468716587</v>
      </c>
      <c r="DA129" s="936">
        <f t="shared" si="320"/>
        <v>-19.645938255883689</v>
      </c>
      <c r="DB129" s="936">
        <f t="shared" si="320"/>
        <v>-22.135306707884496</v>
      </c>
      <c r="DC129"/>
      <c r="DD129"/>
      <c r="DE129"/>
      <c r="DF129"/>
      <c r="DG129"/>
      <c r="DH129"/>
      <c r="DI129"/>
      <c r="DJ129"/>
      <c r="DK129"/>
      <c r="DL129"/>
      <c r="DM129"/>
      <c r="DN129"/>
      <c r="DO129"/>
    </row>
    <row r="130" spans="1:119">
      <c r="C130" s="1555"/>
      <c r="D130" s="1581"/>
      <c r="E130" s="1582" t="s">
        <v>763</v>
      </c>
      <c r="F130" s="1649"/>
      <c r="G130" s="1605"/>
      <c r="H130" s="1606"/>
      <c r="I130" s="1606"/>
      <c r="J130" s="1606"/>
      <c r="K130" s="1607"/>
      <c r="L130" s="1607"/>
      <c r="M130" s="1607"/>
      <c r="N130" s="1608">
        <f>N125/J125*100-100</f>
        <v>2.7408384935539374</v>
      </c>
      <c r="O130" s="1607"/>
      <c r="P130" s="1607"/>
      <c r="Q130" s="1607"/>
      <c r="R130" s="1608">
        <f>R125/N125*100-100</f>
        <v>-86.187135658531702</v>
      </c>
      <c r="S130" s="1607"/>
      <c r="T130" s="1607"/>
      <c r="U130" s="1607"/>
      <c r="V130" s="1608">
        <f>V125/R125*100-100</f>
        <v>109.08440629470584</v>
      </c>
      <c r="W130" s="1607"/>
      <c r="X130" s="1607"/>
      <c r="Y130" s="1607"/>
      <c r="Z130" s="1608">
        <f>Z125/V125*100-100</f>
        <v>143.5853575094078</v>
      </c>
      <c r="AA130" s="1607"/>
      <c r="AB130" s="1607"/>
      <c r="AC130" s="1607"/>
      <c r="AD130" s="1608">
        <f>AD125/Z125*100-100</f>
        <v>22.443820224719275</v>
      </c>
      <c r="AE130" s="1607"/>
      <c r="AF130" s="1607"/>
      <c r="AG130" s="1607"/>
      <c r="AH130" s="1608">
        <f>AH125/AD125*100-100</f>
        <v>-26.863959623767059</v>
      </c>
      <c r="AI130" s="1607"/>
      <c r="AJ130" s="1607"/>
      <c r="AK130" s="1607"/>
      <c r="AL130" s="1608">
        <f>AL125/AH125*100-100</f>
        <v>-88.40966122961099</v>
      </c>
      <c r="AM130" s="1607"/>
      <c r="AN130" s="1607"/>
      <c r="AO130" s="1607"/>
      <c r="AP130" s="1608">
        <f>AP125/AL125*100-100</f>
        <v>-300.40595399188032</v>
      </c>
      <c r="AQ130" s="1607"/>
      <c r="AR130" s="1607"/>
      <c r="AS130" s="1607"/>
      <c r="AT130" s="1608">
        <f>AT125/AP125*100-100</f>
        <v>836.7319378798104</v>
      </c>
      <c r="AU130" s="1607"/>
      <c r="AV130" s="1607"/>
      <c r="AW130" s="1607"/>
      <c r="AX130" s="1608">
        <f>AX125/AT125*100-100</f>
        <v>-136.26273769191963</v>
      </c>
      <c r="AY130" s="1607"/>
      <c r="AZ130" s="1607"/>
      <c r="BA130" s="1607"/>
      <c r="BB130" s="1608">
        <f>BB125/AX125*100-100</f>
        <v>272.27179135209269</v>
      </c>
      <c r="BC130" s="1607"/>
      <c r="BD130" s="1607"/>
      <c r="BE130" s="1607"/>
      <c r="BF130" s="1608">
        <f>BF125/BB125*100-100</f>
        <v>-64.952064896755132</v>
      </c>
      <c r="BG130" s="1607"/>
      <c r="BH130" s="1607"/>
      <c r="BI130" s="1607"/>
      <c r="BJ130" s="1608">
        <f>BJ125/BF125*100-100</f>
        <v>-295.58127301420302</v>
      </c>
      <c r="BK130" s="1607"/>
      <c r="BL130" s="1607"/>
      <c r="BM130" s="1607"/>
      <c r="BN130" s="1608">
        <f>BN125/BJ125*100-100</f>
        <v>-371.32867132867125</v>
      </c>
      <c r="BO130" s="1607"/>
      <c r="BP130" s="1607"/>
      <c r="BQ130" s="1607"/>
      <c r="BR130" s="1608">
        <f>BR125/BN125*100-100</f>
        <v>-134.30808881839812</v>
      </c>
      <c r="BS130" s="1607"/>
      <c r="BT130" s="1607"/>
      <c r="BU130" s="1607"/>
      <c r="BV130" s="1608">
        <f>BV125/BR125*100-100</f>
        <v>-22.970239815082422</v>
      </c>
      <c r="BW130" s="1607"/>
      <c r="BX130" s="1607"/>
      <c r="BY130" s="1607"/>
      <c r="BZ130" s="1608">
        <f>BZ125/BV125*100-100</f>
        <v>-222.35558889722438</v>
      </c>
      <c r="CA130" s="1607"/>
      <c r="CB130" s="1607"/>
      <c r="CC130" s="1607"/>
      <c r="CD130" s="1608">
        <f>CD125/BZ125*100-100</f>
        <v>137.36971183323098</v>
      </c>
      <c r="CE130" s="1607"/>
      <c r="CF130" s="1607"/>
      <c r="CG130" s="1607"/>
      <c r="CH130" s="1608">
        <f>CH125/CD125*100-100</f>
        <v>15.136252098669871</v>
      </c>
      <c r="CI130" s="1607"/>
      <c r="CJ130" s="1607"/>
      <c r="CK130" s="1607"/>
      <c r="CL130" s="1608">
        <f>CL125/CH125*100-100</f>
        <v>-116.3768928771733</v>
      </c>
      <c r="CM130" s="1607"/>
      <c r="CN130" s="1607"/>
      <c r="CO130" s="1607"/>
      <c r="CP130" s="1608">
        <f>CP125/CL125*100-100</f>
        <v>-199.17808219178079</v>
      </c>
      <c r="CQ130" s="1607"/>
      <c r="CR130" s="1607"/>
      <c r="CS130" s="1607"/>
      <c r="CT130" s="1608">
        <f>CT125/CP125*100-100</f>
        <v>140.46961325966865</v>
      </c>
      <c r="CU130" s="1607"/>
      <c r="CV130" s="1607"/>
      <c r="CW130" s="1607"/>
      <c r="CX130" s="1608">
        <f>CX125/CT125*100-100</f>
        <v>1.2330226435882707</v>
      </c>
      <c r="CY130" s="1607"/>
      <c r="CZ130" s="1607"/>
      <c r="DA130" s="1607"/>
      <c r="DB130" s="1608">
        <f>DB125/CX125*100-100</f>
        <v>-18.907228235553859</v>
      </c>
    </row>
    <row r="131" spans="1:119" s="699" customFormat="1" ht="12.75" customHeight="1">
      <c r="A131" s="664"/>
      <c r="B131" s="664"/>
      <c r="C131" s="666"/>
      <c r="D131" s="717"/>
      <c r="E131" s="1596" t="s">
        <v>1847</v>
      </c>
      <c r="F131" s="717"/>
      <c r="G131" s="1597"/>
      <c r="H131" s="1597"/>
      <c r="I131" s="1597"/>
      <c r="J131" s="1598"/>
      <c r="K131" s="1597"/>
      <c r="L131" s="1597"/>
      <c r="M131" s="1597"/>
      <c r="N131" s="1599">
        <f ca="1">N126/J126*100-100</f>
        <v>0.33587659645048973</v>
      </c>
      <c r="O131" s="1597"/>
      <c r="P131" s="1597"/>
      <c r="Q131" s="1597"/>
      <c r="R131" s="1599">
        <f ca="1">R126/N126*100-100</f>
        <v>-83.725255196925247</v>
      </c>
      <c r="S131" s="1597"/>
      <c r="T131" s="1597"/>
      <c r="U131" s="1597"/>
      <c r="V131" s="1599">
        <f ca="1">V126/R126*100-100</f>
        <v>87.550787201625184</v>
      </c>
      <c r="W131" s="1597"/>
      <c r="X131" s="1597"/>
      <c r="Y131" s="1597"/>
      <c r="Z131" s="1599">
        <f ca="1">Z126/V126*100-100</f>
        <v>144.12889686220086</v>
      </c>
      <c r="AA131" s="1597"/>
      <c r="AB131" s="1597"/>
      <c r="AC131" s="1597"/>
      <c r="AD131" s="1599">
        <f ca="1">AD126/Z126*100-100</f>
        <v>18.881632766246554</v>
      </c>
      <c r="AE131" s="1597"/>
      <c r="AF131" s="1597"/>
      <c r="AG131" s="1597"/>
      <c r="AH131" s="1599">
        <f ca="1">AH126/AD126*100-100</f>
        <v>-22.968008304078552</v>
      </c>
      <c r="AI131" s="1597"/>
      <c r="AJ131" s="1597"/>
      <c r="AK131" s="1597"/>
      <c r="AL131" s="1599">
        <f ca="1">AL126/AH126*100-100</f>
        <v>-88.768774224806208</v>
      </c>
      <c r="AM131" s="1597"/>
      <c r="AN131" s="1597"/>
      <c r="AO131" s="1597"/>
      <c r="AP131" s="1599">
        <f ca="1">AP126/AL126*100-100</f>
        <v>-294.70207603127528</v>
      </c>
      <c r="AQ131" s="1597"/>
      <c r="AR131" s="1597"/>
      <c r="AS131" s="1597"/>
      <c r="AT131" s="1599">
        <f ca="1">AT126/AP126*100-100</f>
        <v>3368.6179269877307</v>
      </c>
      <c r="AU131" s="1597"/>
      <c r="AV131" s="1597"/>
      <c r="AW131" s="1597"/>
      <c r="AX131" s="1599">
        <f ca="1">AX126/AT126*100-100</f>
        <v>837.2280535082208</v>
      </c>
      <c r="AY131" s="1597"/>
      <c r="AZ131" s="1597"/>
      <c r="BA131" s="1597"/>
      <c r="BB131" s="1599">
        <f ca="1">BB126/AX126*100-100</f>
        <v>-231.54241255212995</v>
      </c>
      <c r="BC131" s="1597"/>
      <c r="BD131" s="1597"/>
      <c r="BE131" s="1597"/>
      <c r="BF131" s="1599">
        <f ca="1">BF126/BB126*100-100</f>
        <v>287.84071228944401</v>
      </c>
      <c r="BG131" s="1597"/>
      <c r="BH131" s="1597"/>
      <c r="BI131" s="1597"/>
      <c r="BJ131" s="1599">
        <f ca="1">BJ126/BF126*100-100</f>
        <v>62.667027618070023</v>
      </c>
      <c r="BK131" s="1597"/>
      <c r="BL131" s="1597"/>
      <c r="BM131" s="1597"/>
      <c r="BN131" s="1599">
        <f ca="1">BN126/BJ126*100-100</f>
        <v>-274.9766095723491</v>
      </c>
      <c r="BO131" s="1597"/>
      <c r="BP131" s="1597"/>
      <c r="BQ131" s="1597"/>
      <c r="BR131" s="1599">
        <f ca="1">BR126/BN126*100-100</f>
        <v>-82.061497038750886</v>
      </c>
      <c r="BS131" s="1597"/>
      <c r="BT131" s="1597"/>
      <c r="BU131" s="1597"/>
      <c r="BV131" s="1599">
        <f ca="1">BV126/BR126*100-100</f>
        <v>-18.123332810293434</v>
      </c>
      <c r="BW131" s="1597"/>
      <c r="BX131" s="1597"/>
      <c r="BY131" s="1597"/>
      <c r="BZ131" s="1599">
        <f ca="1">BZ126/BV126*100-100</f>
        <v>-66.586845534687626</v>
      </c>
      <c r="CA131" s="1597"/>
      <c r="CB131" s="1597"/>
      <c r="CC131" s="1597"/>
      <c r="CD131" s="1599">
        <f ca="1">CD126/BZ126*100-100</f>
        <v>-71.517736982150367</v>
      </c>
      <c r="CE131" s="1597"/>
      <c r="CF131" s="1597"/>
      <c r="CG131" s="1597"/>
      <c r="CH131" s="1599">
        <f ca="1">CH126/CD126*100-100</f>
        <v>-23.924188230157881</v>
      </c>
      <c r="CI131" s="1597"/>
      <c r="CJ131" s="1597"/>
      <c r="CK131" s="1597"/>
      <c r="CL131" s="1599">
        <f ca="1">CL126/CH126*100-100</f>
        <v>2625.0848105474242</v>
      </c>
      <c r="CM131" s="1597"/>
      <c r="CN131" s="1597"/>
      <c r="CO131" s="1597"/>
      <c r="CP131" s="1599">
        <f ca="1">CP126/CL126*100-100</f>
        <v>-79.899693368936425</v>
      </c>
      <c r="CQ131" s="1597"/>
      <c r="CR131" s="1597"/>
      <c r="CS131" s="1597"/>
      <c r="CT131" s="1599">
        <f ca="1">CT126/CP126*100-100</f>
        <v>44.071958320386159</v>
      </c>
      <c r="CU131" s="1597"/>
      <c r="CV131" s="1597"/>
      <c r="CW131" s="1597"/>
      <c r="CX131" s="1599">
        <f ca="1">CX126/CT126*100-100</f>
        <v>0</v>
      </c>
      <c r="CY131" s="1597"/>
      <c r="CZ131" s="1597"/>
      <c r="DA131" s="1597"/>
      <c r="DB131" s="1599">
        <f ca="1">DB126/CX126*100-100</f>
        <v>0</v>
      </c>
      <c r="DC131"/>
      <c r="DD131"/>
      <c r="DE131"/>
      <c r="DF131"/>
      <c r="DG131"/>
      <c r="DH131"/>
      <c r="DI131"/>
      <c r="DJ131"/>
      <c r="DK131"/>
      <c r="DL131"/>
      <c r="DM131"/>
      <c r="DN131"/>
      <c r="DO131"/>
    </row>
    <row r="132" spans="1:119">
      <c r="E132" s="599"/>
      <c r="F132" s="3617"/>
      <c r="AY132" s="217"/>
      <c r="BF132" s="217"/>
      <c r="BJ132" s="217"/>
      <c r="CM132" s="557"/>
      <c r="CN132" s="557"/>
      <c r="CO132" s="557"/>
      <c r="CP132" s="557"/>
      <c r="CQ132" s="557"/>
      <c r="CR132" s="557"/>
      <c r="CS132" s="557"/>
      <c r="CT132" s="557"/>
      <c r="CU132" s="557"/>
      <c r="CV132" s="557"/>
      <c r="CW132" s="557"/>
      <c r="CX132" s="557"/>
      <c r="CY132" s="557"/>
      <c r="CZ132" s="557"/>
      <c r="DA132" s="557"/>
      <c r="DB132" s="557"/>
    </row>
    <row r="133" spans="1:119" s="699" customFormat="1" ht="12.75" customHeight="1">
      <c r="A133" s="664"/>
      <c r="B133" s="664"/>
      <c r="C133" s="666"/>
      <c r="D133" s="858"/>
      <c r="E133" s="3625" t="s">
        <v>1568</v>
      </c>
      <c r="F133" s="3626"/>
      <c r="G133" s="1622" t="str">
        <f t="shared" ref="G133:N133" si="321">G128</f>
        <v>Q1</v>
      </c>
      <c r="H133" s="1622" t="str">
        <f t="shared" si="321"/>
        <v>Q2</v>
      </c>
      <c r="I133" s="1622" t="str">
        <f t="shared" si="321"/>
        <v>Q3</v>
      </c>
      <c r="J133" s="1622" t="str">
        <f t="shared" si="321"/>
        <v>Q4</v>
      </c>
      <c r="K133" s="1623" t="str">
        <f t="shared" si="321"/>
        <v>Q1</v>
      </c>
      <c r="L133" s="1622" t="str">
        <f t="shared" si="321"/>
        <v>Q2</v>
      </c>
      <c r="M133" s="1622" t="str">
        <f t="shared" si="321"/>
        <v>Q3</v>
      </c>
      <c r="N133" s="1624" t="str">
        <f t="shared" si="321"/>
        <v>Q4</v>
      </c>
      <c r="O133" s="1623" t="str">
        <f t="shared" ref="O133:AX133" si="322">O128</f>
        <v>Q1</v>
      </c>
      <c r="P133" s="1622" t="str">
        <f t="shared" si="322"/>
        <v>Q2</v>
      </c>
      <c r="Q133" s="1622" t="str">
        <f t="shared" si="322"/>
        <v>Q3</v>
      </c>
      <c r="R133" s="1624" t="str">
        <f t="shared" si="322"/>
        <v>Q4</v>
      </c>
      <c r="S133" s="1623" t="str">
        <f t="shared" si="322"/>
        <v>Q1</v>
      </c>
      <c r="T133" s="1622" t="str">
        <f t="shared" si="322"/>
        <v>Q2</v>
      </c>
      <c r="U133" s="1622" t="str">
        <f t="shared" si="322"/>
        <v>Q3</v>
      </c>
      <c r="V133" s="1624" t="str">
        <f t="shared" si="322"/>
        <v>Q4</v>
      </c>
      <c r="W133" s="1623" t="str">
        <f t="shared" si="322"/>
        <v>Q1</v>
      </c>
      <c r="X133" s="1622" t="str">
        <f t="shared" si="322"/>
        <v>Q2</v>
      </c>
      <c r="Y133" s="1622" t="str">
        <f t="shared" si="322"/>
        <v>Q3</v>
      </c>
      <c r="Z133" s="1624" t="str">
        <f t="shared" si="322"/>
        <v>Q4</v>
      </c>
      <c r="AA133" s="1623" t="str">
        <f t="shared" si="322"/>
        <v>Q1</v>
      </c>
      <c r="AB133" s="1622" t="str">
        <f t="shared" si="322"/>
        <v>Q2</v>
      </c>
      <c r="AC133" s="1622" t="str">
        <f t="shared" si="322"/>
        <v>Q3</v>
      </c>
      <c r="AD133" s="1624" t="str">
        <f t="shared" si="322"/>
        <v>Q4</v>
      </c>
      <c r="AE133" s="1623" t="str">
        <f t="shared" si="322"/>
        <v>Q1</v>
      </c>
      <c r="AF133" s="1622" t="str">
        <f t="shared" si="322"/>
        <v>Q2</v>
      </c>
      <c r="AG133" s="1622" t="str">
        <f t="shared" si="322"/>
        <v>Q3</v>
      </c>
      <c r="AH133" s="1624" t="str">
        <f t="shared" si="322"/>
        <v>Q4</v>
      </c>
      <c r="AI133" s="1623" t="str">
        <f t="shared" si="322"/>
        <v>Q1</v>
      </c>
      <c r="AJ133" s="1622" t="str">
        <f t="shared" si="322"/>
        <v>Q2</v>
      </c>
      <c r="AK133" s="1622" t="str">
        <f t="shared" si="322"/>
        <v>Q3</v>
      </c>
      <c r="AL133" s="1624" t="str">
        <f t="shared" si="322"/>
        <v>Q4</v>
      </c>
      <c r="AM133" s="1623" t="str">
        <f t="shared" si="322"/>
        <v>Q1</v>
      </c>
      <c r="AN133" s="1622" t="str">
        <f t="shared" si="322"/>
        <v>Q2</v>
      </c>
      <c r="AO133" s="1622" t="str">
        <f t="shared" si="322"/>
        <v>Q3</v>
      </c>
      <c r="AP133" s="1624" t="str">
        <f t="shared" si="322"/>
        <v>Q4</v>
      </c>
      <c r="AQ133" s="1623" t="str">
        <f t="shared" si="322"/>
        <v>Q1</v>
      </c>
      <c r="AR133" s="1622" t="str">
        <f t="shared" si="322"/>
        <v>Q2</v>
      </c>
      <c r="AS133" s="1622" t="str">
        <f t="shared" si="322"/>
        <v>Q3</v>
      </c>
      <c r="AT133" s="1624" t="str">
        <f t="shared" si="322"/>
        <v>Q4</v>
      </c>
      <c r="AU133" s="1623" t="str">
        <f t="shared" si="322"/>
        <v>Q1</v>
      </c>
      <c r="AV133" s="1622" t="str">
        <f t="shared" si="322"/>
        <v>Q2</v>
      </c>
      <c r="AW133" s="1622" t="str">
        <f t="shared" si="322"/>
        <v>Q3</v>
      </c>
      <c r="AX133" s="1624" t="str">
        <f t="shared" si="322"/>
        <v>Q4</v>
      </c>
      <c r="AY133" s="1623" t="str">
        <f t="shared" ref="AY133:BF133" si="323">AY128</f>
        <v>Q1</v>
      </c>
      <c r="AZ133" s="1622" t="str">
        <f t="shared" si="323"/>
        <v>Q2</v>
      </c>
      <c r="BA133" s="1556" t="str">
        <f t="shared" si="323"/>
        <v>Q3</v>
      </c>
      <c r="BB133" s="1556" t="str">
        <f t="shared" si="323"/>
        <v>Q4</v>
      </c>
      <c r="BC133" s="1556" t="str">
        <f t="shared" si="323"/>
        <v>Q1</v>
      </c>
      <c r="BD133" s="1556" t="str">
        <f t="shared" si="323"/>
        <v>Q2</v>
      </c>
      <c r="BE133" s="1556" t="str">
        <f t="shared" si="323"/>
        <v>Q3</v>
      </c>
      <c r="BF133" s="1624" t="str">
        <f t="shared" si="323"/>
        <v>Q4</v>
      </c>
      <c r="BG133" s="1556" t="str">
        <f t="shared" ref="BG133:BN133" si="324">BG128</f>
        <v>Q1</v>
      </c>
      <c r="BH133" s="1556" t="str">
        <f t="shared" si="324"/>
        <v>Q2</v>
      </c>
      <c r="BI133" s="1556" t="str">
        <f t="shared" si="324"/>
        <v>Q3</v>
      </c>
      <c r="BJ133" s="1624" t="str">
        <f t="shared" si="324"/>
        <v>Q4</v>
      </c>
      <c r="BK133" s="1556" t="str">
        <f t="shared" si="324"/>
        <v>Q1</v>
      </c>
      <c r="BL133" s="1556" t="str">
        <f t="shared" si="324"/>
        <v>Q2</v>
      </c>
      <c r="BM133" s="1556" t="str">
        <f t="shared" si="324"/>
        <v>Q3</v>
      </c>
      <c r="BN133" s="1556" t="str">
        <f t="shared" si="324"/>
        <v>Q4</v>
      </c>
      <c r="BO133" s="1556" t="str">
        <f t="shared" ref="BO133:CD133" si="325">BO128</f>
        <v>Q1</v>
      </c>
      <c r="BP133" s="1556" t="str">
        <f t="shared" si="325"/>
        <v>Q2</v>
      </c>
      <c r="BQ133" s="1556" t="str">
        <f t="shared" si="325"/>
        <v>Q3</v>
      </c>
      <c r="BR133" s="1556" t="str">
        <f t="shared" si="325"/>
        <v>Q4</v>
      </c>
      <c r="BS133" s="1556" t="str">
        <f t="shared" si="325"/>
        <v>Q1</v>
      </c>
      <c r="BT133" s="1556" t="str">
        <f t="shared" si="325"/>
        <v>Q2</v>
      </c>
      <c r="BU133" s="1556" t="str">
        <f t="shared" si="325"/>
        <v>Q3</v>
      </c>
      <c r="BV133" s="1556" t="str">
        <f t="shared" si="325"/>
        <v>Q4</v>
      </c>
      <c r="BW133" s="1556" t="str">
        <f t="shared" si="325"/>
        <v>Q1</v>
      </c>
      <c r="BX133" s="1556" t="str">
        <f t="shared" si="325"/>
        <v>Q2</v>
      </c>
      <c r="BY133" s="1556" t="str">
        <f t="shared" si="325"/>
        <v>Q3</v>
      </c>
      <c r="BZ133" s="1556" t="str">
        <f t="shared" si="325"/>
        <v>Q4</v>
      </c>
      <c r="CA133" s="1556" t="str">
        <f t="shared" si="325"/>
        <v>Q1</v>
      </c>
      <c r="CB133" s="1556" t="str">
        <f t="shared" si="325"/>
        <v>Q2</v>
      </c>
      <c r="CC133" s="1556" t="str">
        <f t="shared" si="325"/>
        <v>Q3</v>
      </c>
      <c r="CD133" s="1556" t="str">
        <f t="shared" si="325"/>
        <v>Q4</v>
      </c>
      <c r="CE133" s="1556" t="str">
        <f t="shared" ref="CE133:CL133" si="326">CE128</f>
        <v>Q1</v>
      </c>
      <c r="CF133" s="1556" t="str">
        <f t="shared" si="326"/>
        <v>Q2</v>
      </c>
      <c r="CG133" s="1556" t="str">
        <f t="shared" si="326"/>
        <v>Q3</v>
      </c>
      <c r="CH133" s="1556" t="str">
        <f t="shared" si="326"/>
        <v>Q4</v>
      </c>
      <c r="CI133" s="1556" t="str">
        <f t="shared" si="326"/>
        <v>Q1</v>
      </c>
      <c r="CJ133" s="1556" t="str">
        <f t="shared" si="326"/>
        <v>Q2</v>
      </c>
      <c r="CK133" s="1556" t="str">
        <f t="shared" si="326"/>
        <v>Q3</v>
      </c>
      <c r="CL133" s="1556" t="str">
        <f t="shared" si="326"/>
        <v>Q4</v>
      </c>
      <c r="CM133" s="1556" t="str">
        <f t="shared" ref="CM133:CT133" si="327">CM128</f>
        <v>Q1</v>
      </c>
      <c r="CN133" s="1556" t="str">
        <f t="shared" si="327"/>
        <v>Q2</v>
      </c>
      <c r="CO133" s="1556" t="str">
        <f t="shared" si="327"/>
        <v>Q3</v>
      </c>
      <c r="CP133" s="1556" t="str">
        <f t="shared" si="327"/>
        <v>Q4</v>
      </c>
      <c r="CQ133" s="1556" t="str">
        <f t="shared" si="327"/>
        <v>Q1</v>
      </c>
      <c r="CR133" s="1556" t="str">
        <f t="shared" si="327"/>
        <v>Q2</v>
      </c>
      <c r="CS133" s="1556" t="str">
        <f t="shared" si="327"/>
        <v>Q3</v>
      </c>
      <c r="CT133" s="1556" t="str">
        <f t="shared" si="327"/>
        <v>Q4</v>
      </c>
      <c r="CU133" s="1556" t="str">
        <f t="shared" ref="CU133:DB133" si="328">CU128</f>
        <v>Q1</v>
      </c>
      <c r="CV133" s="1556" t="str">
        <f t="shared" si="328"/>
        <v>Q2</v>
      </c>
      <c r="CW133" s="1556" t="str">
        <f t="shared" si="328"/>
        <v>Q3</v>
      </c>
      <c r="CX133" s="1556" t="str">
        <f t="shared" si="328"/>
        <v>Q4</v>
      </c>
      <c r="CY133" s="1556" t="str">
        <f t="shared" si="328"/>
        <v>Q1</v>
      </c>
      <c r="CZ133" s="1556" t="str">
        <f t="shared" si="328"/>
        <v>Q2</v>
      </c>
      <c r="DA133" s="1556" t="str">
        <f t="shared" si="328"/>
        <v>Q3</v>
      </c>
      <c r="DB133" s="1556" t="str">
        <f t="shared" si="328"/>
        <v>Q4</v>
      </c>
      <c r="DC133"/>
      <c r="DD133"/>
      <c r="DE133"/>
      <c r="DF133"/>
      <c r="DG133"/>
      <c r="DH133"/>
      <c r="DI133"/>
      <c r="DJ133"/>
      <c r="DK133"/>
      <c r="DL133"/>
      <c r="DM133"/>
      <c r="DN133"/>
      <c r="DO133"/>
    </row>
    <row r="134" spans="1:119" s="699" customFormat="1" ht="12.75" customHeight="1">
      <c r="B134" s="664"/>
      <c r="C134" s="1625"/>
      <c r="D134" s="1626"/>
      <c r="E134" s="3639" t="s">
        <v>1569</v>
      </c>
      <c r="F134" s="3640"/>
      <c r="G134" s="1627">
        <f t="shared" ref="G134:AL134" si="329">G124/G258*100</f>
        <v>-0.74890548544939561</v>
      </c>
      <c r="H134" s="1627">
        <f t="shared" si="329"/>
        <v>-2.9461950869824225</v>
      </c>
      <c r="I134" s="1627">
        <f t="shared" si="329"/>
        <v>-2.4165219848992612</v>
      </c>
      <c r="J134" s="1627">
        <f t="shared" si="329"/>
        <v>-3.757849390285978</v>
      </c>
      <c r="K134" s="1627">
        <f t="shared" si="329"/>
        <v>-3.7643064133711919</v>
      </c>
      <c r="L134" s="1627">
        <f t="shared" si="329"/>
        <v>-3.0829365779110098</v>
      </c>
      <c r="M134" s="1627">
        <f t="shared" si="329"/>
        <v>-1.2630542431616096</v>
      </c>
      <c r="N134" s="1627">
        <f t="shared" si="329"/>
        <v>-1.6756309474555253</v>
      </c>
      <c r="O134" s="1627">
        <f t="shared" si="329"/>
        <v>-0.36240615441653473</v>
      </c>
      <c r="P134" s="1627">
        <f t="shared" si="329"/>
        <v>-1.0777797736665477E-2</v>
      </c>
      <c r="Q134" s="1627">
        <f t="shared" si="329"/>
        <v>-1.9391306623400433</v>
      </c>
      <c r="R134" s="1627">
        <f t="shared" si="329"/>
        <v>1.0510549064920598</v>
      </c>
      <c r="S134" s="1627">
        <f t="shared" si="329"/>
        <v>-0.78654983019579794</v>
      </c>
      <c r="T134" s="1627">
        <f t="shared" si="329"/>
        <v>-6.5112215546158606E-2</v>
      </c>
      <c r="U134" s="1627">
        <f t="shared" si="329"/>
        <v>0.48919124192507424</v>
      </c>
      <c r="V134" s="1627">
        <f t="shared" si="329"/>
        <v>-2.0456995394113613</v>
      </c>
      <c r="W134" s="1627">
        <f t="shared" si="329"/>
        <v>-1.6466159803003022</v>
      </c>
      <c r="X134" s="1627">
        <f t="shared" si="329"/>
        <v>-1.7231694422416071</v>
      </c>
      <c r="Y134" s="1627">
        <f t="shared" si="329"/>
        <v>-1.7356710617976083</v>
      </c>
      <c r="Z134" s="1627">
        <f t="shared" si="329"/>
        <v>-0.8213070515076859</v>
      </c>
      <c r="AA134" s="1627">
        <f t="shared" si="329"/>
        <v>-1.2082683947174169</v>
      </c>
      <c r="AB134" s="1627">
        <f t="shared" si="329"/>
        <v>-1.3251849990679121</v>
      </c>
      <c r="AC134" s="1627">
        <f t="shared" si="329"/>
        <v>-2.0669684995280555</v>
      </c>
      <c r="AD134" s="1627">
        <f t="shared" si="329"/>
        <v>-2.3812896422556933</v>
      </c>
      <c r="AE134" s="1627">
        <f t="shared" si="329"/>
        <v>-1.9996173713411096</v>
      </c>
      <c r="AF134" s="1627">
        <f t="shared" si="329"/>
        <v>-1.2855852130901473</v>
      </c>
      <c r="AG134" s="1627">
        <f t="shared" si="329"/>
        <v>-0.8979995356466135</v>
      </c>
      <c r="AH134" s="1627">
        <f t="shared" si="329"/>
        <v>-0.64734151104869353</v>
      </c>
      <c r="AI134" s="1627">
        <f t="shared" si="329"/>
        <v>-0.73750182189184998</v>
      </c>
      <c r="AJ134" s="1627">
        <f t="shared" si="329"/>
        <v>0.80117203258476977</v>
      </c>
      <c r="AK134" s="1627">
        <f t="shared" si="329"/>
        <v>0.50720043474323073</v>
      </c>
      <c r="AL134" s="1627">
        <f t="shared" si="329"/>
        <v>-1.0894337964742746</v>
      </c>
      <c r="AM134" s="1627">
        <f t="shared" ref="AM134:BN134" si="330">AM124/AM258*100</f>
        <v>-1.0372282626591227</v>
      </c>
      <c r="AN134" s="1627">
        <f t="shared" si="330"/>
        <v>-0.40600050587922354</v>
      </c>
      <c r="AO134" s="1627">
        <f t="shared" si="330"/>
        <v>1.0374308589902257</v>
      </c>
      <c r="AP134" s="1627">
        <f t="shared" si="330"/>
        <v>1.2660349944739011</v>
      </c>
      <c r="AQ134" s="1627">
        <f t="shared" si="330"/>
        <v>2.9556017612524421</v>
      </c>
      <c r="AR134" s="1627">
        <f t="shared" si="330"/>
        <v>1.9752062639337042</v>
      </c>
      <c r="AS134" s="1627">
        <f t="shared" si="330"/>
        <v>1.2047905618780934</v>
      </c>
      <c r="AT134" s="1627">
        <f t="shared" si="330"/>
        <v>2.1677870676482067</v>
      </c>
      <c r="AU134" s="1627">
        <f t="shared" si="330"/>
        <v>-1.2538207223504476</v>
      </c>
      <c r="AV134" s="1627">
        <f t="shared" si="330"/>
        <v>0.69349407224024584</v>
      </c>
      <c r="AW134" s="1627">
        <f t="shared" si="330"/>
        <v>-1.863808925955819</v>
      </c>
      <c r="AX134" s="1627">
        <f t="shared" si="330"/>
        <v>0.20892992811641573</v>
      </c>
      <c r="AY134" s="1627">
        <f t="shared" si="330"/>
        <v>-7.8636959370902329E-2</v>
      </c>
      <c r="AZ134" s="1627">
        <f t="shared" si="330"/>
        <v>-3.7246145969622857</v>
      </c>
      <c r="BA134" s="1627">
        <f t="shared" si="330"/>
        <v>-2.6558939878947152</v>
      </c>
      <c r="BB134" s="1627">
        <f t="shared" si="330"/>
        <v>-1.1552140743355162</v>
      </c>
      <c r="BC134" s="1627">
        <f t="shared" si="330"/>
        <v>-1.973987639516652</v>
      </c>
      <c r="BD134" s="1627">
        <f t="shared" si="330"/>
        <v>-0.26521120805626858</v>
      </c>
      <c r="BE134" s="1627">
        <f t="shared" si="330"/>
        <v>-0.41303235628096069</v>
      </c>
      <c r="BF134" s="1627">
        <f t="shared" si="330"/>
        <v>0.16547565056445301</v>
      </c>
      <c r="BG134" s="1627">
        <f t="shared" si="330"/>
        <v>0.9719382098598125</v>
      </c>
      <c r="BH134" s="1627">
        <f t="shared" si="330"/>
        <v>0.72425711738339438</v>
      </c>
      <c r="BI134" s="1627">
        <f t="shared" si="330"/>
        <v>2.065738134044552</v>
      </c>
      <c r="BJ134" s="1627">
        <f t="shared" si="330"/>
        <v>0.8284910965323331</v>
      </c>
      <c r="BK134" s="1628">
        <f t="shared" si="330"/>
        <v>-7.6148702092471421</v>
      </c>
      <c r="BL134" s="1628">
        <f t="shared" si="330"/>
        <v>-3.687553598162765</v>
      </c>
      <c r="BM134" s="1628">
        <f t="shared" si="330"/>
        <v>-0.78030171666377823</v>
      </c>
      <c r="BN134" s="1628">
        <f t="shared" si="330"/>
        <v>-2.518529390181258</v>
      </c>
      <c r="BO134" s="1628">
        <f t="shared" ref="BO134:CE134" si="331">BO124/BO258*100</f>
        <v>0.75721241188867294</v>
      </c>
      <c r="BP134" s="1628">
        <f t="shared" si="331"/>
        <v>2.3386128423580557</v>
      </c>
      <c r="BQ134" s="1628">
        <f t="shared" si="331"/>
        <v>-0.53355839102821101</v>
      </c>
      <c r="BR134" s="1628">
        <f t="shared" si="331"/>
        <v>2.3407076558029178</v>
      </c>
      <c r="BS134" s="1628">
        <f t="shared" si="331"/>
        <v>2.8654001561451339</v>
      </c>
      <c r="BT134" s="1628">
        <f t="shared" si="331"/>
        <v>1.1055533833978239</v>
      </c>
      <c r="BU134" s="1628">
        <f t="shared" si="331"/>
        <v>-0.3688601550553961</v>
      </c>
      <c r="BV134" s="1628">
        <f t="shared" si="331"/>
        <v>3.8424846300612991E-2</v>
      </c>
      <c r="BW134" s="1628">
        <f t="shared" si="331"/>
        <v>-0.45919844214626049</v>
      </c>
      <c r="BX134" s="1628">
        <f t="shared" si="331"/>
        <v>-3.0061357753806961</v>
      </c>
      <c r="BY134" s="1628">
        <f t="shared" si="331"/>
        <v>1.0728293470737529</v>
      </c>
      <c r="BZ134" s="1628">
        <f t="shared" si="331"/>
        <v>-1.8641063892182719</v>
      </c>
      <c r="CA134" s="1628">
        <f t="shared" si="331"/>
        <v>-3.188538565284881</v>
      </c>
      <c r="CB134" s="1628">
        <f t="shared" si="331"/>
        <v>-2.8420481912519371</v>
      </c>
      <c r="CC134" s="1628">
        <f t="shared" si="331"/>
        <v>-1.9992535456581215</v>
      </c>
      <c r="CD134" s="1628">
        <f t="shared" si="331"/>
        <v>-1.6967335413147207</v>
      </c>
      <c r="CE134" s="1628">
        <f t="shared" si="331"/>
        <v>-2.8405422853453843</v>
      </c>
      <c r="CF134" s="1628">
        <f t="shared" ref="CF134:CL134" si="332">CF124/CF258*100</f>
        <v>-3.1145636706838982</v>
      </c>
      <c r="CG134" s="1628">
        <f t="shared" si="332"/>
        <v>-3.1031320882196813</v>
      </c>
      <c r="CH134" s="1628">
        <f t="shared" si="332"/>
        <v>-1.7296789802477164</v>
      </c>
      <c r="CI134" s="1628">
        <f>CI124/CI258*100</f>
        <v>0.19287673858612858</v>
      </c>
      <c r="CJ134" s="1628">
        <f t="shared" si="332"/>
        <v>1.5310788820392227</v>
      </c>
      <c r="CK134" s="1628">
        <f t="shared" si="332"/>
        <v>-0.29240455585162778</v>
      </c>
      <c r="CL134" s="1628">
        <f t="shared" si="332"/>
        <v>0.30376885309596924</v>
      </c>
      <c r="CM134" s="1628">
        <f t="shared" ref="CM134:CT134" si="333">CM124/CM258*100</f>
        <v>-1.7061522394714927</v>
      </c>
      <c r="CN134" s="1628">
        <f t="shared" si="333"/>
        <v>0.15624635619505248</v>
      </c>
      <c r="CO134" s="1628">
        <f t="shared" si="333"/>
        <v>7.1553873141908017E-2</v>
      </c>
      <c r="CP134" s="1628">
        <f t="shared" si="333"/>
        <v>-0.21673910315640582</v>
      </c>
      <c r="CQ134" s="1628">
        <f>CQ124/CQ258*100</f>
        <v>-3.4982790723917051E-2</v>
      </c>
      <c r="CR134" s="1628">
        <f>CR124/CR258*100</f>
        <v>-1.8397552968594193</v>
      </c>
      <c r="CS134" s="1628">
        <f t="shared" si="333"/>
        <v>-9.1375083574772059E-2</v>
      </c>
      <c r="CT134" s="1628">
        <f t="shared" si="333"/>
        <v>-1.8988037646230984</v>
      </c>
      <c r="CU134" s="1628">
        <f t="shared" ref="CU134:DB134" si="334">CU124/CU258*100</f>
        <v>-1.1408173679182696</v>
      </c>
      <c r="CV134" s="1628">
        <f t="shared" si="334"/>
        <v>-0.87782655901667106</v>
      </c>
      <c r="CW134" s="1628">
        <f t="shared" si="334"/>
        <v>-0.78985290792442342</v>
      </c>
      <c r="CX134" s="1628">
        <f t="shared" si="334"/>
        <v>-1.0063826224170245</v>
      </c>
      <c r="CY134" s="1628">
        <f t="shared" si="334"/>
        <v>-0.99440241878043356</v>
      </c>
      <c r="CZ134" s="1628">
        <f t="shared" si="334"/>
        <v>-0.83737945049919571</v>
      </c>
      <c r="DA134" s="1628">
        <f t="shared" si="334"/>
        <v>-0.66858942834525592</v>
      </c>
      <c r="DB134" s="1628">
        <f t="shared" si="334"/>
        <v>-0.51741238415788593</v>
      </c>
      <c r="DC134"/>
      <c r="DD134"/>
      <c r="DE134"/>
      <c r="DF134"/>
      <c r="DG134"/>
      <c r="DH134"/>
      <c r="DI134"/>
      <c r="DJ134"/>
      <c r="DK134"/>
      <c r="DL134"/>
      <c r="DM134"/>
      <c r="DN134"/>
      <c r="DO134"/>
    </row>
    <row r="135" spans="1:119" ht="30" hidden="1" customHeight="1">
      <c r="E135" s="599"/>
      <c r="F135" s="3617"/>
      <c r="BB135" s="1693">
        <f>+BB134+BA134+AZ134+AY134</f>
        <v>-7.6143596185634195</v>
      </c>
      <c r="CM135" s="557"/>
      <c r="CN135" s="557"/>
      <c r="CO135" s="557"/>
      <c r="CP135" s="3682"/>
      <c r="CQ135" s="3681"/>
      <c r="CR135" s="3681"/>
      <c r="CS135" s="3681"/>
      <c r="CT135" s="3681"/>
      <c r="CU135" s="3682"/>
      <c r="CV135" s="557"/>
      <c r="CW135" s="557"/>
      <c r="CX135" s="557"/>
      <c r="CY135" s="557"/>
      <c r="CZ135" s="557"/>
      <c r="DA135" s="557"/>
      <c r="DB135" s="557"/>
    </row>
    <row r="136" spans="1:119" ht="30" hidden="1" customHeight="1">
      <c r="E136" s="599"/>
      <c r="F136" s="3617"/>
      <c r="CM136" s="557"/>
      <c r="CN136" s="557"/>
      <c r="CO136" s="557"/>
      <c r="CP136" s="557"/>
      <c r="CQ136" s="1693"/>
      <c r="CR136" s="557"/>
      <c r="CS136" s="557"/>
      <c r="CT136" s="557"/>
      <c r="CU136" s="557"/>
      <c r="CV136" s="557"/>
      <c r="CW136" s="557"/>
      <c r="CX136" s="557"/>
      <c r="CY136" s="557"/>
      <c r="CZ136" s="557"/>
      <c r="DA136" s="557"/>
      <c r="DB136" s="557"/>
    </row>
    <row r="137" spans="1:119" ht="30" customHeight="1">
      <c r="C137" s="3769" t="s">
        <v>2004</v>
      </c>
      <c r="D137" s="3769"/>
      <c r="E137" s="3769"/>
      <c r="F137" s="3769"/>
      <c r="CM137" s="557"/>
      <c r="CN137" s="557"/>
      <c r="CO137" s="557"/>
      <c r="CP137" s="557"/>
      <c r="CQ137" s="557"/>
      <c r="CR137" s="557"/>
      <c r="CS137" s="557"/>
      <c r="CT137" s="557"/>
      <c r="CU137" s="557"/>
      <c r="CV137" s="557"/>
      <c r="CW137" s="557"/>
      <c r="CX137" s="557"/>
      <c r="CY137" s="557"/>
      <c r="CZ137" s="557"/>
      <c r="DA137" s="557"/>
      <c r="DB137" s="557"/>
    </row>
    <row r="138" spans="1:119" s="884" customFormat="1" ht="12.75" customHeight="1">
      <c r="A138" s="664"/>
      <c r="B138" s="664"/>
      <c r="C138" s="666"/>
      <c r="D138" s="1041"/>
      <c r="E138" s="3632"/>
      <c r="F138" s="1041"/>
      <c r="G138" s="1044"/>
      <c r="H138" s="1559"/>
      <c r="I138" s="1559"/>
      <c r="J138" s="1559"/>
      <c r="K138" s="1044"/>
      <c r="L138" s="1559"/>
      <c r="M138" s="1559"/>
      <c r="N138" s="1559"/>
      <c r="O138" s="1044"/>
      <c r="P138" s="1559"/>
      <c r="Q138" s="1559"/>
      <c r="R138" s="1559"/>
      <c r="S138" s="1044"/>
      <c r="T138" s="1559"/>
      <c r="U138" s="1559"/>
      <c r="V138" s="1559"/>
      <c r="W138" s="1044"/>
      <c r="X138" s="1559"/>
      <c r="Y138" s="1559"/>
      <c r="Z138" s="1559"/>
      <c r="AA138" s="1044"/>
      <c r="AB138" s="1559"/>
      <c r="AC138" s="1559"/>
      <c r="AD138" s="1559"/>
      <c r="AE138" s="1044"/>
      <c r="AF138" s="1559"/>
      <c r="AG138" s="1559"/>
      <c r="AH138" s="1559"/>
      <c r="AI138" s="1044"/>
      <c r="AJ138" s="1559"/>
      <c r="AK138" s="1559"/>
      <c r="AL138" s="1559"/>
      <c r="AM138" s="1044"/>
      <c r="AN138" s="1559"/>
      <c r="AO138" s="1559"/>
      <c r="AP138" s="1559"/>
      <c r="AQ138" s="1044"/>
      <c r="AR138" s="1559"/>
      <c r="AS138" s="1559"/>
      <c r="AT138" s="1559"/>
      <c r="AU138" s="1044"/>
      <c r="AV138" s="1559"/>
      <c r="AW138" s="1559"/>
      <c r="AX138" s="1559"/>
      <c r="AY138" s="1560"/>
      <c r="AZ138" s="1559"/>
      <c r="BA138" s="1560"/>
      <c r="BB138" s="1560"/>
      <c r="BC138" s="1560"/>
      <c r="BD138" s="1560"/>
      <c r="BE138" s="1560"/>
      <c r="BF138" s="1560"/>
      <c r="BG138" s="1560"/>
      <c r="BH138" s="1560"/>
      <c r="BI138" s="1560"/>
      <c r="BJ138" s="1560"/>
      <c r="BK138" s="1560"/>
      <c r="BL138" s="1560"/>
      <c r="BM138" s="1560"/>
      <c r="BN138" s="1560"/>
      <c r="BO138" s="1560"/>
      <c r="BP138" s="1560"/>
      <c r="BQ138" s="1560"/>
      <c r="BR138" s="1560"/>
      <c r="BS138" s="1560"/>
      <c r="BT138" s="1560"/>
      <c r="BU138" s="1560"/>
      <c r="BV138" s="1560"/>
      <c r="BW138" s="1560"/>
      <c r="BX138" s="1560"/>
      <c r="BY138" s="1560"/>
      <c r="BZ138" s="1560"/>
      <c r="CA138" s="1560"/>
      <c r="CB138" s="1560"/>
      <c r="CC138" s="1560"/>
      <c r="CD138" s="1560"/>
      <c r="CE138" s="1560"/>
      <c r="CF138" s="1560"/>
      <c r="CG138" s="1560"/>
      <c r="CH138" s="1560"/>
      <c r="CI138" s="1560"/>
      <c r="CJ138" s="1560"/>
      <c r="CK138" s="1560"/>
      <c r="CL138" s="1560"/>
      <c r="CM138" s="1560"/>
      <c r="CN138" s="1560"/>
      <c r="CO138" s="1560"/>
      <c r="CP138" s="1560"/>
      <c r="CQ138" s="1560"/>
      <c r="CR138" s="1560"/>
      <c r="CS138" s="1560"/>
      <c r="CT138" s="1560"/>
      <c r="CU138" s="1560"/>
      <c r="CV138" s="1560"/>
      <c r="CW138" s="1560"/>
      <c r="CX138" s="1560"/>
      <c r="CY138" s="1560"/>
      <c r="CZ138" s="1560"/>
      <c r="DA138" s="1560"/>
      <c r="DB138" s="1560"/>
      <c r="DC138"/>
      <c r="DD138"/>
      <c r="DE138"/>
      <c r="DF138"/>
      <c r="DG138"/>
      <c r="DH138"/>
      <c r="DI138"/>
      <c r="DJ138"/>
      <c r="DK138"/>
      <c r="DL138"/>
      <c r="DM138"/>
      <c r="DN138"/>
      <c r="DO138"/>
    </row>
    <row r="139" spans="1:119" ht="12.75" customHeight="1">
      <c r="E139" s="599"/>
      <c r="F139" s="3617"/>
      <c r="G139" s="3764">
        <f ca="1">OFFSET(InputY!$G$3,0,(COLUMN()-7)/4)</f>
        <v>1995</v>
      </c>
      <c r="H139" s="3765"/>
      <c r="I139" s="3765"/>
      <c r="J139" s="3766"/>
      <c r="K139" s="3764">
        <f ca="1">OFFSET(InputY!$G$3,0,(COLUMN()-7)/4)</f>
        <v>1996</v>
      </c>
      <c r="L139" s="3765"/>
      <c r="M139" s="3765"/>
      <c r="N139" s="3766"/>
      <c r="O139" s="3764">
        <f ca="1">OFFSET(InputY!$G$3,0,(COLUMN()-7)/4)</f>
        <v>1997</v>
      </c>
      <c r="P139" s="3765"/>
      <c r="Q139" s="3765"/>
      <c r="R139" s="3766"/>
      <c r="S139" s="3764">
        <f ca="1">OFFSET(InputY!$G$3,0,(COLUMN()-7)/4)</f>
        <v>1998</v>
      </c>
      <c r="T139" s="3765"/>
      <c r="U139" s="3765"/>
      <c r="V139" s="3766"/>
      <c r="W139" s="3764">
        <f ca="1">OFFSET(InputY!$G$3,0,(COLUMN()-7)/4)</f>
        <v>1999</v>
      </c>
      <c r="X139" s="3765"/>
      <c r="Y139" s="3765"/>
      <c r="Z139" s="3766"/>
      <c r="AA139" s="3764">
        <f ca="1">OFFSET(InputY!$G$3,0,(COLUMN()-7)/4)</f>
        <v>2000</v>
      </c>
      <c r="AB139" s="3765"/>
      <c r="AC139" s="3765"/>
      <c r="AD139" s="3766"/>
      <c r="AE139" s="3764">
        <f ca="1">OFFSET(InputY!$G$3,0,(COLUMN()-7)/4)</f>
        <v>2001</v>
      </c>
      <c r="AF139" s="3765"/>
      <c r="AG139" s="3765"/>
      <c r="AH139" s="3766"/>
      <c r="AI139" s="3764">
        <f ca="1">OFFSET(InputY!$G$3,0,(COLUMN()-7)/4)</f>
        <v>2002</v>
      </c>
      <c r="AJ139" s="3765"/>
      <c r="AK139" s="3765"/>
      <c r="AL139" s="3766"/>
      <c r="AM139" s="3764">
        <f ca="1">OFFSET(InputY!$G$3,0,(COLUMN()-7)/4)</f>
        <v>2003</v>
      </c>
      <c r="AN139" s="3765"/>
      <c r="AO139" s="3765"/>
      <c r="AP139" s="3766"/>
      <c r="AQ139" s="3764">
        <f ca="1">OFFSET(InputY!$G$3,0,(COLUMN()-7)/4)</f>
        <v>2004</v>
      </c>
      <c r="AR139" s="3765"/>
      <c r="AS139" s="3765"/>
      <c r="AT139" s="3766"/>
      <c r="AU139" s="3764">
        <f ca="1">OFFSET(InputY!$G$3,0,(COLUMN()-7)/4)</f>
        <v>2005</v>
      </c>
      <c r="AV139" s="3765"/>
      <c r="AW139" s="3765"/>
      <c r="AX139" s="3766"/>
      <c r="AY139" s="3764">
        <f ca="1">OFFSET(InputY!$G$3,0,(COLUMN()-7)/4)</f>
        <v>2006</v>
      </c>
      <c r="AZ139" s="3765"/>
      <c r="BA139" s="3765"/>
      <c r="BB139" s="3766"/>
      <c r="BC139" s="3764">
        <f ca="1">OFFSET(InputY!$G$3,0,(COLUMN()-7)/4)</f>
        <v>2007</v>
      </c>
      <c r="BD139" s="3765"/>
      <c r="BE139" s="3765"/>
      <c r="BF139" s="3766"/>
      <c r="BG139" s="3764">
        <f ca="1">OFFSET(InputY!$G$3,0,(COLUMN()-7)/4)</f>
        <v>2008</v>
      </c>
      <c r="BH139" s="3765"/>
      <c r="BI139" s="3765"/>
      <c r="BJ139" s="3766"/>
      <c r="BK139" s="3764">
        <f ca="1">OFFSET(InputY!$G$3,0,(COLUMN()-7)/4)</f>
        <v>2009</v>
      </c>
      <c r="BL139" s="3765"/>
      <c r="BM139" s="3765"/>
      <c r="BN139" s="3766"/>
      <c r="BO139" s="3764">
        <f ca="1">OFFSET(InputY!$G$3,0,(COLUMN()-7)/4)</f>
        <v>2010</v>
      </c>
      <c r="BP139" s="3765"/>
      <c r="BQ139" s="3765"/>
      <c r="BR139" s="3766"/>
      <c r="BS139" s="3764">
        <f ca="1">OFFSET(InputY!$G$3,0,(COLUMN()-7)/4)</f>
        <v>2011</v>
      </c>
      <c r="BT139" s="3765"/>
      <c r="BU139" s="3765"/>
      <c r="BV139" s="3766"/>
      <c r="BW139" s="3764">
        <f ca="1">OFFSET(InputY!$G$3,0,(COLUMN()-7)/4)</f>
        <v>2012</v>
      </c>
      <c r="BX139" s="3765"/>
      <c r="BY139" s="3765"/>
      <c r="BZ139" s="3766"/>
      <c r="CA139" s="3764">
        <f ca="1">OFFSET(InputY!$G$3,0,(COLUMN()-7)/4)</f>
        <v>2013</v>
      </c>
      <c r="CB139" s="3765"/>
      <c r="CC139" s="3765"/>
      <c r="CD139" s="3766"/>
      <c r="CE139" s="3764">
        <f ca="1">OFFSET(InputY!$G$3,0,(COLUMN()-7)/4)</f>
        <v>2014</v>
      </c>
      <c r="CF139" s="3765"/>
      <c r="CG139" s="3765"/>
      <c r="CH139" s="3766"/>
      <c r="CI139" s="3764">
        <f ca="1">OFFSET(InputY!$G$3,0,(COLUMN()-7)/4)</f>
        <v>2015</v>
      </c>
      <c r="CJ139" s="3765"/>
      <c r="CK139" s="3765"/>
      <c r="CL139" s="3766"/>
      <c r="CM139" s="3764">
        <f ca="1">OFFSET(InputY!$G$3,0,(COLUMN()-7)/4)</f>
        <v>2016</v>
      </c>
      <c r="CN139" s="3765"/>
      <c r="CO139" s="3765"/>
      <c r="CP139" s="3766"/>
      <c r="CQ139" s="3764">
        <f ca="1">OFFSET(InputY!$G$3,0,(COLUMN()-7)/4)</f>
        <v>2017</v>
      </c>
      <c r="CR139" s="3765"/>
      <c r="CS139" s="3765"/>
      <c r="CT139" s="3766"/>
      <c r="CU139" s="3764">
        <f ca="1">OFFSET(InputY!$G$3,0,(COLUMN()-7)/4)</f>
        <v>2018</v>
      </c>
      <c r="CV139" s="3765"/>
      <c r="CW139" s="3765"/>
      <c r="CX139" s="3766"/>
      <c r="CY139" s="3764">
        <f ca="1">OFFSET(InputY!$G$3,0,(COLUMN()-7)/4)</f>
        <v>2019</v>
      </c>
      <c r="CZ139" s="3765"/>
      <c r="DA139" s="3765"/>
      <c r="DB139" s="3766"/>
    </row>
    <row r="140" spans="1:119" s="699" customFormat="1" ht="12.75" customHeight="1">
      <c r="A140" s="664"/>
      <c r="B140" s="664"/>
      <c r="C140" s="666"/>
      <c r="D140" s="695"/>
      <c r="E140" s="3618" t="s">
        <v>1892</v>
      </c>
      <c r="F140" s="3619"/>
      <c r="G140" s="1566" t="s">
        <v>1842</v>
      </c>
      <c r="H140" s="1567" t="s">
        <v>1843</v>
      </c>
      <c r="I140" s="1567" t="s">
        <v>1844</v>
      </c>
      <c r="J140" s="1568" t="s">
        <v>1845</v>
      </c>
      <c r="K140" s="1566" t="s">
        <v>1842</v>
      </c>
      <c r="L140" s="1567" t="s">
        <v>1843</v>
      </c>
      <c r="M140" s="1567" t="s">
        <v>1844</v>
      </c>
      <c r="N140" s="1568" t="s">
        <v>1845</v>
      </c>
      <c r="O140" s="1566" t="s">
        <v>1842</v>
      </c>
      <c r="P140" s="1567" t="s">
        <v>1843</v>
      </c>
      <c r="Q140" s="1567" t="s">
        <v>1844</v>
      </c>
      <c r="R140" s="1568" t="s">
        <v>1845</v>
      </c>
      <c r="S140" s="1566" t="s">
        <v>1842</v>
      </c>
      <c r="T140" s="1567" t="s">
        <v>1843</v>
      </c>
      <c r="U140" s="1567" t="s">
        <v>1844</v>
      </c>
      <c r="V140" s="1568" t="s">
        <v>1845</v>
      </c>
      <c r="W140" s="1566" t="s">
        <v>1842</v>
      </c>
      <c r="X140" s="1567" t="s">
        <v>1843</v>
      </c>
      <c r="Y140" s="1567" t="s">
        <v>1844</v>
      </c>
      <c r="Z140" s="1568" t="s">
        <v>1845</v>
      </c>
      <c r="AA140" s="1566" t="s">
        <v>1842</v>
      </c>
      <c r="AB140" s="1567" t="s">
        <v>1843</v>
      </c>
      <c r="AC140" s="1567" t="s">
        <v>1844</v>
      </c>
      <c r="AD140" s="1568" t="s">
        <v>1845</v>
      </c>
      <c r="AE140" s="1566" t="s">
        <v>1842</v>
      </c>
      <c r="AF140" s="1567" t="s">
        <v>1843</v>
      </c>
      <c r="AG140" s="1567" t="s">
        <v>1844</v>
      </c>
      <c r="AH140" s="1568" t="s">
        <v>1845</v>
      </c>
      <c r="AI140" s="1566" t="s">
        <v>1842</v>
      </c>
      <c r="AJ140" s="1567" t="s">
        <v>1843</v>
      </c>
      <c r="AK140" s="1567" t="s">
        <v>1844</v>
      </c>
      <c r="AL140" s="1568" t="s">
        <v>1845</v>
      </c>
      <c r="AM140" s="1566" t="s">
        <v>1842</v>
      </c>
      <c r="AN140" s="1567" t="s">
        <v>1843</v>
      </c>
      <c r="AO140" s="1567" t="s">
        <v>1844</v>
      </c>
      <c r="AP140" s="1568" t="s">
        <v>1845</v>
      </c>
      <c r="AQ140" s="1566" t="s">
        <v>1842</v>
      </c>
      <c r="AR140" s="1567" t="s">
        <v>1843</v>
      </c>
      <c r="AS140" s="1567" t="s">
        <v>1844</v>
      </c>
      <c r="AT140" s="1568" t="s">
        <v>1845</v>
      </c>
      <c r="AU140" s="1566" t="s">
        <v>1842</v>
      </c>
      <c r="AV140" s="1567" t="s">
        <v>1843</v>
      </c>
      <c r="AW140" s="1567" t="s">
        <v>1844</v>
      </c>
      <c r="AX140" s="1568" t="s">
        <v>1845</v>
      </c>
      <c r="AY140" s="1566" t="s">
        <v>1842</v>
      </c>
      <c r="AZ140" s="1567" t="s">
        <v>1843</v>
      </c>
      <c r="BA140" s="1567" t="s">
        <v>1844</v>
      </c>
      <c r="BB140" s="1568" t="s">
        <v>1845</v>
      </c>
      <c r="BC140" s="1566" t="s">
        <v>1842</v>
      </c>
      <c r="BD140" s="1567" t="s">
        <v>1843</v>
      </c>
      <c r="BE140" s="1567" t="s">
        <v>1844</v>
      </c>
      <c r="BF140" s="1568" t="s">
        <v>1845</v>
      </c>
      <c r="BG140" s="1566" t="s">
        <v>1842</v>
      </c>
      <c r="BH140" s="1567" t="s">
        <v>1843</v>
      </c>
      <c r="BI140" s="1567" t="s">
        <v>1844</v>
      </c>
      <c r="BJ140" s="1568" t="s">
        <v>1845</v>
      </c>
      <c r="BK140" s="1566" t="s">
        <v>1842</v>
      </c>
      <c r="BL140" s="1567" t="s">
        <v>1843</v>
      </c>
      <c r="BM140" s="1567" t="s">
        <v>1844</v>
      </c>
      <c r="BN140" s="1568" t="s">
        <v>1845</v>
      </c>
      <c r="BO140" s="1566" t="s">
        <v>1842</v>
      </c>
      <c r="BP140" s="1567" t="s">
        <v>1843</v>
      </c>
      <c r="BQ140" s="1567" t="s">
        <v>1844</v>
      </c>
      <c r="BR140" s="1568" t="s">
        <v>1845</v>
      </c>
      <c r="BS140" s="1566" t="s">
        <v>1842</v>
      </c>
      <c r="BT140" s="1567" t="s">
        <v>1843</v>
      </c>
      <c r="BU140" s="1567" t="s">
        <v>1844</v>
      </c>
      <c r="BV140" s="1568" t="s">
        <v>1845</v>
      </c>
      <c r="BW140" s="1566" t="s">
        <v>1842</v>
      </c>
      <c r="BX140" s="1567" t="s">
        <v>1843</v>
      </c>
      <c r="BY140" s="1567" t="s">
        <v>1844</v>
      </c>
      <c r="BZ140" s="1568" t="s">
        <v>1845</v>
      </c>
      <c r="CA140" s="1566" t="s">
        <v>1842</v>
      </c>
      <c r="CB140" s="1567" t="s">
        <v>1843</v>
      </c>
      <c r="CC140" s="1567" t="s">
        <v>1844</v>
      </c>
      <c r="CD140" s="1568" t="s">
        <v>1845</v>
      </c>
      <c r="CE140" s="1566" t="s">
        <v>1842</v>
      </c>
      <c r="CF140" s="1567" t="s">
        <v>1843</v>
      </c>
      <c r="CG140" s="1567" t="s">
        <v>1844</v>
      </c>
      <c r="CH140" s="1568" t="s">
        <v>1845</v>
      </c>
      <c r="CI140" s="1566" t="s">
        <v>1842</v>
      </c>
      <c r="CJ140" s="1567" t="s">
        <v>1843</v>
      </c>
      <c r="CK140" s="1567" t="s">
        <v>1844</v>
      </c>
      <c r="CL140" s="1568" t="s">
        <v>1845</v>
      </c>
      <c r="CM140" s="1566" t="s">
        <v>1842</v>
      </c>
      <c r="CN140" s="1567" t="s">
        <v>1843</v>
      </c>
      <c r="CO140" s="1567" t="s">
        <v>1844</v>
      </c>
      <c r="CP140" s="1568" t="s">
        <v>1845</v>
      </c>
      <c r="CQ140" s="1566" t="s">
        <v>1842</v>
      </c>
      <c r="CR140" s="1567" t="s">
        <v>1843</v>
      </c>
      <c r="CS140" s="1567" t="s">
        <v>1844</v>
      </c>
      <c r="CT140" s="1568" t="s">
        <v>1845</v>
      </c>
      <c r="CU140" s="1566" t="s">
        <v>1842</v>
      </c>
      <c r="CV140" s="1567" t="s">
        <v>1843</v>
      </c>
      <c r="CW140" s="1567" t="s">
        <v>1844</v>
      </c>
      <c r="CX140" s="1568" t="s">
        <v>1845</v>
      </c>
      <c r="CY140" s="1566" t="s">
        <v>1842</v>
      </c>
      <c r="CZ140" s="1567" t="s">
        <v>1843</v>
      </c>
      <c r="DA140" s="1567" t="s">
        <v>1844</v>
      </c>
      <c r="DB140" s="1568" t="s">
        <v>1845</v>
      </c>
      <c r="DC140"/>
      <c r="DD140"/>
      <c r="DE140"/>
      <c r="DF140"/>
      <c r="DG140"/>
      <c r="DH140"/>
      <c r="DI140"/>
      <c r="DJ140"/>
      <c r="DK140"/>
      <c r="DL140"/>
      <c r="DM140"/>
      <c r="DN140"/>
      <c r="DO140"/>
    </row>
    <row r="141" spans="1:119" s="699" customFormat="1" ht="12.75" customHeight="1">
      <c r="A141" s="664"/>
      <c r="B141" s="664"/>
      <c r="C141" s="1561" t="s">
        <v>1767</v>
      </c>
      <c r="D141" s="668"/>
      <c r="E141" s="3620" t="str">
        <f>E105</f>
        <v>Domestic demand (excl. Inventories)</v>
      </c>
      <c r="F141" s="3621"/>
      <c r="G141" s="780">
        <f t="shared" ref="G141:N141" si="335">G105</f>
        <v>2.8376679796107505</v>
      </c>
      <c r="H141" s="780">
        <f t="shared" si="335"/>
        <v>2.8977930954587583</v>
      </c>
      <c r="I141" s="780">
        <f t="shared" si="335"/>
        <v>2.9401065801668209</v>
      </c>
      <c r="J141" s="780">
        <f t="shared" si="335"/>
        <v>3.0087175625579246</v>
      </c>
      <c r="K141" s="780">
        <f t="shared" si="335"/>
        <v>3.0370713623725676</v>
      </c>
      <c r="L141" s="780">
        <f t="shared" si="335"/>
        <v>3.0752143188137171</v>
      </c>
      <c r="M141" s="780">
        <f t="shared" si="335"/>
        <v>3.1052479147358669</v>
      </c>
      <c r="N141" s="780">
        <f t="shared" si="335"/>
        <v>3.2014886468952737</v>
      </c>
      <c r="O141" s="780">
        <f t="shared" ref="O141:AX141" si="336">O105</f>
        <v>3.2764133456904543</v>
      </c>
      <c r="P141" s="780">
        <f t="shared" si="336"/>
        <v>3.3100961538461542</v>
      </c>
      <c r="Q141" s="780">
        <f t="shared" si="336"/>
        <v>3.4043095458758117</v>
      </c>
      <c r="R141" s="780">
        <f t="shared" si="336"/>
        <v>3.4645505097312328</v>
      </c>
      <c r="S141" s="780">
        <f t="shared" si="336"/>
        <v>3.576720342910102</v>
      </c>
      <c r="T141" s="780">
        <f t="shared" si="336"/>
        <v>3.6032205746061168</v>
      </c>
      <c r="U141" s="780">
        <f t="shared" si="336"/>
        <v>3.6827791936978689</v>
      </c>
      <c r="V141" s="780">
        <f t="shared" si="336"/>
        <v>3.6595516682113072</v>
      </c>
      <c r="W141" s="780">
        <f t="shared" si="336"/>
        <v>3.60154077849861</v>
      </c>
      <c r="X141" s="780">
        <f t="shared" si="336"/>
        <v>3.7080919833178867</v>
      </c>
      <c r="Y141" s="780">
        <f t="shared" si="336"/>
        <v>3.6492991195551436</v>
      </c>
      <c r="Z141" s="780">
        <f t="shared" si="336"/>
        <v>3.6101135310472663</v>
      </c>
      <c r="AA141" s="780">
        <f t="shared" si="336"/>
        <v>3.6537013438368864</v>
      </c>
      <c r="AB141" s="780">
        <f t="shared" si="336"/>
        <v>3.7065280352177941</v>
      </c>
      <c r="AC141" s="780">
        <f t="shared" si="336"/>
        <v>3.7513032900834111</v>
      </c>
      <c r="AD141" s="780">
        <f t="shared" si="336"/>
        <v>3.8021316033364227</v>
      </c>
      <c r="AE141" s="780">
        <f t="shared" si="336"/>
        <v>3.885339434661724</v>
      </c>
      <c r="AF141" s="780">
        <f t="shared" si="336"/>
        <v>3.834974513438369</v>
      </c>
      <c r="AG141" s="780">
        <f t="shared" si="336"/>
        <v>3.8948679332715477</v>
      </c>
      <c r="AH141" s="780">
        <f t="shared" si="336"/>
        <v>4.0938079240037073</v>
      </c>
      <c r="AI141" s="780">
        <f t="shared" si="336"/>
        <v>4.1030468025949958</v>
      </c>
      <c r="AJ141" s="780">
        <f t="shared" si="336"/>
        <v>4.1157900834105661</v>
      </c>
      <c r="AK141" s="780">
        <f t="shared" si="336"/>
        <v>4.1770157553290082</v>
      </c>
      <c r="AL141" s="780">
        <f t="shared" si="336"/>
        <v>4.2818002780352185</v>
      </c>
      <c r="AM141" s="780">
        <f t="shared" si="336"/>
        <v>4.4176899907321596</v>
      </c>
      <c r="AN141" s="780">
        <f t="shared" si="336"/>
        <v>4.5391855885078778</v>
      </c>
      <c r="AO141" s="780">
        <f t="shared" si="336"/>
        <v>4.5989921223354955</v>
      </c>
      <c r="AP141" s="780">
        <f t="shared" si="336"/>
        <v>4.7559951343836895</v>
      </c>
      <c r="AQ141" s="780">
        <f t="shared" si="336"/>
        <v>4.8623436051899906</v>
      </c>
      <c r="AR141" s="780">
        <f t="shared" si="336"/>
        <v>5.0337117701575531</v>
      </c>
      <c r="AS141" s="780">
        <f t="shared" si="336"/>
        <v>5.1571767840593141</v>
      </c>
      <c r="AT141" s="780">
        <f t="shared" si="336"/>
        <v>5.2067886932344765</v>
      </c>
      <c r="AU141" s="780">
        <f t="shared" si="336"/>
        <v>6.8346</v>
      </c>
      <c r="AV141" s="780">
        <f t="shared" si="336"/>
        <v>7.0726000000000004</v>
      </c>
      <c r="AW141" s="780">
        <f t="shared" si="336"/>
        <v>7.2634999999999996</v>
      </c>
      <c r="AX141" s="780">
        <f t="shared" si="336"/>
        <v>7.4885999999999999</v>
      </c>
      <c r="AY141" s="780">
        <f t="shared" ref="AY141:BF141" si="337">AY105</f>
        <v>7.3826000000000001</v>
      </c>
      <c r="AZ141" s="780">
        <f t="shared" si="337"/>
        <v>7.6942999999999993</v>
      </c>
      <c r="BA141" s="780">
        <f t="shared" si="337"/>
        <v>8.0888000000000009</v>
      </c>
      <c r="BB141" s="780">
        <f t="shared" si="337"/>
        <v>8.2792000000000012</v>
      </c>
      <c r="BC141" s="780">
        <f t="shared" si="337"/>
        <v>8.5358000000000001</v>
      </c>
      <c r="BD141" s="780">
        <f t="shared" si="337"/>
        <v>8.8339999999999996</v>
      </c>
      <c r="BE141" s="780">
        <f t="shared" si="337"/>
        <v>8.8329000000000004</v>
      </c>
      <c r="BF141" s="780">
        <f t="shared" si="337"/>
        <v>9.1872000000000007</v>
      </c>
      <c r="BG141" s="780">
        <f t="shared" ref="BG141:BV141" si="338">BG105</f>
        <v>9.1905000000000001</v>
      </c>
      <c r="BH141" s="780">
        <f t="shared" si="338"/>
        <v>9.1534999999999993</v>
      </c>
      <c r="BI141" s="780">
        <f t="shared" si="338"/>
        <v>8.9293999999999993</v>
      </c>
      <c r="BJ141" s="780">
        <f t="shared" si="338"/>
        <v>8.6336999999999993</v>
      </c>
      <c r="BK141" s="2872">
        <f t="shared" si="338"/>
        <v>7.6126000000000005</v>
      </c>
      <c r="BL141" s="780">
        <f t="shared" si="338"/>
        <v>7.3472999999999988</v>
      </c>
      <c r="BM141" s="780">
        <f t="shared" si="338"/>
        <v>7.1037000000000008</v>
      </c>
      <c r="BN141" s="780">
        <f t="shared" si="338"/>
        <v>6.9082000000000008</v>
      </c>
      <c r="BO141" s="2872">
        <f t="shared" si="338"/>
        <v>6.8943000000000003</v>
      </c>
      <c r="BP141" s="780">
        <f t="shared" si="338"/>
        <v>6.922200000000001</v>
      </c>
      <c r="BQ141" s="780">
        <f t="shared" si="338"/>
        <v>7.1741000000000001</v>
      </c>
      <c r="BR141" s="780">
        <f t="shared" si="338"/>
        <v>7.2307999999999995</v>
      </c>
      <c r="BS141" s="2872">
        <f t="shared" si="338"/>
        <v>7.371599999999999</v>
      </c>
      <c r="BT141" s="780">
        <f t="shared" si="338"/>
        <v>7.4595000000000002</v>
      </c>
      <c r="BU141" s="780">
        <f t="shared" si="338"/>
        <v>7.5593999999999992</v>
      </c>
      <c r="BV141" s="780">
        <f t="shared" si="338"/>
        <v>7.6326999999999998</v>
      </c>
      <c r="BW141" s="780">
        <f>BW105</f>
        <v>7.6087000000000007</v>
      </c>
      <c r="BX141" s="780">
        <f t="shared" ref="BX141:CD141" si="339">BX105</f>
        <v>7.5701000000000001</v>
      </c>
      <c r="BY141" s="780">
        <f t="shared" si="339"/>
        <v>7.6198999999999995</v>
      </c>
      <c r="BZ141" s="780">
        <f t="shared" si="339"/>
        <v>7.6803000000000008</v>
      </c>
      <c r="CA141" s="780">
        <f t="shared" si="339"/>
        <v>7.8289999999999997</v>
      </c>
      <c r="CB141" s="780">
        <f t="shared" si="339"/>
        <v>7.9043000000000001</v>
      </c>
      <c r="CC141" s="780">
        <f t="shared" si="339"/>
        <v>8.063699999999999</v>
      </c>
      <c r="CD141" s="780">
        <f t="shared" si="339"/>
        <v>8.1155000000000008</v>
      </c>
      <c r="CE141" s="780">
        <f t="shared" ref="CE141:CL141" si="340">CE105</f>
        <v>8.2081</v>
      </c>
      <c r="CF141" s="780">
        <f t="shared" si="340"/>
        <v>8.2294</v>
      </c>
      <c r="CG141" s="780">
        <f t="shared" si="340"/>
        <v>8.2550000000000008</v>
      </c>
      <c r="CH141" s="780">
        <f t="shared" si="340"/>
        <v>8.3539000000000012</v>
      </c>
      <c r="CI141" s="780">
        <f t="shared" si="340"/>
        <v>8.4962</v>
      </c>
      <c r="CJ141" s="780">
        <f t="shared" si="340"/>
        <v>8.548</v>
      </c>
      <c r="CK141" s="780">
        <f t="shared" si="340"/>
        <v>8.6150000000000002</v>
      </c>
      <c r="CL141" s="780">
        <f t="shared" si="340"/>
        <v>8.5563000000000002</v>
      </c>
      <c r="CM141" s="780">
        <f t="shared" ref="CM141:CT141" si="341">CM105</f>
        <v>8.6424000000000003</v>
      </c>
      <c r="CN141" s="780">
        <f t="shared" si="341"/>
        <v>8.8148</v>
      </c>
      <c r="CO141" s="780">
        <f t="shared" si="341"/>
        <v>8.8445999999999998</v>
      </c>
      <c r="CP141" s="780">
        <f t="shared" si="341"/>
        <v>8.9997999999999987</v>
      </c>
      <c r="CQ141" s="780">
        <f t="shared" si="341"/>
        <v>9.0311000000000003</v>
      </c>
      <c r="CR141" s="780">
        <f t="shared" si="341"/>
        <v>9.1487000000000016</v>
      </c>
      <c r="CS141" s="780">
        <f t="shared" si="341"/>
        <v>9.1707999999999998</v>
      </c>
      <c r="CT141" s="780">
        <f t="shared" si="341"/>
        <v>9.4112999999999989</v>
      </c>
      <c r="CU141" s="780">
        <f t="shared" ref="CU141:DB141" si="342">CU105</f>
        <v>9.4353104999999999</v>
      </c>
      <c r="CV141" s="780">
        <f t="shared" si="342"/>
        <v>9.5048161299999983</v>
      </c>
      <c r="CW141" s="780">
        <f t="shared" si="342"/>
        <v>9.5786260078179968</v>
      </c>
      <c r="CX141" s="780">
        <f t="shared" si="342"/>
        <v>9.6558934337824898</v>
      </c>
      <c r="CY141" s="780">
        <f t="shared" si="342"/>
        <v>9.7326207716433082</v>
      </c>
      <c r="CZ141" s="780">
        <f t="shared" si="342"/>
        <v>9.8086712988327687</v>
      </c>
      <c r="DA141" s="780">
        <f t="shared" si="342"/>
        <v>9.8846195254134663</v>
      </c>
      <c r="DB141" s="780">
        <f t="shared" si="342"/>
        <v>9.9609173729038307</v>
      </c>
      <c r="DC141"/>
      <c r="DD141"/>
      <c r="DE141"/>
      <c r="DF141"/>
      <c r="DG141"/>
      <c r="DH141"/>
      <c r="DI141"/>
      <c r="DJ141"/>
      <c r="DK141"/>
      <c r="DL141"/>
      <c r="DM141"/>
      <c r="DN141"/>
      <c r="DO141"/>
    </row>
    <row r="142" spans="1:119" s="699" customFormat="1" ht="12.75" customHeight="1">
      <c r="A142" s="664"/>
      <c r="B142" s="664"/>
      <c r="C142" s="1562" t="s">
        <v>1767</v>
      </c>
      <c r="D142" s="674"/>
      <c r="E142" s="3629" t="str">
        <f>E124</f>
        <v xml:space="preserve">Changes in inventories and net acquisition of valuables                         </v>
      </c>
      <c r="F142" s="3630"/>
      <c r="G142" s="706">
        <f t="shared" ref="G142:N142" si="343">G124</f>
        <v>-2.1055375347544043E-2</v>
      </c>
      <c r="H142" s="706">
        <f t="shared" si="343"/>
        <v>-8.4511121408711795E-2</v>
      </c>
      <c r="I142" s="706">
        <f t="shared" si="343"/>
        <v>-6.9335032437442073E-2</v>
      </c>
      <c r="J142" s="706">
        <f t="shared" si="343"/>
        <v>-0.11040315106580163</v>
      </c>
      <c r="K142" s="706">
        <f t="shared" si="343"/>
        <v>-0.11173540315106584</v>
      </c>
      <c r="L142" s="706">
        <f t="shared" si="343"/>
        <v>-9.1143419833178876E-2</v>
      </c>
      <c r="M142" s="706">
        <f t="shared" si="343"/>
        <v>-3.8635310472659799E-2</v>
      </c>
      <c r="N142" s="706">
        <f t="shared" si="343"/>
        <v>-5.1610287303058444E-2</v>
      </c>
      <c r="O142" s="706">
        <f t="shared" ref="O142:AX142" si="344">O124</f>
        <v>-1.1324142724745115E-2</v>
      </c>
      <c r="P142" s="706">
        <f t="shared" si="344"/>
        <v>-3.4754402224291425E-4</v>
      </c>
      <c r="Q142" s="706">
        <f t="shared" si="344"/>
        <v>-6.4382530120481993E-2</v>
      </c>
      <c r="R142" s="706">
        <f t="shared" si="344"/>
        <v>3.5565338276181593E-2</v>
      </c>
      <c r="S142" s="706">
        <f t="shared" si="344"/>
        <v>-2.7166357738646865E-2</v>
      </c>
      <c r="T142" s="706">
        <f t="shared" si="344"/>
        <v>-2.2879981464318461E-3</v>
      </c>
      <c r="U142" s="706">
        <f t="shared" si="344"/>
        <v>1.734823911028718E-2</v>
      </c>
      <c r="V142" s="706">
        <f t="shared" si="344"/>
        <v>-7.2549814643188146E-2</v>
      </c>
      <c r="W142" s="706">
        <f t="shared" si="344"/>
        <v>-5.7518535681186221E-2</v>
      </c>
      <c r="X142" s="706">
        <f t="shared" si="344"/>
        <v>-6.0414735866543084E-2</v>
      </c>
      <c r="Y142" s="706">
        <f t="shared" si="344"/>
        <v>-5.9893419833178765E-2</v>
      </c>
      <c r="Z142" s="706">
        <f t="shared" si="344"/>
        <v>-2.8382761816496783E-2</v>
      </c>
      <c r="AA142" s="706">
        <f t="shared" si="344"/>
        <v>-4.266102873030593E-2</v>
      </c>
      <c r="AB142" s="706">
        <f t="shared" si="344"/>
        <v>-4.7352873030583852E-2</v>
      </c>
      <c r="AC142" s="706">
        <f t="shared" si="344"/>
        <v>-7.4837812789620109E-2</v>
      </c>
      <c r="AD142" s="706">
        <f t="shared" si="344"/>
        <v>-8.7639017608897127E-2</v>
      </c>
      <c r="AE142" s="706">
        <f t="shared" si="344"/>
        <v>-7.5677710843373353E-2</v>
      </c>
      <c r="AF142" s="706">
        <f t="shared" si="344"/>
        <v>-4.8627201112140708E-2</v>
      </c>
      <c r="AG142" s="706">
        <f t="shared" si="344"/>
        <v>-3.4725440222428232E-2</v>
      </c>
      <c r="AH142" s="706">
        <f t="shared" si="344"/>
        <v>-2.5631371640407793E-2</v>
      </c>
      <c r="AI142" s="706">
        <f t="shared" si="344"/>
        <v>-2.930954587581084E-2</v>
      </c>
      <c r="AJ142" s="706">
        <f t="shared" si="344"/>
        <v>3.2784986098239072E-2</v>
      </c>
      <c r="AK142" s="706">
        <f t="shared" si="344"/>
        <v>2.1084337349397627E-2</v>
      </c>
      <c r="AL142" s="706">
        <f t="shared" si="344"/>
        <v>-4.5962696941612764E-2</v>
      </c>
      <c r="AM142" s="706">
        <f t="shared" si="344"/>
        <v>-4.5615152919369732E-2</v>
      </c>
      <c r="AN142" s="706">
        <f t="shared" si="344"/>
        <v>-1.8130213160333596E-2</v>
      </c>
      <c r="AO142" s="706">
        <f t="shared" si="344"/>
        <v>4.7584569045412424E-2</v>
      </c>
      <c r="AP142" s="706">
        <f t="shared" si="344"/>
        <v>5.9053521779425293E-2</v>
      </c>
      <c r="AQ142" s="706">
        <f t="shared" si="344"/>
        <v>0.13997335495829452</v>
      </c>
      <c r="AR142" s="706">
        <f t="shared" si="344"/>
        <v>9.5198100092678262E-2</v>
      </c>
      <c r="AS142" s="706">
        <f t="shared" si="344"/>
        <v>5.8561167747914852E-2</v>
      </c>
      <c r="AT142" s="706">
        <f t="shared" si="344"/>
        <v>0.10805722891566279</v>
      </c>
      <c r="AU142" s="706">
        <f t="shared" si="344"/>
        <v>-8.0400000000000096E-2</v>
      </c>
      <c r="AV142" s="706">
        <f t="shared" si="344"/>
        <v>4.5099999999999911E-2</v>
      </c>
      <c r="AW142" s="706">
        <f t="shared" si="344"/>
        <v>-0.12470000000000005</v>
      </c>
      <c r="AX142" s="706">
        <f t="shared" si="344"/>
        <v>1.4299999999999955E-2</v>
      </c>
      <c r="AY142" s="706">
        <f t="shared" ref="AY142:BF142" si="345">AY124</f>
        <v>-5.3999999999998632E-3</v>
      </c>
      <c r="AZ142" s="706">
        <f t="shared" si="345"/>
        <v>-0.26190000000000008</v>
      </c>
      <c r="BA142" s="706">
        <f t="shared" si="345"/>
        <v>-0.19</v>
      </c>
      <c r="BB142" s="706">
        <f t="shared" si="345"/>
        <v>-8.5100000000000134E-2</v>
      </c>
      <c r="BC142" s="706">
        <f t="shared" si="345"/>
        <v>-0.14980000000000018</v>
      </c>
      <c r="BD142" s="706">
        <f t="shared" si="345"/>
        <v>-2.0699999999999819E-2</v>
      </c>
      <c r="BE142" s="706">
        <f t="shared" si="345"/>
        <v>-3.3099999999999907E-2</v>
      </c>
      <c r="BF142" s="706">
        <f t="shared" si="345"/>
        <v>1.3499999999999773E-2</v>
      </c>
      <c r="BG142" s="706">
        <f t="shared" ref="BG142:BV142" si="346">BG124</f>
        <v>7.8899999999999859E-2</v>
      </c>
      <c r="BH142" s="706">
        <f t="shared" si="346"/>
        <v>5.9300000000000179E-2</v>
      </c>
      <c r="BI142" s="706">
        <f t="shared" si="346"/>
        <v>0.16730000000000017</v>
      </c>
      <c r="BJ142" s="706">
        <f t="shared" si="346"/>
        <v>6.6299999999999956E-2</v>
      </c>
      <c r="BK142" s="1564">
        <f t="shared" si="346"/>
        <v>-0.52949999999999997</v>
      </c>
      <c r="BL142" s="706">
        <f t="shared" si="346"/>
        <v>-0.25370000000000004</v>
      </c>
      <c r="BM142" s="706">
        <f t="shared" si="346"/>
        <v>-5.400000000000011E-2</v>
      </c>
      <c r="BN142" s="706">
        <f t="shared" si="346"/>
        <v>-0.17160000000000003</v>
      </c>
      <c r="BO142" s="1564">
        <f t="shared" si="346"/>
        <v>5.2100000000000139E-2</v>
      </c>
      <c r="BP142" s="706">
        <f t="shared" si="346"/>
        <v>0.16360000000000013</v>
      </c>
      <c r="BQ142" s="706">
        <f t="shared" si="346"/>
        <v>-3.730000000000018E-2</v>
      </c>
      <c r="BR142" s="706">
        <f t="shared" si="346"/>
        <v>0.16770000000000004</v>
      </c>
      <c r="BS142" s="1564">
        <f t="shared" si="346"/>
        <v>0.20920000000000005</v>
      </c>
      <c r="BT142" s="706">
        <f t="shared" si="346"/>
        <v>8.2000000000000003E-2</v>
      </c>
      <c r="BU142" s="706">
        <f t="shared" si="346"/>
        <v>-2.75E-2</v>
      </c>
      <c r="BV142" s="706">
        <f t="shared" si="346"/>
        <v>2.8999999999998636E-3</v>
      </c>
      <c r="BW142" s="706">
        <f>BW124</f>
        <v>-3.4900000000000091E-2</v>
      </c>
      <c r="BX142" s="706">
        <f t="shared" ref="BX142:CD142" si="347">BX124</f>
        <v>-0.22880000000000017</v>
      </c>
      <c r="BY142" s="706">
        <f t="shared" si="347"/>
        <v>8.3700000000000052E-2</v>
      </c>
      <c r="BZ142" s="706">
        <f t="shared" si="347"/>
        <v>-0.14619999999999983</v>
      </c>
      <c r="CA142" s="706">
        <f t="shared" si="347"/>
        <v>-0.25059999999999993</v>
      </c>
      <c r="CB142" s="706">
        <f t="shared" si="347"/>
        <v>-0.22539999999999985</v>
      </c>
      <c r="CC142" s="706">
        <f t="shared" si="347"/>
        <v>-0.16069999999999982</v>
      </c>
      <c r="CD142" s="706">
        <f t="shared" si="347"/>
        <v>-0.13759999999999992</v>
      </c>
      <c r="CE142" s="706">
        <f t="shared" ref="CE142:CL142" si="348">CE124</f>
        <v>-0.23320000000000005</v>
      </c>
      <c r="CF142" s="706">
        <f t="shared" si="348"/>
        <v>-0.25740000000000007</v>
      </c>
      <c r="CG142" s="706">
        <f t="shared" si="348"/>
        <v>-0.25720000000000004</v>
      </c>
      <c r="CH142" s="706">
        <f t="shared" si="348"/>
        <v>-0.14370000000000005</v>
      </c>
      <c r="CI142" s="706">
        <f t="shared" si="348"/>
        <v>1.609999999999991E-2</v>
      </c>
      <c r="CJ142" s="706">
        <f t="shared" si="348"/>
        <v>0.1289000000000001</v>
      </c>
      <c r="CK142" s="706">
        <f t="shared" si="348"/>
        <v>-2.4799999999999954E-2</v>
      </c>
      <c r="CL142" s="706">
        <f t="shared" si="348"/>
        <v>2.5799999999999955E-2</v>
      </c>
      <c r="CM142" s="706">
        <f t="shared" ref="CM142:CT142" si="349">CM124</f>
        <v>-0.14540000000000008</v>
      </c>
      <c r="CN142" s="706">
        <f t="shared" si="349"/>
        <v>1.3400000000000091E-2</v>
      </c>
      <c r="CO142" s="706">
        <f t="shared" si="349"/>
        <v>6.2000000000000458E-3</v>
      </c>
      <c r="CP142" s="706">
        <f t="shared" si="349"/>
        <v>-1.9E-2</v>
      </c>
      <c r="CQ142" s="706">
        <f>CQ124</f>
        <v>-3.0999999999999093E-3</v>
      </c>
      <c r="CR142" s="706">
        <f>CR124</f>
        <v>-0.16420000000000004</v>
      </c>
      <c r="CS142" s="706">
        <f t="shared" si="349"/>
        <v>-8.2000000000000458E-3</v>
      </c>
      <c r="CT142" s="706">
        <f t="shared" si="349"/>
        <v>-0.17270000000000005</v>
      </c>
      <c r="CU142" s="706">
        <f t="shared" ref="CU142:DB142" si="350">CU124</f>
        <v>-0.10442368282288264</v>
      </c>
      <c r="CV142" s="706">
        <f t="shared" si="350"/>
        <v>-8.0865304484714809E-2</v>
      </c>
      <c r="CW142" s="706">
        <f t="shared" si="350"/>
        <v>-7.3226851125575018E-2</v>
      </c>
      <c r="CX142" s="706">
        <f t="shared" si="350"/>
        <v>-9.3977546411801949E-2</v>
      </c>
      <c r="CY142" s="706">
        <f t="shared" si="350"/>
        <v>-9.3453113124738488E-2</v>
      </c>
      <c r="CZ142" s="706">
        <f t="shared" si="350"/>
        <v>-7.9199880867268521E-2</v>
      </c>
      <c r="DA142" s="706">
        <f t="shared" si="350"/>
        <v>-6.3640321173351513E-2</v>
      </c>
      <c r="DB142" s="706">
        <f t="shared" si="350"/>
        <v>-4.9553340891747399E-2</v>
      </c>
      <c r="DC142"/>
      <c r="DD142"/>
      <c r="DE142"/>
      <c r="DF142"/>
      <c r="DG142"/>
      <c r="DH142"/>
      <c r="DI142"/>
      <c r="DJ142"/>
      <c r="DK142"/>
      <c r="DL142"/>
      <c r="DM142"/>
      <c r="DN142"/>
      <c r="DO142"/>
    </row>
    <row r="143" spans="1:119" s="1960" customFormat="1" ht="12.75" customHeight="1">
      <c r="A143" s="1957"/>
      <c r="B143" s="1957"/>
      <c r="C143" s="1961" t="s">
        <v>1767</v>
      </c>
      <c r="D143" s="1958"/>
      <c r="E143" s="1959" t="s">
        <v>616</v>
      </c>
      <c r="F143" s="1958"/>
      <c r="G143" s="1959">
        <f>-SUM(G141:G142)+G144</f>
        <v>-2.2677247451343696E-2</v>
      </c>
      <c r="H143" s="1959">
        <f t="shared" ref="H143:BN143" si="351">-SUM(H141:H142)+H144</f>
        <v>-3.5854958294716965E-2</v>
      </c>
      <c r="I143" s="1959">
        <f t="shared" si="351"/>
        <v>-3.3422150139017504E-2</v>
      </c>
      <c r="J143" s="1959">
        <f t="shared" si="351"/>
        <v>-1.3235634847081013E-2</v>
      </c>
      <c r="K143" s="1959">
        <f t="shared" si="351"/>
        <v>-3.0989341983318042E-2</v>
      </c>
      <c r="L143" s="1959">
        <f t="shared" si="351"/>
        <v>-2.9888785912882465E-2</v>
      </c>
      <c r="M143" s="1959">
        <f t="shared" si="351"/>
        <v>-4.6339202965715032E-3</v>
      </c>
      <c r="N143" s="1959">
        <f t="shared" si="351"/>
        <v>-3.0294253938832671E-2</v>
      </c>
      <c r="O143" s="1959">
        <f t="shared" si="351"/>
        <v>-2.3024791473586603E-2</v>
      </c>
      <c r="P143" s="1959">
        <f t="shared" si="351"/>
        <v>9.6153846153845812E-3</v>
      </c>
      <c r="Q143" s="1959">
        <f t="shared" si="351"/>
        <v>-7.8487025023172841E-3</v>
      </c>
      <c r="R143" s="1959">
        <f t="shared" si="351"/>
        <v>-4.7150139017609227E-2</v>
      </c>
      <c r="S143" s="1959">
        <f t="shared" si="351"/>
        <v>-1.8275023169601834E-2</v>
      </c>
      <c r="T143" s="1959">
        <f t="shared" si="351"/>
        <v>-2.9396431881371754E-2</v>
      </c>
      <c r="U143" s="1959">
        <f t="shared" si="351"/>
        <v>-3.5449490268767647E-2</v>
      </c>
      <c r="V143" s="1959">
        <f t="shared" si="351"/>
        <v>1.2250926784058702E-2</v>
      </c>
      <c r="W143" s="1959">
        <f t="shared" si="351"/>
        <v>-1.2511584800741549E-2</v>
      </c>
      <c r="X143" s="1959">
        <f t="shared" si="351"/>
        <v>-5.9082483781276451E-3</v>
      </c>
      <c r="Y143" s="1959">
        <f t="shared" si="351"/>
        <v>-2.2271779425393934E-2</v>
      </c>
      <c r="Z143" s="1959">
        <f t="shared" si="351"/>
        <v>-2.1837349397590522E-2</v>
      </c>
      <c r="AA143" s="1959">
        <f t="shared" si="351"/>
        <v>-2.5196941612604107E-3</v>
      </c>
      <c r="AB143" s="1959">
        <f t="shared" si="351"/>
        <v>-2.8730305838739145E-2</v>
      </c>
      <c r="AC143" s="1959">
        <f t="shared" si="351"/>
        <v>-2.4791473586654789E-2</v>
      </c>
      <c r="AD143" s="1959">
        <f t="shared" si="351"/>
        <v>-2.0186515291936491E-2</v>
      </c>
      <c r="AE143" s="1959">
        <f t="shared" si="351"/>
        <v>-8.3410565338275511E-3</v>
      </c>
      <c r="AF143" s="1959">
        <f t="shared" si="351"/>
        <v>-7.240500463394639E-4</v>
      </c>
      <c r="AG143" s="1959">
        <f t="shared" si="351"/>
        <v>-1.2917052826690867E-2</v>
      </c>
      <c r="AH143" s="1959">
        <f t="shared" si="351"/>
        <v>-2.2764133456904645E-2</v>
      </c>
      <c r="AI143" s="1959">
        <f t="shared" si="351"/>
        <v>-4.0836422613530488E-3</v>
      </c>
      <c r="AJ143" s="1959">
        <f t="shared" si="351"/>
        <v>-2.7427015755329798E-2</v>
      </c>
      <c r="AK143" s="1959">
        <f t="shared" si="351"/>
        <v>-1.9404541241883067E-3</v>
      </c>
      <c r="AL143" s="1959">
        <f t="shared" si="351"/>
        <v>-2.4907321594067611E-3</v>
      </c>
      <c r="AM143" s="1959">
        <f t="shared" si="351"/>
        <v>-7.9355885078777888E-3</v>
      </c>
      <c r="AN143" s="1959">
        <f t="shared" si="351"/>
        <v>1.8825301204818956E-3</v>
      </c>
      <c r="AO143" s="1959">
        <f t="shared" si="351"/>
        <v>-9.8470806302053404E-4</v>
      </c>
      <c r="AP143" s="1959">
        <f t="shared" si="351"/>
        <v>-9.7312326228005119E-3</v>
      </c>
      <c r="AQ143" s="1959">
        <f t="shared" si="351"/>
        <v>-2.1287071362371179E-2</v>
      </c>
      <c r="AR143" s="1959">
        <f t="shared" si="351"/>
        <v>1.2453660797051569E-3</v>
      </c>
      <c r="AS143" s="1959">
        <f t="shared" si="351"/>
        <v>-6.8929564411499555E-3</v>
      </c>
      <c r="AT143" s="1959">
        <f t="shared" si="351"/>
        <v>-1.6797961075072365E-3</v>
      </c>
      <c r="AU143" s="1959">
        <f t="shared" si="351"/>
        <v>-1.3789972659870244</v>
      </c>
      <c r="AV143" s="1959">
        <f t="shared" si="351"/>
        <v>-1.5416747451343831</v>
      </c>
      <c r="AW143" s="1959">
        <f t="shared" si="351"/>
        <v>-1.4428720574606109</v>
      </c>
      <c r="AX143" s="1959">
        <f t="shared" si="351"/>
        <v>-1.6775987951807227</v>
      </c>
      <c r="AY143" s="1959">
        <f t="shared" si="351"/>
        <v>6.2699999999999534E-2</v>
      </c>
      <c r="AZ143" s="1959">
        <f t="shared" si="351"/>
        <v>-1.5899999999999359E-2</v>
      </c>
      <c r="BA143" s="1959">
        <f t="shared" si="351"/>
        <v>-1.3500000000000512E-2</v>
      </c>
      <c r="BB143" s="1959">
        <f t="shared" si="351"/>
        <v>0.11010000000000097</v>
      </c>
      <c r="BC143" s="1959">
        <f t="shared" si="351"/>
        <v>0.14220000000000077</v>
      </c>
      <c r="BD143" s="1959">
        <f t="shared" si="351"/>
        <v>0.1402000000000001</v>
      </c>
      <c r="BE143" s="1959">
        <f t="shared" si="351"/>
        <v>0.1338999999999988</v>
      </c>
      <c r="BF143" s="1959">
        <f t="shared" si="351"/>
        <v>7.1799999999999642E-2</v>
      </c>
      <c r="BG143" s="1959">
        <f t="shared" si="351"/>
        <v>0.17639999999999922</v>
      </c>
      <c r="BH143" s="1959">
        <f t="shared" si="351"/>
        <v>0.14130000000000109</v>
      </c>
      <c r="BI143" s="1959">
        <f t="shared" si="351"/>
        <v>0.11359999999999992</v>
      </c>
      <c r="BJ143" s="1959">
        <f t="shared" si="351"/>
        <v>-4.2999999999999261E-2</v>
      </c>
      <c r="BK143" s="1959">
        <f t="shared" si="351"/>
        <v>0.12499999999999911</v>
      </c>
      <c r="BL143" s="1959">
        <f t="shared" si="351"/>
        <v>2.4500000000001521E-2</v>
      </c>
      <c r="BM143" s="1959">
        <f t="shared" si="351"/>
        <v>-3.9400000000000546E-2</v>
      </c>
      <c r="BN143" s="1959">
        <f t="shared" si="351"/>
        <v>-3.0000000000107718E-4</v>
      </c>
      <c r="BO143" s="1959">
        <f t="shared" ref="BO143:BW143" si="352">-SUM(BO141:BO142)+BO144</f>
        <v>1.3999999999999346E-2</v>
      </c>
      <c r="BP143" s="1959">
        <f t="shared" si="352"/>
        <v>4.97999999999994E-2</v>
      </c>
      <c r="BQ143" s="1959">
        <f t="shared" si="352"/>
        <v>-1.6300000000000203E-2</v>
      </c>
      <c r="BR143" s="1959">
        <f t="shared" si="352"/>
        <v>-1.1699999999999378E-2</v>
      </c>
      <c r="BS143" s="1959">
        <f t="shared" si="352"/>
        <v>1.4200000000000657E-2</v>
      </c>
      <c r="BT143" s="1959">
        <f t="shared" si="352"/>
        <v>1.1600000000000499E-2</v>
      </c>
      <c r="BU143" s="1959">
        <f t="shared" si="352"/>
        <v>5.6000000000002714E-3</v>
      </c>
      <c r="BV143" s="1959">
        <f t="shared" si="352"/>
        <v>-4.7999999999994714E-3</v>
      </c>
      <c r="BW143" s="1959">
        <f t="shared" si="352"/>
        <v>-1.6999999999995907E-3</v>
      </c>
      <c r="BX143" s="1959">
        <f t="shared" ref="BX143:CD143" si="353">-SUM(BX141:BX142)+BX144</f>
        <v>-2.6299999999999102E-2</v>
      </c>
      <c r="BY143" s="1959">
        <f t="shared" si="353"/>
        <v>-9.2999999999996419E-3</v>
      </c>
      <c r="BZ143" s="1959">
        <f t="shared" si="353"/>
        <v>-2.6600000000001067E-2</v>
      </c>
      <c r="CA143" s="1959">
        <f t="shared" si="353"/>
        <v>-1.5500000000000291E-2</v>
      </c>
      <c r="CB143" s="1959">
        <f t="shared" si="353"/>
        <v>-1.980000000000004E-2</v>
      </c>
      <c r="CC143" s="1959">
        <f t="shared" si="353"/>
        <v>-1.1599999999999611E-2</v>
      </c>
      <c r="CD143" s="1959">
        <f t="shared" si="353"/>
        <v>-9.3000000000005301E-3</v>
      </c>
      <c r="CE143" s="1959">
        <f t="shared" ref="CE143:CL143" si="354">-SUM(CE141:CE142)+CE144</f>
        <v>-8.5000000000006182E-3</v>
      </c>
      <c r="CF143" s="1959">
        <f t="shared" si="354"/>
        <v>-7.1000000000003283E-3</v>
      </c>
      <c r="CG143" s="1959">
        <f t="shared" si="354"/>
        <v>-1.5700000000000713E-2</v>
      </c>
      <c r="CH143" s="1959">
        <f t="shared" si="354"/>
        <v>-2.1000000000004349E-3</v>
      </c>
      <c r="CI143" s="1959">
        <f>-SUM(CI141:CI142)+CI144</f>
        <v>5.3300000000000125E-2</v>
      </c>
      <c r="CJ143" s="1959">
        <f t="shared" si="354"/>
        <v>8.0200000000001381E-2</v>
      </c>
      <c r="CK143" s="1959">
        <f t="shared" si="354"/>
        <v>1.0099999999999554E-2</v>
      </c>
      <c r="CL143" s="1959">
        <f t="shared" si="354"/>
        <v>-6.0000000000037801E-4</v>
      </c>
      <c r="CM143" s="1959">
        <f t="shared" ref="CM143:CT143" si="355">-SUM(CM141:CM142)+CM144</f>
        <v>3.7000000000002586E-3</v>
      </c>
      <c r="CN143" s="1959">
        <f t="shared" si="355"/>
        <v>-9.9999999999766942E-5</v>
      </c>
      <c r="CO143" s="1959">
        <f t="shared" si="355"/>
        <v>1.3400000000000745E-2</v>
      </c>
      <c r="CP143" s="1959">
        <f t="shared" si="355"/>
        <v>1.2300000000001532E-2</v>
      </c>
      <c r="CQ143" s="1959">
        <f t="shared" si="355"/>
        <v>5.2299999999998903E-2</v>
      </c>
      <c r="CR143" s="1959">
        <f t="shared" si="355"/>
        <v>2.4599999999997735E-2</v>
      </c>
      <c r="CS143" s="1959">
        <f t="shared" si="355"/>
        <v>2.9400000000000759E-2</v>
      </c>
      <c r="CT143" s="1959">
        <f t="shared" si="355"/>
        <v>1.6000000000033765E-3</v>
      </c>
      <c r="CU143" s="1959">
        <f t="shared" ref="CU143:DB143" si="356">-SUM(CU141:CU142)+CU144</f>
        <v>1.6159828228854423E-3</v>
      </c>
      <c r="CV143" s="1959">
        <f t="shared" si="356"/>
        <v>1.6321002447181598E-3</v>
      </c>
      <c r="CW143" s="1959">
        <f t="shared" si="356"/>
        <v>1.6462059890844927E-3</v>
      </c>
      <c r="CX143" s="1959">
        <f t="shared" si="356"/>
        <v>1.655993918975085E-3</v>
      </c>
      <c r="CY143" s="1959">
        <f t="shared" si="356"/>
        <v>1.6693728761598692E-3</v>
      </c>
      <c r="CZ143" s="1959">
        <f t="shared" si="356"/>
        <v>1.6850122603848661E-3</v>
      </c>
      <c r="DA143" s="1959">
        <f t="shared" si="356"/>
        <v>1.7008601657018119E-3</v>
      </c>
      <c r="DB143" s="1959">
        <f t="shared" si="356"/>
        <v>1.7165135898604689E-3</v>
      </c>
      <c r="DC143"/>
      <c r="DD143"/>
      <c r="DE143"/>
      <c r="DF143"/>
      <c r="DG143"/>
      <c r="DH143"/>
      <c r="DI143"/>
      <c r="DJ143"/>
      <c r="DK143"/>
      <c r="DL143"/>
      <c r="DM143"/>
      <c r="DN143"/>
      <c r="DO143"/>
    </row>
    <row r="144" spans="1:119" s="699" customFormat="1" ht="12.75" customHeight="1">
      <c r="A144" s="665" t="str">
        <f>"Q" &amp; ROW(InputQ!A12)</f>
        <v>Q12</v>
      </c>
      <c r="B144" s="1953" t="s">
        <v>1940</v>
      </c>
      <c r="C144" s="1562" t="s">
        <v>1769</v>
      </c>
      <c r="D144" s="746"/>
      <c r="E144" s="3615" t="s">
        <v>911</v>
      </c>
      <c r="F144" s="3633"/>
      <c r="G144" s="799">
        <f>+InputQ!G12/1000</f>
        <v>2.7939353568118626</v>
      </c>
      <c r="H144" s="799">
        <f>+InputQ!H12/1000</f>
        <v>2.7774270157553294</v>
      </c>
      <c r="I144" s="799">
        <f>+InputQ!I12/1000</f>
        <v>2.8373493975903612</v>
      </c>
      <c r="J144" s="799">
        <f>+InputQ!J12/1000</f>
        <v>2.8850787766450421</v>
      </c>
      <c r="K144" s="799">
        <f>+InputQ!K12/1000</f>
        <v>2.8943466172381838</v>
      </c>
      <c r="L144" s="799">
        <f>+InputQ!L12/1000</f>
        <v>2.9541821130676555</v>
      </c>
      <c r="M144" s="799">
        <f>+InputQ!M12/1000</f>
        <v>3.0619786839666356</v>
      </c>
      <c r="N144" s="799">
        <f>+InputQ!N12/1000</f>
        <v>3.1195841056533826</v>
      </c>
      <c r="O144" s="799">
        <f>+InputQ!O12/1000</f>
        <v>3.2420644114921227</v>
      </c>
      <c r="P144" s="799">
        <f>+InputQ!P12/1000</f>
        <v>3.3193639944392959</v>
      </c>
      <c r="Q144" s="799">
        <f>+InputQ!Q12/1000</f>
        <v>3.3320783132530125</v>
      </c>
      <c r="R144" s="799">
        <f>+InputQ!R12/1000</f>
        <v>3.4529657089898054</v>
      </c>
      <c r="S144" s="799">
        <f>+InputQ!S12/1000</f>
        <v>3.5312789620018532</v>
      </c>
      <c r="T144" s="799">
        <f>+InputQ!T12/1000</f>
        <v>3.5715361445783134</v>
      </c>
      <c r="U144" s="799">
        <f>+InputQ!U12/1000</f>
        <v>3.6646779425393885</v>
      </c>
      <c r="V144" s="799">
        <f>+InputQ!V12/1000</f>
        <v>3.5992527803521779</v>
      </c>
      <c r="W144" s="799">
        <f>+InputQ!W12/1000</f>
        <v>3.5315106580166824</v>
      </c>
      <c r="X144" s="799">
        <f>+InputQ!X12/1000</f>
        <v>3.6417689990732161</v>
      </c>
      <c r="Y144" s="799">
        <f>+InputQ!Y12/1000</f>
        <v>3.5671339202965711</v>
      </c>
      <c r="Z144" s="799">
        <f>+InputQ!Z12/1000</f>
        <v>3.5598934198331791</v>
      </c>
      <c r="AA144" s="799">
        <f>+InputQ!AA12/1000</f>
        <v>3.60852062094532</v>
      </c>
      <c r="AB144" s="799">
        <f>+InputQ!AB12/1000</f>
        <v>3.630444856348471</v>
      </c>
      <c r="AC144" s="799">
        <f>+InputQ!AC12/1000</f>
        <v>3.6516740037071362</v>
      </c>
      <c r="AD144" s="799">
        <f>+InputQ!AD12/1000</f>
        <v>3.694306070435589</v>
      </c>
      <c r="AE144" s="799">
        <f>+InputQ!AE12/1000</f>
        <v>3.8013206672845232</v>
      </c>
      <c r="AF144" s="799">
        <f>+InputQ!AF12/1000</f>
        <v>3.7856232622798887</v>
      </c>
      <c r="AG144" s="799">
        <f>+InputQ!AG12/1000</f>
        <v>3.8472254402224286</v>
      </c>
      <c r="AH144" s="799">
        <f>+InputQ!AH12/1000</f>
        <v>4.0454124189063947</v>
      </c>
      <c r="AI144" s="799">
        <f>+InputQ!AI12/1000</f>
        <v>4.0696536144578319</v>
      </c>
      <c r="AJ144" s="799">
        <f>+InputQ!AJ12/1000</f>
        <v>4.1211480537534753</v>
      </c>
      <c r="AK144" s="799">
        <f>+InputQ!AK12/1000</f>
        <v>4.1961596385542173</v>
      </c>
      <c r="AL144" s="799">
        <f>+InputQ!AL12/1000</f>
        <v>4.2333468489341985</v>
      </c>
      <c r="AM144" s="799">
        <f>+InputQ!AM12/1000</f>
        <v>4.3641392493049125</v>
      </c>
      <c r="AN144" s="799">
        <f>+InputQ!AN12/1000</f>
        <v>4.5229379054680257</v>
      </c>
      <c r="AO144" s="799">
        <f>+InputQ!AO12/1000</f>
        <v>4.6455919833178871</v>
      </c>
      <c r="AP144" s="799">
        <f>+InputQ!AP12/1000</f>
        <v>4.8053174235403144</v>
      </c>
      <c r="AQ144" s="799">
        <f>+InputQ!AQ12/1000</f>
        <v>4.9810298887859137</v>
      </c>
      <c r="AR144" s="799">
        <f>+InputQ!AR12/1000</f>
        <v>5.1301552363299363</v>
      </c>
      <c r="AS144" s="799">
        <f>+InputQ!AS12/1000</f>
        <v>5.2088449953660794</v>
      </c>
      <c r="AT144" s="799">
        <f>+InputQ!AT12/1000</f>
        <v>5.3131661260426322</v>
      </c>
      <c r="AU144" s="799">
        <f>+InputQ!AU12/1000</f>
        <v>5.3752027340129755</v>
      </c>
      <c r="AV144" s="799">
        <f>+InputQ!AV12/1000</f>
        <v>5.5760252548656171</v>
      </c>
      <c r="AW144" s="799">
        <f>+InputQ!AW12/1000</f>
        <v>5.6959279425393889</v>
      </c>
      <c r="AX144" s="799">
        <f>+InputQ!AX12/1000</f>
        <v>5.8253012048192767</v>
      </c>
      <c r="AY144" s="799">
        <f>+InputQ!AY12/1000</f>
        <v>7.4398999999999997</v>
      </c>
      <c r="AZ144" s="799">
        <f>+InputQ!AZ12/1000</f>
        <v>7.4165000000000001</v>
      </c>
      <c r="BA144" s="799">
        <f>+InputQ!BA12/1000</f>
        <v>7.8853</v>
      </c>
      <c r="BB144" s="799">
        <f>+InputQ!BB12/1000</f>
        <v>8.3042000000000016</v>
      </c>
      <c r="BC144" s="799">
        <f>+InputQ!BC12/1000</f>
        <v>8.5282</v>
      </c>
      <c r="BD144" s="799">
        <f>+InputQ!BD12/1000</f>
        <v>8.9535</v>
      </c>
      <c r="BE144" s="799">
        <f>+InputQ!BE12/1000</f>
        <v>8.9337</v>
      </c>
      <c r="BF144" s="799">
        <f>+InputQ!BF12/1000</f>
        <v>9.2725000000000009</v>
      </c>
      <c r="BG144" s="799">
        <f>+InputQ!BG12/1000</f>
        <v>9.4457999999999984</v>
      </c>
      <c r="BH144" s="799">
        <f>+InputQ!BH12/1000</f>
        <v>9.3541000000000007</v>
      </c>
      <c r="BI144" s="799">
        <f>+InputQ!BI12/1000</f>
        <v>9.2103000000000002</v>
      </c>
      <c r="BJ144" s="799">
        <f>+InputQ!BJ12/1000</f>
        <v>8.657</v>
      </c>
      <c r="BK144" s="799">
        <f>+InputQ!BK12/1000</f>
        <v>7.2081</v>
      </c>
      <c r="BL144" s="799">
        <f>+InputQ!BL12/1000</f>
        <v>7.1181000000000001</v>
      </c>
      <c r="BM144" s="799">
        <f>+InputQ!BM12/1000</f>
        <v>7.0103</v>
      </c>
      <c r="BN144" s="799">
        <f>+InputQ!BN12/1000</f>
        <v>6.7363</v>
      </c>
      <c r="BO144" s="799">
        <f>+InputQ!BO12/1000</f>
        <v>6.9603999999999999</v>
      </c>
      <c r="BP144" s="799">
        <f>+InputQ!BP12/1000</f>
        <v>7.1356000000000002</v>
      </c>
      <c r="BQ144" s="799">
        <f>+InputQ!BQ12/1000</f>
        <v>7.1204999999999998</v>
      </c>
      <c r="BR144" s="799">
        <f>+InputQ!BR12/1000</f>
        <v>7.3868</v>
      </c>
      <c r="BS144" s="799">
        <f>+InputQ!BS12/1000</f>
        <v>7.5949999999999998</v>
      </c>
      <c r="BT144" s="799">
        <f>+InputQ!BT12/1000</f>
        <v>7.5531000000000006</v>
      </c>
      <c r="BU144" s="799">
        <f>+InputQ!BU12/1000</f>
        <v>7.5374999999999996</v>
      </c>
      <c r="BV144" s="799">
        <f>+InputQ!BV12/1000</f>
        <v>7.6307999999999998</v>
      </c>
      <c r="BW144" s="799">
        <f>+InputQ!BW12/1000</f>
        <v>7.5721000000000007</v>
      </c>
      <c r="BX144" s="799">
        <f>+InputQ!BX12/1000</f>
        <v>7.3150000000000004</v>
      </c>
      <c r="BY144" s="799">
        <f>+InputQ!BY12/1000</f>
        <v>7.6943000000000001</v>
      </c>
      <c r="BZ144" s="799">
        <f>+InputQ!BZ12/1000</f>
        <v>7.5075000000000003</v>
      </c>
      <c r="CA144" s="799">
        <f>+InputQ!CA12/1000</f>
        <v>7.5629</v>
      </c>
      <c r="CB144" s="799">
        <f>+InputQ!CB12/1000</f>
        <v>7.6591000000000005</v>
      </c>
      <c r="CC144" s="799">
        <f>+InputQ!CC12/1000</f>
        <v>7.8914</v>
      </c>
      <c r="CD144" s="799">
        <f>+InputQ!CD12/1000</f>
        <v>7.9686000000000003</v>
      </c>
      <c r="CE144" s="799">
        <f>+InputQ!CE12/1000</f>
        <v>7.9663999999999993</v>
      </c>
      <c r="CF144" s="799">
        <f>+InputQ!CF12/1000</f>
        <v>7.9648999999999992</v>
      </c>
      <c r="CG144" s="799">
        <f>+InputQ!CG12/1000</f>
        <v>7.9821</v>
      </c>
      <c r="CH144" s="799">
        <f>+InputQ!CH12/1000</f>
        <v>8.2081</v>
      </c>
      <c r="CI144" s="799">
        <f>+InputQ!CI12/1000</f>
        <v>8.5655999999999999</v>
      </c>
      <c r="CJ144" s="799">
        <f>+InputQ!CJ12/1000</f>
        <v>8.7571000000000012</v>
      </c>
      <c r="CK144" s="799">
        <f>+InputQ!CK12/1000</f>
        <v>8.6002999999999989</v>
      </c>
      <c r="CL144" s="799">
        <f>+InputQ!CL12/1000</f>
        <v>8.5815000000000001</v>
      </c>
      <c r="CM144" s="799">
        <f>+InputQ!CM12/1000</f>
        <v>8.5007000000000001</v>
      </c>
      <c r="CN144" s="799">
        <f>+InputQ!CN12/1000</f>
        <v>8.8281000000000009</v>
      </c>
      <c r="CO144" s="799">
        <f>+InputQ!CO12/1000</f>
        <v>8.8642000000000003</v>
      </c>
      <c r="CP144" s="799">
        <f>+InputQ!CP12/1000</f>
        <v>8.9931000000000001</v>
      </c>
      <c r="CQ144" s="799">
        <f>+InputQ!CQ12/1000</f>
        <v>9.0802999999999994</v>
      </c>
      <c r="CR144" s="799">
        <f>+InputQ!CR12/1000</f>
        <v>9.0091000000000001</v>
      </c>
      <c r="CS144" s="799">
        <f>+InputQ!CS12/1000</f>
        <v>9.1920000000000002</v>
      </c>
      <c r="CT144" s="799">
        <f>+InputQ!CT12/1000</f>
        <v>9.2402000000000015</v>
      </c>
      <c r="CU144" s="3065">
        <f t="shared" ref="CU144:CX144" si="357">+CT144*(1+CU149/100)</f>
        <v>9.3325028000000021</v>
      </c>
      <c r="CV144" s="3065">
        <f t="shared" si="357"/>
        <v>9.4255829257600023</v>
      </c>
      <c r="CW144" s="3065">
        <f t="shared" si="357"/>
        <v>9.5070453626815059</v>
      </c>
      <c r="CX144" s="3065">
        <f t="shared" si="357"/>
        <v>9.5635718812896631</v>
      </c>
      <c r="CY144" s="3065">
        <f t="shared" ref="CY144" si="358">+CX144*(1+CY149/100)</f>
        <v>9.6408370313947298</v>
      </c>
      <c r="CZ144" s="3065">
        <f t="shared" ref="CZ144" si="359">+CY144*(1+CZ149/100)</f>
        <v>9.7311564302258855</v>
      </c>
      <c r="DA144" s="3065">
        <f t="shared" ref="DA144" si="360">+CZ144*(1+DA149/100)</f>
        <v>9.8226800644058159</v>
      </c>
      <c r="DB144" s="3065">
        <f t="shared" ref="DB144" si="361">+DA144*(1+DB149/100)</f>
        <v>9.9130805456019431</v>
      </c>
      <c r="DC144"/>
      <c r="DD144"/>
      <c r="DE144"/>
      <c r="DF144"/>
      <c r="DG144"/>
      <c r="DH144"/>
      <c r="DI144"/>
      <c r="DJ144"/>
      <c r="DK144"/>
      <c r="DL144"/>
      <c r="DM144"/>
      <c r="DN144"/>
      <c r="DO144"/>
    </row>
    <row r="145" spans="1:119" s="26" customFormat="1" ht="12.75" customHeight="1">
      <c r="A145" s="673"/>
      <c r="B145" s="673"/>
      <c r="C145" s="1613"/>
      <c r="D145" s="683"/>
      <c r="E145" s="684" t="s">
        <v>266</v>
      </c>
      <c r="F145" s="685"/>
      <c r="G145" s="1571"/>
      <c r="H145" s="1571"/>
      <c r="I145" s="1571"/>
      <c r="J145" s="1575">
        <f>SUM(G141:J142)</f>
        <v>11.398980537534756</v>
      </c>
      <c r="K145" s="1571"/>
      <c r="L145" s="1571"/>
      <c r="M145" s="1571"/>
      <c r="N145" s="1575">
        <f>SUM(K141:N142)</f>
        <v>12.125897822057464</v>
      </c>
      <c r="O145" s="1571"/>
      <c r="P145" s="1571"/>
      <c r="Q145" s="1571"/>
      <c r="R145" s="1575">
        <f>SUM(O141:R142)</f>
        <v>13.414880676552363</v>
      </c>
      <c r="S145" s="1571"/>
      <c r="T145" s="1571"/>
      <c r="U145" s="1571"/>
      <c r="V145" s="1575">
        <f>SUM(S141:V142)</f>
        <v>14.437615848007415</v>
      </c>
      <c r="W145" s="1571"/>
      <c r="X145" s="1571"/>
      <c r="Y145" s="1571"/>
      <c r="Z145" s="1575">
        <f>SUM(W141:Z142)</f>
        <v>14.362835959221503</v>
      </c>
      <c r="AA145" s="1571"/>
      <c r="AB145" s="1571"/>
      <c r="AC145" s="1571"/>
      <c r="AD145" s="1575">
        <f>SUM(AA141:AD142)</f>
        <v>14.661173540315106</v>
      </c>
      <c r="AE145" s="1571"/>
      <c r="AF145" s="1571"/>
      <c r="AG145" s="1571"/>
      <c r="AH145" s="1575">
        <f>SUM(AE141:AH142)</f>
        <v>15.524328081556996</v>
      </c>
      <c r="AI145" s="1571"/>
      <c r="AJ145" s="1571"/>
      <c r="AK145" s="1571"/>
      <c r="AL145" s="1575">
        <f>SUM(AI141:AL142)</f>
        <v>16.656250000000004</v>
      </c>
      <c r="AM145" s="1571"/>
      <c r="AN145" s="1571"/>
      <c r="AO145" s="1571"/>
      <c r="AP145" s="1575">
        <f>SUM(AM141:AP142)</f>
        <v>18.354755560704355</v>
      </c>
      <c r="AQ145" s="1571"/>
      <c r="AR145" s="1571"/>
      <c r="AS145" s="1571"/>
      <c r="AT145" s="1575">
        <f>SUM(AQ141:AT142)</f>
        <v>20.661810704355879</v>
      </c>
      <c r="AU145" s="1571"/>
      <c r="AV145" s="1571"/>
      <c r="AW145" s="1571"/>
      <c r="AX145" s="1575">
        <f>SUM(AU141:AX142)</f>
        <v>28.5136</v>
      </c>
      <c r="AY145" s="1571"/>
      <c r="AZ145" s="1571"/>
      <c r="BA145" s="1571"/>
      <c r="BB145" s="1592">
        <f>SUM(AY141:BB142)</f>
        <v>30.9025</v>
      </c>
      <c r="BC145" s="1618"/>
      <c r="BD145" s="1618"/>
      <c r="BE145" s="1571"/>
      <c r="BF145" s="1575">
        <f>SUM(BC141:BF142)</f>
        <v>35.199800000000003</v>
      </c>
      <c r="BG145" s="1618"/>
      <c r="BH145" s="1618"/>
      <c r="BI145" s="1571"/>
      <c r="BJ145" s="1575">
        <f>SUM(BG141:BJ142)</f>
        <v>36.278899999999993</v>
      </c>
      <c r="BK145" s="1618"/>
      <c r="BL145" s="1618"/>
      <c r="BM145" s="1571"/>
      <c r="BN145" s="1575">
        <f>SUM(BK141:BN142)</f>
        <v>27.963000000000005</v>
      </c>
      <c r="BO145" s="1618"/>
      <c r="BP145" s="1618"/>
      <c r="BQ145" s="1571"/>
      <c r="BR145" s="1575">
        <f>SUM(BO141:BR142)</f>
        <v>28.567499999999995</v>
      </c>
      <c r="BS145" s="1618"/>
      <c r="BT145" s="1618"/>
      <c r="BU145" s="1571"/>
      <c r="BV145" s="1575">
        <f>SUM(BS141:BV142)</f>
        <v>30.2898</v>
      </c>
      <c r="BW145" s="1618"/>
      <c r="BX145" s="1618"/>
      <c r="BY145" s="1571"/>
      <c r="BZ145" s="1575">
        <f>SUM(BW141:BZ142)</f>
        <v>30.152799999999999</v>
      </c>
      <c r="CA145" s="1618"/>
      <c r="CB145" s="1618"/>
      <c r="CC145" s="1571"/>
      <c r="CD145" s="1575">
        <f>SUM(CA141:CD142)</f>
        <v>31.138200000000001</v>
      </c>
      <c r="CE145" s="1618"/>
      <c r="CF145" s="1618"/>
      <c r="CG145" s="1571"/>
      <c r="CH145" s="1575">
        <f>SUM(CE141:CH142)</f>
        <v>32.154900000000012</v>
      </c>
      <c r="CI145" s="1618"/>
      <c r="CJ145" s="1618"/>
      <c r="CK145" s="1571"/>
      <c r="CL145" s="1575">
        <f>SUM(CI141:CL142)</f>
        <v>34.361499999999999</v>
      </c>
      <c r="CM145" s="1618"/>
      <c r="CN145" s="1618"/>
      <c r="CO145" s="1571"/>
      <c r="CP145" s="1575">
        <f>SUM(CM141:CP142)</f>
        <v>35.156799999999997</v>
      </c>
      <c r="CQ145" s="1618"/>
      <c r="CR145" s="1618"/>
      <c r="CS145" s="1571"/>
      <c r="CT145" s="1575">
        <f>SUM(CQ141:CT142)</f>
        <v>36.413699999999992</v>
      </c>
      <c r="CU145" s="1618"/>
      <c r="CV145" s="1618"/>
      <c r="CW145" s="1571"/>
      <c r="CX145" s="1575">
        <f>SUM(CU141:CX142)</f>
        <v>37.822152686755508</v>
      </c>
      <c r="CY145" s="1618"/>
      <c r="CZ145" s="1618"/>
      <c r="DA145" s="1571"/>
      <c r="DB145" s="1575">
        <f>SUM(CY141:DB142)</f>
        <v>39.100982312736264</v>
      </c>
      <c r="DC145"/>
      <c r="DD145"/>
      <c r="DE145"/>
      <c r="DF145"/>
      <c r="DG145"/>
      <c r="DH145"/>
      <c r="DI145"/>
      <c r="DJ145"/>
      <c r="DK145"/>
      <c r="DL145"/>
      <c r="DM145"/>
      <c r="DN145"/>
      <c r="DO145"/>
    </row>
    <row r="146" spans="1:119" s="1600" customFormat="1" ht="12.75" customHeight="1">
      <c r="A146" s="998"/>
      <c r="B146" s="998"/>
      <c r="C146" s="1614"/>
      <c r="D146" s="679"/>
      <c r="E146" s="1572" t="s">
        <v>1847</v>
      </c>
      <c r="F146" s="679"/>
      <c r="G146" s="1573"/>
      <c r="H146" s="2839" t="s">
        <v>757</v>
      </c>
      <c r="I146" s="2840">
        <f ca="1">+J146/J145*100</f>
        <v>121.38169160931362</v>
      </c>
      <c r="J146" s="1615">
        <f ca="1">OFFSET('VVP2'!$G$72,0,(COLUMN()-10)/4)</f>
        <v>13.836275402676117</v>
      </c>
      <c r="K146" s="1573"/>
      <c r="L146" s="2839" t="s">
        <v>757</v>
      </c>
      <c r="M146" s="2840">
        <f ca="1">+N146/N145*100</f>
        <v>124.06835628495119</v>
      </c>
      <c r="N146" s="1615">
        <f ca="1">OFFSET('VVP2'!$G$72,0,(COLUMN()-10)/4)</f>
        <v>15.044402112619391</v>
      </c>
      <c r="O146" s="1573"/>
      <c r="P146" s="2839" t="s">
        <v>757</v>
      </c>
      <c r="Q146" s="2840">
        <f ca="1">+R146/R145*100</f>
        <v>126.01320092157633</v>
      </c>
      <c r="R146" s="1615">
        <f ca="1">OFFSET('VVP2'!$G$72,0,(COLUMN()-10)/4)</f>
        <v>16.904520540333646</v>
      </c>
      <c r="S146" s="1573"/>
      <c r="T146" s="2839" t="s">
        <v>757</v>
      </c>
      <c r="U146" s="2840">
        <f ca="1">+V146/V145*100</f>
        <v>126.66570563618696</v>
      </c>
      <c r="V146" s="1615">
        <f ca="1">OFFSET('VVP2'!$G$72,0,(COLUMN()-10)/4)</f>
        <v>18.287507990920549</v>
      </c>
      <c r="W146" s="1573"/>
      <c r="X146" s="2839" t="s">
        <v>757</v>
      </c>
      <c r="Y146" s="2840">
        <f ca="1">+Z146/Z145*100</f>
        <v>126.62618108809282</v>
      </c>
      <c r="Z146" s="1615">
        <f ca="1">OFFSET('VVP2'!$G$72,0,(COLUMN()-10)/4)</f>
        <v>18.187110671109533</v>
      </c>
      <c r="AA146" s="1573"/>
      <c r="AB146" s="2839" t="s">
        <v>757</v>
      </c>
      <c r="AC146" s="2840">
        <f ca="1">+AD146/AD145*100</f>
        <v>126.69822994257703</v>
      </c>
      <c r="AD146" s="1615">
        <f ca="1">OFFSET('VVP2'!$G$72,0,(COLUMN()-10)/4)</f>
        <v>18.575447364388694</v>
      </c>
      <c r="AE146" s="1573"/>
      <c r="AF146" s="2839" t="s">
        <v>757</v>
      </c>
      <c r="AG146" s="2840">
        <f ca="1">+AH146/AH145*100</f>
        <v>126.61963278851516</v>
      </c>
      <c r="AH146" s="1615">
        <f ca="1">OFFSET('VVP2'!$G$72,0,(COLUMN()-10)/4)</f>
        <v>19.65684720975181</v>
      </c>
      <c r="AI146" s="1573"/>
      <c r="AJ146" s="2839" t="s">
        <v>757</v>
      </c>
      <c r="AK146" s="2840">
        <f ca="1">+AL146/AL145*100</f>
        <v>126.79611645011811</v>
      </c>
      <c r="AL146" s="1615">
        <f ca="1">OFFSET('VVP2'!$G$72,0,(COLUMN()-10)/4)</f>
        <v>21.1194781462228</v>
      </c>
      <c r="AM146" s="1573"/>
      <c r="AN146" s="2839" t="s">
        <v>757</v>
      </c>
      <c r="AO146" s="2840">
        <f ca="1">+AP146/AP145*100</f>
        <v>127.04330525768934</v>
      </c>
      <c r="AP146" s="1615">
        <f ca="1">OFFSET('VVP2'!$G$72,0,(COLUMN()-10)/4)</f>
        <v>23.318488136288344</v>
      </c>
      <c r="AQ146" s="1573"/>
      <c r="AR146" s="2839" t="s">
        <v>757</v>
      </c>
      <c r="AS146" s="2840">
        <f ca="1">+AT146/AT145*100</f>
        <v>127.80696279650303</v>
      </c>
      <c r="AT146" s="1615">
        <f ca="1">OFFSET('VVP2'!$G$72,0,(COLUMN()-10)/4)</f>
        <v>26.40723272</v>
      </c>
      <c r="AU146" s="1573"/>
      <c r="AV146" s="2839" t="s">
        <v>757</v>
      </c>
      <c r="AW146" s="2840">
        <f ca="1">+AX146/AX145*100</f>
        <v>100.45542239492735</v>
      </c>
      <c r="AX146" s="1615">
        <f ca="1">OFFSET('VVP2'!$G$72,0,(COLUMN()-10)/4)</f>
        <v>28.643457320000003</v>
      </c>
      <c r="AY146" s="1573"/>
      <c r="AZ146" s="2839" t="s">
        <v>757</v>
      </c>
      <c r="BA146" s="2840">
        <f ca="1">+BB146/BB145*100</f>
        <v>100.73441886578756</v>
      </c>
      <c r="BB146" s="1619">
        <f ca="1">OFFSET('VVP2'!$G$72,0,(COLUMN()-10)/4)</f>
        <v>31.129453789999999</v>
      </c>
      <c r="BC146" s="1573"/>
      <c r="BD146" s="2839" t="s">
        <v>757</v>
      </c>
      <c r="BE146" s="2840">
        <f ca="1">+BF146/BF145*100</f>
        <v>101.62406164239567</v>
      </c>
      <c r="BF146" s="1615">
        <f ca="1">OFFSET('VVP2'!$G$72,0,(COLUMN()-10)/4)</f>
        <v>35.771466449999998</v>
      </c>
      <c r="BG146" s="1573"/>
      <c r="BH146" s="2839" t="s">
        <v>757</v>
      </c>
      <c r="BI146" s="2840">
        <f ca="1">+BJ146/BJ145*100</f>
        <v>101.70696120885694</v>
      </c>
      <c r="BJ146" s="1615">
        <f ca="1">OFFSET('VVP2'!$G$72,0,(COLUMN()-10)/4)</f>
        <v>36.898166749999994</v>
      </c>
      <c r="BK146" s="1573"/>
      <c r="BL146" s="2839" t="s">
        <v>757</v>
      </c>
      <c r="BM146" s="2840">
        <f ca="1">+BN146/BN145*100</f>
        <v>100.32436337302863</v>
      </c>
      <c r="BN146" s="1615">
        <f ca="1">OFFSET('VVP2'!$G$72,0,(COLUMN()-10)/4)</f>
        <v>28.05370173</v>
      </c>
      <c r="BO146" s="1573"/>
      <c r="BP146" s="2839" t="s">
        <v>757</v>
      </c>
      <c r="BQ146" s="2840">
        <f ca="1">+BR146/BR145*100</f>
        <v>99.952288439660464</v>
      </c>
      <c r="BR146" s="1615">
        <f ca="1">OFFSET('VVP2'!$G$72,0,(COLUMN()-10)/4)</f>
        <v>28.55387</v>
      </c>
      <c r="BS146" s="1573"/>
      <c r="BT146" s="2839" t="s">
        <v>757</v>
      </c>
      <c r="BU146" s="2840">
        <f ca="1">+BV146/BV145*100</f>
        <v>99.881082080436315</v>
      </c>
      <c r="BV146" s="1615">
        <f ca="1">OFFSET('VVP2'!$G$72,0,(COLUMN()-10)/4)</f>
        <v>30.253779999999999</v>
      </c>
      <c r="BW146" s="1573"/>
      <c r="BX146" s="2839" t="s">
        <v>757</v>
      </c>
      <c r="BY146" s="2840">
        <f ca="1">+BZ146/BZ145*100</f>
        <v>100.03059908200898</v>
      </c>
      <c r="BZ146" s="1615">
        <f ca="1">OFFSET('VVP2'!$G$72,0,(COLUMN()-10)/4)</f>
        <v>30.162026480000002</v>
      </c>
      <c r="CA146" s="1573"/>
      <c r="CB146" s="2839" t="s">
        <v>757</v>
      </c>
      <c r="CC146" s="2840">
        <f ca="1">+CD146/CD145*100</f>
        <v>99.610965630640166</v>
      </c>
      <c r="CD146" s="1615">
        <f ca="1">OFFSET('VVP2'!$G$72,0,(COLUMN()-10)/4)</f>
        <v>31.017061699999999</v>
      </c>
      <c r="CE146" s="1573"/>
      <c r="CF146" s="2839" t="s">
        <v>757</v>
      </c>
      <c r="CG146" s="2840">
        <f ca="1">+CH146/CH145*100</f>
        <v>99.737686200236951</v>
      </c>
      <c r="CH146" s="1615">
        <f ca="1">OFFSET('VVP2'!$G$72,0,(COLUMN()-10)/4)</f>
        <v>32.070553260000004</v>
      </c>
      <c r="CI146" s="1573"/>
      <c r="CJ146" s="2839" t="s">
        <v>757</v>
      </c>
      <c r="CK146" s="2840">
        <f ca="1">+CL146/CL145*100</f>
        <v>100.22270599362659</v>
      </c>
      <c r="CL146" s="1615">
        <f ca="1">OFFSET('VVP2'!$G$72,0,(COLUMN()-10)/4)</f>
        <v>34.438025119999999</v>
      </c>
      <c r="CM146" s="1573"/>
      <c r="CN146" s="2839" t="s">
        <v>757</v>
      </c>
      <c r="CO146" s="2840">
        <f ca="1">+CP146/CP145*100</f>
        <v>100.31207376666818</v>
      </c>
      <c r="CP146" s="1615">
        <f ca="1">OFFSET('VVP2'!$G$72,0,(COLUMN()-10)/4)</f>
        <v>35.266515149999996</v>
      </c>
      <c r="CQ146" s="1573"/>
      <c r="CR146" s="2839" t="s">
        <v>757</v>
      </c>
      <c r="CS146" s="2840">
        <f ca="1">+CT146/CT145*100</f>
        <v>100.85504865203787</v>
      </c>
      <c r="CT146" s="1615">
        <f ca="1">OFFSET('VVP2'!$G$72,0,(COLUMN()-10)/4)</f>
        <v>36.725054851007108</v>
      </c>
      <c r="CU146" s="1573"/>
      <c r="CV146" s="2839" t="s">
        <v>757</v>
      </c>
      <c r="CW146" s="2840">
        <f ca="1">+CX146/CX145*100</f>
        <v>100.85591037029164</v>
      </c>
      <c r="CX146" s="1615">
        <f ca="1">OFFSET('VVP2'!$G$72,0,(COLUMN()-10)/4)</f>
        <v>38.14587641386899</v>
      </c>
      <c r="CY146" s="1573"/>
      <c r="CZ146" s="2839" t="s">
        <v>757</v>
      </c>
      <c r="DA146" s="2840">
        <f ca="1">+DB146/DB145*100</f>
        <v>100.70373011626343</v>
      </c>
      <c r="DB146" s="1615">
        <f ca="1">OFFSET('VVP2'!$G$72,0,(COLUMN()-10)/4)</f>
        <v>39.376147701025829</v>
      </c>
      <c r="DC146"/>
      <c r="DD146"/>
      <c r="DE146"/>
      <c r="DF146"/>
      <c r="DG146"/>
      <c r="DH146"/>
      <c r="DI146"/>
      <c r="DJ146"/>
      <c r="DK146"/>
      <c r="DL146"/>
      <c r="DM146"/>
      <c r="DN146"/>
      <c r="DO146"/>
    </row>
    <row r="147" spans="1:119" ht="12.75" customHeight="1">
      <c r="E147" s="599"/>
      <c r="F147" s="3617"/>
      <c r="AY147" s="217"/>
      <c r="BF147" s="217"/>
      <c r="BJ147" s="217"/>
      <c r="CM147" s="557"/>
      <c r="CN147" s="557"/>
      <c r="CO147" s="557"/>
      <c r="CP147" s="557"/>
      <c r="CQ147" s="557"/>
      <c r="CR147" s="557"/>
      <c r="CS147" s="557"/>
      <c r="CT147" s="557"/>
      <c r="CU147" s="557"/>
      <c r="CV147" s="557"/>
      <c r="CW147" s="557"/>
      <c r="CX147" s="557"/>
      <c r="CY147" s="557"/>
      <c r="CZ147" s="557"/>
      <c r="DA147" s="557"/>
      <c r="DB147" s="557"/>
    </row>
    <row r="148" spans="1:119" s="699" customFormat="1" ht="12.75" customHeight="1">
      <c r="A148" s="664"/>
      <c r="B148" s="664"/>
      <c r="C148" s="1553"/>
      <c r="D148" s="742"/>
      <c r="E148" s="3384" t="s">
        <v>762</v>
      </c>
      <c r="F148" s="3622"/>
      <c r="G148" s="1578" t="str">
        <f t="shared" ref="G148:N148" si="362">G140</f>
        <v>Q1</v>
      </c>
      <c r="H148" s="1579" t="str">
        <f t="shared" si="362"/>
        <v>Q2</v>
      </c>
      <c r="I148" s="1579" t="str">
        <f t="shared" si="362"/>
        <v>Q3</v>
      </c>
      <c r="J148" s="1580" t="str">
        <f t="shared" si="362"/>
        <v>Q4</v>
      </c>
      <c r="K148" s="1578" t="str">
        <f t="shared" si="362"/>
        <v>Q1</v>
      </c>
      <c r="L148" s="1579" t="str">
        <f t="shared" si="362"/>
        <v>Q2</v>
      </c>
      <c r="M148" s="1579" t="str">
        <f t="shared" si="362"/>
        <v>Q3</v>
      </c>
      <c r="N148" s="1580" t="str">
        <f t="shared" si="362"/>
        <v>Q4</v>
      </c>
      <c r="O148" s="1578" t="str">
        <f t="shared" ref="O148:AX148" si="363">O140</f>
        <v>Q1</v>
      </c>
      <c r="P148" s="1579" t="str">
        <f t="shared" si="363"/>
        <v>Q2</v>
      </c>
      <c r="Q148" s="1579" t="str">
        <f t="shared" si="363"/>
        <v>Q3</v>
      </c>
      <c r="R148" s="1580" t="str">
        <f t="shared" si="363"/>
        <v>Q4</v>
      </c>
      <c r="S148" s="1578" t="str">
        <f t="shared" si="363"/>
        <v>Q1</v>
      </c>
      <c r="T148" s="1579" t="str">
        <f t="shared" si="363"/>
        <v>Q2</v>
      </c>
      <c r="U148" s="1579" t="str">
        <f t="shared" si="363"/>
        <v>Q3</v>
      </c>
      <c r="V148" s="1580" t="str">
        <f t="shared" si="363"/>
        <v>Q4</v>
      </c>
      <c r="W148" s="1578" t="str">
        <f t="shared" si="363"/>
        <v>Q1</v>
      </c>
      <c r="X148" s="1579" t="str">
        <f t="shared" si="363"/>
        <v>Q2</v>
      </c>
      <c r="Y148" s="1579" t="str">
        <f t="shared" si="363"/>
        <v>Q3</v>
      </c>
      <c r="Z148" s="1580" t="str">
        <f t="shared" si="363"/>
        <v>Q4</v>
      </c>
      <c r="AA148" s="1578" t="str">
        <f t="shared" si="363"/>
        <v>Q1</v>
      </c>
      <c r="AB148" s="1579" t="str">
        <f t="shared" si="363"/>
        <v>Q2</v>
      </c>
      <c r="AC148" s="1579" t="str">
        <f t="shared" si="363"/>
        <v>Q3</v>
      </c>
      <c r="AD148" s="1580" t="str">
        <f t="shared" si="363"/>
        <v>Q4</v>
      </c>
      <c r="AE148" s="1578" t="str">
        <f t="shared" si="363"/>
        <v>Q1</v>
      </c>
      <c r="AF148" s="1579" t="str">
        <f t="shared" si="363"/>
        <v>Q2</v>
      </c>
      <c r="AG148" s="1579" t="str">
        <f t="shared" si="363"/>
        <v>Q3</v>
      </c>
      <c r="AH148" s="1580" t="str">
        <f t="shared" si="363"/>
        <v>Q4</v>
      </c>
      <c r="AI148" s="1578" t="str">
        <f t="shared" si="363"/>
        <v>Q1</v>
      </c>
      <c r="AJ148" s="1579" t="str">
        <f t="shared" si="363"/>
        <v>Q2</v>
      </c>
      <c r="AK148" s="1579" t="str">
        <f t="shared" si="363"/>
        <v>Q3</v>
      </c>
      <c r="AL148" s="1580" t="str">
        <f t="shared" si="363"/>
        <v>Q4</v>
      </c>
      <c r="AM148" s="1578" t="str">
        <f t="shared" si="363"/>
        <v>Q1</v>
      </c>
      <c r="AN148" s="1579" t="str">
        <f t="shared" si="363"/>
        <v>Q2</v>
      </c>
      <c r="AO148" s="1579" t="str">
        <f t="shared" si="363"/>
        <v>Q3</v>
      </c>
      <c r="AP148" s="1580" t="str">
        <f t="shared" si="363"/>
        <v>Q4</v>
      </c>
      <c r="AQ148" s="1578" t="str">
        <f t="shared" si="363"/>
        <v>Q1</v>
      </c>
      <c r="AR148" s="1579" t="str">
        <f t="shared" si="363"/>
        <v>Q2</v>
      </c>
      <c r="AS148" s="1579" t="str">
        <f t="shared" si="363"/>
        <v>Q3</v>
      </c>
      <c r="AT148" s="1580" t="str">
        <f t="shared" si="363"/>
        <v>Q4</v>
      </c>
      <c r="AU148" s="1578" t="str">
        <f t="shared" si="363"/>
        <v>Q1</v>
      </c>
      <c r="AV148" s="1579" t="str">
        <f t="shared" si="363"/>
        <v>Q2</v>
      </c>
      <c r="AW148" s="1579" t="str">
        <f t="shared" si="363"/>
        <v>Q3</v>
      </c>
      <c r="AX148" s="1580" t="str">
        <f t="shared" si="363"/>
        <v>Q4</v>
      </c>
      <c r="AY148" s="1578" t="str">
        <f t="shared" ref="AY148:BF148" si="364">AY140</f>
        <v>Q1</v>
      </c>
      <c r="AZ148" s="1579" t="str">
        <f t="shared" si="364"/>
        <v>Q2</v>
      </c>
      <c r="BA148" s="1579" t="str">
        <f t="shared" si="364"/>
        <v>Q3</v>
      </c>
      <c r="BB148" s="1579" t="str">
        <f t="shared" si="364"/>
        <v>Q4</v>
      </c>
      <c r="BC148" s="1579" t="str">
        <f t="shared" si="364"/>
        <v>Q1</v>
      </c>
      <c r="BD148" s="1579" t="str">
        <f t="shared" si="364"/>
        <v>Q2</v>
      </c>
      <c r="BE148" s="1579" t="str">
        <f t="shared" si="364"/>
        <v>Q3</v>
      </c>
      <c r="BF148" s="1580" t="str">
        <f t="shared" si="364"/>
        <v>Q4</v>
      </c>
      <c r="BG148" s="1579" t="str">
        <f t="shared" ref="BG148:BN148" si="365">BG140</f>
        <v>Q1</v>
      </c>
      <c r="BH148" s="1579" t="str">
        <f t="shared" si="365"/>
        <v>Q2</v>
      </c>
      <c r="BI148" s="1579" t="str">
        <f t="shared" si="365"/>
        <v>Q3</v>
      </c>
      <c r="BJ148" s="1580" t="str">
        <f t="shared" si="365"/>
        <v>Q4</v>
      </c>
      <c r="BK148" s="1579" t="str">
        <f t="shared" si="365"/>
        <v>Q1</v>
      </c>
      <c r="BL148" s="1579" t="str">
        <f t="shared" si="365"/>
        <v>Q2</v>
      </c>
      <c r="BM148" s="1579" t="str">
        <f t="shared" si="365"/>
        <v>Q3</v>
      </c>
      <c r="BN148" s="1579" t="str">
        <f t="shared" si="365"/>
        <v>Q4</v>
      </c>
      <c r="BO148" s="1579" t="str">
        <f t="shared" ref="BO148:BZ148" si="366">BO140</f>
        <v>Q1</v>
      </c>
      <c r="BP148" s="1579" t="str">
        <f t="shared" si="366"/>
        <v>Q2</v>
      </c>
      <c r="BQ148" s="1579" t="str">
        <f t="shared" si="366"/>
        <v>Q3</v>
      </c>
      <c r="BR148" s="1579" t="str">
        <f t="shared" si="366"/>
        <v>Q4</v>
      </c>
      <c r="BS148" s="1579" t="str">
        <f>BS140</f>
        <v>Q1</v>
      </c>
      <c r="BT148" s="1579" t="str">
        <f>BT140</f>
        <v>Q2</v>
      </c>
      <c r="BU148" s="1579" t="str">
        <f>BU140</f>
        <v>Q3</v>
      </c>
      <c r="BV148" s="1579" t="str">
        <f>BV140</f>
        <v>Q4</v>
      </c>
      <c r="BW148" s="1579" t="str">
        <f t="shared" si="366"/>
        <v>Q1</v>
      </c>
      <c r="BX148" s="1579" t="str">
        <f t="shared" si="366"/>
        <v>Q2</v>
      </c>
      <c r="BY148" s="1579" t="str">
        <f t="shared" si="366"/>
        <v>Q3</v>
      </c>
      <c r="BZ148" s="1579" t="str">
        <f t="shared" si="366"/>
        <v>Q4</v>
      </c>
      <c r="CA148" s="1579" t="str">
        <f t="shared" ref="CA148:CH148" si="367">CA140</f>
        <v>Q1</v>
      </c>
      <c r="CB148" s="1579" t="str">
        <f t="shared" si="367"/>
        <v>Q2</v>
      </c>
      <c r="CC148" s="1579" t="str">
        <f t="shared" si="367"/>
        <v>Q3</v>
      </c>
      <c r="CD148" s="1579" t="str">
        <f t="shared" si="367"/>
        <v>Q4</v>
      </c>
      <c r="CE148" s="1579" t="str">
        <f t="shared" si="367"/>
        <v>Q1</v>
      </c>
      <c r="CF148" s="1579" t="str">
        <f t="shared" si="367"/>
        <v>Q2</v>
      </c>
      <c r="CG148" s="1579" t="str">
        <f t="shared" si="367"/>
        <v>Q3</v>
      </c>
      <c r="CH148" s="1579" t="str">
        <f t="shared" si="367"/>
        <v>Q4</v>
      </c>
      <c r="CI148" s="1579" t="str">
        <f t="shared" ref="CI148:CP148" si="368">CI140</f>
        <v>Q1</v>
      </c>
      <c r="CJ148" s="1579" t="str">
        <f t="shared" si="368"/>
        <v>Q2</v>
      </c>
      <c r="CK148" s="1579" t="str">
        <f t="shared" si="368"/>
        <v>Q3</v>
      </c>
      <c r="CL148" s="1579" t="str">
        <f t="shared" si="368"/>
        <v>Q4</v>
      </c>
      <c r="CM148" s="1579" t="str">
        <f t="shared" si="368"/>
        <v>Q1</v>
      </c>
      <c r="CN148" s="1579" t="str">
        <f t="shared" si="368"/>
        <v>Q2</v>
      </c>
      <c r="CO148" s="1579" t="str">
        <f t="shared" si="368"/>
        <v>Q3</v>
      </c>
      <c r="CP148" s="1579" t="str">
        <f t="shared" si="368"/>
        <v>Q4</v>
      </c>
      <c r="CQ148" s="1579" t="str">
        <f t="shared" ref="CQ148:CX148" si="369">CQ140</f>
        <v>Q1</v>
      </c>
      <c r="CR148" s="1579" t="str">
        <f t="shared" si="369"/>
        <v>Q2</v>
      </c>
      <c r="CS148" s="1579" t="str">
        <f t="shared" si="369"/>
        <v>Q3</v>
      </c>
      <c r="CT148" s="1579" t="str">
        <f t="shared" si="369"/>
        <v>Q4</v>
      </c>
      <c r="CU148" s="1579" t="str">
        <f t="shared" si="369"/>
        <v>Q1</v>
      </c>
      <c r="CV148" s="1579" t="str">
        <f t="shared" si="369"/>
        <v>Q2</v>
      </c>
      <c r="CW148" s="1579" t="str">
        <f t="shared" si="369"/>
        <v>Q3</v>
      </c>
      <c r="CX148" s="1579" t="str">
        <f t="shared" si="369"/>
        <v>Q4</v>
      </c>
      <c r="CY148" s="1579" t="str">
        <f t="shared" ref="CY148:DB148" si="370">CY140</f>
        <v>Q1</v>
      </c>
      <c r="CZ148" s="1579" t="str">
        <f t="shared" si="370"/>
        <v>Q2</v>
      </c>
      <c r="DA148" s="1579" t="str">
        <f t="shared" si="370"/>
        <v>Q3</v>
      </c>
      <c r="DB148" s="1579" t="str">
        <f t="shared" si="370"/>
        <v>Q4</v>
      </c>
      <c r="DC148"/>
      <c r="DD148"/>
      <c r="DE148"/>
      <c r="DF148"/>
      <c r="DG148"/>
      <c r="DH148"/>
      <c r="DI148"/>
      <c r="DJ148"/>
      <c r="DK148"/>
      <c r="DL148"/>
      <c r="DM148"/>
      <c r="DN148"/>
      <c r="DO148"/>
    </row>
    <row r="149" spans="1:119" s="699" customFormat="1" ht="12.75" customHeight="1">
      <c r="B149" s="664"/>
      <c r="C149" s="692"/>
      <c r="D149" s="689"/>
      <c r="E149" s="3623" t="s">
        <v>2004</v>
      </c>
      <c r="F149" s="3624" t="s">
        <v>1124</v>
      </c>
      <c r="G149" s="978"/>
      <c r="H149" s="978">
        <f t="shared" ref="H149:AM149" si="371">(H144/G144-1)*100</f>
        <v>-0.5908633861654855</v>
      </c>
      <c r="I149" s="978">
        <f t="shared" si="371"/>
        <v>2.1574781801686926</v>
      </c>
      <c r="J149" s="978">
        <f t="shared" si="371"/>
        <v>1.6821819369590374</v>
      </c>
      <c r="K149" s="978">
        <f t="shared" si="371"/>
        <v>0.32123353678124023</v>
      </c>
      <c r="L149" s="978">
        <f t="shared" si="371"/>
        <v>2.0673230867755299</v>
      </c>
      <c r="M149" s="978">
        <f t="shared" si="371"/>
        <v>3.6489480598419499</v>
      </c>
      <c r="N149" s="978">
        <f t="shared" si="371"/>
        <v>1.881313609019708</v>
      </c>
      <c r="O149" s="978">
        <f t="shared" si="371"/>
        <v>3.9261741851030152</v>
      </c>
      <c r="P149" s="978">
        <f t="shared" si="371"/>
        <v>2.3842704257561964</v>
      </c>
      <c r="Q149" s="978">
        <f t="shared" si="371"/>
        <v>0.38303478723682449</v>
      </c>
      <c r="R149" s="978">
        <f t="shared" si="371"/>
        <v>3.6279878313776548</v>
      </c>
      <c r="S149" s="978">
        <f t="shared" si="371"/>
        <v>2.2679997315976586</v>
      </c>
      <c r="T149" s="978">
        <f t="shared" si="371"/>
        <v>1.1400170592480885</v>
      </c>
      <c r="U149" s="978">
        <f t="shared" si="371"/>
        <v>2.6078917919525102</v>
      </c>
      <c r="V149" s="978">
        <f t="shared" si="371"/>
        <v>-1.7852909099530634</v>
      </c>
      <c r="W149" s="978">
        <f t="shared" si="371"/>
        <v>-1.8821162743914654</v>
      </c>
      <c r="X149" s="978">
        <f t="shared" si="371"/>
        <v>3.1221296417792921</v>
      </c>
      <c r="Y149" s="978">
        <f t="shared" si="371"/>
        <v>-2.0494182578751907</v>
      </c>
      <c r="Z149" s="978">
        <f t="shared" si="371"/>
        <v>-0.20297809460403382</v>
      </c>
      <c r="AA149" s="978">
        <f t="shared" si="371"/>
        <v>1.3659735103648041</v>
      </c>
      <c r="AB149" s="978">
        <f t="shared" si="371"/>
        <v>0.60756852201131473</v>
      </c>
      <c r="AC149" s="978">
        <f t="shared" si="371"/>
        <v>0.58475333460972223</v>
      </c>
      <c r="AD149" s="978">
        <f t="shared" si="371"/>
        <v>1.1674663917198957</v>
      </c>
      <c r="AE149" s="978">
        <f t="shared" si="371"/>
        <v>2.8967442006318844</v>
      </c>
      <c r="AF149" s="978">
        <f t="shared" si="371"/>
        <v>-0.4129460884405689</v>
      </c>
      <c r="AG149" s="978">
        <f t="shared" si="371"/>
        <v>1.6272664677530635</v>
      </c>
      <c r="AH149" s="978">
        <f t="shared" si="371"/>
        <v>5.1514261839698205</v>
      </c>
      <c r="AI149" s="978">
        <f t="shared" si="371"/>
        <v>0.59922680412372031</v>
      </c>
      <c r="AJ149" s="978">
        <f t="shared" si="371"/>
        <v>1.2653273269426224</v>
      </c>
      <c r="AK149" s="978">
        <f t="shared" si="371"/>
        <v>1.8201623388031996</v>
      </c>
      <c r="AL149" s="978">
        <f t="shared" si="371"/>
        <v>0.88622010560099884</v>
      </c>
      <c r="AM149" s="978">
        <f t="shared" si="371"/>
        <v>3.0895743967599198</v>
      </c>
      <c r="AN149" s="978">
        <f t="shared" ref="AN149:BE149" si="372">(AN144/AM144-1)*100</f>
        <v>3.6387165278561007</v>
      </c>
      <c r="AO149" s="978">
        <f t="shared" si="372"/>
        <v>2.7118231647969004</v>
      </c>
      <c r="AP149" s="978">
        <f t="shared" si="372"/>
        <v>3.4382149959788499</v>
      </c>
      <c r="AQ149" s="978">
        <f t="shared" si="372"/>
        <v>3.6566255620246402</v>
      </c>
      <c r="AR149" s="978">
        <f t="shared" si="372"/>
        <v>2.993865744105606</v>
      </c>
      <c r="AS149" s="978">
        <f t="shared" si="372"/>
        <v>1.5338670159314116</v>
      </c>
      <c r="AT149" s="978">
        <f t="shared" si="372"/>
        <v>2.0027689587492015</v>
      </c>
      <c r="AU149" s="978">
        <f t="shared" si="372"/>
        <v>1.1676015110137383</v>
      </c>
      <c r="AV149" s="978">
        <f t="shared" si="372"/>
        <v>3.7360920283412868</v>
      </c>
      <c r="AW149" s="978">
        <f t="shared" si="372"/>
        <v>2.1503254055233123</v>
      </c>
      <c r="AX149" s="978">
        <f t="shared" si="372"/>
        <v>2.2713289842323681</v>
      </c>
      <c r="AY149" s="978">
        <f t="shared" si="372"/>
        <v>27.717001034126177</v>
      </c>
      <c r="AZ149" s="978">
        <f t="shared" si="372"/>
        <v>-0.31452035645640475</v>
      </c>
      <c r="BA149" s="978">
        <f t="shared" si="372"/>
        <v>6.3210409222679065</v>
      </c>
      <c r="BB149" s="978">
        <f>(BB144/BA144-1)*100</f>
        <v>5.3124167755190133</v>
      </c>
      <c r="BC149" s="978">
        <f>(BC144/BB144-1)*100</f>
        <v>2.6974302160352348</v>
      </c>
      <c r="BD149" s="978">
        <f>(BD144/BC144-1)*100</f>
        <v>4.9869843577777351</v>
      </c>
      <c r="BE149" s="978">
        <f t="shared" si="372"/>
        <v>-0.22114256994471004</v>
      </c>
      <c r="BF149" s="978">
        <f t="shared" ref="BF149:BN149" si="373">(BF144/BE144-1)*100</f>
        <v>3.7923816559768175</v>
      </c>
      <c r="BG149" s="978">
        <f t="shared" si="373"/>
        <v>1.8689673766513648</v>
      </c>
      <c r="BH149" s="978">
        <f t="shared" si="373"/>
        <v>-0.97080183785384078</v>
      </c>
      <c r="BI149" s="978">
        <f t="shared" si="373"/>
        <v>-1.5372938069937336</v>
      </c>
      <c r="BJ149" s="978">
        <f t="shared" si="373"/>
        <v>-6.0074047533739456</v>
      </c>
      <c r="BK149" s="978">
        <f t="shared" si="373"/>
        <v>-16.736744830772786</v>
      </c>
      <c r="BL149" s="978">
        <f t="shared" si="373"/>
        <v>-1.2485953302534658</v>
      </c>
      <c r="BM149" s="978">
        <f t="shared" si="373"/>
        <v>-1.5144490805130584</v>
      </c>
      <c r="BN149" s="978">
        <f t="shared" si="373"/>
        <v>-3.9085345848251851</v>
      </c>
      <c r="BO149" s="978">
        <f t="shared" ref="BO149:BZ149" si="374">(BO144/BN144-1)*100</f>
        <v>3.3267520745809964</v>
      </c>
      <c r="BP149" s="978">
        <f t="shared" si="374"/>
        <v>2.5170967185794035</v>
      </c>
      <c r="BQ149" s="978">
        <f t="shared" si="374"/>
        <v>-0.21161500084085905</v>
      </c>
      <c r="BR149" s="978">
        <f t="shared" si="374"/>
        <v>3.7399059054841644</v>
      </c>
      <c r="BS149" s="978">
        <f t="shared" si="374"/>
        <v>2.8185411815671246</v>
      </c>
      <c r="BT149" s="978">
        <f t="shared" si="374"/>
        <v>-0.55167873601051909</v>
      </c>
      <c r="BU149" s="978">
        <f t="shared" si="374"/>
        <v>-0.20653771299202761</v>
      </c>
      <c r="BV149" s="978">
        <f t="shared" si="374"/>
        <v>1.237810945273643</v>
      </c>
      <c r="BW149" s="978">
        <f t="shared" si="374"/>
        <v>-0.76925093043977988</v>
      </c>
      <c r="BX149" s="978">
        <f t="shared" si="374"/>
        <v>-3.3953592794601306</v>
      </c>
      <c r="BY149" s="978">
        <f t="shared" si="374"/>
        <v>5.1852358168147594</v>
      </c>
      <c r="BZ149" s="978">
        <f t="shared" si="374"/>
        <v>-2.4277712072573232</v>
      </c>
      <c r="CA149" s="978">
        <f t="shared" ref="CA149:CL149" si="375">(CA144/BZ144-1)*100</f>
        <v>0.73792873792872804</v>
      </c>
      <c r="CB149" s="978">
        <f t="shared" si="375"/>
        <v>1.2719988364251922</v>
      </c>
      <c r="CC149" s="978">
        <f t="shared" si="375"/>
        <v>3.032993432648734</v>
      </c>
      <c r="CD149" s="978">
        <f t="shared" si="375"/>
        <v>0.97828015307803717</v>
      </c>
      <c r="CE149" s="978">
        <f t="shared" si="375"/>
        <v>-2.7608362824094179E-2</v>
      </c>
      <c r="CF149" s="978">
        <f t="shared" si="375"/>
        <v>-1.8829082145011E-2</v>
      </c>
      <c r="CG149" s="978">
        <f t="shared" si="375"/>
        <v>0.21594746952253718</v>
      </c>
      <c r="CH149" s="978">
        <f t="shared" si="375"/>
        <v>2.8313351123137931</v>
      </c>
      <c r="CI149" s="978">
        <f t="shared" si="375"/>
        <v>4.355453759091632</v>
      </c>
      <c r="CJ149" s="978">
        <f t="shared" si="375"/>
        <v>2.2356869337816443</v>
      </c>
      <c r="CK149" s="978">
        <f t="shared" si="375"/>
        <v>-1.7905470989254657</v>
      </c>
      <c r="CL149" s="978">
        <f t="shared" si="375"/>
        <v>-0.21859702568514106</v>
      </c>
      <c r="CM149" s="978">
        <f t="shared" ref="CM149" si="376">(CM144/CL144-1)*100</f>
        <v>-0.94156033327507105</v>
      </c>
      <c r="CN149" s="978">
        <f t="shared" ref="CN149" si="377">(CN144/CM144-1)*100</f>
        <v>3.8514475278506488</v>
      </c>
      <c r="CO149" s="978">
        <f t="shared" ref="CO149" si="378">(CO144/CN144-1)*100</f>
        <v>0.4089215119901235</v>
      </c>
      <c r="CP149" s="978">
        <f t="shared" ref="CP149" si="379">(CP144/CO144-1)*100</f>
        <v>1.4541639403442996</v>
      </c>
      <c r="CQ149" s="978">
        <f t="shared" ref="CQ149" si="380">(CQ144/CP144-1)*100</f>
        <v>0.96963227363200399</v>
      </c>
      <c r="CR149" s="978">
        <f t="shared" ref="CR149" si="381">(CR144/CQ144-1)*100</f>
        <v>-0.78411506227766825</v>
      </c>
      <c r="CS149" s="978">
        <f t="shared" ref="CS149" si="382">(CS144/CR144-1)*100</f>
        <v>2.0301694952880922</v>
      </c>
      <c r="CT149" s="978">
        <f t="shared" ref="CT149" si="383">(CT144/CS144-1)*100</f>
        <v>0.52436901653614143</v>
      </c>
      <c r="CU149" s="1962">
        <f t="shared" ref="CU149:DB149" si="384">+(CT105*CU110+CT124*CU129)/(CT105+CT124)</f>
        <v>0.99892643016384974</v>
      </c>
      <c r="CV149" s="1962">
        <f t="shared" si="384"/>
        <v>0.99737581391350105</v>
      </c>
      <c r="CW149" s="1962">
        <f t="shared" si="384"/>
        <v>0.86426948405353454</v>
      </c>
      <c r="CX149" s="1962">
        <f t="shared" si="384"/>
        <v>0.59457503831887559</v>
      </c>
      <c r="CY149" s="1962">
        <f t="shared" si="384"/>
        <v>0.8079110092352495</v>
      </c>
      <c r="CZ149" s="1962">
        <f t="shared" si="384"/>
        <v>0.93684187936210372</v>
      </c>
      <c r="DA149" s="1962">
        <f t="shared" si="384"/>
        <v>0.94052166190287134</v>
      </c>
      <c r="DB149" s="1962">
        <f t="shared" si="384"/>
        <v>0.92032399104302232</v>
      </c>
      <c r="DC149"/>
      <c r="DD149"/>
      <c r="DE149"/>
      <c r="DF149"/>
      <c r="DG149"/>
      <c r="DH149"/>
      <c r="DI149"/>
      <c r="DJ149"/>
      <c r="DK149"/>
      <c r="DL149"/>
      <c r="DM149"/>
      <c r="DN149"/>
      <c r="DO149"/>
    </row>
    <row r="150" spans="1:119" ht="12.75" customHeight="1">
      <c r="C150" s="1555"/>
      <c r="D150" s="1581"/>
      <c r="E150" s="1582" t="s">
        <v>763</v>
      </c>
      <c r="F150" s="1649"/>
      <c r="G150" s="1605"/>
      <c r="H150" s="1606"/>
      <c r="I150" s="1606"/>
      <c r="J150" s="1606"/>
      <c r="K150" s="1607"/>
      <c r="L150" s="1607"/>
      <c r="M150" s="1607"/>
      <c r="N150" s="1608">
        <f>N145/J145*100-100</f>
        <v>6.3770376844587418</v>
      </c>
      <c r="O150" s="1607"/>
      <c r="P150" s="1607"/>
      <c r="Q150" s="1607"/>
      <c r="R150" s="1608">
        <f>R145/N145*100-100</f>
        <v>10.629999307351824</v>
      </c>
      <c r="S150" s="1607"/>
      <c r="T150" s="1607"/>
      <c r="U150" s="1607"/>
      <c r="V150" s="1608">
        <f>V145/R145*100-100</f>
        <v>7.6238857140389769</v>
      </c>
      <c r="W150" s="1607"/>
      <c r="X150" s="1607"/>
      <c r="Y150" s="1607"/>
      <c r="Z150" s="1608">
        <f>Z145/V145*100-100</f>
        <v>-0.51795178354349503</v>
      </c>
      <c r="AA150" s="1607"/>
      <c r="AB150" s="1607"/>
      <c r="AC150" s="1607"/>
      <c r="AD150" s="1608">
        <f>AD145/Z145*100-100</f>
        <v>2.0771495402484277</v>
      </c>
      <c r="AE150" s="1607"/>
      <c r="AF150" s="1607"/>
      <c r="AG150" s="1607"/>
      <c r="AH150" s="1608">
        <f>AH145/AD145*100-100</f>
        <v>5.8873495963225508</v>
      </c>
      <c r="AI150" s="1607"/>
      <c r="AJ150" s="1607"/>
      <c r="AK150" s="1607"/>
      <c r="AL150" s="1608">
        <f>AL145/AH145*100-100</f>
        <v>7.2912780024775259</v>
      </c>
      <c r="AM150" s="1607"/>
      <c r="AN150" s="1607"/>
      <c r="AO150" s="1607"/>
      <c r="AP150" s="1608">
        <f>AP145/AL145*100-100</f>
        <v>10.197406743440766</v>
      </c>
      <c r="AQ150" s="1607"/>
      <c r="AR150" s="1607"/>
      <c r="AS150" s="1607"/>
      <c r="AT150" s="1608">
        <f>AT145/AP145*100-100</f>
        <v>12.569250165285183</v>
      </c>
      <c r="AU150" s="1607"/>
      <c r="AV150" s="1607"/>
      <c r="AW150" s="1607"/>
      <c r="AX150" s="1608">
        <f>AX145/AT145*100-100</f>
        <v>38.00145789734114</v>
      </c>
      <c r="AY150" s="1607"/>
      <c r="AZ150" s="1607"/>
      <c r="BA150" s="1609"/>
      <c r="BB150" s="1610">
        <f>BB145/AX145*100-100</f>
        <v>8.3781072891532489</v>
      </c>
      <c r="BC150" s="1609"/>
      <c r="BD150" s="1609"/>
      <c r="BE150" s="1609"/>
      <c r="BF150" s="1608">
        <f>BF145/BB145*100-100</f>
        <v>13.905994660626163</v>
      </c>
      <c r="BG150" s="1609"/>
      <c r="BH150" s="1609"/>
      <c r="BI150" s="1609"/>
      <c r="BJ150" s="1608">
        <f>BJ145/BF145*100-100</f>
        <v>3.0656424184227973</v>
      </c>
      <c r="BK150" s="1609"/>
      <c r="BL150" s="1609"/>
      <c r="BM150" s="1609"/>
      <c r="BN150" s="1608">
        <f>BN145/BJ145*100-100</f>
        <v>-22.922139315139077</v>
      </c>
      <c r="BO150" s="1609"/>
      <c r="BP150" s="1609"/>
      <c r="BQ150" s="1609"/>
      <c r="BR150" s="1608">
        <f>BR145/BN145*100-100</f>
        <v>2.1617852161784867</v>
      </c>
      <c r="BS150" s="1609"/>
      <c r="BT150" s="1609"/>
      <c r="BU150" s="1609"/>
      <c r="BV150" s="1608">
        <f>BV145/BR145*100-100</f>
        <v>6.0288789708585142</v>
      </c>
      <c r="BW150" s="1609"/>
      <c r="BX150" s="1609"/>
      <c r="BY150" s="1609"/>
      <c r="BZ150" s="1608">
        <f>BZ145/BV145*100-100</f>
        <v>-0.45229747307674018</v>
      </c>
      <c r="CA150" s="1609"/>
      <c r="CB150" s="1609"/>
      <c r="CC150" s="1609"/>
      <c r="CD150" s="1608">
        <f>CD145/BZ145*100-100</f>
        <v>3.2680215436045756</v>
      </c>
      <c r="CE150" s="1609"/>
      <c r="CF150" s="1609"/>
      <c r="CG150" s="1609"/>
      <c r="CH150" s="3390">
        <f>CH145/CD145*100-100</f>
        <v>3.2651212979556021</v>
      </c>
      <c r="CI150" s="1609"/>
      <c r="CJ150" s="1609"/>
      <c r="CK150" s="1609"/>
      <c r="CL150" s="3390">
        <f>CL145/CH145*100-100</f>
        <v>6.8624066627480858</v>
      </c>
      <c r="CM150" s="1609"/>
      <c r="CN150" s="1609"/>
      <c r="CO150" s="1609"/>
      <c r="CP150" s="1608">
        <f>CP145/CL145*100-100</f>
        <v>2.3145089707957993</v>
      </c>
      <c r="CQ150" s="1609"/>
      <c r="CR150" s="1609"/>
      <c r="CS150" s="1609"/>
      <c r="CT150" s="1608">
        <f>CT145/CP145*100-100</f>
        <v>3.575126291357563</v>
      </c>
      <c r="CU150" s="1609"/>
      <c r="CV150" s="1609"/>
      <c r="CW150" s="1609"/>
      <c r="CX150" s="1608">
        <f>CX145/CT145*100-100</f>
        <v>3.8679197300892696</v>
      </c>
      <c r="CY150" s="1609"/>
      <c r="CZ150" s="1609"/>
      <c r="DA150" s="1609"/>
      <c r="DB150" s="1608">
        <f>DB145/CX145*100-100</f>
        <v>3.3811656268538428</v>
      </c>
    </row>
    <row r="151" spans="1:119" s="699" customFormat="1" ht="12.75" customHeight="1">
      <c r="A151" s="664"/>
      <c r="B151" s="664"/>
      <c r="C151" s="666"/>
      <c r="D151" s="717"/>
      <c r="E151" s="1596" t="s">
        <v>1847</v>
      </c>
      <c r="F151" s="717"/>
      <c r="G151" s="1597"/>
      <c r="H151" s="1597"/>
      <c r="I151" s="1597"/>
      <c r="J151" s="1598"/>
      <c r="K151" s="1597"/>
      <c r="L151" s="1597"/>
      <c r="M151" s="1597"/>
      <c r="N151" s="1599">
        <f ca="1">N146/J146*100-100</f>
        <v>8.7315890641321374</v>
      </c>
      <c r="O151" s="1597"/>
      <c r="P151" s="1597"/>
      <c r="Q151" s="1597"/>
      <c r="R151" s="1599">
        <f ca="1">R146/N146*100-100</f>
        <v>12.364189774972644</v>
      </c>
      <c r="S151" s="1597"/>
      <c r="T151" s="1597"/>
      <c r="U151" s="1597"/>
      <c r="V151" s="1599">
        <f ca="1">V146/R146*100-100</f>
        <v>8.1811693344814955</v>
      </c>
      <c r="W151" s="1597"/>
      <c r="X151" s="1597"/>
      <c r="Y151" s="1597"/>
      <c r="Z151" s="1599">
        <f ca="1">Z146/V146*100-100</f>
        <v>-0.54899399010986372</v>
      </c>
      <c r="AA151" s="1597"/>
      <c r="AB151" s="1597"/>
      <c r="AC151" s="1597"/>
      <c r="AD151" s="1599">
        <f ca="1">AD146/Z146*100-100</f>
        <v>2.1352302754501693</v>
      </c>
      <c r="AE151" s="1597"/>
      <c r="AF151" s="1597"/>
      <c r="AG151" s="1597"/>
      <c r="AH151" s="1599">
        <f ca="1">AH146/AD146*100-100</f>
        <v>5.8216624566269388</v>
      </c>
      <c r="AI151" s="1597"/>
      <c r="AJ151" s="1597"/>
      <c r="AK151" s="1597"/>
      <c r="AL151" s="1599">
        <f ca="1">AL146/AH146*100-100</f>
        <v>7.4408216173414274</v>
      </c>
      <c r="AM151" s="1597"/>
      <c r="AN151" s="1597"/>
      <c r="AO151" s="1597"/>
      <c r="AP151" s="1599">
        <f ca="1">AP146/AL146*100-100</f>
        <v>10.412236395428337</v>
      </c>
      <c r="AQ151" s="1597"/>
      <c r="AR151" s="1597"/>
      <c r="AS151" s="1597"/>
      <c r="AT151" s="1599">
        <f ca="1">AT146/AP146*100-100</f>
        <v>13.245904132630869</v>
      </c>
      <c r="AU151" s="1597"/>
      <c r="AV151" s="1597"/>
      <c r="AW151" s="1597"/>
      <c r="AX151" s="1599">
        <f ca="1">AX146/AT146*100-100</f>
        <v>8.4682277151530485</v>
      </c>
      <c r="AY151" s="1597"/>
      <c r="AZ151" s="1597"/>
      <c r="BA151" s="1611"/>
      <c r="BB151" s="1612">
        <f ca="1">BB146/AX146*100-100</f>
        <v>8.6791075610281609</v>
      </c>
      <c r="BC151" s="1611"/>
      <c r="BD151" s="1611"/>
      <c r="BE151" s="1611"/>
      <c r="BF151" s="1599">
        <f ca="1">BF146/BB146*100-100</f>
        <v>14.911963092301988</v>
      </c>
      <c r="BG151" s="1611"/>
      <c r="BH151" s="1611"/>
      <c r="BI151" s="1611"/>
      <c r="BJ151" s="1599">
        <f ca="1">BJ146/BF146*100-100</f>
        <v>3.1497179506880286</v>
      </c>
      <c r="BK151" s="1611"/>
      <c r="BL151" s="1611"/>
      <c r="BM151" s="1611"/>
      <c r="BN151" s="1599">
        <f ca="1">BN146/BJ146*100-100</f>
        <v>-23.969930755435144</v>
      </c>
      <c r="BO151" s="1611"/>
      <c r="BP151" s="1611"/>
      <c r="BQ151" s="1611"/>
      <c r="BR151" s="1599">
        <f ca="1">BR146/BN146*100-100</f>
        <v>1.7828958003967443</v>
      </c>
      <c r="BS151" s="1611"/>
      <c r="BT151" s="1611"/>
      <c r="BU151" s="1611"/>
      <c r="BV151" s="1599">
        <f ca="1">BV146/BR146*100-100</f>
        <v>5.9533436273261771</v>
      </c>
      <c r="BW151" s="1611"/>
      <c r="BX151" s="1611"/>
      <c r="BY151" s="1611"/>
      <c r="BZ151" s="1599">
        <f ca="1">BZ146/BV146*100-100</f>
        <v>-0.30327952407928649</v>
      </c>
      <c r="CA151" s="1611"/>
      <c r="CB151" s="1611"/>
      <c r="CC151" s="1611"/>
      <c r="CD151" s="1599">
        <f ca="1">CD146/BZ146*100-100</f>
        <v>2.8348069403325979</v>
      </c>
      <c r="CE151" s="1611"/>
      <c r="CF151" s="1611"/>
      <c r="CG151" s="1611"/>
      <c r="CH151" s="3391">
        <f ca="1">CH146/CD146*100-100</f>
        <v>3.3964905192808885</v>
      </c>
      <c r="CI151" s="1611"/>
      <c r="CJ151" s="1611"/>
      <c r="CK151" s="1611"/>
      <c r="CL151" s="3391">
        <f ca="1">CL146/CH146*100-100</f>
        <v>7.3820736449621052</v>
      </c>
      <c r="CM151" s="1611"/>
      <c r="CN151" s="1611"/>
      <c r="CO151" s="1611"/>
      <c r="CP151" s="1599">
        <f ca="1">CP146/CL146*100-100</f>
        <v>2.4057419875649373</v>
      </c>
      <c r="CQ151" s="1611"/>
      <c r="CR151" s="1611"/>
      <c r="CS151" s="1611"/>
      <c r="CT151" s="1599">
        <f ca="1">CT146/CP146*100-100</f>
        <v>4.1357636126038102</v>
      </c>
      <c r="CU151" s="1611"/>
      <c r="CV151" s="1611"/>
      <c r="CW151" s="1611"/>
      <c r="CX151" s="1599">
        <f ca="1">CX146/CT146*100-100</f>
        <v>3.8688071906934738</v>
      </c>
      <c r="CY151" s="1611"/>
      <c r="CZ151" s="1611"/>
      <c r="DA151" s="1611"/>
      <c r="DB151" s="1599">
        <f ca="1">DB146/CX146*100-100</f>
        <v>3.225175045944269</v>
      </c>
      <c r="DC151"/>
      <c r="DD151"/>
      <c r="DE151"/>
      <c r="DF151"/>
      <c r="DG151"/>
      <c r="DH151"/>
      <c r="DI151"/>
      <c r="DJ151"/>
      <c r="DK151"/>
      <c r="DL151"/>
      <c r="DM151"/>
      <c r="DN151"/>
      <c r="DO151"/>
    </row>
    <row r="152" spans="1:119" ht="12.75" customHeight="1">
      <c r="E152" s="599"/>
      <c r="F152" s="3617"/>
      <c r="AY152" s="217"/>
      <c r="BF152" s="217"/>
      <c r="BJ152" s="217"/>
      <c r="CM152" s="557"/>
      <c r="CN152" s="557"/>
      <c r="CO152" s="557"/>
      <c r="CP152" s="557"/>
      <c r="CQ152" s="557"/>
      <c r="CR152" s="557"/>
      <c r="CS152" s="557"/>
      <c r="CT152" s="557"/>
      <c r="CU152" s="557"/>
      <c r="CV152" s="557"/>
      <c r="CW152" s="557"/>
      <c r="CX152" s="557"/>
      <c r="CY152" s="557"/>
      <c r="CZ152" s="557"/>
      <c r="DA152" s="557"/>
      <c r="DB152" s="557"/>
    </row>
    <row r="153" spans="1:119" s="699" customFormat="1" ht="12.75" customHeight="1">
      <c r="A153" s="664"/>
      <c r="B153" s="664"/>
      <c r="C153" s="666"/>
      <c r="D153" s="858"/>
      <c r="E153" s="3625"/>
      <c r="F153" s="3626"/>
      <c r="G153" s="1588" t="str">
        <f t="shared" ref="G153:AX153" si="385">G148</f>
        <v>Q1</v>
      </c>
      <c r="H153" s="1588" t="str">
        <f t="shared" si="385"/>
        <v>Q2</v>
      </c>
      <c r="I153" s="1588" t="str">
        <f t="shared" si="385"/>
        <v>Q3</v>
      </c>
      <c r="J153" s="1588" t="str">
        <f t="shared" si="385"/>
        <v>Q4</v>
      </c>
      <c r="K153" s="1593" t="str">
        <f t="shared" si="385"/>
        <v>Q1</v>
      </c>
      <c r="L153" s="1588" t="str">
        <f t="shared" si="385"/>
        <v>Q2</v>
      </c>
      <c r="M153" s="1588" t="str">
        <f t="shared" si="385"/>
        <v>Q3</v>
      </c>
      <c r="N153" s="1594" t="str">
        <f t="shared" si="385"/>
        <v>Q4</v>
      </c>
      <c r="O153" s="1593" t="str">
        <f t="shared" si="385"/>
        <v>Q1</v>
      </c>
      <c r="P153" s="1588" t="str">
        <f t="shared" si="385"/>
        <v>Q2</v>
      </c>
      <c r="Q153" s="1588" t="str">
        <f t="shared" si="385"/>
        <v>Q3</v>
      </c>
      <c r="R153" s="1594" t="str">
        <f t="shared" si="385"/>
        <v>Q4</v>
      </c>
      <c r="S153" s="1593" t="str">
        <f t="shared" si="385"/>
        <v>Q1</v>
      </c>
      <c r="T153" s="1588" t="str">
        <f t="shared" si="385"/>
        <v>Q2</v>
      </c>
      <c r="U153" s="1588" t="str">
        <f t="shared" si="385"/>
        <v>Q3</v>
      </c>
      <c r="V153" s="1594" t="str">
        <f t="shared" si="385"/>
        <v>Q4</v>
      </c>
      <c r="W153" s="1593" t="str">
        <f t="shared" si="385"/>
        <v>Q1</v>
      </c>
      <c r="X153" s="1588" t="str">
        <f t="shared" si="385"/>
        <v>Q2</v>
      </c>
      <c r="Y153" s="1588" t="str">
        <f t="shared" si="385"/>
        <v>Q3</v>
      </c>
      <c r="Z153" s="1594" t="str">
        <f t="shared" si="385"/>
        <v>Q4</v>
      </c>
      <c r="AA153" s="1593" t="str">
        <f t="shared" si="385"/>
        <v>Q1</v>
      </c>
      <c r="AB153" s="1588" t="str">
        <f t="shared" si="385"/>
        <v>Q2</v>
      </c>
      <c r="AC153" s="1588" t="str">
        <f t="shared" si="385"/>
        <v>Q3</v>
      </c>
      <c r="AD153" s="1594" t="str">
        <f t="shared" si="385"/>
        <v>Q4</v>
      </c>
      <c r="AE153" s="1593" t="str">
        <f t="shared" si="385"/>
        <v>Q1</v>
      </c>
      <c r="AF153" s="1588" t="str">
        <f t="shared" si="385"/>
        <v>Q2</v>
      </c>
      <c r="AG153" s="1588" t="str">
        <f t="shared" si="385"/>
        <v>Q3</v>
      </c>
      <c r="AH153" s="1594" t="str">
        <f t="shared" si="385"/>
        <v>Q4</v>
      </c>
      <c r="AI153" s="1593" t="str">
        <f t="shared" si="385"/>
        <v>Q1</v>
      </c>
      <c r="AJ153" s="1588" t="str">
        <f t="shared" si="385"/>
        <v>Q2</v>
      </c>
      <c r="AK153" s="1588" t="str">
        <f t="shared" si="385"/>
        <v>Q3</v>
      </c>
      <c r="AL153" s="1594" t="str">
        <f t="shared" si="385"/>
        <v>Q4</v>
      </c>
      <c r="AM153" s="1593" t="str">
        <f t="shared" si="385"/>
        <v>Q1</v>
      </c>
      <c r="AN153" s="1588" t="str">
        <f t="shared" si="385"/>
        <v>Q2</v>
      </c>
      <c r="AO153" s="1588" t="str">
        <f t="shared" si="385"/>
        <v>Q3</v>
      </c>
      <c r="AP153" s="1594" t="str">
        <f t="shared" si="385"/>
        <v>Q4</v>
      </c>
      <c r="AQ153" s="1593" t="str">
        <f t="shared" si="385"/>
        <v>Q1</v>
      </c>
      <c r="AR153" s="1588" t="str">
        <f t="shared" si="385"/>
        <v>Q2</v>
      </c>
      <c r="AS153" s="1588" t="str">
        <f t="shared" si="385"/>
        <v>Q3</v>
      </c>
      <c r="AT153" s="1594" t="str">
        <f t="shared" si="385"/>
        <v>Q4</v>
      </c>
      <c r="AU153" s="1593" t="str">
        <f t="shared" si="385"/>
        <v>Q1</v>
      </c>
      <c r="AV153" s="1588" t="str">
        <f t="shared" si="385"/>
        <v>Q2</v>
      </c>
      <c r="AW153" s="1588" t="str">
        <f t="shared" si="385"/>
        <v>Q3</v>
      </c>
      <c r="AX153" s="1594" t="str">
        <f t="shared" si="385"/>
        <v>Q4</v>
      </c>
      <c r="AY153" s="1593" t="str">
        <f t="shared" ref="AY153:BD153" si="386">AY148</f>
        <v>Q1</v>
      </c>
      <c r="AZ153" s="1588" t="str">
        <f t="shared" si="386"/>
        <v>Q2</v>
      </c>
      <c r="BA153" s="1588" t="str">
        <f t="shared" si="386"/>
        <v>Q3</v>
      </c>
      <c r="BB153" s="1594" t="str">
        <f t="shared" si="386"/>
        <v>Q4</v>
      </c>
      <c r="BC153" s="1593" t="str">
        <f t="shared" si="386"/>
        <v>Q1</v>
      </c>
      <c r="BD153" s="1588" t="str">
        <f t="shared" si="386"/>
        <v>Q2</v>
      </c>
      <c r="BE153" s="1588" t="str">
        <f t="shared" ref="BE153:BN153" si="387">BE148</f>
        <v>Q3</v>
      </c>
      <c r="BF153" s="1594" t="str">
        <f t="shared" si="387"/>
        <v>Q4</v>
      </c>
      <c r="BG153" s="1593" t="str">
        <f t="shared" si="387"/>
        <v>Q1</v>
      </c>
      <c r="BH153" s="1588" t="str">
        <f t="shared" si="387"/>
        <v>Q2</v>
      </c>
      <c r="BI153" s="1588" t="str">
        <f t="shared" si="387"/>
        <v>Q3</v>
      </c>
      <c r="BJ153" s="1594" t="str">
        <f t="shared" si="387"/>
        <v>Q4</v>
      </c>
      <c r="BK153" s="1593" t="str">
        <f t="shared" si="387"/>
        <v>Q1</v>
      </c>
      <c r="BL153" s="1588" t="str">
        <f t="shared" si="387"/>
        <v>Q2</v>
      </c>
      <c r="BM153" s="1588" t="str">
        <f t="shared" si="387"/>
        <v>Q3</v>
      </c>
      <c r="BN153" s="1594" t="str">
        <f t="shared" si="387"/>
        <v>Q4</v>
      </c>
      <c r="BO153" s="1593" t="str">
        <f t="shared" ref="BO153:BV153" si="388">BO148</f>
        <v>Q1</v>
      </c>
      <c r="BP153" s="1588" t="str">
        <f t="shared" si="388"/>
        <v>Q2</v>
      </c>
      <c r="BQ153" s="1588" t="str">
        <f t="shared" si="388"/>
        <v>Q3</v>
      </c>
      <c r="BR153" s="1594" t="str">
        <f t="shared" si="388"/>
        <v>Q4</v>
      </c>
      <c r="BS153" s="1593" t="str">
        <f t="shared" si="388"/>
        <v>Q1</v>
      </c>
      <c r="BT153" s="1588" t="str">
        <f t="shared" si="388"/>
        <v>Q2</v>
      </c>
      <c r="BU153" s="1588" t="str">
        <f t="shared" si="388"/>
        <v>Q3</v>
      </c>
      <c r="BV153" s="1594" t="str">
        <f t="shared" si="388"/>
        <v>Q4</v>
      </c>
      <c r="BW153" s="1593" t="str">
        <f t="shared" ref="BW153:CD153" si="389">BW148</f>
        <v>Q1</v>
      </c>
      <c r="BX153" s="1588" t="str">
        <f t="shared" si="389"/>
        <v>Q2</v>
      </c>
      <c r="BY153" s="1588" t="str">
        <f t="shared" si="389"/>
        <v>Q3</v>
      </c>
      <c r="BZ153" s="1594" t="str">
        <f t="shared" si="389"/>
        <v>Q4</v>
      </c>
      <c r="CA153" s="1593" t="str">
        <f t="shared" si="389"/>
        <v>Q1</v>
      </c>
      <c r="CB153" s="1588" t="str">
        <f t="shared" si="389"/>
        <v>Q2</v>
      </c>
      <c r="CC153" s="1588" t="str">
        <f t="shared" si="389"/>
        <v>Q3</v>
      </c>
      <c r="CD153" s="1594" t="str">
        <f t="shared" si="389"/>
        <v>Q4</v>
      </c>
      <c r="CE153" s="1593" t="str">
        <f t="shared" ref="CE153:CL153" si="390">CE148</f>
        <v>Q1</v>
      </c>
      <c r="CF153" s="1588" t="str">
        <f t="shared" si="390"/>
        <v>Q2</v>
      </c>
      <c r="CG153" s="1588" t="str">
        <f t="shared" si="390"/>
        <v>Q3</v>
      </c>
      <c r="CH153" s="1594" t="str">
        <f t="shared" si="390"/>
        <v>Q4</v>
      </c>
      <c r="CI153" s="1593" t="str">
        <f t="shared" si="390"/>
        <v>Q1</v>
      </c>
      <c r="CJ153" s="1588" t="str">
        <f t="shared" si="390"/>
        <v>Q2</v>
      </c>
      <c r="CK153" s="1588" t="str">
        <f t="shared" si="390"/>
        <v>Q3</v>
      </c>
      <c r="CL153" s="1594" t="str">
        <f t="shared" si="390"/>
        <v>Q4</v>
      </c>
      <c r="CM153" s="1593" t="str">
        <f t="shared" ref="CM153:CT153" si="391">CM148</f>
        <v>Q1</v>
      </c>
      <c r="CN153" s="1588" t="str">
        <f t="shared" si="391"/>
        <v>Q2</v>
      </c>
      <c r="CO153" s="1588" t="str">
        <f t="shared" si="391"/>
        <v>Q3</v>
      </c>
      <c r="CP153" s="1594" t="str">
        <f t="shared" si="391"/>
        <v>Q4</v>
      </c>
      <c r="CQ153" s="1593" t="str">
        <f t="shared" si="391"/>
        <v>Q1</v>
      </c>
      <c r="CR153" s="1588" t="str">
        <f t="shared" si="391"/>
        <v>Q2</v>
      </c>
      <c r="CS153" s="1588" t="str">
        <f t="shared" si="391"/>
        <v>Q3</v>
      </c>
      <c r="CT153" s="1594" t="str">
        <f t="shared" si="391"/>
        <v>Q4</v>
      </c>
      <c r="CU153" s="1593" t="str">
        <f t="shared" ref="CU153:DB153" si="392">CU148</f>
        <v>Q1</v>
      </c>
      <c r="CV153" s="1588" t="str">
        <f t="shared" si="392"/>
        <v>Q2</v>
      </c>
      <c r="CW153" s="1588" t="str">
        <f t="shared" si="392"/>
        <v>Q3</v>
      </c>
      <c r="CX153" s="1594" t="str">
        <f t="shared" si="392"/>
        <v>Q4</v>
      </c>
      <c r="CY153" s="1593" t="str">
        <f t="shared" si="392"/>
        <v>Q1</v>
      </c>
      <c r="CZ153" s="1588" t="str">
        <f t="shared" si="392"/>
        <v>Q2</v>
      </c>
      <c r="DA153" s="1588" t="str">
        <f t="shared" si="392"/>
        <v>Q3</v>
      </c>
      <c r="DB153" s="1594" t="str">
        <f t="shared" si="392"/>
        <v>Q4</v>
      </c>
      <c r="DC153"/>
      <c r="DD153"/>
      <c r="DE153"/>
      <c r="DF153"/>
      <c r="DG153"/>
      <c r="DH153"/>
      <c r="DI153"/>
      <c r="DJ153"/>
      <c r="DK153"/>
      <c r="DL153"/>
      <c r="DM153"/>
      <c r="DN153"/>
      <c r="DO153"/>
    </row>
    <row r="154" spans="1:119" s="699" customFormat="1" ht="12.75" customHeight="1">
      <c r="A154" s="664"/>
      <c r="B154" s="664"/>
      <c r="C154" s="862"/>
      <c r="D154" s="863"/>
      <c r="E154" s="3627" t="s">
        <v>1848</v>
      </c>
      <c r="F154" s="3628"/>
      <c r="G154" s="705"/>
      <c r="H154" s="705"/>
      <c r="I154" s="705"/>
      <c r="J154" s="705"/>
      <c r="K154" s="1564">
        <f t="shared" ref="K154:AX154" si="393">(K144/G144-1)*100</f>
        <v>3.5939006312909028</v>
      </c>
      <c r="L154" s="1564">
        <f t="shared" si="393"/>
        <v>6.3639871114401503</v>
      </c>
      <c r="M154" s="1564">
        <f t="shared" si="393"/>
        <v>7.9168708149599976</v>
      </c>
      <c r="N154" s="1564">
        <f t="shared" si="393"/>
        <v>8.1282123353678024</v>
      </c>
      <c r="O154" s="1564">
        <f t="shared" si="393"/>
        <v>12.013688760806907</v>
      </c>
      <c r="P154" s="1564">
        <f t="shared" si="393"/>
        <v>12.361522323091689</v>
      </c>
      <c r="Q154" s="1564">
        <f t="shared" si="393"/>
        <v>8.8210813060421778</v>
      </c>
      <c r="R154" s="1564">
        <f t="shared" si="393"/>
        <v>10.686732335001349</v>
      </c>
      <c r="S154" s="1564">
        <f t="shared" si="393"/>
        <v>8.9206910721623558</v>
      </c>
      <c r="T154" s="1564">
        <f t="shared" si="393"/>
        <v>7.5970020329636734</v>
      </c>
      <c r="U154" s="1564">
        <f t="shared" si="393"/>
        <v>9.9817470664928187</v>
      </c>
      <c r="V154" s="1564">
        <f t="shared" si="393"/>
        <v>4.236563108099034</v>
      </c>
      <c r="W154" s="1564">
        <f t="shared" si="393"/>
        <v>6.5612492618827289E-3</v>
      </c>
      <c r="X154" s="1564">
        <f t="shared" si="393"/>
        <v>1.9664606951134367</v>
      </c>
      <c r="Y154" s="1564">
        <f t="shared" si="393"/>
        <v>-2.6617351857998628</v>
      </c>
      <c r="Z154" s="1564">
        <f t="shared" si="393"/>
        <v>-1.0935425467712645</v>
      </c>
      <c r="AA154" s="1564">
        <f t="shared" si="393"/>
        <v>2.1806521453877403</v>
      </c>
      <c r="AB154" s="1564">
        <f t="shared" si="393"/>
        <v>-0.31095170307691156</v>
      </c>
      <c r="AC154" s="1564">
        <f t="shared" si="393"/>
        <v>2.369972232596651</v>
      </c>
      <c r="AD154" s="1564">
        <f t="shared" si="393"/>
        <v>3.7757492921995484</v>
      </c>
      <c r="AE154" s="1564">
        <f t="shared" si="393"/>
        <v>5.3429110317428474</v>
      </c>
      <c r="AF154" s="1564">
        <f t="shared" si="393"/>
        <v>4.2743633926861868</v>
      </c>
      <c r="AG154" s="1564">
        <f t="shared" si="393"/>
        <v>5.3551175794107175</v>
      </c>
      <c r="AH154" s="1564">
        <f t="shared" si="393"/>
        <v>9.5039864531150542</v>
      </c>
      <c r="AI154" s="1564">
        <f t="shared" si="393"/>
        <v>7.0589400542467873</v>
      </c>
      <c r="AJ154" s="1564">
        <f t="shared" si="393"/>
        <v>8.8631321245505212</v>
      </c>
      <c r="AK154" s="1564">
        <f t="shared" si="393"/>
        <v>9.0697621897513514</v>
      </c>
      <c r="AL154" s="1564">
        <f t="shared" si="393"/>
        <v>4.6456185567010477</v>
      </c>
      <c r="AM154" s="1564">
        <f t="shared" si="393"/>
        <v>7.2361351295572751</v>
      </c>
      <c r="AN154" s="1564">
        <f t="shared" si="393"/>
        <v>9.7494641413963912</v>
      </c>
      <c r="AO154" s="1564">
        <f t="shared" si="393"/>
        <v>10.71056355040203</v>
      </c>
      <c r="AP154" s="1564">
        <f t="shared" si="393"/>
        <v>13.511072799293956</v>
      </c>
      <c r="AQ154" s="1564">
        <f t="shared" si="393"/>
        <v>14.13544812025085</v>
      </c>
      <c r="AR154" s="1564">
        <f t="shared" si="393"/>
        <v>13.42528558987761</v>
      </c>
      <c r="AS154" s="1564">
        <f t="shared" si="393"/>
        <v>12.12446151256521</v>
      </c>
      <c r="AT154" s="1564">
        <f t="shared" si="393"/>
        <v>10.568473583336369</v>
      </c>
      <c r="AU154" s="1564">
        <f t="shared" si="393"/>
        <v>7.9134808268162882</v>
      </c>
      <c r="AV154" s="1564">
        <f t="shared" si="393"/>
        <v>8.6911603644698197</v>
      </c>
      <c r="AW154" s="1564">
        <f t="shared" si="393"/>
        <v>9.351073944542998</v>
      </c>
      <c r="AX154" s="1564">
        <f t="shared" si="393"/>
        <v>9.6389811014265128</v>
      </c>
      <c r="AY154" s="1564">
        <f t="shared" ref="AY154:BE154" si="394">(AY144/AU144-1)*100</f>
        <v>38.411523586303488</v>
      </c>
      <c r="AZ154" s="1564">
        <f t="shared" si="394"/>
        <v>33.006929865111225</v>
      </c>
      <c r="BA154" s="1564">
        <f t="shared" si="394"/>
        <v>38.437495690729072</v>
      </c>
      <c r="BB154" s="1564">
        <f t="shared" si="394"/>
        <v>42.554002068252373</v>
      </c>
      <c r="BC154" s="1564">
        <f t="shared" si="394"/>
        <v>14.627884783397626</v>
      </c>
      <c r="BD154" s="1564">
        <f t="shared" si="394"/>
        <v>20.724061214858768</v>
      </c>
      <c r="BE154" s="1564">
        <f t="shared" si="394"/>
        <v>13.295626038324482</v>
      </c>
      <c r="BF154" s="1564">
        <f t="shared" ref="BF154:BN154" si="395">(BF144/BB144-1)*100</f>
        <v>11.66036463476312</v>
      </c>
      <c r="BG154" s="1564">
        <f t="shared" si="395"/>
        <v>10.759597570413426</v>
      </c>
      <c r="BH154" s="1564">
        <f t="shared" si="395"/>
        <v>4.4742279555481268</v>
      </c>
      <c r="BI154" s="1564">
        <f t="shared" si="395"/>
        <v>3.0961415762785771</v>
      </c>
      <c r="BJ154" s="1564">
        <f t="shared" si="395"/>
        <v>-6.6379077918576552</v>
      </c>
      <c r="BK154" s="1564">
        <f t="shared" si="395"/>
        <v>-23.689893921107785</v>
      </c>
      <c r="BL154" s="1564">
        <f t="shared" si="395"/>
        <v>-23.903956553810634</v>
      </c>
      <c r="BM154" s="1564">
        <f t="shared" si="395"/>
        <v>-23.88630120625821</v>
      </c>
      <c r="BN154" s="1564">
        <f t="shared" si="395"/>
        <v>-22.186669747025533</v>
      </c>
      <c r="BO154" s="1564">
        <f t="shared" ref="BO154:BV154" si="396">(BO144/BK144-1)*100</f>
        <v>-3.4364118144864841</v>
      </c>
      <c r="BP154" s="1564">
        <f t="shared" si="396"/>
        <v>0.24585212345991092</v>
      </c>
      <c r="BQ154" s="1564">
        <f t="shared" si="396"/>
        <v>1.571972668787347</v>
      </c>
      <c r="BR154" s="1564">
        <f t="shared" si="396"/>
        <v>9.6566364324629284</v>
      </c>
      <c r="BS154" s="1564">
        <f t="shared" si="396"/>
        <v>9.1172921096488668</v>
      </c>
      <c r="BT154" s="1564">
        <f t="shared" si="396"/>
        <v>5.8509445596726328</v>
      </c>
      <c r="BU154" s="1564">
        <f t="shared" si="396"/>
        <v>5.8563303138824407</v>
      </c>
      <c r="BV154" s="1564">
        <f t="shared" si="396"/>
        <v>3.3031894731142097</v>
      </c>
      <c r="BW154" s="1564">
        <f t="shared" ref="BW154:CD154" si="397">(BW144/BS144-1)*100</f>
        <v>-0.30151415404869875</v>
      </c>
      <c r="BX154" s="1564">
        <f t="shared" si="397"/>
        <v>-3.1523480425255879</v>
      </c>
      <c r="BY154" s="1564">
        <f t="shared" si="397"/>
        <v>2.0802653399668358</v>
      </c>
      <c r="BZ154" s="1564">
        <f t="shared" si="397"/>
        <v>-1.6158200974995984</v>
      </c>
      <c r="CA154" s="1564">
        <f t="shared" si="397"/>
        <v>-0.12149865955284334</v>
      </c>
      <c r="CB154" s="1564">
        <f t="shared" si="397"/>
        <v>4.704032809295966</v>
      </c>
      <c r="CC154" s="1564">
        <f t="shared" si="397"/>
        <v>2.5616365361371463</v>
      </c>
      <c r="CD154" s="1564">
        <f t="shared" si="397"/>
        <v>6.1418581418581475</v>
      </c>
      <c r="CE154" s="1564">
        <f t="shared" ref="CE154:CL154" si="398">(CE144/CA144-1)*100</f>
        <v>5.3352549947771166</v>
      </c>
      <c r="CF154" s="1564">
        <f t="shared" si="398"/>
        <v>3.9926362105207946</v>
      </c>
      <c r="CG154" s="1564">
        <f t="shared" si="398"/>
        <v>1.1493524596396076</v>
      </c>
      <c r="CH154" s="1564">
        <f t="shared" si="398"/>
        <v>3.0055467710764727</v>
      </c>
      <c r="CI154" s="1564">
        <f t="shared" si="398"/>
        <v>7.5215906808596245</v>
      </c>
      <c r="CJ154" s="1564">
        <f t="shared" si="398"/>
        <v>9.9461386834737588</v>
      </c>
      <c r="CK154" s="1564">
        <f t="shared" si="398"/>
        <v>7.7448290550105714</v>
      </c>
      <c r="CL154" s="1564">
        <f t="shared" si="398"/>
        <v>4.5491648493561243</v>
      </c>
      <c r="CM154" s="1564">
        <f t="shared" ref="CM154:CT154" si="399">(CM144/CI144-1)*100</f>
        <v>-0.75768189035210209</v>
      </c>
      <c r="CN154" s="1564">
        <f t="shared" si="399"/>
        <v>0.81077068892669857</v>
      </c>
      <c r="CO154" s="1564">
        <f t="shared" si="399"/>
        <v>3.0684976105484818</v>
      </c>
      <c r="CP154" s="1564">
        <f t="shared" si="399"/>
        <v>4.7963642719804245</v>
      </c>
      <c r="CQ154" s="1564">
        <f t="shared" si="399"/>
        <v>6.8182620254802373</v>
      </c>
      <c r="CR154" s="1564">
        <f t="shared" si="399"/>
        <v>2.0502712928036404</v>
      </c>
      <c r="CS154" s="1564">
        <f t="shared" si="399"/>
        <v>3.6980212540330681</v>
      </c>
      <c r="CT154" s="1564">
        <f t="shared" si="399"/>
        <v>2.7476620964962173</v>
      </c>
      <c r="CU154" s="1564">
        <f t="shared" ref="CU154:DB154" si="400">(CU144/CQ144-1)*100</f>
        <v>2.7774721099523392</v>
      </c>
      <c r="CV154" s="1564">
        <f t="shared" si="400"/>
        <v>4.6229137845068102</v>
      </c>
      <c r="CW154" s="1564">
        <f t="shared" si="400"/>
        <v>3.4273864521486619</v>
      </c>
      <c r="CX154" s="1564">
        <f t="shared" si="400"/>
        <v>3.4996199356037927</v>
      </c>
      <c r="CY154" s="1564">
        <f t="shared" si="400"/>
        <v>3.303875048338889</v>
      </c>
      <c r="CZ154" s="1564">
        <f t="shared" si="400"/>
        <v>3.2419586870405137</v>
      </c>
      <c r="DA154" s="1564">
        <f t="shared" si="400"/>
        <v>3.320008369406624</v>
      </c>
      <c r="DB154" s="1564">
        <f t="shared" si="400"/>
        <v>3.6545829178747047</v>
      </c>
      <c r="DC154"/>
      <c r="DD154"/>
      <c r="DE154"/>
      <c r="DF154"/>
      <c r="DG154"/>
      <c r="DH154"/>
      <c r="DI154"/>
      <c r="DJ154"/>
      <c r="DK154"/>
      <c r="DL154"/>
      <c r="DM154"/>
      <c r="DN154"/>
      <c r="DO154"/>
    </row>
    <row r="155" spans="1:119" s="699" customFormat="1" ht="12.75" customHeight="1">
      <c r="A155" s="664"/>
      <c r="B155" s="664"/>
      <c r="C155" s="944"/>
      <c r="D155" s="674"/>
      <c r="E155" s="3629" t="s">
        <v>1938</v>
      </c>
      <c r="F155" s="3630"/>
      <c r="G155" s="705"/>
      <c r="H155" s="705"/>
      <c r="I155" s="705"/>
      <c r="J155" s="705"/>
      <c r="K155" s="1564">
        <f>(4*K144/J145-1)*100</f>
        <v>1.5651042725314035</v>
      </c>
      <c r="L155" s="1564">
        <f>((K144+3*L144)/J145-1)*100</f>
        <v>3.1398634090816557</v>
      </c>
      <c r="M155" s="1564">
        <f>((K144+L144+2*M144)/J145-1)*100</f>
        <v>5.0312004553030309</v>
      </c>
      <c r="N155" s="1621"/>
      <c r="O155" s="1564">
        <f>(4*O144/N145-1)*100</f>
        <v>6.9467831270913605</v>
      </c>
      <c r="P155" s="1564">
        <f>((O144+3*P144)/N145-1)*100</f>
        <v>8.8592085181389955</v>
      </c>
      <c r="Q155" s="1564">
        <f>((O144+P144+2*Q144)/N145-1)*100</f>
        <v>9.0689137127611943</v>
      </c>
      <c r="R155" s="1621"/>
      <c r="S155" s="1564">
        <f>(4*S144/R145-1)*100</f>
        <v>5.2943830704097028</v>
      </c>
      <c r="T155" s="1564">
        <f>((S144+3*T144)/R145-1)*100</f>
        <v>6.1946635174842113</v>
      </c>
      <c r="U155" s="1564">
        <f>((S144+T144+2*U144)/R145-1)*100</f>
        <v>7.5832975308135486</v>
      </c>
      <c r="V155" s="1621"/>
      <c r="W155" s="1564">
        <f>(4*W144/V145-1)*100</f>
        <v>-2.1580655644310331</v>
      </c>
      <c r="X155" s="1564">
        <f>((W144+3*X144)/V145-1)*100</f>
        <v>0.13299846339633881</v>
      </c>
      <c r="Y155" s="1564">
        <f>((W144+X144+2*Y144)/V145-1)*100</f>
        <v>-0.90089909368468168</v>
      </c>
      <c r="Z155" s="1621"/>
      <c r="AA155" s="1564">
        <f>(4*AA144/Z145-1)*100</f>
        <v>0.49604774963702969</v>
      </c>
      <c r="AB155" s="1564">
        <f>((AA144+3*AB144)/Z145-1)*100</f>
        <v>0.95398451363122305</v>
      </c>
      <c r="AC155" s="1564">
        <f>((AA144+AB144+2*AC144)/Z145-1)*100</f>
        <v>1.2495967091466387</v>
      </c>
      <c r="AD155" s="1621"/>
      <c r="AE155" s="1564">
        <f>(4*AE144/AD145-1)*100</f>
        <v>3.7112249393051799</v>
      </c>
      <c r="AF155" s="1564">
        <f>((AE144+3*AF144)/AD145-1)*100</f>
        <v>3.3900213543096802</v>
      </c>
      <c r="AG155" s="1564">
        <f>((AE144+AF144+2*AG144)/AD145-1)*100</f>
        <v>4.2303657888550728</v>
      </c>
      <c r="AH155" s="1621"/>
      <c r="AI155" s="1564">
        <f>(4*AI144/AH145-1)*100</f>
        <v>4.8587376684626316</v>
      </c>
      <c r="AJ155" s="1564">
        <f>((AI144+3*AJ144)/AH145-1)*100</f>
        <v>5.8538423652672256</v>
      </c>
      <c r="AK155" s="1564">
        <f>((AI144+AJ144+2*AK144)/AH145-1)*100</f>
        <v>6.8202170052087396</v>
      </c>
      <c r="AL155" s="1621"/>
      <c r="AM155" s="1564">
        <f>(4*AM144/AL145-1)*100</f>
        <v>4.8048450114500429</v>
      </c>
      <c r="AN155" s="1564">
        <f>((AM144+3*AN144)/AL145-1)*100</f>
        <v>7.6650084245192263</v>
      </c>
      <c r="AO155" s="1564">
        <f>((AM144+AN144+2*AO144)/AL145-1)*100</f>
        <v>9.1377778396020126</v>
      </c>
      <c r="AP155" s="1621"/>
      <c r="AQ155" s="1564">
        <f>(4*AQ144/AP145-1)*100</f>
        <v>8.5501764883164419</v>
      </c>
      <c r="AR155" s="1564">
        <f>((AQ144+3*AR144)/AP145-1)*100</f>
        <v>10.987561400103839</v>
      </c>
      <c r="AS155" s="1564">
        <f>((AQ144+AR144+2*AS144)/AP145-1)*100</f>
        <v>11.844993238690794</v>
      </c>
      <c r="AT155" s="1621"/>
      <c r="AU155" s="1564">
        <f>(4*AU144/AT145-1)*100</f>
        <v>4.0606326507441448</v>
      </c>
      <c r="AV155" s="1564">
        <f>((AU144+3*AV144)/AT145-1)*100</f>
        <v>6.9764834015736188</v>
      </c>
      <c r="AW155" s="1564">
        <f>((AU144+AV144+2*AW144)/AT145-1)*100</f>
        <v>8.1371046984137116</v>
      </c>
      <c r="AX155" s="1621"/>
      <c r="AY155" s="1564">
        <f>(4*AY144/AX145-1)*100</f>
        <v>4.3698445654003715</v>
      </c>
      <c r="AZ155" s="1564">
        <f>((AY144+3*AZ144)/AX145-1)*100</f>
        <v>4.1236462600303003</v>
      </c>
      <c r="BA155" s="1564">
        <f>((AY144+AZ144+2*BA144)/AX145-1)*100</f>
        <v>7.411901689018574</v>
      </c>
      <c r="BB155" s="1621"/>
      <c r="BC155" s="1564">
        <f>(4*BC144/BB145-1)*100</f>
        <v>10.38847989644851</v>
      </c>
      <c r="BD155" s="1564">
        <f>((BC144+3*BD144)/BB145-1)*100</f>
        <v>14.517272065366882</v>
      </c>
      <c r="BE155" s="1564">
        <f>((BC144+BD144+2*BE144)/BB145-1)*100</f>
        <v>14.389127093277242</v>
      </c>
      <c r="BF155" s="1621"/>
      <c r="BG155" s="1564">
        <f>(4*BG144/BF145-1)*100</f>
        <v>7.339246245717268</v>
      </c>
      <c r="BH155" s="1564">
        <f>((BG144+3*BH144)/BF145-1)*100</f>
        <v>6.5577077142483731</v>
      </c>
      <c r="BI155" s="1564">
        <f>((BG144+BH144+2*BI144)/BF145-1)*100</f>
        <v>5.740657617372813</v>
      </c>
      <c r="BJ155" s="1621"/>
      <c r="BK155" s="1564">
        <f>(4*BK144/BJ145-1)*100</f>
        <v>-20.525705024132467</v>
      </c>
      <c r="BL155" s="1564">
        <f>((BK144+3*BL144)/BJ145-1)*100</f>
        <v>-21.269939275997874</v>
      </c>
      <c r="BM155" s="1564">
        <f>((BK144+BL144+2*BM144)/BJ145-1)*100</f>
        <v>-21.864224108228182</v>
      </c>
      <c r="BN155" s="1621"/>
      <c r="BO155" s="1564">
        <f>(4*BO144/BN145-1)*100</f>
        <v>-0.43414512033760344</v>
      </c>
      <c r="BP155" s="1564">
        <f>((BO144+3*BP144)/BN145-1)*100</f>
        <v>1.4454815291635281</v>
      </c>
      <c r="BQ155" s="1564">
        <f>((BO144+BP144+2*BQ144)/BN145-1)*100</f>
        <v>1.3374816722096838</v>
      </c>
      <c r="BR155" s="1621"/>
      <c r="BS155" s="1564">
        <f>(4*BS144/BR145-1)*100</f>
        <v>6.3446223855780248</v>
      </c>
      <c r="BT155" s="1564">
        <f>((BS144+3*BT144)/BR145-1)*100</f>
        <v>5.9046118841340922</v>
      </c>
      <c r="BU155" s="1564">
        <f>((BS144+BT144+2*BU144)/BR145-1)*100</f>
        <v>5.7953968670692246</v>
      </c>
      <c r="BV155" s="1621"/>
      <c r="BW155" s="1564">
        <f>(4*BW144/BV145-1)*100</f>
        <v>-4.6220179730327438E-3</v>
      </c>
      <c r="BX155" s="1564">
        <f>((BW144+3*BX144)/BV145-1)*100</f>
        <v>-2.5510237769810318</v>
      </c>
      <c r="BY155" s="1564">
        <f>((BW144+BX144+2*BY144)/BV145-1)*100</f>
        <v>-4.6550323871397126E-2</v>
      </c>
      <c r="BZ155" s="1621"/>
      <c r="CA155" s="1564">
        <f>(4*CA144/BZ145-1)*100</f>
        <v>0.32766442917406824</v>
      </c>
      <c r="CB155" s="1564">
        <f>((CA144+3*CB144)/BZ145-1)*100</f>
        <v>1.2847894722878062</v>
      </c>
      <c r="CC155" s="1564">
        <f>((CA144+CB144+2*CC144)/BZ145-1)*100</f>
        <v>2.8256082353877776</v>
      </c>
      <c r="CD155" s="1621"/>
      <c r="CE155" s="1564">
        <f>(4*CE144/CD145-1)*100</f>
        <v>2.3360374074288037</v>
      </c>
      <c r="CF155" s="1564">
        <f>((CE144+3*CF144)/CD145-1)*100</f>
        <v>2.3215857050182587</v>
      </c>
      <c r="CG155" s="1564">
        <f>((CE144+CF144+2*CG144)/CD145-1)*100</f>
        <v>2.4320609412233019</v>
      </c>
      <c r="CH155" s="1621"/>
      <c r="CI155" s="1564">
        <f>(4*CI144/CH145-1)*100</f>
        <v>6.5542110222702732</v>
      </c>
      <c r="CJ155" s="1564">
        <f>((CI144+3*CJ144)/CH145-1)*100</f>
        <v>8.3408749521845404</v>
      </c>
      <c r="CK155" s="1564">
        <f>((CI144+CJ144+2*CK144)/CH145-1)*100</f>
        <v>7.3655959122870485</v>
      </c>
      <c r="CL155" s="1621"/>
      <c r="CM155" s="1564">
        <f>(4*CM144/CL145-1)*100</f>
        <v>-1.0439008774354996</v>
      </c>
      <c r="CN155" s="1564">
        <f>((CM144+3*CN144)/CL145-1)*100</f>
        <v>1.8145307975496072</v>
      </c>
      <c r="CO155" s="1564">
        <f>((CM144+CN144+2*CO144)/CL145-1)*100</f>
        <v>2.0246496806018532</v>
      </c>
      <c r="CP155" s="1621"/>
      <c r="CQ155" s="1564">
        <f>(4*CQ144/CP145-1)*100</f>
        <v>3.3120192964092299</v>
      </c>
      <c r="CR155" s="1564">
        <f>((CQ144+3*CR144)/CP145-1)*100</f>
        <v>2.7044554680744515</v>
      </c>
      <c r="CS155" s="1564">
        <f>((CQ144+CR144+2*CS144)/CP145-1)*100</f>
        <v>3.7449369680972122</v>
      </c>
      <c r="CT155" s="1621"/>
      <c r="CU155" s="1564">
        <f>(4*CU144/CT145-1)*100</f>
        <v>2.516391358197656</v>
      </c>
      <c r="CV155" s="1564">
        <f>((CU144+3*CV144)/CT145-1)*100</f>
        <v>3.2832466277253225</v>
      </c>
      <c r="CW155" s="1564">
        <f>((CU144+CV144+2*CW144)/CT145-1)*100</f>
        <v>3.7306740351104706</v>
      </c>
      <c r="CX155" s="1621"/>
      <c r="CY155" s="1564">
        <f>(4*CY144/CX145-1)*100</f>
        <v>1.9596860204177613</v>
      </c>
      <c r="CZ155" s="1564">
        <f>((CY144+3*CZ144)/CX145-1)*100</f>
        <v>2.6760867994467974</v>
      </c>
      <c r="DA155" s="1564">
        <f>((CY144+CZ144+2*DA144)/CX145-1)*100</f>
        <v>3.1600552025037754</v>
      </c>
      <c r="DB155" s="1621"/>
      <c r="DC155"/>
      <c r="DD155"/>
      <c r="DE155"/>
      <c r="DF155"/>
      <c r="DG155"/>
      <c r="DH155"/>
      <c r="DI155"/>
      <c r="DJ155"/>
      <c r="DK155"/>
      <c r="DL155"/>
      <c r="DM155"/>
      <c r="DN155"/>
      <c r="DO155"/>
    </row>
    <row r="156" spans="1:119" ht="12.75" customHeight="1">
      <c r="C156" s="1557"/>
      <c r="D156" s="828"/>
      <c r="E156" s="3631" t="s">
        <v>1807</v>
      </c>
      <c r="F156" s="828"/>
      <c r="G156" s="876"/>
      <c r="H156" s="876"/>
      <c r="I156" s="876"/>
      <c r="J156" s="876"/>
      <c r="K156" s="1620"/>
      <c r="L156" s="883">
        <f>(4*L144/(K144+3*L144)-1)*100</f>
        <v>0.5089397007454366</v>
      </c>
      <c r="M156" s="883">
        <f>(4*M144/(K144+L144+2*M144)-1)*100</f>
        <v>2.3005133216896567</v>
      </c>
      <c r="N156" s="883">
        <f>+(4*N144/N145-1)*100</f>
        <v>2.9064948899286236</v>
      </c>
      <c r="O156" s="1620"/>
      <c r="P156" s="883">
        <f>(4*P144/(O144+3*P144)-1)*100</f>
        <v>0.58559596292029337</v>
      </c>
      <c r="Q156" s="883">
        <f>(4*Q144/(O144+P144+2*Q144)-1)*100</f>
        <v>0.77673857392812629</v>
      </c>
      <c r="R156" s="883">
        <f>+(4*R144/R145-1)*100</f>
        <v>2.959267167398183</v>
      </c>
      <c r="S156" s="1620"/>
      <c r="T156" s="883">
        <f>(4*T144/(S144+3*T144)-1)*100</f>
        <v>0.28258810039807347</v>
      </c>
      <c r="U156" s="883">
        <f>(4*U144/(S144+T144+2*U144)-1)*100</f>
        <v>1.5696930048122448</v>
      </c>
      <c r="V156" s="883">
        <f>+(4*V144/V145-1)*100</f>
        <v>-0.28124260283810543</v>
      </c>
      <c r="W156" s="1620"/>
      <c r="X156" s="883">
        <f>(4*X144/(W144+3*X144)-1)*100</f>
        <v>0.76267366502058564</v>
      </c>
      <c r="Y156" s="883">
        <f>(4*Y144/(W144+X144+2*Y144)-1)*100</f>
        <v>-0.27266599326735141</v>
      </c>
      <c r="Z156" s="883">
        <f>+(4*Z144/Z145-1)*100</f>
        <v>-0.85820293595741948</v>
      </c>
      <c r="AA156" s="1620"/>
      <c r="AB156" s="883">
        <f>(4*AB144/(AA144+3*AB144)-1)*100</f>
        <v>0.15120313352015025</v>
      </c>
      <c r="AC156" s="883">
        <f>(4*AC144/(AA144+AB144+2*AC144)-1)*100</f>
        <v>0.44272550023201074</v>
      </c>
      <c r="AD156" s="883">
        <f>+(4*AD144/AD145-1)*100</f>
        <v>0.79155151603746976</v>
      </c>
      <c r="AE156" s="1620"/>
      <c r="AF156" s="883">
        <f>(4*AF144/(AE144+3*AF144)-1)*100</f>
        <v>-0.10355724881636608</v>
      </c>
      <c r="AG156" s="883">
        <f>(4*AG144/(AE144+AF144+2*AG144)-1)*100</f>
        <v>0.70351530221592906</v>
      </c>
      <c r="AH156" s="883">
        <f>+(4*AH144/AH145-1)*100</f>
        <v>4.2341387699058375</v>
      </c>
      <c r="AI156" s="1620"/>
      <c r="AJ156" s="883">
        <f>(4*AJ144/(AI144+3*AJ144)-1)*100</f>
        <v>0.3133580776944811</v>
      </c>
      <c r="AK156" s="883">
        <f>(4*AK144/(AI144+AJ144+2*AK144)-1)*100</f>
        <v>1.2151971246039839</v>
      </c>
      <c r="AL156" s="883">
        <f>+(4*AL144/AL145-1)*100</f>
        <v>1.6638642896017464</v>
      </c>
      <c r="AM156" s="1620"/>
      <c r="AN156" s="883">
        <f>(4*AN144/(AM144+3*AN144)-1)*100</f>
        <v>0.8855131470358879</v>
      </c>
      <c r="AO156" s="883">
        <f>(4*AO144/(AM144+AN144+2*AO144)-1)*100</f>
        <v>2.2230223736136923</v>
      </c>
      <c r="AP156" s="883">
        <f>+(4*AP144/AP145-1)*100</f>
        <v>4.7209243979910109</v>
      </c>
      <c r="AQ156" s="1620"/>
      <c r="AR156" s="883">
        <f>(4*AR144/(AQ144+3*AR144)-1)*100</f>
        <v>0.73202945178119094</v>
      </c>
      <c r="AS156" s="883">
        <f>(4*AS144/(AQ144+AR144+2*AS144)-1)*100</f>
        <v>1.4930426722684409</v>
      </c>
      <c r="AT156" s="883">
        <f>+(4*AT144/AT145-1)*100</f>
        <v>2.859641917492195</v>
      </c>
      <c r="AU156" s="1620"/>
      <c r="AV156" s="883">
        <f>(4*AV144/(AU144+3*AV144)-1)*100</f>
        <v>0.9085644053449915</v>
      </c>
      <c r="AW156" s="883">
        <f>(4*AW144/(AU144+AV144+2*AW144)-1)*100</f>
        <v>1.9720997275303409</v>
      </c>
      <c r="AX156" s="883">
        <f>+(4*AX144/AX145-1)*100</f>
        <v>-18.280382626967107</v>
      </c>
      <c r="AY156" s="1620"/>
      <c r="AZ156" s="883">
        <f>(4*AZ144/(AY144+3*AZ144)-1)*100</f>
        <v>-7.8816008407034399E-2</v>
      </c>
      <c r="BA156" s="883">
        <f>(4*BA144/(AY144+AZ144+2*BA144)-1)*100</f>
        <v>2.984947921768355</v>
      </c>
      <c r="BB156" s="883">
        <f>+(4*BB144/BB145-1)*100</f>
        <v>7.489038103713308</v>
      </c>
      <c r="BC156" s="1620"/>
      <c r="BD156" s="883">
        <f>(4*BD144/(BC144+3*BD144)-1)*100</f>
        <v>1.2017960535425143</v>
      </c>
      <c r="BE156" s="883">
        <f>(4*BE144/(BC144+BD144+2*BE144)-1)*100</f>
        <v>1.0911168884073508</v>
      </c>
      <c r="BF156" s="883">
        <f>+(4*BF144/BF145-1)*100</f>
        <v>5.3699168745277026</v>
      </c>
      <c r="BG156" s="1620"/>
      <c r="BH156" s="883">
        <f>(4*BH144/(BG144+3*BH144)-1)*100</f>
        <v>-0.24448052553980304</v>
      </c>
      <c r="BI156" s="883">
        <f>(4*BI144/(BG144+BH144+2*BI144)-1)*100</f>
        <v>-1.019062076006505</v>
      </c>
      <c r="BJ156" s="883">
        <f>+(4*BJ144/BJ145-1)*100</f>
        <v>-4.550578986683707</v>
      </c>
      <c r="BK156" s="1620"/>
      <c r="BL156" s="883">
        <f>(4*BL144/(BK144+3*BL144)-1)*100</f>
        <v>-0.31509957146459433</v>
      </c>
      <c r="BM156" s="883">
        <f>(4*BM144/(BK144+BL144+2*BM144)-1)*100</f>
        <v>-1.0780758321927042</v>
      </c>
      <c r="BN156" s="883">
        <f>+(4*BN144/BN145-1)*100</f>
        <v>-3.6398097485963787</v>
      </c>
      <c r="BO156" s="1620"/>
      <c r="BP156" s="883">
        <f>(4*BP144/(BO144+3*BP144)-1)*100</f>
        <v>0.61761470994670109</v>
      </c>
      <c r="BQ156" s="883">
        <f>(4*BQ144/(BO144+BP144+2*BQ144)-1)*100</f>
        <v>0.5116984860782603</v>
      </c>
      <c r="BR156" s="883">
        <f>+(4*BR144/BR145-1)*100</f>
        <v>3.4294215454625077</v>
      </c>
      <c r="BS156" s="1620"/>
      <c r="BT156" s="883">
        <f>(4*BT144/(BS144+3*BT144)-1)*100</f>
        <v>-0.13849271012714715</v>
      </c>
      <c r="BU156" s="883">
        <f>(4*BU144/(BS144+BT144+2*BU144)-1)*100</f>
        <v>-0.24186797515807212</v>
      </c>
      <c r="BV156" s="883">
        <f>+(4*BV144/BV145-1)*100</f>
        <v>0.77055642493513155</v>
      </c>
      <c r="BW156" s="1620"/>
      <c r="BX156" s="883">
        <f>(4*BX144/(BW144+3*BX144)-1)*100</f>
        <v>-0.87102052708428745</v>
      </c>
      <c r="BY156" s="883">
        <f>(4*BY144/(BW144+BX144+2*BY144)-1)*100</f>
        <v>1.6564439467956049</v>
      </c>
      <c r="BZ156" s="883">
        <f>+(4*BZ144/BZ145-1)*100</f>
        <v>-0.4072590273540011</v>
      </c>
      <c r="CA156" s="1620"/>
      <c r="CB156" s="883">
        <f>(4*CB144/(CA144+3*CB144)-1)*100</f>
        <v>0.31499466277236099</v>
      </c>
      <c r="CC156" s="883">
        <f>(4*CC144/(CA144+CB144+2*CC144)-1)*100</f>
        <v>1.8087521932087736</v>
      </c>
      <c r="CD156" s="883">
        <f>+(4*CD144/CD145-1)*100</f>
        <v>2.3642985143649931</v>
      </c>
      <c r="CE156" s="1620"/>
      <c r="CF156" s="883">
        <f>(4*CF144/(CE144+3*CF144)-1)*100</f>
        <v>-4.7079353820200787E-3</v>
      </c>
      <c r="CG156" s="883">
        <f>(4*CG144/(CE144+CF144+2*CG144)-1)*100</f>
        <v>0.10314934708659518</v>
      </c>
      <c r="CH156" s="883">
        <f>+(4*CH144/CH145-1)*100</f>
        <v>2.1069883594723837</v>
      </c>
      <c r="CI156" s="1620"/>
      <c r="CJ156" s="883">
        <f>(4*CJ144/(CI144+3*CJ144)-1)*100</f>
        <v>0.54970448001976369</v>
      </c>
      <c r="CK156" s="883">
        <f>(4*CK144/(CI144+CJ144+2*CK144)-1)*100</f>
        <v>-0.35367418526039973</v>
      </c>
      <c r="CL156" s="883">
        <f>+(4*CL144/CL145-1)*100</f>
        <v>-0.10331330122375082</v>
      </c>
      <c r="CM156" s="1620"/>
      <c r="CN156" s="883">
        <f>(4*CN144/(CM144+3*CN144)-1)*100</f>
        <v>0.93582964127483237</v>
      </c>
      <c r="CO156" s="883">
        <f>(4*CO144/(CM144+CN144+2*CO144)-1)*100</f>
        <v>1.1398514427849227</v>
      </c>
      <c r="CP156" s="883">
        <f>+(4*CP144/CP145-1)*100</f>
        <v>2.3198925954580618</v>
      </c>
      <c r="CQ156" s="1620"/>
      <c r="CR156" s="883">
        <f>(4*CR144/(CQ144+3*CR144)-1)*100</f>
        <v>-0.19718840354938649</v>
      </c>
      <c r="CS156" s="883">
        <f>(4*CS144/(CQ144+CR144+2*CS144)-1)*100</f>
        <v>0.80771192156476879</v>
      </c>
      <c r="CT156" s="883">
        <f>+(4*CT144/CT145-1)*100</f>
        <v>1.5024564930232742</v>
      </c>
      <c r="CU156" s="1620"/>
      <c r="CV156" s="883">
        <f>(4*CV144/(CU144+3*CV144)-1)*100</f>
        <v>0.24749262975558572</v>
      </c>
      <c r="CW156" s="883">
        <f>(4*CW144/(CU144+CV144+2*CW144)-1)*100</f>
        <v>0.67776078493722025</v>
      </c>
      <c r="CX156" s="883">
        <f>+(4*CX144/CX145-1)*100</f>
        <v>1.1425442702378774</v>
      </c>
      <c r="CY156" s="1620"/>
      <c r="CZ156" s="883">
        <f>(4*CZ144/(CY144+3*CZ144)-1)*100</f>
        <v>0.23257631559603364</v>
      </c>
      <c r="DA156" s="883">
        <f>(4*DA144/(CY144+CZ144+2*DA144)-1)*100</f>
        <v>0.70062841796130204</v>
      </c>
      <c r="DB156" s="883">
        <f>+(4*DB144/DB145-1)*100</f>
        <v>1.4100409684385973</v>
      </c>
    </row>
    <row r="157" spans="1:119" s="884" customFormat="1" ht="30" customHeight="1">
      <c r="A157" s="664"/>
      <c r="B157" s="664"/>
      <c r="C157" s="666"/>
      <c r="D157" s="1041"/>
      <c r="E157" s="3632"/>
      <c r="F157" s="1041"/>
      <c r="G157" s="1044"/>
      <c r="H157" s="1559"/>
      <c r="I157" s="1559"/>
      <c r="J157" s="1559"/>
      <c r="K157" s="1044"/>
      <c r="L157" s="1559"/>
      <c r="M157" s="1559"/>
      <c r="N157" s="1559"/>
      <c r="O157" s="1044"/>
      <c r="P157" s="1559"/>
      <c r="Q157" s="1559"/>
      <c r="R157" s="1559"/>
      <c r="S157" s="1044"/>
      <c r="T157" s="1559"/>
      <c r="U157" s="1559"/>
      <c r="V157" s="1559"/>
      <c r="W157" s="1044"/>
      <c r="X157" s="1559"/>
      <c r="Y157" s="1559"/>
      <c r="Z157" s="1559"/>
      <c r="AA157" s="1044"/>
      <c r="AB157" s="1559"/>
      <c r="AC157" s="1559"/>
      <c r="AD157" s="1559"/>
      <c r="AE157" s="1044"/>
      <c r="AF157" s="1559"/>
      <c r="AG157" s="1559"/>
      <c r="AH157" s="1559"/>
      <c r="AI157" s="1044"/>
      <c r="AJ157" s="1559"/>
      <c r="AK157" s="1559"/>
      <c r="AL157" s="1559"/>
      <c r="AM157" s="1044"/>
      <c r="AN157" s="1559"/>
      <c r="AO157" s="1559"/>
      <c r="AP157" s="1559"/>
      <c r="AQ157" s="1044"/>
      <c r="AR157" s="1559"/>
      <c r="AS157" s="1559"/>
      <c r="AT157" s="1559"/>
      <c r="AU157" s="1044"/>
      <c r="AV157" s="1559"/>
      <c r="AW157" s="1559"/>
      <c r="AX157" s="1559"/>
      <c r="AY157" s="1560"/>
      <c r="AZ157" s="1559"/>
      <c r="BA157" s="1560"/>
      <c r="BB157" s="1560"/>
      <c r="BC157" s="1560"/>
      <c r="BD157" s="1560"/>
      <c r="BE157" s="1560"/>
      <c r="BF157" s="1560"/>
      <c r="BG157" s="1560"/>
      <c r="BH157" s="1560"/>
      <c r="BI157" s="1560"/>
      <c r="BJ157" s="1560"/>
      <c r="BK157" s="1560"/>
      <c r="BL157" s="1560"/>
      <c r="BM157" s="1560"/>
      <c r="BN157" s="1560"/>
      <c r="BO157" s="1560"/>
      <c r="BP157" s="1560"/>
      <c r="BQ157" s="1560"/>
      <c r="BR157" s="1560"/>
      <c r="BS157" s="1560"/>
      <c r="BT157" s="1560"/>
      <c r="BU157" s="1560"/>
      <c r="BV157" s="1560"/>
      <c r="BW157" s="1560"/>
      <c r="BX157" s="1560"/>
      <c r="BY157" s="1560"/>
      <c r="BZ157" s="1560"/>
      <c r="CA157" s="1560"/>
      <c r="CB157" s="1560"/>
      <c r="CC157" s="1560"/>
      <c r="CD157" s="1560"/>
      <c r="CE157" s="1560"/>
      <c r="CF157" s="1560"/>
      <c r="CG157" s="1560"/>
      <c r="CH157" s="1560"/>
      <c r="CI157" s="1560"/>
      <c r="CJ157" s="1560"/>
      <c r="CK157" s="1560"/>
      <c r="CL157" s="1560"/>
      <c r="CM157"/>
      <c r="CN157"/>
      <c r="CO157"/>
      <c r="CP157"/>
      <c r="CQ157"/>
      <c r="CR157"/>
      <c r="CS157"/>
      <c r="CT157"/>
      <c r="CU157"/>
      <c r="CV157"/>
      <c r="CW157"/>
      <c r="CX157"/>
      <c r="CY157" s="3650"/>
      <c r="CZ157" s="3650"/>
      <c r="DA157" s="3650"/>
      <c r="DB157" s="3650"/>
      <c r="DC157"/>
      <c r="DD157"/>
      <c r="DE157"/>
      <c r="DF157"/>
      <c r="DG157"/>
      <c r="DH157"/>
      <c r="DI157"/>
      <c r="DJ157"/>
      <c r="DK157"/>
      <c r="DL157"/>
      <c r="DM157"/>
      <c r="DN157"/>
      <c r="DO157"/>
    </row>
    <row r="158" spans="1:119" s="884" customFormat="1" ht="30" customHeight="1">
      <c r="A158" s="664"/>
      <c r="B158" s="664"/>
      <c r="C158" s="666"/>
      <c r="D158" s="1041"/>
      <c r="E158" s="3632"/>
      <c r="F158" s="1041"/>
      <c r="G158" s="1044"/>
      <c r="H158" s="1559"/>
      <c r="I158" s="1559"/>
      <c r="J158" s="1559"/>
      <c r="K158" s="1044"/>
      <c r="L158" s="1559"/>
      <c r="M158" s="1559"/>
      <c r="N158" s="1559"/>
      <c r="O158" s="1044"/>
      <c r="P158" s="1559"/>
      <c r="Q158" s="1559"/>
      <c r="R158" s="1559"/>
      <c r="S158" s="1044"/>
      <c r="T158" s="1559"/>
      <c r="U158" s="1559"/>
      <c r="V158" s="1559"/>
      <c r="W158" s="1044"/>
      <c r="X158" s="1559"/>
      <c r="Y158" s="1559"/>
      <c r="Z158" s="1559"/>
      <c r="AA158" s="1044"/>
      <c r="AB158" s="1559"/>
      <c r="AC158" s="1559"/>
      <c r="AD158" s="1559"/>
      <c r="AE158" s="1044"/>
      <c r="AF158" s="1559"/>
      <c r="AG158" s="1559"/>
      <c r="AH158" s="1559"/>
      <c r="AI158" s="1044"/>
      <c r="AJ158" s="1559"/>
      <c r="AK158" s="1559"/>
      <c r="AL158" s="1559"/>
      <c r="AM158" s="1044"/>
      <c r="AN158" s="1559"/>
      <c r="AO158" s="1559"/>
      <c r="AP158" s="1559"/>
      <c r="AQ158" s="1044"/>
      <c r="AR158" s="1559"/>
      <c r="AS158" s="1559"/>
      <c r="AT158" s="1559"/>
      <c r="AU158" s="1044"/>
      <c r="AV158" s="1559"/>
      <c r="AW158" s="1559"/>
      <c r="AX158" s="1559"/>
      <c r="AY158" s="1560"/>
      <c r="AZ158" s="1559"/>
      <c r="BA158" s="1560"/>
      <c r="BB158" s="1560"/>
      <c r="BC158" s="1560"/>
      <c r="BD158" s="1560"/>
      <c r="BE158" s="1560"/>
      <c r="BF158" s="1560"/>
      <c r="BG158" s="1560"/>
      <c r="BH158" s="1560"/>
      <c r="BI158" s="1560"/>
      <c r="BJ158" s="1560"/>
      <c r="BK158" s="1560"/>
      <c r="BL158" s="1560"/>
      <c r="BM158" s="1560"/>
      <c r="BN158" s="1560"/>
      <c r="BO158" s="1560"/>
      <c r="BP158" s="1560"/>
      <c r="BQ158" s="1560"/>
      <c r="BR158" s="1560"/>
      <c r="BS158" s="1560"/>
      <c r="BT158" s="1560"/>
      <c r="BU158" s="1560"/>
      <c r="BV158" s="1560"/>
      <c r="BW158" s="1560"/>
      <c r="BX158" s="1560"/>
      <c r="BY158" s="1560"/>
      <c r="BZ158" s="1560"/>
      <c r="CA158" s="1560"/>
      <c r="CB158" s="1560"/>
      <c r="CC158" s="1560"/>
      <c r="CD158" s="1560"/>
      <c r="CE158" s="1560"/>
      <c r="CF158" s="1560"/>
      <c r="CG158" s="1560"/>
      <c r="CH158" s="1560"/>
      <c r="CI158" s="1560"/>
      <c r="CJ158" s="1560"/>
      <c r="CK158" s="1560"/>
      <c r="CL158" s="1560"/>
      <c r="CM158"/>
      <c r="CN158"/>
      <c r="CO158"/>
      <c r="CP158"/>
      <c r="CQ158"/>
      <c r="CR158"/>
      <c r="CS158"/>
      <c r="CT158"/>
      <c r="CU158"/>
      <c r="CV158"/>
      <c r="CW158"/>
      <c r="CX158"/>
      <c r="CY158" s="3650"/>
      <c r="CZ158" s="3650"/>
      <c r="DA158" s="3650"/>
      <c r="DB158" s="3650"/>
      <c r="DC158"/>
      <c r="DD158"/>
      <c r="DE158"/>
      <c r="DF158"/>
      <c r="DG158"/>
      <c r="DH158"/>
      <c r="DI158"/>
      <c r="DJ158"/>
      <c r="DK158"/>
      <c r="DL158"/>
      <c r="DM158"/>
      <c r="DN158"/>
      <c r="DO158"/>
    </row>
    <row r="159" spans="1:119" ht="30" customHeight="1">
      <c r="A159" s="664"/>
      <c r="C159" s="3767" t="s">
        <v>912</v>
      </c>
      <c r="D159" s="3767"/>
      <c r="E159" s="3767"/>
      <c r="F159" s="3767"/>
      <c r="CT159"/>
      <c r="CX159"/>
      <c r="DB159" s="3650"/>
    </row>
    <row r="160" spans="1:119" ht="12.75" customHeight="1">
      <c r="A160" s="664"/>
      <c r="E160" s="599"/>
      <c r="F160" s="3617"/>
      <c r="CT160"/>
      <c r="CX160"/>
      <c r="DB160" s="3650"/>
    </row>
    <row r="161" spans="1:119" ht="12.75" customHeight="1">
      <c r="A161" s="664"/>
      <c r="E161" s="599"/>
      <c r="F161" s="3617"/>
      <c r="G161" s="3764">
        <f ca="1">OFFSET(InputY!$G$3,0,(COLUMN()-7)/4)</f>
        <v>1995</v>
      </c>
      <c r="H161" s="3765"/>
      <c r="I161" s="3765"/>
      <c r="J161" s="3766"/>
      <c r="K161" s="3764">
        <f ca="1">OFFSET(InputY!$G$3,0,(COLUMN()-7)/4)</f>
        <v>1996</v>
      </c>
      <c r="L161" s="3765"/>
      <c r="M161" s="3765"/>
      <c r="N161" s="3766"/>
      <c r="O161" s="3764">
        <f ca="1">OFFSET(InputY!$G$3,0,(COLUMN()-7)/4)</f>
        <v>1997</v>
      </c>
      <c r="P161" s="3765"/>
      <c r="Q161" s="3765"/>
      <c r="R161" s="3766"/>
      <c r="S161" s="3764">
        <f ca="1">OFFSET(InputY!$G$3,0,(COLUMN()-7)/4)</f>
        <v>1998</v>
      </c>
      <c r="T161" s="3765"/>
      <c r="U161" s="3765"/>
      <c r="V161" s="3766"/>
      <c r="W161" s="3764">
        <f ca="1">OFFSET(InputY!$G$3,0,(COLUMN()-7)/4)</f>
        <v>1999</v>
      </c>
      <c r="X161" s="3765"/>
      <c r="Y161" s="3765"/>
      <c r="Z161" s="3766"/>
      <c r="AA161" s="3764">
        <f ca="1">OFFSET(InputY!$G$3,0,(COLUMN()-7)/4)</f>
        <v>2000</v>
      </c>
      <c r="AB161" s="3765"/>
      <c r="AC161" s="3765"/>
      <c r="AD161" s="3766"/>
      <c r="AE161" s="3764">
        <f ca="1">OFFSET(InputY!$G$3,0,(COLUMN()-7)/4)</f>
        <v>2001</v>
      </c>
      <c r="AF161" s="3765"/>
      <c r="AG161" s="3765"/>
      <c r="AH161" s="3766"/>
      <c r="AI161" s="3764">
        <f ca="1">OFFSET(InputY!$G$3,0,(COLUMN()-7)/4)</f>
        <v>2002</v>
      </c>
      <c r="AJ161" s="3765"/>
      <c r="AK161" s="3765"/>
      <c r="AL161" s="3766"/>
      <c r="AM161" s="3764">
        <f ca="1">OFFSET(InputY!$G$3,0,(COLUMN()-7)/4)</f>
        <v>2003</v>
      </c>
      <c r="AN161" s="3765"/>
      <c r="AO161" s="3765"/>
      <c r="AP161" s="3766"/>
      <c r="AQ161" s="3764">
        <f ca="1">OFFSET(InputY!$G$3,0,(COLUMN()-7)/4)</f>
        <v>2004</v>
      </c>
      <c r="AR161" s="3765"/>
      <c r="AS161" s="3765"/>
      <c r="AT161" s="3766"/>
      <c r="AU161" s="3764">
        <f ca="1">OFFSET(InputY!$G$3,0,(COLUMN()-7)/4)</f>
        <v>2005</v>
      </c>
      <c r="AV161" s="3765"/>
      <c r="AW161" s="3765"/>
      <c r="AX161" s="3766"/>
      <c r="AY161" s="3764">
        <f ca="1">OFFSET(InputY!$G$3,0,(COLUMN()-7)/4)</f>
        <v>2006</v>
      </c>
      <c r="AZ161" s="3765"/>
      <c r="BA161" s="3765"/>
      <c r="BB161" s="3766"/>
      <c r="BC161" s="3764">
        <f ca="1">OFFSET(InputY!$G$3,0,(COLUMN()-7)/4)</f>
        <v>2007</v>
      </c>
      <c r="BD161" s="3765"/>
      <c r="BE161" s="3765"/>
      <c r="BF161" s="3766"/>
      <c r="BG161" s="3764">
        <f ca="1">OFFSET(InputY!$G$3,0,(COLUMN()-7)/4)</f>
        <v>2008</v>
      </c>
      <c r="BH161" s="3765"/>
      <c r="BI161" s="3765"/>
      <c r="BJ161" s="3766"/>
      <c r="BK161" s="3764">
        <f ca="1">OFFSET(InputY!$G$3,0,(COLUMN()-7)/4)</f>
        <v>2009</v>
      </c>
      <c r="BL161" s="3765"/>
      <c r="BM161" s="3765"/>
      <c r="BN161" s="3766"/>
      <c r="BO161" s="3764">
        <f ca="1">OFFSET(InputY!$G$3,0,(COLUMN()-7)/4)</f>
        <v>2010</v>
      </c>
      <c r="BP161" s="3765"/>
      <c r="BQ161" s="3765"/>
      <c r="BR161" s="3766"/>
      <c r="BS161" s="3764">
        <f ca="1">OFFSET(InputY!$G$3,0,(COLUMN()-7)/4)</f>
        <v>2011</v>
      </c>
      <c r="BT161" s="3765"/>
      <c r="BU161" s="3765"/>
      <c r="BV161" s="3766"/>
      <c r="BW161" s="3764">
        <f ca="1">OFFSET(InputY!$G$3,0,(COLUMN()-7)/4)</f>
        <v>2012</v>
      </c>
      <c r="BX161" s="3765"/>
      <c r="BY161" s="3765"/>
      <c r="BZ161" s="3766"/>
      <c r="CA161" s="3764">
        <f ca="1">OFFSET(InputY!$G$3,0,(COLUMN()-7)/4)</f>
        <v>2013</v>
      </c>
      <c r="CB161" s="3765"/>
      <c r="CC161" s="3765"/>
      <c r="CD161" s="3766"/>
      <c r="CE161" s="3764">
        <f ca="1">OFFSET(InputY!$G$3,0,(COLUMN()-7)/4)</f>
        <v>2014</v>
      </c>
      <c r="CF161" s="3765"/>
      <c r="CG161" s="3765"/>
      <c r="CH161" s="3766"/>
      <c r="CI161" s="3764">
        <f ca="1">OFFSET(InputY!$G$3,0,(COLUMN()-7)/4)</f>
        <v>2015</v>
      </c>
      <c r="CJ161" s="3765"/>
      <c r="CK161" s="3765"/>
      <c r="CL161" s="3766"/>
      <c r="CM161" s="3764">
        <f ca="1">OFFSET(InputY!$G$3,0,(COLUMN()-7)/4)</f>
        <v>2016</v>
      </c>
      <c r="CN161" s="3765"/>
      <c r="CO161" s="3765"/>
      <c r="CP161" s="3766"/>
      <c r="CQ161" s="3764">
        <f ca="1">OFFSET(InputY!$G$3,0,(COLUMN()-7)/4)</f>
        <v>2017</v>
      </c>
      <c r="CR161" s="3765"/>
      <c r="CS161" s="3765"/>
      <c r="CT161" s="3766"/>
      <c r="CU161" s="3764">
        <f ca="1">OFFSET(InputY!$G$3,0,(COLUMN()-7)/4)</f>
        <v>2018</v>
      </c>
      <c r="CV161" s="3765"/>
      <c r="CW161" s="3765"/>
      <c r="CX161" s="3766"/>
      <c r="CY161" s="3764">
        <f ca="1">OFFSET(InputY!$G$3,0,(COLUMN()-7)/4)</f>
        <v>2019</v>
      </c>
      <c r="CZ161" s="3765"/>
      <c r="DA161" s="3765"/>
      <c r="DB161" s="3766"/>
    </row>
    <row r="162" spans="1:119" s="699" customFormat="1" ht="12.75" customHeight="1">
      <c r="A162" s="664"/>
      <c r="B162" s="664"/>
      <c r="C162" s="666"/>
      <c r="D162" s="695"/>
      <c r="E162" s="3618" t="s">
        <v>1892</v>
      </c>
      <c r="F162" s="3619"/>
      <c r="G162" s="1566" t="s">
        <v>1842</v>
      </c>
      <c r="H162" s="1567" t="s">
        <v>1843</v>
      </c>
      <c r="I162" s="1567" t="s">
        <v>1844</v>
      </c>
      <c r="J162" s="1568" t="s">
        <v>1845</v>
      </c>
      <c r="K162" s="1566" t="s">
        <v>1842</v>
      </c>
      <c r="L162" s="1567" t="s">
        <v>1843</v>
      </c>
      <c r="M162" s="1567" t="s">
        <v>1844</v>
      </c>
      <c r="N162" s="1568" t="s">
        <v>1845</v>
      </c>
      <c r="O162" s="1566" t="s">
        <v>1842</v>
      </c>
      <c r="P162" s="1567" t="s">
        <v>1843</v>
      </c>
      <c r="Q162" s="1567" t="s">
        <v>1844</v>
      </c>
      <c r="R162" s="1568" t="s">
        <v>1845</v>
      </c>
      <c r="S162" s="1566" t="s">
        <v>1842</v>
      </c>
      <c r="T162" s="1567" t="s">
        <v>1843</v>
      </c>
      <c r="U162" s="1567" t="s">
        <v>1844</v>
      </c>
      <c r="V162" s="1568" t="s">
        <v>1845</v>
      </c>
      <c r="W162" s="1566" t="s">
        <v>1842</v>
      </c>
      <c r="X162" s="1567" t="s">
        <v>1843</v>
      </c>
      <c r="Y162" s="1567" t="s">
        <v>1844</v>
      </c>
      <c r="Z162" s="1568" t="s">
        <v>1845</v>
      </c>
      <c r="AA162" s="1566" t="s">
        <v>1842</v>
      </c>
      <c r="AB162" s="1567" t="s">
        <v>1843</v>
      </c>
      <c r="AC162" s="1567" t="s">
        <v>1844</v>
      </c>
      <c r="AD162" s="1568" t="s">
        <v>1845</v>
      </c>
      <c r="AE162" s="1566" t="s">
        <v>1842</v>
      </c>
      <c r="AF162" s="1567" t="s">
        <v>1843</v>
      </c>
      <c r="AG162" s="1567" t="s">
        <v>1844</v>
      </c>
      <c r="AH162" s="1568" t="s">
        <v>1845</v>
      </c>
      <c r="AI162" s="1566" t="s">
        <v>1842</v>
      </c>
      <c r="AJ162" s="1567" t="s">
        <v>1843</v>
      </c>
      <c r="AK162" s="1567" t="s">
        <v>1844</v>
      </c>
      <c r="AL162" s="1568" t="s">
        <v>1845</v>
      </c>
      <c r="AM162" s="1566" t="s">
        <v>1842</v>
      </c>
      <c r="AN162" s="1567" t="s">
        <v>1843</v>
      </c>
      <c r="AO162" s="1567" t="s">
        <v>1844</v>
      </c>
      <c r="AP162" s="1568" t="s">
        <v>1845</v>
      </c>
      <c r="AQ162" s="1566" t="s">
        <v>1842</v>
      </c>
      <c r="AR162" s="1567" t="s">
        <v>1843</v>
      </c>
      <c r="AS162" s="1567" t="s">
        <v>1844</v>
      </c>
      <c r="AT162" s="1568" t="s">
        <v>1845</v>
      </c>
      <c r="AU162" s="1566" t="s">
        <v>1842</v>
      </c>
      <c r="AV162" s="1567" t="s">
        <v>1843</v>
      </c>
      <c r="AW162" s="1567" t="s">
        <v>1844</v>
      </c>
      <c r="AX162" s="1568" t="s">
        <v>1845</v>
      </c>
      <c r="AY162" s="1566" t="s">
        <v>1842</v>
      </c>
      <c r="AZ162" s="1567" t="s">
        <v>1843</v>
      </c>
      <c r="BA162" s="1567" t="s">
        <v>1844</v>
      </c>
      <c r="BB162" s="1568" t="s">
        <v>1845</v>
      </c>
      <c r="BC162" s="1566" t="s">
        <v>1842</v>
      </c>
      <c r="BD162" s="1567" t="s">
        <v>1843</v>
      </c>
      <c r="BE162" s="1567" t="s">
        <v>1844</v>
      </c>
      <c r="BF162" s="1568" t="s">
        <v>1845</v>
      </c>
      <c r="BG162" s="1566" t="s">
        <v>1842</v>
      </c>
      <c r="BH162" s="1567" t="s">
        <v>1843</v>
      </c>
      <c r="BI162" s="1567" t="s">
        <v>1844</v>
      </c>
      <c r="BJ162" s="1568" t="s">
        <v>1845</v>
      </c>
      <c r="BK162" s="1566" t="s">
        <v>1842</v>
      </c>
      <c r="BL162" s="1567" t="s">
        <v>1843</v>
      </c>
      <c r="BM162" s="1567" t="s">
        <v>1844</v>
      </c>
      <c r="BN162" s="1568" t="s">
        <v>1845</v>
      </c>
      <c r="BO162" s="1566" t="s">
        <v>1842</v>
      </c>
      <c r="BP162" s="1567" t="s">
        <v>1843</v>
      </c>
      <c r="BQ162" s="1567" t="s">
        <v>1844</v>
      </c>
      <c r="BR162" s="1568" t="s">
        <v>1845</v>
      </c>
      <c r="BS162" s="1566" t="s">
        <v>1842</v>
      </c>
      <c r="BT162" s="1567" t="s">
        <v>1843</v>
      </c>
      <c r="BU162" s="1567" t="s">
        <v>1844</v>
      </c>
      <c r="BV162" s="1568" t="s">
        <v>1845</v>
      </c>
      <c r="BW162" s="1566" t="s">
        <v>1842</v>
      </c>
      <c r="BX162" s="1567" t="s">
        <v>1843</v>
      </c>
      <c r="BY162" s="1567" t="s">
        <v>1844</v>
      </c>
      <c r="BZ162" s="1568" t="s">
        <v>1845</v>
      </c>
      <c r="CA162" s="1566" t="s">
        <v>1842</v>
      </c>
      <c r="CB162" s="1567" t="s">
        <v>1843</v>
      </c>
      <c r="CC162" s="1567" t="s">
        <v>1844</v>
      </c>
      <c r="CD162" s="1568" t="s">
        <v>1845</v>
      </c>
      <c r="CE162" s="1566" t="s">
        <v>1842</v>
      </c>
      <c r="CF162" s="1567" t="s">
        <v>1843</v>
      </c>
      <c r="CG162" s="1567" t="s">
        <v>1844</v>
      </c>
      <c r="CH162" s="1568" t="s">
        <v>1845</v>
      </c>
      <c r="CI162" s="1566" t="s">
        <v>1842</v>
      </c>
      <c r="CJ162" s="1567" t="s">
        <v>1843</v>
      </c>
      <c r="CK162" s="1567" t="s">
        <v>1844</v>
      </c>
      <c r="CL162" s="1568" t="s">
        <v>1845</v>
      </c>
      <c r="CM162" s="1566" t="s">
        <v>1842</v>
      </c>
      <c r="CN162" s="1567" t="s">
        <v>1843</v>
      </c>
      <c r="CO162" s="1567" t="s">
        <v>1844</v>
      </c>
      <c r="CP162" s="1568" t="s">
        <v>1845</v>
      </c>
      <c r="CQ162" s="1566" t="s">
        <v>1842</v>
      </c>
      <c r="CR162" s="1567" t="s">
        <v>1843</v>
      </c>
      <c r="CS162" s="1567" t="s">
        <v>1844</v>
      </c>
      <c r="CT162" s="1568" t="s">
        <v>1845</v>
      </c>
      <c r="CU162" s="1566" t="s">
        <v>1842</v>
      </c>
      <c r="CV162" s="1567" t="s">
        <v>1843</v>
      </c>
      <c r="CW162" s="1567" t="s">
        <v>1844</v>
      </c>
      <c r="CX162" s="1568" t="s">
        <v>1845</v>
      </c>
      <c r="CY162" s="1566" t="s">
        <v>1842</v>
      </c>
      <c r="CZ162" s="1567" t="s">
        <v>1843</v>
      </c>
      <c r="DA162" s="1567" t="s">
        <v>1844</v>
      </c>
      <c r="DB162" s="1568" t="s">
        <v>1845</v>
      </c>
      <c r="DC162"/>
      <c r="DD162"/>
      <c r="DE162"/>
      <c r="DF162"/>
      <c r="DG162"/>
      <c r="DH162"/>
      <c r="DI162"/>
      <c r="DJ162"/>
      <c r="DK162"/>
      <c r="DL162"/>
      <c r="DM162"/>
      <c r="DN162"/>
      <c r="DO162"/>
    </row>
    <row r="163" spans="1:119" s="699" customFormat="1" ht="12.75" hidden="1" customHeight="1">
      <c r="A163" s="664" t="str">
        <f>"Q" &amp; ROW(InputQ!A29)</f>
        <v>Q29</v>
      </c>
      <c r="C163" s="3069" t="s">
        <v>1767</v>
      </c>
      <c r="D163" s="668"/>
      <c r="E163" s="3620" t="s">
        <v>1782</v>
      </c>
      <c r="F163" s="3621"/>
      <c r="G163" s="780">
        <f>InputQ!G29/1000</f>
        <v>0.90231116774791476</v>
      </c>
      <c r="H163" s="780">
        <f>InputQ!H29/1000</f>
        <v>0.94578313253012047</v>
      </c>
      <c r="I163" s="780">
        <f>InputQ!I29/1000</f>
        <v>0.99661144578313254</v>
      </c>
      <c r="J163" s="780">
        <f>InputQ!J29/1000</f>
        <v>1.0429506487488416</v>
      </c>
      <c r="K163" s="780">
        <f>InputQ!K29/1000</f>
        <v>1.0650486561631143</v>
      </c>
      <c r="L163" s="780">
        <f>InputQ!L29/1000</f>
        <v>1.1022358665430956</v>
      </c>
      <c r="M163" s="780">
        <f>InputQ!M29/1000</f>
        <v>1.1570898980537534</v>
      </c>
      <c r="N163" s="780">
        <f>InputQ!N29/1000</f>
        <v>1.222515060240964</v>
      </c>
      <c r="O163" s="780">
        <f>InputQ!O29/1000</f>
        <v>1.287100324374421</v>
      </c>
      <c r="P163" s="780">
        <f>InputQ!P29/1000</f>
        <v>1.2966288229842446</v>
      </c>
      <c r="Q163" s="780">
        <f>InputQ!Q29/1000</f>
        <v>1.3149328081556999</v>
      </c>
      <c r="R163" s="780">
        <f>InputQ!R29/1000</f>
        <v>1.4410333642261355</v>
      </c>
      <c r="S163" s="780">
        <f>InputQ!S29/1000</f>
        <v>1.4774675625579239</v>
      </c>
      <c r="T163" s="780">
        <f>InputQ!T29/1000</f>
        <v>1.4664909638554218</v>
      </c>
      <c r="U163" s="780">
        <f>InputQ!U29/1000</f>
        <v>1.3313832252085265</v>
      </c>
      <c r="V163" s="780">
        <f>InputQ!V29/1000</f>
        <v>1.2534754402224282</v>
      </c>
      <c r="W163" s="780">
        <f>InputQ!W29/1000</f>
        <v>1.1620134383688601</v>
      </c>
      <c r="X163" s="780">
        <f>InputQ!X29/1000</f>
        <v>1.0677131603336423</v>
      </c>
      <c r="Y163" s="780">
        <f>InputQ!Y29/1000</f>
        <v>1.0504228452270623</v>
      </c>
      <c r="Z163" s="780">
        <f>InputQ!Z29/1000</f>
        <v>1.0602409638554218</v>
      </c>
      <c r="AA163" s="780">
        <f>InputQ!AA29/1000</f>
        <v>1.1919022242817423</v>
      </c>
      <c r="AB163" s="780">
        <f>InputQ!AB29/1000</f>
        <v>1.2020099629286378</v>
      </c>
      <c r="AC163" s="780">
        <f>InputQ!AC29/1000</f>
        <v>1.3066786376274329</v>
      </c>
      <c r="AD163" s="780">
        <f>InputQ!AD29/1000</f>
        <v>1.3319914272474516</v>
      </c>
      <c r="AE163" s="780">
        <f>InputQ!AE29/1000</f>
        <v>1.4655641797961074</v>
      </c>
      <c r="AF163" s="780">
        <f>InputQ!AF29/1000</f>
        <v>1.5596327618164969</v>
      </c>
      <c r="AG163" s="780">
        <f>InputQ!AG29/1000</f>
        <v>1.5776760889712695</v>
      </c>
      <c r="AH163" s="780">
        <f>InputQ!AH29/1000</f>
        <v>1.6481116774791476</v>
      </c>
      <c r="AI163" s="780">
        <f>InputQ!AI29/1000</f>
        <v>1.7377490732159409</v>
      </c>
      <c r="AJ163" s="780">
        <f>InputQ!AJ29/1000</f>
        <v>1.8634151992585728</v>
      </c>
      <c r="AK163" s="780">
        <f>InputQ!AK29/1000</f>
        <v>1.8522937905468027</v>
      </c>
      <c r="AL163" s="780">
        <f>InputQ!AL29/1000</f>
        <v>1.9785391566265063</v>
      </c>
      <c r="AM163" s="780">
        <f>InputQ!AM29/1000</f>
        <v>2.0750695088044484</v>
      </c>
      <c r="AN163" s="780">
        <f>InputQ!AN29/1000</f>
        <v>1.9273053753475442</v>
      </c>
      <c r="AO163" s="780">
        <f>InputQ!AO29/1000</f>
        <v>1.9966983317886933</v>
      </c>
      <c r="AP163" s="780">
        <f>InputQ!AP29/1000</f>
        <v>2.0689295644114924</v>
      </c>
      <c r="AQ163" s="780">
        <f>InputQ!AQ29/1000</f>
        <v>1.915720574606117</v>
      </c>
      <c r="AR163" s="780">
        <f>InputQ!AR29/1000</f>
        <v>2.0166531510658019</v>
      </c>
      <c r="AS163" s="780">
        <f>InputQ!AS29/1000</f>
        <v>2.0788635310472658</v>
      </c>
      <c r="AT163" s="780">
        <f>InputQ!AT29/1000</f>
        <v>2.2136526876737723</v>
      </c>
      <c r="AU163" s="780" t="e">
        <f>InputQ!AU29/1000</f>
        <v>#VALUE!</v>
      </c>
      <c r="AV163" s="780" t="e">
        <f>InputQ!AV29/1000</f>
        <v>#VALUE!</v>
      </c>
      <c r="AW163" s="780" t="e">
        <f>InputQ!AW29/1000</f>
        <v>#VALUE!</v>
      </c>
      <c r="AX163" s="780" t="e">
        <f>InputQ!AX29/1000</f>
        <v>#VALUE!</v>
      </c>
      <c r="AY163" s="780" t="e">
        <f>InputQ!AY29/1000</f>
        <v>#VALUE!</v>
      </c>
      <c r="AZ163" s="780" t="e">
        <f>InputQ!AZ29/1000</f>
        <v>#VALUE!</v>
      </c>
      <c r="BA163" s="780" t="e">
        <f>InputQ!BA29/1000</f>
        <v>#VALUE!</v>
      </c>
      <c r="BB163" s="780" t="e">
        <f>InputQ!BB29/1000</f>
        <v>#VALUE!</v>
      </c>
      <c r="BC163" s="780" t="e">
        <f>InputQ!BC29/1000</f>
        <v>#VALUE!</v>
      </c>
      <c r="BD163" s="780" t="e">
        <f>InputQ!BD29/1000</f>
        <v>#VALUE!</v>
      </c>
      <c r="BE163" s="780" t="e">
        <f>InputQ!BE29/1000</f>
        <v>#VALUE!</v>
      </c>
      <c r="BF163" s="780" t="e">
        <f>InputQ!BF29/1000</f>
        <v>#VALUE!</v>
      </c>
      <c r="BG163" s="780" t="e">
        <f>InputQ!BG29/1000</f>
        <v>#VALUE!</v>
      </c>
      <c r="BH163" s="780" t="e">
        <f>InputQ!BH29/1000</f>
        <v>#VALUE!</v>
      </c>
      <c r="BI163" s="780" t="e">
        <f>InputQ!BI29/1000</f>
        <v>#VALUE!</v>
      </c>
      <c r="BJ163" s="780" t="e">
        <f>InputQ!BJ29/1000</f>
        <v>#VALUE!</v>
      </c>
      <c r="BK163" s="780" t="e">
        <f>InputQ!BK29/1000</f>
        <v>#VALUE!</v>
      </c>
      <c r="BL163" s="780" t="e">
        <f>InputQ!BL29/1000</f>
        <v>#VALUE!</v>
      </c>
      <c r="BM163" s="780" t="e">
        <f>InputQ!BM29/1000</f>
        <v>#VALUE!</v>
      </c>
      <c r="BN163" s="780" t="e">
        <f>InputQ!BN29/1000</f>
        <v>#VALUE!</v>
      </c>
      <c r="BO163" s="780" t="e">
        <f>InputQ!BO29/1000</f>
        <v>#VALUE!</v>
      </c>
      <c r="BP163" s="780" t="e">
        <f>InputQ!BP29/1000</f>
        <v>#VALUE!</v>
      </c>
      <c r="BQ163" s="780" t="e">
        <f>InputQ!BQ29/1000</f>
        <v>#VALUE!</v>
      </c>
      <c r="BR163" s="780" t="e">
        <f>InputQ!BR29/1000</f>
        <v>#VALUE!</v>
      </c>
      <c r="BS163" s="780" t="e">
        <f>InputQ!BS29/1000</f>
        <v>#VALUE!</v>
      </c>
      <c r="BT163" s="780" t="e">
        <f>InputQ!BT29/1000</f>
        <v>#VALUE!</v>
      </c>
      <c r="BU163" s="780" t="e">
        <f>InputQ!BU29/1000</f>
        <v>#VALUE!</v>
      </c>
      <c r="BV163" s="780" t="e">
        <f>InputQ!BV29/1000</f>
        <v>#VALUE!</v>
      </c>
      <c r="BW163" s="780" t="e">
        <f>InputQ!BW29/1000</f>
        <v>#VALUE!</v>
      </c>
      <c r="BX163" s="780" t="e">
        <f>InputQ!BX29/1000</f>
        <v>#VALUE!</v>
      </c>
      <c r="BY163" s="780" t="e">
        <f>InputQ!BY29/1000</f>
        <v>#VALUE!</v>
      </c>
      <c r="BZ163" s="780" t="e">
        <f>InputQ!BZ29/1000</f>
        <v>#VALUE!</v>
      </c>
      <c r="CA163" s="780" t="e">
        <f>InputQ!CA29/1000</f>
        <v>#VALUE!</v>
      </c>
      <c r="CB163" s="780" t="e">
        <f>InputQ!CB29/1000</f>
        <v>#VALUE!</v>
      </c>
      <c r="CC163" s="780" t="e">
        <f>InputQ!CC29/1000</f>
        <v>#VALUE!</v>
      </c>
      <c r="CD163" s="780" t="e">
        <f>InputQ!CD29/1000</f>
        <v>#VALUE!</v>
      </c>
      <c r="CE163" s="780" t="e">
        <f>InputQ!CE29/1000</f>
        <v>#VALUE!</v>
      </c>
      <c r="CF163" s="780" t="e">
        <f>InputQ!CF29/1000</f>
        <v>#VALUE!</v>
      </c>
      <c r="CG163" s="1591" t="e">
        <f t="shared" ref="CG163:CL163" si="401">+CF163*(1+CG176/100)</f>
        <v>#VALUE!</v>
      </c>
      <c r="CH163" s="1591" t="e">
        <f t="shared" si="401"/>
        <v>#VALUE!</v>
      </c>
      <c r="CI163" s="1591" t="e">
        <f t="shared" si="401"/>
        <v>#VALUE!</v>
      </c>
      <c r="CJ163" s="1591" t="e">
        <f t="shared" si="401"/>
        <v>#VALUE!</v>
      </c>
      <c r="CK163" s="1591" t="e">
        <f t="shared" si="401"/>
        <v>#VALUE!</v>
      </c>
      <c r="CL163" s="1591" t="e">
        <f t="shared" si="401"/>
        <v>#VALUE!</v>
      </c>
      <c r="CM163" s="1591" t="e">
        <f t="shared" ref="CM163:CT163" si="402">+CL163*(1+CM176/100)</f>
        <v>#VALUE!</v>
      </c>
      <c r="CN163" s="1591" t="e">
        <f t="shared" si="402"/>
        <v>#VALUE!</v>
      </c>
      <c r="CO163" s="1591" t="e">
        <f t="shared" si="402"/>
        <v>#VALUE!</v>
      </c>
      <c r="CP163" s="1591" t="e">
        <f t="shared" si="402"/>
        <v>#VALUE!</v>
      </c>
      <c r="CQ163" s="1591" t="e">
        <f t="shared" si="402"/>
        <v>#VALUE!</v>
      </c>
      <c r="CR163" s="1591" t="e">
        <f t="shared" si="402"/>
        <v>#VALUE!</v>
      </c>
      <c r="CS163" s="1591" t="e">
        <f t="shared" si="402"/>
        <v>#VALUE!</v>
      </c>
      <c r="CT163" s="1591" t="e">
        <f t="shared" si="402"/>
        <v>#VALUE!</v>
      </c>
      <c r="CU163" s="1591" t="e">
        <f t="shared" ref="CU163:DB163" si="403">+CT163*(1+CU176/100)</f>
        <v>#VALUE!</v>
      </c>
      <c r="CV163" s="1591" t="e">
        <f t="shared" si="403"/>
        <v>#VALUE!</v>
      </c>
      <c r="CW163" s="1591" t="e">
        <f t="shared" si="403"/>
        <v>#VALUE!</v>
      </c>
      <c r="CX163" s="1591" t="e">
        <f t="shared" si="403"/>
        <v>#VALUE!</v>
      </c>
      <c r="CY163" s="1591" t="e">
        <f t="shared" si="403"/>
        <v>#VALUE!</v>
      </c>
      <c r="CZ163" s="1591" t="e">
        <f t="shared" si="403"/>
        <v>#VALUE!</v>
      </c>
      <c r="DA163" s="1591" t="e">
        <f t="shared" si="403"/>
        <v>#VALUE!</v>
      </c>
      <c r="DB163" s="1591" t="e">
        <f t="shared" si="403"/>
        <v>#VALUE!</v>
      </c>
      <c r="DC163"/>
      <c r="DD163"/>
      <c r="DE163"/>
      <c r="DF163"/>
      <c r="DG163"/>
      <c r="DH163"/>
      <c r="DI163"/>
      <c r="DJ163"/>
      <c r="DK163"/>
      <c r="DL163"/>
      <c r="DM163"/>
      <c r="DN163"/>
      <c r="DO163"/>
    </row>
    <row r="164" spans="1:119" s="699" customFormat="1" ht="12.75" hidden="1" customHeight="1">
      <c r="A164" s="664"/>
      <c r="C164" s="3070"/>
      <c r="D164" s="679"/>
      <c r="E164" s="680" t="s">
        <v>266</v>
      </c>
      <c r="F164" s="1908"/>
      <c r="G164" s="3064"/>
      <c r="H164" s="3064"/>
      <c r="I164" s="3066"/>
      <c r="J164" s="1575">
        <f>SUM(G163:J163)</f>
        <v>3.8876563948100094</v>
      </c>
      <c r="K164" s="3064"/>
      <c r="L164" s="3064"/>
      <c r="M164" s="3066"/>
      <c r="N164" s="1575">
        <f>SUM(K163:N163)</f>
        <v>4.5468894810009273</v>
      </c>
      <c r="O164" s="3064"/>
      <c r="P164" s="3064"/>
      <c r="Q164" s="3066"/>
      <c r="R164" s="1575">
        <f>SUM(O163:R163)</f>
        <v>5.3396953197405015</v>
      </c>
      <c r="S164" s="3064"/>
      <c r="T164" s="3064"/>
      <c r="U164" s="3066"/>
      <c r="V164" s="1575">
        <f>SUM(S163:V163)</f>
        <v>5.5288171918443005</v>
      </c>
      <c r="W164" s="3064"/>
      <c r="X164" s="3064"/>
      <c r="Y164" s="3066"/>
      <c r="Z164" s="1575">
        <f>SUM(W163:Z163)</f>
        <v>4.3403904077849864</v>
      </c>
      <c r="AA164" s="3064"/>
      <c r="AB164" s="3064"/>
      <c r="AC164" s="3066"/>
      <c r="AD164" s="1575">
        <f>SUM(AA163:AD163)</f>
        <v>5.0325822520852643</v>
      </c>
      <c r="AE164" s="3064"/>
      <c r="AF164" s="3064"/>
      <c r="AG164" s="3066"/>
      <c r="AH164" s="1575">
        <f>SUM(AE163:AH163)</f>
        <v>6.2509847080630214</v>
      </c>
      <c r="AI164" s="3064"/>
      <c r="AJ164" s="3064"/>
      <c r="AK164" s="3066"/>
      <c r="AL164" s="1575">
        <f>SUM(AI163:AL163)</f>
        <v>7.4319972196478226</v>
      </c>
      <c r="AM164" s="3064"/>
      <c r="AN164" s="3064"/>
      <c r="AO164" s="3066"/>
      <c r="AP164" s="1575">
        <f>SUM(AM163:AP163)</f>
        <v>8.0680027803521774</v>
      </c>
      <c r="AQ164" s="3064"/>
      <c r="AR164" s="3064"/>
      <c r="AS164" s="3066"/>
      <c r="AT164" s="1575">
        <f>SUM(AQ163:AT163)</f>
        <v>8.2248899443929577</v>
      </c>
      <c r="AU164" s="3064"/>
      <c r="AV164" s="3064"/>
      <c r="AW164" s="3066"/>
      <c r="AX164" s="1575" t="e">
        <f>SUM(AU163:AX163)</f>
        <v>#VALUE!</v>
      </c>
      <c r="AY164" s="3064"/>
      <c r="AZ164" s="3064"/>
      <c r="BA164" s="3066"/>
      <c r="BB164" s="1575" t="e">
        <f>SUM(AY163:BB163)</f>
        <v>#VALUE!</v>
      </c>
      <c r="BC164" s="3064"/>
      <c r="BD164" s="3064"/>
      <c r="BE164" s="3066"/>
      <c r="BF164" s="1575" t="e">
        <f>SUM(BC163:BF163)</f>
        <v>#VALUE!</v>
      </c>
      <c r="BG164" s="3064"/>
      <c r="BH164" s="3064"/>
      <c r="BI164" s="3066"/>
      <c r="BJ164" s="1575" t="e">
        <f>SUM(BG163:BJ163)</f>
        <v>#VALUE!</v>
      </c>
      <c r="BK164" s="3064"/>
      <c r="BL164" s="3064"/>
      <c r="BM164" s="3066"/>
      <c r="BN164" s="1575" t="e">
        <f>SUM(BK163:BN163)</f>
        <v>#VALUE!</v>
      </c>
      <c r="BO164" s="3064"/>
      <c r="BP164" s="3064"/>
      <c r="BQ164" s="3066"/>
      <c r="BR164" s="1575" t="e">
        <f>SUM(BO163:BR163)</f>
        <v>#VALUE!</v>
      </c>
      <c r="BS164" s="3064"/>
      <c r="BT164" s="3064"/>
      <c r="BU164" s="3066"/>
      <c r="BV164" s="1575" t="e">
        <f>SUM(BS163:BV163)</f>
        <v>#VALUE!</v>
      </c>
      <c r="BW164" s="3064"/>
      <c r="BX164" s="3064"/>
      <c r="BY164" s="3066"/>
      <c r="BZ164" s="1575" t="e">
        <f>SUM(BW163:BZ163)</f>
        <v>#VALUE!</v>
      </c>
      <c r="CA164" s="3064"/>
      <c r="CB164" s="3064"/>
      <c r="CC164" s="3066"/>
      <c r="CD164" s="1575" t="e">
        <f>SUM(CA163:CD163)</f>
        <v>#VALUE!</v>
      </c>
      <c r="CE164" s="3064"/>
      <c r="CF164" s="3064"/>
      <c r="CG164" s="3066"/>
      <c r="CH164" s="1575" t="e">
        <f>SUM(CE163:CH163)</f>
        <v>#VALUE!</v>
      </c>
      <c r="CI164" s="3064"/>
      <c r="CJ164" s="3064"/>
      <c r="CK164" s="3066"/>
      <c r="CL164" s="1575" t="e">
        <f>SUM(CI163:CL163)</f>
        <v>#VALUE!</v>
      </c>
      <c r="CM164" s="3064"/>
      <c r="CN164" s="3064"/>
      <c r="CO164" s="3066"/>
      <c r="CP164" s="1575" t="e">
        <f>SUM(CM163:CP163)</f>
        <v>#VALUE!</v>
      </c>
      <c r="CQ164" s="3064"/>
      <c r="CR164" s="3064"/>
      <c r="CS164" s="3066"/>
      <c r="CT164" s="1575" t="e">
        <f>SUM(CQ163:CT163)</f>
        <v>#VALUE!</v>
      </c>
      <c r="CU164" s="3064"/>
      <c r="CV164" s="3064"/>
      <c r="CW164" s="3066"/>
      <c r="CX164" s="1575" t="e">
        <f>SUM(CU163:CX163)</f>
        <v>#VALUE!</v>
      </c>
      <c r="CY164" s="3064"/>
      <c r="CZ164" s="3064"/>
      <c r="DA164" s="3066"/>
      <c r="DB164" s="1575" t="e">
        <f>SUM(CY163:DB163)</f>
        <v>#VALUE!</v>
      </c>
      <c r="DC164"/>
      <c r="DD164"/>
      <c r="DE164"/>
      <c r="DF164"/>
      <c r="DG164"/>
      <c r="DH164"/>
      <c r="DI164"/>
      <c r="DJ164"/>
      <c r="DK164"/>
      <c r="DL164"/>
      <c r="DM164"/>
      <c r="DN164"/>
      <c r="DO164"/>
    </row>
    <row r="165" spans="1:119" s="699" customFormat="1" ht="12.75" hidden="1" customHeight="1">
      <c r="A165" s="664"/>
      <c r="C165" s="3070"/>
      <c r="D165" s="679"/>
      <c r="E165" s="680" t="s">
        <v>1847</v>
      </c>
      <c r="F165" s="1908"/>
      <c r="G165" s="3064"/>
      <c r="H165" s="3067" t="s">
        <v>757</v>
      </c>
      <c r="I165" s="3064">
        <f ca="1">+J165/J164*100</f>
        <v>100.50657062003714</v>
      </c>
      <c r="J165" s="1575">
        <f ca="1">OFFSET('VVP2'!$G$82,0,(COLUMN()-10)/4)</f>
        <v>3.9073501199141121</v>
      </c>
      <c r="K165" s="3064"/>
      <c r="L165" s="3067" t="s">
        <v>757</v>
      </c>
      <c r="M165" s="3064">
        <f ca="1">+N165/N164*100</f>
        <v>100.59540175446926</v>
      </c>
      <c r="N165" s="1575">
        <f ca="1">OFFSET('VVP2'!$G$82,0,(COLUMN()-10)/4)</f>
        <v>4.5739617407445854</v>
      </c>
      <c r="O165" s="3064"/>
      <c r="P165" s="3067" t="s">
        <v>757</v>
      </c>
      <c r="Q165" s="3064">
        <f ca="1">+R165/R164*100</f>
        <v>101.4702587929176</v>
      </c>
      <c r="R165" s="1575">
        <f ca="1">OFFSET('VVP2'!$G$82,0,(COLUMN()-10)/4)</f>
        <v>5.4182026596939963</v>
      </c>
      <c r="S165" s="3064"/>
      <c r="T165" s="3067" t="s">
        <v>757</v>
      </c>
      <c r="U165" s="3064">
        <f ca="1">+V165/V164*100</f>
        <v>100.78405556233712</v>
      </c>
      <c r="V165" s="1575">
        <f ca="1">OFFSET('VVP2'!$G$82,0,(COLUMN()-10)/4)</f>
        <v>5.5721661905684066</v>
      </c>
      <c r="W165" s="3064"/>
      <c r="X165" s="3067" t="s">
        <v>757</v>
      </c>
      <c r="Y165" s="3064">
        <f ca="1">+Z165/Z164*100</f>
        <v>101.32560717144545</v>
      </c>
      <c r="Z165" s="1575">
        <f ca="1">OFFSET('VVP2'!$G$82,0,(COLUMN()-10)/4)</f>
        <v>4.3979269342993144</v>
      </c>
      <c r="AA165" s="3064"/>
      <c r="AB165" s="3067" t="s">
        <v>757</v>
      </c>
      <c r="AC165" s="3064">
        <f ca="1">+AD165/AD164*100</f>
        <v>100.46552576135865</v>
      </c>
      <c r="AD165" s="1575">
        <f ca="1">OFFSET('VVP2'!$G$82,0,(COLUMN()-10)/4)</f>
        <v>5.0560102189302842</v>
      </c>
      <c r="AE165" s="3064"/>
      <c r="AF165" s="3067" t="s">
        <v>757</v>
      </c>
      <c r="AG165" s="3064">
        <f ca="1">+AH165/AH164*100</f>
        <v>100.74481332597891</v>
      </c>
      <c r="AH165" s="1575">
        <f ca="1">OFFSET('VVP2'!$G$82,0,(COLUMN()-10)/4)</f>
        <v>6.2975428751735789</v>
      </c>
      <c r="AI165" s="3064"/>
      <c r="AJ165" s="3067" t="s">
        <v>757</v>
      </c>
      <c r="AK165" s="3064">
        <f ca="1">+AL165/AL164*100</f>
        <v>100.94004009612492</v>
      </c>
      <c r="AL165" s="1575">
        <f ca="1">OFFSET('VVP2'!$G$82,0,(COLUMN()-10)/4)</f>
        <v>7.5018609734554005</v>
      </c>
      <c r="AM165" s="3064"/>
      <c r="AN165" s="3067" t="s">
        <v>757</v>
      </c>
      <c r="AO165" s="3064">
        <f ca="1">+AP165/AP164*100</f>
        <v>101.41688222866505</v>
      </c>
      <c r="AP165" s="1575">
        <f ca="1">OFFSET('VVP2'!$G$82,0,(COLUMN()-10)/4)</f>
        <v>8.1823168779551896</v>
      </c>
      <c r="AQ165" s="3064"/>
      <c r="AR165" s="3067" t="s">
        <v>757</v>
      </c>
      <c r="AS165" s="3064">
        <f ca="1">+AT165/AT164*100</f>
        <v>101.54676909316909</v>
      </c>
      <c r="AT165" s="1575">
        <f ca="1">OFFSET('VVP2'!$G$82,0,(COLUMN()-10)/4)</f>
        <v>8.3521099999999997</v>
      </c>
      <c r="AU165" s="3064"/>
      <c r="AV165" s="3067" t="s">
        <v>757</v>
      </c>
      <c r="AW165" s="3064" t="e">
        <f ca="1">+AX165/AX164*100</f>
        <v>#VALUE!</v>
      </c>
      <c r="AX165" s="1575">
        <f ca="1">OFFSET('VVP2'!$G$82,0,(COLUMN()-10)/4)</f>
        <v>10.43451</v>
      </c>
      <c r="AY165" s="3064"/>
      <c r="AZ165" s="3067" t="s">
        <v>757</v>
      </c>
      <c r="BA165" s="3064" t="e">
        <f ca="1">+BB165/BB164*100</f>
        <v>#VALUE!</v>
      </c>
      <c r="BB165" s="1575">
        <f ca="1">OFFSET('VVP2'!$G$82,0,(COLUMN()-10)/4)</f>
        <v>11.827110000000001</v>
      </c>
      <c r="BC165" s="3064"/>
      <c r="BD165" s="3067" t="s">
        <v>757</v>
      </c>
      <c r="BE165" s="3064" t="e">
        <f ca="1">+BF165/BF164*100</f>
        <v>#VALUE!</v>
      </c>
      <c r="BF165" s="1575">
        <f ca="1">OFFSET('VVP2'!$G$82,0,(COLUMN()-10)/4)</f>
        <v>12.2881</v>
      </c>
      <c r="BG165" s="3064"/>
      <c r="BH165" s="3067" t="s">
        <v>757</v>
      </c>
      <c r="BI165" s="3064" t="e">
        <f ca="1">+BJ165/BJ164*100</f>
        <v>#VALUE!</v>
      </c>
      <c r="BJ165" s="1575">
        <f ca="1">OFFSET('VVP2'!$G$82,0,(COLUMN()-10)/4)</f>
        <v>14.26449</v>
      </c>
      <c r="BK165" s="3064"/>
      <c r="BL165" s="3067" t="s">
        <v>757</v>
      </c>
      <c r="BM165" s="3064" t="e">
        <f ca="1">+BN165/BN164*100</f>
        <v>#VALUE!</v>
      </c>
      <c r="BN165" s="1575">
        <f ca="1">OFFSET('VVP2'!$G$82,0,(COLUMN()-10)/4)</f>
        <v>12.42754</v>
      </c>
      <c r="BO165" s="3064"/>
      <c r="BP165" s="3067" t="s">
        <v>757</v>
      </c>
      <c r="BQ165" s="3064" t="e">
        <f ca="1">+BR165/BR164*100</f>
        <v>#VALUE!</v>
      </c>
      <c r="BR165" s="1575">
        <f ca="1">OFFSET('VVP2'!$G$82,0,(COLUMN()-10)/4)</f>
        <v>14.891</v>
      </c>
      <c r="BS165" s="3064"/>
      <c r="BT165" s="3067" t="s">
        <v>757</v>
      </c>
      <c r="BU165" s="3064" t="e">
        <f ca="1">+BV165/BV164*100</f>
        <v>#VALUE!</v>
      </c>
      <c r="BV165" s="1575">
        <f ca="1">OFFSET('VVP2'!$G$82,0,(COLUMN()-10)/4)</f>
        <v>17.204669999999997</v>
      </c>
      <c r="BW165" s="3064"/>
      <c r="BX165" s="3067" t="s">
        <v>757</v>
      </c>
      <c r="BY165" s="3064" t="e">
        <f ca="1">+BZ165/BZ164*100</f>
        <v>#VALUE!</v>
      </c>
      <c r="BZ165" s="1575">
        <f ca="1">OFFSET('VVP2'!$G$82,0,(COLUMN()-10)/4)</f>
        <v>19.202400000000001</v>
      </c>
      <c r="CA165" s="3064"/>
      <c r="CB165" s="3067" t="s">
        <v>757</v>
      </c>
      <c r="CC165" s="3064" t="e">
        <f ca="1">+CD165/CD164*100</f>
        <v>#VALUE!</v>
      </c>
      <c r="CD165" s="1575">
        <f ca="1">OFFSET('VVP2'!$G$82,0,(COLUMN()-10)/4)</f>
        <v>20.987580000000001</v>
      </c>
      <c r="CE165" s="3064"/>
      <c r="CF165" s="3067" t="s">
        <v>757</v>
      </c>
      <c r="CG165" s="3064" t="e">
        <f ca="1">+CH165/CH164*100</f>
        <v>#VALUE!</v>
      </c>
      <c r="CH165" s="1575">
        <f ca="1">OFFSET('VVP2'!$G$82,0,(COLUMN()-10)/4)</f>
        <v>21.368490000000001</v>
      </c>
      <c r="CI165" s="3064"/>
      <c r="CJ165" s="3067" t="s">
        <v>757</v>
      </c>
      <c r="CK165" s="3064" t="e">
        <f ca="1">+CL165/CL164*100</f>
        <v>#VALUE!</v>
      </c>
      <c r="CL165" s="1575">
        <f ca="1">OFFSET('VVP2'!$G$82,0,(COLUMN()-10)/4)</f>
        <v>21.201090000000001</v>
      </c>
      <c r="CM165" s="3064"/>
      <c r="CN165" s="3067" t="s">
        <v>757</v>
      </c>
      <c r="CO165" s="3064" t="e">
        <f ca="1">+CP165/CP164*100</f>
        <v>#VALUE!</v>
      </c>
      <c r="CP165" s="1575">
        <f ca="1">OFFSET('VVP2'!$G$82,0,(COLUMN()-10)/4)</f>
        <v>21.49098</v>
      </c>
      <c r="CQ165" s="3064"/>
      <c r="CR165" s="3067" t="s">
        <v>757</v>
      </c>
      <c r="CS165" s="3064" t="e">
        <f ca="1">+CT165/CT164*100</f>
        <v>#VALUE!</v>
      </c>
      <c r="CT165" s="1575">
        <f ca="1">OFFSET('VVP2'!$G$82,0,(COLUMN()-10)/4)</f>
        <v>24.115099999999998</v>
      </c>
      <c r="CU165" s="3064"/>
      <c r="CV165" s="3067" t="s">
        <v>757</v>
      </c>
      <c r="CW165" s="3064" t="e">
        <f ca="1">+CX165/CX164*100</f>
        <v>#VALUE!</v>
      </c>
      <c r="CX165" s="1575">
        <f ca="1">OFFSET('VVP2'!$G$82,0,(COLUMN()-10)/4)</f>
        <v>25.369085200000001</v>
      </c>
      <c r="CY165" s="3064"/>
      <c r="CZ165" s="3067" t="s">
        <v>757</v>
      </c>
      <c r="DA165" s="3064" t="e">
        <f ca="1">+DB165/DB164*100</f>
        <v>#VALUE!</v>
      </c>
      <c r="DB165" s="1575">
        <f ca="1">OFFSET('VVP2'!$G$82,0,(COLUMN()-10)/4)</f>
        <v>26.485324948800002</v>
      </c>
      <c r="DC165"/>
      <c r="DD165"/>
      <c r="DE165"/>
      <c r="DF165"/>
      <c r="DG165"/>
      <c r="DH165"/>
      <c r="DI165"/>
      <c r="DJ165"/>
      <c r="DK165"/>
      <c r="DL165"/>
      <c r="DM165"/>
      <c r="DN165"/>
      <c r="DO165"/>
    </row>
    <row r="166" spans="1:119" s="699" customFormat="1" ht="12.75" hidden="1" customHeight="1">
      <c r="A166" s="664" t="str">
        <f>"Q" &amp; ROW(InputQ!A30)</f>
        <v>Q30</v>
      </c>
      <c r="C166" s="3070" t="s">
        <v>1767</v>
      </c>
      <c r="D166" s="674"/>
      <c r="E166" s="3629" t="s">
        <v>1783</v>
      </c>
      <c r="F166" s="3630"/>
      <c r="G166" s="706">
        <f>InputQ!G30/1000</f>
        <v>0.20395041705282671</v>
      </c>
      <c r="H166" s="706">
        <f>InputQ!H30/1000</f>
        <v>0.207483781278962</v>
      </c>
      <c r="I166" s="706">
        <f>InputQ!I30/1000</f>
        <v>0.2016913809082484</v>
      </c>
      <c r="J166" s="706">
        <f>InputQ!J30/1000</f>
        <v>0.19951923076923078</v>
      </c>
      <c r="K166" s="706">
        <f>InputQ!K30/1000</f>
        <v>0.24971037998146434</v>
      </c>
      <c r="L166" s="706">
        <f>InputQ!L30/1000</f>
        <v>0.25613994439295645</v>
      </c>
      <c r="M166" s="706">
        <f>InputQ!M30/1000</f>
        <v>0.26731927710843378</v>
      </c>
      <c r="N166" s="706">
        <f>InputQ!N30/1000</f>
        <v>0.28087349397590361</v>
      </c>
      <c r="O166" s="706">
        <f>InputQ!O30/1000</f>
        <v>0.29486214087117701</v>
      </c>
      <c r="P166" s="706">
        <f>InputQ!P30/1000</f>
        <v>0.29926436515291938</v>
      </c>
      <c r="Q166" s="706">
        <f>InputQ!Q30/1000</f>
        <v>0.32677826691380907</v>
      </c>
      <c r="R166" s="706">
        <f>InputQ!R30/1000</f>
        <v>0.352264828544949</v>
      </c>
      <c r="S166" s="706">
        <f>InputQ!S30/1000</f>
        <v>0.35420528266913809</v>
      </c>
      <c r="T166" s="706">
        <f>InputQ!T30/1000</f>
        <v>0.35967910101946249</v>
      </c>
      <c r="U166" s="706">
        <f>InputQ!U30/1000</f>
        <v>0.3589550509731233</v>
      </c>
      <c r="V166" s="706">
        <f>InputQ!V30/1000</f>
        <v>0.35313368860055605</v>
      </c>
      <c r="W166" s="706">
        <f>InputQ!W30/1000</f>
        <v>0.35379981464318816</v>
      </c>
      <c r="X166" s="706">
        <f>InputQ!X30/1000</f>
        <v>0.36199606116774796</v>
      </c>
      <c r="Y166" s="706">
        <f>InputQ!Y30/1000</f>
        <v>0.36121408711770159</v>
      </c>
      <c r="Z166" s="706">
        <f>InputQ!Z30/1000</f>
        <v>0.35345227062094536</v>
      </c>
      <c r="AA166" s="706">
        <f>InputQ!AA30/1000</f>
        <v>0.34010078776645042</v>
      </c>
      <c r="AB166" s="706">
        <f>InputQ!AB30/1000</f>
        <v>0.33789967562557927</v>
      </c>
      <c r="AC166" s="706">
        <f>InputQ!AC30/1000</f>
        <v>0.33419253938832261</v>
      </c>
      <c r="AD166" s="706">
        <f>InputQ!AD30/1000</f>
        <v>0.32871872103799815</v>
      </c>
      <c r="AE166" s="706">
        <f>InputQ!AE30/1000</f>
        <v>0.34519810009267843</v>
      </c>
      <c r="AF166" s="706">
        <f>InputQ!AF30/1000</f>
        <v>0.35322057460611678</v>
      </c>
      <c r="AG166" s="706">
        <f>InputQ!AG30/1000</f>
        <v>0.37071362372567196</v>
      </c>
      <c r="AH166" s="706">
        <f>InputQ!AH30/1000</f>
        <v>0.39052363299351256</v>
      </c>
      <c r="AI166" s="706">
        <f>InputQ!AI30/1000</f>
        <v>0.40903035217794254</v>
      </c>
      <c r="AJ166" s="706">
        <f>InputQ!AJ30/1000</f>
        <v>0.42348239110287306</v>
      </c>
      <c r="AK166" s="706">
        <f>InputQ!AK30/1000</f>
        <v>0.42710264133456904</v>
      </c>
      <c r="AL166" s="706">
        <f>InputQ!AL30/1000</f>
        <v>0.4405410101946246</v>
      </c>
      <c r="AM166" s="706">
        <f>InputQ!AM30/1000</f>
        <v>0.45493512511584799</v>
      </c>
      <c r="AN166" s="706">
        <f>InputQ!AN30/1000</f>
        <v>0.44172845227062096</v>
      </c>
      <c r="AO166" s="706">
        <f>InputQ!AO30/1000</f>
        <v>0.44531974050046341</v>
      </c>
      <c r="AP166" s="706">
        <f>InputQ!AP30/1000</f>
        <v>0.457483781278962</v>
      </c>
      <c r="AQ166" s="706">
        <f>InputQ!AQ30/1000</f>
        <v>0.47442655236329934</v>
      </c>
      <c r="AR166" s="706">
        <f>InputQ!AR30/1000</f>
        <v>0.48198563484708068</v>
      </c>
      <c r="AS166" s="706">
        <f>InputQ!AS30/1000</f>
        <v>0.51986793327154768</v>
      </c>
      <c r="AT166" s="706">
        <f>InputQ!AT30/1000</f>
        <v>0.53837465245597771</v>
      </c>
      <c r="AU166" s="706" t="e">
        <f>InputQ!AU30/1000</f>
        <v>#VALUE!</v>
      </c>
      <c r="AV166" s="706" t="e">
        <f>InputQ!AV30/1000</f>
        <v>#VALUE!</v>
      </c>
      <c r="AW166" s="706" t="e">
        <f>InputQ!AW30/1000</f>
        <v>#VALUE!</v>
      </c>
      <c r="AX166" s="706" t="e">
        <f>InputQ!AX30/1000</f>
        <v>#VALUE!</v>
      </c>
      <c r="AY166" s="706" t="e">
        <f>InputQ!AY30/1000</f>
        <v>#VALUE!</v>
      </c>
      <c r="AZ166" s="706" t="e">
        <f>InputQ!AZ30/1000</f>
        <v>#VALUE!</v>
      </c>
      <c r="BA166" s="706" t="e">
        <f>InputQ!BA30/1000</f>
        <v>#VALUE!</v>
      </c>
      <c r="BB166" s="706" t="e">
        <f>InputQ!BB30/1000</f>
        <v>#VALUE!</v>
      </c>
      <c r="BC166" s="706" t="e">
        <f>InputQ!BC30/1000</f>
        <v>#VALUE!</v>
      </c>
      <c r="BD166" s="706" t="e">
        <f>InputQ!BD30/1000</f>
        <v>#VALUE!</v>
      </c>
      <c r="BE166" s="706" t="e">
        <f>InputQ!BE30/1000</f>
        <v>#VALUE!</v>
      </c>
      <c r="BF166" s="706" t="e">
        <f>InputQ!BF30/1000</f>
        <v>#VALUE!</v>
      </c>
      <c r="BG166" s="706" t="e">
        <f>InputQ!BG30/1000</f>
        <v>#VALUE!</v>
      </c>
      <c r="BH166" s="706" t="e">
        <f>InputQ!BH30/1000</f>
        <v>#VALUE!</v>
      </c>
      <c r="BI166" s="706" t="e">
        <f>InputQ!BI30/1000</f>
        <v>#VALUE!</v>
      </c>
      <c r="BJ166" s="1564" t="e">
        <f>InputQ!BJ30/1000</f>
        <v>#VALUE!</v>
      </c>
      <c r="BK166" s="1564" t="e">
        <f>InputQ!BK30/1000</f>
        <v>#VALUE!</v>
      </c>
      <c r="BL166" s="1564" t="e">
        <f>InputQ!BL30/1000</f>
        <v>#VALUE!</v>
      </c>
      <c r="BM166" s="1564" t="e">
        <f>InputQ!BM30/1000</f>
        <v>#VALUE!</v>
      </c>
      <c r="BN166" s="1564" t="e">
        <f>InputQ!BN30/1000</f>
        <v>#VALUE!</v>
      </c>
      <c r="BO166" s="1564" t="e">
        <f>InputQ!BO30/1000</f>
        <v>#VALUE!</v>
      </c>
      <c r="BP166" s="1564" t="e">
        <f>InputQ!BP30/1000</f>
        <v>#VALUE!</v>
      </c>
      <c r="BQ166" s="1564" t="e">
        <f>InputQ!BQ30/1000</f>
        <v>#VALUE!</v>
      </c>
      <c r="BR166" s="1564" t="e">
        <f>InputQ!BR30/1000</f>
        <v>#VALUE!</v>
      </c>
      <c r="BS166" s="1564" t="e">
        <f>InputQ!BS30/1000</f>
        <v>#VALUE!</v>
      </c>
      <c r="BT166" s="1564" t="e">
        <f>InputQ!BT30/1000</f>
        <v>#VALUE!</v>
      </c>
      <c r="BU166" s="1564" t="e">
        <f>InputQ!BU30/1000</f>
        <v>#VALUE!</v>
      </c>
      <c r="BV166" s="1564" t="e">
        <f>InputQ!BV30/1000</f>
        <v>#VALUE!</v>
      </c>
      <c r="BW166" s="1564" t="e">
        <f>InputQ!BW30/1000</f>
        <v>#VALUE!</v>
      </c>
      <c r="BX166" s="1564" t="e">
        <f>InputQ!BX30/1000</f>
        <v>#VALUE!</v>
      </c>
      <c r="BY166" s="1564" t="e">
        <f>InputQ!BY30/1000</f>
        <v>#VALUE!</v>
      </c>
      <c r="BZ166" s="1564" t="e">
        <f>InputQ!BZ30/1000</f>
        <v>#VALUE!</v>
      </c>
      <c r="CA166" s="1564" t="e">
        <f>InputQ!CA30/1000</f>
        <v>#VALUE!</v>
      </c>
      <c r="CB166" s="1564" t="e">
        <f>InputQ!CB30/1000</f>
        <v>#VALUE!</v>
      </c>
      <c r="CC166" s="1564" t="e">
        <f>InputQ!CC30/1000</f>
        <v>#VALUE!</v>
      </c>
      <c r="CD166" s="1564" t="e">
        <f>InputQ!CD30/1000</f>
        <v>#VALUE!</v>
      </c>
      <c r="CE166" s="1564" t="e">
        <f>InputQ!CE30/1000</f>
        <v>#VALUE!</v>
      </c>
      <c r="CF166" s="1564" t="e">
        <f>InputQ!CF30/1000</f>
        <v>#VALUE!</v>
      </c>
      <c r="CG166" s="3065" t="e">
        <f t="shared" ref="CG166:CL166" si="404">+CF166*(1+CG179/100)</f>
        <v>#VALUE!</v>
      </c>
      <c r="CH166" s="3065" t="e">
        <f t="shared" si="404"/>
        <v>#VALUE!</v>
      </c>
      <c r="CI166" s="3065" t="e">
        <f t="shared" si="404"/>
        <v>#VALUE!</v>
      </c>
      <c r="CJ166" s="3065" t="e">
        <f t="shared" si="404"/>
        <v>#VALUE!</v>
      </c>
      <c r="CK166" s="3065" t="e">
        <f t="shared" si="404"/>
        <v>#VALUE!</v>
      </c>
      <c r="CL166" s="3065" t="e">
        <f t="shared" si="404"/>
        <v>#VALUE!</v>
      </c>
      <c r="CM166" s="3065" t="e">
        <f t="shared" ref="CM166:CT166" si="405">+CL166*(1+CM179/100)</f>
        <v>#VALUE!</v>
      </c>
      <c r="CN166" s="3065" t="e">
        <f t="shared" si="405"/>
        <v>#VALUE!</v>
      </c>
      <c r="CO166" s="3065" t="e">
        <f t="shared" si="405"/>
        <v>#VALUE!</v>
      </c>
      <c r="CP166" s="3065" t="e">
        <f t="shared" si="405"/>
        <v>#VALUE!</v>
      </c>
      <c r="CQ166" s="3065" t="e">
        <f t="shared" si="405"/>
        <v>#VALUE!</v>
      </c>
      <c r="CR166" s="3065" t="e">
        <f t="shared" si="405"/>
        <v>#VALUE!</v>
      </c>
      <c r="CS166" s="3065" t="e">
        <f t="shared" si="405"/>
        <v>#VALUE!</v>
      </c>
      <c r="CT166" s="3065" t="e">
        <f t="shared" si="405"/>
        <v>#VALUE!</v>
      </c>
      <c r="CU166" s="3065" t="e">
        <f t="shared" ref="CU166:DB166" si="406">+CT166*(1+CU179/100)</f>
        <v>#VALUE!</v>
      </c>
      <c r="CV166" s="3065" t="e">
        <f t="shared" si="406"/>
        <v>#VALUE!</v>
      </c>
      <c r="CW166" s="3065" t="e">
        <f t="shared" si="406"/>
        <v>#VALUE!</v>
      </c>
      <c r="CX166" s="3065" t="e">
        <f t="shared" si="406"/>
        <v>#VALUE!</v>
      </c>
      <c r="CY166" s="3065" t="e">
        <f t="shared" si="406"/>
        <v>#VALUE!</v>
      </c>
      <c r="CZ166" s="3065" t="e">
        <f t="shared" si="406"/>
        <v>#VALUE!</v>
      </c>
      <c r="DA166" s="3065" t="e">
        <f t="shared" si="406"/>
        <v>#VALUE!</v>
      </c>
      <c r="DB166" s="3065" t="e">
        <f t="shared" si="406"/>
        <v>#VALUE!</v>
      </c>
      <c r="DC166"/>
      <c r="DD166"/>
      <c r="DE166"/>
      <c r="DF166"/>
      <c r="DG166"/>
      <c r="DH166"/>
      <c r="DI166"/>
      <c r="DJ166"/>
      <c r="DK166"/>
      <c r="DL166"/>
      <c r="DM166"/>
      <c r="DN166"/>
      <c r="DO166"/>
    </row>
    <row r="167" spans="1:119" s="699" customFormat="1" ht="12.75" hidden="1" customHeight="1">
      <c r="A167" s="664"/>
      <c r="C167" s="3070"/>
      <c r="D167" s="679"/>
      <c r="E167" s="680" t="s">
        <v>266</v>
      </c>
      <c r="F167" s="1908"/>
      <c r="G167" s="3064"/>
      <c r="H167" s="3064"/>
      <c r="I167" s="3066"/>
      <c r="J167" s="1575">
        <f>SUM(G166:J166)</f>
        <v>0.81264481000926803</v>
      </c>
      <c r="K167" s="3064"/>
      <c r="L167" s="3064"/>
      <c r="M167" s="3066"/>
      <c r="N167" s="1575">
        <f>SUM(K166:N166)</f>
        <v>1.0540430954587583</v>
      </c>
      <c r="O167" s="3064"/>
      <c r="P167" s="3064"/>
      <c r="Q167" s="3066"/>
      <c r="R167" s="1575">
        <f>SUM(O166:R166)</f>
        <v>1.2731696014828544</v>
      </c>
      <c r="S167" s="3064"/>
      <c r="T167" s="3064"/>
      <c r="U167" s="3066"/>
      <c r="V167" s="1575">
        <f>SUM(S166:V166)</f>
        <v>1.4259731232622801</v>
      </c>
      <c r="W167" s="3064"/>
      <c r="X167" s="3064"/>
      <c r="Y167" s="3066"/>
      <c r="Z167" s="1575">
        <f>SUM(W166:Z166)</f>
        <v>1.4304622335495831</v>
      </c>
      <c r="AA167" s="3064"/>
      <c r="AB167" s="3064"/>
      <c r="AC167" s="3066"/>
      <c r="AD167" s="1575">
        <f>SUM(AA166:AD166)</f>
        <v>1.3409117238183503</v>
      </c>
      <c r="AE167" s="3064"/>
      <c r="AF167" s="3064"/>
      <c r="AG167" s="3066"/>
      <c r="AH167" s="1575">
        <f>SUM(AE166:AH166)</f>
        <v>1.4596559314179798</v>
      </c>
      <c r="AI167" s="3064"/>
      <c r="AJ167" s="3064"/>
      <c r="AK167" s="3066"/>
      <c r="AL167" s="1575">
        <f>SUM(AI166:AL166)</f>
        <v>1.7001563948100091</v>
      </c>
      <c r="AM167" s="3064"/>
      <c r="AN167" s="3064"/>
      <c r="AO167" s="3066"/>
      <c r="AP167" s="1575">
        <f>SUM(AM166:AP166)</f>
        <v>1.7994670991658943</v>
      </c>
      <c r="AQ167" s="3064"/>
      <c r="AR167" s="3064"/>
      <c r="AS167" s="3066"/>
      <c r="AT167" s="1575">
        <f>SUM(AQ166:AT166)</f>
        <v>2.0146547729379054</v>
      </c>
      <c r="AU167" s="3064"/>
      <c r="AV167" s="3064"/>
      <c r="AW167" s="3066"/>
      <c r="AX167" s="1575" t="e">
        <f>SUM(AU166:AX166)</f>
        <v>#VALUE!</v>
      </c>
      <c r="AY167" s="3064"/>
      <c r="AZ167" s="3064"/>
      <c r="BA167" s="3066"/>
      <c r="BB167" s="1575" t="e">
        <f>SUM(AY166:BB166)</f>
        <v>#VALUE!</v>
      </c>
      <c r="BC167" s="3064"/>
      <c r="BD167" s="3064"/>
      <c r="BE167" s="3066"/>
      <c r="BF167" s="1575" t="e">
        <f>SUM(BC166:BF166)</f>
        <v>#VALUE!</v>
      </c>
      <c r="BG167" s="3064"/>
      <c r="BH167" s="3064"/>
      <c r="BI167" s="3066"/>
      <c r="BJ167" s="1575" t="e">
        <f>SUM(BG166:BJ166)</f>
        <v>#VALUE!</v>
      </c>
      <c r="BK167" s="3064"/>
      <c r="BL167" s="3064"/>
      <c r="BM167" s="3066"/>
      <c r="BN167" s="1575" t="e">
        <f>SUM(BK166:BN166)</f>
        <v>#VALUE!</v>
      </c>
      <c r="BO167" s="3064"/>
      <c r="BP167" s="3064"/>
      <c r="BQ167" s="3066"/>
      <c r="BR167" s="1575" t="e">
        <f>SUM(BO166:BR166)</f>
        <v>#VALUE!</v>
      </c>
      <c r="BS167" s="3064"/>
      <c r="BT167" s="3064"/>
      <c r="BU167" s="3066"/>
      <c r="BV167" s="1575" t="e">
        <f>SUM(BS166:BV166)</f>
        <v>#VALUE!</v>
      </c>
      <c r="BW167" s="3064"/>
      <c r="BX167" s="3064"/>
      <c r="BY167" s="3066"/>
      <c r="BZ167" s="1575" t="e">
        <f>SUM(BW166:BZ166)</f>
        <v>#VALUE!</v>
      </c>
      <c r="CA167" s="3064"/>
      <c r="CB167" s="3064"/>
      <c r="CC167" s="3066"/>
      <c r="CD167" s="1575" t="e">
        <f>SUM(CA166:CD166)</f>
        <v>#VALUE!</v>
      </c>
      <c r="CE167" s="3064"/>
      <c r="CF167" s="3064"/>
      <c r="CG167" s="3066"/>
      <c r="CH167" s="1575" t="e">
        <f>SUM(CE166:CH166)</f>
        <v>#VALUE!</v>
      </c>
      <c r="CI167" s="3064"/>
      <c r="CJ167" s="3064"/>
      <c r="CK167" s="3066"/>
      <c r="CL167" s="1575" t="e">
        <f>SUM(CI166:CL166)</f>
        <v>#VALUE!</v>
      </c>
      <c r="CM167" s="3064"/>
      <c r="CN167" s="3064"/>
      <c r="CO167" s="3066"/>
      <c r="CP167" s="1575" t="e">
        <f>SUM(CM166:CP166)</f>
        <v>#VALUE!</v>
      </c>
      <c r="CQ167" s="3064"/>
      <c r="CR167" s="3064"/>
      <c r="CS167" s="3066"/>
      <c r="CT167" s="1575" t="e">
        <f>SUM(CQ166:CT166)</f>
        <v>#VALUE!</v>
      </c>
      <c r="CU167" s="3064"/>
      <c r="CV167" s="3064"/>
      <c r="CW167" s="3066"/>
      <c r="CX167" s="1575" t="e">
        <f>SUM(CU166:CX166)</f>
        <v>#VALUE!</v>
      </c>
      <c r="CY167" s="3064"/>
      <c r="CZ167" s="3064"/>
      <c r="DA167" s="3066"/>
      <c r="DB167" s="1575" t="e">
        <f>SUM(CY166:DB166)</f>
        <v>#VALUE!</v>
      </c>
      <c r="DC167"/>
      <c r="DD167"/>
      <c r="DE167"/>
      <c r="DF167"/>
      <c r="DG167"/>
      <c r="DH167"/>
      <c r="DI167"/>
      <c r="DJ167"/>
      <c r="DK167"/>
      <c r="DL167"/>
      <c r="DM167"/>
      <c r="DN167"/>
      <c r="DO167"/>
    </row>
    <row r="168" spans="1:119" s="699" customFormat="1" ht="12.75" hidden="1" customHeight="1">
      <c r="A168" s="664"/>
      <c r="C168" s="3070"/>
      <c r="D168" s="679"/>
      <c r="E168" s="680" t="s">
        <v>1847</v>
      </c>
      <c r="F168" s="1908"/>
      <c r="G168" s="3064"/>
      <c r="H168" s="3067" t="s">
        <v>757</v>
      </c>
      <c r="I168" s="3064">
        <f ca="1">+J168/J167*100</f>
        <v>135.33933798573332</v>
      </c>
      <c r="J168" s="1575">
        <f ca="1">OFFSET('VVP2'!$G$81,0,(COLUMN()-10)/4)</f>
        <v>1.0998281060419637</v>
      </c>
      <c r="K168" s="3064"/>
      <c r="L168" s="3067" t="s">
        <v>757</v>
      </c>
      <c r="M168" s="3064">
        <f ca="1">+N168/N167*100</f>
        <v>135.69074751654702</v>
      </c>
      <c r="N168" s="1575">
        <f ca="1">OFFSET('VVP2'!$G$81,0,(COLUMN()-10)/4)</f>
        <v>1.4302389553745405</v>
      </c>
      <c r="O168" s="3064"/>
      <c r="P168" s="3067" t="s">
        <v>757</v>
      </c>
      <c r="Q168" s="3064">
        <f ca="1">+R168/R167*100</f>
        <v>135.30946821926261</v>
      </c>
      <c r="R168" s="1575">
        <f ca="1">OFFSET('VVP2'!$G$81,0,(COLUMN()-10)/4)</f>
        <v>1.7227190172957554</v>
      </c>
      <c r="S168" s="3064"/>
      <c r="T168" s="3067" t="s">
        <v>757</v>
      </c>
      <c r="U168" s="3064">
        <f ca="1">+V168/V167*100</f>
        <v>135.33069279639881</v>
      </c>
      <c r="V168" s="1575">
        <f ca="1">OFFSET('VVP2'!$G$81,0,(COLUMN()-10)/4)</f>
        <v>1.9297793068012896</v>
      </c>
      <c r="W168" s="3064"/>
      <c r="X168" s="3067" t="s">
        <v>757</v>
      </c>
      <c r="Y168" s="3064">
        <f ca="1">+Z168/Z167*100</f>
        <v>135.30548272841574</v>
      </c>
      <c r="Z168" s="1575">
        <f ca="1">OFFSET('VVP2'!$G$81,0,(COLUMN()-10)/4)</f>
        <v>1.9354938303519413</v>
      </c>
      <c r="AA168" s="3064"/>
      <c r="AB168" s="3067" t="s">
        <v>757</v>
      </c>
      <c r="AC168" s="3064">
        <f ca="1">+AD168/AD167*100</f>
        <v>135.74399488415386</v>
      </c>
      <c r="AD168" s="1575">
        <f ca="1">OFFSET('VVP2'!$G$81,0,(COLUMN()-10)/4)</f>
        <v>1.8202071417810006</v>
      </c>
      <c r="AE168" s="3064"/>
      <c r="AF168" s="3067" t="s">
        <v>757</v>
      </c>
      <c r="AG168" s="3064">
        <f ca="1">+AH168/AH167*100</f>
        <v>135.33926786805722</v>
      </c>
      <c r="AH168" s="1575">
        <f ca="1">OFFSET('VVP2'!$G$81,0,(COLUMN()-10)/4)</f>
        <v>1.9754876509737651</v>
      </c>
      <c r="AI168" s="3064"/>
      <c r="AJ168" s="3067" t="s">
        <v>757</v>
      </c>
      <c r="AK168" s="3064">
        <f ca="1">+AL168/AL167*100</f>
        <v>135.32617427250113</v>
      </c>
      <c r="AL168" s="1575">
        <f ca="1">OFFSET('VVP2'!$G$81,0,(COLUMN()-10)/4)</f>
        <v>2.3007566057456654</v>
      </c>
      <c r="AM168" s="3064"/>
      <c r="AN168" s="3067" t="s">
        <v>757</v>
      </c>
      <c r="AO168" s="3064">
        <f ca="1">+AP168/AP167*100</f>
        <v>135.3005585190586</v>
      </c>
      <c r="AP168" s="1575">
        <f ca="1">OFFSET('VVP2'!$G$81,0,(COLUMN()-10)/4)</f>
        <v>2.434689035538157</v>
      </c>
      <c r="AQ168" s="3064"/>
      <c r="AR168" s="3067" t="s">
        <v>757</v>
      </c>
      <c r="AS168" s="3064">
        <f ca="1">+AT168/AT167*100</f>
        <v>135.14772042206954</v>
      </c>
      <c r="AT168" s="1575">
        <f ca="1">OFFSET('VVP2'!$G$81,0,(COLUMN()-10)/4)</f>
        <v>2.7227600000000001</v>
      </c>
      <c r="AU168" s="3064"/>
      <c r="AV168" s="3067" t="s">
        <v>757</v>
      </c>
      <c r="AW168" s="3064" t="e">
        <f ca="1">+AX168/AX167*100</f>
        <v>#VALUE!</v>
      </c>
      <c r="AX168" s="1575">
        <f ca="1">OFFSET('VVP2'!$G$81,0,(COLUMN()-10)/4)</f>
        <v>2.9383000000000004</v>
      </c>
      <c r="AY168" s="3064"/>
      <c r="AZ168" s="3067" t="s">
        <v>757</v>
      </c>
      <c r="BA168" s="3064" t="e">
        <f ca="1">+BB168/BB167*100</f>
        <v>#VALUE!</v>
      </c>
      <c r="BB168" s="1575">
        <f ca="1">OFFSET('VVP2'!$G$81,0,(COLUMN()-10)/4)</f>
        <v>3.2352300000000001</v>
      </c>
      <c r="BC168" s="3064"/>
      <c r="BD168" s="3067" t="s">
        <v>757</v>
      </c>
      <c r="BE168" s="3064" t="e">
        <f ca="1">+BF168/BF167*100</f>
        <v>#VALUE!</v>
      </c>
      <c r="BF168" s="1575">
        <f ca="1">OFFSET('VVP2'!$G$81,0,(COLUMN()-10)/4)</f>
        <v>3.2526899999999999</v>
      </c>
      <c r="BG168" s="3064"/>
      <c r="BH168" s="3067" t="s">
        <v>757</v>
      </c>
      <c r="BI168" s="3064" t="e">
        <f ca="1">+BJ168/BJ167*100</f>
        <v>#VALUE!</v>
      </c>
      <c r="BJ168" s="1575">
        <f ca="1">OFFSET('VVP2'!$G$81,0,(COLUMN()-10)/4)</f>
        <v>3.3791599999999997</v>
      </c>
      <c r="BK168" s="3064"/>
      <c r="BL168" s="3067" t="s">
        <v>757</v>
      </c>
      <c r="BM168" s="3064" t="e">
        <f ca="1">+BN168/BN167*100</f>
        <v>#VALUE!</v>
      </c>
      <c r="BN168" s="1575">
        <f ca="1">OFFSET('VVP2'!$G$81,0,(COLUMN()-10)/4)</f>
        <v>2.96034</v>
      </c>
      <c r="BO168" s="3064"/>
      <c r="BP168" s="3067" t="s">
        <v>757</v>
      </c>
      <c r="BQ168" s="3064" t="e">
        <f ca="1">+BR168/BR167*100</f>
        <v>#VALUE!</v>
      </c>
      <c r="BR168" s="1575">
        <f ca="1">OFFSET('VVP2'!$G$81,0,(COLUMN()-10)/4)</f>
        <v>3.4228700000000001</v>
      </c>
      <c r="BS168" s="3064"/>
      <c r="BT168" s="3067" t="s">
        <v>757</v>
      </c>
      <c r="BU168" s="3064" t="e">
        <f ca="1">+BV168/BV167*100</f>
        <v>#VALUE!</v>
      </c>
      <c r="BV168" s="1575">
        <f ca="1">OFFSET('VVP2'!$G$81,0,(COLUMN()-10)/4)</f>
        <v>3.9303499999999998</v>
      </c>
      <c r="BW168" s="3064"/>
      <c r="BX168" s="3067" t="s">
        <v>757</v>
      </c>
      <c r="BY168" s="3064" t="e">
        <f ca="1">+BZ168/BZ167*100</f>
        <v>#VALUE!</v>
      </c>
      <c r="BZ168" s="1575">
        <f ca="1">OFFSET('VVP2'!$G$81,0,(COLUMN()-10)/4)</f>
        <v>4.56433</v>
      </c>
      <c r="CA168" s="3064"/>
      <c r="CB168" s="3067" t="s">
        <v>757</v>
      </c>
      <c r="CC168" s="3064" t="e">
        <f ca="1">+CD168/CD167*100</f>
        <v>#VALUE!</v>
      </c>
      <c r="CD168" s="1575">
        <f ca="1">OFFSET('VVP2'!$G$81,0,(COLUMN()-10)/4)</f>
        <v>5.1346400000000001</v>
      </c>
      <c r="CE168" s="3064"/>
      <c r="CF168" s="3067" t="s">
        <v>757</v>
      </c>
      <c r="CG168" s="3064" t="e">
        <f ca="1">+CH168/CH167*100</f>
        <v>#VALUE!</v>
      </c>
      <c r="CH168" s="1575">
        <f ca="1">OFFSET('VVP2'!$G$81,0,(COLUMN()-10)/4)</f>
        <v>5.6348199999999995</v>
      </c>
      <c r="CI168" s="3064"/>
      <c r="CJ168" s="3067" t="s">
        <v>757</v>
      </c>
      <c r="CK168" s="3064" t="e">
        <f ca="1">+CL168/CL167*100</f>
        <v>#VALUE!</v>
      </c>
      <c r="CL168" s="1575">
        <f ca="1">OFFSET('VVP2'!$G$81,0,(COLUMN()-10)/4)</f>
        <v>5.7097199999999999</v>
      </c>
      <c r="CM168" s="3064"/>
      <c r="CN168" s="3067" t="s">
        <v>757</v>
      </c>
      <c r="CO168" s="3064" t="e">
        <f ca="1">+CP168/CP167*100</f>
        <v>#VALUE!</v>
      </c>
      <c r="CP168" s="1575">
        <f ca="1">OFFSET('VVP2'!$G$81,0,(COLUMN()-10)/4)</f>
        <v>6.3447200000000006</v>
      </c>
      <c r="CQ168" s="3064"/>
      <c r="CR168" s="3067" t="s">
        <v>757</v>
      </c>
      <c r="CS168" s="3064" t="e">
        <f ca="1">+CT168/CT167*100</f>
        <v>#VALUE!</v>
      </c>
      <c r="CT168" s="1575">
        <f ca="1">OFFSET('VVP2'!$G$81,0,(COLUMN()-10)/4)</f>
        <v>7.3929099999999996</v>
      </c>
      <c r="CU168" s="3064"/>
      <c r="CV168" s="3067" t="s">
        <v>757</v>
      </c>
      <c r="CW168" s="3064" t="e">
        <f ca="1">+CX168/CX167*100</f>
        <v>#VALUE!</v>
      </c>
      <c r="CX168" s="1575">
        <f ca="1">OFFSET('VVP2'!$G$81,0,(COLUMN()-10)/4)</f>
        <v>7.873449149999999</v>
      </c>
      <c r="CY168" s="3064"/>
      <c r="CZ168" s="3067" t="s">
        <v>757</v>
      </c>
      <c r="DA168" s="3064" t="e">
        <f ca="1">+DB168/DB167*100</f>
        <v>#VALUE!</v>
      </c>
      <c r="DB168" s="1575">
        <f ca="1">OFFSET('VVP2'!$G$81,0,(COLUMN()-10)/4)</f>
        <v>8.227754361749998</v>
      </c>
      <c r="DC168"/>
      <c r="DD168"/>
      <c r="DE168"/>
      <c r="DF168"/>
      <c r="DG168"/>
      <c r="DH168"/>
      <c r="DI168"/>
      <c r="DJ168"/>
      <c r="DK168"/>
      <c r="DL168"/>
      <c r="DM168"/>
      <c r="DN168"/>
      <c r="DO168"/>
    </row>
    <row r="169" spans="1:119" s="699" customFormat="1" ht="12.75" hidden="1" customHeight="1">
      <c r="A169" s="664"/>
      <c r="C169" s="3070" t="s">
        <v>1767</v>
      </c>
      <c r="D169" s="674"/>
      <c r="E169" s="3629" t="s">
        <v>616</v>
      </c>
      <c r="F169" s="3630"/>
      <c r="G169" s="706">
        <f t="shared" ref="G169:AL169" si="407">G170-G163-G166</f>
        <v>2.4617701575531947E-3</v>
      </c>
      <c r="H169" s="706">
        <f t="shared" si="407"/>
        <v>-8.022474513438238E-3</v>
      </c>
      <c r="I169" s="706">
        <f t="shared" si="407"/>
        <v>-3.8519462465247956E-3</v>
      </c>
      <c r="J169" s="706">
        <f t="shared" si="407"/>
        <v>-2.461770157553278E-3</v>
      </c>
      <c r="K169" s="706">
        <f t="shared" si="407"/>
        <v>-7.8197405004635789E-3</v>
      </c>
      <c r="L169" s="706">
        <f t="shared" si="407"/>
        <v>-8.8334105653383177E-3</v>
      </c>
      <c r="M169" s="706">
        <f t="shared" si="407"/>
        <v>4.9235403151054458E-4</v>
      </c>
      <c r="N169" s="706">
        <f t="shared" si="407"/>
        <v>-7.0667284522706875E-3</v>
      </c>
      <c r="O169" s="706">
        <f t="shared" si="407"/>
        <v>-2.5834105653382955E-2</v>
      </c>
      <c r="P169" s="706">
        <f t="shared" si="407"/>
        <v>6.6322984244671646E-3</v>
      </c>
      <c r="Q169" s="706">
        <f t="shared" si="407"/>
        <v>-4.7208063021315638E-3</v>
      </c>
      <c r="R169" s="706">
        <f t="shared" si="407"/>
        <v>-1.4133456904541264E-2</v>
      </c>
      <c r="S169" s="706">
        <f t="shared" si="407"/>
        <v>5.7924003707632288E-5</v>
      </c>
      <c r="T169" s="706">
        <f t="shared" si="407"/>
        <v>-1.891218721037996E-2</v>
      </c>
      <c r="U169" s="706">
        <f t="shared" si="407"/>
        <v>8.6886005560615764E-5</v>
      </c>
      <c r="V169" s="706">
        <f t="shared" si="407"/>
        <v>-1.2743280815569857E-2</v>
      </c>
      <c r="W169" s="706">
        <f t="shared" si="407"/>
        <v>-9.9629286376274329E-3</v>
      </c>
      <c r="X169" s="706">
        <f t="shared" si="407"/>
        <v>8.9782205746091748E-4</v>
      </c>
      <c r="Y169" s="706">
        <f t="shared" si="407"/>
        <v>7.5011584800739883E-3</v>
      </c>
      <c r="Z169" s="706">
        <f t="shared" si="407"/>
        <v>-8.8334105653383177E-3</v>
      </c>
      <c r="AA169" s="706">
        <f t="shared" si="407"/>
        <v>-7.5590824837810655E-3</v>
      </c>
      <c r="AB169" s="706">
        <f t="shared" si="407"/>
        <v>-5.0973123262281761E-3</v>
      </c>
      <c r="AC169" s="706">
        <f t="shared" si="407"/>
        <v>8.5727525486559708E-3</v>
      </c>
      <c r="AD169" s="706">
        <f t="shared" si="407"/>
        <v>-3.7940222428175518E-3</v>
      </c>
      <c r="AE169" s="706">
        <f t="shared" si="407"/>
        <v>1.3843836886005711E-2</v>
      </c>
      <c r="AF169" s="706">
        <f t="shared" si="407"/>
        <v>-1.6421455050973144E-2</v>
      </c>
      <c r="AG169" s="706">
        <f t="shared" si="407"/>
        <v>-1.9114921223352122E-3</v>
      </c>
      <c r="AH169" s="706">
        <f t="shared" si="407"/>
        <v>-1.1903382761816572E-2</v>
      </c>
      <c r="AI169" s="706">
        <f t="shared" si="407"/>
        <v>-2.0186515291937102E-2</v>
      </c>
      <c r="AJ169" s="706">
        <f t="shared" si="407"/>
        <v>1.7232391102872946E-2</v>
      </c>
      <c r="AK169" s="706">
        <f t="shared" si="407"/>
        <v>-5.531742354031477E-3</v>
      </c>
      <c r="AL169" s="706">
        <f t="shared" si="407"/>
        <v>-1.4596848934198159E-2</v>
      </c>
      <c r="AM169" s="706">
        <f t="shared" ref="AM169:BN169" si="408">AM170-AM163-AM166</f>
        <v>1.4452038924930966E-2</v>
      </c>
      <c r="AN169" s="706">
        <f t="shared" si="408"/>
        <v>-2.3430259499536921E-2</v>
      </c>
      <c r="AO169" s="706">
        <f t="shared" si="408"/>
        <v>-9.5864226135307096E-3</v>
      </c>
      <c r="AP169" s="706">
        <f t="shared" si="408"/>
        <v>-1.3554216867470437E-2</v>
      </c>
      <c r="AQ169" s="706">
        <f t="shared" si="408"/>
        <v>-6.5164504170527326E-3</v>
      </c>
      <c r="AR169" s="706">
        <f t="shared" si="408"/>
        <v>-1.0049814643188104E-2</v>
      </c>
      <c r="AS169" s="706">
        <f t="shared" si="408"/>
        <v>7.5301204819275824E-3</v>
      </c>
      <c r="AT169" s="706">
        <f t="shared" si="408"/>
        <v>-6.139944392956731E-3</v>
      </c>
      <c r="AU169" s="706" t="e">
        <f t="shared" si="408"/>
        <v>#VALUE!</v>
      </c>
      <c r="AV169" s="706" t="e">
        <f t="shared" si="408"/>
        <v>#VALUE!</v>
      </c>
      <c r="AW169" s="706" t="e">
        <f t="shared" si="408"/>
        <v>#VALUE!</v>
      </c>
      <c r="AX169" s="706" t="e">
        <f t="shared" si="408"/>
        <v>#VALUE!</v>
      </c>
      <c r="AY169" s="706" t="e">
        <f t="shared" si="408"/>
        <v>#VALUE!</v>
      </c>
      <c r="AZ169" s="706" t="e">
        <f t="shared" si="408"/>
        <v>#VALUE!</v>
      </c>
      <c r="BA169" s="706" t="e">
        <f t="shared" si="408"/>
        <v>#VALUE!</v>
      </c>
      <c r="BB169" s="706" t="e">
        <f t="shared" si="408"/>
        <v>#VALUE!</v>
      </c>
      <c r="BC169" s="706" t="e">
        <f t="shared" si="408"/>
        <v>#VALUE!</v>
      </c>
      <c r="BD169" s="706" t="e">
        <f t="shared" si="408"/>
        <v>#VALUE!</v>
      </c>
      <c r="BE169" s="706" t="e">
        <f t="shared" si="408"/>
        <v>#VALUE!</v>
      </c>
      <c r="BF169" s="706" t="e">
        <f t="shared" si="408"/>
        <v>#VALUE!</v>
      </c>
      <c r="BG169" s="706" t="e">
        <f t="shared" si="408"/>
        <v>#VALUE!</v>
      </c>
      <c r="BH169" s="706" t="e">
        <f t="shared" si="408"/>
        <v>#VALUE!</v>
      </c>
      <c r="BI169" s="706" t="e">
        <f t="shared" si="408"/>
        <v>#VALUE!</v>
      </c>
      <c r="BJ169" s="706" t="e">
        <f t="shared" si="408"/>
        <v>#VALUE!</v>
      </c>
      <c r="BK169" s="706" t="e">
        <f t="shared" si="408"/>
        <v>#VALUE!</v>
      </c>
      <c r="BL169" s="706" t="e">
        <f t="shared" si="408"/>
        <v>#VALUE!</v>
      </c>
      <c r="BM169" s="706" t="e">
        <f t="shared" si="408"/>
        <v>#VALUE!</v>
      </c>
      <c r="BN169" s="706" t="e">
        <f t="shared" si="408"/>
        <v>#VALUE!</v>
      </c>
      <c r="BO169" s="706" t="e">
        <f t="shared" ref="BO169:BV169" si="409">BO170-BO163-BO166</f>
        <v>#VALUE!</v>
      </c>
      <c r="BP169" s="706" t="e">
        <f t="shared" si="409"/>
        <v>#VALUE!</v>
      </c>
      <c r="BQ169" s="706" t="e">
        <f t="shared" si="409"/>
        <v>#VALUE!</v>
      </c>
      <c r="BR169" s="706" t="e">
        <f t="shared" si="409"/>
        <v>#VALUE!</v>
      </c>
      <c r="BS169" s="706" t="e">
        <f t="shared" si="409"/>
        <v>#VALUE!</v>
      </c>
      <c r="BT169" s="706" t="e">
        <f t="shared" si="409"/>
        <v>#VALUE!</v>
      </c>
      <c r="BU169" s="706" t="e">
        <f t="shared" si="409"/>
        <v>#VALUE!</v>
      </c>
      <c r="BV169" s="706" t="e">
        <f t="shared" si="409"/>
        <v>#VALUE!</v>
      </c>
      <c r="BW169" s="706" t="e">
        <f t="shared" ref="BW169:CD169" si="410">BW170-BW163-BW166</f>
        <v>#VALUE!</v>
      </c>
      <c r="BX169" s="706" t="e">
        <f t="shared" si="410"/>
        <v>#VALUE!</v>
      </c>
      <c r="BY169" s="706" t="e">
        <f t="shared" si="410"/>
        <v>#VALUE!</v>
      </c>
      <c r="BZ169" s="706" t="e">
        <f t="shared" si="410"/>
        <v>#VALUE!</v>
      </c>
      <c r="CA169" s="706" t="e">
        <f t="shared" si="410"/>
        <v>#VALUE!</v>
      </c>
      <c r="CB169" s="706" t="e">
        <f t="shared" si="410"/>
        <v>#VALUE!</v>
      </c>
      <c r="CC169" s="706" t="e">
        <f t="shared" si="410"/>
        <v>#VALUE!</v>
      </c>
      <c r="CD169" s="706" t="e">
        <f t="shared" si="410"/>
        <v>#VALUE!</v>
      </c>
      <c r="CE169" s="706" t="e">
        <f t="shared" ref="CE169:CL169" si="411">CE170-CE163-CE166</f>
        <v>#VALUE!</v>
      </c>
      <c r="CF169" s="706" t="e">
        <f t="shared" si="411"/>
        <v>#VALUE!</v>
      </c>
      <c r="CG169" s="706" t="e">
        <f t="shared" si="411"/>
        <v>#VALUE!</v>
      </c>
      <c r="CH169" s="706" t="e">
        <f t="shared" si="411"/>
        <v>#VALUE!</v>
      </c>
      <c r="CI169" s="706" t="e">
        <f t="shared" si="411"/>
        <v>#VALUE!</v>
      </c>
      <c r="CJ169" s="706" t="e">
        <f t="shared" si="411"/>
        <v>#VALUE!</v>
      </c>
      <c r="CK169" s="706" t="e">
        <f t="shared" si="411"/>
        <v>#VALUE!</v>
      </c>
      <c r="CL169" s="706" t="e">
        <f t="shared" si="411"/>
        <v>#VALUE!</v>
      </c>
      <c r="CM169" s="706" t="e">
        <f t="shared" ref="CM169:CT169" si="412">CM170-CM163-CM166</f>
        <v>#VALUE!</v>
      </c>
      <c r="CN169" s="706" t="e">
        <f t="shared" si="412"/>
        <v>#VALUE!</v>
      </c>
      <c r="CO169" s="706" t="e">
        <f t="shared" si="412"/>
        <v>#VALUE!</v>
      </c>
      <c r="CP169" s="706" t="e">
        <f t="shared" si="412"/>
        <v>#VALUE!</v>
      </c>
      <c r="CQ169" s="706" t="e">
        <f t="shared" si="412"/>
        <v>#VALUE!</v>
      </c>
      <c r="CR169" s="706" t="e">
        <f t="shared" si="412"/>
        <v>#VALUE!</v>
      </c>
      <c r="CS169" s="706" t="e">
        <f t="shared" si="412"/>
        <v>#VALUE!</v>
      </c>
      <c r="CT169" s="706" t="e">
        <f t="shared" si="412"/>
        <v>#VALUE!</v>
      </c>
      <c r="CU169" s="706" t="e">
        <f t="shared" ref="CU169:DB169" si="413">CU170-CU163-CU166</f>
        <v>#VALUE!</v>
      </c>
      <c r="CV169" s="706" t="e">
        <f t="shared" si="413"/>
        <v>#VALUE!</v>
      </c>
      <c r="CW169" s="706" t="e">
        <f t="shared" si="413"/>
        <v>#VALUE!</v>
      </c>
      <c r="CX169" s="706" t="e">
        <f t="shared" si="413"/>
        <v>#VALUE!</v>
      </c>
      <c r="CY169" s="706" t="e">
        <f t="shared" si="413"/>
        <v>#VALUE!</v>
      </c>
      <c r="CZ169" s="706" t="e">
        <f t="shared" si="413"/>
        <v>#VALUE!</v>
      </c>
      <c r="DA169" s="706" t="e">
        <f t="shared" si="413"/>
        <v>#VALUE!</v>
      </c>
      <c r="DB169" s="706" t="e">
        <f t="shared" si="413"/>
        <v>#VALUE!</v>
      </c>
      <c r="DC169"/>
      <c r="DD169"/>
      <c r="DE169"/>
      <c r="DF169"/>
      <c r="DG169"/>
      <c r="DH169"/>
      <c r="DI169"/>
      <c r="DJ169"/>
      <c r="DK169"/>
      <c r="DL169"/>
      <c r="DM169"/>
      <c r="DN169"/>
      <c r="DO169"/>
    </row>
    <row r="170" spans="1:119" s="699" customFormat="1" ht="12.75" customHeight="1">
      <c r="A170" s="665" t="str">
        <f>"Q" &amp; ROW(InputQ!A9)</f>
        <v>Q9</v>
      </c>
      <c r="B170" s="1953" t="s">
        <v>1940</v>
      </c>
      <c r="C170" s="3071"/>
      <c r="D170" s="746"/>
      <c r="E170" s="3615" t="s">
        <v>1788</v>
      </c>
      <c r="F170" s="3633"/>
      <c r="G170" s="799">
        <f>InputQ!G9/1000</f>
        <v>1.1087233549582947</v>
      </c>
      <c r="H170" s="799">
        <f>InputQ!H9/1000</f>
        <v>1.1452444392956442</v>
      </c>
      <c r="I170" s="799">
        <f>InputQ!I9/1000</f>
        <v>1.1944508804448561</v>
      </c>
      <c r="J170" s="799">
        <f>InputQ!J9/1000</f>
        <v>1.2400081093605191</v>
      </c>
      <c r="K170" s="799">
        <f>InputQ!K9/1000</f>
        <v>1.306939295644115</v>
      </c>
      <c r="L170" s="799">
        <f>InputQ!L9/1000</f>
        <v>1.3495424003707137</v>
      </c>
      <c r="M170" s="799">
        <f>InputQ!M9/1000</f>
        <v>1.4249015291936977</v>
      </c>
      <c r="N170" s="799">
        <f>InputQ!N9/1000</f>
        <v>1.4963218257645969</v>
      </c>
      <c r="O170" s="799">
        <f>InputQ!O9/1000</f>
        <v>1.5561283595922151</v>
      </c>
      <c r="P170" s="799">
        <f>InputQ!P9/1000</f>
        <v>1.6025254865616312</v>
      </c>
      <c r="Q170" s="799">
        <f>InputQ!Q9/1000</f>
        <v>1.6369902687673774</v>
      </c>
      <c r="R170" s="799">
        <f>InputQ!R9/1000</f>
        <v>1.7791647358665432</v>
      </c>
      <c r="S170" s="799">
        <f>InputQ!S9/1000</f>
        <v>1.8317307692307696</v>
      </c>
      <c r="T170" s="799">
        <f>InputQ!T9/1000</f>
        <v>1.8072578776645043</v>
      </c>
      <c r="U170" s="799">
        <f>InputQ!U9/1000</f>
        <v>1.6904251621872104</v>
      </c>
      <c r="V170" s="799">
        <f>InputQ!V9/1000</f>
        <v>1.5938658480074144</v>
      </c>
      <c r="W170" s="799">
        <f>InputQ!W9/1000</f>
        <v>1.5058503243744208</v>
      </c>
      <c r="X170" s="799">
        <f>InputQ!X9/1000</f>
        <v>1.4306070435588512</v>
      </c>
      <c r="Y170" s="799">
        <f>InputQ!Y9/1000</f>
        <v>1.4191380908248379</v>
      </c>
      <c r="Z170" s="799">
        <f>InputQ!Z9/1000</f>
        <v>1.4048598239110288</v>
      </c>
      <c r="AA170" s="799">
        <f>InputQ!AA9/1000</f>
        <v>1.5244439295644117</v>
      </c>
      <c r="AB170" s="799">
        <f>InputQ!AB9/1000</f>
        <v>1.5348123262279889</v>
      </c>
      <c r="AC170" s="799">
        <f>InputQ!AC9/1000</f>
        <v>1.6494439295644114</v>
      </c>
      <c r="AD170" s="799">
        <f>InputQ!AD9/1000</f>
        <v>1.6569161260426322</v>
      </c>
      <c r="AE170" s="799">
        <f>InputQ!AE9/1000</f>
        <v>1.8246061167747916</v>
      </c>
      <c r="AF170" s="799">
        <f>InputQ!AF9/1000</f>
        <v>1.8964318813716405</v>
      </c>
      <c r="AG170" s="799">
        <f>InputQ!AG9/1000</f>
        <v>1.9464782205746063</v>
      </c>
      <c r="AH170" s="799">
        <f>InputQ!AH9/1000</f>
        <v>2.0267319277108435</v>
      </c>
      <c r="AI170" s="799">
        <f>InputQ!AI9/1000</f>
        <v>2.1265929101019463</v>
      </c>
      <c r="AJ170" s="799">
        <f>InputQ!AJ9/1000</f>
        <v>2.3041299814643188</v>
      </c>
      <c r="AK170" s="799">
        <f>InputQ!AK9/1000</f>
        <v>2.2738646895273402</v>
      </c>
      <c r="AL170" s="799">
        <f>InputQ!AL9/1000</f>
        <v>2.4044833178869327</v>
      </c>
      <c r="AM170" s="799">
        <f>InputQ!AM9/1000</f>
        <v>2.5444566728452274</v>
      </c>
      <c r="AN170" s="799">
        <f>InputQ!AN9/1000</f>
        <v>2.3456035681186282</v>
      </c>
      <c r="AO170" s="799">
        <f>InputQ!AO9/1000</f>
        <v>2.432431649675626</v>
      </c>
      <c r="AP170" s="799">
        <f>InputQ!AP9/1000</f>
        <v>2.512859128822984</v>
      </c>
      <c r="AQ170" s="799">
        <f>InputQ!AQ9/1000</f>
        <v>2.3836306765523636</v>
      </c>
      <c r="AR170" s="799">
        <f>InputQ!AR9/1000</f>
        <v>2.4885889712696945</v>
      </c>
      <c r="AS170" s="799">
        <f>InputQ!AS9/1000</f>
        <v>2.6062615848007411</v>
      </c>
      <c r="AT170" s="799">
        <f>InputQ!AT9/1000</f>
        <v>2.7458873957367933</v>
      </c>
      <c r="AU170" s="799">
        <f>InputQ!AU9/1000</f>
        <v>3.1394000000000002</v>
      </c>
      <c r="AV170" s="799">
        <f>InputQ!AV9/1000</f>
        <v>3.2578</v>
      </c>
      <c r="AW170" s="799">
        <f>InputQ!AW9/1000</f>
        <v>3.4220999999999999</v>
      </c>
      <c r="AX170" s="799">
        <f>InputQ!AX9/1000</f>
        <v>3.5585</v>
      </c>
      <c r="AY170" s="799">
        <f>InputQ!AY9/1000</f>
        <v>3.7168999999999999</v>
      </c>
      <c r="AZ170" s="799">
        <f>InputQ!AZ9/1000</f>
        <v>3.7915999999999999</v>
      </c>
      <c r="BA170" s="799">
        <f>InputQ!BA9/1000</f>
        <v>3.7291999999999996</v>
      </c>
      <c r="BB170" s="799">
        <f>InputQ!BB9/1000</f>
        <v>3.8324000000000003</v>
      </c>
      <c r="BC170" s="799">
        <f>InputQ!BC9/1000</f>
        <v>3.7545000000000002</v>
      </c>
      <c r="BD170" s="799">
        <f>InputQ!BD9/1000</f>
        <v>3.7699000000000003</v>
      </c>
      <c r="BE170" s="799">
        <f>InputQ!BE9/1000</f>
        <v>3.9954000000000001</v>
      </c>
      <c r="BF170" s="799">
        <f>InputQ!BF9/1000</f>
        <v>4.0289000000000001</v>
      </c>
      <c r="BG170" s="799">
        <f>InputQ!BG9/1000</f>
        <v>4.3838999999999997</v>
      </c>
      <c r="BH170" s="799">
        <f>InputQ!BH9/1000</f>
        <v>4.5638000000000005</v>
      </c>
      <c r="BI170" s="799">
        <f>InputQ!BI9/1000</f>
        <v>4.4291999999999998</v>
      </c>
      <c r="BJ170" s="799">
        <f>InputQ!BJ9/1000</f>
        <v>4.2975000000000003</v>
      </c>
      <c r="BK170" s="3065">
        <f t="shared" ref="BK170:BV170" si="414">+BJ170*(1+BK183/100)</f>
        <v>3.9638</v>
      </c>
      <c r="BL170" s="3065">
        <f t="shared" si="414"/>
        <v>3.7111000000000001</v>
      </c>
      <c r="BM170" s="3065">
        <f t="shared" si="414"/>
        <v>3.7893000000000003</v>
      </c>
      <c r="BN170" s="3065">
        <f t="shared" si="414"/>
        <v>3.9276</v>
      </c>
      <c r="BO170" s="3065">
        <f t="shared" si="414"/>
        <v>4.1646000000000001</v>
      </c>
      <c r="BP170" s="3065">
        <f t="shared" si="414"/>
        <v>4.4939</v>
      </c>
      <c r="BQ170" s="3065">
        <f t="shared" si="414"/>
        <v>4.7133000000000003</v>
      </c>
      <c r="BR170" s="3065">
        <f t="shared" si="414"/>
        <v>4.9558</v>
      </c>
      <c r="BS170" s="3065">
        <f t="shared" si="414"/>
        <v>5.1071</v>
      </c>
      <c r="BT170" s="3065">
        <f t="shared" si="414"/>
        <v>5.2733999999999996</v>
      </c>
      <c r="BU170" s="3065">
        <f t="shared" si="414"/>
        <v>5.3451000000000004</v>
      </c>
      <c r="BV170" s="3065">
        <f t="shared" si="414"/>
        <v>5.4053000000000004</v>
      </c>
      <c r="BW170" s="3065">
        <f t="shared" ref="BW170:CB170" si="415">+BV170*(1+BW183/100)</f>
        <v>5.6359999999999992</v>
      </c>
      <c r="BX170" s="3065">
        <f t="shared" si="415"/>
        <v>5.7936999999999985</v>
      </c>
      <c r="BY170" s="3065">
        <f t="shared" si="415"/>
        <v>6.0389999999999988</v>
      </c>
      <c r="BZ170" s="3065">
        <f t="shared" si="415"/>
        <v>6.2845999999999984</v>
      </c>
      <c r="CA170" s="3065">
        <f t="shared" si="415"/>
        <v>6.4562999999999988</v>
      </c>
      <c r="CB170" s="3065">
        <f t="shared" si="415"/>
        <v>6.4623999999999979</v>
      </c>
      <c r="CC170" s="3065">
        <f t="shared" ref="CC170:CH170" si="416">+CB170*(1+CC183/100)</f>
        <v>6.5490999999999984</v>
      </c>
      <c r="CD170" s="3065">
        <f t="shared" si="416"/>
        <v>6.6232999999999986</v>
      </c>
      <c r="CE170" s="3065">
        <f t="shared" si="416"/>
        <v>6.6323999999999979</v>
      </c>
      <c r="CF170" s="3065">
        <f t="shared" si="416"/>
        <v>6.7684999999999995</v>
      </c>
      <c r="CG170" s="3065">
        <f t="shared" si="416"/>
        <v>6.7944999999999993</v>
      </c>
      <c r="CH170" s="3065">
        <f t="shared" si="416"/>
        <v>6.7630999999999997</v>
      </c>
      <c r="CI170" s="3065">
        <f t="shared" ref="CI170:CP170" si="417">+CH170*(1+CI183/100)</f>
        <v>6.6734999999999989</v>
      </c>
      <c r="CJ170" s="3065">
        <f t="shared" si="417"/>
        <v>6.6971999999999987</v>
      </c>
      <c r="CK170" s="3065">
        <f t="shared" si="417"/>
        <v>6.7103999999999999</v>
      </c>
      <c r="CL170" s="3065">
        <f t="shared" si="417"/>
        <v>6.7561999999999989</v>
      </c>
      <c r="CM170" s="3065">
        <f t="shared" si="417"/>
        <v>6.7990999999999993</v>
      </c>
      <c r="CN170" s="3065">
        <f t="shared" si="417"/>
        <v>6.8430999999999997</v>
      </c>
      <c r="CO170" s="3065">
        <f t="shared" si="417"/>
        <v>6.9790999999999999</v>
      </c>
      <c r="CP170" s="3065">
        <f t="shared" si="417"/>
        <v>7.1503000000000005</v>
      </c>
      <c r="CQ170" s="3065">
        <f t="shared" ref="CQ170:CX170" si="418">+CP170*(1+CQ183/100)</f>
        <v>7.4928999999999997</v>
      </c>
      <c r="CR170" s="3065">
        <f t="shared" si="418"/>
        <v>7.7769000000000004</v>
      </c>
      <c r="CS170" s="3065">
        <f t="shared" si="418"/>
        <v>7.9944000000000006</v>
      </c>
      <c r="CT170" s="3065">
        <f t="shared" si="418"/>
        <v>8.2017000000000024</v>
      </c>
      <c r="CU170" s="3065">
        <f t="shared" si="418"/>
        <v>8.2345068000000019</v>
      </c>
      <c r="CV170" s="3065">
        <f t="shared" si="418"/>
        <v>8.2674448272000021</v>
      </c>
      <c r="CW170" s="3065">
        <f t="shared" si="418"/>
        <v>8.3129157737496033</v>
      </c>
      <c r="CX170" s="3065">
        <f t="shared" si="418"/>
        <v>8.3877320157133486</v>
      </c>
      <c r="CY170" s="3065">
        <f t="shared" ref="CY170" si="419">+CX170*(1+CY183/100)</f>
        <v>8.5001276247239073</v>
      </c>
      <c r="CZ170" s="3065">
        <f t="shared" ref="CZ170" si="420">+CY170*(1+CZ183/100)</f>
        <v>8.6106292838453165</v>
      </c>
      <c r="DA170" s="3065">
        <f t="shared" ref="DA170" si="421">+CZ170*(1+DA183/100)</f>
        <v>8.7225674645353042</v>
      </c>
      <c r="DB170" s="3065">
        <f t="shared" ref="DB170" si="422">+DA170*(1+DB183/100)</f>
        <v>8.8359608415742628</v>
      </c>
      <c r="DC170"/>
      <c r="DD170"/>
      <c r="DE170"/>
      <c r="DF170"/>
      <c r="DG170"/>
      <c r="DH170"/>
      <c r="DI170"/>
      <c r="DJ170"/>
      <c r="DK170"/>
      <c r="DL170"/>
      <c r="DM170"/>
      <c r="DN170"/>
      <c r="DO170"/>
    </row>
    <row r="171" spans="1:119" s="699" customFormat="1" ht="12.75" customHeight="1">
      <c r="A171" s="664" t="str">
        <f>"Q" &amp; ROW(InputQ!A9)</f>
        <v>Q9</v>
      </c>
      <c r="C171" s="667"/>
      <c r="D171" s="668"/>
      <c r="E171" s="3620" t="s">
        <v>1788</v>
      </c>
      <c r="F171" s="3620"/>
      <c r="G171" s="780">
        <f>InputQ!G9/1000</f>
        <v>1.1087233549582947</v>
      </c>
      <c r="H171" s="780">
        <f>InputQ!H9/1000</f>
        <v>1.1452444392956442</v>
      </c>
      <c r="I171" s="780">
        <f>InputQ!I9/1000</f>
        <v>1.1944508804448561</v>
      </c>
      <c r="J171" s="780">
        <f>InputQ!J9/1000</f>
        <v>1.2400081093605191</v>
      </c>
      <c r="K171" s="780">
        <f>InputQ!K9/1000</f>
        <v>1.306939295644115</v>
      </c>
      <c r="L171" s="780">
        <f>InputQ!L9/1000</f>
        <v>1.3495424003707137</v>
      </c>
      <c r="M171" s="780">
        <f>InputQ!M9/1000</f>
        <v>1.4249015291936977</v>
      </c>
      <c r="N171" s="780">
        <f>InputQ!N9/1000</f>
        <v>1.4963218257645969</v>
      </c>
      <c r="O171" s="780">
        <f>InputQ!O9/1000</f>
        <v>1.5561283595922151</v>
      </c>
      <c r="P171" s="780">
        <f>InputQ!P9/1000</f>
        <v>1.6025254865616312</v>
      </c>
      <c r="Q171" s="780">
        <f>InputQ!Q9/1000</f>
        <v>1.6369902687673774</v>
      </c>
      <c r="R171" s="780">
        <f>InputQ!R9/1000</f>
        <v>1.7791647358665432</v>
      </c>
      <c r="S171" s="780">
        <f>InputQ!S9/1000</f>
        <v>1.8317307692307696</v>
      </c>
      <c r="T171" s="780">
        <f>InputQ!T9/1000</f>
        <v>1.8072578776645043</v>
      </c>
      <c r="U171" s="780">
        <f>InputQ!U9/1000</f>
        <v>1.6904251621872104</v>
      </c>
      <c r="V171" s="780">
        <f>InputQ!V9/1000</f>
        <v>1.5938658480074144</v>
      </c>
      <c r="W171" s="780">
        <f>InputQ!W9/1000</f>
        <v>1.5058503243744208</v>
      </c>
      <c r="X171" s="780">
        <f>InputQ!X9/1000</f>
        <v>1.4306070435588512</v>
      </c>
      <c r="Y171" s="780">
        <f>InputQ!Y9/1000</f>
        <v>1.4191380908248379</v>
      </c>
      <c r="Z171" s="780">
        <f>InputQ!Z9/1000</f>
        <v>1.4048598239110288</v>
      </c>
      <c r="AA171" s="780">
        <f>InputQ!AA9/1000</f>
        <v>1.5244439295644117</v>
      </c>
      <c r="AB171" s="780">
        <f>InputQ!AB9/1000</f>
        <v>1.5348123262279889</v>
      </c>
      <c r="AC171" s="780">
        <f>InputQ!AC9/1000</f>
        <v>1.6494439295644114</v>
      </c>
      <c r="AD171" s="780">
        <f>InputQ!AD9/1000</f>
        <v>1.6569161260426322</v>
      </c>
      <c r="AE171" s="780">
        <f>InputQ!AE9/1000</f>
        <v>1.8246061167747916</v>
      </c>
      <c r="AF171" s="780">
        <f>InputQ!AF9/1000</f>
        <v>1.8964318813716405</v>
      </c>
      <c r="AG171" s="780">
        <f>InputQ!AG9/1000</f>
        <v>1.9464782205746063</v>
      </c>
      <c r="AH171" s="780">
        <f>InputQ!AH9/1000</f>
        <v>2.0267319277108435</v>
      </c>
      <c r="AI171" s="780">
        <f>InputQ!AI9/1000</f>
        <v>2.1265929101019463</v>
      </c>
      <c r="AJ171" s="780">
        <f>InputQ!AJ9/1000</f>
        <v>2.3041299814643188</v>
      </c>
      <c r="AK171" s="780">
        <f>InputQ!AK9/1000</f>
        <v>2.2738646895273402</v>
      </c>
      <c r="AL171" s="780">
        <f>InputQ!AL9/1000</f>
        <v>2.4044833178869327</v>
      </c>
      <c r="AM171" s="780">
        <f>InputQ!AM9/1000</f>
        <v>2.5444566728452274</v>
      </c>
      <c r="AN171" s="780">
        <f>InputQ!AN9/1000</f>
        <v>2.3456035681186282</v>
      </c>
      <c r="AO171" s="780">
        <f>InputQ!AO9/1000</f>
        <v>2.432431649675626</v>
      </c>
      <c r="AP171" s="780">
        <f>InputQ!AP9/1000</f>
        <v>2.512859128822984</v>
      </c>
      <c r="AQ171" s="780">
        <f>InputQ!AQ9/1000</f>
        <v>2.3836306765523636</v>
      </c>
      <c r="AR171" s="780">
        <f>InputQ!AR9/1000</f>
        <v>2.4885889712696945</v>
      </c>
      <c r="AS171" s="780">
        <f>InputQ!AS9/1000</f>
        <v>2.6062615848007411</v>
      </c>
      <c r="AT171" s="780">
        <f>InputQ!AT9/1000</f>
        <v>2.7458873957367933</v>
      </c>
      <c r="AU171" s="780">
        <f>InputQ!AU9/1000</f>
        <v>3.1394000000000002</v>
      </c>
      <c r="AV171" s="780">
        <f>InputQ!AV9/1000</f>
        <v>3.2578</v>
      </c>
      <c r="AW171" s="780">
        <f>InputQ!AW9/1000</f>
        <v>3.4220999999999999</v>
      </c>
      <c r="AX171" s="780">
        <f>InputQ!AX9/1000</f>
        <v>3.5585</v>
      </c>
      <c r="AY171" s="780">
        <f>InputQ!AY9/1000</f>
        <v>3.7168999999999999</v>
      </c>
      <c r="AZ171" s="780">
        <f>InputQ!AZ9/1000</f>
        <v>3.7915999999999999</v>
      </c>
      <c r="BA171" s="780">
        <f>InputQ!BA9/1000</f>
        <v>3.7291999999999996</v>
      </c>
      <c r="BB171" s="780">
        <f>InputQ!BB9/1000</f>
        <v>3.8324000000000003</v>
      </c>
      <c r="BC171" s="780">
        <f>InputQ!BC9/1000</f>
        <v>3.7545000000000002</v>
      </c>
      <c r="BD171" s="780">
        <f>InputQ!BD9/1000</f>
        <v>3.7699000000000003</v>
      </c>
      <c r="BE171" s="780">
        <f>InputQ!BE9/1000</f>
        <v>3.9954000000000001</v>
      </c>
      <c r="BF171" s="780">
        <f>InputQ!BF9/1000</f>
        <v>4.0289000000000001</v>
      </c>
      <c r="BG171" s="780">
        <f>InputQ!BG9/1000</f>
        <v>4.3838999999999997</v>
      </c>
      <c r="BH171" s="780">
        <f>InputQ!BH9/1000</f>
        <v>4.5638000000000005</v>
      </c>
      <c r="BI171" s="780">
        <f>InputQ!BI9/1000</f>
        <v>4.4291999999999998</v>
      </c>
      <c r="BJ171" s="780">
        <f>InputQ!BJ9/1000</f>
        <v>4.2975000000000003</v>
      </c>
      <c r="BK171" s="780">
        <f>InputQ!BK9/1000</f>
        <v>3.9638</v>
      </c>
      <c r="BL171" s="780">
        <f>InputQ!BL9/1000</f>
        <v>3.7111000000000001</v>
      </c>
      <c r="BM171" s="780">
        <f>InputQ!BM9/1000</f>
        <v>3.7893000000000003</v>
      </c>
      <c r="BN171" s="780">
        <f>InputQ!BN9/1000</f>
        <v>3.9276</v>
      </c>
      <c r="BO171" s="780">
        <f>InputQ!BO9/1000</f>
        <v>4.1646000000000001</v>
      </c>
      <c r="BP171" s="780">
        <f>InputQ!BP9/1000</f>
        <v>4.4939</v>
      </c>
      <c r="BQ171" s="780">
        <f>InputQ!BQ9/1000</f>
        <v>4.7133000000000003</v>
      </c>
      <c r="BR171" s="780">
        <f>InputQ!BR9/1000</f>
        <v>4.9558</v>
      </c>
      <c r="BS171" s="780">
        <f>InputQ!BS9/1000</f>
        <v>5.1071</v>
      </c>
      <c r="BT171" s="780">
        <f>InputQ!BT9/1000</f>
        <v>5.2733999999999996</v>
      </c>
      <c r="BU171" s="780">
        <f>InputQ!BU9/1000</f>
        <v>5.3451000000000004</v>
      </c>
      <c r="BV171" s="780">
        <f>InputQ!BV9/1000</f>
        <v>5.4053000000000004</v>
      </c>
      <c r="BW171" s="780">
        <f>InputQ!BW9/1000</f>
        <v>5.6360000000000001</v>
      </c>
      <c r="BX171" s="780">
        <f>InputQ!BX9/1000</f>
        <v>5.7936999999999994</v>
      </c>
      <c r="BY171" s="780">
        <f>InputQ!BY9/1000</f>
        <v>6.0389999999999997</v>
      </c>
      <c r="BZ171" s="780">
        <f>InputQ!BZ9/1000</f>
        <v>6.2846000000000002</v>
      </c>
      <c r="CA171" s="780">
        <f>InputQ!CA9/1000</f>
        <v>6.4563000000000006</v>
      </c>
      <c r="CB171" s="780">
        <f>InputQ!CB9/1000</f>
        <v>6.4623999999999997</v>
      </c>
      <c r="CC171" s="780">
        <f>InputQ!CC9/1000</f>
        <v>6.5491000000000001</v>
      </c>
      <c r="CD171" s="780">
        <f>InputQ!CD9/1000</f>
        <v>6.6233000000000004</v>
      </c>
      <c r="CE171" s="780">
        <f>InputQ!CE9/1000</f>
        <v>6.6323999999999996</v>
      </c>
      <c r="CF171" s="780">
        <f>InputQ!CF9/1000</f>
        <v>6.7685000000000004</v>
      </c>
      <c r="CG171" s="780">
        <f>InputQ!CG9/1000</f>
        <v>6.7945000000000002</v>
      </c>
      <c r="CH171" s="780">
        <f>InputQ!CH9/1000</f>
        <v>6.7631000000000006</v>
      </c>
      <c r="CI171" s="780">
        <f>InputQ!CI9/1000</f>
        <v>6.6734999999999998</v>
      </c>
      <c r="CJ171" s="780">
        <f>InputQ!CJ9/1000</f>
        <v>6.6971999999999996</v>
      </c>
      <c r="CK171" s="780">
        <f>InputQ!CK9/1000</f>
        <v>6.7103999999999999</v>
      </c>
      <c r="CL171" s="780">
        <f>InputQ!CL9/1000</f>
        <v>6.7561999999999998</v>
      </c>
      <c r="CM171" s="780">
        <f>InputQ!CM9/1000</f>
        <v>6.7991000000000001</v>
      </c>
      <c r="CN171" s="780">
        <f>InputQ!CN9/1000</f>
        <v>6.8431000000000006</v>
      </c>
      <c r="CO171" s="2872">
        <f>InputQ!CO9/1000</f>
        <v>6.9791000000000007</v>
      </c>
      <c r="CP171" s="2872">
        <f>InputQ!CP9/1000</f>
        <v>7.1503000000000005</v>
      </c>
      <c r="CQ171" s="2872">
        <f>InputQ!CQ9/1000</f>
        <v>7.4928999999999997</v>
      </c>
      <c r="CR171" s="2872">
        <f>InputQ!CR9/1000</f>
        <v>7.7768999999999995</v>
      </c>
      <c r="CS171" s="2872">
        <f>InputQ!CS9/1000</f>
        <v>7.9943999999999997</v>
      </c>
      <c r="CT171" s="2872">
        <f>InputQ!CT9/1000</f>
        <v>8.2017000000000007</v>
      </c>
      <c r="CU171" s="1591">
        <f>CT171*(1+CU184/100)</f>
        <v>8.2345068000000001</v>
      </c>
      <c r="CV171" s="1591">
        <f t="shared" ref="CV171:CX171" si="423">CU171*(1+CV184/100)</f>
        <v>8.2674448272000003</v>
      </c>
      <c r="CW171" s="1591">
        <f t="shared" si="423"/>
        <v>8.3129157737496016</v>
      </c>
      <c r="CX171" s="1591">
        <f t="shared" si="423"/>
        <v>8.3877320157133468</v>
      </c>
      <c r="CY171" s="1591">
        <f t="shared" ref="CY171" si="424">CX171*(1+CY184/100)</f>
        <v>8.5001276247239055</v>
      </c>
      <c r="CZ171" s="1591">
        <f t="shared" ref="CZ171" si="425">CY171*(1+CZ184/100)</f>
        <v>8.6106292838453147</v>
      </c>
      <c r="DA171" s="1591">
        <f t="shared" ref="DA171" si="426">CZ171*(1+DA184/100)</f>
        <v>8.7225674645353024</v>
      </c>
      <c r="DB171" s="1591">
        <f t="shared" ref="DB171" si="427">DA171*(1+DB184/100)</f>
        <v>8.835960841574261</v>
      </c>
      <c r="DC171"/>
      <c r="DD171"/>
      <c r="DE171"/>
      <c r="DF171"/>
      <c r="DG171"/>
      <c r="DH171"/>
      <c r="DI171"/>
      <c r="DJ171"/>
      <c r="DK171"/>
      <c r="DL171"/>
      <c r="DM171"/>
      <c r="DN171"/>
      <c r="DO171"/>
    </row>
    <row r="172" spans="1:119" s="26" customFormat="1" ht="12.75" customHeight="1">
      <c r="A172" s="664"/>
      <c r="B172" s="673"/>
      <c r="C172" s="687"/>
      <c r="D172" s="683"/>
      <c r="E172" s="684" t="s">
        <v>266</v>
      </c>
      <c r="F172" s="685"/>
      <c r="G172" s="1570"/>
      <c r="H172" s="1571"/>
      <c r="I172" s="1571"/>
      <c r="J172" s="1575">
        <f>SUM(G171:J171)</f>
        <v>4.6884267840593141</v>
      </c>
      <c r="K172" s="1570"/>
      <c r="L172" s="1571"/>
      <c r="M172" s="1571"/>
      <c r="N172" s="1575">
        <f>SUM(K171:N171)</f>
        <v>5.5777050509731234</v>
      </c>
      <c r="O172" s="1570"/>
      <c r="P172" s="1571"/>
      <c r="Q172" s="1571"/>
      <c r="R172" s="1575">
        <f>SUM(O171:R171)</f>
        <v>6.5748088507877673</v>
      </c>
      <c r="S172" s="1570"/>
      <c r="T172" s="1571"/>
      <c r="U172" s="1571"/>
      <c r="V172" s="1575">
        <f>SUM(S171:V171)</f>
        <v>6.9232796570898989</v>
      </c>
      <c r="W172" s="1570"/>
      <c r="X172" s="1571"/>
      <c r="Y172" s="1571"/>
      <c r="Z172" s="1575">
        <f>SUM(W171:Z171)</f>
        <v>5.7604552826691382</v>
      </c>
      <c r="AA172" s="1570"/>
      <c r="AB172" s="1571"/>
      <c r="AC172" s="1571"/>
      <c r="AD172" s="1575">
        <f>SUM(AA171:AD171)</f>
        <v>6.3656163113994442</v>
      </c>
      <c r="AE172" s="1570"/>
      <c r="AF172" s="1571"/>
      <c r="AG172" s="1571"/>
      <c r="AH172" s="1575">
        <f>SUM(AE171:AH171)</f>
        <v>7.6942481464318817</v>
      </c>
      <c r="AI172" s="1570"/>
      <c r="AJ172" s="1571"/>
      <c r="AK172" s="1571"/>
      <c r="AL172" s="1575">
        <f>SUM(AI171:AL171)</f>
        <v>9.1090708989805371</v>
      </c>
      <c r="AM172" s="1570"/>
      <c r="AN172" s="1571"/>
      <c r="AO172" s="1571"/>
      <c r="AP172" s="1575">
        <f>SUM(AM171:AP171)</f>
        <v>9.8353510194624647</v>
      </c>
      <c r="AQ172" s="1570"/>
      <c r="AR172" s="1571"/>
      <c r="AS172" s="1571"/>
      <c r="AT172" s="1575">
        <f>SUM(AQ171:AT171)</f>
        <v>10.224368628359592</v>
      </c>
      <c r="AU172" s="1570"/>
      <c r="AV172" s="1571"/>
      <c r="AW172" s="1571"/>
      <c r="AX172" s="1575">
        <f>SUM(AU171:AX171)</f>
        <v>13.377800000000001</v>
      </c>
      <c r="AY172" s="1570"/>
      <c r="AZ172" s="1571"/>
      <c r="BA172" s="1571"/>
      <c r="BB172" s="1575">
        <f>SUM(AY171:BB171)</f>
        <v>15.0701</v>
      </c>
      <c r="BC172" s="1570"/>
      <c r="BD172" s="1571"/>
      <c r="BE172" s="1571"/>
      <c r="BF172" s="1575">
        <f>SUM(BC171:BF171)</f>
        <v>15.5487</v>
      </c>
      <c r="BG172" s="1570"/>
      <c r="BH172" s="1571"/>
      <c r="BI172" s="1571"/>
      <c r="BJ172" s="1575">
        <f>SUM(BG171:BJ171)</f>
        <v>17.674400000000002</v>
      </c>
      <c r="BK172" s="1570"/>
      <c r="BL172" s="1571"/>
      <c r="BM172" s="1571"/>
      <c r="BN172" s="1575">
        <f>SUM(BK171:BN171)</f>
        <v>15.3918</v>
      </c>
      <c r="BO172" s="1570"/>
      <c r="BP172" s="1571"/>
      <c r="BQ172" s="1571"/>
      <c r="BR172" s="1575">
        <f>SUM(BO171:BR171)</f>
        <v>18.3276</v>
      </c>
      <c r="BS172" s="1570"/>
      <c r="BT172" s="1571"/>
      <c r="BU172" s="1571"/>
      <c r="BV172" s="1575">
        <f>SUM(BS171:BV171)</f>
        <v>21.1309</v>
      </c>
      <c r="BW172" s="1570"/>
      <c r="BX172" s="1571"/>
      <c r="BY172" s="1571"/>
      <c r="BZ172" s="1575">
        <f>SUM(BW171:BZ171)</f>
        <v>23.753299999999999</v>
      </c>
      <c r="CA172" s="1570"/>
      <c r="CB172" s="1571"/>
      <c r="CC172" s="1571"/>
      <c r="CD172" s="1575">
        <f>SUM(CA171:CD171)</f>
        <v>26.091100000000001</v>
      </c>
      <c r="CE172" s="1570"/>
      <c r="CF172" s="1571"/>
      <c r="CG172" s="1571"/>
      <c r="CH172" s="1575">
        <f>SUM(CE171:CH171)</f>
        <v>26.958500000000001</v>
      </c>
      <c r="CI172" s="1570"/>
      <c r="CJ172" s="1571"/>
      <c r="CK172" s="1571"/>
      <c r="CL172" s="1575">
        <f>SUM(CI171:CL171)</f>
        <v>26.837299999999999</v>
      </c>
      <c r="CM172" s="1570"/>
      <c r="CN172" s="1571"/>
      <c r="CO172" s="1571"/>
      <c r="CP172" s="1575">
        <f>SUM(CM171:CP171)</f>
        <v>27.771600000000003</v>
      </c>
      <c r="CQ172" s="1570"/>
      <c r="CR172" s="1571"/>
      <c r="CS172" s="1571"/>
      <c r="CT172" s="1575">
        <f>SUM(CQ171:CT171)</f>
        <v>31.465899999999998</v>
      </c>
      <c r="CU172" s="1570"/>
      <c r="CV172" s="1571"/>
      <c r="CW172" s="1571"/>
      <c r="CX172" s="1575">
        <f>SUM(CU171:CX171)</f>
        <v>33.202599416662949</v>
      </c>
      <c r="CY172" s="1570"/>
      <c r="CZ172" s="1571"/>
      <c r="DA172" s="1571"/>
      <c r="DB172" s="1575">
        <f>SUM(CY171:DB171)</f>
        <v>34.669285214678787</v>
      </c>
      <c r="DC172"/>
      <c r="DD172"/>
      <c r="DE172"/>
      <c r="DF172"/>
      <c r="DG172"/>
      <c r="DH172"/>
      <c r="DI172"/>
      <c r="DJ172"/>
      <c r="DK172"/>
      <c r="DL172"/>
      <c r="DM172"/>
      <c r="DN172"/>
      <c r="DO172"/>
    </row>
    <row r="173" spans="1:119" s="699" customFormat="1" ht="12.75" customHeight="1">
      <c r="A173" s="664"/>
      <c r="B173" s="664"/>
      <c r="C173" s="669"/>
      <c r="D173" s="679"/>
      <c r="E173" s="1572" t="s">
        <v>1847</v>
      </c>
      <c r="F173" s="679"/>
      <c r="G173" s="1573"/>
      <c r="H173" s="2839" t="s">
        <v>757</v>
      </c>
      <c r="I173" s="2840">
        <f ca="1">+J173/J172*100</f>
        <v>107.68777525057425</v>
      </c>
      <c r="J173" s="1574">
        <f ca="1">OFFSET('VVP2'!$G$83,0,(COLUMN()-10)/4)</f>
        <v>5.0488624980055201</v>
      </c>
      <c r="K173" s="1573"/>
      <c r="L173" s="2839" t="s">
        <v>757</v>
      </c>
      <c r="M173" s="2840">
        <f ca="1">+N173/N172*100</f>
        <v>107.75748254025288</v>
      </c>
      <c r="N173" s="1574">
        <f ca="1">OFFSET('VVP2'!$G$83,0,(COLUMN()-10)/4)</f>
        <v>6.0103945464491666</v>
      </c>
      <c r="O173" s="1573"/>
      <c r="P173" s="2839" t="s">
        <v>757</v>
      </c>
      <c r="Q173" s="2840">
        <f ca="1">+R173/R172*100</f>
        <v>108.63664825197681</v>
      </c>
      <c r="R173" s="1574">
        <f ca="1">OFFSET('VVP2'!$G$83,0,(COLUMN()-10)/4)</f>
        <v>7.1426519644701454</v>
      </c>
      <c r="S173" s="1573"/>
      <c r="T173" s="2839" t="s">
        <v>757</v>
      </c>
      <c r="U173" s="2840">
        <f ca="1">+V173/V172*100</f>
        <v>107.9754659717893</v>
      </c>
      <c r="V173" s="1574">
        <f ca="1">OFFSET('VVP2'!$G$83,0,(COLUMN()-10)/4)</f>
        <v>7.475443470272916</v>
      </c>
      <c r="W173" s="1573"/>
      <c r="X173" s="2839" t="s">
        <v>757</v>
      </c>
      <c r="Y173" s="2840">
        <f ca="1">+Z173/Z172*100</f>
        <v>108.52543594407835</v>
      </c>
      <c r="Z173" s="1574">
        <f ca="1">OFFSET('VVP2'!$G$83,0,(COLUMN()-10)/4)</f>
        <v>6.2515592078803728</v>
      </c>
      <c r="AA173" s="1573"/>
      <c r="AB173" s="2839" t="s">
        <v>757</v>
      </c>
      <c r="AC173" s="2840">
        <f ca="1">+AD173/AD172*100</f>
        <v>107.59419736694242</v>
      </c>
      <c r="AD173" s="1574">
        <f ca="1">OFFSET('VVP2'!$G$83,0,(COLUMN()-10)/4)</f>
        <v>6.8490337777093986</v>
      </c>
      <c r="AE173" s="1573"/>
      <c r="AF173" s="2839" t="s">
        <v>757</v>
      </c>
      <c r="AG173" s="2840">
        <f ca="1">+AH173/AH172*100</f>
        <v>107.89429293144626</v>
      </c>
      <c r="AH173" s="1574">
        <f ca="1">OFFSET('VVP2'!$G$83,0,(COLUMN()-10)/4)</f>
        <v>8.3016546339835884</v>
      </c>
      <c r="AI173" s="1573"/>
      <c r="AJ173" s="2839" t="s">
        <v>757</v>
      </c>
      <c r="AK173" s="2840">
        <f ca="1">+AL173/AL172*100</f>
        <v>108.09751503588735</v>
      </c>
      <c r="AL173" s="1574">
        <f ca="1">OFFSET('VVP2'!$G$83,0,(COLUMN()-10)/4)</f>
        <v>9.8466792846551261</v>
      </c>
      <c r="AM173" s="1573"/>
      <c r="AN173" s="2839" t="s">
        <v>757</v>
      </c>
      <c r="AO173" s="2840">
        <f ca="1">+AP173/AP172*100</f>
        <v>108.55108716129298</v>
      </c>
      <c r="AP173" s="1574">
        <f ca="1">OFFSET('VVP2'!$G$83,0,(COLUMN()-10)/4)</f>
        <v>10.676380457755817</v>
      </c>
      <c r="AQ173" s="1573"/>
      <c r="AR173" s="2839" t="s">
        <v>757</v>
      </c>
      <c r="AS173" s="2840">
        <f ca="1">+AT173/AT172*100</f>
        <v>108.59154636897459</v>
      </c>
      <c r="AT173" s="1574">
        <f ca="1">OFFSET('VVP2'!$G$83,0,(COLUMN()-10)/4)</f>
        <v>11.102799999999998</v>
      </c>
      <c r="AU173" s="1573"/>
      <c r="AV173" s="2839" t="s">
        <v>757</v>
      </c>
      <c r="AW173" s="2840">
        <f ca="1">+AX173/AX172*100</f>
        <v>100.04148664204877</v>
      </c>
      <c r="AX173" s="1574">
        <f ca="1">OFFSET('VVP2'!$G$83,0,(COLUMN()-10)/4)</f>
        <v>13.38335</v>
      </c>
      <c r="AY173" s="1573"/>
      <c r="AZ173" s="2839" t="s">
        <v>757</v>
      </c>
      <c r="BA173" s="2840">
        <f ca="1">+BB173/BB172*100</f>
        <v>100.03656246474807</v>
      </c>
      <c r="BB173" s="1574">
        <f ca="1">OFFSET('VVP2'!$G$83,0,(COLUMN()-10)/4)</f>
        <v>15.075610000000001</v>
      </c>
      <c r="BC173" s="1573"/>
      <c r="BD173" s="2839" t="s">
        <v>757</v>
      </c>
      <c r="BE173" s="2840">
        <f ca="1">+BF173/BF172*100</f>
        <v>100.03543704618392</v>
      </c>
      <c r="BF173" s="1574">
        <f ca="1">OFFSET('VVP2'!$G$83,0,(COLUMN()-10)/4)</f>
        <v>15.554209999999999</v>
      </c>
      <c r="BG173" s="1573"/>
      <c r="BH173" s="2839" t="s">
        <v>757</v>
      </c>
      <c r="BI173" s="2840">
        <f ca="1">+BJ173/BJ172*100</f>
        <v>99.891028832661917</v>
      </c>
      <c r="BJ173" s="1574">
        <f ca="1">OFFSET('VVP2'!$G$83,0,(COLUMN()-10)/4)</f>
        <v>17.655139999999999</v>
      </c>
      <c r="BK173" s="1573"/>
      <c r="BL173" s="2839" t="s">
        <v>757</v>
      </c>
      <c r="BM173" s="2840">
        <f ca="1">+BN173/BN172*100</f>
        <v>100.03566834288389</v>
      </c>
      <c r="BN173" s="1574">
        <f ca="1">OFFSET('VVP2'!$G$83,0,(COLUMN()-10)/4)</f>
        <v>15.397290000000002</v>
      </c>
      <c r="BO173" s="1573"/>
      <c r="BP173" s="2839" t="s">
        <v>757</v>
      </c>
      <c r="BQ173" s="2840">
        <f ca="1">+BR173/BR172*100</f>
        <v>99.925140225670575</v>
      </c>
      <c r="BR173" s="1574">
        <f ca="1">OFFSET('VVP2'!$G$83,0,(COLUMN()-10)/4)</f>
        <v>18.313880000000001</v>
      </c>
      <c r="BS173" s="1573"/>
      <c r="BT173" s="2839" t="s">
        <v>757</v>
      </c>
      <c r="BU173" s="2840">
        <f ca="1">+BV173/BV172*100</f>
        <v>100.0194975131206</v>
      </c>
      <c r="BV173" s="1574">
        <f ca="1">OFFSET('VVP2'!$G$83,0,(COLUMN()-10)/4)</f>
        <v>21.135020000000001</v>
      </c>
      <c r="BW173" s="1573"/>
      <c r="BX173" s="2839" t="s">
        <v>757</v>
      </c>
      <c r="BY173" s="2840">
        <f ca="1">+BZ173/BZ172*100</f>
        <v>100.00021049706777</v>
      </c>
      <c r="BZ173" s="1574">
        <f ca="1">OFFSET('VVP2'!$G$83,0,(COLUMN()-10)/4)</f>
        <v>23.753349999999998</v>
      </c>
      <c r="CA173" s="1573"/>
      <c r="CB173" s="2839" t="s">
        <v>757</v>
      </c>
      <c r="CC173" s="2840">
        <f ca="1">+CD173/CD172*100</f>
        <v>100.01640406115496</v>
      </c>
      <c r="CD173" s="1574">
        <f ca="1">OFFSET('VVP2'!$G$83,0,(COLUMN()-10)/4)</f>
        <v>26.095380000000002</v>
      </c>
      <c r="CE173" s="1573"/>
      <c r="CF173" s="2839" t="s">
        <v>757</v>
      </c>
      <c r="CG173" s="2840">
        <f ca="1">+CH173/CH172*100</f>
        <v>99.962423725355649</v>
      </c>
      <c r="CH173" s="1574">
        <f ca="1">OFFSET('VVP2'!$G$83,0,(COLUMN()-10)/4)</f>
        <v>26.948370000000001</v>
      </c>
      <c r="CI173" s="1573"/>
      <c r="CJ173" s="2839" t="s">
        <v>757</v>
      </c>
      <c r="CK173" s="2840">
        <f ca="1">+CL173/CL172*100</f>
        <v>100.04985598402226</v>
      </c>
      <c r="CL173" s="1574">
        <f ca="1">OFFSET('VVP2'!$G$83,0,(COLUMN()-10)/4)</f>
        <v>26.850680000000001</v>
      </c>
      <c r="CM173" s="1573"/>
      <c r="CN173" s="2839" t="s">
        <v>757</v>
      </c>
      <c r="CO173" s="2840">
        <f ca="1">+CP173/CP172*100</f>
        <v>100.02401734145671</v>
      </c>
      <c r="CP173" s="1574">
        <f ca="1">OFFSET('VVP2'!$G$83,0,(COLUMN()-10)/4)</f>
        <v>27.778269999999999</v>
      </c>
      <c r="CQ173" s="1573"/>
      <c r="CR173" s="2839" t="s">
        <v>757</v>
      </c>
      <c r="CS173" s="2840">
        <f ca="1">+CT173/CT172*100</f>
        <v>99.96755217552969</v>
      </c>
      <c r="CT173" s="1574">
        <f ca="1">OFFSET('VVP2'!$G$83,0,(COLUMN()-10)/4)</f>
        <v>31.455689999999997</v>
      </c>
      <c r="CU173" s="1573"/>
      <c r="CV173" s="2839" t="s">
        <v>757</v>
      </c>
      <c r="CW173" s="2840">
        <f ca="1">+CX173/CX172*100</f>
        <v>99.964691603119036</v>
      </c>
      <c r="CX173" s="1574">
        <f ca="1">OFFSET('VVP2'!$G$83,0,(COLUMN()-10)/4)</f>
        <v>33.190876111086119</v>
      </c>
      <c r="CY173" s="1573"/>
      <c r="CZ173" s="2839" t="s">
        <v>757</v>
      </c>
      <c r="DA173" s="2840">
        <f ca="1">+DB173/DB172*100</f>
        <v>99.971594473451376</v>
      </c>
      <c r="DB173" s="1574">
        <f ca="1">OFFSET('VVP2'!$G$83,0,(COLUMN()-10)/4)</f>
        <v>34.659437221662913</v>
      </c>
      <c r="DC173"/>
      <c r="DD173"/>
      <c r="DE173"/>
      <c r="DF173"/>
      <c r="DG173"/>
      <c r="DH173"/>
      <c r="DI173"/>
      <c r="DJ173"/>
      <c r="DK173"/>
      <c r="DL173"/>
      <c r="DM173"/>
      <c r="DN173"/>
      <c r="DO173"/>
    </row>
    <row r="174" spans="1:119" ht="12.75" customHeight="1">
      <c r="A174" s="664"/>
      <c r="E174" s="599"/>
      <c r="F174" s="3617"/>
      <c r="AY174" s="217"/>
      <c r="BA174" s="217"/>
      <c r="BB174" s="217"/>
      <c r="BC174" s="217"/>
      <c r="BD174" s="217"/>
      <c r="BE174" s="217"/>
      <c r="BF174" s="217"/>
      <c r="BG174" s="217"/>
      <c r="BH174" s="217"/>
      <c r="BI174" s="217"/>
      <c r="BJ174" s="217"/>
      <c r="CM174" s="557"/>
      <c r="CN174" s="557"/>
      <c r="CO174" s="557"/>
      <c r="CP174" s="557"/>
      <c r="CQ174" s="557"/>
      <c r="CR174" s="557"/>
      <c r="CS174" s="557"/>
      <c r="CT174" s="557"/>
      <c r="CU174" s="557"/>
      <c r="CV174" s="557"/>
      <c r="CW174" s="557"/>
      <c r="CX174" s="557"/>
      <c r="CY174" s="557"/>
      <c r="CZ174" s="557"/>
      <c r="DA174" s="557"/>
      <c r="DB174" s="557"/>
    </row>
    <row r="175" spans="1:119" s="699" customFormat="1">
      <c r="A175" s="664"/>
      <c r="B175" s="664"/>
      <c r="C175" s="1553"/>
      <c r="D175" s="742"/>
      <c r="E175" s="3384" t="s">
        <v>762</v>
      </c>
      <c r="F175" s="3622"/>
      <c r="G175" s="1578" t="str">
        <f t="shared" ref="G175:N175" si="428">G162</f>
        <v>Q1</v>
      </c>
      <c r="H175" s="1579" t="str">
        <f t="shared" si="428"/>
        <v>Q2</v>
      </c>
      <c r="I175" s="1579" t="str">
        <f t="shared" si="428"/>
        <v>Q3</v>
      </c>
      <c r="J175" s="1580" t="str">
        <f t="shared" si="428"/>
        <v>Q4</v>
      </c>
      <c r="K175" s="1578" t="str">
        <f t="shared" si="428"/>
        <v>Q1</v>
      </c>
      <c r="L175" s="1579" t="str">
        <f t="shared" si="428"/>
        <v>Q2</v>
      </c>
      <c r="M175" s="1579" t="str">
        <f t="shared" si="428"/>
        <v>Q3</v>
      </c>
      <c r="N175" s="1580" t="str">
        <f t="shared" si="428"/>
        <v>Q4</v>
      </c>
      <c r="O175" s="1578" t="str">
        <f t="shared" ref="O175:V175" si="429">O162</f>
        <v>Q1</v>
      </c>
      <c r="P175" s="1579" t="str">
        <f t="shared" si="429"/>
        <v>Q2</v>
      </c>
      <c r="Q175" s="1579" t="str">
        <f t="shared" si="429"/>
        <v>Q3</v>
      </c>
      <c r="R175" s="1580" t="str">
        <f t="shared" si="429"/>
        <v>Q4</v>
      </c>
      <c r="S175" s="1578" t="str">
        <f t="shared" si="429"/>
        <v>Q1</v>
      </c>
      <c r="T175" s="1579" t="str">
        <f t="shared" si="429"/>
        <v>Q2</v>
      </c>
      <c r="U175" s="1579" t="str">
        <f t="shared" si="429"/>
        <v>Q3</v>
      </c>
      <c r="V175" s="1580" t="str">
        <f t="shared" si="429"/>
        <v>Q4</v>
      </c>
      <c r="W175" s="1578" t="str">
        <f t="shared" ref="W175:BJ175" si="430">W162</f>
        <v>Q1</v>
      </c>
      <c r="X175" s="1579" t="str">
        <f t="shared" si="430"/>
        <v>Q2</v>
      </c>
      <c r="Y175" s="1579" t="str">
        <f t="shared" si="430"/>
        <v>Q3</v>
      </c>
      <c r="Z175" s="1580" t="str">
        <f t="shared" si="430"/>
        <v>Q4</v>
      </c>
      <c r="AA175" s="1578" t="str">
        <f t="shared" si="430"/>
        <v>Q1</v>
      </c>
      <c r="AB175" s="1579" t="str">
        <f t="shared" si="430"/>
        <v>Q2</v>
      </c>
      <c r="AC175" s="1579" t="str">
        <f t="shared" si="430"/>
        <v>Q3</v>
      </c>
      <c r="AD175" s="1580" t="str">
        <f t="shared" si="430"/>
        <v>Q4</v>
      </c>
      <c r="AE175" s="1578" t="str">
        <f t="shared" si="430"/>
        <v>Q1</v>
      </c>
      <c r="AF175" s="1579" t="str">
        <f t="shared" si="430"/>
        <v>Q2</v>
      </c>
      <c r="AG175" s="1579" t="str">
        <f t="shared" si="430"/>
        <v>Q3</v>
      </c>
      <c r="AH175" s="1580" t="str">
        <f t="shared" si="430"/>
        <v>Q4</v>
      </c>
      <c r="AI175" s="1578" t="str">
        <f t="shared" si="430"/>
        <v>Q1</v>
      </c>
      <c r="AJ175" s="1579" t="str">
        <f t="shared" si="430"/>
        <v>Q2</v>
      </c>
      <c r="AK175" s="1579" t="str">
        <f t="shared" si="430"/>
        <v>Q3</v>
      </c>
      <c r="AL175" s="1580" t="str">
        <f t="shared" si="430"/>
        <v>Q4</v>
      </c>
      <c r="AM175" s="1578" t="str">
        <f t="shared" si="430"/>
        <v>Q1</v>
      </c>
      <c r="AN175" s="1579" t="str">
        <f t="shared" si="430"/>
        <v>Q2</v>
      </c>
      <c r="AO175" s="1579" t="str">
        <f t="shared" si="430"/>
        <v>Q3</v>
      </c>
      <c r="AP175" s="1580" t="str">
        <f t="shared" si="430"/>
        <v>Q4</v>
      </c>
      <c r="AQ175" s="1578" t="str">
        <f t="shared" si="430"/>
        <v>Q1</v>
      </c>
      <c r="AR175" s="1579" t="str">
        <f t="shared" si="430"/>
        <v>Q2</v>
      </c>
      <c r="AS175" s="1579" t="str">
        <f t="shared" si="430"/>
        <v>Q3</v>
      </c>
      <c r="AT175" s="1580" t="str">
        <f t="shared" si="430"/>
        <v>Q4</v>
      </c>
      <c r="AU175" s="1578" t="str">
        <f t="shared" si="430"/>
        <v>Q1</v>
      </c>
      <c r="AV175" s="1579" t="str">
        <f t="shared" si="430"/>
        <v>Q2</v>
      </c>
      <c r="AW175" s="1579" t="str">
        <f t="shared" si="430"/>
        <v>Q3</v>
      </c>
      <c r="AX175" s="1580" t="str">
        <f t="shared" si="430"/>
        <v>Q4</v>
      </c>
      <c r="AY175" s="1578" t="str">
        <f t="shared" si="430"/>
        <v>Q1</v>
      </c>
      <c r="AZ175" s="1579" t="str">
        <f t="shared" si="430"/>
        <v>Q2</v>
      </c>
      <c r="BA175" s="1579" t="str">
        <f t="shared" si="430"/>
        <v>Q3</v>
      </c>
      <c r="BB175" s="1580" t="str">
        <f t="shared" si="430"/>
        <v>Q4</v>
      </c>
      <c r="BC175" s="1578" t="str">
        <f t="shared" si="430"/>
        <v>Q1</v>
      </c>
      <c r="BD175" s="1579" t="str">
        <f t="shared" si="430"/>
        <v>Q2</v>
      </c>
      <c r="BE175" s="1579" t="str">
        <f t="shared" si="430"/>
        <v>Q3</v>
      </c>
      <c r="BF175" s="1580" t="str">
        <f t="shared" si="430"/>
        <v>Q4</v>
      </c>
      <c r="BG175" s="1578" t="str">
        <f t="shared" si="430"/>
        <v>Q1</v>
      </c>
      <c r="BH175" s="1579" t="str">
        <f t="shared" si="430"/>
        <v>Q2</v>
      </c>
      <c r="BI175" s="1579" t="str">
        <f t="shared" si="430"/>
        <v>Q3</v>
      </c>
      <c r="BJ175" s="1580" t="str">
        <f t="shared" si="430"/>
        <v>Q4</v>
      </c>
      <c r="BK175" s="1579" t="str">
        <f t="shared" ref="BK175:BR175" si="431">BK162</f>
        <v>Q1</v>
      </c>
      <c r="BL175" s="1579" t="str">
        <f t="shared" si="431"/>
        <v>Q2</v>
      </c>
      <c r="BM175" s="1579" t="str">
        <f t="shared" si="431"/>
        <v>Q3</v>
      </c>
      <c r="BN175" s="1579" t="str">
        <f t="shared" si="431"/>
        <v>Q4</v>
      </c>
      <c r="BO175" s="1579" t="str">
        <f t="shared" si="431"/>
        <v>Q1</v>
      </c>
      <c r="BP175" s="1579" t="str">
        <f t="shared" si="431"/>
        <v>Q2</v>
      </c>
      <c r="BQ175" s="1579" t="str">
        <f t="shared" si="431"/>
        <v>Q3</v>
      </c>
      <c r="BR175" s="1579" t="str">
        <f t="shared" si="431"/>
        <v>Q4</v>
      </c>
      <c r="BS175" s="1579" t="str">
        <f t="shared" ref="BS175:CD175" si="432">BS162</f>
        <v>Q1</v>
      </c>
      <c r="BT175" s="1579" t="str">
        <f t="shared" si="432"/>
        <v>Q2</v>
      </c>
      <c r="BU175" s="1579" t="str">
        <f t="shared" si="432"/>
        <v>Q3</v>
      </c>
      <c r="BV175" s="1579" t="str">
        <f t="shared" si="432"/>
        <v>Q4</v>
      </c>
      <c r="BW175" s="1579" t="str">
        <f t="shared" si="432"/>
        <v>Q1</v>
      </c>
      <c r="BX175" s="1579" t="str">
        <f t="shared" si="432"/>
        <v>Q2</v>
      </c>
      <c r="BY175" s="1579" t="str">
        <f t="shared" si="432"/>
        <v>Q3</v>
      </c>
      <c r="BZ175" s="1579" t="str">
        <f t="shared" si="432"/>
        <v>Q4</v>
      </c>
      <c r="CA175" s="1579" t="str">
        <f t="shared" si="432"/>
        <v>Q1</v>
      </c>
      <c r="CB175" s="1579" t="str">
        <f t="shared" si="432"/>
        <v>Q2</v>
      </c>
      <c r="CC175" s="1579" t="str">
        <f t="shared" si="432"/>
        <v>Q3</v>
      </c>
      <c r="CD175" s="1579" t="str">
        <f t="shared" si="432"/>
        <v>Q4</v>
      </c>
      <c r="CE175" s="1579" t="str">
        <f t="shared" ref="CE175:CL175" si="433">CE162</f>
        <v>Q1</v>
      </c>
      <c r="CF175" s="1579" t="str">
        <f t="shared" si="433"/>
        <v>Q2</v>
      </c>
      <c r="CG175" s="1579" t="str">
        <f t="shared" si="433"/>
        <v>Q3</v>
      </c>
      <c r="CH175" s="1579" t="str">
        <f t="shared" si="433"/>
        <v>Q4</v>
      </c>
      <c r="CI175" s="1579" t="str">
        <f t="shared" si="433"/>
        <v>Q1</v>
      </c>
      <c r="CJ175" s="1579" t="str">
        <f t="shared" si="433"/>
        <v>Q2</v>
      </c>
      <c r="CK175" s="1579" t="str">
        <f t="shared" si="433"/>
        <v>Q3</v>
      </c>
      <c r="CL175" s="1579" t="str">
        <f t="shared" si="433"/>
        <v>Q4</v>
      </c>
      <c r="CM175" s="1579" t="str">
        <f t="shared" ref="CM175:CT175" si="434">CM162</f>
        <v>Q1</v>
      </c>
      <c r="CN175" s="1579" t="str">
        <f t="shared" si="434"/>
        <v>Q2</v>
      </c>
      <c r="CO175" s="1579" t="str">
        <f t="shared" si="434"/>
        <v>Q3</v>
      </c>
      <c r="CP175" s="1579" t="str">
        <f t="shared" si="434"/>
        <v>Q4</v>
      </c>
      <c r="CQ175" s="1579" t="str">
        <f t="shared" si="434"/>
        <v>Q1</v>
      </c>
      <c r="CR175" s="1579" t="str">
        <f t="shared" si="434"/>
        <v>Q2</v>
      </c>
      <c r="CS175" s="1579" t="str">
        <f t="shared" si="434"/>
        <v>Q3</v>
      </c>
      <c r="CT175" s="1579" t="str">
        <f t="shared" si="434"/>
        <v>Q4</v>
      </c>
      <c r="CU175" s="1579" t="str">
        <f t="shared" ref="CU175:DB175" si="435">CU162</f>
        <v>Q1</v>
      </c>
      <c r="CV175" s="1579" t="str">
        <f t="shared" si="435"/>
        <v>Q2</v>
      </c>
      <c r="CW175" s="1579" t="str">
        <f t="shared" si="435"/>
        <v>Q3</v>
      </c>
      <c r="CX175" s="1579" t="str">
        <f t="shared" si="435"/>
        <v>Q4</v>
      </c>
      <c r="CY175" s="1579" t="str">
        <f t="shared" si="435"/>
        <v>Q1</v>
      </c>
      <c r="CZ175" s="1579" t="str">
        <f t="shared" si="435"/>
        <v>Q2</v>
      </c>
      <c r="DA175" s="1579" t="str">
        <f t="shared" si="435"/>
        <v>Q3</v>
      </c>
      <c r="DB175" s="1579" t="str">
        <f t="shared" si="435"/>
        <v>Q4</v>
      </c>
      <c r="DC175"/>
      <c r="DD175"/>
      <c r="DE175"/>
      <c r="DF175"/>
      <c r="DG175"/>
      <c r="DH175"/>
      <c r="DI175"/>
      <c r="DJ175"/>
      <c r="DK175"/>
      <c r="DL175"/>
      <c r="DM175"/>
      <c r="DN175"/>
      <c r="DO175"/>
    </row>
    <row r="176" spans="1:119" ht="12.75" hidden="1" customHeight="1">
      <c r="A176" s="664"/>
      <c r="C176" s="929"/>
      <c r="E176" s="599" t="s">
        <v>1782</v>
      </c>
      <c r="F176" s="3617"/>
      <c r="H176" s="217">
        <f>(H163/G163-1)*100</f>
        <v>4.8178462526079269</v>
      </c>
      <c r="I176" s="217">
        <f t="shared" ref="I176:N176" si="436">(I163/H163-1)*100</f>
        <v>5.3742038216560539</v>
      </c>
      <c r="J176" s="217">
        <f t="shared" si="436"/>
        <v>4.6496759757054473</v>
      </c>
      <c r="K176" s="217">
        <f t="shared" si="436"/>
        <v>2.1187970342395612</v>
      </c>
      <c r="L176" s="217">
        <f t="shared" si="436"/>
        <v>3.491597324196416</v>
      </c>
      <c r="M176" s="217">
        <f t="shared" si="436"/>
        <v>4.9766146408113832</v>
      </c>
      <c r="N176" s="217">
        <f t="shared" si="436"/>
        <v>5.6542851421706342</v>
      </c>
      <c r="O176" s="217">
        <f t="shared" ref="O176:V176" si="437">(O163/N163-1)*100</f>
        <v>5.282983108668371</v>
      </c>
      <c r="P176" s="217">
        <f t="shared" si="437"/>
        <v>0.74030737382144718</v>
      </c>
      <c r="Q176" s="217">
        <f t="shared" si="437"/>
        <v>1.4116595934777987</v>
      </c>
      <c r="R176" s="217">
        <f t="shared" si="437"/>
        <v>9.589885908109764</v>
      </c>
      <c r="S176" s="217">
        <f t="shared" si="437"/>
        <v>2.5283382908593666</v>
      </c>
      <c r="T176" s="217">
        <f t="shared" si="437"/>
        <v>-0.74293331242403227</v>
      </c>
      <c r="U176" s="217">
        <f t="shared" si="437"/>
        <v>-9.2129949639577333</v>
      </c>
      <c r="V176" s="217">
        <f t="shared" si="437"/>
        <v>-5.8516423754622622</v>
      </c>
      <c r="W176" s="217">
        <f t="shared" ref="W176:BJ176" si="438">(W163/V163-1)*100</f>
        <v>-7.2966728280961179</v>
      </c>
      <c r="X176" s="217">
        <f t="shared" si="438"/>
        <v>-8.1152484920990915</v>
      </c>
      <c r="Y176" s="217">
        <f t="shared" si="438"/>
        <v>-1.6193782889383002</v>
      </c>
      <c r="Z176" s="217">
        <f t="shared" si="438"/>
        <v>0.93468251123547397</v>
      </c>
      <c r="AA176" s="217">
        <f t="shared" si="438"/>
        <v>12.418050699300686</v>
      </c>
      <c r="AB176" s="217">
        <f t="shared" si="438"/>
        <v>0.84803421295622794</v>
      </c>
      <c r="AC176" s="217">
        <f t="shared" si="438"/>
        <v>8.7078042551140822</v>
      </c>
      <c r="AD176" s="217">
        <f t="shared" si="438"/>
        <v>1.9371855398186977</v>
      </c>
      <c r="AE176" s="217">
        <f t="shared" si="438"/>
        <v>10.028048966102032</v>
      </c>
      <c r="AF176" s="217">
        <f t="shared" si="438"/>
        <v>6.4185917830958727</v>
      </c>
      <c r="AG176" s="217">
        <f t="shared" si="438"/>
        <v>1.156895879370845</v>
      </c>
      <c r="AH176" s="217">
        <f t="shared" si="438"/>
        <v>4.4645151815545292</v>
      </c>
      <c r="AI176" s="217">
        <f t="shared" si="438"/>
        <v>5.4387938003022551</v>
      </c>
      <c r="AJ176" s="217">
        <f t="shared" si="438"/>
        <v>7.2315461408976489</v>
      </c>
      <c r="AK176" s="217">
        <f t="shared" si="438"/>
        <v>-0.59682934410941746</v>
      </c>
      <c r="AL176" s="217">
        <f t="shared" si="438"/>
        <v>6.8156232409781747</v>
      </c>
      <c r="AM176" s="217">
        <f t="shared" si="438"/>
        <v>4.8788699407157798</v>
      </c>
      <c r="AN176" s="217">
        <f t="shared" si="438"/>
        <v>-7.1209245198749276</v>
      </c>
      <c r="AO176" s="217">
        <f t="shared" si="438"/>
        <v>3.6005169356535305</v>
      </c>
      <c r="AP176" s="217">
        <f t="shared" si="438"/>
        <v>3.617533578950427</v>
      </c>
      <c r="AQ176" s="217">
        <f t="shared" si="438"/>
        <v>-7.4052298560949747</v>
      </c>
      <c r="AR176" s="217">
        <f t="shared" si="438"/>
        <v>5.2686481419889297</v>
      </c>
      <c r="AS176" s="217">
        <f t="shared" si="438"/>
        <v>3.0848329048843048</v>
      </c>
      <c r="AT176" s="217">
        <f t="shared" si="438"/>
        <v>6.4837905236907911</v>
      </c>
      <c r="AU176" s="217" t="e">
        <f t="shared" si="438"/>
        <v>#VALUE!</v>
      </c>
      <c r="AV176" s="217" t="e">
        <f t="shared" si="438"/>
        <v>#VALUE!</v>
      </c>
      <c r="AW176" s="217" t="e">
        <f t="shared" si="438"/>
        <v>#VALUE!</v>
      </c>
      <c r="AX176" s="217" t="e">
        <f t="shared" si="438"/>
        <v>#VALUE!</v>
      </c>
      <c r="AY176" s="217" t="e">
        <f t="shared" si="438"/>
        <v>#VALUE!</v>
      </c>
      <c r="AZ176" s="217" t="e">
        <f t="shared" si="438"/>
        <v>#VALUE!</v>
      </c>
      <c r="BA176" s="217" t="e">
        <f t="shared" si="438"/>
        <v>#VALUE!</v>
      </c>
      <c r="BB176" s="217" t="e">
        <f t="shared" si="438"/>
        <v>#VALUE!</v>
      </c>
      <c r="BC176" s="217" t="e">
        <f t="shared" si="438"/>
        <v>#VALUE!</v>
      </c>
      <c r="BD176" s="217" t="e">
        <f t="shared" si="438"/>
        <v>#VALUE!</v>
      </c>
      <c r="BE176" s="217" t="e">
        <f t="shared" si="438"/>
        <v>#VALUE!</v>
      </c>
      <c r="BF176" s="217" t="e">
        <f t="shared" si="438"/>
        <v>#VALUE!</v>
      </c>
      <c r="BG176" s="217" t="e">
        <f t="shared" si="438"/>
        <v>#VALUE!</v>
      </c>
      <c r="BH176" s="217" t="e">
        <f t="shared" si="438"/>
        <v>#VALUE!</v>
      </c>
      <c r="BI176" s="217" t="e">
        <f t="shared" si="438"/>
        <v>#VALUE!</v>
      </c>
      <c r="BJ176" s="217" t="e">
        <f t="shared" si="438"/>
        <v>#VALUE!</v>
      </c>
      <c r="BK176" s="2860" t="e">
        <f>(BK163/BJ163-1)*100</f>
        <v>#VALUE!</v>
      </c>
      <c r="BL176" s="2860" t="e">
        <f t="shared" ref="BL176:BQ176" si="439">(BL163/BK163-1)*100</f>
        <v>#VALUE!</v>
      </c>
      <c r="BM176" s="2860" t="e">
        <f t="shared" si="439"/>
        <v>#VALUE!</v>
      </c>
      <c r="BN176" s="2860" t="e">
        <f t="shared" si="439"/>
        <v>#VALUE!</v>
      </c>
      <c r="BO176" s="2860" t="e">
        <f t="shared" si="439"/>
        <v>#VALUE!</v>
      </c>
      <c r="BP176" s="2860" t="e">
        <f t="shared" si="439"/>
        <v>#VALUE!</v>
      </c>
      <c r="BQ176" s="2860" t="e">
        <f t="shared" si="439"/>
        <v>#VALUE!</v>
      </c>
      <c r="BR176" s="2860" t="e">
        <f>(BR163/BQ163-1)*100</f>
        <v>#VALUE!</v>
      </c>
      <c r="BS176" s="2860" t="e">
        <f>(BS163/BR163-1)*100</f>
        <v>#VALUE!</v>
      </c>
      <c r="BT176" s="2860" t="e">
        <f>(BT163/BS163-1)*100</f>
        <v>#VALUE!</v>
      </c>
      <c r="BU176" s="2860" t="e">
        <f>(BU163/BT163-1)*100</f>
        <v>#VALUE!</v>
      </c>
      <c r="BV176" s="2860" t="e">
        <f>(BV163/BU163-1)*100</f>
        <v>#VALUE!</v>
      </c>
      <c r="BW176" s="2860" t="e">
        <f t="shared" ref="BW176:CF176" si="440">(BW163/BV163-1)*100</f>
        <v>#VALUE!</v>
      </c>
      <c r="BX176" s="2860" t="e">
        <f t="shared" si="440"/>
        <v>#VALUE!</v>
      </c>
      <c r="BY176" s="2860" t="e">
        <f t="shared" si="440"/>
        <v>#VALUE!</v>
      </c>
      <c r="BZ176" s="2860" t="e">
        <f t="shared" si="440"/>
        <v>#VALUE!</v>
      </c>
      <c r="CA176" s="2860" t="e">
        <f t="shared" si="440"/>
        <v>#VALUE!</v>
      </c>
      <c r="CB176" s="2860" t="e">
        <f t="shared" si="440"/>
        <v>#VALUE!</v>
      </c>
      <c r="CC176" s="2860" t="e">
        <f t="shared" si="440"/>
        <v>#VALUE!</v>
      </c>
      <c r="CD176" s="2860" t="e">
        <f t="shared" si="440"/>
        <v>#VALUE!</v>
      </c>
      <c r="CE176" s="2860" t="e">
        <f t="shared" si="440"/>
        <v>#VALUE!</v>
      </c>
      <c r="CF176" s="2860" t="e">
        <f t="shared" si="440"/>
        <v>#VALUE!</v>
      </c>
      <c r="CG176" s="740">
        <v>-5</v>
      </c>
      <c r="CH176" s="740">
        <v>-4</v>
      </c>
      <c r="CI176" s="740">
        <v>3</v>
      </c>
      <c r="CJ176" s="740">
        <v>3</v>
      </c>
      <c r="CK176" s="740">
        <v>4.5</v>
      </c>
      <c r="CL176" s="740">
        <v>4</v>
      </c>
      <c r="CM176" s="740">
        <v>0.2</v>
      </c>
      <c r="CN176" s="740">
        <v>0.2</v>
      </c>
      <c r="CO176" s="740">
        <v>0.3</v>
      </c>
      <c r="CP176" s="740">
        <v>0.3</v>
      </c>
      <c r="CQ176" s="740">
        <v>0.35</v>
      </c>
      <c r="CR176" s="740">
        <v>0.39</v>
      </c>
      <c r="CS176" s="740">
        <v>0.43</v>
      </c>
      <c r="CT176" s="740">
        <v>0.47</v>
      </c>
      <c r="CU176" s="740">
        <v>0.35</v>
      </c>
      <c r="CV176" s="740">
        <v>0.39</v>
      </c>
      <c r="CW176" s="740">
        <v>0.43</v>
      </c>
      <c r="CX176" s="740">
        <v>0.47</v>
      </c>
      <c r="CY176" s="740">
        <v>0.35</v>
      </c>
      <c r="CZ176" s="740">
        <v>0.39</v>
      </c>
      <c r="DA176" s="740">
        <v>0.43</v>
      </c>
      <c r="DB176" s="740">
        <v>0.47</v>
      </c>
    </row>
    <row r="177" spans="1:119" ht="12.75" hidden="1" customHeight="1">
      <c r="C177" s="3072"/>
      <c r="D177" s="717"/>
      <c r="E177" s="3068" t="s">
        <v>266</v>
      </c>
      <c r="F177" s="3634"/>
      <c r="G177" s="2854"/>
      <c r="H177" s="2854"/>
      <c r="I177" s="2854"/>
      <c r="J177" s="2854"/>
      <c r="K177" s="2854"/>
      <c r="L177" s="2854"/>
      <c r="M177" s="2854"/>
      <c r="N177" s="1608">
        <f>N164/J164*100-100</f>
        <v>16.957082088607137</v>
      </c>
      <c r="O177" s="2854"/>
      <c r="P177" s="2854"/>
      <c r="Q177" s="2854"/>
      <c r="R177" s="1608">
        <f>R164/N164*100-100</f>
        <v>17.436224083569556</v>
      </c>
      <c r="S177" s="2854"/>
      <c r="T177" s="2854"/>
      <c r="U177" s="2854"/>
      <c r="V177" s="1608">
        <f>V164/R164*100-100</f>
        <v>3.5418101741615686</v>
      </c>
      <c r="W177" s="2854"/>
      <c r="X177" s="2854"/>
      <c r="Y177" s="2854"/>
      <c r="Z177" s="1608">
        <f>Z164/V164*100-100</f>
        <v>-21.495136171483352</v>
      </c>
      <c r="AA177" s="2854"/>
      <c r="AB177" s="2854"/>
      <c r="AC177" s="2854"/>
      <c r="AD177" s="1608">
        <f>AD164/Z164*100-100</f>
        <v>15.947686250959194</v>
      </c>
      <c r="AE177" s="2854"/>
      <c r="AF177" s="2854"/>
      <c r="AG177" s="2854"/>
      <c r="AH177" s="1608">
        <f>AH164/AD164*100-100</f>
        <v>24.210284004258625</v>
      </c>
      <c r="AI177" s="2854"/>
      <c r="AJ177" s="2854"/>
      <c r="AK177" s="2854"/>
      <c r="AL177" s="1608">
        <f>AL164/AH164*100-100</f>
        <v>18.893223495834775</v>
      </c>
      <c r="AM177" s="2854"/>
      <c r="AN177" s="2854"/>
      <c r="AO177" s="2854"/>
      <c r="AP177" s="1608">
        <f>AP164/AL164*100-100</f>
        <v>8.5576668277399222</v>
      </c>
      <c r="AQ177" s="2854"/>
      <c r="AR177" s="2854"/>
      <c r="AS177" s="2854"/>
      <c r="AT177" s="1608">
        <f>AT164/AP164*100-100</f>
        <v>1.9445601137228579</v>
      </c>
      <c r="AU177" s="2854"/>
      <c r="AV177" s="2854"/>
      <c r="AW177" s="2854"/>
      <c r="AX177" s="1608" t="e">
        <f>AX164/AT164*100-100</f>
        <v>#VALUE!</v>
      </c>
      <c r="AY177" s="2854"/>
      <c r="AZ177" s="2854"/>
      <c r="BA177" s="2854"/>
      <c r="BB177" s="1608" t="e">
        <f>BB164/AX164*100-100</f>
        <v>#VALUE!</v>
      </c>
      <c r="BC177" s="2854"/>
      <c r="BD177" s="2854"/>
      <c r="BE177" s="2854"/>
      <c r="BF177" s="1608" t="e">
        <f>BF164/BB164*100-100</f>
        <v>#VALUE!</v>
      </c>
      <c r="BG177" s="2854"/>
      <c r="BH177" s="2854"/>
      <c r="BI177" s="2854"/>
      <c r="BJ177" s="1608" t="e">
        <f>BJ164/BF164*100-100</f>
        <v>#VALUE!</v>
      </c>
      <c r="BK177" s="2854"/>
      <c r="BL177" s="2854"/>
      <c r="BM177" s="2854"/>
      <c r="BN177" s="1610" t="e">
        <f>BN164/BJ164*100-100</f>
        <v>#VALUE!</v>
      </c>
      <c r="BO177" s="2854"/>
      <c r="BP177" s="2854"/>
      <c r="BQ177" s="2854"/>
      <c r="BR177" s="1610" t="e">
        <f>BR164/BN164*100-100</f>
        <v>#VALUE!</v>
      </c>
      <c r="BS177" s="2854"/>
      <c r="BT177" s="2854"/>
      <c r="BU177" s="2854"/>
      <c r="BV177" s="1610" t="e">
        <f>BV164/BR164*100-100</f>
        <v>#VALUE!</v>
      </c>
      <c r="BW177" s="2854"/>
      <c r="BX177" s="2854"/>
      <c r="BY177" s="2854"/>
      <c r="BZ177" s="1610" t="e">
        <f>BZ164/BV164*100-100</f>
        <v>#VALUE!</v>
      </c>
      <c r="CA177" s="2854"/>
      <c r="CB177" s="2854"/>
      <c r="CC177" s="2854"/>
      <c r="CD177" s="1610" t="e">
        <f>CD164/BZ164*100-100</f>
        <v>#VALUE!</v>
      </c>
      <c r="CE177" s="2854"/>
      <c r="CF177" s="2854"/>
      <c r="CG177" s="2854"/>
      <c r="CH177" s="1610" t="e">
        <f>CH164/CD164*100-100</f>
        <v>#VALUE!</v>
      </c>
      <c r="CI177" s="2854"/>
      <c r="CJ177" s="2854"/>
      <c r="CK177" s="2854"/>
      <c r="CL177" s="1610" t="e">
        <f>CL164/CH164*100-100</f>
        <v>#VALUE!</v>
      </c>
      <c r="CM177" s="2854"/>
      <c r="CN177" s="2854"/>
      <c r="CO177" s="2854"/>
      <c r="CP177" s="1610" t="e">
        <f>CP164/CL164*100-100</f>
        <v>#VALUE!</v>
      </c>
      <c r="CQ177" s="2854"/>
      <c r="CR177" s="2854"/>
      <c r="CS177" s="2854"/>
      <c r="CT177" s="1610" t="e">
        <f>CT164/CP164*100-100</f>
        <v>#VALUE!</v>
      </c>
      <c r="CU177" s="2854"/>
      <c r="CV177" s="2854"/>
      <c r="CW177" s="2854"/>
      <c r="CX177" s="1610" t="e">
        <f>CX164/CT164*100-100</f>
        <v>#VALUE!</v>
      </c>
      <c r="CY177" s="2854"/>
      <c r="CZ177" s="2854"/>
      <c r="DA177" s="2854"/>
      <c r="DB177" s="1610" t="e">
        <f>DB164/CX164*100-100</f>
        <v>#VALUE!</v>
      </c>
    </row>
    <row r="178" spans="1:119" ht="12.75" hidden="1" customHeight="1">
      <c r="C178" s="3072"/>
      <c r="D178" s="717"/>
      <c r="E178" s="3068" t="s">
        <v>1847</v>
      </c>
      <c r="F178" s="3634"/>
      <c r="G178" s="2854"/>
      <c r="H178" s="2854"/>
      <c r="I178" s="2854"/>
      <c r="J178" s="2854"/>
      <c r="K178" s="2854"/>
      <c r="L178" s="2854"/>
      <c r="M178" s="2854"/>
      <c r="N178" s="1599">
        <f ca="1">N165/J165*100-100</f>
        <v>17.060452746044845</v>
      </c>
      <c r="O178" s="2854"/>
      <c r="P178" s="2854"/>
      <c r="Q178" s="2854"/>
      <c r="R178" s="1599">
        <f ca="1">R165/N165*100-100</f>
        <v>18.457542209611461</v>
      </c>
      <c r="S178" s="2854"/>
      <c r="T178" s="2854"/>
      <c r="U178" s="2854"/>
      <c r="V178" s="1599">
        <f ca="1">V165/R165*100-100</f>
        <v>2.841597860850527</v>
      </c>
      <c r="W178" s="2854"/>
      <c r="X178" s="2854"/>
      <c r="Y178" s="2854"/>
      <c r="Z178" s="1599">
        <f ca="1">Z165/V165*100-100</f>
        <v>-21.073299254007182</v>
      </c>
      <c r="AA178" s="2854"/>
      <c r="AB178" s="2854"/>
      <c r="AC178" s="2854"/>
      <c r="AD178" s="1599">
        <f ca="1">AD165/Z165*100-100</f>
        <v>14.963488353992332</v>
      </c>
      <c r="AE178" s="2854"/>
      <c r="AF178" s="2854"/>
      <c r="AG178" s="2854"/>
      <c r="AH178" s="1599">
        <f ca="1">AH165/AD165*100-100</f>
        <v>24.555580437611724</v>
      </c>
      <c r="AI178" s="2854"/>
      <c r="AJ178" s="2854"/>
      <c r="AK178" s="2854"/>
      <c r="AL178" s="1599">
        <f ca="1">AL165/AH165*100-100</f>
        <v>19.123618880461009</v>
      </c>
      <c r="AM178" s="2854"/>
      <c r="AN178" s="2854"/>
      <c r="AO178" s="2854"/>
      <c r="AP178" s="1599">
        <f ca="1">AP165/AL165*100-100</f>
        <v>9.0704947333403823</v>
      </c>
      <c r="AQ178" s="2854"/>
      <c r="AR178" s="2854"/>
      <c r="AS178" s="2854"/>
      <c r="AT178" s="1599">
        <f ca="1">AT165/AP165*100-100</f>
        <v>2.0751227870710665</v>
      </c>
      <c r="AU178" s="2854"/>
      <c r="AV178" s="2854"/>
      <c r="AW178" s="2854"/>
      <c r="AX178" s="1599">
        <f ca="1">AX165/AT165*100-100</f>
        <v>24.93262181652301</v>
      </c>
      <c r="AY178" s="2854"/>
      <c r="AZ178" s="2854"/>
      <c r="BA178" s="2854"/>
      <c r="BB178" s="1599">
        <f ca="1">BB165/AX165*100-100</f>
        <v>13.346098666827672</v>
      </c>
      <c r="BC178" s="2854"/>
      <c r="BD178" s="2854"/>
      <c r="BE178" s="2854"/>
      <c r="BF178" s="1599">
        <f ca="1">BF165/BB165*100-100</f>
        <v>3.8977400227105221</v>
      </c>
      <c r="BG178" s="2854"/>
      <c r="BH178" s="2854"/>
      <c r="BI178" s="2854"/>
      <c r="BJ178" s="1599">
        <f ca="1">BJ165/BF165*100-100</f>
        <v>16.083772104719202</v>
      </c>
      <c r="BK178" s="2854"/>
      <c r="BL178" s="2854"/>
      <c r="BM178" s="2854"/>
      <c r="BN178" s="1612">
        <f ca="1">BN165/BJ165*100-100</f>
        <v>-12.877782521492179</v>
      </c>
      <c r="BO178" s="2854"/>
      <c r="BP178" s="2854"/>
      <c r="BQ178" s="2854"/>
      <c r="BR178" s="1612">
        <f ca="1">BR165/BN165*100-100</f>
        <v>19.822587575658574</v>
      </c>
      <c r="BS178" s="2854"/>
      <c r="BT178" s="2854"/>
      <c r="BU178" s="2854"/>
      <c r="BV178" s="1612">
        <f ca="1">BV165/BR165*100-100</f>
        <v>15.537371566718122</v>
      </c>
      <c r="BW178" s="2854"/>
      <c r="BX178" s="2854"/>
      <c r="BY178" s="2854"/>
      <c r="BZ178" s="1612">
        <f ca="1">BZ165/BV165*100-100</f>
        <v>11.611556629682539</v>
      </c>
      <c r="CA178" s="2854"/>
      <c r="CB178" s="2854"/>
      <c r="CC178" s="2854"/>
      <c r="CD178" s="1612">
        <f ca="1">CD165/BZ165*100-100</f>
        <v>9.2966504186976664</v>
      </c>
      <c r="CE178" s="2854"/>
      <c r="CF178" s="2854"/>
      <c r="CG178" s="2854"/>
      <c r="CH178" s="1612">
        <f ca="1">CH165/CD165*100-100</f>
        <v>1.8149305446363968</v>
      </c>
      <c r="CI178" s="2854"/>
      <c r="CJ178" s="2854"/>
      <c r="CK178" s="2854"/>
      <c r="CL178" s="1612">
        <f ca="1">CL165/CH165*100-100</f>
        <v>-0.78339648707044773</v>
      </c>
      <c r="CM178" s="2854"/>
      <c r="CN178" s="2854"/>
      <c r="CO178" s="2854"/>
      <c r="CP178" s="1612">
        <f ca="1">CP165/CL165*100-100</f>
        <v>1.367335358700899</v>
      </c>
      <c r="CQ178" s="2854"/>
      <c r="CR178" s="2854"/>
      <c r="CS178" s="2854"/>
      <c r="CT178" s="1612">
        <f ca="1">CT165/CP165*100-100</f>
        <v>12.210331962525657</v>
      </c>
      <c r="CU178" s="2854"/>
      <c r="CV178" s="2854"/>
      <c r="CW178" s="2854"/>
      <c r="CX178" s="1612">
        <f ca="1">CX165/CT165*100-100</f>
        <v>5.2000000000000028</v>
      </c>
      <c r="CY178" s="2854"/>
      <c r="CZ178" s="2854"/>
      <c r="DA178" s="2854"/>
      <c r="DB178" s="1612">
        <f ca="1">DB165/CX165*100-100</f>
        <v>4.4000000000000057</v>
      </c>
    </row>
    <row r="179" spans="1:119" ht="12.75" hidden="1" customHeight="1">
      <c r="C179" s="3072"/>
      <c r="D179" s="674"/>
      <c r="E179" s="3545" t="s">
        <v>1783</v>
      </c>
      <c r="F179" s="3057"/>
      <c r="G179" s="2853"/>
      <c r="H179" s="2853">
        <f>(H166/G166-1)*100</f>
        <v>1.73246236864526</v>
      </c>
      <c r="I179" s="2853">
        <f t="shared" ref="I179:N179" si="441">(I166/H166-1)*100</f>
        <v>-2.7917364600781536</v>
      </c>
      <c r="J179" s="2853">
        <f t="shared" si="441"/>
        <v>-1.076967260195294</v>
      </c>
      <c r="K179" s="2853">
        <f t="shared" si="441"/>
        <v>25.156045870227906</v>
      </c>
      <c r="L179" s="2853">
        <f t="shared" si="441"/>
        <v>2.5748086290883654</v>
      </c>
      <c r="M179" s="2853">
        <f t="shared" si="441"/>
        <v>4.3645409317051298</v>
      </c>
      <c r="N179" s="2853">
        <f t="shared" si="441"/>
        <v>5.0704225352112386</v>
      </c>
      <c r="O179" s="2853">
        <f t="shared" ref="O179:V179" si="442">(O166/N166-1)*100</f>
        <v>4.9804083316147718</v>
      </c>
      <c r="P179" s="2853">
        <f t="shared" si="442"/>
        <v>1.4929771142323967</v>
      </c>
      <c r="Q179" s="2853">
        <f t="shared" si="442"/>
        <v>9.1938449627407159</v>
      </c>
      <c r="R179" s="2853">
        <f t="shared" si="442"/>
        <v>7.7993441460604496</v>
      </c>
      <c r="S179" s="2853">
        <f t="shared" si="442"/>
        <v>0.55085094137961033</v>
      </c>
      <c r="T179" s="2853">
        <f t="shared" si="442"/>
        <v>1.5453802125919847</v>
      </c>
      <c r="U179" s="2853">
        <f t="shared" si="442"/>
        <v>-0.20130445285448939</v>
      </c>
      <c r="V179" s="2853">
        <f t="shared" si="442"/>
        <v>-1.6217524608681755</v>
      </c>
      <c r="W179" s="2853">
        <f t="shared" ref="W179:BJ179" si="443">(W166/V166-1)*100</f>
        <v>0.1886328221110567</v>
      </c>
      <c r="X179" s="2853">
        <f t="shared" si="443"/>
        <v>2.3166339227242982</v>
      </c>
      <c r="Y179" s="2853">
        <f t="shared" si="443"/>
        <v>-0.21601728138251897</v>
      </c>
      <c r="Z179" s="2853">
        <f t="shared" si="443"/>
        <v>-2.1488133418858135</v>
      </c>
      <c r="AA179" s="2853">
        <f t="shared" si="443"/>
        <v>-3.7774500163880842</v>
      </c>
      <c r="AB179" s="2853">
        <f t="shared" si="443"/>
        <v>-0.64719407306479404</v>
      </c>
      <c r="AC179" s="2853">
        <f t="shared" si="443"/>
        <v>-1.0971115110996688</v>
      </c>
      <c r="AD179" s="2853">
        <f t="shared" si="443"/>
        <v>-1.6379235635670564</v>
      </c>
      <c r="AE179" s="2853">
        <f t="shared" si="443"/>
        <v>5.0132158590308507</v>
      </c>
      <c r="AF179" s="2853">
        <f t="shared" si="443"/>
        <v>2.3240204715160528</v>
      </c>
      <c r="AG179" s="2853">
        <f t="shared" si="443"/>
        <v>4.9524434240734827</v>
      </c>
      <c r="AH179" s="2853">
        <f t="shared" si="443"/>
        <v>5.3437500000000027</v>
      </c>
      <c r="AI179" s="2853">
        <f t="shared" si="443"/>
        <v>4.7389498665084462</v>
      </c>
      <c r="AJ179" s="2853">
        <f t="shared" si="443"/>
        <v>3.5332436451178895</v>
      </c>
      <c r="AK179" s="2853">
        <f t="shared" si="443"/>
        <v>0.85487621392421609</v>
      </c>
      <c r="AL179" s="2853">
        <f t="shared" si="443"/>
        <v>3.1464026581677462</v>
      </c>
      <c r="AM179" s="2853">
        <f t="shared" si="443"/>
        <v>3.2673722963644902</v>
      </c>
      <c r="AN179" s="2853">
        <f t="shared" si="443"/>
        <v>-2.9029793735676046</v>
      </c>
      <c r="AO179" s="2853">
        <f t="shared" si="443"/>
        <v>0.81300813008129413</v>
      </c>
      <c r="AP179" s="2853">
        <f t="shared" si="443"/>
        <v>2.7315296566077008</v>
      </c>
      <c r="AQ179" s="2853">
        <f t="shared" si="443"/>
        <v>3.7034692327171381</v>
      </c>
      <c r="AR179" s="2853">
        <f t="shared" si="443"/>
        <v>1.5933093217752381</v>
      </c>
      <c r="AS179" s="2853">
        <f t="shared" si="443"/>
        <v>7.859632255738469</v>
      </c>
      <c r="AT179" s="2853">
        <f t="shared" si="443"/>
        <v>3.5598885793871826</v>
      </c>
      <c r="AU179" s="2853" t="e">
        <f t="shared" si="443"/>
        <v>#VALUE!</v>
      </c>
      <c r="AV179" s="2853" t="e">
        <f t="shared" si="443"/>
        <v>#VALUE!</v>
      </c>
      <c r="AW179" s="2853" t="e">
        <f t="shared" si="443"/>
        <v>#VALUE!</v>
      </c>
      <c r="AX179" s="2853" t="e">
        <f t="shared" si="443"/>
        <v>#VALUE!</v>
      </c>
      <c r="AY179" s="2853" t="e">
        <f t="shared" si="443"/>
        <v>#VALUE!</v>
      </c>
      <c r="AZ179" s="2853" t="e">
        <f t="shared" si="443"/>
        <v>#VALUE!</v>
      </c>
      <c r="BA179" s="2853" t="e">
        <f t="shared" si="443"/>
        <v>#VALUE!</v>
      </c>
      <c r="BB179" s="2853" t="e">
        <f t="shared" si="443"/>
        <v>#VALUE!</v>
      </c>
      <c r="BC179" s="2853" t="e">
        <f t="shared" si="443"/>
        <v>#VALUE!</v>
      </c>
      <c r="BD179" s="2853" t="e">
        <f t="shared" si="443"/>
        <v>#VALUE!</v>
      </c>
      <c r="BE179" s="2853" t="e">
        <f t="shared" si="443"/>
        <v>#VALUE!</v>
      </c>
      <c r="BF179" s="2853" t="e">
        <f t="shared" si="443"/>
        <v>#VALUE!</v>
      </c>
      <c r="BG179" s="2853" t="e">
        <f t="shared" si="443"/>
        <v>#VALUE!</v>
      </c>
      <c r="BH179" s="2853" t="e">
        <f t="shared" si="443"/>
        <v>#VALUE!</v>
      </c>
      <c r="BI179" s="2853" t="e">
        <f t="shared" si="443"/>
        <v>#VALUE!</v>
      </c>
      <c r="BJ179" s="2853" t="e">
        <f t="shared" si="443"/>
        <v>#VALUE!</v>
      </c>
      <c r="BK179" s="2853" t="e">
        <f t="shared" ref="BK179:CB179" si="444">(BK166/BJ166-1)*100</f>
        <v>#VALUE!</v>
      </c>
      <c r="BL179" s="2853" t="e">
        <f t="shared" si="444"/>
        <v>#VALUE!</v>
      </c>
      <c r="BM179" s="2853" t="e">
        <f t="shared" si="444"/>
        <v>#VALUE!</v>
      </c>
      <c r="BN179" s="2853" t="e">
        <f t="shared" si="444"/>
        <v>#VALUE!</v>
      </c>
      <c r="BO179" s="2853" t="e">
        <f t="shared" si="444"/>
        <v>#VALUE!</v>
      </c>
      <c r="BP179" s="2853" t="e">
        <f t="shared" si="444"/>
        <v>#VALUE!</v>
      </c>
      <c r="BQ179" s="2853" t="e">
        <f t="shared" si="444"/>
        <v>#VALUE!</v>
      </c>
      <c r="BR179" s="2853" t="e">
        <f t="shared" si="444"/>
        <v>#VALUE!</v>
      </c>
      <c r="BS179" s="2853" t="e">
        <f t="shared" si="444"/>
        <v>#VALUE!</v>
      </c>
      <c r="BT179" s="2853" t="e">
        <f t="shared" si="444"/>
        <v>#VALUE!</v>
      </c>
      <c r="BU179" s="2853" t="e">
        <f t="shared" si="444"/>
        <v>#VALUE!</v>
      </c>
      <c r="BV179" s="2853" t="e">
        <f t="shared" si="444"/>
        <v>#VALUE!</v>
      </c>
      <c r="BW179" s="2853" t="e">
        <f t="shared" si="444"/>
        <v>#VALUE!</v>
      </c>
      <c r="BX179" s="2853" t="e">
        <f t="shared" si="444"/>
        <v>#VALUE!</v>
      </c>
      <c r="BY179" s="2853" t="e">
        <f t="shared" si="444"/>
        <v>#VALUE!</v>
      </c>
      <c r="BZ179" s="2853" t="e">
        <f t="shared" si="444"/>
        <v>#VALUE!</v>
      </c>
      <c r="CA179" s="2853" t="e">
        <f t="shared" si="444"/>
        <v>#VALUE!</v>
      </c>
      <c r="CB179" s="2853" t="e">
        <f t="shared" si="444"/>
        <v>#VALUE!</v>
      </c>
      <c r="CC179" s="2853" t="e">
        <f>(CC166/CB166-1)*100</f>
        <v>#VALUE!</v>
      </c>
      <c r="CD179" s="2853" t="e">
        <f>(CD166/CC166-1)*100</f>
        <v>#VALUE!</v>
      </c>
      <c r="CE179" s="2853" t="e">
        <f>(CE166/CD166-1)*100</f>
        <v>#VALUE!</v>
      </c>
      <c r="CF179" s="2853" t="e">
        <f>(CF166/CE166-1)*100</f>
        <v>#VALUE!</v>
      </c>
      <c r="CG179" s="3346">
        <v>16</v>
      </c>
      <c r="CH179" s="3346">
        <v>12</v>
      </c>
      <c r="CI179" s="3353">
        <v>-0.5</v>
      </c>
      <c r="CJ179" s="3353">
        <v>0</v>
      </c>
      <c r="CK179" s="3346">
        <v>-9</v>
      </c>
      <c r="CL179" s="3346">
        <v>-6</v>
      </c>
      <c r="CM179" s="740">
        <v>6.5</v>
      </c>
      <c r="CN179" s="740">
        <v>6.5</v>
      </c>
      <c r="CO179" s="740">
        <v>6.5</v>
      </c>
      <c r="CP179" s="740">
        <v>6.5</v>
      </c>
      <c r="CQ179" s="740">
        <v>6.5</v>
      </c>
      <c r="CR179" s="740">
        <v>6.5</v>
      </c>
      <c r="CS179" s="740">
        <v>6.5</v>
      </c>
      <c r="CT179" s="740">
        <v>6.5</v>
      </c>
      <c r="CU179" s="740">
        <v>6.5</v>
      </c>
      <c r="CV179" s="740">
        <v>6.5</v>
      </c>
      <c r="CW179" s="740">
        <v>6.5</v>
      </c>
      <c r="CX179" s="740">
        <v>6.5</v>
      </c>
      <c r="CY179" s="740">
        <v>6.5</v>
      </c>
      <c r="CZ179" s="740">
        <v>6.5</v>
      </c>
      <c r="DA179" s="740">
        <v>6.5</v>
      </c>
      <c r="DB179" s="740">
        <v>6.5</v>
      </c>
    </row>
    <row r="180" spans="1:119" ht="12.75" hidden="1" customHeight="1">
      <c r="C180" s="3072"/>
      <c r="D180" s="717"/>
      <c r="E180" s="3068" t="s">
        <v>266</v>
      </c>
      <c r="F180" s="3634"/>
      <c r="G180" s="2854"/>
      <c r="H180" s="2854"/>
      <c r="I180" s="2854"/>
      <c r="J180" s="2854"/>
      <c r="K180" s="2854"/>
      <c r="L180" s="2854"/>
      <c r="M180" s="2854"/>
      <c r="N180" s="1608">
        <f>N167/J167*100-100</f>
        <v>29.705263908193444</v>
      </c>
      <c r="O180" s="2854"/>
      <c r="P180" s="2854"/>
      <c r="Q180" s="2854"/>
      <c r="R180" s="1608">
        <f>R167/N167*100-100</f>
        <v>20.78914106720886</v>
      </c>
      <c r="S180" s="2854"/>
      <c r="T180" s="2854"/>
      <c r="U180" s="2854"/>
      <c r="V180" s="1608">
        <f>V167/R167*100-100</f>
        <v>12.00181983621475</v>
      </c>
      <c r="W180" s="2854"/>
      <c r="X180" s="2854"/>
      <c r="Y180" s="2854"/>
      <c r="Z180" s="1608">
        <f>Z167/V167*100-100</f>
        <v>0.31481030140547261</v>
      </c>
      <c r="AA180" s="2854"/>
      <c r="AB180" s="2854"/>
      <c r="AC180" s="2854"/>
      <c r="AD180" s="1608">
        <f>AD167/Z167*100-100</f>
        <v>-6.2602498430888431</v>
      </c>
      <c r="AE180" s="2854"/>
      <c r="AF180" s="2854"/>
      <c r="AG180" s="2854"/>
      <c r="AH180" s="1608">
        <f>AH167/AD167*100-100</f>
        <v>8.8554828398021783</v>
      </c>
      <c r="AI180" s="2854"/>
      <c r="AJ180" s="2854"/>
      <c r="AK180" s="2854"/>
      <c r="AL180" s="1608">
        <f>AL167/AH167*100-100</f>
        <v>16.476517391218053</v>
      </c>
      <c r="AM180" s="2854"/>
      <c r="AN180" s="2854"/>
      <c r="AO180" s="2854"/>
      <c r="AP180" s="1608">
        <f>AP167/AL167*100-100</f>
        <v>5.841268759688603</v>
      </c>
      <c r="AQ180" s="2854"/>
      <c r="AR180" s="2854"/>
      <c r="AS180" s="2854"/>
      <c r="AT180" s="1608">
        <f>AT167/AP167*100-100</f>
        <v>11.958411124702238</v>
      </c>
      <c r="AU180" s="2854"/>
      <c r="AV180" s="2854"/>
      <c r="AW180" s="2854"/>
      <c r="AX180" s="1608" t="e">
        <f>AX167/AT167*100-100</f>
        <v>#VALUE!</v>
      </c>
      <c r="AY180" s="2854"/>
      <c r="AZ180" s="2854"/>
      <c r="BA180" s="2854"/>
      <c r="BB180" s="1608" t="e">
        <f>BB167/AX167*100-100</f>
        <v>#VALUE!</v>
      </c>
      <c r="BC180" s="2854"/>
      <c r="BD180" s="2854"/>
      <c r="BE180" s="2854"/>
      <c r="BF180" s="1608" t="e">
        <f>BF167/BB167*100-100</f>
        <v>#VALUE!</v>
      </c>
      <c r="BG180" s="2854"/>
      <c r="BH180" s="2854"/>
      <c r="BI180" s="2854"/>
      <c r="BJ180" s="1608" t="e">
        <f>BJ167/BF167*100-100</f>
        <v>#VALUE!</v>
      </c>
      <c r="BK180" s="2854"/>
      <c r="BL180" s="2854"/>
      <c r="BM180" s="2854"/>
      <c r="BN180" s="1610" t="e">
        <f>BN167/BJ167*100-100</f>
        <v>#VALUE!</v>
      </c>
      <c r="BO180" s="2854"/>
      <c r="BP180" s="2854"/>
      <c r="BQ180" s="2854"/>
      <c r="BR180" s="1610" t="e">
        <f>BR167/BN167*100-100</f>
        <v>#VALUE!</v>
      </c>
      <c r="BS180" s="2854"/>
      <c r="BT180" s="2854"/>
      <c r="BU180" s="2854"/>
      <c r="BV180" s="1610" t="e">
        <f>BV167/BR167*100-100</f>
        <v>#VALUE!</v>
      </c>
      <c r="BW180" s="2854"/>
      <c r="BX180" s="2854"/>
      <c r="BY180" s="2854"/>
      <c r="BZ180" s="1610" t="e">
        <f>BZ167/BV167*100-100</f>
        <v>#VALUE!</v>
      </c>
      <c r="CA180" s="2854"/>
      <c r="CB180" s="2854"/>
      <c r="CC180" s="2854"/>
      <c r="CD180" s="1610" t="e">
        <f>CD167/BZ167*100-100</f>
        <v>#VALUE!</v>
      </c>
      <c r="CE180" s="2854"/>
      <c r="CF180" s="2854"/>
      <c r="CG180" s="2854"/>
      <c r="CH180" s="1610" t="e">
        <f>CH167/CD167*100-100</f>
        <v>#VALUE!</v>
      </c>
      <c r="CI180" s="2854"/>
      <c r="CJ180" s="2854"/>
      <c r="CK180" s="2854"/>
      <c r="CL180" s="1610" t="e">
        <f>CL167/CH167*100-100</f>
        <v>#VALUE!</v>
      </c>
      <c r="CM180" s="2854"/>
      <c r="CN180" s="2854"/>
      <c r="CO180" s="2854"/>
      <c r="CP180" s="1610" t="e">
        <f>CP167/CL167*100-100</f>
        <v>#VALUE!</v>
      </c>
      <c r="CQ180" s="2854"/>
      <c r="CR180" s="2854"/>
      <c r="CS180" s="2854"/>
      <c r="CT180" s="1610" t="e">
        <f>CT167/CP167*100-100</f>
        <v>#VALUE!</v>
      </c>
      <c r="CU180" s="2854"/>
      <c r="CV180" s="2854"/>
      <c r="CW180" s="2854"/>
      <c r="CX180" s="1610" t="e">
        <f>CX167/CT167*100-100</f>
        <v>#VALUE!</v>
      </c>
      <c r="CY180" s="2854"/>
      <c r="CZ180" s="2854"/>
      <c r="DA180" s="2854"/>
      <c r="DB180" s="1610" t="e">
        <f>DB167/CX167*100-100</f>
        <v>#VALUE!</v>
      </c>
    </row>
    <row r="181" spans="1:119" ht="12.75" hidden="1" customHeight="1">
      <c r="C181" s="3072"/>
      <c r="D181" s="717"/>
      <c r="E181" s="3068" t="s">
        <v>1847</v>
      </c>
      <c r="F181" s="3634"/>
      <c r="G181" s="2854"/>
      <c r="H181" s="2854"/>
      <c r="I181" s="2854"/>
      <c r="J181" s="2854"/>
      <c r="K181" s="2854"/>
      <c r="L181" s="2854"/>
      <c r="M181" s="2854"/>
      <c r="N181" s="1599">
        <f ca="1">N168/J168*100-100</f>
        <v>30.04204452654443</v>
      </c>
      <c r="O181" s="2854"/>
      <c r="P181" s="2854"/>
      <c r="Q181" s="2854"/>
      <c r="R181" s="1599">
        <f ca="1">R168/N168*100-100</f>
        <v>20.449733998793391</v>
      </c>
      <c r="S181" s="2854"/>
      <c r="T181" s="2854"/>
      <c r="U181" s="2854"/>
      <c r="V181" s="1599">
        <f ca="1">V168/R168*100-100</f>
        <v>12.019388387002763</v>
      </c>
      <c r="W181" s="2854"/>
      <c r="X181" s="2854"/>
      <c r="Y181" s="2854"/>
      <c r="Z181" s="1599">
        <f ca="1">Z168/V168*100-100</f>
        <v>0.29612316447334308</v>
      </c>
      <c r="AA181" s="2854"/>
      <c r="AB181" s="2854"/>
      <c r="AC181" s="2854"/>
      <c r="AD181" s="1599">
        <f ca="1">AD168/Z168*100-100</f>
        <v>-5.956448259510978</v>
      </c>
      <c r="AE181" s="2854"/>
      <c r="AF181" s="2854"/>
      <c r="AG181" s="2854"/>
      <c r="AH181" s="1599">
        <f ca="1">AH168/AD168*100-100</f>
        <v>8.5309251693644512</v>
      </c>
      <c r="AI181" s="2854"/>
      <c r="AJ181" s="2854"/>
      <c r="AK181" s="2854"/>
      <c r="AL181" s="1599">
        <f ca="1">AL168/AH168*100-100</f>
        <v>16.46524870006489</v>
      </c>
      <c r="AM181" s="2854"/>
      <c r="AN181" s="2854"/>
      <c r="AO181" s="2854"/>
      <c r="AP181" s="1599">
        <f ca="1">AP168/AL168*100-100</f>
        <v>5.8212341739244806</v>
      </c>
      <c r="AQ181" s="2854"/>
      <c r="AR181" s="2854"/>
      <c r="AS181" s="2854"/>
      <c r="AT181" s="1599">
        <f ca="1">AT168/AP168*100-100</f>
        <v>11.831940763563196</v>
      </c>
      <c r="AU181" s="2854"/>
      <c r="AV181" s="2854"/>
      <c r="AW181" s="2854"/>
      <c r="AX181" s="1599">
        <f ca="1">AX168/AT168*100-100</f>
        <v>7.9162320586463721</v>
      </c>
      <c r="AY181" s="2854"/>
      <c r="AZ181" s="2854"/>
      <c r="BA181" s="2854"/>
      <c r="BB181" s="1599">
        <f ca="1">BB168/AX168*100-100</f>
        <v>10.105503182112102</v>
      </c>
      <c r="BC181" s="2854"/>
      <c r="BD181" s="2854"/>
      <c r="BE181" s="2854"/>
      <c r="BF181" s="1599">
        <f ca="1">BF168/BB168*100-100</f>
        <v>0.53968342281692117</v>
      </c>
      <c r="BG181" s="2854"/>
      <c r="BH181" s="2854"/>
      <c r="BI181" s="2854"/>
      <c r="BJ181" s="1599">
        <f ca="1">BJ168/BF168*100-100</f>
        <v>3.8881664099560567</v>
      </c>
      <c r="BK181" s="2854"/>
      <c r="BL181" s="2854"/>
      <c r="BM181" s="2854"/>
      <c r="BN181" s="1612">
        <f ca="1">BN168/BJ168*100-100</f>
        <v>-12.394204476852238</v>
      </c>
      <c r="BO181" s="2854"/>
      <c r="BP181" s="2854"/>
      <c r="BQ181" s="2854"/>
      <c r="BR181" s="1612">
        <f ca="1">BR168/BN168*100-100</f>
        <v>15.62421883972786</v>
      </c>
      <c r="BS181" s="2854"/>
      <c r="BT181" s="2854"/>
      <c r="BU181" s="2854"/>
      <c r="BV181" s="1612">
        <f ca="1">BV168/BR168*100-100</f>
        <v>14.826154659686154</v>
      </c>
      <c r="BW181" s="2854"/>
      <c r="BX181" s="2854"/>
      <c r="BY181" s="2854"/>
      <c r="BZ181" s="1612">
        <f ca="1">BZ168/BV168*100-100</f>
        <v>16.130370068823382</v>
      </c>
      <c r="CA181" s="2854"/>
      <c r="CB181" s="2854"/>
      <c r="CC181" s="2854"/>
      <c r="CD181" s="1612">
        <f ca="1">CD168/BZ168*100-100</f>
        <v>12.494933538986004</v>
      </c>
      <c r="CE181" s="2854"/>
      <c r="CF181" s="2854"/>
      <c r="CG181" s="2854"/>
      <c r="CH181" s="3347">
        <f ca="1">CH168/CD168*100-100</f>
        <v>9.7412866335322406</v>
      </c>
      <c r="CI181" s="2854"/>
      <c r="CJ181" s="2854"/>
      <c r="CK181" s="2854"/>
      <c r="CL181" s="1612">
        <f ca="1">CL168/CH168*100-100</f>
        <v>1.3292350066195695</v>
      </c>
      <c r="CM181" s="2854"/>
      <c r="CN181" s="2854"/>
      <c r="CO181" s="2854"/>
      <c r="CP181" s="1612">
        <f ca="1">CP168/CL168*100-100</f>
        <v>11.121385987403954</v>
      </c>
      <c r="CQ181" s="2854"/>
      <c r="CR181" s="2854"/>
      <c r="CS181" s="2854"/>
      <c r="CT181" s="1612">
        <f ca="1">CT168/CP168*100-100</f>
        <v>16.520666002597423</v>
      </c>
      <c r="CU181" s="2854"/>
      <c r="CV181" s="2854"/>
      <c r="CW181" s="2854"/>
      <c r="CX181" s="1612">
        <f ca="1">CX168/CT168*100-100</f>
        <v>6.5</v>
      </c>
      <c r="CY181" s="2854"/>
      <c r="CZ181" s="2854"/>
      <c r="DA181" s="2854"/>
      <c r="DB181" s="1612">
        <f ca="1">DB168/CX168*100-100</f>
        <v>4.5</v>
      </c>
    </row>
    <row r="182" spans="1:119" ht="12.75" hidden="1" customHeight="1">
      <c r="C182" s="3072"/>
      <c r="D182" s="674"/>
      <c r="E182" s="3635" t="s">
        <v>616</v>
      </c>
      <c r="F182" s="3057"/>
      <c r="G182" s="2853"/>
      <c r="H182" s="2853">
        <f>(H169/G169-1)*100</f>
        <v>-425.88235294118385</v>
      </c>
      <c r="I182" s="2853">
        <f t="shared" ref="I182:BN182" si="445">(I169/H169-1)*100</f>
        <v>-51.98555956678328</v>
      </c>
      <c r="J182" s="2853">
        <f t="shared" si="445"/>
        <v>-36.090225563914004</v>
      </c>
      <c r="K182" s="2853">
        <f t="shared" si="445"/>
        <v>217.6470588235386</v>
      </c>
      <c r="L182" s="2853">
        <f t="shared" si="445"/>
        <v>12.9629629629608</v>
      </c>
      <c r="M182" s="2853">
        <f t="shared" si="445"/>
        <v>-105.57377049180197</v>
      </c>
      <c r="N182" s="2853">
        <f t="shared" si="445"/>
        <v>-1535.294117647403</v>
      </c>
      <c r="O182" s="2853">
        <f t="shared" si="445"/>
        <v>265.57377049180258</v>
      </c>
      <c r="P182" s="2853">
        <f t="shared" si="445"/>
        <v>-125.67264573991037</v>
      </c>
      <c r="Q182" s="2853">
        <f t="shared" si="445"/>
        <v>-171.17903930130876</v>
      </c>
      <c r="R182" s="2853">
        <f t="shared" si="445"/>
        <v>199.38650306748764</v>
      </c>
      <c r="S182" s="2853">
        <f t="shared" si="445"/>
        <v>-100.40983606557728</v>
      </c>
      <c r="T182" s="2853">
        <f t="shared" si="445"/>
        <v>-32749.999999720352</v>
      </c>
      <c r="U182" s="2853">
        <f t="shared" si="445"/>
        <v>-100.45941807044363</v>
      </c>
      <c r="V182" s="2853">
        <f t="shared" si="445"/>
        <v>-14766.666666681487</v>
      </c>
      <c r="W182" s="2853">
        <f t="shared" si="445"/>
        <v>-21.818181818181117</v>
      </c>
      <c r="X182" s="2853">
        <f t="shared" si="445"/>
        <v>-109.0116279069798</v>
      </c>
      <c r="Y182" s="2853">
        <f t="shared" si="445"/>
        <v>735.48387096744023</v>
      </c>
      <c r="Z182" s="2853">
        <f t="shared" si="445"/>
        <v>-217.76061776062073</v>
      </c>
      <c r="AA182" s="2853">
        <f t="shared" si="445"/>
        <v>-14.42622950819954</v>
      </c>
      <c r="AB182" s="2853">
        <f t="shared" si="445"/>
        <v>-32.567049808424741</v>
      </c>
      <c r="AC182" s="2853">
        <f t="shared" si="445"/>
        <v>-268.18181818180824</v>
      </c>
      <c r="AD182" s="2853">
        <f t="shared" si="445"/>
        <v>-144.25675675675924</v>
      </c>
      <c r="AE182" s="2853">
        <f t="shared" si="445"/>
        <v>-464.88549618319774</v>
      </c>
      <c r="AF182" s="2853">
        <f t="shared" si="445"/>
        <v>-218.6192468619235</v>
      </c>
      <c r="AG182" s="2853">
        <f t="shared" si="445"/>
        <v>-88.359788359790102</v>
      </c>
      <c r="AH182" s="2853">
        <f t="shared" si="445"/>
        <v>522.72727272736915</v>
      </c>
      <c r="AI182" s="2853">
        <f t="shared" si="445"/>
        <v>69.586374695863711</v>
      </c>
      <c r="AJ182" s="2853">
        <f t="shared" si="445"/>
        <v>-185.36585365853563</v>
      </c>
      <c r="AK182" s="2853">
        <f t="shared" si="445"/>
        <v>-132.10084033613444</v>
      </c>
      <c r="AL182" s="2853">
        <f t="shared" si="445"/>
        <v>163.87434554973672</v>
      </c>
      <c r="AM182" s="2853">
        <f t="shared" si="445"/>
        <v>-199.00793650794094</v>
      </c>
      <c r="AN182" s="2853">
        <f t="shared" si="445"/>
        <v>-262.12424849699084</v>
      </c>
      <c r="AO182" s="2853">
        <f t="shared" si="445"/>
        <v>-59.085290482078619</v>
      </c>
      <c r="AP182" s="2853">
        <f t="shared" si="445"/>
        <v>41.389728096687527</v>
      </c>
      <c r="AQ182" s="2853">
        <f t="shared" si="445"/>
        <v>-51.923076923079591</v>
      </c>
      <c r="AR182" s="2853">
        <f t="shared" si="445"/>
        <v>54.222222222223948</v>
      </c>
      <c r="AS182" s="2853">
        <f t="shared" si="445"/>
        <v>-174.92795389048888</v>
      </c>
      <c r="AT182" s="2853">
        <f t="shared" si="445"/>
        <v>-181.53846153846678</v>
      </c>
      <c r="AU182" s="2853" t="e">
        <f t="shared" si="445"/>
        <v>#VALUE!</v>
      </c>
      <c r="AV182" s="2853" t="e">
        <f t="shared" si="445"/>
        <v>#VALUE!</v>
      </c>
      <c r="AW182" s="2853" t="e">
        <f t="shared" si="445"/>
        <v>#VALUE!</v>
      </c>
      <c r="AX182" s="2853" t="e">
        <f t="shared" si="445"/>
        <v>#VALUE!</v>
      </c>
      <c r="AY182" s="2853" t="e">
        <f t="shared" si="445"/>
        <v>#VALUE!</v>
      </c>
      <c r="AZ182" s="2853" t="e">
        <f t="shared" si="445"/>
        <v>#VALUE!</v>
      </c>
      <c r="BA182" s="2853" t="e">
        <f t="shared" si="445"/>
        <v>#VALUE!</v>
      </c>
      <c r="BB182" s="2853" t="e">
        <f t="shared" si="445"/>
        <v>#VALUE!</v>
      </c>
      <c r="BC182" s="2853" t="e">
        <f t="shared" si="445"/>
        <v>#VALUE!</v>
      </c>
      <c r="BD182" s="2853" t="e">
        <f t="shared" si="445"/>
        <v>#VALUE!</v>
      </c>
      <c r="BE182" s="2853" t="e">
        <f t="shared" si="445"/>
        <v>#VALUE!</v>
      </c>
      <c r="BF182" s="2853" t="e">
        <f t="shared" si="445"/>
        <v>#VALUE!</v>
      </c>
      <c r="BG182" s="2853" t="e">
        <f t="shared" si="445"/>
        <v>#VALUE!</v>
      </c>
      <c r="BH182" s="2853" t="e">
        <f t="shared" si="445"/>
        <v>#VALUE!</v>
      </c>
      <c r="BI182" s="2853" t="e">
        <f t="shared" si="445"/>
        <v>#VALUE!</v>
      </c>
      <c r="BJ182" s="2853" t="e">
        <f t="shared" si="445"/>
        <v>#VALUE!</v>
      </c>
      <c r="BK182" s="2853" t="e">
        <f t="shared" si="445"/>
        <v>#VALUE!</v>
      </c>
      <c r="BL182" s="2853" t="e">
        <f t="shared" si="445"/>
        <v>#VALUE!</v>
      </c>
      <c r="BM182" s="2853" t="e">
        <f t="shared" si="445"/>
        <v>#VALUE!</v>
      </c>
      <c r="BN182" s="2853" t="e">
        <f t="shared" si="445"/>
        <v>#VALUE!</v>
      </c>
      <c r="BO182" s="2853" t="e">
        <f t="shared" ref="BO182:BV182" si="446">(BO169/BN169-1)*100</f>
        <v>#VALUE!</v>
      </c>
      <c r="BP182" s="2853" t="e">
        <f t="shared" si="446"/>
        <v>#VALUE!</v>
      </c>
      <c r="BQ182" s="2853" t="e">
        <f t="shared" si="446"/>
        <v>#VALUE!</v>
      </c>
      <c r="BR182" s="2853" t="e">
        <f t="shared" si="446"/>
        <v>#VALUE!</v>
      </c>
      <c r="BS182" s="2853" t="e">
        <f t="shared" si="446"/>
        <v>#VALUE!</v>
      </c>
      <c r="BT182" s="2853" t="e">
        <f t="shared" si="446"/>
        <v>#VALUE!</v>
      </c>
      <c r="BU182" s="2853" t="e">
        <f t="shared" si="446"/>
        <v>#VALUE!</v>
      </c>
      <c r="BV182" s="2853" t="e">
        <f t="shared" si="446"/>
        <v>#VALUE!</v>
      </c>
      <c r="BW182" s="2853" t="e">
        <f t="shared" ref="BW182:CD182" si="447">(BW169/BV169-1)*100</f>
        <v>#VALUE!</v>
      </c>
      <c r="BX182" s="2853" t="e">
        <f t="shared" si="447"/>
        <v>#VALUE!</v>
      </c>
      <c r="BY182" s="2853" t="e">
        <f t="shared" si="447"/>
        <v>#VALUE!</v>
      </c>
      <c r="BZ182" s="2853" t="e">
        <f t="shared" si="447"/>
        <v>#VALUE!</v>
      </c>
      <c r="CA182" s="2853" t="e">
        <f t="shared" si="447"/>
        <v>#VALUE!</v>
      </c>
      <c r="CB182" s="2853" t="e">
        <f t="shared" si="447"/>
        <v>#VALUE!</v>
      </c>
      <c r="CC182" s="2853" t="e">
        <f t="shared" si="447"/>
        <v>#VALUE!</v>
      </c>
      <c r="CD182" s="2853" t="e">
        <f t="shared" si="447"/>
        <v>#VALUE!</v>
      </c>
      <c r="CE182" s="2853" t="e">
        <f t="shared" ref="CE182:CL182" si="448">(CE169/CD169-1)*100</f>
        <v>#VALUE!</v>
      </c>
      <c r="CF182" s="2853" t="e">
        <f t="shared" si="448"/>
        <v>#VALUE!</v>
      </c>
      <c r="CG182" s="2853" t="e">
        <f t="shared" si="448"/>
        <v>#VALUE!</v>
      </c>
      <c r="CH182" s="2853" t="e">
        <f t="shared" si="448"/>
        <v>#VALUE!</v>
      </c>
      <c r="CI182" s="2853" t="e">
        <f t="shared" si="448"/>
        <v>#VALUE!</v>
      </c>
      <c r="CJ182" s="2853" t="e">
        <f t="shared" si="448"/>
        <v>#VALUE!</v>
      </c>
      <c r="CK182" s="2853" t="e">
        <f t="shared" si="448"/>
        <v>#VALUE!</v>
      </c>
      <c r="CL182" s="2853" t="e">
        <f t="shared" si="448"/>
        <v>#VALUE!</v>
      </c>
      <c r="CM182" s="2853" t="e">
        <f t="shared" ref="CM182:CT182" si="449">(CM169/CL169-1)*100</f>
        <v>#VALUE!</v>
      </c>
      <c r="CN182" s="2853" t="e">
        <f t="shared" si="449"/>
        <v>#VALUE!</v>
      </c>
      <c r="CO182" s="2853" t="e">
        <f t="shared" si="449"/>
        <v>#VALUE!</v>
      </c>
      <c r="CP182" s="2853" t="e">
        <f t="shared" si="449"/>
        <v>#VALUE!</v>
      </c>
      <c r="CQ182" s="2853" t="e">
        <f t="shared" si="449"/>
        <v>#VALUE!</v>
      </c>
      <c r="CR182" s="2853" t="e">
        <f t="shared" si="449"/>
        <v>#VALUE!</v>
      </c>
      <c r="CS182" s="2853" t="e">
        <f t="shared" si="449"/>
        <v>#VALUE!</v>
      </c>
      <c r="CT182" s="2853" t="e">
        <f t="shared" si="449"/>
        <v>#VALUE!</v>
      </c>
      <c r="CU182" s="2853" t="e">
        <f t="shared" ref="CU182:DB182" si="450">(CU169/CT169-1)*100</f>
        <v>#VALUE!</v>
      </c>
      <c r="CV182" s="2853" t="e">
        <f t="shared" si="450"/>
        <v>#VALUE!</v>
      </c>
      <c r="CW182" s="2853" t="e">
        <f t="shared" si="450"/>
        <v>#VALUE!</v>
      </c>
      <c r="CX182" s="2853" t="e">
        <f t="shared" si="450"/>
        <v>#VALUE!</v>
      </c>
      <c r="CY182" s="2853" t="e">
        <f t="shared" si="450"/>
        <v>#VALUE!</v>
      </c>
      <c r="CZ182" s="2853" t="e">
        <f t="shared" si="450"/>
        <v>#VALUE!</v>
      </c>
      <c r="DA182" s="2853" t="e">
        <f t="shared" si="450"/>
        <v>#VALUE!</v>
      </c>
      <c r="DB182" s="2853" t="e">
        <f t="shared" si="450"/>
        <v>#VALUE!</v>
      </c>
    </row>
    <row r="183" spans="1:119">
      <c r="C183" s="3072"/>
      <c r="D183" s="717"/>
      <c r="E183" s="3636" t="s">
        <v>1788</v>
      </c>
      <c r="F183" s="3634"/>
      <c r="G183" s="2854"/>
      <c r="H183" s="2854">
        <f>(H170/G170-1)*100</f>
        <v>3.2939762812810303</v>
      </c>
      <c r="I183" s="2854">
        <f t="shared" ref="I183:BJ183" si="451">(I170/H170-1)*100</f>
        <v>4.2965885238853696</v>
      </c>
      <c r="J183" s="2854">
        <f t="shared" si="451"/>
        <v>3.8140730323456884</v>
      </c>
      <c r="K183" s="2854">
        <f t="shared" si="451"/>
        <v>5.3976410136634456</v>
      </c>
      <c r="L183" s="2854">
        <f t="shared" si="451"/>
        <v>3.2597615565306048</v>
      </c>
      <c r="M183" s="2854">
        <f t="shared" si="451"/>
        <v>5.5840504753524645</v>
      </c>
      <c r="N183" s="2854">
        <f t="shared" si="451"/>
        <v>5.0122969979064846</v>
      </c>
      <c r="O183" s="2854">
        <f t="shared" si="451"/>
        <v>3.9969031259072807</v>
      </c>
      <c r="P183" s="2854">
        <f t="shared" si="451"/>
        <v>2.9815745393634741</v>
      </c>
      <c r="Q183" s="2854">
        <f t="shared" si="451"/>
        <v>2.150654232632121</v>
      </c>
      <c r="R183" s="2854">
        <f t="shared" si="451"/>
        <v>8.6851137610133975</v>
      </c>
      <c r="S183" s="2854">
        <f t="shared" si="451"/>
        <v>2.9545343556185211</v>
      </c>
      <c r="T183" s="2854">
        <f t="shared" si="451"/>
        <v>-1.3360528729089771</v>
      </c>
      <c r="U183" s="2854">
        <f t="shared" si="451"/>
        <v>-6.464639989743759</v>
      </c>
      <c r="V183" s="2854">
        <f t="shared" si="451"/>
        <v>-5.712131855329206</v>
      </c>
      <c r="W183" s="2854">
        <f t="shared" si="451"/>
        <v>-5.5221412606981328</v>
      </c>
      <c r="X183" s="2854">
        <f t="shared" si="451"/>
        <v>-4.9967303919682848</v>
      </c>
      <c r="Y183" s="2854">
        <f t="shared" si="451"/>
        <v>-0.80168434691070267</v>
      </c>
      <c r="Z183" s="2854">
        <f t="shared" si="451"/>
        <v>-1.0061224489795961</v>
      </c>
      <c r="AA183" s="2854">
        <f t="shared" si="451"/>
        <v>8.5121735007318566</v>
      </c>
      <c r="AB183" s="2854">
        <f t="shared" si="451"/>
        <v>0.68014286799908952</v>
      </c>
      <c r="AC183" s="2854">
        <f t="shared" si="451"/>
        <v>7.4687700494395548</v>
      </c>
      <c r="AD183" s="2854">
        <f t="shared" si="451"/>
        <v>0.45301306363254579</v>
      </c>
      <c r="AE183" s="2854">
        <f t="shared" si="451"/>
        <v>10.12060828526482</v>
      </c>
      <c r="AF183" s="2854">
        <f t="shared" si="451"/>
        <v>3.9365079365079492</v>
      </c>
      <c r="AG183" s="2854">
        <f t="shared" si="451"/>
        <v>2.6389737324373774</v>
      </c>
      <c r="AH183" s="2854">
        <f t="shared" si="451"/>
        <v>4.1230210689203739</v>
      </c>
      <c r="AI183" s="2854">
        <f t="shared" si="451"/>
        <v>4.9271924434473036</v>
      </c>
      <c r="AJ183" s="2854">
        <f t="shared" si="451"/>
        <v>8.348427690086746</v>
      </c>
      <c r="AK183" s="2854">
        <f t="shared" si="451"/>
        <v>-1.3135236371406567</v>
      </c>
      <c r="AL183" s="2854">
        <f t="shared" si="451"/>
        <v>5.7443448135316988</v>
      </c>
      <c r="AM183" s="2854">
        <f t="shared" si="451"/>
        <v>5.8213485582134794</v>
      </c>
      <c r="AN183" s="2854">
        <f t="shared" si="451"/>
        <v>-7.8151499630072401</v>
      </c>
      <c r="AO183" s="2854">
        <f t="shared" si="451"/>
        <v>3.7017372729630127</v>
      </c>
      <c r="AP183" s="2854">
        <f t="shared" si="451"/>
        <v>3.3064640956338209</v>
      </c>
      <c r="AQ183" s="2854">
        <f t="shared" si="451"/>
        <v>-5.1426859065971886</v>
      </c>
      <c r="AR183" s="2854">
        <f t="shared" si="451"/>
        <v>4.4032951811620702</v>
      </c>
      <c r="AS183" s="2854">
        <f t="shared" si="451"/>
        <v>4.7284873030281505</v>
      </c>
      <c r="AT183" s="2854">
        <f t="shared" si="451"/>
        <v>5.3573214503995104</v>
      </c>
      <c r="AU183" s="2854">
        <f t="shared" si="451"/>
        <v>14.330981120135021</v>
      </c>
      <c r="AV183" s="2854">
        <f t="shared" si="451"/>
        <v>3.7714212906924782</v>
      </c>
      <c r="AW183" s="2854">
        <f t="shared" si="451"/>
        <v>5.0432807416047609</v>
      </c>
      <c r="AX183" s="2854">
        <f t="shared" si="451"/>
        <v>3.985856637737073</v>
      </c>
      <c r="AY183" s="2854">
        <f t="shared" si="451"/>
        <v>4.4513137557959714</v>
      </c>
      <c r="AZ183" s="2854">
        <f t="shared" si="451"/>
        <v>2.0097392988780882</v>
      </c>
      <c r="BA183" s="2854">
        <f t="shared" si="451"/>
        <v>-1.645743221858853</v>
      </c>
      <c r="BB183" s="2854">
        <f t="shared" si="451"/>
        <v>2.7673495655904823</v>
      </c>
      <c r="BC183" s="2854">
        <f t="shared" si="451"/>
        <v>-2.0326688237136015</v>
      </c>
      <c r="BD183" s="2854">
        <f t="shared" si="451"/>
        <v>0.41017445731788005</v>
      </c>
      <c r="BE183" s="2854">
        <f t="shared" si="451"/>
        <v>5.9815910236345804</v>
      </c>
      <c r="BF183" s="2854">
        <f t="shared" si="451"/>
        <v>0.83846423386895186</v>
      </c>
      <c r="BG183" s="2854">
        <f t="shared" si="451"/>
        <v>8.8113380823549683</v>
      </c>
      <c r="BH183" s="2854">
        <f t="shared" si="451"/>
        <v>4.103651999361313</v>
      </c>
      <c r="BI183" s="2854">
        <f t="shared" si="451"/>
        <v>-2.9492966387659525</v>
      </c>
      <c r="BJ183" s="2854">
        <f t="shared" si="451"/>
        <v>-2.9734489298293032</v>
      </c>
      <c r="BK183" s="2854">
        <f t="shared" ref="BK183:BV183" si="452">IF(UPPER($F184)="N",BK184,(BJ163*BK176+BJ166*BK179)/(BJ163+BJ166))</f>
        <v>-7.7649796393251975</v>
      </c>
      <c r="BL183" s="2854">
        <f t="shared" si="452"/>
        <v>-6.3751955194510268</v>
      </c>
      <c r="BM183" s="2854">
        <f t="shared" si="452"/>
        <v>2.1071919377004145</v>
      </c>
      <c r="BN183" s="2854">
        <f t="shared" si="452"/>
        <v>3.6497506135697799</v>
      </c>
      <c r="BO183" s="2854">
        <f t="shared" si="452"/>
        <v>6.0342193706080183</v>
      </c>
      <c r="BP183" s="2854">
        <f t="shared" si="452"/>
        <v>7.9071219324785114</v>
      </c>
      <c r="BQ183" s="2854">
        <f t="shared" si="452"/>
        <v>4.8821736131200222</v>
      </c>
      <c r="BR183" s="2854">
        <f t="shared" si="452"/>
        <v>5.1450151698385405</v>
      </c>
      <c r="BS183" s="2854">
        <f t="shared" si="452"/>
        <v>3.0529884176116795</v>
      </c>
      <c r="BT183" s="2854">
        <f t="shared" si="452"/>
        <v>3.2562511014078366</v>
      </c>
      <c r="BU183" s="2854">
        <f t="shared" si="452"/>
        <v>1.3596541130959316</v>
      </c>
      <c r="BV183" s="2854">
        <f t="shared" si="452"/>
        <v>1.1262651774522459</v>
      </c>
      <c r="BW183" s="2854">
        <f t="shared" ref="BW183:CD183" si="453">IF(UPPER($F184)="N",BW184,(BV163*BW176+BV166*BW179)/(BV163+BV166))</f>
        <v>4.2680332266479049</v>
      </c>
      <c r="BX183" s="2854">
        <f t="shared" si="453"/>
        <v>2.7980837473385201</v>
      </c>
      <c r="BY183" s="2854">
        <f t="shared" si="453"/>
        <v>4.2339092462502448</v>
      </c>
      <c r="BZ183" s="2854">
        <f t="shared" si="453"/>
        <v>4.0668984931280017</v>
      </c>
      <c r="CA183" s="2854">
        <f t="shared" si="453"/>
        <v>2.7320752315183272</v>
      </c>
      <c r="CB183" s="2854">
        <f t="shared" si="453"/>
        <v>9.4481359292464262E-2</v>
      </c>
      <c r="CC183" s="2854">
        <f t="shared" si="453"/>
        <v>1.341606833374609</v>
      </c>
      <c r="CD183" s="2854">
        <f t="shared" si="453"/>
        <v>1.1329801041364496</v>
      </c>
      <c r="CE183" s="2854">
        <f t="shared" ref="CE183:CL183" si="454">IF(UPPER($F184)="N",CE184,(CD163*CE176+CD166*CE179)/(CD163+CD166))</f>
        <v>0.13739374631980272</v>
      </c>
      <c r="CF183" s="2854">
        <f t="shared" si="454"/>
        <v>2.0520475242747915</v>
      </c>
      <c r="CG183" s="2854">
        <f t="shared" si="454"/>
        <v>0.38413237792715993</v>
      </c>
      <c r="CH183" s="2854">
        <f t="shared" si="454"/>
        <v>-0.46213849437044541</v>
      </c>
      <c r="CI183" s="2854">
        <f t="shared" si="454"/>
        <v>-1.3248362437343952</v>
      </c>
      <c r="CJ183" s="2854">
        <f t="shared" si="454"/>
        <v>0.35513598561474069</v>
      </c>
      <c r="CK183" s="2854">
        <f t="shared" si="454"/>
        <v>0.19709729439170154</v>
      </c>
      <c r="CL183" s="2854">
        <f t="shared" si="454"/>
        <v>0.68252265140675838</v>
      </c>
      <c r="CM183" s="2854">
        <f t="shared" ref="CM183:CT183" si="455">IF(UPPER($F184)="N",CM184,(CL163*CM176+CL166*CM179)/(CL163+CL166))</f>
        <v>0.63497232171931817</v>
      </c>
      <c r="CN183" s="2854">
        <f t="shared" si="455"/>
        <v>0.6471444750040467</v>
      </c>
      <c r="CO183" s="2854">
        <f t="shared" si="455"/>
        <v>1.9874033698177751</v>
      </c>
      <c r="CP183" s="2854">
        <f t="shared" si="455"/>
        <v>2.4530383573813319</v>
      </c>
      <c r="CQ183" s="2854">
        <f t="shared" si="455"/>
        <v>4.7914073535376023</v>
      </c>
      <c r="CR183" s="2854">
        <f t="shared" si="455"/>
        <v>3.7902547745198856</v>
      </c>
      <c r="CS183" s="2854">
        <f t="shared" si="455"/>
        <v>2.7967442039887436</v>
      </c>
      <c r="CT183" s="2854">
        <f t="shared" si="455"/>
        <v>2.593065145601936</v>
      </c>
      <c r="CU183" s="2854">
        <f t="shared" ref="CU183:DB183" si="456">IF(UPPER($F184)="N",CU184,(CT163*CU176+CT166*CU179)/(CT163+CT166))</f>
        <v>0.4</v>
      </c>
      <c r="CV183" s="2854">
        <f t="shared" si="456"/>
        <v>0.4</v>
      </c>
      <c r="CW183" s="2854">
        <f t="shared" si="456"/>
        <v>0.55000000000000004</v>
      </c>
      <c r="CX183" s="2854">
        <f t="shared" si="456"/>
        <v>0.9</v>
      </c>
      <c r="CY183" s="2854">
        <f t="shared" si="456"/>
        <v>1.34</v>
      </c>
      <c r="CZ183" s="2854">
        <f t="shared" si="456"/>
        <v>1.3</v>
      </c>
      <c r="DA183" s="2854">
        <f t="shared" si="456"/>
        <v>1.3</v>
      </c>
      <c r="DB183" s="2854">
        <f t="shared" si="456"/>
        <v>1.3</v>
      </c>
    </row>
    <row r="184" spans="1:119" s="699" customFormat="1" ht="12.75" customHeight="1">
      <c r="A184" s="664"/>
      <c r="B184" s="664"/>
      <c r="C184" s="1576"/>
      <c r="D184" s="689"/>
      <c r="E184" s="3623" t="s">
        <v>1788</v>
      </c>
      <c r="F184" s="3637" t="s">
        <v>235</v>
      </c>
      <c r="G184" s="978"/>
      <c r="H184" s="978">
        <f>(H171/G171-1)*100</f>
        <v>3.2939762812810303</v>
      </c>
      <c r="I184" s="978">
        <f t="shared" ref="I184:AN184" si="457">(I171/H171-1)*100</f>
        <v>4.2965885238853696</v>
      </c>
      <c r="J184" s="978">
        <f t="shared" si="457"/>
        <v>3.8140730323456884</v>
      </c>
      <c r="K184" s="978">
        <f t="shared" si="457"/>
        <v>5.3976410136634456</v>
      </c>
      <c r="L184" s="978">
        <f t="shared" si="457"/>
        <v>3.2597615565306048</v>
      </c>
      <c r="M184" s="978">
        <f t="shared" si="457"/>
        <v>5.5840504753524645</v>
      </c>
      <c r="N184" s="978">
        <f t="shared" si="457"/>
        <v>5.0122969979064846</v>
      </c>
      <c r="O184" s="978">
        <f t="shared" si="457"/>
        <v>3.9969031259072807</v>
      </c>
      <c r="P184" s="978">
        <f t="shared" si="457"/>
        <v>2.9815745393634741</v>
      </c>
      <c r="Q184" s="978">
        <f t="shared" si="457"/>
        <v>2.150654232632121</v>
      </c>
      <c r="R184" s="978">
        <f t="shared" si="457"/>
        <v>8.6851137610133975</v>
      </c>
      <c r="S184" s="978">
        <f t="shared" si="457"/>
        <v>2.9545343556185211</v>
      </c>
      <c r="T184" s="978">
        <f t="shared" si="457"/>
        <v>-1.3360528729089771</v>
      </c>
      <c r="U184" s="978">
        <f t="shared" si="457"/>
        <v>-6.464639989743759</v>
      </c>
      <c r="V184" s="978">
        <f t="shared" si="457"/>
        <v>-5.712131855329206</v>
      </c>
      <c r="W184" s="978">
        <f t="shared" si="457"/>
        <v>-5.5221412606981328</v>
      </c>
      <c r="X184" s="978">
        <f t="shared" si="457"/>
        <v>-4.9967303919682848</v>
      </c>
      <c r="Y184" s="978">
        <f t="shared" si="457"/>
        <v>-0.80168434691070267</v>
      </c>
      <c r="Z184" s="978">
        <f t="shared" si="457"/>
        <v>-1.0061224489795961</v>
      </c>
      <c r="AA184" s="978">
        <f t="shared" si="457"/>
        <v>8.5121735007318566</v>
      </c>
      <c r="AB184" s="978">
        <f t="shared" si="457"/>
        <v>0.68014286799908952</v>
      </c>
      <c r="AC184" s="978">
        <f t="shared" si="457"/>
        <v>7.4687700494395548</v>
      </c>
      <c r="AD184" s="978">
        <f t="shared" si="457"/>
        <v>0.45301306363254579</v>
      </c>
      <c r="AE184" s="978">
        <f t="shared" si="457"/>
        <v>10.12060828526482</v>
      </c>
      <c r="AF184" s="978">
        <f t="shared" si="457"/>
        <v>3.9365079365079492</v>
      </c>
      <c r="AG184" s="978">
        <f t="shared" si="457"/>
        <v>2.6389737324373774</v>
      </c>
      <c r="AH184" s="978">
        <f t="shared" si="457"/>
        <v>4.1230210689203739</v>
      </c>
      <c r="AI184" s="978">
        <f t="shared" si="457"/>
        <v>4.9271924434473036</v>
      </c>
      <c r="AJ184" s="978">
        <f t="shared" si="457"/>
        <v>8.348427690086746</v>
      </c>
      <c r="AK184" s="978">
        <f t="shared" si="457"/>
        <v>-1.3135236371406567</v>
      </c>
      <c r="AL184" s="978">
        <f t="shared" si="457"/>
        <v>5.7443448135316988</v>
      </c>
      <c r="AM184" s="978">
        <f t="shared" si="457"/>
        <v>5.8213485582134794</v>
      </c>
      <c r="AN184" s="978">
        <f t="shared" si="457"/>
        <v>-7.8151499630072401</v>
      </c>
      <c r="AO184" s="978">
        <f t="shared" ref="AO184:BJ184" si="458">(AO171/AN171-1)*100</f>
        <v>3.7017372729630127</v>
      </c>
      <c r="AP184" s="978">
        <f t="shared" si="458"/>
        <v>3.3064640956338209</v>
      </c>
      <c r="AQ184" s="978">
        <f t="shared" si="458"/>
        <v>-5.1426859065971886</v>
      </c>
      <c r="AR184" s="978">
        <f t="shared" si="458"/>
        <v>4.4032951811620702</v>
      </c>
      <c r="AS184" s="978">
        <f t="shared" si="458"/>
        <v>4.7284873030281505</v>
      </c>
      <c r="AT184" s="978">
        <f t="shared" si="458"/>
        <v>5.3573214503995104</v>
      </c>
      <c r="AU184" s="978">
        <f t="shared" si="458"/>
        <v>14.330981120135021</v>
      </c>
      <c r="AV184" s="978">
        <f t="shared" si="458"/>
        <v>3.7714212906924782</v>
      </c>
      <c r="AW184" s="978">
        <f t="shared" si="458"/>
        <v>5.0432807416047609</v>
      </c>
      <c r="AX184" s="978">
        <f t="shared" si="458"/>
        <v>3.985856637737073</v>
      </c>
      <c r="AY184" s="978">
        <f t="shared" si="458"/>
        <v>4.4513137557959714</v>
      </c>
      <c r="AZ184" s="978">
        <f t="shared" si="458"/>
        <v>2.0097392988780882</v>
      </c>
      <c r="BA184" s="978">
        <f t="shared" si="458"/>
        <v>-1.645743221858853</v>
      </c>
      <c r="BB184" s="978">
        <f t="shared" si="458"/>
        <v>2.7673495655904823</v>
      </c>
      <c r="BC184" s="978">
        <f t="shared" si="458"/>
        <v>-2.0326688237136015</v>
      </c>
      <c r="BD184" s="978">
        <f t="shared" si="458"/>
        <v>0.41017445731788005</v>
      </c>
      <c r="BE184" s="978">
        <f t="shared" si="458"/>
        <v>5.9815910236345804</v>
      </c>
      <c r="BF184" s="978">
        <f t="shared" si="458"/>
        <v>0.83846423386895186</v>
      </c>
      <c r="BG184" s="978">
        <f t="shared" si="458"/>
        <v>8.8113380823549683</v>
      </c>
      <c r="BH184" s="978">
        <f t="shared" si="458"/>
        <v>4.103651999361313</v>
      </c>
      <c r="BI184" s="978">
        <f t="shared" si="458"/>
        <v>-2.9492966387659525</v>
      </c>
      <c r="BJ184" s="978">
        <f t="shared" si="458"/>
        <v>-2.9734489298293032</v>
      </c>
      <c r="BK184" s="978">
        <f t="shared" ref="BK184:BR184" si="459">(BK171/BJ171-1)*100</f>
        <v>-7.7649796393251975</v>
      </c>
      <c r="BL184" s="978">
        <f t="shared" si="459"/>
        <v>-6.3751955194510268</v>
      </c>
      <c r="BM184" s="978">
        <f t="shared" si="459"/>
        <v>2.1071919377004145</v>
      </c>
      <c r="BN184" s="978">
        <f t="shared" si="459"/>
        <v>3.6497506135697799</v>
      </c>
      <c r="BO184" s="978">
        <f t="shared" si="459"/>
        <v>6.0342193706080183</v>
      </c>
      <c r="BP184" s="978">
        <f t="shared" si="459"/>
        <v>7.9071219324785114</v>
      </c>
      <c r="BQ184" s="978">
        <f t="shared" si="459"/>
        <v>4.8821736131200222</v>
      </c>
      <c r="BR184" s="978">
        <f t="shared" si="459"/>
        <v>5.1450151698385405</v>
      </c>
      <c r="BS184" s="978">
        <f t="shared" ref="BS184:CD184" si="460">(BS171/BR171-1)*100</f>
        <v>3.0529884176116795</v>
      </c>
      <c r="BT184" s="978">
        <f t="shared" si="460"/>
        <v>3.2562511014078366</v>
      </c>
      <c r="BU184" s="978">
        <f t="shared" si="460"/>
        <v>1.3596541130959316</v>
      </c>
      <c r="BV184" s="978">
        <f t="shared" si="460"/>
        <v>1.1262651774522459</v>
      </c>
      <c r="BW184" s="978">
        <f t="shared" si="460"/>
        <v>4.2680332266479049</v>
      </c>
      <c r="BX184" s="978">
        <f t="shared" si="460"/>
        <v>2.7980837473385201</v>
      </c>
      <c r="BY184" s="978">
        <f t="shared" si="460"/>
        <v>4.2339092462502448</v>
      </c>
      <c r="BZ184" s="978">
        <f t="shared" si="460"/>
        <v>4.0668984931280017</v>
      </c>
      <c r="CA184" s="978">
        <f t="shared" si="460"/>
        <v>2.7320752315183272</v>
      </c>
      <c r="CB184" s="978">
        <f t="shared" si="460"/>
        <v>9.4481359292464262E-2</v>
      </c>
      <c r="CC184" s="978">
        <f t="shared" si="460"/>
        <v>1.341606833374609</v>
      </c>
      <c r="CD184" s="978">
        <f t="shared" si="460"/>
        <v>1.1329801041364496</v>
      </c>
      <c r="CE184" s="978">
        <f t="shared" ref="CE184:CL184" si="461">(CE171/CD171-1)*100</f>
        <v>0.13739374631980272</v>
      </c>
      <c r="CF184" s="978">
        <f t="shared" si="461"/>
        <v>2.0520475242747915</v>
      </c>
      <c r="CG184" s="978">
        <f t="shared" si="461"/>
        <v>0.38413237792715993</v>
      </c>
      <c r="CH184" s="978">
        <f t="shared" si="461"/>
        <v>-0.46213849437044541</v>
      </c>
      <c r="CI184" s="978">
        <f t="shared" si="461"/>
        <v>-1.3248362437343952</v>
      </c>
      <c r="CJ184" s="978">
        <f t="shared" si="461"/>
        <v>0.35513598561474069</v>
      </c>
      <c r="CK184" s="978">
        <f t="shared" si="461"/>
        <v>0.19709729439170154</v>
      </c>
      <c r="CL184" s="978">
        <f t="shared" si="461"/>
        <v>0.68252265140675838</v>
      </c>
      <c r="CM184" s="978">
        <f>(CM171/CL171-1)*100</f>
        <v>0.63497232171931817</v>
      </c>
      <c r="CN184" s="978">
        <f>(CN171/CM171-1)*100</f>
        <v>0.6471444750040467</v>
      </c>
      <c r="CO184" s="978">
        <f>(CO171/CN171-1)*100</f>
        <v>1.9874033698177751</v>
      </c>
      <c r="CP184" s="978">
        <f>(CP171/CO171-1)*100</f>
        <v>2.4530383573813319</v>
      </c>
      <c r="CQ184" s="978">
        <f t="shared" ref="CQ184:CT184" si="462">(CQ171/CP171-1)*100</f>
        <v>4.7914073535376023</v>
      </c>
      <c r="CR184" s="978">
        <f t="shared" si="462"/>
        <v>3.7902547745198856</v>
      </c>
      <c r="CS184" s="978">
        <f t="shared" si="462"/>
        <v>2.7967442039887436</v>
      </c>
      <c r="CT184" s="978">
        <f t="shared" si="462"/>
        <v>2.593065145601936</v>
      </c>
      <c r="CU184" s="3717">
        <v>0.4</v>
      </c>
      <c r="CV184" s="3717">
        <v>0.4</v>
      </c>
      <c r="CW184" s="3717">
        <v>0.55000000000000004</v>
      </c>
      <c r="CX184" s="3717">
        <v>0.9</v>
      </c>
      <c r="CY184" s="740">
        <v>1.34</v>
      </c>
      <c r="CZ184" s="740">
        <v>1.3</v>
      </c>
      <c r="DA184" s="740">
        <v>1.3</v>
      </c>
      <c r="DB184" s="740">
        <v>1.3</v>
      </c>
      <c r="DC184" s="3432"/>
      <c r="DE184"/>
      <c r="DF184"/>
      <c r="DG184"/>
      <c r="DH184"/>
      <c r="DI184"/>
      <c r="DJ184"/>
      <c r="DK184"/>
      <c r="DL184"/>
      <c r="DM184"/>
      <c r="DN184"/>
      <c r="DO184"/>
    </row>
    <row r="185" spans="1:119" ht="12.75" customHeight="1">
      <c r="A185" s="664"/>
      <c r="C185" s="1577"/>
      <c r="D185" s="1581"/>
      <c r="E185" s="1582" t="s">
        <v>266</v>
      </c>
      <c r="F185" s="1649"/>
      <c r="G185" s="1605"/>
      <c r="H185" s="1606"/>
      <c r="I185" s="1606"/>
      <c r="J185" s="1606"/>
      <c r="K185" s="1607"/>
      <c r="L185" s="1607"/>
      <c r="M185" s="1607"/>
      <c r="N185" s="1608">
        <f>N172/J172*100-100</f>
        <v>18.967519551278087</v>
      </c>
      <c r="O185" s="1607"/>
      <c r="P185" s="1607"/>
      <c r="Q185" s="1607"/>
      <c r="R185" s="1608">
        <f>R172/N172*100-100</f>
        <v>17.876596031923242</v>
      </c>
      <c r="S185" s="1607"/>
      <c r="T185" s="1607"/>
      <c r="U185" s="1607"/>
      <c r="V185" s="1608">
        <f>V172/R172*100-100</f>
        <v>5.3000903024029213</v>
      </c>
      <c r="W185" s="1607"/>
      <c r="X185" s="1607"/>
      <c r="Y185" s="1607"/>
      <c r="Z185" s="1608">
        <f>Z172/V172*100-100</f>
        <v>-16.795860228323306</v>
      </c>
      <c r="AA185" s="1607"/>
      <c r="AB185" s="1607"/>
      <c r="AC185" s="1607"/>
      <c r="AD185" s="1608">
        <f>AD172/Z172*100-100</f>
        <v>10.505437487744899</v>
      </c>
      <c r="AE185" s="1607"/>
      <c r="AF185" s="1607"/>
      <c r="AG185" s="1607"/>
      <c r="AH185" s="1608">
        <f>AH172/AD172*100-100</f>
        <v>20.872006260464431</v>
      </c>
      <c r="AI185" s="1607"/>
      <c r="AJ185" s="1607"/>
      <c r="AK185" s="1607"/>
      <c r="AL185" s="1608">
        <f>AL172/AH172*100-100</f>
        <v>18.388057229539228</v>
      </c>
      <c r="AM185" s="1607"/>
      <c r="AN185" s="1607"/>
      <c r="AO185" s="1607"/>
      <c r="AP185" s="1608">
        <f>AP172/AL172*100-100</f>
        <v>7.9731525699641992</v>
      </c>
      <c r="AQ185" s="1607"/>
      <c r="AR185" s="1607"/>
      <c r="AS185" s="1607"/>
      <c r="AT185" s="1608">
        <f>AT172/AP172*100-100</f>
        <v>3.9552996952251931</v>
      </c>
      <c r="AU185" s="1607"/>
      <c r="AV185" s="1607"/>
      <c r="AW185" s="1607"/>
      <c r="AX185" s="1608">
        <f>AX172/AT172*100-100</f>
        <v>30.842309058513962</v>
      </c>
      <c r="AY185" s="1607"/>
      <c r="AZ185" s="1607"/>
      <c r="BA185" s="1607"/>
      <c r="BB185" s="1608">
        <f>BB172/AX172*100-100</f>
        <v>12.650062043086294</v>
      </c>
      <c r="BC185" s="1607"/>
      <c r="BD185" s="1607"/>
      <c r="BE185" s="1607"/>
      <c r="BF185" s="1608">
        <f>BF172/BB172*100-100</f>
        <v>3.1758249779364434</v>
      </c>
      <c r="BG185" s="1607"/>
      <c r="BH185" s="1607"/>
      <c r="BI185" s="1607"/>
      <c r="BJ185" s="1608">
        <f>BJ172/BF172*100-100</f>
        <v>13.671239396219633</v>
      </c>
      <c r="BK185" s="1609"/>
      <c r="BL185" s="1609"/>
      <c r="BM185" s="1609"/>
      <c r="BN185" s="1610">
        <f>BN172/BJ172*100-100</f>
        <v>-12.914724120762244</v>
      </c>
      <c r="BO185" s="1609"/>
      <c r="BP185" s="1609"/>
      <c r="BQ185" s="1609"/>
      <c r="BR185" s="1610">
        <f>BR172/BN172*100-100</f>
        <v>19.073792538884348</v>
      </c>
      <c r="BS185" s="1609"/>
      <c r="BT185" s="1609"/>
      <c r="BU185" s="1609"/>
      <c r="BV185" s="1610">
        <f>BV172/BR172*100-100</f>
        <v>15.295510596040955</v>
      </c>
      <c r="BW185" s="1609"/>
      <c r="BX185" s="1609"/>
      <c r="BY185" s="1609"/>
      <c r="BZ185" s="1610">
        <f>BZ172/BV172*100-100</f>
        <v>12.41026174938122</v>
      </c>
      <c r="CA185" s="1609"/>
      <c r="CB185" s="1609"/>
      <c r="CC185" s="1609"/>
      <c r="CD185" s="1610">
        <f>CD172/BZ172*100-100</f>
        <v>9.8420009009274594</v>
      </c>
      <c r="CE185" s="1609"/>
      <c r="CF185" s="1609"/>
      <c r="CG185" s="1609"/>
      <c r="CH185" s="1610">
        <f>CH172/CD172*100-100</f>
        <v>3.3245052910762638</v>
      </c>
      <c r="CI185" s="1609"/>
      <c r="CJ185" s="1609"/>
      <c r="CK185" s="1609"/>
      <c r="CL185" s="1610">
        <f>CL172/CH172*100-100</f>
        <v>-0.44957990986146967</v>
      </c>
      <c r="CM185" s="1609"/>
      <c r="CN185" s="1609"/>
      <c r="CO185" s="1609"/>
      <c r="CP185" s="1610">
        <f>CP172/CL172*100-100</f>
        <v>3.4813487198786817</v>
      </c>
      <c r="CQ185" s="1609"/>
      <c r="CR185" s="1609"/>
      <c r="CS185" s="1609"/>
      <c r="CT185" s="3723">
        <f>CT172/CP172*100-100</f>
        <v>13.302438462314001</v>
      </c>
      <c r="CU185" s="1609"/>
      <c r="CV185" s="1609"/>
      <c r="CW185" s="1609"/>
      <c r="CX185" s="1610">
        <f>CX172/CT172*100-100</f>
        <v>5.5193063496132453</v>
      </c>
      <c r="CY185" s="1609"/>
      <c r="CZ185" s="1609"/>
      <c r="DA185" s="1609"/>
      <c r="DB185" s="1610">
        <f>DB172/CX172*100-100</f>
        <v>4.4173824453026782</v>
      </c>
    </row>
    <row r="186" spans="1:119" s="699" customFormat="1" ht="12.75" customHeight="1">
      <c r="A186" s="664"/>
      <c r="B186" s="664"/>
      <c r="C186" s="666"/>
      <c r="D186" s="717"/>
      <c r="E186" s="1596" t="s">
        <v>1847</v>
      </c>
      <c r="F186" s="717"/>
      <c r="G186" s="1597"/>
      <c r="H186" s="1597"/>
      <c r="I186" s="1597"/>
      <c r="J186" s="1598"/>
      <c r="K186" s="1597"/>
      <c r="L186" s="1597"/>
      <c r="M186" s="1597"/>
      <c r="N186" s="1599">
        <f ca="1">N173/J173*100-100</f>
        <v>19.044528323429006</v>
      </c>
      <c r="O186" s="1597"/>
      <c r="P186" s="1597"/>
      <c r="Q186" s="1597"/>
      <c r="R186" s="1599">
        <f ca="1">R173/N173*100-100</f>
        <v>18.838320999906671</v>
      </c>
      <c r="S186" s="1597"/>
      <c r="T186" s="1597"/>
      <c r="U186" s="1597"/>
      <c r="V186" s="1599">
        <f ca="1">V173/R173*100-100</f>
        <v>4.6592149170669757</v>
      </c>
      <c r="W186" s="1597"/>
      <c r="X186" s="1597"/>
      <c r="Y186" s="1597"/>
      <c r="Z186" s="1599">
        <f ca="1">Z173/V173*100-100</f>
        <v>-16.372062303186169</v>
      </c>
      <c r="AA186" s="1597"/>
      <c r="AB186" s="1597"/>
      <c r="AC186" s="1597"/>
      <c r="AD186" s="1599">
        <f ca="1">AD173/Z173*100-100</f>
        <v>9.5572088492080809</v>
      </c>
      <c r="AE186" s="1597"/>
      <c r="AF186" s="1597"/>
      <c r="AG186" s="1597"/>
      <c r="AH186" s="1599">
        <f ca="1">AH173/AD173*100-100</f>
        <v>21.209135528019061</v>
      </c>
      <c r="AI186" s="1597"/>
      <c r="AJ186" s="1597"/>
      <c r="AK186" s="1597"/>
      <c r="AL186" s="1599">
        <f ca="1">AL173/AH173*100-100</f>
        <v>18.611044650627079</v>
      </c>
      <c r="AM186" s="1597"/>
      <c r="AN186" s="1597"/>
      <c r="AO186" s="1597"/>
      <c r="AP186" s="1599">
        <f ca="1">AP173/AL173*100-100</f>
        <v>8.4262028762699828</v>
      </c>
      <c r="AQ186" s="1597"/>
      <c r="AR186" s="1597"/>
      <c r="AS186" s="1597"/>
      <c r="AT186" s="1599">
        <f ca="1">AT173/AP173*100-100</f>
        <v>3.9940459590348354</v>
      </c>
      <c r="AU186" s="1597"/>
      <c r="AV186" s="1597"/>
      <c r="AW186" s="1597"/>
      <c r="AX186" s="1599">
        <f ca="1">AX173/AT173*100-100</f>
        <v>20.540314154987939</v>
      </c>
      <c r="AY186" s="1597"/>
      <c r="AZ186" s="1597"/>
      <c r="BA186" s="1597"/>
      <c r="BB186" s="1599">
        <f ca="1">BB173/AX173*100-100</f>
        <v>12.644517254648505</v>
      </c>
      <c r="BC186" s="1597"/>
      <c r="BD186" s="1597"/>
      <c r="BE186" s="1597"/>
      <c r="BF186" s="1599">
        <f ca="1">BF173/BB173*100-100</f>
        <v>3.1746642424419207</v>
      </c>
      <c r="BG186" s="1597"/>
      <c r="BH186" s="1597"/>
      <c r="BI186" s="1597"/>
      <c r="BJ186" s="1599">
        <f ca="1">BJ173/BF173*100-100</f>
        <v>13.507146939638858</v>
      </c>
      <c r="BK186" s="1611"/>
      <c r="BL186" s="1611"/>
      <c r="BM186" s="1611"/>
      <c r="BN186" s="1612">
        <f ca="1">BN173/BJ173*100-100</f>
        <v>-12.78862699474486</v>
      </c>
      <c r="BO186" s="1611"/>
      <c r="BP186" s="1611"/>
      <c r="BQ186" s="1611"/>
      <c r="BR186" s="1612">
        <f ca="1">BR173/BN173*100-100</f>
        <v>18.942229444272328</v>
      </c>
      <c r="BS186" s="1611"/>
      <c r="BT186" s="1611"/>
      <c r="BU186" s="1611"/>
      <c r="BV186" s="1612">
        <f ca="1">BV173/BR173*100-100</f>
        <v>15.404381813138457</v>
      </c>
      <c r="BW186" s="1611"/>
      <c r="BX186" s="1611"/>
      <c r="BY186" s="1611"/>
      <c r="BZ186" s="1612">
        <f ca="1">BZ173/BV173*100-100</f>
        <v>12.388585390503522</v>
      </c>
      <c r="CA186" s="1611"/>
      <c r="CB186" s="1611"/>
      <c r="CC186" s="1611"/>
      <c r="CD186" s="1612">
        <f ca="1">CD173/BZ173*100-100</f>
        <v>9.8597881982962718</v>
      </c>
      <c r="CE186" s="1611"/>
      <c r="CF186" s="1611"/>
      <c r="CG186" s="1611"/>
      <c r="CH186" s="1612">
        <f ca="1">CH173/CD173*100-100</f>
        <v>3.2687395240076995</v>
      </c>
      <c r="CI186" s="1611"/>
      <c r="CJ186" s="1611"/>
      <c r="CK186" s="1611"/>
      <c r="CL186" s="1612">
        <f ca="1">CL173/CH173*100-100</f>
        <v>-0.36250801068858607</v>
      </c>
      <c r="CM186" s="1611"/>
      <c r="CN186" s="1611"/>
      <c r="CO186" s="1611"/>
      <c r="CP186" s="1612">
        <f ca="1">CP173/CL173*100-100</f>
        <v>3.4546238679988619</v>
      </c>
      <c r="CQ186" s="1611"/>
      <c r="CR186" s="1611"/>
      <c r="CS186" s="1611"/>
      <c r="CT186" s="3724">
        <f ca="1">CT173/CP173*100-100</f>
        <v>13.23847741418021</v>
      </c>
      <c r="CU186" s="1611"/>
      <c r="CV186" s="1611"/>
      <c r="CW186" s="1611"/>
      <c r="CX186" s="1612">
        <f ca="1">CX173/CT173*100-100</f>
        <v>5.5162869137066224</v>
      </c>
      <c r="CY186" s="1611"/>
      <c r="CZ186" s="1611"/>
      <c r="DA186" s="1611"/>
      <c r="DB186" s="1612">
        <f ca="1">DB173/CX173*100-100</f>
        <v>4.4245927876736033</v>
      </c>
      <c r="DC186"/>
      <c r="DD186"/>
      <c r="DE186"/>
      <c r="DF186"/>
      <c r="DG186"/>
      <c r="DH186"/>
      <c r="DI186"/>
      <c r="DJ186"/>
      <c r="DK186"/>
      <c r="DL186"/>
      <c r="DM186"/>
      <c r="DN186"/>
      <c r="DO186"/>
    </row>
    <row r="187" spans="1:119" ht="12.75" customHeight="1">
      <c r="A187" s="664"/>
      <c r="E187" s="599"/>
      <c r="F187" s="3617"/>
      <c r="AY187" s="217"/>
      <c r="BA187" s="217"/>
      <c r="BB187" s="217"/>
      <c r="BC187" s="217"/>
      <c r="BD187" s="217"/>
      <c r="BE187" s="217"/>
      <c r="BF187" s="217"/>
      <c r="BG187" s="217"/>
      <c r="BH187" s="217"/>
      <c r="BI187" s="217"/>
      <c r="BJ187" s="217"/>
      <c r="BK187" s="1602"/>
      <c r="BL187" s="1602"/>
      <c r="BM187" s="1602"/>
      <c r="BN187" s="1602"/>
      <c r="BO187" s="1602"/>
      <c r="BP187" s="1602"/>
      <c r="BQ187" s="1602"/>
      <c r="BR187" s="1602"/>
      <c r="BS187" s="1602"/>
      <c r="BT187" s="1602"/>
      <c r="BU187" s="1602"/>
      <c r="BV187" s="1602"/>
      <c r="BW187" s="1602"/>
      <c r="BX187" s="1602"/>
      <c r="BY187" s="1602"/>
      <c r="BZ187" s="1602"/>
      <c r="CA187" s="1602"/>
      <c r="CB187" s="1602"/>
      <c r="CC187" s="1602"/>
      <c r="CD187" s="1602"/>
      <c r="CE187" s="1602"/>
      <c r="CF187" s="1602"/>
      <c r="CG187" s="1602"/>
      <c r="CH187" s="1602"/>
      <c r="CI187" s="1602"/>
      <c r="CJ187" s="1602"/>
      <c r="CK187" s="1602"/>
      <c r="CL187" s="1602"/>
      <c r="CM187" s="1602"/>
      <c r="CN187" s="1602"/>
      <c r="CO187" s="1602"/>
      <c r="CP187" s="1602"/>
      <c r="CQ187" s="1602"/>
      <c r="CR187" s="1602"/>
      <c r="CS187" s="1602"/>
      <c r="CT187" s="1602"/>
      <c r="CU187" s="1602"/>
      <c r="CV187" s="1602"/>
      <c r="CW187" s="1602"/>
      <c r="CX187" s="1602"/>
      <c r="CY187" s="1602"/>
      <c r="CZ187" s="1602"/>
      <c r="DA187" s="1602"/>
      <c r="DB187" s="1602"/>
    </row>
    <row r="188" spans="1:119" s="699" customFormat="1" ht="12.75" customHeight="1">
      <c r="A188" s="664"/>
      <c r="B188" s="664"/>
      <c r="C188" s="666"/>
      <c r="D188" s="858"/>
      <c r="E188" s="3625"/>
      <c r="F188" s="3626"/>
      <c r="G188" s="1588" t="str">
        <f>G175</f>
        <v>Q1</v>
      </c>
      <c r="H188" s="1588" t="str">
        <f t="shared" ref="H188:BN188" si="463">H175</f>
        <v>Q2</v>
      </c>
      <c r="I188" s="1588" t="str">
        <f t="shared" si="463"/>
        <v>Q3</v>
      </c>
      <c r="J188" s="1588" t="str">
        <f t="shared" si="463"/>
        <v>Q4</v>
      </c>
      <c r="K188" s="1593" t="str">
        <f t="shared" si="463"/>
        <v>Q1</v>
      </c>
      <c r="L188" s="1588" t="str">
        <f t="shared" si="463"/>
        <v>Q2</v>
      </c>
      <c r="M188" s="1588" t="str">
        <f t="shared" si="463"/>
        <v>Q3</v>
      </c>
      <c r="N188" s="1594" t="str">
        <f t="shared" si="463"/>
        <v>Q4</v>
      </c>
      <c r="O188" s="1593" t="str">
        <f t="shared" si="463"/>
        <v>Q1</v>
      </c>
      <c r="P188" s="1588" t="str">
        <f t="shared" si="463"/>
        <v>Q2</v>
      </c>
      <c r="Q188" s="1588" t="str">
        <f t="shared" si="463"/>
        <v>Q3</v>
      </c>
      <c r="R188" s="1594" t="str">
        <f t="shared" si="463"/>
        <v>Q4</v>
      </c>
      <c r="S188" s="1593" t="str">
        <f t="shared" si="463"/>
        <v>Q1</v>
      </c>
      <c r="T188" s="1588" t="str">
        <f t="shared" si="463"/>
        <v>Q2</v>
      </c>
      <c r="U188" s="1588" t="str">
        <f t="shared" si="463"/>
        <v>Q3</v>
      </c>
      <c r="V188" s="1594" t="str">
        <f t="shared" si="463"/>
        <v>Q4</v>
      </c>
      <c r="W188" s="1593" t="str">
        <f t="shared" si="463"/>
        <v>Q1</v>
      </c>
      <c r="X188" s="1588" t="str">
        <f t="shared" si="463"/>
        <v>Q2</v>
      </c>
      <c r="Y188" s="1588" t="str">
        <f t="shared" si="463"/>
        <v>Q3</v>
      </c>
      <c r="Z188" s="1594" t="str">
        <f t="shared" si="463"/>
        <v>Q4</v>
      </c>
      <c r="AA188" s="1593" t="str">
        <f t="shared" si="463"/>
        <v>Q1</v>
      </c>
      <c r="AB188" s="1588" t="str">
        <f t="shared" si="463"/>
        <v>Q2</v>
      </c>
      <c r="AC188" s="1588" t="str">
        <f t="shared" si="463"/>
        <v>Q3</v>
      </c>
      <c r="AD188" s="1594" t="str">
        <f t="shared" si="463"/>
        <v>Q4</v>
      </c>
      <c r="AE188" s="1593" t="str">
        <f t="shared" si="463"/>
        <v>Q1</v>
      </c>
      <c r="AF188" s="1588" t="str">
        <f t="shared" si="463"/>
        <v>Q2</v>
      </c>
      <c r="AG188" s="1588" t="str">
        <f t="shared" si="463"/>
        <v>Q3</v>
      </c>
      <c r="AH188" s="1594" t="str">
        <f t="shared" si="463"/>
        <v>Q4</v>
      </c>
      <c r="AI188" s="1593" t="str">
        <f t="shared" si="463"/>
        <v>Q1</v>
      </c>
      <c r="AJ188" s="1588" t="str">
        <f t="shared" si="463"/>
        <v>Q2</v>
      </c>
      <c r="AK188" s="1588" t="str">
        <f t="shared" si="463"/>
        <v>Q3</v>
      </c>
      <c r="AL188" s="1594" t="str">
        <f t="shared" si="463"/>
        <v>Q4</v>
      </c>
      <c r="AM188" s="1593" t="str">
        <f t="shared" si="463"/>
        <v>Q1</v>
      </c>
      <c r="AN188" s="1588" t="str">
        <f t="shared" si="463"/>
        <v>Q2</v>
      </c>
      <c r="AO188" s="1588" t="str">
        <f t="shared" si="463"/>
        <v>Q3</v>
      </c>
      <c r="AP188" s="1594" t="str">
        <f t="shared" si="463"/>
        <v>Q4</v>
      </c>
      <c r="AQ188" s="1593" t="str">
        <f t="shared" si="463"/>
        <v>Q1</v>
      </c>
      <c r="AR188" s="1588" t="str">
        <f t="shared" si="463"/>
        <v>Q2</v>
      </c>
      <c r="AS188" s="1588" t="str">
        <f t="shared" si="463"/>
        <v>Q3</v>
      </c>
      <c r="AT188" s="1594" t="str">
        <f t="shared" si="463"/>
        <v>Q4</v>
      </c>
      <c r="AU188" s="1593" t="str">
        <f t="shared" si="463"/>
        <v>Q1</v>
      </c>
      <c r="AV188" s="1588" t="str">
        <f t="shared" si="463"/>
        <v>Q2</v>
      </c>
      <c r="AW188" s="1588" t="str">
        <f t="shared" si="463"/>
        <v>Q3</v>
      </c>
      <c r="AX188" s="1594" t="str">
        <f t="shared" si="463"/>
        <v>Q4</v>
      </c>
      <c r="AY188" s="1593" t="str">
        <f t="shared" si="463"/>
        <v>Q1</v>
      </c>
      <c r="AZ188" s="1588" t="str">
        <f t="shared" si="463"/>
        <v>Q2</v>
      </c>
      <c r="BA188" s="1588" t="str">
        <f t="shared" si="463"/>
        <v>Q3</v>
      </c>
      <c r="BB188" s="1594" t="str">
        <f t="shared" si="463"/>
        <v>Q4</v>
      </c>
      <c r="BC188" s="1593" t="str">
        <f t="shared" si="463"/>
        <v>Q1</v>
      </c>
      <c r="BD188" s="1588" t="str">
        <f t="shared" si="463"/>
        <v>Q2</v>
      </c>
      <c r="BE188" s="1588" t="str">
        <f t="shared" si="463"/>
        <v>Q3</v>
      </c>
      <c r="BF188" s="1594" t="str">
        <f t="shared" si="463"/>
        <v>Q4</v>
      </c>
      <c r="BG188" s="1593" t="str">
        <f t="shared" si="463"/>
        <v>Q1</v>
      </c>
      <c r="BH188" s="1588" t="str">
        <f t="shared" si="463"/>
        <v>Q2</v>
      </c>
      <c r="BI188" s="1588" t="str">
        <f t="shared" si="463"/>
        <v>Q3</v>
      </c>
      <c r="BJ188" s="1594" t="str">
        <f t="shared" si="463"/>
        <v>Q4</v>
      </c>
      <c r="BK188" s="1593" t="str">
        <f t="shared" si="463"/>
        <v>Q1</v>
      </c>
      <c r="BL188" s="1588" t="str">
        <f t="shared" si="463"/>
        <v>Q2</v>
      </c>
      <c r="BM188" s="1588" t="str">
        <f t="shared" si="463"/>
        <v>Q3</v>
      </c>
      <c r="BN188" s="1594" t="str">
        <f t="shared" si="463"/>
        <v>Q4</v>
      </c>
      <c r="BO188" s="1593" t="str">
        <f t="shared" ref="BO188:BV188" si="464">BO175</f>
        <v>Q1</v>
      </c>
      <c r="BP188" s="1588" t="str">
        <f t="shared" si="464"/>
        <v>Q2</v>
      </c>
      <c r="BQ188" s="1588" t="str">
        <f t="shared" si="464"/>
        <v>Q3</v>
      </c>
      <c r="BR188" s="1594" t="str">
        <f t="shared" si="464"/>
        <v>Q4</v>
      </c>
      <c r="BS188" s="1593" t="str">
        <f t="shared" si="464"/>
        <v>Q1</v>
      </c>
      <c r="BT188" s="1588" t="str">
        <f t="shared" si="464"/>
        <v>Q2</v>
      </c>
      <c r="BU188" s="1588" t="str">
        <f t="shared" si="464"/>
        <v>Q3</v>
      </c>
      <c r="BV188" s="1594" t="str">
        <f t="shared" si="464"/>
        <v>Q4</v>
      </c>
      <c r="BW188" s="1593" t="str">
        <f t="shared" ref="BW188:CD188" si="465">BW175</f>
        <v>Q1</v>
      </c>
      <c r="BX188" s="1588" t="str">
        <f t="shared" si="465"/>
        <v>Q2</v>
      </c>
      <c r="BY188" s="1588" t="str">
        <f t="shared" si="465"/>
        <v>Q3</v>
      </c>
      <c r="BZ188" s="1594" t="str">
        <f t="shared" si="465"/>
        <v>Q4</v>
      </c>
      <c r="CA188" s="1593" t="str">
        <f t="shared" si="465"/>
        <v>Q1</v>
      </c>
      <c r="CB188" s="1588" t="str">
        <f t="shared" si="465"/>
        <v>Q2</v>
      </c>
      <c r="CC188" s="1588" t="str">
        <f t="shared" si="465"/>
        <v>Q3</v>
      </c>
      <c r="CD188" s="1594" t="str">
        <f t="shared" si="465"/>
        <v>Q4</v>
      </c>
      <c r="CE188" s="1593" t="str">
        <f t="shared" ref="CE188:CL188" si="466">CE175</f>
        <v>Q1</v>
      </c>
      <c r="CF188" s="1588" t="str">
        <f t="shared" si="466"/>
        <v>Q2</v>
      </c>
      <c r="CG188" s="1588" t="str">
        <f t="shared" si="466"/>
        <v>Q3</v>
      </c>
      <c r="CH188" s="1594" t="str">
        <f t="shared" si="466"/>
        <v>Q4</v>
      </c>
      <c r="CI188" s="1593" t="str">
        <f t="shared" si="466"/>
        <v>Q1</v>
      </c>
      <c r="CJ188" s="1588" t="str">
        <f t="shared" si="466"/>
        <v>Q2</v>
      </c>
      <c r="CK188" s="1588" t="str">
        <f t="shared" si="466"/>
        <v>Q3</v>
      </c>
      <c r="CL188" s="1594" t="str">
        <f t="shared" si="466"/>
        <v>Q4</v>
      </c>
      <c r="CM188" s="1593" t="str">
        <f t="shared" ref="CM188:CT188" si="467">CM175</f>
        <v>Q1</v>
      </c>
      <c r="CN188" s="1588" t="str">
        <f t="shared" si="467"/>
        <v>Q2</v>
      </c>
      <c r="CO188" s="1588" t="str">
        <f t="shared" si="467"/>
        <v>Q3</v>
      </c>
      <c r="CP188" s="1594" t="str">
        <f t="shared" si="467"/>
        <v>Q4</v>
      </c>
      <c r="CQ188" s="1593" t="str">
        <f t="shared" si="467"/>
        <v>Q1</v>
      </c>
      <c r="CR188" s="1588" t="str">
        <f t="shared" si="467"/>
        <v>Q2</v>
      </c>
      <c r="CS188" s="1588" t="str">
        <f t="shared" si="467"/>
        <v>Q3</v>
      </c>
      <c r="CT188" s="1594" t="str">
        <f t="shared" si="467"/>
        <v>Q4</v>
      </c>
      <c r="CU188" s="1593" t="str">
        <f t="shared" ref="CU188:DB188" si="468">CU175</f>
        <v>Q1</v>
      </c>
      <c r="CV188" s="1588" t="str">
        <f t="shared" si="468"/>
        <v>Q2</v>
      </c>
      <c r="CW188" s="1588" t="str">
        <f t="shared" si="468"/>
        <v>Q3</v>
      </c>
      <c r="CX188" s="1594" t="str">
        <f t="shared" si="468"/>
        <v>Q4</v>
      </c>
      <c r="CY188" s="1593" t="str">
        <f t="shared" si="468"/>
        <v>Q1</v>
      </c>
      <c r="CZ188" s="1588" t="str">
        <f t="shared" si="468"/>
        <v>Q2</v>
      </c>
      <c r="DA188" s="1588" t="str">
        <f t="shared" si="468"/>
        <v>Q3</v>
      </c>
      <c r="DB188" s="1594" t="str">
        <f t="shared" si="468"/>
        <v>Q4</v>
      </c>
      <c r="DC188"/>
      <c r="DD188"/>
      <c r="DE188"/>
      <c r="DF188"/>
      <c r="DG188"/>
      <c r="DH188"/>
      <c r="DI188"/>
      <c r="DJ188"/>
      <c r="DK188"/>
      <c r="DL188"/>
      <c r="DM188"/>
      <c r="DN188"/>
      <c r="DO188"/>
    </row>
    <row r="189" spans="1:119" s="699" customFormat="1" ht="12.75" customHeight="1">
      <c r="A189" s="664"/>
      <c r="B189" s="664"/>
      <c r="C189" s="862"/>
      <c r="D189" s="863"/>
      <c r="E189" s="3627" t="s">
        <v>1848</v>
      </c>
      <c r="F189" s="3628"/>
      <c r="G189" s="705"/>
      <c r="H189" s="705"/>
      <c r="I189" s="705"/>
      <c r="J189" s="705"/>
      <c r="K189" s="1564">
        <f t="shared" ref="K189:AP189" si="469">(K171/G171-1)*100</f>
        <v>17.877853821639423</v>
      </c>
      <c r="L189" s="1564">
        <f t="shared" si="469"/>
        <v>17.838808385807848</v>
      </c>
      <c r="M189" s="1564">
        <f t="shared" si="469"/>
        <v>19.293438727510793</v>
      </c>
      <c r="N189" s="1564">
        <f t="shared" si="469"/>
        <v>20.670325820390055</v>
      </c>
      <c r="O189" s="1564">
        <f t="shared" si="469"/>
        <v>19.066613482249693</v>
      </c>
      <c r="P189" s="1564">
        <f t="shared" si="469"/>
        <v>18.74584200699616</v>
      </c>
      <c r="Q189" s="1564">
        <f t="shared" si="469"/>
        <v>14.884448870912026</v>
      </c>
      <c r="R189" s="1564">
        <f t="shared" si="469"/>
        <v>18.90254524339494</v>
      </c>
      <c r="S189" s="1564">
        <f t="shared" si="469"/>
        <v>17.710776102735927</v>
      </c>
      <c r="T189" s="1564">
        <f t="shared" si="469"/>
        <v>12.775609050820513</v>
      </c>
      <c r="U189" s="1564">
        <f t="shared" si="469"/>
        <v>3.2642157036198105</v>
      </c>
      <c r="V189" s="1564">
        <f t="shared" si="469"/>
        <v>-10.414937083882736</v>
      </c>
      <c r="W189" s="1564">
        <f t="shared" si="469"/>
        <v>-17.790848433102504</v>
      </c>
      <c r="X189" s="1564">
        <f t="shared" si="469"/>
        <v>-20.841012163266605</v>
      </c>
      <c r="Y189" s="1564">
        <f t="shared" si="469"/>
        <v>-16.048452036253359</v>
      </c>
      <c r="Z189" s="1564">
        <f t="shared" si="469"/>
        <v>-11.858339541729512</v>
      </c>
      <c r="AA189" s="1564">
        <f t="shared" si="469"/>
        <v>1.2347578566757722</v>
      </c>
      <c r="AB189" s="1564">
        <f t="shared" si="469"/>
        <v>7.2839906065268245</v>
      </c>
      <c r="AC189" s="1564">
        <f t="shared" si="469"/>
        <v>16.228571428571414</v>
      </c>
      <c r="AD189" s="1564">
        <f t="shared" si="469"/>
        <v>17.941740367369661</v>
      </c>
      <c r="AE189" s="1564">
        <f t="shared" si="469"/>
        <v>19.689946044532249</v>
      </c>
      <c r="AF189" s="1564">
        <f t="shared" si="469"/>
        <v>23.56115786692834</v>
      </c>
      <c r="AG189" s="1564">
        <f t="shared" si="469"/>
        <v>18.008147211687042</v>
      </c>
      <c r="AH189" s="1564">
        <f t="shared" si="469"/>
        <v>22.31952455864359</v>
      </c>
      <c r="AI189" s="1564">
        <f t="shared" si="469"/>
        <v>16.550793650793636</v>
      </c>
      <c r="AJ189" s="1564">
        <f t="shared" si="469"/>
        <v>21.498167379352463</v>
      </c>
      <c r="AK189" s="1564">
        <f t="shared" si="469"/>
        <v>16.819426258778702</v>
      </c>
      <c r="AL189" s="1564">
        <f t="shared" si="469"/>
        <v>18.638448677460385</v>
      </c>
      <c r="AM189" s="1564">
        <f t="shared" si="469"/>
        <v>19.649447750827353</v>
      </c>
      <c r="AN189" s="1564">
        <f t="shared" si="469"/>
        <v>1.7999673190291166</v>
      </c>
      <c r="AO189" s="1564">
        <f t="shared" si="469"/>
        <v>6.9734562869370409</v>
      </c>
      <c r="AP189" s="1564">
        <f t="shared" si="469"/>
        <v>4.5072390450723754</v>
      </c>
      <c r="AQ189" s="1564">
        <f t="shared" ref="AQ189:BN189" si="470">(AQ171/AM171-1)*100</f>
        <v>-6.320641966877238</v>
      </c>
      <c r="AR189" s="1564">
        <f t="shared" si="470"/>
        <v>6.0958895652496237</v>
      </c>
      <c r="AS189" s="1564">
        <f t="shared" si="470"/>
        <v>7.1463440770595188</v>
      </c>
      <c r="AT189" s="1564">
        <f t="shared" si="470"/>
        <v>9.2734313770688424</v>
      </c>
      <c r="AU189" s="1564">
        <f t="shared" si="470"/>
        <v>31.70664528201015</v>
      </c>
      <c r="AV189" s="1564">
        <f t="shared" si="470"/>
        <v>30.909524940064692</v>
      </c>
      <c r="AW189" s="1564">
        <f t="shared" si="470"/>
        <v>31.303013479425278</v>
      </c>
      <c r="AX189" s="1564">
        <f t="shared" si="470"/>
        <v>29.593806560489398</v>
      </c>
      <c r="AY189" s="1564">
        <f t="shared" si="470"/>
        <v>18.395234758234036</v>
      </c>
      <c r="AZ189" s="1564">
        <f t="shared" si="470"/>
        <v>16.385290686966659</v>
      </c>
      <c r="BA189" s="1564">
        <f t="shared" si="470"/>
        <v>8.9740217994798357</v>
      </c>
      <c r="BB189" s="1564">
        <f t="shared" si="470"/>
        <v>7.6970633693972168</v>
      </c>
      <c r="BC189" s="1564">
        <f t="shared" si="470"/>
        <v>1.0115956845758722</v>
      </c>
      <c r="BD189" s="1564">
        <f t="shared" si="470"/>
        <v>-0.57231775503744364</v>
      </c>
      <c r="BE189" s="1564">
        <f t="shared" si="470"/>
        <v>7.1382602166684572</v>
      </c>
      <c r="BF189" s="1564">
        <f t="shared" si="470"/>
        <v>5.1273353512159447</v>
      </c>
      <c r="BG189" s="1564">
        <f t="shared" si="470"/>
        <v>16.763883339991992</v>
      </c>
      <c r="BH189" s="1564">
        <f t="shared" si="470"/>
        <v>21.058914029549868</v>
      </c>
      <c r="BI189" s="1564">
        <f t="shared" si="470"/>
        <v>10.857486109025372</v>
      </c>
      <c r="BJ189" s="1564">
        <f t="shared" si="470"/>
        <v>6.6668321378043682</v>
      </c>
      <c r="BK189" s="1564">
        <f t="shared" si="470"/>
        <v>-9.5827915782750406</v>
      </c>
      <c r="BL189" s="1564">
        <f t="shared" si="470"/>
        <v>-18.683991410666557</v>
      </c>
      <c r="BM189" s="1564">
        <f t="shared" si="470"/>
        <v>-14.447304253589799</v>
      </c>
      <c r="BN189" s="1564">
        <f t="shared" si="470"/>
        <v>-8.6073298429319429</v>
      </c>
      <c r="BO189" s="1564">
        <f t="shared" ref="BO189:BV189" si="471">(BO171/BK171-1)*100</f>
        <v>5.0658459054442773</v>
      </c>
      <c r="BP189" s="1564">
        <f t="shared" si="471"/>
        <v>21.093476327773431</v>
      </c>
      <c r="BQ189" s="1564">
        <f t="shared" si="471"/>
        <v>24.384450954002055</v>
      </c>
      <c r="BR189" s="1564">
        <f t="shared" si="471"/>
        <v>26.178836948772787</v>
      </c>
      <c r="BS189" s="1564">
        <f t="shared" si="471"/>
        <v>22.631225087643458</v>
      </c>
      <c r="BT189" s="1564">
        <f t="shared" si="471"/>
        <v>17.345735330114142</v>
      </c>
      <c r="BU189" s="1564">
        <f t="shared" si="471"/>
        <v>13.40462096620203</v>
      </c>
      <c r="BV189" s="1564">
        <f t="shared" si="471"/>
        <v>9.0701803946890536</v>
      </c>
      <c r="BW189" s="1564">
        <f t="shared" ref="BW189:CD189" si="472">(BW171/BS171-1)*100</f>
        <v>10.356170821013876</v>
      </c>
      <c r="BX189" s="1564">
        <f t="shared" si="472"/>
        <v>9.8664997914059249</v>
      </c>
      <c r="BY189" s="1564">
        <f t="shared" si="472"/>
        <v>12.981983498905535</v>
      </c>
      <c r="BZ189" s="1564">
        <f t="shared" si="472"/>
        <v>16.267367213660666</v>
      </c>
      <c r="CA189" s="1564">
        <f t="shared" si="472"/>
        <v>14.554648687012083</v>
      </c>
      <c r="CB189" s="1564">
        <f t="shared" si="472"/>
        <v>11.541847178832176</v>
      </c>
      <c r="CC189" s="1564">
        <f t="shared" si="472"/>
        <v>8.446762709057797</v>
      </c>
      <c r="CD189" s="1564">
        <f t="shared" si="472"/>
        <v>5.3893644782484262</v>
      </c>
      <c r="CE189" s="1564">
        <f t="shared" ref="CE189:CL189" si="473">(CE171/CA171-1)*100</f>
        <v>2.7275684215417373</v>
      </c>
      <c r="CF189" s="1564">
        <f t="shared" si="473"/>
        <v>4.7366303540480326</v>
      </c>
      <c r="CG189" s="1564">
        <f t="shared" si="473"/>
        <v>3.7470797514162157</v>
      </c>
      <c r="CH189" s="1564">
        <f t="shared" si="473"/>
        <v>2.1107303006054456</v>
      </c>
      <c r="CI189" s="1564">
        <f t="shared" si="473"/>
        <v>0.61968518183463939</v>
      </c>
      <c r="CJ189" s="1564">
        <f t="shared" si="473"/>
        <v>-1.0534091748541141</v>
      </c>
      <c r="CK189" s="1564">
        <f t="shared" si="473"/>
        <v>-1.2377658400176683</v>
      </c>
      <c r="CL189" s="1564">
        <f t="shared" si="473"/>
        <v>-0.10202421966258868</v>
      </c>
      <c r="CM189" s="1564">
        <f t="shared" ref="CM189:CT189" si="474">(CM171/CI171-1)*100</f>
        <v>1.8820708773507278</v>
      </c>
      <c r="CN189" s="1564">
        <f t="shared" si="474"/>
        <v>2.1785223675566012</v>
      </c>
      <c r="CO189" s="1564">
        <f t="shared" si="474"/>
        <v>4.0042322365283933</v>
      </c>
      <c r="CP189" s="1564">
        <f t="shared" si="474"/>
        <v>5.8331606524377744</v>
      </c>
      <c r="CQ189" s="1564">
        <f t="shared" si="474"/>
        <v>10.204291744495597</v>
      </c>
      <c r="CR189" s="1564">
        <f t="shared" si="474"/>
        <v>13.645862255410535</v>
      </c>
      <c r="CS189" s="1564">
        <f t="shared" si="474"/>
        <v>14.547721052857799</v>
      </c>
      <c r="CT189" s="1564">
        <f t="shared" si="474"/>
        <v>14.704278142175852</v>
      </c>
      <c r="CU189" s="1564">
        <f t="shared" ref="CU189:DB189" si="475">(CU171/CQ171-1)*100</f>
        <v>9.8974602623817187</v>
      </c>
      <c r="CV189" s="1564">
        <f t="shared" si="475"/>
        <v>6.3077167920379651</v>
      </c>
      <c r="CW189" s="1564">
        <f t="shared" si="475"/>
        <v>3.9842361371660306</v>
      </c>
      <c r="CX189" s="1564">
        <f t="shared" si="475"/>
        <v>2.2682128792000045</v>
      </c>
      <c r="CY189" s="1564">
        <f t="shared" si="475"/>
        <v>3.2257041153199939</v>
      </c>
      <c r="CZ189" s="1564">
        <f t="shared" si="475"/>
        <v>4.151034132289988</v>
      </c>
      <c r="DA189" s="1564">
        <f t="shared" si="475"/>
        <v>4.9278941581399449</v>
      </c>
      <c r="DB189" s="1564">
        <f t="shared" si="475"/>
        <v>5.3438620239799617</v>
      </c>
      <c r="DC189"/>
      <c r="DD189"/>
      <c r="DE189"/>
      <c r="DF189"/>
      <c r="DG189"/>
      <c r="DH189"/>
      <c r="DI189"/>
      <c r="DJ189"/>
      <c r="DK189"/>
      <c r="DL189"/>
      <c r="DM189"/>
      <c r="DN189"/>
      <c r="DO189"/>
    </row>
    <row r="190" spans="1:119" s="699" customFormat="1" ht="12.75" customHeight="1">
      <c r="A190" s="664"/>
      <c r="B190" s="664"/>
      <c r="C190" s="944"/>
      <c r="D190" s="674"/>
      <c r="E190" s="3629" t="s">
        <v>1938</v>
      </c>
      <c r="F190" s="3630"/>
      <c r="G190" s="705"/>
      <c r="H190" s="705"/>
      <c r="I190" s="705"/>
      <c r="J190" s="705"/>
      <c r="K190" s="1564">
        <f>(4*K171/J172-1)*100</f>
        <v>11.50344077785055</v>
      </c>
      <c r="L190" s="1564">
        <f>((K171+3*L171)/J172-1)*100</f>
        <v>14.229500500364466</v>
      </c>
      <c r="M190" s="1564">
        <f>((K171+L171+2*M171)/J172-1)*100</f>
        <v>17.444187741688388</v>
      </c>
      <c r="N190" s="1621"/>
      <c r="O190" s="1564">
        <f>(4*O171/N172-1)*100</f>
        <v>11.596317508450738</v>
      </c>
      <c r="P190" s="1564">
        <f>((O171+3*P171)/N172-1)*100</f>
        <v>14.091813050725133</v>
      </c>
      <c r="Q190" s="1564">
        <f>((O171+P171+2*Q171)/N172-1)*100</f>
        <v>15.327618167373714</v>
      </c>
      <c r="R190" s="1621"/>
      <c r="S190" s="1564">
        <f>(4*S171/R172-1)*100</f>
        <v>11.439332202717889</v>
      </c>
      <c r="T190" s="1564">
        <f>((S171+3*T171)/R172-1)*100</f>
        <v>10.322665903134132</v>
      </c>
      <c r="U190" s="1564">
        <f>((S171+T171+2*U171)/R172-1)*100</f>
        <v>6.7687157236305806</v>
      </c>
      <c r="V190" s="1621"/>
      <c r="W190" s="1564">
        <f>(4*W171/V172-1)*100</f>
        <v>-12.997862345061861</v>
      </c>
      <c r="X190" s="1564">
        <f>((W171+3*X171)/V172-1)*100</f>
        <v>-16.258309035461636</v>
      </c>
      <c r="Y190" s="1564">
        <f>((W171+X171+2*Y171)/V172-1)*100</f>
        <v>-16.58962463448611</v>
      </c>
      <c r="Z190" s="1621"/>
      <c r="AA190" s="1564">
        <f>(4*AA171/Z172-1)*100</f>
        <v>5.8557947078136108</v>
      </c>
      <c r="AB190" s="1564">
        <f>((AA171+3*AB171)/Z172-1)*100</f>
        <v>6.3957726863653086</v>
      </c>
      <c r="AC190" s="1564">
        <f>((AA171+AB171+2*AC171)/Z172-1)*100</f>
        <v>10.375722107422437</v>
      </c>
      <c r="AD190" s="1621"/>
      <c r="AE190" s="1564">
        <f>(4*AE171/AD172-1)*100</f>
        <v>14.65385455339594</v>
      </c>
      <c r="AF190" s="1564">
        <f>((AE171+3*AF171)/AD172-1)*100</f>
        <v>18.038873116400978</v>
      </c>
      <c r="AG190" s="1564">
        <f>((AE171+AF171+2*AG171)/AD172-1)*100</f>
        <v>19.611268835990401</v>
      </c>
      <c r="AH190" s="1621"/>
      <c r="AI190" s="1564">
        <f>(4*AI171/AH172-1)*100</f>
        <v>10.554942841978864</v>
      </c>
      <c r="AJ190" s="1564">
        <f>((AI171+3*AJ171)/AH172-1)*100</f>
        <v>17.477142437713368</v>
      </c>
      <c r="AK190" s="1564">
        <f>((AI171+AJ171+2*AK171)/AH172-1)*100</f>
        <v>16.690443299318304</v>
      </c>
      <c r="AL190" s="1621"/>
      <c r="AM190" s="1564">
        <f>(4*AM171/AL172-1)*100</f>
        <v>11.732873794186682</v>
      </c>
      <c r="AN190" s="1564">
        <f>((AM171+3*AN171)/AL172-1)*100</f>
        <v>5.183805060441693</v>
      </c>
      <c r="AO190" s="1564">
        <f>((AM171+AN171+2*AO171)/AL172-1)*100</f>
        <v>7.0902142325717676</v>
      </c>
      <c r="AP190" s="1621"/>
      <c r="AQ190" s="1564">
        <f>(4*AQ171/AP172-1)*100</f>
        <v>-3.0586433840309568</v>
      </c>
      <c r="AR190" s="1564">
        <f>((AQ171+3*AR171)/AP172-1)*100</f>
        <v>0.14281717928712467</v>
      </c>
      <c r="AS190" s="1564">
        <f>((AQ171+AR171+2*AS171)/AP172-1)*100</f>
        <v>2.5356674862704098</v>
      </c>
      <c r="AT190" s="1621"/>
      <c r="AU190" s="1564">
        <f>(4*AU171/AT172-1)*100</f>
        <v>22.820297824245749</v>
      </c>
      <c r="AV190" s="1564">
        <f>((AU171+3*AV171)/AT172-1)*100</f>
        <v>26.294350970322398</v>
      </c>
      <c r="AW190" s="1564">
        <f>((AU171+AV171+2*AW171)/AT172-1)*100</f>
        <v>29.508241352644404</v>
      </c>
      <c r="AX190" s="1621"/>
      <c r="AY190" s="1564">
        <f>(4*AY171/AX172-1)*100</f>
        <v>11.136360238604247</v>
      </c>
      <c r="AZ190" s="1564">
        <f>((AY171+3*AZ171)/AX172-1)*100</f>
        <v>12.811523568897719</v>
      </c>
      <c r="BA190" s="1564">
        <f>((AY171+AZ171+2*BA171)/AX172-1)*100</f>
        <v>11.878634753098405</v>
      </c>
      <c r="BB190" s="1621"/>
      <c r="BC190" s="1564">
        <f>(4*BC171/BB172-1)*100</f>
        <v>-0.34571767937836562</v>
      </c>
      <c r="BD190" s="1564">
        <f>((BC171+3*BD171)/BB172-1)*100</f>
        <v>-3.9150370601381823E-2</v>
      </c>
      <c r="BE190" s="1564">
        <f>((BC171+BD171+2*BE171)/BB172-1)*100</f>
        <v>2.9535305007929669</v>
      </c>
      <c r="BF190" s="1621"/>
      <c r="BG190" s="1564">
        <f>(4*BG171/BF172-1)*100</f>
        <v>12.778560265488426</v>
      </c>
      <c r="BH190" s="1564">
        <f>((BG171+3*BH171)/BF172-1)*100</f>
        <v>16.249589997877646</v>
      </c>
      <c r="BI190" s="1564">
        <f>((BG171+BH171+2*BI171)/BF172-1)*100</f>
        <v>14.518255545479697</v>
      </c>
      <c r="BJ190" s="1621"/>
      <c r="BK190" s="1564">
        <f>(4*BK171/BJ172-1)*100</f>
        <v>-10.29285293984521</v>
      </c>
      <c r="BL190" s="1564">
        <f>((BK171+3*BL171)/BJ172-1)*100</f>
        <v>-14.582107454849957</v>
      </c>
      <c r="BM190" s="1564">
        <f>((BK171+BL171+2*BM171)/BJ172-1)*100</f>
        <v>-13.697211786538732</v>
      </c>
      <c r="BN190" s="1621"/>
      <c r="BO190" s="1564">
        <f>(4*BO171/BN172-1)*100</f>
        <v>8.2290570303668265</v>
      </c>
      <c r="BP190" s="1564">
        <f>((BO171+3*BP171)/BN172-1)*100</f>
        <v>14.647409659688936</v>
      </c>
      <c r="BQ190" s="1564">
        <f>((BO171+BP171+2*BQ171)/BN172-1)*100</f>
        <v>17.498278304032013</v>
      </c>
      <c r="BR190" s="1621"/>
      <c r="BS190" s="1564">
        <f>(4*BS171/BR172-1)*100</f>
        <v>11.462493725310452</v>
      </c>
      <c r="BT190" s="1564">
        <f>((BS171+3*BT171)/BR172-1)*100</f>
        <v>14.184617735000749</v>
      </c>
      <c r="BU190" s="1564">
        <f>((BS171+BT171+2*BU171)/BR172-1)*100</f>
        <v>14.967044239289384</v>
      </c>
      <c r="BV190" s="1621"/>
      <c r="BW190" s="1564">
        <f>(4*BW171/BV172-1)*100</f>
        <v>6.687363055998552</v>
      </c>
      <c r="BX190" s="1564">
        <f>((BW171+3*BX171)/BV172-1)*100</f>
        <v>8.9262643805990027</v>
      </c>
      <c r="BY190" s="1564">
        <f>((BW171+BX171+2*BY171)/BV172-1)*100</f>
        <v>11.247982811901046</v>
      </c>
      <c r="BZ190" s="1621"/>
      <c r="CA190" s="1564">
        <f>(4*CA171/BZ172-1)*100</f>
        <v>8.7225774944955212</v>
      </c>
      <c r="CB190" s="1564">
        <f>((CA171+3*CB171)/BZ172-1)*100</f>
        <v>8.7996194213014522</v>
      </c>
      <c r="CC190" s="1564">
        <f>((CA171+CB171+2*CC171)/BZ172-1)*100</f>
        <v>9.5296232523480953</v>
      </c>
      <c r="CD190" s="1621"/>
      <c r="CE190" s="1564">
        <f>(4*CE171/CD172-1)*100</f>
        <v>1.6806497234689077</v>
      </c>
      <c r="CF190" s="1564">
        <f>((CE171+3*CF171)/CD172-1)*100</f>
        <v>3.2455511649566393</v>
      </c>
      <c r="CG190" s="1564">
        <f>((CE171+CF171+2*CG171)/CD172-1)*100</f>
        <v>3.4448528425401692</v>
      </c>
      <c r="CH190" s="1621"/>
      <c r="CI190" s="1564">
        <f>(4*CI171/CH172-1)*100</f>
        <v>-0.98113767457388423</v>
      </c>
      <c r="CJ190" s="1564">
        <f>((CI171+3*CJ171)/CH172-1)*100</f>
        <v>-0.71739896507595491</v>
      </c>
      <c r="CK190" s="1564">
        <f>((CI171+CJ171+2*CK171)/CH172-1)*100</f>
        <v>-0.61947066787840788</v>
      </c>
      <c r="CL190" s="1621"/>
      <c r="CM190" s="1564">
        <f>(4*CM171/CL172-1)*100</f>
        <v>1.3380630689376449</v>
      </c>
      <c r="CN190" s="1564">
        <f>((CM171+3*CN171)/CL172-1)*100</f>
        <v>1.8299158261076975</v>
      </c>
      <c r="CO190" s="1564">
        <f>((CM171+CN171+2*CO171)/CL172-1)*100</f>
        <v>2.8434305984581298</v>
      </c>
      <c r="CP190" s="1621"/>
      <c r="CQ190" s="1564">
        <f>(4*CQ171/CP172-1)*100</f>
        <v>7.9217617998242673</v>
      </c>
      <c r="CR190" s="1564">
        <f>((CQ171+3*CR171)/CP172-1)*100</f>
        <v>10.98964409684713</v>
      </c>
      <c r="CS190" s="1564">
        <f>((CQ171+CR171+2*CS171)/CP172-1)*100</f>
        <v>12.555992452721476</v>
      </c>
      <c r="CT190" s="1621"/>
      <c r="CU190" s="1564">
        <f>(4*CU171/CT172-1)*100</f>
        <v>4.6784843274783272</v>
      </c>
      <c r="CV190" s="1564">
        <f>((CU171+3*CV171)/CT172-1)*100</f>
        <v>4.9925197804607579</v>
      </c>
      <c r="CW190" s="1564">
        <f>((CU171+CV171+2*CW171)/CT172-1)*100</f>
        <v>5.2815370756889468</v>
      </c>
      <c r="CX190" s="1621"/>
      <c r="CY190" s="1564">
        <f>(4*CY171/CX172-1)*100</f>
        <v>2.4031584762975955</v>
      </c>
      <c r="CZ190" s="1564">
        <f>((CY171+3*CZ171)/CX172-1)*100</f>
        <v>3.4015892714414964</v>
      </c>
      <c r="DA190" s="1564">
        <f>((CY171+CZ171+2*DA171)/CX172-1)*100</f>
        <v>4.0758628684286702</v>
      </c>
      <c r="DB190" s="1621"/>
      <c r="DC190"/>
      <c r="DD190"/>
      <c r="DE190"/>
      <c r="DF190"/>
      <c r="DG190"/>
      <c r="DH190"/>
      <c r="DI190"/>
      <c r="DJ190"/>
      <c r="DK190"/>
      <c r="DL190"/>
      <c r="DM190"/>
      <c r="DN190"/>
      <c r="DO190"/>
    </row>
    <row r="191" spans="1:119" ht="12.75" customHeight="1">
      <c r="C191" s="1557"/>
      <c r="D191" s="828"/>
      <c r="E191" s="3631" t="s">
        <v>1807</v>
      </c>
      <c r="F191" s="828"/>
      <c r="G191" s="876"/>
      <c r="H191" s="876"/>
      <c r="I191" s="876"/>
      <c r="J191" s="876"/>
      <c r="K191" s="1620"/>
      <c r="L191" s="883">
        <f>(4*L171/(K171+3*L171)-1)*100</f>
        <v>0.79549203156010773</v>
      </c>
      <c r="M191" s="883">
        <f>(4*M171/(K171+L171+2*M171)-1)*100</f>
        <v>3.5109219917841772</v>
      </c>
      <c r="N191" s="883">
        <f>+(4*N171/N172-1)*100</f>
        <v>7.3073468094938976</v>
      </c>
      <c r="O191" s="1620"/>
      <c r="P191" s="883">
        <f>(4*P171/(O171+3*P171)-1)*100</f>
        <v>0.72908986647006735</v>
      </c>
      <c r="Q191" s="883">
        <f>(4*Q171/(O171+P171+2*Q171)-1)*100</f>
        <v>1.7928376540931046</v>
      </c>
      <c r="R191" s="883">
        <f>+(4*R171/R172-1)*100</f>
        <v>8.2413056405964191</v>
      </c>
      <c r="S191" s="1620"/>
      <c r="T191" s="883">
        <f>(4*T171/(S171+3*T171)-1)*100</f>
        <v>-0.33739404030360687</v>
      </c>
      <c r="U191" s="883">
        <f>(4*U171/(S171+T171+2*U171)-1)*100</f>
        <v>-3.6772684327566862</v>
      </c>
      <c r="V191" s="883">
        <f>+(4*V171/V172-1)*100</f>
        <v>-7.9126698933682516</v>
      </c>
      <c r="W191" s="1620"/>
      <c r="X191" s="883">
        <f>(4*X171/(W171+3*X171)-1)*100</f>
        <v>-1.2978189847238863</v>
      </c>
      <c r="Y191" s="883">
        <f>(4*Y171/(W171+X171+2*Y171)-1)*100</f>
        <v>-1.7001855659762311</v>
      </c>
      <c r="Z191" s="883">
        <f>+(4*Z171/Z172-1)*100</f>
        <v>-2.4480007239928159</v>
      </c>
      <c r="AA191" s="1620"/>
      <c r="AB191" s="883">
        <f>(4*AB171/(AA171+3*AB171)-1)*100</f>
        <v>0.16917275468060211</v>
      </c>
      <c r="AC191" s="883">
        <f>(4*AC171/(AA171+AB171+2*AC171)-1)*100</f>
        <v>3.7688922900325217</v>
      </c>
      <c r="AD191" s="883">
        <f>+(4*AD171/AD172-1)*100</f>
        <v>4.116619349202888</v>
      </c>
      <c r="AE191" s="1620"/>
      <c r="AF191" s="883">
        <f>(4*AF171/(AE171+3*AF171)-1)*100</f>
        <v>0.95590502621030193</v>
      </c>
      <c r="AG191" s="883">
        <f>(4*AG171/(AE171+AF171+2*AG171)-1)*100</f>
        <v>2.2579270890390024</v>
      </c>
      <c r="AH191" s="883">
        <f>+(4*AH171/AH172-1)*100</f>
        <v>5.3634813507134949</v>
      </c>
      <c r="AI191" s="1620"/>
      <c r="AJ191" s="883">
        <f>(4*AJ171/(AI171+3*AJ171)-1)*100</f>
        <v>1.9641266525258105</v>
      </c>
      <c r="AK191" s="883">
        <f>(4*AK171/(AI171+AJ171+2*AK171)-1)*100</f>
        <v>1.3031921756857967</v>
      </c>
      <c r="AL191" s="883">
        <f>+(4*AL171/AL172-1)*100</f>
        <v>5.5863257428827806</v>
      </c>
      <c r="AM191" s="1620"/>
      <c r="AN191" s="883">
        <f>(4*AN171/(AM171+3*AN171)-1)*100</f>
        <v>-2.0754363373657103</v>
      </c>
      <c r="AO191" s="883">
        <f>(4*AO171/(AM171+AN171+2*AO171)-1)*100</f>
        <v>-0.25829973457475175</v>
      </c>
      <c r="AP191" s="883">
        <f>+(4*AP171/AP172-1)*100</f>
        <v>2.1970288137340033</v>
      </c>
      <c r="AQ191" s="1620"/>
      <c r="AR191" s="883">
        <f>(4*AR171/(AQ171+3*AR171)-1)*100</f>
        <v>1.0656316160903234</v>
      </c>
      <c r="AS191" s="883">
        <f>(4*AS171/(AQ171+AR171+2*AS171)-1)*100</f>
        <v>3.3744392687087288</v>
      </c>
      <c r="AT191" s="883">
        <f>+(4*AT171/AT172-1)*100</f>
        <v>7.4252111028334955</v>
      </c>
      <c r="AU191" s="1620"/>
      <c r="AV191" s="883">
        <f>(4*AV171/(AU171+3*AV171)-1)*100</f>
        <v>0.91691964562294892</v>
      </c>
      <c r="AW191" s="883">
        <f>(4*AW171/(AU171+AV171+2*AW171)-1)*100</f>
        <v>3.3757759753500372</v>
      </c>
      <c r="AX191" s="883">
        <f>+(4*AX171/AX172-1)*100</f>
        <v>6.4001554814693051</v>
      </c>
      <c r="AY191" s="1620"/>
      <c r="AZ191" s="883">
        <f>(4*AZ171/(AY171+3*AZ171)-1)*100</f>
        <v>0.49497405858849319</v>
      </c>
      <c r="BA191" s="883">
        <f>(4*BA171/(AY171+AZ171+2*BA171)-1)*100</f>
        <v>-0.33473865663564695</v>
      </c>
      <c r="BB191" s="883">
        <f>+(4*BB171/BB172-1)*100</f>
        <v>1.7219527408577351</v>
      </c>
      <c r="BC191" s="1620"/>
      <c r="BD191" s="883">
        <f>(4*BD171/(BC171+3*BD171)-1)*100</f>
        <v>0.10222912600734713</v>
      </c>
      <c r="BE191" s="883">
        <f>(4*BE171/(BC171+BD171+2*BE171)-1)*100</f>
        <v>3.0060843559863937</v>
      </c>
      <c r="BF191" s="883">
        <f>+(4*BF171/BF172-1)*100</f>
        <v>3.6459639712644876</v>
      </c>
      <c r="BG191" s="1620"/>
      <c r="BH191" s="883">
        <f>(4*BH171/(BG171+3*BH171)-1)*100</f>
        <v>0.99528085287656776</v>
      </c>
      <c r="BI191" s="883">
        <f>(4*BI171/(BG171+BH171+2*BI171)-1)*100</f>
        <v>-0.50151352626347512</v>
      </c>
      <c r="BJ191" s="883">
        <f>+(4*BJ171/BJ172-1)*100</f>
        <v>-2.7406870954601037</v>
      </c>
      <c r="BK191" s="1620"/>
      <c r="BL191" s="883">
        <f>(4*BL171/(BK171+3*BL171)-1)*100</f>
        <v>-1.673831398083081</v>
      </c>
      <c r="BM191" s="883">
        <f>(4*BM171/(BK171+BL171+2*BM171)-1)*100</f>
        <v>-0.63133051430819265</v>
      </c>
      <c r="BN191" s="883">
        <f>+(4*BN171/BN172-1)*100</f>
        <v>2.0699333411296816</v>
      </c>
      <c r="BO191" s="1620"/>
      <c r="BP191" s="883">
        <f>(4*BP171/(BO171+3*BP171)-1)*100</f>
        <v>1.8661135762171099</v>
      </c>
      <c r="BQ191" s="883">
        <f>(4*BQ171/(BO171+BP171+2*BQ171)-1)*100</f>
        <v>4.2471426754621122</v>
      </c>
      <c r="BR191" s="883">
        <f>+(4*BR171/BR172-1)*100</f>
        <v>8.1603701521203007</v>
      </c>
      <c r="BS191" s="1620"/>
      <c r="BT191" s="883">
        <f>(4*BT171/(BS171+3*BT171)-1)*100</f>
        <v>0.79465578454935848</v>
      </c>
      <c r="BU191" s="883">
        <f>(4*BU171/(BS171+BT171+2*BU171)-1)*100</f>
        <v>1.469813532535702</v>
      </c>
      <c r="BV191" s="883">
        <f>+(4*BV171/BV172-1)*100</f>
        <v>2.3202987094728567</v>
      </c>
      <c r="BW191" s="1620"/>
      <c r="BX191" s="883">
        <f>(4*BX171/(BW171+3*BX171)-1)*100</f>
        <v>0.68514278514670846</v>
      </c>
      <c r="BY191" s="883">
        <f>(4*BY171/(BW171+BX171+2*BY171)-1)*100</f>
        <v>2.7578197782003322</v>
      </c>
      <c r="BZ191" s="883">
        <f>+(4*BZ171/BZ172-1)*100</f>
        <v>5.8311897715264793</v>
      </c>
      <c r="CA191" s="1620"/>
      <c r="CB191" s="883">
        <f>(4*CB171/(CA171+3*CB171)-1)*100</f>
        <v>2.360361406157363E-2</v>
      </c>
      <c r="CC191" s="883">
        <f>(4*CC171/(CA171+CB171+2*CC171)-1)*100</f>
        <v>0.68993615688264232</v>
      </c>
      <c r="CD191" s="883">
        <f>+(4*CD171/CD172-1)*100</f>
        <v>1.5411385491604479</v>
      </c>
      <c r="CE191" s="1620"/>
      <c r="CF191" s="883">
        <f>(4*CF171/(CE171+3*CF171)-1)*100</f>
        <v>0.5052361171435038</v>
      </c>
      <c r="CG191" s="883">
        <f>(4*CG171/(CE171+CF171+2*CG171)-1)*100</f>
        <v>0.69692736912698727</v>
      </c>
      <c r="CH191" s="883">
        <f>+(4*CH171/CH172-1)*100</f>
        <v>0.34831314798673407</v>
      </c>
      <c r="CI191" s="1620"/>
      <c r="CJ191" s="883">
        <f>(4*CJ171/(CI171+3*CJ171)-1)*100</f>
        <v>8.8548146653666393E-2</v>
      </c>
      <c r="CK191" s="883">
        <f>(4*CK171/(CI171+CJ171+2*CK171)-1)*100</f>
        <v>0.18699960808465921</v>
      </c>
      <c r="CL191" s="883">
        <f>+(4*CL171/CL172-1)*100</f>
        <v>0.69865448461656765</v>
      </c>
      <c r="CM191" s="1620"/>
      <c r="CN191" s="883">
        <f>(4*CN171/(CM171+3*CN171)-1)*100</f>
        <v>0.16100466913540057</v>
      </c>
      <c r="CO191" s="883">
        <f>(4*CO171/(CM171+CN171+2*CO171)-1)*100</f>
        <v>1.1449109433196769</v>
      </c>
      <c r="CP191" s="883">
        <f>+(4*CP171/CP172-1)*100</f>
        <v>2.9872243586973601</v>
      </c>
      <c r="CQ191" s="1620"/>
      <c r="CR191" s="883">
        <f>(4*CR171/(CQ171+3*CR171)-1)*100</f>
        <v>0.92137193578945009</v>
      </c>
      <c r="CS191" s="883">
        <f>(4*CS171/(CQ171+CR171+2*CS171)-1)*100</f>
        <v>2.300166994043229</v>
      </c>
      <c r="CT191" s="883">
        <f>+(4*CT171/CT172-1)*100</f>
        <v>4.2614385731855942</v>
      </c>
      <c r="CU191" s="1620"/>
      <c r="CV191" s="883">
        <f>(4*CV171/(CU171+3*CV171)-1)*100</f>
        <v>9.9700897308085956E-2</v>
      </c>
      <c r="CW191" s="883">
        <f>(4*CW171/(CU171+CV171+2*CW171)-1)*100</f>
        <v>0.37394569882904793</v>
      </c>
      <c r="CX191" s="883">
        <f>+(4*CX171/CX172-1)*100</f>
        <v>1.0491005292062372</v>
      </c>
      <c r="CY191" s="1620"/>
      <c r="CZ191" s="883">
        <f>(4*CZ171/(CY171+3*CZ171)-1)*100</f>
        <v>0.32186184699181108</v>
      </c>
      <c r="DA191" s="883">
        <f>(4*DA171/(CY171+CZ171+2*DA171)-1)*100</f>
        <v>0.96764401877529327</v>
      </c>
      <c r="DB191" s="883">
        <f>+(4*DB171/DB172-1)*100</f>
        <v>1.9456938539149649</v>
      </c>
    </row>
    <row r="192" spans="1:119" ht="30" customHeight="1">
      <c r="E192" s="599"/>
      <c r="F192" s="3617"/>
      <c r="BF192" s="217"/>
      <c r="BJ192" s="217"/>
      <c r="BN192" s="1312">
        <f>(BM189+BN189)/2</f>
        <v>-11.527317048260871</v>
      </c>
      <c r="BR192" s="1312">
        <f>(BQ189+BR189)/2</f>
        <v>25.281643951387423</v>
      </c>
      <c r="BV192" s="1312">
        <f>(BU189+BV189)/2</f>
        <v>11.237400680445543</v>
      </c>
      <c r="CM192" s="557"/>
      <c r="CN192" s="557"/>
      <c r="CO192" s="557"/>
      <c r="CP192" s="557"/>
      <c r="CQ192" s="557"/>
      <c r="CR192" s="557"/>
      <c r="CS192" s="557"/>
      <c r="CT192" s="557"/>
      <c r="CU192" s="557"/>
      <c r="CV192" s="557"/>
      <c r="CW192" s="557"/>
      <c r="CX192" s="557"/>
      <c r="CY192" s="557"/>
      <c r="CZ192" s="557"/>
      <c r="DA192" s="557"/>
      <c r="DB192" s="557"/>
    </row>
    <row r="193" spans="1:119" ht="30" customHeight="1">
      <c r="E193" s="599"/>
      <c r="F193" s="3617"/>
      <c r="CM193" s="557"/>
      <c r="CN193" s="557"/>
      <c r="CO193" s="557"/>
      <c r="CP193" s="557"/>
      <c r="CQ193" s="557"/>
      <c r="CR193" s="557"/>
      <c r="CS193" s="557"/>
      <c r="CT193" s="557"/>
      <c r="CU193" s="557"/>
      <c r="CV193" s="557"/>
      <c r="CW193" s="557"/>
      <c r="CX193" s="557"/>
      <c r="CY193" s="557"/>
      <c r="CZ193" s="557"/>
      <c r="DA193" s="557"/>
      <c r="DB193" s="557"/>
    </row>
    <row r="194" spans="1:119" ht="30" customHeight="1">
      <c r="C194" s="3769" t="s">
        <v>1359</v>
      </c>
      <c r="D194" s="3769"/>
      <c r="E194" s="3769"/>
      <c r="F194" s="3769"/>
      <c r="CM194" s="557"/>
      <c r="CN194" s="557"/>
      <c r="CO194" s="557"/>
      <c r="CP194" s="557"/>
      <c r="CQ194" s="557"/>
      <c r="CR194" s="557"/>
      <c r="CS194" s="557"/>
      <c r="CT194" s="557"/>
      <c r="CU194" s="557"/>
      <c r="CV194" s="557"/>
      <c r="CW194" s="557"/>
      <c r="CX194" s="557"/>
      <c r="CY194" s="557"/>
      <c r="CZ194" s="557"/>
      <c r="DA194" s="557"/>
      <c r="DB194" s="557"/>
    </row>
    <row r="195" spans="1:119" s="884" customFormat="1" ht="12.75" customHeight="1">
      <c r="A195" s="664"/>
      <c r="B195" s="664"/>
      <c r="C195" s="666"/>
      <c r="D195" s="1041"/>
      <c r="E195" s="3632"/>
      <c r="F195" s="1041"/>
      <c r="G195" s="1044"/>
      <c r="H195" s="1559"/>
      <c r="I195" s="1559"/>
      <c r="J195" s="1559"/>
      <c r="K195" s="1044"/>
      <c r="L195" s="1559"/>
      <c r="M195" s="1559"/>
      <c r="N195" s="1559"/>
      <c r="O195" s="1044"/>
      <c r="P195" s="1559"/>
      <c r="Q195" s="1559"/>
      <c r="R195" s="1559"/>
      <c r="S195" s="1044"/>
      <c r="T195" s="1559"/>
      <c r="U195" s="1559"/>
      <c r="V195" s="1559"/>
      <c r="W195" s="1044"/>
      <c r="X195" s="1559"/>
      <c r="Y195" s="1559"/>
      <c r="Z195" s="1559"/>
      <c r="AA195" s="1044"/>
      <c r="AB195" s="1559"/>
      <c r="AC195" s="1559"/>
      <c r="AD195" s="1559"/>
      <c r="AE195" s="1044"/>
      <c r="AF195" s="1559"/>
      <c r="AG195" s="1559"/>
      <c r="AH195" s="1559"/>
      <c r="AI195" s="1044"/>
      <c r="AJ195" s="1559"/>
      <c r="AK195" s="1559"/>
      <c r="AL195" s="1559"/>
      <c r="AM195" s="1044"/>
      <c r="AN195" s="1559"/>
      <c r="AO195" s="1559"/>
      <c r="AP195" s="1559"/>
      <c r="AQ195" s="1044"/>
      <c r="AR195" s="1559"/>
      <c r="AS195" s="1559"/>
      <c r="AT195" s="1559"/>
      <c r="AU195" s="1044"/>
      <c r="AV195" s="1559"/>
      <c r="AW195" s="1559"/>
      <c r="AX195" s="1559"/>
      <c r="AY195" s="1560"/>
      <c r="AZ195" s="1559"/>
      <c r="BA195" s="1560"/>
      <c r="BB195" s="1560"/>
      <c r="BC195" s="1560"/>
      <c r="BD195" s="1560"/>
      <c r="BE195" s="1560"/>
      <c r="BF195" s="1560"/>
      <c r="BG195" s="1560"/>
      <c r="BH195" s="1560"/>
      <c r="BI195" s="1560"/>
      <c r="BJ195" s="1560"/>
      <c r="BK195" s="1560"/>
      <c r="BL195" s="1560"/>
      <c r="BM195" s="1560"/>
      <c r="BN195" s="1560"/>
      <c r="BO195" s="1560"/>
      <c r="BP195" s="1560"/>
      <c r="BQ195" s="1560"/>
      <c r="BR195" s="1560"/>
      <c r="BS195" s="1560"/>
      <c r="BT195" s="1560"/>
      <c r="BU195" s="1560"/>
      <c r="BV195" s="1560"/>
      <c r="BW195" s="1560"/>
      <c r="BX195" s="1560"/>
      <c r="BY195" s="1560"/>
      <c r="BZ195" s="1560"/>
      <c r="CA195" s="1560"/>
      <c r="CB195" s="1560"/>
      <c r="CC195" s="1560"/>
      <c r="CD195" s="1560"/>
      <c r="CE195" s="1560"/>
      <c r="CF195" s="1560"/>
      <c r="CG195" s="1560"/>
      <c r="CH195" s="1560"/>
      <c r="CI195" s="1560"/>
      <c r="CJ195" s="1560"/>
      <c r="CK195" s="1560"/>
      <c r="CL195" s="1560"/>
      <c r="CM195" s="1560"/>
      <c r="CN195" s="1560"/>
      <c r="CO195" s="1560"/>
      <c r="CP195" s="1560"/>
      <c r="CQ195" s="1560"/>
      <c r="CR195" s="1560"/>
      <c r="CS195" s="1560"/>
      <c r="CT195" s="1560"/>
      <c r="CU195" s="1560"/>
      <c r="CV195" s="1560"/>
      <c r="CW195" s="1560"/>
      <c r="CX195" s="1560"/>
      <c r="CY195" s="1560"/>
      <c r="CZ195" s="1560"/>
      <c r="DA195" s="1560"/>
      <c r="DB195" s="1560"/>
      <c r="DC195"/>
      <c r="DD195"/>
      <c r="DE195"/>
      <c r="DF195"/>
      <c r="DG195"/>
      <c r="DH195"/>
      <c r="DI195"/>
      <c r="DJ195"/>
      <c r="DK195"/>
      <c r="DL195"/>
      <c r="DM195"/>
      <c r="DN195"/>
      <c r="DO195"/>
    </row>
    <row r="196" spans="1:119" ht="12.75" customHeight="1">
      <c r="E196" s="599"/>
      <c r="F196" s="3617"/>
      <c r="G196" s="3764">
        <f ca="1">OFFSET(InputY!$G$3,0,(COLUMN()-7)/4)</f>
        <v>1995</v>
      </c>
      <c r="H196" s="3765"/>
      <c r="I196" s="3765"/>
      <c r="J196" s="3766"/>
      <c r="K196" s="3764">
        <f ca="1">OFFSET(InputY!$G$3,0,(COLUMN()-7)/4)</f>
        <v>1996</v>
      </c>
      <c r="L196" s="3765"/>
      <c r="M196" s="3765"/>
      <c r="N196" s="3766"/>
      <c r="O196" s="3764">
        <f ca="1">OFFSET(InputY!$G$3,0,(COLUMN()-7)/4)</f>
        <v>1997</v>
      </c>
      <c r="P196" s="3765"/>
      <c r="Q196" s="3765"/>
      <c r="R196" s="3766"/>
      <c r="S196" s="3764">
        <f ca="1">OFFSET(InputY!$G$3,0,(COLUMN()-7)/4)</f>
        <v>1998</v>
      </c>
      <c r="T196" s="3765"/>
      <c r="U196" s="3765"/>
      <c r="V196" s="3766"/>
      <c r="W196" s="3764">
        <f ca="1">OFFSET(InputY!$G$3,0,(COLUMN()-7)/4)</f>
        <v>1999</v>
      </c>
      <c r="X196" s="3765"/>
      <c r="Y196" s="3765"/>
      <c r="Z196" s="3766"/>
      <c r="AA196" s="3764">
        <f ca="1">OFFSET(InputY!$G$3,0,(COLUMN()-7)/4)</f>
        <v>2000</v>
      </c>
      <c r="AB196" s="3765"/>
      <c r="AC196" s="3765"/>
      <c r="AD196" s="3766"/>
      <c r="AE196" s="3764">
        <f ca="1">OFFSET(InputY!$G$3,0,(COLUMN()-7)/4)</f>
        <v>2001</v>
      </c>
      <c r="AF196" s="3765"/>
      <c r="AG196" s="3765"/>
      <c r="AH196" s="3766"/>
      <c r="AI196" s="3764">
        <f ca="1">OFFSET(InputY!$G$3,0,(COLUMN()-7)/4)</f>
        <v>2002</v>
      </c>
      <c r="AJ196" s="3765"/>
      <c r="AK196" s="3765"/>
      <c r="AL196" s="3766"/>
      <c r="AM196" s="3764">
        <f ca="1">OFFSET(InputY!$G$3,0,(COLUMN()-7)/4)</f>
        <v>2003</v>
      </c>
      <c r="AN196" s="3765"/>
      <c r="AO196" s="3765"/>
      <c r="AP196" s="3766"/>
      <c r="AQ196" s="3764">
        <f ca="1">OFFSET(InputY!$G$3,0,(COLUMN()-7)/4)</f>
        <v>2004</v>
      </c>
      <c r="AR196" s="3765"/>
      <c r="AS196" s="3765"/>
      <c r="AT196" s="3766"/>
      <c r="AU196" s="3764">
        <f ca="1">OFFSET(InputY!$G$3,0,(COLUMN()-7)/4)</f>
        <v>2005</v>
      </c>
      <c r="AV196" s="3765"/>
      <c r="AW196" s="3765"/>
      <c r="AX196" s="3766"/>
      <c r="AY196" s="3764">
        <f ca="1">OFFSET(InputY!$G$3,0,(COLUMN()-7)/4)</f>
        <v>2006</v>
      </c>
      <c r="AZ196" s="3765"/>
      <c r="BA196" s="3765"/>
      <c r="BB196" s="3766"/>
      <c r="BC196" s="3764">
        <f ca="1">OFFSET(InputY!$G$3,0,(COLUMN()-7)/4)</f>
        <v>2007</v>
      </c>
      <c r="BD196" s="3765"/>
      <c r="BE196" s="3765"/>
      <c r="BF196" s="3766"/>
      <c r="BG196" s="3764">
        <f ca="1">OFFSET(InputY!$G$3,0,(COLUMN()-7)/4)</f>
        <v>2008</v>
      </c>
      <c r="BH196" s="3765"/>
      <c r="BI196" s="3765"/>
      <c r="BJ196" s="3766"/>
      <c r="BK196" s="3764">
        <f ca="1">OFFSET(InputY!$G$3,0,(COLUMN()-7)/4)</f>
        <v>2009</v>
      </c>
      <c r="BL196" s="3765"/>
      <c r="BM196" s="3765"/>
      <c r="BN196" s="3766"/>
      <c r="BO196" s="3764">
        <f ca="1">OFFSET(InputY!$G$3,0,(COLUMN()-7)/4)</f>
        <v>2010</v>
      </c>
      <c r="BP196" s="3765"/>
      <c r="BQ196" s="3765"/>
      <c r="BR196" s="3766"/>
      <c r="BS196" s="3764">
        <f ca="1">OFFSET(InputY!$G$3,0,(COLUMN()-7)/4)</f>
        <v>2011</v>
      </c>
      <c r="BT196" s="3765"/>
      <c r="BU196" s="3765"/>
      <c r="BV196" s="3766"/>
      <c r="BW196" s="3764">
        <f ca="1">OFFSET(InputY!$G$3,0,(COLUMN()-7)/4)</f>
        <v>2012</v>
      </c>
      <c r="BX196" s="3765"/>
      <c r="BY196" s="3765"/>
      <c r="BZ196" s="3766"/>
      <c r="CA196" s="3764">
        <f ca="1">OFFSET(InputY!$G$3,0,(COLUMN()-7)/4)</f>
        <v>2013</v>
      </c>
      <c r="CB196" s="3765"/>
      <c r="CC196" s="3765"/>
      <c r="CD196" s="3766"/>
      <c r="CE196" s="3764">
        <f ca="1">OFFSET(InputY!$G$3,0,(COLUMN()-7)/4)</f>
        <v>2014</v>
      </c>
      <c r="CF196" s="3765"/>
      <c r="CG196" s="3765"/>
      <c r="CH196" s="3766"/>
      <c r="CI196" s="3764">
        <f ca="1">OFFSET(InputY!$G$3,0,(COLUMN()-7)/4)</f>
        <v>2015</v>
      </c>
      <c r="CJ196" s="3765"/>
      <c r="CK196" s="3765"/>
      <c r="CL196" s="3766"/>
      <c r="CM196" s="3764">
        <f ca="1">OFFSET(InputY!$G$3,0,(COLUMN()-7)/4)</f>
        <v>2016</v>
      </c>
      <c r="CN196" s="3765"/>
      <c r="CO196" s="3765"/>
      <c r="CP196" s="3766"/>
      <c r="CQ196" s="3764">
        <f ca="1">OFFSET(InputY!$G$3,0,(COLUMN()-7)/4)</f>
        <v>2017</v>
      </c>
      <c r="CR196" s="3765"/>
      <c r="CS196" s="3765"/>
      <c r="CT196" s="3766"/>
      <c r="CU196" s="3764">
        <f ca="1">OFFSET(InputY!$G$3,0,(COLUMN()-7)/4)</f>
        <v>2018</v>
      </c>
      <c r="CV196" s="3765"/>
      <c r="CW196" s="3765"/>
      <c r="CX196" s="3766"/>
      <c r="CY196" s="3764">
        <f ca="1">OFFSET(InputY!$G$3,0,(COLUMN()-7)/4)</f>
        <v>2019</v>
      </c>
      <c r="CZ196" s="3765"/>
      <c r="DA196" s="3765"/>
      <c r="DB196" s="3766"/>
    </row>
    <row r="197" spans="1:119" s="699" customFormat="1" ht="12.75" customHeight="1">
      <c r="A197" s="664"/>
      <c r="B197" s="664"/>
      <c r="C197" s="666"/>
      <c r="D197" s="695"/>
      <c r="E197" s="3618" t="s">
        <v>1892</v>
      </c>
      <c r="F197" s="3619"/>
      <c r="G197" s="1566" t="s">
        <v>1842</v>
      </c>
      <c r="H197" s="1567" t="s">
        <v>1843</v>
      </c>
      <c r="I197" s="1567" t="s">
        <v>1844</v>
      </c>
      <c r="J197" s="1568" t="s">
        <v>1845</v>
      </c>
      <c r="K197" s="1566" t="s">
        <v>1842</v>
      </c>
      <c r="L197" s="1567" t="s">
        <v>1843</v>
      </c>
      <c r="M197" s="1567" t="s">
        <v>1844</v>
      </c>
      <c r="N197" s="1568" t="s">
        <v>1845</v>
      </c>
      <c r="O197" s="1566" t="s">
        <v>1842</v>
      </c>
      <c r="P197" s="1567" t="s">
        <v>1843</v>
      </c>
      <c r="Q197" s="1567" t="s">
        <v>1844</v>
      </c>
      <c r="R197" s="1568" t="s">
        <v>1845</v>
      </c>
      <c r="S197" s="1566" t="s">
        <v>1842</v>
      </c>
      <c r="T197" s="1567" t="s">
        <v>1843</v>
      </c>
      <c r="U197" s="1567" t="s">
        <v>1844</v>
      </c>
      <c r="V197" s="1568" t="s">
        <v>1845</v>
      </c>
      <c r="W197" s="1566" t="s">
        <v>1842</v>
      </c>
      <c r="X197" s="1567" t="s">
        <v>1843</v>
      </c>
      <c r="Y197" s="1567" t="s">
        <v>1844</v>
      </c>
      <c r="Z197" s="1568" t="s">
        <v>1845</v>
      </c>
      <c r="AA197" s="1566" t="s">
        <v>1842</v>
      </c>
      <c r="AB197" s="1567" t="s">
        <v>1843</v>
      </c>
      <c r="AC197" s="1567" t="s">
        <v>1844</v>
      </c>
      <c r="AD197" s="1568" t="s">
        <v>1845</v>
      </c>
      <c r="AE197" s="1566" t="s">
        <v>1842</v>
      </c>
      <c r="AF197" s="1567" t="s">
        <v>1843</v>
      </c>
      <c r="AG197" s="1567" t="s">
        <v>1844</v>
      </c>
      <c r="AH197" s="1568" t="s">
        <v>1845</v>
      </c>
      <c r="AI197" s="1566" t="s">
        <v>1842</v>
      </c>
      <c r="AJ197" s="1567" t="s">
        <v>1843</v>
      </c>
      <c r="AK197" s="1567" t="s">
        <v>1844</v>
      </c>
      <c r="AL197" s="1568" t="s">
        <v>1845</v>
      </c>
      <c r="AM197" s="1566" t="s">
        <v>1842</v>
      </c>
      <c r="AN197" s="1567" t="s">
        <v>1843</v>
      </c>
      <c r="AO197" s="1567" t="s">
        <v>1844</v>
      </c>
      <c r="AP197" s="1568" t="s">
        <v>1845</v>
      </c>
      <c r="AQ197" s="1566" t="s">
        <v>1842</v>
      </c>
      <c r="AR197" s="1567" t="s">
        <v>1843</v>
      </c>
      <c r="AS197" s="1567" t="s">
        <v>1844</v>
      </c>
      <c r="AT197" s="1568" t="s">
        <v>1845</v>
      </c>
      <c r="AU197" s="1566" t="s">
        <v>1842</v>
      </c>
      <c r="AV197" s="1567" t="s">
        <v>1843</v>
      </c>
      <c r="AW197" s="1567" t="s">
        <v>1844</v>
      </c>
      <c r="AX197" s="1568" t="s">
        <v>1845</v>
      </c>
      <c r="AY197" s="1566" t="s">
        <v>1842</v>
      </c>
      <c r="AZ197" s="1567" t="s">
        <v>1843</v>
      </c>
      <c r="BA197" s="1567" t="s">
        <v>1844</v>
      </c>
      <c r="BB197" s="1568" t="s">
        <v>1845</v>
      </c>
      <c r="BC197" s="1566" t="s">
        <v>1842</v>
      </c>
      <c r="BD197" s="1567" t="s">
        <v>1843</v>
      </c>
      <c r="BE197" s="1567" t="s">
        <v>1844</v>
      </c>
      <c r="BF197" s="1568" t="s">
        <v>1845</v>
      </c>
      <c r="BG197" s="1566" t="s">
        <v>1842</v>
      </c>
      <c r="BH197" s="1567" t="s">
        <v>1843</v>
      </c>
      <c r="BI197" s="1567" t="s">
        <v>1844</v>
      </c>
      <c r="BJ197" s="1568" t="s">
        <v>1845</v>
      </c>
      <c r="BK197" s="1566" t="s">
        <v>1842</v>
      </c>
      <c r="BL197" s="1567" t="s">
        <v>1843</v>
      </c>
      <c r="BM197" s="1567" t="s">
        <v>1844</v>
      </c>
      <c r="BN197" s="1568" t="s">
        <v>1845</v>
      </c>
      <c r="BO197" s="1566" t="s">
        <v>1842</v>
      </c>
      <c r="BP197" s="1567" t="s">
        <v>1843</v>
      </c>
      <c r="BQ197" s="1567" t="s">
        <v>1844</v>
      </c>
      <c r="BR197" s="1568" t="s">
        <v>1845</v>
      </c>
      <c r="BS197" s="1566" t="s">
        <v>1842</v>
      </c>
      <c r="BT197" s="1567" t="s">
        <v>1843</v>
      </c>
      <c r="BU197" s="1567" t="s">
        <v>1844</v>
      </c>
      <c r="BV197" s="1568" t="s">
        <v>1845</v>
      </c>
      <c r="BW197" s="1566" t="s">
        <v>1842</v>
      </c>
      <c r="BX197" s="1567" t="s">
        <v>1843</v>
      </c>
      <c r="BY197" s="1567" t="s">
        <v>1844</v>
      </c>
      <c r="BZ197" s="1568" t="s">
        <v>1845</v>
      </c>
      <c r="CA197" s="1566" t="s">
        <v>1842</v>
      </c>
      <c r="CB197" s="1567" t="s">
        <v>1843</v>
      </c>
      <c r="CC197" s="1567" t="s">
        <v>1844</v>
      </c>
      <c r="CD197" s="1568" t="s">
        <v>1845</v>
      </c>
      <c r="CE197" s="1566" t="s">
        <v>1842</v>
      </c>
      <c r="CF197" s="1567" t="s">
        <v>1843</v>
      </c>
      <c r="CG197" s="1567" t="s">
        <v>1844</v>
      </c>
      <c r="CH197" s="1568" t="s">
        <v>1845</v>
      </c>
      <c r="CI197" s="1566" t="s">
        <v>1842</v>
      </c>
      <c r="CJ197" s="1567" t="s">
        <v>1843</v>
      </c>
      <c r="CK197" s="1567" t="s">
        <v>1844</v>
      </c>
      <c r="CL197" s="1568" t="s">
        <v>1845</v>
      </c>
      <c r="CM197" s="1566" t="s">
        <v>1842</v>
      </c>
      <c r="CN197" s="1567" t="s">
        <v>1843</v>
      </c>
      <c r="CO197" s="1567" t="s">
        <v>1844</v>
      </c>
      <c r="CP197" s="1568" t="s">
        <v>1845</v>
      </c>
      <c r="CQ197" s="1566" t="s">
        <v>1842</v>
      </c>
      <c r="CR197" s="1567" t="s">
        <v>1843</v>
      </c>
      <c r="CS197" s="1567" t="s">
        <v>1844</v>
      </c>
      <c r="CT197" s="1568" t="s">
        <v>1845</v>
      </c>
      <c r="CU197" s="1566" t="s">
        <v>1842</v>
      </c>
      <c r="CV197" s="1567" t="s">
        <v>1843</v>
      </c>
      <c r="CW197" s="1567" t="s">
        <v>1844</v>
      </c>
      <c r="CX197" s="1568" t="s">
        <v>1845</v>
      </c>
      <c r="CY197" s="1566" t="s">
        <v>1842</v>
      </c>
      <c r="CZ197" s="1567" t="s">
        <v>1843</v>
      </c>
      <c r="DA197" s="1567" t="s">
        <v>1844</v>
      </c>
      <c r="DB197" s="1568" t="s">
        <v>1845</v>
      </c>
      <c r="DC197"/>
      <c r="DD197"/>
      <c r="DE197"/>
      <c r="DF197"/>
      <c r="DG197"/>
      <c r="DH197"/>
      <c r="DI197"/>
      <c r="DJ197"/>
      <c r="DK197"/>
      <c r="DL197"/>
      <c r="DM197"/>
      <c r="DN197"/>
      <c r="DO197"/>
    </row>
    <row r="198" spans="1:119" s="699" customFormat="1" ht="12.75" customHeight="1">
      <c r="A198" s="664"/>
      <c r="B198" s="664"/>
      <c r="C198" s="1561" t="s">
        <v>1767</v>
      </c>
      <c r="D198" s="668"/>
      <c r="E198" s="3620" t="str">
        <f>E144</f>
        <v>Dom. demand incl. ch. in invent. &amp; incl. net acq. of val.</v>
      </c>
      <c r="F198" s="3621"/>
      <c r="G198" s="780">
        <f>G144</f>
        <v>2.7939353568118626</v>
      </c>
      <c r="H198" s="780">
        <f t="shared" ref="H198:AX198" si="476">H144</f>
        <v>2.7774270157553294</v>
      </c>
      <c r="I198" s="780">
        <f t="shared" si="476"/>
        <v>2.8373493975903612</v>
      </c>
      <c r="J198" s="780">
        <f t="shared" si="476"/>
        <v>2.8850787766450421</v>
      </c>
      <c r="K198" s="780">
        <f t="shared" si="476"/>
        <v>2.8943466172381838</v>
      </c>
      <c r="L198" s="780">
        <f t="shared" si="476"/>
        <v>2.9541821130676555</v>
      </c>
      <c r="M198" s="780">
        <f t="shared" si="476"/>
        <v>3.0619786839666356</v>
      </c>
      <c r="N198" s="780">
        <f t="shared" si="476"/>
        <v>3.1195841056533826</v>
      </c>
      <c r="O198" s="780">
        <f>O144</f>
        <v>3.2420644114921227</v>
      </c>
      <c r="P198" s="780">
        <f>P144</f>
        <v>3.3193639944392959</v>
      </c>
      <c r="Q198" s="780">
        <f>Q144</f>
        <v>3.3320783132530125</v>
      </c>
      <c r="R198" s="780">
        <f>R144</f>
        <v>3.4529657089898054</v>
      </c>
      <c r="S198" s="780">
        <f t="shared" si="476"/>
        <v>3.5312789620018532</v>
      </c>
      <c r="T198" s="780">
        <f t="shared" si="476"/>
        <v>3.5715361445783134</v>
      </c>
      <c r="U198" s="780">
        <f t="shared" si="476"/>
        <v>3.6646779425393885</v>
      </c>
      <c r="V198" s="780">
        <f t="shared" si="476"/>
        <v>3.5992527803521779</v>
      </c>
      <c r="W198" s="780">
        <f t="shared" si="476"/>
        <v>3.5315106580166824</v>
      </c>
      <c r="X198" s="780">
        <f t="shared" si="476"/>
        <v>3.6417689990732161</v>
      </c>
      <c r="Y198" s="780">
        <f t="shared" si="476"/>
        <v>3.5671339202965711</v>
      </c>
      <c r="Z198" s="780">
        <f t="shared" si="476"/>
        <v>3.5598934198331791</v>
      </c>
      <c r="AA198" s="780">
        <f t="shared" si="476"/>
        <v>3.60852062094532</v>
      </c>
      <c r="AB198" s="780">
        <f t="shared" si="476"/>
        <v>3.630444856348471</v>
      </c>
      <c r="AC198" s="780">
        <f t="shared" si="476"/>
        <v>3.6516740037071362</v>
      </c>
      <c r="AD198" s="780">
        <f t="shared" si="476"/>
        <v>3.694306070435589</v>
      </c>
      <c r="AE198" s="780">
        <f t="shared" si="476"/>
        <v>3.8013206672845232</v>
      </c>
      <c r="AF198" s="780">
        <f t="shared" si="476"/>
        <v>3.7856232622798887</v>
      </c>
      <c r="AG198" s="780">
        <f t="shared" si="476"/>
        <v>3.8472254402224286</v>
      </c>
      <c r="AH198" s="780">
        <f t="shared" si="476"/>
        <v>4.0454124189063947</v>
      </c>
      <c r="AI198" s="780">
        <f t="shared" si="476"/>
        <v>4.0696536144578319</v>
      </c>
      <c r="AJ198" s="780">
        <f t="shared" si="476"/>
        <v>4.1211480537534753</v>
      </c>
      <c r="AK198" s="780">
        <f t="shared" si="476"/>
        <v>4.1961596385542173</v>
      </c>
      <c r="AL198" s="780">
        <f t="shared" si="476"/>
        <v>4.2333468489341985</v>
      </c>
      <c r="AM198" s="780">
        <f t="shared" si="476"/>
        <v>4.3641392493049125</v>
      </c>
      <c r="AN198" s="780">
        <f t="shared" si="476"/>
        <v>4.5229379054680257</v>
      </c>
      <c r="AO198" s="780">
        <f t="shared" si="476"/>
        <v>4.6455919833178871</v>
      </c>
      <c r="AP198" s="780">
        <f t="shared" si="476"/>
        <v>4.8053174235403144</v>
      </c>
      <c r="AQ198" s="780">
        <f>AQ144</f>
        <v>4.9810298887859137</v>
      </c>
      <c r="AR198" s="780">
        <f>AR144</f>
        <v>5.1301552363299363</v>
      </c>
      <c r="AS198" s="780">
        <f>AS144</f>
        <v>5.2088449953660794</v>
      </c>
      <c r="AT198" s="780">
        <f>AT144</f>
        <v>5.3131661260426322</v>
      </c>
      <c r="AU198" s="780">
        <f t="shared" si="476"/>
        <v>5.3752027340129755</v>
      </c>
      <c r="AV198" s="780">
        <f t="shared" si="476"/>
        <v>5.5760252548656171</v>
      </c>
      <c r="AW198" s="780">
        <f t="shared" si="476"/>
        <v>5.6959279425393889</v>
      </c>
      <c r="AX198" s="780">
        <f t="shared" si="476"/>
        <v>5.8253012048192767</v>
      </c>
      <c r="AY198" s="780">
        <f t="shared" ref="AY198:BD198" si="477">AY144</f>
        <v>7.4398999999999997</v>
      </c>
      <c r="AZ198" s="780">
        <f t="shared" si="477"/>
        <v>7.4165000000000001</v>
      </c>
      <c r="BA198" s="780">
        <f t="shared" si="477"/>
        <v>7.8853</v>
      </c>
      <c r="BB198" s="780">
        <f t="shared" si="477"/>
        <v>8.3042000000000016</v>
      </c>
      <c r="BC198" s="780">
        <f t="shared" si="477"/>
        <v>8.5282</v>
      </c>
      <c r="BD198" s="780">
        <f t="shared" si="477"/>
        <v>8.9535</v>
      </c>
      <c r="BE198" s="780">
        <f t="shared" ref="BE198:BJ198" si="478">BE144</f>
        <v>8.9337</v>
      </c>
      <c r="BF198" s="780">
        <f t="shared" si="478"/>
        <v>9.2725000000000009</v>
      </c>
      <c r="BG198" s="780">
        <f t="shared" si="478"/>
        <v>9.4457999999999984</v>
      </c>
      <c r="BH198" s="780">
        <f t="shared" si="478"/>
        <v>9.3541000000000007</v>
      </c>
      <c r="BI198" s="780">
        <f t="shared" si="478"/>
        <v>9.2103000000000002</v>
      </c>
      <c r="BJ198" s="780">
        <f t="shared" si="478"/>
        <v>8.657</v>
      </c>
      <c r="BK198" s="780">
        <f t="shared" ref="BK198:BV198" si="479">BK144</f>
        <v>7.2081</v>
      </c>
      <c r="BL198" s="780">
        <f t="shared" si="479"/>
        <v>7.1181000000000001</v>
      </c>
      <c r="BM198" s="780">
        <f t="shared" si="479"/>
        <v>7.0103</v>
      </c>
      <c r="BN198" s="780">
        <f t="shared" si="479"/>
        <v>6.7363</v>
      </c>
      <c r="BO198" s="780">
        <f t="shared" si="479"/>
        <v>6.9603999999999999</v>
      </c>
      <c r="BP198" s="780">
        <f t="shared" si="479"/>
        <v>7.1356000000000002</v>
      </c>
      <c r="BQ198" s="780">
        <f t="shared" si="479"/>
        <v>7.1204999999999998</v>
      </c>
      <c r="BR198" s="780">
        <f t="shared" si="479"/>
        <v>7.3868</v>
      </c>
      <c r="BS198" s="780">
        <f t="shared" si="479"/>
        <v>7.5949999999999998</v>
      </c>
      <c r="BT198" s="780">
        <f t="shared" si="479"/>
        <v>7.5531000000000006</v>
      </c>
      <c r="BU198" s="780">
        <f t="shared" si="479"/>
        <v>7.5374999999999996</v>
      </c>
      <c r="BV198" s="780">
        <f t="shared" si="479"/>
        <v>7.6307999999999998</v>
      </c>
      <c r="BW198" s="780">
        <f>BW144</f>
        <v>7.5721000000000007</v>
      </c>
      <c r="BX198" s="780">
        <f t="shared" ref="BX198:CD198" si="480">BX144</f>
        <v>7.3150000000000004</v>
      </c>
      <c r="BY198" s="780">
        <f t="shared" si="480"/>
        <v>7.6943000000000001</v>
      </c>
      <c r="BZ198" s="780">
        <f t="shared" si="480"/>
        <v>7.5075000000000003</v>
      </c>
      <c r="CA198" s="780">
        <f t="shared" si="480"/>
        <v>7.5629</v>
      </c>
      <c r="CB198" s="780">
        <f t="shared" si="480"/>
        <v>7.6591000000000005</v>
      </c>
      <c r="CC198" s="780">
        <f t="shared" si="480"/>
        <v>7.8914</v>
      </c>
      <c r="CD198" s="780">
        <f t="shared" si="480"/>
        <v>7.9686000000000003</v>
      </c>
      <c r="CE198" s="780">
        <f t="shared" ref="CE198:CL198" si="481">CE144</f>
        <v>7.9663999999999993</v>
      </c>
      <c r="CF198" s="780">
        <f t="shared" si="481"/>
        <v>7.9648999999999992</v>
      </c>
      <c r="CG198" s="780">
        <f t="shared" si="481"/>
        <v>7.9821</v>
      </c>
      <c r="CH198" s="780">
        <f t="shared" si="481"/>
        <v>8.2081</v>
      </c>
      <c r="CI198" s="780">
        <f>CI144</f>
        <v>8.5655999999999999</v>
      </c>
      <c r="CJ198" s="780">
        <f t="shared" si="481"/>
        <v>8.7571000000000012</v>
      </c>
      <c r="CK198" s="780">
        <f t="shared" si="481"/>
        <v>8.6002999999999989</v>
      </c>
      <c r="CL198" s="780">
        <f t="shared" si="481"/>
        <v>8.5815000000000001</v>
      </c>
      <c r="CM198" s="780">
        <f t="shared" ref="CM198:CT198" si="482">CM144</f>
        <v>8.5007000000000001</v>
      </c>
      <c r="CN198" s="780">
        <f t="shared" si="482"/>
        <v>8.8281000000000009</v>
      </c>
      <c r="CO198" s="780">
        <f t="shared" si="482"/>
        <v>8.8642000000000003</v>
      </c>
      <c r="CP198" s="780">
        <f t="shared" si="482"/>
        <v>8.9931000000000001</v>
      </c>
      <c r="CQ198" s="780">
        <f t="shared" si="482"/>
        <v>9.0802999999999994</v>
      </c>
      <c r="CR198" s="780">
        <f t="shared" si="482"/>
        <v>9.0091000000000001</v>
      </c>
      <c r="CS198" s="780">
        <f t="shared" si="482"/>
        <v>9.1920000000000002</v>
      </c>
      <c r="CT198" s="780">
        <f t="shared" si="482"/>
        <v>9.2402000000000015</v>
      </c>
      <c r="CU198" s="780">
        <f t="shared" ref="CU198:DB198" si="483">CU144</f>
        <v>9.3325028000000021</v>
      </c>
      <c r="CV198" s="780">
        <f t="shared" si="483"/>
        <v>9.4255829257600023</v>
      </c>
      <c r="CW198" s="780">
        <f t="shared" si="483"/>
        <v>9.5070453626815059</v>
      </c>
      <c r="CX198" s="780">
        <f t="shared" si="483"/>
        <v>9.5635718812896631</v>
      </c>
      <c r="CY198" s="780">
        <f t="shared" si="483"/>
        <v>9.6408370313947298</v>
      </c>
      <c r="CZ198" s="780">
        <f t="shared" si="483"/>
        <v>9.7311564302258855</v>
      </c>
      <c r="DA198" s="780">
        <f t="shared" si="483"/>
        <v>9.8226800644058159</v>
      </c>
      <c r="DB198" s="780">
        <f t="shared" si="483"/>
        <v>9.9130805456019431</v>
      </c>
      <c r="DC198"/>
      <c r="DD198"/>
      <c r="DE198"/>
      <c r="DF198"/>
      <c r="DG198"/>
      <c r="DH198"/>
      <c r="DI198"/>
      <c r="DJ198"/>
      <c r="DK198"/>
      <c r="DL198"/>
      <c r="DM198"/>
      <c r="DN198"/>
      <c r="DO198"/>
    </row>
    <row r="199" spans="1:119" s="699" customFormat="1" ht="12.75" customHeight="1">
      <c r="A199" s="664"/>
      <c r="B199" s="664"/>
      <c r="C199" s="1562" t="s">
        <v>1767</v>
      </c>
      <c r="D199" s="674"/>
      <c r="E199" s="3629" t="str">
        <f>E171</f>
        <v>Export of goods and services</v>
      </c>
      <c r="F199" s="3630"/>
      <c r="G199" s="706">
        <f t="shared" ref="G199:AL199" si="484">G171</f>
        <v>1.1087233549582947</v>
      </c>
      <c r="H199" s="706">
        <f t="shared" si="484"/>
        <v>1.1452444392956442</v>
      </c>
      <c r="I199" s="706">
        <f t="shared" si="484"/>
        <v>1.1944508804448561</v>
      </c>
      <c r="J199" s="706">
        <f t="shared" si="484"/>
        <v>1.2400081093605191</v>
      </c>
      <c r="K199" s="706">
        <f t="shared" si="484"/>
        <v>1.306939295644115</v>
      </c>
      <c r="L199" s="706">
        <f t="shared" si="484"/>
        <v>1.3495424003707137</v>
      </c>
      <c r="M199" s="706">
        <f t="shared" si="484"/>
        <v>1.4249015291936977</v>
      </c>
      <c r="N199" s="706">
        <f t="shared" si="484"/>
        <v>1.4963218257645969</v>
      </c>
      <c r="O199" s="706">
        <f t="shared" si="484"/>
        <v>1.5561283595922151</v>
      </c>
      <c r="P199" s="706">
        <f t="shared" si="484"/>
        <v>1.6025254865616312</v>
      </c>
      <c r="Q199" s="706">
        <f t="shared" si="484"/>
        <v>1.6369902687673774</v>
      </c>
      <c r="R199" s="706">
        <f t="shared" si="484"/>
        <v>1.7791647358665432</v>
      </c>
      <c r="S199" s="706">
        <f t="shared" si="484"/>
        <v>1.8317307692307696</v>
      </c>
      <c r="T199" s="706">
        <f t="shared" si="484"/>
        <v>1.8072578776645043</v>
      </c>
      <c r="U199" s="706">
        <f t="shared" si="484"/>
        <v>1.6904251621872104</v>
      </c>
      <c r="V199" s="706">
        <f t="shared" si="484"/>
        <v>1.5938658480074144</v>
      </c>
      <c r="W199" s="706">
        <f t="shared" si="484"/>
        <v>1.5058503243744208</v>
      </c>
      <c r="X199" s="706">
        <f t="shared" si="484"/>
        <v>1.4306070435588512</v>
      </c>
      <c r="Y199" s="706">
        <f t="shared" si="484"/>
        <v>1.4191380908248379</v>
      </c>
      <c r="Z199" s="706">
        <f t="shared" si="484"/>
        <v>1.4048598239110288</v>
      </c>
      <c r="AA199" s="706">
        <f t="shared" si="484"/>
        <v>1.5244439295644117</v>
      </c>
      <c r="AB199" s="706">
        <f t="shared" si="484"/>
        <v>1.5348123262279889</v>
      </c>
      <c r="AC199" s="706">
        <f t="shared" si="484"/>
        <v>1.6494439295644114</v>
      </c>
      <c r="AD199" s="706">
        <f t="shared" si="484"/>
        <v>1.6569161260426322</v>
      </c>
      <c r="AE199" s="706">
        <f t="shared" si="484"/>
        <v>1.8246061167747916</v>
      </c>
      <c r="AF199" s="706">
        <f t="shared" si="484"/>
        <v>1.8964318813716405</v>
      </c>
      <c r="AG199" s="706">
        <f t="shared" si="484"/>
        <v>1.9464782205746063</v>
      </c>
      <c r="AH199" s="706">
        <f t="shared" si="484"/>
        <v>2.0267319277108435</v>
      </c>
      <c r="AI199" s="706">
        <f t="shared" si="484"/>
        <v>2.1265929101019463</v>
      </c>
      <c r="AJ199" s="706">
        <f t="shared" si="484"/>
        <v>2.3041299814643188</v>
      </c>
      <c r="AK199" s="706">
        <f t="shared" si="484"/>
        <v>2.2738646895273402</v>
      </c>
      <c r="AL199" s="706">
        <f t="shared" si="484"/>
        <v>2.4044833178869327</v>
      </c>
      <c r="AM199" s="706">
        <f t="shared" ref="AM199:BJ199" si="485">AM171</f>
        <v>2.5444566728452274</v>
      </c>
      <c r="AN199" s="706">
        <f t="shared" si="485"/>
        <v>2.3456035681186282</v>
      </c>
      <c r="AO199" s="706">
        <f t="shared" si="485"/>
        <v>2.432431649675626</v>
      </c>
      <c r="AP199" s="706">
        <f t="shared" si="485"/>
        <v>2.512859128822984</v>
      </c>
      <c r="AQ199" s="706">
        <f t="shared" si="485"/>
        <v>2.3836306765523636</v>
      </c>
      <c r="AR199" s="706">
        <f t="shared" si="485"/>
        <v>2.4885889712696945</v>
      </c>
      <c r="AS199" s="706">
        <f t="shared" si="485"/>
        <v>2.6062615848007411</v>
      </c>
      <c r="AT199" s="706">
        <f t="shared" si="485"/>
        <v>2.7458873957367933</v>
      </c>
      <c r="AU199" s="706">
        <f t="shared" si="485"/>
        <v>3.1394000000000002</v>
      </c>
      <c r="AV199" s="706">
        <f t="shared" si="485"/>
        <v>3.2578</v>
      </c>
      <c r="AW199" s="706">
        <f t="shared" si="485"/>
        <v>3.4220999999999999</v>
      </c>
      <c r="AX199" s="706">
        <f t="shared" si="485"/>
        <v>3.5585</v>
      </c>
      <c r="AY199" s="706">
        <f t="shared" si="485"/>
        <v>3.7168999999999999</v>
      </c>
      <c r="AZ199" s="706">
        <f t="shared" si="485"/>
        <v>3.7915999999999999</v>
      </c>
      <c r="BA199" s="706">
        <f t="shared" si="485"/>
        <v>3.7291999999999996</v>
      </c>
      <c r="BB199" s="706">
        <f t="shared" si="485"/>
        <v>3.8324000000000003</v>
      </c>
      <c r="BC199" s="706">
        <f t="shared" si="485"/>
        <v>3.7545000000000002</v>
      </c>
      <c r="BD199" s="706">
        <f t="shared" si="485"/>
        <v>3.7699000000000003</v>
      </c>
      <c r="BE199" s="706">
        <f t="shared" si="485"/>
        <v>3.9954000000000001</v>
      </c>
      <c r="BF199" s="706">
        <f t="shared" si="485"/>
        <v>4.0289000000000001</v>
      </c>
      <c r="BG199" s="706">
        <f t="shared" si="485"/>
        <v>4.3838999999999997</v>
      </c>
      <c r="BH199" s="706">
        <f t="shared" si="485"/>
        <v>4.5638000000000005</v>
      </c>
      <c r="BI199" s="706">
        <f t="shared" si="485"/>
        <v>4.4291999999999998</v>
      </c>
      <c r="BJ199" s="706">
        <f t="shared" si="485"/>
        <v>4.2975000000000003</v>
      </c>
      <c r="BK199" s="706">
        <f t="shared" ref="BK199:BV199" si="486">BK171</f>
        <v>3.9638</v>
      </c>
      <c r="BL199" s="706">
        <f t="shared" si="486"/>
        <v>3.7111000000000001</v>
      </c>
      <c r="BM199" s="706">
        <f t="shared" si="486"/>
        <v>3.7893000000000003</v>
      </c>
      <c r="BN199" s="706">
        <f t="shared" si="486"/>
        <v>3.9276</v>
      </c>
      <c r="BO199" s="706">
        <f t="shared" si="486"/>
        <v>4.1646000000000001</v>
      </c>
      <c r="BP199" s="706">
        <f t="shared" si="486"/>
        <v>4.4939</v>
      </c>
      <c r="BQ199" s="706">
        <f t="shared" si="486"/>
        <v>4.7133000000000003</v>
      </c>
      <c r="BR199" s="706">
        <f t="shared" si="486"/>
        <v>4.9558</v>
      </c>
      <c r="BS199" s="706">
        <f t="shared" si="486"/>
        <v>5.1071</v>
      </c>
      <c r="BT199" s="706">
        <f t="shared" si="486"/>
        <v>5.2733999999999996</v>
      </c>
      <c r="BU199" s="706">
        <f t="shared" si="486"/>
        <v>5.3451000000000004</v>
      </c>
      <c r="BV199" s="706">
        <f t="shared" si="486"/>
        <v>5.4053000000000004</v>
      </c>
      <c r="BW199" s="706">
        <f>BW171</f>
        <v>5.6360000000000001</v>
      </c>
      <c r="BX199" s="706">
        <f t="shared" ref="BX199:CD199" si="487">BX171</f>
        <v>5.7936999999999994</v>
      </c>
      <c r="BY199" s="706">
        <f t="shared" si="487"/>
        <v>6.0389999999999997</v>
      </c>
      <c r="BZ199" s="706">
        <f t="shared" si="487"/>
        <v>6.2846000000000002</v>
      </c>
      <c r="CA199" s="706">
        <f t="shared" si="487"/>
        <v>6.4563000000000006</v>
      </c>
      <c r="CB199" s="706">
        <f t="shared" si="487"/>
        <v>6.4623999999999997</v>
      </c>
      <c r="CC199" s="706">
        <f t="shared" si="487"/>
        <v>6.5491000000000001</v>
      </c>
      <c r="CD199" s="706">
        <f t="shared" si="487"/>
        <v>6.6233000000000004</v>
      </c>
      <c r="CE199" s="706">
        <f t="shared" ref="CE199:CL199" si="488">CE171</f>
        <v>6.6323999999999996</v>
      </c>
      <c r="CF199" s="706">
        <f t="shared" si="488"/>
        <v>6.7685000000000004</v>
      </c>
      <c r="CG199" s="706">
        <f t="shared" si="488"/>
        <v>6.7945000000000002</v>
      </c>
      <c r="CH199" s="706">
        <f t="shared" si="488"/>
        <v>6.7631000000000006</v>
      </c>
      <c r="CI199" s="706">
        <f t="shared" si="488"/>
        <v>6.6734999999999998</v>
      </c>
      <c r="CJ199" s="706">
        <f t="shared" si="488"/>
        <v>6.6971999999999996</v>
      </c>
      <c r="CK199" s="706">
        <f t="shared" si="488"/>
        <v>6.7103999999999999</v>
      </c>
      <c r="CL199" s="706">
        <f t="shared" si="488"/>
        <v>6.7561999999999998</v>
      </c>
      <c r="CM199" s="706">
        <f t="shared" ref="CM199:CT199" si="489">CM171</f>
        <v>6.7991000000000001</v>
      </c>
      <c r="CN199" s="706">
        <f t="shared" si="489"/>
        <v>6.8431000000000006</v>
      </c>
      <c r="CO199" s="706">
        <f t="shared" si="489"/>
        <v>6.9791000000000007</v>
      </c>
      <c r="CP199" s="706">
        <f t="shared" si="489"/>
        <v>7.1503000000000005</v>
      </c>
      <c r="CQ199" s="706">
        <f t="shared" si="489"/>
        <v>7.4928999999999997</v>
      </c>
      <c r="CR199" s="706">
        <f t="shared" si="489"/>
        <v>7.7768999999999995</v>
      </c>
      <c r="CS199" s="706">
        <f t="shared" si="489"/>
        <v>7.9943999999999997</v>
      </c>
      <c r="CT199" s="706">
        <f t="shared" si="489"/>
        <v>8.2017000000000007</v>
      </c>
      <c r="CU199" s="706">
        <f t="shared" ref="CU199:DB199" si="490">CU171</f>
        <v>8.2345068000000001</v>
      </c>
      <c r="CV199" s="706">
        <f t="shared" si="490"/>
        <v>8.2674448272000003</v>
      </c>
      <c r="CW199" s="706">
        <f t="shared" si="490"/>
        <v>8.3129157737496016</v>
      </c>
      <c r="CX199" s="706">
        <f t="shared" si="490"/>
        <v>8.3877320157133468</v>
      </c>
      <c r="CY199" s="706">
        <f t="shared" si="490"/>
        <v>8.5001276247239055</v>
      </c>
      <c r="CZ199" s="706">
        <f t="shared" si="490"/>
        <v>8.6106292838453147</v>
      </c>
      <c r="DA199" s="706">
        <f t="shared" si="490"/>
        <v>8.7225674645353024</v>
      </c>
      <c r="DB199" s="706">
        <f t="shared" si="490"/>
        <v>8.835960841574261</v>
      </c>
      <c r="DC199"/>
      <c r="DD199"/>
      <c r="DE199"/>
      <c r="DF199"/>
      <c r="DG199"/>
      <c r="DH199"/>
      <c r="DI199"/>
      <c r="DJ199"/>
      <c r="DK199"/>
      <c r="DL199"/>
      <c r="DM199"/>
      <c r="DN199"/>
      <c r="DO199"/>
    </row>
    <row r="200" spans="1:119" s="1960" customFormat="1" ht="12.75" customHeight="1">
      <c r="A200" s="1957"/>
      <c r="B200" s="1957"/>
      <c r="C200" s="1961" t="s">
        <v>1767</v>
      </c>
      <c r="D200" s="1958"/>
      <c r="E200" s="1959" t="s">
        <v>616</v>
      </c>
      <c r="F200" s="1958"/>
      <c r="G200" s="1959">
        <f>-SUM(G198:G199)+G201</f>
        <v>0</v>
      </c>
      <c r="H200" s="1959">
        <f t="shared" ref="H200:BN200" si="491">-SUM(H198:H199)+H201</f>
        <v>0</v>
      </c>
      <c r="I200" s="1959">
        <f t="shared" si="491"/>
        <v>0</v>
      </c>
      <c r="J200" s="1959">
        <f t="shared" si="491"/>
        <v>0</v>
      </c>
      <c r="K200" s="1959">
        <f t="shared" si="491"/>
        <v>0</v>
      </c>
      <c r="L200" s="1959">
        <f t="shared" si="491"/>
        <v>0</v>
      </c>
      <c r="M200" s="1959">
        <f t="shared" si="491"/>
        <v>0</v>
      </c>
      <c r="N200" s="1959">
        <f t="shared" si="491"/>
        <v>0</v>
      </c>
      <c r="O200" s="1959">
        <f t="shared" si="491"/>
        <v>0</v>
      </c>
      <c r="P200" s="1959">
        <f t="shared" si="491"/>
        <v>0</v>
      </c>
      <c r="Q200" s="1959">
        <f t="shared" si="491"/>
        <v>0</v>
      </c>
      <c r="R200" s="1959">
        <f t="shared" si="491"/>
        <v>0</v>
      </c>
      <c r="S200" s="1959">
        <f t="shared" si="491"/>
        <v>0</v>
      </c>
      <c r="T200" s="1959">
        <f t="shared" si="491"/>
        <v>0</v>
      </c>
      <c r="U200" s="1959">
        <f t="shared" si="491"/>
        <v>0</v>
      </c>
      <c r="V200" s="1959">
        <f t="shared" si="491"/>
        <v>0</v>
      </c>
      <c r="W200" s="1959">
        <f t="shared" si="491"/>
        <v>0</v>
      </c>
      <c r="X200" s="1959">
        <f t="shared" si="491"/>
        <v>0</v>
      </c>
      <c r="Y200" s="1959">
        <f t="shared" si="491"/>
        <v>0</v>
      </c>
      <c r="Z200" s="1959">
        <f t="shared" si="491"/>
        <v>0</v>
      </c>
      <c r="AA200" s="1959">
        <f t="shared" si="491"/>
        <v>0</v>
      </c>
      <c r="AB200" s="1959">
        <f t="shared" si="491"/>
        <v>0</v>
      </c>
      <c r="AC200" s="1959">
        <f t="shared" si="491"/>
        <v>0</v>
      </c>
      <c r="AD200" s="1959">
        <f t="shared" si="491"/>
        <v>0</v>
      </c>
      <c r="AE200" s="1959">
        <f t="shared" si="491"/>
        <v>0</v>
      </c>
      <c r="AF200" s="1959">
        <f t="shared" si="491"/>
        <v>0</v>
      </c>
      <c r="AG200" s="1959">
        <f t="shared" si="491"/>
        <v>0</v>
      </c>
      <c r="AH200" s="1959">
        <f t="shared" si="491"/>
        <v>0</v>
      </c>
      <c r="AI200" s="1959">
        <f t="shared" si="491"/>
        <v>0</v>
      </c>
      <c r="AJ200" s="1959">
        <f t="shared" si="491"/>
        <v>0</v>
      </c>
      <c r="AK200" s="1959">
        <f t="shared" si="491"/>
        <v>0</v>
      </c>
      <c r="AL200" s="1959">
        <f t="shared" si="491"/>
        <v>0</v>
      </c>
      <c r="AM200" s="1959">
        <f t="shared" si="491"/>
        <v>0</v>
      </c>
      <c r="AN200" s="1959">
        <f t="shared" si="491"/>
        <v>0</v>
      </c>
      <c r="AO200" s="1959">
        <f t="shared" si="491"/>
        <v>0</v>
      </c>
      <c r="AP200" s="1959">
        <f t="shared" si="491"/>
        <v>0</v>
      </c>
      <c r="AQ200" s="1959">
        <f t="shared" si="491"/>
        <v>0</v>
      </c>
      <c r="AR200" s="1959">
        <f t="shared" si="491"/>
        <v>0</v>
      </c>
      <c r="AS200" s="1959">
        <f t="shared" si="491"/>
        <v>0</v>
      </c>
      <c r="AT200" s="1959">
        <f t="shared" si="491"/>
        <v>0</v>
      </c>
      <c r="AU200" s="1959">
        <f t="shared" si="491"/>
        <v>0</v>
      </c>
      <c r="AV200" s="1959">
        <f t="shared" si="491"/>
        <v>0</v>
      </c>
      <c r="AW200" s="1959">
        <f t="shared" si="491"/>
        <v>0</v>
      </c>
      <c r="AX200" s="1959">
        <f t="shared" si="491"/>
        <v>0</v>
      </c>
      <c r="AY200" s="1959">
        <f t="shared" si="491"/>
        <v>0</v>
      </c>
      <c r="AZ200" s="1959">
        <f t="shared" si="491"/>
        <v>0</v>
      </c>
      <c r="BA200" s="1959">
        <f t="shared" si="491"/>
        <v>0</v>
      </c>
      <c r="BB200" s="1959">
        <f t="shared" si="491"/>
        <v>0</v>
      </c>
      <c r="BC200" s="1959">
        <f t="shared" si="491"/>
        <v>0</v>
      </c>
      <c r="BD200" s="1959">
        <f t="shared" si="491"/>
        <v>0</v>
      </c>
      <c r="BE200" s="1959">
        <f t="shared" si="491"/>
        <v>0</v>
      </c>
      <c r="BF200" s="1959">
        <f t="shared" si="491"/>
        <v>0</v>
      </c>
      <c r="BG200" s="1959">
        <f t="shared" si="491"/>
        <v>0</v>
      </c>
      <c r="BH200" s="1959">
        <f t="shared" si="491"/>
        <v>0</v>
      </c>
      <c r="BI200" s="1959">
        <f t="shared" si="491"/>
        <v>0</v>
      </c>
      <c r="BJ200" s="1959">
        <f t="shared" si="491"/>
        <v>0</v>
      </c>
      <c r="BK200" s="1959">
        <f t="shared" si="491"/>
        <v>0</v>
      </c>
      <c r="BL200" s="1959">
        <f t="shared" si="491"/>
        <v>0</v>
      </c>
      <c r="BM200" s="1959">
        <f t="shared" si="491"/>
        <v>0</v>
      </c>
      <c r="BN200" s="1959">
        <f t="shared" si="491"/>
        <v>0</v>
      </c>
      <c r="BO200" s="1959">
        <f t="shared" ref="BO200:BW200" si="492">-SUM(BO198:BO199)+BO201</f>
        <v>0</v>
      </c>
      <c r="BP200" s="1959">
        <f t="shared" si="492"/>
        <v>0</v>
      </c>
      <c r="BQ200" s="1959">
        <f t="shared" si="492"/>
        <v>0</v>
      </c>
      <c r="BR200" s="1959">
        <f t="shared" si="492"/>
        <v>0</v>
      </c>
      <c r="BS200" s="1959">
        <f t="shared" si="492"/>
        <v>0</v>
      </c>
      <c r="BT200" s="1959">
        <f t="shared" si="492"/>
        <v>0</v>
      </c>
      <c r="BU200" s="1959">
        <f t="shared" si="492"/>
        <v>0</v>
      </c>
      <c r="BV200" s="1959">
        <f t="shared" si="492"/>
        <v>0</v>
      </c>
      <c r="BW200" s="1959">
        <f t="shared" si="492"/>
        <v>0</v>
      </c>
      <c r="BX200" s="1959">
        <f t="shared" ref="BX200:CD200" si="493">-SUM(BX198:BX199)+BX201</f>
        <v>0</v>
      </c>
      <c r="BY200" s="1959">
        <f t="shared" si="493"/>
        <v>0</v>
      </c>
      <c r="BZ200" s="1959">
        <f t="shared" si="493"/>
        <v>0</v>
      </c>
      <c r="CA200" s="1959">
        <f t="shared" si="493"/>
        <v>0</v>
      </c>
      <c r="CB200" s="1959">
        <f t="shared" si="493"/>
        <v>0</v>
      </c>
      <c r="CC200" s="1959">
        <f t="shared" si="493"/>
        <v>0</v>
      </c>
      <c r="CD200" s="1959">
        <f t="shared" si="493"/>
        <v>0</v>
      </c>
      <c r="CE200" s="1959">
        <f t="shared" ref="CE200:CL200" si="494">-SUM(CE198:CE199)+CE201</f>
        <v>0</v>
      </c>
      <c r="CF200" s="1959">
        <f t="shared" si="494"/>
        <v>0</v>
      </c>
      <c r="CG200" s="1959">
        <f t="shared" si="494"/>
        <v>0</v>
      </c>
      <c r="CH200" s="1959">
        <f t="shared" si="494"/>
        <v>0</v>
      </c>
      <c r="CI200" s="1959">
        <f t="shared" si="494"/>
        <v>0</v>
      </c>
      <c r="CJ200" s="1959">
        <f t="shared" si="494"/>
        <v>0</v>
      </c>
      <c r="CK200" s="1959">
        <f t="shared" si="494"/>
        <v>0</v>
      </c>
      <c r="CL200" s="1959">
        <f t="shared" si="494"/>
        <v>0</v>
      </c>
      <c r="CM200" s="1959">
        <f t="shared" ref="CM200:CT200" si="495">-SUM(CM198:CM199)+CM201</f>
        <v>0</v>
      </c>
      <c r="CN200" s="1959">
        <f t="shared" si="495"/>
        <v>0</v>
      </c>
      <c r="CO200" s="1959">
        <f t="shared" si="495"/>
        <v>0</v>
      </c>
      <c r="CP200" s="1959">
        <f t="shared" si="495"/>
        <v>0</v>
      </c>
      <c r="CQ200" s="1959">
        <f t="shared" si="495"/>
        <v>0</v>
      </c>
      <c r="CR200" s="1959">
        <f t="shared" si="495"/>
        <v>0</v>
      </c>
      <c r="CS200" s="1959">
        <f t="shared" si="495"/>
        <v>0</v>
      </c>
      <c r="CT200" s="1959">
        <f t="shared" si="495"/>
        <v>0</v>
      </c>
      <c r="CU200" s="1959">
        <f t="shared" ref="CU200:DB200" si="496">-SUM(CU198:CU199)+CU201</f>
        <v>0</v>
      </c>
      <c r="CV200" s="1959">
        <f t="shared" si="496"/>
        <v>0</v>
      </c>
      <c r="CW200" s="1959">
        <f t="shared" si="496"/>
        <v>0</v>
      </c>
      <c r="CX200" s="1959">
        <f t="shared" si="496"/>
        <v>0</v>
      </c>
      <c r="CY200" s="1959">
        <f t="shared" si="496"/>
        <v>0</v>
      </c>
      <c r="CZ200" s="1959">
        <f t="shared" si="496"/>
        <v>0</v>
      </c>
      <c r="DA200" s="1959">
        <f t="shared" si="496"/>
        <v>0</v>
      </c>
      <c r="DB200" s="1959">
        <f t="shared" si="496"/>
        <v>0</v>
      </c>
      <c r="DC200"/>
      <c r="DD200"/>
      <c r="DE200"/>
      <c r="DF200"/>
      <c r="DG200"/>
      <c r="DH200"/>
      <c r="DI200"/>
      <c r="DJ200"/>
      <c r="DK200"/>
      <c r="DL200"/>
      <c r="DM200"/>
      <c r="DN200"/>
      <c r="DO200"/>
    </row>
    <row r="201" spans="1:119" s="699" customFormat="1" ht="12.75" customHeight="1">
      <c r="A201" s="665" t="str">
        <f>"Q" &amp; ROW(InputQ!A13)</f>
        <v>Q13</v>
      </c>
      <c r="B201" s="1953" t="s">
        <v>1940</v>
      </c>
      <c r="C201" s="1562" t="s">
        <v>1769</v>
      </c>
      <c r="D201" s="746"/>
      <c r="E201" s="3615" t="s">
        <v>1085</v>
      </c>
      <c r="F201" s="3633"/>
      <c r="G201" s="799">
        <f>InputQ!G13/1000</f>
        <v>3.9026587117701572</v>
      </c>
      <c r="H201" s="799">
        <f>InputQ!H13/1000</f>
        <v>3.9226714550509731</v>
      </c>
      <c r="I201" s="799">
        <f>InputQ!I13/1000</f>
        <v>4.0318002780352176</v>
      </c>
      <c r="J201" s="799">
        <f>InputQ!J13/1000</f>
        <v>4.1250868860055618</v>
      </c>
      <c r="K201" s="799">
        <f>InputQ!K13/1000</f>
        <v>4.2012859128822981</v>
      </c>
      <c r="L201" s="799">
        <f>InputQ!L13/1000</f>
        <v>4.303724513438369</v>
      </c>
      <c r="M201" s="799">
        <f>InputQ!M13/1000</f>
        <v>4.4868802131603331</v>
      </c>
      <c r="N201" s="799">
        <f>InputQ!N13/1000</f>
        <v>4.6159059314179798</v>
      </c>
      <c r="O201" s="799">
        <f>InputQ!O13/1000</f>
        <v>4.7981927710843371</v>
      </c>
      <c r="P201" s="799">
        <f>InputQ!P13/1000</f>
        <v>4.9218894810009273</v>
      </c>
      <c r="Q201" s="799">
        <f>InputQ!Q13/1000</f>
        <v>4.9690685820203901</v>
      </c>
      <c r="R201" s="799">
        <f>InputQ!R13/1000</f>
        <v>5.2321304448563488</v>
      </c>
      <c r="S201" s="799">
        <f>InputQ!S13/1000</f>
        <v>5.3630097312326237</v>
      </c>
      <c r="T201" s="799">
        <f>InputQ!T13/1000</f>
        <v>5.3787940222428174</v>
      </c>
      <c r="U201" s="799">
        <f>InputQ!U13/1000</f>
        <v>5.3551031047265987</v>
      </c>
      <c r="V201" s="799">
        <f>InputQ!V13/1000</f>
        <v>5.1931186283595929</v>
      </c>
      <c r="W201" s="799">
        <f>InputQ!W13/1000</f>
        <v>5.0373609823911032</v>
      </c>
      <c r="X201" s="799">
        <f>InputQ!X13/1000</f>
        <v>5.072376042632067</v>
      </c>
      <c r="Y201" s="799">
        <f>InputQ!Y13/1000</f>
        <v>4.9862720111214092</v>
      </c>
      <c r="Z201" s="799">
        <f>InputQ!Z13/1000</f>
        <v>4.9647532437442079</v>
      </c>
      <c r="AA201" s="799">
        <f>InputQ!AA13/1000</f>
        <v>5.1329645505097314</v>
      </c>
      <c r="AB201" s="799">
        <f>InputQ!AB13/1000</f>
        <v>5.1652571825764602</v>
      </c>
      <c r="AC201" s="799">
        <f>InputQ!AC13/1000</f>
        <v>5.3011179332715477</v>
      </c>
      <c r="AD201" s="799">
        <f>InputQ!AD13/1000</f>
        <v>5.3512221964782212</v>
      </c>
      <c r="AE201" s="799">
        <f>InputQ!AE13/1000</f>
        <v>5.625926784059315</v>
      </c>
      <c r="AF201" s="799">
        <f>InputQ!AF13/1000</f>
        <v>5.682055143651529</v>
      </c>
      <c r="AG201" s="799">
        <f>InputQ!AG13/1000</f>
        <v>5.7937036607970347</v>
      </c>
      <c r="AH201" s="799">
        <f>InputQ!AH13/1000</f>
        <v>6.0721443466172387</v>
      </c>
      <c r="AI201" s="799">
        <f>InputQ!AI13/1000</f>
        <v>6.1962465245597773</v>
      </c>
      <c r="AJ201" s="799">
        <f>InputQ!AJ13/1000</f>
        <v>6.4252780352177945</v>
      </c>
      <c r="AK201" s="799">
        <f>InputQ!AK13/1000</f>
        <v>6.4700243280815579</v>
      </c>
      <c r="AL201" s="799">
        <f>InputQ!AL13/1000</f>
        <v>6.6378301668211313</v>
      </c>
      <c r="AM201" s="799">
        <f>InputQ!AM13/1000</f>
        <v>6.9085959221501394</v>
      </c>
      <c r="AN201" s="799">
        <f>InputQ!AN13/1000</f>
        <v>6.8685414735866539</v>
      </c>
      <c r="AO201" s="799">
        <f>InputQ!AO13/1000</f>
        <v>7.0780236329935127</v>
      </c>
      <c r="AP201" s="799">
        <f>InputQ!AP13/1000</f>
        <v>7.3181765523632984</v>
      </c>
      <c r="AQ201" s="799">
        <f>InputQ!AQ13/1000</f>
        <v>7.3646605653382773</v>
      </c>
      <c r="AR201" s="799">
        <f>InputQ!AR13/1000</f>
        <v>7.6187442075996303</v>
      </c>
      <c r="AS201" s="799">
        <f>InputQ!AS13/1000</f>
        <v>7.8151065801668214</v>
      </c>
      <c r="AT201" s="799">
        <f>InputQ!AT13/1000</f>
        <v>8.0590535217794255</v>
      </c>
      <c r="AU201" s="799">
        <f>InputQ!AU13/1000</f>
        <v>8.5146027340129748</v>
      </c>
      <c r="AV201" s="799">
        <f>InputQ!AV13/1000</f>
        <v>8.8338252548656158</v>
      </c>
      <c r="AW201" s="799">
        <f>InputQ!AW13/1000</f>
        <v>9.1180279425393884</v>
      </c>
      <c r="AX201" s="799">
        <f>InputQ!AX13/1000</f>
        <v>9.3838012048192763</v>
      </c>
      <c r="AY201" s="799">
        <f>InputQ!AY13/1000</f>
        <v>11.156799999999999</v>
      </c>
      <c r="AZ201" s="799">
        <f>InputQ!AZ13/1000</f>
        <v>11.2081</v>
      </c>
      <c r="BA201" s="799">
        <f>InputQ!BA13/1000</f>
        <v>11.6145</v>
      </c>
      <c r="BB201" s="799">
        <f>InputQ!BB13/1000</f>
        <v>12.1366</v>
      </c>
      <c r="BC201" s="799">
        <f>InputQ!BC13/1000</f>
        <v>12.2827</v>
      </c>
      <c r="BD201" s="799">
        <f>InputQ!BD13/1000</f>
        <v>12.7234</v>
      </c>
      <c r="BE201" s="799">
        <f>InputQ!BE13/1000</f>
        <v>12.9291</v>
      </c>
      <c r="BF201" s="799">
        <f>InputQ!BF13/1000</f>
        <v>13.301399999999999</v>
      </c>
      <c r="BG201" s="799">
        <f>InputQ!BG13/1000</f>
        <v>13.829699999999999</v>
      </c>
      <c r="BH201" s="799">
        <f>InputQ!BH13/1000</f>
        <v>13.917900000000001</v>
      </c>
      <c r="BI201" s="799">
        <f>InputQ!BI13/1000</f>
        <v>13.6395</v>
      </c>
      <c r="BJ201" s="799">
        <f>InputQ!BJ13/1000</f>
        <v>12.954499999999999</v>
      </c>
      <c r="BK201" s="799">
        <f>InputQ!BK13/1000</f>
        <v>11.171900000000001</v>
      </c>
      <c r="BL201" s="799">
        <f>InputQ!BL13/1000</f>
        <v>10.8292</v>
      </c>
      <c r="BM201" s="799">
        <f>InputQ!BM13/1000</f>
        <v>10.7996</v>
      </c>
      <c r="BN201" s="799">
        <f>InputQ!BN13/1000</f>
        <v>10.6639</v>
      </c>
      <c r="BO201" s="799">
        <f>InputQ!BO13/1000</f>
        <v>11.125</v>
      </c>
      <c r="BP201" s="799">
        <f>InputQ!BP13/1000</f>
        <v>11.6295</v>
      </c>
      <c r="BQ201" s="799">
        <f>InputQ!BQ13/1000</f>
        <v>11.8338</v>
      </c>
      <c r="BR201" s="799">
        <f>InputQ!BR13/1000</f>
        <v>12.342600000000001</v>
      </c>
      <c r="BS201" s="799">
        <f>InputQ!BS13/1000</f>
        <v>12.7021</v>
      </c>
      <c r="BT201" s="799">
        <f>InputQ!BT13/1000</f>
        <v>12.826499999999999</v>
      </c>
      <c r="BU201" s="799">
        <f>InputQ!BU13/1000</f>
        <v>12.8826</v>
      </c>
      <c r="BV201" s="799">
        <f>InputQ!BV13/1000</f>
        <v>13.036100000000001</v>
      </c>
      <c r="BW201" s="799">
        <f>InputQ!BW13/1000</f>
        <v>13.2081</v>
      </c>
      <c r="BX201" s="799">
        <f>InputQ!BX13/1000</f>
        <v>13.108700000000001</v>
      </c>
      <c r="BY201" s="799">
        <f>InputQ!BY13/1000</f>
        <v>13.7333</v>
      </c>
      <c r="BZ201" s="799">
        <f>InputQ!BZ13/1000</f>
        <v>13.7921</v>
      </c>
      <c r="CA201" s="799">
        <f>InputQ!CA13/1000</f>
        <v>14.019200000000001</v>
      </c>
      <c r="CB201" s="799">
        <f>InputQ!CB13/1000</f>
        <v>14.121499999999999</v>
      </c>
      <c r="CC201" s="799">
        <f>InputQ!CC13/1000</f>
        <v>14.4405</v>
      </c>
      <c r="CD201" s="799">
        <f>InputQ!CD13/1000</f>
        <v>14.591900000000001</v>
      </c>
      <c r="CE201" s="799">
        <f>InputQ!CE13/1000</f>
        <v>14.598799999999999</v>
      </c>
      <c r="CF201" s="799">
        <f>InputQ!CF13/1000</f>
        <v>14.7334</v>
      </c>
      <c r="CG201" s="799">
        <f>InputQ!CG13/1000</f>
        <v>14.7766</v>
      </c>
      <c r="CH201" s="799">
        <f>InputQ!CH13/1000</f>
        <v>14.971200000000001</v>
      </c>
      <c r="CI201" s="799">
        <f>InputQ!CI13/1000</f>
        <v>15.239100000000001</v>
      </c>
      <c r="CJ201" s="799">
        <f>InputQ!CJ13/1000</f>
        <v>15.4543</v>
      </c>
      <c r="CK201" s="799">
        <f>InputQ!CK13/1000</f>
        <v>15.310699999999999</v>
      </c>
      <c r="CL201" s="799">
        <f>InputQ!CL13/1000</f>
        <v>15.3377</v>
      </c>
      <c r="CM201" s="799">
        <f>InputQ!CM13/1000</f>
        <v>15.299800000000001</v>
      </c>
      <c r="CN201" s="799">
        <f>InputQ!CN13/1000</f>
        <v>15.671200000000001</v>
      </c>
      <c r="CO201" s="799">
        <f>InputQ!CO13/1000</f>
        <v>15.843300000000001</v>
      </c>
      <c r="CP201" s="799">
        <f>InputQ!CP13/1000</f>
        <v>16.1434</v>
      </c>
      <c r="CQ201" s="799">
        <f>InputQ!CQ13/1000</f>
        <v>16.573199999999996</v>
      </c>
      <c r="CR201" s="799">
        <f>InputQ!CR13/1000</f>
        <v>16.786000000000001</v>
      </c>
      <c r="CS201" s="799">
        <f>InputQ!CS13/1000</f>
        <v>17.186400000000003</v>
      </c>
      <c r="CT201" s="799">
        <f>InputQ!CT13/1000</f>
        <v>17.4419</v>
      </c>
      <c r="CU201" s="3065">
        <f t="shared" ref="CU201:CX201" si="497">+CT201*(1+CU206/100)</f>
        <v>17.567009600000002</v>
      </c>
      <c r="CV201" s="3065">
        <f t="shared" si="497"/>
        <v>17.693027752959999</v>
      </c>
      <c r="CW201" s="3065">
        <f t="shared" si="497"/>
        <v>17.819961136431104</v>
      </c>
      <c r="CX201" s="3065">
        <f t="shared" si="497"/>
        <v>17.951303897003008</v>
      </c>
      <c r="CY201" s="3065">
        <f t="shared" ref="CY201" si="498">+CX201*(1+CY206/100)</f>
        <v>18.14096465611863</v>
      </c>
      <c r="CZ201" s="3065">
        <f t="shared" ref="CZ201" si="499">+CY201*(1+CZ206/100)</f>
        <v>18.341785714071197</v>
      </c>
      <c r="DA201" s="3065">
        <f t="shared" ref="DA201" si="500">+CZ201*(1+DA206/100)</f>
        <v>18.545247528941115</v>
      </c>
      <c r="DB201" s="3065">
        <f t="shared" ref="DB201" si="501">+DA201*(1+DB206/100)</f>
        <v>18.749041387176199</v>
      </c>
      <c r="DC201"/>
      <c r="DD201"/>
      <c r="DE201"/>
      <c r="DF201"/>
      <c r="DG201"/>
      <c r="DH201"/>
      <c r="DI201"/>
      <c r="DJ201"/>
      <c r="DK201"/>
      <c r="DL201"/>
      <c r="DM201"/>
      <c r="DN201"/>
      <c r="DO201"/>
    </row>
    <row r="202" spans="1:119" s="26" customFormat="1" ht="12.75" customHeight="1">
      <c r="A202" s="673"/>
      <c r="B202" s="673"/>
      <c r="C202" s="1613"/>
      <c r="D202" s="683"/>
      <c r="E202" s="684" t="s">
        <v>266</v>
      </c>
      <c r="F202" s="685"/>
      <c r="G202" s="1571"/>
      <c r="H202" s="1571"/>
      <c r="I202" s="1571"/>
      <c r="J202" s="1575">
        <f>SUM(G198:J199)</f>
        <v>15.982217330861907</v>
      </c>
      <c r="K202" s="1571"/>
      <c r="L202" s="1571"/>
      <c r="M202" s="1571"/>
      <c r="N202" s="1575">
        <f>SUM(K198:N199)</f>
        <v>17.60779657089898</v>
      </c>
      <c r="O202" s="1571"/>
      <c r="P202" s="1571"/>
      <c r="Q202" s="1571"/>
      <c r="R202" s="1575">
        <f>SUM(O198:R199)</f>
        <v>19.921281278962006</v>
      </c>
      <c r="S202" s="1571"/>
      <c r="T202" s="1571"/>
      <c r="U202" s="1571"/>
      <c r="V202" s="1575">
        <f>SUM(S198:V199)</f>
        <v>21.290025486561632</v>
      </c>
      <c r="W202" s="1571"/>
      <c r="X202" s="1571"/>
      <c r="Y202" s="1571"/>
      <c r="Z202" s="1575">
        <f>SUM(W198:Z199)</f>
        <v>20.060762279888788</v>
      </c>
      <c r="AA202" s="1571"/>
      <c r="AB202" s="1571"/>
      <c r="AC202" s="1571"/>
      <c r="AD202" s="1575">
        <f>SUM(AA198:AD199)</f>
        <v>20.950561862835961</v>
      </c>
      <c r="AE202" s="1571"/>
      <c r="AF202" s="1571"/>
      <c r="AG202" s="1571"/>
      <c r="AH202" s="1575">
        <f>SUM(AE198:AH199)</f>
        <v>23.173829935125116</v>
      </c>
      <c r="AI202" s="1571"/>
      <c r="AJ202" s="1571"/>
      <c r="AK202" s="1571"/>
      <c r="AL202" s="1575">
        <f>SUM(AI198:AL199)</f>
        <v>25.729379054680262</v>
      </c>
      <c r="AM202" s="1571"/>
      <c r="AN202" s="1571"/>
      <c r="AO202" s="1571"/>
      <c r="AP202" s="1575">
        <f>SUM(AM198:AP199)</f>
        <v>28.173337581093605</v>
      </c>
      <c r="AQ202" s="1571"/>
      <c r="AR202" s="1571"/>
      <c r="AS202" s="1571"/>
      <c r="AT202" s="1575">
        <f>SUM(AQ198:AT199)</f>
        <v>30.857564874884154</v>
      </c>
      <c r="AU202" s="1571"/>
      <c r="AV202" s="1571"/>
      <c r="AW202" s="1571"/>
      <c r="AX202" s="1575">
        <f>SUM(AU198:AX199)</f>
        <v>35.850257136237254</v>
      </c>
      <c r="AY202" s="1571"/>
      <c r="AZ202" s="1571"/>
      <c r="BA202" s="1571"/>
      <c r="BB202" s="1575">
        <f>SUM(AY198:BB199)</f>
        <v>46.116000000000007</v>
      </c>
      <c r="BC202" s="1618"/>
      <c r="BD202" s="1618"/>
      <c r="BE202" s="1571"/>
      <c r="BF202" s="1575">
        <f>SUM(BC198:BF199)</f>
        <v>51.236600000000003</v>
      </c>
      <c r="BG202" s="1618"/>
      <c r="BH202" s="1618"/>
      <c r="BI202" s="1571"/>
      <c r="BJ202" s="1575">
        <f>SUM(BG198:BJ199)</f>
        <v>54.3416</v>
      </c>
      <c r="BK202" s="1618"/>
      <c r="BL202" s="1618"/>
      <c r="BM202" s="1618"/>
      <c r="BN202" s="1592">
        <f>SUM(BK198:BN199)</f>
        <v>43.464599999999997</v>
      </c>
      <c r="BO202" s="1618"/>
      <c r="BP202" s="1618"/>
      <c r="BQ202" s="1618"/>
      <c r="BR202" s="1592">
        <f>SUM(BO198:BR199)</f>
        <v>46.930899999999994</v>
      </c>
      <c r="BS202" s="1618"/>
      <c r="BT202" s="1618"/>
      <c r="BU202" s="1618"/>
      <c r="BV202" s="1592">
        <f>SUM(BS198:BV199)</f>
        <v>51.447300000000013</v>
      </c>
      <c r="BW202" s="1618"/>
      <c r="BX202" s="1618"/>
      <c r="BY202" s="1618"/>
      <c r="BZ202" s="1592">
        <f>SUM(BW198:BZ199)</f>
        <v>53.842200000000005</v>
      </c>
      <c r="CA202" s="1618"/>
      <c r="CB202" s="1618"/>
      <c r="CC202" s="1618"/>
      <c r="CD202" s="1592">
        <f>SUM(CA198:CD199)</f>
        <v>57.173100000000005</v>
      </c>
      <c r="CE202" s="1618"/>
      <c r="CF202" s="1618"/>
      <c r="CG202" s="1618"/>
      <c r="CH202" s="1592">
        <f>SUM(CE198:CH199)</f>
        <v>59.08</v>
      </c>
      <c r="CI202" s="1618"/>
      <c r="CJ202" s="1618"/>
      <c r="CK202" s="1618"/>
      <c r="CL202" s="1592">
        <f>SUM(CI198:CL199)</f>
        <v>61.341799999999999</v>
      </c>
      <c r="CM202" s="1618"/>
      <c r="CN202" s="1618"/>
      <c r="CO202" s="1618"/>
      <c r="CP202" s="1592">
        <f>SUM(CM198:CP199)</f>
        <v>62.95770000000001</v>
      </c>
      <c r="CQ202" s="1618"/>
      <c r="CR202" s="1618"/>
      <c r="CS202" s="1618"/>
      <c r="CT202" s="1592">
        <f>SUM(CQ198:CT199)</f>
        <v>67.987499999999997</v>
      </c>
      <c r="CU202" s="1618"/>
      <c r="CV202" s="1618"/>
      <c r="CW202" s="1618"/>
      <c r="CX202" s="1592">
        <f>SUM(CU198:CX199)</f>
        <v>71.031302386394117</v>
      </c>
      <c r="CY202" s="1618"/>
      <c r="CZ202" s="1618"/>
      <c r="DA202" s="1618"/>
      <c r="DB202" s="1592">
        <f>SUM(CY198:DB199)</f>
        <v>73.777039286307158</v>
      </c>
      <c r="DC202"/>
      <c r="DD202"/>
      <c r="DE202"/>
      <c r="DF202"/>
      <c r="DG202"/>
      <c r="DH202"/>
      <c r="DI202"/>
      <c r="DJ202"/>
      <c r="DK202"/>
      <c r="DL202"/>
      <c r="DM202"/>
      <c r="DN202"/>
      <c r="DO202"/>
    </row>
    <row r="203" spans="1:119" s="1600" customFormat="1" ht="12.75" customHeight="1">
      <c r="A203" s="998"/>
      <c r="B203" s="998"/>
      <c r="C203" s="1614"/>
      <c r="D203" s="679"/>
      <c r="E203" s="1572" t="s">
        <v>1847</v>
      </c>
      <c r="F203" s="679"/>
      <c r="G203" s="1573"/>
      <c r="H203" s="2839" t="s">
        <v>757</v>
      </c>
      <c r="I203" s="2840">
        <f ca="1">+J203/J202*100</f>
        <v>116.98769643856825</v>
      </c>
      <c r="J203" s="1615">
        <f ca="1">OFFSET('VVP2'!$G$94,0,(COLUMN()-10)/4)</f>
        <v>18.697227895180973</v>
      </c>
      <c r="K203" s="1573"/>
      <c r="L203" s="2839" t="s">
        <v>757</v>
      </c>
      <c r="M203" s="2840">
        <f ca="1">+N203/N202*100</f>
        <v>118.74610448161565</v>
      </c>
      <c r="N203" s="1615">
        <f ca="1">OFFSET('VVP2'!$G$94,0,(COLUMN()-10)/4)</f>
        <v>20.908572512990041</v>
      </c>
      <c r="O203" s="1573"/>
      <c r="P203" s="2839" t="s">
        <v>757</v>
      </c>
      <c r="Q203" s="2840">
        <f ca="1">+R203/R202*100</f>
        <v>120.069691173438</v>
      </c>
      <c r="R203" s="1615">
        <f ca="1">OFFSET('VVP2'!$G$94,0,(COLUMN()-10)/4)</f>
        <v>23.919420909441602</v>
      </c>
      <c r="S203" s="1573"/>
      <c r="T203" s="2839" t="s">
        <v>757</v>
      </c>
      <c r="U203" s="2840">
        <f ca="1">+V203/V202*100</f>
        <v>120.27918541499557</v>
      </c>
      <c r="V203" s="1615">
        <f ca="1">OFFSET('VVP2'!$G$94,0,(COLUMN()-10)/4)</f>
        <v>25.607469229881275</v>
      </c>
      <c r="W203" s="1573"/>
      <c r="X203" s="2839" t="s">
        <v>757</v>
      </c>
      <c r="Y203" s="2840">
        <f ca="1">+Z203/Z202*100</f>
        <v>121.12429185251423</v>
      </c>
      <c r="Z203" s="1615">
        <f ca="1">OFFSET('VVP2'!$G$94,0,(COLUMN()-10)/4)</f>
        <v>24.298456251731583</v>
      </c>
      <c r="AA203" s="1573"/>
      <c r="AB203" s="2839" t="s">
        <v>757</v>
      </c>
      <c r="AC203" s="2840">
        <f ca="1">+AD203/AD202*100</f>
        <v>120.69484412085689</v>
      </c>
      <c r="AD203" s="1615">
        <f ca="1">OFFSET('VVP2'!$G$94,0,(COLUMN()-10)/4)</f>
        <v>25.286247982793554</v>
      </c>
      <c r="AE203" s="1573"/>
      <c r="AF203" s="2839" t="s">
        <v>757</v>
      </c>
      <c r="AG203" s="2840">
        <f ca="1">+AH203/AH202*100</f>
        <v>120.42402873643556</v>
      </c>
      <c r="AH203" s="1615">
        <f ca="1">OFFSET('VVP2'!$G$94,0,(COLUMN()-10)/4)</f>
        <v>27.906859620407776</v>
      </c>
      <c r="AI203" s="1573"/>
      <c r="AJ203" s="2839" t="s">
        <v>757</v>
      </c>
      <c r="AK203" s="2840">
        <f ca="1">+AL203/AL202*100</f>
        <v>120.40516714784656</v>
      </c>
      <c r="AL203" s="1615">
        <f ca="1">OFFSET('VVP2'!$G$94,0,(COLUMN()-10)/4)</f>
        <v>30.979501856890789</v>
      </c>
      <c r="AM203" s="1573"/>
      <c r="AN203" s="2839" t="s">
        <v>757</v>
      </c>
      <c r="AO203" s="2840">
        <f ca="1">+AP203/AP202*100</f>
        <v>120.68557950150158</v>
      </c>
      <c r="AP203" s="1615">
        <f ca="1">OFFSET('VVP2'!$G$94,0,(COLUMN()-10)/4)</f>
        <v>34.001155724657146</v>
      </c>
      <c r="AQ203" s="1573"/>
      <c r="AR203" s="2839" t="s">
        <v>757</v>
      </c>
      <c r="AS203" s="2840">
        <f ca="1">+AT203/AT202*100</f>
        <v>121.46455072515086</v>
      </c>
      <c r="AT203" s="1615">
        <f ca="1">OFFSET('VVP2'!$G$94,0,(COLUMN()-10)/4)</f>
        <v>37.481002539999999</v>
      </c>
      <c r="AU203" s="1573"/>
      <c r="AV203" s="2839" t="s">
        <v>757</v>
      </c>
      <c r="AW203" s="2840">
        <f ca="1">+AX203/AX202*100</f>
        <v>117.27289040140114</v>
      </c>
      <c r="AX203" s="1615">
        <f ca="1">OFFSET('VVP2'!$G$94,0,(COLUMN()-10)/4)</f>
        <v>42.042632760000004</v>
      </c>
      <c r="AY203" s="1573"/>
      <c r="AZ203" s="2839" t="s">
        <v>757</v>
      </c>
      <c r="BA203" s="2840">
        <f ca="1">+BB203/BB202*100</f>
        <v>100.28805306184402</v>
      </c>
      <c r="BB203" s="1615">
        <f ca="1">OFFSET('VVP2'!$G$94,0,(COLUMN()-10)/4)</f>
        <v>46.248838550000002</v>
      </c>
      <c r="BC203" s="1573"/>
      <c r="BD203" s="2839" t="s">
        <v>757</v>
      </c>
      <c r="BE203" s="2840">
        <f ca="1">+BF203/BF202*100</f>
        <v>100.17319246398083</v>
      </c>
      <c r="BF203" s="1615">
        <f ca="1">OFFSET('VVP2'!$G$94,0,(COLUMN()-10)/4)</f>
        <v>51.325337930000003</v>
      </c>
      <c r="BG203" s="1573"/>
      <c r="BH203" s="2839" t="s">
        <v>757</v>
      </c>
      <c r="BI203" s="2840">
        <f ca="1">+BJ203/BJ202*100</f>
        <v>100.43768311937815</v>
      </c>
      <c r="BJ203" s="1615">
        <f ca="1">OFFSET('VVP2'!$G$94,0,(COLUMN()-10)/4)</f>
        <v>54.579444009999996</v>
      </c>
      <c r="BK203" s="1573"/>
      <c r="BL203" s="2839" t="s">
        <v>757</v>
      </c>
      <c r="BM203" s="2840">
        <f ca="1">+BN203/BN202*100</f>
        <v>100.22789861174381</v>
      </c>
      <c r="BN203" s="1619">
        <f ca="1">OFFSET('VVP2'!$G$94,0,(COLUMN()-10)/4)</f>
        <v>43.563655220000001</v>
      </c>
      <c r="BO203" s="1573"/>
      <c r="BP203" s="2839" t="s">
        <v>757</v>
      </c>
      <c r="BQ203" s="2840">
        <f ca="1">+BR203/BR202*100</f>
        <v>99.865440466728757</v>
      </c>
      <c r="BR203" s="1619">
        <f ca="1">OFFSET('VVP2'!$G$94,0,(COLUMN()-10)/4)</f>
        <v>46.867750000000001</v>
      </c>
      <c r="BS203" s="1573"/>
      <c r="BT203" s="2839" t="s">
        <v>757</v>
      </c>
      <c r="BU203" s="2840">
        <f ca="1">+BV203/BV202*100</f>
        <v>99.886291408878577</v>
      </c>
      <c r="BV203" s="1619">
        <f ca="1">OFFSET('VVP2'!$G$94,0,(COLUMN()-10)/4)</f>
        <v>51.388800000000003</v>
      </c>
      <c r="BW203" s="1573"/>
      <c r="BX203" s="2839" t="s">
        <v>757</v>
      </c>
      <c r="BY203" s="2840">
        <f ca="1">+BZ203/BZ202*100</f>
        <v>100.27065392944567</v>
      </c>
      <c r="BZ203" s="1619">
        <f ca="1">OFFSET('VVP2'!$G$94,0,(COLUMN()-10)/4)</f>
        <v>53.987926030000004</v>
      </c>
      <c r="CA203" s="1573"/>
      <c r="CB203" s="2839" t="s">
        <v>757</v>
      </c>
      <c r="CC203" s="2840">
        <f ca="1">+CD203/CD202*100</f>
        <v>100.10116444621684</v>
      </c>
      <c r="CD203" s="1619">
        <f ca="1">OFFSET('VVP2'!$G$94,0,(COLUMN()-10)/4)</f>
        <v>57.230938850000001</v>
      </c>
      <c r="CE203" s="1573"/>
      <c r="CF203" s="2839" t="s">
        <v>757</v>
      </c>
      <c r="CG203" s="2840">
        <f ca="1">+CH203/CH202*100</f>
        <v>100.10352515233582</v>
      </c>
      <c r="CH203" s="1619">
        <f ca="1">OFFSET('VVP2'!$G$94,0,(COLUMN()-10)/4)</f>
        <v>59.141162659999999</v>
      </c>
      <c r="CI203" s="1573"/>
      <c r="CJ203" s="2839" t="s">
        <v>757</v>
      </c>
      <c r="CK203" s="2840">
        <f ca="1">+CL203/CL202*100</f>
        <v>100.14712699985979</v>
      </c>
      <c r="CL203" s="1619">
        <f ca="1">OFFSET('VVP2'!$G$94,0,(COLUMN()-10)/4)</f>
        <v>61.432050349999997</v>
      </c>
      <c r="CM203" s="1573"/>
      <c r="CN203" s="2839" t="s">
        <v>757</v>
      </c>
      <c r="CO203" s="2840">
        <f ca="1">+CP203/CP202*100</f>
        <v>100.36436095981904</v>
      </c>
      <c r="CP203" s="1619">
        <f ca="1">OFFSET('VVP2'!$G$94,0,(COLUMN()-10)/4)</f>
        <v>63.187093279999999</v>
      </c>
      <c r="CQ203" s="1573"/>
      <c r="CR203" s="2839" t="s">
        <v>757</v>
      </c>
      <c r="CS203" s="2840">
        <f ca="1">+CT203/CT202*100</f>
        <v>100.02533908439051</v>
      </c>
      <c r="CT203" s="1619">
        <f ca="1">OFFSET('VVP2'!$G$94,0,(COLUMN()-10)/4)</f>
        <v>68.004727410000001</v>
      </c>
      <c r="CU203" s="1573"/>
      <c r="CV203" s="2839" t="s">
        <v>757</v>
      </c>
      <c r="CW203" s="2840">
        <f ca="1">+CX203/CX202*100</f>
        <v>100.15907890633819</v>
      </c>
      <c r="CX203" s="1619">
        <f ca="1">OFFSET('VVP2'!$G$94,0,(COLUMN()-10)/4)</f>
        <v>71.144298205388168</v>
      </c>
      <c r="CY203" s="1573"/>
      <c r="CZ203" s="2839" t="s">
        <v>757</v>
      </c>
      <c r="DA203" s="2840">
        <f ca="1">+DB203/DB202*100</f>
        <v>100.06984171687184</v>
      </c>
      <c r="DB203" s="1619">
        <f ca="1">OFFSET('VVP2'!$G$94,0,(COLUMN()-10)/4)</f>
        <v>73.828566437201914</v>
      </c>
      <c r="DC203"/>
      <c r="DD203"/>
      <c r="DE203"/>
      <c r="DF203"/>
      <c r="DG203"/>
      <c r="DH203"/>
      <c r="DI203"/>
      <c r="DJ203"/>
      <c r="DK203"/>
      <c r="DL203"/>
      <c r="DM203"/>
      <c r="DN203"/>
      <c r="DO203"/>
    </row>
    <row r="204" spans="1:119" ht="12.75" customHeight="1">
      <c r="E204" s="599"/>
      <c r="F204" s="3617"/>
      <c r="AY204" s="217"/>
      <c r="BF204" s="217"/>
      <c r="BJ204" s="217"/>
      <c r="CM204" s="557"/>
      <c r="CN204" s="557"/>
      <c r="CO204" s="557"/>
      <c r="CP204" s="557"/>
      <c r="CQ204" s="557"/>
      <c r="CR204" s="557"/>
      <c r="CS204" s="557"/>
      <c r="CT204" s="557"/>
      <c r="CU204" s="557"/>
      <c r="CV204" s="557"/>
      <c r="CW204" s="557"/>
      <c r="CX204" s="557"/>
      <c r="CY204" s="557"/>
      <c r="CZ204" s="557"/>
      <c r="DA204" s="557"/>
      <c r="DB204" s="557"/>
    </row>
    <row r="205" spans="1:119" s="699" customFormat="1" ht="12.75" customHeight="1">
      <c r="A205" s="664"/>
      <c r="B205" s="664"/>
      <c r="C205" s="1553"/>
      <c r="D205" s="742"/>
      <c r="E205" s="3384" t="s">
        <v>762</v>
      </c>
      <c r="F205" s="3622"/>
      <c r="G205" s="1578" t="str">
        <f t="shared" ref="G205:BD205" si="502">G197</f>
        <v>Q1</v>
      </c>
      <c r="H205" s="1579" t="str">
        <f t="shared" si="502"/>
        <v>Q2</v>
      </c>
      <c r="I205" s="1579" t="str">
        <f t="shared" si="502"/>
        <v>Q3</v>
      </c>
      <c r="J205" s="1580" t="str">
        <f t="shared" si="502"/>
        <v>Q4</v>
      </c>
      <c r="K205" s="1578" t="str">
        <f t="shared" si="502"/>
        <v>Q1</v>
      </c>
      <c r="L205" s="1579" t="str">
        <f t="shared" si="502"/>
        <v>Q2</v>
      </c>
      <c r="M205" s="1579" t="str">
        <f t="shared" si="502"/>
        <v>Q3</v>
      </c>
      <c r="N205" s="1580" t="str">
        <f t="shared" si="502"/>
        <v>Q4</v>
      </c>
      <c r="O205" s="1578" t="str">
        <f>O197</f>
        <v>Q1</v>
      </c>
      <c r="P205" s="1579" t="str">
        <f>P197</f>
        <v>Q2</v>
      </c>
      <c r="Q205" s="1579" t="str">
        <f>Q197</f>
        <v>Q3</v>
      </c>
      <c r="R205" s="1580" t="str">
        <f>R197</f>
        <v>Q4</v>
      </c>
      <c r="S205" s="1578" t="str">
        <f t="shared" si="502"/>
        <v>Q1</v>
      </c>
      <c r="T205" s="1579" t="str">
        <f t="shared" si="502"/>
        <v>Q2</v>
      </c>
      <c r="U205" s="1579" t="str">
        <f t="shared" si="502"/>
        <v>Q3</v>
      </c>
      <c r="V205" s="1580" t="str">
        <f t="shared" si="502"/>
        <v>Q4</v>
      </c>
      <c r="W205" s="1578" t="str">
        <f t="shared" si="502"/>
        <v>Q1</v>
      </c>
      <c r="X205" s="1579" t="str">
        <f t="shared" si="502"/>
        <v>Q2</v>
      </c>
      <c r="Y205" s="1579" t="str">
        <f t="shared" si="502"/>
        <v>Q3</v>
      </c>
      <c r="Z205" s="1580" t="str">
        <f t="shared" si="502"/>
        <v>Q4</v>
      </c>
      <c r="AA205" s="1578" t="str">
        <f t="shared" si="502"/>
        <v>Q1</v>
      </c>
      <c r="AB205" s="1579" t="str">
        <f t="shared" si="502"/>
        <v>Q2</v>
      </c>
      <c r="AC205" s="1579" t="str">
        <f t="shared" si="502"/>
        <v>Q3</v>
      </c>
      <c r="AD205" s="1580" t="str">
        <f t="shared" si="502"/>
        <v>Q4</v>
      </c>
      <c r="AE205" s="1578" t="str">
        <f t="shared" si="502"/>
        <v>Q1</v>
      </c>
      <c r="AF205" s="1579" t="str">
        <f t="shared" si="502"/>
        <v>Q2</v>
      </c>
      <c r="AG205" s="1579" t="str">
        <f t="shared" si="502"/>
        <v>Q3</v>
      </c>
      <c r="AH205" s="1580" t="str">
        <f t="shared" si="502"/>
        <v>Q4</v>
      </c>
      <c r="AI205" s="1578" t="str">
        <f t="shared" si="502"/>
        <v>Q1</v>
      </c>
      <c r="AJ205" s="1579" t="str">
        <f t="shared" si="502"/>
        <v>Q2</v>
      </c>
      <c r="AK205" s="1579" t="str">
        <f t="shared" si="502"/>
        <v>Q3</v>
      </c>
      <c r="AL205" s="1580" t="str">
        <f t="shared" si="502"/>
        <v>Q4</v>
      </c>
      <c r="AM205" s="1578" t="str">
        <f t="shared" si="502"/>
        <v>Q1</v>
      </c>
      <c r="AN205" s="1579" t="str">
        <f t="shared" si="502"/>
        <v>Q2</v>
      </c>
      <c r="AO205" s="1579" t="str">
        <f t="shared" si="502"/>
        <v>Q3</v>
      </c>
      <c r="AP205" s="1580" t="str">
        <f t="shared" si="502"/>
        <v>Q4</v>
      </c>
      <c r="AQ205" s="1578" t="str">
        <f>AQ197</f>
        <v>Q1</v>
      </c>
      <c r="AR205" s="1579" t="str">
        <f>AR197</f>
        <v>Q2</v>
      </c>
      <c r="AS205" s="1579" t="str">
        <f>AS197</f>
        <v>Q3</v>
      </c>
      <c r="AT205" s="1580" t="str">
        <f>AT197</f>
        <v>Q4</v>
      </c>
      <c r="AU205" s="1578" t="str">
        <f t="shared" si="502"/>
        <v>Q1</v>
      </c>
      <c r="AV205" s="1579" t="str">
        <f t="shared" si="502"/>
        <v>Q2</v>
      </c>
      <c r="AW205" s="1579" t="str">
        <f t="shared" si="502"/>
        <v>Q3</v>
      </c>
      <c r="AX205" s="1580" t="str">
        <f t="shared" si="502"/>
        <v>Q4</v>
      </c>
      <c r="AY205" s="1578" t="str">
        <f>AY197</f>
        <v>Q1</v>
      </c>
      <c r="AZ205" s="1579" t="str">
        <f>AZ197</f>
        <v>Q2</v>
      </c>
      <c r="BA205" s="1579" t="str">
        <f t="shared" si="502"/>
        <v>Q3</v>
      </c>
      <c r="BB205" s="1579" t="str">
        <f t="shared" si="502"/>
        <v>Q4</v>
      </c>
      <c r="BC205" s="1579" t="str">
        <f t="shared" si="502"/>
        <v>Q1</v>
      </c>
      <c r="BD205" s="1579" t="str">
        <f t="shared" si="502"/>
        <v>Q2</v>
      </c>
      <c r="BE205" s="1579" t="str">
        <f t="shared" ref="BE205:BJ205" si="503">BE197</f>
        <v>Q3</v>
      </c>
      <c r="BF205" s="1580" t="str">
        <f t="shared" si="503"/>
        <v>Q4</v>
      </c>
      <c r="BG205" s="1579" t="str">
        <f t="shared" si="503"/>
        <v>Q1</v>
      </c>
      <c r="BH205" s="1579" t="str">
        <f t="shared" si="503"/>
        <v>Q2</v>
      </c>
      <c r="BI205" s="1579" t="str">
        <f t="shared" si="503"/>
        <v>Q3</v>
      </c>
      <c r="BJ205" s="1580" t="str">
        <f t="shared" si="503"/>
        <v>Q4</v>
      </c>
      <c r="BK205" s="1579" t="str">
        <f t="shared" ref="BK205:BR205" si="504">BK197</f>
        <v>Q1</v>
      </c>
      <c r="BL205" s="1579" t="str">
        <f t="shared" si="504"/>
        <v>Q2</v>
      </c>
      <c r="BM205" s="1579" t="str">
        <f t="shared" si="504"/>
        <v>Q3</v>
      </c>
      <c r="BN205" s="1579" t="str">
        <f t="shared" si="504"/>
        <v>Q4</v>
      </c>
      <c r="BO205" s="1579" t="str">
        <f t="shared" si="504"/>
        <v>Q1</v>
      </c>
      <c r="BP205" s="1579" t="str">
        <f t="shared" si="504"/>
        <v>Q2</v>
      </c>
      <c r="BQ205" s="1579" t="str">
        <f t="shared" si="504"/>
        <v>Q3</v>
      </c>
      <c r="BR205" s="1579" t="str">
        <f t="shared" si="504"/>
        <v>Q4</v>
      </c>
      <c r="BS205" s="1579" t="str">
        <f t="shared" ref="BS205:CD205" si="505">BS197</f>
        <v>Q1</v>
      </c>
      <c r="BT205" s="1579" t="str">
        <f t="shared" si="505"/>
        <v>Q2</v>
      </c>
      <c r="BU205" s="1579" t="str">
        <f t="shared" si="505"/>
        <v>Q3</v>
      </c>
      <c r="BV205" s="1579" t="str">
        <f t="shared" si="505"/>
        <v>Q4</v>
      </c>
      <c r="BW205" s="1579" t="str">
        <f t="shared" si="505"/>
        <v>Q1</v>
      </c>
      <c r="BX205" s="1579" t="str">
        <f t="shared" si="505"/>
        <v>Q2</v>
      </c>
      <c r="BY205" s="1579" t="str">
        <f t="shared" si="505"/>
        <v>Q3</v>
      </c>
      <c r="BZ205" s="1579" t="str">
        <f t="shared" si="505"/>
        <v>Q4</v>
      </c>
      <c r="CA205" s="1579" t="str">
        <f t="shared" si="505"/>
        <v>Q1</v>
      </c>
      <c r="CB205" s="1579" t="str">
        <f t="shared" si="505"/>
        <v>Q2</v>
      </c>
      <c r="CC205" s="1579" t="str">
        <f t="shared" si="505"/>
        <v>Q3</v>
      </c>
      <c r="CD205" s="1579" t="str">
        <f t="shared" si="505"/>
        <v>Q4</v>
      </c>
      <c r="CE205" s="1579" t="str">
        <f t="shared" ref="CE205:CL205" si="506">CE197</f>
        <v>Q1</v>
      </c>
      <c r="CF205" s="1579" t="str">
        <f t="shared" si="506"/>
        <v>Q2</v>
      </c>
      <c r="CG205" s="1579" t="str">
        <f t="shared" si="506"/>
        <v>Q3</v>
      </c>
      <c r="CH205" s="1579" t="str">
        <f t="shared" si="506"/>
        <v>Q4</v>
      </c>
      <c r="CI205" s="1579" t="str">
        <f t="shared" si="506"/>
        <v>Q1</v>
      </c>
      <c r="CJ205" s="1579" t="str">
        <f t="shared" si="506"/>
        <v>Q2</v>
      </c>
      <c r="CK205" s="1579" t="str">
        <f t="shared" si="506"/>
        <v>Q3</v>
      </c>
      <c r="CL205" s="1579" t="str">
        <f t="shared" si="506"/>
        <v>Q4</v>
      </c>
      <c r="CM205" s="1579" t="str">
        <f t="shared" ref="CM205:CT205" si="507">CM197</f>
        <v>Q1</v>
      </c>
      <c r="CN205" s="1579" t="str">
        <f t="shared" si="507"/>
        <v>Q2</v>
      </c>
      <c r="CO205" s="1579" t="str">
        <f t="shared" si="507"/>
        <v>Q3</v>
      </c>
      <c r="CP205" s="1579" t="str">
        <f t="shared" si="507"/>
        <v>Q4</v>
      </c>
      <c r="CQ205" s="1579" t="str">
        <f t="shared" si="507"/>
        <v>Q1</v>
      </c>
      <c r="CR205" s="1579" t="str">
        <f t="shared" si="507"/>
        <v>Q2</v>
      </c>
      <c r="CS205" s="1579" t="str">
        <f t="shared" si="507"/>
        <v>Q3</v>
      </c>
      <c r="CT205" s="1579" t="str">
        <f t="shared" si="507"/>
        <v>Q4</v>
      </c>
      <c r="CU205" s="1579" t="str">
        <f t="shared" ref="CU205:DB205" si="508">CU197</f>
        <v>Q1</v>
      </c>
      <c r="CV205" s="1579" t="str">
        <f t="shared" si="508"/>
        <v>Q2</v>
      </c>
      <c r="CW205" s="1579" t="str">
        <f t="shared" si="508"/>
        <v>Q3</v>
      </c>
      <c r="CX205" s="1579" t="str">
        <f t="shared" si="508"/>
        <v>Q4</v>
      </c>
      <c r="CY205" s="1579" t="str">
        <f t="shared" si="508"/>
        <v>Q1</v>
      </c>
      <c r="CZ205" s="1579" t="str">
        <f t="shared" si="508"/>
        <v>Q2</v>
      </c>
      <c r="DA205" s="1579" t="str">
        <f t="shared" si="508"/>
        <v>Q3</v>
      </c>
      <c r="DB205" s="1579" t="str">
        <f t="shared" si="508"/>
        <v>Q4</v>
      </c>
      <c r="DC205"/>
      <c r="DD205"/>
      <c r="DE205"/>
      <c r="DF205"/>
      <c r="DG205"/>
      <c r="DH205"/>
      <c r="DI205"/>
      <c r="DJ205"/>
      <c r="DK205"/>
      <c r="DL205"/>
      <c r="DM205"/>
      <c r="DN205"/>
      <c r="DO205"/>
    </row>
    <row r="206" spans="1:119" s="699" customFormat="1" ht="12.75" customHeight="1">
      <c r="B206" s="664"/>
      <c r="C206" s="692"/>
      <c r="D206" s="689"/>
      <c r="E206" s="3623" t="str">
        <f>E201</f>
        <v xml:space="preserve">Final demand                                                                    </v>
      </c>
      <c r="F206" s="3624" t="s">
        <v>1126</v>
      </c>
      <c r="G206" s="978"/>
      <c r="H206" s="978">
        <f>(H201/G201-1)*100</f>
        <v>0.51279767868142034</v>
      </c>
      <c r="I206" s="978">
        <f t="shared" ref="I206:BE206" si="509">(I201/H201-1)*100</f>
        <v>2.782002628431357</v>
      </c>
      <c r="J206" s="978">
        <f t="shared" si="509"/>
        <v>2.3137705624596272</v>
      </c>
      <c r="K206" s="978">
        <f t="shared" si="509"/>
        <v>1.8472102281104075</v>
      </c>
      <c r="L206" s="978">
        <f t="shared" si="509"/>
        <v>2.4382677751582094</v>
      </c>
      <c r="M206" s="978">
        <f t="shared" si="509"/>
        <v>4.2557486927906396</v>
      </c>
      <c r="N206" s="978">
        <f t="shared" si="509"/>
        <v>2.8756220832284685</v>
      </c>
      <c r="O206" s="978">
        <f>(O201/N201-1)*100</f>
        <v>3.9491021345480437</v>
      </c>
      <c r="P206" s="978">
        <f>(P201/O201-1)*100</f>
        <v>2.5779854169684757</v>
      </c>
      <c r="Q206" s="978">
        <f>(Q201/P201-1)*100</f>
        <v>0.95855669253810394</v>
      </c>
      <c r="R206" s="978">
        <f>(R201/Q201-1)*100</f>
        <v>5.2939873639055168</v>
      </c>
      <c r="S206" s="978">
        <f t="shared" si="509"/>
        <v>2.501453045860913</v>
      </c>
      <c r="T206" s="978">
        <f t="shared" si="509"/>
        <v>0.29431777679369553</v>
      </c>
      <c r="U206" s="978">
        <f t="shared" si="509"/>
        <v>-0.4404503577986052</v>
      </c>
      <c r="V206" s="978">
        <f t="shared" si="509"/>
        <v>-3.0248619531532905</v>
      </c>
      <c r="W206" s="978">
        <f t="shared" si="509"/>
        <v>-2.999308452495153</v>
      </c>
      <c r="X206" s="978">
        <f t="shared" si="509"/>
        <v>0.6951072270453551</v>
      </c>
      <c r="Y206" s="978">
        <f t="shared" si="509"/>
        <v>-1.6975088358389567</v>
      </c>
      <c r="Z206" s="978">
        <f t="shared" si="509"/>
        <v>-0.43156023837459534</v>
      </c>
      <c r="AA206" s="978">
        <f t="shared" si="509"/>
        <v>3.3881101135786906</v>
      </c>
      <c r="AB206" s="978">
        <f t="shared" si="509"/>
        <v>0.62912244471904355</v>
      </c>
      <c r="AC206" s="978">
        <f t="shared" si="509"/>
        <v>2.6302804660603529</v>
      </c>
      <c r="AD206" s="978">
        <f t="shared" si="509"/>
        <v>0.94516409250589017</v>
      </c>
      <c r="AE206" s="978">
        <f t="shared" si="509"/>
        <v>5.1334924526565962</v>
      </c>
      <c r="AF206" s="978">
        <f t="shared" si="509"/>
        <v>0.99767312563061594</v>
      </c>
      <c r="AG206" s="978">
        <f t="shared" si="509"/>
        <v>1.9649319537183407</v>
      </c>
      <c r="AH206" s="978">
        <f t="shared" si="509"/>
        <v>4.8059186682996247</v>
      </c>
      <c r="AI206" s="978">
        <f t="shared" si="509"/>
        <v>2.0437949241387088</v>
      </c>
      <c r="AJ206" s="978">
        <f t="shared" si="509"/>
        <v>3.6962943574019524</v>
      </c>
      <c r="AK206" s="978">
        <f t="shared" si="509"/>
        <v>0.69641021942556947</v>
      </c>
      <c r="AL206" s="978">
        <f t="shared" si="509"/>
        <v>2.5935889917948707</v>
      </c>
      <c r="AM206" s="978">
        <f t="shared" si="509"/>
        <v>4.0791305068698103</v>
      </c>
      <c r="AN206" s="978">
        <f t="shared" si="509"/>
        <v>-0.57977697660770433</v>
      </c>
      <c r="AO206" s="978">
        <f t="shared" si="509"/>
        <v>3.0498783506284877</v>
      </c>
      <c r="AP206" s="978">
        <f t="shared" si="509"/>
        <v>3.3929375179017063</v>
      </c>
      <c r="AQ206" s="978">
        <f>(AQ201/AP201-1)*100</f>
        <v>0.63518572751524172</v>
      </c>
      <c r="AR206" s="978">
        <f>(AR201/AQ201-1)*100</f>
        <v>3.4500387357591977</v>
      </c>
      <c r="AS206" s="978">
        <f>(AS201/AR201-1)*100</f>
        <v>2.5773587774652107</v>
      </c>
      <c r="AT206" s="978">
        <f>(AT201/AS201-1)*100</f>
        <v>3.1214793951971576</v>
      </c>
      <c r="AU206" s="978">
        <f t="shared" si="509"/>
        <v>5.6526391219817285</v>
      </c>
      <c r="AV206" s="978">
        <f t="shared" si="509"/>
        <v>3.7491182011047286</v>
      </c>
      <c r="AW206" s="978">
        <f t="shared" si="509"/>
        <v>3.2172097531274479</v>
      </c>
      <c r="AX206" s="978">
        <f t="shared" si="509"/>
        <v>2.9148107897316811</v>
      </c>
      <c r="AY206" s="978">
        <f t="shared" si="509"/>
        <v>18.894249318390898</v>
      </c>
      <c r="AZ206" s="978">
        <f t="shared" si="509"/>
        <v>0.45980926430517766</v>
      </c>
      <c r="BA206" s="978">
        <f t="shared" si="509"/>
        <v>3.6259490903899794</v>
      </c>
      <c r="BB206" s="978">
        <f>(BB201/BA201-1)*100</f>
        <v>4.4952430151965261</v>
      </c>
      <c r="BC206" s="978">
        <f>(BC201/BB201-1)*100</f>
        <v>1.2037967799878091</v>
      </c>
      <c r="BD206" s="978">
        <f>(BD201/BC201-1)*100</f>
        <v>3.5879733283398663</v>
      </c>
      <c r="BE206" s="978">
        <f t="shared" si="509"/>
        <v>1.6167062263231502</v>
      </c>
      <c r="BF206" s="978">
        <f t="shared" ref="BF206:BL206" si="510">(BF201/BE201-1)*100</f>
        <v>2.8795507807968024</v>
      </c>
      <c r="BG206" s="978">
        <f t="shared" si="510"/>
        <v>3.9717623708782623</v>
      </c>
      <c r="BH206" s="978">
        <f t="shared" si="510"/>
        <v>0.63775786893427444</v>
      </c>
      <c r="BI206" s="978">
        <f t="shared" si="510"/>
        <v>-2.0003017696635372</v>
      </c>
      <c r="BJ206" s="978">
        <f t="shared" si="510"/>
        <v>-5.0221782323399022</v>
      </c>
      <c r="BK206" s="978">
        <f t="shared" si="510"/>
        <v>-13.760469334980108</v>
      </c>
      <c r="BL206" s="978">
        <f t="shared" si="510"/>
        <v>-3.0675176111494062</v>
      </c>
      <c r="BM206" s="978">
        <f t="shared" ref="BM206:BR206" si="511">(BM201/BL201-1)*100</f>
        <v>-0.27333505706792494</v>
      </c>
      <c r="BN206" s="978">
        <f t="shared" si="511"/>
        <v>-1.25652801955628</v>
      </c>
      <c r="BO206" s="978">
        <f t="shared" si="511"/>
        <v>4.3239340203865329</v>
      </c>
      <c r="BP206" s="978">
        <f t="shared" si="511"/>
        <v>4.5348314606741491</v>
      </c>
      <c r="BQ206" s="978">
        <f t="shared" si="511"/>
        <v>1.7567393267122311</v>
      </c>
      <c r="BR206" s="978">
        <f t="shared" si="511"/>
        <v>4.2995487501901408</v>
      </c>
      <c r="BS206" s="978">
        <f t="shared" ref="BS206:CB206" si="512">(BS201/BR201-1)*100</f>
        <v>2.9126764214995049</v>
      </c>
      <c r="BT206" s="978">
        <f t="shared" si="512"/>
        <v>0.9793656167090381</v>
      </c>
      <c r="BU206" s="978">
        <f t="shared" si="512"/>
        <v>0.43737574552684677</v>
      </c>
      <c r="BV206" s="978">
        <f t="shared" si="512"/>
        <v>1.1915296601617831</v>
      </c>
      <c r="BW206" s="978">
        <f t="shared" si="512"/>
        <v>1.3194130146285898</v>
      </c>
      <c r="BX206" s="978">
        <f t="shared" si="512"/>
        <v>-0.7525684996327997</v>
      </c>
      <c r="BY206" s="978">
        <f t="shared" si="512"/>
        <v>4.764774539046579</v>
      </c>
      <c r="BZ206" s="978">
        <f t="shared" si="512"/>
        <v>0.4281563790203391</v>
      </c>
      <c r="CA206" s="978">
        <f t="shared" si="512"/>
        <v>1.646594789770961</v>
      </c>
      <c r="CB206" s="978">
        <f t="shared" si="512"/>
        <v>0.72971353572242048</v>
      </c>
      <c r="CC206" s="978">
        <f t="shared" ref="CC206:CL206" si="513">(CC201/CB201-1)*100</f>
        <v>2.2589668236377314</v>
      </c>
      <c r="CD206" s="978">
        <f t="shared" si="513"/>
        <v>1.0484401509643027</v>
      </c>
      <c r="CE206" s="978">
        <f t="shared" si="513"/>
        <v>4.728650826826275E-2</v>
      </c>
      <c r="CF206" s="978">
        <f t="shared" si="513"/>
        <v>0.92199358851412505</v>
      </c>
      <c r="CG206" s="978">
        <f t="shared" si="513"/>
        <v>0.29321134293509576</v>
      </c>
      <c r="CH206" s="978">
        <f t="shared" si="513"/>
        <v>1.316947064954066</v>
      </c>
      <c r="CI206" s="978">
        <f t="shared" si="513"/>
        <v>1.7894357165758157</v>
      </c>
      <c r="CJ206" s="978">
        <f t="shared" si="513"/>
        <v>1.4121568859053246</v>
      </c>
      <c r="CK206" s="978">
        <f t="shared" si="513"/>
        <v>-0.92919122833128309</v>
      </c>
      <c r="CL206" s="978">
        <f t="shared" si="513"/>
        <v>0.17634726041266813</v>
      </c>
      <c r="CM206" s="978">
        <f>(CM201/CL201-1)*100</f>
        <v>-0.24710354225209175</v>
      </c>
      <c r="CN206" s="978">
        <f>(CN201/CM201-1)*100</f>
        <v>2.4274827121923082</v>
      </c>
      <c r="CO206" s="978">
        <f>(CO201/CN201-1)*100</f>
        <v>1.0981928633416738</v>
      </c>
      <c r="CP206" s="978">
        <f>(CP201/CO201-1)*100</f>
        <v>1.894176087052557</v>
      </c>
      <c r="CQ206" s="1962">
        <f t="shared" ref="CQ206" si="514">(CP144*CQ149+CP170*CQ183)/(CP144+CP170)</f>
        <v>2.6623883444627463</v>
      </c>
      <c r="CR206" s="1962">
        <f t="shared" ref="CR206" si="515">(CQ144*CR149+CQ170*CR183)/(CQ144+CQ170)</f>
        <v>1.2840006757898377</v>
      </c>
      <c r="CS206" s="1962">
        <f t="shared" ref="CS206:CX206" si="516">(CR144*CS149+CR170*CS183)/(CR144+CR170)</f>
        <v>2.385321100917432</v>
      </c>
      <c r="CT206" s="1962">
        <f t="shared" si="516"/>
        <v>1.4866405995438448</v>
      </c>
      <c r="CU206" s="1962">
        <f t="shared" si="516"/>
        <v>0.7172934141349282</v>
      </c>
      <c r="CV206" s="1962">
        <f t="shared" si="516"/>
        <v>0.71735688560220434</v>
      </c>
      <c r="CW206" s="1962">
        <f t="shared" si="516"/>
        <v>0.71742036040082702</v>
      </c>
      <c r="CX206" s="1962">
        <f t="shared" si="516"/>
        <v>0.73705413590036328</v>
      </c>
      <c r="CY206" s="1962">
        <f t="shared" ref="CY206" si="517">(CX144*CY149+CX170*CY183)/(CX144+CX170)</f>
        <v>1.0565291535579697</v>
      </c>
      <c r="CZ206" s="1962">
        <f t="shared" ref="CZ206" si="518">(CY144*CZ149+CY170*CZ183)/(CY144+CY170)</f>
        <v>1.107003192825434</v>
      </c>
      <c r="DA206" s="1962">
        <f t="shared" ref="DA206" si="519">(CZ144*DA149+CZ170*DA183)/(CZ144+CZ170)</f>
        <v>1.1092802960500661</v>
      </c>
      <c r="DB206" s="1962">
        <f t="shared" ref="DB206" si="520">(DA144*DB149+DA170*DB183)/(DA144+DA170)</f>
        <v>1.0989007179173624</v>
      </c>
      <c r="DD206"/>
      <c r="DE206"/>
      <c r="DF206"/>
      <c r="DG206"/>
      <c r="DH206"/>
      <c r="DI206"/>
      <c r="DJ206"/>
      <c r="DK206"/>
      <c r="DL206"/>
      <c r="DM206"/>
      <c r="DN206"/>
      <c r="DO206"/>
    </row>
    <row r="207" spans="1:119" ht="12.75" customHeight="1">
      <c r="C207" s="1555"/>
      <c r="D207" s="1581"/>
      <c r="E207" s="1582" t="s">
        <v>763</v>
      </c>
      <c r="F207" s="1649"/>
      <c r="G207" s="1605"/>
      <c r="H207" s="1606"/>
      <c r="I207" s="1606"/>
      <c r="J207" s="1606"/>
      <c r="K207" s="1607"/>
      <c r="L207" s="1607"/>
      <c r="M207" s="1607"/>
      <c r="N207" s="1608">
        <f>N202/J202*100-100</f>
        <v>10.17117466484487</v>
      </c>
      <c r="O207" s="1607"/>
      <c r="P207" s="1607"/>
      <c r="Q207" s="1607"/>
      <c r="R207" s="1608">
        <f>R202/N202*100-100</f>
        <v>13.138979080929431</v>
      </c>
      <c r="S207" s="1607"/>
      <c r="T207" s="1607"/>
      <c r="U207" s="1607"/>
      <c r="V207" s="1608">
        <f>V202/R202*100-100</f>
        <v>6.87076392543635</v>
      </c>
      <c r="W207" s="1607"/>
      <c r="X207" s="1607"/>
      <c r="Y207" s="1607"/>
      <c r="Z207" s="1608">
        <f>Z202/V202*100-100</f>
        <v>-5.7738926026592168</v>
      </c>
      <c r="AA207" s="1607"/>
      <c r="AB207" s="1607"/>
      <c r="AC207" s="1607"/>
      <c r="AD207" s="1608">
        <f>AD202/Z202*100-100</f>
        <v>4.4355222923867359</v>
      </c>
      <c r="AE207" s="1607"/>
      <c r="AF207" s="1607"/>
      <c r="AG207" s="1607"/>
      <c r="AH207" s="1608">
        <f>AH202/AD202*100-100</f>
        <v>10.611973496677393</v>
      </c>
      <c r="AI207" s="1607"/>
      <c r="AJ207" s="1607"/>
      <c r="AK207" s="1607"/>
      <c r="AL207" s="1608">
        <f>AL202/AH202*100-100</f>
        <v>11.02773743791758</v>
      </c>
      <c r="AM207" s="1607"/>
      <c r="AN207" s="1607"/>
      <c r="AO207" s="1607"/>
      <c r="AP207" s="1608">
        <f>AP202/AL202*100-100</f>
        <v>9.4987077660110941</v>
      </c>
      <c r="AQ207" s="1607"/>
      <c r="AR207" s="1607"/>
      <c r="AS207" s="1607"/>
      <c r="AT207" s="1608">
        <f>AT202/AP202*100-100</f>
        <v>9.5275445660788876</v>
      </c>
      <c r="AU207" s="1607"/>
      <c r="AV207" s="1607"/>
      <c r="AW207" s="1607"/>
      <c r="AX207" s="1608">
        <f>AX202/AT202*100-100</f>
        <v>16.179799934300036</v>
      </c>
      <c r="AY207" s="1607"/>
      <c r="AZ207" s="1607"/>
      <c r="BA207" s="1609"/>
      <c r="BB207" s="1610">
        <f>BB202/AX202*100-100</f>
        <v>28.635060621046961</v>
      </c>
      <c r="BC207" s="1609"/>
      <c r="BD207" s="1609"/>
      <c r="BE207" s="1609"/>
      <c r="BF207" s="1608">
        <f>BF202/BB202*100-100</f>
        <v>11.103738398820354</v>
      </c>
      <c r="BG207" s="1609"/>
      <c r="BH207" s="1609"/>
      <c r="BI207" s="1609"/>
      <c r="BJ207" s="1608">
        <f>BJ202/BF202*100-100</f>
        <v>6.0601210853179026</v>
      </c>
      <c r="BK207" s="1609"/>
      <c r="BL207" s="1609"/>
      <c r="BM207" s="1609"/>
      <c r="BN207" s="1610">
        <f>BN202/BJ202*100-100</f>
        <v>-20.01597302987031</v>
      </c>
      <c r="BO207" s="1609"/>
      <c r="BP207" s="1609"/>
      <c r="BQ207" s="1609"/>
      <c r="BR207" s="1610">
        <f>BR202/BN202*100-100</f>
        <v>7.974995743662646</v>
      </c>
      <c r="BS207" s="1609"/>
      <c r="BT207" s="1609"/>
      <c r="BU207" s="1609"/>
      <c r="BV207" s="1610">
        <f>BV202/BR202*100-100</f>
        <v>9.6235103098385508</v>
      </c>
      <c r="BW207" s="1609"/>
      <c r="BX207" s="1609"/>
      <c r="BY207" s="1609"/>
      <c r="BZ207" s="1610">
        <f>BZ202/BV202*100-100</f>
        <v>4.6550547842160626</v>
      </c>
      <c r="CA207" s="1609"/>
      <c r="CB207" s="1609"/>
      <c r="CC207" s="1609"/>
      <c r="CD207" s="1610">
        <f>CD202/BZ202*100-100</f>
        <v>6.1864114022086767</v>
      </c>
      <c r="CE207" s="1609"/>
      <c r="CF207" s="1609"/>
      <c r="CG207" s="1609"/>
      <c r="CH207" s="1610">
        <f>CH202/CD202*100-100</f>
        <v>3.3353097872950599</v>
      </c>
      <c r="CI207" s="1609"/>
      <c r="CJ207" s="1609"/>
      <c r="CK207" s="1609"/>
      <c r="CL207" s="3355">
        <f>CL202/CH202*100-100</f>
        <v>3.8283683141502962</v>
      </c>
      <c r="CM207" s="1609"/>
      <c r="CN207" s="1609"/>
      <c r="CO207" s="1609"/>
      <c r="CP207" s="1610">
        <f>CP202/CL202*100-100</f>
        <v>2.634255923367121</v>
      </c>
      <c r="CQ207" s="1609"/>
      <c r="CR207" s="1609"/>
      <c r="CS207" s="1609"/>
      <c r="CT207" s="1610">
        <f>CT202/CP202*100-100</f>
        <v>7.9891736832825586</v>
      </c>
      <c r="CU207" s="1609"/>
      <c r="CV207" s="1609"/>
      <c r="CW207" s="1609"/>
      <c r="CX207" s="1610">
        <f>CX202/CT202*100-100</f>
        <v>4.4770029584763762</v>
      </c>
      <c r="CY207" s="1609"/>
      <c r="CZ207" s="1609"/>
      <c r="DA207" s="1609"/>
      <c r="DB207" s="1610">
        <f>DB202/CX202*100-100</f>
        <v>3.8655308401595221</v>
      </c>
    </row>
    <row r="208" spans="1:119" s="699" customFormat="1" ht="12.75" customHeight="1">
      <c r="A208" s="664"/>
      <c r="B208" s="664"/>
      <c r="C208" s="666"/>
      <c r="D208" s="717"/>
      <c r="E208" s="1596" t="s">
        <v>1847</v>
      </c>
      <c r="F208" s="717"/>
      <c r="G208" s="1597"/>
      <c r="H208" s="1597"/>
      <c r="I208" s="1597"/>
      <c r="J208" s="1598"/>
      <c r="K208" s="1597"/>
      <c r="L208" s="1597"/>
      <c r="M208" s="1597"/>
      <c r="N208" s="1599">
        <f ca="1">N203/J203*100-100</f>
        <v>11.827125551478247</v>
      </c>
      <c r="O208" s="1597"/>
      <c r="P208" s="1597"/>
      <c r="Q208" s="1597"/>
      <c r="R208" s="1599">
        <f ca="1">R203/N203*100-100</f>
        <v>14.400066740955111</v>
      </c>
      <c r="S208" s="1597"/>
      <c r="T208" s="1597"/>
      <c r="U208" s="1597"/>
      <c r="V208" s="1599">
        <f ca="1">V203/R203*100-100</f>
        <v>7.0572290476035704</v>
      </c>
      <c r="W208" s="1597"/>
      <c r="X208" s="1597"/>
      <c r="Y208" s="1597"/>
      <c r="Z208" s="1599">
        <f ca="1">Z203/V203*100-100</f>
        <v>-5.1118404805977775</v>
      </c>
      <c r="AA208" s="1597"/>
      <c r="AB208" s="1597"/>
      <c r="AC208" s="1597"/>
      <c r="AD208" s="1599">
        <f ca="1">AD203/Z203*100-100</f>
        <v>4.0652448074415304</v>
      </c>
      <c r="AE208" s="1597"/>
      <c r="AF208" s="1597"/>
      <c r="AG208" s="1597"/>
      <c r="AH208" s="1599">
        <f ca="1">AH203/AD203*100-100</f>
        <v>10.363782081855149</v>
      </c>
      <c r="AI208" s="1597"/>
      <c r="AJ208" s="1597"/>
      <c r="AK208" s="1597"/>
      <c r="AL208" s="1599">
        <f ca="1">AL203/AH203*100-100</f>
        <v>11.01034755711477</v>
      </c>
      <c r="AM208" s="1597"/>
      <c r="AN208" s="1597"/>
      <c r="AO208" s="1597"/>
      <c r="AP208" s="1599">
        <f ca="1">AP203/AL203*100-100</f>
        <v>9.7537199975804327</v>
      </c>
      <c r="AQ208" s="1597"/>
      <c r="AR208" s="1597"/>
      <c r="AS208" s="1597"/>
      <c r="AT208" s="1599">
        <f ca="1">AT203/AP203*100-100</f>
        <v>10.234495684566738</v>
      </c>
      <c r="AU208" s="1597"/>
      <c r="AV208" s="1597"/>
      <c r="AW208" s="1597"/>
      <c r="AX208" s="1599">
        <f ca="1">AX203/AT203*100-100</f>
        <v>12.17051282214716</v>
      </c>
      <c r="AY208" s="1597"/>
      <c r="AZ208" s="1597"/>
      <c r="BA208" s="1611"/>
      <c r="BB208" s="1612">
        <f ca="1">BB203/AX203*100-100</f>
        <v>10.004620343381163</v>
      </c>
      <c r="BC208" s="1611"/>
      <c r="BD208" s="1611"/>
      <c r="BE208" s="1611"/>
      <c r="BF208" s="1599">
        <f ca="1">BF203/BB203*100-100</f>
        <v>10.976490522052245</v>
      </c>
      <c r="BG208" s="1611"/>
      <c r="BH208" s="1611"/>
      <c r="BI208" s="1611"/>
      <c r="BJ208" s="1599">
        <f ca="1">BJ203/BF203*100-100</f>
        <v>6.3401551967141359</v>
      </c>
      <c r="BK208" s="1611"/>
      <c r="BL208" s="1611"/>
      <c r="BM208" s="1611"/>
      <c r="BN208" s="1612">
        <f ca="1">BN203/BJ203*100-100</f>
        <v>-20.183035920962638</v>
      </c>
      <c r="BO208" s="1611"/>
      <c r="BP208" s="1611"/>
      <c r="BQ208" s="1611"/>
      <c r="BR208" s="1612">
        <f ca="1">BR203/BN203*100-100</f>
        <v>7.5845214624761184</v>
      </c>
      <c r="BS208" s="1611"/>
      <c r="BT208" s="1611"/>
      <c r="BU208" s="1611"/>
      <c r="BV208" s="1612">
        <f ca="1">BV203/BR203*100-100</f>
        <v>9.6463986429901354</v>
      </c>
      <c r="BW208" s="1611"/>
      <c r="BX208" s="1611"/>
      <c r="BY208" s="1611"/>
      <c r="BZ208" s="1612">
        <f ca="1">BZ203/BV203*100-100</f>
        <v>5.0577675096518959</v>
      </c>
      <c r="CA208" s="1611"/>
      <c r="CB208" s="1611"/>
      <c r="CC208" s="1611"/>
      <c r="CD208" s="1612">
        <f ca="1">CD203/BZ203*100-100</f>
        <v>6.0069223963111966</v>
      </c>
      <c r="CE208" s="1611"/>
      <c r="CF208" s="1611"/>
      <c r="CG208" s="1611"/>
      <c r="CH208" s="1612">
        <f ca="1">CH203/CD203*100-100</f>
        <v>3.3377467649213628</v>
      </c>
      <c r="CI208" s="1611"/>
      <c r="CJ208" s="1611"/>
      <c r="CK208" s="1611"/>
      <c r="CL208" s="3394">
        <f ca="1">CL203/CH203*100-100</f>
        <v>3.8735925824965705</v>
      </c>
      <c r="CM208" s="1611"/>
      <c r="CN208" s="1611"/>
      <c r="CO208" s="1611"/>
      <c r="CP208" s="1612">
        <f ca="1">CP203/CL203*100-100</f>
        <v>2.8568848345463209</v>
      </c>
      <c r="CQ208" s="1611"/>
      <c r="CR208" s="1611"/>
      <c r="CS208" s="1611"/>
      <c r="CT208" s="1612">
        <f ca="1">CT203/CP203*100-100</f>
        <v>7.624395869345804</v>
      </c>
      <c r="CU208" s="1611"/>
      <c r="CV208" s="1611"/>
      <c r="CW208" s="1611"/>
      <c r="CX208" s="1612">
        <f ca="1">CX203/CT203*100-100</f>
        <v>4.6166949195453952</v>
      </c>
      <c r="CY208" s="1611"/>
      <c r="CZ208" s="1611"/>
      <c r="DA208" s="1611"/>
      <c r="DB208" s="1612">
        <f ca="1">DB203/CX203*100-100</f>
        <v>3.7729913703898887</v>
      </c>
      <c r="DC208"/>
      <c r="DD208"/>
      <c r="DE208"/>
      <c r="DF208"/>
      <c r="DG208"/>
      <c r="DH208"/>
      <c r="DI208"/>
      <c r="DJ208"/>
      <c r="DK208"/>
      <c r="DL208"/>
      <c r="DM208"/>
      <c r="DN208"/>
      <c r="DO208"/>
    </row>
    <row r="209" spans="1:119" ht="12.75" customHeight="1">
      <c r="E209" s="599"/>
      <c r="F209" s="3617"/>
      <c r="AY209" s="217"/>
      <c r="BF209" s="217"/>
      <c r="BJ209" s="217"/>
      <c r="CM209" s="557"/>
      <c r="CN209" s="557"/>
      <c r="CO209" s="557"/>
      <c r="CP209" s="557"/>
      <c r="CQ209" s="557"/>
      <c r="CR209" s="557"/>
      <c r="CS209" s="557"/>
      <c r="CT209" s="557"/>
      <c r="CU209" s="557"/>
      <c r="CV209" s="557"/>
      <c r="CW209" s="557"/>
      <c r="CX209" s="557"/>
      <c r="CY209" s="557"/>
      <c r="CZ209" s="557"/>
      <c r="DA209" s="557"/>
      <c r="DB209" s="557"/>
    </row>
    <row r="210" spans="1:119" s="699" customFormat="1" ht="12.75" customHeight="1">
      <c r="A210" s="664"/>
      <c r="B210" s="664"/>
      <c r="C210" s="666"/>
      <c r="D210" s="858"/>
      <c r="E210" s="3625"/>
      <c r="F210" s="3626"/>
      <c r="G210" s="1588" t="str">
        <f t="shared" ref="G210:AX210" si="521">G205</f>
        <v>Q1</v>
      </c>
      <c r="H210" s="1588" t="str">
        <f t="shared" si="521"/>
        <v>Q2</v>
      </c>
      <c r="I210" s="1588" t="str">
        <f t="shared" si="521"/>
        <v>Q3</v>
      </c>
      <c r="J210" s="1588" t="str">
        <f t="shared" si="521"/>
        <v>Q4</v>
      </c>
      <c r="K210" s="1593" t="str">
        <f t="shared" si="521"/>
        <v>Q1</v>
      </c>
      <c r="L210" s="1588" t="str">
        <f t="shared" si="521"/>
        <v>Q2</v>
      </c>
      <c r="M210" s="1588" t="str">
        <f t="shared" si="521"/>
        <v>Q3</v>
      </c>
      <c r="N210" s="1594" t="str">
        <f t="shared" si="521"/>
        <v>Q4</v>
      </c>
      <c r="O210" s="1593" t="str">
        <f t="shared" si="521"/>
        <v>Q1</v>
      </c>
      <c r="P210" s="1588" t="str">
        <f t="shared" si="521"/>
        <v>Q2</v>
      </c>
      <c r="Q210" s="1588" t="str">
        <f t="shared" si="521"/>
        <v>Q3</v>
      </c>
      <c r="R210" s="1594" t="str">
        <f t="shared" si="521"/>
        <v>Q4</v>
      </c>
      <c r="S210" s="1593" t="str">
        <f t="shared" si="521"/>
        <v>Q1</v>
      </c>
      <c r="T210" s="1588" t="str">
        <f t="shared" si="521"/>
        <v>Q2</v>
      </c>
      <c r="U210" s="1588" t="str">
        <f t="shared" si="521"/>
        <v>Q3</v>
      </c>
      <c r="V210" s="1594" t="str">
        <f t="shared" si="521"/>
        <v>Q4</v>
      </c>
      <c r="W210" s="1593" t="str">
        <f t="shared" si="521"/>
        <v>Q1</v>
      </c>
      <c r="X210" s="1588" t="str">
        <f t="shared" si="521"/>
        <v>Q2</v>
      </c>
      <c r="Y210" s="1588" t="str">
        <f t="shared" si="521"/>
        <v>Q3</v>
      </c>
      <c r="Z210" s="1594" t="str">
        <f t="shared" si="521"/>
        <v>Q4</v>
      </c>
      <c r="AA210" s="1593" t="str">
        <f t="shared" si="521"/>
        <v>Q1</v>
      </c>
      <c r="AB210" s="1588" t="str">
        <f t="shared" si="521"/>
        <v>Q2</v>
      </c>
      <c r="AC210" s="1588" t="str">
        <f t="shared" si="521"/>
        <v>Q3</v>
      </c>
      <c r="AD210" s="1594" t="str">
        <f t="shared" si="521"/>
        <v>Q4</v>
      </c>
      <c r="AE210" s="1593" t="str">
        <f t="shared" si="521"/>
        <v>Q1</v>
      </c>
      <c r="AF210" s="1588" t="str">
        <f t="shared" si="521"/>
        <v>Q2</v>
      </c>
      <c r="AG210" s="1588" t="str">
        <f t="shared" si="521"/>
        <v>Q3</v>
      </c>
      <c r="AH210" s="1594" t="str">
        <f t="shared" si="521"/>
        <v>Q4</v>
      </c>
      <c r="AI210" s="1593" t="str">
        <f t="shared" si="521"/>
        <v>Q1</v>
      </c>
      <c r="AJ210" s="1588" t="str">
        <f t="shared" si="521"/>
        <v>Q2</v>
      </c>
      <c r="AK210" s="1588" t="str">
        <f t="shared" si="521"/>
        <v>Q3</v>
      </c>
      <c r="AL210" s="1594" t="str">
        <f t="shared" si="521"/>
        <v>Q4</v>
      </c>
      <c r="AM210" s="1593" t="str">
        <f t="shared" si="521"/>
        <v>Q1</v>
      </c>
      <c r="AN210" s="1588" t="str">
        <f t="shared" si="521"/>
        <v>Q2</v>
      </c>
      <c r="AO210" s="1588" t="str">
        <f t="shared" si="521"/>
        <v>Q3</v>
      </c>
      <c r="AP210" s="1594" t="str">
        <f t="shared" si="521"/>
        <v>Q4</v>
      </c>
      <c r="AQ210" s="1593" t="str">
        <f t="shared" si="521"/>
        <v>Q1</v>
      </c>
      <c r="AR210" s="1588" t="str">
        <f t="shared" si="521"/>
        <v>Q2</v>
      </c>
      <c r="AS210" s="1588" t="str">
        <f t="shared" si="521"/>
        <v>Q3</v>
      </c>
      <c r="AT210" s="1594" t="str">
        <f t="shared" si="521"/>
        <v>Q4</v>
      </c>
      <c r="AU210" s="1593" t="str">
        <f t="shared" si="521"/>
        <v>Q1</v>
      </c>
      <c r="AV210" s="1588" t="str">
        <f t="shared" si="521"/>
        <v>Q2</v>
      </c>
      <c r="AW210" s="1588" t="str">
        <f t="shared" si="521"/>
        <v>Q3</v>
      </c>
      <c r="AX210" s="1594" t="str">
        <f t="shared" si="521"/>
        <v>Q4</v>
      </c>
      <c r="AY210" s="1593" t="str">
        <f t="shared" ref="AY210:BD210" si="522">AY205</f>
        <v>Q1</v>
      </c>
      <c r="AZ210" s="1588" t="str">
        <f t="shared" si="522"/>
        <v>Q2</v>
      </c>
      <c r="BA210" s="1588" t="str">
        <f t="shared" si="522"/>
        <v>Q3</v>
      </c>
      <c r="BB210" s="1594" t="str">
        <f t="shared" si="522"/>
        <v>Q4</v>
      </c>
      <c r="BC210" s="1593" t="str">
        <f t="shared" si="522"/>
        <v>Q1</v>
      </c>
      <c r="BD210" s="1588" t="str">
        <f t="shared" si="522"/>
        <v>Q2</v>
      </c>
      <c r="BE210" s="1588" t="str">
        <f t="shared" ref="BE210:BN210" si="523">BE205</f>
        <v>Q3</v>
      </c>
      <c r="BF210" s="1594" t="str">
        <f t="shared" si="523"/>
        <v>Q4</v>
      </c>
      <c r="BG210" s="1593" t="str">
        <f t="shared" si="523"/>
        <v>Q1</v>
      </c>
      <c r="BH210" s="1588" t="str">
        <f t="shared" si="523"/>
        <v>Q2</v>
      </c>
      <c r="BI210" s="1588" t="str">
        <f t="shared" si="523"/>
        <v>Q3</v>
      </c>
      <c r="BJ210" s="1594" t="str">
        <f t="shared" si="523"/>
        <v>Q4</v>
      </c>
      <c r="BK210" s="1593" t="str">
        <f t="shared" si="523"/>
        <v>Q1</v>
      </c>
      <c r="BL210" s="1588" t="str">
        <f t="shared" si="523"/>
        <v>Q2</v>
      </c>
      <c r="BM210" s="1588" t="str">
        <f t="shared" si="523"/>
        <v>Q3</v>
      </c>
      <c r="BN210" s="1594" t="str">
        <f t="shared" si="523"/>
        <v>Q4</v>
      </c>
      <c r="BO210" s="1593" t="str">
        <f t="shared" ref="BO210:BV210" si="524">BO205</f>
        <v>Q1</v>
      </c>
      <c r="BP210" s="1588" t="str">
        <f t="shared" si="524"/>
        <v>Q2</v>
      </c>
      <c r="BQ210" s="1588" t="str">
        <f t="shared" si="524"/>
        <v>Q3</v>
      </c>
      <c r="BR210" s="1594" t="str">
        <f t="shared" si="524"/>
        <v>Q4</v>
      </c>
      <c r="BS210" s="1593" t="str">
        <f t="shared" si="524"/>
        <v>Q1</v>
      </c>
      <c r="BT210" s="1588" t="str">
        <f t="shared" si="524"/>
        <v>Q2</v>
      </c>
      <c r="BU210" s="1588" t="str">
        <f t="shared" si="524"/>
        <v>Q3</v>
      </c>
      <c r="BV210" s="1594" t="str">
        <f t="shared" si="524"/>
        <v>Q4</v>
      </c>
      <c r="BW210" s="1593" t="str">
        <f t="shared" ref="BW210:CD210" si="525">BW205</f>
        <v>Q1</v>
      </c>
      <c r="BX210" s="1588" t="str">
        <f t="shared" si="525"/>
        <v>Q2</v>
      </c>
      <c r="BY210" s="1588" t="str">
        <f t="shared" si="525"/>
        <v>Q3</v>
      </c>
      <c r="BZ210" s="1594" t="str">
        <f t="shared" si="525"/>
        <v>Q4</v>
      </c>
      <c r="CA210" s="1593" t="str">
        <f t="shared" si="525"/>
        <v>Q1</v>
      </c>
      <c r="CB210" s="1588" t="str">
        <f t="shared" si="525"/>
        <v>Q2</v>
      </c>
      <c r="CC210" s="1588" t="str">
        <f t="shared" si="525"/>
        <v>Q3</v>
      </c>
      <c r="CD210" s="1594" t="str">
        <f t="shared" si="525"/>
        <v>Q4</v>
      </c>
      <c r="CE210" s="1593" t="str">
        <f t="shared" ref="CE210:CL210" si="526">CE205</f>
        <v>Q1</v>
      </c>
      <c r="CF210" s="1588" t="str">
        <f t="shared" si="526"/>
        <v>Q2</v>
      </c>
      <c r="CG210" s="1588" t="str">
        <f t="shared" si="526"/>
        <v>Q3</v>
      </c>
      <c r="CH210" s="1594" t="str">
        <f t="shared" si="526"/>
        <v>Q4</v>
      </c>
      <c r="CI210" s="1593" t="str">
        <f t="shared" si="526"/>
        <v>Q1</v>
      </c>
      <c r="CJ210" s="1588" t="str">
        <f t="shared" si="526"/>
        <v>Q2</v>
      </c>
      <c r="CK210" s="1588" t="str">
        <f t="shared" si="526"/>
        <v>Q3</v>
      </c>
      <c r="CL210" s="1594" t="str">
        <f t="shared" si="526"/>
        <v>Q4</v>
      </c>
      <c r="CM210" s="1593" t="str">
        <f t="shared" ref="CM210:CT210" si="527">CM205</f>
        <v>Q1</v>
      </c>
      <c r="CN210" s="1588" t="str">
        <f t="shared" si="527"/>
        <v>Q2</v>
      </c>
      <c r="CO210" s="1588" t="str">
        <f t="shared" si="527"/>
        <v>Q3</v>
      </c>
      <c r="CP210" s="1594" t="str">
        <f t="shared" si="527"/>
        <v>Q4</v>
      </c>
      <c r="CQ210" s="1593" t="str">
        <f t="shared" si="527"/>
        <v>Q1</v>
      </c>
      <c r="CR210" s="1588" t="str">
        <f t="shared" si="527"/>
        <v>Q2</v>
      </c>
      <c r="CS210" s="1588" t="str">
        <f t="shared" si="527"/>
        <v>Q3</v>
      </c>
      <c r="CT210" s="1594" t="str">
        <f t="shared" si="527"/>
        <v>Q4</v>
      </c>
      <c r="CU210" s="1593" t="str">
        <f t="shared" ref="CU210:DB210" si="528">CU205</f>
        <v>Q1</v>
      </c>
      <c r="CV210" s="1588" t="str">
        <f t="shared" si="528"/>
        <v>Q2</v>
      </c>
      <c r="CW210" s="1588" t="str">
        <f t="shared" si="528"/>
        <v>Q3</v>
      </c>
      <c r="CX210" s="1594" t="str">
        <f t="shared" si="528"/>
        <v>Q4</v>
      </c>
      <c r="CY210" s="1593" t="str">
        <f t="shared" si="528"/>
        <v>Q1</v>
      </c>
      <c r="CZ210" s="1588" t="str">
        <f t="shared" si="528"/>
        <v>Q2</v>
      </c>
      <c r="DA210" s="1588" t="str">
        <f t="shared" si="528"/>
        <v>Q3</v>
      </c>
      <c r="DB210" s="1594" t="str">
        <f t="shared" si="528"/>
        <v>Q4</v>
      </c>
      <c r="DC210"/>
      <c r="DD210"/>
      <c r="DE210"/>
      <c r="DF210"/>
      <c r="DG210"/>
      <c r="DH210"/>
      <c r="DI210"/>
      <c r="DJ210"/>
      <c r="DK210"/>
      <c r="DL210"/>
      <c r="DM210"/>
      <c r="DN210"/>
      <c r="DO210"/>
    </row>
    <row r="211" spans="1:119" s="699" customFormat="1" ht="12.75" customHeight="1">
      <c r="A211" s="664"/>
      <c r="B211" s="664"/>
      <c r="C211" s="862"/>
      <c r="D211" s="863"/>
      <c r="E211" s="3627" t="s">
        <v>1848</v>
      </c>
      <c r="F211" s="3628"/>
      <c r="G211" s="705"/>
      <c r="H211" s="705"/>
      <c r="I211" s="705"/>
      <c r="J211" s="705"/>
      <c r="K211" s="1564">
        <f t="shared" ref="K211:AX211" si="529">(K201/G201-1)*100</f>
        <v>7.6518912661130534</v>
      </c>
      <c r="L211" s="1564">
        <f t="shared" si="529"/>
        <v>9.714121173638901</v>
      </c>
      <c r="M211" s="1564">
        <f t="shared" si="529"/>
        <v>11.287263845988061</v>
      </c>
      <c r="N211" s="1564">
        <f t="shared" si="529"/>
        <v>11.898392906038691</v>
      </c>
      <c r="O211" s="1564">
        <f t="shared" si="529"/>
        <v>14.207718079166142</v>
      </c>
      <c r="P211" s="1564">
        <f t="shared" si="529"/>
        <v>14.363488314187855</v>
      </c>
      <c r="Q211" s="1564">
        <f t="shared" si="529"/>
        <v>10.746628970520877</v>
      </c>
      <c r="R211" s="1564">
        <f t="shared" si="529"/>
        <v>13.350023215249296</v>
      </c>
      <c r="S211" s="1564">
        <f t="shared" si="529"/>
        <v>11.771452025689344</v>
      </c>
      <c r="T211" s="1564">
        <f t="shared" si="529"/>
        <v>9.2831125730391761</v>
      </c>
      <c r="U211" s="1564">
        <f t="shared" si="529"/>
        <v>7.7687501457114116</v>
      </c>
      <c r="V211" s="1564">
        <f t="shared" si="529"/>
        <v>-0.7456201046192934</v>
      </c>
      <c r="W211" s="1564">
        <f t="shared" si="529"/>
        <v>-6.0721267564560977</v>
      </c>
      <c r="X211" s="1564">
        <f t="shared" si="529"/>
        <v>-5.6967784663927716</v>
      </c>
      <c r="Y211" s="1564">
        <f t="shared" si="529"/>
        <v>-6.8874695107111306</v>
      </c>
      <c r="Z211" s="1564">
        <f t="shared" si="529"/>
        <v>-4.3974613514176752</v>
      </c>
      <c r="AA211" s="1564">
        <f t="shared" si="529"/>
        <v>1.8978899557293039</v>
      </c>
      <c r="AB211" s="1564">
        <f t="shared" si="529"/>
        <v>1.8311169984983389</v>
      </c>
      <c r="AC211" s="1564">
        <f t="shared" si="529"/>
        <v>6.314254847066203</v>
      </c>
      <c r="AD211" s="1564">
        <f t="shared" si="529"/>
        <v>7.7842529882221179</v>
      </c>
      <c r="AE211" s="1564">
        <f t="shared" si="529"/>
        <v>9.603850342208764</v>
      </c>
      <c r="AF211" s="1564">
        <f t="shared" si="529"/>
        <v>10.005270653673183</v>
      </c>
      <c r="AG211" s="1564">
        <f t="shared" si="529"/>
        <v>9.2921103383468928</v>
      </c>
      <c r="AH211" s="1564">
        <f t="shared" si="529"/>
        <v>13.472102702322374</v>
      </c>
      <c r="AI211" s="1564">
        <f t="shared" si="529"/>
        <v>10.137347363218897</v>
      </c>
      <c r="AJ211" s="1564">
        <f t="shared" si="529"/>
        <v>13.080177379071323</v>
      </c>
      <c r="AK211" s="1564">
        <f t="shared" si="529"/>
        <v>11.673373490964533</v>
      </c>
      <c r="AL211" s="1564">
        <f t="shared" si="529"/>
        <v>9.3160799202514522</v>
      </c>
      <c r="AM211" s="1564">
        <f t="shared" si="529"/>
        <v>11.496466365030123</v>
      </c>
      <c r="AN211" s="1564">
        <f t="shared" si="529"/>
        <v>6.898743306348365</v>
      </c>
      <c r="AO211" s="1564">
        <f t="shared" si="529"/>
        <v>9.3971718510096345</v>
      </c>
      <c r="AP211" s="1564">
        <f t="shared" si="529"/>
        <v>10.249529868101259</v>
      </c>
      <c r="AQ211" s="1564">
        <f t="shared" si="529"/>
        <v>6.6014085687934987</v>
      </c>
      <c r="AR211" s="1564">
        <f t="shared" si="529"/>
        <v>10.922300417023333</v>
      </c>
      <c r="AS211" s="1564">
        <f t="shared" si="529"/>
        <v>10.413683047587874</v>
      </c>
      <c r="AT211" s="1564">
        <f t="shared" si="529"/>
        <v>10.123791959854689</v>
      </c>
      <c r="AU211" s="1564">
        <f t="shared" si="529"/>
        <v>15.614326803965572</v>
      </c>
      <c r="AV211" s="1564">
        <f t="shared" si="529"/>
        <v>15.948573861476456</v>
      </c>
      <c r="AW211" s="1564">
        <f t="shared" si="529"/>
        <v>16.671831010969452</v>
      </c>
      <c r="AX211" s="1564">
        <f t="shared" si="529"/>
        <v>16.438005771518306</v>
      </c>
      <c r="AY211" s="1564">
        <f t="shared" ref="AY211:BE211" si="530">(AY201/AU201-1)*100</f>
        <v>31.031362807243301</v>
      </c>
      <c r="AZ211" s="1564">
        <f t="shared" si="530"/>
        <v>26.877085256204825</v>
      </c>
      <c r="BA211" s="1564">
        <f t="shared" si="530"/>
        <v>27.379517514017838</v>
      </c>
      <c r="BB211" s="1564">
        <f t="shared" si="530"/>
        <v>29.335646984581864</v>
      </c>
      <c r="BC211" s="1564">
        <f t="shared" si="530"/>
        <v>10.091603327118893</v>
      </c>
      <c r="BD211" s="1564">
        <f t="shared" si="530"/>
        <v>13.519686655186881</v>
      </c>
      <c r="BE211" s="1564">
        <f t="shared" si="530"/>
        <v>11.318610357742486</v>
      </c>
      <c r="BF211" s="1564">
        <f t="shared" ref="BF211:BN211" si="531">(BF201/BB201-1)*100</f>
        <v>9.5974160802860808</v>
      </c>
      <c r="BG211" s="1564">
        <f t="shared" si="531"/>
        <v>12.594950621605982</v>
      </c>
      <c r="BH211" s="1564">
        <f t="shared" si="531"/>
        <v>9.3882138422120001</v>
      </c>
      <c r="BI211" s="1564">
        <f t="shared" si="531"/>
        <v>5.4945819894656189</v>
      </c>
      <c r="BJ211" s="1564">
        <f t="shared" si="531"/>
        <v>-2.6079961507811222</v>
      </c>
      <c r="BK211" s="1564">
        <f t="shared" si="531"/>
        <v>-19.218059683145682</v>
      </c>
      <c r="BL211" s="1564">
        <f t="shared" si="531"/>
        <v>-22.192284755602497</v>
      </c>
      <c r="BM211" s="1564">
        <f t="shared" si="531"/>
        <v>-20.821144470105214</v>
      </c>
      <c r="BN211" s="1564">
        <f t="shared" si="531"/>
        <v>-17.681886603110886</v>
      </c>
      <c r="BO211" s="1564">
        <f t="shared" ref="BO211:BV211" si="532">(BO201/BK201-1)*100</f>
        <v>-0.41980325638433236</v>
      </c>
      <c r="BP211" s="1564">
        <f t="shared" si="532"/>
        <v>7.3902042625493936</v>
      </c>
      <c r="BQ211" s="1564">
        <f t="shared" si="532"/>
        <v>9.5762806029852996</v>
      </c>
      <c r="BR211" s="1564">
        <f t="shared" si="532"/>
        <v>15.741895554159369</v>
      </c>
      <c r="BS211" s="1564">
        <f t="shared" si="532"/>
        <v>14.176179775280895</v>
      </c>
      <c r="BT211" s="1564">
        <f t="shared" si="532"/>
        <v>10.29278988778537</v>
      </c>
      <c r="BU211" s="1564">
        <f t="shared" si="532"/>
        <v>8.862749074684384</v>
      </c>
      <c r="BV211" s="1564">
        <f t="shared" si="532"/>
        <v>5.6187513165783631</v>
      </c>
      <c r="BW211" s="1564">
        <f t="shared" ref="BW211:CD211" si="533">(BW201/BS201-1)*100</f>
        <v>3.9835932641059335</v>
      </c>
      <c r="BX211" s="1564">
        <f t="shared" si="533"/>
        <v>2.2001325381047154</v>
      </c>
      <c r="BY211" s="1564">
        <f t="shared" si="533"/>
        <v>6.6034806638411547</v>
      </c>
      <c r="BZ211" s="1564">
        <f t="shared" si="533"/>
        <v>5.7992804596466607</v>
      </c>
      <c r="CA211" s="1564">
        <f t="shared" si="533"/>
        <v>6.140928672557</v>
      </c>
      <c r="CB211" s="1564">
        <f t="shared" si="533"/>
        <v>7.726166591652861</v>
      </c>
      <c r="CC211" s="1564">
        <f t="shared" si="533"/>
        <v>5.1495270619588807</v>
      </c>
      <c r="CD211" s="1564">
        <f t="shared" si="533"/>
        <v>5.7989718752039288</v>
      </c>
      <c r="CE211" s="1564">
        <f t="shared" ref="CE211:CL211" si="534">(CE201/CA201-1)*100</f>
        <v>4.134330061629754</v>
      </c>
      <c r="CF211" s="1564">
        <f t="shared" si="534"/>
        <v>4.3331090889777935</v>
      </c>
      <c r="CG211" s="1564">
        <f t="shared" si="534"/>
        <v>2.3274817353969635</v>
      </c>
      <c r="CH211" s="1564">
        <f t="shared" si="534"/>
        <v>2.5993873313276517</v>
      </c>
      <c r="CI211" s="1564">
        <f t="shared" si="534"/>
        <v>4.3859769296106688</v>
      </c>
      <c r="CJ211" s="1564">
        <f t="shared" si="534"/>
        <v>4.892964285229473</v>
      </c>
      <c r="CK211" s="1564">
        <f t="shared" si="534"/>
        <v>3.6144985991364731</v>
      </c>
      <c r="CL211" s="1564">
        <f t="shared" si="534"/>
        <v>2.4480335577642398</v>
      </c>
      <c r="CM211" s="1564">
        <f t="shared" ref="CM211:CT211" si="535">(CM201/CI201-1)*100</f>
        <v>0.39831748594076899</v>
      </c>
      <c r="CN211" s="1564">
        <f t="shared" si="535"/>
        <v>1.4034928790045642</v>
      </c>
      <c r="CO211" s="1564">
        <f t="shared" si="535"/>
        <v>3.4786129961399626</v>
      </c>
      <c r="CP211" s="1564">
        <f t="shared" si="535"/>
        <v>5.2530692346310026</v>
      </c>
      <c r="CQ211" s="1564">
        <f t="shared" si="535"/>
        <v>8.3229846141779298</v>
      </c>
      <c r="CR211" s="1564">
        <f t="shared" si="535"/>
        <v>7.1136862524886491</v>
      </c>
      <c r="CS211" s="1564">
        <f t="shared" si="535"/>
        <v>8.4774005415538589</v>
      </c>
      <c r="CT211" s="1564">
        <f t="shared" si="535"/>
        <v>8.0435348191830727</v>
      </c>
      <c r="CU211" s="1564">
        <f t="shared" ref="CU211:DB211" si="536">(CU201/CQ201-1)*100</f>
        <v>5.9964858928873488</v>
      </c>
      <c r="CV211" s="1564">
        <f t="shared" si="536"/>
        <v>5.4034776180150068</v>
      </c>
      <c r="CW211" s="1564">
        <f t="shared" si="536"/>
        <v>3.6864098149181901</v>
      </c>
      <c r="CX211" s="1564">
        <f t="shared" si="536"/>
        <v>2.9205757228456086</v>
      </c>
      <c r="CY211" s="1564">
        <f t="shared" si="536"/>
        <v>3.2672325523100287</v>
      </c>
      <c r="CZ211" s="1564">
        <f t="shared" si="536"/>
        <v>3.6667435905799683</v>
      </c>
      <c r="DA211" s="1564">
        <f t="shared" si="536"/>
        <v>4.0700784191231243</v>
      </c>
      <c r="DB211" s="1564">
        <f t="shared" si="536"/>
        <v>4.4438971940437888</v>
      </c>
      <c r="DC211"/>
      <c r="DD211"/>
      <c r="DE211"/>
      <c r="DF211"/>
      <c r="DG211"/>
      <c r="DH211"/>
      <c r="DI211"/>
      <c r="DJ211"/>
      <c r="DK211"/>
      <c r="DL211"/>
      <c r="DM211"/>
      <c r="DN211"/>
      <c r="DO211"/>
    </row>
    <row r="212" spans="1:119" s="699" customFormat="1" ht="12.75" customHeight="1">
      <c r="A212" s="664"/>
      <c r="B212" s="664"/>
      <c r="C212" s="944"/>
      <c r="D212" s="674"/>
      <c r="E212" s="3629" t="s">
        <v>1938</v>
      </c>
      <c r="F212" s="3630"/>
      <c r="G212" s="705"/>
      <c r="H212" s="705"/>
      <c r="I212" s="705"/>
      <c r="J212" s="705"/>
      <c r="K212" s="1564">
        <f>(4*K201/J202-1)*100</f>
        <v>5.1490122029451024</v>
      </c>
      <c r="L212" s="1564">
        <f>((K201+3*L201)/J202-1)*100</f>
        <v>7.0718730632763016</v>
      </c>
      <c r="M212" s="1564">
        <f>((K201+L201+2*M201)/J202-1)*100</f>
        <v>9.3638666700493367</v>
      </c>
      <c r="N212" s="1621"/>
      <c r="O212" s="1564">
        <f>(4*O201/N202-1)*100</f>
        <v>9.0015494389452009</v>
      </c>
      <c r="P212" s="1564">
        <f>((O201+3*P201)/N202-1)*100</f>
        <v>11.109082475549471</v>
      </c>
      <c r="Q212" s="1564">
        <f>((O201+P201+2*Q201)/N202-1)*100</f>
        <v>11.644971231754631</v>
      </c>
      <c r="R212" s="1621"/>
      <c r="S212" s="1564">
        <f>(4*S201/R202-1)*100</f>
        <v>7.6840320887645586</v>
      </c>
      <c r="T212" s="1564">
        <f>((S201+3*T201)/R202-1)*100</f>
        <v>7.9217320256686596</v>
      </c>
      <c r="U212" s="1564">
        <f>((S201+T201+2*U201)/R202-1)*100</f>
        <v>7.6838867065401439</v>
      </c>
      <c r="V212" s="1621"/>
      <c r="W212" s="1564">
        <f>(4*W201/V202-1)*100</f>
        <v>-5.3573517688701671</v>
      </c>
      <c r="X212" s="1564">
        <f>((W201+3*X201)/V202-1)*100</f>
        <v>-4.8639508530789026</v>
      </c>
      <c r="Y212" s="1564">
        <f>((W201+X201+2*Y201)/V202-1)*100</f>
        <v>-5.6728181939377116</v>
      </c>
      <c r="Z212" s="1621"/>
      <c r="AA212" s="1564">
        <f>(4*AA201/Z202-1)*100</f>
        <v>2.3483450707275422</v>
      </c>
      <c r="AB212" s="1564">
        <f>((AA201+3*AB201)/Z202-1)*100</f>
        <v>2.8312673787063591</v>
      </c>
      <c r="AC212" s="1564">
        <f>((AA201+AB201+2*AC201)/Z202-1)*100</f>
        <v>4.1857597833274029</v>
      </c>
      <c r="AD212" s="1621"/>
      <c r="AE212" s="1564">
        <f>(4*AE201/AD202-1)*100</f>
        <v>7.4133824360883116</v>
      </c>
      <c r="AF212" s="1564">
        <f>((AE201+3*AF201)/AD202-1)*100</f>
        <v>8.2171082735100995</v>
      </c>
      <c r="AG212" s="1564">
        <f>((AE201+AF201+2*AG201)/AD202-1)*100</f>
        <v>9.2829366544047822</v>
      </c>
      <c r="AH212" s="1621"/>
      <c r="AI212" s="1564">
        <f>(4*AI201/AH202-1)*100</f>
        <v>6.9524811721860758</v>
      </c>
      <c r="AJ212" s="1564">
        <f>((AI201+3*AJ201)/AH202-1)*100</f>
        <v>9.9174400671877549</v>
      </c>
      <c r="AK212" s="1564">
        <f>((AI201+AJ201+2*AK201)/AH202-1)*100</f>
        <v>10.30361958942494</v>
      </c>
      <c r="AL212" s="1621"/>
      <c r="AM212" s="1564">
        <f>(4*AM201/AL202-1)*100</f>
        <v>7.404005475109865</v>
      </c>
      <c r="AN212" s="1564">
        <f>((AM201+3*AN201)/AL202-1)*100</f>
        <v>6.9369777033354785</v>
      </c>
      <c r="AO212" s="1564">
        <f>((AM201+AN201+2*AO201)/AL202-1)*100</f>
        <v>8.5653276060802632</v>
      </c>
      <c r="AP212" s="1621"/>
      <c r="AQ212" s="1564">
        <f>(4*AQ201/AP202-1)*100</f>
        <v>4.5621314001577096</v>
      </c>
      <c r="AR212" s="1564">
        <f>((AQ201+3*AR201)/AP202-1)*100</f>
        <v>7.2677069273383577</v>
      </c>
      <c r="AS212" s="1564">
        <f>((AQ201+AR201+2*AS201)/AP202-1)*100</f>
        <v>8.661665821998854</v>
      </c>
      <c r="AT212" s="1621"/>
      <c r="AU212" s="1564">
        <f>(4*AU201/AT202-1)*100</f>
        <v>10.372970369327494</v>
      </c>
      <c r="AV212" s="1564">
        <f>((AU201+3*AV201)/AT202-1)*100</f>
        <v>13.476480210239794</v>
      </c>
      <c r="AW212" s="1564">
        <f>((AU201+AV201+2*AW201)/AT202-1)*100</f>
        <v>15.318509474869767</v>
      </c>
      <c r="AX212" s="1621"/>
      <c r="AY212" s="1564">
        <f>(4*AY201/AX202-1)*100</f>
        <v>24.482231272174214</v>
      </c>
      <c r="AZ212" s="1564">
        <f>((AY201+3*AZ201)/AX202-1)*100</f>
        <v>24.91151689602664</v>
      </c>
      <c r="BA212" s="1564">
        <f>((AY201+AZ201+2*BA201)/AX202-1)*100</f>
        <v>27.178725181064102</v>
      </c>
      <c r="BB212" s="1621"/>
      <c r="BC212" s="1564">
        <f>(4*BC201/BB202-1)*100</f>
        <v>6.537427357099479</v>
      </c>
      <c r="BD212" s="1564">
        <f>((BC201+3*BD201)/BB202-1)*100</f>
        <v>9.4043282158036146</v>
      </c>
      <c r="BE212" s="1564">
        <f>((BC201+BD201+2*BE201)/BB202-1)*100</f>
        <v>10.29642640298376</v>
      </c>
      <c r="BF212" s="1621"/>
      <c r="BG212" s="1564">
        <f>(4*BG201/BF202-1)*100</f>
        <v>7.9673514636021681</v>
      </c>
      <c r="BH212" s="1564">
        <f>((BG201+3*BH201)/BF202-1)*100</f>
        <v>8.4837791734814427</v>
      </c>
      <c r="BI212" s="1564">
        <f>((BG201+BH201+2*BI201)/BF202-1)*100</f>
        <v>7.39705601074232</v>
      </c>
      <c r="BJ212" s="1621"/>
      <c r="BK212" s="1564">
        <f>(4*BK201/BJ202-1)*100</f>
        <v>-17.76539520367453</v>
      </c>
      <c r="BL212" s="1564">
        <f>((BK201+3*BL201)/BJ202-1)*100</f>
        <v>-19.65731594211433</v>
      </c>
      <c r="BM212" s="1564">
        <f>((BK201+BL201+2*BM201)/BJ202-1)*100</f>
        <v>-19.766256422335736</v>
      </c>
      <c r="BN212" s="1621"/>
      <c r="BO212" s="1564">
        <f>(4*BO201/BN202-1)*100</f>
        <v>2.3821684773355889</v>
      </c>
      <c r="BP212" s="1564">
        <f>((BO201+3*BP201)/BN202-1)*100</f>
        <v>5.8643125670085672</v>
      </c>
      <c r="BQ212" s="1564">
        <f>((BO201+BP201+2*BQ201)/BN202-1)*100</f>
        <v>6.8043879386903372</v>
      </c>
      <c r="BR212" s="1621"/>
      <c r="BS212" s="1564">
        <f>(4*BS201/BR202-1)*100</f>
        <v>8.2621471141614666</v>
      </c>
      <c r="BT212" s="1564">
        <f>((BS201+3*BT201)/BR202-1)*100</f>
        <v>9.0573587977217827</v>
      </c>
      <c r="BU212" s="1564">
        <f>((BS201+BT201+2*BU201)/BR202-1)*100</f>
        <v>9.2964336929400648</v>
      </c>
      <c r="BV212" s="1621"/>
      <c r="BW212" s="1564">
        <f>(4*BW201/BV202-1)*100</f>
        <v>2.6922695651666606</v>
      </c>
      <c r="BX212" s="1564">
        <f>((BW201+3*BX201)/BV202-1)*100</f>
        <v>2.1126473109375876</v>
      </c>
      <c r="BY212" s="1564">
        <f>((BW201+BX201+2*BY201)/BV202-1)*100</f>
        <v>4.5407630721145509</v>
      </c>
      <c r="BZ212" s="1621"/>
      <c r="CA212" s="1564">
        <f>(4*CA201/BZ202-1)*100</f>
        <v>4.150276177422163</v>
      </c>
      <c r="CB212" s="1564">
        <f>((CA201+3*CB201)/BZ202-1)*100</f>
        <v>4.720275174491384</v>
      </c>
      <c r="CC212" s="1564">
        <f>((CA201+CB201+2*CC201)/BZ202-1)*100</f>
        <v>5.9052193261047936</v>
      </c>
      <c r="CD212" s="1621"/>
      <c r="CE212" s="1564">
        <f>(4*CE201/CD202-1)*100</f>
        <v>2.1375437049941048</v>
      </c>
      <c r="CF212" s="1564">
        <f>((CE201+3*CF201)/CD202-1)*100</f>
        <v>2.8438199083135052</v>
      </c>
      <c r="CG212" s="1564">
        <f>((CE201+CF201+2*CG201)/CD202-1)*100</f>
        <v>2.9949399280430722</v>
      </c>
      <c r="CH212" s="1621"/>
      <c r="CI212" s="1564">
        <f>(4*CI201/CH202-1)*100</f>
        <v>3.1760324983073795</v>
      </c>
      <c r="CJ212" s="1564">
        <f>((CI201+3*CJ201)/CH202-1)*100</f>
        <v>4.2687880839539671</v>
      </c>
      <c r="CK212" s="1564">
        <f>((CI201+CJ201+2*CK201)/CH202-1)*100</f>
        <v>3.7826675693974243</v>
      </c>
      <c r="CL212" s="1621"/>
      <c r="CM212" s="1564">
        <f>(4*CM201/CL202-1)*100</f>
        <v>-0.23246790932119898</v>
      </c>
      <c r="CN212" s="1564">
        <f>((CM201+3*CN201)/CL202-1)*100</f>
        <v>1.5839117860904084</v>
      </c>
      <c r="CO212" s="1564">
        <f>((CM201+CN201+2*CO201)/CL202-1)*100</f>
        <v>2.145029979557167</v>
      </c>
      <c r="CP212" s="1621"/>
      <c r="CQ212" s="1564">
        <f>(4*CQ201/CP202-1)*100</f>
        <v>5.2973663269146876</v>
      </c>
      <c r="CR212" s="1564">
        <f>((CQ201+3*CR201)/CP202-1)*100</f>
        <v>6.3113804983345956</v>
      </c>
      <c r="CS212" s="1564">
        <f>((CQ201+CR201+2*CS201)/CP202-1)*100</f>
        <v>7.5833456431858126</v>
      </c>
      <c r="CT212" s="1621"/>
      <c r="CU212" s="1564">
        <f>(4*CU201/CT202-1)*100</f>
        <v>3.3543495495495623</v>
      </c>
      <c r="CV212" s="1564">
        <f>((CU201+3*CV201)/CT202-1)*100</f>
        <v>3.9104142068468351</v>
      </c>
      <c r="CW212" s="1564">
        <f>((CU201+CV201+2*CW201)/CT202-1)*100</f>
        <v>4.2838163277399754</v>
      </c>
      <c r="CX212" s="1621"/>
      <c r="CY212" s="1564">
        <f>(4*CY201/CX202-1)*100</f>
        <v>2.1575786823443632</v>
      </c>
      <c r="CZ212" s="1564">
        <f>((CY201+3*CZ201)/CX202-1)*100</f>
        <v>3.0057444256393895</v>
      </c>
      <c r="DA212" s="1564">
        <f>((CY201+CZ201+2*DA201)/CX202-1)*100</f>
        <v>3.5786237282407596</v>
      </c>
      <c r="DB212" s="1621"/>
      <c r="DC212"/>
      <c r="DD212"/>
      <c r="DE212"/>
      <c r="DF212"/>
      <c r="DG212"/>
      <c r="DH212"/>
      <c r="DI212"/>
      <c r="DJ212"/>
      <c r="DK212"/>
      <c r="DL212"/>
      <c r="DM212"/>
      <c r="DN212"/>
      <c r="DO212"/>
    </row>
    <row r="213" spans="1:119" ht="12.75" customHeight="1">
      <c r="C213" s="1557"/>
      <c r="D213" s="828"/>
      <c r="E213" s="3631" t="s">
        <v>1807</v>
      </c>
      <c r="F213" s="828"/>
      <c r="G213" s="876"/>
      <c r="H213" s="876"/>
      <c r="I213" s="876"/>
      <c r="J213" s="876"/>
      <c r="K213" s="1620"/>
      <c r="L213" s="883">
        <f>(4*L201/(K201+3*L201)-1)*100</f>
        <v>0.59861997532406619</v>
      </c>
      <c r="M213" s="883">
        <f>(4*M201/(K201+L201+2*M201)-1)*100</f>
        <v>2.6818247344272628</v>
      </c>
      <c r="N213" s="883">
        <f>+(4*N201/N202-1)*100</f>
        <v>4.860501149742924</v>
      </c>
      <c r="O213" s="1620"/>
      <c r="P213" s="883">
        <f>(4*P201/(O201+3*P201)-1)*100</f>
        <v>0.63227145481650204</v>
      </c>
      <c r="Q213" s="883">
        <f>(4*Q201/(O201+P201+2*Q201)-1)*100</f>
        <v>1.1092302275181654</v>
      </c>
      <c r="R213" s="883">
        <f>+(4*R201/R202-1)*100</f>
        <v>5.0561030003983376</v>
      </c>
      <c r="S213" s="1620"/>
      <c r="T213" s="883">
        <f>(4*T201/(S201+3*T201)-1)*100</f>
        <v>7.3417383889395893E-2</v>
      </c>
      <c r="U213" s="883">
        <f>(4*U201/(S201+T201+2*U201)-1)*100</f>
        <v>-0.14729409541039962</v>
      </c>
      <c r="V213" s="883">
        <f>+(4*V201/V202-1)*100</f>
        <v>-2.4309551599641877</v>
      </c>
      <c r="W213" s="1620"/>
      <c r="X213" s="883">
        <f>(4*X201/(W201+3*X201)-1)*100</f>
        <v>0.17287555390959053</v>
      </c>
      <c r="Y213" s="883">
        <f>(4*Y201/(W201+X201+2*Y201)-1)*100</f>
        <v>-0.68315448059635964</v>
      </c>
      <c r="Z213" s="883">
        <f>+(4*Z201/Z202-1)*100</f>
        <v>-1.0056911202931396</v>
      </c>
      <c r="AA213" s="1620"/>
      <c r="AB213" s="883">
        <f>(4*AB201/(AA201+3*AB201)-1)*100</f>
        <v>0.15654198062811098</v>
      </c>
      <c r="AC213" s="883">
        <f>(4*AC201/(AA201+AB201+2*AC201)-1)*100</f>
        <v>1.454581231093699</v>
      </c>
      <c r="AD213" s="883">
        <f>+(4*AD201/AD202-1)*100</f>
        <v>2.1685667718670976</v>
      </c>
      <c r="AE213" s="1620"/>
      <c r="AF213" s="883">
        <f>(4*AF201/(AE201+3*AF201)-1)*100</f>
        <v>0.24756585788339169</v>
      </c>
      <c r="AG213" s="883">
        <f>(4*AG201/(AE201+AF201+2*AG201)-1)*100</f>
        <v>1.2204439541979362</v>
      </c>
      <c r="AH213" s="883">
        <f>+(4*AH201/AH202-1)*100</f>
        <v>4.8103721070904548</v>
      </c>
      <c r="AI213" s="1620"/>
      <c r="AJ213" s="883">
        <f>(4*AJ201/(AI201+3*AJ201)-1)*100</f>
        <v>0.89914724275155233</v>
      </c>
      <c r="AK213" s="883">
        <f>(4*AK201/(AI201+AJ201+2*AK201)-1)*100</f>
        <v>1.2461052130660955</v>
      </c>
      <c r="AL213" s="883">
        <f>+(4*AL201/AL202-1)*100</f>
        <v>3.1945645126431721</v>
      </c>
      <c r="AM213" s="1620"/>
      <c r="AN213" s="883">
        <f>(4*AN201/(AM201+3*AN201)-1)*100</f>
        <v>-0.14557726173697327</v>
      </c>
      <c r="AO213" s="883">
        <f>(4*AO201/(AM201+AN201+2*AO201)-1)*100</f>
        <v>1.3564864688323297</v>
      </c>
      <c r="AP213" s="883">
        <f>+(4*AP201/AP202-1)*100</f>
        <v>3.9021597110927564</v>
      </c>
      <c r="AQ213" s="1620"/>
      <c r="AR213" s="883">
        <f>(4*AR201/(AQ201+3*AR201)-1)*100</f>
        <v>0.84075490648003459</v>
      </c>
      <c r="AS213" s="883">
        <f>(4*AS201/(AQ201+AR201+2*AS201)-1)*100</f>
        <v>2.1128126339251541</v>
      </c>
      <c r="AT213" s="883">
        <f>+(4*AT201/AT202-1)*100</f>
        <v>4.467783565629535</v>
      </c>
      <c r="AU213" s="1620"/>
      <c r="AV213" s="883">
        <f>(4*AV201/(AU201+3*AV201)-1)*100</f>
        <v>0.91164554838805145</v>
      </c>
      <c r="AW213" s="883">
        <f>(4*AW201/(AU201+AV201+2*AW201)-1)*100</f>
        <v>2.4944239723813988</v>
      </c>
      <c r="AX213" s="883">
        <f>+(4*AX201/AX202-1)*100</f>
        <v>4.6999598263319342</v>
      </c>
      <c r="AY213" s="1620"/>
      <c r="AZ213" s="883">
        <f>(4*AZ201/(AY201+3*AZ201)-1)*100</f>
        <v>0.11455725741440492</v>
      </c>
      <c r="BA213" s="883">
        <f>(4*BA201/(AY201+AZ201+2*BA201)-1)*100</f>
        <v>1.8952096662053552</v>
      </c>
      <c r="BB213" s="883">
        <f>+(4*BB201/BB202-1)*100</f>
        <v>5.2701882210078654</v>
      </c>
      <c r="BC213" s="1620"/>
      <c r="BD213" s="883">
        <f>(4*BD201/(BC201+3*BD201)-1)*100</f>
        <v>0.87348794618347103</v>
      </c>
      <c r="BE213" s="883">
        <f>(4*BE201/(BC201+BD201+2*BE201)-1)*100</f>
        <v>1.6752417707508016</v>
      </c>
      <c r="BF213" s="883">
        <f>+(4*BF201/BF202-1)*100</f>
        <v>3.8429560119133566</v>
      </c>
      <c r="BG213" s="1620"/>
      <c r="BH213" s="883">
        <f>(4*BH201/(BG201+3*BH201)-1)*100</f>
        <v>0.15868046934877089</v>
      </c>
      <c r="BI213" s="883">
        <f>(4*BI201/(BG201+BH201+2*BI201)-1)*100</f>
        <v>-0.85158814100817493</v>
      </c>
      <c r="BJ213" s="883">
        <f>+(4*BJ201/BJ202-1)*100</f>
        <v>-4.6439560116006913</v>
      </c>
      <c r="BK213" s="1620"/>
      <c r="BL213" s="883">
        <f>(4*BL201/(BK201+3*BL201)-1)*100</f>
        <v>-0.7849379860053407</v>
      </c>
      <c r="BM213" s="883">
        <f>(4*BM201/(BK201+BL201+2*BM201)-1)*100</f>
        <v>-0.92178264828454148</v>
      </c>
      <c r="BN213" s="883">
        <f>+(4*BN201/BN202-1)*100</f>
        <v>-1.8612848156890793</v>
      </c>
      <c r="BO213" s="1620"/>
      <c r="BP213" s="883">
        <f>(4*BP201/(BO201+3*BP201)-1)*100</f>
        <v>1.0964173557760137</v>
      </c>
      <c r="BQ213" s="883">
        <f>(4*BQ201/(BO201+BP201+2*BQ201)-1)*100</f>
        <v>1.966951085797497</v>
      </c>
      <c r="BR213" s="883">
        <f>+(4*BR201/BR202-1)*100</f>
        <v>5.1980677975491885</v>
      </c>
      <c r="BS213" s="1620"/>
      <c r="BT213" s="883">
        <f>(4*BT201/(BS201+3*BT201)-1)*100</f>
        <v>0.24305609828529917</v>
      </c>
      <c r="BU213" s="883">
        <f>(4*BU201/(BS201+BT201+2*BU201)-1)*100</f>
        <v>0.46126432434330233</v>
      </c>
      <c r="BV213" s="883">
        <f>+(4*BV201/BV202-1)*100</f>
        <v>1.3549787841149907</v>
      </c>
      <c r="BW213" s="1620"/>
      <c r="BX213" s="883">
        <f>(4*BX201/(BW201+3*BX201)-1)*100</f>
        <v>-0.18921007648351473</v>
      </c>
      <c r="BY213" s="883">
        <f>(4*BY201/(BW201+BX201+2*BY201)-1)*100</f>
        <v>2.1378343503757558</v>
      </c>
      <c r="BZ213" s="883">
        <f>+(4*BZ201/BZ202-1)*100</f>
        <v>2.4631237207989098</v>
      </c>
      <c r="CA213" s="1620"/>
      <c r="CB213" s="883">
        <f>(4*CB201/(CA201+3*CB201)-1)*100</f>
        <v>0.18143541484505477</v>
      </c>
      <c r="CC213" s="883">
        <f>(4*CC201/(CA201+CB201+2*CC201)-1)*100</f>
        <v>1.2982776732366696</v>
      </c>
      <c r="CD213" s="883">
        <f>+(4*CD201/CD202-1)*100</f>
        <v>2.0892692542471947</v>
      </c>
      <c r="CE213" s="1620"/>
      <c r="CF213" s="883">
        <f>(4*CF201/(CE201+3*CF201)-1)*100</f>
        <v>0.22891545774588185</v>
      </c>
      <c r="CG213" s="883">
        <f>(4*CG201/(CE201+CF201+2*CG201)-1)*100</f>
        <v>0.37530525393389969</v>
      </c>
      <c r="CH213" s="883">
        <f>+(4*CH201/CH202-1)*100</f>
        <v>1.3622207176709589</v>
      </c>
      <c r="CI213" s="1620"/>
      <c r="CJ213" s="883">
        <f>(4*CJ201/(CI201+3*CJ201)-1)*100</f>
        <v>0.34933930716536388</v>
      </c>
      <c r="CK213" s="883">
        <f>(4*CK201/(CI201+CJ201+2*CK201)-1)*100</f>
        <v>-0.11742678765975789</v>
      </c>
      <c r="CL213" s="883">
        <f>+(4*CL201/CL202-1)*100</f>
        <v>1.4671887685069329E-2</v>
      </c>
      <c r="CM213" s="1620"/>
      <c r="CN213" s="883">
        <f>(4*CN201/(CM201+3*CN201)-1)*100</f>
        <v>0.5960194757467896</v>
      </c>
      <c r="CO213" s="883">
        <f>(4*CO201/(CM201+CN201+2*CO201)-1)*100</f>
        <v>1.1420801307423289</v>
      </c>
      <c r="CP213" s="883">
        <f>+(4*CP201/CP202-1)*100</f>
        <v>2.5666439530033447</v>
      </c>
      <c r="CQ213" s="1620"/>
      <c r="CR213" s="883">
        <f>(4*CR201/(CQ201+3*CR201)-1)*100</f>
        <v>0.31793842034806286</v>
      </c>
      <c r="CS213" s="883">
        <f>(4*CS201/(CQ201+CR201+2*CS201)-1)*100</f>
        <v>1.496486151302201</v>
      </c>
      <c r="CT213" s="883">
        <f>+(4*CT201/CT202-1)*100</f>
        <v>2.6182754182754175</v>
      </c>
      <c r="CU213" s="1620"/>
      <c r="CV213" s="883">
        <f>(4*CV201/(CU201+3*CV201)-1)*100</f>
        <v>0.17837950813746062</v>
      </c>
      <c r="CW213" s="883">
        <f>(4*CW201/(CU201+CV201+2*CW201)-1)*100</f>
        <v>0.53580414136633614</v>
      </c>
      <c r="CX213" s="883">
        <f>+(4*CX201/CX202-1)*100</f>
        <v>1.0895382396453934</v>
      </c>
      <c r="CY213" s="1620"/>
      <c r="CZ213" s="883">
        <f>(4*CZ201/(CY201+3*CZ201)-1)*100</f>
        <v>0.27447198795380601</v>
      </c>
      <c r="DA213" s="883">
        <f>(4*DA201/(CY201+CZ201+2*DA201)-1)*100</f>
        <v>0.82604034137185867</v>
      </c>
      <c r="DB213" s="883">
        <f>+(4*DB201/DB202-1)*100</f>
        <v>1.6524467153887334</v>
      </c>
    </row>
    <row r="214" spans="1:119" s="884" customFormat="1" ht="30" customHeight="1">
      <c r="A214" s="664"/>
      <c r="B214" s="664"/>
      <c r="C214" s="666"/>
      <c r="D214" s="1041"/>
      <c r="E214" s="3632"/>
      <c r="F214" s="1041"/>
      <c r="G214" s="1044"/>
      <c r="H214" s="1559"/>
      <c r="I214" s="1559"/>
      <c r="J214" s="1559"/>
      <c r="K214" s="1044"/>
      <c r="L214" s="1559"/>
      <c r="M214" s="1559"/>
      <c r="N214" s="1559"/>
      <c r="O214" s="1044"/>
      <c r="P214" s="1559"/>
      <c r="Q214" s="1559"/>
      <c r="R214" s="1559"/>
      <c r="S214" s="1044"/>
      <c r="T214" s="1559"/>
      <c r="U214" s="1559"/>
      <c r="V214" s="1559"/>
      <c r="W214" s="1044"/>
      <c r="X214" s="1559"/>
      <c r="Y214" s="1559"/>
      <c r="Z214" s="1559"/>
      <c r="AA214" s="1044"/>
      <c r="AB214" s="1559"/>
      <c r="AC214" s="1559"/>
      <c r="AD214" s="1559"/>
      <c r="AE214" s="1044"/>
      <c r="AF214" s="1559"/>
      <c r="AG214" s="1559"/>
      <c r="AH214" s="1559"/>
      <c r="AI214" s="1044"/>
      <c r="AJ214" s="1559"/>
      <c r="AK214" s="1559"/>
      <c r="AL214" s="1559"/>
      <c r="AM214" s="1044"/>
      <c r="AN214" s="1559"/>
      <c r="AO214" s="1559"/>
      <c r="AP214" s="1559"/>
      <c r="AQ214" s="1044"/>
      <c r="AR214" s="1559"/>
      <c r="AS214" s="1559"/>
      <c r="AT214" s="1559"/>
      <c r="AU214" s="1044"/>
      <c r="AV214" s="1559"/>
      <c r="AW214" s="1559"/>
      <c r="AX214" s="1559"/>
      <c r="AY214" s="1560"/>
      <c r="AZ214" s="1559"/>
      <c r="BA214" s="1560"/>
      <c r="BB214" s="1560"/>
      <c r="BC214" s="1560"/>
      <c r="BD214" s="1560"/>
      <c r="BE214" s="1560"/>
      <c r="BF214" s="1560"/>
      <c r="BG214" s="1560"/>
      <c r="BH214" s="1560"/>
      <c r="BI214" s="1560"/>
      <c r="BJ214" s="1560"/>
      <c r="BK214" s="1560"/>
      <c r="BL214" s="1560"/>
      <c r="BM214" s="1560"/>
      <c r="BN214" s="1560"/>
      <c r="BO214" s="1560"/>
      <c r="BP214" s="1560"/>
      <c r="BQ214" s="1560"/>
      <c r="BR214" s="1560"/>
      <c r="BS214" s="1560"/>
      <c r="BT214" s="1560"/>
      <c r="BU214" s="1560"/>
      <c r="BV214" s="1560"/>
      <c r="BW214" s="1560"/>
      <c r="BX214" s="1560"/>
      <c r="BY214" s="1560"/>
      <c r="BZ214" s="1560"/>
      <c r="CA214" s="1560"/>
      <c r="CB214" s="1560"/>
      <c r="CC214" s="1560"/>
      <c r="CD214" s="1560"/>
      <c r="CE214" s="1560"/>
      <c r="CF214" s="1560"/>
      <c r="CG214" s="1560"/>
      <c r="CH214" s="1560"/>
      <c r="CI214" s="1560"/>
      <c r="CJ214" s="1560"/>
      <c r="CK214" s="1560"/>
      <c r="CL214" s="1560"/>
      <c r="CM214" s="1560"/>
      <c r="CN214" s="1560"/>
      <c r="CO214" s="1560"/>
      <c r="CP214" s="1560"/>
      <c r="CQ214" s="1560"/>
      <c r="CR214" s="1560"/>
      <c r="CS214" s="1560"/>
      <c r="CT214" s="1560"/>
      <c r="CU214" s="1560"/>
      <c r="CV214" s="1560"/>
      <c r="CW214" s="1560"/>
      <c r="CX214" s="1560"/>
      <c r="CY214" s="1560"/>
      <c r="CZ214" s="1560"/>
      <c r="DA214" s="1560"/>
      <c r="DB214" s="1560"/>
      <c r="DC214"/>
      <c r="DD214"/>
      <c r="DE214"/>
      <c r="DF214"/>
      <c r="DG214"/>
      <c r="DH214"/>
      <c r="DI214"/>
      <c r="DJ214"/>
      <c r="DK214"/>
      <c r="DL214"/>
      <c r="DM214"/>
      <c r="DN214"/>
      <c r="DO214"/>
    </row>
    <row r="215" spans="1:119" s="884" customFormat="1" ht="30" customHeight="1">
      <c r="A215" s="664"/>
      <c r="B215" s="664"/>
      <c r="C215" s="666"/>
      <c r="D215" s="1041"/>
      <c r="E215" s="3632"/>
      <c r="F215" s="1041"/>
      <c r="G215" s="1044"/>
      <c r="H215" s="1559"/>
      <c r="I215" s="1559"/>
      <c r="J215" s="1559"/>
      <c r="K215" s="1044"/>
      <c r="L215" s="1559"/>
      <c r="M215" s="1559"/>
      <c r="N215" s="1559"/>
      <c r="O215" s="1044"/>
      <c r="P215" s="1559"/>
      <c r="Q215" s="1559"/>
      <c r="R215" s="1559"/>
      <c r="S215" s="1044"/>
      <c r="T215" s="1559"/>
      <c r="U215" s="1559"/>
      <c r="V215" s="1559"/>
      <c r="W215" s="1044"/>
      <c r="X215" s="1559"/>
      <c r="Y215" s="1559"/>
      <c r="Z215" s="1559"/>
      <c r="AA215" s="1044"/>
      <c r="AB215" s="1559"/>
      <c r="AC215" s="1559"/>
      <c r="AD215" s="1559"/>
      <c r="AE215" s="1044"/>
      <c r="AF215" s="1559"/>
      <c r="AG215" s="1559"/>
      <c r="AH215" s="1559"/>
      <c r="AI215" s="1044"/>
      <c r="AJ215" s="1559"/>
      <c r="AK215" s="1559"/>
      <c r="AL215" s="1559"/>
      <c r="AM215" s="1044"/>
      <c r="AN215" s="1559"/>
      <c r="AO215" s="1559"/>
      <c r="AP215" s="1559"/>
      <c r="AQ215" s="1044"/>
      <c r="AR215" s="1559"/>
      <c r="AS215" s="1559"/>
      <c r="AT215" s="1559"/>
      <c r="AU215" s="1044"/>
      <c r="AV215" s="1559"/>
      <c r="AW215" s="1559"/>
      <c r="AX215" s="1559"/>
      <c r="AY215" s="1560"/>
      <c r="AZ215" s="1559"/>
      <c r="BA215" s="1560"/>
      <c r="BB215" s="1560"/>
      <c r="BC215" s="1560"/>
      <c r="BD215" s="1560"/>
      <c r="BE215" s="1560"/>
      <c r="BF215" s="1560"/>
      <c r="BG215" s="1560"/>
      <c r="BH215" s="1560"/>
      <c r="BI215" s="1560"/>
      <c r="BJ215" s="1560"/>
      <c r="BK215" s="1560"/>
      <c r="BL215" s="1560"/>
      <c r="BM215" s="1560"/>
      <c r="BN215" s="1560"/>
      <c r="BO215" s="1560"/>
      <c r="BP215" s="1560"/>
      <c r="BQ215" s="1560"/>
      <c r="BR215" s="1560"/>
      <c r="BS215" s="1560"/>
      <c r="BT215" s="1560"/>
      <c r="BU215" s="1560"/>
      <c r="BV215" s="1560"/>
      <c r="BW215" s="1560"/>
      <c r="BX215" s="1560"/>
      <c r="BY215" s="1560"/>
      <c r="BZ215" s="1560"/>
      <c r="CA215" s="1560"/>
      <c r="CB215" s="1560"/>
      <c r="CC215" s="1560"/>
      <c r="CD215" s="1560"/>
      <c r="CE215" s="1560"/>
      <c r="CF215" s="1560"/>
      <c r="CG215" s="1560"/>
      <c r="CH215" s="1560"/>
      <c r="CI215" s="1560"/>
      <c r="CJ215" s="1560"/>
      <c r="CK215" s="1560"/>
      <c r="CL215" s="1560"/>
      <c r="CM215" s="1560"/>
      <c r="CN215" s="1560"/>
      <c r="CO215" s="1560"/>
      <c r="CP215" s="1560"/>
      <c r="CQ215" s="1560"/>
      <c r="CR215" s="1560"/>
      <c r="CS215" s="1560"/>
      <c r="CT215" s="1560"/>
      <c r="CU215" s="1560"/>
      <c r="CV215" s="1560"/>
      <c r="CW215" s="1560"/>
      <c r="CX215" s="1560"/>
      <c r="CY215" s="1560"/>
      <c r="CZ215" s="1560"/>
      <c r="DA215" s="1560"/>
      <c r="DB215" s="1560"/>
      <c r="DC215"/>
      <c r="DD215"/>
      <c r="DE215"/>
      <c r="DF215"/>
      <c r="DG215"/>
      <c r="DH215"/>
      <c r="DI215"/>
      <c r="DJ215"/>
      <c r="DK215"/>
      <c r="DL215"/>
      <c r="DM215"/>
      <c r="DN215"/>
      <c r="DO215"/>
    </row>
    <row r="216" spans="1:119" ht="30" customHeight="1">
      <c r="C216" s="3767" t="s">
        <v>1086</v>
      </c>
      <c r="D216" s="3767"/>
      <c r="E216" s="3767"/>
      <c r="F216" s="3767"/>
      <c r="CM216" s="557"/>
      <c r="CN216" s="557"/>
      <c r="CO216" s="557"/>
      <c r="CP216" s="557"/>
      <c r="CQ216" s="557"/>
      <c r="CR216" s="557"/>
      <c r="CS216" s="557"/>
      <c r="CT216" s="557"/>
      <c r="CU216" s="557"/>
      <c r="CV216" s="557"/>
      <c r="CW216" s="557"/>
      <c r="CX216" s="557"/>
      <c r="CY216" s="557"/>
      <c r="CZ216" s="557"/>
      <c r="DA216" s="557"/>
      <c r="DB216" s="557"/>
    </row>
    <row r="217" spans="1:119" ht="12.75" customHeight="1">
      <c r="A217" s="664"/>
      <c r="E217" s="599"/>
      <c r="F217" s="3617"/>
      <c r="CM217" s="557"/>
      <c r="CN217" s="557"/>
      <c r="CO217" s="557"/>
      <c r="CP217" s="557"/>
      <c r="CQ217" s="557"/>
      <c r="CR217" s="557"/>
      <c r="CS217" s="557"/>
      <c r="CT217" s="557"/>
      <c r="CU217" s="557"/>
      <c r="CV217" s="557"/>
      <c r="CW217" s="557"/>
      <c r="CX217" s="557"/>
      <c r="CY217" s="557"/>
      <c r="CZ217" s="557"/>
      <c r="DA217" s="557"/>
      <c r="DB217" s="557"/>
    </row>
    <row r="218" spans="1:119" ht="12.75" customHeight="1">
      <c r="A218" s="664"/>
      <c r="E218" s="599"/>
      <c r="F218" s="3617"/>
      <c r="G218" s="3764">
        <f ca="1">OFFSET(InputY!$G$3,0,(COLUMN()-7)/4)</f>
        <v>1995</v>
      </c>
      <c r="H218" s="3765"/>
      <c r="I218" s="3765"/>
      <c r="J218" s="3766"/>
      <c r="K218" s="3764">
        <f ca="1">OFFSET(InputY!$G$3,0,(COLUMN()-7)/4)</f>
        <v>1996</v>
      </c>
      <c r="L218" s="3765"/>
      <c r="M218" s="3765"/>
      <c r="N218" s="3766"/>
      <c r="O218" s="3764">
        <f ca="1">OFFSET(InputY!$G$3,0,(COLUMN()-7)/4)</f>
        <v>1997</v>
      </c>
      <c r="P218" s="3765"/>
      <c r="Q218" s="3765"/>
      <c r="R218" s="3766"/>
      <c r="S218" s="3764">
        <f ca="1">OFFSET(InputY!$G$3,0,(COLUMN()-7)/4)</f>
        <v>1998</v>
      </c>
      <c r="T218" s="3765"/>
      <c r="U218" s="3765"/>
      <c r="V218" s="3766"/>
      <c r="W218" s="3764">
        <f ca="1">OFFSET(InputY!$G$3,0,(COLUMN()-7)/4)</f>
        <v>1999</v>
      </c>
      <c r="X218" s="3765"/>
      <c r="Y218" s="3765"/>
      <c r="Z218" s="3766"/>
      <c r="AA218" s="3764">
        <f ca="1">OFFSET(InputY!$G$3,0,(COLUMN()-7)/4)</f>
        <v>2000</v>
      </c>
      <c r="AB218" s="3765"/>
      <c r="AC218" s="3765"/>
      <c r="AD218" s="3766"/>
      <c r="AE218" s="3764">
        <f ca="1">OFFSET(InputY!$G$3,0,(COLUMN()-7)/4)</f>
        <v>2001</v>
      </c>
      <c r="AF218" s="3765"/>
      <c r="AG218" s="3765"/>
      <c r="AH218" s="3766"/>
      <c r="AI218" s="3764">
        <f ca="1">OFFSET(InputY!$G$3,0,(COLUMN()-7)/4)</f>
        <v>2002</v>
      </c>
      <c r="AJ218" s="3765"/>
      <c r="AK218" s="3765"/>
      <c r="AL218" s="3766"/>
      <c r="AM218" s="3764">
        <f ca="1">OFFSET(InputY!$G$3,0,(COLUMN()-7)/4)</f>
        <v>2003</v>
      </c>
      <c r="AN218" s="3765"/>
      <c r="AO218" s="3765"/>
      <c r="AP218" s="3766"/>
      <c r="AQ218" s="3764">
        <f ca="1">OFFSET(InputY!$G$3,0,(COLUMN()-7)/4)</f>
        <v>2004</v>
      </c>
      <c r="AR218" s="3765"/>
      <c r="AS218" s="3765"/>
      <c r="AT218" s="3766"/>
      <c r="AU218" s="3764">
        <f ca="1">OFFSET(InputY!$G$3,0,(COLUMN()-7)/4)</f>
        <v>2005</v>
      </c>
      <c r="AV218" s="3765"/>
      <c r="AW218" s="3765"/>
      <c r="AX218" s="3766"/>
      <c r="AY218" s="3764">
        <f ca="1">OFFSET(InputY!$G$3,0,(COLUMN()-7)/4)</f>
        <v>2006</v>
      </c>
      <c r="AZ218" s="3765"/>
      <c r="BA218" s="3765"/>
      <c r="BB218" s="3766"/>
      <c r="BC218" s="3764">
        <f ca="1">OFFSET(InputY!$G$3,0,(COLUMN()-7)/4)</f>
        <v>2007</v>
      </c>
      <c r="BD218" s="3765"/>
      <c r="BE218" s="3765"/>
      <c r="BF218" s="3766"/>
      <c r="BG218" s="3764">
        <f ca="1">OFFSET(InputY!$G$3,0,(COLUMN()-7)/4)</f>
        <v>2008</v>
      </c>
      <c r="BH218" s="3765"/>
      <c r="BI218" s="3765"/>
      <c r="BJ218" s="3766"/>
      <c r="BK218" s="3764">
        <f ca="1">OFFSET(InputY!$G$3,0,(COLUMN()-7)/4)</f>
        <v>2009</v>
      </c>
      <c r="BL218" s="3765"/>
      <c r="BM218" s="3765"/>
      <c r="BN218" s="3766"/>
      <c r="BO218" s="3764">
        <f ca="1">OFFSET(InputY!$G$3,0,(COLUMN()-7)/4)</f>
        <v>2010</v>
      </c>
      <c r="BP218" s="3765"/>
      <c r="BQ218" s="3765"/>
      <c r="BR218" s="3766"/>
      <c r="BS218" s="3764">
        <f ca="1">OFFSET(InputY!$G$3,0,(COLUMN()-7)/4)</f>
        <v>2011</v>
      </c>
      <c r="BT218" s="3765"/>
      <c r="BU218" s="3765"/>
      <c r="BV218" s="3766"/>
      <c r="BW218" s="3764">
        <f ca="1">OFFSET(InputY!$G$3,0,(COLUMN()-7)/4)</f>
        <v>2012</v>
      </c>
      <c r="BX218" s="3765"/>
      <c r="BY218" s="3765"/>
      <c r="BZ218" s="3766"/>
      <c r="CA218" s="3764">
        <f ca="1">OFFSET(InputY!$G$3,0,(COLUMN()-7)/4)</f>
        <v>2013</v>
      </c>
      <c r="CB218" s="3765"/>
      <c r="CC218" s="3765"/>
      <c r="CD218" s="3766"/>
      <c r="CE218" s="3764">
        <f ca="1">OFFSET(InputY!$G$3,0,(COLUMN()-7)/4)</f>
        <v>2014</v>
      </c>
      <c r="CF218" s="3765"/>
      <c r="CG218" s="3765"/>
      <c r="CH218" s="3766"/>
      <c r="CI218" s="3764">
        <f ca="1">OFFSET(InputY!$G$3,0,(COLUMN()-7)/4)</f>
        <v>2015</v>
      </c>
      <c r="CJ218" s="3765"/>
      <c r="CK218" s="3765"/>
      <c r="CL218" s="3766"/>
      <c r="CM218" s="3764">
        <f ca="1">OFFSET(InputY!$G$3,0,(COLUMN()-7)/4)</f>
        <v>2016</v>
      </c>
      <c r="CN218" s="3765"/>
      <c r="CO218" s="3765"/>
      <c r="CP218" s="3766"/>
      <c r="CQ218" s="3764">
        <f ca="1">OFFSET(InputY!$G$3,0,(COLUMN()-7)/4)</f>
        <v>2017</v>
      </c>
      <c r="CR218" s="3765"/>
      <c r="CS218" s="3765"/>
      <c r="CT218" s="3766"/>
      <c r="CU218" s="3764">
        <f ca="1">OFFSET(InputY!$G$3,0,(COLUMN()-7)/4)</f>
        <v>2018</v>
      </c>
      <c r="CV218" s="3765"/>
      <c r="CW218" s="3765"/>
      <c r="CX218" s="3766"/>
      <c r="CY218" s="3764">
        <f ca="1">OFFSET(InputY!$G$3,0,(COLUMN()-7)/4)</f>
        <v>2019</v>
      </c>
      <c r="CZ218" s="3765"/>
      <c r="DA218" s="3765"/>
      <c r="DB218" s="3766"/>
    </row>
    <row r="219" spans="1:119" s="699" customFormat="1" ht="12.75" customHeight="1">
      <c r="A219" s="664"/>
      <c r="B219" s="664"/>
      <c r="C219" s="666"/>
      <c r="D219" s="695"/>
      <c r="E219" s="3618" t="s">
        <v>1892</v>
      </c>
      <c r="F219" s="3619"/>
      <c r="G219" s="1566" t="s">
        <v>1842</v>
      </c>
      <c r="H219" s="1567" t="s">
        <v>1843</v>
      </c>
      <c r="I219" s="1567" t="s">
        <v>1844</v>
      </c>
      <c r="J219" s="1568" t="s">
        <v>1845</v>
      </c>
      <c r="K219" s="1566" t="s">
        <v>1842</v>
      </c>
      <c r="L219" s="1567" t="s">
        <v>1843</v>
      </c>
      <c r="M219" s="1567" t="s">
        <v>1844</v>
      </c>
      <c r="N219" s="1568" t="s">
        <v>1845</v>
      </c>
      <c r="O219" s="1566" t="s">
        <v>1842</v>
      </c>
      <c r="P219" s="1567" t="s">
        <v>1843</v>
      </c>
      <c r="Q219" s="1567" t="s">
        <v>1844</v>
      </c>
      <c r="R219" s="1568" t="s">
        <v>1845</v>
      </c>
      <c r="S219" s="1566" t="s">
        <v>1842</v>
      </c>
      <c r="T219" s="1567" t="s">
        <v>1843</v>
      </c>
      <c r="U219" s="1567" t="s">
        <v>1844</v>
      </c>
      <c r="V219" s="1568" t="s">
        <v>1845</v>
      </c>
      <c r="W219" s="1566" t="s">
        <v>1842</v>
      </c>
      <c r="X219" s="1567" t="s">
        <v>1843</v>
      </c>
      <c r="Y219" s="1567" t="s">
        <v>1844</v>
      </c>
      <c r="Z219" s="1568" t="s">
        <v>1845</v>
      </c>
      <c r="AA219" s="1566" t="s">
        <v>1842</v>
      </c>
      <c r="AB219" s="1567" t="s">
        <v>1843</v>
      </c>
      <c r="AC219" s="1567" t="s">
        <v>1844</v>
      </c>
      <c r="AD219" s="1568" t="s">
        <v>1845</v>
      </c>
      <c r="AE219" s="1566" t="s">
        <v>1842</v>
      </c>
      <c r="AF219" s="1567" t="s">
        <v>1843</v>
      </c>
      <c r="AG219" s="1567" t="s">
        <v>1844</v>
      </c>
      <c r="AH219" s="1568" t="s">
        <v>1845</v>
      </c>
      <c r="AI219" s="1566" t="s">
        <v>1842</v>
      </c>
      <c r="AJ219" s="1567" t="s">
        <v>1843</v>
      </c>
      <c r="AK219" s="1567" t="s">
        <v>1844</v>
      </c>
      <c r="AL219" s="1568" t="s">
        <v>1845</v>
      </c>
      <c r="AM219" s="1566" t="s">
        <v>1842</v>
      </c>
      <c r="AN219" s="1567" t="s">
        <v>1843</v>
      </c>
      <c r="AO219" s="1567" t="s">
        <v>1844</v>
      </c>
      <c r="AP219" s="1568" t="s">
        <v>1845</v>
      </c>
      <c r="AQ219" s="1566" t="s">
        <v>1842</v>
      </c>
      <c r="AR219" s="1567" t="s">
        <v>1843</v>
      </c>
      <c r="AS219" s="1567" t="s">
        <v>1844</v>
      </c>
      <c r="AT219" s="1568" t="s">
        <v>1845</v>
      </c>
      <c r="AU219" s="1566" t="s">
        <v>1842</v>
      </c>
      <c r="AV219" s="1567" t="s">
        <v>1843</v>
      </c>
      <c r="AW219" s="1567" t="s">
        <v>1844</v>
      </c>
      <c r="AX219" s="1568" t="s">
        <v>1845</v>
      </c>
      <c r="AY219" s="1566" t="s">
        <v>1842</v>
      </c>
      <c r="AZ219" s="1567" t="s">
        <v>1843</v>
      </c>
      <c r="BA219" s="1567" t="s">
        <v>1844</v>
      </c>
      <c r="BB219" s="1568" t="s">
        <v>1845</v>
      </c>
      <c r="BC219" s="1566" t="s">
        <v>1842</v>
      </c>
      <c r="BD219" s="1567" t="s">
        <v>1843</v>
      </c>
      <c r="BE219" s="1567" t="s">
        <v>1844</v>
      </c>
      <c r="BF219" s="1568" t="s">
        <v>1845</v>
      </c>
      <c r="BG219" s="1566" t="s">
        <v>1842</v>
      </c>
      <c r="BH219" s="1567" t="s">
        <v>1843</v>
      </c>
      <c r="BI219" s="1567" t="s">
        <v>1844</v>
      </c>
      <c r="BJ219" s="1568" t="s">
        <v>1845</v>
      </c>
      <c r="BK219" s="1566" t="s">
        <v>1842</v>
      </c>
      <c r="BL219" s="1567" t="s">
        <v>1843</v>
      </c>
      <c r="BM219" s="1567" t="s">
        <v>1844</v>
      </c>
      <c r="BN219" s="1568" t="s">
        <v>1845</v>
      </c>
      <c r="BO219" s="1566" t="s">
        <v>1842</v>
      </c>
      <c r="BP219" s="1567" t="s">
        <v>1843</v>
      </c>
      <c r="BQ219" s="1567" t="s">
        <v>1844</v>
      </c>
      <c r="BR219" s="1568" t="s">
        <v>1845</v>
      </c>
      <c r="BS219" s="1566" t="s">
        <v>1842</v>
      </c>
      <c r="BT219" s="1567" t="s">
        <v>1843</v>
      </c>
      <c r="BU219" s="1567" t="s">
        <v>1844</v>
      </c>
      <c r="BV219" s="1568" t="s">
        <v>1845</v>
      </c>
      <c r="BW219" s="1566" t="s">
        <v>1842</v>
      </c>
      <c r="BX219" s="1567" t="s">
        <v>1843</v>
      </c>
      <c r="BY219" s="1567" t="s">
        <v>1844</v>
      </c>
      <c r="BZ219" s="1568" t="s">
        <v>1845</v>
      </c>
      <c r="CA219" s="1566" t="s">
        <v>1842</v>
      </c>
      <c r="CB219" s="1567" t="s">
        <v>1843</v>
      </c>
      <c r="CC219" s="1567" t="s">
        <v>1844</v>
      </c>
      <c r="CD219" s="1568" t="s">
        <v>1845</v>
      </c>
      <c r="CE219" s="1566" t="s">
        <v>1842</v>
      </c>
      <c r="CF219" s="1567" t="s">
        <v>1843</v>
      </c>
      <c r="CG219" s="1567" t="s">
        <v>1844</v>
      </c>
      <c r="CH219" s="1568" t="s">
        <v>1845</v>
      </c>
      <c r="CI219" s="1566" t="s">
        <v>1842</v>
      </c>
      <c r="CJ219" s="1567" t="s">
        <v>1843</v>
      </c>
      <c r="CK219" s="1567" t="s">
        <v>1844</v>
      </c>
      <c r="CL219" s="1568" t="s">
        <v>1845</v>
      </c>
      <c r="CM219" s="1566" t="s">
        <v>1842</v>
      </c>
      <c r="CN219" s="1567" t="s">
        <v>1843</v>
      </c>
      <c r="CO219" s="1567" t="s">
        <v>1844</v>
      </c>
      <c r="CP219" s="1568" t="s">
        <v>1845</v>
      </c>
      <c r="CQ219" s="1566" t="s">
        <v>1842</v>
      </c>
      <c r="CR219" s="1567" t="s">
        <v>1843</v>
      </c>
      <c r="CS219" s="1567" t="s">
        <v>1844</v>
      </c>
      <c r="CT219" s="1568" t="s">
        <v>1845</v>
      </c>
      <c r="CU219" s="1566" t="s">
        <v>1842</v>
      </c>
      <c r="CV219" s="1567" t="s">
        <v>1843</v>
      </c>
      <c r="CW219" s="1567" t="s">
        <v>1844</v>
      </c>
      <c r="CX219" s="1568" t="s">
        <v>1845</v>
      </c>
      <c r="CY219" s="1566" t="s">
        <v>1842</v>
      </c>
      <c r="CZ219" s="1567" t="s">
        <v>1843</v>
      </c>
      <c r="DA219" s="1567" t="s">
        <v>1844</v>
      </c>
      <c r="DB219" s="1568" t="s">
        <v>1845</v>
      </c>
      <c r="DC219"/>
      <c r="DD219"/>
      <c r="DE219"/>
      <c r="DF219"/>
      <c r="DG219"/>
      <c r="DH219"/>
      <c r="DI219"/>
      <c r="DJ219"/>
      <c r="DK219"/>
      <c r="DL219"/>
      <c r="DM219"/>
      <c r="DN219"/>
      <c r="DO219"/>
    </row>
    <row r="220" spans="1:119" s="699" customFormat="1" ht="12.75" hidden="1" customHeight="1">
      <c r="A220" s="664" t="str">
        <f>"Q" &amp; ROW(InputQ!A68)</f>
        <v>Q68</v>
      </c>
      <c r="C220" s="3069" t="s">
        <v>1767</v>
      </c>
      <c r="D220" s="668"/>
      <c r="E220" s="3620" t="s">
        <v>1786</v>
      </c>
      <c r="F220" s="3621"/>
      <c r="G220" s="780" t="e">
        <f>InputQ!G68/1000</f>
        <v>#VALUE!</v>
      </c>
      <c r="H220" s="780" t="e">
        <f>InputQ!H68/1000</f>
        <v>#VALUE!</v>
      </c>
      <c r="I220" s="780" t="e">
        <f>InputQ!I68/1000</f>
        <v>#VALUE!</v>
      </c>
      <c r="J220" s="780" t="e">
        <f>InputQ!J68/1000</f>
        <v>#VALUE!</v>
      </c>
      <c r="K220" s="780" t="e">
        <f>InputQ!K68/1000</f>
        <v>#VALUE!</v>
      </c>
      <c r="L220" s="780" t="e">
        <f>InputQ!L68/1000</f>
        <v>#VALUE!</v>
      </c>
      <c r="M220" s="780" t="e">
        <f>InputQ!M68/1000</f>
        <v>#VALUE!</v>
      </c>
      <c r="N220" s="780" t="e">
        <f>InputQ!N68/1000</f>
        <v>#VALUE!</v>
      </c>
      <c r="O220" s="780" t="e">
        <f>InputQ!O68/1000</f>
        <v>#VALUE!</v>
      </c>
      <c r="P220" s="780" t="e">
        <f>InputQ!P68/1000</f>
        <v>#VALUE!</v>
      </c>
      <c r="Q220" s="780" t="e">
        <f>InputQ!Q68/1000</f>
        <v>#VALUE!</v>
      </c>
      <c r="R220" s="780" t="e">
        <f>InputQ!R68/1000</f>
        <v>#VALUE!</v>
      </c>
      <c r="S220" s="780" t="e">
        <f>InputQ!S68/1000</f>
        <v>#VALUE!</v>
      </c>
      <c r="T220" s="780" t="e">
        <f>InputQ!T68/1000</f>
        <v>#VALUE!</v>
      </c>
      <c r="U220" s="780" t="e">
        <f>InputQ!U68/1000</f>
        <v>#VALUE!</v>
      </c>
      <c r="V220" s="780" t="e">
        <f>InputQ!V68/1000</f>
        <v>#VALUE!</v>
      </c>
      <c r="W220" s="780" t="e">
        <f>InputQ!W68/1000</f>
        <v>#VALUE!</v>
      </c>
      <c r="X220" s="780" t="e">
        <f>InputQ!X68/1000</f>
        <v>#VALUE!</v>
      </c>
      <c r="Y220" s="780" t="e">
        <f>InputQ!Y68/1000</f>
        <v>#VALUE!</v>
      </c>
      <c r="Z220" s="780" t="e">
        <f>InputQ!Z68/1000</f>
        <v>#VALUE!</v>
      </c>
      <c r="AA220" s="780" t="e">
        <f>InputQ!AA68/1000</f>
        <v>#VALUE!</v>
      </c>
      <c r="AB220" s="780" t="e">
        <f>InputQ!AB68/1000</f>
        <v>#VALUE!</v>
      </c>
      <c r="AC220" s="780" t="e">
        <f>InputQ!AC68/1000</f>
        <v>#VALUE!</v>
      </c>
      <c r="AD220" s="780" t="e">
        <f>InputQ!AD68/1000</f>
        <v>#VALUE!</v>
      </c>
      <c r="AE220" s="780" t="e">
        <f>InputQ!AE68/1000</f>
        <v>#VALUE!</v>
      </c>
      <c r="AF220" s="780" t="e">
        <f>InputQ!AF68/1000</f>
        <v>#VALUE!</v>
      </c>
      <c r="AG220" s="780" t="e">
        <f>InputQ!AG68/1000</f>
        <v>#VALUE!</v>
      </c>
      <c r="AH220" s="780" t="e">
        <f>InputQ!AH68/1000</f>
        <v>#VALUE!</v>
      </c>
      <c r="AI220" s="780" t="e">
        <f>InputQ!AI68/1000</f>
        <v>#VALUE!</v>
      </c>
      <c r="AJ220" s="780" t="e">
        <f>InputQ!AJ68/1000</f>
        <v>#VALUE!</v>
      </c>
      <c r="AK220" s="780" t="e">
        <f>InputQ!AK68/1000</f>
        <v>#VALUE!</v>
      </c>
      <c r="AL220" s="780" t="e">
        <f>InputQ!AL68/1000</f>
        <v>#VALUE!</v>
      </c>
      <c r="AM220" s="780" t="e">
        <f>InputQ!AM68/1000</f>
        <v>#VALUE!</v>
      </c>
      <c r="AN220" s="780" t="e">
        <f>InputQ!AN68/1000</f>
        <v>#VALUE!</v>
      </c>
      <c r="AO220" s="780" t="e">
        <f>InputQ!AO68/1000</f>
        <v>#VALUE!</v>
      </c>
      <c r="AP220" s="780" t="e">
        <f>InputQ!AP68/1000</f>
        <v>#VALUE!</v>
      </c>
      <c r="AQ220" s="780" t="e">
        <f>InputQ!AQ68/1000</f>
        <v>#VALUE!</v>
      </c>
      <c r="AR220" s="780" t="e">
        <f>InputQ!AR68/1000</f>
        <v>#VALUE!</v>
      </c>
      <c r="AS220" s="780" t="e">
        <f>InputQ!AS68/1000</f>
        <v>#VALUE!</v>
      </c>
      <c r="AT220" s="780" t="e">
        <f>InputQ!AT68/1000</f>
        <v>#VALUE!</v>
      </c>
      <c r="AU220" s="780" t="e">
        <f>InputQ!AU68/1000</f>
        <v>#VALUE!</v>
      </c>
      <c r="AV220" s="780" t="e">
        <f>InputQ!AV68/1000</f>
        <v>#VALUE!</v>
      </c>
      <c r="AW220" s="780" t="e">
        <f>InputQ!AW68/1000</f>
        <v>#VALUE!</v>
      </c>
      <c r="AX220" s="780" t="e">
        <f>InputQ!AX68/1000</f>
        <v>#VALUE!</v>
      </c>
      <c r="AY220" s="780" t="e">
        <f>InputQ!AY68/1000</f>
        <v>#VALUE!</v>
      </c>
      <c r="AZ220" s="780" t="e">
        <f>InputQ!AZ68/1000</f>
        <v>#VALUE!</v>
      </c>
      <c r="BA220" s="780" t="e">
        <f>InputQ!BA68/1000</f>
        <v>#VALUE!</v>
      </c>
      <c r="BB220" s="780" t="e">
        <f>InputQ!BB68/1000</f>
        <v>#VALUE!</v>
      </c>
      <c r="BC220" s="780" t="e">
        <f>InputQ!BC68/1000</f>
        <v>#VALUE!</v>
      </c>
      <c r="BD220" s="780" t="e">
        <f>InputQ!BD68/1000</f>
        <v>#VALUE!</v>
      </c>
      <c r="BE220" s="780" t="e">
        <f>InputQ!BE68/1000</f>
        <v>#VALUE!</v>
      </c>
      <c r="BF220" s="780" t="e">
        <f>InputQ!BF68/1000</f>
        <v>#VALUE!</v>
      </c>
      <c r="BG220" s="780" t="e">
        <f>InputQ!BG68/1000</f>
        <v>#VALUE!</v>
      </c>
      <c r="BH220" s="780" t="e">
        <f>InputQ!BH68/1000</f>
        <v>#VALUE!</v>
      </c>
      <c r="BI220" s="780" t="e">
        <f>InputQ!BI68/1000</f>
        <v>#VALUE!</v>
      </c>
      <c r="BJ220" s="780" t="e">
        <f>InputQ!BJ68/1000</f>
        <v>#VALUE!</v>
      </c>
      <c r="BK220" s="1591" t="e">
        <f t="shared" ref="BK220:BV220" si="537">+BJ220*(1+BK233/100)</f>
        <v>#VALUE!</v>
      </c>
      <c r="BL220" s="1591" t="e">
        <f t="shared" si="537"/>
        <v>#VALUE!</v>
      </c>
      <c r="BM220" s="1591" t="e">
        <f t="shared" si="537"/>
        <v>#VALUE!</v>
      </c>
      <c r="BN220" s="1591" t="e">
        <f t="shared" si="537"/>
        <v>#VALUE!</v>
      </c>
      <c r="BO220" s="1591" t="e">
        <f t="shared" si="537"/>
        <v>#VALUE!</v>
      </c>
      <c r="BP220" s="1591" t="e">
        <f t="shared" si="537"/>
        <v>#VALUE!</v>
      </c>
      <c r="BQ220" s="1591" t="e">
        <f t="shared" si="537"/>
        <v>#VALUE!</v>
      </c>
      <c r="BR220" s="1591" t="e">
        <f t="shared" si="537"/>
        <v>#VALUE!</v>
      </c>
      <c r="BS220" s="1591" t="e">
        <f t="shared" si="537"/>
        <v>#VALUE!</v>
      </c>
      <c r="BT220" s="1591" t="e">
        <f t="shared" si="537"/>
        <v>#VALUE!</v>
      </c>
      <c r="BU220" s="1591" t="e">
        <f t="shared" si="537"/>
        <v>#VALUE!</v>
      </c>
      <c r="BV220" s="1591" t="e">
        <f t="shared" si="537"/>
        <v>#VALUE!</v>
      </c>
      <c r="BW220" s="1591" t="e">
        <f t="shared" ref="BW220:CD220" si="538">+BV220*(1+BW233/100)</f>
        <v>#VALUE!</v>
      </c>
      <c r="BX220" s="1591" t="e">
        <f t="shared" si="538"/>
        <v>#VALUE!</v>
      </c>
      <c r="BY220" s="1591" t="e">
        <f t="shared" si="538"/>
        <v>#VALUE!</v>
      </c>
      <c r="BZ220" s="1591" t="e">
        <f t="shared" si="538"/>
        <v>#VALUE!</v>
      </c>
      <c r="CA220" s="1591" t="e">
        <f t="shared" si="538"/>
        <v>#VALUE!</v>
      </c>
      <c r="CB220" s="1591" t="e">
        <f t="shared" si="538"/>
        <v>#VALUE!</v>
      </c>
      <c r="CC220" s="1591" t="e">
        <f t="shared" si="538"/>
        <v>#VALUE!</v>
      </c>
      <c r="CD220" s="1591" t="e">
        <f t="shared" si="538"/>
        <v>#VALUE!</v>
      </c>
      <c r="CE220" s="1591" t="e">
        <f t="shared" ref="CE220:CL220" si="539">+CD220*(1+CE233/100)</f>
        <v>#VALUE!</v>
      </c>
      <c r="CF220" s="1591" t="e">
        <f t="shared" si="539"/>
        <v>#VALUE!</v>
      </c>
      <c r="CG220" s="1591" t="e">
        <f t="shared" si="539"/>
        <v>#VALUE!</v>
      </c>
      <c r="CH220" s="1591" t="e">
        <f t="shared" si="539"/>
        <v>#VALUE!</v>
      </c>
      <c r="CI220" s="1591" t="e">
        <f t="shared" si="539"/>
        <v>#VALUE!</v>
      </c>
      <c r="CJ220" s="1591" t="e">
        <f t="shared" si="539"/>
        <v>#VALUE!</v>
      </c>
      <c r="CK220" s="1591" t="e">
        <f t="shared" si="539"/>
        <v>#VALUE!</v>
      </c>
      <c r="CL220" s="1591" t="e">
        <f t="shared" si="539"/>
        <v>#VALUE!</v>
      </c>
      <c r="CM220" s="1591" t="e">
        <f t="shared" ref="CM220:CT220" si="540">+CL220*(1+CM233/100)</f>
        <v>#VALUE!</v>
      </c>
      <c r="CN220" s="1591" t="e">
        <f t="shared" si="540"/>
        <v>#VALUE!</v>
      </c>
      <c r="CO220" s="1591" t="e">
        <f t="shared" si="540"/>
        <v>#VALUE!</v>
      </c>
      <c r="CP220" s="1591" t="e">
        <f t="shared" si="540"/>
        <v>#VALUE!</v>
      </c>
      <c r="CQ220" s="1591" t="e">
        <f t="shared" si="540"/>
        <v>#VALUE!</v>
      </c>
      <c r="CR220" s="1591" t="e">
        <f t="shared" si="540"/>
        <v>#VALUE!</v>
      </c>
      <c r="CS220" s="1591" t="e">
        <f t="shared" si="540"/>
        <v>#VALUE!</v>
      </c>
      <c r="CT220" s="1591" t="e">
        <f t="shared" si="540"/>
        <v>#VALUE!</v>
      </c>
      <c r="CU220" s="1591" t="e">
        <f t="shared" ref="CU220:DB220" si="541">+CT220*(1+CU233/100)</f>
        <v>#VALUE!</v>
      </c>
      <c r="CV220" s="1591" t="e">
        <f t="shared" si="541"/>
        <v>#VALUE!</v>
      </c>
      <c r="CW220" s="1591" t="e">
        <f t="shared" si="541"/>
        <v>#VALUE!</v>
      </c>
      <c r="CX220" s="1591" t="e">
        <f t="shared" si="541"/>
        <v>#VALUE!</v>
      </c>
      <c r="CY220" s="1591" t="e">
        <f t="shared" si="541"/>
        <v>#VALUE!</v>
      </c>
      <c r="CZ220" s="1591" t="e">
        <f t="shared" si="541"/>
        <v>#VALUE!</v>
      </c>
      <c r="DA220" s="1591" t="e">
        <f t="shared" si="541"/>
        <v>#VALUE!</v>
      </c>
      <c r="DB220" s="1591" t="e">
        <f t="shared" si="541"/>
        <v>#VALUE!</v>
      </c>
      <c r="DC220"/>
      <c r="DD220"/>
      <c r="DE220"/>
      <c r="DF220"/>
      <c r="DG220"/>
      <c r="DH220"/>
      <c r="DI220"/>
      <c r="DJ220"/>
      <c r="DK220"/>
      <c r="DL220"/>
      <c r="DM220"/>
      <c r="DN220"/>
      <c r="DO220"/>
    </row>
    <row r="221" spans="1:119" s="699" customFormat="1" ht="12.75" hidden="1" customHeight="1">
      <c r="A221" s="664"/>
      <c r="C221" s="3070"/>
      <c r="D221" s="679"/>
      <c r="E221" s="680" t="s">
        <v>266</v>
      </c>
      <c r="F221" s="1908"/>
      <c r="G221" s="3064"/>
      <c r="H221" s="3064"/>
      <c r="I221" s="3066"/>
      <c r="J221" s="1575" t="e">
        <f>SUM(G220:J220)</f>
        <v>#VALUE!</v>
      </c>
      <c r="K221" s="3064"/>
      <c r="L221" s="3064"/>
      <c r="M221" s="3066"/>
      <c r="N221" s="1575" t="e">
        <f>SUM(K220:N220)</f>
        <v>#VALUE!</v>
      </c>
      <c r="O221" s="3064"/>
      <c r="P221" s="3064"/>
      <c r="Q221" s="3066"/>
      <c r="R221" s="1575" t="e">
        <f>SUM(O220:R220)</f>
        <v>#VALUE!</v>
      </c>
      <c r="S221" s="3064"/>
      <c r="T221" s="3064"/>
      <c r="U221" s="3066"/>
      <c r="V221" s="1575" t="e">
        <f>SUM(S220:V220)</f>
        <v>#VALUE!</v>
      </c>
      <c r="W221" s="3064"/>
      <c r="X221" s="3064"/>
      <c r="Y221" s="3066"/>
      <c r="Z221" s="1575" t="e">
        <f>SUM(W220:Z220)</f>
        <v>#VALUE!</v>
      </c>
      <c r="AA221" s="3064"/>
      <c r="AB221" s="3064"/>
      <c r="AC221" s="3066"/>
      <c r="AD221" s="1575" t="e">
        <f>SUM(AA220:AD220)</f>
        <v>#VALUE!</v>
      </c>
      <c r="AE221" s="3064"/>
      <c r="AF221" s="3064"/>
      <c r="AG221" s="3066"/>
      <c r="AH221" s="1575" t="e">
        <f>SUM(AE220:AH220)</f>
        <v>#VALUE!</v>
      </c>
      <c r="AI221" s="3064"/>
      <c r="AJ221" s="3064"/>
      <c r="AK221" s="3066"/>
      <c r="AL221" s="1575" t="e">
        <f>SUM(AI220:AL220)</f>
        <v>#VALUE!</v>
      </c>
      <c r="AM221" s="3064"/>
      <c r="AN221" s="3064"/>
      <c r="AO221" s="3066"/>
      <c r="AP221" s="1575" t="e">
        <f>SUM(AM220:AP220)</f>
        <v>#VALUE!</v>
      </c>
      <c r="AQ221" s="3064"/>
      <c r="AR221" s="3064"/>
      <c r="AS221" s="3066"/>
      <c r="AT221" s="1575" t="e">
        <f>SUM(AQ220:AT220)</f>
        <v>#VALUE!</v>
      </c>
      <c r="AU221" s="3064"/>
      <c r="AV221" s="3064"/>
      <c r="AW221" s="3066"/>
      <c r="AX221" s="1575" t="e">
        <f>SUM(AU220:AX220)</f>
        <v>#VALUE!</v>
      </c>
      <c r="AY221" s="3064"/>
      <c r="AZ221" s="3064"/>
      <c r="BA221" s="3066"/>
      <c r="BB221" s="1575" t="e">
        <f>SUM(AY220:BB220)</f>
        <v>#VALUE!</v>
      </c>
      <c r="BC221" s="3064"/>
      <c r="BD221" s="3064"/>
      <c r="BE221" s="3066"/>
      <c r="BF221" s="1575" t="e">
        <f>SUM(BC220:BF220)</f>
        <v>#VALUE!</v>
      </c>
      <c r="BG221" s="3064"/>
      <c r="BH221" s="3064"/>
      <c r="BI221" s="3066"/>
      <c r="BJ221" s="1575" t="e">
        <f>SUM(BG220:BJ220)</f>
        <v>#VALUE!</v>
      </c>
      <c r="BK221" s="3064"/>
      <c r="BL221" s="3064"/>
      <c r="BM221" s="3066"/>
      <c r="BN221" s="1575" t="e">
        <f>SUM(BK220:BN220)</f>
        <v>#VALUE!</v>
      </c>
      <c r="BO221" s="3064"/>
      <c r="BP221" s="3064"/>
      <c r="BQ221" s="3066"/>
      <c r="BR221" s="1575" t="e">
        <f>SUM(BO220:BR220)</f>
        <v>#VALUE!</v>
      </c>
      <c r="BS221" s="3064"/>
      <c r="BT221" s="3064"/>
      <c r="BU221" s="3066"/>
      <c r="BV221" s="1575" t="e">
        <f>SUM(BS220:BV220)</f>
        <v>#VALUE!</v>
      </c>
      <c r="BW221" s="3064"/>
      <c r="BX221" s="3064"/>
      <c r="BY221" s="3066"/>
      <c r="BZ221" s="1575" t="e">
        <f>SUM(BW220:BZ220)</f>
        <v>#VALUE!</v>
      </c>
      <c r="CA221" s="3064"/>
      <c r="CB221" s="3064"/>
      <c r="CC221" s="3066"/>
      <c r="CD221" s="1575" t="e">
        <f>SUM(CA220:CD220)</f>
        <v>#VALUE!</v>
      </c>
      <c r="CE221" s="3064"/>
      <c r="CF221" s="3064"/>
      <c r="CG221" s="3066"/>
      <c r="CH221" s="1575" t="e">
        <f>SUM(CE220:CH220)</f>
        <v>#VALUE!</v>
      </c>
      <c r="CI221" s="3064"/>
      <c r="CJ221" s="3064"/>
      <c r="CK221" s="3066"/>
      <c r="CL221" s="1575" t="e">
        <f>SUM(CI220:CL220)</f>
        <v>#VALUE!</v>
      </c>
      <c r="CM221" s="3064"/>
      <c r="CN221" s="3064"/>
      <c r="CO221" s="3066"/>
      <c r="CP221" s="1575" t="e">
        <f>SUM(CM220:CP220)</f>
        <v>#VALUE!</v>
      </c>
      <c r="CQ221" s="3064"/>
      <c r="CR221" s="3064"/>
      <c r="CS221" s="3066"/>
      <c r="CT221" s="1575" t="e">
        <f>SUM(CQ220:CT220)</f>
        <v>#VALUE!</v>
      </c>
      <c r="CU221" s="3064"/>
      <c r="CV221" s="3064"/>
      <c r="CW221" s="3066"/>
      <c r="CX221" s="1575" t="e">
        <f>SUM(CU220:CX220)</f>
        <v>#VALUE!</v>
      </c>
      <c r="CY221" s="3064"/>
      <c r="CZ221" s="3064"/>
      <c r="DA221" s="3066"/>
      <c r="DB221" s="1575" t="e">
        <f>SUM(CY220:DB220)</f>
        <v>#VALUE!</v>
      </c>
      <c r="DC221"/>
      <c r="DD221"/>
      <c r="DE221"/>
      <c r="DF221"/>
      <c r="DG221"/>
      <c r="DH221"/>
      <c r="DI221"/>
      <c r="DJ221"/>
      <c r="DK221"/>
      <c r="DL221"/>
      <c r="DM221"/>
      <c r="DN221"/>
      <c r="DO221"/>
    </row>
    <row r="222" spans="1:119" s="699" customFormat="1" ht="12.75" hidden="1" customHeight="1">
      <c r="A222" s="664"/>
      <c r="C222" s="3070"/>
      <c r="D222" s="679"/>
      <c r="E222" s="680" t="s">
        <v>1847</v>
      </c>
      <c r="F222" s="1908"/>
      <c r="G222" s="3064"/>
      <c r="H222" s="3067" t="s">
        <v>757</v>
      </c>
      <c r="I222" s="3064" t="e">
        <f ca="1">+J222/J221*100</f>
        <v>#VALUE!</v>
      </c>
      <c r="J222" s="1575">
        <f ca="1">OFFSET('VVP2'!$G$104,0,(COLUMN()-10)/4)</f>
        <v>4.2202361070355128</v>
      </c>
      <c r="K222" s="3064"/>
      <c r="L222" s="3067" t="s">
        <v>757</v>
      </c>
      <c r="M222" s="3064" t="e">
        <f ca="1">+N222/N221*100</f>
        <v>#VALUE!</v>
      </c>
      <c r="N222" s="1575">
        <f ca="1">OFFSET('VVP2'!$G$104,0,(COLUMN()-10)/4)</f>
        <v>5.1459241982483732</v>
      </c>
      <c r="O222" s="3064"/>
      <c r="P222" s="3067" t="s">
        <v>757</v>
      </c>
      <c r="Q222" s="3064" t="e">
        <f ca="1">+R222/R221*100</f>
        <v>#VALUE!</v>
      </c>
      <c r="R222" s="1575">
        <f ca="1">OFFSET('VVP2'!$G$104,0,(COLUMN()-10)/4)</f>
        <v>6.4227812286901109</v>
      </c>
      <c r="S222" s="3064"/>
      <c r="T222" s="3067" t="s">
        <v>757</v>
      </c>
      <c r="U222" s="3064" t="e">
        <f ca="1">+V222/V221*100</f>
        <v>#VALUE!</v>
      </c>
      <c r="V222" s="1575">
        <f ca="1">OFFSET('VVP2'!$G$104,0,(COLUMN()-10)/4)</f>
        <v>6.8746831285953274</v>
      </c>
      <c r="W222" s="3064"/>
      <c r="X222" s="3067" t="s">
        <v>757</v>
      </c>
      <c r="Y222" s="3064" t="e">
        <f ca="1">+Z222/Z221*100</f>
        <v>#VALUE!</v>
      </c>
      <c r="Z222" s="1575">
        <f ca="1">OFFSET('VVP2'!$G$104,0,(COLUMN()-10)/4)</f>
        <v>5.9261647298424043</v>
      </c>
      <c r="AA222" s="3064"/>
      <c r="AB222" s="3067" t="s">
        <v>757</v>
      </c>
      <c r="AC222" s="3064" t="e">
        <f ca="1">+AD222/AD221*100</f>
        <v>#VALUE!</v>
      </c>
      <c r="AD222" s="1575">
        <f ca="1">OFFSET('VVP2'!$G$104,0,(COLUMN()-10)/4)</f>
        <v>6.4440649774249561</v>
      </c>
      <c r="AE222" s="3064"/>
      <c r="AF222" s="3067" t="s">
        <v>757</v>
      </c>
      <c r="AG222" s="3064" t="e">
        <f ca="1">+AH222/AH221*100</f>
        <v>#VALUE!</v>
      </c>
      <c r="AH222" s="1575">
        <f ca="1">OFFSET('VVP2'!$G$104,0,(COLUMN()-10)/4)</f>
        <v>7.7323226323786374</v>
      </c>
      <c r="AI222" s="3064"/>
      <c r="AJ222" s="3067" t="s">
        <v>757</v>
      </c>
      <c r="AK222" s="3064" t="e">
        <f ca="1">+AL222/AL221*100</f>
        <v>#VALUE!</v>
      </c>
      <c r="AL222" s="1575">
        <f ca="1">OFFSET('VVP2'!$G$104,0,(COLUMN()-10)/4)</f>
        <v>9.1730083482807512</v>
      </c>
      <c r="AM222" s="3064"/>
      <c r="AN222" s="3067" t="s">
        <v>757</v>
      </c>
      <c r="AO222" s="3064" t="e">
        <f ca="1">+AP222/AP221*100</f>
        <v>#VALUE!</v>
      </c>
      <c r="AP222" s="1575">
        <f ca="1">OFFSET('VVP2'!$G$104,0,(COLUMN()-10)/4)</f>
        <v>9.9220561771248814</v>
      </c>
      <c r="AQ222" s="3064"/>
      <c r="AR222" s="3067" t="s">
        <v>757</v>
      </c>
      <c r="AS222" s="3064" t="e">
        <f ca="1">+AT222/AT221*100</f>
        <v>#VALUE!</v>
      </c>
      <c r="AT222" s="1575">
        <f ca="1">OFFSET('VVP2'!$G$104,0,(COLUMN()-10)/4)</f>
        <v>11.380469999999999</v>
      </c>
      <c r="AU222" s="3064"/>
      <c r="AV222" s="3067" t="s">
        <v>757</v>
      </c>
      <c r="AW222" s="3064" t="e">
        <f ca="1">+AX222/AX221*100</f>
        <v>#VALUE!</v>
      </c>
      <c r="AX222" s="1575">
        <f ca="1">OFFSET('VVP2'!$G$104,0,(COLUMN()-10)/4)</f>
        <v>13.640180000000001</v>
      </c>
      <c r="AY222" s="3064"/>
      <c r="AZ222" s="3067" t="s">
        <v>757</v>
      </c>
      <c r="BA222" s="3064" t="e">
        <f ca="1">+BB222/BB221*100</f>
        <v>#VALUE!</v>
      </c>
      <c r="BB222" s="1575">
        <f ca="1">OFFSET('VVP2'!$G$104,0,(COLUMN()-10)/4)</f>
        <v>15.54504</v>
      </c>
      <c r="BC222" s="3064"/>
      <c r="BD222" s="3067" t="s">
        <v>757</v>
      </c>
      <c r="BE222" s="3064" t="e">
        <f ca="1">+BF222/BF221*100</f>
        <v>#VALUE!</v>
      </c>
      <c r="BF222" s="1575">
        <f ca="1">OFFSET('VVP2'!$G$104,0,(COLUMN()-10)/4)</f>
        <v>17.068759999999997</v>
      </c>
      <c r="BG222" s="3064"/>
      <c r="BH222" s="3067" t="s">
        <v>757</v>
      </c>
      <c r="BI222" s="3064" t="e">
        <f ca="1">+BJ222/BJ221*100</f>
        <v>#VALUE!</v>
      </c>
      <c r="BJ222" s="1575">
        <f ca="1">OFFSET('VVP2'!$G$104,0,(COLUMN()-10)/4)</f>
        <v>19.23555</v>
      </c>
      <c r="BK222" s="3064"/>
      <c r="BL222" s="3067" t="s">
        <v>757</v>
      </c>
      <c r="BM222" s="3064" t="e">
        <f ca="1">+BN222/BN221*100</f>
        <v>#VALUE!</v>
      </c>
      <c r="BN222" s="1575">
        <f ca="1">OFFSET('VVP2'!$G$104,0,(COLUMN()-10)/4)</f>
        <v>13.549799999999999</v>
      </c>
      <c r="BO222" s="3064"/>
      <c r="BP222" s="3067" t="s">
        <v>757</v>
      </c>
      <c r="BQ222" s="3064" t="e">
        <f ca="1">+BR222/BR221*100</f>
        <v>#VALUE!</v>
      </c>
      <c r="BR222" s="1575">
        <f ca="1">OFFSET('VVP2'!$G$104,0,(COLUMN()-10)/4)</f>
        <v>16.539330000000003</v>
      </c>
      <c r="BS222" s="3064"/>
      <c r="BT222" s="3067" t="s">
        <v>757</v>
      </c>
      <c r="BU222" s="3064" t="e">
        <f ca="1">+BV222/BV221*100</f>
        <v>#VALUE!</v>
      </c>
      <c r="BV222" s="1575">
        <f ca="1">OFFSET('VVP2'!$G$104,0,(COLUMN()-10)/4)</f>
        <v>18.97306</v>
      </c>
      <c r="BW222" s="3064"/>
      <c r="BX222" s="3067" t="s">
        <v>757</v>
      </c>
      <c r="BY222" s="3064" t="e">
        <f ca="1">+BZ222/BZ221*100</f>
        <v>#VALUE!</v>
      </c>
      <c r="BZ222" s="1575">
        <f ca="1">OFFSET('VVP2'!$G$104,0,(COLUMN()-10)/4)</f>
        <v>19.879450000000002</v>
      </c>
      <c r="CA222" s="3064"/>
      <c r="CB222" s="3067" t="s">
        <v>757</v>
      </c>
      <c r="CC222" s="3064" t="e">
        <f ca="1">+CD222/CD221*100</f>
        <v>#VALUE!</v>
      </c>
      <c r="CD222" s="1575">
        <f ca="1">OFFSET('VVP2'!$G$104,0,(COLUMN()-10)/4)</f>
        <v>21.409669999999998</v>
      </c>
      <c r="CE222" s="3064"/>
      <c r="CF222" s="3067" t="s">
        <v>757</v>
      </c>
      <c r="CG222" s="3064" t="e">
        <f ca="1">+CH222/CH221*100</f>
        <v>#VALUE!</v>
      </c>
      <c r="CH222" s="1575">
        <f ca="1">OFFSET('VVP2'!$G$104,0,(COLUMN()-10)/4)</f>
        <v>22.005839999999999</v>
      </c>
      <c r="CI222" s="3064"/>
      <c r="CJ222" s="3067" t="s">
        <v>757</v>
      </c>
      <c r="CK222" s="3064" t="e">
        <f ca="1">+CL222/CL221*100</f>
        <v>#VALUE!</v>
      </c>
      <c r="CL222" s="1575">
        <f ca="1">OFFSET('VVP2'!$G$104,0,(COLUMN()-10)/4)</f>
        <v>23.611000000000001</v>
      </c>
      <c r="CM222" s="3064"/>
      <c r="CN222" s="3067" t="s">
        <v>757</v>
      </c>
      <c r="CO222" s="3064" t="e">
        <f ca="1">+CP222/CP221*100</f>
        <v>#VALUE!</v>
      </c>
      <c r="CP222" s="1575">
        <f ca="1">OFFSET('VVP2'!$G$104,0,(COLUMN()-10)/4)</f>
        <v>24.316970000000001</v>
      </c>
      <c r="CQ222" s="3064"/>
      <c r="CR222" s="3067" t="s">
        <v>757</v>
      </c>
      <c r="CS222" s="3064" t="e">
        <f ca="1">+CT222/CT221*100</f>
        <v>#VALUE!</v>
      </c>
      <c r="CT222" s="1575">
        <f ca="1">OFFSET('VVP2'!$G$104,0,(COLUMN()-10)/4)</f>
        <v>27.416919999999998</v>
      </c>
      <c r="CU222" s="3064"/>
      <c r="CV222" s="3067" t="s">
        <v>757</v>
      </c>
      <c r="CW222" s="3064" t="e">
        <f ca="1">+CX222/CX221*100</f>
        <v>#VALUE!</v>
      </c>
      <c r="CX222" s="1575">
        <f ca="1">OFFSET('VVP2'!$G$104,0,(COLUMN()-10)/4)</f>
        <v>29.199019799999995</v>
      </c>
      <c r="CY222" s="3064"/>
      <c r="CZ222" s="3067" t="s">
        <v>757</v>
      </c>
      <c r="DA222" s="3064" t="e">
        <f ca="1">+DB222/DB221*100</f>
        <v>#VALUE!</v>
      </c>
      <c r="DB222" s="1575">
        <f ca="1">OFFSET('VVP2'!$G$104,0,(COLUMN()-10)/4)</f>
        <v>30.717368829599994</v>
      </c>
      <c r="DC222"/>
      <c r="DD222"/>
      <c r="DE222"/>
      <c r="DF222"/>
      <c r="DG222"/>
      <c r="DH222"/>
      <c r="DI222"/>
      <c r="DJ222"/>
      <c r="DK222"/>
      <c r="DL222"/>
      <c r="DM222"/>
      <c r="DN222"/>
      <c r="DO222"/>
    </row>
    <row r="223" spans="1:119" s="699" customFormat="1" ht="12.75" hidden="1" customHeight="1">
      <c r="A223" s="664" t="str">
        <f>"Q" &amp; ROW(InputQ!A69)</f>
        <v>Q69</v>
      </c>
      <c r="C223" s="3070" t="s">
        <v>1767</v>
      </c>
      <c r="D223" s="674"/>
      <c r="E223" s="3629" t="s">
        <v>1785</v>
      </c>
      <c r="F223" s="3630"/>
      <c r="G223" s="706" t="e">
        <f>InputQ!G69/1000</f>
        <v>#VALUE!</v>
      </c>
      <c r="H223" s="706" t="e">
        <f>InputQ!H69/1000</f>
        <v>#VALUE!</v>
      </c>
      <c r="I223" s="706" t="e">
        <f>InputQ!I69/1000</f>
        <v>#VALUE!</v>
      </c>
      <c r="J223" s="706" t="e">
        <f>InputQ!J69/1000</f>
        <v>#VALUE!</v>
      </c>
      <c r="K223" s="706" t="e">
        <f>InputQ!K69/1000</f>
        <v>#VALUE!</v>
      </c>
      <c r="L223" s="706" t="e">
        <f>InputQ!L69/1000</f>
        <v>#VALUE!</v>
      </c>
      <c r="M223" s="706" t="e">
        <f>InputQ!M69/1000</f>
        <v>#VALUE!</v>
      </c>
      <c r="N223" s="706" t="e">
        <f>InputQ!N69/1000</f>
        <v>#VALUE!</v>
      </c>
      <c r="O223" s="706" t="e">
        <f>InputQ!O69/1000</f>
        <v>#VALUE!</v>
      </c>
      <c r="P223" s="706" t="e">
        <f>InputQ!P69/1000</f>
        <v>#VALUE!</v>
      </c>
      <c r="Q223" s="706" t="e">
        <f>InputQ!Q69/1000</f>
        <v>#VALUE!</v>
      </c>
      <c r="R223" s="706" t="e">
        <f>InputQ!R69/1000</f>
        <v>#VALUE!</v>
      </c>
      <c r="S223" s="706" t="e">
        <f>InputQ!S69/1000</f>
        <v>#VALUE!</v>
      </c>
      <c r="T223" s="706" t="e">
        <f>InputQ!T69/1000</f>
        <v>#VALUE!</v>
      </c>
      <c r="U223" s="706" t="e">
        <f>InputQ!U69/1000</f>
        <v>#VALUE!</v>
      </c>
      <c r="V223" s="706" t="e">
        <f>InputQ!V69/1000</f>
        <v>#VALUE!</v>
      </c>
      <c r="W223" s="706" t="e">
        <f>InputQ!W69/1000</f>
        <v>#VALUE!</v>
      </c>
      <c r="X223" s="706" t="e">
        <f>InputQ!X69/1000</f>
        <v>#VALUE!</v>
      </c>
      <c r="Y223" s="706" t="e">
        <f>InputQ!Y69/1000</f>
        <v>#VALUE!</v>
      </c>
      <c r="Z223" s="706" t="e">
        <f>InputQ!Z69/1000</f>
        <v>#VALUE!</v>
      </c>
      <c r="AA223" s="706" t="e">
        <f>InputQ!AA69/1000</f>
        <v>#VALUE!</v>
      </c>
      <c r="AB223" s="706" t="e">
        <f>InputQ!AB69/1000</f>
        <v>#VALUE!</v>
      </c>
      <c r="AC223" s="706" t="e">
        <f>InputQ!AC69/1000</f>
        <v>#VALUE!</v>
      </c>
      <c r="AD223" s="706" t="e">
        <f>InputQ!AD69/1000</f>
        <v>#VALUE!</v>
      </c>
      <c r="AE223" s="706" t="e">
        <f>InputQ!AE69/1000</f>
        <v>#VALUE!</v>
      </c>
      <c r="AF223" s="706" t="e">
        <f>InputQ!AF69/1000</f>
        <v>#VALUE!</v>
      </c>
      <c r="AG223" s="706" t="e">
        <f>InputQ!AG69/1000</f>
        <v>#VALUE!</v>
      </c>
      <c r="AH223" s="706" t="e">
        <f>InputQ!AH69/1000</f>
        <v>#VALUE!</v>
      </c>
      <c r="AI223" s="706" t="e">
        <f>InputQ!AI69/1000</f>
        <v>#VALUE!</v>
      </c>
      <c r="AJ223" s="706" t="e">
        <f>InputQ!AJ69/1000</f>
        <v>#VALUE!</v>
      </c>
      <c r="AK223" s="706" t="e">
        <f>InputQ!AK69/1000</f>
        <v>#VALUE!</v>
      </c>
      <c r="AL223" s="706" t="e">
        <f>InputQ!AL69/1000</f>
        <v>#VALUE!</v>
      </c>
      <c r="AM223" s="706" t="e">
        <f>InputQ!AM69/1000</f>
        <v>#VALUE!</v>
      </c>
      <c r="AN223" s="706" t="e">
        <f>InputQ!AN69/1000</f>
        <v>#VALUE!</v>
      </c>
      <c r="AO223" s="706" t="e">
        <f>InputQ!AO69/1000</f>
        <v>#VALUE!</v>
      </c>
      <c r="AP223" s="706" t="e">
        <f>InputQ!AP69/1000</f>
        <v>#VALUE!</v>
      </c>
      <c r="AQ223" s="706" t="e">
        <f>InputQ!AQ69/1000</f>
        <v>#VALUE!</v>
      </c>
      <c r="AR223" s="706" t="e">
        <f>InputQ!AR69/1000</f>
        <v>#VALUE!</v>
      </c>
      <c r="AS223" s="706" t="e">
        <f>InputQ!AS69/1000</f>
        <v>#VALUE!</v>
      </c>
      <c r="AT223" s="706" t="e">
        <f>InputQ!AT69/1000</f>
        <v>#VALUE!</v>
      </c>
      <c r="AU223" s="706" t="e">
        <f>InputQ!AU69/1000</f>
        <v>#VALUE!</v>
      </c>
      <c r="AV223" s="706" t="e">
        <f>InputQ!AV69/1000</f>
        <v>#VALUE!</v>
      </c>
      <c r="AW223" s="706" t="e">
        <f>InputQ!AW69/1000</f>
        <v>#VALUE!</v>
      </c>
      <c r="AX223" s="706" t="e">
        <f>InputQ!AX69/1000</f>
        <v>#VALUE!</v>
      </c>
      <c r="AY223" s="706" t="e">
        <f>InputQ!AY69/1000</f>
        <v>#VALUE!</v>
      </c>
      <c r="AZ223" s="706" t="e">
        <f>InputQ!AZ69/1000</f>
        <v>#VALUE!</v>
      </c>
      <c r="BA223" s="706" t="e">
        <f>InputQ!BA69/1000</f>
        <v>#VALUE!</v>
      </c>
      <c r="BB223" s="706" t="e">
        <f>InputQ!BB69/1000</f>
        <v>#VALUE!</v>
      </c>
      <c r="BC223" s="706" t="e">
        <f>InputQ!BC69/1000</f>
        <v>#VALUE!</v>
      </c>
      <c r="BD223" s="706" t="e">
        <f>InputQ!BD69/1000</f>
        <v>#VALUE!</v>
      </c>
      <c r="BE223" s="706" t="e">
        <f>InputQ!BE69/1000</f>
        <v>#VALUE!</v>
      </c>
      <c r="BF223" s="706" t="e">
        <f>InputQ!BF69/1000</f>
        <v>#VALUE!</v>
      </c>
      <c r="BG223" s="706" t="e">
        <f>InputQ!BG69/1000</f>
        <v>#VALUE!</v>
      </c>
      <c r="BH223" s="706" t="e">
        <f>InputQ!BH69/1000</f>
        <v>#VALUE!</v>
      </c>
      <c r="BI223" s="706" t="e">
        <f>InputQ!BI69/1000</f>
        <v>#VALUE!</v>
      </c>
      <c r="BJ223" s="706" t="e">
        <f>InputQ!BJ69/1000</f>
        <v>#VALUE!</v>
      </c>
      <c r="BK223" s="3065" t="e">
        <f t="shared" ref="BK223:BV223" si="542">+BJ223*(1+BK236/100)</f>
        <v>#VALUE!</v>
      </c>
      <c r="BL223" s="3065" t="e">
        <f t="shared" si="542"/>
        <v>#VALUE!</v>
      </c>
      <c r="BM223" s="3065" t="e">
        <f t="shared" si="542"/>
        <v>#VALUE!</v>
      </c>
      <c r="BN223" s="3065" t="e">
        <f t="shared" si="542"/>
        <v>#VALUE!</v>
      </c>
      <c r="BO223" s="3065" t="e">
        <f t="shared" si="542"/>
        <v>#VALUE!</v>
      </c>
      <c r="BP223" s="3065" t="e">
        <f t="shared" si="542"/>
        <v>#VALUE!</v>
      </c>
      <c r="BQ223" s="3065" t="e">
        <f t="shared" si="542"/>
        <v>#VALUE!</v>
      </c>
      <c r="BR223" s="3065" t="e">
        <f t="shared" si="542"/>
        <v>#VALUE!</v>
      </c>
      <c r="BS223" s="3065" t="e">
        <f t="shared" si="542"/>
        <v>#VALUE!</v>
      </c>
      <c r="BT223" s="3065" t="e">
        <f t="shared" si="542"/>
        <v>#VALUE!</v>
      </c>
      <c r="BU223" s="3065" t="e">
        <f t="shared" si="542"/>
        <v>#VALUE!</v>
      </c>
      <c r="BV223" s="3065" t="e">
        <f t="shared" si="542"/>
        <v>#VALUE!</v>
      </c>
      <c r="BW223" s="3065" t="e">
        <f t="shared" ref="BW223:CD223" si="543">+BV223*(1+BW236/100)</f>
        <v>#VALUE!</v>
      </c>
      <c r="BX223" s="3065" t="e">
        <f t="shared" si="543"/>
        <v>#VALUE!</v>
      </c>
      <c r="BY223" s="3065" t="e">
        <f t="shared" si="543"/>
        <v>#VALUE!</v>
      </c>
      <c r="BZ223" s="3065" t="e">
        <f t="shared" si="543"/>
        <v>#VALUE!</v>
      </c>
      <c r="CA223" s="3065" t="e">
        <f t="shared" si="543"/>
        <v>#VALUE!</v>
      </c>
      <c r="CB223" s="3065" t="e">
        <f t="shared" si="543"/>
        <v>#VALUE!</v>
      </c>
      <c r="CC223" s="3065" t="e">
        <f t="shared" si="543"/>
        <v>#VALUE!</v>
      </c>
      <c r="CD223" s="3065" t="e">
        <f t="shared" si="543"/>
        <v>#VALUE!</v>
      </c>
      <c r="CE223" s="3065" t="e">
        <f t="shared" ref="CE223:CL223" si="544">+CD223*(1+CE236/100)</f>
        <v>#VALUE!</v>
      </c>
      <c r="CF223" s="3065" t="e">
        <f t="shared" si="544"/>
        <v>#VALUE!</v>
      </c>
      <c r="CG223" s="3065" t="e">
        <f t="shared" si="544"/>
        <v>#VALUE!</v>
      </c>
      <c r="CH223" s="3065" t="e">
        <f t="shared" si="544"/>
        <v>#VALUE!</v>
      </c>
      <c r="CI223" s="3065" t="e">
        <f t="shared" si="544"/>
        <v>#VALUE!</v>
      </c>
      <c r="CJ223" s="3065" t="e">
        <f t="shared" si="544"/>
        <v>#VALUE!</v>
      </c>
      <c r="CK223" s="3065" t="e">
        <f t="shared" si="544"/>
        <v>#VALUE!</v>
      </c>
      <c r="CL223" s="3065" t="e">
        <f t="shared" si="544"/>
        <v>#VALUE!</v>
      </c>
      <c r="CM223" s="3065" t="e">
        <f t="shared" ref="CM223:CT223" si="545">+CL223*(1+CM236/100)</f>
        <v>#VALUE!</v>
      </c>
      <c r="CN223" s="3065" t="e">
        <f t="shared" si="545"/>
        <v>#VALUE!</v>
      </c>
      <c r="CO223" s="3065" t="e">
        <f t="shared" si="545"/>
        <v>#VALUE!</v>
      </c>
      <c r="CP223" s="3065" t="e">
        <f t="shared" si="545"/>
        <v>#VALUE!</v>
      </c>
      <c r="CQ223" s="3065" t="e">
        <f t="shared" si="545"/>
        <v>#VALUE!</v>
      </c>
      <c r="CR223" s="3065" t="e">
        <f t="shared" si="545"/>
        <v>#VALUE!</v>
      </c>
      <c r="CS223" s="3065" t="e">
        <f t="shared" si="545"/>
        <v>#VALUE!</v>
      </c>
      <c r="CT223" s="3065" t="e">
        <f t="shared" si="545"/>
        <v>#VALUE!</v>
      </c>
      <c r="CU223" s="3065" t="e">
        <f t="shared" ref="CU223:DB223" si="546">+CT223*(1+CU236/100)</f>
        <v>#VALUE!</v>
      </c>
      <c r="CV223" s="3065" t="e">
        <f t="shared" si="546"/>
        <v>#VALUE!</v>
      </c>
      <c r="CW223" s="3065" t="e">
        <f t="shared" si="546"/>
        <v>#VALUE!</v>
      </c>
      <c r="CX223" s="3065" t="e">
        <f t="shared" si="546"/>
        <v>#VALUE!</v>
      </c>
      <c r="CY223" s="3065" t="e">
        <f t="shared" si="546"/>
        <v>#VALUE!</v>
      </c>
      <c r="CZ223" s="3065" t="e">
        <f t="shared" si="546"/>
        <v>#VALUE!</v>
      </c>
      <c r="DA223" s="3065" t="e">
        <f t="shared" si="546"/>
        <v>#VALUE!</v>
      </c>
      <c r="DB223" s="3065" t="e">
        <f t="shared" si="546"/>
        <v>#VALUE!</v>
      </c>
      <c r="DC223"/>
      <c r="DD223"/>
      <c r="DE223"/>
      <c r="DF223"/>
      <c r="DG223"/>
      <c r="DH223"/>
      <c r="DI223"/>
      <c r="DJ223"/>
      <c r="DK223"/>
      <c r="DL223"/>
      <c r="DM223"/>
      <c r="DN223"/>
      <c r="DO223"/>
    </row>
    <row r="224" spans="1:119" s="699" customFormat="1" ht="12.75" hidden="1" customHeight="1">
      <c r="A224" s="664"/>
      <c r="C224" s="3070"/>
      <c r="D224" s="679"/>
      <c r="E224" s="680" t="s">
        <v>266</v>
      </c>
      <c r="F224" s="1908"/>
      <c r="G224" s="3064"/>
      <c r="H224" s="3064"/>
      <c r="I224" s="3066"/>
      <c r="J224" s="1575" t="e">
        <f>SUM(G223:J223)</f>
        <v>#VALUE!</v>
      </c>
      <c r="K224" s="3064"/>
      <c r="L224" s="3064"/>
      <c r="M224" s="3066"/>
      <c r="N224" s="1575" t="e">
        <f>SUM(K223:N223)</f>
        <v>#VALUE!</v>
      </c>
      <c r="O224" s="3064"/>
      <c r="P224" s="3064"/>
      <c r="Q224" s="3066"/>
      <c r="R224" s="1575" t="e">
        <f>SUM(O223:R223)</f>
        <v>#VALUE!</v>
      </c>
      <c r="S224" s="3064"/>
      <c r="T224" s="3064"/>
      <c r="U224" s="3066"/>
      <c r="V224" s="1575" t="e">
        <f>SUM(S223:V223)</f>
        <v>#VALUE!</v>
      </c>
      <c r="W224" s="3064"/>
      <c r="X224" s="3064"/>
      <c r="Y224" s="3066"/>
      <c r="Z224" s="1575" t="e">
        <f>SUM(W223:Z223)</f>
        <v>#VALUE!</v>
      </c>
      <c r="AA224" s="3064"/>
      <c r="AB224" s="3064"/>
      <c r="AC224" s="3066"/>
      <c r="AD224" s="1575" t="e">
        <f>SUM(AA223:AD223)</f>
        <v>#VALUE!</v>
      </c>
      <c r="AE224" s="3064"/>
      <c r="AF224" s="3064"/>
      <c r="AG224" s="3066"/>
      <c r="AH224" s="1575" t="e">
        <f>SUM(AE223:AH223)</f>
        <v>#VALUE!</v>
      </c>
      <c r="AI224" s="3064"/>
      <c r="AJ224" s="3064"/>
      <c r="AK224" s="3066"/>
      <c r="AL224" s="1575" t="e">
        <f>SUM(AI223:AL223)</f>
        <v>#VALUE!</v>
      </c>
      <c r="AM224" s="3064"/>
      <c r="AN224" s="3064"/>
      <c r="AO224" s="3066"/>
      <c r="AP224" s="1575" t="e">
        <f>SUM(AM223:AP223)</f>
        <v>#VALUE!</v>
      </c>
      <c r="AQ224" s="3064"/>
      <c r="AR224" s="3064"/>
      <c r="AS224" s="3066"/>
      <c r="AT224" s="1575" t="e">
        <f>SUM(AQ223:AT223)</f>
        <v>#VALUE!</v>
      </c>
      <c r="AU224" s="3064"/>
      <c r="AV224" s="3064"/>
      <c r="AW224" s="3066"/>
      <c r="AX224" s="1575" t="e">
        <f>SUM(AU223:AX223)</f>
        <v>#VALUE!</v>
      </c>
      <c r="AY224" s="3064"/>
      <c r="AZ224" s="3064"/>
      <c r="BA224" s="3066"/>
      <c r="BB224" s="1575" t="e">
        <f>SUM(AY223:BB223)</f>
        <v>#VALUE!</v>
      </c>
      <c r="BC224" s="3064"/>
      <c r="BD224" s="3064"/>
      <c r="BE224" s="3066"/>
      <c r="BF224" s="1575" t="e">
        <f>SUM(BC223:BF223)</f>
        <v>#VALUE!</v>
      </c>
      <c r="BG224" s="3064"/>
      <c r="BH224" s="3064"/>
      <c r="BI224" s="3066"/>
      <c r="BJ224" s="1575" t="e">
        <f>SUM(BG223:BJ223)</f>
        <v>#VALUE!</v>
      </c>
      <c r="BK224" s="3064"/>
      <c r="BL224" s="3064"/>
      <c r="BM224" s="3066"/>
      <c r="BN224" s="1575" t="e">
        <f>SUM(BK223:BN223)</f>
        <v>#VALUE!</v>
      </c>
      <c r="BO224" s="3064"/>
      <c r="BP224" s="3064"/>
      <c r="BQ224" s="3066"/>
      <c r="BR224" s="1575" t="e">
        <f>SUM(BO223:BR223)</f>
        <v>#VALUE!</v>
      </c>
      <c r="BS224" s="3064"/>
      <c r="BT224" s="3064"/>
      <c r="BU224" s="3066"/>
      <c r="BV224" s="1575" t="e">
        <f>SUM(BS223:BV223)</f>
        <v>#VALUE!</v>
      </c>
      <c r="BW224" s="3064"/>
      <c r="BX224" s="3064"/>
      <c r="BY224" s="3066"/>
      <c r="BZ224" s="1575" t="e">
        <f>SUM(BW223:BZ223)</f>
        <v>#VALUE!</v>
      </c>
      <c r="CA224" s="3064"/>
      <c r="CB224" s="3064"/>
      <c r="CC224" s="3066"/>
      <c r="CD224" s="1575" t="e">
        <f>SUM(CA223:CD223)</f>
        <v>#VALUE!</v>
      </c>
      <c r="CE224" s="3064"/>
      <c r="CF224" s="3064"/>
      <c r="CG224" s="3066"/>
      <c r="CH224" s="1575" t="e">
        <f>SUM(CE223:CH223)</f>
        <v>#VALUE!</v>
      </c>
      <c r="CI224" s="3064"/>
      <c r="CJ224" s="3064"/>
      <c r="CK224" s="3066"/>
      <c r="CL224" s="1575" t="e">
        <f>SUM(CI223:CL223)</f>
        <v>#VALUE!</v>
      </c>
      <c r="CM224" s="3064"/>
      <c r="CN224" s="3064"/>
      <c r="CO224" s="3066"/>
      <c r="CP224" s="1575" t="e">
        <f>SUM(CM223:CP223)</f>
        <v>#VALUE!</v>
      </c>
      <c r="CQ224" s="3064"/>
      <c r="CR224" s="3064"/>
      <c r="CS224" s="3066"/>
      <c r="CT224" s="1575" t="e">
        <f>SUM(CQ223:CT223)</f>
        <v>#VALUE!</v>
      </c>
      <c r="CU224" s="3064"/>
      <c r="CV224" s="3064"/>
      <c r="CW224" s="3066"/>
      <c r="CX224" s="1575" t="e">
        <f>SUM(CU223:CX223)</f>
        <v>#VALUE!</v>
      </c>
      <c r="CY224" s="3064"/>
      <c r="CZ224" s="3064"/>
      <c r="DA224" s="3066"/>
      <c r="DB224" s="1575" t="e">
        <f>SUM(CY223:DB223)</f>
        <v>#VALUE!</v>
      </c>
      <c r="DC224"/>
      <c r="DD224"/>
      <c r="DE224"/>
      <c r="DF224"/>
      <c r="DG224"/>
      <c r="DH224"/>
      <c r="DI224"/>
      <c r="DJ224"/>
      <c r="DK224"/>
      <c r="DL224"/>
      <c r="DM224"/>
      <c r="DN224"/>
      <c r="DO224"/>
    </row>
    <row r="225" spans="1:119" s="699" customFormat="1" ht="12.75" hidden="1" customHeight="1">
      <c r="A225" s="664"/>
      <c r="C225" s="3070"/>
      <c r="D225" s="679"/>
      <c r="E225" s="680" t="s">
        <v>1847</v>
      </c>
      <c r="F225" s="1908"/>
      <c r="G225" s="3064"/>
      <c r="H225" s="3067" t="s">
        <v>757</v>
      </c>
      <c r="I225" s="3064" t="e">
        <f ca="1">+J225/J224*100</f>
        <v>#VALUE!</v>
      </c>
      <c r="J225" s="1575">
        <f ca="1">OFFSET('VVP2'!$G$103,0,(COLUMN()-10)/4)</f>
        <v>0.7087974246077573</v>
      </c>
      <c r="K225" s="3064"/>
      <c r="L225" s="3067" t="s">
        <v>757</v>
      </c>
      <c r="M225" s="3064" t="e">
        <f ca="1">+N225/N224*100</f>
        <v>#VALUE!</v>
      </c>
      <c r="N225" s="1575">
        <f ca="1">OFFSET('VVP2'!$G$103,0,(COLUMN()-10)/4)</f>
        <v>0.93164550545415559</v>
      </c>
      <c r="O225" s="3064"/>
      <c r="P225" s="3067" t="s">
        <v>757</v>
      </c>
      <c r="Q225" s="3064" t="e">
        <f ca="1">+R225/R224*100</f>
        <v>#VALUE!</v>
      </c>
      <c r="R225" s="1575">
        <f ca="1">OFFSET('VVP2'!$G$103,0,(COLUMN()-10)/4)</f>
        <v>1.1732587156015639</v>
      </c>
      <c r="S225" s="3064"/>
      <c r="T225" s="3067" t="s">
        <v>757</v>
      </c>
      <c r="U225" s="3064" t="e">
        <f ca="1">+V225/V224*100</f>
        <v>#VALUE!</v>
      </c>
      <c r="V225" s="1575">
        <f ca="1">OFFSET('VVP2'!$G$103,0,(COLUMN()-10)/4)</f>
        <v>1.1838226201112128</v>
      </c>
      <c r="W225" s="3064"/>
      <c r="X225" s="3067" t="s">
        <v>757</v>
      </c>
      <c r="Y225" s="3064" t="e">
        <f ca="1">+Z225/Z224*100</f>
        <v>#VALUE!</v>
      </c>
      <c r="Z225" s="1575">
        <f ca="1">OFFSET('VVP2'!$G$103,0,(COLUMN()-10)/4)</f>
        <v>1.1443580797618031</v>
      </c>
      <c r="AA225" s="3064"/>
      <c r="AB225" s="3067" t="s">
        <v>757</v>
      </c>
      <c r="AC225" s="3064" t="e">
        <f ca="1">+AD225/AD224*100</f>
        <v>#VALUE!</v>
      </c>
      <c r="AD225" s="1575">
        <f ca="1">OFFSET('VVP2'!$G$103,0,(COLUMN()-10)/4)</f>
        <v>0.95477899588265791</v>
      </c>
      <c r="AE225" s="3064"/>
      <c r="AF225" s="3067" t="s">
        <v>757</v>
      </c>
      <c r="AG225" s="3064" t="e">
        <f ca="1">+AH225/AH224*100</f>
        <v>#VALUE!</v>
      </c>
      <c r="AH225" s="1575">
        <f ca="1">OFFSET('VVP2'!$G$103,0,(COLUMN()-10)/4)</f>
        <v>0.94845688037273612</v>
      </c>
      <c r="AI225" s="3064"/>
      <c r="AJ225" s="3067" t="s">
        <v>757</v>
      </c>
      <c r="AK225" s="3064" t="e">
        <f ca="1">+AL225/AL224*100</f>
        <v>#VALUE!</v>
      </c>
      <c r="AL225" s="1575">
        <f ca="1">OFFSET('VVP2'!$G$103,0,(COLUMN()-10)/4)</f>
        <v>1.1208351366324842</v>
      </c>
      <c r="AM225" s="3064"/>
      <c r="AN225" s="3067" t="s">
        <v>757</v>
      </c>
      <c r="AO225" s="3064" t="e">
        <f ca="1">+AP225/AP224*100</f>
        <v>#VALUE!</v>
      </c>
      <c r="AP225" s="1575">
        <f ca="1">OFFSET('VVP2'!$G$103,0,(COLUMN()-10)/4)</f>
        <v>1.2786705799559077</v>
      </c>
      <c r="AQ225" s="3064"/>
      <c r="AR225" s="3067" t="s">
        <v>757</v>
      </c>
      <c r="AS225" s="3064" t="e">
        <f ca="1">+AT225/AT224*100</f>
        <v>#VALUE!</v>
      </c>
      <c r="AT225" s="1575">
        <f ca="1">OFFSET('VVP2'!$G$103,0,(COLUMN()-10)/4)</f>
        <v>1.51332</v>
      </c>
      <c r="AU225" s="3064"/>
      <c r="AV225" s="3067" t="s">
        <v>757</v>
      </c>
      <c r="AW225" s="3064" t="e">
        <f ca="1">+AX225/AX224*100</f>
        <v>#VALUE!</v>
      </c>
      <c r="AX225" s="1575">
        <f ca="1">OFFSET('VVP2'!$G$103,0,(COLUMN()-10)/4)</f>
        <v>1.8679600000000001</v>
      </c>
      <c r="AY225" s="3064"/>
      <c r="AZ225" s="3067" t="s">
        <v>757</v>
      </c>
      <c r="BA225" s="3064" t="e">
        <f ca="1">+BB225/BB224*100</f>
        <v>#VALUE!</v>
      </c>
      <c r="BB225" s="1575">
        <f ca="1">OFFSET('VVP2'!$G$103,0,(COLUMN()-10)/4)</f>
        <v>2.1709099999999997</v>
      </c>
      <c r="BC225" s="3064"/>
      <c r="BD225" s="3067" t="s">
        <v>757</v>
      </c>
      <c r="BE225" s="3064" t="e">
        <f ca="1">+BF225/BF224*100</f>
        <v>#VALUE!</v>
      </c>
      <c r="BF225" s="1575">
        <f ca="1">OFFSET('VVP2'!$G$103,0,(COLUMN()-10)/4)</f>
        <v>2.55402</v>
      </c>
      <c r="BG225" s="3064"/>
      <c r="BH225" s="3067" t="s">
        <v>757</v>
      </c>
      <c r="BI225" s="3064" t="e">
        <f ca="1">+BJ225/BJ224*100</f>
        <v>#VALUE!</v>
      </c>
      <c r="BJ225" s="1575">
        <f ca="1">OFFSET('VVP2'!$G$103,0,(COLUMN()-10)/4)</f>
        <v>2.7825100000000003</v>
      </c>
      <c r="BK225" s="3064"/>
      <c r="BL225" s="3067" t="s">
        <v>757</v>
      </c>
      <c r="BM225" s="3064" t="e">
        <f ca="1">+BN225/BN224*100</f>
        <v>#VALUE!</v>
      </c>
      <c r="BN225" s="1575">
        <f ca="1">OFFSET('VVP2'!$G$103,0,(COLUMN()-10)/4)</f>
        <v>2.3010000000000002</v>
      </c>
      <c r="BO225" s="3064"/>
      <c r="BP225" s="3067" t="s">
        <v>757</v>
      </c>
      <c r="BQ225" s="3064" t="e">
        <f ca="1">+BR225/BR224*100</f>
        <v>#VALUE!</v>
      </c>
      <c r="BR225" s="1575">
        <f ca="1">OFFSET('VVP2'!$G$103,0,(COLUMN()-10)/4)</f>
        <v>2.3007600000000004</v>
      </c>
      <c r="BS225" s="3064"/>
      <c r="BT225" s="3067" t="s">
        <v>757</v>
      </c>
      <c r="BU225" s="3064" t="e">
        <f ca="1">+BV225/BV224*100</f>
        <v>#VALUE!</v>
      </c>
      <c r="BV225" s="1575">
        <f ca="1">OFFSET('VVP2'!$G$103,0,(COLUMN()-10)/4)</f>
        <v>2.6943299999999999</v>
      </c>
      <c r="BW225" s="3064"/>
      <c r="BX225" s="3067" t="s">
        <v>757</v>
      </c>
      <c r="BY225" s="3064" t="e">
        <f ca="1">+BZ225/BZ224*100</f>
        <v>#VALUE!</v>
      </c>
      <c r="BZ225" s="1575">
        <f ca="1">OFFSET('VVP2'!$G$103,0,(COLUMN()-10)/4)</f>
        <v>3.2643200000000001</v>
      </c>
      <c r="CA225" s="3064"/>
      <c r="CB225" s="3067" t="s">
        <v>757</v>
      </c>
      <c r="CC225" s="3064" t="e">
        <f ca="1">+CD225/CD224*100</f>
        <v>#VALUE!</v>
      </c>
      <c r="CD225" s="1575">
        <f ca="1">OFFSET('VVP2'!$G$103,0,(COLUMN()-10)/4)</f>
        <v>3.8811799999999996</v>
      </c>
      <c r="CE225" s="3064"/>
      <c r="CF225" s="3067" t="s">
        <v>757</v>
      </c>
      <c r="CG225" s="3064" t="e">
        <f ca="1">+CH225/CH224*100</f>
        <v>#VALUE!</v>
      </c>
      <c r="CH225" s="1575">
        <f ca="1">OFFSET('VVP2'!$G$103,0,(COLUMN()-10)/4)</f>
        <v>4.0761199999999995</v>
      </c>
      <c r="CI225" s="3064"/>
      <c r="CJ225" s="3067" t="s">
        <v>757</v>
      </c>
      <c r="CK225" s="3064" t="e">
        <f ca="1">+CL225/CL224*100</f>
        <v>#VALUE!</v>
      </c>
      <c r="CL225" s="1575">
        <f ca="1">OFFSET('VVP2'!$G$103,0,(COLUMN()-10)/4)</f>
        <v>4.0676100000000002</v>
      </c>
      <c r="CM225" s="3064"/>
      <c r="CN225" s="3067" t="s">
        <v>757</v>
      </c>
      <c r="CO225" s="3064" t="e">
        <f ca="1">+CP225/CP224*100</f>
        <v>#VALUE!</v>
      </c>
      <c r="CP225" s="1575">
        <f ca="1">OFFSET('VVP2'!$G$103,0,(COLUMN()-10)/4)</f>
        <v>4.33568</v>
      </c>
      <c r="CQ225" s="3064"/>
      <c r="CR225" s="3067" t="s">
        <v>757</v>
      </c>
      <c r="CS225" s="3064" t="e">
        <f ca="1">+CT225/CT224*100</f>
        <v>#VALUE!</v>
      </c>
      <c r="CT225" s="1575">
        <f ca="1">OFFSET('VVP2'!$G$103,0,(COLUMN()-10)/4)</f>
        <v>4.9055299999999997</v>
      </c>
      <c r="CU225" s="3064"/>
      <c r="CV225" s="3067" t="s">
        <v>757</v>
      </c>
      <c r="CW225" s="3064" t="e">
        <f ca="1">+CX225/CX224*100</f>
        <v>#VALUE!</v>
      </c>
      <c r="CX225" s="1575">
        <f ca="1">OFFSET('VVP2'!$G$103,0,(COLUMN()-10)/4)</f>
        <v>5.2243894499999994</v>
      </c>
      <c r="CY225" s="3064"/>
      <c r="CZ225" s="3067" t="s">
        <v>757</v>
      </c>
      <c r="DA225" s="3064" t="e">
        <f ca="1">+DB225/DB224*100</f>
        <v>#VALUE!</v>
      </c>
      <c r="DB225" s="1575">
        <f ca="1">OFFSET('VVP2'!$G$103,0,(COLUMN()-10)/4)</f>
        <v>5.4803845330499987</v>
      </c>
      <c r="DC225"/>
      <c r="DD225"/>
      <c r="DE225"/>
      <c r="DF225"/>
      <c r="DG225"/>
      <c r="DH225"/>
      <c r="DI225"/>
      <c r="DJ225"/>
      <c r="DK225"/>
      <c r="DL225"/>
      <c r="DM225"/>
      <c r="DN225"/>
      <c r="DO225"/>
    </row>
    <row r="226" spans="1:119" s="699" customFormat="1" ht="12.75" hidden="1" customHeight="1">
      <c r="A226" s="664"/>
      <c r="C226" s="3070" t="s">
        <v>1767</v>
      </c>
      <c r="D226" s="674"/>
      <c r="E226" s="3629" t="s">
        <v>616</v>
      </c>
      <c r="F226" s="3630"/>
      <c r="G226" s="706" t="e">
        <f t="shared" ref="G226:AL226" si="547">G227-G220-G223</f>
        <v>#VALUE!</v>
      </c>
      <c r="H226" s="706" t="e">
        <f t="shared" si="547"/>
        <v>#VALUE!</v>
      </c>
      <c r="I226" s="706" t="e">
        <f t="shared" si="547"/>
        <v>#VALUE!</v>
      </c>
      <c r="J226" s="706" t="e">
        <f t="shared" si="547"/>
        <v>#VALUE!</v>
      </c>
      <c r="K226" s="706" t="e">
        <f t="shared" si="547"/>
        <v>#VALUE!</v>
      </c>
      <c r="L226" s="706" t="e">
        <f t="shared" si="547"/>
        <v>#VALUE!</v>
      </c>
      <c r="M226" s="706" t="e">
        <f t="shared" si="547"/>
        <v>#VALUE!</v>
      </c>
      <c r="N226" s="706" t="e">
        <f t="shared" si="547"/>
        <v>#VALUE!</v>
      </c>
      <c r="O226" s="706" t="e">
        <f t="shared" si="547"/>
        <v>#VALUE!</v>
      </c>
      <c r="P226" s="706" t="e">
        <f t="shared" si="547"/>
        <v>#VALUE!</v>
      </c>
      <c r="Q226" s="706" t="e">
        <f t="shared" si="547"/>
        <v>#VALUE!</v>
      </c>
      <c r="R226" s="706" t="e">
        <f t="shared" si="547"/>
        <v>#VALUE!</v>
      </c>
      <c r="S226" s="706" t="e">
        <f t="shared" si="547"/>
        <v>#VALUE!</v>
      </c>
      <c r="T226" s="706" t="e">
        <f t="shared" si="547"/>
        <v>#VALUE!</v>
      </c>
      <c r="U226" s="706" t="e">
        <f t="shared" si="547"/>
        <v>#VALUE!</v>
      </c>
      <c r="V226" s="706" t="e">
        <f t="shared" si="547"/>
        <v>#VALUE!</v>
      </c>
      <c r="W226" s="706" t="e">
        <f t="shared" si="547"/>
        <v>#VALUE!</v>
      </c>
      <c r="X226" s="706" t="e">
        <f t="shared" si="547"/>
        <v>#VALUE!</v>
      </c>
      <c r="Y226" s="706" t="e">
        <f t="shared" si="547"/>
        <v>#VALUE!</v>
      </c>
      <c r="Z226" s="706" t="e">
        <f t="shared" si="547"/>
        <v>#VALUE!</v>
      </c>
      <c r="AA226" s="706" t="e">
        <f t="shared" si="547"/>
        <v>#VALUE!</v>
      </c>
      <c r="AB226" s="706" t="e">
        <f t="shared" si="547"/>
        <v>#VALUE!</v>
      </c>
      <c r="AC226" s="706" t="e">
        <f t="shared" si="547"/>
        <v>#VALUE!</v>
      </c>
      <c r="AD226" s="706" t="e">
        <f t="shared" si="547"/>
        <v>#VALUE!</v>
      </c>
      <c r="AE226" s="706" t="e">
        <f t="shared" si="547"/>
        <v>#VALUE!</v>
      </c>
      <c r="AF226" s="706" t="e">
        <f t="shared" si="547"/>
        <v>#VALUE!</v>
      </c>
      <c r="AG226" s="706" t="e">
        <f t="shared" si="547"/>
        <v>#VALUE!</v>
      </c>
      <c r="AH226" s="706" t="e">
        <f t="shared" si="547"/>
        <v>#VALUE!</v>
      </c>
      <c r="AI226" s="706" t="e">
        <f t="shared" si="547"/>
        <v>#VALUE!</v>
      </c>
      <c r="AJ226" s="706" t="e">
        <f t="shared" si="547"/>
        <v>#VALUE!</v>
      </c>
      <c r="AK226" s="706" t="e">
        <f t="shared" si="547"/>
        <v>#VALUE!</v>
      </c>
      <c r="AL226" s="706" t="e">
        <f t="shared" si="547"/>
        <v>#VALUE!</v>
      </c>
      <c r="AM226" s="706" t="e">
        <f t="shared" ref="AM226:BN226" si="548">AM227-AM220-AM223</f>
        <v>#VALUE!</v>
      </c>
      <c r="AN226" s="706" t="e">
        <f t="shared" si="548"/>
        <v>#VALUE!</v>
      </c>
      <c r="AO226" s="706" t="e">
        <f t="shared" si="548"/>
        <v>#VALUE!</v>
      </c>
      <c r="AP226" s="706" t="e">
        <f t="shared" si="548"/>
        <v>#VALUE!</v>
      </c>
      <c r="AQ226" s="706" t="e">
        <f t="shared" si="548"/>
        <v>#VALUE!</v>
      </c>
      <c r="AR226" s="706" t="e">
        <f t="shared" si="548"/>
        <v>#VALUE!</v>
      </c>
      <c r="AS226" s="706" t="e">
        <f t="shared" si="548"/>
        <v>#VALUE!</v>
      </c>
      <c r="AT226" s="706" t="e">
        <f t="shared" si="548"/>
        <v>#VALUE!</v>
      </c>
      <c r="AU226" s="706" t="e">
        <f t="shared" si="548"/>
        <v>#VALUE!</v>
      </c>
      <c r="AV226" s="706" t="e">
        <f t="shared" si="548"/>
        <v>#VALUE!</v>
      </c>
      <c r="AW226" s="706" t="e">
        <f t="shared" si="548"/>
        <v>#VALUE!</v>
      </c>
      <c r="AX226" s="706" t="e">
        <f t="shared" si="548"/>
        <v>#VALUE!</v>
      </c>
      <c r="AY226" s="706" t="e">
        <f t="shared" si="548"/>
        <v>#VALUE!</v>
      </c>
      <c r="AZ226" s="706" t="e">
        <f t="shared" si="548"/>
        <v>#VALUE!</v>
      </c>
      <c r="BA226" s="706" t="e">
        <f t="shared" si="548"/>
        <v>#VALUE!</v>
      </c>
      <c r="BB226" s="706" t="e">
        <f t="shared" si="548"/>
        <v>#VALUE!</v>
      </c>
      <c r="BC226" s="706" t="e">
        <f t="shared" si="548"/>
        <v>#VALUE!</v>
      </c>
      <c r="BD226" s="706" t="e">
        <f t="shared" si="548"/>
        <v>#VALUE!</v>
      </c>
      <c r="BE226" s="706" t="e">
        <f t="shared" si="548"/>
        <v>#VALUE!</v>
      </c>
      <c r="BF226" s="706" t="e">
        <f t="shared" si="548"/>
        <v>#VALUE!</v>
      </c>
      <c r="BG226" s="706" t="e">
        <f t="shared" si="548"/>
        <v>#VALUE!</v>
      </c>
      <c r="BH226" s="706" t="e">
        <f t="shared" si="548"/>
        <v>#VALUE!</v>
      </c>
      <c r="BI226" s="706" t="e">
        <f t="shared" si="548"/>
        <v>#VALUE!</v>
      </c>
      <c r="BJ226" s="706" t="e">
        <f t="shared" si="548"/>
        <v>#VALUE!</v>
      </c>
      <c r="BK226" s="706" t="e">
        <f t="shared" si="548"/>
        <v>#VALUE!</v>
      </c>
      <c r="BL226" s="706" t="e">
        <f t="shared" si="548"/>
        <v>#VALUE!</v>
      </c>
      <c r="BM226" s="706" t="e">
        <f t="shared" si="548"/>
        <v>#VALUE!</v>
      </c>
      <c r="BN226" s="706" t="e">
        <f t="shared" si="548"/>
        <v>#VALUE!</v>
      </c>
      <c r="BO226" s="706" t="e">
        <f t="shared" ref="BO226:BV226" si="549">BO227-BO220-BO223</f>
        <v>#VALUE!</v>
      </c>
      <c r="BP226" s="706" t="e">
        <f t="shared" si="549"/>
        <v>#VALUE!</v>
      </c>
      <c r="BQ226" s="706" t="e">
        <f t="shared" si="549"/>
        <v>#VALUE!</v>
      </c>
      <c r="BR226" s="706" t="e">
        <f t="shared" si="549"/>
        <v>#VALUE!</v>
      </c>
      <c r="BS226" s="706" t="e">
        <f t="shared" si="549"/>
        <v>#VALUE!</v>
      </c>
      <c r="BT226" s="706" t="e">
        <f t="shared" si="549"/>
        <v>#VALUE!</v>
      </c>
      <c r="BU226" s="706" t="e">
        <f t="shared" si="549"/>
        <v>#VALUE!</v>
      </c>
      <c r="BV226" s="706" t="e">
        <f t="shared" si="549"/>
        <v>#VALUE!</v>
      </c>
      <c r="BW226" s="706" t="e">
        <f t="shared" ref="BW226:CD226" si="550">BW227-BW220-BW223</f>
        <v>#VALUE!</v>
      </c>
      <c r="BX226" s="706" t="e">
        <f t="shared" si="550"/>
        <v>#VALUE!</v>
      </c>
      <c r="BY226" s="706" t="e">
        <f t="shared" si="550"/>
        <v>#VALUE!</v>
      </c>
      <c r="BZ226" s="706" t="e">
        <f t="shared" si="550"/>
        <v>#VALUE!</v>
      </c>
      <c r="CA226" s="706" t="e">
        <f t="shared" si="550"/>
        <v>#VALUE!</v>
      </c>
      <c r="CB226" s="706" t="e">
        <f t="shared" si="550"/>
        <v>#VALUE!</v>
      </c>
      <c r="CC226" s="706" t="e">
        <f t="shared" si="550"/>
        <v>#VALUE!</v>
      </c>
      <c r="CD226" s="706" t="e">
        <f t="shared" si="550"/>
        <v>#VALUE!</v>
      </c>
      <c r="CE226" s="706" t="e">
        <f t="shared" ref="CE226:CL226" si="551">CE227-CE220-CE223</f>
        <v>#VALUE!</v>
      </c>
      <c r="CF226" s="706" t="e">
        <f t="shared" si="551"/>
        <v>#VALUE!</v>
      </c>
      <c r="CG226" s="706" t="e">
        <f t="shared" si="551"/>
        <v>#VALUE!</v>
      </c>
      <c r="CH226" s="706" t="e">
        <f t="shared" si="551"/>
        <v>#VALUE!</v>
      </c>
      <c r="CI226" s="706" t="e">
        <f t="shared" si="551"/>
        <v>#VALUE!</v>
      </c>
      <c r="CJ226" s="706" t="e">
        <f t="shared" si="551"/>
        <v>#VALUE!</v>
      </c>
      <c r="CK226" s="706" t="e">
        <f t="shared" si="551"/>
        <v>#VALUE!</v>
      </c>
      <c r="CL226" s="706" t="e">
        <f t="shared" si="551"/>
        <v>#VALUE!</v>
      </c>
      <c r="CM226" s="706" t="e">
        <f t="shared" ref="CM226:CT226" si="552">CM227-CM220-CM223</f>
        <v>#VALUE!</v>
      </c>
      <c r="CN226" s="706" t="e">
        <f t="shared" si="552"/>
        <v>#VALUE!</v>
      </c>
      <c r="CO226" s="706" t="e">
        <f t="shared" si="552"/>
        <v>#VALUE!</v>
      </c>
      <c r="CP226" s="706" t="e">
        <f t="shared" si="552"/>
        <v>#VALUE!</v>
      </c>
      <c r="CQ226" s="706" t="e">
        <f t="shared" si="552"/>
        <v>#VALUE!</v>
      </c>
      <c r="CR226" s="706" t="e">
        <f t="shared" si="552"/>
        <v>#VALUE!</v>
      </c>
      <c r="CS226" s="706" t="e">
        <f t="shared" si="552"/>
        <v>#VALUE!</v>
      </c>
      <c r="CT226" s="706" t="e">
        <f t="shared" si="552"/>
        <v>#VALUE!</v>
      </c>
      <c r="CU226" s="706" t="e">
        <f t="shared" ref="CU226:DB226" si="553">CU227-CU220-CU223</f>
        <v>#VALUE!</v>
      </c>
      <c r="CV226" s="706" t="e">
        <f t="shared" si="553"/>
        <v>#VALUE!</v>
      </c>
      <c r="CW226" s="706" t="e">
        <f t="shared" si="553"/>
        <v>#VALUE!</v>
      </c>
      <c r="CX226" s="706" t="e">
        <f t="shared" si="553"/>
        <v>#VALUE!</v>
      </c>
      <c r="CY226" s="706" t="e">
        <f t="shared" si="553"/>
        <v>#VALUE!</v>
      </c>
      <c r="CZ226" s="706" t="e">
        <f t="shared" si="553"/>
        <v>#VALUE!</v>
      </c>
      <c r="DA226" s="706" t="e">
        <f t="shared" si="553"/>
        <v>#VALUE!</v>
      </c>
      <c r="DB226" s="706" t="e">
        <f t="shared" si="553"/>
        <v>#VALUE!</v>
      </c>
      <c r="DC226"/>
      <c r="DD226"/>
      <c r="DE226"/>
      <c r="DF226"/>
      <c r="DG226"/>
      <c r="DH226"/>
      <c r="DI226"/>
      <c r="DJ226"/>
      <c r="DK226"/>
      <c r="DL226"/>
      <c r="DM226"/>
      <c r="DN226"/>
      <c r="DO226"/>
    </row>
    <row r="227" spans="1:119" s="699" customFormat="1" ht="12.75" customHeight="1">
      <c r="A227" s="665" t="str">
        <f>"Q" &amp; ROW(InputQ!A10)</f>
        <v>Q10</v>
      </c>
      <c r="B227" s="1953" t="s">
        <v>1940</v>
      </c>
      <c r="C227" s="3071"/>
      <c r="D227" s="746"/>
      <c r="E227" s="3615" t="s">
        <v>1787</v>
      </c>
      <c r="F227" s="3633"/>
      <c r="G227" s="799">
        <f>InputQ!G10/1000</f>
        <v>1.0779367469879519</v>
      </c>
      <c r="H227" s="799">
        <f>InputQ!H10/1000</f>
        <v>1.0671628822984245</v>
      </c>
      <c r="I227" s="799">
        <f>InputQ!I10/1000</f>
        <v>1.1193524096385543</v>
      </c>
      <c r="J227" s="799">
        <f>InputQ!J10/1000</f>
        <v>1.1610576923076923</v>
      </c>
      <c r="K227" s="799">
        <f>InputQ!K10/1000</f>
        <v>1.2340998609823912</v>
      </c>
      <c r="L227" s="799">
        <f>InputQ!L10/1000</f>
        <v>1.290315106580167</v>
      </c>
      <c r="M227" s="799">
        <f>InputQ!M10/1000</f>
        <v>1.385339434661724</v>
      </c>
      <c r="N227" s="799">
        <f>InputQ!N10/1000</f>
        <v>1.4781916126042631</v>
      </c>
      <c r="O227" s="799">
        <f>InputQ!O10/1000</f>
        <v>1.5776181649675625</v>
      </c>
      <c r="P227" s="799">
        <f>InputQ!P10/1000</f>
        <v>1.6937847544022244</v>
      </c>
      <c r="Q227" s="799">
        <f>InputQ!Q10/1000</f>
        <v>1.7048482391102873</v>
      </c>
      <c r="R227" s="799">
        <f>InputQ!R10/1000</f>
        <v>1.7935298887859128</v>
      </c>
      <c r="S227" s="799">
        <f>InputQ!S10/1000</f>
        <v>1.8474281742354033</v>
      </c>
      <c r="T227" s="799">
        <f>InputQ!T10/1000</f>
        <v>1.8497161723818352</v>
      </c>
      <c r="U227" s="799">
        <f>InputQ!U10/1000</f>
        <v>1.8743917979610751</v>
      </c>
      <c r="V227" s="799">
        <f>InputQ!V10/1000</f>
        <v>1.643246061167748</v>
      </c>
      <c r="W227" s="799">
        <f>InputQ!W10/1000</f>
        <v>1.5583005097312328</v>
      </c>
      <c r="X227" s="799">
        <f>InputQ!X10/1000</f>
        <v>1.6137337812789618</v>
      </c>
      <c r="Y227" s="799">
        <f>InputQ!Y10/1000</f>
        <v>1.5832657553290082</v>
      </c>
      <c r="Z227" s="799">
        <f>InputQ!Z10/1000</f>
        <v>1.5414156626506024</v>
      </c>
      <c r="AA227" s="799">
        <f>InputQ!AA10/1000</f>
        <v>1.584974513438369</v>
      </c>
      <c r="AB227" s="799">
        <f>InputQ!AB10/1000</f>
        <v>1.5929969879518073</v>
      </c>
      <c r="AC227" s="799">
        <f>InputQ!AC10/1000</f>
        <v>1.7012859128822984</v>
      </c>
      <c r="AD227" s="799">
        <f>InputQ!AD10/1000</f>
        <v>1.7029657089898056</v>
      </c>
      <c r="AE227" s="799">
        <f>InputQ!AE10/1000</f>
        <v>1.8408537998146433</v>
      </c>
      <c r="AF227" s="799">
        <f>InputQ!AF10/1000</f>
        <v>1.8904077849860983</v>
      </c>
      <c r="AG227" s="799">
        <f>InputQ!AG10/1000</f>
        <v>1.965940685820204</v>
      </c>
      <c r="AH227" s="799">
        <f>InputQ!AH10/1000</f>
        <v>2.1130386932344765</v>
      </c>
      <c r="AI227" s="799">
        <f>InputQ!AI10/1000</f>
        <v>2.1773053753475442</v>
      </c>
      <c r="AJ227" s="799">
        <f>InputQ!AJ10/1000</f>
        <v>2.3408827618164967</v>
      </c>
      <c r="AK227" s="799">
        <f>InputQ!AK10/1000</f>
        <v>2.3221153846153846</v>
      </c>
      <c r="AL227" s="799">
        <f>InputQ!AL10/1000</f>
        <v>2.4178637627432811</v>
      </c>
      <c r="AM227" s="799">
        <f>InputQ!AM10/1000</f>
        <v>2.4491427247451343</v>
      </c>
      <c r="AN227" s="799">
        <f>InputQ!AN10/1000</f>
        <v>2.4241485171455053</v>
      </c>
      <c r="AO227" s="799">
        <f>InputQ!AO10/1000</f>
        <v>2.5226772474513437</v>
      </c>
      <c r="AP227" s="799">
        <f>InputQ!AP10/1000</f>
        <v>2.6362662187210382</v>
      </c>
      <c r="AQ227" s="799">
        <f>InputQ!AQ10/1000</f>
        <v>2.6648227525486563</v>
      </c>
      <c r="AR227" s="799">
        <f>InputQ!AR10/1000</f>
        <v>2.8150486561631136</v>
      </c>
      <c r="AS227" s="799">
        <f>InputQ!AS10/1000</f>
        <v>2.9284059314179798</v>
      </c>
      <c r="AT227" s="799">
        <f>InputQ!AT10/1000</f>
        <v>2.9964376737720113</v>
      </c>
      <c r="AU227" s="799">
        <f>InputQ!AU10/1000</f>
        <v>3.5524</v>
      </c>
      <c r="AV227" s="799">
        <f>InputQ!AV10/1000</f>
        <v>3.8249</v>
      </c>
      <c r="AW227" s="799">
        <f>InputQ!AW10/1000</f>
        <v>3.9149000000000003</v>
      </c>
      <c r="AX227" s="799">
        <f>InputQ!AX10/1000</f>
        <v>4.2856999999999994</v>
      </c>
      <c r="AY227" s="799">
        <f>InputQ!AY10/1000</f>
        <v>4.2988</v>
      </c>
      <c r="AZ227" s="799">
        <f>InputQ!AZ10/1000</f>
        <v>4.2541000000000002</v>
      </c>
      <c r="BA227" s="799">
        <f>InputQ!BA10/1000</f>
        <v>4.5179</v>
      </c>
      <c r="BB227" s="799">
        <f>InputQ!BB10/1000</f>
        <v>4.7205000000000004</v>
      </c>
      <c r="BC227" s="799">
        <f>InputQ!BC10/1000</f>
        <v>4.7086000000000006</v>
      </c>
      <c r="BD227" s="799">
        <f>InputQ!BD10/1000</f>
        <v>4.9444999999999997</v>
      </c>
      <c r="BE227" s="799">
        <f>InputQ!BE10/1000</f>
        <v>4.9571999999999994</v>
      </c>
      <c r="BF227" s="799">
        <f>InputQ!BF10/1000</f>
        <v>5.0981000000000005</v>
      </c>
      <c r="BG227" s="799">
        <f>InputQ!BG10/1000</f>
        <v>5.4121999999999995</v>
      </c>
      <c r="BH227" s="799">
        <f>InputQ!BH10/1000</f>
        <v>5.6598999999999995</v>
      </c>
      <c r="BI227" s="799">
        <f>InputQ!BI10/1000</f>
        <v>5.6408000000000005</v>
      </c>
      <c r="BJ227" s="799">
        <f>InputQ!BJ10/1000</f>
        <v>5.1716000000000006</v>
      </c>
      <c r="BK227" s="3065">
        <f t="shared" ref="BK227:BV227" si="554">+BJ227*(1+BK240/100)</f>
        <v>3.8961999999999999</v>
      </c>
      <c r="BL227" s="3065">
        <f t="shared" si="554"/>
        <v>3.8328000000000002</v>
      </c>
      <c r="BM227" s="3065">
        <f t="shared" si="554"/>
        <v>4.0282999999999998</v>
      </c>
      <c r="BN227" s="3065">
        <f t="shared" si="554"/>
        <v>4.1734</v>
      </c>
      <c r="BO227" s="3065">
        <f t="shared" si="554"/>
        <v>4.202</v>
      </c>
      <c r="BP227" s="3065">
        <f t="shared" si="554"/>
        <v>4.5721000000000007</v>
      </c>
      <c r="BQ227" s="3065">
        <f t="shared" si="554"/>
        <v>4.8536000000000001</v>
      </c>
      <c r="BR227" s="3065">
        <f t="shared" si="554"/>
        <v>5.2694999999999999</v>
      </c>
      <c r="BS227" s="3065">
        <f t="shared" si="554"/>
        <v>5.5288000000000004</v>
      </c>
      <c r="BT227" s="3065">
        <f t="shared" si="554"/>
        <v>5.3873999999999995</v>
      </c>
      <c r="BU227" s="3065">
        <f t="shared" si="554"/>
        <v>5.4032999999999998</v>
      </c>
      <c r="BV227" s="3065">
        <f t="shared" si="554"/>
        <v>5.4695999999999998</v>
      </c>
      <c r="BW227" s="3065">
        <f t="shared" ref="BW227:CD227" si="555">+BV227*(1+BW240/100)</f>
        <v>5.3171999999999988</v>
      </c>
      <c r="BX227" s="3065">
        <f t="shared" si="555"/>
        <v>5.2624999999999993</v>
      </c>
      <c r="BY227" s="3065">
        <f t="shared" si="555"/>
        <v>6.0242999999999993</v>
      </c>
      <c r="BZ227" s="3065">
        <f t="shared" si="555"/>
        <v>6.1990999999999996</v>
      </c>
      <c r="CA227" s="3065">
        <f t="shared" si="555"/>
        <v>6.3516999999999992</v>
      </c>
      <c r="CB227" s="3065">
        <f t="shared" si="555"/>
        <v>6.0376999999999992</v>
      </c>
      <c r="CC227" s="3065">
        <f t="shared" si="555"/>
        <v>6.3659999999999988</v>
      </c>
      <c r="CD227" s="3065">
        <f t="shared" si="555"/>
        <v>6.579299999999999</v>
      </c>
      <c r="CE227" s="3065">
        <f t="shared" ref="CE227:CL227" si="556">+CD227*(1+CE240/100)</f>
        <v>6.2537999999999991</v>
      </c>
      <c r="CF227" s="3065">
        <f t="shared" si="556"/>
        <v>6.4989999999999988</v>
      </c>
      <c r="CG227" s="3065">
        <f t="shared" si="556"/>
        <v>6.5823999999999989</v>
      </c>
      <c r="CH227" s="3065">
        <f t="shared" si="556"/>
        <v>6.6985999999999999</v>
      </c>
      <c r="CI227" s="3065">
        <f t="shared" si="556"/>
        <v>6.8022999999999989</v>
      </c>
      <c r="CJ227" s="3065">
        <f t="shared" si="556"/>
        <v>6.9772999999999996</v>
      </c>
      <c r="CK227" s="3065">
        <f t="shared" si="556"/>
        <v>6.9282999999999992</v>
      </c>
      <c r="CL227" s="3065">
        <f t="shared" si="556"/>
        <v>6.9745999999999997</v>
      </c>
      <c r="CM227" s="3065">
        <f t="shared" ref="CM227:CS227" si="557">+CL227*(1+CM240/100)</f>
        <v>6.9072999999999993</v>
      </c>
      <c r="CN227" s="3065">
        <f t="shared" si="557"/>
        <v>7.0656999999999988</v>
      </c>
      <c r="CO227" s="3065">
        <f t="shared" si="557"/>
        <v>7.1443999999999992</v>
      </c>
      <c r="CP227" s="3065">
        <f t="shared" si="557"/>
        <v>7.3040000000000003</v>
      </c>
      <c r="CQ227" s="3065">
        <f t="shared" si="557"/>
        <v>7.7539999999999996</v>
      </c>
      <c r="CR227" s="3065">
        <f t="shared" si="557"/>
        <v>7.9197999999999995</v>
      </c>
      <c r="CS227" s="3065">
        <f t="shared" si="557"/>
        <v>8.1814999999999998</v>
      </c>
      <c r="CT227" s="3065">
        <f>+CS227*(1+CT240/100)</f>
        <v>8.4259000000000004</v>
      </c>
      <c r="CU227" s="3065">
        <f t="shared" ref="CU227:DB227" si="558">+CT227*(1+CU240/100)</f>
        <v>8.4933072000000003</v>
      </c>
      <c r="CV227" s="3065">
        <f t="shared" si="558"/>
        <v>8.5612536576</v>
      </c>
      <c r="CW227" s="3065">
        <f t="shared" si="558"/>
        <v>8.6297436868608006</v>
      </c>
      <c r="CX227" s="3065">
        <f t="shared" si="558"/>
        <v>8.6944667645122564</v>
      </c>
      <c r="CY227" s="3065">
        <f t="shared" si="558"/>
        <v>8.8248837659799388</v>
      </c>
      <c r="CZ227" s="3065">
        <f t="shared" si="558"/>
        <v>8.9660819062356172</v>
      </c>
      <c r="DA227" s="3065">
        <f t="shared" si="558"/>
        <v>9.1095392167353868</v>
      </c>
      <c r="DB227" s="3065">
        <f t="shared" si="558"/>
        <v>9.2552918442031533</v>
      </c>
      <c r="DC227"/>
      <c r="DD227"/>
      <c r="DE227"/>
      <c r="DF227"/>
      <c r="DG227"/>
      <c r="DH227"/>
      <c r="DI227"/>
      <c r="DJ227"/>
      <c r="DK227"/>
      <c r="DL227"/>
      <c r="DM227"/>
      <c r="DN227"/>
      <c r="DO227"/>
    </row>
    <row r="228" spans="1:119" s="699" customFormat="1" ht="12.75" customHeight="1">
      <c r="A228" s="664" t="str">
        <f>"Q" &amp; ROW(InputQ!A10)</f>
        <v>Q10</v>
      </c>
      <c r="C228" s="667"/>
      <c r="D228" s="668"/>
      <c r="E228" s="3620" t="s">
        <v>1787</v>
      </c>
      <c r="F228" s="3620"/>
      <c r="G228" s="780">
        <f>InputQ!G10/1000</f>
        <v>1.0779367469879519</v>
      </c>
      <c r="H228" s="780">
        <f>InputQ!H10/1000</f>
        <v>1.0671628822984245</v>
      </c>
      <c r="I228" s="780">
        <f>InputQ!I10/1000</f>
        <v>1.1193524096385543</v>
      </c>
      <c r="J228" s="780">
        <f>InputQ!J10/1000</f>
        <v>1.1610576923076923</v>
      </c>
      <c r="K228" s="780">
        <f>InputQ!K10/1000</f>
        <v>1.2340998609823912</v>
      </c>
      <c r="L228" s="780">
        <f>InputQ!L10/1000</f>
        <v>1.290315106580167</v>
      </c>
      <c r="M228" s="780">
        <f>InputQ!M10/1000</f>
        <v>1.385339434661724</v>
      </c>
      <c r="N228" s="780">
        <f>InputQ!N10/1000</f>
        <v>1.4781916126042631</v>
      </c>
      <c r="O228" s="780">
        <f>InputQ!O10/1000</f>
        <v>1.5776181649675625</v>
      </c>
      <c r="P228" s="780">
        <f>InputQ!P10/1000</f>
        <v>1.6937847544022244</v>
      </c>
      <c r="Q228" s="780">
        <f>InputQ!Q10/1000</f>
        <v>1.7048482391102873</v>
      </c>
      <c r="R228" s="780">
        <f>InputQ!R10/1000</f>
        <v>1.7935298887859128</v>
      </c>
      <c r="S228" s="780">
        <f>InputQ!S10/1000</f>
        <v>1.8474281742354033</v>
      </c>
      <c r="T228" s="780">
        <f>InputQ!T10/1000</f>
        <v>1.8497161723818352</v>
      </c>
      <c r="U228" s="780">
        <f>InputQ!U10/1000</f>
        <v>1.8743917979610751</v>
      </c>
      <c r="V228" s="780">
        <f>InputQ!V10/1000</f>
        <v>1.643246061167748</v>
      </c>
      <c r="W228" s="780">
        <f>InputQ!W10/1000</f>
        <v>1.5583005097312328</v>
      </c>
      <c r="X228" s="780">
        <f>InputQ!X10/1000</f>
        <v>1.6137337812789618</v>
      </c>
      <c r="Y228" s="780">
        <f>InputQ!Y10/1000</f>
        <v>1.5832657553290082</v>
      </c>
      <c r="Z228" s="780">
        <f>InputQ!Z10/1000</f>
        <v>1.5414156626506024</v>
      </c>
      <c r="AA228" s="780">
        <f>InputQ!AA10/1000</f>
        <v>1.584974513438369</v>
      </c>
      <c r="AB228" s="780">
        <f>InputQ!AB10/1000</f>
        <v>1.5929969879518073</v>
      </c>
      <c r="AC228" s="780">
        <f>InputQ!AC10/1000</f>
        <v>1.7012859128822984</v>
      </c>
      <c r="AD228" s="780">
        <f>InputQ!AD10/1000</f>
        <v>1.7029657089898056</v>
      </c>
      <c r="AE228" s="780">
        <f>InputQ!AE10/1000</f>
        <v>1.8408537998146433</v>
      </c>
      <c r="AF228" s="780">
        <f>InputQ!AF10/1000</f>
        <v>1.8904077849860983</v>
      </c>
      <c r="AG228" s="780">
        <f>InputQ!AG10/1000</f>
        <v>1.965940685820204</v>
      </c>
      <c r="AH228" s="780">
        <f>InputQ!AH10/1000</f>
        <v>2.1130386932344765</v>
      </c>
      <c r="AI228" s="780">
        <f>InputQ!AI10/1000</f>
        <v>2.1773053753475442</v>
      </c>
      <c r="AJ228" s="780">
        <f>InputQ!AJ10/1000</f>
        <v>2.3408827618164967</v>
      </c>
      <c r="AK228" s="780">
        <f>InputQ!AK10/1000</f>
        <v>2.3221153846153846</v>
      </c>
      <c r="AL228" s="780">
        <f>InputQ!AL10/1000</f>
        <v>2.4178637627432811</v>
      </c>
      <c r="AM228" s="780">
        <f>InputQ!AM10/1000</f>
        <v>2.4491427247451343</v>
      </c>
      <c r="AN228" s="780">
        <f>InputQ!AN10/1000</f>
        <v>2.4241485171455053</v>
      </c>
      <c r="AO228" s="780">
        <f>InputQ!AO10/1000</f>
        <v>2.5226772474513437</v>
      </c>
      <c r="AP228" s="780">
        <f>InputQ!AP10/1000</f>
        <v>2.6362662187210382</v>
      </c>
      <c r="AQ228" s="780">
        <f>InputQ!AQ10/1000</f>
        <v>2.6648227525486563</v>
      </c>
      <c r="AR228" s="780">
        <f>InputQ!AR10/1000</f>
        <v>2.8150486561631136</v>
      </c>
      <c r="AS228" s="780">
        <f>InputQ!AS10/1000</f>
        <v>2.9284059314179798</v>
      </c>
      <c r="AT228" s="780">
        <f>InputQ!AT10/1000</f>
        <v>2.9964376737720113</v>
      </c>
      <c r="AU228" s="780">
        <f>InputQ!AU10/1000</f>
        <v>3.5524</v>
      </c>
      <c r="AV228" s="780">
        <f>InputQ!AV10/1000</f>
        <v>3.8249</v>
      </c>
      <c r="AW228" s="780">
        <f>InputQ!AW10/1000</f>
        <v>3.9149000000000003</v>
      </c>
      <c r="AX228" s="780">
        <f>InputQ!AX10/1000</f>
        <v>4.2856999999999994</v>
      </c>
      <c r="AY228" s="780">
        <f>InputQ!AY10/1000</f>
        <v>4.2988</v>
      </c>
      <c r="AZ228" s="780">
        <f>InputQ!AZ10/1000</f>
        <v>4.2541000000000002</v>
      </c>
      <c r="BA228" s="780">
        <f>InputQ!BA10/1000</f>
        <v>4.5179</v>
      </c>
      <c r="BB228" s="780">
        <f>InputQ!BB10/1000</f>
        <v>4.7205000000000004</v>
      </c>
      <c r="BC228" s="780">
        <f>InputQ!BC10/1000</f>
        <v>4.7086000000000006</v>
      </c>
      <c r="BD228" s="780">
        <f>InputQ!BD10/1000</f>
        <v>4.9444999999999997</v>
      </c>
      <c r="BE228" s="780">
        <f>InputQ!BE10/1000</f>
        <v>4.9571999999999994</v>
      </c>
      <c r="BF228" s="780">
        <f>InputQ!BF10/1000</f>
        <v>5.0981000000000005</v>
      </c>
      <c r="BG228" s="780">
        <f>InputQ!BG10/1000</f>
        <v>5.4121999999999995</v>
      </c>
      <c r="BH228" s="780">
        <f>InputQ!BH10/1000</f>
        <v>5.6598999999999995</v>
      </c>
      <c r="BI228" s="780">
        <f>InputQ!BI10/1000</f>
        <v>5.6408000000000005</v>
      </c>
      <c r="BJ228" s="780">
        <f>InputQ!BJ10/1000</f>
        <v>5.1716000000000006</v>
      </c>
      <c r="BK228" s="780">
        <f>InputQ!BK10/1000</f>
        <v>3.8961999999999999</v>
      </c>
      <c r="BL228" s="780">
        <f>InputQ!BL10/1000</f>
        <v>3.8328000000000002</v>
      </c>
      <c r="BM228" s="780">
        <f>InputQ!BM10/1000</f>
        <v>4.0282999999999998</v>
      </c>
      <c r="BN228" s="780">
        <f>InputQ!BN10/1000</f>
        <v>4.1734</v>
      </c>
      <c r="BO228" s="780">
        <f>InputQ!BO10/1000</f>
        <v>4.202</v>
      </c>
      <c r="BP228" s="780">
        <f>InputQ!BP10/1000</f>
        <v>4.5721000000000007</v>
      </c>
      <c r="BQ228" s="780">
        <f>InputQ!BQ10/1000</f>
        <v>4.8536000000000001</v>
      </c>
      <c r="BR228" s="780">
        <f>InputQ!BR10/1000</f>
        <v>5.2694999999999999</v>
      </c>
      <c r="BS228" s="780">
        <f>InputQ!BS10/1000</f>
        <v>5.5288000000000004</v>
      </c>
      <c r="BT228" s="780">
        <f>InputQ!BT10/1000</f>
        <v>5.3873999999999995</v>
      </c>
      <c r="BU228" s="780">
        <f>InputQ!BU10/1000</f>
        <v>5.4032999999999998</v>
      </c>
      <c r="BV228" s="780">
        <f>InputQ!BV10/1000</f>
        <v>5.4696000000000007</v>
      </c>
      <c r="BW228" s="780">
        <f>InputQ!BW10/1000</f>
        <v>5.3171999999999997</v>
      </c>
      <c r="BX228" s="780">
        <f>InputQ!BX10/1000</f>
        <v>5.2625000000000002</v>
      </c>
      <c r="BY228" s="780">
        <f>InputQ!BY10/1000</f>
        <v>6.0243000000000002</v>
      </c>
      <c r="BZ228" s="780">
        <f>InputQ!BZ10/1000</f>
        <v>6.1991000000000005</v>
      </c>
      <c r="CA228" s="780">
        <f>InputQ!CA10/1000</f>
        <v>6.3517000000000001</v>
      </c>
      <c r="CB228" s="780">
        <f>InputQ!CB10/1000</f>
        <v>6.0377000000000001</v>
      </c>
      <c r="CC228" s="780">
        <f>InputQ!CC10/1000</f>
        <v>6.3659999999999997</v>
      </c>
      <c r="CD228" s="780">
        <f>InputQ!CD10/1000</f>
        <v>6.5792999999999999</v>
      </c>
      <c r="CE228" s="780">
        <f>InputQ!CE10/1000</f>
        <v>6.2538</v>
      </c>
      <c r="CF228" s="780">
        <f>InputQ!CF10/1000</f>
        <v>6.4989999999999997</v>
      </c>
      <c r="CG228" s="780">
        <f>InputQ!CG10/1000</f>
        <v>6.5823999999999998</v>
      </c>
      <c r="CH228" s="780">
        <f>InputQ!CH10/1000</f>
        <v>6.6986000000000008</v>
      </c>
      <c r="CI228" s="780">
        <f>InputQ!CI10/1000</f>
        <v>6.8022999999999998</v>
      </c>
      <c r="CJ228" s="780">
        <f>InputQ!CJ10/1000</f>
        <v>6.9773000000000005</v>
      </c>
      <c r="CK228" s="780">
        <f>InputQ!CK10/1000</f>
        <v>6.9283000000000001</v>
      </c>
      <c r="CL228" s="780">
        <f>InputQ!CL10/1000</f>
        <v>6.9746000000000006</v>
      </c>
      <c r="CM228" s="780">
        <f>InputQ!CM10/1000</f>
        <v>6.9073000000000002</v>
      </c>
      <c r="CN228" s="780">
        <f>InputQ!CN10/1000</f>
        <v>7.0656999999999996</v>
      </c>
      <c r="CO228" s="780">
        <f>InputQ!CO10/1000</f>
        <v>7.1443999999999992</v>
      </c>
      <c r="CP228" s="780">
        <f>InputQ!CP10/1000</f>
        <v>7.3040000000000003</v>
      </c>
      <c r="CQ228" s="780">
        <f>InputQ!CQ10/1000</f>
        <v>7.7539999999999996</v>
      </c>
      <c r="CR228" s="780">
        <f>InputQ!CR10/1000</f>
        <v>7.9198000000000004</v>
      </c>
      <c r="CS228" s="780">
        <f>InputQ!CS10/1000</f>
        <v>8.1814999999999998</v>
      </c>
      <c r="CT228" s="780">
        <f>InputQ!CT10/1000</f>
        <v>8.4259000000000004</v>
      </c>
      <c r="CU228" s="1591">
        <f t="shared" ref="CU228:CX228" si="559">CT228*(1+CU241/100)</f>
        <v>8.4933072000000003</v>
      </c>
      <c r="CV228" s="1591">
        <f t="shared" si="559"/>
        <v>8.5612536576</v>
      </c>
      <c r="CW228" s="1591">
        <f t="shared" si="559"/>
        <v>8.6297436868608006</v>
      </c>
      <c r="CX228" s="1591">
        <f t="shared" si="559"/>
        <v>8.6944667645122564</v>
      </c>
      <c r="CY228" s="1591">
        <f t="shared" ref="CY228" si="560">CX228*(1+CY241/100)</f>
        <v>8.8248837659799388</v>
      </c>
      <c r="CZ228" s="1591">
        <f t="shared" ref="CZ228" si="561">CY228*(1+CZ241/100)</f>
        <v>8.9660819062356172</v>
      </c>
      <c r="DA228" s="1591">
        <f t="shared" ref="DA228" si="562">CZ228*(1+DA241/100)</f>
        <v>9.1095392167353868</v>
      </c>
      <c r="DB228" s="1591">
        <f t="shared" ref="DB228" si="563">DA228*(1+DB241/100)</f>
        <v>9.2552918442031533</v>
      </c>
      <c r="DC228"/>
      <c r="DD228"/>
      <c r="DE228"/>
      <c r="DF228"/>
      <c r="DG228"/>
      <c r="DH228"/>
      <c r="DI228"/>
      <c r="DJ228"/>
      <c r="DK228"/>
      <c r="DL228"/>
      <c r="DM228"/>
      <c r="DN228"/>
      <c r="DO228"/>
    </row>
    <row r="229" spans="1:119" s="26" customFormat="1" ht="12.75" customHeight="1">
      <c r="A229" s="664"/>
      <c r="B229" s="673"/>
      <c r="C229" s="687"/>
      <c r="D229" s="683"/>
      <c r="E229" s="684" t="s">
        <v>266</v>
      </c>
      <c r="F229" s="685"/>
      <c r="G229" s="1570"/>
      <c r="H229" s="1571"/>
      <c r="I229" s="1571"/>
      <c r="J229" s="1575">
        <f>SUM(G228:J228)</f>
        <v>4.4255097312326228</v>
      </c>
      <c r="K229" s="1570"/>
      <c r="L229" s="1571"/>
      <c r="M229" s="1571"/>
      <c r="N229" s="1575">
        <f>SUM(K228:N228)</f>
        <v>5.387946014828545</v>
      </c>
      <c r="O229" s="1570"/>
      <c r="P229" s="1571"/>
      <c r="Q229" s="1571"/>
      <c r="R229" s="1575">
        <f>SUM(O228:R228)</f>
        <v>6.7697810472659867</v>
      </c>
      <c r="S229" s="1570"/>
      <c r="T229" s="1571"/>
      <c r="U229" s="1571"/>
      <c r="V229" s="1575">
        <f>SUM(S228:V228)</f>
        <v>7.2147822057460615</v>
      </c>
      <c r="W229" s="1570"/>
      <c r="X229" s="1571"/>
      <c r="Y229" s="1571"/>
      <c r="Z229" s="1575">
        <f>SUM(W228:Z228)</f>
        <v>6.2967157089898054</v>
      </c>
      <c r="AA229" s="1570"/>
      <c r="AB229" s="1571"/>
      <c r="AC229" s="1571"/>
      <c r="AD229" s="1575">
        <f>SUM(AA228:AD228)</f>
        <v>6.5822231232622803</v>
      </c>
      <c r="AE229" s="1570"/>
      <c r="AF229" s="1571"/>
      <c r="AG229" s="1571"/>
      <c r="AH229" s="1575">
        <f>SUM(AE228:AH228)</f>
        <v>7.8102409638554215</v>
      </c>
      <c r="AI229" s="1570"/>
      <c r="AJ229" s="1571"/>
      <c r="AK229" s="1571"/>
      <c r="AL229" s="1575">
        <f>SUM(AI228:AL228)</f>
        <v>9.2581672845227061</v>
      </c>
      <c r="AM229" s="1570"/>
      <c r="AN229" s="1571"/>
      <c r="AO229" s="1571"/>
      <c r="AP229" s="1575">
        <f>SUM(AM228:AP228)</f>
        <v>10.032234708063021</v>
      </c>
      <c r="AQ229" s="1570"/>
      <c r="AR229" s="1571"/>
      <c r="AS229" s="1571"/>
      <c r="AT229" s="1575">
        <f>SUM(AQ228:AT228)</f>
        <v>11.404715013901761</v>
      </c>
      <c r="AU229" s="1570"/>
      <c r="AV229" s="1571"/>
      <c r="AW229" s="1571"/>
      <c r="AX229" s="1575">
        <f>SUM(AU228:AX228)</f>
        <v>15.5779</v>
      </c>
      <c r="AY229" s="1570"/>
      <c r="AZ229" s="1571"/>
      <c r="BA229" s="1571"/>
      <c r="BB229" s="1575">
        <f>SUM(AY228:BB228)</f>
        <v>17.791300000000003</v>
      </c>
      <c r="BC229" s="1570"/>
      <c r="BD229" s="1571"/>
      <c r="BE229" s="1571"/>
      <c r="BF229" s="1575">
        <f>SUM(BC228:BF228)</f>
        <v>19.708399999999997</v>
      </c>
      <c r="BG229" s="1570"/>
      <c r="BH229" s="1571"/>
      <c r="BI229" s="1571"/>
      <c r="BJ229" s="1575">
        <f>SUM(BG228:BJ228)</f>
        <v>21.884499999999999</v>
      </c>
      <c r="BK229" s="1570"/>
      <c r="BL229" s="1571"/>
      <c r="BM229" s="1571"/>
      <c r="BN229" s="1575">
        <f>SUM(BK228:BN228)</f>
        <v>15.930700000000002</v>
      </c>
      <c r="BO229" s="1570"/>
      <c r="BP229" s="1571"/>
      <c r="BQ229" s="1571"/>
      <c r="BR229" s="1575">
        <f>SUM(BO228:BR228)</f>
        <v>18.897200000000002</v>
      </c>
      <c r="BS229" s="1570"/>
      <c r="BT229" s="1571"/>
      <c r="BU229" s="1571"/>
      <c r="BV229" s="1575">
        <f>SUM(BS228:BV228)</f>
        <v>21.789099999999998</v>
      </c>
      <c r="BW229" s="1570"/>
      <c r="BX229" s="1571"/>
      <c r="BY229" s="1571"/>
      <c r="BZ229" s="1575">
        <f>SUM(BW228:BZ228)</f>
        <v>22.803100000000001</v>
      </c>
      <c r="CA229" s="1570"/>
      <c r="CB229" s="1571"/>
      <c r="CC229" s="1571"/>
      <c r="CD229" s="1575">
        <f>SUM(CA228:CD228)</f>
        <v>25.334700000000002</v>
      </c>
      <c r="CE229" s="1570"/>
      <c r="CF229" s="1571"/>
      <c r="CG229" s="1571"/>
      <c r="CH229" s="1575">
        <f>SUM(CE228:CH228)</f>
        <v>26.033799999999999</v>
      </c>
      <c r="CI229" s="1570"/>
      <c r="CJ229" s="1571"/>
      <c r="CK229" s="1571"/>
      <c r="CL229" s="1575">
        <f>SUM(CI228:CL228)</f>
        <v>27.682500000000005</v>
      </c>
      <c r="CM229" s="1570"/>
      <c r="CN229" s="1571"/>
      <c r="CO229" s="1571"/>
      <c r="CP229" s="1575">
        <f>SUM(CM228:CP228)</f>
        <v>28.421399999999998</v>
      </c>
      <c r="CQ229" s="1570"/>
      <c r="CR229" s="1571"/>
      <c r="CS229" s="1571"/>
      <c r="CT229" s="1575">
        <f>SUM(CQ228:CT228)</f>
        <v>32.281199999999998</v>
      </c>
      <c r="CU229" s="1570"/>
      <c r="CV229" s="1571"/>
      <c r="CW229" s="1571"/>
      <c r="CX229" s="1575">
        <f>SUM(CU228:CX228)</f>
        <v>34.378771308973057</v>
      </c>
      <c r="CY229" s="1570"/>
      <c r="CZ229" s="1571"/>
      <c r="DA229" s="1571"/>
      <c r="DB229" s="1575">
        <f>SUM(CY228:DB228)</f>
        <v>36.155796733154091</v>
      </c>
      <c r="DC229"/>
      <c r="DD229"/>
      <c r="DE229"/>
      <c r="DF229"/>
      <c r="DG229"/>
      <c r="DH229"/>
      <c r="DI229"/>
      <c r="DJ229"/>
      <c r="DK229"/>
      <c r="DL229"/>
      <c r="DM229"/>
      <c r="DN229"/>
      <c r="DO229"/>
    </row>
    <row r="230" spans="1:119" s="699" customFormat="1" ht="12.75" customHeight="1">
      <c r="A230" s="664"/>
      <c r="B230" s="664"/>
      <c r="C230" s="669"/>
      <c r="D230" s="679"/>
      <c r="E230" s="1572" t="s">
        <v>1847</v>
      </c>
      <c r="F230" s="679"/>
      <c r="G230" s="1573"/>
      <c r="H230" s="2839" t="s">
        <v>757</v>
      </c>
      <c r="I230" s="2840">
        <f ca="1">+J230/J229*100</f>
        <v>110.96390767107245</v>
      </c>
      <c r="J230" s="1574">
        <f ca="1">OFFSET('VVP2'!$G$105,0,(COLUMN()-10)/4)</f>
        <v>4.9107185321392937</v>
      </c>
      <c r="K230" s="1573"/>
      <c r="L230" s="2839" t="s">
        <v>757</v>
      </c>
      <c r="M230" s="2840">
        <f ca="1">+N230/N229*100</f>
        <v>112.25695652254217</v>
      </c>
      <c r="N230" s="1574">
        <f ca="1">OFFSET('VVP2'!$G$105,0,(COLUMN()-10)/4)</f>
        <v>6.0483442153241231</v>
      </c>
      <c r="O230" s="1573"/>
      <c r="P230" s="2839" t="s">
        <v>757</v>
      </c>
      <c r="Q230" s="2840">
        <f ca="1">+R230/R229*100</f>
        <v>111.64898218072565</v>
      </c>
      <c r="R230" s="1574">
        <f ca="1">OFFSET('VVP2'!$G$105,0,(COLUMN()-10)/4)</f>
        <v>7.558391635136144</v>
      </c>
      <c r="S230" s="1573"/>
      <c r="T230" s="2839" t="s">
        <v>757</v>
      </c>
      <c r="U230" s="2840">
        <f ca="1">+V230/V229*100</f>
        <v>111.19520806953216</v>
      </c>
      <c r="V230" s="1574">
        <f ca="1">OFFSET('VVP2'!$G$105,0,(COLUMN()-10)/4)</f>
        <v>8.0224920854429147</v>
      </c>
      <c r="W230" s="1573"/>
      <c r="X230" s="2839" t="s">
        <v>757</v>
      </c>
      <c r="Y230" s="2840">
        <f ca="1">+Z230/Z229*100</f>
        <v>111.67111252328412</v>
      </c>
      <c r="Z230" s="1574">
        <f ca="1">OFFSET('VVP2'!$G$105,0,(COLUMN()-10)/4)</f>
        <v>7.0316124846573125</v>
      </c>
      <c r="AA230" s="1573"/>
      <c r="AB230" s="2839" t="s">
        <v>757</v>
      </c>
      <c r="AC230" s="2840">
        <f ca="1">+AD230/AD229*100</f>
        <v>112.14312385556011</v>
      </c>
      <c r="AD230" s="1574">
        <f ca="1">OFFSET('VVP2'!$G$105,0,(COLUMN()-10)/4)</f>
        <v>7.3815106295693358</v>
      </c>
      <c r="AE230" s="1573"/>
      <c r="AF230" s="2839" t="s">
        <v>757</v>
      </c>
      <c r="AG230" s="2840">
        <f ca="1">+AH230/AH229*100</f>
        <v>111.1221332714511</v>
      </c>
      <c r="AH230" s="1574">
        <f ca="1">OFFSET('VVP2'!$G$105,0,(COLUMN()-10)/4)</f>
        <v>8.6789063726768898</v>
      </c>
      <c r="AI230" s="1573"/>
      <c r="AJ230" s="2839" t="s">
        <v>757</v>
      </c>
      <c r="AK230" s="2840">
        <f ca="1">+AL230/AL229*100</f>
        <v>111.16291432545309</v>
      </c>
      <c r="AL230" s="1574">
        <f ca="1">OFFSET('VVP2'!$G$105,0,(COLUMN()-10)/4)</f>
        <v>10.291648566601102</v>
      </c>
      <c r="AM230" s="1573"/>
      <c r="AN230" s="2839" t="s">
        <v>757</v>
      </c>
      <c r="AO230" s="2840">
        <f ca="1">+AP230/AP229*100</f>
        <v>111.6711027075947</v>
      </c>
      <c r="AP230" s="1574">
        <f ca="1">OFFSET('VVP2'!$G$105,0,(COLUMN()-10)/4)</f>
        <v>11.203107124708019</v>
      </c>
      <c r="AQ230" s="1573"/>
      <c r="AR230" s="2839" t="s">
        <v>757</v>
      </c>
      <c r="AS230" s="2840">
        <f ca="1">+AT230/AT229*100</f>
        <v>113.10488674444237</v>
      </c>
      <c r="AT230" s="1574">
        <f ca="1">OFFSET('VVP2'!$G$105,0,(COLUMN()-10)/4)</f>
        <v>12.899290000000001</v>
      </c>
      <c r="AU230" s="1573"/>
      <c r="AV230" s="2839" t="s">
        <v>757</v>
      </c>
      <c r="AW230" s="2840">
        <f ca="1">+AX230/AX229*100</f>
        <v>99.64789862561706</v>
      </c>
      <c r="AX230" s="1574">
        <f ca="1">OFFSET('VVP2'!$G$105,0,(COLUMN()-10)/4)</f>
        <v>15.52305</v>
      </c>
      <c r="AY230" s="1573"/>
      <c r="AZ230" s="2839" t="s">
        <v>757</v>
      </c>
      <c r="BA230" s="2840">
        <f ca="1">+BB230/BB229*100</f>
        <v>99.691590833722074</v>
      </c>
      <c r="BB230" s="1574">
        <f ca="1">OFFSET('VVP2'!$G$105,0,(COLUMN()-10)/4)</f>
        <v>17.736429999999999</v>
      </c>
      <c r="BC230" s="1573"/>
      <c r="BD230" s="2839" t="s">
        <v>757</v>
      </c>
      <c r="BE230" s="2840">
        <f ca="1">+BF230/BF229*100</f>
        <v>99.721641533559307</v>
      </c>
      <c r="BF230" s="1574">
        <f ca="1">OFFSET('VVP2'!$G$105,0,(COLUMN()-10)/4)</f>
        <v>19.65354</v>
      </c>
      <c r="BG230" s="1573"/>
      <c r="BH230" s="2839" t="s">
        <v>757</v>
      </c>
      <c r="BI230" s="2840">
        <f ca="1">+BJ230/BJ229*100</f>
        <v>100.75085105896868</v>
      </c>
      <c r="BJ230" s="1574">
        <f ca="1">OFFSET('VVP2'!$G$105,0,(COLUMN()-10)/4)</f>
        <v>22.048819999999999</v>
      </c>
      <c r="BK230" s="1573"/>
      <c r="BL230" s="2839" t="s">
        <v>757</v>
      </c>
      <c r="BM230" s="2840">
        <f ca="1">+BN230/BN229*100</f>
        <v>99.65569623431486</v>
      </c>
      <c r="BN230" s="1574">
        <f ca="1">OFFSET('VVP2'!$G$105,0,(COLUMN()-10)/4)</f>
        <v>15.87585</v>
      </c>
      <c r="BO230" s="1573"/>
      <c r="BP230" s="2839" t="s">
        <v>757</v>
      </c>
      <c r="BQ230" s="2840">
        <f ca="1">+BR230/BR229*100</f>
        <v>99.6977859153737</v>
      </c>
      <c r="BR230" s="1574">
        <f ca="1">OFFSET('VVP2'!$G$105,0,(COLUMN()-10)/4)</f>
        <v>18.84009</v>
      </c>
      <c r="BS230" s="1573"/>
      <c r="BT230" s="2839" t="s">
        <v>757</v>
      </c>
      <c r="BU230" s="2840">
        <f ca="1">+BV230/BV229*100</f>
        <v>99.441417956684774</v>
      </c>
      <c r="BV230" s="1574">
        <f ca="1">OFFSET('VVP2'!$G$105,0,(COLUMN()-10)/4)</f>
        <v>21.667390000000001</v>
      </c>
      <c r="BW230" s="1573"/>
      <c r="BX230" s="2839" t="s">
        <v>757</v>
      </c>
      <c r="BY230" s="2840">
        <f ca="1">+BZ230/BZ229*100</f>
        <v>101.33350290092136</v>
      </c>
      <c r="BZ230" s="1574">
        <f ca="1">OFFSET('VVP2'!$G$105,0,(COLUMN()-10)/4)</f>
        <v>23.10718</v>
      </c>
      <c r="CA230" s="1573"/>
      <c r="CB230" s="2839" t="s">
        <v>757</v>
      </c>
      <c r="CC230" s="2840">
        <f ca="1">+CD230/CD229*100</f>
        <v>99.519157519133842</v>
      </c>
      <c r="CD230" s="1574">
        <f ca="1">OFFSET('VVP2'!$G$105,0,(COLUMN()-10)/4)</f>
        <v>25.212880000000002</v>
      </c>
      <c r="CE230" s="1573"/>
      <c r="CF230" s="2839" t="s">
        <v>757</v>
      </c>
      <c r="CG230" s="2840">
        <f ca="1">+CH230/CH229*100</f>
        <v>99.845508531217121</v>
      </c>
      <c r="CH230" s="1574">
        <f ca="1">OFFSET('VVP2'!$G$105,0,(COLUMN()-10)/4)</f>
        <v>25.993580000000001</v>
      </c>
      <c r="CI230" s="1573"/>
      <c r="CJ230" s="2839" t="s">
        <v>757</v>
      </c>
      <c r="CK230" s="2840">
        <f ca="1">+CL230/CL229*100</f>
        <v>99.721267949065279</v>
      </c>
      <c r="CL230" s="1574">
        <f ca="1">OFFSET('VVP2'!$G$105,0,(COLUMN()-10)/4)</f>
        <v>27.605340000000002</v>
      </c>
      <c r="CM230" s="1573"/>
      <c r="CN230" s="2839" t="s">
        <v>757</v>
      </c>
      <c r="CO230" s="2840">
        <f ca="1">+CP230/CP229*100</f>
        <v>100.55521543625578</v>
      </c>
      <c r="CP230" s="1574">
        <f ca="1">OFFSET('VVP2'!$G$105,0,(COLUMN()-10)/4)</f>
        <v>28.5792</v>
      </c>
      <c r="CQ230" s="1573"/>
      <c r="CR230" s="2839" t="s">
        <v>757</v>
      </c>
      <c r="CS230" s="2840">
        <f ca="1">+CT230/CT229*100</f>
        <v>99.875035624450149</v>
      </c>
      <c r="CT230" s="1574">
        <f ca="1">OFFSET('VVP2'!$G$105,0,(COLUMN()-10)/4)</f>
        <v>32.240859999999998</v>
      </c>
      <c r="CU230" s="1573"/>
      <c r="CV230" s="2839" t="s">
        <v>757</v>
      </c>
      <c r="CW230" s="2840">
        <f ca="1">+CX230/CX229*100</f>
        <v>99.877088658598908</v>
      </c>
      <c r="CX230" s="1574">
        <f ca="1">OFFSET('VVP2'!$G$105,0,(COLUMN()-10)/4)</f>
        <v>34.336515899999988</v>
      </c>
      <c r="CY230" s="1573"/>
      <c r="CZ230" s="2839" t="s">
        <v>757</v>
      </c>
      <c r="DA230" s="2840">
        <f ca="1">+DB230/DB229*100</f>
        <v>99.860228259814861</v>
      </c>
      <c r="DB230" s="1574">
        <f ca="1">OFFSET('VVP2'!$G$105,0,(COLUMN()-10)/4)</f>
        <v>36.105261146882356</v>
      </c>
      <c r="DC230"/>
      <c r="DD230"/>
      <c r="DE230"/>
      <c r="DF230"/>
      <c r="DG230"/>
      <c r="DH230"/>
      <c r="DI230"/>
      <c r="DJ230"/>
      <c r="DK230"/>
      <c r="DL230"/>
      <c r="DM230"/>
      <c r="DN230"/>
      <c r="DO230"/>
    </row>
    <row r="231" spans="1:119" ht="12.75" customHeight="1">
      <c r="A231" s="664"/>
      <c r="E231" s="599"/>
      <c r="F231" s="3617"/>
      <c r="AY231" s="217"/>
      <c r="BA231" s="217"/>
      <c r="BB231" s="217"/>
      <c r="BC231" s="217"/>
      <c r="BD231" s="217"/>
      <c r="BE231" s="217"/>
      <c r="BF231" s="217"/>
      <c r="BG231" s="217"/>
      <c r="BH231" s="217"/>
      <c r="BI231" s="217"/>
      <c r="BJ231" s="217"/>
      <c r="CM231" s="557"/>
      <c r="CN231" s="557"/>
      <c r="CO231" s="557"/>
      <c r="CP231" s="557"/>
      <c r="CQ231" s="557"/>
      <c r="CR231" s="557"/>
      <c r="CS231" s="557"/>
      <c r="CT231" s="557"/>
      <c r="CU231" s="557"/>
      <c r="CV231" s="557"/>
      <c r="CW231" s="557"/>
      <c r="CX231" s="557"/>
      <c r="CY231" s="557"/>
      <c r="CZ231" s="557"/>
      <c r="DA231" s="557"/>
      <c r="DB231" s="557"/>
    </row>
    <row r="232" spans="1:119" s="699" customFormat="1" ht="12.75" customHeight="1">
      <c r="A232" s="664"/>
      <c r="B232" s="664"/>
      <c r="C232" s="1553"/>
      <c r="D232" s="742"/>
      <c r="E232" s="3384" t="s">
        <v>762</v>
      </c>
      <c r="F232" s="3622"/>
      <c r="G232" s="1578" t="str">
        <f t="shared" ref="G232:N232" si="564">G219</f>
        <v>Q1</v>
      </c>
      <c r="H232" s="1579" t="str">
        <f t="shared" si="564"/>
        <v>Q2</v>
      </c>
      <c r="I232" s="1579" t="str">
        <f t="shared" si="564"/>
        <v>Q3</v>
      </c>
      <c r="J232" s="1580" t="str">
        <f t="shared" si="564"/>
        <v>Q4</v>
      </c>
      <c r="K232" s="1578" t="str">
        <f t="shared" si="564"/>
        <v>Q1</v>
      </c>
      <c r="L232" s="1579" t="str">
        <f t="shared" si="564"/>
        <v>Q2</v>
      </c>
      <c r="M232" s="1579" t="str">
        <f t="shared" si="564"/>
        <v>Q3</v>
      </c>
      <c r="N232" s="1580" t="str">
        <f t="shared" si="564"/>
        <v>Q4</v>
      </c>
      <c r="O232" s="1578" t="str">
        <f t="shared" ref="O232:BJ232" si="565">O219</f>
        <v>Q1</v>
      </c>
      <c r="P232" s="1579" t="str">
        <f t="shared" si="565"/>
        <v>Q2</v>
      </c>
      <c r="Q232" s="1579" t="str">
        <f t="shared" si="565"/>
        <v>Q3</v>
      </c>
      <c r="R232" s="1580" t="str">
        <f t="shared" si="565"/>
        <v>Q4</v>
      </c>
      <c r="S232" s="1578" t="str">
        <f t="shared" si="565"/>
        <v>Q1</v>
      </c>
      <c r="T232" s="1579" t="str">
        <f t="shared" si="565"/>
        <v>Q2</v>
      </c>
      <c r="U232" s="1579" t="str">
        <f t="shared" si="565"/>
        <v>Q3</v>
      </c>
      <c r="V232" s="1580" t="str">
        <f t="shared" si="565"/>
        <v>Q4</v>
      </c>
      <c r="W232" s="1578" t="str">
        <f t="shared" si="565"/>
        <v>Q1</v>
      </c>
      <c r="X232" s="1579" t="str">
        <f t="shared" si="565"/>
        <v>Q2</v>
      </c>
      <c r="Y232" s="1579" t="str">
        <f t="shared" si="565"/>
        <v>Q3</v>
      </c>
      <c r="Z232" s="1580" t="str">
        <f t="shared" si="565"/>
        <v>Q4</v>
      </c>
      <c r="AA232" s="1578" t="str">
        <f t="shared" si="565"/>
        <v>Q1</v>
      </c>
      <c r="AB232" s="1579" t="str">
        <f t="shared" si="565"/>
        <v>Q2</v>
      </c>
      <c r="AC232" s="1579" t="str">
        <f t="shared" si="565"/>
        <v>Q3</v>
      </c>
      <c r="AD232" s="1580" t="str">
        <f t="shared" si="565"/>
        <v>Q4</v>
      </c>
      <c r="AE232" s="1578" t="str">
        <f t="shared" si="565"/>
        <v>Q1</v>
      </c>
      <c r="AF232" s="1579" t="str">
        <f t="shared" si="565"/>
        <v>Q2</v>
      </c>
      <c r="AG232" s="1579" t="str">
        <f t="shared" si="565"/>
        <v>Q3</v>
      </c>
      <c r="AH232" s="1580" t="str">
        <f t="shared" si="565"/>
        <v>Q4</v>
      </c>
      <c r="AI232" s="1578" t="str">
        <f t="shared" si="565"/>
        <v>Q1</v>
      </c>
      <c r="AJ232" s="1579" t="str">
        <f t="shared" si="565"/>
        <v>Q2</v>
      </c>
      <c r="AK232" s="1579" t="str">
        <f t="shared" si="565"/>
        <v>Q3</v>
      </c>
      <c r="AL232" s="1580" t="str">
        <f t="shared" si="565"/>
        <v>Q4</v>
      </c>
      <c r="AM232" s="1578" t="str">
        <f t="shared" si="565"/>
        <v>Q1</v>
      </c>
      <c r="AN232" s="1579" t="str">
        <f t="shared" si="565"/>
        <v>Q2</v>
      </c>
      <c r="AO232" s="1579" t="str">
        <f t="shared" si="565"/>
        <v>Q3</v>
      </c>
      <c r="AP232" s="1580" t="str">
        <f t="shared" si="565"/>
        <v>Q4</v>
      </c>
      <c r="AQ232" s="1578" t="str">
        <f t="shared" si="565"/>
        <v>Q1</v>
      </c>
      <c r="AR232" s="1579" t="str">
        <f t="shared" si="565"/>
        <v>Q2</v>
      </c>
      <c r="AS232" s="1579" t="str">
        <f t="shared" si="565"/>
        <v>Q3</v>
      </c>
      <c r="AT232" s="1580" t="str">
        <f t="shared" si="565"/>
        <v>Q4</v>
      </c>
      <c r="AU232" s="1578" t="str">
        <f t="shared" si="565"/>
        <v>Q1</v>
      </c>
      <c r="AV232" s="1579" t="str">
        <f t="shared" si="565"/>
        <v>Q2</v>
      </c>
      <c r="AW232" s="1579" t="str">
        <f t="shared" si="565"/>
        <v>Q3</v>
      </c>
      <c r="AX232" s="1580" t="str">
        <f t="shared" si="565"/>
        <v>Q4</v>
      </c>
      <c r="AY232" s="1578" t="str">
        <f t="shared" si="565"/>
        <v>Q1</v>
      </c>
      <c r="AZ232" s="1579" t="str">
        <f t="shared" si="565"/>
        <v>Q2</v>
      </c>
      <c r="BA232" s="1579" t="str">
        <f t="shared" si="565"/>
        <v>Q3</v>
      </c>
      <c r="BB232" s="1580" t="str">
        <f t="shared" si="565"/>
        <v>Q4</v>
      </c>
      <c r="BC232" s="1578" t="str">
        <f t="shared" si="565"/>
        <v>Q1</v>
      </c>
      <c r="BD232" s="1579" t="str">
        <f t="shared" si="565"/>
        <v>Q2</v>
      </c>
      <c r="BE232" s="1579" t="str">
        <f t="shared" si="565"/>
        <v>Q3</v>
      </c>
      <c r="BF232" s="1580" t="str">
        <f t="shared" si="565"/>
        <v>Q4</v>
      </c>
      <c r="BG232" s="1578" t="str">
        <f t="shared" si="565"/>
        <v>Q1</v>
      </c>
      <c r="BH232" s="1579" t="str">
        <f t="shared" si="565"/>
        <v>Q2</v>
      </c>
      <c r="BI232" s="1579" t="str">
        <f t="shared" si="565"/>
        <v>Q3</v>
      </c>
      <c r="BJ232" s="1580" t="str">
        <f t="shared" si="565"/>
        <v>Q4</v>
      </c>
      <c r="BK232" s="1579" t="str">
        <f t="shared" ref="BK232:BR232" si="566">BK219</f>
        <v>Q1</v>
      </c>
      <c r="BL232" s="1579" t="str">
        <f t="shared" si="566"/>
        <v>Q2</v>
      </c>
      <c r="BM232" s="1579" t="str">
        <f t="shared" si="566"/>
        <v>Q3</v>
      </c>
      <c r="BN232" s="1579" t="str">
        <f t="shared" si="566"/>
        <v>Q4</v>
      </c>
      <c r="BO232" s="1579" t="str">
        <f t="shared" si="566"/>
        <v>Q1</v>
      </c>
      <c r="BP232" s="1579" t="str">
        <f t="shared" si="566"/>
        <v>Q2</v>
      </c>
      <c r="BQ232" s="1579" t="str">
        <f t="shared" si="566"/>
        <v>Q3</v>
      </c>
      <c r="BR232" s="1579" t="str">
        <f t="shared" si="566"/>
        <v>Q4</v>
      </c>
      <c r="BS232" s="1579" t="str">
        <f t="shared" ref="BS232:CD232" si="567">BS219</f>
        <v>Q1</v>
      </c>
      <c r="BT232" s="1579" t="str">
        <f t="shared" si="567"/>
        <v>Q2</v>
      </c>
      <c r="BU232" s="1579" t="str">
        <f t="shared" si="567"/>
        <v>Q3</v>
      </c>
      <c r="BV232" s="1579" t="str">
        <f t="shared" si="567"/>
        <v>Q4</v>
      </c>
      <c r="BW232" s="1579" t="str">
        <f t="shared" si="567"/>
        <v>Q1</v>
      </c>
      <c r="BX232" s="1579" t="str">
        <f t="shared" si="567"/>
        <v>Q2</v>
      </c>
      <c r="BY232" s="1579" t="str">
        <f t="shared" si="567"/>
        <v>Q3</v>
      </c>
      <c r="BZ232" s="1579" t="str">
        <f t="shared" si="567"/>
        <v>Q4</v>
      </c>
      <c r="CA232" s="1579" t="str">
        <f t="shared" si="567"/>
        <v>Q1</v>
      </c>
      <c r="CB232" s="1579" t="str">
        <f t="shared" si="567"/>
        <v>Q2</v>
      </c>
      <c r="CC232" s="1579" t="str">
        <f t="shared" si="567"/>
        <v>Q3</v>
      </c>
      <c r="CD232" s="1579" t="str">
        <f t="shared" si="567"/>
        <v>Q4</v>
      </c>
      <c r="CE232" s="1579" t="str">
        <f t="shared" ref="CE232:CL232" si="568">CE219</f>
        <v>Q1</v>
      </c>
      <c r="CF232" s="1579" t="str">
        <f t="shared" si="568"/>
        <v>Q2</v>
      </c>
      <c r="CG232" s="1579" t="str">
        <f t="shared" si="568"/>
        <v>Q3</v>
      </c>
      <c r="CH232" s="1579" t="str">
        <f t="shared" si="568"/>
        <v>Q4</v>
      </c>
      <c r="CI232" s="1579" t="str">
        <f t="shared" si="568"/>
        <v>Q1</v>
      </c>
      <c r="CJ232" s="1579" t="str">
        <f t="shared" si="568"/>
        <v>Q2</v>
      </c>
      <c r="CK232" s="1579" t="str">
        <f t="shared" si="568"/>
        <v>Q3</v>
      </c>
      <c r="CL232" s="1579" t="str">
        <f t="shared" si="568"/>
        <v>Q4</v>
      </c>
      <c r="CM232" s="1579" t="str">
        <f t="shared" ref="CM232:CT232" si="569">CM219</f>
        <v>Q1</v>
      </c>
      <c r="CN232" s="1579" t="str">
        <f t="shared" si="569"/>
        <v>Q2</v>
      </c>
      <c r="CO232" s="1579" t="str">
        <f t="shared" si="569"/>
        <v>Q3</v>
      </c>
      <c r="CP232" s="1579" t="str">
        <f t="shared" si="569"/>
        <v>Q4</v>
      </c>
      <c r="CQ232" s="1579" t="str">
        <f t="shared" si="569"/>
        <v>Q1</v>
      </c>
      <c r="CR232" s="1579" t="str">
        <f t="shared" si="569"/>
        <v>Q2</v>
      </c>
      <c r="CS232" s="1579" t="str">
        <f t="shared" si="569"/>
        <v>Q3</v>
      </c>
      <c r="CT232" s="1579" t="str">
        <f t="shared" si="569"/>
        <v>Q4</v>
      </c>
      <c r="CU232" s="1579" t="str">
        <f t="shared" ref="CU232:DB232" si="570">CU219</f>
        <v>Q1</v>
      </c>
      <c r="CV232" s="1579" t="str">
        <f t="shared" si="570"/>
        <v>Q2</v>
      </c>
      <c r="CW232" s="1579" t="str">
        <f t="shared" si="570"/>
        <v>Q3</v>
      </c>
      <c r="CX232" s="1579" t="str">
        <f t="shared" si="570"/>
        <v>Q4</v>
      </c>
      <c r="CY232" s="1579" t="str">
        <f t="shared" si="570"/>
        <v>Q1</v>
      </c>
      <c r="CZ232" s="1579" t="str">
        <f t="shared" si="570"/>
        <v>Q2</v>
      </c>
      <c r="DA232" s="1579" t="str">
        <f t="shared" si="570"/>
        <v>Q3</v>
      </c>
      <c r="DB232" s="1579" t="str">
        <f t="shared" si="570"/>
        <v>Q4</v>
      </c>
      <c r="DC232"/>
      <c r="DD232"/>
      <c r="DE232"/>
      <c r="DF232"/>
      <c r="DG232"/>
      <c r="DH232"/>
      <c r="DI232"/>
      <c r="DJ232"/>
      <c r="DK232"/>
      <c r="DL232"/>
      <c r="DM232"/>
      <c r="DN232"/>
      <c r="DO232"/>
    </row>
    <row r="233" spans="1:119" ht="12.75" hidden="1" customHeight="1">
      <c r="A233" s="664"/>
      <c r="C233" s="929"/>
      <c r="E233" s="599" t="s">
        <v>1786</v>
      </c>
      <c r="F233" s="3617"/>
      <c r="H233" s="217" t="e">
        <f t="shared" ref="H233:N233" si="571">(H220/G220-1)*100</f>
        <v>#VALUE!</v>
      </c>
      <c r="I233" s="217" t="e">
        <f t="shared" si="571"/>
        <v>#VALUE!</v>
      </c>
      <c r="J233" s="217" t="e">
        <f t="shared" si="571"/>
        <v>#VALUE!</v>
      </c>
      <c r="K233" s="217" t="e">
        <f t="shared" si="571"/>
        <v>#VALUE!</v>
      </c>
      <c r="L233" s="217" t="e">
        <f t="shared" si="571"/>
        <v>#VALUE!</v>
      </c>
      <c r="M233" s="217" t="e">
        <f t="shared" si="571"/>
        <v>#VALUE!</v>
      </c>
      <c r="N233" s="217" t="e">
        <f t="shared" si="571"/>
        <v>#VALUE!</v>
      </c>
      <c r="O233" s="217" t="e">
        <f t="shared" ref="O233:BJ233" si="572">(O220/N220-1)*100</f>
        <v>#VALUE!</v>
      </c>
      <c r="P233" s="217" t="e">
        <f t="shared" si="572"/>
        <v>#VALUE!</v>
      </c>
      <c r="Q233" s="217" t="e">
        <f t="shared" si="572"/>
        <v>#VALUE!</v>
      </c>
      <c r="R233" s="217" t="e">
        <f t="shared" si="572"/>
        <v>#VALUE!</v>
      </c>
      <c r="S233" s="217" t="e">
        <f t="shared" si="572"/>
        <v>#VALUE!</v>
      </c>
      <c r="T233" s="217" t="e">
        <f t="shared" si="572"/>
        <v>#VALUE!</v>
      </c>
      <c r="U233" s="217" t="e">
        <f t="shared" si="572"/>
        <v>#VALUE!</v>
      </c>
      <c r="V233" s="217" t="e">
        <f t="shared" si="572"/>
        <v>#VALUE!</v>
      </c>
      <c r="W233" s="217" t="e">
        <f t="shared" si="572"/>
        <v>#VALUE!</v>
      </c>
      <c r="X233" s="217" t="e">
        <f t="shared" si="572"/>
        <v>#VALUE!</v>
      </c>
      <c r="Y233" s="217" t="e">
        <f t="shared" si="572"/>
        <v>#VALUE!</v>
      </c>
      <c r="Z233" s="217" t="e">
        <f t="shared" si="572"/>
        <v>#VALUE!</v>
      </c>
      <c r="AA233" s="217" t="e">
        <f t="shared" si="572"/>
        <v>#VALUE!</v>
      </c>
      <c r="AB233" s="217" t="e">
        <f t="shared" si="572"/>
        <v>#VALUE!</v>
      </c>
      <c r="AC233" s="217" t="e">
        <f t="shared" si="572"/>
        <v>#VALUE!</v>
      </c>
      <c r="AD233" s="217" t="e">
        <f t="shared" si="572"/>
        <v>#VALUE!</v>
      </c>
      <c r="AE233" s="217" t="e">
        <f t="shared" si="572"/>
        <v>#VALUE!</v>
      </c>
      <c r="AF233" s="217" t="e">
        <f t="shared" si="572"/>
        <v>#VALUE!</v>
      </c>
      <c r="AG233" s="217" t="e">
        <f t="shared" si="572"/>
        <v>#VALUE!</v>
      </c>
      <c r="AH233" s="217" t="e">
        <f t="shared" si="572"/>
        <v>#VALUE!</v>
      </c>
      <c r="AI233" s="217" t="e">
        <f t="shared" si="572"/>
        <v>#VALUE!</v>
      </c>
      <c r="AJ233" s="217" t="e">
        <f t="shared" si="572"/>
        <v>#VALUE!</v>
      </c>
      <c r="AK233" s="217" t="e">
        <f t="shared" si="572"/>
        <v>#VALUE!</v>
      </c>
      <c r="AL233" s="217" t="e">
        <f t="shared" si="572"/>
        <v>#VALUE!</v>
      </c>
      <c r="AM233" s="217" t="e">
        <f t="shared" si="572"/>
        <v>#VALUE!</v>
      </c>
      <c r="AN233" s="217" t="e">
        <f t="shared" si="572"/>
        <v>#VALUE!</v>
      </c>
      <c r="AO233" s="217" t="e">
        <f t="shared" si="572"/>
        <v>#VALUE!</v>
      </c>
      <c r="AP233" s="217" t="e">
        <f t="shared" si="572"/>
        <v>#VALUE!</v>
      </c>
      <c r="AQ233" s="217" t="e">
        <f t="shared" si="572"/>
        <v>#VALUE!</v>
      </c>
      <c r="AR233" s="217" t="e">
        <f t="shared" si="572"/>
        <v>#VALUE!</v>
      </c>
      <c r="AS233" s="217" t="e">
        <f t="shared" si="572"/>
        <v>#VALUE!</v>
      </c>
      <c r="AT233" s="217" t="e">
        <f t="shared" si="572"/>
        <v>#VALUE!</v>
      </c>
      <c r="AU233" s="217" t="e">
        <f t="shared" si="572"/>
        <v>#VALUE!</v>
      </c>
      <c r="AV233" s="217" t="e">
        <f t="shared" si="572"/>
        <v>#VALUE!</v>
      </c>
      <c r="AW233" s="217" t="e">
        <f t="shared" si="572"/>
        <v>#VALUE!</v>
      </c>
      <c r="AX233" s="217" t="e">
        <f t="shared" si="572"/>
        <v>#VALUE!</v>
      </c>
      <c r="AY233" s="217" t="e">
        <f t="shared" si="572"/>
        <v>#VALUE!</v>
      </c>
      <c r="AZ233" s="217" t="e">
        <f t="shared" si="572"/>
        <v>#VALUE!</v>
      </c>
      <c r="BA233" s="217" t="e">
        <f t="shared" si="572"/>
        <v>#VALUE!</v>
      </c>
      <c r="BB233" s="217" t="e">
        <f t="shared" si="572"/>
        <v>#VALUE!</v>
      </c>
      <c r="BC233" s="217" t="e">
        <f t="shared" si="572"/>
        <v>#VALUE!</v>
      </c>
      <c r="BD233" s="217" t="e">
        <f t="shared" si="572"/>
        <v>#VALUE!</v>
      </c>
      <c r="BE233" s="217" t="e">
        <f t="shared" si="572"/>
        <v>#VALUE!</v>
      </c>
      <c r="BF233" s="217" t="e">
        <f t="shared" si="572"/>
        <v>#VALUE!</v>
      </c>
      <c r="BG233" s="217" t="e">
        <f t="shared" si="572"/>
        <v>#VALUE!</v>
      </c>
      <c r="BH233" s="217" t="e">
        <f t="shared" si="572"/>
        <v>#VALUE!</v>
      </c>
      <c r="BI233" s="217" t="e">
        <f>(BI220/BH220-1)*100</f>
        <v>#VALUE!</v>
      </c>
      <c r="BJ233" s="217" t="e">
        <f t="shared" si="572"/>
        <v>#VALUE!</v>
      </c>
      <c r="BK233" s="740">
        <v>0</v>
      </c>
      <c r="BL233" s="740">
        <v>0</v>
      </c>
      <c r="BM233" s="740">
        <v>0</v>
      </c>
      <c r="BN233" s="740">
        <v>0</v>
      </c>
      <c r="BO233" s="740">
        <v>0</v>
      </c>
      <c r="BP233" s="740">
        <v>0</v>
      </c>
      <c r="BQ233" s="740">
        <v>0</v>
      </c>
      <c r="BR233" s="740">
        <v>0</v>
      </c>
      <c r="BS233" s="740">
        <v>0</v>
      </c>
      <c r="BT233" s="740">
        <v>0</v>
      </c>
      <c r="BU233" s="740">
        <v>0</v>
      </c>
      <c r="BV233" s="740">
        <v>0</v>
      </c>
      <c r="BW233" s="740">
        <v>0.54</v>
      </c>
      <c r="BX233" s="740">
        <v>0.53</v>
      </c>
      <c r="BY233" s="740">
        <v>0.52</v>
      </c>
      <c r="BZ233" s="740">
        <v>0.5</v>
      </c>
      <c r="CA233" s="740">
        <v>0.54</v>
      </c>
      <c r="CB233" s="740">
        <v>0.53</v>
      </c>
      <c r="CC233" s="740">
        <v>0.52</v>
      </c>
      <c r="CD233" s="740">
        <v>0.5</v>
      </c>
      <c r="CE233" s="740">
        <v>0.54</v>
      </c>
      <c r="CF233" s="740">
        <v>0.53</v>
      </c>
      <c r="CG233" s="740">
        <v>0.52</v>
      </c>
      <c r="CH233" s="740">
        <v>0.5</v>
      </c>
      <c r="CI233" s="740">
        <v>0.54</v>
      </c>
      <c r="CJ233" s="740">
        <v>0.53</v>
      </c>
      <c r="CK233" s="740">
        <v>0.52</v>
      </c>
      <c r="CL233" s="740">
        <v>0.5</v>
      </c>
      <c r="CM233" s="740">
        <v>0.49</v>
      </c>
      <c r="CN233" s="740">
        <v>0.47699999999999998</v>
      </c>
      <c r="CO233" s="740">
        <v>0.46400000000000002</v>
      </c>
      <c r="CP233" s="740">
        <v>0.45100000000000001</v>
      </c>
      <c r="CQ233" s="740">
        <v>0.438</v>
      </c>
      <c r="CR233" s="740">
        <v>0.42499999999999999</v>
      </c>
      <c r="CS233" s="740">
        <v>0.41199999999999998</v>
      </c>
      <c r="CT233" s="740">
        <v>0.39900000000000002</v>
      </c>
      <c r="CU233" s="740">
        <v>0.438</v>
      </c>
      <c r="CV233" s="740">
        <v>0.42499999999999999</v>
      </c>
      <c r="CW233" s="740">
        <v>0.41199999999999998</v>
      </c>
      <c r="CX233" s="740">
        <v>0.39900000000000002</v>
      </c>
      <c r="CY233" s="740">
        <v>0.438</v>
      </c>
      <c r="CZ233" s="740">
        <v>0.42499999999999999</v>
      </c>
      <c r="DA233" s="740">
        <v>0.41199999999999998</v>
      </c>
      <c r="DB233" s="740">
        <v>0.39900000000000002</v>
      </c>
    </row>
    <row r="234" spans="1:119" ht="12.75" hidden="1" customHeight="1">
      <c r="C234" s="3072"/>
      <c r="D234" s="717"/>
      <c r="E234" s="3068" t="s">
        <v>266</v>
      </c>
      <c r="F234" s="3634"/>
      <c r="G234" s="2854"/>
      <c r="H234" s="2854"/>
      <c r="I234" s="2854"/>
      <c r="J234" s="2854"/>
      <c r="K234" s="2854"/>
      <c r="L234" s="2854"/>
      <c r="M234" s="2854"/>
      <c r="N234" s="1608" t="e">
        <f>N221/J221*100-100</f>
        <v>#VALUE!</v>
      </c>
      <c r="O234" s="2854"/>
      <c r="P234" s="2854"/>
      <c r="Q234" s="2854"/>
      <c r="R234" s="1608" t="e">
        <f>R221/N221*100-100</f>
        <v>#VALUE!</v>
      </c>
      <c r="S234" s="2854"/>
      <c r="T234" s="2854"/>
      <c r="U234" s="2854"/>
      <c r="V234" s="1608" t="e">
        <f>V221/R221*100-100</f>
        <v>#VALUE!</v>
      </c>
      <c r="W234" s="2854"/>
      <c r="X234" s="2854"/>
      <c r="Y234" s="2854"/>
      <c r="Z234" s="1608" t="e">
        <f>Z221/V221*100-100</f>
        <v>#VALUE!</v>
      </c>
      <c r="AA234" s="2854"/>
      <c r="AB234" s="2854"/>
      <c r="AC234" s="2854"/>
      <c r="AD234" s="1608" t="e">
        <f>AD221/Z221*100-100</f>
        <v>#VALUE!</v>
      </c>
      <c r="AE234" s="2854"/>
      <c r="AF234" s="2854"/>
      <c r="AG234" s="2854"/>
      <c r="AH234" s="1608" t="e">
        <f>AH221/AD221*100-100</f>
        <v>#VALUE!</v>
      </c>
      <c r="AI234" s="2854"/>
      <c r="AJ234" s="2854"/>
      <c r="AK234" s="2854"/>
      <c r="AL234" s="1608" t="e">
        <f>AL221/AH221*100-100</f>
        <v>#VALUE!</v>
      </c>
      <c r="AM234" s="2854"/>
      <c r="AN234" s="2854"/>
      <c r="AO234" s="2854"/>
      <c r="AP234" s="1608" t="e">
        <f>AP221/AL221*100-100</f>
        <v>#VALUE!</v>
      </c>
      <c r="AQ234" s="2854"/>
      <c r="AR234" s="2854"/>
      <c r="AS234" s="2854"/>
      <c r="AT234" s="1608" t="e">
        <f>AT221/AP221*100-100</f>
        <v>#VALUE!</v>
      </c>
      <c r="AU234" s="2854"/>
      <c r="AV234" s="2854"/>
      <c r="AW234" s="2854"/>
      <c r="AX234" s="1608" t="e">
        <f>AX221/AT221*100-100</f>
        <v>#VALUE!</v>
      </c>
      <c r="AY234" s="2854"/>
      <c r="AZ234" s="2854"/>
      <c r="BA234" s="2854"/>
      <c r="BB234" s="1608" t="e">
        <f>BB221/AX221*100-100</f>
        <v>#VALUE!</v>
      </c>
      <c r="BC234" s="2854"/>
      <c r="BD234" s="2854"/>
      <c r="BE234" s="2854"/>
      <c r="BF234" s="1608" t="e">
        <f>BF221/BB221*100-100</f>
        <v>#VALUE!</v>
      </c>
      <c r="BG234" s="2854"/>
      <c r="BH234" s="2854"/>
      <c r="BI234" s="2854"/>
      <c r="BJ234" s="1608" t="e">
        <f>BJ221/BF221*100-100</f>
        <v>#VALUE!</v>
      </c>
      <c r="BK234" s="2854"/>
      <c r="BL234" s="2854"/>
      <c r="BM234" s="2854"/>
      <c r="BN234" s="1608" t="e">
        <f>BN221/BJ221*100-100</f>
        <v>#VALUE!</v>
      </c>
      <c r="BO234" s="2854"/>
      <c r="BP234" s="2854"/>
      <c r="BQ234" s="2854"/>
      <c r="BR234" s="1608" t="e">
        <f>BR221/BN221*100-100</f>
        <v>#VALUE!</v>
      </c>
      <c r="BS234" s="2854"/>
      <c r="BT234" s="2854"/>
      <c r="BU234" s="2854"/>
      <c r="BV234" s="1608" t="e">
        <f>BV221/BR221*100-100</f>
        <v>#VALUE!</v>
      </c>
      <c r="BW234" s="2854"/>
      <c r="BX234" s="2854"/>
      <c r="BY234" s="2854"/>
      <c r="BZ234" s="1608" t="e">
        <f>BZ221/BV221*100-100</f>
        <v>#VALUE!</v>
      </c>
      <c r="CA234" s="2854"/>
      <c r="CB234" s="2854"/>
      <c r="CC234" s="2854"/>
      <c r="CD234" s="1608" t="e">
        <f>CD221/BZ221*100-100</f>
        <v>#VALUE!</v>
      </c>
      <c r="CE234" s="2854"/>
      <c r="CF234" s="2854"/>
      <c r="CG234" s="2854"/>
      <c r="CH234" s="1608" t="e">
        <f>CH221/CD221*100-100</f>
        <v>#VALUE!</v>
      </c>
      <c r="CI234" s="2854"/>
      <c r="CJ234" s="2854"/>
      <c r="CK234" s="2854"/>
      <c r="CL234" s="1608" t="e">
        <f>CL221/CH221*100-100</f>
        <v>#VALUE!</v>
      </c>
      <c r="CM234" s="2854"/>
      <c r="CN234" s="2854"/>
      <c r="CO234" s="2854"/>
      <c r="CP234" s="1608" t="e">
        <f>CP221/CL221*100-100</f>
        <v>#VALUE!</v>
      </c>
      <c r="CQ234" s="2854"/>
      <c r="CR234" s="2854"/>
      <c r="CS234" s="2854"/>
      <c r="CT234" s="1608" t="e">
        <f>CT221/CP221*100-100</f>
        <v>#VALUE!</v>
      </c>
      <c r="CU234" s="2854"/>
      <c r="CV234" s="2854"/>
      <c r="CW234" s="2854"/>
      <c r="CX234" s="1608" t="e">
        <f>CX221/CT221*100-100</f>
        <v>#VALUE!</v>
      </c>
      <c r="CY234" s="2854"/>
      <c r="CZ234" s="2854"/>
      <c r="DA234" s="2854"/>
      <c r="DB234" s="1608" t="e">
        <f>DB221/CX221*100-100</f>
        <v>#VALUE!</v>
      </c>
    </row>
    <row r="235" spans="1:119" ht="12.75" hidden="1" customHeight="1">
      <c r="C235" s="3072"/>
      <c r="D235" s="717"/>
      <c r="E235" s="3068" t="s">
        <v>1847</v>
      </c>
      <c r="F235" s="3634"/>
      <c r="G235" s="2854"/>
      <c r="H235" s="2854"/>
      <c r="I235" s="2854"/>
      <c r="J235" s="2854"/>
      <c r="K235" s="2854"/>
      <c r="L235" s="2854"/>
      <c r="M235" s="2854"/>
      <c r="N235" s="1599">
        <f ca="1">N222/J222*100-100</f>
        <v>21.934509533001133</v>
      </c>
      <c r="O235" s="2854"/>
      <c r="P235" s="2854"/>
      <c r="Q235" s="2854"/>
      <c r="R235" s="1599">
        <f ca="1">R222/N222*100-100</f>
        <v>24.812977829645618</v>
      </c>
      <c r="S235" s="2854"/>
      <c r="T235" s="2854"/>
      <c r="U235" s="2854"/>
      <c r="V235" s="1599">
        <f ca="1">V222/R222*100-100</f>
        <v>7.0359223491312832</v>
      </c>
      <c r="W235" s="2854"/>
      <c r="X235" s="2854"/>
      <c r="Y235" s="2854"/>
      <c r="Z235" s="1599">
        <f ca="1">Z222/V222*100-100</f>
        <v>-13.797267175959703</v>
      </c>
      <c r="AA235" s="2854"/>
      <c r="AB235" s="2854"/>
      <c r="AC235" s="2854"/>
      <c r="AD235" s="1599">
        <f ca="1">AD222/Z222*100-100</f>
        <v>8.7392145036833142</v>
      </c>
      <c r="AE235" s="2854"/>
      <c r="AF235" s="2854"/>
      <c r="AG235" s="2854"/>
      <c r="AH235" s="1599">
        <f ca="1">AH222/AD222*100-100</f>
        <v>19.991382139484088</v>
      </c>
      <c r="AI235" s="2854"/>
      <c r="AJ235" s="2854"/>
      <c r="AK235" s="2854"/>
      <c r="AL235" s="1599">
        <f ca="1">AL222/AH222*100-100</f>
        <v>18.63199176233708</v>
      </c>
      <c r="AM235" s="2854"/>
      <c r="AN235" s="2854"/>
      <c r="AO235" s="2854"/>
      <c r="AP235" s="1599">
        <f ca="1">AP222/AL222*100-100</f>
        <v>8.1657816106154542</v>
      </c>
      <c r="AQ235" s="2854"/>
      <c r="AR235" s="2854"/>
      <c r="AS235" s="2854"/>
      <c r="AT235" s="1599">
        <f ca="1">AT222/AP222*100-100</f>
        <v>14.698705559009667</v>
      </c>
      <c r="AU235" s="2854"/>
      <c r="AV235" s="2854"/>
      <c r="AW235" s="2854"/>
      <c r="AX235" s="1599">
        <f ca="1">AX222/AT222*100-100</f>
        <v>19.856034065376932</v>
      </c>
      <c r="AY235" s="2854"/>
      <c r="AZ235" s="2854"/>
      <c r="BA235" s="2854"/>
      <c r="BB235" s="1599">
        <f ca="1">BB222/AX222*100-100</f>
        <v>13.965064977148401</v>
      </c>
      <c r="BC235" s="2854"/>
      <c r="BD235" s="2854"/>
      <c r="BE235" s="2854"/>
      <c r="BF235" s="1599">
        <f ca="1">BF222/BB222*100-100</f>
        <v>9.8019689881788423</v>
      </c>
      <c r="BG235" s="2854"/>
      <c r="BH235" s="2854"/>
      <c r="BI235" s="2854"/>
      <c r="BJ235" s="1599">
        <f ca="1">BJ222/BF222*100-100</f>
        <v>12.694478099170652</v>
      </c>
      <c r="BK235" s="2854"/>
      <c r="BL235" s="2854"/>
      <c r="BM235" s="2854"/>
      <c r="BN235" s="1599">
        <f ca="1">BN222/BJ222*100-100</f>
        <v>-29.558551744036436</v>
      </c>
      <c r="BO235" s="2854"/>
      <c r="BP235" s="2854"/>
      <c r="BQ235" s="2854"/>
      <c r="BR235" s="1599">
        <f ca="1">BR222/BN222*100-100</f>
        <v>22.063277686755555</v>
      </c>
      <c r="BS235" s="2854"/>
      <c r="BT235" s="2854"/>
      <c r="BU235" s="2854"/>
      <c r="BV235" s="1599">
        <f ca="1">BV222/BR222*100-100</f>
        <v>14.714804045871247</v>
      </c>
      <c r="BW235" s="2854"/>
      <c r="BX235" s="2854"/>
      <c r="BY235" s="2854"/>
      <c r="BZ235" s="1599">
        <f ca="1">BZ222/BV222*100-100</f>
        <v>4.7772473180393717</v>
      </c>
      <c r="CA235" s="2854"/>
      <c r="CB235" s="2854"/>
      <c r="CC235" s="2854"/>
      <c r="CD235" s="1599">
        <f ca="1">CD222/BZ222*100-100</f>
        <v>7.6974966611249158</v>
      </c>
      <c r="CE235" s="2854"/>
      <c r="CF235" s="2854"/>
      <c r="CG235" s="2854"/>
      <c r="CH235" s="1599">
        <f ca="1">CH222/CD222*100-100</f>
        <v>2.7845828543831033</v>
      </c>
      <c r="CI235" s="2854"/>
      <c r="CJ235" s="2854"/>
      <c r="CK235" s="2854"/>
      <c r="CL235" s="1599">
        <f ca="1">CL222/CH222*100-100</f>
        <v>7.2942455275508706</v>
      </c>
      <c r="CM235" s="2854"/>
      <c r="CN235" s="2854"/>
      <c r="CO235" s="2854"/>
      <c r="CP235" s="1599">
        <f ca="1">CP222/CL222*100-100</f>
        <v>2.9900046588454501</v>
      </c>
      <c r="CQ235" s="2854"/>
      <c r="CR235" s="2854"/>
      <c r="CS235" s="2854"/>
      <c r="CT235" s="1599">
        <f ca="1">CT222/CP222*100-100</f>
        <v>12.74809320404637</v>
      </c>
      <c r="CU235" s="2854"/>
      <c r="CV235" s="2854"/>
      <c r="CW235" s="2854"/>
      <c r="CX235" s="1599">
        <f ca="1">CX222/CT222*100-100</f>
        <v>6.5</v>
      </c>
      <c r="CY235" s="2854"/>
      <c r="CZ235" s="2854"/>
      <c r="DA235" s="2854"/>
      <c r="DB235" s="1599">
        <f ca="1">DB222/CX222*100-100</f>
        <v>5.2000000000000028</v>
      </c>
    </row>
    <row r="236" spans="1:119" ht="12.75" hidden="1" customHeight="1">
      <c r="C236" s="3072"/>
      <c r="D236" s="674"/>
      <c r="E236" s="3545" t="s">
        <v>1785</v>
      </c>
      <c r="F236" s="3057"/>
      <c r="G236" s="2853"/>
      <c r="H236" s="2853" t="e">
        <f t="shared" ref="H236:N236" si="573">(H223/G223-1)*100</f>
        <v>#VALUE!</v>
      </c>
      <c r="I236" s="2853" t="e">
        <f t="shared" si="573"/>
        <v>#VALUE!</v>
      </c>
      <c r="J236" s="2853" t="e">
        <f t="shared" si="573"/>
        <v>#VALUE!</v>
      </c>
      <c r="K236" s="2853" t="e">
        <f t="shared" si="573"/>
        <v>#VALUE!</v>
      </c>
      <c r="L236" s="2853" t="e">
        <f t="shared" si="573"/>
        <v>#VALUE!</v>
      </c>
      <c r="M236" s="2853" t="e">
        <f t="shared" si="573"/>
        <v>#VALUE!</v>
      </c>
      <c r="N236" s="2853" t="e">
        <f t="shared" si="573"/>
        <v>#VALUE!</v>
      </c>
      <c r="O236" s="2853" t="e">
        <f t="shared" ref="O236:BJ236" si="574">(O223/N223-1)*100</f>
        <v>#VALUE!</v>
      </c>
      <c r="P236" s="2853" t="e">
        <f t="shared" si="574"/>
        <v>#VALUE!</v>
      </c>
      <c r="Q236" s="2853" t="e">
        <f t="shared" si="574"/>
        <v>#VALUE!</v>
      </c>
      <c r="R236" s="2853" t="e">
        <f t="shared" si="574"/>
        <v>#VALUE!</v>
      </c>
      <c r="S236" s="2853" t="e">
        <f t="shared" si="574"/>
        <v>#VALUE!</v>
      </c>
      <c r="T236" s="2853" t="e">
        <f t="shared" si="574"/>
        <v>#VALUE!</v>
      </c>
      <c r="U236" s="2853" t="e">
        <f t="shared" si="574"/>
        <v>#VALUE!</v>
      </c>
      <c r="V236" s="2853" t="e">
        <f t="shared" si="574"/>
        <v>#VALUE!</v>
      </c>
      <c r="W236" s="2853" t="e">
        <f t="shared" si="574"/>
        <v>#VALUE!</v>
      </c>
      <c r="X236" s="2853" t="e">
        <f t="shared" si="574"/>
        <v>#VALUE!</v>
      </c>
      <c r="Y236" s="2853" t="e">
        <f t="shared" si="574"/>
        <v>#VALUE!</v>
      </c>
      <c r="Z236" s="2853" t="e">
        <f t="shared" si="574"/>
        <v>#VALUE!</v>
      </c>
      <c r="AA236" s="2853" t="e">
        <f t="shared" si="574"/>
        <v>#VALUE!</v>
      </c>
      <c r="AB236" s="2853" t="e">
        <f t="shared" si="574"/>
        <v>#VALUE!</v>
      </c>
      <c r="AC236" s="2853" t="e">
        <f t="shared" si="574"/>
        <v>#VALUE!</v>
      </c>
      <c r="AD236" s="2853" t="e">
        <f t="shared" si="574"/>
        <v>#VALUE!</v>
      </c>
      <c r="AE236" s="2853" t="e">
        <f t="shared" si="574"/>
        <v>#VALUE!</v>
      </c>
      <c r="AF236" s="2853" t="e">
        <f t="shared" si="574"/>
        <v>#VALUE!</v>
      </c>
      <c r="AG236" s="2853" t="e">
        <f t="shared" si="574"/>
        <v>#VALUE!</v>
      </c>
      <c r="AH236" s="2853" t="e">
        <f t="shared" si="574"/>
        <v>#VALUE!</v>
      </c>
      <c r="AI236" s="2853" t="e">
        <f t="shared" si="574"/>
        <v>#VALUE!</v>
      </c>
      <c r="AJ236" s="2853" t="e">
        <f t="shared" si="574"/>
        <v>#VALUE!</v>
      </c>
      <c r="AK236" s="2853" t="e">
        <f t="shared" si="574"/>
        <v>#VALUE!</v>
      </c>
      <c r="AL236" s="2853" t="e">
        <f t="shared" si="574"/>
        <v>#VALUE!</v>
      </c>
      <c r="AM236" s="2853" t="e">
        <f t="shared" si="574"/>
        <v>#VALUE!</v>
      </c>
      <c r="AN236" s="2853" t="e">
        <f t="shared" si="574"/>
        <v>#VALUE!</v>
      </c>
      <c r="AO236" s="2853" t="e">
        <f t="shared" si="574"/>
        <v>#VALUE!</v>
      </c>
      <c r="AP236" s="2853" t="e">
        <f t="shared" si="574"/>
        <v>#VALUE!</v>
      </c>
      <c r="AQ236" s="2853" t="e">
        <f t="shared" si="574"/>
        <v>#VALUE!</v>
      </c>
      <c r="AR236" s="2853" t="e">
        <f t="shared" si="574"/>
        <v>#VALUE!</v>
      </c>
      <c r="AS236" s="2853" t="e">
        <f t="shared" si="574"/>
        <v>#VALUE!</v>
      </c>
      <c r="AT236" s="2853" t="e">
        <f t="shared" si="574"/>
        <v>#VALUE!</v>
      </c>
      <c r="AU236" s="2853" t="e">
        <f t="shared" si="574"/>
        <v>#VALUE!</v>
      </c>
      <c r="AV236" s="2853" t="e">
        <f t="shared" si="574"/>
        <v>#VALUE!</v>
      </c>
      <c r="AW236" s="2853" t="e">
        <f t="shared" si="574"/>
        <v>#VALUE!</v>
      </c>
      <c r="AX236" s="2853" t="e">
        <f t="shared" si="574"/>
        <v>#VALUE!</v>
      </c>
      <c r="AY236" s="2853" t="e">
        <f t="shared" si="574"/>
        <v>#VALUE!</v>
      </c>
      <c r="AZ236" s="2853" t="e">
        <f t="shared" si="574"/>
        <v>#VALUE!</v>
      </c>
      <c r="BA236" s="2853" t="e">
        <f t="shared" si="574"/>
        <v>#VALUE!</v>
      </c>
      <c r="BB236" s="2853" t="e">
        <f t="shared" si="574"/>
        <v>#VALUE!</v>
      </c>
      <c r="BC236" s="2853" t="e">
        <f t="shared" si="574"/>
        <v>#VALUE!</v>
      </c>
      <c r="BD236" s="2853" t="e">
        <f t="shared" si="574"/>
        <v>#VALUE!</v>
      </c>
      <c r="BE236" s="2853" t="e">
        <f t="shared" si="574"/>
        <v>#VALUE!</v>
      </c>
      <c r="BF236" s="2853" t="e">
        <f t="shared" si="574"/>
        <v>#VALUE!</v>
      </c>
      <c r="BG236" s="2853" t="e">
        <f t="shared" si="574"/>
        <v>#VALUE!</v>
      </c>
      <c r="BH236" s="2853" t="e">
        <f t="shared" si="574"/>
        <v>#VALUE!</v>
      </c>
      <c r="BI236" s="2853" t="e">
        <f t="shared" si="574"/>
        <v>#VALUE!</v>
      </c>
      <c r="BJ236" s="2853" t="e">
        <f t="shared" si="574"/>
        <v>#VALUE!</v>
      </c>
      <c r="BK236" s="2880">
        <v>0</v>
      </c>
      <c r="BL236" s="2880">
        <v>0</v>
      </c>
      <c r="BM236" s="2880">
        <v>0</v>
      </c>
      <c r="BN236" s="740">
        <v>0</v>
      </c>
      <c r="BO236" s="2880">
        <v>0</v>
      </c>
      <c r="BP236" s="2880">
        <v>0</v>
      </c>
      <c r="BQ236" s="2880">
        <v>0</v>
      </c>
      <c r="BR236" s="740">
        <v>0</v>
      </c>
      <c r="BS236" s="2880">
        <v>0</v>
      </c>
      <c r="BT236" s="2880">
        <v>0</v>
      </c>
      <c r="BU236" s="2880">
        <v>0</v>
      </c>
      <c r="BV236" s="740">
        <v>0</v>
      </c>
      <c r="BW236" s="740">
        <v>0.54</v>
      </c>
      <c r="BX236" s="740">
        <v>0.53</v>
      </c>
      <c r="BY236" s="740">
        <v>0.52</v>
      </c>
      <c r="BZ236" s="740">
        <v>0.5</v>
      </c>
      <c r="CA236" s="740">
        <v>0.54</v>
      </c>
      <c r="CB236" s="740">
        <v>0.53</v>
      </c>
      <c r="CC236" s="740">
        <v>0.52</v>
      </c>
      <c r="CD236" s="740">
        <v>0.5</v>
      </c>
      <c r="CE236" s="740">
        <v>0.54</v>
      </c>
      <c r="CF236" s="740">
        <v>0.53</v>
      </c>
      <c r="CG236" s="740">
        <v>0.52</v>
      </c>
      <c r="CH236" s="740">
        <v>0.5</v>
      </c>
      <c r="CI236" s="740">
        <v>0.54</v>
      </c>
      <c r="CJ236" s="740">
        <v>0.53</v>
      </c>
      <c r="CK236" s="740">
        <v>0.52</v>
      </c>
      <c r="CL236" s="740">
        <v>0.5</v>
      </c>
      <c r="CM236" s="740">
        <v>0.49</v>
      </c>
      <c r="CN236" s="740">
        <v>0.47699999999999998</v>
      </c>
      <c r="CO236" s="740">
        <v>0.46400000000000002</v>
      </c>
      <c r="CP236" s="740">
        <v>0.45100000000000001</v>
      </c>
      <c r="CQ236" s="740">
        <v>0.438</v>
      </c>
      <c r="CR236" s="740">
        <v>0.42499999999999999</v>
      </c>
      <c r="CS236" s="740">
        <v>0.41199999999999998</v>
      </c>
      <c r="CT236" s="740">
        <v>0.39900000000000002</v>
      </c>
      <c r="CU236" s="740">
        <v>0.438</v>
      </c>
      <c r="CV236" s="740">
        <v>0.42499999999999999</v>
      </c>
      <c r="CW236" s="740">
        <v>0.41199999999999998</v>
      </c>
      <c r="CX236" s="740">
        <v>0.39900000000000002</v>
      </c>
      <c r="CY236" s="740">
        <v>0.438</v>
      </c>
      <c r="CZ236" s="740">
        <v>0.42499999999999999</v>
      </c>
      <c r="DA236" s="740">
        <v>0.41199999999999998</v>
      </c>
      <c r="DB236" s="740">
        <v>0.39900000000000002</v>
      </c>
    </row>
    <row r="237" spans="1:119" ht="12.75" hidden="1" customHeight="1">
      <c r="C237" s="3072"/>
      <c r="D237" s="717"/>
      <c r="E237" s="3068" t="s">
        <v>266</v>
      </c>
      <c r="F237" s="3634"/>
      <c r="G237" s="2854"/>
      <c r="H237" s="2854"/>
      <c r="I237" s="2854"/>
      <c r="J237" s="2854"/>
      <c r="K237" s="2854"/>
      <c r="L237" s="2854"/>
      <c r="M237" s="2854"/>
      <c r="N237" s="1608" t="e">
        <f>N224/J224*100-100</f>
        <v>#VALUE!</v>
      </c>
      <c r="O237" s="2854"/>
      <c r="P237" s="2854"/>
      <c r="Q237" s="2854"/>
      <c r="R237" s="1608" t="e">
        <f>R224/N224*100-100</f>
        <v>#VALUE!</v>
      </c>
      <c r="S237" s="2854"/>
      <c r="T237" s="2854"/>
      <c r="U237" s="2854"/>
      <c r="V237" s="1608" t="e">
        <f>V224/R224*100-100</f>
        <v>#VALUE!</v>
      </c>
      <c r="W237" s="2854"/>
      <c r="X237" s="2854"/>
      <c r="Y237" s="2854"/>
      <c r="Z237" s="1608" t="e">
        <f>Z224/V224*100-100</f>
        <v>#VALUE!</v>
      </c>
      <c r="AA237" s="2854"/>
      <c r="AB237" s="2854"/>
      <c r="AC237" s="2854"/>
      <c r="AD237" s="1608" t="e">
        <f>AD224/Z224*100-100</f>
        <v>#VALUE!</v>
      </c>
      <c r="AE237" s="2854"/>
      <c r="AF237" s="2854"/>
      <c r="AG237" s="2854"/>
      <c r="AH237" s="1608" t="e">
        <f>AH224/AD224*100-100</f>
        <v>#VALUE!</v>
      </c>
      <c r="AI237" s="2854"/>
      <c r="AJ237" s="2854"/>
      <c r="AK237" s="2854"/>
      <c r="AL237" s="1608" t="e">
        <f>AL224/AH224*100-100</f>
        <v>#VALUE!</v>
      </c>
      <c r="AM237" s="2854"/>
      <c r="AN237" s="2854"/>
      <c r="AO237" s="2854"/>
      <c r="AP237" s="1608" t="e">
        <f>AP224/AL224*100-100</f>
        <v>#VALUE!</v>
      </c>
      <c r="AQ237" s="2854"/>
      <c r="AR237" s="2854"/>
      <c r="AS237" s="2854"/>
      <c r="AT237" s="1608" t="e">
        <f>AT224/AP224*100-100</f>
        <v>#VALUE!</v>
      </c>
      <c r="AU237" s="2854"/>
      <c r="AV237" s="2854"/>
      <c r="AW237" s="2854"/>
      <c r="AX237" s="1608" t="e">
        <f>AX224/AT224*100-100</f>
        <v>#VALUE!</v>
      </c>
      <c r="AY237" s="2854"/>
      <c r="AZ237" s="2854"/>
      <c r="BA237" s="2854"/>
      <c r="BB237" s="1608" t="e">
        <f>BB224/AX224*100-100</f>
        <v>#VALUE!</v>
      </c>
      <c r="BC237" s="2854"/>
      <c r="BD237" s="2854"/>
      <c r="BE237" s="2854"/>
      <c r="BF237" s="1608" t="e">
        <f>BF224/BB224*100-100</f>
        <v>#VALUE!</v>
      </c>
      <c r="BG237" s="2854"/>
      <c r="BH237" s="2854"/>
      <c r="BI237" s="2854"/>
      <c r="BJ237" s="1608" t="e">
        <f>BJ224/BF224*100-100</f>
        <v>#VALUE!</v>
      </c>
      <c r="BK237" s="2854"/>
      <c r="BL237" s="2854"/>
      <c r="BM237" s="2854"/>
      <c r="BN237" s="1608" t="e">
        <f>BN224/BJ224*100-100</f>
        <v>#VALUE!</v>
      </c>
      <c r="BO237" s="2854"/>
      <c r="BP237" s="2854"/>
      <c r="BQ237" s="2854"/>
      <c r="BR237" s="1608" t="e">
        <f>BR224/BN224*100-100</f>
        <v>#VALUE!</v>
      </c>
      <c r="BS237" s="2854"/>
      <c r="BT237" s="2854"/>
      <c r="BU237" s="2854"/>
      <c r="BV237" s="1608" t="e">
        <f>BV224/BR224*100-100</f>
        <v>#VALUE!</v>
      </c>
      <c r="BW237" s="2854"/>
      <c r="BX237" s="2854"/>
      <c r="BY237" s="2854"/>
      <c r="BZ237" s="1608" t="e">
        <f>BZ224/BV224*100-100</f>
        <v>#VALUE!</v>
      </c>
      <c r="CA237" s="2854"/>
      <c r="CB237" s="2854"/>
      <c r="CC237" s="2854"/>
      <c r="CD237" s="1608" t="e">
        <f>CD224/BZ224*100-100</f>
        <v>#VALUE!</v>
      </c>
      <c r="CE237" s="2854"/>
      <c r="CF237" s="2854"/>
      <c r="CG237" s="2854"/>
      <c r="CH237" s="1608" t="e">
        <f>CH224/CD224*100-100</f>
        <v>#VALUE!</v>
      </c>
      <c r="CI237" s="2854"/>
      <c r="CJ237" s="2854"/>
      <c r="CK237" s="2854"/>
      <c r="CL237" s="1608" t="e">
        <f>CL224/CH224*100-100</f>
        <v>#VALUE!</v>
      </c>
      <c r="CM237" s="2854"/>
      <c r="CN237" s="2854"/>
      <c r="CO237" s="2854"/>
      <c r="CP237" s="1608" t="e">
        <f>CP224/CL224*100-100</f>
        <v>#VALUE!</v>
      </c>
      <c r="CQ237" s="2854"/>
      <c r="CR237" s="2854"/>
      <c r="CS237" s="2854"/>
      <c r="CT237" s="1608" t="e">
        <f>CT224/CP224*100-100</f>
        <v>#VALUE!</v>
      </c>
      <c r="CU237" s="2854"/>
      <c r="CV237" s="2854"/>
      <c r="CW237" s="2854"/>
      <c r="CX237" s="1608" t="e">
        <f>CX224/CT224*100-100</f>
        <v>#VALUE!</v>
      </c>
      <c r="CY237" s="2854"/>
      <c r="CZ237" s="2854"/>
      <c r="DA237" s="2854"/>
      <c r="DB237" s="1608" t="e">
        <f>DB224/CX224*100-100</f>
        <v>#VALUE!</v>
      </c>
    </row>
    <row r="238" spans="1:119" ht="12.75" hidden="1" customHeight="1">
      <c r="C238" s="3072"/>
      <c r="D238" s="717"/>
      <c r="E238" s="3068" t="s">
        <v>1847</v>
      </c>
      <c r="F238" s="3634"/>
      <c r="G238" s="2854"/>
      <c r="H238" s="2854"/>
      <c r="I238" s="2854"/>
      <c r="J238" s="2854"/>
      <c r="K238" s="2854"/>
      <c r="L238" s="2854"/>
      <c r="M238" s="2854"/>
      <c r="N238" s="1599">
        <f ca="1">N225/J225*100-100</f>
        <v>31.440306229910561</v>
      </c>
      <c r="O238" s="2854"/>
      <c r="P238" s="2854"/>
      <c r="Q238" s="2854"/>
      <c r="R238" s="1599">
        <f ca="1">R225/N225*100-100</f>
        <v>25.934028418848797</v>
      </c>
      <c r="S238" s="2854"/>
      <c r="T238" s="2854"/>
      <c r="U238" s="2854"/>
      <c r="V238" s="1599">
        <f ca="1">V225/R225*100-100</f>
        <v>0.90039003070457113</v>
      </c>
      <c r="W238" s="2854"/>
      <c r="X238" s="2854"/>
      <c r="Y238" s="2854"/>
      <c r="Z238" s="1599">
        <f ca="1">Z225/V225*100-100</f>
        <v>-3.3336531739613235</v>
      </c>
      <c r="AA238" s="2854"/>
      <c r="AB238" s="2854"/>
      <c r="AC238" s="2854"/>
      <c r="AD238" s="1599">
        <f ca="1">AD225/Z225*100-100</f>
        <v>-16.56641284156494</v>
      </c>
      <c r="AE238" s="2854"/>
      <c r="AF238" s="2854"/>
      <c r="AG238" s="2854"/>
      <c r="AH238" s="1599">
        <f ca="1">AH225/AD225*100-100</f>
        <v>-0.66215485857826195</v>
      </c>
      <c r="AI238" s="2854"/>
      <c r="AJ238" s="2854"/>
      <c r="AK238" s="2854"/>
      <c r="AL238" s="1599">
        <f ca="1">AL225/AH225*100-100</f>
        <v>18.174601273597688</v>
      </c>
      <c r="AM238" s="2854"/>
      <c r="AN238" s="2854"/>
      <c r="AO238" s="2854"/>
      <c r="AP238" s="1599">
        <f ca="1">AP225/AL225*100-100</f>
        <v>14.081949982192327</v>
      </c>
      <c r="AQ238" s="2854"/>
      <c r="AR238" s="2854"/>
      <c r="AS238" s="2854"/>
      <c r="AT238" s="1599">
        <f ca="1">AT225/AP225*100-100</f>
        <v>18.351045509484052</v>
      </c>
      <c r="AU238" s="2854"/>
      <c r="AV238" s="2854"/>
      <c r="AW238" s="2854"/>
      <c r="AX238" s="1599">
        <f ca="1">AX225/AT225*100-100</f>
        <v>23.434567705442348</v>
      </c>
      <c r="AY238" s="2854"/>
      <c r="AZ238" s="2854"/>
      <c r="BA238" s="2854"/>
      <c r="BB238" s="1599">
        <f ca="1">BB225/AX225*100-100</f>
        <v>16.218227371035752</v>
      </c>
      <c r="BC238" s="2854"/>
      <c r="BD238" s="2854"/>
      <c r="BE238" s="2854"/>
      <c r="BF238" s="1599">
        <f ca="1">BF225/BB225*100-100</f>
        <v>17.647438171089561</v>
      </c>
      <c r="BG238" s="2854"/>
      <c r="BH238" s="2854"/>
      <c r="BI238" s="2854"/>
      <c r="BJ238" s="1599">
        <f ca="1">BJ225/BF225*100-100</f>
        <v>8.9462885960172684</v>
      </c>
      <c r="BK238" s="2854"/>
      <c r="BL238" s="2854"/>
      <c r="BM238" s="2854"/>
      <c r="BN238" s="1599">
        <f ca="1">BN225/BJ225*100-100</f>
        <v>-17.30487940744149</v>
      </c>
      <c r="BO238" s="2854"/>
      <c r="BP238" s="2854"/>
      <c r="BQ238" s="2854"/>
      <c r="BR238" s="1599">
        <f ca="1">BR225/BN225*100-100</f>
        <v>-1.0430247718375085E-2</v>
      </c>
      <c r="BS238" s="2854"/>
      <c r="BT238" s="2854"/>
      <c r="BU238" s="2854"/>
      <c r="BV238" s="1599">
        <f ca="1">BV225/BR225*100-100</f>
        <v>17.106086684399926</v>
      </c>
      <c r="BW238" s="2854"/>
      <c r="BX238" s="2854"/>
      <c r="BY238" s="2854"/>
      <c r="BZ238" s="1599">
        <f ca="1">BZ225/BV225*100-100</f>
        <v>21.155166590580961</v>
      </c>
      <c r="CA238" s="2854"/>
      <c r="CB238" s="2854"/>
      <c r="CC238" s="2854"/>
      <c r="CD238" s="1599">
        <f ca="1">CD225/BZ225*100-100</f>
        <v>18.897044407411016</v>
      </c>
      <c r="CE238" s="2854"/>
      <c r="CF238" s="2854"/>
      <c r="CG238" s="2854"/>
      <c r="CH238" s="1599">
        <f ca="1">CH225/CD225*100-100</f>
        <v>5.0226992821770722</v>
      </c>
      <c r="CI238" s="2854"/>
      <c r="CJ238" s="2854"/>
      <c r="CK238" s="2854"/>
      <c r="CL238" s="1599">
        <f ca="1">CL225/CH225*100-100</f>
        <v>-0.20877697418131902</v>
      </c>
      <c r="CM238" s="2854"/>
      <c r="CN238" s="2854"/>
      <c r="CO238" s="2854"/>
      <c r="CP238" s="1599">
        <f ca="1">CP225/CL225*100-100</f>
        <v>6.590356499271067</v>
      </c>
      <c r="CQ238" s="2854"/>
      <c r="CR238" s="2854"/>
      <c r="CS238" s="2854"/>
      <c r="CT238" s="1599">
        <f ca="1">CT225/CP225*100-100</f>
        <v>13.143267030777167</v>
      </c>
      <c r="CU238" s="2854"/>
      <c r="CV238" s="2854"/>
      <c r="CW238" s="2854"/>
      <c r="CX238" s="1599">
        <f ca="1">CX225/CT225*100-100</f>
        <v>6.5</v>
      </c>
      <c r="CY238" s="2854"/>
      <c r="CZ238" s="2854"/>
      <c r="DA238" s="2854"/>
      <c r="DB238" s="1599">
        <f ca="1">DB225/CX225*100-100</f>
        <v>4.8999999999999915</v>
      </c>
    </row>
    <row r="239" spans="1:119" ht="12.75" hidden="1" customHeight="1">
      <c r="C239" s="3072"/>
      <c r="D239" s="674"/>
      <c r="E239" s="3635" t="s">
        <v>616</v>
      </c>
      <c r="F239" s="3057"/>
      <c r="G239" s="2853"/>
      <c r="H239" s="2853" t="e">
        <f t="shared" ref="H239:N241" si="575">(H226/G226-1)*100</f>
        <v>#VALUE!</v>
      </c>
      <c r="I239" s="2853" t="e">
        <f t="shared" si="575"/>
        <v>#VALUE!</v>
      </c>
      <c r="J239" s="2853" t="e">
        <f t="shared" si="575"/>
        <v>#VALUE!</v>
      </c>
      <c r="K239" s="2853" t="e">
        <f t="shared" si="575"/>
        <v>#VALUE!</v>
      </c>
      <c r="L239" s="2853" t="e">
        <f t="shared" si="575"/>
        <v>#VALUE!</v>
      </c>
      <c r="M239" s="2853" t="e">
        <f t="shared" si="575"/>
        <v>#VALUE!</v>
      </c>
      <c r="N239" s="2853" t="e">
        <f t="shared" si="575"/>
        <v>#VALUE!</v>
      </c>
      <c r="O239" s="2853" t="e">
        <f t="shared" ref="O239:BN239" si="576">(O226/N226-1)*100</f>
        <v>#VALUE!</v>
      </c>
      <c r="P239" s="2853" t="e">
        <f t="shared" si="576"/>
        <v>#VALUE!</v>
      </c>
      <c r="Q239" s="2853" t="e">
        <f t="shared" si="576"/>
        <v>#VALUE!</v>
      </c>
      <c r="R239" s="2853" t="e">
        <f t="shared" si="576"/>
        <v>#VALUE!</v>
      </c>
      <c r="S239" s="2853" t="e">
        <f t="shared" si="576"/>
        <v>#VALUE!</v>
      </c>
      <c r="T239" s="2853" t="e">
        <f t="shared" si="576"/>
        <v>#VALUE!</v>
      </c>
      <c r="U239" s="2853" t="e">
        <f t="shared" si="576"/>
        <v>#VALUE!</v>
      </c>
      <c r="V239" s="2853" t="e">
        <f t="shared" si="576"/>
        <v>#VALUE!</v>
      </c>
      <c r="W239" s="2853" t="e">
        <f t="shared" si="576"/>
        <v>#VALUE!</v>
      </c>
      <c r="X239" s="2853" t="e">
        <f t="shared" si="576"/>
        <v>#VALUE!</v>
      </c>
      <c r="Y239" s="2853" t="e">
        <f t="shared" si="576"/>
        <v>#VALUE!</v>
      </c>
      <c r="Z239" s="2853" t="e">
        <f t="shared" si="576"/>
        <v>#VALUE!</v>
      </c>
      <c r="AA239" s="2853" t="e">
        <f t="shared" si="576"/>
        <v>#VALUE!</v>
      </c>
      <c r="AB239" s="2853" t="e">
        <f t="shared" si="576"/>
        <v>#VALUE!</v>
      </c>
      <c r="AC239" s="2853" t="e">
        <f t="shared" si="576"/>
        <v>#VALUE!</v>
      </c>
      <c r="AD239" s="2853" t="e">
        <f t="shared" si="576"/>
        <v>#VALUE!</v>
      </c>
      <c r="AE239" s="2853" t="e">
        <f t="shared" si="576"/>
        <v>#VALUE!</v>
      </c>
      <c r="AF239" s="2853" t="e">
        <f t="shared" si="576"/>
        <v>#VALUE!</v>
      </c>
      <c r="AG239" s="2853" t="e">
        <f t="shared" si="576"/>
        <v>#VALUE!</v>
      </c>
      <c r="AH239" s="2853" t="e">
        <f t="shared" si="576"/>
        <v>#VALUE!</v>
      </c>
      <c r="AI239" s="2853" t="e">
        <f t="shared" si="576"/>
        <v>#VALUE!</v>
      </c>
      <c r="AJ239" s="2853" t="e">
        <f t="shared" si="576"/>
        <v>#VALUE!</v>
      </c>
      <c r="AK239" s="2853" t="e">
        <f t="shared" si="576"/>
        <v>#VALUE!</v>
      </c>
      <c r="AL239" s="2853" t="e">
        <f t="shared" si="576"/>
        <v>#VALUE!</v>
      </c>
      <c r="AM239" s="2853" t="e">
        <f t="shared" si="576"/>
        <v>#VALUE!</v>
      </c>
      <c r="AN239" s="2853" t="e">
        <f t="shared" si="576"/>
        <v>#VALUE!</v>
      </c>
      <c r="AO239" s="2853" t="e">
        <f t="shared" si="576"/>
        <v>#VALUE!</v>
      </c>
      <c r="AP239" s="2853" t="e">
        <f t="shared" si="576"/>
        <v>#VALUE!</v>
      </c>
      <c r="AQ239" s="2853" t="e">
        <f t="shared" si="576"/>
        <v>#VALUE!</v>
      </c>
      <c r="AR239" s="2853" t="e">
        <f t="shared" si="576"/>
        <v>#VALUE!</v>
      </c>
      <c r="AS239" s="2853" t="e">
        <f t="shared" si="576"/>
        <v>#VALUE!</v>
      </c>
      <c r="AT239" s="2853" t="e">
        <f t="shared" si="576"/>
        <v>#VALUE!</v>
      </c>
      <c r="AU239" s="2853" t="e">
        <f t="shared" si="576"/>
        <v>#VALUE!</v>
      </c>
      <c r="AV239" s="2853" t="e">
        <f t="shared" si="576"/>
        <v>#VALUE!</v>
      </c>
      <c r="AW239" s="2853" t="e">
        <f t="shared" si="576"/>
        <v>#VALUE!</v>
      </c>
      <c r="AX239" s="2853" t="e">
        <f t="shared" si="576"/>
        <v>#VALUE!</v>
      </c>
      <c r="AY239" s="2853" t="e">
        <f t="shared" si="576"/>
        <v>#VALUE!</v>
      </c>
      <c r="AZ239" s="2853" t="e">
        <f t="shared" si="576"/>
        <v>#VALUE!</v>
      </c>
      <c r="BA239" s="2853" t="e">
        <f t="shared" si="576"/>
        <v>#VALUE!</v>
      </c>
      <c r="BB239" s="2853" t="e">
        <f t="shared" si="576"/>
        <v>#VALUE!</v>
      </c>
      <c r="BC239" s="2853" t="e">
        <f t="shared" si="576"/>
        <v>#VALUE!</v>
      </c>
      <c r="BD239" s="2853" t="e">
        <f t="shared" si="576"/>
        <v>#VALUE!</v>
      </c>
      <c r="BE239" s="2853" t="e">
        <f t="shared" si="576"/>
        <v>#VALUE!</v>
      </c>
      <c r="BF239" s="2853" t="e">
        <f t="shared" si="576"/>
        <v>#VALUE!</v>
      </c>
      <c r="BG239" s="2853" t="e">
        <f t="shared" si="576"/>
        <v>#VALUE!</v>
      </c>
      <c r="BH239" s="2853" t="e">
        <f t="shared" si="576"/>
        <v>#VALUE!</v>
      </c>
      <c r="BI239" s="2853" t="e">
        <f t="shared" si="576"/>
        <v>#VALUE!</v>
      </c>
      <c r="BJ239" s="2853" t="e">
        <f t="shared" si="576"/>
        <v>#VALUE!</v>
      </c>
      <c r="BK239" s="2853" t="e">
        <f t="shared" si="576"/>
        <v>#VALUE!</v>
      </c>
      <c r="BL239" s="2853" t="e">
        <f t="shared" si="576"/>
        <v>#VALUE!</v>
      </c>
      <c r="BM239" s="2853" t="e">
        <f t="shared" si="576"/>
        <v>#VALUE!</v>
      </c>
      <c r="BN239" s="2853" t="e">
        <f t="shared" si="576"/>
        <v>#VALUE!</v>
      </c>
      <c r="BO239" s="2853" t="e">
        <f t="shared" ref="BO239:BV239" si="577">(BO226/BN226-1)*100</f>
        <v>#VALUE!</v>
      </c>
      <c r="BP239" s="2853" t="e">
        <f t="shared" si="577"/>
        <v>#VALUE!</v>
      </c>
      <c r="BQ239" s="2853" t="e">
        <f t="shared" si="577"/>
        <v>#VALUE!</v>
      </c>
      <c r="BR239" s="2853" t="e">
        <f t="shared" si="577"/>
        <v>#VALUE!</v>
      </c>
      <c r="BS239" s="2853" t="e">
        <f t="shared" si="577"/>
        <v>#VALUE!</v>
      </c>
      <c r="BT239" s="2853" t="e">
        <f t="shared" si="577"/>
        <v>#VALUE!</v>
      </c>
      <c r="BU239" s="2853" t="e">
        <f t="shared" si="577"/>
        <v>#VALUE!</v>
      </c>
      <c r="BV239" s="2853" t="e">
        <f t="shared" si="577"/>
        <v>#VALUE!</v>
      </c>
      <c r="BW239" s="2853" t="e">
        <f t="shared" ref="BW239:CD239" si="578">(BW226/BV226-1)*100</f>
        <v>#VALUE!</v>
      </c>
      <c r="BX239" s="2853" t="e">
        <f t="shared" si="578"/>
        <v>#VALUE!</v>
      </c>
      <c r="BY239" s="2853" t="e">
        <f t="shared" si="578"/>
        <v>#VALUE!</v>
      </c>
      <c r="BZ239" s="2853" t="e">
        <f t="shared" si="578"/>
        <v>#VALUE!</v>
      </c>
      <c r="CA239" s="2853" t="e">
        <f t="shared" si="578"/>
        <v>#VALUE!</v>
      </c>
      <c r="CB239" s="2853" t="e">
        <f t="shared" si="578"/>
        <v>#VALUE!</v>
      </c>
      <c r="CC239" s="2853" t="e">
        <f t="shared" si="578"/>
        <v>#VALUE!</v>
      </c>
      <c r="CD239" s="2853" t="e">
        <f t="shared" si="578"/>
        <v>#VALUE!</v>
      </c>
      <c r="CE239" s="2853" t="e">
        <f t="shared" ref="CE239:CL239" si="579">(CE226/CD226-1)*100</f>
        <v>#VALUE!</v>
      </c>
      <c r="CF239" s="2853" t="e">
        <f t="shared" si="579"/>
        <v>#VALUE!</v>
      </c>
      <c r="CG239" s="2853" t="e">
        <f t="shared" si="579"/>
        <v>#VALUE!</v>
      </c>
      <c r="CH239" s="2853" t="e">
        <f t="shared" si="579"/>
        <v>#VALUE!</v>
      </c>
      <c r="CI239" s="2853" t="e">
        <f t="shared" si="579"/>
        <v>#VALUE!</v>
      </c>
      <c r="CJ239" s="2853" t="e">
        <f t="shared" si="579"/>
        <v>#VALUE!</v>
      </c>
      <c r="CK239" s="2853" t="e">
        <f t="shared" si="579"/>
        <v>#VALUE!</v>
      </c>
      <c r="CL239" s="2853" t="e">
        <f t="shared" si="579"/>
        <v>#VALUE!</v>
      </c>
      <c r="CM239" s="2853" t="e">
        <f t="shared" ref="CM239:CT239" si="580">(CM226/CL226-1)*100</f>
        <v>#VALUE!</v>
      </c>
      <c r="CN239" s="2853" t="e">
        <f t="shared" si="580"/>
        <v>#VALUE!</v>
      </c>
      <c r="CO239" s="2853" t="e">
        <f t="shared" si="580"/>
        <v>#VALUE!</v>
      </c>
      <c r="CP239" s="2853" t="e">
        <f t="shared" si="580"/>
        <v>#VALUE!</v>
      </c>
      <c r="CQ239" s="2853" t="e">
        <f t="shared" si="580"/>
        <v>#VALUE!</v>
      </c>
      <c r="CR239" s="2853" t="e">
        <f t="shared" si="580"/>
        <v>#VALUE!</v>
      </c>
      <c r="CS239" s="2853" t="e">
        <f t="shared" si="580"/>
        <v>#VALUE!</v>
      </c>
      <c r="CT239" s="2853" t="e">
        <f t="shared" si="580"/>
        <v>#VALUE!</v>
      </c>
      <c r="CU239" s="2853" t="e">
        <f t="shared" ref="CU239:DB239" si="581">(CU226/CT226-1)*100</f>
        <v>#VALUE!</v>
      </c>
      <c r="CV239" s="2853" t="e">
        <f t="shared" si="581"/>
        <v>#VALUE!</v>
      </c>
      <c r="CW239" s="2853" t="e">
        <f t="shared" si="581"/>
        <v>#VALUE!</v>
      </c>
      <c r="CX239" s="2853" t="e">
        <f t="shared" si="581"/>
        <v>#VALUE!</v>
      </c>
      <c r="CY239" s="2853" t="e">
        <f t="shared" si="581"/>
        <v>#VALUE!</v>
      </c>
      <c r="CZ239" s="2853" t="e">
        <f t="shared" si="581"/>
        <v>#VALUE!</v>
      </c>
      <c r="DA239" s="2853" t="e">
        <f t="shared" si="581"/>
        <v>#VALUE!</v>
      </c>
      <c r="DB239" s="2853" t="e">
        <f t="shared" si="581"/>
        <v>#VALUE!</v>
      </c>
    </row>
    <row r="240" spans="1:119" ht="12.75" customHeight="1">
      <c r="C240" s="3072"/>
      <c r="D240" s="717"/>
      <c r="E240" s="3636" t="s">
        <v>1787</v>
      </c>
      <c r="F240" s="3634"/>
      <c r="G240" s="2854"/>
      <c r="H240" s="2854">
        <f t="shared" si="575"/>
        <v>-0.99948950804698011</v>
      </c>
      <c r="I240" s="2854">
        <f t="shared" si="575"/>
        <v>4.890493120199757</v>
      </c>
      <c r="J240" s="2854">
        <f t="shared" si="575"/>
        <v>3.7258402545990776</v>
      </c>
      <c r="K240" s="2854">
        <f t="shared" si="575"/>
        <v>6.2910025193943619</v>
      </c>
      <c r="L240" s="2854">
        <f t="shared" si="575"/>
        <v>4.5551618126774773</v>
      </c>
      <c r="M240" s="2854">
        <f t="shared" si="575"/>
        <v>7.3644280840366338</v>
      </c>
      <c r="N240" s="2854">
        <f t="shared" si="575"/>
        <v>6.7024857316078545</v>
      </c>
      <c r="O240" s="2854">
        <f t="shared" ref="O240:BJ240" si="582">(O227/N227-1)*100</f>
        <v>6.7262289621661919</v>
      </c>
      <c r="P240" s="2854">
        <f t="shared" si="582"/>
        <v>7.3634160669701965</v>
      </c>
      <c r="Q240" s="2854">
        <f t="shared" si="582"/>
        <v>0.65318126635089957</v>
      </c>
      <c r="R240" s="2854">
        <f t="shared" si="582"/>
        <v>5.2017327783912215</v>
      </c>
      <c r="S240" s="2854">
        <f t="shared" si="582"/>
        <v>3.0051512264440472</v>
      </c>
      <c r="T240" s="2854">
        <f t="shared" si="582"/>
        <v>0.12384774565747936</v>
      </c>
      <c r="U240" s="2854">
        <f t="shared" si="582"/>
        <v>1.3340222650194855</v>
      </c>
      <c r="V240" s="2854">
        <f t="shared" si="582"/>
        <v>-12.331772740617131</v>
      </c>
      <c r="W240" s="2854">
        <f t="shared" si="582"/>
        <v>-5.1693750220310868</v>
      </c>
      <c r="X240" s="2854">
        <f t="shared" si="582"/>
        <v>3.5572902146640439</v>
      </c>
      <c r="Y240" s="2854">
        <f t="shared" si="582"/>
        <v>-1.8880453705199307</v>
      </c>
      <c r="Z240" s="2854">
        <f t="shared" si="582"/>
        <v>-2.6432765653867873</v>
      </c>
      <c r="AA240" s="2854">
        <f t="shared" si="582"/>
        <v>2.825899064296733</v>
      </c>
      <c r="AB240" s="2854">
        <f t="shared" si="582"/>
        <v>0.50615795051711654</v>
      </c>
      <c r="AC240" s="2854">
        <f t="shared" si="582"/>
        <v>6.7978110284893534</v>
      </c>
      <c r="AD240" s="2854">
        <f t="shared" si="582"/>
        <v>9.8736849273106664E-2</v>
      </c>
      <c r="AE240" s="2854">
        <f t="shared" si="582"/>
        <v>8.0969387755101874</v>
      </c>
      <c r="AF240" s="2854">
        <f t="shared" si="582"/>
        <v>2.6919022671134885</v>
      </c>
      <c r="AG240" s="2854">
        <f t="shared" si="582"/>
        <v>3.9955876945704238</v>
      </c>
      <c r="AH240" s="2854">
        <f t="shared" si="582"/>
        <v>7.4823217442545609</v>
      </c>
      <c r="AI240" s="2854">
        <f t="shared" si="582"/>
        <v>3.0414342301840813</v>
      </c>
      <c r="AJ240" s="2854">
        <f t="shared" si="582"/>
        <v>7.5128362020803863</v>
      </c>
      <c r="AK240" s="2854">
        <f t="shared" si="582"/>
        <v>-0.80172221809813315</v>
      </c>
      <c r="AL240" s="2854">
        <f t="shared" si="582"/>
        <v>4.1233256005388075</v>
      </c>
      <c r="AM240" s="2854">
        <f t="shared" si="582"/>
        <v>1.2936610608020649</v>
      </c>
      <c r="AN240" s="2854">
        <f t="shared" si="582"/>
        <v>-1.020528830235079</v>
      </c>
      <c r="AO240" s="2854">
        <f t="shared" si="582"/>
        <v>4.0644675690851839</v>
      </c>
      <c r="AP240" s="2854">
        <f t="shared" si="582"/>
        <v>4.5027151762855544</v>
      </c>
      <c r="AQ240" s="2854">
        <f t="shared" si="582"/>
        <v>1.0832188959077227</v>
      </c>
      <c r="AR240" s="2854">
        <f t="shared" si="582"/>
        <v>5.6373694449576517</v>
      </c>
      <c r="AS240" s="2854">
        <f t="shared" si="582"/>
        <v>4.0268318278154025</v>
      </c>
      <c r="AT240" s="2854">
        <f t="shared" si="582"/>
        <v>2.3231663897460342</v>
      </c>
      <c r="AU240" s="2854">
        <f t="shared" si="582"/>
        <v>18.554109471201706</v>
      </c>
      <c r="AV240" s="2854">
        <f t="shared" si="582"/>
        <v>7.6708703974777581</v>
      </c>
      <c r="AW240" s="2854">
        <f t="shared" si="582"/>
        <v>2.3530026928808567</v>
      </c>
      <c r="AX240" s="2854">
        <f t="shared" si="582"/>
        <v>9.4715062964571004</v>
      </c>
      <c r="AY240" s="2854">
        <f t="shared" si="582"/>
        <v>0.30566768555897461</v>
      </c>
      <c r="AZ240" s="2854">
        <f t="shared" si="582"/>
        <v>-1.0398250674606757</v>
      </c>
      <c r="BA240" s="2854">
        <f t="shared" si="582"/>
        <v>6.2010766084483082</v>
      </c>
      <c r="BB240" s="2854">
        <f t="shared" si="582"/>
        <v>4.4843843378560955</v>
      </c>
      <c r="BC240" s="2854">
        <f t="shared" si="582"/>
        <v>-0.25209193941319041</v>
      </c>
      <c r="BD240" s="2854">
        <f t="shared" si="582"/>
        <v>5.0099817355476972</v>
      </c>
      <c r="BE240" s="2854">
        <f t="shared" si="582"/>
        <v>0.25685104661745672</v>
      </c>
      <c r="BF240" s="2854">
        <f t="shared" si="582"/>
        <v>2.842330347776989</v>
      </c>
      <c r="BG240" s="2854">
        <f t="shared" si="582"/>
        <v>6.1611188481983215</v>
      </c>
      <c r="BH240" s="2854">
        <f t="shared" si="582"/>
        <v>4.5766970917556549</v>
      </c>
      <c r="BI240" s="2854">
        <f t="shared" si="582"/>
        <v>-0.33746179261116005</v>
      </c>
      <c r="BJ240" s="2854">
        <f t="shared" si="582"/>
        <v>-8.3179690823996566</v>
      </c>
      <c r="BK240" s="2854">
        <f t="shared" ref="BK240:BV240" si="583">IF(UPPER($F241)="N",BK241,(BJ220*BK233+BJ223*BK236)/(BJ220+BJ223))</f>
        <v>-24.661613427179219</v>
      </c>
      <c r="BL240" s="2854">
        <f t="shared" si="583"/>
        <v>-1.6272265284122955</v>
      </c>
      <c r="BM240" s="2854">
        <f t="shared" si="583"/>
        <v>5.1007096639532401</v>
      </c>
      <c r="BN240" s="2854">
        <f t="shared" si="583"/>
        <v>3.602015738649067</v>
      </c>
      <c r="BO240" s="2854">
        <f t="shared" si="583"/>
        <v>0.68529256721139298</v>
      </c>
      <c r="BP240" s="2854">
        <f t="shared" si="583"/>
        <v>8.807710613993347</v>
      </c>
      <c r="BQ240" s="2854">
        <f t="shared" si="583"/>
        <v>6.1569082041075029</v>
      </c>
      <c r="BR240" s="2854">
        <f t="shared" si="583"/>
        <v>8.5688973133344337</v>
      </c>
      <c r="BS240" s="2854">
        <f t="shared" si="583"/>
        <v>4.920770471581748</v>
      </c>
      <c r="BT240" s="2854">
        <f t="shared" si="583"/>
        <v>-2.5575170018810711</v>
      </c>
      <c r="BU240" s="2854">
        <f t="shared" si="583"/>
        <v>0.29513308831718987</v>
      </c>
      <c r="BV240" s="2854">
        <f t="shared" si="583"/>
        <v>1.2270279273777218</v>
      </c>
      <c r="BW240" s="2854">
        <f t="shared" ref="BW240:CD240" si="584">IF(UPPER($F241)="N",BW241,(BV220*BW233+BV223*BW236)/(BV220+BV223))</f>
        <v>-2.7863097849934348</v>
      </c>
      <c r="BX240" s="2854">
        <f t="shared" si="584"/>
        <v>-1.0287369292108495</v>
      </c>
      <c r="BY240" s="2854">
        <f t="shared" si="584"/>
        <v>14.476009501187658</v>
      </c>
      <c r="BZ240" s="2854">
        <f t="shared" si="584"/>
        <v>2.901581926530894</v>
      </c>
      <c r="CA240" s="2854">
        <f t="shared" si="584"/>
        <v>2.4616476585310743</v>
      </c>
      <c r="CB240" s="2854">
        <f t="shared" si="584"/>
        <v>-4.943558417431559</v>
      </c>
      <c r="CC240" s="2854">
        <f t="shared" si="584"/>
        <v>5.4375010351623843</v>
      </c>
      <c r="CD240" s="2854">
        <f t="shared" si="584"/>
        <v>3.3506126295947292</v>
      </c>
      <c r="CE240" s="2854">
        <f t="shared" ref="CE240:CL240" si="585">IF(UPPER($F241)="N",CE241,(CD220*CE233+CD223*CE236)/(CD220+CD223))</f>
        <v>-4.9473348228534881</v>
      </c>
      <c r="CF240" s="2854">
        <f t="shared" si="585"/>
        <v>3.9208161437845668</v>
      </c>
      <c r="CG240" s="2854">
        <f t="shared" si="585"/>
        <v>1.2832743498999877</v>
      </c>
      <c r="CH240" s="2854">
        <f t="shared" si="585"/>
        <v>1.765313563441917</v>
      </c>
      <c r="CI240" s="2854">
        <f t="shared" si="585"/>
        <v>1.5480846744095667</v>
      </c>
      <c r="CJ240" s="2854">
        <f t="shared" si="585"/>
        <v>2.5726592476074339</v>
      </c>
      <c r="CK240" s="2854">
        <f t="shared" si="585"/>
        <v>-0.70227738523498395</v>
      </c>
      <c r="CL240" s="2854">
        <f t="shared" si="585"/>
        <v>0.66827360247103673</v>
      </c>
      <c r="CM240" s="2854">
        <f t="shared" ref="CM240:CS240" si="586">IF(UPPER($F241)="N",CM241,(CL220*CM233+CL223*CM236)/(CL220+CL223))</f>
        <v>-0.96492988845239269</v>
      </c>
      <c r="CN240" s="2854">
        <f t="shared" si="586"/>
        <v>2.293226007267668</v>
      </c>
      <c r="CO240" s="2854">
        <f t="shared" si="586"/>
        <v>1.1138316090408606</v>
      </c>
      <c r="CP240" s="2854">
        <f t="shared" si="586"/>
        <v>2.233917473825664</v>
      </c>
      <c r="CQ240" s="2854">
        <f t="shared" si="586"/>
        <v>6.1610076670317593</v>
      </c>
      <c r="CR240" s="2854">
        <f t="shared" si="586"/>
        <v>2.1382512251741037</v>
      </c>
      <c r="CS240" s="2854">
        <f t="shared" si="586"/>
        <v>3.3043763731407383</v>
      </c>
      <c r="CT240" s="2854">
        <f>IF(UPPER($F241)="N",CT241,(CS220*CT233+CS223*CT236)/(CS220+CS223))</f>
        <v>2.9872272810609335</v>
      </c>
      <c r="CU240" s="2854">
        <f t="shared" ref="CU240:DB240" si="587">IF(UPPER($F241)="N",CU241,(CT220*CU233+CT223*CU236)/(CT220+CT223))</f>
        <v>0.8</v>
      </c>
      <c r="CV240" s="2854">
        <f t="shared" si="587"/>
        <v>0.8</v>
      </c>
      <c r="CW240" s="2854">
        <f t="shared" si="587"/>
        <v>0.8</v>
      </c>
      <c r="CX240" s="2854">
        <f t="shared" si="587"/>
        <v>0.75</v>
      </c>
      <c r="CY240" s="2854">
        <f t="shared" si="587"/>
        <v>1.5</v>
      </c>
      <c r="CZ240" s="2854">
        <f t="shared" si="587"/>
        <v>1.6</v>
      </c>
      <c r="DA240" s="2854">
        <f t="shared" si="587"/>
        <v>1.6</v>
      </c>
      <c r="DB240" s="2854">
        <f t="shared" si="587"/>
        <v>1.6</v>
      </c>
    </row>
    <row r="241" spans="1:119" s="699" customFormat="1" ht="12.75" customHeight="1">
      <c r="A241" s="664"/>
      <c r="B241" s="664"/>
      <c r="C241" s="1576"/>
      <c r="D241" s="689"/>
      <c r="E241" s="3623" t="s">
        <v>1787</v>
      </c>
      <c r="F241" s="3637" t="s">
        <v>235</v>
      </c>
      <c r="G241" s="978"/>
      <c r="H241" s="978">
        <f t="shared" si="575"/>
        <v>-0.99948950804698011</v>
      </c>
      <c r="I241" s="978">
        <f t="shared" si="575"/>
        <v>4.890493120199757</v>
      </c>
      <c r="J241" s="978">
        <f t="shared" si="575"/>
        <v>3.7258402545990776</v>
      </c>
      <c r="K241" s="978">
        <f t="shared" si="575"/>
        <v>6.2910025193943619</v>
      </c>
      <c r="L241" s="978">
        <f t="shared" si="575"/>
        <v>4.5551618126774773</v>
      </c>
      <c r="M241" s="978">
        <f t="shared" si="575"/>
        <v>7.3644280840366338</v>
      </c>
      <c r="N241" s="978">
        <f t="shared" si="575"/>
        <v>6.7024857316078545</v>
      </c>
      <c r="O241" s="978">
        <f t="shared" ref="O241:BJ241" si="588">(O228/N228-1)*100</f>
        <v>6.7262289621661919</v>
      </c>
      <c r="P241" s="978">
        <f t="shared" si="588"/>
        <v>7.3634160669701965</v>
      </c>
      <c r="Q241" s="978">
        <f t="shared" si="588"/>
        <v>0.65318126635089957</v>
      </c>
      <c r="R241" s="978">
        <f t="shared" si="588"/>
        <v>5.2017327783912215</v>
      </c>
      <c r="S241" s="978">
        <f t="shared" si="588"/>
        <v>3.0051512264440472</v>
      </c>
      <c r="T241" s="978">
        <f t="shared" si="588"/>
        <v>0.12384774565747936</v>
      </c>
      <c r="U241" s="978">
        <f t="shared" si="588"/>
        <v>1.3340222650194855</v>
      </c>
      <c r="V241" s="978">
        <f t="shared" si="588"/>
        <v>-12.331772740617131</v>
      </c>
      <c r="W241" s="978">
        <f t="shared" si="588"/>
        <v>-5.1693750220310868</v>
      </c>
      <c r="X241" s="978">
        <f t="shared" si="588"/>
        <v>3.5572902146640439</v>
      </c>
      <c r="Y241" s="978">
        <f t="shared" si="588"/>
        <v>-1.8880453705199307</v>
      </c>
      <c r="Z241" s="978">
        <f t="shared" si="588"/>
        <v>-2.6432765653867873</v>
      </c>
      <c r="AA241" s="978">
        <f t="shared" si="588"/>
        <v>2.825899064296733</v>
      </c>
      <c r="AB241" s="978">
        <f t="shared" si="588"/>
        <v>0.50615795051711654</v>
      </c>
      <c r="AC241" s="978">
        <f t="shared" si="588"/>
        <v>6.7978110284893534</v>
      </c>
      <c r="AD241" s="978">
        <f t="shared" si="588"/>
        <v>9.8736849273106664E-2</v>
      </c>
      <c r="AE241" s="978">
        <f t="shared" si="588"/>
        <v>8.0969387755101874</v>
      </c>
      <c r="AF241" s="978">
        <f t="shared" si="588"/>
        <v>2.6919022671134885</v>
      </c>
      <c r="AG241" s="978">
        <f t="shared" si="588"/>
        <v>3.9955876945704238</v>
      </c>
      <c r="AH241" s="978">
        <f t="shared" si="588"/>
        <v>7.4823217442545609</v>
      </c>
      <c r="AI241" s="978">
        <f t="shared" si="588"/>
        <v>3.0414342301840813</v>
      </c>
      <c r="AJ241" s="978">
        <f t="shared" si="588"/>
        <v>7.5128362020803863</v>
      </c>
      <c r="AK241" s="978">
        <f t="shared" si="588"/>
        <v>-0.80172221809813315</v>
      </c>
      <c r="AL241" s="978">
        <f t="shared" si="588"/>
        <v>4.1233256005388075</v>
      </c>
      <c r="AM241" s="978">
        <f t="shared" si="588"/>
        <v>1.2936610608020649</v>
      </c>
      <c r="AN241" s="978">
        <f t="shared" si="588"/>
        <v>-1.020528830235079</v>
      </c>
      <c r="AO241" s="978">
        <f t="shared" si="588"/>
        <v>4.0644675690851839</v>
      </c>
      <c r="AP241" s="978">
        <f t="shared" si="588"/>
        <v>4.5027151762855544</v>
      </c>
      <c r="AQ241" s="978">
        <f t="shared" si="588"/>
        <v>1.0832188959077227</v>
      </c>
      <c r="AR241" s="978">
        <f t="shared" si="588"/>
        <v>5.6373694449576517</v>
      </c>
      <c r="AS241" s="978">
        <f t="shared" si="588"/>
        <v>4.0268318278154025</v>
      </c>
      <c r="AT241" s="978">
        <f t="shared" si="588"/>
        <v>2.3231663897460342</v>
      </c>
      <c r="AU241" s="978">
        <f t="shared" si="588"/>
        <v>18.554109471201706</v>
      </c>
      <c r="AV241" s="978">
        <f t="shared" si="588"/>
        <v>7.6708703974777581</v>
      </c>
      <c r="AW241" s="978">
        <f t="shared" si="588"/>
        <v>2.3530026928808567</v>
      </c>
      <c r="AX241" s="978">
        <f t="shared" si="588"/>
        <v>9.4715062964571004</v>
      </c>
      <c r="AY241" s="978">
        <f t="shared" si="588"/>
        <v>0.30566768555897461</v>
      </c>
      <c r="AZ241" s="978">
        <f t="shared" si="588"/>
        <v>-1.0398250674606757</v>
      </c>
      <c r="BA241" s="978">
        <f t="shared" si="588"/>
        <v>6.2010766084483082</v>
      </c>
      <c r="BB241" s="978">
        <f t="shared" si="588"/>
        <v>4.4843843378560955</v>
      </c>
      <c r="BC241" s="978">
        <f t="shared" si="588"/>
        <v>-0.25209193941319041</v>
      </c>
      <c r="BD241" s="978">
        <f t="shared" si="588"/>
        <v>5.0099817355476972</v>
      </c>
      <c r="BE241" s="978">
        <f t="shared" si="588"/>
        <v>0.25685104661745672</v>
      </c>
      <c r="BF241" s="978">
        <f t="shared" si="588"/>
        <v>2.842330347776989</v>
      </c>
      <c r="BG241" s="978">
        <f t="shared" si="588"/>
        <v>6.1611188481983215</v>
      </c>
      <c r="BH241" s="978">
        <f t="shared" si="588"/>
        <v>4.5766970917556549</v>
      </c>
      <c r="BI241" s="978">
        <f t="shared" si="588"/>
        <v>-0.33746179261116005</v>
      </c>
      <c r="BJ241" s="978">
        <f t="shared" si="588"/>
        <v>-8.3179690823996566</v>
      </c>
      <c r="BK241" s="978">
        <f t="shared" ref="BK241:BR241" si="589">(BK228/BJ228-1)*100</f>
        <v>-24.661613427179219</v>
      </c>
      <c r="BL241" s="978">
        <f t="shared" si="589"/>
        <v>-1.6272265284122955</v>
      </c>
      <c r="BM241" s="978">
        <f t="shared" si="589"/>
        <v>5.1007096639532401</v>
      </c>
      <c r="BN241" s="978">
        <f t="shared" si="589"/>
        <v>3.602015738649067</v>
      </c>
      <c r="BO241" s="978">
        <f t="shared" si="589"/>
        <v>0.68529256721139298</v>
      </c>
      <c r="BP241" s="978">
        <f t="shared" si="589"/>
        <v>8.807710613993347</v>
      </c>
      <c r="BQ241" s="978">
        <f t="shared" si="589"/>
        <v>6.1569082041075029</v>
      </c>
      <c r="BR241" s="978">
        <f t="shared" si="589"/>
        <v>8.5688973133344337</v>
      </c>
      <c r="BS241" s="978">
        <f t="shared" ref="BS241:CE241" si="590">(BS228/BR228-1)*100</f>
        <v>4.920770471581748</v>
      </c>
      <c r="BT241" s="978">
        <f t="shared" si="590"/>
        <v>-2.5575170018810711</v>
      </c>
      <c r="BU241" s="978">
        <f t="shared" si="590"/>
        <v>0.29513308831718987</v>
      </c>
      <c r="BV241" s="978">
        <f t="shared" si="590"/>
        <v>1.2270279273777218</v>
      </c>
      <c r="BW241" s="978">
        <f t="shared" si="590"/>
        <v>-2.7863097849934348</v>
      </c>
      <c r="BX241" s="978">
        <f t="shared" si="590"/>
        <v>-1.0287369292108495</v>
      </c>
      <c r="BY241" s="978">
        <f t="shared" si="590"/>
        <v>14.476009501187658</v>
      </c>
      <c r="BZ241" s="978">
        <f t="shared" si="590"/>
        <v>2.901581926530894</v>
      </c>
      <c r="CA241" s="978">
        <f t="shared" si="590"/>
        <v>2.4616476585310743</v>
      </c>
      <c r="CB241" s="978">
        <f t="shared" si="590"/>
        <v>-4.943558417431559</v>
      </c>
      <c r="CC241" s="978">
        <f t="shared" si="590"/>
        <v>5.4375010351623843</v>
      </c>
      <c r="CD241" s="978">
        <f t="shared" si="590"/>
        <v>3.3506126295947292</v>
      </c>
      <c r="CE241" s="978">
        <f t="shared" si="590"/>
        <v>-4.9473348228534881</v>
      </c>
      <c r="CF241" s="978">
        <f t="shared" ref="CF241:CL241" si="591">(CF228/CE228-1)*100</f>
        <v>3.9208161437845668</v>
      </c>
      <c r="CG241" s="978">
        <f t="shared" si="591"/>
        <v>1.2832743498999877</v>
      </c>
      <c r="CH241" s="978">
        <f t="shared" si="591"/>
        <v>1.765313563441917</v>
      </c>
      <c r="CI241" s="978">
        <f t="shared" si="591"/>
        <v>1.5480846744095667</v>
      </c>
      <c r="CJ241" s="978">
        <f t="shared" si="591"/>
        <v>2.5726592476074339</v>
      </c>
      <c r="CK241" s="978">
        <f t="shared" si="591"/>
        <v>-0.70227738523498395</v>
      </c>
      <c r="CL241" s="978">
        <f t="shared" si="591"/>
        <v>0.66827360247103673</v>
      </c>
      <c r="CM241" s="978">
        <f>(CM228/CL228-1)*100</f>
        <v>-0.96492988845239269</v>
      </c>
      <c r="CN241" s="978">
        <f>(CN228/CM228-1)*100</f>
        <v>2.293226007267668</v>
      </c>
      <c r="CO241" s="978">
        <f>(CO228/CN228-1)*100</f>
        <v>1.1138316090408606</v>
      </c>
      <c r="CP241" s="978">
        <f>(CP228/CO228-1)*100</f>
        <v>2.233917473825664</v>
      </c>
      <c r="CQ241" s="978">
        <f>(CQ228/CP228-1)*100</f>
        <v>6.1610076670317593</v>
      </c>
      <c r="CR241" s="978">
        <f t="shared" ref="CR241:CT241" si="592">(CR228/CQ228-1)*100</f>
        <v>2.1382512251741037</v>
      </c>
      <c r="CS241" s="978">
        <f t="shared" si="592"/>
        <v>3.3043763731407383</v>
      </c>
      <c r="CT241" s="978">
        <f t="shared" si="592"/>
        <v>2.9872272810609335</v>
      </c>
      <c r="CU241" s="740">
        <v>0.8</v>
      </c>
      <c r="CV241" s="740">
        <v>0.8</v>
      </c>
      <c r="CW241" s="740">
        <v>0.8</v>
      </c>
      <c r="CX241" s="740">
        <v>0.75</v>
      </c>
      <c r="CY241" s="740">
        <v>1.5</v>
      </c>
      <c r="CZ241" s="740">
        <v>1.6</v>
      </c>
      <c r="DA241" s="740">
        <v>1.6</v>
      </c>
      <c r="DB241" s="740">
        <v>1.6</v>
      </c>
      <c r="DC241" s="3432"/>
      <c r="DD241"/>
      <c r="DE241"/>
      <c r="DF241"/>
      <c r="DG241"/>
      <c r="DH241"/>
      <c r="DI241"/>
      <c r="DJ241"/>
      <c r="DK241"/>
      <c r="DL241"/>
      <c r="DM241"/>
      <c r="DN241"/>
      <c r="DO241"/>
    </row>
    <row r="242" spans="1:119" ht="12.75" customHeight="1">
      <c r="A242" s="664"/>
      <c r="C242" s="1577"/>
      <c r="D242" s="1581"/>
      <c r="E242" s="1582" t="s">
        <v>266</v>
      </c>
      <c r="F242" s="1649"/>
      <c r="G242" s="1605"/>
      <c r="H242" s="1606"/>
      <c r="I242" s="1606"/>
      <c r="J242" s="1606"/>
      <c r="K242" s="1607"/>
      <c r="L242" s="1607"/>
      <c r="M242" s="1607"/>
      <c r="N242" s="1608">
        <f>N229/J229*100-100</f>
        <v>21.747467343786809</v>
      </c>
      <c r="O242" s="1607"/>
      <c r="P242" s="1607"/>
      <c r="Q242" s="1607"/>
      <c r="R242" s="1608">
        <f>R229/N229*100-100</f>
        <v>25.646786894939112</v>
      </c>
      <c r="S242" s="1607"/>
      <c r="T242" s="1607"/>
      <c r="U242" s="1607"/>
      <c r="V242" s="1608">
        <f>V229/R229*100-100</f>
        <v>6.5733463958895726</v>
      </c>
      <c r="W242" s="1607"/>
      <c r="X242" s="1607"/>
      <c r="Y242" s="1607"/>
      <c r="Z242" s="1608">
        <f>Z229/V229*100-100</f>
        <v>-12.724798484215938</v>
      </c>
      <c r="AA242" s="1607"/>
      <c r="AB242" s="1607"/>
      <c r="AC242" s="1607"/>
      <c r="AD242" s="1608">
        <f>AD229/Z229*100-100</f>
        <v>4.5342274840970873</v>
      </c>
      <c r="AE242" s="1607"/>
      <c r="AF242" s="1607"/>
      <c r="AG242" s="1607"/>
      <c r="AH242" s="1608">
        <f>AH229/AD229*100-100</f>
        <v>18.65658179002159</v>
      </c>
      <c r="AI242" s="1607"/>
      <c r="AJ242" s="1607"/>
      <c r="AK242" s="1607"/>
      <c r="AL242" s="1608">
        <f>AL229/AH229*100-100</f>
        <v>18.53881752647662</v>
      </c>
      <c r="AM242" s="1607"/>
      <c r="AN242" s="1607"/>
      <c r="AO242" s="1607"/>
      <c r="AP242" s="1608">
        <f>AP229/AL229*100-100</f>
        <v>8.3609142042006255</v>
      </c>
      <c r="AQ242" s="1607"/>
      <c r="AR242" s="1607"/>
      <c r="AS242" s="1607"/>
      <c r="AT242" s="1608">
        <f>AT229/AP229*100-100</f>
        <v>13.680703709370576</v>
      </c>
      <c r="AU242" s="1607"/>
      <c r="AV242" s="1607"/>
      <c r="AW242" s="1607"/>
      <c r="AX242" s="1608">
        <f>AX229/AT229*100-100</f>
        <v>36.59175157828443</v>
      </c>
      <c r="AY242" s="1607"/>
      <c r="AZ242" s="1607"/>
      <c r="BA242" s="1607"/>
      <c r="BB242" s="1608">
        <f>BB229/AX229*100-100</f>
        <v>14.208590374825889</v>
      </c>
      <c r="BC242" s="1607"/>
      <c r="BD242" s="1607"/>
      <c r="BE242" s="1607"/>
      <c r="BF242" s="1608">
        <f>BF229/BB229*100-100</f>
        <v>10.775491391860029</v>
      </c>
      <c r="BG242" s="1607"/>
      <c r="BH242" s="1607"/>
      <c r="BI242" s="1607"/>
      <c r="BJ242" s="1608">
        <f>BJ229/BF229*100-100</f>
        <v>11.041484849099874</v>
      </c>
      <c r="BK242" s="1607"/>
      <c r="BL242" s="1607"/>
      <c r="BM242" s="1607"/>
      <c r="BN242" s="1608">
        <f>BN229/BJ229*100-100</f>
        <v>-27.205556444058558</v>
      </c>
      <c r="BO242" s="1607"/>
      <c r="BP242" s="1607"/>
      <c r="BQ242" s="1607"/>
      <c r="BR242" s="1608">
        <f>BR229/BN229*100-100</f>
        <v>18.621278412122507</v>
      </c>
      <c r="BS242" s="1607"/>
      <c r="BT242" s="1607"/>
      <c r="BU242" s="1607"/>
      <c r="BV242" s="1608">
        <f>BV229/BR229*100-100</f>
        <v>15.30332536037082</v>
      </c>
      <c r="BW242" s="1607"/>
      <c r="BX242" s="1607"/>
      <c r="BY242" s="1607"/>
      <c r="BZ242" s="1608">
        <f>BZ229/BV229*100-100</f>
        <v>4.6537029982881535</v>
      </c>
      <c r="CA242" s="1607"/>
      <c r="CB242" s="1607"/>
      <c r="CC242" s="1607"/>
      <c r="CD242" s="1608">
        <f>CD229/BZ229*100-100</f>
        <v>11.101999289570273</v>
      </c>
      <c r="CE242" s="1607"/>
      <c r="CF242" s="1607"/>
      <c r="CG242" s="1607"/>
      <c r="CH242" s="1608">
        <f>CH229/CD229*100-100</f>
        <v>2.7594563977469448</v>
      </c>
      <c r="CI242" s="1609"/>
      <c r="CJ242" s="1609"/>
      <c r="CK242" s="1609"/>
      <c r="CL242" s="1610">
        <f>CL229/CH229*100-100</f>
        <v>6.332921048790439</v>
      </c>
      <c r="CM242" s="1609"/>
      <c r="CN242" s="1609"/>
      <c r="CO242" s="1609"/>
      <c r="CP242" s="1610">
        <f>CP229/CL229*100-100</f>
        <v>2.6691953400162447</v>
      </c>
      <c r="CQ242" s="1609"/>
      <c r="CR242" s="1609"/>
      <c r="CS242" s="1609"/>
      <c r="CT242" s="1610">
        <f>CT229/CP229*100-100</f>
        <v>13.580611792522546</v>
      </c>
      <c r="CU242" s="1609"/>
      <c r="CV242" s="1609"/>
      <c r="CW242" s="1609"/>
      <c r="CX242" s="1610">
        <f>CX229/CT229*100-100</f>
        <v>6.4978108278907172</v>
      </c>
      <c r="CY242" s="1609"/>
      <c r="CZ242" s="1609"/>
      <c r="DA242" s="1609"/>
      <c r="DB242" s="3739">
        <f>DB229/CX229*100-100</f>
        <v>5.1689614157828316</v>
      </c>
    </row>
    <row r="243" spans="1:119" s="699" customFormat="1" ht="12.75" customHeight="1">
      <c r="A243" s="664"/>
      <c r="B243" s="664"/>
      <c r="C243" s="666"/>
      <c r="D243" s="717"/>
      <c r="E243" s="1596" t="s">
        <v>1847</v>
      </c>
      <c r="F243" s="717"/>
      <c r="G243" s="1597"/>
      <c r="H243" s="1597"/>
      <c r="I243" s="1597"/>
      <c r="J243" s="1598"/>
      <c r="K243" s="1597"/>
      <c r="L243" s="1597"/>
      <c r="M243" s="1597"/>
      <c r="N243" s="1599">
        <f ca="1">N230/J230*100-100</f>
        <v>23.166175697902133</v>
      </c>
      <c r="O243" s="1597"/>
      <c r="P243" s="1597"/>
      <c r="Q243" s="1597"/>
      <c r="R243" s="1599">
        <f ca="1">R230/N230*100-100</f>
        <v>24.966294345254951</v>
      </c>
      <c r="S243" s="1597"/>
      <c r="T243" s="1597"/>
      <c r="U243" s="1597"/>
      <c r="V243" s="1599">
        <f ca="1">V230/R230*100-100</f>
        <v>6.1402011527074194</v>
      </c>
      <c r="W243" s="1597"/>
      <c r="X243" s="1597"/>
      <c r="Y243" s="1597"/>
      <c r="Z243" s="1599">
        <f ca="1">Z230/V230*100-100</f>
        <v>-12.35126928431113</v>
      </c>
      <c r="AA243" s="1597"/>
      <c r="AB243" s="1597"/>
      <c r="AC243" s="1597"/>
      <c r="AD243" s="1599">
        <f ca="1">AD230/Z230*100-100</f>
        <v>4.9760726387508782</v>
      </c>
      <c r="AE243" s="1597"/>
      <c r="AF243" s="1597"/>
      <c r="AG243" s="1597"/>
      <c r="AH243" s="1599">
        <f ca="1">AH230/AD230*100-100</f>
        <v>17.576290385742467</v>
      </c>
      <c r="AI243" s="1597"/>
      <c r="AJ243" s="1597"/>
      <c r="AK243" s="1597"/>
      <c r="AL243" s="1599">
        <f ca="1">AL230/AH230*100-100</f>
        <v>18.582320452280499</v>
      </c>
      <c r="AM243" s="1597"/>
      <c r="AN243" s="1597"/>
      <c r="AO243" s="1597"/>
      <c r="AP243" s="1599">
        <f ca="1">AP230/AL230*100-100</f>
        <v>8.85629306333702</v>
      </c>
      <c r="AQ243" s="1597"/>
      <c r="AR243" s="1597"/>
      <c r="AS243" s="1597"/>
      <c r="AT243" s="1599">
        <f ca="1">AT230/AP230*100-100</f>
        <v>15.140289710799209</v>
      </c>
      <c r="AU243" s="1597"/>
      <c r="AV243" s="1597"/>
      <c r="AW243" s="1597"/>
      <c r="AX243" s="1599">
        <f ca="1">AX230/AT230*100-100</f>
        <v>20.340344313524227</v>
      </c>
      <c r="AY243" s="1597"/>
      <c r="AZ243" s="1597"/>
      <c r="BA243" s="1597"/>
      <c r="BB243" s="1599">
        <f ca="1">BB230/AX230*100-100</f>
        <v>14.258666950116108</v>
      </c>
      <c r="BC243" s="1597"/>
      <c r="BD243" s="1597"/>
      <c r="BE243" s="1597"/>
      <c r="BF243" s="1599">
        <f ca="1">BF230/BB230*100-100</f>
        <v>10.808883185624168</v>
      </c>
      <c r="BG243" s="1597"/>
      <c r="BH243" s="1597"/>
      <c r="BI243" s="1597"/>
      <c r="BJ243" s="1599">
        <f ca="1">BJ230/BF230*100-100</f>
        <v>12.187524486682804</v>
      </c>
      <c r="BK243" s="1597"/>
      <c r="BL243" s="1597"/>
      <c r="BM243" s="1597"/>
      <c r="BN243" s="1599">
        <f ca="1">BN230/BJ230*100-100</f>
        <v>-27.996827041084288</v>
      </c>
      <c r="BO243" s="1597"/>
      <c r="BP243" s="1597"/>
      <c r="BQ243" s="1597"/>
      <c r="BR243" s="1599">
        <f ca="1">BR230/BN230*100-100</f>
        <v>18.67137822541784</v>
      </c>
      <c r="BS243" s="1597"/>
      <c r="BT243" s="1597"/>
      <c r="BU243" s="1597"/>
      <c r="BV243" s="1599">
        <f ca="1">BV230/BR230*100-100</f>
        <v>15.006828523642952</v>
      </c>
      <c r="BW243" s="1597"/>
      <c r="BX243" s="1597"/>
      <c r="BY243" s="1597"/>
      <c r="BZ243" s="1599">
        <f ca="1">BZ230/BV230*100-100</f>
        <v>6.6449627758580903</v>
      </c>
      <c r="CA243" s="1597"/>
      <c r="CB243" s="1597"/>
      <c r="CC243" s="1597"/>
      <c r="CD243" s="1599">
        <f ca="1">CD230/BZ230*100-100</f>
        <v>9.1127519671374984</v>
      </c>
      <c r="CE243" s="1597"/>
      <c r="CF243" s="1597"/>
      <c r="CG243" s="1597"/>
      <c r="CH243" s="1599">
        <f ca="1">CH230/CD230*100-100</f>
        <v>3.0964332515761868</v>
      </c>
      <c r="CI243" s="1611"/>
      <c r="CJ243" s="1611"/>
      <c r="CK243" s="1611"/>
      <c r="CL243" s="1612">
        <f ca="1">CL230/CH230*100-100</f>
        <v>6.200607996282173</v>
      </c>
      <c r="CM243" s="1611"/>
      <c r="CN243" s="1611"/>
      <c r="CO243" s="1611"/>
      <c r="CP243" s="1612">
        <f ca="1">CP230/CL230*100-100</f>
        <v>3.5277957090910519</v>
      </c>
      <c r="CQ243" s="1611"/>
      <c r="CR243" s="1611"/>
      <c r="CS243" s="1611"/>
      <c r="CT243" s="1612">
        <f ca="1">CT230/CP230*100-100</f>
        <v>12.812325047587052</v>
      </c>
      <c r="CU243" s="1611"/>
      <c r="CV243" s="1611"/>
      <c r="CW243" s="1611"/>
      <c r="CX243" s="1612">
        <f ca="1">CX230/CT230*100-100</f>
        <v>6.4999999999999716</v>
      </c>
      <c r="CY243" s="1611"/>
      <c r="CZ243" s="1611"/>
      <c r="DA243" s="1611"/>
      <c r="DB243" s="3740">
        <f ca="1">DB230/CX230*100-100</f>
        <v>5.1512076881462718</v>
      </c>
      <c r="DC243"/>
      <c r="DD243"/>
      <c r="DE243"/>
      <c r="DF243"/>
      <c r="DG243"/>
      <c r="DH243"/>
      <c r="DI243"/>
      <c r="DJ243"/>
      <c r="DK243"/>
      <c r="DL243"/>
      <c r="DM243"/>
      <c r="DN243"/>
      <c r="DO243"/>
    </row>
    <row r="244" spans="1:119" ht="12.75" customHeight="1">
      <c r="A244" s="664"/>
      <c r="E244" s="599"/>
      <c r="F244" s="3617"/>
      <c r="AY244" s="217"/>
      <c r="BA244" s="217"/>
      <c r="BB244" s="217"/>
      <c r="BC244" s="217"/>
      <c r="BD244" s="217"/>
      <c r="BE244" s="217"/>
      <c r="BF244" s="217"/>
      <c r="BG244" s="217"/>
      <c r="BH244" s="217"/>
      <c r="BI244" s="217"/>
      <c r="BJ244" s="217"/>
      <c r="BK244" s="1602"/>
      <c r="BL244" s="1602"/>
      <c r="BM244" s="1602"/>
      <c r="BN244" s="1602"/>
      <c r="BO244" s="1602"/>
      <c r="BP244" s="1602"/>
      <c r="BQ244" s="1602"/>
      <c r="BR244" s="1602"/>
      <c r="BS244" s="1602"/>
      <c r="BT244" s="1602"/>
      <c r="BU244" s="1602"/>
      <c r="BV244" s="1602"/>
      <c r="BW244" s="1602"/>
      <c r="BX244" s="1602"/>
      <c r="BY244" s="1602"/>
      <c r="BZ244" s="1602"/>
      <c r="CA244" s="1602"/>
      <c r="CB244" s="1602"/>
      <c r="CC244" s="1602"/>
      <c r="CD244" s="1602"/>
      <c r="CE244" s="1602"/>
      <c r="CF244" s="1602"/>
      <c r="CG244" s="1602"/>
      <c r="CH244" s="1602"/>
      <c r="CI244" s="1602"/>
      <c r="CJ244" s="1602"/>
      <c r="CK244" s="1602"/>
      <c r="CL244" s="1602"/>
      <c r="CM244" s="1602"/>
      <c r="CN244" s="1602"/>
      <c r="CO244" s="1602"/>
      <c r="CQ244" s="1602"/>
      <c r="CR244" s="1602"/>
      <c r="CS244" s="1602"/>
      <c r="CT244" s="1602"/>
      <c r="CU244" s="1602"/>
      <c r="CV244" s="1602"/>
      <c r="CW244" s="1602"/>
      <c r="CX244" s="1602"/>
      <c r="CY244" s="1602"/>
      <c r="CZ244" s="1602"/>
      <c r="DA244" s="1602"/>
      <c r="DB244" s="1602"/>
    </row>
    <row r="245" spans="1:119" s="699" customFormat="1" ht="12.75" customHeight="1">
      <c r="A245" s="664"/>
      <c r="B245" s="664"/>
      <c r="C245" s="666"/>
      <c r="D245" s="858"/>
      <c r="E245" s="3625"/>
      <c r="F245" s="3626"/>
      <c r="G245" s="1588" t="str">
        <f>G232</f>
        <v>Q1</v>
      </c>
      <c r="H245" s="1588" t="str">
        <f t="shared" ref="H245:BN245" si="593">H232</f>
        <v>Q2</v>
      </c>
      <c r="I245" s="1588" t="str">
        <f t="shared" si="593"/>
        <v>Q3</v>
      </c>
      <c r="J245" s="1588" t="str">
        <f t="shared" si="593"/>
        <v>Q4</v>
      </c>
      <c r="K245" s="1593" t="str">
        <f t="shared" si="593"/>
        <v>Q1</v>
      </c>
      <c r="L245" s="1588" t="str">
        <f t="shared" si="593"/>
        <v>Q2</v>
      </c>
      <c r="M245" s="1588" t="str">
        <f t="shared" si="593"/>
        <v>Q3</v>
      </c>
      <c r="N245" s="1594" t="str">
        <f t="shared" si="593"/>
        <v>Q4</v>
      </c>
      <c r="O245" s="1593" t="str">
        <f t="shared" si="593"/>
        <v>Q1</v>
      </c>
      <c r="P245" s="1588" t="str">
        <f t="shared" si="593"/>
        <v>Q2</v>
      </c>
      <c r="Q245" s="1588" t="str">
        <f t="shared" si="593"/>
        <v>Q3</v>
      </c>
      <c r="R245" s="1594" t="str">
        <f t="shared" si="593"/>
        <v>Q4</v>
      </c>
      <c r="S245" s="1593" t="str">
        <f t="shared" si="593"/>
        <v>Q1</v>
      </c>
      <c r="T245" s="1588" t="str">
        <f t="shared" si="593"/>
        <v>Q2</v>
      </c>
      <c r="U245" s="1588" t="str">
        <f t="shared" si="593"/>
        <v>Q3</v>
      </c>
      <c r="V245" s="1594" t="str">
        <f t="shared" si="593"/>
        <v>Q4</v>
      </c>
      <c r="W245" s="1593" t="str">
        <f t="shared" si="593"/>
        <v>Q1</v>
      </c>
      <c r="X245" s="1588" t="str">
        <f t="shared" si="593"/>
        <v>Q2</v>
      </c>
      <c r="Y245" s="1588" t="str">
        <f t="shared" si="593"/>
        <v>Q3</v>
      </c>
      <c r="Z245" s="1594" t="str">
        <f t="shared" si="593"/>
        <v>Q4</v>
      </c>
      <c r="AA245" s="1593" t="str">
        <f t="shared" si="593"/>
        <v>Q1</v>
      </c>
      <c r="AB245" s="1588" t="str">
        <f t="shared" si="593"/>
        <v>Q2</v>
      </c>
      <c r="AC245" s="1588" t="str">
        <f t="shared" si="593"/>
        <v>Q3</v>
      </c>
      <c r="AD245" s="1594" t="str">
        <f t="shared" si="593"/>
        <v>Q4</v>
      </c>
      <c r="AE245" s="1593" t="str">
        <f t="shared" si="593"/>
        <v>Q1</v>
      </c>
      <c r="AF245" s="1588" t="str">
        <f t="shared" si="593"/>
        <v>Q2</v>
      </c>
      <c r="AG245" s="1588" t="str">
        <f t="shared" si="593"/>
        <v>Q3</v>
      </c>
      <c r="AH245" s="1594" t="str">
        <f t="shared" si="593"/>
        <v>Q4</v>
      </c>
      <c r="AI245" s="1593" t="str">
        <f t="shared" si="593"/>
        <v>Q1</v>
      </c>
      <c r="AJ245" s="1588" t="str">
        <f t="shared" si="593"/>
        <v>Q2</v>
      </c>
      <c r="AK245" s="1588" t="str">
        <f t="shared" si="593"/>
        <v>Q3</v>
      </c>
      <c r="AL245" s="1594" t="str">
        <f t="shared" si="593"/>
        <v>Q4</v>
      </c>
      <c r="AM245" s="1593" t="str">
        <f t="shared" si="593"/>
        <v>Q1</v>
      </c>
      <c r="AN245" s="1588" t="str">
        <f t="shared" si="593"/>
        <v>Q2</v>
      </c>
      <c r="AO245" s="1588" t="str">
        <f t="shared" si="593"/>
        <v>Q3</v>
      </c>
      <c r="AP245" s="1594" t="str">
        <f t="shared" si="593"/>
        <v>Q4</v>
      </c>
      <c r="AQ245" s="1593" t="str">
        <f t="shared" si="593"/>
        <v>Q1</v>
      </c>
      <c r="AR245" s="1588" t="str">
        <f t="shared" si="593"/>
        <v>Q2</v>
      </c>
      <c r="AS245" s="1588" t="str">
        <f t="shared" si="593"/>
        <v>Q3</v>
      </c>
      <c r="AT245" s="1594" t="str">
        <f t="shared" si="593"/>
        <v>Q4</v>
      </c>
      <c r="AU245" s="1593" t="str">
        <f t="shared" si="593"/>
        <v>Q1</v>
      </c>
      <c r="AV245" s="1588" t="str">
        <f t="shared" si="593"/>
        <v>Q2</v>
      </c>
      <c r="AW245" s="1588" t="str">
        <f t="shared" si="593"/>
        <v>Q3</v>
      </c>
      <c r="AX245" s="1594" t="str">
        <f t="shared" si="593"/>
        <v>Q4</v>
      </c>
      <c r="AY245" s="1593" t="str">
        <f t="shared" si="593"/>
        <v>Q1</v>
      </c>
      <c r="AZ245" s="1588" t="str">
        <f t="shared" si="593"/>
        <v>Q2</v>
      </c>
      <c r="BA245" s="1588" t="str">
        <f t="shared" si="593"/>
        <v>Q3</v>
      </c>
      <c r="BB245" s="1594" t="str">
        <f t="shared" si="593"/>
        <v>Q4</v>
      </c>
      <c r="BC245" s="1593" t="str">
        <f t="shared" si="593"/>
        <v>Q1</v>
      </c>
      <c r="BD245" s="1588" t="str">
        <f t="shared" si="593"/>
        <v>Q2</v>
      </c>
      <c r="BE245" s="1588" t="str">
        <f t="shared" si="593"/>
        <v>Q3</v>
      </c>
      <c r="BF245" s="1594" t="str">
        <f t="shared" si="593"/>
        <v>Q4</v>
      </c>
      <c r="BG245" s="1593" t="str">
        <f t="shared" si="593"/>
        <v>Q1</v>
      </c>
      <c r="BH245" s="1588" t="str">
        <f t="shared" si="593"/>
        <v>Q2</v>
      </c>
      <c r="BI245" s="1588" t="str">
        <f t="shared" si="593"/>
        <v>Q3</v>
      </c>
      <c r="BJ245" s="1594" t="str">
        <f t="shared" si="593"/>
        <v>Q4</v>
      </c>
      <c r="BK245" s="1593" t="str">
        <f t="shared" si="593"/>
        <v>Q1</v>
      </c>
      <c r="BL245" s="1588" t="str">
        <f t="shared" si="593"/>
        <v>Q2</v>
      </c>
      <c r="BM245" s="1588" t="str">
        <f t="shared" si="593"/>
        <v>Q3</v>
      </c>
      <c r="BN245" s="1594" t="str">
        <f t="shared" si="593"/>
        <v>Q4</v>
      </c>
      <c r="BO245" s="1593" t="str">
        <f t="shared" ref="BO245:BV245" si="594">BO232</f>
        <v>Q1</v>
      </c>
      <c r="BP245" s="1588" t="str">
        <f t="shared" si="594"/>
        <v>Q2</v>
      </c>
      <c r="BQ245" s="1588" t="str">
        <f t="shared" si="594"/>
        <v>Q3</v>
      </c>
      <c r="BR245" s="1594" t="str">
        <f t="shared" si="594"/>
        <v>Q4</v>
      </c>
      <c r="BS245" s="1593" t="str">
        <f t="shared" si="594"/>
        <v>Q1</v>
      </c>
      <c r="BT245" s="1588" t="str">
        <f t="shared" si="594"/>
        <v>Q2</v>
      </c>
      <c r="BU245" s="1588" t="str">
        <f t="shared" si="594"/>
        <v>Q3</v>
      </c>
      <c r="BV245" s="1594" t="str">
        <f t="shared" si="594"/>
        <v>Q4</v>
      </c>
      <c r="BW245" s="1593" t="str">
        <f t="shared" ref="BW245:CD245" si="595">BW232</f>
        <v>Q1</v>
      </c>
      <c r="BX245" s="1588" t="str">
        <f t="shared" si="595"/>
        <v>Q2</v>
      </c>
      <c r="BY245" s="1588" t="str">
        <f t="shared" si="595"/>
        <v>Q3</v>
      </c>
      <c r="BZ245" s="1594" t="str">
        <f t="shared" si="595"/>
        <v>Q4</v>
      </c>
      <c r="CA245" s="1593" t="str">
        <f t="shared" si="595"/>
        <v>Q1</v>
      </c>
      <c r="CB245" s="1588" t="str">
        <f t="shared" si="595"/>
        <v>Q2</v>
      </c>
      <c r="CC245" s="1588" t="str">
        <f t="shared" si="595"/>
        <v>Q3</v>
      </c>
      <c r="CD245" s="1594" t="str">
        <f t="shared" si="595"/>
        <v>Q4</v>
      </c>
      <c r="CE245" s="1593" t="str">
        <f t="shared" ref="CE245:CL245" si="596">CE232</f>
        <v>Q1</v>
      </c>
      <c r="CF245" s="1588" t="str">
        <f t="shared" si="596"/>
        <v>Q2</v>
      </c>
      <c r="CG245" s="1588" t="str">
        <f t="shared" si="596"/>
        <v>Q3</v>
      </c>
      <c r="CH245" s="1594" t="str">
        <f t="shared" si="596"/>
        <v>Q4</v>
      </c>
      <c r="CI245" s="1593" t="str">
        <f t="shared" si="596"/>
        <v>Q1</v>
      </c>
      <c r="CJ245" s="1588" t="str">
        <f t="shared" si="596"/>
        <v>Q2</v>
      </c>
      <c r="CK245" s="1588" t="str">
        <f t="shared" si="596"/>
        <v>Q3</v>
      </c>
      <c r="CL245" s="1594" t="str">
        <f t="shared" si="596"/>
        <v>Q4</v>
      </c>
      <c r="CM245" s="1593" t="str">
        <f t="shared" ref="CM245:CT245" si="597">CM232</f>
        <v>Q1</v>
      </c>
      <c r="CN245" s="1588" t="str">
        <f t="shared" si="597"/>
        <v>Q2</v>
      </c>
      <c r="CO245" s="1588" t="str">
        <f t="shared" si="597"/>
        <v>Q3</v>
      </c>
      <c r="CP245" s="1594" t="str">
        <f t="shared" si="597"/>
        <v>Q4</v>
      </c>
      <c r="CQ245" s="1593" t="str">
        <f t="shared" si="597"/>
        <v>Q1</v>
      </c>
      <c r="CR245" s="1588" t="str">
        <f t="shared" si="597"/>
        <v>Q2</v>
      </c>
      <c r="CS245" s="1588" t="str">
        <f t="shared" si="597"/>
        <v>Q3</v>
      </c>
      <c r="CT245" s="1594" t="str">
        <f t="shared" si="597"/>
        <v>Q4</v>
      </c>
      <c r="CU245" s="1593" t="str">
        <f t="shared" ref="CU245:DB245" si="598">CU232</f>
        <v>Q1</v>
      </c>
      <c r="CV245" s="1588" t="str">
        <f t="shared" si="598"/>
        <v>Q2</v>
      </c>
      <c r="CW245" s="1588" t="str">
        <f t="shared" si="598"/>
        <v>Q3</v>
      </c>
      <c r="CX245" s="1594" t="str">
        <f t="shared" si="598"/>
        <v>Q4</v>
      </c>
      <c r="CY245" s="1593" t="str">
        <f t="shared" si="598"/>
        <v>Q1</v>
      </c>
      <c r="CZ245" s="1588" t="str">
        <f t="shared" si="598"/>
        <v>Q2</v>
      </c>
      <c r="DA245" s="1588" t="str">
        <f t="shared" si="598"/>
        <v>Q3</v>
      </c>
      <c r="DB245" s="1594" t="str">
        <f t="shared" si="598"/>
        <v>Q4</v>
      </c>
      <c r="DC245"/>
      <c r="DD245"/>
      <c r="DE245"/>
      <c r="DF245"/>
      <c r="DG245"/>
      <c r="DH245"/>
      <c r="DI245"/>
      <c r="DJ245"/>
      <c r="DK245"/>
      <c r="DL245"/>
      <c r="DM245"/>
      <c r="DN245"/>
      <c r="DO245"/>
    </row>
    <row r="246" spans="1:119" s="699" customFormat="1" ht="12.75" customHeight="1">
      <c r="A246" s="664"/>
      <c r="B246" s="664"/>
      <c r="C246" s="862"/>
      <c r="D246" s="863"/>
      <c r="E246" s="3627" t="s">
        <v>1848</v>
      </c>
      <c r="F246" s="3628"/>
      <c r="G246" s="705"/>
      <c r="H246" s="705"/>
      <c r="I246" s="705"/>
      <c r="J246" s="705"/>
      <c r="K246" s="1564">
        <f t="shared" ref="K246:AP246" si="599">(K228/G228-1)*100</f>
        <v>14.487224267175369</v>
      </c>
      <c r="L246" s="1564">
        <f t="shared" si="599"/>
        <v>20.91079328032135</v>
      </c>
      <c r="M246" s="1564">
        <f t="shared" si="599"/>
        <v>23.762581179331942</v>
      </c>
      <c r="N246" s="1564">
        <f t="shared" si="599"/>
        <v>27.314225847489325</v>
      </c>
      <c r="O246" s="1564">
        <f t="shared" si="599"/>
        <v>27.835535425124959</v>
      </c>
      <c r="P246" s="1564">
        <f t="shared" si="599"/>
        <v>31.269078829233244</v>
      </c>
      <c r="Q246" s="1564">
        <f t="shared" si="599"/>
        <v>23.063575355925803</v>
      </c>
      <c r="R246" s="1564">
        <f t="shared" si="599"/>
        <v>21.332706361801755</v>
      </c>
      <c r="S246" s="1564">
        <f t="shared" si="599"/>
        <v>17.102364517550317</v>
      </c>
      <c r="T246" s="1564">
        <f t="shared" si="599"/>
        <v>9.2060940786211418</v>
      </c>
      <c r="U246" s="1564">
        <f t="shared" si="599"/>
        <v>9.9447889238087228</v>
      </c>
      <c r="V246" s="1564">
        <f t="shared" si="599"/>
        <v>-8.3792206953348209</v>
      </c>
      <c r="W246" s="1564">
        <f t="shared" si="599"/>
        <v>-15.650279049350967</v>
      </c>
      <c r="X246" s="1564">
        <f t="shared" si="599"/>
        <v>-12.757762224623059</v>
      </c>
      <c r="Y246" s="1564">
        <f t="shared" si="599"/>
        <v>-15.531760379486714</v>
      </c>
      <c r="Z246" s="1564">
        <f t="shared" si="599"/>
        <v>-6.1969050724382306</v>
      </c>
      <c r="AA246" s="1564">
        <f t="shared" si="599"/>
        <v>1.7117368274323974</v>
      </c>
      <c r="AB246" s="1564">
        <f t="shared" si="599"/>
        <v>-1.2850194727112685</v>
      </c>
      <c r="AC246" s="1564">
        <f t="shared" si="599"/>
        <v>7.4542228401046406</v>
      </c>
      <c r="AD246" s="1564">
        <f t="shared" si="599"/>
        <v>10.480628311600482</v>
      </c>
      <c r="AE246" s="1564">
        <f t="shared" si="599"/>
        <v>16.144063150970279</v>
      </c>
      <c r="AF246" s="1564">
        <f t="shared" si="599"/>
        <v>18.66989073323273</v>
      </c>
      <c r="AG246" s="1564">
        <f t="shared" si="599"/>
        <v>15.55616083892275</v>
      </c>
      <c r="AH246" s="1564">
        <f t="shared" si="599"/>
        <v>24.079931972789105</v>
      </c>
      <c r="AI246" s="1564">
        <f t="shared" si="599"/>
        <v>18.276930822359638</v>
      </c>
      <c r="AJ246" s="1564">
        <f t="shared" si="599"/>
        <v>23.829513420762339</v>
      </c>
      <c r="AK246" s="1564">
        <f t="shared" si="599"/>
        <v>18.117265763111369</v>
      </c>
      <c r="AL246" s="1564">
        <f t="shared" si="599"/>
        <v>14.425910442851464</v>
      </c>
      <c r="AM246" s="1564">
        <f t="shared" si="599"/>
        <v>12.485035515709363</v>
      </c>
      <c r="AN246" s="1564">
        <f t="shared" si="599"/>
        <v>3.557023729987896</v>
      </c>
      <c r="AO246" s="1564">
        <f t="shared" si="599"/>
        <v>8.6370326024595165</v>
      </c>
      <c r="AP246" s="1564">
        <f t="shared" si="599"/>
        <v>9.0328685736188916</v>
      </c>
      <c r="AQ246" s="1564">
        <f t="shared" ref="AQ246:BN246" si="600">(AQ228/AM228-1)*100</f>
        <v>8.8063478548791494</v>
      </c>
      <c r="AR246" s="1564">
        <f t="shared" si="600"/>
        <v>16.125255373293012</v>
      </c>
      <c r="AS246" s="1564">
        <f t="shared" si="600"/>
        <v>16.083257752316229</v>
      </c>
      <c r="AT246" s="1564">
        <f t="shared" si="600"/>
        <v>13.66218071958254</v>
      </c>
      <c r="AU246" s="1564">
        <f t="shared" si="600"/>
        <v>33.307177620067165</v>
      </c>
      <c r="AV246" s="1564">
        <f t="shared" si="600"/>
        <v>35.873317557974474</v>
      </c>
      <c r="AW246" s="1564">
        <f t="shared" si="600"/>
        <v>33.687067014795467</v>
      </c>
      <c r="AX246" s="1564">
        <f t="shared" si="600"/>
        <v>43.026502353543819</v>
      </c>
      <c r="AY246" s="1564">
        <f t="shared" si="600"/>
        <v>21.011147393311557</v>
      </c>
      <c r="AZ246" s="1564">
        <f t="shared" si="600"/>
        <v>11.221208397605164</v>
      </c>
      <c r="BA246" s="1564">
        <f t="shared" si="600"/>
        <v>15.40269227821911</v>
      </c>
      <c r="BB246" s="1564">
        <f t="shared" si="600"/>
        <v>10.145367151223873</v>
      </c>
      <c r="BC246" s="1564">
        <f t="shared" si="600"/>
        <v>9.5328929003442919</v>
      </c>
      <c r="BD246" s="1564">
        <f t="shared" si="600"/>
        <v>16.229049622716897</v>
      </c>
      <c r="BE246" s="1564">
        <f t="shared" si="600"/>
        <v>9.7235441244825971</v>
      </c>
      <c r="BF246" s="1564">
        <f t="shared" si="600"/>
        <v>7.9991526321364192</v>
      </c>
      <c r="BG246" s="1564">
        <f t="shared" si="600"/>
        <v>14.942870492290684</v>
      </c>
      <c r="BH246" s="1564">
        <f t="shared" si="600"/>
        <v>14.46860147638791</v>
      </c>
      <c r="BI246" s="1564">
        <f t="shared" si="600"/>
        <v>13.790042766077647</v>
      </c>
      <c r="BJ246" s="1564">
        <f t="shared" si="600"/>
        <v>1.4417135795688596</v>
      </c>
      <c r="BK246" s="1564">
        <f t="shared" si="600"/>
        <v>-28.010790436421416</v>
      </c>
      <c r="BL246" s="1564">
        <f t="shared" si="600"/>
        <v>-32.281489072245087</v>
      </c>
      <c r="BM246" s="1564">
        <f t="shared" si="600"/>
        <v>-28.586370727556385</v>
      </c>
      <c r="BN246" s="1564">
        <f t="shared" si="600"/>
        <v>-19.301570113697895</v>
      </c>
      <c r="BO246" s="1564">
        <f t="shared" ref="BO246:BV246" si="601">(BO228/BK228-1)*100</f>
        <v>7.8486730660643822</v>
      </c>
      <c r="BP246" s="1564">
        <f t="shared" si="601"/>
        <v>19.288770611563354</v>
      </c>
      <c r="BQ246" s="1564">
        <f t="shared" si="601"/>
        <v>20.487550579648996</v>
      </c>
      <c r="BR246" s="1564">
        <f t="shared" si="601"/>
        <v>26.263957444769261</v>
      </c>
      <c r="BS246" s="1564">
        <f t="shared" si="601"/>
        <v>31.575440266539758</v>
      </c>
      <c r="BT246" s="1564">
        <f t="shared" si="601"/>
        <v>17.832068414951529</v>
      </c>
      <c r="BU246" s="1564">
        <f t="shared" si="601"/>
        <v>11.32561397725398</v>
      </c>
      <c r="BV246" s="1564">
        <f t="shared" si="601"/>
        <v>3.7973242243097172</v>
      </c>
      <c r="BW246" s="1564">
        <f t="shared" ref="BW246:CD246" si="602">(BW228/BS228-1)*100</f>
        <v>-3.8272319490667117</v>
      </c>
      <c r="BX246" s="1564">
        <f t="shared" si="602"/>
        <v>-2.318372498793464</v>
      </c>
      <c r="BY246" s="1564">
        <f t="shared" si="602"/>
        <v>11.49297651435235</v>
      </c>
      <c r="BZ246" s="1564">
        <f t="shared" si="602"/>
        <v>13.337355565306419</v>
      </c>
      <c r="CA246" s="1564">
        <f t="shared" si="602"/>
        <v>19.455728578951327</v>
      </c>
      <c r="CB246" s="1564">
        <f t="shared" si="602"/>
        <v>14.730641330166261</v>
      </c>
      <c r="CC246" s="1564">
        <f t="shared" si="602"/>
        <v>5.672028285443953</v>
      </c>
      <c r="CD246" s="1564">
        <f t="shared" si="602"/>
        <v>6.1331483602458325</v>
      </c>
      <c r="CE246" s="1564">
        <f t="shared" ref="CE246:CL246" si="603">(CE228/CA228-1)*100</f>
        <v>-1.5413196467087609</v>
      </c>
      <c r="CF246" s="1564">
        <f t="shared" si="603"/>
        <v>7.6403266144392745</v>
      </c>
      <c r="CG246" s="1564">
        <f t="shared" si="603"/>
        <v>3.3993088281495387</v>
      </c>
      <c r="CH246" s="1564">
        <f t="shared" si="603"/>
        <v>1.8132628091134473</v>
      </c>
      <c r="CI246" s="1564">
        <f t="shared" si="603"/>
        <v>8.7706674342000071</v>
      </c>
      <c r="CJ246" s="1564">
        <f t="shared" si="603"/>
        <v>7.3595937836590464</v>
      </c>
      <c r="CK246" s="1564">
        <f t="shared" si="603"/>
        <v>5.2549222168206233</v>
      </c>
      <c r="CL246" s="1564">
        <f t="shared" si="603"/>
        <v>4.1202639357477588</v>
      </c>
      <c r="CM246" s="1564">
        <f t="shared" ref="CM246:CT246" si="604">(CM228/CI228-1)*100</f>
        <v>1.5435955485644692</v>
      </c>
      <c r="CN246" s="1564">
        <f t="shared" si="604"/>
        <v>1.2669657317300187</v>
      </c>
      <c r="CO246" s="1564">
        <f t="shared" si="604"/>
        <v>3.1190912633690671</v>
      </c>
      <c r="CP246" s="1564">
        <f t="shared" si="604"/>
        <v>4.72285148969116</v>
      </c>
      <c r="CQ246" s="1564">
        <f t="shared" si="604"/>
        <v>12.258045835565268</v>
      </c>
      <c r="CR246" s="1564">
        <f t="shared" si="604"/>
        <v>12.087974298371007</v>
      </c>
      <c r="CS246" s="1564">
        <f t="shared" si="604"/>
        <v>14.516264486870845</v>
      </c>
      <c r="CT246" s="1564">
        <f t="shared" si="604"/>
        <v>15.360076670317646</v>
      </c>
      <c r="CU246" s="1564">
        <f t="shared" ref="CU246:DB246" si="605">(CU228/CQ228-1)*100</f>
        <v>9.5345266958988937</v>
      </c>
      <c r="CV246" s="1564">
        <f t="shared" si="605"/>
        <v>8.099366872900827</v>
      </c>
      <c r="CW246" s="1564">
        <f t="shared" si="605"/>
        <v>5.4787470129047389</v>
      </c>
      <c r="CX246" s="1564">
        <f t="shared" si="605"/>
        <v>3.1873955840000079</v>
      </c>
      <c r="CY246" s="1564">
        <f t="shared" si="605"/>
        <v>3.9039747199999919</v>
      </c>
      <c r="CZ246" s="1564">
        <f t="shared" si="605"/>
        <v>4.7286094399999756</v>
      </c>
      <c r="DA246" s="1564">
        <f t="shared" si="605"/>
        <v>5.5597888799999717</v>
      </c>
      <c r="DB246" s="1564">
        <f t="shared" si="605"/>
        <v>6.4503677439999851</v>
      </c>
      <c r="DC246"/>
      <c r="DD246"/>
      <c r="DE246"/>
      <c r="DF246"/>
      <c r="DG246"/>
      <c r="DH246"/>
      <c r="DI246"/>
      <c r="DJ246"/>
      <c r="DK246"/>
      <c r="DL246"/>
      <c r="DM246"/>
      <c r="DN246"/>
      <c r="DO246"/>
    </row>
    <row r="247" spans="1:119" s="699" customFormat="1" ht="12.75" customHeight="1">
      <c r="A247" s="664"/>
      <c r="B247" s="664"/>
      <c r="C247" s="944"/>
      <c r="D247" s="674"/>
      <c r="E247" s="3629" t="s">
        <v>1938</v>
      </c>
      <c r="F247" s="3630"/>
      <c r="G247" s="705"/>
      <c r="H247" s="705"/>
      <c r="I247" s="705"/>
      <c r="J247" s="705"/>
      <c r="K247" s="1564">
        <f>(4*K228/J229-1)*100</f>
        <v>11.544200413601757</v>
      </c>
      <c r="L247" s="1564">
        <f>((K228+3*L228)/J229-1)*100</f>
        <v>15.354964529724358</v>
      </c>
      <c r="M247" s="1564">
        <f>((K228+L228+2*M228)/J229-1)*100</f>
        <v>19.649354728933808</v>
      </c>
      <c r="N247" s="1621"/>
      <c r="O247" s="1564">
        <f>(4*O228/N229-1)*100</f>
        <v>17.122046926653578</v>
      </c>
      <c r="P247" s="1564">
        <f>((O228+3*P228)/N229-1)*100</f>
        <v>23.590184642674771</v>
      </c>
      <c r="Q247" s="1564">
        <f>((O228+P228+2*Q228)/N229-1)*100</f>
        <v>24.000860053215778</v>
      </c>
      <c r="R247" s="1621"/>
      <c r="S247" s="1564">
        <f>(4*S228/R229-1)*100</f>
        <v>9.1573367786538462</v>
      </c>
      <c r="T247" s="1564">
        <f>((S228+3*T228)/R229-1)*100</f>
        <v>9.2587284542689616</v>
      </c>
      <c r="U247" s="1564">
        <f>((S228+T228+2*U228)/R229-1)*100</f>
        <v>9.9877217675521166</v>
      </c>
      <c r="V247" s="1621"/>
      <c r="W247" s="1564">
        <f>(4*W228/V229-1)*100</f>
        <v>-13.605125405440122</v>
      </c>
      <c r="X247" s="1564">
        <f>((W228+3*X228)/V229-1)*100</f>
        <v>-11.300138090497459</v>
      </c>
      <c r="Y247" s="1564">
        <f>((W228+X228+2*Y228)/V229-1)*100</f>
        <v>-12.144738109765896</v>
      </c>
      <c r="Z247" s="1621"/>
      <c r="AA247" s="1564">
        <f>(4*AA228/Z229-1)*100</f>
        <v>0.68579155800252423</v>
      </c>
      <c r="AB247" s="1564">
        <f>((AA228+3*AB228)/Z229-1)*100</f>
        <v>1.0680134122614815</v>
      </c>
      <c r="AC247" s="1564">
        <f>((AA228+AB228+2*AC228)/Z229-1)*100</f>
        <v>4.507550146495376</v>
      </c>
      <c r="AD247" s="1621"/>
      <c r="AE247" s="1564">
        <f>(4*AE228/AD229-1)*100</f>
        <v>11.868210198397499</v>
      </c>
      <c r="AF247" s="1564">
        <f>((AE228+3*AF228)/AD229-1)*100</f>
        <v>14.126747363279968</v>
      </c>
      <c r="AG247" s="1564">
        <f>((AE228+AF228+2*AG228)/AD229-1)*100</f>
        <v>16.421804805716512</v>
      </c>
      <c r="AH247" s="1621"/>
      <c r="AI247" s="1564">
        <f>(4*AI228/AH229-1)*100</f>
        <v>11.510279153935166</v>
      </c>
      <c r="AJ247" s="1564">
        <f>((AI228+3*AJ228)/AH229-1)*100</f>
        <v>17.793467619923465</v>
      </c>
      <c r="AK247" s="1564">
        <f>((AI228+AJ228+2*AK228)/AH229-1)*100</f>
        <v>17.312883799578739</v>
      </c>
      <c r="AL247" s="1621"/>
      <c r="AM247" s="1564">
        <f>(4*AM228/AL229-1)*100</f>
        <v>5.8154448705836748</v>
      </c>
      <c r="AN247" s="1564">
        <f>((AM228+3*AN228)/AL229-1)*100</f>
        <v>5.0055370292742873</v>
      </c>
      <c r="AO247" s="1564">
        <f>((AM228+AN228+2*AO228)/AL229-1)*100</f>
        <v>7.1340086214986886</v>
      </c>
      <c r="AP247" s="1621"/>
      <c r="AQ247" s="1564">
        <f>(4*AQ228/AP229-1)*100</f>
        <v>6.2504149910650675</v>
      </c>
      <c r="AR247" s="1564">
        <f>((AQ228+3*AR228)/AP229-1)*100</f>
        <v>10.742711313450325</v>
      </c>
      <c r="AS247" s="1564">
        <f>((AQ228+AR228+2*AS228)/AP229-1)*100</f>
        <v>13.002572222879794</v>
      </c>
      <c r="AT247" s="1621"/>
      <c r="AU247" s="1564">
        <f>(4*AU228/AT229-1)*100</f>
        <v>24.594082207922142</v>
      </c>
      <c r="AV247" s="1564">
        <f>((AU228+3*AV228)/AT229-1)*100</f>
        <v>31.762170134744604</v>
      </c>
      <c r="AW247" s="1564">
        <f>((AU228+AV228+2*AW228)/AT229-1)*100</f>
        <v>33.340464724136694</v>
      </c>
      <c r="AX247" s="1621"/>
      <c r="AY247" s="1564">
        <f>(4*AY228/AX229-1)*100</f>
        <v>10.382015547666889</v>
      </c>
      <c r="AZ247" s="1564">
        <f>((AY228+3*AZ228)/AX229-1)*100</f>
        <v>9.5211806469421401</v>
      </c>
      <c r="BA247" s="1564">
        <f>((AY228+AZ228+2*BA228)/AX229-1)*100</f>
        <v>12.908029965528112</v>
      </c>
      <c r="BB247" s="1621"/>
      <c r="BC247" s="1564">
        <f>(4*BC228/BB229-1)*100</f>
        <v>5.862977972379757</v>
      </c>
      <c r="BD247" s="1564">
        <f>((BC228+3*BD228)/BB229-1)*100</f>
        <v>9.8407648682220739</v>
      </c>
      <c r="BE247" s="1564">
        <f>((BC228+BD228+2*BE228)/BB229-1)*100</f>
        <v>9.9835312765227613</v>
      </c>
      <c r="BF247" s="1621"/>
      <c r="BG247" s="1564">
        <f>(4*BG228/BF229-1)*100</f>
        <v>9.8455480911692419</v>
      </c>
      <c r="BH247" s="1564">
        <f>((BG228+3*BH228)/BF229-1)*100</f>
        <v>13.616021594852956</v>
      </c>
      <c r="BI247" s="1564">
        <f>((BG228+BH228+2*BI228)/BF229-1)*100</f>
        <v>13.422195612023312</v>
      </c>
      <c r="BJ247" s="1621"/>
      <c r="BK247" s="1564">
        <f>(4*BK228/BJ229-1)*100</f>
        <v>-28.78612716763006</v>
      </c>
      <c r="BL247" s="1564">
        <f>((BK228+3*BL228)/BJ229-1)*100</f>
        <v>-29.655235440608642</v>
      </c>
      <c r="BM247" s="1564">
        <f>((BK228+BL228+2*BM228)/BJ229-1)*100</f>
        <v>-27.868582786903971</v>
      </c>
      <c r="BN247" s="1621"/>
      <c r="BO247" s="1564">
        <f>(4*BO228/BN229-1)*100</f>
        <v>5.5069770945407104</v>
      </c>
      <c r="BP247" s="1564">
        <f>((BO228+3*BP228)/BN229-1)*100</f>
        <v>12.476539009585274</v>
      </c>
      <c r="BQ247" s="1564">
        <f>((BO228+BP228+2*BQ228)/BN229-1)*100</f>
        <v>16.010595893463563</v>
      </c>
      <c r="BR247" s="1621"/>
      <c r="BS247" s="1564">
        <f>(4*BS228/BR229-1)*100</f>
        <v>17.028977837986581</v>
      </c>
      <c r="BT247" s="1564">
        <f>((BS228+3*BT228)/BR229-1)*100</f>
        <v>14.784200833985972</v>
      </c>
      <c r="BU247" s="1564">
        <f>((BS228+BT228+2*BU228)/BR229-1)*100</f>
        <v>14.952479732447133</v>
      </c>
      <c r="BV247" s="1621"/>
      <c r="BW247" s="1564">
        <f>(4*BW228/BV229-1)*100</f>
        <v>-2.3878911933030711</v>
      </c>
      <c r="BX247" s="1564">
        <f>((BW228+3*BX228)/BV229-1)*100</f>
        <v>-3.1410200513100395</v>
      </c>
      <c r="BY247" s="1564">
        <f>((BW228+BX228+2*BY228)/BV229-1)*100</f>
        <v>3.8514670179126353</v>
      </c>
      <c r="BZ247" s="1621"/>
      <c r="CA247" s="1564">
        <f>(4*CA228/BZ229-1)*100</f>
        <v>11.418184369669039</v>
      </c>
      <c r="CB247" s="1564">
        <f>((CA228+3*CB228)/BZ229-1)*100</f>
        <v>7.2871670957018964</v>
      </c>
      <c r="CC247" s="1564">
        <f>((CA228+CB228+2*CC228)/BZ229-1)*100</f>
        <v>10.166600155242044</v>
      </c>
      <c r="CD247" s="1621"/>
      <c r="CE247" s="1564">
        <f>(4*CE228/CD229-1)*100</f>
        <v>-1.2611161766273193</v>
      </c>
      <c r="CF247" s="1564">
        <f>((CE228+3*CF228)/CD229-1)*100</f>
        <v>1.6424113962272946</v>
      </c>
      <c r="CG247" s="1564">
        <f>((CE228+CF228+2*CG228)/CD229-1)*100</f>
        <v>2.3007969306918952</v>
      </c>
      <c r="CH247" s="1621"/>
      <c r="CI247" s="1564">
        <f>(4*CI228/CH229-1)*100</f>
        <v>4.5148998609499946</v>
      </c>
      <c r="CJ247" s="1564">
        <f>((CI228+3*CJ228)/CH229-1)*100</f>
        <v>6.5315090382502827</v>
      </c>
      <c r="CK247" s="1564">
        <f>((CI228+CJ228+2*CK228)/CH229-1)*100</f>
        <v>6.1550753251542245</v>
      </c>
      <c r="CL247" s="1621"/>
      <c r="CM247" s="1564">
        <f>(4*CM228/CL229-1)*100</f>
        <v>-0.19254041361872476</v>
      </c>
      <c r="CN247" s="1564">
        <f>((CM228+3*CN228)/CL229-1)*100</f>
        <v>1.5240675517023128</v>
      </c>
      <c r="CO247" s="1564">
        <f>((CM228+CN228+2*CO228)/CL229-1)*100</f>
        <v>2.0926578163099174</v>
      </c>
      <c r="CP247" s="1621"/>
      <c r="CQ247" s="1564">
        <f>(4*CQ228/CP229-1)*100</f>
        <v>9.1290365710344989</v>
      </c>
      <c r="CR247" s="1564">
        <f>((CQ228+3*CR228)/CP229-1)*100</f>
        <v>10.879126292160123</v>
      </c>
      <c r="CS247" s="1564">
        <f>((CQ228+CR228+2*CS228)/CP229-1)*100</f>
        <v>12.720696376673924</v>
      </c>
      <c r="CT247" s="1621"/>
      <c r="CU247" s="1564">
        <f>(4*CU228/CT229-1)*100</f>
        <v>5.2415300546448274</v>
      </c>
      <c r="CV247" s="1564">
        <f>((CU228+3*CV228)/CT229-1)*100</f>
        <v>5.8729792349726972</v>
      </c>
      <c r="CW247" s="1564">
        <f>((CU228+CV228+2*CW228)/CT229-1)*100</f>
        <v>6.2973130841530223</v>
      </c>
      <c r="CX247" s="1621"/>
      <c r="CY247" s="1564">
        <f>(4*CY228/CX229-1)*100</f>
        <v>2.6782916314009642</v>
      </c>
      <c r="CZ247" s="1564">
        <f>((CY228+3*CZ228)/CX229-1)*100</f>
        <v>3.9104311309777762</v>
      </c>
      <c r="DA247" s="1564">
        <f>((CY228+CZ228+2*DA228)/CX229-1)*100</f>
        <v>4.7450002853578033</v>
      </c>
      <c r="DB247" s="1621"/>
      <c r="DC247"/>
      <c r="DD247"/>
      <c r="DE247"/>
      <c r="DF247"/>
      <c r="DG247"/>
      <c r="DH247"/>
      <c r="DI247"/>
      <c r="DJ247"/>
      <c r="DK247"/>
      <c r="DL247"/>
      <c r="DM247"/>
      <c r="DN247"/>
      <c r="DO247"/>
    </row>
    <row r="248" spans="1:119" ht="12.75" customHeight="1">
      <c r="C248" s="1557"/>
      <c r="D248" s="828"/>
      <c r="E248" s="3631" t="s">
        <v>1807</v>
      </c>
      <c r="F248" s="828"/>
      <c r="G248" s="876"/>
      <c r="H248" s="876"/>
      <c r="I248" s="876"/>
      <c r="J248" s="876"/>
      <c r="K248" s="1620"/>
      <c r="L248" s="883">
        <f>(4*L228/(K228+3*L228)-1)*100</f>
        <v>1.1011703835658526</v>
      </c>
      <c r="M248" s="883">
        <f>(4*M228/(K228+L228+2*M228)-1)*100</f>
        <v>4.650793911250406</v>
      </c>
      <c r="N248" s="883">
        <f>+(4*N228/N229-1)*100</f>
        <v>9.7406402021124947</v>
      </c>
      <c r="O248" s="1620"/>
      <c r="P248" s="883">
        <f>(4*P228/(O228+3*P228)-1)*100</f>
        <v>1.7445122455104212</v>
      </c>
      <c r="Q248" s="883">
        <f>(4*Q228/(O228+P228+2*Q228)-1)*100</f>
        <v>2.0699221882653829</v>
      </c>
      <c r="R248" s="883">
        <f>+(4*R228/R229-1)*100</f>
        <v>5.9726969757900594</v>
      </c>
      <c r="S248" s="1620"/>
      <c r="T248" s="883">
        <f>(4*T228/(S228+3*T228)-1)*100</f>
        <v>3.0933203857630431E-2</v>
      </c>
      <c r="U248" s="883">
        <f>(4*U228/(S228+T228+2*U228)-1)*100</f>
        <v>0.69352335536168042</v>
      </c>
      <c r="V248" s="883">
        <f>+(4*V228/V229-1)*100</f>
        <v>-8.895597161116287</v>
      </c>
      <c r="W248" s="1620"/>
      <c r="X248" s="883">
        <f>(4*X228/(W228+3*X228)-1)*100</f>
        <v>0.86621228989598453</v>
      </c>
      <c r="Y248" s="883">
        <f>(4*Y228/(W228+X228+2*Y228)-1)*100</f>
        <v>-8.6814281406211169E-2</v>
      </c>
      <c r="Z248" s="883">
        <f>+(4*Z228/Z229-1)*100</f>
        <v>-2.0812922870297568</v>
      </c>
      <c r="AA248" s="1620"/>
      <c r="AB248" s="883">
        <f>(4*AB228/(AA228+3*AB228)-1)*100</f>
        <v>0.12606093703779742</v>
      </c>
      <c r="AC248" s="883">
        <f>(4*AC228/(AA228+AB228+2*AC228)-1)*100</f>
        <v>3.4130969618815676</v>
      </c>
      <c r="AD248" s="883">
        <f>+(4*AD228/AD229-1)*100</f>
        <v>3.4887865147775088</v>
      </c>
      <c r="AE248" s="1620"/>
      <c r="AF248" s="883">
        <f>(4*AF228/(AE228+3*AF228)-1)*100</f>
        <v>0.65965756408625786</v>
      </c>
      <c r="AG248" s="883">
        <f>(4*AG228/(AE228+AF228+2*AG228)-1)*100</f>
        <v>2.6179830910114887</v>
      </c>
      <c r="AH248" s="883">
        <f>+(4*AH228/AH229-1)*100</f>
        <v>8.2188732979323156</v>
      </c>
      <c r="AI248" s="1620"/>
      <c r="AJ248" s="883">
        <f>(4*AJ228/(AI228+3*AJ228)-1)*100</f>
        <v>1.7780240259903879</v>
      </c>
      <c r="AK248" s="883">
        <f>(4*AK228/(AI228+AJ228+2*AK228)-1)*100</f>
        <v>1.3756479959539991</v>
      </c>
      <c r="AL248" s="883">
        <f>+(4*AL228/AL229-1)*100</f>
        <v>4.4640343358380408</v>
      </c>
      <c r="AM248" s="1620"/>
      <c r="AN248" s="883">
        <f>(4*AN228/(AM228+3*AN228)-1)*100</f>
        <v>-0.25710004260173225</v>
      </c>
      <c r="AO248" s="883">
        <f>(4*AO228/(AM228+AN228+2*AO228)-1)*100</f>
        <v>1.7347454237001125</v>
      </c>
      <c r="AP248" s="883">
        <f>+(4*AP228/AP229-1)*100</f>
        <v>5.1118238532533944</v>
      </c>
      <c r="AQ248" s="1620"/>
      <c r="AR248" s="883">
        <f>(4*AR228/(AQ228+3*AR228)-1)*100</f>
        <v>1.352172156254472</v>
      </c>
      <c r="AS248" s="883">
        <f>(4*AS228/(AQ228+AR228+2*AS228)-1)*100</f>
        <v>3.3249623818124796</v>
      </c>
      <c r="AT248" s="883">
        <f>+(4*AT228/AT229-1)*100</f>
        <v>5.0946970658892532</v>
      </c>
      <c r="AU248" s="1620"/>
      <c r="AV248" s="883">
        <f>(4*AV228/(AU228+3*AV228)-1)*100</f>
        <v>1.8133904745426532</v>
      </c>
      <c r="AW248" s="883">
        <f>(4*AW228/(AU228+AV228+2*AW228)-1)*100</f>
        <v>2.9755837733690171</v>
      </c>
      <c r="AX248" s="883">
        <f>+(4*AX228/AX229-1)*100</f>
        <v>10.045641581984732</v>
      </c>
      <c r="AY248" s="1620"/>
      <c r="AZ248" s="883">
        <f>(4*AZ228/(AY228+3*AZ228)-1)*100</f>
        <v>-0.26199951937447841</v>
      </c>
      <c r="BA248" s="883">
        <f>(4*BA228/(AY228+AZ228+2*BA228)-1)*100</f>
        <v>2.7455127439776517</v>
      </c>
      <c r="BB248" s="883">
        <f>+(4*BB228/BB229-1)*100</f>
        <v>6.1305244698251382</v>
      </c>
      <c r="BC248" s="1620"/>
      <c r="BD248" s="883">
        <f>(4*BD228/(BC228+3*BD228)-1)*100</f>
        <v>1.2071374110254274</v>
      </c>
      <c r="BE248" s="883">
        <f>(4*BE228/(BC228+BD228+2*BE228)-1)*100</f>
        <v>1.3353775392870748</v>
      </c>
      <c r="BF248" s="883">
        <f>+(4*BF228/BF229-1)*100</f>
        <v>3.470601367944659</v>
      </c>
      <c r="BG248" s="1620"/>
      <c r="BH248" s="883">
        <f>(4*BH228/(BG228+3*BH228)-1)*100</f>
        <v>1.106203582545473</v>
      </c>
      <c r="BI248" s="883">
        <f>(4*BI228/(BG228+BH228+2*BI228)-1)*100</f>
        <v>0.93720502646095216</v>
      </c>
      <c r="BJ248" s="883">
        <f>+(4*BJ228/BJ229-1)*100</f>
        <v>-5.4746510087047788</v>
      </c>
      <c r="BK248" s="1620"/>
      <c r="BL248" s="883">
        <f>(4*BL228/(BK228+3*BL228)-1)*100</f>
        <v>-0.41183272056435349</v>
      </c>
      <c r="BM248" s="883">
        <f>(4*BM228/(BK228+BL228+2*BM228)-1)*100</f>
        <v>2.0753091425096404</v>
      </c>
      <c r="BN248" s="883">
        <f>+(4*BN228/BN229-1)*100</f>
        <v>4.788866779237555</v>
      </c>
      <c r="BO248" s="1620"/>
      <c r="BP248" s="883">
        <f>(4*BP228/(BO228+3*BP228)-1)*100</f>
        <v>2.065486123125515</v>
      </c>
      <c r="BQ248" s="883">
        <f>(4*BQ228/(BO228+BP228+2*BQ228)-1)*100</f>
        <v>5.0488872536022855</v>
      </c>
      <c r="BR248" s="883">
        <f>+(4*BR228/BR229-1)*100</f>
        <v>11.540334017738063</v>
      </c>
      <c r="BS248" s="1620"/>
      <c r="BT248" s="883">
        <f>(4*BT228/(BS228+3*BT228)-1)*100</f>
        <v>-0.65188326955880616</v>
      </c>
      <c r="BU248" s="883">
        <f>(4*BU228/(BS228+BT228+2*BU228)-1)*100</f>
        <v>-0.50453900970409693</v>
      </c>
      <c r="BV248" s="883">
        <f>+(4*BV228/BV229-1)*100</f>
        <v>0.40983794649620542</v>
      </c>
      <c r="BW248" s="1620"/>
      <c r="BX248" s="883">
        <f>(4*BX228/(BW228+3*BX228)-1)*100</f>
        <v>-0.2591839732381862</v>
      </c>
      <c r="BY248" s="883">
        <f>(4*BY228/(BW228+BX228+2*BY228)-1)*100</f>
        <v>6.4914288744625237</v>
      </c>
      <c r="BZ248" s="883">
        <f>+(4*BZ228/BZ229-1)*100</f>
        <v>8.7413553420368384</v>
      </c>
      <c r="CA248" s="1620"/>
      <c r="CB248" s="883">
        <f>(4*CB228/(CA228+3*CB228)-1)*100</f>
        <v>-1.2834766685196675</v>
      </c>
      <c r="CC248" s="883">
        <f>(4*CC228/(CA228+CB228+2*CC228)-1)*100</f>
        <v>1.3637774964770921</v>
      </c>
      <c r="CD248" s="883">
        <f>+(4*CD228/CD229-1)*100</f>
        <v>3.8780802614595711</v>
      </c>
      <c r="CE248" s="1620"/>
      <c r="CF248" s="883">
        <f>(4*CF228/(CE228+3*CF228)-1)*100</f>
        <v>0.9522034266896684</v>
      </c>
      <c r="CG248" s="883">
        <f>(4*CG228/(CE228+CF228+2*CG228)-1)*100</f>
        <v>1.5896533629657039</v>
      </c>
      <c r="CH248" s="883">
        <f>+(4*CH228/CH229-1)*100</f>
        <v>2.9215865528658957</v>
      </c>
      <c r="CI248" s="1620"/>
      <c r="CJ248" s="883">
        <f>(4*CJ228/(CI228+3*CJ228)-1)*100</f>
        <v>0.63098989695034025</v>
      </c>
      <c r="CK248" s="883">
        <f>(4*CK228/(CI228+CJ228+2*CK228)-1)*100</f>
        <v>0.27862007077672502</v>
      </c>
      <c r="CL248" s="883">
        <f>+(4*CL228/CL229-1)*100</f>
        <v>0.7799151088232481</v>
      </c>
      <c r="CM248" s="1620"/>
      <c r="CN248" s="883">
        <f>(4*CN228/(CM228+3*CN228)-1)*100</f>
        <v>0.56361281507522065</v>
      </c>
      <c r="CO248" s="883">
        <f>(4*CO228/(CM228+CN228+2*CO228)-1)*100</f>
        <v>1.117409365291655</v>
      </c>
      <c r="CP248" s="883">
        <f>+(4*CP228/CP229-1)*100</f>
        <v>2.7957806441625044</v>
      </c>
      <c r="CQ248" s="1620"/>
      <c r="CR248" s="883">
        <f>(4*CR228/(CQ228+3*CR228)-1)*100</f>
        <v>0.5261253942767441</v>
      </c>
      <c r="CS248" s="883">
        <f>(4*CS228/(CQ228+CR228+2*CS228)-1)*100</f>
        <v>2.1512760325625546</v>
      </c>
      <c r="CT248" s="883">
        <f>+(4*CT228/CT229-1)*100</f>
        <v>4.4062798161158989</v>
      </c>
      <c r="CU248" s="1620"/>
      <c r="CV248" s="883">
        <f>(4*CV228/(CU228+3*CV228)-1)*100</f>
        <v>0.19880715705764551</v>
      </c>
      <c r="CW248" s="883">
        <f>(4*CW228/(CU228+CV228+2*CW228)-1)*100</f>
        <v>0.59720880130529341</v>
      </c>
      <c r="CX248" s="883">
        <f>+(4*CX228/CX229-1)*100</f>
        <v>1.160878454582237</v>
      </c>
      <c r="CY248" s="1620"/>
      <c r="CZ248" s="883">
        <f>(4*CZ228/(CY228+3*CZ228)-1)*100</f>
        <v>0.39525691699604515</v>
      </c>
      <c r="DA248" s="883">
        <f>(4*DA228/(CY228+CZ228+2*DA228)-1)*100</f>
        <v>1.1888704162614783</v>
      </c>
      <c r="DB248" s="883">
        <f>+(4*DB228/DB229-1)*100</f>
        <v>2.3934492442397204</v>
      </c>
    </row>
    <row r="249" spans="1:119" ht="30" customHeight="1">
      <c r="E249" s="599"/>
      <c r="F249" s="3617"/>
      <c r="BN249" s="1312">
        <f>(BM246+BN246)/2</f>
        <v>-23.943970420627139</v>
      </c>
      <c r="BR249" s="1312">
        <f>(BQ246+BR246)/2</f>
        <v>23.375754012209129</v>
      </c>
      <c r="BV249" s="1312"/>
      <c r="CM249" s="557"/>
      <c r="CN249" s="557"/>
      <c r="CO249" s="557"/>
      <c r="CP249" s="557"/>
      <c r="CQ249" s="3722"/>
      <c r="CR249" s="557"/>
      <c r="CS249" s="557"/>
      <c r="CT249" s="557"/>
      <c r="CU249" s="557"/>
      <c r="CV249" s="557"/>
      <c r="CW249" s="557"/>
      <c r="CX249" s="557"/>
      <c r="CY249" s="557"/>
      <c r="CZ249" s="557"/>
      <c r="DA249" s="557"/>
      <c r="DB249" s="557"/>
    </row>
    <row r="250" spans="1:119" ht="30" customHeight="1">
      <c r="E250" s="599"/>
      <c r="F250" s="3617"/>
      <c r="BW250" s="1693"/>
      <c r="CL250" s="3162">
        <f t="shared" ref="CL250:DB250" si="606">CL228/CL171</f>
        <v>1.032325863651165</v>
      </c>
      <c r="CM250" s="3162">
        <f t="shared" si="606"/>
        <v>1.0159138709535085</v>
      </c>
      <c r="CN250" s="3162">
        <f t="shared" si="606"/>
        <v>1.0325291169206936</v>
      </c>
      <c r="CO250" s="3162">
        <f t="shared" si="606"/>
        <v>1.0236850023642015</v>
      </c>
      <c r="CP250" s="3162">
        <f t="shared" si="606"/>
        <v>1.0214956015831502</v>
      </c>
      <c r="CQ250" s="3162">
        <f>CQ228/CQ171</f>
        <v>1.0348463211840542</v>
      </c>
      <c r="CR250" s="3162">
        <f t="shared" si="606"/>
        <v>1.0183749308850572</v>
      </c>
      <c r="CS250" s="3162">
        <f t="shared" si="606"/>
        <v>1.0234038827179026</v>
      </c>
      <c r="CT250" s="3162">
        <f t="shared" si="606"/>
        <v>1.0273357962373655</v>
      </c>
      <c r="CU250" s="3162">
        <f t="shared" si="606"/>
        <v>1.0314287675371159</v>
      </c>
      <c r="CV250" s="3162">
        <f t="shared" si="606"/>
        <v>1.035538045495431</v>
      </c>
      <c r="CW250" s="3162">
        <f t="shared" si="606"/>
        <v>1.0381127298452455</v>
      </c>
      <c r="CX250" s="3162">
        <f t="shared" si="606"/>
        <v>1.0365694502666849</v>
      </c>
      <c r="CY250" s="3162">
        <f t="shared" si="606"/>
        <v>1.0382060312025705</v>
      </c>
      <c r="CZ250" s="3162">
        <f t="shared" si="606"/>
        <v>1.0412806788764184</v>
      </c>
      <c r="DA250" s="3162">
        <f t="shared" si="606"/>
        <v>1.0443644321208698</v>
      </c>
      <c r="DB250" s="3162">
        <f t="shared" si="606"/>
        <v>1.047457317902077</v>
      </c>
    </row>
    <row r="251" spans="1:119" ht="30" customHeight="1">
      <c r="C251" s="3768" t="s">
        <v>1269</v>
      </c>
      <c r="D251" s="3768"/>
      <c r="E251" s="3768"/>
      <c r="F251" s="3768"/>
      <c r="CM251" s="557"/>
      <c r="CN251" s="557"/>
      <c r="CO251" s="557"/>
      <c r="CP251" s="557"/>
      <c r="CQ251" s="557"/>
      <c r="CR251" s="557"/>
      <c r="CS251" s="557"/>
      <c r="CT251" s="557"/>
      <c r="CU251" s="557"/>
      <c r="CV251" s="557"/>
      <c r="CW251" s="557"/>
      <c r="CX251" s="557"/>
      <c r="CY251" s="557"/>
      <c r="CZ251" s="557"/>
      <c r="DA251" s="557"/>
      <c r="DB251" s="557"/>
    </row>
    <row r="252" spans="1:119">
      <c r="E252" s="599"/>
      <c r="F252" s="3617"/>
      <c r="Z252" s="1693"/>
      <c r="AD252" s="1693"/>
      <c r="AH252" s="1693"/>
      <c r="AL252" s="1693"/>
      <c r="AP252" s="1693"/>
      <c r="AT252" s="1693"/>
      <c r="AX252" s="1693"/>
      <c r="BB252" s="1693"/>
      <c r="BF252" s="1693"/>
      <c r="BJ252" s="1693"/>
      <c r="BX252" s="3056"/>
      <c r="CM252" s="557"/>
      <c r="CN252" s="557"/>
      <c r="CO252" s="557"/>
      <c r="CP252" s="557"/>
      <c r="CQ252" s="557"/>
      <c r="CR252" s="557"/>
      <c r="CS252" s="557"/>
      <c r="CT252" s="557"/>
      <c r="CU252" s="557"/>
      <c r="CV252" s="557"/>
      <c r="CW252" s="557"/>
      <c r="CX252" s="557"/>
      <c r="CY252" s="557"/>
      <c r="CZ252" s="557"/>
      <c r="DA252" s="557"/>
      <c r="DB252" s="557"/>
    </row>
    <row r="253" spans="1:119">
      <c r="E253" s="599"/>
      <c r="F253" s="3617"/>
      <c r="G253" s="3764">
        <f ca="1">OFFSET(InputY!$G$3,0,(COLUMN()-7)/4)</f>
        <v>1995</v>
      </c>
      <c r="H253" s="3765"/>
      <c r="I253" s="3765"/>
      <c r="J253" s="3766"/>
      <c r="K253" s="3764">
        <f ca="1">OFFSET(InputY!$G$3,0,(COLUMN()-7)/4)</f>
        <v>1996</v>
      </c>
      <c r="L253" s="3765"/>
      <c r="M253" s="3765"/>
      <c r="N253" s="3766"/>
      <c r="O253" s="3764">
        <f ca="1">OFFSET(InputY!$G$3,0,(COLUMN()-7)/4)</f>
        <v>1997</v>
      </c>
      <c r="P253" s="3765"/>
      <c r="Q253" s="3765"/>
      <c r="R253" s="3766"/>
      <c r="S253" s="3764">
        <f ca="1">OFFSET(InputY!$G$3,0,(COLUMN()-7)/4)</f>
        <v>1998</v>
      </c>
      <c r="T253" s="3765"/>
      <c r="U253" s="3765"/>
      <c r="V253" s="3766"/>
      <c r="W253" s="3764">
        <f ca="1">OFFSET(InputY!$G$3,0,(COLUMN()-7)/4)</f>
        <v>1999</v>
      </c>
      <c r="X253" s="3765"/>
      <c r="Y253" s="3765"/>
      <c r="Z253" s="3766"/>
      <c r="AA253" s="3764">
        <f ca="1">OFFSET(InputY!$G$3,0,(COLUMN()-7)/4)</f>
        <v>2000</v>
      </c>
      <c r="AB253" s="3765"/>
      <c r="AC253" s="3765"/>
      <c r="AD253" s="3766"/>
      <c r="AE253" s="3764">
        <f ca="1">OFFSET(InputY!$G$3,0,(COLUMN()-7)/4)</f>
        <v>2001</v>
      </c>
      <c r="AF253" s="3765"/>
      <c r="AG253" s="3765"/>
      <c r="AH253" s="3766"/>
      <c r="AI253" s="3764">
        <f ca="1">OFFSET(InputY!$G$3,0,(COLUMN()-7)/4)</f>
        <v>2002</v>
      </c>
      <c r="AJ253" s="3765"/>
      <c r="AK253" s="3765"/>
      <c r="AL253" s="3766"/>
      <c r="AM253" s="3764">
        <f ca="1">OFFSET(InputY!$G$3,0,(COLUMN()-7)/4)</f>
        <v>2003</v>
      </c>
      <c r="AN253" s="3765"/>
      <c r="AO253" s="3765"/>
      <c r="AP253" s="3766"/>
      <c r="AQ253" s="3764">
        <f ca="1">OFFSET(InputY!$G$3,0,(COLUMN()-7)/4)</f>
        <v>2004</v>
      </c>
      <c r="AR253" s="3765"/>
      <c r="AS253" s="3765"/>
      <c r="AT253" s="3766"/>
      <c r="AU253" s="3764">
        <f ca="1">OFFSET(InputY!$G$3,0,(COLUMN()-7)/4)</f>
        <v>2005</v>
      </c>
      <c r="AV253" s="3765"/>
      <c r="AW253" s="3765"/>
      <c r="AX253" s="3766"/>
      <c r="AY253" s="3764">
        <f ca="1">OFFSET(InputY!$G$3,0,(COLUMN()-7)/4)</f>
        <v>2006</v>
      </c>
      <c r="AZ253" s="3765"/>
      <c r="BA253" s="3765"/>
      <c r="BB253" s="3766"/>
      <c r="BC253" s="3764">
        <f ca="1">OFFSET(InputY!$G$3,0,(COLUMN()-7)/4)</f>
        <v>2007</v>
      </c>
      <c r="BD253" s="3765"/>
      <c r="BE253" s="3765"/>
      <c r="BF253" s="3766"/>
      <c r="BG253" s="3764">
        <f ca="1">OFFSET(InputY!$G$3,0,(COLUMN()-7)/4)</f>
        <v>2008</v>
      </c>
      <c r="BH253" s="3765"/>
      <c r="BI253" s="3765"/>
      <c r="BJ253" s="3766"/>
      <c r="BK253" s="3764">
        <f ca="1">OFFSET(InputY!$G$3,0,(COLUMN()-7)/4)</f>
        <v>2009</v>
      </c>
      <c r="BL253" s="3765"/>
      <c r="BM253" s="3765"/>
      <c r="BN253" s="3766"/>
      <c r="BO253" s="3764">
        <f ca="1">OFFSET(InputY!$G$3,0,(COLUMN()-7)/4)</f>
        <v>2010</v>
      </c>
      <c r="BP253" s="3765"/>
      <c r="BQ253" s="3765"/>
      <c r="BR253" s="3766"/>
      <c r="BS253" s="3764">
        <f ca="1">OFFSET(InputY!$G$3,0,(COLUMN()-7)/4)</f>
        <v>2011</v>
      </c>
      <c r="BT253" s="3765"/>
      <c r="BU253" s="3765"/>
      <c r="BV253" s="3766"/>
      <c r="BW253" s="3764">
        <f ca="1">OFFSET(InputY!$G$3,0,(COLUMN()-7)/4)</f>
        <v>2012</v>
      </c>
      <c r="BX253" s="3765"/>
      <c r="BY253" s="3765"/>
      <c r="BZ253" s="3766"/>
      <c r="CA253" s="3764">
        <f ca="1">OFFSET(InputY!$G$3,0,(COLUMN()-7)/4)</f>
        <v>2013</v>
      </c>
      <c r="CB253" s="3765"/>
      <c r="CC253" s="3765"/>
      <c r="CD253" s="3766"/>
      <c r="CE253" s="3764">
        <f ca="1">OFFSET(InputY!$G$3,0,(COLUMN()-7)/4)</f>
        <v>2014</v>
      </c>
      <c r="CF253" s="3765"/>
      <c r="CG253" s="3765"/>
      <c r="CH253" s="3766"/>
      <c r="CI253" s="3764">
        <f ca="1">OFFSET(InputY!$G$3,0,(COLUMN()-7)/4)</f>
        <v>2015</v>
      </c>
      <c r="CJ253" s="3765"/>
      <c r="CK253" s="3765"/>
      <c r="CL253" s="3766"/>
      <c r="CM253" s="3764">
        <f ca="1">OFFSET(InputY!$G$3,0,(COLUMN()-7)/4)</f>
        <v>2016</v>
      </c>
      <c r="CN253" s="3765"/>
      <c r="CO253" s="3765"/>
      <c r="CP253" s="3766"/>
      <c r="CQ253" s="3764">
        <f ca="1">OFFSET(InputY!$G$3,0,(COLUMN()-7)/4)</f>
        <v>2017</v>
      </c>
      <c r="CR253" s="3765"/>
      <c r="CS253" s="3765"/>
      <c r="CT253" s="3766"/>
      <c r="CU253" s="3764">
        <f ca="1">OFFSET(InputY!$G$3,0,(COLUMN()-7)/4)</f>
        <v>2018</v>
      </c>
      <c r="CV253" s="3765"/>
      <c r="CW253" s="3765"/>
      <c r="CX253" s="3766"/>
      <c r="CY253" s="3764">
        <f ca="1">OFFSET(InputY!$G$3,0,(COLUMN()-7)/4)</f>
        <v>2019</v>
      </c>
      <c r="CZ253" s="3765"/>
      <c r="DA253" s="3765"/>
      <c r="DB253" s="3766"/>
    </row>
    <row r="254" spans="1:119" s="699" customFormat="1" ht="12.75" customHeight="1">
      <c r="A254" s="664"/>
      <c r="B254" s="664"/>
      <c r="C254" s="666"/>
      <c r="D254" s="695"/>
      <c r="E254" s="3618" t="s">
        <v>1892</v>
      </c>
      <c r="F254" s="3619"/>
      <c r="G254" s="1566" t="s">
        <v>1842</v>
      </c>
      <c r="H254" s="1567" t="s">
        <v>1843</v>
      </c>
      <c r="I254" s="1567" t="s">
        <v>1844</v>
      </c>
      <c r="J254" s="1568" t="s">
        <v>1845</v>
      </c>
      <c r="K254" s="1566" t="s">
        <v>1842</v>
      </c>
      <c r="L254" s="1567" t="s">
        <v>1843</v>
      </c>
      <c r="M254" s="1567" t="s">
        <v>1844</v>
      </c>
      <c r="N254" s="1568" t="s">
        <v>1845</v>
      </c>
      <c r="O254" s="1566" t="s">
        <v>1842</v>
      </c>
      <c r="P254" s="1567" t="s">
        <v>1843</v>
      </c>
      <c r="Q254" s="1567" t="s">
        <v>1844</v>
      </c>
      <c r="R254" s="1568" t="s">
        <v>1845</v>
      </c>
      <c r="S254" s="1566" t="s">
        <v>1842</v>
      </c>
      <c r="T254" s="1567" t="s">
        <v>1843</v>
      </c>
      <c r="U254" s="1567" t="s">
        <v>1844</v>
      </c>
      <c r="V254" s="1568" t="s">
        <v>1845</v>
      </c>
      <c r="W254" s="1566" t="s">
        <v>1842</v>
      </c>
      <c r="X254" s="1567" t="s">
        <v>1843</v>
      </c>
      <c r="Y254" s="1567" t="s">
        <v>1844</v>
      </c>
      <c r="Z254" s="1568" t="s">
        <v>1845</v>
      </c>
      <c r="AA254" s="1566" t="s">
        <v>1842</v>
      </c>
      <c r="AB254" s="1567" t="s">
        <v>1843</v>
      </c>
      <c r="AC254" s="1567" t="s">
        <v>1844</v>
      </c>
      <c r="AD254" s="1568" t="s">
        <v>1845</v>
      </c>
      <c r="AE254" s="1566" t="s">
        <v>1842</v>
      </c>
      <c r="AF254" s="1567" t="s">
        <v>1843</v>
      </c>
      <c r="AG254" s="1567" t="s">
        <v>1844</v>
      </c>
      <c r="AH254" s="1568" t="s">
        <v>1845</v>
      </c>
      <c r="AI254" s="1566" t="s">
        <v>1842</v>
      </c>
      <c r="AJ254" s="1567" t="s">
        <v>1843</v>
      </c>
      <c r="AK254" s="1567" t="s">
        <v>1844</v>
      </c>
      <c r="AL254" s="1568" t="s">
        <v>1845</v>
      </c>
      <c r="AM254" s="1566" t="s">
        <v>1842</v>
      </c>
      <c r="AN254" s="1567" t="s">
        <v>1843</v>
      </c>
      <c r="AO254" s="1567" t="s">
        <v>1844</v>
      </c>
      <c r="AP254" s="1568" t="s">
        <v>1845</v>
      </c>
      <c r="AQ254" s="1566" t="s">
        <v>1842</v>
      </c>
      <c r="AR254" s="1567" t="s">
        <v>1843</v>
      </c>
      <c r="AS254" s="1567" t="s">
        <v>1844</v>
      </c>
      <c r="AT254" s="1568" t="s">
        <v>1845</v>
      </c>
      <c r="AU254" s="1566" t="s">
        <v>1842</v>
      </c>
      <c r="AV254" s="1567" t="s">
        <v>1843</v>
      </c>
      <c r="AW254" s="1567" t="s">
        <v>1844</v>
      </c>
      <c r="AX254" s="1568" t="s">
        <v>1845</v>
      </c>
      <c r="AY254" s="1566" t="s">
        <v>1842</v>
      </c>
      <c r="AZ254" s="1567" t="s">
        <v>1843</v>
      </c>
      <c r="BA254" s="1567" t="s">
        <v>1844</v>
      </c>
      <c r="BB254" s="1568" t="s">
        <v>1845</v>
      </c>
      <c r="BC254" s="1566" t="s">
        <v>1842</v>
      </c>
      <c r="BD254" s="1567" t="s">
        <v>1843</v>
      </c>
      <c r="BE254" s="1567" t="s">
        <v>1844</v>
      </c>
      <c r="BF254" s="1568" t="s">
        <v>1845</v>
      </c>
      <c r="BG254" s="1566" t="s">
        <v>1842</v>
      </c>
      <c r="BH254" s="1567" t="s">
        <v>1843</v>
      </c>
      <c r="BI254" s="1567" t="s">
        <v>1844</v>
      </c>
      <c r="BJ254" s="1568" t="s">
        <v>1845</v>
      </c>
      <c r="BK254" s="1566" t="s">
        <v>1842</v>
      </c>
      <c r="BL254" s="1567" t="s">
        <v>1843</v>
      </c>
      <c r="BM254" s="1567" t="s">
        <v>1844</v>
      </c>
      <c r="BN254" s="1568" t="s">
        <v>1845</v>
      </c>
      <c r="BO254" s="1566" t="s">
        <v>1842</v>
      </c>
      <c r="BP254" s="1567" t="s">
        <v>1843</v>
      </c>
      <c r="BQ254" s="1567" t="s">
        <v>1844</v>
      </c>
      <c r="BR254" s="1568" t="s">
        <v>1845</v>
      </c>
      <c r="BS254" s="1566" t="s">
        <v>1842</v>
      </c>
      <c r="BT254" s="1567" t="s">
        <v>1843</v>
      </c>
      <c r="BU254" s="1567" t="s">
        <v>1844</v>
      </c>
      <c r="BV254" s="1568" t="s">
        <v>1845</v>
      </c>
      <c r="BW254" s="1566" t="s">
        <v>1842</v>
      </c>
      <c r="BX254" s="1567" t="s">
        <v>1843</v>
      </c>
      <c r="BY254" s="1567" t="s">
        <v>1844</v>
      </c>
      <c r="BZ254" s="1568" t="s">
        <v>1845</v>
      </c>
      <c r="CA254" s="1566" t="s">
        <v>1842</v>
      </c>
      <c r="CB254" s="1567" t="s">
        <v>1843</v>
      </c>
      <c r="CC254" s="1567" t="s">
        <v>1844</v>
      </c>
      <c r="CD254" s="1568" t="s">
        <v>1845</v>
      </c>
      <c r="CE254" s="1566" t="s">
        <v>1842</v>
      </c>
      <c r="CF254" s="1567" t="s">
        <v>1843</v>
      </c>
      <c r="CG254" s="1567" t="s">
        <v>1844</v>
      </c>
      <c r="CH254" s="1568" t="s">
        <v>1845</v>
      </c>
      <c r="CI254" s="1566" t="s">
        <v>1842</v>
      </c>
      <c r="CJ254" s="1567" t="s">
        <v>1843</v>
      </c>
      <c r="CK254" s="1567" t="s">
        <v>1844</v>
      </c>
      <c r="CL254" s="1568" t="s">
        <v>1845</v>
      </c>
      <c r="CM254" s="1566" t="s">
        <v>1842</v>
      </c>
      <c r="CN254" s="1567" t="s">
        <v>1843</v>
      </c>
      <c r="CO254" s="1567" t="s">
        <v>1844</v>
      </c>
      <c r="CP254" s="1568" t="s">
        <v>1845</v>
      </c>
      <c r="CQ254" s="1566" t="s">
        <v>1842</v>
      </c>
      <c r="CR254" s="1567" t="s">
        <v>1843</v>
      </c>
      <c r="CS254" s="1567" t="s">
        <v>1844</v>
      </c>
      <c r="CT254" s="1568" t="s">
        <v>1845</v>
      </c>
      <c r="CU254" s="1566" t="s">
        <v>1842</v>
      </c>
      <c r="CV254" s="1567" t="s">
        <v>1843</v>
      </c>
      <c r="CW254" s="1567" t="s">
        <v>1844</v>
      </c>
      <c r="CX254" s="1568" t="s">
        <v>1845</v>
      </c>
      <c r="CY254" s="1566" t="s">
        <v>1842</v>
      </c>
      <c r="CZ254" s="1567" t="s">
        <v>1843</v>
      </c>
      <c r="DA254" s="1567" t="s">
        <v>1844</v>
      </c>
      <c r="DB254" s="1568" t="s">
        <v>1845</v>
      </c>
      <c r="DC254"/>
      <c r="DD254"/>
      <c r="DE254"/>
      <c r="DF254"/>
      <c r="DG254"/>
      <c r="DH254"/>
      <c r="DI254"/>
      <c r="DJ254"/>
      <c r="DK254"/>
      <c r="DL254"/>
      <c r="DM254"/>
      <c r="DN254"/>
      <c r="DO254"/>
    </row>
    <row r="255" spans="1:119" s="699" customFormat="1" ht="12.75" customHeight="1">
      <c r="A255" s="664"/>
      <c r="B255" s="664"/>
      <c r="C255" s="1561" t="s">
        <v>1767</v>
      </c>
      <c r="D255" s="668"/>
      <c r="E255" s="3620" t="str">
        <f>E201</f>
        <v xml:space="preserve">Final demand                                                                    </v>
      </c>
      <c r="F255" s="3621"/>
      <c r="G255" s="780">
        <f>G201</f>
        <v>3.9026587117701572</v>
      </c>
      <c r="H255" s="780">
        <f t="shared" ref="H255:AX255" si="607">H201</f>
        <v>3.9226714550509731</v>
      </c>
      <c r="I255" s="780">
        <f t="shared" si="607"/>
        <v>4.0318002780352176</v>
      </c>
      <c r="J255" s="780">
        <f t="shared" si="607"/>
        <v>4.1250868860055618</v>
      </c>
      <c r="K255" s="780">
        <f t="shared" si="607"/>
        <v>4.2012859128822981</v>
      </c>
      <c r="L255" s="780">
        <f t="shared" si="607"/>
        <v>4.303724513438369</v>
      </c>
      <c r="M255" s="780">
        <f t="shared" si="607"/>
        <v>4.4868802131603331</v>
      </c>
      <c r="N255" s="780">
        <f t="shared" si="607"/>
        <v>4.6159059314179798</v>
      </c>
      <c r="O255" s="780">
        <f>O201</f>
        <v>4.7981927710843371</v>
      </c>
      <c r="P255" s="780">
        <f>P201</f>
        <v>4.9218894810009273</v>
      </c>
      <c r="Q255" s="780">
        <f>Q201</f>
        <v>4.9690685820203901</v>
      </c>
      <c r="R255" s="780">
        <f>R201</f>
        <v>5.2321304448563488</v>
      </c>
      <c r="S255" s="780">
        <f t="shared" si="607"/>
        <v>5.3630097312326237</v>
      </c>
      <c r="T255" s="780">
        <f t="shared" si="607"/>
        <v>5.3787940222428174</v>
      </c>
      <c r="U255" s="780">
        <f t="shared" si="607"/>
        <v>5.3551031047265987</v>
      </c>
      <c r="V255" s="780">
        <f t="shared" si="607"/>
        <v>5.1931186283595929</v>
      </c>
      <c r="W255" s="780">
        <f t="shared" si="607"/>
        <v>5.0373609823911032</v>
      </c>
      <c r="X255" s="780">
        <f t="shared" si="607"/>
        <v>5.072376042632067</v>
      </c>
      <c r="Y255" s="780">
        <f t="shared" si="607"/>
        <v>4.9862720111214092</v>
      </c>
      <c r="Z255" s="780">
        <f t="shared" si="607"/>
        <v>4.9647532437442079</v>
      </c>
      <c r="AA255" s="780">
        <f t="shared" si="607"/>
        <v>5.1329645505097314</v>
      </c>
      <c r="AB255" s="780">
        <f t="shared" si="607"/>
        <v>5.1652571825764602</v>
      </c>
      <c r="AC255" s="780">
        <f t="shared" si="607"/>
        <v>5.3011179332715477</v>
      </c>
      <c r="AD255" s="780">
        <f t="shared" si="607"/>
        <v>5.3512221964782212</v>
      </c>
      <c r="AE255" s="780">
        <f t="shared" si="607"/>
        <v>5.625926784059315</v>
      </c>
      <c r="AF255" s="780">
        <f t="shared" si="607"/>
        <v>5.682055143651529</v>
      </c>
      <c r="AG255" s="780">
        <f t="shared" si="607"/>
        <v>5.7937036607970347</v>
      </c>
      <c r="AH255" s="780">
        <f t="shared" si="607"/>
        <v>6.0721443466172387</v>
      </c>
      <c r="AI255" s="780">
        <f t="shared" si="607"/>
        <v>6.1962465245597773</v>
      </c>
      <c r="AJ255" s="780">
        <f t="shared" si="607"/>
        <v>6.4252780352177945</v>
      </c>
      <c r="AK255" s="780">
        <f t="shared" si="607"/>
        <v>6.4700243280815579</v>
      </c>
      <c r="AL255" s="780">
        <f t="shared" si="607"/>
        <v>6.6378301668211313</v>
      </c>
      <c r="AM255" s="780">
        <f t="shared" si="607"/>
        <v>6.9085959221501394</v>
      </c>
      <c r="AN255" s="780">
        <f t="shared" si="607"/>
        <v>6.8685414735866539</v>
      </c>
      <c r="AO255" s="780">
        <f t="shared" si="607"/>
        <v>7.0780236329935127</v>
      </c>
      <c r="AP255" s="780">
        <f t="shared" si="607"/>
        <v>7.3181765523632984</v>
      </c>
      <c r="AQ255" s="780">
        <f>AQ201</f>
        <v>7.3646605653382773</v>
      </c>
      <c r="AR255" s="780">
        <f>AR201</f>
        <v>7.6187442075996303</v>
      </c>
      <c r="AS255" s="780">
        <f>AS201</f>
        <v>7.8151065801668214</v>
      </c>
      <c r="AT255" s="780">
        <f>AT201</f>
        <v>8.0590535217794255</v>
      </c>
      <c r="AU255" s="780">
        <f t="shared" si="607"/>
        <v>8.5146027340129748</v>
      </c>
      <c r="AV255" s="780">
        <f t="shared" si="607"/>
        <v>8.8338252548656158</v>
      </c>
      <c r="AW255" s="780">
        <f t="shared" si="607"/>
        <v>9.1180279425393884</v>
      </c>
      <c r="AX255" s="780">
        <f t="shared" si="607"/>
        <v>9.3838012048192763</v>
      </c>
      <c r="AY255" s="780">
        <f t="shared" ref="AY255:BD255" si="608">AY201</f>
        <v>11.156799999999999</v>
      </c>
      <c r="AZ255" s="780">
        <f t="shared" si="608"/>
        <v>11.2081</v>
      </c>
      <c r="BA255" s="780">
        <f t="shared" si="608"/>
        <v>11.6145</v>
      </c>
      <c r="BB255" s="780">
        <f t="shared" si="608"/>
        <v>12.1366</v>
      </c>
      <c r="BC255" s="780">
        <f t="shared" si="608"/>
        <v>12.2827</v>
      </c>
      <c r="BD255" s="780">
        <f t="shared" si="608"/>
        <v>12.7234</v>
      </c>
      <c r="BE255" s="780">
        <f t="shared" ref="BE255:BN255" si="609">BE201</f>
        <v>12.9291</v>
      </c>
      <c r="BF255" s="780">
        <f t="shared" si="609"/>
        <v>13.301399999999999</v>
      </c>
      <c r="BG255" s="780">
        <f t="shared" si="609"/>
        <v>13.829699999999999</v>
      </c>
      <c r="BH255" s="780">
        <f t="shared" si="609"/>
        <v>13.917900000000001</v>
      </c>
      <c r="BI255" s="780">
        <f t="shared" si="609"/>
        <v>13.6395</v>
      </c>
      <c r="BJ255" s="780">
        <f t="shared" si="609"/>
        <v>12.954499999999999</v>
      </c>
      <c r="BK255" s="780">
        <f t="shared" si="609"/>
        <v>11.171900000000001</v>
      </c>
      <c r="BL255" s="780">
        <f t="shared" si="609"/>
        <v>10.8292</v>
      </c>
      <c r="BM255" s="780">
        <f t="shared" si="609"/>
        <v>10.7996</v>
      </c>
      <c r="BN255" s="780">
        <f t="shared" si="609"/>
        <v>10.6639</v>
      </c>
      <c r="BO255" s="780">
        <f t="shared" ref="BO255:BZ255" si="610">BO201</f>
        <v>11.125</v>
      </c>
      <c r="BP255" s="780">
        <f t="shared" si="610"/>
        <v>11.6295</v>
      </c>
      <c r="BQ255" s="780">
        <f t="shared" si="610"/>
        <v>11.8338</v>
      </c>
      <c r="BR255" s="780">
        <f t="shared" si="610"/>
        <v>12.342600000000001</v>
      </c>
      <c r="BS255" s="780">
        <f>BS201</f>
        <v>12.7021</v>
      </c>
      <c r="BT255" s="780">
        <f>BT201</f>
        <v>12.826499999999999</v>
      </c>
      <c r="BU255" s="780">
        <f>BU201</f>
        <v>12.8826</v>
      </c>
      <c r="BV255" s="780">
        <f>BV201</f>
        <v>13.036100000000001</v>
      </c>
      <c r="BW255" s="780">
        <f>BW201</f>
        <v>13.2081</v>
      </c>
      <c r="BX255" s="780">
        <f t="shared" si="610"/>
        <v>13.108700000000001</v>
      </c>
      <c r="BY255" s="780">
        <f t="shared" si="610"/>
        <v>13.7333</v>
      </c>
      <c r="BZ255" s="780">
        <f t="shared" si="610"/>
        <v>13.7921</v>
      </c>
      <c r="CA255" s="780">
        <f t="shared" ref="CA255:CH255" si="611">CA201</f>
        <v>14.019200000000001</v>
      </c>
      <c r="CB255" s="780">
        <f t="shared" si="611"/>
        <v>14.121499999999999</v>
      </c>
      <c r="CC255" s="780">
        <f t="shared" si="611"/>
        <v>14.4405</v>
      </c>
      <c r="CD255" s="780">
        <f t="shared" si="611"/>
        <v>14.591900000000001</v>
      </c>
      <c r="CE255" s="780">
        <f t="shared" si="611"/>
        <v>14.598799999999999</v>
      </c>
      <c r="CF255" s="780">
        <f t="shared" si="611"/>
        <v>14.7334</v>
      </c>
      <c r="CG255" s="780">
        <f t="shared" si="611"/>
        <v>14.7766</v>
      </c>
      <c r="CH255" s="780">
        <f t="shared" si="611"/>
        <v>14.971200000000001</v>
      </c>
      <c r="CI255" s="780">
        <f>CI201</f>
        <v>15.239100000000001</v>
      </c>
      <c r="CJ255" s="780">
        <f t="shared" ref="CJ255:CP255" si="612">CJ201</f>
        <v>15.4543</v>
      </c>
      <c r="CK255" s="780">
        <f t="shared" si="612"/>
        <v>15.310699999999999</v>
      </c>
      <c r="CL255" s="780">
        <f t="shared" si="612"/>
        <v>15.3377</v>
      </c>
      <c r="CM255" s="780">
        <f t="shared" si="612"/>
        <v>15.299800000000001</v>
      </c>
      <c r="CN255" s="780">
        <f t="shared" si="612"/>
        <v>15.671200000000001</v>
      </c>
      <c r="CO255" s="780">
        <f t="shared" si="612"/>
        <v>15.843300000000001</v>
      </c>
      <c r="CP255" s="780">
        <f t="shared" si="612"/>
        <v>16.1434</v>
      </c>
      <c r="CQ255" s="780">
        <f t="shared" ref="CQ255:CX255" si="613">CQ201</f>
        <v>16.573199999999996</v>
      </c>
      <c r="CR255" s="780">
        <f t="shared" si="613"/>
        <v>16.786000000000001</v>
      </c>
      <c r="CS255" s="780">
        <f t="shared" si="613"/>
        <v>17.186400000000003</v>
      </c>
      <c r="CT255" s="780">
        <f t="shared" si="613"/>
        <v>17.4419</v>
      </c>
      <c r="CU255" s="780">
        <f t="shared" si="613"/>
        <v>17.567009600000002</v>
      </c>
      <c r="CV255" s="780">
        <f t="shared" si="613"/>
        <v>17.693027752959999</v>
      </c>
      <c r="CW255" s="780">
        <f t="shared" si="613"/>
        <v>17.819961136431104</v>
      </c>
      <c r="CX255" s="780">
        <f t="shared" si="613"/>
        <v>17.951303897003008</v>
      </c>
      <c r="CY255" s="780">
        <f t="shared" ref="CY255:DB255" si="614">CY201</f>
        <v>18.14096465611863</v>
      </c>
      <c r="CZ255" s="780">
        <f t="shared" si="614"/>
        <v>18.341785714071197</v>
      </c>
      <c r="DA255" s="780">
        <f t="shared" si="614"/>
        <v>18.545247528941115</v>
      </c>
      <c r="DB255" s="780">
        <f t="shared" si="614"/>
        <v>18.749041387176199</v>
      </c>
      <c r="DC255" s="3508"/>
      <c r="DD255"/>
      <c r="DE255"/>
      <c r="DF255"/>
      <c r="DG255"/>
      <c r="DH255"/>
      <c r="DI255"/>
      <c r="DJ255"/>
      <c r="DK255"/>
      <c r="DL255"/>
      <c r="DM255"/>
      <c r="DN255"/>
      <c r="DO255"/>
    </row>
    <row r="256" spans="1:119" s="699" customFormat="1" ht="12.75" customHeight="1">
      <c r="A256" s="664"/>
      <c r="B256" s="664"/>
      <c r="C256" s="1562" t="s">
        <v>401</v>
      </c>
      <c r="D256" s="674"/>
      <c r="E256" s="3629" t="s">
        <v>1787</v>
      </c>
      <c r="F256" s="3630"/>
      <c r="G256" s="706">
        <f>G227</f>
        <v>1.0779367469879519</v>
      </c>
      <c r="H256" s="706">
        <f t="shared" ref="H256:BN256" si="615">H227</f>
        <v>1.0671628822984245</v>
      </c>
      <c r="I256" s="706">
        <f t="shared" si="615"/>
        <v>1.1193524096385543</v>
      </c>
      <c r="J256" s="706">
        <f t="shared" si="615"/>
        <v>1.1610576923076923</v>
      </c>
      <c r="K256" s="706">
        <f t="shared" si="615"/>
        <v>1.2340998609823912</v>
      </c>
      <c r="L256" s="706">
        <f t="shared" si="615"/>
        <v>1.290315106580167</v>
      </c>
      <c r="M256" s="706">
        <f t="shared" si="615"/>
        <v>1.385339434661724</v>
      </c>
      <c r="N256" s="706">
        <f t="shared" si="615"/>
        <v>1.4781916126042631</v>
      </c>
      <c r="O256" s="706">
        <f t="shared" si="615"/>
        <v>1.5776181649675625</v>
      </c>
      <c r="P256" s="706">
        <f t="shared" si="615"/>
        <v>1.6937847544022244</v>
      </c>
      <c r="Q256" s="706">
        <f t="shared" si="615"/>
        <v>1.7048482391102873</v>
      </c>
      <c r="R256" s="706">
        <f t="shared" si="615"/>
        <v>1.7935298887859128</v>
      </c>
      <c r="S256" s="706">
        <f t="shared" si="615"/>
        <v>1.8474281742354033</v>
      </c>
      <c r="T256" s="706">
        <f t="shared" si="615"/>
        <v>1.8497161723818352</v>
      </c>
      <c r="U256" s="706">
        <f t="shared" si="615"/>
        <v>1.8743917979610751</v>
      </c>
      <c r="V256" s="706">
        <f t="shared" si="615"/>
        <v>1.643246061167748</v>
      </c>
      <c r="W256" s="706">
        <f t="shared" si="615"/>
        <v>1.5583005097312328</v>
      </c>
      <c r="X256" s="706">
        <f t="shared" si="615"/>
        <v>1.6137337812789618</v>
      </c>
      <c r="Y256" s="706">
        <f t="shared" si="615"/>
        <v>1.5832657553290082</v>
      </c>
      <c r="Z256" s="706">
        <f t="shared" si="615"/>
        <v>1.5414156626506024</v>
      </c>
      <c r="AA256" s="706">
        <f t="shared" si="615"/>
        <v>1.584974513438369</v>
      </c>
      <c r="AB256" s="706">
        <f t="shared" si="615"/>
        <v>1.5929969879518073</v>
      </c>
      <c r="AC256" s="706">
        <f t="shared" si="615"/>
        <v>1.7012859128822984</v>
      </c>
      <c r="AD256" s="706">
        <f t="shared" si="615"/>
        <v>1.7029657089898056</v>
      </c>
      <c r="AE256" s="706">
        <f t="shared" si="615"/>
        <v>1.8408537998146433</v>
      </c>
      <c r="AF256" s="706">
        <f t="shared" si="615"/>
        <v>1.8904077849860983</v>
      </c>
      <c r="AG256" s="706">
        <f t="shared" si="615"/>
        <v>1.965940685820204</v>
      </c>
      <c r="AH256" s="706">
        <f t="shared" si="615"/>
        <v>2.1130386932344765</v>
      </c>
      <c r="AI256" s="706">
        <f t="shared" si="615"/>
        <v>2.1773053753475442</v>
      </c>
      <c r="AJ256" s="706">
        <f t="shared" si="615"/>
        <v>2.3408827618164967</v>
      </c>
      <c r="AK256" s="706">
        <f t="shared" si="615"/>
        <v>2.3221153846153846</v>
      </c>
      <c r="AL256" s="706">
        <f t="shared" si="615"/>
        <v>2.4178637627432811</v>
      </c>
      <c r="AM256" s="706">
        <f t="shared" si="615"/>
        <v>2.4491427247451343</v>
      </c>
      <c r="AN256" s="706">
        <f t="shared" si="615"/>
        <v>2.4241485171455053</v>
      </c>
      <c r="AO256" s="706">
        <f t="shared" si="615"/>
        <v>2.5226772474513437</v>
      </c>
      <c r="AP256" s="706">
        <f t="shared" si="615"/>
        <v>2.6362662187210382</v>
      </c>
      <c r="AQ256" s="706">
        <f t="shared" si="615"/>
        <v>2.6648227525486563</v>
      </c>
      <c r="AR256" s="706">
        <f t="shared" si="615"/>
        <v>2.8150486561631136</v>
      </c>
      <c r="AS256" s="706">
        <f t="shared" si="615"/>
        <v>2.9284059314179798</v>
      </c>
      <c r="AT256" s="706">
        <f t="shared" si="615"/>
        <v>2.9964376737720113</v>
      </c>
      <c r="AU256" s="706">
        <f t="shared" si="615"/>
        <v>3.5524</v>
      </c>
      <c r="AV256" s="706">
        <f t="shared" si="615"/>
        <v>3.8249</v>
      </c>
      <c r="AW256" s="706">
        <f t="shared" si="615"/>
        <v>3.9149000000000003</v>
      </c>
      <c r="AX256" s="706">
        <f t="shared" si="615"/>
        <v>4.2856999999999994</v>
      </c>
      <c r="AY256" s="706">
        <f t="shared" si="615"/>
        <v>4.2988</v>
      </c>
      <c r="AZ256" s="706">
        <f t="shared" si="615"/>
        <v>4.2541000000000002</v>
      </c>
      <c r="BA256" s="706">
        <f t="shared" si="615"/>
        <v>4.5179</v>
      </c>
      <c r="BB256" s="706">
        <f t="shared" si="615"/>
        <v>4.7205000000000004</v>
      </c>
      <c r="BC256" s="706">
        <f t="shared" si="615"/>
        <v>4.7086000000000006</v>
      </c>
      <c r="BD256" s="706">
        <f t="shared" si="615"/>
        <v>4.9444999999999997</v>
      </c>
      <c r="BE256" s="706">
        <f t="shared" si="615"/>
        <v>4.9571999999999994</v>
      </c>
      <c r="BF256" s="706">
        <f t="shared" si="615"/>
        <v>5.0981000000000005</v>
      </c>
      <c r="BG256" s="706">
        <f t="shared" si="615"/>
        <v>5.4121999999999995</v>
      </c>
      <c r="BH256" s="706">
        <f t="shared" si="615"/>
        <v>5.6598999999999995</v>
      </c>
      <c r="BI256" s="706">
        <f t="shared" si="615"/>
        <v>5.6408000000000005</v>
      </c>
      <c r="BJ256" s="706">
        <f t="shared" si="615"/>
        <v>5.1716000000000006</v>
      </c>
      <c r="BK256" s="706">
        <f t="shared" si="615"/>
        <v>3.8961999999999999</v>
      </c>
      <c r="BL256" s="706">
        <f t="shared" si="615"/>
        <v>3.8328000000000002</v>
      </c>
      <c r="BM256" s="706">
        <f t="shared" si="615"/>
        <v>4.0282999999999998</v>
      </c>
      <c r="BN256" s="706">
        <f t="shared" si="615"/>
        <v>4.1734</v>
      </c>
      <c r="BO256" s="706">
        <f t="shared" ref="BO256:BV256" si="616">BO227</f>
        <v>4.202</v>
      </c>
      <c r="BP256" s="706">
        <f t="shared" si="616"/>
        <v>4.5721000000000007</v>
      </c>
      <c r="BQ256" s="706">
        <f t="shared" si="616"/>
        <v>4.8536000000000001</v>
      </c>
      <c r="BR256" s="706">
        <f t="shared" si="616"/>
        <v>5.2694999999999999</v>
      </c>
      <c r="BS256" s="706">
        <f t="shared" si="616"/>
        <v>5.5288000000000004</v>
      </c>
      <c r="BT256" s="706">
        <f t="shared" si="616"/>
        <v>5.3873999999999995</v>
      </c>
      <c r="BU256" s="706">
        <f t="shared" si="616"/>
        <v>5.4032999999999998</v>
      </c>
      <c r="BV256" s="706">
        <f t="shared" si="616"/>
        <v>5.4695999999999998</v>
      </c>
      <c r="BW256" s="706">
        <f>BW227</f>
        <v>5.3171999999999988</v>
      </c>
      <c r="BX256" s="706">
        <f t="shared" ref="BX256:CD256" si="617">BX227</f>
        <v>5.2624999999999993</v>
      </c>
      <c r="BY256" s="706">
        <f t="shared" si="617"/>
        <v>6.0242999999999993</v>
      </c>
      <c r="BZ256" s="706">
        <f t="shared" si="617"/>
        <v>6.1990999999999996</v>
      </c>
      <c r="CA256" s="706">
        <f t="shared" si="617"/>
        <v>6.3516999999999992</v>
      </c>
      <c r="CB256" s="706">
        <f t="shared" si="617"/>
        <v>6.0376999999999992</v>
      </c>
      <c r="CC256" s="706">
        <f t="shared" si="617"/>
        <v>6.3659999999999988</v>
      </c>
      <c r="CD256" s="706">
        <f t="shared" si="617"/>
        <v>6.579299999999999</v>
      </c>
      <c r="CE256" s="706">
        <f t="shared" ref="CE256:CL256" si="618">CE227</f>
        <v>6.2537999999999991</v>
      </c>
      <c r="CF256" s="706">
        <f t="shared" si="618"/>
        <v>6.4989999999999988</v>
      </c>
      <c r="CG256" s="706">
        <f t="shared" si="618"/>
        <v>6.5823999999999989</v>
      </c>
      <c r="CH256" s="706">
        <f t="shared" si="618"/>
        <v>6.6985999999999999</v>
      </c>
      <c r="CI256" s="706">
        <f t="shared" si="618"/>
        <v>6.8022999999999989</v>
      </c>
      <c r="CJ256" s="706">
        <f t="shared" si="618"/>
        <v>6.9772999999999996</v>
      </c>
      <c r="CK256" s="706">
        <f t="shared" si="618"/>
        <v>6.9282999999999992</v>
      </c>
      <c r="CL256" s="706">
        <f t="shared" si="618"/>
        <v>6.9745999999999997</v>
      </c>
      <c r="CM256" s="706">
        <f t="shared" ref="CM256:CT256" si="619">CM227</f>
        <v>6.9072999999999993</v>
      </c>
      <c r="CN256" s="706">
        <f t="shared" si="619"/>
        <v>7.0656999999999988</v>
      </c>
      <c r="CO256" s="706">
        <f t="shared" si="619"/>
        <v>7.1443999999999992</v>
      </c>
      <c r="CP256" s="706">
        <f t="shared" si="619"/>
        <v>7.3040000000000003</v>
      </c>
      <c r="CQ256" s="706">
        <f t="shared" si="619"/>
        <v>7.7539999999999996</v>
      </c>
      <c r="CR256" s="706">
        <f t="shared" si="619"/>
        <v>7.9197999999999995</v>
      </c>
      <c r="CS256" s="706">
        <f t="shared" si="619"/>
        <v>8.1814999999999998</v>
      </c>
      <c r="CT256" s="706">
        <f t="shared" si="619"/>
        <v>8.4259000000000004</v>
      </c>
      <c r="CU256" s="706">
        <f t="shared" ref="CU256:DB256" si="620">CU227</f>
        <v>8.4933072000000003</v>
      </c>
      <c r="CV256" s="706">
        <f t="shared" si="620"/>
        <v>8.5612536576</v>
      </c>
      <c r="CW256" s="706">
        <f t="shared" si="620"/>
        <v>8.6297436868608006</v>
      </c>
      <c r="CX256" s="706">
        <f t="shared" si="620"/>
        <v>8.6944667645122564</v>
      </c>
      <c r="CY256" s="706">
        <f t="shared" si="620"/>
        <v>8.8248837659799388</v>
      </c>
      <c r="CZ256" s="706">
        <f t="shared" si="620"/>
        <v>8.9660819062356172</v>
      </c>
      <c r="DA256" s="706">
        <f t="shared" si="620"/>
        <v>9.1095392167353868</v>
      </c>
      <c r="DB256" s="706">
        <f t="shared" si="620"/>
        <v>9.2552918442031533</v>
      </c>
      <c r="DC256"/>
      <c r="DD256"/>
      <c r="DE256"/>
      <c r="DF256"/>
      <c r="DG256"/>
      <c r="DH256"/>
      <c r="DI256"/>
      <c r="DJ256"/>
      <c r="DK256"/>
      <c r="DL256"/>
      <c r="DM256"/>
      <c r="DN256"/>
      <c r="DO256"/>
    </row>
    <row r="257" spans="1:119" s="1960" customFormat="1" ht="12.75" customHeight="1">
      <c r="A257" s="1957"/>
      <c r="B257" s="1957"/>
      <c r="C257" s="3062" t="s">
        <v>1767</v>
      </c>
      <c r="D257" s="678"/>
      <c r="E257" s="3641" t="s">
        <v>1781</v>
      </c>
      <c r="F257" s="3642"/>
      <c r="G257" s="3063">
        <f>-G255+G256+G258</f>
        <v>-1.3235634847080568E-2</v>
      </c>
      <c r="H257" s="3063">
        <f t="shared" ref="H257:BN257" si="621">-H255+H256+H258</f>
        <v>1.2974976830398166E-2</v>
      </c>
      <c r="I257" s="3063">
        <f t="shared" si="621"/>
        <v>-4.3240268767377188E-2</v>
      </c>
      <c r="J257" s="3063">
        <f t="shared" si="621"/>
        <v>-2.6094763670065468E-2</v>
      </c>
      <c r="K257" s="3063">
        <f t="shared" si="621"/>
        <v>1.1005560704360207E-3</v>
      </c>
      <c r="L257" s="3063">
        <f t="shared" si="621"/>
        <v>-5.7026181649675767E-2</v>
      </c>
      <c r="M257" s="3063">
        <f t="shared" si="621"/>
        <v>-4.266102873030464E-2</v>
      </c>
      <c r="N257" s="3063">
        <f t="shared" si="621"/>
        <v>-5.7663345690454282E-2</v>
      </c>
      <c r="O257" s="3063">
        <f t="shared" si="621"/>
        <v>-9.5864226135310204E-2</v>
      </c>
      <c r="P257" s="3063">
        <f t="shared" si="621"/>
        <v>-3.4754402224286274E-3</v>
      </c>
      <c r="Q257" s="3063">
        <f t="shared" si="621"/>
        <v>5.5954587581092508E-2</v>
      </c>
      <c r="R257" s="3063">
        <f t="shared" si="621"/>
        <v>-5.4825069508805058E-2</v>
      </c>
      <c r="S257" s="3063">
        <f t="shared" si="621"/>
        <v>-6.1718025949954569E-2</v>
      </c>
      <c r="T257" s="3063">
        <f t="shared" si="621"/>
        <v>-1.5147126969416114E-2</v>
      </c>
      <c r="U257" s="3063">
        <f t="shared" si="621"/>
        <v>6.5598934198332515E-2</v>
      </c>
      <c r="V257" s="3063">
        <f t="shared" si="621"/>
        <v>-3.4175162187217722E-3</v>
      </c>
      <c r="W257" s="3063">
        <f t="shared" si="621"/>
        <v>1.4075532900834187E-2</v>
      </c>
      <c r="X257" s="3063">
        <f t="shared" si="621"/>
        <v>4.7381835032437092E-2</v>
      </c>
      <c r="Y257" s="3063">
        <f t="shared" si="621"/>
        <v>4.7729379054679555E-2</v>
      </c>
      <c r="Z257" s="3063">
        <f t="shared" si="621"/>
        <v>3.2466404077849731E-2</v>
      </c>
      <c r="AA257" s="3063">
        <f t="shared" si="621"/>
        <v>-1.7232391102872668E-2</v>
      </c>
      <c r="AB257" s="3063">
        <f t="shared" si="621"/>
        <v>1.0426320667282774E-3</v>
      </c>
      <c r="AC257" s="3063">
        <f t="shared" si="621"/>
        <v>2.082367933271545E-2</v>
      </c>
      <c r="AD257" s="3063">
        <f t="shared" si="621"/>
        <v>3.2060936051899525E-2</v>
      </c>
      <c r="AE257" s="3063">
        <f t="shared" si="621"/>
        <v>-4.6339202965794968E-4</v>
      </c>
      <c r="AF257" s="3063">
        <f t="shared" si="621"/>
        <v>-9.1519925857270756E-3</v>
      </c>
      <c r="AG257" s="3063">
        <f t="shared" si="621"/>
        <v>3.9214550509730994E-2</v>
      </c>
      <c r="AH257" s="3063">
        <f t="shared" si="621"/>
        <v>3.7650602409566858E-4</v>
      </c>
      <c r="AI257" s="3063">
        <f t="shared" si="621"/>
        <v>-4.4775254865616176E-2</v>
      </c>
      <c r="AJ257" s="3063">
        <f t="shared" si="621"/>
        <v>7.7328544949022415E-3</v>
      </c>
      <c r="AK257" s="3063">
        <f t="shared" si="621"/>
        <v>9.0940685820184441E-3</v>
      </c>
      <c r="AL257" s="3063">
        <f t="shared" si="621"/>
        <v>-1.0136700648741837E-3</v>
      </c>
      <c r="AM257" s="3063">
        <f t="shared" si="621"/>
        <v>-6.1660101946246826E-2</v>
      </c>
      <c r="AN257" s="3063">
        <f t="shared" si="621"/>
        <v>2.1171223354959245E-2</v>
      </c>
      <c r="AO257" s="3063">
        <f t="shared" si="621"/>
        <v>3.1423772011121009E-2</v>
      </c>
      <c r="AP257" s="3063">
        <f t="shared" si="621"/>
        <v>-1.7464087117700977E-2</v>
      </c>
      <c r="AQ257" s="3063">
        <f t="shared" si="621"/>
        <v>3.6028730305837975E-2</v>
      </c>
      <c r="AR257" s="3063">
        <f t="shared" si="621"/>
        <v>1.5958063021313862E-2</v>
      </c>
      <c r="AS257" s="3063">
        <f t="shared" si="621"/>
        <v>-2.600787766450452E-2</v>
      </c>
      <c r="AT257" s="3063">
        <f t="shared" si="621"/>
        <v>-7.793674698795261E-2</v>
      </c>
      <c r="AU257" s="3063">
        <f t="shared" si="621"/>
        <v>1.4501972659870255</v>
      </c>
      <c r="AV257" s="3063">
        <f t="shared" si="621"/>
        <v>1.4943747451343841</v>
      </c>
      <c r="AW257" s="3063">
        <f t="shared" si="621"/>
        <v>1.4874720574606126</v>
      </c>
      <c r="AX257" s="3063">
        <f t="shared" si="621"/>
        <v>1.7462987951807225</v>
      </c>
      <c r="AY257" s="3063">
        <f t="shared" si="621"/>
        <v>9.0000000000012292E-3</v>
      </c>
      <c r="AZ257" s="3063">
        <f t="shared" si="621"/>
        <v>7.7600000000000335E-2</v>
      </c>
      <c r="BA257" s="3063">
        <f t="shared" si="621"/>
        <v>5.7299999999999685E-2</v>
      </c>
      <c r="BB257" s="3063">
        <f t="shared" si="621"/>
        <v>-4.9499999999999211E-2</v>
      </c>
      <c r="BC257" s="3063">
        <f t="shared" si="621"/>
        <v>1.4600000000000612E-2</v>
      </c>
      <c r="BD257" s="3063">
        <f t="shared" si="621"/>
        <v>2.6200000000000223E-2</v>
      </c>
      <c r="BE257" s="3063">
        <f t="shared" si="621"/>
        <v>4.1999999999998927E-2</v>
      </c>
      <c r="BF257" s="3063">
        <f t="shared" si="621"/>
        <v>-4.4999999999998153E-2</v>
      </c>
      <c r="BG257" s="3063">
        <f t="shared" si="621"/>
        <v>-0.29969999999999963</v>
      </c>
      <c r="BH257" s="3063">
        <f t="shared" si="621"/>
        <v>-7.0300000000003138E-2</v>
      </c>
      <c r="BI257" s="3063">
        <f t="shared" si="621"/>
        <v>0.10010000000000119</v>
      </c>
      <c r="BJ257" s="3063">
        <f t="shared" si="621"/>
        <v>0.21960000000000068</v>
      </c>
      <c r="BK257" s="3063">
        <f t="shared" si="621"/>
        <v>-0.32220000000000049</v>
      </c>
      <c r="BL257" s="3063">
        <f t="shared" si="621"/>
        <v>-0.11650000000000027</v>
      </c>
      <c r="BM257" s="3063">
        <f t="shared" si="621"/>
        <v>0.14909999999999979</v>
      </c>
      <c r="BN257" s="3063">
        <f t="shared" si="621"/>
        <v>0.3230000000000004</v>
      </c>
      <c r="BO257" s="3063">
        <f t="shared" ref="BO257:BW257" si="622">-BO255+BO256+BO258</f>
        <v>-4.2500000000000426E-2</v>
      </c>
      <c r="BP257" s="3063">
        <f t="shared" si="622"/>
        <v>-6.1799999999998967E-2</v>
      </c>
      <c r="BQ257" s="3063">
        <f t="shared" si="622"/>
        <v>1.0600000000000165E-2</v>
      </c>
      <c r="BR257" s="3063">
        <f t="shared" si="622"/>
        <v>9.139999999999926E-2</v>
      </c>
      <c r="BS257" s="3063">
        <f t="shared" si="622"/>
        <v>0.12760000000000016</v>
      </c>
      <c r="BT257" s="3063">
        <f t="shared" si="622"/>
        <v>-2.1999999999999353E-2</v>
      </c>
      <c r="BU257" s="3063">
        <f t="shared" si="622"/>
        <v>-2.3900000000000254E-2</v>
      </c>
      <c r="BV257" s="3063">
        <f t="shared" si="622"/>
        <v>-1.9300000000001205E-2</v>
      </c>
      <c r="BW257" s="3063">
        <f t="shared" si="622"/>
        <v>-0.29070000000000107</v>
      </c>
      <c r="BX257" s="3063">
        <f t="shared" ref="BX257:CD257" si="623">-BX255+BX256+BX258</f>
        <v>-0.23510000000000097</v>
      </c>
      <c r="BY257" s="3063">
        <f t="shared" si="623"/>
        <v>9.279999999999955E-2</v>
      </c>
      <c r="BZ257" s="3063">
        <f t="shared" si="623"/>
        <v>0.24989999999999934</v>
      </c>
      <c r="CA257" s="3063">
        <f t="shared" si="623"/>
        <v>0.19189999999999774</v>
      </c>
      <c r="CB257" s="3063">
        <f t="shared" si="623"/>
        <v>-0.1529000000000007</v>
      </c>
      <c r="CC257" s="3063">
        <f t="shared" si="623"/>
        <v>-3.6500000000000199E-2</v>
      </c>
      <c r="CD257" s="3063">
        <f t="shared" si="623"/>
        <v>9.7099999999997522E-2</v>
      </c>
      <c r="CE257" s="3063">
        <f t="shared" ref="CE257:CL257" si="624">-CE255+CE256+CE258</f>
        <v>-0.13529999999999731</v>
      </c>
      <c r="CF257" s="3063">
        <f t="shared" si="624"/>
        <v>2.9999999999999361E-2</v>
      </c>
      <c r="CG257" s="3063">
        <f t="shared" si="624"/>
        <v>9.4199999999997175E-2</v>
      </c>
      <c r="CH257" s="3063">
        <f t="shared" si="624"/>
        <v>3.5299999999999443E-2</v>
      </c>
      <c r="CI257" s="3063">
        <f t="shared" si="624"/>
        <v>-8.95000000000028E-2</v>
      </c>
      <c r="CJ257" s="3063">
        <f t="shared" si="624"/>
        <v>-5.8100000000001373E-2</v>
      </c>
      <c r="CK257" s="3063">
        <f t="shared" si="624"/>
        <v>9.8999999999998423E-2</v>
      </c>
      <c r="CL257" s="3063">
        <f t="shared" si="624"/>
        <v>0.13020000000000032</v>
      </c>
      <c r="CM257" s="3063">
        <f t="shared" ref="CM257:CT257" si="625">-CM255+CM256+CM258</f>
        <v>0.12959999999999816</v>
      </c>
      <c r="CN257" s="3063">
        <f t="shared" si="625"/>
        <v>-2.9300000000002768E-2</v>
      </c>
      <c r="CO257" s="3063">
        <f t="shared" si="625"/>
        <v>-3.410000000000224E-2</v>
      </c>
      <c r="CP257" s="3063">
        <f t="shared" si="625"/>
        <v>-7.3100000000000165E-2</v>
      </c>
      <c r="CQ257" s="3063">
        <f t="shared" si="625"/>
        <v>4.2300000000002669E-2</v>
      </c>
      <c r="CR257" s="3063">
        <f t="shared" si="625"/>
        <v>5.8899999999997732E-2</v>
      </c>
      <c r="CS257" s="3063">
        <f t="shared" si="625"/>
        <v>-3.0900000000002592E-2</v>
      </c>
      <c r="CT257" s="3063">
        <f t="shared" si="625"/>
        <v>7.9200000000000159E-2</v>
      </c>
      <c r="CU257" s="3063">
        <f t="shared" ref="CU257:DB257" si="626">-CU255+CU256+CU258</f>
        <v>7.9706879999998037E-2</v>
      </c>
      <c r="CV257" s="3063">
        <f t="shared" si="626"/>
        <v>8.0217004032000716E-2</v>
      </c>
      <c r="CW257" s="3063">
        <f t="shared" si="626"/>
        <v>8.0730392857805811E-2</v>
      </c>
      <c r="CX257" s="3063">
        <f t="shared" si="626"/>
        <v>8.1315605689137982E-2</v>
      </c>
      <c r="CY257" s="3063">
        <f t="shared" si="626"/>
        <v>8.1836025565548809E-2</v>
      </c>
      <c r="CZ257" s="3063">
        <f t="shared" si="626"/>
        <v>8.2359776129166562E-2</v>
      </c>
      <c r="DA257" s="3063">
        <f t="shared" si="626"/>
        <v>8.288687869639233E-2</v>
      </c>
      <c r="DB257" s="3063">
        <f t="shared" si="626"/>
        <v>8.3396735115735865E-2</v>
      </c>
      <c r="DC257"/>
      <c r="DD257"/>
      <c r="DE257"/>
      <c r="DF257"/>
      <c r="DG257"/>
      <c r="DH257"/>
      <c r="DI257"/>
      <c r="DJ257"/>
      <c r="DK257"/>
      <c r="DL257"/>
      <c r="DM257"/>
      <c r="DN257"/>
      <c r="DO257"/>
    </row>
    <row r="258" spans="1:119" s="699" customFormat="1" ht="12.75" customHeight="1">
      <c r="A258" s="665" t="str">
        <f>"Q" &amp; ROW(InputQ!A15)</f>
        <v>Q15</v>
      </c>
      <c r="B258" s="1953" t="s">
        <v>1940</v>
      </c>
      <c r="C258" s="1562" t="s">
        <v>1769</v>
      </c>
      <c r="D258" s="746"/>
      <c r="E258" s="3615" t="s">
        <v>1840</v>
      </c>
      <c r="F258" s="3633"/>
      <c r="G258" s="799">
        <f>+InputQ!G15/1000</f>
        <v>2.8114863299351249</v>
      </c>
      <c r="H258" s="799">
        <f>+InputQ!H15/1000</f>
        <v>2.868483549582947</v>
      </c>
      <c r="I258" s="799">
        <f>+InputQ!I15/1000</f>
        <v>2.8692075996292861</v>
      </c>
      <c r="J258" s="799">
        <f>+InputQ!J15/1000</f>
        <v>2.9379344300278039</v>
      </c>
      <c r="K258" s="799">
        <f>+InputQ!K15/1000</f>
        <v>2.9682866079703429</v>
      </c>
      <c r="L258" s="799">
        <f>+InputQ!L15/1000</f>
        <v>2.9563832252085263</v>
      </c>
      <c r="M258" s="799">
        <f>+InputQ!M15/1000</f>
        <v>3.0588797497683045</v>
      </c>
      <c r="N258" s="799">
        <f>+InputQ!N15/1000</f>
        <v>3.0800509731232624</v>
      </c>
      <c r="O258" s="799">
        <f>+InputQ!O15/1000</f>
        <v>3.1247103799814644</v>
      </c>
      <c r="P258" s="799">
        <f>+InputQ!P15/1000</f>
        <v>3.2246292863762744</v>
      </c>
      <c r="Q258" s="799">
        <f>+InputQ!Q15/1000</f>
        <v>3.3201749304911954</v>
      </c>
      <c r="R258" s="799">
        <f>+InputQ!R15/1000</f>
        <v>3.383775486561631</v>
      </c>
      <c r="S258" s="799">
        <f>+InputQ!S15/1000</f>
        <v>3.4538635310472658</v>
      </c>
      <c r="T258" s="799">
        <f>+InputQ!T15/1000</f>
        <v>3.5139307228915664</v>
      </c>
      <c r="U258" s="799">
        <f>+InputQ!U15/1000</f>
        <v>3.5463102409638561</v>
      </c>
      <c r="V258" s="799">
        <f>+InputQ!V15/1000</f>
        <v>3.5464550509731234</v>
      </c>
      <c r="W258" s="799">
        <f>+InputQ!W15/1000</f>
        <v>3.4931360055607046</v>
      </c>
      <c r="X258" s="799">
        <f>+InputQ!X15/1000</f>
        <v>3.5060240963855422</v>
      </c>
      <c r="Y258" s="799">
        <f>+InputQ!Y15/1000</f>
        <v>3.4507356348470806</v>
      </c>
      <c r="Z258" s="799">
        <f>+InputQ!Z15/1000</f>
        <v>3.455803985171455</v>
      </c>
      <c r="AA258" s="799">
        <f>+InputQ!AA15/1000</f>
        <v>3.5307576459684897</v>
      </c>
      <c r="AB258" s="799">
        <f>+InputQ!AB15/1000</f>
        <v>3.5733028266913811</v>
      </c>
      <c r="AC258" s="799">
        <f>+InputQ!AC15/1000</f>
        <v>3.620655699721965</v>
      </c>
      <c r="AD258" s="799">
        <f>+InputQ!AD15/1000</f>
        <v>3.6803174235403153</v>
      </c>
      <c r="AE258" s="799">
        <f>+InputQ!AE15/1000</f>
        <v>3.784609592215014</v>
      </c>
      <c r="AF258" s="799">
        <f>+InputQ!AF15/1000</f>
        <v>3.7824953660797038</v>
      </c>
      <c r="AG258" s="799">
        <f>+InputQ!AG15/1000</f>
        <v>3.8669775254865617</v>
      </c>
      <c r="AH258" s="799">
        <f>+InputQ!AH15/1000</f>
        <v>3.9594821594068579</v>
      </c>
      <c r="AI258" s="799">
        <f>+InputQ!AI15/1000</f>
        <v>3.9741658943466174</v>
      </c>
      <c r="AJ258" s="799">
        <f>+InputQ!AJ15/1000</f>
        <v>4.0921281278962001</v>
      </c>
      <c r="AK258" s="799">
        <f>+InputQ!AK15/1000</f>
        <v>4.1570030120481922</v>
      </c>
      <c r="AL258" s="799">
        <f>+InputQ!AL15/1000</f>
        <v>4.2189527340129755</v>
      </c>
      <c r="AM258" s="799">
        <f>+InputQ!AM15/1000</f>
        <v>4.3977930954587583</v>
      </c>
      <c r="AN258" s="799">
        <f>+InputQ!AN15/1000</f>
        <v>4.4655641797961083</v>
      </c>
      <c r="AO258" s="799">
        <f>+InputQ!AO15/1000</f>
        <v>4.58677015755329</v>
      </c>
      <c r="AP258" s="799">
        <f>+InputQ!AP15/1000</f>
        <v>4.6644462465245597</v>
      </c>
      <c r="AQ258" s="799">
        <f>+InputQ!AQ15/1000</f>
        <v>4.735866543095459</v>
      </c>
      <c r="AR258" s="799">
        <f>+InputQ!AR15/1000</f>
        <v>4.819653614457831</v>
      </c>
      <c r="AS258" s="799">
        <f>+InputQ!AS15/1000</f>
        <v>4.8606927710843371</v>
      </c>
      <c r="AT258" s="799">
        <f>+InputQ!AT15/1000</f>
        <v>4.984679101019462</v>
      </c>
      <c r="AU258" s="799">
        <f>+InputQ!AU15/1000</f>
        <v>6.4123999999999999</v>
      </c>
      <c r="AV258" s="799">
        <f>+InputQ!AV15/1000</f>
        <v>6.5033000000000003</v>
      </c>
      <c r="AW258" s="799">
        <f>+InputQ!AW15/1000</f>
        <v>6.6906000000000008</v>
      </c>
      <c r="AX258" s="799">
        <f>+InputQ!AX15/1000</f>
        <v>6.8443999999999994</v>
      </c>
      <c r="AY258" s="799">
        <f>+InputQ!AY15/1000</f>
        <v>6.867</v>
      </c>
      <c r="AZ258" s="799">
        <f>+InputQ!AZ15/1000</f>
        <v>7.0316000000000001</v>
      </c>
      <c r="BA258" s="799">
        <f>+InputQ!BA15/1000</f>
        <v>7.1538999999999993</v>
      </c>
      <c r="BB258" s="799">
        <f>+InputQ!BB15/1000</f>
        <v>7.3666</v>
      </c>
      <c r="BC258" s="799">
        <f>+InputQ!BC15/1000</f>
        <v>7.5887000000000002</v>
      </c>
      <c r="BD258" s="799">
        <f>+InputQ!BD15/1000</f>
        <v>7.8051000000000004</v>
      </c>
      <c r="BE258" s="799">
        <f>+InputQ!BE15/1000</f>
        <v>8.0138999999999996</v>
      </c>
      <c r="BF258" s="799">
        <f>+InputQ!BF15/1000</f>
        <v>8.1583000000000006</v>
      </c>
      <c r="BG258" s="799">
        <f>+InputQ!BG15/1000</f>
        <v>8.1178000000000008</v>
      </c>
      <c r="BH258" s="799">
        <f>+InputQ!BH15/1000</f>
        <v>8.1876999999999995</v>
      </c>
      <c r="BI258" s="799">
        <f>+InputQ!BI15/1000</f>
        <v>8.0988000000000007</v>
      </c>
      <c r="BJ258" s="799">
        <f>+InputQ!BJ15/1000</f>
        <v>8.0024999999999995</v>
      </c>
      <c r="BK258" s="799">
        <f>+InputQ!BK15/1000</f>
        <v>6.9535</v>
      </c>
      <c r="BL258" s="799">
        <f>+InputQ!BL15/1000</f>
        <v>6.8798999999999992</v>
      </c>
      <c r="BM258" s="799">
        <f>+InputQ!BM15/1000</f>
        <v>6.9203999999999999</v>
      </c>
      <c r="BN258" s="799">
        <f>+InputQ!BN15/1000</f>
        <v>6.8135000000000003</v>
      </c>
      <c r="BO258" s="799">
        <f>+InputQ!BO15/1000</f>
        <v>6.8804999999999996</v>
      </c>
      <c r="BP258" s="799">
        <f>+InputQ!BP15/1000</f>
        <v>6.9956000000000005</v>
      </c>
      <c r="BQ258" s="799">
        <f>+InputQ!BQ15/1000</f>
        <v>6.9908000000000001</v>
      </c>
      <c r="BR258" s="799">
        <f>+InputQ!BR15/1000</f>
        <v>7.1645000000000003</v>
      </c>
      <c r="BS258" s="799">
        <f>+InputQ!BS15/1000</f>
        <v>7.3008999999999995</v>
      </c>
      <c r="BT258" s="799">
        <f>+InputQ!BT15/1000</f>
        <v>7.4171000000000005</v>
      </c>
      <c r="BU258" s="799">
        <f>+InputQ!BU15/1000</f>
        <v>7.4554</v>
      </c>
      <c r="BV258" s="799">
        <f>+InputQ!BV15/1000</f>
        <v>7.5472000000000001</v>
      </c>
      <c r="BW258" s="799">
        <f>+InputQ!BW15/1000</f>
        <v>7.6002000000000001</v>
      </c>
      <c r="BX258" s="799">
        <f>+InputQ!BX15/1000</f>
        <v>7.6111000000000004</v>
      </c>
      <c r="BY258" s="799">
        <f>+InputQ!BY15/1000</f>
        <v>7.8018000000000001</v>
      </c>
      <c r="BZ258" s="799">
        <f>+InputQ!BZ15/1000</f>
        <v>7.8428999999999993</v>
      </c>
      <c r="CA258" s="799">
        <f>+InputQ!CA15/1000</f>
        <v>7.8593999999999999</v>
      </c>
      <c r="CB258" s="799">
        <f>+InputQ!CB15/1000</f>
        <v>7.9308999999999994</v>
      </c>
      <c r="CC258" s="799">
        <f>+InputQ!CC15/1000</f>
        <v>8.0380000000000003</v>
      </c>
      <c r="CD258" s="799">
        <f>+InputQ!CD15/1000</f>
        <v>8.1097000000000001</v>
      </c>
      <c r="CE258" s="799">
        <f>+InputQ!CE15/1000</f>
        <v>8.2097000000000016</v>
      </c>
      <c r="CF258" s="799">
        <f>+InputQ!CF15/1000</f>
        <v>8.2644000000000002</v>
      </c>
      <c r="CG258" s="799">
        <f>+InputQ!CG15/1000</f>
        <v>8.2883999999999993</v>
      </c>
      <c r="CH258" s="799">
        <f>+InputQ!CH15/1000</f>
        <v>8.3079000000000001</v>
      </c>
      <c r="CI258" s="799">
        <f>+InputQ!CI15/1000</f>
        <v>8.3472999999999988</v>
      </c>
      <c r="CJ258" s="799">
        <f>+InputQ!CJ15/1000</f>
        <v>8.4188999999999989</v>
      </c>
      <c r="CK258" s="799">
        <f>+InputQ!CK15/1000</f>
        <v>8.4813999999999989</v>
      </c>
      <c r="CL258" s="799">
        <f>+InputQ!CL15/1000</f>
        <v>8.4932999999999996</v>
      </c>
      <c r="CM258" s="799">
        <f>+InputQ!CM15/1000</f>
        <v>8.5221</v>
      </c>
      <c r="CN258" s="799">
        <f>+InputQ!CN15/1000</f>
        <v>8.5762</v>
      </c>
      <c r="CO258" s="799">
        <f>+InputQ!CO15/1000</f>
        <v>8.6647999999999996</v>
      </c>
      <c r="CP258" s="799">
        <f>+InputQ!CP15/1000</f>
        <v>8.7662999999999993</v>
      </c>
      <c r="CQ258" s="799">
        <f>+InputQ!CQ15/1000</f>
        <v>8.8614999999999995</v>
      </c>
      <c r="CR258" s="799">
        <f>+InputQ!CR15/1000</f>
        <v>8.9251000000000005</v>
      </c>
      <c r="CS258" s="799">
        <f>+InputQ!CS15/1000</f>
        <v>8.9740000000000002</v>
      </c>
      <c r="CT258" s="2878">
        <f>+InputQ!CT15/1000</f>
        <v>9.0952000000000002</v>
      </c>
      <c r="CU258" s="1591">
        <f>+CT258*(1+CU263/100)</f>
        <v>9.15340928</v>
      </c>
      <c r="CV258" s="1591">
        <f t="shared" ref="CV258:CX258" si="627">+CU258*(1+CV263/100)</f>
        <v>9.2119910993919998</v>
      </c>
      <c r="CW258" s="1591">
        <f t="shared" si="627"/>
        <v>9.2709478424281091</v>
      </c>
      <c r="CX258" s="1591">
        <f t="shared" si="627"/>
        <v>9.3381527381798897</v>
      </c>
      <c r="CY258" s="1591">
        <f t="shared" ref="CY258" si="628">+CX258*(1+CY263/100)</f>
        <v>9.3979169157042399</v>
      </c>
      <c r="CZ258" s="1591">
        <f t="shared" ref="CZ258" si="629">+CY258*(1+CZ263/100)</f>
        <v>9.458063583964746</v>
      </c>
      <c r="DA258" s="1591">
        <f t="shared" ref="DA258" si="630">+CZ258*(1+DA263/100)</f>
        <v>9.5185951909021203</v>
      </c>
      <c r="DB258" s="1591">
        <f t="shared" ref="DB258" si="631">+DA258*(1+DB263/100)</f>
        <v>9.5771462780887813</v>
      </c>
      <c r="DC258"/>
      <c r="DD258"/>
      <c r="DE258"/>
      <c r="DF258"/>
      <c r="DG258"/>
      <c r="DH258"/>
      <c r="DI258"/>
      <c r="DJ258"/>
      <c r="DK258"/>
      <c r="DL258"/>
      <c r="DM258"/>
      <c r="DN258"/>
      <c r="DO258"/>
    </row>
    <row r="259" spans="1:119" s="26" customFormat="1">
      <c r="A259" s="673"/>
      <c r="B259" s="673"/>
      <c r="C259" s="1613"/>
      <c r="D259" s="683"/>
      <c r="E259" s="684" t="s">
        <v>266</v>
      </c>
      <c r="F259" s="685"/>
      <c r="G259" s="1571"/>
      <c r="H259" s="1571"/>
      <c r="I259" s="1571"/>
      <c r="J259" s="1575">
        <f>SUM(G258:J258)</f>
        <v>11.487111909175162</v>
      </c>
      <c r="K259" s="1571"/>
      <c r="L259" s="1571"/>
      <c r="M259" s="1571"/>
      <c r="N259" s="1575">
        <f>SUM(K258:N258)</f>
        <v>12.063600556070435</v>
      </c>
      <c r="O259" s="1571"/>
      <c r="P259" s="1571"/>
      <c r="Q259" s="1571"/>
      <c r="R259" s="1575">
        <f>SUM(O258:R258)</f>
        <v>13.053290083410566</v>
      </c>
      <c r="S259" s="1571"/>
      <c r="T259" s="1571"/>
      <c r="U259" s="1571"/>
      <c r="V259" s="1575">
        <f>SUM(S258:V258)</f>
        <v>14.060559545875812</v>
      </c>
      <c r="W259" s="1571"/>
      <c r="X259" s="1571"/>
      <c r="Y259" s="1571"/>
      <c r="Z259" s="1575">
        <f>SUM(W258:Z258)</f>
        <v>13.905699721964782</v>
      </c>
      <c r="AA259" s="1571"/>
      <c r="AB259" s="1571"/>
      <c r="AC259" s="1571"/>
      <c r="AD259" s="1575">
        <f>SUM(AA258:AD258)</f>
        <v>14.405033595922152</v>
      </c>
      <c r="AE259" s="1571"/>
      <c r="AF259" s="1571"/>
      <c r="AG259" s="1571"/>
      <c r="AH259" s="1575">
        <f>SUM(AE258:AH258)</f>
        <v>15.393564643188139</v>
      </c>
      <c r="AI259" s="1571"/>
      <c r="AJ259" s="1571"/>
      <c r="AK259" s="1571"/>
      <c r="AL259" s="1575">
        <f>SUM(AI258:AL258)</f>
        <v>16.442249768303988</v>
      </c>
      <c r="AM259" s="1571"/>
      <c r="AN259" s="1571"/>
      <c r="AO259" s="1571"/>
      <c r="AP259" s="1575">
        <f>SUM(AM258:AP258)</f>
        <v>18.114573679332715</v>
      </c>
      <c r="AQ259" s="1571"/>
      <c r="AR259" s="1571"/>
      <c r="AS259" s="1571"/>
      <c r="AT259" s="1575">
        <f>SUM(AQ258:AT258)</f>
        <v>19.40089202965709</v>
      </c>
      <c r="AU259" s="1571"/>
      <c r="AV259" s="1571"/>
      <c r="AW259" s="1571"/>
      <c r="AX259" s="1575">
        <f>SUM(AU258:AX258)</f>
        <v>26.450700000000001</v>
      </c>
      <c r="AY259" s="1571"/>
      <c r="AZ259" s="1571"/>
      <c r="BA259" s="1618"/>
      <c r="BB259" s="1592">
        <f>SUM(AY258:BB258)</f>
        <v>28.4191</v>
      </c>
      <c r="BC259" s="1618"/>
      <c r="BD259" s="1618"/>
      <c r="BE259" s="1618"/>
      <c r="BF259" s="1575">
        <f>SUM(BC258:BF258)</f>
        <v>31.565999999999999</v>
      </c>
      <c r="BG259" s="1618"/>
      <c r="BH259" s="1618"/>
      <c r="BI259" s="1618"/>
      <c r="BJ259" s="1575">
        <f>SUM(BG258:BJ258)</f>
        <v>32.406800000000004</v>
      </c>
      <c r="BK259" s="1618"/>
      <c r="BL259" s="1618"/>
      <c r="BM259" s="1618"/>
      <c r="BN259" s="1575">
        <f>SUM(BK258:BN258)</f>
        <v>27.567299999999999</v>
      </c>
      <c r="BO259" s="1618"/>
      <c r="BP259" s="1618"/>
      <c r="BQ259" s="1618"/>
      <c r="BR259" s="1575">
        <f>SUM(BO258:BR258)</f>
        <v>28.031400000000001</v>
      </c>
      <c r="BS259" s="1618"/>
      <c r="BT259" s="1618"/>
      <c r="BU259" s="1618"/>
      <c r="BV259" s="1575">
        <f>SUM(BS258:BV258)</f>
        <v>29.720600000000001</v>
      </c>
      <c r="BW259" s="1618"/>
      <c r="BX259" s="1618"/>
      <c r="BY259" s="1618"/>
      <c r="BZ259" s="1575">
        <f>SUM(BW258:BZ258)</f>
        <v>30.856000000000002</v>
      </c>
      <c r="CA259" s="1618"/>
      <c r="CB259" s="1618"/>
      <c r="CC259" s="1618"/>
      <c r="CD259" s="1575">
        <f>SUM(CA258:CD258)</f>
        <v>31.937999999999999</v>
      </c>
      <c r="CE259" s="1618"/>
      <c r="CF259" s="1618"/>
      <c r="CG259" s="1618"/>
      <c r="CH259" s="1575">
        <f>SUM(CE258:CH258)</f>
        <v>33.070399999999999</v>
      </c>
      <c r="CI259" s="1618"/>
      <c r="CJ259" s="1618"/>
      <c r="CK259" s="1618"/>
      <c r="CL259" s="1575">
        <f>SUM(CI258:CL258)</f>
        <v>33.740899999999996</v>
      </c>
      <c r="CM259" s="1618"/>
      <c r="CN259" s="1618"/>
      <c r="CO259" s="1618"/>
      <c r="CP259" s="1575">
        <f>SUM(CM258:CP258)</f>
        <v>34.529400000000003</v>
      </c>
      <c r="CQ259" s="1618"/>
      <c r="CR259" s="1618"/>
      <c r="CS259" s="1618"/>
      <c r="CT259" s="1575">
        <f>SUM(CQ258:CT258)</f>
        <v>35.855800000000002</v>
      </c>
      <c r="CU259" s="1618"/>
      <c r="CV259" s="1618"/>
      <c r="CW259" s="1618"/>
      <c r="CX259" s="1575">
        <f>SUM(CU258:CX258)</f>
        <v>36.97450096</v>
      </c>
      <c r="CY259" s="1618"/>
      <c r="CZ259" s="1618"/>
      <c r="DA259" s="1618"/>
      <c r="DB259" s="1575">
        <f>SUM(CY258:DB258)</f>
        <v>37.951721968659889</v>
      </c>
      <c r="DC259"/>
      <c r="DD259"/>
      <c r="DE259"/>
      <c r="DF259"/>
      <c r="DG259"/>
      <c r="DH259"/>
      <c r="DI259"/>
      <c r="DJ259"/>
      <c r="DK259"/>
      <c r="DL259"/>
      <c r="DM259"/>
      <c r="DN259"/>
      <c r="DO259"/>
    </row>
    <row r="260" spans="1:119" s="1600" customFormat="1" ht="12.75" customHeight="1">
      <c r="A260" s="998"/>
      <c r="B260" s="998"/>
      <c r="C260" s="1614"/>
      <c r="D260" s="679"/>
      <c r="E260" s="1572" t="s">
        <v>1847</v>
      </c>
      <c r="F260" s="679"/>
      <c r="G260" s="1573"/>
      <c r="H260" s="2839" t="s">
        <v>757</v>
      </c>
      <c r="I260" s="2840">
        <f ca="1">+J260/J259*100</f>
        <v>125.90093132177206</v>
      </c>
      <c r="J260" s="1615">
        <f ca="1">OFFSET('VVP2'!$G$125,0,(COLUMN()-10)/4)</f>
        <v>14.462380875625723</v>
      </c>
      <c r="K260" s="1573"/>
      <c r="L260" s="2839" t="s">
        <v>757</v>
      </c>
      <c r="M260" s="2840">
        <f ca="1">+N260/N259*100</f>
        <v>126.16540744605398</v>
      </c>
      <c r="N260" s="1615">
        <f ca="1">OFFSET('VVP2'!$G$125,0,(COLUMN()-10)/4)</f>
        <v>15.220090794230698</v>
      </c>
      <c r="O260" s="1573"/>
      <c r="P260" s="2839" t="s">
        <v>757</v>
      </c>
      <c r="Q260" s="2840">
        <f ca="1">+R260/R259*100</f>
        <v>126.09114430972552</v>
      </c>
      <c r="R260" s="1615">
        <f ca="1">OFFSET('VVP2'!$G$125,0,(COLUMN()-10)/4)</f>
        <v>16.459042836240307</v>
      </c>
      <c r="S260" s="1573"/>
      <c r="T260" s="2839" t="s">
        <v>757</v>
      </c>
      <c r="U260" s="2840">
        <f ca="1">+V260/V259*100</f>
        <v>125.98196906513606</v>
      </c>
      <c r="V260" s="1615">
        <f ca="1">OFFSET('VVP2'!$G$125,0,(COLUMN()-10)/4)</f>
        <v>17.713769777470301</v>
      </c>
      <c r="W260" s="1573"/>
      <c r="X260" s="2839" t="s">
        <v>757</v>
      </c>
      <c r="Y260" s="2840">
        <f ca="1">+Z260/Z259*100</f>
        <v>126.08372291842873</v>
      </c>
      <c r="Z260" s="1615">
        <f ca="1">OFFSET('VVP2'!$G$125,0,(COLUMN()-10)/4)</f>
        <v>17.532823907310789</v>
      </c>
      <c r="AA260" s="1573"/>
      <c r="AB260" s="2839" t="s">
        <v>757</v>
      </c>
      <c r="AC260" s="2840">
        <f ca="1">+AD260/AD259*100</f>
        <v>126.12088174429856</v>
      </c>
      <c r="AD260" s="1615">
        <f ca="1">OFFSET('VVP2'!$G$125,0,(COLUMN()-10)/4)</f>
        <v>18.167755386739458</v>
      </c>
      <c r="AE260" s="1573"/>
      <c r="AF260" s="2839" t="s">
        <v>757</v>
      </c>
      <c r="AG260" s="2840">
        <f ca="1">+AH260/AH259*100</f>
        <v>125.92874906579968</v>
      </c>
      <c r="AH260" s="1615">
        <f ca="1">OFFSET('VVP2'!$G$125,0,(COLUMN()-10)/4)</f>
        <v>19.384923391802051</v>
      </c>
      <c r="AI260" s="1573"/>
      <c r="AJ260" s="2839" t="s">
        <v>757</v>
      </c>
      <c r="AK260" s="2840">
        <f ca="1">+AL260/AL259*100</f>
        <v>125.95882108985836</v>
      </c>
      <c r="AL260" s="1615">
        <f ca="1">OFFSET('VVP2'!$G$125,0,(COLUMN()-10)/4)</f>
        <v>20.710463968805673</v>
      </c>
      <c r="AM260" s="1573"/>
      <c r="AN260" s="2839" t="s">
        <v>757</v>
      </c>
      <c r="AO260" s="2840">
        <f ca="1">+AP260/AP259*100</f>
        <v>126.0788596178696</v>
      </c>
      <c r="AP260" s="1615">
        <f ca="1">OFFSET('VVP2'!$G$125,0,(COLUMN()-10)/4)</f>
        <v>22.838647919541451</v>
      </c>
      <c r="AQ260" s="1573"/>
      <c r="AR260" s="2839" t="s">
        <v>757</v>
      </c>
      <c r="AS260" s="2840">
        <f ca="1">+AT260/AT259*100</f>
        <v>126.48763759154707</v>
      </c>
      <c r="AT260" s="1615">
        <f ca="1">OFFSET('VVP2'!$G$125,0,(COLUMN()-10)/4)</f>
        <v>24.539729999999999</v>
      </c>
      <c r="AU260" s="1573"/>
      <c r="AV260" s="2839" t="s">
        <v>757</v>
      </c>
      <c r="AW260" s="2840">
        <f ca="1">+AX260/AX259*100</f>
        <v>99.944462717432799</v>
      </c>
      <c r="AX260" s="1615">
        <f ca="1">OFFSET('VVP2'!$G$125,0,(COLUMN()-10)/4)</f>
        <v>26.43601</v>
      </c>
      <c r="AY260" s="1573"/>
      <c r="AZ260" s="2839" t="s">
        <v>757</v>
      </c>
      <c r="BA260" s="2840">
        <f ca="1">+BB260/BB259*100</f>
        <v>99.911608742008013</v>
      </c>
      <c r="BB260" s="1619">
        <f ca="1">OFFSET('VVP2'!$G$125,0,(COLUMN()-10)/4)</f>
        <v>28.393979999999999</v>
      </c>
      <c r="BC260" s="1573"/>
      <c r="BD260" s="2839" t="s">
        <v>757</v>
      </c>
      <c r="BE260" s="2840">
        <f ca="1">+BF260/BF259*100</f>
        <v>99.924000506874478</v>
      </c>
      <c r="BF260" s="1615">
        <f ca="1">OFFSET('VVP2'!$G$125,0,(COLUMN()-10)/4)</f>
        <v>31.542009999999998</v>
      </c>
      <c r="BG260" s="1573"/>
      <c r="BH260" s="2839" t="s">
        <v>757</v>
      </c>
      <c r="BI260" s="2840">
        <f ca="1">+BJ260/BJ259*100</f>
        <v>99.88940592715106</v>
      </c>
      <c r="BJ260" s="1615">
        <f ca="1">OFFSET('VVP2'!$G$125,0,(COLUMN()-10)/4)</f>
        <v>32.370959999999997</v>
      </c>
      <c r="BK260" s="1573"/>
      <c r="BL260" s="2839" t="s">
        <v>757</v>
      </c>
      <c r="BM260" s="2840">
        <f ca="1">+BN260/BN259*100</f>
        <v>100.0296365621588</v>
      </c>
      <c r="BN260" s="1615">
        <f ca="1">OFFSET('VVP2'!$G$125,0,(COLUMN()-10)/4)</f>
        <v>27.575470000000003</v>
      </c>
      <c r="BO260" s="1573"/>
      <c r="BP260" s="2839" t="s">
        <v>757</v>
      </c>
      <c r="BQ260" s="2840">
        <f ca="1">+BR260/BR259*100</f>
        <v>99.986657819445341</v>
      </c>
      <c r="BR260" s="1615">
        <f ca="1">OFFSET('VVP2'!$G$125,0,(COLUMN()-10)/4)</f>
        <v>28.027660000000001</v>
      </c>
      <c r="BS260" s="1573"/>
      <c r="BT260" s="2839" t="s">
        <v>757</v>
      </c>
      <c r="BU260" s="2840">
        <f ca="1">+BV260/BV259*100</f>
        <v>100.0027253823947</v>
      </c>
      <c r="BV260" s="1615">
        <f ca="1">OFFSET('VVP2'!$G$125,0,(COLUMN()-10)/4)</f>
        <v>29.721409999999999</v>
      </c>
      <c r="BW260" s="1573"/>
      <c r="BX260" s="2839" t="s">
        <v>757</v>
      </c>
      <c r="BY260" s="2840">
        <f ca="1">+BZ260/BZ259*100</f>
        <v>100.00917163598653</v>
      </c>
      <c r="BZ260" s="1615">
        <f ca="1">OFFSET('VVP2'!$G$125,0,(COLUMN()-10)/4)</f>
        <v>30.858830000000001</v>
      </c>
      <c r="CA260" s="1573"/>
      <c r="CB260" s="2839" t="s">
        <v>757</v>
      </c>
      <c r="CC260" s="2840">
        <f ca="1">+CD260/CD259*100</f>
        <v>100.00140897989856</v>
      </c>
      <c r="CD260" s="1615">
        <f ca="1">OFFSET('VVP2'!$G$125,0,(COLUMN()-10)/4)</f>
        <v>31.93845</v>
      </c>
      <c r="CE260" s="1573"/>
      <c r="CF260" s="2839" t="s">
        <v>757</v>
      </c>
      <c r="CG260" s="2840">
        <f ca="1">+CH260/CH259*100</f>
        <v>99.993649910493971</v>
      </c>
      <c r="CH260" s="1615">
        <f ca="1">OFFSET('VVP2'!$G$125,0,(COLUMN()-10)/4)</f>
        <v>33.068300000000001</v>
      </c>
      <c r="CI260" s="1573"/>
      <c r="CJ260" s="2839" t="s">
        <v>757</v>
      </c>
      <c r="CK260" s="2840">
        <f ca="1">+CL260/CL259*100</f>
        <v>100.00068166527865</v>
      </c>
      <c r="CL260" s="1615">
        <f ca="1">OFFSET('VVP2'!$G$125,0,(COLUMN()-10)/4)</f>
        <v>33.741129999999998</v>
      </c>
      <c r="CM260" s="1573"/>
      <c r="CN260" s="2839" t="s">
        <v>757</v>
      </c>
      <c r="CO260" s="2840">
        <f ca="1">+CP260/CP259*100</f>
        <v>100.0084565616547</v>
      </c>
      <c r="CP260" s="1615">
        <f ca="1">OFFSET('VVP2'!$G$125,0,(COLUMN()-10)/4)</f>
        <v>34.532319999999999</v>
      </c>
      <c r="CQ260" s="1573"/>
      <c r="CR260" s="2839" t="s">
        <v>757</v>
      </c>
      <c r="CS260" s="2840">
        <f ca="1">+CT260/CT259*100</f>
        <v>99.996485924174053</v>
      </c>
      <c r="CT260" s="1615">
        <f ca="1">OFFSET('VVP2'!$G$125,0,(COLUMN()-10)/4)</f>
        <v>35.85454</v>
      </c>
      <c r="CU260" s="1573"/>
      <c r="CV260" s="2839" t="s">
        <v>757</v>
      </c>
      <c r="CW260" s="2840">
        <f ca="1">+CX260/CX259*100</f>
        <v>99.997055475935866</v>
      </c>
      <c r="CX260" s="1615">
        <f ca="1">OFFSET('VVP2'!$G$125,0,(COLUMN()-10)/4)</f>
        <v>36.973412236921639</v>
      </c>
      <c r="CY260" s="1573"/>
      <c r="CZ260" s="2839" t="s">
        <v>757</v>
      </c>
      <c r="DA260" s="2840">
        <f ca="1">+DB260/DB259*100</f>
        <v>99.996767353636812</v>
      </c>
      <c r="DB260" s="1615">
        <f ca="1">OFFSET('VVP2'!$G$125,0,(COLUMN()-10)/4)</f>
        <v>37.950495123699902</v>
      </c>
      <c r="DC260"/>
      <c r="DD260"/>
      <c r="DE260"/>
      <c r="DF260"/>
      <c r="DG260"/>
      <c r="DH260"/>
      <c r="DI260"/>
      <c r="DJ260"/>
      <c r="DK260"/>
      <c r="DL260"/>
      <c r="DM260"/>
      <c r="DN260"/>
      <c r="DO260"/>
    </row>
    <row r="261" spans="1:119">
      <c r="E261" s="599"/>
      <c r="F261" s="3617"/>
      <c r="AY261" s="217"/>
      <c r="BC261" s="1917"/>
      <c r="BD261" s="1917"/>
      <c r="BF261" s="217"/>
      <c r="BG261" s="1917"/>
      <c r="BH261" s="1917"/>
      <c r="BJ261" s="217"/>
      <c r="BK261" s="1917"/>
      <c r="BL261" s="1917"/>
      <c r="BM261" s="1917"/>
      <c r="BN261" s="1917"/>
      <c r="BO261" s="1917"/>
      <c r="BP261" s="1917"/>
      <c r="BQ261" s="1917"/>
      <c r="BR261" s="1917"/>
      <c r="BS261" s="1917"/>
      <c r="BT261" s="1917"/>
      <c r="BU261" s="1917"/>
      <c r="BV261" s="1917"/>
      <c r="BW261" s="1917"/>
      <c r="BX261" s="1917"/>
      <c r="BY261" s="1917"/>
      <c r="BZ261" s="1917"/>
      <c r="CA261" s="1917"/>
      <c r="CB261" s="1917"/>
      <c r="CC261" s="1917"/>
      <c r="CD261" s="1917"/>
      <c r="CE261" s="1917"/>
      <c r="CF261" s="1917"/>
      <c r="CG261" s="1917"/>
      <c r="CH261" s="1917"/>
      <c r="CI261" s="1917"/>
      <c r="CJ261" s="1917"/>
      <c r="CK261" s="1917"/>
      <c r="CL261" s="1917"/>
      <c r="CM261" s="1917"/>
      <c r="CN261" s="1917"/>
      <c r="CO261" s="1917"/>
      <c r="CP261" s="1917"/>
      <c r="CQ261" s="1917"/>
      <c r="CR261" s="1917"/>
      <c r="CS261" s="1917"/>
      <c r="CT261" s="1917"/>
      <c r="CU261" s="1917"/>
      <c r="CV261" s="1917"/>
      <c r="CW261" s="1917"/>
      <c r="CX261" s="1917"/>
      <c r="CY261" s="1917"/>
      <c r="CZ261" s="1917"/>
      <c r="DA261" s="1917"/>
      <c r="DB261" s="1917"/>
    </row>
    <row r="262" spans="1:119" s="699" customFormat="1" ht="12.75" customHeight="1">
      <c r="A262" s="664"/>
      <c r="B262" s="664"/>
      <c r="C262" s="1553"/>
      <c r="D262" s="742"/>
      <c r="E262" s="3384" t="s">
        <v>762</v>
      </c>
      <c r="F262" s="3622"/>
      <c r="G262" s="1578" t="str">
        <f t="shared" ref="G262:BD262" si="632">G254</f>
        <v>Q1</v>
      </c>
      <c r="H262" s="1579" t="str">
        <f t="shared" si="632"/>
        <v>Q2</v>
      </c>
      <c r="I262" s="1579" t="str">
        <f t="shared" si="632"/>
        <v>Q3</v>
      </c>
      <c r="J262" s="1580" t="str">
        <f t="shared" si="632"/>
        <v>Q4</v>
      </c>
      <c r="K262" s="1578" t="str">
        <f t="shared" si="632"/>
        <v>Q1</v>
      </c>
      <c r="L262" s="1579" t="str">
        <f t="shared" si="632"/>
        <v>Q2</v>
      </c>
      <c r="M262" s="1579" t="str">
        <f t="shared" si="632"/>
        <v>Q3</v>
      </c>
      <c r="N262" s="1580" t="str">
        <f t="shared" si="632"/>
        <v>Q4</v>
      </c>
      <c r="O262" s="1578" t="str">
        <f>O254</f>
        <v>Q1</v>
      </c>
      <c r="P262" s="1579" t="str">
        <f>P254</f>
        <v>Q2</v>
      </c>
      <c r="Q262" s="1579" t="str">
        <f>Q254</f>
        <v>Q3</v>
      </c>
      <c r="R262" s="1580" t="str">
        <f>R254</f>
        <v>Q4</v>
      </c>
      <c r="S262" s="1578" t="str">
        <f t="shared" si="632"/>
        <v>Q1</v>
      </c>
      <c r="T262" s="1579" t="str">
        <f t="shared" si="632"/>
        <v>Q2</v>
      </c>
      <c r="U262" s="1579" t="str">
        <f t="shared" si="632"/>
        <v>Q3</v>
      </c>
      <c r="V262" s="1580" t="str">
        <f t="shared" si="632"/>
        <v>Q4</v>
      </c>
      <c r="W262" s="1578" t="str">
        <f t="shared" si="632"/>
        <v>Q1</v>
      </c>
      <c r="X262" s="1579" t="str">
        <f t="shared" si="632"/>
        <v>Q2</v>
      </c>
      <c r="Y262" s="1579" t="str">
        <f t="shared" si="632"/>
        <v>Q3</v>
      </c>
      <c r="Z262" s="1580" t="str">
        <f t="shared" si="632"/>
        <v>Q4</v>
      </c>
      <c r="AA262" s="1578" t="str">
        <f t="shared" si="632"/>
        <v>Q1</v>
      </c>
      <c r="AB262" s="1579" t="str">
        <f t="shared" si="632"/>
        <v>Q2</v>
      </c>
      <c r="AC262" s="1579" t="str">
        <f t="shared" si="632"/>
        <v>Q3</v>
      </c>
      <c r="AD262" s="1580" t="str">
        <f t="shared" si="632"/>
        <v>Q4</v>
      </c>
      <c r="AE262" s="1578" t="str">
        <f t="shared" si="632"/>
        <v>Q1</v>
      </c>
      <c r="AF262" s="1579" t="str">
        <f t="shared" si="632"/>
        <v>Q2</v>
      </c>
      <c r="AG262" s="1579" t="str">
        <f t="shared" si="632"/>
        <v>Q3</v>
      </c>
      <c r="AH262" s="1580" t="str">
        <f t="shared" si="632"/>
        <v>Q4</v>
      </c>
      <c r="AI262" s="1578" t="str">
        <f t="shared" si="632"/>
        <v>Q1</v>
      </c>
      <c r="AJ262" s="1579" t="str">
        <f t="shared" si="632"/>
        <v>Q2</v>
      </c>
      <c r="AK262" s="1579" t="str">
        <f t="shared" si="632"/>
        <v>Q3</v>
      </c>
      <c r="AL262" s="1580" t="str">
        <f t="shared" si="632"/>
        <v>Q4</v>
      </c>
      <c r="AM262" s="1578" t="str">
        <f t="shared" si="632"/>
        <v>Q1</v>
      </c>
      <c r="AN262" s="1579" t="str">
        <f t="shared" si="632"/>
        <v>Q2</v>
      </c>
      <c r="AO262" s="1579" t="str">
        <f t="shared" si="632"/>
        <v>Q3</v>
      </c>
      <c r="AP262" s="1580" t="str">
        <f t="shared" si="632"/>
        <v>Q4</v>
      </c>
      <c r="AQ262" s="1578" t="str">
        <f>AQ254</f>
        <v>Q1</v>
      </c>
      <c r="AR262" s="1579" t="str">
        <f>AR254</f>
        <v>Q2</v>
      </c>
      <c r="AS262" s="1579" t="str">
        <f>AS254</f>
        <v>Q3</v>
      </c>
      <c r="AT262" s="1580" t="str">
        <f>AT254</f>
        <v>Q4</v>
      </c>
      <c r="AU262" s="1578" t="str">
        <f t="shared" si="632"/>
        <v>Q1</v>
      </c>
      <c r="AV262" s="1579" t="str">
        <f t="shared" si="632"/>
        <v>Q2</v>
      </c>
      <c r="AW262" s="1579" t="str">
        <f t="shared" si="632"/>
        <v>Q3</v>
      </c>
      <c r="AX262" s="1580" t="str">
        <f t="shared" si="632"/>
        <v>Q4</v>
      </c>
      <c r="AY262" s="1578" t="str">
        <f>AY254</f>
        <v>Q1</v>
      </c>
      <c r="AZ262" s="1579" t="str">
        <f>AZ254</f>
        <v>Q2</v>
      </c>
      <c r="BA262" s="1579" t="str">
        <f t="shared" si="632"/>
        <v>Q3</v>
      </c>
      <c r="BB262" s="1579" t="str">
        <f t="shared" si="632"/>
        <v>Q4</v>
      </c>
      <c r="BC262" s="1579" t="str">
        <f t="shared" si="632"/>
        <v>Q1</v>
      </c>
      <c r="BD262" s="1579" t="str">
        <f t="shared" si="632"/>
        <v>Q2</v>
      </c>
      <c r="BE262" s="1579" t="str">
        <f t="shared" ref="BE262:BJ262" si="633">BE254</f>
        <v>Q3</v>
      </c>
      <c r="BF262" s="1580" t="str">
        <f t="shared" si="633"/>
        <v>Q4</v>
      </c>
      <c r="BG262" s="1579" t="str">
        <f t="shared" si="633"/>
        <v>Q1</v>
      </c>
      <c r="BH262" s="1579" t="str">
        <f t="shared" si="633"/>
        <v>Q2</v>
      </c>
      <c r="BI262" s="1579" t="str">
        <f t="shared" si="633"/>
        <v>Q3</v>
      </c>
      <c r="BJ262" s="1580" t="str">
        <f t="shared" si="633"/>
        <v>Q4</v>
      </c>
      <c r="BK262" s="1579" t="str">
        <f t="shared" ref="BK262:BZ262" si="634">BK254</f>
        <v>Q1</v>
      </c>
      <c r="BL262" s="1579" t="str">
        <f t="shared" si="634"/>
        <v>Q2</v>
      </c>
      <c r="BM262" s="1579" t="str">
        <f t="shared" si="634"/>
        <v>Q3</v>
      </c>
      <c r="BN262" s="1579" t="str">
        <f t="shared" si="634"/>
        <v>Q4</v>
      </c>
      <c r="BO262" s="1579" t="str">
        <f t="shared" si="634"/>
        <v>Q1</v>
      </c>
      <c r="BP262" s="1579" t="str">
        <f t="shared" si="634"/>
        <v>Q2</v>
      </c>
      <c r="BQ262" s="1579" t="str">
        <f t="shared" si="634"/>
        <v>Q3</v>
      </c>
      <c r="BR262" s="1579" t="str">
        <f t="shared" si="634"/>
        <v>Q4</v>
      </c>
      <c r="BS262" s="1579" t="str">
        <f>BS254</f>
        <v>Q1</v>
      </c>
      <c r="BT262" s="1579" t="str">
        <f>BT254</f>
        <v>Q2</v>
      </c>
      <c r="BU262" s="1579" t="str">
        <f>BU254</f>
        <v>Q3</v>
      </c>
      <c r="BV262" s="1579" t="str">
        <f>BV254</f>
        <v>Q4</v>
      </c>
      <c r="BW262" s="1579" t="str">
        <f t="shared" si="634"/>
        <v>Q1</v>
      </c>
      <c r="BX262" s="1579" t="str">
        <f t="shared" si="634"/>
        <v>Q2</v>
      </c>
      <c r="BY262" s="1579" t="str">
        <f t="shared" si="634"/>
        <v>Q3</v>
      </c>
      <c r="BZ262" s="1579" t="str">
        <f t="shared" si="634"/>
        <v>Q4</v>
      </c>
      <c r="CA262" s="1579" t="str">
        <f t="shared" ref="CA262:CH262" si="635">CA254</f>
        <v>Q1</v>
      </c>
      <c r="CB262" s="1579" t="str">
        <f t="shared" si="635"/>
        <v>Q2</v>
      </c>
      <c r="CC262" s="1579" t="str">
        <f t="shared" si="635"/>
        <v>Q3</v>
      </c>
      <c r="CD262" s="1579" t="str">
        <f t="shared" si="635"/>
        <v>Q4</v>
      </c>
      <c r="CE262" s="1579" t="str">
        <f t="shared" si="635"/>
        <v>Q1</v>
      </c>
      <c r="CF262" s="1579" t="str">
        <f t="shared" si="635"/>
        <v>Q2</v>
      </c>
      <c r="CG262" s="1579" t="str">
        <f t="shared" si="635"/>
        <v>Q3</v>
      </c>
      <c r="CH262" s="1579" t="str">
        <f t="shared" si="635"/>
        <v>Q4</v>
      </c>
      <c r="CI262" s="1579" t="str">
        <f t="shared" ref="CI262:CP262" si="636">CI254</f>
        <v>Q1</v>
      </c>
      <c r="CJ262" s="1579" t="str">
        <f t="shared" si="636"/>
        <v>Q2</v>
      </c>
      <c r="CK262" s="1579" t="str">
        <f t="shared" si="636"/>
        <v>Q3</v>
      </c>
      <c r="CL262" s="1579" t="str">
        <f t="shared" si="636"/>
        <v>Q4</v>
      </c>
      <c r="CM262" s="1579" t="str">
        <f t="shared" si="636"/>
        <v>Q1</v>
      </c>
      <c r="CN262" s="1579" t="str">
        <f t="shared" si="636"/>
        <v>Q2</v>
      </c>
      <c r="CO262" s="1579" t="str">
        <f t="shared" si="636"/>
        <v>Q3</v>
      </c>
      <c r="CP262" s="1579" t="str">
        <f t="shared" si="636"/>
        <v>Q4</v>
      </c>
      <c r="CQ262" s="1579" t="str">
        <f t="shared" ref="CQ262:CX262" si="637">CQ254</f>
        <v>Q1</v>
      </c>
      <c r="CR262" s="1579" t="str">
        <f t="shared" si="637"/>
        <v>Q2</v>
      </c>
      <c r="CS262" s="1579" t="str">
        <f t="shared" si="637"/>
        <v>Q3</v>
      </c>
      <c r="CT262" s="1579" t="str">
        <f t="shared" si="637"/>
        <v>Q4</v>
      </c>
      <c r="CU262" s="1579" t="str">
        <f t="shared" si="637"/>
        <v>Q1</v>
      </c>
      <c r="CV262" s="1579" t="str">
        <f t="shared" si="637"/>
        <v>Q2</v>
      </c>
      <c r="CW262" s="1579" t="str">
        <f t="shared" si="637"/>
        <v>Q3</v>
      </c>
      <c r="CX262" s="1579" t="str">
        <f t="shared" si="637"/>
        <v>Q4</v>
      </c>
      <c r="CY262" s="1579" t="str">
        <f t="shared" ref="CY262:DB262" si="638">CY254</f>
        <v>Q1</v>
      </c>
      <c r="CZ262" s="1579" t="str">
        <f t="shared" si="638"/>
        <v>Q2</v>
      </c>
      <c r="DA262" s="1579" t="str">
        <f t="shared" si="638"/>
        <v>Q3</v>
      </c>
      <c r="DB262" s="1579" t="str">
        <f t="shared" si="638"/>
        <v>Q4</v>
      </c>
      <c r="DC262"/>
      <c r="DD262"/>
      <c r="DE262"/>
      <c r="DF262"/>
      <c r="DG262"/>
      <c r="DH262"/>
      <c r="DI262"/>
      <c r="DJ262"/>
      <c r="DK262"/>
      <c r="DL262"/>
      <c r="DM262"/>
      <c r="DN262"/>
      <c r="DO262"/>
    </row>
    <row r="263" spans="1:119" s="699" customFormat="1" ht="12.75" customHeight="1">
      <c r="B263" s="664"/>
      <c r="C263" s="692"/>
      <c r="D263" s="689"/>
      <c r="E263" s="3623" t="str">
        <f>E258</f>
        <v xml:space="preserve">Gross domestic product at market prices                                         </v>
      </c>
      <c r="F263" s="3624" t="s">
        <v>1137</v>
      </c>
      <c r="G263" s="978"/>
      <c r="H263" s="978">
        <f>(H258/G258-1)*100</f>
        <v>2.0272984805562722</v>
      </c>
      <c r="I263" s="978">
        <f t="shared" ref="I263:BE263" si="639">(I258/H258-1)*100</f>
        <v>2.5241561745903418E-2</v>
      </c>
      <c r="J263" s="978">
        <f t="shared" si="639"/>
        <v>2.3953244236282423</v>
      </c>
      <c r="K263" s="978">
        <f t="shared" si="639"/>
        <v>1.0331128439191151</v>
      </c>
      <c r="L263" s="978">
        <f t="shared" si="639"/>
        <v>-0.40101864590347258</v>
      </c>
      <c r="M263" s="978">
        <f t="shared" si="639"/>
        <v>3.4669566410000519</v>
      </c>
      <c r="N263" s="978">
        <f t="shared" si="639"/>
        <v>0.69212342709978891</v>
      </c>
      <c r="O263" s="978">
        <f>(O258/N258-1)*100</f>
        <v>1.4499567457780138</v>
      </c>
      <c r="P263" s="978">
        <f>(P258/O258-1)*100</f>
        <v>3.1977013624988393</v>
      </c>
      <c r="Q263" s="978">
        <f>(Q258/P258-1)*100</f>
        <v>2.9629962277707866</v>
      </c>
      <c r="R263" s="978">
        <f>(R258/Q258-1)*100</f>
        <v>1.9155784680606081</v>
      </c>
      <c r="S263" s="978">
        <f t="shared" si="639"/>
        <v>2.0712971284289727</v>
      </c>
      <c r="T263" s="978">
        <f t="shared" si="639"/>
        <v>1.7391304347826209</v>
      </c>
      <c r="U263" s="978">
        <f t="shared" si="639"/>
        <v>0.92146148076719392</v>
      </c>
      <c r="V263" s="978">
        <f t="shared" si="639"/>
        <v>4.0833993482758402E-3</v>
      </c>
      <c r="W263" s="978">
        <f t="shared" si="639"/>
        <v>-1.5034462483258682</v>
      </c>
      <c r="X263" s="978">
        <f t="shared" si="639"/>
        <v>0.36895473878832963</v>
      </c>
      <c r="Y263" s="978">
        <f t="shared" si="639"/>
        <v>-1.5769561194818982</v>
      </c>
      <c r="Z263" s="978">
        <f t="shared" si="639"/>
        <v>0.14687738675753792</v>
      </c>
      <c r="AA263" s="978">
        <f t="shared" si="639"/>
        <v>2.1689210707162232</v>
      </c>
      <c r="AB263" s="978">
        <f t="shared" si="639"/>
        <v>1.2049872857025523</v>
      </c>
      <c r="AC263" s="978">
        <f t="shared" si="639"/>
        <v>1.3251849990679077</v>
      </c>
      <c r="AD263" s="978">
        <f t="shared" si="639"/>
        <v>1.6478154446701865</v>
      </c>
      <c r="AE263" s="978">
        <f t="shared" si="639"/>
        <v>2.8337818908667378</v>
      </c>
      <c r="AF263" s="978">
        <f t="shared" si="639"/>
        <v>-5.5863784197429656E-2</v>
      </c>
      <c r="AG263" s="978">
        <f t="shared" si="639"/>
        <v>2.2335033154162964</v>
      </c>
      <c r="AH263" s="978">
        <f t="shared" si="639"/>
        <v>2.3921689048000516</v>
      </c>
      <c r="AI263" s="978">
        <f t="shared" si="639"/>
        <v>0.37084988260078777</v>
      </c>
      <c r="AJ263" s="978">
        <f t="shared" si="639"/>
        <v>2.9682262060924058</v>
      </c>
      <c r="AK263" s="978">
        <f t="shared" si="639"/>
        <v>1.5853580856800997</v>
      </c>
      <c r="AL263" s="978">
        <f t="shared" si="639"/>
        <v>1.4902496290052136</v>
      </c>
      <c r="AM263" s="978">
        <f t="shared" si="639"/>
        <v>4.2389752320281193</v>
      </c>
      <c r="AN263" s="978">
        <f t="shared" si="639"/>
        <v>1.5410248473792798</v>
      </c>
      <c r="AO263" s="978">
        <f t="shared" si="639"/>
        <v>2.7142366087931968</v>
      </c>
      <c r="AP263" s="978">
        <f t="shared" si="639"/>
        <v>1.6934811709140574</v>
      </c>
      <c r="AQ263" s="978">
        <f>(AQ258/AP258-1)*100</f>
        <v>1.5311634607026336</v>
      </c>
      <c r="AR263" s="978">
        <f>(AR258/AQ258-1)*100</f>
        <v>1.7692025440313008</v>
      </c>
      <c r="AS263" s="978">
        <f>(AS258/AR258-1)*100</f>
        <v>0.85149597687681489</v>
      </c>
      <c r="AT263" s="978">
        <f>(AT258/AS258-1)*100</f>
        <v>2.5507954477745232</v>
      </c>
      <c r="AU263" s="978">
        <f t="shared" si="639"/>
        <v>28.642182777393678</v>
      </c>
      <c r="AV263" s="978">
        <f t="shared" si="639"/>
        <v>1.4175659659410034</v>
      </c>
      <c r="AW263" s="978">
        <f t="shared" si="639"/>
        <v>2.8800762689711545</v>
      </c>
      <c r="AX263" s="978">
        <f t="shared" si="639"/>
        <v>2.2987474964875965</v>
      </c>
      <c r="AY263" s="978">
        <f t="shared" si="639"/>
        <v>0.33019694933085209</v>
      </c>
      <c r="AZ263" s="978">
        <f t="shared" si="639"/>
        <v>2.3969710208242345</v>
      </c>
      <c r="BA263" s="978">
        <f t="shared" si="639"/>
        <v>1.7392911997269334</v>
      </c>
      <c r="BB263" s="978">
        <f>(BB258/BA258-1)*100</f>
        <v>2.9732034275010921</v>
      </c>
      <c r="BC263" s="978">
        <f>(BC258/BB258-1)*100</f>
        <v>3.0149594113973999</v>
      </c>
      <c r="BD263" s="978">
        <f>(BD258/BC258-1)*100</f>
        <v>2.8516083123591773</v>
      </c>
      <c r="BE263" s="978">
        <f t="shared" si="639"/>
        <v>2.675173924741503</v>
      </c>
      <c r="BF263" s="978">
        <f t="shared" ref="BF263:BL263" si="640">(BF258/BE258-1)*100</f>
        <v>1.8018692521743596</v>
      </c>
      <c r="BG263" s="978">
        <f t="shared" si="640"/>
        <v>-0.49642695169336282</v>
      </c>
      <c r="BH263" s="978">
        <f t="shared" si="640"/>
        <v>0.86107073344994234</v>
      </c>
      <c r="BI263" s="978">
        <f t="shared" si="640"/>
        <v>-1.0857750039693581</v>
      </c>
      <c r="BJ263" s="978">
        <f t="shared" si="640"/>
        <v>-1.1890650466735986</v>
      </c>
      <c r="BK263" s="978">
        <f t="shared" si="640"/>
        <v>-13.108403623867538</v>
      </c>
      <c r="BL263" s="978">
        <f t="shared" si="640"/>
        <v>-1.058459768461939</v>
      </c>
      <c r="BM263" s="978">
        <f t="shared" ref="BM263:BR263" si="641">(BM258/BL258-1)*100</f>
        <v>0.5886713469672511</v>
      </c>
      <c r="BN263" s="978">
        <f t="shared" si="641"/>
        <v>-1.5447083983584742</v>
      </c>
      <c r="BO263" s="978">
        <f t="shared" si="641"/>
        <v>0.98334189476771972</v>
      </c>
      <c r="BP263" s="978">
        <f t="shared" si="641"/>
        <v>1.6728435433471578</v>
      </c>
      <c r="BQ263" s="978">
        <f>(BQ258/BP258-1)*100</f>
        <v>-6.861455772200209E-2</v>
      </c>
      <c r="BR263" s="978">
        <f t="shared" si="641"/>
        <v>2.4846941694798952</v>
      </c>
      <c r="BS263" s="978">
        <f t="shared" ref="BS263:CB263" si="642">(BS258/BR258-1)*100</f>
        <v>1.903831390885613</v>
      </c>
      <c r="BT263" s="978">
        <f t="shared" si="642"/>
        <v>1.5915845991590238</v>
      </c>
      <c r="BU263" s="978">
        <f t="shared" si="642"/>
        <v>0.51637432419677776</v>
      </c>
      <c r="BV263" s="978">
        <f t="shared" si="642"/>
        <v>1.2313222630576437</v>
      </c>
      <c r="BW263" s="978">
        <f t="shared" si="642"/>
        <v>0.70224719101124045</v>
      </c>
      <c r="BX263" s="978">
        <f t="shared" si="642"/>
        <v>0.1434172784926746</v>
      </c>
      <c r="BY263" s="978">
        <f t="shared" si="642"/>
        <v>2.5055511029943078</v>
      </c>
      <c r="BZ263" s="978">
        <f t="shared" si="642"/>
        <v>0.5268015073444543</v>
      </c>
      <c r="CA263" s="978">
        <f t="shared" si="642"/>
        <v>0.21038136403626062</v>
      </c>
      <c r="CB263" s="978">
        <f t="shared" si="642"/>
        <v>0.90973865689492062</v>
      </c>
      <c r="CC263" s="978">
        <f t="shared" ref="CC263:CP263" si="643">(CC258/CB258-1)*100</f>
        <v>1.3504142026756316</v>
      </c>
      <c r="CD263" s="978">
        <f t="shared" si="643"/>
        <v>0.89201293854193064</v>
      </c>
      <c r="CE263" s="978">
        <f t="shared" si="643"/>
        <v>1.2330912364205915</v>
      </c>
      <c r="CF263" s="978">
        <f t="shared" si="643"/>
        <v>0.66628500432412974</v>
      </c>
      <c r="CG263" s="978">
        <f t="shared" si="643"/>
        <v>0.29040220705676134</v>
      </c>
      <c r="CH263" s="978">
        <f t="shared" si="643"/>
        <v>0.23526856811930674</v>
      </c>
      <c r="CI263" s="978">
        <f t="shared" si="643"/>
        <v>0.47424740307415725</v>
      </c>
      <c r="CJ263" s="978">
        <f t="shared" si="643"/>
        <v>0.85776239023396261</v>
      </c>
      <c r="CK263" s="978">
        <f t="shared" si="643"/>
        <v>0.74237727018968691</v>
      </c>
      <c r="CL263" s="978">
        <f t="shared" si="643"/>
        <v>0.14030702478364798</v>
      </c>
      <c r="CM263" s="978">
        <f t="shared" si="643"/>
        <v>0.33909081275829145</v>
      </c>
      <c r="CN263" s="978">
        <f t="shared" si="643"/>
        <v>0.63482005608945791</v>
      </c>
      <c r="CO263" s="978">
        <f t="shared" si="643"/>
        <v>1.033091579021006</v>
      </c>
      <c r="CP263" s="978">
        <f t="shared" si="643"/>
        <v>1.1714061490167182</v>
      </c>
      <c r="CQ263" s="978">
        <f t="shared" ref="CQ263" si="644">(CQ258/CP258-1)*100</f>
        <v>1.0859769800257935</v>
      </c>
      <c r="CR263" s="978">
        <f t="shared" ref="CR263:CT263" si="645">(CR258/CQ258-1)*100</f>
        <v>0.71771144840040435</v>
      </c>
      <c r="CS263" s="978">
        <f t="shared" si="645"/>
        <v>0.54789302080648916</v>
      </c>
      <c r="CT263" s="978">
        <f t="shared" si="645"/>
        <v>1.3505683084466202</v>
      </c>
      <c r="CU263" s="1962">
        <f>+(CT201*CU206-CT227*CU240)/(CT201-CT227)</f>
        <v>0.64000000000000046</v>
      </c>
      <c r="CV263" s="1962">
        <f t="shared" ref="CV263:DB263" si="646">+(CU201*CV206-CU227*CV240)/(CU201-CU227)</f>
        <v>0.64000000000000268</v>
      </c>
      <c r="CW263" s="1962">
        <f t="shared" si="646"/>
        <v>0.63999999999999979</v>
      </c>
      <c r="CX263" s="1962">
        <f t="shared" si="646"/>
        <v>0.72489778708730856</v>
      </c>
      <c r="CY263" s="1962">
        <f t="shared" si="646"/>
        <v>0.64000000000000046</v>
      </c>
      <c r="CZ263" s="1962">
        <f t="shared" si="646"/>
        <v>0.64000000000000123</v>
      </c>
      <c r="DA263" s="1962">
        <f t="shared" si="646"/>
        <v>0.64000000000000123</v>
      </c>
      <c r="DB263" s="1962">
        <f t="shared" si="646"/>
        <v>0.61512319845919095</v>
      </c>
      <c r="DC263" s="3432"/>
      <c r="DD263"/>
      <c r="DE263"/>
      <c r="DF263"/>
      <c r="DG263"/>
      <c r="DH263"/>
      <c r="DI263"/>
      <c r="DJ263"/>
      <c r="DK263"/>
      <c r="DL263"/>
      <c r="DM263"/>
      <c r="DN263"/>
      <c r="DO263"/>
    </row>
    <row r="264" spans="1:119">
      <c r="C264" s="1555"/>
      <c r="D264" s="1581"/>
      <c r="E264" s="1582" t="s">
        <v>763</v>
      </c>
      <c r="F264" s="1649"/>
      <c r="G264" s="1605"/>
      <c r="H264" s="1606"/>
      <c r="I264" s="1606"/>
      <c r="J264" s="1606"/>
      <c r="K264" s="1607"/>
      <c r="L264" s="1607"/>
      <c r="M264" s="1607"/>
      <c r="N264" s="1608">
        <f>N259/J259*100-100</f>
        <v>5.0185690837991359</v>
      </c>
      <c r="O264" s="1607"/>
      <c r="P264" s="1607"/>
      <c r="Q264" s="1607"/>
      <c r="R264" s="1608">
        <f>R259/N259*100-100</f>
        <v>8.2039315106642476</v>
      </c>
      <c r="S264" s="1607"/>
      <c r="T264" s="1607"/>
      <c r="U264" s="1607"/>
      <c r="V264" s="1608">
        <f>V259/R259*100-100</f>
        <v>7.7165944832972428</v>
      </c>
      <c r="W264" s="1607"/>
      <c r="X264" s="1607"/>
      <c r="Y264" s="1607"/>
      <c r="Z264" s="1608">
        <f>Z259/V259*100-100</f>
        <v>-1.1013773911753901</v>
      </c>
      <c r="AA264" s="1607"/>
      <c r="AB264" s="1607"/>
      <c r="AC264" s="1607"/>
      <c r="AD264" s="1608">
        <f>AD259/Z259*100-100</f>
        <v>3.5908575903494295</v>
      </c>
      <c r="AE264" s="1607"/>
      <c r="AF264" s="1607"/>
      <c r="AG264" s="1607"/>
      <c r="AH264" s="1608">
        <f>AH259/AD259*100-100</f>
        <v>6.8624001511931425</v>
      </c>
      <c r="AI264" s="1607"/>
      <c r="AJ264" s="1607"/>
      <c r="AK264" s="1607"/>
      <c r="AL264" s="1608">
        <f>AL259/AH259*100-100</f>
        <v>6.81249047523184</v>
      </c>
      <c r="AM264" s="1607"/>
      <c r="AN264" s="1607"/>
      <c r="AO264" s="1607"/>
      <c r="AP264" s="1608">
        <f>AP259/AL259*100-100</f>
        <v>10.170894704765374</v>
      </c>
      <c r="AQ264" s="1607"/>
      <c r="AR264" s="1607"/>
      <c r="AS264" s="1607"/>
      <c r="AT264" s="1608">
        <f>AT259/AP259*100-100</f>
        <v>7.1010136539507016</v>
      </c>
      <c r="AU264" s="1607"/>
      <c r="AV264" s="1607"/>
      <c r="AW264" s="1607"/>
      <c r="AX264" s="1608">
        <f>AX259/AT259*100-100</f>
        <v>36.337545508558321</v>
      </c>
      <c r="AY264" s="1607"/>
      <c r="AZ264" s="1607"/>
      <c r="BA264" s="1609"/>
      <c r="BB264" s="1608">
        <f>BB259/AX259*100-100</f>
        <v>7.4417690269066554</v>
      </c>
      <c r="BC264" s="1609"/>
      <c r="BD264" s="1609"/>
      <c r="BE264" s="1609"/>
      <c r="BF264" s="1608">
        <f>BF259/BB259*100-100</f>
        <v>11.073186694863651</v>
      </c>
      <c r="BG264" s="1609"/>
      <c r="BH264" s="1609"/>
      <c r="BI264" s="1609"/>
      <c r="BJ264" s="1608">
        <f>BJ259/BF259*100-100</f>
        <v>2.6636254197554479</v>
      </c>
      <c r="BK264" s="1609"/>
      <c r="BL264" s="1609"/>
      <c r="BM264" s="1609"/>
      <c r="BN264" s="1608">
        <f>BN259/BJ259*100-100</f>
        <v>-14.933594183936719</v>
      </c>
      <c r="BO264" s="1609"/>
      <c r="BP264" s="1609"/>
      <c r="BQ264" s="1609"/>
      <c r="BR264" s="1608">
        <f>BR259/BN259*100-100</f>
        <v>1.6835163400115363</v>
      </c>
      <c r="BS264" s="1609"/>
      <c r="BT264" s="1609"/>
      <c r="BU264" s="1609"/>
      <c r="BV264" s="1608">
        <f>BV259/BR259*100-100</f>
        <v>6.026099302924564</v>
      </c>
      <c r="BW264" s="1609"/>
      <c r="BX264" s="1609"/>
      <c r="BY264" s="1609"/>
      <c r="BZ264" s="1608">
        <f>BZ259/BV259*100-100</f>
        <v>3.8202458900560572</v>
      </c>
      <c r="CA264" s="1609"/>
      <c r="CB264" s="1609"/>
      <c r="CC264" s="1609"/>
      <c r="CD264" s="1608">
        <f>CD259/BZ259*100-100</f>
        <v>3.5066113559761476</v>
      </c>
      <c r="CE264" s="1609"/>
      <c r="CF264" s="1609"/>
      <c r="CG264" s="1609"/>
      <c r="CH264" s="1608">
        <f>CH259/CD259*100-100</f>
        <v>3.5456196380487199</v>
      </c>
      <c r="CI264" s="1609"/>
      <c r="CJ264" s="1609"/>
      <c r="CK264" s="1609"/>
      <c r="CL264" s="1608">
        <f>CL259/CH259*100-100</f>
        <v>2.0274928637089289</v>
      </c>
      <c r="CM264" s="1609"/>
      <c r="CN264" s="1609"/>
      <c r="CO264" s="1609"/>
      <c r="CP264" s="1608">
        <f>CP259/CL259*100-100</f>
        <v>2.3369264008962602</v>
      </c>
      <c r="CQ264" s="1609"/>
      <c r="CR264" s="1609"/>
      <c r="CS264" s="1609"/>
      <c r="CT264" s="1608">
        <f>CT259/CP259*100-100</f>
        <v>3.8413641708225441</v>
      </c>
      <c r="CU264" s="1609"/>
      <c r="CV264" s="1609"/>
      <c r="CW264" s="1609"/>
      <c r="CX264" s="1608">
        <f>CX259/CT259*100-100</f>
        <v>3.1199999999999903</v>
      </c>
      <c r="CY264" s="1609"/>
      <c r="CZ264" s="1609"/>
      <c r="DA264" s="1609"/>
      <c r="DB264" s="1608">
        <f>DB259/CX259*100-100</f>
        <v>2.642959291640139</v>
      </c>
    </row>
    <row r="265" spans="1:119" s="699" customFormat="1" ht="12.75" customHeight="1">
      <c r="A265" s="664"/>
      <c r="B265" s="664"/>
      <c r="C265" s="666"/>
      <c r="D265" s="717"/>
      <c r="E265" s="1596" t="s">
        <v>1847</v>
      </c>
      <c r="F265" s="717"/>
      <c r="G265" s="1597"/>
      <c r="H265" s="1597"/>
      <c r="I265" s="1597"/>
      <c r="J265" s="1598"/>
      <c r="K265" s="1597"/>
      <c r="L265" s="1597"/>
      <c r="M265" s="1597"/>
      <c r="N265" s="1599">
        <f ca="1">N260/J260*100-100</f>
        <v>5.239178286902856</v>
      </c>
      <c r="O265" s="1597"/>
      <c r="P265" s="1597"/>
      <c r="Q265" s="1597"/>
      <c r="R265" s="1599">
        <f ca="1">R260/N260*100-100</f>
        <v>8.1402408090709031</v>
      </c>
      <c r="S265" s="1597"/>
      <c r="T265" s="1597"/>
      <c r="U265" s="1597"/>
      <c r="V265" s="1599">
        <f ca="1">V260/R260*100-100</f>
        <v>7.6233287300721599</v>
      </c>
      <c r="W265" s="1597"/>
      <c r="X265" s="1597"/>
      <c r="Y265" s="1597"/>
      <c r="Z265" s="1599">
        <f ca="1">Z260/V260*100-100</f>
        <v>-1.0214983734837375</v>
      </c>
      <c r="AA265" s="1597"/>
      <c r="AB265" s="1597"/>
      <c r="AC265" s="1597"/>
      <c r="AD265" s="1599">
        <f ca="1">AD260/Z260*100-100</f>
        <v>3.6213874204480874</v>
      </c>
      <c r="AE265" s="1597"/>
      <c r="AF265" s="1597"/>
      <c r="AG265" s="1597"/>
      <c r="AH265" s="1599">
        <f ca="1">AH260/AD260*100-100</f>
        <v>6.6996058629840434</v>
      </c>
      <c r="AI265" s="1597"/>
      <c r="AJ265" s="1597"/>
      <c r="AK265" s="1597"/>
      <c r="AL265" s="1599">
        <f ca="1">AL260/AH260*100-100</f>
        <v>6.8379975004915252</v>
      </c>
      <c r="AM265" s="1597"/>
      <c r="AN265" s="1597"/>
      <c r="AO265" s="1597"/>
      <c r="AP265" s="1599">
        <f ca="1">AP260/AL260*100-100</f>
        <v>10.275887367570675</v>
      </c>
      <c r="AQ265" s="1597"/>
      <c r="AR265" s="1597"/>
      <c r="AS265" s="1597"/>
      <c r="AT265" s="1599">
        <f ca="1">AT260/AP260*100-100</f>
        <v>7.4482608885224408</v>
      </c>
      <c r="AU265" s="1597"/>
      <c r="AV265" s="1597"/>
      <c r="AW265" s="1597"/>
      <c r="AX265" s="1599">
        <f ca="1">AX260/AT260*100-100</f>
        <v>7.7273873836427782</v>
      </c>
      <c r="AY265" s="1597"/>
      <c r="AZ265" s="1597"/>
      <c r="BA265" s="1611"/>
      <c r="BB265" s="1599">
        <f ca="1">BB260/AX260*100-100</f>
        <v>7.4064505195753867</v>
      </c>
      <c r="BC265" s="1611"/>
      <c r="BD265" s="1611"/>
      <c r="BE265" s="1611"/>
      <c r="BF265" s="1599">
        <f ca="1">BF260/BB260*100-100</f>
        <v>11.086962799861098</v>
      </c>
      <c r="BG265" s="1611"/>
      <c r="BH265" s="1611"/>
      <c r="BI265" s="1611"/>
      <c r="BJ265" s="1599">
        <f ca="1">BJ260/BF260*100-100</f>
        <v>2.6280823574654733</v>
      </c>
      <c r="BK265" s="1611"/>
      <c r="BL265" s="1611"/>
      <c r="BM265" s="1611"/>
      <c r="BN265" s="1599">
        <f ca="1">BN260/BJ260*100-100</f>
        <v>-14.814172950076227</v>
      </c>
      <c r="BO265" s="1611"/>
      <c r="BP265" s="1611"/>
      <c r="BQ265" s="1611"/>
      <c r="BR265" s="1599">
        <f ca="1">BR260/BN260*100-100</f>
        <v>1.6398269911627779</v>
      </c>
      <c r="BS265" s="1611"/>
      <c r="BT265" s="1611"/>
      <c r="BU265" s="1611"/>
      <c r="BV265" s="1599">
        <f ca="1">BV260/BR260*100-100</f>
        <v>6.0431373864246751</v>
      </c>
      <c r="BW265" s="1611"/>
      <c r="BX265" s="1611"/>
      <c r="BY265" s="1611"/>
      <c r="BZ265" s="1599">
        <f ca="1">BZ260/BV260*100-100</f>
        <v>3.826938223994091</v>
      </c>
      <c r="CA265" s="1611"/>
      <c r="CB265" s="1611"/>
      <c r="CC265" s="1611"/>
      <c r="CD265" s="1599">
        <f ca="1">CD260/BZ260*100-100</f>
        <v>3.4985772305690119</v>
      </c>
      <c r="CE265" s="1611"/>
      <c r="CF265" s="1611"/>
      <c r="CG265" s="1611"/>
      <c r="CH265" s="1599">
        <f ca="1">CH260/CD260*100-100</f>
        <v>3.5375855747539475</v>
      </c>
      <c r="CI265" s="1611"/>
      <c r="CJ265" s="1611"/>
      <c r="CK265" s="1611"/>
      <c r="CL265" s="1599">
        <f ca="1">CL260/CH260*100-100</f>
        <v>2.0346676424249068</v>
      </c>
      <c r="CM265" s="1611"/>
      <c r="CN265" s="1611"/>
      <c r="CO265" s="1611"/>
      <c r="CP265" s="1599">
        <f ca="1">CP260/CL260*100-100</f>
        <v>2.3448829366414117</v>
      </c>
      <c r="CQ265" s="1611"/>
      <c r="CR265" s="1611"/>
      <c r="CS265" s="1611"/>
      <c r="CT265" s="1599">
        <f ca="1">CT260/CP260*100-100</f>
        <v>3.8289347486644374</v>
      </c>
      <c r="CU265" s="1611"/>
      <c r="CV265" s="1611"/>
      <c r="CW265" s="1611"/>
      <c r="CX265" s="1599">
        <f ca="1">CX260/CT260*100-100</f>
        <v>3.1205873424164423</v>
      </c>
      <c r="CY265" s="1611"/>
      <c r="CZ265" s="1611"/>
      <c r="DA265" s="1611"/>
      <c r="DB265" s="1599">
        <f ca="1">DB260/CX260*100-100</f>
        <v>2.6426635456776779</v>
      </c>
      <c r="DC265"/>
      <c r="DD265"/>
      <c r="DE265"/>
      <c r="DF265"/>
      <c r="DG265"/>
      <c r="DH265"/>
      <c r="DI265"/>
      <c r="DJ265"/>
      <c r="DK265"/>
      <c r="DL265"/>
      <c r="DM265"/>
      <c r="DN265"/>
      <c r="DO265"/>
    </row>
    <row r="266" spans="1:119">
      <c r="E266" s="599"/>
      <c r="F266" s="3617"/>
      <c r="AY266" s="217"/>
      <c r="BB266" s="1955"/>
      <c r="BF266" s="217"/>
      <c r="BJ266" s="217"/>
      <c r="CM266" s="557"/>
      <c r="CN266" s="557"/>
      <c r="CO266" s="557"/>
      <c r="CP266" s="557"/>
      <c r="CQ266" s="557"/>
      <c r="CR266" s="557"/>
      <c r="CS266" s="557"/>
      <c r="CT266" s="557"/>
      <c r="CU266" s="557"/>
      <c r="CV266" s="557"/>
      <c r="CW266" s="557"/>
      <c r="CX266" s="557"/>
      <c r="CY266" s="557"/>
      <c r="CZ266" s="557"/>
      <c r="DA266" s="557"/>
      <c r="DB266" s="557"/>
    </row>
    <row r="267" spans="1:119" s="699" customFormat="1" ht="12.75" customHeight="1">
      <c r="A267" s="664"/>
      <c r="B267" s="664"/>
      <c r="C267" s="666"/>
      <c r="D267" s="858"/>
      <c r="E267" s="3625"/>
      <c r="F267" s="3626"/>
      <c r="G267" s="1593" t="str">
        <f>+G262</f>
        <v>Q1</v>
      </c>
      <c r="H267" s="1588" t="str">
        <f t="shared" ref="H267:BD267" si="647">+H262</f>
        <v>Q2</v>
      </c>
      <c r="I267" s="1588" t="str">
        <f t="shared" si="647"/>
        <v>Q3</v>
      </c>
      <c r="J267" s="1594" t="str">
        <f t="shared" si="647"/>
        <v>Q4</v>
      </c>
      <c r="K267" s="1593" t="str">
        <f>+K262</f>
        <v>Q1</v>
      </c>
      <c r="L267" s="1588" t="str">
        <f t="shared" si="647"/>
        <v>Q2</v>
      </c>
      <c r="M267" s="1588" t="str">
        <f t="shared" si="647"/>
        <v>Q3</v>
      </c>
      <c r="N267" s="1594" t="str">
        <f t="shared" si="647"/>
        <v>Q4</v>
      </c>
      <c r="O267" s="1593" t="str">
        <f>+O262</f>
        <v>Q1</v>
      </c>
      <c r="P267" s="1588" t="str">
        <f t="shared" si="647"/>
        <v>Q2</v>
      </c>
      <c r="Q267" s="1588" t="str">
        <f t="shared" si="647"/>
        <v>Q3</v>
      </c>
      <c r="R267" s="1594" t="str">
        <f t="shared" si="647"/>
        <v>Q4</v>
      </c>
      <c r="S267" s="1593" t="str">
        <f>+S262</f>
        <v>Q1</v>
      </c>
      <c r="T267" s="1588" t="str">
        <f t="shared" si="647"/>
        <v>Q2</v>
      </c>
      <c r="U267" s="1588" t="str">
        <f t="shared" si="647"/>
        <v>Q3</v>
      </c>
      <c r="V267" s="1594" t="str">
        <f t="shared" si="647"/>
        <v>Q4</v>
      </c>
      <c r="W267" s="1593" t="str">
        <f>+W262</f>
        <v>Q1</v>
      </c>
      <c r="X267" s="1588" t="str">
        <f t="shared" si="647"/>
        <v>Q2</v>
      </c>
      <c r="Y267" s="1588" t="str">
        <f t="shared" si="647"/>
        <v>Q3</v>
      </c>
      <c r="Z267" s="1594" t="str">
        <f t="shared" si="647"/>
        <v>Q4</v>
      </c>
      <c r="AA267" s="1593" t="str">
        <f>+AA262</f>
        <v>Q1</v>
      </c>
      <c r="AB267" s="1588" t="str">
        <f t="shared" si="647"/>
        <v>Q2</v>
      </c>
      <c r="AC267" s="1588" t="str">
        <f t="shared" si="647"/>
        <v>Q3</v>
      </c>
      <c r="AD267" s="1594" t="str">
        <f t="shared" si="647"/>
        <v>Q4</v>
      </c>
      <c r="AE267" s="1593" t="str">
        <f>+AE262</f>
        <v>Q1</v>
      </c>
      <c r="AF267" s="1588" t="str">
        <f t="shared" si="647"/>
        <v>Q2</v>
      </c>
      <c r="AG267" s="1588" t="str">
        <f t="shared" si="647"/>
        <v>Q3</v>
      </c>
      <c r="AH267" s="1594" t="str">
        <f t="shared" si="647"/>
        <v>Q4</v>
      </c>
      <c r="AI267" s="1593" t="str">
        <f>+AI262</f>
        <v>Q1</v>
      </c>
      <c r="AJ267" s="1588" t="str">
        <f t="shared" si="647"/>
        <v>Q2</v>
      </c>
      <c r="AK267" s="1588" t="str">
        <f t="shared" si="647"/>
        <v>Q3</v>
      </c>
      <c r="AL267" s="1594" t="str">
        <f t="shared" si="647"/>
        <v>Q4</v>
      </c>
      <c r="AM267" s="1593" t="str">
        <f>+AM262</f>
        <v>Q1</v>
      </c>
      <c r="AN267" s="1588" t="str">
        <f t="shared" si="647"/>
        <v>Q2</v>
      </c>
      <c r="AO267" s="1588" t="str">
        <f t="shared" si="647"/>
        <v>Q3</v>
      </c>
      <c r="AP267" s="1594" t="str">
        <f t="shared" si="647"/>
        <v>Q4</v>
      </c>
      <c r="AQ267" s="1593" t="str">
        <f>+AQ262</f>
        <v>Q1</v>
      </c>
      <c r="AR267" s="1588" t="str">
        <f t="shared" si="647"/>
        <v>Q2</v>
      </c>
      <c r="AS267" s="1588" t="str">
        <f t="shared" si="647"/>
        <v>Q3</v>
      </c>
      <c r="AT267" s="1594" t="str">
        <f t="shared" si="647"/>
        <v>Q4</v>
      </c>
      <c r="AU267" s="1593" t="str">
        <f>+AU262</f>
        <v>Q1</v>
      </c>
      <c r="AV267" s="1588" t="str">
        <f t="shared" si="647"/>
        <v>Q2</v>
      </c>
      <c r="AW267" s="1588" t="str">
        <f t="shared" si="647"/>
        <v>Q3</v>
      </c>
      <c r="AX267" s="1594" t="str">
        <f t="shared" si="647"/>
        <v>Q4</v>
      </c>
      <c r="AY267" s="1593" t="str">
        <f>+AY262</f>
        <v>Q1</v>
      </c>
      <c r="AZ267" s="1588" t="str">
        <f t="shared" si="647"/>
        <v>Q2</v>
      </c>
      <c r="BA267" s="1588" t="str">
        <f t="shared" si="647"/>
        <v>Q3</v>
      </c>
      <c r="BB267" s="1594" t="str">
        <f t="shared" si="647"/>
        <v>Q4</v>
      </c>
      <c r="BC267" s="1593" t="str">
        <f>+BC262</f>
        <v>Q1</v>
      </c>
      <c r="BD267" s="1588" t="str">
        <f t="shared" si="647"/>
        <v>Q2</v>
      </c>
      <c r="BE267" s="1588" t="str">
        <f t="shared" ref="BE267:BJ267" si="648">+BE262</f>
        <v>Q3</v>
      </c>
      <c r="BF267" s="1594" t="str">
        <f t="shared" si="648"/>
        <v>Q4</v>
      </c>
      <c r="BG267" s="1593" t="str">
        <f t="shared" si="648"/>
        <v>Q1</v>
      </c>
      <c r="BH267" s="1588" t="str">
        <f t="shared" si="648"/>
        <v>Q2</v>
      </c>
      <c r="BI267" s="1588" t="str">
        <f t="shared" si="648"/>
        <v>Q3</v>
      </c>
      <c r="BJ267" s="1594" t="str">
        <f t="shared" si="648"/>
        <v>Q4</v>
      </c>
      <c r="BK267" s="1593" t="str">
        <f t="shared" ref="BK267:BR267" si="649">+BK262</f>
        <v>Q1</v>
      </c>
      <c r="BL267" s="1588" t="str">
        <f t="shared" si="649"/>
        <v>Q2</v>
      </c>
      <c r="BM267" s="1588" t="str">
        <f t="shared" si="649"/>
        <v>Q3</v>
      </c>
      <c r="BN267" s="1594" t="str">
        <f t="shared" si="649"/>
        <v>Q4</v>
      </c>
      <c r="BO267" s="1593" t="str">
        <f t="shared" si="649"/>
        <v>Q1</v>
      </c>
      <c r="BP267" s="1588" t="str">
        <f t="shared" si="649"/>
        <v>Q2</v>
      </c>
      <c r="BQ267" s="1588" t="str">
        <f t="shared" si="649"/>
        <v>Q3</v>
      </c>
      <c r="BR267" s="1594" t="str">
        <f t="shared" si="649"/>
        <v>Q4</v>
      </c>
      <c r="BS267" s="1593" t="str">
        <f t="shared" ref="BS267:CD267" si="650">+BS262</f>
        <v>Q1</v>
      </c>
      <c r="BT267" s="1588" t="str">
        <f t="shared" si="650"/>
        <v>Q2</v>
      </c>
      <c r="BU267" s="1588" t="str">
        <f t="shared" si="650"/>
        <v>Q3</v>
      </c>
      <c r="BV267" s="1594" t="str">
        <f t="shared" si="650"/>
        <v>Q4</v>
      </c>
      <c r="BW267" s="1593" t="str">
        <f t="shared" si="650"/>
        <v>Q1</v>
      </c>
      <c r="BX267" s="1588" t="str">
        <f t="shared" si="650"/>
        <v>Q2</v>
      </c>
      <c r="BY267" s="1588" t="str">
        <f t="shared" si="650"/>
        <v>Q3</v>
      </c>
      <c r="BZ267" s="1594" t="str">
        <f t="shared" si="650"/>
        <v>Q4</v>
      </c>
      <c r="CA267" s="1593" t="str">
        <f t="shared" si="650"/>
        <v>Q1</v>
      </c>
      <c r="CB267" s="1588" t="str">
        <f t="shared" si="650"/>
        <v>Q2</v>
      </c>
      <c r="CC267" s="1588" t="str">
        <f t="shared" si="650"/>
        <v>Q3</v>
      </c>
      <c r="CD267" s="1594" t="str">
        <f t="shared" si="650"/>
        <v>Q4</v>
      </c>
      <c r="CE267" s="1593" t="str">
        <f t="shared" ref="CE267:CL267" si="651">+CE262</f>
        <v>Q1</v>
      </c>
      <c r="CF267" s="1588" t="str">
        <f t="shared" si="651"/>
        <v>Q2</v>
      </c>
      <c r="CG267" s="1588" t="str">
        <f t="shared" si="651"/>
        <v>Q3</v>
      </c>
      <c r="CH267" s="1594" t="str">
        <f t="shared" si="651"/>
        <v>Q4</v>
      </c>
      <c r="CI267" s="1593" t="str">
        <f t="shared" si="651"/>
        <v>Q1</v>
      </c>
      <c r="CJ267" s="1588" t="str">
        <f t="shared" si="651"/>
        <v>Q2</v>
      </c>
      <c r="CK267" s="1588" t="str">
        <f t="shared" si="651"/>
        <v>Q3</v>
      </c>
      <c r="CL267" s="1594" t="str">
        <f t="shared" si="651"/>
        <v>Q4</v>
      </c>
      <c r="CM267" s="1593" t="str">
        <f t="shared" ref="CM267:CT267" si="652">+CM262</f>
        <v>Q1</v>
      </c>
      <c r="CN267" s="1588" t="str">
        <f t="shared" si="652"/>
        <v>Q2</v>
      </c>
      <c r="CO267" s="1588" t="str">
        <f t="shared" si="652"/>
        <v>Q3</v>
      </c>
      <c r="CP267" s="1594" t="str">
        <f t="shared" si="652"/>
        <v>Q4</v>
      </c>
      <c r="CQ267" s="1593" t="str">
        <f t="shared" si="652"/>
        <v>Q1</v>
      </c>
      <c r="CR267" s="1588" t="str">
        <f t="shared" si="652"/>
        <v>Q2</v>
      </c>
      <c r="CS267" s="1588" t="str">
        <f t="shared" si="652"/>
        <v>Q3</v>
      </c>
      <c r="CT267" s="1594" t="str">
        <f t="shared" si="652"/>
        <v>Q4</v>
      </c>
      <c r="CU267" s="1593" t="str">
        <f t="shared" ref="CU267:DB267" si="653">+CU262</f>
        <v>Q1</v>
      </c>
      <c r="CV267" s="1588" t="str">
        <f t="shared" si="653"/>
        <v>Q2</v>
      </c>
      <c r="CW267" s="1588" t="str">
        <f t="shared" si="653"/>
        <v>Q3</v>
      </c>
      <c r="CX267" s="1594" t="str">
        <f t="shared" si="653"/>
        <v>Q4</v>
      </c>
      <c r="CY267" s="1593" t="str">
        <f t="shared" si="653"/>
        <v>Q1</v>
      </c>
      <c r="CZ267" s="1588" t="str">
        <f t="shared" si="653"/>
        <v>Q2</v>
      </c>
      <c r="DA267" s="1588" t="str">
        <f t="shared" si="653"/>
        <v>Q3</v>
      </c>
      <c r="DB267" s="1594" t="str">
        <f t="shared" si="653"/>
        <v>Q4</v>
      </c>
      <c r="DC267"/>
      <c r="DD267"/>
      <c r="DE267"/>
      <c r="DF267"/>
      <c r="DG267"/>
      <c r="DH267"/>
      <c r="DI267"/>
      <c r="DJ267"/>
      <c r="DK267"/>
      <c r="DL267"/>
      <c r="DM267"/>
      <c r="DN267"/>
      <c r="DO267"/>
    </row>
    <row r="268" spans="1:119" s="699" customFormat="1" ht="12.75" customHeight="1">
      <c r="A268" s="664"/>
      <c r="B268" s="664"/>
      <c r="C268" s="862"/>
      <c r="D268" s="863"/>
      <c r="E268" s="3627" t="s">
        <v>1848</v>
      </c>
      <c r="F268" s="3628"/>
      <c r="G268" s="705"/>
      <c r="H268" s="705"/>
      <c r="I268" s="705"/>
      <c r="J268" s="705"/>
      <c r="K268" s="1564">
        <f t="shared" ref="K268:BE268" si="654">(K258/G258-1)*100</f>
        <v>5.5771310842132493</v>
      </c>
      <c r="L268" s="1564">
        <f t="shared" si="654"/>
        <v>3.0643255959532656</v>
      </c>
      <c r="M268" s="1564">
        <f t="shared" si="654"/>
        <v>6.6106108935277019</v>
      </c>
      <c r="N268" s="1564">
        <f t="shared" si="654"/>
        <v>4.8372945850297056</v>
      </c>
      <c r="O268" s="1564">
        <f t="shared" si="654"/>
        <v>5.2698338358262875</v>
      </c>
      <c r="P268" s="1564">
        <f t="shared" si="654"/>
        <v>9.0734536334959657</v>
      </c>
      <c r="Q268" s="1564">
        <f t="shared" si="654"/>
        <v>8.5421854436312117</v>
      </c>
      <c r="R268" s="1564">
        <f t="shared" si="654"/>
        <v>9.8610223041335932</v>
      </c>
      <c r="S268" s="1564">
        <f t="shared" si="654"/>
        <v>10.533877097043277</v>
      </c>
      <c r="T268" s="1564">
        <f t="shared" si="654"/>
        <v>8.9716184659601304</v>
      </c>
      <c r="U268" s="1564">
        <f t="shared" si="654"/>
        <v>6.8109456642155175</v>
      </c>
      <c r="V268" s="1564">
        <f t="shared" si="654"/>
        <v>4.8076346985064466</v>
      </c>
      <c r="W268" s="1564">
        <f t="shared" si="654"/>
        <v>1.1370592427990545</v>
      </c>
      <c r="X268" s="1564">
        <f t="shared" si="654"/>
        <v>-0.22500803600128405</v>
      </c>
      <c r="Y268" s="1564">
        <f t="shared" si="654"/>
        <v>-2.6950435698710695</v>
      </c>
      <c r="Z268" s="1564">
        <f t="shared" si="654"/>
        <v>-2.5561036161108053</v>
      </c>
      <c r="AA268" s="1564">
        <f t="shared" si="654"/>
        <v>1.0770161925529154</v>
      </c>
      <c r="AB268" s="1564">
        <f t="shared" si="654"/>
        <v>1.918946603224958</v>
      </c>
      <c r="AC268" s="1564">
        <f t="shared" si="654"/>
        <v>4.9241693034654643</v>
      </c>
      <c r="AD268" s="1564">
        <f t="shared" si="654"/>
        <v>6.4967063911097744</v>
      </c>
      <c r="AE268" s="1564">
        <f t="shared" si="654"/>
        <v>7.1897301287835225</v>
      </c>
      <c r="AF268" s="1564">
        <f t="shared" si="654"/>
        <v>5.8543188062798457</v>
      </c>
      <c r="AG268" s="1564">
        <f t="shared" si="654"/>
        <v>6.8032380373398205</v>
      </c>
      <c r="AH268" s="1564">
        <f t="shared" si="654"/>
        <v>7.5853439728032379</v>
      </c>
      <c r="AI268" s="1564">
        <f t="shared" si="654"/>
        <v>5.0086091448249492</v>
      </c>
      <c r="AJ268" s="1564">
        <f t="shared" si="654"/>
        <v>8.1859389595871246</v>
      </c>
      <c r="AK268" s="1564">
        <f t="shared" si="654"/>
        <v>7.5000561717807779</v>
      </c>
      <c r="AL268" s="1564">
        <f t="shared" si="654"/>
        <v>6.5531441779494548</v>
      </c>
      <c r="AM268" s="1564">
        <f t="shared" si="654"/>
        <v>10.659524850604862</v>
      </c>
      <c r="AN268" s="1564">
        <f t="shared" si="654"/>
        <v>9.1257174806961707</v>
      </c>
      <c r="AO268" s="1564">
        <f t="shared" si="654"/>
        <v>10.338389081256594</v>
      </c>
      <c r="AP268" s="1564">
        <f t="shared" si="654"/>
        <v>10.559338788511162</v>
      </c>
      <c r="AQ268" s="1564">
        <f t="shared" si="654"/>
        <v>7.687343180965045</v>
      </c>
      <c r="AR268" s="1564">
        <f t="shared" si="654"/>
        <v>7.9293325637050938</v>
      </c>
      <c r="AS268" s="1564">
        <f t="shared" si="654"/>
        <v>5.9720152552218853</v>
      </c>
      <c r="AT268" s="1564">
        <f t="shared" si="654"/>
        <v>6.8653991828827587</v>
      </c>
      <c r="AU268" s="1564">
        <f t="shared" si="654"/>
        <v>35.400774951076322</v>
      </c>
      <c r="AV268" s="1564">
        <f t="shared" si="654"/>
        <v>34.932933364580897</v>
      </c>
      <c r="AW268" s="1564">
        <f t="shared" si="654"/>
        <v>37.647045701006988</v>
      </c>
      <c r="AX268" s="1564">
        <f t="shared" si="654"/>
        <v>37.30873866283968</v>
      </c>
      <c r="AY268" s="1564">
        <f t="shared" si="654"/>
        <v>7.0893893082153436</v>
      </c>
      <c r="AZ268" s="1564">
        <f t="shared" si="654"/>
        <v>8.1235680346900772</v>
      </c>
      <c r="BA268" s="1564">
        <f t="shared" si="654"/>
        <v>6.9246405404597366</v>
      </c>
      <c r="BB268" s="1564">
        <f t="shared" si="654"/>
        <v>7.629594997370126</v>
      </c>
      <c r="BC268" s="1564">
        <f t="shared" si="654"/>
        <v>10.509683995922536</v>
      </c>
      <c r="BD268" s="1564">
        <f t="shared" si="654"/>
        <v>11.000341316343377</v>
      </c>
      <c r="BE268" s="1564">
        <f t="shared" si="654"/>
        <v>12.021414892576088</v>
      </c>
      <c r="BF268" s="1564">
        <f t="shared" ref="BF268:BN268" si="655">(BF258/BB258-1)*100</f>
        <v>10.747156082860476</v>
      </c>
      <c r="BG268" s="1564">
        <f t="shared" si="655"/>
        <v>6.9722086786933257</v>
      </c>
      <c r="BH268" s="1564">
        <f t="shared" si="655"/>
        <v>4.9019231015617892</v>
      </c>
      <c r="BI268" s="1564">
        <f t="shared" si="655"/>
        <v>1.059409276382306</v>
      </c>
      <c r="BJ268" s="1564">
        <f t="shared" si="655"/>
        <v>-1.9097115820698063</v>
      </c>
      <c r="BK268" s="1564">
        <f t="shared" si="655"/>
        <v>-14.342555864889505</v>
      </c>
      <c r="BL268" s="1564">
        <f t="shared" si="655"/>
        <v>-15.972739597200681</v>
      </c>
      <c r="BM268" s="1564">
        <f t="shared" si="655"/>
        <v>-14.55030374870352</v>
      </c>
      <c r="BN268" s="1564">
        <f t="shared" si="655"/>
        <v>-14.857856919712574</v>
      </c>
      <c r="BO268" s="1564">
        <f t="shared" ref="BO268:BZ268" si="656">(BO258/BK258-1)*100</f>
        <v>-1.0498310203494676</v>
      </c>
      <c r="BP268" s="1564">
        <f t="shared" si="656"/>
        <v>1.6817104899780722</v>
      </c>
      <c r="BQ268" s="1564">
        <f t="shared" si="656"/>
        <v>1.0172822380209334</v>
      </c>
      <c r="BR268" s="1564">
        <f t="shared" si="656"/>
        <v>5.1515373890071103</v>
      </c>
      <c r="BS268" s="1564">
        <f>(BS258/BO258-1)*100</f>
        <v>6.110021074049854</v>
      </c>
      <c r="BT268" s="1564">
        <f>(BT258/BP258-1)*100</f>
        <v>6.0252158499628283</v>
      </c>
      <c r="BU268" s="1564">
        <f>(BU258/BQ258-1)*100</f>
        <v>6.6458774389197117</v>
      </c>
      <c r="BV268" s="1564">
        <f>(BV258/BR258-1)*100</f>
        <v>5.3416149068322927</v>
      </c>
      <c r="BW268" s="1564">
        <f t="shared" si="656"/>
        <v>4.099494582859653</v>
      </c>
      <c r="BX268" s="1564">
        <f t="shared" si="656"/>
        <v>2.6155775168192452</v>
      </c>
      <c r="BY268" s="1564">
        <f t="shared" si="656"/>
        <v>4.6462966440432352</v>
      </c>
      <c r="BZ268" s="1564">
        <f t="shared" si="656"/>
        <v>3.9180093279626682</v>
      </c>
      <c r="CA268" s="1564">
        <f t="shared" ref="CA268:CH268" si="657">(CA258/BW258-1)*100</f>
        <v>3.4104365674587411</v>
      </c>
      <c r="CB268" s="1564">
        <f t="shared" si="657"/>
        <v>4.2017579587707354</v>
      </c>
      <c r="CC268" s="1564">
        <f t="shared" si="657"/>
        <v>3.027506472865249</v>
      </c>
      <c r="CD268" s="1564">
        <f t="shared" si="657"/>
        <v>3.401802904537865</v>
      </c>
      <c r="CE268" s="1564">
        <f t="shared" si="657"/>
        <v>4.457083237906212</v>
      </c>
      <c r="CF268" s="1564">
        <f t="shared" si="657"/>
        <v>4.2050713033829901</v>
      </c>
      <c r="CG268" s="1564">
        <f t="shared" si="657"/>
        <v>3.1152027867628718</v>
      </c>
      <c r="CH268" s="1564">
        <f t="shared" si="657"/>
        <v>2.4439868305855983</v>
      </c>
      <c r="CI268" s="1564">
        <f t="shared" ref="CI268:CP268" si="658">(CI258/CE258-1)*100</f>
        <v>1.6760661169104463</v>
      </c>
      <c r="CJ268" s="1564">
        <f t="shared" si="658"/>
        <v>1.8694642079279733</v>
      </c>
      <c r="CK268" s="1564">
        <f t="shared" si="658"/>
        <v>2.3285555716422879</v>
      </c>
      <c r="CL268" s="1564">
        <f t="shared" si="658"/>
        <v>2.2316108763947407</v>
      </c>
      <c r="CM268" s="1564">
        <f t="shared" si="658"/>
        <v>2.0940903046494208</v>
      </c>
      <c r="CN268" s="1564">
        <f t="shared" si="658"/>
        <v>1.8684151136134197</v>
      </c>
      <c r="CO268" s="1564">
        <f t="shared" si="658"/>
        <v>2.1623788525479304</v>
      </c>
      <c r="CP268" s="1564">
        <f t="shared" si="658"/>
        <v>3.2142983292713145</v>
      </c>
      <c r="CQ268" s="1564">
        <f t="shared" ref="CQ268:CX268" si="659">(CQ258/CM258-1)*100</f>
        <v>3.9825864516961795</v>
      </c>
      <c r="CR268" s="1564">
        <f t="shared" si="659"/>
        <v>4.0682353489890577</v>
      </c>
      <c r="CS268" s="1564">
        <f t="shared" si="659"/>
        <v>3.5684608992706091</v>
      </c>
      <c r="CT268" s="1564">
        <f t="shared" si="659"/>
        <v>3.7518679488495854</v>
      </c>
      <c r="CU268" s="1564">
        <f t="shared" si="659"/>
        <v>3.2941294363256768</v>
      </c>
      <c r="CV268" s="1564">
        <f t="shared" si="659"/>
        <v>3.2144300836068895</v>
      </c>
      <c r="CW268" s="1564">
        <f t="shared" si="659"/>
        <v>3.3089797462459103</v>
      </c>
      <c r="CX268" s="1564">
        <f t="shared" si="659"/>
        <v>2.6712193044670762</v>
      </c>
      <c r="CY268" s="1564">
        <f t="shared" ref="CY268" si="660">(CY258/CU258-1)*100</f>
        <v>2.6712193044670762</v>
      </c>
      <c r="CZ268" s="1564">
        <f t="shared" ref="CZ268" si="661">(CZ258/CV258-1)*100</f>
        <v>2.671219304467054</v>
      </c>
      <c r="DA268" s="1564">
        <f t="shared" ref="DA268" si="662">(DA258/CW258-1)*100</f>
        <v>2.671219304467054</v>
      </c>
      <c r="DB268" s="1564">
        <f t="shared" ref="DB268" si="663">(DB258/CX258-1)*100</f>
        <v>2.5593235258590807</v>
      </c>
      <c r="DC268"/>
      <c r="DD268"/>
      <c r="DE268"/>
      <c r="DF268"/>
      <c r="DG268"/>
      <c r="DH268"/>
      <c r="DI268"/>
      <c r="DJ268"/>
      <c r="DK268"/>
      <c r="DL268"/>
      <c r="DM268"/>
      <c r="DN268"/>
      <c r="DO268"/>
    </row>
    <row r="269" spans="1:119" s="699" customFormat="1" ht="12.75" customHeight="1">
      <c r="A269" s="664"/>
      <c r="B269" s="664"/>
      <c r="C269" s="944"/>
      <c r="D269" s="674"/>
      <c r="E269" s="3629" t="s">
        <v>1938</v>
      </c>
      <c r="F269" s="3630"/>
      <c r="G269" s="705"/>
      <c r="H269" s="705"/>
      <c r="I269" s="705"/>
      <c r="J269" s="705"/>
      <c r="K269" s="1564">
        <f>(4*K258/J259-1)*100</f>
        <v>3.360588159656297</v>
      </c>
      <c r="L269" s="1564">
        <f>((K258+3*L258)/J259-1)*100</f>
        <v>3.0497167363795263</v>
      </c>
      <c r="M269" s="1564">
        <f>((K258+L258+2*M258)/J259-1)*100</f>
        <v>4.8342649390989534</v>
      </c>
      <c r="N269" s="1621"/>
      <c r="O269" s="1564">
        <f>(4*O258/N259-1)*100</f>
        <v>3.6078860687774439</v>
      </c>
      <c r="P269" s="1564">
        <f>((O258+3*P258)/N259-1)*100</f>
        <v>6.092689157135589</v>
      </c>
      <c r="Q269" s="1564">
        <f>((O258+P258+2*Q258)/N259-1)*100</f>
        <v>7.6767211162647842</v>
      </c>
      <c r="R269" s="1621"/>
      <c r="S269" s="1564">
        <f>(4*S258/R259-1)*100</f>
        <v>5.8388654194327039</v>
      </c>
      <c r="T269" s="1564">
        <f>((S258+3*T258)/R259-1)*100</f>
        <v>7.2193723596861714</v>
      </c>
      <c r="U269" s="1564">
        <f>((S258+T258+2*U258)/R259-1)*100</f>
        <v>7.715485107742559</v>
      </c>
      <c r="V269" s="1621"/>
      <c r="W269" s="1564">
        <f>(4*W258/V259-1)*100</f>
        <v>-0.62597454493772409</v>
      </c>
      <c r="X269" s="1564">
        <f>((W258+3*X258)/V259-1)*100</f>
        <v>-0.350990662906836</v>
      </c>
      <c r="Y269" s="1564">
        <f>((W258+X258+2*Y258)/V259-1)*100</f>
        <v>-1.1374239674715736</v>
      </c>
      <c r="Z269" s="1621"/>
      <c r="AA269" s="1564">
        <f>(4*AA258/Z259-1)*100</f>
        <v>1.562890514354276</v>
      </c>
      <c r="AB269" s="1564">
        <f>((AA258+3*AB258)/Z259-1)*100</f>
        <v>2.4807554526217634</v>
      </c>
      <c r="AC269" s="1564">
        <f>((AA258+AB258+2*AC258)/Z259-1)*100</f>
        <v>3.1618124864621899</v>
      </c>
      <c r="AD269" s="1621"/>
      <c r="AE269" s="1564">
        <f>(4*AE258/AD259-1)*100</f>
        <v>5.0913090070509703</v>
      </c>
      <c r="AF269" s="1564">
        <f>((AE258+3*AF258)/AD259-1)*100</f>
        <v>5.0472780204955159</v>
      </c>
      <c r="AG269" s="1564">
        <f>((AE258+AF258+2*AG258)/AD259-1)*100</f>
        <v>6.2202313335759207</v>
      </c>
      <c r="AH269" s="1621"/>
      <c r="AI269" s="1564">
        <f>(4*AI258/AH259-1)*100</f>
        <v>3.2682419300519738</v>
      </c>
      <c r="AJ269" s="1564">
        <f>((AI258+3*AJ258)/AH259-1)*100</f>
        <v>5.5671681947060181</v>
      </c>
      <c r="AK269" s="1564">
        <f>((AI258+AJ258+2*AK258)/AH259-1)*100</f>
        <v>6.4100513820085636</v>
      </c>
      <c r="AL269" s="1621"/>
      <c r="AM269" s="1564">
        <f>(4*AM258/AL259-1)*100</f>
        <v>6.9876241373357795</v>
      </c>
      <c r="AN269" s="1564">
        <f>((AM258+3*AN258)/AL259-1)*100</f>
        <v>8.2241535410186195</v>
      </c>
      <c r="AO269" s="1564">
        <f>((AM258+AN258+2*AO258)/AL259-1)*100</f>
        <v>9.698477060794275</v>
      </c>
      <c r="AP269" s="1621"/>
      <c r="AQ269" s="1564">
        <f>(4*AQ258/AP259-1)*100</f>
        <v>4.5758321875100094</v>
      </c>
      <c r="AR269" s="1564">
        <f>((AQ258+3*AR258)/AP259-1)*100</f>
        <v>5.9634509001375013</v>
      </c>
      <c r="AS269" s="1564">
        <f>((AQ258+AR258+2*AS258)/AP259-1)*100</f>
        <v>6.4165574137434955</v>
      </c>
      <c r="AT269" s="1621"/>
      <c r="AU269" s="1564">
        <f>(4*AU258/AT259-1)*100</f>
        <v>32.208353929246393</v>
      </c>
      <c r="AV269" s="1564">
        <f>((AU258+3*AV258)/AT259-1)*100</f>
        <v>33.613959401320237</v>
      </c>
      <c r="AW269" s="1564">
        <f>((AU258+AV258+2*AW258)/AT259-1)*100</f>
        <v>35.544798454634766</v>
      </c>
      <c r="AX269" s="1621"/>
      <c r="AY269" s="1564">
        <f>(4*AY258/AX259-1)*100</f>
        <v>3.8460229785979072</v>
      </c>
      <c r="AZ269" s="1564">
        <f>((AY258+3*AZ258)/AX259-1)*100</f>
        <v>5.7128922864045251</v>
      </c>
      <c r="BA269" s="1564">
        <f>((AY258+AZ258+2*BA258)/AX259-1)*100</f>
        <v>6.6376315182584911</v>
      </c>
      <c r="BB269" s="1621"/>
      <c r="BC269" s="1564">
        <f>(4*BC258/BB259-1)*100</f>
        <v>6.8112642553775471</v>
      </c>
      <c r="BD269" s="1564">
        <f>((BC258+3*BD258)/BB259-1)*100</f>
        <v>9.0956434229092498</v>
      </c>
      <c r="BE269" s="1564">
        <f>((BC258+BD258+2*BE258)/BB259-1)*100</f>
        <v>10.565077711820559</v>
      </c>
      <c r="BF269" s="1621"/>
      <c r="BG269" s="1564">
        <f>(4*BG258/BF259-1)*100</f>
        <v>2.8676424000507073</v>
      </c>
      <c r="BH269" s="1564">
        <f>((BG258+3*BH258)/BF259-1)*100</f>
        <v>3.5319647722232839</v>
      </c>
      <c r="BI269" s="1564">
        <f>((BG258+BH258+2*BI258)/BF259-1)*100</f>
        <v>2.968700500538568</v>
      </c>
      <c r="BJ269" s="1621"/>
      <c r="BK269" s="1564">
        <f>(4*BK258/BJ259-1)*100</f>
        <v>-14.172334201463899</v>
      </c>
      <c r="BL269" s="1564">
        <f>((BK258+3*BL258)/BJ259-1)*100</f>
        <v>-14.853672685979513</v>
      </c>
      <c r="BM269" s="1564">
        <f>((BK258+BL258+2*BM258)/BJ259-1)*100</f>
        <v>-14.603725144105573</v>
      </c>
      <c r="BN269" s="1621"/>
      <c r="BO269" s="1564">
        <f>(4*BO258/BN259-1)*100</f>
        <v>-0.16432512433208757</v>
      </c>
      <c r="BP269" s="1564">
        <f>((BO258+3*BP258)/BN259-1)*100</f>
        <v>1.088245856503911</v>
      </c>
      <c r="BQ269" s="1564">
        <f>((BO258+BP258+2*BQ258)/BN259-1)*100</f>
        <v>1.053421989095793</v>
      </c>
      <c r="BR269" s="1621"/>
      <c r="BS269" s="1564">
        <f>(4*BS258/BR259-1)*100</f>
        <v>4.1817390497798756</v>
      </c>
      <c r="BT269" s="1564">
        <f>((BS258+3*BT258)/BR259-1)*100</f>
        <v>5.4253444351691327</v>
      </c>
      <c r="BU269" s="1564">
        <f>((BS258+BT258+2*BU258)/BR259-1)*100</f>
        <v>5.6986094165828227</v>
      </c>
      <c r="BV269" s="1621"/>
      <c r="BW269" s="1564">
        <f>(4*BW258/BV259-1)*100</f>
        <v>2.2886482776256267</v>
      </c>
      <c r="BX269" s="1564">
        <f>((BW258+3*BX258)/BV259-1)*100</f>
        <v>2.398672974300653</v>
      </c>
      <c r="BY269" s="1564">
        <f>((BW258+BX258+2*BY258)/BV259-1)*100</f>
        <v>3.6819579685470671</v>
      </c>
      <c r="BZ269" s="1621"/>
      <c r="CA269" s="1564">
        <f>(4*CA258/BZ259-1)*100</f>
        <v>1.8848846253564977</v>
      </c>
      <c r="CB269" s="1564">
        <f>((CA258+3*CB258)/BZ259-1)*100</f>
        <v>2.5800492610837278</v>
      </c>
      <c r="CC269" s="1564">
        <f>((CA258+CB258+2*CC258)/BZ259-1)*100</f>
        <v>3.2742416385791895</v>
      </c>
      <c r="CD269" s="1621"/>
      <c r="CE269" s="1564">
        <f>(4*CE258/CD259-1)*100</f>
        <v>2.8204646502598907</v>
      </c>
      <c r="CF269" s="1564">
        <f>((CE258+3*CF258)/CD259-1)*100</f>
        <v>3.3342726532656908</v>
      </c>
      <c r="CG269" s="1564">
        <f>((CE258+CF258+2*CG258)/CD259-1)*100</f>
        <v>3.4845638424447323</v>
      </c>
      <c r="CH269" s="1621"/>
      <c r="CI269" s="1564">
        <f>(4*CI258/CH259-1)*100</f>
        <v>0.96400406405727779</v>
      </c>
      <c r="CJ269" s="1564">
        <f>((CI258+3*CJ258)/CH259-1)*100</f>
        <v>1.6135275049590891</v>
      </c>
      <c r="CK269" s="1564">
        <f>((CI258+CJ258+2*CK258)/CH259-1)*100</f>
        <v>1.9915090231747978</v>
      </c>
      <c r="CL269" s="1621"/>
      <c r="CM269" s="1564">
        <f>(4*CM258/CL259-1)*100</f>
        <v>1.0299073231597289</v>
      </c>
      <c r="CN269" s="1564">
        <f>((CM258+3*CN258)/CL259-1)*100</f>
        <v>1.5109259089117533</v>
      </c>
      <c r="CO269" s="1564">
        <f>((CM258+CN258+2*CO258)/CL259-1)*100</f>
        <v>2.0361045496711805</v>
      </c>
      <c r="CP269" s="1621"/>
      <c r="CQ269" s="1564">
        <f>(4*CQ258/CP259-1)*100</f>
        <v>2.6545494564052419</v>
      </c>
      <c r="CR269" s="1564">
        <f>((CQ258+3*CR258)/CP259-1)*100</f>
        <v>3.2071220467196015</v>
      </c>
      <c r="CS269" s="1564">
        <f>((CQ258+CR258+2*CS258)/CP259-1)*100</f>
        <v>3.4903589404970736</v>
      </c>
      <c r="CT269" s="1621"/>
      <c r="CU269" s="1564">
        <f>(4*CU258/CT259-1)*100</f>
        <v>2.1135691296805481</v>
      </c>
      <c r="CV269" s="1564">
        <f>((CU258+3*CV258)/CT259-1)*100</f>
        <v>2.6037142615030096</v>
      </c>
      <c r="CW269" s="1564">
        <f>((CU258+CV258+2*CW258)/CT259-1)*100</f>
        <v>2.9325689686137579</v>
      </c>
      <c r="CX269" s="1621"/>
      <c r="CY269" s="1564">
        <f>(4*CY258/CX259-1)*100</f>
        <v>1.6691684452607713</v>
      </c>
      <c r="CZ269" s="1564">
        <f>((CY258+3*CZ258)/CX259-1)*100</f>
        <v>2.1571804537980022</v>
      </c>
      <c r="DA269" s="1564">
        <f>((CY258+CZ258+2*DA258)/CX259-1)*100</f>
        <v>2.4846039773926076</v>
      </c>
      <c r="DB269" s="1621"/>
      <c r="DC269"/>
      <c r="DD269"/>
      <c r="DE269"/>
      <c r="DF269"/>
      <c r="DG269"/>
      <c r="DH269"/>
      <c r="DI269"/>
      <c r="DJ269"/>
      <c r="DK269"/>
      <c r="DL269"/>
      <c r="DM269"/>
      <c r="DN269"/>
      <c r="DO269"/>
    </row>
    <row r="270" spans="1:119">
      <c r="C270" s="1557"/>
      <c r="D270" s="828"/>
      <c r="E270" s="3631" t="s">
        <v>1807</v>
      </c>
      <c r="F270" s="828"/>
      <c r="G270" s="876"/>
      <c r="H270" s="876"/>
      <c r="I270" s="876"/>
      <c r="J270" s="876"/>
      <c r="K270" s="1620"/>
      <c r="L270" s="883">
        <f>(4*L258/(K258+3*L258)-1)*100</f>
        <v>-0.1005571010195272</v>
      </c>
      <c r="M270" s="883">
        <f>(4*M258/(K258+L258+2*M258)-1)*100</f>
        <v>1.6034112472071982</v>
      </c>
      <c r="N270" s="883">
        <f>+(4*N258/N259-1)*100</f>
        <v>2.1270874746718293</v>
      </c>
      <c r="O270" s="1620"/>
      <c r="P270" s="883">
        <f>(4*P258/(O258+3*P258)-1)*100</f>
        <v>0.78070195288633126</v>
      </c>
      <c r="Q270" s="883">
        <f>(4*Q258/(O258+P258+2*Q258)-1)*100</f>
        <v>2.2403167836471116</v>
      </c>
      <c r="R270" s="883">
        <f>+(4*R258/R259-1)*100</f>
        <v>3.691114345557156</v>
      </c>
      <c r="S270" s="1620"/>
      <c r="T270" s="883">
        <f>(4*T258/(S258+3*T258)-1)*100</f>
        <v>0.42918454935623185</v>
      </c>
      <c r="U270" s="883">
        <f>(4*U258/(S258+T258+2*U258)-1)*100</f>
        <v>0.88778482238125456</v>
      </c>
      <c r="V270" s="883">
        <f>+(4*V258/V259-1)*100</f>
        <v>0.89086538560567696</v>
      </c>
      <c r="W270" s="1620"/>
      <c r="X270" s="883">
        <f>(4*X258/(W258+3*X258)-1)*100</f>
        <v>9.1984149787394109E-2</v>
      </c>
      <c r="Y270" s="883">
        <f>(4*Y258/(W258+X258+2*Y258)-1)*100</f>
        <v>-0.70276543302476568</v>
      </c>
      <c r="Z270" s="883">
        <f>+(4*Z258/Z259-1)*100</f>
        <v>-0.59316526984021234</v>
      </c>
      <c r="AA270" s="1620"/>
      <c r="AB270" s="883">
        <f>(4*AB258/(AA258+3*AB258)-1)*100</f>
        <v>0.29854871587471354</v>
      </c>
      <c r="AC270" s="883">
        <f>(4*AC258/(AA258+AB258+2*AC258)-1)*100</f>
        <v>0.95676102374842031</v>
      </c>
      <c r="AD270" s="883">
        <f>+(4*AD258/AD259-1)*100</f>
        <v>2.1953166310464622</v>
      </c>
      <c r="AE270" s="1620"/>
      <c r="AF270" s="883">
        <f>(4*AF258/(AE258+3*AF258)-1)*100</f>
        <v>-1.3971799931478124E-2</v>
      </c>
      <c r="AG270" s="883">
        <f>(4*AG258/(AE258+AF258+2*AG258)-1)*100</f>
        <v>1.0904479335245076</v>
      </c>
      <c r="AH270" s="883">
        <f>+(4*AH258/AH259-1)*100</f>
        <v>2.8866867729426815</v>
      </c>
      <c r="AI270" s="1620"/>
      <c r="AJ270" s="883">
        <f>(4*AJ258/(AI258+3*AJ258)-1)*100</f>
        <v>0.72589685599153686</v>
      </c>
      <c r="AK270" s="883">
        <f>(4*AK258/(AI258+AJ258+2*AK258)-1)*100</f>
        <v>1.5122555823324335</v>
      </c>
      <c r="AL270" s="883">
        <f>+(4*AL258/AL259-1)*100</f>
        <v>2.6368725317851505</v>
      </c>
      <c r="AM270" s="1620"/>
      <c r="AN270" s="883">
        <f>(4*AN258/(AM258+3*AN258)-1)*100</f>
        <v>0.38085441595812064</v>
      </c>
      <c r="AO270" s="883">
        <f>(4*AO258/(AM258+AN258+2*AO258)-1)*100</f>
        <v>1.7197139269530926</v>
      </c>
      <c r="AP270" s="883">
        <f>+(4*AP258/AP259-1)*100</f>
        <v>2.9987529178524541</v>
      </c>
      <c r="AQ270" s="1620"/>
      <c r="AR270" s="883">
        <f>(4*AR258/(AQ258+3*AR258)-1)*100</f>
        <v>0.43650859513035822</v>
      </c>
      <c r="AS270" s="883">
        <f>(4*AS258/(AQ258+AR258+2*AS258)-1)*100</f>
        <v>0.86043573174596766</v>
      </c>
      <c r="AT270" s="883">
        <f>+(4*AT258/AT259-1)*100</f>
        <v>2.7721631232141997</v>
      </c>
      <c r="AU270" s="1620"/>
      <c r="AV270" s="883">
        <f>(4*AV258/(AU258+3*AV258)-1)*100</f>
        <v>0.35066332848552317</v>
      </c>
      <c r="AW270" s="883">
        <f>(4*AW258/(AU258+AV258+2*AW258)-1)*100</f>
        <v>1.7701706284771301</v>
      </c>
      <c r="AX270" s="883">
        <f>+(4*AX258/AX259-1)*100</f>
        <v>3.5042550858767285</v>
      </c>
      <c r="AY270" s="1620"/>
      <c r="AZ270" s="883">
        <f>(4*AZ258/(AY258+3*AZ258)-1)*100</f>
        <v>0.58866024361807767</v>
      </c>
      <c r="BA270" s="883">
        <f>(4*BA258/(AY258+AZ258+2*BA258)-1)*100</f>
        <v>1.4507345850587106</v>
      </c>
      <c r="BB270" s="883">
        <f>+(4*BB258/BB259-1)*100</f>
        <v>3.6851976311705892</v>
      </c>
      <c r="BC270" s="1620"/>
      <c r="BD270" s="883">
        <f>(4*BD258/(BC258+3*BD258)-1)*100</f>
        <v>0.69797445490904497</v>
      </c>
      <c r="BE270" s="883">
        <f>(4*BE258/(BC258+BD258+2*BE258)-1)*100</f>
        <v>2.0177202943198358</v>
      </c>
      <c r="BF270" s="883">
        <f>+(4*BF258/BF259-1)*100</f>
        <v>3.3808528163213669</v>
      </c>
      <c r="BG270" s="1620"/>
      <c r="BH270" s="883">
        <f>(4*BH258/(BG258+3*BH258)-1)*100</f>
        <v>0.21388639847739199</v>
      </c>
      <c r="BI270" s="883">
        <f>(4*BI258/(BG258+BH258+2*BI258)-1)*100</f>
        <v>-0.33196833532801451</v>
      </c>
      <c r="BJ270" s="883">
        <f>+(4*BJ258/BJ259-1)*100</f>
        <v>-1.2244343779700739</v>
      </c>
      <c r="BK270" s="1620"/>
      <c r="BL270" s="883">
        <f>(4*BL258/(BK258+3*BL258)-1)*100</f>
        <v>-0.2667323833408175</v>
      </c>
      <c r="BM270" s="883">
        <f>(4*BM258/(BK258+BL258+2*BM258)-1)*100</f>
        <v>2.6739707019540759E-2</v>
      </c>
      <c r="BN270" s="883">
        <f>+(4*BN258/BN259-1)*100</f>
        <v>-1.1364914228089051</v>
      </c>
      <c r="BO270" s="1620"/>
      <c r="BP270" s="883">
        <f>(4*BP258/(BO258+3*BP258)-1)*100</f>
        <v>0.41302889049172897</v>
      </c>
      <c r="BQ270" s="883">
        <f>(4*BQ258/(BO258+BP258+2*BQ258)-1)*100</f>
        <v>0.3787103745104492</v>
      </c>
      <c r="BR270" s="883">
        <f>+(4*BR258/BR259-1)*100</f>
        <v>2.2353503570995414</v>
      </c>
      <c r="BS270" s="1620"/>
      <c r="BT270" s="883">
        <f>(4*BT258/(BS258+3*BT258)-1)*100</f>
        <v>0.39320253652859183</v>
      </c>
      <c r="BU270" s="883">
        <f>(4*BU258/(BS258+BT258+2*BU258)-1)*100</f>
        <v>0.65071822011018021</v>
      </c>
      <c r="BV270" s="883">
        <f>+(4*BV258/BV259-1)*100</f>
        <v>1.5753383175306057</v>
      </c>
      <c r="BW270" s="1620"/>
      <c r="BX270" s="883">
        <f>(4*BX258/(BW258+3*BX258)-1)*100</f>
        <v>3.5815795094218394E-2</v>
      </c>
      <c r="BY270" s="883">
        <f>(4*BY258/(BW258+BX258+2*BY258)-1)*100</f>
        <v>1.2730854229609623</v>
      </c>
      <c r="BZ270" s="883">
        <f>+(4*BZ258/BZ259-1)*100</f>
        <v>1.6709878143634782</v>
      </c>
      <c r="CA270" s="1620"/>
      <c r="CB270" s="883">
        <f>(4*CB258/(CA258+3*CB258)-1)*100</f>
        <v>0.22589338464114039</v>
      </c>
      <c r="CC270" s="883">
        <f>(4*CC258/(CA258+CB258+2*CC258)-1)*100</f>
        <v>0.8965584332037313</v>
      </c>
      <c r="CD270" s="883">
        <f>+(4*CD258/CD259-1)*100</f>
        <v>1.56803807376793</v>
      </c>
      <c r="CE270" s="1620"/>
      <c r="CF270" s="883">
        <f>(4*CF258/(CE258+3*CF258)-1)*100</f>
        <v>0.16574301046272666</v>
      </c>
      <c r="CG270" s="883">
        <f>(4*CG258/(CE258+CF258+2*CG258)-1)*100</f>
        <v>0.31073283934779372</v>
      </c>
      <c r="CH270" s="883">
        <f>+(4*CH258/CH259-1)*100</f>
        <v>0.48744496589094854</v>
      </c>
      <c r="CI270" s="1620"/>
      <c r="CJ270" s="883">
        <f>(4*CJ258/(CI258+3*CJ258)-1)*100</f>
        <v>0.21306987263423061</v>
      </c>
      <c r="CK270" s="883">
        <f>(4*CK258/(CI258+CJ258+2*CK258)-1)*100</f>
        <v>0.58288120015415057</v>
      </c>
      <c r="CL270" s="883">
        <f>+(4*CL258/CL259-1)*100</f>
        <v>0.68848193142447833</v>
      </c>
      <c r="CM270" s="1620"/>
      <c r="CN270" s="883">
        <f>(4*CN258/(CM258+3*CN258)-1)*100</f>
        <v>0.15795297614353832</v>
      </c>
      <c r="CO270" s="883">
        <f>(4*CO258/(CM258+CN258+2*CO258)-1)*100</f>
        <v>0.67183882839207953</v>
      </c>
      <c r="CP270" s="883">
        <f>+(4*CP258/CP259-1)*100</f>
        <v>1.5517211419833421</v>
      </c>
      <c r="CQ270" s="1620"/>
      <c r="CR270" s="883">
        <f>(4*CR258/(CQ258+3*CR258)-1)*100</f>
        <v>0.17846720244241165</v>
      </c>
      <c r="CS270" s="883">
        <f>(4*CS258/(CQ258+CR258+2*CS258)-1)*100</f>
        <v>0.45166309403210647</v>
      </c>
      <c r="CT270" s="883">
        <f>+(4*CT258/CT259-1)*100</f>
        <v>1.4641982608113668</v>
      </c>
      <c r="CU270" s="1620"/>
      <c r="CV270" s="883">
        <f>(4*CV258/(CU258+3*CV258)-1)*100</f>
        <v>0.15923566878981443</v>
      </c>
      <c r="CW270" s="883">
        <f>(4*CW258/(CU258+CV258+2*CW258)-1)*100</f>
        <v>0.4782125061586262</v>
      </c>
      <c r="CX270" s="883">
        <f>+(4*CX258/CX259-1)*100</f>
        <v>1.0226236538759759</v>
      </c>
      <c r="CY270" s="1620"/>
      <c r="CZ270" s="883">
        <f>(4*CZ258/(CY258+3*CZ258)-1)*100</f>
        <v>0.15923566878981443</v>
      </c>
      <c r="DA270" s="883">
        <f>(4*DA258/(CY258+CZ258+2*DA258)-1)*100</f>
        <v>0.478212506158604</v>
      </c>
      <c r="DB270" s="883">
        <f>+(4*DB258/DB259-1)*100</f>
        <v>0.9403081736052199</v>
      </c>
    </row>
    <row r="271" spans="1:119" s="884" customFormat="1" ht="12.75" customHeight="1">
      <c r="A271" s="664"/>
      <c r="B271" s="664"/>
      <c r="C271" s="666"/>
      <c r="D271" s="1041"/>
      <c r="E271" s="3632"/>
      <c r="F271" s="1041"/>
      <c r="G271" s="1044"/>
      <c r="H271" s="1559"/>
      <c r="I271" s="1559"/>
      <c r="J271" s="1559"/>
      <c r="K271" s="1044"/>
      <c r="L271" s="1559"/>
      <c r="M271" s="1559"/>
      <c r="N271" s="1559"/>
      <c r="O271" s="1044"/>
      <c r="P271" s="1559"/>
      <c r="Q271" s="1559"/>
      <c r="R271" s="1559"/>
      <c r="S271" s="1044"/>
      <c r="T271" s="1559"/>
      <c r="U271" s="1559"/>
      <c r="V271" s="1559"/>
      <c r="W271" s="1044"/>
      <c r="X271" s="1559"/>
      <c r="Y271" s="1559"/>
      <c r="Z271" s="1559"/>
      <c r="AA271" s="1044"/>
      <c r="AB271" s="1559"/>
      <c r="AC271" s="1559"/>
      <c r="AD271" s="1559"/>
      <c r="AE271" s="1044"/>
      <c r="AF271" s="1559"/>
      <c r="AG271" s="1559"/>
      <c r="AH271" s="1559"/>
      <c r="AI271" s="1044"/>
      <c r="AJ271" s="1559"/>
      <c r="AK271" s="1559"/>
      <c r="AL271" s="1559"/>
      <c r="AM271" s="1044"/>
      <c r="AN271" s="1559"/>
      <c r="AO271" s="1559"/>
      <c r="AP271" s="1559"/>
      <c r="AQ271" s="1044"/>
      <c r="AR271" s="1559"/>
      <c r="AS271" s="1559"/>
      <c r="AT271" s="1559"/>
      <c r="AU271" s="1044"/>
      <c r="AV271" s="1559"/>
      <c r="AW271" s="1559"/>
      <c r="AX271" s="1559"/>
      <c r="AY271" s="1560"/>
      <c r="AZ271" s="1559"/>
      <c r="BA271" s="1560"/>
      <c r="BB271" s="1560"/>
      <c r="BC271" s="1560"/>
      <c r="BD271" s="1560"/>
      <c r="BE271" s="1560"/>
      <c r="BF271" s="1560"/>
      <c r="BG271" s="1560"/>
      <c r="BH271" s="1560"/>
      <c r="BI271" s="1560"/>
      <c r="BJ271" s="1560"/>
      <c r="BK271" s="1560"/>
      <c r="BL271" s="1560"/>
      <c r="BM271" s="1560"/>
      <c r="BN271" s="1312"/>
      <c r="BO271" s="1560"/>
      <c r="BP271" s="1560"/>
      <c r="BQ271" s="1560"/>
      <c r="BR271" s="1312"/>
      <c r="BS271" s="1560"/>
      <c r="BT271" s="1560"/>
      <c r="BU271" s="1560"/>
      <c r="BV271" s="1312"/>
      <c r="BW271" s="1560"/>
      <c r="BX271" s="1560"/>
      <c r="BY271" s="1560"/>
      <c r="BZ271" s="1560"/>
      <c r="CA271" s="1560"/>
      <c r="CB271" s="1560"/>
      <c r="CC271" s="1560"/>
      <c r="CD271" s="1560"/>
      <c r="CE271" s="1560"/>
      <c r="CF271" s="1560"/>
      <c r="CG271" s="1560"/>
      <c r="CH271" s="1560"/>
      <c r="CI271"/>
      <c r="CJ271" s="1560"/>
      <c r="CK271" s="1560"/>
      <c r="CL271" s="1560"/>
      <c r="CM271" s="1560"/>
      <c r="CN271" s="1560"/>
      <c r="CO271" s="1560"/>
      <c r="CP271" s="1560"/>
      <c r="CQ271" s="1560"/>
      <c r="CR271" s="1560"/>
      <c r="CS271" s="1560"/>
      <c r="CT271" s="1560"/>
      <c r="CU271" s="1560"/>
      <c r="CV271" s="1560"/>
      <c r="CW271" s="1560"/>
      <c r="CX271" s="1560"/>
      <c r="CY271" s="1560"/>
      <c r="CZ271" s="1560"/>
      <c r="DA271" s="1560"/>
      <c r="DB271" s="1560"/>
      <c r="DC271"/>
      <c r="DD271"/>
      <c r="DE271"/>
      <c r="DF271"/>
      <c r="DG271"/>
      <c r="DH271"/>
      <c r="DI271"/>
      <c r="DJ271"/>
      <c r="DK271"/>
      <c r="DL271"/>
      <c r="DM271"/>
      <c r="DN271"/>
      <c r="DO271"/>
    </row>
    <row r="272" spans="1:119" s="884" customFormat="1" ht="12.75" customHeight="1">
      <c r="A272" s="664"/>
      <c r="B272" s="664"/>
      <c r="C272" s="666"/>
      <c r="D272" s="1041"/>
      <c r="E272" s="3632"/>
      <c r="F272" s="1041"/>
      <c r="G272" s="1044"/>
      <c r="H272" s="1559"/>
      <c r="I272" s="1559"/>
      <c r="J272" s="1559"/>
      <c r="K272" s="1044"/>
      <c r="L272" s="1559"/>
      <c r="M272" s="1559"/>
      <c r="N272" s="1559"/>
      <c r="O272" s="1044"/>
      <c r="P272" s="1559"/>
      <c r="Q272" s="1559"/>
      <c r="R272" s="1559"/>
      <c r="S272" s="1044"/>
      <c r="T272" s="1559"/>
      <c r="U272" s="1559"/>
      <c r="V272" s="1559"/>
      <c r="W272" s="1044"/>
      <c r="X272" s="1559"/>
      <c r="Y272" s="1559"/>
      <c r="Z272" s="1559"/>
      <c r="AA272" s="1044"/>
      <c r="AB272" s="1559"/>
      <c r="AC272" s="1559"/>
      <c r="AD272" s="1559"/>
      <c r="AE272" s="1044"/>
      <c r="AF272" s="1559"/>
      <c r="AG272" s="1559"/>
      <c r="AH272" s="1559"/>
      <c r="AI272" s="1044"/>
      <c r="AJ272" s="1559"/>
      <c r="AK272" s="1559"/>
      <c r="AL272" s="1559"/>
      <c r="AM272" s="1044"/>
      <c r="AN272" s="1559"/>
      <c r="AO272" s="1559"/>
      <c r="AP272" s="1559"/>
      <c r="AQ272" s="1044"/>
      <c r="AR272" s="1559"/>
      <c r="AS272" s="1559"/>
      <c r="AT272" s="1559"/>
      <c r="AU272" s="1044"/>
      <c r="AV272" s="1559"/>
      <c r="AW272" s="1559"/>
      <c r="AX272" s="1559"/>
      <c r="AY272" s="1560"/>
      <c r="AZ272" s="1559"/>
      <c r="BA272" s="1560"/>
      <c r="BB272" s="1560"/>
      <c r="BC272" s="1560"/>
      <c r="BD272" s="1560"/>
      <c r="BE272" s="1560"/>
      <c r="BF272" s="1560"/>
      <c r="BG272" s="1560"/>
      <c r="BH272" s="1560"/>
      <c r="BI272" s="1560"/>
      <c r="BJ272" s="1560"/>
      <c r="BK272" s="1560"/>
      <c r="BL272" s="1560"/>
      <c r="BM272" s="1560"/>
      <c r="BN272" s="1560"/>
      <c r="BO272" s="1560"/>
      <c r="BP272" s="1560"/>
      <c r="BQ272" s="1560"/>
      <c r="BR272" s="1560"/>
      <c r="BS272" s="1560"/>
      <c r="BT272" s="1560"/>
      <c r="BU272" s="1560"/>
      <c r="BV272" s="1560"/>
      <c r="BW272" s="1560"/>
      <c r="BX272" s="1560"/>
      <c r="BY272" s="1560"/>
      <c r="BZ272" s="1560"/>
      <c r="CA272" s="1560"/>
      <c r="CB272" s="1560"/>
      <c r="CC272" s="1560"/>
      <c r="CD272" s="1560"/>
      <c r="CE272" s="1560"/>
      <c r="CF272" s="1560"/>
      <c r="CG272" s="1560"/>
      <c r="CH272" s="1560"/>
      <c r="CI272"/>
      <c r="CJ272"/>
      <c r="CK272"/>
      <c r="CL272"/>
      <c r="CM272"/>
      <c r="CN272"/>
      <c r="CO272"/>
      <c r="CP272"/>
      <c r="CQ272"/>
      <c r="CR272"/>
      <c r="CS272"/>
      <c r="CT272"/>
      <c r="CU272"/>
      <c r="CV272"/>
      <c r="CW272"/>
      <c r="CX272"/>
      <c r="CY272" s="3650"/>
      <c r="CZ272" s="3650"/>
      <c r="DA272" s="3650"/>
      <c r="DB272" s="3650"/>
      <c r="DC272"/>
      <c r="DD272"/>
      <c r="DE272"/>
      <c r="DF272"/>
      <c r="DG272"/>
      <c r="DH272"/>
      <c r="DI272"/>
      <c r="DJ272"/>
      <c r="DK272"/>
      <c r="DL272"/>
      <c r="DM272"/>
      <c r="DN272"/>
      <c r="DO272"/>
    </row>
    <row r="273" spans="1:119" ht="30" customHeight="1">
      <c r="C273" s="3767" t="s">
        <v>599</v>
      </c>
      <c r="D273" s="3767"/>
      <c r="E273" s="3767"/>
      <c r="F273" s="3767"/>
      <c r="CM273" s="557"/>
      <c r="CN273" s="557"/>
      <c r="CO273" s="557"/>
      <c r="CP273" s="557"/>
      <c r="CQ273" s="557"/>
      <c r="CR273" s="557"/>
      <c r="CS273" s="557"/>
      <c r="CT273">
        <f>CT259-CT272</f>
        <v>35.855800000000002</v>
      </c>
      <c r="CU273" s="557"/>
      <c r="CV273" s="557"/>
      <c r="CW273" s="557"/>
      <c r="CX273">
        <f>CX259-CX272</f>
        <v>36.97450096</v>
      </c>
      <c r="CY273" s="557"/>
      <c r="CZ273" s="557"/>
      <c r="DA273" s="557"/>
      <c r="DB273" s="3650">
        <f>DB259-DB272</f>
        <v>37.951721968659889</v>
      </c>
    </row>
    <row r="274" spans="1:119">
      <c r="C274" s="599"/>
      <c r="D274" s="599"/>
      <c r="E274" s="599"/>
      <c r="F274" s="3617"/>
      <c r="BG274" s="2997"/>
      <c r="BH274" s="2997"/>
      <c r="BI274" s="2997"/>
      <c r="BJ274" s="2997"/>
      <c r="BK274" s="2997"/>
      <c r="BL274" s="2997"/>
      <c r="BM274" s="2997"/>
      <c r="BN274" s="2997"/>
      <c r="BO274" s="2997"/>
      <c r="BP274" s="2997"/>
      <c r="BQ274" s="2997"/>
      <c r="BR274" s="2997"/>
      <c r="BS274" s="2997"/>
      <c r="BT274" s="2997"/>
      <c r="BU274" s="2997"/>
      <c r="BV274" s="2997"/>
      <c r="BW274" s="2997"/>
      <c r="BX274" s="2997"/>
      <c r="BY274" s="2997"/>
      <c r="BZ274" s="2997"/>
      <c r="CA274" s="2997"/>
      <c r="CB274" s="2997"/>
      <c r="CC274" s="2997"/>
      <c r="CD274" s="2997"/>
      <c r="CE274" s="2997"/>
      <c r="CF274" s="2997"/>
      <c r="CG274" s="2997"/>
      <c r="CH274" s="2997"/>
      <c r="CI274" s="2997"/>
      <c r="CJ274" s="2997"/>
      <c r="CK274" s="2997"/>
      <c r="CL274" s="2997"/>
      <c r="CM274" s="2997"/>
      <c r="CN274" s="2997"/>
      <c r="CO274" s="2997"/>
      <c r="CP274" s="2997"/>
      <c r="CQ274" s="2997"/>
      <c r="CR274" s="2997"/>
      <c r="CS274" s="2997"/>
      <c r="CT274" s="2997"/>
      <c r="CU274" s="2997"/>
      <c r="CV274" s="2997"/>
      <c r="CW274" s="2997"/>
      <c r="CX274" s="2997"/>
      <c r="CY274" s="2997"/>
      <c r="CZ274" s="2997"/>
      <c r="DA274" s="2997"/>
      <c r="DB274" s="2997"/>
    </row>
    <row r="275" spans="1:119">
      <c r="E275" s="599"/>
      <c r="F275" s="3617"/>
      <c r="G275" s="3764">
        <f ca="1">OFFSET(InputY!$G$3,0,(COLUMN()-7)/4)</f>
        <v>1995</v>
      </c>
      <c r="H275" s="3765"/>
      <c r="I275" s="3765"/>
      <c r="J275" s="3766"/>
      <c r="K275" s="3764">
        <f ca="1">OFFSET(InputY!$G$3,0,(COLUMN()-7)/4)</f>
        <v>1996</v>
      </c>
      <c r="L275" s="3765"/>
      <c r="M275" s="3765"/>
      <c r="N275" s="3766"/>
      <c r="O275" s="3764">
        <f ca="1">OFFSET(InputY!$G$3,0,(COLUMN()-7)/4)</f>
        <v>1997</v>
      </c>
      <c r="P275" s="3765"/>
      <c r="Q275" s="3765"/>
      <c r="R275" s="3766"/>
      <c r="S275" s="3764">
        <f ca="1">OFFSET(InputY!$G$3,0,(COLUMN()-7)/4)</f>
        <v>1998</v>
      </c>
      <c r="T275" s="3765"/>
      <c r="U275" s="3765"/>
      <c r="V275" s="3766"/>
      <c r="W275" s="3764">
        <f ca="1">OFFSET(InputY!$G$3,0,(COLUMN()-7)/4)</f>
        <v>1999</v>
      </c>
      <c r="X275" s="3765"/>
      <c r="Y275" s="3765"/>
      <c r="Z275" s="3766"/>
      <c r="AA275" s="3764">
        <f ca="1">OFFSET(InputY!$G$3,0,(COLUMN()-7)/4)</f>
        <v>2000</v>
      </c>
      <c r="AB275" s="3765"/>
      <c r="AC275" s="3765"/>
      <c r="AD275" s="3766"/>
      <c r="AE275" s="3764">
        <f ca="1">OFFSET(InputY!$G$3,0,(COLUMN()-7)/4)</f>
        <v>2001</v>
      </c>
      <c r="AF275" s="3765"/>
      <c r="AG275" s="3765"/>
      <c r="AH275" s="3766"/>
      <c r="AI275" s="3764">
        <f ca="1">OFFSET(InputY!$G$3,0,(COLUMN()-7)/4)</f>
        <v>2002</v>
      </c>
      <c r="AJ275" s="3765"/>
      <c r="AK275" s="3765"/>
      <c r="AL275" s="3766"/>
      <c r="AM275" s="3764">
        <f ca="1">OFFSET(InputY!$G$3,0,(COLUMN()-7)/4)</f>
        <v>2003</v>
      </c>
      <c r="AN275" s="3765"/>
      <c r="AO275" s="3765"/>
      <c r="AP275" s="3766"/>
      <c r="AQ275" s="3764">
        <f ca="1">OFFSET(InputY!$G$3,0,(COLUMN()-7)/4)</f>
        <v>2004</v>
      </c>
      <c r="AR275" s="3765"/>
      <c r="AS275" s="3765"/>
      <c r="AT275" s="3766"/>
      <c r="AU275" s="3764">
        <f ca="1">OFFSET(InputY!$G$3,0,(COLUMN()-7)/4)</f>
        <v>2005</v>
      </c>
      <c r="AV275" s="3765"/>
      <c r="AW275" s="3765"/>
      <c r="AX275" s="3766"/>
      <c r="AY275" s="3764">
        <f ca="1">OFFSET(InputY!$G$3,0,(COLUMN()-7)/4)</f>
        <v>2006</v>
      </c>
      <c r="AZ275" s="3765"/>
      <c r="BA275" s="3765"/>
      <c r="BB275" s="3766"/>
      <c r="BC275" s="3764">
        <f ca="1">OFFSET(InputY!$G$3,0,(COLUMN()-7)/4)</f>
        <v>2007</v>
      </c>
      <c r="BD275" s="3765"/>
      <c r="BE275" s="3765"/>
      <c r="BF275" s="3766"/>
      <c r="BG275" s="3764">
        <f ca="1">OFFSET(InputY!$G$3,0,(COLUMN()-7)/4)</f>
        <v>2008</v>
      </c>
      <c r="BH275" s="3765"/>
      <c r="BI275" s="3765"/>
      <c r="BJ275" s="3766"/>
      <c r="BK275" s="3764">
        <f ca="1">OFFSET(InputY!$G$3,0,(COLUMN()-7)/4)</f>
        <v>2009</v>
      </c>
      <c r="BL275" s="3765"/>
      <c r="BM275" s="3765"/>
      <c r="BN275" s="3766"/>
      <c r="BO275" s="3764">
        <f ca="1">OFFSET(InputY!$G$3,0,(COLUMN()-7)/4)</f>
        <v>2010</v>
      </c>
      <c r="BP275" s="3765"/>
      <c r="BQ275" s="3765"/>
      <c r="BR275" s="3766"/>
      <c r="BS275" s="3764">
        <f ca="1">OFFSET(InputY!$G$3,0,(COLUMN()-7)/4)</f>
        <v>2011</v>
      </c>
      <c r="BT275" s="3765"/>
      <c r="BU275" s="3765"/>
      <c r="BV275" s="3766"/>
      <c r="BW275" s="3764">
        <f ca="1">OFFSET(InputY!$G$3,0,(COLUMN()-7)/4)</f>
        <v>2012</v>
      </c>
      <c r="BX275" s="3765"/>
      <c r="BY275" s="3765"/>
      <c r="BZ275" s="3766"/>
      <c r="CA275" s="3764">
        <f ca="1">OFFSET(InputY!$G$3,0,(COLUMN()-7)/4)</f>
        <v>2013</v>
      </c>
      <c r="CB275" s="3765"/>
      <c r="CC275" s="3765"/>
      <c r="CD275" s="3766"/>
      <c r="CE275" s="3764">
        <f ca="1">OFFSET(InputY!$G$3,0,(COLUMN()-7)/4)</f>
        <v>2014</v>
      </c>
      <c r="CF275" s="3765"/>
      <c r="CG275" s="3765"/>
      <c r="CH275" s="3766"/>
      <c r="CI275" s="3764">
        <f ca="1">OFFSET(InputY!$G$3,0,(COLUMN()-7)/4)</f>
        <v>2015</v>
      </c>
      <c r="CJ275" s="3765"/>
      <c r="CK275" s="3765"/>
      <c r="CL275" s="3766"/>
      <c r="CM275" s="3764">
        <f ca="1">OFFSET(InputY!$G$3,0,(COLUMN()-7)/4)</f>
        <v>2016</v>
      </c>
      <c r="CN275" s="3765"/>
      <c r="CO275" s="3765"/>
      <c r="CP275" s="3766"/>
      <c r="CQ275" s="3764">
        <f ca="1">OFFSET(InputY!$G$3,0,(COLUMN()-7)/4)</f>
        <v>2017</v>
      </c>
      <c r="CR275" s="3765"/>
      <c r="CS275" s="3765"/>
      <c r="CT275" s="3766"/>
      <c r="CU275" s="3764">
        <f ca="1">OFFSET(InputY!$G$3,0,(COLUMN()-7)/4)</f>
        <v>2018</v>
      </c>
      <c r="CV275" s="3765"/>
      <c r="CW275" s="3765"/>
      <c r="CX275" s="3766"/>
      <c r="CY275" s="3764">
        <f ca="1">OFFSET(InputY!$G$3,0,(COLUMN()-7)/4)</f>
        <v>2019</v>
      </c>
      <c r="CZ275" s="3765"/>
      <c r="DA275" s="3765"/>
      <c r="DB275" s="3766"/>
    </row>
    <row r="276" spans="1:119" s="699" customFormat="1" ht="12.75" customHeight="1">
      <c r="A276" s="664"/>
      <c r="B276" s="664"/>
      <c r="C276" s="666"/>
      <c r="D276" s="695"/>
      <c r="E276" s="3618" t="s">
        <v>1241</v>
      </c>
      <c r="F276" s="3619"/>
      <c r="G276" s="1566" t="s">
        <v>1842</v>
      </c>
      <c r="H276" s="1567" t="s">
        <v>1843</v>
      </c>
      <c r="I276" s="1567" t="s">
        <v>1844</v>
      </c>
      <c r="J276" s="1567" t="s">
        <v>1845</v>
      </c>
      <c r="K276" s="1567" t="s">
        <v>1842</v>
      </c>
      <c r="L276" s="1567" t="s">
        <v>1843</v>
      </c>
      <c r="M276" s="1567" t="s">
        <v>1844</v>
      </c>
      <c r="N276" s="1567" t="s">
        <v>1845</v>
      </c>
      <c r="O276" s="1567" t="s">
        <v>1842</v>
      </c>
      <c r="P276" s="1567" t="s">
        <v>1843</v>
      </c>
      <c r="Q276" s="1567" t="s">
        <v>1844</v>
      </c>
      <c r="R276" s="1567" t="s">
        <v>1845</v>
      </c>
      <c r="S276" s="1567" t="s">
        <v>1842</v>
      </c>
      <c r="T276" s="1567" t="s">
        <v>1843</v>
      </c>
      <c r="U276" s="1567" t="s">
        <v>1844</v>
      </c>
      <c r="V276" s="1567" t="s">
        <v>1845</v>
      </c>
      <c r="W276" s="1567" t="s">
        <v>1842</v>
      </c>
      <c r="X276" s="1567" t="s">
        <v>1843</v>
      </c>
      <c r="Y276" s="1567" t="s">
        <v>1844</v>
      </c>
      <c r="Z276" s="1567" t="s">
        <v>1845</v>
      </c>
      <c r="AA276" s="1567" t="s">
        <v>1842</v>
      </c>
      <c r="AB276" s="1567" t="s">
        <v>1843</v>
      </c>
      <c r="AC276" s="1567" t="s">
        <v>1844</v>
      </c>
      <c r="AD276" s="1567" t="s">
        <v>1845</v>
      </c>
      <c r="AE276" s="1567" t="s">
        <v>1842</v>
      </c>
      <c r="AF276" s="1567" t="s">
        <v>1843</v>
      </c>
      <c r="AG276" s="1567" t="s">
        <v>1844</v>
      </c>
      <c r="AH276" s="1567" t="s">
        <v>1845</v>
      </c>
      <c r="AI276" s="1567" t="s">
        <v>1842</v>
      </c>
      <c r="AJ276" s="1567" t="s">
        <v>1843</v>
      </c>
      <c r="AK276" s="1567" t="s">
        <v>1844</v>
      </c>
      <c r="AL276" s="1567" t="s">
        <v>1845</v>
      </c>
      <c r="AM276" s="1567" t="s">
        <v>1842</v>
      </c>
      <c r="AN276" s="1567" t="s">
        <v>1843</v>
      </c>
      <c r="AO276" s="1567" t="s">
        <v>1844</v>
      </c>
      <c r="AP276" s="1567" t="s">
        <v>1845</v>
      </c>
      <c r="AQ276" s="1567" t="s">
        <v>1842</v>
      </c>
      <c r="AR276" s="1567" t="s">
        <v>1843</v>
      </c>
      <c r="AS276" s="1567" t="s">
        <v>1844</v>
      </c>
      <c r="AT276" s="1567" t="s">
        <v>1845</v>
      </c>
      <c r="AU276" s="1567" t="s">
        <v>1842</v>
      </c>
      <c r="AV276" s="1567" t="s">
        <v>1843</v>
      </c>
      <c r="AW276" s="1567" t="s">
        <v>1844</v>
      </c>
      <c r="AX276" s="1567" t="s">
        <v>1845</v>
      </c>
      <c r="AY276" s="1567" t="s">
        <v>1842</v>
      </c>
      <c r="AZ276" s="1567" t="s">
        <v>1843</v>
      </c>
      <c r="BA276" s="1567" t="s">
        <v>1844</v>
      </c>
      <c r="BB276" s="1567" t="s">
        <v>1845</v>
      </c>
      <c r="BC276" s="1567" t="s">
        <v>1842</v>
      </c>
      <c r="BD276" s="1567" t="s">
        <v>1843</v>
      </c>
      <c r="BE276" s="1567" t="s">
        <v>1844</v>
      </c>
      <c r="BF276" s="1567" t="s">
        <v>1845</v>
      </c>
      <c r="BG276" s="1567" t="s">
        <v>1842</v>
      </c>
      <c r="BH276" s="1567" t="s">
        <v>1843</v>
      </c>
      <c r="BI276" s="1567" t="s">
        <v>1844</v>
      </c>
      <c r="BJ276" s="1567" t="s">
        <v>1845</v>
      </c>
      <c r="BK276" s="1567" t="s">
        <v>1842</v>
      </c>
      <c r="BL276" s="1567" t="s">
        <v>1843</v>
      </c>
      <c r="BM276" s="1567" t="s">
        <v>1844</v>
      </c>
      <c r="BN276" s="1567" t="s">
        <v>1845</v>
      </c>
      <c r="BO276" s="1567" t="s">
        <v>1842</v>
      </c>
      <c r="BP276" s="1567" t="s">
        <v>1843</v>
      </c>
      <c r="BQ276" s="1567" t="s">
        <v>1844</v>
      </c>
      <c r="BR276" s="1567" t="s">
        <v>1845</v>
      </c>
      <c r="BS276" s="1567" t="s">
        <v>1842</v>
      </c>
      <c r="BT276" s="1567" t="s">
        <v>1843</v>
      </c>
      <c r="BU276" s="1567" t="s">
        <v>1844</v>
      </c>
      <c r="BV276" s="1567" t="s">
        <v>1845</v>
      </c>
      <c r="BW276" s="1567" t="s">
        <v>1842</v>
      </c>
      <c r="BX276" s="1567" t="s">
        <v>1843</v>
      </c>
      <c r="BY276" s="1567" t="s">
        <v>1844</v>
      </c>
      <c r="BZ276" s="1567" t="s">
        <v>1845</v>
      </c>
      <c r="CA276" s="1567" t="s">
        <v>1842</v>
      </c>
      <c r="CB276" s="1567" t="s">
        <v>1843</v>
      </c>
      <c r="CC276" s="1567" t="s">
        <v>1844</v>
      </c>
      <c r="CD276" s="1567" t="s">
        <v>1845</v>
      </c>
      <c r="CE276" s="1567" t="s">
        <v>1842</v>
      </c>
      <c r="CF276" s="1567" t="s">
        <v>1843</v>
      </c>
      <c r="CG276" s="1567" t="s">
        <v>1844</v>
      </c>
      <c r="CH276" s="1567" t="s">
        <v>1845</v>
      </c>
      <c r="CI276" s="1567" t="s">
        <v>1842</v>
      </c>
      <c r="CJ276" s="1567" t="s">
        <v>1843</v>
      </c>
      <c r="CK276" s="1567" t="s">
        <v>1844</v>
      </c>
      <c r="CL276" s="1567" t="s">
        <v>1845</v>
      </c>
      <c r="CM276" s="1567" t="s">
        <v>1842</v>
      </c>
      <c r="CN276" s="1567" t="s">
        <v>1843</v>
      </c>
      <c r="CO276" s="1567" t="s">
        <v>1844</v>
      </c>
      <c r="CP276" s="1567" t="s">
        <v>1845</v>
      </c>
      <c r="CQ276" s="1567" t="s">
        <v>1842</v>
      </c>
      <c r="CR276" s="1567" t="s">
        <v>1843</v>
      </c>
      <c r="CS276" s="1567" t="s">
        <v>1844</v>
      </c>
      <c r="CT276" s="1567" t="s">
        <v>1845</v>
      </c>
      <c r="CU276" s="1567" t="s">
        <v>1842</v>
      </c>
      <c r="CV276" s="1567" t="s">
        <v>1843</v>
      </c>
      <c r="CW276" s="1567" t="s">
        <v>1844</v>
      </c>
      <c r="CX276" s="1567" t="s">
        <v>1845</v>
      </c>
      <c r="CY276" s="1567" t="s">
        <v>1842</v>
      </c>
      <c r="CZ276" s="1567" t="s">
        <v>1843</v>
      </c>
      <c r="DA276" s="1567" t="s">
        <v>1844</v>
      </c>
      <c r="DB276" s="1567" t="s">
        <v>1845</v>
      </c>
      <c r="DC276"/>
      <c r="DD276"/>
      <c r="DE276"/>
      <c r="DF276"/>
      <c r="DG276"/>
      <c r="DH276"/>
      <c r="DI276"/>
      <c r="DJ276"/>
      <c r="DK276"/>
      <c r="DL276"/>
      <c r="DM276"/>
      <c r="DN276"/>
      <c r="DO276"/>
    </row>
    <row r="277" spans="1:119" s="699" customFormat="1" ht="12.75" customHeight="1">
      <c r="A277" s="664" t="str">
        <f>"Q" &amp; ROW(InputQ!A18)</f>
        <v>Q18</v>
      </c>
      <c r="B277" s="664">
        <v>167</v>
      </c>
      <c r="C277" s="1561"/>
      <c r="D277" s="668"/>
      <c r="E277" s="3620" t="s">
        <v>435</v>
      </c>
      <c r="F277" s="3621"/>
      <c r="G277" s="780" t="str">
        <f>+InputQ!G18</f>
        <v>:</v>
      </c>
      <c r="H277" s="780" t="str">
        <f>+InputQ!H18</f>
        <v>:</v>
      </c>
      <c r="I277" s="780" t="str">
        <f>+InputQ!I18</f>
        <v>:</v>
      </c>
      <c r="J277" s="780" t="str">
        <f>+InputQ!J18</f>
        <v>:</v>
      </c>
      <c r="K277" s="780">
        <f>+InputQ!K18</f>
        <v>88.633333333333326</v>
      </c>
      <c r="L277" s="780">
        <f>+InputQ!L18</f>
        <v>91.570000000000007</v>
      </c>
      <c r="M277" s="780">
        <f>+InputQ!M18</f>
        <v>93.876666666666665</v>
      </c>
      <c r="N277" s="780">
        <f>+InputQ!N18</f>
        <v>96.509999999999991</v>
      </c>
      <c r="O277" s="780">
        <f>+InputQ!O18</f>
        <v>98.236666666666679</v>
      </c>
      <c r="P277" s="780">
        <f>+InputQ!P18</f>
        <v>99.316666666666663</v>
      </c>
      <c r="Q277" s="780">
        <f>+InputQ!Q18</f>
        <v>101.37666666666667</v>
      </c>
      <c r="R277" s="780">
        <f>+InputQ!R18</f>
        <v>103.03666666666668</v>
      </c>
      <c r="S277" s="780">
        <f>+InputQ!S18</f>
        <v>103.65666666666668</v>
      </c>
      <c r="T277" s="780">
        <f>+InputQ!T18</f>
        <v>104.37666666666667</v>
      </c>
      <c r="U277" s="780">
        <f>+InputQ!U18</f>
        <v>106.75333333333333</v>
      </c>
      <c r="V277" s="780">
        <f>+InputQ!V18</f>
        <v>108.07666666666667</v>
      </c>
      <c r="W277" s="780">
        <f>+InputQ!W18</f>
        <v>108.37333333333333</v>
      </c>
      <c r="X277" s="780">
        <f>+InputQ!X18</f>
        <v>108.11</v>
      </c>
      <c r="Y277" s="780">
        <f>+InputQ!Y18</f>
        <v>107.61333333333334</v>
      </c>
      <c r="Z277" s="780">
        <f>+InputQ!Z18</f>
        <v>107.62333333333333</v>
      </c>
      <c r="AA277" s="780">
        <f>+InputQ!AA18</f>
        <v>107.10333333333334</v>
      </c>
      <c r="AB277" s="780">
        <f>+InputQ!AB18</f>
        <v>106.43666666666665</v>
      </c>
      <c r="AC277" s="780">
        <f>+InputQ!AC18</f>
        <v>105.37333333333333</v>
      </c>
      <c r="AD277" s="780">
        <f>+InputQ!AD18</f>
        <v>104.96666666666665</v>
      </c>
      <c r="AE277" s="780">
        <f>+InputQ!AE18</f>
        <v>103.84999999999998</v>
      </c>
      <c r="AF277" s="780">
        <f>+InputQ!AF18</f>
        <v>103.34666666666668</v>
      </c>
      <c r="AG277" s="780">
        <f>+InputQ!AG18</f>
        <v>102.47333333333331</v>
      </c>
      <c r="AH277" s="780">
        <f>+InputQ!AH18</f>
        <v>103.02</v>
      </c>
      <c r="AI277" s="780">
        <f>+InputQ!AI18</f>
        <v>101.77666666666669</v>
      </c>
      <c r="AJ277" s="780">
        <f>+InputQ!AJ18</f>
        <v>101.68666666666667</v>
      </c>
      <c r="AK277" s="780">
        <f>+InputQ!AK18</f>
        <v>100.50333333333333</v>
      </c>
      <c r="AL277" s="780">
        <f>+InputQ!AL18</f>
        <v>101.54666666666667</v>
      </c>
      <c r="AM277" s="780">
        <f>+InputQ!AM18</f>
        <v>100.21333333333332</v>
      </c>
      <c r="AN277" s="780">
        <f>+InputQ!AN18</f>
        <v>100.21666666666665</v>
      </c>
      <c r="AO277" s="780">
        <f>+InputQ!AO18</f>
        <v>98.883333333333326</v>
      </c>
      <c r="AP277" s="780">
        <f>+InputQ!AP18</f>
        <v>100.01333333333334</v>
      </c>
      <c r="AQ277" s="780">
        <f>+InputQ!AQ18</f>
        <v>98.626666666666665</v>
      </c>
      <c r="AR277" s="780">
        <f>+InputQ!AR18</f>
        <v>99.923333333333332</v>
      </c>
      <c r="AS277" s="780">
        <f>+InputQ!AS18</f>
        <v>99.15333333333335</v>
      </c>
      <c r="AT277" s="780">
        <f>+InputQ!AT18</f>
        <v>100.82000000000001</v>
      </c>
      <c r="AU277" s="780">
        <f>+InputQ!AU18</f>
        <v>98.266666666666666</v>
      </c>
      <c r="AV277" s="780">
        <f>+InputQ!AV18</f>
        <v>98.976666666666674</v>
      </c>
      <c r="AW277" s="780">
        <f>+InputQ!AW18</f>
        <v>98.40000000000002</v>
      </c>
      <c r="AX277" s="780">
        <f>+InputQ!AX18</f>
        <v>100.28666666666668</v>
      </c>
      <c r="AY277" s="780">
        <f>+InputQ!AY18</f>
        <v>98.49666666666667</v>
      </c>
      <c r="AZ277" s="780">
        <f>+InputQ!AZ18</f>
        <v>98.876666666666665</v>
      </c>
      <c r="BA277" s="780">
        <f>+InputQ!BA18</f>
        <v>98.173333333333332</v>
      </c>
      <c r="BB277" s="780">
        <f>+InputQ!BB18</f>
        <v>99.856666666666669</v>
      </c>
      <c r="BC277" s="780">
        <f>+InputQ!BC18</f>
        <v>97.94</v>
      </c>
      <c r="BD277" s="780">
        <f>+InputQ!BD18</f>
        <v>98.473333333333315</v>
      </c>
      <c r="BE277" s="780">
        <f>+InputQ!BE18</f>
        <v>98.08</v>
      </c>
      <c r="BF277" s="780">
        <f>+InputQ!BF18</f>
        <v>100.05666666666667</v>
      </c>
      <c r="BG277" s="780">
        <f>+InputQ!BG18</f>
        <v>99.236666666666665</v>
      </c>
      <c r="BH277" s="780">
        <f>+InputQ!BH18</f>
        <v>100.63666666666667</v>
      </c>
      <c r="BI277" s="780">
        <f>+InputQ!BI18</f>
        <v>100.19</v>
      </c>
      <c r="BJ277" s="780">
        <f>+InputQ!BJ18</f>
        <v>101.65333333333332</v>
      </c>
      <c r="BK277" s="780">
        <f>+InputQ!BK18</f>
        <v>102.10333333333334</v>
      </c>
      <c r="BL277" s="780">
        <f>+InputQ!BL18</f>
        <v>100.68</v>
      </c>
      <c r="BM277" s="780">
        <f>+InputQ!BM18</f>
        <v>99.426666666666662</v>
      </c>
      <c r="BN277" s="780">
        <f>+InputQ!BN18</f>
        <v>100.46333333333332</v>
      </c>
      <c r="BO277" s="780">
        <f>+InputQ!BO18</f>
        <v>98.410000000000011</v>
      </c>
      <c r="BP277" s="780">
        <f>+InputQ!BP18</f>
        <v>98.076666666666668</v>
      </c>
      <c r="BQ277" s="780">
        <f>+InputQ!BQ18</f>
        <v>96.763333333333335</v>
      </c>
      <c r="BR277" s="780">
        <f>+InputQ!BR18</f>
        <v>97.853333333333339</v>
      </c>
      <c r="BS277" s="780">
        <f>+InputQ!BS18</f>
        <v>96.196666666666673</v>
      </c>
      <c r="BT277" s="780">
        <f>+InputQ!BT18</f>
        <v>98.066666666666663</v>
      </c>
      <c r="BU277" s="780">
        <f>+InputQ!BU18</f>
        <v>96.576666666666668</v>
      </c>
      <c r="BV277" s="780">
        <f>+InputQ!BV18</f>
        <v>97.71</v>
      </c>
      <c r="BW277" s="780">
        <f>+InputQ!BW18</f>
        <v>96.61</v>
      </c>
      <c r="BX277" s="780">
        <f>+InputQ!BX18</f>
        <v>98.476666666666674</v>
      </c>
      <c r="BY277" s="780">
        <f>+InputQ!BY18</f>
        <v>98.033333333333346</v>
      </c>
      <c r="BZ277" s="780">
        <f>+InputQ!BZ18</f>
        <v>99.780000000000015</v>
      </c>
      <c r="CA277" s="780">
        <f>+InputQ!CA18</f>
        <v>98.219999999999985</v>
      </c>
      <c r="CB277" s="780">
        <f>+InputQ!CB18</f>
        <v>99.713333333333324</v>
      </c>
      <c r="CC277" s="780">
        <f>+InputQ!CC18</f>
        <v>98.45</v>
      </c>
      <c r="CD277" s="780">
        <f>+InputQ!CD18</f>
        <v>100.27333333333333</v>
      </c>
      <c r="CE277" s="780">
        <f>+InputQ!CE18</f>
        <v>98.603333333333339</v>
      </c>
      <c r="CF277" s="780">
        <f>+InputQ!CF18</f>
        <v>99.793333333333337</v>
      </c>
      <c r="CG277" s="780">
        <f>+InputQ!CG18</f>
        <v>98.493333333333339</v>
      </c>
      <c r="CH277" s="780">
        <f>+InputQ!CH18</f>
        <v>100.07000000000001</v>
      </c>
      <c r="CI277" s="780">
        <f>+InputQ!CI18</f>
        <v>98.639999999999986</v>
      </c>
      <c r="CJ277" s="780">
        <f>+InputQ!CJ18</f>
        <v>100.32333333333332</v>
      </c>
      <c r="CK277" s="780">
        <f>+InputQ!CK18</f>
        <v>99.376666666666665</v>
      </c>
      <c r="CL277" s="780">
        <f>+InputQ!CL18</f>
        <v>101.66000000000001</v>
      </c>
      <c r="CM277" s="780">
        <f>+InputQ!CM18</f>
        <v>100.05</v>
      </c>
      <c r="CN277" s="780">
        <f>+InputQ!CN18</f>
        <v>101.41333333333334</v>
      </c>
      <c r="CO277" s="780">
        <f>+InputQ!CO18</f>
        <v>99.516666666666652</v>
      </c>
      <c r="CP277" s="780">
        <f>+InputQ!CP18</f>
        <v>101.76666666666667</v>
      </c>
      <c r="CQ277" s="780">
        <f>+InputQ!CQ18</f>
        <v>100.35333333333334</v>
      </c>
      <c r="CR277" s="780">
        <f>+InputQ!CR18</f>
        <v>102.18</v>
      </c>
      <c r="CS277" s="780">
        <f>+InputQ!CS18</f>
        <v>100.46666666666665</v>
      </c>
      <c r="CT277" s="780">
        <f>+InputQ!CT18</f>
        <v>102.64333333333333</v>
      </c>
      <c r="CU277" s="1416">
        <f t="shared" ref="CU277:CX281" si="664">+CQ277*(1+CU311/100)</f>
        <v>100.85527996401123</v>
      </c>
      <c r="CV277" s="1416">
        <f t="shared" si="664"/>
        <v>102.44610863393467</v>
      </c>
      <c r="CW277" s="1416">
        <f t="shared" si="664"/>
        <v>101.67055047500412</v>
      </c>
      <c r="CX277" s="1416">
        <f t="shared" si="664"/>
        <v>103.83752163821418</v>
      </c>
      <c r="CY277" s="1416">
        <f t="shared" ref="CY277:CY281" si="665">+CU277*(1+CY311/100)</f>
        <v>102.59185134561064</v>
      </c>
      <c r="CZ277" s="1416">
        <f t="shared" ref="CZ277:CZ281" si="666">+CV277*(1+CZ311/100)</f>
        <v>103.73545744467096</v>
      </c>
      <c r="DA277" s="1416">
        <f t="shared" ref="DA277:DA281" si="667">+CW277*(1+DA311/100)</f>
        <v>102.48563280715004</v>
      </c>
      <c r="DB277" s="1416">
        <f t="shared" ref="DB277:DB281" si="668">+CX277*(1+DB311/100)</f>
        <v>104.20400443695571</v>
      </c>
      <c r="DC277"/>
      <c r="DD277"/>
      <c r="DE277"/>
      <c r="DF277"/>
      <c r="DG277"/>
      <c r="DH277"/>
      <c r="DI277"/>
      <c r="DJ277"/>
      <c r="DK277"/>
      <c r="DL277"/>
      <c r="DM277"/>
      <c r="DN277"/>
      <c r="DO277"/>
    </row>
    <row r="278" spans="1:119" s="699" customFormat="1" ht="12.75" customHeight="1">
      <c r="A278" s="664" t="str">
        <f>"Q" &amp; ROW(InputQ!A19)</f>
        <v>Q19</v>
      </c>
      <c r="B278" s="664">
        <v>168</v>
      </c>
      <c r="C278" s="1562"/>
      <c r="D278" s="674"/>
      <c r="E278" s="3629" t="s">
        <v>436</v>
      </c>
      <c r="F278" s="3630"/>
      <c r="G278" s="706" t="str">
        <f>+InputQ!G19</f>
        <v>:</v>
      </c>
      <c r="H278" s="706" t="str">
        <f>+InputQ!H19</f>
        <v>:</v>
      </c>
      <c r="I278" s="706" t="str">
        <f>+InputQ!I19</f>
        <v>:</v>
      </c>
      <c r="J278" s="706" t="str">
        <f>+InputQ!J19</f>
        <v>:</v>
      </c>
      <c r="K278" s="706">
        <f>+InputQ!K19</f>
        <v>29.959999999999997</v>
      </c>
      <c r="L278" s="706">
        <f>+InputQ!L19</f>
        <v>30.306666666666668</v>
      </c>
      <c r="M278" s="706">
        <f>+InputQ!M19</f>
        <v>31.173333333333332</v>
      </c>
      <c r="N278" s="706">
        <f>+InputQ!N19</f>
        <v>33.169999999999995</v>
      </c>
      <c r="O278" s="706">
        <f>+InputQ!O19</f>
        <v>34.360000000000007</v>
      </c>
      <c r="P278" s="706">
        <f>+InputQ!P19</f>
        <v>34.796666666666667</v>
      </c>
      <c r="Q278" s="706">
        <f>+InputQ!Q19</f>
        <v>38.973333333333336</v>
      </c>
      <c r="R278" s="706">
        <f>+InputQ!R19</f>
        <v>40.809999999999995</v>
      </c>
      <c r="S278" s="706">
        <f>+InputQ!S19</f>
        <v>41.43333333333333</v>
      </c>
      <c r="T278" s="706">
        <f>+InputQ!T19</f>
        <v>41.706666666666671</v>
      </c>
      <c r="U278" s="706">
        <f>+InputQ!U19</f>
        <v>43.213333333333331</v>
      </c>
      <c r="V278" s="706">
        <f>+InputQ!V19</f>
        <v>44.686666666666667</v>
      </c>
      <c r="W278" s="706">
        <f>+InputQ!W19</f>
        <v>45.546666666666674</v>
      </c>
      <c r="X278" s="706">
        <f>+InputQ!X19</f>
        <v>45.916666666666664</v>
      </c>
      <c r="Y278" s="706">
        <f>+InputQ!Y19</f>
        <v>46.81</v>
      </c>
      <c r="Z278" s="706">
        <f>+InputQ!Z19</f>
        <v>48.06</v>
      </c>
      <c r="AA278" s="706">
        <f>+InputQ!AA19</f>
        <v>53.370000000000005</v>
      </c>
      <c r="AB278" s="706">
        <f>+InputQ!AB19</f>
        <v>54.576666666666675</v>
      </c>
      <c r="AC278" s="706">
        <f>+InputQ!AC19</f>
        <v>54.603333333333332</v>
      </c>
      <c r="AD278" s="706">
        <f>+InputQ!AD19</f>
        <v>55.956666666666671</v>
      </c>
      <c r="AE278" s="706">
        <f>+InputQ!AE19</f>
        <v>54.066666666666663</v>
      </c>
      <c r="AF278" s="706">
        <f>+InputQ!AF19</f>
        <v>55.156666666666666</v>
      </c>
      <c r="AG278" s="706">
        <f>+InputQ!AG19</f>
        <v>55.24</v>
      </c>
      <c r="AH278" s="706">
        <f>+InputQ!AH19</f>
        <v>53.98</v>
      </c>
      <c r="AI278" s="706">
        <f>+InputQ!AI19</f>
        <v>54.823333333333331</v>
      </c>
      <c r="AJ278" s="706">
        <f>+InputQ!AJ19</f>
        <v>55.946666666666665</v>
      </c>
      <c r="AK278" s="706">
        <f>+InputQ!AK19</f>
        <v>55.4</v>
      </c>
      <c r="AL278" s="706">
        <f>+InputQ!AL19</f>
        <v>55.96</v>
      </c>
      <c r="AM278" s="706">
        <f>+InputQ!AM19</f>
        <v>56.876666666666665</v>
      </c>
      <c r="AN278" s="706">
        <f>+InputQ!AN19</f>
        <v>56.29666666666666</v>
      </c>
      <c r="AO278" s="706">
        <f>+InputQ!AO19</f>
        <v>55.836666666666666</v>
      </c>
      <c r="AP278" s="706">
        <f>+InputQ!AP19</f>
        <v>55.51</v>
      </c>
      <c r="AQ278" s="706">
        <f>+InputQ!AQ19</f>
        <v>56.266666666666673</v>
      </c>
      <c r="AR278" s="706">
        <f>+InputQ!AR19</f>
        <v>57.926666666666669</v>
      </c>
      <c r="AS278" s="706">
        <f>+InputQ!AS19</f>
        <v>58.02</v>
      </c>
      <c r="AT278" s="706">
        <f>+InputQ!AT19</f>
        <v>58.436666666666667</v>
      </c>
      <c r="AU278" s="706">
        <f>+InputQ!AU19</f>
        <v>59.51</v>
      </c>
      <c r="AV278" s="706">
        <f>+InputQ!AV19</f>
        <v>60.793333333333329</v>
      </c>
      <c r="AW278" s="706">
        <f>+InputQ!AW19</f>
        <v>63.123333333333335</v>
      </c>
      <c r="AX278" s="706">
        <f>+InputQ!AX19</f>
        <v>63.896666666666668</v>
      </c>
      <c r="AY278" s="706">
        <f>+InputQ!AY19</f>
        <v>65.27</v>
      </c>
      <c r="AZ278" s="706">
        <f>+InputQ!AZ19</f>
        <v>66.286666666666676</v>
      </c>
      <c r="BA278" s="706">
        <f>+InputQ!BA19</f>
        <v>66.760000000000005</v>
      </c>
      <c r="BB278" s="706">
        <f>+InputQ!BB19</f>
        <v>67.779999999999987</v>
      </c>
      <c r="BC278" s="706">
        <f>+InputQ!BC19</f>
        <v>68.28</v>
      </c>
      <c r="BD278" s="706">
        <f>+InputQ!BD19</f>
        <v>70.2</v>
      </c>
      <c r="BE278" s="706">
        <f>+InputQ!BE19</f>
        <v>71.326666666666668</v>
      </c>
      <c r="BF278" s="706">
        <f>+InputQ!BF19</f>
        <v>74.463333333333324</v>
      </c>
      <c r="BG278" s="706">
        <f>+InputQ!BG19</f>
        <v>80.75</v>
      </c>
      <c r="BH278" s="706">
        <f>+InputQ!BH19</f>
        <v>83.506666666666675</v>
      </c>
      <c r="BI278" s="706">
        <f>+InputQ!BI19</f>
        <v>85.95</v>
      </c>
      <c r="BJ278" s="706">
        <f>+InputQ!BJ19</f>
        <v>85.013333333333321</v>
      </c>
      <c r="BK278" s="706">
        <f>+InputQ!BK19</f>
        <v>91.366666666666674</v>
      </c>
      <c r="BL278" s="706">
        <f>+InputQ!BL19</f>
        <v>92.323333333333338</v>
      </c>
      <c r="BM278" s="706">
        <f>+InputQ!BM19</f>
        <v>91.25333333333333</v>
      </c>
      <c r="BN278" s="706">
        <f>+InputQ!BN19</f>
        <v>87.649999999999991</v>
      </c>
      <c r="BO278" s="706">
        <f>+InputQ!BO19</f>
        <v>96.31</v>
      </c>
      <c r="BP278" s="706">
        <f>+InputQ!BP19</f>
        <v>99.523333333333326</v>
      </c>
      <c r="BQ278" s="706">
        <f>+InputQ!BQ19</f>
        <v>101.39999999999999</v>
      </c>
      <c r="BR278" s="706">
        <f>+InputQ!BR19</f>
        <v>103.07333333333334</v>
      </c>
      <c r="BS278" s="706">
        <f>+InputQ!BS19</f>
        <v>107.88333333333333</v>
      </c>
      <c r="BT278" s="706">
        <f>+InputQ!BT19</f>
        <v>110.75</v>
      </c>
      <c r="BU278" s="706">
        <f>+InputQ!BU19</f>
        <v>114.21</v>
      </c>
      <c r="BV278" s="706">
        <f>+InputQ!BV19</f>
        <v>115.67</v>
      </c>
      <c r="BW278" s="706">
        <f>+InputQ!BW19</f>
        <v>118.03666666666665</v>
      </c>
      <c r="BX278" s="706">
        <f>+InputQ!BX19</f>
        <v>119.48333333333333</v>
      </c>
      <c r="BY278" s="706">
        <f>+InputQ!BY19</f>
        <v>121.49333333333334</v>
      </c>
      <c r="BZ278" s="706">
        <f>+InputQ!BZ19</f>
        <v>119.35666666666667</v>
      </c>
      <c r="CA278" s="706">
        <f>+InputQ!CA19</f>
        <v>119.98666666666666</v>
      </c>
      <c r="CB278" s="706">
        <f>+InputQ!CB19</f>
        <v>118.14333333333333</v>
      </c>
      <c r="CC278" s="706">
        <f>+InputQ!CC19</f>
        <v>117.43</v>
      </c>
      <c r="CD278" s="706">
        <f>+InputQ!CD19</f>
        <v>116.85666666666667</v>
      </c>
      <c r="CE278" s="706">
        <f>+InputQ!CE19</f>
        <v>116.97333333333331</v>
      </c>
      <c r="CF278" s="706">
        <f>+InputQ!CF19</f>
        <v>114.57666666666667</v>
      </c>
      <c r="CG278" s="706">
        <f>+InputQ!CG19</f>
        <v>112.04</v>
      </c>
      <c r="CH278" s="706">
        <f>+InputQ!CH19</f>
        <v>110.11666666666666</v>
      </c>
      <c r="CI278" s="706">
        <f>+InputQ!CI19</f>
        <v>100.37333333333333</v>
      </c>
      <c r="CJ278" s="706">
        <f>+InputQ!CJ19</f>
        <v>103.63</v>
      </c>
      <c r="CK278" s="706">
        <f>+InputQ!CK19</f>
        <v>100.26333333333334</v>
      </c>
      <c r="CL278" s="706">
        <f>+InputQ!CL19</f>
        <v>95.73</v>
      </c>
      <c r="CM278" s="706">
        <f>+InputQ!CM19</f>
        <v>92.31</v>
      </c>
      <c r="CN278" s="706">
        <f>+InputQ!CN19</f>
        <v>93.00333333333333</v>
      </c>
      <c r="CO278" s="706">
        <f>+InputQ!CO19</f>
        <v>91.393333333333331</v>
      </c>
      <c r="CP278" s="706">
        <f>+InputQ!CP19</f>
        <v>94.553333333333327</v>
      </c>
      <c r="CQ278" s="706">
        <f>+InputQ!CQ19</f>
        <v>97.820000000000007</v>
      </c>
      <c r="CR278" s="706">
        <f>+InputQ!CR19</f>
        <v>96.713333333333352</v>
      </c>
      <c r="CS278" s="706">
        <f>+InputQ!CS19</f>
        <v>95.93</v>
      </c>
      <c r="CT278" s="706">
        <f>+InputQ!CT19</f>
        <v>98.183333333333337</v>
      </c>
      <c r="CU278" s="937">
        <f t="shared" si="664"/>
        <v>102.19735666666666</v>
      </c>
      <c r="CV278" s="937">
        <f t="shared" si="664"/>
        <v>102.37655040348398</v>
      </c>
      <c r="CW278" s="937">
        <f t="shared" si="664"/>
        <v>102.68398728672217</v>
      </c>
      <c r="CX278" s="937">
        <f t="shared" si="664"/>
        <v>102.99234740322815</v>
      </c>
      <c r="CY278" s="937">
        <f t="shared" si="665"/>
        <v>103.30163352547235</v>
      </c>
      <c r="CZ278" s="937">
        <f t="shared" si="666"/>
        <v>103.61184843425093</v>
      </c>
      <c r="DA278" s="937">
        <f t="shared" si="667"/>
        <v>103.92299491871081</v>
      </c>
      <c r="DB278" s="937">
        <f t="shared" si="668"/>
        <v>104.23507577637467</v>
      </c>
      <c r="DC278"/>
      <c r="DD278"/>
      <c r="DE278"/>
      <c r="DF278"/>
      <c r="DG278"/>
      <c r="DH278"/>
      <c r="DI278"/>
      <c r="DJ278"/>
      <c r="DK278"/>
      <c r="DL278"/>
      <c r="DM278"/>
      <c r="DN278"/>
      <c r="DO278"/>
    </row>
    <row r="279" spans="1:119" s="699" customFormat="1" ht="12.75" customHeight="1">
      <c r="A279" s="664" t="str">
        <f>"Q" &amp; ROW(InputQ!A20)</f>
        <v>Q20</v>
      </c>
      <c r="B279" s="664">
        <v>170</v>
      </c>
      <c r="C279" s="1562"/>
      <c r="D279" s="674"/>
      <c r="E279" s="3629" t="s">
        <v>1239</v>
      </c>
      <c r="F279" s="3630"/>
      <c r="G279" s="706" t="str">
        <f>+InputQ!G20</f>
        <v>:</v>
      </c>
      <c r="H279" s="706" t="str">
        <f>+InputQ!H20</f>
        <v>:</v>
      </c>
      <c r="I279" s="706" t="str">
        <f>+InputQ!I20</f>
        <v>:</v>
      </c>
      <c r="J279" s="706" t="str">
        <f>+InputQ!J20</f>
        <v>:</v>
      </c>
      <c r="K279" s="706">
        <f>+InputQ!K20</f>
        <v>61.646666666666668</v>
      </c>
      <c r="L279" s="706">
        <f>+InputQ!L20</f>
        <v>67.970000000000013</v>
      </c>
      <c r="M279" s="706">
        <f>+InputQ!M20</f>
        <v>66.236666666666665</v>
      </c>
      <c r="N279" s="706">
        <f>+InputQ!N20</f>
        <v>66.719999999999985</v>
      </c>
      <c r="O279" s="706">
        <f>+InputQ!O20</f>
        <v>70.8</v>
      </c>
      <c r="P279" s="706">
        <f>+InputQ!P20</f>
        <v>70.246666666666655</v>
      </c>
      <c r="Q279" s="706">
        <f>+InputQ!Q20</f>
        <v>66.99666666666667</v>
      </c>
      <c r="R279" s="706">
        <f>+InputQ!R20</f>
        <v>67.543333333333337</v>
      </c>
      <c r="S279" s="706">
        <f>+InputQ!S20</f>
        <v>70.653333333333322</v>
      </c>
      <c r="T279" s="706">
        <f>+InputQ!T20</f>
        <v>71.856666666666669</v>
      </c>
      <c r="U279" s="706">
        <f>+InputQ!U20</f>
        <v>67.95</v>
      </c>
      <c r="V279" s="706">
        <f>+InputQ!V20</f>
        <v>67.643333333333331</v>
      </c>
      <c r="W279" s="706">
        <f>+InputQ!W20</f>
        <v>67.899999999999991</v>
      </c>
      <c r="X279" s="706">
        <f>+InputQ!X20</f>
        <v>66.163333333333341</v>
      </c>
      <c r="Y279" s="706">
        <f>+InputQ!Y20</f>
        <v>63.54666666666666</v>
      </c>
      <c r="Z279" s="706">
        <f>+InputQ!Z20</f>
        <v>64.876666666666665</v>
      </c>
      <c r="AA279" s="706">
        <f>+InputQ!AA20</f>
        <v>64.423333333333332</v>
      </c>
      <c r="AB279" s="706">
        <f>+InputQ!AB20</f>
        <v>63.436666666666667</v>
      </c>
      <c r="AC279" s="706">
        <f>+InputQ!AC20</f>
        <v>62.463333333333338</v>
      </c>
      <c r="AD279" s="706">
        <f>+InputQ!AD20</f>
        <v>63.15</v>
      </c>
      <c r="AE279" s="706">
        <f>+InputQ!AE20</f>
        <v>66.036666666666676</v>
      </c>
      <c r="AF279" s="706">
        <f>+InputQ!AF20</f>
        <v>70.48</v>
      </c>
      <c r="AG279" s="706">
        <f>+InputQ!AG20</f>
        <v>69.633333333333326</v>
      </c>
      <c r="AH279" s="706">
        <f>+InputQ!AH20</f>
        <v>70.06</v>
      </c>
      <c r="AI279" s="706">
        <f>+InputQ!AI20</f>
        <v>72.643333333333331</v>
      </c>
      <c r="AJ279" s="706">
        <f>+InputQ!AJ20</f>
        <v>69.283333333333346</v>
      </c>
      <c r="AK279" s="706">
        <f>+InputQ!AK20</f>
        <v>65.12</v>
      </c>
      <c r="AL279" s="706">
        <f>+InputQ!AL20</f>
        <v>63.116666666666674</v>
      </c>
      <c r="AM279" s="706">
        <f>+InputQ!AM20</f>
        <v>60.516666666666659</v>
      </c>
      <c r="AN279" s="706">
        <f>+InputQ!AN20</f>
        <v>60.986666666666672</v>
      </c>
      <c r="AO279" s="706">
        <f>+InputQ!AO20</f>
        <v>57.830000000000005</v>
      </c>
      <c r="AP279" s="706">
        <f>+InputQ!AP20</f>
        <v>58.433333333333337</v>
      </c>
      <c r="AQ279" s="706">
        <f>+InputQ!AQ20</f>
        <v>58.48</v>
      </c>
      <c r="AR279" s="706">
        <f>+InputQ!AR20</f>
        <v>60.339999999999996</v>
      </c>
      <c r="AS279" s="706">
        <f>+InputQ!AS20</f>
        <v>62.423333333333339</v>
      </c>
      <c r="AT279" s="706">
        <f>+InputQ!AT20</f>
        <v>62.44</v>
      </c>
      <c r="AU279" s="706">
        <f>+InputQ!AU20</f>
        <v>64.156666666666666</v>
      </c>
      <c r="AV279" s="706">
        <f>+InputQ!AV20</f>
        <v>65.546666666666667</v>
      </c>
      <c r="AW279" s="706">
        <f>+InputQ!AW20</f>
        <v>63.98</v>
      </c>
      <c r="AX279" s="706">
        <f>+InputQ!AX20</f>
        <v>65.563333333333333</v>
      </c>
      <c r="AY279" s="706">
        <f>+InputQ!AY20</f>
        <v>68.473333333333329</v>
      </c>
      <c r="AZ279" s="706">
        <f>+InputQ!AZ20</f>
        <v>70.606666666666669</v>
      </c>
      <c r="BA279" s="706">
        <f>+InputQ!BA20</f>
        <v>70.429999999999993</v>
      </c>
      <c r="BB279" s="706">
        <f>+InputQ!BB20</f>
        <v>70.64</v>
      </c>
      <c r="BC279" s="706">
        <f>+InputQ!BC20</f>
        <v>73.410000000000011</v>
      </c>
      <c r="BD279" s="706">
        <f>+InputQ!BD20</f>
        <v>75.946666666666658</v>
      </c>
      <c r="BE279" s="706">
        <f>+InputQ!BE20</f>
        <v>76.113333333333344</v>
      </c>
      <c r="BF279" s="706">
        <f>+InputQ!BF20</f>
        <v>78.996666666666655</v>
      </c>
      <c r="BG279" s="706">
        <f>+InputQ!BG20</f>
        <v>83.593333333333334</v>
      </c>
      <c r="BH279" s="706">
        <f>+InputQ!BH20</f>
        <v>87.683333333333337</v>
      </c>
      <c r="BI279" s="706">
        <f>+InputQ!BI20</f>
        <v>88.483333333333348</v>
      </c>
      <c r="BJ279" s="706">
        <f>+InputQ!BJ20</f>
        <v>90.776666666666657</v>
      </c>
      <c r="BK279" s="706">
        <f>+InputQ!BK20</f>
        <v>94.139999999999986</v>
      </c>
      <c r="BL279" s="706">
        <f>+InputQ!BL20</f>
        <v>92.473333333333315</v>
      </c>
      <c r="BM279" s="706">
        <f>+InputQ!BM20</f>
        <v>88.336666666666659</v>
      </c>
      <c r="BN279" s="706">
        <f>+InputQ!BN20</f>
        <v>86.476666666666674</v>
      </c>
      <c r="BO279" s="706">
        <f>+InputQ!BO20</f>
        <v>87.149999999999991</v>
      </c>
      <c r="BP279" s="706">
        <f>+InputQ!BP20</f>
        <v>88.796666666666667</v>
      </c>
      <c r="BQ279" s="706">
        <f>+InputQ!BQ20</f>
        <v>88.029999999999987</v>
      </c>
      <c r="BR279" s="706">
        <f>+InputQ!BR20</f>
        <v>89.106666666666669</v>
      </c>
      <c r="BS279" s="706">
        <f>+InputQ!BS20</f>
        <v>91.99666666666667</v>
      </c>
      <c r="BT279" s="706">
        <f>+InputQ!BT20</f>
        <v>95.716666666666654</v>
      </c>
      <c r="BU279" s="706">
        <f>+InputQ!BU20</f>
        <v>91.536666666666676</v>
      </c>
      <c r="BV279" s="706">
        <f>+InputQ!BV20</f>
        <v>91.583333333333329</v>
      </c>
      <c r="BW279" s="706">
        <f>+InputQ!BW20</f>
        <v>94.719999999999985</v>
      </c>
      <c r="BX279" s="706">
        <f>+InputQ!BX20</f>
        <v>96.40333333333335</v>
      </c>
      <c r="BY279" s="706">
        <f>+InputQ!BY20</f>
        <v>95.443333333333328</v>
      </c>
      <c r="BZ279" s="706">
        <f>+InputQ!BZ20</f>
        <v>96.666666666666671</v>
      </c>
      <c r="CA279" s="706">
        <f>+InputQ!CA20</f>
        <v>99.36333333333333</v>
      </c>
      <c r="CB279" s="706">
        <f>+InputQ!CB20</f>
        <v>101.20666666666666</v>
      </c>
      <c r="CC279" s="706">
        <f>+InputQ!CC20</f>
        <v>97.883333333333326</v>
      </c>
      <c r="CD279" s="706">
        <f>+InputQ!CD20</f>
        <v>97.186666666666667</v>
      </c>
      <c r="CE279" s="706">
        <f>+InputQ!CE20</f>
        <v>100.02666666666666</v>
      </c>
      <c r="CF279" s="706">
        <f>+InputQ!CF20</f>
        <v>101.25333333333333</v>
      </c>
      <c r="CG279" s="706">
        <f>+InputQ!CG20</f>
        <v>98.226666666666674</v>
      </c>
      <c r="CH279" s="706">
        <f>+InputQ!CH20</f>
        <v>97.466666666666654</v>
      </c>
      <c r="CI279" s="706">
        <f>+InputQ!CI20</f>
        <v>98.636666666666656</v>
      </c>
      <c r="CJ279" s="706">
        <f>+InputQ!CJ20</f>
        <v>103.11</v>
      </c>
      <c r="CK279" s="706">
        <f>+InputQ!CK20</f>
        <v>98.173333333333332</v>
      </c>
      <c r="CL279" s="706">
        <f>+InputQ!CL20</f>
        <v>100.08333333333333</v>
      </c>
      <c r="CM279" s="706">
        <f>+InputQ!CM20</f>
        <v>101.03333333333335</v>
      </c>
      <c r="CN279" s="706">
        <f>+InputQ!CN20</f>
        <v>105.52666666666666</v>
      </c>
      <c r="CO279" s="706">
        <f>+InputQ!CO20</f>
        <v>99.823333333333323</v>
      </c>
      <c r="CP279" s="706">
        <f>+InputQ!CP20</f>
        <v>99.68</v>
      </c>
      <c r="CQ279" s="706">
        <f>+InputQ!CQ20</f>
        <v>103.72333333333331</v>
      </c>
      <c r="CR279" s="706">
        <f>+InputQ!CR20</f>
        <v>104.08666666666666</v>
      </c>
      <c r="CS279" s="706">
        <f>+InputQ!CS20</f>
        <v>101.69333333333333</v>
      </c>
      <c r="CT279" s="706">
        <f>+InputQ!CT20</f>
        <v>103.21</v>
      </c>
      <c r="CU279" s="937">
        <f t="shared" si="664"/>
        <v>104.63744509393507</v>
      </c>
      <c r="CV279" s="937">
        <f t="shared" si="664"/>
        <v>105.89066418216065</v>
      </c>
      <c r="CW279" s="937">
        <f t="shared" si="664"/>
        <v>102.24233718254089</v>
      </c>
      <c r="CX279" s="937">
        <f t="shared" si="664"/>
        <v>102.12673497491444</v>
      </c>
      <c r="CY279" s="937">
        <f t="shared" si="665"/>
        <v>104.69265523033705</v>
      </c>
      <c r="CZ279" s="937">
        <f t="shared" si="666"/>
        <v>106.81252518097664</v>
      </c>
      <c r="DA279" s="937">
        <f t="shared" si="667"/>
        <v>103.44596348958727</v>
      </c>
      <c r="DB279" s="937">
        <f t="shared" si="668"/>
        <v>103.63988136355725</v>
      </c>
      <c r="DC279"/>
      <c r="DD279"/>
      <c r="DE279"/>
      <c r="DF279"/>
      <c r="DG279"/>
      <c r="DH279"/>
      <c r="DI279"/>
      <c r="DJ279"/>
      <c r="DK279"/>
      <c r="DL279"/>
      <c r="DM279"/>
      <c r="DN279"/>
      <c r="DO279"/>
    </row>
    <row r="280" spans="1:119" s="699" customFormat="1" ht="12.75" customHeight="1">
      <c r="A280" s="664" t="str">
        <f>"Q" &amp; ROW(InputQ!A21)</f>
        <v>Q21</v>
      </c>
      <c r="B280" s="664">
        <v>169</v>
      </c>
      <c r="C280" s="1562"/>
      <c r="D280" s="674"/>
      <c r="E280" s="3629" t="s">
        <v>1238</v>
      </c>
      <c r="F280" s="3630"/>
      <c r="G280" s="706" t="str">
        <f>+InputQ!G21</f>
        <v>:</v>
      </c>
      <c r="H280" s="706" t="str">
        <f>+InputQ!H21</f>
        <v>:</v>
      </c>
      <c r="I280" s="706" t="str">
        <f>+InputQ!I21</f>
        <v>:</v>
      </c>
      <c r="J280" s="706" t="str">
        <f>+InputQ!J21</f>
        <v>:</v>
      </c>
      <c r="K280" s="706">
        <f>+InputQ!K21</f>
        <v>51.303333333333335</v>
      </c>
      <c r="L280" s="706">
        <f>+InputQ!L21</f>
        <v>52.196666666666665</v>
      </c>
      <c r="M280" s="706">
        <f>+InputQ!M21</f>
        <v>52.803333333333335</v>
      </c>
      <c r="N280" s="706">
        <f>+InputQ!N21</f>
        <v>54.393333333333338</v>
      </c>
      <c r="O280" s="706">
        <f>+InputQ!O21</f>
        <v>57.24666666666667</v>
      </c>
      <c r="P280" s="706">
        <f>+InputQ!P21</f>
        <v>57.493333333333332</v>
      </c>
      <c r="Q280" s="706">
        <f>+InputQ!Q21</f>
        <v>57.646666666666668</v>
      </c>
      <c r="R280" s="706">
        <f>+InputQ!R21</f>
        <v>58.386666666666663</v>
      </c>
      <c r="S280" s="706">
        <f>+InputQ!S21</f>
        <v>58.986666666666657</v>
      </c>
      <c r="T280" s="706">
        <f>+InputQ!T21</f>
        <v>58.76</v>
      </c>
      <c r="U280" s="706">
        <f>+InputQ!U21</f>
        <v>57.956666666666671</v>
      </c>
      <c r="V280" s="706">
        <f>+InputQ!V21</f>
        <v>57.906666666666666</v>
      </c>
      <c r="W280" s="706">
        <f>+InputQ!W21</f>
        <v>58.803333333333335</v>
      </c>
      <c r="X280" s="706">
        <f>+InputQ!X21</f>
        <v>58.379999999999995</v>
      </c>
      <c r="Y280" s="706">
        <f>+InputQ!Y21</f>
        <v>58.346666666666671</v>
      </c>
      <c r="Z280" s="706">
        <f>+InputQ!Z21</f>
        <v>56.633333333333333</v>
      </c>
      <c r="AA280" s="706">
        <f>+InputQ!AA21</f>
        <v>56.386666666666663</v>
      </c>
      <c r="AB280" s="706">
        <f>+InputQ!AB21</f>
        <v>55.586666666666666</v>
      </c>
      <c r="AC280" s="706">
        <f>+InputQ!AC21</f>
        <v>55.686666666666667</v>
      </c>
      <c r="AD280" s="706">
        <f>+InputQ!AD21</f>
        <v>55.589999999999996</v>
      </c>
      <c r="AE280" s="706">
        <f>+InputQ!AE21</f>
        <v>55.79999999999999</v>
      </c>
      <c r="AF280" s="706">
        <f>+InputQ!AF21</f>
        <v>55.44</v>
      </c>
      <c r="AG280" s="706">
        <f>+InputQ!AG21</f>
        <v>55.45333333333334</v>
      </c>
      <c r="AH280" s="706">
        <f>+InputQ!AH21</f>
        <v>56.113333333333337</v>
      </c>
      <c r="AI280" s="706">
        <f>+InputQ!AI21</f>
        <v>56.613333333333337</v>
      </c>
      <c r="AJ280" s="706">
        <f>+InputQ!AJ21</f>
        <v>55.886666666666663</v>
      </c>
      <c r="AK280" s="706">
        <f>+InputQ!AK21</f>
        <v>55.646666666666668</v>
      </c>
      <c r="AL280" s="706">
        <f>+InputQ!AL21</f>
        <v>56.393333333333338</v>
      </c>
      <c r="AM280" s="706">
        <f>+InputQ!AM21</f>
        <v>57.726666666666667</v>
      </c>
      <c r="AN280" s="706">
        <f>+InputQ!AN21</f>
        <v>57.963333333333331</v>
      </c>
      <c r="AO280" s="706">
        <f>+InputQ!AO21</f>
        <v>57.81</v>
      </c>
      <c r="AP280" s="706">
        <f>+InputQ!AP21</f>
        <v>58.016666666666673</v>
      </c>
      <c r="AQ280" s="706">
        <f>+InputQ!AQ21</f>
        <v>58.616666666666667</v>
      </c>
      <c r="AR280" s="706">
        <f>+InputQ!AR21</f>
        <v>59.370000000000005</v>
      </c>
      <c r="AS280" s="706">
        <f>+InputQ!AS21</f>
        <v>59.376666666666665</v>
      </c>
      <c r="AT280" s="706">
        <f>+InputQ!AT21</f>
        <v>59.48</v>
      </c>
      <c r="AU280" s="706">
        <f>+InputQ!AU21</f>
        <v>59.949999999999996</v>
      </c>
      <c r="AV280" s="706">
        <f>+InputQ!AV21</f>
        <v>60.04999999999999</v>
      </c>
      <c r="AW280" s="706">
        <f>+InputQ!AW21</f>
        <v>59.890000000000008</v>
      </c>
      <c r="AX280" s="706">
        <f>+InputQ!AX21</f>
        <v>60.286666666666669</v>
      </c>
      <c r="AY280" s="706">
        <f>+InputQ!AY21</f>
        <v>60.48</v>
      </c>
      <c r="AZ280" s="706">
        <f>+InputQ!AZ21</f>
        <v>60.84</v>
      </c>
      <c r="BA280" s="706">
        <f>+InputQ!BA21</f>
        <v>61.823333333333331</v>
      </c>
      <c r="BB280" s="706">
        <f>+InputQ!BB21</f>
        <v>63.593333333333334</v>
      </c>
      <c r="BC280" s="706">
        <f>+InputQ!BC21</f>
        <v>65.076666666666668</v>
      </c>
      <c r="BD280" s="706">
        <f>+InputQ!BD21</f>
        <v>66.266666666666666</v>
      </c>
      <c r="BE280" s="706">
        <f>+InputQ!BE21</f>
        <v>68.59333333333332</v>
      </c>
      <c r="BF280" s="706">
        <f>+InputQ!BF21</f>
        <v>72.576666666666668</v>
      </c>
      <c r="BG280" s="706">
        <f>+InputQ!BG21</f>
        <v>76.00333333333333</v>
      </c>
      <c r="BH280" s="706">
        <f>+InputQ!BH21</f>
        <v>79.02</v>
      </c>
      <c r="BI280" s="706">
        <f>+InputQ!BI21</f>
        <v>80.173333333333332</v>
      </c>
      <c r="BJ280" s="706">
        <f>+InputQ!BJ21</f>
        <v>80.666666666666671</v>
      </c>
      <c r="BK280" s="706">
        <f>+InputQ!BK21</f>
        <v>82.433333333333337</v>
      </c>
      <c r="BL280" s="706">
        <f>+InputQ!BL21</f>
        <v>83.463333333333324</v>
      </c>
      <c r="BM280" s="706">
        <f>+InputQ!BM21</f>
        <v>83.036666666666676</v>
      </c>
      <c r="BN280" s="706">
        <f>+InputQ!BN21</f>
        <v>85.320000000000007</v>
      </c>
      <c r="BO280" s="706">
        <f>+InputQ!BO21</f>
        <v>86.65000000000002</v>
      </c>
      <c r="BP280" s="706">
        <f>+InputQ!BP21</f>
        <v>87.320000000000007</v>
      </c>
      <c r="BQ280" s="706">
        <f>+InputQ!BQ21</f>
        <v>88.00333333333333</v>
      </c>
      <c r="BR280" s="706">
        <f>+InputQ!BR21</f>
        <v>89.713333333333324</v>
      </c>
      <c r="BS280" s="706">
        <f>+InputQ!BS21</f>
        <v>91.903333333333322</v>
      </c>
      <c r="BT280" s="706">
        <f>+InputQ!BT21</f>
        <v>94.480000000000018</v>
      </c>
      <c r="BU280" s="706">
        <f>+InputQ!BU21</f>
        <v>94.893333333333317</v>
      </c>
      <c r="BV280" s="706">
        <f>+InputQ!BV21</f>
        <v>95.089999999999989</v>
      </c>
      <c r="BW280" s="706">
        <f>+InputQ!BW21</f>
        <v>96.106666666666669</v>
      </c>
      <c r="BX280" s="706">
        <f>+InputQ!BX21</f>
        <v>97.220000000000013</v>
      </c>
      <c r="BY280" s="706">
        <f>+InputQ!BY21</f>
        <v>97.446666666666673</v>
      </c>
      <c r="BZ280" s="706">
        <f>+InputQ!BZ21</f>
        <v>97.406666666666652</v>
      </c>
      <c r="CA280" s="706">
        <f>+InputQ!CA21</f>
        <v>97.89</v>
      </c>
      <c r="CB280" s="706">
        <f>+InputQ!CB21</f>
        <v>98.043333333333337</v>
      </c>
      <c r="CC280" s="706">
        <f>+InputQ!CC21</f>
        <v>98.55</v>
      </c>
      <c r="CD280" s="706">
        <f>+InputQ!CD21</f>
        <v>98.956666666666663</v>
      </c>
      <c r="CE280" s="706">
        <f>+InputQ!CE21</f>
        <v>99.71</v>
      </c>
      <c r="CF280" s="706">
        <f>+InputQ!CF21</f>
        <v>100.28333333333335</v>
      </c>
      <c r="CG280" s="706">
        <f>+InputQ!CG21</f>
        <v>100.95333333333333</v>
      </c>
      <c r="CH280" s="706">
        <f>+InputQ!CH21</f>
        <v>100.95</v>
      </c>
      <c r="CI280" s="706">
        <f>+InputQ!CI21</f>
        <v>100.42666666666666</v>
      </c>
      <c r="CJ280" s="706">
        <f>+InputQ!CJ21</f>
        <v>99.936666666666667</v>
      </c>
      <c r="CK280" s="706">
        <f>+InputQ!CK21</f>
        <v>99.75333333333333</v>
      </c>
      <c r="CL280" s="706">
        <f>+InputQ!CL21</f>
        <v>99.883333333333326</v>
      </c>
      <c r="CM280" s="706">
        <f>+InputQ!CM21</f>
        <v>100.97333333333334</v>
      </c>
      <c r="CN280" s="706">
        <f>+InputQ!CN21</f>
        <v>102.05333333333334</v>
      </c>
      <c r="CO280" s="706">
        <f>+InputQ!CO21</f>
        <v>102.53666666666668</v>
      </c>
      <c r="CP280" s="706">
        <f>+InputQ!CP21</f>
        <v>103.35333333333334</v>
      </c>
      <c r="CQ280" s="706">
        <f>+InputQ!CQ21</f>
        <v>106.18333333333334</v>
      </c>
      <c r="CR280" s="706">
        <f>+InputQ!CR21</f>
        <v>109.47333333333331</v>
      </c>
      <c r="CS280" s="706">
        <f>+InputQ!CS21</f>
        <v>110.70666666666666</v>
      </c>
      <c r="CT280" s="706">
        <f>+InputQ!CT21</f>
        <v>111.66666666666667</v>
      </c>
      <c r="CU280" s="937">
        <f t="shared" si="664"/>
        <v>112.39778359442839</v>
      </c>
      <c r="CV280" s="937">
        <f t="shared" si="664"/>
        <v>113.47808746268403</v>
      </c>
      <c r="CW280" s="937">
        <f t="shared" si="664"/>
        <v>113.70503949650956</v>
      </c>
      <c r="CX280" s="937">
        <f t="shared" si="664"/>
        <v>114.23451837943793</v>
      </c>
      <c r="CY280" s="937">
        <f t="shared" si="665"/>
        <v>115.66713212645475</v>
      </c>
      <c r="CZ280" s="937">
        <f t="shared" si="666"/>
        <v>116.97811730815503</v>
      </c>
      <c r="DA280" s="937">
        <f t="shared" si="667"/>
        <v>117.21206927394665</v>
      </c>
      <c r="DB280" s="937">
        <f t="shared" si="668"/>
        <v>117.75787899161354</v>
      </c>
      <c r="DC280"/>
      <c r="DD280"/>
      <c r="DE280"/>
      <c r="DF280"/>
      <c r="DG280"/>
      <c r="DH280"/>
      <c r="DI280"/>
      <c r="DJ280"/>
      <c r="DK280"/>
      <c r="DL280"/>
      <c r="DM280"/>
      <c r="DN280"/>
      <c r="DO280"/>
    </row>
    <row r="281" spans="1:119" customFormat="1">
      <c r="A281" s="664" t="str">
        <f>"Q" &amp; ROW(InputQ!A22)</f>
        <v>Q22</v>
      </c>
      <c r="B281" s="664">
        <v>171</v>
      </c>
      <c r="C281" s="3643"/>
      <c r="D281" s="1077"/>
      <c r="E281" s="1078" t="s">
        <v>1240</v>
      </c>
      <c r="F281" s="1077"/>
      <c r="G281" s="1085" t="str">
        <f>+InputQ!G22</f>
        <v>:</v>
      </c>
      <c r="H281" s="1085" t="str">
        <f>+InputQ!H22</f>
        <v>:</v>
      </c>
      <c r="I281" s="1085" t="str">
        <f>+InputQ!I22</f>
        <v>:</v>
      </c>
      <c r="J281" s="1085" t="str">
        <f>+InputQ!J22</f>
        <v>:</v>
      </c>
      <c r="K281" s="1085">
        <f>+InputQ!K22</f>
        <v>39.833333333333336</v>
      </c>
      <c r="L281" s="1085">
        <f>+InputQ!L22</f>
        <v>41.616666666666667</v>
      </c>
      <c r="M281" s="1085">
        <f>+InputQ!M22</f>
        <v>44.080000000000005</v>
      </c>
      <c r="N281" s="1085">
        <f>+InputQ!N22</f>
        <v>44.79</v>
      </c>
      <c r="O281" s="1085">
        <f>+InputQ!O22</f>
        <v>47.140000000000008</v>
      </c>
      <c r="P281" s="1085">
        <f>+InputQ!P22</f>
        <v>48.793333333333329</v>
      </c>
      <c r="Q281" s="1085">
        <f>+InputQ!Q22</f>
        <v>50.199999999999996</v>
      </c>
      <c r="R281" s="1085">
        <f>+InputQ!R22</f>
        <v>50.823333333333331</v>
      </c>
      <c r="S281" s="1085">
        <f>+InputQ!S22</f>
        <v>52.723333333333336</v>
      </c>
      <c r="T281" s="1085">
        <f>+InputQ!T22</f>
        <v>54.586666666666666</v>
      </c>
      <c r="U281" s="1085">
        <f>+InputQ!U22</f>
        <v>55.706666666666671</v>
      </c>
      <c r="V281" s="1085">
        <f>+InputQ!V22</f>
        <v>56.333333333333336</v>
      </c>
      <c r="W281" s="1085">
        <f>+InputQ!W22</f>
        <v>56.943333333333335</v>
      </c>
      <c r="X281" s="1085">
        <f>+InputQ!X22</f>
        <v>58.576666666666675</v>
      </c>
      <c r="Y281" s="1085">
        <f>+InputQ!Y22</f>
        <v>59.01</v>
      </c>
      <c r="Z281" s="1085">
        <f>+InputQ!Z22</f>
        <v>59.313333333333333</v>
      </c>
      <c r="AA281" s="1085">
        <f>+InputQ!AA22</f>
        <v>60.783333333333339</v>
      </c>
      <c r="AB281" s="1085">
        <f>+InputQ!AB22</f>
        <v>61.583333333333336</v>
      </c>
      <c r="AC281" s="1085">
        <f>+InputQ!AC22</f>
        <v>61.873333333333335</v>
      </c>
      <c r="AD281" s="1085">
        <f>+InputQ!AD22</f>
        <v>62.043333333333329</v>
      </c>
      <c r="AE281" s="1085">
        <f>+InputQ!AE22</f>
        <v>63.069999999999993</v>
      </c>
      <c r="AF281" s="1085">
        <f>+InputQ!AF22</f>
        <v>63.223333333333336</v>
      </c>
      <c r="AG281" s="1085">
        <f>+InputQ!AG22</f>
        <v>64.990000000000009</v>
      </c>
      <c r="AH281" s="1085">
        <f>+InputQ!AH22</f>
        <v>65.953333333333333</v>
      </c>
      <c r="AI281" s="1085">
        <f>+InputQ!AI22</f>
        <v>66.073333333333338</v>
      </c>
      <c r="AJ281" s="1085">
        <f>+InputQ!AJ22</f>
        <v>65.930000000000007</v>
      </c>
      <c r="AK281" s="1085">
        <f>+InputQ!AK22</f>
        <v>66.83</v>
      </c>
      <c r="AL281" s="1085">
        <f>+InputQ!AL22</f>
        <v>66.726666666666674</v>
      </c>
      <c r="AM281" s="1085">
        <f>+InputQ!AM22</f>
        <v>67.100000000000009</v>
      </c>
      <c r="AN281" s="1085">
        <f>+InputQ!AN22</f>
        <v>67.209999999999994</v>
      </c>
      <c r="AO281" s="1085">
        <f>+InputQ!AO22</f>
        <v>66.7</v>
      </c>
      <c r="AP281" s="1085">
        <f>+InputQ!AP22</f>
        <v>65.356666666666669</v>
      </c>
      <c r="AQ281" s="1085">
        <f>+InputQ!AQ22</f>
        <v>65.516666666666666</v>
      </c>
      <c r="AR281" s="1085">
        <f>+InputQ!AR22</f>
        <v>66.23</v>
      </c>
      <c r="AS281" s="1085">
        <f>+InputQ!AS22</f>
        <v>66.930000000000007</v>
      </c>
      <c r="AT281" s="1085">
        <f>+InputQ!AT22</f>
        <v>66.839999999999989</v>
      </c>
      <c r="AU281" s="1085">
        <f>+InputQ!AU22</f>
        <v>67.586666666666659</v>
      </c>
      <c r="AV281" s="1085">
        <f>+InputQ!AV22</f>
        <v>68.150000000000006</v>
      </c>
      <c r="AW281" s="1085">
        <f>+InputQ!AW22</f>
        <v>69.113333333333344</v>
      </c>
      <c r="AX281" s="1085">
        <f>+InputQ!AX22</f>
        <v>69.49666666666667</v>
      </c>
      <c r="AY281" s="1085">
        <f>+InputQ!AY22</f>
        <v>70.266666666666666</v>
      </c>
      <c r="AZ281" s="1085">
        <f>+InputQ!AZ22</f>
        <v>71.356666666666669</v>
      </c>
      <c r="BA281" s="1085">
        <f>+InputQ!BA22</f>
        <v>72.77</v>
      </c>
      <c r="BB281" s="1085">
        <f>+InputQ!BB22</f>
        <v>73.216666666666669</v>
      </c>
      <c r="BC281" s="1085">
        <f>+InputQ!BC22</f>
        <v>74.256666666666675</v>
      </c>
      <c r="BD281" s="1085">
        <f>+InputQ!BD22</f>
        <v>75.606666666666669</v>
      </c>
      <c r="BE281" s="1085">
        <f>+InputQ!BE22</f>
        <v>77.899999999999991</v>
      </c>
      <c r="BF281" s="1085">
        <f>+InputQ!BF22</f>
        <v>79.430000000000007</v>
      </c>
      <c r="BG281" s="1085">
        <f>+InputQ!BG22</f>
        <v>82.506666666666675</v>
      </c>
      <c r="BH281" s="1085">
        <f>+InputQ!BH22</f>
        <v>85.389999999999986</v>
      </c>
      <c r="BI281" s="1085">
        <f>+InputQ!BI22</f>
        <v>87.683333333333337</v>
      </c>
      <c r="BJ281" s="1085">
        <f>+InputQ!BJ22</f>
        <v>88.990000000000009</v>
      </c>
      <c r="BK281" s="1085">
        <f>+InputQ!BK22</f>
        <v>91.216666666666654</v>
      </c>
      <c r="BL281" s="1085">
        <f>+InputQ!BL22</f>
        <v>91.166666666666671</v>
      </c>
      <c r="BM281" s="1085">
        <f>+InputQ!BM22</f>
        <v>91.553333333333327</v>
      </c>
      <c r="BN281" s="1085">
        <f>+InputQ!BN22</f>
        <v>90.463333333333324</v>
      </c>
      <c r="BO281" s="1085">
        <f>+InputQ!BO22</f>
        <v>89.73</v>
      </c>
      <c r="BP281" s="1085">
        <f>+InputQ!BP22</f>
        <v>89.56</v>
      </c>
      <c r="BQ281" s="1085">
        <f>+InputQ!BQ22</f>
        <v>90.123333333333335</v>
      </c>
      <c r="BR281" s="1085">
        <f>+InputQ!BR22</f>
        <v>89.54</v>
      </c>
      <c r="BS281" s="1085">
        <f>+InputQ!BS22</f>
        <v>89.826666666666668</v>
      </c>
      <c r="BT281" s="1085">
        <f>+InputQ!BT22</f>
        <v>90.54</v>
      </c>
      <c r="BU281" s="1085">
        <f>+InputQ!BU22</f>
        <v>91.73</v>
      </c>
      <c r="BV281" s="1085">
        <f>+InputQ!BV22</f>
        <v>91.36333333333333</v>
      </c>
      <c r="BW281" s="1085">
        <f>+InputQ!BW22</f>
        <v>92.14</v>
      </c>
      <c r="BX281" s="1085">
        <f>+InputQ!BX22</f>
        <v>93.256666666666661</v>
      </c>
      <c r="BY281" s="1085">
        <f>+InputQ!BY22</f>
        <v>94.37</v>
      </c>
      <c r="BZ281" s="1085">
        <f>+InputQ!BZ22</f>
        <v>94.2</v>
      </c>
      <c r="CA281" s="1085">
        <f>+InputQ!CA22</f>
        <v>94.19</v>
      </c>
      <c r="CB281" s="1085">
        <f>+InputQ!CB22</f>
        <v>95.243333333333339</v>
      </c>
      <c r="CC281" s="1085">
        <f>+InputQ!CC22</f>
        <v>96.103333333333339</v>
      </c>
      <c r="CD281" s="1085">
        <f>+InputQ!CD22</f>
        <v>95.353333333333339</v>
      </c>
      <c r="CE281" s="1085">
        <f>+InputQ!CE22</f>
        <v>95.213333333333324</v>
      </c>
      <c r="CF281" s="1085">
        <f>+InputQ!CF22</f>
        <v>96.086666666666659</v>
      </c>
      <c r="CG281" s="1085">
        <f>+InputQ!CG22</f>
        <v>97.956666666666663</v>
      </c>
      <c r="CH281" s="1085">
        <f>+InputQ!CH22</f>
        <v>97.736666666666679</v>
      </c>
      <c r="CI281" s="1085">
        <f>+InputQ!CI22</f>
        <v>98.276666666666657</v>
      </c>
      <c r="CJ281" s="1085">
        <f>+InputQ!CJ22</f>
        <v>99.32</v>
      </c>
      <c r="CK281" s="1085">
        <f>+InputQ!CK22</f>
        <v>101.18666666666667</v>
      </c>
      <c r="CL281" s="1085">
        <f>+InputQ!CL22</f>
        <v>101.22333333333331</v>
      </c>
      <c r="CM281" s="1085">
        <f>+InputQ!CM22</f>
        <v>101.89666666666666</v>
      </c>
      <c r="CN281" s="1085">
        <f>+InputQ!CN22</f>
        <v>102.54</v>
      </c>
      <c r="CO281" s="1085">
        <f>+InputQ!CO22</f>
        <v>104.19</v>
      </c>
      <c r="CP281" s="1085">
        <f>+InputQ!CP22</f>
        <v>103.99333333333334</v>
      </c>
      <c r="CQ281" s="1085">
        <f>+InputQ!CQ22</f>
        <v>105.31666666666666</v>
      </c>
      <c r="CR281" s="1085">
        <f>+InputQ!CR22</f>
        <v>107.93333333333334</v>
      </c>
      <c r="CS281" s="1085">
        <f>+InputQ!CS22</f>
        <v>110.87333333333333</v>
      </c>
      <c r="CT281" s="1085">
        <f>+InputQ!CT22</f>
        <v>109.28666666666668</v>
      </c>
      <c r="CU281" s="1342">
        <f t="shared" si="664"/>
        <v>110.08127049690449</v>
      </c>
      <c r="CV281" s="1342">
        <f t="shared" si="664"/>
        <v>112.01240115124502</v>
      </c>
      <c r="CW281" s="1342">
        <f t="shared" si="664"/>
        <v>114.40648940307547</v>
      </c>
      <c r="CX281" s="1342">
        <f t="shared" si="664"/>
        <v>114.69052320353866</v>
      </c>
      <c r="CY281" s="1342">
        <f t="shared" si="665"/>
        <v>115.94443327412938</v>
      </c>
      <c r="CZ281" s="1342">
        <f t="shared" si="666"/>
        <v>117.27218364223032</v>
      </c>
      <c r="DA281" s="1342">
        <f t="shared" si="667"/>
        <v>119.06722074600373</v>
      </c>
      <c r="DB281" s="1342">
        <f t="shared" si="668"/>
        <v>118.64848820772265</v>
      </c>
    </row>
    <row r="282" spans="1:119" customFormat="1">
      <c r="A282" s="664"/>
      <c r="B282" s="664"/>
      <c r="C282" s="3617"/>
      <c r="D282" s="1055"/>
      <c r="E282" s="1056" t="s">
        <v>52</v>
      </c>
      <c r="F282" s="1055"/>
      <c r="G282" s="1057"/>
      <c r="H282" s="1057"/>
      <c r="I282" s="1057"/>
      <c r="J282" s="1057"/>
      <c r="K282" s="1057"/>
      <c r="L282" s="1057"/>
      <c r="M282" s="1057"/>
      <c r="N282" s="1057">
        <f>+N283</f>
        <v>59.693333333333328</v>
      </c>
      <c r="O282" s="1057">
        <f ca="1">(O277/N277*O303+O278/N278*O304+O279/N279*O305+O280/N280*O306+O281/N281*O307)/1000*N283</f>
        <v>62.355687619972947</v>
      </c>
      <c r="P282" s="1057">
        <f ca="1">(P277/N277*P303+P278/N278*P304+P279/N279*P305+P280/N280*P306+P281/N281*P307)/1000*N283</f>
        <v>62.882937277926075</v>
      </c>
      <c r="Q282" s="1057">
        <f ca="1">(Q277/N277*Q303+Q278/N278*Q304+Q279/N279*Q305+Q280/N280*Q306+Q281/N281*Q307)/1000*N283</f>
        <v>63.965640040138958</v>
      </c>
      <c r="R282" s="1057">
        <f ca="1">(R277/N277*R303+R278/N278*R304+R279/N279*R305+R280/N280*R306+R281/N281*R307)/1000*N283</f>
        <v>65.121794971484732</v>
      </c>
      <c r="S282" s="1057">
        <f ca="1">(S277/R277*S303+S278/R278*S304+S279/R279*S305+S280/R280*S306+S281/R281*S307)/1000*R283</f>
        <v>66.408259134792544</v>
      </c>
      <c r="T282" s="1057">
        <f ca="1">(T277/R277*T303+T278/R278*T304+T279/R279*T305+T280/R280*T306+T281/R281*T307)/1000*R283</f>
        <v>67.017721617852089</v>
      </c>
      <c r="U282" s="1057">
        <f ca="1">(U277/R277*U303+U278/R278*U304+U279/R279*U305+U280/R280*U306+U281/R281*U307)/1000*R283</f>
        <v>66.936511454135626</v>
      </c>
      <c r="V282" s="1057">
        <f ca="1">(V277/R277*V303+V278/R278*V304+V279/R279*V305+V280/R280*V306+V281/R281*V307)/1000*R283</f>
        <v>67.522783927576668</v>
      </c>
      <c r="W282" s="1057">
        <f ca="1">(W277/V277*W303+W278/V278*W304+W279/V279*W305+W280/V280*W306+W281/V281*W307)/1000*V283</f>
        <v>68.194722349824502</v>
      </c>
      <c r="X282" s="1057">
        <f ca="1">(X277/V277*X303+X278/V278*X304+X279/V279*X305+X280/V280*X306+X281/V281*X307)/1000*V283</f>
        <v>68.062755622389361</v>
      </c>
      <c r="Y282" s="1057">
        <f ca="1">(Y277/V277*Y303+Y278/V278*Y304+Y279/V279*Y305+Y280/V280*Y306+Y281/V281*Y307)/1000*V283</f>
        <v>67.769461258044387</v>
      </c>
      <c r="Z282" s="1057">
        <f ca="1">(Z277/V277*Z303+Z278/V278*Z304+Z279/V279*Z305+Z280/V280*Z306+Z281/V281*Z307)/1000*V283</f>
        <v>67.715216397642763</v>
      </c>
      <c r="AA282" s="1057">
        <f ca="1">(AA277/Z277*AA303+AA278/Z278*AA304+AA279/Z279*AA305+AA280/Z280*AA306+AA281/Z281*AA307)/1000*Z283</f>
        <v>68.856342529272084</v>
      </c>
      <c r="AB282" s="1057">
        <f ca="1">(AB277/Z277*AB303+AB278/Z278*AB304+AB279/Z279*AB305+AB280/Z280*AB306+AB281/Z281*AB307)/1000*Z283</f>
        <v>68.711578987774843</v>
      </c>
      <c r="AC282" s="1057">
        <f ca="1">(AC277/Z277*AC303+AC278/Z278*AC304+AC279/Z279*AC305+AC280/Z280*AC306+AC281/Z281*AC307)/1000*Z283</f>
        <v>68.461273106541199</v>
      </c>
      <c r="AD282" s="1057">
        <f ca="1">(AD277/Z277*AD303+AD278/Z278*AD304+AD279/Z279*AD305+AD280/Z280*AD306+AD281/Z281*AD307)/1000*Z283</f>
        <v>68.799093885201287</v>
      </c>
      <c r="AE282" s="1057">
        <f ca="1">(AE277/AD277*AE303+AE278/AD278*AE304+AE279/AD279*AE305+AE280/AD280*AE306+AE281/AD281*AE307)/1000*AD283</f>
        <v>69.009493279147321</v>
      </c>
      <c r="AF282" s="1057">
        <f ca="1">(AF277/AD277*AF303+AF278/AD278*AF304+AF279/AD279*AF305+AF280/AD280*AF306+AF281/AD281*AF307)/1000*AD283</f>
        <v>69.840104193440965</v>
      </c>
      <c r="AG282" s="1057">
        <f ca="1">(AG277/AD277*AG303+AG278/AD278*AG304+AG279/AD279*AG305+AG280/AD280*AG306+AG281/AD281*AG307)/1000*AD283</f>
        <v>69.910340449305195</v>
      </c>
      <c r="AH282" s="1057">
        <f ca="1">(AH277/AD277*AH303+AH278/AD278*AH304+AH279/AD279*AH305+AH280/AD280*AH306+AH281/AD281*AH307)/1000*AD283</f>
        <v>70.235062281318903</v>
      </c>
      <c r="AI282" s="1057">
        <f ca="1">(AI277/AH277*AI303+AI278/AH278*AI304+AI279/AH279*AI305+AI280/AH280*AI306+AI281/AH281*AI307)/1000*AH283</f>
        <v>70.750667893746026</v>
      </c>
      <c r="AJ282" s="1057">
        <f ca="1">(AJ277/AH277*AJ303+AJ278/AH278*AJ304+AJ279/AH279*AJ305+AJ280/AH280*AJ306+AJ281/AH281*AJ307)/1000*AH283</f>
        <v>70.141408895342167</v>
      </c>
      <c r="AK282" s="1057">
        <f ca="1">(AK277/AH277*AK303+AK278/AH278*AK304+AK279/AH279*AK305+AK280/AH280*AK306+AK281/AH281*AK307)/1000*AH283</f>
        <v>69.33531488815909</v>
      </c>
      <c r="AL282" s="1057">
        <f ca="1">(AL277/AH277*AL303+AL278/AH278*AL304+AL279/AH279*AL305+AL280/AH280*AL306+AL281/AH281*AL307)/1000*AH283</f>
        <v>69.519817002026159</v>
      </c>
      <c r="AM282" s="1467">
        <v>96.89</v>
      </c>
      <c r="AN282" s="1467">
        <v>96.97</v>
      </c>
      <c r="AO282" s="1467">
        <v>95.663333333333341</v>
      </c>
      <c r="AP282" s="1467">
        <v>95.636666666666656</v>
      </c>
      <c r="AQ282" s="1057">
        <f ca="1">(AQ277/AP277*AQ303+AQ278/AP278*AQ304+AQ279/AP279*AQ305+AQ280/AP280*AQ306+AQ281/AP281*AQ307)/1000*AP283</f>
        <v>68.85929111657542</v>
      </c>
      <c r="AR282" s="1057">
        <f ca="1">(AR277/AP277*AR303+AR278/AP278*AR304+AR279/AP279*AR305+AR280/AP280*AR306+AR281/AP281*AR307)/1000*AP283</f>
        <v>70.038240143750343</v>
      </c>
      <c r="AS282" s="1057">
        <f ca="1">(AS277/AP277*AS303+AS278/AP278*AS304+AS279/AP279*AS305+AS280/AP280*AS306+AS281/AP281*AS307)/1000*AP283</f>
        <v>70.387719652586583</v>
      </c>
      <c r="AT282" s="1057">
        <f ca="1">(AT277/AP277*AT303+AT278/AP278*AT304+AT279/AP279*AT305+AT280/AP280*AT306+AT281/AP281*AT307)/1000*AP283</f>
        <v>70.765470598747328</v>
      </c>
      <c r="AU282" s="1057">
        <f ca="1">(AU277/AT277*AU303+AU278/AT278*AU304+AU279/AT279*AU305+AU280/AT280*AU306+AU281/AT281*AU307)/1000*AT283</f>
        <v>71.014976018707813</v>
      </c>
      <c r="AV282" s="1057">
        <f ca="1">(AV277/AT277*AV303+AV278/AT278*AV304+AV279/AT279*AV305+AV280/AT280*AV306+AV281/AT281*AV307)/1000*AT283</f>
        <v>71.715004924558201</v>
      </c>
      <c r="AW282" s="1057">
        <f ca="1">(AW277/AT277*AW303+AW278/AT278*AW304+AW279/AT279*AW305+AW280/AT280*AW306+AW281/AT281*AW307)/1000*AT283</f>
        <v>71.961504597910633</v>
      </c>
      <c r="AX282" s="1057">
        <f ca="1">(AX277/AT277*AX303+AX278/AT278*AX304+AX279/AT279*AX305+AX280/AT280*AX306+AX281/AT281*AX307)/1000*AT283</f>
        <v>72.868653953977116</v>
      </c>
      <c r="AY282" s="1057">
        <f ca="1">(AY277/AX277*AY303+AY278/AX278*AY304+AY279/AX279*AY305+AY280/AX280*AY306+AY281/AX281*AY307)/1000*AX283</f>
        <v>73.375991545440584</v>
      </c>
      <c r="AZ282" s="1057">
        <f ca="1">(AZ277/AX277*AZ303+AZ278/AX278*AZ304+AZ279/AX279*AZ305+AZ280/AX280*AZ306+AZ281/AX281*AZ307)/1000*AX283</f>
        <v>74.275123568539229</v>
      </c>
      <c r="BA282" s="1057">
        <f ca="1">(BA277/AX277*BA303+BA278/AX278*BA304+BA279/AX279*BA305+BA280/AX280*BA306+BA281/AX281*BA307)/1000*AX283</f>
        <v>74.823001348118936</v>
      </c>
      <c r="BB282" s="1057">
        <f ca="1">(BB277/AX277*BB303+BB278/AX278*BB304+BB279/AX279*BB305+BB280/AX280*BB306+BB281/AX281*BB307)/1000*AX283</f>
        <v>75.934376266111911</v>
      </c>
      <c r="BC282" s="1057">
        <f ca="1">(BC277/BB277*BC303+BC278/BB278*BC304+BC279/BB279*BC305+BC280/BB280*BC306+BC281/BB281*BC307)/1000*BB283</f>
        <v>76.579347550790004</v>
      </c>
      <c r="BD282" s="1057">
        <f ca="1">(BD277/BB277*BD303+BD278/BB278*BD304+BD279/BB279*BD305+BD280/BB280*BD306+BD281/BB281*BD307)/1000*BB283</f>
        <v>77.948418917576291</v>
      </c>
      <c r="BE282" s="1057">
        <f ca="1">(BE277/BB277*BE303+BE278/BB278*BE304+BE279/BB279*BE305+BE280/BB280*BE306+BE281/BB281*BE307)/1000*BB283</f>
        <v>79.249693391464149</v>
      </c>
      <c r="BF282" s="1057">
        <f ca="1">(BF277/BB277*BF303+BF278/BB278*BF304+BF279/BB279*BF305+BF280/BB280*BF306+BF281/BB281*BF307)/1000*BB283</f>
        <v>81.942868761448793</v>
      </c>
      <c r="BG282" s="1057">
        <f ca="1">(BG277/BF277*BG303+BG278/BF278*BG304+BG279/BF279*BG305+BG280/BF280*BG306+BG281/BF281*BG307)/1000*BF283</f>
        <v>84.83035742369924</v>
      </c>
      <c r="BH282" s="1057">
        <f ca="1">(BH277/BF277*BH303+BH278/BF278*BH304+BH279/BF279*BH305+BH280/BF280*BH306+BH281/BF281*BH307)/1000*BF283</f>
        <v>87.516800682673633</v>
      </c>
      <c r="BI282" s="1057">
        <f ca="1">(BI277/BF277*BI303+BI278/BF278*BI304+BI279/BF279*BI305+BI280/BF280*BI306+BI281/BF281*BI307)/1000*BF283</f>
        <v>88.736321342478377</v>
      </c>
      <c r="BJ282" s="872">
        <f ca="1">(BJ277/BF277*BJ303+BJ278/BF278*BJ304+BJ279/BF279*BJ305+BJ280/BF280*BJ306+BJ281/BF281*BJ307)/1000*BF282</f>
        <v>89.665806884398933</v>
      </c>
      <c r="BK282" s="872">
        <f ca="1">(BK277/BJ277*BK303+BK278/BJ278*BK304+BK279/BJ279*BK305+BK280/BJ280*BK306+BK281/BJ281*BK307)/1000*BJ282</f>
        <v>91.993251069629466</v>
      </c>
      <c r="BL282" s="872">
        <f ca="1">(BL277/BJ277*BL303+BL278/BJ278*BL304+BL279/BJ279*BL305+BL280/BJ280*BL306+BL281/BJ281*BL307)/1000*BJ282</f>
        <v>91.79305573020477</v>
      </c>
      <c r="BM282" s="872">
        <f ca="1">(BM277/BJ277*BM303+BM278/BJ278*BM304+BM279/BJ279*BM305+BM280/BJ280*BM306+BM281/BJ281*BM307)/1000*BJ282</f>
        <v>90.852930984419345</v>
      </c>
      <c r="BN282" s="872">
        <f ca="1">(BN277/BJ277*BN303+BN278/BJ278*BN304+BN279/BJ279*BN305+BN280/BJ280*BN306+BN281/BJ281*BN307)/1000*BJ282</f>
        <v>90.693674010983784</v>
      </c>
      <c r="BO282" s="872">
        <f ca="1">(BO277/BN277*BO303+BO278/BN278*BO304+BO279/BN279*BO305+BO280/BN280*BO306+BO281/BN281*BO307)/1000*BN282</f>
        <v>91.623397252119048</v>
      </c>
      <c r="BP282" s="872">
        <f ca="1">(BP277/BN277*BP303+BP278/BN278*BP304+BP279/BN279*BP305+BP280/BN280*BP306+BP281/BN281*BP307)/1000*BN282</f>
        <v>92.306768245713144</v>
      </c>
      <c r="BQ282" s="872">
        <f ca="1">(BQ277/BN277*BQ303+BQ278/BN278*BQ304+BQ279/BN279*BQ305+BQ280/BN280*BQ306+BQ281/BN281*BQ307)/1000*BN282</f>
        <v>92.472951844517937</v>
      </c>
      <c r="BR282" s="872">
        <f ca="1">(BR277/BN277*BR303+BR278/BN278*BR304+BR279/BN279*BR305+BR280/BN280*BR306+BR281/BN281*BR307)/1000*BN282</f>
        <v>93.352641906544704</v>
      </c>
      <c r="BS282" s="872">
        <f ca="1">(BS277/BR277*BS303+BS278/BR278*BS304+BS279/BR279*BS305+BS280/BR280*BS306+BS281/BR281*BS307)/1000*BR282</f>
        <v>94.573514525579469</v>
      </c>
      <c r="BT282" s="872">
        <f ca="1">(BT277/BR277*BT303+BT278/BR278*BT304+BT279/BR279*BT305+BT280/BR280*BT306+BT281/BR281*BT307)/1000*BR282</f>
        <v>96.675380646741658</v>
      </c>
      <c r="BU282" s="872">
        <f ca="1">(BU277/BR277*BU303+BU278/BR278*BU304+BU279/BR279*BU305+BU280/BR280*BU306+BU281/BR281*BU307)/1000*BR282</f>
        <v>96.703108050895523</v>
      </c>
      <c r="BV282" s="872">
        <f ca="1">(BV277/BR277*BV303+BV278/BR278*BV304+BV279/BR279*BV305+BV280/BR280*BV306+BV281/BR281*BV307)/1000*BR282</f>
        <v>97.137478936445063</v>
      </c>
      <c r="BW282" s="872">
        <f ca="1">(BW277/BV277*BW303+BW278/BV278*BW304+BW279/BV279*BW305+BW280/BV280*BW306+BW281/BV281*BW307)/1000*BV282</f>
        <v>98.014299631024556</v>
      </c>
      <c r="BX282" s="872">
        <f ca="1">(BX277/BW277*BX303+BX278/BW278*BX304+BX279/BW279*BX305+BX280/BW280*BX306+BX281/BW281*BX307)/1000*BW282</f>
        <v>99.425539867831631</v>
      </c>
      <c r="BY282" s="872">
        <f ca="1">(BY277/BX277*BY303+BY278/BX278*BY304+BY279/BX279*BY305+BY280/BX280*BY306+BY281/BX281*BY307)/1000*BX282</f>
        <v>99.829397825725138</v>
      </c>
      <c r="BZ282" s="872">
        <f ca="1">(BZ277/BV277*BZ303+BZ278/BV278*BZ304+BZ279/BV279*BZ305+BZ280/BV280*BZ306+BZ281/BV281*BZ307)/1000*BV282</f>
        <v>100.04602310975176</v>
      </c>
      <c r="CA282" s="872">
        <f ca="1">(CA277/BZ277*CA303+CA278/BZ278*CA304+CA279/BZ279*CA305+CA280/BZ280*CA306+CA281/BZ281*CA307)/1000*BZ282</f>
        <v>100.18325326256475</v>
      </c>
      <c r="CB282" s="872">
        <f ca="1">(CB277/CA277*CB303+CB278/CA278*CB304+CB279/CA279*CB305+CB280/CA280*CB306+CB281/CA281*CB307)/1000*CA282</f>
        <v>100.81113528006045</v>
      </c>
      <c r="CC282" s="872">
        <f ca="1">(CC277/BZ277*CC303+CC278/BZ278*CC304+CC279/BZ279*CC305+CC280/BZ280*CC306+CC281/BZ281*CC307)/1000*BZ282</f>
        <v>100.37258907903322</v>
      </c>
      <c r="CD282" s="872">
        <f ca="1">(CD277/BZ277*CD303+CD278/BZ278*CD304+CD279/BZ279*CD305+CD280/BZ280*CD306+CD281/BZ281*CD307)/1000*BZ282</f>
        <v>100.54451703282969</v>
      </c>
      <c r="CE282" s="872">
        <f ca="1">(CE277/CD277*CE303+CE278/CD278*CE304+CE279/CD279*CE305+CE280/CD280*CE306+CE281/CD281*CE307)/1000*CD282</f>
        <v>100.49160053534246</v>
      </c>
      <c r="CF282" s="872">
        <f ca="1">(CF277/CD277*CF303+CF278/CD278*CF304+CF279/CD279*CF305+CF280/CD280*CF306+CF281/CD281*CF307)/1000*CD282</f>
        <v>101.02977681359353</v>
      </c>
      <c r="CG282" s="872">
        <f ca="1">(CG277/CD277*CG303+CG278/CD278*CG304+CG279/CD279*CG305+CG280/CD280*CG306+CG281/CD281*CG307)/1000*CD282</f>
        <v>100.61577320147551</v>
      </c>
      <c r="CH282" s="872">
        <f ca="1">(CH277/CD277*CH303+CH278/CD278*CH304+CH279/CD279*CH305+CH280/CD280*CH306+CH281/CD281*CH307)/1000*CD282</f>
        <v>100.71976485853804</v>
      </c>
      <c r="CI282" s="872">
        <f ca="1">(CI277/CH277*CI303+CI278/CH278*CI304+CI279/CH279*CI305+CI280/CH280*CI306+CI281/CH281*CI307)/1000*CH282</f>
        <v>99.186086868889561</v>
      </c>
      <c r="CJ282" s="872">
        <f ca="1">(CJ277/CH277*CJ303+CJ278/CH278*CJ304+CJ279/CH279*CJ305+CJ280/CH280*CJ306+CJ281/CH281*CJ307)/1000*CH282</f>
        <v>100.734506846377</v>
      </c>
      <c r="CK282" s="872">
        <f ca="1">(CK277/CH277*CK303+CK278/CH278*CK304+CK279/CH279*CK305+CK280/CH280*CK306+CK281/CH281*CK307)/1000*CH282</f>
        <v>99.947649947377357</v>
      </c>
      <c r="CL282" s="872">
        <f ca="1">(CL277/CH277*CL303+CL278/CH278*CL304+CL279/CH279*CL305+CL280/CH280*CL306+CL281/CH281*CL307)/1000*CH282</f>
        <v>100.34684576034692</v>
      </c>
      <c r="CM282" s="872">
        <f ca="1">(CM277/CL277*CM303+CM278/CL278*CM304+CM279/CL279*CM305+CM280/CL280*CM306+CM281/CL281*CM307)/1000*CL282</f>
        <v>99.867938038401533</v>
      </c>
      <c r="CN282" s="872">
        <f ca="1">(CN277/CL277*CN303+CN278/CL278*CN304+CN279/CL279*CN305+CN280/CL280*CN306+CN281/CL281*CN307)/1000*CL282</f>
        <v>101.20439745732368</v>
      </c>
      <c r="CO282" s="872">
        <f ca="1">(CO277/CL277*CO303+CO278/CL278*CO304+CO279/CL279*CO305+CO280/CL280*CO306+CO281/CL281*CO307)/1000*CL282</f>
        <v>100.34892665333447</v>
      </c>
      <c r="CP282" s="872">
        <f ca="1">(CP277/CL277*CP303+CP278/CL278*CP304+CP279/CL279*CP305+CP280/CL280*CP306+CP281/CL281*CP307)/1000*CL282</f>
        <v>101.59755972255698</v>
      </c>
      <c r="CQ282" s="872">
        <f ca="1">(CQ277/CP277*CQ303+CQ278/CP278*CQ304+CQ279/CP279*CQ305+CQ280/CP280*CQ306+CQ281/CP281*CQ307)/1000*CP282</f>
        <v>102.81950133570841</v>
      </c>
      <c r="CR282" s="872">
        <f ca="1">(CR277/CP277*CR303+CR278/CP278*CR304+CR279/CP279*CR305+CR280/CP280*CR306+CR281/CP281*CR307)/1000*CP282</f>
        <v>104.65254082783997</v>
      </c>
      <c r="CS282" s="872">
        <f ca="1">(CS277/CP277*CS303+CS278/CP278*CS304+CS279/CP279*CS305+CS280/CP280*CS306+CS281/CP281*CS307)/1000*CP282</f>
        <v>104.81357938826281</v>
      </c>
      <c r="CT282" s="872">
        <f ca="1">(CT277/CP277*CT303+CT278/CP278*CT304+CT279/CP279*CT305+CT280/CP280*CT306+CT281/CP281*CT307)/1000*CP282</f>
        <v>105.72153862725007</v>
      </c>
      <c r="CU282" s="872">
        <f ca="1">(CU277/CT277*CU303+CU278/CT278*CU304+CU279/CT279*CU305+CU280/CT280*CU306+CU281/CT281*CU307)/1000*CT282</f>
        <v>106.11007783761428</v>
      </c>
      <c r="CV282" s="872">
        <f ca="1">(CV277/CT277*CV303+CV278/CT278*CV304+CV279/CT279*CV305+CV280/CT280*CV306+CV281/CT281*CV307)/1000*CT282</f>
        <v>107.47826370654376</v>
      </c>
      <c r="CW282" s="872">
        <f ca="1">(CW277/CT277*CW303+CW278/CT278*CW304+CW279/CT279*CW305+CW280/CT280*CW306+CW281/CT281*CW307)/1000*CT282</f>
        <v>107.61508010021437</v>
      </c>
      <c r="CX282" s="872">
        <f ca="1">(CX277/CT277*CX303+CX278/CT278*CX304+CX279/CT279*CX305+CX280/CT280*CX306+CX281/CT281*CX307)/1000*CT282</f>
        <v>108.54762069690558</v>
      </c>
      <c r="CY282" s="872">
        <f ca="1">(CY277/CX277*CY303+CY278/CX278*CY304+CY279/CX279*CY305+CY280/CX280*CY306+CY281/CX281*CY307)/1000*CX282</f>
        <v>108.98416315412685</v>
      </c>
      <c r="CZ282" s="872">
        <f ca="1">(CZ277/CX277*CZ303+CZ278/CX278*CZ304+CZ279/CX279*CZ305+CZ280/CX280*CZ306+CZ281/CX281*CZ307)/1000*CX282</f>
        <v>110.18761220456139</v>
      </c>
      <c r="DA282" s="872">
        <f ca="1">(DA277/CX277*DA303+DA278/CX278*DA304+DA279/CX279*DA305+DA280/CX280*DA306+DA281/CX281*DA307)/1000*CX282</f>
        <v>110.01005515931708</v>
      </c>
      <c r="DB282" s="872">
        <f ca="1">(DB277/CX277*DB303+DB278/CX278*DB304+DB279/CX279*DB305+DB280/CX280*DB306+DB281/CX281*DB307)/1000*CX282</f>
        <v>110.65278821515696</v>
      </c>
    </row>
    <row r="283" spans="1:119" customFormat="1">
      <c r="A283" s="664" t="str">
        <f>"Q" &amp; ROW(InputQ!A17)</f>
        <v>Q17</v>
      </c>
      <c r="B283" s="664"/>
      <c r="C283" s="3617"/>
      <c r="D283" s="1055"/>
      <c r="E283" s="1056" t="s">
        <v>599</v>
      </c>
      <c r="F283" s="1055"/>
      <c r="G283" s="1057" t="str">
        <f>+InputQ!G17</f>
        <v>:</v>
      </c>
      <c r="H283" s="1057" t="str">
        <f>+InputQ!H17</f>
        <v>:</v>
      </c>
      <c r="I283" s="1057" t="str">
        <f>+InputQ!I17</f>
        <v>:</v>
      </c>
      <c r="J283" s="1057" t="str">
        <f>+InputQ!J17</f>
        <v>:</v>
      </c>
      <c r="K283" s="1057">
        <f>+InputQ!K17</f>
        <v>55.1</v>
      </c>
      <c r="L283" s="1057">
        <f>+InputQ!L17</f>
        <v>57.49666666666667</v>
      </c>
      <c r="M283" s="1057">
        <f>+InputQ!M17</f>
        <v>58.16</v>
      </c>
      <c r="N283" s="1057">
        <f>+InputQ!N17</f>
        <v>59.693333333333328</v>
      </c>
      <c r="O283" s="1057">
        <f>+InputQ!O17</f>
        <v>62.336666666666666</v>
      </c>
      <c r="P283" s="1057">
        <f>+InputQ!P17</f>
        <v>62.863333333333337</v>
      </c>
      <c r="Q283" s="1057">
        <f>+InputQ!Q17</f>
        <v>63.936666666666667</v>
      </c>
      <c r="R283" s="1057">
        <f>+InputQ!R17</f>
        <v>65.086666666666659</v>
      </c>
      <c r="S283" s="1057">
        <f>+InputQ!S17</f>
        <v>66.406666666666666</v>
      </c>
      <c r="T283" s="1057">
        <f>+InputQ!T17</f>
        <v>67.016666666666666</v>
      </c>
      <c r="U283" s="1057">
        <f>+InputQ!U17</f>
        <v>66.933333333333323</v>
      </c>
      <c r="V283" s="1057">
        <f>+InputQ!V17</f>
        <v>67.516666666666666</v>
      </c>
      <c r="W283" s="1057">
        <f>+InputQ!W17</f>
        <v>68.196666666666658</v>
      </c>
      <c r="X283" s="1057">
        <f>+InputQ!X17</f>
        <v>68.06</v>
      </c>
      <c r="Y283" s="1057">
        <f>+InputQ!Y17</f>
        <v>67.766666666666666</v>
      </c>
      <c r="Z283" s="1057">
        <f>+InputQ!Z17</f>
        <v>67.716666666666669</v>
      </c>
      <c r="AA283" s="1057">
        <f>+InputQ!AA17</f>
        <v>68.833333333333329</v>
      </c>
      <c r="AB283" s="1057">
        <f>+InputQ!AB17</f>
        <v>68.683333333333337</v>
      </c>
      <c r="AC283" s="1057">
        <f>+InputQ!AC17</f>
        <v>68.433333333333337</v>
      </c>
      <c r="AD283" s="1057">
        <f>+InputQ!AD17</f>
        <v>68.763333333333335</v>
      </c>
      <c r="AE283" s="1057">
        <f>+InputQ!AE17</f>
        <v>69.010000000000005</v>
      </c>
      <c r="AF283" s="1057">
        <f>+InputQ!AF17</f>
        <v>69.826666666666668</v>
      </c>
      <c r="AG283" s="1057">
        <f>+InputQ!AG17</f>
        <v>69.903333333333322</v>
      </c>
      <c r="AH283" s="1057">
        <f>+InputQ!AH17</f>
        <v>70.23</v>
      </c>
      <c r="AI283" s="1057">
        <f>+InputQ!AI17</f>
        <v>70.773333333333326</v>
      </c>
      <c r="AJ283" s="1057">
        <f>+InputQ!AJ17</f>
        <v>70.176666666666677</v>
      </c>
      <c r="AK283" s="1057">
        <f>+InputQ!AK17</f>
        <v>69.38</v>
      </c>
      <c r="AL283" s="1057">
        <f>+InputQ!AL17</f>
        <v>69.576666666666668</v>
      </c>
      <c r="AM283" s="1057">
        <f>+InputQ!AM17</f>
        <v>69.646666666666661</v>
      </c>
      <c r="AN283" s="1057">
        <f>+InputQ!AN17</f>
        <v>69.713333333333338</v>
      </c>
      <c r="AO283" s="1057">
        <f>+InputQ!AO17</f>
        <v>68.783333333333317</v>
      </c>
      <c r="AP283" s="1057">
        <f>+InputQ!AP17</f>
        <v>68.75</v>
      </c>
      <c r="AQ283" s="1057">
        <f>+InputQ!AQ17</f>
        <v>68.873333333333335</v>
      </c>
      <c r="AR283" s="1057">
        <f>+InputQ!AR17</f>
        <v>70.046666666666667</v>
      </c>
      <c r="AS283" s="1057">
        <f>+InputQ!AS17</f>
        <v>70.396666666666661</v>
      </c>
      <c r="AT283" s="1057">
        <f>+InputQ!AT17</f>
        <v>70.773333333333326</v>
      </c>
      <c r="AU283" s="1057">
        <f>+InputQ!AU17</f>
        <v>71.013333333333335</v>
      </c>
      <c r="AV283" s="1057">
        <f>+InputQ!AV17</f>
        <v>71.713333333333338</v>
      </c>
      <c r="AW283" s="1057">
        <f>+InputQ!AW17</f>
        <v>71.97</v>
      </c>
      <c r="AX283" s="1057">
        <f>+InputQ!AX17</f>
        <v>72.876666666666665</v>
      </c>
      <c r="AY283" s="1057">
        <f>+InputQ!AY17</f>
        <v>73.366666666666674</v>
      </c>
      <c r="AZ283" s="1057">
        <f>+InputQ!AZ17</f>
        <v>74.266666666666666</v>
      </c>
      <c r="BA283" s="1057">
        <f>+InputQ!BA17</f>
        <v>74.813333333333333</v>
      </c>
      <c r="BB283" s="1057">
        <f>+InputQ!BB17</f>
        <v>75.930000000000007</v>
      </c>
      <c r="BC283" s="1057">
        <f>+InputQ!BC17</f>
        <v>76.586666666666673</v>
      </c>
      <c r="BD283" s="1057">
        <f>+InputQ!BD17</f>
        <v>77.953333333333333</v>
      </c>
      <c r="BE283" s="1057">
        <f>+InputQ!BE17</f>
        <v>79.25333333333333</v>
      </c>
      <c r="BF283" s="1057">
        <f>+InputQ!BF17</f>
        <v>81.943333333333328</v>
      </c>
      <c r="BG283" s="1057">
        <f>+InputQ!BG17</f>
        <v>84.836666666666659</v>
      </c>
      <c r="BH283" s="1057">
        <f>+InputQ!BH17</f>
        <v>87.52</v>
      </c>
      <c r="BI283" s="1057">
        <f>+InputQ!BI17</f>
        <v>88.733333333333334</v>
      </c>
      <c r="BJ283" s="872">
        <f t="shared" ref="BJ283:BR283" ca="1" si="669">+BF283*(1+BJ316/100)</f>
        <v>89.666315241178637</v>
      </c>
      <c r="BK283" s="872">
        <f t="shared" ca="1" si="669"/>
        <v>92.000093051556561</v>
      </c>
      <c r="BL283" s="872">
        <f t="shared" ca="1" si="669"/>
        <v>91.796411372908196</v>
      </c>
      <c r="BM283" s="872">
        <f t="shared" ca="1" si="669"/>
        <v>90.849871702892585</v>
      </c>
      <c r="BN283" s="872">
        <f t="shared" ca="1" si="669"/>
        <v>90.694188195215887</v>
      </c>
      <c r="BO283" s="872">
        <f t="shared" ca="1" si="669"/>
        <v>91.63021172623327</v>
      </c>
      <c r="BP283" s="872">
        <f t="shared" ca="1" si="669"/>
        <v>92.310142668003337</v>
      </c>
      <c r="BQ283" s="872">
        <f t="shared" ca="1" si="669"/>
        <v>92.469838012193122</v>
      </c>
      <c r="BR283" s="872">
        <f t="shared" ca="1" si="669"/>
        <v>93.353171165691137</v>
      </c>
      <c r="BS283" s="872">
        <f t="shared" ref="BS283:CD283" ca="1" si="670">+BO283*(1+BS316/100)</f>
        <v>94.580548414148922</v>
      </c>
      <c r="BT283" s="872">
        <f t="shared" ca="1" si="670"/>
        <v>96.678914770680421</v>
      </c>
      <c r="BU283" s="872">
        <f t="shared" ca="1" si="670"/>
        <v>96.69985177694997</v>
      </c>
      <c r="BV283" s="872">
        <f t="shared" ca="1" si="670"/>
        <v>97.138029653576766</v>
      </c>
      <c r="BW283" s="872">
        <f t="shared" ca="1" si="670"/>
        <v>98.021589427383262</v>
      </c>
      <c r="BX283" s="872">
        <f t="shared" ca="1" si="670"/>
        <v>99.429174528261427</v>
      </c>
      <c r="BY283" s="872">
        <f t="shared" ca="1" si="670"/>
        <v>99.826036280541189</v>
      </c>
      <c r="BZ283" s="872">
        <f t="shared" ca="1" si="670"/>
        <v>100.04659031676071</v>
      </c>
      <c r="CA283" s="872">
        <f ca="1">+BW283*(1+CA316/100)</f>
        <v>100.1907043744697</v>
      </c>
      <c r="CB283" s="872">
        <f ca="1">+BX283*(1+CB316/100)</f>
        <v>100.8148205931578</v>
      </c>
      <c r="CC283" s="872">
        <f t="shared" ca="1" si="670"/>
        <v>100.36920924302532</v>
      </c>
      <c r="CD283" s="872">
        <f t="shared" ca="1" si="670"/>
        <v>100.54508706603042</v>
      </c>
      <c r="CE283" s="872">
        <f t="shared" ref="CE283:CL283" ca="1" si="671">+CA283*(1+CE316/100)</f>
        <v>100.49907458052179</v>
      </c>
      <c r="CF283" s="872">
        <f t="shared" ca="1" si="671"/>
        <v>101.0334701194836</v>
      </c>
      <c r="CG283" s="872">
        <f t="shared" ca="1" si="671"/>
        <v>100.61238517675334</v>
      </c>
      <c r="CH283" s="872">
        <f t="shared" ca="1" si="671"/>
        <v>100.72033588529945</v>
      </c>
      <c r="CI283" s="872">
        <f t="shared" ca="1" si="671"/>
        <v>99.193463816718747</v>
      </c>
      <c r="CJ283" s="872">
        <f t="shared" ca="1" si="671"/>
        <v>100.73818935819878</v>
      </c>
      <c r="CK283" s="872">
        <f t="shared" ca="1" si="671"/>
        <v>99.944284420301727</v>
      </c>
      <c r="CL283" s="872">
        <f t="shared" ca="1" si="671"/>
        <v>100.34741467285812</v>
      </c>
      <c r="CM283" s="872">
        <f t="shared" ref="CM283:CT283" ca="1" si="672">+CI283*(1+CM316/100)</f>
        <v>99.875365698791967</v>
      </c>
      <c r="CN283" s="872">
        <f t="shared" ca="1" si="672"/>
        <v>101.20809714675205</v>
      </c>
      <c r="CO283" s="872">
        <f t="shared" ca="1" si="672"/>
        <v>100.34554761410905</v>
      </c>
      <c r="CP283" s="872">
        <f t="shared" ca="1" si="672"/>
        <v>101.59813572594199</v>
      </c>
      <c r="CQ283" s="872">
        <f t="shared" ca="1" si="672"/>
        <v>102.82714851810184</v>
      </c>
      <c r="CR283" s="872">
        <f t="shared" ca="1" si="672"/>
        <v>104.65636656969191</v>
      </c>
      <c r="CS283" s="872">
        <f t="shared" ca="1" si="672"/>
        <v>104.81005001123886</v>
      </c>
      <c r="CT283" s="872">
        <f t="shared" ca="1" si="672"/>
        <v>105.72213801137192</v>
      </c>
      <c r="CU283" s="872">
        <f t="shared" ref="CU283:DB283" ca="1" si="673">+CQ283*(1+CU316/100)</f>
        <v>106.11796975605839</v>
      </c>
      <c r="CV283" s="872">
        <f t="shared" ca="1" si="673"/>
        <v>107.48219274723768</v>
      </c>
      <c r="CW283" s="872">
        <f t="shared" ca="1" si="673"/>
        <v>107.61145638854119</v>
      </c>
      <c r="CX283" s="872">
        <f t="shared" ca="1" si="673"/>
        <v>108.54823610338903</v>
      </c>
      <c r="CY283" s="872">
        <f t="shared" ca="1" si="673"/>
        <v>108.99226883216271</v>
      </c>
      <c r="CZ283" s="872">
        <f t="shared" ca="1" si="673"/>
        <v>110.19164028984476</v>
      </c>
      <c r="DA283" s="872">
        <f t="shared" ca="1" si="673"/>
        <v>110.00635080189173</v>
      </c>
      <c r="DB283" s="872">
        <f t="shared" ca="1" si="673"/>
        <v>110.65341555680519</v>
      </c>
    </row>
    <row r="284" spans="1:119" s="1003" customFormat="1">
      <c r="A284" s="673"/>
      <c r="B284" s="673"/>
      <c r="C284" s="1007"/>
      <c r="D284" s="1008"/>
      <c r="E284" s="1009" t="s">
        <v>616</v>
      </c>
      <c r="F284" s="1008"/>
      <c r="G284" s="1010"/>
      <c r="H284" s="1010"/>
      <c r="I284" s="1010"/>
      <c r="J284" s="1010"/>
      <c r="K284" s="2886"/>
      <c r="L284" s="2886"/>
      <c r="M284" s="2886"/>
      <c r="N284" s="2886">
        <f t="shared" ref="N284:BB284" si="674">(N283-N282)</f>
        <v>0</v>
      </c>
      <c r="O284" s="2886">
        <f t="shared" ca="1" si="674"/>
        <v>-1.9020953306281285E-2</v>
      </c>
      <c r="P284" s="2886">
        <f t="shared" ca="1" si="674"/>
        <v>-1.9603944592738287E-2</v>
      </c>
      <c r="Q284" s="2886">
        <f t="shared" ca="1" si="674"/>
        <v>-2.897337347229012E-2</v>
      </c>
      <c r="R284" s="2886">
        <f t="shared" ca="1" si="674"/>
        <v>-3.5128304818073275E-2</v>
      </c>
      <c r="S284" s="2886">
        <f t="shared" ca="1" si="674"/>
        <v>-1.5924681258780993E-3</v>
      </c>
      <c r="T284" s="2886">
        <f t="shared" ca="1" si="674"/>
        <v>-1.0549511854236471E-3</v>
      </c>
      <c r="U284" s="2886">
        <f t="shared" ca="1" si="674"/>
        <v>-3.1781208023033969E-3</v>
      </c>
      <c r="V284" s="2886">
        <f t="shared" ca="1" si="674"/>
        <v>-6.117260910002642E-3</v>
      </c>
      <c r="W284" s="2886">
        <f t="shared" ca="1" si="674"/>
        <v>1.9443168421560131E-3</v>
      </c>
      <c r="X284" s="2886">
        <f t="shared" ca="1" si="674"/>
        <v>-2.7556223893583365E-3</v>
      </c>
      <c r="Y284" s="2886">
        <f t="shared" ca="1" si="674"/>
        <v>-2.7945913777216447E-3</v>
      </c>
      <c r="Z284" s="2886">
        <f t="shared" ca="1" si="674"/>
        <v>1.4502690239055482E-3</v>
      </c>
      <c r="AA284" s="2886">
        <f t="shared" ca="1" si="674"/>
        <v>-2.3009195938755056E-2</v>
      </c>
      <c r="AB284" s="2886">
        <f t="shared" ca="1" si="674"/>
        <v>-2.8245654441505508E-2</v>
      </c>
      <c r="AC284" s="2886">
        <f t="shared" ca="1" si="674"/>
        <v>-2.7939773207862117E-2</v>
      </c>
      <c r="AD284" s="2886">
        <f t="shared" ca="1" si="674"/>
        <v>-3.5760551867952017E-2</v>
      </c>
      <c r="AE284" s="2886">
        <f t="shared" ca="1" si="674"/>
        <v>5.06720852683884E-4</v>
      </c>
      <c r="AF284" s="2886">
        <f t="shared" ca="1" si="674"/>
        <v>-1.3437526774296771E-2</v>
      </c>
      <c r="AG284" s="2886">
        <f t="shared" ca="1" si="674"/>
        <v>-7.0071159718736453E-3</v>
      </c>
      <c r="AH284" s="2886">
        <f t="shared" ca="1" si="674"/>
        <v>-5.0622813188994087E-3</v>
      </c>
      <c r="AI284" s="2886">
        <f t="shared" ca="1" si="674"/>
        <v>2.2665439587299829E-2</v>
      </c>
      <c r="AJ284" s="2886">
        <f t="shared" ca="1" si="674"/>
        <v>3.525777132450969E-2</v>
      </c>
      <c r="AK284" s="2886">
        <f t="shared" ca="1" si="674"/>
        <v>4.4685111840905734E-2</v>
      </c>
      <c r="AL284" s="2886">
        <f t="shared" ca="1" si="674"/>
        <v>5.6849664640509445E-2</v>
      </c>
      <c r="AM284" s="2886">
        <f t="shared" si="674"/>
        <v>-27.243333333333339</v>
      </c>
      <c r="AN284" s="2886">
        <f t="shared" si="674"/>
        <v>-27.256666666666661</v>
      </c>
      <c r="AO284" s="2886">
        <f t="shared" si="674"/>
        <v>-26.880000000000024</v>
      </c>
      <c r="AP284" s="2886">
        <f t="shared" si="674"/>
        <v>-26.886666666666656</v>
      </c>
      <c r="AQ284" s="2886">
        <f t="shared" ca="1" si="674"/>
        <v>1.4042216757914616E-2</v>
      </c>
      <c r="AR284" s="2886">
        <f t="shared" ca="1" si="674"/>
        <v>8.4265229163236199E-3</v>
      </c>
      <c r="AS284" s="2886">
        <f t="shared" ca="1" si="674"/>
        <v>8.9470140800784748E-3</v>
      </c>
      <c r="AT284" s="2886">
        <f t="shared" ca="1" si="674"/>
        <v>7.8627345859985098E-3</v>
      </c>
      <c r="AU284" s="2886">
        <f t="shared" ca="1" si="674"/>
        <v>-1.6426853744775372E-3</v>
      </c>
      <c r="AV284" s="2886">
        <f t="shared" ca="1" si="674"/>
        <v>-1.6715912248628229E-3</v>
      </c>
      <c r="AW284" s="2886">
        <f t="shared" ca="1" si="674"/>
        <v>8.4954020893661664E-3</v>
      </c>
      <c r="AX284" s="2886">
        <f t="shared" ca="1" si="674"/>
        <v>8.0127126895490619E-3</v>
      </c>
      <c r="AY284" s="2886">
        <f t="shared" ca="1" si="674"/>
        <v>-9.3248787739099726E-3</v>
      </c>
      <c r="AZ284" s="2886">
        <f t="shared" ca="1" si="674"/>
        <v>-8.456901872563094E-3</v>
      </c>
      <c r="BA284" s="2886">
        <f t="shared" ca="1" si="674"/>
        <v>-9.6680147856034182E-3</v>
      </c>
      <c r="BB284" s="2886">
        <f t="shared" ca="1" si="674"/>
        <v>-4.3762661119046697E-3</v>
      </c>
      <c r="BC284" s="2886">
        <f t="shared" ref="BC284:BN284" ca="1" si="675">(BC283-BC282)</f>
        <v>7.3191158766690023E-3</v>
      </c>
      <c r="BD284" s="2886">
        <f t="shared" ca="1" si="675"/>
        <v>4.9144157570424341E-3</v>
      </c>
      <c r="BE284" s="2886">
        <f t="shared" ca="1" si="675"/>
        <v>3.6399418691814844E-3</v>
      </c>
      <c r="BF284" s="2886">
        <f t="shared" ca="1" si="675"/>
        <v>4.6457188453530307E-4</v>
      </c>
      <c r="BG284" s="2886">
        <f ca="1">(BG283-BG282)</f>
        <v>6.3092429674185269E-3</v>
      </c>
      <c r="BH284" s="2886">
        <f ca="1">(BH283-BH282)</f>
        <v>3.199317326362916E-3</v>
      </c>
      <c r="BI284" s="2886">
        <f ca="1">(BI283-BI282)</f>
        <v>-2.9880091450422697E-3</v>
      </c>
      <c r="BJ284" s="2886">
        <f t="shared" ca="1" si="675"/>
        <v>5.0835677970439974E-4</v>
      </c>
      <c r="BK284" s="2886">
        <f t="shared" ca="1" si="675"/>
        <v>6.8419819270957305E-3</v>
      </c>
      <c r="BL284" s="2886">
        <f t="shared" ca="1" si="675"/>
        <v>3.3556427034255876E-3</v>
      </c>
      <c r="BM284" s="2886">
        <f t="shared" ca="1" si="675"/>
        <v>-3.0592815267596052E-3</v>
      </c>
      <c r="BN284" s="2886">
        <f t="shared" ca="1" si="675"/>
        <v>5.1418423210236597E-4</v>
      </c>
      <c r="BO284" s="2886">
        <f t="shared" ref="BO284:BZ284" ca="1" si="676">(BO283-BO282)</f>
        <v>6.81447411422198E-3</v>
      </c>
      <c r="BP284" s="2886">
        <f t="shared" ca="1" si="676"/>
        <v>3.3744222901930243E-3</v>
      </c>
      <c r="BQ284" s="2886">
        <f t="shared" ca="1" si="676"/>
        <v>-3.1138323248143251E-3</v>
      </c>
      <c r="BR284" s="2886">
        <f t="shared" ca="1" si="676"/>
        <v>5.2925914643253691E-4</v>
      </c>
      <c r="BS284" s="2886">
        <f ca="1">(BS283-BS282)</f>
        <v>7.0338885694525288E-3</v>
      </c>
      <c r="BT284" s="2886">
        <f ca="1">(BT283-BT282)</f>
        <v>3.5341239387634005E-3</v>
      </c>
      <c r="BU284" s="2886">
        <f ca="1">(BU283-BU282)</f>
        <v>-3.2562739455528344E-3</v>
      </c>
      <c r="BV284" s="2886">
        <f ca="1">(BV283-BV282)</f>
        <v>5.5071713170207204E-4</v>
      </c>
      <c r="BW284" s="2886">
        <f t="shared" ca="1" si="676"/>
        <v>7.2897963587053027E-3</v>
      </c>
      <c r="BX284" s="2886">
        <f ca="1">(BX283-BX282)</f>
        <v>3.6346604297960994E-3</v>
      </c>
      <c r="BY284" s="2886">
        <f ca="1">(BY283-BY282)</f>
        <v>-3.3615451839494881E-3</v>
      </c>
      <c r="BZ284" s="2886">
        <f t="shared" ca="1" si="676"/>
        <v>5.672070089559611E-4</v>
      </c>
      <c r="CA284" s="2886">
        <f ca="1">(CA283-CA282)</f>
        <v>7.4511119049560648E-3</v>
      </c>
      <c r="CB284" s="2886">
        <f ca="1">(CB283-CB282)</f>
        <v>3.6853130973497628E-3</v>
      </c>
      <c r="CC284" s="2886">
        <f t="shared" ref="CC284:CH284" ca="1" si="677">(CC283-CC282)</f>
        <v>-3.3798360078947098E-3</v>
      </c>
      <c r="CD284" s="2886">
        <f t="shared" ca="1" si="677"/>
        <v>5.7003320073079067E-4</v>
      </c>
      <c r="CE284" s="2886">
        <f t="shared" ca="1" si="677"/>
        <v>7.4740451793360307E-3</v>
      </c>
      <c r="CF284" s="2886">
        <f t="shared" ca="1" si="677"/>
        <v>3.6933058900672222E-3</v>
      </c>
      <c r="CG284" s="2886">
        <f t="shared" ca="1" si="677"/>
        <v>-3.3880247221702575E-3</v>
      </c>
      <c r="CH284" s="2886">
        <f t="shared" ca="1" si="677"/>
        <v>5.7102676140630138E-4</v>
      </c>
      <c r="CI284" s="2886">
        <f t="shared" ref="CI284:CP284" ca="1" si="678">(CI283-CI282)</f>
        <v>7.3769478291865198E-3</v>
      </c>
      <c r="CJ284" s="2886">
        <f t="shared" ca="1" si="678"/>
        <v>3.6825118217791442E-3</v>
      </c>
      <c r="CK284" s="2886">
        <f t="shared" ca="1" si="678"/>
        <v>-3.3655270756298705E-3</v>
      </c>
      <c r="CL284" s="2886">
        <f t="shared" ca="1" si="678"/>
        <v>5.6891251119850494E-4</v>
      </c>
      <c r="CM284" s="2886">
        <f t="shared" ca="1" si="678"/>
        <v>7.4276603904337435E-3</v>
      </c>
      <c r="CN284" s="2886">
        <f t="shared" ca="1" si="678"/>
        <v>3.6996894283731763E-3</v>
      </c>
      <c r="CO284" s="2886">
        <f t="shared" ca="1" si="678"/>
        <v>-3.3790392254218204E-3</v>
      </c>
      <c r="CP284" s="2886">
        <f t="shared" ca="1" si="678"/>
        <v>5.7600338500662929E-4</v>
      </c>
      <c r="CQ284" s="2886">
        <f t="shared" ref="CQ284:CX284" ca="1" si="679">(CQ283-CQ282)</f>
        <v>7.6471823934269878E-3</v>
      </c>
      <c r="CR284" s="2886">
        <f t="shared" ca="1" si="679"/>
        <v>3.8257418519407338E-3</v>
      </c>
      <c r="CS284" s="2886">
        <f t="shared" ca="1" si="679"/>
        <v>-3.5293770239519517E-3</v>
      </c>
      <c r="CT284" s="2886">
        <f t="shared" ca="1" si="679"/>
        <v>5.9938412185545076E-4</v>
      </c>
      <c r="CU284" s="2886">
        <f t="shared" ca="1" si="679"/>
        <v>7.8919184441019752E-3</v>
      </c>
      <c r="CV284" s="2886">
        <f t="shared" ca="1" si="679"/>
        <v>3.9290406939187505E-3</v>
      </c>
      <c r="CW284" s="2886">
        <f t="shared" ca="1" si="679"/>
        <v>-3.6237116731854258E-3</v>
      </c>
      <c r="CX284" s="2886">
        <f t="shared" ca="1" si="679"/>
        <v>6.1540648344760029E-4</v>
      </c>
      <c r="CY284" s="2886">
        <f t="shared" ref="CY284:DB284" ca="1" si="680">(CY283-CY282)</f>
        <v>8.1056780358608194E-3</v>
      </c>
      <c r="CZ284" s="2886">
        <f t="shared" ca="1" si="680"/>
        <v>4.0280852833660674E-3</v>
      </c>
      <c r="DA284" s="2886">
        <f t="shared" ca="1" si="680"/>
        <v>-3.7043574253488032E-3</v>
      </c>
      <c r="DB284" s="2886">
        <f t="shared" ca="1" si="680"/>
        <v>6.2734164822586536E-4</v>
      </c>
      <c r="DC284"/>
      <c r="DD284"/>
      <c r="DE284"/>
      <c r="DF284"/>
      <c r="DG284"/>
      <c r="DH284"/>
      <c r="DI284"/>
      <c r="DJ284"/>
      <c r="DK284"/>
      <c r="DL284"/>
      <c r="DM284"/>
      <c r="DN284"/>
      <c r="DO284"/>
    </row>
    <row r="285" spans="1:119" customFormat="1">
      <c r="A285" s="664"/>
      <c r="B285" s="664"/>
      <c r="C285" s="3617"/>
      <c r="D285" s="1055"/>
      <c r="E285" s="1056" t="s">
        <v>925</v>
      </c>
      <c r="F285" s="1055"/>
      <c r="G285" s="1057" t="str">
        <f>+InputQ!G19</f>
        <v>:</v>
      </c>
      <c r="H285" s="1057" t="str">
        <f>+InputQ!H19</f>
        <v>:</v>
      </c>
      <c r="I285" s="1057" t="str">
        <f>+InputQ!I19</f>
        <v>:</v>
      </c>
      <c r="J285" s="1057" t="str">
        <f>+InputQ!J19</f>
        <v>:</v>
      </c>
      <c r="K285" s="1057"/>
      <c r="L285" s="1057"/>
      <c r="M285" s="1057"/>
      <c r="N285" s="1057">
        <f>+N286</f>
        <v>65.336666666666673</v>
      </c>
      <c r="O285" s="1057">
        <f ca="1">(O277/N277*O303+O280/N280*O306+O281/N281*O307)/(O303+O306+O307)*N286</f>
        <v>68.059658054656964</v>
      </c>
      <c r="P285" s="1057">
        <f ca="1">(P277/N277*P303+P280/N280*P306+P281/N281*P307)/(P303+P306+P307)*N286</f>
        <v>68.900074913770169</v>
      </c>
      <c r="Q285" s="1057">
        <f ca="1">(Q277/N277*Q303+Q280/N280*Q306+Q281/N281*Q307)/(Q303+Q306+Q307)*N286</f>
        <v>69.822488743486119</v>
      </c>
      <c r="R285" s="1057">
        <f ca="1">(R277/N277*R303+R280/N280*R306+R281/N281*R307)/(R303+R306+R307)*N286</f>
        <v>70.788593249187244</v>
      </c>
      <c r="S285" s="1057">
        <f ca="1">(S277/R277*S303+S280/R280*S306+S281/R281*S307)/(S303+S306+S307)*R286</f>
        <v>71.835179249010423</v>
      </c>
      <c r="T285" s="1057">
        <f ca="1">(T277/R277*T303+T280/R280*T306+T281/R281*T307)/(T303+T306+T307)*R286</f>
        <v>72.38079887301177</v>
      </c>
      <c r="U285" s="1057">
        <f ca="1">(U277/R277*U303+U280/R280*U306+U281/R281*U307)/(U303+U306+U307)*R286</f>
        <v>72.724037414614301</v>
      </c>
      <c r="V285" s="1057">
        <f ca="1">(V277/R277*V303+V280/R280*V306+V281/R281*V307)/(V303+V306+V307)*R286</f>
        <v>73.151662364527738</v>
      </c>
      <c r="W285" s="1057">
        <f ca="1">(W277/V277*W303+W280/V280*W306+W281/V281*W307)/(W303+W306+W307)*V286</f>
        <v>73.870986617759129</v>
      </c>
      <c r="X285" s="1057">
        <f ca="1">(X277/V277*X303+X280/V280*X306+X281/V281*X307)/(X303+X306+X307)*V286</f>
        <v>74.023048586980053</v>
      </c>
      <c r="Y285" s="1057">
        <f ca="1">(Y277/V277*Y303+Y280/V280*Y306+Y281/V281*Y307)/(Y303+Y306+Y307)*V286</f>
        <v>74.000319531913277</v>
      </c>
      <c r="Z285" s="1057">
        <f ca="1">(Z277/V277*Z303+Z280/V280*Z306+Z281/V281*Z307)/(Z303+Z306+Z307)*V286</f>
        <v>73.165048950000042</v>
      </c>
      <c r="AA285" s="1057">
        <f ca="1">(AA277/Z277*AA303+AA280/Z280*AA306+AA281/Z281*AA307)/(AA303+AA306+AA307)*Z286</f>
        <v>73.314745461168698</v>
      </c>
      <c r="AB285" s="1057">
        <f ca="1">(AB277/Z277*AB303+AB280/Z280*AB306+AB281/Z281*AB307)/(AB303+AB306+AB307)*Z286</f>
        <v>72.95033713609952</v>
      </c>
      <c r="AC285" s="1057">
        <f ca="1">(AC277/Z277*AC303+AC280/Z280*AC306+AC281/Z281*AC307)/(AC303+AC306+AC307)*Z286</f>
        <v>72.811066527285334</v>
      </c>
      <c r="AD285" s="1057">
        <f ca="1">(AD277/Z277*AD303+AD280/Z280*AD306+AD281/Z281*AD307)/(AD303+AD306+AD307)*Z286</f>
        <v>72.704109268057692</v>
      </c>
      <c r="AE285" s="1057">
        <f ca="1">(AE277/AD277*AE303+AE280/AD280*AE306+AE281/AD281*AE307)/(AE303+AE306+AE307)*AD286</f>
        <v>72.848110972973984</v>
      </c>
      <c r="AF285" s="1057">
        <f ca="1">(AF277/AD277*AF303+AF280/AD280*AF306+AF281/AD281*AF307)/(AF303+AF306+AF307)*AD286</f>
        <v>72.582388172758044</v>
      </c>
      <c r="AG285" s="1057">
        <f ca="1">(AG277/AD277*AG303+AG280/AD280*AG306+AG281/AD281*AG307)/(AG303+AG306+AG307)*AD286</f>
        <v>72.901339254399488</v>
      </c>
      <c r="AH285" s="1057">
        <f ca="1">(AH277/AD277*AH303+AH280/AD280*AH306+AH281/AD281*AH307)/(AH303+AH306+AH307)*AD286</f>
        <v>73.664961458352479</v>
      </c>
      <c r="AI285" s="1057">
        <f ca="1">(AI277/AH277*AI303+AI280/AH280*AI306+AI281/AH281*AI307)/(AI303+AI306+AI307)*AH286</f>
        <v>73.626760949917497</v>
      </c>
      <c r="AJ285" s="1057">
        <f ca="1">(AJ277/AH277*AJ303+AJ280/AH280*AJ306+AJ281/AH281*AJ307)/(AJ303+AJ306+AJ307)*AH286</f>
        <v>73.210103134090673</v>
      </c>
      <c r="AK285" s="1057">
        <f ca="1">(AK277/AH277*AK303+AK280/AH280*AK306+AK281/AH281*AK307)/(AK303+AK306+AK307)*AH286</f>
        <v>73.098570301519743</v>
      </c>
      <c r="AL285" s="1057">
        <f ca="1">(AL277/AH277*AL303+AL280/AH280*AL306+AL281/AH281*AL307)/(AL303+AL306+AL307)*AH286</f>
        <v>73.678210290233821</v>
      </c>
      <c r="AM285" s="1467">
        <v>98.35</v>
      </c>
      <c r="AN285" s="1467">
        <v>98.50333333333333</v>
      </c>
      <c r="AO285" s="1467">
        <v>97.823333333333323</v>
      </c>
      <c r="AP285" s="1467">
        <v>97.703333333333333</v>
      </c>
      <c r="AQ285" s="1057">
        <f ca="1">(AQ277/AP277*AQ303+AQ280/AP280*AQ306+AQ281/AP281*AQ307)/(AQ303+AQ306+AQ307)*AP286</f>
        <v>73.570633476308274</v>
      </c>
      <c r="AR285" s="1057">
        <f ca="1">(AR277/AP277*AR303+AR280/AP280*AR306+AR281/AP281*AR307)/(AR303+AR306+AR307)*AP286</f>
        <v>74.478444628178138</v>
      </c>
      <c r="AS285" s="1057">
        <f ca="1">(AS277/AP277*AS303+AS280/AP280*AS306+AS281/AP281*AS307)/(AS303+AS306+AS307)*AP286</f>
        <v>74.529960522379653</v>
      </c>
      <c r="AT285" s="1057">
        <f ca="1">(AT277/AP277*AT303+AT280/AP280*AT306+AT281/AP281*AT307)/(AT303+AT306+AT307)*AP286</f>
        <v>74.969554096333752</v>
      </c>
      <c r="AU285" s="1057">
        <f ca="1">(AU277/AT277*AU303+AU280/AT280*AU306+AU281/AT281*AU307)/(AU303+AU306+AU307)*AT286</f>
        <v>74.749210105231697</v>
      </c>
      <c r="AV285" s="1057">
        <f ca="1">(AV277/AT277*AV303+AV280/AT280*AV306+AV281/AT281*AV307)/(AV303+AV306+AV307)*AT286</f>
        <v>75.183847661727654</v>
      </c>
      <c r="AW285" s="1057">
        <f ca="1">(AW277/AT277*AW303+AW280/AT280*AW306+AW281/AT281*AW307)/(AW303+AW306+AW307)*AT286</f>
        <v>75.3130860871984</v>
      </c>
      <c r="AX285" s="1057">
        <f ca="1">(AX277/AT277*AX303+AX280/AT280*AX306+AX281/AT281*AX307)/(AX303+AX306+AX307)*AT286</f>
        <v>76.11760796214881</v>
      </c>
      <c r="AY285" s="1057">
        <f ca="1">(AY277/AX277*AY303+AY280/AX280*AY306+AY281/AX281*AY307)/(AY303+AY306+AY307)*AX286</f>
        <v>75.983098987002165</v>
      </c>
      <c r="AZ285" s="1057">
        <f ca="1">(AZ277/AX277*AZ303+AZ280/AX280*AZ306+AZ281/AX281*AZ307)/(AZ303+AZ306+AZ307)*AX286</f>
        <v>76.626095618516217</v>
      </c>
      <c r="BA285" s="1057">
        <f ca="1">(BA277/AX277*BA303+BA280/AX280*BA306+BA281/AX281*BA307)/(BA303+BA306+BA307)*AX286</f>
        <v>77.325334374539338</v>
      </c>
      <c r="BB285" s="1057">
        <f ca="1">(BB277/AX277*BB303+BB280/AX280*BB306+BB281/AX281*BB307)/(BB303+BB306+BB307)*AX286</f>
        <v>78.624658524116072</v>
      </c>
      <c r="BC285" s="1057">
        <f ca="1">(BC277/BB277*BC303+BC280/BB280*BC306+BC281/BB281*BC307)/(BC303+BC306+BC307)*BB286</f>
        <v>78.957736440483103</v>
      </c>
      <c r="BD285" s="1057">
        <f ca="1">(BD277/BB277*BD303+BD280/BB280*BD306+BD281/BB281*BD307)/(BD303+BD306+BD307)*BB286</f>
        <v>80.021689954271537</v>
      </c>
      <c r="BE285" s="1057">
        <f ca="1">(BE277/BB277*BE303+BE280/BB280*BE306+BE281/BB281*BE307)/(BE303+BE306+BE307)*BB286</f>
        <v>81.550433285565333</v>
      </c>
      <c r="BF285" s="1057">
        <f ca="1">(BF277/BB277*BF303+BF280/BB280*BF306+BF281/BB281*BF307)/(BF303+BF306+BF307)*BB286</f>
        <v>84.12601407592831</v>
      </c>
      <c r="BG285" s="1057">
        <f ca="1">(BG277/BF277*BG303+BG280/BF280*BG306+BG281/BF281*BG307)/(BG303+BG306+BG307)*BF286</f>
        <v>86.074694751055759</v>
      </c>
      <c r="BH285" s="1057">
        <f ca="1">(BH277/BF277*BH303+BH280/BF280*BH306+BH281/BF281*BH307)/(BH303+BH306+BH307)*BF286</f>
        <v>88.536693755637287</v>
      </c>
      <c r="BI285" s="1057">
        <f ca="1">(BI277/BF277*BI303+BI280/BF280*BI306+BI281/BF281*BI307)/(BI303+BI306+BI307)*BF286</f>
        <v>89.58063059283235</v>
      </c>
      <c r="BJ285" s="872">
        <f ca="1">(BJ277/BF277*BJ303+BJ280/BF280*BJ306+BJ281/BF281*BJ307)/(BJ303+BJ306+BJ307)*BF285</f>
        <v>90.676808105292665</v>
      </c>
      <c r="BK285" s="872">
        <f ca="1">(BK277/BJ277*BK303+BK280/BJ280*BK306+BK281/BJ281*BK307)/(BK303+BK306+BK307)*BJ285</f>
        <v>92.146449923315757</v>
      </c>
      <c r="BL285" s="872">
        <f ca="1">(BL277/BJ277*BL303+BL280/BJ280*BL306+BL281/BJ281*BL307)/(BL303+BL306+BL307)*BJ285</f>
        <v>91.965046433579687</v>
      </c>
      <c r="BM285" s="872">
        <f ca="1">(BM277/BJ277*BM303+BM280/BJ280*BM306+BM281/BJ281*BM307)/(BM303+BM306+BM307)*BJ285</f>
        <v>91.531042423939965</v>
      </c>
      <c r="BN285" s="872">
        <f ca="1">(BN277/BJ277*BN303+BN280/BJ280*BN306+BN281/BJ281*BN307)/(BN303+BN306+BN307)*BJ285</f>
        <v>92.237089383169831</v>
      </c>
      <c r="BO285" s="872">
        <f ca="1">(BO277/BN277*BO303+BO280/BN280*BO306+BO281/BN281*BO307)/(BO303+BO306+BO307)*BN285</f>
        <v>91.734840299518197</v>
      </c>
      <c r="BP285" s="872">
        <f ca="1">(BP277/BN277*BP303+BP280/BN280*BP306+BP281/BN281*BP307)/(BP303+BP306+BP307)*BN285</f>
        <v>91.781232233377466</v>
      </c>
      <c r="BQ285" s="872">
        <f ca="1">(BQ277/BN277*BQ303+BQ280/BN280*BQ306+BQ281/BN281*BQ307)/(BQ303+BQ306+BQ307)*BN285</f>
        <v>91.771640453712592</v>
      </c>
      <c r="BR285" s="872">
        <f ca="1">(BR277/BN277*BR303+BR280/BN280*BR306+BR281/BN281*BR307)/(BR303+BR306+BR307)*BN285</f>
        <v>92.470568574985833</v>
      </c>
      <c r="BS285" s="872">
        <f ca="1">(BS277/BR277*BS303+BS280/BR280*BS306+BS281/BR281*BS307)/(BS303+BS306+BS307)*BR285</f>
        <v>92.747713534244014</v>
      </c>
      <c r="BT285" s="872">
        <f ca="1">(BT277/BR277*BT303+BT280/BR280*BT306+BT281/BR281*BT307)/(BT303+BT306+BT307)*BR285</f>
        <v>94.448942947752059</v>
      </c>
      <c r="BU285" s="872">
        <f ca="1">(BU277/BR277*BU303+BU280/BR280*BU306+BU281/BR281*BU307)/(BU303+BU306+BU307)*BR285</f>
        <v>94.514046383381739</v>
      </c>
      <c r="BV285" s="872">
        <f ca="1">(BV277/BR277*BV303+BV280/BR280*BV306+BV281/BR281*BV307)/(BV303+BV306+BV307)*BR285</f>
        <v>94.819639668388973</v>
      </c>
      <c r="BW285" s="872">
        <f ca="1">(BW277/BV277*BW303+BW280/BV280*BW306+BW281/BV281*BW307)/(BW303+BW306+BW307)*BV285</f>
        <v>95.063506820386721</v>
      </c>
      <c r="BX285" s="872">
        <f ca="1">(BX277/BW277*BX303+BX280/BW280*BX306+BX281/BW281*BX307)/(BX303+BX306+BX307)*BW285</f>
        <v>96.429125126987657</v>
      </c>
      <c r="BY285" s="872">
        <f ca="1">(BY277/BX277*BY303+BY280/BX280*BY306+BY281/BX281*BY307)/(BY303+BY306+BY307)*BX285</f>
        <v>96.749916222583209</v>
      </c>
      <c r="BZ285" s="872">
        <f ca="1">(BZ277/BV277*BZ303+BZ280/BV280*BZ306+BZ281/BV281*BZ307)/(BZ303+BZ306+BZ307)*BV285</f>
        <v>97.245609890042729</v>
      </c>
      <c r="CA285" s="872">
        <f ca="1">(CA277/BZ277*CA303+CA280/BZ280*CA306+CA281/BZ281*CA307)/(CA303+CA306+CA307)*BZ285</f>
        <v>96.892298467308251</v>
      </c>
      <c r="CB285" s="872">
        <f ca="1">(CB277/CA277*CB303+CB280/CA280*CB306+CB281/CA281*CB307)/(CB303+CB306+CB307)*CA285</f>
        <v>97.806715066425767</v>
      </c>
      <c r="CC285" s="872">
        <f ca="1">(CC277/BZ277*CC303+CC280/BZ280*CC306+CC281/BZ281*CC307)/(CC303+CC306+CC307)*BZ285</f>
        <v>97.865327646736191</v>
      </c>
      <c r="CD285" s="872">
        <f ca="1">(CD277/BZ277*CD303+CD280/BZ280*CD306+CD281/BZ281*CD307)/(CD303+CD306+CD307)*BZ285</f>
        <v>98.315074273772225</v>
      </c>
      <c r="CE285" s="872">
        <f ca="1">(CE277/CD277*CE303+CE280/CD280*CE306+CE281/CD281*CE307)/(CE303+CE306+CE307)*CD285</f>
        <v>97.835339055593693</v>
      </c>
      <c r="CF285" s="872">
        <f ca="1">(CF277/CD277*CF303+CF280/CD280*CF306+CF281/CD281*CF307)/(CF303+CF306+CF307)*CD285</f>
        <v>98.74566166508238</v>
      </c>
      <c r="CG285" s="872">
        <f ca="1">(CG277/CD277*CG303+CG280/CD280*CG306+CG281/CD281*CG307)/(CG303+CG306+CG307)*CD285</f>
        <v>99.029316619841509</v>
      </c>
      <c r="CH285" s="872">
        <f ca="1">(CH277/CD277*CH303+CH280/CD280*CH306+CH281/CD281*CH307)/(CH303+CH306+CH307)*CD285</f>
        <v>99.574341373440859</v>
      </c>
      <c r="CI285" s="872">
        <f ca="1">(CI277/CH277*CI303+CI280/CH280*CI306+CI281/CH281*CI307)/(CI303+CI306+CI307)*CH285</f>
        <v>99.012432059900988</v>
      </c>
      <c r="CJ285" s="872">
        <f ca="1">(CJ277/CH277*CJ303+CJ280/CH280*CJ306+CJ281/CH281*CJ307)/(CJ303+CJ306+CJ307)*CH285</f>
        <v>99.915956421684811</v>
      </c>
      <c r="CK285" s="872">
        <f ca="1">(CK277/CH277*CK303+CK280/CH280*CK306+CK281/CH281*CK307)/(CK303+CK306+CK307)*CH285</f>
        <v>100.06829764675093</v>
      </c>
      <c r="CL285" s="872">
        <f ca="1">(CL277/CH277*CL303+CL280/CH280*CL306+CL281/CH281*CL307)/(CL303+CL306+CL307)*CH285</f>
        <v>101.06504322338208</v>
      </c>
      <c r="CM285" s="872">
        <f ca="1">(CM277/CL277*CM303+CM280/CL280*CM306+CM281/CL281*CM307)/(CM303+CM306+CM307)*CL285</f>
        <v>100.88119620988336</v>
      </c>
      <c r="CN285" s="872">
        <f ca="1">(CN277/CL277*CN303+CN280/CL280*CN306+CN281/CL281*CN307)/(CN303+CN306+CN307)*CL285</f>
        <v>101.94639107535463</v>
      </c>
      <c r="CO285" s="872">
        <f ca="1">(CO277/CL277*CO303+CO280/CL280*CO306+CO281/CL281*CO307)/(CO303+CO306+CO307)*CL285</f>
        <v>101.78142347572455</v>
      </c>
      <c r="CP285" s="872">
        <f ca="1">(CP277/CL277*CP303+CP280/CL280*CP306+CP281/CL281*CP307)/(CP303+CP306+CP307)*CL285</f>
        <v>102.89253133113422</v>
      </c>
      <c r="CQ285" s="872">
        <f ca="1">(CQ277/CP277*CQ303+CQ280/CP280*CQ306+CQ281/CP281*CQ307)/(CQ303+CQ306+CQ307)*CP285</f>
        <v>103.48379934282852</v>
      </c>
      <c r="CR285" s="872">
        <f ca="1">(CR277/CP277*CR303+CR280/CP280*CR306+CR281/CP281*CR307)/(CR303+CR306+CR307)*CP285</f>
        <v>105.95084849801918</v>
      </c>
      <c r="CS285" s="872">
        <f ca="1">(CS277/CP277*CS303+CS280/CP280*CS306+CS281/CP281*CS307)/(CS303+CS306+CS307)*CP285</f>
        <v>106.53366510803096</v>
      </c>
      <c r="CT285" s="872">
        <f ca="1">(CT277/CP277*CT303+CT280/CP280*CT306+CT281/CP281*CT307)/(CT303+CT306+CT307)*CP285</f>
        <v>107.157138969011</v>
      </c>
      <c r="CU285" s="872">
        <f ca="1">(CU277/CT277*CU303+CU280/CT280*CU306+CU281/CT281*CU307)/(CU303+CU306+CU307)*CT285</f>
        <v>106.84077339141811</v>
      </c>
      <c r="CV285" s="872">
        <f ca="1">(CV277/CT277*CV303+CV280/CT280*CV306+CV281/CT281*CV307)/(CV303+CV306+CV307)*CT285</f>
        <v>108.4154378136659</v>
      </c>
      <c r="CW285" s="872">
        <f ca="1">(CW277/CT277*CW303+CW280/CT280*CW306+CW281/CT281*CW307)/(CW303+CW306+CW307)*CT285</f>
        <v>108.92248375824404</v>
      </c>
      <c r="CX285" s="872">
        <f ca="1">(CX277/CT277*CX303+CX280/CT280*CX306+CX281/CT281*CX307)/(CX303+CX306+CX307)*CT285</f>
        <v>110.06723454983961</v>
      </c>
      <c r="CY285" s="872">
        <f ca="1">(CY277/CX277*CY303+CY280/CX280*CY306+CY281/CX281*CY307)/(CY303+CY306+CY307)*CX285</f>
        <v>110.29132297425529</v>
      </c>
      <c r="CZ285" s="872">
        <f ca="1">(CZ277/CX277*CZ303+CZ280/CX280*CZ306+CZ281/CX281*CZ307)/(CZ303+CZ306+CZ307)*CX285</f>
        <v>111.5374538987332</v>
      </c>
      <c r="DA285" s="872">
        <f ca="1">(DA277/CX277*DA303+DA280/CX280*DA306+DA281/CX281*DA307)/(DA303+DA306+DA307)*CX285</f>
        <v>111.6298083678538</v>
      </c>
      <c r="DB285" s="872">
        <f ca="1">(DB277/CX277*DB303+DB280/CX280*DB306+DB281/CX281*DB307)/(DB303+DB306+DB307)*CX285</f>
        <v>112.37429167223762</v>
      </c>
    </row>
    <row r="286" spans="1:119" customFormat="1">
      <c r="A286" s="664" t="str">
        <f>"Q" &amp; ROW(InputQ!A23)</f>
        <v>Q23</v>
      </c>
      <c r="B286" s="664">
        <v>166</v>
      </c>
      <c r="C286" s="3617"/>
      <c r="D286" s="1055"/>
      <c r="E286" s="1056" t="s">
        <v>924</v>
      </c>
      <c r="F286" s="1055"/>
      <c r="G286" s="1057" t="str">
        <f>+InputQ!G23</f>
        <v>:</v>
      </c>
      <c r="H286" s="1057" t="str">
        <f>+InputQ!H23</f>
        <v>:</v>
      </c>
      <c r="I286" s="1057" t="str">
        <f>+InputQ!I23</f>
        <v>:</v>
      </c>
      <c r="J286" s="1057" t="str">
        <f>+InputQ!J23</f>
        <v>:</v>
      </c>
      <c r="K286" s="1057">
        <f>+InputQ!K23</f>
        <v>60.53</v>
      </c>
      <c r="L286" s="1057">
        <f>+InputQ!L23</f>
        <v>62.146666666666668</v>
      </c>
      <c r="M286" s="1057">
        <f>+InputQ!M23</f>
        <v>63.609999999999992</v>
      </c>
      <c r="N286" s="1057">
        <f>+InputQ!N23</f>
        <v>65.336666666666673</v>
      </c>
      <c r="O286" s="1057">
        <f>+InputQ!O23</f>
        <v>68.069999999999993</v>
      </c>
      <c r="P286" s="1057">
        <f>+InputQ!P23</f>
        <v>68.913333333333327</v>
      </c>
      <c r="Q286" s="1057">
        <f>+InputQ!Q23</f>
        <v>69.84</v>
      </c>
      <c r="R286" s="1057">
        <f>+InputQ!R23</f>
        <v>70.81</v>
      </c>
      <c r="S286" s="1057">
        <f>+InputQ!S23</f>
        <v>71.83</v>
      </c>
      <c r="T286" s="1057">
        <f>+InputQ!T23</f>
        <v>72.38</v>
      </c>
      <c r="U286" s="1057">
        <f>+InputQ!U23</f>
        <v>72.720000000000013</v>
      </c>
      <c r="V286" s="1057">
        <f>+InputQ!V23</f>
        <v>73.149999999999991</v>
      </c>
      <c r="W286" s="1057">
        <f>+InputQ!W23</f>
        <v>73.873333333333335</v>
      </c>
      <c r="X286" s="1057">
        <f>+InputQ!X23</f>
        <v>74.029999999999987</v>
      </c>
      <c r="Y286" s="1057">
        <f>+InputQ!Y23</f>
        <v>74.006666666666661</v>
      </c>
      <c r="Z286" s="1057">
        <f>+InputQ!Z23</f>
        <v>73.17</v>
      </c>
      <c r="AA286" s="1057">
        <f>+InputQ!AA23</f>
        <v>73.313333333333333</v>
      </c>
      <c r="AB286" s="1057">
        <f>+InputQ!AB23</f>
        <v>72.95</v>
      </c>
      <c r="AC286" s="1057">
        <f>+InputQ!AC23</f>
        <v>72.81</v>
      </c>
      <c r="AD286" s="1057">
        <f>+InputQ!AD23</f>
        <v>72.7</v>
      </c>
      <c r="AE286" s="1057">
        <f>+InputQ!AE23</f>
        <v>72.836666666666659</v>
      </c>
      <c r="AF286" s="1057">
        <f>+InputQ!AF23</f>
        <v>72.570000000000007</v>
      </c>
      <c r="AG286" s="1057">
        <f>+InputQ!AG23</f>
        <v>72.89</v>
      </c>
      <c r="AH286" s="1057">
        <f>+InputQ!AH23</f>
        <v>73.653333333333322</v>
      </c>
      <c r="AI286" s="1057">
        <f>+InputQ!AI23</f>
        <v>73.643333333333331</v>
      </c>
      <c r="AJ286" s="1057">
        <f>+InputQ!AJ23</f>
        <v>73.226666666666674</v>
      </c>
      <c r="AK286" s="1057">
        <f>+InputQ!AK23</f>
        <v>73.11</v>
      </c>
      <c r="AL286" s="1057">
        <f>+InputQ!AL23</f>
        <v>73.693333333333342</v>
      </c>
      <c r="AM286" s="1057">
        <f>+InputQ!AM23</f>
        <v>74.12</v>
      </c>
      <c r="AN286" s="1057">
        <f>+InputQ!AN23</f>
        <v>74.266666666666666</v>
      </c>
      <c r="AO286" s="1057">
        <f>+InputQ!AO23</f>
        <v>73.696666666666673</v>
      </c>
      <c r="AP286" s="1057">
        <f>+InputQ!AP23</f>
        <v>73.61</v>
      </c>
      <c r="AQ286" s="1057">
        <f>+InputQ!AQ23</f>
        <v>73.58</v>
      </c>
      <c r="AR286" s="1057">
        <f>+InputQ!AR23</f>
        <v>74.486666666666665</v>
      </c>
      <c r="AS286" s="1057">
        <f>+InputQ!AS23</f>
        <v>74.543333333333337</v>
      </c>
      <c r="AT286" s="1057">
        <f>+InputQ!AT23</f>
        <v>74.98</v>
      </c>
      <c r="AU286" s="1057">
        <f>+InputQ!AU23</f>
        <v>74.75333333333333</v>
      </c>
      <c r="AV286" s="1057">
        <f>+InputQ!AV23</f>
        <v>75.19</v>
      </c>
      <c r="AW286" s="1057">
        <f>+InputQ!AW23</f>
        <v>75.320000000000007</v>
      </c>
      <c r="AX286" s="1057">
        <f>+InputQ!AX23</f>
        <v>76.12</v>
      </c>
      <c r="AY286" s="1057">
        <f>+InputQ!AY23</f>
        <v>75.986666666666665</v>
      </c>
      <c r="AZ286" s="1057">
        <f>+InputQ!AZ23</f>
        <v>76.63333333333334</v>
      </c>
      <c r="BA286" s="1057">
        <f>+InputQ!BA23</f>
        <v>77.33</v>
      </c>
      <c r="BB286" s="1057">
        <f>+InputQ!BB23</f>
        <v>78.63</v>
      </c>
      <c r="BC286" s="1057">
        <f>+InputQ!BC23</f>
        <v>78.959999999999994</v>
      </c>
      <c r="BD286" s="1057">
        <f>+InputQ!BD23</f>
        <v>80.03</v>
      </c>
      <c r="BE286" s="1057">
        <f>+InputQ!BE23</f>
        <v>81.553333333333327</v>
      </c>
      <c r="BF286" s="1057">
        <f>+InputQ!BF23</f>
        <v>84.123333333333335</v>
      </c>
      <c r="BG286" s="1057">
        <f>+InputQ!BG23</f>
        <v>86.08</v>
      </c>
      <c r="BH286" s="1057">
        <f>+InputQ!BH23</f>
        <v>88.54</v>
      </c>
      <c r="BI286" s="1057">
        <f>+InputQ!BI23</f>
        <v>89.58</v>
      </c>
      <c r="BJ286" s="872">
        <f t="shared" ref="BJ286:BR286" ca="1" si="681">+BF286*(1+BJ319/100)</f>
        <v>90.673918616416543</v>
      </c>
      <c r="BK286" s="872">
        <f t="shared" ca="1" si="681"/>
        <v>92.152129407368363</v>
      </c>
      <c r="BL286" s="872">
        <f t="shared" ca="1" si="681"/>
        <v>91.968480703636999</v>
      </c>
      <c r="BM286" s="872">
        <f t="shared" ca="1" si="681"/>
        <v>91.530398101401616</v>
      </c>
      <c r="BN286" s="872">
        <f t="shared" ca="1" si="681"/>
        <v>92.23415017468524</v>
      </c>
      <c r="BO286" s="872">
        <f t="shared" ca="1" si="681"/>
        <v>91.740494413843621</v>
      </c>
      <c r="BP286" s="872">
        <f t="shared" ca="1" si="681"/>
        <v>91.784659639222468</v>
      </c>
      <c r="BQ286" s="872">
        <f t="shared" ca="1" si="681"/>
        <v>91.77099443751132</v>
      </c>
      <c r="BR286" s="872">
        <f t="shared" ca="1" si="681"/>
        <v>92.467621926500414</v>
      </c>
      <c r="BS286" s="872">
        <f t="shared" ref="BS286:CD286" ca="1" si="682">+BO286*(1+BS319/100)</f>
        <v>92.753430077424696</v>
      </c>
      <c r="BT286" s="872">
        <f t="shared" ca="1" si="682"/>
        <v>94.452469974478944</v>
      </c>
      <c r="BU286" s="872">
        <f t="shared" ca="1" si="682"/>
        <v>94.513381062320576</v>
      </c>
      <c r="BV286" s="872">
        <f t="shared" ca="1" si="682"/>
        <v>94.816618164877937</v>
      </c>
      <c r="BW286" s="872">
        <f t="shared" ca="1" si="682"/>
        <v>95.069366098431843</v>
      </c>
      <c r="BX286" s="872">
        <f t="shared" ca="1" si="682"/>
        <v>96.43272610007385</v>
      </c>
      <c r="BY286" s="872">
        <f t="shared" ca="1" si="682"/>
        <v>96.749235162366318</v>
      </c>
      <c r="BZ286" s="872">
        <f t="shared" ca="1" si="682"/>
        <v>97.242511081053962</v>
      </c>
      <c r="CA286" s="872">
        <f ca="1">+BW286*(1+CA319/100)</f>
        <v>96.898270463672986</v>
      </c>
      <c r="CB286" s="872">
        <f ca="1">+BX286*(1+CB319/100)</f>
        <v>97.810367483142599</v>
      </c>
      <c r="CC286" s="872">
        <f t="shared" ca="1" si="682"/>
        <v>97.864638734705295</v>
      </c>
      <c r="CD286" s="872">
        <f t="shared" ca="1" si="682"/>
        <v>98.311941385447128</v>
      </c>
      <c r="CE286" s="872">
        <f t="shared" ref="CE286:CL286" ca="1" si="683">+CA286*(1+CE319/100)</f>
        <v>97.841369176650019</v>
      </c>
      <c r="CF286" s="872">
        <f t="shared" ca="1" si="683"/>
        <v>98.749349145079393</v>
      </c>
      <c r="CG286" s="872">
        <f t="shared" ca="1" si="683"/>
        <v>99.028619514040386</v>
      </c>
      <c r="CH286" s="872">
        <f t="shared" ca="1" si="683"/>
        <v>99.571168357564375</v>
      </c>
      <c r="CI286" s="872">
        <f t="shared" ca="1" si="683"/>
        <v>99.018534731565097</v>
      </c>
      <c r="CJ286" s="872">
        <f t="shared" ca="1" si="683"/>
        <v>99.919687604244885</v>
      </c>
      <c r="CK286" s="872">
        <f t="shared" ca="1" si="683"/>
        <v>100.06759322715905</v>
      </c>
      <c r="CL286" s="872">
        <f t="shared" ca="1" si="683"/>
        <v>101.06182270510114</v>
      </c>
      <c r="CM286" s="872">
        <f t="shared" ref="CM286:CT286" ca="1" si="684">+CI286*(1+CM319/100)</f>
        <v>100.88741406358864</v>
      </c>
      <c r="CN286" s="872">
        <f t="shared" ca="1" si="684"/>
        <v>101.95019808086271</v>
      </c>
      <c r="CO286" s="872">
        <f t="shared" ca="1" si="684"/>
        <v>101.78070699677495</v>
      </c>
      <c r="CP286" s="872">
        <f t="shared" ca="1" si="684"/>
        <v>102.88925257848587</v>
      </c>
      <c r="CQ286" s="872">
        <f t="shared" ca="1" si="684"/>
        <v>103.49017760904022</v>
      </c>
      <c r="CR286" s="872">
        <f t="shared" ca="1" si="684"/>
        <v>105.95480504282241</v>
      </c>
      <c r="CS286" s="872">
        <f t="shared" ca="1" si="684"/>
        <v>106.53291517620778</v>
      </c>
      <c r="CT286" s="872">
        <f t="shared" ca="1" si="684"/>
        <v>107.1537243212359</v>
      </c>
      <c r="CU286" s="872">
        <f t="shared" ref="CU286:DB286" ca="1" si="685">+CQ286*(1+CU319/100)</f>
        <v>106.84735856609552</v>
      </c>
      <c r="CV286" s="872">
        <f t="shared" ca="1" si="685"/>
        <v>108.41948639414595</v>
      </c>
      <c r="CW286" s="872">
        <f t="shared" ca="1" si="685"/>
        <v>108.9217170105991</v>
      </c>
      <c r="CX286" s="872">
        <f t="shared" ca="1" si="685"/>
        <v>110.06372716954574</v>
      </c>
      <c r="CY286" s="872">
        <f t="shared" ca="1" si="685"/>
        <v>110.29812082496466</v>
      </c>
      <c r="CZ286" s="872">
        <f t="shared" ca="1" si="685"/>
        <v>111.54161906531608</v>
      </c>
      <c r="DA286" s="872">
        <f t="shared" ca="1" si="685"/>
        <v>111.62902256229998</v>
      </c>
      <c r="DB286" s="872">
        <f t="shared" ca="1" si="685"/>
        <v>112.37071077572685</v>
      </c>
    </row>
    <row r="287" spans="1:119" s="1003" customFormat="1">
      <c r="A287" s="673"/>
      <c r="B287" s="673"/>
      <c r="C287" s="1007"/>
      <c r="D287" s="1008"/>
      <c r="E287" s="1009" t="s">
        <v>616</v>
      </c>
      <c r="F287" s="1008"/>
      <c r="G287" s="1010"/>
      <c r="H287" s="1010"/>
      <c r="I287" s="1010"/>
      <c r="J287" s="1010"/>
      <c r="K287" s="2886"/>
      <c r="L287" s="2886"/>
      <c r="M287" s="2886"/>
      <c r="N287" s="2886">
        <f t="shared" ref="N287:BB287" si="686">(N286-N285)</f>
        <v>0</v>
      </c>
      <c r="O287" s="2886">
        <f t="shared" ca="1" si="686"/>
        <v>1.0341945343029124E-2</v>
      </c>
      <c r="P287" s="2886">
        <f t="shared" ca="1" si="686"/>
        <v>1.3258419563157986E-2</v>
      </c>
      <c r="Q287" s="2886">
        <f t="shared" ca="1" si="686"/>
        <v>1.7511256513884632E-2</v>
      </c>
      <c r="R287" s="2886">
        <f t="shared" ca="1" si="686"/>
        <v>2.1406750812758446E-2</v>
      </c>
      <c r="S287" s="2886">
        <f t="shared" ca="1" si="686"/>
        <v>-5.179249010424769E-3</v>
      </c>
      <c r="T287" s="2886">
        <f t="shared" ca="1" si="686"/>
        <v>-7.9887301177450354E-4</v>
      </c>
      <c r="U287" s="2886">
        <f t="shared" ca="1" si="686"/>
        <v>-4.0374146142880818E-3</v>
      </c>
      <c r="V287" s="2886">
        <f t="shared" ca="1" si="686"/>
        <v>-1.6623645277462629E-3</v>
      </c>
      <c r="W287" s="2886">
        <f t="shared" ca="1" si="686"/>
        <v>2.3467155742054047E-3</v>
      </c>
      <c r="X287" s="2886">
        <f t="shared" ca="1" si="686"/>
        <v>6.9514130199337387E-3</v>
      </c>
      <c r="Y287" s="2886">
        <f t="shared" ca="1" si="686"/>
        <v>6.3471347533834432E-3</v>
      </c>
      <c r="Z287" s="2886">
        <f t="shared" ca="1" si="686"/>
        <v>4.9510499999598778E-3</v>
      </c>
      <c r="AA287" s="2886">
        <f t="shared" ca="1" si="686"/>
        <v>-1.4121278353655953E-3</v>
      </c>
      <c r="AB287" s="2886">
        <f t="shared" ca="1" si="686"/>
        <v>-3.3713609951746548E-4</v>
      </c>
      <c r="AC287" s="2886">
        <f t="shared" ca="1" si="686"/>
        <v>-1.066527285331631E-3</v>
      </c>
      <c r="AD287" s="2886">
        <f t="shared" ca="1" si="686"/>
        <v>-4.1092680576895191E-3</v>
      </c>
      <c r="AE287" s="2886">
        <f t="shared" ca="1" si="686"/>
        <v>-1.1444306307325292E-2</v>
      </c>
      <c r="AF287" s="2886">
        <f t="shared" ca="1" si="686"/>
        <v>-1.2388172758036831E-2</v>
      </c>
      <c r="AG287" s="2886">
        <f t="shared" ca="1" si="686"/>
        <v>-1.1339254399487686E-2</v>
      </c>
      <c r="AH287" s="2886">
        <f t="shared" ca="1" si="686"/>
        <v>-1.1628125019157665E-2</v>
      </c>
      <c r="AI287" s="2886">
        <f t="shared" ca="1" si="686"/>
        <v>1.6572383415834224E-2</v>
      </c>
      <c r="AJ287" s="2886">
        <f t="shared" ca="1" si="686"/>
        <v>1.6563532576000739E-2</v>
      </c>
      <c r="AK287" s="2886">
        <f t="shared" ca="1" si="686"/>
        <v>1.1429698480256434E-2</v>
      </c>
      <c r="AL287" s="2886">
        <f t="shared" ca="1" si="686"/>
        <v>1.5123043099521283E-2</v>
      </c>
      <c r="AM287" s="2886">
        <f t="shared" si="686"/>
        <v>-24.22999999999999</v>
      </c>
      <c r="AN287" s="2886">
        <f t="shared" si="686"/>
        <v>-24.236666666666665</v>
      </c>
      <c r="AO287" s="2886">
        <f t="shared" si="686"/>
        <v>-24.126666666666651</v>
      </c>
      <c r="AP287" s="2886">
        <f t="shared" si="686"/>
        <v>-24.093333333333334</v>
      </c>
      <c r="AQ287" s="2886">
        <f t="shared" ca="1" si="686"/>
        <v>9.3665236917246375E-3</v>
      </c>
      <c r="AR287" s="2886">
        <f t="shared" ca="1" si="686"/>
        <v>8.2220384885260955E-3</v>
      </c>
      <c r="AS287" s="2886">
        <f t="shared" ca="1" si="686"/>
        <v>1.3372810953683256E-2</v>
      </c>
      <c r="AT287" s="2886">
        <f t="shared" ca="1" si="686"/>
        <v>1.0445903666251866E-2</v>
      </c>
      <c r="AU287" s="2886">
        <f t="shared" ca="1" si="686"/>
        <v>4.1232281016334582E-3</v>
      </c>
      <c r="AV287" s="2886">
        <f t="shared" ca="1" si="686"/>
        <v>6.1523382723436271E-3</v>
      </c>
      <c r="AW287" s="2886">
        <f t="shared" ca="1" si="686"/>
        <v>6.9139128016075801E-3</v>
      </c>
      <c r="AX287" s="2886">
        <f t="shared" ca="1" si="686"/>
        <v>2.3920378511945728E-3</v>
      </c>
      <c r="AY287" s="2886">
        <f t="shared" ca="1" si="686"/>
        <v>3.5676796644992237E-3</v>
      </c>
      <c r="AZ287" s="2886">
        <f t="shared" ca="1" si="686"/>
        <v>7.2377148171227645E-3</v>
      </c>
      <c r="BA287" s="2886">
        <f t="shared" ca="1" si="686"/>
        <v>4.6656254606602943E-3</v>
      </c>
      <c r="BB287" s="2886">
        <f t="shared" ca="1" si="686"/>
        <v>5.341475883923863E-3</v>
      </c>
      <c r="BC287" s="2886">
        <f t="shared" ref="BC287:BN287" ca="1" si="687">(BC286-BC285)</f>
        <v>2.263559516890723E-3</v>
      </c>
      <c r="BD287" s="2886">
        <f t="shared" ca="1" si="687"/>
        <v>8.310045728464388E-3</v>
      </c>
      <c r="BE287" s="2886">
        <f t="shared" ca="1" si="687"/>
        <v>2.9000477679943515E-3</v>
      </c>
      <c r="BF287" s="2886">
        <f t="shared" ca="1" si="687"/>
        <v>-2.680742594975527E-3</v>
      </c>
      <c r="BG287" s="2886">
        <f ca="1">(BG286-BG285)</f>
        <v>5.305248944239338E-3</v>
      </c>
      <c r="BH287" s="2886">
        <f ca="1">(BH286-BH285)</f>
        <v>3.3062443627187577E-3</v>
      </c>
      <c r="BI287" s="2886">
        <f ca="1">(BI286-BI285)</f>
        <v>-6.3059283235133989E-4</v>
      </c>
      <c r="BJ287" s="2886">
        <f t="shared" ca="1" si="687"/>
        <v>-2.8894888761215043E-3</v>
      </c>
      <c r="BK287" s="2886">
        <f t="shared" ca="1" si="687"/>
        <v>5.6794840526066537E-3</v>
      </c>
      <c r="BL287" s="2886">
        <f t="shared" ca="1" si="687"/>
        <v>3.4342700573120055E-3</v>
      </c>
      <c r="BM287" s="2886">
        <f t="shared" ca="1" si="687"/>
        <v>-6.4432253834922903E-4</v>
      </c>
      <c r="BN287" s="2886">
        <f t="shared" ca="1" si="687"/>
        <v>-2.9392084845909494E-3</v>
      </c>
      <c r="BO287" s="2886">
        <f t="shared" ref="BO287:BZ287" ca="1" si="688">(BO286-BO285)</f>
        <v>5.6541143254236204E-3</v>
      </c>
      <c r="BP287" s="2886">
        <f t="shared" ca="1" si="688"/>
        <v>3.4274058450023404E-3</v>
      </c>
      <c r="BQ287" s="2886">
        <f t="shared" ca="1" si="688"/>
        <v>-6.4601620127291426E-4</v>
      </c>
      <c r="BR287" s="2886">
        <f t="shared" ca="1" si="688"/>
        <v>-2.9466484854197006E-3</v>
      </c>
      <c r="BS287" s="2886">
        <f ca="1">(BS286-BS285)</f>
        <v>5.7165431806822653E-3</v>
      </c>
      <c r="BT287" s="2886">
        <f ca="1">(BT286-BT285)</f>
        <v>3.5270267268856514E-3</v>
      </c>
      <c r="BU287" s="2886">
        <f ca="1">(BU286-BU285)</f>
        <v>-6.6532106116312661E-4</v>
      </c>
      <c r="BV287" s="2886">
        <f ca="1">(BV286-BV285)</f>
        <v>-3.0215035110359167E-3</v>
      </c>
      <c r="BW287" s="2886">
        <f t="shared" ca="1" si="688"/>
        <v>5.859278045122096E-3</v>
      </c>
      <c r="BX287" s="2886">
        <f ca="1">(BX286-BX285)</f>
        <v>3.6009730861934486E-3</v>
      </c>
      <c r="BY287" s="2886">
        <f ca="1">(BY286-BY285)</f>
        <v>-6.8106021689118279E-4</v>
      </c>
      <c r="BZ287" s="2886">
        <f t="shared" ca="1" si="688"/>
        <v>-3.0988089887671322E-3</v>
      </c>
      <c r="CA287" s="2886">
        <f ca="1">(CA286-CA285)</f>
        <v>5.9719963647353325E-3</v>
      </c>
      <c r="CB287" s="2886">
        <f ca="1">(CB286-CB285)</f>
        <v>3.6524167168323629E-3</v>
      </c>
      <c r="CC287" s="2886">
        <f t="shared" ref="CC287:CH287" ca="1" si="689">(CC286-CC285)</f>
        <v>-6.8891203089549435E-4</v>
      </c>
      <c r="CD287" s="2886">
        <f t="shared" ca="1" si="689"/>
        <v>-3.1328883250978379E-3</v>
      </c>
      <c r="CE287" s="2886">
        <f t="shared" ca="1" si="689"/>
        <v>6.0301210563267205E-3</v>
      </c>
      <c r="CF287" s="2886">
        <f t="shared" ca="1" si="689"/>
        <v>3.687479997012133E-3</v>
      </c>
      <c r="CG287" s="2886">
        <f t="shared" ca="1" si="689"/>
        <v>-6.9710580112314346E-4</v>
      </c>
      <c r="CH287" s="2886">
        <f t="shared" ca="1" si="689"/>
        <v>-3.1730158764844418E-3</v>
      </c>
      <c r="CI287" s="2886">
        <f t="shared" ref="CI287:CP287" ca="1" si="690">(CI286-CI285)</f>
        <v>6.1026716641094936E-3</v>
      </c>
      <c r="CJ287" s="2886">
        <f t="shared" ca="1" si="690"/>
        <v>3.7311825600738757E-3</v>
      </c>
      <c r="CK287" s="2886">
        <f t="shared" ca="1" si="690"/>
        <v>-7.0441959188372039E-4</v>
      </c>
      <c r="CL287" s="2886">
        <f t="shared" ca="1" si="690"/>
        <v>-3.2205182809406097E-3</v>
      </c>
      <c r="CM287" s="2886">
        <f t="shared" ca="1" si="690"/>
        <v>6.217853705280163E-3</v>
      </c>
      <c r="CN287" s="2886">
        <f t="shared" ca="1" si="690"/>
        <v>3.8070055080794418E-3</v>
      </c>
      <c r="CO287" s="2886">
        <f t="shared" ca="1" si="690"/>
        <v>-7.1647894959880887E-4</v>
      </c>
      <c r="CP287" s="2886">
        <f t="shared" ca="1" si="690"/>
        <v>-3.2787526483559759E-3</v>
      </c>
      <c r="CQ287" s="2886">
        <f t="shared" ref="CQ287:CX287" ca="1" si="691">(CQ286-CQ285)</f>
        <v>6.3782662116977917E-3</v>
      </c>
      <c r="CR287" s="2886">
        <f t="shared" ca="1" si="691"/>
        <v>3.9565448032305994E-3</v>
      </c>
      <c r="CS287" s="2886">
        <f t="shared" ca="1" si="691"/>
        <v>-7.49931823179395E-4</v>
      </c>
      <c r="CT287" s="2886">
        <f t="shared" ca="1" si="691"/>
        <v>-3.414647775102253E-3</v>
      </c>
      <c r="CU287" s="2886">
        <f t="shared" ca="1" si="691"/>
        <v>6.5851746774114872E-3</v>
      </c>
      <c r="CV287" s="2886">
        <f t="shared" ca="1" si="691"/>
        <v>4.0485804800454162E-3</v>
      </c>
      <c r="CW287" s="2886">
        <f t="shared" ca="1" si="691"/>
        <v>-7.6674764494555347E-4</v>
      </c>
      <c r="CX287" s="2886">
        <f t="shared" ca="1" si="691"/>
        <v>-3.507380293868323E-3</v>
      </c>
      <c r="CY287" s="2886">
        <f t="shared" ref="CY287:DB287" ca="1" si="692">(CY286-CY285)</f>
        <v>6.7978507093613416E-3</v>
      </c>
      <c r="CZ287" s="2886">
        <f t="shared" ca="1" si="692"/>
        <v>4.1651665828794648E-3</v>
      </c>
      <c r="DA287" s="2886">
        <f t="shared" ca="1" si="692"/>
        <v>-7.8580555381790873E-4</v>
      </c>
      <c r="DB287" s="2886">
        <f t="shared" ca="1" si="692"/>
        <v>-3.5808965107690938E-3</v>
      </c>
      <c r="DC287"/>
      <c r="DD287"/>
      <c r="DE287"/>
      <c r="DF287"/>
      <c r="DG287"/>
      <c r="DH287"/>
      <c r="DI287"/>
      <c r="DJ287"/>
      <c r="DK287"/>
      <c r="DL287"/>
      <c r="DM287"/>
      <c r="DN287"/>
      <c r="DO287"/>
    </row>
    <row r="288" spans="1:119">
      <c r="E288" s="599"/>
      <c r="F288" s="3617"/>
      <c r="AY288" s="217"/>
      <c r="BA288" s="217"/>
      <c r="BB288" s="217"/>
      <c r="BC288" s="217"/>
      <c r="BD288" s="217"/>
      <c r="BE288" s="217"/>
      <c r="BF288" s="217"/>
      <c r="BG288" s="217"/>
      <c r="BH288" s="217"/>
      <c r="BI288" s="217"/>
      <c r="CH288" s="3056"/>
      <c r="CL288" s="3056"/>
      <c r="CM288" s="557"/>
      <c r="CN288" s="557"/>
      <c r="CO288" s="557"/>
      <c r="CP288" s="3056"/>
      <c r="CQ288" s="557"/>
      <c r="CR288" s="557"/>
      <c r="CS288" s="557"/>
      <c r="CT288" s="3056"/>
      <c r="CU288" s="557"/>
      <c r="CV288" s="557"/>
      <c r="CW288" s="557"/>
      <c r="CX288" s="3056"/>
      <c r="CY288" s="557"/>
      <c r="CZ288" s="557"/>
      <c r="DA288" s="557"/>
      <c r="DB288" s="3056"/>
    </row>
    <row r="289" spans="1:119" s="699" customFormat="1" ht="12.75" customHeight="1">
      <c r="A289" s="664"/>
      <c r="B289" s="664"/>
      <c r="C289" s="666"/>
      <c r="D289" s="695"/>
      <c r="E289" s="3618" t="s">
        <v>1420</v>
      </c>
      <c r="F289" s="3619"/>
      <c r="G289" s="1566" t="s">
        <v>1842</v>
      </c>
      <c r="H289" s="1567" t="s">
        <v>1843</v>
      </c>
      <c r="I289" s="1567" t="s">
        <v>1844</v>
      </c>
      <c r="J289" s="1567" t="s">
        <v>1845</v>
      </c>
      <c r="K289" s="1567" t="s">
        <v>1842</v>
      </c>
      <c r="L289" s="1567" t="s">
        <v>1843</v>
      </c>
      <c r="M289" s="1567" t="s">
        <v>1844</v>
      </c>
      <c r="N289" s="1567" t="s">
        <v>1845</v>
      </c>
      <c r="O289" s="1567" t="s">
        <v>1842</v>
      </c>
      <c r="P289" s="1567" t="s">
        <v>1843</v>
      </c>
      <c r="Q289" s="1567" t="s">
        <v>1844</v>
      </c>
      <c r="R289" s="1567" t="s">
        <v>1845</v>
      </c>
      <c r="S289" s="1567" t="s">
        <v>1842</v>
      </c>
      <c r="T289" s="1567" t="s">
        <v>1843</v>
      </c>
      <c r="U289" s="1567" t="s">
        <v>1844</v>
      </c>
      <c r="V289" s="1567" t="s">
        <v>1845</v>
      </c>
      <c r="W289" s="1567" t="s">
        <v>1842</v>
      </c>
      <c r="X289" s="1567" t="s">
        <v>1843</v>
      </c>
      <c r="Y289" s="1567" t="s">
        <v>1844</v>
      </c>
      <c r="Z289" s="1567" t="s">
        <v>1845</v>
      </c>
      <c r="AA289" s="1567" t="s">
        <v>1842</v>
      </c>
      <c r="AB289" s="1567" t="s">
        <v>1843</v>
      </c>
      <c r="AC289" s="1567" t="s">
        <v>1844</v>
      </c>
      <c r="AD289" s="1567" t="s">
        <v>1845</v>
      </c>
      <c r="AE289" s="1567" t="s">
        <v>1842</v>
      </c>
      <c r="AF289" s="1567" t="s">
        <v>1843</v>
      </c>
      <c r="AG289" s="1567" t="s">
        <v>1844</v>
      </c>
      <c r="AH289" s="1567" t="s">
        <v>1845</v>
      </c>
      <c r="AI289" s="1567" t="s">
        <v>1842</v>
      </c>
      <c r="AJ289" s="1567" t="s">
        <v>1843</v>
      </c>
      <c r="AK289" s="1567" t="s">
        <v>1844</v>
      </c>
      <c r="AL289" s="1567" t="s">
        <v>1845</v>
      </c>
      <c r="AM289" s="1567" t="s">
        <v>1842</v>
      </c>
      <c r="AN289" s="1567" t="s">
        <v>1843</v>
      </c>
      <c r="AO289" s="1567" t="s">
        <v>1844</v>
      </c>
      <c r="AP289" s="1567" t="s">
        <v>1845</v>
      </c>
      <c r="AQ289" s="1567" t="s">
        <v>1842</v>
      </c>
      <c r="AR289" s="1567" t="s">
        <v>1843</v>
      </c>
      <c r="AS289" s="1567" t="s">
        <v>1844</v>
      </c>
      <c r="AT289" s="1567" t="s">
        <v>1845</v>
      </c>
      <c r="AU289" s="1567" t="s">
        <v>1842</v>
      </c>
      <c r="AV289" s="1567" t="s">
        <v>1843</v>
      </c>
      <c r="AW289" s="1567" t="s">
        <v>1844</v>
      </c>
      <c r="AX289" s="1567" t="s">
        <v>1845</v>
      </c>
      <c r="AY289" s="1567" t="s">
        <v>1842</v>
      </c>
      <c r="AZ289" s="1567" t="s">
        <v>1843</v>
      </c>
      <c r="BA289" s="1567" t="s">
        <v>1844</v>
      </c>
      <c r="BB289" s="1567" t="s">
        <v>1845</v>
      </c>
      <c r="BC289" s="1567" t="s">
        <v>1842</v>
      </c>
      <c r="BD289" s="1567" t="s">
        <v>1843</v>
      </c>
      <c r="BE289" s="1567" t="s">
        <v>1844</v>
      </c>
      <c r="BF289" s="1567" t="s">
        <v>1845</v>
      </c>
      <c r="BG289" s="1567" t="s">
        <v>1842</v>
      </c>
      <c r="BH289" s="1567" t="s">
        <v>1843</v>
      </c>
      <c r="BI289" s="1567" t="s">
        <v>1844</v>
      </c>
      <c r="BJ289" s="1567" t="s">
        <v>1845</v>
      </c>
      <c r="BK289" s="1567" t="s">
        <v>1842</v>
      </c>
      <c r="BL289" s="1567" t="s">
        <v>1843</v>
      </c>
      <c r="BM289" s="1567" t="s">
        <v>1844</v>
      </c>
      <c r="BN289" s="1567" t="s">
        <v>1845</v>
      </c>
      <c r="BO289" s="1567" t="s">
        <v>1842</v>
      </c>
      <c r="BP289" s="1567" t="s">
        <v>1843</v>
      </c>
      <c r="BQ289" s="1567" t="s">
        <v>1844</v>
      </c>
      <c r="BR289" s="1567" t="s">
        <v>1845</v>
      </c>
      <c r="BS289" s="1567" t="s">
        <v>1842</v>
      </c>
      <c r="BT289" s="1567" t="s">
        <v>1843</v>
      </c>
      <c r="BU289" s="1567" t="s">
        <v>1844</v>
      </c>
      <c r="BV289" s="1567" t="s">
        <v>1845</v>
      </c>
      <c r="BW289" s="1567" t="s">
        <v>1842</v>
      </c>
      <c r="BX289" s="1567" t="s">
        <v>1843</v>
      </c>
      <c r="BY289" s="1567" t="s">
        <v>1844</v>
      </c>
      <c r="BZ289" s="1567" t="s">
        <v>1845</v>
      </c>
      <c r="CA289" s="1567" t="s">
        <v>1842</v>
      </c>
      <c r="CB289" s="1567" t="s">
        <v>1843</v>
      </c>
      <c r="CC289" s="1567" t="s">
        <v>1844</v>
      </c>
      <c r="CD289" s="1567" t="s">
        <v>1845</v>
      </c>
      <c r="CE289" s="1567" t="s">
        <v>1842</v>
      </c>
      <c r="CF289" s="1567" t="s">
        <v>1843</v>
      </c>
      <c r="CG289" s="1567" t="s">
        <v>1844</v>
      </c>
      <c r="CH289" s="1567" t="s">
        <v>1845</v>
      </c>
      <c r="CI289" s="1567" t="s">
        <v>1842</v>
      </c>
      <c r="CJ289" s="1567" t="s">
        <v>1843</v>
      </c>
      <c r="CK289" s="1567" t="s">
        <v>1844</v>
      </c>
      <c r="CL289" s="1567" t="s">
        <v>1845</v>
      </c>
      <c r="CM289" s="1567" t="s">
        <v>1842</v>
      </c>
      <c r="CN289" s="1567" t="s">
        <v>1843</v>
      </c>
      <c r="CO289" s="1567" t="s">
        <v>1844</v>
      </c>
      <c r="CP289" s="1567" t="s">
        <v>1845</v>
      </c>
      <c r="CQ289" s="1567" t="s">
        <v>1842</v>
      </c>
      <c r="CR289" s="1567" t="s">
        <v>1843</v>
      </c>
      <c r="CS289" s="1567" t="s">
        <v>1844</v>
      </c>
      <c r="CT289" s="1567" t="s">
        <v>1845</v>
      </c>
      <c r="CU289" s="1567" t="s">
        <v>1842</v>
      </c>
      <c r="CV289" s="1567" t="s">
        <v>1843</v>
      </c>
      <c r="CW289" s="1567" t="s">
        <v>1844</v>
      </c>
      <c r="CX289" s="1567" t="s">
        <v>1845</v>
      </c>
      <c r="CY289" s="1567" t="s">
        <v>1842</v>
      </c>
      <c r="CZ289" s="1567" t="s">
        <v>1843</v>
      </c>
      <c r="DA289" s="1567" t="s">
        <v>1844</v>
      </c>
      <c r="DB289" s="1567" t="s">
        <v>1845</v>
      </c>
      <c r="DC289"/>
      <c r="DD289"/>
      <c r="DE289"/>
      <c r="DF289"/>
      <c r="DG289"/>
      <c r="DH289"/>
      <c r="DI289"/>
      <c r="DJ289"/>
      <c r="DK289"/>
      <c r="DL289"/>
      <c r="DM289"/>
      <c r="DN289"/>
      <c r="DO289"/>
    </row>
    <row r="290" spans="1:119" s="699" customFormat="1" ht="12.75" customHeight="1">
      <c r="A290" s="664"/>
      <c r="B290" s="664" t="s">
        <v>53</v>
      </c>
      <c r="C290" s="1561"/>
      <c r="D290" s="668"/>
      <c r="E290" s="3620" t="s">
        <v>435</v>
      </c>
      <c r="F290" s="3621"/>
      <c r="G290" s="780"/>
      <c r="H290" s="780"/>
      <c r="I290" s="780"/>
      <c r="J290" s="780"/>
      <c r="K290" s="780"/>
      <c r="L290" s="780"/>
      <c r="M290" s="780"/>
      <c r="N290" s="780">
        <f t="shared" ref="N290:N296" si="693">AVERAGE(K277:N277)</f>
        <v>92.647499999999994</v>
      </c>
      <c r="O290" s="780"/>
      <c r="P290" s="780"/>
      <c r="Q290" s="780"/>
      <c r="R290" s="780">
        <f t="shared" ref="R290:R296" si="694">AVERAGE(O277:R277)</f>
        <v>100.49166666666667</v>
      </c>
      <c r="S290" s="780"/>
      <c r="T290" s="780"/>
      <c r="U290" s="780"/>
      <c r="V290" s="780">
        <f t="shared" ref="V290:V296" si="695">AVERAGE(S277:V277)</f>
        <v>105.71583333333334</v>
      </c>
      <c r="W290" s="780"/>
      <c r="X290" s="780"/>
      <c r="Y290" s="780"/>
      <c r="Z290" s="780">
        <f t="shared" ref="Z290:Z296" si="696">AVERAGE(W277:Z277)</f>
        <v>107.93</v>
      </c>
      <c r="AA290" s="780"/>
      <c r="AB290" s="780"/>
      <c r="AC290" s="780"/>
      <c r="AD290" s="780">
        <f t="shared" ref="AD290:AD296" si="697">AVERAGE(AA277:AD277)</f>
        <v>105.96999999999998</v>
      </c>
      <c r="AE290" s="780"/>
      <c r="AF290" s="780"/>
      <c r="AG290" s="780"/>
      <c r="AH290" s="780">
        <f t="shared" ref="AH290:AH296" si="698">AVERAGE(AE277:AH277)</f>
        <v>103.17249999999999</v>
      </c>
      <c r="AI290" s="780"/>
      <c r="AJ290" s="780"/>
      <c r="AK290" s="780"/>
      <c r="AL290" s="780">
        <f t="shared" ref="AL290:AL296" si="699">AVERAGE(AI277:AL277)</f>
        <v>101.37833333333334</v>
      </c>
      <c r="AM290" s="780"/>
      <c r="AN290" s="780"/>
      <c r="AO290" s="780"/>
      <c r="AP290" s="780">
        <f t="shared" ref="AP290:AP296" si="700">AVERAGE(AM277:AP277)</f>
        <v>99.831666666666649</v>
      </c>
      <c r="AQ290" s="780"/>
      <c r="AR290" s="780"/>
      <c r="AS290" s="780"/>
      <c r="AT290" s="780">
        <f>AVERAGE(AQ277:AT277)</f>
        <v>99.630833333333342</v>
      </c>
      <c r="AU290" s="780"/>
      <c r="AV290" s="780"/>
      <c r="AW290" s="780"/>
      <c r="AX290" s="780">
        <f t="shared" ref="AX290:AX296" si="701">AVERAGE(AU277:AX277)</f>
        <v>98.982500000000016</v>
      </c>
      <c r="AY290" s="780"/>
      <c r="AZ290" s="780"/>
      <c r="BA290" s="780"/>
      <c r="BB290" s="780">
        <f t="shared" ref="BB290:BB296" si="702">AVERAGE(AY277:BB277)</f>
        <v>98.850833333333341</v>
      </c>
      <c r="BC290" s="780"/>
      <c r="BD290" s="780"/>
      <c r="BE290" s="780"/>
      <c r="BF290" s="780">
        <f t="shared" ref="BF290:BF296" si="703">AVERAGE(BC277:BF277)</f>
        <v>98.637499999999989</v>
      </c>
      <c r="BG290" s="780"/>
      <c r="BH290" s="780"/>
      <c r="BI290" s="780"/>
      <c r="BJ290" s="846">
        <f t="shared" ref="BJ290:BJ295" si="704">AVERAGE(BG277:BJ277)</f>
        <v>100.42916666666666</v>
      </c>
      <c r="BK290" s="846"/>
      <c r="BL290" s="846"/>
      <c r="BM290" s="846"/>
      <c r="BN290" s="846">
        <f t="shared" ref="BN290:BN295" si="705">AVERAGE(BK277:BN277)</f>
        <v>100.66833333333334</v>
      </c>
      <c r="BO290" s="846"/>
      <c r="BP290" s="846"/>
      <c r="BQ290" s="846"/>
      <c r="BR290" s="846">
        <f t="shared" ref="BR290:BR295" si="706">AVERAGE(BO277:BR277)</f>
        <v>97.775833333333338</v>
      </c>
      <c r="BS290" s="846"/>
      <c r="BT290" s="846"/>
      <c r="BU290" s="846"/>
      <c r="BV290" s="846">
        <f t="shared" ref="BV290:BV295" si="707">AVERAGE(BS277:BV277)</f>
        <v>97.137499999999989</v>
      </c>
      <c r="BW290" s="846"/>
      <c r="BX290" s="846"/>
      <c r="BY290" s="846"/>
      <c r="BZ290" s="846">
        <f t="shared" ref="BZ290:BZ295" si="708">AVERAGE(BW277:BZ277)</f>
        <v>98.225000000000009</v>
      </c>
      <c r="CA290" s="846"/>
      <c r="CB290" s="846"/>
      <c r="CC290" s="846"/>
      <c r="CD290" s="846">
        <f t="shared" ref="CD290:CD295" si="709">AVERAGE(CA277:CD277)</f>
        <v>99.164166666666659</v>
      </c>
      <c r="CE290" s="846"/>
      <c r="CF290" s="846"/>
      <c r="CG290" s="846"/>
      <c r="CH290" s="846">
        <f t="shared" ref="CH290:CH295" si="710">AVERAGE(CE277:CH277)</f>
        <v>99.24</v>
      </c>
      <c r="CI290" s="846"/>
      <c r="CJ290" s="846"/>
      <c r="CK290" s="846"/>
      <c r="CL290" s="846">
        <f t="shared" ref="CL290:CL295" si="711">AVERAGE(CI277:CL277)</f>
        <v>100</v>
      </c>
      <c r="CM290" s="846"/>
      <c r="CN290" s="846"/>
      <c r="CO290" s="846"/>
      <c r="CP290" s="846">
        <f t="shared" ref="CP290:CP295" si="712">AVERAGE(CM277:CP277)</f>
        <v>100.68666666666667</v>
      </c>
      <c r="CQ290" s="846"/>
      <c r="CR290" s="846"/>
      <c r="CS290" s="846"/>
      <c r="CT290" s="846">
        <f t="shared" ref="CT290:CT295" si="713">AVERAGE(CQ277:CT277)</f>
        <v>101.41083333333333</v>
      </c>
      <c r="CU290" s="846"/>
      <c r="CV290" s="846"/>
      <c r="CW290" s="846"/>
      <c r="CX290" s="846">
        <f t="shared" ref="CX290:CX295" si="714">AVERAGE(CU277:CX277)</f>
        <v>102.20236517779105</v>
      </c>
      <c r="CY290" s="846"/>
      <c r="CZ290" s="846"/>
      <c r="DA290" s="846"/>
      <c r="DB290" s="846">
        <f t="shared" ref="DB290:DB295" si="715">AVERAGE(CY277:DB277)</f>
        <v>103.25423650859683</v>
      </c>
      <c r="DC290"/>
      <c r="DD290"/>
      <c r="DE290"/>
      <c r="DF290"/>
      <c r="DG290"/>
      <c r="DH290"/>
      <c r="DI290"/>
      <c r="DJ290"/>
      <c r="DK290"/>
      <c r="DL290"/>
      <c r="DM290"/>
      <c r="DN290"/>
      <c r="DO290"/>
    </row>
    <row r="291" spans="1:119" s="699" customFormat="1" ht="12.75" customHeight="1">
      <c r="A291" s="664"/>
      <c r="B291" s="664" t="s">
        <v>54</v>
      </c>
      <c r="C291" s="1562"/>
      <c r="D291" s="674"/>
      <c r="E291" s="3629" t="s">
        <v>436</v>
      </c>
      <c r="F291" s="3630"/>
      <c r="G291" s="706"/>
      <c r="H291" s="706"/>
      <c r="I291" s="706"/>
      <c r="J291" s="706"/>
      <c r="K291" s="706"/>
      <c r="L291" s="706"/>
      <c r="M291" s="706"/>
      <c r="N291" s="706">
        <f t="shared" si="693"/>
        <v>31.152499999999996</v>
      </c>
      <c r="O291" s="706"/>
      <c r="P291" s="706"/>
      <c r="Q291" s="706"/>
      <c r="R291" s="706">
        <f t="shared" si="694"/>
        <v>37.234999999999999</v>
      </c>
      <c r="S291" s="706"/>
      <c r="T291" s="706"/>
      <c r="U291" s="706"/>
      <c r="V291" s="706">
        <f t="shared" si="695"/>
        <v>42.76</v>
      </c>
      <c r="W291" s="706"/>
      <c r="X291" s="706"/>
      <c r="Y291" s="706"/>
      <c r="Z291" s="706">
        <f t="shared" si="696"/>
        <v>46.583333333333336</v>
      </c>
      <c r="AA291" s="706"/>
      <c r="AB291" s="706"/>
      <c r="AC291" s="706"/>
      <c r="AD291" s="706">
        <f t="shared" si="697"/>
        <v>54.626666666666672</v>
      </c>
      <c r="AE291" s="706"/>
      <c r="AF291" s="706"/>
      <c r="AG291" s="706"/>
      <c r="AH291" s="706">
        <f t="shared" si="698"/>
        <v>54.610833333333332</v>
      </c>
      <c r="AI291" s="706"/>
      <c r="AJ291" s="706"/>
      <c r="AK291" s="706"/>
      <c r="AL291" s="706">
        <f t="shared" si="699"/>
        <v>55.532499999999999</v>
      </c>
      <c r="AM291" s="706"/>
      <c r="AN291" s="706"/>
      <c r="AO291" s="706"/>
      <c r="AP291" s="706">
        <f t="shared" si="700"/>
        <v>56.129999999999995</v>
      </c>
      <c r="AQ291" s="706"/>
      <c r="AR291" s="706"/>
      <c r="AS291" s="706"/>
      <c r="AT291" s="706">
        <f t="shared" ref="AT291:AT296" si="716">AVERAGE(AQ278:AT278)</f>
        <v>57.662500000000001</v>
      </c>
      <c r="AU291" s="706"/>
      <c r="AV291" s="706"/>
      <c r="AW291" s="706"/>
      <c r="AX291" s="706">
        <f t="shared" si="701"/>
        <v>61.830833333333338</v>
      </c>
      <c r="AY291" s="706"/>
      <c r="AZ291" s="706"/>
      <c r="BA291" s="706"/>
      <c r="BB291" s="706">
        <f t="shared" si="702"/>
        <v>66.524166666666659</v>
      </c>
      <c r="BC291" s="706"/>
      <c r="BD291" s="706"/>
      <c r="BE291" s="706"/>
      <c r="BF291" s="706">
        <f t="shared" si="703"/>
        <v>71.067499999999995</v>
      </c>
      <c r="BG291" s="706"/>
      <c r="BH291" s="706"/>
      <c r="BI291" s="706"/>
      <c r="BJ291" s="792">
        <f t="shared" si="704"/>
        <v>83.804999999999993</v>
      </c>
      <c r="BK291" s="792"/>
      <c r="BL291" s="792"/>
      <c r="BM291" s="792"/>
      <c r="BN291" s="792">
        <f t="shared" si="705"/>
        <v>90.648333333333326</v>
      </c>
      <c r="BO291" s="792"/>
      <c r="BP291" s="792"/>
      <c r="BQ291" s="792"/>
      <c r="BR291" s="792">
        <f t="shared" si="706"/>
        <v>100.07666666666665</v>
      </c>
      <c r="BS291" s="792"/>
      <c r="BT291" s="792"/>
      <c r="BU291" s="792"/>
      <c r="BV291" s="792">
        <f t="shared" si="707"/>
        <v>112.12833333333333</v>
      </c>
      <c r="BW291" s="792"/>
      <c r="BX291" s="792"/>
      <c r="BY291" s="792"/>
      <c r="BZ291" s="792">
        <f t="shared" si="708"/>
        <v>119.5925</v>
      </c>
      <c r="CA291" s="792"/>
      <c r="CB291" s="792"/>
      <c r="CC291" s="792"/>
      <c r="CD291" s="792">
        <f t="shared" si="709"/>
        <v>118.10416666666667</v>
      </c>
      <c r="CE291" s="792"/>
      <c r="CF291" s="792"/>
      <c r="CG291" s="792"/>
      <c r="CH291" s="792">
        <f t="shared" si="710"/>
        <v>113.42666666666666</v>
      </c>
      <c r="CI291" s="792"/>
      <c r="CJ291" s="792"/>
      <c r="CK291" s="792"/>
      <c r="CL291" s="792">
        <f t="shared" si="711"/>
        <v>99.999166666666667</v>
      </c>
      <c r="CM291" s="792"/>
      <c r="CN291" s="792"/>
      <c r="CO291" s="792"/>
      <c r="CP291" s="792">
        <f t="shared" si="712"/>
        <v>92.814999999999998</v>
      </c>
      <c r="CQ291" s="792"/>
      <c r="CR291" s="792"/>
      <c r="CS291" s="792"/>
      <c r="CT291" s="792">
        <f t="shared" si="713"/>
        <v>97.161666666666676</v>
      </c>
      <c r="CU291" s="792"/>
      <c r="CV291" s="792"/>
      <c r="CW291" s="792"/>
      <c r="CX291" s="792">
        <f t="shared" si="714"/>
        <v>102.56256044002525</v>
      </c>
      <c r="CY291" s="792"/>
      <c r="CZ291" s="792"/>
      <c r="DA291" s="792"/>
      <c r="DB291" s="792">
        <f t="shared" si="715"/>
        <v>103.7678881637022</v>
      </c>
      <c r="DC291"/>
      <c r="DD291"/>
      <c r="DE291"/>
      <c r="DF291"/>
      <c r="DG291"/>
      <c r="DH291"/>
      <c r="DI291"/>
      <c r="DJ291"/>
      <c r="DK291"/>
      <c r="DL291"/>
      <c r="DM291"/>
      <c r="DN291"/>
      <c r="DO291"/>
    </row>
    <row r="292" spans="1:119" s="699" customFormat="1" ht="12.75" customHeight="1">
      <c r="A292" s="664"/>
      <c r="B292" s="664" t="s">
        <v>56</v>
      </c>
      <c r="C292" s="1562"/>
      <c r="D292" s="674"/>
      <c r="E292" s="3629" t="s">
        <v>1239</v>
      </c>
      <c r="F292" s="3630"/>
      <c r="G292" s="706"/>
      <c r="H292" s="706"/>
      <c r="I292" s="706"/>
      <c r="J292" s="706"/>
      <c r="K292" s="706"/>
      <c r="L292" s="706"/>
      <c r="M292" s="706"/>
      <c r="N292" s="706">
        <f t="shared" si="693"/>
        <v>65.643333333333331</v>
      </c>
      <c r="O292" s="706"/>
      <c r="P292" s="706"/>
      <c r="Q292" s="706"/>
      <c r="R292" s="706">
        <f t="shared" si="694"/>
        <v>68.896666666666661</v>
      </c>
      <c r="S292" s="706"/>
      <c r="T292" s="706"/>
      <c r="U292" s="706"/>
      <c r="V292" s="706">
        <f t="shared" si="695"/>
        <v>69.525833333333324</v>
      </c>
      <c r="W292" s="706"/>
      <c r="X292" s="706"/>
      <c r="Y292" s="706"/>
      <c r="Z292" s="706">
        <f t="shared" si="696"/>
        <v>65.62166666666667</v>
      </c>
      <c r="AA292" s="706"/>
      <c r="AB292" s="706"/>
      <c r="AC292" s="706"/>
      <c r="AD292" s="706">
        <f t="shared" si="697"/>
        <v>63.368333333333332</v>
      </c>
      <c r="AE292" s="706"/>
      <c r="AF292" s="706"/>
      <c r="AG292" s="706"/>
      <c r="AH292" s="706">
        <f t="shared" si="698"/>
        <v>69.052500000000009</v>
      </c>
      <c r="AI292" s="706"/>
      <c r="AJ292" s="706"/>
      <c r="AK292" s="706"/>
      <c r="AL292" s="706">
        <f t="shared" si="699"/>
        <v>67.540833333333339</v>
      </c>
      <c r="AM292" s="706"/>
      <c r="AN292" s="706"/>
      <c r="AO292" s="706"/>
      <c r="AP292" s="706">
        <f t="shared" si="700"/>
        <v>59.44166666666667</v>
      </c>
      <c r="AQ292" s="706"/>
      <c r="AR292" s="706"/>
      <c r="AS292" s="706"/>
      <c r="AT292" s="706">
        <f t="shared" si="716"/>
        <v>60.920833333333334</v>
      </c>
      <c r="AU292" s="706"/>
      <c r="AV292" s="706"/>
      <c r="AW292" s="706"/>
      <c r="AX292" s="706">
        <f t="shared" si="701"/>
        <v>64.811666666666667</v>
      </c>
      <c r="AY292" s="706"/>
      <c r="AZ292" s="706"/>
      <c r="BA292" s="706"/>
      <c r="BB292" s="706">
        <f t="shared" si="702"/>
        <v>70.037499999999994</v>
      </c>
      <c r="BC292" s="706"/>
      <c r="BD292" s="706"/>
      <c r="BE292" s="706"/>
      <c r="BF292" s="706">
        <f t="shared" si="703"/>
        <v>76.116666666666674</v>
      </c>
      <c r="BG292" s="706"/>
      <c r="BH292" s="706"/>
      <c r="BI292" s="706"/>
      <c r="BJ292" s="792">
        <f t="shared" si="704"/>
        <v>87.634166666666658</v>
      </c>
      <c r="BK292" s="792"/>
      <c r="BL292" s="792"/>
      <c r="BM292" s="792"/>
      <c r="BN292" s="792">
        <f t="shared" si="705"/>
        <v>90.356666666666655</v>
      </c>
      <c r="BO292" s="792"/>
      <c r="BP292" s="792"/>
      <c r="BQ292" s="792"/>
      <c r="BR292" s="792">
        <f t="shared" si="706"/>
        <v>88.270833333333329</v>
      </c>
      <c r="BS292" s="792"/>
      <c r="BT292" s="792"/>
      <c r="BU292" s="792"/>
      <c r="BV292" s="792">
        <f t="shared" si="707"/>
        <v>92.708333333333329</v>
      </c>
      <c r="BW292" s="792"/>
      <c r="BX292" s="792"/>
      <c r="BY292" s="792"/>
      <c r="BZ292" s="792">
        <f t="shared" si="708"/>
        <v>95.808333333333337</v>
      </c>
      <c r="CA292" s="792"/>
      <c r="CB292" s="792"/>
      <c r="CC292" s="792"/>
      <c r="CD292" s="792">
        <f t="shared" si="709"/>
        <v>98.91</v>
      </c>
      <c r="CE292" s="792"/>
      <c r="CF292" s="792"/>
      <c r="CG292" s="792"/>
      <c r="CH292" s="792">
        <f t="shared" si="710"/>
        <v>99.243333333333325</v>
      </c>
      <c r="CI292" s="792"/>
      <c r="CJ292" s="792"/>
      <c r="CK292" s="792"/>
      <c r="CL292" s="792">
        <f t="shared" si="711"/>
        <v>100.00083333333333</v>
      </c>
      <c r="CM292" s="792"/>
      <c r="CN292" s="792"/>
      <c r="CO292" s="792"/>
      <c r="CP292" s="792">
        <f t="shared" si="712"/>
        <v>101.51583333333333</v>
      </c>
      <c r="CQ292" s="792"/>
      <c r="CR292" s="792"/>
      <c r="CS292" s="792"/>
      <c r="CT292" s="792">
        <f t="shared" si="713"/>
        <v>103.17833333333333</v>
      </c>
      <c r="CU292" s="792"/>
      <c r="CV292" s="792"/>
      <c r="CW292" s="792"/>
      <c r="CX292" s="792">
        <f t="shared" si="714"/>
        <v>103.72429535838776</v>
      </c>
      <c r="CY292" s="792"/>
      <c r="CZ292" s="792"/>
      <c r="DA292" s="792"/>
      <c r="DB292" s="792">
        <f t="shared" si="715"/>
        <v>104.64775631611455</v>
      </c>
      <c r="DC292"/>
      <c r="DD292"/>
      <c r="DE292"/>
      <c r="DF292"/>
      <c r="DG292"/>
      <c r="DH292"/>
      <c r="DI292"/>
      <c r="DJ292"/>
      <c r="DK292"/>
      <c r="DL292"/>
      <c r="DM292"/>
      <c r="DN292"/>
      <c r="DO292"/>
    </row>
    <row r="293" spans="1:119" s="699" customFormat="1" ht="12.75" customHeight="1">
      <c r="A293" s="664"/>
      <c r="B293" s="664" t="s">
        <v>55</v>
      </c>
      <c r="C293" s="1562"/>
      <c r="D293" s="674"/>
      <c r="E293" s="3629" t="s">
        <v>1238</v>
      </c>
      <c r="F293" s="3630"/>
      <c r="G293" s="706"/>
      <c r="H293" s="706"/>
      <c r="I293" s="706"/>
      <c r="J293" s="706"/>
      <c r="K293" s="706"/>
      <c r="L293" s="706"/>
      <c r="M293" s="706"/>
      <c r="N293" s="706">
        <f>AVERAGE(K280:N280)</f>
        <v>52.674166666666672</v>
      </c>
      <c r="O293" s="706"/>
      <c r="P293" s="706"/>
      <c r="Q293" s="706"/>
      <c r="R293" s="706">
        <f t="shared" si="694"/>
        <v>57.693333333333335</v>
      </c>
      <c r="S293" s="706"/>
      <c r="T293" s="706"/>
      <c r="U293" s="706"/>
      <c r="V293" s="706">
        <f t="shared" si="695"/>
        <v>58.402499999999996</v>
      </c>
      <c r="W293" s="706"/>
      <c r="X293" s="706"/>
      <c r="Y293" s="706"/>
      <c r="Z293" s="706">
        <f t="shared" si="696"/>
        <v>58.040833333333332</v>
      </c>
      <c r="AA293" s="706"/>
      <c r="AB293" s="706"/>
      <c r="AC293" s="706"/>
      <c r="AD293" s="706">
        <f t="shared" si="697"/>
        <v>55.8125</v>
      </c>
      <c r="AE293" s="706"/>
      <c r="AF293" s="706"/>
      <c r="AG293" s="706"/>
      <c r="AH293" s="706">
        <f t="shared" si="698"/>
        <v>55.701666666666668</v>
      </c>
      <c r="AI293" s="706"/>
      <c r="AJ293" s="706"/>
      <c r="AK293" s="706"/>
      <c r="AL293" s="706">
        <f t="shared" si="699"/>
        <v>56.135000000000005</v>
      </c>
      <c r="AM293" s="706"/>
      <c r="AN293" s="706"/>
      <c r="AO293" s="706"/>
      <c r="AP293" s="706">
        <f t="shared" si="700"/>
        <v>57.87916666666667</v>
      </c>
      <c r="AQ293" s="706"/>
      <c r="AR293" s="706"/>
      <c r="AS293" s="706"/>
      <c r="AT293" s="706">
        <f t="shared" si="716"/>
        <v>59.210833333333333</v>
      </c>
      <c r="AU293" s="706"/>
      <c r="AV293" s="706"/>
      <c r="AW293" s="706"/>
      <c r="AX293" s="706">
        <f t="shared" si="701"/>
        <v>60.044166666666662</v>
      </c>
      <c r="AY293" s="706"/>
      <c r="AZ293" s="706"/>
      <c r="BA293" s="706"/>
      <c r="BB293" s="706">
        <f t="shared" si="702"/>
        <v>61.684166666666663</v>
      </c>
      <c r="BC293" s="706"/>
      <c r="BD293" s="706"/>
      <c r="BE293" s="706"/>
      <c r="BF293" s="706">
        <f t="shared" si="703"/>
        <v>68.12833333333333</v>
      </c>
      <c r="BG293" s="706"/>
      <c r="BH293" s="706"/>
      <c r="BI293" s="706"/>
      <c r="BJ293" s="792">
        <f t="shared" si="704"/>
        <v>78.965833333333336</v>
      </c>
      <c r="BK293" s="792"/>
      <c r="BL293" s="792"/>
      <c r="BM293" s="792"/>
      <c r="BN293" s="792">
        <f t="shared" si="705"/>
        <v>83.563333333333333</v>
      </c>
      <c r="BO293" s="792"/>
      <c r="BP293" s="792"/>
      <c r="BQ293" s="792"/>
      <c r="BR293" s="792">
        <f t="shared" si="706"/>
        <v>87.921666666666667</v>
      </c>
      <c r="BS293" s="792"/>
      <c r="BT293" s="792"/>
      <c r="BU293" s="792"/>
      <c r="BV293" s="792">
        <f t="shared" si="707"/>
        <v>94.091666666666654</v>
      </c>
      <c r="BW293" s="792"/>
      <c r="BX293" s="792"/>
      <c r="BY293" s="792"/>
      <c r="BZ293" s="792">
        <f t="shared" si="708"/>
        <v>97.045000000000002</v>
      </c>
      <c r="CA293" s="792"/>
      <c r="CB293" s="792"/>
      <c r="CC293" s="792"/>
      <c r="CD293" s="792">
        <f t="shared" si="709"/>
        <v>98.36</v>
      </c>
      <c r="CE293" s="792"/>
      <c r="CF293" s="792"/>
      <c r="CG293" s="792"/>
      <c r="CH293" s="792">
        <f t="shared" si="710"/>
        <v>100.47416666666666</v>
      </c>
      <c r="CI293" s="792"/>
      <c r="CJ293" s="792"/>
      <c r="CK293" s="792"/>
      <c r="CL293" s="792">
        <f t="shared" si="711"/>
        <v>100</v>
      </c>
      <c r="CM293" s="792"/>
      <c r="CN293" s="792"/>
      <c r="CO293" s="792"/>
      <c r="CP293" s="792">
        <f t="shared" si="712"/>
        <v>102.22916666666669</v>
      </c>
      <c r="CQ293" s="792"/>
      <c r="CR293" s="792"/>
      <c r="CS293" s="792"/>
      <c r="CT293" s="792">
        <f t="shared" si="713"/>
        <v>109.50749999999999</v>
      </c>
      <c r="CU293" s="792"/>
      <c r="CV293" s="792"/>
      <c r="CW293" s="792"/>
      <c r="CX293" s="792">
        <f t="shared" si="714"/>
        <v>113.45385723326497</v>
      </c>
      <c r="CY293" s="792"/>
      <c r="CZ293" s="792"/>
      <c r="DA293" s="792"/>
      <c r="DB293" s="792">
        <f t="shared" si="715"/>
        <v>116.90379942504249</v>
      </c>
      <c r="DC293"/>
      <c r="DD293"/>
      <c r="DE293"/>
      <c r="DF293"/>
      <c r="DG293"/>
      <c r="DH293"/>
      <c r="DI293"/>
      <c r="DJ293"/>
      <c r="DK293"/>
      <c r="DL293"/>
      <c r="DM293"/>
      <c r="DN293"/>
      <c r="DO293"/>
    </row>
    <row r="294" spans="1:119" customFormat="1" ht="12.75" customHeight="1">
      <c r="A294" s="664"/>
      <c r="B294" s="664" t="s">
        <v>1151</v>
      </c>
      <c r="C294" s="3643"/>
      <c r="D294" s="1077"/>
      <c r="E294" s="1078" t="s">
        <v>1240</v>
      </c>
      <c r="F294" s="1077"/>
      <c r="G294" s="1085"/>
      <c r="H294" s="1085"/>
      <c r="I294" s="1085"/>
      <c r="J294" s="1085"/>
      <c r="K294" s="1085"/>
      <c r="L294" s="1085"/>
      <c r="M294" s="1085"/>
      <c r="N294" s="1085">
        <f t="shared" si="693"/>
        <v>42.58</v>
      </c>
      <c r="O294" s="1085"/>
      <c r="P294" s="1085"/>
      <c r="Q294" s="1085"/>
      <c r="R294" s="1085">
        <f t="shared" si="694"/>
        <v>49.239166666666662</v>
      </c>
      <c r="S294" s="1085"/>
      <c r="T294" s="1085"/>
      <c r="U294" s="1085"/>
      <c r="V294" s="1085">
        <f t="shared" si="695"/>
        <v>54.837500000000006</v>
      </c>
      <c r="W294" s="1085"/>
      <c r="X294" s="1085"/>
      <c r="Y294" s="1085"/>
      <c r="Z294" s="1085">
        <f t="shared" si="696"/>
        <v>58.460833333333333</v>
      </c>
      <c r="AA294" s="1085"/>
      <c r="AB294" s="1085"/>
      <c r="AC294" s="1085"/>
      <c r="AD294" s="1085">
        <f t="shared" si="697"/>
        <v>61.570833333333333</v>
      </c>
      <c r="AE294" s="1085"/>
      <c r="AF294" s="1085"/>
      <c r="AG294" s="1085"/>
      <c r="AH294" s="1085">
        <f t="shared" si="698"/>
        <v>64.30916666666667</v>
      </c>
      <c r="AI294" s="1085"/>
      <c r="AJ294" s="1085"/>
      <c r="AK294" s="1085"/>
      <c r="AL294" s="1085">
        <f t="shared" si="699"/>
        <v>66.39</v>
      </c>
      <c r="AM294" s="1085"/>
      <c r="AN294" s="1085"/>
      <c r="AO294" s="1085"/>
      <c r="AP294" s="1085">
        <f t="shared" si="700"/>
        <v>66.591666666666669</v>
      </c>
      <c r="AQ294" s="1085"/>
      <c r="AR294" s="1085"/>
      <c r="AS294" s="1085"/>
      <c r="AT294" s="1085">
        <f t="shared" si="716"/>
        <v>66.379166666666663</v>
      </c>
      <c r="AU294" s="1085"/>
      <c r="AV294" s="1085"/>
      <c r="AW294" s="1085"/>
      <c r="AX294" s="1085">
        <f t="shared" si="701"/>
        <v>68.586666666666673</v>
      </c>
      <c r="AY294" s="1085"/>
      <c r="AZ294" s="1085"/>
      <c r="BA294" s="1085"/>
      <c r="BB294" s="1085">
        <f t="shared" si="702"/>
        <v>71.902500000000003</v>
      </c>
      <c r="BC294" s="1085"/>
      <c r="BD294" s="1085"/>
      <c r="BE294" s="1085"/>
      <c r="BF294" s="1085">
        <f t="shared" si="703"/>
        <v>76.798333333333332</v>
      </c>
      <c r="BG294" s="1085"/>
      <c r="BH294" s="1085"/>
      <c r="BI294" s="1085"/>
      <c r="BJ294" s="938">
        <f t="shared" si="704"/>
        <v>86.142499999999998</v>
      </c>
      <c r="BK294" s="938"/>
      <c r="BL294" s="938"/>
      <c r="BM294" s="938"/>
      <c r="BN294" s="938">
        <f t="shared" si="705"/>
        <v>91.1</v>
      </c>
      <c r="BO294" s="938"/>
      <c r="BP294" s="938"/>
      <c r="BQ294" s="938"/>
      <c r="BR294" s="938">
        <f t="shared" si="706"/>
        <v>89.738333333333344</v>
      </c>
      <c r="BS294" s="938"/>
      <c r="BT294" s="938"/>
      <c r="BU294" s="938"/>
      <c r="BV294" s="938">
        <f t="shared" si="707"/>
        <v>90.865000000000009</v>
      </c>
      <c r="BW294" s="938"/>
      <c r="BX294" s="938"/>
      <c r="BY294" s="938"/>
      <c r="BZ294" s="938">
        <f t="shared" si="708"/>
        <v>93.49166666666666</v>
      </c>
      <c r="CA294" s="938"/>
      <c r="CB294" s="938"/>
      <c r="CC294" s="938"/>
      <c r="CD294" s="938">
        <f t="shared" si="709"/>
        <v>95.222500000000011</v>
      </c>
      <c r="CE294" s="938"/>
      <c r="CF294" s="938"/>
      <c r="CG294" s="938"/>
      <c r="CH294" s="938">
        <f t="shared" si="710"/>
        <v>96.748333333333335</v>
      </c>
      <c r="CI294" s="938"/>
      <c r="CJ294" s="938"/>
      <c r="CK294" s="938"/>
      <c r="CL294" s="938">
        <f t="shared" si="711"/>
        <v>100.00166666666665</v>
      </c>
      <c r="CM294" s="938"/>
      <c r="CN294" s="938"/>
      <c r="CO294" s="938"/>
      <c r="CP294" s="938">
        <f t="shared" si="712"/>
        <v>103.155</v>
      </c>
      <c r="CQ294" s="938"/>
      <c r="CR294" s="938"/>
      <c r="CS294" s="938"/>
      <c r="CT294" s="938">
        <f t="shared" si="713"/>
        <v>108.35250000000001</v>
      </c>
      <c r="CU294" s="938"/>
      <c r="CV294" s="938"/>
      <c r="CW294" s="938"/>
      <c r="CX294" s="938">
        <f t="shared" si="714"/>
        <v>112.7976710636909</v>
      </c>
      <c r="CY294" s="938"/>
      <c r="CZ294" s="938"/>
      <c r="DA294" s="938"/>
      <c r="DB294" s="938">
        <f t="shared" si="715"/>
        <v>117.73308146752153</v>
      </c>
    </row>
    <row r="295" spans="1:119" customFormat="1" ht="12.75" customHeight="1">
      <c r="A295" s="664"/>
      <c r="B295" s="664"/>
      <c r="C295" s="3617"/>
      <c r="D295" s="1055"/>
      <c r="E295" s="1056" t="s">
        <v>52</v>
      </c>
      <c r="F295" s="1055"/>
      <c r="G295" s="1057"/>
      <c r="H295" s="1057"/>
      <c r="I295" s="1057"/>
      <c r="J295" s="1057"/>
      <c r="K295" s="1057"/>
      <c r="L295" s="1057"/>
      <c r="M295" s="1057"/>
      <c r="N295" s="1057">
        <f>+N296</f>
        <v>57.612499999999997</v>
      </c>
      <c r="O295" s="1057"/>
      <c r="P295" s="1057"/>
      <c r="Q295" s="1057"/>
      <c r="R295" s="1057">
        <f t="shared" ca="1" si="694"/>
        <v>63.581514977380678</v>
      </c>
      <c r="S295" s="1057"/>
      <c r="T295" s="1057"/>
      <c r="U295" s="1057"/>
      <c r="V295" s="1057">
        <f t="shared" ca="1" si="695"/>
        <v>66.971319033589239</v>
      </c>
      <c r="W295" s="1057"/>
      <c r="X295" s="1057"/>
      <c r="Y295" s="1057"/>
      <c r="Z295" s="1057">
        <f t="shared" ca="1" si="696"/>
        <v>67.935538906975239</v>
      </c>
      <c r="AA295" s="1057"/>
      <c r="AB295" s="1057"/>
      <c r="AC295" s="1057"/>
      <c r="AD295" s="1057">
        <f t="shared" ca="1" si="697"/>
        <v>68.70707212719735</v>
      </c>
      <c r="AE295" s="1057"/>
      <c r="AF295" s="1057"/>
      <c r="AG295" s="1057"/>
      <c r="AH295" s="1057">
        <f t="shared" ca="1" si="698"/>
        <v>69.748750050803096</v>
      </c>
      <c r="AI295" s="1057"/>
      <c r="AJ295" s="1057"/>
      <c r="AK295" s="1057"/>
      <c r="AL295" s="1057">
        <f t="shared" ca="1" si="699"/>
        <v>69.936802169818364</v>
      </c>
      <c r="AM295" s="1057"/>
      <c r="AN295" s="1057"/>
      <c r="AO295" s="1057"/>
      <c r="AP295" s="1057">
        <f t="shared" si="700"/>
        <v>96.29</v>
      </c>
      <c r="AQ295" s="1057"/>
      <c r="AR295" s="1057"/>
      <c r="AS295" s="1057"/>
      <c r="AT295" s="1057">
        <f t="shared" ca="1" si="716"/>
        <v>70.012680377914918</v>
      </c>
      <c r="AU295" s="1057"/>
      <c r="AV295" s="1057"/>
      <c r="AW295" s="1057"/>
      <c r="AX295" s="1057">
        <f t="shared" ca="1" si="701"/>
        <v>71.890034873788437</v>
      </c>
      <c r="AY295" s="1057"/>
      <c r="AZ295" s="1057"/>
      <c r="BA295" s="1057"/>
      <c r="BB295" s="1057">
        <f t="shared" ca="1" si="702"/>
        <v>74.602123182052665</v>
      </c>
      <c r="BC295" s="1057"/>
      <c r="BD295" s="1057"/>
      <c r="BE295" s="1057"/>
      <c r="BF295" s="1057">
        <f t="shared" ca="1" si="703"/>
        <v>78.930082155319809</v>
      </c>
      <c r="BG295" s="1057"/>
      <c r="BH295" s="1057"/>
      <c r="BI295" s="1057"/>
      <c r="BJ295" s="872">
        <f t="shared" ca="1" si="704"/>
        <v>87.687321583312553</v>
      </c>
      <c r="BK295" s="872"/>
      <c r="BL295" s="872"/>
      <c r="BM295" s="872"/>
      <c r="BN295" s="872">
        <f t="shared" ca="1" si="705"/>
        <v>91.333227948809338</v>
      </c>
      <c r="BO295" s="872"/>
      <c r="BP295" s="872"/>
      <c r="BQ295" s="872"/>
      <c r="BR295" s="872">
        <f t="shared" ca="1" si="706"/>
        <v>92.438939812223708</v>
      </c>
      <c r="BS295" s="872"/>
      <c r="BT295" s="872"/>
      <c r="BU295" s="872"/>
      <c r="BV295" s="872">
        <f t="shared" ca="1" si="707"/>
        <v>96.272370539915428</v>
      </c>
      <c r="BW295" s="872"/>
      <c r="BX295" s="872"/>
      <c r="BY295" s="872"/>
      <c r="BZ295" s="872">
        <f t="shared" ca="1" si="708"/>
        <v>99.328815108583285</v>
      </c>
      <c r="CA295" s="872"/>
      <c r="CB295" s="872"/>
      <c r="CC295" s="872"/>
      <c r="CD295" s="872">
        <f t="shared" ca="1" si="709"/>
        <v>100.47787366362202</v>
      </c>
      <c r="CE295" s="872"/>
      <c r="CF295" s="872"/>
      <c r="CG295" s="872"/>
      <c r="CH295" s="872">
        <f t="shared" ca="1" si="710"/>
        <v>100.71422885223738</v>
      </c>
      <c r="CI295" s="872"/>
      <c r="CJ295" s="872"/>
      <c r="CK295" s="872"/>
      <c r="CL295" s="872">
        <f t="shared" ca="1" si="711"/>
        <v>100.05377235574771</v>
      </c>
      <c r="CM295" s="872"/>
      <c r="CN295" s="872"/>
      <c r="CO295" s="872"/>
      <c r="CP295" s="872">
        <f t="shared" ca="1" si="712"/>
        <v>100.75470546790416</v>
      </c>
      <c r="CQ295" s="872"/>
      <c r="CR295" s="872"/>
      <c r="CS295" s="872"/>
      <c r="CT295" s="872">
        <f t="shared" ca="1" si="713"/>
        <v>104.50179004476533</v>
      </c>
      <c r="CU295" s="872"/>
      <c r="CV295" s="872"/>
      <c r="CW295" s="872"/>
      <c r="CX295" s="872">
        <f t="shared" ca="1" si="714"/>
        <v>107.4377605853195</v>
      </c>
      <c r="CY295" s="872"/>
      <c r="CZ295" s="872"/>
      <c r="DA295" s="872"/>
      <c r="DB295" s="872">
        <f t="shared" ca="1" si="715"/>
        <v>109.95865468329058</v>
      </c>
    </row>
    <row r="296" spans="1:119" customFormat="1" ht="12.75" customHeight="1">
      <c r="A296" s="664"/>
      <c r="B296" s="664"/>
      <c r="C296" s="3617"/>
      <c r="D296" s="1055"/>
      <c r="E296" s="1056" t="s">
        <v>599</v>
      </c>
      <c r="F296" s="1055"/>
      <c r="G296" s="1057"/>
      <c r="H296" s="1057"/>
      <c r="I296" s="1057"/>
      <c r="J296" s="1057"/>
      <c r="K296" s="1057"/>
      <c r="L296" s="1057">
        <f>AVERAGE(I283:L283)</f>
        <v>56.298333333333332</v>
      </c>
      <c r="M296" s="1057"/>
      <c r="N296" s="1057">
        <f t="shared" si="693"/>
        <v>57.612499999999997</v>
      </c>
      <c r="O296" s="1057"/>
      <c r="P296" s="1057">
        <f>AVERAGE(M283:P283)</f>
        <v>60.763333333333335</v>
      </c>
      <c r="Q296" s="1057"/>
      <c r="R296" s="1057">
        <f t="shared" si="694"/>
        <v>63.555833333333325</v>
      </c>
      <c r="S296" s="1057"/>
      <c r="T296" s="1057">
        <f>AVERAGE(Q283:T283)</f>
        <v>65.611666666666665</v>
      </c>
      <c r="U296" s="1057"/>
      <c r="V296" s="1057">
        <f t="shared" si="695"/>
        <v>66.968333333333334</v>
      </c>
      <c r="W296" s="1057"/>
      <c r="X296" s="1057">
        <f>AVERAGE(U283:X283)</f>
        <v>67.676666666666662</v>
      </c>
      <c r="Y296" s="1057"/>
      <c r="Z296" s="1057">
        <f t="shared" si="696"/>
        <v>67.935000000000002</v>
      </c>
      <c r="AA296" s="1057"/>
      <c r="AB296" s="1057">
        <f>AVERAGE(Y283:AB283)</f>
        <v>68.25</v>
      </c>
      <c r="AC296" s="1057"/>
      <c r="AD296" s="1057">
        <f t="shared" si="697"/>
        <v>68.678333333333327</v>
      </c>
      <c r="AE296" s="1057"/>
      <c r="AF296" s="1057">
        <f>AVERAGE(AC283:AF283)</f>
        <v>69.008333333333326</v>
      </c>
      <c r="AG296" s="1057"/>
      <c r="AH296" s="1057">
        <f t="shared" si="698"/>
        <v>69.742500000000007</v>
      </c>
      <c r="AI296" s="1057"/>
      <c r="AJ296" s="1057">
        <f>AVERAGE(AG283:AJ283)</f>
        <v>70.270833333333329</v>
      </c>
      <c r="AK296" s="1057"/>
      <c r="AL296" s="1057">
        <f t="shared" si="699"/>
        <v>69.976666666666659</v>
      </c>
      <c r="AM296" s="1057"/>
      <c r="AN296" s="1057">
        <f>AVERAGE(AK283:AN283)</f>
        <v>69.579166666666652</v>
      </c>
      <c r="AO296" s="1057"/>
      <c r="AP296" s="1057">
        <f t="shared" si="700"/>
        <v>69.223333333333329</v>
      </c>
      <c r="AQ296" s="1057"/>
      <c r="AR296" s="1057">
        <f>AVERAGE(AO283:AR283)</f>
        <v>69.11333333333333</v>
      </c>
      <c r="AS296" s="1057"/>
      <c r="AT296" s="1057">
        <f t="shared" si="716"/>
        <v>70.022499999999994</v>
      </c>
      <c r="AU296" s="1057"/>
      <c r="AV296" s="1057">
        <f>AVERAGE(AS283:AV283)</f>
        <v>70.974166666666662</v>
      </c>
      <c r="AW296" s="1057"/>
      <c r="AX296" s="1057">
        <f t="shared" si="701"/>
        <v>71.893333333333345</v>
      </c>
      <c r="AY296" s="1057"/>
      <c r="AZ296" s="1057">
        <f>AVERAGE(AW283:AZ283)</f>
        <v>73.12</v>
      </c>
      <c r="BA296" s="1057"/>
      <c r="BB296" s="1057">
        <f t="shared" si="702"/>
        <v>74.594166666666666</v>
      </c>
      <c r="BC296" s="1057"/>
      <c r="BD296" s="1057">
        <f>AVERAGE(BA283:BD283)</f>
        <v>76.32083333333334</v>
      </c>
      <c r="BE296" s="1057"/>
      <c r="BF296" s="1057">
        <f t="shared" si="703"/>
        <v>78.93416666666667</v>
      </c>
      <c r="BG296" s="1057"/>
      <c r="BH296" s="1057">
        <f>AVERAGE(BE283:BH283)</f>
        <v>83.388333333333321</v>
      </c>
      <c r="BI296" s="1057"/>
      <c r="BJ296" s="872">
        <f ca="1">AVERAGE(BG283:BJ283)</f>
        <v>87.68907881029466</v>
      </c>
      <c r="BK296" s="872"/>
      <c r="BL296" s="1057">
        <f ca="1">AVERAGE(BI283:BL283)</f>
        <v>90.549038249744186</v>
      </c>
      <c r="BM296" s="872"/>
      <c r="BN296" s="872">
        <f ca="1">AVERAGE(BK283:BN283)</f>
        <v>91.335141080643311</v>
      </c>
      <c r="BO296" s="872"/>
      <c r="BP296" s="1057">
        <f ca="1">AVERAGE(BM283:BP283)</f>
        <v>91.371103573086259</v>
      </c>
      <c r="BQ296" s="872"/>
      <c r="BR296" s="872">
        <f ca="1">AVERAGE(BO283:BR283)</f>
        <v>92.440840893030213</v>
      </c>
      <c r="BS296" s="872"/>
      <c r="BT296" s="1057">
        <f ca="1">AVERAGE(BQ283:BT283)</f>
        <v>94.270618090678397</v>
      </c>
      <c r="BU296" s="872"/>
      <c r="BV296" s="872">
        <f ca="1">AVERAGE(BS283:BV283)</f>
        <v>96.27433615383903</v>
      </c>
      <c r="BW296" s="872"/>
      <c r="BX296" s="1057">
        <f ca="1">AVERAGE(BU283:BX283)</f>
        <v>97.822161346542856</v>
      </c>
      <c r="BY296" s="872"/>
      <c r="BZ296" s="872">
        <f ca="1">AVERAGE(BW283:BZ283)</f>
        <v>99.330847638236648</v>
      </c>
      <c r="CA296" s="872"/>
      <c r="CB296" s="1057">
        <f ca="1">AVERAGE(BY283:CB283)</f>
        <v>100.21953789123236</v>
      </c>
      <c r="CC296" s="872"/>
      <c r="CD296" s="872">
        <f ca="1">AVERAGE(CA283:CD283)</f>
        <v>100.47995531917081</v>
      </c>
      <c r="CE296" s="872"/>
      <c r="CF296" s="1057">
        <f ca="1">AVERAGE(CC283:CF283)</f>
        <v>100.61171025226528</v>
      </c>
      <c r="CG296" s="872"/>
      <c r="CH296" s="872">
        <f ca="1">AVERAGE(CE283:CH283)</f>
        <v>100.71631644051455</v>
      </c>
      <c r="CI296" s="872"/>
      <c r="CJ296" s="1057">
        <f ca="1">AVERAGE(CG283:CJ283)</f>
        <v>100.31609355924257</v>
      </c>
      <c r="CK296" s="872"/>
      <c r="CL296" s="872">
        <f ca="1">AVERAGE(CI283:CL283)</f>
        <v>100.05583806701935</v>
      </c>
      <c r="CM296" s="872"/>
      <c r="CN296" s="1057">
        <f ca="1">AVERAGE(CK283:CN283)</f>
        <v>100.34379048467596</v>
      </c>
      <c r="CO296" s="872"/>
      <c r="CP296" s="872">
        <f ca="1">AVERAGE(CM283:CP283)</f>
        <v>100.75678654639877</v>
      </c>
      <c r="CQ296" s="872"/>
      <c r="CR296" s="1057">
        <f ca="1">AVERAGE(CO283:CR283)</f>
        <v>102.35679960696119</v>
      </c>
      <c r="CS296" s="872"/>
      <c r="CT296" s="872">
        <f ca="1">AVERAGE(CQ283:CT283)</f>
        <v>104.50392577760113</v>
      </c>
      <c r="CU296" s="872"/>
      <c r="CV296" s="1057">
        <f ca="1">AVERAGE(CS283:CV283)</f>
        <v>106.0330876314767</v>
      </c>
      <c r="CW296" s="872"/>
      <c r="CX296" s="872">
        <f ca="1">AVERAGE(CU283:CX283)</f>
        <v>107.43996374880658</v>
      </c>
      <c r="CY296" s="872"/>
      <c r="CZ296" s="1057">
        <f ca="1">AVERAGE(CW283:CZ283)</f>
        <v>108.83590040348443</v>
      </c>
      <c r="DA296" s="872"/>
      <c r="DB296" s="872">
        <f ca="1">AVERAGE(CY283:DB283)</f>
        <v>109.9609188701761</v>
      </c>
    </row>
    <row r="297" spans="1:119" s="1003" customFormat="1" ht="12.75" customHeight="1">
      <c r="A297" s="673"/>
      <c r="B297" s="673"/>
      <c r="C297" s="1007"/>
      <c r="D297" s="1008"/>
      <c r="E297" s="1009" t="s">
        <v>814</v>
      </c>
      <c r="F297" s="1008"/>
      <c r="G297" s="1010"/>
      <c r="H297" s="1010"/>
      <c r="I297" s="1010"/>
      <c r="J297" s="1010"/>
      <c r="K297" s="2886"/>
      <c r="L297" s="2886"/>
      <c r="M297" s="2886"/>
      <c r="N297" s="2886">
        <f>(N296-N295)</f>
        <v>0</v>
      </c>
      <c r="O297" s="2886"/>
      <c r="P297" s="2886"/>
      <c r="Q297" s="2886"/>
      <c r="R297" s="2886">
        <f ca="1">(R296-R295)</f>
        <v>-2.5681644047352847E-2</v>
      </c>
      <c r="S297" s="2886"/>
      <c r="T297" s="2886"/>
      <c r="U297" s="2886"/>
      <c r="V297" s="2886">
        <f ca="1">(V296-V295)</f>
        <v>-2.985700255905499E-3</v>
      </c>
      <c r="W297" s="2886"/>
      <c r="X297" s="2886"/>
      <c r="Y297" s="2886"/>
      <c r="Z297" s="2886">
        <f ca="1">(Z296-Z295)</f>
        <v>-5.3890697523684139E-4</v>
      </c>
      <c r="AA297" s="2886"/>
      <c r="AB297" s="2886"/>
      <c r="AC297" s="2886"/>
      <c r="AD297" s="2886">
        <f ca="1">(AD296-AD295)</f>
        <v>-2.8738793864022227E-2</v>
      </c>
      <c r="AE297" s="2886"/>
      <c r="AF297" s="2886"/>
      <c r="AG297" s="2886"/>
      <c r="AH297" s="2886">
        <f ca="1">(AH296-AH295)</f>
        <v>-6.2500508030893798E-3</v>
      </c>
      <c r="AI297" s="2886"/>
      <c r="AJ297" s="2886"/>
      <c r="AK297" s="2886"/>
      <c r="AL297" s="2886">
        <f ca="1">(AL296-AL295)</f>
        <v>3.9864496848295516E-2</v>
      </c>
      <c r="AM297" s="2886"/>
      <c r="AN297" s="2886"/>
      <c r="AO297" s="2886"/>
      <c r="AP297" s="2886">
        <f>(AP296-AP295)</f>
        <v>-27.066666666666677</v>
      </c>
      <c r="AQ297" s="2886"/>
      <c r="AR297" s="2886"/>
      <c r="AS297" s="2886"/>
      <c r="AT297" s="2886">
        <f ca="1">(AT296-AT295)</f>
        <v>9.8196220850752525E-3</v>
      </c>
      <c r="AU297" s="2886"/>
      <c r="AV297" s="2886"/>
      <c r="AW297" s="2886"/>
      <c r="AX297" s="2886">
        <f ca="1">(AX296-AX295)</f>
        <v>3.2984595449079279E-3</v>
      </c>
      <c r="AY297" s="2886"/>
      <c r="AZ297" s="2886"/>
      <c r="BA297" s="2886"/>
      <c r="BB297" s="2886">
        <f ca="1">(BB296-BB295)</f>
        <v>-7.9565153859988413E-3</v>
      </c>
      <c r="BC297" s="2886"/>
      <c r="BD297" s="2886"/>
      <c r="BE297" s="2886"/>
      <c r="BF297" s="2886">
        <f ca="1">(BF296-BF295)</f>
        <v>4.0845113468606087E-3</v>
      </c>
      <c r="BG297" s="2886"/>
      <c r="BH297" s="2886"/>
      <c r="BI297" s="2886"/>
      <c r="BJ297" s="2886">
        <f ca="1">(BJ296-BJ295)</f>
        <v>1.7572269821073405E-3</v>
      </c>
      <c r="BK297" s="2892"/>
      <c r="BL297" s="2892"/>
      <c r="BM297" s="2892"/>
      <c r="BN297" s="2886">
        <f ca="1">(BN296-BN295)</f>
        <v>1.9131318339731251E-3</v>
      </c>
      <c r="BO297" s="2892"/>
      <c r="BP297" s="2892"/>
      <c r="BQ297" s="2892"/>
      <c r="BR297" s="2886">
        <f ca="1">(BR296-BR295)</f>
        <v>1.9010808065047513E-3</v>
      </c>
      <c r="BS297" s="2892"/>
      <c r="BT297" s="2892"/>
      <c r="BU297" s="2892"/>
      <c r="BV297" s="2886">
        <f ca="1">(BV296-BV295)</f>
        <v>1.9656139236019499E-3</v>
      </c>
      <c r="BW297" s="2892"/>
      <c r="BX297" s="2892"/>
      <c r="BY297" s="2892"/>
      <c r="BZ297" s="2886">
        <f ca="1">(BZ296-BZ295)</f>
        <v>2.0325296533627579E-3</v>
      </c>
      <c r="CA297" s="2892"/>
      <c r="CB297" s="2892"/>
      <c r="CC297" s="2892"/>
      <c r="CD297" s="2886">
        <f ca="1">(CD296-CD295)</f>
        <v>2.0816555487925825E-3</v>
      </c>
      <c r="CE297" s="2892"/>
      <c r="CF297" s="2892"/>
      <c r="CG297" s="2892"/>
      <c r="CH297" s="2886">
        <f ca="1">(CH296-CH295)</f>
        <v>2.0875882771633769E-3</v>
      </c>
      <c r="CI297" s="2892"/>
      <c r="CJ297" s="2892"/>
      <c r="CK297" s="2892"/>
      <c r="CL297" s="2886">
        <f ca="1">(CL296-CL295)</f>
        <v>2.06571127164068E-3</v>
      </c>
      <c r="CM297" s="2892"/>
      <c r="CN297" s="2892"/>
      <c r="CO297" s="2892"/>
      <c r="CP297" s="2886">
        <f ca="1">(CP296-CP295)</f>
        <v>2.081078494612143E-3</v>
      </c>
      <c r="CQ297" s="2892"/>
      <c r="CR297" s="2892"/>
      <c r="CS297" s="2892"/>
      <c r="CT297" s="2886">
        <f ca="1">(CT296-CT295)</f>
        <v>2.1357328357964889E-3</v>
      </c>
      <c r="CU297" s="2892"/>
      <c r="CV297" s="2892"/>
      <c r="CW297" s="2892"/>
      <c r="CX297" s="2886">
        <f ca="1">(CX296-CX295)</f>
        <v>2.2031634870813832E-3</v>
      </c>
      <c r="CY297" s="2892"/>
      <c r="CZ297" s="2892"/>
      <c r="DA297" s="2892"/>
      <c r="DB297" s="2886">
        <f ca="1">(DB296-DB295)</f>
        <v>2.2641868855259872E-3</v>
      </c>
      <c r="DC297"/>
      <c r="DD297"/>
      <c r="DE297"/>
      <c r="DF297"/>
      <c r="DG297"/>
      <c r="DH297"/>
      <c r="DI297"/>
      <c r="DJ297"/>
      <c r="DK297"/>
      <c r="DL297"/>
      <c r="DM297"/>
      <c r="DN297"/>
      <c r="DO297"/>
    </row>
    <row r="298" spans="1:119" customFormat="1" ht="12.75" customHeight="1">
      <c r="A298" s="664"/>
      <c r="B298" s="664"/>
      <c r="C298" s="3617"/>
      <c r="D298" s="1055"/>
      <c r="E298" s="1056" t="s">
        <v>925</v>
      </c>
      <c r="F298" s="1055"/>
      <c r="G298" s="1057"/>
      <c r="H298" s="1057"/>
      <c r="I298" s="1057"/>
      <c r="J298" s="1057"/>
      <c r="K298" s="1057"/>
      <c r="L298" s="1057"/>
      <c r="M298" s="1057"/>
      <c r="N298" s="1057">
        <f>+N299</f>
        <v>62.905833333333334</v>
      </c>
      <c r="O298" s="1057"/>
      <c r="P298" s="1057"/>
      <c r="Q298" s="1057"/>
      <c r="R298" s="1057">
        <f ca="1">AVERAGE(O285:R285)</f>
        <v>69.392703740275124</v>
      </c>
      <c r="S298" s="1057"/>
      <c r="T298" s="1057"/>
      <c r="U298" s="1057"/>
      <c r="V298" s="1057">
        <f ca="1">AVERAGE(S285:V285)</f>
        <v>72.522919475291062</v>
      </c>
      <c r="W298" s="1057"/>
      <c r="X298" s="1057"/>
      <c r="Y298" s="1057"/>
      <c r="Z298" s="1057">
        <f ca="1">AVERAGE(W285:Z285)</f>
        <v>73.764850921663125</v>
      </c>
      <c r="AA298" s="1057"/>
      <c r="AB298" s="1057"/>
      <c r="AC298" s="1057"/>
      <c r="AD298" s="1057">
        <f ca="1">AVERAGE(AA285:AD285)</f>
        <v>72.945064598152811</v>
      </c>
      <c r="AE298" s="1057"/>
      <c r="AF298" s="1057"/>
      <c r="AG298" s="1057"/>
      <c r="AH298" s="1057">
        <f ca="1">AVERAGE(AE285:AH285)</f>
        <v>72.999199964620999</v>
      </c>
      <c r="AI298" s="1057"/>
      <c r="AJ298" s="1057"/>
      <c r="AK298" s="1057"/>
      <c r="AL298" s="1057">
        <f ca="1">AVERAGE(AI285:AL285)</f>
        <v>73.403411168940437</v>
      </c>
      <c r="AM298" s="1057"/>
      <c r="AN298" s="1057"/>
      <c r="AO298" s="1057"/>
      <c r="AP298" s="1057">
        <f>AVERAGE(AM285:AP285)</f>
        <v>98.094999999999985</v>
      </c>
      <c r="AQ298" s="1057"/>
      <c r="AR298" s="1057"/>
      <c r="AS298" s="1057"/>
      <c r="AT298" s="1057">
        <f ca="1">AVERAGE(AQ285:AT285)</f>
        <v>74.387148180799954</v>
      </c>
      <c r="AU298" s="1057"/>
      <c r="AV298" s="1057"/>
      <c r="AW298" s="1057"/>
      <c r="AX298" s="1057">
        <f ca="1">AVERAGE(AU285:AX285)</f>
        <v>75.340937954076637</v>
      </c>
      <c r="AY298" s="1057"/>
      <c r="AZ298" s="1057"/>
      <c r="BA298" s="1057"/>
      <c r="BB298" s="1057">
        <f ca="1">AVERAGE(AY285:BB285)</f>
        <v>77.139796876043448</v>
      </c>
      <c r="BC298" s="1057"/>
      <c r="BD298" s="1057"/>
      <c r="BE298" s="1057"/>
      <c r="BF298" s="1057">
        <f ca="1">AVERAGE(BC285:BF285)</f>
        <v>81.163968439062074</v>
      </c>
      <c r="BG298" s="1057"/>
      <c r="BH298" s="1057"/>
      <c r="BI298" s="1057"/>
      <c r="BJ298" s="872">
        <f ca="1">AVERAGE(BG285:BJ285)</f>
        <v>88.717206801204512</v>
      </c>
      <c r="BK298" s="872"/>
      <c r="BL298" s="872"/>
      <c r="BM298" s="872"/>
      <c r="BN298" s="872">
        <f ca="1">AVERAGE(BK285:BN285)</f>
        <v>91.969907041001306</v>
      </c>
      <c r="BO298" s="872"/>
      <c r="BP298" s="872"/>
      <c r="BQ298" s="872"/>
      <c r="BR298" s="872">
        <f ca="1">AVERAGE(BO285:BR285)</f>
        <v>91.939570390398529</v>
      </c>
      <c r="BS298" s="872"/>
      <c r="BT298" s="872"/>
      <c r="BU298" s="872"/>
      <c r="BV298" s="872">
        <f ca="1">AVERAGE(BS285:BV285)</f>
        <v>94.132585633441693</v>
      </c>
      <c r="BW298" s="872"/>
      <c r="BX298" s="872"/>
      <c r="BY298" s="872"/>
      <c r="BZ298" s="872">
        <f ca="1">AVERAGE(BW285:BZ285)</f>
        <v>96.372039515000068</v>
      </c>
      <c r="CA298" s="872"/>
      <c r="CB298" s="872"/>
      <c r="CC298" s="872"/>
      <c r="CD298" s="872">
        <f ca="1">AVERAGE(CA285:CD285)</f>
        <v>97.719853863560601</v>
      </c>
      <c r="CE298" s="872"/>
      <c r="CF298" s="872"/>
      <c r="CG298" s="872"/>
      <c r="CH298" s="872">
        <f ca="1">AVERAGE(CE285:CH285)</f>
        <v>98.796164678489603</v>
      </c>
      <c r="CI298" s="872"/>
      <c r="CJ298" s="872"/>
      <c r="CK298" s="872"/>
      <c r="CL298" s="872">
        <f ca="1">AVERAGE(CI285:CL285)</f>
        <v>100.0154323379297</v>
      </c>
      <c r="CM298" s="872"/>
      <c r="CN298" s="872"/>
      <c r="CO298" s="872"/>
      <c r="CP298" s="872">
        <f ca="1">AVERAGE(CM285:CP285)</f>
        <v>101.87538552302419</v>
      </c>
      <c r="CQ298" s="872"/>
      <c r="CR298" s="872"/>
      <c r="CS298" s="872"/>
      <c r="CT298" s="872">
        <f ca="1">AVERAGE(CQ285:CT285)</f>
        <v>105.78136297947241</v>
      </c>
      <c r="CU298" s="872"/>
      <c r="CV298" s="872"/>
      <c r="CW298" s="872"/>
      <c r="CX298" s="872">
        <f ca="1">AVERAGE(CU285:CX285)</f>
        <v>108.56148237829191</v>
      </c>
      <c r="CY298" s="872"/>
      <c r="CZ298" s="872"/>
      <c r="DA298" s="872"/>
      <c r="DB298" s="872">
        <f ca="1">AVERAGE(CY285:DB285)</f>
        <v>111.45821922826998</v>
      </c>
    </row>
    <row r="299" spans="1:119" customFormat="1" ht="12.75" customHeight="1">
      <c r="A299" s="664"/>
      <c r="B299" s="664" t="s">
        <v>1936</v>
      </c>
      <c r="C299" s="3617"/>
      <c r="D299" s="1055"/>
      <c r="E299" s="1056" t="s">
        <v>924</v>
      </c>
      <c r="F299" s="1055"/>
      <c r="G299" s="1057"/>
      <c r="H299" s="1057"/>
      <c r="I299" s="1057"/>
      <c r="J299" s="1057"/>
      <c r="K299" s="1057"/>
      <c r="L299" s="1057"/>
      <c r="M299" s="1057"/>
      <c r="N299" s="1057">
        <f>AVERAGE(K286:N286)</f>
        <v>62.905833333333334</v>
      </c>
      <c r="O299" s="1057"/>
      <c r="P299" s="1057">
        <f>AVERAGE(M286:P286)</f>
        <v>66.482499999999987</v>
      </c>
      <c r="Q299" s="1057"/>
      <c r="R299" s="1057">
        <f>AVERAGE(O286:R286)</f>
        <v>69.408333333333331</v>
      </c>
      <c r="S299" s="1057"/>
      <c r="T299" s="1057">
        <f>AVERAGE(Q286:T286)</f>
        <v>71.215000000000003</v>
      </c>
      <c r="U299" s="1057"/>
      <c r="V299" s="1057">
        <f>AVERAGE(S286:V286)</f>
        <v>72.52</v>
      </c>
      <c r="W299" s="1057"/>
      <c r="X299" s="1057">
        <f>AVERAGE(U286:X286)</f>
        <v>73.443333333333328</v>
      </c>
      <c r="Y299" s="1057"/>
      <c r="Z299" s="1057">
        <f>AVERAGE(W286:Z286)</f>
        <v>73.77</v>
      </c>
      <c r="AA299" s="1057"/>
      <c r="AB299" s="1057">
        <f>AVERAGE(Y286:AB286)</f>
        <v>73.36</v>
      </c>
      <c r="AC299" s="1057"/>
      <c r="AD299" s="1057">
        <f>AVERAGE(AA286:AD286)</f>
        <v>72.943333333333328</v>
      </c>
      <c r="AE299" s="1057"/>
      <c r="AF299" s="1057">
        <f>AVERAGE(AC286:AF286)</f>
        <v>72.729166666666657</v>
      </c>
      <c r="AG299" s="1057"/>
      <c r="AH299" s="1057">
        <f>AVERAGE(AE286:AH286)</f>
        <v>72.987499999999997</v>
      </c>
      <c r="AI299" s="1057"/>
      <c r="AJ299" s="1057">
        <f>AVERAGE(AG286:AJ286)</f>
        <v>73.353333333333339</v>
      </c>
      <c r="AK299" s="1057"/>
      <c r="AL299" s="1057">
        <f>AVERAGE(AI286:AL286)</f>
        <v>73.418333333333337</v>
      </c>
      <c r="AM299" s="1057"/>
      <c r="AN299" s="1057">
        <f>AVERAGE(AK286:AN286)</f>
        <v>73.797499999999999</v>
      </c>
      <c r="AO299" s="1057"/>
      <c r="AP299" s="1057">
        <f>AVERAGE(AM286:AP286)</f>
        <v>73.923333333333332</v>
      </c>
      <c r="AQ299" s="1057"/>
      <c r="AR299" s="1057">
        <f>AVERAGE(AO286:AR286)</f>
        <v>73.843333333333334</v>
      </c>
      <c r="AS299" s="1057"/>
      <c r="AT299" s="1057">
        <f>AVERAGE(AQ286:AT286)</f>
        <v>74.397500000000008</v>
      </c>
      <c r="AU299" s="1057"/>
      <c r="AV299" s="1057">
        <f>AVERAGE(AS286:AV286)</f>
        <v>74.866666666666674</v>
      </c>
      <c r="AW299" s="1057"/>
      <c r="AX299" s="1057">
        <f>AVERAGE(AU286:AX286)</f>
        <v>75.345833333333331</v>
      </c>
      <c r="AY299" s="1057"/>
      <c r="AZ299" s="1057">
        <f>AVERAGE(AW286:AZ286)</f>
        <v>76.015000000000001</v>
      </c>
      <c r="BA299" s="1057"/>
      <c r="BB299" s="1057">
        <f>AVERAGE(AY286:BB286)</f>
        <v>77.144999999999996</v>
      </c>
      <c r="BC299" s="1057"/>
      <c r="BD299" s="1057">
        <f>AVERAGE(BA286:BD286)</f>
        <v>78.737499999999983</v>
      </c>
      <c r="BE299" s="1057"/>
      <c r="BF299" s="1057">
        <f>AVERAGE(BC286:BF286)</f>
        <v>81.166666666666671</v>
      </c>
      <c r="BG299" s="1057"/>
      <c r="BH299" s="1057">
        <f>AVERAGE(BE286:BH286)</f>
        <v>85.07416666666667</v>
      </c>
      <c r="BI299" s="1057"/>
      <c r="BJ299" s="872">
        <f ca="1">AVERAGE(BG286:BJ286)</f>
        <v>88.718479654104129</v>
      </c>
      <c r="BK299" s="872"/>
      <c r="BL299" s="1057">
        <f ca="1">AVERAGE(BI286:BL286)</f>
        <v>91.093632181855483</v>
      </c>
      <c r="BM299" s="872"/>
      <c r="BN299" s="872">
        <f ca="1">AVERAGE(BK286:BN286)</f>
        <v>91.971289596773047</v>
      </c>
      <c r="BO299" s="872"/>
      <c r="BP299" s="1057">
        <f ca="1">AVERAGE(BM286:BP286)</f>
        <v>91.822425582288233</v>
      </c>
      <c r="BQ299" s="872"/>
      <c r="BR299" s="872">
        <f ca="1">AVERAGE(BO286:BR286)</f>
        <v>91.940942604269452</v>
      </c>
      <c r="BS299" s="872"/>
      <c r="BT299" s="1057">
        <f ca="1">AVERAGE(BQ286:BT286)</f>
        <v>92.86112910397884</v>
      </c>
      <c r="BU299" s="872"/>
      <c r="BV299" s="872">
        <f ca="1">AVERAGE(BS286:BV286)</f>
        <v>94.133974819775545</v>
      </c>
      <c r="BW299" s="872"/>
      <c r="BX299" s="1057">
        <f ca="1">AVERAGE(BU286:BX286)</f>
        <v>95.208022856426055</v>
      </c>
      <c r="BY299" s="872"/>
      <c r="BZ299" s="872">
        <f ca="1">AVERAGE(BW286:BZ286)</f>
        <v>96.37345961048149</v>
      </c>
      <c r="CA299" s="872"/>
      <c r="CB299" s="1057">
        <f ca="1">AVERAGE(BY286:CB286)</f>
        <v>97.175096047558966</v>
      </c>
      <c r="CC299" s="872"/>
      <c r="CD299" s="872">
        <f ca="1">AVERAGE(CA286:CD286)</f>
        <v>97.721304516742009</v>
      </c>
      <c r="CE299" s="872"/>
      <c r="CF299" s="1057">
        <f ca="1">AVERAGE(CC286:CF286)</f>
        <v>98.191824610470462</v>
      </c>
      <c r="CG299" s="872"/>
      <c r="CH299" s="872">
        <f ca="1">AVERAGE(CE286:CH286)</f>
        <v>98.79762654833354</v>
      </c>
      <c r="CI299" s="872"/>
      <c r="CJ299" s="1057">
        <f ca="1">AVERAGE(CG286:CJ286)</f>
        <v>99.384502551853686</v>
      </c>
      <c r="CK299" s="872"/>
      <c r="CL299" s="872">
        <f ca="1">AVERAGE(CI286:CL286)</f>
        <v>100.01690956701754</v>
      </c>
      <c r="CM299" s="872"/>
      <c r="CN299" s="1057">
        <f ca="1">AVERAGE(CK286:CN286)</f>
        <v>100.9917570191779</v>
      </c>
      <c r="CO299" s="872"/>
      <c r="CP299" s="872">
        <f ca="1">AVERAGE(CM286:CP286)</f>
        <v>101.87689292992803</v>
      </c>
      <c r="CQ299" s="872"/>
      <c r="CR299" s="1057">
        <f ca="1">AVERAGE(CO286:CR286)</f>
        <v>103.52873555678084</v>
      </c>
      <c r="CS299" s="872"/>
      <c r="CT299" s="872">
        <f ca="1">AVERAGE(CQ286:CT286)</f>
        <v>105.78290553732657</v>
      </c>
      <c r="CU299" s="872"/>
      <c r="CV299" s="1057">
        <f ca="1">AVERAGE(CS286:CV286)</f>
        <v>107.2383711144213</v>
      </c>
      <c r="CW299" s="872"/>
      <c r="CX299" s="872">
        <f ca="1">AVERAGE(CU286:CX286)</f>
        <v>108.56307228509658</v>
      </c>
      <c r="CY299" s="872"/>
      <c r="CZ299" s="1057">
        <f ca="1">AVERAGE(CW286:CZ286)</f>
        <v>110.20629601760639</v>
      </c>
      <c r="DA299" s="872"/>
      <c r="DB299" s="872">
        <f ca="1">AVERAGE(CY286:DB286)</f>
        <v>111.45986830707687</v>
      </c>
    </row>
    <row r="300" spans="1:119" s="1003" customFormat="1" ht="12.75" customHeight="1">
      <c r="A300" s="673"/>
      <c r="B300" s="673"/>
      <c r="C300" s="1007"/>
      <c r="D300" s="1008"/>
      <c r="E300" s="1009" t="s">
        <v>814</v>
      </c>
      <c r="F300" s="1008"/>
      <c r="G300" s="1010"/>
      <c r="H300" s="1010"/>
      <c r="I300" s="1010"/>
      <c r="J300" s="1010"/>
      <c r="K300" s="2886"/>
      <c r="L300" s="2886"/>
      <c r="M300" s="2886"/>
      <c r="N300" s="2886">
        <f>(N299-N298)</f>
        <v>0</v>
      </c>
      <c r="O300" s="2886"/>
      <c r="P300" s="2886"/>
      <c r="Q300" s="2886"/>
      <c r="R300" s="2886">
        <f ca="1">(R299-R298)</f>
        <v>1.5629593058207547E-2</v>
      </c>
      <c r="S300" s="2886"/>
      <c r="T300" s="2886"/>
      <c r="U300" s="2886"/>
      <c r="V300" s="2886">
        <f ca="1">(V299-V298)</f>
        <v>-2.9194752910655097E-3</v>
      </c>
      <c r="W300" s="2886"/>
      <c r="X300" s="2886"/>
      <c r="Y300" s="2886"/>
      <c r="Z300" s="2886">
        <f ca="1">(Z299-Z298)</f>
        <v>5.1490783368706161E-3</v>
      </c>
      <c r="AA300" s="2886"/>
      <c r="AB300" s="2886"/>
      <c r="AC300" s="2886"/>
      <c r="AD300" s="2886">
        <f ca="1">(AD299-AD298)</f>
        <v>-1.7312648194831581E-3</v>
      </c>
      <c r="AE300" s="2886"/>
      <c r="AF300" s="2886"/>
      <c r="AG300" s="2886"/>
      <c r="AH300" s="2886">
        <f ca="1">(AH299-AH298)</f>
        <v>-1.1699964621001868E-2</v>
      </c>
      <c r="AI300" s="2886"/>
      <c r="AJ300" s="2886"/>
      <c r="AK300" s="2886"/>
      <c r="AL300" s="2886">
        <f ca="1">(AL299-AL298)</f>
        <v>1.4922164392899617E-2</v>
      </c>
      <c r="AM300" s="2886"/>
      <c r="AN300" s="2886"/>
      <c r="AO300" s="2886"/>
      <c r="AP300" s="2886">
        <f>(AP299-AP298)</f>
        <v>-24.171666666666653</v>
      </c>
      <c r="AQ300" s="2886"/>
      <c r="AR300" s="2886"/>
      <c r="AS300" s="2886"/>
      <c r="AT300" s="2886">
        <f ca="1">(AT299-AT298)</f>
        <v>1.0351819200053569E-2</v>
      </c>
      <c r="AU300" s="2886"/>
      <c r="AV300" s="2886"/>
      <c r="AW300" s="2886"/>
      <c r="AX300" s="2886">
        <f ca="1">(AX299-AX298)</f>
        <v>4.8953792566948096E-3</v>
      </c>
      <c r="AY300" s="2886"/>
      <c r="AZ300" s="2886"/>
      <c r="BA300" s="2886"/>
      <c r="BB300" s="2886">
        <f ca="1">(BB299-BB298)</f>
        <v>5.2031239565479837E-3</v>
      </c>
      <c r="BC300" s="2886"/>
      <c r="BD300" s="2886"/>
      <c r="BE300" s="2886"/>
      <c r="BF300" s="2886">
        <f ca="1">(BF299-BF298)</f>
        <v>2.6982276045970366E-3</v>
      </c>
      <c r="BG300" s="2886"/>
      <c r="BH300" s="2886"/>
      <c r="BI300" s="2886"/>
      <c r="BJ300" s="2886">
        <f ca="1">(BJ299-BJ298)</f>
        <v>1.2728528996177602E-3</v>
      </c>
      <c r="BK300" s="2892"/>
      <c r="BL300" s="2892"/>
      <c r="BM300" s="2892"/>
      <c r="BN300" s="2886">
        <f ca="1">(BN299-BN298)</f>
        <v>1.3825557717410675E-3</v>
      </c>
      <c r="BO300" s="2892"/>
      <c r="BP300" s="2892"/>
      <c r="BQ300" s="2892"/>
      <c r="BR300" s="2886">
        <f ca="1">(BR299-BR298)</f>
        <v>1.3722138709226783E-3</v>
      </c>
      <c r="BS300" s="2892"/>
      <c r="BT300" s="2892"/>
      <c r="BU300" s="2892"/>
      <c r="BV300" s="2886">
        <f ca="1">(BV299-BV298)</f>
        <v>1.3891863338528765E-3</v>
      </c>
      <c r="BW300" s="2892"/>
      <c r="BX300" s="2892"/>
      <c r="BY300" s="2892"/>
      <c r="BZ300" s="2886">
        <f ca="1">(BZ299-BZ298)</f>
        <v>1.4200954814214128E-3</v>
      </c>
      <c r="CA300" s="2892"/>
      <c r="CB300" s="2892"/>
      <c r="CC300" s="2892"/>
      <c r="CD300" s="2886">
        <f ca="1">(CD299-CD298)</f>
        <v>1.4506531814078016E-3</v>
      </c>
      <c r="CE300" s="2892"/>
      <c r="CF300" s="2892"/>
      <c r="CG300" s="2892"/>
      <c r="CH300" s="2886">
        <f ca="1">(CH299-CH298)</f>
        <v>1.4618698439363698E-3</v>
      </c>
      <c r="CI300" s="2892"/>
      <c r="CJ300" s="2892"/>
      <c r="CK300" s="2892"/>
      <c r="CL300" s="2886">
        <f ca="1">(CL299-CL298)</f>
        <v>1.4772290878397598E-3</v>
      </c>
      <c r="CM300" s="2892"/>
      <c r="CN300" s="2892"/>
      <c r="CO300" s="2892"/>
      <c r="CP300" s="2886">
        <f ca="1">(CP299-CP298)</f>
        <v>1.5074069038405469E-3</v>
      </c>
      <c r="CQ300" s="2892"/>
      <c r="CR300" s="2892"/>
      <c r="CS300" s="2892"/>
      <c r="CT300" s="2886">
        <f ca="1">(CT299-CT298)</f>
        <v>1.5425578541652385E-3</v>
      </c>
      <c r="CU300" s="2892"/>
      <c r="CV300" s="2892"/>
      <c r="CW300" s="2892"/>
      <c r="CX300" s="2886">
        <f ca="1">(CX299-CX298)</f>
        <v>1.5899068046678622E-3</v>
      </c>
      <c r="CY300" s="2892"/>
      <c r="CZ300" s="2892"/>
      <c r="DA300" s="2892"/>
      <c r="DB300" s="2886">
        <f ca="1">(DB299-DB298)</f>
        <v>1.6490788068921347E-3</v>
      </c>
      <c r="DC300"/>
      <c r="DD300"/>
      <c r="DE300"/>
      <c r="DF300"/>
      <c r="DG300"/>
      <c r="DH300"/>
      <c r="DI300"/>
      <c r="DJ300"/>
      <c r="DK300"/>
      <c r="DL300"/>
      <c r="DM300"/>
      <c r="DN300"/>
      <c r="DO300"/>
    </row>
    <row r="301" spans="1:119" s="26" customFormat="1" ht="12.75" customHeight="1">
      <c r="A301" s="1007"/>
      <c r="B301" s="1007"/>
      <c r="C301" s="1007"/>
      <c r="D301" s="1007"/>
      <c r="F301" s="1601"/>
      <c r="BN301">
        <f ca="1">SUMPRODUCT(BN290:BN294,BN303:BN307)/1000-BN295</f>
        <v>0.81755810119065586</v>
      </c>
      <c r="BO301"/>
      <c r="BP301"/>
      <c r="BQ301"/>
      <c r="BR301">
        <f ca="1">SUMPRODUCT(BR290:BR294,BR303:BR307)/1000-BR295</f>
        <v>0.27866307944296409</v>
      </c>
      <c r="BS301"/>
      <c r="BT301"/>
      <c r="BU301"/>
      <c r="BV301">
        <f ca="1">SUMPRODUCT(BV290:BV294,BV303:BV307)/1000-BV295</f>
        <v>0.40039420175124008</v>
      </c>
      <c r="BW301"/>
      <c r="BX301"/>
      <c r="BY301"/>
      <c r="BZ301">
        <f ca="1">SUMPRODUCT(BZ290:BZ294,BZ303:BZ307)/1000-BZ295</f>
        <v>0.68010713308339632</v>
      </c>
      <c r="CA301"/>
      <c r="CB301"/>
      <c r="CC301"/>
      <c r="CD301">
        <f ca="1">SUMPRODUCT(CD290:CD294,CD303:CD307)/1000-CD295</f>
        <v>0.67233089471133667</v>
      </c>
      <c r="CE301"/>
      <c r="CF301"/>
      <c r="CG301"/>
      <c r="CH301">
        <f ca="1">SUMPRODUCT(CH290:CH294,CH303:CH307)/1000-CH295</f>
        <v>0.23569058942926802</v>
      </c>
      <c r="CI301"/>
      <c r="CJ301"/>
      <c r="CK301"/>
      <c r="CL301">
        <f ca="1">SUMPRODUCT(CL290:CL294,CL303:CL307)/1000-CL295</f>
        <v>-5.3405397414380218E-2</v>
      </c>
      <c r="CM301"/>
      <c r="CN301"/>
      <c r="CO301"/>
      <c r="CP301">
        <f ca="1">SUMPRODUCT(CP290:CP294,CP303:CP307)/1000-CP295</f>
        <v>5.9914987625120375E-3</v>
      </c>
      <c r="CQ301"/>
      <c r="CR301"/>
      <c r="CS301"/>
      <c r="CT301">
        <f ca="1">SUMPRODUCT(CT290:CT294,CT303:CT307)/1000-CT295</f>
        <v>7.4757121901342316E-2</v>
      </c>
      <c r="CU301"/>
      <c r="CV301"/>
      <c r="CW301"/>
      <c r="CX301">
        <f ca="1">SUMPRODUCT(CX290:CX294,CX303:CX307)/1000-CX295</f>
        <v>9.2729118111208209E-2</v>
      </c>
      <c r="CY301" s="3650"/>
      <c r="CZ301" s="3650"/>
      <c r="DA301" s="3650"/>
      <c r="DB301" s="3650">
        <f ca="1">SUMPRODUCT(DB290:DB294,DB303:DB307)/1000-DB295</f>
        <v>0.16276940225780834</v>
      </c>
      <c r="DC301"/>
      <c r="DD301"/>
      <c r="DE301"/>
      <c r="DF301"/>
      <c r="DG301"/>
      <c r="DH301"/>
      <c r="DI301"/>
      <c r="DJ301"/>
      <c r="DK301"/>
      <c r="DL301"/>
      <c r="DM301"/>
      <c r="DN301"/>
      <c r="DO301"/>
    </row>
    <row r="302" spans="1:119" s="699" customFormat="1" ht="12.75" customHeight="1">
      <c r="A302" s="664"/>
      <c r="B302" s="664"/>
      <c r="C302" s="666"/>
      <c r="D302" s="695"/>
      <c r="E302" s="3618" t="s">
        <v>1418</v>
      </c>
      <c r="F302" s="3619"/>
      <c r="G302" s="1566" t="s">
        <v>1842</v>
      </c>
      <c r="H302" s="1567" t="s">
        <v>1843</v>
      </c>
      <c r="I302" s="1567" t="s">
        <v>1844</v>
      </c>
      <c r="J302" s="1567" t="s">
        <v>1845</v>
      </c>
      <c r="K302" s="1567" t="s">
        <v>1842</v>
      </c>
      <c r="L302" s="1567" t="s">
        <v>1843</v>
      </c>
      <c r="M302" s="1567" t="s">
        <v>1844</v>
      </c>
      <c r="N302" s="1567" t="s">
        <v>1845</v>
      </c>
      <c r="O302" s="1567" t="s">
        <v>1842</v>
      </c>
      <c r="P302" s="1567" t="s">
        <v>1843</v>
      </c>
      <c r="Q302" s="1567" t="s">
        <v>1844</v>
      </c>
      <c r="R302" s="1567" t="s">
        <v>1845</v>
      </c>
      <c r="S302" s="1567" t="s">
        <v>1842</v>
      </c>
      <c r="T302" s="1567" t="s">
        <v>1843</v>
      </c>
      <c r="U302" s="1567" t="s">
        <v>1844</v>
      </c>
      <c r="V302" s="1567" t="s">
        <v>1845</v>
      </c>
      <c r="W302" s="1567" t="s">
        <v>1842</v>
      </c>
      <c r="X302" s="1567" t="s">
        <v>1843</v>
      </c>
      <c r="Y302" s="1567" t="s">
        <v>1844</v>
      </c>
      <c r="Z302" s="1567" t="s">
        <v>1845</v>
      </c>
      <c r="AA302" s="1567" t="s">
        <v>1842</v>
      </c>
      <c r="AB302" s="1567" t="s">
        <v>1843</v>
      </c>
      <c r="AC302" s="1567" t="s">
        <v>1844</v>
      </c>
      <c r="AD302" s="1567" t="s">
        <v>1845</v>
      </c>
      <c r="AE302" s="1567" t="s">
        <v>1842</v>
      </c>
      <c r="AF302" s="1567" t="s">
        <v>1843</v>
      </c>
      <c r="AG302" s="1567" t="s">
        <v>1844</v>
      </c>
      <c r="AH302" s="1567" t="s">
        <v>1845</v>
      </c>
      <c r="AI302" s="1567" t="s">
        <v>1842</v>
      </c>
      <c r="AJ302" s="1567" t="s">
        <v>1843</v>
      </c>
      <c r="AK302" s="1567" t="s">
        <v>1844</v>
      </c>
      <c r="AL302" s="1567" t="s">
        <v>1845</v>
      </c>
      <c r="AM302" s="1567" t="s">
        <v>1842</v>
      </c>
      <c r="AN302" s="1567" t="s">
        <v>1843</v>
      </c>
      <c r="AO302" s="1567" t="s">
        <v>1844</v>
      </c>
      <c r="AP302" s="1567" t="s">
        <v>1845</v>
      </c>
      <c r="AQ302" s="1567" t="s">
        <v>1842</v>
      </c>
      <c r="AR302" s="1567" t="s">
        <v>1843</v>
      </c>
      <c r="AS302" s="1567" t="s">
        <v>1844</v>
      </c>
      <c r="AT302" s="1567" t="s">
        <v>1845</v>
      </c>
      <c r="AU302" s="1567" t="s">
        <v>1842</v>
      </c>
      <c r="AV302" s="1567" t="s">
        <v>1843</v>
      </c>
      <c r="AW302" s="1567" t="s">
        <v>1844</v>
      </c>
      <c r="AX302" s="1567" t="s">
        <v>1845</v>
      </c>
      <c r="AY302" s="1567" t="s">
        <v>1842</v>
      </c>
      <c r="AZ302" s="1567" t="s">
        <v>1843</v>
      </c>
      <c r="BA302" s="1567" t="s">
        <v>1844</v>
      </c>
      <c r="BB302" s="1567" t="s">
        <v>1845</v>
      </c>
      <c r="BC302" s="1567" t="s">
        <v>1842</v>
      </c>
      <c r="BD302" s="1567" t="s">
        <v>1843</v>
      </c>
      <c r="BE302" s="1567" t="s">
        <v>1844</v>
      </c>
      <c r="BF302" s="1567" t="s">
        <v>1845</v>
      </c>
      <c r="BG302" s="1567" t="s">
        <v>1842</v>
      </c>
      <c r="BH302" s="1567" t="s">
        <v>1843</v>
      </c>
      <c r="BI302" s="1567" t="s">
        <v>1844</v>
      </c>
      <c r="BJ302" s="1567" t="s">
        <v>1845</v>
      </c>
      <c r="BK302" s="1567" t="s">
        <v>1842</v>
      </c>
      <c r="BL302" s="1567" t="s">
        <v>1843</v>
      </c>
      <c r="BM302" s="1567" t="s">
        <v>1844</v>
      </c>
      <c r="BN302" s="1567" t="s">
        <v>1845</v>
      </c>
      <c r="BO302" s="1567" t="s">
        <v>1842</v>
      </c>
      <c r="BP302" s="1567" t="s">
        <v>1843</v>
      </c>
      <c r="BQ302" s="1567" t="s">
        <v>1844</v>
      </c>
      <c r="BR302" s="1567" t="s">
        <v>1845</v>
      </c>
      <c r="BS302" s="1567" t="s">
        <v>1842</v>
      </c>
      <c r="BT302" s="1567" t="s">
        <v>1843</v>
      </c>
      <c r="BU302" s="1567" t="s">
        <v>1844</v>
      </c>
      <c r="BV302" s="1567" t="s">
        <v>1845</v>
      </c>
      <c r="BW302" s="1567" t="s">
        <v>1842</v>
      </c>
      <c r="BX302" s="1567" t="s">
        <v>1843</v>
      </c>
      <c r="BY302" s="1567" t="s">
        <v>1844</v>
      </c>
      <c r="BZ302" s="1567" t="s">
        <v>1845</v>
      </c>
      <c r="CA302" s="1567" t="s">
        <v>1842</v>
      </c>
      <c r="CB302" s="1567" t="s">
        <v>1843</v>
      </c>
      <c r="CC302" s="1567" t="s">
        <v>1844</v>
      </c>
      <c r="CD302" s="1567" t="s">
        <v>1845</v>
      </c>
      <c r="CE302" s="1567" t="s">
        <v>1842</v>
      </c>
      <c r="CF302" s="1567" t="s">
        <v>1843</v>
      </c>
      <c r="CG302" s="1567" t="s">
        <v>1844</v>
      </c>
      <c r="CH302" s="1567" t="s">
        <v>1845</v>
      </c>
      <c r="CI302" s="1567" t="s">
        <v>1842</v>
      </c>
      <c r="CJ302" s="1567" t="s">
        <v>1843</v>
      </c>
      <c r="CK302" s="1567" t="s">
        <v>1844</v>
      </c>
      <c r="CL302" s="1567" t="s">
        <v>1845</v>
      </c>
      <c r="CM302" s="1567" t="s">
        <v>1842</v>
      </c>
      <c r="CN302" s="1567" t="s">
        <v>1843</v>
      </c>
      <c r="CO302" s="1567" t="s">
        <v>1844</v>
      </c>
      <c r="CP302" s="1567" t="s">
        <v>1845</v>
      </c>
      <c r="CQ302" s="1567" t="s">
        <v>1842</v>
      </c>
      <c r="CR302" s="1567" t="s">
        <v>1843</v>
      </c>
      <c r="CS302" s="1567" t="s">
        <v>1844</v>
      </c>
      <c r="CT302" s="1567" t="s">
        <v>1845</v>
      </c>
      <c r="CU302" s="1567" t="s">
        <v>1842</v>
      </c>
      <c r="CV302" s="1567" t="s">
        <v>1843</v>
      </c>
      <c r="CW302" s="1567" t="s">
        <v>1844</v>
      </c>
      <c r="CX302" s="1567" t="s">
        <v>1845</v>
      </c>
      <c r="CY302" s="1567" t="s">
        <v>1842</v>
      </c>
      <c r="CZ302" s="1567" t="s">
        <v>1843</v>
      </c>
      <c r="DA302" s="1567" t="s">
        <v>1844</v>
      </c>
      <c r="DB302" s="1567" t="s">
        <v>1845</v>
      </c>
      <c r="DC302"/>
      <c r="DD302"/>
      <c r="DE302"/>
      <c r="DF302"/>
      <c r="DG302"/>
      <c r="DH302"/>
      <c r="DI302"/>
      <c r="DJ302"/>
      <c r="DK302"/>
      <c r="DL302"/>
      <c r="DM302"/>
      <c r="DN302"/>
      <c r="DO302"/>
    </row>
    <row r="303" spans="1:119" s="699" customFormat="1" ht="12.75" customHeight="1">
      <c r="A303" s="664" t="str">
        <f>"Y" &amp; ROW(InputY!A270)</f>
        <v>Y270</v>
      </c>
      <c r="B303" s="664" t="s">
        <v>815</v>
      </c>
      <c r="C303" s="1561"/>
      <c r="D303" s="668"/>
      <c r="E303" s="3620" t="str">
        <f>+E277</f>
        <v>Non-energy industrial goods</v>
      </c>
      <c r="F303" s="3621"/>
      <c r="G303" s="780"/>
      <c r="H303" s="780"/>
      <c r="I303" s="780"/>
      <c r="J303" s="780" t="str">
        <f ca="1">OFFSET(InputY!$G270,0,(COLUMN()-10)/4)</f>
        <v>:</v>
      </c>
      <c r="K303" s="780">
        <f ca="1">OFFSET(InputY!$G270,0,(COLUMN()-7)/4)</f>
        <v>201.94000000000003</v>
      </c>
      <c r="L303" s="780">
        <f ca="1">+K303</f>
        <v>201.94000000000003</v>
      </c>
      <c r="M303" s="780">
        <f ca="1">+L303</f>
        <v>201.94000000000003</v>
      </c>
      <c r="N303" s="780">
        <f ca="1">+M303</f>
        <v>201.94000000000003</v>
      </c>
      <c r="O303" s="780">
        <f ca="1">OFFSET(InputY!$G270,0,(COLUMN()-7)/4)</f>
        <v>206.91000000000003</v>
      </c>
      <c r="P303" s="780">
        <f t="shared" ref="P303:R307" ca="1" si="717">+O303</f>
        <v>206.91000000000003</v>
      </c>
      <c r="Q303" s="780">
        <f t="shared" ca="1" si="717"/>
        <v>206.91000000000003</v>
      </c>
      <c r="R303" s="780">
        <f t="shared" ca="1" si="717"/>
        <v>206.91000000000003</v>
      </c>
      <c r="S303" s="780">
        <f ca="1">OFFSET(InputY!$G270,0,(COLUMN()-7)/4)</f>
        <v>202.31</v>
      </c>
      <c r="T303" s="780">
        <f t="shared" ref="T303:V307" ca="1" si="718">+S303</f>
        <v>202.31</v>
      </c>
      <c r="U303" s="780">
        <f t="shared" ca="1" si="718"/>
        <v>202.31</v>
      </c>
      <c r="V303" s="780">
        <f t="shared" ca="1" si="718"/>
        <v>202.31</v>
      </c>
      <c r="W303" s="780">
        <f ca="1">OFFSET(InputY!$G270,0,(COLUMN()-7)/4)</f>
        <v>253.32</v>
      </c>
      <c r="X303" s="780">
        <f t="shared" ref="X303:Z307" ca="1" si="719">+W303</f>
        <v>253.32</v>
      </c>
      <c r="Y303" s="780">
        <f t="shared" ca="1" si="719"/>
        <v>253.32</v>
      </c>
      <c r="Z303" s="780">
        <f t="shared" ca="1" si="719"/>
        <v>253.32</v>
      </c>
      <c r="AA303" s="780">
        <f ca="1">OFFSET(InputY!$G270,0,(COLUMN()-7)/4)</f>
        <v>256.58999999999997</v>
      </c>
      <c r="AB303" s="780">
        <f t="shared" ref="AB303:AD307" ca="1" si="720">+AA303</f>
        <v>256.58999999999997</v>
      </c>
      <c r="AC303" s="780">
        <f t="shared" ca="1" si="720"/>
        <v>256.58999999999997</v>
      </c>
      <c r="AD303" s="780">
        <f t="shared" ca="1" si="720"/>
        <v>256.58999999999997</v>
      </c>
      <c r="AE303" s="780">
        <f ca="1">OFFSET(InputY!$G270,0,(COLUMN()-7)/4)</f>
        <v>233.14</v>
      </c>
      <c r="AF303" s="780">
        <f t="shared" ref="AF303:AH307" ca="1" si="721">+AE303</f>
        <v>233.14</v>
      </c>
      <c r="AG303" s="780">
        <f t="shared" ca="1" si="721"/>
        <v>233.14</v>
      </c>
      <c r="AH303" s="780">
        <f t="shared" ca="1" si="721"/>
        <v>233.14</v>
      </c>
      <c r="AI303" s="780">
        <f ca="1">OFFSET(InputY!$G270,0,(COLUMN()-7)/4)</f>
        <v>246.14000000000001</v>
      </c>
      <c r="AJ303" s="780">
        <f t="shared" ref="AJ303:AL307" ca="1" si="722">+AI303</f>
        <v>246.14000000000001</v>
      </c>
      <c r="AK303" s="780">
        <f t="shared" ca="1" si="722"/>
        <v>246.14000000000001</v>
      </c>
      <c r="AL303" s="780">
        <f t="shared" ca="1" si="722"/>
        <v>246.14000000000001</v>
      </c>
      <c r="AM303" s="780">
        <f ca="1">OFFSET(InputY!$G270,0,(COLUMN()-7)/4)</f>
        <v>244.02</v>
      </c>
      <c r="AN303" s="780">
        <f t="shared" ref="AN303:AP307" ca="1" si="723">+AM303</f>
        <v>244.02</v>
      </c>
      <c r="AO303" s="780">
        <f t="shared" ca="1" si="723"/>
        <v>244.02</v>
      </c>
      <c r="AP303" s="780">
        <f t="shared" ca="1" si="723"/>
        <v>244.02</v>
      </c>
      <c r="AQ303" s="780">
        <f ca="1">OFFSET(InputY!$G270,0,(COLUMN()-7)/4)</f>
        <v>257.04000000000002</v>
      </c>
      <c r="AR303" s="780">
        <f t="shared" ref="AR303:AT307" ca="1" si="724">+AQ303</f>
        <v>257.04000000000002</v>
      </c>
      <c r="AS303" s="780">
        <f t="shared" ca="1" si="724"/>
        <v>257.04000000000002</v>
      </c>
      <c r="AT303" s="780">
        <f t="shared" ca="1" si="724"/>
        <v>257.04000000000002</v>
      </c>
      <c r="AU303" s="780">
        <f ca="1">OFFSET(InputY!$G270,0,(COLUMN()-7)/4)</f>
        <v>271.23</v>
      </c>
      <c r="AV303" s="780">
        <f t="shared" ref="AV303:AX307" ca="1" si="725">+AU303</f>
        <v>271.23</v>
      </c>
      <c r="AW303" s="780">
        <f t="shared" ca="1" si="725"/>
        <v>271.23</v>
      </c>
      <c r="AX303" s="780">
        <f t="shared" ca="1" si="725"/>
        <v>271.23</v>
      </c>
      <c r="AY303" s="780">
        <f ca="1">OFFSET(InputY!$G270,0,(COLUMN()-7)/4)</f>
        <v>271.83999999999997</v>
      </c>
      <c r="AZ303" s="780">
        <f t="shared" ref="AZ303:BB307" ca="1" si="726">+AY303</f>
        <v>271.83999999999997</v>
      </c>
      <c r="BA303" s="780">
        <f t="shared" ca="1" si="726"/>
        <v>271.83999999999997</v>
      </c>
      <c r="BB303" s="780">
        <f t="shared" ca="1" si="726"/>
        <v>271.83999999999997</v>
      </c>
      <c r="BC303" s="780">
        <f ca="1">OFFSET(InputY!$G270,0,(COLUMN()-7)/4)</f>
        <v>287.05</v>
      </c>
      <c r="BD303" s="780">
        <f t="shared" ref="BD303:BF307" ca="1" si="727">+BC303</f>
        <v>287.05</v>
      </c>
      <c r="BE303" s="780">
        <f t="shared" ca="1" si="727"/>
        <v>287.05</v>
      </c>
      <c r="BF303" s="780">
        <f t="shared" ca="1" si="727"/>
        <v>287.05</v>
      </c>
      <c r="BG303" s="780">
        <f ca="1">OFFSET(InputY!$G270,0,(COLUMN()-7)/4)</f>
        <v>289.37</v>
      </c>
      <c r="BH303" s="780">
        <f t="shared" ref="BH303:BN307" ca="1" si="728">+BG303</f>
        <v>289.37</v>
      </c>
      <c r="BI303" s="780">
        <f t="shared" ca="1" si="728"/>
        <v>289.37</v>
      </c>
      <c r="BJ303" s="780">
        <f t="shared" ca="1" si="728"/>
        <v>289.37</v>
      </c>
      <c r="BK303" s="780">
        <f ca="1">OFFSET(InputY!$G270,0,(COLUMN()-7)/4)</f>
        <v>292.51</v>
      </c>
      <c r="BL303" s="780">
        <f t="shared" ref="BL303:BN306" ca="1" si="729">+BK303</f>
        <v>292.51</v>
      </c>
      <c r="BM303" s="780">
        <f t="shared" ca="1" si="729"/>
        <v>292.51</v>
      </c>
      <c r="BN303" s="780">
        <f t="shared" ca="1" si="729"/>
        <v>292.51</v>
      </c>
      <c r="BO303" s="780">
        <f ca="1">OFFSET(InputY!$G270,0,(COLUMN()-7)/4)</f>
        <v>266.68</v>
      </c>
      <c r="BP303" s="780">
        <f t="shared" ref="BP303:BR307" ca="1" si="730">+BO303</f>
        <v>266.68</v>
      </c>
      <c r="BQ303" s="780">
        <f t="shared" ca="1" si="730"/>
        <v>266.68</v>
      </c>
      <c r="BR303" s="780">
        <f t="shared" ca="1" si="730"/>
        <v>266.68</v>
      </c>
      <c r="BS303" s="780">
        <f ca="1">OFFSET(InputY!$G270,0,(COLUMN()-7)/4)</f>
        <v>252.33000000000004</v>
      </c>
      <c r="BT303" s="780">
        <f t="shared" ref="BT303:BV307" ca="1" si="731">+BS303</f>
        <v>252.33000000000004</v>
      </c>
      <c r="BU303" s="780">
        <f t="shared" ca="1" si="731"/>
        <v>252.33000000000004</v>
      </c>
      <c r="BV303" s="780">
        <f t="shared" ca="1" si="731"/>
        <v>252.33000000000004</v>
      </c>
      <c r="BW303" s="780">
        <f ca="1">OFFSET(InputY!$G270,0,(COLUMN()-7)/4)</f>
        <v>243.38</v>
      </c>
      <c r="BX303" s="780">
        <f t="shared" ref="BX303:BZ307" ca="1" si="732">+BW303</f>
        <v>243.38</v>
      </c>
      <c r="BY303" s="780">
        <f t="shared" ca="1" si="732"/>
        <v>243.38</v>
      </c>
      <c r="BZ303" s="780">
        <f t="shared" ca="1" si="732"/>
        <v>243.38</v>
      </c>
      <c r="CA303" s="780">
        <f ca="1">OFFSET(InputY!$G270,0,(COLUMN()-7)/4)</f>
        <v>238.83000000000004</v>
      </c>
      <c r="CB303" s="780">
        <f t="shared" ref="CB303:CD307" ca="1" si="733">+CA303</f>
        <v>238.83000000000004</v>
      </c>
      <c r="CC303" s="780">
        <f t="shared" ca="1" si="733"/>
        <v>238.83000000000004</v>
      </c>
      <c r="CD303" s="780">
        <f t="shared" ca="1" si="733"/>
        <v>238.83000000000004</v>
      </c>
      <c r="CE303" s="780">
        <v>300.89999999999998</v>
      </c>
      <c r="CF303" s="780">
        <f>CE303</f>
        <v>300.89999999999998</v>
      </c>
      <c r="CG303" s="780">
        <f>CF303</f>
        <v>300.89999999999998</v>
      </c>
      <c r="CH303" s="780">
        <f>CG303</f>
        <v>300.89999999999998</v>
      </c>
      <c r="CI303" s="780">
        <v>321.58999999999997</v>
      </c>
      <c r="CJ303" s="780">
        <f t="shared" ref="CJ303:CL306" si="734">CI303</f>
        <v>321.58999999999997</v>
      </c>
      <c r="CK303" s="780">
        <f t="shared" si="734"/>
        <v>321.58999999999997</v>
      </c>
      <c r="CL303" s="780">
        <f t="shared" si="734"/>
        <v>321.58999999999997</v>
      </c>
      <c r="CM303" s="780">
        <v>336.99</v>
      </c>
      <c r="CN303" s="780">
        <f t="shared" ref="CN303:CP306" si="735">CM303</f>
        <v>336.99</v>
      </c>
      <c r="CO303" s="780">
        <f t="shared" si="735"/>
        <v>336.99</v>
      </c>
      <c r="CP303" s="780">
        <f t="shared" si="735"/>
        <v>336.99</v>
      </c>
      <c r="CQ303" s="780">
        <v>324.63</v>
      </c>
      <c r="CR303" s="780">
        <f>+CQ303</f>
        <v>324.63</v>
      </c>
      <c r="CS303" s="780">
        <f t="shared" ref="CS303:CT303" si="736">+CR303</f>
        <v>324.63</v>
      </c>
      <c r="CT303" s="780">
        <f t="shared" si="736"/>
        <v>324.63</v>
      </c>
      <c r="CU303" s="1416">
        <f t="shared" ref="CU303:CX306" si="737">CT303</f>
        <v>324.63</v>
      </c>
      <c r="CV303" s="1416">
        <f t="shared" si="737"/>
        <v>324.63</v>
      </c>
      <c r="CW303" s="1416">
        <f t="shared" si="737"/>
        <v>324.63</v>
      </c>
      <c r="CX303" s="1416">
        <f t="shared" si="737"/>
        <v>324.63</v>
      </c>
      <c r="CY303" s="1416">
        <f t="shared" ref="CY303:CY306" si="738">CX303</f>
        <v>324.63</v>
      </c>
      <c r="CZ303" s="1416">
        <f t="shared" ref="CZ303:CZ306" si="739">CY303</f>
        <v>324.63</v>
      </c>
      <c r="DA303" s="1416">
        <f t="shared" ref="DA303:DA306" si="740">CZ303</f>
        <v>324.63</v>
      </c>
      <c r="DB303" s="1416">
        <f t="shared" ref="DB303:DB306" si="741">DA303</f>
        <v>324.63</v>
      </c>
      <c r="DC303"/>
      <c r="DD303"/>
      <c r="DE303"/>
      <c r="DF303"/>
      <c r="DG303"/>
      <c r="DH303"/>
      <c r="DI303"/>
      <c r="DJ303"/>
      <c r="DK303"/>
      <c r="DL303"/>
      <c r="DM303"/>
      <c r="DN303"/>
      <c r="DO303"/>
    </row>
    <row r="304" spans="1:119" s="699" customFormat="1" ht="12.75" customHeight="1">
      <c r="A304" s="664" t="str">
        <f>"Y" &amp; ROW(InputY!A271)</f>
        <v>Y271</v>
      </c>
      <c r="B304" s="664" t="s">
        <v>816</v>
      </c>
      <c r="C304" s="1562"/>
      <c r="D304" s="674"/>
      <c r="E304" s="3629" t="str">
        <f>+E278</f>
        <v>Energy</v>
      </c>
      <c r="F304" s="3630"/>
      <c r="G304" s="706"/>
      <c r="H304" s="706"/>
      <c r="I304" s="706"/>
      <c r="J304" s="706" t="str">
        <f ca="1">OFFSET(InputY!$G271,0,(COLUMN()-10)/4)</f>
        <v>:</v>
      </c>
      <c r="K304" s="706">
        <f ca="1">OFFSET(InputY!$G271,0,(COLUMN()-7)/4)</f>
        <v>116.59</v>
      </c>
      <c r="L304" s="706">
        <f t="shared" ref="L304:N307" ca="1" si="742">+K304</f>
        <v>116.59</v>
      </c>
      <c r="M304" s="706">
        <f t="shared" ca="1" si="742"/>
        <v>116.59</v>
      </c>
      <c r="N304" s="706">
        <f t="shared" ca="1" si="742"/>
        <v>116.59</v>
      </c>
      <c r="O304" s="706">
        <f ca="1">OFFSET(InputY!$G271,0,(COLUMN()-7)/4)</f>
        <v>144.16999999999999</v>
      </c>
      <c r="P304" s="706">
        <f t="shared" ca="1" si="717"/>
        <v>144.16999999999999</v>
      </c>
      <c r="Q304" s="706">
        <f t="shared" ca="1" si="717"/>
        <v>144.16999999999999</v>
      </c>
      <c r="R304" s="706">
        <f t="shared" ca="1" si="717"/>
        <v>144.16999999999999</v>
      </c>
      <c r="S304" s="706">
        <f ca="1">OFFSET(InputY!$G271,0,(COLUMN()-7)/4)</f>
        <v>162.15</v>
      </c>
      <c r="T304" s="706">
        <f t="shared" ca="1" si="718"/>
        <v>162.15</v>
      </c>
      <c r="U304" s="706">
        <f t="shared" ca="1" si="718"/>
        <v>162.15</v>
      </c>
      <c r="V304" s="706">
        <f t="shared" ca="1" si="718"/>
        <v>162.15</v>
      </c>
      <c r="W304" s="706">
        <f ca="1">OFFSET(InputY!$G271,0,(COLUMN()-7)/4)</f>
        <v>131.61000000000001</v>
      </c>
      <c r="X304" s="706">
        <f t="shared" ca="1" si="719"/>
        <v>131.61000000000001</v>
      </c>
      <c r="Y304" s="706">
        <f t="shared" ca="1" si="719"/>
        <v>131.61000000000001</v>
      </c>
      <c r="Z304" s="706">
        <f t="shared" ca="1" si="719"/>
        <v>131.61000000000001</v>
      </c>
      <c r="AA304" s="706">
        <f ca="1">OFFSET(InputY!$G271,0,(COLUMN()-7)/4)</f>
        <v>150.61000000000001</v>
      </c>
      <c r="AB304" s="706">
        <f t="shared" ca="1" si="720"/>
        <v>150.61000000000001</v>
      </c>
      <c r="AC304" s="706">
        <f t="shared" ca="1" si="720"/>
        <v>150.61000000000001</v>
      </c>
      <c r="AD304" s="706">
        <f t="shared" ca="1" si="720"/>
        <v>150.61000000000001</v>
      </c>
      <c r="AE304" s="706">
        <f ca="1">OFFSET(InputY!$G271,0,(COLUMN()-7)/4)</f>
        <v>156.51</v>
      </c>
      <c r="AF304" s="706">
        <f t="shared" ca="1" si="721"/>
        <v>156.51</v>
      </c>
      <c r="AG304" s="706">
        <f t="shared" ca="1" si="721"/>
        <v>156.51</v>
      </c>
      <c r="AH304" s="706">
        <f t="shared" ca="1" si="721"/>
        <v>156.51</v>
      </c>
      <c r="AI304" s="706">
        <f ca="1">OFFSET(InputY!$G271,0,(COLUMN()-7)/4)</f>
        <v>130.04</v>
      </c>
      <c r="AJ304" s="706">
        <f t="shared" ca="1" si="722"/>
        <v>130.04</v>
      </c>
      <c r="AK304" s="706">
        <f t="shared" ca="1" si="722"/>
        <v>130.04</v>
      </c>
      <c r="AL304" s="706">
        <f t="shared" ca="1" si="722"/>
        <v>130.04</v>
      </c>
      <c r="AM304" s="706">
        <f ca="1">OFFSET(InputY!$G271,0,(COLUMN()-7)/4)</f>
        <v>144.53</v>
      </c>
      <c r="AN304" s="706">
        <f t="shared" ca="1" si="723"/>
        <v>144.53</v>
      </c>
      <c r="AO304" s="706">
        <f t="shared" ca="1" si="723"/>
        <v>144.53</v>
      </c>
      <c r="AP304" s="706">
        <f t="shared" ca="1" si="723"/>
        <v>144.53</v>
      </c>
      <c r="AQ304" s="706">
        <f ca="1">OFFSET(InputY!$G271,0,(COLUMN()-7)/4)</f>
        <v>139.24</v>
      </c>
      <c r="AR304" s="706">
        <f t="shared" ca="1" si="724"/>
        <v>139.24</v>
      </c>
      <c r="AS304" s="706">
        <f t="shared" ca="1" si="724"/>
        <v>139.24</v>
      </c>
      <c r="AT304" s="706">
        <f t="shared" ca="1" si="724"/>
        <v>139.24</v>
      </c>
      <c r="AU304" s="706">
        <f ca="1">OFFSET(InputY!$G271,0,(COLUMN()-7)/4)</f>
        <v>130.71</v>
      </c>
      <c r="AV304" s="706">
        <f t="shared" ca="1" si="725"/>
        <v>130.71</v>
      </c>
      <c r="AW304" s="706">
        <f t="shared" ca="1" si="725"/>
        <v>130.71</v>
      </c>
      <c r="AX304" s="706">
        <f t="shared" ca="1" si="725"/>
        <v>130.71</v>
      </c>
      <c r="AY304" s="706">
        <f ca="1">OFFSET(InputY!$G271,0,(COLUMN()-7)/4)</f>
        <v>131.59</v>
      </c>
      <c r="AZ304" s="706">
        <f t="shared" ca="1" si="726"/>
        <v>131.59</v>
      </c>
      <c r="BA304" s="706">
        <f t="shared" ca="1" si="726"/>
        <v>131.59</v>
      </c>
      <c r="BB304" s="706">
        <f t="shared" ca="1" si="726"/>
        <v>131.59</v>
      </c>
      <c r="BC304" s="706">
        <f ca="1">OFFSET(InputY!$G271,0,(COLUMN()-7)/4)</f>
        <v>133.38</v>
      </c>
      <c r="BD304" s="706">
        <f t="shared" ca="1" si="727"/>
        <v>133.38</v>
      </c>
      <c r="BE304" s="706">
        <f t="shared" ca="1" si="727"/>
        <v>133.38</v>
      </c>
      <c r="BF304" s="706">
        <f t="shared" ca="1" si="727"/>
        <v>133.38</v>
      </c>
      <c r="BG304" s="706">
        <f ca="1">OFFSET(InputY!$G271,0,(COLUMN()-7)/4)</f>
        <v>133.54</v>
      </c>
      <c r="BH304" s="706">
        <f t="shared" ca="1" si="728"/>
        <v>133.54</v>
      </c>
      <c r="BI304" s="706">
        <f t="shared" ca="1" si="728"/>
        <v>133.54</v>
      </c>
      <c r="BJ304" s="706">
        <f t="shared" ca="1" si="728"/>
        <v>133.54</v>
      </c>
      <c r="BK304" s="706">
        <f ca="1">OFFSET(InputY!$G271,0,(COLUMN()-7)/4)</f>
        <v>125.36000000000001</v>
      </c>
      <c r="BL304" s="706">
        <f t="shared" ca="1" si="729"/>
        <v>125.36000000000001</v>
      </c>
      <c r="BM304" s="706">
        <f t="shared" ca="1" si="729"/>
        <v>125.36000000000001</v>
      </c>
      <c r="BN304" s="706">
        <f t="shared" ca="1" si="729"/>
        <v>125.36000000000001</v>
      </c>
      <c r="BO304" s="706">
        <f ca="1">OFFSET(InputY!$G271,0,(COLUMN()-7)/4)</f>
        <v>136.25</v>
      </c>
      <c r="BP304" s="706">
        <f t="shared" ca="1" si="730"/>
        <v>136.25</v>
      </c>
      <c r="BQ304" s="706">
        <f t="shared" ca="1" si="730"/>
        <v>136.25</v>
      </c>
      <c r="BR304" s="706">
        <f t="shared" ca="1" si="730"/>
        <v>136.25</v>
      </c>
      <c r="BS304" s="706">
        <f ca="1">OFFSET(InputY!$G271,0,(COLUMN()-7)/4)</f>
        <v>153.46</v>
      </c>
      <c r="BT304" s="706">
        <f t="shared" ca="1" si="731"/>
        <v>153.46</v>
      </c>
      <c r="BU304" s="706">
        <f t="shared" ca="1" si="731"/>
        <v>153.46</v>
      </c>
      <c r="BV304" s="706">
        <f t="shared" ca="1" si="731"/>
        <v>153.46</v>
      </c>
      <c r="BW304" s="706">
        <f ca="1">OFFSET(InputY!$G271,0,(COLUMN()-7)/4)</f>
        <v>163.93</v>
      </c>
      <c r="BX304" s="706">
        <f t="shared" ca="1" si="732"/>
        <v>163.93</v>
      </c>
      <c r="BY304" s="706">
        <f t="shared" ca="1" si="732"/>
        <v>163.93</v>
      </c>
      <c r="BZ304" s="706">
        <f t="shared" ca="1" si="732"/>
        <v>163.93</v>
      </c>
      <c r="CA304" s="706">
        <f ca="1">OFFSET(InputY!$G271,0,(COLUMN()-7)/4)</f>
        <v>168.38</v>
      </c>
      <c r="CB304" s="706">
        <f t="shared" ca="1" si="733"/>
        <v>168.38</v>
      </c>
      <c r="CC304" s="706">
        <f t="shared" ca="1" si="733"/>
        <v>168.38</v>
      </c>
      <c r="CD304" s="706">
        <f t="shared" ca="1" si="733"/>
        <v>168.38</v>
      </c>
      <c r="CE304" s="706">
        <v>142.51</v>
      </c>
      <c r="CF304" s="706">
        <f>CE304</f>
        <v>142.51</v>
      </c>
      <c r="CG304" s="706">
        <f t="shared" ref="CG304:CH306" si="743">CF304</f>
        <v>142.51</v>
      </c>
      <c r="CH304" s="706">
        <f t="shared" si="743"/>
        <v>142.51</v>
      </c>
      <c r="CI304" s="706">
        <v>136.01</v>
      </c>
      <c r="CJ304" s="706">
        <f t="shared" si="734"/>
        <v>136.01</v>
      </c>
      <c r="CK304" s="706">
        <f t="shared" si="734"/>
        <v>136.01</v>
      </c>
      <c r="CL304" s="706">
        <f t="shared" si="734"/>
        <v>136.01</v>
      </c>
      <c r="CM304" s="706">
        <v>117.86</v>
      </c>
      <c r="CN304" s="706">
        <f t="shared" si="735"/>
        <v>117.86</v>
      </c>
      <c r="CO304" s="706">
        <f t="shared" si="735"/>
        <v>117.86</v>
      </c>
      <c r="CP304" s="706">
        <f t="shared" si="735"/>
        <v>117.86</v>
      </c>
      <c r="CQ304" s="706">
        <v>120.19</v>
      </c>
      <c r="CR304" s="706">
        <f t="shared" ref="CR304" si="744">CQ304</f>
        <v>120.19</v>
      </c>
      <c r="CS304" s="706">
        <f t="shared" ref="CS304" si="745">CR304</f>
        <v>120.19</v>
      </c>
      <c r="CT304" s="706">
        <f t="shared" ref="CT304" si="746">CS304</f>
        <v>120.19</v>
      </c>
      <c r="CU304" s="937">
        <f t="shared" si="737"/>
        <v>120.19</v>
      </c>
      <c r="CV304" s="937">
        <f t="shared" si="737"/>
        <v>120.19</v>
      </c>
      <c r="CW304" s="937">
        <f t="shared" si="737"/>
        <v>120.19</v>
      </c>
      <c r="CX304" s="937">
        <f t="shared" si="737"/>
        <v>120.19</v>
      </c>
      <c r="CY304" s="937">
        <f t="shared" si="738"/>
        <v>120.19</v>
      </c>
      <c r="CZ304" s="937">
        <f t="shared" si="739"/>
        <v>120.19</v>
      </c>
      <c r="DA304" s="937">
        <f t="shared" si="740"/>
        <v>120.19</v>
      </c>
      <c r="DB304" s="937">
        <f t="shared" si="741"/>
        <v>120.19</v>
      </c>
      <c r="DC304"/>
      <c r="DD304"/>
      <c r="DE304"/>
      <c r="DF304"/>
      <c r="DG304"/>
      <c r="DH304"/>
      <c r="DI304"/>
      <c r="DJ304"/>
      <c r="DK304"/>
      <c r="DL304"/>
      <c r="DM304"/>
      <c r="DN304"/>
      <c r="DO304"/>
    </row>
    <row r="305" spans="1:119" s="699" customFormat="1" ht="12.75" customHeight="1">
      <c r="A305" s="664" t="str">
        <f>"Y" &amp; ROW(InputY!A272)</f>
        <v>Y272</v>
      </c>
      <c r="B305" s="664" t="s">
        <v>818</v>
      </c>
      <c r="C305" s="1562"/>
      <c r="D305" s="674"/>
      <c r="E305" s="3629" t="s">
        <v>1239</v>
      </c>
      <c r="F305" s="3630"/>
      <c r="G305" s="706"/>
      <c r="H305" s="706"/>
      <c r="I305" s="706"/>
      <c r="J305" s="706" t="str">
        <f ca="1">OFFSET(InputY!$G272,0,(COLUMN()-10)/4)</f>
        <v>:</v>
      </c>
      <c r="K305" s="706">
        <f ca="1">OFFSET(InputY!$G272,0,(COLUMN()-7)/4)</f>
        <v>248.77000000000004</v>
      </c>
      <c r="L305" s="706">
        <f t="shared" ca="1" si="742"/>
        <v>248.77000000000004</v>
      </c>
      <c r="M305" s="706">
        <f t="shared" ca="1" si="742"/>
        <v>248.77000000000004</v>
      </c>
      <c r="N305" s="706">
        <f t="shared" ca="1" si="742"/>
        <v>248.77000000000004</v>
      </c>
      <c r="O305" s="706">
        <f ca="1">OFFSET(InputY!$G272,0,(COLUMN()-7)/4)</f>
        <v>192.56</v>
      </c>
      <c r="P305" s="706">
        <f t="shared" ca="1" si="717"/>
        <v>192.56</v>
      </c>
      <c r="Q305" s="706">
        <f t="shared" ca="1" si="717"/>
        <v>192.56</v>
      </c>
      <c r="R305" s="706">
        <f t="shared" ca="1" si="717"/>
        <v>192.56</v>
      </c>
      <c r="S305" s="706">
        <f ca="1">OFFSET(InputY!$G272,0,(COLUMN()-7)/4)</f>
        <v>180.19000000000003</v>
      </c>
      <c r="T305" s="706">
        <f t="shared" ca="1" si="718"/>
        <v>180.19000000000003</v>
      </c>
      <c r="U305" s="706">
        <f t="shared" ca="1" si="718"/>
        <v>180.19000000000003</v>
      </c>
      <c r="V305" s="706">
        <f t="shared" ca="1" si="718"/>
        <v>180.19000000000003</v>
      </c>
      <c r="W305" s="706">
        <f ca="1">OFFSET(InputY!$G272,0,(COLUMN()-7)/4)</f>
        <v>174.74</v>
      </c>
      <c r="X305" s="706">
        <f t="shared" ca="1" si="719"/>
        <v>174.74</v>
      </c>
      <c r="Y305" s="706">
        <f t="shared" ca="1" si="719"/>
        <v>174.74</v>
      </c>
      <c r="Z305" s="706">
        <f t="shared" ca="1" si="719"/>
        <v>174.74</v>
      </c>
      <c r="AA305" s="706">
        <f ca="1">OFFSET(InputY!$G272,0,(COLUMN()-7)/4)</f>
        <v>165.14</v>
      </c>
      <c r="AB305" s="706">
        <f t="shared" ca="1" si="720"/>
        <v>165.14</v>
      </c>
      <c r="AC305" s="706">
        <f t="shared" ca="1" si="720"/>
        <v>165.14</v>
      </c>
      <c r="AD305" s="706">
        <f t="shared" ca="1" si="720"/>
        <v>165.14</v>
      </c>
      <c r="AE305" s="706">
        <f ca="1">OFFSET(InputY!$G272,0,(COLUMN()-7)/4)</f>
        <v>163.66</v>
      </c>
      <c r="AF305" s="706">
        <f t="shared" ca="1" si="721"/>
        <v>163.66</v>
      </c>
      <c r="AG305" s="706">
        <f t="shared" ca="1" si="721"/>
        <v>163.66</v>
      </c>
      <c r="AH305" s="706">
        <f t="shared" ca="1" si="721"/>
        <v>163.66</v>
      </c>
      <c r="AI305" s="706">
        <f ca="1">OFFSET(InputY!$G272,0,(COLUMN()-7)/4)</f>
        <v>152.71</v>
      </c>
      <c r="AJ305" s="706">
        <f t="shared" ca="1" si="722"/>
        <v>152.71</v>
      </c>
      <c r="AK305" s="706">
        <f t="shared" ca="1" si="722"/>
        <v>152.71</v>
      </c>
      <c r="AL305" s="706">
        <f t="shared" ca="1" si="722"/>
        <v>152.71</v>
      </c>
      <c r="AM305" s="706">
        <f ca="1">OFFSET(InputY!$G272,0,(COLUMN()-7)/4)</f>
        <v>130.96</v>
      </c>
      <c r="AN305" s="706">
        <f t="shared" ca="1" si="723"/>
        <v>130.96</v>
      </c>
      <c r="AO305" s="706">
        <f t="shared" ca="1" si="723"/>
        <v>130.96</v>
      </c>
      <c r="AP305" s="706">
        <f t="shared" ca="1" si="723"/>
        <v>130.96</v>
      </c>
      <c r="AQ305" s="706">
        <f ca="1">OFFSET(InputY!$G272,0,(COLUMN()-7)/4)</f>
        <v>121.5</v>
      </c>
      <c r="AR305" s="706">
        <f t="shared" ca="1" si="724"/>
        <v>121.5</v>
      </c>
      <c r="AS305" s="706">
        <f t="shared" ca="1" si="724"/>
        <v>121.5</v>
      </c>
      <c r="AT305" s="706">
        <f t="shared" ca="1" si="724"/>
        <v>121.5</v>
      </c>
      <c r="AU305" s="706">
        <f ca="1">OFFSET(InputY!$G272,0,(COLUMN()-7)/4)</f>
        <v>120.35</v>
      </c>
      <c r="AV305" s="706">
        <f t="shared" ca="1" si="725"/>
        <v>120.35</v>
      </c>
      <c r="AW305" s="706">
        <f t="shared" ca="1" si="725"/>
        <v>120.35</v>
      </c>
      <c r="AX305" s="706">
        <f t="shared" ca="1" si="725"/>
        <v>120.35</v>
      </c>
      <c r="AY305" s="706">
        <f ca="1">OFFSET(InputY!$G272,0,(COLUMN()-7)/4)</f>
        <v>120.72000000000001</v>
      </c>
      <c r="AZ305" s="706">
        <f t="shared" ca="1" si="726"/>
        <v>120.72000000000001</v>
      </c>
      <c r="BA305" s="706">
        <f t="shared" ca="1" si="726"/>
        <v>120.72000000000001</v>
      </c>
      <c r="BB305" s="706">
        <f t="shared" ca="1" si="726"/>
        <v>120.72000000000001</v>
      </c>
      <c r="BC305" s="706">
        <f ca="1">OFFSET(InputY!$G272,0,(COLUMN()-7)/4)</f>
        <v>112.88</v>
      </c>
      <c r="BD305" s="706">
        <f t="shared" ca="1" si="727"/>
        <v>112.88</v>
      </c>
      <c r="BE305" s="706">
        <f t="shared" ca="1" si="727"/>
        <v>112.88</v>
      </c>
      <c r="BF305" s="706">
        <f t="shared" ca="1" si="727"/>
        <v>112.88</v>
      </c>
      <c r="BG305" s="706">
        <f ca="1">OFFSET(InputY!$G272,0,(COLUMN()-7)/4)</f>
        <v>110.28</v>
      </c>
      <c r="BH305" s="706">
        <f t="shared" ca="1" si="728"/>
        <v>110.28</v>
      </c>
      <c r="BI305" s="706">
        <f t="shared" ca="1" si="728"/>
        <v>110.28</v>
      </c>
      <c r="BJ305" s="706">
        <f t="shared" ca="1" si="728"/>
        <v>110.28</v>
      </c>
      <c r="BK305" s="706">
        <f ca="1">OFFSET(InputY!$G272,0,(COLUMN()-7)/4)</f>
        <v>115.75000000000001</v>
      </c>
      <c r="BL305" s="706">
        <f t="shared" ca="1" si="729"/>
        <v>115.75000000000001</v>
      </c>
      <c r="BM305" s="706">
        <f t="shared" ca="1" si="729"/>
        <v>115.75000000000001</v>
      </c>
      <c r="BN305" s="706">
        <f t="shared" ca="1" si="729"/>
        <v>115.75000000000001</v>
      </c>
      <c r="BO305" s="706">
        <f ca="1">OFFSET(InputY!$G272,0,(COLUMN()-7)/4)</f>
        <v>113.57</v>
      </c>
      <c r="BP305" s="706">
        <f t="shared" ca="1" si="730"/>
        <v>113.57</v>
      </c>
      <c r="BQ305" s="706">
        <f t="shared" ca="1" si="730"/>
        <v>113.57</v>
      </c>
      <c r="BR305" s="706">
        <f t="shared" ca="1" si="730"/>
        <v>113.57</v>
      </c>
      <c r="BS305" s="706">
        <f ca="1">OFFSET(InputY!$G272,0,(COLUMN()-7)/4)</f>
        <v>114.47000000000001</v>
      </c>
      <c r="BT305" s="706">
        <f t="shared" ca="1" si="731"/>
        <v>114.47000000000001</v>
      </c>
      <c r="BU305" s="706">
        <f t="shared" ca="1" si="731"/>
        <v>114.47000000000001</v>
      </c>
      <c r="BV305" s="706">
        <f t="shared" ca="1" si="731"/>
        <v>114.47000000000001</v>
      </c>
      <c r="BW305" s="706">
        <f ca="1">OFFSET(InputY!$G272,0,(COLUMN()-7)/4)</f>
        <v>111.19</v>
      </c>
      <c r="BX305" s="706">
        <f t="shared" ca="1" si="732"/>
        <v>111.19</v>
      </c>
      <c r="BY305" s="706">
        <f t="shared" ca="1" si="732"/>
        <v>111.19</v>
      </c>
      <c r="BZ305" s="706">
        <f t="shared" ca="1" si="732"/>
        <v>111.19</v>
      </c>
      <c r="CA305" s="706">
        <f ca="1">OFFSET(InputY!$G272,0,(COLUMN()-7)/4)</f>
        <v>111.46000000000001</v>
      </c>
      <c r="CB305" s="706">
        <f t="shared" ca="1" si="733"/>
        <v>111.46000000000001</v>
      </c>
      <c r="CC305" s="706">
        <f t="shared" ca="1" si="733"/>
        <v>111.46000000000001</v>
      </c>
      <c r="CD305" s="706">
        <f t="shared" ca="1" si="733"/>
        <v>111.46000000000001</v>
      </c>
      <c r="CE305" s="706">
        <v>102.8</v>
      </c>
      <c r="CF305" s="706">
        <f>CE305</f>
        <v>102.8</v>
      </c>
      <c r="CG305" s="706">
        <f t="shared" si="743"/>
        <v>102.8</v>
      </c>
      <c r="CH305" s="706">
        <f t="shared" si="743"/>
        <v>102.8</v>
      </c>
      <c r="CI305" s="706">
        <v>95.36</v>
      </c>
      <c r="CJ305" s="706">
        <f t="shared" si="734"/>
        <v>95.36</v>
      </c>
      <c r="CK305" s="706">
        <f t="shared" si="734"/>
        <v>95.36</v>
      </c>
      <c r="CL305" s="706">
        <f t="shared" si="734"/>
        <v>95.36</v>
      </c>
      <c r="CM305" s="706">
        <v>92.19</v>
      </c>
      <c r="CN305" s="706">
        <f t="shared" si="735"/>
        <v>92.19</v>
      </c>
      <c r="CO305" s="706">
        <f t="shared" si="735"/>
        <v>92.19</v>
      </c>
      <c r="CP305" s="706">
        <f t="shared" si="735"/>
        <v>92.19</v>
      </c>
      <c r="CQ305" s="706">
        <v>80.97</v>
      </c>
      <c r="CR305" s="706">
        <f>+CQ305</f>
        <v>80.97</v>
      </c>
      <c r="CS305" s="706">
        <f t="shared" ref="CS305:CT305" si="747">+CR305</f>
        <v>80.97</v>
      </c>
      <c r="CT305" s="706">
        <f t="shared" si="747"/>
        <v>80.97</v>
      </c>
      <c r="CU305" s="937">
        <f t="shared" si="737"/>
        <v>80.97</v>
      </c>
      <c r="CV305" s="937">
        <f t="shared" si="737"/>
        <v>80.97</v>
      </c>
      <c r="CW305" s="937">
        <f t="shared" si="737"/>
        <v>80.97</v>
      </c>
      <c r="CX305" s="937">
        <f t="shared" si="737"/>
        <v>80.97</v>
      </c>
      <c r="CY305" s="937">
        <f t="shared" si="738"/>
        <v>80.97</v>
      </c>
      <c r="CZ305" s="937">
        <f t="shared" si="739"/>
        <v>80.97</v>
      </c>
      <c r="DA305" s="937">
        <f t="shared" si="740"/>
        <v>80.97</v>
      </c>
      <c r="DB305" s="937">
        <f t="shared" si="741"/>
        <v>80.97</v>
      </c>
      <c r="DC305"/>
      <c r="DD305"/>
      <c r="DE305"/>
      <c r="DF305"/>
      <c r="DG305"/>
      <c r="DH305"/>
      <c r="DI305"/>
      <c r="DJ305"/>
      <c r="DK305"/>
      <c r="DL305"/>
      <c r="DM305"/>
      <c r="DN305"/>
      <c r="DO305"/>
    </row>
    <row r="306" spans="1:119" s="699" customFormat="1" ht="12.75" customHeight="1">
      <c r="A306" s="664" t="str">
        <f>"Y" &amp; ROW(InputY!A273)</f>
        <v>Y273</v>
      </c>
      <c r="B306" s="664" t="s">
        <v>817</v>
      </c>
      <c r="C306" s="1562"/>
      <c r="D306" s="674"/>
      <c r="E306" s="3629" t="s">
        <v>1238</v>
      </c>
      <c r="F306" s="3630"/>
      <c r="G306" s="706"/>
      <c r="H306" s="706"/>
      <c r="I306" s="706"/>
      <c r="J306" s="706" t="str">
        <f ca="1">OFFSET(InputY!$G273,0,(COLUMN()-10)/4)</f>
        <v>:</v>
      </c>
      <c r="K306" s="706">
        <f ca="1">OFFSET(InputY!$G273,0,(COLUMN()-7)/4)</f>
        <v>329.58</v>
      </c>
      <c r="L306" s="706">
        <f t="shared" ca="1" si="742"/>
        <v>329.58</v>
      </c>
      <c r="M306" s="706">
        <f t="shared" ca="1" si="742"/>
        <v>329.58</v>
      </c>
      <c r="N306" s="706">
        <f t="shared" ca="1" si="742"/>
        <v>329.58</v>
      </c>
      <c r="O306" s="706">
        <f ca="1">OFFSET(InputY!$G273,0,(COLUMN()-7)/4)</f>
        <v>328.30000000000007</v>
      </c>
      <c r="P306" s="706">
        <f t="shared" ca="1" si="717"/>
        <v>328.30000000000007</v>
      </c>
      <c r="Q306" s="706">
        <f t="shared" ca="1" si="717"/>
        <v>328.30000000000007</v>
      </c>
      <c r="R306" s="706">
        <f t="shared" ca="1" si="717"/>
        <v>328.30000000000007</v>
      </c>
      <c r="S306" s="706">
        <f ca="1">OFFSET(InputY!$G273,0,(COLUMN()-7)/4)</f>
        <v>321.64</v>
      </c>
      <c r="T306" s="706">
        <f t="shared" ca="1" si="718"/>
        <v>321.64</v>
      </c>
      <c r="U306" s="706">
        <f t="shared" ca="1" si="718"/>
        <v>321.64</v>
      </c>
      <c r="V306" s="706">
        <f t="shared" ca="1" si="718"/>
        <v>321.64</v>
      </c>
      <c r="W306" s="706">
        <f ca="1">OFFSET(InputY!$G273,0,(COLUMN()-7)/4)</f>
        <v>294.95</v>
      </c>
      <c r="X306" s="706">
        <f t="shared" ca="1" si="719"/>
        <v>294.95</v>
      </c>
      <c r="Y306" s="706">
        <f t="shared" ca="1" si="719"/>
        <v>294.95</v>
      </c>
      <c r="Z306" s="706">
        <f t="shared" ca="1" si="719"/>
        <v>294.95</v>
      </c>
      <c r="AA306" s="706">
        <f ca="1">OFFSET(InputY!$G273,0,(COLUMN()-7)/4)</f>
        <v>274.73</v>
      </c>
      <c r="AB306" s="706">
        <f t="shared" ca="1" si="720"/>
        <v>274.73</v>
      </c>
      <c r="AC306" s="706">
        <f t="shared" ca="1" si="720"/>
        <v>274.73</v>
      </c>
      <c r="AD306" s="706">
        <f t="shared" ca="1" si="720"/>
        <v>274.73</v>
      </c>
      <c r="AE306" s="706">
        <f ca="1">OFFSET(InputY!$G273,0,(COLUMN()-7)/4)</f>
        <v>276.14999999999998</v>
      </c>
      <c r="AF306" s="706">
        <f t="shared" ca="1" si="721"/>
        <v>276.14999999999998</v>
      </c>
      <c r="AG306" s="706">
        <f t="shared" ca="1" si="721"/>
        <v>276.14999999999998</v>
      </c>
      <c r="AH306" s="706">
        <f t="shared" ca="1" si="721"/>
        <v>276.14999999999998</v>
      </c>
      <c r="AI306" s="706">
        <f ca="1">OFFSET(InputY!$G273,0,(COLUMN()-7)/4)</f>
        <v>261.55</v>
      </c>
      <c r="AJ306" s="706">
        <f t="shared" ca="1" si="722"/>
        <v>261.55</v>
      </c>
      <c r="AK306" s="706">
        <f t="shared" ca="1" si="722"/>
        <v>261.55</v>
      </c>
      <c r="AL306" s="706">
        <f t="shared" ca="1" si="722"/>
        <v>261.55</v>
      </c>
      <c r="AM306" s="706">
        <f ca="1">OFFSET(InputY!$G273,0,(COLUMN()-7)/4)</f>
        <v>258.43000000000006</v>
      </c>
      <c r="AN306" s="706">
        <f t="shared" ca="1" si="723"/>
        <v>258.43000000000006</v>
      </c>
      <c r="AO306" s="706">
        <f t="shared" ca="1" si="723"/>
        <v>258.43000000000006</v>
      </c>
      <c r="AP306" s="706">
        <f t="shared" ca="1" si="723"/>
        <v>258.43000000000006</v>
      </c>
      <c r="AQ306" s="706">
        <f ca="1">OFFSET(InputY!$G273,0,(COLUMN()-7)/4)</f>
        <v>251.84</v>
      </c>
      <c r="AR306" s="706">
        <f t="shared" ca="1" si="724"/>
        <v>251.84</v>
      </c>
      <c r="AS306" s="706">
        <f t="shared" ca="1" si="724"/>
        <v>251.84</v>
      </c>
      <c r="AT306" s="706">
        <f t="shared" ca="1" si="724"/>
        <v>251.84</v>
      </c>
      <c r="AU306" s="706">
        <f ca="1">OFFSET(InputY!$G273,0,(COLUMN()-7)/4)</f>
        <v>236.39</v>
      </c>
      <c r="AV306" s="706">
        <f t="shared" ca="1" si="725"/>
        <v>236.39</v>
      </c>
      <c r="AW306" s="706">
        <f t="shared" ca="1" si="725"/>
        <v>236.39</v>
      </c>
      <c r="AX306" s="706">
        <f t="shared" ca="1" si="725"/>
        <v>236.39</v>
      </c>
      <c r="AY306" s="706">
        <f ca="1">OFFSET(InputY!$G273,0,(COLUMN()-7)/4)</f>
        <v>224.20000000000002</v>
      </c>
      <c r="AZ306" s="706">
        <f t="shared" ca="1" si="726"/>
        <v>224.20000000000002</v>
      </c>
      <c r="BA306" s="706">
        <f t="shared" ca="1" si="726"/>
        <v>224.20000000000002</v>
      </c>
      <c r="BB306" s="706">
        <f t="shared" ca="1" si="726"/>
        <v>224.20000000000002</v>
      </c>
      <c r="BC306" s="706">
        <f ca="1">OFFSET(InputY!$G273,0,(COLUMN()-7)/4)</f>
        <v>221.72</v>
      </c>
      <c r="BD306" s="706">
        <f t="shared" ca="1" si="727"/>
        <v>221.72</v>
      </c>
      <c r="BE306" s="706">
        <f t="shared" ca="1" si="727"/>
        <v>221.72</v>
      </c>
      <c r="BF306" s="706">
        <f t="shared" ca="1" si="727"/>
        <v>221.72</v>
      </c>
      <c r="BG306" s="706">
        <f ca="1">OFFSET(InputY!$G273,0,(COLUMN()-7)/4)</f>
        <v>215.87000000000003</v>
      </c>
      <c r="BH306" s="706">
        <f t="shared" ca="1" si="728"/>
        <v>215.87000000000003</v>
      </c>
      <c r="BI306" s="706">
        <f t="shared" ca="1" si="728"/>
        <v>215.87000000000003</v>
      </c>
      <c r="BJ306" s="706">
        <f t="shared" ca="1" si="728"/>
        <v>215.87000000000003</v>
      </c>
      <c r="BK306" s="706">
        <f ca="1">OFFSET(InputY!$G273,0,(COLUMN()-7)/4)</f>
        <v>213.01000000000002</v>
      </c>
      <c r="BL306" s="706">
        <f t="shared" ca="1" si="729"/>
        <v>213.01000000000002</v>
      </c>
      <c r="BM306" s="706">
        <f t="shared" ca="1" si="729"/>
        <v>213.01000000000002</v>
      </c>
      <c r="BN306" s="706">
        <f t="shared" ca="1" si="729"/>
        <v>213.01000000000002</v>
      </c>
      <c r="BO306" s="706">
        <f ca="1">OFFSET(InputY!$G273,0,(COLUMN()-7)/4)</f>
        <v>223.05000000000004</v>
      </c>
      <c r="BP306" s="706">
        <f t="shared" ca="1" si="730"/>
        <v>223.05000000000004</v>
      </c>
      <c r="BQ306" s="706">
        <f t="shared" ca="1" si="730"/>
        <v>223.05000000000004</v>
      </c>
      <c r="BR306" s="706">
        <f t="shared" ca="1" si="730"/>
        <v>223.05000000000004</v>
      </c>
      <c r="BS306" s="706">
        <f ca="1">OFFSET(InputY!$G273,0,(COLUMN()-7)/4)</f>
        <v>232.45000000000002</v>
      </c>
      <c r="BT306" s="706">
        <f t="shared" ca="1" si="731"/>
        <v>232.45000000000002</v>
      </c>
      <c r="BU306" s="706">
        <f t="shared" ca="1" si="731"/>
        <v>232.45000000000002</v>
      </c>
      <c r="BV306" s="706">
        <f t="shared" ca="1" si="731"/>
        <v>232.45000000000002</v>
      </c>
      <c r="BW306" s="706">
        <f ca="1">OFFSET(InputY!$G273,0,(COLUMN()-7)/4)</f>
        <v>233.29000000000002</v>
      </c>
      <c r="BX306" s="706">
        <f t="shared" ca="1" si="732"/>
        <v>233.29000000000002</v>
      </c>
      <c r="BY306" s="706">
        <f t="shared" ca="1" si="732"/>
        <v>233.29000000000002</v>
      </c>
      <c r="BZ306" s="706">
        <f t="shared" ca="1" si="732"/>
        <v>233.29000000000002</v>
      </c>
      <c r="CA306" s="706">
        <f ca="1">OFFSET(InputY!$G273,0,(COLUMN()-7)/4)</f>
        <v>230.58000000000004</v>
      </c>
      <c r="CB306" s="706">
        <f t="shared" ca="1" si="733"/>
        <v>230.58000000000004</v>
      </c>
      <c r="CC306" s="706">
        <f t="shared" ca="1" si="733"/>
        <v>230.58000000000004</v>
      </c>
      <c r="CD306" s="706">
        <f t="shared" ca="1" si="733"/>
        <v>230.58000000000004</v>
      </c>
      <c r="CE306" s="706">
        <v>219.69</v>
      </c>
      <c r="CF306" s="706">
        <f>CE306</f>
        <v>219.69</v>
      </c>
      <c r="CG306" s="706">
        <f t="shared" si="743"/>
        <v>219.69</v>
      </c>
      <c r="CH306" s="706">
        <f t="shared" si="743"/>
        <v>219.69</v>
      </c>
      <c r="CI306" s="706">
        <v>206.54</v>
      </c>
      <c r="CJ306" s="706">
        <f t="shared" si="734"/>
        <v>206.54</v>
      </c>
      <c r="CK306" s="706">
        <f t="shared" si="734"/>
        <v>206.54</v>
      </c>
      <c r="CL306" s="706">
        <f t="shared" si="734"/>
        <v>206.54</v>
      </c>
      <c r="CM306" s="706">
        <v>208.15</v>
      </c>
      <c r="CN306" s="706">
        <f t="shared" si="735"/>
        <v>208.15</v>
      </c>
      <c r="CO306" s="706">
        <f t="shared" si="735"/>
        <v>208.15</v>
      </c>
      <c r="CP306" s="706">
        <f t="shared" si="735"/>
        <v>208.15</v>
      </c>
      <c r="CQ306" s="706">
        <v>209.09</v>
      </c>
      <c r="CR306" s="706">
        <f>+CQ306</f>
        <v>209.09</v>
      </c>
      <c r="CS306" s="706">
        <f t="shared" ref="CS306:CT306" si="748">+CR306</f>
        <v>209.09</v>
      </c>
      <c r="CT306" s="706">
        <f t="shared" si="748"/>
        <v>209.09</v>
      </c>
      <c r="CU306" s="937">
        <f t="shared" si="737"/>
        <v>209.09</v>
      </c>
      <c r="CV306" s="937">
        <f t="shared" si="737"/>
        <v>209.09</v>
      </c>
      <c r="CW306" s="937">
        <f t="shared" si="737"/>
        <v>209.09</v>
      </c>
      <c r="CX306" s="937">
        <f t="shared" si="737"/>
        <v>209.09</v>
      </c>
      <c r="CY306" s="937">
        <f t="shared" si="738"/>
        <v>209.09</v>
      </c>
      <c r="CZ306" s="937">
        <f t="shared" si="739"/>
        <v>209.09</v>
      </c>
      <c r="DA306" s="937">
        <f t="shared" si="740"/>
        <v>209.09</v>
      </c>
      <c r="DB306" s="937">
        <f t="shared" si="741"/>
        <v>209.09</v>
      </c>
      <c r="DC306"/>
      <c r="DD306"/>
      <c r="DE306"/>
      <c r="DF306"/>
      <c r="DG306"/>
      <c r="DH306"/>
      <c r="DI306"/>
      <c r="DJ306"/>
      <c r="DK306"/>
      <c r="DL306"/>
      <c r="DM306"/>
      <c r="DN306"/>
      <c r="DO306"/>
    </row>
    <row r="307" spans="1:119" customFormat="1" ht="12.75" customHeight="1">
      <c r="A307" s="664" t="str">
        <f>"Y" &amp; ROW(InputY!A274)</f>
        <v>Y274</v>
      </c>
      <c r="B307" s="664" t="s">
        <v>819</v>
      </c>
      <c r="C307" s="3643"/>
      <c r="D307" s="1077"/>
      <c r="E307" s="1078" t="str">
        <f>+E281</f>
        <v>Services</v>
      </c>
      <c r="F307" s="1077"/>
      <c r="G307" s="1085"/>
      <c r="H307" s="1085"/>
      <c r="I307" s="1085"/>
      <c r="J307" s="1085" t="str">
        <f ca="1">OFFSET(InputY!$G274,0,(COLUMN()-10)/4)</f>
        <v>:</v>
      </c>
      <c r="K307" s="1085">
        <f ca="1">OFFSET(InputY!$G274,0,(COLUMN()-7)/4)</f>
        <v>103.13000000000001</v>
      </c>
      <c r="L307" s="1085">
        <f t="shared" ca="1" si="742"/>
        <v>103.13000000000001</v>
      </c>
      <c r="M307" s="1085">
        <f t="shared" ca="1" si="742"/>
        <v>103.13000000000001</v>
      </c>
      <c r="N307" s="1085">
        <f t="shared" ca="1" si="742"/>
        <v>103.13000000000001</v>
      </c>
      <c r="O307" s="1085">
        <f ca="1">OFFSET(InputY!$G274,0,(COLUMN()-7)/4)</f>
        <v>128.07</v>
      </c>
      <c r="P307" s="1085">
        <f t="shared" ca="1" si="717"/>
        <v>128.07</v>
      </c>
      <c r="Q307" s="1085">
        <f t="shared" ca="1" si="717"/>
        <v>128.07</v>
      </c>
      <c r="R307" s="1085">
        <f t="shared" ca="1" si="717"/>
        <v>128.07</v>
      </c>
      <c r="S307" s="1085">
        <f ca="1">OFFSET(InputY!$G274,0,(COLUMN()-7)/4)</f>
        <v>133.72</v>
      </c>
      <c r="T307" s="1085">
        <f t="shared" ca="1" si="718"/>
        <v>133.72</v>
      </c>
      <c r="U307" s="1085">
        <f t="shared" ca="1" si="718"/>
        <v>133.72</v>
      </c>
      <c r="V307" s="1085">
        <f t="shared" ca="1" si="718"/>
        <v>133.72</v>
      </c>
      <c r="W307" s="1085">
        <f ca="1">OFFSET(InputY!$G274,0,(COLUMN()-7)/4)</f>
        <v>145.38999999999999</v>
      </c>
      <c r="X307" s="1085">
        <f t="shared" ca="1" si="719"/>
        <v>145.38999999999999</v>
      </c>
      <c r="Y307" s="1085">
        <f t="shared" ca="1" si="719"/>
        <v>145.38999999999999</v>
      </c>
      <c r="Z307" s="1085">
        <f t="shared" ca="1" si="719"/>
        <v>145.38999999999999</v>
      </c>
      <c r="AA307" s="1085">
        <f ca="1">OFFSET(InputY!$G274,0,(COLUMN()-7)/4)</f>
        <v>152.91999999999999</v>
      </c>
      <c r="AB307" s="1085">
        <f t="shared" ca="1" si="720"/>
        <v>152.91999999999999</v>
      </c>
      <c r="AC307" s="1085">
        <f t="shared" ca="1" si="720"/>
        <v>152.91999999999999</v>
      </c>
      <c r="AD307" s="1085">
        <f t="shared" ca="1" si="720"/>
        <v>152.91999999999999</v>
      </c>
      <c r="AE307" s="1085">
        <f ca="1">OFFSET(InputY!$G274,0,(COLUMN()-7)/4)</f>
        <v>170.54</v>
      </c>
      <c r="AF307" s="1085">
        <f t="shared" ca="1" si="721"/>
        <v>170.54</v>
      </c>
      <c r="AG307" s="1085">
        <f t="shared" ca="1" si="721"/>
        <v>170.54</v>
      </c>
      <c r="AH307" s="1085">
        <f t="shared" ca="1" si="721"/>
        <v>170.54</v>
      </c>
      <c r="AI307" s="1085">
        <f ca="1">OFFSET(InputY!$G274,0,(COLUMN()-7)/4)</f>
        <v>209.57</v>
      </c>
      <c r="AJ307" s="1085">
        <f t="shared" ca="1" si="722"/>
        <v>209.57</v>
      </c>
      <c r="AK307" s="1085">
        <f t="shared" ca="1" si="722"/>
        <v>209.57</v>
      </c>
      <c r="AL307" s="1085">
        <f t="shared" ca="1" si="722"/>
        <v>209.57</v>
      </c>
      <c r="AM307" s="1085">
        <f ca="1">OFFSET(InputY!$G274,0,(COLUMN()-7)/4)</f>
        <v>222.06000000000003</v>
      </c>
      <c r="AN307" s="1085">
        <f t="shared" ca="1" si="723"/>
        <v>222.06000000000003</v>
      </c>
      <c r="AO307" s="1085">
        <f t="shared" ca="1" si="723"/>
        <v>222.06000000000003</v>
      </c>
      <c r="AP307" s="1085">
        <f t="shared" ca="1" si="723"/>
        <v>222.06000000000003</v>
      </c>
      <c r="AQ307" s="1085">
        <f ca="1">OFFSET(InputY!$G274,0,(COLUMN()-7)/4)</f>
        <v>230.37000000000003</v>
      </c>
      <c r="AR307" s="1085">
        <f t="shared" ca="1" si="724"/>
        <v>230.37000000000003</v>
      </c>
      <c r="AS307" s="1085">
        <f t="shared" ca="1" si="724"/>
        <v>230.37000000000003</v>
      </c>
      <c r="AT307" s="1085">
        <f t="shared" ca="1" si="724"/>
        <v>230.37000000000003</v>
      </c>
      <c r="AU307" s="1085">
        <f ca="1">OFFSET(InputY!$G274,0,(COLUMN()-7)/4)</f>
        <v>241.33000000000004</v>
      </c>
      <c r="AV307" s="1085">
        <f t="shared" ca="1" si="725"/>
        <v>241.33000000000004</v>
      </c>
      <c r="AW307" s="1085">
        <f t="shared" ca="1" si="725"/>
        <v>241.33000000000004</v>
      </c>
      <c r="AX307" s="1085">
        <f t="shared" ca="1" si="725"/>
        <v>241.33000000000004</v>
      </c>
      <c r="AY307" s="1085">
        <f ca="1">OFFSET(InputY!$G274,0,(COLUMN()-7)/4)</f>
        <v>251.66</v>
      </c>
      <c r="AZ307" s="1085">
        <f t="shared" ca="1" si="726"/>
        <v>251.66</v>
      </c>
      <c r="BA307" s="1085">
        <f t="shared" ca="1" si="726"/>
        <v>251.66</v>
      </c>
      <c r="BB307" s="1085">
        <f t="shared" ca="1" si="726"/>
        <v>251.66</v>
      </c>
      <c r="BC307" s="1085">
        <f ca="1">OFFSET(InputY!$G274,0,(COLUMN()-7)/4)</f>
        <v>244.97</v>
      </c>
      <c r="BD307" s="1085">
        <f t="shared" ca="1" si="727"/>
        <v>244.97</v>
      </c>
      <c r="BE307" s="1085">
        <f t="shared" ca="1" si="727"/>
        <v>244.97</v>
      </c>
      <c r="BF307" s="1085">
        <f t="shared" ca="1" si="727"/>
        <v>244.97</v>
      </c>
      <c r="BG307" s="1085">
        <f ca="1">OFFSET(InputY!$G274,0,(COLUMN()-7)/4)</f>
        <v>250.94</v>
      </c>
      <c r="BH307" s="1085">
        <f t="shared" ca="1" si="728"/>
        <v>250.94</v>
      </c>
      <c r="BI307" s="1085">
        <f t="shared" ca="1" si="728"/>
        <v>250.94</v>
      </c>
      <c r="BJ307" s="1085">
        <f t="shared" ca="1" si="728"/>
        <v>250.94</v>
      </c>
      <c r="BK307" s="1085">
        <f ca="1">OFFSET(InputY!$G274,0,(COLUMN()-7)/4)</f>
        <v>253.37000000000003</v>
      </c>
      <c r="BL307" s="1085">
        <f t="shared" ca="1" si="728"/>
        <v>253.37000000000003</v>
      </c>
      <c r="BM307" s="1085">
        <f t="shared" ca="1" si="728"/>
        <v>253.37000000000003</v>
      </c>
      <c r="BN307" s="1085">
        <f t="shared" ca="1" si="728"/>
        <v>253.37000000000003</v>
      </c>
      <c r="BO307" s="1085">
        <f ca="1">OFFSET(InputY!$G274,0,(COLUMN()-7)/4)</f>
        <v>260.44</v>
      </c>
      <c r="BP307" s="1085">
        <f t="shared" ca="1" si="730"/>
        <v>260.44</v>
      </c>
      <c r="BQ307" s="1085">
        <f t="shared" ca="1" si="730"/>
        <v>260.44</v>
      </c>
      <c r="BR307" s="1085">
        <f t="shared" ca="1" si="730"/>
        <v>260.44</v>
      </c>
      <c r="BS307" s="1085">
        <f ca="1">OFFSET(InputY!$G274,0,(COLUMN()-7)/4)</f>
        <v>247.30000000000004</v>
      </c>
      <c r="BT307" s="1085">
        <f t="shared" ca="1" si="731"/>
        <v>247.30000000000004</v>
      </c>
      <c r="BU307" s="1085">
        <f t="shared" ca="1" si="731"/>
        <v>247.30000000000004</v>
      </c>
      <c r="BV307" s="1085">
        <f t="shared" ca="1" si="731"/>
        <v>247.30000000000004</v>
      </c>
      <c r="BW307" s="1085">
        <f ca="1">OFFSET(InputY!$G274,0,(COLUMN()-7)/4)</f>
        <v>248.21</v>
      </c>
      <c r="BX307" s="1085">
        <f t="shared" ca="1" si="732"/>
        <v>248.21</v>
      </c>
      <c r="BY307" s="1085">
        <f t="shared" ca="1" si="732"/>
        <v>248.21</v>
      </c>
      <c r="BZ307" s="1085">
        <f ca="1">+BY307</f>
        <v>248.21</v>
      </c>
      <c r="CA307" s="1085">
        <f ca="1">OFFSET(InputY!$G274,0,(COLUMN()-7)/4)</f>
        <v>250.74</v>
      </c>
      <c r="CB307" s="1085">
        <f t="shared" ca="1" si="733"/>
        <v>250.74</v>
      </c>
      <c r="CC307" s="1085">
        <f t="shared" ca="1" si="733"/>
        <v>250.74</v>
      </c>
      <c r="CD307" s="1085">
        <f t="shared" ca="1" si="733"/>
        <v>250.74</v>
      </c>
      <c r="CE307" s="1085">
        <v>234.11</v>
      </c>
      <c r="CF307" s="1085">
        <f>1000-CF303-CF304-CF305-CF306</f>
        <v>234.10000000000002</v>
      </c>
      <c r="CG307" s="1085">
        <f>1000-CG303-CG304-CG305-CG306</f>
        <v>234.10000000000002</v>
      </c>
      <c r="CH307" s="1085">
        <f>1000-CH303-CH304-CH305-CH306</f>
        <v>234.10000000000002</v>
      </c>
      <c r="CI307" s="1085">
        <v>240.5</v>
      </c>
      <c r="CJ307" s="1085">
        <f>1000-CJ303-CJ304-CJ305-CJ306</f>
        <v>240.50000000000009</v>
      </c>
      <c r="CK307" s="1085">
        <f>1000-CK303-CK304-CK305-CK306</f>
        <v>240.50000000000009</v>
      </c>
      <c r="CL307" s="1085">
        <f>1000-CL303-CL304-CL305-CL306</f>
        <v>240.50000000000009</v>
      </c>
      <c r="CM307" s="1085">
        <v>244.81</v>
      </c>
      <c r="CN307" s="1085">
        <f t="shared" ref="CN307:CT307" si="749">1000-CN303-CN304-CN305-CN306</f>
        <v>244.80999999999997</v>
      </c>
      <c r="CO307" s="1085">
        <f t="shared" si="749"/>
        <v>244.80999999999997</v>
      </c>
      <c r="CP307" s="1085">
        <f t="shared" si="749"/>
        <v>244.80999999999997</v>
      </c>
      <c r="CQ307" s="1085">
        <v>265.12</v>
      </c>
      <c r="CR307" s="1085">
        <f t="shared" si="749"/>
        <v>265.12</v>
      </c>
      <c r="CS307" s="1085">
        <f t="shared" si="749"/>
        <v>265.12</v>
      </c>
      <c r="CT307" s="1085">
        <f t="shared" si="749"/>
        <v>265.12</v>
      </c>
      <c r="CU307" s="3195">
        <f>1000-CU303-CU304-CU305-CU306</f>
        <v>265.12</v>
      </c>
      <c r="CV307" s="3195">
        <f t="shared" ref="CV307:DB307" si="750">1000-CV303-CV304-CV305-CV306</f>
        <v>265.12</v>
      </c>
      <c r="CW307" s="3195">
        <f t="shared" si="750"/>
        <v>265.12</v>
      </c>
      <c r="CX307" s="3195">
        <f t="shared" si="750"/>
        <v>265.12</v>
      </c>
      <c r="CY307" s="3195">
        <f t="shared" si="750"/>
        <v>265.12</v>
      </c>
      <c r="CZ307" s="3195">
        <f t="shared" si="750"/>
        <v>265.12</v>
      </c>
      <c r="DA307" s="3195">
        <f t="shared" si="750"/>
        <v>265.12</v>
      </c>
      <c r="DB307" s="3195">
        <f t="shared" si="750"/>
        <v>265.12</v>
      </c>
    </row>
    <row r="308" spans="1:119" customFormat="1" ht="12.75" customHeight="1">
      <c r="A308" s="664"/>
      <c r="B308" s="664"/>
      <c r="C308" s="3617"/>
      <c r="D308" s="1055"/>
      <c r="E308" s="1056" t="str">
        <f>+E283</f>
        <v>HICP</v>
      </c>
      <c r="F308" s="1055"/>
      <c r="G308" s="1057"/>
      <c r="H308" s="1057"/>
      <c r="I308" s="1057"/>
      <c r="J308" s="1057"/>
      <c r="K308" s="1057">
        <f t="shared" ref="K308:AP308" ca="1" si="751">+SUM(K303:K307)</f>
        <v>1000.0100000000001</v>
      </c>
      <c r="L308" s="1057">
        <f t="shared" ca="1" si="751"/>
        <v>1000.0100000000001</v>
      </c>
      <c r="M308" s="1057">
        <f t="shared" ca="1" si="751"/>
        <v>1000.0100000000001</v>
      </c>
      <c r="N308" s="1057">
        <f t="shared" ca="1" si="751"/>
        <v>1000.0100000000001</v>
      </c>
      <c r="O308" s="1057">
        <f t="shared" ca="1" si="751"/>
        <v>1000.0100000000002</v>
      </c>
      <c r="P308" s="1057">
        <f t="shared" ca="1" si="751"/>
        <v>1000.0100000000002</v>
      </c>
      <c r="Q308" s="1057">
        <f t="shared" ca="1" si="751"/>
        <v>1000.0100000000002</v>
      </c>
      <c r="R308" s="1057">
        <f t="shared" ca="1" si="751"/>
        <v>1000.0100000000002</v>
      </c>
      <c r="S308" s="1057">
        <f t="shared" ca="1" si="751"/>
        <v>1000.0100000000001</v>
      </c>
      <c r="T308" s="1057">
        <f t="shared" ca="1" si="751"/>
        <v>1000.0100000000001</v>
      </c>
      <c r="U308" s="1057">
        <f t="shared" ca="1" si="751"/>
        <v>1000.0100000000001</v>
      </c>
      <c r="V308" s="1057">
        <f t="shared" ca="1" si="751"/>
        <v>1000.0100000000001</v>
      </c>
      <c r="W308" s="1057">
        <f t="shared" ca="1" si="751"/>
        <v>1000.0100000000001</v>
      </c>
      <c r="X308" s="1057">
        <f t="shared" ca="1" si="751"/>
        <v>1000.0100000000001</v>
      </c>
      <c r="Y308" s="1057">
        <f t="shared" ca="1" si="751"/>
        <v>1000.0100000000001</v>
      </c>
      <c r="Z308" s="1057">
        <f t="shared" ca="1" si="751"/>
        <v>1000.0100000000001</v>
      </c>
      <c r="AA308" s="1057">
        <f t="shared" ca="1" si="751"/>
        <v>999.9899999999999</v>
      </c>
      <c r="AB308" s="1057">
        <f t="shared" ca="1" si="751"/>
        <v>999.9899999999999</v>
      </c>
      <c r="AC308" s="1057">
        <f t="shared" ca="1" si="751"/>
        <v>999.9899999999999</v>
      </c>
      <c r="AD308" s="1057">
        <f t="shared" ca="1" si="751"/>
        <v>999.9899999999999</v>
      </c>
      <c r="AE308" s="1057">
        <f t="shared" ca="1" si="751"/>
        <v>999.99999999999989</v>
      </c>
      <c r="AF308" s="1057">
        <f t="shared" ca="1" si="751"/>
        <v>999.99999999999989</v>
      </c>
      <c r="AG308" s="1057">
        <f t="shared" ca="1" si="751"/>
        <v>999.99999999999989</v>
      </c>
      <c r="AH308" s="1057">
        <f t="shared" ca="1" si="751"/>
        <v>999.99999999999989</v>
      </c>
      <c r="AI308" s="1057">
        <f t="shared" ca="1" si="751"/>
        <v>1000.01</v>
      </c>
      <c r="AJ308" s="1057">
        <f t="shared" ca="1" si="751"/>
        <v>1000.01</v>
      </c>
      <c r="AK308" s="1057">
        <f t="shared" ca="1" si="751"/>
        <v>1000.01</v>
      </c>
      <c r="AL308" s="1057">
        <f t="shared" ca="1" si="751"/>
        <v>1000.01</v>
      </c>
      <c r="AM308" s="1057">
        <f t="shared" ca="1" si="751"/>
        <v>1000.0000000000001</v>
      </c>
      <c r="AN308" s="1057">
        <f t="shared" ca="1" si="751"/>
        <v>1000.0000000000001</v>
      </c>
      <c r="AO308" s="1057">
        <f t="shared" ca="1" si="751"/>
        <v>1000.0000000000001</v>
      </c>
      <c r="AP308" s="1057">
        <f t="shared" ca="1" si="751"/>
        <v>1000.0000000000001</v>
      </c>
      <c r="AQ308" s="1057">
        <f t="shared" ref="AQ308:BN308" ca="1" si="752">+SUM(AQ303:AQ307)</f>
        <v>999.99</v>
      </c>
      <c r="AR308" s="1057">
        <f t="shared" ca="1" si="752"/>
        <v>999.99</v>
      </c>
      <c r="AS308" s="1057">
        <f t="shared" ca="1" si="752"/>
        <v>999.99</v>
      </c>
      <c r="AT308" s="1057">
        <f t="shared" ca="1" si="752"/>
        <v>999.99</v>
      </c>
      <c r="AU308" s="1057">
        <f t="shared" ca="1" si="752"/>
        <v>1000.0100000000001</v>
      </c>
      <c r="AV308" s="1057">
        <f t="shared" ca="1" si="752"/>
        <v>1000.0100000000001</v>
      </c>
      <c r="AW308" s="1057">
        <f t="shared" ca="1" si="752"/>
        <v>1000.0100000000001</v>
      </c>
      <c r="AX308" s="1057">
        <f t="shared" ca="1" si="752"/>
        <v>1000.0100000000001</v>
      </c>
      <c r="AY308" s="1057">
        <f t="shared" ca="1" si="752"/>
        <v>1000.01</v>
      </c>
      <c r="AZ308" s="1057">
        <f t="shared" ca="1" si="752"/>
        <v>1000.01</v>
      </c>
      <c r="BA308" s="1057">
        <f t="shared" ca="1" si="752"/>
        <v>1000.01</v>
      </c>
      <c r="BB308" s="1057">
        <f t="shared" ca="1" si="752"/>
        <v>1000.01</v>
      </c>
      <c r="BC308" s="1057">
        <f t="shared" ca="1" si="752"/>
        <v>1000</v>
      </c>
      <c r="BD308" s="1057">
        <f t="shared" ca="1" si="752"/>
        <v>1000</v>
      </c>
      <c r="BE308" s="1057">
        <f t="shared" ca="1" si="752"/>
        <v>1000</v>
      </c>
      <c r="BF308" s="1057">
        <f t="shared" ca="1" si="752"/>
        <v>1000</v>
      </c>
      <c r="BG308" s="1057">
        <f ca="1">+SUM(BG303:BG307)</f>
        <v>1000</v>
      </c>
      <c r="BH308" s="1057">
        <f ca="1">+SUM(BH303:BH307)</f>
        <v>1000</v>
      </c>
      <c r="BI308" s="1057">
        <f ca="1">+SUM(BI303:BI307)</f>
        <v>1000</v>
      </c>
      <c r="BJ308" s="872">
        <f t="shared" ca="1" si="752"/>
        <v>1000</v>
      </c>
      <c r="BK308" s="872">
        <f t="shared" ca="1" si="752"/>
        <v>1000</v>
      </c>
      <c r="BL308" s="872">
        <f t="shared" ca="1" si="752"/>
        <v>1000</v>
      </c>
      <c r="BM308" s="872">
        <f t="shared" ca="1" si="752"/>
        <v>1000</v>
      </c>
      <c r="BN308" s="872">
        <f t="shared" ca="1" si="752"/>
        <v>1000</v>
      </c>
      <c r="BO308" s="872">
        <f ca="1">+SUM(BO303:BO307)</f>
        <v>999.99</v>
      </c>
      <c r="BP308" s="872">
        <f ca="1">+SUM(BP303:BP307)</f>
        <v>999.99</v>
      </c>
      <c r="BQ308" s="872">
        <f ca="1">+SUM(BQ303:BQ307)</f>
        <v>999.99</v>
      </c>
      <c r="BR308" s="872">
        <f ca="1">+SUM(BR303:BR307)</f>
        <v>999.99</v>
      </c>
      <c r="BS308" s="872">
        <f t="shared" ref="BS308:BZ308" ca="1" si="753">+SUM(BS303:BS307)</f>
        <v>1000.0100000000002</v>
      </c>
      <c r="BT308" s="872">
        <f t="shared" ca="1" si="753"/>
        <v>1000.0100000000002</v>
      </c>
      <c r="BU308" s="872">
        <f t="shared" ca="1" si="753"/>
        <v>1000.0100000000002</v>
      </c>
      <c r="BV308" s="872">
        <f t="shared" ca="1" si="753"/>
        <v>1000.0100000000002</v>
      </c>
      <c r="BW308" s="872">
        <f t="shared" ca="1" si="753"/>
        <v>1000</v>
      </c>
      <c r="BX308" s="872">
        <f t="shared" ca="1" si="753"/>
        <v>1000</v>
      </c>
      <c r="BY308" s="872">
        <f t="shared" ca="1" si="753"/>
        <v>1000</v>
      </c>
      <c r="BZ308" s="872">
        <f t="shared" ca="1" si="753"/>
        <v>1000</v>
      </c>
      <c r="CA308" s="872">
        <f t="shared" ref="CA308:CH308" ca="1" si="754">+SUM(CA303:CA307)</f>
        <v>999.99000000000012</v>
      </c>
      <c r="CB308" s="872">
        <f t="shared" ca="1" si="754"/>
        <v>999.99000000000012</v>
      </c>
      <c r="CC308" s="872">
        <f t="shared" ca="1" si="754"/>
        <v>999.99000000000012</v>
      </c>
      <c r="CD308" s="872">
        <f t="shared" ca="1" si="754"/>
        <v>999.99000000000012</v>
      </c>
      <c r="CE308" s="872">
        <f t="shared" si="754"/>
        <v>1000.0099999999999</v>
      </c>
      <c r="CF308" s="872">
        <f t="shared" si="754"/>
        <v>999.99999999999989</v>
      </c>
      <c r="CG308" s="872">
        <f t="shared" si="754"/>
        <v>999.99999999999989</v>
      </c>
      <c r="CH308" s="872">
        <f t="shared" si="754"/>
        <v>999.99999999999989</v>
      </c>
      <c r="CI308" s="872">
        <f t="shared" ref="CI308:CP308" si="755">+SUM(CI303:CI307)</f>
        <v>999.99999999999989</v>
      </c>
      <c r="CJ308" s="872">
        <f t="shared" si="755"/>
        <v>1000</v>
      </c>
      <c r="CK308" s="872">
        <f t="shared" si="755"/>
        <v>1000</v>
      </c>
      <c r="CL308" s="872">
        <f t="shared" si="755"/>
        <v>1000</v>
      </c>
      <c r="CM308" s="872">
        <f t="shared" si="755"/>
        <v>1000</v>
      </c>
      <c r="CN308" s="872">
        <f t="shared" si="755"/>
        <v>999.99999999999989</v>
      </c>
      <c r="CO308" s="872">
        <f t="shared" si="755"/>
        <v>999.99999999999989</v>
      </c>
      <c r="CP308" s="872">
        <f t="shared" si="755"/>
        <v>999.99999999999989</v>
      </c>
      <c r="CQ308" s="872">
        <f t="shared" ref="CQ308:CX308" si="756">+SUM(CQ303:CQ307)</f>
        <v>1000</v>
      </c>
      <c r="CR308" s="872">
        <f t="shared" si="756"/>
        <v>1000</v>
      </c>
      <c r="CS308" s="872">
        <f t="shared" si="756"/>
        <v>1000</v>
      </c>
      <c r="CT308" s="872">
        <f t="shared" si="756"/>
        <v>1000</v>
      </c>
      <c r="CU308" s="872">
        <f t="shared" si="756"/>
        <v>1000</v>
      </c>
      <c r="CV308" s="872">
        <f t="shared" si="756"/>
        <v>1000</v>
      </c>
      <c r="CW308" s="872">
        <f t="shared" si="756"/>
        <v>1000</v>
      </c>
      <c r="CX308" s="872">
        <f t="shared" si="756"/>
        <v>1000</v>
      </c>
      <c r="CY308" s="872">
        <f t="shared" ref="CY308:DB308" si="757">+SUM(CY303:CY307)</f>
        <v>1000</v>
      </c>
      <c r="CZ308" s="872">
        <f t="shared" si="757"/>
        <v>1000</v>
      </c>
      <c r="DA308" s="872">
        <f t="shared" si="757"/>
        <v>1000</v>
      </c>
      <c r="DB308" s="872">
        <f t="shared" si="757"/>
        <v>1000</v>
      </c>
    </row>
    <row r="309" spans="1:119" ht="12.75" customHeight="1">
      <c r="E309" s="599"/>
      <c r="F309" s="3617"/>
      <c r="AY309" s="217"/>
      <c r="BA309" s="217"/>
      <c r="BB309" s="217"/>
      <c r="BC309" s="217"/>
      <c r="BD309" s="217"/>
      <c r="BE309" s="217"/>
      <c r="BF309" s="217"/>
      <c r="BG309" s="217"/>
      <c r="BH309" s="217"/>
      <c r="BI309" s="217"/>
      <c r="CH309" s="1693"/>
      <c r="CJ309" s="1693"/>
      <c r="CK309" s="1693"/>
      <c r="CL309" s="1693"/>
      <c r="CM309" s="1693"/>
      <c r="CN309" s="1693"/>
      <c r="CO309" s="1693"/>
      <c r="CP309" s="1693"/>
      <c r="CQ309" s="1693"/>
      <c r="CR309" s="1693"/>
      <c r="CS309" s="1693"/>
      <c r="CT309" s="1693"/>
      <c r="CU309" s="1693"/>
      <c r="CV309" s="1693"/>
      <c r="CW309" s="1693"/>
      <c r="CX309" s="1693"/>
      <c r="CY309" s="1693"/>
      <c r="CZ309" s="1693"/>
      <c r="DA309" s="1693"/>
      <c r="DB309" s="1693"/>
    </row>
    <row r="310" spans="1:119" s="699" customFormat="1" ht="12.75" customHeight="1">
      <c r="A310" s="664"/>
      <c r="B310" s="664"/>
      <c r="C310" s="1553"/>
      <c r="D310" s="742"/>
      <c r="E310" s="3384" t="s">
        <v>2005</v>
      </c>
      <c r="F310" s="3622"/>
      <c r="G310" s="1578" t="s">
        <v>1842</v>
      </c>
      <c r="H310" s="1579" t="s">
        <v>1843</v>
      </c>
      <c r="I310" s="1579" t="s">
        <v>1844</v>
      </c>
      <c r="J310" s="1579" t="s">
        <v>1845</v>
      </c>
      <c r="K310" s="1579" t="s">
        <v>1842</v>
      </c>
      <c r="L310" s="1579" t="s">
        <v>1843</v>
      </c>
      <c r="M310" s="1579" t="s">
        <v>1844</v>
      </c>
      <c r="N310" s="1579" t="s">
        <v>1845</v>
      </c>
      <c r="O310" s="1579" t="s">
        <v>1842</v>
      </c>
      <c r="P310" s="1579" t="s">
        <v>1843</v>
      </c>
      <c r="Q310" s="1579" t="s">
        <v>1844</v>
      </c>
      <c r="R310" s="1579" t="s">
        <v>1845</v>
      </c>
      <c r="S310" s="1579" t="s">
        <v>1842</v>
      </c>
      <c r="T310" s="1579" t="s">
        <v>1843</v>
      </c>
      <c r="U310" s="1579" t="s">
        <v>1844</v>
      </c>
      <c r="V310" s="1579" t="s">
        <v>1845</v>
      </c>
      <c r="W310" s="1579" t="s">
        <v>1842</v>
      </c>
      <c r="X310" s="1579" t="s">
        <v>1843</v>
      </c>
      <c r="Y310" s="1579" t="s">
        <v>1844</v>
      </c>
      <c r="Z310" s="1579" t="s">
        <v>1845</v>
      </c>
      <c r="AA310" s="1579" t="s">
        <v>1842</v>
      </c>
      <c r="AB310" s="1579" t="s">
        <v>1843</v>
      </c>
      <c r="AC310" s="1579" t="s">
        <v>1844</v>
      </c>
      <c r="AD310" s="1579" t="s">
        <v>1845</v>
      </c>
      <c r="AE310" s="1579" t="s">
        <v>1842</v>
      </c>
      <c r="AF310" s="1579" t="s">
        <v>1843</v>
      </c>
      <c r="AG310" s="1579" t="s">
        <v>1844</v>
      </c>
      <c r="AH310" s="1579" t="s">
        <v>1845</v>
      </c>
      <c r="AI310" s="1579" t="s">
        <v>1842</v>
      </c>
      <c r="AJ310" s="1579" t="s">
        <v>1843</v>
      </c>
      <c r="AK310" s="1579" t="s">
        <v>1844</v>
      </c>
      <c r="AL310" s="1579" t="s">
        <v>1845</v>
      </c>
      <c r="AM310" s="1579" t="s">
        <v>1842</v>
      </c>
      <c r="AN310" s="1579" t="s">
        <v>1843</v>
      </c>
      <c r="AO310" s="1579" t="s">
        <v>1844</v>
      </c>
      <c r="AP310" s="1579" t="s">
        <v>1845</v>
      </c>
      <c r="AQ310" s="1579" t="s">
        <v>1842</v>
      </c>
      <c r="AR310" s="1579" t="s">
        <v>1843</v>
      </c>
      <c r="AS310" s="1579" t="s">
        <v>1844</v>
      </c>
      <c r="AT310" s="1579" t="s">
        <v>1845</v>
      </c>
      <c r="AU310" s="1579" t="s">
        <v>1842</v>
      </c>
      <c r="AV310" s="1579" t="s">
        <v>1843</v>
      </c>
      <c r="AW310" s="1579" t="s">
        <v>1844</v>
      </c>
      <c r="AX310" s="1579" t="s">
        <v>1845</v>
      </c>
      <c r="AY310" s="1579" t="s">
        <v>1842</v>
      </c>
      <c r="AZ310" s="1579" t="s">
        <v>1843</v>
      </c>
      <c r="BA310" s="1579" t="s">
        <v>1844</v>
      </c>
      <c r="BB310" s="1579" t="s">
        <v>1845</v>
      </c>
      <c r="BC310" s="1579" t="s">
        <v>1842</v>
      </c>
      <c r="BD310" s="1579" t="s">
        <v>1843</v>
      </c>
      <c r="BE310" s="1579" t="s">
        <v>1844</v>
      </c>
      <c r="BF310" s="1579" t="s">
        <v>1845</v>
      </c>
      <c r="BG310" s="1579" t="s">
        <v>1842</v>
      </c>
      <c r="BH310" s="1579" t="s">
        <v>1843</v>
      </c>
      <c r="BI310" s="1579" t="s">
        <v>1844</v>
      </c>
      <c r="BJ310" s="1579" t="s">
        <v>1845</v>
      </c>
      <c r="BK310" s="1579" t="s">
        <v>1842</v>
      </c>
      <c r="BL310" s="1579" t="s">
        <v>1843</v>
      </c>
      <c r="BM310" s="1579" t="s">
        <v>1844</v>
      </c>
      <c r="BN310" s="1579" t="s">
        <v>1845</v>
      </c>
      <c r="BO310" s="1579" t="s">
        <v>1842</v>
      </c>
      <c r="BP310" s="1579" t="s">
        <v>1843</v>
      </c>
      <c r="BQ310" s="1579" t="s">
        <v>1844</v>
      </c>
      <c r="BR310" s="1579" t="s">
        <v>1845</v>
      </c>
      <c r="BS310" s="1579" t="s">
        <v>1842</v>
      </c>
      <c r="BT310" s="1579" t="s">
        <v>1843</v>
      </c>
      <c r="BU310" s="1579" t="s">
        <v>1844</v>
      </c>
      <c r="BV310" s="1579" t="s">
        <v>1845</v>
      </c>
      <c r="BW310" s="1579" t="s">
        <v>1842</v>
      </c>
      <c r="BX310" s="1579" t="s">
        <v>1843</v>
      </c>
      <c r="BY310" s="1579" t="s">
        <v>1844</v>
      </c>
      <c r="BZ310" s="1579" t="s">
        <v>1845</v>
      </c>
      <c r="CA310" s="1579" t="s">
        <v>1842</v>
      </c>
      <c r="CB310" s="1579" t="s">
        <v>1843</v>
      </c>
      <c r="CC310" s="1579" t="s">
        <v>1844</v>
      </c>
      <c r="CD310" s="1579" t="s">
        <v>1845</v>
      </c>
      <c r="CE310" s="1579" t="s">
        <v>1842</v>
      </c>
      <c r="CF310" s="1579" t="s">
        <v>1843</v>
      </c>
      <c r="CG310" s="1579" t="s">
        <v>1844</v>
      </c>
      <c r="CH310" s="1579" t="s">
        <v>1845</v>
      </c>
      <c r="CI310" s="1579" t="s">
        <v>1842</v>
      </c>
      <c r="CJ310" s="1579" t="s">
        <v>1843</v>
      </c>
      <c r="CK310" s="1579" t="s">
        <v>1844</v>
      </c>
      <c r="CL310" s="1579" t="s">
        <v>1845</v>
      </c>
      <c r="CM310" s="1579" t="s">
        <v>1842</v>
      </c>
      <c r="CN310" s="1579" t="s">
        <v>1843</v>
      </c>
      <c r="CO310" s="1579" t="s">
        <v>1844</v>
      </c>
      <c r="CP310" s="1579" t="s">
        <v>1845</v>
      </c>
      <c r="CQ310" s="1579" t="s">
        <v>1842</v>
      </c>
      <c r="CR310" s="1579" t="s">
        <v>1843</v>
      </c>
      <c r="CS310" s="1579" t="s">
        <v>1844</v>
      </c>
      <c r="CT310" s="1579" t="s">
        <v>1845</v>
      </c>
      <c r="CU310" s="1579" t="s">
        <v>1842</v>
      </c>
      <c r="CV310" s="1579" t="s">
        <v>1843</v>
      </c>
      <c r="CW310" s="1579" t="s">
        <v>1844</v>
      </c>
      <c r="CX310" s="1579" t="s">
        <v>1845</v>
      </c>
      <c r="CY310" s="1579" t="s">
        <v>1842</v>
      </c>
      <c r="CZ310" s="1579" t="s">
        <v>1843</v>
      </c>
      <c r="DA310" s="1579" t="s">
        <v>1844</v>
      </c>
      <c r="DB310" s="1579" t="s">
        <v>1845</v>
      </c>
      <c r="DC310"/>
      <c r="DD310"/>
      <c r="DE310"/>
      <c r="DF310"/>
      <c r="DG310"/>
      <c r="DH310"/>
      <c r="DI310"/>
      <c r="DJ310"/>
      <c r="DK310"/>
      <c r="DL310"/>
      <c r="DM310"/>
      <c r="DN310"/>
      <c r="DO310"/>
    </row>
    <row r="311" spans="1:119" s="699" customFormat="1" ht="12.75" customHeight="1">
      <c r="B311" s="664"/>
      <c r="C311" s="692"/>
      <c r="D311" s="689"/>
      <c r="E311" s="3623" t="str">
        <f>+E303</f>
        <v>Non-energy industrial goods</v>
      </c>
      <c r="F311" s="3624"/>
      <c r="G311" s="2879"/>
      <c r="H311" s="2879"/>
      <c r="I311" s="2879"/>
      <c r="J311" s="2879"/>
      <c r="K311" s="2879"/>
      <c r="L311" s="2879"/>
      <c r="M311" s="2879"/>
      <c r="N311" s="2879"/>
      <c r="O311" s="2879">
        <f t="shared" ref="O311:X316" si="758">+O277/K277*100-100</f>
        <v>10.834900338473147</v>
      </c>
      <c r="P311" s="2879">
        <f t="shared" si="758"/>
        <v>8.4598303665683687</v>
      </c>
      <c r="Q311" s="2879">
        <f t="shared" si="758"/>
        <v>7.9892056954159614</v>
      </c>
      <c r="R311" s="2879">
        <f t="shared" si="758"/>
        <v>6.7626843504991143</v>
      </c>
      <c r="S311" s="2879">
        <f t="shared" si="758"/>
        <v>5.5172881816022681</v>
      </c>
      <c r="T311" s="2879">
        <f t="shared" si="758"/>
        <v>5.0948145662023734</v>
      </c>
      <c r="U311" s="2879">
        <f t="shared" si="758"/>
        <v>5.3036530431065643</v>
      </c>
      <c r="V311" s="2879">
        <f t="shared" si="758"/>
        <v>4.8914625861343808</v>
      </c>
      <c r="W311" s="2879">
        <f t="shared" si="758"/>
        <v>4.5502781618805557</v>
      </c>
      <c r="X311" s="2879">
        <f t="shared" si="758"/>
        <v>3.5767891929869364</v>
      </c>
      <c r="Y311" s="2879">
        <f t="shared" ref="Y311:AH316" si="759">+Y277/U277*100-100</f>
        <v>0.80559545369389696</v>
      </c>
      <c r="Z311" s="2879">
        <f t="shared" si="759"/>
        <v>-0.41945532492366056</v>
      </c>
      <c r="AA311" s="2879">
        <f t="shared" si="759"/>
        <v>-1.171875</v>
      </c>
      <c r="AB311" s="2879">
        <f t="shared" si="759"/>
        <v>-1.5478062467240221</v>
      </c>
      <c r="AC311" s="2879">
        <f t="shared" si="759"/>
        <v>-2.0815264527320068</v>
      </c>
      <c r="AD311" s="2879">
        <f t="shared" si="759"/>
        <v>-2.4684857682658787</v>
      </c>
      <c r="AE311" s="2879">
        <f t="shared" si="759"/>
        <v>-3.0375649684105923</v>
      </c>
      <c r="AF311" s="2879">
        <f t="shared" si="759"/>
        <v>-2.903134884594877</v>
      </c>
      <c r="AG311" s="2879">
        <f t="shared" si="759"/>
        <v>-2.7521194483107791</v>
      </c>
      <c r="AH311" s="2879">
        <f t="shared" si="759"/>
        <v>-1.8545570022229185</v>
      </c>
      <c r="AI311" s="2879">
        <f t="shared" ref="AI311:AR316" si="760">+AI277/AE277*100-100</f>
        <v>-1.9964692665703296</v>
      </c>
      <c r="AJ311" s="2879">
        <f t="shared" si="760"/>
        <v>-1.6062443555670285</v>
      </c>
      <c r="AK311" s="2879">
        <f t="shared" si="760"/>
        <v>-1.9224513694619674</v>
      </c>
      <c r="AL311" s="2879">
        <f t="shared" si="760"/>
        <v>-1.4301430143014215</v>
      </c>
      <c r="AM311" s="2879">
        <f t="shared" si="760"/>
        <v>-1.5360429699014446</v>
      </c>
      <c r="AN311" s="2879">
        <f t="shared" si="760"/>
        <v>-1.4456172556218547</v>
      </c>
      <c r="AO311" s="2879">
        <f t="shared" si="760"/>
        <v>-1.6118868362574972</v>
      </c>
      <c r="AP311" s="2879">
        <f t="shared" si="760"/>
        <v>-1.5099789915966397</v>
      </c>
      <c r="AQ311" s="2879">
        <f t="shared" si="760"/>
        <v>-1.5832889835018449</v>
      </c>
      <c r="AR311" s="2879">
        <f t="shared" si="760"/>
        <v>-0.2926991518376667</v>
      </c>
      <c r="AS311" s="2879">
        <f t="shared" ref="AS311:BB316" si="761">+AS277/AO277*100-100</f>
        <v>0.27304904769933103</v>
      </c>
      <c r="AT311" s="2879">
        <f t="shared" si="761"/>
        <v>0.80655912544993669</v>
      </c>
      <c r="AU311" s="2879">
        <f t="shared" si="761"/>
        <v>-0.36501284304448234</v>
      </c>
      <c r="AV311" s="2879">
        <f t="shared" si="761"/>
        <v>-0.9473930013009948</v>
      </c>
      <c r="AW311" s="2879">
        <f t="shared" si="761"/>
        <v>-0.75976601896053353</v>
      </c>
      <c r="AX311" s="2879">
        <f t="shared" si="761"/>
        <v>-0.52899556966210071</v>
      </c>
      <c r="AY311" s="2879">
        <f t="shared" si="761"/>
        <v>0.23405698778833539</v>
      </c>
      <c r="AZ311" s="2879">
        <f t="shared" si="761"/>
        <v>-0.10103391371704618</v>
      </c>
      <c r="BA311" s="2879">
        <f t="shared" si="761"/>
        <v>-0.23035230352304836</v>
      </c>
      <c r="BB311" s="2879">
        <f t="shared" si="761"/>
        <v>-0.42877085687695171</v>
      </c>
      <c r="BC311" s="2879">
        <f t="shared" ref="BC311:BF316" si="762">+BC277/AY277*100-100</f>
        <v>-0.56516294967681802</v>
      </c>
      <c r="BD311" s="2879">
        <f t="shared" si="762"/>
        <v>-0.40791558507233106</v>
      </c>
      <c r="BE311" s="2879">
        <f t="shared" si="762"/>
        <v>-9.5069944316179544E-2</v>
      </c>
      <c r="BF311" s="2879">
        <f t="shared" si="762"/>
        <v>0.20028707814535096</v>
      </c>
      <c r="BG311" s="2879">
        <f t="shared" ref="BG311:BG317" si="763">+BG277/BC277*100-100</f>
        <v>1.3239398271050362</v>
      </c>
      <c r="BH311" s="2879">
        <f t="shared" ref="BH311:BH317" si="764">+BH277/BD277*100-100</f>
        <v>2.1968722496784352</v>
      </c>
      <c r="BI311" s="2879">
        <f t="shared" ref="BI311:BI317" si="765">+BI277/BE277*100-100</f>
        <v>2.1513050570962378</v>
      </c>
      <c r="BJ311" s="2879">
        <f t="shared" ref="BJ311:BL315" si="766">+BJ277/BF277*100-100</f>
        <v>1.5957624013059046</v>
      </c>
      <c r="BK311" s="2879">
        <f t="shared" si="766"/>
        <v>2.8887172080212338</v>
      </c>
      <c r="BL311" s="2879">
        <f t="shared" si="766"/>
        <v>4.3059189824788291E-2</v>
      </c>
      <c r="BM311" s="2879">
        <f t="shared" ref="BM311:BM317" si="767">+BM277/BI277*100-100</f>
        <v>-0.761885750407572</v>
      </c>
      <c r="BN311" s="2879">
        <f t="shared" ref="BN311:BN317" si="768">+BN277/BJ277*100-100</f>
        <v>-1.1706453305351516</v>
      </c>
      <c r="BO311" s="2879">
        <f t="shared" ref="BO311:BO317" si="769">+BO277/BK277*100-100</f>
        <v>-3.6172504978616331</v>
      </c>
      <c r="BP311" s="2879">
        <f t="shared" ref="BP311:BP317" si="770">+BP277/BL277*100-100</f>
        <v>-2.5857502317573875</v>
      </c>
      <c r="BQ311" s="2879">
        <f t="shared" ref="BQ311:BQ317" si="771">+BQ277/BM277*100-100</f>
        <v>-2.6786911626659418</v>
      </c>
      <c r="BR311" s="2879">
        <f t="shared" ref="BR311:BR317" si="772">+BR277/BN277*100-100</f>
        <v>-2.5979627724874632</v>
      </c>
      <c r="BS311" s="2879">
        <f t="shared" ref="BS311:BS317" si="773">+BS277/BO277*100-100</f>
        <v>-2.249093926768964</v>
      </c>
      <c r="BT311" s="2879">
        <f t="shared" ref="BT311:BT317" si="774">+BT277/BP277*100-100</f>
        <v>-1.0196105087857177E-2</v>
      </c>
      <c r="BU311" s="2879">
        <f t="shared" ref="BU311:BU317" si="775">+BU277/BQ277*100-100</f>
        <v>-0.19291053773812905</v>
      </c>
      <c r="BV311" s="2879">
        <f t="shared" ref="BV311:BZ315" si="776">+BV277/BR277*100-100</f>
        <v>-0.14647772176047624</v>
      </c>
      <c r="BW311" s="2879">
        <f t="shared" si="776"/>
        <v>0.42967531792508851</v>
      </c>
      <c r="BX311" s="2879">
        <f t="shared" si="776"/>
        <v>0.41808293677772213</v>
      </c>
      <c r="BY311" s="2879">
        <f t="shared" si="776"/>
        <v>1.5083008318089242</v>
      </c>
      <c r="BZ311" s="2879">
        <f t="shared" si="776"/>
        <v>2.1185139699109783</v>
      </c>
      <c r="CA311" s="2879">
        <f t="shared" ref="CA311:CA317" si="777">+CA277/BW277*100-100</f>
        <v>1.6664941517441179</v>
      </c>
      <c r="CB311" s="2879">
        <f t="shared" ref="CB311:CB317" si="778">+CB277/BX277*100-100</f>
        <v>1.2557966354127785</v>
      </c>
      <c r="CC311" s="2879">
        <f t="shared" ref="CC311:CH315" si="779">+CC277/BY277*100-100</f>
        <v>0.42502550153007235</v>
      </c>
      <c r="CD311" s="2879">
        <f t="shared" si="779"/>
        <v>0.49442105966457461</v>
      </c>
      <c r="CE311" s="2879">
        <f t="shared" si="779"/>
        <v>0.39028032308425509</v>
      </c>
      <c r="CF311" s="2879">
        <f t="shared" si="779"/>
        <v>8.0229992645584502E-2</v>
      </c>
      <c r="CG311" s="2879">
        <f t="shared" si="779"/>
        <v>4.4015574741834484E-2</v>
      </c>
      <c r="CH311" s="2879">
        <f>+CH277/CD277*100-100</f>
        <v>-0.20277907054050104</v>
      </c>
      <c r="CI311" s="2879">
        <f t="shared" ref="CI311:CP315" si="780">+CI277/CE277*100-100</f>
        <v>3.7186031574293565E-2</v>
      </c>
      <c r="CJ311" s="2879">
        <f t="shared" si="780"/>
        <v>0.53109760171020071</v>
      </c>
      <c r="CK311" s="2879">
        <f t="shared" si="780"/>
        <v>0.89684581020709686</v>
      </c>
      <c r="CL311" s="2879">
        <f t="shared" si="780"/>
        <v>1.5888877785550193</v>
      </c>
      <c r="CM311" s="2879">
        <f t="shared" si="780"/>
        <v>1.4294403892944274</v>
      </c>
      <c r="CN311" s="2879">
        <f t="shared" si="780"/>
        <v>1.0864870252849386</v>
      </c>
      <c r="CO311" s="2879">
        <f t="shared" si="780"/>
        <v>0.14087814040853175</v>
      </c>
      <c r="CP311" s="2879">
        <f t="shared" si="780"/>
        <v>0.10492491310904484</v>
      </c>
      <c r="CQ311" s="2879">
        <f t="shared" ref="CQ311:CQ315" si="781">+CQ277/CM277*100-100</f>
        <v>0.30318174246211527</v>
      </c>
      <c r="CR311" s="2879">
        <f t="shared" ref="CR311:CR315" si="782">+CR277/CN277*100-100</f>
        <v>0.75598211937943915</v>
      </c>
      <c r="CS311" s="2879">
        <f t="shared" ref="CS311:CS315" si="783">+CS277/CO277*100-100</f>
        <v>0.95461396750964411</v>
      </c>
      <c r="CT311" s="2879">
        <f t="shared" ref="CT311:CT315" si="784">+CT277/CP277*100-100</f>
        <v>0.86144775630528159</v>
      </c>
      <c r="CU311" s="2880">
        <v>0.50017933037722617</v>
      </c>
      <c r="CV311" s="2880">
        <v>0.26043123305408145</v>
      </c>
      <c r="CW311" s="2880">
        <v>1.1982917800306581</v>
      </c>
      <c r="CX311" s="2880">
        <v>1.1634348438419595</v>
      </c>
      <c r="CY311" s="2880">
        <v>1.7218447881152787</v>
      </c>
      <c r="CZ311" s="2880">
        <v>1.2585629927081454</v>
      </c>
      <c r="DA311" s="2880">
        <v>0.80168970103717818</v>
      </c>
      <c r="DB311" s="2880">
        <v>0.3529386997682904</v>
      </c>
      <c r="DC311"/>
      <c r="DD311"/>
      <c r="DE311"/>
      <c r="DF311"/>
      <c r="DG311"/>
      <c r="DH311"/>
      <c r="DI311"/>
      <c r="DJ311"/>
      <c r="DK311"/>
      <c r="DL311"/>
      <c r="DM311"/>
      <c r="DN311"/>
      <c r="DO311"/>
    </row>
    <row r="312" spans="1:119">
      <c r="C312" s="932"/>
      <c r="D312" s="674"/>
      <c r="E312" s="3545" t="str">
        <f>+E304</f>
        <v>Energy</v>
      </c>
      <c r="F312" s="3057"/>
      <c r="G312" s="2881"/>
      <c r="H312" s="2881"/>
      <c r="I312" s="2881"/>
      <c r="J312" s="2881"/>
      <c r="K312" s="2881"/>
      <c r="L312" s="2881"/>
      <c r="M312" s="2881"/>
      <c r="N312" s="2881"/>
      <c r="O312" s="2881">
        <f t="shared" si="758"/>
        <v>14.686248331108189</v>
      </c>
      <c r="P312" s="2881">
        <f t="shared" si="758"/>
        <v>14.815222173339194</v>
      </c>
      <c r="Q312" s="2881">
        <f t="shared" si="758"/>
        <v>25.021385799828934</v>
      </c>
      <c r="R312" s="2881">
        <f t="shared" si="758"/>
        <v>23.03286101899306</v>
      </c>
      <c r="S312" s="2881">
        <f t="shared" si="758"/>
        <v>20.585952658129571</v>
      </c>
      <c r="T312" s="2881">
        <f t="shared" si="758"/>
        <v>19.858223967813032</v>
      </c>
      <c r="U312" s="2881">
        <f t="shared" si="758"/>
        <v>10.879233664043781</v>
      </c>
      <c r="V312" s="2881">
        <f t="shared" si="758"/>
        <v>9.4993057257208449</v>
      </c>
      <c r="W312" s="2881">
        <f t="shared" si="758"/>
        <v>9.9275945293644696</v>
      </c>
      <c r="X312" s="2881">
        <f t="shared" si="758"/>
        <v>10.094309462915589</v>
      </c>
      <c r="Y312" s="2881">
        <f t="shared" si="759"/>
        <v>8.3230484418389494</v>
      </c>
      <c r="Z312" s="2881">
        <f t="shared" si="759"/>
        <v>7.5488587199761241</v>
      </c>
      <c r="AA312" s="2881">
        <f t="shared" si="759"/>
        <v>17.176522248243558</v>
      </c>
      <c r="AB312" s="2881">
        <f t="shared" si="759"/>
        <v>18.860254083484591</v>
      </c>
      <c r="AC312" s="2881">
        <f t="shared" si="759"/>
        <v>16.648864202805669</v>
      </c>
      <c r="AD312" s="2881">
        <f t="shared" si="759"/>
        <v>16.43085032598141</v>
      </c>
      <c r="AE312" s="2881">
        <f t="shared" si="759"/>
        <v>1.3053525701080417</v>
      </c>
      <c r="AF312" s="2881">
        <f t="shared" si="759"/>
        <v>1.0627252183472677</v>
      </c>
      <c r="AG312" s="2881">
        <f t="shared" si="759"/>
        <v>1.1659849826018132</v>
      </c>
      <c r="AH312" s="2881">
        <f t="shared" si="759"/>
        <v>-3.5324953833323605</v>
      </c>
      <c r="AI312" s="2881">
        <f t="shared" si="760"/>
        <v>1.3995067817509437</v>
      </c>
      <c r="AJ312" s="2881">
        <f t="shared" si="760"/>
        <v>1.4322837976672389</v>
      </c>
      <c r="AK312" s="2881">
        <f t="shared" si="760"/>
        <v>0.28964518464880484</v>
      </c>
      <c r="AL312" s="2881">
        <f t="shared" si="760"/>
        <v>3.6680251945165026</v>
      </c>
      <c r="AM312" s="2881">
        <f t="shared" si="760"/>
        <v>3.7453638961512752</v>
      </c>
      <c r="AN312" s="2881">
        <f t="shared" si="760"/>
        <v>0.62559580552905913</v>
      </c>
      <c r="AO312" s="2881">
        <f t="shared" si="760"/>
        <v>0.78820697954272134</v>
      </c>
      <c r="AP312" s="2881">
        <f t="shared" si="760"/>
        <v>-0.80414581844175359</v>
      </c>
      <c r="AQ312" s="2881">
        <f t="shared" si="760"/>
        <v>-1.0724960440719542</v>
      </c>
      <c r="AR312" s="2881">
        <f t="shared" si="760"/>
        <v>2.8953756883178556</v>
      </c>
      <c r="AS312" s="2881">
        <f t="shared" si="761"/>
        <v>3.910214315563266</v>
      </c>
      <c r="AT312" s="2881">
        <f t="shared" si="761"/>
        <v>5.2723233051102056</v>
      </c>
      <c r="AU312" s="2881">
        <f t="shared" si="761"/>
        <v>5.7642180094786681</v>
      </c>
      <c r="AV312" s="2881">
        <f t="shared" si="761"/>
        <v>4.9487858211531659</v>
      </c>
      <c r="AW312" s="2881">
        <f t="shared" si="761"/>
        <v>8.7958175341836125</v>
      </c>
      <c r="AX312" s="2881">
        <f t="shared" si="761"/>
        <v>9.3434487479322286</v>
      </c>
      <c r="AY312" s="2881">
        <f t="shared" si="761"/>
        <v>9.6790455385649352</v>
      </c>
      <c r="AZ312" s="2881">
        <f t="shared" si="761"/>
        <v>9.0360785173813127</v>
      </c>
      <c r="BA312" s="2881">
        <f t="shared" si="761"/>
        <v>5.7612082167186003</v>
      </c>
      <c r="BB312" s="2881">
        <f t="shared" si="761"/>
        <v>6.0775209974437701</v>
      </c>
      <c r="BC312" s="2881">
        <f t="shared" si="762"/>
        <v>4.6116132986058034</v>
      </c>
      <c r="BD312" s="2881">
        <f t="shared" si="762"/>
        <v>5.9036508096147884</v>
      </c>
      <c r="BE312" s="2881">
        <f t="shared" si="762"/>
        <v>6.8404234072298777</v>
      </c>
      <c r="BF312" s="2881">
        <f t="shared" si="762"/>
        <v>9.8603324481164663</v>
      </c>
      <c r="BG312" s="2881">
        <f t="shared" si="763"/>
        <v>18.263034563561803</v>
      </c>
      <c r="BH312" s="2881">
        <f t="shared" si="764"/>
        <v>18.955365622032303</v>
      </c>
      <c r="BI312" s="2881">
        <f t="shared" si="765"/>
        <v>20.501916066922149</v>
      </c>
      <c r="BJ312" s="2881">
        <f t="shared" si="766"/>
        <v>14.168046913469709</v>
      </c>
      <c r="BK312" s="2881">
        <f t="shared" si="766"/>
        <v>13.147574819401456</v>
      </c>
      <c r="BL312" s="2881">
        <f t="shared" si="766"/>
        <v>10.558039278301123</v>
      </c>
      <c r="BM312" s="2881">
        <f t="shared" si="767"/>
        <v>6.170254023657165</v>
      </c>
      <c r="BN312" s="2881">
        <f t="shared" si="768"/>
        <v>3.1014742785445435</v>
      </c>
      <c r="BO312" s="2881">
        <f t="shared" si="769"/>
        <v>5.4104341481211264</v>
      </c>
      <c r="BP312" s="2881">
        <f t="shared" si="770"/>
        <v>7.7986785572444575</v>
      </c>
      <c r="BQ312" s="2881">
        <f t="shared" si="771"/>
        <v>11.119228521332559</v>
      </c>
      <c r="BR312" s="2881">
        <f t="shared" si="772"/>
        <v>17.596501235976447</v>
      </c>
      <c r="BS312" s="2881">
        <f t="shared" si="773"/>
        <v>12.016751462291893</v>
      </c>
      <c r="BT312" s="2881">
        <f t="shared" si="774"/>
        <v>11.280436748501188</v>
      </c>
      <c r="BU312" s="2881">
        <f t="shared" si="775"/>
        <v>12.633136094674555</v>
      </c>
      <c r="BV312" s="2881">
        <f t="shared" si="776"/>
        <v>12.221072375654856</v>
      </c>
      <c r="BW312" s="2881">
        <f t="shared" si="776"/>
        <v>9.4114012050053901</v>
      </c>
      <c r="BX312" s="2881">
        <f t="shared" si="776"/>
        <v>7.8856282919488336</v>
      </c>
      <c r="BY312" s="2881">
        <f t="shared" si="776"/>
        <v>6.3771415229256121</v>
      </c>
      <c r="BZ312" s="2881">
        <f t="shared" si="776"/>
        <v>3.1872280337742467</v>
      </c>
      <c r="CA312" s="2881">
        <f t="shared" si="777"/>
        <v>1.6520290305272596</v>
      </c>
      <c r="CB312" s="2881">
        <f t="shared" si="778"/>
        <v>-1.1214953271028065</v>
      </c>
      <c r="CC312" s="2881">
        <f t="shared" si="779"/>
        <v>-3.3444907813871794</v>
      </c>
      <c r="CD312" s="2881">
        <f t="shared" si="779"/>
        <v>-2.0945625157092138</v>
      </c>
      <c r="CE312" s="2881">
        <f t="shared" si="779"/>
        <v>-2.5113901544616226</v>
      </c>
      <c r="CF312" s="2881">
        <f t="shared" si="779"/>
        <v>-3.0189318059983634</v>
      </c>
      <c r="CG312" s="2881">
        <f t="shared" si="779"/>
        <v>-4.589968491867495</v>
      </c>
      <c r="CH312" s="2881">
        <f t="shared" si="779"/>
        <v>-5.7677496648315696</v>
      </c>
      <c r="CI312" s="2881">
        <f t="shared" si="780"/>
        <v>-14.191268665222822</v>
      </c>
      <c r="CJ312" s="2881">
        <f t="shared" si="780"/>
        <v>-9.5540104151514385</v>
      </c>
      <c r="CK312" s="2881">
        <f t="shared" si="780"/>
        <v>-10.511126978460069</v>
      </c>
      <c r="CL312" s="2881">
        <f t="shared" si="780"/>
        <v>-13.064931133646127</v>
      </c>
      <c r="CM312" s="2881">
        <f t="shared" si="780"/>
        <v>-8.0333421891604644</v>
      </c>
      <c r="CN312" s="2881">
        <f t="shared" si="780"/>
        <v>-10.254430827623921</v>
      </c>
      <c r="CO312" s="2881">
        <f t="shared" si="780"/>
        <v>-8.8467036803085222</v>
      </c>
      <c r="CP312" s="2881">
        <f t="shared" si="780"/>
        <v>-1.2291514328493349</v>
      </c>
      <c r="CQ312" s="2881">
        <f t="shared" si="781"/>
        <v>5.9690174412306334</v>
      </c>
      <c r="CR312" s="2881">
        <f t="shared" si="782"/>
        <v>3.989104333178048</v>
      </c>
      <c r="CS312" s="2881">
        <f t="shared" si="783"/>
        <v>4.9638923335035372</v>
      </c>
      <c r="CT312" s="2881">
        <f t="shared" si="784"/>
        <v>3.8391031516604528</v>
      </c>
      <c r="CU312" s="2880">
        <v>4.4749096980849057</v>
      </c>
      <c r="CV312" s="2880">
        <v>5.8556735405155713</v>
      </c>
      <c r="CW312" s="2880">
        <v>7.0405371486731649</v>
      </c>
      <c r="CX312" s="2880">
        <v>4.8979942996721926</v>
      </c>
      <c r="CY312" s="2880">
        <v>1.0805336799536436</v>
      </c>
      <c r="CZ312" s="2880">
        <v>1.2066220495791535</v>
      </c>
      <c r="DA312" s="2880">
        <v>1.2066220495791535</v>
      </c>
      <c r="DB312" s="2880">
        <v>1.2066220495791535</v>
      </c>
    </row>
    <row r="313" spans="1:119">
      <c r="C313" s="932"/>
      <c r="D313" s="674"/>
      <c r="E313" s="3629" t="s">
        <v>1239</v>
      </c>
      <c r="F313" s="3057"/>
      <c r="G313" s="2881"/>
      <c r="H313" s="2881"/>
      <c r="I313" s="2881"/>
      <c r="J313" s="2881"/>
      <c r="K313" s="2881"/>
      <c r="L313" s="2881"/>
      <c r="M313" s="2881"/>
      <c r="N313" s="2881"/>
      <c r="O313" s="2881">
        <f t="shared" si="758"/>
        <v>14.848058829890775</v>
      </c>
      <c r="P313" s="2881">
        <f t="shared" si="758"/>
        <v>3.3495169437496486</v>
      </c>
      <c r="Q313" s="2881">
        <f t="shared" si="758"/>
        <v>1.1474007347390653</v>
      </c>
      <c r="R313" s="2881">
        <f t="shared" si="758"/>
        <v>1.2340127897682294</v>
      </c>
      <c r="S313" s="2881">
        <f t="shared" si="758"/>
        <v>-0.20715630885123915</v>
      </c>
      <c r="T313" s="2881">
        <f t="shared" si="758"/>
        <v>2.2919236974471033</v>
      </c>
      <c r="U313" s="2881">
        <f t="shared" si="758"/>
        <v>1.4229563659883411</v>
      </c>
      <c r="V313" s="2881">
        <f t="shared" si="758"/>
        <v>0.14805310171246333</v>
      </c>
      <c r="W313" s="2881">
        <f t="shared" si="758"/>
        <v>-3.8969616908850639</v>
      </c>
      <c r="X313" s="2881">
        <f t="shared" si="758"/>
        <v>-7.9231804054367387</v>
      </c>
      <c r="Y313" s="2881">
        <f t="shared" si="759"/>
        <v>-6.4802550895266364</v>
      </c>
      <c r="Z313" s="2881">
        <f t="shared" si="759"/>
        <v>-4.0900803232641749</v>
      </c>
      <c r="AA313" s="2881">
        <f t="shared" si="759"/>
        <v>-5.120274914089336</v>
      </c>
      <c r="AB313" s="2881">
        <f t="shared" si="759"/>
        <v>-4.1211144138243867</v>
      </c>
      <c r="AC313" s="2881">
        <f t="shared" si="759"/>
        <v>-1.7047838858581343</v>
      </c>
      <c r="AD313" s="2881">
        <f t="shared" si="759"/>
        <v>-2.6614602065457547</v>
      </c>
      <c r="AE313" s="2881">
        <f t="shared" si="759"/>
        <v>2.504268639726817</v>
      </c>
      <c r="AF313" s="2881">
        <f t="shared" si="759"/>
        <v>11.102937312805423</v>
      </c>
      <c r="AG313" s="2881">
        <f t="shared" si="759"/>
        <v>11.478734190725206</v>
      </c>
      <c r="AH313" s="2881">
        <f t="shared" si="759"/>
        <v>10.942201108471906</v>
      </c>
      <c r="AI313" s="2881">
        <f t="shared" si="760"/>
        <v>10.004542930695067</v>
      </c>
      <c r="AJ313" s="2881">
        <f t="shared" si="760"/>
        <v>-1.6978811956110462</v>
      </c>
      <c r="AK313" s="2881">
        <f t="shared" si="760"/>
        <v>-6.4815701292484249</v>
      </c>
      <c r="AL313" s="2881">
        <f t="shared" si="760"/>
        <v>-9.9105528594537873</v>
      </c>
      <c r="AM313" s="2881">
        <f t="shared" si="760"/>
        <v>-16.693433671362371</v>
      </c>
      <c r="AN313" s="2881">
        <f t="shared" si="760"/>
        <v>-11.974981958142905</v>
      </c>
      <c r="AO313" s="2881">
        <f t="shared" si="760"/>
        <v>-11.19471744471744</v>
      </c>
      <c r="AP313" s="2881">
        <f t="shared" si="760"/>
        <v>-7.4201214681806249</v>
      </c>
      <c r="AQ313" s="2881">
        <f t="shared" si="760"/>
        <v>-3.365464059487735</v>
      </c>
      <c r="AR313" s="2881">
        <f t="shared" si="760"/>
        <v>-1.0603410581548047</v>
      </c>
      <c r="AS313" s="2881">
        <f t="shared" si="761"/>
        <v>7.942820911868111</v>
      </c>
      <c r="AT313" s="2881">
        <f t="shared" si="761"/>
        <v>6.8568168853394127</v>
      </c>
      <c r="AU313" s="2881">
        <f t="shared" si="761"/>
        <v>9.7070223438212651</v>
      </c>
      <c r="AV313" s="2881">
        <f t="shared" si="761"/>
        <v>8.6288807866534256</v>
      </c>
      <c r="AW313" s="2881">
        <f t="shared" si="761"/>
        <v>2.4937256367810932</v>
      </c>
      <c r="AX313" s="2881">
        <f t="shared" si="761"/>
        <v>5.0021353833012938</v>
      </c>
      <c r="AY313" s="2881">
        <f t="shared" si="761"/>
        <v>6.7283212968254844</v>
      </c>
      <c r="AZ313" s="2881">
        <f t="shared" si="761"/>
        <v>7.7196908055329629</v>
      </c>
      <c r="BA313" s="2881">
        <f t="shared" si="761"/>
        <v>10.081275398562056</v>
      </c>
      <c r="BB313" s="2881">
        <f t="shared" si="761"/>
        <v>7.7431491179012539</v>
      </c>
      <c r="BC313" s="2881">
        <f t="shared" si="762"/>
        <v>7.2096193165222644</v>
      </c>
      <c r="BD313" s="2881">
        <f t="shared" si="762"/>
        <v>7.5630252100840352</v>
      </c>
      <c r="BE313" s="2881">
        <f t="shared" si="762"/>
        <v>8.0694779686686786</v>
      </c>
      <c r="BF313" s="2881">
        <f t="shared" si="762"/>
        <v>11.829935824839552</v>
      </c>
      <c r="BG313" s="2881">
        <f t="shared" si="763"/>
        <v>13.871861235980546</v>
      </c>
      <c r="BH313" s="2881">
        <f t="shared" si="764"/>
        <v>15.453827247191015</v>
      </c>
      <c r="BI313" s="2881">
        <f t="shared" si="765"/>
        <v>16.252080231234117</v>
      </c>
      <c r="BJ313" s="2881">
        <f t="shared" si="766"/>
        <v>14.912021604287105</v>
      </c>
      <c r="BK313" s="2881">
        <f t="shared" si="766"/>
        <v>12.61663609538239</v>
      </c>
      <c r="BL313" s="2881">
        <f t="shared" si="766"/>
        <v>5.4628397643033253</v>
      </c>
      <c r="BM313" s="2881">
        <f t="shared" si="767"/>
        <v>-0.16575626294972778</v>
      </c>
      <c r="BN313" s="2881">
        <f t="shared" si="768"/>
        <v>-4.7369000844563374</v>
      </c>
      <c r="BO313" s="2881">
        <f t="shared" si="769"/>
        <v>-7.425111536010192</v>
      </c>
      <c r="BP313" s="2881">
        <f t="shared" si="770"/>
        <v>-3.9759209862302356</v>
      </c>
      <c r="BQ313" s="2881">
        <f t="shared" si="771"/>
        <v>-0.34715671106751245</v>
      </c>
      <c r="BR313" s="2881">
        <f t="shared" si="772"/>
        <v>3.0412828123192952</v>
      </c>
      <c r="BS313" s="2881">
        <f t="shared" si="773"/>
        <v>5.5612927902084692</v>
      </c>
      <c r="BT313" s="2881">
        <f t="shared" si="774"/>
        <v>7.7930853260257322</v>
      </c>
      <c r="BU313" s="2881">
        <f t="shared" si="775"/>
        <v>3.9834904767314328</v>
      </c>
      <c r="BV313" s="2881">
        <f t="shared" si="776"/>
        <v>2.7794403710908142</v>
      </c>
      <c r="BW313" s="2881">
        <f t="shared" si="776"/>
        <v>2.9602521830500876</v>
      </c>
      <c r="BX313" s="2881">
        <f t="shared" si="776"/>
        <v>0.71739508967441168</v>
      </c>
      <c r="BY313" s="2881">
        <f t="shared" si="776"/>
        <v>4.267870798587083</v>
      </c>
      <c r="BZ313" s="2881">
        <f t="shared" si="776"/>
        <v>5.5505004549590637</v>
      </c>
      <c r="CA313" s="2881">
        <f t="shared" si="777"/>
        <v>4.9021677927927954</v>
      </c>
      <c r="CB313" s="2881">
        <f t="shared" si="778"/>
        <v>4.9825386397427138</v>
      </c>
      <c r="CC313" s="2881">
        <f t="shared" si="779"/>
        <v>2.5564907624070088</v>
      </c>
      <c r="CD313" s="2881">
        <f t="shared" si="779"/>
        <v>0.53793103448276725</v>
      </c>
      <c r="CE313" s="2881">
        <f t="shared" si="779"/>
        <v>0.66758361568652447</v>
      </c>
      <c r="CF313" s="2881">
        <f t="shared" si="779"/>
        <v>4.6110269415720495E-2</v>
      </c>
      <c r="CG313" s="2881">
        <f t="shared" si="779"/>
        <v>0.35075770475057766</v>
      </c>
      <c r="CH313" s="2881">
        <f t="shared" si="779"/>
        <v>0.28810536424748534</v>
      </c>
      <c r="CI313" s="2881">
        <f t="shared" si="780"/>
        <v>-1.3896294321514233</v>
      </c>
      <c r="CJ313" s="2881">
        <f t="shared" si="780"/>
        <v>1.8336844877535015</v>
      </c>
      <c r="CK313" s="2881">
        <f t="shared" si="780"/>
        <v>-5.429618569296224E-2</v>
      </c>
      <c r="CL313" s="2881">
        <f t="shared" si="780"/>
        <v>2.6846785225718435</v>
      </c>
      <c r="CM313" s="2881">
        <f t="shared" si="780"/>
        <v>2.4297928424183368</v>
      </c>
      <c r="CN313" s="2881">
        <f t="shared" si="780"/>
        <v>2.3437752561988674</v>
      </c>
      <c r="CO313" s="2881">
        <f t="shared" si="780"/>
        <v>1.6807008013038001</v>
      </c>
      <c r="CP313" s="2881">
        <f t="shared" si="780"/>
        <v>-0.40299750208158969</v>
      </c>
      <c r="CQ313" s="2881">
        <f t="shared" si="781"/>
        <v>2.6624876278455503</v>
      </c>
      <c r="CR313" s="2881">
        <f t="shared" si="782"/>
        <v>-1.3645839914081819</v>
      </c>
      <c r="CS313" s="2881">
        <f t="shared" si="783"/>
        <v>1.8733095134737994</v>
      </c>
      <c r="CT313" s="2881">
        <f t="shared" si="784"/>
        <v>3.541332263242353</v>
      </c>
      <c r="CU313" s="2880">
        <v>0.88129809486945376</v>
      </c>
      <c r="CV313" s="2880">
        <v>1.7331686884269448</v>
      </c>
      <c r="CW313" s="2880">
        <v>0.53986218291028898</v>
      </c>
      <c r="CX313" s="2880">
        <v>-1.0495737090258195</v>
      </c>
      <c r="CY313" s="2880">
        <v>5.2763268782429762E-2</v>
      </c>
      <c r="CZ313" s="2880">
        <v>0.87057816280209366</v>
      </c>
      <c r="DA313" s="2880">
        <v>1.1772288664503527</v>
      </c>
      <c r="DB313" s="2880">
        <v>1.4816359193452033</v>
      </c>
    </row>
    <row r="314" spans="1:119">
      <c r="C314" s="932"/>
      <c r="D314" s="674"/>
      <c r="E314" s="3629" t="s">
        <v>1238</v>
      </c>
      <c r="F314" s="3057"/>
      <c r="G314" s="2881"/>
      <c r="H314" s="2881"/>
      <c r="I314" s="2881"/>
      <c r="J314" s="2881"/>
      <c r="K314" s="2881"/>
      <c r="L314" s="2881"/>
      <c r="M314" s="2881"/>
      <c r="N314" s="2881"/>
      <c r="O314" s="2881">
        <f t="shared" si="758"/>
        <v>11.584692352673656</v>
      </c>
      <c r="P314" s="2881">
        <f t="shared" si="758"/>
        <v>10.14751899865891</v>
      </c>
      <c r="Q314" s="2881">
        <f t="shared" si="758"/>
        <v>9.172400732277012</v>
      </c>
      <c r="R314" s="2881">
        <f t="shared" si="758"/>
        <v>7.341585978673848</v>
      </c>
      <c r="S314" s="2881">
        <f t="shared" si="758"/>
        <v>3.0394782811226122</v>
      </c>
      <c r="T314" s="2881">
        <f t="shared" si="758"/>
        <v>2.2031539888682801</v>
      </c>
      <c r="U314" s="2881">
        <f t="shared" si="758"/>
        <v>0.53775876026367087</v>
      </c>
      <c r="V314" s="2881">
        <f t="shared" si="758"/>
        <v>-0.82210550353961764</v>
      </c>
      <c r="W314" s="2881">
        <f t="shared" si="758"/>
        <v>-0.3108047016274611</v>
      </c>
      <c r="X314" s="2881">
        <f t="shared" si="758"/>
        <v>-0.64669843430905871</v>
      </c>
      <c r="Y314" s="2881">
        <f t="shared" si="759"/>
        <v>0.67291654684534308</v>
      </c>
      <c r="Z314" s="2881">
        <f t="shared" si="759"/>
        <v>-2.1989408243149882</v>
      </c>
      <c r="AA314" s="2881">
        <f t="shared" si="759"/>
        <v>-4.1097443455586529</v>
      </c>
      <c r="AB314" s="2881">
        <f t="shared" si="759"/>
        <v>-4.7847436336644904</v>
      </c>
      <c r="AC314" s="2881">
        <f t="shared" si="759"/>
        <v>-4.5589579524680062</v>
      </c>
      <c r="AD314" s="2881">
        <f t="shared" si="759"/>
        <v>-1.842260153031205</v>
      </c>
      <c r="AE314" s="2881">
        <f t="shared" si="759"/>
        <v>-1.0404350910380771</v>
      </c>
      <c r="AF314" s="2881">
        <f t="shared" si="759"/>
        <v>-0.26385224274406482</v>
      </c>
      <c r="AG314" s="2881">
        <f t="shared" si="759"/>
        <v>-0.41901113372439625</v>
      </c>
      <c r="AH314" s="2881">
        <f t="shared" si="759"/>
        <v>0.94141632188045321</v>
      </c>
      <c r="AI314" s="2881">
        <f t="shared" si="760"/>
        <v>1.4575866188769595</v>
      </c>
      <c r="AJ314" s="2881">
        <f t="shared" si="760"/>
        <v>0.80567580567580421</v>
      </c>
      <c r="AK314" s="2881">
        <f t="shared" si="760"/>
        <v>0.34864150036064245</v>
      </c>
      <c r="AL314" s="2881">
        <f t="shared" si="760"/>
        <v>0.49899013900440536</v>
      </c>
      <c r="AM314" s="2881">
        <f t="shared" si="760"/>
        <v>1.9665567593028612</v>
      </c>
      <c r="AN314" s="2881">
        <f t="shared" si="760"/>
        <v>3.7158535130621573</v>
      </c>
      <c r="AO314" s="2881">
        <f t="shared" si="760"/>
        <v>3.8876242961542999</v>
      </c>
      <c r="AP314" s="2881">
        <f t="shared" si="760"/>
        <v>2.8785908499822739</v>
      </c>
      <c r="AQ314" s="2881">
        <f t="shared" si="760"/>
        <v>1.5417484698002255</v>
      </c>
      <c r="AR314" s="2881">
        <f t="shared" si="760"/>
        <v>2.4268215538559019</v>
      </c>
      <c r="AS314" s="2881">
        <f t="shared" si="761"/>
        <v>2.7100271002709917</v>
      </c>
      <c r="AT314" s="2881">
        <f t="shared" si="761"/>
        <v>2.5222637173225877</v>
      </c>
      <c r="AU314" s="2881">
        <f t="shared" si="761"/>
        <v>2.274665908444689</v>
      </c>
      <c r="AV314" s="2881">
        <f t="shared" si="761"/>
        <v>1.1453596092302405</v>
      </c>
      <c r="AW314" s="2881">
        <f t="shared" si="761"/>
        <v>0.86453713579970781</v>
      </c>
      <c r="AX314" s="2881">
        <f t="shared" si="761"/>
        <v>1.3561981618471322</v>
      </c>
      <c r="AY314" s="2881">
        <f t="shared" si="761"/>
        <v>0.88407005838197961</v>
      </c>
      <c r="AZ314" s="2881">
        <f t="shared" si="761"/>
        <v>1.3155703580350036</v>
      </c>
      <c r="BA314" s="2881">
        <f t="shared" si="761"/>
        <v>3.2281404797684559</v>
      </c>
      <c r="BB314" s="2881">
        <f t="shared" si="761"/>
        <v>5.4849054517306115</v>
      </c>
      <c r="BC314" s="2881">
        <f t="shared" si="762"/>
        <v>7.6003086419753174</v>
      </c>
      <c r="BD314" s="2881">
        <f t="shared" si="762"/>
        <v>8.9195704580319841</v>
      </c>
      <c r="BE314" s="2881">
        <f t="shared" si="762"/>
        <v>10.950558041731796</v>
      </c>
      <c r="BF314" s="2881">
        <f t="shared" si="762"/>
        <v>14.126218681203468</v>
      </c>
      <c r="BG314" s="2881">
        <f t="shared" si="763"/>
        <v>16.790452287046037</v>
      </c>
      <c r="BH314" s="2881">
        <f t="shared" si="764"/>
        <v>19.245472837022135</v>
      </c>
      <c r="BI314" s="2881">
        <f t="shared" si="765"/>
        <v>16.88210710467493</v>
      </c>
      <c r="BJ314" s="2881">
        <f t="shared" si="766"/>
        <v>11.14683323382171</v>
      </c>
      <c r="BK314" s="2881">
        <f t="shared" si="766"/>
        <v>8.460155256348429</v>
      </c>
      <c r="BL314" s="2881">
        <f t="shared" si="766"/>
        <v>5.6230490171264762</v>
      </c>
      <c r="BM314" s="2881">
        <f t="shared" si="767"/>
        <v>3.5714285714285836</v>
      </c>
      <c r="BN314" s="2881">
        <f t="shared" si="768"/>
        <v>5.7685950413223281</v>
      </c>
      <c r="BO314" s="2881">
        <f t="shared" si="769"/>
        <v>5.1152446421350817</v>
      </c>
      <c r="BP314" s="2881">
        <f t="shared" si="770"/>
        <v>4.6207915651583846</v>
      </c>
      <c r="BQ314" s="2881">
        <f t="shared" si="771"/>
        <v>5.9812934045200734</v>
      </c>
      <c r="BR314" s="2881">
        <f t="shared" si="772"/>
        <v>5.1492420690732814</v>
      </c>
      <c r="BS314" s="2881">
        <f t="shared" si="773"/>
        <v>6.0627043662242244</v>
      </c>
      <c r="BT314" s="2881">
        <f t="shared" si="774"/>
        <v>8.1997251488777039</v>
      </c>
      <c r="BU314" s="2881">
        <f t="shared" si="775"/>
        <v>7.8292488920874064</v>
      </c>
      <c r="BV314" s="2881">
        <f t="shared" si="776"/>
        <v>5.9931634093780133</v>
      </c>
      <c r="BW314" s="2881">
        <f t="shared" si="776"/>
        <v>4.57364622248015</v>
      </c>
      <c r="BX314" s="2881">
        <f t="shared" si="776"/>
        <v>2.9000846740050719</v>
      </c>
      <c r="BY314" s="2881">
        <f t="shared" si="776"/>
        <v>2.6907404805395885</v>
      </c>
      <c r="BZ314" s="2881">
        <f t="shared" si="776"/>
        <v>2.436288428506316</v>
      </c>
      <c r="CA314" s="2881">
        <f t="shared" si="777"/>
        <v>1.8555771365149809</v>
      </c>
      <c r="CB314" s="2881">
        <f t="shared" si="778"/>
        <v>0.84687650003428416</v>
      </c>
      <c r="CC314" s="2881">
        <f t="shared" si="779"/>
        <v>1.1322432783744887</v>
      </c>
      <c r="CD314" s="2881">
        <f t="shared" si="779"/>
        <v>1.5912668537403363</v>
      </c>
      <c r="CE314" s="2881">
        <f t="shared" si="779"/>
        <v>1.8592297476759541</v>
      </c>
      <c r="CF314" s="2881">
        <f t="shared" si="779"/>
        <v>2.2847040424302207</v>
      </c>
      <c r="CG314" s="2881">
        <f t="shared" si="779"/>
        <v>2.4386944021647281</v>
      </c>
      <c r="CH314" s="2881">
        <f t="shared" si="779"/>
        <v>2.0143497153636218</v>
      </c>
      <c r="CI314" s="2881">
        <f t="shared" si="780"/>
        <v>0.71875104469629036</v>
      </c>
      <c r="CJ314" s="2881">
        <f t="shared" si="780"/>
        <v>-0.34568721954462944</v>
      </c>
      <c r="CK314" s="2881">
        <f t="shared" si="780"/>
        <v>-1.1886680314336644</v>
      </c>
      <c r="CL314" s="2881">
        <f t="shared" si="780"/>
        <v>-1.0566286940729839</v>
      </c>
      <c r="CM314" s="2881">
        <f t="shared" si="780"/>
        <v>0.54434413170474727</v>
      </c>
      <c r="CN314" s="2881">
        <f t="shared" si="780"/>
        <v>2.118008071778803</v>
      </c>
      <c r="CO314" s="2881">
        <f t="shared" si="780"/>
        <v>2.7902158658023239</v>
      </c>
      <c r="CP314" s="2881">
        <f t="shared" si="780"/>
        <v>3.4740530619055789</v>
      </c>
      <c r="CQ314" s="2881">
        <f t="shared" si="781"/>
        <v>5.159778159249953</v>
      </c>
      <c r="CR314" s="2881">
        <f t="shared" si="782"/>
        <v>7.270708126469799</v>
      </c>
      <c r="CS314" s="2881">
        <f t="shared" si="783"/>
        <v>7.9678814082767104</v>
      </c>
      <c r="CT314" s="2881">
        <f t="shared" si="784"/>
        <v>8.0436044636522013</v>
      </c>
      <c r="CU314" s="2880">
        <v>5.8525665620107192</v>
      </c>
      <c r="CV314" s="2880">
        <v>3.6582005931588002</v>
      </c>
      <c r="CW314" s="2880">
        <v>2.7083941013876567</v>
      </c>
      <c r="CX314" s="2880">
        <v>2.2995686980041175</v>
      </c>
      <c r="CY314" s="2880">
        <v>2.9087304281936177</v>
      </c>
      <c r="CZ314" s="2880">
        <v>3.0843222015192628</v>
      </c>
      <c r="DA314" s="2880">
        <v>3.0843222015192628</v>
      </c>
      <c r="DB314" s="2880">
        <v>3.0843222015192628</v>
      </c>
    </row>
    <row r="315" spans="1:119">
      <c r="C315" s="690"/>
      <c r="D315" s="691"/>
      <c r="E315" s="3644" t="str">
        <f>+E307</f>
        <v>Services</v>
      </c>
      <c r="F315" s="3645"/>
      <c r="G315" s="2882"/>
      <c r="H315" s="2882"/>
      <c r="I315" s="2882"/>
      <c r="J315" s="2882"/>
      <c r="K315" s="2882"/>
      <c r="L315" s="2882"/>
      <c r="M315" s="2882"/>
      <c r="N315" s="2882"/>
      <c r="O315" s="2882">
        <f t="shared" si="758"/>
        <v>18.343096234309627</v>
      </c>
      <c r="P315" s="2882">
        <f t="shared" si="758"/>
        <v>17.244693632358803</v>
      </c>
      <c r="Q315" s="2882">
        <f t="shared" si="758"/>
        <v>13.883847549909234</v>
      </c>
      <c r="R315" s="2882">
        <f t="shared" si="758"/>
        <v>13.47026866115948</v>
      </c>
      <c r="S315" s="2882">
        <f t="shared" si="758"/>
        <v>11.844152170838626</v>
      </c>
      <c r="T315" s="2882">
        <f t="shared" si="758"/>
        <v>11.873206722229824</v>
      </c>
      <c r="U315" s="2882">
        <f t="shared" si="758"/>
        <v>10.969455511288203</v>
      </c>
      <c r="V315" s="2882">
        <f t="shared" si="758"/>
        <v>10.841477011871191</v>
      </c>
      <c r="W315" s="2882">
        <f t="shared" si="758"/>
        <v>8.0040462793197236</v>
      </c>
      <c r="X315" s="2882">
        <f t="shared" si="758"/>
        <v>7.3094772838300059</v>
      </c>
      <c r="Y315" s="2882">
        <f t="shared" si="759"/>
        <v>5.9298707515557538</v>
      </c>
      <c r="Z315" s="2882">
        <f t="shared" si="759"/>
        <v>5.2899408284023508</v>
      </c>
      <c r="AA315" s="2882">
        <f t="shared" si="759"/>
        <v>6.7435462155359289</v>
      </c>
      <c r="AB315" s="2882">
        <f t="shared" si="759"/>
        <v>5.1328742957946787</v>
      </c>
      <c r="AC315" s="2882">
        <f t="shared" si="759"/>
        <v>4.8522849234593082</v>
      </c>
      <c r="AD315" s="2882">
        <f t="shared" si="759"/>
        <v>4.6026750590086465</v>
      </c>
      <c r="AE315" s="2882">
        <f t="shared" si="759"/>
        <v>3.7619961612283817</v>
      </c>
      <c r="AF315" s="2882">
        <f t="shared" si="759"/>
        <v>2.6630581867388372</v>
      </c>
      <c r="AG315" s="2882">
        <f t="shared" si="759"/>
        <v>5.0371727184570716</v>
      </c>
      <c r="AH315" s="2882">
        <f t="shared" si="759"/>
        <v>6.3020469564283133</v>
      </c>
      <c r="AI315" s="2882">
        <f t="shared" si="760"/>
        <v>4.7619047619047876</v>
      </c>
      <c r="AJ315" s="2882">
        <f t="shared" si="760"/>
        <v>4.2811198397216401</v>
      </c>
      <c r="AK315" s="2882">
        <f t="shared" si="760"/>
        <v>2.8312048007385471</v>
      </c>
      <c r="AL315" s="2882">
        <f t="shared" si="760"/>
        <v>1.1725462448195714</v>
      </c>
      <c r="AM315" s="2882">
        <f t="shared" si="760"/>
        <v>1.5538290788013285</v>
      </c>
      <c r="AN315" s="2882">
        <f t="shared" si="760"/>
        <v>1.9414530562717829</v>
      </c>
      <c r="AO315" s="2882">
        <f t="shared" si="760"/>
        <v>-0.19452341762681158</v>
      </c>
      <c r="AP315" s="2882">
        <f t="shared" si="760"/>
        <v>-2.0531521630532552</v>
      </c>
      <c r="AQ315" s="2882">
        <f t="shared" si="760"/>
        <v>-2.359662195727779</v>
      </c>
      <c r="AR315" s="2882">
        <f t="shared" si="760"/>
        <v>-1.4581163517333664</v>
      </c>
      <c r="AS315" s="2882">
        <f t="shared" si="761"/>
        <v>0.3448275862069039</v>
      </c>
      <c r="AT315" s="2882">
        <f t="shared" si="761"/>
        <v>2.2695975926964707</v>
      </c>
      <c r="AU315" s="2882">
        <f t="shared" si="761"/>
        <v>3.1595013991350811</v>
      </c>
      <c r="AV315" s="2882">
        <f t="shared" si="761"/>
        <v>2.8989883738487237</v>
      </c>
      <c r="AW315" s="2882">
        <f t="shared" si="761"/>
        <v>3.2621146471437896</v>
      </c>
      <c r="AX315" s="2882">
        <f t="shared" si="761"/>
        <v>3.9746658687412832</v>
      </c>
      <c r="AY315" s="2882">
        <f t="shared" si="761"/>
        <v>3.9652791477608957</v>
      </c>
      <c r="AZ315" s="2882">
        <f t="shared" si="761"/>
        <v>4.705306921007562</v>
      </c>
      <c r="BA315" s="2882">
        <f t="shared" si="761"/>
        <v>5.290826661522118</v>
      </c>
      <c r="BB315" s="2882">
        <f t="shared" si="761"/>
        <v>5.3527747134155135</v>
      </c>
      <c r="BC315" s="2882">
        <f t="shared" si="762"/>
        <v>5.6783681214421335</v>
      </c>
      <c r="BD315" s="2882">
        <f t="shared" si="762"/>
        <v>5.9559957023403598</v>
      </c>
      <c r="BE315" s="2882">
        <f t="shared" si="762"/>
        <v>7.0496083550913795</v>
      </c>
      <c r="BF315" s="2882">
        <f t="shared" si="762"/>
        <v>8.4862280901434133</v>
      </c>
      <c r="BG315" s="2882">
        <f t="shared" si="763"/>
        <v>11.110113570049833</v>
      </c>
      <c r="BH315" s="2882">
        <f t="shared" si="764"/>
        <v>12.939776033859431</v>
      </c>
      <c r="BI315" s="2882">
        <f t="shared" si="765"/>
        <v>12.558836114676964</v>
      </c>
      <c r="BJ315" s="2882">
        <f t="shared" si="766"/>
        <v>12.035754752612362</v>
      </c>
      <c r="BK315" s="2882">
        <f t="shared" si="766"/>
        <v>10.556722689075613</v>
      </c>
      <c r="BL315" s="2882">
        <f t="shared" si="766"/>
        <v>6.7650388413944142</v>
      </c>
      <c r="BM315" s="2882">
        <f t="shared" si="767"/>
        <v>4.4136095799277513</v>
      </c>
      <c r="BN315" s="2882">
        <f t="shared" si="768"/>
        <v>1.6556167359628233</v>
      </c>
      <c r="BO315" s="2882">
        <f t="shared" si="769"/>
        <v>-1.6298191120043697</v>
      </c>
      <c r="BP315" s="2882">
        <f t="shared" si="770"/>
        <v>-1.7623400365630744</v>
      </c>
      <c r="BQ315" s="2882">
        <f t="shared" si="771"/>
        <v>-1.5619311148328876</v>
      </c>
      <c r="BR315" s="2882">
        <f t="shared" si="772"/>
        <v>-1.020671358561458</v>
      </c>
      <c r="BS315" s="2882">
        <f t="shared" si="773"/>
        <v>0.10773059920501282</v>
      </c>
      <c r="BT315" s="2882">
        <f t="shared" si="774"/>
        <v>1.0942384993300607</v>
      </c>
      <c r="BU315" s="2882">
        <f t="shared" si="775"/>
        <v>1.7827421681399613</v>
      </c>
      <c r="BV315" s="2882">
        <f t="shared" si="776"/>
        <v>2.0363338545156751</v>
      </c>
      <c r="BW315" s="2882">
        <f t="shared" si="776"/>
        <v>2.5753302656968913</v>
      </c>
      <c r="BX315" s="2882">
        <f t="shared" si="776"/>
        <v>3.0005154259627318</v>
      </c>
      <c r="BY315" s="2882">
        <f t="shared" si="776"/>
        <v>2.8780115556524635</v>
      </c>
      <c r="BZ315" s="2882">
        <f t="shared" si="776"/>
        <v>3.1048195848079274</v>
      </c>
      <c r="CA315" s="2882">
        <f t="shared" si="777"/>
        <v>2.2248751899283832</v>
      </c>
      <c r="CB315" s="2882">
        <f t="shared" si="778"/>
        <v>2.1303213353826465</v>
      </c>
      <c r="CC315" s="2882">
        <f t="shared" si="779"/>
        <v>1.8367419024407354</v>
      </c>
      <c r="CD315" s="2882">
        <f t="shared" si="779"/>
        <v>1.2243453644727538</v>
      </c>
      <c r="CE315" s="2882">
        <f t="shared" si="779"/>
        <v>1.0864564532682124</v>
      </c>
      <c r="CF315" s="2882">
        <f t="shared" si="779"/>
        <v>0.88545130017847384</v>
      </c>
      <c r="CG315" s="2882">
        <f t="shared" si="779"/>
        <v>1.9284797613679672</v>
      </c>
      <c r="CH315" s="2882">
        <f t="shared" si="779"/>
        <v>2.4994756344822804</v>
      </c>
      <c r="CI315" s="2882">
        <f t="shared" si="780"/>
        <v>3.217336507491936</v>
      </c>
      <c r="CJ315" s="2882">
        <f t="shared" si="780"/>
        <v>3.3650176923610644</v>
      </c>
      <c r="CK315" s="2882">
        <f t="shared" si="780"/>
        <v>3.2973763909211584</v>
      </c>
      <c r="CL315" s="2882">
        <f t="shared" si="780"/>
        <v>3.5674090242487893</v>
      </c>
      <c r="CM315" s="2882">
        <f t="shared" si="780"/>
        <v>3.6834786147949643</v>
      </c>
      <c r="CN315" s="2882">
        <f t="shared" si="780"/>
        <v>3.2420459122029825</v>
      </c>
      <c r="CO315" s="2882">
        <f t="shared" si="780"/>
        <v>2.9681117406773012</v>
      </c>
      <c r="CP315" s="2882">
        <f t="shared" si="780"/>
        <v>2.7365231995258199</v>
      </c>
      <c r="CQ315" s="2882">
        <f t="shared" si="781"/>
        <v>3.3563413916058806</v>
      </c>
      <c r="CR315" s="2882">
        <f t="shared" si="782"/>
        <v>5.2597360379689206</v>
      </c>
      <c r="CS315" s="2882">
        <f t="shared" si="783"/>
        <v>6.4145631378571295</v>
      </c>
      <c r="CT315" s="2882">
        <f t="shared" si="784"/>
        <v>5.0900698762741143</v>
      </c>
      <c r="CU315" s="2883">
        <v>4.5240739011595199</v>
      </c>
      <c r="CV315" s="2883">
        <v>3.7792475150509652</v>
      </c>
      <c r="CW315" s="2883">
        <v>3.1866599149859898</v>
      </c>
      <c r="CX315" s="2883">
        <v>4.9446622371182691</v>
      </c>
      <c r="CY315" s="2883">
        <v>5.326212852339629</v>
      </c>
      <c r="CZ315" s="2883">
        <v>4.695714436014331</v>
      </c>
      <c r="DA315" s="2883">
        <v>4.0738347686796184</v>
      </c>
      <c r="DB315" s="2883">
        <v>3.4509956826684673</v>
      </c>
    </row>
    <row r="316" spans="1:119">
      <c r="C316" s="674"/>
      <c r="D316" s="717"/>
      <c r="E316" s="3636" t="s">
        <v>52</v>
      </c>
      <c r="F316" s="3634"/>
      <c r="G316" s="2854"/>
      <c r="H316" s="2854"/>
      <c r="I316" s="2854"/>
      <c r="J316" s="2854"/>
      <c r="K316" s="2854"/>
      <c r="L316" s="2854"/>
      <c r="M316" s="2854"/>
      <c r="N316" s="2854"/>
      <c r="O316" s="2854"/>
      <c r="P316" s="2854"/>
      <c r="Q316" s="2854"/>
      <c r="R316" s="2854">
        <f t="shared" ca="1" si="758"/>
        <v>9.0939160791010778</v>
      </c>
      <c r="S316" s="2854">
        <f t="shared" ca="1" si="758"/>
        <v>6.4991208813508905</v>
      </c>
      <c r="T316" s="2854">
        <f t="shared" ca="1" si="758"/>
        <v>6.5753676894120758</v>
      </c>
      <c r="U316" s="2854">
        <f t="shared" ca="1" si="758"/>
        <v>4.6444800867034672</v>
      </c>
      <c r="V316" s="2854">
        <f t="shared" ca="1" si="758"/>
        <v>3.6869207262227235</v>
      </c>
      <c r="W316" s="2854">
        <f t="shared" ca="1" si="758"/>
        <v>2.6901220394979504</v>
      </c>
      <c r="X316" s="2854">
        <f t="shared" ca="1" si="758"/>
        <v>1.5593397974587191</v>
      </c>
      <c r="Y316" s="2854">
        <f t="shared" ca="1" si="759"/>
        <v>1.2443878323110624</v>
      </c>
      <c r="Z316" s="2854">
        <f t="shared" ca="1" si="759"/>
        <v>0.28498894576458156</v>
      </c>
      <c r="AA316" s="2854">
        <f t="shared" ca="1" si="759"/>
        <v>0.97019264343303746</v>
      </c>
      <c r="AB316" s="2854">
        <f t="shared" ca="1" si="759"/>
        <v>0.95327225507169544</v>
      </c>
      <c r="AC316" s="2854">
        <f t="shared" ca="1" si="759"/>
        <v>1.0208312647825437</v>
      </c>
      <c r="AD316" s="2854">
        <f t="shared" ca="1" si="759"/>
        <v>1.6006409566702047</v>
      </c>
      <c r="AE316" s="2854">
        <f t="shared" ca="1" si="759"/>
        <v>0.22242068667839021</v>
      </c>
      <c r="AF316" s="2854">
        <f t="shared" ca="1" si="759"/>
        <v>1.642409070335745</v>
      </c>
      <c r="AG316" s="2854">
        <f t="shared" ca="1" si="759"/>
        <v>2.116623423740478</v>
      </c>
      <c r="AH316" s="2854">
        <f t="shared" ca="1" si="759"/>
        <v>2.0871908553238967</v>
      </c>
      <c r="AI316" s="2854">
        <f t="shared" ca="1" si="760"/>
        <v>2.5230943336383547</v>
      </c>
      <c r="AJ316" s="2854">
        <f t="shared" ca="1" si="760"/>
        <v>0.43142075084345777</v>
      </c>
      <c r="AK316" s="2854">
        <f t="shared" ca="1" si="760"/>
        <v>-0.82251861091003775</v>
      </c>
      <c r="AL316" s="2854">
        <f t="shared" ca="1" si="760"/>
        <v>-1.018359286744726</v>
      </c>
      <c r="AM316" s="2854">
        <f t="shared" ca="1" si="760"/>
        <v>36.945703672381228</v>
      </c>
      <c r="AN316" s="2854">
        <f t="shared" ca="1" si="760"/>
        <v>38.249290293967022</v>
      </c>
      <c r="AO316" s="2854">
        <f t="shared" ca="1" si="760"/>
        <v>37.97201828194261</v>
      </c>
      <c r="AP316" s="2854">
        <f t="shared" ca="1" si="760"/>
        <v>37.567489085708218</v>
      </c>
      <c r="AQ316" s="2854">
        <f t="shared" ca="1" si="760"/>
        <v>-28.930445746129195</v>
      </c>
      <c r="AR316" s="2854">
        <f t="shared" ca="1" si="760"/>
        <v>-27.773290560224467</v>
      </c>
      <c r="AS316" s="2854">
        <f t="shared" ca="1" si="761"/>
        <v>-26.421422712373342</v>
      </c>
      <c r="AT316" s="2854">
        <f t="shared" ca="1" si="761"/>
        <v>-26.005921091547165</v>
      </c>
      <c r="AU316" s="2854">
        <f ca="1">+AU282/AQ282*100-100</f>
        <v>3.1305650511024226</v>
      </c>
      <c r="AV316" s="2854">
        <f t="shared" ca="1" si="761"/>
        <v>2.3940704069182317</v>
      </c>
      <c r="AW316" s="2854">
        <f t="shared" ca="1" si="761"/>
        <v>2.235879998800641</v>
      </c>
      <c r="AX316" s="2854">
        <f t="shared" ca="1" si="761"/>
        <v>2.9720474370264611</v>
      </c>
      <c r="AY316" s="2854">
        <f t="shared" ca="1" si="761"/>
        <v>3.3246727086280998</v>
      </c>
      <c r="AZ316" s="2854">
        <f t="shared" ca="1" si="761"/>
        <v>3.5698507539310356</v>
      </c>
      <c r="BA316" s="2854">
        <f t="shared" ca="1" si="761"/>
        <v>3.9764270719422825</v>
      </c>
      <c r="BB316" s="2854">
        <f t="shared" ca="1" si="761"/>
        <v>4.2071894371358525</v>
      </c>
      <c r="BC316" s="2854">
        <f t="shared" ca="1" si="762"/>
        <v>4.3656732098340711</v>
      </c>
      <c r="BD316" s="2854">
        <f t="shared" ca="1" si="762"/>
        <v>4.945525732646459</v>
      </c>
      <c r="BE316" s="2854">
        <f t="shared" ca="1" si="762"/>
        <v>5.9162182264645367</v>
      </c>
      <c r="BF316" s="2854">
        <f t="shared" ca="1" si="762"/>
        <v>7.9127435962338382</v>
      </c>
      <c r="BG316" s="2854">
        <f t="shared" ca="1" si="763"/>
        <v>10.77445830605555</v>
      </c>
      <c r="BH316" s="2854">
        <f t="shared" ca="1" si="764"/>
        <v>12.275273697616711</v>
      </c>
      <c r="BI316" s="2854">
        <f t="shared" ca="1" si="765"/>
        <v>11.970554768147551</v>
      </c>
      <c r="BJ316" s="2854">
        <f t="shared" ref="BJ316:BL317" ca="1" si="785">+BJ282/BF282*100-100</f>
        <v>9.4247836812170647</v>
      </c>
      <c r="BK316" s="2854">
        <f t="shared" ca="1" si="785"/>
        <v>8.4437857666377312</v>
      </c>
      <c r="BL316" s="2866">
        <f t="shared" ca="1" si="785"/>
        <v>4.8862104352241715</v>
      </c>
      <c r="BM316" s="2866">
        <f t="shared" ca="1" si="767"/>
        <v>2.3852799055889449</v>
      </c>
      <c r="BN316" s="2866">
        <f t="shared" ca="1" si="768"/>
        <v>1.1463312072906575</v>
      </c>
      <c r="BO316" s="2854">
        <f t="shared" ca="1" si="769"/>
        <v>-0.40204451218978932</v>
      </c>
      <c r="BP316" s="2866">
        <f t="shared" ca="1" si="770"/>
        <v>0.55964202457565193</v>
      </c>
      <c r="BQ316" s="2866">
        <f t="shared" ca="1" si="771"/>
        <v>1.7831244876144012</v>
      </c>
      <c r="BR316" s="2866">
        <f t="shared" ca="1" si="772"/>
        <v>2.931811865113005</v>
      </c>
      <c r="BS316" s="2854">
        <f t="shared" ca="1" si="773"/>
        <v>3.2198296089618168</v>
      </c>
      <c r="BT316" s="2866">
        <f t="shared" ca="1" si="774"/>
        <v>4.7327108120605317</v>
      </c>
      <c r="BU316" s="2866">
        <f t="shared" ca="1" si="775"/>
        <v>4.5744794796754036</v>
      </c>
      <c r="BV316" s="2866">
        <f ca="1">+BV282/BR282*100-100</f>
        <v>4.0543437792466079</v>
      </c>
      <c r="BW316" s="2866">
        <f t="shared" ref="BW316:CH317" ca="1" si="786">+BW282/BS282*100-100</f>
        <v>3.6382121598266934</v>
      </c>
      <c r="BX316" s="2866">
        <f t="shared" ca="1" si="786"/>
        <v>2.8447358600420074</v>
      </c>
      <c r="BY316" s="2866">
        <f ca="1">+BY282/BU282*100-100</f>
        <v>3.2328741421467271</v>
      </c>
      <c r="BZ316" s="2866">
        <f t="shared" ca="1" si="786"/>
        <v>2.9942553637918508</v>
      </c>
      <c r="CA316" s="2866">
        <f t="shared" ca="1" si="777"/>
        <v>2.2128950976594552</v>
      </c>
      <c r="CB316" s="2866">
        <f t="shared" ca="1" si="778"/>
        <v>1.3936010949206121</v>
      </c>
      <c r="CC316" s="2866">
        <f t="shared" ca="1" si="786"/>
        <v>0.544119533062144</v>
      </c>
      <c r="CD316" s="2866">
        <f t="shared" ca="1" si="786"/>
        <v>0.49826460621136448</v>
      </c>
      <c r="CE316" s="2866">
        <f t="shared" ca="1" si="786"/>
        <v>0.30778324993059414</v>
      </c>
      <c r="CF316" s="2866">
        <f t="shared" ca="1" si="786"/>
        <v>0.21688232448298095</v>
      </c>
      <c r="CG316" s="2866">
        <f t="shared" ca="1" si="786"/>
        <v>0.24228140837416845</v>
      </c>
      <c r="CH316" s="2866">
        <f t="shared" ca="1" si="786"/>
        <v>0.17429873938439755</v>
      </c>
      <c r="CI316" s="2866">
        <f t="shared" ref="CI316:CP316" ca="1" si="787">+CI282/CE282*100-100</f>
        <v>-1.2991271504266138</v>
      </c>
      <c r="CJ316" s="2866">
        <f t="shared" ca="1" si="787"/>
        <v>-0.29226033802027018</v>
      </c>
      <c r="CK316" s="2866">
        <f t="shared" ca="1" si="787"/>
        <v>-0.66403430877610958</v>
      </c>
      <c r="CL316" s="2866">
        <f t="shared" ca="1" si="787"/>
        <v>-0.37025413901122306</v>
      </c>
      <c r="CM316" s="2866">
        <f t="shared" ca="1" si="787"/>
        <v>0.6874463859162887</v>
      </c>
      <c r="CN316" s="2866">
        <f t="shared" ca="1" si="787"/>
        <v>0.46646439800738904</v>
      </c>
      <c r="CO316" s="2866">
        <f t="shared" ca="1" si="787"/>
        <v>0.40148688455245463</v>
      </c>
      <c r="CP316" s="2866">
        <f t="shared" ca="1" si="787"/>
        <v>1.2463909081876494</v>
      </c>
      <c r="CQ316" s="2866">
        <f t="shared" ref="CQ316:CX316" ca="1" si="788">+CQ282/CM282*100-100</f>
        <v>2.9554663441353313</v>
      </c>
      <c r="CR316" s="2866">
        <f t="shared" ca="1" si="788"/>
        <v>3.4071082454399431</v>
      </c>
      <c r="CS316" s="2866">
        <f t="shared" ca="1" si="788"/>
        <v>4.4491285396125306</v>
      </c>
      <c r="CT316" s="2866">
        <f t="shared" ca="1" si="788"/>
        <v>4.0591318491850217</v>
      </c>
      <c r="CU316" s="2866">
        <f t="shared" ca="1" si="788"/>
        <v>3.2003427940795461</v>
      </c>
      <c r="CV316" s="2866">
        <f t="shared" ca="1" si="788"/>
        <v>2.7000996405354982</v>
      </c>
      <c r="CW316" s="2866">
        <f t="shared" ca="1" si="788"/>
        <v>2.6728413706528471</v>
      </c>
      <c r="CX316" s="2866">
        <f t="shared" ca="1" si="788"/>
        <v>2.6731374763846674</v>
      </c>
      <c r="CY316" s="2866">
        <f t="shared" ref="CY316" ca="1" si="789">+CY282/CU282*100-100</f>
        <v>2.7085884536913909</v>
      </c>
      <c r="CZ316" s="2866">
        <f t="shared" ref="CZ316" ca="1" si="790">+CZ282/CV282*100-100</f>
        <v>2.5208338919720461</v>
      </c>
      <c r="DA316" s="2866">
        <f t="shared" ref="DA316" ca="1" si="791">+DA282/CW282*100-100</f>
        <v>2.2255013487630464</v>
      </c>
      <c r="DB316" s="2866">
        <f t="shared" ref="DB316" ca="1" si="792">+DB282/CX282*100-100</f>
        <v>1.939395359138814</v>
      </c>
    </row>
    <row r="317" spans="1:119">
      <c r="B317" s="665">
        <v>25</v>
      </c>
      <c r="C317" s="674"/>
      <c r="D317" s="717"/>
      <c r="E317" s="3636" t="str">
        <f>+E308</f>
        <v>HICP</v>
      </c>
      <c r="F317" s="3634"/>
      <c r="G317" s="2854"/>
      <c r="H317" s="2854"/>
      <c r="I317" s="2854"/>
      <c r="J317" s="2854"/>
      <c r="K317" s="2854" t="e">
        <f t="shared" ref="K317:T317" si="793">+K283/G283*100-100</f>
        <v>#VALUE!</v>
      </c>
      <c r="L317" s="2854" t="e">
        <f t="shared" si="793"/>
        <v>#VALUE!</v>
      </c>
      <c r="M317" s="2854" t="e">
        <f t="shared" si="793"/>
        <v>#VALUE!</v>
      </c>
      <c r="N317" s="2854" t="e">
        <f t="shared" si="793"/>
        <v>#VALUE!</v>
      </c>
      <c r="O317" s="2854">
        <f t="shared" si="793"/>
        <v>13.133696309739861</v>
      </c>
      <c r="P317" s="2854">
        <f t="shared" si="793"/>
        <v>9.3338744275030479</v>
      </c>
      <c r="Q317" s="2854">
        <f t="shared" si="793"/>
        <v>9.9323704722604305</v>
      </c>
      <c r="R317" s="2854">
        <f t="shared" si="793"/>
        <v>9.0350681259772045</v>
      </c>
      <c r="S317" s="2854">
        <f t="shared" si="793"/>
        <v>6.5290626169723538</v>
      </c>
      <c r="T317" s="2854">
        <f t="shared" si="793"/>
        <v>6.6069250755607385</v>
      </c>
      <c r="U317" s="2854">
        <f t="shared" ref="U317:AD317" si="794">+U283/Q283*100-100</f>
        <v>4.6869297742557592</v>
      </c>
      <c r="V317" s="2854">
        <f t="shared" si="794"/>
        <v>3.7334835603810319</v>
      </c>
      <c r="W317" s="2854">
        <f t="shared" si="794"/>
        <v>2.6955124987450887</v>
      </c>
      <c r="X317" s="2854">
        <f t="shared" si="794"/>
        <v>1.5568266600348295</v>
      </c>
      <c r="Y317" s="2854">
        <f t="shared" si="794"/>
        <v>1.2450199203187395</v>
      </c>
      <c r="Z317" s="2854">
        <f t="shared" si="794"/>
        <v>0.29622315477659811</v>
      </c>
      <c r="AA317" s="2854">
        <f t="shared" si="794"/>
        <v>0.93357446600519722</v>
      </c>
      <c r="AB317" s="2854">
        <f t="shared" si="794"/>
        <v>0.91585855617593381</v>
      </c>
      <c r="AC317" s="2854">
        <f t="shared" si="794"/>
        <v>0.98376783079194752</v>
      </c>
      <c r="AD317" s="2854">
        <f t="shared" si="794"/>
        <v>1.5456559192714678</v>
      </c>
      <c r="AE317" s="2854">
        <f t="shared" ref="AE317:AN317" si="795">+AE283/AA283*100-100</f>
        <v>0.25665859564165316</v>
      </c>
      <c r="AF317" s="2854">
        <f t="shared" si="795"/>
        <v>1.6646445037612239</v>
      </c>
      <c r="AG317" s="2854">
        <f t="shared" si="795"/>
        <v>2.1480759863613912</v>
      </c>
      <c r="AH317" s="2854">
        <f t="shared" si="795"/>
        <v>2.1329196761840024</v>
      </c>
      <c r="AI317" s="2854">
        <f t="shared" si="795"/>
        <v>2.55518523885425</v>
      </c>
      <c r="AJ317" s="2854">
        <f t="shared" si="795"/>
        <v>0.50124116860799006</v>
      </c>
      <c r="AK317" s="2854">
        <f t="shared" si="795"/>
        <v>-0.74865290162604481</v>
      </c>
      <c r="AL317" s="2854">
        <f t="shared" si="795"/>
        <v>-0.93027670985809152</v>
      </c>
      <c r="AM317" s="2854">
        <f t="shared" si="795"/>
        <v>-1.5919366993217778</v>
      </c>
      <c r="AN317" s="2854">
        <f t="shared" si="795"/>
        <v>-0.66023844582720415</v>
      </c>
      <c r="AO317" s="2854">
        <f t="shared" ref="AO317:AX317" si="796">+AO283/AK283*100-100</f>
        <v>-0.85999807821660568</v>
      </c>
      <c r="AP317" s="2854">
        <f t="shared" si="796"/>
        <v>-1.1881377856561244</v>
      </c>
      <c r="AQ317" s="2854">
        <f t="shared" si="796"/>
        <v>-1.1103666124246132</v>
      </c>
      <c r="AR317" s="2854">
        <f t="shared" si="796"/>
        <v>0.47814860858754571</v>
      </c>
      <c r="AS317" s="2854">
        <f t="shared" si="796"/>
        <v>2.345529440271406</v>
      </c>
      <c r="AT317" s="2854">
        <f t="shared" si="796"/>
        <v>2.943030303030298</v>
      </c>
      <c r="AU317" s="2854">
        <f t="shared" si="796"/>
        <v>3.1071532281482916</v>
      </c>
      <c r="AV317" s="2854">
        <f t="shared" si="796"/>
        <v>2.3793661368611367</v>
      </c>
      <c r="AW317" s="2854">
        <f t="shared" si="796"/>
        <v>2.2349543065486159</v>
      </c>
      <c r="AX317" s="2854">
        <f t="shared" si="796"/>
        <v>2.9719291635267524</v>
      </c>
      <c r="AY317" s="2854">
        <f t="shared" ref="AY317:BF317" si="797">+AY283/AU283*100-100</f>
        <v>3.3139316560270515</v>
      </c>
      <c r="AZ317" s="2854">
        <f t="shared" si="797"/>
        <v>3.5604722506274982</v>
      </c>
      <c r="BA317" s="2854">
        <f t="shared" si="797"/>
        <v>3.9507202074938732</v>
      </c>
      <c r="BB317" s="2854">
        <f t="shared" si="797"/>
        <v>4.1897269359191398</v>
      </c>
      <c r="BC317" s="2854">
        <f t="shared" si="797"/>
        <v>4.3889141299409289</v>
      </c>
      <c r="BD317" s="2854">
        <f t="shared" si="797"/>
        <v>4.9640933572711106</v>
      </c>
      <c r="BE317" s="2854">
        <f t="shared" si="797"/>
        <v>5.9347709855640716</v>
      </c>
      <c r="BF317" s="2854">
        <f t="shared" si="797"/>
        <v>7.9195750471925663</v>
      </c>
      <c r="BG317" s="2854">
        <f t="shared" si="763"/>
        <v>10.772110027855149</v>
      </c>
      <c r="BH317" s="2854">
        <f t="shared" si="764"/>
        <v>12.272299666467106</v>
      </c>
      <c r="BI317" s="2854">
        <f t="shared" si="765"/>
        <v>11.961641991924637</v>
      </c>
      <c r="BJ317" s="2854">
        <f t="shared" ca="1" si="785"/>
        <v>9.4247836812170647</v>
      </c>
      <c r="BK317" s="2854">
        <f t="shared" ca="1" si="785"/>
        <v>8.4437857666377312</v>
      </c>
      <c r="BL317" s="2854">
        <f t="shared" ca="1" si="785"/>
        <v>4.8862104352241715</v>
      </c>
      <c r="BM317" s="2854">
        <f t="shared" ca="1" si="767"/>
        <v>2.3852799055889449</v>
      </c>
      <c r="BN317" s="2854">
        <f t="shared" ca="1" si="768"/>
        <v>1.1463312072906575</v>
      </c>
      <c r="BO317" s="2854">
        <f t="shared" ca="1" si="769"/>
        <v>-0.40204451218980353</v>
      </c>
      <c r="BP317" s="2854">
        <f t="shared" ca="1" si="770"/>
        <v>0.55964202457565193</v>
      </c>
      <c r="BQ317" s="2854">
        <f t="shared" ca="1" si="771"/>
        <v>1.7831244876144012</v>
      </c>
      <c r="BR317" s="2854">
        <f t="shared" ca="1" si="772"/>
        <v>2.931811865113005</v>
      </c>
      <c r="BS317" s="2854">
        <f t="shared" ca="1" si="773"/>
        <v>3.2198296089618168</v>
      </c>
      <c r="BT317" s="2854">
        <f t="shared" ca="1" si="774"/>
        <v>4.7327108120605317</v>
      </c>
      <c r="BU317" s="2854">
        <f t="shared" ca="1" si="775"/>
        <v>4.5744794796754036</v>
      </c>
      <c r="BV317" s="2854">
        <f ca="1">+BV283/BR283*100-100</f>
        <v>4.0543437792466079</v>
      </c>
      <c r="BW317" s="2854">
        <f t="shared" ca="1" si="786"/>
        <v>3.6382121598266934</v>
      </c>
      <c r="BX317" s="2854">
        <f t="shared" ca="1" si="786"/>
        <v>2.8447358600420074</v>
      </c>
      <c r="BY317" s="2854">
        <f t="shared" ca="1" si="786"/>
        <v>3.2328741421467271</v>
      </c>
      <c r="BZ317" s="2854">
        <f ca="1">+BZ283/BV283*100-100</f>
        <v>2.9942553637918508</v>
      </c>
      <c r="CA317" s="2854">
        <f t="shared" ca="1" si="777"/>
        <v>2.2128950976594552</v>
      </c>
      <c r="CB317" s="2854">
        <f t="shared" ca="1" si="778"/>
        <v>1.3936010949206121</v>
      </c>
      <c r="CC317" s="2854">
        <f t="shared" ca="1" si="786"/>
        <v>0.544119533062144</v>
      </c>
      <c r="CD317" s="2854">
        <f t="shared" ref="CD317:CI317" ca="1" si="798">+CD283/BZ283*100-100</f>
        <v>0.49826460621136448</v>
      </c>
      <c r="CE317" s="2854">
        <f t="shared" ca="1" si="798"/>
        <v>0.30778324993059414</v>
      </c>
      <c r="CF317" s="2854">
        <f t="shared" ca="1" si="798"/>
        <v>0.21688232448298095</v>
      </c>
      <c r="CG317" s="2854">
        <f t="shared" ca="1" si="798"/>
        <v>0.24228140837416845</v>
      </c>
      <c r="CH317" s="2854">
        <f t="shared" ca="1" si="798"/>
        <v>0.17429873938439755</v>
      </c>
      <c r="CI317" s="2854">
        <f t="shared" ca="1" si="798"/>
        <v>-1.2991271504265995</v>
      </c>
      <c r="CJ317" s="1423">
        <f t="shared" ref="CJ317:CP317" ca="1" si="799">+CJ316</f>
        <v>-0.29226033802027018</v>
      </c>
      <c r="CK317" s="1423">
        <f t="shared" ca="1" si="799"/>
        <v>-0.66403430877610958</v>
      </c>
      <c r="CL317" s="1423">
        <f t="shared" ca="1" si="799"/>
        <v>-0.37025413901122306</v>
      </c>
      <c r="CM317" s="1423">
        <f t="shared" ca="1" si="799"/>
        <v>0.6874463859162887</v>
      </c>
      <c r="CN317" s="1423">
        <f t="shared" ca="1" si="799"/>
        <v>0.46646439800738904</v>
      </c>
      <c r="CO317" s="1423">
        <f t="shared" ca="1" si="799"/>
        <v>0.40148688455245463</v>
      </c>
      <c r="CP317" s="1423">
        <f t="shared" ca="1" si="799"/>
        <v>1.2463909081876494</v>
      </c>
      <c r="CQ317" s="1423">
        <f t="shared" ref="CQ317:CX317" ca="1" si="800">+CQ316</f>
        <v>2.9554663441353313</v>
      </c>
      <c r="CR317" s="1423">
        <f t="shared" ca="1" si="800"/>
        <v>3.4071082454399431</v>
      </c>
      <c r="CS317" s="1423">
        <f t="shared" ca="1" si="800"/>
        <v>4.4491285396125306</v>
      </c>
      <c r="CT317" s="1423">
        <f t="shared" ca="1" si="800"/>
        <v>4.0591318491850217</v>
      </c>
      <c r="CU317" s="1423">
        <f t="shared" ca="1" si="800"/>
        <v>3.2003427940795461</v>
      </c>
      <c r="CV317" s="1423">
        <f t="shared" ca="1" si="800"/>
        <v>2.7000996405354982</v>
      </c>
      <c r="CW317" s="1423">
        <f t="shared" ca="1" si="800"/>
        <v>2.6728413706528471</v>
      </c>
      <c r="CX317" s="1423">
        <f t="shared" ca="1" si="800"/>
        <v>2.6731374763846674</v>
      </c>
      <c r="CY317" s="1423">
        <f t="shared" ref="CY317:DB317" ca="1" si="801">+CY316</f>
        <v>2.7085884536913909</v>
      </c>
      <c r="CZ317" s="1423">
        <f t="shared" ca="1" si="801"/>
        <v>2.5208338919720461</v>
      </c>
      <c r="DA317" s="1423">
        <f t="shared" ca="1" si="801"/>
        <v>2.2255013487630464</v>
      </c>
      <c r="DB317" s="1423">
        <f t="shared" ca="1" si="801"/>
        <v>1.939395359138814</v>
      </c>
    </row>
    <row r="318" spans="1:119" s="1003" customFormat="1">
      <c r="A318" s="673"/>
      <c r="B318" s="673"/>
      <c r="C318" s="1007"/>
      <c r="D318" s="1008"/>
      <c r="E318" s="1009" t="s">
        <v>814</v>
      </c>
      <c r="F318" s="1008"/>
      <c r="G318" s="1010"/>
      <c r="H318" s="1010"/>
      <c r="I318" s="1010"/>
      <c r="J318" s="1010"/>
      <c r="K318" s="2886"/>
      <c r="L318" s="2886"/>
      <c r="M318" s="2886"/>
      <c r="N318" s="2886"/>
      <c r="O318" s="2886"/>
      <c r="P318" s="2886"/>
      <c r="Q318" s="2886"/>
      <c r="R318" s="2886">
        <f t="shared" ref="R318:BF318" ca="1" si="802">+R317-R316</f>
        <v>-5.8847953123873253E-2</v>
      </c>
      <c r="S318" s="2886">
        <f t="shared" ca="1" si="802"/>
        <v>2.9941735621463295E-2</v>
      </c>
      <c r="T318" s="2886">
        <f t="shared" ca="1" si="802"/>
        <v>3.1557386148662658E-2</v>
      </c>
      <c r="U318" s="2886">
        <f t="shared" ca="1" si="802"/>
        <v>4.2449687552291948E-2</v>
      </c>
      <c r="V318" s="2886">
        <f t="shared" ca="1" si="802"/>
        <v>4.6562834158308419E-2</v>
      </c>
      <c r="W318" s="2886">
        <f t="shared" ca="1" si="802"/>
        <v>5.3904592471383239E-3</v>
      </c>
      <c r="X318" s="2886">
        <f t="shared" ca="1" si="802"/>
        <v>-2.5131374238895887E-3</v>
      </c>
      <c r="Y318" s="2886">
        <f t="shared" ca="1" si="802"/>
        <v>6.3208800767711182E-4</v>
      </c>
      <c r="Z318" s="2886">
        <f t="shared" ca="1" si="802"/>
        <v>1.1234209012016549E-2</v>
      </c>
      <c r="AA318" s="2886">
        <f t="shared" ca="1" si="802"/>
        <v>-3.6618177427840237E-2</v>
      </c>
      <c r="AB318" s="2886">
        <f t="shared" ca="1" si="802"/>
        <v>-3.7413698895761627E-2</v>
      </c>
      <c r="AC318" s="2886">
        <f t="shared" ca="1" si="802"/>
        <v>-3.7063433990596195E-2</v>
      </c>
      <c r="AD318" s="2886">
        <f t="shared" ca="1" si="802"/>
        <v>-5.4985037398736836E-2</v>
      </c>
      <c r="AE318" s="2886">
        <f t="shared" ca="1" si="802"/>
        <v>3.4237908963262953E-2</v>
      </c>
      <c r="AF318" s="2886">
        <f t="shared" ca="1" si="802"/>
        <v>2.2235433425478845E-2</v>
      </c>
      <c r="AG318" s="2886">
        <f t="shared" ca="1" si="802"/>
        <v>3.1452562620913227E-2</v>
      </c>
      <c r="AH318" s="2886">
        <f t="shared" ca="1" si="802"/>
        <v>4.5728820860105657E-2</v>
      </c>
      <c r="AI318" s="2886">
        <f t="shared" ca="1" si="802"/>
        <v>3.2090905215895305E-2</v>
      </c>
      <c r="AJ318" s="2886">
        <f t="shared" ca="1" si="802"/>
        <v>6.9820417764532294E-2</v>
      </c>
      <c r="AK318" s="2886">
        <f t="shared" ca="1" si="802"/>
        <v>7.3865709283992942E-2</v>
      </c>
      <c r="AL318" s="2886">
        <f t="shared" ca="1" si="802"/>
        <v>8.8082576886634456E-2</v>
      </c>
      <c r="AM318" s="2886">
        <f t="shared" ca="1" si="802"/>
        <v>-38.537640371703006</v>
      </c>
      <c r="AN318" s="2886">
        <f t="shared" ca="1" si="802"/>
        <v>-38.909528739794226</v>
      </c>
      <c r="AO318" s="2886">
        <f t="shared" ca="1" si="802"/>
        <v>-38.832016360159216</v>
      </c>
      <c r="AP318" s="2886">
        <f t="shared" ca="1" si="802"/>
        <v>-38.755626871364342</v>
      </c>
      <c r="AQ318" s="2886">
        <f t="shared" ca="1" si="802"/>
        <v>27.820079133704581</v>
      </c>
      <c r="AR318" s="2886">
        <f t="shared" ca="1" si="802"/>
        <v>28.251439168812013</v>
      </c>
      <c r="AS318" s="2886">
        <f t="shared" ca="1" si="802"/>
        <v>28.766952152644748</v>
      </c>
      <c r="AT318" s="2886">
        <f t="shared" ca="1" si="802"/>
        <v>28.948951394577463</v>
      </c>
      <c r="AU318" s="2886">
        <f t="shared" ca="1" si="802"/>
        <v>-2.3411822954130912E-2</v>
      </c>
      <c r="AV318" s="2886">
        <f t="shared" ca="1" si="802"/>
        <v>-1.4704270057094959E-2</v>
      </c>
      <c r="AW318" s="2886">
        <f t="shared" ca="1" si="802"/>
        <v>-9.2569225202510097E-4</v>
      </c>
      <c r="AX318" s="2886">
        <f t="shared" ca="1" si="802"/>
        <v>-1.1827349970872092E-4</v>
      </c>
      <c r="AY318" s="2886">
        <f t="shared" ca="1" si="802"/>
        <v>-1.0741052601048295E-2</v>
      </c>
      <c r="AZ318" s="2886">
        <f t="shared" ca="1" si="802"/>
        <v>-9.3785033035373999E-3</v>
      </c>
      <c r="BA318" s="2886">
        <f t="shared" ca="1" si="802"/>
        <v>-2.5706864448409306E-2</v>
      </c>
      <c r="BB318" s="2886">
        <f t="shared" ca="1" si="802"/>
        <v>-1.7462501216712667E-2</v>
      </c>
      <c r="BC318" s="2886">
        <f t="shared" ca="1" si="802"/>
        <v>2.3240920106857743E-2</v>
      </c>
      <c r="BD318" s="2886">
        <f t="shared" ca="1" si="802"/>
        <v>1.8567624624651557E-2</v>
      </c>
      <c r="BE318" s="2886">
        <f t="shared" ca="1" si="802"/>
        <v>1.855275909953491E-2</v>
      </c>
      <c r="BF318" s="2886">
        <f t="shared" ca="1" si="802"/>
        <v>6.8314509587281691E-3</v>
      </c>
      <c r="BG318" s="2886">
        <f t="shared" ref="BG318:BN318" ca="1" si="803">+BG317-BG316</f>
        <v>-2.348278200400955E-3</v>
      </c>
      <c r="BH318" s="2886">
        <f t="shared" ca="1" si="803"/>
        <v>-2.9740311496055938E-3</v>
      </c>
      <c r="BI318" s="2886">
        <f t="shared" ca="1" si="803"/>
        <v>-8.9127762229139762E-3</v>
      </c>
      <c r="BJ318" s="2886">
        <f t="shared" ca="1" si="803"/>
        <v>0</v>
      </c>
      <c r="BK318" s="2886">
        <f t="shared" ca="1" si="803"/>
        <v>0</v>
      </c>
      <c r="BL318" s="2886">
        <f t="shared" ca="1" si="803"/>
        <v>0</v>
      </c>
      <c r="BM318" s="2886">
        <f t="shared" ca="1" si="803"/>
        <v>0</v>
      </c>
      <c r="BN318" s="2886">
        <f t="shared" ca="1" si="803"/>
        <v>0</v>
      </c>
      <c r="BO318" s="2886">
        <f t="shared" ref="BO318:BZ318" ca="1" si="804">+BO317-BO316</f>
        <v>-1.4210854715202004E-14</v>
      </c>
      <c r="BP318" s="2886">
        <f t="shared" ca="1" si="804"/>
        <v>0</v>
      </c>
      <c r="BQ318" s="2886">
        <f t="shared" ca="1" si="804"/>
        <v>0</v>
      </c>
      <c r="BR318" s="2886">
        <f t="shared" ca="1" si="804"/>
        <v>0</v>
      </c>
      <c r="BS318" s="2886">
        <f ca="1">+BS317-BS316</f>
        <v>0</v>
      </c>
      <c r="BT318" s="2886">
        <f ca="1">+BT317-BT316</f>
        <v>0</v>
      </c>
      <c r="BU318" s="2886">
        <f ca="1">+BU317-BU316</f>
        <v>0</v>
      </c>
      <c r="BV318" s="2886">
        <f ca="1">+BV317-BV316</f>
        <v>0</v>
      </c>
      <c r="BW318" s="2886">
        <f t="shared" ca="1" si="804"/>
        <v>0</v>
      </c>
      <c r="BX318" s="2886">
        <f ca="1">+BX317-BX316</f>
        <v>0</v>
      </c>
      <c r="BY318" s="2886">
        <f ca="1">+BY317-BY316</f>
        <v>0</v>
      </c>
      <c r="BZ318" s="2886">
        <f t="shared" ca="1" si="804"/>
        <v>0</v>
      </c>
      <c r="CA318" s="2886">
        <f ca="1">+CA317-CA316</f>
        <v>0</v>
      </c>
      <c r="CB318" s="2886">
        <f ca="1">+CB317-CB316</f>
        <v>0</v>
      </c>
      <c r="CC318" s="2886">
        <f t="shared" ref="CC318:CH318" ca="1" si="805">+CC317-CC316</f>
        <v>0</v>
      </c>
      <c r="CD318" s="2886">
        <f t="shared" ca="1" si="805"/>
        <v>0</v>
      </c>
      <c r="CE318" s="2886">
        <f ca="1">+CE317-CE316</f>
        <v>0</v>
      </c>
      <c r="CF318" s="2886">
        <f ca="1">+CF317-CF316</f>
        <v>0</v>
      </c>
      <c r="CG318" s="2886">
        <f t="shared" ca="1" si="805"/>
        <v>0</v>
      </c>
      <c r="CH318" s="2886">
        <f t="shared" ca="1" si="805"/>
        <v>0</v>
      </c>
      <c r="CI318" s="2886">
        <f t="shared" ref="CI318:CP318" ca="1" si="806">+CI317-CI316</f>
        <v>1.4210854715202004E-14</v>
      </c>
      <c r="CJ318" s="2886">
        <f t="shared" ca="1" si="806"/>
        <v>0</v>
      </c>
      <c r="CK318" s="2886">
        <f t="shared" ca="1" si="806"/>
        <v>0</v>
      </c>
      <c r="CL318" s="2886">
        <f t="shared" ca="1" si="806"/>
        <v>0</v>
      </c>
      <c r="CM318" s="2886">
        <f t="shared" ca="1" si="806"/>
        <v>0</v>
      </c>
      <c r="CN318" s="2886">
        <f t="shared" ca="1" si="806"/>
        <v>0</v>
      </c>
      <c r="CO318" s="2886">
        <f t="shared" ca="1" si="806"/>
        <v>0</v>
      </c>
      <c r="CP318" s="2886">
        <f t="shared" ca="1" si="806"/>
        <v>0</v>
      </c>
      <c r="CQ318" s="2886">
        <f t="shared" ref="CQ318:CX318" ca="1" si="807">+CQ317-CQ316</f>
        <v>0</v>
      </c>
      <c r="CR318" s="2886">
        <f t="shared" ca="1" si="807"/>
        <v>0</v>
      </c>
      <c r="CS318" s="2886">
        <f t="shared" ca="1" si="807"/>
        <v>0</v>
      </c>
      <c r="CT318" s="2886">
        <f t="shared" ca="1" si="807"/>
        <v>0</v>
      </c>
      <c r="CU318" s="2886">
        <f t="shared" ca="1" si="807"/>
        <v>0</v>
      </c>
      <c r="CV318" s="2886">
        <f t="shared" ca="1" si="807"/>
        <v>0</v>
      </c>
      <c r="CW318" s="2886">
        <f t="shared" ca="1" si="807"/>
        <v>0</v>
      </c>
      <c r="CX318" s="2886">
        <f t="shared" ca="1" si="807"/>
        <v>0</v>
      </c>
      <c r="CY318" s="2886">
        <f t="shared" ref="CY318:DB318" ca="1" si="808">+CY317-CY316</f>
        <v>0</v>
      </c>
      <c r="CZ318" s="2886">
        <f t="shared" ca="1" si="808"/>
        <v>0</v>
      </c>
      <c r="DA318" s="2886">
        <f t="shared" ca="1" si="808"/>
        <v>0</v>
      </c>
      <c r="DB318" s="2886">
        <f t="shared" ca="1" si="808"/>
        <v>0</v>
      </c>
      <c r="DC318"/>
      <c r="DD318"/>
      <c r="DE318"/>
      <c r="DF318"/>
      <c r="DG318"/>
      <c r="DH318"/>
      <c r="DI318"/>
      <c r="DJ318"/>
      <c r="DK318"/>
      <c r="DL318"/>
      <c r="DM318"/>
      <c r="DN318"/>
      <c r="DO318"/>
    </row>
    <row r="319" spans="1:119">
      <c r="C319" s="674"/>
      <c r="D319" s="717"/>
      <c r="E319" s="3636" t="s">
        <v>925</v>
      </c>
      <c r="F319" s="3634"/>
      <c r="G319" s="2854"/>
      <c r="H319" s="2854"/>
      <c r="I319" s="2854"/>
      <c r="J319" s="2854"/>
      <c r="K319" s="2854"/>
      <c r="L319" s="2854"/>
      <c r="M319" s="2854"/>
      <c r="N319" s="2854"/>
      <c r="O319" s="2854"/>
      <c r="P319" s="2854"/>
      <c r="Q319" s="2854"/>
      <c r="R319" s="2854">
        <f t="shared" ref="R319:AT319" ca="1" si="809">+R285/N285*100-100</f>
        <v>8.3443598528451162</v>
      </c>
      <c r="S319" s="2854">
        <f t="shared" ca="1" si="809"/>
        <v>5.5473702076514115</v>
      </c>
      <c r="T319" s="2854">
        <f t="shared" ca="1" si="809"/>
        <v>5.0518435046664365</v>
      </c>
      <c r="U319" s="2854">
        <f t="shared" ca="1" si="809"/>
        <v>4.15560763207381</v>
      </c>
      <c r="V319" s="2854">
        <f t="shared" ca="1" si="809"/>
        <v>3.3382060680625614</v>
      </c>
      <c r="W319" s="2854">
        <f t="shared" ca="1" si="809"/>
        <v>2.8339977571319963</v>
      </c>
      <c r="X319" s="2854">
        <f t="shared" ca="1" si="809"/>
        <v>2.2689024431044515</v>
      </c>
      <c r="Y319" s="2854">
        <f t="shared" ca="1" si="809"/>
        <v>1.7549659819113543</v>
      </c>
      <c r="Z319" s="2854">
        <f t="shared" ca="1" si="809"/>
        <v>1.8299769327995818E-2</v>
      </c>
      <c r="AA319" s="2854">
        <f t="shared" ca="1" si="809"/>
        <v>-0.75299001957110079</v>
      </c>
      <c r="AB319" s="2854">
        <f t="shared" ca="1" si="809"/>
        <v>-1.4491587030761792</v>
      </c>
      <c r="AC319" s="2854">
        <f t="shared" ca="1" si="809"/>
        <v>-1.6070917154824826</v>
      </c>
      <c r="AD319" s="2854">
        <f t="shared" ca="1" si="809"/>
        <v>-0.62999982718162073</v>
      </c>
      <c r="AE319" s="2854">
        <f t="shared" ca="1" si="809"/>
        <v>-0.63648108611639032</v>
      </c>
      <c r="AF319" s="2854">
        <f t="shared" ca="1" si="809"/>
        <v>-0.50438281409860508</v>
      </c>
      <c r="AG319" s="2854">
        <f t="shared" ca="1" si="809"/>
        <v>0.1239821519168629</v>
      </c>
      <c r="AH319" s="2854">
        <f t="shared" ca="1" si="809"/>
        <v>1.3215926857065909</v>
      </c>
      <c r="AI319" s="2854">
        <f t="shared" ca="1" si="809"/>
        <v>1.0688677668421462</v>
      </c>
      <c r="AJ319" s="2854">
        <f t="shared" ca="1" si="809"/>
        <v>0.86483095573896662</v>
      </c>
      <c r="AK319" s="2854">
        <f t="shared" ca="1" si="809"/>
        <v>0.27054516300721332</v>
      </c>
      <c r="AL319" s="2854">
        <f t="shared" ca="1" si="809"/>
        <v>1.798525597386913E-2</v>
      </c>
      <c r="AM319" s="2854">
        <f t="shared" ca="1" si="809"/>
        <v>33.579148031379191</v>
      </c>
      <c r="AN319" s="2854">
        <f t="shared" ca="1" si="809"/>
        <v>34.548824706497015</v>
      </c>
      <c r="AO319" s="2854">
        <f t="shared" ca="1" si="809"/>
        <v>33.823866773081789</v>
      </c>
      <c r="AP319" s="2854">
        <f t="shared" ca="1" si="809"/>
        <v>32.608179471867658</v>
      </c>
      <c r="AQ319" s="2854">
        <f t="shared" ca="1" si="809"/>
        <v>-25.195085433341873</v>
      </c>
      <c r="AR319" s="2854">
        <f t="shared" ca="1" si="809"/>
        <v>-24.38992457631403</v>
      </c>
      <c r="AS319" s="2854">
        <f t="shared" ca="1" si="809"/>
        <v>-23.811673572379121</v>
      </c>
      <c r="AT319" s="2854">
        <f t="shared" ca="1" si="809"/>
        <v>-23.268171577564317</v>
      </c>
      <c r="AU319" s="2854">
        <f t="shared" ref="AU319:BL319" ca="1" si="810">+AU285/AQ285*100-100</f>
        <v>1.6019661286496216</v>
      </c>
      <c r="AV319" s="2854">
        <f t="shared" ca="1" si="810"/>
        <v>0.94712374442180192</v>
      </c>
      <c r="AW319" s="2854">
        <f t="shared" ca="1" si="810"/>
        <v>1.0507526896966368</v>
      </c>
      <c r="AX319" s="2854">
        <f t="shared" ca="1" si="810"/>
        <v>1.531360136329269</v>
      </c>
      <c r="AY319" s="2854">
        <f t="shared" ca="1" si="810"/>
        <v>1.6507049105046008</v>
      </c>
      <c r="AZ319" s="2854">
        <f t="shared" ca="1" si="810"/>
        <v>1.9182949551579611</v>
      </c>
      <c r="BA319" s="2854">
        <f t="shared" ca="1" si="810"/>
        <v>2.671844153366834</v>
      </c>
      <c r="BB319" s="2854">
        <f t="shared" ca="1" si="810"/>
        <v>3.2936538983384054</v>
      </c>
      <c r="BC319" s="2854">
        <f t="shared" ca="1" si="810"/>
        <v>3.9148672443457286</v>
      </c>
      <c r="BD319" s="2854">
        <f t="shared" ca="1" si="810"/>
        <v>4.4313811219878829</v>
      </c>
      <c r="BE319" s="2854">
        <f t="shared" ca="1" si="810"/>
        <v>5.464055144670894</v>
      </c>
      <c r="BF319" s="2854">
        <f t="shared" ca="1" si="810"/>
        <v>6.9969849854735457</v>
      </c>
      <c r="BG319" s="2854">
        <f t="shared" ref="BG319:BL320" ca="1" si="811">+BG285/BC285*100-100</f>
        <v>9.0136301158244123</v>
      </c>
      <c r="BH319" s="2854">
        <f t="shared" ca="1" si="811"/>
        <v>10.640869751978073</v>
      </c>
      <c r="BI319" s="2854">
        <f t="shared" ca="1" si="811"/>
        <v>9.8469094322867221</v>
      </c>
      <c r="BJ319" s="2854">
        <f t="shared" ca="1" si="811"/>
        <v>7.7868826917817557</v>
      </c>
      <c r="BK319" s="2854">
        <f t="shared" ca="1" si="811"/>
        <v>7.0540536795636228</v>
      </c>
      <c r="BL319" s="2866">
        <f t="shared" ca="1" si="810"/>
        <v>3.8722393309656553</v>
      </c>
      <c r="BM319" s="2866">
        <f t="shared" ref="BM319:BR320" ca="1" si="812">+BM285/BI285*100-100</f>
        <v>2.1772695929913084</v>
      </c>
      <c r="BN319" s="2866">
        <f t="shared" ca="1" si="812"/>
        <v>1.7207060002215542</v>
      </c>
      <c r="BO319" s="2854">
        <f t="shared" ca="1" si="812"/>
        <v>-0.44669070174717262</v>
      </c>
      <c r="BP319" s="2866">
        <f t="shared" ca="1" si="812"/>
        <v>-0.19987398183393168</v>
      </c>
      <c r="BQ319" s="2866">
        <f t="shared" ca="1" si="812"/>
        <v>0.2628594883233859</v>
      </c>
      <c r="BR319" s="2866">
        <f t="shared" ca="1" si="812"/>
        <v>0.25312940095723491</v>
      </c>
      <c r="BS319" s="2854">
        <f t="shared" ref="BS319:BV320" ca="1" si="813">+BS285/BO285*100-100</f>
        <v>1.104131463486226</v>
      </c>
      <c r="BT319" s="2866">
        <f t="shared" ca="1" si="813"/>
        <v>2.9065971870929417</v>
      </c>
      <c r="BU319" s="2866">
        <f t="shared" ca="1" si="813"/>
        <v>2.9882934598432342</v>
      </c>
      <c r="BV319" s="2866">
        <f t="shared" ca="1" si="813"/>
        <v>2.5403445978578958</v>
      </c>
      <c r="BW319" s="2866">
        <f t="shared" ref="BW319:CI320" ca="1" si="814">+BW285/BS285*100-100</f>
        <v>2.4968737210838867</v>
      </c>
      <c r="BX319" s="2866">
        <f t="shared" ca="1" si="814"/>
        <v>2.0965636220312263</v>
      </c>
      <c r="BY319" s="2866">
        <f t="shared" ca="1" si="814"/>
        <v>2.3656482023127126</v>
      </c>
      <c r="BZ319" s="2866">
        <f t="shared" ca="1" si="814"/>
        <v>2.5585102729118745</v>
      </c>
      <c r="CA319" s="2866">
        <f ca="1">+CA285/BW285*100-100</f>
        <v>1.92375782052396</v>
      </c>
      <c r="CB319" s="2866">
        <f ca="1">+CB285/BX285*100-100</f>
        <v>1.4286035859227866</v>
      </c>
      <c r="CC319" s="2866">
        <f t="shared" ca="1" si="814"/>
        <v>1.1528810232629638</v>
      </c>
      <c r="CD319" s="2866">
        <f t="shared" ca="1" si="814"/>
        <v>1.0997559529306784</v>
      </c>
      <c r="CE319" s="2866">
        <f t="shared" ca="1" si="814"/>
        <v>0.97328745752029988</v>
      </c>
      <c r="CF319" s="2866">
        <f t="shared" ca="1" si="814"/>
        <v>0.96000218187364794</v>
      </c>
      <c r="CG319" s="2866">
        <f t="shared" ref="CG319:CL319" ca="1" si="815">+CG285/CC285*100-100</f>
        <v>1.189378302913326</v>
      </c>
      <c r="CH319" s="2866">
        <f t="shared" ca="1" si="815"/>
        <v>1.2808484446261303</v>
      </c>
      <c r="CI319" s="2866">
        <f t="shared" ca="1" si="815"/>
        <v>1.2031368375372296</v>
      </c>
      <c r="CJ319" s="2866">
        <f t="shared" ca="1" si="815"/>
        <v>1.1851606813590934</v>
      </c>
      <c r="CK319" s="2866">
        <f t="shared" ca="1" si="815"/>
        <v>1.0491650981475686</v>
      </c>
      <c r="CL319" s="2866">
        <f t="shared" ca="1" si="815"/>
        <v>1.4970742757419089</v>
      </c>
      <c r="CM319" s="2866">
        <f t="shared" ref="CM319:CT319" ca="1" si="816">+CM285/CI285*100-100</f>
        <v>1.8874035422660853</v>
      </c>
      <c r="CN319" s="2866">
        <f t="shared" ca="1" si="816"/>
        <v>2.0321425389760321</v>
      </c>
      <c r="CO319" s="2866">
        <f t="shared" ca="1" si="816"/>
        <v>1.7119566029004432</v>
      </c>
      <c r="CP319" s="2866">
        <f t="shared" ca="1" si="816"/>
        <v>1.8082296800812543</v>
      </c>
      <c r="CQ319" s="2866">
        <f t="shared" ca="1" si="816"/>
        <v>2.5798694213839894</v>
      </c>
      <c r="CR319" s="2866">
        <f t="shared" ca="1" si="816"/>
        <v>3.9280031204877304</v>
      </c>
      <c r="CS319" s="2866">
        <f t="shared" ca="1" si="816"/>
        <v>4.6690657980823573</v>
      </c>
      <c r="CT319" s="2866">
        <f t="shared" ca="1" si="816"/>
        <v>4.1447203044817655</v>
      </c>
      <c r="CU319" s="2866">
        <f t="shared" ref="CU319:DB319" ca="1" si="817">+CU285/CQ285*100-100</f>
        <v>3.2439609580513888</v>
      </c>
      <c r="CV319" s="2866">
        <f t="shared" ca="1" si="817"/>
        <v>2.326162886456558</v>
      </c>
      <c r="CW319" s="2866">
        <f t="shared" ca="1" si="817"/>
        <v>2.242313401862873</v>
      </c>
      <c r="CX319" s="2866">
        <f t="shared" ca="1" si="817"/>
        <v>2.7157272103636387</v>
      </c>
      <c r="CY319" s="2866">
        <f t="shared" ca="1" si="817"/>
        <v>3.2296186870492534</v>
      </c>
      <c r="CZ319" s="2866">
        <f t="shared" ca="1" si="817"/>
        <v>2.8796785292082916</v>
      </c>
      <c r="DA319" s="2866">
        <f t="shared" ca="1" si="817"/>
        <v>2.4855516659156649</v>
      </c>
      <c r="DB319" s="2866">
        <f t="shared" ca="1" si="817"/>
        <v>2.0960435063473284</v>
      </c>
    </row>
    <row r="320" spans="1:119">
      <c r="C320" s="674"/>
      <c r="D320" s="717"/>
      <c r="E320" s="3636" t="s">
        <v>924</v>
      </c>
      <c r="F320" s="3634"/>
      <c r="G320" s="2854"/>
      <c r="H320" s="2854"/>
      <c r="I320" s="2854"/>
      <c r="J320" s="2854"/>
      <c r="K320" s="2854"/>
      <c r="L320" s="2854"/>
      <c r="M320" s="2854"/>
      <c r="N320" s="2854"/>
      <c r="O320" s="2854">
        <f t="shared" ref="O320:BF320" si="818">+O286/K286*100-100</f>
        <v>12.456633074508503</v>
      </c>
      <c r="P320" s="2854">
        <f t="shared" si="818"/>
        <v>10.888221411714213</v>
      </c>
      <c r="Q320" s="2854">
        <f t="shared" si="818"/>
        <v>9.7940575381229422</v>
      </c>
      <c r="R320" s="2854">
        <f t="shared" si="818"/>
        <v>8.3771236161420291</v>
      </c>
      <c r="S320" s="2854">
        <f t="shared" si="818"/>
        <v>5.5237255766123212</v>
      </c>
      <c r="T320" s="2854">
        <f t="shared" si="818"/>
        <v>5.0304730579471908</v>
      </c>
      <c r="U320" s="2854">
        <f t="shared" si="818"/>
        <v>4.1237113402061993</v>
      </c>
      <c r="V320" s="2854">
        <f t="shared" si="818"/>
        <v>3.304617991809053</v>
      </c>
      <c r="W320" s="2854">
        <f t="shared" si="818"/>
        <v>2.8446795674973373</v>
      </c>
      <c r="X320" s="2854">
        <f t="shared" si="818"/>
        <v>2.2796352583586525</v>
      </c>
      <c r="Y320" s="2854">
        <f t="shared" si="818"/>
        <v>1.7693436010267476</v>
      </c>
      <c r="Z320" s="2854">
        <f t="shared" si="818"/>
        <v>2.7341079972671878E-2</v>
      </c>
      <c r="AA320" s="2854">
        <f t="shared" si="818"/>
        <v>-0.75805432722678745</v>
      </c>
      <c r="AB320" s="2854">
        <f t="shared" si="818"/>
        <v>-1.4588680264757414</v>
      </c>
      <c r="AC320" s="2854">
        <f t="shared" si="818"/>
        <v>-1.616971444014041</v>
      </c>
      <c r="AD320" s="2854">
        <f t="shared" si="818"/>
        <v>-0.64233975673090526</v>
      </c>
      <c r="AE320" s="2854">
        <f t="shared" si="818"/>
        <v>-0.65017732108756832</v>
      </c>
      <c r="AF320" s="2854">
        <f t="shared" si="818"/>
        <v>-0.52090472926661846</v>
      </c>
      <c r="AG320" s="2854">
        <f t="shared" si="818"/>
        <v>0.10987501716796544</v>
      </c>
      <c r="AH320" s="2854">
        <f t="shared" si="818"/>
        <v>1.3113250802384186</v>
      </c>
      <c r="AI320" s="2854">
        <f t="shared" si="818"/>
        <v>1.1075008008786966</v>
      </c>
      <c r="AJ320" s="2854">
        <f t="shared" si="818"/>
        <v>0.90487345551422038</v>
      </c>
      <c r="AK320" s="2854">
        <f t="shared" si="818"/>
        <v>0.30182466730690294</v>
      </c>
      <c r="AL320" s="2854">
        <f t="shared" si="818"/>
        <v>5.4308472121689988E-2</v>
      </c>
      <c r="AM320" s="2854">
        <f t="shared" si="818"/>
        <v>0.64726383922510422</v>
      </c>
      <c r="AN320" s="2854">
        <f t="shared" si="818"/>
        <v>1.4202476329205922</v>
      </c>
      <c r="AO320" s="2854">
        <f t="shared" si="818"/>
        <v>0.80244380613687838</v>
      </c>
      <c r="AP320" s="2854">
        <f t="shared" si="818"/>
        <v>-0.11308123756107591</v>
      </c>
      <c r="AQ320" s="2854">
        <f t="shared" si="818"/>
        <v>-0.72854830005397275</v>
      </c>
      <c r="AR320" s="2854">
        <f t="shared" si="818"/>
        <v>0.29622980251346576</v>
      </c>
      <c r="AS320" s="2854">
        <f t="shared" si="818"/>
        <v>1.1488534081143484</v>
      </c>
      <c r="AT320" s="2854">
        <f t="shared" si="818"/>
        <v>1.8611601684553847</v>
      </c>
      <c r="AU320" s="2854">
        <f t="shared" si="818"/>
        <v>1.5946362236114879</v>
      </c>
      <c r="AV320" s="2854">
        <f t="shared" si="818"/>
        <v>0.94424057996957345</v>
      </c>
      <c r="AW320" s="2854">
        <f t="shared" si="818"/>
        <v>1.041899566247821</v>
      </c>
      <c r="AX320" s="2854">
        <f t="shared" si="818"/>
        <v>1.5204054414510466</v>
      </c>
      <c r="AY320" s="2854">
        <f t="shared" si="818"/>
        <v>1.6498706858111092</v>
      </c>
      <c r="AZ320" s="2854">
        <f t="shared" si="818"/>
        <v>1.9195815046327169</v>
      </c>
      <c r="BA320" s="2854">
        <f t="shared" si="818"/>
        <v>2.6686139139670644</v>
      </c>
      <c r="BB320" s="2854">
        <f t="shared" si="818"/>
        <v>3.2974251182343721</v>
      </c>
      <c r="BC320" s="2854">
        <f t="shared" si="818"/>
        <v>3.9129671872258314</v>
      </c>
      <c r="BD320" s="2854">
        <f t="shared" si="818"/>
        <v>4.4323618964767064</v>
      </c>
      <c r="BE320" s="2854">
        <f t="shared" si="818"/>
        <v>5.461442303547571</v>
      </c>
      <c r="BF320" s="2854">
        <f t="shared" si="818"/>
        <v>6.9863071770740675</v>
      </c>
      <c r="BG320" s="2854">
        <f t="shared" si="811"/>
        <v>9.01722391084094</v>
      </c>
      <c r="BH320" s="2854">
        <f t="shared" si="811"/>
        <v>10.633512432837705</v>
      </c>
      <c r="BI320" s="2854">
        <f t="shared" si="811"/>
        <v>9.8422300335159036</v>
      </c>
      <c r="BJ320" s="2854">
        <f t="shared" ca="1" si="811"/>
        <v>7.7868826917817557</v>
      </c>
      <c r="BK320" s="2854">
        <f t="shared" ca="1" si="811"/>
        <v>7.0540536795636228</v>
      </c>
      <c r="BL320" s="2854">
        <f t="shared" ca="1" si="811"/>
        <v>3.8722393309656553</v>
      </c>
      <c r="BM320" s="2854">
        <f t="shared" ca="1" si="812"/>
        <v>2.1772695929913084</v>
      </c>
      <c r="BN320" s="2854">
        <f t="shared" ca="1" si="812"/>
        <v>1.7207060002215542</v>
      </c>
      <c r="BO320" s="2854">
        <f t="shared" ca="1" si="812"/>
        <v>-0.44669070174717262</v>
      </c>
      <c r="BP320" s="2854">
        <f t="shared" ca="1" si="812"/>
        <v>-0.19987398183393168</v>
      </c>
      <c r="BQ320" s="2854">
        <f t="shared" ca="1" si="812"/>
        <v>0.2628594883233859</v>
      </c>
      <c r="BR320" s="2854">
        <f t="shared" ca="1" si="812"/>
        <v>0.25312940095723491</v>
      </c>
      <c r="BS320" s="2854">
        <f t="shared" ca="1" si="813"/>
        <v>1.104131463486226</v>
      </c>
      <c r="BT320" s="2854">
        <f t="shared" ca="1" si="813"/>
        <v>2.9065971870929417</v>
      </c>
      <c r="BU320" s="2854">
        <f t="shared" ca="1" si="813"/>
        <v>2.9882934598432342</v>
      </c>
      <c r="BV320" s="2854">
        <f t="shared" ca="1" si="813"/>
        <v>2.5403445978578958</v>
      </c>
      <c r="BW320" s="2854">
        <f t="shared" ca="1" si="814"/>
        <v>2.4968737210838867</v>
      </c>
      <c r="BX320" s="2854">
        <f t="shared" ca="1" si="814"/>
        <v>2.0965636220312263</v>
      </c>
      <c r="BY320" s="2854">
        <f t="shared" ca="1" si="814"/>
        <v>2.3656482023127126</v>
      </c>
      <c r="BZ320" s="2854">
        <f t="shared" ca="1" si="814"/>
        <v>2.5585102729118745</v>
      </c>
      <c r="CA320" s="2854">
        <f ca="1">+CA286/BW286*100-100</f>
        <v>1.92375782052396</v>
      </c>
      <c r="CB320" s="2854">
        <f ca="1">+CB286/BX286*100-100</f>
        <v>1.4286035859227866</v>
      </c>
      <c r="CC320" s="2854">
        <f t="shared" ca="1" si="814"/>
        <v>1.1528810232629638</v>
      </c>
      <c r="CD320" s="2854">
        <f t="shared" ca="1" si="814"/>
        <v>1.0997559529306784</v>
      </c>
      <c r="CE320" s="2854">
        <f t="shared" ca="1" si="814"/>
        <v>0.97328745752029988</v>
      </c>
      <c r="CF320" s="2854">
        <f t="shared" ca="1" si="814"/>
        <v>0.96000218187364794</v>
      </c>
      <c r="CG320" s="2854">
        <f t="shared" ca="1" si="814"/>
        <v>1.189378302913326</v>
      </c>
      <c r="CH320" s="2854">
        <f t="shared" ca="1" si="814"/>
        <v>1.2808484446261303</v>
      </c>
      <c r="CI320" s="2854">
        <f t="shared" ca="1" si="814"/>
        <v>1.2031368375372296</v>
      </c>
      <c r="CJ320" s="1423">
        <f t="shared" ref="CJ320:CP320" ca="1" si="819">+CJ319</f>
        <v>1.1851606813590934</v>
      </c>
      <c r="CK320" s="1423">
        <f t="shared" ca="1" si="819"/>
        <v>1.0491650981475686</v>
      </c>
      <c r="CL320" s="1423">
        <f t="shared" ca="1" si="819"/>
        <v>1.4970742757419089</v>
      </c>
      <c r="CM320" s="1423">
        <f t="shared" ca="1" si="819"/>
        <v>1.8874035422660853</v>
      </c>
      <c r="CN320" s="1423">
        <f t="shared" ca="1" si="819"/>
        <v>2.0321425389760321</v>
      </c>
      <c r="CO320" s="1423">
        <f t="shared" ca="1" si="819"/>
        <v>1.7119566029004432</v>
      </c>
      <c r="CP320" s="1423">
        <f t="shared" ca="1" si="819"/>
        <v>1.8082296800812543</v>
      </c>
      <c r="CQ320" s="1423">
        <f t="shared" ref="CQ320:CX320" ca="1" si="820">+CQ319</f>
        <v>2.5798694213839894</v>
      </c>
      <c r="CR320" s="1423">
        <f t="shared" ca="1" si="820"/>
        <v>3.9280031204877304</v>
      </c>
      <c r="CS320" s="1423">
        <f t="shared" ca="1" si="820"/>
        <v>4.6690657980823573</v>
      </c>
      <c r="CT320" s="1423">
        <f t="shared" ca="1" si="820"/>
        <v>4.1447203044817655</v>
      </c>
      <c r="CU320" s="1423">
        <f t="shared" ca="1" si="820"/>
        <v>3.2439609580513888</v>
      </c>
      <c r="CV320" s="1423">
        <f t="shared" ca="1" si="820"/>
        <v>2.326162886456558</v>
      </c>
      <c r="CW320" s="1423">
        <f t="shared" ca="1" si="820"/>
        <v>2.242313401862873</v>
      </c>
      <c r="CX320" s="1423">
        <f t="shared" ca="1" si="820"/>
        <v>2.7157272103636387</v>
      </c>
      <c r="CY320" s="1423">
        <f t="shared" ref="CY320:DB320" ca="1" si="821">+CY319</f>
        <v>3.2296186870492534</v>
      </c>
      <c r="CZ320" s="1423">
        <f t="shared" ca="1" si="821"/>
        <v>2.8796785292082916</v>
      </c>
      <c r="DA320" s="1423">
        <f t="shared" ca="1" si="821"/>
        <v>2.4855516659156649</v>
      </c>
      <c r="DB320" s="1423">
        <f t="shared" ca="1" si="821"/>
        <v>2.0960435063473284</v>
      </c>
    </row>
    <row r="321" spans="1:119" s="1003" customFormat="1">
      <c r="A321" s="673"/>
      <c r="B321" s="673"/>
      <c r="C321" s="1007"/>
      <c r="D321" s="1008"/>
      <c r="E321" s="1009" t="s">
        <v>814</v>
      </c>
      <c r="F321" s="1008"/>
      <c r="G321" s="1010"/>
      <c r="H321" s="1010"/>
      <c r="I321" s="1010"/>
      <c r="J321" s="1010"/>
      <c r="K321" s="2886"/>
      <c r="L321" s="2886"/>
      <c r="M321" s="2886"/>
      <c r="N321" s="2886"/>
      <c r="O321" s="2886"/>
      <c r="P321" s="2886"/>
      <c r="Q321" s="2886"/>
      <c r="R321" s="2886">
        <f t="shared" ref="R321:AT321" ca="1" si="822">+R320-R319</f>
        <v>3.2763763296912884E-2</v>
      </c>
      <c r="S321" s="2886">
        <f t="shared" ca="1" si="822"/>
        <v>-2.3644631039090314E-2</v>
      </c>
      <c r="T321" s="2886">
        <f t="shared" ca="1" si="822"/>
        <v>-2.1370446719245706E-2</v>
      </c>
      <c r="U321" s="2886">
        <f t="shared" ca="1" si="822"/>
        <v>-3.1896291867610671E-2</v>
      </c>
      <c r="V321" s="2886">
        <f t="shared" ca="1" si="822"/>
        <v>-3.3588076253508348E-2</v>
      </c>
      <c r="W321" s="2886">
        <f t="shared" ca="1" si="822"/>
        <v>1.0681810365340993E-2</v>
      </c>
      <c r="X321" s="2886">
        <f t="shared" ca="1" si="822"/>
        <v>1.0732815254201E-2</v>
      </c>
      <c r="Y321" s="2886">
        <f t="shared" ca="1" si="822"/>
        <v>1.4377619115393259E-2</v>
      </c>
      <c r="Z321" s="2886">
        <f t="shared" ca="1" si="822"/>
        <v>9.0413106446760594E-3</v>
      </c>
      <c r="AA321" s="2886">
        <f t="shared" ca="1" si="822"/>
        <v>-5.0643076556866617E-3</v>
      </c>
      <c r="AB321" s="2886">
        <f t="shared" ca="1" si="822"/>
        <v>-9.7093233995622086E-3</v>
      </c>
      <c r="AC321" s="2886">
        <f t="shared" ca="1" si="822"/>
        <v>-9.8797285315583849E-3</v>
      </c>
      <c r="AD321" s="2886">
        <f t="shared" ca="1" si="822"/>
        <v>-1.2339929549284534E-2</v>
      </c>
      <c r="AE321" s="2886">
        <f t="shared" ca="1" si="822"/>
        <v>-1.3696234971178001E-2</v>
      </c>
      <c r="AF321" s="2886">
        <f t="shared" ca="1" si="822"/>
        <v>-1.6521915168013379E-2</v>
      </c>
      <c r="AG321" s="2886">
        <f t="shared" ca="1" si="822"/>
        <v>-1.4107134748897465E-2</v>
      </c>
      <c r="AH321" s="2886">
        <f t="shared" ca="1" si="822"/>
        <v>-1.0267605468172292E-2</v>
      </c>
      <c r="AI321" s="2886">
        <f t="shared" ca="1" si="822"/>
        <v>3.8633034036550384E-2</v>
      </c>
      <c r="AJ321" s="2886">
        <f t="shared" ca="1" si="822"/>
        <v>4.0042499775253759E-2</v>
      </c>
      <c r="AK321" s="2886">
        <f t="shared" ca="1" si="822"/>
        <v>3.127950429968962E-2</v>
      </c>
      <c r="AL321" s="2886">
        <f t="shared" ca="1" si="822"/>
        <v>3.6323216147820858E-2</v>
      </c>
      <c r="AM321" s="2886">
        <f t="shared" ca="1" si="822"/>
        <v>-32.931884192154087</v>
      </c>
      <c r="AN321" s="2886">
        <f t="shared" ca="1" si="822"/>
        <v>-33.128577073576423</v>
      </c>
      <c r="AO321" s="2886">
        <f t="shared" ca="1" si="822"/>
        <v>-33.021422966944911</v>
      </c>
      <c r="AP321" s="2886">
        <f t="shared" ca="1" si="822"/>
        <v>-32.721260709428734</v>
      </c>
      <c r="AQ321" s="2886">
        <f t="shared" ca="1" si="822"/>
        <v>24.4665371332879</v>
      </c>
      <c r="AR321" s="2886">
        <f t="shared" ca="1" si="822"/>
        <v>24.686154378827496</v>
      </c>
      <c r="AS321" s="2886">
        <f t="shared" ca="1" si="822"/>
        <v>24.960526980493469</v>
      </c>
      <c r="AT321" s="2886">
        <f t="shared" ca="1" si="822"/>
        <v>25.129331746019702</v>
      </c>
      <c r="AU321" s="2886">
        <f t="shared" ref="AU321:BN321" ca="1" si="823">+AU320-AU319</f>
        <v>-7.3299050381336883E-3</v>
      </c>
      <c r="AV321" s="2886">
        <f t="shared" ca="1" si="823"/>
        <v>-2.8831644522284705E-3</v>
      </c>
      <c r="AW321" s="2886">
        <f t="shared" ca="1" si="823"/>
        <v>-8.8531234488158361E-3</v>
      </c>
      <c r="AX321" s="2886">
        <f t="shared" ca="1" si="823"/>
        <v>-1.0954694878222426E-2</v>
      </c>
      <c r="AY321" s="2886">
        <f t="shared" ca="1" si="823"/>
        <v>-8.3422469349159201E-4</v>
      </c>
      <c r="AZ321" s="2886">
        <f t="shared" ca="1" si="823"/>
        <v>1.2865494747558159E-3</v>
      </c>
      <c r="BA321" s="2886">
        <f t="shared" ca="1" si="823"/>
        <v>-3.2302393997696299E-3</v>
      </c>
      <c r="BB321" s="2886">
        <f t="shared" ca="1" si="823"/>
        <v>3.7712198959667376E-3</v>
      </c>
      <c r="BC321" s="2886">
        <f t="shared" ca="1" si="823"/>
        <v>-1.9000571198972693E-3</v>
      </c>
      <c r="BD321" s="2886">
        <f t="shared" ca="1" si="823"/>
        <v>9.8077448882349927E-4</v>
      </c>
      <c r="BE321" s="2886">
        <f t="shared" ca="1" si="823"/>
        <v>-2.6128411233230509E-3</v>
      </c>
      <c r="BF321" s="2886">
        <f t="shared" ca="1" si="823"/>
        <v>-1.0677808399478295E-2</v>
      </c>
      <c r="BG321" s="2886">
        <f ca="1">+BG320-BG319</f>
        <v>3.5937950165276789E-3</v>
      </c>
      <c r="BH321" s="2886">
        <f ca="1">+BH320-BH319</f>
        <v>-7.3573191403681903E-3</v>
      </c>
      <c r="BI321" s="2886">
        <f ca="1">+BI320-BI319</f>
        <v>-4.6793987708184659E-3</v>
      </c>
      <c r="BJ321" s="2886">
        <f ca="1">+BJ320-BJ319</f>
        <v>0</v>
      </c>
      <c r="BK321" s="2886">
        <f ca="1">+BK320-BK319</f>
        <v>0</v>
      </c>
      <c r="BL321" s="2886">
        <f t="shared" ca="1" si="823"/>
        <v>0</v>
      </c>
      <c r="BM321" s="2886">
        <f t="shared" ca="1" si="823"/>
        <v>0</v>
      </c>
      <c r="BN321" s="2886">
        <f t="shared" ca="1" si="823"/>
        <v>0</v>
      </c>
      <c r="BO321" s="2886">
        <f t="shared" ref="BO321:BZ321" ca="1" si="824">+BO320-BO319</f>
        <v>0</v>
      </c>
      <c r="BP321" s="2886">
        <f t="shared" ca="1" si="824"/>
        <v>0</v>
      </c>
      <c r="BQ321" s="2886">
        <f t="shared" ca="1" si="824"/>
        <v>0</v>
      </c>
      <c r="BR321" s="2886">
        <f t="shared" ca="1" si="824"/>
        <v>0</v>
      </c>
      <c r="BS321" s="2886">
        <f ca="1">+BS320-BS319</f>
        <v>0</v>
      </c>
      <c r="BT321" s="2886">
        <f ca="1">+BT320-BT319</f>
        <v>0</v>
      </c>
      <c r="BU321" s="2886">
        <f ca="1">+BU320-BU319</f>
        <v>0</v>
      </c>
      <c r="BV321" s="2886">
        <f ca="1">+BV320-BV319</f>
        <v>0</v>
      </c>
      <c r="BW321" s="2886">
        <f t="shared" ca="1" si="824"/>
        <v>0</v>
      </c>
      <c r="BX321" s="2886">
        <f ca="1">+BX320-BX319</f>
        <v>0</v>
      </c>
      <c r="BY321" s="2886">
        <f ca="1">+BY320-BY319</f>
        <v>0</v>
      </c>
      <c r="BZ321" s="2886">
        <f t="shared" ca="1" si="824"/>
        <v>0</v>
      </c>
      <c r="CA321" s="2886">
        <f ca="1">+CA320-CA319</f>
        <v>0</v>
      </c>
      <c r="CB321" s="2886">
        <f ca="1">+CB320-CB319</f>
        <v>0</v>
      </c>
      <c r="CC321" s="2886">
        <f t="shared" ref="CC321:CH321" ca="1" si="825">+CC320-CC319</f>
        <v>0</v>
      </c>
      <c r="CD321" s="2886">
        <f t="shared" ca="1" si="825"/>
        <v>0</v>
      </c>
      <c r="CE321" s="2886">
        <f ca="1">+CE320-CE319</f>
        <v>0</v>
      </c>
      <c r="CF321" s="2886">
        <f ca="1">+CF320-CF319</f>
        <v>0</v>
      </c>
      <c r="CG321" s="2886">
        <f t="shared" ca="1" si="825"/>
        <v>0</v>
      </c>
      <c r="CH321" s="2886">
        <f t="shared" ca="1" si="825"/>
        <v>0</v>
      </c>
      <c r="CI321" s="2886">
        <f t="shared" ref="CI321:CP321" ca="1" si="826">+CI320-CI319</f>
        <v>0</v>
      </c>
      <c r="CJ321" s="2886">
        <f t="shared" ca="1" si="826"/>
        <v>0</v>
      </c>
      <c r="CK321" s="2886">
        <f t="shared" ca="1" si="826"/>
        <v>0</v>
      </c>
      <c r="CL321" s="2886">
        <f t="shared" ca="1" si="826"/>
        <v>0</v>
      </c>
      <c r="CM321" s="2886">
        <f t="shared" ca="1" si="826"/>
        <v>0</v>
      </c>
      <c r="CN321" s="2886">
        <f t="shared" ca="1" si="826"/>
        <v>0</v>
      </c>
      <c r="CO321" s="2886">
        <f t="shared" ca="1" si="826"/>
        <v>0</v>
      </c>
      <c r="CP321" s="2886">
        <f t="shared" ca="1" si="826"/>
        <v>0</v>
      </c>
      <c r="CQ321" s="2886">
        <f t="shared" ref="CQ321:CX321" ca="1" si="827">+CQ320-CQ319</f>
        <v>0</v>
      </c>
      <c r="CR321" s="2886">
        <f t="shared" ca="1" si="827"/>
        <v>0</v>
      </c>
      <c r="CS321" s="2886">
        <f t="shared" ca="1" si="827"/>
        <v>0</v>
      </c>
      <c r="CT321" s="2886">
        <f t="shared" ca="1" si="827"/>
        <v>0</v>
      </c>
      <c r="CU321" s="2886">
        <f t="shared" ca="1" si="827"/>
        <v>0</v>
      </c>
      <c r="CV321" s="2886">
        <f t="shared" ca="1" si="827"/>
        <v>0</v>
      </c>
      <c r="CW321" s="2886">
        <f t="shared" ca="1" si="827"/>
        <v>0</v>
      </c>
      <c r="CX321" s="2886">
        <f t="shared" ca="1" si="827"/>
        <v>0</v>
      </c>
      <c r="CY321" s="2886">
        <f t="shared" ref="CY321:DB321" ca="1" si="828">+CY320-CY319</f>
        <v>0</v>
      </c>
      <c r="CZ321" s="2886">
        <f t="shared" ca="1" si="828"/>
        <v>0</v>
      </c>
      <c r="DA321" s="2886">
        <f t="shared" ca="1" si="828"/>
        <v>0</v>
      </c>
      <c r="DB321" s="2886">
        <f t="shared" ca="1" si="828"/>
        <v>0</v>
      </c>
      <c r="DC321"/>
      <c r="DD321"/>
      <c r="DE321"/>
      <c r="DF321"/>
      <c r="DG321"/>
      <c r="DH321"/>
      <c r="DI321"/>
      <c r="DJ321"/>
      <c r="DK321"/>
      <c r="DL321"/>
      <c r="DM321"/>
      <c r="DN321"/>
      <c r="DO321"/>
    </row>
    <row r="322" spans="1:119">
      <c r="E322" s="599"/>
      <c r="F322" s="3617"/>
      <c r="O322" s="2860"/>
      <c r="P322" s="2860"/>
      <c r="Q322" s="2860"/>
      <c r="R322" s="2860"/>
      <c r="S322" s="2860"/>
      <c r="T322" s="2860"/>
      <c r="U322" s="2860"/>
      <c r="V322" s="2860"/>
      <c r="W322" s="2860"/>
      <c r="X322" s="2860"/>
      <c r="Y322" s="2860"/>
      <c r="Z322" s="2860"/>
      <c r="AA322" s="2860"/>
      <c r="AB322" s="2860"/>
      <c r="AC322" s="2860"/>
      <c r="AD322" s="2860"/>
      <c r="AE322" s="2860"/>
      <c r="AF322" s="2860"/>
      <c r="AG322" s="2860"/>
      <c r="AH322" s="2860"/>
      <c r="AI322" s="2860"/>
      <c r="AJ322" s="2860"/>
      <c r="AK322" s="2860"/>
      <c r="AL322" s="2860"/>
      <c r="AM322" s="2860"/>
      <c r="AN322" s="2860"/>
      <c r="AO322" s="2860"/>
      <c r="AP322" s="2860"/>
      <c r="AQ322" s="2860"/>
      <c r="AR322" s="2860"/>
      <c r="AS322" s="2860"/>
      <c r="AT322" s="2860"/>
      <c r="AU322" s="2860"/>
      <c r="AV322" s="2860"/>
      <c r="AW322" s="2860"/>
      <c r="AX322" s="2860"/>
      <c r="AY322" s="2860"/>
      <c r="AZ322" s="2860"/>
      <c r="BA322" s="2860"/>
      <c r="BB322" s="2860"/>
      <c r="BC322" s="2860"/>
      <c r="BD322" s="2860"/>
      <c r="BE322" s="2860"/>
      <c r="BF322" s="2860"/>
      <c r="BG322" s="2860"/>
      <c r="BH322" s="2860"/>
      <c r="BI322" s="2860"/>
      <c r="BJ322" s="2860"/>
      <c r="BK322" s="2860"/>
      <c r="BL322" s="2860"/>
      <c r="BM322" s="2860"/>
      <c r="BN322" s="2860"/>
      <c r="BO322" s="2860"/>
      <c r="BP322" s="2860"/>
      <c r="BQ322" s="2860"/>
      <c r="BR322" s="2860"/>
      <c r="BS322" s="2860"/>
      <c r="BT322" s="2860"/>
      <c r="BU322" s="2860"/>
      <c r="BV322" s="2860"/>
      <c r="BW322" s="2860"/>
      <c r="BX322" s="2860"/>
      <c r="BY322" s="2860"/>
      <c r="BZ322" s="2860"/>
      <c r="CA322" s="2860"/>
      <c r="CB322" s="2860"/>
      <c r="CC322" s="2860"/>
      <c r="CD322" s="2860"/>
      <c r="CE322" s="2860"/>
      <c r="CF322" s="2860"/>
      <c r="CG322" s="2860"/>
      <c r="CH322" s="2860"/>
      <c r="CI322" s="2860"/>
      <c r="CJ322" s="2860"/>
      <c r="CK322" s="2860"/>
      <c r="CL322" s="2860"/>
      <c r="CM322" s="2860"/>
      <c r="CN322" s="2860"/>
      <c r="CO322" s="2860"/>
      <c r="CP322" s="2860"/>
      <c r="CQ322" s="2860"/>
      <c r="CR322" s="2860"/>
      <c r="CS322" s="2860"/>
      <c r="CT322" s="2860"/>
      <c r="CU322" s="2860"/>
      <c r="CV322" s="2860"/>
      <c r="CW322" s="2860"/>
      <c r="CX322" s="2860"/>
      <c r="CY322" s="2860"/>
      <c r="CZ322" s="2860"/>
      <c r="DA322" s="2860"/>
      <c r="DB322" s="2860"/>
    </row>
    <row r="323" spans="1:119" s="699" customFormat="1" ht="12.75" customHeight="1">
      <c r="A323" s="664"/>
      <c r="B323" s="664"/>
      <c r="C323" s="1553"/>
      <c r="D323" s="742"/>
      <c r="E323" s="3384" t="s">
        <v>1421</v>
      </c>
      <c r="F323" s="3622"/>
      <c r="G323" s="1578" t="s">
        <v>1842</v>
      </c>
      <c r="H323" s="1579" t="s">
        <v>1843</v>
      </c>
      <c r="I323" s="1579" t="s">
        <v>1844</v>
      </c>
      <c r="J323" s="1579" t="s">
        <v>1845</v>
      </c>
      <c r="K323" s="1579" t="s">
        <v>1842</v>
      </c>
      <c r="L323" s="1579" t="s">
        <v>1843</v>
      </c>
      <c r="M323" s="1579" t="s">
        <v>1844</v>
      </c>
      <c r="N323" s="1579" t="s">
        <v>1845</v>
      </c>
      <c r="O323" s="1579" t="s">
        <v>1842</v>
      </c>
      <c r="P323" s="1579" t="s">
        <v>1843</v>
      </c>
      <c r="Q323" s="1579" t="s">
        <v>1844</v>
      </c>
      <c r="R323" s="1579" t="s">
        <v>1845</v>
      </c>
      <c r="S323" s="1579" t="s">
        <v>1842</v>
      </c>
      <c r="T323" s="1579" t="s">
        <v>1843</v>
      </c>
      <c r="U323" s="1579" t="s">
        <v>1844</v>
      </c>
      <c r="V323" s="1579" t="s">
        <v>1845</v>
      </c>
      <c r="W323" s="1579" t="s">
        <v>1842</v>
      </c>
      <c r="X323" s="1579" t="s">
        <v>1843</v>
      </c>
      <c r="Y323" s="1579" t="s">
        <v>1844</v>
      </c>
      <c r="Z323" s="1579" t="s">
        <v>1845</v>
      </c>
      <c r="AA323" s="1579" t="s">
        <v>1842</v>
      </c>
      <c r="AB323" s="1579" t="s">
        <v>1843</v>
      </c>
      <c r="AC323" s="1579" t="s">
        <v>1844</v>
      </c>
      <c r="AD323" s="1579" t="s">
        <v>1845</v>
      </c>
      <c r="AE323" s="1579" t="s">
        <v>1842</v>
      </c>
      <c r="AF323" s="1579" t="s">
        <v>1843</v>
      </c>
      <c r="AG323" s="1579" t="s">
        <v>1844</v>
      </c>
      <c r="AH323" s="1579" t="s">
        <v>1845</v>
      </c>
      <c r="AI323" s="1579" t="s">
        <v>1842</v>
      </c>
      <c r="AJ323" s="1579" t="s">
        <v>1843</v>
      </c>
      <c r="AK323" s="1579" t="s">
        <v>1844</v>
      </c>
      <c r="AL323" s="1579" t="s">
        <v>1845</v>
      </c>
      <c r="AM323" s="1579" t="s">
        <v>1842</v>
      </c>
      <c r="AN323" s="1579" t="s">
        <v>1843</v>
      </c>
      <c r="AO323" s="1579" t="s">
        <v>1844</v>
      </c>
      <c r="AP323" s="1579" t="s">
        <v>1845</v>
      </c>
      <c r="AQ323" s="1579" t="s">
        <v>1842</v>
      </c>
      <c r="AR323" s="1579" t="s">
        <v>1843</v>
      </c>
      <c r="AS323" s="1579" t="s">
        <v>1844</v>
      </c>
      <c r="AT323" s="1579" t="s">
        <v>1845</v>
      </c>
      <c r="AU323" s="1579" t="s">
        <v>1842</v>
      </c>
      <c r="AV323" s="1579" t="s">
        <v>1843</v>
      </c>
      <c r="AW323" s="1579" t="s">
        <v>1844</v>
      </c>
      <c r="AX323" s="1579" t="s">
        <v>1845</v>
      </c>
      <c r="AY323" s="1579" t="s">
        <v>1842</v>
      </c>
      <c r="AZ323" s="1579" t="s">
        <v>1843</v>
      </c>
      <c r="BA323" s="1579" t="s">
        <v>1844</v>
      </c>
      <c r="BB323" s="1579" t="s">
        <v>1845</v>
      </c>
      <c r="BC323" s="1579" t="s">
        <v>1842</v>
      </c>
      <c r="BD323" s="1579" t="s">
        <v>1843</v>
      </c>
      <c r="BE323" s="1579" t="s">
        <v>1844</v>
      </c>
      <c r="BF323" s="1579" t="s">
        <v>1845</v>
      </c>
      <c r="BG323" s="1579" t="s">
        <v>1842</v>
      </c>
      <c r="BH323" s="1579" t="s">
        <v>1843</v>
      </c>
      <c r="BI323" s="1579" t="s">
        <v>1844</v>
      </c>
      <c r="BJ323" s="1579" t="s">
        <v>1845</v>
      </c>
      <c r="BK323" s="1579" t="s">
        <v>1842</v>
      </c>
      <c r="BL323" s="1579" t="s">
        <v>1843</v>
      </c>
      <c r="BM323" s="1579" t="s">
        <v>1844</v>
      </c>
      <c r="BN323" s="1579" t="s">
        <v>1845</v>
      </c>
      <c r="BO323" s="1579" t="s">
        <v>1842</v>
      </c>
      <c r="BP323" s="1579" t="s">
        <v>1843</v>
      </c>
      <c r="BQ323" s="1579" t="s">
        <v>1844</v>
      </c>
      <c r="BR323" s="1579" t="s">
        <v>1845</v>
      </c>
      <c r="BS323" s="1579" t="s">
        <v>1842</v>
      </c>
      <c r="BT323" s="1579" t="s">
        <v>1843</v>
      </c>
      <c r="BU323" s="1579" t="s">
        <v>1844</v>
      </c>
      <c r="BV323" s="1579" t="s">
        <v>1845</v>
      </c>
      <c r="BW323" s="1579" t="s">
        <v>1842</v>
      </c>
      <c r="BX323" s="1579" t="s">
        <v>1843</v>
      </c>
      <c r="BY323" s="1579" t="s">
        <v>1844</v>
      </c>
      <c r="BZ323" s="1579" t="s">
        <v>1845</v>
      </c>
      <c r="CA323" s="1579" t="s">
        <v>1842</v>
      </c>
      <c r="CB323" s="1579" t="s">
        <v>1843</v>
      </c>
      <c r="CC323" s="1579" t="s">
        <v>1844</v>
      </c>
      <c r="CD323" s="1579" t="s">
        <v>1845</v>
      </c>
      <c r="CE323" s="1579" t="s">
        <v>1842</v>
      </c>
      <c r="CF323" s="1579" t="s">
        <v>1843</v>
      </c>
      <c r="CG323" s="1579" t="s">
        <v>1844</v>
      </c>
      <c r="CH323" s="1579" t="s">
        <v>1845</v>
      </c>
      <c r="CI323" s="1579" t="s">
        <v>1842</v>
      </c>
      <c r="CJ323" s="1579" t="s">
        <v>1843</v>
      </c>
      <c r="CK323" s="1579" t="s">
        <v>1844</v>
      </c>
      <c r="CL323" s="1579" t="s">
        <v>1845</v>
      </c>
      <c r="CM323" s="1579" t="s">
        <v>1842</v>
      </c>
      <c r="CN323" s="1579" t="s">
        <v>1843</v>
      </c>
      <c r="CO323" s="1579" t="s">
        <v>1844</v>
      </c>
      <c r="CP323" s="1579" t="s">
        <v>1845</v>
      </c>
      <c r="CQ323" s="1579" t="s">
        <v>1842</v>
      </c>
      <c r="CR323" s="1579" t="s">
        <v>1843</v>
      </c>
      <c r="CS323" s="1579" t="s">
        <v>1844</v>
      </c>
      <c r="CT323" s="1579" t="s">
        <v>1845</v>
      </c>
      <c r="CU323" s="1579" t="s">
        <v>1842</v>
      </c>
      <c r="CV323" s="1579" t="s">
        <v>1843</v>
      </c>
      <c r="CW323" s="1579" t="s">
        <v>1844</v>
      </c>
      <c r="CX323" s="1579" t="s">
        <v>1845</v>
      </c>
      <c r="CY323" s="1579" t="s">
        <v>1842</v>
      </c>
      <c r="CZ323" s="1579" t="s">
        <v>1843</v>
      </c>
      <c r="DA323" s="1579" t="s">
        <v>1844</v>
      </c>
      <c r="DB323" s="1579" t="s">
        <v>1845</v>
      </c>
      <c r="DC323"/>
      <c r="DD323"/>
      <c r="DE323"/>
      <c r="DF323"/>
      <c r="DG323"/>
      <c r="DH323"/>
      <c r="DI323"/>
      <c r="DJ323"/>
      <c r="DK323"/>
      <c r="DL323"/>
      <c r="DM323"/>
      <c r="DN323"/>
      <c r="DO323"/>
    </row>
    <row r="324" spans="1:119" s="699" customFormat="1" ht="12.75" customHeight="1">
      <c r="B324" s="664"/>
      <c r="C324" s="692"/>
      <c r="D324" s="689"/>
      <c r="E324" s="3623" t="str">
        <f>+E311</f>
        <v>Non-energy industrial goods</v>
      </c>
      <c r="F324" s="3624"/>
      <c r="G324" s="2879"/>
      <c r="H324" s="2879"/>
      <c r="I324" s="2879"/>
      <c r="J324" s="2879"/>
      <c r="K324" s="2879"/>
      <c r="L324" s="2879"/>
      <c r="M324" s="2879"/>
      <c r="N324" s="2879"/>
      <c r="O324" s="2879"/>
      <c r="P324" s="2879"/>
      <c r="Q324" s="2879"/>
      <c r="R324" s="2879">
        <f>+R290/N290*100-100</f>
        <v>8.4666792591993101</v>
      </c>
      <c r="S324" s="2879"/>
      <c r="T324" s="2879"/>
      <c r="U324" s="2879"/>
      <c r="V324" s="2879">
        <f>+V290/R290*100-100</f>
        <v>5.198606849655846</v>
      </c>
      <c r="W324" s="2879"/>
      <c r="X324" s="2879"/>
      <c r="Y324" s="2879"/>
      <c r="Z324" s="2879">
        <f>+Z290/V290*100-100</f>
        <v>2.0944513199694086</v>
      </c>
      <c r="AA324" s="2879"/>
      <c r="AB324" s="2879"/>
      <c r="AC324" s="2879"/>
      <c r="AD324" s="2879">
        <f>+AD290/Z290*100-100</f>
        <v>-1.8159918465672433</v>
      </c>
      <c r="AE324" s="2879"/>
      <c r="AF324" s="2879"/>
      <c r="AG324" s="2879"/>
      <c r="AH324" s="2879">
        <f>+AH290/AD290*100-100</f>
        <v>-2.6398980843634945</v>
      </c>
      <c r="AI324" s="2879"/>
      <c r="AJ324" s="2879"/>
      <c r="AK324" s="2879"/>
      <c r="AL324" s="2879">
        <f>+AL290/AH290*100-100</f>
        <v>-1.738996987246253</v>
      </c>
      <c r="AM324" s="2879"/>
      <c r="AN324" s="2879"/>
      <c r="AO324" s="2879"/>
      <c r="AP324" s="2879">
        <f>+AP290/AL290*100-100</f>
        <v>-1.5256382856297535</v>
      </c>
      <c r="AQ324" s="2879"/>
      <c r="AR324" s="2879"/>
      <c r="AS324" s="2879"/>
      <c r="AT324" s="2879">
        <f>+AT290/AP290*100-100</f>
        <v>-0.20117197282088739</v>
      </c>
      <c r="AU324" s="2879"/>
      <c r="AV324" s="2879"/>
      <c r="AW324" s="2879"/>
      <c r="AX324" s="2879">
        <f>+AX290/AT290*100-100</f>
        <v>-0.65073563237618259</v>
      </c>
      <c r="AY324" s="2879"/>
      <c r="AZ324" s="2879"/>
      <c r="BA324" s="2879"/>
      <c r="BB324" s="2879">
        <f>+BB290/AX290*100-100</f>
        <v>-0.13302014665892159</v>
      </c>
      <c r="BC324" s="2879"/>
      <c r="BD324" s="2879"/>
      <c r="BE324" s="2879"/>
      <c r="BF324" s="2879">
        <f>+BF290/BB290*100-100</f>
        <v>-0.21581338886034018</v>
      </c>
      <c r="BG324" s="2879"/>
      <c r="BH324" s="2879"/>
      <c r="BI324" s="2879"/>
      <c r="BJ324" s="2893">
        <f>+BJ290/BF290*100-100</f>
        <v>1.8164153254762994</v>
      </c>
      <c r="BK324" s="2893"/>
      <c r="BL324" s="2893"/>
      <c r="BM324" s="2893"/>
      <c r="BN324" s="2893">
        <f>+BN290/BJ290*100-100</f>
        <v>0.2381446292992706</v>
      </c>
      <c r="BO324" s="2893"/>
      <c r="BP324" s="2893"/>
      <c r="BQ324" s="2893"/>
      <c r="BR324" s="2893">
        <f>+BR290/BN290*100-100</f>
        <v>-2.8732967997218566</v>
      </c>
      <c r="BS324" s="2893"/>
      <c r="BT324" s="2893"/>
      <c r="BU324" s="2893"/>
      <c r="BV324" s="2893">
        <f>+BV290/BR290*100-100</f>
        <v>-0.65285389198082555</v>
      </c>
      <c r="BW324" s="2893"/>
      <c r="BX324" s="2893"/>
      <c r="BY324" s="2893"/>
      <c r="BZ324" s="2893">
        <f>+BZ290/BV290*100-100</f>
        <v>1.1195470338438014</v>
      </c>
      <c r="CA324" s="2893"/>
      <c r="CB324" s="2893"/>
      <c r="CC324" s="2893"/>
      <c r="CD324" s="2893">
        <f>+CD290/BZ290*100-100</f>
        <v>0.95613811826586925</v>
      </c>
      <c r="CE324" s="2893"/>
      <c r="CF324" s="2893"/>
      <c r="CG324" s="2893"/>
      <c r="CH324" s="2893">
        <f>+CH290/CD290*100-100</f>
        <v>7.6472516113852862E-2</v>
      </c>
      <c r="CI324" s="2893"/>
      <c r="CJ324" s="2893"/>
      <c r="CK324" s="2893"/>
      <c r="CL324" s="2893">
        <f>+CL290/CH290*100-100</f>
        <v>0.76582023377670794</v>
      </c>
      <c r="CM324" s="2893"/>
      <c r="CN324" s="2893"/>
      <c r="CO324" s="2893"/>
      <c r="CP324" s="2893">
        <f>+CP290/CL290*100-100</f>
        <v>0.68666666666665321</v>
      </c>
      <c r="CQ324" s="2893"/>
      <c r="CR324" s="2893"/>
      <c r="CS324" s="2893"/>
      <c r="CT324" s="2893">
        <f>+CT290/CP290*100-100</f>
        <v>0.71922796795338684</v>
      </c>
      <c r="CU324" s="2893"/>
      <c r="CV324" s="2893"/>
      <c r="CW324" s="2893"/>
      <c r="CX324" s="2893">
        <f>+CX290/CT290*100-100</f>
        <v>0.78052000801136501</v>
      </c>
      <c r="CY324" s="2893"/>
      <c r="CZ324" s="2893"/>
      <c r="DA324" s="2893"/>
      <c r="DB324" s="2893">
        <f>+DB290/CX290*100-100</f>
        <v>1.0292044895203247</v>
      </c>
      <c r="DC324"/>
      <c r="DD324"/>
      <c r="DE324"/>
      <c r="DF324"/>
      <c r="DG324"/>
      <c r="DH324"/>
      <c r="DI324"/>
      <c r="DJ324"/>
      <c r="DK324"/>
      <c r="DL324"/>
      <c r="DM324"/>
      <c r="DN324"/>
      <c r="DO324"/>
    </row>
    <row r="325" spans="1:119">
      <c r="C325" s="932"/>
      <c r="D325" s="674"/>
      <c r="E325" s="3545" t="str">
        <f>+E312</f>
        <v>Energy</v>
      </c>
      <c r="F325" s="3057"/>
      <c r="G325" s="2881"/>
      <c r="H325" s="2881"/>
      <c r="I325" s="2881"/>
      <c r="J325" s="2881"/>
      <c r="K325" s="2881"/>
      <c r="L325" s="2881"/>
      <c r="M325" s="2881"/>
      <c r="N325" s="2881"/>
      <c r="O325" s="2881"/>
      <c r="P325" s="2881"/>
      <c r="Q325" s="2881"/>
      <c r="R325" s="2881">
        <f>+R291/N291*100-100</f>
        <v>19.524917743359296</v>
      </c>
      <c r="S325" s="2881"/>
      <c r="T325" s="2881"/>
      <c r="U325" s="2881"/>
      <c r="V325" s="2881">
        <f>+V291/R291*100-100</f>
        <v>14.838189875117493</v>
      </c>
      <c r="W325" s="2881"/>
      <c r="X325" s="2881"/>
      <c r="Y325" s="2881"/>
      <c r="Z325" s="2881">
        <f>+Z291/V291*100-100</f>
        <v>8.9413782351107045</v>
      </c>
      <c r="AA325" s="2881"/>
      <c r="AB325" s="2881"/>
      <c r="AC325" s="2881"/>
      <c r="AD325" s="2881">
        <f>+AD291/Z291*100-100</f>
        <v>17.266547406082282</v>
      </c>
      <c r="AE325" s="2881"/>
      <c r="AF325" s="2881"/>
      <c r="AG325" s="2881"/>
      <c r="AH325" s="2881">
        <f>+AH291/AD291*100-100</f>
        <v>-2.8984622894810741E-2</v>
      </c>
      <c r="AI325" s="2881"/>
      <c r="AJ325" s="2881"/>
      <c r="AK325" s="2881"/>
      <c r="AL325" s="2881">
        <f>+AL291/AH291*100-100</f>
        <v>1.6876993270565919</v>
      </c>
      <c r="AM325" s="2881"/>
      <c r="AN325" s="2881"/>
      <c r="AO325" s="2881"/>
      <c r="AP325" s="2881">
        <f>+AP291/AL291*100-100</f>
        <v>1.0759465178048941</v>
      </c>
      <c r="AQ325" s="2881"/>
      <c r="AR325" s="2881"/>
      <c r="AS325" s="2881"/>
      <c r="AT325" s="2881">
        <f>+AT291/AP291*100-100</f>
        <v>2.7302690183502705</v>
      </c>
      <c r="AU325" s="2881"/>
      <c r="AV325" s="2881"/>
      <c r="AW325" s="2881"/>
      <c r="AX325" s="2881">
        <f>+AX291/AT291*100-100</f>
        <v>7.2288460148854767</v>
      </c>
      <c r="AY325" s="2881"/>
      <c r="AZ325" s="2881"/>
      <c r="BA325" s="2881"/>
      <c r="BB325" s="2881">
        <f>+BB291/AX291*100-100</f>
        <v>7.5906033936681894</v>
      </c>
      <c r="BC325" s="2881"/>
      <c r="BD325" s="2881"/>
      <c r="BE325" s="2881"/>
      <c r="BF325" s="2881">
        <f>+BF291/BB291*100-100</f>
        <v>6.8295982662942123</v>
      </c>
      <c r="BG325" s="2881"/>
      <c r="BH325" s="2881"/>
      <c r="BI325" s="2881"/>
      <c r="BJ325" s="1519">
        <f>+BJ291/BF291*100-100</f>
        <v>17.923101276954995</v>
      </c>
      <c r="BK325" s="1519"/>
      <c r="BL325" s="1519"/>
      <c r="BM325" s="1519"/>
      <c r="BN325" s="1519">
        <f>+BN291/BJ291*100-100</f>
        <v>8.1657816757154507</v>
      </c>
      <c r="BO325" s="1519"/>
      <c r="BP325" s="1519"/>
      <c r="BQ325" s="1519"/>
      <c r="BR325" s="1519">
        <f>+BR291/BN291*100-100</f>
        <v>10.401000202246763</v>
      </c>
      <c r="BS325" s="1519"/>
      <c r="BT325" s="1519"/>
      <c r="BU325" s="1519"/>
      <c r="BV325" s="1519">
        <f>+BV291/BR291*100-100</f>
        <v>12.042434133830753</v>
      </c>
      <c r="BW325" s="1519"/>
      <c r="BX325" s="1519"/>
      <c r="BY325" s="1519"/>
      <c r="BZ325" s="1519">
        <f>+BZ291/BV291*100-100</f>
        <v>6.6568069325326746</v>
      </c>
      <c r="CA325" s="1519"/>
      <c r="CB325" s="1519"/>
      <c r="CC325" s="1519"/>
      <c r="CD325" s="1519">
        <f>+CD291/BZ291*100-100</f>
        <v>-1.244503905623958</v>
      </c>
      <c r="CE325" s="1519"/>
      <c r="CF325" s="1519"/>
      <c r="CG325" s="1519"/>
      <c r="CH325" s="1519">
        <f>+CH291/CD291*100-100</f>
        <v>-3.9604868583524535</v>
      </c>
      <c r="CI325" s="1519"/>
      <c r="CJ325" s="1519"/>
      <c r="CK325" s="1519"/>
      <c r="CL325" s="1519">
        <f>+CL291/CH291*100-100</f>
        <v>-11.838045139297051</v>
      </c>
      <c r="CM325" s="1519"/>
      <c r="CN325" s="1519"/>
      <c r="CO325" s="1519"/>
      <c r="CP325" s="1519">
        <f>+CP291/CL291*100-100</f>
        <v>-7.1842265352211285</v>
      </c>
      <c r="CQ325" s="1519"/>
      <c r="CR325" s="1519"/>
      <c r="CS325" s="1519"/>
      <c r="CT325" s="1519">
        <f>+CT291/CP291*100-100</f>
        <v>4.6831510711271562</v>
      </c>
      <c r="CU325" s="1519"/>
      <c r="CV325" s="1519"/>
      <c r="CW325" s="1519"/>
      <c r="CX325" s="1519">
        <f>+CX291/CT291*100-100</f>
        <v>5.5586672796458458</v>
      </c>
      <c r="CY325" s="1519"/>
      <c r="CZ325" s="1519"/>
      <c r="DA325" s="1519"/>
      <c r="DB325" s="1519">
        <f>+DB291/CX291*100-100</f>
        <v>1.1752122007345776</v>
      </c>
    </row>
    <row r="326" spans="1:119">
      <c r="C326" s="932"/>
      <c r="D326" s="674"/>
      <c r="E326" s="3545" t="str">
        <f>+E313</f>
        <v>Unprocessed food</v>
      </c>
      <c r="F326" s="3057"/>
      <c r="G326" s="2881"/>
      <c r="H326" s="2881"/>
      <c r="I326" s="2881"/>
      <c r="J326" s="2881"/>
      <c r="K326" s="2881"/>
      <c r="L326" s="2881"/>
      <c r="M326" s="2881"/>
      <c r="N326" s="2881"/>
      <c r="O326" s="2881"/>
      <c r="P326" s="2881"/>
      <c r="Q326" s="2881"/>
      <c r="R326" s="2881">
        <f>+R292/N292*100-100</f>
        <v>4.9560757629614614</v>
      </c>
      <c r="S326" s="2881"/>
      <c r="T326" s="2881"/>
      <c r="U326" s="2881"/>
      <c r="V326" s="2881">
        <f>+V292/R292*100-100</f>
        <v>0.91320334800909109</v>
      </c>
      <c r="W326" s="2881"/>
      <c r="X326" s="2881"/>
      <c r="Y326" s="2881"/>
      <c r="Z326" s="2881">
        <f>+Z292/V292*100-100</f>
        <v>-5.6154187292492992</v>
      </c>
      <c r="AA326" s="2881"/>
      <c r="AB326" s="2881"/>
      <c r="AC326" s="2881"/>
      <c r="AD326" s="2881">
        <f>+AD292/Z292*100-100</f>
        <v>-3.4338252101694167</v>
      </c>
      <c r="AE326" s="2881"/>
      <c r="AF326" s="2881"/>
      <c r="AG326" s="2881"/>
      <c r="AH326" s="2881">
        <f>+AH292/AD292*100-100</f>
        <v>8.9700428710449671</v>
      </c>
      <c r="AI326" s="2881"/>
      <c r="AJ326" s="2881"/>
      <c r="AK326" s="2881"/>
      <c r="AL326" s="2881">
        <f>+AL292/AH292*100-100</f>
        <v>-2.1891555941735135</v>
      </c>
      <c r="AM326" s="2881"/>
      <c r="AN326" s="2881"/>
      <c r="AO326" s="2881"/>
      <c r="AP326" s="2881">
        <f>+AP292/AL292*100-100</f>
        <v>-11.991511307974193</v>
      </c>
      <c r="AQ326" s="2881"/>
      <c r="AR326" s="2881"/>
      <c r="AS326" s="2881"/>
      <c r="AT326" s="2881">
        <f>+AT292/AP292*100-100</f>
        <v>2.4884340389737929</v>
      </c>
      <c r="AU326" s="2881"/>
      <c r="AV326" s="2881"/>
      <c r="AW326" s="2881"/>
      <c r="AX326" s="2881">
        <f>+AX292/AT292*100-100</f>
        <v>6.3867040558101422</v>
      </c>
      <c r="AY326" s="2881"/>
      <c r="AZ326" s="2881"/>
      <c r="BA326" s="2881"/>
      <c r="BB326" s="2881">
        <f>+BB292/AX292*100-100</f>
        <v>8.0631059222876473</v>
      </c>
      <c r="BC326" s="2881"/>
      <c r="BD326" s="2881"/>
      <c r="BE326" s="2881"/>
      <c r="BF326" s="2881">
        <f>+BF292/BB292*100-100</f>
        <v>8.6798738770896762</v>
      </c>
      <c r="BG326" s="2881"/>
      <c r="BH326" s="2881"/>
      <c r="BI326" s="2881"/>
      <c r="BJ326" s="1519">
        <f>+BJ292/BF292*100-100</f>
        <v>15.131377271731978</v>
      </c>
      <c r="BK326" s="1519"/>
      <c r="BL326" s="1519"/>
      <c r="BM326" s="1519"/>
      <c r="BN326" s="1519">
        <f>+BN292/BJ292*100-100</f>
        <v>3.1066650184003493</v>
      </c>
      <c r="BO326" s="1519"/>
      <c r="BP326" s="1519"/>
      <c r="BQ326" s="1519"/>
      <c r="BR326" s="1519">
        <f>+BR292/BN292*100-100</f>
        <v>-2.3084443132770076</v>
      </c>
      <c r="BS326" s="1519"/>
      <c r="BT326" s="1519"/>
      <c r="BU326" s="1519"/>
      <c r="BV326" s="1519">
        <f>+BV292/BR292*100-100</f>
        <v>5.0271418456455024</v>
      </c>
      <c r="BW326" s="1519"/>
      <c r="BX326" s="1519"/>
      <c r="BY326" s="1519"/>
      <c r="BZ326" s="1519">
        <f>+BZ292/BV292*100-100</f>
        <v>3.34382022471911</v>
      </c>
      <c r="CA326" s="1519"/>
      <c r="CB326" s="1519"/>
      <c r="CC326" s="1519"/>
      <c r="CD326" s="1519">
        <f>+CD292/BZ292*100-100</f>
        <v>3.2373662694615888</v>
      </c>
      <c r="CE326" s="1519"/>
      <c r="CF326" s="1519"/>
      <c r="CG326" s="1519"/>
      <c r="CH326" s="1519">
        <f>+CH292/CD292*100-100</f>
        <v>0.33700670643345632</v>
      </c>
      <c r="CI326" s="1519"/>
      <c r="CJ326" s="1519"/>
      <c r="CK326" s="1519"/>
      <c r="CL326" s="1519">
        <f>+CL292/CH292*100-100</f>
        <v>0.7632754509119053</v>
      </c>
      <c r="CM326" s="1519"/>
      <c r="CN326" s="1519"/>
      <c r="CO326" s="1519"/>
      <c r="CP326" s="1519">
        <f>+CP292/CL292*100-100</f>
        <v>1.514987375105207</v>
      </c>
      <c r="CQ326" s="1519"/>
      <c r="CR326" s="1519"/>
      <c r="CS326" s="1519"/>
      <c r="CT326" s="1519">
        <f>+CT292/CP292*100-100</f>
        <v>1.637675567850664</v>
      </c>
      <c r="CU326" s="1519"/>
      <c r="CV326" s="1519"/>
      <c r="CW326" s="1519"/>
      <c r="CX326" s="1519">
        <f>+CX292/CT292*100-100</f>
        <v>0.52914406292126159</v>
      </c>
      <c r="CY326" s="1519"/>
      <c r="CZ326" s="1519"/>
      <c r="DA326" s="1519"/>
      <c r="DB326" s="1519">
        <f>+DB292/CX292*100-100</f>
        <v>0.89030342846490385</v>
      </c>
    </row>
    <row r="327" spans="1:119">
      <c r="C327" s="932"/>
      <c r="D327" s="674"/>
      <c r="E327" s="3545" t="str">
        <f>+E314</f>
        <v>Processed food (incl. Alcohol and tobacco)</v>
      </c>
      <c r="F327" s="3057"/>
      <c r="G327" s="2881"/>
      <c r="H327" s="2881"/>
      <c r="I327" s="2881"/>
      <c r="J327" s="2881"/>
      <c r="K327" s="2881"/>
      <c r="L327" s="2881"/>
      <c r="M327" s="2881"/>
      <c r="N327" s="2881"/>
      <c r="O327" s="2881"/>
      <c r="P327" s="2881"/>
      <c r="Q327" s="2881"/>
      <c r="R327" s="2881">
        <f>+R293/N293*100-100</f>
        <v>9.5287063551076585</v>
      </c>
      <c r="S327" s="2881"/>
      <c r="T327" s="2881"/>
      <c r="U327" s="2881"/>
      <c r="V327" s="2881">
        <f>+V293/R293*100-100</f>
        <v>1.229200369771192</v>
      </c>
      <c r="W327" s="2881"/>
      <c r="X327" s="2881"/>
      <c r="Y327" s="2881"/>
      <c r="Z327" s="2881">
        <f>+Z293/V293*100-100</f>
        <v>-0.61926572777991851</v>
      </c>
      <c r="AA327" s="2881"/>
      <c r="AB327" s="2881"/>
      <c r="AC327" s="2881"/>
      <c r="AD327" s="2881">
        <f>+AD293/Z293*100-100</f>
        <v>-3.8392511019540763</v>
      </c>
      <c r="AE327" s="2881"/>
      <c r="AF327" s="2881"/>
      <c r="AG327" s="2881"/>
      <c r="AH327" s="2881">
        <f>+AH293/AD293*100-100</f>
        <v>-0.19858156028368512</v>
      </c>
      <c r="AI327" s="2881"/>
      <c r="AJ327" s="2881"/>
      <c r="AK327" s="2881"/>
      <c r="AL327" s="2881">
        <f>+AL293/AH293*100-100</f>
        <v>0.77795398102989566</v>
      </c>
      <c r="AM327" s="2881"/>
      <c r="AN327" s="2881"/>
      <c r="AO327" s="2881"/>
      <c r="AP327" s="2881">
        <f>+AP293/AL293*100-100</f>
        <v>3.1070930198034574</v>
      </c>
      <c r="AQ327" s="2881"/>
      <c r="AR327" s="2881"/>
      <c r="AS327" s="2881"/>
      <c r="AT327" s="2881">
        <f>+AT293/AP293*100-100</f>
        <v>2.300770282917</v>
      </c>
      <c r="AU327" s="2881"/>
      <c r="AV327" s="2881"/>
      <c r="AW327" s="2881"/>
      <c r="AX327" s="2881">
        <f>+AX293/AT293*100-100</f>
        <v>1.4074001097771998</v>
      </c>
      <c r="AY327" s="2881"/>
      <c r="AZ327" s="2881"/>
      <c r="BA327" s="2881"/>
      <c r="BB327" s="2881">
        <f>+BB293/AX293*100-100</f>
        <v>2.731322776289673</v>
      </c>
      <c r="BC327" s="2881"/>
      <c r="BD327" s="2881"/>
      <c r="BE327" s="2881"/>
      <c r="BF327" s="2881">
        <f>+BF293/BB293*100-100</f>
        <v>10.447035300793033</v>
      </c>
      <c r="BG327" s="2881"/>
      <c r="BH327" s="2881"/>
      <c r="BI327" s="2881"/>
      <c r="BJ327" s="1519">
        <f>+BJ293/BF293*100-100</f>
        <v>15.907478533160457</v>
      </c>
      <c r="BK327" s="1519"/>
      <c r="BL327" s="1519"/>
      <c r="BM327" s="1519"/>
      <c r="BN327" s="1519">
        <f>+BN293/BJ293*100-100</f>
        <v>5.8221382665498709</v>
      </c>
      <c r="BO327" s="1519"/>
      <c r="BP327" s="1519"/>
      <c r="BQ327" s="1519"/>
      <c r="BR327" s="1519">
        <f>+BR293/BN293*100-100</f>
        <v>5.2156049303921321</v>
      </c>
      <c r="BS327" s="1519"/>
      <c r="BT327" s="1519"/>
      <c r="BU327" s="1519"/>
      <c r="BV327" s="1519">
        <f>+BV293/BR293*100-100</f>
        <v>7.0176103728697683</v>
      </c>
      <c r="BW327" s="1519"/>
      <c r="BX327" s="1519"/>
      <c r="BY327" s="1519"/>
      <c r="BZ327" s="1519">
        <f>+BZ293/BV293*100-100</f>
        <v>3.1387831015853465</v>
      </c>
      <c r="CA327" s="1519"/>
      <c r="CB327" s="1519"/>
      <c r="CC327" s="1519"/>
      <c r="CD327" s="1519">
        <f>+CD293/BZ293*100-100</f>
        <v>1.3550414756040965</v>
      </c>
      <c r="CE327" s="1519"/>
      <c r="CF327" s="1519"/>
      <c r="CG327" s="1519"/>
      <c r="CH327" s="1519">
        <f>+CH293/CD293*100-100</f>
        <v>2.1494171072251618</v>
      </c>
      <c r="CI327" s="1519"/>
      <c r="CJ327" s="1519"/>
      <c r="CK327" s="1519"/>
      <c r="CL327" s="1519">
        <f>+CL293/CH293*100-100</f>
        <v>-0.47192893695725502</v>
      </c>
      <c r="CM327" s="1519"/>
      <c r="CN327" s="1519"/>
      <c r="CO327" s="1519"/>
      <c r="CP327" s="1519">
        <f>+CP293/CL293*100-100</f>
        <v>2.2291666666666856</v>
      </c>
      <c r="CQ327" s="1519"/>
      <c r="CR327" s="1519"/>
      <c r="CS327" s="1519"/>
      <c r="CT327" s="1519">
        <f>+CT293/CP293*100-100</f>
        <v>7.1196250254737805</v>
      </c>
      <c r="CU327" s="1519"/>
      <c r="CV327" s="1519"/>
      <c r="CW327" s="1519"/>
      <c r="CX327" s="1519">
        <f>+CX293/CT293*100-100</f>
        <v>3.6037323774764047</v>
      </c>
      <c r="CY327" s="1519"/>
      <c r="CZ327" s="1519"/>
      <c r="DA327" s="1519"/>
      <c r="DB327" s="1519">
        <f>+DB293/CX293*100-100</f>
        <v>3.0408328777084392</v>
      </c>
    </row>
    <row r="328" spans="1:119">
      <c r="C328" s="690"/>
      <c r="D328" s="691"/>
      <c r="E328" s="3644" t="str">
        <f>+E315</f>
        <v>Services</v>
      </c>
      <c r="F328" s="3645"/>
      <c r="G328" s="2882"/>
      <c r="H328" s="2882"/>
      <c r="I328" s="2882"/>
      <c r="J328" s="2882"/>
      <c r="K328" s="2882"/>
      <c r="L328" s="2882"/>
      <c r="M328" s="2882"/>
      <c r="N328" s="2882"/>
      <c r="O328" s="2882"/>
      <c r="P328" s="2882"/>
      <c r="Q328" s="2882"/>
      <c r="R328" s="2882">
        <f>+R294/N294*100-100</f>
        <v>15.639188977610758</v>
      </c>
      <c r="S328" s="2882"/>
      <c r="T328" s="2882"/>
      <c r="U328" s="2882"/>
      <c r="V328" s="2882">
        <f>+V294/R294*100-100</f>
        <v>11.36967522466874</v>
      </c>
      <c r="W328" s="2882"/>
      <c r="X328" s="2882"/>
      <c r="Y328" s="2882"/>
      <c r="Z328" s="2882">
        <f>+Z294/V294*100-100</f>
        <v>6.6074006534457794</v>
      </c>
      <c r="AA328" s="2882"/>
      <c r="AB328" s="2882"/>
      <c r="AC328" s="2882"/>
      <c r="AD328" s="2882">
        <f>+AD294/Z294*100-100</f>
        <v>5.3198010063717902</v>
      </c>
      <c r="AE328" s="2882"/>
      <c r="AF328" s="2882"/>
      <c r="AG328" s="2882"/>
      <c r="AH328" s="2882">
        <f>+AH294/AD294*100-100</f>
        <v>4.4474521215402234</v>
      </c>
      <c r="AI328" s="2882"/>
      <c r="AJ328" s="2882"/>
      <c r="AK328" s="2882"/>
      <c r="AL328" s="2882">
        <f>+AL294/AH294*100-100</f>
        <v>3.2356714309779591</v>
      </c>
      <c r="AM328" s="2882"/>
      <c r="AN328" s="2882"/>
      <c r="AO328" s="2882"/>
      <c r="AP328" s="2882">
        <f>+AP294/AL294*100-100</f>
        <v>0.30376060651704506</v>
      </c>
      <c r="AQ328" s="2882"/>
      <c r="AR328" s="2882"/>
      <c r="AS328" s="2882"/>
      <c r="AT328" s="2882">
        <f>+AT294/AP294*100-100</f>
        <v>-0.31910899762233669</v>
      </c>
      <c r="AU328" s="2882"/>
      <c r="AV328" s="2882"/>
      <c r="AW328" s="2882"/>
      <c r="AX328" s="2882">
        <f>+AX294/AT294*100-100</f>
        <v>3.3255916138346748</v>
      </c>
      <c r="AY328" s="2882"/>
      <c r="AZ328" s="2882"/>
      <c r="BA328" s="2882"/>
      <c r="BB328" s="2882">
        <f>+BB294/AX294*100-100</f>
        <v>4.8345159409020084</v>
      </c>
      <c r="BC328" s="2882"/>
      <c r="BD328" s="2882"/>
      <c r="BE328" s="2882"/>
      <c r="BF328" s="2882">
        <f>+BF294/BB294*100-100</f>
        <v>6.8089890244891649</v>
      </c>
      <c r="BG328" s="2882"/>
      <c r="BH328" s="2882"/>
      <c r="BI328" s="2882"/>
      <c r="BJ328" s="2894">
        <f>+BJ294/BF294*100-100</f>
        <v>12.167147724559996</v>
      </c>
      <c r="BK328" s="2894"/>
      <c r="BL328" s="2894"/>
      <c r="BM328" s="2894"/>
      <c r="BN328" s="2894">
        <f>+BN294/BJ294*100-100</f>
        <v>5.7549989842412401</v>
      </c>
      <c r="BO328" s="2894"/>
      <c r="BP328" s="2894"/>
      <c r="BQ328" s="2894"/>
      <c r="BR328" s="2894">
        <f>+BR294/BN294*100-100</f>
        <v>-1.4946944749359545</v>
      </c>
      <c r="BS328" s="2894"/>
      <c r="BT328" s="2894"/>
      <c r="BU328" s="2894"/>
      <c r="BV328" s="2894">
        <f>+BV294/BR294*100-100</f>
        <v>1.2555021079806039</v>
      </c>
      <c r="BW328" s="2894"/>
      <c r="BX328" s="2894"/>
      <c r="BY328" s="2894"/>
      <c r="BZ328" s="2894">
        <f>+BZ294/BV294*100-100</f>
        <v>2.8907353399731903</v>
      </c>
      <c r="CA328" s="2894"/>
      <c r="CB328" s="2894"/>
      <c r="CC328" s="2894"/>
      <c r="CD328" s="2894">
        <f>+CD294/BZ294*100-100</f>
        <v>1.8513236473839214</v>
      </c>
      <c r="CE328" s="2894"/>
      <c r="CF328" s="2894"/>
      <c r="CG328" s="2894"/>
      <c r="CH328" s="2894">
        <f>+CH294/CD294*100-100</f>
        <v>1.6023873909352631</v>
      </c>
      <c r="CI328" s="2894"/>
      <c r="CJ328" s="2894"/>
      <c r="CK328" s="2894"/>
      <c r="CL328" s="2894">
        <f>+CL294/CH294*100-100</f>
        <v>3.3626763596271871</v>
      </c>
      <c r="CM328" s="2894"/>
      <c r="CN328" s="2894"/>
      <c r="CO328" s="2894"/>
      <c r="CP328" s="2894">
        <f>+CP294/CL294*100-100</f>
        <v>3.1532807786537091</v>
      </c>
      <c r="CQ328" s="2894"/>
      <c r="CR328" s="2894"/>
      <c r="CS328" s="2894"/>
      <c r="CT328" s="2894">
        <f>+CT294/CP294*100-100</f>
        <v>5.0385342445834027</v>
      </c>
      <c r="CU328" s="2894"/>
      <c r="CV328" s="2894"/>
      <c r="CW328" s="2894"/>
      <c r="CX328" s="2894">
        <f>+CX294/CT294*100-100</f>
        <v>4.1025089995070658</v>
      </c>
      <c r="CY328" s="2894"/>
      <c r="CZ328" s="2894"/>
      <c r="DA328" s="2894"/>
      <c r="DB328" s="2894">
        <f>+DB294/CX294*100-100</f>
        <v>4.3754541714286432</v>
      </c>
    </row>
    <row r="329" spans="1:119">
      <c r="C329" s="674"/>
      <c r="D329" s="717"/>
      <c r="E329" s="3636" t="str">
        <f>+E317</f>
        <v>HICP</v>
      </c>
      <c r="F329" s="3634"/>
      <c r="G329" s="2854"/>
      <c r="H329" s="2854"/>
      <c r="I329" s="2854"/>
      <c r="J329" s="2854"/>
      <c r="K329" s="2854"/>
      <c r="L329" s="2854"/>
      <c r="M329" s="2854"/>
      <c r="N329" s="2854" t="e">
        <f>+N296/J296*100-100</f>
        <v>#DIV/0!</v>
      </c>
      <c r="O329" s="2854"/>
      <c r="P329" s="2854"/>
      <c r="Q329" s="2854"/>
      <c r="R329" s="2854">
        <f>+R296/N296*100-100</f>
        <v>10.31604831127504</v>
      </c>
      <c r="S329" s="2854"/>
      <c r="T329" s="2854"/>
      <c r="U329" s="2854"/>
      <c r="V329" s="2854">
        <f>+V296/R296*100-100</f>
        <v>5.3692947146210201</v>
      </c>
      <c r="W329" s="2854"/>
      <c r="X329" s="2854"/>
      <c r="Y329" s="2854"/>
      <c r="Z329" s="2854">
        <f>+Z296/V296*100-100</f>
        <v>1.4434683059157294</v>
      </c>
      <c r="AA329" s="2854"/>
      <c r="AB329" s="2854"/>
      <c r="AC329" s="2854"/>
      <c r="AD329" s="2854">
        <f>+AD296/Z296*100-100</f>
        <v>1.0941831652805121</v>
      </c>
      <c r="AE329" s="2854"/>
      <c r="AF329" s="2854"/>
      <c r="AG329" s="2854"/>
      <c r="AH329" s="2854">
        <f>+AH296/AD296*100-100</f>
        <v>1.549494018006655</v>
      </c>
      <c r="AI329" s="2854"/>
      <c r="AJ329" s="2854"/>
      <c r="AK329" s="2854"/>
      <c r="AL329" s="2854">
        <f>+AL296/AH296*100-100</f>
        <v>0.33575892270374652</v>
      </c>
      <c r="AM329" s="2854"/>
      <c r="AN329" s="2854"/>
      <c r="AO329" s="2854"/>
      <c r="AP329" s="2854">
        <f>+AP296/AL296*100-100</f>
        <v>-1.0765493259657859</v>
      </c>
      <c r="AQ329" s="2854"/>
      <c r="AR329" s="2854"/>
      <c r="AS329" s="2854"/>
      <c r="AT329" s="2854">
        <f>+AT296/AP296*100-100</f>
        <v>1.1544758511099218</v>
      </c>
      <c r="AU329" s="2854"/>
      <c r="AV329" s="2854"/>
      <c r="AW329" s="2854"/>
      <c r="AX329" s="2854">
        <f>+AX296/AT296*100-100</f>
        <v>2.671760267533088</v>
      </c>
      <c r="AY329" s="2854"/>
      <c r="AZ329" s="2854"/>
      <c r="BA329" s="2854"/>
      <c r="BB329" s="2854">
        <f>+BB296/AX296*100-100</f>
        <v>3.7567229228486525</v>
      </c>
      <c r="BC329" s="2854"/>
      <c r="BD329" s="2854"/>
      <c r="BE329" s="2854"/>
      <c r="BF329" s="2854">
        <f>+BF296/BB296*100-100</f>
        <v>5.8181493190933224</v>
      </c>
      <c r="BG329" s="2854"/>
      <c r="BH329" s="2854"/>
      <c r="BI329" s="2854"/>
      <c r="BJ329" s="2866">
        <f ca="1">+BJ296/BF296*100-100</f>
        <v>11.091410112175311</v>
      </c>
      <c r="BK329" s="2866"/>
      <c r="BL329" s="2854"/>
      <c r="BM329" s="2866"/>
      <c r="BN329" s="2866">
        <f ca="1">+BN296/BJ296*100-100</f>
        <v>4.1579434061982568</v>
      </c>
      <c r="BO329" s="2866"/>
      <c r="BP329" s="2854"/>
      <c r="BQ329" s="2866"/>
      <c r="BR329" s="2866">
        <f ca="1">+BR296/BN296*100-100</f>
        <v>1.210596271385441</v>
      </c>
      <c r="BS329" s="2866"/>
      <c r="BT329" s="2854"/>
      <c r="BU329" s="2866"/>
      <c r="BV329" s="2866">
        <f ca="1">+BV296/BR296*100-100</f>
        <v>4.1469714292677367</v>
      </c>
      <c r="BW329" s="2866"/>
      <c r="BX329" s="2854"/>
      <c r="BY329" s="2866"/>
      <c r="BZ329" s="2866">
        <f ca="1">+BZ296/BV296*100-100</f>
        <v>3.1747936225844882</v>
      </c>
      <c r="CA329" s="2866"/>
      <c r="CB329" s="2854"/>
      <c r="CC329" s="2866"/>
      <c r="CD329" s="2866">
        <f ca="1">+CD296/BZ296*100-100</f>
        <v>1.1568487617454224</v>
      </c>
      <c r="CE329" s="2866"/>
      <c r="CF329" s="2854"/>
      <c r="CG329" s="2866"/>
      <c r="CH329" s="2866">
        <f ca="1">+CH296/CD296*100-100</f>
        <v>0.23523211230831009</v>
      </c>
      <c r="CI329" s="2866"/>
      <c r="CJ329" s="2854"/>
      <c r="CK329" s="2866"/>
      <c r="CL329" s="2866">
        <f ca="1">+CL296/CH296*100-100</f>
        <v>-0.65578090704427439</v>
      </c>
      <c r="CM329" s="2866"/>
      <c r="CN329" s="3737"/>
      <c r="CO329" s="2866"/>
      <c r="CP329" s="3356">
        <f ca="1">+CP296/CL296*100-100</f>
        <v>0.7005573017237765</v>
      </c>
      <c r="CQ329" s="2866"/>
      <c r="CR329" s="2854"/>
      <c r="CS329" s="2866"/>
      <c r="CT329" s="3356">
        <f ca="1">+CT296/CP296*100-100</f>
        <v>3.7189943820576019</v>
      </c>
      <c r="CU329" s="2866"/>
      <c r="CV329" s="2854"/>
      <c r="CW329" s="2866"/>
      <c r="CX329" s="3356">
        <f ca="1">+CX296/CT296*100-100</f>
        <v>2.8095001688776193</v>
      </c>
      <c r="CY329" s="2866"/>
      <c r="CZ329" s="2854"/>
      <c r="DA329" s="2866"/>
      <c r="DB329" s="3356">
        <f ca="1">+DB296/CX296*100-100</f>
        <v>2.3463849329505422</v>
      </c>
    </row>
    <row r="330" spans="1:119">
      <c r="C330" s="674"/>
      <c r="D330" s="717"/>
      <c r="E330" s="3636" t="s">
        <v>924</v>
      </c>
      <c r="F330" s="3634"/>
      <c r="G330" s="2854"/>
      <c r="H330" s="2854"/>
      <c r="I330" s="2854"/>
      <c r="J330" s="2854"/>
      <c r="K330" s="2854"/>
      <c r="L330" s="2854"/>
      <c r="M330" s="2854"/>
      <c r="N330" s="2854"/>
      <c r="O330" s="2854"/>
      <c r="P330" s="2854"/>
      <c r="Q330" s="2854"/>
      <c r="R330" s="2854">
        <f>+R299/N299*100-100</f>
        <v>10.336879197742647</v>
      </c>
      <c r="S330" s="2854"/>
      <c r="T330" s="2854"/>
      <c r="U330" s="2854"/>
      <c r="V330" s="2854">
        <f>+V299/R299*100-100</f>
        <v>4.4831312282386904</v>
      </c>
      <c r="W330" s="2854"/>
      <c r="X330" s="2854"/>
      <c r="Y330" s="2854"/>
      <c r="Z330" s="2854">
        <f>+Z299/V299*100-100</f>
        <v>1.7236624379481498</v>
      </c>
      <c r="AA330" s="2854"/>
      <c r="AB330" s="2854"/>
      <c r="AC330" s="2854"/>
      <c r="AD330" s="2854">
        <f>+AD299/Z299*100-100</f>
        <v>-1.1206000632596869</v>
      </c>
      <c r="AE330" s="2854"/>
      <c r="AF330" s="2854"/>
      <c r="AG330" s="2854"/>
      <c r="AH330" s="2854">
        <f>+AH299/AD299*100-100</f>
        <v>6.0549284832987382E-2</v>
      </c>
      <c r="AI330" s="2854"/>
      <c r="AJ330" s="2854"/>
      <c r="AK330" s="2854"/>
      <c r="AL330" s="2854">
        <f>+AL299/AH299*100-100</f>
        <v>0.59028372438203291</v>
      </c>
      <c r="AM330" s="2854"/>
      <c r="AN330" s="2854"/>
      <c r="AO330" s="2854"/>
      <c r="AP330" s="2854">
        <f>+AP299/AL299*100-100</f>
        <v>0.68783909559373058</v>
      </c>
      <c r="AQ330" s="2854"/>
      <c r="AR330" s="2854"/>
      <c r="AS330" s="2854"/>
      <c r="AT330" s="2854">
        <f>+AT299/AP299*100-100</f>
        <v>0.64143031068223877</v>
      </c>
      <c r="AU330" s="2854"/>
      <c r="AV330" s="2854"/>
      <c r="AW330" s="2854"/>
      <c r="AX330" s="2854">
        <f>+AX299/AT299*100-100</f>
        <v>1.2746844091983291</v>
      </c>
      <c r="AY330" s="2854"/>
      <c r="AZ330" s="2854"/>
      <c r="BA330" s="2854"/>
      <c r="BB330" s="2854">
        <f>+BB299/AX299*100-100</f>
        <v>2.3878781175689738</v>
      </c>
      <c r="BC330" s="2854"/>
      <c r="BD330" s="2854"/>
      <c r="BE330" s="2854"/>
      <c r="BF330" s="2854">
        <f>+BF299/BB299*100-100</f>
        <v>5.2131267958606173</v>
      </c>
      <c r="BG330" s="2854"/>
      <c r="BH330" s="2854"/>
      <c r="BI330" s="2854"/>
      <c r="BJ330" s="2866">
        <f ca="1">+BJ299/BF299*100-100</f>
        <v>9.3040817093685462</v>
      </c>
      <c r="BK330" s="2866"/>
      <c r="BL330" s="2866"/>
      <c r="BM330" s="2866"/>
      <c r="BN330" s="2866">
        <f ca="1">+BN299/BJ299*100-100</f>
        <v>3.6664401321471871</v>
      </c>
      <c r="BO330" s="2866"/>
      <c r="BP330" s="2866"/>
      <c r="BQ330" s="2866"/>
      <c r="BR330" s="2866">
        <f ca="1">+BR299/BN299*100-100</f>
        <v>-3.2996158514947638E-2</v>
      </c>
      <c r="BS330" s="2866"/>
      <c r="BT330" s="2866"/>
      <c r="BU330" s="2866"/>
      <c r="BV330" s="2866">
        <f ca="1">+BV299/BR299*100-100</f>
        <v>2.385261835899712</v>
      </c>
      <c r="BW330" s="2866"/>
      <c r="BX330" s="2866"/>
      <c r="BY330" s="2866"/>
      <c r="BZ330" s="2866">
        <f ca="1">+BZ299/BV299*100-100</f>
        <v>2.3790398684359673</v>
      </c>
      <c r="CA330" s="2866"/>
      <c r="CB330" s="2866"/>
      <c r="CC330" s="2866"/>
      <c r="CD330" s="2866">
        <f ca="1">+CD299/BZ299*100-100</f>
        <v>1.3985644094423719</v>
      </c>
      <c r="CE330" s="2866"/>
      <c r="CF330" s="2866"/>
      <c r="CG330" s="2866"/>
      <c r="CH330" s="2866">
        <f ca="1">+CH299/CD299*100-100</f>
        <v>1.1014200403015764</v>
      </c>
      <c r="CI330" s="2866"/>
      <c r="CJ330" s="2866"/>
      <c r="CK330" s="2866"/>
      <c r="CL330" s="2866">
        <f ca="1">+CL299/CH299*100-100</f>
        <v>1.2341217712224193</v>
      </c>
      <c r="CM330" s="2866"/>
      <c r="CN330" s="2866"/>
      <c r="CO330" s="2866"/>
      <c r="CP330" s="2866">
        <f ca="1">+CP299/CL299*100-100</f>
        <v>1.8596689009513909</v>
      </c>
      <c r="CQ330" s="2866"/>
      <c r="CR330" s="2866"/>
      <c r="CS330" s="2866"/>
      <c r="CT330" s="3673">
        <f ca="1">+CT299/CP299*100-100</f>
        <v>3.8340515646518014</v>
      </c>
      <c r="CU330" s="2866"/>
      <c r="CV330" s="2866"/>
      <c r="CW330" s="2866"/>
      <c r="CX330" s="3673">
        <f ca="1">+CX299/CT299*100-100</f>
        <v>2.6281814945884605</v>
      </c>
      <c r="CY330" s="2866"/>
      <c r="CZ330" s="2866"/>
      <c r="DA330" s="2866"/>
      <c r="DB330" s="2866">
        <f ca="1">+DB299/CX299*100-100</f>
        <v>2.6683069675598574</v>
      </c>
    </row>
    <row r="331" spans="1:119">
      <c r="E331" s="599"/>
      <c r="F331" s="3617"/>
      <c r="CM331" s="557"/>
      <c r="CN331" s="557"/>
      <c r="CO331" s="557"/>
      <c r="CP331" s="557"/>
      <c r="CQ331" s="557"/>
      <c r="CR331" s="557"/>
      <c r="CS331" s="557"/>
      <c r="CT331" s="557"/>
      <c r="CU331" s="557"/>
      <c r="CV331" s="557"/>
      <c r="CW331" s="557"/>
      <c r="CX331" s="557"/>
      <c r="CY331" s="557"/>
      <c r="CZ331" s="557"/>
      <c r="DA331" s="557"/>
      <c r="DB331" s="557"/>
    </row>
    <row r="332" spans="1:119" s="699" customFormat="1" ht="12.75" customHeight="1">
      <c r="A332" s="664"/>
      <c r="B332" s="664"/>
      <c r="C332" s="666"/>
      <c r="D332" s="858"/>
      <c r="E332" s="3625" t="s">
        <v>1419</v>
      </c>
      <c r="F332" s="3626"/>
      <c r="G332" s="1623" t="s">
        <v>1842</v>
      </c>
      <c r="H332" s="1622" t="s">
        <v>1843</v>
      </c>
      <c r="I332" s="1622" t="s">
        <v>1844</v>
      </c>
      <c r="J332" s="1622" t="s">
        <v>1845</v>
      </c>
      <c r="K332" s="1622" t="s">
        <v>1842</v>
      </c>
      <c r="L332" s="1622" t="s">
        <v>1843</v>
      </c>
      <c r="M332" s="1622" t="s">
        <v>1844</v>
      </c>
      <c r="N332" s="1622" t="s">
        <v>1845</v>
      </c>
      <c r="O332" s="1622" t="s">
        <v>1842</v>
      </c>
      <c r="P332" s="1622" t="s">
        <v>1843</v>
      </c>
      <c r="Q332" s="1622" t="s">
        <v>1844</v>
      </c>
      <c r="R332" s="1622" t="s">
        <v>1845</v>
      </c>
      <c r="S332" s="1622" t="s">
        <v>1842</v>
      </c>
      <c r="T332" s="1622" t="s">
        <v>1843</v>
      </c>
      <c r="U332" s="1622" t="s">
        <v>1844</v>
      </c>
      <c r="V332" s="1622" t="s">
        <v>1845</v>
      </c>
      <c r="W332" s="1622" t="s">
        <v>1842</v>
      </c>
      <c r="X332" s="1622" t="s">
        <v>1843</v>
      </c>
      <c r="Y332" s="1622" t="s">
        <v>1844</v>
      </c>
      <c r="Z332" s="1622" t="s">
        <v>1845</v>
      </c>
      <c r="AA332" s="1622" t="s">
        <v>1842</v>
      </c>
      <c r="AB332" s="1622" t="s">
        <v>1843</v>
      </c>
      <c r="AC332" s="1622" t="s">
        <v>1844</v>
      </c>
      <c r="AD332" s="1622" t="s">
        <v>1845</v>
      </c>
      <c r="AE332" s="1622" t="s">
        <v>1842</v>
      </c>
      <c r="AF332" s="1622" t="s">
        <v>1843</v>
      </c>
      <c r="AG332" s="1622" t="s">
        <v>1844</v>
      </c>
      <c r="AH332" s="1622" t="s">
        <v>1845</v>
      </c>
      <c r="AI332" s="1622" t="s">
        <v>1842</v>
      </c>
      <c r="AJ332" s="1622" t="s">
        <v>1843</v>
      </c>
      <c r="AK332" s="1622" t="s">
        <v>1844</v>
      </c>
      <c r="AL332" s="1622" t="s">
        <v>1845</v>
      </c>
      <c r="AM332" s="1622" t="s">
        <v>1842</v>
      </c>
      <c r="AN332" s="1622" t="s">
        <v>1843</v>
      </c>
      <c r="AO332" s="1622" t="s">
        <v>1844</v>
      </c>
      <c r="AP332" s="1622" t="s">
        <v>1845</v>
      </c>
      <c r="AQ332" s="1622" t="s">
        <v>1842</v>
      </c>
      <c r="AR332" s="1622" t="s">
        <v>1843</v>
      </c>
      <c r="AS332" s="1622" t="s">
        <v>1844</v>
      </c>
      <c r="AT332" s="1622" t="s">
        <v>1845</v>
      </c>
      <c r="AU332" s="1622" t="s">
        <v>1842</v>
      </c>
      <c r="AV332" s="1622" t="s">
        <v>1843</v>
      </c>
      <c r="AW332" s="1622" t="s">
        <v>1844</v>
      </c>
      <c r="AX332" s="1622" t="s">
        <v>1845</v>
      </c>
      <c r="AY332" s="1622" t="s">
        <v>1842</v>
      </c>
      <c r="AZ332" s="1622" t="s">
        <v>1843</v>
      </c>
      <c r="BA332" s="1622" t="s">
        <v>1844</v>
      </c>
      <c r="BB332" s="1622" t="s">
        <v>1845</v>
      </c>
      <c r="BC332" s="1622" t="s">
        <v>1842</v>
      </c>
      <c r="BD332" s="1622" t="s">
        <v>1843</v>
      </c>
      <c r="BE332" s="1622" t="s">
        <v>1844</v>
      </c>
      <c r="BF332" s="1622" t="s">
        <v>1845</v>
      </c>
      <c r="BG332" s="1622" t="s">
        <v>1842</v>
      </c>
      <c r="BH332" s="1622" t="s">
        <v>1843</v>
      </c>
      <c r="BI332" s="1622" t="s">
        <v>1844</v>
      </c>
      <c r="BJ332" s="1622" t="s">
        <v>1845</v>
      </c>
      <c r="BK332" s="1622" t="s">
        <v>1842</v>
      </c>
      <c r="BL332" s="1622" t="s">
        <v>1843</v>
      </c>
      <c r="BM332" s="1622" t="s">
        <v>1844</v>
      </c>
      <c r="BN332" s="1622" t="s">
        <v>1845</v>
      </c>
      <c r="BO332" s="1622" t="s">
        <v>1842</v>
      </c>
      <c r="BP332" s="1622" t="s">
        <v>1843</v>
      </c>
      <c r="BQ332" s="1622" t="s">
        <v>1844</v>
      </c>
      <c r="BR332" s="1622" t="s">
        <v>1845</v>
      </c>
      <c r="BS332" s="1622" t="s">
        <v>1842</v>
      </c>
      <c r="BT332" s="1622" t="s">
        <v>1843</v>
      </c>
      <c r="BU332" s="1622" t="s">
        <v>1844</v>
      </c>
      <c r="BV332" s="1622" t="s">
        <v>1845</v>
      </c>
      <c r="BW332" s="1622" t="s">
        <v>1842</v>
      </c>
      <c r="BX332" s="1622" t="s">
        <v>1843</v>
      </c>
      <c r="BY332" s="1622" t="s">
        <v>1844</v>
      </c>
      <c r="BZ332" s="1622" t="s">
        <v>1845</v>
      </c>
      <c r="CA332" s="1622" t="s">
        <v>1842</v>
      </c>
      <c r="CB332" s="1622" t="s">
        <v>1843</v>
      </c>
      <c r="CC332" s="1622" t="s">
        <v>1844</v>
      </c>
      <c r="CD332" s="1622" t="s">
        <v>1845</v>
      </c>
      <c r="CE332" s="1622" t="s">
        <v>1842</v>
      </c>
      <c r="CF332" s="1622" t="s">
        <v>1843</v>
      </c>
      <c r="CG332" s="1622" t="s">
        <v>1844</v>
      </c>
      <c r="CH332" s="1622" t="s">
        <v>1845</v>
      </c>
      <c r="CI332" s="1622" t="s">
        <v>1842</v>
      </c>
      <c r="CJ332" s="1622" t="s">
        <v>1843</v>
      </c>
      <c r="CK332" s="1622" t="s">
        <v>1844</v>
      </c>
      <c r="CL332" s="1622" t="s">
        <v>1845</v>
      </c>
      <c r="CM332" s="1622" t="s">
        <v>1842</v>
      </c>
      <c r="CN332" s="1622" t="s">
        <v>1843</v>
      </c>
      <c r="CO332" s="1622" t="s">
        <v>1844</v>
      </c>
      <c r="CP332" s="1622" t="s">
        <v>1845</v>
      </c>
      <c r="CQ332" s="1622" t="s">
        <v>1842</v>
      </c>
      <c r="CR332" s="1622" t="s">
        <v>1843</v>
      </c>
      <c r="CS332" s="1622" t="s">
        <v>1844</v>
      </c>
      <c r="CT332" s="1622" t="s">
        <v>1845</v>
      </c>
      <c r="CU332" s="1622" t="s">
        <v>1842</v>
      </c>
      <c r="CV332" s="1622" t="s">
        <v>1843</v>
      </c>
      <c r="CW332" s="1622" t="s">
        <v>1844</v>
      </c>
      <c r="CX332" s="1622" t="s">
        <v>1845</v>
      </c>
      <c r="CY332" s="1622" t="s">
        <v>1842</v>
      </c>
      <c r="CZ332" s="1622" t="s">
        <v>1843</v>
      </c>
      <c r="DA332" s="1622" t="s">
        <v>1844</v>
      </c>
      <c r="DB332" s="1622" t="s">
        <v>1845</v>
      </c>
      <c r="DC332"/>
      <c r="DD332"/>
      <c r="DE332"/>
      <c r="DF332"/>
      <c r="DG332"/>
      <c r="DH332"/>
      <c r="DI332"/>
      <c r="DJ332"/>
      <c r="DK332"/>
      <c r="DL332"/>
      <c r="DM332"/>
      <c r="DN332"/>
      <c r="DO332"/>
    </row>
    <row r="333" spans="1:119" s="699" customFormat="1" ht="12.75" customHeight="1">
      <c r="A333" s="664"/>
      <c r="B333" s="664"/>
      <c r="C333" s="862"/>
      <c r="D333" s="863"/>
      <c r="E333" s="3627" t="str">
        <f>+E311</f>
        <v>Non-energy industrial goods</v>
      </c>
      <c r="F333" s="3628"/>
      <c r="G333" s="2888"/>
      <c r="H333" s="2888"/>
      <c r="I333" s="2888"/>
      <c r="J333" s="2888"/>
      <c r="K333" s="2889"/>
      <c r="L333" s="2889"/>
      <c r="M333" s="2889"/>
      <c r="N333" s="2889"/>
      <c r="O333" s="2889">
        <f t="shared" ref="O333:O338" ca="1" si="829">+R303*O311/R$308</f>
        <v>2.2418268107653714</v>
      </c>
      <c r="P333" s="2889">
        <f t="shared" ref="P333:P338" ca="1" si="830">+R303*P311/R$308</f>
        <v>1.7504059970866903</v>
      </c>
      <c r="Q333" s="2889">
        <f t="shared" ref="Q333:Q338" ca="1" si="831">+R303*Q311/R$308</f>
        <v>1.653030020138315</v>
      </c>
      <c r="R333" s="2889">
        <f t="shared" ref="R333:R338" ca="1" si="832">+R303*R311/R$308</f>
        <v>1.3992530264315073</v>
      </c>
      <c r="S333" s="2889">
        <f t="shared" ref="S333:S338" ca="1" si="833">+V303*S311/V$308</f>
        <v>1.1161914101058537</v>
      </c>
      <c r="T333" s="2889">
        <f t="shared" ref="T333:T338" ca="1" si="834">+V303*T311/V$308</f>
        <v>1.0307216276721252</v>
      </c>
      <c r="U333" s="2889">
        <f t="shared" ref="U333:U338" ca="1" si="835">+V303*U311/V$308</f>
        <v>1.0729713174377145</v>
      </c>
      <c r="V333" s="2889">
        <f t="shared" ref="V333:V338" ca="1" si="836">+V303*V311/V$308</f>
        <v>0.98958189998184676</v>
      </c>
      <c r="W333" s="2889">
        <f t="shared" ref="W333:W338" ca="1" si="837">+Z303*W311/Z$308</f>
        <v>1.152664937318209</v>
      </c>
      <c r="X333" s="2889">
        <f t="shared" ref="X333:X338" ca="1" si="838">+Z303*X311/Z$308</f>
        <v>0.90606317773567324</v>
      </c>
      <c r="Y333" s="2889">
        <f t="shared" ref="Y333:Y338" ca="1" si="839">+Z303*Y311/Z$308</f>
        <v>0.20407139961574178</v>
      </c>
      <c r="Z333" s="2889">
        <f t="shared" ref="Z333:Z338" ca="1" si="840">+Z303*Z311/Z$308</f>
        <v>-0.10625536035605812</v>
      </c>
      <c r="AA333" s="2889">
        <f t="shared" ref="AA333:AA338" ca="1" si="841">+AD303*AA311/AD$308</f>
        <v>-0.30069441319413193</v>
      </c>
      <c r="AB333" s="2889">
        <f t="shared" ref="AB333:AB338" ca="1" si="842">+AD303*AB311/AD$308</f>
        <v>-0.39715557640268084</v>
      </c>
      <c r="AC333" s="2889">
        <f t="shared" ref="AC333:AC338" ca="1" si="843">+AD303*AC311/AD$308</f>
        <v>-0.53410421354864113</v>
      </c>
      <c r="AD333" s="2889">
        <f t="shared" ref="AD333:AD338" ca="1" si="844">+AD303*AD311/AD$308</f>
        <v>-0.63339509723031417</v>
      </c>
      <c r="AE333" s="2889">
        <f t="shared" ref="AE333:AE338" ca="1" si="845">+AH303*AE311/AH$308</f>
        <v>-0.70817789673524556</v>
      </c>
      <c r="AF333" s="2889">
        <f t="shared" ref="AF333:AF338" ca="1" si="846">+AH303*AF311/AH$308</f>
        <v>-0.67683686699444967</v>
      </c>
      <c r="AG333" s="2889">
        <f t="shared" ref="AG333:AG338" ca="1" si="847">+AH303*AG311/AH$308</f>
        <v>-0.64162912817917517</v>
      </c>
      <c r="AH333" s="2889">
        <f t="shared" ref="AH333:AH338" ca="1" si="848">+AH303*AH311/AH$308</f>
        <v>-0.43237141949825125</v>
      </c>
      <c r="AI333" s="2889">
        <f t="shared" ref="AI333:AI338" ca="1" si="849">+AL303*AI311/AL$308</f>
        <v>-0.49140603121330884</v>
      </c>
      <c r="AJ333" s="2889">
        <f t="shared" ref="AJ333:AJ338" ca="1" si="850">+AL303*AJ311/AL$308</f>
        <v>-0.39535703210894735</v>
      </c>
      <c r="AK333" s="2889">
        <f t="shared" ref="AK333:AK338" ca="1" si="851">+AL303*AK311/AL$308</f>
        <v>-0.47318744820488662</v>
      </c>
      <c r="AL333" s="2889">
        <f t="shared" ref="AL333:AL338" ca="1" si="852">+AL303*AL311/AL$308</f>
        <v>-0.35201188142133771</v>
      </c>
      <c r="AM333" s="2889">
        <f t="shared" ref="AM333:AM338" ca="1" si="853">+AP303*AM311/AP$308</f>
        <v>-0.37482520551535048</v>
      </c>
      <c r="AN333" s="2889">
        <f t="shared" ref="AN333:AN338" ca="1" si="854">+AP303*AN311/AP$308</f>
        <v>-0.35275952271684496</v>
      </c>
      <c r="AO333" s="2889">
        <f t="shared" ref="AO333:AO338" ca="1" si="855">+AP303*AO311/AP$308</f>
        <v>-0.39333262578355443</v>
      </c>
      <c r="AP333" s="2889">
        <f t="shared" ref="AP333:AP338" ca="1" si="856">+AP303*AP311/AP$308</f>
        <v>-0.36846507352941199</v>
      </c>
      <c r="AQ333" s="2889">
        <f t="shared" ref="AQ333:AQ338" ca="1" si="857">+AT303*AQ311/AT$308</f>
        <v>-0.40697267004601473</v>
      </c>
      <c r="AR333" s="2889">
        <f t="shared" ref="AR333:AR338" ca="1" si="858">+AT303*AR311/AT$308</f>
        <v>-7.5236142349777352E-2</v>
      </c>
      <c r="AS333" s="2889">
        <f t="shared" ref="AS333:AS338" ca="1" si="859">+AT303*AS311/AT$308</f>
        <v>7.0185229072926791E-2</v>
      </c>
      <c r="AT333" s="2889">
        <f t="shared" ref="AT333:AT338" ca="1" si="860">+AT303*AT311/AT$308</f>
        <v>0.20732003080595979</v>
      </c>
      <c r="AU333" s="2889">
        <f t="shared" ref="AU333:AU338" ca="1" si="861">+AX303*AU311/AX$308</f>
        <v>-9.9001443404520897E-2</v>
      </c>
      <c r="AV333" s="2889">
        <f t="shared" ref="AV333:AV338" ca="1" si="862">+AX303*AV311/AX$308</f>
        <v>-0.25695883415452725</v>
      </c>
      <c r="AW333" s="2889">
        <f t="shared" ref="AW333:AW338" ca="1" si="863">+AX303*AW311/AX$308</f>
        <v>-0.20606927662989921</v>
      </c>
      <c r="AX333" s="2889">
        <f t="shared" ref="AX333:AX338" ca="1" si="864">+AX303*AX311/AX$308</f>
        <v>-0.14347803357911576</v>
      </c>
      <c r="AY333" s="2889">
        <f t="shared" ref="AY333:AY338" ca="1" si="865">+BB303*AY311/BB$308</f>
        <v>6.362541530622802E-2</v>
      </c>
      <c r="AZ333" s="2889">
        <f t="shared" ref="AZ333:AZ338" ca="1" si="866">+BB303*AZ311/BB$308</f>
        <v>-2.7464784456997262E-2</v>
      </c>
      <c r="BA333" s="2889">
        <f t="shared" ref="BA333:BA338" ca="1" si="867">+BB303*BA311/BB$308</f>
        <v>-6.2618344006265397E-2</v>
      </c>
      <c r="BB333" s="2889">
        <f t="shared" ref="BB333:BB338" ca="1" si="868">+BB303*BB311/BB$308</f>
        <v>-0.1165559041743888</v>
      </c>
      <c r="BC333" s="2889">
        <f t="shared" ref="BC333:BC338" ca="1" si="869">+BF303*BC311/BF$308</f>
        <v>-0.16223002470473064</v>
      </c>
      <c r="BD333" s="2889">
        <f t="shared" ref="BD333:BD338" ca="1" si="870">+BF303*BD311/BF$308</f>
        <v>-0.11709216869501263</v>
      </c>
      <c r="BE333" s="2889">
        <f t="shared" ref="BE333:BE338" ca="1" si="871">+BF303*BE311/BF$308</f>
        <v>-2.7289827515959337E-2</v>
      </c>
      <c r="BF333" s="2889">
        <f t="shared" ref="BF333:BF338" ca="1" si="872">+BF303*BF311/BF$308</f>
        <v>5.7492405781622999E-2</v>
      </c>
      <c r="BG333" s="2889">
        <f t="shared" ref="BG333:BG338" ca="1" si="873">+BJ303*BG311/BJ$308</f>
        <v>0.38310846776938434</v>
      </c>
      <c r="BH333" s="2889">
        <f t="shared" ref="BH333:BH338" ca="1" si="874">+BJ303*BH311/BJ$308</f>
        <v>0.6357089228894488</v>
      </c>
      <c r="BI333" s="2889">
        <f t="shared" ref="BI333:BI338" ca="1" si="875">+BJ303*BI311/BJ$308</f>
        <v>0.62252314437193834</v>
      </c>
      <c r="BJ333" s="2895">
        <f t="shared" ref="BJ333:BJ338" ca="1" si="876">+BJ303*BJ311/BJ$308</f>
        <v>0.46176576606588965</v>
      </c>
      <c r="BK333" s="2895">
        <f t="shared" ref="BK333:BK338" ca="1" si="877">+BN303*BK311/BN$308</f>
        <v>0.84497867051829112</v>
      </c>
      <c r="BL333" s="2895">
        <f t="shared" ref="BL333:BL338" ca="1" si="878">+BN303*BL311/BN$308</f>
        <v>1.2595243615648823E-2</v>
      </c>
      <c r="BM333" s="2895">
        <f t="shared" ref="BM333:BM338" ca="1" si="879">+BN303*BM311/BN$308</f>
        <v>-0.22285920085171887</v>
      </c>
      <c r="BN333" s="2895">
        <f t="shared" ref="BN333:BN338" ca="1" si="880">+BN303*BN311/BN$308</f>
        <v>-0.34242546563483717</v>
      </c>
      <c r="BO333" s="2895">
        <f t="shared" ref="BO333:BO338" ca="1" si="881">+BR303*BO311/BR$308</f>
        <v>-0.96465800934983381</v>
      </c>
      <c r="BP333" s="2895">
        <f t="shared" ref="BP333:BP338" ca="1" si="882">+BR303*BP311/BR$308</f>
        <v>-0.68957476755273561</v>
      </c>
      <c r="BQ333" s="2895">
        <f t="shared" ref="BQ333:BQ338" ca="1" si="883">+BR303*BQ311/BR$308</f>
        <v>-0.71436050286478203</v>
      </c>
      <c r="BR333" s="2895">
        <f t="shared" ref="BR333:BR338" ca="1" si="884">+BR303*BR311/BR$308</f>
        <v>-0.69283164048336154</v>
      </c>
      <c r="BS333" s="2895">
        <f t="shared" ref="BS333:BS338" ca="1" si="885">+BV303*BS311/BV$308</f>
        <v>-0.56750819545965803</v>
      </c>
      <c r="BT333" s="2895">
        <f t="shared" ref="BT333:BT338" ca="1" si="886">+BV303*BT311/BV$308</f>
        <v>-2.5727574692443089E-3</v>
      </c>
      <c r="BU333" s="2895">
        <f t="shared" ref="BU333:BU338" ca="1" si="887">+BV303*BU311/BV$308</f>
        <v>-4.8676629221169887E-2</v>
      </c>
      <c r="BV333" s="2895">
        <f t="shared" ref="BV333:BV338" ca="1" si="888">+BV303*BV311/BV$308</f>
        <v>-3.6960353928281682E-2</v>
      </c>
      <c r="BW333" s="2895">
        <f t="shared" ref="BW333:BW338" ca="1" si="889">+BZ303*BW311/BZ$308</f>
        <v>0.10457437887660803</v>
      </c>
      <c r="BX333" s="2895">
        <f t="shared" ref="BX333:BX338" ca="1" si="890">+BZ303*BX311/BZ$308</f>
        <v>0.10175302515296201</v>
      </c>
      <c r="BY333" s="2895">
        <f t="shared" ref="BY333:BY338" ca="1" si="891">+BZ303*BY311/BZ$308</f>
        <v>0.36709025644565596</v>
      </c>
      <c r="BZ333" s="2895">
        <f t="shared" ref="BZ333:BZ338" ca="1" si="892">+BZ303*BZ311/BZ$308</f>
        <v>0.51560392999693383</v>
      </c>
      <c r="CA333" s="2895">
        <f t="shared" ref="CA333:CA338" ca="1" si="893">+CD303*CA311/CD$308</f>
        <v>0.39801277838883159</v>
      </c>
      <c r="CB333" s="2895">
        <f t="shared" ref="CB333:CB338" ca="1" si="894">+CD303*CB311/CD$308</f>
        <v>0.29992490968473073</v>
      </c>
      <c r="CC333" s="2895">
        <f t="shared" ref="CC333:CC338" ca="1" si="895">+CD303*CC311/CD$308</f>
        <v>0.10150985562898347</v>
      </c>
      <c r="CD333" s="2895">
        <f t="shared" ref="CD333:CD338" ca="1" si="896">+CD303*CD311/CD$308</f>
        <v>0.11808376251731553</v>
      </c>
      <c r="CE333" s="2895">
        <f t="shared" ref="CE333:CE338" si="897">+CH303*CE311/CH$308</f>
        <v>0.11743534921605235</v>
      </c>
      <c r="CF333" s="2895">
        <f t="shared" ref="CF333:CF338" si="898">+CH303*CF311/CH$308</f>
        <v>2.4141204787056378E-2</v>
      </c>
      <c r="CG333" s="2895">
        <f t="shared" ref="CG333:CG338" si="899">+CH303*CG311/CH$308</f>
        <v>1.3244286439817997E-2</v>
      </c>
      <c r="CH333" s="2895">
        <f t="shared" ref="CH333:CH338" si="900">+CH303*CH311/CH$308</f>
        <v>-6.1016222325636769E-2</v>
      </c>
      <c r="CI333" s="2895">
        <f t="shared" ref="CI333:CI338" si="901">+CL303*CI311/CL$308</f>
        <v>1.1958655893977066E-2</v>
      </c>
      <c r="CJ333" s="2895">
        <f t="shared" ref="CJ333:CJ338" si="902">+CL303*CJ311/CL$308</f>
        <v>0.17079567773398344</v>
      </c>
      <c r="CK333" s="2895">
        <f t="shared" ref="CK333:CK338" si="903">+CL303*CK311/CL$308</f>
        <v>0.2884166441045003</v>
      </c>
      <c r="CL333" s="2895">
        <f t="shared" ref="CL333:CL338" si="904">+CL303*CL311/CL$308</f>
        <v>0.51097042070550858</v>
      </c>
      <c r="CM333" s="2895">
        <f t="shared" ref="CM333:CM338" si="905">+CP303*CM311/CP$308</f>
        <v>0.48170711678832917</v>
      </c>
      <c r="CN333" s="2895">
        <f t="shared" ref="CN333:CN338" si="906">+CP303*CN311/CP$308</f>
        <v>0.36613526265077145</v>
      </c>
      <c r="CO333" s="2895">
        <f t="shared" ref="CO333:CO338" si="907">+CP303*CO311/CP$308</f>
        <v>4.7474524536271122E-2</v>
      </c>
      <c r="CP333" s="2895">
        <f t="shared" ref="CP333:CP338" si="908">+CP303*CP311/CP$308</f>
        <v>3.5358646468617021E-2</v>
      </c>
      <c r="CQ333" s="2895">
        <f t="shared" ref="CQ333:CQ338" si="909">+CT303*CQ311/CT$308</f>
        <v>9.8421889055476483E-2</v>
      </c>
      <c r="CR333" s="2895">
        <f t="shared" ref="CR333:CR338" si="910">+CT303*CR311/CT$308</f>
        <v>0.24541447541414732</v>
      </c>
      <c r="CS333" s="2895">
        <f t="shared" ref="CS333:CS338" si="911">+CT303*CS311/CT$308</f>
        <v>0.30989633227265573</v>
      </c>
      <c r="CT333" s="2895">
        <f t="shared" ref="CT333:CT338" si="912">+CT303*CT311/CT$308</f>
        <v>0.27965178512938355</v>
      </c>
      <c r="CU333" s="2895">
        <f t="shared" ref="CU333:CU338" si="913">+CX303*CU311/CX$308</f>
        <v>0.16237321602035895</v>
      </c>
      <c r="CV333" s="2895">
        <f t="shared" ref="CV333:CV338" si="914">+CX303*CV311/CX$308</f>
        <v>8.4543791186346459E-2</v>
      </c>
      <c r="CW333" s="2895">
        <f t="shared" ref="CW333:CW338" si="915">+CX303*CW311/CX$308</f>
        <v>0.38900146055135254</v>
      </c>
      <c r="CX333" s="2895">
        <f t="shared" ref="CX333:CX338" si="916">+CX303*CX311/CX$308</f>
        <v>0.3776858533564153</v>
      </c>
      <c r="CY333" s="2895">
        <f t="shared" ref="CY333:CY338" si="917">+DB303*CY311/DB$308</f>
        <v>0.55896247356586293</v>
      </c>
      <c r="CZ333" s="2895">
        <f t="shared" ref="CZ333:CZ338" si="918">+DB303*CZ311/DB$308</f>
        <v>0.40856730432284527</v>
      </c>
      <c r="DA333" s="2895">
        <f t="shared" ref="DA333:DA338" si="919">+DB303*DA311/DB$308</f>
        <v>0.26025252764769913</v>
      </c>
      <c r="DB333" s="2895">
        <f t="shared" ref="DB333:DB338" si="920">+DB303*DB311/DB$308</f>
        <v>0.11457449010578011</v>
      </c>
      <c r="DC333"/>
      <c r="DD333"/>
      <c r="DE333"/>
      <c r="DF333"/>
      <c r="DG333"/>
      <c r="DH333"/>
      <c r="DI333"/>
      <c r="DJ333"/>
      <c r="DK333"/>
      <c r="DL333"/>
      <c r="DM333"/>
      <c r="DN333"/>
      <c r="DO333"/>
    </row>
    <row r="334" spans="1:119" s="699" customFormat="1" ht="12.75" customHeight="1">
      <c r="A334" s="664"/>
      <c r="B334" s="664"/>
      <c r="C334" s="944"/>
      <c r="D334" s="674"/>
      <c r="E334" s="3629" t="str">
        <f>+E312</f>
        <v>Energy</v>
      </c>
      <c r="F334" s="3630"/>
      <c r="G334" s="2884"/>
      <c r="H334" s="2884"/>
      <c r="I334" s="2884"/>
      <c r="J334" s="2884"/>
      <c r="K334" s="2881"/>
      <c r="L334" s="2881"/>
      <c r="M334" s="2881"/>
      <c r="N334" s="2881"/>
      <c r="O334" s="2881">
        <f t="shared" ca="1" si="829"/>
        <v>2.1172952489433774</v>
      </c>
      <c r="P334" s="2881">
        <f t="shared" ca="1" si="830"/>
        <v>2.1358892218380925</v>
      </c>
      <c r="Q334" s="2881">
        <f t="shared" ca="1" si="831"/>
        <v>3.607297117790158</v>
      </c>
      <c r="R334" s="2881">
        <f t="shared" ca="1" si="832"/>
        <v>3.3206143669645587</v>
      </c>
      <c r="S334" s="2881">
        <f t="shared" ca="1" si="833"/>
        <v>3.3379788437272726</v>
      </c>
      <c r="T334" s="2881">
        <f t="shared" ca="1" si="834"/>
        <v>3.2199788165927168</v>
      </c>
      <c r="U334" s="2881">
        <f t="shared" ca="1" si="835"/>
        <v>1.7640500981237177</v>
      </c>
      <c r="V334" s="2881">
        <f t="shared" ca="1" si="836"/>
        <v>1.5402970204554303</v>
      </c>
      <c r="W334" s="2881">
        <f t="shared" ca="1" si="837"/>
        <v>1.3065576504331533</v>
      </c>
      <c r="X334" s="2881">
        <f t="shared" ca="1" si="838"/>
        <v>1.3284987834264863</v>
      </c>
      <c r="Y334" s="2881">
        <f t="shared" ca="1" si="839"/>
        <v>1.0953854515759083</v>
      </c>
      <c r="Z334" s="2881">
        <f t="shared" ca="1" si="840"/>
        <v>0.99349536118244586</v>
      </c>
      <c r="AA334" s="2881">
        <f t="shared" ca="1" si="841"/>
        <v>2.5869818856268192</v>
      </c>
      <c r="AB334" s="2881">
        <f t="shared" ca="1" si="842"/>
        <v>2.8405712732263471</v>
      </c>
      <c r="AC334" s="2881">
        <f t="shared" ca="1" si="843"/>
        <v>2.5075105126896893</v>
      </c>
      <c r="AD334" s="2881">
        <f t="shared" ca="1" si="844"/>
        <v>2.4746751143472041</v>
      </c>
      <c r="AE334" s="2881">
        <f t="shared" ca="1" si="845"/>
        <v>0.20430073074760963</v>
      </c>
      <c r="AF334" s="2881">
        <f t="shared" ca="1" si="846"/>
        <v>0.16632712392353088</v>
      </c>
      <c r="AG334" s="2881">
        <f t="shared" ca="1" si="847"/>
        <v>0.18248830962700976</v>
      </c>
      <c r="AH334" s="2881">
        <f t="shared" ca="1" si="848"/>
        <v>-0.55287085244534784</v>
      </c>
      <c r="AI334" s="2881">
        <f t="shared" ca="1" si="849"/>
        <v>0.18199004199847271</v>
      </c>
      <c r="AJ334" s="2881">
        <f t="shared" ca="1" si="850"/>
        <v>0.18625232252542248</v>
      </c>
      <c r="AK334" s="2881">
        <f t="shared" ca="1" si="851"/>
        <v>3.766508316089897E-2</v>
      </c>
      <c r="AL334" s="2881">
        <f t="shared" ca="1" si="852"/>
        <v>0.47698522644266156</v>
      </c>
      <c r="AM334" s="2881">
        <f t="shared" ca="1" si="853"/>
        <v>0.54131744391074377</v>
      </c>
      <c r="AN334" s="2881">
        <f t="shared" ca="1" si="854"/>
        <v>9.0417361773114907E-2</v>
      </c>
      <c r="AO334" s="2881">
        <f t="shared" ca="1" si="855"/>
        <v>0.1139195547533095</v>
      </c>
      <c r="AP334" s="2881">
        <f t="shared" ca="1" si="856"/>
        <v>-0.11622319513938663</v>
      </c>
      <c r="AQ334" s="2881">
        <f t="shared" ca="1" si="857"/>
        <v>-0.14933584253500426</v>
      </c>
      <c r="AR334" s="2881">
        <f t="shared" ca="1" si="858"/>
        <v>0.40315614240280229</v>
      </c>
      <c r="AS334" s="2881">
        <f t="shared" ca="1" si="859"/>
        <v>0.54446368593588856</v>
      </c>
      <c r="AT334" s="2881">
        <f t="shared" ca="1" si="860"/>
        <v>0.73412563825992772</v>
      </c>
      <c r="AU334" s="2881">
        <f t="shared" ca="1" si="861"/>
        <v>0.75343340168493989</v>
      </c>
      <c r="AV334" s="2881">
        <f t="shared" ca="1" si="862"/>
        <v>0.64684932618966839</v>
      </c>
      <c r="AW334" s="2881">
        <f t="shared" ca="1" si="863"/>
        <v>1.1496898129950099</v>
      </c>
      <c r="AX334" s="2881">
        <f t="shared" ca="1" si="864"/>
        <v>1.2212699731424901</v>
      </c>
      <c r="AY334" s="2881">
        <f t="shared" ca="1" si="865"/>
        <v>1.2736528658911008</v>
      </c>
      <c r="AZ334" s="2881">
        <f t="shared" ca="1" si="866"/>
        <v>1.1890456816453905</v>
      </c>
      <c r="BA334" s="2881">
        <f t="shared" ca="1" si="867"/>
        <v>0.75810980813991924</v>
      </c>
      <c r="BB334" s="2881">
        <f t="shared" ca="1" si="868"/>
        <v>0.79973299072371851</v>
      </c>
      <c r="BC334" s="2881">
        <f t="shared" ca="1" si="869"/>
        <v>0.61509698176804206</v>
      </c>
      <c r="BD334" s="2881">
        <f t="shared" ca="1" si="870"/>
        <v>0.78742894498642046</v>
      </c>
      <c r="BE334" s="2881">
        <f t="shared" ca="1" si="871"/>
        <v>0.91237567405632103</v>
      </c>
      <c r="BF334" s="2881">
        <f t="shared" ca="1" si="872"/>
        <v>1.3151711419297742</v>
      </c>
      <c r="BG334" s="2881">
        <f t="shared" ca="1" si="873"/>
        <v>2.4388456356180432</v>
      </c>
      <c r="BH334" s="2881">
        <f t="shared" ca="1" si="874"/>
        <v>2.5312995251661938</v>
      </c>
      <c r="BI334" s="2881">
        <f t="shared" ca="1" si="875"/>
        <v>2.737825871576784</v>
      </c>
      <c r="BJ334" s="1519">
        <f t="shared" ca="1" si="876"/>
        <v>1.8920009848247448</v>
      </c>
      <c r="BK334" s="1519">
        <f t="shared" ca="1" si="877"/>
        <v>1.6481799793601668</v>
      </c>
      <c r="BL334" s="1519">
        <f t="shared" ca="1" si="878"/>
        <v>1.323555803927829</v>
      </c>
      <c r="BM334" s="1519">
        <f t="shared" ca="1" si="879"/>
        <v>0.77350304440566231</v>
      </c>
      <c r="BN334" s="1519">
        <f t="shared" ca="1" si="880"/>
        <v>0.388800815558344</v>
      </c>
      <c r="BO334" s="1519">
        <f t="shared" ca="1" si="881"/>
        <v>0.73717902447174821</v>
      </c>
      <c r="BP334" s="1519">
        <f t="shared" ca="1" si="882"/>
        <v>1.0625805792303495</v>
      </c>
      <c r="BQ334" s="1519">
        <f t="shared" ca="1" si="883"/>
        <v>1.5150100361319225</v>
      </c>
      <c r="BR334" s="1519">
        <f t="shared" ca="1" si="884"/>
        <v>2.3975472688744794</v>
      </c>
      <c r="BS334" s="1519">
        <f t="shared" ca="1" si="885"/>
        <v>1.8440722386809267</v>
      </c>
      <c r="BT334" s="1519">
        <f t="shared" ca="1" si="886"/>
        <v>1.7310785126398656</v>
      </c>
      <c r="BU334" s="1519">
        <f t="shared" ca="1" si="887"/>
        <v>1.9386616784719721</v>
      </c>
      <c r="BV334" s="1519">
        <f t="shared" ca="1" si="888"/>
        <v>1.8754270124978689</v>
      </c>
      <c r="BW334" s="1519">
        <f t="shared" ca="1" si="889"/>
        <v>1.5428109995365338</v>
      </c>
      <c r="BX334" s="1519">
        <f t="shared" ca="1" si="890"/>
        <v>1.2926910458991725</v>
      </c>
      <c r="BY334" s="1519">
        <f t="shared" ca="1" si="891"/>
        <v>1.0454048098531958</v>
      </c>
      <c r="BZ334" s="1519">
        <f t="shared" ca="1" si="892"/>
        <v>0.5224822915766123</v>
      </c>
      <c r="CA334" s="1519">
        <f t="shared" ca="1" si="893"/>
        <v>0.27817142987447863</v>
      </c>
      <c r="CB334" s="1519">
        <f t="shared" ca="1" si="894"/>
        <v>-0.18883927157028624</v>
      </c>
      <c r="CC334" s="1519">
        <f t="shared" ca="1" si="895"/>
        <v>-0.56315098927986595</v>
      </c>
      <c r="CD334" s="1519">
        <f t="shared" ca="1" si="896"/>
        <v>-0.35268596325474993</v>
      </c>
      <c r="CE334" s="1519">
        <f t="shared" si="897"/>
        <v>-0.35789821091232582</v>
      </c>
      <c r="CF334" s="1519">
        <f t="shared" si="898"/>
        <v>-0.43022797167282678</v>
      </c>
      <c r="CG334" s="1519">
        <f t="shared" si="899"/>
        <v>-0.6541164097760368</v>
      </c>
      <c r="CH334" s="1519">
        <f t="shared" si="900"/>
        <v>-0.82196200473514702</v>
      </c>
      <c r="CI334" s="1519">
        <f t="shared" si="901"/>
        <v>-1.9301544511569559</v>
      </c>
      <c r="CJ334" s="1519">
        <f t="shared" si="902"/>
        <v>-1.2994409565647471</v>
      </c>
      <c r="CK334" s="1519">
        <f t="shared" si="903"/>
        <v>-1.4296183803403539</v>
      </c>
      <c r="CL334" s="1519">
        <f t="shared" si="904"/>
        <v>-1.7769612834872095</v>
      </c>
      <c r="CM334" s="1519">
        <f t="shared" si="905"/>
        <v>-0.94680971041445239</v>
      </c>
      <c r="CN334" s="1519">
        <f t="shared" si="906"/>
        <v>-1.2085872173437555</v>
      </c>
      <c r="CO334" s="1519">
        <f t="shared" si="907"/>
        <v>-1.0426724957611626</v>
      </c>
      <c r="CP334" s="1519">
        <f t="shared" si="908"/>
        <v>-0.14486778787562263</v>
      </c>
      <c r="CQ334" s="1519">
        <f t="shared" si="909"/>
        <v>0.71741620626150981</v>
      </c>
      <c r="CR334" s="1519">
        <f t="shared" si="910"/>
        <v>0.47945044980466955</v>
      </c>
      <c r="CS334" s="1519">
        <f t="shared" si="911"/>
        <v>0.59661021956379012</v>
      </c>
      <c r="CT334" s="1519">
        <f t="shared" si="912"/>
        <v>0.46142180779806985</v>
      </c>
      <c r="CU334" s="1519">
        <f t="shared" si="913"/>
        <v>0.53783939661282476</v>
      </c>
      <c r="CV334" s="1519">
        <f t="shared" si="914"/>
        <v>0.70379340283456648</v>
      </c>
      <c r="CW334" s="1519">
        <f t="shared" si="915"/>
        <v>0.84620215989902769</v>
      </c>
      <c r="CX334" s="1519">
        <f t="shared" si="916"/>
        <v>0.5886899348776008</v>
      </c>
      <c r="CY334" s="1519">
        <f t="shared" si="917"/>
        <v>0.1298693429936284</v>
      </c>
      <c r="CZ334" s="1519">
        <f t="shared" si="918"/>
        <v>0.14502390413891844</v>
      </c>
      <c r="DA334" s="1519">
        <f t="shared" si="919"/>
        <v>0.14502390413891844</v>
      </c>
      <c r="DB334" s="1519">
        <f t="shared" si="920"/>
        <v>0.14502390413891844</v>
      </c>
      <c r="DC334"/>
      <c r="DD334"/>
      <c r="DE334"/>
      <c r="DF334"/>
      <c r="DG334"/>
      <c r="DH334"/>
      <c r="DI334"/>
      <c r="DJ334"/>
      <c r="DK334"/>
      <c r="DL334"/>
      <c r="DM334"/>
      <c r="DN334"/>
      <c r="DO334"/>
    </row>
    <row r="335" spans="1:119" s="699" customFormat="1" ht="12.75" customHeight="1">
      <c r="A335" s="664"/>
      <c r="B335" s="664"/>
      <c r="C335" s="944"/>
      <c r="D335" s="674"/>
      <c r="E335" s="3629" t="str">
        <f>+E313</f>
        <v>Unprocessed food</v>
      </c>
      <c r="F335" s="3630"/>
      <c r="G335" s="2884"/>
      <c r="H335" s="2884"/>
      <c r="I335" s="2884"/>
      <c r="J335" s="2884"/>
      <c r="K335" s="2881"/>
      <c r="L335" s="2881"/>
      <c r="M335" s="2881"/>
      <c r="N335" s="2881"/>
      <c r="O335" s="2881">
        <f t="shared" ca="1" si="829"/>
        <v>2.8591136171475955</v>
      </c>
      <c r="P335" s="2881">
        <f t="shared" ca="1" si="830"/>
        <v>0.64497653292310297</v>
      </c>
      <c r="Q335" s="2881">
        <f t="shared" ca="1" si="831"/>
        <v>0.22094127606859371</v>
      </c>
      <c r="R335" s="2881">
        <f t="shared" ca="1" si="832"/>
        <v>0.23761912660650414</v>
      </c>
      <c r="S335" s="2881">
        <f t="shared" ca="1" si="833"/>
        <v>-3.7327122020684576E-2</v>
      </c>
      <c r="T335" s="2881">
        <f t="shared" ca="1" si="834"/>
        <v>0.41297760126698091</v>
      </c>
      <c r="U335" s="2881">
        <f t="shared" ca="1" si="835"/>
        <v>0.25639994358800333</v>
      </c>
      <c r="V335" s="2881">
        <f t="shared" ca="1" si="836"/>
        <v>2.6677421623352536E-2</v>
      </c>
      <c r="W335" s="2881">
        <f t="shared" ca="1" si="837"/>
        <v>-0.68094827638249222</v>
      </c>
      <c r="X335" s="2881">
        <f t="shared" ca="1" si="838"/>
        <v>-1.3844826992190233</v>
      </c>
      <c r="Y335" s="2881">
        <f t="shared" ca="1" si="839"/>
        <v>-1.1323484508593757</v>
      </c>
      <c r="Z335" s="2881">
        <f t="shared" ca="1" si="840"/>
        <v>-0.71469348875229433</v>
      </c>
      <c r="AA335" s="2881">
        <f t="shared" ca="1" si="841"/>
        <v>-0.84557065501926321</v>
      </c>
      <c r="AB335" s="2881">
        <f t="shared" ca="1" si="842"/>
        <v>-0.68056763997535907</v>
      </c>
      <c r="AC335" s="2881">
        <f t="shared" ca="1" si="843"/>
        <v>-0.28153082621887449</v>
      </c>
      <c r="AD335" s="2881">
        <f t="shared" ca="1" si="844"/>
        <v>-0.43951793368830283</v>
      </c>
      <c r="AE335" s="2881">
        <f t="shared" ca="1" si="845"/>
        <v>0.40984860557769093</v>
      </c>
      <c r="AF335" s="2881">
        <f t="shared" ca="1" si="846"/>
        <v>1.8171067206137357</v>
      </c>
      <c r="AG335" s="2881">
        <f t="shared" ca="1" si="847"/>
        <v>1.8786096376540873</v>
      </c>
      <c r="AH335" s="2881">
        <f t="shared" ca="1" si="848"/>
        <v>1.7908006334125122</v>
      </c>
      <c r="AI335" s="2881">
        <f t="shared" ca="1" si="849"/>
        <v>1.5277784731617121</v>
      </c>
      <c r="AJ335" s="2881">
        <f t="shared" ca="1" si="850"/>
        <v>-0.25928084457331718</v>
      </c>
      <c r="AK335" s="2881">
        <f t="shared" ca="1" si="851"/>
        <v>-0.9897906765307618</v>
      </c>
      <c r="AL335" s="2881">
        <f t="shared" ca="1" si="852"/>
        <v>-1.5134253929132586</v>
      </c>
      <c r="AM335" s="2881">
        <f t="shared" ca="1" si="853"/>
        <v>-2.1861720736016159</v>
      </c>
      <c r="AN335" s="2881">
        <f t="shared" ca="1" si="854"/>
        <v>-1.5682436372383948</v>
      </c>
      <c r="AO335" s="2881">
        <f t="shared" ca="1" si="855"/>
        <v>-1.466060196560196</v>
      </c>
      <c r="AP335" s="2881">
        <f t="shared" ca="1" si="856"/>
        <v>-0.97173910747293457</v>
      </c>
      <c r="AQ335" s="2881">
        <f t="shared" ca="1" si="857"/>
        <v>-0.40890797230748288</v>
      </c>
      <c r="AR335" s="2881">
        <f t="shared" ca="1" si="858"/>
        <v>-0.1288327268930777</v>
      </c>
      <c r="AS335" s="2881">
        <f t="shared" ca="1" si="859"/>
        <v>0.96506239141588956</v>
      </c>
      <c r="AT335" s="2881">
        <f t="shared" ca="1" si="860"/>
        <v>0.83311158268456553</v>
      </c>
      <c r="AU335" s="2881">
        <f t="shared" ca="1" si="861"/>
        <v>1.1682284567943211</v>
      </c>
      <c r="AV335" s="2881">
        <f t="shared" ca="1" si="862"/>
        <v>1.0384754179195603</v>
      </c>
      <c r="AW335" s="2881">
        <f t="shared" ca="1" si="863"/>
        <v>0.30011687921781233</v>
      </c>
      <c r="AX335" s="2881">
        <f t="shared" ca="1" si="864"/>
        <v>0.6020009733705769</v>
      </c>
      <c r="AY335" s="2881">
        <f t="shared" ca="1" si="865"/>
        <v>0.81223482460452645</v>
      </c>
      <c r="AZ335" s="2881">
        <f t="shared" ca="1" si="866"/>
        <v>0.93191175492639011</v>
      </c>
      <c r="BA335" s="2881">
        <f t="shared" ca="1" si="867"/>
        <v>1.2169993961204504</v>
      </c>
      <c r="BB335" s="2881">
        <f t="shared" ca="1" si="868"/>
        <v>0.93474361407689877</v>
      </c>
      <c r="BC335" s="2881">
        <f t="shared" ca="1" si="869"/>
        <v>0.81382182844903317</v>
      </c>
      <c r="BD335" s="2881">
        <f t="shared" ca="1" si="870"/>
        <v>0.85371428571428587</v>
      </c>
      <c r="BE335" s="2881">
        <f t="shared" ca="1" si="871"/>
        <v>0.91088267310332038</v>
      </c>
      <c r="BF335" s="2881">
        <f t="shared" ca="1" si="872"/>
        <v>1.3353631559078885</v>
      </c>
      <c r="BG335" s="2881">
        <f t="shared" ca="1" si="873"/>
        <v>1.5297888571039346</v>
      </c>
      <c r="BH335" s="2881">
        <f t="shared" ca="1" si="874"/>
        <v>1.7042480688202253</v>
      </c>
      <c r="BI335" s="2881">
        <f t="shared" ca="1" si="875"/>
        <v>1.7922794079004984</v>
      </c>
      <c r="BJ335" s="1519">
        <f t="shared" ca="1" si="876"/>
        <v>1.6444977425207818</v>
      </c>
      <c r="BK335" s="1519">
        <f t="shared" ca="1" si="877"/>
        <v>1.4603756280405118</v>
      </c>
      <c r="BL335" s="1519">
        <f t="shared" ca="1" si="878"/>
        <v>0.63232370271811</v>
      </c>
      <c r="BM335" s="1519">
        <f t="shared" ca="1" si="879"/>
        <v>-1.9186287436430995E-2</v>
      </c>
      <c r="BN335" s="1519">
        <f t="shared" ca="1" si="880"/>
        <v>-0.54829618477582109</v>
      </c>
      <c r="BO335" s="1519">
        <f t="shared" ca="1" si="881"/>
        <v>-0.84327834992817674</v>
      </c>
      <c r="BP335" s="1519">
        <f t="shared" ca="1" si="882"/>
        <v>-0.45154986190478685</v>
      </c>
      <c r="BQ335" s="1519">
        <f t="shared" ca="1" si="883"/>
        <v>-3.9426981945756841E-2</v>
      </c>
      <c r="BR335" s="1519">
        <f t="shared" ca="1" si="884"/>
        <v>0.34540194301453248</v>
      </c>
      <c r="BS335" s="1519">
        <f t="shared" ca="1" si="885"/>
        <v>0.63659481974696586</v>
      </c>
      <c r="BT335" s="1519">
        <f t="shared" ca="1" si="886"/>
        <v>0.8920655566145993</v>
      </c>
      <c r="BU335" s="1519">
        <f t="shared" ca="1" si="887"/>
        <v>0.4559855950154969</v>
      </c>
      <c r="BV335" s="1519">
        <f t="shared" ca="1" si="888"/>
        <v>0.31815935768518866</v>
      </c>
      <c r="BW335" s="1519">
        <f t="shared" ca="1" si="889"/>
        <v>0.32915044023333923</v>
      </c>
      <c r="BX335" s="1519">
        <f t="shared" ca="1" si="890"/>
        <v>7.9767160020897829E-2</v>
      </c>
      <c r="BY335" s="1519">
        <f t="shared" ca="1" si="891"/>
        <v>0.47454455409489776</v>
      </c>
      <c r="BZ335" s="1519">
        <f t="shared" ca="1" si="892"/>
        <v>0.61716014558689825</v>
      </c>
      <c r="CA335" s="1519">
        <f t="shared" ca="1" si="893"/>
        <v>0.54640108619554684</v>
      </c>
      <c r="CB335" s="1519">
        <f t="shared" ca="1" si="894"/>
        <v>0.55535931037882658</v>
      </c>
      <c r="CC335" s="1519">
        <f t="shared" ca="1" si="895"/>
        <v>0.28494930987098388</v>
      </c>
      <c r="CD335" s="1519">
        <f t="shared" ca="1" si="896"/>
        <v>5.9958392687376107E-2</v>
      </c>
      <c r="CE335" s="1519">
        <f t="shared" si="897"/>
        <v>6.8627595692574719E-2</v>
      </c>
      <c r="CF335" s="1519">
        <f t="shared" si="898"/>
        <v>4.7401356959360669E-3</v>
      </c>
      <c r="CG335" s="1519">
        <f t="shared" si="899"/>
        <v>3.6057892048359387E-2</v>
      </c>
      <c r="CH335" s="1519">
        <f t="shared" si="900"/>
        <v>2.9617231444641498E-2</v>
      </c>
      <c r="CI335" s="1519">
        <f t="shared" si="901"/>
        <v>-0.13251506264995974</v>
      </c>
      <c r="CJ335" s="1519">
        <f t="shared" si="902"/>
        <v>0.1748601527521739</v>
      </c>
      <c r="CK335" s="1519">
        <f t="shared" si="903"/>
        <v>-5.1776842676808793E-3</v>
      </c>
      <c r="CL335" s="1519">
        <f t="shared" si="904"/>
        <v>0.25601094391245099</v>
      </c>
      <c r="CM335" s="1519">
        <f t="shared" si="905"/>
        <v>0.2240026021425465</v>
      </c>
      <c r="CN335" s="1519">
        <f t="shared" si="906"/>
        <v>0.21607264086897363</v>
      </c>
      <c r="CO335" s="1519">
        <f t="shared" si="907"/>
        <v>0.15494380687219733</v>
      </c>
      <c r="CP335" s="1519">
        <f t="shared" si="908"/>
        <v>-3.7152339716901753E-2</v>
      </c>
      <c r="CQ335" s="1519">
        <f t="shared" si="909"/>
        <v>0.21558162322665422</v>
      </c>
      <c r="CR335" s="1519">
        <f t="shared" si="910"/>
        <v>-0.11049036578432049</v>
      </c>
      <c r="CS335" s="1519">
        <f t="shared" si="911"/>
        <v>0.15168187130597355</v>
      </c>
      <c r="CT335" s="1519">
        <f t="shared" si="912"/>
        <v>0.28674167335473333</v>
      </c>
      <c r="CU335" s="1519">
        <f t="shared" si="913"/>
        <v>7.1358706741579667E-2</v>
      </c>
      <c r="CV335" s="1519">
        <f t="shared" si="914"/>
        <v>0.14033466870192973</v>
      </c>
      <c r="CW335" s="1519">
        <f t="shared" si="915"/>
        <v>4.3712640950246094E-2</v>
      </c>
      <c r="CX335" s="1519">
        <f t="shared" si="916"/>
        <v>-8.4983983219820605E-2</v>
      </c>
      <c r="CY335" s="1519">
        <f t="shared" si="917"/>
        <v>4.272241873313337E-3</v>
      </c>
      <c r="CZ335" s="1519">
        <f t="shared" si="918"/>
        <v>7.0490713842085523E-2</v>
      </c>
      <c r="DA335" s="1519">
        <f t="shared" si="919"/>
        <v>9.5320221316485057E-2</v>
      </c>
      <c r="DB335" s="1519">
        <f t="shared" si="920"/>
        <v>0.11996806038938111</v>
      </c>
      <c r="DC335"/>
      <c r="DD335"/>
      <c r="DE335"/>
      <c r="DF335"/>
      <c r="DG335"/>
      <c r="DH335"/>
      <c r="DI335"/>
      <c r="DJ335"/>
      <c r="DK335"/>
      <c r="DL335"/>
      <c r="DM335"/>
      <c r="DN335"/>
      <c r="DO335"/>
    </row>
    <row r="336" spans="1:119" s="699" customFormat="1" ht="12.75" customHeight="1">
      <c r="A336" s="664"/>
      <c r="B336" s="664"/>
      <c r="C336" s="944"/>
      <c r="D336" s="674"/>
      <c r="E336" s="3629" t="str">
        <f>+E314</f>
        <v>Processed food (incl. Alcohol and tobacco)</v>
      </c>
      <c r="F336" s="3630"/>
      <c r="G336" s="2884"/>
      <c r="H336" s="2884"/>
      <c r="I336" s="2884"/>
      <c r="J336" s="2884"/>
      <c r="K336" s="2881"/>
      <c r="L336" s="2881"/>
      <c r="M336" s="2881"/>
      <c r="N336" s="2881"/>
      <c r="O336" s="2881">
        <f t="shared" ca="1" si="829"/>
        <v>3.803216467218089</v>
      </c>
      <c r="P336" s="2881">
        <f t="shared" ca="1" si="830"/>
        <v>3.3313971732879875</v>
      </c>
      <c r="Q336" s="2881">
        <f t="shared" ca="1" si="831"/>
        <v>3.0112690477160657</v>
      </c>
      <c r="R336" s="2881">
        <f t="shared" ca="1" si="832"/>
        <v>2.4102185746128781</v>
      </c>
      <c r="S336" s="2881">
        <f t="shared" ca="1" si="833"/>
        <v>0.97760801826009425</v>
      </c>
      <c r="T336" s="2881">
        <f t="shared" ca="1" si="834"/>
        <v>0.70861536282596516</v>
      </c>
      <c r="U336" s="2881">
        <f t="shared" ca="1" si="835"/>
        <v>0.17296299802122686</v>
      </c>
      <c r="V336" s="2881">
        <f t="shared" ca="1" si="836"/>
        <v>-0.26441936996478294</v>
      </c>
      <c r="W336" s="2881">
        <f t="shared" ca="1" si="837"/>
        <v>-9.1670930035719286E-2</v>
      </c>
      <c r="X336" s="2881">
        <f t="shared" ca="1" si="838"/>
        <v>-0.19074179578149902</v>
      </c>
      <c r="Y336" s="2881">
        <f t="shared" ca="1" si="839"/>
        <v>0.19847475074452645</v>
      </c>
      <c r="Z336" s="2881">
        <f t="shared" ca="1" si="840"/>
        <v>-0.64857111042060145</v>
      </c>
      <c r="AA336" s="2881">
        <f t="shared" ca="1" si="841"/>
        <v>-1.1290813548688776</v>
      </c>
      <c r="AB336" s="2881">
        <f t="shared" ca="1" si="842"/>
        <v>-1.3145257637342829</v>
      </c>
      <c r="AC336" s="2881">
        <f t="shared" ca="1" si="843"/>
        <v>-1.2524950432319679</v>
      </c>
      <c r="AD336" s="2881">
        <f t="shared" ca="1" si="844"/>
        <v>-0.50612919313419436</v>
      </c>
      <c r="AE336" s="2881">
        <f t="shared" ca="1" si="845"/>
        <v>-0.287316150390165</v>
      </c>
      <c r="AF336" s="2881">
        <f t="shared" ca="1" si="846"/>
        <v>-7.2862796833773516E-2</v>
      </c>
      <c r="AG336" s="2881">
        <f t="shared" ca="1" si="847"/>
        <v>-0.11570992457799202</v>
      </c>
      <c r="AH336" s="2881">
        <f t="shared" ca="1" si="848"/>
        <v>0.25997211728728714</v>
      </c>
      <c r="AI336" s="2881">
        <f t="shared" ca="1" si="849"/>
        <v>0.38122796788758989</v>
      </c>
      <c r="AJ336" s="2881">
        <f t="shared" ca="1" si="850"/>
        <v>0.2107223997505091</v>
      </c>
      <c r="AK336" s="2881">
        <f t="shared" ca="1" si="851"/>
        <v>9.1186272556600473E-2</v>
      </c>
      <c r="AL336" s="2881">
        <f t="shared" ca="1" si="852"/>
        <v>0.13050956576094461</v>
      </c>
      <c r="AM336" s="2881">
        <f t="shared" ca="1" si="853"/>
        <v>0.50821726330663852</v>
      </c>
      <c r="AN336" s="2881">
        <f t="shared" ca="1" si="854"/>
        <v>0.96028802338065344</v>
      </c>
      <c r="AO336" s="2881">
        <f t="shared" ca="1" si="855"/>
        <v>1.0046787468551559</v>
      </c>
      <c r="AP336" s="2881">
        <f t="shared" ca="1" si="856"/>
        <v>0.74391423336091911</v>
      </c>
      <c r="AQ336" s="2881">
        <f t="shared" ca="1" si="857"/>
        <v>0.38827781741266293</v>
      </c>
      <c r="AR336" s="2881">
        <f t="shared" ca="1" si="858"/>
        <v>0.61117685189158921</v>
      </c>
      <c r="AS336" s="2881">
        <f t="shared" ca="1" si="859"/>
        <v>0.68250004993274593</v>
      </c>
      <c r="AT336" s="2881">
        <f t="shared" ca="1" si="860"/>
        <v>0.63521324670298751</v>
      </c>
      <c r="AU336" s="2881">
        <f t="shared" ca="1" si="861"/>
        <v>0.53770289706826924</v>
      </c>
      <c r="AV336" s="2881">
        <f t="shared" ca="1" si="862"/>
        <v>0.27074885053743114</v>
      </c>
      <c r="AW336" s="2881">
        <f t="shared" ca="1" si="863"/>
        <v>0.20436588987279417</v>
      </c>
      <c r="AX336" s="2881">
        <f t="shared" ca="1" si="864"/>
        <v>0.32058847759426756</v>
      </c>
      <c r="AY336" s="2881">
        <f t="shared" ca="1" si="865"/>
        <v>0.19820652502398961</v>
      </c>
      <c r="AZ336" s="2881">
        <f t="shared" ca="1" si="866"/>
        <v>0.29494792479219994</v>
      </c>
      <c r="BA336" s="2881">
        <f t="shared" ca="1" si="867"/>
        <v>0.7237418581455064</v>
      </c>
      <c r="BB336" s="2881">
        <f t="shared" ca="1" si="868"/>
        <v>1.2297035052429508</v>
      </c>
      <c r="BC336" s="2881">
        <f t="shared" ca="1" si="869"/>
        <v>1.6851404320987675</v>
      </c>
      <c r="BD336" s="2881">
        <f t="shared" ca="1" si="870"/>
        <v>1.9776471619548515</v>
      </c>
      <c r="BE336" s="2881">
        <f t="shared" ca="1" si="871"/>
        <v>2.4279577290127734</v>
      </c>
      <c r="BF336" s="2881">
        <f t="shared" ca="1" si="872"/>
        <v>3.1320652059964331</v>
      </c>
      <c r="BG336" s="2881">
        <f t="shared" ca="1" si="873"/>
        <v>3.6245549352046287</v>
      </c>
      <c r="BH336" s="2881">
        <f t="shared" ca="1" si="874"/>
        <v>4.1545202213279691</v>
      </c>
      <c r="BI336" s="2881">
        <f t="shared" ca="1" si="875"/>
        <v>3.6443404606861778</v>
      </c>
      <c r="BJ336" s="1519">
        <f t="shared" ca="1" si="876"/>
        <v>2.4062668901850928</v>
      </c>
      <c r="BK336" s="1519">
        <f t="shared" ca="1" si="877"/>
        <v>1.8020976711547789</v>
      </c>
      <c r="BL336" s="1519">
        <f t="shared" ca="1" si="878"/>
        <v>1.1977656711381108</v>
      </c>
      <c r="BM336" s="1519">
        <f t="shared" ca="1" si="879"/>
        <v>0.76075000000000259</v>
      </c>
      <c r="BN336" s="1519">
        <f t="shared" ca="1" si="880"/>
        <v>1.2287684297520693</v>
      </c>
      <c r="BO336" s="1519">
        <f t="shared" ca="1" si="881"/>
        <v>1.1409667270955013</v>
      </c>
      <c r="BP336" s="1519">
        <f t="shared" ca="1" si="882"/>
        <v>1.0306778653872317</v>
      </c>
      <c r="BQ336" s="1519">
        <f t="shared" ca="1" si="883"/>
        <v>1.3341408352865554</v>
      </c>
      <c r="BR336" s="1519">
        <f t="shared" ca="1" si="884"/>
        <v>1.1485499290060857</v>
      </c>
      <c r="BS336" s="1519">
        <f t="shared" ca="1" si="885"/>
        <v>1.4092615373134476</v>
      </c>
      <c r="BT336" s="1519">
        <f t="shared" ca="1" si="886"/>
        <v>1.9060070507861142</v>
      </c>
      <c r="BU336" s="1519">
        <f t="shared" ca="1" si="887"/>
        <v>1.8198907060586567</v>
      </c>
      <c r="BV336" s="1519">
        <f t="shared" ca="1" si="888"/>
        <v>1.3930969035408836</v>
      </c>
      <c r="BW336" s="1519">
        <f t="shared" ca="1" si="889"/>
        <v>1.0669859272423943</v>
      </c>
      <c r="BX336" s="1519">
        <f t="shared" ca="1" si="890"/>
        <v>0.67656075359864321</v>
      </c>
      <c r="BY336" s="1519">
        <f t="shared" ca="1" si="891"/>
        <v>0.62772284670508061</v>
      </c>
      <c r="BZ336" s="1519">
        <f t="shared" ca="1" si="892"/>
        <v>0.56836172748623848</v>
      </c>
      <c r="CA336" s="1519">
        <f t="shared" ca="1" si="893"/>
        <v>0.42786325477017201</v>
      </c>
      <c r="CB336" s="1519">
        <f t="shared" ca="1" si="894"/>
        <v>0.19527473612526652</v>
      </c>
      <c r="CC336" s="1519">
        <f t="shared" ca="1" si="895"/>
        <v>0.26107526588024843</v>
      </c>
      <c r="CD336" s="1519">
        <f t="shared" ca="1" si="896"/>
        <v>0.36691798031524991</v>
      </c>
      <c r="CE336" s="1519">
        <f t="shared" si="897"/>
        <v>0.40845418326693039</v>
      </c>
      <c r="CF336" s="1519">
        <f t="shared" si="898"/>
        <v>0.50192663108149527</v>
      </c>
      <c r="CG336" s="1519">
        <f t="shared" si="899"/>
        <v>0.53575677321156923</v>
      </c>
      <c r="CH336" s="1519">
        <f t="shared" si="900"/>
        <v>0.44253248896823411</v>
      </c>
      <c r="CI336" s="1519">
        <f t="shared" si="901"/>
        <v>0.14845084077157181</v>
      </c>
      <c r="CJ336" s="1519">
        <f t="shared" si="902"/>
        <v>-7.1398238324747759E-2</v>
      </c>
      <c r="CK336" s="1519">
        <f t="shared" si="903"/>
        <v>-0.24550749521230905</v>
      </c>
      <c r="CL336" s="1519">
        <f t="shared" si="904"/>
        <v>-0.21823609047383408</v>
      </c>
      <c r="CM336" s="1519">
        <f t="shared" si="905"/>
        <v>0.11330523101434316</v>
      </c>
      <c r="CN336" s="1519">
        <f t="shared" si="906"/>
        <v>0.44086338014075788</v>
      </c>
      <c r="CO336" s="1519">
        <f t="shared" si="907"/>
        <v>0.58078343246675379</v>
      </c>
      <c r="CP336" s="1519">
        <f t="shared" si="908"/>
        <v>0.72312414483564635</v>
      </c>
      <c r="CQ336" s="1519">
        <f t="shared" si="909"/>
        <v>1.0788580153175726</v>
      </c>
      <c r="CR336" s="1519">
        <f t="shared" si="910"/>
        <v>1.5202323621635703</v>
      </c>
      <c r="CS336" s="1519">
        <f t="shared" si="911"/>
        <v>1.6660043236565774</v>
      </c>
      <c r="CT336" s="1519">
        <f t="shared" si="912"/>
        <v>1.6818372573050389</v>
      </c>
      <c r="CU336" s="1519">
        <f t="shared" si="913"/>
        <v>1.2237131424508214</v>
      </c>
      <c r="CV336" s="1519">
        <f t="shared" si="914"/>
        <v>0.76489316202357349</v>
      </c>
      <c r="CW336" s="1519">
        <f t="shared" si="915"/>
        <v>0.56629812265914514</v>
      </c>
      <c r="CX336" s="1519">
        <f t="shared" si="916"/>
        <v>0.48081681906568091</v>
      </c>
      <c r="CY336" s="1519">
        <f t="shared" si="917"/>
        <v>0.60818644523100351</v>
      </c>
      <c r="CZ336" s="1519">
        <f t="shared" si="918"/>
        <v>0.64490092911566277</v>
      </c>
      <c r="DA336" s="1519">
        <f t="shared" si="919"/>
        <v>0.64490092911566277</v>
      </c>
      <c r="DB336" s="1519">
        <f t="shared" si="920"/>
        <v>0.64490092911566277</v>
      </c>
      <c r="DC336"/>
      <c r="DD336"/>
      <c r="DE336"/>
      <c r="DF336"/>
      <c r="DG336"/>
      <c r="DH336"/>
      <c r="DI336"/>
      <c r="DJ336"/>
      <c r="DK336"/>
      <c r="DL336"/>
      <c r="DM336"/>
      <c r="DN336"/>
      <c r="DO336"/>
    </row>
    <row r="337" spans="1:106">
      <c r="C337" s="867"/>
      <c r="D337" s="868"/>
      <c r="E337" s="3646" t="str">
        <f>+E315</f>
        <v>Services</v>
      </c>
      <c r="F337" s="868"/>
      <c r="G337" s="2890"/>
      <c r="H337" s="2890"/>
      <c r="I337" s="2890"/>
      <c r="J337" s="2890"/>
      <c r="K337" s="2891"/>
      <c r="L337" s="2891"/>
      <c r="M337" s="2891"/>
      <c r="N337" s="2891"/>
      <c r="O337" s="2891">
        <f t="shared" ca="1" si="829"/>
        <v>2.3491768429596038</v>
      </c>
      <c r="P337" s="2891">
        <f t="shared" ca="1" si="830"/>
        <v>2.2085058284379073</v>
      </c>
      <c r="Q337" s="2891">
        <f t="shared" ca="1" si="831"/>
        <v>1.7780865748511265</v>
      </c>
      <c r="R337" s="2891">
        <f t="shared" ca="1" si="832"/>
        <v>1.7251200562341318</v>
      </c>
      <c r="S337" s="2891">
        <f t="shared" ca="1" si="833"/>
        <v>1.5837841904426364</v>
      </c>
      <c r="T337" s="2891">
        <f t="shared" ca="1" si="834"/>
        <v>1.5876693262033099</v>
      </c>
      <c r="U337" s="2891">
        <f t="shared" ca="1" si="835"/>
        <v>1.4668209227602307</v>
      </c>
      <c r="V337" s="2891">
        <f t="shared" ca="1" si="836"/>
        <v>1.449707808949326</v>
      </c>
      <c r="W337" s="2891">
        <f t="shared" ca="1" si="837"/>
        <v>1.1636966515837786</v>
      </c>
      <c r="X337" s="2891">
        <f t="shared" ca="1" si="838"/>
        <v>1.062714275153293</v>
      </c>
      <c r="Y337" s="2891">
        <f t="shared" ca="1" si="839"/>
        <v>0.86213528721581878</v>
      </c>
      <c r="Z337" s="2891">
        <f t="shared" ca="1" si="840"/>
        <v>0.76909680607335695</v>
      </c>
      <c r="AA337" s="2891">
        <f t="shared" ca="1" si="841"/>
        <v>1.0312333996137504</v>
      </c>
      <c r="AB337" s="2891">
        <f t="shared" ca="1" si="842"/>
        <v>0.78492698658278814</v>
      </c>
      <c r="AC337" s="2891">
        <f t="shared" ca="1" si="843"/>
        <v>0.74201883068370433</v>
      </c>
      <c r="AD337" s="2891">
        <f t="shared" ca="1" si="844"/>
        <v>0.70384810850468726</v>
      </c>
      <c r="AE337" s="2891">
        <f t="shared" ca="1" si="845"/>
        <v>0.64157082533588827</v>
      </c>
      <c r="AF337" s="2891">
        <f t="shared" ca="1" si="846"/>
        <v>0.45415794316644131</v>
      </c>
      <c r="AG337" s="2891">
        <f t="shared" ca="1" si="847"/>
        <v>0.85903943540566907</v>
      </c>
      <c r="AH337" s="2891">
        <f t="shared" ca="1" si="848"/>
        <v>1.0747510879492845</v>
      </c>
      <c r="AI337" s="2891">
        <f t="shared" ca="1" si="849"/>
        <v>0.99794240152837099</v>
      </c>
      <c r="AJ337" s="2891">
        <f t="shared" ca="1" si="850"/>
        <v>0.8971853129573345</v>
      </c>
      <c r="AK337" s="2891">
        <f t="shared" ca="1" si="851"/>
        <v>0.59332965679420935</v>
      </c>
      <c r="AL337" s="2891">
        <f t="shared" ca="1" si="852"/>
        <v>0.24572805924624511</v>
      </c>
      <c r="AM337" s="2891">
        <f t="shared" ca="1" si="853"/>
        <v>0.34504328523862304</v>
      </c>
      <c r="AN337" s="2891">
        <f t="shared" ca="1" si="854"/>
        <v>0.43111906567571212</v>
      </c>
      <c r="AO337" s="2891">
        <f t="shared" ca="1" si="855"/>
        <v>-4.319587011820978E-2</v>
      </c>
      <c r="AP337" s="2891">
        <f t="shared" ca="1" si="856"/>
        <v>-0.4559229693276059</v>
      </c>
      <c r="AQ337" s="2891">
        <f t="shared" ca="1" si="857"/>
        <v>-0.54360081603796895</v>
      </c>
      <c r="AR337" s="2891">
        <f t="shared" ca="1" si="858"/>
        <v>-0.33590962304504612</v>
      </c>
      <c r="AS337" s="2891">
        <f t="shared" ca="1" si="859"/>
        <v>7.9438725421738687E-2</v>
      </c>
      <c r="AT337" s="2891">
        <f t="shared" ca="1" si="860"/>
        <v>0.52285242595374559</v>
      </c>
      <c r="AU337" s="2891">
        <f t="shared" ca="1" si="861"/>
        <v>0.76247484790479014</v>
      </c>
      <c r="AV337" s="2891">
        <f t="shared" ca="1" si="862"/>
        <v>0.69960586820223047</v>
      </c>
      <c r="AW337" s="2891">
        <f t="shared" ca="1" si="863"/>
        <v>0.78723825541265668</v>
      </c>
      <c r="AX337" s="2891">
        <f t="shared" ca="1" si="864"/>
        <v>0.95919652213811257</v>
      </c>
      <c r="AY337" s="2891">
        <f t="shared" ca="1" si="865"/>
        <v>0.99789217140379305</v>
      </c>
      <c r="AZ337" s="2891">
        <f t="shared" ca="1" si="866"/>
        <v>1.1841256984837782</v>
      </c>
      <c r="BA337" s="2891">
        <f t="shared" ca="1" si="867"/>
        <v>1.3314761228774274</v>
      </c>
      <c r="BB337" s="2891">
        <f t="shared" ca="1" si="868"/>
        <v>1.3470658137200109</v>
      </c>
      <c r="BC337" s="2891">
        <f t="shared" ca="1" si="869"/>
        <v>1.3910298387096796</v>
      </c>
      <c r="BD337" s="2891">
        <f t="shared" ca="1" si="870"/>
        <v>1.4590402672023179</v>
      </c>
      <c r="BE337" s="2891">
        <f t="shared" ca="1" si="871"/>
        <v>1.7269425587467351</v>
      </c>
      <c r="BF337" s="2891">
        <f t="shared" ca="1" si="872"/>
        <v>2.0788712952424322</v>
      </c>
      <c r="BG337" s="2891">
        <f t="shared" ca="1" si="873"/>
        <v>2.7879718992683054</v>
      </c>
      <c r="BH337" s="2891">
        <f t="shared" ca="1" si="874"/>
        <v>3.2471073979366856</v>
      </c>
      <c r="BI337" s="2891">
        <f t="shared" ca="1" si="875"/>
        <v>3.1515143346170373</v>
      </c>
      <c r="BJ337" s="2896">
        <f t="shared" ca="1" si="876"/>
        <v>3.0202522976205466</v>
      </c>
      <c r="BK337" s="2896">
        <f t="shared" ca="1" si="877"/>
        <v>2.6747568277310885</v>
      </c>
      <c r="BL337" s="2896">
        <f t="shared" ca="1" si="878"/>
        <v>1.7140578912441029</v>
      </c>
      <c r="BM337" s="2896">
        <f t="shared" ca="1" si="879"/>
        <v>1.1182762592662945</v>
      </c>
      <c r="BN337" s="2896">
        <f t="shared" ca="1" si="880"/>
        <v>0.4194836123909006</v>
      </c>
      <c r="BO337" s="2896">
        <f t="shared" ca="1" si="881"/>
        <v>-0.42447433427376074</v>
      </c>
      <c r="BP337" s="2896">
        <f t="shared" ca="1" si="882"/>
        <v>-0.45898842900677717</v>
      </c>
      <c r="BQ337" s="2896">
        <f t="shared" ca="1" si="883"/>
        <v>-0.40679340748115206</v>
      </c>
      <c r="BR337" s="2896">
        <f t="shared" ca="1" si="884"/>
        <v>-0.26582630688681497</v>
      </c>
      <c r="BS337" s="2896">
        <f t="shared" ca="1" si="885"/>
        <v>2.6641510768291986E-2</v>
      </c>
      <c r="BT337" s="2896">
        <f t="shared" ca="1" si="886"/>
        <v>0.27060247485957539</v>
      </c>
      <c r="BU337" s="2896">
        <f t="shared" ca="1" si="887"/>
        <v>0.44086772950371739</v>
      </c>
      <c r="BV337" s="2896">
        <f t="shared" ca="1" si="888"/>
        <v>0.50358032641846229</v>
      </c>
      <c r="BW337" s="2896">
        <f t="shared" ca="1" si="889"/>
        <v>0.63922272524862533</v>
      </c>
      <c r="BX337" s="2896">
        <f t="shared" ca="1" si="890"/>
        <v>0.74475793387820965</v>
      </c>
      <c r="BY337" s="2896">
        <f t="shared" ca="1" si="891"/>
        <v>0.71435124822849794</v>
      </c>
      <c r="BZ337" s="2896">
        <f t="shared" ca="1" si="892"/>
        <v>0.77064726914517567</v>
      </c>
      <c r="CA337" s="2896">
        <f t="shared" ca="1" si="893"/>
        <v>0.55787078383048105</v>
      </c>
      <c r="CB337" s="2896">
        <f t="shared" ca="1" si="894"/>
        <v>0.5341621132549772</v>
      </c>
      <c r="CC337" s="2896">
        <f t="shared" ca="1" si="895"/>
        <v>0.46054927011069108</v>
      </c>
      <c r="CD337" s="2896">
        <f t="shared" ca="1" si="896"/>
        <v>0.30699542664216467</v>
      </c>
      <c r="CE337" s="2896">
        <f t="shared" si="897"/>
        <v>0.25433945571008859</v>
      </c>
      <c r="CF337" s="2896">
        <f t="shared" si="898"/>
        <v>0.20728414937178077</v>
      </c>
      <c r="CG337" s="2896">
        <f t="shared" si="899"/>
        <v>0.45145711213624123</v>
      </c>
      <c r="CH337" s="2896">
        <f t="shared" si="900"/>
        <v>0.58512724603230193</v>
      </c>
      <c r="CI337" s="2896">
        <f t="shared" si="901"/>
        <v>0.77376943005181087</v>
      </c>
      <c r="CJ337" s="2896">
        <f t="shared" si="902"/>
        <v>0.8092867550128362</v>
      </c>
      <c r="CK337" s="2896">
        <f t="shared" si="903"/>
        <v>0.79301902201653884</v>
      </c>
      <c r="CL337" s="2896">
        <f t="shared" si="904"/>
        <v>0.85796187033183413</v>
      </c>
      <c r="CM337" s="2896">
        <f t="shared" si="905"/>
        <v>0.90175239968795518</v>
      </c>
      <c r="CN337" s="2896">
        <f t="shared" si="906"/>
        <v>0.79368525976641213</v>
      </c>
      <c r="CO337" s="2896">
        <f t="shared" si="907"/>
        <v>0.72662343523521011</v>
      </c>
      <c r="CP337" s="2896">
        <f t="shared" si="908"/>
        <v>0.66992824447591603</v>
      </c>
      <c r="CQ337" s="2896">
        <f t="shared" si="909"/>
        <v>0.88983322974255108</v>
      </c>
      <c r="CR337" s="2896">
        <f t="shared" si="910"/>
        <v>1.3944612183863203</v>
      </c>
      <c r="CS337" s="2896">
        <f t="shared" si="911"/>
        <v>1.7006289791086822</v>
      </c>
      <c r="CT337" s="2896">
        <f t="shared" si="912"/>
        <v>1.349479325597793</v>
      </c>
      <c r="CU337" s="2896">
        <f t="shared" si="913"/>
        <v>1.1994224726754119</v>
      </c>
      <c r="CV337" s="2896">
        <f t="shared" si="914"/>
        <v>1.0019541011903119</v>
      </c>
      <c r="CW337" s="2896">
        <f t="shared" si="915"/>
        <v>0.84484727666108561</v>
      </c>
      <c r="CX337" s="2896">
        <f t="shared" si="916"/>
        <v>1.3109288523047955</v>
      </c>
      <c r="CY337" s="2896">
        <f t="shared" si="917"/>
        <v>1.4120855514122825</v>
      </c>
      <c r="CZ337" s="2896">
        <f t="shared" si="918"/>
        <v>1.2449278112761195</v>
      </c>
      <c r="DA337" s="2896">
        <f t="shared" si="919"/>
        <v>1.0800550738723405</v>
      </c>
      <c r="DB337" s="2896">
        <f t="shared" si="920"/>
        <v>0.91492797538906401</v>
      </c>
    </row>
    <row r="338" spans="1:106">
      <c r="A338" s="664"/>
      <c r="C338" s="546"/>
      <c r="D338" s="1336"/>
      <c r="E338" s="45" t="str">
        <f>+E317</f>
        <v>HICP</v>
      </c>
      <c r="F338" s="1476"/>
      <c r="G338" s="2885"/>
      <c r="H338" s="1524"/>
      <c r="I338" s="1524"/>
      <c r="J338" s="1524"/>
      <c r="K338" s="2887"/>
      <c r="L338" s="2887"/>
      <c r="M338" s="2887"/>
      <c r="N338" s="2887"/>
      <c r="O338" s="2887">
        <f t="shared" ca="1" si="829"/>
        <v>0</v>
      </c>
      <c r="P338" s="2887">
        <f t="shared" ca="1" si="830"/>
        <v>0</v>
      </c>
      <c r="Q338" s="2887">
        <f t="shared" ca="1" si="831"/>
        <v>0</v>
      </c>
      <c r="R338" s="2887">
        <f t="shared" ca="1" si="832"/>
        <v>9.0939160791010778</v>
      </c>
      <c r="S338" s="2887">
        <f t="shared" ca="1" si="833"/>
        <v>6.4991208813508905</v>
      </c>
      <c r="T338" s="2887">
        <f t="shared" ca="1" si="834"/>
        <v>6.5753676894120758</v>
      </c>
      <c r="U338" s="2887">
        <f t="shared" ca="1" si="835"/>
        <v>4.6444800867034672</v>
      </c>
      <c r="V338" s="2887">
        <f t="shared" ca="1" si="836"/>
        <v>3.6869207262227235</v>
      </c>
      <c r="W338" s="2887">
        <f t="shared" ca="1" si="837"/>
        <v>2.6901220394979504</v>
      </c>
      <c r="X338" s="2887">
        <f t="shared" ca="1" si="838"/>
        <v>1.5593397974587191</v>
      </c>
      <c r="Y338" s="2887">
        <f t="shared" ca="1" si="839"/>
        <v>1.2443878323110624</v>
      </c>
      <c r="Z338" s="2887">
        <f t="shared" ca="1" si="840"/>
        <v>0.28498894576458156</v>
      </c>
      <c r="AA338" s="2887">
        <f t="shared" ca="1" si="841"/>
        <v>0.97019264343303746</v>
      </c>
      <c r="AB338" s="2887">
        <f t="shared" ca="1" si="842"/>
        <v>0.95327225507169544</v>
      </c>
      <c r="AC338" s="2887">
        <f t="shared" ca="1" si="843"/>
        <v>1.0208312647825437</v>
      </c>
      <c r="AD338" s="2887">
        <f t="shared" ca="1" si="844"/>
        <v>1.6006409566702047</v>
      </c>
      <c r="AE338" s="2887">
        <f t="shared" ca="1" si="845"/>
        <v>0.22242068667839021</v>
      </c>
      <c r="AF338" s="2887">
        <f t="shared" ca="1" si="846"/>
        <v>1.642409070335745</v>
      </c>
      <c r="AG338" s="2887">
        <f t="shared" ca="1" si="847"/>
        <v>2.116623423740478</v>
      </c>
      <c r="AH338" s="2887">
        <f t="shared" ca="1" si="848"/>
        <v>2.0871908553238967</v>
      </c>
      <c r="AI338" s="2887">
        <f t="shared" ca="1" si="849"/>
        <v>2.5230943336383547</v>
      </c>
      <c r="AJ338" s="2887">
        <f t="shared" ca="1" si="850"/>
        <v>0.43142075084345777</v>
      </c>
      <c r="AK338" s="2887">
        <f t="shared" ca="1" si="851"/>
        <v>-0.82251861091003775</v>
      </c>
      <c r="AL338" s="2887">
        <f t="shared" ca="1" si="852"/>
        <v>-1.018359286744726</v>
      </c>
      <c r="AM338" s="2887">
        <f t="shared" ca="1" si="853"/>
        <v>36.945703672381228</v>
      </c>
      <c r="AN338" s="2887">
        <f t="shared" ca="1" si="854"/>
        <v>38.249290293967022</v>
      </c>
      <c r="AO338" s="2887">
        <f t="shared" ca="1" si="855"/>
        <v>37.97201828194261</v>
      </c>
      <c r="AP338" s="2887">
        <f t="shared" ca="1" si="856"/>
        <v>37.567489085708218</v>
      </c>
      <c r="AQ338" s="2887">
        <f t="shared" ca="1" si="857"/>
        <v>-28.930445746129195</v>
      </c>
      <c r="AR338" s="2887">
        <f t="shared" ca="1" si="858"/>
        <v>-27.773290560224467</v>
      </c>
      <c r="AS338" s="2887">
        <f t="shared" ca="1" si="859"/>
        <v>-26.421422712373342</v>
      </c>
      <c r="AT338" s="2887">
        <f t="shared" ca="1" si="860"/>
        <v>-26.005921091547165</v>
      </c>
      <c r="AU338" s="2887">
        <f t="shared" ca="1" si="861"/>
        <v>3.1305650511024226</v>
      </c>
      <c r="AV338" s="2887">
        <f t="shared" ca="1" si="862"/>
        <v>2.3940704069182317</v>
      </c>
      <c r="AW338" s="2887">
        <f t="shared" ca="1" si="863"/>
        <v>2.235879998800641</v>
      </c>
      <c r="AX338" s="2887">
        <f t="shared" ca="1" si="864"/>
        <v>2.9720474370264611</v>
      </c>
      <c r="AY338" s="2887">
        <f t="shared" ca="1" si="865"/>
        <v>3.3246727086280998</v>
      </c>
      <c r="AZ338" s="2887">
        <f t="shared" ca="1" si="866"/>
        <v>3.5698507539310356</v>
      </c>
      <c r="BA338" s="2887">
        <f t="shared" ca="1" si="867"/>
        <v>3.9764270719422825</v>
      </c>
      <c r="BB338" s="2887">
        <f t="shared" ca="1" si="868"/>
        <v>4.2071894371358525</v>
      </c>
      <c r="BC338" s="2887">
        <f t="shared" ca="1" si="869"/>
        <v>4.3656732098340711</v>
      </c>
      <c r="BD338" s="2887">
        <f t="shared" ca="1" si="870"/>
        <v>4.945525732646459</v>
      </c>
      <c r="BE338" s="2887">
        <f t="shared" ca="1" si="871"/>
        <v>5.9162182264645358</v>
      </c>
      <c r="BF338" s="2887">
        <f t="shared" ca="1" si="872"/>
        <v>7.912743596233839</v>
      </c>
      <c r="BG338" s="2887">
        <f t="shared" ca="1" si="873"/>
        <v>10.77445830605555</v>
      </c>
      <c r="BH338" s="2887">
        <f t="shared" ca="1" si="874"/>
        <v>12.275273697616711</v>
      </c>
      <c r="BI338" s="2887">
        <f t="shared" ca="1" si="875"/>
        <v>11.970554768147551</v>
      </c>
      <c r="BJ338" s="802">
        <f t="shared" ca="1" si="876"/>
        <v>9.4247836812170647</v>
      </c>
      <c r="BK338" s="802">
        <f t="shared" ca="1" si="877"/>
        <v>8.4437857666377312</v>
      </c>
      <c r="BL338" s="802">
        <f t="shared" ca="1" si="878"/>
        <v>4.8862104352241715</v>
      </c>
      <c r="BM338" s="802">
        <f t="shared" ca="1" si="879"/>
        <v>2.3852799055889449</v>
      </c>
      <c r="BN338" s="802">
        <f t="shared" ca="1" si="880"/>
        <v>1.1463312072906573</v>
      </c>
      <c r="BO338" s="802">
        <f t="shared" ca="1" si="881"/>
        <v>-0.40204451218978932</v>
      </c>
      <c r="BP338" s="802">
        <f t="shared" ca="1" si="882"/>
        <v>0.55964202457565193</v>
      </c>
      <c r="BQ338" s="802">
        <f t="shared" ca="1" si="883"/>
        <v>1.7831244876144012</v>
      </c>
      <c r="BR338" s="802">
        <f t="shared" ca="1" si="884"/>
        <v>2.931811865113005</v>
      </c>
      <c r="BS338" s="802">
        <f t="shared" ca="1" si="885"/>
        <v>3.2198296089618168</v>
      </c>
      <c r="BT338" s="802">
        <f t="shared" ca="1" si="886"/>
        <v>4.7327108120605317</v>
      </c>
      <c r="BU338" s="802">
        <f t="shared" ca="1" si="887"/>
        <v>4.5744794796754036</v>
      </c>
      <c r="BV338" s="802">
        <f t="shared" ca="1" si="888"/>
        <v>4.0543437792466079</v>
      </c>
      <c r="BW338" s="802">
        <f t="shared" ca="1" si="889"/>
        <v>3.6382121598266934</v>
      </c>
      <c r="BX338" s="802">
        <f t="shared" ca="1" si="890"/>
        <v>2.8447358600420074</v>
      </c>
      <c r="BY338" s="802">
        <f t="shared" ca="1" si="891"/>
        <v>3.2328741421467271</v>
      </c>
      <c r="BZ338" s="802">
        <f t="shared" ca="1" si="892"/>
        <v>2.9942553637918508</v>
      </c>
      <c r="CA338" s="802">
        <f t="shared" ca="1" si="893"/>
        <v>2.2128950976594552</v>
      </c>
      <c r="CB338" s="802">
        <f t="shared" ca="1" si="894"/>
        <v>1.3936010949206121</v>
      </c>
      <c r="CC338" s="802">
        <f t="shared" ca="1" si="895"/>
        <v>0.544119533062144</v>
      </c>
      <c r="CD338" s="802">
        <f t="shared" ca="1" si="896"/>
        <v>0.49826460621136448</v>
      </c>
      <c r="CE338" s="802">
        <f t="shared" ca="1" si="897"/>
        <v>0.30778324993059414</v>
      </c>
      <c r="CF338" s="802">
        <f t="shared" ca="1" si="898"/>
        <v>0.21688232448298095</v>
      </c>
      <c r="CG338" s="802">
        <f t="shared" ca="1" si="899"/>
        <v>0.24228140837416845</v>
      </c>
      <c r="CH338" s="802">
        <f t="shared" ca="1" si="900"/>
        <v>0.17429873938439755</v>
      </c>
      <c r="CI338" s="802">
        <f t="shared" ca="1" si="901"/>
        <v>-1.2991271504266138</v>
      </c>
      <c r="CJ338" s="802">
        <f t="shared" ca="1" si="902"/>
        <v>-0.29226033802027018</v>
      </c>
      <c r="CK338" s="802">
        <f t="shared" ca="1" si="903"/>
        <v>-0.66403430877610958</v>
      </c>
      <c r="CL338" s="802">
        <f t="shared" ca="1" si="904"/>
        <v>-0.37025413901122306</v>
      </c>
      <c r="CM338" s="802">
        <f t="shared" ca="1" si="905"/>
        <v>0.6874463859162887</v>
      </c>
      <c r="CN338" s="802">
        <f t="shared" ca="1" si="906"/>
        <v>0.46646439800738904</v>
      </c>
      <c r="CO338" s="802">
        <f t="shared" ca="1" si="907"/>
        <v>0.40148688455245463</v>
      </c>
      <c r="CP338" s="802">
        <f t="shared" ca="1" si="908"/>
        <v>1.2463909081876494</v>
      </c>
      <c r="CQ338" s="802">
        <f t="shared" ca="1" si="909"/>
        <v>2.9554663441353313</v>
      </c>
      <c r="CR338" s="802">
        <f t="shared" ca="1" si="910"/>
        <v>3.4071082454399431</v>
      </c>
      <c r="CS338" s="802">
        <f t="shared" ca="1" si="911"/>
        <v>4.4491285396125306</v>
      </c>
      <c r="CT338" s="802">
        <f t="shared" ca="1" si="912"/>
        <v>4.0591318491850217</v>
      </c>
      <c r="CU338" s="802">
        <f t="shared" ca="1" si="913"/>
        <v>3.2003427940795466</v>
      </c>
      <c r="CV338" s="802">
        <f t="shared" ca="1" si="914"/>
        <v>2.7000996405354982</v>
      </c>
      <c r="CW338" s="802">
        <f t="shared" ca="1" si="915"/>
        <v>2.6728413706528471</v>
      </c>
      <c r="CX338" s="802">
        <f t="shared" ca="1" si="916"/>
        <v>2.6731374763846674</v>
      </c>
      <c r="CY338" s="802">
        <f t="shared" ca="1" si="917"/>
        <v>2.7085884536913909</v>
      </c>
      <c r="CZ338" s="802">
        <f t="shared" ca="1" si="918"/>
        <v>2.5208338919720465</v>
      </c>
      <c r="DA338" s="802">
        <f t="shared" ca="1" si="919"/>
        <v>2.2255013487630464</v>
      </c>
      <c r="DB338" s="802">
        <f t="shared" ca="1" si="920"/>
        <v>1.939395359138814</v>
      </c>
    </row>
    <row r="339" spans="1:106">
      <c r="CT339"/>
      <c r="CX339"/>
      <c r="DB339" s="3650"/>
    </row>
    <row r="340" spans="1:106">
      <c r="BW340" s="1287"/>
      <c r="BX340" s="1287"/>
      <c r="BY340" s="1287"/>
      <c r="BZ340" s="1287"/>
      <c r="CA340" s="1287"/>
      <c r="CB340" s="1287"/>
      <c r="CC340" s="1287"/>
      <c r="CD340" s="1287"/>
      <c r="CE340" s="1287"/>
      <c r="CF340" s="1287"/>
      <c r="CG340" s="1287"/>
      <c r="CH340" s="1287"/>
      <c r="CI340" s="1287"/>
      <c r="CJ340" s="1287"/>
      <c r="CK340" s="1287"/>
      <c r="CT340"/>
      <c r="CX340"/>
      <c r="DB340" s="3650"/>
    </row>
    <row r="341" spans="1:106">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T341"/>
      <c r="CX341"/>
      <c r="DB341" s="3650"/>
    </row>
    <row r="342" spans="1:106">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T342"/>
      <c r="CX342"/>
      <c r="DB342" s="3650"/>
    </row>
    <row r="343" spans="1:106">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T343"/>
      <c r="CX343"/>
      <c r="DB343" s="3650"/>
    </row>
    <row r="344" spans="1:106">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T344"/>
      <c r="CX344"/>
      <c r="DB344" s="3650"/>
    </row>
    <row r="345" spans="1:106">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T345"/>
      <c r="CX345"/>
      <c r="DB345" s="3650"/>
    </row>
    <row r="346" spans="1:106">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T346"/>
      <c r="CX346"/>
      <c r="DB346" s="3650"/>
    </row>
    <row r="347" spans="1:106">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T347"/>
      <c r="CX347"/>
      <c r="DB347" s="3650"/>
    </row>
    <row r="348" spans="1:106">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T348"/>
      <c r="CX348"/>
      <c r="DB348" s="3650"/>
    </row>
    <row r="349" spans="1:106">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T349"/>
      <c r="CX349"/>
      <c r="DB349" s="3650"/>
    </row>
    <row r="350" spans="1:106">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T350"/>
      <c r="CX350"/>
      <c r="DB350" s="3650"/>
    </row>
    <row r="351" spans="1:106">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T351"/>
      <c r="CX351"/>
      <c r="DB351" s="3650"/>
    </row>
    <row r="352" spans="1:106">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T352"/>
      <c r="CX352"/>
      <c r="DB352" s="3650"/>
    </row>
    <row r="353" spans="103:106" customFormat="1">
      <c r="CY353" s="3650"/>
      <c r="CZ353" s="3650"/>
      <c r="DA353" s="3650"/>
      <c r="DB353" s="3650"/>
    </row>
    <row r="354" spans="103:106" customFormat="1">
      <c r="CY354" s="3650"/>
      <c r="CZ354" s="3650"/>
      <c r="DA354" s="3650"/>
      <c r="DB354" s="3650"/>
    </row>
    <row r="355" spans="103:106" customFormat="1">
      <c r="CY355" s="3650"/>
      <c r="CZ355" s="3650"/>
      <c r="DA355" s="3650"/>
      <c r="DB355" s="3650"/>
    </row>
    <row r="356" spans="103:106" customFormat="1">
      <c r="CY356" s="3650"/>
      <c r="CZ356" s="3650"/>
      <c r="DA356" s="3650"/>
      <c r="DB356" s="3650"/>
    </row>
    <row r="357" spans="103:106" customFormat="1">
      <c r="CY357" s="3650"/>
      <c r="CZ357" s="3650"/>
      <c r="DA357" s="3650"/>
      <c r="DB357" s="3650"/>
    </row>
    <row r="358" spans="103:106" customFormat="1">
      <c r="CY358" s="3650"/>
      <c r="CZ358" s="3650"/>
      <c r="DA358" s="3650"/>
      <c r="DB358" s="3650"/>
    </row>
    <row r="359" spans="103:106" customFormat="1">
      <c r="CY359" s="3650"/>
      <c r="CZ359" s="3650"/>
      <c r="DA359" s="3650"/>
      <c r="DB359" s="3650"/>
    </row>
    <row r="360" spans="103:106" customFormat="1">
      <c r="CY360" s="3650"/>
      <c r="CZ360" s="3650"/>
      <c r="DA360" s="3650"/>
      <c r="DB360" s="3650"/>
    </row>
    <row r="361" spans="103:106" customFormat="1">
      <c r="CY361" s="3650"/>
      <c r="CZ361" s="3650"/>
      <c r="DA361" s="3650"/>
      <c r="DB361" s="3650"/>
    </row>
    <row r="362" spans="103:106" customFormat="1">
      <c r="CY362" s="3650"/>
      <c r="CZ362" s="3650"/>
      <c r="DA362" s="3650"/>
      <c r="DB362" s="3650"/>
    </row>
    <row r="363" spans="103:106" customFormat="1">
      <c r="CY363" s="3650"/>
      <c r="CZ363" s="3650"/>
      <c r="DA363" s="3650"/>
      <c r="DB363" s="3650"/>
    </row>
    <row r="364" spans="103:106" customFormat="1">
      <c r="CY364" s="3650"/>
      <c r="CZ364" s="3650"/>
      <c r="DA364" s="3650"/>
      <c r="DB364" s="3650"/>
    </row>
    <row r="365" spans="103:106" customFormat="1">
      <c r="CY365" s="3650"/>
      <c r="CZ365" s="3650"/>
      <c r="DA365" s="3650"/>
      <c r="DB365" s="3650"/>
    </row>
    <row r="366" spans="103:106" customFormat="1">
      <c r="CY366" s="3650"/>
      <c r="CZ366" s="3650"/>
      <c r="DA366" s="3650"/>
      <c r="DB366" s="3650"/>
    </row>
    <row r="367" spans="103:106" customFormat="1">
      <c r="CY367" s="3650"/>
      <c r="CZ367" s="3650"/>
      <c r="DA367" s="3650"/>
      <c r="DB367" s="3650"/>
    </row>
    <row r="368" spans="103:106" customFormat="1">
      <c r="CY368" s="3650"/>
      <c r="CZ368" s="3650"/>
      <c r="DA368" s="3650"/>
      <c r="DB368" s="3650"/>
    </row>
    <row r="369" spans="103:106" customFormat="1">
      <c r="CY369" s="3650"/>
      <c r="CZ369" s="3650"/>
      <c r="DA369" s="3650"/>
      <c r="DB369" s="3650"/>
    </row>
    <row r="370" spans="103:106" customFormat="1">
      <c r="CY370" s="3650"/>
      <c r="CZ370" s="3650"/>
      <c r="DA370" s="3650"/>
      <c r="DB370" s="3650"/>
    </row>
    <row r="371" spans="103:106" customFormat="1">
      <c r="CY371" s="3650"/>
      <c r="CZ371" s="3650"/>
      <c r="DA371" s="3650"/>
      <c r="DB371" s="3650"/>
    </row>
    <row r="372" spans="103:106" customFormat="1">
      <c r="CY372" s="3650"/>
      <c r="CZ372" s="3650"/>
      <c r="DA372" s="3650"/>
      <c r="DB372" s="3650"/>
    </row>
    <row r="373" spans="103:106" customFormat="1">
      <c r="CY373" s="3650"/>
      <c r="CZ373" s="3650"/>
      <c r="DA373" s="3650"/>
      <c r="DB373" s="3650"/>
    </row>
    <row r="374" spans="103:106" customFormat="1">
      <c r="CY374" s="3650"/>
      <c r="CZ374" s="3650"/>
      <c r="DA374" s="3650"/>
      <c r="DB374" s="3650"/>
    </row>
    <row r="375" spans="103:106" customFormat="1">
      <c r="CY375" s="3650"/>
      <c r="CZ375" s="3650"/>
      <c r="DA375" s="3650"/>
      <c r="DB375" s="3650"/>
    </row>
    <row r="376" spans="103:106" customFormat="1">
      <c r="CY376" s="3650"/>
      <c r="CZ376" s="3650"/>
      <c r="DA376" s="3650"/>
      <c r="DB376" s="3650"/>
    </row>
    <row r="377" spans="103:106" customFormat="1">
      <c r="CY377" s="3650"/>
      <c r="CZ377" s="3650"/>
      <c r="DA377" s="3650"/>
      <c r="DB377" s="3650"/>
    </row>
    <row r="378" spans="103:106" customFormat="1">
      <c r="CY378" s="3650"/>
      <c r="CZ378" s="3650"/>
      <c r="DA378" s="3650"/>
      <c r="DB378" s="3650"/>
    </row>
    <row r="379" spans="103:106" customFormat="1">
      <c r="CY379" s="3650"/>
      <c r="CZ379" s="3650"/>
      <c r="DA379" s="3650"/>
      <c r="DB379" s="3650"/>
    </row>
    <row r="380" spans="103:106" customFormat="1">
      <c r="CY380" s="3650"/>
      <c r="CZ380" s="3650"/>
      <c r="DA380" s="3650"/>
      <c r="DB380" s="3650"/>
    </row>
    <row r="381" spans="103:106" customFormat="1">
      <c r="CY381" s="3650"/>
      <c r="CZ381" s="3650"/>
      <c r="DA381" s="3650"/>
      <c r="DB381" s="3650"/>
    </row>
    <row r="382" spans="103:106" customFormat="1">
      <c r="CY382" s="3650"/>
      <c r="CZ382" s="3650"/>
      <c r="DA382" s="3650"/>
      <c r="DB382" s="3650"/>
    </row>
    <row r="383" spans="103:106" customFormat="1">
      <c r="CY383" s="3650"/>
      <c r="CZ383" s="3650"/>
      <c r="DA383" s="3650"/>
      <c r="DB383" s="3650"/>
    </row>
    <row r="384" spans="103:106" customFormat="1">
      <c r="CY384" s="3650"/>
      <c r="CZ384" s="3650"/>
      <c r="DA384" s="3650"/>
      <c r="DB384" s="3650"/>
    </row>
    <row r="385" spans="103:106" customFormat="1">
      <c r="CY385" s="3650"/>
      <c r="CZ385" s="3650"/>
      <c r="DA385" s="3650"/>
      <c r="DB385" s="3650"/>
    </row>
    <row r="386" spans="103:106" customFormat="1">
      <c r="CY386" s="3650"/>
      <c r="CZ386" s="3650"/>
      <c r="DA386" s="3650"/>
      <c r="DB386" s="3650"/>
    </row>
    <row r="387" spans="103:106" customFormat="1">
      <c r="CY387" s="3650"/>
      <c r="CZ387" s="3650"/>
      <c r="DA387" s="3650"/>
      <c r="DB387" s="3650"/>
    </row>
    <row r="388" spans="103:106" customFormat="1">
      <c r="CY388" s="3650"/>
      <c r="CZ388" s="3650"/>
      <c r="DA388" s="3650"/>
      <c r="DB388" s="3650"/>
    </row>
    <row r="389" spans="103:106" customFormat="1">
      <c r="CY389" s="3650"/>
      <c r="CZ389" s="3650"/>
      <c r="DA389" s="3650"/>
      <c r="DB389" s="3650"/>
    </row>
    <row r="390" spans="103:106" customFormat="1">
      <c r="CY390" s="3650"/>
      <c r="CZ390" s="3650"/>
      <c r="DA390" s="3650"/>
      <c r="DB390" s="3650"/>
    </row>
    <row r="391" spans="103:106" customFormat="1">
      <c r="CY391" s="3650"/>
      <c r="CZ391" s="3650"/>
      <c r="DA391" s="3650"/>
      <c r="DB391" s="3650"/>
    </row>
    <row r="392" spans="103:106" customFormat="1">
      <c r="CY392" s="3650"/>
      <c r="CZ392" s="3650"/>
      <c r="DA392" s="3650"/>
      <c r="DB392" s="3650"/>
    </row>
    <row r="393" spans="103:106" customFormat="1">
      <c r="CY393" s="3650"/>
      <c r="CZ393" s="3650"/>
      <c r="DA393" s="3650"/>
      <c r="DB393" s="3650"/>
    </row>
    <row r="394" spans="103:106" customFormat="1">
      <c r="CY394" s="3650"/>
      <c r="CZ394" s="3650"/>
      <c r="DA394" s="3650"/>
      <c r="DB394" s="3650"/>
    </row>
    <row r="395" spans="103:106" customFormat="1">
      <c r="CY395" s="3650"/>
      <c r="CZ395" s="3650"/>
      <c r="DA395" s="3650"/>
      <c r="DB395" s="3650"/>
    </row>
    <row r="396" spans="103:106" customFormat="1">
      <c r="CY396" s="3650"/>
      <c r="CZ396" s="3650"/>
      <c r="DA396" s="3650"/>
      <c r="DB396" s="3650"/>
    </row>
    <row r="397" spans="103:106" customFormat="1">
      <c r="CY397" s="3650"/>
      <c r="CZ397" s="3650"/>
      <c r="DA397" s="3650"/>
      <c r="DB397" s="3650"/>
    </row>
    <row r="398" spans="103:106" customFormat="1">
      <c r="CY398" s="3650"/>
      <c r="CZ398" s="3650"/>
      <c r="DA398" s="3650"/>
      <c r="DB398" s="3650"/>
    </row>
    <row r="399" spans="103:106" customFormat="1">
      <c r="CY399" s="3650"/>
      <c r="CZ399" s="3650"/>
      <c r="DA399" s="3650"/>
      <c r="DB399" s="3650"/>
    </row>
    <row r="400" spans="103:106" customFormat="1">
      <c r="CY400" s="3650"/>
      <c r="CZ400" s="3650"/>
      <c r="DA400" s="3650"/>
      <c r="DB400" s="3650"/>
    </row>
    <row r="401" spans="103:106" customFormat="1">
      <c r="CY401" s="3650"/>
      <c r="CZ401" s="3650"/>
      <c r="DA401" s="3650"/>
      <c r="DB401" s="3650"/>
    </row>
    <row r="402" spans="103:106" customFormat="1">
      <c r="CY402" s="3650"/>
      <c r="CZ402" s="3650"/>
      <c r="DA402" s="3650"/>
      <c r="DB402" s="3650"/>
    </row>
    <row r="403" spans="103:106" customFormat="1">
      <c r="CY403" s="3650"/>
      <c r="CZ403" s="3650"/>
      <c r="DA403" s="3650"/>
      <c r="DB403" s="3650"/>
    </row>
    <row r="404" spans="103:106" customFormat="1">
      <c r="CY404" s="3650"/>
      <c r="CZ404" s="3650"/>
      <c r="DA404" s="3650"/>
      <c r="DB404" s="3650"/>
    </row>
    <row r="405" spans="103:106" customFormat="1">
      <c r="CY405" s="3650"/>
      <c r="CZ405" s="3650"/>
      <c r="DA405" s="3650"/>
      <c r="DB405" s="3650"/>
    </row>
    <row r="406" spans="103:106" customFormat="1">
      <c r="CY406" s="3650"/>
      <c r="CZ406" s="3650"/>
      <c r="DA406" s="3650"/>
      <c r="DB406" s="3650"/>
    </row>
    <row r="407" spans="103:106" customFormat="1">
      <c r="CY407" s="3650"/>
      <c r="CZ407" s="3650"/>
      <c r="DA407" s="3650"/>
      <c r="DB407" s="3650"/>
    </row>
    <row r="408" spans="103:106" customFormat="1">
      <c r="CY408" s="3650"/>
      <c r="CZ408" s="3650"/>
      <c r="DA408" s="3650"/>
      <c r="DB408" s="3650"/>
    </row>
    <row r="409" spans="103:106" customFormat="1">
      <c r="CY409" s="3650"/>
      <c r="CZ409" s="3650"/>
      <c r="DA409" s="3650"/>
      <c r="DB409" s="3650"/>
    </row>
    <row r="410" spans="103:106" customFormat="1">
      <c r="CY410" s="3650"/>
      <c r="CZ410" s="3650"/>
      <c r="DA410" s="3650"/>
      <c r="DB410" s="3650"/>
    </row>
    <row r="411" spans="103:106" customFormat="1">
      <c r="CY411" s="3650"/>
      <c r="CZ411" s="3650"/>
      <c r="DA411" s="3650"/>
      <c r="DB411" s="3650"/>
    </row>
    <row r="412" spans="103:106" customFormat="1">
      <c r="CY412" s="3650"/>
      <c r="CZ412" s="3650"/>
      <c r="DA412" s="3650"/>
      <c r="DB412" s="3650"/>
    </row>
    <row r="413" spans="103:106" customFormat="1">
      <c r="CY413" s="3650"/>
      <c r="CZ413" s="3650"/>
      <c r="DA413" s="3650"/>
      <c r="DB413" s="3650"/>
    </row>
    <row r="414" spans="103:106" customFormat="1">
      <c r="CY414" s="3650"/>
      <c r="CZ414" s="3650"/>
      <c r="DA414" s="3650"/>
      <c r="DB414" s="3650"/>
    </row>
    <row r="415" spans="103:106" customFormat="1">
      <c r="CY415" s="3650"/>
      <c r="CZ415" s="3650"/>
      <c r="DA415" s="3650"/>
      <c r="DB415" s="3650"/>
    </row>
    <row r="416" spans="103:106" customFormat="1">
      <c r="CY416" s="3650"/>
      <c r="CZ416" s="3650"/>
      <c r="DA416" s="3650"/>
      <c r="DB416" s="3650"/>
    </row>
    <row r="417" spans="103:106" customFormat="1">
      <c r="CY417" s="3650"/>
      <c r="CZ417" s="3650"/>
      <c r="DA417" s="3650"/>
      <c r="DB417" s="3650"/>
    </row>
    <row r="418" spans="103:106" customFormat="1">
      <c r="CY418" s="3650"/>
      <c r="CZ418" s="3650"/>
      <c r="DA418" s="3650"/>
      <c r="DB418" s="3650"/>
    </row>
    <row r="419" spans="103:106" customFormat="1">
      <c r="CY419" s="3650"/>
      <c r="CZ419" s="3650"/>
      <c r="DA419" s="3650"/>
      <c r="DB419" s="3650"/>
    </row>
    <row r="420" spans="103:106" customFormat="1">
      <c r="CY420" s="3650"/>
      <c r="CZ420" s="3650"/>
      <c r="DA420" s="3650"/>
      <c r="DB420" s="3650"/>
    </row>
    <row r="421" spans="103:106" customFormat="1">
      <c r="CY421" s="3650"/>
      <c r="CZ421" s="3650"/>
      <c r="DA421" s="3650"/>
      <c r="DB421" s="3650"/>
    </row>
    <row r="422" spans="103:106" customFormat="1">
      <c r="CY422" s="3650"/>
      <c r="CZ422" s="3650"/>
      <c r="DA422" s="3650"/>
      <c r="DB422" s="3650"/>
    </row>
    <row r="423" spans="103:106" customFormat="1">
      <c r="CY423" s="3650"/>
      <c r="CZ423" s="3650"/>
      <c r="DA423" s="3650"/>
      <c r="DB423" s="3650"/>
    </row>
    <row r="424" spans="103:106" customFormat="1">
      <c r="CY424" s="3650"/>
      <c r="CZ424" s="3650"/>
      <c r="DA424" s="3650"/>
      <c r="DB424" s="3650"/>
    </row>
    <row r="425" spans="103:106" customFormat="1">
      <c r="CY425" s="3650"/>
      <c r="CZ425" s="3650"/>
      <c r="DA425" s="3650"/>
      <c r="DB425" s="3650"/>
    </row>
    <row r="426" spans="103:106" customFormat="1">
      <c r="CY426" s="3650"/>
      <c r="CZ426" s="3650"/>
      <c r="DA426" s="3650"/>
      <c r="DB426" s="3650"/>
    </row>
    <row r="427" spans="103:106" customFormat="1">
      <c r="CY427" s="3650"/>
      <c r="CZ427" s="3650"/>
      <c r="DA427" s="3650"/>
      <c r="DB427" s="3650"/>
    </row>
    <row r="428" spans="103:106" customFormat="1">
      <c r="CY428" s="3650"/>
      <c r="CZ428" s="3650"/>
      <c r="DA428" s="3650"/>
      <c r="DB428" s="3650"/>
    </row>
    <row r="429" spans="103:106" customFormat="1">
      <c r="CY429" s="3650"/>
      <c r="CZ429" s="3650"/>
      <c r="DA429" s="3650"/>
      <c r="DB429" s="3650"/>
    </row>
    <row r="430" spans="103:106" customFormat="1">
      <c r="CY430" s="3650"/>
      <c r="CZ430" s="3650"/>
      <c r="DA430" s="3650"/>
      <c r="DB430" s="3650"/>
    </row>
    <row r="431" spans="103:106" customFormat="1">
      <c r="CY431" s="3650"/>
      <c r="CZ431" s="3650"/>
      <c r="DA431" s="3650"/>
      <c r="DB431" s="3650"/>
    </row>
    <row r="432" spans="103:106" customFormat="1">
      <c r="CY432" s="3650"/>
      <c r="CZ432" s="3650"/>
      <c r="DA432" s="3650"/>
      <c r="DB432" s="3650"/>
    </row>
    <row r="433" spans="103:106" customFormat="1">
      <c r="CY433" s="3650"/>
      <c r="CZ433" s="3650"/>
      <c r="DA433" s="3650"/>
      <c r="DB433" s="3650"/>
    </row>
    <row r="434" spans="103:106" customFormat="1">
      <c r="CY434" s="3650"/>
      <c r="CZ434" s="3650"/>
      <c r="DA434" s="3650"/>
      <c r="DB434" s="3650"/>
    </row>
    <row r="435" spans="103:106" customFormat="1">
      <c r="CY435" s="3650"/>
      <c r="CZ435" s="3650"/>
      <c r="DA435" s="3650"/>
      <c r="DB435" s="3650"/>
    </row>
    <row r="436" spans="103:106" customFormat="1">
      <c r="CY436" s="3650"/>
      <c r="CZ436" s="3650"/>
      <c r="DA436" s="3650"/>
      <c r="DB436" s="3650"/>
    </row>
    <row r="437" spans="103:106" customFormat="1">
      <c r="CY437" s="3650"/>
      <c r="CZ437" s="3650"/>
      <c r="DA437" s="3650"/>
      <c r="DB437" s="3650"/>
    </row>
    <row r="438" spans="103:106" customFormat="1">
      <c r="CY438" s="3650"/>
      <c r="CZ438" s="3650"/>
      <c r="DA438" s="3650"/>
      <c r="DB438" s="3650"/>
    </row>
    <row r="439" spans="103:106" customFormat="1">
      <c r="CY439" s="3650"/>
      <c r="CZ439" s="3650"/>
      <c r="DA439" s="3650"/>
      <c r="DB439" s="3650"/>
    </row>
    <row r="440" spans="103:106" customFormat="1">
      <c r="CY440" s="3650"/>
      <c r="CZ440" s="3650"/>
      <c r="DA440" s="3650"/>
      <c r="DB440" s="3650"/>
    </row>
    <row r="441" spans="103:106" customFormat="1">
      <c r="CY441" s="3650"/>
      <c r="CZ441" s="3650"/>
      <c r="DA441" s="3650"/>
      <c r="DB441" s="3650"/>
    </row>
    <row r="442" spans="103:106" customFormat="1">
      <c r="CY442" s="3650"/>
      <c r="CZ442" s="3650"/>
      <c r="DA442" s="3650"/>
      <c r="DB442" s="3650"/>
    </row>
    <row r="443" spans="103:106" customFormat="1">
      <c r="CY443" s="3650"/>
      <c r="CZ443" s="3650"/>
      <c r="DA443" s="3650"/>
      <c r="DB443" s="3650"/>
    </row>
    <row r="444" spans="103:106" customFormat="1">
      <c r="CY444" s="3650"/>
      <c r="CZ444" s="3650"/>
      <c r="DA444" s="3650"/>
      <c r="DB444" s="3650"/>
    </row>
    <row r="445" spans="103:106" customFormat="1">
      <c r="CY445" s="3650"/>
      <c r="CZ445" s="3650"/>
      <c r="DA445" s="3650"/>
      <c r="DB445" s="3650"/>
    </row>
    <row r="446" spans="103:106" customFormat="1">
      <c r="CY446" s="3650"/>
      <c r="CZ446" s="3650"/>
      <c r="DA446" s="3650"/>
      <c r="DB446" s="3650"/>
    </row>
    <row r="447" spans="103:106" customFormat="1">
      <c r="CY447" s="3650"/>
      <c r="CZ447" s="3650"/>
      <c r="DA447" s="3650"/>
      <c r="DB447" s="3650"/>
    </row>
    <row r="448" spans="103:106" customFormat="1">
      <c r="CY448" s="3650"/>
      <c r="CZ448" s="3650"/>
      <c r="DA448" s="3650"/>
      <c r="DB448" s="3650"/>
    </row>
    <row r="449" spans="103:106" customFormat="1">
      <c r="CY449" s="3650"/>
      <c r="CZ449" s="3650"/>
      <c r="DA449" s="3650"/>
      <c r="DB449" s="3650"/>
    </row>
    <row r="450" spans="103:106" customFormat="1">
      <c r="CY450" s="3650"/>
      <c r="CZ450" s="3650"/>
      <c r="DA450" s="3650"/>
      <c r="DB450" s="3650"/>
    </row>
    <row r="451" spans="103:106" customFormat="1">
      <c r="CY451" s="3650"/>
      <c r="CZ451" s="3650"/>
      <c r="DA451" s="3650"/>
      <c r="DB451" s="3650"/>
    </row>
    <row r="452" spans="103:106" customFormat="1">
      <c r="CY452" s="3650"/>
      <c r="CZ452" s="3650"/>
      <c r="DA452" s="3650"/>
      <c r="DB452" s="3650"/>
    </row>
    <row r="453" spans="103:106" customFormat="1">
      <c r="CY453" s="3650"/>
      <c r="CZ453" s="3650"/>
      <c r="DA453" s="3650"/>
      <c r="DB453" s="3650"/>
    </row>
    <row r="454" spans="103:106" customFormat="1">
      <c r="CY454" s="3650"/>
      <c r="CZ454" s="3650"/>
      <c r="DA454" s="3650"/>
      <c r="DB454" s="3650"/>
    </row>
    <row r="455" spans="103:106" customFormat="1">
      <c r="CY455" s="3650"/>
      <c r="CZ455" s="3650"/>
      <c r="DA455" s="3650"/>
      <c r="DB455" s="3650"/>
    </row>
    <row r="456" spans="103:106" customFormat="1">
      <c r="CY456" s="3650"/>
      <c r="CZ456" s="3650"/>
      <c r="DA456" s="3650"/>
      <c r="DB456" s="3650"/>
    </row>
    <row r="457" spans="103:106" customFormat="1">
      <c r="CY457" s="3650"/>
      <c r="CZ457" s="3650"/>
      <c r="DA457" s="3650"/>
      <c r="DB457" s="3650"/>
    </row>
    <row r="458" spans="103:106" customFormat="1">
      <c r="CY458" s="3650"/>
      <c r="CZ458" s="3650"/>
      <c r="DA458" s="3650"/>
      <c r="DB458" s="3650"/>
    </row>
    <row r="459" spans="103:106" customFormat="1">
      <c r="CY459" s="3650"/>
      <c r="CZ459" s="3650"/>
      <c r="DA459" s="3650"/>
      <c r="DB459" s="3650"/>
    </row>
    <row r="460" spans="103:106" customFormat="1">
      <c r="CY460" s="3650"/>
      <c r="CZ460" s="3650"/>
      <c r="DA460" s="3650"/>
      <c r="DB460" s="3650"/>
    </row>
    <row r="461" spans="103:106" customFormat="1">
      <c r="CY461" s="3650"/>
      <c r="CZ461" s="3650"/>
      <c r="DA461" s="3650"/>
      <c r="DB461" s="3650"/>
    </row>
    <row r="462" spans="103:106" customFormat="1">
      <c r="CY462" s="3650"/>
      <c r="CZ462" s="3650"/>
      <c r="DA462" s="3650"/>
      <c r="DB462" s="3650"/>
    </row>
    <row r="463" spans="103:106" customFormat="1">
      <c r="CY463" s="3650"/>
      <c r="CZ463" s="3650"/>
      <c r="DA463" s="3650"/>
      <c r="DB463" s="3650"/>
    </row>
    <row r="464" spans="103:106" customFormat="1">
      <c r="CY464" s="3650"/>
      <c r="CZ464" s="3650"/>
      <c r="DA464" s="3650"/>
      <c r="DB464" s="3650"/>
    </row>
    <row r="465" spans="103:106" customFormat="1">
      <c r="CY465" s="3650"/>
      <c r="CZ465" s="3650"/>
      <c r="DA465" s="3650"/>
      <c r="DB465" s="3650"/>
    </row>
    <row r="466" spans="103:106" customFormat="1">
      <c r="CY466" s="3650"/>
      <c r="CZ466" s="3650"/>
      <c r="DA466" s="3650"/>
      <c r="DB466" s="3650"/>
    </row>
    <row r="467" spans="103:106" customFormat="1">
      <c r="CY467" s="3650"/>
      <c r="CZ467" s="3650"/>
      <c r="DA467" s="3650"/>
      <c r="DB467" s="3650"/>
    </row>
    <row r="468" spans="103:106" customFormat="1">
      <c r="CY468" s="3650"/>
      <c r="CZ468" s="3650"/>
      <c r="DA468" s="3650"/>
      <c r="DB468" s="3650"/>
    </row>
    <row r="469" spans="103:106" customFormat="1">
      <c r="CY469" s="3650"/>
      <c r="CZ469" s="3650"/>
      <c r="DA469" s="3650"/>
      <c r="DB469" s="3650"/>
    </row>
    <row r="470" spans="103:106" customFormat="1">
      <c r="CY470" s="3650"/>
      <c r="CZ470" s="3650"/>
      <c r="DA470" s="3650"/>
      <c r="DB470" s="3650"/>
    </row>
    <row r="471" spans="103:106" customFormat="1">
      <c r="CY471" s="3650"/>
      <c r="CZ471" s="3650"/>
      <c r="DA471" s="3650"/>
      <c r="DB471" s="3650"/>
    </row>
    <row r="472" spans="103:106" customFormat="1">
      <c r="CY472" s="3650"/>
      <c r="CZ472" s="3650"/>
      <c r="DA472" s="3650"/>
      <c r="DB472" s="3650"/>
    </row>
    <row r="473" spans="103:106" customFormat="1">
      <c r="CY473" s="3650"/>
      <c r="CZ473" s="3650"/>
      <c r="DA473" s="3650"/>
      <c r="DB473" s="3650"/>
    </row>
    <row r="474" spans="103:106" customFormat="1">
      <c r="CY474" s="3650"/>
      <c r="CZ474" s="3650"/>
      <c r="DA474" s="3650"/>
      <c r="DB474" s="3650"/>
    </row>
    <row r="475" spans="103:106" customFormat="1">
      <c r="CY475" s="3650"/>
      <c r="CZ475" s="3650"/>
      <c r="DA475" s="3650"/>
      <c r="DB475" s="3650"/>
    </row>
    <row r="476" spans="103:106" customFormat="1">
      <c r="CY476" s="3650"/>
      <c r="CZ476" s="3650"/>
      <c r="DA476" s="3650"/>
      <c r="DB476" s="3650"/>
    </row>
    <row r="477" spans="103:106" customFormat="1">
      <c r="CY477" s="3650"/>
      <c r="CZ477" s="3650"/>
      <c r="DA477" s="3650"/>
      <c r="DB477" s="3650"/>
    </row>
    <row r="478" spans="103:106" customFormat="1">
      <c r="CY478" s="3650"/>
      <c r="CZ478" s="3650"/>
      <c r="DA478" s="3650"/>
      <c r="DB478" s="3650"/>
    </row>
    <row r="479" spans="103:106" customFormat="1">
      <c r="CY479" s="3650"/>
      <c r="CZ479" s="3650"/>
      <c r="DA479" s="3650"/>
      <c r="DB479" s="3650"/>
    </row>
    <row r="480" spans="103:106" customFormat="1">
      <c r="CY480" s="3650"/>
      <c r="CZ480" s="3650"/>
      <c r="DA480" s="3650"/>
      <c r="DB480" s="3650"/>
    </row>
    <row r="481" spans="103:106" customFormat="1">
      <c r="CY481" s="3650"/>
      <c r="CZ481" s="3650"/>
      <c r="DA481" s="3650"/>
      <c r="DB481" s="3650"/>
    </row>
    <row r="482" spans="103:106" customFormat="1">
      <c r="CY482" s="3650"/>
      <c r="CZ482" s="3650"/>
      <c r="DA482" s="3650"/>
      <c r="DB482" s="3650"/>
    </row>
    <row r="483" spans="103:106" customFormat="1">
      <c r="CY483" s="3650"/>
      <c r="CZ483" s="3650"/>
      <c r="DA483" s="3650"/>
      <c r="DB483" s="3650"/>
    </row>
    <row r="484" spans="103:106" customFormat="1">
      <c r="CY484" s="3650"/>
      <c r="CZ484" s="3650"/>
      <c r="DA484" s="3650"/>
      <c r="DB484" s="3650"/>
    </row>
    <row r="485" spans="103:106" customFormat="1">
      <c r="CY485" s="3650"/>
      <c r="CZ485" s="3650"/>
      <c r="DA485" s="3650"/>
      <c r="DB485" s="3650"/>
    </row>
    <row r="486" spans="103:106" customFormat="1">
      <c r="CY486" s="3650"/>
      <c r="CZ486" s="3650"/>
      <c r="DA486" s="3650"/>
      <c r="DB486" s="3650"/>
    </row>
    <row r="487" spans="103:106" customFormat="1">
      <c r="CY487" s="3650"/>
      <c r="CZ487" s="3650"/>
      <c r="DA487" s="3650"/>
      <c r="DB487" s="3650"/>
    </row>
    <row r="488" spans="103:106" customFormat="1">
      <c r="CY488" s="3650"/>
      <c r="CZ488" s="3650"/>
      <c r="DA488" s="3650"/>
      <c r="DB488" s="3650"/>
    </row>
    <row r="489" spans="103:106" customFormat="1">
      <c r="CY489" s="3650"/>
      <c r="CZ489" s="3650"/>
      <c r="DA489" s="3650"/>
      <c r="DB489" s="3650"/>
    </row>
    <row r="490" spans="103:106" customFormat="1">
      <c r="CY490" s="3650"/>
      <c r="CZ490" s="3650"/>
      <c r="DA490" s="3650"/>
      <c r="DB490" s="3650"/>
    </row>
    <row r="491" spans="103:106" customFormat="1">
      <c r="CY491" s="3650"/>
      <c r="CZ491" s="3650"/>
      <c r="DA491" s="3650"/>
      <c r="DB491" s="3650"/>
    </row>
    <row r="492" spans="103:106" customFormat="1">
      <c r="CY492" s="3650"/>
      <c r="CZ492" s="3650"/>
      <c r="DA492" s="3650"/>
      <c r="DB492" s="3650"/>
    </row>
    <row r="493" spans="103:106" customFormat="1">
      <c r="CY493" s="3650"/>
      <c r="CZ493" s="3650"/>
      <c r="DA493" s="3650"/>
      <c r="DB493" s="3650"/>
    </row>
    <row r="494" spans="103:106" customFormat="1">
      <c r="CY494" s="3650"/>
      <c r="CZ494" s="3650"/>
      <c r="DA494" s="3650"/>
      <c r="DB494" s="3650"/>
    </row>
    <row r="495" spans="103:106" customFormat="1">
      <c r="CY495" s="3650"/>
      <c r="CZ495" s="3650"/>
      <c r="DA495" s="3650"/>
      <c r="DB495" s="3650"/>
    </row>
    <row r="496" spans="103:106" customFormat="1">
      <c r="CY496" s="3650"/>
      <c r="CZ496" s="3650"/>
      <c r="DA496" s="3650"/>
      <c r="DB496" s="3650"/>
    </row>
    <row r="497" spans="98:106" customFormat="1">
      <c r="CY497" s="3650"/>
      <c r="CZ497" s="3650"/>
      <c r="DA497" s="3650"/>
      <c r="DB497" s="3650"/>
    </row>
    <row r="498" spans="98:106" customFormat="1">
      <c r="CY498" s="3650"/>
      <c r="CZ498" s="3650"/>
      <c r="DA498" s="3650"/>
      <c r="DB498" s="3650"/>
    </row>
    <row r="499" spans="98:106" customFormat="1">
      <c r="CY499" s="3650"/>
      <c r="CZ499" s="3650"/>
      <c r="DA499" s="3650"/>
      <c r="DB499" s="3650"/>
    </row>
    <row r="500" spans="98:106" customFormat="1">
      <c r="CY500" s="3650"/>
      <c r="CZ500" s="3650"/>
      <c r="DA500" s="3650"/>
      <c r="DB500" s="3650"/>
    </row>
    <row r="501" spans="98:106" customFormat="1">
      <c r="CY501" s="3650"/>
      <c r="CZ501" s="3650"/>
      <c r="DA501" s="3650"/>
      <c r="DB501" s="3650"/>
    </row>
    <row r="502" spans="98:106" customFormat="1">
      <c r="CY502" s="3650"/>
      <c r="CZ502" s="3650"/>
      <c r="DA502" s="3650"/>
      <c r="DB502" s="3650"/>
    </row>
    <row r="503" spans="98:106" customFormat="1">
      <c r="CY503" s="3650"/>
      <c r="CZ503" s="3650"/>
      <c r="DA503" s="3650"/>
      <c r="DB503" s="3650"/>
    </row>
    <row r="504" spans="98:106" customFormat="1">
      <c r="CY504" s="3650"/>
      <c r="CZ504" s="3650"/>
      <c r="DA504" s="3650"/>
      <c r="DB504" s="3650"/>
    </row>
    <row r="505" spans="98:106" customFormat="1">
      <c r="CY505" s="3650"/>
      <c r="CZ505" s="3650"/>
      <c r="DA505" s="3650"/>
      <c r="DB505" s="3650"/>
    </row>
    <row r="506" spans="98:106" customFormat="1">
      <c r="CY506" s="3650"/>
      <c r="CZ506" s="3650"/>
      <c r="DA506" s="3650"/>
      <c r="DB506" s="3650"/>
    </row>
    <row r="507" spans="98:106" customFormat="1">
      <c r="CT507" s="3383"/>
      <c r="CX507" s="3383"/>
      <c r="CY507" s="3650"/>
      <c r="CZ507" s="3650"/>
      <c r="DA507" s="3650"/>
      <c r="DB507" s="3383"/>
    </row>
    <row r="508" spans="98:106" customFormat="1">
      <c r="CT508" s="3383"/>
      <c r="CX508" s="3383"/>
      <c r="CY508" s="3650"/>
      <c r="CZ508" s="3650"/>
      <c r="DA508" s="3650"/>
      <c r="DB508" s="3383"/>
    </row>
    <row r="509" spans="98:106" customFormat="1">
      <c r="CT509" s="3383"/>
      <c r="CX509" s="3383"/>
      <c r="CY509" s="3650"/>
      <c r="CZ509" s="3650"/>
      <c r="DA509" s="3650"/>
      <c r="DB509" s="3383"/>
    </row>
    <row r="510" spans="98:106" customFormat="1">
      <c r="CT510" s="3383"/>
      <c r="CX510" s="3383"/>
      <c r="CY510" s="3650"/>
      <c r="CZ510" s="3650"/>
      <c r="DA510" s="3650"/>
      <c r="DB510" s="3383"/>
    </row>
    <row r="511" spans="98:106" customFormat="1">
      <c r="CT511" s="3383"/>
      <c r="CX511" s="3383"/>
      <c r="CY511" s="3650"/>
      <c r="CZ511" s="3650"/>
      <c r="DA511" s="3650"/>
      <c r="DB511" s="3383"/>
    </row>
    <row r="512" spans="98:106" customFormat="1">
      <c r="CT512" s="3383"/>
      <c r="CX512" s="3383"/>
      <c r="CY512" s="3650"/>
      <c r="CZ512" s="3650"/>
      <c r="DA512" s="3650"/>
      <c r="DB512" s="3383"/>
    </row>
    <row r="513" spans="98:106" customFormat="1">
      <c r="CT513" s="3383"/>
      <c r="CX513" s="3383"/>
      <c r="CY513" s="3650"/>
      <c r="CZ513" s="3650"/>
      <c r="DA513" s="3650"/>
      <c r="DB513" s="3383"/>
    </row>
    <row r="514" spans="98:106" customFormat="1">
      <c r="CT514" s="3383"/>
      <c r="CX514" s="3383"/>
      <c r="CY514" s="3650"/>
      <c r="CZ514" s="3650"/>
      <c r="DA514" s="3650"/>
      <c r="DB514" s="3383"/>
    </row>
    <row r="515" spans="98:106" customFormat="1">
      <c r="CT515" s="3383"/>
      <c r="CX515" s="3383"/>
      <c r="CY515" s="3650"/>
      <c r="CZ515" s="3650"/>
      <c r="DA515" s="3650"/>
      <c r="DB515" s="3383"/>
    </row>
    <row r="516" spans="98:106" customFormat="1">
      <c r="CT516" s="3383"/>
      <c r="CX516" s="3383"/>
      <c r="CY516" s="3650"/>
      <c r="CZ516" s="3650"/>
      <c r="DA516" s="3650"/>
      <c r="DB516" s="3383"/>
    </row>
    <row r="517" spans="98:106" customFormat="1">
      <c r="CT517" s="3383"/>
      <c r="CX517" s="3383"/>
      <c r="CY517" s="3650"/>
      <c r="CZ517" s="3650"/>
      <c r="DA517" s="3650"/>
      <c r="DB517" s="3383"/>
    </row>
    <row r="518" spans="98:106" customFormat="1">
      <c r="CT518" s="3383"/>
      <c r="CX518" s="3383"/>
      <c r="CY518" s="3650"/>
      <c r="CZ518" s="3650"/>
      <c r="DA518" s="3650"/>
      <c r="DB518" s="3383"/>
    </row>
    <row r="519" spans="98:106" customFormat="1">
      <c r="CT519" s="3383"/>
      <c r="CX519" s="3383"/>
      <c r="CY519" s="3650"/>
      <c r="CZ519" s="3650"/>
      <c r="DA519" s="3650"/>
      <c r="DB519" s="3383"/>
    </row>
    <row r="520" spans="98:106" customFormat="1">
      <c r="CT520" s="3383"/>
      <c r="CX520" s="3383"/>
      <c r="CY520" s="3650"/>
      <c r="CZ520" s="3650"/>
      <c r="DA520" s="3650"/>
      <c r="DB520" s="3383"/>
    </row>
    <row r="521" spans="98:106" customFormat="1">
      <c r="CT521" s="3383"/>
      <c r="CX521" s="3383"/>
      <c r="CY521" s="3650"/>
      <c r="CZ521" s="3650"/>
      <c r="DA521" s="3650"/>
      <c r="DB521" s="3383"/>
    </row>
    <row r="522" spans="98:106" customFormat="1">
      <c r="CT522" s="3383"/>
      <c r="CX522" s="3383"/>
      <c r="CY522" s="3650"/>
      <c r="CZ522" s="3650"/>
      <c r="DA522" s="3650"/>
      <c r="DB522" s="3383"/>
    </row>
    <row r="523" spans="98:106" customFormat="1">
      <c r="CT523" s="3383"/>
      <c r="CX523" s="3383"/>
      <c r="CY523" s="3650"/>
      <c r="CZ523" s="3650"/>
      <c r="DA523" s="3650"/>
      <c r="DB523" s="3383"/>
    </row>
    <row r="524" spans="98:106" customFormat="1">
      <c r="CT524" s="3383"/>
      <c r="CX524" s="3383"/>
      <c r="CY524" s="3650"/>
      <c r="CZ524" s="3650"/>
      <c r="DA524" s="3650"/>
      <c r="DB524" s="3383"/>
    </row>
    <row r="525" spans="98:106" customFormat="1">
      <c r="CT525" s="3383"/>
      <c r="CX525" s="3383"/>
      <c r="CY525" s="3650"/>
      <c r="CZ525" s="3650"/>
      <c r="DA525" s="3650"/>
      <c r="DB525" s="3383"/>
    </row>
    <row r="526" spans="98:106" customFormat="1">
      <c r="CT526" s="3383"/>
      <c r="CX526" s="3383"/>
      <c r="CY526" s="3650"/>
      <c r="CZ526" s="3650"/>
      <c r="DA526" s="3650"/>
      <c r="DB526" s="3383"/>
    </row>
    <row r="527" spans="98:106" customFormat="1">
      <c r="CT527" s="3383"/>
      <c r="CX527" s="3383"/>
      <c r="CY527" s="3650"/>
      <c r="CZ527" s="3650"/>
      <c r="DA527" s="3650"/>
      <c r="DB527" s="3383"/>
    </row>
    <row r="528" spans="98:106" customFormat="1">
      <c r="CT528" s="3383"/>
      <c r="CX528" s="3383"/>
      <c r="CY528" s="3650"/>
      <c r="CZ528" s="3650"/>
      <c r="DA528" s="3650"/>
      <c r="DB528" s="3383"/>
    </row>
    <row r="529" spans="98:106" customFormat="1">
      <c r="CT529" s="3383"/>
      <c r="CX529" s="3383"/>
      <c r="CY529" s="3650"/>
      <c r="CZ529" s="3650"/>
      <c r="DA529" s="3650"/>
      <c r="DB529" s="3383"/>
    </row>
    <row r="530" spans="98:106" customFormat="1">
      <c r="CT530" s="3383"/>
      <c r="CX530" s="3383"/>
      <c r="CY530" s="3650"/>
      <c r="CZ530" s="3650"/>
      <c r="DA530" s="3650"/>
      <c r="DB530" s="3383"/>
    </row>
    <row r="531" spans="98:106" customFormat="1">
      <c r="CT531" s="3383"/>
      <c r="CX531" s="3383"/>
      <c r="CY531" s="3650"/>
      <c r="CZ531" s="3650"/>
      <c r="DA531" s="3650"/>
      <c r="DB531" s="3383"/>
    </row>
    <row r="532" spans="98:106" customFormat="1">
      <c r="CT532" s="3383"/>
      <c r="CX532" s="3383"/>
      <c r="CY532" s="3650"/>
      <c r="CZ532" s="3650"/>
      <c r="DA532" s="3650"/>
      <c r="DB532" s="3383"/>
    </row>
    <row r="533" spans="98:106" customFormat="1">
      <c r="CT533" s="3383"/>
      <c r="CX533" s="3383"/>
      <c r="CY533" s="3650"/>
      <c r="CZ533" s="3650"/>
      <c r="DA533" s="3650"/>
      <c r="DB533" s="3383"/>
    </row>
    <row r="534" spans="98:106" customFormat="1">
      <c r="CT534" s="3383"/>
      <c r="CX534" s="3383"/>
      <c r="CY534" s="3650"/>
      <c r="CZ534" s="3650"/>
      <c r="DA534" s="3650"/>
      <c r="DB534" s="3383"/>
    </row>
    <row r="535" spans="98:106" customFormat="1">
      <c r="CT535" s="3383"/>
      <c r="CX535" s="3383"/>
      <c r="CY535" s="3650"/>
      <c r="CZ535" s="3650"/>
      <c r="DA535" s="3650"/>
      <c r="DB535" s="3383"/>
    </row>
    <row r="536" spans="98:106" customFormat="1">
      <c r="CT536" s="3383"/>
      <c r="CX536" s="3383"/>
      <c r="CY536" s="3650"/>
      <c r="CZ536" s="3650"/>
      <c r="DA536" s="3650"/>
      <c r="DB536" s="3383"/>
    </row>
    <row r="537" spans="98:106" customFormat="1">
      <c r="CT537" s="3383"/>
      <c r="CX537" s="3383"/>
      <c r="CY537" s="3650"/>
      <c r="CZ537" s="3650"/>
      <c r="DA537" s="3650"/>
      <c r="DB537" s="3383"/>
    </row>
    <row r="538" spans="98:106" customFormat="1">
      <c r="CT538" s="3383"/>
      <c r="CX538" s="3383"/>
      <c r="CY538" s="3650"/>
      <c r="CZ538" s="3650"/>
      <c r="DA538" s="3650"/>
      <c r="DB538" s="3383"/>
    </row>
    <row r="539" spans="98:106" customFormat="1">
      <c r="CT539" s="3383"/>
      <c r="CX539" s="3383"/>
      <c r="CY539" s="3650"/>
      <c r="CZ539" s="3650"/>
      <c r="DA539" s="3650"/>
      <c r="DB539" s="3383"/>
    </row>
    <row r="540" spans="98:106" customFormat="1">
      <c r="CT540" s="3383"/>
      <c r="CX540" s="3383"/>
      <c r="CY540" s="3650"/>
      <c r="CZ540" s="3650"/>
      <c r="DA540" s="3650"/>
      <c r="DB540" s="3383"/>
    </row>
    <row r="541" spans="98:106" customFormat="1">
      <c r="CT541" s="3383"/>
      <c r="CX541" s="3383"/>
      <c r="CY541" s="3650"/>
      <c r="CZ541" s="3650"/>
      <c r="DA541" s="3650"/>
      <c r="DB541" s="3383"/>
    </row>
    <row r="542" spans="98:106" customFormat="1">
      <c r="CT542" s="3383"/>
      <c r="CX542" s="3383"/>
      <c r="CY542" s="3650"/>
      <c r="CZ542" s="3650"/>
      <c r="DA542" s="3650"/>
      <c r="DB542" s="3383"/>
    </row>
    <row r="543" spans="98:106" customFormat="1">
      <c r="CT543" s="3383"/>
      <c r="CX543" s="3383"/>
      <c r="CY543" s="3650"/>
      <c r="CZ543" s="3650"/>
      <c r="DA543" s="3650"/>
      <c r="DB543" s="3383"/>
    </row>
    <row r="544" spans="98:106" customFormat="1">
      <c r="CT544" s="3383"/>
      <c r="CX544" s="3383"/>
      <c r="CY544" s="3650"/>
      <c r="CZ544" s="3650"/>
      <c r="DA544" s="3650"/>
      <c r="DB544" s="3383"/>
    </row>
    <row r="545" spans="98:106" customFormat="1">
      <c r="CT545" s="3383"/>
      <c r="CX545" s="3383"/>
      <c r="CY545" s="3650"/>
      <c r="CZ545" s="3650"/>
      <c r="DA545" s="3650"/>
      <c r="DB545" s="3383"/>
    </row>
    <row r="546" spans="98:106" customFormat="1">
      <c r="CT546" s="3383"/>
      <c r="CX546" s="3383"/>
      <c r="CY546" s="3650"/>
      <c r="CZ546" s="3650"/>
      <c r="DA546" s="3650"/>
      <c r="DB546" s="3383"/>
    </row>
    <row r="547" spans="98:106" customFormat="1">
      <c r="CT547" s="3383"/>
      <c r="CX547" s="3383"/>
      <c r="CY547" s="3650"/>
      <c r="CZ547" s="3650"/>
      <c r="DA547" s="3650"/>
      <c r="DB547" s="3383"/>
    </row>
    <row r="548" spans="98:106" customFormat="1">
      <c r="CT548" s="3383"/>
      <c r="CX548" s="3383"/>
      <c r="CY548" s="3650"/>
      <c r="CZ548" s="3650"/>
      <c r="DA548" s="3650"/>
      <c r="DB548" s="3383"/>
    </row>
    <row r="549" spans="98:106" customFormat="1">
      <c r="CT549" s="3383"/>
      <c r="CX549" s="3383"/>
      <c r="CY549" s="3650"/>
      <c r="CZ549" s="3650"/>
      <c r="DA549" s="3650"/>
      <c r="DB549" s="3383"/>
    </row>
    <row r="550" spans="98:106" customFormat="1">
      <c r="CT550" s="3383"/>
      <c r="CX550" s="3383"/>
      <c r="CY550" s="3650"/>
      <c r="CZ550" s="3650"/>
      <c r="DA550" s="3650"/>
      <c r="DB550" s="3383"/>
    </row>
    <row r="551" spans="98:106" customFormat="1">
      <c r="CT551" s="3383"/>
      <c r="CX551" s="3383"/>
      <c r="CY551" s="3650"/>
      <c r="CZ551" s="3650"/>
      <c r="DA551" s="3650"/>
      <c r="DB551" s="3383"/>
    </row>
    <row r="552" spans="98:106" customFormat="1">
      <c r="CT552" s="3383"/>
      <c r="CX552" s="3383"/>
      <c r="CY552" s="3650"/>
      <c r="CZ552" s="3650"/>
      <c r="DA552" s="3650"/>
      <c r="DB552" s="3383"/>
    </row>
    <row r="553" spans="98:106" customFormat="1">
      <c r="CT553" s="3383"/>
      <c r="CX553" s="3383"/>
      <c r="CY553" s="3650"/>
      <c r="CZ553" s="3650"/>
      <c r="DA553" s="3650"/>
      <c r="DB553" s="3383"/>
    </row>
    <row r="554" spans="98:106" customFormat="1">
      <c r="CT554" s="3383"/>
      <c r="CX554" s="3383"/>
      <c r="CY554" s="3650"/>
      <c r="CZ554" s="3650"/>
      <c r="DA554" s="3650"/>
      <c r="DB554" s="3383"/>
    </row>
    <row r="555" spans="98:106" customFormat="1">
      <c r="CT555" s="3383"/>
      <c r="CX555" s="3383"/>
      <c r="CY555" s="3650"/>
      <c r="CZ555" s="3650"/>
      <c r="DA555" s="3650"/>
      <c r="DB555" s="3383"/>
    </row>
    <row r="556" spans="98:106" customFormat="1">
      <c r="CT556" s="3383"/>
      <c r="CX556" s="3383"/>
      <c r="CY556" s="3650"/>
      <c r="CZ556" s="3650"/>
      <c r="DA556" s="3650"/>
      <c r="DB556" s="3383"/>
    </row>
    <row r="557" spans="98:106" customFormat="1">
      <c r="CT557" s="3383"/>
      <c r="CX557" s="3383"/>
      <c r="CY557" s="3650"/>
      <c r="CZ557" s="3650"/>
      <c r="DA557" s="3650"/>
      <c r="DB557" s="3383"/>
    </row>
    <row r="558" spans="98:106" customFormat="1">
      <c r="CT558" s="3383"/>
      <c r="CX558" s="3383"/>
      <c r="CY558" s="3650"/>
      <c r="CZ558" s="3650"/>
      <c r="DA558" s="3650"/>
      <c r="DB558" s="3383"/>
    </row>
    <row r="559" spans="98:106" customFormat="1">
      <c r="CT559" s="3383"/>
      <c r="CX559" s="3383"/>
      <c r="CY559" s="3650"/>
      <c r="CZ559" s="3650"/>
      <c r="DA559" s="3650"/>
      <c r="DB559" s="3383"/>
    </row>
    <row r="560" spans="98:106" customFormat="1">
      <c r="CT560" s="3383"/>
      <c r="CX560" s="3383"/>
      <c r="CY560" s="3650"/>
      <c r="CZ560" s="3650"/>
      <c r="DA560" s="3650"/>
      <c r="DB560" s="3383"/>
    </row>
    <row r="561" spans="98:106" customFormat="1">
      <c r="CT561" s="3383"/>
      <c r="CX561" s="3383"/>
      <c r="CY561" s="3650"/>
      <c r="CZ561" s="3650"/>
      <c r="DA561" s="3650"/>
      <c r="DB561" s="3383"/>
    </row>
    <row r="562" spans="98:106" customFormat="1">
      <c r="CT562" s="3383"/>
      <c r="CX562" s="3383"/>
      <c r="CY562" s="3650"/>
      <c r="CZ562" s="3650"/>
      <c r="DA562" s="3650"/>
      <c r="DB562" s="3383"/>
    </row>
    <row r="563" spans="98:106" customFormat="1">
      <c r="CT563" s="3383"/>
      <c r="CX563" s="3383"/>
      <c r="CY563" s="3650"/>
      <c r="CZ563" s="3650"/>
      <c r="DA563" s="3650"/>
      <c r="DB563" s="3383"/>
    </row>
    <row r="564" spans="98:106" customFormat="1">
      <c r="CT564" s="3383"/>
      <c r="CX564" s="3383"/>
      <c r="CY564" s="3650"/>
      <c r="CZ564" s="3650"/>
      <c r="DA564" s="3650"/>
      <c r="DB564" s="3383"/>
    </row>
    <row r="565" spans="98:106" customFormat="1">
      <c r="CT565" s="3383"/>
      <c r="CX565" s="3383"/>
      <c r="CY565" s="3650"/>
      <c r="CZ565" s="3650"/>
      <c r="DA565" s="3650"/>
      <c r="DB565" s="3383"/>
    </row>
    <row r="566" spans="98:106" customFormat="1">
      <c r="CT566" s="3383"/>
      <c r="CX566" s="3383"/>
      <c r="CY566" s="3650"/>
      <c r="CZ566" s="3650"/>
      <c r="DA566" s="3650"/>
      <c r="DB566" s="3383"/>
    </row>
    <row r="567" spans="98:106" customFormat="1">
      <c r="CT567" s="3383"/>
      <c r="CX567" s="3383"/>
      <c r="CY567" s="3650"/>
      <c r="CZ567" s="3650"/>
      <c r="DA567" s="3650"/>
      <c r="DB567" s="3383"/>
    </row>
    <row r="568" spans="98:106" customFormat="1">
      <c r="CT568" s="3383"/>
      <c r="CX568" s="3383"/>
      <c r="CY568" s="3650"/>
      <c r="CZ568" s="3650"/>
      <c r="DA568" s="3650"/>
      <c r="DB568" s="3383"/>
    </row>
    <row r="569" spans="98:106" customFormat="1">
      <c r="CT569" s="3383"/>
      <c r="CX569" s="3383"/>
      <c r="CY569" s="3650"/>
      <c r="CZ569" s="3650"/>
      <c r="DA569" s="3650"/>
      <c r="DB569" s="3383"/>
    </row>
    <row r="570" spans="98:106" customFormat="1">
      <c r="CT570" s="3383"/>
      <c r="CX570" s="3383"/>
      <c r="CY570" s="3650"/>
      <c r="CZ570" s="3650"/>
      <c r="DA570" s="3650"/>
      <c r="DB570" s="3383"/>
    </row>
    <row r="571" spans="98:106" customFormat="1">
      <c r="CT571" s="3383"/>
      <c r="CX571" s="3383"/>
      <c r="CY571" s="3650"/>
      <c r="CZ571" s="3650"/>
      <c r="DA571" s="3650"/>
      <c r="DB571" s="3383"/>
    </row>
    <row r="572" spans="98:106" customFormat="1">
      <c r="CT572" s="3383"/>
      <c r="CX572" s="3383"/>
      <c r="CY572" s="3650"/>
      <c r="CZ572" s="3650"/>
      <c r="DA572" s="3650"/>
      <c r="DB572" s="3383"/>
    </row>
    <row r="573" spans="98:106" customFormat="1">
      <c r="CT573" s="3383"/>
      <c r="CX573" s="3383"/>
      <c r="CY573" s="3650"/>
      <c r="CZ573" s="3650"/>
      <c r="DA573" s="3650"/>
      <c r="DB573" s="3383"/>
    </row>
    <row r="574" spans="98:106" customFormat="1">
      <c r="CT574" s="3383"/>
      <c r="CX574" s="3383"/>
      <c r="CY574" s="3650"/>
      <c r="CZ574" s="3650"/>
      <c r="DA574" s="3650"/>
      <c r="DB574" s="3383"/>
    </row>
    <row r="575" spans="98:106" customFormat="1">
      <c r="CT575" s="3383"/>
      <c r="CX575" s="3383"/>
      <c r="CY575" s="3650"/>
      <c r="CZ575" s="3650"/>
      <c r="DA575" s="3650"/>
      <c r="DB575" s="3383"/>
    </row>
    <row r="576" spans="98:106" customFormat="1">
      <c r="CT576" s="3383"/>
      <c r="CX576" s="3383"/>
      <c r="CY576" s="3650"/>
      <c r="CZ576" s="3650"/>
      <c r="DA576" s="3650"/>
      <c r="DB576" s="3383"/>
    </row>
    <row r="577" spans="98:106" customFormat="1">
      <c r="CT577" s="3383"/>
      <c r="CX577" s="3383"/>
      <c r="CY577" s="3650"/>
      <c r="CZ577" s="3650"/>
      <c r="DA577" s="3650"/>
      <c r="DB577" s="3383"/>
    </row>
    <row r="578" spans="98:106" customFormat="1">
      <c r="CT578" s="3383"/>
      <c r="CX578" s="3383"/>
      <c r="CY578" s="3650"/>
      <c r="CZ578" s="3650"/>
      <c r="DA578" s="3650"/>
      <c r="DB578" s="3383"/>
    </row>
    <row r="579" spans="98:106" customFormat="1">
      <c r="CT579" s="3383"/>
      <c r="CX579" s="3383"/>
      <c r="CY579" s="3650"/>
      <c r="CZ579" s="3650"/>
      <c r="DA579" s="3650"/>
      <c r="DB579" s="3383"/>
    </row>
    <row r="580" spans="98:106" customFormat="1">
      <c r="CT580" s="3383"/>
      <c r="CX580" s="3383"/>
      <c r="CY580" s="3650"/>
      <c r="CZ580" s="3650"/>
      <c r="DA580" s="3650"/>
      <c r="DB580" s="3383"/>
    </row>
    <row r="581" spans="98:106" customFormat="1">
      <c r="CT581" s="3383"/>
      <c r="CX581" s="3383"/>
      <c r="CY581" s="3650"/>
      <c r="CZ581" s="3650"/>
      <c r="DA581" s="3650"/>
      <c r="DB581" s="3383"/>
    </row>
    <row r="582" spans="98:106" customFormat="1">
      <c r="CT582" s="3383"/>
      <c r="CX582" s="3383"/>
      <c r="CY582" s="3650"/>
      <c r="CZ582" s="3650"/>
      <c r="DA582" s="3650"/>
      <c r="DB582" s="3383"/>
    </row>
    <row r="583" spans="98:106" customFormat="1">
      <c r="CT583" s="3383"/>
      <c r="CX583" s="3383"/>
      <c r="CY583" s="3650"/>
      <c r="CZ583" s="3650"/>
      <c r="DA583" s="3650"/>
      <c r="DB583" s="3383"/>
    </row>
    <row r="584" spans="98:106" customFormat="1">
      <c r="CT584" s="3383"/>
      <c r="CX584" s="3383"/>
      <c r="CY584" s="3650"/>
      <c r="CZ584" s="3650"/>
      <c r="DA584" s="3650"/>
      <c r="DB584" s="3383"/>
    </row>
    <row r="585" spans="98:106" customFormat="1">
      <c r="CT585" s="3383"/>
      <c r="CX585" s="3383"/>
      <c r="CY585" s="3650"/>
      <c r="CZ585" s="3650"/>
      <c r="DA585" s="3650"/>
      <c r="DB585" s="3383"/>
    </row>
    <row r="586" spans="98:106" customFormat="1">
      <c r="CT586" s="3383"/>
      <c r="CX586" s="3383"/>
      <c r="CY586" s="3650"/>
      <c r="CZ586" s="3650"/>
      <c r="DA586" s="3650"/>
      <c r="DB586" s="3383"/>
    </row>
    <row r="587" spans="98:106" customFormat="1">
      <c r="CT587" s="3383"/>
      <c r="CX587" s="3383"/>
      <c r="CY587" s="3650"/>
      <c r="CZ587" s="3650"/>
      <c r="DA587" s="3650"/>
      <c r="DB587" s="3383"/>
    </row>
    <row r="588" spans="98:106" customFormat="1">
      <c r="CT588" s="3383"/>
      <c r="CX588" s="3383"/>
      <c r="CY588" s="3650"/>
      <c r="CZ588" s="3650"/>
      <c r="DA588" s="3650"/>
      <c r="DB588" s="3383"/>
    </row>
    <row r="589" spans="98:106" customFormat="1">
      <c r="CT589" s="3383"/>
      <c r="CX589" s="3383"/>
      <c r="CY589" s="3650"/>
      <c r="CZ589" s="3650"/>
      <c r="DA589" s="3650"/>
      <c r="DB589" s="3383"/>
    </row>
    <row r="590" spans="98:106" customFormat="1">
      <c r="CT590" s="3383"/>
      <c r="CX590" s="3383"/>
      <c r="CY590" s="3650"/>
      <c r="CZ590" s="3650"/>
      <c r="DA590" s="3650"/>
      <c r="DB590" s="3383"/>
    </row>
    <row r="591" spans="98:106" customFormat="1">
      <c r="CT591" s="3383"/>
      <c r="CX591" s="3383"/>
      <c r="CY591" s="3650"/>
      <c r="CZ591" s="3650"/>
      <c r="DA591" s="3650"/>
      <c r="DB591" s="3383"/>
    </row>
    <row r="592" spans="98:106" customFormat="1">
      <c r="CT592" s="3383"/>
      <c r="CX592" s="3383"/>
      <c r="CY592" s="3650"/>
      <c r="CZ592" s="3650"/>
      <c r="DA592" s="3650"/>
      <c r="DB592" s="3383"/>
    </row>
    <row r="593" spans="98:106" customFormat="1">
      <c r="CT593" s="3383"/>
      <c r="CX593" s="3383"/>
      <c r="CY593" s="3650"/>
      <c r="CZ593" s="3650"/>
      <c r="DA593" s="3650"/>
      <c r="DB593" s="3383"/>
    </row>
    <row r="594" spans="98:106" customFormat="1">
      <c r="CT594" s="3383"/>
      <c r="CX594" s="3383"/>
      <c r="CY594" s="3650"/>
      <c r="CZ594" s="3650"/>
      <c r="DA594" s="3650"/>
      <c r="DB594" s="3383"/>
    </row>
    <row r="595" spans="98:106" customFormat="1">
      <c r="CT595" s="3383"/>
      <c r="CX595" s="3383"/>
      <c r="CY595" s="3650"/>
      <c r="CZ595" s="3650"/>
      <c r="DA595" s="3650"/>
      <c r="DB595" s="3383"/>
    </row>
    <row r="596" spans="98:106" customFormat="1">
      <c r="CT596" s="3383"/>
      <c r="CX596" s="3383"/>
      <c r="CY596" s="3650"/>
      <c r="CZ596" s="3650"/>
      <c r="DA596" s="3650"/>
      <c r="DB596" s="3383"/>
    </row>
    <row r="597" spans="98:106" customFormat="1">
      <c r="CT597" s="3383"/>
      <c r="CX597" s="3383"/>
      <c r="CY597" s="3650"/>
      <c r="CZ597" s="3650"/>
      <c r="DA597" s="3650"/>
      <c r="DB597" s="3383"/>
    </row>
    <row r="598" spans="98:106" customFormat="1">
      <c r="CT598" s="3383"/>
      <c r="CX598" s="3383"/>
      <c r="CY598" s="3650"/>
      <c r="CZ598" s="3650"/>
      <c r="DA598" s="3650"/>
      <c r="DB598" s="3383"/>
    </row>
    <row r="599" spans="98:106" customFormat="1">
      <c r="CT599" s="3383"/>
      <c r="CX599" s="3383"/>
      <c r="CY599" s="3650"/>
      <c r="CZ599" s="3650"/>
      <c r="DA599" s="3650"/>
      <c r="DB599" s="3383"/>
    </row>
    <row r="600" spans="98:106" customFormat="1">
      <c r="CT600" s="3383"/>
      <c r="CX600" s="3383"/>
      <c r="CY600" s="3650"/>
      <c r="CZ600" s="3650"/>
      <c r="DA600" s="3650"/>
      <c r="DB600" s="3383"/>
    </row>
    <row r="601" spans="98:106" customFormat="1">
      <c r="CT601" s="3383"/>
      <c r="CX601" s="3383"/>
      <c r="CY601" s="3650"/>
      <c r="CZ601" s="3650"/>
      <c r="DA601" s="3650"/>
      <c r="DB601" s="3383"/>
    </row>
    <row r="602" spans="98:106" customFormat="1">
      <c r="CT602" s="3383"/>
      <c r="CX602" s="3383"/>
      <c r="CY602" s="3650"/>
      <c r="CZ602" s="3650"/>
      <c r="DA602" s="3650"/>
      <c r="DB602" s="3383"/>
    </row>
    <row r="603" spans="98:106" customFormat="1">
      <c r="CT603" s="3383"/>
      <c r="CX603" s="3383"/>
      <c r="CY603" s="3650"/>
      <c r="CZ603" s="3650"/>
      <c r="DA603" s="3650"/>
      <c r="DB603" s="3383"/>
    </row>
    <row r="604" spans="98:106" customFormat="1">
      <c r="CT604" s="3383"/>
      <c r="CX604" s="3383"/>
      <c r="CY604" s="3650"/>
      <c r="CZ604" s="3650"/>
      <c r="DA604" s="3650"/>
      <c r="DB604" s="3383"/>
    </row>
    <row r="605" spans="98:106" customFormat="1">
      <c r="CT605" s="3383"/>
      <c r="CX605" s="3383"/>
      <c r="CY605" s="3650"/>
      <c r="CZ605" s="3650"/>
      <c r="DA605" s="3650"/>
      <c r="DB605" s="3383"/>
    </row>
    <row r="606" spans="98:106" customFormat="1">
      <c r="CT606" s="3383"/>
      <c r="CX606" s="3383"/>
      <c r="CY606" s="3650"/>
      <c r="CZ606" s="3650"/>
      <c r="DA606" s="3650"/>
      <c r="DB606" s="3383"/>
    </row>
    <row r="607" spans="98:106" customFormat="1">
      <c r="CT607" s="3383"/>
      <c r="CX607" s="3383"/>
      <c r="CY607" s="3650"/>
      <c r="CZ607" s="3650"/>
      <c r="DA607" s="3650"/>
      <c r="DB607" s="3383"/>
    </row>
    <row r="608" spans="98:106" customFormat="1">
      <c r="CT608" s="3383"/>
      <c r="CX608" s="3383"/>
      <c r="CY608" s="3650"/>
      <c r="CZ608" s="3650"/>
      <c r="DA608" s="3650"/>
      <c r="DB608" s="3383"/>
    </row>
    <row r="609" spans="98:106" customFormat="1">
      <c r="CT609" s="3383"/>
      <c r="CX609" s="3383"/>
      <c r="CY609" s="3650"/>
      <c r="CZ609" s="3650"/>
      <c r="DA609" s="3650"/>
      <c r="DB609" s="3383"/>
    </row>
    <row r="610" spans="98:106" customFormat="1">
      <c r="CT610" s="3383"/>
      <c r="CX610" s="3383"/>
      <c r="CY610" s="3650"/>
      <c r="CZ610" s="3650"/>
      <c r="DA610" s="3650"/>
      <c r="DB610" s="3383"/>
    </row>
    <row r="611" spans="98:106" customFormat="1">
      <c r="CT611" s="3383"/>
      <c r="CX611" s="3383"/>
      <c r="CY611" s="3650"/>
      <c r="CZ611" s="3650"/>
      <c r="DA611" s="3650"/>
      <c r="DB611" s="3383"/>
    </row>
    <row r="612" spans="98:106" customFormat="1">
      <c r="CT612" s="3383"/>
      <c r="CX612" s="3383"/>
      <c r="CY612" s="3650"/>
      <c r="CZ612" s="3650"/>
      <c r="DA612" s="3650"/>
      <c r="DB612" s="3383"/>
    </row>
    <row r="613" spans="98:106" customFormat="1">
      <c r="CT613" s="3383"/>
      <c r="CX613" s="3383"/>
      <c r="CY613" s="3650"/>
      <c r="CZ613" s="3650"/>
      <c r="DA613" s="3650"/>
      <c r="DB613" s="3383"/>
    </row>
    <row r="614" spans="98:106" customFormat="1">
      <c r="CT614" s="3383"/>
      <c r="CX614" s="3383"/>
      <c r="CY614" s="3650"/>
      <c r="CZ614" s="3650"/>
      <c r="DA614" s="3650"/>
      <c r="DB614" s="3383"/>
    </row>
    <row r="615" spans="98:106" customFormat="1">
      <c r="CT615" s="3383"/>
      <c r="CX615" s="3383"/>
      <c r="CY615" s="3650"/>
      <c r="CZ615" s="3650"/>
      <c r="DA615" s="3650"/>
      <c r="DB615" s="3383"/>
    </row>
    <row r="616" spans="98:106" customFormat="1">
      <c r="CT616" s="3383"/>
      <c r="CX616" s="3383"/>
      <c r="CY616" s="3650"/>
      <c r="CZ616" s="3650"/>
      <c r="DA616" s="3650"/>
      <c r="DB616" s="3383"/>
    </row>
    <row r="617" spans="98:106" customFormat="1">
      <c r="CT617" s="3383"/>
      <c r="CX617" s="3383"/>
      <c r="CY617" s="3650"/>
      <c r="CZ617" s="3650"/>
      <c r="DA617" s="3650"/>
      <c r="DB617" s="3383"/>
    </row>
    <row r="618" spans="98:106" customFormat="1">
      <c r="CT618" s="3383"/>
      <c r="CX618" s="3383"/>
      <c r="CY618" s="3650"/>
      <c r="CZ618" s="3650"/>
      <c r="DA618" s="3650"/>
      <c r="DB618" s="3383"/>
    </row>
    <row r="619" spans="98:106" customFormat="1">
      <c r="CT619" s="3383"/>
      <c r="CX619" s="3383"/>
      <c r="CY619" s="3650"/>
      <c r="CZ619" s="3650"/>
      <c r="DA619" s="3650"/>
      <c r="DB619" s="3383"/>
    </row>
    <row r="620" spans="98:106" customFormat="1">
      <c r="CT620" s="3383"/>
      <c r="CX620" s="3383"/>
      <c r="CY620" s="3650"/>
      <c r="CZ620" s="3650"/>
      <c r="DA620" s="3650"/>
      <c r="DB620" s="3383"/>
    </row>
    <row r="621" spans="98:106" customFormat="1">
      <c r="CT621" s="3383"/>
      <c r="CX621" s="3383"/>
      <c r="CY621" s="3650"/>
      <c r="CZ621" s="3650"/>
      <c r="DA621" s="3650"/>
      <c r="DB621" s="3383"/>
    </row>
    <row r="622" spans="98:106" customFormat="1">
      <c r="CT622" s="3383"/>
      <c r="CX622" s="3383"/>
      <c r="CY622" s="3650"/>
      <c r="CZ622" s="3650"/>
      <c r="DA622" s="3650"/>
      <c r="DB622" s="3383"/>
    </row>
    <row r="623" spans="98:106" customFormat="1">
      <c r="CT623" s="3383"/>
      <c r="CX623" s="3383"/>
      <c r="CY623" s="3650"/>
      <c r="CZ623" s="3650"/>
      <c r="DA623" s="3650"/>
      <c r="DB623" s="3383"/>
    </row>
    <row r="624" spans="98:106" customFormat="1">
      <c r="CT624" s="3383"/>
      <c r="CX624" s="3383"/>
      <c r="CY624" s="3650"/>
      <c r="CZ624" s="3650"/>
      <c r="DA624" s="3650"/>
      <c r="DB624" s="3383"/>
    </row>
    <row r="625" spans="98:106" customFormat="1">
      <c r="CT625" s="3383"/>
      <c r="CX625" s="3383"/>
      <c r="CY625" s="3650"/>
      <c r="CZ625" s="3650"/>
      <c r="DA625" s="3650"/>
      <c r="DB625" s="3383"/>
    </row>
    <row r="626" spans="98:106" customFormat="1">
      <c r="CT626" s="3383"/>
      <c r="CX626" s="3383"/>
      <c r="CY626" s="3650"/>
      <c r="CZ626" s="3650"/>
      <c r="DA626" s="3650"/>
      <c r="DB626" s="3383"/>
    </row>
    <row r="627" spans="98:106" customFormat="1">
      <c r="CT627" s="3383"/>
      <c r="CX627" s="3383"/>
      <c r="CY627" s="3650"/>
      <c r="CZ627" s="3650"/>
      <c r="DA627" s="3650"/>
      <c r="DB627" s="3383"/>
    </row>
    <row r="628" spans="98:106" customFormat="1">
      <c r="CT628" s="3383"/>
      <c r="CX628" s="3383"/>
      <c r="CY628" s="3650"/>
      <c r="CZ628" s="3650"/>
      <c r="DA628" s="3650"/>
      <c r="DB628" s="3383"/>
    </row>
    <row r="629" spans="98:106" customFormat="1">
      <c r="CT629" s="3383"/>
      <c r="CX629" s="3383"/>
      <c r="CY629" s="3650"/>
      <c r="CZ629" s="3650"/>
      <c r="DA629" s="3650"/>
      <c r="DB629" s="3383"/>
    </row>
    <row r="630" spans="98:106" customFormat="1">
      <c r="CT630" s="3383"/>
      <c r="CX630" s="3383"/>
      <c r="CY630" s="3650"/>
      <c r="CZ630" s="3650"/>
      <c r="DA630" s="3650"/>
      <c r="DB630" s="3383"/>
    </row>
    <row r="631" spans="98:106" customFormat="1">
      <c r="CT631" s="3383"/>
      <c r="CX631" s="3383"/>
      <c r="CY631" s="3650"/>
      <c r="CZ631" s="3650"/>
      <c r="DA631" s="3650"/>
      <c r="DB631" s="3383"/>
    </row>
    <row r="632" spans="98:106" customFormat="1">
      <c r="CT632" s="3383"/>
      <c r="CX632" s="3383"/>
      <c r="CY632" s="3650"/>
      <c r="CZ632" s="3650"/>
      <c r="DA632" s="3650"/>
      <c r="DB632" s="3383"/>
    </row>
    <row r="633" spans="98:106" customFormat="1">
      <c r="CT633" s="3383"/>
      <c r="CX633" s="3383"/>
      <c r="CY633" s="3650"/>
      <c r="CZ633" s="3650"/>
      <c r="DA633" s="3650"/>
      <c r="DB633" s="3383"/>
    </row>
    <row r="634" spans="98:106" customFormat="1">
      <c r="CT634" s="3383"/>
      <c r="CX634" s="3383"/>
      <c r="CY634" s="3650"/>
      <c r="CZ634" s="3650"/>
      <c r="DA634" s="3650"/>
      <c r="DB634" s="3383"/>
    </row>
    <row r="635" spans="98:106" customFormat="1">
      <c r="CT635" s="3383"/>
      <c r="CX635" s="3383"/>
      <c r="CY635" s="3650"/>
      <c r="CZ635" s="3650"/>
      <c r="DA635" s="3650"/>
      <c r="DB635" s="3383"/>
    </row>
    <row r="636" spans="98:106" customFormat="1">
      <c r="CT636" s="3383"/>
      <c r="CX636" s="3383"/>
      <c r="CY636" s="3650"/>
      <c r="CZ636" s="3650"/>
      <c r="DA636" s="3650"/>
      <c r="DB636" s="3383"/>
    </row>
    <row r="637" spans="98:106" customFormat="1">
      <c r="CT637" s="3383"/>
      <c r="CX637" s="3383"/>
      <c r="CY637" s="3650"/>
      <c r="CZ637" s="3650"/>
      <c r="DA637" s="3650"/>
      <c r="DB637" s="3383"/>
    </row>
    <row r="638" spans="98:106" customFormat="1">
      <c r="CT638" s="3383"/>
      <c r="CX638" s="3383"/>
      <c r="CY638" s="3650"/>
      <c r="CZ638" s="3650"/>
      <c r="DA638" s="3650"/>
      <c r="DB638" s="3383"/>
    </row>
    <row r="639" spans="98:106" customFormat="1">
      <c r="CT639" s="3383"/>
      <c r="CX639" s="3383"/>
      <c r="CY639" s="3650"/>
      <c r="CZ639" s="3650"/>
      <c r="DA639" s="3650"/>
      <c r="DB639" s="3383"/>
    </row>
    <row r="640" spans="98:106" customFormat="1">
      <c r="CT640" s="3383"/>
      <c r="CX640" s="3383"/>
      <c r="CY640" s="3650"/>
      <c r="CZ640" s="3650"/>
      <c r="DA640" s="3650"/>
      <c r="DB640" s="3383"/>
    </row>
    <row r="641" spans="98:106" customFormat="1">
      <c r="CT641" s="3383"/>
      <c r="CX641" s="3383"/>
      <c r="CY641" s="3650"/>
      <c r="CZ641" s="3650"/>
      <c r="DA641" s="3650"/>
      <c r="DB641" s="3383"/>
    </row>
    <row r="642" spans="98:106" customFormat="1">
      <c r="CT642" s="3383"/>
      <c r="CX642" s="3383"/>
      <c r="CY642" s="3650"/>
      <c r="CZ642" s="3650"/>
      <c r="DA642" s="3650"/>
      <c r="DB642" s="3383"/>
    </row>
    <row r="643" spans="98:106" customFormat="1">
      <c r="CT643" s="3383"/>
      <c r="CX643" s="3383"/>
      <c r="CY643" s="3650"/>
      <c r="CZ643" s="3650"/>
      <c r="DA643" s="3650"/>
      <c r="DB643" s="3383"/>
    </row>
    <row r="644" spans="98:106" customFormat="1">
      <c r="CT644" s="3383"/>
      <c r="CX644" s="3383"/>
      <c r="CY644" s="3650"/>
      <c r="CZ644" s="3650"/>
      <c r="DA644" s="3650"/>
      <c r="DB644" s="3383"/>
    </row>
    <row r="645" spans="98:106" customFormat="1">
      <c r="CT645" s="3383"/>
      <c r="CX645" s="3383"/>
      <c r="CY645" s="3650"/>
      <c r="CZ645" s="3650"/>
      <c r="DA645" s="3650"/>
      <c r="DB645" s="3383"/>
    </row>
    <row r="646" spans="98:106" customFormat="1">
      <c r="CT646" s="3383"/>
      <c r="CX646" s="3383"/>
      <c r="CY646" s="3650"/>
      <c r="CZ646" s="3650"/>
      <c r="DA646" s="3650"/>
      <c r="DB646" s="3383"/>
    </row>
    <row r="647" spans="98:106" customFormat="1">
      <c r="CT647" s="3383"/>
      <c r="CX647" s="3383"/>
      <c r="CY647" s="3650"/>
      <c r="CZ647" s="3650"/>
      <c r="DA647" s="3650"/>
      <c r="DB647" s="3383"/>
    </row>
    <row r="648" spans="98:106" customFormat="1">
      <c r="CT648" s="3383"/>
      <c r="CX648" s="3383"/>
      <c r="CY648" s="3650"/>
      <c r="CZ648" s="3650"/>
      <c r="DA648" s="3650"/>
      <c r="DB648" s="3383"/>
    </row>
    <row r="649" spans="98:106" customFormat="1">
      <c r="CT649" s="3383"/>
      <c r="CX649" s="3383"/>
      <c r="CY649" s="3650"/>
      <c r="CZ649" s="3650"/>
      <c r="DA649" s="3650"/>
      <c r="DB649" s="3383"/>
    </row>
    <row r="650" spans="98:106" customFormat="1">
      <c r="CT650" s="3383"/>
      <c r="CX650" s="3383"/>
      <c r="CY650" s="3650"/>
      <c r="CZ650" s="3650"/>
      <c r="DA650" s="3650"/>
      <c r="DB650" s="3383"/>
    </row>
    <row r="651" spans="98:106" customFormat="1">
      <c r="CT651" s="3383"/>
      <c r="CX651" s="3383"/>
      <c r="CY651" s="3650"/>
      <c r="CZ651" s="3650"/>
      <c r="DA651" s="3650"/>
      <c r="DB651" s="3383"/>
    </row>
    <row r="652" spans="98:106" customFormat="1">
      <c r="CT652" s="3383"/>
      <c r="CX652" s="3383"/>
      <c r="CY652" s="3650"/>
      <c r="CZ652" s="3650"/>
      <c r="DA652" s="3650"/>
      <c r="DB652" s="3383"/>
    </row>
    <row r="653" spans="98:106" customFormat="1">
      <c r="CT653" s="3383"/>
      <c r="CX653" s="3383"/>
      <c r="CY653" s="3650"/>
      <c r="CZ653" s="3650"/>
      <c r="DA653" s="3650"/>
      <c r="DB653" s="3383"/>
    </row>
    <row r="654" spans="98:106" customFormat="1">
      <c r="CT654" s="3383"/>
      <c r="CX654" s="3383"/>
      <c r="CY654" s="3650"/>
      <c r="CZ654" s="3650"/>
      <c r="DA654" s="3650"/>
      <c r="DB654" s="3383"/>
    </row>
    <row r="655" spans="98:106" customFormat="1">
      <c r="CT655" s="3383"/>
      <c r="CX655" s="3383"/>
      <c r="CY655" s="3650"/>
      <c r="CZ655" s="3650"/>
      <c r="DA655" s="3650"/>
      <c r="DB655" s="3383"/>
    </row>
    <row r="656" spans="98:106" customFormat="1">
      <c r="CT656" s="3383"/>
      <c r="CX656" s="3383"/>
      <c r="CY656" s="3650"/>
      <c r="CZ656" s="3650"/>
      <c r="DA656" s="3650"/>
      <c r="DB656" s="3383"/>
    </row>
    <row r="657" spans="98:106" customFormat="1">
      <c r="CT657" s="3383"/>
      <c r="CX657" s="3383"/>
      <c r="CY657" s="3650"/>
      <c r="CZ657" s="3650"/>
      <c r="DA657" s="3650"/>
      <c r="DB657" s="3383"/>
    </row>
    <row r="658" spans="98:106" customFormat="1">
      <c r="CT658" s="3383"/>
      <c r="CX658" s="3383"/>
      <c r="CY658" s="3650"/>
      <c r="CZ658" s="3650"/>
      <c r="DA658" s="3650"/>
      <c r="DB658" s="3383"/>
    </row>
    <row r="659" spans="98:106" customFormat="1">
      <c r="CT659" s="3383"/>
      <c r="CX659" s="3383"/>
      <c r="CY659" s="3650"/>
      <c r="CZ659" s="3650"/>
      <c r="DA659" s="3650"/>
      <c r="DB659" s="3383"/>
    </row>
    <row r="660" spans="98:106" customFormat="1">
      <c r="CT660" s="3383"/>
      <c r="CX660" s="3383"/>
      <c r="CY660" s="3650"/>
      <c r="CZ660" s="3650"/>
      <c r="DA660" s="3650"/>
      <c r="DB660" s="3383"/>
    </row>
    <row r="661" spans="98:106" customFormat="1">
      <c r="CT661" s="3383"/>
      <c r="CX661" s="3383"/>
      <c r="CY661" s="3650"/>
      <c r="CZ661" s="3650"/>
      <c r="DA661" s="3650"/>
      <c r="DB661" s="3383"/>
    </row>
    <row r="662" spans="98:106" customFormat="1">
      <c r="CT662" s="3383"/>
      <c r="CX662" s="3383"/>
      <c r="CY662" s="3650"/>
      <c r="CZ662" s="3650"/>
      <c r="DA662" s="3650"/>
      <c r="DB662" s="3383"/>
    </row>
    <row r="663" spans="98:106" customFormat="1">
      <c r="CT663" s="3383"/>
      <c r="CX663" s="3383"/>
      <c r="CY663" s="3650"/>
      <c r="CZ663" s="3650"/>
      <c r="DA663" s="3650"/>
      <c r="DB663" s="3383"/>
    </row>
    <row r="664" spans="98:106" customFormat="1">
      <c r="CT664" s="3383"/>
      <c r="CX664" s="3383"/>
      <c r="CY664" s="3650"/>
      <c r="CZ664" s="3650"/>
      <c r="DA664" s="3650"/>
      <c r="DB664" s="3383"/>
    </row>
    <row r="665" spans="98:106" customFormat="1">
      <c r="CT665" s="3383"/>
      <c r="CX665" s="3383"/>
      <c r="CY665" s="3650"/>
      <c r="CZ665" s="3650"/>
      <c r="DA665" s="3650"/>
      <c r="DB665" s="3383"/>
    </row>
    <row r="666" spans="98:106" customFormat="1">
      <c r="CT666" s="3383"/>
      <c r="CX666" s="3383"/>
      <c r="CY666" s="3650"/>
      <c r="CZ666" s="3650"/>
      <c r="DA666" s="3650"/>
      <c r="DB666" s="3383"/>
    </row>
    <row r="667" spans="98:106" customFormat="1">
      <c r="CT667" s="3383"/>
      <c r="CX667" s="3383"/>
      <c r="CY667" s="3650"/>
      <c r="CZ667" s="3650"/>
      <c r="DA667" s="3650"/>
      <c r="DB667" s="3383"/>
    </row>
    <row r="668" spans="98:106" customFormat="1">
      <c r="CT668" s="3383"/>
      <c r="CX668" s="3383"/>
      <c r="CY668" s="3650"/>
      <c r="CZ668" s="3650"/>
      <c r="DA668" s="3650"/>
      <c r="DB668" s="3383"/>
    </row>
    <row r="669" spans="98:106" customFormat="1">
      <c r="CT669" s="3383"/>
      <c r="CX669" s="3383"/>
      <c r="CY669" s="3650"/>
      <c r="CZ669" s="3650"/>
      <c r="DA669" s="3650"/>
      <c r="DB669" s="3383"/>
    </row>
    <row r="670" spans="98:106" customFormat="1">
      <c r="CT670" s="3383"/>
      <c r="CX670" s="3383"/>
      <c r="CY670" s="3650"/>
      <c r="CZ670" s="3650"/>
      <c r="DA670" s="3650"/>
      <c r="DB670" s="3383"/>
    </row>
    <row r="671" spans="98:106" customFormat="1">
      <c r="CT671" s="3383"/>
      <c r="CX671" s="3383"/>
      <c r="CY671" s="3650"/>
      <c r="CZ671" s="3650"/>
      <c r="DA671" s="3650"/>
      <c r="DB671" s="3383"/>
    </row>
    <row r="672" spans="98:106" customFormat="1">
      <c r="CT672" s="3383"/>
      <c r="CX672" s="3383"/>
      <c r="CY672" s="3650"/>
      <c r="CZ672" s="3650"/>
      <c r="DA672" s="3650"/>
      <c r="DB672" s="3383"/>
    </row>
    <row r="673" spans="98:106" customFormat="1">
      <c r="CT673" s="3383"/>
      <c r="CX673" s="3383"/>
      <c r="CY673" s="3650"/>
      <c r="CZ673" s="3650"/>
      <c r="DA673" s="3650"/>
      <c r="DB673" s="3383"/>
    </row>
    <row r="674" spans="98:106" customFormat="1">
      <c r="CT674" s="3383"/>
      <c r="CX674" s="3383"/>
      <c r="CY674" s="3650"/>
      <c r="CZ674" s="3650"/>
      <c r="DA674" s="3650"/>
      <c r="DB674" s="3383"/>
    </row>
    <row r="675" spans="98:106" customFormat="1">
      <c r="CT675" s="3383"/>
      <c r="CX675" s="3383"/>
      <c r="CY675" s="3650"/>
      <c r="CZ675" s="3650"/>
      <c r="DA675" s="3650"/>
      <c r="DB675" s="3383"/>
    </row>
    <row r="676" spans="98:106" customFormat="1">
      <c r="CT676" s="3383"/>
      <c r="CX676" s="3383"/>
      <c r="CY676" s="3650"/>
      <c r="CZ676" s="3650"/>
      <c r="DA676" s="3650"/>
      <c r="DB676" s="3383"/>
    </row>
    <row r="677" spans="98:106" customFormat="1">
      <c r="CT677" s="3383"/>
      <c r="CX677" s="3383"/>
      <c r="CY677" s="3650"/>
      <c r="CZ677" s="3650"/>
      <c r="DA677" s="3650"/>
      <c r="DB677" s="3383"/>
    </row>
    <row r="678" spans="98:106" customFormat="1">
      <c r="CT678" s="3383"/>
      <c r="CX678" s="3383"/>
      <c r="CY678" s="3650"/>
      <c r="CZ678" s="3650"/>
      <c r="DA678" s="3650"/>
      <c r="DB678" s="3383"/>
    </row>
    <row r="679" spans="98:106" customFormat="1">
      <c r="CT679" s="3383"/>
      <c r="CX679" s="3383"/>
      <c r="CY679" s="3650"/>
      <c r="CZ679" s="3650"/>
      <c r="DA679" s="3650"/>
      <c r="DB679" s="3383"/>
    </row>
    <row r="680" spans="98:106" customFormat="1">
      <c r="CT680" s="3383"/>
      <c r="CX680" s="3383"/>
      <c r="CY680" s="3650"/>
      <c r="CZ680" s="3650"/>
      <c r="DA680" s="3650"/>
      <c r="DB680" s="3383"/>
    </row>
    <row r="681" spans="98:106" customFormat="1">
      <c r="CT681" s="3383"/>
      <c r="CX681" s="3383"/>
      <c r="CY681" s="3650"/>
      <c r="CZ681" s="3650"/>
      <c r="DA681" s="3650"/>
      <c r="DB681" s="3383"/>
    </row>
    <row r="682" spans="98:106" customFormat="1">
      <c r="CT682" s="3383"/>
      <c r="CX682" s="3383"/>
      <c r="CY682" s="3650"/>
      <c r="CZ682" s="3650"/>
      <c r="DA682" s="3650"/>
      <c r="DB682" s="3383"/>
    </row>
    <row r="683" spans="98:106" customFormat="1">
      <c r="CT683" s="3383"/>
      <c r="CX683" s="3383"/>
      <c r="CY683" s="3650"/>
      <c r="CZ683" s="3650"/>
      <c r="DA683" s="3650"/>
      <c r="DB683" s="3383"/>
    </row>
    <row r="684" spans="98:106" customFormat="1">
      <c r="CT684" s="3383"/>
      <c r="CX684" s="3383"/>
      <c r="CY684" s="3650"/>
      <c r="CZ684" s="3650"/>
      <c r="DA684" s="3650"/>
      <c r="DB684" s="3383"/>
    </row>
    <row r="685" spans="98:106" customFormat="1">
      <c r="CT685" s="3383"/>
      <c r="CX685" s="3383"/>
      <c r="CY685" s="3650"/>
      <c r="CZ685" s="3650"/>
      <c r="DA685" s="3650"/>
      <c r="DB685" s="3383"/>
    </row>
    <row r="686" spans="98:106" customFormat="1">
      <c r="CT686" s="3383"/>
      <c r="CX686" s="3383"/>
      <c r="CY686" s="3650"/>
      <c r="CZ686" s="3650"/>
      <c r="DA686" s="3650"/>
      <c r="DB686" s="3383"/>
    </row>
    <row r="687" spans="98:106" customFormat="1">
      <c r="CT687" s="3383"/>
      <c r="CX687" s="3383"/>
      <c r="CY687" s="3650"/>
      <c r="CZ687" s="3650"/>
      <c r="DA687" s="3650"/>
      <c r="DB687" s="3383"/>
    </row>
    <row r="688" spans="98:106" customFormat="1">
      <c r="CT688" s="3383"/>
      <c r="CX688" s="3383"/>
      <c r="CY688" s="3650"/>
      <c r="CZ688" s="3650"/>
      <c r="DA688" s="3650"/>
      <c r="DB688" s="3383"/>
    </row>
    <row r="689" spans="98:106" customFormat="1">
      <c r="CT689" s="3383"/>
      <c r="CX689" s="3383"/>
      <c r="CY689" s="3650"/>
      <c r="CZ689" s="3650"/>
      <c r="DA689" s="3650"/>
      <c r="DB689" s="3383"/>
    </row>
    <row r="690" spans="98:106" customFormat="1">
      <c r="CT690" s="3383"/>
      <c r="CX690" s="3383"/>
      <c r="CY690" s="3650"/>
      <c r="CZ690" s="3650"/>
      <c r="DA690" s="3650"/>
      <c r="DB690" s="3383"/>
    </row>
    <row r="691" spans="98:106" customFormat="1">
      <c r="CT691" s="3383"/>
      <c r="CX691" s="3383"/>
      <c r="CY691" s="3650"/>
      <c r="CZ691" s="3650"/>
      <c r="DA691" s="3650"/>
      <c r="DB691" s="3383"/>
    </row>
    <row r="692" spans="98:106" customFormat="1">
      <c r="CT692" s="3383"/>
      <c r="CX692" s="3383"/>
      <c r="CY692" s="3650"/>
      <c r="CZ692" s="3650"/>
      <c r="DA692" s="3650"/>
      <c r="DB692" s="3383"/>
    </row>
    <row r="693" spans="98:106" customFormat="1">
      <c r="CT693" s="3383"/>
      <c r="CX693" s="3383"/>
      <c r="CY693" s="3650"/>
      <c r="CZ693" s="3650"/>
      <c r="DA693" s="3650"/>
      <c r="DB693" s="3383"/>
    </row>
    <row r="694" spans="98:106" customFormat="1">
      <c r="CT694" s="3383"/>
      <c r="CX694" s="3383"/>
      <c r="CY694" s="3650"/>
      <c r="CZ694" s="3650"/>
      <c r="DA694" s="3650"/>
      <c r="DB694" s="3383"/>
    </row>
    <row r="695" spans="98:106" customFormat="1">
      <c r="CT695" s="3383"/>
      <c r="CX695" s="3383"/>
      <c r="CY695" s="3650"/>
      <c r="CZ695" s="3650"/>
      <c r="DA695" s="3650"/>
      <c r="DB695" s="3383"/>
    </row>
    <row r="696" spans="98:106" customFormat="1">
      <c r="CT696" s="3383"/>
      <c r="CX696" s="3383"/>
      <c r="CY696" s="3650"/>
      <c r="CZ696" s="3650"/>
      <c r="DA696" s="3650"/>
      <c r="DB696" s="3383"/>
    </row>
    <row r="697" spans="98:106" customFormat="1">
      <c r="CT697" s="3383"/>
      <c r="CX697" s="3383"/>
      <c r="CY697" s="3650"/>
      <c r="CZ697" s="3650"/>
      <c r="DA697" s="3650"/>
      <c r="DB697" s="3383"/>
    </row>
    <row r="698" spans="98:106" customFormat="1">
      <c r="CT698" s="3383"/>
      <c r="CX698" s="3383"/>
      <c r="CY698" s="3650"/>
      <c r="CZ698" s="3650"/>
      <c r="DA698" s="3650"/>
      <c r="DB698" s="3383"/>
    </row>
    <row r="699" spans="98:106" customFormat="1">
      <c r="CT699" s="3383"/>
      <c r="CX699" s="3383"/>
      <c r="CY699" s="3650"/>
      <c r="CZ699" s="3650"/>
      <c r="DA699" s="3650"/>
      <c r="DB699" s="3383"/>
    </row>
    <row r="700" spans="98:106" customFormat="1">
      <c r="CT700" s="3383"/>
      <c r="CX700" s="3383"/>
      <c r="CY700" s="3650"/>
      <c r="CZ700" s="3650"/>
      <c r="DA700" s="3650"/>
      <c r="DB700" s="3383"/>
    </row>
    <row r="701" spans="98:106" customFormat="1">
      <c r="CT701" s="3383"/>
      <c r="CX701" s="3383"/>
      <c r="CY701" s="3650"/>
      <c r="CZ701" s="3650"/>
      <c r="DA701" s="3650"/>
      <c r="DB701" s="3383"/>
    </row>
    <row r="702" spans="98:106" customFormat="1">
      <c r="CT702" s="3383"/>
      <c r="CX702" s="3383"/>
      <c r="CY702" s="3650"/>
      <c r="CZ702" s="3650"/>
      <c r="DA702" s="3650"/>
      <c r="DB702" s="3383"/>
    </row>
    <row r="703" spans="98:106" customFormat="1">
      <c r="CT703" s="3383"/>
      <c r="CX703" s="3383"/>
      <c r="CY703" s="3650"/>
      <c r="CZ703" s="3650"/>
      <c r="DA703" s="3650"/>
      <c r="DB703" s="3383"/>
    </row>
    <row r="704" spans="98:106" customFormat="1">
      <c r="CT704" s="3383"/>
      <c r="CX704" s="3383"/>
      <c r="CY704" s="3650"/>
      <c r="CZ704" s="3650"/>
      <c r="DA704" s="3650"/>
      <c r="DB704" s="3383"/>
    </row>
    <row r="705" spans="98:106" customFormat="1">
      <c r="CT705" s="3383"/>
      <c r="CX705" s="3383"/>
      <c r="CY705" s="3650"/>
      <c r="CZ705" s="3650"/>
      <c r="DA705" s="3650"/>
      <c r="DB705" s="3383"/>
    </row>
    <row r="706" spans="98:106" customFormat="1">
      <c r="CT706" s="3383"/>
      <c r="CX706" s="3383"/>
      <c r="CY706" s="3650"/>
      <c r="CZ706" s="3650"/>
      <c r="DA706" s="3650"/>
      <c r="DB706" s="3383"/>
    </row>
    <row r="707" spans="98:106" customFormat="1">
      <c r="CT707" s="3383"/>
      <c r="CX707" s="3383"/>
      <c r="CY707" s="3650"/>
      <c r="CZ707" s="3650"/>
      <c r="DA707" s="3650"/>
      <c r="DB707" s="3383"/>
    </row>
    <row r="708" spans="98:106" customFormat="1">
      <c r="CT708" s="3383"/>
      <c r="CX708" s="3383"/>
      <c r="CY708" s="3650"/>
      <c r="CZ708" s="3650"/>
      <c r="DA708" s="3650"/>
      <c r="DB708" s="3383"/>
    </row>
    <row r="709" spans="98:106" customFormat="1">
      <c r="CT709" s="3383"/>
      <c r="CX709" s="3383"/>
      <c r="CY709" s="3650"/>
      <c r="CZ709" s="3650"/>
      <c r="DA709" s="3650"/>
      <c r="DB709" s="3383"/>
    </row>
    <row r="710" spans="98:106" customFormat="1">
      <c r="CT710" s="3383"/>
      <c r="CX710" s="3383"/>
      <c r="CY710" s="3650"/>
      <c r="CZ710" s="3650"/>
      <c r="DA710" s="3650"/>
      <c r="DB710" s="3383"/>
    </row>
    <row r="711" spans="98:106" customFormat="1">
      <c r="CT711" s="3383"/>
      <c r="CX711" s="3383"/>
      <c r="CY711" s="3650"/>
      <c r="CZ711" s="3650"/>
      <c r="DA711" s="3650"/>
      <c r="DB711" s="3383"/>
    </row>
    <row r="712" spans="98:106" customFormat="1">
      <c r="CT712" s="3383"/>
      <c r="CX712" s="3383"/>
      <c r="CY712" s="3650"/>
      <c r="CZ712" s="3650"/>
      <c r="DA712" s="3650"/>
      <c r="DB712" s="3383"/>
    </row>
    <row r="713" spans="98:106" customFormat="1">
      <c r="CT713" s="3383"/>
      <c r="CX713" s="3383"/>
      <c r="CY713" s="3650"/>
      <c r="CZ713" s="3650"/>
      <c r="DA713" s="3650"/>
      <c r="DB713" s="3383"/>
    </row>
    <row r="714" spans="98:106" customFormat="1">
      <c r="CT714" s="3383"/>
      <c r="CX714" s="3383"/>
      <c r="CY714" s="3650"/>
      <c r="CZ714" s="3650"/>
      <c r="DA714" s="3650"/>
      <c r="DB714" s="3383"/>
    </row>
    <row r="715" spans="98:106" customFormat="1">
      <c r="CT715" s="3383"/>
      <c r="CX715" s="3383"/>
      <c r="CY715" s="3650"/>
      <c r="CZ715" s="3650"/>
      <c r="DA715" s="3650"/>
      <c r="DB715" s="3383"/>
    </row>
    <row r="716" spans="98:106" customFormat="1">
      <c r="CT716" s="3383"/>
      <c r="CX716" s="3383"/>
      <c r="CY716" s="3650"/>
      <c r="CZ716" s="3650"/>
      <c r="DA716" s="3650"/>
      <c r="DB716" s="3383"/>
    </row>
    <row r="717" spans="98:106" customFormat="1">
      <c r="CT717" s="3383"/>
      <c r="CX717" s="3383"/>
      <c r="CY717" s="3650"/>
      <c r="CZ717" s="3650"/>
      <c r="DA717" s="3650"/>
      <c r="DB717" s="3383"/>
    </row>
    <row r="718" spans="98:106" customFormat="1">
      <c r="CT718" s="3383"/>
      <c r="CX718" s="3383"/>
      <c r="CY718" s="3650"/>
      <c r="CZ718" s="3650"/>
      <c r="DA718" s="3650"/>
      <c r="DB718" s="3383"/>
    </row>
    <row r="719" spans="98:106" customFormat="1">
      <c r="CT719" s="3383"/>
      <c r="CX719" s="3383"/>
      <c r="CY719" s="3650"/>
      <c r="CZ719" s="3650"/>
      <c r="DA719" s="3650"/>
      <c r="DB719" s="3383"/>
    </row>
    <row r="720" spans="98:106" customFormat="1">
      <c r="CT720" s="3383"/>
      <c r="CX720" s="3383"/>
      <c r="CY720" s="3650"/>
      <c r="CZ720" s="3650"/>
      <c r="DA720" s="3650"/>
      <c r="DB720" s="3383"/>
    </row>
    <row r="721" spans="98:106" customFormat="1">
      <c r="CT721" s="3383"/>
      <c r="CX721" s="3383"/>
      <c r="CY721" s="3650"/>
      <c r="CZ721" s="3650"/>
      <c r="DA721" s="3650"/>
      <c r="DB721" s="3383"/>
    </row>
    <row r="722" spans="98:106" customFormat="1">
      <c r="CT722" s="3383"/>
      <c r="CX722" s="3383"/>
      <c r="CY722" s="3650"/>
      <c r="CZ722" s="3650"/>
      <c r="DA722" s="3650"/>
      <c r="DB722" s="3383"/>
    </row>
    <row r="723" spans="98:106" customFormat="1">
      <c r="CT723" s="3383"/>
      <c r="CX723" s="3383"/>
      <c r="CY723" s="3650"/>
      <c r="CZ723" s="3650"/>
      <c r="DA723" s="3650"/>
      <c r="DB723" s="3383"/>
    </row>
    <row r="724" spans="98:106" customFormat="1">
      <c r="CT724" s="3383"/>
      <c r="CX724" s="3383"/>
      <c r="CY724" s="3650"/>
      <c r="CZ724" s="3650"/>
      <c r="DA724" s="3650"/>
      <c r="DB724" s="3383"/>
    </row>
    <row r="725" spans="98:106" customFormat="1">
      <c r="CT725" s="3383"/>
      <c r="CX725" s="3383"/>
      <c r="CY725" s="3650"/>
      <c r="CZ725" s="3650"/>
      <c r="DA725" s="3650"/>
      <c r="DB725" s="3383"/>
    </row>
    <row r="726" spans="98:106" customFormat="1">
      <c r="CT726" s="3383"/>
      <c r="CX726" s="3383"/>
      <c r="CY726" s="3650"/>
      <c r="CZ726" s="3650"/>
      <c r="DA726" s="3650"/>
      <c r="DB726" s="3383"/>
    </row>
    <row r="727" spans="98:106" customFormat="1">
      <c r="CT727" s="3383"/>
      <c r="CX727" s="3383"/>
      <c r="CY727" s="3650"/>
      <c r="CZ727" s="3650"/>
      <c r="DA727" s="3650"/>
      <c r="DB727" s="3383"/>
    </row>
    <row r="728" spans="98:106" customFormat="1">
      <c r="CT728" s="3383"/>
      <c r="CX728" s="3383"/>
      <c r="CY728" s="3650"/>
      <c r="CZ728" s="3650"/>
      <c r="DA728" s="3650"/>
      <c r="DB728" s="3383"/>
    </row>
    <row r="729" spans="98:106" customFormat="1">
      <c r="CT729" s="3383"/>
      <c r="CX729" s="3383"/>
      <c r="CY729" s="3650"/>
      <c r="CZ729" s="3650"/>
      <c r="DA729" s="3650"/>
      <c r="DB729" s="3383"/>
    </row>
    <row r="730" spans="98:106" customFormat="1">
      <c r="CT730" s="3383"/>
      <c r="CX730" s="3383"/>
      <c r="CY730" s="3650"/>
      <c r="CZ730" s="3650"/>
      <c r="DA730" s="3650"/>
      <c r="DB730" s="3383"/>
    </row>
    <row r="731" spans="98:106" customFormat="1">
      <c r="CT731" s="3383"/>
      <c r="CX731" s="3383"/>
      <c r="CY731" s="3650"/>
      <c r="CZ731" s="3650"/>
      <c r="DA731" s="3650"/>
      <c r="DB731" s="3383"/>
    </row>
    <row r="732" spans="98:106" customFormat="1">
      <c r="CT732" s="3383"/>
      <c r="CX732" s="3383"/>
      <c r="CY732" s="3650"/>
      <c r="CZ732" s="3650"/>
      <c r="DA732" s="3650"/>
      <c r="DB732" s="3383"/>
    </row>
    <row r="733" spans="98:106" customFormat="1">
      <c r="CT733" s="3383"/>
      <c r="CX733" s="3383"/>
      <c r="CY733" s="3650"/>
      <c r="CZ733" s="3650"/>
      <c r="DA733" s="3650"/>
      <c r="DB733" s="3383"/>
    </row>
    <row r="734" spans="98:106" customFormat="1">
      <c r="CT734" s="3383"/>
      <c r="CX734" s="3383"/>
      <c r="CY734" s="3650"/>
      <c r="CZ734" s="3650"/>
      <c r="DA734" s="3650"/>
      <c r="DB734" s="3383"/>
    </row>
    <row r="735" spans="98:106" customFormat="1">
      <c r="CT735" s="3383"/>
      <c r="CX735" s="3383"/>
      <c r="CY735" s="3650"/>
      <c r="CZ735" s="3650"/>
      <c r="DA735" s="3650"/>
      <c r="DB735" s="3383"/>
    </row>
    <row r="736" spans="98:106" customFormat="1">
      <c r="CT736" s="3383"/>
      <c r="CX736" s="3383"/>
      <c r="CY736" s="3650"/>
      <c r="CZ736" s="3650"/>
      <c r="DA736" s="3650"/>
      <c r="DB736" s="3383"/>
    </row>
    <row r="737" spans="98:106" customFormat="1">
      <c r="CT737" s="3383"/>
      <c r="CX737" s="3383"/>
      <c r="CY737" s="3650"/>
      <c r="CZ737" s="3650"/>
      <c r="DA737" s="3650"/>
      <c r="DB737" s="3383"/>
    </row>
    <row r="738" spans="98:106" customFormat="1">
      <c r="CT738" s="3383"/>
      <c r="CX738" s="3383"/>
      <c r="CY738" s="3650"/>
      <c r="CZ738" s="3650"/>
      <c r="DA738" s="3650"/>
      <c r="DB738" s="3383"/>
    </row>
    <row r="739" spans="98:106" customFormat="1">
      <c r="CT739" s="3383"/>
      <c r="CX739" s="3383"/>
      <c r="CY739" s="3650"/>
      <c r="CZ739" s="3650"/>
      <c r="DA739" s="3650"/>
      <c r="DB739" s="3383"/>
    </row>
    <row r="740" spans="98:106" customFormat="1">
      <c r="CT740" s="3383"/>
      <c r="CX740" s="3383"/>
      <c r="CY740" s="3650"/>
      <c r="CZ740" s="3650"/>
      <c r="DA740" s="3650"/>
      <c r="DB740" s="3383"/>
    </row>
    <row r="741" spans="98:106" customFormat="1">
      <c r="CT741" s="3383"/>
      <c r="CX741" s="3383"/>
      <c r="CY741" s="3650"/>
      <c r="CZ741" s="3650"/>
      <c r="DA741" s="3650"/>
      <c r="DB741" s="3383"/>
    </row>
    <row r="742" spans="98:106" customFormat="1">
      <c r="CT742" s="3383"/>
      <c r="CX742" s="3383"/>
      <c r="CY742" s="3650"/>
      <c r="CZ742" s="3650"/>
      <c r="DA742" s="3650"/>
      <c r="DB742" s="3383"/>
    </row>
    <row r="743" spans="98:106" customFormat="1">
      <c r="CT743" s="3383"/>
      <c r="CX743" s="3383"/>
      <c r="CY743" s="3650"/>
      <c r="CZ743" s="3650"/>
      <c r="DA743" s="3650"/>
      <c r="DB743" s="3383"/>
    </row>
    <row r="744" spans="98:106" customFormat="1">
      <c r="CT744" s="3383"/>
      <c r="CX744" s="3383"/>
      <c r="CY744" s="3650"/>
      <c r="CZ744" s="3650"/>
      <c r="DA744" s="3650"/>
      <c r="DB744" s="3383"/>
    </row>
    <row r="745" spans="98:106" customFormat="1">
      <c r="CT745" s="3383"/>
      <c r="CX745" s="3383"/>
      <c r="CY745" s="3650"/>
      <c r="CZ745" s="3650"/>
      <c r="DA745" s="3650"/>
      <c r="DB745" s="3383"/>
    </row>
    <row r="746" spans="98:106" customFormat="1">
      <c r="CT746" s="3383"/>
      <c r="CX746" s="3383"/>
      <c r="CY746" s="3650"/>
      <c r="CZ746" s="3650"/>
      <c r="DA746" s="3650"/>
      <c r="DB746" s="3383"/>
    </row>
    <row r="747" spans="98:106" customFormat="1">
      <c r="CT747" s="3383"/>
      <c r="CX747" s="3383"/>
      <c r="CY747" s="3650"/>
      <c r="CZ747" s="3650"/>
      <c r="DA747" s="3650"/>
      <c r="DB747" s="3383"/>
    </row>
    <row r="748" spans="98:106" customFormat="1">
      <c r="CT748" s="3383"/>
      <c r="CX748" s="3383"/>
      <c r="CY748" s="3650"/>
      <c r="CZ748" s="3650"/>
      <c r="DA748" s="3650"/>
      <c r="DB748" s="3383"/>
    </row>
    <row r="749" spans="98:106" customFormat="1">
      <c r="CT749" s="3383"/>
      <c r="CX749" s="3383"/>
      <c r="CY749" s="3650"/>
      <c r="CZ749" s="3650"/>
      <c r="DA749" s="3650"/>
      <c r="DB749" s="3383"/>
    </row>
    <row r="750" spans="98:106" customFormat="1">
      <c r="CT750" s="3383"/>
      <c r="CX750" s="3383"/>
      <c r="CY750" s="3650"/>
      <c r="CZ750" s="3650"/>
      <c r="DA750" s="3650"/>
      <c r="DB750" s="3383"/>
    </row>
    <row r="751" spans="98:106" customFormat="1">
      <c r="CT751" s="3383"/>
      <c r="CX751" s="3383"/>
      <c r="CY751" s="3650"/>
      <c r="CZ751" s="3650"/>
      <c r="DA751" s="3650"/>
      <c r="DB751" s="3383"/>
    </row>
    <row r="752" spans="98:106" customFormat="1">
      <c r="CT752" s="3383"/>
      <c r="CX752" s="3383"/>
      <c r="CY752" s="3650"/>
      <c r="CZ752" s="3650"/>
      <c r="DA752" s="3650"/>
      <c r="DB752" s="3383"/>
    </row>
    <row r="753" spans="98:106" customFormat="1">
      <c r="CT753" s="3383"/>
      <c r="CX753" s="3383"/>
      <c r="CY753" s="3650"/>
      <c r="CZ753" s="3650"/>
      <c r="DA753" s="3650"/>
      <c r="DB753" s="3383"/>
    </row>
    <row r="754" spans="98:106" customFormat="1">
      <c r="CT754" s="3383"/>
      <c r="CX754" s="3383"/>
      <c r="CY754" s="3650"/>
      <c r="CZ754" s="3650"/>
      <c r="DA754" s="3650"/>
      <c r="DB754" s="3383"/>
    </row>
    <row r="755" spans="98:106" customFormat="1">
      <c r="CT755" s="3383"/>
      <c r="CX755" s="3383"/>
      <c r="CY755" s="3650"/>
      <c r="CZ755" s="3650"/>
      <c r="DA755" s="3650"/>
      <c r="DB755" s="3383"/>
    </row>
    <row r="756" spans="98:106" customFormat="1">
      <c r="CT756" s="3383"/>
      <c r="CX756" s="3383"/>
      <c r="CY756" s="3650"/>
      <c r="CZ756" s="3650"/>
      <c r="DA756" s="3650"/>
      <c r="DB756" s="3383"/>
    </row>
    <row r="757" spans="98:106" customFormat="1">
      <c r="CT757" s="3383"/>
      <c r="CX757" s="3383"/>
      <c r="CY757" s="3650"/>
      <c r="CZ757" s="3650"/>
      <c r="DA757" s="3650"/>
      <c r="DB757" s="3383"/>
    </row>
    <row r="758" spans="98:106" customFormat="1">
      <c r="CT758" s="3383"/>
      <c r="CX758" s="3383"/>
      <c r="CY758" s="3650"/>
      <c r="CZ758" s="3650"/>
      <c r="DA758" s="3650"/>
      <c r="DB758" s="3383"/>
    </row>
    <row r="759" spans="98:106" customFormat="1">
      <c r="CT759" s="3383"/>
      <c r="CX759" s="3383"/>
      <c r="CY759" s="3650"/>
      <c r="CZ759" s="3650"/>
      <c r="DA759" s="3650"/>
      <c r="DB759" s="3383"/>
    </row>
    <row r="760" spans="98:106" customFormat="1">
      <c r="CT760" s="3383"/>
      <c r="CX760" s="3383"/>
      <c r="CY760" s="3650"/>
      <c r="CZ760" s="3650"/>
      <c r="DA760" s="3650"/>
      <c r="DB760" s="3383"/>
    </row>
    <row r="761" spans="98:106" customFormat="1">
      <c r="CT761" s="3383"/>
      <c r="CX761" s="3383"/>
      <c r="CY761" s="3650"/>
      <c r="CZ761" s="3650"/>
      <c r="DA761" s="3650"/>
      <c r="DB761" s="3383"/>
    </row>
    <row r="762" spans="98:106" customFormat="1">
      <c r="CT762" s="3383"/>
      <c r="CX762" s="3383"/>
      <c r="CY762" s="3650"/>
      <c r="CZ762" s="3650"/>
      <c r="DA762" s="3650"/>
      <c r="DB762" s="3383"/>
    </row>
    <row r="763" spans="98:106" customFormat="1">
      <c r="CT763" s="3383"/>
      <c r="CX763" s="3383"/>
      <c r="CY763" s="3650"/>
      <c r="CZ763" s="3650"/>
      <c r="DA763" s="3650"/>
      <c r="DB763" s="3383"/>
    </row>
    <row r="764" spans="98:106" customFormat="1">
      <c r="CT764" s="3383"/>
      <c r="CX764" s="3383"/>
      <c r="CY764" s="3650"/>
      <c r="CZ764" s="3650"/>
      <c r="DA764" s="3650"/>
      <c r="DB764" s="3383"/>
    </row>
    <row r="765" spans="98:106" customFormat="1">
      <c r="CT765" s="3383"/>
      <c r="CX765" s="3383"/>
      <c r="CY765" s="3650"/>
      <c r="CZ765" s="3650"/>
      <c r="DA765" s="3650"/>
      <c r="DB765" s="3383"/>
    </row>
    <row r="766" spans="98:106" customFormat="1">
      <c r="CT766" s="3383"/>
      <c r="CX766" s="3383"/>
      <c r="CY766" s="3650"/>
      <c r="CZ766" s="3650"/>
      <c r="DA766" s="3650"/>
      <c r="DB766" s="3383"/>
    </row>
    <row r="767" spans="98:106" customFormat="1">
      <c r="CT767" s="3383"/>
      <c r="CX767" s="3383"/>
      <c r="CY767" s="3650"/>
      <c r="CZ767" s="3650"/>
      <c r="DA767" s="3650"/>
      <c r="DB767" s="3383"/>
    </row>
    <row r="768" spans="98:106" customFormat="1">
      <c r="CT768" s="3383"/>
      <c r="CX768" s="3383"/>
      <c r="CY768" s="3650"/>
      <c r="CZ768" s="3650"/>
      <c r="DA768" s="3650"/>
      <c r="DB768" s="3383"/>
    </row>
    <row r="769" spans="98:106" customFormat="1">
      <c r="CT769" s="3383"/>
      <c r="CX769" s="3383"/>
      <c r="CY769" s="3650"/>
      <c r="CZ769" s="3650"/>
      <c r="DA769" s="3650"/>
      <c r="DB769" s="3383"/>
    </row>
    <row r="770" spans="98:106" customFormat="1">
      <c r="CT770" s="3383"/>
      <c r="CX770" s="3383"/>
      <c r="CY770" s="3650"/>
      <c r="CZ770" s="3650"/>
      <c r="DA770" s="3650"/>
      <c r="DB770" s="3383"/>
    </row>
    <row r="771" spans="98:106" customFormat="1">
      <c r="CT771" s="3383"/>
      <c r="CX771" s="3383"/>
      <c r="CY771" s="3650"/>
      <c r="CZ771" s="3650"/>
      <c r="DA771" s="3650"/>
      <c r="DB771" s="3383"/>
    </row>
    <row r="772" spans="98:106" customFormat="1">
      <c r="CT772" s="3383"/>
      <c r="CX772" s="3383"/>
      <c r="CY772" s="3650"/>
      <c r="CZ772" s="3650"/>
      <c r="DA772" s="3650"/>
      <c r="DB772" s="3383"/>
    </row>
    <row r="773" spans="98:106" customFormat="1">
      <c r="CT773" s="3383"/>
      <c r="CX773" s="3383"/>
      <c r="CY773" s="3650"/>
      <c r="CZ773" s="3650"/>
      <c r="DA773" s="3650"/>
      <c r="DB773" s="3383"/>
    </row>
    <row r="774" spans="98:106" customFormat="1">
      <c r="CT774" s="3383"/>
      <c r="CX774" s="3383"/>
      <c r="CY774" s="3650"/>
      <c r="CZ774" s="3650"/>
      <c r="DA774" s="3650"/>
      <c r="DB774" s="3383"/>
    </row>
    <row r="775" spans="98:106" customFormat="1">
      <c r="CT775" s="3383"/>
      <c r="CX775" s="3383"/>
      <c r="CY775" s="3650"/>
      <c r="CZ775" s="3650"/>
      <c r="DA775" s="3650"/>
      <c r="DB775" s="3383"/>
    </row>
    <row r="776" spans="98:106" customFormat="1">
      <c r="CT776" s="3383"/>
      <c r="CX776" s="3383"/>
      <c r="CY776" s="3650"/>
      <c r="CZ776" s="3650"/>
      <c r="DA776" s="3650"/>
      <c r="DB776" s="3383"/>
    </row>
    <row r="777" spans="98:106" customFormat="1">
      <c r="CT777" s="3383"/>
      <c r="CX777" s="3383"/>
      <c r="CY777" s="3650"/>
      <c r="CZ777" s="3650"/>
      <c r="DA777" s="3650"/>
      <c r="DB777" s="3383"/>
    </row>
    <row r="778" spans="98:106" customFormat="1">
      <c r="CT778" s="3383"/>
      <c r="CX778" s="3383"/>
      <c r="CY778" s="3650"/>
      <c r="CZ778" s="3650"/>
      <c r="DA778" s="3650"/>
      <c r="DB778" s="3383"/>
    </row>
    <row r="779" spans="98:106" customFormat="1">
      <c r="CT779" s="3383"/>
      <c r="CX779" s="3383"/>
      <c r="CY779" s="3650"/>
      <c r="CZ779" s="3650"/>
      <c r="DA779" s="3650"/>
      <c r="DB779" s="3383"/>
    </row>
    <row r="780" spans="98:106" customFormat="1">
      <c r="CT780" s="3383"/>
      <c r="CX780" s="3383"/>
      <c r="CY780" s="3650"/>
      <c r="CZ780" s="3650"/>
      <c r="DA780" s="3650"/>
      <c r="DB780" s="3383"/>
    </row>
    <row r="781" spans="98:106" customFormat="1">
      <c r="CT781" s="3383"/>
      <c r="CX781" s="3383"/>
      <c r="CY781" s="3650"/>
      <c r="CZ781" s="3650"/>
      <c r="DA781" s="3650"/>
      <c r="DB781" s="3383"/>
    </row>
    <row r="782" spans="98:106" customFormat="1">
      <c r="CT782" s="3383"/>
      <c r="CX782" s="3383"/>
      <c r="CY782" s="3650"/>
      <c r="CZ782" s="3650"/>
      <c r="DA782" s="3650"/>
      <c r="DB782" s="3383"/>
    </row>
    <row r="783" spans="98:106" customFormat="1">
      <c r="CT783" s="3383"/>
      <c r="CX783" s="3383"/>
      <c r="CY783" s="3650"/>
      <c r="CZ783" s="3650"/>
      <c r="DA783" s="3650"/>
      <c r="DB783" s="3383"/>
    </row>
    <row r="784" spans="98:106" customFormat="1">
      <c r="CT784" s="3383"/>
      <c r="CX784" s="3383"/>
      <c r="CY784" s="3650"/>
      <c r="CZ784" s="3650"/>
      <c r="DA784" s="3650"/>
      <c r="DB784" s="3383"/>
    </row>
    <row r="785" spans="98:106" customFormat="1">
      <c r="CT785" s="3383"/>
      <c r="CX785" s="3383"/>
      <c r="CY785" s="3650"/>
      <c r="CZ785" s="3650"/>
      <c r="DA785" s="3650"/>
      <c r="DB785" s="3383"/>
    </row>
    <row r="786" spans="98:106" customFormat="1">
      <c r="CT786" s="3383"/>
      <c r="CX786" s="3383"/>
      <c r="CY786" s="3650"/>
      <c r="CZ786" s="3650"/>
      <c r="DA786" s="3650"/>
      <c r="DB786" s="3383"/>
    </row>
    <row r="787" spans="98:106" customFormat="1">
      <c r="CT787" s="3383"/>
      <c r="CX787" s="3383"/>
      <c r="CY787" s="3650"/>
      <c r="CZ787" s="3650"/>
      <c r="DA787" s="3650"/>
      <c r="DB787" s="3383"/>
    </row>
    <row r="788" spans="98:106" customFormat="1">
      <c r="CT788" s="3383"/>
      <c r="CX788" s="3383"/>
      <c r="CY788" s="3650"/>
      <c r="CZ788" s="3650"/>
      <c r="DA788" s="3650"/>
      <c r="DB788" s="3383"/>
    </row>
    <row r="789" spans="98:106" customFormat="1">
      <c r="CT789" s="3383"/>
      <c r="CX789" s="3383"/>
      <c r="CY789" s="3650"/>
      <c r="CZ789" s="3650"/>
      <c r="DA789" s="3650"/>
      <c r="DB789" s="3383"/>
    </row>
    <row r="790" spans="98:106" customFormat="1">
      <c r="CT790" s="3383"/>
      <c r="CX790" s="3383"/>
      <c r="CY790" s="3650"/>
      <c r="CZ790" s="3650"/>
      <c r="DA790" s="3650"/>
      <c r="DB790" s="3383"/>
    </row>
    <row r="791" spans="98:106" customFormat="1">
      <c r="CT791" s="3383"/>
      <c r="CX791" s="3383"/>
      <c r="CY791" s="3650"/>
      <c r="CZ791" s="3650"/>
      <c r="DA791" s="3650"/>
      <c r="DB791" s="3383"/>
    </row>
    <row r="792" spans="98:106" customFormat="1">
      <c r="CT792" s="3383"/>
      <c r="CX792" s="3383"/>
      <c r="CY792" s="3650"/>
      <c r="CZ792" s="3650"/>
      <c r="DA792" s="3650"/>
      <c r="DB792" s="3383"/>
    </row>
    <row r="793" spans="98:106" customFormat="1">
      <c r="CT793" s="3383"/>
      <c r="CX793" s="3383"/>
      <c r="CY793" s="3650"/>
      <c r="CZ793" s="3650"/>
      <c r="DA793" s="3650"/>
      <c r="DB793" s="3383"/>
    </row>
    <row r="794" spans="98:106" customFormat="1">
      <c r="CT794" s="3383"/>
      <c r="CX794" s="3383"/>
      <c r="CY794" s="3650"/>
      <c r="CZ794" s="3650"/>
      <c r="DA794" s="3650"/>
      <c r="DB794" s="3383"/>
    </row>
    <row r="795" spans="98:106" customFormat="1">
      <c r="CT795" s="3383"/>
      <c r="CX795" s="3383"/>
      <c r="CY795" s="3650"/>
      <c r="CZ795" s="3650"/>
      <c r="DA795" s="3650"/>
      <c r="DB795" s="3383"/>
    </row>
    <row r="796" spans="98:106" customFormat="1">
      <c r="CT796" s="3383"/>
      <c r="CX796" s="3383"/>
      <c r="CY796" s="3650"/>
      <c r="CZ796" s="3650"/>
      <c r="DA796" s="3650"/>
      <c r="DB796" s="3383"/>
    </row>
    <row r="797" spans="98:106" customFormat="1">
      <c r="CT797" s="3383"/>
      <c r="CX797" s="3383"/>
      <c r="CY797" s="3650"/>
      <c r="CZ797" s="3650"/>
      <c r="DA797" s="3650"/>
      <c r="DB797" s="3383"/>
    </row>
    <row r="798" spans="98:106" customFormat="1">
      <c r="CT798" s="3383"/>
      <c r="CX798" s="3383"/>
      <c r="CY798" s="3650"/>
      <c r="CZ798" s="3650"/>
      <c r="DA798" s="3650"/>
      <c r="DB798" s="3383"/>
    </row>
    <row r="799" spans="98:106" customFormat="1">
      <c r="CT799" s="3383"/>
      <c r="CX799" s="3383"/>
      <c r="CY799" s="3650"/>
      <c r="CZ799" s="3650"/>
      <c r="DA799" s="3650"/>
      <c r="DB799" s="3383"/>
    </row>
    <row r="800" spans="98:106" customFormat="1">
      <c r="CT800" s="3383"/>
      <c r="CX800" s="3383"/>
      <c r="CY800" s="3650"/>
      <c r="CZ800" s="3650"/>
      <c r="DA800" s="3650"/>
      <c r="DB800" s="3383"/>
    </row>
    <row r="801" spans="98:106" customFormat="1">
      <c r="CT801" s="3383"/>
      <c r="CX801" s="3383"/>
      <c r="CY801" s="3650"/>
      <c r="CZ801" s="3650"/>
      <c r="DA801" s="3650"/>
      <c r="DB801" s="3383"/>
    </row>
    <row r="802" spans="98:106" customFormat="1">
      <c r="CT802" s="3383"/>
      <c r="CX802" s="3383"/>
      <c r="CY802" s="3650"/>
      <c r="CZ802" s="3650"/>
      <c r="DA802" s="3650"/>
      <c r="DB802" s="3383"/>
    </row>
    <row r="803" spans="98:106" customFormat="1">
      <c r="CT803" s="3383"/>
      <c r="CX803" s="3383"/>
      <c r="CY803" s="3650"/>
      <c r="CZ803" s="3650"/>
      <c r="DA803" s="3650"/>
      <c r="DB803" s="3383"/>
    </row>
    <row r="804" spans="98:106" customFormat="1">
      <c r="CT804" s="3383"/>
      <c r="CX804" s="3383"/>
      <c r="CY804" s="3650"/>
      <c r="CZ804" s="3650"/>
      <c r="DA804" s="3650"/>
      <c r="DB804" s="3383"/>
    </row>
    <row r="805" spans="98:106" customFormat="1">
      <c r="CT805" s="3383"/>
      <c r="CX805" s="3383"/>
      <c r="CY805" s="3650"/>
      <c r="CZ805" s="3650"/>
      <c r="DA805" s="3650"/>
      <c r="DB805" s="3383"/>
    </row>
    <row r="806" spans="98:106" customFormat="1">
      <c r="CT806" s="3383"/>
      <c r="CX806" s="3383"/>
      <c r="CY806" s="3650"/>
      <c r="CZ806" s="3650"/>
      <c r="DA806" s="3650"/>
      <c r="DB806" s="3383"/>
    </row>
    <row r="807" spans="98:106" customFormat="1">
      <c r="CT807" s="3383"/>
      <c r="CX807" s="3383"/>
      <c r="CY807" s="3650"/>
      <c r="CZ807" s="3650"/>
      <c r="DA807" s="3650"/>
      <c r="DB807" s="3383"/>
    </row>
    <row r="808" spans="98:106" customFormat="1">
      <c r="CT808" s="3383"/>
      <c r="CX808" s="3383"/>
      <c r="CY808" s="3650"/>
      <c r="CZ808" s="3650"/>
      <c r="DA808" s="3650"/>
      <c r="DB808" s="3383"/>
    </row>
    <row r="809" spans="98:106" customFormat="1">
      <c r="CT809" s="3383"/>
      <c r="CX809" s="3383"/>
      <c r="CY809" s="3650"/>
      <c r="CZ809" s="3650"/>
      <c r="DA809" s="3650"/>
      <c r="DB809" s="3383"/>
    </row>
    <row r="810" spans="98:106" customFormat="1">
      <c r="CT810" s="3383"/>
      <c r="CX810" s="3383"/>
      <c r="CY810" s="3650"/>
      <c r="CZ810" s="3650"/>
      <c r="DA810" s="3650"/>
      <c r="DB810" s="3383"/>
    </row>
    <row r="811" spans="98:106" customFormat="1">
      <c r="CT811" s="3383"/>
      <c r="CX811" s="3383"/>
      <c r="CY811" s="3650"/>
      <c r="CZ811" s="3650"/>
      <c r="DA811" s="3650"/>
      <c r="DB811" s="3383"/>
    </row>
    <row r="812" spans="98:106" customFormat="1">
      <c r="CT812" s="3383"/>
      <c r="CX812" s="3383"/>
      <c r="CY812" s="3650"/>
      <c r="CZ812" s="3650"/>
      <c r="DA812" s="3650"/>
      <c r="DB812" s="3383"/>
    </row>
    <row r="813" spans="98:106" customFormat="1">
      <c r="CT813" s="3383"/>
      <c r="CX813" s="3383"/>
      <c r="CY813" s="3650"/>
      <c r="CZ813" s="3650"/>
      <c r="DA813" s="3650"/>
      <c r="DB813" s="3383"/>
    </row>
    <row r="814" spans="98:106" customFormat="1">
      <c r="CT814" s="3383"/>
      <c r="CX814" s="3383"/>
      <c r="CY814" s="3650"/>
      <c r="CZ814" s="3650"/>
      <c r="DA814" s="3650"/>
      <c r="DB814" s="3383"/>
    </row>
    <row r="815" spans="98:106" customFormat="1">
      <c r="CT815" s="3383"/>
      <c r="CX815" s="3383"/>
      <c r="CY815" s="3650"/>
      <c r="CZ815" s="3650"/>
      <c r="DA815" s="3650"/>
      <c r="DB815" s="3383"/>
    </row>
    <row r="816" spans="98:106" customFormat="1">
      <c r="CT816" s="3383"/>
      <c r="CX816" s="3383"/>
      <c r="CY816" s="3650"/>
      <c r="CZ816" s="3650"/>
      <c r="DA816" s="3650"/>
      <c r="DB816" s="3383"/>
    </row>
    <row r="817" spans="98:106" customFormat="1">
      <c r="CT817" s="3383"/>
      <c r="CX817" s="3383"/>
      <c r="CY817" s="3650"/>
      <c r="CZ817" s="3650"/>
      <c r="DA817" s="3650"/>
      <c r="DB817" s="3383"/>
    </row>
    <row r="818" spans="98:106" customFormat="1">
      <c r="CT818" s="3383"/>
      <c r="CX818" s="3383"/>
      <c r="CY818" s="3650"/>
      <c r="CZ818" s="3650"/>
      <c r="DA818" s="3650"/>
      <c r="DB818" s="3383"/>
    </row>
    <row r="819" spans="98:106" customFormat="1">
      <c r="CT819" s="3383"/>
      <c r="CX819" s="3383"/>
      <c r="CY819" s="3650"/>
      <c r="CZ819" s="3650"/>
      <c r="DA819" s="3650"/>
      <c r="DB819" s="3383"/>
    </row>
    <row r="820" spans="98:106" customFormat="1">
      <c r="CT820" s="3383"/>
      <c r="CX820" s="3383"/>
      <c r="CY820" s="3650"/>
      <c r="CZ820" s="3650"/>
      <c r="DA820" s="3650"/>
      <c r="DB820" s="3383"/>
    </row>
    <row r="821" spans="98:106" customFormat="1">
      <c r="CT821" s="3383"/>
      <c r="CX821" s="3383"/>
      <c r="CY821" s="3650"/>
      <c r="CZ821" s="3650"/>
      <c r="DA821" s="3650"/>
      <c r="DB821" s="3383"/>
    </row>
    <row r="822" spans="98:106" customFormat="1">
      <c r="CT822" s="3383"/>
      <c r="CX822" s="3383"/>
      <c r="CY822" s="3650"/>
      <c r="CZ822" s="3650"/>
      <c r="DA822" s="3650"/>
      <c r="DB822" s="3383"/>
    </row>
    <row r="823" spans="98:106" customFormat="1">
      <c r="CT823" s="3383"/>
      <c r="CX823" s="3383"/>
      <c r="CY823" s="3650"/>
      <c r="CZ823" s="3650"/>
      <c r="DA823" s="3650"/>
      <c r="DB823" s="3383"/>
    </row>
    <row r="824" spans="98:106" customFormat="1">
      <c r="CT824" s="3383"/>
      <c r="CX824" s="3383"/>
      <c r="CY824" s="3650"/>
      <c r="CZ824" s="3650"/>
      <c r="DA824" s="3650"/>
      <c r="DB824" s="3383"/>
    </row>
    <row r="825" spans="98:106" customFormat="1">
      <c r="CT825" s="3383"/>
      <c r="CX825" s="3383"/>
      <c r="CY825" s="3650"/>
      <c r="CZ825" s="3650"/>
      <c r="DA825" s="3650"/>
      <c r="DB825" s="3383"/>
    </row>
    <row r="826" spans="98:106" customFormat="1">
      <c r="CT826" s="3383"/>
      <c r="CX826" s="3383"/>
      <c r="CY826" s="3650"/>
      <c r="CZ826" s="3650"/>
      <c r="DA826" s="3650"/>
      <c r="DB826" s="3383"/>
    </row>
    <row r="827" spans="98:106" customFormat="1">
      <c r="CT827" s="3383"/>
      <c r="CX827" s="3383"/>
      <c r="CY827" s="3650"/>
      <c r="CZ827" s="3650"/>
      <c r="DA827" s="3650"/>
      <c r="DB827" s="3383"/>
    </row>
    <row r="828" spans="98:106" customFormat="1">
      <c r="CT828" s="3383"/>
      <c r="CX828" s="3383"/>
      <c r="CY828" s="3650"/>
      <c r="CZ828" s="3650"/>
      <c r="DA828" s="3650"/>
      <c r="DB828" s="3383"/>
    </row>
    <row r="829" spans="98:106" customFormat="1">
      <c r="CT829" s="3383"/>
      <c r="CX829" s="3383"/>
      <c r="CY829" s="3650"/>
      <c r="CZ829" s="3650"/>
      <c r="DA829" s="3650"/>
      <c r="DB829" s="3383"/>
    </row>
    <row r="830" spans="98:106" customFormat="1">
      <c r="CT830" s="3383"/>
      <c r="CX830" s="3383"/>
      <c r="CY830" s="3650"/>
      <c r="CZ830" s="3650"/>
      <c r="DA830" s="3650"/>
      <c r="DB830" s="3383"/>
    </row>
    <row r="831" spans="98:106" customFormat="1">
      <c r="CT831" s="3383"/>
      <c r="CX831" s="3383"/>
      <c r="CY831" s="3650"/>
      <c r="CZ831" s="3650"/>
      <c r="DA831" s="3650"/>
      <c r="DB831" s="3383"/>
    </row>
    <row r="832" spans="98:106" customFormat="1">
      <c r="CT832" s="3383"/>
      <c r="CX832" s="3383"/>
      <c r="CY832" s="3650"/>
      <c r="CZ832" s="3650"/>
      <c r="DA832" s="3650"/>
      <c r="DB832" s="3383"/>
    </row>
    <row r="833" spans="98:106" customFormat="1">
      <c r="CT833" s="3383"/>
      <c r="CX833" s="3383"/>
      <c r="CY833" s="3650"/>
      <c r="CZ833" s="3650"/>
      <c r="DA833" s="3650"/>
      <c r="DB833" s="3383"/>
    </row>
    <row r="834" spans="98:106" customFormat="1">
      <c r="CT834" s="3383"/>
      <c r="CX834" s="3383"/>
      <c r="CY834" s="3650"/>
      <c r="CZ834" s="3650"/>
      <c r="DA834" s="3650"/>
      <c r="DB834" s="3383"/>
    </row>
    <row r="835" spans="98:106" customFormat="1">
      <c r="CT835" s="3383"/>
      <c r="CX835" s="3383"/>
      <c r="CY835" s="3650"/>
      <c r="CZ835" s="3650"/>
      <c r="DA835" s="3650"/>
      <c r="DB835" s="3383"/>
    </row>
    <row r="836" spans="98:106" customFormat="1">
      <c r="CT836" s="3383"/>
      <c r="CX836" s="3383"/>
      <c r="CY836" s="3650"/>
      <c r="CZ836" s="3650"/>
      <c r="DA836" s="3650"/>
      <c r="DB836" s="3383"/>
    </row>
    <row r="837" spans="98:106" customFormat="1">
      <c r="CT837" s="3383"/>
      <c r="CX837" s="3383"/>
      <c r="CY837" s="3650"/>
      <c r="CZ837" s="3650"/>
      <c r="DA837" s="3650"/>
      <c r="DB837" s="3383"/>
    </row>
    <row r="838" spans="98:106" customFormat="1">
      <c r="CT838" s="3383"/>
      <c r="CX838" s="3383"/>
      <c r="CY838" s="3650"/>
      <c r="CZ838" s="3650"/>
      <c r="DA838" s="3650"/>
      <c r="DB838" s="3383"/>
    </row>
    <row r="839" spans="98:106" customFormat="1">
      <c r="CT839" s="3383"/>
      <c r="CX839" s="3383"/>
      <c r="CY839" s="3650"/>
      <c r="CZ839" s="3650"/>
      <c r="DA839" s="3650"/>
      <c r="DB839" s="3383"/>
    </row>
    <row r="840" spans="98:106" customFormat="1">
      <c r="CT840" s="3383"/>
      <c r="CX840" s="3383"/>
      <c r="CY840" s="3650"/>
      <c r="CZ840" s="3650"/>
      <c r="DA840" s="3650"/>
      <c r="DB840" s="3383"/>
    </row>
    <row r="841" spans="98:106" customFormat="1">
      <c r="CT841" s="3383"/>
      <c r="CX841" s="3383"/>
      <c r="CY841" s="3650"/>
      <c r="CZ841" s="3650"/>
      <c r="DA841" s="3650"/>
      <c r="DB841" s="3383"/>
    </row>
    <row r="842" spans="98:106" customFormat="1">
      <c r="CT842" s="3383"/>
      <c r="CX842" s="3383"/>
      <c r="CY842" s="3650"/>
      <c r="CZ842" s="3650"/>
      <c r="DA842" s="3650"/>
      <c r="DB842" s="3383"/>
    </row>
    <row r="843" spans="98:106" customFormat="1">
      <c r="CT843" s="3383"/>
      <c r="CX843" s="3383"/>
      <c r="CY843" s="3650"/>
      <c r="CZ843" s="3650"/>
      <c r="DA843" s="3650"/>
      <c r="DB843" s="3383"/>
    </row>
    <row r="844" spans="98:106" customFormat="1">
      <c r="CT844" s="3383"/>
      <c r="CX844" s="3383"/>
      <c r="CY844" s="3650"/>
      <c r="CZ844" s="3650"/>
      <c r="DA844" s="3650"/>
      <c r="DB844" s="3383"/>
    </row>
    <row r="845" spans="98:106" customFormat="1">
      <c r="CT845" s="3383"/>
      <c r="CX845" s="3383"/>
      <c r="CY845" s="3650"/>
      <c r="CZ845" s="3650"/>
      <c r="DA845" s="3650"/>
      <c r="DB845" s="3383"/>
    </row>
    <row r="846" spans="98:106" customFormat="1">
      <c r="CT846" s="3383"/>
      <c r="CX846" s="3383"/>
      <c r="CY846" s="3650"/>
      <c r="CZ846" s="3650"/>
      <c r="DA846" s="3650"/>
      <c r="DB846" s="3383"/>
    </row>
    <row r="847" spans="98:106" customFormat="1">
      <c r="CT847" s="3383"/>
      <c r="CX847" s="3383"/>
      <c r="CY847" s="3650"/>
      <c r="CZ847" s="3650"/>
      <c r="DA847" s="3650"/>
      <c r="DB847" s="3383"/>
    </row>
    <row r="848" spans="98:106" customFormat="1">
      <c r="CT848" s="3383"/>
      <c r="CX848" s="3383"/>
      <c r="CY848" s="3650"/>
      <c r="CZ848" s="3650"/>
      <c r="DA848" s="3650"/>
      <c r="DB848" s="3383"/>
    </row>
    <row r="849" spans="98:106" customFormat="1">
      <c r="CT849" s="3383"/>
      <c r="CX849" s="3383"/>
      <c r="CY849" s="3650"/>
      <c r="CZ849" s="3650"/>
      <c r="DA849" s="3650"/>
      <c r="DB849" s="3383"/>
    </row>
    <row r="850" spans="98:106" customFormat="1">
      <c r="CT850" s="3383"/>
      <c r="CX850" s="3383"/>
      <c r="CY850" s="3650"/>
      <c r="CZ850" s="3650"/>
      <c r="DA850" s="3650"/>
      <c r="DB850" s="3383"/>
    </row>
    <row r="851" spans="98:106" customFormat="1">
      <c r="CT851" s="3383"/>
      <c r="CX851" s="3383"/>
      <c r="CY851" s="3650"/>
      <c r="CZ851" s="3650"/>
      <c r="DA851" s="3650"/>
      <c r="DB851" s="3383"/>
    </row>
    <row r="852" spans="98:106" customFormat="1">
      <c r="CT852" s="3383"/>
      <c r="CX852" s="3383"/>
      <c r="CY852" s="3650"/>
      <c r="CZ852" s="3650"/>
      <c r="DA852" s="3650"/>
      <c r="DB852" s="3383"/>
    </row>
    <row r="853" spans="98:106" customFormat="1">
      <c r="CT853" s="3383"/>
      <c r="CX853" s="3383"/>
      <c r="CY853" s="3650"/>
      <c r="CZ853" s="3650"/>
      <c r="DA853" s="3650"/>
      <c r="DB853" s="3383"/>
    </row>
    <row r="854" spans="98:106" customFormat="1">
      <c r="CT854" s="3383"/>
      <c r="CX854" s="3383"/>
      <c r="CY854" s="3650"/>
      <c r="CZ854" s="3650"/>
      <c r="DA854" s="3650"/>
      <c r="DB854" s="3383"/>
    </row>
    <row r="855" spans="98:106" customFormat="1">
      <c r="CT855" s="3383"/>
      <c r="CX855" s="3383"/>
      <c r="CY855" s="3650"/>
      <c r="CZ855" s="3650"/>
      <c r="DA855" s="3650"/>
      <c r="DB855" s="3383"/>
    </row>
    <row r="856" spans="98:106" customFormat="1">
      <c r="CT856" s="3383"/>
      <c r="CX856" s="3383"/>
      <c r="CY856" s="3650"/>
      <c r="CZ856" s="3650"/>
      <c r="DA856" s="3650"/>
      <c r="DB856" s="3383"/>
    </row>
    <row r="857" spans="98:106" customFormat="1">
      <c r="CT857" s="3383"/>
      <c r="CX857" s="3383"/>
      <c r="CY857" s="3650"/>
      <c r="CZ857" s="3650"/>
      <c r="DA857" s="3650"/>
      <c r="DB857" s="3383"/>
    </row>
    <row r="858" spans="98:106" customFormat="1">
      <c r="CT858" s="3383"/>
      <c r="CX858" s="3383"/>
      <c r="CY858" s="3650"/>
      <c r="CZ858" s="3650"/>
      <c r="DA858" s="3650"/>
      <c r="DB858" s="3383"/>
    </row>
    <row r="859" spans="98:106" customFormat="1">
      <c r="CT859" s="3383"/>
      <c r="CX859" s="3383"/>
      <c r="CY859" s="3650"/>
      <c r="CZ859" s="3650"/>
      <c r="DA859" s="3650"/>
      <c r="DB859" s="3383"/>
    </row>
    <row r="860" spans="98:106" customFormat="1">
      <c r="CT860" s="3383"/>
      <c r="CX860" s="3383"/>
      <c r="CY860" s="3650"/>
      <c r="CZ860" s="3650"/>
      <c r="DA860" s="3650"/>
      <c r="DB860" s="3383"/>
    </row>
    <row r="861" spans="98:106" customFormat="1">
      <c r="CT861" s="3383"/>
      <c r="CX861" s="3383"/>
      <c r="CY861" s="3650"/>
      <c r="CZ861" s="3650"/>
      <c r="DA861" s="3650"/>
      <c r="DB861" s="3383"/>
    </row>
    <row r="862" spans="98:106" customFormat="1">
      <c r="CT862" s="3383"/>
      <c r="CX862" s="3383"/>
      <c r="CY862" s="3650"/>
      <c r="CZ862" s="3650"/>
      <c r="DA862" s="3650"/>
      <c r="DB862" s="3383"/>
    </row>
    <row r="863" spans="98:106" customFormat="1">
      <c r="CT863" s="3383"/>
      <c r="CX863" s="3383"/>
      <c r="CY863" s="3650"/>
      <c r="CZ863" s="3650"/>
      <c r="DA863" s="3650"/>
      <c r="DB863" s="3383"/>
    </row>
    <row r="864" spans="98:106" customFormat="1">
      <c r="CT864" s="3383"/>
      <c r="CX864" s="3383"/>
      <c r="CY864" s="3650"/>
      <c r="CZ864" s="3650"/>
      <c r="DA864" s="3650"/>
      <c r="DB864" s="3383"/>
    </row>
    <row r="865" spans="98:106" customFormat="1">
      <c r="CT865" s="3383"/>
      <c r="CX865" s="3383"/>
      <c r="CY865" s="3650"/>
      <c r="CZ865" s="3650"/>
      <c r="DA865" s="3650"/>
      <c r="DB865" s="3383"/>
    </row>
    <row r="866" spans="98:106" customFormat="1">
      <c r="CT866" s="3383"/>
      <c r="CX866" s="3383"/>
      <c r="CY866" s="3650"/>
      <c r="CZ866" s="3650"/>
      <c r="DA866" s="3650"/>
      <c r="DB866" s="3383"/>
    </row>
    <row r="867" spans="98:106" customFormat="1">
      <c r="CT867" s="3383"/>
      <c r="CX867" s="3383"/>
      <c r="CY867" s="3650"/>
      <c r="CZ867" s="3650"/>
      <c r="DA867" s="3650"/>
      <c r="DB867" s="3383"/>
    </row>
    <row r="868" spans="98:106" customFormat="1">
      <c r="CT868" s="3383"/>
      <c r="CX868" s="3383"/>
      <c r="CY868" s="3650"/>
      <c r="CZ868" s="3650"/>
      <c r="DA868" s="3650"/>
      <c r="DB868" s="3383"/>
    </row>
    <row r="869" spans="98:106" customFormat="1">
      <c r="CT869" s="3383"/>
      <c r="CX869" s="3383"/>
      <c r="CY869" s="3650"/>
      <c r="CZ869" s="3650"/>
      <c r="DA869" s="3650"/>
      <c r="DB869" s="3383"/>
    </row>
    <row r="870" spans="98:106" customFormat="1">
      <c r="CT870" s="3383"/>
      <c r="CX870" s="3383"/>
      <c r="CY870" s="3650"/>
      <c r="CZ870" s="3650"/>
      <c r="DA870" s="3650"/>
      <c r="DB870" s="3383"/>
    </row>
    <row r="871" spans="98:106" customFormat="1">
      <c r="CT871" s="3383"/>
      <c r="CX871" s="3383"/>
      <c r="CY871" s="3650"/>
      <c r="CZ871" s="3650"/>
      <c r="DA871" s="3650"/>
      <c r="DB871" s="3383"/>
    </row>
    <row r="872" spans="98:106" customFormat="1">
      <c r="CT872" s="3383"/>
      <c r="CX872" s="3383"/>
      <c r="CY872" s="3650"/>
      <c r="CZ872" s="3650"/>
      <c r="DA872" s="3650"/>
      <c r="DB872" s="3383"/>
    </row>
    <row r="873" spans="98:106" customFormat="1">
      <c r="CT873" s="3383"/>
      <c r="CX873" s="3383"/>
      <c r="CY873" s="3650"/>
      <c r="CZ873" s="3650"/>
      <c r="DA873" s="3650"/>
      <c r="DB873" s="3383"/>
    </row>
    <row r="874" spans="98:106" customFormat="1">
      <c r="CT874" s="3383"/>
      <c r="CX874" s="3383"/>
      <c r="CY874" s="3650"/>
      <c r="CZ874" s="3650"/>
      <c r="DA874" s="3650"/>
      <c r="DB874" s="3383"/>
    </row>
    <row r="875" spans="98:106" customFormat="1">
      <c r="CT875" s="3383"/>
      <c r="CX875" s="3383"/>
      <c r="CY875" s="3650"/>
      <c r="CZ875" s="3650"/>
      <c r="DA875" s="3650"/>
      <c r="DB875" s="3383"/>
    </row>
    <row r="876" spans="98:106" customFormat="1">
      <c r="CT876" s="3383"/>
      <c r="CX876" s="3383"/>
      <c r="CY876" s="3650"/>
      <c r="CZ876" s="3650"/>
      <c r="DA876" s="3650"/>
      <c r="DB876" s="3383"/>
    </row>
    <row r="877" spans="98:106" customFormat="1">
      <c r="CT877" s="3383"/>
      <c r="CX877" s="3383"/>
      <c r="CY877" s="3650"/>
      <c r="CZ877" s="3650"/>
      <c r="DA877" s="3650"/>
      <c r="DB877" s="3383"/>
    </row>
    <row r="878" spans="98:106" customFormat="1">
      <c r="CT878" s="3383"/>
      <c r="CX878" s="3383"/>
      <c r="CY878" s="3650"/>
      <c r="CZ878" s="3650"/>
      <c r="DA878" s="3650"/>
      <c r="DB878" s="3383"/>
    </row>
    <row r="879" spans="98:106" customFormat="1">
      <c r="CT879" s="3383"/>
      <c r="CX879" s="3383"/>
      <c r="CY879" s="3650"/>
      <c r="CZ879" s="3650"/>
      <c r="DA879" s="3650"/>
      <c r="DB879" s="3383"/>
    </row>
    <row r="880" spans="98:106" customFormat="1">
      <c r="CT880" s="3383"/>
      <c r="CX880" s="3383"/>
      <c r="CY880" s="3650"/>
      <c r="CZ880" s="3650"/>
      <c r="DA880" s="3650"/>
      <c r="DB880" s="3383"/>
    </row>
    <row r="881" spans="98:106" customFormat="1">
      <c r="CT881" s="3383"/>
      <c r="CX881" s="3383"/>
      <c r="CY881" s="3650"/>
      <c r="CZ881" s="3650"/>
      <c r="DA881" s="3650"/>
      <c r="DB881" s="3383"/>
    </row>
    <row r="882" spans="98:106" customFormat="1">
      <c r="CT882" s="3383"/>
      <c r="CX882" s="3383"/>
      <c r="CY882" s="3650"/>
      <c r="CZ882" s="3650"/>
      <c r="DA882" s="3650"/>
      <c r="DB882" s="3383"/>
    </row>
    <row r="883" spans="98:106" customFormat="1">
      <c r="CT883" s="3383"/>
      <c r="CX883" s="3383"/>
      <c r="CY883" s="3650"/>
      <c r="CZ883" s="3650"/>
      <c r="DA883" s="3650"/>
      <c r="DB883" s="3383"/>
    </row>
    <row r="884" spans="98:106" customFormat="1">
      <c r="CT884" s="3383"/>
      <c r="CX884" s="3383"/>
      <c r="CY884" s="3650"/>
      <c r="CZ884" s="3650"/>
      <c r="DA884" s="3650"/>
      <c r="DB884" s="3383"/>
    </row>
    <row r="885" spans="98:106" customFormat="1">
      <c r="CT885" s="3383"/>
      <c r="CX885" s="3383"/>
      <c r="CY885" s="3650"/>
      <c r="CZ885" s="3650"/>
      <c r="DA885" s="3650"/>
      <c r="DB885" s="3383"/>
    </row>
    <row r="886" spans="98:106" customFormat="1">
      <c r="CT886" s="3383"/>
      <c r="CX886" s="3383"/>
      <c r="CY886" s="3650"/>
      <c r="CZ886" s="3650"/>
      <c r="DA886" s="3650"/>
      <c r="DB886" s="3383"/>
    </row>
    <row r="887" spans="98:106" customFormat="1">
      <c r="CT887" s="3383"/>
      <c r="CX887" s="3383"/>
      <c r="CY887" s="3650"/>
      <c r="CZ887" s="3650"/>
      <c r="DA887" s="3650"/>
      <c r="DB887" s="3383"/>
    </row>
    <row r="888" spans="98:106" customFormat="1">
      <c r="CT888" s="3383"/>
      <c r="CX888" s="3383"/>
      <c r="CY888" s="3650"/>
      <c r="CZ888" s="3650"/>
      <c r="DA888" s="3650"/>
      <c r="DB888" s="3383"/>
    </row>
    <row r="889" spans="98:106" customFormat="1">
      <c r="CT889" s="3383"/>
      <c r="CX889" s="3383"/>
      <c r="CY889" s="3650"/>
      <c r="CZ889" s="3650"/>
      <c r="DA889" s="3650"/>
      <c r="DB889" s="3383"/>
    </row>
    <row r="890" spans="98:106" customFormat="1">
      <c r="CT890" s="3383"/>
      <c r="CX890" s="3383"/>
      <c r="CY890" s="3650"/>
      <c r="CZ890" s="3650"/>
      <c r="DA890" s="3650"/>
      <c r="DB890" s="3383"/>
    </row>
    <row r="891" spans="98:106" customFormat="1">
      <c r="CT891" s="3383"/>
      <c r="CX891" s="3383"/>
      <c r="CY891" s="3650"/>
      <c r="CZ891" s="3650"/>
      <c r="DA891" s="3650"/>
      <c r="DB891" s="3383"/>
    </row>
    <row r="892" spans="98:106" customFormat="1">
      <c r="CT892" s="3383"/>
      <c r="CX892" s="3383"/>
      <c r="CY892" s="3650"/>
      <c r="CZ892" s="3650"/>
      <c r="DA892" s="3650"/>
      <c r="DB892" s="3383"/>
    </row>
    <row r="893" spans="98:106" customFormat="1">
      <c r="CT893" s="3383"/>
      <c r="CX893" s="3383"/>
      <c r="CY893" s="3650"/>
      <c r="CZ893" s="3650"/>
      <c r="DA893" s="3650"/>
      <c r="DB893" s="3383"/>
    </row>
    <row r="894" spans="98:106" customFormat="1">
      <c r="CT894" s="3383"/>
      <c r="CX894" s="3383"/>
      <c r="CY894" s="3650"/>
      <c r="CZ894" s="3650"/>
      <c r="DA894" s="3650"/>
      <c r="DB894" s="3383"/>
    </row>
    <row r="895" spans="98:106" customFormat="1">
      <c r="CT895" s="3383"/>
      <c r="CX895" s="3383"/>
      <c r="CY895" s="3650"/>
      <c r="CZ895" s="3650"/>
      <c r="DA895" s="3650"/>
      <c r="DB895" s="3383"/>
    </row>
    <row r="896" spans="98:106" customFormat="1">
      <c r="CT896" s="3383"/>
      <c r="CX896" s="3383"/>
      <c r="CY896" s="3650"/>
      <c r="CZ896" s="3650"/>
      <c r="DA896" s="3650"/>
      <c r="DB896" s="3383"/>
    </row>
    <row r="897" spans="98:106" customFormat="1">
      <c r="CT897" s="3383"/>
      <c r="CX897" s="3383"/>
      <c r="CY897" s="3650"/>
      <c r="CZ897" s="3650"/>
      <c r="DA897" s="3650"/>
      <c r="DB897" s="3383"/>
    </row>
    <row r="898" spans="98:106" customFormat="1">
      <c r="CT898" s="3383"/>
      <c r="CX898" s="3383"/>
      <c r="CY898" s="3650"/>
      <c r="CZ898" s="3650"/>
      <c r="DA898" s="3650"/>
      <c r="DB898" s="3383"/>
    </row>
    <row r="899" spans="98:106" customFormat="1">
      <c r="CT899" s="3383"/>
      <c r="CX899" s="3383"/>
      <c r="CY899" s="3650"/>
      <c r="CZ899" s="3650"/>
      <c r="DA899" s="3650"/>
      <c r="DB899" s="3383"/>
    </row>
    <row r="900" spans="98:106" customFormat="1">
      <c r="CT900" s="3383"/>
      <c r="CX900" s="3383"/>
      <c r="CY900" s="3650"/>
      <c r="CZ900" s="3650"/>
      <c r="DA900" s="3650"/>
      <c r="DB900" s="3383"/>
    </row>
    <row r="901" spans="98:106" customFormat="1">
      <c r="CT901" s="3383"/>
      <c r="CX901" s="3383"/>
      <c r="CY901" s="3650"/>
      <c r="CZ901" s="3650"/>
      <c r="DA901" s="3650"/>
      <c r="DB901" s="3383"/>
    </row>
    <row r="902" spans="98:106" customFormat="1">
      <c r="CT902" s="3383"/>
      <c r="CX902" s="3383"/>
      <c r="CY902" s="3650"/>
      <c r="CZ902" s="3650"/>
      <c r="DA902" s="3650"/>
      <c r="DB902" s="3383"/>
    </row>
    <row r="903" spans="98:106" customFormat="1">
      <c r="CT903" s="3383"/>
      <c r="CX903" s="3383"/>
      <c r="CY903" s="3650"/>
      <c r="CZ903" s="3650"/>
      <c r="DA903" s="3650"/>
      <c r="DB903" s="3383"/>
    </row>
    <row r="904" spans="98:106" customFormat="1">
      <c r="CT904" s="3383"/>
      <c r="CX904" s="3383"/>
      <c r="CY904" s="3650"/>
      <c r="CZ904" s="3650"/>
      <c r="DA904" s="3650"/>
      <c r="DB904" s="3383"/>
    </row>
    <row r="905" spans="98:106" customFormat="1">
      <c r="CT905" s="3383"/>
      <c r="CX905" s="3383"/>
      <c r="CY905" s="3650"/>
      <c r="CZ905" s="3650"/>
      <c r="DA905" s="3650"/>
      <c r="DB905" s="3383"/>
    </row>
    <row r="906" spans="98:106" customFormat="1">
      <c r="CT906" s="3383"/>
      <c r="CX906" s="3383"/>
      <c r="CY906" s="3650"/>
      <c r="CZ906" s="3650"/>
      <c r="DA906" s="3650"/>
      <c r="DB906" s="3383"/>
    </row>
    <row r="907" spans="98:106" customFormat="1">
      <c r="CT907" s="3383"/>
      <c r="CX907" s="3383"/>
      <c r="CY907" s="3650"/>
      <c r="CZ907" s="3650"/>
      <c r="DA907" s="3650"/>
      <c r="DB907" s="3383"/>
    </row>
    <row r="908" spans="98:106" customFormat="1">
      <c r="CT908" s="3383"/>
      <c r="CX908" s="3383"/>
      <c r="CY908" s="3650"/>
      <c r="CZ908" s="3650"/>
      <c r="DA908" s="3650"/>
      <c r="DB908" s="3383"/>
    </row>
    <row r="909" spans="98:106" customFormat="1">
      <c r="CT909" s="3383"/>
      <c r="CX909" s="3383"/>
      <c r="CY909" s="3650"/>
      <c r="CZ909" s="3650"/>
      <c r="DA909" s="3650"/>
      <c r="DB909" s="3383"/>
    </row>
    <row r="910" spans="98:106" customFormat="1">
      <c r="CT910" s="3383"/>
      <c r="CX910" s="3383"/>
      <c r="CY910" s="3650"/>
      <c r="CZ910" s="3650"/>
      <c r="DA910" s="3650"/>
      <c r="DB910" s="3383"/>
    </row>
    <row r="911" spans="98:106" customFormat="1">
      <c r="CT911" s="3383"/>
      <c r="CX911" s="3383"/>
      <c r="CY911" s="3650"/>
      <c r="CZ911" s="3650"/>
      <c r="DA911" s="3650"/>
      <c r="DB911" s="3383"/>
    </row>
    <row r="912" spans="98:106" customFormat="1">
      <c r="CT912" s="3383"/>
      <c r="CX912" s="3383"/>
      <c r="CY912" s="3650"/>
      <c r="CZ912" s="3650"/>
      <c r="DA912" s="3650"/>
      <c r="DB912" s="3383"/>
    </row>
    <row r="913" spans="98:106" customFormat="1">
      <c r="CT913" s="3383"/>
      <c r="CX913" s="3383"/>
      <c r="CY913" s="3650"/>
      <c r="CZ913" s="3650"/>
      <c r="DA913" s="3650"/>
      <c r="DB913" s="3383"/>
    </row>
    <row r="914" spans="98:106" customFormat="1">
      <c r="CT914" s="3383"/>
      <c r="CX914" s="3383"/>
      <c r="CY914" s="3650"/>
      <c r="CZ914" s="3650"/>
      <c r="DA914" s="3650"/>
      <c r="DB914" s="3383"/>
    </row>
    <row r="915" spans="98:106" customFormat="1">
      <c r="CT915" s="3383"/>
      <c r="CX915" s="3383"/>
      <c r="CY915" s="3650"/>
      <c r="CZ915" s="3650"/>
      <c r="DA915" s="3650"/>
      <c r="DB915" s="3383"/>
    </row>
    <row r="916" spans="98:106" customFormat="1">
      <c r="CT916" s="3383"/>
      <c r="CX916" s="3383"/>
      <c r="CY916" s="3650"/>
      <c r="CZ916" s="3650"/>
      <c r="DA916" s="3650"/>
      <c r="DB916" s="3383"/>
    </row>
    <row r="917" spans="98:106" customFormat="1">
      <c r="CT917" s="3383"/>
      <c r="CX917" s="3383"/>
      <c r="CY917" s="3650"/>
      <c r="CZ917" s="3650"/>
      <c r="DA917" s="3650"/>
      <c r="DB917" s="3383"/>
    </row>
    <row r="918" spans="98:106" customFormat="1">
      <c r="CT918" s="3383"/>
      <c r="CX918" s="3383"/>
      <c r="CY918" s="3650"/>
      <c r="CZ918" s="3650"/>
      <c r="DA918" s="3650"/>
      <c r="DB918" s="3383"/>
    </row>
    <row r="919" spans="98:106" customFormat="1">
      <c r="CT919" s="3383"/>
      <c r="CX919" s="3383"/>
      <c r="CY919" s="3650"/>
      <c r="CZ919" s="3650"/>
      <c r="DA919" s="3650"/>
      <c r="DB919" s="3383"/>
    </row>
    <row r="920" spans="98:106" customFormat="1">
      <c r="CT920" s="3383"/>
      <c r="CX920" s="3383"/>
      <c r="CY920" s="3650"/>
      <c r="CZ920" s="3650"/>
      <c r="DA920" s="3650"/>
      <c r="DB920" s="3383"/>
    </row>
    <row r="921" spans="98:106" customFormat="1">
      <c r="CT921" s="3383"/>
      <c r="CX921" s="3383"/>
      <c r="CY921" s="3650"/>
      <c r="CZ921" s="3650"/>
      <c r="DA921" s="3650"/>
      <c r="DB921" s="3383"/>
    </row>
    <row r="922" spans="98:106" customFormat="1">
      <c r="CT922" s="3383"/>
      <c r="CX922" s="3383"/>
      <c r="CY922" s="3650"/>
      <c r="CZ922" s="3650"/>
      <c r="DA922" s="3650"/>
      <c r="DB922" s="3383"/>
    </row>
    <row r="923" spans="98:106" customFormat="1">
      <c r="CT923" s="3383"/>
      <c r="CX923" s="3383"/>
      <c r="CY923" s="3650"/>
      <c r="CZ923" s="3650"/>
      <c r="DA923" s="3650"/>
      <c r="DB923" s="3383"/>
    </row>
    <row r="924" spans="98:106" customFormat="1">
      <c r="CT924" s="3383"/>
      <c r="CX924" s="3383"/>
      <c r="CY924" s="3650"/>
      <c r="CZ924" s="3650"/>
      <c r="DA924" s="3650"/>
      <c r="DB924" s="3383"/>
    </row>
    <row r="925" spans="98:106" customFormat="1">
      <c r="CT925" s="3383"/>
      <c r="CX925" s="3383"/>
      <c r="CY925" s="3650"/>
      <c r="CZ925" s="3650"/>
      <c r="DA925" s="3650"/>
      <c r="DB925" s="3383"/>
    </row>
    <row r="926" spans="98:106" customFormat="1">
      <c r="CT926" s="3383"/>
      <c r="CX926" s="3383"/>
      <c r="CY926" s="3650"/>
      <c r="CZ926" s="3650"/>
      <c r="DA926" s="3650"/>
      <c r="DB926" s="3383"/>
    </row>
    <row r="927" spans="98:106" customFormat="1">
      <c r="CT927" s="3383"/>
      <c r="CX927" s="3383"/>
      <c r="CY927" s="3650"/>
      <c r="CZ927" s="3650"/>
      <c r="DA927" s="3650"/>
      <c r="DB927" s="3383"/>
    </row>
    <row r="928" spans="98:106" customFormat="1">
      <c r="CT928" s="3383"/>
      <c r="CX928" s="3383"/>
      <c r="CY928" s="3650"/>
      <c r="CZ928" s="3650"/>
      <c r="DA928" s="3650"/>
      <c r="DB928" s="3383"/>
    </row>
    <row r="929" spans="98:106" customFormat="1">
      <c r="CT929" s="3383"/>
      <c r="CX929" s="3383"/>
      <c r="CY929" s="3650"/>
      <c r="CZ929" s="3650"/>
      <c r="DA929" s="3650"/>
      <c r="DB929" s="3383"/>
    </row>
    <row r="930" spans="98:106" customFormat="1">
      <c r="CT930" s="3383"/>
      <c r="CX930" s="3383"/>
      <c r="CY930" s="3650"/>
      <c r="CZ930" s="3650"/>
      <c r="DA930" s="3650"/>
      <c r="DB930" s="3383"/>
    </row>
    <row r="931" spans="98:106" customFormat="1">
      <c r="CT931" s="3383"/>
      <c r="CX931" s="3383"/>
      <c r="CY931" s="3650"/>
      <c r="CZ931" s="3650"/>
      <c r="DA931" s="3650"/>
      <c r="DB931" s="3383"/>
    </row>
    <row r="932" spans="98:106" customFormat="1">
      <c r="CT932" s="3383"/>
      <c r="CX932" s="3383"/>
      <c r="CY932" s="3650"/>
      <c r="CZ932" s="3650"/>
      <c r="DA932" s="3650"/>
      <c r="DB932" s="3383"/>
    </row>
    <row r="933" spans="98:106" customFormat="1">
      <c r="CT933" s="3383"/>
      <c r="CX933" s="3383"/>
      <c r="CY933" s="3650"/>
      <c r="CZ933" s="3650"/>
      <c r="DA933" s="3650"/>
      <c r="DB933" s="3383"/>
    </row>
    <row r="934" spans="98:106" customFormat="1">
      <c r="CT934" s="3383"/>
      <c r="CX934" s="3383"/>
      <c r="CY934" s="3650"/>
      <c r="CZ934" s="3650"/>
      <c r="DA934" s="3650"/>
      <c r="DB934" s="3383"/>
    </row>
    <row r="935" spans="98:106" customFormat="1">
      <c r="CT935" s="3383"/>
      <c r="CX935" s="3383"/>
      <c r="CY935" s="3650"/>
      <c r="CZ935" s="3650"/>
      <c r="DA935" s="3650"/>
      <c r="DB935" s="3383"/>
    </row>
    <row r="936" spans="98:106" customFormat="1">
      <c r="CT936" s="3383"/>
      <c r="CX936" s="3383"/>
      <c r="CY936" s="3650"/>
      <c r="CZ936" s="3650"/>
      <c r="DA936" s="3650"/>
      <c r="DB936" s="3383"/>
    </row>
    <row r="937" spans="98:106" customFormat="1">
      <c r="CT937" s="3383"/>
      <c r="CX937" s="3383"/>
      <c r="CY937" s="3650"/>
      <c r="CZ937" s="3650"/>
      <c r="DA937" s="3650"/>
      <c r="DB937" s="3383"/>
    </row>
    <row r="938" spans="98:106" customFormat="1">
      <c r="CT938" s="3383"/>
      <c r="CX938" s="3383"/>
      <c r="CY938" s="3650"/>
      <c r="CZ938" s="3650"/>
      <c r="DA938" s="3650"/>
      <c r="DB938" s="3383"/>
    </row>
    <row r="939" spans="98:106" customFormat="1">
      <c r="CT939" s="3383"/>
      <c r="CX939" s="3383"/>
      <c r="CY939" s="3650"/>
      <c r="CZ939" s="3650"/>
      <c r="DA939" s="3650"/>
      <c r="DB939" s="3383"/>
    </row>
    <row r="940" spans="98:106" customFormat="1">
      <c r="CT940" s="3383"/>
      <c r="CX940" s="3383"/>
      <c r="CY940" s="3650"/>
      <c r="CZ940" s="3650"/>
      <c r="DA940" s="3650"/>
      <c r="DB940" s="3383"/>
    </row>
    <row r="941" spans="98:106" customFormat="1">
      <c r="CT941" s="3383"/>
      <c r="CX941" s="3383"/>
      <c r="CY941" s="3650"/>
      <c r="CZ941" s="3650"/>
      <c r="DA941" s="3650"/>
      <c r="DB941" s="3383"/>
    </row>
    <row r="942" spans="98:106" customFormat="1">
      <c r="CT942" s="3383"/>
      <c r="CX942" s="3383"/>
      <c r="CY942" s="3650"/>
      <c r="CZ942" s="3650"/>
      <c r="DA942" s="3650"/>
      <c r="DB942" s="3383"/>
    </row>
    <row r="943" spans="98:106" customFormat="1">
      <c r="CT943" s="3383"/>
      <c r="CX943" s="3383"/>
      <c r="CY943" s="3650"/>
      <c r="CZ943" s="3650"/>
      <c r="DA943" s="3650"/>
      <c r="DB943" s="3383"/>
    </row>
    <row r="944" spans="98:106" customFormat="1">
      <c r="CT944" s="3383"/>
      <c r="CX944" s="3383"/>
      <c r="CY944" s="3650"/>
      <c r="CZ944" s="3650"/>
      <c r="DA944" s="3650"/>
      <c r="DB944" s="3383"/>
    </row>
    <row r="945" spans="98:106" customFormat="1">
      <c r="CT945" s="3383"/>
      <c r="CX945" s="3383"/>
      <c r="CY945" s="3650"/>
      <c r="CZ945" s="3650"/>
      <c r="DA945" s="3650"/>
      <c r="DB945" s="3383"/>
    </row>
    <row r="946" spans="98:106" customFormat="1">
      <c r="CT946" s="3383"/>
      <c r="CX946" s="3383"/>
      <c r="CY946" s="3650"/>
      <c r="CZ946" s="3650"/>
      <c r="DA946" s="3650"/>
      <c r="DB946" s="3383"/>
    </row>
    <row r="947" spans="98:106" customFormat="1">
      <c r="CT947" s="3383"/>
      <c r="CX947" s="3383"/>
      <c r="CY947" s="3650"/>
      <c r="CZ947" s="3650"/>
      <c r="DA947" s="3650"/>
      <c r="DB947" s="3383"/>
    </row>
    <row r="948" spans="98:106" customFormat="1">
      <c r="CT948" s="3383"/>
      <c r="CX948" s="3383"/>
      <c r="CY948" s="3650"/>
      <c r="CZ948" s="3650"/>
      <c r="DA948" s="3650"/>
      <c r="DB948" s="3383"/>
    </row>
    <row r="949" spans="98:106" customFormat="1">
      <c r="CT949" s="3383"/>
      <c r="CX949" s="3383"/>
      <c r="CY949" s="3650"/>
      <c r="CZ949" s="3650"/>
      <c r="DA949" s="3650"/>
      <c r="DB949" s="3383"/>
    </row>
    <row r="950" spans="98:106" customFormat="1">
      <c r="CT950" s="3383"/>
      <c r="CX950" s="3383"/>
      <c r="CY950" s="3650"/>
      <c r="CZ950" s="3650"/>
      <c r="DA950" s="3650"/>
      <c r="DB950" s="3383"/>
    </row>
    <row r="951" spans="98:106" customFormat="1">
      <c r="CT951" s="3383"/>
      <c r="CX951" s="3383"/>
      <c r="CY951" s="3650"/>
      <c r="CZ951" s="3650"/>
      <c r="DA951" s="3650"/>
      <c r="DB951" s="3383"/>
    </row>
    <row r="952" spans="98:106" customFormat="1">
      <c r="CT952" s="3383"/>
      <c r="CX952" s="3383"/>
      <c r="CY952" s="3650"/>
      <c r="CZ952" s="3650"/>
      <c r="DA952" s="3650"/>
      <c r="DB952" s="3383"/>
    </row>
    <row r="953" spans="98:106" customFormat="1">
      <c r="CT953" s="3383"/>
      <c r="CX953" s="3383"/>
      <c r="CY953" s="3650"/>
      <c r="CZ953" s="3650"/>
      <c r="DA953" s="3650"/>
      <c r="DB953" s="3383"/>
    </row>
    <row r="954" spans="98:106" customFormat="1">
      <c r="CT954" s="3383"/>
      <c r="CX954" s="3383"/>
      <c r="CY954" s="3650"/>
      <c r="CZ954" s="3650"/>
      <c r="DA954" s="3650"/>
      <c r="DB954" s="3383"/>
    </row>
    <row r="955" spans="98:106" customFormat="1">
      <c r="CT955" s="3383"/>
      <c r="CX955" s="3383"/>
      <c r="CY955" s="3650"/>
      <c r="CZ955" s="3650"/>
      <c r="DA955" s="3650"/>
      <c r="DB955" s="3383"/>
    </row>
    <row r="956" spans="98:106" customFormat="1">
      <c r="CT956" s="3383"/>
      <c r="CX956" s="3383"/>
      <c r="CY956" s="3650"/>
      <c r="CZ956" s="3650"/>
      <c r="DA956" s="3650"/>
      <c r="DB956" s="3383"/>
    </row>
    <row r="957" spans="98:106" customFormat="1">
      <c r="CT957" s="3383"/>
      <c r="CX957" s="3383"/>
      <c r="CY957" s="3650"/>
      <c r="CZ957" s="3650"/>
      <c r="DA957" s="3650"/>
      <c r="DB957" s="3383"/>
    </row>
    <row r="958" spans="98:106" customFormat="1">
      <c r="CT958" s="3383"/>
      <c r="CX958" s="3383"/>
      <c r="CY958" s="3650"/>
      <c r="CZ958" s="3650"/>
      <c r="DA958" s="3650"/>
      <c r="DB958" s="3383"/>
    </row>
    <row r="959" spans="98:106" customFormat="1">
      <c r="CT959" s="3383"/>
      <c r="CX959" s="3383"/>
      <c r="CY959" s="3650"/>
      <c r="CZ959" s="3650"/>
      <c r="DA959" s="3650"/>
      <c r="DB959" s="3383"/>
    </row>
    <row r="960" spans="98:106" customFormat="1">
      <c r="CT960" s="3383"/>
      <c r="CX960" s="3383"/>
      <c r="CY960" s="3650"/>
      <c r="CZ960" s="3650"/>
      <c r="DA960" s="3650"/>
      <c r="DB960" s="3383"/>
    </row>
    <row r="961" spans="98:106" customFormat="1">
      <c r="CT961" s="3383"/>
      <c r="CX961" s="3383"/>
      <c r="CY961" s="3650"/>
      <c r="CZ961" s="3650"/>
      <c r="DA961" s="3650"/>
      <c r="DB961" s="3383"/>
    </row>
    <row r="962" spans="98:106" customFormat="1">
      <c r="CT962" s="3383"/>
      <c r="CX962" s="3383"/>
      <c r="CY962" s="3650"/>
      <c r="CZ962" s="3650"/>
      <c r="DA962" s="3650"/>
      <c r="DB962" s="3383"/>
    </row>
    <row r="963" spans="98:106" customFormat="1">
      <c r="CT963" s="3383"/>
      <c r="CX963" s="3383"/>
      <c r="CY963" s="3650"/>
      <c r="CZ963" s="3650"/>
      <c r="DA963" s="3650"/>
      <c r="DB963" s="3383"/>
    </row>
    <row r="964" spans="98:106" customFormat="1">
      <c r="CT964" s="3383"/>
      <c r="CX964" s="3383"/>
      <c r="CY964" s="3650"/>
      <c r="CZ964" s="3650"/>
      <c r="DA964" s="3650"/>
      <c r="DB964" s="3383"/>
    </row>
    <row r="965" spans="98:106" customFormat="1">
      <c r="CT965" s="3383"/>
      <c r="CX965" s="3383"/>
      <c r="CY965" s="3650"/>
      <c r="CZ965" s="3650"/>
      <c r="DA965" s="3650"/>
      <c r="DB965" s="3383"/>
    </row>
    <row r="966" spans="98:106" customFormat="1">
      <c r="CT966" s="3383"/>
      <c r="CX966" s="3383"/>
      <c r="CY966" s="3650"/>
      <c r="CZ966" s="3650"/>
      <c r="DA966" s="3650"/>
      <c r="DB966" s="3383"/>
    </row>
    <row r="967" spans="98:106" customFormat="1">
      <c r="CT967" s="3383"/>
      <c r="CX967" s="3383"/>
      <c r="CY967" s="3650"/>
      <c r="CZ967" s="3650"/>
      <c r="DA967" s="3650"/>
      <c r="DB967" s="3383"/>
    </row>
    <row r="968" spans="98:106" customFormat="1">
      <c r="CT968" s="3383"/>
      <c r="CX968" s="3383"/>
      <c r="CY968" s="3650"/>
      <c r="CZ968" s="3650"/>
      <c r="DA968" s="3650"/>
      <c r="DB968" s="3383"/>
    </row>
    <row r="969" spans="98:106" customFormat="1">
      <c r="CT969" s="3383"/>
      <c r="CX969" s="3383"/>
      <c r="CY969" s="3650"/>
      <c r="CZ969" s="3650"/>
      <c r="DA969" s="3650"/>
      <c r="DB969" s="3383"/>
    </row>
    <row r="970" spans="98:106" customFormat="1">
      <c r="CT970" s="3383"/>
      <c r="CX970" s="3383"/>
      <c r="CY970" s="3650"/>
      <c r="CZ970" s="3650"/>
      <c r="DA970" s="3650"/>
      <c r="DB970" s="3383"/>
    </row>
    <row r="971" spans="98:106" customFormat="1">
      <c r="CT971" s="3383"/>
      <c r="CX971" s="3383"/>
      <c r="CY971" s="3650"/>
      <c r="CZ971" s="3650"/>
      <c r="DA971" s="3650"/>
      <c r="DB971" s="3383"/>
    </row>
    <row r="972" spans="98:106" customFormat="1">
      <c r="CT972" s="3383"/>
      <c r="CX972" s="3383"/>
      <c r="CY972" s="3650"/>
      <c r="CZ972" s="3650"/>
      <c r="DA972" s="3650"/>
      <c r="DB972" s="3383"/>
    </row>
    <row r="973" spans="98:106" customFormat="1">
      <c r="CT973" s="3383"/>
      <c r="CX973" s="3383"/>
      <c r="CY973" s="3650"/>
      <c r="CZ973" s="3650"/>
      <c r="DA973" s="3650"/>
      <c r="DB973" s="3383"/>
    </row>
    <row r="974" spans="98:106" customFormat="1">
      <c r="CT974" s="3383"/>
      <c r="CX974" s="3383"/>
      <c r="CY974" s="3650"/>
      <c r="CZ974" s="3650"/>
      <c r="DA974" s="3650"/>
      <c r="DB974" s="3383"/>
    </row>
    <row r="975" spans="98:106" customFormat="1">
      <c r="CT975" s="3383"/>
      <c r="CX975" s="3383"/>
      <c r="CY975" s="3650"/>
      <c r="CZ975" s="3650"/>
      <c r="DA975" s="3650"/>
      <c r="DB975" s="3383"/>
    </row>
    <row r="976" spans="98:106" customFormat="1">
      <c r="CT976" s="3383"/>
      <c r="CX976" s="3383"/>
      <c r="CY976" s="3650"/>
      <c r="CZ976" s="3650"/>
      <c r="DA976" s="3650"/>
      <c r="DB976" s="3383"/>
    </row>
    <row r="977" spans="98:106" customFormat="1">
      <c r="CT977" s="3383"/>
      <c r="CX977" s="3383"/>
      <c r="CY977" s="3650"/>
      <c r="CZ977" s="3650"/>
      <c r="DA977" s="3650"/>
      <c r="DB977" s="3383"/>
    </row>
    <row r="978" spans="98:106" customFormat="1">
      <c r="CT978" s="3383"/>
      <c r="CX978" s="3383"/>
      <c r="CY978" s="3650"/>
      <c r="CZ978" s="3650"/>
      <c r="DA978" s="3650"/>
      <c r="DB978" s="3383"/>
    </row>
    <row r="979" spans="98:106" customFormat="1">
      <c r="CT979" s="3383"/>
      <c r="CX979" s="3383"/>
      <c r="CY979" s="3650"/>
      <c r="CZ979" s="3650"/>
      <c r="DA979" s="3650"/>
      <c r="DB979" s="3383"/>
    </row>
    <row r="980" spans="98:106" customFormat="1">
      <c r="CT980" s="3383"/>
      <c r="CX980" s="3383"/>
      <c r="CY980" s="3650"/>
      <c r="CZ980" s="3650"/>
      <c r="DA980" s="3650"/>
      <c r="DB980" s="3383"/>
    </row>
    <row r="981" spans="98:106" customFormat="1">
      <c r="CT981" s="3383"/>
      <c r="CX981" s="3383"/>
      <c r="CY981" s="3650"/>
      <c r="CZ981" s="3650"/>
      <c r="DA981" s="3650"/>
      <c r="DB981" s="3383"/>
    </row>
    <row r="982" spans="98:106" customFormat="1">
      <c r="CT982" s="3383"/>
      <c r="CX982" s="3383"/>
      <c r="CY982" s="3650"/>
      <c r="CZ982" s="3650"/>
      <c r="DA982" s="3650"/>
      <c r="DB982" s="3383"/>
    </row>
    <row r="983" spans="98:106" customFormat="1">
      <c r="CT983" s="3383"/>
      <c r="CX983" s="3383"/>
      <c r="CY983" s="3650"/>
      <c r="CZ983" s="3650"/>
      <c r="DA983" s="3650"/>
      <c r="DB983" s="3383"/>
    </row>
    <row r="984" spans="98:106" customFormat="1">
      <c r="CT984" s="3383"/>
      <c r="CX984" s="3383"/>
      <c r="CY984" s="3650"/>
      <c r="CZ984" s="3650"/>
      <c r="DA984" s="3650"/>
      <c r="DB984" s="3383"/>
    </row>
    <row r="985" spans="98:106" customFormat="1">
      <c r="CT985" s="3383"/>
      <c r="CX985" s="3383"/>
      <c r="CY985" s="3650"/>
      <c r="CZ985" s="3650"/>
      <c r="DA985" s="3650"/>
      <c r="DB985" s="3383"/>
    </row>
    <row r="986" spans="98:106" customFormat="1">
      <c r="CT986" s="3383"/>
      <c r="CX986" s="3383"/>
      <c r="CY986" s="3650"/>
      <c r="CZ986" s="3650"/>
      <c r="DA986" s="3650"/>
      <c r="DB986" s="3383"/>
    </row>
    <row r="987" spans="98:106" customFormat="1">
      <c r="CT987" s="3383"/>
      <c r="CX987" s="3383"/>
      <c r="CY987" s="3650"/>
      <c r="CZ987" s="3650"/>
      <c r="DA987" s="3650"/>
      <c r="DB987" s="3383"/>
    </row>
    <row r="988" spans="98:106" customFormat="1">
      <c r="CT988" s="3383"/>
      <c r="CX988" s="3383"/>
      <c r="CY988" s="3650"/>
      <c r="CZ988" s="3650"/>
      <c r="DA988" s="3650"/>
      <c r="DB988" s="3383"/>
    </row>
    <row r="989" spans="98:106" customFormat="1">
      <c r="CT989" s="3383"/>
      <c r="CX989" s="3383"/>
      <c r="CY989" s="3650"/>
      <c r="CZ989" s="3650"/>
      <c r="DA989" s="3650"/>
      <c r="DB989" s="3383"/>
    </row>
    <row r="990" spans="98:106" customFormat="1">
      <c r="CT990" s="3383"/>
      <c r="CX990" s="3383"/>
      <c r="CY990" s="3650"/>
      <c r="CZ990" s="3650"/>
      <c r="DA990" s="3650"/>
      <c r="DB990" s="3383"/>
    </row>
    <row r="991" spans="98:106" customFormat="1">
      <c r="CT991" s="3383"/>
      <c r="CX991" s="3383"/>
      <c r="CY991" s="3650"/>
      <c r="CZ991" s="3650"/>
      <c r="DA991" s="3650"/>
      <c r="DB991" s="3383"/>
    </row>
    <row r="992" spans="98:106" customFormat="1">
      <c r="CT992" s="3383"/>
      <c r="CX992" s="3383"/>
      <c r="CY992" s="3650"/>
      <c r="CZ992" s="3650"/>
      <c r="DA992" s="3650"/>
      <c r="DB992" s="3383"/>
    </row>
    <row r="993" spans="98:106" customFormat="1">
      <c r="CT993" s="3383"/>
      <c r="CX993" s="3383"/>
      <c r="CY993" s="3650"/>
      <c r="CZ993" s="3650"/>
      <c r="DA993" s="3650"/>
      <c r="DB993" s="3383"/>
    </row>
    <row r="994" spans="98:106" customFormat="1">
      <c r="CT994" s="3383"/>
      <c r="CX994" s="3383"/>
      <c r="CY994" s="3650"/>
      <c r="CZ994" s="3650"/>
      <c r="DA994" s="3650"/>
      <c r="DB994" s="3383"/>
    </row>
    <row r="995" spans="98:106" customFormat="1">
      <c r="CT995" s="3383"/>
      <c r="CX995" s="3383"/>
      <c r="CY995" s="3650"/>
      <c r="CZ995" s="3650"/>
      <c r="DA995" s="3650"/>
      <c r="DB995" s="3383"/>
    </row>
    <row r="996" spans="98:106" customFormat="1">
      <c r="CT996" s="3383"/>
      <c r="CX996" s="3383"/>
      <c r="CY996" s="3650"/>
      <c r="CZ996" s="3650"/>
      <c r="DA996" s="3650"/>
      <c r="DB996" s="3383"/>
    </row>
    <row r="997" spans="98:106" customFormat="1">
      <c r="CT997" s="3383"/>
      <c r="CX997" s="3383"/>
      <c r="CY997" s="3650"/>
      <c r="CZ997" s="3650"/>
      <c r="DA997" s="3650"/>
      <c r="DB997" s="3383"/>
    </row>
    <row r="998" spans="98:106" customFormat="1">
      <c r="CT998" s="3383"/>
      <c r="CX998" s="3383"/>
      <c r="CY998" s="3650"/>
      <c r="CZ998" s="3650"/>
      <c r="DA998" s="3650"/>
      <c r="DB998" s="3383"/>
    </row>
    <row r="999" spans="98:106" customFormat="1">
      <c r="CT999" s="3383"/>
      <c r="CX999" s="3383"/>
      <c r="CY999" s="3650"/>
      <c r="CZ999" s="3650"/>
      <c r="DA999" s="3650"/>
      <c r="DB999" s="3383"/>
    </row>
    <row r="1000" spans="98:106" customFormat="1">
      <c r="CT1000" s="3383"/>
      <c r="CX1000" s="3383"/>
      <c r="CY1000" s="3650"/>
      <c r="CZ1000" s="3650"/>
      <c r="DA1000" s="3650"/>
      <c r="DB1000" s="3383"/>
    </row>
    <row r="1001" spans="98:106" customFormat="1">
      <c r="CT1001" s="3383"/>
      <c r="CX1001" s="3383"/>
      <c r="CY1001" s="3650"/>
      <c r="CZ1001" s="3650"/>
      <c r="DA1001" s="3650"/>
      <c r="DB1001" s="3383"/>
    </row>
    <row r="1002" spans="98:106" customFormat="1">
      <c r="CT1002" s="3383"/>
      <c r="CX1002" s="3383"/>
      <c r="CY1002" s="3650"/>
      <c r="CZ1002" s="3650"/>
      <c r="DA1002" s="3650"/>
      <c r="DB1002" s="3383"/>
    </row>
    <row r="1003" spans="98:106" customFormat="1">
      <c r="CT1003" s="3383"/>
      <c r="CX1003" s="3383"/>
      <c r="CY1003" s="3650"/>
      <c r="CZ1003" s="3650"/>
      <c r="DA1003" s="3650"/>
      <c r="DB1003" s="3383"/>
    </row>
    <row r="1004" spans="98:106" customFormat="1">
      <c r="CT1004" s="3383"/>
      <c r="CX1004" s="3383"/>
      <c r="CY1004" s="3650"/>
      <c r="CZ1004" s="3650"/>
      <c r="DA1004" s="3650"/>
      <c r="DB1004" s="3383"/>
    </row>
    <row r="1005" spans="98:106" customFormat="1">
      <c r="CT1005" s="3383"/>
      <c r="CX1005" s="3383"/>
      <c r="CY1005" s="3650"/>
      <c r="CZ1005" s="3650"/>
      <c r="DA1005" s="3650"/>
      <c r="DB1005" s="3383"/>
    </row>
    <row r="1006" spans="98:106" customFormat="1">
      <c r="CT1006" s="3383"/>
      <c r="CX1006" s="3383"/>
      <c r="CY1006" s="3650"/>
      <c r="CZ1006" s="3650"/>
      <c r="DA1006" s="3650"/>
      <c r="DB1006" s="3383"/>
    </row>
    <row r="1007" spans="98:106" customFormat="1">
      <c r="CT1007" s="3383"/>
      <c r="CX1007" s="3383"/>
      <c r="CY1007" s="3650"/>
      <c r="CZ1007" s="3650"/>
      <c r="DA1007" s="3650"/>
      <c r="DB1007" s="3383"/>
    </row>
    <row r="1008" spans="98:106" customFormat="1">
      <c r="CT1008" s="3383"/>
      <c r="CX1008" s="3383"/>
      <c r="CY1008" s="3650"/>
      <c r="CZ1008" s="3650"/>
      <c r="DA1008" s="3650"/>
      <c r="DB1008" s="3383"/>
    </row>
    <row r="1009" spans="98:106" customFormat="1">
      <c r="CT1009" s="3383"/>
      <c r="CX1009" s="3383"/>
      <c r="CY1009" s="3650"/>
      <c r="CZ1009" s="3650"/>
      <c r="DA1009" s="3650"/>
      <c r="DB1009" s="3383"/>
    </row>
    <row r="1010" spans="98:106" customFormat="1">
      <c r="CT1010" s="3383"/>
      <c r="CX1010" s="3383"/>
      <c r="CY1010" s="3650"/>
      <c r="CZ1010" s="3650"/>
      <c r="DA1010" s="3650"/>
      <c r="DB1010" s="3383"/>
    </row>
    <row r="1011" spans="98:106" customFormat="1">
      <c r="CT1011" s="3383"/>
      <c r="CX1011" s="3383"/>
      <c r="CY1011" s="3650"/>
      <c r="CZ1011" s="3650"/>
      <c r="DA1011" s="3650"/>
      <c r="DB1011" s="3383"/>
    </row>
    <row r="1012" spans="98:106" customFormat="1">
      <c r="CT1012" s="3383"/>
      <c r="CX1012" s="3383"/>
      <c r="CY1012" s="3650"/>
      <c r="CZ1012" s="3650"/>
      <c r="DA1012" s="3650"/>
      <c r="DB1012" s="3383"/>
    </row>
    <row r="1013" spans="98:106" customFormat="1">
      <c r="CT1013" s="3383"/>
      <c r="CX1013" s="3383"/>
      <c r="CY1013" s="3650"/>
      <c r="CZ1013" s="3650"/>
      <c r="DA1013" s="3650"/>
      <c r="DB1013" s="3383"/>
    </row>
    <row r="1014" spans="98:106" customFormat="1">
      <c r="CT1014" s="3383"/>
      <c r="CX1014" s="3383"/>
      <c r="CY1014" s="3650"/>
      <c r="CZ1014" s="3650"/>
      <c r="DA1014" s="3650"/>
      <c r="DB1014" s="3383"/>
    </row>
    <row r="1015" spans="98:106" customFormat="1">
      <c r="CT1015" s="3383"/>
      <c r="CX1015" s="3383"/>
      <c r="CY1015" s="3650"/>
      <c r="CZ1015" s="3650"/>
      <c r="DA1015" s="3650"/>
      <c r="DB1015" s="3383"/>
    </row>
    <row r="1016" spans="98:106" customFormat="1">
      <c r="CT1016" s="3383"/>
      <c r="CX1016" s="3383"/>
      <c r="CY1016" s="3650"/>
      <c r="CZ1016" s="3650"/>
      <c r="DA1016" s="3650"/>
      <c r="DB1016" s="3383"/>
    </row>
    <row r="1017" spans="98:106" customFormat="1">
      <c r="CT1017" s="3383"/>
      <c r="CX1017" s="3383"/>
      <c r="CY1017" s="3650"/>
      <c r="CZ1017" s="3650"/>
      <c r="DA1017" s="3650"/>
      <c r="DB1017" s="3383"/>
    </row>
    <row r="1018" spans="98:106" customFormat="1">
      <c r="CT1018" s="3383"/>
      <c r="CX1018" s="3383"/>
      <c r="CY1018" s="3650"/>
      <c r="CZ1018" s="3650"/>
      <c r="DA1018" s="3650"/>
      <c r="DB1018" s="3383"/>
    </row>
    <row r="1019" spans="98:106" customFormat="1">
      <c r="CT1019" s="3383"/>
      <c r="CX1019" s="3383"/>
      <c r="CY1019" s="3650"/>
      <c r="CZ1019" s="3650"/>
      <c r="DA1019" s="3650"/>
      <c r="DB1019" s="3383"/>
    </row>
    <row r="1020" spans="98:106" customFormat="1">
      <c r="CT1020" s="3383"/>
      <c r="CX1020" s="3383"/>
      <c r="CY1020" s="3650"/>
      <c r="CZ1020" s="3650"/>
      <c r="DA1020" s="3650"/>
      <c r="DB1020" s="3383"/>
    </row>
    <row r="1021" spans="98:106" customFormat="1">
      <c r="CT1021" s="3383"/>
      <c r="CX1021" s="3383"/>
      <c r="CY1021" s="3650"/>
      <c r="CZ1021" s="3650"/>
      <c r="DA1021" s="3650"/>
      <c r="DB1021" s="3383"/>
    </row>
    <row r="1022" spans="98:106" customFormat="1">
      <c r="CT1022" s="3383"/>
      <c r="CX1022" s="3383"/>
      <c r="CY1022" s="3650"/>
      <c r="CZ1022" s="3650"/>
      <c r="DA1022" s="3650"/>
      <c r="DB1022" s="3383"/>
    </row>
    <row r="1023" spans="98:106" customFormat="1">
      <c r="CT1023" s="3383"/>
      <c r="CX1023" s="3383"/>
      <c r="CY1023" s="3650"/>
      <c r="CZ1023" s="3650"/>
      <c r="DA1023" s="3650"/>
      <c r="DB1023" s="3383"/>
    </row>
    <row r="1024" spans="98:106" customFormat="1">
      <c r="CT1024" s="3383"/>
      <c r="CX1024" s="3383"/>
      <c r="CY1024" s="3650"/>
      <c r="CZ1024" s="3650"/>
      <c r="DA1024" s="3650"/>
      <c r="DB1024" s="3383"/>
    </row>
    <row r="1025" spans="98:106" customFormat="1">
      <c r="CT1025" s="3383"/>
      <c r="CX1025" s="3383"/>
      <c r="CY1025" s="3650"/>
      <c r="CZ1025" s="3650"/>
      <c r="DA1025" s="3650"/>
      <c r="DB1025" s="3383"/>
    </row>
    <row r="1026" spans="98:106" customFormat="1">
      <c r="CT1026" s="3383"/>
      <c r="CX1026" s="3383"/>
      <c r="CY1026" s="3650"/>
      <c r="CZ1026" s="3650"/>
      <c r="DA1026" s="3650"/>
      <c r="DB1026" s="3383"/>
    </row>
    <row r="1027" spans="98:106" customFormat="1">
      <c r="CT1027" s="3383"/>
      <c r="CX1027" s="3383"/>
      <c r="CY1027" s="3650"/>
      <c r="CZ1027" s="3650"/>
      <c r="DA1027" s="3650"/>
      <c r="DB1027" s="3383"/>
    </row>
    <row r="1028" spans="98:106" customFormat="1">
      <c r="CT1028" s="3383"/>
      <c r="CX1028" s="3383"/>
      <c r="CY1028" s="3650"/>
      <c r="CZ1028" s="3650"/>
      <c r="DA1028" s="3650"/>
      <c r="DB1028" s="3383"/>
    </row>
    <row r="1029" spans="98:106" customFormat="1">
      <c r="CT1029" s="3383"/>
      <c r="CX1029" s="3383"/>
      <c r="CY1029" s="3650"/>
      <c r="CZ1029" s="3650"/>
      <c r="DA1029" s="3650"/>
      <c r="DB1029" s="3383"/>
    </row>
    <row r="1030" spans="98:106" customFormat="1">
      <c r="CT1030" s="3383"/>
      <c r="CX1030" s="3383"/>
      <c r="CY1030" s="3650"/>
      <c r="CZ1030" s="3650"/>
      <c r="DA1030" s="3650"/>
      <c r="DB1030" s="3383"/>
    </row>
    <row r="1031" spans="98:106" customFormat="1">
      <c r="CT1031" s="3383"/>
      <c r="CX1031" s="3383"/>
      <c r="CY1031" s="3650"/>
      <c r="CZ1031" s="3650"/>
      <c r="DA1031" s="3650"/>
      <c r="DB1031" s="3383"/>
    </row>
    <row r="1032" spans="98:106" customFormat="1">
      <c r="CT1032" s="3383"/>
      <c r="CX1032" s="3383"/>
      <c r="CY1032" s="3650"/>
      <c r="CZ1032" s="3650"/>
      <c r="DA1032" s="3650"/>
      <c r="DB1032" s="3383"/>
    </row>
    <row r="1033" spans="98:106" customFormat="1">
      <c r="CT1033" s="3383"/>
      <c r="CX1033" s="3383"/>
      <c r="CY1033" s="3650"/>
      <c r="CZ1033" s="3650"/>
      <c r="DA1033" s="3650"/>
      <c r="DB1033" s="3383"/>
    </row>
    <row r="1034" spans="98:106" customFormat="1">
      <c r="CT1034" s="3383"/>
      <c r="CX1034" s="3383"/>
      <c r="CY1034" s="3650"/>
      <c r="CZ1034" s="3650"/>
      <c r="DA1034" s="3650"/>
      <c r="DB1034" s="3383"/>
    </row>
    <row r="1035" spans="98:106" customFormat="1">
      <c r="CT1035" s="3383"/>
      <c r="CX1035" s="3383"/>
      <c r="CY1035" s="3650"/>
      <c r="CZ1035" s="3650"/>
      <c r="DA1035" s="3650"/>
      <c r="DB1035" s="3383"/>
    </row>
    <row r="1036" spans="98:106" customFormat="1">
      <c r="CT1036" s="3383"/>
      <c r="CX1036" s="3383"/>
      <c r="CY1036" s="3650"/>
      <c r="CZ1036" s="3650"/>
      <c r="DA1036" s="3650"/>
      <c r="DB1036" s="3383"/>
    </row>
    <row r="1037" spans="98:106" customFormat="1">
      <c r="CT1037" s="3383"/>
      <c r="CX1037" s="3383"/>
      <c r="CY1037" s="3650"/>
      <c r="CZ1037" s="3650"/>
      <c r="DA1037" s="3650"/>
      <c r="DB1037" s="3383"/>
    </row>
    <row r="1038" spans="98:106" customFormat="1">
      <c r="CT1038" s="3383"/>
      <c r="CX1038" s="3383"/>
      <c r="CY1038" s="3650"/>
      <c r="CZ1038" s="3650"/>
      <c r="DA1038" s="3650"/>
      <c r="DB1038" s="3383"/>
    </row>
    <row r="1039" spans="98:106" customFormat="1">
      <c r="CT1039" s="3383"/>
      <c r="CX1039" s="3383"/>
      <c r="CY1039" s="3650"/>
      <c r="CZ1039" s="3650"/>
      <c r="DA1039" s="3650"/>
      <c r="DB1039" s="3383"/>
    </row>
    <row r="1040" spans="98:106" customFormat="1">
      <c r="CT1040" s="3383"/>
      <c r="CX1040" s="3383"/>
      <c r="CY1040" s="3650"/>
      <c r="CZ1040" s="3650"/>
      <c r="DA1040" s="3650"/>
      <c r="DB1040" s="3383"/>
    </row>
    <row r="1041" spans="98:106" customFormat="1">
      <c r="CT1041" s="3383"/>
      <c r="CX1041" s="3383"/>
      <c r="CY1041" s="3650"/>
      <c r="CZ1041" s="3650"/>
      <c r="DA1041" s="3650"/>
      <c r="DB1041" s="3383"/>
    </row>
    <row r="1042" spans="98:106" customFormat="1">
      <c r="CT1042" s="3383"/>
      <c r="CX1042" s="3383"/>
      <c r="CY1042" s="3650"/>
      <c r="CZ1042" s="3650"/>
      <c r="DA1042" s="3650"/>
      <c r="DB1042" s="3383"/>
    </row>
    <row r="1043" spans="98:106" customFormat="1">
      <c r="CT1043" s="3383"/>
      <c r="CX1043" s="3383"/>
      <c r="CY1043" s="3650"/>
      <c r="CZ1043" s="3650"/>
      <c r="DA1043" s="3650"/>
      <c r="DB1043" s="3383"/>
    </row>
    <row r="1044" spans="98:106" customFormat="1">
      <c r="CT1044" s="3383"/>
      <c r="CX1044" s="3383"/>
      <c r="CY1044" s="3650"/>
      <c r="CZ1044" s="3650"/>
      <c r="DA1044" s="3650"/>
      <c r="DB1044" s="3383"/>
    </row>
    <row r="1045" spans="98:106" customFormat="1">
      <c r="CT1045" s="3383"/>
      <c r="CX1045" s="3383"/>
      <c r="CY1045" s="3650"/>
      <c r="CZ1045" s="3650"/>
      <c r="DA1045" s="3650"/>
      <c r="DB1045" s="3383"/>
    </row>
    <row r="1046" spans="98:106" customFormat="1">
      <c r="CT1046" s="3383"/>
      <c r="CX1046" s="3383"/>
      <c r="CY1046" s="3650"/>
      <c r="CZ1046" s="3650"/>
      <c r="DA1046" s="3650"/>
      <c r="DB1046" s="3383"/>
    </row>
    <row r="1047" spans="98:106" customFormat="1">
      <c r="CT1047" s="3383"/>
      <c r="CX1047" s="3383"/>
      <c r="CY1047" s="3650"/>
      <c r="CZ1047" s="3650"/>
      <c r="DA1047" s="3650"/>
      <c r="DB1047" s="3383"/>
    </row>
    <row r="1048" spans="98:106" customFormat="1">
      <c r="CT1048" s="3383"/>
      <c r="CX1048" s="3383"/>
      <c r="CY1048" s="3650"/>
      <c r="CZ1048" s="3650"/>
      <c r="DA1048" s="3650"/>
      <c r="DB1048" s="3383"/>
    </row>
    <row r="1049" spans="98:106" customFormat="1">
      <c r="CT1049" s="3383"/>
      <c r="CX1049" s="3383"/>
      <c r="CY1049" s="3650"/>
      <c r="CZ1049" s="3650"/>
      <c r="DA1049" s="3650"/>
      <c r="DB1049" s="3383"/>
    </row>
    <row r="1050" spans="98:106" customFormat="1">
      <c r="CT1050" s="3383"/>
      <c r="CX1050" s="3383"/>
      <c r="CY1050" s="3650"/>
      <c r="CZ1050" s="3650"/>
      <c r="DA1050" s="3650"/>
      <c r="DB1050" s="3383"/>
    </row>
    <row r="1051" spans="98:106" customFormat="1">
      <c r="CT1051" s="3383"/>
      <c r="CX1051" s="3383"/>
      <c r="CY1051" s="3650"/>
      <c r="CZ1051" s="3650"/>
      <c r="DA1051" s="3650"/>
      <c r="DB1051" s="3383"/>
    </row>
    <row r="1052" spans="98:106" customFormat="1">
      <c r="CT1052" s="3383"/>
      <c r="CX1052" s="3383"/>
      <c r="CY1052" s="3650"/>
      <c r="CZ1052" s="3650"/>
      <c r="DA1052" s="3650"/>
      <c r="DB1052" s="3383"/>
    </row>
    <row r="1053" spans="98:106" customFormat="1">
      <c r="CT1053" s="3383"/>
      <c r="CX1053" s="3383"/>
      <c r="CY1053" s="3650"/>
      <c r="CZ1053" s="3650"/>
      <c r="DA1053" s="3650"/>
      <c r="DB1053" s="3383"/>
    </row>
    <row r="1054" spans="98:106" customFormat="1">
      <c r="CT1054" s="3383"/>
      <c r="CX1054" s="3383"/>
      <c r="CY1054" s="3650"/>
      <c r="CZ1054" s="3650"/>
      <c r="DA1054" s="3650"/>
      <c r="DB1054" s="3383"/>
    </row>
    <row r="1055" spans="98:106" customFormat="1">
      <c r="CT1055" s="3383"/>
      <c r="CX1055" s="3383"/>
      <c r="CY1055" s="3650"/>
      <c r="CZ1055" s="3650"/>
      <c r="DA1055" s="3650"/>
      <c r="DB1055" s="3383"/>
    </row>
    <row r="1056" spans="98:106" customFormat="1">
      <c r="CT1056" s="3383"/>
      <c r="CX1056" s="3383"/>
      <c r="CY1056" s="3650"/>
      <c r="CZ1056" s="3650"/>
      <c r="DA1056" s="3650"/>
      <c r="DB1056" s="3383"/>
    </row>
    <row r="1057" spans="98:106" customFormat="1">
      <c r="CT1057" s="3383"/>
      <c r="CX1057" s="3383"/>
      <c r="CY1057" s="3650"/>
      <c r="CZ1057" s="3650"/>
      <c r="DA1057" s="3650"/>
      <c r="DB1057" s="3383"/>
    </row>
    <row r="1058" spans="98:106" customFormat="1">
      <c r="CT1058" s="3383"/>
      <c r="CX1058" s="3383"/>
      <c r="CY1058" s="3650"/>
      <c r="CZ1058" s="3650"/>
      <c r="DA1058" s="3650"/>
      <c r="DB1058" s="3383"/>
    </row>
    <row r="1059" spans="98:106" customFormat="1">
      <c r="CT1059" s="3383"/>
      <c r="CX1059" s="3383"/>
      <c r="CY1059" s="3650"/>
      <c r="CZ1059" s="3650"/>
      <c r="DA1059" s="3650"/>
      <c r="DB1059" s="3383"/>
    </row>
    <row r="1060" spans="98:106" customFormat="1">
      <c r="CT1060" s="3383"/>
      <c r="CX1060" s="3383"/>
      <c r="CY1060" s="3650"/>
      <c r="CZ1060" s="3650"/>
      <c r="DA1060" s="3650"/>
      <c r="DB1060" s="3383"/>
    </row>
    <row r="1061" spans="98:106" customFormat="1">
      <c r="CT1061" s="3383"/>
      <c r="CX1061" s="3383"/>
      <c r="CY1061" s="3650"/>
      <c r="CZ1061" s="3650"/>
      <c r="DA1061" s="3650"/>
      <c r="DB1061" s="3383"/>
    </row>
    <row r="1062" spans="98:106" customFormat="1">
      <c r="CT1062" s="3383"/>
      <c r="CX1062" s="3383"/>
      <c r="CY1062" s="3650"/>
      <c r="CZ1062" s="3650"/>
      <c r="DA1062" s="3650"/>
      <c r="DB1062" s="3383"/>
    </row>
    <row r="1063" spans="98:106" customFormat="1">
      <c r="CT1063" s="3383"/>
      <c r="CX1063" s="3383"/>
      <c r="CY1063" s="3650"/>
      <c r="CZ1063" s="3650"/>
      <c r="DA1063" s="3650"/>
      <c r="DB1063" s="3383"/>
    </row>
    <row r="1064" spans="98:106" customFormat="1">
      <c r="CT1064" s="3383"/>
      <c r="CX1064" s="3383"/>
      <c r="CY1064" s="3650"/>
      <c r="CZ1064" s="3650"/>
      <c r="DA1064" s="3650"/>
      <c r="DB1064" s="3383"/>
    </row>
    <row r="1065" spans="98:106" customFormat="1">
      <c r="CT1065" s="3383"/>
      <c r="CX1065" s="3383"/>
      <c r="CY1065" s="3650"/>
      <c r="CZ1065" s="3650"/>
      <c r="DA1065" s="3650"/>
      <c r="DB1065" s="3383"/>
    </row>
    <row r="1066" spans="98:106" customFormat="1">
      <c r="CT1066" s="3383"/>
      <c r="CX1066" s="3383"/>
      <c r="CY1066" s="3650"/>
      <c r="CZ1066" s="3650"/>
      <c r="DA1066" s="3650"/>
      <c r="DB1066" s="3383"/>
    </row>
    <row r="1067" spans="98:106" customFormat="1">
      <c r="CT1067" s="3383"/>
      <c r="CX1067" s="3383"/>
      <c r="CY1067" s="3650"/>
      <c r="CZ1067" s="3650"/>
      <c r="DA1067" s="3650"/>
      <c r="DB1067" s="3383"/>
    </row>
    <row r="1068" spans="98:106" customFormat="1">
      <c r="CT1068" s="3383"/>
      <c r="CX1068" s="3383"/>
      <c r="CY1068" s="3650"/>
      <c r="CZ1068" s="3650"/>
      <c r="DA1068" s="3650"/>
      <c r="DB1068" s="3383"/>
    </row>
    <row r="1069" spans="98:106" customFormat="1">
      <c r="CT1069" s="3383"/>
      <c r="CX1069" s="3383"/>
      <c r="CY1069" s="3650"/>
      <c r="CZ1069" s="3650"/>
      <c r="DA1069" s="3650"/>
      <c r="DB1069" s="3383"/>
    </row>
    <row r="1070" spans="98:106" customFormat="1">
      <c r="CT1070" s="3383"/>
      <c r="CX1070" s="3383"/>
      <c r="CY1070" s="3650"/>
      <c r="CZ1070" s="3650"/>
      <c r="DA1070" s="3650"/>
      <c r="DB1070" s="3383"/>
    </row>
    <row r="1071" spans="98:106" customFormat="1">
      <c r="CT1071" s="3383"/>
      <c r="CX1071" s="3383"/>
      <c r="CY1071" s="3650"/>
      <c r="CZ1071" s="3650"/>
      <c r="DA1071" s="3650"/>
      <c r="DB1071" s="3383"/>
    </row>
    <row r="1072" spans="98:106" customFormat="1">
      <c r="CT1072" s="3383"/>
      <c r="CX1072" s="3383"/>
      <c r="CY1072" s="3650"/>
      <c r="CZ1072" s="3650"/>
      <c r="DA1072" s="3650"/>
      <c r="DB1072" s="3383"/>
    </row>
    <row r="1073" spans="98:106" customFormat="1">
      <c r="CT1073" s="3383"/>
      <c r="CX1073" s="3383"/>
      <c r="CY1073" s="3650"/>
      <c r="CZ1073" s="3650"/>
      <c r="DA1073" s="3650"/>
      <c r="DB1073" s="3383"/>
    </row>
    <row r="1074" spans="98:106" customFormat="1">
      <c r="CT1074" s="3383"/>
      <c r="CX1074" s="3383"/>
      <c r="CY1074" s="3650"/>
      <c r="CZ1074" s="3650"/>
      <c r="DA1074" s="3650"/>
      <c r="DB1074" s="3383"/>
    </row>
    <row r="1075" spans="98:106" customFormat="1">
      <c r="CT1075" s="3383"/>
      <c r="CX1075" s="3383"/>
      <c r="CY1075" s="3650"/>
      <c r="CZ1075" s="3650"/>
      <c r="DA1075" s="3650"/>
      <c r="DB1075" s="3383"/>
    </row>
    <row r="1076" spans="98:106" customFormat="1">
      <c r="CT1076" s="3383"/>
      <c r="CX1076" s="3383"/>
      <c r="CY1076" s="3650"/>
      <c r="CZ1076" s="3650"/>
      <c r="DA1076" s="3650"/>
      <c r="DB1076" s="3383"/>
    </row>
    <row r="1077" spans="98:106" customFormat="1">
      <c r="CT1077" s="3383"/>
      <c r="CX1077" s="3383"/>
      <c r="CY1077" s="3650"/>
      <c r="CZ1077" s="3650"/>
      <c r="DA1077" s="3650"/>
      <c r="DB1077" s="3383"/>
    </row>
    <row r="1078" spans="98:106" customFormat="1">
      <c r="CT1078" s="3383"/>
      <c r="CX1078" s="3383"/>
      <c r="CY1078" s="3650"/>
      <c r="CZ1078" s="3650"/>
      <c r="DA1078" s="3650"/>
      <c r="DB1078" s="3383"/>
    </row>
    <row r="1079" spans="98:106" customFormat="1">
      <c r="CT1079" s="3383"/>
      <c r="CX1079" s="3383"/>
      <c r="CY1079" s="3650"/>
      <c r="CZ1079" s="3650"/>
      <c r="DA1079" s="3650"/>
      <c r="DB1079" s="3383"/>
    </row>
    <row r="1080" spans="98:106" customFormat="1">
      <c r="CT1080" s="3383"/>
      <c r="CX1080" s="3383"/>
      <c r="CY1080" s="3650"/>
      <c r="CZ1080" s="3650"/>
      <c r="DA1080" s="3650"/>
      <c r="DB1080" s="3383"/>
    </row>
    <row r="1081" spans="98:106" customFormat="1">
      <c r="CT1081" s="3383"/>
      <c r="CX1081" s="3383"/>
      <c r="CY1081" s="3650"/>
      <c r="CZ1081" s="3650"/>
      <c r="DA1081" s="3650"/>
      <c r="DB1081" s="3383"/>
    </row>
    <row r="1082" spans="98:106" customFormat="1">
      <c r="CT1082" s="3383"/>
      <c r="CX1082" s="3383"/>
      <c r="CY1082" s="3650"/>
      <c r="CZ1082" s="3650"/>
      <c r="DA1082" s="3650"/>
      <c r="DB1082" s="3383"/>
    </row>
    <row r="1083" spans="98:106" customFormat="1">
      <c r="CT1083" s="3383"/>
      <c r="CX1083" s="3383"/>
      <c r="CY1083" s="3650"/>
      <c r="CZ1083" s="3650"/>
      <c r="DA1083" s="3650"/>
      <c r="DB1083" s="3383"/>
    </row>
    <row r="1084" spans="98:106" customFormat="1">
      <c r="CT1084" s="3383"/>
      <c r="CX1084" s="3383"/>
      <c r="CY1084" s="3650"/>
      <c r="CZ1084" s="3650"/>
      <c r="DA1084" s="3650"/>
      <c r="DB1084" s="3383"/>
    </row>
    <row r="1085" spans="98:106" customFormat="1">
      <c r="CT1085" s="3383"/>
      <c r="CX1085" s="3383"/>
      <c r="CY1085" s="3650"/>
      <c r="CZ1085" s="3650"/>
      <c r="DA1085" s="3650"/>
      <c r="DB1085" s="3383"/>
    </row>
    <row r="1086" spans="98:106" customFormat="1">
      <c r="CT1086" s="3383"/>
      <c r="CX1086" s="3383"/>
      <c r="CY1086" s="3650"/>
      <c r="CZ1086" s="3650"/>
      <c r="DA1086" s="3650"/>
      <c r="DB1086" s="3383"/>
    </row>
    <row r="1087" spans="98:106" customFormat="1">
      <c r="CT1087" s="3383"/>
      <c r="CX1087" s="3383"/>
      <c r="CY1087" s="3650"/>
      <c r="CZ1087" s="3650"/>
      <c r="DA1087" s="3650"/>
      <c r="DB1087" s="3383"/>
    </row>
    <row r="1088" spans="98:106" customFormat="1">
      <c r="CT1088" s="3383"/>
      <c r="CX1088" s="3383"/>
      <c r="CY1088" s="3650"/>
      <c r="CZ1088" s="3650"/>
      <c r="DA1088" s="3650"/>
      <c r="DB1088" s="3383"/>
    </row>
    <row r="1089" spans="98:106" customFormat="1">
      <c r="CT1089" s="3383"/>
      <c r="CX1089" s="3383"/>
      <c r="CY1089" s="3650"/>
      <c r="CZ1089" s="3650"/>
      <c r="DA1089" s="3650"/>
      <c r="DB1089" s="3383"/>
    </row>
    <row r="1090" spans="98:106" customFormat="1">
      <c r="CT1090" s="3383"/>
      <c r="CX1090" s="3383"/>
      <c r="CY1090" s="3650"/>
      <c r="CZ1090" s="3650"/>
      <c r="DA1090" s="3650"/>
      <c r="DB1090" s="3383"/>
    </row>
    <row r="1091" spans="98:106" customFormat="1">
      <c r="CT1091" s="3383"/>
      <c r="CX1091" s="3383"/>
      <c r="CY1091" s="3650"/>
      <c r="CZ1091" s="3650"/>
      <c r="DA1091" s="3650"/>
      <c r="DB1091" s="3383"/>
    </row>
    <row r="1092" spans="98:106" customFormat="1">
      <c r="CT1092" s="3383"/>
      <c r="CX1092" s="3383"/>
      <c r="CY1092" s="3650"/>
      <c r="CZ1092" s="3650"/>
      <c r="DA1092" s="3650"/>
      <c r="DB1092" s="3383"/>
    </row>
    <row r="1093" spans="98:106" customFormat="1">
      <c r="CT1093" s="3383"/>
      <c r="CX1093" s="3383"/>
      <c r="CY1093" s="3650"/>
      <c r="CZ1093" s="3650"/>
      <c r="DA1093" s="3650"/>
      <c r="DB1093" s="3383"/>
    </row>
    <row r="1094" spans="98:106" customFormat="1">
      <c r="CT1094" s="3383"/>
      <c r="CX1094" s="3383"/>
      <c r="CY1094" s="3650"/>
      <c r="CZ1094" s="3650"/>
      <c r="DA1094" s="3650"/>
      <c r="DB1094" s="3383"/>
    </row>
    <row r="1095" spans="98:106" customFormat="1">
      <c r="CT1095" s="3383"/>
      <c r="CX1095" s="3383"/>
      <c r="CY1095" s="3650"/>
      <c r="CZ1095" s="3650"/>
      <c r="DA1095" s="3650"/>
      <c r="DB1095" s="3383"/>
    </row>
    <row r="1096" spans="98:106" customFormat="1">
      <c r="CT1096" s="3383"/>
      <c r="CX1096" s="3383"/>
      <c r="CY1096" s="3650"/>
      <c r="CZ1096" s="3650"/>
      <c r="DA1096" s="3650"/>
      <c r="DB1096" s="3383"/>
    </row>
    <row r="1097" spans="98:106" customFormat="1">
      <c r="CT1097" s="3383"/>
      <c r="CX1097" s="3383"/>
      <c r="CY1097" s="3650"/>
      <c r="CZ1097" s="3650"/>
      <c r="DA1097" s="3650"/>
      <c r="DB1097" s="3383"/>
    </row>
    <row r="1098" spans="98:106" customFormat="1">
      <c r="CT1098" s="3383"/>
      <c r="CX1098" s="3383"/>
      <c r="CY1098" s="3650"/>
      <c r="CZ1098" s="3650"/>
      <c r="DA1098" s="3650"/>
      <c r="DB1098" s="3383"/>
    </row>
    <row r="1099" spans="98:106" customFormat="1">
      <c r="CT1099" s="3383"/>
      <c r="CX1099" s="3383"/>
      <c r="CY1099" s="3650"/>
      <c r="CZ1099" s="3650"/>
      <c r="DA1099" s="3650"/>
      <c r="DB1099" s="3383"/>
    </row>
    <row r="1100" spans="98:106" customFormat="1">
      <c r="CT1100" s="3383"/>
      <c r="CX1100" s="3383"/>
      <c r="CY1100" s="3650"/>
      <c r="CZ1100" s="3650"/>
      <c r="DA1100" s="3650"/>
      <c r="DB1100" s="3383"/>
    </row>
    <row r="1101" spans="98:106" customFormat="1">
      <c r="CT1101" s="3383"/>
      <c r="CX1101" s="3383"/>
      <c r="CY1101" s="3650"/>
      <c r="CZ1101" s="3650"/>
      <c r="DA1101" s="3650"/>
      <c r="DB1101" s="3383"/>
    </row>
    <row r="1102" spans="98:106" customFormat="1">
      <c r="CT1102" s="3383"/>
      <c r="CX1102" s="3383"/>
      <c r="CY1102" s="3650"/>
      <c r="CZ1102" s="3650"/>
      <c r="DA1102" s="3650"/>
      <c r="DB1102" s="3383"/>
    </row>
    <row r="1103" spans="98:106" customFormat="1">
      <c r="CT1103" s="3383"/>
      <c r="CX1103" s="3383"/>
      <c r="CY1103" s="3650"/>
      <c r="CZ1103" s="3650"/>
      <c r="DA1103" s="3650"/>
      <c r="DB1103" s="3383"/>
    </row>
    <row r="1104" spans="98:106" customFormat="1">
      <c r="CT1104" s="3383"/>
      <c r="CX1104" s="3383"/>
      <c r="CY1104" s="3650"/>
      <c r="CZ1104" s="3650"/>
      <c r="DA1104" s="3650"/>
      <c r="DB1104" s="3383"/>
    </row>
    <row r="1105" spans="98:106" customFormat="1">
      <c r="CT1105" s="3383"/>
      <c r="CX1105" s="3383"/>
      <c r="CY1105" s="3650"/>
      <c r="CZ1105" s="3650"/>
      <c r="DA1105" s="3650"/>
      <c r="DB1105" s="3383"/>
    </row>
    <row r="1106" spans="98:106" customFormat="1">
      <c r="CT1106" s="3383"/>
      <c r="CX1106" s="3383"/>
      <c r="CY1106" s="3650"/>
      <c r="CZ1106" s="3650"/>
      <c r="DA1106" s="3650"/>
      <c r="DB1106" s="3383"/>
    </row>
    <row r="1107" spans="98:106" customFormat="1">
      <c r="CT1107" s="3383"/>
      <c r="CX1107" s="3383"/>
      <c r="CY1107" s="3650"/>
      <c r="CZ1107" s="3650"/>
      <c r="DA1107" s="3650"/>
      <c r="DB1107" s="3383"/>
    </row>
    <row r="1108" spans="98:106" customFormat="1">
      <c r="CT1108" s="3383"/>
      <c r="CX1108" s="3383"/>
      <c r="CY1108" s="3650"/>
      <c r="CZ1108" s="3650"/>
      <c r="DA1108" s="3650"/>
      <c r="DB1108" s="3383"/>
    </row>
    <row r="1109" spans="98:106" customFormat="1">
      <c r="CT1109" s="3383"/>
      <c r="CX1109" s="3383"/>
      <c r="CY1109" s="3650"/>
      <c r="CZ1109" s="3650"/>
      <c r="DA1109" s="3650"/>
      <c r="DB1109" s="3383"/>
    </row>
    <row r="1110" spans="98:106" customFormat="1">
      <c r="CT1110" s="3383"/>
      <c r="CX1110" s="3383"/>
      <c r="CY1110" s="3650"/>
      <c r="CZ1110" s="3650"/>
      <c r="DA1110" s="3650"/>
      <c r="DB1110" s="3383"/>
    </row>
    <row r="1111" spans="98:106" customFormat="1">
      <c r="CT1111" s="3383"/>
      <c r="CX1111" s="3383"/>
      <c r="CY1111" s="3650"/>
      <c r="CZ1111" s="3650"/>
      <c r="DA1111" s="3650"/>
      <c r="DB1111" s="3383"/>
    </row>
    <row r="1112" spans="98:106" customFormat="1">
      <c r="CT1112" s="3383"/>
      <c r="CX1112" s="3383"/>
      <c r="CY1112" s="3650"/>
      <c r="CZ1112" s="3650"/>
      <c r="DA1112" s="3650"/>
      <c r="DB1112" s="3383"/>
    </row>
    <row r="1113" spans="98:106" customFormat="1">
      <c r="CT1113" s="3383"/>
      <c r="CX1113" s="3383"/>
      <c r="CY1113" s="3650"/>
      <c r="CZ1113" s="3650"/>
      <c r="DA1113" s="3650"/>
      <c r="DB1113" s="3383"/>
    </row>
    <row r="1114" spans="98:106" customFormat="1">
      <c r="CT1114" s="3383"/>
      <c r="CX1114" s="3383"/>
      <c r="CY1114" s="3650"/>
      <c r="CZ1114" s="3650"/>
      <c r="DA1114" s="3650"/>
      <c r="DB1114" s="3383"/>
    </row>
    <row r="1115" spans="98:106" customFormat="1">
      <c r="CT1115" s="3383"/>
      <c r="CX1115" s="3383"/>
      <c r="CY1115" s="3650"/>
      <c r="CZ1115" s="3650"/>
      <c r="DA1115" s="3650"/>
      <c r="DB1115" s="3383"/>
    </row>
    <row r="1116" spans="98:106" customFormat="1">
      <c r="CT1116" s="3383"/>
      <c r="CX1116" s="3383"/>
      <c r="CY1116" s="3650"/>
      <c r="CZ1116" s="3650"/>
      <c r="DA1116" s="3650"/>
      <c r="DB1116" s="3383"/>
    </row>
    <row r="1117" spans="98:106" customFormat="1">
      <c r="CT1117" s="3383"/>
      <c r="CX1117" s="3383"/>
      <c r="CY1117" s="3650"/>
      <c r="CZ1117" s="3650"/>
      <c r="DA1117" s="3650"/>
      <c r="DB1117" s="3383"/>
    </row>
    <row r="1118" spans="98:106" customFormat="1">
      <c r="CT1118" s="3383"/>
      <c r="CX1118" s="3383"/>
      <c r="CY1118" s="3650"/>
      <c r="CZ1118" s="3650"/>
      <c r="DA1118" s="3650"/>
      <c r="DB1118" s="3383"/>
    </row>
    <row r="1119" spans="98:106" customFormat="1">
      <c r="CT1119" s="3383"/>
      <c r="CX1119" s="3383"/>
      <c r="CY1119" s="3650"/>
      <c r="CZ1119" s="3650"/>
      <c r="DA1119" s="3650"/>
      <c r="DB1119" s="3383"/>
    </row>
    <row r="1120" spans="98:106" customFormat="1">
      <c r="CT1120" s="3383"/>
      <c r="CX1120" s="3383"/>
      <c r="CY1120" s="3650"/>
      <c r="CZ1120" s="3650"/>
      <c r="DA1120" s="3650"/>
      <c r="DB1120" s="3383"/>
    </row>
    <row r="1121" spans="98:106" customFormat="1">
      <c r="CT1121" s="3383"/>
      <c r="CX1121" s="3383"/>
      <c r="CY1121" s="3650"/>
      <c r="CZ1121" s="3650"/>
      <c r="DA1121" s="3650"/>
      <c r="DB1121" s="3383"/>
    </row>
    <row r="1122" spans="98:106" customFormat="1">
      <c r="CT1122" s="3383"/>
      <c r="CX1122" s="3383"/>
      <c r="CY1122" s="3650"/>
      <c r="CZ1122" s="3650"/>
      <c r="DA1122" s="3650"/>
      <c r="DB1122" s="3383"/>
    </row>
    <row r="1123" spans="98:106" customFormat="1">
      <c r="CT1123" s="3383"/>
      <c r="CX1123" s="3383"/>
      <c r="CY1123" s="3650"/>
      <c r="CZ1123" s="3650"/>
      <c r="DA1123" s="3650"/>
      <c r="DB1123" s="3383"/>
    </row>
    <row r="1124" spans="98:106" customFormat="1">
      <c r="CT1124" s="3383"/>
      <c r="CX1124" s="3383"/>
      <c r="CY1124" s="3650"/>
      <c r="CZ1124" s="3650"/>
      <c r="DA1124" s="3650"/>
      <c r="DB1124" s="3383"/>
    </row>
    <row r="1125" spans="98:106" customFormat="1">
      <c r="CT1125" s="3383"/>
      <c r="CX1125" s="3383"/>
      <c r="CY1125" s="3650"/>
      <c r="CZ1125" s="3650"/>
      <c r="DA1125" s="3650"/>
      <c r="DB1125" s="3383"/>
    </row>
    <row r="1126" spans="98:106" customFormat="1">
      <c r="CT1126" s="3383"/>
      <c r="CX1126" s="3383"/>
      <c r="CY1126" s="3650"/>
      <c r="CZ1126" s="3650"/>
      <c r="DA1126" s="3650"/>
      <c r="DB1126" s="3383"/>
    </row>
    <row r="1127" spans="98:106" customFormat="1">
      <c r="CT1127" s="3383"/>
      <c r="CX1127" s="3383"/>
      <c r="CY1127" s="3650"/>
      <c r="CZ1127" s="3650"/>
      <c r="DA1127" s="3650"/>
      <c r="DB1127" s="3383"/>
    </row>
    <row r="1128" spans="98:106" customFormat="1">
      <c r="CT1128" s="3383"/>
      <c r="CX1128" s="3383"/>
      <c r="CY1128" s="3650"/>
      <c r="CZ1128" s="3650"/>
      <c r="DA1128" s="3650"/>
      <c r="DB1128" s="3383"/>
    </row>
    <row r="1129" spans="98:106" customFormat="1">
      <c r="CT1129" s="3383"/>
      <c r="CX1129" s="3383"/>
      <c r="CY1129" s="3650"/>
      <c r="CZ1129" s="3650"/>
      <c r="DA1129" s="3650"/>
      <c r="DB1129" s="3383"/>
    </row>
    <row r="1130" spans="98:106" customFormat="1">
      <c r="CT1130" s="3383"/>
      <c r="CX1130" s="3383"/>
      <c r="CY1130" s="3650"/>
      <c r="CZ1130" s="3650"/>
      <c r="DA1130" s="3650"/>
      <c r="DB1130" s="3383"/>
    </row>
    <row r="1131" spans="98:106" customFormat="1">
      <c r="CT1131" s="3383"/>
      <c r="CX1131" s="3383"/>
      <c r="CY1131" s="3650"/>
      <c r="CZ1131" s="3650"/>
      <c r="DA1131" s="3650"/>
      <c r="DB1131" s="3383"/>
    </row>
    <row r="1132" spans="98:106" customFormat="1">
      <c r="CT1132" s="3383"/>
      <c r="CX1132" s="3383"/>
      <c r="CY1132" s="3650"/>
      <c r="CZ1132" s="3650"/>
      <c r="DA1132" s="3650"/>
      <c r="DB1132" s="3383"/>
    </row>
    <row r="1133" spans="98:106" customFormat="1">
      <c r="CT1133" s="3383"/>
      <c r="CX1133" s="3383"/>
      <c r="CY1133" s="3650"/>
      <c r="CZ1133" s="3650"/>
      <c r="DA1133" s="3650"/>
      <c r="DB1133" s="3383"/>
    </row>
    <row r="1134" spans="98:106" customFormat="1">
      <c r="CT1134" s="3383"/>
      <c r="CX1134" s="3383"/>
      <c r="CY1134" s="3650"/>
      <c r="CZ1134" s="3650"/>
      <c r="DA1134" s="3650"/>
      <c r="DB1134" s="3383"/>
    </row>
    <row r="1135" spans="98:106" customFormat="1">
      <c r="CT1135" s="3383"/>
      <c r="CX1135" s="3383"/>
      <c r="CY1135" s="3650"/>
      <c r="CZ1135" s="3650"/>
      <c r="DA1135" s="3650"/>
      <c r="DB1135" s="3383"/>
    </row>
    <row r="1136" spans="98:106" customFormat="1">
      <c r="CT1136" s="3383"/>
      <c r="CX1136" s="3383"/>
      <c r="CY1136" s="3650"/>
      <c r="CZ1136" s="3650"/>
      <c r="DA1136" s="3650"/>
      <c r="DB1136" s="3383"/>
    </row>
    <row r="1137" spans="98:106" customFormat="1">
      <c r="CT1137" s="3383"/>
      <c r="CX1137" s="3383"/>
      <c r="CY1137" s="3650"/>
      <c r="CZ1137" s="3650"/>
      <c r="DA1137" s="3650"/>
      <c r="DB1137" s="3383"/>
    </row>
    <row r="1138" spans="98:106" customFormat="1">
      <c r="CT1138" s="3383"/>
      <c r="CX1138" s="3383"/>
      <c r="CY1138" s="3650"/>
      <c r="CZ1138" s="3650"/>
      <c r="DA1138" s="3650"/>
      <c r="DB1138" s="3383"/>
    </row>
    <row r="1139" spans="98:106" customFormat="1">
      <c r="CT1139" s="3383"/>
      <c r="CX1139" s="3383"/>
      <c r="CY1139" s="3650"/>
      <c r="CZ1139" s="3650"/>
      <c r="DA1139" s="3650"/>
      <c r="DB1139" s="3383"/>
    </row>
    <row r="1140" spans="98:106" customFormat="1">
      <c r="CT1140" s="3383"/>
      <c r="CX1140" s="3383"/>
      <c r="CY1140" s="3650"/>
      <c r="CZ1140" s="3650"/>
      <c r="DA1140" s="3650"/>
      <c r="DB1140" s="3383"/>
    </row>
    <row r="1141" spans="98:106" customFormat="1">
      <c r="CT1141" s="3383"/>
      <c r="CX1141" s="3383"/>
      <c r="CY1141" s="3650"/>
      <c r="CZ1141" s="3650"/>
      <c r="DA1141" s="3650"/>
      <c r="DB1141" s="3383"/>
    </row>
    <row r="1142" spans="98:106" customFormat="1">
      <c r="CT1142" s="3383"/>
      <c r="CX1142" s="3383"/>
      <c r="CY1142" s="3650"/>
      <c r="CZ1142" s="3650"/>
      <c r="DA1142" s="3650"/>
      <c r="DB1142" s="3383"/>
    </row>
    <row r="1143" spans="98:106" customFormat="1">
      <c r="CT1143" s="3383"/>
      <c r="CX1143" s="3383"/>
      <c r="CY1143" s="3650"/>
      <c r="CZ1143" s="3650"/>
      <c r="DA1143" s="3650"/>
      <c r="DB1143" s="3383"/>
    </row>
    <row r="1144" spans="98:106" customFormat="1">
      <c r="CT1144" s="3383"/>
      <c r="CX1144" s="3383"/>
      <c r="CY1144" s="3650"/>
      <c r="CZ1144" s="3650"/>
      <c r="DA1144" s="3650"/>
      <c r="DB1144" s="3383"/>
    </row>
    <row r="1145" spans="98:106" customFormat="1">
      <c r="CT1145" s="3383"/>
      <c r="CX1145" s="3383"/>
      <c r="CY1145" s="3650"/>
      <c r="CZ1145" s="3650"/>
      <c r="DA1145" s="3650"/>
      <c r="DB1145" s="3383"/>
    </row>
    <row r="1146" spans="98:106" customFormat="1">
      <c r="CT1146" s="3383"/>
      <c r="CX1146" s="3383"/>
      <c r="CY1146" s="3650"/>
      <c r="CZ1146" s="3650"/>
      <c r="DA1146" s="3650"/>
      <c r="DB1146" s="3383"/>
    </row>
    <row r="1147" spans="98:106" customFormat="1">
      <c r="CT1147" s="3383"/>
      <c r="CX1147" s="3383"/>
      <c r="CY1147" s="3650"/>
      <c r="CZ1147" s="3650"/>
      <c r="DA1147" s="3650"/>
      <c r="DB1147" s="3383"/>
    </row>
    <row r="1148" spans="98:106" customFormat="1">
      <c r="CT1148" s="3383"/>
      <c r="CX1148" s="3383"/>
      <c r="CY1148" s="3650"/>
      <c r="CZ1148" s="3650"/>
      <c r="DA1148" s="3650"/>
      <c r="DB1148" s="3383"/>
    </row>
    <row r="1149" spans="98:106" customFormat="1">
      <c r="CT1149" s="3383"/>
      <c r="CX1149" s="3383"/>
      <c r="CY1149" s="3650"/>
      <c r="CZ1149" s="3650"/>
      <c r="DA1149" s="3650"/>
      <c r="DB1149" s="3383"/>
    </row>
    <row r="1150" spans="98:106" customFormat="1">
      <c r="CT1150" s="3383"/>
      <c r="CX1150" s="3383"/>
      <c r="CY1150" s="3650"/>
      <c r="CZ1150" s="3650"/>
      <c r="DA1150" s="3650"/>
      <c r="DB1150" s="3383"/>
    </row>
    <row r="1151" spans="98:106" customFormat="1">
      <c r="CT1151" s="3383"/>
      <c r="CX1151" s="3383"/>
      <c r="CY1151" s="3650"/>
      <c r="CZ1151" s="3650"/>
      <c r="DA1151" s="3650"/>
      <c r="DB1151" s="3383"/>
    </row>
    <row r="1152" spans="98:106" customFormat="1">
      <c r="CT1152" s="3383"/>
      <c r="CX1152" s="3383"/>
      <c r="CY1152" s="3650"/>
      <c r="CZ1152" s="3650"/>
      <c r="DA1152" s="3650"/>
      <c r="DB1152" s="3383"/>
    </row>
    <row r="1153" spans="98:106" customFormat="1">
      <c r="CT1153" s="3383"/>
      <c r="CX1153" s="3383"/>
      <c r="CY1153" s="3650"/>
      <c r="CZ1153" s="3650"/>
      <c r="DA1153" s="3650"/>
      <c r="DB1153" s="3383"/>
    </row>
    <row r="1154" spans="98:106" customFormat="1">
      <c r="CT1154" s="3383"/>
      <c r="CX1154" s="3383"/>
      <c r="CY1154" s="3650"/>
      <c r="CZ1154" s="3650"/>
      <c r="DA1154" s="3650"/>
      <c r="DB1154" s="3383"/>
    </row>
    <row r="1155" spans="98:106" customFormat="1">
      <c r="CT1155" s="3383"/>
      <c r="CX1155" s="3383"/>
      <c r="CY1155" s="3650"/>
      <c r="CZ1155" s="3650"/>
      <c r="DA1155" s="3650"/>
      <c r="DB1155" s="3383"/>
    </row>
    <row r="1156" spans="98:106" customFormat="1">
      <c r="CT1156" s="3383"/>
      <c r="CX1156" s="3383"/>
      <c r="CY1156" s="3650"/>
      <c r="CZ1156" s="3650"/>
      <c r="DA1156" s="3650"/>
      <c r="DB1156" s="3383"/>
    </row>
    <row r="1157" spans="98:106" customFormat="1">
      <c r="CT1157" s="3383"/>
      <c r="CX1157" s="3383"/>
      <c r="CY1157" s="3650"/>
      <c r="CZ1157" s="3650"/>
      <c r="DA1157" s="3650"/>
      <c r="DB1157" s="3383"/>
    </row>
    <row r="1158" spans="98:106" customFormat="1">
      <c r="CT1158" s="3383"/>
      <c r="CX1158" s="3383"/>
      <c r="CY1158" s="3650"/>
      <c r="CZ1158" s="3650"/>
      <c r="DA1158" s="3650"/>
      <c r="DB1158" s="3383"/>
    </row>
    <row r="1159" spans="98:106" customFormat="1">
      <c r="CT1159" s="3383"/>
      <c r="CX1159" s="3383"/>
      <c r="CY1159" s="3650"/>
      <c r="CZ1159" s="3650"/>
      <c r="DA1159" s="3650"/>
      <c r="DB1159" s="3383"/>
    </row>
    <row r="1160" spans="98:106" customFormat="1">
      <c r="CT1160" s="3383"/>
      <c r="CX1160" s="3383"/>
      <c r="CY1160" s="3650"/>
      <c r="CZ1160" s="3650"/>
      <c r="DA1160" s="3650"/>
      <c r="DB1160" s="3383"/>
    </row>
    <row r="1161" spans="98:106" customFormat="1">
      <c r="CT1161" s="3383"/>
      <c r="CX1161" s="3383"/>
      <c r="CY1161" s="3650"/>
      <c r="CZ1161" s="3650"/>
      <c r="DA1161" s="3650"/>
      <c r="DB1161" s="3383"/>
    </row>
    <row r="1162" spans="98:106" customFormat="1">
      <c r="CT1162" s="3383"/>
      <c r="CX1162" s="3383"/>
      <c r="CY1162" s="3650"/>
      <c r="CZ1162" s="3650"/>
      <c r="DA1162" s="3650"/>
      <c r="DB1162" s="3383"/>
    </row>
    <row r="1163" spans="98:106" customFormat="1">
      <c r="CT1163" s="3383"/>
      <c r="CX1163" s="3383"/>
      <c r="CY1163" s="3650"/>
      <c r="CZ1163" s="3650"/>
      <c r="DA1163" s="3650"/>
      <c r="DB1163" s="3383"/>
    </row>
    <row r="1164" spans="98:106" customFormat="1">
      <c r="CT1164" s="3383"/>
      <c r="CX1164" s="3383"/>
      <c r="CY1164" s="3650"/>
      <c r="CZ1164" s="3650"/>
      <c r="DA1164" s="3650"/>
      <c r="DB1164" s="3383"/>
    </row>
    <row r="1165" spans="98:106" customFormat="1">
      <c r="CT1165" s="3383"/>
      <c r="CX1165" s="3383"/>
      <c r="CY1165" s="3650"/>
      <c r="CZ1165" s="3650"/>
      <c r="DA1165" s="3650"/>
      <c r="DB1165" s="3383"/>
    </row>
    <row r="1166" spans="98:106" customFormat="1">
      <c r="CT1166" s="3383"/>
      <c r="CX1166" s="3383"/>
      <c r="CY1166" s="3650"/>
      <c r="CZ1166" s="3650"/>
      <c r="DA1166" s="3650"/>
      <c r="DB1166" s="3383"/>
    </row>
    <row r="1167" spans="98:106" customFormat="1">
      <c r="CT1167" s="3383"/>
      <c r="CX1167" s="3383"/>
      <c r="CY1167" s="3650"/>
      <c r="CZ1167" s="3650"/>
      <c r="DA1167" s="3650"/>
      <c r="DB1167" s="3383"/>
    </row>
    <row r="1168" spans="98:106" customFormat="1">
      <c r="CT1168" s="3383"/>
      <c r="CX1168" s="3383"/>
      <c r="CY1168" s="3650"/>
      <c r="CZ1168" s="3650"/>
      <c r="DA1168" s="3650"/>
      <c r="DB1168" s="3383"/>
    </row>
    <row r="1169" spans="98:106" customFormat="1">
      <c r="CT1169" s="3383"/>
      <c r="CX1169" s="3383"/>
      <c r="CY1169" s="3650"/>
      <c r="CZ1169" s="3650"/>
      <c r="DA1169" s="3650"/>
      <c r="DB1169" s="3383"/>
    </row>
    <row r="1170" spans="98:106" customFormat="1">
      <c r="CT1170" s="3383"/>
      <c r="CX1170" s="3383"/>
      <c r="CY1170" s="3650"/>
      <c r="CZ1170" s="3650"/>
      <c r="DA1170" s="3650"/>
      <c r="DB1170" s="3383"/>
    </row>
    <row r="1171" spans="98:106" customFormat="1">
      <c r="CT1171" s="3383"/>
      <c r="CX1171" s="3383"/>
      <c r="CY1171" s="3650"/>
      <c r="CZ1171" s="3650"/>
      <c r="DA1171" s="3650"/>
      <c r="DB1171" s="3383"/>
    </row>
    <row r="1172" spans="98:106" customFormat="1">
      <c r="CT1172" s="3383"/>
      <c r="CX1172" s="3383"/>
      <c r="CY1172" s="3650"/>
      <c r="CZ1172" s="3650"/>
      <c r="DA1172" s="3650"/>
      <c r="DB1172" s="3383"/>
    </row>
    <row r="1173" spans="98:106" customFormat="1">
      <c r="CT1173" s="3383"/>
      <c r="CX1173" s="3383"/>
      <c r="CY1173" s="3650"/>
      <c r="CZ1173" s="3650"/>
      <c r="DA1173" s="3650"/>
      <c r="DB1173" s="3383"/>
    </row>
    <row r="1174" spans="98:106" customFormat="1">
      <c r="CT1174" s="3383"/>
      <c r="CX1174" s="3383"/>
      <c r="CY1174" s="3650"/>
      <c r="CZ1174" s="3650"/>
      <c r="DA1174" s="3650"/>
      <c r="DB1174" s="3383"/>
    </row>
    <row r="1175" spans="98:106" customFormat="1">
      <c r="CT1175" s="3383"/>
      <c r="CX1175" s="3383"/>
      <c r="CY1175" s="3650"/>
      <c r="CZ1175" s="3650"/>
      <c r="DA1175" s="3650"/>
      <c r="DB1175" s="3383"/>
    </row>
    <row r="1176" spans="98:106" customFormat="1">
      <c r="CT1176" s="3383"/>
      <c r="CX1176" s="3383"/>
      <c r="CY1176" s="3650"/>
      <c r="CZ1176" s="3650"/>
      <c r="DA1176" s="3650"/>
      <c r="DB1176" s="3383"/>
    </row>
    <row r="1177" spans="98:106" customFormat="1">
      <c r="CT1177" s="3383"/>
      <c r="CX1177" s="3383"/>
      <c r="CY1177" s="3650"/>
      <c r="CZ1177" s="3650"/>
      <c r="DA1177" s="3650"/>
      <c r="DB1177" s="3383"/>
    </row>
    <row r="1178" spans="98:106" customFormat="1">
      <c r="CT1178" s="3383"/>
      <c r="CX1178" s="3383"/>
      <c r="CY1178" s="3650"/>
      <c r="CZ1178" s="3650"/>
      <c r="DA1178" s="3650"/>
      <c r="DB1178" s="3383"/>
    </row>
    <row r="1179" spans="98:106" customFormat="1">
      <c r="CT1179" s="3383"/>
      <c r="CX1179" s="3383"/>
      <c r="CY1179" s="3650"/>
      <c r="CZ1179" s="3650"/>
      <c r="DA1179" s="3650"/>
      <c r="DB1179" s="3383"/>
    </row>
    <row r="1180" spans="98:106" customFormat="1">
      <c r="CT1180" s="3383"/>
      <c r="CX1180" s="3383"/>
      <c r="CY1180" s="3650"/>
      <c r="CZ1180" s="3650"/>
      <c r="DA1180" s="3650"/>
      <c r="DB1180" s="3383"/>
    </row>
    <row r="1181" spans="98:106" customFormat="1">
      <c r="CT1181" s="3383"/>
      <c r="CX1181" s="3383"/>
      <c r="CY1181" s="3650"/>
      <c r="CZ1181" s="3650"/>
      <c r="DA1181" s="3650"/>
      <c r="DB1181" s="3383"/>
    </row>
    <row r="1182" spans="98:106" customFormat="1">
      <c r="CT1182" s="3383"/>
      <c r="CX1182" s="3383"/>
      <c r="CY1182" s="3650"/>
      <c r="CZ1182" s="3650"/>
      <c r="DA1182" s="3650"/>
      <c r="DB1182" s="3383"/>
    </row>
    <row r="1183" spans="98:106" customFormat="1">
      <c r="CT1183" s="3383"/>
      <c r="CX1183" s="3383"/>
      <c r="CY1183" s="3650"/>
      <c r="CZ1183" s="3650"/>
      <c r="DA1183" s="3650"/>
      <c r="DB1183" s="3383"/>
    </row>
    <row r="1184" spans="98:106" customFormat="1">
      <c r="CT1184" s="3383"/>
      <c r="CX1184" s="3383"/>
      <c r="CY1184" s="3650"/>
      <c r="CZ1184" s="3650"/>
      <c r="DA1184" s="3650"/>
      <c r="DB1184" s="3383"/>
    </row>
    <row r="1185" spans="98:106" customFormat="1">
      <c r="CT1185" s="3383"/>
      <c r="CX1185" s="3383"/>
      <c r="CY1185" s="3650"/>
      <c r="CZ1185" s="3650"/>
      <c r="DA1185" s="3650"/>
      <c r="DB1185" s="3383"/>
    </row>
    <row r="1186" spans="98:106" customFormat="1">
      <c r="CT1186" s="3383"/>
      <c r="CX1186" s="3383"/>
      <c r="CY1186" s="3650"/>
      <c r="CZ1186" s="3650"/>
      <c r="DA1186" s="3650"/>
      <c r="DB1186" s="3383"/>
    </row>
    <row r="1187" spans="98:106" customFormat="1">
      <c r="CT1187" s="3383"/>
      <c r="CX1187" s="3383"/>
      <c r="CY1187" s="3650"/>
      <c r="CZ1187" s="3650"/>
      <c r="DA1187" s="3650"/>
      <c r="DB1187" s="3383"/>
    </row>
    <row r="1188" spans="98:106" customFormat="1">
      <c r="CT1188" s="3383"/>
      <c r="CX1188" s="3383"/>
      <c r="CY1188" s="3650"/>
      <c r="CZ1188" s="3650"/>
      <c r="DA1188" s="3650"/>
      <c r="DB1188" s="3383"/>
    </row>
    <row r="1189" spans="98:106" customFormat="1">
      <c r="CT1189" s="3383"/>
      <c r="CX1189" s="3383"/>
      <c r="CY1189" s="3650"/>
      <c r="CZ1189" s="3650"/>
      <c r="DA1189" s="3650"/>
      <c r="DB1189" s="3383"/>
    </row>
    <row r="1190" spans="98:106" customFormat="1">
      <c r="CT1190" s="3383"/>
      <c r="CX1190" s="3383"/>
      <c r="CY1190" s="3650"/>
      <c r="CZ1190" s="3650"/>
      <c r="DA1190" s="3650"/>
      <c r="DB1190" s="3383"/>
    </row>
    <row r="1191" spans="98:106" customFormat="1">
      <c r="CT1191" s="3383"/>
      <c r="CX1191" s="3383"/>
      <c r="CY1191" s="3650"/>
      <c r="CZ1191" s="3650"/>
      <c r="DA1191" s="3650"/>
      <c r="DB1191" s="3383"/>
    </row>
    <row r="1192" spans="98:106" customFormat="1">
      <c r="CT1192" s="3383"/>
      <c r="CX1192" s="3383"/>
      <c r="CY1192" s="3650"/>
      <c r="CZ1192" s="3650"/>
      <c r="DA1192" s="3650"/>
      <c r="DB1192" s="3383"/>
    </row>
    <row r="1193" spans="98:106" customFormat="1">
      <c r="CT1193" s="3383"/>
      <c r="CX1193" s="3383"/>
      <c r="CY1193" s="3650"/>
      <c r="CZ1193" s="3650"/>
      <c r="DA1193" s="3650"/>
      <c r="DB1193" s="3383"/>
    </row>
    <row r="1194" spans="98:106" customFormat="1">
      <c r="CT1194" s="3383"/>
      <c r="CX1194" s="3383"/>
      <c r="CY1194" s="3650"/>
      <c r="CZ1194" s="3650"/>
      <c r="DA1194" s="3650"/>
      <c r="DB1194" s="3383"/>
    </row>
    <row r="1195" spans="98:106" customFormat="1">
      <c r="CT1195" s="3383"/>
      <c r="CX1195" s="3383"/>
      <c r="CY1195" s="3650"/>
      <c r="CZ1195" s="3650"/>
      <c r="DA1195" s="3650"/>
      <c r="DB1195" s="3383"/>
    </row>
    <row r="1196" spans="98:106" customFormat="1">
      <c r="CT1196" s="3383"/>
      <c r="CX1196" s="3383"/>
      <c r="CY1196" s="3650"/>
      <c r="CZ1196" s="3650"/>
      <c r="DA1196" s="3650"/>
      <c r="DB1196" s="3383"/>
    </row>
    <row r="1197" spans="98:106" customFormat="1">
      <c r="CT1197" s="3383"/>
      <c r="CX1197" s="3383"/>
      <c r="CY1197" s="3650"/>
      <c r="CZ1197" s="3650"/>
      <c r="DA1197" s="3650"/>
      <c r="DB1197" s="3383"/>
    </row>
    <row r="1198" spans="98:106" customFormat="1">
      <c r="CT1198" s="3383"/>
      <c r="CX1198" s="3383"/>
      <c r="CY1198" s="3650"/>
      <c r="CZ1198" s="3650"/>
      <c r="DA1198" s="3650"/>
      <c r="DB1198" s="3383"/>
    </row>
    <row r="1199" spans="98:106" customFormat="1">
      <c r="CT1199" s="3383"/>
      <c r="CX1199" s="3383"/>
      <c r="CY1199" s="3650"/>
      <c r="CZ1199" s="3650"/>
      <c r="DA1199" s="3650"/>
      <c r="DB1199" s="3383"/>
    </row>
    <row r="1200" spans="98:106" customFormat="1">
      <c r="CT1200" s="3383"/>
      <c r="CX1200" s="3383"/>
      <c r="CY1200" s="3650"/>
      <c r="CZ1200" s="3650"/>
      <c r="DA1200" s="3650"/>
      <c r="DB1200" s="3383"/>
    </row>
    <row r="1201" spans="98:106" customFormat="1">
      <c r="CT1201" s="3383"/>
      <c r="CX1201" s="3383"/>
      <c r="CY1201" s="3650"/>
      <c r="CZ1201" s="3650"/>
      <c r="DA1201" s="3650"/>
      <c r="DB1201" s="3383"/>
    </row>
    <row r="1202" spans="98:106" customFormat="1">
      <c r="CT1202" s="3383"/>
      <c r="CX1202" s="3383"/>
      <c r="CY1202" s="3650"/>
      <c r="CZ1202" s="3650"/>
      <c r="DA1202" s="3650"/>
      <c r="DB1202" s="3383"/>
    </row>
    <row r="1203" spans="98:106" customFormat="1">
      <c r="CT1203" s="3383"/>
      <c r="CX1203" s="3383"/>
      <c r="CY1203" s="3650"/>
      <c r="CZ1203" s="3650"/>
      <c r="DA1203" s="3650"/>
      <c r="DB1203" s="3383"/>
    </row>
    <row r="1204" spans="98:106" customFormat="1">
      <c r="CT1204" s="3383"/>
      <c r="CX1204" s="3383"/>
      <c r="CY1204" s="3650"/>
      <c r="CZ1204" s="3650"/>
      <c r="DA1204" s="3650"/>
      <c r="DB1204" s="3383"/>
    </row>
    <row r="1205" spans="98:106" customFormat="1">
      <c r="CT1205" s="3383"/>
      <c r="CX1205" s="3383"/>
      <c r="CY1205" s="3650"/>
      <c r="CZ1205" s="3650"/>
      <c r="DA1205" s="3650"/>
      <c r="DB1205" s="3383"/>
    </row>
    <row r="1206" spans="98:106" customFormat="1">
      <c r="CT1206" s="3383"/>
      <c r="CX1206" s="3383"/>
      <c r="CY1206" s="3650"/>
      <c r="CZ1206" s="3650"/>
      <c r="DA1206" s="3650"/>
      <c r="DB1206" s="3383"/>
    </row>
    <row r="1207" spans="98:106" customFormat="1">
      <c r="CT1207" s="3383"/>
      <c r="CX1207" s="3383"/>
      <c r="CY1207" s="3650"/>
      <c r="CZ1207" s="3650"/>
      <c r="DA1207" s="3650"/>
      <c r="DB1207" s="3383"/>
    </row>
    <row r="1208" spans="98:106" customFormat="1">
      <c r="CT1208" s="3383"/>
      <c r="CX1208" s="3383"/>
      <c r="CY1208" s="3650"/>
      <c r="CZ1208" s="3650"/>
      <c r="DA1208" s="3650"/>
      <c r="DB1208" s="3383"/>
    </row>
    <row r="1209" spans="98:106" customFormat="1">
      <c r="CT1209" s="3383"/>
      <c r="CX1209" s="3383"/>
      <c r="CY1209" s="3650"/>
      <c r="CZ1209" s="3650"/>
      <c r="DA1209" s="3650"/>
      <c r="DB1209" s="3383"/>
    </row>
    <row r="1210" spans="98:106" customFormat="1">
      <c r="CT1210" s="3383"/>
      <c r="CX1210" s="3383"/>
      <c r="CY1210" s="3650"/>
      <c r="CZ1210" s="3650"/>
      <c r="DA1210" s="3650"/>
      <c r="DB1210" s="3383"/>
    </row>
    <row r="1211" spans="98:106" customFormat="1">
      <c r="CT1211" s="3383"/>
      <c r="CX1211" s="3383"/>
      <c r="CY1211" s="3650"/>
      <c r="CZ1211" s="3650"/>
      <c r="DA1211" s="3650"/>
      <c r="DB1211" s="3383"/>
    </row>
    <row r="1212" spans="98:106" customFormat="1">
      <c r="CT1212" s="3383"/>
      <c r="CX1212" s="3383"/>
      <c r="CY1212" s="3650"/>
      <c r="CZ1212" s="3650"/>
      <c r="DA1212" s="3650"/>
      <c r="DB1212" s="3383"/>
    </row>
    <row r="1213" spans="98:106" customFormat="1">
      <c r="CT1213" s="3383"/>
      <c r="CX1213" s="3383"/>
      <c r="CY1213" s="3650"/>
      <c r="CZ1213" s="3650"/>
      <c r="DA1213" s="3650"/>
      <c r="DB1213" s="3383"/>
    </row>
    <row r="1214" spans="98:106" customFormat="1">
      <c r="CT1214" s="3383"/>
      <c r="CX1214" s="3383"/>
      <c r="CY1214" s="3650"/>
      <c r="CZ1214" s="3650"/>
      <c r="DA1214" s="3650"/>
      <c r="DB1214" s="3383"/>
    </row>
    <row r="1215" spans="98:106" customFormat="1">
      <c r="CT1215" s="3383"/>
      <c r="CX1215" s="3383"/>
      <c r="CY1215" s="3650"/>
      <c r="CZ1215" s="3650"/>
      <c r="DA1215" s="3650"/>
      <c r="DB1215" s="3383"/>
    </row>
    <row r="1216" spans="98:106" customFormat="1">
      <c r="CT1216" s="3383"/>
      <c r="CX1216" s="3383"/>
      <c r="CY1216" s="3650"/>
      <c r="CZ1216" s="3650"/>
      <c r="DA1216" s="3650"/>
      <c r="DB1216" s="3383"/>
    </row>
    <row r="1217" spans="98:106" customFormat="1">
      <c r="CT1217" s="3383"/>
      <c r="CX1217" s="3383"/>
      <c r="CY1217" s="3650"/>
      <c r="CZ1217" s="3650"/>
      <c r="DA1217" s="3650"/>
      <c r="DB1217" s="3383"/>
    </row>
    <row r="1218" spans="98:106" customFormat="1">
      <c r="CT1218" s="3383"/>
      <c r="CX1218" s="3383"/>
      <c r="CY1218" s="3650"/>
      <c r="CZ1218" s="3650"/>
      <c r="DA1218" s="3650"/>
      <c r="DB1218" s="3383"/>
    </row>
    <row r="1219" spans="98:106" customFormat="1">
      <c r="CT1219" s="3383"/>
      <c r="CX1219" s="3383"/>
      <c r="CY1219" s="3650"/>
      <c r="CZ1219" s="3650"/>
      <c r="DA1219" s="3650"/>
      <c r="DB1219" s="3383"/>
    </row>
    <row r="1220" spans="98:106" customFormat="1">
      <c r="CT1220" s="3383"/>
      <c r="CX1220" s="3383"/>
      <c r="CY1220" s="3650"/>
      <c r="CZ1220" s="3650"/>
      <c r="DA1220" s="3650"/>
      <c r="DB1220" s="3383"/>
    </row>
    <row r="1221" spans="98:106" customFormat="1">
      <c r="CT1221" s="3383"/>
      <c r="CX1221" s="3383"/>
      <c r="CY1221" s="3650"/>
      <c r="CZ1221" s="3650"/>
      <c r="DA1221" s="3650"/>
      <c r="DB1221" s="3383"/>
    </row>
    <row r="1222" spans="98:106" customFormat="1">
      <c r="CT1222" s="3383"/>
      <c r="CX1222" s="3383"/>
      <c r="CY1222" s="3650"/>
      <c r="CZ1222" s="3650"/>
      <c r="DA1222" s="3650"/>
      <c r="DB1222" s="3383"/>
    </row>
    <row r="1223" spans="98:106" customFormat="1">
      <c r="CT1223" s="3383"/>
      <c r="CX1223" s="3383"/>
      <c r="CY1223" s="3650"/>
      <c r="CZ1223" s="3650"/>
      <c r="DA1223" s="3650"/>
      <c r="DB1223" s="3383"/>
    </row>
    <row r="1224" spans="98:106" customFormat="1">
      <c r="CT1224" s="3383"/>
      <c r="CX1224" s="3383"/>
      <c r="CY1224" s="3650"/>
      <c r="CZ1224" s="3650"/>
      <c r="DA1224" s="3650"/>
      <c r="DB1224" s="3383"/>
    </row>
    <row r="1225" spans="98:106" customFormat="1">
      <c r="CT1225" s="3383"/>
      <c r="CX1225" s="3383"/>
      <c r="CY1225" s="3650"/>
      <c r="CZ1225" s="3650"/>
      <c r="DA1225" s="3650"/>
      <c r="DB1225" s="3383"/>
    </row>
    <row r="1226" spans="98:106" customFormat="1">
      <c r="CT1226" s="3383"/>
      <c r="CX1226" s="3383"/>
      <c r="CY1226" s="3650"/>
      <c r="CZ1226" s="3650"/>
      <c r="DA1226" s="3650"/>
      <c r="DB1226" s="3383"/>
    </row>
    <row r="1227" spans="98:106" customFormat="1">
      <c r="CT1227" s="3383"/>
      <c r="CX1227" s="3383"/>
      <c r="CY1227" s="3650"/>
      <c r="CZ1227" s="3650"/>
      <c r="DA1227" s="3650"/>
      <c r="DB1227" s="3383"/>
    </row>
    <row r="1228" spans="98:106" customFormat="1">
      <c r="CT1228" s="3383"/>
      <c r="CX1228" s="3383"/>
      <c r="CY1228" s="3650"/>
      <c r="CZ1228" s="3650"/>
      <c r="DA1228" s="3650"/>
      <c r="DB1228" s="3383"/>
    </row>
    <row r="1229" spans="98:106" customFormat="1">
      <c r="CT1229" s="3383"/>
      <c r="CX1229" s="3383"/>
      <c r="CY1229" s="3650"/>
      <c r="CZ1229" s="3650"/>
      <c r="DA1229" s="3650"/>
      <c r="DB1229" s="3383"/>
    </row>
    <row r="1230" spans="98:106" customFormat="1">
      <c r="CT1230" s="3383"/>
      <c r="CX1230" s="3383"/>
      <c r="CY1230" s="3650"/>
      <c r="CZ1230" s="3650"/>
      <c r="DA1230" s="3650"/>
      <c r="DB1230" s="3383"/>
    </row>
    <row r="1231" spans="98:106" customFormat="1">
      <c r="CT1231" s="3383"/>
      <c r="CX1231" s="3383"/>
      <c r="CY1231" s="3650"/>
      <c r="CZ1231" s="3650"/>
      <c r="DA1231" s="3650"/>
      <c r="DB1231" s="3383"/>
    </row>
    <row r="1232" spans="98:106" customFormat="1">
      <c r="CT1232" s="3383"/>
      <c r="CX1232" s="3383"/>
      <c r="CY1232" s="3650"/>
      <c r="CZ1232" s="3650"/>
      <c r="DA1232" s="3650"/>
      <c r="DB1232" s="3383"/>
    </row>
    <row r="1233" spans="98:106" customFormat="1">
      <c r="CT1233" s="3383"/>
      <c r="CX1233" s="3383"/>
      <c r="CY1233" s="3650"/>
      <c r="CZ1233" s="3650"/>
      <c r="DA1233" s="3650"/>
      <c r="DB1233" s="3383"/>
    </row>
    <row r="1234" spans="98:106" customFormat="1">
      <c r="CT1234" s="3383"/>
      <c r="CX1234" s="3383"/>
      <c r="CY1234" s="3650"/>
      <c r="CZ1234" s="3650"/>
      <c r="DA1234" s="3650"/>
      <c r="DB1234" s="3383"/>
    </row>
    <row r="1235" spans="98:106" customFormat="1">
      <c r="CT1235" s="3383"/>
      <c r="CX1235" s="3383"/>
      <c r="CY1235" s="3650"/>
      <c r="CZ1235" s="3650"/>
      <c r="DA1235" s="3650"/>
      <c r="DB1235" s="3383"/>
    </row>
    <row r="1236" spans="98:106" customFormat="1">
      <c r="CT1236" s="3383"/>
      <c r="CX1236" s="3383"/>
      <c r="CY1236" s="3650"/>
      <c r="CZ1236" s="3650"/>
      <c r="DA1236" s="3650"/>
      <c r="DB1236" s="3383"/>
    </row>
    <row r="1237" spans="98:106" customFormat="1">
      <c r="CT1237" s="3383"/>
      <c r="CX1237" s="3383"/>
      <c r="CY1237" s="3650"/>
      <c r="CZ1237" s="3650"/>
      <c r="DA1237" s="3650"/>
      <c r="DB1237" s="3383"/>
    </row>
    <row r="1238" spans="98:106" customFormat="1">
      <c r="CT1238" s="3383"/>
      <c r="CX1238" s="3383"/>
      <c r="CY1238" s="3650"/>
      <c r="CZ1238" s="3650"/>
      <c r="DA1238" s="3650"/>
      <c r="DB1238" s="3383"/>
    </row>
    <row r="1239" spans="98:106" customFormat="1">
      <c r="CT1239" s="3383"/>
      <c r="CX1239" s="3383"/>
      <c r="CY1239" s="3650"/>
      <c r="CZ1239" s="3650"/>
      <c r="DA1239" s="3650"/>
      <c r="DB1239" s="3383"/>
    </row>
    <row r="1240" spans="98:106" customFormat="1">
      <c r="CT1240" s="3383"/>
      <c r="CX1240" s="3383"/>
      <c r="CY1240" s="3650"/>
      <c r="CZ1240" s="3650"/>
      <c r="DA1240" s="3650"/>
      <c r="DB1240" s="3383"/>
    </row>
    <row r="1241" spans="98:106" customFormat="1">
      <c r="CT1241" s="3383"/>
      <c r="CX1241" s="3383"/>
      <c r="CY1241" s="3650"/>
      <c r="CZ1241" s="3650"/>
      <c r="DA1241" s="3650"/>
      <c r="DB1241" s="3383"/>
    </row>
    <row r="1242" spans="98:106" customFormat="1">
      <c r="CT1242" s="3383"/>
      <c r="CX1242" s="3383"/>
      <c r="CY1242" s="3650"/>
      <c r="CZ1242" s="3650"/>
      <c r="DA1242" s="3650"/>
      <c r="DB1242" s="3383"/>
    </row>
    <row r="1243" spans="98:106" customFormat="1">
      <c r="CT1243" s="3383"/>
      <c r="CX1243" s="3383"/>
      <c r="CY1243" s="3650"/>
      <c r="CZ1243" s="3650"/>
      <c r="DA1243" s="3650"/>
      <c r="DB1243" s="3383"/>
    </row>
    <row r="1244" spans="98:106" customFormat="1">
      <c r="CT1244" s="3383"/>
      <c r="CX1244" s="3383"/>
      <c r="CY1244" s="3650"/>
      <c r="CZ1244" s="3650"/>
      <c r="DA1244" s="3650"/>
      <c r="DB1244" s="3383"/>
    </row>
    <row r="1245" spans="98:106" customFormat="1">
      <c r="CT1245" s="3383"/>
      <c r="CX1245" s="3383"/>
      <c r="CY1245" s="3650"/>
      <c r="CZ1245" s="3650"/>
      <c r="DA1245" s="3650"/>
      <c r="DB1245" s="3383"/>
    </row>
    <row r="1246" spans="98:106" customFormat="1">
      <c r="CT1246" s="3383"/>
      <c r="CX1246" s="3383"/>
      <c r="CY1246" s="3650"/>
      <c r="CZ1246" s="3650"/>
      <c r="DA1246" s="3650"/>
      <c r="DB1246" s="3383"/>
    </row>
    <row r="1247" spans="98:106" customFormat="1">
      <c r="CT1247" s="3383"/>
      <c r="CX1247" s="3383"/>
      <c r="CY1247" s="3650"/>
      <c r="CZ1247" s="3650"/>
      <c r="DA1247" s="3650"/>
      <c r="DB1247" s="3383"/>
    </row>
    <row r="1248" spans="98:106" customFormat="1">
      <c r="CT1248" s="3383"/>
      <c r="CX1248" s="3383"/>
      <c r="CY1248" s="3650"/>
      <c r="CZ1248" s="3650"/>
      <c r="DA1248" s="3650"/>
      <c r="DB1248" s="3383"/>
    </row>
    <row r="1249" spans="98:106" customFormat="1">
      <c r="CT1249" s="3383"/>
      <c r="CX1249" s="3383"/>
      <c r="CY1249" s="3650"/>
      <c r="CZ1249" s="3650"/>
      <c r="DA1249" s="3650"/>
      <c r="DB1249" s="3383"/>
    </row>
    <row r="1250" spans="98:106" customFormat="1">
      <c r="CT1250" s="3383"/>
      <c r="CX1250" s="3383"/>
      <c r="CY1250" s="3650"/>
      <c r="CZ1250" s="3650"/>
      <c r="DA1250" s="3650"/>
      <c r="DB1250" s="3383"/>
    </row>
    <row r="1251" spans="98:106" customFormat="1">
      <c r="CT1251" s="3383"/>
      <c r="CX1251" s="3383"/>
      <c r="CY1251" s="3650"/>
      <c r="CZ1251" s="3650"/>
      <c r="DA1251" s="3650"/>
      <c r="DB1251" s="3383"/>
    </row>
    <row r="1252" spans="98:106" customFormat="1">
      <c r="CT1252" s="3383"/>
      <c r="CX1252" s="3383"/>
      <c r="CY1252" s="3650"/>
      <c r="CZ1252" s="3650"/>
      <c r="DA1252" s="3650"/>
      <c r="DB1252" s="3383"/>
    </row>
    <row r="1253" spans="98:106" customFormat="1">
      <c r="CT1253" s="3383"/>
      <c r="CX1253" s="3383"/>
      <c r="CY1253" s="3650"/>
      <c r="CZ1253" s="3650"/>
      <c r="DA1253" s="3650"/>
      <c r="DB1253" s="3383"/>
    </row>
    <row r="1254" spans="98:106" customFormat="1">
      <c r="CT1254" s="3383"/>
      <c r="CX1254" s="3383"/>
      <c r="CY1254" s="3650"/>
      <c r="CZ1254" s="3650"/>
      <c r="DA1254" s="3650"/>
      <c r="DB1254" s="3383"/>
    </row>
    <row r="1255" spans="98:106" customFormat="1">
      <c r="CT1255" s="3383"/>
      <c r="CX1255" s="3383"/>
      <c r="CY1255" s="3650"/>
      <c r="CZ1255" s="3650"/>
      <c r="DA1255" s="3650"/>
      <c r="DB1255" s="3383"/>
    </row>
    <row r="1256" spans="98:106" customFormat="1">
      <c r="CT1256" s="3383"/>
      <c r="CX1256" s="3383"/>
      <c r="CY1256" s="3650"/>
      <c r="CZ1256" s="3650"/>
      <c r="DA1256" s="3650"/>
      <c r="DB1256" s="3383"/>
    </row>
    <row r="1257" spans="98:106" customFormat="1">
      <c r="CT1257" s="3383"/>
      <c r="CX1257" s="3383"/>
      <c r="CY1257" s="3650"/>
      <c r="CZ1257" s="3650"/>
      <c r="DA1257" s="3650"/>
      <c r="DB1257" s="3383"/>
    </row>
    <row r="1258" spans="98:106" customFormat="1">
      <c r="CT1258" s="3383"/>
      <c r="CX1258" s="3383"/>
      <c r="CY1258" s="3650"/>
      <c r="CZ1258" s="3650"/>
      <c r="DA1258" s="3650"/>
      <c r="DB1258" s="3383"/>
    </row>
    <row r="1259" spans="98:106" customFormat="1">
      <c r="CT1259" s="3383"/>
      <c r="CX1259" s="3383"/>
      <c r="CY1259" s="3650"/>
      <c r="CZ1259" s="3650"/>
      <c r="DA1259" s="3650"/>
      <c r="DB1259" s="3383"/>
    </row>
    <row r="1260" spans="98:106" customFormat="1">
      <c r="CT1260" s="3383"/>
      <c r="CX1260" s="3383"/>
      <c r="CY1260" s="3650"/>
      <c r="CZ1260" s="3650"/>
      <c r="DA1260" s="3650"/>
      <c r="DB1260" s="3383"/>
    </row>
    <row r="1261" spans="98:106" customFormat="1">
      <c r="CT1261" s="3383"/>
      <c r="CX1261" s="3383"/>
      <c r="CY1261" s="3650"/>
      <c r="CZ1261" s="3650"/>
      <c r="DA1261" s="3650"/>
      <c r="DB1261" s="3383"/>
    </row>
    <row r="1262" spans="98:106" customFormat="1">
      <c r="CT1262" s="3383"/>
      <c r="CX1262" s="3383"/>
      <c r="CY1262" s="3650"/>
      <c r="CZ1262" s="3650"/>
      <c r="DA1262" s="3650"/>
      <c r="DB1262" s="3383"/>
    </row>
    <row r="1263" spans="98:106" customFormat="1">
      <c r="CT1263" s="3383"/>
      <c r="CX1263" s="3383"/>
      <c r="CY1263" s="3650"/>
      <c r="CZ1263" s="3650"/>
      <c r="DA1263" s="3650"/>
      <c r="DB1263" s="3383"/>
    </row>
    <row r="1264" spans="98:106" customFormat="1">
      <c r="CT1264" s="3383"/>
      <c r="CX1264" s="3383"/>
      <c r="CY1264" s="3650"/>
      <c r="CZ1264" s="3650"/>
      <c r="DA1264" s="3650"/>
      <c r="DB1264" s="3383"/>
    </row>
    <row r="1265" spans="98:106" customFormat="1">
      <c r="CT1265" s="3383"/>
      <c r="CX1265" s="3383"/>
      <c r="CY1265" s="3650"/>
      <c r="CZ1265" s="3650"/>
      <c r="DA1265" s="3650"/>
      <c r="DB1265" s="3383"/>
    </row>
    <row r="1266" spans="98:106" customFormat="1">
      <c r="CT1266" s="3383"/>
      <c r="CX1266" s="3383"/>
      <c r="CY1266" s="3650"/>
      <c r="CZ1266" s="3650"/>
      <c r="DA1266" s="3650"/>
      <c r="DB1266" s="3383"/>
    </row>
    <row r="1267" spans="98:106" customFormat="1">
      <c r="CT1267" s="3383"/>
      <c r="CX1267" s="3383"/>
      <c r="CY1267" s="3650"/>
      <c r="CZ1267" s="3650"/>
      <c r="DA1267" s="3650"/>
      <c r="DB1267" s="3383"/>
    </row>
    <row r="1268" spans="98:106" customFormat="1">
      <c r="CT1268" s="3383"/>
      <c r="CX1268" s="3383"/>
      <c r="CY1268" s="3650"/>
      <c r="CZ1268" s="3650"/>
      <c r="DA1268" s="3650"/>
      <c r="DB1268" s="3383"/>
    </row>
    <row r="1269" spans="98:106" customFormat="1">
      <c r="CT1269" s="3383"/>
      <c r="CX1269" s="3383"/>
      <c r="CY1269" s="3650"/>
      <c r="CZ1269" s="3650"/>
      <c r="DA1269" s="3650"/>
      <c r="DB1269" s="3383"/>
    </row>
    <row r="1270" spans="98:106" customFormat="1">
      <c r="CT1270" s="3383"/>
      <c r="CX1270" s="3383"/>
      <c r="CY1270" s="3650"/>
      <c r="CZ1270" s="3650"/>
      <c r="DA1270" s="3650"/>
      <c r="DB1270" s="3383"/>
    </row>
    <row r="1271" spans="98:106" customFormat="1">
      <c r="CT1271" s="3383"/>
      <c r="CX1271" s="3383"/>
      <c r="CY1271" s="3650"/>
      <c r="CZ1271" s="3650"/>
      <c r="DA1271" s="3650"/>
      <c r="DB1271" s="3383"/>
    </row>
    <row r="1272" spans="98:106" customFormat="1">
      <c r="CT1272" s="3383"/>
      <c r="CX1272" s="3383"/>
      <c r="CY1272" s="3650"/>
      <c r="CZ1272" s="3650"/>
      <c r="DA1272" s="3650"/>
      <c r="DB1272" s="3383"/>
    </row>
    <row r="1273" spans="98:106" customFormat="1">
      <c r="CT1273" s="3383"/>
      <c r="CX1273" s="3383"/>
      <c r="CY1273" s="3650"/>
      <c r="CZ1273" s="3650"/>
      <c r="DA1273" s="3650"/>
      <c r="DB1273" s="3383"/>
    </row>
    <row r="1274" spans="98:106" customFormat="1">
      <c r="CT1274" s="3383"/>
      <c r="CX1274" s="3383"/>
      <c r="CY1274" s="3650"/>
      <c r="CZ1274" s="3650"/>
      <c r="DA1274" s="3650"/>
      <c r="DB1274" s="3383"/>
    </row>
    <row r="1275" spans="98:106" customFormat="1">
      <c r="CT1275" s="3383"/>
      <c r="CX1275" s="3383"/>
      <c r="CY1275" s="3650"/>
      <c r="CZ1275" s="3650"/>
      <c r="DA1275" s="3650"/>
      <c r="DB1275" s="3383"/>
    </row>
    <row r="1276" spans="98:106" customFormat="1">
      <c r="CT1276" s="3383"/>
      <c r="CX1276" s="3383"/>
      <c r="CY1276" s="3650"/>
      <c r="CZ1276" s="3650"/>
      <c r="DA1276" s="3650"/>
      <c r="DB1276" s="3383"/>
    </row>
    <row r="1277" spans="98:106" customFormat="1">
      <c r="CT1277" s="3383"/>
      <c r="CX1277" s="3383"/>
      <c r="CY1277" s="3650"/>
      <c r="CZ1277" s="3650"/>
      <c r="DA1277" s="3650"/>
      <c r="DB1277" s="3383"/>
    </row>
    <row r="1278" spans="98:106" customFormat="1">
      <c r="CT1278" s="3383"/>
      <c r="CX1278" s="3383"/>
      <c r="CY1278" s="3650"/>
      <c r="CZ1278" s="3650"/>
      <c r="DA1278" s="3650"/>
      <c r="DB1278" s="3383"/>
    </row>
    <row r="1279" spans="98:106" customFormat="1">
      <c r="CT1279" s="3383"/>
      <c r="CX1279" s="3383"/>
      <c r="CY1279" s="3650"/>
      <c r="CZ1279" s="3650"/>
      <c r="DA1279" s="3650"/>
      <c r="DB1279" s="3383"/>
    </row>
    <row r="1280" spans="98:106" customFormat="1">
      <c r="CT1280" s="3383"/>
      <c r="CX1280" s="3383"/>
      <c r="CY1280" s="3650"/>
      <c r="CZ1280" s="3650"/>
      <c r="DA1280" s="3650"/>
      <c r="DB1280" s="3383"/>
    </row>
    <row r="1281" spans="98:106" customFormat="1">
      <c r="CT1281" s="3383"/>
      <c r="CX1281" s="3383"/>
      <c r="CY1281" s="3650"/>
      <c r="CZ1281" s="3650"/>
      <c r="DA1281" s="3650"/>
      <c r="DB1281" s="3383"/>
    </row>
    <row r="1282" spans="98:106" customFormat="1">
      <c r="CT1282" s="3383"/>
      <c r="CX1282" s="3383"/>
      <c r="CY1282" s="3650"/>
      <c r="CZ1282" s="3650"/>
      <c r="DA1282" s="3650"/>
      <c r="DB1282" s="3383"/>
    </row>
    <row r="1283" spans="98:106" customFormat="1">
      <c r="CT1283" s="3383"/>
      <c r="CX1283" s="3383"/>
      <c r="CY1283" s="3650"/>
      <c r="CZ1283" s="3650"/>
      <c r="DA1283" s="3650"/>
      <c r="DB1283" s="3383"/>
    </row>
    <row r="1284" spans="98:106" customFormat="1">
      <c r="CT1284" s="3383"/>
      <c r="CX1284" s="3383"/>
      <c r="CY1284" s="3650"/>
      <c r="CZ1284" s="3650"/>
      <c r="DA1284" s="3650"/>
      <c r="DB1284" s="3383"/>
    </row>
    <row r="1285" spans="98:106" customFormat="1">
      <c r="CT1285" s="3383"/>
      <c r="CX1285" s="3383"/>
      <c r="CY1285" s="3650"/>
      <c r="CZ1285" s="3650"/>
      <c r="DA1285" s="3650"/>
      <c r="DB1285" s="3383"/>
    </row>
    <row r="1286" spans="98:106" customFormat="1">
      <c r="CT1286" s="3383"/>
      <c r="CX1286" s="3383"/>
      <c r="CY1286" s="3650"/>
      <c r="CZ1286" s="3650"/>
      <c r="DA1286" s="3650"/>
      <c r="DB1286" s="3383"/>
    </row>
    <row r="1287" spans="98:106" customFormat="1">
      <c r="CT1287" s="3383"/>
      <c r="CX1287" s="3383"/>
      <c r="CY1287" s="3650"/>
      <c r="CZ1287" s="3650"/>
      <c r="DA1287" s="3650"/>
      <c r="DB1287" s="3383"/>
    </row>
    <row r="1288" spans="98:106" customFormat="1">
      <c r="CT1288" s="3383"/>
      <c r="CX1288" s="3383"/>
      <c r="CY1288" s="3650"/>
      <c r="CZ1288" s="3650"/>
      <c r="DA1288" s="3650"/>
      <c r="DB1288" s="3383"/>
    </row>
    <row r="1289" spans="98:106" customFormat="1">
      <c r="CT1289" s="3383"/>
      <c r="CX1289" s="3383"/>
      <c r="CY1289" s="3650"/>
      <c r="CZ1289" s="3650"/>
      <c r="DA1289" s="3650"/>
      <c r="DB1289" s="3383"/>
    </row>
    <row r="1290" spans="98:106" customFormat="1">
      <c r="CT1290" s="3383"/>
      <c r="CX1290" s="3383"/>
      <c r="CY1290" s="3650"/>
      <c r="CZ1290" s="3650"/>
      <c r="DA1290" s="3650"/>
      <c r="DB1290" s="3383"/>
    </row>
    <row r="1291" spans="98:106" customFormat="1">
      <c r="CT1291" s="3383"/>
      <c r="CX1291" s="3383"/>
      <c r="CY1291" s="3650"/>
      <c r="CZ1291" s="3650"/>
      <c r="DA1291" s="3650"/>
      <c r="DB1291" s="3383"/>
    </row>
    <row r="1292" spans="98:106" customFormat="1">
      <c r="CT1292" s="3383"/>
      <c r="CX1292" s="3383"/>
      <c r="CY1292" s="3650"/>
      <c r="CZ1292" s="3650"/>
      <c r="DA1292" s="3650"/>
      <c r="DB1292" s="3383"/>
    </row>
    <row r="1293" spans="98:106" customFormat="1">
      <c r="CT1293" s="3383"/>
      <c r="CX1293" s="3383"/>
      <c r="CY1293" s="3650"/>
      <c r="CZ1293" s="3650"/>
      <c r="DA1293" s="3650"/>
      <c r="DB1293" s="3383"/>
    </row>
    <row r="1294" spans="98:106" customFormat="1">
      <c r="CT1294" s="3383"/>
      <c r="CX1294" s="3383"/>
      <c r="CY1294" s="3650"/>
      <c r="CZ1294" s="3650"/>
      <c r="DA1294" s="3650"/>
      <c r="DB1294" s="3383"/>
    </row>
    <row r="1295" spans="98:106" customFormat="1">
      <c r="CT1295" s="3383"/>
      <c r="CX1295" s="3383"/>
      <c r="CY1295" s="3650"/>
      <c r="CZ1295" s="3650"/>
      <c r="DA1295" s="3650"/>
      <c r="DB1295" s="3383"/>
    </row>
    <row r="1296" spans="98:106" customFormat="1">
      <c r="CT1296" s="3383"/>
      <c r="CX1296" s="3383"/>
      <c r="CY1296" s="3650"/>
      <c r="CZ1296" s="3650"/>
      <c r="DA1296" s="3650"/>
      <c r="DB1296" s="3383"/>
    </row>
    <row r="1297" spans="98:106" customFormat="1">
      <c r="CT1297" s="3383"/>
      <c r="CX1297" s="3383"/>
      <c r="CY1297" s="3650"/>
      <c r="CZ1297" s="3650"/>
      <c r="DA1297" s="3650"/>
      <c r="DB1297" s="3383"/>
    </row>
    <row r="1298" spans="98:106" customFormat="1">
      <c r="CT1298" s="3383"/>
      <c r="CX1298" s="3383"/>
      <c r="CY1298" s="3650"/>
      <c r="CZ1298" s="3650"/>
      <c r="DA1298" s="3650"/>
      <c r="DB1298" s="3383"/>
    </row>
    <row r="1299" spans="98:106" customFormat="1">
      <c r="CT1299" s="3383"/>
      <c r="CX1299" s="3383"/>
      <c r="CY1299" s="3650"/>
      <c r="CZ1299" s="3650"/>
      <c r="DA1299" s="3650"/>
      <c r="DB1299" s="3383"/>
    </row>
    <row r="1300" spans="98:106" customFormat="1">
      <c r="CT1300" s="3383"/>
      <c r="CX1300" s="3383"/>
      <c r="CY1300" s="3650"/>
      <c r="CZ1300" s="3650"/>
      <c r="DA1300" s="3650"/>
      <c r="DB1300" s="3383"/>
    </row>
    <row r="1301" spans="98:106" customFormat="1">
      <c r="CT1301" s="3383"/>
      <c r="CX1301" s="3383"/>
      <c r="CY1301" s="3650"/>
      <c r="CZ1301" s="3650"/>
      <c r="DA1301" s="3650"/>
      <c r="DB1301" s="3383"/>
    </row>
    <row r="1302" spans="98:106" customFormat="1">
      <c r="CT1302" s="3383"/>
      <c r="CX1302" s="3383"/>
      <c r="CY1302" s="3650"/>
      <c r="CZ1302" s="3650"/>
      <c r="DA1302" s="3650"/>
      <c r="DB1302" s="3383"/>
    </row>
    <row r="1303" spans="98:106" customFormat="1">
      <c r="CT1303" s="3383"/>
      <c r="CX1303" s="3383"/>
      <c r="CY1303" s="3650"/>
      <c r="CZ1303" s="3650"/>
      <c r="DA1303" s="3650"/>
      <c r="DB1303" s="3383"/>
    </row>
    <row r="1304" spans="98:106" customFormat="1">
      <c r="CT1304" s="3383"/>
      <c r="CX1304" s="3383"/>
      <c r="CY1304" s="3650"/>
      <c r="CZ1304" s="3650"/>
      <c r="DA1304" s="3650"/>
      <c r="DB1304" s="3383"/>
    </row>
    <row r="1305" spans="98:106" customFormat="1">
      <c r="CT1305" s="3383"/>
      <c r="CX1305" s="3383"/>
      <c r="CY1305" s="3650"/>
      <c r="CZ1305" s="3650"/>
      <c r="DA1305" s="3650"/>
      <c r="DB1305" s="3383"/>
    </row>
    <row r="1306" spans="98:106" customFormat="1">
      <c r="CT1306" s="3383"/>
      <c r="CX1306" s="3383"/>
      <c r="CY1306" s="3650"/>
      <c r="CZ1306" s="3650"/>
      <c r="DA1306" s="3650"/>
      <c r="DB1306" s="3383"/>
    </row>
    <row r="1307" spans="98:106" customFormat="1">
      <c r="CT1307" s="3383"/>
      <c r="CX1307" s="3383"/>
      <c r="CY1307" s="3650"/>
      <c r="CZ1307" s="3650"/>
      <c r="DA1307" s="3650"/>
      <c r="DB1307" s="3383"/>
    </row>
    <row r="1308" spans="98:106" customFormat="1">
      <c r="CT1308" s="3383"/>
      <c r="CX1308" s="3383"/>
      <c r="CY1308" s="3650"/>
      <c r="CZ1308" s="3650"/>
      <c r="DA1308" s="3650"/>
      <c r="DB1308" s="3383"/>
    </row>
    <row r="1309" spans="98:106" customFormat="1">
      <c r="CT1309" s="3383"/>
      <c r="CX1309" s="3383"/>
      <c r="CY1309" s="3650"/>
      <c r="CZ1309" s="3650"/>
      <c r="DA1309" s="3650"/>
      <c r="DB1309" s="3383"/>
    </row>
    <row r="1310" spans="98:106" customFormat="1">
      <c r="CT1310" s="3383"/>
      <c r="CX1310" s="3383"/>
      <c r="CY1310" s="3650"/>
      <c r="CZ1310" s="3650"/>
      <c r="DA1310" s="3650"/>
      <c r="DB1310" s="3383"/>
    </row>
    <row r="1311" spans="98:106" customFormat="1">
      <c r="CT1311" s="3383"/>
      <c r="CX1311" s="3383"/>
      <c r="CY1311" s="3650"/>
      <c r="CZ1311" s="3650"/>
      <c r="DA1311" s="3650"/>
      <c r="DB1311" s="3383"/>
    </row>
    <row r="1312" spans="98:106" customFormat="1">
      <c r="CT1312" s="3383"/>
      <c r="CX1312" s="3383"/>
      <c r="CY1312" s="3650"/>
      <c r="CZ1312" s="3650"/>
      <c r="DA1312" s="3650"/>
      <c r="DB1312" s="3383"/>
    </row>
    <row r="1313" spans="98:106" customFormat="1">
      <c r="CT1313" s="3383"/>
      <c r="CX1313" s="3383"/>
      <c r="CY1313" s="3650"/>
      <c r="CZ1313" s="3650"/>
      <c r="DA1313" s="3650"/>
      <c r="DB1313" s="3383"/>
    </row>
    <row r="1314" spans="98:106" customFormat="1">
      <c r="CT1314" s="3383"/>
      <c r="CX1314" s="3383"/>
      <c r="CY1314" s="3650"/>
      <c r="CZ1314" s="3650"/>
      <c r="DA1314" s="3650"/>
      <c r="DB1314" s="3383"/>
    </row>
    <row r="1315" spans="98:106" customFormat="1">
      <c r="CT1315" s="3383"/>
      <c r="CX1315" s="3383"/>
      <c r="CY1315" s="3650"/>
      <c r="CZ1315" s="3650"/>
      <c r="DA1315" s="3650"/>
      <c r="DB1315" s="3383"/>
    </row>
    <row r="1316" spans="98:106" customFormat="1">
      <c r="CT1316" s="3383"/>
      <c r="CX1316" s="3383"/>
      <c r="CY1316" s="3650"/>
      <c r="CZ1316" s="3650"/>
      <c r="DA1316" s="3650"/>
      <c r="DB1316" s="3383"/>
    </row>
    <row r="1317" spans="98:106" customFormat="1">
      <c r="CT1317" s="3383"/>
      <c r="CX1317" s="3383"/>
      <c r="CY1317" s="3650"/>
      <c r="CZ1317" s="3650"/>
      <c r="DA1317" s="3650"/>
      <c r="DB1317" s="3383"/>
    </row>
    <row r="1318" spans="98:106" customFormat="1">
      <c r="CT1318" s="3383"/>
      <c r="CX1318" s="3383"/>
      <c r="CY1318" s="3650"/>
      <c r="CZ1318" s="3650"/>
      <c r="DA1318" s="3650"/>
      <c r="DB1318" s="3383"/>
    </row>
    <row r="1319" spans="98:106" customFormat="1">
      <c r="CT1319" s="3383"/>
      <c r="CX1319" s="3383"/>
      <c r="CY1319" s="3650"/>
      <c r="CZ1319" s="3650"/>
      <c r="DA1319" s="3650"/>
      <c r="DB1319" s="3383"/>
    </row>
    <row r="1320" spans="98:106" customFormat="1">
      <c r="CT1320" s="3383"/>
      <c r="CX1320" s="3383"/>
      <c r="CY1320" s="3650"/>
      <c r="CZ1320" s="3650"/>
      <c r="DA1320" s="3650"/>
      <c r="DB1320" s="3383"/>
    </row>
    <row r="1321" spans="98:106" customFormat="1">
      <c r="CT1321" s="3383"/>
      <c r="CX1321" s="3383"/>
      <c r="CY1321" s="3650"/>
      <c r="CZ1321" s="3650"/>
      <c r="DA1321" s="3650"/>
      <c r="DB1321" s="3383"/>
    </row>
    <row r="1322" spans="98:106" customFormat="1">
      <c r="CT1322" s="3383"/>
      <c r="CX1322" s="3383"/>
      <c r="CY1322" s="3650"/>
      <c r="CZ1322" s="3650"/>
      <c r="DA1322" s="3650"/>
      <c r="DB1322" s="3383"/>
    </row>
    <row r="1323" spans="98:106" customFormat="1">
      <c r="CT1323" s="3383"/>
      <c r="CX1323" s="3383"/>
      <c r="CY1323" s="3650"/>
      <c r="CZ1323" s="3650"/>
      <c r="DA1323" s="3650"/>
      <c r="DB1323" s="3383"/>
    </row>
    <row r="1324" spans="98:106" customFormat="1">
      <c r="CT1324" s="3383"/>
      <c r="CX1324" s="3383"/>
      <c r="CY1324" s="3650"/>
      <c r="CZ1324" s="3650"/>
      <c r="DA1324" s="3650"/>
      <c r="DB1324" s="3383"/>
    </row>
    <row r="1325" spans="98:106" customFormat="1">
      <c r="CT1325" s="3383"/>
      <c r="CX1325" s="3383"/>
      <c r="CY1325" s="3650"/>
      <c r="CZ1325" s="3650"/>
      <c r="DA1325" s="3650"/>
      <c r="DB1325" s="3383"/>
    </row>
  </sheetData>
  <dataConsolidate/>
  <mergeCells count="318">
    <mergeCell ref="CE122:CH122"/>
    <mergeCell ref="CE139:CH139"/>
    <mergeCell ref="CE161:CH161"/>
    <mergeCell ref="CE196:CH196"/>
    <mergeCell ref="CE218:CH218"/>
    <mergeCell ref="CE253:CH253"/>
    <mergeCell ref="CE275:CH275"/>
    <mergeCell ref="CU4:CX4"/>
    <mergeCell ref="CU20:CX20"/>
    <mergeCell ref="CU39:CX39"/>
    <mergeCell ref="CU58:CX58"/>
    <mergeCell ref="CU99:CX99"/>
    <mergeCell ref="CU122:CX122"/>
    <mergeCell ref="CU139:CX139"/>
    <mergeCell ref="CU161:CX161"/>
    <mergeCell ref="CU196:CX196"/>
    <mergeCell ref="CU218:CX218"/>
    <mergeCell ref="CU253:CX253"/>
    <mergeCell ref="CU275:CX275"/>
    <mergeCell ref="CI139:CL139"/>
    <mergeCell ref="CI161:CL161"/>
    <mergeCell ref="CI196:CL196"/>
    <mergeCell ref="CI218:CL218"/>
    <mergeCell ref="CI253:CL253"/>
    <mergeCell ref="AA99:AD99"/>
    <mergeCell ref="AM39:AP39"/>
    <mergeCell ref="AM20:AP20"/>
    <mergeCell ref="AI20:AL20"/>
    <mergeCell ref="AM99:AP99"/>
    <mergeCell ref="AA58:AD58"/>
    <mergeCell ref="AI58:AL58"/>
    <mergeCell ref="CE4:CH4"/>
    <mergeCell ref="CE20:CH20"/>
    <mergeCell ref="CE39:CH39"/>
    <mergeCell ref="CE58:CH58"/>
    <mergeCell ref="CE99:CH99"/>
    <mergeCell ref="BC4:BF4"/>
    <mergeCell ref="AY58:BB58"/>
    <mergeCell ref="BG20:BJ20"/>
    <mergeCell ref="BG4:BJ4"/>
    <mergeCell ref="BG39:BJ39"/>
    <mergeCell ref="AY4:BB4"/>
    <mergeCell ref="AY39:BB39"/>
    <mergeCell ref="BC20:BF20"/>
    <mergeCell ref="CA4:CD4"/>
    <mergeCell ref="BW4:BZ4"/>
    <mergeCell ref="BW39:BZ39"/>
    <mergeCell ref="BS4:BV4"/>
    <mergeCell ref="C37:F37"/>
    <mergeCell ref="AI39:AL39"/>
    <mergeCell ref="O39:R39"/>
    <mergeCell ref="O4:R4"/>
    <mergeCell ref="AA20:AD20"/>
    <mergeCell ref="W20:Z20"/>
    <mergeCell ref="AA39:AD39"/>
    <mergeCell ref="S39:V39"/>
    <mergeCell ref="W39:Z39"/>
    <mergeCell ref="G39:J39"/>
    <mergeCell ref="C4:F4"/>
    <mergeCell ref="G4:J4"/>
    <mergeCell ref="K4:N4"/>
    <mergeCell ref="C18:F18"/>
    <mergeCell ref="AA4:AD4"/>
    <mergeCell ref="S4:V4"/>
    <mergeCell ref="W4:Z4"/>
    <mergeCell ref="O20:R20"/>
    <mergeCell ref="S20:V20"/>
    <mergeCell ref="K20:N20"/>
    <mergeCell ref="G20:J20"/>
    <mergeCell ref="K39:N39"/>
    <mergeCell ref="AI4:AL4"/>
    <mergeCell ref="AE4:AH4"/>
    <mergeCell ref="C97:F97"/>
    <mergeCell ref="C56:F56"/>
    <mergeCell ref="O58:R58"/>
    <mergeCell ref="G58:J58"/>
    <mergeCell ref="K58:N58"/>
    <mergeCell ref="W58:Z58"/>
    <mergeCell ref="C137:F137"/>
    <mergeCell ref="S161:V161"/>
    <mergeCell ref="W99:Z99"/>
    <mergeCell ref="S122:V122"/>
    <mergeCell ref="S99:V99"/>
    <mergeCell ref="G122:J122"/>
    <mergeCell ref="K122:N122"/>
    <mergeCell ref="C120:F120"/>
    <mergeCell ref="O99:R99"/>
    <mergeCell ref="G99:J99"/>
    <mergeCell ref="K99:N99"/>
    <mergeCell ref="S58:V58"/>
    <mergeCell ref="C159:F159"/>
    <mergeCell ref="C194:F194"/>
    <mergeCell ref="G139:J139"/>
    <mergeCell ref="G161:J161"/>
    <mergeCell ref="O161:R161"/>
    <mergeCell ref="K161:N161"/>
    <mergeCell ref="AA122:AD122"/>
    <mergeCell ref="W161:Z161"/>
    <mergeCell ref="O139:R139"/>
    <mergeCell ref="K196:N196"/>
    <mergeCell ref="S196:V196"/>
    <mergeCell ref="O122:R122"/>
    <mergeCell ref="W139:Z139"/>
    <mergeCell ref="K139:N139"/>
    <mergeCell ref="S139:V139"/>
    <mergeCell ref="W122:Z122"/>
    <mergeCell ref="AA196:AD196"/>
    <mergeCell ref="W196:Z196"/>
    <mergeCell ref="AA139:AD139"/>
    <mergeCell ref="AA161:AD161"/>
    <mergeCell ref="C273:F273"/>
    <mergeCell ref="AA218:AD218"/>
    <mergeCell ref="K218:N218"/>
    <mergeCell ref="W218:Z218"/>
    <mergeCell ref="S218:V218"/>
    <mergeCell ref="O275:R275"/>
    <mergeCell ref="O253:R253"/>
    <mergeCell ref="G196:J196"/>
    <mergeCell ref="O196:R196"/>
    <mergeCell ref="G275:J275"/>
    <mergeCell ref="K275:N275"/>
    <mergeCell ref="K253:N253"/>
    <mergeCell ref="G253:J253"/>
    <mergeCell ref="G218:J218"/>
    <mergeCell ref="O218:R218"/>
    <mergeCell ref="S275:V275"/>
    <mergeCell ref="AA275:AD275"/>
    <mergeCell ref="W253:Z253"/>
    <mergeCell ref="AA253:AD253"/>
    <mergeCell ref="W275:Z275"/>
    <mergeCell ref="S253:V253"/>
    <mergeCell ref="C251:F251"/>
    <mergeCell ref="C216:F216"/>
    <mergeCell ref="AE20:AH20"/>
    <mergeCell ref="AY20:BB20"/>
    <mergeCell ref="AY253:BB253"/>
    <mergeCell ref="AY218:BB218"/>
    <mergeCell ref="AU275:AX275"/>
    <mergeCell ref="AU253:AX253"/>
    <mergeCell ref="AU196:AX196"/>
    <mergeCell ref="AI275:AL275"/>
    <mergeCell ref="AM275:AP275"/>
    <mergeCell ref="AM253:AP253"/>
    <mergeCell ref="AI253:AL253"/>
    <mergeCell ref="AI218:AL218"/>
    <mergeCell ref="AQ218:AT218"/>
    <mergeCell ref="AI196:AL196"/>
    <mergeCell ref="AE275:AH275"/>
    <mergeCell ref="AU218:AX218"/>
    <mergeCell ref="AQ275:AT275"/>
    <mergeCell ref="AM218:AP218"/>
    <mergeCell ref="AQ253:AT253"/>
    <mergeCell ref="AQ196:AT196"/>
    <mergeCell ref="AE196:AH196"/>
    <mergeCell ref="AE253:AH253"/>
    <mergeCell ref="AE218:AH218"/>
    <mergeCell ref="AM196:AP196"/>
    <mergeCell ref="CA99:CD99"/>
    <mergeCell ref="BS99:BV99"/>
    <mergeCell ref="AI122:AL122"/>
    <mergeCell ref="AI99:AL99"/>
    <mergeCell ref="AE99:AH99"/>
    <mergeCell ref="BO139:BR139"/>
    <mergeCell ref="BO122:BR122"/>
    <mergeCell ref="BW99:BZ99"/>
    <mergeCell ref="CA161:CD161"/>
    <mergeCell ref="AE122:AH122"/>
    <mergeCell ref="AM122:AP122"/>
    <mergeCell ref="AU161:AX161"/>
    <mergeCell ref="AU139:AX139"/>
    <mergeCell ref="AE161:AH161"/>
    <mergeCell ref="AQ161:AT161"/>
    <mergeCell ref="AI161:AL161"/>
    <mergeCell ref="AM161:AP161"/>
    <mergeCell ref="CA20:CD20"/>
    <mergeCell ref="CA39:CD39"/>
    <mergeCell ref="BK20:BN20"/>
    <mergeCell ref="BW20:BZ20"/>
    <mergeCell ref="BO4:BR4"/>
    <mergeCell ref="BK4:BN4"/>
    <mergeCell ref="BK39:BN39"/>
    <mergeCell ref="BO39:BR39"/>
    <mergeCell ref="CA58:CD58"/>
    <mergeCell ref="BS20:BV20"/>
    <mergeCell ref="BS39:BV39"/>
    <mergeCell ref="BS58:BV58"/>
    <mergeCell ref="BW58:BZ58"/>
    <mergeCell ref="BO20:BR20"/>
    <mergeCell ref="AE39:AH39"/>
    <mergeCell ref="AE58:AH58"/>
    <mergeCell ref="BK122:BN122"/>
    <mergeCell ref="BK139:BN139"/>
    <mergeCell ref="BC139:BF139"/>
    <mergeCell ref="BC39:BF39"/>
    <mergeCell ref="BC99:BF99"/>
    <mergeCell ref="BC122:BF122"/>
    <mergeCell ref="BC58:BF58"/>
    <mergeCell ref="AU99:AX99"/>
    <mergeCell ref="AU39:AX39"/>
    <mergeCell ref="AQ139:AT139"/>
    <mergeCell ref="AI139:AL139"/>
    <mergeCell ref="AE139:AH139"/>
    <mergeCell ref="AM139:AP139"/>
    <mergeCell ref="AY196:BB196"/>
    <mergeCell ref="AY122:BB122"/>
    <mergeCell ref="AY161:BB161"/>
    <mergeCell ref="AQ99:AT99"/>
    <mergeCell ref="AM58:AP58"/>
    <mergeCell ref="AQ122:AT122"/>
    <mergeCell ref="AU122:AX122"/>
    <mergeCell ref="AY99:BB99"/>
    <mergeCell ref="AQ4:AT4"/>
    <mergeCell ref="AQ58:AT58"/>
    <mergeCell ref="AQ20:AT20"/>
    <mergeCell ref="AQ39:AT39"/>
    <mergeCell ref="AU4:AX4"/>
    <mergeCell ref="AU58:AX58"/>
    <mergeCell ref="AU20:AX20"/>
    <mergeCell ref="AM4:AP4"/>
    <mergeCell ref="BK196:BN196"/>
    <mergeCell ref="BS253:BV253"/>
    <mergeCell ref="BO253:BR253"/>
    <mergeCell ref="BS161:BV161"/>
    <mergeCell ref="BK161:BN161"/>
    <mergeCell ref="BO218:BR218"/>
    <mergeCell ref="BO196:BR196"/>
    <mergeCell ref="BS218:BV218"/>
    <mergeCell ref="BG139:BJ139"/>
    <mergeCell ref="BK275:BN275"/>
    <mergeCell ref="BO275:BR275"/>
    <mergeCell ref="BG253:BJ253"/>
    <mergeCell ref="AY275:BB275"/>
    <mergeCell ref="BG58:BJ58"/>
    <mergeCell ref="BO58:BR58"/>
    <mergeCell ref="BK58:BN58"/>
    <mergeCell ref="BK99:BN99"/>
    <mergeCell ref="BG275:BJ275"/>
    <mergeCell ref="BC275:BF275"/>
    <mergeCell ref="BO99:BR99"/>
    <mergeCell ref="BG122:BJ122"/>
    <mergeCell ref="BG99:BJ99"/>
    <mergeCell ref="BO161:BR161"/>
    <mergeCell ref="BG218:BJ218"/>
    <mergeCell ref="BC196:BF196"/>
    <mergeCell ref="BC161:BF161"/>
    <mergeCell ref="BG196:BJ196"/>
    <mergeCell ref="AY139:BB139"/>
    <mergeCell ref="BG161:BJ161"/>
    <mergeCell ref="BC253:BF253"/>
    <mergeCell ref="BC218:BF218"/>
    <mergeCell ref="BK253:BN253"/>
    <mergeCell ref="BK218:BN218"/>
    <mergeCell ref="CA196:CD196"/>
    <mergeCell ref="BW196:BZ196"/>
    <mergeCell ref="BS196:BV196"/>
    <mergeCell ref="BW122:BZ122"/>
    <mergeCell ref="BW161:BZ161"/>
    <mergeCell ref="BW139:BZ139"/>
    <mergeCell ref="BS139:BV139"/>
    <mergeCell ref="CA275:CD275"/>
    <mergeCell ref="BW218:BZ218"/>
    <mergeCell ref="CA218:CD218"/>
    <mergeCell ref="BW275:BZ275"/>
    <mergeCell ref="CA253:CD253"/>
    <mergeCell ref="BW253:BZ253"/>
    <mergeCell ref="CA122:CD122"/>
    <mergeCell ref="CA139:CD139"/>
    <mergeCell ref="BS275:BV275"/>
    <mergeCell ref="BS122:BV122"/>
    <mergeCell ref="CI275:CL275"/>
    <mergeCell ref="CI4:CL4"/>
    <mergeCell ref="CI20:CL20"/>
    <mergeCell ref="CI39:CL39"/>
    <mergeCell ref="CI58:CL58"/>
    <mergeCell ref="CI99:CL99"/>
    <mergeCell ref="CI122:CL122"/>
    <mergeCell ref="CM139:CP139"/>
    <mergeCell ref="CM161:CP161"/>
    <mergeCell ref="CM196:CP196"/>
    <mergeCell ref="CM218:CP218"/>
    <mergeCell ref="CM253:CP253"/>
    <mergeCell ref="CM275:CP275"/>
    <mergeCell ref="CM4:CP4"/>
    <mergeCell ref="CM20:CP20"/>
    <mergeCell ref="CM39:CP39"/>
    <mergeCell ref="CM58:CP58"/>
    <mergeCell ref="CM99:CP99"/>
    <mergeCell ref="CM122:CP122"/>
    <mergeCell ref="CQ196:CT196"/>
    <mergeCell ref="CQ218:CT218"/>
    <mergeCell ref="CQ253:CT253"/>
    <mergeCell ref="CQ275:CT275"/>
    <mergeCell ref="CQ4:CT4"/>
    <mergeCell ref="CQ20:CT20"/>
    <mergeCell ref="CQ39:CT39"/>
    <mergeCell ref="CQ58:CT58"/>
    <mergeCell ref="CQ99:CT99"/>
    <mergeCell ref="CQ122:CT122"/>
    <mergeCell ref="CQ139:CT139"/>
    <mergeCell ref="CQ161:CT161"/>
    <mergeCell ref="CY253:DB253"/>
    <mergeCell ref="CY275:DB275"/>
    <mergeCell ref="DI3:DN3"/>
    <mergeCell ref="DD4:DE4"/>
    <mergeCell ref="DF4:DG4"/>
    <mergeCell ref="DI4:DJ4"/>
    <mergeCell ref="DK4:DL4"/>
    <mergeCell ref="DM4:DN4"/>
    <mergeCell ref="CY20:DB20"/>
    <mergeCell ref="CY39:DB39"/>
    <mergeCell ref="CY58:DB58"/>
    <mergeCell ref="CY99:DB99"/>
    <mergeCell ref="CY122:DB122"/>
    <mergeCell ref="CY139:DB139"/>
    <mergeCell ref="CY161:DB161"/>
    <mergeCell ref="CY196:DB196"/>
    <mergeCell ref="CY218:DB218"/>
    <mergeCell ref="CY4:DB4"/>
  </mergeCells>
  <phoneticPr fontId="60" type="noConversion"/>
  <dataValidations disablePrompts="1" count="1">
    <dataValidation type="list" allowBlank="1" showInputMessage="1" showErrorMessage="1" sqref="F170 F241 F227 F184 F87 F70">
      <formula1>$A$1:$A$2</formula1>
    </dataValidation>
  </dataValidations>
  <pageMargins left="0.75" right="0.75" top="1" bottom="1" header="0.5" footer="0.5"/>
  <pageSetup paperSize="9" scale="10" orientation="landscape" r:id="rId1"/>
  <headerFooter alignWithMargins="0"/>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6" enableFormatConditionsCalculation="0">
    <tabColor indexed="42"/>
  </sheetPr>
  <dimension ref="A1:N354"/>
  <sheetViews>
    <sheetView showGridLines="0" topLeftCell="A175" zoomScale="108" workbookViewId="0">
      <selection activeCell="T361" sqref="T361"/>
    </sheetView>
  </sheetViews>
  <sheetFormatPr defaultRowHeight="12.75"/>
  <sheetData>
    <row r="1" spans="1:14">
      <c r="A1" s="1503"/>
      <c r="B1" s="1503"/>
      <c r="C1" s="1503"/>
      <c r="D1" s="1503"/>
      <c r="E1" s="1503"/>
      <c r="F1" s="1503"/>
      <c r="G1" s="1503"/>
      <c r="H1" s="1503"/>
      <c r="I1" s="1503"/>
      <c r="J1" s="1503"/>
      <c r="K1" s="1503"/>
      <c r="L1" s="1503"/>
      <c r="M1" s="1503"/>
      <c r="N1" s="1503"/>
    </row>
    <row r="2" spans="1:14" ht="18">
      <c r="A2" s="1504" t="s">
        <v>876</v>
      </c>
      <c r="B2" s="1503"/>
      <c r="C2" s="1503"/>
      <c r="D2" s="1503"/>
      <c r="E2" s="1503"/>
      <c r="F2" s="1503"/>
      <c r="G2" s="1503"/>
      <c r="H2" s="1503"/>
      <c r="I2" s="1503"/>
      <c r="J2" s="1503"/>
      <c r="K2" s="1503"/>
      <c r="L2" s="1503"/>
      <c r="M2" s="1503"/>
      <c r="N2" s="1503"/>
    </row>
    <row r="3" spans="1:14">
      <c r="A3" s="1503"/>
      <c r="B3" s="1503"/>
      <c r="C3" s="1503"/>
      <c r="D3" s="1503"/>
      <c r="E3" s="1503"/>
      <c r="F3" s="1503"/>
      <c r="G3" s="1503"/>
      <c r="H3" s="1503"/>
      <c r="I3" s="1503"/>
      <c r="J3" s="1503"/>
      <c r="K3" s="1503"/>
      <c r="L3" s="1503"/>
      <c r="M3" s="1503"/>
      <c r="N3" s="1503"/>
    </row>
    <row r="40" spans="1:14">
      <c r="A40" s="1503"/>
      <c r="B40" s="1503"/>
      <c r="C40" s="1503"/>
      <c r="D40" s="1503"/>
      <c r="E40" s="1503"/>
      <c r="F40" s="1503"/>
      <c r="G40" s="1503"/>
      <c r="H40" s="1503"/>
      <c r="I40" s="1503"/>
      <c r="J40" s="1503"/>
      <c r="K40" s="1503"/>
      <c r="L40" s="1503"/>
      <c r="M40" s="1503"/>
      <c r="N40" s="1503"/>
    </row>
    <row r="41" spans="1:14" ht="18">
      <c r="A41" s="1504" t="s">
        <v>1674</v>
      </c>
      <c r="B41" s="1503"/>
      <c r="C41" s="1503"/>
      <c r="D41" s="1503"/>
      <c r="E41" s="1503"/>
      <c r="F41" s="1503"/>
      <c r="G41" s="1503"/>
      <c r="H41" s="1503"/>
      <c r="I41" s="1503"/>
      <c r="J41" s="1503"/>
      <c r="K41" s="1503"/>
      <c r="L41" s="1503"/>
      <c r="M41" s="1503"/>
      <c r="N41" s="1503"/>
    </row>
    <row r="42" spans="1:14">
      <c r="A42" s="1503"/>
      <c r="B42" s="1503"/>
      <c r="C42" s="1503"/>
      <c r="D42" s="1503"/>
      <c r="E42" s="1503"/>
      <c r="F42" s="1503"/>
      <c r="G42" s="1503"/>
      <c r="H42" s="1503"/>
      <c r="I42" s="1503"/>
      <c r="J42" s="1503"/>
      <c r="K42" s="1503"/>
      <c r="L42" s="1503"/>
      <c r="M42" s="1503"/>
      <c r="N42" s="1503"/>
    </row>
    <row r="79" spans="1:14">
      <c r="A79" s="1503"/>
      <c r="B79" s="1503"/>
      <c r="C79" s="1503"/>
      <c r="D79" s="1503"/>
      <c r="E79" s="1503"/>
      <c r="F79" s="1503"/>
      <c r="G79" s="1503"/>
      <c r="H79" s="1503"/>
      <c r="I79" s="1503"/>
      <c r="J79" s="1503"/>
      <c r="K79" s="1503"/>
      <c r="L79" s="1503"/>
      <c r="M79" s="1503"/>
      <c r="N79" s="1503"/>
    </row>
    <row r="80" spans="1:14" ht="18">
      <c r="A80" s="1504" t="s">
        <v>877</v>
      </c>
      <c r="B80" s="1503"/>
      <c r="C80" s="1503"/>
      <c r="D80" s="1503"/>
      <c r="E80" s="1503"/>
      <c r="F80" s="1503"/>
      <c r="G80" s="1503"/>
      <c r="H80" s="1503"/>
      <c r="I80" s="1503"/>
      <c r="J80" s="1503"/>
      <c r="K80" s="1503"/>
      <c r="L80" s="1503"/>
      <c r="M80" s="1503"/>
      <c r="N80" s="1503"/>
    </row>
    <row r="81" spans="1:14">
      <c r="A81" s="1503"/>
      <c r="B81" s="1503"/>
      <c r="C81" s="1503"/>
      <c r="D81" s="1503"/>
      <c r="E81" s="1503"/>
      <c r="F81" s="1503"/>
      <c r="G81" s="1503"/>
      <c r="H81" s="1503"/>
      <c r="I81" s="1503"/>
      <c r="J81" s="1503"/>
      <c r="K81" s="1503"/>
      <c r="L81" s="1503"/>
      <c r="M81" s="1503"/>
      <c r="N81" s="1503"/>
    </row>
    <row r="118" spans="1:14">
      <c r="A118" s="1503"/>
      <c r="B118" s="1503"/>
      <c r="C118" s="1503"/>
      <c r="D118" s="1503"/>
      <c r="E118" s="1503"/>
      <c r="F118" s="1503"/>
      <c r="G118" s="1503"/>
      <c r="H118" s="1503"/>
      <c r="I118" s="1503"/>
      <c r="J118" s="1503"/>
      <c r="K118" s="1503"/>
      <c r="L118" s="1503"/>
      <c r="M118" s="1503"/>
      <c r="N118" s="1503"/>
    </row>
    <row r="119" spans="1:14" ht="18">
      <c r="A119" s="1504" t="s">
        <v>1666</v>
      </c>
      <c r="B119" s="1503"/>
      <c r="C119" s="1503"/>
      <c r="D119" s="1503"/>
      <c r="E119" s="1503"/>
      <c r="F119" s="1503"/>
      <c r="G119" s="1503"/>
      <c r="H119" s="1503"/>
      <c r="I119" s="1503"/>
      <c r="J119" s="1503"/>
      <c r="K119" s="1503"/>
      <c r="L119" s="1503"/>
      <c r="M119" s="1503"/>
      <c r="N119" s="1503"/>
    </row>
    <row r="120" spans="1:14">
      <c r="A120" s="1503"/>
      <c r="B120" s="1503"/>
      <c r="C120" s="1503"/>
      <c r="D120" s="1503"/>
      <c r="E120" s="1503"/>
      <c r="F120" s="1503"/>
      <c r="G120" s="1503"/>
      <c r="H120" s="1503"/>
      <c r="I120" s="1503"/>
      <c r="J120" s="1503"/>
      <c r="K120" s="1503"/>
      <c r="L120" s="1503"/>
      <c r="M120" s="1503"/>
      <c r="N120" s="1503"/>
    </row>
    <row r="157" spans="1:14">
      <c r="A157" s="1503"/>
      <c r="B157" s="1503"/>
      <c r="C157" s="1503"/>
      <c r="D157" s="1503"/>
      <c r="E157" s="1503"/>
      <c r="F157" s="1503"/>
      <c r="G157" s="1503"/>
      <c r="H157" s="1503"/>
      <c r="I157" s="1503"/>
      <c r="J157" s="1503"/>
      <c r="K157" s="1503"/>
      <c r="L157" s="1503"/>
      <c r="M157" s="1503"/>
      <c r="N157" s="1503"/>
    </row>
    <row r="158" spans="1:14" ht="18">
      <c r="A158" s="1504" t="s">
        <v>1667</v>
      </c>
      <c r="B158" s="1503"/>
      <c r="C158" s="1503"/>
      <c r="D158" s="1503"/>
      <c r="E158" s="1503"/>
      <c r="F158" s="1503"/>
      <c r="G158" s="1503"/>
      <c r="H158" s="1503"/>
      <c r="I158" s="1503"/>
      <c r="J158" s="1503"/>
      <c r="K158" s="1503"/>
      <c r="L158" s="1503"/>
      <c r="M158" s="1503"/>
      <c r="N158" s="1503"/>
    </row>
    <row r="159" spans="1:14">
      <c r="A159" s="1503"/>
      <c r="B159" s="1503"/>
      <c r="C159" s="1503"/>
      <c r="D159" s="1503"/>
      <c r="E159" s="1503"/>
      <c r="F159" s="1503"/>
      <c r="G159" s="1503"/>
      <c r="H159" s="1503"/>
      <c r="I159" s="1503"/>
      <c r="J159" s="1503"/>
      <c r="K159" s="1503"/>
      <c r="L159" s="1503"/>
      <c r="M159" s="1503"/>
      <c r="N159" s="1503"/>
    </row>
    <row r="196" spans="1:14">
      <c r="A196" s="1503"/>
      <c r="B196" s="1503"/>
      <c r="C196" s="1503"/>
      <c r="D196" s="1503"/>
      <c r="E196" s="1503"/>
      <c r="F196" s="1503"/>
      <c r="G196" s="1503"/>
      <c r="H196" s="1503"/>
      <c r="I196" s="1503"/>
      <c r="J196" s="1503"/>
      <c r="K196" s="1503"/>
      <c r="L196" s="1503"/>
      <c r="M196" s="1503"/>
      <c r="N196" s="1503"/>
    </row>
    <row r="197" spans="1:14" ht="18">
      <c r="A197" s="1504" t="s">
        <v>1668</v>
      </c>
      <c r="B197" s="1503"/>
      <c r="C197" s="1503"/>
      <c r="D197" s="1503"/>
      <c r="E197" s="1503"/>
      <c r="F197" s="1503"/>
      <c r="G197" s="1503"/>
      <c r="H197" s="1503"/>
      <c r="I197" s="1503"/>
      <c r="J197" s="1503"/>
      <c r="K197" s="1503"/>
      <c r="L197" s="1503"/>
      <c r="M197" s="1503"/>
      <c r="N197" s="1503"/>
    </row>
    <row r="198" spans="1:14">
      <c r="A198" s="1503"/>
      <c r="B198" s="1503"/>
      <c r="C198" s="1503"/>
      <c r="D198" s="1503"/>
      <c r="E198" s="1503"/>
      <c r="F198" s="1503"/>
      <c r="G198" s="1503"/>
      <c r="H198" s="1503"/>
      <c r="I198" s="1503"/>
      <c r="J198" s="1503"/>
      <c r="K198" s="1503"/>
      <c r="L198" s="1503"/>
      <c r="M198" s="1503"/>
      <c r="N198" s="1503"/>
    </row>
    <row r="235" spans="1:14">
      <c r="A235" s="1503"/>
      <c r="B235" s="1503"/>
      <c r="C235" s="1503"/>
      <c r="D235" s="1503"/>
      <c r="E235" s="1503"/>
      <c r="F235" s="1503"/>
      <c r="G235" s="1503"/>
      <c r="H235" s="1503"/>
      <c r="I235" s="1503"/>
      <c r="J235" s="1503"/>
      <c r="K235" s="1503"/>
      <c r="L235" s="1503"/>
      <c r="M235" s="1503"/>
      <c r="N235" s="1503"/>
    </row>
    <row r="236" spans="1:14" ht="18">
      <c r="A236" s="1504" t="s">
        <v>1669</v>
      </c>
      <c r="B236" s="1503"/>
      <c r="C236" s="1503"/>
      <c r="D236" s="1503"/>
      <c r="E236" s="1503"/>
      <c r="F236" s="1503"/>
      <c r="G236" s="1503"/>
      <c r="H236" s="1503"/>
      <c r="I236" s="1503"/>
      <c r="J236" s="1503"/>
      <c r="K236" s="1503"/>
      <c r="L236" s="1503"/>
      <c r="M236" s="1503"/>
      <c r="N236" s="1503"/>
    </row>
    <row r="237" spans="1:14">
      <c r="A237" s="1503"/>
      <c r="B237" s="1503"/>
      <c r="C237" s="1503"/>
      <c r="D237" s="1503"/>
      <c r="E237" s="1503"/>
      <c r="F237" s="1503"/>
      <c r="G237" s="1503"/>
      <c r="H237" s="1503"/>
      <c r="I237" s="1503"/>
      <c r="J237" s="1503"/>
      <c r="K237" s="1503"/>
      <c r="L237" s="1503"/>
      <c r="M237" s="1503"/>
      <c r="N237" s="1503"/>
    </row>
    <row r="274" spans="1:14">
      <c r="A274" s="1503"/>
      <c r="B274" s="1503"/>
      <c r="C274" s="1503"/>
      <c r="D274" s="1503"/>
      <c r="E274" s="1503"/>
      <c r="F274" s="1503"/>
      <c r="G274" s="1503"/>
      <c r="H274" s="1503"/>
      <c r="I274" s="1503"/>
      <c r="J274" s="1503"/>
      <c r="K274" s="1503"/>
      <c r="L274" s="1503"/>
      <c r="M274" s="1503"/>
      <c r="N274" s="1503"/>
    </row>
    <row r="275" spans="1:14" ht="18">
      <c r="A275" s="1504" t="s">
        <v>1670</v>
      </c>
      <c r="B275" s="1503"/>
      <c r="C275" s="1503"/>
      <c r="D275" s="1503"/>
      <c r="E275" s="1503"/>
      <c r="F275" s="1503"/>
      <c r="G275" s="1503"/>
      <c r="H275" s="1503"/>
      <c r="I275" s="1503"/>
      <c r="J275" s="1503"/>
      <c r="K275" s="1503"/>
      <c r="L275" s="1503"/>
      <c r="M275" s="1503"/>
      <c r="N275" s="1503"/>
    </row>
    <row r="276" spans="1:14">
      <c r="A276" s="1503"/>
      <c r="B276" s="1503"/>
      <c r="C276" s="1503"/>
      <c r="D276" s="1503"/>
      <c r="E276" s="1503"/>
      <c r="F276" s="1503"/>
      <c r="G276" s="1503"/>
      <c r="H276" s="1503"/>
      <c r="I276" s="1503"/>
      <c r="J276" s="1503"/>
      <c r="K276" s="1503"/>
      <c r="L276" s="1503"/>
      <c r="M276" s="1503"/>
      <c r="N276" s="1503"/>
    </row>
    <row r="277" spans="1:14" ht="19.5" customHeight="1"/>
    <row r="278" spans="1:14" ht="19.5" customHeight="1"/>
    <row r="279" spans="1:14" ht="19.5" customHeight="1"/>
    <row r="280" spans="1:14" ht="19.5" customHeight="1"/>
    <row r="281" spans="1:14" ht="19.5" customHeight="1"/>
    <row r="282" spans="1:14" ht="19.5" customHeight="1"/>
    <row r="283" spans="1:14" ht="19.5" customHeight="1"/>
    <row r="284" spans="1:14" ht="19.5" customHeight="1"/>
    <row r="285" spans="1:14" ht="19.5" customHeight="1"/>
    <row r="286" spans="1:14" ht="19.5" customHeight="1"/>
    <row r="287" spans="1:14" ht="19.5" customHeight="1"/>
    <row r="288" spans="1:14" ht="19.5" customHeight="1"/>
    <row r="289" ht="19.5" customHeight="1"/>
    <row r="290" ht="19.5" customHeight="1"/>
    <row r="291" ht="19.5" customHeight="1"/>
    <row r="292" ht="19.5" customHeight="1"/>
    <row r="293" ht="19.5" customHeight="1"/>
    <row r="294" ht="19.5" customHeight="1"/>
    <row r="313" spans="1:14">
      <c r="A313" s="1503"/>
      <c r="B313" s="1503"/>
      <c r="C313" s="1503"/>
      <c r="D313" s="1503"/>
      <c r="E313" s="1503"/>
      <c r="F313" s="1503"/>
      <c r="G313" s="1503"/>
      <c r="H313" s="1503"/>
      <c r="I313" s="1503"/>
      <c r="J313" s="1503"/>
      <c r="K313" s="1503"/>
      <c r="L313" s="1503"/>
      <c r="M313" s="1503"/>
      <c r="N313" s="1503"/>
    </row>
    <row r="314" spans="1:14" ht="18">
      <c r="A314" s="1504" t="s">
        <v>1671</v>
      </c>
      <c r="B314" s="1503"/>
      <c r="C314" s="1503"/>
      <c r="D314" s="1503"/>
      <c r="E314" s="1503"/>
      <c r="F314" s="1503"/>
      <c r="G314" s="1503"/>
      <c r="H314" s="1503"/>
      <c r="I314" s="1503"/>
      <c r="J314" s="1503"/>
      <c r="K314" s="1503"/>
      <c r="L314" s="1503"/>
      <c r="M314" s="1503"/>
      <c r="N314" s="1503"/>
    </row>
    <row r="315" spans="1:14">
      <c r="A315" s="1503"/>
      <c r="B315" s="1503"/>
      <c r="C315" s="1503"/>
      <c r="D315" s="1503"/>
      <c r="E315" s="1503"/>
      <c r="F315" s="1503"/>
      <c r="G315" s="1503"/>
      <c r="H315" s="1503"/>
      <c r="I315" s="1503"/>
      <c r="J315" s="1503"/>
      <c r="K315" s="1503"/>
      <c r="L315" s="1503"/>
      <c r="M315" s="1503"/>
      <c r="N315" s="1503"/>
    </row>
    <row r="352" spans="1:14">
      <c r="A352" s="1503"/>
      <c r="B352" s="1503"/>
      <c r="C352" s="1503"/>
      <c r="D352" s="1503"/>
      <c r="E352" s="1503"/>
      <c r="F352" s="1503"/>
      <c r="G352" s="1503"/>
      <c r="H352" s="1503"/>
      <c r="I352" s="1503"/>
      <c r="J352" s="1503"/>
      <c r="K352" s="1503"/>
      <c r="L352" s="1503"/>
      <c r="M352" s="1503"/>
      <c r="N352" s="1503"/>
    </row>
    <row r="353" spans="1:14" ht="18">
      <c r="A353" s="1504" t="s">
        <v>1611</v>
      </c>
      <c r="B353" s="1503"/>
      <c r="C353" s="1503"/>
      <c r="D353" s="1503"/>
      <c r="E353" s="1503"/>
      <c r="F353" s="1503"/>
      <c r="G353" s="1503"/>
      <c r="H353" s="1503"/>
      <c r="I353" s="1503"/>
      <c r="J353" s="1503"/>
      <c r="K353" s="1503"/>
      <c r="L353" s="1503"/>
      <c r="M353" s="1503"/>
      <c r="N353" s="1503"/>
    </row>
    <row r="354" spans="1:14">
      <c r="A354" s="1503"/>
      <c r="B354" s="1503"/>
      <c r="C354" s="1503"/>
      <c r="D354" s="1503"/>
      <c r="E354" s="1503"/>
      <c r="F354" s="1503"/>
      <c r="G354" s="1503"/>
      <c r="H354" s="1503"/>
      <c r="I354" s="1503"/>
      <c r="J354" s="1503"/>
      <c r="K354" s="1503"/>
      <c r="L354" s="1503"/>
      <c r="M354" s="1503"/>
      <c r="N354" s="1503"/>
    </row>
  </sheetData>
  <phoneticPr fontId="60" type="noConversion"/>
  <pageMargins left="0.75" right="0.75" top="1" bottom="1" header="0.5" footer="0.5"/>
  <headerFooter alignWithMargins="0"/>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J42"/>
  <sheetViews>
    <sheetView workbookViewId="0">
      <selection activeCell="CC4" sqref="CC4"/>
    </sheetView>
  </sheetViews>
  <sheetFormatPr defaultRowHeight="12.75"/>
  <cols>
    <col min="3" max="3" width="73.140625" bestFit="1" customWidth="1"/>
    <col min="4" max="75" width="0" hidden="1" customWidth="1"/>
  </cols>
  <sheetData>
    <row r="1" spans="1:88">
      <c r="A1" s="3218" t="s">
        <v>2425</v>
      </c>
    </row>
    <row r="2" spans="1:88">
      <c r="A2" s="3752" t="s">
        <v>1713</v>
      </c>
      <c r="B2" s="3752"/>
      <c r="C2" s="3752"/>
      <c r="D2" s="3752">
        <v>1995</v>
      </c>
      <c r="E2" s="3752"/>
      <c r="F2" s="3752"/>
      <c r="G2" s="3752"/>
      <c r="H2" s="3752">
        <v>1996</v>
      </c>
      <c r="I2" s="3752"/>
      <c r="J2" s="3752"/>
      <c r="K2" s="3752"/>
      <c r="L2" s="3752">
        <v>1997</v>
      </c>
      <c r="M2" s="3752"/>
      <c r="N2" s="3752"/>
      <c r="O2" s="3752"/>
      <c r="P2" s="3752">
        <v>1998</v>
      </c>
      <c r="Q2" s="3752"/>
      <c r="R2" s="3752"/>
      <c r="S2" s="3752"/>
      <c r="T2" s="3752">
        <v>1999</v>
      </c>
      <c r="U2" s="3752"/>
      <c r="V2" s="3752"/>
      <c r="W2" s="3752"/>
      <c r="X2" s="3752">
        <v>2000</v>
      </c>
      <c r="Y2" s="3752"/>
      <c r="Z2" s="3752"/>
      <c r="AA2" s="3752"/>
      <c r="AB2" s="3752">
        <v>2001</v>
      </c>
      <c r="AC2" s="3752"/>
      <c r="AD2" s="3752"/>
      <c r="AE2" s="3752"/>
      <c r="AF2" s="3752">
        <v>2002</v>
      </c>
      <c r="AG2" s="3752"/>
      <c r="AH2" s="3752"/>
      <c r="AI2" s="3752"/>
      <c r="AJ2" s="3752">
        <v>2003</v>
      </c>
      <c r="AK2" s="3752"/>
      <c r="AL2" s="3752"/>
      <c r="AM2" s="3752"/>
      <c r="AN2" s="3752">
        <v>2004</v>
      </c>
      <c r="AO2" s="3752"/>
      <c r="AP2" s="3752"/>
      <c r="AQ2" s="3752"/>
      <c r="AR2" s="3752">
        <v>2005</v>
      </c>
      <c r="AS2" s="3752"/>
      <c r="AT2" s="3752"/>
      <c r="AU2" s="3752"/>
      <c r="AV2" s="3752">
        <v>2006</v>
      </c>
      <c r="AW2" s="3752"/>
      <c r="AX2" s="3752"/>
      <c r="AY2" s="3752"/>
      <c r="AZ2" s="3752">
        <v>2007</v>
      </c>
      <c r="BA2" s="3752"/>
      <c r="BB2" s="3752"/>
      <c r="BC2" s="3752"/>
      <c r="BD2" s="3752">
        <v>2008</v>
      </c>
      <c r="BE2" s="3752"/>
      <c r="BF2" s="3752"/>
      <c r="BG2" s="3752"/>
      <c r="BH2" s="3752">
        <v>2009</v>
      </c>
      <c r="BI2" s="3752"/>
      <c r="BJ2" s="3752"/>
      <c r="BK2" s="3752"/>
      <c r="BL2" s="3752">
        <v>2010</v>
      </c>
      <c r="BM2" s="3752"/>
      <c r="BN2" s="3752"/>
      <c r="BO2" s="3752"/>
      <c r="BP2" s="3752">
        <v>2011</v>
      </c>
      <c r="BQ2" s="3752"/>
      <c r="BR2" s="3752"/>
      <c r="BS2" s="3752"/>
      <c r="BT2" s="3752">
        <v>2012</v>
      </c>
      <c r="BU2" s="3752"/>
      <c r="BV2" s="3752"/>
      <c r="BW2" s="3752"/>
      <c r="BX2" s="3752">
        <v>2013</v>
      </c>
      <c r="BY2" s="3752"/>
      <c r="BZ2" s="3752"/>
      <c r="CA2" s="3752"/>
      <c r="CB2" s="3752">
        <v>2014</v>
      </c>
      <c r="CC2" s="3752"/>
      <c r="CD2" s="3752"/>
      <c r="CE2" s="3752"/>
      <c r="CG2" s="3752" t="s">
        <v>2428</v>
      </c>
      <c r="CH2" s="3752"/>
      <c r="CI2" s="3752"/>
      <c r="CJ2" s="3752"/>
    </row>
    <row r="3" spans="1:88">
      <c r="A3" s="1553"/>
      <c r="B3" s="742"/>
      <c r="C3" s="743" t="s">
        <v>917</v>
      </c>
      <c r="D3" s="1578" t="s">
        <v>1842</v>
      </c>
      <c r="E3" s="1579" t="s">
        <v>1843</v>
      </c>
      <c r="F3" s="1579" t="s">
        <v>1844</v>
      </c>
      <c r="G3" s="1580" t="s">
        <v>1845</v>
      </c>
      <c r="H3" s="1578" t="s">
        <v>1842</v>
      </c>
      <c r="I3" s="1579" t="s">
        <v>1843</v>
      </c>
      <c r="J3" s="1579" t="s">
        <v>1844</v>
      </c>
      <c r="K3" s="1580" t="s">
        <v>1845</v>
      </c>
      <c r="L3" s="1578" t="s">
        <v>1842</v>
      </c>
      <c r="M3" s="1579" t="s">
        <v>1843</v>
      </c>
      <c r="N3" s="1579" t="s">
        <v>1844</v>
      </c>
      <c r="O3" s="1580" t="s">
        <v>1845</v>
      </c>
      <c r="P3" s="1578" t="s">
        <v>1842</v>
      </c>
      <c r="Q3" s="1579" t="s">
        <v>1843</v>
      </c>
      <c r="R3" s="1579" t="s">
        <v>1844</v>
      </c>
      <c r="S3" s="1580" t="s">
        <v>1845</v>
      </c>
      <c r="T3" s="1578" t="s">
        <v>1842</v>
      </c>
      <c r="U3" s="1579" t="s">
        <v>1843</v>
      </c>
      <c r="V3" s="1579" t="s">
        <v>1844</v>
      </c>
      <c r="W3" s="1580" t="s">
        <v>1845</v>
      </c>
      <c r="X3" s="1578" t="s">
        <v>1842</v>
      </c>
      <c r="Y3" s="1579" t="s">
        <v>1843</v>
      </c>
      <c r="Z3" s="1579" t="s">
        <v>1844</v>
      </c>
      <c r="AA3" s="1580" t="s">
        <v>1845</v>
      </c>
      <c r="AB3" s="1578" t="s">
        <v>1842</v>
      </c>
      <c r="AC3" s="1579" t="s">
        <v>1843</v>
      </c>
      <c r="AD3" s="1579" t="s">
        <v>1844</v>
      </c>
      <c r="AE3" s="1580" t="s">
        <v>1845</v>
      </c>
      <c r="AF3" s="1578" t="s">
        <v>1842</v>
      </c>
      <c r="AG3" s="1579" t="s">
        <v>1843</v>
      </c>
      <c r="AH3" s="1579" t="s">
        <v>1844</v>
      </c>
      <c r="AI3" s="1580" t="s">
        <v>1845</v>
      </c>
      <c r="AJ3" s="1578" t="s">
        <v>1842</v>
      </c>
      <c r="AK3" s="1579" t="s">
        <v>1843</v>
      </c>
      <c r="AL3" s="1579" t="s">
        <v>1844</v>
      </c>
      <c r="AM3" s="1580" t="s">
        <v>1845</v>
      </c>
      <c r="AN3" s="1578" t="s">
        <v>1842</v>
      </c>
      <c r="AO3" s="1579" t="s">
        <v>1843</v>
      </c>
      <c r="AP3" s="1579" t="s">
        <v>1844</v>
      </c>
      <c r="AQ3" s="1580" t="s">
        <v>1845</v>
      </c>
      <c r="AR3" s="1578" t="s">
        <v>1842</v>
      </c>
      <c r="AS3" s="1579" t="s">
        <v>1843</v>
      </c>
      <c r="AT3" s="1579" t="s">
        <v>1844</v>
      </c>
      <c r="AU3" s="1580" t="s">
        <v>1845</v>
      </c>
      <c r="AV3" s="1578" t="s">
        <v>1842</v>
      </c>
      <c r="AW3" s="1579" t="s">
        <v>1843</v>
      </c>
      <c r="AX3" s="1579" t="s">
        <v>1844</v>
      </c>
      <c r="AY3" s="1579" t="s">
        <v>1845</v>
      </c>
      <c r="AZ3" s="1579" t="s">
        <v>1842</v>
      </c>
      <c r="BA3" s="1579" t="s">
        <v>1843</v>
      </c>
      <c r="BB3" s="1579" t="s">
        <v>1844</v>
      </c>
      <c r="BC3" s="1579" t="s">
        <v>1845</v>
      </c>
      <c r="BD3" s="1579" t="s">
        <v>1842</v>
      </c>
      <c r="BE3" s="1579" t="s">
        <v>1843</v>
      </c>
      <c r="BF3" s="1579" t="s">
        <v>1844</v>
      </c>
      <c r="BG3" s="1579" t="s">
        <v>1845</v>
      </c>
      <c r="BH3" s="1579" t="s">
        <v>1842</v>
      </c>
      <c r="BI3" s="1579" t="s">
        <v>1843</v>
      </c>
      <c r="BJ3" s="1579" t="s">
        <v>1844</v>
      </c>
      <c r="BK3" s="1579" t="s">
        <v>1845</v>
      </c>
      <c r="BL3" s="1579" t="s">
        <v>1842</v>
      </c>
      <c r="BM3" s="1579" t="s">
        <v>1843</v>
      </c>
      <c r="BN3" s="1579" t="s">
        <v>1844</v>
      </c>
      <c r="BO3" s="1579" t="s">
        <v>1845</v>
      </c>
      <c r="BP3" s="1579" t="s">
        <v>1842</v>
      </c>
      <c r="BQ3" s="1579" t="s">
        <v>1843</v>
      </c>
      <c r="BR3" s="1579" t="s">
        <v>1844</v>
      </c>
      <c r="BS3" s="1579" t="s">
        <v>1845</v>
      </c>
      <c r="BT3" s="1579" t="s">
        <v>1842</v>
      </c>
      <c r="BU3" s="1579" t="s">
        <v>1843</v>
      </c>
      <c r="BV3" s="1579" t="s">
        <v>1844</v>
      </c>
      <c r="BW3" s="1579" t="s">
        <v>1845</v>
      </c>
      <c r="BX3" s="1579" t="s">
        <v>1842</v>
      </c>
      <c r="BY3" s="1579" t="s">
        <v>1843</v>
      </c>
      <c r="BZ3" s="1579" t="s">
        <v>1844</v>
      </c>
      <c r="CA3" s="1579" t="s">
        <v>1845</v>
      </c>
      <c r="CB3" s="1579" t="s">
        <v>1842</v>
      </c>
      <c r="CC3" s="1579" t="s">
        <v>1843</v>
      </c>
      <c r="CD3" s="1579" t="s">
        <v>1844</v>
      </c>
      <c r="CE3" s="1579" t="s">
        <v>1845</v>
      </c>
      <c r="CG3" s="1579" t="s">
        <v>1842</v>
      </c>
      <c r="CH3" s="1579" t="s">
        <v>1843</v>
      </c>
      <c r="CI3" s="1579" t="s">
        <v>1844</v>
      </c>
      <c r="CJ3" s="1579" t="s">
        <v>1845</v>
      </c>
    </row>
    <row r="4" spans="1:88">
      <c r="A4" s="762"/>
      <c r="B4" s="689"/>
      <c r="C4" s="732" t="s">
        <v>1069</v>
      </c>
      <c r="D4" s="2852"/>
      <c r="E4" s="2852">
        <v>2.6037399821905449</v>
      </c>
      <c r="F4" s="2852">
        <v>2.2825105880719398</v>
      </c>
      <c r="G4" s="2852">
        <v>1.6274373377229479</v>
      </c>
      <c r="H4" s="2852">
        <v>1.1238018902581581</v>
      </c>
      <c r="I4" s="2852">
        <v>1.3111180831915981</v>
      </c>
      <c r="J4" s="2852">
        <v>0.19069972128500368</v>
      </c>
      <c r="K4" s="2852">
        <v>3.232471124125591</v>
      </c>
      <c r="L4" s="2852">
        <v>1.6562396583513106</v>
      </c>
      <c r="M4" s="2852">
        <v>-0.17052148570718684</v>
      </c>
      <c r="N4" s="2852">
        <v>2.158452125842425</v>
      </c>
      <c r="O4" s="2852">
        <v>1.7480391560770858</v>
      </c>
      <c r="P4" s="2852">
        <v>1.3475156114613585</v>
      </c>
      <c r="Q4" s="2852">
        <v>-0.83431603773584939</v>
      </c>
      <c r="R4" s="2852">
        <v>3.0502125635461175</v>
      </c>
      <c r="S4" s="2852">
        <v>0.38946427025934316</v>
      </c>
      <c r="T4" s="2852">
        <v>-0.51583424334731287</v>
      </c>
      <c r="U4" s="2852">
        <v>4.4730418706760977</v>
      </c>
      <c r="V4" s="2852">
        <v>1.1032156385655245</v>
      </c>
      <c r="W4" s="2852">
        <v>-0.22014986599570019</v>
      </c>
      <c r="X4" s="2852">
        <v>1.9062367241780676</v>
      </c>
      <c r="Y4" s="2852">
        <v>3.1239073720448651</v>
      </c>
      <c r="Z4" s="2852">
        <v>0.9063050140184048</v>
      </c>
      <c r="AA4" s="2852">
        <v>1.1178599121219879</v>
      </c>
      <c r="AB4" s="2852">
        <v>2.1701067160841081</v>
      </c>
      <c r="AC4" s="2852">
        <v>-1.4860588169070654</v>
      </c>
      <c r="AD4" s="2852">
        <v>1.8182972509682038</v>
      </c>
      <c r="AE4" s="2852">
        <v>1.9903475625724809</v>
      </c>
      <c r="AF4" s="2852">
        <v>2.0334299304256342</v>
      </c>
      <c r="AG4" s="2852">
        <v>1.1624283968075133</v>
      </c>
      <c r="AH4" s="2852">
        <v>1.3172858225928508</v>
      </c>
      <c r="AI4" s="2852">
        <v>1.778364979889635</v>
      </c>
      <c r="AJ4" s="2852">
        <v>5.3751335454743865</v>
      </c>
      <c r="AK4" s="2852">
        <v>2.0462672248386715</v>
      </c>
      <c r="AL4" s="2852">
        <v>1.04054270605205</v>
      </c>
      <c r="AM4" s="2852">
        <v>4.4111272058279472</v>
      </c>
      <c r="AN4" s="2852">
        <v>1.890613765936533</v>
      </c>
      <c r="AO4" s="2852">
        <v>3.5739132163231213</v>
      </c>
      <c r="AP4" s="2852">
        <v>3.2826683554992631</v>
      </c>
      <c r="AQ4" s="2852">
        <v>1.3499326427277136</v>
      </c>
      <c r="AR4" s="2852">
        <v>34.575893223819335</v>
      </c>
      <c r="AS4" s="2852">
        <v>2.9234677077943472</v>
      </c>
      <c r="AT4" s="2852">
        <v>1.1379995886748429</v>
      </c>
      <c r="AU4" s="2852">
        <v>4.0624505750243012</v>
      </c>
      <c r="AV4" s="2852">
        <v>-1.2397681134246552</v>
      </c>
      <c r="AW4" s="2852">
        <v>3.686848700699108</v>
      </c>
      <c r="AX4" s="2852">
        <v>5.811759218031054</v>
      </c>
      <c r="AY4" s="2852">
        <v>0.37071176659186911</v>
      </c>
      <c r="AZ4" s="2852">
        <v>4.5219509273493053</v>
      </c>
      <c r="BA4" s="2852">
        <v>2.4353440042785834</v>
      </c>
      <c r="BB4" s="2852">
        <v>0.33563929963265071</v>
      </c>
      <c r="BC4" s="2852">
        <v>5.460053150959876</v>
      </c>
      <c r="BD4" s="2852">
        <v>-4.0530776957370396E-2</v>
      </c>
      <c r="BE4" s="2852">
        <v>0.40370918835062053</v>
      </c>
      <c r="BF4" s="2852">
        <v>-1.987603813670924</v>
      </c>
      <c r="BG4" s="2852">
        <v>-2.2679636695867256</v>
      </c>
      <c r="BH4" s="2852">
        <v>-11.558977178993679</v>
      </c>
      <c r="BI4" s="2852">
        <v>-2.068436651536798</v>
      </c>
      <c r="BJ4" s="2852">
        <v>-2.2052443334532712</v>
      </c>
      <c r="BK4" s="2852">
        <v>-4.3844272760717455</v>
      </c>
      <c r="BL4" s="2852">
        <v>0.79442319444127385</v>
      </c>
      <c r="BM4" s="2852">
        <v>-0.77468900166164367</v>
      </c>
      <c r="BN4" s="2852">
        <v>2.6975039036864379</v>
      </c>
      <c r="BO4" s="2852">
        <v>0.51563429629140067</v>
      </c>
      <c r="BP4" s="2852">
        <v>0.89444261756002064</v>
      </c>
      <c r="BQ4" s="2852">
        <v>1.3449796840709904</v>
      </c>
      <c r="BR4" s="2852">
        <v>1.0569872646970513</v>
      </c>
      <c r="BS4" s="2852">
        <v>2.0706481383260922</v>
      </c>
      <c r="BT4" s="2852">
        <v>0.24526615534907759</v>
      </c>
      <c r="BU4" s="2852">
        <v>-3.524850193865614E-2</v>
      </c>
      <c r="BV4" s="2852">
        <v>-0.29038413672944907</v>
      </c>
      <c r="BW4" s="2852">
        <v>2.3776834747878173</v>
      </c>
      <c r="BX4" s="2852">
        <v>0.9021639743980403</v>
      </c>
      <c r="BY4" s="2852">
        <v>0.84778187236957958</v>
      </c>
      <c r="BZ4" s="2852">
        <v>3.0331469648562148</v>
      </c>
      <c r="CA4" s="2852">
        <v>-0.28101319793019108</v>
      </c>
      <c r="CB4" s="2852">
        <v>1.9318225988261606</v>
      </c>
      <c r="CC4" s="2852">
        <v>1.5558267236119416</v>
      </c>
      <c r="CD4" s="2852">
        <v>0.90680384499850497</v>
      </c>
      <c r="CE4" s="2852">
        <v>1.7191657208774469</v>
      </c>
      <c r="CH4" s="3194">
        <f>0.25*CC4</f>
        <v>0.38895668090298541</v>
      </c>
      <c r="CI4" s="3194">
        <f>0.5*CD4+0.25*CC4</f>
        <v>0.84235860340223789</v>
      </c>
      <c r="CJ4" s="3194">
        <f t="shared" ref="CJ4:CJ13" si="0">0.75*CE4+0.5*CD4+0.25*CC4</f>
        <v>2.1317328940603231</v>
      </c>
    </row>
    <row r="5" spans="1:88">
      <c r="A5" s="932"/>
      <c r="B5" s="674"/>
      <c r="C5" s="220" t="s">
        <v>1846</v>
      </c>
      <c r="D5" s="2853"/>
      <c r="E5" s="2853">
        <v>-0.23001521639123279</v>
      </c>
      <c r="F5" s="2853">
        <v>0.18443640490883872</v>
      </c>
      <c r="G5" s="2853">
        <v>0.84967783048928158</v>
      </c>
      <c r="H5" s="2853">
        <v>-1.2883521729972536</v>
      </c>
      <c r="I5" s="2853">
        <v>-9.9576798605927053E-2</v>
      </c>
      <c r="J5" s="2853">
        <v>1.39190488056673</v>
      </c>
      <c r="K5" s="2853">
        <v>-0.9830770311073711</v>
      </c>
      <c r="L5" s="2853">
        <v>0.92901212679952216</v>
      </c>
      <c r="M5" s="2853">
        <v>2.7086846543001863</v>
      </c>
      <c r="N5" s="2853">
        <v>0.71147597058320855</v>
      </c>
      <c r="O5" s="2853">
        <v>-0.50945895459022505</v>
      </c>
      <c r="P5" s="2853">
        <v>3.7278530706994717</v>
      </c>
      <c r="Q5" s="2853">
        <v>0.10860622017443422</v>
      </c>
      <c r="R5" s="2853">
        <v>0.12163850351765149</v>
      </c>
      <c r="S5" s="2853">
        <v>1.1919225086192808</v>
      </c>
      <c r="T5" s="2853">
        <v>-3.8484002855474264</v>
      </c>
      <c r="U5" s="2853">
        <v>-0.60070194384448383</v>
      </c>
      <c r="V5" s="2853">
        <v>-1.8673185305900675</v>
      </c>
      <c r="W5" s="2853">
        <v>-8.3033490174366786E-2</v>
      </c>
      <c r="X5" s="2853">
        <v>2.1087257617728561</v>
      </c>
      <c r="Y5" s="2853">
        <v>-0.96307097561804111</v>
      </c>
      <c r="Z5" s="2853">
        <v>0.34240712206814461</v>
      </c>
      <c r="AA5" s="2853">
        <v>0.45384746630268147</v>
      </c>
      <c r="AB5" s="2853">
        <v>0.46198790678715351</v>
      </c>
      <c r="AC5" s="2853">
        <v>0.29755866639615824</v>
      </c>
      <c r="AD5" s="2853">
        <v>-0.16182320814509543</v>
      </c>
      <c r="AE5" s="2853">
        <v>0.21273721888295238</v>
      </c>
      <c r="AF5" s="2853">
        <v>1.533173838325963</v>
      </c>
      <c r="AG5" s="2853">
        <v>-0.34182928448159844</v>
      </c>
      <c r="AH5" s="2853">
        <v>1.9014952212860869</v>
      </c>
      <c r="AI5" s="2853">
        <v>0.27777777777777679</v>
      </c>
      <c r="AJ5" s="2853">
        <v>0.47254358807236052</v>
      </c>
      <c r="AK5" s="2853">
        <v>1.2455400583846865</v>
      </c>
      <c r="AL5" s="2853">
        <v>0.57025693599026539</v>
      </c>
      <c r="AM5" s="2853">
        <v>1.1754587155963447</v>
      </c>
      <c r="AN5" s="2853">
        <v>1.1460596328831008</v>
      </c>
      <c r="AO5" s="2853">
        <v>1.9828793774318898</v>
      </c>
      <c r="AP5" s="2853">
        <v>0.60435870825956695</v>
      </c>
      <c r="AQ5" s="2853">
        <v>0.6280339805825097</v>
      </c>
      <c r="AR5" s="2853">
        <v>44.75588386046374</v>
      </c>
      <c r="AS5" s="2853">
        <v>-0.14383315354189463</v>
      </c>
      <c r="AT5" s="2853">
        <v>-0.12963629816348243</v>
      </c>
      <c r="AU5" s="2853">
        <v>0</v>
      </c>
      <c r="AV5" s="2853">
        <v>0.40383644623926962</v>
      </c>
      <c r="AW5" s="2853">
        <v>0.94088917618331269</v>
      </c>
      <c r="AX5" s="2853">
        <v>1.3021203927707337</v>
      </c>
      <c r="AY5" s="2853">
        <v>0.96930533117931539</v>
      </c>
      <c r="AZ5" s="2853">
        <v>0.58434782608696167</v>
      </c>
      <c r="BA5" s="2853">
        <v>2.7664430458518297E-2</v>
      </c>
      <c r="BB5" s="2853">
        <v>-0.34570974210051952</v>
      </c>
      <c r="BC5" s="2853">
        <v>0</v>
      </c>
      <c r="BD5" s="2853">
        <v>2.7752723235963117E-2</v>
      </c>
      <c r="BE5" s="2853">
        <v>0.28438648817368239</v>
      </c>
      <c r="BF5" s="2853">
        <v>0.41499515838980816</v>
      </c>
      <c r="BG5" s="2853">
        <v>8.2656013224968738E-2</v>
      </c>
      <c r="BH5" s="2853">
        <v>-0.33035099793530254</v>
      </c>
      <c r="BI5" s="2853">
        <v>-0.84933020301063422</v>
      </c>
      <c r="BJ5" s="2853">
        <v>-1.2744620098892767</v>
      </c>
      <c r="BK5" s="2853">
        <v>-1.2133182844243695</v>
      </c>
      <c r="BL5" s="2853">
        <v>-1.0211368180520042</v>
      </c>
      <c r="BM5" s="2853">
        <v>-0.69259072217010553</v>
      </c>
      <c r="BN5" s="2853">
        <v>-0.3196512895023762</v>
      </c>
      <c r="BO5" s="2853">
        <v>-0.14576197070184094</v>
      </c>
      <c r="BP5" s="2853">
        <v>0.11677979709512343</v>
      </c>
      <c r="BQ5" s="2853">
        <v>0.32806007144419169</v>
      </c>
      <c r="BR5" s="2853">
        <v>0.37785205638716235</v>
      </c>
      <c r="BS5" s="2853">
        <v>0.3981468075864969</v>
      </c>
      <c r="BT5" s="2853">
        <v>0.33888528372629789</v>
      </c>
      <c r="BU5" s="2853">
        <v>0.25150905432596016</v>
      </c>
      <c r="BV5" s="2853">
        <v>0.32255752275822669</v>
      </c>
      <c r="BW5" s="2853">
        <v>0.45012860817377209</v>
      </c>
      <c r="BX5" s="2853">
        <v>0.51924034426344967</v>
      </c>
      <c r="BY5" s="2853">
        <v>0.46702519105574769</v>
      </c>
      <c r="BZ5" s="2853">
        <v>0.35920552190449317</v>
      </c>
      <c r="CA5" s="2853">
        <v>0.26668538143028719</v>
      </c>
      <c r="CB5" s="2853">
        <v>0.29397354238118734</v>
      </c>
      <c r="CC5" s="2853">
        <v>0.35592155768022771</v>
      </c>
      <c r="CD5" s="2853">
        <v>0.3755215577190496</v>
      </c>
      <c r="CE5" s="2853">
        <v>0.401829014826105</v>
      </c>
      <c r="CH5" s="3194">
        <f t="shared" ref="CH5:CH42" si="1">0.25*CC5</f>
        <v>8.8980389420056927E-2</v>
      </c>
      <c r="CI5" s="3194">
        <f t="shared" ref="CI5:CI42" si="2">0.5*CD5+0.25*CC5</f>
        <v>0.27674116827958173</v>
      </c>
      <c r="CJ5" s="3194">
        <f t="shared" si="0"/>
        <v>0.57811292939916048</v>
      </c>
    </row>
    <row r="6" spans="1:88">
      <c r="A6" s="932"/>
      <c r="B6" s="674"/>
      <c r="C6" s="220" t="s">
        <v>1067</v>
      </c>
      <c r="D6" s="2853"/>
      <c r="E6" s="2853">
        <v>5.0036845983787881</v>
      </c>
      <c r="F6" s="2853">
        <v>0.65969541722226133</v>
      </c>
      <c r="G6" s="2853">
        <v>8.1572892700271673</v>
      </c>
      <c r="H6" s="2853">
        <v>4.3382969122671478</v>
      </c>
      <c r="I6" s="2853">
        <v>3.4041764487829029</v>
      </c>
      <c r="J6" s="2853">
        <v>3.160662006333248</v>
      </c>
      <c r="K6" s="2853">
        <v>9.359434727209571</v>
      </c>
      <c r="L6" s="2853">
        <v>6.7471666137061792</v>
      </c>
      <c r="M6" s="2853">
        <v>2.4905735264933559</v>
      </c>
      <c r="N6" s="2853">
        <v>8.0114241456094462</v>
      </c>
      <c r="O6" s="2853">
        <v>4.8402276699681668</v>
      </c>
      <c r="P6" s="2853">
        <v>8.0323173598939803</v>
      </c>
      <c r="Q6" s="2853">
        <v>5.729661285216836</v>
      </c>
      <c r="R6" s="2853">
        <v>2.4625748502994149</v>
      </c>
      <c r="S6" s="2853">
        <v>-5.2414347286142249</v>
      </c>
      <c r="T6" s="2853">
        <v>-1.7654087807886576</v>
      </c>
      <c r="U6" s="2853">
        <v>2.9821463606042764</v>
      </c>
      <c r="V6" s="2853">
        <v>-8.6797485235282963</v>
      </c>
      <c r="W6" s="2853">
        <v>-4.8733675470438387</v>
      </c>
      <c r="X6" s="2853">
        <v>-2.1711478573621656</v>
      </c>
      <c r="Y6" s="2853">
        <v>-0.96395265423243615</v>
      </c>
      <c r="Z6" s="2853">
        <v>3.3998822943546836</v>
      </c>
      <c r="AA6" s="2853">
        <v>3.3143607705779177</v>
      </c>
      <c r="AB6" s="2853">
        <v>4.4031020892486339</v>
      </c>
      <c r="AC6" s="2853">
        <v>-2.5937652216268869</v>
      </c>
      <c r="AD6" s="2853">
        <v>2.8503562945368266</v>
      </c>
      <c r="AE6" s="2853">
        <v>21.109355374579629</v>
      </c>
      <c r="AF6" s="2853">
        <v>-6.0185340068917075</v>
      </c>
      <c r="AG6" s="2853">
        <v>-1.5200056955716801</v>
      </c>
      <c r="AH6" s="2853">
        <v>1.5579251762154467</v>
      </c>
      <c r="AI6" s="2853">
        <v>7.1611617312072884</v>
      </c>
      <c r="AJ6" s="2853">
        <v>-0.43842168194501152</v>
      </c>
      <c r="AK6" s="2853">
        <v>6.4518281291700008</v>
      </c>
      <c r="AL6" s="2853">
        <v>2.8611720463804557</v>
      </c>
      <c r="AM6" s="2853">
        <v>2.6810468269201637</v>
      </c>
      <c r="AN6" s="2853">
        <v>4.2755837759249848</v>
      </c>
      <c r="AO6" s="2853">
        <v>4.7917140905986866</v>
      </c>
      <c r="AP6" s="2853">
        <v>1.7486694906049927</v>
      </c>
      <c r="AQ6" s="2853">
        <v>0.14143894107601085</v>
      </c>
      <c r="AR6" s="2853">
        <v>22.120084210526294</v>
      </c>
      <c r="AS6" s="2853">
        <v>-3.5638939119951751</v>
      </c>
      <c r="AT6" s="2853">
        <v>7.6255957496679461</v>
      </c>
      <c r="AU6" s="2853">
        <v>4.3774954627949114</v>
      </c>
      <c r="AV6" s="2853">
        <v>3.5262206148282127</v>
      </c>
      <c r="AW6" s="2853">
        <v>5.4551561975142882</v>
      </c>
      <c r="AX6" s="2853">
        <v>3.6057845448174586</v>
      </c>
      <c r="AY6" s="2853">
        <v>11.08651540306218</v>
      </c>
      <c r="AZ6" s="2853">
        <v>4.4392782021476895</v>
      </c>
      <c r="BA6" s="2853">
        <v>7.3351706593173471</v>
      </c>
      <c r="BB6" s="2853">
        <v>-1.2492593324116119</v>
      </c>
      <c r="BC6" s="2853">
        <v>1.8650932546627308</v>
      </c>
      <c r="BD6" s="2853">
        <v>-1.104457097977618</v>
      </c>
      <c r="BE6" s="2853">
        <v>0.71971013054052957</v>
      </c>
      <c r="BF6" s="2853">
        <v>-6.8795584466784909</v>
      </c>
      <c r="BG6" s="2853">
        <v>-9.6157917019474848</v>
      </c>
      <c r="BH6" s="2853">
        <v>-20.434451665788401</v>
      </c>
      <c r="BI6" s="2853">
        <v>-13.672823607329477</v>
      </c>
      <c r="BJ6" s="2853">
        <v>-10.519137328445982</v>
      </c>
      <c r="BK6" s="2853">
        <v>3.2961798609126403</v>
      </c>
      <c r="BL6" s="2853">
        <v>-3.6060130960066328</v>
      </c>
      <c r="BM6" s="2853">
        <v>7.0991197856869581</v>
      </c>
      <c r="BN6" s="2853">
        <v>13.92710380561013</v>
      </c>
      <c r="BO6" s="2853">
        <v>8.6254214694614362E-2</v>
      </c>
      <c r="BP6" s="2853">
        <v>7.2077718583515971</v>
      </c>
      <c r="BQ6" s="2853">
        <v>2.4773458053200637</v>
      </c>
      <c r="BR6" s="2853">
        <v>2.4245881765670774</v>
      </c>
      <c r="BS6" s="2853">
        <v>0.43166469400544027</v>
      </c>
      <c r="BT6" s="2853">
        <v>1.0467937608318989</v>
      </c>
      <c r="BU6" s="2853">
        <v>-4.7543907793633489</v>
      </c>
      <c r="BV6" s="2853">
        <v>2.8812216379758837E-2</v>
      </c>
      <c r="BW6" s="2853">
        <v>-1.6202203499675938</v>
      </c>
      <c r="BX6" s="2853">
        <v>3.4109208022251369</v>
      </c>
      <c r="BY6" s="2853">
        <v>4.1265571913929655</v>
      </c>
      <c r="BZ6" s="2853">
        <v>3.9426279654680263</v>
      </c>
      <c r="CA6" s="2853">
        <v>0.40546726832777491</v>
      </c>
      <c r="CB6" s="2853">
        <v>3.6084152934280134</v>
      </c>
      <c r="CC6" s="2853">
        <v>1.4144716162695747</v>
      </c>
      <c r="CD6" s="2853">
        <v>-0.17976692288618201</v>
      </c>
      <c r="CE6" s="2853">
        <v>-0.87561323976899086</v>
      </c>
      <c r="CH6" s="3194">
        <f t="shared" si="1"/>
        <v>0.35361790406739368</v>
      </c>
      <c r="CI6" s="3194">
        <f t="shared" si="2"/>
        <v>0.26373444262430268</v>
      </c>
      <c r="CJ6" s="3194">
        <f t="shared" si="0"/>
        <v>-0.39297548720244047</v>
      </c>
    </row>
    <row r="7" spans="1:88">
      <c r="A7" s="932"/>
      <c r="B7" s="717"/>
      <c r="C7" s="718" t="s">
        <v>2107</v>
      </c>
      <c r="D7" s="2854"/>
      <c r="E7" s="2854">
        <v>2.1188213800916733</v>
      </c>
      <c r="F7" s="2854">
        <v>1.4601968917095531</v>
      </c>
      <c r="G7" s="2854">
        <v>2.3336222861421119</v>
      </c>
      <c r="H7" s="2854">
        <v>0.94238821774077497</v>
      </c>
      <c r="I7" s="2854">
        <v>1.2559124198962657</v>
      </c>
      <c r="J7" s="2854">
        <v>0.97663423776381819</v>
      </c>
      <c r="K7" s="2854">
        <v>3.0992930291555476</v>
      </c>
      <c r="L7" s="2854">
        <v>2.3403081209686816</v>
      </c>
      <c r="M7" s="2854">
        <v>1.028039035428896</v>
      </c>
      <c r="N7" s="2854">
        <v>2.8462433612445492</v>
      </c>
      <c r="O7" s="2854">
        <v>1.7695501259102908</v>
      </c>
      <c r="P7" s="2854">
        <v>3.2376446198087327</v>
      </c>
      <c r="Q7" s="2854">
        <v>0.74090868604095306</v>
      </c>
      <c r="R7" s="2854">
        <v>2.2079863678744927</v>
      </c>
      <c r="S7" s="2854">
        <v>-0.63070643839602258</v>
      </c>
      <c r="T7" s="2854">
        <v>-1.585191164715849</v>
      </c>
      <c r="U7" s="2854">
        <v>2.9584894735995571</v>
      </c>
      <c r="V7" s="2854">
        <v>-1.585528730874064</v>
      </c>
      <c r="W7" s="2854">
        <v>-1.0737839575248098</v>
      </c>
      <c r="X7" s="2854">
        <v>1.2073806658644326</v>
      </c>
      <c r="Y7" s="2854">
        <v>1.4458404343862474</v>
      </c>
      <c r="Z7" s="2854">
        <v>1.2080106892537357</v>
      </c>
      <c r="AA7" s="2854">
        <v>1.3549507817023576</v>
      </c>
      <c r="AB7" s="2854">
        <v>2.1884521633150467</v>
      </c>
      <c r="AC7" s="2854">
        <v>-1.2962811118648165</v>
      </c>
      <c r="AD7" s="2854">
        <v>1.5617683930702064</v>
      </c>
      <c r="AE7" s="2854">
        <v>5.1077467616484018</v>
      </c>
      <c r="AF7" s="2854">
        <v>0.22567933725265998</v>
      </c>
      <c r="AG7" s="2854">
        <v>0.31058092750759769</v>
      </c>
      <c r="AH7" s="2854">
        <v>1.487580043628145</v>
      </c>
      <c r="AI7" s="2854">
        <v>2.5085977368538126</v>
      </c>
      <c r="AJ7" s="2854">
        <v>3.1736583650112893</v>
      </c>
      <c r="AK7" s="2854">
        <v>2.7502065113351737</v>
      </c>
      <c r="AL7" s="2854">
        <v>1.3175608853498666</v>
      </c>
      <c r="AM7" s="2854">
        <v>3.4138569467360602</v>
      </c>
      <c r="AN7" s="2854">
        <v>2.2360929269555019</v>
      </c>
      <c r="AO7" s="2854">
        <v>3.5243943843180192</v>
      </c>
      <c r="AP7" s="2854">
        <v>2.4527628823272307</v>
      </c>
      <c r="AQ7" s="2854">
        <v>0.96199745039788898</v>
      </c>
      <c r="AR7" s="2854">
        <v>33.854097229947719</v>
      </c>
      <c r="AS7" s="2854">
        <v>1.0761173685343239</v>
      </c>
      <c r="AT7" s="2854">
        <v>2.0668606714457916</v>
      </c>
      <c r="AU7" s="2854">
        <v>3.3393137786678961</v>
      </c>
      <c r="AV7" s="2854">
        <v>-1.0766870339962153E-2</v>
      </c>
      <c r="AW7" s="2854">
        <v>3.5265297332220724</v>
      </c>
      <c r="AX7" s="2854">
        <v>4.537535429180628</v>
      </c>
      <c r="AY7" s="2854">
        <v>2.6441470573603354</v>
      </c>
      <c r="AZ7" s="2854">
        <v>3.8180055737307539</v>
      </c>
      <c r="BA7" s="2854">
        <v>3.1080402889789083</v>
      </c>
      <c r="BB7" s="2854">
        <v>-0.13922847052431075</v>
      </c>
      <c r="BC7" s="2854">
        <v>3.753074664762357</v>
      </c>
      <c r="BD7" s="2854">
        <v>-0.26657343879735729</v>
      </c>
      <c r="BE7" s="2854">
        <v>0.45460520550346661</v>
      </c>
      <c r="BF7" s="2854">
        <v>-2.6912969041361867</v>
      </c>
      <c r="BG7" s="2854">
        <v>-3.441474757662355</v>
      </c>
      <c r="BH7" s="2854">
        <v>-11.424724943131714</v>
      </c>
      <c r="BI7" s="2854">
        <v>-3.9033018867924429</v>
      </c>
      <c r="BJ7" s="2854">
        <v>-3.3528312949100858</v>
      </c>
      <c r="BK7" s="2854">
        <v>-2.6127930927456799</v>
      </c>
      <c r="BL7" s="2854">
        <v>-0.26510212950892065</v>
      </c>
      <c r="BM7" s="2854">
        <v>0.43720133048643639</v>
      </c>
      <c r="BN7" s="2854">
        <v>3.914791461792122</v>
      </c>
      <c r="BO7" s="2854">
        <v>0.31313061025675104</v>
      </c>
      <c r="BP7" s="2854">
        <v>1.8645948945615887</v>
      </c>
      <c r="BQ7" s="2854">
        <v>1.3660383525822661</v>
      </c>
      <c r="BR7" s="2854">
        <v>1.1890846063928429</v>
      </c>
      <c r="BS7" s="2854">
        <v>1.4512959422137373</v>
      </c>
      <c r="BT7" s="2854">
        <v>0.41358549833125924</v>
      </c>
      <c r="BU7" s="2854">
        <v>-0.87981126419104383</v>
      </c>
      <c r="BV7" s="2854">
        <v>-0.11966441364437141</v>
      </c>
      <c r="BW7" s="2854">
        <v>1.2915542097294397</v>
      </c>
      <c r="BX7" s="2854">
        <v>1.2776853488614126</v>
      </c>
      <c r="BY7" s="2854">
        <v>1.3732209088925584</v>
      </c>
      <c r="BZ7" s="2854">
        <v>2.7218979857954961</v>
      </c>
      <c r="CA7" s="2854">
        <v>-5.5460382799887853E-2</v>
      </c>
      <c r="CB7" s="2854">
        <v>1.9606875971095672</v>
      </c>
      <c r="CC7" s="2854">
        <v>1.3206908228919678</v>
      </c>
      <c r="CD7" s="2854">
        <v>0.60637891520243237</v>
      </c>
      <c r="CE7" s="2854">
        <v>0.99781690475060358</v>
      </c>
      <c r="CH7" s="3194">
        <f t="shared" si="1"/>
        <v>0.33017270572299195</v>
      </c>
      <c r="CI7" s="3194">
        <f t="shared" si="2"/>
        <v>0.63336216332420814</v>
      </c>
      <c r="CJ7" s="3194">
        <f t="shared" si="0"/>
        <v>1.3817248418871608</v>
      </c>
    </row>
    <row r="8" spans="1:88">
      <c r="A8" s="932"/>
      <c r="B8" s="806"/>
      <c r="C8" s="334" t="s">
        <v>2108</v>
      </c>
      <c r="D8" s="2856"/>
      <c r="E8" s="2856">
        <v>-2.9461950869824225</v>
      </c>
      <c r="F8" s="2856">
        <v>-2.4165219848992612</v>
      </c>
      <c r="G8" s="2856">
        <v>-3.757849390285978</v>
      </c>
      <c r="H8" s="2856">
        <v>-3.7643064133711919</v>
      </c>
      <c r="I8" s="2856">
        <v>-3.0829365779110098</v>
      </c>
      <c r="J8" s="2856">
        <v>-1.2630542431616096</v>
      </c>
      <c r="K8" s="2856">
        <v>-1.6756309474555253</v>
      </c>
      <c r="L8" s="2856">
        <v>-0.36240615441653473</v>
      </c>
      <c r="M8" s="2856">
        <v>-1.0777797736665477E-2</v>
      </c>
      <c r="N8" s="2856">
        <v>-1.9391306623400433</v>
      </c>
      <c r="O8" s="2856">
        <v>1.0510549064920598</v>
      </c>
      <c r="P8" s="2856">
        <v>-0.78654983019579794</v>
      </c>
      <c r="Q8" s="2856">
        <v>-6.5112215546158606E-2</v>
      </c>
      <c r="R8" s="2856">
        <v>0.48919124192507424</v>
      </c>
      <c r="S8" s="2856">
        <v>-2.0456995394113613</v>
      </c>
      <c r="T8" s="2856">
        <v>-1.6466159803003022</v>
      </c>
      <c r="U8" s="2856">
        <v>-1.7231694422416071</v>
      </c>
      <c r="V8" s="2856">
        <v>-1.7356710617976083</v>
      </c>
      <c r="W8" s="2856">
        <v>-0.8213070515076859</v>
      </c>
      <c r="X8" s="2856">
        <v>-1.2082683947174169</v>
      </c>
      <c r="Y8" s="2856">
        <v>-1.3251849990679121</v>
      </c>
      <c r="Z8" s="2856">
        <v>-2.0669684995280555</v>
      </c>
      <c r="AA8" s="2856">
        <v>-2.3812896422556933</v>
      </c>
      <c r="AB8" s="2856">
        <v>-1.9996173713411096</v>
      </c>
      <c r="AC8" s="2856">
        <v>-1.2855852130901473</v>
      </c>
      <c r="AD8" s="2856">
        <v>-0.8979995356466135</v>
      </c>
      <c r="AE8" s="2856">
        <v>-0.64734151104869353</v>
      </c>
      <c r="AF8" s="2856">
        <v>-0.73750182189184998</v>
      </c>
      <c r="AG8" s="2856">
        <v>0.80117203258476977</v>
      </c>
      <c r="AH8" s="2856">
        <v>0.50720043474323073</v>
      </c>
      <c r="AI8" s="2856">
        <v>-1.0894337964742746</v>
      </c>
      <c r="AJ8" s="2856">
        <v>-1.0372282626591227</v>
      </c>
      <c r="AK8" s="2856">
        <v>-0.40600050587922354</v>
      </c>
      <c r="AL8" s="2856">
        <v>1.0374308589902257</v>
      </c>
      <c r="AM8" s="2856">
        <v>1.2660349944739011</v>
      </c>
      <c r="AN8" s="2856">
        <v>2.9556017612524421</v>
      </c>
      <c r="AO8" s="2856">
        <v>1.9752062639337042</v>
      </c>
      <c r="AP8" s="2856">
        <v>1.2047905618780934</v>
      </c>
      <c r="AQ8" s="2856">
        <v>2.1677870676482067</v>
      </c>
      <c r="AR8" s="2856">
        <v>-1.2993300329517601</v>
      </c>
      <c r="AS8" s="2856">
        <v>0.62336864732074171</v>
      </c>
      <c r="AT8" s="2856">
        <v>-1.5688683768880372</v>
      </c>
      <c r="AU8" s="2856">
        <v>0.19653280924584335</v>
      </c>
      <c r="AV8" s="2856">
        <v>-0.85980657976772112</v>
      </c>
      <c r="AW8" s="2856">
        <v>-3.6665193023487994</v>
      </c>
      <c r="AX8" s="2856">
        <v>-2.1519111722511539</v>
      </c>
      <c r="AY8" s="2856">
        <v>-0.878880928010916</v>
      </c>
      <c r="AZ8" s="2856">
        <v>-2.2269157151343153</v>
      </c>
      <c r="BA8" s="2856">
        <v>-0.35406858154481835</v>
      </c>
      <c r="BB8" s="2856">
        <v>7.0147309349633091E-2</v>
      </c>
      <c r="BC8" s="2856">
        <v>-0.23183072677093025</v>
      </c>
      <c r="BD8" s="2856">
        <v>1.6395663956639581</v>
      </c>
      <c r="BE8" s="2856">
        <v>0.72635672185673239</v>
      </c>
      <c r="BF8" s="2856">
        <v>1.9570511948768059</v>
      </c>
      <c r="BG8" s="2856">
        <v>-0.11128338501550578</v>
      </c>
      <c r="BH8" s="2856">
        <v>-7.0873506979421519</v>
      </c>
      <c r="BI8" s="2856">
        <v>-2.9272267000320067</v>
      </c>
      <c r="BJ8" s="2856">
        <v>-0.35439449169704335</v>
      </c>
      <c r="BK8" s="2856">
        <v>-3.9068005637773067</v>
      </c>
      <c r="BL8" s="2856">
        <v>1.3747054202670856</v>
      </c>
      <c r="BM8" s="2856">
        <v>2.6388888888888884</v>
      </c>
      <c r="BN8" s="2856">
        <v>-0.57410376818233744</v>
      </c>
      <c r="BO8" s="2856">
        <v>1.4877626285203398</v>
      </c>
      <c r="BP8" s="2856">
        <v>2.4555774925962472</v>
      </c>
      <c r="BQ8" s="2856">
        <v>1.0372128781645795</v>
      </c>
      <c r="BR8" s="2856">
        <v>0.66240261742896722</v>
      </c>
      <c r="BS8" s="2856">
        <v>-0.68982900200315722</v>
      </c>
      <c r="BT8" s="2856">
        <v>-1.4858938273221183</v>
      </c>
      <c r="BU8" s="2856">
        <v>-3.3211736300650845</v>
      </c>
      <c r="BV8" s="2856">
        <v>1.982449603638559</v>
      </c>
      <c r="BW8" s="2856">
        <v>-2.697145776131793</v>
      </c>
      <c r="BX8" s="2856">
        <v>-3.1598394597693829</v>
      </c>
      <c r="BY8" s="2856">
        <v>-2.9141414141414135</v>
      </c>
      <c r="BZ8" s="2856">
        <v>-1.373266251357661</v>
      </c>
      <c r="CA8" s="2856">
        <v>-2.5004026912163746</v>
      </c>
      <c r="CB8" s="2856">
        <v>0.60889179228654999</v>
      </c>
      <c r="CC8" s="2856">
        <v>0.60390459774330496</v>
      </c>
      <c r="CD8" s="2856">
        <v>0.60071745607101712</v>
      </c>
      <c r="CE8" s="2856">
        <v>1.2083423959013028E-2</v>
      </c>
      <c r="CH8" s="3194">
        <f t="shared" si="1"/>
        <v>0.15097614943582624</v>
      </c>
      <c r="CI8" s="3194">
        <f t="shared" si="2"/>
        <v>0.45133487747133483</v>
      </c>
      <c r="CJ8" s="3194">
        <f t="shared" si="0"/>
        <v>0.46039744544059458</v>
      </c>
    </row>
    <row r="9" spans="1:88">
      <c r="A9" s="932"/>
      <c r="B9" s="717"/>
      <c r="C9" s="718" t="s">
        <v>1712</v>
      </c>
      <c r="D9" s="2854"/>
      <c r="E9" s="2854">
        <v>-0.5908633861654855</v>
      </c>
      <c r="F9" s="2854">
        <v>2.1574781801686926</v>
      </c>
      <c r="G9" s="2854">
        <v>1.6821819369590374</v>
      </c>
      <c r="H9" s="2854">
        <v>0.32123353678124023</v>
      </c>
      <c r="I9" s="2854">
        <v>2.0673230867755299</v>
      </c>
      <c r="J9" s="2854">
        <v>3.6489480598419499</v>
      </c>
      <c r="K9" s="2854">
        <v>1.881313609019708</v>
      </c>
      <c r="L9" s="2854">
        <v>3.9261741851030152</v>
      </c>
      <c r="M9" s="2854">
        <v>2.3842704257561964</v>
      </c>
      <c r="N9" s="2854">
        <v>0.38303478723682449</v>
      </c>
      <c r="O9" s="2854">
        <v>3.6279878313776548</v>
      </c>
      <c r="P9" s="2854">
        <v>2.2679997315976586</v>
      </c>
      <c r="Q9" s="2854">
        <v>1.1400170592480885</v>
      </c>
      <c r="R9" s="2854">
        <v>2.6078917919525102</v>
      </c>
      <c r="S9" s="2854">
        <v>-1.7852909099530634</v>
      </c>
      <c r="T9" s="2854">
        <v>-1.8821162743914654</v>
      </c>
      <c r="U9" s="2854">
        <v>3.1221296417792921</v>
      </c>
      <c r="V9" s="2854">
        <v>-2.0494182578751907</v>
      </c>
      <c r="W9" s="2854">
        <v>-0.20297809460403382</v>
      </c>
      <c r="X9" s="2854">
        <v>1.3659735103648041</v>
      </c>
      <c r="Y9" s="2854">
        <v>0.60756852201131473</v>
      </c>
      <c r="Z9" s="2854">
        <v>0.58475333460972223</v>
      </c>
      <c r="AA9" s="2854">
        <v>1.1674663917198957</v>
      </c>
      <c r="AB9" s="2854">
        <v>2.8967442006318844</v>
      </c>
      <c r="AC9" s="2854">
        <v>-0.4129460884405689</v>
      </c>
      <c r="AD9" s="2854">
        <v>1.6272664677530635</v>
      </c>
      <c r="AE9" s="2854">
        <v>5.1514261839698205</v>
      </c>
      <c r="AF9" s="2854">
        <v>0.59922680412372031</v>
      </c>
      <c r="AG9" s="2854">
        <v>1.2653273269426224</v>
      </c>
      <c r="AH9" s="2854">
        <v>1.8201623388031996</v>
      </c>
      <c r="AI9" s="2854">
        <v>0.88622010560099884</v>
      </c>
      <c r="AJ9" s="2854">
        <v>3.0895743967599198</v>
      </c>
      <c r="AK9" s="2854">
        <v>3.6387165278561007</v>
      </c>
      <c r="AL9" s="2854">
        <v>2.7118231647969004</v>
      </c>
      <c r="AM9" s="2854">
        <v>3.4382149959788499</v>
      </c>
      <c r="AN9" s="2854">
        <v>3.6566255620246402</v>
      </c>
      <c r="AO9" s="2854">
        <v>2.993865744105606</v>
      </c>
      <c r="AP9" s="2854">
        <v>1.5338670159314116</v>
      </c>
      <c r="AQ9" s="2854">
        <v>2.0027689587492015</v>
      </c>
      <c r="AR9" s="2854" t="e">
        <v>#VALUE!</v>
      </c>
      <c r="AS9" s="2854" t="e">
        <v>#VALUE!</v>
      </c>
      <c r="AT9" s="2854" t="e">
        <v>#VALUE!</v>
      </c>
      <c r="AU9" s="2854" t="e">
        <v>#VALUE!</v>
      </c>
      <c r="AV9" s="2854" t="e">
        <v>#VALUE!</v>
      </c>
      <c r="AW9" s="2854">
        <v>0.89481521591987523</v>
      </c>
      <c r="AX9" s="2854">
        <v>7.026606378553879</v>
      </c>
      <c r="AY9" s="2854">
        <v>4.1232073011733927</v>
      </c>
      <c r="AZ9" s="2854">
        <v>2.8269742466017211</v>
      </c>
      <c r="BA9" s="2854">
        <v>5.5113869211404598</v>
      </c>
      <c r="BB9" s="2854">
        <v>-0.74018998579546968</v>
      </c>
      <c r="BC9" s="2854">
        <v>3.7442003465816942</v>
      </c>
      <c r="BD9" s="2854">
        <v>2.3880854365583959</v>
      </c>
      <c r="BE9" s="2854">
        <v>-0.83675402589200587</v>
      </c>
      <c r="BF9" s="2854">
        <v>-2.4826195404128892</v>
      </c>
      <c r="BG9" s="2854">
        <v>-6.3531281292176445</v>
      </c>
      <c r="BH9" s="2854">
        <v>-15.770755122676917</v>
      </c>
      <c r="BI9" s="2854">
        <v>-0.22906030081413231</v>
      </c>
      <c r="BJ9" s="2854">
        <v>-2.5531090949325042</v>
      </c>
      <c r="BK9" s="2854">
        <v>-6.0348008742796999</v>
      </c>
      <c r="BL9" s="2854">
        <v>6.5432136060175727</v>
      </c>
      <c r="BM9" s="2854">
        <v>0.99946128327994543</v>
      </c>
      <c r="BN9" s="2854">
        <v>0.55444043625338946</v>
      </c>
      <c r="BO9" s="2854">
        <v>1.7951366593148776</v>
      </c>
      <c r="BP9" s="2854">
        <v>3.9465745159343868</v>
      </c>
      <c r="BQ9" s="2854">
        <v>-0.43402548745414826</v>
      </c>
      <c r="BR9" s="2854">
        <v>0.84666039510818969</v>
      </c>
      <c r="BS9" s="2854">
        <v>-0.11430523439142082</v>
      </c>
      <c r="BT9" s="2854">
        <v>-0.7957908582703066</v>
      </c>
      <c r="BU9" s="2854">
        <v>-2.8308141076637483</v>
      </c>
      <c r="BV9" s="2854">
        <v>6.541584225967112</v>
      </c>
      <c r="BW9" s="2854">
        <v>-4.4647088205535423</v>
      </c>
      <c r="BX9" s="2854">
        <v>1.5403590149209556</v>
      </c>
      <c r="BY9" s="2854">
        <v>1.2555781468670091</v>
      </c>
      <c r="BZ9" s="2854">
        <v>4.5036704784009007</v>
      </c>
      <c r="CA9" s="2854">
        <v>-1.5072304640223577</v>
      </c>
      <c r="CB9" s="2854">
        <v>0.82468741686618774</v>
      </c>
      <c r="CC9" s="2854">
        <v>1.4637517276039791</v>
      </c>
      <c r="CD9" s="2854">
        <v>0.59686706705466275</v>
      </c>
      <c r="CE9" s="2854">
        <v>3.1931262848209796</v>
      </c>
      <c r="CH9" s="3194">
        <f t="shared" si="1"/>
        <v>0.36593793190099477</v>
      </c>
      <c r="CI9" s="3194">
        <f t="shared" si="2"/>
        <v>0.66437146542832615</v>
      </c>
      <c r="CJ9" s="3194">
        <f t="shared" si="0"/>
        <v>3.0592161790440606</v>
      </c>
    </row>
    <row r="10" spans="1:88">
      <c r="A10" s="932"/>
      <c r="B10" s="674"/>
      <c r="C10" s="220" t="s">
        <v>912</v>
      </c>
      <c r="D10" s="2853"/>
      <c r="E10" s="2853">
        <v>3.2939762812810303</v>
      </c>
      <c r="F10" s="2853">
        <v>4.2965885238853696</v>
      </c>
      <c r="G10" s="2853">
        <v>3.8140730323456884</v>
      </c>
      <c r="H10" s="2853">
        <v>5.3976410136634456</v>
      </c>
      <c r="I10" s="2853">
        <v>3.2597615565306048</v>
      </c>
      <c r="J10" s="2853">
        <v>5.5840504753524645</v>
      </c>
      <c r="K10" s="2853">
        <v>5.0122969979064846</v>
      </c>
      <c r="L10" s="2853">
        <v>3.9969031259072807</v>
      </c>
      <c r="M10" s="2853">
        <v>2.9815745393634741</v>
      </c>
      <c r="N10" s="2853">
        <v>2.150654232632121</v>
      </c>
      <c r="O10" s="2853">
        <v>8.6851137610133975</v>
      </c>
      <c r="P10" s="2853">
        <v>2.9545343556185211</v>
      </c>
      <c r="Q10" s="2853">
        <v>-1.3360528729089771</v>
      </c>
      <c r="R10" s="2853">
        <v>-6.464639989743759</v>
      </c>
      <c r="S10" s="2853">
        <v>-5.712131855329206</v>
      </c>
      <c r="T10" s="2853">
        <v>-5.5221412606981328</v>
      </c>
      <c r="U10" s="2853">
        <v>-4.9967303919682848</v>
      </c>
      <c r="V10" s="2853">
        <v>-0.80168434691070267</v>
      </c>
      <c r="W10" s="2853">
        <v>-1.0061224489795961</v>
      </c>
      <c r="X10" s="2853">
        <v>8.5121735007318566</v>
      </c>
      <c r="Y10" s="2853">
        <v>0.68014286799908952</v>
      </c>
      <c r="Z10" s="2853">
        <v>7.4687700494395548</v>
      </c>
      <c r="AA10" s="2853">
        <v>0.45301306363254579</v>
      </c>
      <c r="AB10" s="2853">
        <v>10.12060828526482</v>
      </c>
      <c r="AC10" s="2853">
        <v>3.9365079365079492</v>
      </c>
      <c r="AD10" s="2853">
        <v>2.6389737324373774</v>
      </c>
      <c r="AE10" s="2853">
        <v>4.1230210689203739</v>
      </c>
      <c r="AF10" s="2853">
        <v>4.9271924434473036</v>
      </c>
      <c r="AG10" s="2853">
        <v>8.348427690086746</v>
      </c>
      <c r="AH10" s="2853">
        <v>-1.3135236371406567</v>
      </c>
      <c r="AI10" s="2853">
        <v>5.7443448135316988</v>
      </c>
      <c r="AJ10" s="2853">
        <v>5.8213485582134794</v>
      </c>
      <c r="AK10" s="2853">
        <v>-7.8151499630072401</v>
      </c>
      <c r="AL10" s="2853">
        <v>3.7017372729630127</v>
      </c>
      <c r="AM10" s="2853">
        <v>3.3064640956338209</v>
      </c>
      <c r="AN10" s="2853">
        <v>-5.1426859065971886</v>
      </c>
      <c r="AO10" s="2853">
        <v>4.4032951811620702</v>
      </c>
      <c r="AP10" s="2853">
        <v>4.7284873030281505</v>
      </c>
      <c r="AQ10" s="2853">
        <v>5.3573214503995104</v>
      </c>
      <c r="AR10" s="2853">
        <v>13.398677776605862</v>
      </c>
      <c r="AS10" s="2853">
        <v>4.2713083691952036</v>
      </c>
      <c r="AT10" s="2853">
        <v>6.0613527165208625</v>
      </c>
      <c r="AU10" s="2853">
        <v>4.599837379486571</v>
      </c>
      <c r="AV10" s="2853">
        <v>3.3814547473625778</v>
      </c>
      <c r="AW10" s="2853">
        <v>2.3873462591975869</v>
      </c>
      <c r="AX10" s="2853">
        <v>-2.3684003462113523</v>
      </c>
      <c r="AY10" s="2853">
        <v>3.1673114119922685</v>
      </c>
      <c r="AZ10" s="2853">
        <v>-1.9034971226206343</v>
      </c>
      <c r="BA10" s="2853">
        <v>0.5149713314928972</v>
      </c>
      <c r="BB10" s="2853">
        <v>6.1664818042571179</v>
      </c>
      <c r="BC10" s="2853">
        <v>-0.45521255690157414</v>
      </c>
      <c r="BD10" s="2853">
        <v>9.3607876455594763</v>
      </c>
      <c r="BE10" s="2853">
        <v>4.4100173658714992</v>
      </c>
      <c r="BF10" s="2853">
        <v>-3.0835558278986319</v>
      </c>
      <c r="BG10" s="2853">
        <v>-3.5948966918821101</v>
      </c>
      <c r="BH10" s="2853">
        <v>-7.2400627737568275</v>
      </c>
      <c r="BI10" s="2853">
        <v>-6.6006767334983003</v>
      </c>
      <c r="BJ10" s="2853">
        <v>2.3412998810425023</v>
      </c>
      <c r="BK10" s="2853">
        <v>4.5094309716278147</v>
      </c>
      <c r="BL10" s="2853">
        <v>4.9392078056672117</v>
      </c>
      <c r="BM10" s="2853">
        <v>7.9465253522822854</v>
      </c>
      <c r="BN10" s="2853">
        <v>5.0787700272236336</v>
      </c>
      <c r="BO10" s="2853">
        <v>5.408791675514979</v>
      </c>
      <c r="BP10" s="2853">
        <v>3.1710216169389849</v>
      </c>
      <c r="BQ10" s="2853">
        <v>3.3742750580929792</v>
      </c>
      <c r="BR10" s="2853">
        <v>0.21723115283627248</v>
      </c>
      <c r="BS10" s="2853">
        <v>0.30157952275040589</v>
      </c>
      <c r="BT10" s="2853">
        <v>4.4800240538204417</v>
      </c>
      <c r="BU10" s="2853">
        <v>2.7051332781754533</v>
      </c>
      <c r="BV10" s="2853">
        <v>5.6425344121046717</v>
      </c>
      <c r="BW10" s="2853">
        <v>4.460911080167107</v>
      </c>
      <c r="BX10" s="2853">
        <v>2.7263349996032638</v>
      </c>
      <c r="BY10" s="2853">
        <v>-1.1230747841131983</v>
      </c>
      <c r="BZ10" s="2853">
        <v>0.5890072805674329</v>
      </c>
      <c r="CA10" s="2853">
        <v>1.2969262072286103</v>
      </c>
      <c r="CB10" s="2853">
        <v>-0.53819497684688411</v>
      </c>
      <c r="CC10" s="2853">
        <v>3.2343102039557925</v>
      </c>
      <c r="CD10" s="2853">
        <v>0.77055178078100361</v>
      </c>
      <c r="CE10" s="2853">
        <v>0.25636845927001772</v>
      </c>
      <c r="CH10" s="3194">
        <f t="shared" si="1"/>
        <v>0.80857755098894812</v>
      </c>
      <c r="CI10" s="3194">
        <f t="shared" si="2"/>
        <v>1.1938534413794499</v>
      </c>
      <c r="CJ10" s="3194">
        <f t="shared" si="0"/>
        <v>1.3861297858319632</v>
      </c>
    </row>
    <row r="11" spans="1:88">
      <c r="A11" s="932"/>
      <c r="B11" s="717"/>
      <c r="C11" s="718" t="s">
        <v>1359</v>
      </c>
      <c r="D11" s="2854"/>
      <c r="E11" s="2854">
        <v>0.51279767868142034</v>
      </c>
      <c r="F11" s="2854">
        <v>2.782002628431357</v>
      </c>
      <c r="G11" s="2854">
        <v>2.3137705624596272</v>
      </c>
      <c r="H11" s="2854">
        <v>1.8472102281104075</v>
      </c>
      <c r="I11" s="2854">
        <v>2.4382677751582094</v>
      </c>
      <c r="J11" s="2854">
        <v>4.2557486927906396</v>
      </c>
      <c r="K11" s="2854">
        <v>2.8756220832284685</v>
      </c>
      <c r="L11" s="2854">
        <v>3.9491021345480437</v>
      </c>
      <c r="M11" s="2854">
        <v>2.5779854169684757</v>
      </c>
      <c r="N11" s="2854">
        <v>0.95855669253810394</v>
      </c>
      <c r="O11" s="2854">
        <v>5.2939873639055168</v>
      </c>
      <c r="P11" s="2854">
        <v>2.501453045860913</v>
      </c>
      <c r="Q11" s="2854">
        <v>0.29431777679369553</v>
      </c>
      <c r="R11" s="2854">
        <v>-0.4404503577986052</v>
      </c>
      <c r="S11" s="2854">
        <v>-3.0248619531532905</v>
      </c>
      <c r="T11" s="2854">
        <v>-2.999308452495153</v>
      </c>
      <c r="U11" s="2854">
        <v>0.6951072270453551</v>
      </c>
      <c r="V11" s="2854">
        <v>-1.6975088358389567</v>
      </c>
      <c r="W11" s="2854">
        <v>-0.43156023837459534</v>
      </c>
      <c r="X11" s="2854">
        <v>3.3881101135786906</v>
      </c>
      <c r="Y11" s="2854">
        <v>0.62912244471904355</v>
      </c>
      <c r="Z11" s="2854">
        <v>2.6302804660603529</v>
      </c>
      <c r="AA11" s="2854">
        <v>0.94516409250589017</v>
      </c>
      <c r="AB11" s="2854">
        <v>5.1334924526565962</v>
      </c>
      <c r="AC11" s="2854">
        <v>0.99767312563061594</v>
      </c>
      <c r="AD11" s="2854">
        <v>1.9649319537183407</v>
      </c>
      <c r="AE11" s="2854">
        <v>4.8059186682996247</v>
      </c>
      <c r="AF11" s="2854">
        <v>2.0437949241387088</v>
      </c>
      <c r="AG11" s="2854">
        <v>3.6962943574019524</v>
      </c>
      <c r="AH11" s="2854">
        <v>0.69641021942556947</v>
      </c>
      <c r="AI11" s="2854">
        <v>2.5935889917948707</v>
      </c>
      <c r="AJ11" s="2854">
        <v>4.0791305068698103</v>
      </c>
      <c r="AK11" s="2854">
        <v>-0.57977697660770433</v>
      </c>
      <c r="AL11" s="2854">
        <v>3.0498783506284877</v>
      </c>
      <c r="AM11" s="2854">
        <v>3.3929375179017063</v>
      </c>
      <c r="AN11" s="2854">
        <v>0.63518572751524172</v>
      </c>
      <c r="AO11" s="2854">
        <v>3.4500387357591977</v>
      </c>
      <c r="AP11" s="2854">
        <v>2.5773587774652107</v>
      </c>
      <c r="AQ11" s="2854">
        <v>3.1214793951971576</v>
      </c>
      <c r="AR11" s="2854" t="e">
        <v>#VALUE!</v>
      </c>
      <c r="AS11" s="2854" t="e">
        <v>#VALUE!</v>
      </c>
      <c r="AT11" s="2854" t="e">
        <v>#VALUE!</v>
      </c>
      <c r="AU11" s="2854" t="e">
        <v>#VALUE!</v>
      </c>
      <c r="AV11" s="2854" t="e">
        <v>#VALUE!</v>
      </c>
      <c r="AW11" s="2854">
        <v>1.3950390610937058</v>
      </c>
      <c r="AX11" s="2854">
        <v>3.8470414883985393</v>
      </c>
      <c r="AY11" s="2854">
        <v>3.8190645514223132</v>
      </c>
      <c r="AZ11" s="2854">
        <v>1.3313024864152867</v>
      </c>
      <c r="BA11" s="2854">
        <v>3.9820600112124849</v>
      </c>
      <c r="BB11" s="2854">
        <v>1.303349013111621</v>
      </c>
      <c r="BC11" s="2854">
        <v>2.4420344630763813</v>
      </c>
      <c r="BD11" s="2854">
        <v>4.4890521940788464</v>
      </c>
      <c r="BE11" s="2854">
        <v>0.81787654748006755</v>
      </c>
      <c r="BF11" s="2854">
        <v>-2.6788841318285406</v>
      </c>
      <c r="BG11" s="2854">
        <v>-5.4560410102746033</v>
      </c>
      <c r="BH11" s="2854">
        <v>-12.941615138427121</v>
      </c>
      <c r="BI11" s="2854">
        <v>-2.4805482190020545</v>
      </c>
      <c r="BJ11" s="2854">
        <v>-0.89668045236614979</v>
      </c>
      <c r="BK11" s="2854">
        <v>-2.3496934781003009</v>
      </c>
      <c r="BL11" s="2854">
        <v>5.943252621327999</v>
      </c>
      <c r="BM11" s="2854">
        <v>3.573309059105978</v>
      </c>
      <c r="BN11" s="2854">
        <v>2.3014553193689169</v>
      </c>
      <c r="BO11" s="2854">
        <v>3.2283875749612445</v>
      </c>
      <c r="BP11" s="2854">
        <v>3.632476889059344</v>
      </c>
      <c r="BQ11" s="2854">
        <v>1.1014620550652277</v>
      </c>
      <c r="BR11" s="2854">
        <v>0.58717253839204453</v>
      </c>
      <c r="BS11" s="2854">
        <v>5.6516420729924022E-2</v>
      </c>
      <c r="BT11" s="2854">
        <v>1.3765194716764961</v>
      </c>
      <c r="BU11" s="2854">
        <v>-0.48161321345158159</v>
      </c>
      <c r="BV11" s="2854">
        <v>6.147852163175771</v>
      </c>
      <c r="BW11" s="2854">
        <v>-0.57440951424463371</v>
      </c>
      <c r="BX11" s="2854">
        <v>2.0834544503226526</v>
      </c>
      <c r="BY11" s="2854">
        <v>0.15945897846594281</v>
      </c>
      <c r="BZ11" s="2854">
        <v>2.7228338509868388</v>
      </c>
      <c r="CA11" s="2854">
        <v>-0.25807790770081551</v>
      </c>
      <c r="CB11" s="2854">
        <v>0.20810643950692764</v>
      </c>
      <c r="CC11" s="2854">
        <v>2.2588036578358839</v>
      </c>
      <c r="CD11" s="2854">
        <v>0.67560249119955618</v>
      </c>
      <c r="CE11" s="2854">
        <v>1.860568323941969</v>
      </c>
      <c r="CH11" s="3194">
        <f t="shared" si="1"/>
        <v>0.56470091445897097</v>
      </c>
      <c r="CI11" s="3194">
        <f t="shared" si="2"/>
        <v>0.90250216005874906</v>
      </c>
      <c r="CJ11" s="3194">
        <f t="shared" si="0"/>
        <v>2.2979284030152258</v>
      </c>
    </row>
    <row r="12" spans="1:88">
      <c r="A12" s="690"/>
      <c r="B12" s="691"/>
      <c r="C12" s="735" t="s">
        <v>1086</v>
      </c>
      <c r="D12" s="2855"/>
      <c r="E12" s="2855">
        <v>-0.99948950804698011</v>
      </c>
      <c r="F12" s="2855">
        <v>4.890493120199757</v>
      </c>
      <c r="G12" s="2855">
        <v>3.7258402545990776</v>
      </c>
      <c r="H12" s="2855">
        <v>6.2910025193943619</v>
      </c>
      <c r="I12" s="2855">
        <v>4.5551618126774773</v>
      </c>
      <c r="J12" s="2855">
        <v>7.3644280840366338</v>
      </c>
      <c r="K12" s="2855">
        <v>6.7024857316078545</v>
      </c>
      <c r="L12" s="2855">
        <v>6.7262289621661919</v>
      </c>
      <c r="M12" s="2855">
        <v>7.3634160669701965</v>
      </c>
      <c r="N12" s="2855">
        <v>0.65318126635089957</v>
      </c>
      <c r="O12" s="2855">
        <v>5.2017327783912215</v>
      </c>
      <c r="P12" s="2855">
        <v>3.0051512264440472</v>
      </c>
      <c r="Q12" s="2855">
        <v>0.12384774565747936</v>
      </c>
      <c r="R12" s="2855">
        <v>1.3340222650194855</v>
      </c>
      <c r="S12" s="2855">
        <v>-12.331772740617131</v>
      </c>
      <c r="T12" s="2855">
        <v>-5.1693750220310868</v>
      </c>
      <c r="U12" s="2855">
        <v>3.5572902146640439</v>
      </c>
      <c r="V12" s="2855">
        <v>-1.8880453705199307</v>
      </c>
      <c r="W12" s="2855">
        <v>-2.6432765653867873</v>
      </c>
      <c r="X12" s="2855">
        <v>2.825899064296733</v>
      </c>
      <c r="Y12" s="2855">
        <v>0.50615795051711654</v>
      </c>
      <c r="Z12" s="2855">
        <v>6.7978110284893534</v>
      </c>
      <c r="AA12" s="2855">
        <v>9.8736849273106664E-2</v>
      </c>
      <c r="AB12" s="2855">
        <v>8.0969387755101874</v>
      </c>
      <c r="AC12" s="2855">
        <v>2.6919022671134885</v>
      </c>
      <c r="AD12" s="2855">
        <v>3.9955876945704238</v>
      </c>
      <c r="AE12" s="2855">
        <v>7.4823217442545609</v>
      </c>
      <c r="AF12" s="2855">
        <v>3.0414342301840813</v>
      </c>
      <c r="AG12" s="2855">
        <v>7.5128362020803863</v>
      </c>
      <c r="AH12" s="2855">
        <v>-0.80172221809813315</v>
      </c>
      <c r="AI12" s="2855">
        <v>4.1233256005388075</v>
      </c>
      <c r="AJ12" s="2855">
        <v>1.2936610608020649</v>
      </c>
      <c r="AK12" s="2855">
        <v>-1.020528830235079</v>
      </c>
      <c r="AL12" s="2855">
        <v>4.0644675690851839</v>
      </c>
      <c r="AM12" s="2855">
        <v>4.5027151762855544</v>
      </c>
      <c r="AN12" s="2855">
        <v>1.0832188959077227</v>
      </c>
      <c r="AO12" s="2855">
        <v>5.6373694449576517</v>
      </c>
      <c r="AP12" s="2855">
        <v>4.0268318278154025</v>
      </c>
      <c r="AQ12" s="2855">
        <v>2.3231663897460342</v>
      </c>
      <c r="AR12" s="2855">
        <v>19.101426044596504</v>
      </c>
      <c r="AS12" s="2855">
        <v>7.4422775162519716</v>
      </c>
      <c r="AT12" s="2855">
        <v>2.1020237846860024</v>
      </c>
      <c r="AU12" s="2855">
        <v>9.9514687100894061</v>
      </c>
      <c r="AV12" s="2855">
        <v>0.35775681828740247</v>
      </c>
      <c r="AW12" s="2855">
        <v>-1.2500000000000067</v>
      </c>
      <c r="AX12" s="2855">
        <v>6.1790904828879611</v>
      </c>
      <c r="AY12" s="2855">
        <v>4.1924231720240179</v>
      </c>
      <c r="AZ12" s="2855">
        <v>1.2755588515732663</v>
      </c>
      <c r="BA12" s="2855">
        <v>4.1215975898069024</v>
      </c>
      <c r="BB12" s="2855">
        <v>-0.46215363594350745</v>
      </c>
      <c r="BC12" s="2855">
        <v>1.7764499263177136</v>
      </c>
      <c r="BD12" s="2855">
        <v>8.0627566098736558</v>
      </c>
      <c r="BE12" s="2855">
        <v>4.8438016225542446</v>
      </c>
      <c r="BF12" s="2855">
        <v>-1.9187339157227701</v>
      </c>
      <c r="BG12" s="2855">
        <v>-10.725568942436404</v>
      </c>
      <c r="BH12" s="2855">
        <v>-18.320137555982097</v>
      </c>
      <c r="BI12" s="2855">
        <v>-5.2529801972927448</v>
      </c>
      <c r="BJ12" s="2855">
        <v>2.5835120262484912</v>
      </c>
      <c r="BK12" s="2855">
        <v>1.835948321454639</v>
      </c>
      <c r="BL12" s="2855">
        <v>5.7918686319121671</v>
      </c>
      <c r="BM12" s="2855">
        <v>7.4641170695217252</v>
      </c>
      <c r="BN12" s="2855">
        <v>4.9531226207826684</v>
      </c>
      <c r="BO12" s="2855">
        <v>8.3236610843972834</v>
      </c>
      <c r="BP12" s="2855">
        <v>4.2744527782029751</v>
      </c>
      <c r="BQ12" s="2855">
        <v>3.853352416600675E-2</v>
      </c>
      <c r="BR12" s="2855">
        <v>-2.1992332948146398</v>
      </c>
      <c r="BS12" s="2855">
        <v>0.93585896474117636</v>
      </c>
      <c r="BT12" s="2855">
        <v>-1.0368085620319878</v>
      </c>
      <c r="BU12" s="2855">
        <v>0.91248756125494879</v>
      </c>
      <c r="BV12" s="2855">
        <v>9.1149273447820534</v>
      </c>
      <c r="BW12" s="2855">
        <v>3.0419806977457942</v>
      </c>
      <c r="BX12" s="2855">
        <v>4.1105411219592769</v>
      </c>
      <c r="BY12" s="2855">
        <v>-3.163047970245092</v>
      </c>
      <c r="BZ12" s="2855">
        <v>3.8113058893047169</v>
      </c>
      <c r="CA12" s="2855">
        <v>1.0988837238718796</v>
      </c>
      <c r="CB12" s="2855">
        <v>-2.8932922537964756</v>
      </c>
      <c r="CC12" s="2855">
        <v>6.6064324942423092</v>
      </c>
      <c r="CD12" s="2855">
        <v>0.27042134364660964</v>
      </c>
      <c r="CE12" s="2855">
        <v>5.1994817091544743</v>
      </c>
      <c r="CH12" s="3194">
        <f t="shared" si="1"/>
        <v>1.6516081235605773</v>
      </c>
      <c r="CI12" s="3194">
        <f t="shared" si="2"/>
        <v>1.7868187953838821</v>
      </c>
      <c r="CJ12" s="3194">
        <f t="shared" si="0"/>
        <v>5.6864300772497378</v>
      </c>
    </row>
    <row r="13" spans="1:88">
      <c r="A13" s="674"/>
      <c r="B13" s="717"/>
      <c r="C13" s="718" t="s">
        <v>1269</v>
      </c>
      <c r="D13" s="2854"/>
      <c r="E13" s="2854">
        <v>2.0272984805562722</v>
      </c>
      <c r="F13" s="2854">
        <v>2.5241561745903418E-2</v>
      </c>
      <c r="G13" s="2854">
        <v>2.3953244236282423</v>
      </c>
      <c r="H13" s="2854">
        <v>1.0331128439191151</v>
      </c>
      <c r="I13" s="2854">
        <v>-0.40101864590347258</v>
      </c>
      <c r="J13" s="2854">
        <v>3.4669566410000519</v>
      </c>
      <c r="K13" s="2854">
        <v>0.69212342709978891</v>
      </c>
      <c r="L13" s="2854">
        <v>1.4499567457780138</v>
      </c>
      <c r="M13" s="2854">
        <v>3.1977013624988393</v>
      </c>
      <c r="N13" s="2854">
        <v>2.9629962277707866</v>
      </c>
      <c r="O13" s="2854">
        <v>1.9155784680606081</v>
      </c>
      <c r="P13" s="2854">
        <v>2.0712971284289727</v>
      </c>
      <c r="Q13" s="2854">
        <v>1.7391304347826209</v>
      </c>
      <c r="R13" s="2854">
        <v>0.92146148076719392</v>
      </c>
      <c r="S13" s="2854">
        <v>4.0833993482758402E-3</v>
      </c>
      <c r="T13" s="2854">
        <v>-1.5034462483258682</v>
      </c>
      <c r="U13" s="2854">
        <v>0.36895473878832963</v>
      </c>
      <c r="V13" s="2854">
        <v>-1.5769561194818982</v>
      </c>
      <c r="W13" s="2854">
        <v>0.14687738675753792</v>
      </c>
      <c r="X13" s="2854">
        <v>2.1689210707162232</v>
      </c>
      <c r="Y13" s="2854">
        <v>1.2049872857025523</v>
      </c>
      <c r="Z13" s="2854">
        <v>1.3251849990679077</v>
      </c>
      <c r="AA13" s="2854">
        <v>1.6478154446701865</v>
      </c>
      <c r="AB13" s="2854">
        <v>2.8337818908667378</v>
      </c>
      <c r="AC13" s="2854">
        <v>-5.5863784197429656E-2</v>
      </c>
      <c r="AD13" s="2854">
        <v>2.2335033154162964</v>
      </c>
      <c r="AE13" s="2854">
        <v>2.3921689048000516</v>
      </c>
      <c r="AF13" s="2854">
        <v>0.37084988260078777</v>
      </c>
      <c r="AG13" s="2854">
        <v>2.9682262060924058</v>
      </c>
      <c r="AH13" s="2854">
        <v>1.5853580856800997</v>
      </c>
      <c r="AI13" s="2854">
        <v>1.4902496290052136</v>
      </c>
      <c r="AJ13" s="2854">
        <v>4.2389752320281193</v>
      </c>
      <c r="AK13" s="2854">
        <v>1.5410248473792798</v>
      </c>
      <c r="AL13" s="2854">
        <v>2.7142366087931968</v>
      </c>
      <c r="AM13" s="2854">
        <v>1.6934811709140574</v>
      </c>
      <c r="AN13" s="2854">
        <v>1.5311634607026336</v>
      </c>
      <c r="AO13" s="2854">
        <v>1.7692025440313008</v>
      </c>
      <c r="AP13" s="2854">
        <v>0.85149597687681489</v>
      </c>
      <c r="AQ13" s="2854">
        <v>2.5507954477745232</v>
      </c>
      <c r="AR13" s="2854">
        <v>28.459623382584496</v>
      </c>
      <c r="AS13" s="2854">
        <v>1.7131791420049058</v>
      </c>
      <c r="AT13" s="2854">
        <v>2.4658375556579237</v>
      </c>
      <c r="AU13" s="2854">
        <v>2.1667465835530919</v>
      </c>
      <c r="AV13" s="2854">
        <v>1.154263588630422</v>
      </c>
      <c r="AW13" s="2854">
        <v>1.6703156490597282</v>
      </c>
      <c r="AX13" s="2854">
        <v>1.5943868455954746</v>
      </c>
      <c r="AY13" s="2854">
        <v>2.8579850924353112</v>
      </c>
      <c r="AZ13" s="2854">
        <v>3.3845104060047815</v>
      </c>
      <c r="BA13" s="2854">
        <v>2.8988185598310512</v>
      </c>
      <c r="BB13" s="2854">
        <v>2.4130543546586836</v>
      </c>
      <c r="BC13" s="2854">
        <v>2.1207034773023326</v>
      </c>
      <c r="BD13" s="2854">
        <v>-0.42318307267709132</v>
      </c>
      <c r="BE13" s="2854">
        <v>0.73663463907365223</v>
      </c>
      <c r="BF13" s="2854">
        <v>-1.089535082785098</v>
      </c>
      <c r="BG13" s="2854">
        <v>-1.126262563823599</v>
      </c>
      <c r="BH13" s="2854">
        <v>-13.111433430029019</v>
      </c>
      <c r="BI13" s="2854">
        <v>-1.0879263203338652</v>
      </c>
      <c r="BJ13" s="2854">
        <v>0.57904385020515203</v>
      </c>
      <c r="BK13" s="2854">
        <v>-1.4754382919632048</v>
      </c>
      <c r="BL13" s="2854">
        <v>0.92494714587738613</v>
      </c>
      <c r="BM13" s="2854">
        <v>1.5972767740246141</v>
      </c>
      <c r="BN13" s="2854">
        <v>1.1454753722794919E-2</v>
      </c>
      <c r="BO13" s="2854">
        <v>2.48539686175695</v>
      </c>
      <c r="BP13" s="2854">
        <v>1.888690210102828</v>
      </c>
      <c r="BQ13" s="2854">
        <v>1.6521333772074209</v>
      </c>
      <c r="BR13" s="2854">
        <v>0.58806867994767309</v>
      </c>
      <c r="BS13" s="2854">
        <v>1.0780803733054345</v>
      </c>
      <c r="BT13" s="2854">
        <v>1.3319006115599441</v>
      </c>
      <c r="BU13" s="2854">
        <v>-0.2317208876088217</v>
      </c>
      <c r="BV13" s="2854">
        <v>2.132322065924841</v>
      </c>
      <c r="BW13" s="2854">
        <v>0.60642657998535299</v>
      </c>
      <c r="BX13" s="2854">
        <v>0.22987037864758975</v>
      </c>
      <c r="BY13" s="2854">
        <v>0.91100210231254142</v>
      </c>
      <c r="BZ13" s="2854">
        <v>1.1376262626262568</v>
      </c>
      <c r="CA13" s="2854">
        <v>0.75654486211158556</v>
      </c>
      <c r="CB13" s="2854">
        <v>0.52535715613268863</v>
      </c>
      <c r="CC13" s="2854">
        <v>0.82582490046958501</v>
      </c>
      <c r="CD13" s="2854">
        <v>0.53055586117529696</v>
      </c>
      <c r="CE13" s="2854">
        <v>0.63598224600229791</v>
      </c>
      <c r="CH13" s="3194">
        <f t="shared" si="1"/>
        <v>0.20645622511739625</v>
      </c>
      <c r="CI13" s="3194">
        <f t="shared" si="2"/>
        <v>0.47173415570504473</v>
      </c>
      <c r="CJ13" s="3194">
        <f t="shared" si="0"/>
        <v>0.94872084020676817</v>
      </c>
    </row>
    <row r="14" spans="1:88">
      <c r="A14" s="670"/>
      <c r="B14" s="670"/>
      <c r="C14" s="217"/>
      <c r="D14" s="217"/>
      <c r="E14" s="217"/>
      <c r="F14" s="217"/>
      <c r="G14" s="217"/>
      <c r="H14" s="217"/>
      <c r="I14" s="217"/>
      <c r="J14" s="217"/>
      <c r="K14" s="217"/>
      <c r="L14" s="217"/>
      <c r="M14" s="217"/>
      <c r="N14" s="217"/>
      <c r="O14" s="217"/>
      <c r="P14" s="217"/>
      <c r="Q14" s="217"/>
      <c r="R14" s="217"/>
      <c r="S14" s="217"/>
      <c r="T14" s="217"/>
      <c r="U14" s="217"/>
      <c r="V14" s="217"/>
      <c r="W14" s="217"/>
      <c r="X14" s="217"/>
      <c r="Y14" s="217"/>
      <c r="Z14" s="217"/>
      <c r="AA14" s="217"/>
      <c r="AB14" s="217"/>
      <c r="AC14" s="217"/>
      <c r="AD14" s="217"/>
      <c r="AE14" s="217"/>
      <c r="AF14" s="217"/>
      <c r="AG14" s="217"/>
      <c r="AH14" s="217"/>
      <c r="AI14" s="217"/>
      <c r="AJ14" s="217"/>
      <c r="AK14" s="217"/>
      <c r="AL14" s="217"/>
      <c r="AM14" s="217"/>
      <c r="AN14" s="217"/>
      <c r="AO14" s="217"/>
      <c r="AP14" s="217"/>
      <c r="AQ14" s="217"/>
      <c r="AR14" s="217"/>
      <c r="AS14" s="217"/>
      <c r="AT14" s="217"/>
      <c r="AU14" s="217"/>
      <c r="AV14" s="557"/>
      <c r="AW14" s="217"/>
      <c r="AX14" s="557"/>
      <c r="AY14" s="557"/>
      <c r="AZ14" s="557"/>
      <c r="BA14" s="557"/>
      <c r="BB14" s="557"/>
      <c r="BC14" s="557"/>
      <c r="BD14" s="557"/>
      <c r="BE14" s="557"/>
      <c r="BF14" s="557"/>
      <c r="BG14" s="557"/>
      <c r="BH14" s="557"/>
      <c r="BI14" s="557"/>
      <c r="BJ14" s="557"/>
      <c r="BK14" s="557"/>
      <c r="BL14" s="557"/>
      <c r="BM14" s="557"/>
      <c r="BN14" s="557"/>
      <c r="BO14" s="557"/>
      <c r="BP14" s="557"/>
      <c r="BQ14" s="557"/>
      <c r="BR14" s="557"/>
      <c r="BS14" s="3199" t="s">
        <v>2350</v>
      </c>
      <c r="BT14" s="3199">
        <v>0.3</v>
      </c>
      <c r="BU14" s="3199">
        <v>0.6</v>
      </c>
      <c r="BV14" s="3199">
        <v>1.2</v>
      </c>
      <c r="BW14" s="3199">
        <v>1</v>
      </c>
      <c r="BX14" s="3199">
        <v>0.6</v>
      </c>
      <c r="BY14" s="3199">
        <v>0.6</v>
      </c>
      <c r="BZ14" s="3199">
        <v>0.7</v>
      </c>
      <c r="CA14" s="3199">
        <v>0.8</v>
      </c>
      <c r="CB14" s="3199">
        <v>0.9</v>
      </c>
      <c r="CC14" s="3199">
        <v>1</v>
      </c>
      <c r="CD14" s="3199">
        <v>1</v>
      </c>
      <c r="CE14" s="3199">
        <v>1</v>
      </c>
      <c r="CH14" s="3194"/>
      <c r="CI14" s="3194"/>
      <c r="CJ14" s="3194"/>
    </row>
    <row r="15" spans="1:88">
      <c r="A15" s="3218" t="s">
        <v>2426</v>
      </c>
      <c r="CH15" s="3194"/>
      <c r="CI15" s="3194"/>
      <c r="CJ15" s="3194"/>
    </row>
    <row r="16" spans="1:88">
      <c r="A16" s="3752" t="s">
        <v>1713</v>
      </c>
      <c r="B16" s="3752"/>
      <c r="C16" s="3752"/>
      <c r="D16" s="3752">
        <v>1995</v>
      </c>
      <c r="E16" s="3752"/>
      <c r="F16" s="3752"/>
      <c r="G16" s="3752"/>
      <c r="H16" s="3752">
        <v>1996</v>
      </c>
      <c r="I16" s="3752"/>
      <c r="J16" s="3752"/>
      <c r="K16" s="3752"/>
      <c r="L16" s="3752">
        <v>1997</v>
      </c>
      <c r="M16" s="3752"/>
      <c r="N16" s="3752"/>
      <c r="O16" s="3752"/>
      <c r="P16" s="3752">
        <v>1998</v>
      </c>
      <c r="Q16" s="3752"/>
      <c r="R16" s="3752"/>
      <c r="S16" s="3752"/>
      <c r="T16" s="3752">
        <v>1999</v>
      </c>
      <c r="U16" s="3752"/>
      <c r="V16" s="3752"/>
      <c r="W16" s="3752"/>
      <c r="X16" s="3752">
        <v>2000</v>
      </c>
      <c r="Y16" s="3752"/>
      <c r="Z16" s="3752"/>
      <c r="AA16" s="3752"/>
      <c r="AB16" s="3752">
        <v>2001</v>
      </c>
      <c r="AC16" s="3752"/>
      <c r="AD16" s="3752"/>
      <c r="AE16" s="3752"/>
      <c r="AF16" s="3752">
        <v>2002</v>
      </c>
      <c r="AG16" s="3752"/>
      <c r="AH16" s="3752"/>
      <c r="AI16" s="3752"/>
      <c r="AJ16" s="3752">
        <v>2003</v>
      </c>
      <c r="AK16" s="3752"/>
      <c r="AL16" s="3752"/>
      <c r="AM16" s="3752"/>
      <c r="AN16" s="3752">
        <v>2004</v>
      </c>
      <c r="AO16" s="3752"/>
      <c r="AP16" s="3752"/>
      <c r="AQ16" s="3752"/>
      <c r="AR16" s="3752">
        <v>2005</v>
      </c>
      <c r="AS16" s="3752"/>
      <c r="AT16" s="3752"/>
      <c r="AU16" s="3752"/>
      <c r="AV16" s="3752">
        <v>2006</v>
      </c>
      <c r="AW16" s="3752"/>
      <c r="AX16" s="3752"/>
      <c r="AY16" s="3752"/>
      <c r="AZ16" s="3752">
        <v>2007</v>
      </c>
      <c r="BA16" s="3752"/>
      <c r="BB16" s="3752"/>
      <c r="BC16" s="3752"/>
      <c r="BD16" s="3752">
        <v>2008</v>
      </c>
      <c r="BE16" s="3752"/>
      <c r="BF16" s="3752"/>
      <c r="BG16" s="3752"/>
      <c r="BH16" s="3752">
        <v>2009</v>
      </c>
      <c r="BI16" s="3752"/>
      <c r="BJ16" s="3752"/>
      <c r="BK16" s="3752"/>
      <c r="BL16" s="3752">
        <v>2010</v>
      </c>
      <c r="BM16" s="3752"/>
      <c r="BN16" s="3752"/>
      <c r="BO16" s="3752"/>
      <c r="BP16" s="3752">
        <v>2011</v>
      </c>
      <c r="BQ16" s="3752"/>
      <c r="BR16" s="3752"/>
      <c r="BS16" s="3752"/>
      <c r="BT16" s="3752">
        <v>2012</v>
      </c>
      <c r="BU16" s="3752"/>
      <c r="BV16" s="3752"/>
      <c r="BW16" s="3752"/>
      <c r="BX16" s="3752">
        <v>2013</v>
      </c>
      <c r="BY16" s="3752"/>
      <c r="BZ16" s="3752"/>
      <c r="CA16" s="3752"/>
      <c r="CB16" s="3752">
        <v>2014</v>
      </c>
      <c r="CC16" s="3752"/>
      <c r="CD16" s="3752"/>
      <c r="CE16" s="3752"/>
      <c r="CH16" s="3194"/>
      <c r="CI16" s="3194"/>
      <c r="CJ16" s="3194"/>
    </row>
    <row r="17" spans="1:88">
      <c r="A17" s="1553"/>
      <c r="B17" s="742"/>
      <c r="C17" s="3384" t="s">
        <v>917</v>
      </c>
      <c r="D17" s="3385" t="s">
        <v>1842</v>
      </c>
      <c r="E17" s="3386" t="s">
        <v>1843</v>
      </c>
      <c r="F17" s="3386" t="s">
        <v>1844</v>
      </c>
      <c r="G17" s="3387" t="s">
        <v>1845</v>
      </c>
      <c r="H17" s="3385" t="s">
        <v>1842</v>
      </c>
      <c r="I17" s="3386" t="s">
        <v>1843</v>
      </c>
      <c r="J17" s="3386" t="s">
        <v>1844</v>
      </c>
      <c r="K17" s="3387" t="s">
        <v>1845</v>
      </c>
      <c r="L17" s="3385" t="s">
        <v>1842</v>
      </c>
      <c r="M17" s="3386" t="s">
        <v>1843</v>
      </c>
      <c r="N17" s="3386" t="s">
        <v>1844</v>
      </c>
      <c r="O17" s="3387" t="s">
        <v>1845</v>
      </c>
      <c r="P17" s="3385" t="s">
        <v>1842</v>
      </c>
      <c r="Q17" s="3386" t="s">
        <v>1843</v>
      </c>
      <c r="R17" s="3386" t="s">
        <v>1844</v>
      </c>
      <c r="S17" s="3387" t="s">
        <v>1845</v>
      </c>
      <c r="T17" s="3385" t="s">
        <v>1842</v>
      </c>
      <c r="U17" s="3386" t="s">
        <v>1843</v>
      </c>
      <c r="V17" s="3386" t="s">
        <v>1844</v>
      </c>
      <c r="W17" s="3387" t="s">
        <v>1845</v>
      </c>
      <c r="X17" s="3385" t="s">
        <v>1842</v>
      </c>
      <c r="Y17" s="3386" t="s">
        <v>1843</v>
      </c>
      <c r="Z17" s="3386" t="s">
        <v>1844</v>
      </c>
      <c r="AA17" s="3387" t="s">
        <v>1845</v>
      </c>
      <c r="AB17" s="3385" t="s">
        <v>1842</v>
      </c>
      <c r="AC17" s="3386" t="s">
        <v>1843</v>
      </c>
      <c r="AD17" s="3386" t="s">
        <v>1844</v>
      </c>
      <c r="AE17" s="3387" t="s">
        <v>1845</v>
      </c>
      <c r="AF17" s="3385" t="s">
        <v>1842</v>
      </c>
      <c r="AG17" s="3386" t="s">
        <v>1843</v>
      </c>
      <c r="AH17" s="3386" t="s">
        <v>1844</v>
      </c>
      <c r="AI17" s="3387" t="s">
        <v>1845</v>
      </c>
      <c r="AJ17" s="3385" t="s">
        <v>1842</v>
      </c>
      <c r="AK17" s="3386" t="s">
        <v>1843</v>
      </c>
      <c r="AL17" s="3386" t="s">
        <v>1844</v>
      </c>
      <c r="AM17" s="3387" t="s">
        <v>1845</v>
      </c>
      <c r="AN17" s="3385" t="s">
        <v>1842</v>
      </c>
      <c r="AO17" s="3386" t="s">
        <v>1843</v>
      </c>
      <c r="AP17" s="3386" t="s">
        <v>1844</v>
      </c>
      <c r="AQ17" s="3387" t="s">
        <v>1845</v>
      </c>
      <c r="AR17" s="3385" t="s">
        <v>1842</v>
      </c>
      <c r="AS17" s="3386" t="s">
        <v>1843</v>
      </c>
      <c r="AT17" s="3386" t="s">
        <v>1844</v>
      </c>
      <c r="AU17" s="3387" t="s">
        <v>1845</v>
      </c>
      <c r="AV17" s="3385" t="s">
        <v>1842</v>
      </c>
      <c r="AW17" s="3386" t="s">
        <v>1843</v>
      </c>
      <c r="AX17" s="3386" t="s">
        <v>1844</v>
      </c>
      <c r="AY17" s="3386" t="s">
        <v>1845</v>
      </c>
      <c r="AZ17" s="3386" t="s">
        <v>1842</v>
      </c>
      <c r="BA17" s="3386" t="s">
        <v>1843</v>
      </c>
      <c r="BB17" s="3386" t="s">
        <v>1844</v>
      </c>
      <c r="BC17" s="3386" t="s">
        <v>1845</v>
      </c>
      <c r="BD17" s="3386" t="s">
        <v>1842</v>
      </c>
      <c r="BE17" s="3386" t="s">
        <v>1843</v>
      </c>
      <c r="BF17" s="3386" t="s">
        <v>1844</v>
      </c>
      <c r="BG17" s="3386" t="s">
        <v>1845</v>
      </c>
      <c r="BH17" s="3386" t="s">
        <v>1842</v>
      </c>
      <c r="BI17" s="3386" t="s">
        <v>1843</v>
      </c>
      <c r="BJ17" s="3386" t="s">
        <v>1844</v>
      </c>
      <c r="BK17" s="3386" t="s">
        <v>1845</v>
      </c>
      <c r="BL17" s="3386" t="s">
        <v>1842</v>
      </c>
      <c r="BM17" s="3386" t="s">
        <v>1843</v>
      </c>
      <c r="BN17" s="3386" t="s">
        <v>1844</v>
      </c>
      <c r="BO17" s="3386" t="s">
        <v>1845</v>
      </c>
      <c r="BP17" s="3386" t="s">
        <v>1842</v>
      </c>
      <c r="BQ17" s="3386" t="s">
        <v>1843</v>
      </c>
      <c r="BR17" s="3386" t="s">
        <v>1844</v>
      </c>
      <c r="BS17" s="3386" t="s">
        <v>1845</v>
      </c>
      <c r="BT17" s="3386" t="s">
        <v>1842</v>
      </c>
      <c r="BU17" s="3386" t="s">
        <v>1843</v>
      </c>
      <c r="BV17" s="3386" t="s">
        <v>1844</v>
      </c>
      <c r="BW17" s="3386" t="s">
        <v>1845</v>
      </c>
      <c r="BX17" s="3386" t="s">
        <v>1842</v>
      </c>
      <c r="BY17" s="3386" t="s">
        <v>1843</v>
      </c>
      <c r="BZ17" s="3386" t="s">
        <v>1844</v>
      </c>
      <c r="CA17" s="3386" t="s">
        <v>1845</v>
      </c>
      <c r="CB17" s="3386" t="s">
        <v>1842</v>
      </c>
      <c r="CC17" s="3386" t="s">
        <v>1843</v>
      </c>
      <c r="CD17" s="3386" t="s">
        <v>1844</v>
      </c>
      <c r="CE17" s="3386" t="s">
        <v>1845</v>
      </c>
      <c r="CH17" s="3194"/>
      <c r="CI17" s="3194"/>
      <c r="CJ17" s="3194"/>
    </row>
    <row r="18" spans="1:88">
      <c r="A18" s="762"/>
      <c r="B18" s="689"/>
      <c r="C18" s="732" t="s">
        <v>1069</v>
      </c>
      <c r="D18" s="2852"/>
      <c r="E18" s="2852">
        <v>2.6037399821905449</v>
      </c>
      <c r="F18" s="2852">
        <v>2.2825105880719398</v>
      </c>
      <c r="G18" s="2852">
        <v>1.6274373377229479</v>
      </c>
      <c r="H18" s="2852">
        <v>1.1238018902581581</v>
      </c>
      <c r="I18" s="2852">
        <v>1.3111180831915981</v>
      </c>
      <c r="J18" s="2852">
        <v>0.19069972128500368</v>
      </c>
      <c r="K18" s="2852">
        <v>3.232471124125591</v>
      </c>
      <c r="L18" s="2852">
        <v>1.6562396583513106</v>
      </c>
      <c r="M18" s="2852">
        <v>-0.17052148570718684</v>
      </c>
      <c r="N18" s="2852">
        <v>2.158452125842425</v>
      </c>
      <c r="O18" s="2852">
        <v>1.7480391560770858</v>
      </c>
      <c r="P18" s="2852">
        <v>1.3475156114613585</v>
      </c>
      <c r="Q18" s="2852">
        <v>-0.83431603773584939</v>
      </c>
      <c r="R18" s="2852">
        <v>3.0502125635461175</v>
      </c>
      <c r="S18" s="2852">
        <v>0.38946427025934316</v>
      </c>
      <c r="T18" s="2852">
        <v>-0.51583424334731287</v>
      </c>
      <c r="U18" s="2852">
        <v>4.4730418706760977</v>
      </c>
      <c r="V18" s="2852">
        <v>1.1032156385655245</v>
      </c>
      <c r="W18" s="2852">
        <v>-0.22014986599570019</v>
      </c>
      <c r="X18" s="2852">
        <v>1.9062367241780676</v>
      </c>
      <c r="Y18" s="2852">
        <v>3.1239073720448651</v>
      </c>
      <c r="Z18" s="2852">
        <v>0.9063050140184048</v>
      </c>
      <c r="AA18" s="2852">
        <v>1.1178599121219879</v>
      </c>
      <c r="AB18" s="2852">
        <v>2.1701067160841081</v>
      </c>
      <c r="AC18" s="2852">
        <v>-1.4860588169070654</v>
      </c>
      <c r="AD18" s="2852">
        <v>1.8182972509682038</v>
      </c>
      <c r="AE18" s="2852">
        <v>1.9903475625724809</v>
      </c>
      <c r="AF18" s="2852">
        <v>2.0334299304256342</v>
      </c>
      <c r="AG18" s="2852">
        <v>1.1624283968075133</v>
      </c>
      <c r="AH18" s="2852">
        <v>1.3172858225928508</v>
      </c>
      <c r="AI18" s="2852">
        <v>1.778364979889635</v>
      </c>
      <c r="AJ18" s="2852">
        <v>5.3751335454743865</v>
      </c>
      <c r="AK18" s="2852">
        <v>2.0462672248386715</v>
      </c>
      <c r="AL18" s="2852">
        <v>1.04054270605205</v>
      </c>
      <c r="AM18" s="2852">
        <v>4.4111272058279472</v>
      </c>
      <c r="AN18" s="2852">
        <v>1.890613765936533</v>
      </c>
      <c r="AO18" s="2852">
        <v>3.5739132163231213</v>
      </c>
      <c r="AP18" s="2852">
        <v>3.2826683554992631</v>
      </c>
      <c r="AQ18" s="2852">
        <v>1.3499326427277136</v>
      </c>
      <c r="AR18" s="2852">
        <v>2.673987973012637</v>
      </c>
      <c r="AS18" s="2852">
        <v>3.8087585375653044</v>
      </c>
      <c r="AT18" s="2852">
        <v>2.2843185317060977</v>
      </c>
      <c r="AU18" s="2852">
        <v>3.445811296005119</v>
      </c>
      <c r="AV18" s="2852">
        <v>27.659418817313576</v>
      </c>
      <c r="AW18" s="2852">
        <v>3.6866535500754249</v>
      </c>
      <c r="AX18" s="2852">
        <v>5.8135750385340801</v>
      </c>
      <c r="AY18" s="2852">
        <v>0.37084324763507759</v>
      </c>
      <c r="AZ18" s="2852">
        <v>4.5209859553972498</v>
      </c>
      <c r="BA18" s="2852">
        <v>2.4357187112763246</v>
      </c>
      <c r="BB18" s="2852">
        <v>0.33590573037893812</v>
      </c>
      <c r="BC18" s="2852">
        <v>5.4587632472698155</v>
      </c>
      <c r="BD18" s="2852">
        <v>-4.0829867047753599E-2</v>
      </c>
      <c r="BE18" s="2852">
        <v>0.40387021010441781</v>
      </c>
      <c r="BF18" s="2852">
        <v>-1.9863104258413533</v>
      </c>
      <c r="BG18" s="2852">
        <v>-2.2688596036110842</v>
      </c>
      <c r="BH18" s="2852">
        <v>-11.558287810497593</v>
      </c>
      <c r="BI18" s="2852">
        <v>-2.0690897085746895</v>
      </c>
      <c r="BJ18" s="2852">
        <v>-2.2053595508372825</v>
      </c>
      <c r="BK18" s="2852">
        <v>-4.384832340958944</v>
      </c>
      <c r="BL18" s="2852">
        <v>0.79643929362716026</v>
      </c>
      <c r="BM18" s="2852">
        <v>-0.77648940943880751</v>
      </c>
      <c r="BN18" s="2852">
        <v>2.6990004915615096</v>
      </c>
      <c r="BO18" s="2852">
        <v>0.51501981581818512</v>
      </c>
      <c r="BP18" s="2852">
        <v>0.94222222222222207</v>
      </c>
      <c r="BQ18" s="2852">
        <v>1.3403864539828003</v>
      </c>
      <c r="BR18" s="2852">
        <v>0.96949383980386994</v>
      </c>
      <c r="BS18" s="2852">
        <v>2.0808104403203798</v>
      </c>
      <c r="BT18" s="2852">
        <v>0.31915790487888618</v>
      </c>
      <c r="BU18" s="2852">
        <v>9.60430272760604E-3</v>
      </c>
      <c r="BV18" s="2852">
        <v>-0.45556035724572119</v>
      </c>
      <c r="BW18" s="2852">
        <v>2.3883170836122014</v>
      </c>
      <c r="BX18" s="2852">
        <v>1.140686649785061</v>
      </c>
      <c r="BY18" s="2852">
        <v>0.8646439239113235</v>
      </c>
      <c r="BZ18" s="2852">
        <v>2.6490486746097774</v>
      </c>
      <c r="CA18" s="2852">
        <v>-0.22719476327317523</v>
      </c>
      <c r="CB18" s="2852">
        <v>2.1288828015353811</v>
      </c>
      <c r="CC18" s="2852">
        <v>1.4956345132840942</v>
      </c>
      <c r="CD18" s="2852">
        <v>0.68133373934227137</v>
      </c>
      <c r="CE18" s="2852">
        <v>0.25</v>
      </c>
      <c r="CH18" s="3194">
        <f t="shared" si="1"/>
        <v>0.37390862832102356</v>
      </c>
      <c r="CI18" s="3194">
        <f t="shared" si="2"/>
        <v>0.71457549799215925</v>
      </c>
      <c r="CJ18" s="3194">
        <f t="shared" ref="CJ18:CJ27" si="3">0.75*CE18+0.5*CD18+0.25*CC18</f>
        <v>0.90207549799215925</v>
      </c>
    </row>
    <row r="19" spans="1:88">
      <c r="A19" s="932"/>
      <c r="B19" s="674"/>
      <c r="C19" s="220" t="s">
        <v>1846</v>
      </c>
      <c r="D19" s="2853"/>
      <c r="E19" s="2853">
        <v>-0.23001521639123279</v>
      </c>
      <c r="F19" s="2853">
        <v>0.18443640490883872</v>
      </c>
      <c r="G19" s="2853">
        <v>0.84967783048928158</v>
      </c>
      <c r="H19" s="2853">
        <v>-1.2883521729972536</v>
      </c>
      <c r="I19" s="2853">
        <v>-9.9576798605927053E-2</v>
      </c>
      <c r="J19" s="2853">
        <v>1.39190488056673</v>
      </c>
      <c r="K19" s="2853">
        <v>-0.9830770311073711</v>
      </c>
      <c r="L19" s="2853">
        <v>0.92901212679952216</v>
      </c>
      <c r="M19" s="2853">
        <v>2.7086846543001863</v>
      </c>
      <c r="N19" s="2853">
        <v>0.71147597058320855</v>
      </c>
      <c r="O19" s="2853">
        <v>-0.50945895459022505</v>
      </c>
      <c r="P19" s="2853">
        <v>3.7278530706994717</v>
      </c>
      <c r="Q19" s="2853">
        <v>0.10860622017443422</v>
      </c>
      <c r="R19" s="2853">
        <v>0.12163850351765149</v>
      </c>
      <c r="S19" s="2853">
        <v>1.1919225086192808</v>
      </c>
      <c r="T19" s="2853">
        <v>-3.8484002855474264</v>
      </c>
      <c r="U19" s="2853">
        <v>-0.60070194384448383</v>
      </c>
      <c r="V19" s="2853">
        <v>-1.8673185305900675</v>
      </c>
      <c r="W19" s="2853">
        <v>-8.3033490174366786E-2</v>
      </c>
      <c r="X19" s="2853">
        <v>2.1087257617728561</v>
      </c>
      <c r="Y19" s="2853">
        <v>-0.96307097561804111</v>
      </c>
      <c r="Z19" s="2853">
        <v>0.34240712206814461</v>
      </c>
      <c r="AA19" s="2853">
        <v>0.45384746630268147</v>
      </c>
      <c r="AB19" s="2853">
        <v>0.46198790678715351</v>
      </c>
      <c r="AC19" s="2853">
        <v>0.29755866639615824</v>
      </c>
      <c r="AD19" s="2853">
        <v>-0.16182320814509543</v>
      </c>
      <c r="AE19" s="2853">
        <v>0.21273721888295238</v>
      </c>
      <c r="AF19" s="2853">
        <v>1.533173838325963</v>
      </c>
      <c r="AG19" s="2853">
        <v>-0.34182928448159844</v>
      </c>
      <c r="AH19" s="2853">
        <v>1.9014952212860869</v>
      </c>
      <c r="AI19" s="2853">
        <v>0.27777777777777679</v>
      </c>
      <c r="AJ19" s="2853">
        <v>0.47254358807236052</v>
      </c>
      <c r="AK19" s="2853">
        <v>1.2455400583846865</v>
      </c>
      <c r="AL19" s="2853">
        <v>0.57025693599026539</v>
      </c>
      <c r="AM19" s="2853">
        <v>1.1754587155963447</v>
      </c>
      <c r="AN19" s="2853">
        <v>1.1460596328831008</v>
      </c>
      <c r="AO19" s="2853">
        <v>1.9828793774318898</v>
      </c>
      <c r="AP19" s="2853">
        <v>0.60435870825956695</v>
      </c>
      <c r="AQ19" s="2853">
        <v>0.6280339805825097</v>
      </c>
      <c r="AR19" s="2853">
        <v>0.27135405674314494</v>
      </c>
      <c r="AS19" s="2853">
        <v>1.3290435096370956</v>
      </c>
      <c r="AT19" s="2853">
        <v>-0.64393602184042997</v>
      </c>
      <c r="AU19" s="2853">
        <v>1.4037393226211226</v>
      </c>
      <c r="AV19" s="2853">
        <v>41.596960414703112</v>
      </c>
      <c r="AW19" s="2853">
        <v>0.94019760790431395</v>
      </c>
      <c r="AX19" s="2853">
        <v>1.3003070455622767</v>
      </c>
      <c r="AY19" s="2853">
        <v>0.97237479148868378</v>
      </c>
      <c r="AZ19" s="2853">
        <v>0.58223869771938386</v>
      </c>
      <c r="BA19" s="2853">
        <v>2.4036054081122415E-2</v>
      </c>
      <c r="BB19" s="2853">
        <v>-0.3424314636441772</v>
      </c>
      <c r="BC19" s="2853">
        <v>-4.0188080215664002E-3</v>
      </c>
      <c r="BD19" s="2853">
        <v>3.0142271521582664E-2</v>
      </c>
      <c r="BE19" s="2853">
        <v>0.28526085297015946</v>
      </c>
      <c r="BF19" s="2853">
        <v>0.41265199014439702</v>
      </c>
      <c r="BG19" s="2853">
        <v>8.7777046302406347E-2</v>
      </c>
      <c r="BH19" s="2853">
        <v>-0.33485479659565165</v>
      </c>
      <c r="BI19" s="2853">
        <v>-0.85194888306702188</v>
      </c>
      <c r="BJ19" s="2853">
        <v>-1.270750549650046</v>
      </c>
      <c r="BK19" s="2853">
        <v>-1.2094714691400776</v>
      </c>
      <c r="BL19" s="2853">
        <v>-1.0236790404301477</v>
      </c>
      <c r="BM19" s="2853">
        <v>-0.69368992895947335</v>
      </c>
      <c r="BN19" s="2853">
        <v>-0.31981147954889266</v>
      </c>
      <c r="BO19" s="2853">
        <v>-0.14775413711582974</v>
      </c>
      <c r="BP19" s="2853">
        <v>0.11837821840781082</v>
      </c>
      <c r="BQ19" s="2853">
        <v>0.3209323930577046</v>
      </c>
      <c r="BR19" s="2853">
        <v>0.38094035442188812</v>
      </c>
      <c r="BS19" s="2853">
        <v>0.40675123178530725</v>
      </c>
      <c r="BT19" s="2853">
        <v>0.35916389985173325</v>
      </c>
      <c r="BU19" s="2853">
        <v>0.25800545140550746</v>
      </c>
      <c r="BV19" s="2853">
        <v>0.29884818927050638</v>
      </c>
      <c r="BW19" s="2853">
        <v>0.39520784622069094</v>
      </c>
      <c r="BX19" s="2853">
        <v>0.46166529266280509</v>
      </c>
      <c r="BY19" s="2853">
        <v>0.49647136057773267</v>
      </c>
      <c r="BZ19" s="2853">
        <v>0.45114930796552599</v>
      </c>
      <c r="CA19" s="2853">
        <v>0.3983173125774675</v>
      </c>
      <c r="CB19" s="2853">
        <v>0.14169180009311333</v>
      </c>
      <c r="CC19" s="2853">
        <v>0.30117437794352497</v>
      </c>
      <c r="CD19" s="2853">
        <v>0.49373261859659845</v>
      </c>
      <c r="CE19" s="2853">
        <v>2.15</v>
      </c>
      <c r="CH19" s="3194">
        <f t="shared" si="1"/>
        <v>7.5293594485881243E-2</v>
      </c>
      <c r="CI19" s="3194">
        <f t="shared" si="2"/>
        <v>0.32215990378418047</v>
      </c>
      <c r="CJ19" s="3194">
        <f t="shared" si="3"/>
        <v>1.9346599037841803</v>
      </c>
    </row>
    <row r="20" spans="1:88">
      <c r="A20" s="932"/>
      <c r="B20" s="674"/>
      <c r="C20" s="220" t="s">
        <v>1067</v>
      </c>
      <c r="D20" s="2853"/>
      <c r="E20" s="2853">
        <v>5.0036845983787881</v>
      </c>
      <c r="F20" s="2853">
        <v>0.65969541722226133</v>
      </c>
      <c r="G20" s="2853">
        <v>8.1572892700271673</v>
      </c>
      <c r="H20" s="2853">
        <v>4.3382969122671478</v>
      </c>
      <c r="I20" s="2853">
        <v>3.4041764487829029</v>
      </c>
      <c r="J20" s="2853">
        <v>3.160662006333248</v>
      </c>
      <c r="K20" s="2853">
        <v>9.359434727209571</v>
      </c>
      <c r="L20" s="2853">
        <v>6.7471666137061792</v>
      </c>
      <c r="M20" s="2853">
        <v>2.4905735264933559</v>
      </c>
      <c r="N20" s="2853">
        <v>8.0114241456094462</v>
      </c>
      <c r="O20" s="2853">
        <v>4.8402276699681668</v>
      </c>
      <c r="P20" s="2853">
        <v>8.0323173598939803</v>
      </c>
      <c r="Q20" s="2853">
        <v>5.729661285216836</v>
      </c>
      <c r="R20" s="2853">
        <v>2.4625748502994149</v>
      </c>
      <c r="S20" s="2853">
        <v>-5.2414347286142249</v>
      </c>
      <c r="T20" s="2853">
        <v>-1.7654087807886576</v>
      </c>
      <c r="U20" s="2853">
        <v>2.9821463606042764</v>
      </c>
      <c r="V20" s="2853">
        <v>-8.6797485235282963</v>
      </c>
      <c r="W20" s="2853">
        <v>-4.8733675470438387</v>
      </c>
      <c r="X20" s="2853">
        <v>-2.1711478573621656</v>
      </c>
      <c r="Y20" s="2853">
        <v>-0.96395265423243615</v>
      </c>
      <c r="Z20" s="2853">
        <v>3.3998822943546836</v>
      </c>
      <c r="AA20" s="2853">
        <v>3.3143607705779177</v>
      </c>
      <c r="AB20" s="2853">
        <v>4.4031020892486339</v>
      </c>
      <c r="AC20" s="2853">
        <v>-2.5937652216268869</v>
      </c>
      <c r="AD20" s="2853">
        <v>2.8503562945368266</v>
      </c>
      <c r="AE20" s="2853">
        <v>21.109355374579629</v>
      </c>
      <c r="AF20" s="2853">
        <v>-6.0185340068917075</v>
      </c>
      <c r="AG20" s="2853">
        <v>-1.5200056955716801</v>
      </c>
      <c r="AH20" s="2853">
        <v>1.5579251762154467</v>
      </c>
      <c r="AI20" s="2853">
        <v>7.1611617312072884</v>
      </c>
      <c r="AJ20" s="2853">
        <v>-0.43842168194501152</v>
      </c>
      <c r="AK20" s="2853">
        <v>6.4518281291700008</v>
      </c>
      <c r="AL20" s="2853">
        <v>2.8611720463804557</v>
      </c>
      <c r="AM20" s="2853">
        <v>2.6810468269201637</v>
      </c>
      <c r="AN20" s="2853">
        <v>4.2755837759249848</v>
      </c>
      <c r="AO20" s="2853">
        <v>4.7917140905986866</v>
      </c>
      <c r="AP20" s="2853">
        <v>1.7486694906049927</v>
      </c>
      <c r="AQ20" s="2853">
        <v>0.14143894107601085</v>
      </c>
      <c r="AR20" s="2853">
        <v>4.9220519653563999</v>
      </c>
      <c r="AS20" s="2853">
        <v>0.52829421924209807</v>
      </c>
      <c r="AT20" s="2853">
        <v>6.5285497726124353</v>
      </c>
      <c r="AU20" s="2853">
        <v>5.4738639597761152</v>
      </c>
      <c r="AV20" s="2853">
        <v>15.571595610721346</v>
      </c>
      <c r="AW20" s="2853">
        <v>5.4497344202969034</v>
      </c>
      <c r="AX20" s="2853">
        <v>3.6071441750618272</v>
      </c>
      <c r="AY20" s="2853">
        <v>11.08756433316116</v>
      </c>
      <c r="AZ20" s="2853">
        <v>4.4389938921752581</v>
      </c>
      <c r="BA20" s="2853">
        <v>7.3356050838091491</v>
      </c>
      <c r="BB20" s="2853">
        <v>-1.2484448067270115</v>
      </c>
      <c r="BC20" s="2853">
        <v>1.8608625133953005</v>
      </c>
      <c r="BD20" s="2853">
        <v>-1.1018069634199934</v>
      </c>
      <c r="BE20" s="2853">
        <v>0.71732505318842232</v>
      </c>
      <c r="BF20" s="2853">
        <v>-6.8780954284001545</v>
      </c>
      <c r="BG20" s="2853">
        <v>-9.6162099196860922</v>
      </c>
      <c r="BH20" s="2853">
        <v>-20.434119043581489</v>
      </c>
      <c r="BI20" s="2853">
        <v>-13.674339300937765</v>
      </c>
      <c r="BJ20" s="2853">
        <v>-10.51501086312463</v>
      </c>
      <c r="BK20" s="2853">
        <v>3.2887294799282651</v>
      </c>
      <c r="BL20" s="2853">
        <v>-3.6060581777385914</v>
      </c>
      <c r="BM20" s="2853">
        <v>7.1078227616593326</v>
      </c>
      <c r="BN20" s="2853">
        <v>13.924247128221023</v>
      </c>
      <c r="BO20" s="2853">
        <v>8.4025979924629013E-2</v>
      </c>
      <c r="BP20" s="2853">
        <v>7.4153071180594665</v>
      </c>
      <c r="BQ20" s="2853">
        <v>2.4187245188956208</v>
      </c>
      <c r="BR20" s="2853">
        <v>2.2605395594422983</v>
      </c>
      <c r="BS20" s="2853">
        <v>0.22589753933037748</v>
      </c>
      <c r="BT20" s="2853">
        <v>1.2557353296305473</v>
      </c>
      <c r="BU20" s="2853">
        <v>-4.5691231417442024</v>
      </c>
      <c r="BV20" s="2853">
        <v>-0.14161651081908699</v>
      </c>
      <c r="BW20" s="2853">
        <v>-1.9187052910383917</v>
      </c>
      <c r="BX20" s="2853">
        <v>3.9847753513789552</v>
      </c>
      <c r="BY20" s="2853">
        <v>4.1081324254135687</v>
      </c>
      <c r="BZ20" s="2853">
        <v>3.6297925832809552</v>
      </c>
      <c r="CA20" s="2853">
        <v>0.14404852160727621</v>
      </c>
      <c r="CB20" s="2853">
        <v>3.9083200847906951</v>
      </c>
      <c r="CC20" s="2853">
        <v>1.6702792298865177</v>
      </c>
      <c r="CD20" s="2853">
        <v>-0.25260668601527758</v>
      </c>
      <c r="CE20" s="2853">
        <v>-7</v>
      </c>
      <c r="CH20" s="3194">
        <f t="shared" si="1"/>
        <v>0.41756980747162942</v>
      </c>
      <c r="CI20" s="3194">
        <f t="shared" si="2"/>
        <v>0.29126646446399063</v>
      </c>
      <c r="CJ20" s="3194">
        <f t="shared" si="3"/>
        <v>-4.9587335355360089</v>
      </c>
    </row>
    <row r="21" spans="1:88">
      <c r="A21" s="932"/>
      <c r="B21" s="717"/>
      <c r="C21" s="718" t="s">
        <v>2107</v>
      </c>
      <c r="D21" s="2854"/>
      <c r="E21" s="2854">
        <v>2.1188213800916733</v>
      </c>
      <c r="F21" s="2854">
        <v>1.4601968917095531</v>
      </c>
      <c r="G21" s="2854">
        <v>2.3336222861421119</v>
      </c>
      <c r="H21" s="2854">
        <v>0.94238821774077497</v>
      </c>
      <c r="I21" s="2854">
        <v>1.2559124198962657</v>
      </c>
      <c r="J21" s="2854">
        <v>0.97663423776381819</v>
      </c>
      <c r="K21" s="2854">
        <v>3.0992930291555476</v>
      </c>
      <c r="L21" s="2854">
        <v>2.3403081209686816</v>
      </c>
      <c r="M21" s="2854">
        <v>1.028039035428896</v>
      </c>
      <c r="N21" s="2854">
        <v>2.8462433612445492</v>
      </c>
      <c r="O21" s="2854">
        <v>1.7695501259102908</v>
      </c>
      <c r="P21" s="2854">
        <v>3.2376446198087327</v>
      </c>
      <c r="Q21" s="2854">
        <v>0.74090868604095306</v>
      </c>
      <c r="R21" s="2854">
        <v>2.2079863678744927</v>
      </c>
      <c r="S21" s="2854">
        <v>-0.63070643839602258</v>
      </c>
      <c r="T21" s="2854">
        <v>-1.585191164715849</v>
      </c>
      <c r="U21" s="2854">
        <v>2.9584894735995571</v>
      </c>
      <c r="V21" s="2854">
        <v>-1.585528730874064</v>
      </c>
      <c r="W21" s="2854">
        <v>-1.0737839575248098</v>
      </c>
      <c r="X21" s="2854">
        <v>1.2073806658644326</v>
      </c>
      <c r="Y21" s="2854">
        <v>1.4458404343862474</v>
      </c>
      <c r="Z21" s="2854">
        <v>1.2080106892537357</v>
      </c>
      <c r="AA21" s="2854">
        <v>1.3549507817023576</v>
      </c>
      <c r="AB21" s="2854">
        <v>2.1884521633150467</v>
      </c>
      <c r="AC21" s="2854">
        <v>-1.2962811118648165</v>
      </c>
      <c r="AD21" s="2854">
        <v>1.5617683930702064</v>
      </c>
      <c r="AE21" s="2854">
        <v>5.1077467616484018</v>
      </c>
      <c r="AF21" s="2854">
        <v>0.22567933725265998</v>
      </c>
      <c r="AG21" s="2854">
        <v>0.31058092750759769</v>
      </c>
      <c r="AH21" s="2854">
        <v>1.487580043628145</v>
      </c>
      <c r="AI21" s="2854">
        <v>2.5085977368538126</v>
      </c>
      <c r="AJ21" s="2854">
        <v>3.1736583650112893</v>
      </c>
      <c r="AK21" s="2854">
        <v>2.7502065113351737</v>
      </c>
      <c r="AL21" s="2854">
        <v>1.3175608853498666</v>
      </c>
      <c r="AM21" s="2854">
        <v>3.4138569467360602</v>
      </c>
      <c r="AN21" s="2854">
        <v>2.2360929269555019</v>
      </c>
      <c r="AO21" s="2854">
        <v>3.5243943843180192</v>
      </c>
      <c r="AP21" s="2854">
        <v>2.4527628823272307</v>
      </c>
      <c r="AQ21" s="2854">
        <v>0.96199745039788898</v>
      </c>
      <c r="AR21" s="2854">
        <v>2.6999666258760824</v>
      </c>
      <c r="AS21" s="2854">
        <v>2.6625648580434813</v>
      </c>
      <c r="AT21" s="2854">
        <v>2.6499604326035264</v>
      </c>
      <c r="AU21" s="2854">
        <v>3.5338921638665255</v>
      </c>
      <c r="AV21" s="2854">
        <v>27.3399222632031</v>
      </c>
      <c r="AW21" s="2854">
        <v>3.5251924763668008</v>
      </c>
      <c r="AX21" s="2854">
        <v>4.5385739245692447</v>
      </c>
      <c r="AY21" s="2854">
        <v>2.644972822661118</v>
      </c>
      <c r="AZ21" s="2854">
        <v>3.8169733720750276</v>
      </c>
      <c r="BA21" s="2854">
        <v>3.1077504470306883</v>
      </c>
      <c r="BB21" s="2854">
        <v>-0.13834478010721352</v>
      </c>
      <c r="BC21" s="2854">
        <v>3.7506606743638482</v>
      </c>
      <c r="BD21" s="2854">
        <v>-0.26579082262256915</v>
      </c>
      <c r="BE21" s="2854">
        <v>0.45431760353806805</v>
      </c>
      <c r="BF21" s="2854">
        <v>-2.6905220604490965</v>
      </c>
      <c r="BG21" s="2854">
        <v>-3.4412922615551067</v>
      </c>
      <c r="BH21" s="2854">
        <v>-11.424902859755015</v>
      </c>
      <c r="BI21" s="2854">
        <v>-3.9044771135178791</v>
      </c>
      <c r="BJ21" s="2854">
        <v>-3.3515118726528126</v>
      </c>
      <c r="BK21" s="2854">
        <v>-2.6133642774840427</v>
      </c>
      <c r="BL21" s="2854">
        <v>-0.26432161647351737</v>
      </c>
      <c r="BM21" s="2854">
        <v>0.43707617493142781</v>
      </c>
      <c r="BN21" s="2854">
        <v>3.9153106741219856</v>
      </c>
      <c r="BO21" s="2854">
        <v>0.31196720716799575</v>
      </c>
      <c r="BP21" s="2854">
        <v>1.9318779959578425</v>
      </c>
      <c r="BQ21" s="2854">
        <v>1.3512821018191845</v>
      </c>
      <c r="BR21" s="2854">
        <v>1.10418376355923</v>
      </c>
      <c r="BS21" s="2854">
        <v>1.4198775158490662</v>
      </c>
      <c r="BT21" s="2854">
        <v>0.50295285670394208</v>
      </c>
      <c r="BU21" s="2854">
        <v>-0.8148122987972295</v>
      </c>
      <c r="BV21" s="2854">
        <v>-0.25988356607433705</v>
      </c>
      <c r="BW21" s="2854">
        <v>1.2329901154783718</v>
      </c>
      <c r="BX21" s="2854">
        <v>1.5205815517845833</v>
      </c>
      <c r="BY21" s="2854">
        <v>1.3868163359243235</v>
      </c>
      <c r="BZ21" s="2854">
        <v>2.4376670449969051</v>
      </c>
      <c r="CA21" s="2854">
        <v>-4.7178578066253696E-2</v>
      </c>
      <c r="CB21" s="2854">
        <v>2.1140258031295378</v>
      </c>
      <c r="CC21" s="2854">
        <v>1.3222770058270106</v>
      </c>
      <c r="CD21" s="2854">
        <v>0.46899192656491007</v>
      </c>
      <c r="CE21" s="2854">
        <v>-0.81264151138111007</v>
      </c>
      <c r="CH21" s="3194">
        <f t="shared" si="1"/>
        <v>0.33056925145675264</v>
      </c>
      <c r="CI21" s="3194">
        <f t="shared" si="2"/>
        <v>0.56506521473920768</v>
      </c>
      <c r="CJ21" s="3194">
        <f t="shared" si="3"/>
        <v>-4.4415918796624876E-2</v>
      </c>
    </row>
    <row r="22" spans="1:88">
      <c r="A22" s="932"/>
      <c r="B22" s="806"/>
      <c r="C22" s="334" t="s">
        <v>2108</v>
      </c>
      <c r="D22" s="2856"/>
      <c r="E22" s="2856">
        <v>-2.9461950869824225</v>
      </c>
      <c r="F22" s="2856">
        <v>-2.4165219848992612</v>
      </c>
      <c r="G22" s="2856">
        <v>-3.757849390285978</v>
      </c>
      <c r="H22" s="2856">
        <v>-3.7643064133711919</v>
      </c>
      <c r="I22" s="2856">
        <v>-3.0829365779110098</v>
      </c>
      <c r="J22" s="2856">
        <v>-1.2630542431616096</v>
      </c>
      <c r="K22" s="2856">
        <v>-1.6756309474555253</v>
      </c>
      <c r="L22" s="2856">
        <v>-0.36240615441653473</v>
      </c>
      <c r="M22" s="2856">
        <v>-1.0777797736665477E-2</v>
      </c>
      <c r="N22" s="2856">
        <v>-1.9391306623400433</v>
      </c>
      <c r="O22" s="2856">
        <v>1.0510549064920598</v>
      </c>
      <c r="P22" s="2856">
        <v>-0.78654983019579794</v>
      </c>
      <c r="Q22" s="2856">
        <v>-6.5112215546158606E-2</v>
      </c>
      <c r="R22" s="2856">
        <v>0.48919124192507424</v>
      </c>
      <c r="S22" s="2856">
        <v>-2.0456995394113613</v>
      </c>
      <c r="T22" s="2856">
        <v>-1.6466159803003022</v>
      </c>
      <c r="U22" s="2856">
        <v>-1.7231694422416071</v>
      </c>
      <c r="V22" s="2856">
        <v>-1.7356710617976083</v>
      </c>
      <c r="W22" s="2856">
        <v>-0.8213070515076859</v>
      </c>
      <c r="X22" s="2856">
        <v>-1.2082683947174169</v>
      </c>
      <c r="Y22" s="2856">
        <v>-1.3251849990679121</v>
      </c>
      <c r="Z22" s="2856">
        <v>-2.0669684995280555</v>
      </c>
      <c r="AA22" s="2856">
        <v>-2.3812896422556933</v>
      </c>
      <c r="AB22" s="2856">
        <v>-1.9996173713411096</v>
      </c>
      <c r="AC22" s="2856">
        <v>-1.2855852130901473</v>
      </c>
      <c r="AD22" s="2856">
        <v>-0.8979995356466135</v>
      </c>
      <c r="AE22" s="2856">
        <v>-0.64734151104869353</v>
      </c>
      <c r="AF22" s="2856">
        <v>-0.73750182189184998</v>
      </c>
      <c r="AG22" s="2856">
        <v>0.80117203258476977</v>
      </c>
      <c r="AH22" s="2856">
        <v>0.50720043474323073</v>
      </c>
      <c r="AI22" s="2856">
        <v>-1.0894337964742746</v>
      </c>
      <c r="AJ22" s="2856">
        <v>-1.0372282626591227</v>
      </c>
      <c r="AK22" s="2856">
        <v>-0.40600050587922354</v>
      </c>
      <c r="AL22" s="2856">
        <v>1.0374308589902257</v>
      </c>
      <c r="AM22" s="2856">
        <v>1.2660349944739011</v>
      </c>
      <c r="AN22" s="2856">
        <v>2.9556017612524421</v>
      </c>
      <c r="AO22" s="2856">
        <v>1.9752062639337042</v>
      </c>
      <c r="AP22" s="2856">
        <v>1.2047905618780934</v>
      </c>
      <c r="AQ22" s="2856">
        <v>2.1677870676482067</v>
      </c>
      <c r="AR22" s="2856">
        <v>0.67769367561898686</v>
      </c>
      <c r="AS22" s="2856">
        <v>1.454950866695802</v>
      </c>
      <c r="AT22" s="2856">
        <v>1.2720605088242019</v>
      </c>
      <c r="AU22" s="2856">
        <v>-0.20993701889433408</v>
      </c>
      <c r="AV22" s="2856">
        <v>-0.86000915439431913</v>
      </c>
      <c r="AW22" s="2856">
        <v>-3.6664546453323612</v>
      </c>
      <c r="AX22" s="2856">
        <v>-2.1514381542839729</v>
      </c>
      <c r="AY22" s="2856">
        <v>-0.8794292602912982</v>
      </c>
      <c r="AZ22" s="2856">
        <v>-2.2265890826789425</v>
      </c>
      <c r="BA22" s="2856">
        <v>-0.35444919190042462</v>
      </c>
      <c r="BB22" s="2856">
        <v>7.0017849109721642E-2</v>
      </c>
      <c r="BC22" s="2856">
        <v>-0.23162621497186184</v>
      </c>
      <c r="BD22" s="2856">
        <v>1.6389699534067343</v>
      </c>
      <c r="BE22" s="2856">
        <v>0.7267215367398091</v>
      </c>
      <c r="BF22" s="2856">
        <v>1.9567684854647727</v>
      </c>
      <c r="BG22" s="2856">
        <v>-0.11117508808905435</v>
      </c>
      <c r="BH22" s="2856">
        <v>-7.0865025944526652</v>
      </c>
      <c r="BI22" s="2856">
        <v>-2.9272341913763107</v>
      </c>
      <c r="BJ22" s="2856">
        <v>-0.35441828898915306</v>
      </c>
      <c r="BK22" s="2856">
        <v>-3.906419420266436</v>
      </c>
      <c r="BL22" s="2856">
        <v>1.3755940544002161</v>
      </c>
      <c r="BM22" s="2856">
        <v>2.6386723285671616</v>
      </c>
      <c r="BN22" s="2856">
        <v>-0.57386429602109634</v>
      </c>
      <c r="BO22" s="2856">
        <v>1.4880627268203224</v>
      </c>
      <c r="BP22" s="2856">
        <v>2.327317786109167</v>
      </c>
      <c r="BQ22" s="2856">
        <v>0.99960547029113533</v>
      </c>
      <c r="BR22" s="2856">
        <v>0.53164429152281689</v>
      </c>
      <c r="BS22" s="2856">
        <v>-0.42066845946984316</v>
      </c>
      <c r="BT22" s="2856">
        <v>-1.5669024098898441</v>
      </c>
      <c r="BU22" s="2856">
        <v>-3.3702314587869582</v>
      </c>
      <c r="BV22" s="2856">
        <v>1.7614687091865044</v>
      </c>
      <c r="BW22" s="2856">
        <v>-2.3218577820508055</v>
      </c>
      <c r="BX22" s="2856">
        <v>-3.4239618230103548</v>
      </c>
      <c r="BY22" s="2856">
        <v>-3.0362951862275658</v>
      </c>
      <c r="BZ22" s="2856">
        <v>-1.5591722502052039</v>
      </c>
      <c r="CA22" s="2856">
        <v>-1.9616634504329367</v>
      </c>
      <c r="CB22" s="2856">
        <v>0.48892333296428936</v>
      </c>
      <c r="CC22" s="2856">
        <v>0.48444743267631518</v>
      </c>
      <c r="CD22" s="2856">
        <v>0.48226980335792213</v>
      </c>
      <c r="CE22" s="2856">
        <v>3.7688298239637499</v>
      </c>
      <c r="CH22" s="3194">
        <f t="shared" si="1"/>
        <v>0.1211118581690788</v>
      </c>
      <c r="CI22" s="3194">
        <f t="shared" si="2"/>
        <v>0.36224675984803989</v>
      </c>
      <c r="CJ22" s="3194">
        <f t="shared" si="3"/>
        <v>3.1888691278208525</v>
      </c>
    </row>
    <row r="23" spans="1:88">
      <c r="A23" s="932"/>
      <c r="B23" s="717"/>
      <c r="C23" s="718" t="s">
        <v>1712</v>
      </c>
      <c r="D23" s="2854"/>
      <c r="E23" s="2854">
        <v>-0.5908633861654855</v>
      </c>
      <c r="F23" s="2854">
        <v>2.1574781801686926</v>
      </c>
      <c r="G23" s="2854">
        <v>1.6821819369590374</v>
      </c>
      <c r="H23" s="2854">
        <v>0.32123353678124023</v>
      </c>
      <c r="I23" s="2854">
        <v>2.0673230867755299</v>
      </c>
      <c r="J23" s="2854">
        <v>3.6489480598419499</v>
      </c>
      <c r="K23" s="2854">
        <v>1.881313609019708</v>
      </c>
      <c r="L23" s="2854">
        <v>3.9261741851030152</v>
      </c>
      <c r="M23" s="2854">
        <v>2.3842704257561964</v>
      </c>
      <c r="N23" s="2854">
        <v>0.38303478723682449</v>
      </c>
      <c r="O23" s="2854">
        <v>3.6279878313776548</v>
      </c>
      <c r="P23" s="2854">
        <v>2.2679997315976586</v>
      </c>
      <c r="Q23" s="2854">
        <v>1.1400170592480885</v>
      </c>
      <c r="R23" s="2854">
        <v>2.6078917919525102</v>
      </c>
      <c r="S23" s="2854">
        <v>-1.7852909099530634</v>
      </c>
      <c r="T23" s="2854">
        <v>-1.8821162743914654</v>
      </c>
      <c r="U23" s="2854">
        <v>3.1221296417792921</v>
      </c>
      <c r="V23" s="2854">
        <v>-2.0494182578751907</v>
      </c>
      <c r="W23" s="2854">
        <v>-0.20297809460403382</v>
      </c>
      <c r="X23" s="2854">
        <v>1.3659735103648041</v>
      </c>
      <c r="Y23" s="2854">
        <v>0.60756852201131473</v>
      </c>
      <c r="Z23" s="2854">
        <v>0.58475333460972223</v>
      </c>
      <c r="AA23" s="2854">
        <v>1.1674663917198957</v>
      </c>
      <c r="AB23" s="2854">
        <v>2.8967442006318844</v>
      </c>
      <c r="AC23" s="2854">
        <v>-0.4129460884405689</v>
      </c>
      <c r="AD23" s="2854">
        <v>1.6272664677530635</v>
      </c>
      <c r="AE23" s="2854">
        <v>5.1514261839698205</v>
      </c>
      <c r="AF23" s="2854">
        <v>0.59922680412372031</v>
      </c>
      <c r="AG23" s="2854">
        <v>1.2653273269426224</v>
      </c>
      <c r="AH23" s="2854">
        <v>1.8201623388031996</v>
      </c>
      <c r="AI23" s="2854">
        <v>0.88622010560099884</v>
      </c>
      <c r="AJ23" s="2854">
        <v>3.0895743967599198</v>
      </c>
      <c r="AK23" s="2854">
        <v>3.6387165278561007</v>
      </c>
      <c r="AL23" s="2854">
        <v>2.7118231647969004</v>
      </c>
      <c r="AM23" s="2854">
        <v>3.4382149959788499</v>
      </c>
      <c r="AN23" s="2854">
        <v>3.6566255620246402</v>
      </c>
      <c r="AO23" s="2854">
        <v>2.993865744105606</v>
      </c>
      <c r="AP23" s="2854">
        <v>1.5338670159314116</v>
      </c>
      <c r="AQ23" s="2854">
        <v>2.0027689587492015</v>
      </c>
      <c r="AR23" s="2854">
        <v>1.1676015110137383</v>
      </c>
      <c r="AS23" s="2854">
        <v>3.7360920283412868</v>
      </c>
      <c r="AT23" s="2854">
        <v>2.1503254055233123</v>
      </c>
      <c r="AU23" s="2854">
        <v>2.2713289842323681</v>
      </c>
      <c r="AV23" s="2854">
        <v>26.809720785935887</v>
      </c>
      <c r="AW23" s="2854">
        <v>0.89429938053791069</v>
      </c>
      <c r="AX23" s="2854">
        <v>7.0264745998500189</v>
      </c>
      <c r="AY23" s="2854">
        <v>4.1231124488513959</v>
      </c>
      <c r="AZ23" s="2854">
        <v>2.8276129005261996</v>
      </c>
      <c r="BA23" s="2854">
        <v>5.5102276118390803</v>
      </c>
      <c r="BB23" s="2854">
        <v>-0.74018840575050815</v>
      </c>
      <c r="BC23" s="2854">
        <v>3.7444063801265193</v>
      </c>
      <c r="BD23" s="2854">
        <v>2.3879674654648131</v>
      </c>
      <c r="BE23" s="2854">
        <v>-0.83646040682946454</v>
      </c>
      <c r="BF23" s="2854">
        <v>-2.4825932586341914</v>
      </c>
      <c r="BG23" s="2854">
        <v>-6.3528239851968094</v>
      </c>
      <c r="BH23" s="2854">
        <v>-15.770711871709608</v>
      </c>
      <c r="BI23" s="2854">
        <v>-0.22939354580877591</v>
      </c>
      <c r="BJ23" s="2854">
        <v>-2.5535647764278857</v>
      </c>
      <c r="BK23" s="2854">
        <v>-6.0347095480030921</v>
      </c>
      <c r="BL23" s="2854">
        <v>6.5430127518099956</v>
      </c>
      <c r="BM23" s="2854">
        <v>1.0006076731047031</v>
      </c>
      <c r="BN23" s="2854">
        <v>0.55408981702436133</v>
      </c>
      <c r="BO23" s="2854">
        <v>1.7950127753161516</v>
      </c>
      <c r="BP23" s="2854">
        <v>3.9882124928512397</v>
      </c>
      <c r="BQ23" s="2854">
        <v>-0.44302878923287992</v>
      </c>
      <c r="BR23" s="2854">
        <v>0.63374176174071373</v>
      </c>
      <c r="BS23" s="2854">
        <v>0.19670181377371421</v>
      </c>
      <c r="BT23" s="2854">
        <v>-0.95532677425983481</v>
      </c>
      <c r="BU23" s="2854">
        <v>-2.7472717425124027</v>
      </c>
      <c r="BV23" s="2854">
        <v>6.1517740412909472</v>
      </c>
      <c r="BW23" s="2854">
        <v>-3.9649642423926768</v>
      </c>
      <c r="BX23" s="2854">
        <v>1.4002433184294505</v>
      </c>
      <c r="BY23" s="2854">
        <v>1.2181329094577142</v>
      </c>
      <c r="BZ23" s="2854">
        <v>4.0958852397131151</v>
      </c>
      <c r="CA23" s="2854">
        <v>-0.88087035358115351</v>
      </c>
      <c r="CB23" s="2854">
        <v>0.64978541714686422</v>
      </c>
      <c r="CC23" s="2854">
        <v>1.2962700429303142</v>
      </c>
      <c r="CD23" s="2854">
        <v>0.18086362380367316</v>
      </c>
      <c r="CE23" s="2854">
        <v>2.3872095730475564</v>
      </c>
      <c r="CH23" s="3194">
        <f t="shared" si="1"/>
        <v>0.32406751073257856</v>
      </c>
      <c r="CI23" s="3194">
        <f t="shared" si="2"/>
        <v>0.41449932263441513</v>
      </c>
      <c r="CJ23" s="3194">
        <f t="shared" si="3"/>
        <v>2.2049065024200827</v>
      </c>
    </row>
    <row r="24" spans="1:88">
      <c r="A24" s="932"/>
      <c r="B24" s="674"/>
      <c r="C24" s="220" t="s">
        <v>912</v>
      </c>
      <c r="D24" s="2853"/>
      <c r="E24" s="2853">
        <v>3.2939762812810303</v>
      </c>
      <c r="F24" s="2853">
        <v>4.2965885238853696</v>
      </c>
      <c r="G24" s="2853">
        <v>3.8140730323456884</v>
      </c>
      <c r="H24" s="2853">
        <v>5.3976410136634456</v>
      </c>
      <c r="I24" s="2853">
        <v>3.2597615565306048</v>
      </c>
      <c r="J24" s="2853">
        <v>5.5840504753524645</v>
      </c>
      <c r="K24" s="2853">
        <v>5.0122969979064846</v>
      </c>
      <c r="L24" s="2853">
        <v>3.9969031259072807</v>
      </c>
      <c r="M24" s="2853">
        <v>2.9815745393634741</v>
      </c>
      <c r="N24" s="2853">
        <v>2.150654232632121</v>
      </c>
      <c r="O24" s="2853">
        <v>8.6851137610133975</v>
      </c>
      <c r="P24" s="2853">
        <v>2.9545343556185211</v>
      </c>
      <c r="Q24" s="2853">
        <v>-1.3360528729089771</v>
      </c>
      <c r="R24" s="2853">
        <v>-6.464639989743759</v>
      </c>
      <c r="S24" s="2853">
        <v>-5.712131855329206</v>
      </c>
      <c r="T24" s="2853">
        <v>-5.5221412606981328</v>
      </c>
      <c r="U24" s="2853">
        <v>-4.9967303919682848</v>
      </c>
      <c r="V24" s="2853">
        <v>-0.80168434691070267</v>
      </c>
      <c r="W24" s="2853">
        <v>-1.0061224489795961</v>
      </c>
      <c r="X24" s="2853">
        <v>8.5121735007318566</v>
      </c>
      <c r="Y24" s="2853">
        <v>0.68014286799908952</v>
      </c>
      <c r="Z24" s="2853">
        <v>7.4687700494395548</v>
      </c>
      <c r="AA24" s="2853">
        <v>0.45301306363254579</v>
      </c>
      <c r="AB24" s="2853">
        <v>10.12060828526482</v>
      </c>
      <c r="AC24" s="2853">
        <v>3.9365079365079492</v>
      </c>
      <c r="AD24" s="2853">
        <v>2.6389737324373774</v>
      </c>
      <c r="AE24" s="2853">
        <v>4.1230210689203739</v>
      </c>
      <c r="AF24" s="2853">
        <v>4.9271924434473036</v>
      </c>
      <c r="AG24" s="2853">
        <v>8.348427690086746</v>
      </c>
      <c r="AH24" s="2853">
        <v>-1.3135236371406567</v>
      </c>
      <c r="AI24" s="2853">
        <v>5.7443448135316988</v>
      </c>
      <c r="AJ24" s="2853">
        <v>5.8213485582134794</v>
      </c>
      <c r="AK24" s="2853">
        <v>-7.8151499630072401</v>
      </c>
      <c r="AL24" s="2853">
        <v>3.7017372729630127</v>
      </c>
      <c r="AM24" s="2853">
        <v>3.3064640956338209</v>
      </c>
      <c r="AN24" s="2853">
        <v>-5.1426859065971886</v>
      </c>
      <c r="AO24" s="2853">
        <v>4.4032951811620702</v>
      </c>
      <c r="AP24" s="2853">
        <v>4.7284873030281505</v>
      </c>
      <c r="AQ24" s="2853">
        <v>5.3573214503995104</v>
      </c>
      <c r="AR24" s="2853">
        <v>1.8932602046197733</v>
      </c>
      <c r="AS24" s="2853">
        <v>3.4066559701878996</v>
      </c>
      <c r="AT24" s="2853">
        <v>5.475694722511415</v>
      </c>
      <c r="AU24" s="2853">
        <v>9.0427652183816321</v>
      </c>
      <c r="AV24" s="2853">
        <v>11.907497345379214</v>
      </c>
      <c r="AW24" s="2853">
        <v>2.3861559401127552</v>
      </c>
      <c r="AX24" s="2853">
        <v>-2.3662481104198441</v>
      </c>
      <c r="AY24" s="2853">
        <v>3.1650690900037359</v>
      </c>
      <c r="AZ24" s="2853">
        <v>-1.9027723309903877</v>
      </c>
      <c r="BA24" s="2853">
        <v>0.51586416858226958</v>
      </c>
      <c r="BB24" s="2853">
        <v>6.167013400232535</v>
      </c>
      <c r="BC24" s="2853">
        <v>-0.45602887462450337</v>
      </c>
      <c r="BD24" s="2853">
        <v>9.3621086456207703</v>
      </c>
      <c r="BE24" s="2853">
        <v>4.4093706571371794</v>
      </c>
      <c r="BF24" s="2853">
        <v>-3.0841779011617887</v>
      </c>
      <c r="BG24" s="2853">
        <v>-3.5936876663592909</v>
      </c>
      <c r="BH24" s="2853">
        <v>-7.2402518112501095</v>
      </c>
      <c r="BI24" s="2853">
        <v>-6.6008965986295127</v>
      </c>
      <c r="BJ24" s="2853">
        <v>2.3404038743119582</v>
      </c>
      <c r="BK24" s="2853">
        <v>4.5110250799528462</v>
      </c>
      <c r="BL24" s="2853">
        <v>4.9393109708780525</v>
      </c>
      <c r="BM24" s="2853">
        <v>7.945864871463959</v>
      </c>
      <c r="BN24" s="2853">
        <v>5.0770672439977904</v>
      </c>
      <c r="BO24" s="2853">
        <v>5.4105085767354844</v>
      </c>
      <c r="BP24" s="2853">
        <v>3.1670828762807135</v>
      </c>
      <c r="BQ24" s="2853">
        <v>3.3701701203511236</v>
      </c>
      <c r="BR24" s="2853">
        <v>0.22048967309533651</v>
      </c>
      <c r="BS24" s="2853">
        <v>0.32318291497885898</v>
      </c>
      <c r="BT24" s="2853">
        <v>4.4376122326821532</v>
      </c>
      <c r="BU24" s="2853">
        <v>2.6156050540575571</v>
      </c>
      <c r="BV24" s="2853">
        <v>5.8204067125339654</v>
      </c>
      <c r="BW24" s="2853">
        <v>4.4681586119534655</v>
      </c>
      <c r="BX24" s="2853">
        <v>1.1468859085063343</v>
      </c>
      <c r="BY24" s="2853">
        <v>1.2632993819732485</v>
      </c>
      <c r="BZ24" s="2853">
        <v>0.30941842788532181</v>
      </c>
      <c r="CA24" s="2853">
        <v>0.63078649374801454</v>
      </c>
      <c r="CB24" s="2853">
        <v>-0.69080408707240526</v>
      </c>
      <c r="CC24" s="2853">
        <v>4.064506027869097</v>
      </c>
      <c r="CD24" s="2853">
        <v>0.18742128091271404</v>
      </c>
      <c r="CE24" s="2853">
        <v>-0.9</v>
      </c>
      <c r="CH24" s="3194">
        <f t="shared" si="1"/>
        <v>1.0161265069672742</v>
      </c>
      <c r="CI24" s="3194">
        <f t="shared" si="2"/>
        <v>1.1098371474236313</v>
      </c>
      <c r="CJ24" s="3194">
        <f t="shared" si="3"/>
        <v>0.43483714742363122</v>
      </c>
    </row>
    <row r="25" spans="1:88">
      <c r="A25" s="932"/>
      <c r="B25" s="717"/>
      <c r="C25" s="718" t="s">
        <v>1359</v>
      </c>
      <c r="D25" s="2854"/>
      <c r="E25" s="2854">
        <v>0.51279767868142034</v>
      </c>
      <c r="F25" s="2854">
        <v>2.782002628431357</v>
      </c>
      <c r="G25" s="2854">
        <v>2.3137705624596272</v>
      </c>
      <c r="H25" s="2854">
        <v>1.8472102281104075</v>
      </c>
      <c r="I25" s="2854">
        <v>2.4382677751582094</v>
      </c>
      <c r="J25" s="2854">
        <v>4.2557486927906396</v>
      </c>
      <c r="K25" s="2854">
        <v>2.8756220832284685</v>
      </c>
      <c r="L25" s="2854">
        <v>3.9491021345480437</v>
      </c>
      <c r="M25" s="2854">
        <v>2.5779854169684757</v>
      </c>
      <c r="N25" s="2854">
        <v>0.95855669253810394</v>
      </c>
      <c r="O25" s="2854">
        <v>5.2939873639055168</v>
      </c>
      <c r="P25" s="2854">
        <v>2.501453045860913</v>
      </c>
      <c r="Q25" s="2854">
        <v>0.29431777679369553</v>
      </c>
      <c r="R25" s="2854">
        <v>-0.4404503577986052</v>
      </c>
      <c r="S25" s="2854">
        <v>-3.0248619531532905</v>
      </c>
      <c r="T25" s="2854">
        <v>-2.999308452495153</v>
      </c>
      <c r="U25" s="2854">
        <v>0.6951072270453551</v>
      </c>
      <c r="V25" s="2854">
        <v>-1.6975088358389567</v>
      </c>
      <c r="W25" s="2854">
        <v>-0.43156023837459534</v>
      </c>
      <c r="X25" s="2854">
        <v>3.3881101135786906</v>
      </c>
      <c r="Y25" s="2854">
        <v>0.62912244471904355</v>
      </c>
      <c r="Z25" s="2854">
        <v>2.6302804660603529</v>
      </c>
      <c r="AA25" s="2854">
        <v>0.94516409250589017</v>
      </c>
      <c r="AB25" s="2854">
        <v>5.1334924526565962</v>
      </c>
      <c r="AC25" s="2854">
        <v>0.99767312563061594</v>
      </c>
      <c r="AD25" s="2854">
        <v>1.9649319537183407</v>
      </c>
      <c r="AE25" s="2854">
        <v>4.8059186682996247</v>
      </c>
      <c r="AF25" s="2854">
        <v>2.0437949241387088</v>
      </c>
      <c r="AG25" s="2854">
        <v>3.6962943574019524</v>
      </c>
      <c r="AH25" s="2854">
        <v>0.69641021942556947</v>
      </c>
      <c r="AI25" s="2854">
        <v>2.5935889917948707</v>
      </c>
      <c r="AJ25" s="2854">
        <v>4.0791305068698103</v>
      </c>
      <c r="AK25" s="2854">
        <v>-0.57977697660770433</v>
      </c>
      <c r="AL25" s="2854">
        <v>3.0498783506284877</v>
      </c>
      <c r="AM25" s="2854">
        <v>3.3929375179017063</v>
      </c>
      <c r="AN25" s="2854">
        <v>0.63518572751524172</v>
      </c>
      <c r="AO25" s="2854">
        <v>3.4500387357591977</v>
      </c>
      <c r="AP25" s="2854">
        <v>2.5773587774652107</v>
      </c>
      <c r="AQ25" s="2854">
        <v>3.1214793951971576</v>
      </c>
      <c r="AR25" s="2854">
        <v>1.4148485425658386</v>
      </c>
      <c r="AS25" s="2854">
        <v>3.623316796598175</v>
      </c>
      <c r="AT25" s="2854">
        <v>3.2863127297597661</v>
      </c>
      <c r="AU25" s="2854">
        <v>4.6335689572400307</v>
      </c>
      <c r="AV25" s="2854">
        <v>21.391956459829785</v>
      </c>
      <c r="AW25" s="2854">
        <v>1.3942940555475847</v>
      </c>
      <c r="AX25" s="2854">
        <v>3.8477161014334849</v>
      </c>
      <c r="AY25" s="2854">
        <v>3.8182848909892542</v>
      </c>
      <c r="AZ25" s="2854">
        <v>1.3319821162444123</v>
      </c>
      <c r="BA25" s="2854">
        <v>3.9815418356037302</v>
      </c>
      <c r="BB25" s="2854">
        <v>1.3035183680674578</v>
      </c>
      <c r="BC25" s="2854">
        <v>2.4419121572867297</v>
      </c>
      <c r="BD25" s="2854">
        <v>4.4893713528082912</v>
      </c>
      <c r="BE25" s="2854">
        <v>0.81789134713110556</v>
      </c>
      <c r="BF25" s="2854">
        <v>-2.6790704606709292</v>
      </c>
      <c r="BG25" s="2854">
        <v>-5.4554426804158895</v>
      </c>
      <c r="BH25" s="2854">
        <v>-12.941631720091429</v>
      </c>
      <c r="BI25" s="2854">
        <v>-2.4808509318696381</v>
      </c>
      <c r="BJ25" s="2854">
        <v>-0.89727689975724889</v>
      </c>
      <c r="BK25" s="2854">
        <v>-2.3490686617929524</v>
      </c>
      <c r="BL25" s="2854">
        <v>5.9431588228690213</v>
      </c>
      <c r="BM25" s="2854">
        <v>3.5738193886228009</v>
      </c>
      <c r="BN25" s="2854">
        <v>2.3005859394495953</v>
      </c>
      <c r="BO25" s="2854">
        <v>3.2289854931051298</v>
      </c>
      <c r="BP25" s="2854">
        <v>3.6556548041022596</v>
      </c>
      <c r="BQ25" s="2854">
        <v>1.0940385272997011</v>
      </c>
      <c r="BR25" s="2854">
        <v>0.46341292910796472</v>
      </c>
      <c r="BS25" s="2854">
        <v>0.24870708231574667</v>
      </c>
      <c r="BT25" s="2854">
        <v>1.2637367558417489</v>
      </c>
      <c r="BU25" s="2854">
        <v>-0.47141442015141699</v>
      </c>
      <c r="BV25" s="2854">
        <v>6.006789240298227</v>
      </c>
      <c r="BW25" s="2854">
        <v>-0.28166534636036022</v>
      </c>
      <c r="BX25" s="2854">
        <v>1.2843145908729925</v>
      </c>
      <c r="BY25" s="2854">
        <v>1.2387716862857445</v>
      </c>
      <c r="BZ25" s="2854">
        <v>2.3652436262423304</v>
      </c>
      <c r="CA25" s="2854">
        <v>-0.20382869579669283</v>
      </c>
      <c r="CB25" s="2854">
        <v>4.434002580147034E-2</v>
      </c>
      <c r="CC25" s="2854">
        <v>2.537291283124965</v>
      </c>
      <c r="CD25" s="2854">
        <v>0.18384725813330205</v>
      </c>
      <c r="CE25" s="2854">
        <v>0.89152581608984793</v>
      </c>
      <c r="CH25" s="3194">
        <f t="shared" si="1"/>
        <v>0.63432282078124125</v>
      </c>
      <c r="CI25" s="3194">
        <f t="shared" si="2"/>
        <v>0.72624644984789222</v>
      </c>
      <c r="CJ25" s="3194">
        <f t="shared" si="3"/>
        <v>1.3948908119152783</v>
      </c>
    </row>
    <row r="26" spans="1:88">
      <c r="A26" s="690"/>
      <c r="B26" s="691"/>
      <c r="C26" s="735" t="s">
        <v>1086</v>
      </c>
      <c r="D26" s="2855"/>
      <c r="E26" s="2855">
        <v>-0.99948950804698011</v>
      </c>
      <c r="F26" s="2855">
        <v>4.890493120199757</v>
      </c>
      <c r="G26" s="2855">
        <v>3.7258402545990776</v>
      </c>
      <c r="H26" s="2855">
        <v>6.2910025193943619</v>
      </c>
      <c r="I26" s="2855">
        <v>4.5551618126774773</v>
      </c>
      <c r="J26" s="2855">
        <v>7.3644280840366338</v>
      </c>
      <c r="K26" s="2855">
        <v>6.7024857316078545</v>
      </c>
      <c r="L26" s="2855">
        <v>6.7262289621661919</v>
      </c>
      <c r="M26" s="2855">
        <v>7.3634160669701965</v>
      </c>
      <c r="N26" s="2855">
        <v>0.65318126635089957</v>
      </c>
      <c r="O26" s="2855">
        <v>5.2017327783912215</v>
      </c>
      <c r="P26" s="2855">
        <v>3.0051512264440472</v>
      </c>
      <c r="Q26" s="2855">
        <v>0.12384774565747936</v>
      </c>
      <c r="R26" s="2855">
        <v>1.3340222650194855</v>
      </c>
      <c r="S26" s="2855">
        <v>-12.331772740617131</v>
      </c>
      <c r="T26" s="2855">
        <v>-5.1693750220310868</v>
      </c>
      <c r="U26" s="2855">
        <v>3.5572902146640439</v>
      </c>
      <c r="V26" s="2855">
        <v>-1.8880453705199307</v>
      </c>
      <c r="W26" s="2855">
        <v>-2.6432765653867873</v>
      </c>
      <c r="X26" s="2855">
        <v>2.825899064296733</v>
      </c>
      <c r="Y26" s="2855">
        <v>0.50615795051711654</v>
      </c>
      <c r="Z26" s="2855">
        <v>6.7978110284893534</v>
      </c>
      <c r="AA26" s="2855">
        <v>9.8736849273106664E-2</v>
      </c>
      <c r="AB26" s="2855">
        <v>8.0969387755101874</v>
      </c>
      <c r="AC26" s="2855">
        <v>2.6919022671134885</v>
      </c>
      <c r="AD26" s="2855">
        <v>3.9955876945704238</v>
      </c>
      <c r="AE26" s="2855">
        <v>7.4823217442545609</v>
      </c>
      <c r="AF26" s="2855">
        <v>3.0414342301840813</v>
      </c>
      <c r="AG26" s="2855">
        <v>7.5128362020803863</v>
      </c>
      <c r="AH26" s="2855">
        <v>-0.80172221809813315</v>
      </c>
      <c r="AI26" s="2855">
        <v>4.1233256005388075</v>
      </c>
      <c r="AJ26" s="2855">
        <v>1.2936610608020649</v>
      </c>
      <c r="AK26" s="2855">
        <v>-1.020528830235079</v>
      </c>
      <c r="AL26" s="2855">
        <v>4.0644675690851839</v>
      </c>
      <c r="AM26" s="2855">
        <v>4.5027151762855544</v>
      </c>
      <c r="AN26" s="2855">
        <v>1.0832188959077227</v>
      </c>
      <c r="AO26" s="2855">
        <v>5.6373694449576517</v>
      </c>
      <c r="AP26" s="2855">
        <v>4.0268318278154025</v>
      </c>
      <c r="AQ26" s="2855">
        <v>2.3231663897460342</v>
      </c>
      <c r="AR26" s="2855">
        <v>3.7850011115299509</v>
      </c>
      <c r="AS26" s="2855">
        <v>6.5283999366717138</v>
      </c>
      <c r="AT26" s="2855">
        <v>4.8108613741072004</v>
      </c>
      <c r="AU26" s="2855">
        <v>5.6385019601301156</v>
      </c>
      <c r="AV26" s="2855">
        <v>17.774970390840906</v>
      </c>
      <c r="AW26" s="2855">
        <v>-1.2503184457167249</v>
      </c>
      <c r="AX26" s="2855">
        <v>6.1779941207220856</v>
      </c>
      <c r="AY26" s="2855">
        <v>4.1918962639948321</v>
      </c>
      <c r="AZ26" s="2855">
        <v>1.2776690211288022</v>
      </c>
      <c r="BA26" s="2855">
        <v>4.1209440421728694</v>
      </c>
      <c r="BB26" s="2855">
        <v>-0.46206848390325517</v>
      </c>
      <c r="BC26" s="2855">
        <v>1.7767565861016577</v>
      </c>
      <c r="BD26" s="2855">
        <v>8.0617643510779491</v>
      </c>
      <c r="BE26" s="2855">
        <v>4.8438455200276342</v>
      </c>
      <c r="BF26" s="2855">
        <v>-1.9191084384998058</v>
      </c>
      <c r="BG26" s="2855">
        <v>-10.725178606507379</v>
      </c>
      <c r="BH26" s="2855">
        <v>-18.320738874895049</v>
      </c>
      <c r="BI26" s="2855">
        <v>-5.2518148820326687</v>
      </c>
      <c r="BJ26" s="2855">
        <v>2.58440081407878</v>
      </c>
      <c r="BK26" s="2855">
        <v>1.8336712812358824</v>
      </c>
      <c r="BL26" s="2855">
        <v>5.7915998166399252</v>
      </c>
      <c r="BM26" s="2855">
        <v>7.4643539017751781</v>
      </c>
      <c r="BN26" s="2855">
        <v>4.9537885803927484</v>
      </c>
      <c r="BO26" s="2855">
        <v>8.3240290533645336</v>
      </c>
      <c r="BP26" s="2855">
        <v>3.4501293937059918</v>
      </c>
      <c r="BQ26" s="2855">
        <v>1.2727457776015916</v>
      </c>
      <c r="BR26" s="2855">
        <v>-2.6240485774282285</v>
      </c>
      <c r="BS26" s="2855">
        <v>1.102130387076472</v>
      </c>
      <c r="BT26" s="2855">
        <v>-1.3866875842838633</v>
      </c>
      <c r="BU26" s="2855">
        <v>2.1841936081418378</v>
      </c>
      <c r="BV26" s="2855">
        <v>7.8073098557756238</v>
      </c>
      <c r="BW26" s="2855">
        <v>3.2255511923955815</v>
      </c>
      <c r="BX26" s="2855">
        <v>2.3112303564584158</v>
      </c>
      <c r="BY26" s="2855">
        <v>-9.3657513205702703E-2</v>
      </c>
      <c r="BZ26" s="2855">
        <v>1.9269349032548178</v>
      </c>
      <c r="CA26" s="2855">
        <v>2.0983651790025704</v>
      </c>
      <c r="CB26" s="2855">
        <v>-2.6844670251961689</v>
      </c>
      <c r="CC26" s="2855">
        <v>6.4653935517314798</v>
      </c>
      <c r="CD26" s="2855">
        <v>-1.8293504675537919</v>
      </c>
      <c r="CE26" s="2855">
        <v>1.96</v>
      </c>
      <c r="CH26" s="3194">
        <f t="shared" si="1"/>
        <v>1.6163483879328699</v>
      </c>
      <c r="CI26" s="3194">
        <f t="shared" si="2"/>
        <v>0.70167315415597398</v>
      </c>
      <c r="CJ26" s="3194">
        <f t="shared" si="3"/>
        <v>2.171673154155974</v>
      </c>
    </row>
    <row r="27" spans="1:88">
      <c r="A27" s="674"/>
      <c r="B27" s="717"/>
      <c r="C27" s="718" t="s">
        <v>1269</v>
      </c>
      <c r="D27" s="2854"/>
      <c r="E27" s="2854">
        <v>2.0272984805562722</v>
      </c>
      <c r="F27" s="2854">
        <v>2.5241561745903418E-2</v>
      </c>
      <c r="G27" s="2854">
        <v>2.3953244236282423</v>
      </c>
      <c r="H27" s="2854">
        <v>1.0331128439191151</v>
      </c>
      <c r="I27" s="2854">
        <v>-0.40101864590347258</v>
      </c>
      <c r="J27" s="2854">
        <v>3.4669566410000519</v>
      </c>
      <c r="K27" s="2854">
        <v>0.69212342709978891</v>
      </c>
      <c r="L27" s="2854">
        <v>1.4499567457780138</v>
      </c>
      <c r="M27" s="2854">
        <v>3.1977013624988393</v>
      </c>
      <c r="N27" s="2854">
        <v>2.9629962277707866</v>
      </c>
      <c r="O27" s="2854">
        <v>1.9155784680606081</v>
      </c>
      <c r="P27" s="2854">
        <v>2.0712971284289727</v>
      </c>
      <c r="Q27" s="2854">
        <v>1.7391304347826209</v>
      </c>
      <c r="R27" s="2854">
        <v>0.92146148076719392</v>
      </c>
      <c r="S27" s="2854">
        <v>4.0833993482758402E-3</v>
      </c>
      <c r="T27" s="2854">
        <v>-1.5034462483258682</v>
      </c>
      <c r="U27" s="2854">
        <v>0.36895473878832963</v>
      </c>
      <c r="V27" s="2854">
        <v>-1.5769561194818982</v>
      </c>
      <c r="W27" s="2854">
        <v>0.14687738675753792</v>
      </c>
      <c r="X27" s="2854">
        <v>2.1689210707162232</v>
      </c>
      <c r="Y27" s="2854">
        <v>1.2049872857025523</v>
      </c>
      <c r="Z27" s="2854">
        <v>1.3251849990679077</v>
      </c>
      <c r="AA27" s="2854">
        <v>1.6478154446701865</v>
      </c>
      <c r="AB27" s="2854">
        <v>2.8337818908667378</v>
      </c>
      <c r="AC27" s="2854">
        <v>-5.5863784197429656E-2</v>
      </c>
      <c r="AD27" s="2854">
        <v>2.2335033154162964</v>
      </c>
      <c r="AE27" s="2854">
        <v>2.3921689048000516</v>
      </c>
      <c r="AF27" s="2854">
        <v>0.37084988260078777</v>
      </c>
      <c r="AG27" s="2854">
        <v>2.9682262060924058</v>
      </c>
      <c r="AH27" s="2854">
        <v>1.5853580856800997</v>
      </c>
      <c r="AI27" s="2854">
        <v>1.4902496290052136</v>
      </c>
      <c r="AJ27" s="2854">
        <v>4.2389752320281193</v>
      </c>
      <c r="AK27" s="2854">
        <v>1.5410248473792798</v>
      </c>
      <c r="AL27" s="2854">
        <v>2.7142366087931968</v>
      </c>
      <c r="AM27" s="2854">
        <v>1.6934811709140574</v>
      </c>
      <c r="AN27" s="2854">
        <v>1.5311634607026336</v>
      </c>
      <c r="AO27" s="2854">
        <v>1.7692025440313008</v>
      </c>
      <c r="AP27" s="2854">
        <v>0.85149597687681489</v>
      </c>
      <c r="AQ27" s="2854">
        <v>2.5507954477745232</v>
      </c>
      <c r="AR27" s="2854">
        <v>1.9388650347740732</v>
      </c>
      <c r="AS27" s="2854">
        <v>1.7361269435958393</v>
      </c>
      <c r="AT27" s="2854">
        <v>2.6622743621634415</v>
      </c>
      <c r="AU27" s="2854">
        <v>2.157209434312346</v>
      </c>
      <c r="AV27" s="2854">
        <v>27.210615441321796</v>
      </c>
      <c r="AW27" s="2854">
        <v>1.6700470737432749</v>
      </c>
      <c r="AX27" s="2854">
        <v>1.5947033215757855</v>
      </c>
      <c r="AY27" s="2854">
        <v>2.858014025815625</v>
      </c>
      <c r="AZ27" s="2854">
        <v>3.3837275943163103</v>
      </c>
      <c r="BA27" s="2854">
        <v>2.8994594098621373</v>
      </c>
      <c r="BB27" s="2854">
        <v>2.4127809771502973</v>
      </c>
      <c r="BC27" s="2854">
        <v>2.1201259595710509</v>
      </c>
      <c r="BD27" s="2854">
        <v>-0.42275336781675277</v>
      </c>
      <c r="BE27" s="2854">
        <v>0.73707268692606576</v>
      </c>
      <c r="BF27" s="2854">
        <v>-1.0897281523140512</v>
      </c>
      <c r="BG27" s="2854">
        <v>-1.1264398271312426</v>
      </c>
      <c r="BH27" s="2854">
        <v>-13.111417717760121</v>
      </c>
      <c r="BI27" s="2854">
        <v>-1.0886281701294132</v>
      </c>
      <c r="BJ27" s="2854">
        <v>0.58064325834412678</v>
      </c>
      <c r="BK27" s="2854">
        <v>-1.4763239366404002</v>
      </c>
      <c r="BL27" s="2854">
        <v>0.9248353367888873</v>
      </c>
      <c r="BM27" s="2854">
        <v>1.5976271529205777</v>
      </c>
      <c r="BN27" s="2854">
        <v>1.1611319377613505E-2</v>
      </c>
      <c r="BO27" s="2854">
        <v>2.4857777851491791</v>
      </c>
      <c r="BP27" s="2854">
        <v>1.8712044892724489</v>
      </c>
      <c r="BQ27" s="2854">
        <v>1.6716178432992335</v>
      </c>
      <c r="BR27" s="2854">
        <v>0.58671645813881401</v>
      </c>
      <c r="BS27" s="2854">
        <v>1.0862009374648318</v>
      </c>
      <c r="BT27" s="2854">
        <v>1.3081060315021098</v>
      </c>
      <c r="BU27" s="2854">
        <v>-0.20780796723611772</v>
      </c>
      <c r="BV27" s="2854">
        <v>2.1264872300565951</v>
      </c>
      <c r="BW27" s="2854">
        <v>0.62399303449636179</v>
      </c>
      <c r="BX27" s="2854">
        <v>0.11426247087971131</v>
      </c>
      <c r="BY27" s="2854">
        <v>1.0530437063001497</v>
      </c>
      <c r="BZ27" s="2854">
        <v>1.0844694616031214</v>
      </c>
      <c r="CA27" s="2854">
        <v>0.80887484316072289</v>
      </c>
      <c r="CB27" s="2854">
        <v>0.43365352195527951</v>
      </c>
      <c r="CC27" s="2854">
        <v>0.92391867229995039</v>
      </c>
      <c r="CD27" s="2854">
        <v>0.45153756325417849</v>
      </c>
      <c r="CE27" s="2854">
        <v>4.9105650468611199E-2</v>
      </c>
      <c r="CH27" s="3194">
        <f t="shared" si="1"/>
        <v>0.2309796680749876</v>
      </c>
      <c r="CI27" s="3194">
        <f t="shared" si="2"/>
        <v>0.45674844970207684</v>
      </c>
      <c r="CJ27" s="3194">
        <f t="shared" si="3"/>
        <v>0.49357768755353526</v>
      </c>
    </row>
    <row r="28" spans="1:88">
      <c r="CH28" s="3194"/>
      <c r="CI28" s="3194"/>
      <c r="CJ28" s="3194"/>
    </row>
    <row r="29" spans="1:88">
      <c r="CH29" s="3194"/>
      <c r="CI29" s="3194"/>
      <c r="CJ29" s="3194"/>
    </row>
    <row r="30" spans="1:88">
      <c r="A30" s="3218" t="s">
        <v>2427</v>
      </c>
      <c r="CH30" s="3194"/>
      <c r="CI30" s="3194"/>
      <c r="CJ30" s="3194"/>
    </row>
    <row r="31" spans="1:88">
      <c r="A31" s="3752"/>
      <c r="B31" s="3752"/>
      <c r="C31" s="3752"/>
      <c r="D31" s="3752"/>
      <c r="E31" s="3752"/>
      <c r="F31" s="3752"/>
      <c r="G31" s="3752"/>
      <c r="H31" s="3752"/>
      <c r="I31" s="3752"/>
      <c r="J31" s="3752"/>
      <c r="K31" s="3752"/>
      <c r="L31" s="3752"/>
      <c r="M31" s="3752"/>
      <c r="N31" s="3752"/>
      <c r="O31" s="3752"/>
      <c r="P31" s="3752"/>
      <c r="Q31" s="3752"/>
      <c r="R31" s="3752"/>
      <c r="S31" s="3752"/>
      <c r="T31" s="3752"/>
      <c r="U31" s="3752"/>
      <c r="V31" s="3752"/>
      <c r="W31" s="3752"/>
      <c r="X31" s="3752"/>
      <c r="Y31" s="3752"/>
      <c r="Z31" s="3752"/>
      <c r="AA31" s="3752"/>
      <c r="AB31" s="3752"/>
      <c r="AC31" s="3752"/>
      <c r="AD31" s="3752"/>
      <c r="AE31" s="3752"/>
      <c r="AF31" s="3752"/>
      <c r="AG31" s="3752"/>
      <c r="AH31" s="3752"/>
      <c r="AI31" s="3752"/>
      <c r="AJ31" s="3752"/>
      <c r="AK31" s="3752"/>
      <c r="AL31" s="3752"/>
      <c r="AM31" s="3752"/>
      <c r="AN31" s="3752"/>
      <c r="AO31" s="3752"/>
      <c r="AP31" s="3752"/>
      <c r="AQ31" s="3752"/>
      <c r="AR31" s="3752"/>
      <c r="AS31" s="3752"/>
      <c r="AT31" s="3752"/>
      <c r="AU31" s="3752"/>
      <c r="AV31" s="3752"/>
      <c r="AW31" s="3752"/>
      <c r="AX31" s="3752"/>
      <c r="AY31" s="3752"/>
      <c r="AZ31" s="3752"/>
      <c r="BA31" s="3752"/>
      <c r="BB31" s="3752"/>
      <c r="BC31" s="3752"/>
      <c r="BD31" s="3752"/>
      <c r="BE31" s="3752"/>
      <c r="BF31" s="3752"/>
      <c r="BG31" s="3752"/>
      <c r="BH31" s="3752"/>
      <c r="BI31" s="3752"/>
      <c r="BJ31" s="3752"/>
      <c r="BK31" s="3752"/>
      <c r="BL31" s="3752"/>
      <c r="BM31" s="3752"/>
      <c r="BN31" s="3752"/>
      <c r="BO31" s="3752"/>
      <c r="BP31" s="3752"/>
      <c r="BQ31" s="3752"/>
      <c r="BR31" s="3752"/>
      <c r="BS31" s="3752"/>
      <c r="BT31" s="3752"/>
      <c r="BU31" s="3752"/>
      <c r="BV31" s="3752"/>
      <c r="BW31" s="3752"/>
      <c r="BX31" s="3752"/>
      <c r="BY31" s="3752"/>
      <c r="BZ31" s="3752"/>
      <c r="CA31" s="3752"/>
      <c r="CB31" s="3752"/>
      <c r="CC31" s="3752"/>
      <c r="CD31" s="3752"/>
      <c r="CE31" s="3752"/>
      <c r="CH31" s="3194"/>
      <c r="CI31" s="3194"/>
      <c r="CJ31" s="3194"/>
    </row>
    <row r="32" spans="1:88">
      <c r="A32" s="1553"/>
      <c r="B32" s="742"/>
      <c r="C32" s="3384" t="s">
        <v>917</v>
      </c>
      <c r="D32" s="3385"/>
      <c r="E32" s="3386"/>
      <c r="F32" s="3386"/>
      <c r="G32" s="3387"/>
      <c r="H32" s="3385"/>
      <c r="I32" s="3386"/>
      <c r="J32" s="3386"/>
      <c r="K32" s="3387"/>
      <c r="L32" s="3385"/>
      <c r="M32" s="3386"/>
      <c r="N32" s="3386"/>
      <c r="O32" s="3387"/>
      <c r="P32" s="3385"/>
      <c r="Q32" s="3386"/>
      <c r="R32" s="3386"/>
      <c r="S32" s="3387"/>
      <c r="T32" s="3385"/>
      <c r="U32" s="3386"/>
      <c r="V32" s="3386"/>
      <c r="W32" s="3387"/>
      <c r="X32" s="3385"/>
      <c r="Y32" s="3386"/>
      <c r="Z32" s="3386"/>
      <c r="AA32" s="3387"/>
      <c r="AB32" s="3385"/>
      <c r="AC32" s="3386"/>
      <c r="AD32" s="3386"/>
      <c r="AE32" s="3387"/>
      <c r="AF32" s="3385"/>
      <c r="AG32" s="3386"/>
      <c r="AH32" s="3386"/>
      <c r="AI32" s="3387"/>
      <c r="AJ32" s="3385"/>
      <c r="AK32" s="3386"/>
      <c r="AL32" s="3386"/>
      <c r="AM32" s="3387"/>
      <c r="AN32" s="3385"/>
      <c r="AO32" s="3386"/>
      <c r="AP32" s="3386"/>
      <c r="AQ32" s="3387"/>
      <c r="AR32" s="3385"/>
      <c r="AS32" s="3386"/>
      <c r="AT32" s="3386"/>
      <c r="AU32" s="3387"/>
      <c r="AV32" s="3385"/>
      <c r="AW32" s="3386"/>
      <c r="AX32" s="3386"/>
      <c r="AY32" s="3386"/>
      <c r="AZ32" s="3386"/>
      <c r="BA32" s="3386"/>
      <c r="BB32" s="3386"/>
      <c r="BC32" s="3386"/>
      <c r="BD32" s="3386"/>
      <c r="BE32" s="3386"/>
      <c r="BF32" s="3386"/>
      <c r="BG32" s="3386"/>
      <c r="BH32" s="3386"/>
      <c r="BI32" s="3386"/>
      <c r="BJ32" s="3386"/>
      <c r="BK32" s="3386"/>
      <c r="BL32" s="3386"/>
      <c r="BM32" s="3386"/>
      <c r="BN32" s="3386"/>
      <c r="BO32" s="3386"/>
      <c r="BP32" s="3386"/>
      <c r="BQ32" s="3386"/>
      <c r="BR32" s="3386"/>
      <c r="BS32" s="3386"/>
      <c r="BT32" s="3386"/>
      <c r="BU32" s="3386"/>
      <c r="BV32" s="3386"/>
      <c r="BW32" s="3386"/>
      <c r="BX32" s="3386" t="s">
        <v>1842</v>
      </c>
      <c r="BY32" s="3386" t="s">
        <v>1843</v>
      </c>
      <c r="BZ32" s="3386" t="s">
        <v>1844</v>
      </c>
      <c r="CA32" s="3386" t="s">
        <v>1845</v>
      </c>
      <c r="CB32" s="3386" t="s">
        <v>1842</v>
      </c>
      <c r="CC32" s="3386" t="s">
        <v>1843</v>
      </c>
      <c r="CD32" s="3386" t="s">
        <v>1844</v>
      </c>
      <c r="CE32" s="3386" t="s">
        <v>1845</v>
      </c>
      <c r="CH32" s="3194"/>
      <c r="CI32" s="3194"/>
      <c r="CJ32" s="3194"/>
    </row>
    <row r="33" spans="1:88">
      <c r="A33" s="762"/>
      <c r="B33" s="689"/>
      <c r="C33" s="732" t="s">
        <v>1069</v>
      </c>
      <c r="D33" s="2852"/>
      <c r="E33" s="2852"/>
      <c r="F33" s="2852"/>
      <c r="G33" s="2852"/>
      <c r="H33" s="2852"/>
      <c r="I33" s="2852"/>
      <c r="J33" s="2852"/>
      <c r="K33" s="2852"/>
      <c r="L33" s="2852"/>
      <c r="M33" s="2852"/>
      <c r="N33" s="2852"/>
      <c r="O33" s="2852"/>
      <c r="P33" s="2852"/>
      <c r="Q33" s="2852"/>
      <c r="R33" s="2852"/>
      <c r="S33" s="2852"/>
      <c r="T33" s="2852"/>
      <c r="U33" s="2852"/>
      <c r="V33" s="2852"/>
      <c r="W33" s="2852"/>
      <c r="X33" s="2852"/>
      <c r="Y33" s="2852"/>
      <c r="Z33" s="2852"/>
      <c r="AA33" s="2852"/>
      <c r="AB33" s="2852"/>
      <c r="AC33" s="2852"/>
      <c r="AD33" s="2852"/>
      <c r="AE33" s="2852"/>
      <c r="AF33" s="2852"/>
      <c r="AG33" s="2852"/>
      <c r="AH33" s="2852"/>
      <c r="AI33" s="2852"/>
      <c r="AJ33" s="2852"/>
      <c r="AK33" s="2852"/>
      <c r="AL33" s="2852"/>
      <c r="AM33" s="2852"/>
      <c r="AN33" s="2852"/>
      <c r="AO33" s="2852"/>
      <c r="AP33" s="2852"/>
      <c r="AQ33" s="2852"/>
      <c r="AR33" s="2852"/>
      <c r="AS33" s="2852"/>
      <c r="AT33" s="2852"/>
      <c r="AU33" s="2852"/>
      <c r="AV33" s="2852"/>
      <c r="AW33" s="2852"/>
      <c r="AX33" s="2852"/>
      <c r="AY33" s="2852"/>
      <c r="AZ33" s="2852"/>
      <c r="BA33" s="2852"/>
      <c r="BB33" s="2852"/>
      <c r="BC33" s="2852"/>
      <c r="BD33" s="2852"/>
      <c r="BE33" s="2852"/>
      <c r="BF33" s="2852"/>
      <c r="BG33" s="2852"/>
      <c r="BH33" s="2852"/>
      <c r="BI33" s="2852"/>
      <c r="BJ33" s="2852"/>
      <c r="BK33" s="2852"/>
      <c r="BL33" s="2852"/>
      <c r="BM33" s="2852"/>
      <c r="BN33" s="2852"/>
      <c r="BO33" s="2852"/>
      <c r="BP33" s="2852"/>
      <c r="BQ33" s="2852"/>
      <c r="BR33" s="2852"/>
      <c r="BS33" s="2852"/>
      <c r="BT33" s="2852"/>
      <c r="BU33" s="2852"/>
      <c r="BV33" s="2852"/>
      <c r="BW33" s="2852"/>
      <c r="BX33" s="2852">
        <f>BX18-BX4</f>
        <v>0.23852267538702066</v>
      </c>
      <c r="BY33" s="2852">
        <f t="shared" ref="BY33:CE33" si="4">BY18-BY4</f>
        <v>1.6862051541743917E-2</v>
      </c>
      <c r="BZ33" s="2852">
        <f t="shared" si="4"/>
        <v>-0.38409829024643738</v>
      </c>
      <c r="CA33" s="2852">
        <f t="shared" si="4"/>
        <v>5.3818434657015857E-2</v>
      </c>
      <c r="CB33" s="2852">
        <f t="shared" si="4"/>
        <v>0.19706020270922053</v>
      </c>
      <c r="CC33" s="2852">
        <f t="shared" si="4"/>
        <v>-6.0192210327847384E-2</v>
      </c>
      <c r="CD33" s="2852">
        <f t="shared" si="4"/>
        <v>-0.2254701056562336</v>
      </c>
      <c r="CE33" s="2852">
        <f t="shared" si="4"/>
        <v>-1.4691657208774469</v>
      </c>
      <c r="CH33" s="3194">
        <f t="shared" si="1"/>
        <v>-1.5048052581961846E-2</v>
      </c>
      <c r="CI33" s="3194">
        <f t="shared" si="2"/>
        <v>-0.12778310541007865</v>
      </c>
      <c r="CJ33" s="3194">
        <f t="shared" ref="CJ33:CJ42" si="5">0.75*CE33+0.5*CD33+0.25*CC33</f>
        <v>-1.2296573960681638</v>
      </c>
    </row>
    <row r="34" spans="1:88">
      <c r="A34" s="932"/>
      <c r="B34" s="674"/>
      <c r="C34" s="220" t="s">
        <v>1846</v>
      </c>
      <c r="D34" s="2853"/>
      <c r="E34" s="2853"/>
      <c r="F34" s="2853"/>
      <c r="G34" s="2853"/>
      <c r="H34" s="2853"/>
      <c r="I34" s="2853"/>
      <c r="J34" s="2853"/>
      <c r="K34" s="2853"/>
      <c r="L34" s="2853"/>
      <c r="M34" s="2853"/>
      <c r="N34" s="2853"/>
      <c r="O34" s="2853"/>
      <c r="P34" s="2853"/>
      <c r="Q34" s="2853"/>
      <c r="R34" s="2853"/>
      <c r="S34" s="2853"/>
      <c r="T34" s="2853"/>
      <c r="U34" s="2853"/>
      <c r="V34" s="2853"/>
      <c r="W34" s="2853"/>
      <c r="X34" s="2853"/>
      <c r="Y34" s="2853"/>
      <c r="Z34" s="2853"/>
      <c r="AA34" s="2853"/>
      <c r="AB34" s="2853"/>
      <c r="AC34" s="2853"/>
      <c r="AD34" s="2853"/>
      <c r="AE34" s="2853"/>
      <c r="AF34" s="2853"/>
      <c r="AG34" s="2853"/>
      <c r="AH34" s="2853"/>
      <c r="AI34" s="2853"/>
      <c r="AJ34" s="2853"/>
      <c r="AK34" s="2853"/>
      <c r="AL34" s="2853"/>
      <c r="AM34" s="2853"/>
      <c r="AN34" s="2853"/>
      <c r="AO34" s="2853"/>
      <c r="AP34" s="2853"/>
      <c r="AQ34" s="2853"/>
      <c r="AR34" s="2853"/>
      <c r="AS34" s="2853"/>
      <c r="AT34" s="2853"/>
      <c r="AU34" s="2853"/>
      <c r="AV34" s="2853"/>
      <c r="AW34" s="2853"/>
      <c r="AX34" s="2853"/>
      <c r="AY34" s="2853"/>
      <c r="AZ34" s="2853"/>
      <c r="BA34" s="2853"/>
      <c r="BB34" s="2853"/>
      <c r="BC34" s="2853"/>
      <c r="BD34" s="2853"/>
      <c r="BE34" s="2853"/>
      <c r="BF34" s="2853"/>
      <c r="BG34" s="2853"/>
      <c r="BH34" s="2853"/>
      <c r="BI34" s="2853"/>
      <c r="BJ34" s="2853"/>
      <c r="BK34" s="2853"/>
      <c r="BL34" s="2853"/>
      <c r="BM34" s="2853"/>
      <c r="BN34" s="2853"/>
      <c r="BO34" s="2853"/>
      <c r="BP34" s="2853"/>
      <c r="BQ34" s="2853"/>
      <c r="BR34" s="2853"/>
      <c r="BS34" s="2853"/>
      <c r="BT34" s="2853"/>
      <c r="BU34" s="2853"/>
      <c r="BV34" s="2853"/>
      <c r="BW34" s="2853"/>
      <c r="BX34" s="2853">
        <f t="shared" ref="BX34:CE42" si="6">BX19-BX5</f>
        <v>-5.7575051600644578E-2</v>
      </c>
      <c r="BY34" s="2853">
        <f t="shared" si="6"/>
        <v>2.9446169521984977E-2</v>
      </c>
      <c r="BZ34" s="2853">
        <f t="shared" si="6"/>
        <v>9.1943786061032817E-2</v>
      </c>
      <c r="CA34" s="2853">
        <f t="shared" si="6"/>
        <v>0.1316319311471803</v>
      </c>
      <c r="CB34" s="2853">
        <f t="shared" si="6"/>
        <v>-0.15228174228807401</v>
      </c>
      <c r="CC34" s="2853">
        <f t="shared" si="6"/>
        <v>-5.4747179736702734E-2</v>
      </c>
      <c r="CD34" s="2853">
        <f t="shared" si="6"/>
        <v>0.11821106087754885</v>
      </c>
      <c r="CE34" s="2853">
        <f t="shared" si="6"/>
        <v>1.7481709851738949</v>
      </c>
      <c r="CH34" s="3194">
        <f t="shared" si="1"/>
        <v>-1.3686794934175683E-2</v>
      </c>
      <c r="CI34" s="3194">
        <f t="shared" si="2"/>
        <v>4.541873550459874E-2</v>
      </c>
      <c r="CJ34" s="3194">
        <f t="shared" si="5"/>
        <v>1.35654697438502</v>
      </c>
    </row>
    <row r="35" spans="1:88">
      <c r="A35" s="932"/>
      <c r="B35" s="674"/>
      <c r="C35" s="220" t="s">
        <v>1067</v>
      </c>
      <c r="D35" s="2853"/>
      <c r="E35" s="2853"/>
      <c r="F35" s="2853"/>
      <c r="G35" s="2853"/>
      <c r="H35" s="2853"/>
      <c r="I35" s="2853"/>
      <c r="J35" s="2853"/>
      <c r="K35" s="2853"/>
      <c r="L35" s="2853"/>
      <c r="M35" s="2853"/>
      <c r="N35" s="2853"/>
      <c r="O35" s="2853"/>
      <c r="P35" s="2853"/>
      <c r="Q35" s="2853"/>
      <c r="R35" s="2853"/>
      <c r="S35" s="2853"/>
      <c r="T35" s="2853"/>
      <c r="U35" s="2853"/>
      <c r="V35" s="2853"/>
      <c r="W35" s="2853"/>
      <c r="X35" s="2853"/>
      <c r="Y35" s="2853"/>
      <c r="Z35" s="2853"/>
      <c r="AA35" s="2853"/>
      <c r="AB35" s="2853"/>
      <c r="AC35" s="2853"/>
      <c r="AD35" s="2853"/>
      <c r="AE35" s="2853"/>
      <c r="AF35" s="2853"/>
      <c r="AG35" s="2853"/>
      <c r="AH35" s="2853"/>
      <c r="AI35" s="2853"/>
      <c r="AJ35" s="2853"/>
      <c r="AK35" s="2853"/>
      <c r="AL35" s="2853"/>
      <c r="AM35" s="2853"/>
      <c r="AN35" s="2853"/>
      <c r="AO35" s="2853"/>
      <c r="AP35" s="2853"/>
      <c r="AQ35" s="2853"/>
      <c r="AR35" s="2853"/>
      <c r="AS35" s="2853"/>
      <c r="AT35" s="2853"/>
      <c r="AU35" s="2853"/>
      <c r="AV35" s="2853"/>
      <c r="AW35" s="2853"/>
      <c r="AX35" s="2853"/>
      <c r="AY35" s="2853"/>
      <c r="AZ35" s="2853"/>
      <c r="BA35" s="2853"/>
      <c r="BB35" s="2853"/>
      <c r="BC35" s="2853"/>
      <c r="BD35" s="2853"/>
      <c r="BE35" s="2853"/>
      <c r="BF35" s="2853"/>
      <c r="BG35" s="2853"/>
      <c r="BH35" s="2853"/>
      <c r="BI35" s="2853"/>
      <c r="BJ35" s="2853"/>
      <c r="BK35" s="2853"/>
      <c r="BL35" s="2853"/>
      <c r="BM35" s="2853"/>
      <c r="BN35" s="2853"/>
      <c r="BO35" s="2853"/>
      <c r="BP35" s="2853"/>
      <c r="BQ35" s="2853"/>
      <c r="BR35" s="2853"/>
      <c r="BS35" s="2853"/>
      <c r="BT35" s="2853"/>
      <c r="BU35" s="2853"/>
      <c r="BV35" s="2853"/>
      <c r="BW35" s="2853"/>
      <c r="BX35" s="2853">
        <f t="shared" si="6"/>
        <v>0.57385454915381828</v>
      </c>
      <c r="BY35" s="2853">
        <f t="shared" si="6"/>
        <v>-1.8424765979396796E-2</v>
      </c>
      <c r="BZ35" s="2853">
        <f t="shared" si="6"/>
        <v>-0.31283538218707108</v>
      </c>
      <c r="CA35" s="2853">
        <f t="shared" si="6"/>
        <v>-0.2614187467204987</v>
      </c>
      <c r="CB35" s="2853">
        <f t="shared" si="6"/>
        <v>0.29990479136268178</v>
      </c>
      <c r="CC35" s="2853">
        <f t="shared" si="6"/>
        <v>0.25580761361694293</v>
      </c>
      <c r="CD35" s="2853">
        <f t="shared" si="6"/>
        <v>-7.2839763129095569E-2</v>
      </c>
      <c r="CE35" s="2853">
        <f t="shared" si="6"/>
        <v>-6.1243867602310091</v>
      </c>
      <c r="CH35" s="3194">
        <f t="shared" si="1"/>
        <v>6.3951903404235733E-2</v>
      </c>
      <c r="CI35" s="3194">
        <f t="shared" si="2"/>
        <v>2.7532021839687948E-2</v>
      </c>
      <c r="CJ35" s="3194">
        <f t="shared" si="5"/>
        <v>-4.5657580483335689</v>
      </c>
    </row>
    <row r="36" spans="1:88">
      <c r="A36" s="932"/>
      <c r="B36" s="717"/>
      <c r="C36" s="718" t="s">
        <v>2107</v>
      </c>
      <c r="D36" s="2854"/>
      <c r="E36" s="2854"/>
      <c r="F36" s="2854"/>
      <c r="G36" s="2854"/>
      <c r="H36" s="2854"/>
      <c r="I36" s="2854"/>
      <c r="J36" s="2854"/>
      <c r="K36" s="2854"/>
      <c r="L36" s="2854"/>
      <c r="M36" s="2854"/>
      <c r="N36" s="2854"/>
      <c r="O36" s="2854"/>
      <c r="P36" s="2854"/>
      <c r="Q36" s="2854"/>
      <c r="R36" s="2854"/>
      <c r="S36" s="2854"/>
      <c r="T36" s="2854"/>
      <c r="U36" s="2854"/>
      <c r="V36" s="2854"/>
      <c r="W36" s="2854"/>
      <c r="X36" s="2854"/>
      <c r="Y36" s="2854"/>
      <c r="Z36" s="2854"/>
      <c r="AA36" s="2854"/>
      <c r="AB36" s="2854"/>
      <c r="AC36" s="2854"/>
      <c r="AD36" s="2854"/>
      <c r="AE36" s="2854"/>
      <c r="AF36" s="2854"/>
      <c r="AG36" s="2854"/>
      <c r="AH36" s="2854"/>
      <c r="AI36" s="2854"/>
      <c r="AJ36" s="2854"/>
      <c r="AK36" s="2854"/>
      <c r="AL36" s="2854"/>
      <c r="AM36" s="2854"/>
      <c r="AN36" s="2854"/>
      <c r="AO36" s="2854"/>
      <c r="AP36" s="2854"/>
      <c r="AQ36" s="2854"/>
      <c r="AR36" s="2854"/>
      <c r="AS36" s="2854"/>
      <c r="AT36" s="2854"/>
      <c r="AU36" s="2854"/>
      <c r="AV36" s="2854"/>
      <c r="AW36" s="2854"/>
      <c r="AX36" s="2854"/>
      <c r="AY36" s="2854"/>
      <c r="AZ36" s="2854"/>
      <c r="BA36" s="2854"/>
      <c r="BB36" s="2854"/>
      <c r="BC36" s="2854"/>
      <c r="BD36" s="2854"/>
      <c r="BE36" s="2854"/>
      <c r="BF36" s="2854"/>
      <c r="BG36" s="2854"/>
      <c r="BH36" s="2854"/>
      <c r="BI36" s="2854"/>
      <c r="BJ36" s="2854"/>
      <c r="BK36" s="2854"/>
      <c r="BL36" s="2854"/>
      <c r="BM36" s="2854"/>
      <c r="BN36" s="2854"/>
      <c r="BO36" s="2854"/>
      <c r="BP36" s="2854"/>
      <c r="BQ36" s="2854"/>
      <c r="BR36" s="2854"/>
      <c r="BS36" s="2854"/>
      <c r="BT36" s="2854"/>
      <c r="BU36" s="2854"/>
      <c r="BV36" s="2854"/>
      <c r="BW36" s="2854"/>
      <c r="BX36" s="2854">
        <f t="shared" si="6"/>
        <v>0.24289620292317071</v>
      </c>
      <c r="BY36" s="2854">
        <f t="shared" si="6"/>
        <v>1.3595427031765084E-2</v>
      </c>
      <c r="BZ36" s="2854">
        <f t="shared" si="6"/>
        <v>-0.28423094079859101</v>
      </c>
      <c r="CA36" s="2854">
        <f t="shared" si="6"/>
        <v>8.2818047336341571E-3</v>
      </c>
      <c r="CB36" s="2854">
        <f t="shared" si="6"/>
        <v>0.15333820601997061</v>
      </c>
      <c r="CC36" s="2854">
        <f t="shared" si="6"/>
        <v>1.586182935042757E-3</v>
      </c>
      <c r="CD36" s="2854">
        <f t="shared" si="6"/>
        <v>-0.1373869886375223</v>
      </c>
      <c r="CE36" s="2854">
        <f t="shared" si="6"/>
        <v>-1.8104584161317137</v>
      </c>
      <c r="CH36" s="3194">
        <f t="shared" si="1"/>
        <v>3.9654573376068925E-4</v>
      </c>
      <c r="CI36" s="3194">
        <f t="shared" si="2"/>
        <v>-6.8296948585000461E-2</v>
      </c>
      <c r="CJ36" s="3194">
        <f t="shared" si="5"/>
        <v>-1.4261407606837857</v>
      </c>
    </row>
    <row r="37" spans="1:88">
      <c r="A37" s="932"/>
      <c r="B37" s="806"/>
      <c r="C37" s="334" t="s">
        <v>2108</v>
      </c>
      <c r="D37" s="2856"/>
      <c r="E37" s="2856"/>
      <c r="F37" s="2856"/>
      <c r="G37" s="2856"/>
      <c r="H37" s="2856"/>
      <c r="I37" s="2856"/>
      <c r="J37" s="2856"/>
      <c r="K37" s="2856"/>
      <c r="L37" s="2856"/>
      <c r="M37" s="2856"/>
      <c r="N37" s="2856"/>
      <c r="O37" s="2856"/>
      <c r="P37" s="2856"/>
      <c r="Q37" s="2856"/>
      <c r="R37" s="2856"/>
      <c r="S37" s="2856"/>
      <c r="T37" s="2856"/>
      <c r="U37" s="2856"/>
      <c r="V37" s="2856"/>
      <c r="W37" s="2856"/>
      <c r="X37" s="2856"/>
      <c r="Y37" s="2856"/>
      <c r="Z37" s="2856"/>
      <c r="AA37" s="2856"/>
      <c r="AB37" s="2856"/>
      <c r="AC37" s="2856"/>
      <c r="AD37" s="2856"/>
      <c r="AE37" s="2856"/>
      <c r="AF37" s="2856"/>
      <c r="AG37" s="2856"/>
      <c r="AH37" s="2856"/>
      <c r="AI37" s="2856"/>
      <c r="AJ37" s="2856"/>
      <c r="AK37" s="2856"/>
      <c r="AL37" s="2856"/>
      <c r="AM37" s="2856"/>
      <c r="AN37" s="2856"/>
      <c r="AO37" s="2856"/>
      <c r="AP37" s="2856"/>
      <c r="AQ37" s="2856"/>
      <c r="AR37" s="2856"/>
      <c r="AS37" s="2856"/>
      <c r="AT37" s="2856"/>
      <c r="AU37" s="2856"/>
      <c r="AV37" s="2856"/>
      <c r="AW37" s="2856"/>
      <c r="AX37" s="2856"/>
      <c r="AY37" s="2856"/>
      <c r="AZ37" s="2856"/>
      <c r="BA37" s="2856"/>
      <c r="BB37" s="2856"/>
      <c r="BC37" s="2856"/>
      <c r="BD37" s="2856"/>
      <c r="BE37" s="2856"/>
      <c r="BF37" s="2856"/>
      <c r="BG37" s="2856"/>
      <c r="BH37" s="2856"/>
      <c r="BI37" s="2856"/>
      <c r="BJ37" s="2856"/>
      <c r="BK37" s="2856"/>
      <c r="BL37" s="2856"/>
      <c r="BM37" s="2856"/>
      <c r="BN37" s="2856"/>
      <c r="BO37" s="2856"/>
      <c r="BP37" s="2856"/>
      <c r="BQ37" s="2856"/>
      <c r="BR37" s="2856"/>
      <c r="BS37" s="2856"/>
      <c r="BT37" s="2856"/>
      <c r="BU37" s="2856"/>
      <c r="BV37" s="2856"/>
      <c r="BW37" s="2856"/>
      <c r="BX37" s="2856">
        <f t="shared" si="6"/>
        <v>-0.26412236324097194</v>
      </c>
      <c r="BY37" s="2856">
        <f t="shared" si="6"/>
        <v>-0.1221537720861523</v>
      </c>
      <c r="BZ37" s="2856">
        <f t="shared" si="6"/>
        <v>-0.18590599884754289</v>
      </c>
      <c r="CA37" s="2856">
        <f t="shared" si="6"/>
        <v>0.53873924078343793</v>
      </c>
      <c r="CB37" s="2856">
        <f t="shared" si="6"/>
        <v>-0.11996845932226063</v>
      </c>
      <c r="CC37" s="2856">
        <f t="shared" si="6"/>
        <v>-0.11945716506698978</v>
      </c>
      <c r="CD37" s="2856">
        <f t="shared" si="6"/>
        <v>-0.11844765271309499</v>
      </c>
      <c r="CE37" s="2856">
        <f t="shared" si="6"/>
        <v>3.756746400004737</v>
      </c>
      <c r="CH37" s="3194">
        <f t="shared" si="1"/>
        <v>-2.9864291266747445E-2</v>
      </c>
      <c r="CI37" s="3194">
        <f t="shared" si="2"/>
        <v>-8.9088117623294938E-2</v>
      </c>
      <c r="CJ37" s="3194">
        <f t="shared" si="5"/>
        <v>2.7284716823802579</v>
      </c>
    </row>
    <row r="38" spans="1:88">
      <c r="A38" s="932"/>
      <c r="B38" s="717"/>
      <c r="C38" s="718" t="s">
        <v>1712</v>
      </c>
      <c r="D38" s="2854"/>
      <c r="E38" s="2854"/>
      <c r="F38" s="2854"/>
      <c r="G38" s="2854"/>
      <c r="H38" s="2854"/>
      <c r="I38" s="2854"/>
      <c r="J38" s="2854"/>
      <c r="K38" s="2854"/>
      <c r="L38" s="2854"/>
      <c r="M38" s="2854"/>
      <c r="N38" s="2854"/>
      <c r="O38" s="2854"/>
      <c r="P38" s="2854"/>
      <c r="Q38" s="2854"/>
      <c r="R38" s="2854"/>
      <c r="S38" s="2854"/>
      <c r="T38" s="2854"/>
      <c r="U38" s="2854"/>
      <c r="V38" s="2854"/>
      <c r="W38" s="2854"/>
      <c r="X38" s="2854"/>
      <c r="Y38" s="2854"/>
      <c r="Z38" s="2854"/>
      <c r="AA38" s="2854"/>
      <c r="AB38" s="2854"/>
      <c r="AC38" s="2854"/>
      <c r="AD38" s="2854"/>
      <c r="AE38" s="2854"/>
      <c r="AF38" s="2854"/>
      <c r="AG38" s="2854"/>
      <c r="AH38" s="2854"/>
      <c r="AI38" s="2854"/>
      <c r="AJ38" s="2854"/>
      <c r="AK38" s="2854"/>
      <c r="AL38" s="2854"/>
      <c r="AM38" s="2854"/>
      <c r="AN38" s="2854"/>
      <c r="AO38" s="2854"/>
      <c r="AP38" s="2854"/>
      <c r="AQ38" s="2854"/>
      <c r="AR38" s="2854"/>
      <c r="AS38" s="2854"/>
      <c r="AT38" s="2854"/>
      <c r="AU38" s="2854"/>
      <c r="AV38" s="2854"/>
      <c r="AW38" s="2854"/>
      <c r="AX38" s="2854"/>
      <c r="AY38" s="2854"/>
      <c r="AZ38" s="2854"/>
      <c r="BA38" s="2854"/>
      <c r="BB38" s="2854"/>
      <c r="BC38" s="2854"/>
      <c r="BD38" s="2854"/>
      <c r="BE38" s="2854"/>
      <c r="BF38" s="2854"/>
      <c r="BG38" s="2854"/>
      <c r="BH38" s="2854"/>
      <c r="BI38" s="2854"/>
      <c r="BJ38" s="2854"/>
      <c r="BK38" s="2854"/>
      <c r="BL38" s="2854"/>
      <c r="BM38" s="2854"/>
      <c r="BN38" s="2854"/>
      <c r="BO38" s="2854"/>
      <c r="BP38" s="2854"/>
      <c r="BQ38" s="2854"/>
      <c r="BR38" s="2854"/>
      <c r="BS38" s="2854"/>
      <c r="BT38" s="2854"/>
      <c r="BU38" s="2854"/>
      <c r="BV38" s="2854"/>
      <c r="BW38" s="2854"/>
      <c r="BX38" s="2854">
        <f t="shared" si="6"/>
        <v>-0.14011569649150513</v>
      </c>
      <c r="BY38" s="2854">
        <f t="shared" si="6"/>
        <v>-3.744523740929484E-2</v>
      </c>
      <c r="BZ38" s="2854">
        <f t="shared" si="6"/>
        <v>-0.4077852386877856</v>
      </c>
      <c r="CA38" s="2854">
        <f t="shared" si="6"/>
        <v>0.62636011044120421</v>
      </c>
      <c r="CB38" s="2854">
        <f t="shared" si="6"/>
        <v>-0.17490199971932352</v>
      </c>
      <c r="CC38" s="2854">
        <f t="shared" si="6"/>
        <v>-0.16748168467366487</v>
      </c>
      <c r="CD38" s="2854">
        <f t="shared" si="6"/>
        <v>-0.41600344325098959</v>
      </c>
      <c r="CE38" s="2854">
        <f t="shared" si="6"/>
        <v>-0.80591671177342317</v>
      </c>
      <c r="CH38" s="3194">
        <f t="shared" si="1"/>
        <v>-4.1870421168416216E-2</v>
      </c>
      <c r="CI38" s="3194">
        <f t="shared" si="2"/>
        <v>-0.24987214279391101</v>
      </c>
      <c r="CJ38" s="3194">
        <f t="shared" si="5"/>
        <v>-0.85430967662397839</v>
      </c>
    </row>
    <row r="39" spans="1:88">
      <c r="A39" s="932"/>
      <c r="B39" s="674"/>
      <c r="C39" s="220" t="s">
        <v>912</v>
      </c>
      <c r="D39" s="2853"/>
      <c r="E39" s="2853"/>
      <c r="F39" s="2853"/>
      <c r="G39" s="2853"/>
      <c r="H39" s="2853"/>
      <c r="I39" s="2853"/>
      <c r="J39" s="2853"/>
      <c r="K39" s="2853"/>
      <c r="L39" s="2853"/>
      <c r="M39" s="2853"/>
      <c r="N39" s="2853"/>
      <c r="O39" s="2853"/>
      <c r="P39" s="2853"/>
      <c r="Q39" s="2853"/>
      <c r="R39" s="2853"/>
      <c r="S39" s="2853"/>
      <c r="T39" s="2853"/>
      <c r="U39" s="2853"/>
      <c r="V39" s="2853"/>
      <c r="W39" s="2853"/>
      <c r="X39" s="2853"/>
      <c r="Y39" s="2853"/>
      <c r="Z39" s="2853"/>
      <c r="AA39" s="2853"/>
      <c r="AB39" s="2853"/>
      <c r="AC39" s="2853"/>
      <c r="AD39" s="2853"/>
      <c r="AE39" s="2853"/>
      <c r="AF39" s="2853"/>
      <c r="AG39" s="2853"/>
      <c r="AH39" s="2853"/>
      <c r="AI39" s="2853"/>
      <c r="AJ39" s="2853"/>
      <c r="AK39" s="2853"/>
      <c r="AL39" s="2853"/>
      <c r="AM39" s="2853"/>
      <c r="AN39" s="2853"/>
      <c r="AO39" s="2853"/>
      <c r="AP39" s="2853"/>
      <c r="AQ39" s="2853"/>
      <c r="AR39" s="2853"/>
      <c r="AS39" s="2853"/>
      <c r="AT39" s="2853"/>
      <c r="AU39" s="2853"/>
      <c r="AV39" s="2853"/>
      <c r="AW39" s="2853"/>
      <c r="AX39" s="2853"/>
      <c r="AY39" s="2853"/>
      <c r="AZ39" s="2853"/>
      <c r="BA39" s="2853"/>
      <c r="BB39" s="2853"/>
      <c r="BC39" s="2853"/>
      <c r="BD39" s="2853"/>
      <c r="BE39" s="2853"/>
      <c r="BF39" s="2853"/>
      <c r="BG39" s="2853"/>
      <c r="BH39" s="2853"/>
      <c r="BI39" s="2853"/>
      <c r="BJ39" s="2853"/>
      <c r="BK39" s="2853"/>
      <c r="BL39" s="2853"/>
      <c r="BM39" s="2853"/>
      <c r="BN39" s="2853"/>
      <c r="BO39" s="2853"/>
      <c r="BP39" s="2853"/>
      <c r="BQ39" s="2853"/>
      <c r="BR39" s="2853"/>
      <c r="BS39" s="2853"/>
      <c r="BT39" s="2853"/>
      <c r="BU39" s="2853"/>
      <c r="BV39" s="2853"/>
      <c r="BW39" s="2853"/>
      <c r="BX39" s="2853">
        <f t="shared" si="6"/>
        <v>-1.5794490910969294</v>
      </c>
      <c r="BY39" s="2853">
        <f t="shared" si="6"/>
        <v>2.3863741660864468</v>
      </c>
      <c r="BZ39" s="2853">
        <f t="shared" si="6"/>
        <v>-0.27958885268211109</v>
      </c>
      <c r="CA39" s="2853">
        <f t="shared" si="6"/>
        <v>-0.66613971348059575</v>
      </c>
      <c r="CB39" s="2853">
        <f t="shared" si="6"/>
        <v>-0.15260911022552115</v>
      </c>
      <c r="CC39" s="2853">
        <f t="shared" si="6"/>
        <v>0.83019582391330449</v>
      </c>
      <c r="CD39" s="2853">
        <f t="shared" si="6"/>
        <v>-0.58313049986828958</v>
      </c>
      <c r="CE39" s="2853">
        <f t="shared" si="6"/>
        <v>-1.1563684592700176</v>
      </c>
      <c r="CH39" s="3194">
        <f t="shared" si="1"/>
        <v>0.20754895597832612</v>
      </c>
      <c r="CI39" s="3194">
        <f t="shared" si="2"/>
        <v>-8.4016293955818666E-2</v>
      </c>
      <c r="CJ39" s="3194">
        <f t="shared" si="5"/>
        <v>-0.95129263840833178</v>
      </c>
    </row>
    <row r="40" spans="1:88">
      <c r="A40" s="932"/>
      <c r="B40" s="717"/>
      <c r="C40" s="718" t="s">
        <v>1359</v>
      </c>
      <c r="D40" s="2854"/>
      <c r="E40" s="2854"/>
      <c r="F40" s="2854"/>
      <c r="G40" s="2854"/>
      <c r="H40" s="2854"/>
      <c r="I40" s="2854"/>
      <c r="J40" s="2854"/>
      <c r="K40" s="2854"/>
      <c r="L40" s="2854"/>
      <c r="M40" s="2854"/>
      <c r="N40" s="2854"/>
      <c r="O40" s="2854"/>
      <c r="P40" s="2854"/>
      <c r="Q40" s="2854"/>
      <c r="R40" s="2854"/>
      <c r="S40" s="2854"/>
      <c r="T40" s="2854"/>
      <c r="U40" s="2854"/>
      <c r="V40" s="2854"/>
      <c r="W40" s="2854"/>
      <c r="X40" s="2854"/>
      <c r="Y40" s="2854"/>
      <c r="Z40" s="2854"/>
      <c r="AA40" s="2854"/>
      <c r="AB40" s="2854"/>
      <c r="AC40" s="2854"/>
      <c r="AD40" s="2854"/>
      <c r="AE40" s="2854"/>
      <c r="AF40" s="2854"/>
      <c r="AG40" s="2854"/>
      <c r="AH40" s="2854"/>
      <c r="AI40" s="2854"/>
      <c r="AJ40" s="2854"/>
      <c r="AK40" s="2854"/>
      <c r="AL40" s="2854"/>
      <c r="AM40" s="2854"/>
      <c r="AN40" s="2854"/>
      <c r="AO40" s="2854"/>
      <c r="AP40" s="2854"/>
      <c r="AQ40" s="2854"/>
      <c r="AR40" s="2854"/>
      <c r="AS40" s="2854"/>
      <c r="AT40" s="2854"/>
      <c r="AU40" s="2854"/>
      <c r="AV40" s="2854"/>
      <c r="AW40" s="2854"/>
      <c r="AX40" s="2854"/>
      <c r="AY40" s="2854"/>
      <c r="AZ40" s="2854"/>
      <c r="BA40" s="2854"/>
      <c r="BB40" s="2854"/>
      <c r="BC40" s="2854"/>
      <c r="BD40" s="2854"/>
      <c r="BE40" s="2854"/>
      <c r="BF40" s="2854"/>
      <c r="BG40" s="2854"/>
      <c r="BH40" s="2854"/>
      <c r="BI40" s="2854"/>
      <c r="BJ40" s="2854"/>
      <c r="BK40" s="2854"/>
      <c r="BL40" s="2854"/>
      <c r="BM40" s="2854"/>
      <c r="BN40" s="2854"/>
      <c r="BO40" s="2854"/>
      <c r="BP40" s="2854"/>
      <c r="BQ40" s="2854"/>
      <c r="BR40" s="2854"/>
      <c r="BS40" s="2854"/>
      <c r="BT40" s="2854"/>
      <c r="BU40" s="2854"/>
      <c r="BV40" s="2854"/>
      <c r="BW40" s="2854"/>
      <c r="BX40" s="2854">
        <f t="shared" si="6"/>
        <v>-0.79913985944966015</v>
      </c>
      <c r="BY40" s="2854">
        <f t="shared" si="6"/>
        <v>1.0793127078198017</v>
      </c>
      <c r="BZ40" s="2854">
        <f t="shared" si="6"/>
        <v>-0.35759022474450841</v>
      </c>
      <c r="CA40" s="2854">
        <f t="shared" si="6"/>
        <v>5.4249211904122685E-2</v>
      </c>
      <c r="CB40" s="2854">
        <f t="shared" si="6"/>
        <v>-0.1637664137054573</v>
      </c>
      <c r="CC40" s="2854">
        <f t="shared" si="6"/>
        <v>0.27848762528908111</v>
      </c>
      <c r="CD40" s="2854">
        <f t="shared" si="6"/>
        <v>-0.49175523306625413</v>
      </c>
      <c r="CE40" s="2854">
        <f t="shared" si="6"/>
        <v>-0.96904250785212109</v>
      </c>
      <c r="CH40" s="3194">
        <f t="shared" si="1"/>
        <v>6.9621906322270277E-2</v>
      </c>
      <c r="CI40" s="3194">
        <f t="shared" si="2"/>
        <v>-0.17625571021085679</v>
      </c>
      <c r="CJ40" s="3194">
        <f t="shared" si="5"/>
        <v>-0.90303759109994752</v>
      </c>
    </row>
    <row r="41" spans="1:88">
      <c r="A41" s="690"/>
      <c r="B41" s="691"/>
      <c r="C41" s="735" t="s">
        <v>1086</v>
      </c>
      <c r="D41" s="2855"/>
      <c r="E41" s="2855"/>
      <c r="F41" s="2855"/>
      <c r="G41" s="2855"/>
      <c r="H41" s="2855"/>
      <c r="I41" s="2855"/>
      <c r="J41" s="2855"/>
      <c r="K41" s="2855"/>
      <c r="L41" s="2855"/>
      <c r="M41" s="2855"/>
      <c r="N41" s="2855"/>
      <c r="O41" s="2855"/>
      <c r="P41" s="2855"/>
      <c r="Q41" s="2855"/>
      <c r="R41" s="2855"/>
      <c r="S41" s="2855"/>
      <c r="T41" s="2855"/>
      <c r="U41" s="2855"/>
      <c r="V41" s="2855"/>
      <c r="W41" s="2855"/>
      <c r="X41" s="2855"/>
      <c r="Y41" s="2855"/>
      <c r="Z41" s="2855"/>
      <c r="AA41" s="2855"/>
      <c r="AB41" s="2855"/>
      <c r="AC41" s="2855"/>
      <c r="AD41" s="2855"/>
      <c r="AE41" s="2855"/>
      <c r="AF41" s="2855"/>
      <c r="AG41" s="2855"/>
      <c r="AH41" s="2855"/>
      <c r="AI41" s="2855"/>
      <c r="AJ41" s="2855"/>
      <c r="AK41" s="2855"/>
      <c r="AL41" s="2855"/>
      <c r="AM41" s="2855"/>
      <c r="AN41" s="2855"/>
      <c r="AO41" s="2855"/>
      <c r="AP41" s="2855"/>
      <c r="AQ41" s="2855"/>
      <c r="AR41" s="2855"/>
      <c r="AS41" s="2855"/>
      <c r="AT41" s="2855"/>
      <c r="AU41" s="2855"/>
      <c r="AV41" s="2855"/>
      <c r="AW41" s="2855"/>
      <c r="AX41" s="2855"/>
      <c r="AY41" s="2855"/>
      <c r="AZ41" s="2855"/>
      <c r="BA41" s="2855"/>
      <c r="BB41" s="2855"/>
      <c r="BC41" s="2855"/>
      <c r="BD41" s="2855"/>
      <c r="BE41" s="2855"/>
      <c r="BF41" s="2855"/>
      <c r="BG41" s="2855"/>
      <c r="BH41" s="2855"/>
      <c r="BI41" s="2855"/>
      <c r="BJ41" s="2855"/>
      <c r="BK41" s="2855"/>
      <c r="BL41" s="2855"/>
      <c r="BM41" s="2855"/>
      <c r="BN41" s="2855"/>
      <c r="BO41" s="2855"/>
      <c r="BP41" s="2855"/>
      <c r="BQ41" s="2855"/>
      <c r="BR41" s="2855"/>
      <c r="BS41" s="2855"/>
      <c r="BT41" s="2855"/>
      <c r="BU41" s="2855"/>
      <c r="BV41" s="2855"/>
      <c r="BW41" s="2855"/>
      <c r="BX41" s="2855">
        <f t="shared" si="6"/>
        <v>-1.7993107655008611</v>
      </c>
      <c r="BY41" s="2855">
        <f t="shared" si="6"/>
        <v>3.0693904570393893</v>
      </c>
      <c r="BZ41" s="2855">
        <f t="shared" si="6"/>
        <v>-1.8843709860498992</v>
      </c>
      <c r="CA41" s="2855">
        <f t="shared" si="6"/>
        <v>0.99948145513069075</v>
      </c>
      <c r="CB41" s="2855">
        <f t="shared" si="6"/>
        <v>0.20882522860030672</v>
      </c>
      <c r="CC41" s="2855">
        <f t="shared" si="6"/>
        <v>-0.14103894251082938</v>
      </c>
      <c r="CD41" s="2855">
        <f t="shared" si="6"/>
        <v>-2.0997718112004016</v>
      </c>
      <c r="CE41" s="2855">
        <f t="shared" si="6"/>
        <v>-3.2394817091544743</v>
      </c>
      <c r="CH41" s="3194">
        <f t="shared" si="1"/>
        <v>-3.5259735627707345E-2</v>
      </c>
      <c r="CI41" s="3194">
        <f t="shared" si="2"/>
        <v>-1.0851456412279081</v>
      </c>
      <c r="CJ41" s="3194">
        <f t="shared" si="5"/>
        <v>-3.5147569230937634</v>
      </c>
    </row>
    <row r="42" spans="1:88">
      <c r="A42" s="674"/>
      <c r="B42" s="717"/>
      <c r="C42" s="718" t="s">
        <v>1269</v>
      </c>
      <c r="D42" s="2854"/>
      <c r="E42" s="2854"/>
      <c r="F42" s="2854"/>
      <c r="G42" s="2854"/>
      <c r="H42" s="2854"/>
      <c r="I42" s="2854"/>
      <c r="J42" s="2854"/>
      <c r="K42" s="2854"/>
      <c r="L42" s="2854"/>
      <c r="M42" s="2854"/>
      <c r="N42" s="2854"/>
      <c r="O42" s="2854"/>
      <c r="P42" s="2854"/>
      <c r="Q42" s="2854"/>
      <c r="R42" s="2854"/>
      <c r="S42" s="2854"/>
      <c r="T42" s="2854"/>
      <c r="U42" s="2854"/>
      <c r="V42" s="2854"/>
      <c r="W42" s="2854"/>
      <c r="X42" s="2854"/>
      <c r="Y42" s="2854"/>
      <c r="Z42" s="2854"/>
      <c r="AA42" s="2854"/>
      <c r="AB42" s="2854"/>
      <c r="AC42" s="2854"/>
      <c r="AD42" s="2854"/>
      <c r="AE42" s="2854"/>
      <c r="AF42" s="2854"/>
      <c r="AG42" s="2854"/>
      <c r="AH42" s="2854"/>
      <c r="AI42" s="2854"/>
      <c r="AJ42" s="2854"/>
      <c r="AK42" s="2854"/>
      <c r="AL42" s="2854"/>
      <c r="AM42" s="2854"/>
      <c r="AN42" s="2854"/>
      <c r="AO42" s="2854"/>
      <c r="AP42" s="2854"/>
      <c r="AQ42" s="2854"/>
      <c r="AR42" s="2854"/>
      <c r="AS42" s="2854"/>
      <c r="AT42" s="2854"/>
      <c r="AU42" s="2854"/>
      <c r="AV42" s="2854"/>
      <c r="AW42" s="2854"/>
      <c r="AX42" s="2854"/>
      <c r="AY42" s="2854"/>
      <c r="AZ42" s="2854"/>
      <c r="BA42" s="2854"/>
      <c r="BB42" s="2854"/>
      <c r="BC42" s="2854"/>
      <c r="BD42" s="2854"/>
      <c r="BE42" s="2854"/>
      <c r="BF42" s="2854"/>
      <c r="BG42" s="2854"/>
      <c r="BH42" s="2854"/>
      <c r="BI42" s="2854"/>
      <c r="BJ42" s="2854"/>
      <c r="BK42" s="2854"/>
      <c r="BL42" s="2854"/>
      <c r="BM42" s="2854"/>
      <c r="BN42" s="2854"/>
      <c r="BO42" s="2854"/>
      <c r="BP42" s="2854"/>
      <c r="BQ42" s="2854"/>
      <c r="BR42" s="2854"/>
      <c r="BS42" s="2854"/>
      <c r="BT42" s="2854"/>
      <c r="BU42" s="2854"/>
      <c r="BV42" s="2854"/>
      <c r="BW42" s="2854"/>
      <c r="BX42" s="2854">
        <f t="shared" si="6"/>
        <v>-0.11560790776787844</v>
      </c>
      <c r="BY42" s="2854">
        <f t="shared" si="6"/>
        <v>0.14204160398760823</v>
      </c>
      <c r="BZ42" s="2854">
        <f t="shared" si="6"/>
        <v>-5.3156801023135358E-2</v>
      </c>
      <c r="CA42" s="2854">
        <f t="shared" si="6"/>
        <v>5.2329981049137331E-2</v>
      </c>
      <c r="CB42" s="2854">
        <f t="shared" si="6"/>
        <v>-9.1703634177409121E-2</v>
      </c>
      <c r="CC42" s="2854">
        <f t="shared" si="6"/>
        <v>9.8093771830365384E-2</v>
      </c>
      <c r="CD42" s="2854">
        <f t="shared" si="6"/>
        <v>-7.9018297921118474E-2</v>
      </c>
      <c r="CE42" s="2854">
        <f t="shared" si="6"/>
        <v>-0.58687659553368676</v>
      </c>
      <c r="CH42" s="3194">
        <f t="shared" si="1"/>
        <v>2.4523442957591346E-2</v>
      </c>
      <c r="CI42" s="3194">
        <f t="shared" si="2"/>
        <v>-1.4985706002967891E-2</v>
      </c>
      <c r="CJ42" s="3194">
        <f t="shared" si="5"/>
        <v>-0.45514315265323296</v>
      </c>
    </row>
  </sheetData>
  <mergeCells count="64">
    <mergeCell ref="T2:W2"/>
    <mergeCell ref="A2:C2"/>
    <mergeCell ref="D2:G2"/>
    <mergeCell ref="H2:K2"/>
    <mergeCell ref="L2:O2"/>
    <mergeCell ref="P2:S2"/>
    <mergeCell ref="X2:AA2"/>
    <mergeCell ref="AB2:AE2"/>
    <mergeCell ref="AF2:AI2"/>
    <mergeCell ref="AJ2:AM2"/>
    <mergeCell ref="BX2:CA2"/>
    <mergeCell ref="AV2:AY2"/>
    <mergeCell ref="AZ2:BC2"/>
    <mergeCell ref="BD2:BG2"/>
    <mergeCell ref="BH2:BK2"/>
    <mergeCell ref="BL2:BO2"/>
    <mergeCell ref="BP2:BS2"/>
    <mergeCell ref="AN2:AQ2"/>
    <mergeCell ref="AR2:AU2"/>
    <mergeCell ref="A16:C16"/>
    <mergeCell ref="D16:G16"/>
    <mergeCell ref="H16:K16"/>
    <mergeCell ref="L16:O16"/>
    <mergeCell ref="P16:S16"/>
    <mergeCell ref="AJ16:AM16"/>
    <mergeCell ref="AN16:AQ16"/>
    <mergeCell ref="AR31:AU31"/>
    <mergeCell ref="X31:AA31"/>
    <mergeCell ref="AB31:AE31"/>
    <mergeCell ref="AF31:AI31"/>
    <mergeCell ref="AJ31:AM31"/>
    <mergeCell ref="AN31:AQ31"/>
    <mergeCell ref="BH16:BK16"/>
    <mergeCell ref="BL16:BO16"/>
    <mergeCell ref="A31:C31"/>
    <mergeCell ref="D31:G31"/>
    <mergeCell ref="H31:K31"/>
    <mergeCell ref="L31:O31"/>
    <mergeCell ref="P31:S31"/>
    <mergeCell ref="T31:W31"/>
    <mergeCell ref="AR16:AU16"/>
    <mergeCell ref="AV16:AY16"/>
    <mergeCell ref="AZ16:BC16"/>
    <mergeCell ref="BD16:BG16"/>
    <mergeCell ref="T16:W16"/>
    <mergeCell ref="X16:AA16"/>
    <mergeCell ref="AB16:AE16"/>
    <mergeCell ref="AF16:AI16"/>
    <mergeCell ref="BT31:BW31"/>
    <mergeCell ref="BX31:CA31"/>
    <mergeCell ref="CB31:CE31"/>
    <mergeCell ref="CG2:CJ2"/>
    <mergeCell ref="AV31:AY31"/>
    <mergeCell ref="AZ31:BC31"/>
    <mergeCell ref="BD31:BG31"/>
    <mergeCell ref="BH31:BK31"/>
    <mergeCell ref="BL31:BO31"/>
    <mergeCell ref="BP31:BS31"/>
    <mergeCell ref="BT2:BW2"/>
    <mergeCell ref="CB2:CE2"/>
    <mergeCell ref="BP16:BS16"/>
    <mergeCell ref="BT16:BW16"/>
    <mergeCell ref="BX16:CA16"/>
    <mergeCell ref="CB16:CE16"/>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W89"/>
  <sheetViews>
    <sheetView workbookViewId="0">
      <selection activeCell="U15" sqref="U15"/>
    </sheetView>
  </sheetViews>
  <sheetFormatPr defaultRowHeight="12.75"/>
  <cols>
    <col min="1" max="1" width="2.5703125" customWidth="1"/>
    <col min="2" max="2" width="3.5703125" customWidth="1"/>
    <col min="3" max="3" width="27.28515625" customWidth="1"/>
  </cols>
  <sheetData>
    <row r="1" spans="1:23">
      <c r="A1" s="1187"/>
      <c r="B1" s="3092"/>
      <c r="C1" s="16"/>
      <c r="D1" s="16"/>
      <c r="E1" s="16"/>
      <c r="F1" s="16"/>
      <c r="G1" s="16"/>
      <c r="H1" s="16"/>
      <c r="I1" s="16"/>
      <c r="J1" s="16"/>
      <c r="K1" s="16"/>
      <c r="L1" s="16"/>
      <c r="M1" s="144"/>
    </row>
    <row r="2" spans="1:23">
      <c r="B2" s="3093" t="s">
        <v>226</v>
      </c>
      <c r="C2" s="3094"/>
      <c r="D2" s="3094"/>
      <c r="E2" s="3094"/>
      <c r="F2" s="3094"/>
      <c r="G2" s="3094"/>
      <c r="H2" s="3094"/>
      <c r="I2" s="3094"/>
      <c r="J2" s="3094"/>
      <c r="K2" s="3094"/>
      <c r="L2" s="3094"/>
      <c r="M2" s="3094"/>
      <c r="N2" s="3094"/>
      <c r="O2" s="3094"/>
      <c r="P2" s="3094"/>
      <c r="Q2" s="3094"/>
      <c r="R2" s="3094"/>
      <c r="S2" s="3094"/>
      <c r="T2" s="3094"/>
    </row>
    <row r="3" spans="1:23">
      <c r="B3" s="3092"/>
      <c r="C3" s="16"/>
      <c r="D3" s="16"/>
      <c r="E3" s="16"/>
      <c r="F3" s="16"/>
      <c r="G3" s="16"/>
      <c r="H3" s="16"/>
      <c r="I3" s="16"/>
      <c r="J3" s="16"/>
      <c r="K3" s="16"/>
      <c r="L3" s="16"/>
      <c r="M3" s="144"/>
      <c r="S3" s="16"/>
      <c r="T3" s="16"/>
    </row>
    <row r="4" spans="1:23">
      <c r="B4" s="3095" t="s">
        <v>1148</v>
      </c>
      <c r="C4" s="3095" t="s">
        <v>281</v>
      </c>
      <c r="D4" s="3096"/>
      <c r="E4" s="3096"/>
      <c r="F4" s="3096"/>
      <c r="G4" s="3096"/>
      <c r="H4" s="3096"/>
      <c r="I4" s="3096"/>
      <c r="J4" s="3096"/>
      <c r="K4" s="3096"/>
      <c r="L4" s="3096"/>
      <c r="M4" s="3097"/>
      <c r="N4" s="3097"/>
      <c r="O4" s="3097"/>
      <c r="P4" s="3097"/>
      <c r="Q4" s="3097"/>
      <c r="R4" s="3097"/>
      <c r="S4" s="3096"/>
      <c r="T4" s="3096"/>
      <c r="U4" s="3096"/>
    </row>
    <row r="5" spans="1:23">
      <c r="B5" s="3098"/>
      <c r="C5" s="3099"/>
      <c r="D5" s="3100">
        <v>2000</v>
      </c>
      <c r="E5" s="3100">
        <v>2001</v>
      </c>
      <c r="F5" s="3100">
        <v>2002</v>
      </c>
      <c r="G5" s="3100">
        <v>2003</v>
      </c>
      <c r="H5" s="3100">
        <v>2004</v>
      </c>
      <c r="I5" s="3100">
        <v>2005</v>
      </c>
      <c r="J5" s="3100">
        <v>2006</v>
      </c>
      <c r="K5" s="3100">
        <v>2007</v>
      </c>
      <c r="L5" s="3100">
        <v>2008</v>
      </c>
      <c r="M5" s="3100">
        <v>2009</v>
      </c>
      <c r="N5" s="3100">
        <v>2010</v>
      </c>
      <c r="O5" s="3100">
        <v>2011</v>
      </c>
      <c r="P5" s="3100">
        <v>2012</v>
      </c>
      <c r="Q5" s="3100">
        <v>2013</v>
      </c>
      <c r="R5" s="3100">
        <v>2014</v>
      </c>
      <c r="S5" s="3100">
        <v>2015</v>
      </c>
      <c r="T5" s="3100">
        <v>2016</v>
      </c>
      <c r="U5" s="3100">
        <v>2017</v>
      </c>
    </row>
    <row r="6" spans="1:23">
      <c r="B6" s="3101"/>
      <c r="C6" s="1059" t="s">
        <v>1149</v>
      </c>
      <c r="D6" s="1084">
        <f>'VVP2'!L341</f>
        <v>13.368180000000001</v>
      </c>
      <c r="E6" s="1084">
        <f>'VVP2'!M341</f>
        <v>14.194520000000001</v>
      </c>
      <c r="F6" s="1084">
        <f>'VVP2'!N341</f>
        <v>15.202170000000001</v>
      </c>
      <c r="G6" s="1084">
        <f>'VVP2'!O341</f>
        <v>16.668479999999999</v>
      </c>
      <c r="H6" s="1084">
        <f>'VVP2'!P341</f>
        <v>18.237719999999999</v>
      </c>
      <c r="I6" s="1084">
        <f>'VVP2'!Q341</f>
        <v>21.00235</v>
      </c>
      <c r="J6" s="1084">
        <f>'VVP2'!R341</f>
        <v>24.079180000000001</v>
      </c>
      <c r="K6" s="1084">
        <f>'VVP2'!S341</f>
        <v>29.040659999999999</v>
      </c>
      <c r="L6" s="1084">
        <f>'VVP2'!T341</f>
        <v>32.696280000000002</v>
      </c>
      <c r="M6" s="1084">
        <f>'VVP2'!U341</f>
        <v>26.934819999999998</v>
      </c>
      <c r="N6" s="1084">
        <f>'VVP2'!V341</f>
        <v>28.027660000000001</v>
      </c>
      <c r="O6" s="1084">
        <f>'VVP2'!W341</f>
        <v>31.275320000000001</v>
      </c>
      <c r="P6" s="1084">
        <f>'VVP2'!X341</f>
        <v>33.348480000000002</v>
      </c>
      <c r="Q6" s="1084">
        <f>'VVP2'!Y341</f>
        <v>34.959650000000003</v>
      </c>
      <c r="R6" s="1084">
        <f>'VVP2'!Z341</f>
        <v>36.568280000000001</v>
      </c>
      <c r="S6" s="1084">
        <f>'VVP2'!AA341</f>
        <v>37.426610000000004</v>
      </c>
      <c r="T6" s="1084">
        <f>'VVP2'!AB341</f>
        <v>38.668320000000001</v>
      </c>
      <c r="U6" s="1084">
        <f ca="1">'VVP2'!AC341</f>
        <v>41.779594892398123</v>
      </c>
    </row>
    <row r="7" spans="1:23">
      <c r="B7" s="3102"/>
      <c r="C7" s="1" t="s">
        <v>1866</v>
      </c>
      <c r="D7" s="1062"/>
      <c r="E7" s="1062">
        <f t="shared" ref="E7:Q7" si="0">(E6-D6)/D6*100</f>
        <v>6.181394924365172</v>
      </c>
      <c r="F7" s="1062">
        <f t="shared" si="0"/>
        <v>7.0988663230598839</v>
      </c>
      <c r="G7" s="1062">
        <f t="shared" si="0"/>
        <v>9.6453993081250786</v>
      </c>
      <c r="H7" s="1062">
        <f t="shared" si="0"/>
        <v>9.4144157115705855</v>
      </c>
      <c r="I7" s="1062">
        <f t="shared" si="0"/>
        <v>15.158857576495311</v>
      </c>
      <c r="J7" s="1062">
        <f t="shared" si="0"/>
        <v>14.649932031415538</v>
      </c>
      <c r="K7" s="1062">
        <f t="shared" si="0"/>
        <v>20.60485448424738</v>
      </c>
      <c r="L7" s="1062">
        <f t="shared" si="0"/>
        <v>12.587937051017445</v>
      </c>
      <c r="M7" s="1062">
        <f t="shared" si="0"/>
        <v>-17.621148338587762</v>
      </c>
      <c r="N7" s="1062">
        <f t="shared" si="0"/>
        <v>4.0573502997235646</v>
      </c>
      <c r="O7" s="1062">
        <f t="shared" si="0"/>
        <v>11.587339078610201</v>
      </c>
      <c r="P7" s="1062">
        <f t="shared" si="0"/>
        <v>6.6287411287878157</v>
      </c>
      <c r="Q7" s="1062">
        <f t="shared" si="0"/>
        <v>4.8313146506227609</v>
      </c>
      <c r="R7" s="1062">
        <f>(R6-Q6)/Q6*100</f>
        <v>4.6013904601447608</v>
      </c>
      <c r="S7" s="1062">
        <f>(S6-R6)/R6*100</f>
        <v>2.3471981728426994</v>
      </c>
      <c r="T7" s="1062">
        <f>(T6-S6)/S6*100</f>
        <v>3.3177196652328313</v>
      </c>
      <c r="U7" s="1062">
        <f ca="1">(U6-T6)/T6*100</f>
        <v>8.0460565455083675</v>
      </c>
    </row>
    <row r="8" spans="1:23">
      <c r="B8" s="3102"/>
      <c r="C8" s="1" t="s">
        <v>1867</v>
      </c>
      <c r="D8" s="1062"/>
      <c r="E8" s="1062">
        <f>('VVP2'!M125-'VVP2'!L125)/'VVP2'!L125*100</f>
        <v>6.6996058629840256</v>
      </c>
      <c r="F8" s="1062">
        <f>('VVP2'!N125-'VVP2'!M125)/'VVP2'!M125*100</f>
        <v>6.8379975004915288</v>
      </c>
      <c r="G8" s="1062">
        <f>('VVP2'!O125-'VVP2'!N125)/'VVP2'!N125*100</f>
        <v>10.275887367570673</v>
      </c>
      <c r="H8" s="1062">
        <f>('VVP2'!P125-'VVP2'!O125)/'VVP2'!O125*100</f>
        <v>7.448260888522432</v>
      </c>
      <c r="I8" s="1062">
        <f>('VVP2'!Q125-'VVP2'!P125)/'VVP2'!P125*100</f>
        <v>7.7273873836427738</v>
      </c>
      <c r="J8" s="1062">
        <f>('VVP2'!R125-'VVP2'!Q125)/'VVP2'!Q125*100</f>
        <v>7.4064505195753805</v>
      </c>
      <c r="K8" s="1062">
        <f>('VVP2'!S125-'VVP2'!R125)/'VVP2'!R125*100</f>
        <v>11.086962799861093</v>
      </c>
      <c r="L8" s="1062">
        <f>('VVP2'!T125-'VVP2'!S125)/'VVP2'!S125*100</f>
        <v>2.6280823574654848</v>
      </c>
      <c r="M8" s="1062">
        <f>('VVP2'!U125-'VVP2'!T125)/'VVP2'!T125*100</f>
        <v>-14.814172950076223</v>
      </c>
      <c r="N8" s="1062">
        <f>('VVP2'!V125-'VVP2'!U125)/'VVP2'!U125*100</f>
        <v>1.639826991162791</v>
      </c>
      <c r="O8" s="1062">
        <f>('VVP2'!W125-'VVP2'!V125)/'VVP2'!V125*100</f>
        <v>6.0431373864246885</v>
      </c>
      <c r="P8" s="1062">
        <f>('VVP2'!X125-'VVP2'!W125)/'VVP2'!W125*100</f>
        <v>3.8269382239940919</v>
      </c>
      <c r="Q8" s="1062">
        <f>('VVP2'!Y125-'VVP2'!X125)/'VVP2'!X125*100</f>
        <v>3.4985772305690088</v>
      </c>
      <c r="R8" s="1062">
        <f>('VVP2'!Z125-'VVP2'!Y125)/'VVP2'!Y125*100</f>
        <v>3.5375855747539444</v>
      </c>
      <c r="S8" s="1062">
        <f>('VVP2'!AA125-'VVP2'!Z125)/'VVP2'!Z125*100</f>
        <v>2.0346676424249135</v>
      </c>
      <c r="T8" s="1062">
        <f>('VVP2'!AB125-'VVP2'!AA125)/'VVP2'!AA125*100</f>
        <v>2.3448829366414232</v>
      </c>
      <c r="U8" s="1062">
        <f>('VVP2'!AC125-'VVP2'!AB125)/'VVP2'!AB125*100</f>
        <v>3.8289347486644441</v>
      </c>
    </row>
    <row r="9" spans="1:23">
      <c r="B9" s="3102"/>
      <c r="C9" s="1" t="s">
        <v>1868</v>
      </c>
      <c r="D9" s="1062"/>
      <c r="E9" s="1062">
        <f>('VVP2'!M456-'VVP2'!L456)/'VVP2'!L456*100</f>
        <v>-0.4856727767901089</v>
      </c>
      <c r="F9" s="1062">
        <f>('VVP2'!N456-'VVP2'!M456)/'VVP2'!M456*100</f>
        <v>0.24417232508234737</v>
      </c>
      <c r="G9" s="1062">
        <f>('VVP2'!O456-'VVP2'!N456)/'VVP2'!N456*100</f>
        <v>-0.57173700842150688</v>
      </c>
      <c r="H9" s="1062">
        <f>('VVP2'!P456-'VVP2'!O456)/'VVP2'!O456*100</f>
        <v>1.829861932421641</v>
      </c>
      <c r="I9" s="1062">
        <f>('VVP2'!Q456-'VVP2'!P456)/'VVP2'!P456*100</f>
        <v>6.8984038073691512</v>
      </c>
      <c r="J9" s="1062">
        <f>('VVP2'!R456-'VVP2'!Q456)/'VVP2'!Q456*100</f>
        <v>6.7439911446659409</v>
      </c>
      <c r="K9" s="1062">
        <f>('VVP2'!S456-'VVP2'!R456)/'VVP2'!R456*100</f>
        <v>8.5679646328382457</v>
      </c>
      <c r="L9" s="1062">
        <f>('VVP2'!T456-'VVP2'!S456)/'VVP2'!S456*100</f>
        <v>9.7048044402317082</v>
      </c>
      <c r="M9" s="1062">
        <f>('VVP2'!U456-'VVP2'!T456)/'VVP2'!T456*100</f>
        <v>-3.295120192783358</v>
      </c>
      <c r="N9" s="1062">
        <f>('VVP2'!V456-'VVP2'!U456)/'VVP2'!U456*100</f>
        <v>2.3785197005215051</v>
      </c>
      <c r="O9" s="1062">
        <f>('VVP2'!W456-'VVP2'!V456)/'VVP2'!V456*100</f>
        <v>5.228251284175272</v>
      </c>
      <c r="P9" s="1062">
        <f>('VVP2'!X456-'VVP2'!W456)/'VVP2'!W456*100</f>
        <v>2.6985317613326743</v>
      </c>
      <c r="Q9" s="1062">
        <f>('VVP2'!Y456-'VVP2'!X456)/'VVP2'!X456*100</f>
        <v>1.2876867061512804</v>
      </c>
      <c r="R9" s="1062">
        <f>('VVP2'!Z456-'VVP2'!Y456)/'VVP2'!Y456*100</f>
        <v>1.027457690350289</v>
      </c>
      <c r="S9" s="1062">
        <f>('VVP2'!AA456-'VVP2'!Z456)/'VVP2'!Z456*100</f>
        <v>0.30629837646262703</v>
      </c>
      <c r="T9" s="1062">
        <f>('VVP2'!AB456-'VVP2'!AA456)/'VVP2'!AA456*100</f>
        <v>0.95054750240289276</v>
      </c>
      <c r="U9" s="1062">
        <f ca="1">('VVP2'!AC456-'VVP2'!AB456)/'VVP2'!AB456*100</f>
        <v>4.0616055698271207</v>
      </c>
    </row>
    <row r="10" spans="1:23">
      <c r="B10" s="3104"/>
      <c r="C10" s="1078" t="s">
        <v>1869</v>
      </c>
      <c r="D10" s="1085"/>
      <c r="E10" s="1085">
        <f t="shared" ref="E10:Q10" si="1">100*((1+E9/100)*(E56/D56)-1)</f>
        <v>2.6506272381445539</v>
      </c>
      <c r="F10" s="1085">
        <f t="shared" si="1"/>
        <v>3.8054860727705586</v>
      </c>
      <c r="G10" s="1085">
        <f t="shared" si="1"/>
        <v>-0.37879543746441868</v>
      </c>
      <c r="H10" s="1085">
        <f t="shared" si="1"/>
        <v>1.8239637099459083</v>
      </c>
      <c r="I10" s="1085">
        <f t="shared" si="1"/>
        <v>6.9014997991383664</v>
      </c>
      <c r="J10" s="1085">
        <f t="shared" si="1"/>
        <v>6.7439911446659506</v>
      </c>
      <c r="K10" s="1085">
        <f t="shared" si="1"/>
        <v>8.5679646328382439</v>
      </c>
      <c r="L10" s="1085">
        <f t="shared" si="1"/>
        <v>9.7048044402317188</v>
      </c>
      <c r="M10" s="1085">
        <f t="shared" si="1"/>
        <v>-3.2951201927833629</v>
      </c>
      <c r="N10" s="1085">
        <f t="shared" si="1"/>
        <v>2.3785197005214975</v>
      </c>
      <c r="O10" s="1085">
        <f t="shared" si="1"/>
        <v>5.2282512841752782</v>
      </c>
      <c r="P10" s="1085">
        <f t="shared" si="1"/>
        <v>2.6985317613326787</v>
      </c>
      <c r="Q10" s="1085">
        <f t="shared" si="1"/>
        <v>1.2876867061512698</v>
      </c>
      <c r="R10" s="1085">
        <f>100*((1+R9/100)*(R56/Q56)-1)</f>
        <v>1.0274576903502863</v>
      </c>
      <c r="S10" s="1085">
        <f>100*((1+S9/100)*(S56/R56)-1)</f>
        <v>0.30629837646263258</v>
      </c>
      <c r="T10" s="1085">
        <f>100*((1+T9/100)*(T56/S56)-1)</f>
        <v>0.95054750240288755</v>
      </c>
      <c r="U10" s="1085">
        <f ca="1">100*((1+U9/100)*(U56/T56)-1)</f>
        <v>-100</v>
      </c>
    </row>
    <row r="12" spans="1:23">
      <c r="O12">
        <f ca="1">'VVP1'!CL88-'VVP1'!CL103</f>
        <v>-0.79766000000000048</v>
      </c>
    </row>
    <row r="13" spans="1:23">
      <c r="B13" s="3100" t="s">
        <v>1870</v>
      </c>
      <c r="C13" s="3100" t="s">
        <v>1871</v>
      </c>
      <c r="D13" s="3100"/>
      <c r="E13" s="3100"/>
      <c r="F13" s="3100"/>
      <c r="G13" s="3100"/>
      <c r="H13" s="3100"/>
      <c r="I13" s="3100"/>
      <c r="J13" s="3100"/>
      <c r="K13" s="3100"/>
      <c r="L13" s="3100"/>
      <c r="M13" s="3100"/>
      <c r="N13" s="3100"/>
      <c r="O13" s="3100"/>
      <c r="P13" s="3100"/>
      <c r="Q13" s="3100"/>
      <c r="R13" s="3100"/>
      <c r="S13" s="3100"/>
      <c r="T13" s="3100"/>
      <c r="U13" s="3100"/>
    </row>
    <row r="14" spans="1:23">
      <c r="B14" s="3100"/>
      <c r="C14" s="3100"/>
      <c r="D14" s="3100">
        <v>2000</v>
      </c>
      <c r="E14" s="3100">
        <v>2001</v>
      </c>
      <c r="F14" s="3100">
        <v>2002</v>
      </c>
      <c r="G14" s="3100">
        <v>2003</v>
      </c>
      <c r="H14" s="3100">
        <v>2004</v>
      </c>
      <c r="I14" s="3100">
        <v>2005</v>
      </c>
      <c r="J14" s="3100">
        <v>2006</v>
      </c>
      <c r="K14" s="3100">
        <v>2007</v>
      </c>
      <c r="L14" s="3100">
        <v>2008</v>
      </c>
      <c r="M14" s="3100">
        <v>2009</v>
      </c>
      <c r="N14" s="3100">
        <v>2010</v>
      </c>
      <c r="O14" s="3100">
        <v>2011</v>
      </c>
      <c r="P14" s="3100">
        <v>2012</v>
      </c>
      <c r="Q14" s="3100">
        <v>2013</v>
      </c>
      <c r="R14" s="3100">
        <v>2014</v>
      </c>
      <c r="S14" s="3100">
        <v>2015</v>
      </c>
      <c r="T14" s="3100">
        <v>2016</v>
      </c>
      <c r="U14" s="3100">
        <v>2017</v>
      </c>
    </row>
    <row r="15" spans="1:23">
      <c r="B15" s="3102"/>
      <c r="C15" s="1" t="s">
        <v>1872</v>
      </c>
      <c r="D15" s="1927" t="e">
        <f ca="1">'VVP1'!AI88-'VVP1'!AI103+Sector1!L772+Sector1!L782</f>
        <v>#VALUE!</v>
      </c>
      <c r="E15" s="1927" t="e">
        <f ca="1">'VVP1'!AN88-'VVP1'!AN103+Sector1!M772+Sector1!M782</f>
        <v>#VALUE!</v>
      </c>
      <c r="F15" s="1927" t="e">
        <f ca="1">'VVP1'!AS88-'VVP1'!AS103+Sector1!N772+Sector1!N782</f>
        <v>#VALUE!</v>
      </c>
      <c r="G15" s="1927" t="e">
        <f ca="1">'VVP1'!AX88-'VVP1'!AX103+Sector1!O772+Sector1!O782</f>
        <v>#VALUE!</v>
      </c>
      <c r="H15" s="1927" t="e">
        <f ca="1">'VVP1'!BC88-'VVP1'!BC103+Sector1!P772+Sector1!P782</f>
        <v>#VALUE!</v>
      </c>
      <c r="I15" s="1927" t="e">
        <f ca="1">'VVP1'!BH88-'VVP1'!BH103+Sector1!Q772+Sector1!Q782</f>
        <v>#VALUE!</v>
      </c>
      <c r="J15" s="1927" t="e">
        <f ca="1">'VVP1'!BM88-'VVP1'!BM103+Sector1!R772+Sector1!R782</f>
        <v>#VALUE!</v>
      </c>
      <c r="K15" s="1927" t="e">
        <f ca="1">'VVP1'!BR88-'VVP1'!BR103+Sector1!S772+Sector1!S782</f>
        <v>#VALUE!</v>
      </c>
      <c r="L15" s="1927">
        <f ca="1">'VVP1'!BW88-'VVP1'!BW103+Sector1!T772+Sector1!T782</f>
        <v>-4.3574200000000003</v>
      </c>
      <c r="M15" s="1927">
        <f ca="1">'VVP1'!CB88-'VVP1'!CB103+Sector1!U772+Sector1!U782</f>
        <v>0.52244999999999964</v>
      </c>
      <c r="N15" s="1927">
        <f ca="1">'VVP1'!CG88-'VVP1'!CG103+Sector1!V772+Sector1!V782</f>
        <v>-0.16520999999999886</v>
      </c>
      <c r="O15" s="3182">
        <f ca="1">'VVP1'!CL88-'VVP1'!CL103+Sector1!W772+Sector1!W782</f>
        <v>-1.2646600000000003</v>
      </c>
      <c r="P15" s="1927">
        <f ca="1">'VVP1'!CQ88-'VVP1'!CQ103+Sector1!X772+Sector1!X782</f>
        <v>-0.35613999999999912</v>
      </c>
      <c r="Q15" s="1927">
        <f ca="1">'VVP1'!CV88-'VVP1'!CV103+Sector1!Y772+Sector1!Y782</f>
        <v>0.45424999999999882</v>
      </c>
      <c r="R15" s="1927">
        <f ca="1">'VVP1'!CS88-'VVP1'!CS103+Sector1!Z772+Sector1!Z782</f>
        <v>1.4090362311587716</v>
      </c>
      <c r="S15" s="1927">
        <f ca="1">'VVP1'!CX88-'VVP1'!CX103+Sector1!AA772+Sector1!AA782</f>
        <v>-0.43569372756847835</v>
      </c>
      <c r="T15" s="1927">
        <f ca="1">'VVP1'!CU88-'VVP1'!CU103+Sector1!AB772+Sector1!AB782</f>
        <v>-0.99374293199332608</v>
      </c>
      <c r="U15" s="1927">
        <f ca="1">'VVP1'!CV88-'VVP1'!CV103+Sector1!AC772+Sector1!AC782</f>
        <v>-0.2628215920000011</v>
      </c>
    </row>
    <row r="16" spans="1:23">
      <c r="B16" s="3102"/>
      <c r="C16" s="1" t="s">
        <v>1873</v>
      </c>
      <c r="D16" s="1062">
        <f>-Sector1!L142</f>
        <v>-0.24414967562557924</v>
      </c>
      <c r="E16" s="1062">
        <f>-Sector1!M142</f>
        <v>-0.24125347544022246</v>
      </c>
      <c r="F16" s="1062">
        <f>-Sector1!N142</f>
        <v>-0.21431881371640407</v>
      </c>
      <c r="G16" s="1062">
        <f>-Sector1!O142</f>
        <v>-0.45296570898980537</v>
      </c>
      <c r="H16" s="1062">
        <f>-Sector1!P142</f>
        <v>-0.5847428174235404</v>
      </c>
      <c r="I16" s="1062">
        <f>-Sector1!Q142</f>
        <v>-0.66600000000000004</v>
      </c>
      <c r="J16" s="1062">
        <f>-Sector1!R142</f>
        <v>-0.84499999999999997</v>
      </c>
      <c r="K16" s="1062">
        <f>-Sector1!S142</f>
        <v>-1.367</v>
      </c>
      <c r="L16" s="1062">
        <f>-Sector1!T142</f>
        <v>-1.353</v>
      </c>
      <c r="M16" s="1062">
        <f>-Sector1!U142</f>
        <v>0.24299999999999999</v>
      </c>
      <c r="N16" s="1062">
        <f>-Sector1!V142</f>
        <v>-0.98599999999999999</v>
      </c>
      <c r="O16" s="1062">
        <f>-Sector1!W142</f>
        <v>-1.583</v>
      </c>
      <c r="P16" s="1062">
        <f>-Sector1!X142</f>
        <v>-1.347</v>
      </c>
      <c r="Q16" s="1062">
        <f>-Sector1!Y142</f>
        <v>-1.2809999999999999</v>
      </c>
      <c r="R16" s="1062">
        <f>-Sector1!Z142</f>
        <v>-0.77200000000000002</v>
      </c>
      <c r="S16" s="1062">
        <f>-Sector1!AA142</f>
        <v>-1.871</v>
      </c>
      <c r="T16" s="1062">
        <f>-Sector1!AB142</f>
        <v>-1.851</v>
      </c>
      <c r="U16" s="1062">
        <f>-Sector1!AC142</f>
        <v>-1.8787649999999998</v>
      </c>
      <c r="V16" s="3106"/>
      <c r="W16" s="3106"/>
    </row>
    <row r="17" spans="2:23">
      <c r="B17" s="3102"/>
      <c r="C17" s="1" t="s">
        <v>1917</v>
      </c>
      <c r="D17" s="1062">
        <f>-Sector1!L140</f>
        <v>0.166241890639481</v>
      </c>
      <c r="E17" s="1062">
        <f>-Sector1!M140</f>
        <v>0.15089202965708989</v>
      </c>
      <c r="F17" s="1062">
        <f>-Sector1!N140</f>
        <v>0.12859128822984245</v>
      </c>
      <c r="G17" s="1062">
        <f>-Sector1!O140</f>
        <v>0.14220342910101949</v>
      </c>
      <c r="H17" s="1062">
        <f>-Sector1!P140</f>
        <v>0.159001390176089</v>
      </c>
      <c r="I17" s="1062">
        <f>-Sector1!Q140</f>
        <v>0.123</v>
      </c>
      <c r="J17" s="1062">
        <f>-Sector1!R140</f>
        <v>0.215</v>
      </c>
      <c r="K17" s="1062">
        <f>-Sector1!S140</f>
        <v>0.32400000000000001</v>
      </c>
      <c r="L17" s="1062">
        <f>-Sector1!T140</f>
        <v>0.436</v>
      </c>
      <c r="M17" s="1062">
        <f>-Sector1!U140</f>
        <v>0.20499999999999999</v>
      </c>
      <c r="N17" s="1062">
        <f>-Sector1!V140</f>
        <v>0.26900000000000002</v>
      </c>
      <c r="O17" s="1062">
        <f>-Sector1!W140</f>
        <v>0.41599999999999998</v>
      </c>
      <c r="P17" s="1062">
        <f>-Sector1!X140</f>
        <v>0.432</v>
      </c>
      <c r="Q17" s="1062">
        <f>-Sector1!Y140</f>
        <v>0.33700000000000002</v>
      </c>
      <c r="R17" s="1062">
        <f>-Sector1!Z140</f>
        <v>0.29799999999999999</v>
      </c>
      <c r="S17" s="1062">
        <f>-Sector1!AA140</f>
        <v>0.22900000000000001</v>
      </c>
      <c r="T17" s="1062">
        <f>-Sector1!AB140</f>
        <v>0.22900000000000001</v>
      </c>
      <c r="U17" s="1062">
        <f>-Sector1!AC140</f>
        <v>-0.77876499999999971</v>
      </c>
      <c r="V17" s="3106"/>
      <c r="W17" s="3106"/>
    </row>
    <row r="18" spans="2:23">
      <c r="B18" s="3102"/>
      <c r="C18" s="1" t="s">
        <v>1918</v>
      </c>
      <c r="D18" s="1062">
        <f>-Sector1!L141</f>
        <v>-0.41039156626506024</v>
      </c>
      <c r="E18" s="1062">
        <f>-Sector1!M141</f>
        <v>-0.39214550509731239</v>
      </c>
      <c r="F18" s="1062">
        <f>-Sector1!N141</f>
        <v>-0.34291010194624655</v>
      </c>
      <c r="G18" s="1062">
        <f>-Sector1!O141</f>
        <v>-0.59516913809082483</v>
      </c>
      <c r="H18" s="1062">
        <f>-Sector1!P141</f>
        <v>-0.74374420759962934</v>
      </c>
      <c r="I18" s="1062">
        <f>-Sector1!Q141</f>
        <v>-0.78900000000000003</v>
      </c>
      <c r="J18" s="1062">
        <f>-Sector1!R141</f>
        <v>-1.0609999999999999</v>
      </c>
      <c r="K18" s="1062">
        <f>-Sector1!S141</f>
        <v>-1.6919999999999999</v>
      </c>
      <c r="L18" s="1062">
        <f>-Sector1!T141</f>
        <v>-1.7889999999999999</v>
      </c>
      <c r="M18" s="1062">
        <f>-Sector1!U141</f>
        <v>3.9E-2</v>
      </c>
      <c r="N18" s="1062">
        <f>-Sector1!V141</f>
        <v>-1.254</v>
      </c>
      <c r="O18" s="1062">
        <f>-Sector1!W141</f>
        <v>-2</v>
      </c>
      <c r="P18" s="1062">
        <f>-Sector1!X141</f>
        <v>-1.778</v>
      </c>
      <c r="Q18" s="1062">
        <f>-Sector1!Y141</f>
        <v>-1.6180000000000001</v>
      </c>
      <c r="R18" s="1062">
        <f>-Sector1!Z141</f>
        <v>-1.069</v>
      </c>
      <c r="S18" s="1062">
        <f>-Sector1!AA141</f>
        <v>-2.0990000000000002</v>
      </c>
      <c r="T18" s="1062">
        <f>-Sector1!AB141</f>
        <v>-2.08</v>
      </c>
      <c r="U18" s="1062">
        <f>-Sector1!AC141</f>
        <v>-1.1000000000000001</v>
      </c>
      <c r="V18" s="3106"/>
      <c r="W18" s="3106"/>
    </row>
    <row r="19" spans="2:23">
      <c r="B19" s="3102"/>
      <c r="C19" s="29" t="s">
        <v>1919</v>
      </c>
      <c r="D19" s="1062" t="e">
        <f t="shared" ref="D19:M19" ca="1" si="2">D15-D16</f>
        <v>#VALUE!</v>
      </c>
      <c r="E19" s="1062" t="e">
        <f t="shared" ca="1" si="2"/>
        <v>#VALUE!</v>
      </c>
      <c r="F19" s="1062" t="e">
        <f t="shared" ca="1" si="2"/>
        <v>#VALUE!</v>
      </c>
      <c r="G19" s="1062" t="e">
        <f t="shared" ca="1" si="2"/>
        <v>#VALUE!</v>
      </c>
      <c r="H19" s="1062" t="e">
        <f t="shared" ca="1" si="2"/>
        <v>#VALUE!</v>
      </c>
      <c r="I19" s="1062" t="e">
        <f t="shared" ca="1" si="2"/>
        <v>#VALUE!</v>
      </c>
      <c r="J19" s="1062" t="e">
        <f t="shared" ca="1" si="2"/>
        <v>#VALUE!</v>
      </c>
      <c r="K19" s="1062" t="e">
        <f t="shared" ca="1" si="2"/>
        <v>#VALUE!</v>
      </c>
      <c r="L19" s="1062">
        <f t="shared" ca="1" si="2"/>
        <v>-3.0044200000000005</v>
      </c>
      <c r="M19" s="1062">
        <f t="shared" ca="1" si="2"/>
        <v>0.27944999999999964</v>
      </c>
      <c r="N19" s="1062">
        <f t="shared" ref="N19:T19" ca="1" si="3">N15-N16</f>
        <v>0.82079000000000113</v>
      </c>
      <c r="O19" s="1062">
        <f t="shared" ca="1" si="3"/>
        <v>0.31833999999999962</v>
      </c>
      <c r="P19" s="1062">
        <f t="shared" ca="1" si="3"/>
        <v>0.99086000000000085</v>
      </c>
      <c r="Q19" s="1062">
        <f t="shared" ca="1" si="3"/>
        <v>1.7352499999999988</v>
      </c>
      <c r="R19" s="1062">
        <f t="shared" ca="1" si="3"/>
        <v>2.1810362311587719</v>
      </c>
      <c r="S19" s="1062">
        <f t="shared" ca="1" si="3"/>
        <v>1.4353062724315215</v>
      </c>
      <c r="T19" s="1062">
        <f t="shared" ca="1" si="3"/>
        <v>0.85725706800667389</v>
      </c>
      <c r="U19" s="1062">
        <f t="shared" ref="U19" ca="1" si="4">U15-U16</f>
        <v>1.6159434079999988</v>
      </c>
      <c r="V19" s="3108"/>
    </row>
    <row r="20" spans="2:23">
      <c r="B20" s="3102"/>
      <c r="C20" s="1062" t="s">
        <v>1920</v>
      </c>
      <c r="D20" s="1062">
        <f>Sector1!L490</f>
        <v>2.49E-3</v>
      </c>
      <c r="E20" s="1062">
        <f>Sector1!M490</f>
        <v>1.6100000000000001E-3</v>
      </c>
      <c r="F20" s="1062">
        <f>Sector1!N490</f>
        <v>5.9020000000000003E-2</v>
      </c>
      <c r="G20" s="1062">
        <f>Sector1!O490</f>
        <v>5.9359999999999996E-2</v>
      </c>
      <c r="H20" s="1062">
        <f>Sector1!P490</f>
        <v>0.12966999999999998</v>
      </c>
      <c r="I20" s="1062">
        <f>Sector1!Q490</f>
        <v>0.20397000000000001</v>
      </c>
      <c r="J20" s="1062">
        <f>Sector1!R490</f>
        <v>0.35857</v>
      </c>
      <c r="K20" s="1062">
        <f>Sector1!S490</f>
        <v>0.61141999999999996</v>
      </c>
      <c r="L20" s="1062">
        <f>Sector1!T490</f>
        <v>0.61907000000000001</v>
      </c>
      <c r="M20" s="1062">
        <f>Sector1!U490</f>
        <v>1.15822</v>
      </c>
      <c r="N20" s="1062">
        <f>Sector1!V490</f>
        <v>1.0577999999999999</v>
      </c>
      <c r="O20" s="1062">
        <f>Sector1!W490</f>
        <v>1.0038099999999999</v>
      </c>
      <c r="P20" s="1062">
        <f>Sector1!X490</f>
        <v>0.96409</v>
      </c>
      <c r="Q20" s="1062">
        <f>Sector1!Y490</f>
        <v>1.0888499999999999</v>
      </c>
      <c r="R20" s="1062">
        <f>Sector1!Z490</f>
        <v>0.97573999999999994</v>
      </c>
      <c r="S20" s="1062">
        <f>Sector1!AA490</f>
        <v>1.1172599999999999</v>
      </c>
      <c r="T20" s="1062">
        <f>Sector1!AB490</f>
        <v>0.56872</v>
      </c>
      <c r="U20" s="1062">
        <f>Sector1!AC490</f>
        <v>0.45054839999999996</v>
      </c>
    </row>
    <row r="21" spans="2:23">
      <c r="B21" s="3102"/>
      <c r="C21" s="1" t="s">
        <v>1921</v>
      </c>
      <c r="D21" s="1062" t="e">
        <f t="shared" ref="D21:M21" ca="1" si="5">D15+D20</f>
        <v>#VALUE!</v>
      </c>
      <c r="E21" s="1062" t="e">
        <f t="shared" ca="1" si="5"/>
        <v>#VALUE!</v>
      </c>
      <c r="F21" s="1062" t="e">
        <f t="shared" ca="1" si="5"/>
        <v>#VALUE!</v>
      </c>
      <c r="G21" s="1062" t="e">
        <f t="shared" ca="1" si="5"/>
        <v>#VALUE!</v>
      </c>
      <c r="H21" s="1062" t="e">
        <f t="shared" ca="1" si="5"/>
        <v>#VALUE!</v>
      </c>
      <c r="I21" s="1062" t="e">
        <f t="shared" ca="1" si="5"/>
        <v>#VALUE!</v>
      </c>
      <c r="J21" s="1062" t="e">
        <f t="shared" ca="1" si="5"/>
        <v>#VALUE!</v>
      </c>
      <c r="K21" s="1062" t="e">
        <f t="shared" ca="1" si="5"/>
        <v>#VALUE!</v>
      </c>
      <c r="L21" s="1062">
        <f t="shared" ca="1" si="5"/>
        <v>-3.7383500000000005</v>
      </c>
      <c r="M21" s="1062">
        <f t="shared" ca="1" si="5"/>
        <v>1.6806699999999997</v>
      </c>
      <c r="N21" s="1062">
        <f t="shared" ref="N21:T21" ca="1" si="6">N15+N20</f>
        <v>0.89259000000000099</v>
      </c>
      <c r="O21" s="1062">
        <f t="shared" ca="1" si="6"/>
        <v>-0.26085000000000047</v>
      </c>
      <c r="P21" s="1062">
        <f t="shared" ca="1" si="6"/>
        <v>0.60795000000000088</v>
      </c>
      <c r="Q21" s="1062">
        <f t="shared" ca="1" si="6"/>
        <v>1.5430999999999986</v>
      </c>
      <c r="R21" s="1062">
        <f t="shared" ca="1" si="6"/>
        <v>2.3847762311587717</v>
      </c>
      <c r="S21" s="1062">
        <f t="shared" ca="1" si="6"/>
        <v>0.68156627243152157</v>
      </c>
      <c r="T21" s="1062">
        <f t="shared" ca="1" si="6"/>
        <v>-0.42502293199332608</v>
      </c>
      <c r="U21" s="1062">
        <f t="shared" ref="U21" ca="1" si="7">U15+U20</f>
        <v>0.18772680799999886</v>
      </c>
    </row>
    <row r="22" spans="2:23">
      <c r="B22" s="3102"/>
      <c r="C22" s="1" t="s">
        <v>1919</v>
      </c>
      <c r="D22" s="1062" t="e">
        <f t="shared" ref="D22:M22" ca="1" si="8">D21-D16</f>
        <v>#VALUE!</v>
      </c>
      <c r="E22" s="1062" t="e">
        <f t="shared" ca="1" si="8"/>
        <v>#VALUE!</v>
      </c>
      <c r="F22" s="1062" t="e">
        <f t="shared" ca="1" si="8"/>
        <v>#VALUE!</v>
      </c>
      <c r="G22" s="1062" t="e">
        <f t="shared" ca="1" si="8"/>
        <v>#VALUE!</v>
      </c>
      <c r="H22" s="1062" t="e">
        <f t="shared" ca="1" si="8"/>
        <v>#VALUE!</v>
      </c>
      <c r="I22" s="1062" t="e">
        <f t="shared" ca="1" si="8"/>
        <v>#VALUE!</v>
      </c>
      <c r="J22" s="1062" t="e">
        <f t="shared" ca="1" si="8"/>
        <v>#VALUE!</v>
      </c>
      <c r="K22" s="1062" t="e">
        <f t="shared" ca="1" si="8"/>
        <v>#VALUE!</v>
      </c>
      <c r="L22" s="1062">
        <f t="shared" ca="1" si="8"/>
        <v>-2.3853500000000007</v>
      </c>
      <c r="M22" s="1062">
        <f t="shared" ca="1" si="8"/>
        <v>1.4376699999999998</v>
      </c>
      <c r="N22" s="1062">
        <f t="shared" ref="N22:T22" ca="1" si="9">N21-N16</f>
        <v>1.8785900000000009</v>
      </c>
      <c r="O22" s="1062">
        <f t="shared" ca="1" si="9"/>
        <v>1.3221499999999995</v>
      </c>
      <c r="P22" s="1062">
        <f t="shared" ca="1" si="9"/>
        <v>1.9549500000000009</v>
      </c>
      <c r="Q22" s="1062">
        <f t="shared" ca="1" si="9"/>
        <v>2.8240999999999987</v>
      </c>
      <c r="R22" s="1062">
        <f t="shared" ca="1" si="9"/>
        <v>3.1567762311587719</v>
      </c>
      <c r="S22" s="1062">
        <f t="shared" ca="1" si="9"/>
        <v>2.5525662724315215</v>
      </c>
      <c r="T22" s="1062">
        <f t="shared" ca="1" si="9"/>
        <v>1.4259770680066739</v>
      </c>
      <c r="U22" s="1062">
        <f t="shared" ref="U22" ca="1" si="10">U21-U16</f>
        <v>2.0664918079999985</v>
      </c>
      <c r="V22" s="3108"/>
    </row>
    <row r="23" spans="2:23">
      <c r="B23" s="3102"/>
      <c r="C23" s="1"/>
      <c r="D23" s="1062"/>
      <c r="E23" s="1062"/>
      <c r="F23" s="1062"/>
      <c r="G23" s="1062"/>
      <c r="H23" s="1062"/>
      <c r="I23" s="1062"/>
      <c r="J23" s="1062"/>
      <c r="K23" s="1062"/>
      <c r="L23" s="1062"/>
      <c r="M23" s="1062"/>
      <c r="N23" s="29"/>
      <c r="O23" s="29"/>
      <c r="P23" s="29"/>
      <c r="Q23" s="29"/>
      <c r="R23" s="29"/>
      <c r="S23" s="29"/>
      <c r="T23" s="29"/>
      <c r="U23" s="29"/>
      <c r="V23" s="3108"/>
    </row>
    <row r="24" spans="2:23">
      <c r="B24" s="3102"/>
      <c r="C24" s="855" t="s">
        <v>1922</v>
      </c>
      <c r="D24" s="1444" t="e">
        <f t="shared" ref="D24:N24" ca="1" si="11">D15/D6*100</f>
        <v>#VALUE!</v>
      </c>
      <c r="E24" s="1444" t="e">
        <f t="shared" ca="1" si="11"/>
        <v>#VALUE!</v>
      </c>
      <c r="F24" s="1444" t="e">
        <f t="shared" ca="1" si="11"/>
        <v>#VALUE!</v>
      </c>
      <c r="G24" s="1444" t="e">
        <f t="shared" ca="1" si="11"/>
        <v>#VALUE!</v>
      </c>
      <c r="H24" s="1444" t="e">
        <f t="shared" ca="1" si="11"/>
        <v>#VALUE!</v>
      </c>
      <c r="I24" s="1444" t="e">
        <f t="shared" ca="1" si="11"/>
        <v>#VALUE!</v>
      </c>
      <c r="J24" s="1444" t="e">
        <f t="shared" ca="1" si="11"/>
        <v>#VALUE!</v>
      </c>
      <c r="K24" s="1444" t="e">
        <f t="shared" ca="1" si="11"/>
        <v>#VALUE!</v>
      </c>
      <c r="L24" s="1444">
        <f t="shared" ca="1" si="11"/>
        <v>-13.326959519553908</v>
      </c>
      <c r="M24" s="1444">
        <f t="shared" ca="1" si="11"/>
        <v>1.9396825373252899</v>
      </c>
      <c r="N24" s="1444">
        <f t="shared" ca="1" si="11"/>
        <v>-0.58945341851584776</v>
      </c>
      <c r="O24" s="3181">
        <f t="shared" ref="O24:T24" ca="1" si="12">O15/O6*100</f>
        <v>-4.0436356846228918</v>
      </c>
      <c r="P24" s="1444">
        <f t="shared" ca="1" si="12"/>
        <v>-1.067934730458477</v>
      </c>
      <c r="Q24" s="1444">
        <f t="shared" ca="1" si="12"/>
        <v>1.2993551136810544</v>
      </c>
      <c r="R24" s="1444">
        <f t="shared" ca="1" si="12"/>
        <v>3.853165178014311</v>
      </c>
      <c r="S24" s="1444">
        <f t="shared" ca="1" si="12"/>
        <v>-1.1641282167112605</v>
      </c>
      <c r="T24" s="1444">
        <f t="shared" ca="1" si="12"/>
        <v>-2.5699149381026278</v>
      </c>
      <c r="U24" s="1444">
        <f t="shared" ref="U24" ca="1" si="13">U15/U6*100</f>
        <v>-0.62906687505441083</v>
      </c>
      <c r="V24" s="1192"/>
    </row>
    <row r="25" spans="2:23">
      <c r="B25" s="3104"/>
      <c r="C25" s="1078" t="s">
        <v>148</v>
      </c>
      <c r="D25" s="1085" t="e">
        <f t="shared" ref="D25:N25" ca="1" si="14">D21/D6*100</f>
        <v>#VALUE!</v>
      </c>
      <c r="E25" s="1085" t="e">
        <f t="shared" ca="1" si="14"/>
        <v>#VALUE!</v>
      </c>
      <c r="F25" s="1085" t="e">
        <f t="shared" ca="1" si="14"/>
        <v>#VALUE!</v>
      </c>
      <c r="G25" s="1085" t="e">
        <f t="shared" ca="1" si="14"/>
        <v>#VALUE!</v>
      </c>
      <c r="H25" s="1085" t="e">
        <f t="shared" ca="1" si="14"/>
        <v>#VALUE!</v>
      </c>
      <c r="I25" s="1085" t="e">
        <f t="shared" ca="1" si="14"/>
        <v>#VALUE!</v>
      </c>
      <c r="J25" s="1085" t="e">
        <f t="shared" ca="1" si="14"/>
        <v>#VALUE!</v>
      </c>
      <c r="K25" s="1085" t="e">
        <f t="shared" ca="1" si="14"/>
        <v>#VALUE!</v>
      </c>
      <c r="L25" s="1085">
        <f t="shared" ca="1" si="14"/>
        <v>-11.433563695931159</v>
      </c>
      <c r="M25" s="1085">
        <f t="shared" ca="1" si="14"/>
        <v>6.2397669633582096</v>
      </c>
      <c r="N25" s="1085">
        <f t="shared" ca="1" si="14"/>
        <v>3.184675424205949</v>
      </c>
      <c r="O25" s="1085">
        <f t="shared" ref="O25:T25" ca="1" si="15">O21/O6*100</f>
        <v>-0.83404422400794131</v>
      </c>
      <c r="P25" s="1085">
        <f t="shared" ca="1" si="15"/>
        <v>1.8230216189763397</v>
      </c>
      <c r="Q25" s="1085">
        <f t="shared" ca="1" si="15"/>
        <v>4.4139457917913889</v>
      </c>
      <c r="R25" s="1085">
        <f t="shared" ca="1" si="15"/>
        <v>6.5214339617799126</v>
      </c>
      <c r="S25" s="1085">
        <f t="shared" ca="1" si="15"/>
        <v>1.821074023085504</v>
      </c>
      <c r="T25" s="1085">
        <f t="shared" ca="1" si="15"/>
        <v>-1.0991502397655912</v>
      </c>
      <c r="U25" s="1085">
        <f t="shared" ref="U25" ca="1" si="16">U21/U6*100</f>
        <v>0.44932653962653935</v>
      </c>
    </row>
    <row r="26" spans="2:23" ht="13.5" thickBot="1">
      <c r="D26" s="1444"/>
      <c r="E26" s="1444"/>
      <c r="F26" s="1444"/>
      <c r="G26" s="1444"/>
      <c r="H26" s="1444"/>
      <c r="I26" s="1444"/>
      <c r="J26" s="1444"/>
      <c r="K26" s="1444"/>
      <c r="L26" s="1444"/>
      <c r="M26" s="1444"/>
    </row>
    <row r="27" spans="2:23" ht="13.5" thickBot="1">
      <c r="D27" s="3183">
        <v>9.3372499999999992</v>
      </c>
      <c r="E27" s="3183">
        <v>10.66193</v>
      </c>
      <c r="F27" s="3183">
        <v>13.1838</v>
      </c>
      <c r="G27" s="3183">
        <v>13.69941</v>
      </c>
      <c r="H27" s="3183">
        <v>16.19256</v>
      </c>
      <c r="I27" s="3183">
        <v>23.895790000000002</v>
      </c>
      <c r="J27" s="3183">
        <v>28.92465</v>
      </c>
      <c r="K27" s="3183">
        <v>35.503929999999997</v>
      </c>
      <c r="L27" s="3183">
        <v>31.733280000000001</v>
      </c>
      <c r="M27" s="3183">
        <v>33.010269999999998</v>
      </c>
      <c r="N27" s="3183">
        <v>35.553049999999999</v>
      </c>
      <c r="O27" s="3183">
        <v>37.159930000000003</v>
      </c>
    </row>
    <row r="28" spans="2:23">
      <c r="B28" s="3100" t="s">
        <v>149</v>
      </c>
      <c r="C28" s="3100" t="s">
        <v>150</v>
      </c>
      <c r="D28" s="3100"/>
      <c r="E28" s="3100"/>
      <c r="F28" s="3100"/>
      <c r="G28" s="3100"/>
      <c r="H28" s="3100"/>
      <c r="I28" s="3100"/>
      <c r="J28" s="3100"/>
      <c r="K28" s="3100"/>
      <c r="L28" s="3100"/>
      <c r="M28" s="3100"/>
      <c r="N28" s="3100"/>
      <c r="O28" s="3100"/>
      <c r="P28" s="3100"/>
      <c r="Q28" s="3100"/>
      <c r="R28" s="3100"/>
      <c r="S28" s="3100"/>
      <c r="T28" s="3100"/>
    </row>
    <row r="29" spans="2:23">
      <c r="B29" s="3100"/>
      <c r="C29" s="3100"/>
      <c r="D29" s="3100">
        <v>2000</v>
      </c>
      <c r="E29" s="3100">
        <v>2001</v>
      </c>
      <c r="F29" s="3100">
        <v>2002</v>
      </c>
      <c r="G29" s="3100">
        <v>2003</v>
      </c>
      <c r="H29" s="3100">
        <v>2004</v>
      </c>
      <c r="I29" s="3100">
        <v>2005</v>
      </c>
      <c r="J29" s="3100">
        <v>2006</v>
      </c>
      <c r="K29" s="3100">
        <v>2007</v>
      </c>
      <c r="L29" s="3100">
        <v>2008</v>
      </c>
      <c r="M29" s="3100">
        <v>2009</v>
      </c>
      <c r="N29" s="3100">
        <v>2010</v>
      </c>
      <c r="O29" s="3100">
        <v>2011</v>
      </c>
      <c r="P29" s="3100">
        <v>2012</v>
      </c>
      <c r="Q29" s="3100">
        <v>2013</v>
      </c>
      <c r="R29" s="3100">
        <v>2014</v>
      </c>
      <c r="S29" s="3100">
        <v>2015</v>
      </c>
      <c r="T29" s="3100">
        <v>2016</v>
      </c>
    </row>
    <row r="30" spans="2:23">
      <c r="B30" s="3102"/>
      <c r="C30" s="1" t="s">
        <v>151</v>
      </c>
      <c r="D30" s="3109">
        <v>10.710430000000001</v>
      </c>
      <c r="E30" s="3109">
        <v>12.50461</v>
      </c>
      <c r="F30" s="3109">
        <v>13.968400000000001</v>
      </c>
      <c r="G30" s="3109">
        <v>15.790800000000001</v>
      </c>
      <c r="H30" s="3109">
        <v>18.788209999999999</v>
      </c>
      <c r="I30" s="3109">
        <v>26.56718</v>
      </c>
      <c r="J30" s="3109">
        <v>35.398090000000003</v>
      </c>
      <c r="K30" s="3110">
        <v>45.24765</v>
      </c>
      <c r="L30" s="3110">
        <v>44.384610000000002</v>
      </c>
      <c r="M30" s="3110">
        <v>49.000169999999997</v>
      </c>
      <c r="N30" s="3110">
        <v>53.707520000000002</v>
      </c>
      <c r="O30" s="3110">
        <v>54.494030000000002</v>
      </c>
      <c r="P30" s="2249">
        <v>55</v>
      </c>
      <c r="Q30" s="2249">
        <v>56</v>
      </c>
      <c r="R30" s="2249">
        <v>57</v>
      </c>
      <c r="S30" s="2249">
        <v>58</v>
      </c>
      <c r="T30" s="2249">
        <v>59</v>
      </c>
      <c r="U30" s="1098" t="s">
        <v>152</v>
      </c>
      <c r="V30" s="26" t="s">
        <v>153</v>
      </c>
    </row>
    <row r="31" spans="2:23">
      <c r="B31" s="3102"/>
      <c r="C31" t="s">
        <v>154</v>
      </c>
      <c r="D31" s="3109">
        <v>0.11727</v>
      </c>
      <c r="E31" s="3109">
        <v>0.19142000000000001</v>
      </c>
      <c r="F31" s="3109">
        <v>0.19703999999999999</v>
      </c>
      <c r="G31" s="3109">
        <v>0.33050000000000002</v>
      </c>
      <c r="H31" s="3109">
        <v>1.0716699999999999</v>
      </c>
      <c r="I31" s="3109">
        <v>2.09856</v>
      </c>
      <c r="J31" s="3109">
        <v>2.7392099999999999</v>
      </c>
      <c r="K31" s="3184">
        <v>3.7019000000000002</v>
      </c>
      <c r="L31" s="3185">
        <v>4.8772599999999997</v>
      </c>
      <c r="M31" s="3185">
        <v>5.5156700000000001</v>
      </c>
      <c r="N31" s="3185">
        <v>5.4246800000000004</v>
      </c>
      <c r="O31" s="3185">
        <v>5.3752899999999997</v>
      </c>
      <c r="P31" s="2249">
        <v>5.34</v>
      </c>
      <c r="Q31" s="2249">
        <v>5.3</v>
      </c>
      <c r="R31" s="2249">
        <v>5.26</v>
      </c>
      <c r="S31" s="2249">
        <v>5.22</v>
      </c>
      <c r="T31" s="2249">
        <v>5.18</v>
      </c>
      <c r="U31" s="1098" t="s">
        <v>152</v>
      </c>
      <c r="V31" s="26" t="s">
        <v>155</v>
      </c>
    </row>
    <row r="32" spans="2:23">
      <c r="B32" s="3102"/>
      <c r="C32" t="s">
        <v>1088</v>
      </c>
      <c r="D32" s="3108">
        <f t="shared" ref="D32:Q32" si="17">D30-D31</f>
        <v>10.593160000000001</v>
      </c>
      <c r="E32" s="3108">
        <f t="shared" si="17"/>
        <v>12.313189999999999</v>
      </c>
      <c r="F32" s="3108">
        <f t="shared" si="17"/>
        <v>13.771360000000001</v>
      </c>
      <c r="G32" s="3108">
        <f t="shared" si="17"/>
        <v>15.4603</v>
      </c>
      <c r="H32" s="3108">
        <f t="shared" si="17"/>
        <v>17.716539999999998</v>
      </c>
      <c r="I32" s="3108">
        <f t="shared" si="17"/>
        <v>24.468620000000001</v>
      </c>
      <c r="J32" s="3108">
        <f t="shared" si="17"/>
        <v>32.658880000000003</v>
      </c>
      <c r="K32" s="3108">
        <f t="shared" si="17"/>
        <v>41.545749999999998</v>
      </c>
      <c r="L32" s="3108">
        <f t="shared" si="17"/>
        <v>39.507350000000002</v>
      </c>
      <c r="M32" s="3108">
        <f t="shared" si="17"/>
        <v>43.484499999999997</v>
      </c>
      <c r="N32" s="3108">
        <f t="shared" si="17"/>
        <v>48.28284</v>
      </c>
      <c r="O32" s="3108">
        <f t="shared" si="17"/>
        <v>49.118740000000003</v>
      </c>
      <c r="P32" s="3108">
        <f t="shared" si="17"/>
        <v>49.66</v>
      </c>
      <c r="Q32" s="3108">
        <f t="shared" si="17"/>
        <v>50.7</v>
      </c>
      <c r="R32" s="3108">
        <f>R30-R31</f>
        <v>51.74</v>
      </c>
      <c r="S32" s="3108">
        <f>S30-S31</f>
        <v>52.78</v>
      </c>
      <c r="T32" s="3108">
        <f>T30-T31</f>
        <v>53.82</v>
      </c>
      <c r="U32" s="60"/>
    </row>
    <row r="33" spans="2:22">
      <c r="B33" s="3102"/>
      <c r="C33" t="s">
        <v>1089</v>
      </c>
      <c r="H33" s="3111">
        <v>3.9146046230182738E-2</v>
      </c>
      <c r="I33" s="3111">
        <v>0.18394072858731927</v>
      </c>
      <c r="J33" s="3111">
        <v>0.28826638053920051</v>
      </c>
      <c r="K33" s="3111">
        <v>0.45493781094527358</v>
      </c>
      <c r="L33" s="3111">
        <v>0.48</v>
      </c>
      <c r="M33" s="3111">
        <v>0.5</v>
      </c>
      <c r="N33" s="3111">
        <v>0.51</v>
      </c>
      <c r="O33" s="3111">
        <v>0.52</v>
      </c>
      <c r="P33" s="3111">
        <v>0.52</v>
      </c>
      <c r="Q33" s="3111">
        <v>0.52</v>
      </c>
      <c r="R33" s="3111">
        <v>0.52</v>
      </c>
      <c r="S33" s="3111">
        <v>0.52</v>
      </c>
      <c r="T33" s="3111">
        <v>0.52</v>
      </c>
      <c r="U33" s="3132" t="s">
        <v>674</v>
      </c>
    </row>
    <row r="34" spans="2:22">
      <c r="B34" s="3102"/>
      <c r="C34" t="s">
        <v>1090</v>
      </c>
      <c r="H34" s="3108">
        <f t="shared" ref="H34:Q34" si="18">100*H33/H30</f>
        <v>0.208354314914421</v>
      </c>
      <c r="I34" s="3108">
        <f t="shared" si="18"/>
        <v>0.69236075709698686</v>
      </c>
      <c r="J34" s="3108">
        <f t="shared" si="18"/>
        <v>0.81435574783611342</v>
      </c>
      <c r="K34" s="3108">
        <f t="shared" si="18"/>
        <v>1.0054396437058577</v>
      </c>
      <c r="L34" s="3108">
        <f t="shared" si="18"/>
        <v>1.0814559370917081</v>
      </c>
      <c r="M34" s="3108">
        <f t="shared" si="18"/>
        <v>1.0204046230860015</v>
      </c>
      <c r="N34" s="3108">
        <f t="shared" si="18"/>
        <v>0.94958769274768218</v>
      </c>
      <c r="O34" s="3108">
        <f t="shared" si="18"/>
        <v>0.95423296827193727</v>
      </c>
      <c r="P34" s="3108">
        <f t="shared" si="18"/>
        <v>0.94545454545454544</v>
      </c>
      <c r="Q34" s="3108">
        <f t="shared" si="18"/>
        <v>0.9285714285714286</v>
      </c>
      <c r="R34" s="3108">
        <f>100*R33/R30</f>
        <v>0.91228070175438591</v>
      </c>
      <c r="S34" s="3108">
        <f>100*S33/S30</f>
        <v>0.89655172413793105</v>
      </c>
      <c r="T34" s="3108">
        <f>100*T33/T30</f>
        <v>0.88135593220338981</v>
      </c>
    </row>
    <row r="35" spans="2:22">
      <c r="B35" s="3102"/>
      <c r="C35" t="s">
        <v>1091</v>
      </c>
      <c r="D35" s="3109">
        <v>26.77412</v>
      </c>
      <c r="E35" s="3109">
        <v>29.324269999999999</v>
      </c>
      <c r="F35" s="3109">
        <v>31.036239999999999</v>
      </c>
      <c r="G35" s="3109">
        <v>34.735259999999997</v>
      </c>
      <c r="H35" s="3109">
        <v>40.442050000000002</v>
      </c>
      <c r="I35" s="3109">
        <v>57.380499999999998</v>
      </c>
      <c r="J35" s="3109">
        <v>76.101339999999993</v>
      </c>
      <c r="K35" s="3110">
        <v>100.61243</v>
      </c>
      <c r="L35" s="3110">
        <v>102.10048999999999</v>
      </c>
      <c r="M35" s="3110">
        <v>102.89021</v>
      </c>
      <c r="N35" s="3110">
        <v>106.86317</v>
      </c>
      <c r="O35" s="3110">
        <v>109.81695000000001</v>
      </c>
      <c r="P35" s="2249">
        <v>112</v>
      </c>
      <c r="Q35" s="2249">
        <v>114</v>
      </c>
      <c r="R35" s="2249">
        <v>116</v>
      </c>
      <c r="S35" s="2249">
        <v>118</v>
      </c>
      <c r="T35" s="2249">
        <v>120</v>
      </c>
      <c r="U35" s="1098" t="s">
        <v>152</v>
      </c>
      <c r="V35" s="26" t="s">
        <v>1092</v>
      </c>
    </row>
    <row r="36" spans="2:22">
      <c r="B36" s="3102"/>
      <c r="C36" t="s">
        <v>154</v>
      </c>
      <c r="D36" s="3109">
        <v>9.3372499999999992</v>
      </c>
      <c r="E36" s="3109">
        <v>10.66193</v>
      </c>
      <c r="F36" s="3109">
        <v>13.1838</v>
      </c>
      <c r="G36" s="3109">
        <v>13.69941</v>
      </c>
      <c r="H36" s="3109">
        <v>16.19256</v>
      </c>
      <c r="I36" s="3109">
        <v>23.895790000000002</v>
      </c>
      <c r="J36" s="3109">
        <v>28.92465</v>
      </c>
      <c r="K36" s="3109">
        <v>35.503929999999997</v>
      </c>
      <c r="L36" s="3109">
        <v>31.733280000000001</v>
      </c>
      <c r="M36" s="3109">
        <v>33.010269999999998</v>
      </c>
      <c r="N36" s="3109">
        <v>35.553049999999999</v>
      </c>
      <c r="O36" s="3109">
        <v>37.159930000000003</v>
      </c>
      <c r="P36" s="2249">
        <v>38</v>
      </c>
      <c r="Q36" s="2249">
        <v>39</v>
      </c>
      <c r="R36" s="2249">
        <v>40</v>
      </c>
      <c r="S36" s="2249">
        <v>41</v>
      </c>
      <c r="T36" s="2249">
        <v>42</v>
      </c>
      <c r="U36" s="1098" t="s">
        <v>152</v>
      </c>
      <c r="V36" s="26" t="s">
        <v>1093</v>
      </c>
    </row>
    <row r="37" spans="2:22">
      <c r="B37" s="3102"/>
      <c r="C37" t="s">
        <v>1088</v>
      </c>
      <c r="D37" s="3108">
        <f t="shared" ref="D37:Q37" si="19">D35-D36</f>
        <v>17.436869999999999</v>
      </c>
      <c r="E37" s="3108">
        <f t="shared" si="19"/>
        <v>18.66234</v>
      </c>
      <c r="F37" s="3108">
        <f t="shared" si="19"/>
        <v>17.852440000000001</v>
      </c>
      <c r="G37" s="3108">
        <f t="shared" si="19"/>
        <v>21.035849999999996</v>
      </c>
      <c r="H37" s="3108">
        <f t="shared" si="19"/>
        <v>24.249490000000002</v>
      </c>
      <c r="I37" s="3108">
        <f t="shared" si="19"/>
        <v>33.484709999999993</v>
      </c>
      <c r="J37" s="3108">
        <f t="shared" si="19"/>
        <v>47.176689999999994</v>
      </c>
      <c r="K37" s="3108">
        <f t="shared" si="19"/>
        <v>65.108500000000006</v>
      </c>
      <c r="L37" s="3108">
        <f t="shared" si="19"/>
        <v>70.36721</v>
      </c>
      <c r="M37" s="3108">
        <f t="shared" si="19"/>
        <v>69.879940000000005</v>
      </c>
      <c r="N37" s="3108">
        <f t="shared" si="19"/>
        <v>71.310119999999998</v>
      </c>
      <c r="O37" s="3108">
        <f t="shared" si="19"/>
        <v>72.657020000000003</v>
      </c>
      <c r="P37" s="3108">
        <f t="shared" si="19"/>
        <v>74</v>
      </c>
      <c r="Q37" s="3108">
        <f t="shared" si="19"/>
        <v>75</v>
      </c>
      <c r="R37" s="3108">
        <f>R35-R36</f>
        <v>76</v>
      </c>
      <c r="S37" s="3108">
        <f>S35-S36</f>
        <v>77</v>
      </c>
      <c r="T37" s="3108">
        <f>T35-T36</f>
        <v>78</v>
      </c>
    </row>
    <row r="38" spans="2:22">
      <c r="B38" s="3102"/>
      <c r="C38" t="s">
        <v>1089</v>
      </c>
      <c r="H38" s="3111">
        <f t="shared" ref="H38:N38" si="20">H36+0.75</f>
        <v>16.94256</v>
      </c>
      <c r="I38" s="3111">
        <f t="shared" si="20"/>
        <v>24.645790000000002</v>
      </c>
      <c r="J38" s="3111">
        <f t="shared" si="20"/>
        <v>29.67465</v>
      </c>
      <c r="K38" s="3111">
        <f t="shared" si="20"/>
        <v>36.253929999999997</v>
      </c>
      <c r="L38" s="3111">
        <f t="shared" si="20"/>
        <v>32.483280000000001</v>
      </c>
      <c r="M38" s="3111">
        <f t="shared" si="20"/>
        <v>33.760269999999998</v>
      </c>
      <c r="N38" s="3111">
        <f t="shared" si="20"/>
        <v>36.303049999999999</v>
      </c>
      <c r="O38" s="3111">
        <f t="shared" ref="O38:T38" si="21">O36+0.75</f>
        <v>37.909930000000003</v>
      </c>
      <c r="P38" s="3111">
        <f t="shared" si="21"/>
        <v>38.75</v>
      </c>
      <c r="Q38" s="3111">
        <f t="shared" si="21"/>
        <v>39.75</v>
      </c>
      <c r="R38" s="3111">
        <f t="shared" si="21"/>
        <v>40.75</v>
      </c>
      <c r="S38" s="3111">
        <f t="shared" si="21"/>
        <v>41.75</v>
      </c>
      <c r="T38" s="3111">
        <f t="shared" si="21"/>
        <v>42.75</v>
      </c>
      <c r="U38" s="32" t="s">
        <v>1094</v>
      </c>
    </row>
    <row r="39" spans="2:22">
      <c r="B39" s="3102"/>
      <c r="C39" t="s">
        <v>1090</v>
      </c>
      <c r="H39" s="3108">
        <f t="shared" ref="H39:Q39" si="22">100*H38/H35</f>
        <v>41.893425283832052</v>
      </c>
      <c r="I39" s="3108">
        <f t="shared" si="22"/>
        <v>42.951507916452456</v>
      </c>
      <c r="J39" s="3108">
        <f t="shared" si="22"/>
        <v>38.993597221809765</v>
      </c>
      <c r="K39" s="3108">
        <f t="shared" si="22"/>
        <v>36.03325155748648</v>
      </c>
      <c r="L39" s="3108">
        <f t="shared" si="22"/>
        <v>31.815008919154064</v>
      </c>
      <c r="M39" s="3108">
        <f t="shared" si="22"/>
        <v>32.811936140474394</v>
      </c>
      <c r="N39" s="3108">
        <f t="shared" si="22"/>
        <v>33.971526392114328</v>
      </c>
      <c r="O39" s="3108">
        <f t="shared" si="22"/>
        <v>34.521018840898421</v>
      </c>
      <c r="P39" s="3108">
        <f t="shared" si="22"/>
        <v>34.598214285714285</v>
      </c>
      <c r="Q39" s="3108">
        <f t="shared" si="22"/>
        <v>34.868421052631582</v>
      </c>
      <c r="R39" s="3108">
        <f>100*R38/R35</f>
        <v>35.129310344827587</v>
      </c>
      <c r="S39" s="3108">
        <f>100*S38/S35</f>
        <v>35.381355932203391</v>
      </c>
      <c r="T39" s="3108">
        <f>100*T38/T35</f>
        <v>35.625</v>
      </c>
    </row>
    <row r="40" spans="2:22">
      <c r="B40" s="3102"/>
      <c r="C40" t="s">
        <v>1095</v>
      </c>
      <c r="H40" s="3108">
        <f t="shared" ref="H40:O43" si="23">H35-H30</f>
        <v>21.653840000000002</v>
      </c>
      <c r="I40" s="3108">
        <f t="shared" si="23"/>
        <v>30.813319999999997</v>
      </c>
      <c r="J40" s="3108">
        <f t="shared" si="23"/>
        <v>40.70324999999999</v>
      </c>
      <c r="K40" s="3108">
        <f t="shared" si="23"/>
        <v>55.364780000000003</v>
      </c>
      <c r="L40" s="3108">
        <f t="shared" si="23"/>
        <v>57.715879999999991</v>
      </c>
      <c r="M40" s="3108">
        <f t="shared" si="23"/>
        <v>53.890039999999999</v>
      </c>
      <c r="N40" s="3108">
        <f t="shared" si="23"/>
        <v>53.155649999999994</v>
      </c>
      <c r="O40" s="3108">
        <f t="shared" si="23"/>
        <v>55.322920000000003</v>
      </c>
      <c r="P40" s="3112">
        <f ca="1">O40+P64+P65</f>
        <v>54.714970000000001</v>
      </c>
      <c r="Q40" s="3112">
        <f ca="1">P40+Q64+Q65</f>
        <v>53.171870000000006</v>
      </c>
      <c r="R40" s="3112">
        <f ca="1">Q40+R64+R65</f>
        <v>50.787093768841231</v>
      </c>
      <c r="S40" s="3112">
        <f ca="1">R40+S64+S65</f>
        <v>50.105527496409707</v>
      </c>
      <c r="T40" s="3112">
        <f ca="1">S40+T64+T65</f>
        <v>50.530550428403032</v>
      </c>
      <c r="U40" s="32" t="s">
        <v>1096</v>
      </c>
    </row>
    <row r="41" spans="2:22">
      <c r="B41" s="3102"/>
      <c r="C41" t="s">
        <v>154</v>
      </c>
      <c r="H41" s="3108">
        <f t="shared" si="23"/>
        <v>15.120890000000001</v>
      </c>
      <c r="I41" s="3108">
        <f t="shared" si="23"/>
        <v>21.797230000000003</v>
      </c>
      <c r="J41" s="3108">
        <f t="shared" si="23"/>
        <v>26.18544</v>
      </c>
      <c r="K41" s="3108">
        <f t="shared" si="23"/>
        <v>31.802029999999995</v>
      </c>
      <c r="L41" s="3108">
        <f t="shared" si="23"/>
        <v>26.856020000000001</v>
      </c>
      <c r="M41" s="3108">
        <f t="shared" ref="M41:N43" si="24">M36-M31</f>
        <v>27.494599999999998</v>
      </c>
      <c r="N41" s="3108">
        <f t="shared" si="24"/>
        <v>30.128369999999997</v>
      </c>
      <c r="O41" s="3108">
        <f t="shared" ref="O41:P43" si="25">O36-O31</f>
        <v>31.784640000000003</v>
      </c>
      <c r="P41" s="3108">
        <f t="shared" si="25"/>
        <v>32.659999999999997</v>
      </c>
      <c r="Q41" s="3108">
        <f t="shared" ref="Q41:T43" si="26">Q36-Q31</f>
        <v>33.700000000000003</v>
      </c>
      <c r="R41" s="3108">
        <f t="shared" si="26"/>
        <v>34.74</v>
      </c>
      <c r="S41" s="3108">
        <f t="shared" si="26"/>
        <v>35.78</v>
      </c>
      <c r="T41" s="3108">
        <f t="shared" si="26"/>
        <v>36.82</v>
      </c>
    </row>
    <row r="42" spans="2:22">
      <c r="B42" s="3102"/>
      <c r="C42" t="s">
        <v>1088</v>
      </c>
      <c r="H42" s="3108">
        <f t="shared" si="23"/>
        <v>6.5329500000000031</v>
      </c>
      <c r="I42" s="3108">
        <f t="shared" si="23"/>
        <v>9.0160899999999913</v>
      </c>
      <c r="J42" s="3108">
        <f t="shared" si="23"/>
        <v>14.51780999999999</v>
      </c>
      <c r="K42" s="3108">
        <f t="shared" si="23"/>
        <v>23.562750000000008</v>
      </c>
      <c r="L42" s="3108">
        <f t="shared" si="23"/>
        <v>30.859859999999998</v>
      </c>
      <c r="M42" s="3108">
        <f t="shared" si="24"/>
        <v>26.395440000000008</v>
      </c>
      <c r="N42" s="3108">
        <f t="shared" si="24"/>
        <v>23.027279999999998</v>
      </c>
      <c r="O42" s="3108">
        <f t="shared" si="25"/>
        <v>23.53828</v>
      </c>
      <c r="P42" s="3108">
        <f t="shared" si="25"/>
        <v>24.340000000000003</v>
      </c>
      <c r="Q42" s="3108">
        <f t="shared" si="26"/>
        <v>24.299999999999997</v>
      </c>
      <c r="R42" s="3108">
        <f t="shared" si="26"/>
        <v>24.259999999999998</v>
      </c>
      <c r="S42" s="3108">
        <f t="shared" si="26"/>
        <v>24.22</v>
      </c>
      <c r="T42" s="3108">
        <f t="shared" si="26"/>
        <v>24.18</v>
      </c>
    </row>
    <row r="43" spans="2:22">
      <c r="B43" s="3102"/>
      <c r="C43" t="s">
        <v>1097</v>
      </c>
      <c r="H43" s="3108">
        <f t="shared" si="23"/>
        <v>16.903413953769817</v>
      </c>
      <c r="I43" s="3108">
        <f t="shared" si="23"/>
        <v>24.461849271412682</v>
      </c>
      <c r="J43" s="3108">
        <f t="shared" si="23"/>
        <v>29.386383619460798</v>
      </c>
      <c r="K43" s="3108">
        <f t="shared" si="23"/>
        <v>35.798992189054722</v>
      </c>
      <c r="L43" s="3108">
        <f t="shared" si="23"/>
        <v>32.003280000000004</v>
      </c>
      <c r="M43" s="3108">
        <f t="shared" si="24"/>
        <v>33.260269999999998</v>
      </c>
      <c r="N43" s="3108">
        <f t="shared" si="24"/>
        <v>35.793050000000001</v>
      </c>
      <c r="O43" s="3108">
        <f t="shared" si="25"/>
        <v>37.38993</v>
      </c>
      <c r="P43" s="3108">
        <f t="shared" si="25"/>
        <v>38.229999999999997</v>
      </c>
      <c r="Q43" s="3108">
        <f t="shared" si="26"/>
        <v>39.229999999999997</v>
      </c>
      <c r="R43" s="3108">
        <f t="shared" si="26"/>
        <v>40.229999999999997</v>
      </c>
      <c r="S43" s="3108">
        <f t="shared" si="26"/>
        <v>41.23</v>
      </c>
      <c r="T43" s="3108">
        <f t="shared" si="26"/>
        <v>42.23</v>
      </c>
    </row>
    <row r="44" spans="2:22">
      <c r="B44" s="3104"/>
      <c r="C44" s="1078" t="s">
        <v>1098</v>
      </c>
      <c r="D44" s="1085"/>
      <c r="E44" s="1085"/>
      <c r="F44" s="1085"/>
      <c r="G44" s="1085"/>
      <c r="H44" s="1085">
        <f t="shared" ref="H44:Q44" si="27">100*H43/H40</f>
        <v>78.061969395589031</v>
      </c>
      <c r="I44" s="1085">
        <f t="shared" si="27"/>
        <v>79.38725613277856</v>
      </c>
      <c r="J44" s="1085">
        <f t="shared" si="27"/>
        <v>72.196651666539665</v>
      </c>
      <c r="K44" s="1085">
        <f t="shared" si="27"/>
        <v>64.660226571937457</v>
      </c>
      <c r="L44" s="1085">
        <f t="shared" si="27"/>
        <v>55.449695993546335</v>
      </c>
      <c r="M44" s="1085">
        <f t="shared" si="27"/>
        <v>61.718770295958215</v>
      </c>
      <c r="N44" s="1085">
        <f t="shared" si="27"/>
        <v>67.336303854811305</v>
      </c>
      <c r="O44" s="1085">
        <f t="shared" si="27"/>
        <v>67.58488163676104</v>
      </c>
      <c r="P44" s="1085">
        <f t="shared" ca="1" si="27"/>
        <v>69.871188817246903</v>
      </c>
      <c r="Q44" s="1085">
        <f t="shared" ca="1" si="27"/>
        <v>73.779613167639184</v>
      </c>
      <c r="R44" s="1085">
        <f ca="1">100*R43/R40</f>
        <v>79.213038224057243</v>
      </c>
      <c r="S44" s="1085">
        <f ca="1">100*S43/S40</f>
        <v>82.286330590880056</v>
      </c>
      <c r="T44" s="1085">
        <f ca="1">100*T43/T40</f>
        <v>83.57320401612462</v>
      </c>
    </row>
    <row r="47" spans="2:22">
      <c r="B47" s="3100" t="s">
        <v>1099</v>
      </c>
      <c r="C47" s="3100" t="s">
        <v>1923</v>
      </c>
      <c r="D47" s="3100"/>
      <c r="E47" s="3100"/>
      <c r="F47" s="3100"/>
      <c r="G47" s="3100"/>
      <c r="H47" s="3100"/>
      <c r="I47" s="3100"/>
      <c r="J47" s="3100"/>
      <c r="K47" s="3100"/>
      <c r="L47" s="3100"/>
      <c r="M47" s="3100"/>
      <c r="N47" s="3100"/>
      <c r="O47" s="3100"/>
      <c r="P47" s="3100"/>
      <c r="Q47" s="3100"/>
      <c r="R47" s="3100"/>
      <c r="S47" s="3100"/>
      <c r="T47" s="3100"/>
    </row>
    <row r="48" spans="2:22">
      <c r="B48" s="3100"/>
      <c r="C48" s="3100"/>
      <c r="D48" s="3100">
        <v>2000</v>
      </c>
      <c r="E48" s="3100">
        <v>2001</v>
      </c>
      <c r="F48" s="3100">
        <v>2002</v>
      </c>
      <c r="G48" s="3100">
        <v>2003</v>
      </c>
      <c r="H48" s="3100">
        <v>2004</v>
      </c>
      <c r="I48" s="3100">
        <v>2005</v>
      </c>
      <c r="J48" s="3100">
        <v>2006</v>
      </c>
      <c r="K48" s="3100">
        <v>2007</v>
      </c>
      <c r="L48" s="3100">
        <v>2008</v>
      </c>
      <c r="M48" s="3100">
        <v>2009</v>
      </c>
      <c r="N48" s="3100">
        <v>2010</v>
      </c>
      <c r="O48" s="3100">
        <v>2011</v>
      </c>
      <c r="P48" s="3100">
        <v>2012</v>
      </c>
      <c r="Q48" s="3100">
        <v>2013</v>
      </c>
      <c r="R48" s="3100">
        <v>2014</v>
      </c>
      <c r="S48" s="3100">
        <v>2015</v>
      </c>
      <c r="T48" s="3100">
        <v>2016</v>
      </c>
      <c r="V48" s="1187"/>
    </row>
    <row r="49" spans="2:21">
      <c r="B49" s="3102"/>
      <c r="C49" t="s">
        <v>1924</v>
      </c>
      <c r="I49" s="1444">
        <f t="shared" ref="I49:O49" si="28">100*I17/H30</f>
        <v>0.65466587822895317</v>
      </c>
      <c r="J49" s="1444">
        <f t="shared" si="28"/>
        <v>0.80926918099700451</v>
      </c>
      <c r="K49" s="1444">
        <f t="shared" si="28"/>
        <v>0.91530362231408513</v>
      </c>
      <c r="L49" s="1444">
        <f t="shared" si="28"/>
        <v>0.96358595418767612</v>
      </c>
      <c r="M49" s="1444">
        <f t="shared" si="28"/>
        <v>0.46187180646625031</v>
      </c>
      <c r="N49" s="1444">
        <f t="shared" si="28"/>
        <v>0.54897768722026885</v>
      </c>
      <c r="O49" s="1444">
        <f t="shared" si="28"/>
        <v>0.77456564741771727</v>
      </c>
      <c r="P49" s="3186">
        <v>2.9</v>
      </c>
      <c r="Q49" s="3186">
        <v>2.9</v>
      </c>
      <c r="R49" s="3186">
        <v>2.9</v>
      </c>
      <c r="S49" s="3186">
        <v>2.9</v>
      </c>
      <c r="T49" s="3186">
        <v>2.9</v>
      </c>
      <c r="U49" s="1187" t="s">
        <v>1925</v>
      </c>
    </row>
    <row r="50" spans="2:21">
      <c r="B50" s="3102"/>
      <c r="C50" t="s">
        <v>1926</v>
      </c>
      <c r="I50" s="1444">
        <f t="shared" ref="I50:N50" si="29">100*I18/H35</f>
        <v>-1.9509396778847758</v>
      </c>
      <c r="J50" s="1444">
        <f t="shared" si="29"/>
        <v>-1.8490602208067199</v>
      </c>
      <c r="K50" s="1444">
        <f t="shared" si="29"/>
        <v>-2.2233511262745176</v>
      </c>
      <c r="L50" s="1444">
        <f t="shared" si="29"/>
        <v>-1.7781103189735106</v>
      </c>
      <c r="M50" s="1444">
        <f t="shared" si="29"/>
        <v>3.8197661930907484E-2</v>
      </c>
      <c r="N50" s="1444">
        <f t="shared" si="29"/>
        <v>-1.2187748474806301</v>
      </c>
      <c r="O50" s="3186">
        <v>-6</v>
      </c>
      <c r="P50" s="3186">
        <v>-5.9</v>
      </c>
      <c r="Q50" s="3186">
        <v>-5.9</v>
      </c>
      <c r="R50" s="3186">
        <v>-5.9</v>
      </c>
      <c r="S50" s="3186">
        <v>-5.9</v>
      </c>
      <c r="T50" s="3186">
        <v>-5.9</v>
      </c>
    </row>
    <row r="51" spans="2:21">
      <c r="B51" s="3104"/>
      <c r="C51" s="1078" t="s">
        <v>1927</v>
      </c>
      <c r="D51" s="1085"/>
      <c r="E51" s="1085"/>
      <c r="F51" s="1085"/>
      <c r="G51" s="1085"/>
      <c r="H51" s="1085"/>
      <c r="I51" s="1085">
        <f t="shared" ref="I51:Q51" si="30">-100*I16/H40</f>
        <v>3.0756669486797725</v>
      </c>
      <c r="J51" s="1085">
        <f t="shared" si="30"/>
        <v>2.742320528914119</v>
      </c>
      <c r="K51" s="1085">
        <f t="shared" si="30"/>
        <v>3.3584541774919701</v>
      </c>
      <c r="L51" s="1085">
        <f t="shared" si="30"/>
        <v>2.4437918835765267</v>
      </c>
      <c r="M51" s="1085">
        <f t="shared" si="30"/>
        <v>-0.42102797358370009</v>
      </c>
      <c r="N51" s="1085">
        <f t="shared" si="30"/>
        <v>1.829651638781489</v>
      </c>
      <c r="O51" s="1085">
        <f t="shared" si="30"/>
        <v>2.9780465482032485</v>
      </c>
      <c r="P51" s="1085">
        <f t="shared" si="30"/>
        <v>2.4347955603211107</v>
      </c>
      <c r="Q51" s="1085">
        <f t="shared" ca="1" si="30"/>
        <v>2.3412239831256416</v>
      </c>
      <c r="R51" s="1085">
        <f ca="1">-100*R16/Q40</f>
        <v>1.4518955229522676</v>
      </c>
      <c r="S51" s="1085">
        <f ca="1">-100*S16/R40</f>
        <v>3.6840068236940366</v>
      </c>
      <c r="T51" s="1085">
        <f ca="1">-100*T16/S40</f>
        <v>3.6942031997021338</v>
      </c>
    </row>
    <row r="53" spans="2:21">
      <c r="B53" s="3100" t="s">
        <v>1928</v>
      </c>
      <c r="C53" s="3100" t="s">
        <v>1929</v>
      </c>
      <c r="D53" s="3100"/>
      <c r="E53" s="3100"/>
      <c r="F53" s="3100"/>
      <c r="G53" s="3100"/>
      <c r="H53" s="3100"/>
      <c r="I53" s="3100"/>
      <c r="J53" s="3100"/>
      <c r="K53" s="3100"/>
      <c r="L53" s="3100"/>
      <c r="M53" s="3100"/>
      <c r="N53" s="3100"/>
      <c r="O53" s="3100"/>
      <c r="P53" s="3100"/>
      <c r="Q53" s="3100"/>
      <c r="R53" s="3100"/>
      <c r="S53" s="3100"/>
      <c r="T53" s="3100"/>
    </row>
    <row r="54" spans="2:21">
      <c r="B54" s="3100"/>
      <c r="C54" s="3100"/>
      <c r="D54" s="3100">
        <v>2000</v>
      </c>
      <c r="E54" s="3100">
        <v>2001</v>
      </c>
      <c r="F54" s="3100">
        <v>2002</v>
      </c>
      <c r="G54" s="3100">
        <v>2003</v>
      </c>
      <c r="H54" s="3100">
        <v>2004</v>
      </c>
      <c r="I54" s="3100">
        <v>2005</v>
      </c>
      <c r="J54" s="3100">
        <v>2006</v>
      </c>
      <c r="K54" s="3100">
        <v>2007</v>
      </c>
      <c r="L54" s="3100">
        <v>2008</v>
      </c>
      <c r="M54" s="3100">
        <v>2009</v>
      </c>
      <c r="N54" s="3100">
        <v>2010</v>
      </c>
      <c r="O54" s="3100">
        <v>2011</v>
      </c>
      <c r="P54" s="3100">
        <v>2012</v>
      </c>
      <c r="Q54" s="3100">
        <v>2013</v>
      </c>
      <c r="R54" s="3100">
        <v>2014</v>
      </c>
      <c r="S54" s="3100">
        <v>2015</v>
      </c>
      <c r="T54" s="3100">
        <v>2016</v>
      </c>
    </row>
    <row r="55" spans="2:21">
      <c r="B55" s="3102"/>
      <c r="C55" t="s">
        <v>1930</v>
      </c>
      <c r="D55">
        <v>3.6951999999999998</v>
      </c>
      <c r="E55">
        <v>3.5823</v>
      </c>
      <c r="F55">
        <v>3.4594</v>
      </c>
      <c r="G55">
        <v>3.4527000000000001</v>
      </c>
      <c r="H55" s="217">
        <v>3.4529000000000001</v>
      </c>
      <c r="I55" s="217">
        <v>3.4527999999999999</v>
      </c>
      <c r="J55">
        <v>3.4527999999999999</v>
      </c>
      <c r="K55">
        <v>3.4527999999999999</v>
      </c>
      <c r="L55">
        <v>3.4527999999999999</v>
      </c>
      <c r="M55">
        <v>3.4527999999999999</v>
      </c>
      <c r="N55">
        <v>3.4527999999999999</v>
      </c>
      <c r="O55">
        <v>3.4527999999999999</v>
      </c>
      <c r="P55" s="3113">
        <f>O55</f>
        <v>3.4527999999999999</v>
      </c>
      <c r="Q55" s="3113">
        <f>P55</f>
        <v>3.4527999999999999</v>
      </c>
      <c r="R55" s="3113">
        <f>Q55</f>
        <v>3.4527999999999999</v>
      </c>
      <c r="S55" s="3113">
        <f>R55</f>
        <v>3.4527999999999999</v>
      </c>
      <c r="T55" s="3113">
        <f>S55</f>
        <v>3.4527999999999999</v>
      </c>
      <c r="U55" s="32" t="s">
        <v>1931</v>
      </c>
    </row>
    <row r="56" spans="2:21">
      <c r="B56" s="3104"/>
      <c r="C56" s="1078" t="s">
        <v>1932</v>
      </c>
      <c r="D56" s="1078">
        <f t="shared" ref="D56:Q56" si="31">1/D55</f>
        <v>0.27062134661182075</v>
      </c>
      <c r="E56" s="1078">
        <f t="shared" si="31"/>
        <v>0.27915026658850461</v>
      </c>
      <c r="F56" s="1078">
        <f t="shared" si="31"/>
        <v>0.28906746834711222</v>
      </c>
      <c r="G56" s="1078">
        <f t="shared" si="31"/>
        <v>0.28962840675413443</v>
      </c>
      <c r="H56" s="1078">
        <f t="shared" si="31"/>
        <v>0.28961163080309305</v>
      </c>
      <c r="I56" s="1078">
        <f t="shared" si="31"/>
        <v>0.2896200185356812</v>
      </c>
      <c r="J56" s="1078">
        <f t="shared" si="31"/>
        <v>0.2896200185356812</v>
      </c>
      <c r="K56" s="1078">
        <f t="shared" si="31"/>
        <v>0.2896200185356812</v>
      </c>
      <c r="L56" s="1078">
        <f t="shared" si="31"/>
        <v>0.2896200185356812</v>
      </c>
      <c r="M56" s="1078">
        <f t="shared" si="31"/>
        <v>0.2896200185356812</v>
      </c>
      <c r="N56" s="1078">
        <f t="shared" si="31"/>
        <v>0.2896200185356812</v>
      </c>
      <c r="O56" s="1078">
        <f t="shared" si="31"/>
        <v>0.2896200185356812</v>
      </c>
      <c r="P56" s="1078">
        <f t="shared" si="31"/>
        <v>0.2896200185356812</v>
      </c>
      <c r="Q56" s="1078">
        <f t="shared" si="31"/>
        <v>0.2896200185356812</v>
      </c>
      <c r="R56" s="1078">
        <f>1/R55</f>
        <v>0.2896200185356812</v>
      </c>
      <c r="S56" s="1078">
        <f>1/S55</f>
        <v>0.2896200185356812</v>
      </c>
      <c r="T56" s="1078">
        <f>1/T55</f>
        <v>0.2896200185356812</v>
      </c>
    </row>
    <row r="58" spans="2:21">
      <c r="B58" s="3100" t="s">
        <v>1933</v>
      </c>
      <c r="C58" s="3100" t="s">
        <v>1934</v>
      </c>
      <c r="D58" s="3100"/>
      <c r="E58" s="3100"/>
      <c r="F58" s="3100"/>
      <c r="G58" s="3100"/>
      <c r="H58" s="3100"/>
      <c r="I58" s="3100"/>
      <c r="J58" s="3100"/>
      <c r="K58" s="3100"/>
      <c r="L58" s="3100"/>
      <c r="M58" s="3100"/>
      <c r="N58" s="3100"/>
      <c r="O58" s="3100"/>
      <c r="P58" s="3100"/>
      <c r="Q58" s="3100"/>
      <c r="R58" s="3100"/>
      <c r="S58" s="3100"/>
      <c r="T58" s="3100"/>
    </row>
    <row r="59" spans="2:21">
      <c r="B59" s="3100"/>
      <c r="C59" s="3100"/>
      <c r="D59" s="3100">
        <v>2000</v>
      </c>
      <c r="E59" s="3100">
        <v>2001</v>
      </c>
      <c r="F59" s="3100">
        <v>2002</v>
      </c>
      <c r="G59" s="3100">
        <v>2003</v>
      </c>
      <c r="H59" s="3100">
        <v>2004</v>
      </c>
      <c r="I59" s="3100">
        <v>2005</v>
      </c>
      <c r="J59" s="3100">
        <v>2006</v>
      </c>
      <c r="K59" s="3100">
        <v>2007</v>
      </c>
      <c r="L59" s="3100">
        <v>2008</v>
      </c>
      <c r="M59" s="3100">
        <v>2009</v>
      </c>
      <c r="N59" s="3100">
        <v>2010</v>
      </c>
      <c r="O59" s="3100">
        <v>2011</v>
      </c>
      <c r="P59" s="3100">
        <v>2012</v>
      </c>
      <c r="Q59" s="3100">
        <v>2013</v>
      </c>
      <c r="R59" s="3100">
        <v>2014</v>
      </c>
      <c r="S59" s="3100">
        <v>2015</v>
      </c>
      <c r="T59" s="3100">
        <v>2016</v>
      </c>
    </row>
    <row r="60" spans="2:21">
      <c r="B60" s="3102"/>
      <c r="C60" t="s">
        <v>1346</v>
      </c>
      <c r="D60" s="1444" t="e">
        <f t="shared" ref="D60:N60" ca="1" si="32">-D22</f>
        <v>#VALUE!</v>
      </c>
      <c r="E60" s="1444" t="e">
        <f t="shared" ca="1" si="32"/>
        <v>#VALUE!</v>
      </c>
      <c r="F60" s="1444" t="e">
        <f t="shared" ca="1" si="32"/>
        <v>#VALUE!</v>
      </c>
      <c r="G60" s="1444" t="e">
        <f t="shared" ca="1" si="32"/>
        <v>#VALUE!</v>
      </c>
      <c r="H60" s="1444" t="e">
        <f t="shared" ca="1" si="32"/>
        <v>#VALUE!</v>
      </c>
      <c r="I60" s="1444" t="e">
        <f t="shared" ca="1" si="32"/>
        <v>#VALUE!</v>
      </c>
      <c r="J60" s="1444" t="e">
        <f t="shared" ca="1" si="32"/>
        <v>#VALUE!</v>
      </c>
      <c r="K60" s="1444" t="e">
        <f t="shared" ca="1" si="32"/>
        <v>#VALUE!</v>
      </c>
      <c r="L60" s="1444">
        <f t="shared" ca="1" si="32"/>
        <v>2.3853500000000007</v>
      </c>
      <c r="M60" s="3103">
        <f t="shared" ca="1" si="32"/>
        <v>-1.4376699999999998</v>
      </c>
      <c r="N60" s="3107">
        <f t="shared" ca="1" si="32"/>
        <v>-1.8785900000000009</v>
      </c>
      <c r="O60" s="3107">
        <f t="shared" ref="O60:T60" ca="1" si="33">-O22</f>
        <v>-1.3221499999999995</v>
      </c>
      <c r="P60" s="3107">
        <f t="shared" ca="1" si="33"/>
        <v>-1.9549500000000009</v>
      </c>
      <c r="Q60" s="3107">
        <f t="shared" ca="1" si="33"/>
        <v>-2.8240999999999987</v>
      </c>
      <c r="R60" s="3107">
        <f t="shared" ca="1" si="33"/>
        <v>-3.1567762311587719</v>
      </c>
      <c r="S60" s="3107">
        <f t="shared" ca="1" si="33"/>
        <v>-2.5525662724315215</v>
      </c>
      <c r="T60" s="3107">
        <f t="shared" ca="1" si="33"/>
        <v>-1.4259770680066739</v>
      </c>
    </row>
    <row r="61" spans="2:21">
      <c r="B61" s="3102"/>
      <c r="C61" t="s">
        <v>697</v>
      </c>
      <c r="D61" s="1444"/>
      <c r="E61" s="1444"/>
      <c r="F61" s="1444"/>
      <c r="G61" s="1444"/>
      <c r="H61" s="1444"/>
      <c r="I61" s="1444">
        <f t="shared" ref="I61:N61" si="34">I62+I63</f>
        <v>0.66585819069969976</v>
      </c>
      <c r="J61" s="1444">
        <f t="shared" si="34"/>
        <v>0.84499999999999997</v>
      </c>
      <c r="K61" s="1444">
        <f t="shared" si="34"/>
        <v>1.367</v>
      </c>
      <c r="L61" s="1444">
        <f t="shared" si="34"/>
        <v>1.353</v>
      </c>
      <c r="M61" s="3103">
        <f t="shared" si="34"/>
        <v>-0.24299999999999999</v>
      </c>
      <c r="N61" s="3103">
        <f t="shared" si="34"/>
        <v>0.98599999999999999</v>
      </c>
      <c r="O61" s="3103">
        <f t="shared" ref="O61:T61" si="35">O62+O63</f>
        <v>1.583</v>
      </c>
      <c r="P61" s="3103">
        <f t="shared" si="35"/>
        <v>1.347</v>
      </c>
      <c r="Q61" s="3103">
        <f t="shared" ca="1" si="35"/>
        <v>1.2809999999999999</v>
      </c>
      <c r="R61" s="3103">
        <f t="shared" ca="1" si="35"/>
        <v>0.77200000000000002</v>
      </c>
      <c r="S61" s="3103">
        <f t="shared" ca="1" si="35"/>
        <v>1.871</v>
      </c>
      <c r="T61" s="3103">
        <f t="shared" ca="1" si="35"/>
        <v>1.851</v>
      </c>
    </row>
    <row r="62" spans="2:21">
      <c r="B62" s="3102"/>
      <c r="C62" t="s">
        <v>1347</v>
      </c>
      <c r="D62" s="1444"/>
      <c r="E62" s="1444"/>
      <c r="F62" s="1444"/>
      <c r="G62" s="1444"/>
      <c r="H62" s="1444"/>
      <c r="I62" s="1444">
        <f t="shared" ref="I62:N62" si="36">-I16</f>
        <v>0.66600000000000004</v>
      </c>
      <c r="J62" s="1444">
        <f t="shared" si="36"/>
        <v>0.84499999999999997</v>
      </c>
      <c r="K62" s="1444">
        <f t="shared" si="36"/>
        <v>1.367</v>
      </c>
      <c r="L62" s="1444">
        <f t="shared" si="36"/>
        <v>1.353</v>
      </c>
      <c r="M62" s="3103">
        <f t="shared" si="36"/>
        <v>-0.24299999999999999</v>
      </c>
      <c r="N62" s="3103">
        <f t="shared" si="36"/>
        <v>0.98599999999999999</v>
      </c>
      <c r="O62" s="3103">
        <f t="shared" ref="O62:T62" si="37">-O16</f>
        <v>1.583</v>
      </c>
      <c r="P62" s="3103">
        <f t="shared" si="37"/>
        <v>1.347</v>
      </c>
      <c r="Q62" s="3103">
        <f t="shared" si="37"/>
        <v>1.2809999999999999</v>
      </c>
      <c r="R62" s="3103">
        <f t="shared" si="37"/>
        <v>0.77200000000000002</v>
      </c>
      <c r="S62" s="3103">
        <f t="shared" si="37"/>
        <v>1.871</v>
      </c>
      <c r="T62" s="3103">
        <f t="shared" si="37"/>
        <v>1.851</v>
      </c>
    </row>
    <row r="63" spans="2:21">
      <c r="B63" s="3102"/>
      <c r="C63" t="s">
        <v>1348</v>
      </c>
      <c r="D63" s="1444"/>
      <c r="E63" s="1444"/>
      <c r="F63" s="1444"/>
      <c r="G63" s="1444"/>
      <c r="H63" s="1444"/>
      <c r="I63" s="1444">
        <f t="shared" ref="I63:Q63" si="38">H$40*(I55/H55-1)*(1-H$44/100)*(1+I$51/100)</f>
        <v>-1.4180930030023844E-4</v>
      </c>
      <c r="J63" s="1444">
        <f t="shared" si="38"/>
        <v>0</v>
      </c>
      <c r="K63" s="1444">
        <f t="shared" si="38"/>
        <v>0</v>
      </c>
      <c r="L63" s="1444">
        <f t="shared" si="38"/>
        <v>0</v>
      </c>
      <c r="M63" s="1444">
        <f t="shared" si="38"/>
        <v>0</v>
      </c>
      <c r="N63" s="1444">
        <f t="shared" si="38"/>
        <v>0</v>
      </c>
      <c r="O63" s="1444">
        <f t="shared" si="38"/>
        <v>0</v>
      </c>
      <c r="P63" s="1444">
        <f t="shared" si="38"/>
        <v>0</v>
      </c>
      <c r="Q63" s="1444">
        <f t="shared" ca="1" si="38"/>
        <v>0</v>
      </c>
      <c r="R63" s="1444">
        <f ca="1">Q$40*(R55/Q55-1)*(1-Q$44/100)*(1+R$51/100)</f>
        <v>0</v>
      </c>
      <c r="S63" s="1444">
        <f ca="1">R$40*(S55/R55-1)*(1-R$44/100)*(1+S$51/100)</f>
        <v>0</v>
      </c>
      <c r="T63" s="1444">
        <f ca="1">S$40*(T55/S55-1)*(1-S$44/100)*(1+T$51/100)</f>
        <v>0</v>
      </c>
    </row>
    <row r="64" spans="2:21">
      <c r="B64" s="3102"/>
      <c r="C64" t="s">
        <v>1349</v>
      </c>
      <c r="D64" s="1444"/>
      <c r="E64" s="1444"/>
      <c r="F64" s="1444"/>
      <c r="G64" s="1444"/>
      <c r="H64" s="1444"/>
      <c r="I64" s="1444" t="e">
        <f t="shared" ref="I64:N64" ca="1" si="39">I60+I61</f>
        <v>#VALUE!</v>
      </c>
      <c r="J64" s="1444" t="e">
        <f t="shared" ca="1" si="39"/>
        <v>#VALUE!</v>
      </c>
      <c r="K64" s="1444" t="e">
        <f t="shared" ca="1" si="39"/>
        <v>#VALUE!</v>
      </c>
      <c r="L64" s="1444">
        <f t="shared" ca="1" si="39"/>
        <v>3.7383500000000005</v>
      </c>
      <c r="M64" s="3103">
        <f t="shared" ca="1" si="39"/>
        <v>-1.6806699999999997</v>
      </c>
      <c r="N64" s="3103">
        <f t="shared" ca="1" si="39"/>
        <v>-0.89259000000000088</v>
      </c>
      <c r="O64" s="3103">
        <f t="shared" ref="O64:T64" ca="1" si="40">O60+O61</f>
        <v>0.26085000000000047</v>
      </c>
      <c r="P64" s="3103">
        <f t="shared" ca="1" si="40"/>
        <v>-0.60795000000000088</v>
      </c>
      <c r="Q64" s="3103">
        <f t="shared" ca="1" si="40"/>
        <v>-1.5430999999999988</v>
      </c>
      <c r="R64" s="3103">
        <f t="shared" ca="1" si="40"/>
        <v>-2.3847762311587717</v>
      </c>
      <c r="S64" s="3103">
        <f t="shared" ca="1" si="40"/>
        <v>-0.68156627243152146</v>
      </c>
      <c r="T64" s="3103">
        <f t="shared" ca="1" si="40"/>
        <v>0.42502293199332608</v>
      </c>
    </row>
    <row r="65" spans="2:20">
      <c r="B65" s="3102"/>
      <c r="C65" t="s">
        <v>1350</v>
      </c>
      <c r="D65" s="1444"/>
      <c r="E65" s="1444"/>
      <c r="F65" s="1444"/>
      <c r="G65" s="1444"/>
      <c r="H65" s="1444"/>
      <c r="I65" s="1444" t="e">
        <f t="shared" ref="I65:O65" ca="1" si="41">I66-I64</f>
        <v>#VALUE!</v>
      </c>
      <c r="J65" s="1444" t="e">
        <f t="shared" ca="1" si="41"/>
        <v>#VALUE!</v>
      </c>
      <c r="K65" s="1444" t="e">
        <f t="shared" ca="1" si="41"/>
        <v>#VALUE!</v>
      </c>
      <c r="L65" s="1444">
        <f t="shared" ca="1" si="41"/>
        <v>-1.3872500000000123</v>
      </c>
      <c r="M65" s="1444">
        <f t="shared" ca="1" si="41"/>
        <v>-2.1451699999999927</v>
      </c>
      <c r="N65" s="1444">
        <f t="shared" ca="1" si="41"/>
        <v>0.15819999999999612</v>
      </c>
      <c r="O65" s="1444">
        <f t="shared" ca="1" si="41"/>
        <v>1.9064200000000087</v>
      </c>
      <c r="P65" s="3187">
        <v>0</v>
      </c>
      <c r="Q65" s="3187">
        <v>0</v>
      </c>
      <c r="R65" s="3187">
        <v>0</v>
      </c>
      <c r="S65" s="3187">
        <v>0</v>
      </c>
      <c r="T65" s="3187">
        <v>0</v>
      </c>
    </row>
    <row r="66" spans="2:20">
      <c r="B66" s="3104"/>
      <c r="C66" s="1078" t="s">
        <v>1351</v>
      </c>
      <c r="D66" s="1085"/>
      <c r="E66" s="1085"/>
      <c r="F66" s="1085"/>
      <c r="G66" s="1085"/>
      <c r="H66" s="1085"/>
      <c r="I66" s="1085">
        <f t="shared" ref="I66:Q66" si="42">I40-H40</f>
        <v>9.159479999999995</v>
      </c>
      <c r="J66" s="1085">
        <f t="shared" si="42"/>
        <v>9.8899299999999926</v>
      </c>
      <c r="K66" s="1085">
        <f t="shared" si="42"/>
        <v>14.661530000000013</v>
      </c>
      <c r="L66" s="1085">
        <f t="shared" si="42"/>
        <v>2.3510999999999882</v>
      </c>
      <c r="M66" s="3105">
        <f t="shared" si="42"/>
        <v>-3.8258399999999924</v>
      </c>
      <c r="N66" s="3105">
        <f t="shared" si="42"/>
        <v>-0.73439000000000476</v>
      </c>
      <c r="O66" s="3105">
        <f t="shared" si="42"/>
        <v>2.1672700000000091</v>
      </c>
      <c r="P66" s="3105">
        <f t="shared" ca="1" si="42"/>
        <v>-0.60795000000000243</v>
      </c>
      <c r="Q66" s="3105">
        <f t="shared" ca="1" si="42"/>
        <v>-1.5430999999999955</v>
      </c>
      <c r="R66" s="3105">
        <f ca="1">R40-Q40</f>
        <v>-2.3847762311587744</v>
      </c>
      <c r="S66" s="3105">
        <f ca="1">S40-R40</f>
        <v>-0.68156627243152457</v>
      </c>
      <c r="T66" s="3105">
        <f ca="1">T40-S40</f>
        <v>0.42502293199332541</v>
      </c>
    </row>
    <row r="68" spans="2:20">
      <c r="B68" s="3100" t="s">
        <v>1352</v>
      </c>
      <c r="C68" s="3100" t="s">
        <v>285</v>
      </c>
      <c r="D68" s="3100"/>
      <c r="E68" s="3100"/>
      <c r="F68" s="3100"/>
      <c r="G68" s="3100"/>
      <c r="H68" s="3100"/>
      <c r="I68" s="3100"/>
      <c r="J68" s="3100"/>
      <c r="K68" s="3100"/>
      <c r="L68" s="3100"/>
      <c r="M68" s="3100"/>
      <c r="N68" s="3100"/>
      <c r="O68" s="3100"/>
      <c r="P68" s="3100"/>
      <c r="Q68" s="3100"/>
      <c r="R68" s="3100"/>
      <c r="S68" s="3100"/>
      <c r="T68" s="3100"/>
    </row>
    <row r="69" spans="2:20">
      <c r="B69" s="3100"/>
      <c r="C69" s="3100"/>
      <c r="D69" s="3100">
        <v>2000</v>
      </c>
      <c r="E69" s="3100">
        <v>2001</v>
      </c>
      <c r="F69" s="3100">
        <v>2002</v>
      </c>
      <c r="G69" s="3100">
        <v>2003</v>
      </c>
      <c r="H69" s="3100">
        <v>2004</v>
      </c>
      <c r="I69" s="3100">
        <v>2005</v>
      </c>
      <c r="J69" s="3100">
        <v>2006</v>
      </c>
      <c r="K69" s="3100">
        <v>2007</v>
      </c>
      <c r="L69" s="3100">
        <v>2008</v>
      </c>
      <c r="M69" s="3100">
        <v>2009</v>
      </c>
      <c r="N69" s="3100">
        <v>2010</v>
      </c>
      <c r="O69" s="3100">
        <v>2011</v>
      </c>
      <c r="P69" s="3100">
        <v>2012</v>
      </c>
      <c r="Q69" s="3100">
        <v>2013</v>
      </c>
      <c r="R69" s="3100">
        <v>2014</v>
      </c>
      <c r="S69" s="3100">
        <v>2015</v>
      </c>
      <c r="T69" s="3100">
        <v>2016</v>
      </c>
    </row>
    <row r="70" spans="2:20">
      <c r="B70" s="3102"/>
      <c r="C70" t="s">
        <v>151</v>
      </c>
      <c r="E70" s="1444">
        <f t="shared" ref="E70:N70" si="43">100*E30/E$6</f>
        <v>88.094630885722097</v>
      </c>
      <c r="F70" s="1444">
        <f t="shared" si="43"/>
        <v>91.884250735256884</v>
      </c>
      <c r="G70" s="1444">
        <f t="shared" si="43"/>
        <v>94.734492887173886</v>
      </c>
      <c r="H70" s="1444">
        <f t="shared" si="43"/>
        <v>103.01841458252457</v>
      </c>
      <c r="I70" s="1444">
        <f t="shared" si="43"/>
        <v>126.4962254223932</v>
      </c>
      <c r="J70" s="1444">
        <f t="shared" si="43"/>
        <v>147.00704093744056</v>
      </c>
      <c r="K70" s="1444">
        <f t="shared" si="43"/>
        <v>155.80792585292485</v>
      </c>
      <c r="L70" s="1444">
        <f t="shared" si="43"/>
        <v>135.7481952075282</v>
      </c>
      <c r="M70" s="3103">
        <f t="shared" si="43"/>
        <v>181.92128256286844</v>
      </c>
      <c r="N70" s="3103">
        <f t="shared" si="43"/>
        <v>191.62327500761748</v>
      </c>
      <c r="O70" s="3103">
        <f t="shared" ref="O70:P72" si="44">100*O30/O$6</f>
        <v>174.23972000925971</v>
      </c>
      <c r="P70" s="3103">
        <f t="shared" si="44"/>
        <v>164.92505805362043</v>
      </c>
      <c r="Q70" s="3103">
        <f t="shared" ref="Q70:T72" si="45">100*Q30/Q$6</f>
        <v>160.184670041033</v>
      </c>
      <c r="R70" s="3103">
        <f t="shared" si="45"/>
        <v>155.87279467341642</v>
      </c>
      <c r="S70" s="3103">
        <f t="shared" si="45"/>
        <v>154.96995319640223</v>
      </c>
      <c r="T70" s="3103">
        <f t="shared" si="45"/>
        <v>152.57968279976993</v>
      </c>
    </row>
    <row r="71" spans="2:20">
      <c r="B71" s="3102"/>
      <c r="C71" t="s">
        <v>154</v>
      </c>
      <c r="E71" s="1444">
        <f t="shared" ref="E71:N71" si="46">100*E31/E$6</f>
        <v>1.3485485948098279</v>
      </c>
      <c r="F71" s="1444">
        <f t="shared" si="46"/>
        <v>1.2961307497548047</v>
      </c>
      <c r="G71" s="1444">
        <f t="shared" si="46"/>
        <v>1.9827842730710903</v>
      </c>
      <c r="H71" s="1444">
        <f t="shared" si="46"/>
        <v>5.8761182867156636</v>
      </c>
      <c r="I71" s="1444">
        <f t="shared" si="46"/>
        <v>9.992024701997634</v>
      </c>
      <c r="J71" s="1444">
        <f t="shared" si="46"/>
        <v>11.375844194029863</v>
      </c>
      <c r="K71" s="1444">
        <f t="shared" si="46"/>
        <v>12.747299820320888</v>
      </c>
      <c r="L71" s="1444">
        <f t="shared" si="46"/>
        <v>14.916865160195593</v>
      </c>
      <c r="M71" s="3103">
        <f t="shared" si="46"/>
        <v>20.477842435924948</v>
      </c>
      <c r="N71" s="3103">
        <f t="shared" si="46"/>
        <v>19.35473742724152</v>
      </c>
      <c r="O71" s="3103">
        <f t="shared" si="44"/>
        <v>17.187002403172851</v>
      </c>
      <c r="P71" s="3103">
        <f t="shared" si="44"/>
        <v>16.012723818296966</v>
      </c>
      <c r="Q71" s="3103">
        <f t="shared" si="45"/>
        <v>15.160334843169196</v>
      </c>
      <c r="R71" s="3103">
        <f t="shared" si="45"/>
        <v>14.384050876880181</v>
      </c>
      <c r="S71" s="3103">
        <f t="shared" si="45"/>
        <v>13.9472957876762</v>
      </c>
      <c r="T71" s="3103">
        <f t="shared" si="45"/>
        <v>13.395978930556073</v>
      </c>
    </row>
    <row r="72" spans="2:20">
      <c r="B72" s="3102"/>
      <c r="C72" t="s">
        <v>1088</v>
      </c>
      <c r="E72" s="1444">
        <f t="shared" ref="E72:N72" si="47">100*E32/E$6</f>
        <v>86.746082290912256</v>
      </c>
      <c r="F72" s="1444">
        <f t="shared" si="47"/>
        <v>90.588119985502075</v>
      </c>
      <c r="G72" s="1444">
        <f t="shared" si="47"/>
        <v>92.751708614102796</v>
      </c>
      <c r="H72" s="1444">
        <f t="shared" si="47"/>
        <v>97.14229629580889</v>
      </c>
      <c r="I72" s="1444">
        <f t="shared" si="47"/>
        <v>116.50420072039557</v>
      </c>
      <c r="J72" s="1444">
        <f t="shared" si="47"/>
        <v>135.6311967434107</v>
      </c>
      <c r="K72" s="1444">
        <f t="shared" si="47"/>
        <v>143.06062603260395</v>
      </c>
      <c r="L72" s="1444">
        <f t="shared" si="47"/>
        <v>120.8313300473326</v>
      </c>
      <c r="M72" s="3103">
        <f t="shared" si="47"/>
        <v>161.4434401269435</v>
      </c>
      <c r="N72" s="3103">
        <f t="shared" si="47"/>
        <v>172.26853758037595</v>
      </c>
      <c r="O72" s="3103">
        <f t="shared" si="44"/>
        <v>157.05271760608684</v>
      </c>
      <c r="P72" s="3103">
        <f t="shared" si="44"/>
        <v>148.91233423532347</v>
      </c>
      <c r="Q72" s="3103">
        <f t="shared" si="45"/>
        <v>145.02433519786382</v>
      </c>
      <c r="R72" s="3103">
        <f t="shared" si="45"/>
        <v>141.48874379653623</v>
      </c>
      <c r="S72" s="3103">
        <f t="shared" si="45"/>
        <v>141.02265740872602</v>
      </c>
      <c r="T72" s="3103">
        <f t="shared" si="45"/>
        <v>139.18370386921387</v>
      </c>
    </row>
    <row r="73" spans="2:20">
      <c r="B73" s="3102"/>
      <c r="C73" t="s">
        <v>1091</v>
      </c>
      <c r="E73" s="1444">
        <f t="shared" ref="E73:N73" si="48">100*E35/E$6</f>
        <v>206.58866943017443</v>
      </c>
      <c r="F73" s="1444">
        <f t="shared" si="48"/>
        <v>204.15664342656342</v>
      </c>
      <c r="G73" s="1444">
        <f t="shared" si="48"/>
        <v>208.38888728906295</v>
      </c>
      <c r="H73" s="1444">
        <f t="shared" si="48"/>
        <v>221.74948403638177</v>
      </c>
      <c r="I73" s="1444">
        <f t="shared" si="48"/>
        <v>273.2099027013644</v>
      </c>
      <c r="J73" s="1444">
        <f t="shared" si="48"/>
        <v>316.0462274878131</v>
      </c>
      <c r="K73" s="1444">
        <f t="shared" si="48"/>
        <v>346.45366186581163</v>
      </c>
      <c r="L73" s="1444">
        <f t="shared" si="48"/>
        <v>312.26943860280124</v>
      </c>
      <c r="M73" s="3103">
        <f t="shared" si="48"/>
        <v>381.99702095651651</v>
      </c>
      <c r="N73" s="3103">
        <f t="shared" si="48"/>
        <v>381.2775308391781</v>
      </c>
      <c r="O73" s="3103">
        <f t="shared" ref="O73:P75" si="49">100*O35/O$6</f>
        <v>351.12974063894467</v>
      </c>
      <c r="P73" s="3103">
        <f t="shared" si="49"/>
        <v>335.84739094555431</v>
      </c>
      <c r="Q73" s="3103">
        <f t="shared" ref="Q73:T75" si="50">100*Q35/Q$6</f>
        <v>326.09022115496003</v>
      </c>
      <c r="R73" s="3103">
        <f t="shared" si="50"/>
        <v>317.2148102125667</v>
      </c>
      <c r="S73" s="3103">
        <f t="shared" si="50"/>
        <v>315.28369788233556</v>
      </c>
      <c r="T73" s="3103">
        <f t="shared" si="50"/>
        <v>310.33155823682023</v>
      </c>
    </row>
    <row r="74" spans="2:20">
      <c r="B74" s="3102"/>
      <c r="C74" t="s">
        <v>154</v>
      </c>
      <c r="E74" s="1444">
        <f t="shared" ref="E74:N74" si="51">100*E36/E$6</f>
        <v>75.113001355452667</v>
      </c>
      <c r="F74" s="1444">
        <f t="shared" si="51"/>
        <v>86.723145445683073</v>
      </c>
      <c r="G74" s="1444">
        <f t="shared" si="51"/>
        <v>82.187517998041827</v>
      </c>
      <c r="H74" s="1444">
        <f t="shared" si="51"/>
        <v>88.786098262282792</v>
      </c>
      <c r="I74" s="1444">
        <f t="shared" si="51"/>
        <v>113.7767440310251</v>
      </c>
      <c r="J74" s="1444">
        <f t="shared" si="51"/>
        <v>120.12306897494018</v>
      </c>
      <c r="K74" s="1444">
        <f t="shared" si="51"/>
        <v>122.25593357726717</v>
      </c>
      <c r="L74" s="1444">
        <f t="shared" si="51"/>
        <v>97.054710811138136</v>
      </c>
      <c r="M74" s="3103">
        <f t="shared" si="51"/>
        <v>122.5561188082935</v>
      </c>
      <c r="N74" s="3103">
        <f t="shared" si="51"/>
        <v>126.84986902224445</v>
      </c>
      <c r="O74" s="3103">
        <f t="shared" si="49"/>
        <v>118.81550692367017</v>
      </c>
      <c r="P74" s="3103">
        <f t="shared" si="49"/>
        <v>113.94822192795593</v>
      </c>
      <c r="Q74" s="3103">
        <f t="shared" si="50"/>
        <v>111.5571809214337</v>
      </c>
      <c r="R74" s="3103">
        <f t="shared" si="50"/>
        <v>109.38441731467817</v>
      </c>
      <c r="S74" s="3103">
        <f t="shared" si="50"/>
        <v>109.54772553538778</v>
      </c>
      <c r="T74" s="3103">
        <f t="shared" si="50"/>
        <v>108.61604538288707</v>
      </c>
    </row>
    <row r="75" spans="2:20">
      <c r="B75" s="3102"/>
      <c r="C75" t="s">
        <v>1088</v>
      </c>
      <c r="E75" s="1444">
        <f t="shared" ref="E75:N75" si="52">100*E37/E$6</f>
        <v>131.4756680747218</v>
      </c>
      <c r="F75" s="1444">
        <f t="shared" si="52"/>
        <v>117.43349798088036</v>
      </c>
      <c r="G75" s="1444">
        <f t="shared" si="52"/>
        <v>126.20136929102112</v>
      </c>
      <c r="H75" s="1444">
        <f t="shared" si="52"/>
        <v>132.96338577409895</v>
      </c>
      <c r="I75" s="1444">
        <f t="shared" si="52"/>
        <v>159.43315867033922</v>
      </c>
      <c r="J75" s="1444">
        <f t="shared" si="52"/>
        <v>195.9231585128729</v>
      </c>
      <c r="K75" s="1444">
        <f t="shared" si="52"/>
        <v>224.19772828854443</v>
      </c>
      <c r="L75" s="1444">
        <f t="shared" si="52"/>
        <v>215.21472779166314</v>
      </c>
      <c r="M75" s="3103">
        <f t="shared" si="52"/>
        <v>259.44090214822302</v>
      </c>
      <c r="N75" s="3103">
        <f t="shared" si="52"/>
        <v>254.42766181693369</v>
      </c>
      <c r="O75" s="3103">
        <f t="shared" si="49"/>
        <v>232.31423371527453</v>
      </c>
      <c r="P75" s="3103">
        <f t="shared" si="49"/>
        <v>221.89916901759838</v>
      </c>
      <c r="Q75" s="3103">
        <f t="shared" si="50"/>
        <v>214.53304023352635</v>
      </c>
      <c r="R75" s="3103">
        <f t="shared" si="50"/>
        <v>207.83039289788854</v>
      </c>
      <c r="S75" s="3103">
        <f t="shared" si="50"/>
        <v>205.73597234694779</v>
      </c>
      <c r="T75" s="3103">
        <f t="shared" si="50"/>
        <v>201.71551285393315</v>
      </c>
    </row>
    <row r="76" spans="2:20">
      <c r="B76" s="3102"/>
      <c r="C76" t="s">
        <v>1095</v>
      </c>
      <c r="E76">
        <f t="shared" ref="E76:N76" si="53">100*E40/E$6</f>
        <v>0</v>
      </c>
      <c r="F76">
        <f t="shared" si="53"/>
        <v>0</v>
      </c>
      <c r="G76">
        <f t="shared" si="53"/>
        <v>0</v>
      </c>
      <c r="H76" s="1444">
        <f t="shared" si="53"/>
        <v>118.73106945385717</v>
      </c>
      <c r="I76" s="1444">
        <f t="shared" si="53"/>
        <v>146.71367727897115</v>
      </c>
      <c r="J76" s="1444">
        <f t="shared" si="53"/>
        <v>169.03918655037251</v>
      </c>
      <c r="K76" s="1444">
        <f t="shared" si="53"/>
        <v>190.64573601288677</v>
      </c>
      <c r="L76" s="1444">
        <f t="shared" si="53"/>
        <v>176.52124339527305</v>
      </c>
      <c r="M76" s="3103">
        <f t="shared" si="53"/>
        <v>200.07573839364809</v>
      </c>
      <c r="N76" s="3103">
        <f t="shared" si="53"/>
        <v>189.65425583156065</v>
      </c>
      <c r="O76" s="3103">
        <f t="shared" ref="O76:P78" si="54">100*O40/O$6</f>
        <v>176.89002062968501</v>
      </c>
      <c r="P76" s="3103">
        <f t="shared" ca="1" si="54"/>
        <v>164.0703564300382</v>
      </c>
      <c r="Q76" s="3103">
        <f t="shared" ref="Q76:T78" ca="1" si="55">100*Q40/Q$6</f>
        <v>152.09497234669112</v>
      </c>
      <c r="R76" s="3103">
        <f t="shared" ca="1" si="55"/>
        <v>138.88291647526552</v>
      </c>
      <c r="S76" s="3103">
        <f t="shared" ca="1" si="55"/>
        <v>133.87674570689063</v>
      </c>
      <c r="T76" s="3103">
        <f t="shared" ca="1" si="55"/>
        <v>130.67687044175446</v>
      </c>
    </row>
    <row r="77" spans="2:20">
      <c r="B77" s="3102"/>
      <c r="C77" t="s">
        <v>154</v>
      </c>
      <c r="E77">
        <f t="shared" ref="E77:N77" si="56">100*E41/E$6</f>
        <v>0</v>
      </c>
      <c r="F77">
        <f t="shared" si="56"/>
        <v>0</v>
      </c>
      <c r="G77">
        <f t="shared" si="56"/>
        <v>0</v>
      </c>
      <c r="H77" s="1444">
        <f t="shared" si="56"/>
        <v>82.90997997556714</v>
      </c>
      <c r="I77" s="1444">
        <f t="shared" si="56"/>
        <v>103.78471932902748</v>
      </c>
      <c r="J77" s="1444">
        <f t="shared" si="56"/>
        <v>108.7472247809103</v>
      </c>
      <c r="K77" s="1444">
        <f t="shared" si="56"/>
        <v>109.50863375694628</v>
      </c>
      <c r="L77" s="1444">
        <f t="shared" si="56"/>
        <v>82.137845650942552</v>
      </c>
      <c r="M77" s="3103">
        <f t="shared" si="56"/>
        <v>102.07827637236856</v>
      </c>
      <c r="N77" s="3103">
        <f t="shared" si="56"/>
        <v>107.49513159500292</v>
      </c>
      <c r="O77" s="3103">
        <f t="shared" si="54"/>
        <v>101.62850452049732</v>
      </c>
      <c r="P77" s="3103">
        <f t="shared" si="54"/>
        <v>97.935498109658951</v>
      </c>
      <c r="Q77" s="3103">
        <f t="shared" si="55"/>
        <v>96.396846078264517</v>
      </c>
      <c r="R77" s="3103">
        <f t="shared" si="55"/>
        <v>95.000366437798007</v>
      </c>
      <c r="S77" s="3103">
        <f t="shared" si="55"/>
        <v>95.600429747711573</v>
      </c>
      <c r="T77" s="3103">
        <f t="shared" si="55"/>
        <v>95.220066452330997</v>
      </c>
    </row>
    <row r="78" spans="2:20">
      <c r="B78" s="3104"/>
      <c r="C78" s="1078" t="s">
        <v>1088</v>
      </c>
      <c r="D78" s="1085"/>
      <c r="E78" s="1085">
        <f t="shared" ref="E78:N78" si="57">100*E42/E$6</f>
        <v>0</v>
      </c>
      <c r="F78" s="1085">
        <f t="shared" si="57"/>
        <v>0</v>
      </c>
      <c r="G78" s="1085">
        <f t="shared" si="57"/>
        <v>0</v>
      </c>
      <c r="H78" s="1085">
        <f t="shared" si="57"/>
        <v>35.82108947829007</v>
      </c>
      <c r="I78" s="1085">
        <f t="shared" si="57"/>
        <v>42.928957949943658</v>
      </c>
      <c r="J78" s="1085">
        <f t="shared" si="57"/>
        <v>60.291961769462205</v>
      </c>
      <c r="K78" s="1085">
        <f t="shared" si="57"/>
        <v>81.137102255940505</v>
      </c>
      <c r="L78" s="1085">
        <f t="shared" si="57"/>
        <v>94.383397744330537</v>
      </c>
      <c r="M78" s="3105">
        <f t="shared" si="57"/>
        <v>97.99746202127956</v>
      </c>
      <c r="N78" s="3105">
        <f t="shared" si="57"/>
        <v>82.15912423655773</v>
      </c>
      <c r="O78" s="3105">
        <f t="shared" si="54"/>
        <v>75.261516109187696</v>
      </c>
      <c r="P78" s="3105">
        <f t="shared" si="54"/>
        <v>72.98683478227494</v>
      </c>
      <c r="Q78" s="3105">
        <f t="shared" si="55"/>
        <v>69.508705035662516</v>
      </c>
      <c r="R78" s="3105">
        <f t="shared" si="55"/>
        <v>66.341649101352317</v>
      </c>
      <c r="S78" s="3105">
        <f t="shared" si="55"/>
        <v>64.713314938221757</v>
      </c>
      <c r="T78" s="3105">
        <f t="shared" si="55"/>
        <v>62.53180898471927</v>
      </c>
    </row>
    <row r="80" spans="2:20">
      <c r="B80" s="3100" t="s">
        <v>286</v>
      </c>
      <c r="C80" s="3100" t="s">
        <v>328</v>
      </c>
      <c r="D80" s="3100"/>
      <c r="E80" s="3100"/>
      <c r="F80" s="3100"/>
      <c r="G80" s="3100"/>
      <c r="H80" s="3100"/>
      <c r="I80" s="3100"/>
      <c r="J80" s="3100"/>
      <c r="K80" s="3100"/>
      <c r="L80" s="3100"/>
      <c r="M80" s="3100"/>
      <c r="N80" s="3100"/>
      <c r="O80" s="3100"/>
      <c r="P80" s="3100"/>
      <c r="Q80" s="3100"/>
      <c r="R80" s="3100"/>
      <c r="S80" s="3100"/>
      <c r="T80" s="3100"/>
    </row>
    <row r="81" spans="2:20">
      <c r="B81" s="3100"/>
      <c r="C81" s="3100"/>
      <c r="D81" s="3100">
        <v>2000</v>
      </c>
      <c r="E81" s="3100">
        <v>2001</v>
      </c>
      <c r="F81" s="3100">
        <v>2002</v>
      </c>
      <c r="G81" s="3100">
        <v>2003</v>
      </c>
      <c r="H81" s="3100">
        <v>2004</v>
      </c>
      <c r="I81" s="3100">
        <v>2005</v>
      </c>
      <c r="J81" s="3100">
        <v>2006</v>
      </c>
      <c r="K81" s="3100">
        <v>2007</v>
      </c>
      <c r="L81" s="3100">
        <v>2008</v>
      </c>
      <c r="M81" s="3100">
        <v>2009</v>
      </c>
      <c r="N81" s="3100">
        <v>2010</v>
      </c>
      <c r="O81" s="3100">
        <v>2011</v>
      </c>
      <c r="P81" s="3100">
        <v>2012</v>
      </c>
      <c r="Q81" s="3100">
        <v>2013</v>
      </c>
      <c r="R81" s="3100">
        <v>2014</v>
      </c>
      <c r="S81" s="3100">
        <v>2015</v>
      </c>
      <c r="T81" s="3100">
        <v>2016</v>
      </c>
    </row>
    <row r="82" spans="2:20">
      <c r="B82" s="3102"/>
      <c r="C82" t="s">
        <v>1346</v>
      </c>
      <c r="D82" s="1444" t="e">
        <f t="shared" ref="D82:N82" ca="1" si="58">100*D60/D6</f>
        <v>#VALUE!</v>
      </c>
      <c r="E82" s="1444" t="e">
        <f t="shared" ca="1" si="58"/>
        <v>#VALUE!</v>
      </c>
      <c r="F82" s="1444" t="e">
        <f t="shared" ca="1" si="58"/>
        <v>#VALUE!</v>
      </c>
      <c r="G82" s="1444" t="e">
        <f t="shared" ca="1" si="58"/>
        <v>#VALUE!</v>
      </c>
      <c r="H82" s="1444" t="e">
        <f t="shared" ca="1" si="58"/>
        <v>#VALUE!</v>
      </c>
      <c r="I82" s="1444" t="e">
        <f t="shared" ca="1" si="58"/>
        <v>#VALUE!</v>
      </c>
      <c r="J82" s="1444" t="e">
        <f t="shared" ca="1" si="58"/>
        <v>#VALUE!</v>
      </c>
      <c r="K82" s="1444" t="e">
        <f t="shared" ca="1" si="58"/>
        <v>#VALUE!</v>
      </c>
      <c r="L82" s="1444">
        <f t="shared" ca="1" si="58"/>
        <v>7.2954782623589001</v>
      </c>
      <c r="M82" s="1444">
        <f t="shared" ca="1" si="58"/>
        <v>-5.3375890390208651</v>
      </c>
      <c r="N82" s="1444">
        <f t="shared" ca="1" si="58"/>
        <v>-6.7026287603032175</v>
      </c>
      <c r="O82" s="1444">
        <f t="shared" ref="O82:T82" ca="1" si="59">100*O60/O6</f>
        <v>-4.2274547470657353</v>
      </c>
      <c r="P82" s="1444">
        <f t="shared" ca="1" si="59"/>
        <v>-5.862186222580462</v>
      </c>
      <c r="Q82" s="1444">
        <f t="shared" ca="1" si="59"/>
        <v>-8.0781701189800188</v>
      </c>
      <c r="R82" s="1444">
        <f t="shared" ca="1" si="59"/>
        <v>-8.6325532159532017</v>
      </c>
      <c r="S82" s="1444">
        <f t="shared" ca="1" si="59"/>
        <v>-6.8201909615418579</v>
      </c>
      <c r="T82" s="1444">
        <f t="shared" ca="1" si="59"/>
        <v>-3.6877140460373607</v>
      </c>
    </row>
    <row r="83" spans="2:20">
      <c r="B83" s="3102"/>
      <c r="C83" t="s">
        <v>697</v>
      </c>
      <c r="I83" s="1444" t="e">
        <f t="shared" ref="I83:Q83" ca="1" si="60">I87-I82</f>
        <v>#VALUE!</v>
      </c>
      <c r="J83" s="1444" t="e">
        <f t="shared" ca="1" si="60"/>
        <v>#VALUE!</v>
      </c>
      <c r="K83" s="1444" t="e">
        <f t="shared" ca="1" si="60"/>
        <v>#VALUE!</v>
      </c>
      <c r="L83" s="1444">
        <f t="shared" ca="1" si="60"/>
        <v>-17.177133468499477</v>
      </c>
      <c r="M83" s="1444">
        <f t="shared" ca="1" si="60"/>
        <v>36.856384522789881</v>
      </c>
      <c r="N83" s="1444">
        <f t="shared" ca="1" si="60"/>
        <v>-4.2832962133162527</v>
      </c>
      <c r="O83" s="1444">
        <f t="shared" ca="1" si="60"/>
        <v>-14.632385551736196</v>
      </c>
      <c r="P83" s="1444">
        <f t="shared" ca="1" si="60"/>
        <v>-6.9574779770663469</v>
      </c>
      <c r="Q83" s="1444">
        <f t="shared" ca="1" si="60"/>
        <v>-3.8972139643670616</v>
      </c>
      <c r="R83" s="1444">
        <f ca="1">R87-R82</f>
        <v>-4.5795026554724032</v>
      </c>
      <c r="S83" s="1444">
        <f ca="1">S87-S82</f>
        <v>1.8140201931669715</v>
      </c>
      <c r="T83" s="1444">
        <f ca="1">T87-T82</f>
        <v>0.48783878090118948</v>
      </c>
    </row>
    <row r="84" spans="2:20">
      <c r="B84" s="3102"/>
      <c r="C84" t="s">
        <v>1347</v>
      </c>
      <c r="H84" s="1444"/>
      <c r="I84" s="1444">
        <f t="shared" ref="I84:N84" si="61">H$76*((I$51/100)/(1+I$8/100+I$9/100+I$8*I$9/10000))</f>
        <v>3.171073713179716</v>
      </c>
      <c r="J84" s="1444">
        <f t="shared" si="61"/>
        <v>3.5092557138573643</v>
      </c>
      <c r="K84" s="1444">
        <f t="shared" si="61"/>
        <v>4.7071932938163243</v>
      </c>
      <c r="L84" s="1444">
        <f t="shared" si="61"/>
        <v>4.1380854335722592</v>
      </c>
      <c r="M84" s="1444">
        <f t="shared" si="61"/>
        <v>-0.90217792433734467</v>
      </c>
      <c r="N84" s="1444">
        <f t="shared" si="61"/>
        <v>3.5179533360972699</v>
      </c>
      <c r="O84" s="1444">
        <f t="shared" ref="O84:T84" si="62">N$76*((O$51/100)/(1+O$8/100+O$9/100+O$8*O$9/10000))</f>
        <v>5.0614989710736777</v>
      </c>
      <c r="P84" s="1444">
        <f t="shared" si="62"/>
        <v>4.0391646036041209</v>
      </c>
      <c r="Q84" s="1444">
        <f t="shared" ca="1" si="62"/>
        <v>3.6642243271886299</v>
      </c>
      <c r="R84" s="1444">
        <f t="shared" ca="1" si="62"/>
        <v>2.1111192541732891</v>
      </c>
      <c r="S84" s="1444">
        <f t="shared" ca="1" si="62"/>
        <v>4.9991169384563543</v>
      </c>
      <c r="T84" s="1444">
        <f t="shared" ca="1" si="62"/>
        <v>4.7868642858029515</v>
      </c>
    </row>
    <row r="85" spans="2:20">
      <c r="B85" s="3102"/>
      <c r="C85" t="s">
        <v>329</v>
      </c>
      <c r="H85" s="1444"/>
      <c r="I85" s="1444">
        <f t="shared" ref="I85:N85" si="63">H$76*(-(I$8/100)/(1+I$8/100+I$9/100+I$8*I$9/10000))</f>
        <v>-7.9670898743911627</v>
      </c>
      <c r="J85" s="1444">
        <f t="shared" si="63"/>
        <v>-9.4777866158167505</v>
      </c>
      <c r="K85" s="1444">
        <f t="shared" si="63"/>
        <v>-15.539433972349316</v>
      </c>
      <c r="L85" s="1444">
        <f t="shared" si="63"/>
        <v>-4.4501454459944041</v>
      </c>
      <c r="M85" s="1444">
        <f t="shared" si="63"/>
        <v>31.74378103458071</v>
      </c>
      <c r="N85" s="1444">
        <f t="shared" si="63"/>
        <v>-3.1529689651880481</v>
      </c>
      <c r="O85" s="1444">
        <f t="shared" ref="O85:T85" si="64">N$76*(-(O$8/100)/(1+O$8/100+O$9/100+O$8*O$9/10000))</f>
        <v>-10.27093874066534</v>
      </c>
      <c r="P85" s="1444">
        <f t="shared" si="64"/>
        <v>-6.3486370956327605</v>
      </c>
      <c r="Q85" s="1444">
        <f t="shared" ca="1" si="64"/>
        <v>-5.4755853738028391</v>
      </c>
      <c r="R85" s="1444">
        <f t="shared" ca="1" si="64"/>
        <v>-5.1438033261255942</v>
      </c>
      <c r="S85" s="1444">
        <f t="shared" ca="1" si="64"/>
        <v>-2.7609996295219141</v>
      </c>
      <c r="T85" s="1444">
        <f t="shared" ca="1" si="64"/>
        <v>-3.0384458507054037</v>
      </c>
    </row>
    <row r="86" spans="2:20">
      <c r="B86" s="3102"/>
      <c r="C86" t="s">
        <v>330</v>
      </c>
      <c r="H86" s="1444"/>
      <c r="I86" s="1444" t="e">
        <f t="shared" ref="I86:Q86" ca="1" si="65">I83-I84-I85</f>
        <v>#VALUE!</v>
      </c>
      <c r="J86" s="1444" t="e">
        <f t="shared" ca="1" si="65"/>
        <v>#VALUE!</v>
      </c>
      <c r="K86" s="1444" t="e">
        <f t="shared" ca="1" si="65"/>
        <v>#VALUE!</v>
      </c>
      <c r="L86" s="1444">
        <f t="shared" ca="1" si="65"/>
        <v>-16.865073456077329</v>
      </c>
      <c r="M86" s="1444">
        <f t="shared" ca="1" si="65"/>
        <v>6.0147814125465153</v>
      </c>
      <c r="N86" s="1444">
        <f t="shared" ca="1" si="65"/>
        <v>-4.6482805842254749</v>
      </c>
      <c r="O86" s="1444">
        <f t="shared" ca="1" si="65"/>
        <v>-9.4229457821445344</v>
      </c>
      <c r="P86" s="1444">
        <f t="shared" ca="1" si="65"/>
        <v>-4.6480054850377073</v>
      </c>
      <c r="Q86" s="1444">
        <f t="shared" ca="1" si="65"/>
        <v>-2.0858529177528524</v>
      </c>
      <c r="R86" s="1444">
        <f ca="1">R83-R84-R85</f>
        <v>-1.546818583520098</v>
      </c>
      <c r="S86" s="1444">
        <f ca="1">S83-S84-S85</f>
        <v>-0.42409711576746867</v>
      </c>
      <c r="T86" s="1444">
        <f ca="1">T83-T84-T85</f>
        <v>-1.2605796541963579</v>
      </c>
    </row>
    <row r="87" spans="2:20">
      <c r="B87" s="3102"/>
      <c r="C87" t="s">
        <v>1349</v>
      </c>
      <c r="H87" s="1444"/>
      <c r="I87" s="1444" t="e">
        <f t="shared" ref="I87:N87" ca="1" si="66">I89-I88</f>
        <v>#VALUE!</v>
      </c>
      <c r="J87" s="1444" t="e">
        <f t="shared" ca="1" si="66"/>
        <v>#VALUE!</v>
      </c>
      <c r="K87" s="1444" t="e">
        <f t="shared" ca="1" si="66"/>
        <v>#VALUE!</v>
      </c>
      <c r="L87" s="1444">
        <f t="shared" ca="1" si="66"/>
        <v>-9.8816552061405787</v>
      </c>
      <c r="M87" s="1444">
        <f t="shared" ca="1" si="66"/>
        <v>31.518795483769019</v>
      </c>
      <c r="N87" s="1444">
        <f t="shared" ca="1" si="66"/>
        <v>-10.98592497361947</v>
      </c>
      <c r="O87" s="1444">
        <f t="shared" ref="O87:T87" ca="1" si="67">O89-O88</f>
        <v>-18.859840298801931</v>
      </c>
      <c r="P87" s="1444">
        <f t="shared" ca="1" si="67"/>
        <v>-12.819664199646809</v>
      </c>
      <c r="Q87" s="1444">
        <f t="shared" ca="1" si="67"/>
        <v>-11.97538408334708</v>
      </c>
      <c r="R87" s="1444">
        <f t="shared" ca="1" si="67"/>
        <v>-13.212055871425605</v>
      </c>
      <c r="S87" s="1444">
        <f t="shared" ca="1" si="67"/>
        <v>-5.0061707683748864</v>
      </c>
      <c r="T87" s="1444">
        <f t="shared" ca="1" si="67"/>
        <v>-3.1998752651361713</v>
      </c>
    </row>
    <row r="88" spans="2:20">
      <c r="B88" s="3102"/>
      <c r="C88" t="s">
        <v>1350</v>
      </c>
      <c r="H88" s="1444"/>
      <c r="I88" s="1444" t="e">
        <f t="shared" ref="I88:N88" ca="1" si="68">100*I65/I6</f>
        <v>#VALUE!</v>
      </c>
      <c r="J88" s="1444" t="e">
        <f t="shared" ca="1" si="68"/>
        <v>#VALUE!</v>
      </c>
      <c r="K88" s="1444" t="e">
        <f t="shared" ca="1" si="68"/>
        <v>#VALUE!</v>
      </c>
      <c r="L88" s="1444">
        <f t="shared" ca="1" si="68"/>
        <v>-4.2428374114731469</v>
      </c>
      <c r="M88" s="1444">
        <f t="shared" ca="1" si="68"/>
        <v>-7.9643004853939718</v>
      </c>
      <c r="N88" s="1444">
        <f t="shared" ca="1" si="68"/>
        <v>0.56444241153202279</v>
      </c>
      <c r="O88" s="1444">
        <f t="shared" ref="O88:T88" ca="1" si="69">100*O65/O6</f>
        <v>6.0956050969262945</v>
      </c>
      <c r="P88" s="1444">
        <f t="shared" si="69"/>
        <v>0</v>
      </c>
      <c r="Q88" s="1444">
        <f t="shared" si="69"/>
        <v>0</v>
      </c>
      <c r="R88" s="1444">
        <f t="shared" si="69"/>
        <v>0</v>
      </c>
      <c r="S88" s="1444">
        <f t="shared" si="69"/>
        <v>0</v>
      </c>
      <c r="T88" s="1444">
        <f t="shared" si="69"/>
        <v>0</v>
      </c>
    </row>
    <row r="89" spans="2:20">
      <c r="B89" s="3104"/>
      <c r="C89" s="1078" t="s">
        <v>331</v>
      </c>
      <c r="D89" s="1085"/>
      <c r="E89" s="1085"/>
      <c r="F89" s="1085"/>
      <c r="G89" s="1085"/>
      <c r="H89" s="1085"/>
      <c r="I89" s="1085">
        <f t="shared" ref="I89:Q89" si="70">I76-H76</f>
        <v>27.982607825113973</v>
      </c>
      <c r="J89" s="1085">
        <f t="shared" si="70"/>
        <v>22.325509271401359</v>
      </c>
      <c r="K89" s="1085">
        <f t="shared" si="70"/>
        <v>21.606549462514266</v>
      </c>
      <c r="L89" s="1085">
        <f t="shared" si="70"/>
        <v>-14.124492617613726</v>
      </c>
      <c r="M89" s="1085">
        <f t="shared" si="70"/>
        <v>23.554494998375048</v>
      </c>
      <c r="N89" s="1085">
        <f t="shared" si="70"/>
        <v>-10.421482562087448</v>
      </c>
      <c r="O89" s="1085">
        <f t="shared" si="70"/>
        <v>-12.764235201875636</v>
      </c>
      <c r="P89" s="1085">
        <f t="shared" ca="1" si="70"/>
        <v>-12.819664199646809</v>
      </c>
      <c r="Q89" s="1085">
        <f t="shared" ca="1" si="70"/>
        <v>-11.97538408334708</v>
      </c>
      <c r="R89" s="1085">
        <f ca="1">R76-Q76</f>
        <v>-13.212055871425605</v>
      </c>
      <c r="S89" s="1085">
        <f ca="1">S76-R76</f>
        <v>-5.0061707683748864</v>
      </c>
      <c r="T89" s="1085">
        <f ca="1">T76-S76</f>
        <v>-3.1998752651361713</v>
      </c>
    </row>
  </sheetData>
  <phoneticPr fontId="60" type="noConversion"/>
  <pageMargins left="0.75" right="0.75" top="1" bottom="1" header="0.5" footer="0.5"/>
  <pageSetup paperSize="9" orientation="portrait" verticalDpi="599" r:id="rId1"/>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enableFormatConditionsCalculation="0">
    <tabColor indexed="43"/>
    <pageSetUpPr fitToPage="1"/>
  </sheetPr>
  <dimension ref="A1:DO1162"/>
  <sheetViews>
    <sheetView showGridLines="0" zoomScaleNormal="100" workbookViewId="0">
      <selection activeCell="AB209" sqref="AB209"/>
    </sheetView>
  </sheetViews>
  <sheetFormatPr defaultRowHeight="12.75"/>
  <cols>
    <col min="1" max="2" width="3.7109375" style="665" customWidth="1"/>
    <col min="3" max="4" width="3.7109375" style="670" customWidth="1"/>
    <col min="5" max="5" width="44.85546875" style="217" customWidth="1"/>
    <col min="6" max="6" width="11.85546875" style="694" customWidth="1"/>
    <col min="7" max="15" width="9.28515625" style="217" hidden="1" customWidth="1"/>
    <col min="16" max="16" width="9.28515625" style="599" customWidth="1"/>
    <col min="17" max="17" width="9.28515625" style="1287" customWidth="1"/>
    <col min="18" max="18" width="9.28515625" style="3486" customWidth="1"/>
    <col min="19" max="20" width="9.140625" style="3486" customWidth="1"/>
    <col min="21" max="21" width="10.140625" style="3486" customWidth="1"/>
    <col min="22" max="22" width="10.5703125" style="3486" customWidth="1"/>
    <col min="23" max="23" width="9.140625" style="3486" customWidth="1"/>
    <col min="24" max="26" width="9.140625" style="3486"/>
    <col min="27" max="27" width="10.28515625" style="3486" bestFit="1" customWidth="1"/>
    <col min="28" max="28" width="9.140625" style="3487"/>
    <col min="29" max="31" width="9.5703125" style="3487" bestFit="1" customWidth="1"/>
    <col min="120" max="16384" width="9.140625" style="217"/>
  </cols>
  <sheetData>
    <row r="1" spans="1:119">
      <c r="AB1" s="3486"/>
    </row>
    <row r="2" spans="1:119" ht="22.5" customHeight="1">
      <c r="C2" s="3752" t="s">
        <v>714</v>
      </c>
      <c r="D2" s="3752"/>
      <c r="E2" s="3752"/>
      <c r="F2" s="3752"/>
      <c r="S2" s="2930"/>
      <c r="T2" s="2930"/>
      <c r="U2" s="2930"/>
      <c r="V2" s="2930"/>
      <c r="W2" s="2930"/>
      <c r="X2" s="3228"/>
      <c r="Y2" s="2930"/>
      <c r="Z2" s="2942"/>
      <c r="AA2" s="2930"/>
    </row>
    <row r="3" spans="1:119">
      <c r="I3" s="1692"/>
      <c r="J3" s="1692"/>
      <c r="K3" s="1692"/>
      <c r="L3" s="1692"/>
      <c r="M3" s="1692"/>
      <c r="N3" s="1692"/>
      <c r="O3" s="1692"/>
      <c r="P3" s="3488"/>
      <c r="Q3" s="3488"/>
      <c r="R3" s="3488"/>
      <c r="S3" s="3488"/>
      <c r="T3" s="3489"/>
      <c r="U3" s="3489"/>
      <c r="V3" s="3489"/>
      <c r="W3" s="3489"/>
      <c r="X3" s="3489"/>
      <c r="Y3" s="3489"/>
      <c r="Z3" s="3489"/>
      <c r="AB3" s="3666"/>
      <c r="AC3" s="3489"/>
      <c r="AD3" s="3489"/>
      <c r="AE3" s="3489"/>
    </row>
    <row r="4" spans="1:119" s="699" customFormat="1" ht="12.75" customHeight="1">
      <c r="A4" s="664"/>
      <c r="B4" s="664"/>
      <c r="C4" s="666"/>
      <c r="D4" s="695"/>
      <c r="E4" s="696" t="s">
        <v>969</v>
      </c>
      <c r="F4" s="697"/>
      <c r="G4" s="698">
        <f>+InputY!$G$3</f>
        <v>1995</v>
      </c>
      <c r="H4" s="698">
        <f>+G4+1</f>
        <v>1996</v>
      </c>
      <c r="I4" s="698">
        <f t="shared" ref="I4:O4" si="0">+H4+1</f>
        <v>1997</v>
      </c>
      <c r="J4" s="698">
        <f t="shared" si="0"/>
        <v>1998</v>
      </c>
      <c r="K4" s="698">
        <f t="shared" si="0"/>
        <v>1999</v>
      </c>
      <c r="L4" s="698">
        <f t="shared" si="0"/>
        <v>2000</v>
      </c>
      <c r="M4" s="698">
        <f t="shared" si="0"/>
        <v>2001</v>
      </c>
      <c r="N4" s="698">
        <f t="shared" si="0"/>
        <v>2002</v>
      </c>
      <c r="O4" s="698">
        <f t="shared" si="0"/>
        <v>2003</v>
      </c>
      <c r="P4" s="3490">
        <f t="shared" ref="P4:W4" si="1">+O4+1</f>
        <v>2004</v>
      </c>
      <c r="Q4" s="3490">
        <f t="shared" si="1"/>
        <v>2005</v>
      </c>
      <c r="R4" s="3490">
        <f t="shared" si="1"/>
        <v>2006</v>
      </c>
      <c r="S4" s="3490">
        <f t="shared" si="1"/>
        <v>2007</v>
      </c>
      <c r="T4" s="3491">
        <f t="shared" si="1"/>
        <v>2008</v>
      </c>
      <c r="U4" s="3491">
        <f t="shared" si="1"/>
        <v>2009</v>
      </c>
      <c r="V4" s="3491">
        <f t="shared" si="1"/>
        <v>2010</v>
      </c>
      <c r="W4" s="3491">
        <f t="shared" si="1"/>
        <v>2011</v>
      </c>
      <c r="X4" s="3491">
        <f t="shared" ref="X4:AE4" si="2">+W4+1</f>
        <v>2012</v>
      </c>
      <c r="Y4" s="3491">
        <f t="shared" si="2"/>
        <v>2013</v>
      </c>
      <c r="Z4" s="3491">
        <f t="shared" si="2"/>
        <v>2014</v>
      </c>
      <c r="AA4" s="3491">
        <f t="shared" si="2"/>
        <v>2015</v>
      </c>
      <c r="AB4" s="3491">
        <f t="shared" si="2"/>
        <v>2016</v>
      </c>
      <c r="AC4" s="3491">
        <f t="shared" si="2"/>
        <v>2017</v>
      </c>
      <c r="AD4" s="3491">
        <f t="shared" si="2"/>
        <v>2018</v>
      </c>
      <c r="AE4" s="3491">
        <f t="shared" si="2"/>
        <v>2019</v>
      </c>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row>
    <row r="5" spans="1:119" s="699" customFormat="1" ht="12.75" customHeight="1">
      <c r="A5" s="3219">
        <f>+ROW(InputY!A4)</f>
        <v>4</v>
      </c>
      <c r="B5" s="3219">
        <v>75</v>
      </c>
      <c r="C5" s="667" t="s">
        <v>1767</v>
      </c>
      <c r="D5" s="668"/>
      <c r="E5" s="700" t="s">
        <v>1150</v>
      </c>
      <c r="F5" s="701" t="str">
        <f>+InputY!B4</f>
        <v>Lpop</v>
      </c>
      <c r="G5" s="702">
        <f>+InputY!G4</f>
        <v>3629.1015000000002</v>
      </c>
      <c r="H5" s="702">
        <f>+InputY!H4</f>
        <v>3601.6125000000002</v>
      </c>
      <c r="I5" s="702">
        <f>+InputY!I4</f>
        <v>3575.1370000000002</v>
      </c>
      <c r="J5" s="702">
        <f>+InputY!J4</f>
        <v>3549.3310000000001</v>
      </c>
      <c r="K5" s="702">
        <f>+InputY!K4</f>
        <v>3524.2375000000002</v>
      </c>
      <c r="L5" s="702">
        <f>+InputY!L4</f>
        <v>3499.5360000000001</v>
      </c>
      <c r="M5" s="702">
        <f>+InputY!M4</f>
        <v>3470.8175000000001</v>
      </c>
      <c r="N5" s="702">
        <f>+InputY!N4</f>
        <v>3443.067</v>
      </c>
      <c r="O5" s="702">
        <f>+InputY!O4</f>
        <v>3415.2130000000002</v>
      </c>
      <c r="P5" s="3492">
        <f>+InputY!P4</f>
        <v>3377.0745000000002</v>
      </c>
      <c r="Q5" s="3492">
        <f>+InputY!Q4</f>
        <v>3322.5275000000001</v>
      </c>
      <c r="R5" s="3492">
        <f>+InputY!R4</f>
        <v>3269.9090000000001</v>
      </c>
      <c r="S5" s="3492">
        <f>+InputY!S4</f>
        <v>3231.2939999999999</v>
      </c>
      <c r="T5" s="3492">
        <f>+InputY!T4</f>
        <v>3198.2305000000001</v>
      </c>
      <c r="U5" s="3492">
        <f>+InputY!U4</f>
        <v>3162.9160000000002</v>
      </c>
      <c r="V5" s="3492">
        <f>+InputY!V4</f>
        <v>3097.2820000000002</v>
      </c>
      <c r="W5" s="3492">
        <f>+InputY!W4</f>
        <v>3028.1145000000001</v>
      </c>
      <c r="X5" s="3492">
        <f>+InputY!X4</f>
        <v>2987.7730000000001</v>
      </c>
      <c r="Y5" s="3492">
        <f>+InputY!Y4</f>
        <v>2957.6885000000002</v>
      </c>
      <c r="Z5" s="3492">
        <f>+InputY!Z4</f>
        <v>2932.3670000000002</v>
      </c>
      <c r="AA5" s="3492">
        <f>+InputY!AA4</f>
        <v>2904.91</v>
      </c>
      <c r="AB5" s="3492">
        <f>+InputY!AB4</f>
        <v>2868.2310000000002</v>
      </c>
      <c r="AC5" s="2932">
        <f>+AB5*(1+AC15/100)</f>
        <v>2828.9999999999986</v>
      </c>
      <c r="AD5" s="2932">
        <f>+AC5*(1+AD15/100)</f>
        <v>2803.5389999999989</v>
      </c>
      <c r="AE5" s="2932">
        <f>+AD5*(1+AE15/100)</f>
        <v>2783.9142269999988</v>
      </c>
      <c r="AF5" s="3654" t="s">
        <v>2608</v>
      </c>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row>
    <row r="6" spans="1:119" s="26" customFormat="1">
      <c r="A6" s="3219"/>
      <c r="B6" s="3220"/>
      <c r="C6" s="671" t="s">
        <v>970</v>
      </c>
      <c r="D6" s="679"/>
      <c r="E6" s="680" t="s">
        <v>2135</v>
      </c>
      <c r="F6" s="681" t="s">
        <v>972</v>
      </c>
      <c r="G6" s="682">
        <f>+G7/G5</f>
        <v>0.65885798454521038</v>
      </c>
      <c r="H6" s="682">
        <f t="shared" ref="H6:S6" si="3">+H7/H5</f>
        <v>0.6583266522981025</v>
      </c>
      <c r="I6" s="682">
        <f t="shared" si="3"/>
        <v>0.6579406607355186</v>
      </c>
      <c r="J6" s="682">
        <f t="shared" si="3"/>
        <v>0.65817825950862296</v>
      </c>
      <c r="K6" s="682">
        <f t="shared" si="3"/>
        <v>0.65952606769549438</v>
      </c>
      <c r="L6" s="682">
        <f t="shared" si="3"/>
        <v>0.66221436213257989</v>
      </c>
      <c r="M6" s="682">
        <f t="shared" si="3"/>
        <v>0.66471861456270753</v>
      </c>
      <c r="N6" s="682">
        <f t="shared" si="3"/>
        <v>0.66694781135539916</v>
      </c>
      <c r="O6" s="682">
        <f t="shared" si="3"/>
        <v>0.66902723197645353</v>
      </c>
      <c r="P6" s="682">
        <f t="shared" si="3"/>
        <v>0.67015637351204427</v>
      </c>
      <c r="Q6" s="682">
        <f t="shared" si="3"/>
        <v>0.67108789919722256</v>
      </c>
      <c r="R6" s="682">
        <f t="shared" si="3"/>
        <v>0.67236290061894688</v>
      </c>
      <c r="S6" s="682">
        <f t="shared" si="3"/>
        <v>0.67423283056261674</v>
      </c>
      <c r="T6" s="2933">
        <f t="shared" ref="T6:Y6" si="4">+T7/T5</f>
        <v>0.67592501541086547</v>
      </c>
      <c r="U6" s="2933">
        <f t="shared" si="4"/>
        <v>0.67682385494904074</v>
      </c>
      <c r="V6" s="2933">
        <f t="shared" si="4"/>
        <v>0.67477000802639209</v>
      </c>
      <c r="W6" s="2933">
        <f t="shared" si="4"/>
        <v>0.67188839787927435</v>
      </c>
      <c r="X6" s="2933">
        <f t="shared" si="4"/>
        <v>0.67096429347209441</v>
      </c>
      <c r="Y6" s="2933">
        <f t="shared" si="4"/>
        <v>0.67008003040211972</v>
      </c>
      <c r="Z6" s="2933">
        <f t="shared" ref="Z6:AE6" si="5">+Z7/Z5</f>
        <v>0.66828776889113806</v>
      </c>
      <c r="AA6" s="2933">
        <f t="shared" si="5"/>
        <v>0.66524763245677154</v>
      </c>
      <c r="AB6" s="2933">
        <f t="shared" si="5"/>
        <v>0.66101178740484989</v>
      </c>
      <c r="AC6" s="2933">
        <f t="shared" si="5"/>
        <v>0.65585012371862883</v>
      </c>
      <c r="AD6" s="2933">
        <f t="shared" si="5"/>
        <v>0.64923205990713906</v>
      </c>
      <c r="AE6" s="2933">
        <f t="shared" si="5"/>
        <v>0.64204016397664709</v>
      </c>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row>
    <row r="7" spans="1:119">
      <c r="A7" s="3219">
        <f>+ROW(InputY!A5)</f>
        <v>5</v>
      </c>
      <c r="B7" s="3221">
        <v>76</v>
      </c>
      <c r="C7" s="671" t="s">
        <v>1769</v>
      </c>
      <c r="D7" s="674"/>
      <c r="E7" s="220" t="s">
        <v>2134</v>
      </c>
      <c r="F7" s="704" t="str">
        <f>+InputY!B5</f>
        <v>Lage</v>
      </c>
      <c r="G7" s="705">
        <f>+InputY!G5</f>
        <v>2391.0625</v>
      </c>
      <c r="H7" s="705">
        <f>+InputY!H5</f>
        <v>2371.0374999999999</v>
      </c>
      <c r="I7" s="705">
        <f>+InputY!I5</f>
        <v>2352.2280000000001</v>
      </c>
      <c r="J7" s="705">
        <f>+InputY!J5</f>
        <v>2336.0925000000002</v>
      </c>
      <c r="K7" s="705">
        <f>+InputY!K5</f>
        <v>2324.3265000000001</v>
      </c>
      <c r="L7" s="705">
        <f>+InputY!L5</f>
        <v>2317.4430000000002</v>
      </c>
      <c r="M7" s="705">
        <f>+InputY!M5</f>
        <v>2307.1170000000002</v>
      </c>
      <c r="N7" s="705">
        <f>+InputY!N5</f>
        <v>2296.346</v>
      </c>
      <c r="O7" s="705">
        <f>+InputY!O5</f>
        <v>2284.8705</v>
      </c>
      <c r="P7" s="3493">
        <f>+InputY!P5</f>
        <v>2263.1680000000001</v>
      </c>
      <c r="Q7" s="3493">
        <f>+InputY!Q5</f>
        <v>2229.7080000000001</v>
      </c>
      <c r="R7" s="3493">
        <f>+InputY!R5</f>
        <v>2198.5655000000002</v>
      </c>
      <c r="S7" s="3493">
        <f>+InputY!S5</f>
        <v>2178.6444999999999</v>
      </c>
      <c r="T7" s="3493">
        <f>+InputY!T5</f>
        <v>2161.7640000000001</v>
      </c>
      <c r="U7" s="3493">
        <f>+InputY!U5</f>
        <v>2140.7370000000001</v>
      </c>
      <c r="V7" s="3493">
        <f>+InputY!V5</f>
        <v>2089.953</v>
      </c>
      <c r="W7" s="3493">
        <f>+InputY!W5</f>
        <v>2034.5550000000001</v>
      </c>
      <c r="X7" s="3493">
        <f>+InputY!X5</f>
        <v>2004.6890000000001</v>
      </c>
      <c r="Y7" s="3493">
        <f>+InputY!Y5</f>
        <v>1981.8879999999999</v>
      </c>
      <c r="Z7" s="3493">
        <f>+InputY!Z5</f>
        <v>1959.665</v>
      </c>
      <c r="AA7" s="3493">
        <f>+InputY!AA5</f>
        <v>1932.4845</v>
      </c>
      <c r="AB7" s="3493">
        <f>+InputY!AB5</f>
        <v>1895.9345000000001</v>
      </c>
      <c r="AC7" s="2934">
        <f>+AB7*(1+AC16/100)</f>
        <v>1855.4</v>
      </c>
      <c r="AD7" s="2934">
        <f>+AC7*(1+AD16/100)</f>
        <v>1820.1474000000001</v>
      </c>
      <c r="AE7" s="2934">
        <f>+AD7*(1+AE16/100)</f>
        <v>1787.3847468000001</v>
      </c>
      <c r="AF7" s="3750" t="s">
        <v>2608</v>
      </c>
    </row>
    <row r="8" spans="1:119" s="26" customFormat="1">
      <c r="A8" s="3222"/>
      <c r="B8" s="3220"/>
      <c r="C8" s="672" t="s">
        <v>970</v>
      </c>
      <c r="D8" s="683"/>
      <c r="E8" s="684" t="s">
        <v>712</v>
      </c>
      <c r="F8" s="685" t="s">
        <v>713</v>
      </c>
      <c r="G8" s="686" t="e">
        <f t="shared" ref="G8:Z8" si="6">+G12/G7</f>
        <v>#VALUE!</v>
      </c>
      <c r="H8" s="686" t="e">
        <f t="shared" si="6"/>
        <v>#VALUE!</v>
      </c>
      <c r="I8" s="686" t="e">
        <f t="shared" si="6"/>
        <v>#VALUE!</v>
      </c>
      <c r="J8" s="686" t="e">
        <f t="shared" si="6"/>
        <v>#VALUE!</v>
      </c>
      <c r="K8" s="686" t="e">
        <f t="shared" si="6"/>
        <v>#VALUE!</v>
      </c>
      <c r="L8" s="686">
        <f t="shared" si="6"/>
        <v>0.72353451627504961</v>
      </c>
      <c r="M8" s="686">
        <f t="shared" si="6"/>
        <v>0.71123397729720683</v>
      </c>
      <c r="N8" s="686">
        <f t="shared" si="6"/>
        <v>0.71197023445073171</v>
      </c>
      <c r="O8" s="686">
        <f t="shared" si="6"/>
        <v>0.72081984515096154</v>
      </c>
      <c r="P8" s="686">
        <f t="shared" si="6"/>
        <v>0.70623568378485369</v>
      </c>
      <c r="Q8" s="686">
        <f t="shared" si="6"/>
        <v>0.70311897342611673</v>
      </c>
      <c r="R8" s="686">
        <f t="shared" si="6"/>
        <v>0.69101420903766564</v>
      </c>
      <c r="S8" s="686">
        <f t="shared" si="6"/>
        <v>0.69687367535180711</v>
      </c>
      <c r="T8" s="2935">
        <f t="shared" si="6"/>
        <v>0.70175097744249604</v>
      </c>
      <c r="U8" s="2935">
        <f t="shared" si="6"/>
        <v>0.71438948362176202</v>
      </c>
      <c r="V8" s="2935">
        <f t="shared" si="6"/>
        <v>0.72621728813997255</v>
      </c>
      <c r="W8" s="2935">
        <f t="shared" si="6"/>
        <v>0.72821820987881869</v>
      </c>
      <c r="X8" s="2935">
        <f t="shared" si="6"/>
        <v>0.73477731458595319</v>
      </c>
      <c r="Y8" s="2935">
        <f t="shared" si="6"/>
        <v>0.73927991894597478</v>
      </c>
      <c r="Z8" s="2935">
        <f t="shared" si="6"/>
        <v>0.75385333717752778</v>
      </c>
      <c r="AA8" s="2935">
        <f>+AA12/AA7</f>
        <v>0.76050804029734786</v>
      </c>
      <c r="AB8" s="2935">
        <f>+AB12/AB7</f>
        <v>0.77962081495958846</v>
      </c>
      <c r="AC8" s="2935">
        <f>+AC12/AC7</f>
        <v>0.77912664654521924</v>
      </c>
      <c r="AD8" s="2935">
        <f>+AD12/AD7</f>
        <v>0.79302543993415031</v>
      </c>
      <c r="AE8" s="2935">
        <f>+AE12/AE7</f>
        <v>0.80558751204455981</v>
      </c>
      <c r="AF8" s="3344"/>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row>
    <row r="9" spans="1:119" s="26" customFormat="1">
      <c r="A9" s="3222"/>
      <c r="B9" s="3220"/>
      <c r="C9" s="671" t="s">
        <v>970</v>
      </c>
      <c r="D9" s="679"/>
      <c r="E9" s="680" t="s">
        <v>2133</v>
      </c>
      <c r="F9" s="681" t="s">
        <v>972</v>
      </c>
      <c r="G9" s="682">
        <f>+G10/G5</f>
        <v>0.739051938889006</v>
      </c>
      <c r="H9" s="682">
        <f t="shared" ref="H9:Z9" si="7">+H10/H5</f>
        <v>0.74100156527111116</v>
      </c>
      <c r="I9" s="682">
        <f t="shared" si="7"/>
        <v>0.74271111848301186</v>
      </c>
      <c r="J9" s="682">
        <f t="shared" si="7"/>
        <v>0.74463159395390277</v>
      </c>
      <c r="K9" s="682">
        <f t="shared" si="7"/>
        <v>0.74692993874561509</v>
      </c>
      <c r="L9" s="682">
        <f t="shared" si="7"/>
        <v>0.7503633338819774</v>
      </c>
      <c r="M9" s="682">
        <f t="shared" si="7"/>
        <v>0.75461976897373595</v>
      </c>
      <c r="N9" s="682">
        <f t="shared" si="7"/>
        <v>0.75878061623546678</v>
      </c>
      <c r="O9" s="682">
        <f t="shared" si="7"/>
        <v>0.76202743430643993</v>
      </c>
      <c r="P9" s="682">
        <f t="shared" si="7"/>
        <v>0.76420700816638776</v>
      </c>
      <c r="Q9" s="682">
        <f t="shared" si="7"/>
        <v>0.76610216168263467</v>
      </c>
      <c r="R9" s="682">
        <f t="shared" si="7"/>
        <v>0.76824905524893805</v>
      </c>
      <c r="S9" s="682">
        <f t="shared" si="7"/>
        <v>0.7707276094344867</v>
      </c>
      <c r="T9" s="682">
        <f t="shared" si="7"/>
        <v>0.77243072380180233</v>
      </c>
      <c r="U9" s="682">
        <f t="shared" si="7"/>
        <v>0.77260746096323774</v>
      </c>
      <c r="V9" s="682">
        <f t="shared" si="7"/>
        <v>0.77066408547881649</v>
      </c>
      <c r="W9" s="682">
        <f t="shared" si="7"/>
        <v>0.76781145494993674</v>
      </c>
      <c r="X9" s="682">
        <f t="shared" si="7"/>
        <v>0.76574241081902805</v>
      </c>
      <c r="Y9" s="682">
        <f t="shared" si="7"/>
        <v>0.76415602927759285</v>
      </c>
      <c r="Z9" s="682">
        <f t="shared" si="7"/>
        <v>0.76265760731859267</v>
      </c>
      <c r="AA9" s="682">
        <f>+AA10/AA5</f>
        <v>0.76053113521589311</v>
      </c>
      <c r="AB9" s="682">
        <f>+AB10/AB5</f>
        <v>0.75721585883424303</v>
      </c>
      <c r="AC9" s="682">
        <f>+AC10/AC5</f>
        <v>0.75309296571226636</v>
      </c>
      <c r="AD9" s="682">
        <f>+AD10/AD5</f>
        <v>0.74777343921379413</v>
      </c>
      <c r="AE9" s="682">
        <f>+AE10/AE5</f>
        <v>0.74099603644146361</v>
      </c>
      <c r="AF9" s="3344"/>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row>
    <row r="10" spans="1:119" s="26" customFormat="1">
      <c r="A10" s="3219">
        <f>+ROW(InputY!A6)</f>
        <v>6</v>
      </c>
      <c r="B10" s="3221">
        <v>77</v>
      </c>
      <c r="C10" s="671" t="s">
        <v>1769</v>
      </c>
      <c r="D10" s="674"/>
      <c r="E10" s="220" t="s">
        <v>2136</v>
      </c>
      <c r="F10" s="704" t="str">
        <f>+InputY!B8</f>
        <v>LEmpD</v>
      </c>
      <c r="G10" s="705">
        <f>+InputY!G6</f>
        <v>2682.0945000000002</v>
      </c>
      <c r="H10" s="705">
        <f>+InputY!H6</f>
        <v>2668.8004999999998</v>
      </c>
      <c r="I10" s="705">
        <f>+InputY!I6</f>
        <v>2655.2939999999999</v>
      </c>
      <c r="J10" s="705">
        <f>+InputY!J6</f>
        <v>2642.944</v>
      </c>
      <c r="K10" s="705">
        <f>+InputY!K6</f>
        <v>2632.3584999999998</v>
      </c>
      <c r="L10" s="705">
        <f>+InputY!L6</f>
        <v>2625.9234999999999</v>
      </c>
      <c r="M10" s="705">
        <f>+InputY!M6</f>
        <v>2619.1475</v>
      </c>
      <c r="N10" s="705">
        <f>+InputY!N6</f>
        <v>2612.5324999999998</v>
      </c>
      <c r="O10" s="705">
        <f>+InputY!O6</f>
        <v>2602.4859999999999</v>
      </c>
      <c r="P10" s="3493">
        <f>+InputY!P6</f>
        <v>2580.7840000000001</v>
      </c>
      <c r="Q10" s="3493">
        <f>+InputY!Q6</f>
        <v>2545.3955000000001</v>
      </c>
      <c r="R10" s="3493">
        <f>+InputY!R6</f>
        <v>2512.1044999999999</v>
      </c>
      <c r="S10" s="3493">
        <f>+InputY!S6</f>
        <v>2490.4475000000002</v>
      </c>
      <c r="T10" s="3493">
        <f>+InputY!T6</f>
        <v>2470.4115000000002</v>
      </c>
      <c r="U10" s="3493">
        <f>+InputY!U6</f>
        <v>2443.6925000000001</v>
      </c>
      <c r="V10" s="3493">
        <f>+InputY!V6</f>
        <v>2386.9639999999999</v>
      </c>
      <c r="W10" s="3493">
        <f>+InputY!W6</f>
        <v>2325.0210000000002</v>
      </c>
      <c r="X10" s="3493">
        <f>+InputY!X6</f>
        <v>2287.8645000000001</v>
      </c>
      <c r="Y10" s="3493">
        <f>+InputY!Y6</f>
        <v>2260.1354999999999</v>
      </c>
      <c r="Z10" s="3493">
        <f>+InputY!Z6</f>
        <v>2236.3919999999998</v>
      </c>
      <c r="AA10" s="3493">
        <f>+InputY!AA6</f>
        <v>2209.2745</v>
      </c>
      <c r="AB10" s="3493">
        <f>+InputY!AB6</f>
        <v>2171.87</v>
      </c>
      <c r="AC10" s="2934">
        <f>+AB10*(1+AC17/100)</f>
        <v>2130.5000000000005</v>
      </c>
      <c r="AD10" s="2934">
        <f>+AC10*(1+AD17/100)</f>
        <v>2096.4120000000003</v>
      </c>
      <c r="AE10" s="2934">
        <f>+AD10*(1+AE17/100)</f>
        <v>2062.869408</v>
      </c>
      <c r="AF10" s="3750" t="s">
        <v>2608</v>
      </c>
      <c r="AG10"/>
      <c r="AH10" s="3388"/>
      <c r="AI10" s="3388"/>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row>
    <row r="11" spans="1:119" s="26" customFormat="1">
      <c r="A11" s="1903"/>
      <c r="B11" s="673"/>
      <c r="C11" s="672" t="s">
        <v>970</v>
      </c>
      <c r="D11" s="683"/>
      <c r="E11" s="684" t="s">
        <v>712</v>
      </c>
      <c r="F11" s="685" t="s">
        <v>713</v>
      </c>
      <c r="G11" s="686" t="e">
        <f>+G12/G10</f>
        <v>#VALUE!</v>
      </c>
      <c r="H11" s="686" t="e">
        <f t="shared" ref="H11:Z11" si="8">+H12/H10</f>
        <v>#VALUE!</v>
      </c>
      <c r="I11" s="686" t="e">
        <f t="shared" si="8"/>
        <v>#VALUE!</v>
      </c>
      <c r="J11" s="686" t="e">
        <f t="shared" si="8"/>
        <v>#VALUE!</v>
      </c>
      <c r="K11" s="686" t="e">
        <f t="shared" si="8"/>
        <v>#VALUE!</v>
      </c>
      <c r="L11" s="686">
        <f t="shared" si="8"/>
        <v>0.63853726127208199</v>
      </c>
      <c r="M11" s="686">
        <f t="shared" si="8"/>
        <v>0.62650156205406538</v>
      </c>
      <c r="N11" s="686">
        <f t="shared" si="8"/>
        <v>0.62580274120991808</v>
      </c>
      <c r="O11" s="686">
        <f t="shared" si="8"/>
        <v>0.63284874539190605</v>
      </c>
      <c r="P11" s="686">
        <f t="shared" si="8"/>
        <v>0.61931955560790819</v>
      </c>
      <c r="Q11" s="686">
        <f t="shared" si="8"/>
        <v>0.61591607276747362</v>
      </c>
      <c r="R11" s="686">
        <f t="shared" si="8"/>
        <v>0.60476783509603205</v>
      </c>
      <c r="S11" s="686">
        <f t="shared" si="8"/>
        <v>0.60962537857152177</v>
      </c>
      <c r="T11" s="686">
        <f t="shared" si="8"/>
        <v>0.61407583311525216</v>
      </c>
      <c r="U11" s="686">
        <f t="shared" si="8"/>
        <v>0.62582342090913645</v>
      </c>
      <c r="V11" s="686">
        <f t="shared" si="8"/>
        <v>0.63585374559482255</v>
      </c>
      <c r="W11" s="686">
        <f t="shared" si="8"/>
        <v>0.63724155609777278</v>
      </c>
      <c r="X11" s="686">
        <f t="shared" si="8"/>
        <v>0.6438318353206669</v>
      </c>
      <c r="Y11" s="686">
        <f t="shared" si="8"/>
        <v>0.64826644243232323</v>
      </c>
      <c r="Z11" s="686">
        <f t="shared" si="8"/>
        <v>0.66057292281496272</v>
      </c>
      <c r="AA11" s="686">
        <f>+AA12/AA10</f>
        <v>0.66522743099601256</v>
      </c>
      <c r="AB11" s="686">
        <f>+AB12/AB10</f>
        <v>0.68057019987384137</v>
      </c>
      <c r="AC11" s="686">
        <f>+AC12/AC10</f>
        <v>0.67852221544238422</v>
      </c>
      <c r="AD11" s="686">
        <f>+AD12/AD10</f>
        <v>0.6885207643488015</v>
      </c>
      <c r="AE11" s="686">
        <f>+AE12/AE10</f>
        <v>0.69800580960528136</v>
      </c>
      <c r="AF11" s="3344"/>
      <c r="AG11"/>
      <c r="AH11" s="3388"/>
      <c r="AI11" s="3388"/>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row>
    <row r="12" spans="1:119" s="699" customFormat="1" ht="12.75" customHeight="1">
      <c r="A12" s="664"/>
      <c r="B12" s="664"/>
      <c r="C12" s="669" t="s">
        <v>1769</v>
      </c>
      <c r="D12" s="752"/>
      <c r="E12" s="753" t="s">
        <v>714</v>
      </c>
      <c r="F12" s="754" t="s">
        <v>715</v>
      </c>
      <c r="G12" s="755" t="e">
        <f t="shared" ref="G12:Q12" si="9">+G38+G36</f>
        <v>#VALUE!</v>
      </c>
      <c r="H12" s="755" t="e">
        <f t="shared" si="9"/>
        <v>#VALUE!</v>
      </c>
      <c r="I12" s="755" t="e">
        <f t="shared" si="9"/>
        <v>#VALUE!</v>
      </c>
      <c r="J12" s="755" t="e">
        <f t="shared" si="9"/>
        <v>#VALUE!</v>
      </c>
      <c r="K12" s="755" t="e">
        <f t="shared" si="9"/>
        <v>#VALUE!</v>
      </c>
      <c r="L12" s="755">
        <f t="shared" si="9"/>
        <v>1676.75</v>
      </c>
      <c r="M12" s="755">
        <f t="shared" si="9"/>
        <v>1640.9</v>
      </c>
      <c r="N12" s="755">
        <f t="shared" si="9"/>
        <v>1634.93</v>
      </c>
      <c r="O12" s="755">
        <f t="shared" si="9"/>
        <v>1646.98</v>
      </c>
      <c r="P12" s="3494">
        <f t="shared" si="9"/>
        <v>1598.33</v>
      </c>
      <c r="Q12" s="3494">
        <f t="shared" si="9"/>
        <v>1567.75</v>
      </c>
      <c r="R12" s="3494">
        <f t="shared" ref="R12:W12" si="10">+R38+R36</f>
        <v>1519.24</v>
      </c>
      <c r="S12" s="3494">
        <f t="shared" si="10"/>
        <v>1518.24</v>
      </c>
      <c r="T12" s="3494">
        <f t="shared" si="10"/>
        <v>1517.02</v>
      </c>
      <c r="U12" s="3494">
        <f t="shared" si="10"/>
        <v>1529.32</v>
      </c>
      <c r="V12" s="3494">
        <f t="shared" si="10"/>
        <v>1517.76</v>
      </c>
      <c r="W12" s="3494">
        <f t="shared" si="10"/>
        <v>1481.6</v>
      </c>
      <c r="X12" s="3494">
        <f>+X38+X36</f>
        <v>1473</v>
      </c>
      <c r="Y12" s="3494">
        <f>+Y38+Y36</f>
        <v>1465.17</v>
      </c>
      <c r="Z12" s="3494">
        <f>+Z38+Z36</f>
        <v>1477.3</v>
      </c>
      <c r="AA12" s="3494">
        <f>+AA38+AA36</f>
        <v>1469.67</v>
      </c>
      <c r="AB12" s="3494">
        <f>+AB38+AB36</f>
        <v>1478.11</v>
      </c>
      <c r="AC12" s="2932">
        <f>+AB12*(1+AC18/100)</f>
        <v>1445.5915799999998</v>
      </c>
      <c r="AD12" s="2932">
        <f>+AC12*(1+AD18/100)</f>
        <v>1443.4231926299999</v>
      </c>
      <c r="AE12" s="2932">
        <f>+AD12*(1+AE18/100)</f>
        <v>1439.8948312410075</v>
      </c>
      <c r="AF12" s="3655"/>
      <c r="AG12" s="3751"/>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row>
    <row r="13" spans="1:119">
      <c r="A13" s="1130"/>
      <c r="Q13" s="599"/>
      <c r="R13" s="599"/>
      <c r="S13" s="2930"/>
      <c r="T13" s="2930"/>
      <c r="U13" s="2930"/>
      <c r="V13" s="2930"/>
      <c r="W13" s="2930"/>
      <c r="X13" s="2930"/>
      <c r="Y13" s="2930"/>
      <c r="Z13" s="2930"/>
      <c r="AA13" s="2930"/>
      <c r="AB13" s="2930"/>
      <c r="AC13" s="2930"/>
      <c r="AD13" s="2930"/>
      <c r="AE13" s="2930"/>
    </row>
    <row r="14" spans="1:119" s="699" customFormat="1" ht="12.75" customHeight="1">
      <c r="A14" s="664"/>
      <c r="B14" s="664"/>
      <c r="C14" s="666"/>
      <c r="D14" s="742"/>
      <c r="E14" s="743" t="s">
        <v>1311</v>
      </c>
      <c r="F14" s="744"/>
      <c r="G14" s="745">
        <f>+InputY!$G$3</f>
        <v>1995</v>
      </c>
      <c r="H14" s="745">
        <f>+G14+1</f>
        <v>1996</v>
      </c>
      <c r="I14" s="745">
        <f t="shared" ref="I14:O14" si="11">+H14+1</f>
        <v>1997</v>
      </c>
      <c r="J14" s="745">
        <f t="shared" si="11"/>
        <v>1998</v>
      </c>
      <c r="K14" s="745">
        <f t="shared" si="11"/>
        <v>1999</v>
      </c>
      <c r="L14" s="745">
        <f t="shared" si="11"/>
        <v>2000</v>
      </c>
      <c r="M14" s="745">
        <f t="shared" si="11"/>
        <v>2001</v>
      </c>
      <c r="N14" s="745">
        <f t="shared" si="11"/>
        <v>2002</v>
      </c>
      <c r="O14" s="745">
        <f t="shared" si="11"/>
        <v>2003</v>
      </c>
      <c r="P14" s="3495">
        <f t="shared" ref="P14:W14" si="12">+O14+1</f>
        <v>2004</v>
      </c>
      <c r="Q14" s="3495">
        <f t="shared" si="12"/>
        <v>2005</v>
      </c>
      <c r="R14" s="3495">
        <f t="shared" si="12"/>
        <v>2006</v>
      </c>
      <c r="S14" s="3495">
        <f t="shared" si="12"/>
        <v>2007</v>
      </c>
      <c r="T14" s="3496">
        <f t="shared" si="12"/>
        <v>2008</v>
      </c>
      <c r="U14" s="3496">
        <f t="shared" si="12"/>
        <v>2009</v>
      </c>
      <c r="V14" s="3496">
        <f t="shared" si="12"/>
        <v>2010</v>
      </c>
      <c r="W14" s="3496">
        <f t="shared" si="12"/>
        <v>2011</v>
      </c>
      <c r="X14" s="3496">
        <f t="shared" ref="X14:AE14" si="13">+W14+1</f>
        <v>2012</v>
      </c>
      <c r="Y14" s="3496">
        <f t="shared" si="13"/>
        <v>2013</v>
      </c>
      <c r="Z14" s="3496">
        <f t="shared" si="13"/>
        <v>2014</v>
      </c>
      <c r="AA14" s="3496">
        <f t="shared" si="13"/>
        <v>2015</v>
      </c>
      <c r="AB14" s="3496">
        <f t="shared" si="13"/>
        <v>2016</v>
      </c>
      <c r="AC14" s="3496">
        <f t="shared" si="13"/>
        <v>2017</v>
      </c>
      <c r="AD14" s="3496">
        <f t="shared" si="13"/>
        <v>2018</v>
      </c>
      <c r="AE14" s="3496">
        <f t="shared" si="13"/>
        <v>2019</v>
      </c>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row>
    <row r="15" spans="1:119" s="699" customFormat="1" ht="12.75" customHeight="1">
      <c r="A15" s="664"/>
      <c r="B15" s="664"/>
      <c r="C15" s="688"/>
      <c r="D15" s="689"/>
      <c r="E15" s="738" t="s">
        <v>1150</v>
      </c>
      <c r="F15" s="733" t="str">
        <f>+F5</f>
        <v>Lpop</v>
      </c>
      <c r="G15" s="734"/>
      <c r="H15" s="739">
        <f t="shared" ref="H15:AB15" si="14">(H5/G5-1)*100</f>
        <v>-0.75746021432577804</v>
      </c>
      <c r="I15" s="739">
        <f t="shared" si="14"/>
        <v>-0.73510129143543601</v>
      </c>
      <c r="J15" s="739">
        <f t="shared" si="14"/>
        <v>-0.7218184925500748</v>
      </c>
      <c r="K15" s="739">
        <f t="shared" si="14"/>
        <v>-0.7069923881430018</v>
      </c>
      <c r="L15" s="739">
        <f t="shared" si="14"/>
        <v>-0.70090338690284026</v>
      </c>
      <c r="M15" s="739">
        <f t="shared" si="14"/>
        <v>-0.82063736449632385</v>
      </c>
      <c r="N15" s="739">
        <f t="shared" si="14"/>
        <v>-0.79953786103706959</v>
      </c>
      <c r="O15" s="739">
        <f t="shared" si="14"/>
        <v>-0.80898803305308187</v>
      </c>
      <c r="P15" s="3497">
        <f t="shared" si="14"/>
        <v>-1.1167239056539047</v>
      </c>
      <c r="Q15" s="3497">
        <f t="shared" si="14"/>
        <v>-1.6152145888401304</v>
      </c>
      <c r="R15" s="3497">
        <f t="shared" si="14"/>
        <v>-1.583688923567983</v>
      </c>
      <c r="S15" s="3497">
        <f t="shared" si="14"/>
        <v>-1.1809197136678828</v>
      </c>
      <c r="T15" s="3497">
        <f t="shared" si="14"/>
        <v>-1.0232278461817401</v>
      </c>
      <c r="U15" s="3497">
        <f t="shared" si="14"/>
        <v>-1.1041887068489853</v>
      </c>
      <c r="V15" s="3497">
        <f t="shared" si="14"/>
        <v>-2.0751104360659633</v>
      </c>
      <c r="W15" s="3498">
        <f t="shared" si="14"/>
        <v>-2.2331676611945572</v>
      </c>
      <c r="X15" s="3498">
        <f t="shared" si="14"/>
        <v>-1.3322316576866555</v>
      </c>
      <c r="Y15" s="3498">
        <f t="shared" si="14"/>
        <v>-1.0069205391440406</v>
      </c>
      <c r="Z15" s="3497">
        <f t="shared" si="14"/>
        <v>-0.85612463922417614</v>
      </c>
      <c r="AA15" s="3497">
        <f t="shared" si="14"/>
        <v>-0.93634255193842941</v>
      </c>
      <c r="AB15" s="3497">
        <f t="shared" si="14"/>
        <v>-1.2626552974102312</v>
      </c>
      <c r="AC15" s="3429">
        <v>-1.3677768631606539</v>
      </c>
      <c r="AD15" s="3429">
        <v>-0.9</v>
      </c>
      <c r="AE15" s="3429">
        <v>-0.7</v>
      </c>
      <c r="AF15" s="3654"/>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row>
    <row r="16" spans="1:119">
      <c r="A16" s="1130"/>
      <c r="C16" s="690"/>
      <c r="D16" s="691"/>
      <c r="E16" s="735" t="s">
        <v>2134</v>
      </c>
      <c r="F16" s="736" t="str">
        <f>+F7</f>
        <v>Lage</v>
      </c>
      <c r="G16" s="737"/>
      <c r="H16" s="741">
        <f t="shared" ref="H16:W16" si="15">(H7/G7-1)*100</f>
        <v>-0.83749379198578833</v>
      </c>
      <c r="I16" s="741">
        <f t="shared" si="15"/>
        <v>-0.79330250997716734</v>
      </c>
      <c r="J16" s="741">
        <f t="shared" si="15"/>
        <v>-0.68596666649660687</v>
      </c>
      <c r="K16" s="741">
        <f t="shared" si="15"/>
        <v>-0.50366156305883258</v>
      </c>
      <c r="L16" s="741">
        <f t="shared" si="15"/>
        <v>-0.29615030418488342</v>
      </c>
      <c r="M16" s="741">
        <f t="shared" si="15"/>
        <v>-0.44557730222490877</v>
      </c>
      <c r="N16" s="741">
        <f t="shared" si="15"/>
        <v>-0.46685972146189858</v>
      </c>
      <c r="O16" s="741">
        <f t="shared" si="15"/>
        <v>-0.49972869942073173</v>
      </c>
      <c r="P16" s="3499">
        <f t="shared" si="15"/>
        <v>-0.9498350125313415</v>
      </c>
      <c r="Q16" s="3499">
        <f t="shared" si="15"/>
        <v>-1.4784585147898932</v>
      </c>
      <c r="R16" s="3499">
        <f t="shared" si="15"/>
        <v>-1.3967075509438875</v>
      </c>
      <c r="S16" s="3499">
        <f t="shared" si="15"/>
        <v>-0.90609081239564349</v>
      </c>
      <c r="T16" s="3499">
        <f t="shared" si="15"/>
        <v>-0.77481663483875973</v>
      </c>
      <c r="U16" s="3499">
        <f t="shared" si="15"/>
        <v>-0.97267786862951233</v>
      </c>
      <c r="V16" s="3499">
        <f t="shared" si="15"/>
        <v>-2.3722671210896107</v>
      </c>
      <c r="W16" s="3499">
        <f t="shared" si="15"/>
        <v>-2.6506816181990689</v>
      </c>
      <c r="X16" s="3499">
        <f>(X7/W7-1)*100</f>
        <v>-1.4679377062797538</v>
      </c>
      <c r="Y16" s="3499">
        <f>(Y7/X7-1)*100</f>
        <v>-1.1373834046079057</v>
      </c>
      <c r="Z16" s="3499">
        <f>(Z7/Y7-1)*100</f>
        <v>-1.1213045338586247</v>
      </c>
      <c r="AA16" s="3499">
        <f>(AA7/Z7-1)*100</f>
        <v>-1.3869972673900888</v>
      </c>
      <c r="AB16" s="3499">
        <f>(AB7/AA7-1)*100</f>
        <v>-1.8913476408219498</v>
      </c>
      <c r="AC16" s="3430">
        <v>-2.1379694287961937</v>
      </c>
      <c r="AD16" s="3430">
        <v>-1.9</v>
      </c>
      <c r="AE16" s="3430">
        <v>-1.8</v>
      </c>
      <c r="AF16" s="3654"/>
    </row>
    <row r="17" spans="1:119">
      <c r="A17" s="1130"/>
      <c r="C17" s="690"/>
      <c r="D17" s="691"/>
      <c r="E17" s="735" t="s">
        <v>2136</v>
      </c>
      <c r="F17" s="736"/>
      <c r="G17" s="737"/>
      <c r="H17" s="741">
        <f>(H10/G10-1)*100</f>
        <v>-0.49565740506161138</v>
      </c>
      <c r="I17" s="741">
        <f t="shared" ref="I17:AB17" si="16">(I10/H10-1)*100</f>
        <v>-0.50608878408108238</v>
      </c>
      <c r="J17" s="741">
        <f t="shared" si="16"/>
        <v>-0.46510857178150289</v>
      </c>
      <c r="K17" s="741">
        <f t="shared" si="16"/>
        <v>-0.40051926942077376</v>
      </c>
      <c r="L17" s="741">
        <f t="shared" si="16"/>
        <v>-0.24445758432979359</v>
      </c>
      <c r="M17" s="741">
        <f t="shared" si="16"/>
        <v>-0.25804255150615463</v>
      </c>
      <c r="N17" s="741">
        <f t="shared" si="16"/>
        <v>-0.25256309543468802</v>
      </c>
      <c r="O17" s="741">
        <f t="shared" si="16"/>
        <v>-0.38455024004485638</v>
      </c>
      <c r="P17" s="3499">
        <f t="shared" si="16"/>
        <v>-0.83389497580389493</v>
      </c>
      <c r="Q17" s="3499">
        <f t="shared" si="16"/>
        <v>-1.3712306027935717</v>
      </c>
      <c r="R17" s="3499">
        <f t="shared" si="16"/>
        <v>-1.3078910526871046</v>
      </c>
      <c r="S17" s="3499">
        <f t="shared" si="16"/>
        <v>-0.8621058558670458</v>
      </c>
      <c r="T17" s="3499">
        <f t="shared" si="16"/>
        <v>-0.80451404817809546</v>
      </c>
      <c r="U17" s="3499">
        <f t="shared" si="16"/>
        <v>-1.0815607035508101</v>
      </c>
      <c r="V17" s="3499">
        <f t="shared" si="16"/>
        <v>-2.3214254657654365</v>
      </c>
      <c r="W17" s="3499">
        <f t="shared" si="16"/>
        <v>-2.5950538005600321</v>
      </c>
      <c r="X17" s="3499">
        <f t="shared" si="16"/>
        <v>-1.5981145976746047</v>
      </c>
      <c r="Y17" s="3499">
        <f t="shared" si="16"/>
        <v>-1.2120035954926611</v>
      </c>
      <c r="Z17" s="3499">
        <f t="shared" si="16"/>
        <v>-1.0505343595549888</v>
      </c>
      <c r="AA17" s="3499">
        <f t="shared" si="16"/>
        <v>-1.2125557594554026</v>
      </c>
      <c r="AB17" s="3499">
        <f t="shared" si="16"/>
        <v>-1.6930671132084352</v>
      </c>
      <c r="AC17" s="3430">
        <v>-1.9048101405700957</v>
      </c>
      <c r="AD17" s="3430">
        <v>-1.6</v>
      </c>
      <c r="AE17" s="3430">
        <v>-1.6</v>
      </c>
      <c r="AF17" s="3654"/>
    </row>
    <row r="18" spans="1:119" s="699" customFormat="1" ht="12.75" customHeight="1">
      <c r="A18" s="664"/>
      <c r="B18" s="664"/>
      <c r="C18" s="666"/>
      <c r="D18" s="717"/>
      <c r="E18" s="722" t="s">
        <v>714</v>
      </c>
      <c r="F18" s="723" t="str">
        <f>+F12</f>
        <v>L</v>
      </c>
      <c r="G18" s="721"/>
      <c r="H18" s="721" t="e">
        <f t="shared" ref="H18:AA18" si="17">(H12/G12-1)*100</f>
        <v>#VALUE!</v>
      </c>
      <c r="I18" s="721" t="e">
        <f t="shared" si="17"/>
        <v>#VALUE!</v>
      </c>
      <c r="J18" s="721" t="e">
        <f t="shared" si="17"/>
        <v>#VALUE!</v>
      </c>
      <c r="K18" s="721" t="e">
        <f t="shared" si="17"/>
        <v>#VALUE!</v>
      </c>
      <c r="L18" s="721" t="e">
        <f t="shared" si="17"/>
        <v>#VALUE!</v>
      </c>
      <c r="M18" s="721">
        <f t="shared" si="17"/>
        <v>-2.1380647085134874</v>
      </c>
      <c r="N18" s="721">
        <f t="shared" si="17"/>
        <v>-0.36382473033091944</v>
      </c>
      <c r="O18" s="721">
        <f t="shared" si="17"/>
        <v>0.73703461310270502</v>
      </c>
      <c r="P18" s="3500">
        <f t="shared" si="17"/>
        <v>-2.9538913648010312</v>
      </c>
      <c r="Q18" s="3500">
        <f t="shared" si="17"/>
        <v>-1.9132469515056316</v>
      </c>
      <c r="R18" s="3500">
        <f t="shared" si="17"/>
        <v>-3.0942433423696403</v>
      </c>
      <c r="S18" s="3500">
        <f t="shared" si="17"/>
        <v>-6.5822384876645934E-2</v>
      </c>
      <c r="T18" s="3500">
        <f t="shared" si="17"/>
        <v>-8.0356201918008185E-2</v>
      </c>
      <c r="U18" s="3500">
        <f t="shared" si="17"/>
        <v>0.81080012129042256</v>
      </c>
      <c r="V18" s="3500">
        <f t="shared" si="17"/>
        <v>-0.75589150733659238</v>
      </c>
      <c r="W18" s="3500">
        <f t="shared" si="17"/>
        <v>-2.3824583596879667</v>
      </c>
      <c r="X18" s="3500">
        <f t="shared" si="17"/>
        <v>-0.58045356371489998</v>
      </c>
      <c r="Y18" s="3500">
        <f t="shared" si="17"/>
        <v>-0.53156822810590532</v>
      </c>
      <c r="Z18" s="3500">
        <f t="shared" si="17"/>
        <v>0.82789027894372147</v>
      </c>
      <c r="AA18" s="3500">
        <f t="shared" si="17"/>
        <v>-0.51648277262572595</v>
      </c>
      <c r="AB18" s="3500">
        <f>(AB12/AA12-1)*100</f>
        <v>0.57427857954506223</v>
      </c>
      <c r="AC18" s="3431">
        <v>-2.2000000000000002</v>
      </c>
      <c r="AD18" s="3431">
        <v>-0.15</v>
      </c>
      <c r="AE18" s="3431">
        <v>-0.24444399999999999</v>
      </c>
      <c r="AF18" s="3655"/>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row>
    <row r="19" spans="1:119">
      <c r="A19" s="1130"/>
      <c r="Q19" s="599"/>
      <c r="R19" s="599"/>
      <c r="S19" s="2930"/>
      <c r="T19" s="2930"/>
      <c r="U19" s="2930"/>
      <c r="V19" s="2930"/>
      <c r="W19" s="2930"/>
      <c r="X19" s="2930"/>
      <c r="Y19" s="2930"/>
      <c r="Z19" s="2930"/>
      <c r="AA19" s="2930"/>
      <c r="AB19" s="2930"/>
      <c r="AC19" s="3665"/>
      <c r="AD19" s="2930"/>
      <c r="AE19" s="2930"/>
    </row>
    <row r="20" spans="1:119" s="699" customFormat="1" ht="12.75" customHeight="1">
      <c r="A20" s="664"/>
      <c r="B20" s="664"/>
      <c r="C20" s="666"/>
      <c r="D20" s="858"/>
      <c r="E20" s="859" t="s">
        <v>971</v>
      </c>
      <c r="F20" s="860"/>
      <c r="G20" s="861">
        <f>+InputY!$G$3</f>
        <v>1995</v>
      </c>
      <c r="H20" s="861">
        <f>+G20+1</f>
        <v>1996</v>
      </c>
      <c r="I20" s="861">
        <f t="shared" ref="I20:O20" si="18">+H20+1</f>
        <v>1997</v>
      </c>
      <c r="J20" s="861">
        <f t="shared" si="18"/>
        <v>1998</v>
      </c>
      <c r="K20" s="861">
        <f t="shared" si="18"/>
        <v>1999</v>
      </c>
      <c r="L20" s="861">
        <f t="shared" si="18"/>
        <v>2000</v>
      </c>
      <c r="M20" s="861">
        <f t="shared" si="18"/>
        <v>2001</v>
      </c>
      <c r="N20" s="861">
        <f t="shared" si="18"/>
        <v>2002</v>
      </c>
      <c r="O20" s="861">
        <f t="shared" si="18"/>
        <v>2003</v>
      </c>
      <c r="P20" s="3501">
        <f t="shared" ref="P20:W20" si="19">+O20+1</f>
        <v>2004</v>
      </c>
      <c r="Q20" s="3501">
        <f t="shared" si="19"/>
        <v>2005</v>
      </c>
      <c r="R20" s="3501">
        <f t="shared" si="19"/>
        <v>2006</v>
      </c>
      <c r="S20" s="3501">
        <f t="shared" si="19"/>
        <v>2007</v>
      </c>
      <c r="T20" s="3502">
        <f t="shared" si="19"/>
        <v>2008</v>
      </c>
      <c r="U20" s="3502">
        <f t="shared" si="19"/>
        <v>2009</v>
      </c>
      <c r="V20" s="3502">
        <f t="shared" si="19"/>
        <v>2010</v>
      </c>
      <c r="W20" s="3502">
        <f t="shared" si="19"/>
        <v>2011</v>
      </c>
      <c r="X20" s="3502">
        <f t="shared" ref="X20:AE20" si="20">+W20+1</f>
        <v>2012</v>
      </c>
      <c r="Y20" s="3502">
        <f t="shared" si="20"/>
        <v>2013</v>
      </c>
      <c r="Z20" s="3502">
        <f t="shared" si="20"/>
        <v>2014</v>
      </c>
      <c r="AA20" s="3502">
        <f t="shared" si="20"/>
        <v>2015</v>
      </c>
      <c r="AB20" s="3502">
        <f t="shared" si="20"/>
        <v>2016</v>
      </c>
      <c r="AC20" s="3502">
        <f t="shared" si="20"/>
        <v>2017</v>
      </c>
      <c r="AD20" s="3502">
        <f t="shared" si="20"/>
        <v>2018</v>
      </c>
      <c r="AE20" s="3502">
        <f t="shared" si="20"/>
        <v>2019</v>
      </c>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row>
    <row r="21" spans="1:119" s="699" customFormat="1" ht="12.75" customHeight="1">
      <c r="A21" s="664"/>
      <c r="B21" s="664"/>
      <c r="C21" s="862"/>
      <c r="D21" s="863"/>
      <c r="E21" s="864" t="s">
        <v>1150</v>
      </c>
      <c r="F21" s="865" t="str">
        <f>+F5</f>
        <v>Lpop</v>
      </c>
      <c r="G21" s="866"/>
      <c r="H21" s="866">
        <f t="shared" ref="H21:AE21" si="21">+H5-G5</f>
        <v>-27.489000000000033</v>
      </c>
      <c r="I21" s="866">
        <f t="shared" si="21"/>
        <v>-26.475500000000011</v>
      </c>
      <c r="J21" s="866">
        <f t="shared" si="21"/>
        <v>-25.80600000000004</v>
      </c>
      <c r="K21" s="866">
        <f t="shared" si="21"/>
        <v>-25.093499999999949</v>
      </c>
      <c r="L21" s="866">
        <f t="shared" si="21"/>
        <v>-24.701500000000124</v>
      </c>
      <c r="M21" s="866">
        <f t="shared" si="21"/>
        <v>-28.718499999999949</v>
      </c>
      <c r="N21" s="866">
        <f t="shared" si="21"/>
        <v>-27.750500000000102</v>
      </c>
      <c r="O21" s="866">
        <f t="shared" si="21"/>
        <v>-27.853999999999814</v>
      </c>
      <c r="P21" s="3503">
        <f t="shared" si="21"/>
        <v>-38.138500000000022</v>
      </c>
      <c r="Q21" s="3503">
        <f t="shared" si="21"/>
        <v>-54.547000000000025</v>
      </c>
      <c r="R21" s="3503">
        <f t="shared" si="21"/>
        <v>-52.61850000000004</v>
      </c>
      <c r="S21" s="3503">
        <f t="shared" si="21"/>
        <v>-38.615000000000236</v>
      </c>
      <c r="T21" s="3503">
        <f t="shared" si="21"/>
        <v>-33.063499999999749</v>
      </c>
      <c r="U21" s="3503">
        <f t="shared" si="21"/>
        <v>-35.314499999999953</v>
      </c>
      <c r="V21" s="3503">
        <f t="shared" si="21"/>
        <v>-65.634000000000015</v>
      </c>
      <c r="W21" s="3503">
        <f t="shared" si="21"/>
        <v>-69.167500000000018</v>
      </c>
      <c r="X21" s="3503">
        <f t="shared" si="21"/>
        <v>-40.341499999999996</v>
      </c>
      <c r="Y21" s="3503">
        <f t="shared" si="21"/>
        <v>-30.084499999999935</v>
      </c>
      <c r="Z21" s="3653">
        <f t="shared" si="21"/>
        <v>-25.321500000000015</v>
      </c>
      <c r="AA21" s="3653">
        <f t="shared" si="21"/>
        <v>-27.457000000000335</v>
      </c>
      <c r="AB21" s="3653">
        <f t="shared" si="21"/>
        <v>-36.678999999999633</v>
      </c>
      <c r="AC21" s="2940">
        <f t="shared" si="21"/>
        <v>-39.231000000001586</v>
      </c>
      <c r="AD21" s="2940">
        <f t="shared" si="21"/>
        <v>-25.460999999999785</v>
      </c>
      <c r="AE21" s="2940">
        <f t="shared" si="21"/>
        <v>-19.624773000000005</v>
      </c>
      <c r="AF21" s="3654"/>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row>
    <row r="22" spans="1:119">
      <c r="A22" s="1130"/>
      <c r="C22" s="867"/>
      <c r="D22" s="868"/>
      <c r="E22" s="869" t="s">
        <v>2134</v>
      </c>
      <c r="F22" s="870" t="str">
        <f>+F7</f>
        <v>Lage</v>
      </c>
      <c r="G22" s="871"/>
      <c r="H22" s="871">
        <f t="shared" ref="H22:AE22" si="22">+H7-G7</f>
        <v>-20.025000000000091</v>
      </c>
      <c r="I22" s="871">
        <f t="shared" si="22"/>
        <v>-18.809499999999844</v>
      </c>
      <c r="J22" s="871">
        <f t="shared" si="22"/>
        <v>-16.135499999999865</v>
      </c>
      <c r="K22" s="871">
        <f t="shared" si="22"/>
        <v>-11.766000000000076</v>
      </c>
      <c r="L22" s="871">
        <f t="shared" si="22"/>
        <v>-6.8834999999999127</v>
      </c>
      <c r="M22" s="871">
        <f t="shared" si="22"/>
        <v>-10.326000000000022</v>
      </c>
      <c r="N22" s="871">
        <f t="shared" si="22"/>
        <v>-10.771000000000186</v>
      </c>
      <c r="O22" s="871">
        <f t="shared" si="22"/>
        <v>-11.475500000000011</v>
      </c>
      <c r="P22" s="3504">
        <f t="shared" si="22"/>
        <v>-21.702499999999873</v>
      </c>
      <c r="Q22" s="3504">
        <f t="shared" si="22"/>
        <v>-33.460000000000036</v>
      </c>
      <c r="R22" s="3504">
        <f t="shared" si="22"/>
        <v>-31.142499999999927</v>
      </c>
      <c r="S22" s="3504">
        <f t="shared" si="22"/>
        <v>-19.921000000000276</v>
      </c>
      <c r="T22" s="3504">
        <f t="shared" si="22"/>
        <v>-16.880499999999756</v>
      </c>
      <c r="U22" s="3504">
        <f t="shared" si="22"/>
        <v>-21.027000000000044</v>
      </c>
      <c r="V22" s="3504">
        <f t="shared" si="22"/>
        <v>-50.784000000000106</v>
      </c>
      <c r="W22" s="3504">
        <f t="shared" si="22"/>
        <v>-55.397999999999911</v>
      </c>
      <c r="X22" s="3504">
        <f t="shared" si="22"/>
        <v>-29.865999999999985</v>
      </c>
      <c r="Y22" s="3504">
        <f t="shared" si="22"/>
        <v>-22.801000000000158</v>
      </c>
      <c r="Z22" s="3504">
        <f t="shared" si="22"/>
        <v>-22.222999999999956</v>
      </c>
      <c r="AA22" s="3504">
        <f t="shared" si="22"/>
        <v>-27.180499999999938</v>
      </c>
      <c r="AB22" s="3504">
        <f t="shared" si="22"/>
        <v>-36.549999999999955</v>
      </c>
      <c r="AC22" s="2941">
        <f t="shared" si="22"/>
        <v>-40.53449999999998</v>
      </c>
      <c r="AD22" s="2941">
        <f t="shared" si="22"/>
        <v>-35.252600000000029</v>
      </c>
      <c r="AE22" s="2941">
        <f t="shared" si="22"/>
        <v>-32.762653199999932</v>
      </c>
      <c r="AF22" s="3654"/>
    </row>
    <row r="23" spans="1:119">
      <c r="A23" s="1130"/>
      <c r="C23" s="867"/>
      <c r="D23" s="868"/>
      <c r="E23" s="869" t="s">
        <v>2136</v>
      </c>
      <c r="F23" s="870"/>
      <c r="G23" s="871"/>
      <c r="H23" s="871">
        <f>+H10-G10</f>
        <v>-13.294000000000324</v>
      </c>
      <c r="I23" s="871">
        <f t="shared" ref="I23:AE23" si="23">+I10-H10</f>
        <v>-13.50649999999996</v>
      </c>
      <c r="J23" s="871">
        <f t="shared" si="23"/>
        <v>-12.349999999999909</v>
      </c>
      <c r="K23" s="871">
        <f t="shared" si="23"/>
        <v>-10.585500000000138</v>
      </c>
      <c r="L23" s="871">
        <f t="shared" si="23"/>
        <v>-6.4349999999999454</v>
      </c>
      <c r="M23" s="871">
        <f t="shared" si="23"/>
        <v>-6.7759999999998399</v>
      </c>
      <c r="N23" s="871">
        <f t="shared" si="23"/>
        <v>-6.6150000000002365</v>
      </c>
      <c r="O23" s="871">
        <f t="shared" si="23"/>
        <v>-10.046499999999924</v>
      </c>
      <c r="P23" s="3504">
        <f t="shared" si="23"/>
        <v>-21.701999999999771</v>
      </c>
      <c r="Q23" s="3504">
        <f t="shared" si="23"/>
        <v>-35.388500000000022</v>
      </c>
      <c r="R23" s="3504">
        <f t="shared" si="23"/>
        <v>-33.291000000000167</v>
      </c>
      <c r="S23" s="3504">
        <f t="shared" si="23"/>
        <v>-21.656999999999698</v>
      </c>
      <c r="T23" s="3504">
        <f t="shared" si="23"/>
        <v>-20.036000000000058</v>
      </c>
      <c r="U23" s="3504">
        <f t="shared" si="23"/>
        <v>-26.719000000000051</v>
      </c>
      <c r="V23" s="3504">
        <f t="shared" si="23"/>
        <v>-56.728500000000167</v>
      </c>
      <c r="W23" s="3504">
        <f t="shared" si="23"/>
        <v>-61.942999999999756</v>
      </c>
      <c r="X23" s="3504">
        <f t="shared" si="23"/>
        <v>-37.156500000000051</v>
      </c>
      <c r="Y23" s="3504">
        <f t="shared" si="23"/>
        <v>-27.729000000000269</v>
      </c>
      <c r="Z23" s="3504">
        <f t="shared" si="23"/>
        <v>-23.74350000000004</v>
      </c>
      <c r="AA23" s="3504">
        <f t="shared" si="23"/>
        <v>-27.117499999999836</v>
      </c>
      <c r="AB23" s="3504">
        <f t="shared" si="23"/>
        <v>-37.404500000000098</v>
      </c>
      <c r="AC23" s="2941">
        <f t="shared" si="23"/>
        <v>-41.369999999999436</v>
      </c>
      <c r="AD23" s="2941">
        <f t="shared" si="23"/>
        <v>-34.088000000000193</v>
      </c>
      <c r="AE23" s="2941">
        <f t="shared" si="23"/>
        <v>-33.542592000000241</v>
      </c>
      <c r="AF23" s="3654"/>
    </row>
    <row r="24" spans="1:119" s="699" customFormat="1" ht="12.75" customHeight="1">
      <c r="A24" s="664"/>
      <c r="B24" s="664"/>
      <c r="C24" s="666"/>
      <c r="D24" s="806"/>
      <c r="E24" s="807" t="s">
        <v>714</v>
      </c>
      <c r="F24" s="808" t="str">
        <f>+F12</f>
        <v>L</v>
      </c>
      <c r="G24" s="809"/>
      <c r="H24" s="857" t="e">
        <f t="shared" ref="H24:AE24" si="24">+H12-G12</f>
        <v>#VALUE!</v>
      </c>
      <c r="I24" s="857" t="e">
        <f t="shared" si="24"/>
        <v>#VALUE!</v>
      </c>
      <c r="J24" s="857" t="e">
        <f t="shared" si="24"/>
        <v>#VALUE!</v>
      </c>
      <c r="K24" s="857" t="e">
        <f t="shared" si="24"/>
        <v>#VALUE!</v>
      </c>
      <c r="L24" s="857" t="e">
        <f t="shared" si="24"/>
        <v>#VALUE!</v>
      </c>
      <c r="M24" s="857">
        <f t="shared" si="24"/>
        <v>-35.849999999999909</v>
      </c>
      <c r="N24" s="857">
        <f t="shared" si="24"/>
        <v>-5.9700000000000273</v>
      </c>
      <c r="O24" s="857">
        <f t="shared" si="24"/>
        <v>12.049999999999955</v>
      </c>
      <c r="P24" s="3505">
        <f t="shared" si="24"/>
        <v>-48.650000000000091</v>
      </c>
      <c r="Q24" s="3505">
        <f t="shared" si="24"/>
        <v>-30.579999999999927</v>
      </c>
      <c r="R24" s="3505">
        <f t="shared" si="24"/>
        <v>-48.509999999999991</v>
      </c>
      <c r="S24" s="3505">
        <f t="shared" si="24"/>
        <v>-1</v>
      </c>
      <c r="T24" s="2283">
        <f t="shared" si="24"/>
        <v>-1.2200000000000273</v>
      </c>
      <c r="U24" s="2283">
        <f t="shared" si="24"/>
        <v>12.299999999999955</v>
      </c>
      <c r="V24" s="2283">
        <f t="shared" si="24"/>
        <v>-11.559999999999945</v>
      </c>
      <c r="W24" s="2283">
        <f t="shared" si="24"/>
        <v>-36.160000000000082</v>
      </c>
      <c r="X24" s="2283">
        <f t="shared" si="24"/>
        <v>-8.5999999999999091</v>
      </c>
      <c r="Y24" s="2283">
        <f t="shared" si="24"/>
        <v>-7.8299999999999272</v>
      </c>
      <c r="Z24" s="2283">
        <f t="shared" si="24"/>
        <v>12.129999999999882</v>
      </c>
      <c r="AA24" s="2283">
        <f t="shared" si="24"/>
        <v>-7.6299999999998818</v>
      </c>
      <c r="AB24" s="2283">
        <f t="shared" si="24"/>
        <v>8.4399999999998272</v>
      </c>
      <c r="AC24" s="2283">
        <f t="shared" si="24"/>
        <v>-32.518420000000106</v>
      </c>
      <c r="AD24" s="2283">
        <f t="shared" si="24"/>
        <v>-2.1683873699998912</v>
      </c>
      <c r="AE24" s="2283">
        <f t="shared" si="24"/>
        <v>-3.5283613889923799</v>
      </c>
      <c r="AF24" s="365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row>
    <row r="25" spans="1:119" ht="30" customHeight="1">
      <c r="A25" s="1130"/>
      <c r="S25" s="2930"/>
      <c r="T25" s="2930"/>
      <c r="U25" s="2930"/>
      <c r="V25" s="2930"/>
      <c r="W25" s="2930"/>
      <c r="X25" s="3147"/>
      <c r="Y25" s="2930"/>
      <c r="Z25" s="2930"/>
      <c r="AA25" s="2930"/>
      <c r="AB25" s="2930"/>
      <c r="AC25" s="2930"/>
      <c r="AD25" s="2930"/>
      <c r="AE25" s="2930"/>
    </row>
    <row r="26" spans="1:119" ht="30" customHeight="1">
      <c r="A26" s="1130"/>
      <c r="S26" s="2930"/>
      <c r="T26" s="2930"/>
      <c r="U26" s="2930"/>
      <c r="V26" s="2930"/>
      <c r="W26" s="3487"/>
      <c r="X26" s="3147"/>
      <c r="Y26" s="2930"/>
      <c r="Z26" s="3147"/>
      <c r="AA26" s="2930"/>
      <c r="AB26" s="2930"/>
      <c r="AC26" s="2930"/>
      <c r="AD26" s="2930"/>
      <c r="AE26" s="2930"/>
    </row>
    <row r="27" spans="1:119" ht="22.5" customHeight="1">
      <c r="A27" s="1130"/>
      <c r="C27" s="3752" t="s">
        <v>965</v>
      </c>
      <c r="D27" s="3752"/>
      <c r="E27" s="3752"/>
      <c r="F27" s="3752"/>
      <c r="S27" s="3147"/>
      <c r="T27" s="3147"/>
      <c r="U27" s="3147"/>
      <c r="V27" s="2930"/>
      <c r="W27" s="2930">
        <f t="shared" ref="W27:X27" si="25">W30/W31</f>
        <v>4.2910190390702514</v>
      </c>
      <c r="X27" s="2930">
        <f t="shared" si="25"/>
        <v>4.4737629736905626</v>
      </c>
      <c r="Y27" s="2930">
        <f>Y30/Y31</f>
        <v>4.5578854969277289</v>
      </c>
      <c r="Z27" s="2930">
        <f>Z30/Z31</f>
        <v>4.5915608555013767</v>
      </c>
      <c r="AA27" s="2930">
        <f>AA30/AA31</f>
        <v>4.482723101413991</v>
      </c>
      <c r="AB27" s="2930">
        <f>AB30/AB31</f>
        <v>4.4496049687171757</v>
      </c>
      <c r="AC27" s="2930">
        <f>AC30/AC31</f>
        <v>4.5427906976744197</v>
      </c>
      <c r="AD27" s="3488">
        <f>AC32-AC31</f>
        <v>976.7</v>
      </c>
      <c r="AE27" s="2930"/>
    </row>
    <row r="28" spans="1:119">
      <c r="A28" s="1130"/>
      <c r="Q28" s="599"/>
      <c r="R28" s="599"/>
      <c r="S28" s="599"/>
      <c r="T28" s="599"/>
      <c r="U28" s="599"/>
      <c r="V28" s="599"/>
      <c r="W28" s="599"/>
      <c r="X28" s="599"/>
      <c r="Y28" s="599"/>
      <c r="Z28" s="599"/>
      <c r="AA28" s="599"/>
      <c r="AB28" s="599"/>
      <c r="AC28" s="3667">
        <f>AC36/AB36-1</f>
        <v>-4.6912510737017188E-3</v>
      </c>
      <c r="AD28" s="3667">
        <f t="shared" ref="AD28:AE28" si="26">AD36/AC36-1</f>
        <v>-5.4332365908232871E-3</v>
      </c>
      <c r="AE28" s="3667">
        <f t="shared" si="26"/>
        <v>-3.0321226620059205E-3</v>
      </c>
    </row>
    <row r="29" spans="1:119" s="699" customFormat="1" ht="12.75" customHeight="1">
      <c r="A29" s="664"/>
      <c r="B29" s="664"/>
      <c r="C29" s="666"/>
      <c r="D29" s="695"/>
      <c r="E29" s="696" t="s">
        <v>969</v>
      </c>
      <c r="F29" s="697"/>
      <c r="G29" s="698">
        <f>+InputY!$G$3</f>
        <v>1995</v>
      </c>
      <c r="H29" s="698">
        <f>+G29+1</f>
        <v>1996</v>
      </c>
      <c r="I29" s="698">
        <f t="shared" ref="I29:O29" si="27">+H29+1</f>
        <v>1997</v>
      </c>
      <c r="J29" s="698">
        <f t="shared" si="27"/>
        <v>1998</v>
      </c>
      <c r="K29" s="698">
        <f t="shared" si="27"/>
        <v>1999</v>
      </c>
      <c r="L29" s="698">
        <f t="shared" si="27"/>
        <v>2000</v>
      </c>
      <c r="M29" s="698">
        <f t="shared" si="27"/>
        <v>2001</v>
      </c>
      <c r="N29" s="698">
        <f t="shared" si="27"/>
        <v>2002</v>
      </c>
      <c r="O29" s="698">
        <f t="shared" si="27"/>
        <v>2003</v>
      </c>
      <c r="P29" s="3490">
        <f t="shared" ref="P29:V29" si="28">+O29+1</f>
        <v>2004</v>
      </c>
      <c r="Q29" s="3490">
        <f t="shared" si="28"/>
        <v>2005</v>
      </c>
      <c r="R29" s="3490">
        <f t="shared" si="28"/>
        <v>2006</v>
      </c>
      <c r="S29" s="3490">
        <f t="shared" si="28"/>
        <v>2007</v>
      </c>
      <c r="T29" s="3491">
        <f t="shared" si="28"/>
        <v>2008</v>
      </c>
      <c r="U29" s="3491">
        <f t="shared" si="28"/>
        <v>2009</v>
      </c>
      <c r="V29" s="3491">
        <f t="shared" si="28"/>
        <v>2010</v>
      </c>
      <c r="W29" s="3491">
        <f t="shared" ref="W29:AE29" si="29">+V29+1</f>
        <v>2011</v>
      </c>
      <c r="X29" s="3491">
        <f t="shared" si="29"/>
        <v>2012</v>
      </c>
      <c r="Y29" s="3491">
        <f t="shared" si="29"/>
        <v>2013</v>
      </c>
      <c r="Z29" s="3491">
        <f t="shared" si="29"/>
        <v>2014</v>
      </c>
      <c r="AA29" s="3491">
        <f t="shared" si="29"/>
        <v>2015</v>
      </c>
      <c r="AB29" s="3491">
        <f t="shared" si="29"/>
        <v>2016</v>
      </c>
      <c r="AC29" s="3491">
        <f t="shared" si="29"/>
        <v>2017</v>
      </c>
      <c r="AD29" s="3491">
        <f t="shared" si="29"/>
        <v>2018</v>
      </c>
      <c r="AE29" s="3491">
        <f t="shared" si="29"/>
        <v>2019</v>
      </c>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row>
    <row r="30" spans="1:119">
      <c r="A30" s="1130"/>
      <c r="C30" s="985" t="s">
        <v>1767</v>
      </c>
      <c r="D30" s="773"/>
      <c r="E30" s="986" t="s">
        <v>733</v>
      </c>
      <c r="F30" s="3656" t="s">
        <v>1709</v>
      </c>
      <c r="G30" s="889" t="e">
        <f>+G32-G31</f>
        <v>#VALUE!</v>
      </c>
      <c r="H30" s="889" t="e">
        <f t="shared" ref="H30:P30" si="30">+H32-H31</f>
        <v>#VALUE!</v>
      </c>
      <c r="I30" s="889" t="e">
        <f t="shared" si="30"/>
        <v>#VALUE!</v>
      </c>
      <c r="J30" s="889" t="e">
        <f t="shared" si="30"/>
        <v>#VALUE!</v>
      </c>
      <c r="K30" s="889" t="e">
        <f t="shared" si="30"/>
        <v>#VALUE!</v>
      </c>
      <c r="L30" s="889">
        <f t="shared" si="30"/>
        <v>884.7399999999999</v>
      </c>
      <c r="M30" s="889">
        <f t="shared" si="30"/>
        <v>843.92000000000007</v>
      </c>
      <c r="N30" s="889">
        <f t="shared" si="30"/>
        <v>885.85000000000014</v>
      </c>
      <c r="O30" s="889">
        <f t="shared" si="30"/>
        <v>916.56</v>
      </c>
      <c r="P30" s="3506">
        <f t="shared" si="30"/>
        <v>920.2</v>
      </c>
      <c r="Q30" s="3506">
        <f t="shared" ref="Q30:V30" si="31">+Q32-Q31</f>
        <v>948.71999999999991</v>
      </c>
      <c r="R30" s="3506">
        <f t="shared" si="31"/>
        <v>977.57999999999993</v>
      </c>
      <c r="S30" s="3506">
        <f t="shared" si="31"/>
        <v>1009.4200000000001</v>
      </c>
      <c r="T30" s="3506">
        <f t="shared" si="31"/>
        <v>1035.45</v>
      </c>
      <c r="U30" s="3506">
        <f t="shared" si="31"/>
        <v>937.37</v>
      </c>
      <c r="V30" s="3506">
        <f t="shared" si="31"/>
        <v>896.20999999999992</v>
      </c>
      <c r="W30" s="3506">
        <f t="shared" ref="W30:AB30" si="32">+W32-W31</f>
        <v>908.28000000000009</v>
      </c>
      <c r="X30" s="3506">
        <f t="shared" si="32"/>
        <v>926.74000000000012</v>
      </c>
      <c r="Y30" s="3506">
        <f t="shared" si="32"/>
        <v>934.6400000000001</v>
      </c>
      <c r="Z30" s="3506">
        <f t="shared" si="32"/>
        <v>951.05000000000007</v>
      </c>
      <c r="AA30" s="3506">
        <f t="shared" si="32"/>
        <v>957.42000000000007</v>
      </c>
      <c r="AB30" s="3506">
        <f t="shared" si="32"/>
        <v>974.32999999999993</v>
      </c>
      <c r="AC30" s="2932">
        <f t="shared" ref="AC30:AE31" si="33">+AB30*(1+AC47/100)</f>
        <v>976.70000000000027</v>
      </c>
      <c r="AD30" s="2932">
        <f t="shared" si="33"/>
        <v>972.30485000000033</v>
      </c>
      <c r="AE30" s="2932">
        <f t="shared" si="33"/>
        <v>970.26300981500037</v>
      </c>
    </row>
    <row r="31" spans="1:119">
      <c r="A31" s="664">
        <f>+ROW(InputY!A278)</f>
        <v>278</v>
      </c>
      <c r="C31" s="671" t="s">
        <v>1767</v>
      </c>
      <c r="D31" s="674"/>
      <c r="E31" s="220" t="s">
        <v>1022</v>
      </c>
      <c r="F31" s="725" t="s">
        <v>1710</v>
      </c>
      <c r="G31" s="1559">
        <f>+InputY!G278</f>
        <v>209.6</v>
      </c>
      <c r="H31" s="1559">
        <f>+InputY!H278</f>
        <v>213.6</v>
      </c>
      <c r="I31" s="1559">
        <f>+InputY!I278</f>
        <v>218.6</v>
      </c>
      <c r="J31" s="1559">
        <f>+InputY!J278</f>
        <v>219.3</v>
      </c>
      <c r="K31" s="1559">
        <f>+InputY!K278</f>
        <v>233.1</v>
      </c>
      <c r="L31" s="1559">
        <f>+InputY!L278</f>
        <v>239.1</v>
      </c>
      <c r="M31" s="1559">
        <f>+InputY!M278</f>
        <v>234.5</v>
      </c>
      <c r="N31" s="1559">
        <f>+InputY!N278</f>
        <v>226.8</v>
      </c>
      <c r="O31" s="1559">
        <f>+InputY!O278</f>
        <v>216.3</v>
      </c>
      <c r="P31" s="3507">
        <f>+InputY!P278</f>
        <v>226.7</v>
      </c>
      <c r="Q31" s="3508">
        <f>+InputY!Q278</f>
        <v>225.85000000000002</v>
      </c>
      <c r="R31" s="3508">
        <f>+InputY!R278</f>
        <v>195.92000000000002</v>
      </c>
      <c r="S31" s="3508">
        <f>+InputY!S278</f>
        <v>224.24</v>
      </c>
      <c r="T31" s="3508">
        <f>+InputY!T278</f>
        <v>224.18</v>
      </c>
      <c r="U31" s="3508">
        <f>+InputY!U278</f>
        <v>221.36</v>
      </c>
      <c r="V31" s="3508">
        <f>+InputY!V278</f>
        <v>214.87</v>
      </c>
      <c r="W31" s="3508">
        <f>+InputY!W278</f>
        <v>211.67</v>
      </c>
      <c r="X31" s="3508">
        <f>+InputY!X278</f>
        <v>207.15</v>
      </c>
      <c r="Y31" s="3508">
        <f>+InputY!Y278</f>
        <v>205.06</v>
      </c>
      <c r="Z31" s="3508">
        <f>+InputY!Z278</f>
        <v>207.13</v>
      </c>
      <c r="AA31" s="3508">
        <f>+InputY!AA278</f>
        <v>213.57999999999998</v>
      </c>
      <c r="AB31" s="3508">
        <f>+InputY!AB278</f>
        <v>218.97</v>
      </c>
      <c r="AC31" s="2943">
        <f t="shared" si="33"/>
        <v>215.00000000000003</v>
      </c>
      <c r="AD31" s="2943">
        <f t="shared" si="33"/>
        <v>212.85000000000002</v>
      </c>
      <c r="AE31" s="2943">
        <f t="shared" si="33"/>
        <v>212.42430000000002</v>
      </c>
      <c r="AF31" s="3661"/>
      <c r="AG31" s="3194">
        <f>AC32-AC31</f>
        <v>976.7</v>
      </c>
    </row>
    <row r="32" spans="1:119">
      <c r="A32" s="664">
        <f>+ROW(InputY!A8)</f>
        <v>8</v>
      </c>
      <c r="B32" s="665">
        <v>63</v>
      </c>
      <c r="C32" s="671" t="s">
        <v>1769</v>
      </c>
      <c r="D32" s="746"/>
      <c r="E32" s="750" t="s">
        <v>1711</v>
      </c>
      <c r="F32" s="751" t="str">
        <f>+InputY!B8</f>
        <v>LEmpD</v>
      </c>
      <c r="G32" s="749" t="str">
        <f>+InputY!G8</f>
        <v>:</v>
      </c>
      <c r="H32" s="749" t="str">
        <f>+InputY!H8</f>
        <v>:</v>
      </c>
      <c r="I32" s="749" t="str">
        <f>+InputY!I8</f>
        <v>:</v>
      </c>
      <c r="J32" s="749" t="str">
        <f>+InputY!J8</f>
        <v>:</v>
      </c>
      <c r="K32" s="749" t="str">
        <f>+InputY!K8</f>
        <v>:</v>
      </c>
      <c r="L32" s="749">
        <f>+InputY!L8</f>
        <v>1123.8399999999999</v>
      </c>
      <c r="M32" s="749">
        <f>+InputY!M8</f>
        <v>1078.42</v>
      </c>
      <c r="N32" s="749">
        <f>+InputY!N8</f>
        <v>1112.6500000000001</v>
      </c>
      <c r="O32" s="749">
        <f>+InputY!O8</f>
        <v>1132.8599999999999</v>
      </c>
      <c r="P32" s="3509">
        <f>+InputY!P8</f>
        <v>1146.9000000000001</v>
      </c>
      <c r="Q32" s="3509">
        <f>+InputY!Q8</f>
        <v>1174.57</v>
      </c>
      <c r="R32" s="3509">
        <f>+InputY!R8</f>
        <v>1173.5</v>
      </c>
      <c r="S32" s="3509">
        <f>+InputY!S8</f>
        <v>1233.6600000000001</v>
      </c>
      <c r="T32" s="3509">
        <f>+InputY!T8</f>
        <v>1259.6300000000001</v>
      </c>
      <c r="U32" s="3509">
        <f>+InputY!U8</f>
        <v>1158.73</v>
      </c>
      <c r="V32" s="3509">
        <f>+InputY!V8</f>
        <v>1111.08</v>
      </c>
      <c r="W32" s="3509">
        <f>+InputY!W8</f>
        <v>1119.95</v>
      </c>
      <c r="X32" s="3509">
        <f>+InputY!X8</f>
        <v>1133.8900000000001</v>
      </c>
      <c r="Y32" s="3509">
        <f>+InputY!Y8</f>
        <v>1139.7</v>
      </c>
      <c r="Z32" s="3509">
        <f>+InputY!Z8</f>
        <v>1158.18</v>
      </c>
      <c r="AA32" s="3509">
        <f>+InputY!AA8</f>
        <v>1171</v>
      </c>
      <c r="AB32" s="3509">
        <f>+InputY!AB8</f>
        <v>1193.3</v>
      </c>
      <c r="AC32" s="3509">
        <f>+InputY!AC8</f>
        <v>1191.7</v>
      </c>
      <c r="AD32" s="2934">
        <f>+AD30+AD31</f>
        <v>1185.1548500000004</v>
      </c>
      <c r="AE32" s="2934">
        <f>+AE30+AE31</f>
        <v>1182.6873098150004</v>
      </c>
    </row>
    <row r="33" spans="1:119">
      <c r="A33" s="1130"/>
      <c r="C33" s="671" t="s">
        <v>1767</v>
      </c>
      <c r="D33" s="674"/>
      <c r="E33" s="220" t="s">
        <v>238</v>
      </c>
      <c r="F33" s="710" t="s">
        <v>717</v>
      </c>
      <c r="G33" s="705" t="e">
        <f>+G34-G32</f>
        <v>#VALUE!</v>
      </c>
      <c r="H33" s="705" t="e">
        <f t="shared" ref="H33:T33" si="34">+H34-H32</f>
        <v>#VALUE!</v>
      </c>
      <c r="I33" s="705" t="e">
        <f t="shared" si="34"/>
        <v>#VALUE!</v>
      </c>
      <c r="J33" s="705" t="e">
        <f t="shared" si="34"/>
        <v>#VALUE!</v>
      </c>
      <c r="K33" s="705" t="e">
        <f t="shared" si="34"/>
        <v>#VALUE!</v>
      </c>
      <c r="L33" s="705">
        <f t="shared" si="34"/>
        <v>275.35000000000014</v>
      </c>
      <c r="M33" s="705">
        <f t="shared" si="34"/>
        <v>267.56999999999994</v>
      </c>
      <c r="N33" s="705">
        <f t="shared" si="34"/>
        <v>282.02999999999997</v>
      </c>
      <c r="O33" s="705">
        <f t="shared" si="34"/>
        <v>292.85000000000014</v>
      </c>
      <c r="P33" s="3493">
        <f t="shared" si="34"/>
        <v>263.19999999999982</v>
      </c>
      <c r="Q33" s="3493">
        <f t="shared" si="34"/>
        <v>246.15000000000009</v>
      </c>
      <c r="R33" s="3493">
        <f t="shared" si="34"/>
        <v>242.76</v>
      </c>
      <c r="S33" s="3493">
        <f>+S34-S32</f>
        <v>211.48000000000002</v>
      </c>
      <c r="T33" s="3493">
        <f t="shared" si="34"/>
        <v>166.45999999999981</v>
      </c>
      <c r="U33" s="3493">
        <f t="shared" ref="U33:AC33" si="35">+U34-U32</f>
        <v>157.77999999999997</v>
      </c>
      <c r="V33" s="3493">
        <f t="shared" si="35"/>
        <v>135.69000000000005</v>
      </c>
      <c r="W33" s="3493">
        <f t="shared" si="35"/>
        <v>132.75</v>
      </c>
      <c r="X33" s="3493">
        <f t="shared" si="35"/>
        <v>141.01</v>
      </c>
      <c r="Y33" s="3493">
        <f t="shared" si="35"/>
        <v>152.19000000000005</v>
      </c>
      <c r="Z33" s="3493">
        <f t="shared" si="35"/>
        <v>159.62999999999988</v>
      </c>
      <c r="AA33" s="3493">
        <f t="shared" si="35"/>
        <v>163.73000000000002</v>
      </c>
      <c r="AB33" s="3493">
        <f t="shared" si="35"/>
        <v>167.91000000000008</v>
      </c>
      <c r="AC33" s="3493">
        <f t="shared" si="35"/>
        <v>162.40999999999985</v>
      </c>
      <c r="AD33" s="2944">
        <f>+AC33*(1+AD50/100)</f>
        <v>161.59794999999986</v>
      </c>
      <c r="AE33" s="2944">
        <f>+AD33*(1+AE50/100)</f>
        <v>159.98197049999985</v>
      </c>
    </row>
    <row r="34" spans="1:119">
      <c r="A34" s="664">
        <f>+ROW(InputY!A7)</f>
        <v>7</v>
      </c>
      <c r="B34" s="665">
        <v>59</v>
      </c>
      <c r="C34" s="671" t="s">
        <v>1769</v>
      </c>
      <c r="D34" s="746"/>
      <c r="E34" s="750" t="s">
        <v>752</v>
      </c>
      <c r="F34" s="751" t="str">
        <f>+InputY!B7</f>
        <v>LEmpTotD</v>
      </c>
      <c r="G34" s="749" t="str">
        <f>+InputY!G7</f>
        <v>:</v>
      </c>
      <c r="H34" s="749" t="str">
        <f>+InputY!H7</f>
        <v>:</v>
      </c>
      <c r="I34" s="749" t="str">
        <f>+InputY!I7</f>
        <v>:</v>
      </c>
      <c r="J34" s="749" t="str">
        <f>+InputY!J7</f>
        <v>:</v>
      </c>
      <c r="K34" s="749" t="str">
        <f>+InputY!K7</f>
        <v>:</v>
      </c>
      <c r="L34" s="749">
        <f>+InputY!L7</f>
        <v>1399.19</v>
      </c>
      <c r="M34" s="749">
        <f>+InputY!M7</f>
        <v>1345.99</v>
      </c>
      <c r="N34" s="749">
        <f>+InputY!N7</f>
        <v>1394.68</v>
      </c>
      <c r="O34" s="749">
        <f>+InputY!O7</f>
        <v>1425.71</v>
      </c>
      <c r="P34" s="3509">
        <f>+InputY!P7</f>
        <v>1410.1</v>
      </c>
      <c r="Q34" s="3509">
        <f>+InputY!Q7</f>
        <v>1420.72</v>
      </c>
      <c r="R34" s="3509">
        <f>+InputY!R7</f>
        <v>1416.26</v>
      </c>
      <c r="S34" s="3509">
        <f>+InputY!S7</f>
        <v>1445.14</v>
      </c>
      <c r="T34" s="3509">
        <f>+InputY!T7</f>
        <v>1426.09</v>
      </c>
      <c r="U34" s="3509">
        <f>+InputY!U7</f>
        <v>1316.51</v>
      </c>
      <c r="V34" s="3509">
        <f>+InputY!V7</f>
        <v>1246.77</v>
      </c>
      <c r="W34" s="3509">
        <f>+InputY!W7</f>
        <v>1252.7</v>
      </c>
      <c r="X34" s="3509">
        <f>+InputY!X7</f>
        <v>1274.9000000000001</v>
      </c>
      <c r="Y34" s="3509">
        <f>+InputY!Y7</f>
        <v>1291.8900000000001</v>
      </c>
      <c r="Z34" s="3509">
        <f>+InputY!Z7</f>
        <v>1317.81</v>
      </c>
      <c r="AA34" s="3509">
        <f>+InputY!AA7</f>
        <v>1334.73</v>
      </c>
      <c r="AB34" s="3509">
        <f>+InputY!AB7</f>
        <v>1361.21</v>
      </c>
      <c r="AC34" s="3509">
        <f>+InputY!AC7</f>
        <v>1354.11</v>
      </c>
      <c r="AD34" s="2934">
        <f>+AD32+AD33</f>
        <v>1346.7528000000002</v>
      </c>
      <c r="AE34" s="2934">
        <f>+AE32+AE33</f>
        <v>1342.6692803150002</v>
      </c>
    </row>
    <row r="35" spans="1:119">
      <c r="A35" s="664"/>
      <c r="C35" s="671" t="s">
        <v>1767</v>
      </c>
      <c r="D35" s="674"/>
      <c r="E35" s="220" t="s">
        <v>719</v>
      </c>
      <c r="F35" s="710" t="s">
        <v>272</v>
      </c>
      <c r="G35" s="877" t="e">
        <f>+G36-G34</f>
        <v>#VALUE!</v>
      </c>
      <c r="H35" s="877" t="e">
        <f t="shared" ref="H35:AC35" si="36">+H36-H34</f>
        <v>#VALUE!</v>
      </c>
      <c r="I35" s="877" t="e">
        <f t="shared" si="36"/>
        <v>#VALUE!</v>
      </c>
      <c r="J35" s="877" t="e">
        <f t="shared" si="36"/>
        <v>#VALUE!</v>
      </c>
      <c r="K35" s="877" t="e">
        <f t="shared" si="36"/>
        <v>#VALUE!</v>
      </c>
      <c r="L35" s="877">
        <f t="shared" si="36"/>
        <v>3.5599999999999454</v>
      </c>
      <c r="M35" s="877">
        <f t="shared" si="36"/>
        <v>10.910000000000082</v>
      </c>
      <c r="N35" s="877">
        <f t="shared" si="36"/>
        <v>16.25</v>
      </c>
      <c r="O35" s="877">
        <f t="shared" si="36"/>
        <v>17.269999999999982</v>
      </c>
      <c r="P35" s="3510">
        <f t="shared" si="36"/>
        <v>15.230000000000018</v>
      </c>
      <c r="Q35" s="3510">
        <f t="shared" si="36"/>
        <v>17.029999999999973</v>
      </c>
      <c r="R35" s="3510">
        <f t="shared" si="36"/>
        <v>14.980000000000018</v>
      </c>
      <c r="S35" s="3510">
        <f t="shared" si="36"/>
        <v>9.0999999999999091</v>
      </c>
      <c r="T35" s="3510">
        <f t="shared" si="36"/>
        <v>2.9300000000000637</v>
      </c>
      <c r="U35" s="3510">
        <f t="shared" si="36"/>
        <v>1.8099999999999454</v>
      </c>
      <c r="V35" s="3510">
        <f t="shared" si="36"/>
        <v>0.99000000000000909</v>
      </c>
      <c r="W35" s="3510">
        <f t="shared" si="36"/>
        <v>0.89999999999986358</v>
      </c>
      <c r="X35" s="3510">
        <f t="shared" si="36"/>
        <v>1.0999999999999091</v>
      </c>
      <c r="Y35" s="3510">
        <f t="shared" si="36"/>
        <v>1.2799999999999727</v>
      </c>
      <c r="Z35" s="3510">
        <f t="shared" si="36"/>
        <v>1.4900000000000091</v>
      </c>
      <c r="AA35" s="3510">
        <f t="shared" si="36"/>
        <v>0.94000000000005457</v>
      </c>
      <c r="AB35" s="3510">
        <f t="shared" si="36"/>
        <v>0.89999999999986358</v>
      </c>
      <c r="AC35" s="3510">
        <f t="shared" si="36"/>
        <v>1.6100000000001273</v>
      </c>
      <c r="AD35" s="2934">
        <f>+AC35*(1+AD52/100)</f>
        <v>1.6012524890889011</v>
      </c>
      <c r="AE35" s="2934">
        <f>+AD35*(1+AE52/100)</f>
        <v>1.596397295129141</v>
      </c>
    </row>
    <row r="36" spans="1:119" s="699" customFormat="1" ht="12.75" customHeight="1">
      <c r="A36" s="664">
        <f>+ROW(InputY!A222)</f>
        <v>222</v>
      </c>
      <c r="B36" s="664">
        <v>79</v>
      </c>
      <c r="C36" s="878" t="s">
        <v>1769</v>
      </c>
      <c r="D36" s="746"/>
      <c r="E36" s="747" t="s">
        <v>753</v>
      </c>
      <c r="F36" s="748" t="str">
        <f>+InputY!B222</f>
        <v>LEmpTot</v>
      </c>
      <c r="G36" s="749" t="str">
        <f>+InputY!G222</f>
        <v>:</v>
      </c>
      <c r="H36" s="749" t="str">
        <f>+InputY!H222</f>
        <v>:</v>
      </c>
      <c r="I36" s="749" t="str">
        <f>+InputY!I222</f>
        <v>:</v>
      </c>
      <c r="J36" s="749" t="str">
        <f>+InputY!J222</f>
        <v>:</v>
      </c>
      <c r="K36" s="749" t="str">
        <f>+InputY!K222</f>
        <v>:</v>
      </c>
      <c r="L36" s="749">
        <f>+InputY!L222</f>
        <v>1402.75</v>
      </c>
      <c r="M36" s="749">
        <f>+InputY!M222</f>
        <v>1356.9</v>
      </c>
      <c r="N36" s="749">
        <f>+InputY!N222</f>
        <v>1410.93</v>
      </c>
      <c r="O36" s="749">
        <f>+InputY!O222</f>
        <v>1442.98</v>
      </c>
      <c r="P36" s="3509">
        <f>+InputY!P222</f>
        <v>1425.33</v>
      </c>
      <c r="Q36" s="3509">
        <f>+InputY!Q222</f>
        <v>1437.75</v>
      </c>
      <c r="R36" s="3509">
        <f>+InputY!R222</f>
        <v>1431.24</v>
      </c>
      <c r="S36" s="3509">
        <f>+InputY!S222</f>
        <v>1454.24</v>
      </c>
      <c r="T36" s="3509">
        <f>+InputY!T222</f>
        <v>1429.02</v>
      </c>
      <c r="U36" s="3509">
        <f>+InputY!U222</f>
        <v>1318.32</v>
      </c>
      <c r="V36" s="3509">
        <f>+InputY!V222</f>
        <v>1247.76</v>
      </c>
      <c r="W36" s="3509">
        <f>+InputY!W222</f>
        <v>1253.5999999999999</v>
      </c>
      <c r="X36" s="3509">
        <f>+InputY!X222</f>
        <v>1276</v>
      </c>
      <c r="Y36" s="3509">
        <f>+InputY!Y222</f>
        <v>1293.17</v>
      </c>
      <c r="Z36" s="3509">
        <f>+InputY!Z222</f>
        <v>1319.3</v>
      </c>
      <c r="AA36" s="3509">
        <f>+InputY!AA222</f>
        <v>1335.67</v>
      </c>
      <c r="AB36" s="3509">
        <f>+InputY!AB222</f>
        <v>1362.11</v>
      </c>
      <c r="AC36" s="3509">
        <f>+InputY!AC222</f>
        <v>1355.72</v>
      </c>
      <c r="AD36" s="2934">
        <f>+AD34+AD35</f>
        <v>1348.3540524890891</v>
      </c>
      <c r="AE36" s="2934">
        <f>+AE34+AE35</f>
        <v>1344.2656776101294</v>
      </c>
      <c r="AF36"/>
      <c r="AG36" s="3664"/>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row>
    <row r="37" spans="1:119" s="26" customFormat="1">
      <c r="A37" s="664"/>
      <c r="B37" s="673"/>
      <c r="C37" s="879"/>
      <c r="D37" s="679"/>
      <c r="E37" s="680" t="s">
        <v>915</v>
      </c>
      <c r="F37" s="679" t="s">
        <v>968</v>
      </c>
      <c r="G37" s="682" t="e">
        <f t="shared" ref="G37:Z37" si="37">+G36/G7</f>
        <v>#VALUE!</v>
      </c>
      <c r="H37" s="682" t="e">
        <f t="shared" si="37"/>
        <v>#VALUE!</v>
      </c>
      <c r="I37" s="682" t="e">
        <f t="shared" si="37"/>
        <v>#VALUE!</v>
      </c>
      <c r="J37" s="682" t="e">
        <f t="shared" si="37"/>
        <v>#VALUE!</v>
      </c>
      <c r="K37" s="682" t="e">
        <f t="shared" si="37"/>
        <v>#VALUE!</v>
      </c>
      <c r="L37" s="682">
        <f t="shared" si="37"/>
        <v>0.60530075604880029</v>
      </c>
      <c r="M37" s="682">
        <f t="shared" si="37"/>
        <v>0.58813662245997922</v>
      </c>
      <c r="N37" s="682">
        <f t="shared" si="37"/>
        <v>0.61442395875882816</v>
      </c>
      <c r="O37" s="682">
        <f t="shared" si="37"/>
        <v>0.63153688578849432</v>
      </c>
      <c r="P37" s="682">
        <f t="shared" si="37"/>
        <v>0.62979416464000904</v>
      </c>
      <c r="Q37" s="682">
        <f t="shared" si="37"/>
        <v>0.64481537492801744</v>
      </c>
      <c r="R37" s="682">
        <f t="shared" si="37"/>
        <v>0.65098811020185654</v>
      </c>
      <c r="S37" s="682">
        <f t="shared" si="37"/>
        <v>0.66749761147355624</v>
      </c>
      <c r="T37" s="2933">
        <f t="shared" si="37"/>
        <v>0.66104348115705502</v>
      </c>
      <c r="U37" s="2933">
        <f t="shared" si="37"/>
        <v>0.6158252975493953</v>
      </c>
      <c r="V37" s="2933">
        <f t="shared" si="37"/>
        <v>0.59702778005055612</v>
      </c>
      <c r="W37" s="2933">
        <f t="shared" si="37"/>
        <v>0.61615439248386006</v>
      </c>
      <c r="X37" s="2933">
        <f t="shared" si="37"/>
        <v>0.63650770767934572</v>
      </c>
      <c r="Y37" s="2933">
        <f t="shared" si="37"/>
        <v>0.65249398553298676</v>
      </c>
      <c r="Z37" s="2933">
        <f t="shared" si="37"/>
        <v>0.6732273118109473</v>
      </c>
      <c r="AA37" s="2933">
        <f>+AA36/AA7</f>
        <v>0.69116725127678902</v>
      </c>
      <c r="AB37" s="2933">
        <f>+AB36/AB7</f>
        <v>0.71843726668827423</v>
      </c>
      <c r="AC37" s="2933">
        <f>+AC36/AC7</f>
        <v>0.73068880025870431</v>
      </c>
      <c r="AD37" s="2933">
        <f>+AD36/AD7</f>
        <v>0.74079387883041181</v>
      </c>
      <c r="AE37" s="2933">
        <f>+AE36/AE7</f>
        <v>0.75208523515533077</v>
      </c>
      <c r="AF37"/>
      <c r="AG37" s="3664"/>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row>
    <row r="38" spans="1:119">
      <c r="A38" s="664">
        <f>+ROW(InputY!A17)</f>
        <v>17</v>
      </c>
      <c r="B38" s="1130">
        <v>78</v>
      </c>
      <c r="C38" s="671" t="s">
        <v>1767</v>
      </c>
      <c r="D38" s="674"/>
      <c r="E38" s="220" t="s">
        <v>308</v>
      </c>
      <c r="F38" s="725" t="s">
        <v>309</v>
      </c>
      <c r="G38" s="705">
        <f>+InputY!G17</f>
        <v>108.10000000000001</v>
      </c>
      <c r="H38" s="705">
        <f>+InputY!H17</f>
        <v>124.7</v>
      </c>
      <c r="I38" s="705">
        <f>+InputY!I17</f>
        <v>104.60000000000001</v>
      </c>
      <c r="J38" s="705">
        <f>+InputY!J17</f>
        <v>227</v>
      </c>
      <c r="K38" s="705">
        <f>+InputY!K17</f>
        <v>249</v>
      </c>
      <c r="L38" s="705">
        <f>+InputY!L17</f>
        <v>274</v>
      </c>
      <c r="M38" s="705">
        <f>+InputY!M17</f>
        <v>284</v>
      </c>
      <c r="N38" s="705">
        <f>+InputY!N17</f>
        <v>224</v>
      </c>
      <c r="O38" s="705">
        <f>+InputY!O17</f>
        <v>204</v>
      </c>
      <c r="P38" s="3493">
        <f>+InputY!P17</f>
        <v>173</v>
      </c>
      <c r="Q38" s="3493">
        <f>+InputY!Q17</f>
        <v>130</v>
      </c>
      <c r="R38" s="3493">
        <f>+InputY!R17</f>
        <v>88</v>
      </c>
      <c r="S38" s="3493">
        <f>+InputY!S17</f>
        <v>64</v>
      </c>
      <c r="T38" s="3493">
        <f>+InputY!T17</f>
        <v>88</v>
      </c>
      <c r="U38" s="3493">
        <f>+InputY!U17</f>
        <v>211</v>
      </c>
      <c r="V38" s="3493">
        <f>+InputY!V17</f>
        <v>270</v>
      </c>
      <c r="W38" s="3493">
        <f>+InputY!W17</f>
        <v>228</v>
      </c>
      <c r="X38" s="3511">
        <f>+InputY!X17</f>
        <v>197</v>
      </c>
      <c r="Y38" s="3511">
        <f>+InputY!Y17</f>
        <v>172</v>
      </c>
      <c r="Z38" s="3511">
        <f>+InputY!Z17</f>
        <v>158</v>
      </c>
      <c r="AA38" s="3511">
        <f>+InputY!AA17</f>
        <v>134</v>
      </c>
      <c r="AB38" s="3511">
        <f>+InputY!AB17</f>
        <v>116</v>
      </c>
      <c r="AC38" s="3511">
        <f>+InputY!AC17</f>
        <v>103</v>
      </c>
      <c r="AD38" s="2934">
        <f>+AD12-AD36</f>
        <v>95.069140140910804</v>
      </c>
      <c r="AE38" s="2934">
        <f>+AE12-AE36</f>
        <v>95.629153630878136</v>
      </c>
      <c r="AG38" s="3664"/>
    </row>
    <row r="39" spans="1:119" s="26" customFormat="1">
      <c r="A39" s="1903"/>
      <c r="B39" s="673"/>
      <c r="C39" s="879"/>
      <c r="D39" s="679"/>
      <c r="E39" s="680" t="s">
        <v>310</v>
      </c>
      <c r="F39" s="1908" t="s">
        <v>967</v>
      </c>
      <c r="G39" s="1909" t="e">
        <f t="shared" ref="G39:Z39" si="38">+G38/G12</f>
        <v>#VALUE!</v>
      </c>
      <c r="H39" s="1909" t="e">
        <f t="shared" si="38"/>
        <v>#VALUE!</v>
      </c>
      <c r="I39" s="1909" t="e">
        <f t="shared" si="38"/>
        <v>#VALUE!</v>
      </c>
      <c r="J39" s="1909" t="e">
        <f t="shared" si="38"/>
        <v>#VALUE!</v>
      </c>
      <c r="K39" s="1909" t="e">
        <f t="shared" si="38"/>
        <v>#VALUE!</v>
      </c>
      <c r="L39" s="1909">
        <f t="shared" si="38"/>
        <v>0.16341136126435069</v>
      </c>
      <c r="M39" s="1909">
        <f t="shared" si="38"/>
        <v>0.17307575111219453</v>
      </c>
      <c r="N39" s="1909">
        <f t="shared" si="38"/>
        <v>0.13700892392946487</v>
      </c>
      <c r="O39" s="1909">
        <f t="shared" si="38"/>
        <v>0.12386307058980679</v>
      </c>
      <c r="P39" s="1909">
        <f t="shared" si="38"/>
        <v>0.10823797338472031</v>
      </c>
      <c r="Q39" s="1909">
        <f t="shared" si="38"/>
        <v>8.2921384149258495E-2</v>
      </c>
      <c r="R39" s="1909">
        <f t="shared" si="38"/>
        <v>5.7923698691450989E-2</v>
      </c>
      <c r="S39" s="1909">
        <f t="shared" si="38"/>
        <v>4.2154073137316894E-2</v>
      </c>
      <c r="T39" s="3262">
        <f t="shared" si="38"/>
        <v>5.8008463962241762E-2</v>
      </c>
      <c r="U39" s="3262">
        <f t="shared" si="38"/>
        <v>0.13796981665053751</v>
      </c>
      <c r="V39" s="3262">
        <f t="shared" si="38"/>
        <v>0.17789373814041745</v>
      </c>
      <c r="W39" s="3262">
        <f t="shared" si="38"/>
        <v>0.15388768898488123</v>
      </c>
      <c r="X39" s="3262">
        <f t="shared" si="38"/>
        <v>0.13374066530889342</v>
      </c>
      <c r="Y39" s="2945">
        <f t="shared" si="38"/>
        <v>0.11739252100438856</v>
      </c>
      <c r="Z39" s="2945">
        <f t="shared" si="38"/>
        <v>0.10695187165775401</v>
      </c>
      <c r="AA39" s="2945">
        <f>+AA38/AA12</f>
        <v>9.1176930875638745E-2</v>
      </c>
      <c r="AB39" s="3262">
        <f>+AB38/AB12</f>
        <v>7.8478597668644429E-2</v>
      </c>
      <c r="AC39" s="3721">
        <f>+AC38/AC12</f>
        <v>7.1251106761427055E-2</v>
      </c>
      <c r="AD39" s="2945">
        <f>+AD38/AD12</f>
        <v>6.5863663980408521E-2</v>
      </c>
      <c r="AE39" s="2945">
        <f>+AE38/AE12</f>
        <v>6.6413984935592751E-2</v>
      </c>
      <c r="AF39" s="3344"/>
      <c r="AG39" s="3664"/>
      <c r="AH39" s="3652"/>
      <c r="AI39" s="3652"/>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row>
    <row r="40" spans="1:119" s="1003" customFormat="1">
      <c r="A40" s="998">
        <f>+ROW(InputY!A223)</f>
        <v>223</v>
      </c>
      <c r="B40" s="673"/>
      <c r="C40" s="879"/>
      <c r="D40" s="1911"/>
      <c r="E40" s="1912" t="s">
        <v>311</v>
      </c>
      <c r="F40" s="1913" t="str">
        <f>+InputY!B223</f>
        <v>LUemp</v>
      </c>
      <c r="G40" s="1914" t="str">
        <f>+InputY!G223</f>
        <v>:</v>
      </c>
      <c r="H40" s="1914" t="str">
        <f>+InputY!H223</f>
        <v>:</v>
      </c>
      <c r="I40" s="1914" t="str">
        <f>+InputY!I223</f>
        <v>:</v>
      </c>
      <c r="J40" s="1914" t="str">
        <f>+InputY!J223</f>
        <v>:</v>
      </c>
      <c r="K40" s="1914" t="str">
        <f>+InputY!K223</f>
        <v>:</v>
      </c>
      <c r="L40" s="1914">
        <f>+InputY!L223</f>
        <v>274</v>
      </c>
      <c r="M40" s="1914">
        <f>+InputY!M223</f>
        <v>284</v>
      </c>
      <c r="N40" s="1914">
        <f>+InputY!N223</f>
        <v>224</v>
      </c>
      <c r="O40" s="1914">
        <f>+InputY!O223</f>
        <v>204</v>
      </c>
      <c r="P40" s="1914">
        <f>+InputY!P223</f>
        <v>173</v>
      </c>
      <c r="Q40" s="1914">
        <f>+InputY!Q223</f>
        <v>130</v>
      </c>
      <c r="R40" s="1914">
        <f>+InputY!R223</f>
        <v>88</v>
      </c>
      <c r="S40" s="1914">
        <f>+InputY!S223</f>
        <v>64</v>
      </c>
      <c r="T40" s="2946">
        <f t="shared" ref="T40:AE40" si="39">+T65+S40</f>
        <v>88</v>
      </c>
      <c r="U40" s="2946">
        <f t="shared" si="39"/>
        <v>211</v>
      </c>
      <c r="V40" s="2946">
        <f t="shared" si="39"/>
        <v>270</v>
      </c>
      <c r="W40" s="2946">
        <f>+W65+V40</f>
        <v>228</v>
      </c>
      <c r="X40" s="2946">
        <f t="shared" si="39"/>
        <v>197</v>
      </c>
      <c r="Y40" s="2946">
        <f t="shared" si="39"/>
        <v>172</v>
      </c>
      <c r="Z40" s="2946">
        <f t="shared" si="39"/>
        <v>158</v>
      </c>
      <c r="AA40" s="2946">
        <f t="shared" si="39"/>
        <v>134</v>
      </c>
      <c r="AB40" s="2946">
        <f t="shared" si="39"/>
        <v>116</v>
      </c>
      <c r="AC40" s="2946">
        <f t="shared" si="39"/>
        <v>103</v>
      </c>
      <c r="AD40" s="2946">
        <f t="shared" si="39"/>
        <v>95.069140140910804</v>
      </c>
      <c r="AE40" s="2946">
        <f t="shared" si="39"/>
        <v>95.629153630878136</v>
      </c>
      <c r="AF40"/>
      <c r="AG40" s="3664"/>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row>
    <row r="41" spans="1:119" s="1003" customFormat="1">
      <c r="A41" s="998"/>
      <c r="B41" s="673"/>
      <c r="C41" s="879"/>
      <c r="D41" s="1911"/>
      <c r="E41" s="1912" t="s">
        <v>2128</v>
      </c>
      <c r="F41" s="1913"/>
      <c r="G41" s="1914" t="e">
        <f>+G40-G38</f>
        <v>#VALUE!</v>
      </c>
      <c r="H41" s="1914" t="e">
        <f t="shared" ref="H41:S41" si="40">+H40-H38</f>
        <v>#VALUE!</v>
      </c>
      <c r="I41" s="1914" t="e">
        <f t="shared" si="40"/>
        <v>#VALUE!</v>
      </c>
      <c r="J41" s="1914" t="e">
        <f t="shared" si="40"/>
        <v>#VALUE!</v>
      </c>
      <c r="K41" s="1914" t="e">
        <f t="shared" si="40"/>
        <v>#VALUE!</v>
      </c>
      <c r="L41" s="1914">
        <f t="shared" si="40"/>
        <v>0</v>
      </c>
      <c r="M41" s="1914">
        <f t="shared" si="40"/>
        <v>0</v>
      </c>
      <c r="N41" s="1914">
        <f t="shared" si="40"/>
        <v>0</v>
      </c>
      <c r="O41" s="1914">
        <f t="shared" si="40"/>
        <v>0</v>
      </c>
      <c r="P41" s="1914">
        <f t="shared" si="40"/>
        <v>0</v>
      </c>
      <c r="Q41" s="1914">
        <f t="shared" si="40"/>
        <v>0</v>
      </c>
      <c r="R41" s="1914">
        <f t="shared" si="40"/>
        <v>0</v>
      </c>
      <c r="S41" s="1914">
        <f t="shared" si="40"/>
        <v>0</v>
      </c>
      <c r="T41" s="2946">
        <f t="shared" ref="T41:AB41" si="41">+T40-T38</f>
        <v>0</v>
      </c>
      <c r="U41" s="2946">
        <f t="shared" si="41"/>
        <v>0</v>
      </c>
      <c r="V41" s="2946">
        <f t="shared" si="41"/>
        <v>0</v>
      </c>
      <c r="W41" s="2946">
        <f t="shared" si="41"/>
        <v>0</v>
      </c>
      <c r="X41" s="2946">
        <f t="shared" si="41"/>
        <v>0</v>
      </c>
      <c r="Y41" s="2946">
        <f t="shared" si="41"/>
        <v>0</v>
      </c>
      <c r="Z41" s="2946">
        <f t="shared" si="41"/>
        <v>0</v>
      </c>
      <c r="AA41" s="2946">
        <f t="shared" si="41"/>
        <v>0</v>
      </c>
      <c r="AB41" s="2946">
        <f t="shared" si="41"/>
        <v>0</v>
      </c>
      <c r="AC41" s="2946">
        <f>+AC40-AC38</f>
        <v>0</v>
      </c>
      <c r="AD41" s="2946">
        <f>+AD40-AD38</f>
        <v>0</v>
      </c>
      <c r="AE41" s="2946">
        <f>+AE40-AE38</f>
        <v>0</v>
      </c>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row>
    <row r="42" spans="1:119" s="1003" customFormat="1">
      <c r="A42" s="998"/>
      <c r="B42" s="673"/>
      <c r="C42" s="687"/>
      <c r="D42" s="1910"/>
      <c r="E42" s="1915" t="s">
        <v>2127</v>
      </c>
      <c r="F42" s="1910" t="s">
        <v>967</v>
      </c>
      <c r="G42" s="1916" t="e">
        <f t="shared" ref="G42:Z42" si="42">+G40/G12</f>
        <v>#VALUE!</v>
      </c>
      <c r="H42" s="1916" t="e">
        <f t="shared" si="42"/>
        <v>#VALUE!</v>
      </c>
      <c r="I42" s="1916" t="e">
        <f t="shared" si="42"/>
        <v>#VALUE!</v>
      </c>
      <c r="J42" s="1916" t="e">
        <f t="shared" si="42"/>
        <v>#VALUE!</v>
      </c>
      <c r="K42" s="1916" t="e">
        <f t="shared" si="42"/>
        <v>#VALUE!</v>
      </c>
      <c r="L42" s="1916">
        <f t="shared" si="42"/>
        <v>0.16341136126435069</v>
      </c>
      <c r="M42" s="1916">
        <f t="shared" si="42"/>
        <v>0.17307575111219453</v>
      </c>
      <c r="N42" s="1916">
        <f t="shared" si="42"/>
        <v>0.13700892392946487</v>
      </c>
      <c r="O42" s="1916">
        <f t="shared" si="42"/>
        <v>0.12386307058980679</v>
      </c>
      <c r="P42" s="1916">
        <f t="shared" si="42"/>
        <v>0.10823797338472031</v>
      </c>
      <c r="Q42" s="1916">
        <f t="shared" si="42"/>
        <v>8.2921384149258495E-2</v>
      </c>
      <c r="R42" s="1916">
        <f t="shared" si="42"/>
        <v>5.7923698691450989E-2</v>
      </c>
      <c r="S42" s="1916">
        <f t="shared" si="42"/>
        <v>4.2154073137316894E-2</v>
      </c>
      <c r="T42" s="2947">
        <f t="shared" si="42"/>
        <v>5.8008463962241762E-2</v>
      </c>
      <c r="U42" s="2947">
        <f t="shared" si="42"/>
        <v>0.13796981665053751</v>
      </c>
      <c r="V42" s="2947">
        <f t="shared" si="42"/>
        <v>0.17789373814041745</v>
      </c>
      <c r="W42" s="2947">
        <f t="shared" si="42"/>
        <v>0.15388768898488123</v>
      </c>
      <c r="X42" s="2947">
        <f t="shared" si="42"/>
        <v>0.13374066530889342</v>
      </c>
      <c r="Y42" s="2947">
        <f>+Y40/Y12</f>
        <v>0.11739252100438856</v>
      </c>
      <c r="Z42" s="2947">
        <f t="shared" si="42"/>
        <v>0.10695187165775401</v>
      </c>
      <c r="AA42" s="2947">
        <f>+AA40/AA12</f>
        <v>9.1176930875638745E-2</v>
      </c>
      <c r="AB42" s="2947">
        <f>+AB40/AB12</f>
        <v>7.8478597668644429E-2</v>
      </c>
      <c r="AC42" s="2947">
        <f>+AC40/AC12</f>
        <v>7.1251106761427055E-2</v>
      </c>
      <c r="AD42" s="2947">
        <f>+AD40/AD12</f>
        <v>6.5863663980408521E-2</v>
      </c>
      <c r="AE42" s="2947">
        <f>+AE40/AE12</f>
        <v>6.6413984935592751E-2</v>
      </c>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row>
    <row r="43" spans="1:119" s="699" customFormat="1" ht="12.75" customHeight="1">
      <c r="A43" s="664"/>
      <c r="B43" s="664"/>
      <c r="C43" s="669" t="s">
        <v>1769</v>
      </c>
      <c r="D43" s="752"/>
      <c r="E43" s="753" t="s">
        <v>1977</v>
      </c>
      <c r="F43" s="754" t="s">
        <v>715</v>
      </c>
      <c r="G43" s="755" t="e">
        <f t="shared" ref="G43:Z43" si="43">+G12</f>
        <v>#VALUE!</v>
      </c>
      <c r="H43" s="755" t="e">
        <f t="shared" si="43"/>
        <v>#VALUE!</v>
      </c>
      <c r="I43" s="755" t="e">
        <f t="shared" si="43"/>
        <v>#VALUE!</v>
      </c>
      <c r="J43" s="755" t="e">
        <f t="shared" si="43"/>
        <v>#VALUE!</v>
      </c>
      <c r="K43" s="755" t="e">
        <f t="shared" si="43"/>
        <v>#VALUE!</v>
      </c>
      <c r="L43" s="755">
        <f t="shared" si="43"/>
        <v>1676.75</v>
      </c>
      <c r="M43" s="755">
        <f t="shared" si="43"/>
        <v>1640.9</v>
      </c>
      <c r="N43" s="755">
        <f t="shared" si="43"/>
        <v>1634.93</v>
      </c>
      <c r="O43" s="755">
        <f t="shared" si="43"/>
        <v>1646.98</v>
      </c>
      <c r="P43" s="3494">
        <f t="shared" si="43"/>
        <v>1598.33</v>
      </c>
      <c r="Q43" s="3494">
        <f t="shared" si="43"/>
        <v>1567.75</v>
      </c>
      <c r="R43" s="3494">
        <f t="shared" si="43"/>
        <v>1519.24</v>
      </c>
      <c r="S43" s="3494">
        <f t="shared" si="43"/>
        <v>1518.24</v>
      </c>
      <c r="T43" s="2931">
        <f t="shared" si="43"/>
        <v>1517.02</v>
      </c>
      <c r="U43" s="2931">
        <f t="shared" si="43"/>
        <v>1529.32</v>
      </c>
      <c r="V43" s="2931">
        <f t="shared" si="43"/>
        <v>1517.76</v>
      </c>
      <c r="W43" s="2931">
        <f t="shared" si="43"/>
        <v>1481.6</v>
      </c>
      <c r="X43" s="2931">
        <f t="shared" si="43"/>
        <v>1473</v>
      </c>
      <c r="Y43" s="2931">
        <f t="shared" si="43"/>
        <v>1465.17</v>
      </c>
      <c r="Z43" s="2931">
        <f t="shared" si="43"/>
        <v>1477.3</v>
      </c>
      <c r="AA43" s="2931">
        <f>+AA12</f>
        <v>1469.67</v>
      </c>
      <c r="AB43" s="2931">
        <f>+AB12</f>
        <v>1478.11</v>
      </c>
      <c r="AC43" s="2931">
        <f>+AC12</f>
        <v>1445.5915799999998</v>
      </c>
      <c r="AD43" s="2931">
        <f>+AD12</f>
        <v>1443.4231926299999</v>
      </c>
      <c r="AE43" s="2931">
        <f>+AE12</f>
        <v>1439.8948312410075</v>
      </c>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row>
    <row r="44" spans="1:119">
      <c r="A44" s="1130"/>
      <c r="G44" s="705"/>
      <c r="H44" s="705"/>
      <c r="I44" s="705"/>
      <c r="J44" s="705"/>
      <c r="K44" s="705"/>
      <c r="L44" s="705"/>
      <c r="M44" s="705"/>
      <c r="N44" s="705"/>
      <c r="O44" s="705"/>
      <c r="P44" s="3493"/>
      <c r="Q44" s="3512"/>
      <c r="R44" s="3513"/>
      <c r="S44" s="2280"/>
      <c r="T44" s="2280"/>
      <c r="U44" s="2280"/>
      <c r="V44" s="2280"/>
      <c r="W44" s="2280"/>
      <c r="X44" s="2280"/>
      <c r="Y44" s="2280"/>
      <c r="Z44" s="2280"/>
      <c r="AA44" s="2280"/>
      <c r="AB44" s="2280"/>
      <c r="AC44" s="2280"/>
      <c r="AD44" s="2280"/>
      <c r="AE44" s="2280"/>
    </row>
    <row r="45" spans="1:119">
      <c r="A45" s="1130"/>
      <c r="G45" s="705"/>
      <c r="H45" s="705"/>
      <c r="I45" s="705"/>
      <c r="J45" s="705"/>
      <c r="K45" s="705"/>
      <c r="L45" s="705"/>
      <c r="M45" s="2219">
        <f>'VVP2'!M131</f>
        <v>6.6996058629840372</v>
      </c>
      <c r="N45" s="2219">
        <f>'VVP2'!N131</f>
        <v>6.8379975004915217</v>
      </c>
      <c r="O45" s="2219">
        <f>'VVP2'!O131</f>
        <v>10.275887367570679</v>
      </c>
      <c r="P45" s="2219">
        <f>'VVP2'!P131</f>
        <v>7.4482608885224399</v>
      </c>
      <c r="Q45" s="2219">
        <f>'VVP2'!Q131</f>
        <v>7.7273873836427809</v>
      </c>
      <c r="R45" s="2219">
        <f>'VVP2'!R131</f>
        <v>7.4064505195753805</v>
      </c>
      <c r="S45" s="2219">
        <f>'VVP2'!S131</f>
        <v>11.0869627998611</v>
      </c>
      <c r="T45" s="2219">
        <f>'VVP2'!T131</f>
        <v>2.6280823574654777</v>
      </c>
      <c r="U45" s="2219">
        <f>'VVP2'!U131</f>
        <v>-14.814172950076221</v>
      </c>
      <c r="V45" s="2219">
        <f>'VVP2'!V131</f>
        <v>1.639826991162785</v>
      </c>
      <c r="W45" s="2219">
        <f>'VVP2'!W131</f>
        <v>6.0431373864246796</v>
      </c>
      <c r="X45" s="2219">
        <f>'VVP2'!X131</f>
        <v>3.8269382239940919</v>
      </c>
      <c r="Y45" s="2219">
        <f>'VVP2'!Y131</f>
        <v>3.498577230569011</v>
      </c>
      <c r="Z45" s="2219">
        <f>'VVP2'!Z131</f>
        <v>3.5375855747539431</v>
      </c>
      <c r="AA45" s="2219">
        <f>'VVP2'!AA131</f>
        <v>2.0346676424249033</v>
      </c>
      <c r="AB45" s="2219">
        <f>'VVP2'!AB131</f>
        <v>2.3448829366414126</v>
      </c>
      <c r="AC45" s="2219">
        <f>'VVP2'!AC131</f>
        <v>3.8289347486644365</v>
      </c>
      <c r="AD45" s="2219">
        <f ca="1">'VVP2'!AD131</f>
        <v>3.1205873424164476</v>
      </c>
      <c r="AE45" s="2219">
        <f ca="1">'VVP2'!AE131</f>
        <v>2.6426635456776815</v>
      </c>
      <c r="AG45" s="3658"/>
      <c r="AH45" s="3658"/>
      <c r="AI45" s="3658"/>
      <c r="AJ45" s="3658"/>
    </row>
    <row r="46" spans="1:119" s="699" customFormat="1" ht="12.75" customHeight="1">
      <c r="A46" s="664"/>
      <c r="B46" s="664"/>
      <c r="C46" s="666"/>
      <c r="D46" s="728"/>
      <c r="E46" s="729" t="s">
        <v>1311</v>
      </c>
      <c r="F46" s="730"/>
      <c r="G46" s="731">
        <f>+InputY!$G$3</f>
        <v>1995</v>
      </c>
      <c r="H46" s="731">
        <f>+G46+1</f>
        <v>1996</v>
      </c>
      <c r="I46" s="731">
        <f t="shared" ref="I46:O46" si="44">+H46+1</f>
        <v>1997</v>
      </c>
      <c r="J46" s="731">
        <f t="shared" si="44"/>
        <v>1998</v>
      </c>
      <c r="K46" s="731">
        <f t="shared" si="44"/>
        <v>1999</v>
      </c>
      <c r="L46" s="731">
        <f t="shared" si="44"/>
        <v>2000</v>
      </c>
      <c r="M46" s="731">
        <f t="shared" si="44"/>
        <v>2001</v>
      </c>
      <c r="N46" s="731">
        <f t="shared" si="44"/>
        <v>2002</v>
      </c>
      <c r="O46" s="731">
        <f t="shared" si="44"/>
        <v>2003</v>
      </c>
      <c r="P46" s="3514">
        <f t="shared" ref="P46:V46" si="45">+O46+1</f>
        <v>2004</v>
      </c>
      <c r="Q46" s="3514">
        <f t="shared" si="45"/>
        <v>2005</v>
      </c>
      <c r="R46" s="3514">
        <f t="shared" si="45"/>
        <v>2006</v>
      </c>
      <c r="S46" s="3514">
        <f t="shared" si="45"/>
        <v>2007</v>
      </c>
      <c r="T46" s="3515">
        <f t="shared" si="45"/>
        <v>2008</v>
      </c>
      <c r="U46" s="3515">
        <f t="shared" si="45"/>
        <v>2009</v>
      </c>
      <c r="V46" s="3515">
        <f t="shared" si="45"/>
        <v>2010</v>
      </c>
      <c r="W46" s="3515">
        <f t="shared" ref="W46:AE46" si="46">+V46+1</f>
        <v>2011</v>
      </c>
      <c r="X46" s="3515">
        <f t="shared" si="46"/>
        <v>2012</v>
      </c>
      <c r="Y46" s="3515">
        <f t="shared" si="46"/>
        <v>2013</v>
      </c>
      <c r="Z46" s="3515">
        <f t="shared" si="46"/>
        <v>2014</v>
      </c>
      <c r="AA46" s="3515">
        <f t="shared" si="46"/>
        <v>2015</v>
      </c>
      <c r="AB46" s="3515">
        <f t="shared" si="46"/>
        <v>2016</v>
      </c>
      <c r="AC46" s="3515">
        <f t="shared" si="46"/>
        <v>2017</v>
      </c>
      <c r="AD46" s="3515">
        <f t="shared" si="46"/>
        <v>2018</v>
      </c>
      <c r="AE46" s="3515">
        <f t="shared" si="46"/>
        <v>2019</v>
      </c>
      <c r="AF46"/>
      <c r="AG46" s="3658"/>
      <c r="AH46" s="3658"/>
      <c r="AI46" s="3658"/>
      <c r="AJ46" s="3658"/>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row>
    <row r="47" spans="1:119">
      <c r="A47" s="1130"/>
      <c r="C47" s="762" t="s">
        <v>1769</v>
      </c>
      <c r="D47" s="989"/>
      <c r="E47" s="990" t="s">
        <v>733</v>
      </c>
      <c r="F47" s="991" t="s">
        <v>734</v>
      </c>
      <c r="G47" s="1686"/>
      <c r="H47" s="1095" t="e">
        <f t="shared" ref="H47:P48" si="47">(H30/G30-1)*100</f>
        <v>#VALUE!</v>
      </c>
      <c r="I47" s="1095" t="e">
        <f t="shared" si="47"/>
        <v>#VALUE!</v>
      </c>
      <c r="J47" s="1095" t="e">
        <f t="shared" si="47"/>
        <v>#VALUE!</v>
      </c>
      <c r="K47" s="1095" t="e">
        <f t="shared" si="47"/>
        <v>#VALUE!</v>
      </c>
      <c r="L47" s="1095" t="e">
        <f t="shared" si="47"/>
        <v>#VALUE!</v>
      </c>
      <c r="M47" s="1095">
        <f t="shared" si="47"/>
        <v>-4.6137848407441506</v>
      </c>
      <c r="N47" s="1095">
        <f t="shared" si="47"/>
        <v>4.9684804246848069</v>
      </c>
      <c r="O47" s="1095">
        <f t="shared" si="47"/>
        <v>3.4667268724953182</v>
      </c>
      <c r="P47" s="3516">
        <f t="shared" si="47"/>
        <v>0.39713712141049573</v>
      </c>
      <c r="Q47" s="3516">
        <f t="shared" ref="Q47:Q53" si="48">(Q30/P30-1)*100</f>
        <v>3.0993262334275018</v>
      </c>
      <c r="R47" s="3516">
        <f t="shared" ref="R47:AB47" si="49">(R30/Q30-1)*100</f>
        <v>3.0419934227169154</v>
      </c>
      <c r="S47" s="3516">
        <f t="shared" si="49"/>
        <v>3.2570224431760275</v>
      </c>
      <c r="T47" s="3516">
        <f t="shared" si="49"/>
        <v>2.5787085653147246</v>
      </c>
      <c r="U47" s="3516">
        <f t="shared" si="49"/>
        <v>-9.4722101501762523</v>
      </c>
      <c r="V47" s="3516">
        <f t="shared" si="49"/>
        <v>-4.3910088865656167</v>
      </c>
      <c r="W47" s="3516">
        <f t="shared" si="49"/>
        <v>1.3467825621227281</v>
      </c>
      <c r="X47" s="3516">
        <f t="shared" si="49"/>
        <v>2.0324129123177936</v>
      </c>
      <c r="Y47" s="3516">
        <f t="shared" si="49"/>
        <v>0.85245052549798306</v>
      </c>
      <c r="Z47" s="3516">
        <f t="shared" si="49"/>
        <v>1.7557562269964855</v>
      </c>
      <c r="AA47" s="3516">
        <f t="shared" si="49"/>
        <v>0.66978602597129733</v>
      </c>
      <c r="AB47" s="3516">
        <f t="shared" si="49"/>
        <v>1.766205009295807</v>
      </c>
      <c r="AC47" s="3517">
        <v>0.24324407541596593</v>
      </c>
      <c r="AD47" s="3517">
        <v>-0.45</v>
      </c>
      <c r="AE47" s="3517">
        <v>-0.21</v>
      </c>
      <c r="AF47" s="3655"/>
      <c r="AG47" s="3658"/>
      <c r="AH47" s="3657"/>
      <c r="AI47" s="3657"/>
      <c r="AJ47" s="3658"/>
    </row>
    <row r="48" spans="1:119">
      <c r="A48" s="1130"/>
      <c r="C48" s="932" t="s">
        <v>1767</v>
      </c>
      <c r="D48" s="674"/>
      <c r="E48" s="220" t="s">
        <v>1022</v>
      </c>
      <c r="F48" s="704" t="s">
        <v>1023</v>
      </c>
      <c r="G48" s="1559"/>
      <c r="H48" s="1044">
        <f t="shared" si="47"/>
        <v>1.9083969465648831</v>
      </c>
      <c r="I48" s="1044">
        <f t="shared" si="47"/>
        <v>2.3408239700374533</v>
      </c>
      <c r="J48" s="1044">
        <f t="shared" si="47"/>
        <v>0.32021957913999088</v>
      </c>
      <c r="K48" s="1044">
        <f t="shared" si="47"/>
        <v>6.2927496580027276</v>
      </c>
      <c r="L48" s="1044">
        <f t="shared" si="47"/>
        <v>2.5740025740025763</v>
      </c>
      <c r="M48" s="1044">
        <f t="shared" si="47"/>
        <v>-1.9238812212463374</v>
      </c>
      <c r="N48" s="1044">
        <f t="shared" si="47"/>
        <v>-3.2835820895522394</v>
      </c>
      <c r="O48" s="1044">
        <f t="shared" si="47"/>
        <v>-4.629629629629628</v>
      </c>
      <c r="P48" s="3508">
        <f t="shared" si="47"/>
        <v>4.8081368469717889</v>
      </c>
      <c r="Q48" s="3508">
        <f t="shared" si="48"/>
        <v>-0.37494486104983071</v>
      </c>
      <c r="R48" s="3508">
        <f t="shared" ref="R48:AB50" si="50">(R31/Q31-1)*100</f>
        <v>-13.252158512286915</v>
      </c>
      <c r="S48" s="3508">
        <f t="shared" si="50"/>
        <v>14.454879542670461</v>
      </c>
      <c r="T48" s="3508">
        <f t="shared" si="50"/>
        <v>-2.6757046022118924E-2</v>
      </c>
      <c r="U48" s="3508">
        <f t="shared" si="50"/>
        <v>-1.2579177446694567</v>
      </c>
      <c r="V48" s="3508">
        <f t="shared" si="50"/>
        <v>-2.9318756776292032</v>
      </c>
      <c r="W48" s="3508">
        <f t="shared" si="50"/>
        <v>-1.4892725834225407</v>
      </c>
      <c r="X48" s="3508">
        <f t="shared" si="50"/>
        <v>-2.1353994425284517</v>
      </c>
      <c r="Y48" s="3508">
        <f t="shared" si="50"/>
        <v>-1.0089307265266689</v>
      </c>
      <c r="Z48" s="3508">
        <f t="shared" si="50"/>
        <v>1.0094606456646726</v>
      </c>
      <c r="AA48" s="3508">
        <f t="shared" si="50"/>
        <v>3.1139863853618444</v>
      </c>
      <c r="AB48" s="3508">
        <f t="shared" si="50"/>
        <v>2.5236445360052429</v>
      </c>
      <c r="AC48" s="3518">
        <v>-1.8130337489153641</v>
      </c>
      <c r="AD48" s="3518">
        <v>-1</v>
      </c>
      <c r="AE48" s="3518">
        <v>-0.2</v>
      </c>
      <c r="AF48" s="3655"/>
      <c r="AG48" s="3658"/>
      <c r="AH48" s="3344"/>
      <c r="AI48" s="3344"/>
    </row>
    <row r="49" spans="1:119" s="699" customFormat="1" ht="12.75" customHeight="1">
      <c r="A49" s="664"/>
      <c r="B49" s="664"/>
      <c r="C49" s="942" t="s">
        <v>1769</v>
      </c>
      <c r="D49" s="717"/>
      <c r="E49" s="718" t="s">
        <v>716</v>
      </c>
      <c r="F49" s="723" t="s">
        <v>557</v>
      </c>
      <c r="G49" s="720"/>
      <c r="H49" s="721" t="e">
        <f>(H32/G32-1)*100</f>
        <v>#VALUE!</v>
      </c>
      <c r="I49" s="721" t="e">
        <f t="shared" ref="I49:P49" si="51">(I32/H32-1)*100</f>
        <v>#VALUE!</v>
      </c>
      <c r="J49" s="721" t="e">
        <f t="shared" si="51"/>
        <v>#VALUE!</v>
      </c>
      <c r="K49" s="721" t="e">
        <f t="shared" si="51"/>
        <v>#VALUE!</v>
      </c>
      <c r="L49" s="721" t="e">
        <f t="shared" si="51"/>
        <v>#VALUE!</v>
      </c>
      <c r="M49" s="721">
        <f t="shared" si="51"/>
        <v>-4.0415005694760637</v>
      </c>
      <c r="N49" s="721">
        <f t="shared" si="51"/>
        <v>3.1740880176554631</v>
      </c>
      <c r="O49" s="721">
        <f t="shared" si="51"/>
        <v>1.8163843077337649</v>
      </c>
      <c r="P49" s="3500">
        <f t="shared" si="51"/>
        <v>1.2393411365923646</v>
      </c>
      <c r="Q49" s="3500">
        <f t="shared" si="48"/>
        <v>2.4125904612433358</v>
      </c>
      <c r="R49" s="3500">
        <f t="shared" si="50"/>
        <v>-9.1097167474052387E-2</v>
      </c>
      <c r="S49" s="3500">
        <f t="shared" si="50"/>
        <v>5.1265445249254471</v>
      </c>
      <c r="T49" s="2948">
        <f t="shared" si="50"/>
        <v>2.1051181038535649</v>
      </c>
      <c r="U49" s="2948">
        <f t="shared" ref="U49:AB49" si="52">(U32/T32-1)*100</f>
        <v>-8.0102887355810957</v>
      </c>
      <c r="V49" s="2948">
        <f t="shared" si="52"/>
        <v>-4.1122608372960112</v>
      </c>
      <c r="W49" s="2948">
        <f t="shared" si="52"/>
        <v>0.79832235302590426</v>
      </c>
      <c r="X49" s="2948">
        <f t="shared" si="52"/>
        <v>1.2446984240367831</v>
      </c>
      <c r="Y49" s="2948">
        <f t="shared" si="52"/>
        <v>0.51239538226812709</v>
      </c>
      <c r="Z49" s="2948">
        <f t="shared" si="52"/>
        <v>1.6214793366675417</v>
      </c>
      <c r="AA49" s="2948">
        <f t="shared" si="52"/>
        <v>1.1069091160268663</v>
      </c>
      <c r="AB49" s="2948">
        <f t="shared" si="52"/>
        <v>1.9043552519214302</v>
      </c>
      <c r="AC49" s="2948">
        <f t="shared" ref="AC49" si="53">(AC32/AB32-1)*100</f>
        <v>-0.13408195759657682</v>
      </c>
      <c r="AD49" s="2948">
        <f t="shared" ref="AD49" si="54">(AD32/AC32-1)*100</f>
        <v>-0.54922799362252528</v>
      </c>
      <c r="AE49" s="2948">
        <f t="shared" ref="AE49" si="55">(AE32/AD32-1)*100</f>
        <v>-0.20820403215663363</v>
      </c>
      <c r="AF49" s="3344"/>
      <c r="AG49" s="3658"/>
      <c r="AH49" s="3344"/>
      <c r="AI49" s="3344"/>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row>
    <row r="50" spans="1:119" s="699" customFormat="1" ht="12.75" customHeight="1">
      <c r="A50" s="664"/>
      <c r="B50" s="664"/>
      <c r="C50" s="692" t="s">
        <v>1767</v>
      </c>
      <c r="D50" s="674"/>
      <c r="E50" s="220" t="s">
        <v>238</v>
      </c>
      <c r="F50" s="710" t="s">
        <v>717</v>
      </c>
      <c r="G50" s="705"/>
      <c r="H50" s="706" t="e">
        <f>(H33/G33-1)*100</f>
        <v>#VALUE!</v>
      </c>
      <c r="I50" s="706" t="e">
        <f t="shared" ref="I50:P50" si="56">(I33/H33-1)*100</f>
        <v>#VALUE!</v>
      </c>
      <c r="J50" s="706" t="e">
        <f t="shared" si="56"/>
        <v>#VALUE!</v>
      </c>
      <c r="K50" s="706" t="e">
        <f t="shared" si="56"/>
        <v>#VALUE!</v>
      </c>
      <c r="L50" s="706" t="e">
        <f t="shared" si="56"/>
        <v>#VALUE!</v>
      </c>
      <c r="M50" s="706">
        <f t="shared" si="56"/>
        <v>-2.8254948247685485</v>
      </c>
      <c r="N50" s="706">
        <f t="shared" si="56"/>
        <v>5.4041932952124894</v>
      </c>
      <c r="O50" s="706">
        <f t="shared" si="56"/>
        <v>3.8364712973797621</v>
      </c>
      <c r="P50" s="3511">
        <f t="shared" si="56"/>
        <v>-10.124637186272945</v>
      </c>
      <c r="Q50" s="3511">
        <f t="shared" si="48"/>
        <v>-6.4779635258357722</v>
      </c>
      <c r="R50" s="3511">
        <f t="shared" si="50"/>
        <v>-1.3772090188909569</v>
      </c>
      <c r="S50" s="3511">
        <f t="shared" si="50"/>
        <v>-12.885154061624638</v>
      </c>
      <c r="T50" s="3511">
        <f t="shared" si="50"/>
        <v>-21.288065065254493</v>
      </c>
      <c r="U50" s="3511">
        <f t="shared" ref="U50:AC50" si="57">(U33/T33-1)*100</f>
        <v>-5.2144659377627356</v>
      </c>
      <c r="V50" s="3511">
        <f t="shared" si="57"/>
        <v>-14.000507035112131</v>
      </c>
      <c r="W50" s="3511">
        <f t="shared" si="57"/>
        <v>-2.166703515365942</v>
      </c>
      <c r="X50" s="3511">
        <f t="shared" si="57"/>
        <v>6.2222222222222179</v>
      </c>
      <c r="Y50" s="3511">
        <f t="shared" si="57"/>
        <v>7.9285157081058433</v>
      </c>
      <c r="Z50" s="3511">
        <f t="shared" si="57"/>
        <v>4.8886260595307318</v>
      </c>
      <c r="AA50" s="3511">
        <f t="shared" si="57"/>
        <v>2.5684395163817264</v>
      </c>
      <c r="AB50" s="3511">
        <f t="shared" si="57"/>
        <v>2.5529835705124571</v>
      </c>
      <c r="AC50" s="3511">
        <f t="shared" si="57"/>
        <v>-3.2755642903937954</v>
      </c>
      <c r="AD50" s="2938">
        <v>-0.5</v>
      </c>
      <c r="AE50" s="2938">
        <v>-1</v>
      </c>
      <c r="AF50" s="2938">
        <v>-0.5</v>
      </c>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row>
    <row r="51" spans="1:119">
      <c r="A51" s="1130"/>
      <c r="C51" s="693" t="s">
        <v>1769</v>
      </c>
      <c r="D51" s="717"/>
      <c r="E51" s="718" t="s">
        <v>752</v>
      </c>
      <c r="F51" s="719" t="s">
        <v>553</v>
      </c>
      <c r="G51" s="720"/>
      <c r="H51" s="721" t="e">
        <f t="shared" ref="H51:AE53" si="58">(H34/G34-1)*100</f>
        <v>#VALUE!</v>
      </c>
      <c r="I51" s="721" t="e">
        <f t="shared" si="58"/>
        <v>#VALUE!</v>
      </c>
      <c r="J51" s="721" t="e">
        <f t="shared" si="58"/>
        <v>#VALUE!</v>
      </c>
      <c r="K51" s="721" t="e">
        <f t="shared" si="58"/>
        <v>#VALUE!</v>
      </c>
      <c r="L51" s="721" t="e">
        <f t="shared" si="58"/>
        <v>#VALUE!</v>
      </c>
      <c r="M51" s="721">
        <f t="shared" si="58"/>
        <v>-3.8021998441955751</v>
      </c>
      <c r="N51" s="721">
        <f t="shared" si="58"/>
        <v>3.6174117192549815</v>
      </c>
      <c r="O51" s="721">
        <f t="shared" si="58"/>
        <v>2.2248831273123493</v>
      </c>
      <c r="P51" s="3500">
        <f t="shared" si="58"/>
        <v>-1.0948930708208682</v>
      </c>
      <c r="Q51" s="3500">
        <f t="shared" si="48"/>
        <v>0.75313807531380839</v>
      </c>
      <c r="R51" s="3500">
        <f>(R34/Q34-1)*100</f>
        <v>-0.31392533363365782</v>
      </c>
      <c r="S51" s="3500">
        <f>(S34/R34-1)*100</f>
        <v>2.0391735980681558</v>
      </c>
      <c r="T51" s="2948">
        <f t="shared" si="58"/>
        <v>-1.3182113843641541</v>
      </c>
      <c r="U51" s="2948">
        <f t="shared" si="58"/>
        <v>-7.68394701596673</v>
      </c>
      <c r="V51" s="2948">
        <f>(V34/U34-1)*100</f>
        <v>-5.2973391770666396</v>
      </c>
      <c r="W51" s="2948">
        <f>(W34/V34-1)*100</f>
        <v>0.47562902540163599</v>
      </c>
      <c r="X51" s="2948">
        <f t="shared" si="58"/>
        <v>1.7721721082461839</v>
      </c>
      <c r="Y51" s="2948">
        <f t="shared" si="58"/>
        <v>1.3326535414542429</v>
      </c>
      <c r="Z51" s="2948">
        <f t="shared" si="58"/>
        <v>2.0063627708241327</v>
      </c>
      <c r="AA51" s="2948">
        <f t="shared" si="58"/>
        <v>1.2839483688847464</v>
      </c>
      <c r="AB51" s="2948">
        <f t="shared" si="58"/>
        <v>1.9839218418706395</v>
      </c>
      <c r="AC51" s="2948">
        <f t="shared" si="58"/>
        <v>-0.52159475760537033</v>
      </c>
      <c r="AD51" s="2948">
        <f t="shared" si="58"/>
        <v>-0.54332365908232871</v>
      </c>
      <c r="AE51" s="2948">
        <f t="shared" si="58"/>
        <v>-0.30321226620060315</v>
      </c>
    </row>
    <row r="52" spans="1:119">
      <c r="A52" s="1130"/>
      <c r="C52" s="693" t="s">
        <v>1767</v>
      </c>
      <c r="D52" s="674"/>
      <c r="E52" s="220" t="s">
        <v>719</v>
      </c>
      <c r="F52" s="704" t="s">
        <v>272</v>
      </c>
      <c r="G52" s="705"/>
      <c r="H52" s="706" t="e">
        <f t="shared" si="58"/>
        <v>#VALUE!</v>
      </c>
      <c r="I52" s="706" t="e">
        <f t="shared" si="58"/>
        <v>#VALUE!</v>
      </c>
      <c r="J52" s="706" t="e">
        <f t="shared" si="58"/>
        <v>#VALUE!</v>
      </c>
      <c r="K52" s="706" t="e">
        <f t="shared" si="58"/>
        <v>#VALUE!</v>
      </c>
      <c r="L52" s="706" t="e">
        <f t="shared" si="58"/>
        <v>#VALUE!</v>
      </c>
      <c r="M52" s="706">
        <f t="shared" si="58"/>
        <v>206.46067415731036</v>
      </c>
      <c r="N52" s="706">
        <f t="shared" si="58"/>
        <v>48.945921173234439</v>
      </c>
      <c r="O52" s="706">
        <f t="shared" si="58"/>
        <v>6.2769230769229578</v>
      </c>
      <c r="P52" s="3511">
        <f t="shared" si="58"/>
        <v>-11.812391430225622</v>
      </c>
      <c r="Q52" s="3511">
        <f t="shared" si="48"/>
        <v>11.818778726197987</v>
      </c>
      <c r="R52" s="3511">
        <f>(R35/Q35-1)*100</f>
        <v>-12.037580739870569</v>
      </c>
      <c r="S52" s="3511">
        <f t="shared" ref="S52:AC52" si="59">(S35/R35-1)*100</f>
        <v>-39.252336448598811</v>
      </c>
      <c r="T52" s="3511">
        <f t="shared" si="59"/>
        <v>-67.802197802196787</v>
      </c>
      <c r="U52" s="3511">
        <f t="shared" si="59"/>
        <v>-38.225255972699443</v>
      </c>
      <c r="V52" s="3511">
        <f t="shared" si="59"/>
        <v>-45.303867403312772</v>
      </c>
      <c r="W52" s="3511">
        <f t="shared" si="59"/>
        <v>-9.090909090923704</v>
      </c>
      <c r="X52" s="3511">
        <f t="shared" si="59"/>
        <v>22.222222222230648</v>
      </c>
      <c r="Y52" s="3511">
        <f t="shared" si="59"/>
        <v>16.363636363643508</v>
      </c>
      <c r="Z52" s="3511">
        <f t="shared" si="59"/>
        <v>16.406250000003197</v>
      </c>
      <c r="AA52" s="3511">
        <f t="shared" si="59"/>
        <v>-36.912751677849073</v>
      </c>
      <c r="AB52" s="3511">
        <f t="shared" si="59"/>
        <v>-4.2553191489562376</v>
      </c>
      <c r="AC52" s="3511">
        <f t="shared" si="59"/>
        <v>78.888888888930154</v>
      </c>
      <c r="AD52" s="2938">
        <f>AD51</f>
        <v>-0.54332365908232871</v>
      </c>
      <c r="AE52" s="2938">
        <f>AE51</f>
        <v>-0.30321226620060315</v>
      </c>
      <c r="AG52" s="3344"/>
      <c r="AH52" s="3344"/>
      <c r="AI52" s="3344"/>
    </row>
    <row r="53" spans="1:119" s="699" customFormat="1" ht="12.75" customHeight="1">
      <c r="A53" s="664"/>
      <c r="B53" s="664"/>
      <c r="C53" s="692" t="s">
        <v>1769</v>
      </c>
      <c r="D53" s="717"/>
      <c r="E53" s="722" t="s">
        <v>753</v>
      </c>
      <c r="F53" s="723" t="s">
        <v>881</v>
      </c>
      <c r="G53" s="721"/>
      <c r="H53" s="721" t="e">
        <f t="shared" si="58"/>
        <v>#VALUE!</v>
      </c>
      <c r="I53" s="721" t="e">
        <f t="shared" si="58"/>
        <v>#VALUE!</v>
      </c>
      <c r="J53" s="721" t="e">
        <f t="shared" si="58"/>
        <v>#VALUE!</v>
      </c>
      <c r="K53" s="721" t="e">
        <f t="shared" si="58"/>
        <v>#VALUE!</v>
      </c>
      <c r="L53" s="721" t="e">
        <f t="shared" si="58"/>
        <v>#VALUE!</v>
      </c>
      <c r="M53" s="721">
        <f t="shared" si="58"/>
        <v>-3.2685795758331748</v>
      </c>
      <c r="N53" s="721">
        <f t="shared" si="58"/>
        <v>3.9818704399734672</v>
      </c>
      <c r="O53" s="721">
        <f t="shared" si="58"/>
        <v>2.2715513880915417</v>
      </c>
      <c r="P53" s="3500">
        <f t="shared" si="58"/>
        <v>-1.2231631762048001</v>
      </c>
      <c r="Q53" s="3500">
        <f t="shared" si="48"/>
        <v>0.87137715476417466</v>
      </c>
      <c r="R53" s="3500">
        <f>(R36/Q36-1)*100</f>
        <v>-0.45279081898800255</v>
      </c>
      <c r="S53" s="3500">
        <f>(S36/R36-1)*100</f>
        <v>1.6069981274978273</v>
      </c>
      <c r="T53" s="2948">
        <f t="shared" si="58"/>
        <v>-1.734239190229947</v>
      </c>
      <c r="U53" s="2948">
        <f t="shared" si="58"/>
        <v>-7.7465675777805831</v>
      </c>
      <c r="V53" s="2948">
        <f t="shared" si="58"/>
        <v>-5.3522665210267606</v>
      </c>
      <c r="W53" s="2948">
        <f t="shared" si="58"/>
        <v>0.46803872539591396</v>
      </c>
      <c r="X53" s="2948">
        <f>(X36/W36-1)*100</f>
        <v>1.7868538608806661</v>
      </c>
      <c r="Y53" s="2948">
        <f t="shared" si="58"/>
        <v>1.3456112852664681</v>
      </c>
      <c r="Z53" s="2948">
        <f t="shared" si="58"/>
        <v>2.0206160056295719</v>
      </c>
      <c r="AA53" s="2948">
        <f t="shared" si="58"/>
        <v>1.2408095202001146</v>
      </c>
      <c r="AB53" s="2948">
        <f t="shared" si="58"/>
        <v>1.979530872146551</v>
      </c>
      <c r="AC53" s="3689">
        <f t="shared" si="58"/>
        <v>-0.46912510737017188</v>
      </c>
      <c r="AD53" s="3689">
        <f t="shared" si="58"/>
        <v>-0.54332365908232871</v>
      </c>
      <c r="AE53" s="3689">
        <f t="shared" si="58"/>
        <v>-0.30321226620059205</v>
      </c>
      <c r="AF53" s="3655" t="s">
        <v>2604</v>
      </c>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row>
    <row r="54" spans="1:119">
      <c r="A54" s="1130"/>
      <c r="C54" s="880" t="s">
        <v>1767</v>
      </c>
      <c r="D54" s="691"/>
      <c r="E54" s="735" t="s">
        <v>966</v>
      </c>
      <c r="F54" s="764" t="s">
        <v>620</v>
      </c>
      <c r="G54" s="765"/>
      <c r="H54" s="741">
        <f>(H38/G38-1)*100</f>
        <v>15.356151711378342</v>
      </c>
      <c r="I54" s="741">
        <f>(I38/H38-1)*100</f>
        <v>-16.118684843624699</v>
      </c>
      <c r="J54" s="741">
        <f t="shared" ref="J54:AE54" si="60">(J38/I38-1)*100</f>
        <v>117.0172084130019</v>
      </c>
      <c r="K54" s="741">
        <f t="shared" si="60"/>
        <v>9.6916299559471462</v>
      </c>
      <c r="L54" s="741">
        <f t="shared" si="60"/>
        <v>10.040160642570273</v>
      </c>
      <c r="M54" s="741">
        <f t="shared" si="60"/>
        <v>3.649635036496357</v>
      </c>
      <c r="N54" s="741">
        <f t="shared" si="60"/>
        <v>-21.126760563380287</v>
      </c>
      <c r="O54" s="741">
        <f t="shared" si="60"/>
        <v>-8.9285714285714306</v>
      </c>
      <c r="P54" s="3499">
        <f t="shared" si="60"/>
        <v>-15.19607843137255</v>
      </c>
      <c r="Q54" s="3499">
        <f>(Q38/P38-1)*100</f>
        <v>-24.855491329479772</v>
      </c>
      <c r="R54" s="3499">
        <f>(R38/Q38-1)*100</f>
        <v>-32.307692307692307</v>
      </c>
      <c r="S54" s="3499">
        <f>(S38/R38-1)*100</f>
        <v>-27.27272727272727</v>
      </c>
      <c r="T54" s="3499">
        <f>(T38/S38-1)*100</f>
        <v>37.5</v>
      </c>
      <c r="U54" s="2949">
        <f t="shared" si="60"/>
        <v>139.77272727272728</v>
      </c>
      <c r="V54" s="2949">
        <f t="shared" si="60"/>
        <v>27.96208530805686</v>
      </c>
      <c r="W54" s="2949">
        <f t="shared" si="60"/>
        <v>-15.555555555555555</v>
      </c>
      <c r="X54" s="2949">
        <f t="shared" si="60"/>
        <v>-13.596491228070173</v>
      </c>
      <c r="Y54" s="2949">
        <f t="shared" si="60"/>
        <v>-12.690355329949243</v>
      </c>
      <c r="Z54" s="2949">
        <f t="shared" si="60"/>
        <v>-8.139534883720934</v>
      </c>
      <c r="AA54" s="2949">
        <f t="shared" si="60"/>
        <v>-15.189873417721522</v>
      </c>
      <c r="AB54" s="2949">
        <f t="shared" si="60"/>
        <v>-13.432835820895528</v>
      </c>
      <c r="AC54" s="2949">
        <f t="shared" si="60"/>
        <v>-11.206896551724132</v>
      </c>
      <c r="AD54" s="2949">
        <f t="shared" si="60"/>
        <v>-7.6998639408632936</v>
      </c>
      <c r="AE54" s="2949">
        <f t="shared" si="60"/>
        <v>0.58905917223748272</v>
      </c>
    </row>
    <row r="55" spans="1:119" s="699" customFormat="1" ht="12.75" customHeight="1">
      <c r="A55" s="664"/>
      <c r="B55" s="664"/>
      <c r="C55" s="666" t="s">
        <v>1769</v>
      </c>
      <c r="D55" s="717"/>
      <c r="E55" s="722" t="s">
        <v>1977</v>
      </c>
      <c r="F55" s="723" t="s">
        <v>715</v>
      </c>
      <c r="G55" s="721"/>
      <c r="H55" s="721" t="e">
        <f>(H43/G43-1)*100</f>
        <v>#VALUE!</v>
      </c>
      <c r="I55" s="721" t="e">
        <f t="shared" ref="I55:AE55" si="61">(I43/H43-1)*100</f>
        <v>#VALUE!</v>
      </c>
      <c r="J55" s="721" t="e">
        <f t="shared" si="61"/>
        <v>#VALUE!</v>
      </c>
      <c r="K55" s="721" t="e">
        <f t="shared" si="61"/>
        <v>#VALUE!</v>
      </c>
      <c r="L55" s="721" t="e">
        <f t="shared" si="61"/>
        <v>#VALUE!</v>
      </c>
      <c r="M55" s="721">
        <f t="shared" si="61"/>
        <v>-2.1380647085134874</v>
      </c>
      <c r="N55" s="721">
        <f t="shared" si="61"/>
        <v>-0.36382473033091944</v>
      </c>
      <c r="O55" s="721">
        <f t="shared" si="61"/>
        <v>0.73703461310270502</v>
      </c>
      <c r="P55" s="3500">
        <f t="shared" si="61"/>
        <v>-2.9538913648010312</v>
      </c>
      <c r="Q55" s="3500">
        <f>(Q43/P43-1)*100</f>
        <v>-1.9132469515056316</v>
      </c>
      <c r="R55" s="3500">
        <f>(R43/Q43-1)*100</f>
        <v>-3.0942433423696403</v>
      </c>
      <c r="S55" s="3500">
        <f>(S43/R43-1)*100</f>
        <v>-6.5822384876645934E-2</v>
      </c>
      <c r="T55" s="2948">
        <f t="shared" si="61"/>
        <v>-8.0356201918008185E-2</v>
      </c>
      <c r="U55" s="2948">
        <f t="shared" si="61"/>
        <v>0.81080012129042256</v>
      </c>
      <c r="V55" s="2948">
        <f t="shared" si="61"/>
        <v>-0.75589150733659238</v>
      </c>
      <c r="W55" s="2948">
        <f t="shared" si="61"/>
        <v>-2.3824583596879667</v>
      </c>
      <c r="X55" s="2948">
        <f t="shared" si="61"/>
        <v>-0.58045356371489998</v>
      </c>
      <c r="Y55" s="2948">
        <f t="shared" si="61"/>
        <v>-0.53156822810590532</v>
      </c>
      <c r="Z55" s="2948">
        <f t="shared" si="61"/>
        <v>0.82789027894372147</v>
      </c>
      <c r="AA55" s="2948">
        <f t="shared" si="61"/>
        <v>-0.51648277262572595</v>
      </c>
      <c r="AB55" s="2948">
        <f t="shared" si="61"/>
        <v>0.57427857954506223</v>
      </c>
      <c r="AC55" s="2948">
        <f t="shared" si="61"/>
        <v>-2.200000000000002</v>
      </c>
      <c r="AD55" s="2948">
        <f t="shared" si="61"/>
        <v>-0.14999999999999458</v>
      </c>
      <c r="AE55" s="2948">
        <f t="shared" si="61"/>
        <v>-0.24444399999998812</v>
      </c>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row>
    <row r="56" spans="1:119">
      <c r="A56" s="1130"/>
      <c r="G56" s="705"/>
      <c r="H56" s="705"/>
      <c r="I56" s="705"/>
      <c r="J56" s="705"/>
      <c r="K56" s="705"/>
      <c r="L56" s="705"/>
      <c r="M56" s="705"/>
      <c r="N56" s="705"/>
      <c r="O56" s="705"/>
      <c r="P56" s="3493"/>
      <c r="Q56" s="3493"/>
      <c r="R56" s="3493"/>
      <c r="S56" s="3493"/>
      <c r="T56" s="2950"/>
      <c r="U56" s="2950"/>
      <c r="V56" s="2950"/>
      <c r="W56" s="2950"/>
      <c r="X56" s="2950"/>
      <c r="Y56" s="2950"/>
      <c r="Z56" s="2950"/>
      <c r="AA56" s="2950"/>
      <c r="AB56" s="2950"/>
      <c r="AC56" s="2950"/>
      <c r="AD56" s="2950"/>
      <c r="AE56" s="2950"/>
    </row>
    <row r="57" spans="1:119" s="699" customFormat="1" ht="12.75" customHeight="1">
      <c r="A57" s="664"/>
      <c r="B57" s="664"/>
      <c r="C57" s="666"/>
      <c r="D57" s="858"/>
      <c r="E57" s="859" t="str">
        <f>+E20</f>
        <v>Growth (1000 persons)</v>
      </c>
      <c r="F57" s="860"/>
      <c r="G57" s="861">
        <f>+InputY!$G$3</f>
        <v>1995</v>
      </c>
      <c r="H57" s="861">
        <f>+G57+1</f>
        <v>1996</v>
      </c>
      <c r="I57" s="861">
        <f t="shared" ref="I57:O57" si="62">+H57+1</f>
        <v>1997</v>
      </c>
      <c r="J57" s="861">
        <f t="shared" si="62"/>
        <v>1998</v>
      </c>
      <c r="K57" s="861">
        <f t="shared" si="62"/>
        <v>1999</v>
      </c>
      <c r="L57" s="861">
        <f t="shared" si="62"/>
        <v>2000</v>
      </c>
      <c r="M57" s="861">
        <f t="shared" si="62"/>
        <v>2001</v>
      </c>
      <c r="N57" s="861">
        <f t="shared" si="62"/>
        <v>2002</v>
      </c>
      <c r="O57" s="861">
        <f t="shared" si="62"/>
        <v>2003</v>
      </c>
      <c r="P57" s="3501">
        <f t="shared" ref="P57:V57" si="63">+O57+1</f>
        <v>2004</v>
      </c>
      <c r="Q57" s="3501">
        <f t="shared" si="63"/>
        <v>2005</v>
      </c>
      <c r="R57" s="3501">
        <f t="shared" si="63"/>
        <v>2006</v>
      </c>
      <c r="S57" s="3501">
        <f t="shared" si="63"/>
        <v>2007</v>
      </c>
      <c r="T57" s="3502">
        <f t="shared" si="63"/>
        <v>2008</v>
      </c>
      <c r="U57" s="3502">
        <f t="shared" si="63"/>
        <v>2009</v>
      </c>
      <c r="V57" s="3502">
        <f t="shared" si="63"/>
        <v>2010</v>
      </c>
      <c r="W57" s="3502">
        <f t="shared" ref="W57:AE57" si="64">+V57+1</f>
        <v>2011</v>
      </c>
      <c r="X57" s="3502">
        <f t="shared" si="64"/>
        <v>2012</v>
      </c>
      <c r="Y57" s="3502">
        <f t="shared" si="64"/>
        <v>2013</v>
      </c>
      <c r="Z57" s="3502">
        <f t="shared" si="64"/>
        <v>2014</v>
      </c>
      <c r="AA57" s="3502">
        <f t="shared" si="64"/>
        <v>2015</v>
      </c>
      <c r="AB57" s="3502">
        <f t="shared" si="64"/>
        <v>2016</v>
      </c>
      <c r="AC57" s="3502">
        <f t="shared" si="64"/>
        <v>2017</v>
      </c>
      <c r="AD57" s="3502">
        <f t="shared" si="64"/>
        <v>2018</v>
      </c>
      <c r="AE57" s="3502">
        <f t="shared" si="64"/>
        <v>2019</v>
      </c>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row>
    <row r="58" spans="1:119">
      <c r="A58" s="1130"/>
      <c r="C58" s="992" t="s">
        <v>1769</v>
      </c>
      <c r="D58" s="993"/>
      <c r="E58" s="994" t="s">
        <v>733</v>
      </c>
      <c r="F58" s="995" t="s">
        <v>734</v>
      </c>
      <c r="G58" s="1687"/>
      <c r="H58" s="1687" t="e">
        <f t="shared" ref="H58:AE59" si="65">+H30-G30</f>
        <v>#VALUE!</v>
      </c>
      <c r="I58" s="1687" t="e">
        <f t="shared" si="65"/>
        <v>#VALUE!</v>
      </c>
      <c r="J58" s="1687" t="e">
        <f t="shared" si="65"/>
        <v>#VALUE!</v>
      </c>
      <c r="K58" s="1687" t="e">
        <f t="shared" si="65"/>
        <v>#VALUE!</v>
      </c>
      <c r="L58" s="1687" t="e">
        <f t="shared" si="65"/>
        <v>#VALUE!</v>
      </c>
      <c r="M58" s="1687">
        <f t="shared" si="65"/>
        <v>-40.819999999999823</v>
      </c>
      <c r="N58" s="1687">
        <f t="shared" si="65"/>
        <v>41.930000000000064</v>
      </c>
      <c r="O58" s="1687">
        <f t="shared" si="65"/>
        <v>30.709999999999809</v>
      </c>
      <c r="P58" s="3519">
        <f t="shared" si="65"/>
        <v>3.6400000000001</v>
      </c>
      <c r="Q58" s="3519">
        <f t="shared" ref="Q58:Q64" si="66">+Q30-P30</f>
        <v>28.519999999999868</v>
      </c>
      <c r="R58" s="3519">
        <f t="shared" ref="R58:AB58" si="67">+R30-Q30</f>
        <v>28.860000000000014</v>
      </c>
      <c r="S58" s="3519">
        <f t="shared" si="67"/>
        <v>31.840000000000146</v>
      </c>
      <c r="T58" s="3519">
        <f t="shared" si="67"/>
        <v>26.029999999999973</v>
      </c>
      <c r="U58" s="3519">
        <f t="shared" si="67"/>
        <v>-98.080000000000041</v>
      </c>
      <c r="V58" s="3519">
        <f t="shared" si="67"/>
        <v>-41.160000000000082</v>
      </c>
      <c r="W58" s="3519">
        <f t="shared" si="67"/>
        <v>12.070000000000164</v>
      </c>
      <c r="X58" s="3519">
        <f t="shared" si="67"/>
        <v>18.460000000000036</v>
      </c>
      <c r="Y58" s="3519">
        <f t="shared" si="67"/>
        <v>7.8999999999999773</v>
      </c>
      <c r="Z58" s="3519">
        <f t="shared" si="67"/>
        <v>16.409999999999968</v>
      </c>
      <c r="AA58" s="3519">
        <f t="shared" si="67"/>
        <v>6.3700000000000045</v>
      </c>
      <c r="AB58" s="3519">
        <f t="shared" si="67"/>
        <v>16.909999999999854</v>
      </c>
      <c r="AC58" s="2939">
        <f t="shared" si="65"/>
        <v>2.3700000000003456</v>
      </c>
      <c r="AD58" s="2939">
        <f t="shared" si="65"/>
        <v>-4.3951499999999442</v>
      </c>
      <c r="AE58" s="2939">
        <f t="shared" si="65"/>
        <v>-2.0418401849999555</v>
      </c>
    </row>
    <row r="59" spans="1:119">
      <c r="A59" s="1130"/>
      <c r="C59" s="943" t="s">
        <v>1767</v>
      </c>
      <c r="D59" s="674"/>
      <c r="E59" s="220" t="s">
        <v>1022</v>
      </c>
      <c r="F59" s="704" t="s">
        <v>1023</v>
      </c>
      <c r="G59" s="1559"/>
      <c r="H59" s="1559">
        <f t="shared" si="65"/>
        <v>4</v>
      </c>
      <c r="I59" s="1559">
        <f t="shared" si="65"/>
        <v>5</v>
      </c>
      <c r="J59" s="1559">
        <f t="shared" si="65"/>
        <v>0.70000000000001705</v>
      </c>
      <c r="K59" s="1559">
        <f t="shared" si="65"/>
        <v>13.799999999999983</v>
      </c>
      <c r="L59" s="1559">
        <f t="shared" si="65"/>
        <v>6</v>
      </c>
      <c r="M59" s="1559">
        <f t="shared" si="65"/>
        <v>-4.5999999999999943</v>
      </c>
      <c r="N59" s="1559">
        <f t="shared" si="65"/>
        <v>-7.6999999999999886</v>
      </c>
      <c r="O59" s="1559">
        <f t="shared" si="65"/>
        <v>-10.5</v>
      </c>
      <c r="P59" s="3507">
        <f t="shared" si="65"/>
        <v>10.399999999999977</v>
      </c>
      <c r="Q59" s="3507">
        <f t="shared" si="66"/>
        <v>-0.84999999999996589</v>
      </c>
      <c r="R59" s="3507">
        <f t="shared" ref="R59:AB59" si="68">+R31-Q31</f>
        <v>-29.930000000000007</v>
      </c>
      <c r="S59" s="3507">
        <f t="shared" si="68"/>
        <v>28.319999999999993</v>
      </c>
      <c r="T59" s="3507">
        <f t="shared" si="68"/>
        <v>-6.0000000000002274E-2</v>
      </c>
      <c r="U59" s="3507">
        <f t="shared" si="68"/>
        <v>-2.8199999999999932</v>
      </c>
      <c r="V59" s="3507">
        <f t="shared" si="68"/>
        <v>-6.4900000000000091</v>
      </c>
      <c r="W59" s="3507">
        <f t="shared" si="68"/>
        <v>-3.2000000000000171</v>
      </c>
      <c r="X59" s="3507">
        <f t="shared" si="68"/>
        <v>-4.5199999999999818</v>
      </c>
      <c r="Y59" s="3507">
        <f t="shared" si="68"/>
        <v>-2.0900000000000034</v>
      </c>
      <c r="Z59" s="3507">
        <f t="shared" si="68"/>
        <v>2.0699999999999932</v>
      </c>
      <c r="AA59" s="3507">
        <f t="shared" si="68"/>
        <v>6.4499999999999886</v>
      </c>
      <c r="AB59" s="3507">
        <f t="shared" si="68"/>
        <v>5.3900000000000148</v>
      </c>
      <c r="AC59" s="2951">
        <f t="shared" si="65"/>
        <v>-3.9699999999999704</v>
      </c>
      <c r="AD59" s="2951">
        <f t="shared" si="65"/>
        <v>-2.1500000000000057</v>
      </c>
      <c r="AE59" s="2951">
        <f t="shared" si="65"/>
        <v>-0.42570000000000618</v>
      </c>
    </row>
    <row r="60" spans="1:119" s="699" customFormat="1" ht="12.75" customHeight="1">
      <c r="A60" s="664"/>
      <c r="B60" s="664"/>
      <c r="C60" s="944" t="s">
        <v>1769</v>
      </c>
      <c r="D60" s="806"/>
      <c r="E60" s="334" t="s">
        <v>716</v>
      </c>
      <c r="F60" s="808" t="s">
        <v>557</v>
      </c>
      <c r="G60" s="857"/>
      <c r="H60" s="857" t="e">
        <f>+H32-G32</f>
        <v>#VALUE!</v>
      </c>
      <c r="I60" s="857" t="e">
        <f t="shared" ref="I60:P60" si="69">+I32-H32</f>
        <v>#VALUE!</v>
      </c>
      <c r="J60" s="857" t="e">
        <f t="shared" si="69"/>
        <v>#VALUE!</v>
      </c>
      <c r="K60" s="857" t="e">
        <f t="shared" si="69"/>
        <v>#VALUE!</v>
      </c>
      <c r="L60" s="857" t="e">
        <f t="shared" si="69"/>
        <v>#VALUE!</v>
      </c>
      <c r="M60" s="857">
        <f t="shared" si="69"/>
        <v>-45.419999999999845</v>
      </c>
      <c r="N60" s="857">
        <f t="shared" si="69"/>
        <v>34.230000000000018</v>
      </c>
      <c r="O60" s="857">
        <f t="shared" si="69"/>
        <v>20.209999999999809</v>
      </c>
      <c r="P60" s="3505">
        <f t="shared" si="69"/>
        <v>14.040000000000191</v>
      </c>
      <c r="Q60" s="3505">
        <f t="shared" si="66"/>
        <v>27.669999999999845</v>
      </c>
      <c r="R60" s="3505">
        <f t="shared" ref="R60:T61" si="70">+R32-Q32</f>
        <v>-1.0699999999999363</v>
      </c>
      <c r="S60" s="3505">
        <f t="shared" si="70"/>
        <v>60.160000000000082</v>
      </c>
      <c r="T60" s="3505">
        <f t="shared" si="70"/>
        <v>25.970000000000027</v>
      </c>
      <c r="U60" s="2952">
        <f t="shared" ref="U60:AE61" si="71">+U32-T32</f>
        <v>-100.90000000000009</v>
      </c>
      <c r="V60" s="2952">
        <f t="shared" si="71"/>
        <v>-47.650000000000091</v>
      </c>
      <c r="W60" s="2952">
        <f t="shared" si="71"/>
        <v>8.8700000000001182</v>
      </c>
      <c r="X60" s="2952">
        <f t="shared" si="71"/>
        <v>13.940000000000055</v>
      </c>
      <c r="Y60" s="2952">
        <f t="shared" si="71"/>
        <v>5.8099999999999454</v>
      </c>
      <c r="Z60" s="2952">
        <f t="shared" si="71"/>
        <v>18.480000000000018</v>
      </c>
      <c r="AA60" s="2952">
        <f t="shared" si="71"/>
        <v>12.819999999999936</v>
      </c>
      <c r="AB60" s="2952">
        <f t="shared" si="71"/>
        <v>22.299999999999955</v>
      </c>
      <c r="AC60" s="2952">
        <f t="shared" si="71"/>
        <v>-1.5999999999999091</v>
      </c>
      <c r="AD60" s="2952">
        <f t="shared" si="71"/>
        <v>-6.545149999999694</v>
      </c>
      <c r="AE60" s="2952">
        <f t="shared" si="71"/>
        <v>-2.4675401849999616</v>
      </c>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row>
    <row r="61" spans="1:119" s="699" customFormat="1" ht="12.75" customHeight="1">
      <c r="A61" s="664"/>
      <c r="B61" s="664"/>
      <c r="C61" s="944" t="s">
        <v>1767</v>
      </c>
      <c r="D61" s="674"/>
      <c r="E61" s="220" t="s">
        <v>238</v>
      </c>
      <c r="F61" s="710" t="s">
        <v>717</v>
      </c>
      <c r="G61" s="705"/>
      <c r="H61" s="705" t="e">
        <f>+H33-G33</f>
        <v>#VALUE!</v>
      </c>
      <c r="I61" s="705" t="e">
        <f t="shared" ref="I61:P61" si="72">+I33-H33</f>
        <v>#VALUE!</v>
      </c>
      <c r="J61" s="705" t="e">
        <f t="shared" si="72"/>
        <v>#VALUE!</v>
      </c>
      <c r="K61" s="705" t="e">
        <f t="shared" si="72"/>
        <v>#VALUE!</v>
      </c>
      <c r="L61" s="705" t="e">
        <f t="shared" si="72"/>
        <v>#VALUE!</v>
      </c>
      <c r="M61" s="705">
        <f t="shared" si="72"/>
        <v>-7.7800000000002001</v>
      </c>
      <c r="N61" s="705">
        <f t="shared" si="72"/>
        <v>14.460000000000036</v>
      </c>
      <c r="O61" s="705">
        <f t="shared" si="72"/>
        <v>10.820000000000164</v>
      </c>
      <c r="P61" s="3493">
        <f t="shared" si="72"/>
        <v>-29.650000000000318</v>
      </c>
      <c r="Q61" s="3493">
        <f t="shared" si="66"/>
        <v>-17.049999999999727</v>
      </c>
      <c r="R61" s="3493">
        <f t="shared" si="70"/>
        <v>-3.3900000000001</v>
      </c>
      <c r="S61" s="3493">
        <f t="shared" si="70"/>
        <v>-31.279999999999973</v>
      </c>
      <c r="T61" s="3493">
        <f t="shared" si="70"/>
        <v>-45.020000000000209</v>
      </c>
      <c r="U61" s="3493">
        <f t="shared" si="71"/>
        <v>-8.6799999999998363</v>
      </c>
      <c r="V61" s="3493">
        <f t="shared" si="71"/>
        <v>-22.089999999999918</v>
      </c>
      <c r="W61" s="3493">
        <f t="shared" si="71"/>
        <v>-2.9400000000000546</v>
      </c>
      <c r="X61" s="3493">
        <f t="shared" si="71"/>
        <v>8.2599999999999909</v>
      </c>
      <c r="Y61" s="3493">
        <f t="shared" si="71"/>
        <v>11.180000000000064</v>
      </c>
      <c r="Z61" s="3493">
        <f t="shared" si="71"/>
        <v>7.4399999999998272</v>
      </c>
      <c r="AA61" s="3493">
        <f t="shared" si="71"/>
        <v>4.1000000000001364</v>
      </c>
      <c r="AB61" s="3493">
        <f t="shared" si="71"/>
        <v>4.1800000000000637</v>
      </c>
      <c r="AC61" s="3493">
        <f t="shared" si="71"/>
        <v>-5.5000000000002274</v>
      </c>
      <c r="AD61" s="2952">
        <f t="shared" si="71"/>
        <v>-0.81204999999999927</v>
      </c>
      <c r="AE61" s="2952">
        <f t="shared" si="71"/>
        <v>-1.6159795000000088</v>
      </c>
      <c r="AF61" s="365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row>
    <row r="62" spans="1:119">
      <c r="A62" s="1130"/>
      <c r="C62" s="943" t="s">
        <v>1769</v>
      </c>
      <c r="D62" s="806"/>
      <c r="E62" s="334" t="s">
        <v>752</v>
      </c>
      <c r="F62" s="873" t="s">
        <v>553</v>
      </c>
      <c r="G62" s="857"/>
      <c r="H62" s="857" t="e">
        <f t="shared" ref="H62:AE64" si="73">+H34-G34</f>
        <v>#VALUE!</v>
      </c>
      <c r="I62" s="857" t="e">
        <f t="shared" si="73"/>
        <v>#VALUE!</v>
      </c>
      <c r="J62" s="857" t="e">
        <f t="shared" si="73"/>
        <v>#VALUE!</v>
      </c>
      <c r="K62" s="857" t="e">
        <f t="shared" si="73"/>
        <v>#VALUE!</v>
      </c>
      <c r="L62" s="857" t="e">
        <f t="shared" si="73"/>
        <v>#VALUE!</v>
      </c>
      <c r="M62" s="857">
        <f t="shared" si="73"/>
        <v>-53.200000000000045</v>
      </c>
      <c r="N62" s="857">
        <f t="shared" si="73"/>
        <v>48.690000000000055</v>
      </c>
      <c r="O62" s="857">
        <f t="shared" si="73"/>
        <v>31.029999999999973</v>
      </c>
      <c r="P62" s="3505">
        <f t="shared" si="73"/>
        <v>-15.610000000000127</v>
      </c>
      <c r="Q62" s="3505">
        <f t="shared" si="66"/>
        <v>10.620000000000118</v>
      </c>
      <c r="R62" s="3505">
        <f t="shared" ref="R62:S64" si="74">+R34-Q34</f>
        <v>-4.4600000000000364</v>
      </c>
      <c r="S62" s="3505">
        <f t="shared" si="74"/>
        <v>28.880000000000109</v>
      </c>
      <c r="T62" s="2951">
        <f t="shared" si="73"/>
        <v>-19.050000000000182</v>
      </c>
      <c r="U62" s="2951">
        <f t="shared" si="73"/>
        <v>-109.57999999999993</v>
      </c>
      <c r="V62" s="2951">
        <f t="shared" si="73"/>
        <v>-69.740000000000009</v>
      </c>
      <c r="W62" s="2951">
        <f t="shared" si="73"/>
        <v>5.9300000000000637</v>
      </c>
      <c r="X62" s="2951">
        <f t="shared" si="73"/>
        <v>22.200000000000045</v>
      </c>
      <c r="Y62" s="2951">
        <f t="shared" si="73"/>
        <v>16.990000000000009</v>
      </c>
      <c r="Z62" s="2951">
        <f t="shared" si="73"/>
        <v>25.919999999999845</v>
      </c>
      <c r="AA62" s="2951">
        <f t="shared" si="73"/>
        <v>16.920000000000073</v>
      </c>
      <c r="AB62" s="2951">
        <f t="shared" si="73"/>
        <v>26.480000000000018</v>
      </c>
      <c r="AC62" s="2951">
        <f t="shared" si="73"/>
        <v>-7.1000000000001364</v>
      </c>
      <c r="AD62" s="2951">
        <f t="shared" si="73"/>
        <v>-7.3571999999996933</v>
      </c>
      <c r="AE62" s="2951">
        <f t="shared" si="73"/>
        <v>-4.0835196850000557</v>
      </c>
      <c r="AF62" s="3651"/>
    </row>
    <row r="63" spans="1:119">
      <c r="A63" s="1130"/>
      <c r="C63" s="875" t="s">
        <v>1767</v>
      </c>
      <c r="D63" s="674"/>
      <c r="E63" s="220" t="s">
        <v>719</v>
      </c>
      <c r="F63" s="704" t="s">
        <v>272</v>
      </c>
      <c r="G63" s="705"/>
      <c r="H63" s="705" t="e">
        <f t="shared" si="73"/>
        <v>#VALUE!</v>
      </c>
      <c r="I63" s="705" t="e">
        <f t="shared" si="73"/>
        <v>#VALUE!</v>
      </c>
      <c r="J63" s="705" t="e">
        <f t="shared" si="73"/>
        <v>#VALUE!</v>
      </c>
      <c r="K63" s="705" t="e">
        <f t="shared" si="73"/>
        <v>#VALUE!</v>
      </c>
      <c r="L63" s="705" t="e">
        <f t="shared" si="73"/>
        <v>#VALUE!</v>
      </c>
      <c r="M63" s="705">
        <f t="shared" si="73"/>
        <v>7.3500000000001364</v>
      </c>
      <c r="N63" s="705">
        <f t="shared" si="73"/>
        <v>5.3399999999999181</v>
      </c>
      <c r="O63" s="705">
        <f t="shared" si="73"/>
        <v>1.0199999999999818</v>
      </c>
      <c r="P63" s="3493">
        <f t="shared" si="73"/>
        <v>-2.0399999999999636</v>
      </c>
      <c r="Q63" s="3493">
        <f t="shared" si="66"/>
        <v>1.7999999999999545</v>
      </c>
      <c r="R63" s="3493">
        <f t="shared" si="74"/>
        <v>-2.0499999999999545</v>
      </c>
      <c r="S63" s="3493">
        <f t="shared" si="74"/>
        <v>-5.8800000000001091</v>
      </c>
      <c r="T63" s="3493">
        <f t="shared" si="73"/>
        <v>-6.1699999999998454</v>
      </c>
      <c r="U63" s="3493">
        <f t="shared" si="73"/>
        <v>-1.1200000000001182</v>
      </c>
      <c r="V63" s="3493">
        <f t="shared" si="73"/>
        <v>-0.81999999999993634</v>
      </c>
      <c r="W63" s="3493">
        <f t="shared" si="73"/>
        <v>-9.0000000000145519E-2</v>
      </c>
      <c r="X63" s="3493">
        <f t="shared" si="73"/>
        <v>0.20000000000004547</v>
      </c>
      <c r="Y63" s="3493">
        <f t="shared" si="73"/>
        <v>0.18000000000006366</v>
      </c>
      <c r="Z63" s="3493">
        <f t="shared" si="73"/>
        <v>0.21000000000003638</v>
      </c>
      <c r="AA63" s="3493">
        <f t="shared" si="73"/>
        <v>-0.54999999999995453</v>
      </c>
      <c r="AB63" s="3493">
        <f t="shared" si="73"/>
        <v>-4.0000000000190994E-2</v>
      </c>
      <c r="AC63" s="3493">
        <f t="shared" si="73"/>
        <v>0.71000000000026375</v>
      </c>
      <c r="AD63" s="2951">
        <f t="shared" si="73"/>
        <v>-8.747510911226275E-3</v>
      </c>
      <c r="AE63" s="2951">
        <f t="shared" si="73"/>
        <v>-4.8551939597600846E-3</v>
      </c>
      <c r="AF63" s="3651"/>
    </row>
    <row r="64" spans="1:119" s="699" customFormat="1" ht="12.75" customHeight="1">
      <c r="A64" s="664"/>
      <c r="B64" s="664"/>
      <c r="C64" s="874" t="s">
        <v>1769</v>
      </c>
      <c r="D64" s="806"/>
      <c r="E64" s="807" t="s">
        <v>753</v>
      </c>
      <c r="F64" s="808" t="s">
        <v>881</v>
      </c>
      <c r="G64" s="809"/>
      <c r="H64" s="857" t="e">
        <f t="shared" si="73"/>
        <v>#VALUE!</v>
      </c>
      <c r="I64" s="857" t="e">
        <f t="shared" si="73"/>
        <v>#VALUE!</v>
      </c>
      <c r="J64" s="857" t="e">
        <f t="shared" si="73"/>
        <v>#VALUE!</v>
      </c>
      <c r="K64" s="857" t="e">
        <f t="shared" si="73"/>
        <v>#VALUE!</v>
      </c>
      <c r="L64" s="857" t="e">
        <f t="shared" si="73"/>
        <v>#VALUE!</v>
      </c>
      <c r="M64" s="857">
        <f t="shared" si="73"/>
        <v>-45.849999999999909</v>
      </c>
      <c r="N64" s="857">
        <f t="shared" si="73"/>
        <v>54.029999999999973</v>
      </c>
      <c r="O64" s="857">
        <f t="shared" si="73"/>
        <v>32.049999999999955</v>
      </c>
      <c r="P64" s="3505">
        <f t="shared" si="73"/>
        <v>-17.650000000000091</v>
      </c>
      <c r="Q64" s="3505">
        <f t="shared" si="66"/>
        <v>12.420000000000073</v>
      </c>
      <c r="R64" s="3505">
        <f t="shared" si="74"/>
        <v>-6.5099999999999909</v>
      </c>
      <c r="S64" s="3505">
        <f t="shared" si="74"/>
        <v>23</v>
      </c>
      <c r="T64" s="2951">
        <f t="shared" si="73"/>
        <v>-25.220000000000027</v>
      </c>
      <c r="U64" s="2951">
        <f t="shared" si="73"/>
        <v>-110.70000000000005</v>
      </c>
      <c r="V64" s="2951">
        <f t="shared" si="73"/>
        <v>-70.559999999999945</v>
      </c>
      <c r="W64" s="2951">
        <f t="shared" si="73"/>
        <v>5.8399999999999181</v>
      </c>
      <c r="X64" s="2951">
        <f t="shared" si="73"/>
        <v>22.400000000000091</v>
      </c>
      <c r="Y64" s="2951">
        <f t="shared" si="73"/>
        <v>17.170000000000073</v>
      </c>
      <c r="Z64" s="2951">
        <f t="shared" si="73"/>
        <v>26.129999999999882</v>
      </c>
      <c r="AA64" s="2951">
        <f t="shared" si="73"/>
        <v>16.370000000000118</v>
      </c>
      <c r="AB64" s="2951">
        <f t="shared" si="73"/>
        <v>26.439999999999827</v>
      </c>
      <c r="AC64" s="2951">
        <f t="shared" si="73"/>
        <v>-6.3899999999998727</v>
      </c>
      <c r="AD64" s="2951">
        <f t="shared" si="73"/>
        <v>-7.365947510910928</v>
      </c>
      <c r="AE64" s="2951">
        <f t="shared" si="73"/>
        <v>-4.0883748789597121</v>
      </c>
      <c r="AF64" s="3651"/>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row>
    <row r="65" spans="1:119">
      <c r="A65" s="1130"/>
      <c r="C65" s="303" t="s">
        <v>1767</v>
      </c>
      <c r="D65" s="828"/>
      <c r="E65" s="116" t="s">
        <v>966</v>
      </c>
      <c r="F65" s="882" t="s">
        <v>620</v>
      </c>
      <c r="G65" s="883"/>
      <c r="H65" s="876">
        <f>+H38-G38</f>
        <v>16.599999999999994</v>
      </c>
      <c r="I65" s="876">
        <f t="shared" ref="I65:AE65" si="75">+I38-H38</f>
        <v>-20.099999999999994</v>
      </c>
      <c r="J65" s="876">
        <f t="shared" si="75"/>
        <v>122.39999999999999</v>
      </c>
      <c r="K65" s="876">
        <f t="shared" si="75"/>
        <v>22</v>
      </c>
      <c r="L65" s="876">
        <f t="shared" si="75"/>
        <v>25</v>
      </c>
      <c r="M65" s="876">
        <f t="shared" si="75"/>
        <v>10</v>
      </c>
      <c r="N65" s="876">
        <f t="shared" si="75"/>
        <v>-60</v>
      </c>
      <c r="O65" s="876">
        <f t="shared" si="75"/>
        <v>-20</v>
      </c>
      <c r="P65" s="3520">
        <f t="shared" si="75"/>
        <v>-31</v>
      </c>
      <c r="Q65" s="3520">
        <f t="shared" ref="Q65:AC65" si="76">+Q38-P38</f>
        <v>-43</v>
      </c>
      <c r="R65" s="3520">
        <f t="shared" si="76"/>
        <v>-42</v>
      </c>
      <c r="S65" s="3520">
        <f t="shared" si="76"/>
        <v>-24</v>
      </c>
      <c r="T65" s="3520">
        <f t="shared" si="76"/>
        <v>24</v>
      </c>
      <c r="U65" s="3520">
        <f t="shared" si="76"/>
        <v>123</v>
      </c>
      <c r="V65" s="3520">
        <f t="shared" si="76"/>
        <v>59</v>
      </c>
      <c r="W65" s="3520">
        <f t="shared" si="76"/>
        <v>-42</v>
      </c>
      <c r="X65" s="3520">
        <f t="shared" si="76"/>
        <v>-31</v>
      </c>
      <c r="Y65" s="3520">
        <f t="shared" si="76"/>
        <v>-25</v>
      </c>
      <c r="Z65" s="3520">
        <f t="shared" si="76"/>
        <v>-14</v>
      </c>
      <c r="AA65" s="3520">
        <f t="shared" si="76"/>
        <v>-24</v>
      </c>
      <c r="AB65" s="3520">
        <f t="shared" si="76"/>
        <v>-18</v>
      </c>
      <c r="AC65" s="3520">
        <f t="shared" si="76"/>
        <v>-13</v>
      </c>
      <c r="AD65" s="2953">
        <f t="shared" si="75"/>
        <v>-7.9308598590891961</v>
      </c>
      <c r="AE65" s="2953">
        <f t="shared" si="75"/>
        <v>0.56001348996733213</v>
      </c>
      <c r="AF65" s="3651"/>
    </row>
    <row r="66" spans="1:119" s="699" customFormat="1" ht="12.75" customHeight="1">
      <c r="A66" s="664"/>
      <c r="B66" s="664"/>
      <c r="C66" s="666" t="s">
        <v>1769</v>
      </c>
      <c r="D66" s="806"/>
      <c r="E66" s="807" t="s">
        <v>1977</v>
      </c>
      <c r="F66" s="808" t="s">
        <v>715</v>
      </c>
      <c r="G66" s="809"/>
      <c r="H66" s="857" t="e">
        <f t="shared" ref="H66:P66" si="77">+H43-G43</f>
        <v>#VALUE!</v>
      </c>
      <c r="I66" s="857" t="e">
        <f t="shared" si="77"/>
        <v>#VALUE!</v>
      </c>
      <c r="J66" s="857" t="e">
        <f t="shared" si="77"/>
        <v>#VALUE!</v>
      </c>
      <c r="K66" s="857" t="e">
        <f t="shared" si="77"/>
        <v>#VALUE!</v>
      </c>
      <c r="L66" s="857" t="e">
        <f t="shared" si="77"/>
        <v>#VALUE!</v>
      </c>
      <c r="M66" s="857">
        <f t="shared" si="77"/>
        <v>-35.849999999999909</v>
      </c>
      <c r="N66" s="857">
        <f t="shared" si="77"/>
        <v>-5.9700000000000273</v>
      </c>
      <c r="O66" s="857">
        <f t="shared" si="77"/>
        <v>12.049999999999955</v>
      </c>
      <c r="P66" s="3505">
        <f t="shared" si="77"/>
        <v>-48.650000000000091</v>
      </c>
      <c r="Q66" s="3505">
        <f t="shared" ref="Q66:AE66" si="78">+Q43-P43</f>
        <v>-30.579999999999927</v>
      </c>
      <c r="R66" s="3505">
        <f t="shared" si="78"/>
        <v>-48.509999999999991</v>
      </c>
      <c r="S66" s="3505">
        <f t="shared" si="78"/>
        <v>-1</v>
      </c>
      <c r="T66" s="2951">
        <f t="shared" si="78"/>
        <v>-1.2200000000000273</v>
      </c>
      <c r="U66" s="2951">
        <f t="shared" si="78"/>
        <v>12.299999999999955</v>
      </c>
      <c r="V66" s="2951">
        <f t="shared" si="78"/>
        <v>-11.559999999999945</v>
      </c>
      <c r="W66" s="2951">
        <f t="shared" si="78"/>
        <v>-36.160000000000082</v>
      </c>
      <c r="X66" s="2951">
        <f t="shared" si="78"/>
        <v>-8.5999999999999091</v>
      </c>
      <c r="Y66" s="2951">
        <f t="shared" si="78"/>
        <v>-7.8299999999999272</v>
      </c>
      <c r="Z66" s="2951">
        <f t="shared" si="78"/>
        <v>12.129999999999882</v>
      </c>
      <c r="AA66" s="2951">
        <f t="shared" si="78"/>
        <v>-7.6299999999998818</v>
      </c>
      <c r="AB66" s="2951">
        <f t="shared" si="78"/>
        <v>8.4399999999998272</v>
      </c>
      <c r="AC66" s="2951">
        <f t="shared" si="78"/>
        <v>-32.518420000000106</v>
      </c>
      <c r="AD66" s="2951">
        <f t="shared" si="78"/>
        <v>-2.1683873699998912</v>
      </c>
      <c r="AE66" s="2951">
        <f t="shared" si="78"/>
        <v>-3.5283613889923799</v>
      </c>
      <c r="AF66" s="3651"/>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row>
    <row r="67" spans="1:119">
      <c r="A67" s="1130"/>
      <c r="G67" s="705"/>
      <c r="H67" s="705"/>
      <c r="I67" s="705"/>
      <c r="J67" s="705"/>
      <c r="K67" s="705"/>
      <c r="L67" s="705"/>
      <c r="M67" s="705"/>
      <c r="N67" s="705"/>
      <c r="O67" s="705"/>
      <c r="P67" s="3493"/>
      <c r="Q67" s="3493"/>
      <c r="R67" s="3493"/>
      <c r="S67" s="3493"/>
      <c r="T67" s="2950"/>
      <c r="U67" s="2950"/>
      <c r="V67" s="2950"/>
      <c r="W67" s="2950"/>
      <c r="X67" s="2950"/>
      <c r="Y67" s="2950"/>
      <c r="Z67" s="2950"/>
      <c r="AA67" s="2950"/>
      <c r="AB67" s="2950"/>
      <c r="AC67" s="2950"/>
      <c r="AD67" s="2950"/>
      <c r="AE67" s="2950"/>
    </row>
    <row r="68" spans="1:119" s="699" customFormat="1" ht="12.75" customHeight="1">
      <c r="A68" s="664"/>
      <c r="B68" s="664"/>
      <c r="C68" s="666"/>
      <c r="D68" s="858"/>
      <c r="E68" s="859" t="s">
        <v>1503</v>
      </c>
      <c r="F68" s="860"/>
      <c r="G68" s="861">
        <f>+InputY!$G$3</f>
        <v>1995</v>
      </c>
      <c r="H68" s="861">
        <f>+G68+1</f>
        <v>1996</v>
      </c>
      <c r="I68" s="861">
        <f t="shared" ref="I68:O68" si="79">+H68+1</f>
        <v>1997</v>
      </c>
      <c r="J68" s="861">
        <f t="shared" si="79"/>
        <v>1998</v>
      </c>
      <c r="K68" s="861">
        <f t="shared" si="79"/>
        <v>1999</v>
      </c>
      <c r="L68" s="861">
        <f t="shared" si="79"/>
        <v>2000</v>
      </c>
      <c r="M68" s="861">
        <f t="shared" si="79"/>
        <v>2001</v>
      </c>
      <c r="N68" s="861">
        <f t="shared" si="79"/>
        <v>2002</v>
      </c>
      <c r="O68" s="861">
        <f t="shared" si="79"/>
        <v>2003</v>
      </c>
      <c r="P68" s="3501">
        <f t="shared" ref="P68:U68" si="80">+O68+1</f>
        <v>2004</v>
      </c>
      <c r="Q68" s="3501">
        <f>+P68+1</f>
        <v>2005</v>
      </c>
      <c r="R68" s="3501">
        <f>+Q68+1</f>
        <v>2006</v>
      </c>
      <c r="S68" s="3501">
        <f>+R68+1</f>
        <v>2007</v>
      </c>
      <c r="T68" s="3502">
        <f t="shared" si="80"/>
        <v>2008</v>
      </c>
      <c r="U68" s="3502">
        <f t="shared" si="80"/>
        <v>2009</v>
      </c>
      <c r="V68" s="3502">
        <f t="shared" ref="V68:AE68" si="81">+U68+1</f>
        <v>2010</v>
      </c>
      <c r="W68" s="3502">
        <f t="shared" si="81"/>
        <v>2011</v>
      </c>
      <c r="X68" s="3502">
        <f t="shared" si="81"/>
        <v>2012</v>
      </c>
      <c r="Y68" s="3502">
        <f t="shared" si="81"/>
        <v>2013</v>
      </c>
      <c r="Z68" s="3502">
        <f t="shared" si="81"/>
        <v>2014</v>
      </c>
      <c r="AA68" s="3502">
        <f t="shared" si="81"/>
        <v>2015</v>
      </c>
      <c r="AB68" s="3502">
        <f t="shared" si="81"/>
        <v>2016</v>
      </c>
      <c r="AC68" s="3502">
        <f t="shared" si="81"/>
        <v>2017</v>
      </c>
      <c r="AD68" s="3502">
        <f t="shared" si="81"/>
        <v>2018</v>
      </c>
      <c r="AE68" s="3502">
        <f t="shared" si="81"/>
        <v>2019</v>
      </c>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row>
    <row r="69" spans="1:119">
      <c r="A69" s="1130"/>
      <c r="C69" s="992"/>
      <c r="D69" s="993"/>
      <c r="E69" s="994" t="s">
        <v>733</v>
      </c>
      <c r="F69" s="995" t="s">
        <v>734</v>
      </c>
      <c r="G69" s="1687"/>
      <c r="H69" s="1919" t="e">
        <f>+H47/'VVP2'!H$131</f>
        <v>#VALUE!</v>
      </c>
      <c r="I69" s="1919" t="e">
        <f>+I47/'VVP2'!I$131</f>
        <v>#VALUE!</v>
      </c>
      <c r="J69" s="1919" t="e">
        <f>+J47/'VVP2'!J$131</f>
        <v>#VALUE!</v>
      </c>
      <c r="K69" s="1919" t="e">
        <f>+K47/'VVP2'!K$131</f>
        <v>#VALUE!</v>
      </c>
      <c r="L69" s="1919" t="e">
        <f>+L47/'VVP2'!L$131</f>
        <v>#VALUE!</v>
      </c>
      <c r="M69" s="1919">
        <f>+M47/'VVP2'!M$131</f>
        <v>-0.68866511479962622</v>
      </c>
      <c r="N69" s="1919">
        <f>+N47/'VVP2'!N$131</f>
        <v>0.72659874829256199</v>
      </c>
      <c r="O69" s="1919">
        <f>+O47/'VVP2'!O$131</f>
        <v>0.33736520735287961</v>
      </c>
      <c r="P69" s="3521">
        <f>+P47/'VVP2'!P$131</f>
        <v>5.3319442934990746E-2</v>
      </c>
      <c r="Q69" s="3521">
        <f>+Q47/'VVP2'!Q$131</f>
        <v>0.40108332603954988</v>
      </c>
      <c r="R69" s="3521">
        <f>+R47/'VVP2'!R$131</f>
        <v>0.41072216909798731</v>
      </c>
      <c r="S69" s="3521">
        <f>+S47/'VVP2'!S$131</f>
        <v>0.29377048538638845</v>
      </c>
      <c r="T69" s="3521">
        <f>+T47/'VVP2'!T$131</f>
        <v>0.98121299661310113</v>
      </c>
      <c r="U69" s="3521">
        <f>+U47/'VVP2'!U$131</f>
        <v>0.63940188777987206</v>
      </c>
      <c r="V69" s="3521">
        <f>+V47/'VVP2'!V$131</f>
        <v>-2.6777269249922493</v>
      </c>
      <c r="W69" s="3521">
        <f>+W47/'VVP2'!W$131</f>
        <v>0.22286148336593242</v>
      </c>
      <c r="X69" s="3521">
        <f>+X47/'VVP2'!X$131</f>
        <v>0.53108066902543538</v>
      </c>
      <c r="Y69" s="3521">
        <f>+Y47/'VVP2'!Y$131</f>
        <v>0.24365634065460945</v>
      </c>
      <c r="Z69" s="3521">
        <f>+Z47/'VVP2'!Z$131</f>
        <v>0.49631484239603368</v>
      </c>
      <c r="AA69" s="3521">
        <f>+AA47/'VVP2'!AA$131</f>
        <v>0.32918694532982834</v>
      </c>
      <c r="AB69" s="3521">
        <f>+AB47/'VVP2'!AB$131</f>
        <v>0.75321670932773777</v>
      </c>
      <c r="AC69" s="2954">
        <f>+AC47/'VVP2'!AC$131</f>
        <v>6.3527871688283916E-2</v>
      </c>
      <c r="AD69" s="2954">
        <f ca="1">+AD47/'VVP2'!AD$131</f>
        <v>-0.14420362278709351</v>
      </c>
      <c r="AE69" s="2954">
        <f ca="1">+AE47/'VVP2'!AE$131</f>
        <v>-7.9465280528606921E-2</v>
      </c>
    </row>
    <row r="70" spans="1:119">
      <c r="A70" s="1130"/>
      <c r="C70" s="943"/>
      <c r="D70" s="806"/>
      <c r="E70" s="334" t="s">
        <v>654</v>
      </c>
      <c r="F70" s="873"/>
      <c r="G70" s="857"/>
      <c r="H70" s="1920"/>
      <c r="I70" s="1920"/>
      <c r="J70" s="1920"/>
      <c r="K70" s="1920" t="e">
        <f>AVERAGE(H69:K69)</f>
        <v>#VALUE!</v>
      </c>
      <c r="L70" s="1920" t="e">
        <f t="shared" ref="L70:AE70" si="82">AVERAGE(I69:L69)</f>
        <v>#VALUE!</v>
      </c>
      <c r="M70" s="1920" t="e">
        <f t="shared" si="82"/>
        <v>#VALUE!</v>
      </c>
      <c r="N70" s="1920" t="e">
        <f t="shared" si="82"/>
        <v>#VALUE!</v>
      </c>
      <c r="O70" s="1920" t="e">
        <f t="shared" si="82"/>
        <v>#VALUE!</v>
      </c>
      <c r="P70" s="3522">
        <f t="shared" si="82"/>
        <v>0.10715457094520153</v>
      </c>
      <c r="Q70" s="3522">
        <f>AVERAGE(N69:Q69)</f>
        <v>0.37959168115499559</v>
      </c>
      <c r="R70" s="3522">
        <f>AVERAGE(O69:R69)</f>
        <v>0.30062253635635189</v>
      </c>
      <c r="S70" s="3522">
        <f>AVERAGE(P69:S69)</f>
        <v>0.2897238558647291</v>
      </c>
      <c r="T70" s="2955">
        <f t="shared" si="82"/>
        <v>0.52169724428425668</v>
      </c>
      <c r="U70" s="2955">
        <f t="shared" si="82"/>
        <v>0.58127688471933725</v>
      </c>
      <c r="V70" s="2955">
        <f t="shared" si="82"/>
        <v>-0.19083538880322193</v>
      </c>
      <c r="W70" s="2955">
        <f t="shared" si="82"/>
        <v>-0.20856263930833591</v>
      </c>
      <c r="X70" s="2955">
        <f t="shared" si="82"/>
        <v>-0.32109572120525232</v>
      </c>
      <c r="Y70" s="2955">
        <f t="shared" si="82"/>
        <v>-0.42003210798656798</v>
      </c>
      <c r="Z70" s="2955">
        <f t="shared" si="82"/>
        <v>0.37347833386050278</v>
      </c>
      <c r="AA70" s="2955">
        <f t="shared" si="82"/>
        <v>0.40005969935147673</v>
      </c>
      <c r="AB70" s="2955">
        <f t="shared" si="82"/>
        <v>0.4555937094270523</v>
      </c>
      <c r="AC70" s="2955">
        <f t="shared" si="82"/>
        <v>0.41056159218547095</v>
      </c>
      <c r="AD70" s="2955">
        <f t="shared" ca="1" si="82"/>
        <v>0.25043197588968913</v>
      </c>
      <c r="AE70" s="2955">
        <f t="shared" ca="1" si="82"/>
        <v>0.1482689194250803</v>
      </c>
    </row>
    <row r="71" spans="1:119">
      <c r="A71" s="1130"/>
      <c r="C71" s="943"/>
      <c r="D71" s="674"/>
      <c r="E71" s="220" t="s">
        <v>1022</v>
      </c>
      <c r="F71" s="704" t="s">
        <v>1023</v>
      </c>
      <c r="G71" s="1559"/>
      <c r="H71" s="1922">
        <f>+H48/'VVP2'!H$131</f>
        <v>0.36425501138901556</v>
      </c>
      <c r="I71" s="1922">
        <f>+I48/'VVP2'!I$131</f>
        <v>0.28756200522090303</v>
      </c>
      <c r="J71" s="1922">
        <f>+J48/'VVP2'!J$131</f>
        <v>4.2005217206074696E-2</v>
      </c>
      <c r="K71" s="1922">
        <f>+K48/'VVP2'!K$131</f>
        <v>-6.160312949439021</v>
      </c>
      <c r="L71" s="1922">
        <f>+L48/'VVP2'!L$131</f>
        <v>0.71077801824475517</v>
      </c>
      <c r="M71" s="1922">
        <f>+M48/'VVP2'!M$131</f>
        <v>-0.28716334372383978</v>
      </c>
      <c r="N71" s="1922">
        <f>+N48/'VVP2'!N$131</f>
        <v>-0.48019644483874296</v>
      </c>
      <c r="O71" s="1922">
        <f>+O48/'VVP2'!O$131</f>
        <v>-0.45053331785633594</v>
      </c>
      <c r="P71" s="3523">
        <f>+P48/'VVP2'!P$131</f>
        <v>0.64553818924106054</v>
      </c>
      <c r="Q71" s="3523">
        <f>+Q48/'VVP2'!Q$131</f>
        <v>-4.8521556178677989E-2</v>
      </c>
      <c r="R71" s="3523">
        <f>+R48/'VVP2'!R$131</f>
        <v>-1.7892725371297931</v>
      </c>
      <c r="S71" s="3523">
        <f>+S48/'VVP2'!S$131</f>
        <v>1.3037727106698289</v>
      </c>
      <c r="T71" s="3523">
        <f>+T48/'VVP2'!T$131</f>
        <v>-1.0181205298270567E-2</v>
      </c>
      <c r="U71" s="3523">
        <f>+U48/'VVP2'!U$131</f>
        <v>8.4913126700264727E-2</v>
      </c>
      <c r="V71" s="3523">
        <f>+V48/'VVP2'!V$131</f>
        <v>-1.7879176848712799</v>
      </c>
      <c r="W71" s="3523">
        <f>+W48/'VVP2'!W$131</f>
        <v>-0.24644029883683377</v>
      </c>
      <c r="X71" s="3523">
        <f>+X48/'VVP2'!X$131</f>
        <v>-0.55799161563151178</v>
      </c>
      <c r="Y71" s="3523">
        <f>+Y48/'VVP2'!Y$131</f>
        <v>-0.28838315121675212</v>
      </c>
      <c r="Z71" s="3523">
        <f>+Z48/'VVP2'!Z$131</f>
        <v>0.28535299693347649</v>
      </c>
      <c r="AA71" s="3523">
        <f>+AA48/'VVP2'!AA$131</f>
        <v>1.5304643964606506</v>
      </c>
      <c r="AB71" s="3523">
        <f>+AB48/'VVP2'!AB$131</f>
        <v>1.0762347648876116</v>
      </c>
      <c r="AC71" s="2955">
        <f>+AC48/'VVP2'!AC$131</f>
        <v>-0.4735086565650577</v>
      </c>
      <c r="AD71" s="2955">
        <f ca="1">+AD48/'VVP2'!AD$131</f>
        <v>-0.32045249508243001</v>
      </c>
      <c r="AE71" s="2955">
        <f ca="1">+AE48/'VVP2'!AE$131</f>
        <v>-7.5681219551054224E-2</v>
      </c>
    </row>
    <row r="72" spans="1:119">
      <c r="A72" s="1130"/>
      <c r="C72" s="943"/>
      <c r="D72" s="806"/>
      <c r="E72" s="334" t="s">
        <v>654</v>
      </c>
      <c r="F72" s="808"/>
      <c r="G72" s="857"/>
      <c r="H72" s="1920"/>
      <c r="I72" s="1920"/>
      <c r="J72" s="1920"/>
      <c r="K72" s="1920">
        <f t="shared" ref="K72:AE72" si="83">AVERAGE(H71:K71)</f>
        <v>-1.3666226789057569</v>
      </c>
      <c r="L72" s="1920">
        <f t="shared" si="83"/>
        <v>-1.2799919271918219</v>
      </c>
      <c r="M72" s="1920">
        <f t="shared" si="83"/>
        <v>-1.4236732644280077</v>
      </c>
      <c r="N72" s="1920">
        <f t="shared" si="83"/>
        <v>-1.5542236799392122</v>
      </c>
      <c r="O72" s="1920">
        <f t="shared" si="83"/>
        <v>-0.12677877204354088</v>
      </c>
      <c r="P72" s="3522">
        <f t="shared" si="83"/>
        <v>-0.14308872929446453</v>
      </c>
      <c r="Q72" s="3522">
        <f>AVERAGE(N71:Q71)</f>
        <v>-8.3428282408174084E-2</v>
      </c>
      <c r="R72" s="3522">
        <f>AVERAGE(O71:R71)</f>
        <v>-0.41069730548093664</v>
      </c>
      <c r="S72" s="3522">
        <f>AVERAGE(P71:S71)</f>
        <v>2.787920165060459E-2</v>
      </c>
      <c r="T72" s="2955">
        <f t="shared" si="83"/>
        <v>-0.1360506469842282</v>
      </c>
      <c r="U72" s="2955">
        <f t="shared" si="83"/>
        <v>-0.10269197626449249</v>
      </c>
      <c r="V72" s="2955">
        <f t="shared" si="83"/>
        <v>-0.10235326319986421</v>
      </c>
      <c r="W72" s="2955">
        <f t="shared" si="83"/>
        <v>-0.48990651557652987</v>
      </c>
      <c r="X72" s="2955">
        <f t="shared" si="83"/>
        <v>-0.62685911815984019</v>
      </c>
      <c r="Y72" s="2955">
        <f t="shared" si="83"/>
        <v>-0.72018318763909439</v>
      </c>
      <c r="Z72" s="2955">
        <f t="shared" si="83"/>
        <v>-0.2018655171879053</v>
      </c>
      <c r="AA72" s="2955">
        <f t="shared" si="83"/>
        <v>0.24236065663646578</v>
      </c>
      <c r="AB72" s="2955">
        <f t="shared" si="83"/>
        <v>0.65091725176624671</v>
      </c>
      <c r="AC72" s="2955">
        <f t="shared" si="83"/>
        <v>0.60463587542917019</v>
      </c>
      <c r="AD72" s="2955">
        <f t="shared" ca="1" si="83"/>
        <v>0.45318450242519359</v>
      </c>
      <c r="AE72" s="2955">
        <f t="shared" ca="1" si="83"/>
        <v>5.1648098422267419E-2</v>
      </c>
    </row>
    <row r="73" spans="1:119" s="699" customFormat="1" ht="12.75" customHeight="1">
      <c r="A73" s="664"/>
      <c r="B73" s="664"/>
      <c r="C73" s="944"/>
      <c r="D73" s="1041"/>
      <c r="E73" s="1042" t="s">
        <v>716</v>
      </c>
      <c r="F73" s="1043" t="s">
        <v>557</v>
      </c>
      <c r="G73" s="1044"/>
      <c r="H73" s="1922" t="e">
        <f>+H49/'VVP2'!H$131</f>
        <v>#VALUE!</v>
      </c>
      <c r="I73" s="1922" t="e">
        <f>+I49/'VVP2'!I$131</f>
        <v>#VALUE!</v>
      </c>
      <c r="J73" s="1922" t="e">
        <f>+J49/'VVP2'!J$131</f>
        <v>#VALUE!</v>
      </c>
      <c r="K73" s="1922" t="e">
        <f>+K49/'VVP2'!K$131</f>
        <v>#VALUE!</v>
      </c>
      <c r="L73" s="1922" t="e">
        <f>+L49/'VVP2'!L$131</f>
        <v>#VALUE!</v>
      </c>
      <c r="M73" s="1922">
        <f>+M49/'VVP2'!M$131</f>
        <v>-0.60324452693638897</v>
      </c>
      <c r="N73" s="1922">
        <f>+N49/'VVP2'!N$131</f>
        <v>0.46418385169449194</v>
      </c>
      <c r="O73" s="1922">
        <f>+O49/'VVP2'!O$131</f>
        <v>0.17676179611174311</v>
      </c>
      <c r="P73" s="3523">
        <f>+P49/'VVP2'!P$131</f>
        <v>0.16639335747518649</v>
      </c>
      <c r="Q73" s="3523">
        <f>+Q49/'VVP2'!Q$131</f>
        <v>0.31221295652270153</v>
      </c>
      <c r="R73" s="3523">
        <f>+R49/'VVP2'!R$131</f>
        <v>-1.2299706483325712E-2</v>
      </c>
      <c r="S73" s="3523">
        <f>+S49/'VVP2'!S$131</f>
        <v>0.46239395021598462</v>
      </c>
      <c r="T73" s="3523">
        <f>+T49/'VVP2'!T$131</f>
        <v>0.80100918370143492</v>
      </c>
      <c r="U73" s="3523">
        <f>+U49/'VVP2'!U$131</f>
        <v>0.54071791672581226</v>
      </c>
      <c r="V73" s="3523">
        <f>+V49/'VVP2'!V$131</f>
        <v>-2.5077406698739897</v>
      </c>
      <c r="W73" s="3523">
        <f>+W49/'VVP2'!W$131</f>
        <v>0.13210395560743957</v>
      </c>
      <c r="X73" s="3523">
        <f>+X49/'VVP2'!X$131</f>
        <v>0.32524654206142856</v>
      </c>
      <c r="Y73" s="3523">
        <f>+Y49/'VVP2'!Y$131</f>
        <v>0.14645821672622925</v>
      </c>
      <c r="Z73" s="3523">
        <f>+Z49/'VVP2'!Z$131</f>
        <v>0.45835762906748168</v>
      </c>
      <c r="AA73" s="3523">
        <f>+AA49/'VVP2'!AA$131</f>
        <v>0.54402453400578943</v>
      </c>
      <c r="AB73" s="3523">
        <f>+AB49/'VVP2'!AB$131</f>
        <v>0.8121323338422376</v>
      </c>
      <c r="AC73" s="2955">
        <f>+AC49/'VVP2'!AC$131</f>
        <v>-3.5018083722462415E-2</v>
      </c>
      <c r="AD73" s="2955">
        <f ca="1">+AD49/'VVP2'!AD$131</f>
        <v>-0.17600148092545517</v>
      </c>
      <c r="AE73" s="2955">
        <f ca="1">+AE49/'VVP2'!AE$131</f>
        <v>-7.8785675345304715E-2</v>
      </c>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row>
    <row r="74" spans="1:119">
      <c r="A74" s="1130"/>
      <c r="C74" s="867"/>
      <c r="D74" s="1923"/>
      <c r="E74" s="1924" t="s">
        <v>654</v>
      </c>
      <c r="F74" s="1925"/>
      <c r="G74" s="1926"/>
      <c r="H74" s="1921"/>
      <c r="I74" s="1921"/>
      <c r="J74" s="1921"/>
      <c r="K74" s="1921" t="e">
        <f t="shared" ref="K74:AE74" si="84">AVERAGE(H73:K73)</f>
        <v>#VALUE!</v>
      </c>
      <c r="L74" s="1921" t="e">
        <f t="shared" si="84"/>
        <v>#VALUE!</v>
      </c>
      <c r="M74" s="1921" t="e">
        <f t="shared" si="84"/>
        <v>#VALUE!</v>
      </c>
      <c r="N74" s="1921" t="e">
        <f t="shared" si="84"/>
        <v>#VALUE!</v>
      </c>
      <c r="O74" s="1921" t="e">
        <f t="shared" si="84"/>
        <v>#VALUE!</v>
      </c>
      <c r="P74" s="3524">
        <f t="shared" si="84"/>
        <v>5.1023619586258145E-2</v>
      </c>
      <c r="Q74" s="3524">
        <f>AVERAGE(N73:Q73)</f>
        <v>0.27988799045103074</v>
      </c>
      <c r="R74" s="3524">
        <f>AVERAGE(O73:R73)</f>
        <v>0.16076710090657637</v>
      </c>
      <c r="S74" s="3524">
        <f>AVERAGE(P73:S73)</f>
        <v>0.23217513943263673</v>
      </c>
      <c r="T74" s="2956">
        <f t="shared" si="84"/>
        <v>0.39082909598919879</v>
      </c>
      <c r="U74" s="2956">
        <f t="shared" si="84"/>
        <v>0.4479553360399765</v>
      </c>
      <c r="V74" s="2956">
        <f t="shared" si="84"/>
        <v>-0.17590490480768944</v>
      </c>
      <c r="W74" s="2956">
        <f t="shared" si="84"/>
        <v>-0.25847740345982578</v>
      </c>
      <c r="X74" s="2956">
        <f t="shared" si="84"/>
        <v>-0.37741806386982735</v>
      </c>
      <c r="Y74" s="2956">
        <f t="shared" si="84"/>
        <v>-0.47598298886972307</v>
      </c>
      <c r="Z74" s="2956">
        <f t="shared" si="84"/>
        <v>0.2655415858656448</v>
      </c>
      <c r="AA74" s="2956">
        <f t="shared" si="84"/>
        <v>0.36852173046523223</v>
      </c>
      <c r="AB74" s="2956">
        <f t="shared" si="84"/>
        <v>0.49024317841043452</v>
      </c>
      <c r="AC74" s="2956">
        <f t="shared" si="84"/>
        <v>0.44487410329826155</v>
      </c>
      <c r="AD74" s="2956">
        <f t="shared" ca="1" si="84"/>
        <v>0.28628432580002738</v>
      </c>
      <c r="AE74" s="2956">
        <f t="shared" ca="1" si="84"/>
        <v>0.13058177346225383</v>
      </c>
    </row>
    <row r="75" spans="1:119" ht="30" customHeight="1">
      <c r="A75" s="1130"/>
      <c r="G75" s="705"/>
      <c r="H75" s="705"/>
      <c r="I75" s="705"/>
      <c r="J75" s="705"/>
      <c r="K75" s="705"/>
      <c r="L75" s="705"/>
      <c r="M75" s="705"/>
      <c r="N75" s="705"/>
      <c r="O75" s="705"/>
      <c r="P75" s="3493"/>
      <c r="Q75" s="3525"/>
      <c r="R75" s="3526"/>
      <c r="S75" s="2950"/>
      <c r="T75" s="2950"/>
      <c r="U75" s="2950"/>
      <c r="V75" s="2950"/>
      <c r="W75" s="2950"/>
      <c r="X75" s="2950"/>
      <c r="Y75" s="2950"/>
      <c r="Z75" s="2950"/>
      <c r="AA75" s="2950"/>
      <c r="AB75" s="2950"/>
      <c r="AC75" s="2950"/>
      <c r="AD75" s="2950"/>
      <c r="AE75" s="2950"/>
    </row>
    <row r="76" spans="1:119" s="699" customFormat="1" ht="12.75" customHeight="1">
      <c r="A76" s="664"/>
      <c r="B76" s="664"/>
      <c r="C76" s="666"/>
      <c r="D76" s="695"/>
      <c r="E76" s="696" t="s">
        <v>969</v>
      </c>
      <c r="F76" s="697"/>
      <c r="G76" s="698">
        <f>+InputY!$G$3</f>
        <v>1995</v>
      </c>
      <c r="H76" s="698">
        <f>+G76+1</f>
        <v>1996</v>
      </c>
      <c r="I76" s="698">
        <f t="shared" ref="I76:O76" si="85">+H76+1</f>
        <v>1997</v>
      </c>
      <c r="J76" s="698">
        <f t="shared" si="85"/>
        <v>1998</v>
      </c>
      <c r="K76" s="698">
        <f t="shared" si="85"/>
        <v>1999</v>
      </c>
      <c r="L76" s="698">
        <f t="shared" si="85"/>
        <v>2000</v>
      </c>
      <c r="M76" s="698">
        <f t="shared" si="85"/>
        <v>2001</v>
      </c>
      <c r="N76" s="698">
        <f t="shared" si="85"/>
        <v>2002</v>
      </c>
      <c r="O76" s="698">
        <f t="shared" si="85"/>
        <v>2003</v>
      </c>
      <c r="P76" s="3490">
        <f t="shared" ref="P76:V76" si="86">+O76+1</f>
        <v>2004</v>
      </c>
      <c r="Q76" s="3490">
        <f t="shared" si="86"/>
        <v>2005</v>
      </c>
      <c r="R76" s="3490">
        <f t="shared" si="86"/>
        <v>2006</v>
      </c>
      <c r="S76" s="3490">
        <f t="shared" si="86"/>
        <v>2007</v>
      </c>
      <c r="T76" s="3491">
        <f t="shared" si="86"/>
        <v>2008</v>
      </c>
      <c r="U76" s="3491">
        <f t="shared" si="86"/>
        <v>2009</v>
      </c>
      <c r="V76" s="3491">
        <f t="shared" si="86"/>
        <v>2010</v>
      </c>
      <c r="W76" s="3491">
        <f t="shared" ref="W76:AE76" si="87">+V76+1</f>
        <v>2011</v>
      </c>
      <c r="X76" s="3491">
        <f t="shared" si="87"/>
        <v>2012</v>
      </c>
      <c r="Y76" s="3491">
        <f t="shared" si="87"/>
        <v>2013</v>
      </c>
      <c r="Z76" s="3491">
        <f t="shared" si="87"/>
        <v>2014</v>
      </c>
      <c r="AA76" s="3491">
        <f t="shared" si="87"/>
        <v>2015</v>
      </c>
      <c r="AB76" s="3491">
        <f t="shared" si="87"/>
        <v>2016</v>
      </c>
      <c r="AC76" s="3491">
        <f t="shared" si="87"/>
        <v>2017</v>
      </c>
      <c r="AD76" s="3491">
        <f t="shared" si="87"/>
        <v>2018</v>
      </c>
      <c r="AE76" s="3491">
        <f t="shared" si="87"/>
        <v>2019</v>
      </c>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row>
    <row r="77" spans="1:119" s="885" customFormat="1" ht="12.75" customHeight="1">
      <c r="A77" s="664"/>
      <c r="B77" s="664"/>
      <c r="C77" s="667" t="s">
        <v>1767</v>
      </c>
      <c r="D77" s="773"/>
      <c r="E77" s="887" t="s">
        <v>716</v>
      </c>
      <c r="F77" s="888" t="s">
        <v>273</v>
      </c>
      <c r="G77" s="889" t="str">
        <f>+G32</f>
        <v>:</v>
      </c>
      <c r="H77" s="889" t="str">
        <f>+H32</f>
        <v>:</v>
      </c>
      <c r="I77" s="889" t="str">
        <f t="shared" ref="I77:O77" si="88">+I32</f>
        <v>:</v>
      </c>
      <c r="J77" s="889" t="str">
        <f t="shared" si="88"/>
        <v>:</v>
      </c>
      <c r="K77" s="889" t="str">
        <f t="shared" si="88"/>
        <v>:</v>
      </c>
      <c r="L77" s="889">
        <f t="shared" si="88"/>
        <v>1123.8399999999999</v>
      </c>
      <c r="M77" s="889">
        <f t="shared" si="88"/>
        <v>1078.42</v>
      </c>
      <c r="N77" s="889">
        <f t="shared" si="88"/>
        <v>1112.6500000000001</v>
      </c>
      <c r="O77" s="889">
        <f t="shared" si="88"/>
        <v>1132.8599999999999</v>
      </c>
      <c r="P77" s="3506">
        <f t="shared" ref="P77:U77" si="89">+P32</f>
        <v>1146.9000000000001</v>
      </c>
      <c r="Q77" s="3506">
        <f>+Q32</f>
        <v>1174.57</v>
      </c>
      <c r="R77" s="3506">
        <f>+R32</f>
        <v>1173.5</v>
      </c>
      <c r="S77" s="3506">
        <f>+S32</f>
        <v>1233.6600000000001</v>
      </c>
      <c r="T77" s="2957">
        <f t="shared" si="89"/>
        <v>1259.6300000000001</v>
      </c>
      <c r="U77" s="2957">
        <f t="shared" si="89"/>
        <v>1158.73</v>
      </c>
      <c r="V77" s="2957">
        <f t="shared" ref="V77:AA77" si="90">+V32</f>
        <v>1111.08</v>
      </c>
      <c r="W77" s="2957">
        <f t="shared" si="90"/>
        <v>1119.95</v>
      </c>
      <c r="X77" s="2957">
        <f t="shared" si="90"/>
        <v>1133.8900000000001</v>
      </c>
      <c r="Y77" s="2957">
        <f t="shared" si="90"/>
        <v>1139.7</v>
      </c>
      <c r="Z77" s="2957">
        <f t="shared" si="90"/>
        <v>1158.18</v>
      </c>
      <c r="AA77" s="2957">
        <f t="shared" si="90"/>
        <v>1171</v>
      </c>
      <c r="AB77" s="2957">
        <f>+AB32</f>
        <v>1193.3</v>
      </c>
      <c r="AC77" s="2957">
        <f>+AC32</f>
        <v>1191.7</v>
      </c>
      <c r="AD77" s="2957">
        <f>+AD32</f>
        <v>1185.1548500000004</v>
      </c>
      <c r="AE77" s="2957">
        <f>+AE32</f>
        <v>1182.6873098150004</v>
      </c>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row>
    <row r="78" spans="1:119" s="884" customFormat="1" ht="12.75" customHeight="1">
      <c r="A78" s="664"/>
      <c r="B78" s="664"/>
      <c r="C78" s="886" t="s">
        <v>1767</v>
      </c>
      <c r="D78" s="890"/>
      <c r="E78" s="891" t="str">
        <f>+E35</f>
        <v>Frontier workers</v>
      </c>
      <c r="F78" s="892" t="s">
        <v>272</v>
      </c>
      <c r="G78" s="893" t="e">
        <f>+G35</f>
        <v>#VALUE!</v>
      </c>
      <c r="H78" s="893" t="e">
        <f>+H35</f>
        <v>#VALUE!</v>
      </c>
      <c r="I78" s="893" t="e">
        <f t="shared" ref="I78:O78" si="91">+I35</f>
        <v>#VALUE!</v>
      </c>
      <c r="J78" s="893" t="e">
        <f t="shared" si="91"/>
        <v>#VALUE!</v>
      </c>
      <c r="K78" s="893" t="e">
        <f t="shared" si="91"/>
        <v>#VALUE!</v>
      </c>
      <c r="L78" s="893">
        <f t="shared" si="91"/>
        <v>3.5599999999999454</v>
      </c>
      <c r="M78" s="893">
        <f t="shared" si="91"/>
        <v>10.910000000000082</v>
      </c>
      <c r="N78" s="893">
        <f t="shared" si="91"/>
        <v>16.25</v>
      </c>
      <c r="O78" s="893">
        <f t="shared" si="91"/>
        <v>17.269999999999982</v>
      </c>
      <c r="P78" s="3527">
        <f t="shared" ref="P78:V78" si="92">+P35</f>
        <v>15.230000000000018</v>
      </c>
      <c r="Q78" s="3527">
        <f t="shared" si="92"/>
        <v>17.029999999999973</v>
      </c>
      <c r="R78" s="3527">
        <f t="shared" si="92"/>
        <v>14.980000000000018</v>
      </c>
      <c r="S78" s="3527">
        <f t="shared" si="92"/>
        <v>9.0999999999999091</v>
      </c>
      <c r="T78" s="2958">
        <f t="shared" si="92"/>
        <v>2.9300000000000637</v>
      </c>
      <c r="U78" s="2958">
        <f t="shared" si="92"/>
        <v>1.8099999999999454</v>
      </c>
      <c r="V78" s="2958">
        <f t="shared" si="92"/>
        <v>0.99000000000000909</v>
      </c>
      <c r="W78" s="2958">
        <f t="shared" ref="W78:AB78" si="93">+W35</f>
        <v>0.89999999999986358</v>
      </c>
      <c r="X78" s="2958">
        <f t="shared" si="93"/>
        <v>1.0999999999999091</v>
      </c>
      <c r="Y78" s="2958">
        <f t="shared" si="93"/>
        <v>1.2799999999999727</v>
      </c>
      <c r="Z78" s="2958">
        <f t="shared" si="93"/>
        <v>1.4900000000000091</v>
      </c>
      <c r="AA78" s="2958">
        <f t="shared" si="93"/>
        <v>0.94000000000005457</v>
      </c>
      <c r="AB78" s="2958">
        <f t="shared" si="93"/>
        <v>0.89999999999986358</v>
      </c>
      <c r="AC78" s="2958">
        <f>+AC35</f>
        <v>1.6100000000001273</v>
      </c>
      <c r="AD78" s="2958">
        <f>+AD35</f>
        <v>1.6012524890889011</v>
      </c>
      <c r="AE78" s="2958">
        <f>+AE35</f>
        <v>1.596397295129141</v>
      </c>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row>
    <row r="79" spans="1:119" s="699" customFormat="1" ht="12.75" customHeight="1">
      <c r="A79" s="664"/>
      <c r="B79" s="664">
        <v>83</v>
      </c>
      <c r="C79" s="666" t="s">
        <v>1769</v>
      </c>
      <c r="D79" s="746"/>
      <c r="E79" s="894" t="s">
        <v>782</v>
      </c>
      <c r="F79" s="895" t="s">
        <v>720</v>
      </c>
      <c r="G79" s="749" t="e">
        <f>+G77+G78</f>
        <v>#VALUE!</v>
      </c>
      <c r="H79" s="749" t="e">
        <f>+H77+H78</f>
        <v>#VALUE!</v>
      </c>
      <c r="I79" s="749" t="e">
        <f t="shared" ref="I79:Y79" si="94">+I77+I78</f>
        <v>#VALUE!</v>
      </c>
      <c r="J79" s="749" t="e">
        <f t="shared" si="94"/>
        <v>#VALUE!</v>
      </c>
      <c r="K79" s="749" t="e">
        <f t="shared" si="94"/>
        <v>#VALUE!</v>
      </c>
      <c r="L79" s="749">
        <f t="shared" si="94"/>
        <v>1127.3999999999999</v>
      </c>
      <c r="M79" s="749">
        <f t="shared" si="94"/>
        <v>1089.3300000000002</v>
      </c>
      <c r="N79" s="749">
        <f t="shared" si="94"/>
        <v>1128.9000000000001</v>
      </c>
      <c r="O79" s="749">
        <f t="shared" si="94"/>
        <v>1150.1299999999999</v>
      </c>
      <c r="P79" s="3509">
        <f t="shared" si="94"/>
        <v>1162.1300000000001</v>
      </c>
      <c r="Q79" s="3509">
        <f>+Q77+Q78</f>
        <v>1191.5999999999999</v>
      </c>
      <c r="R79" s="3509">
        <f>+R77+R78</f>
        <v>1188.48</v>
      </c>
      <c r="S79" s="3509">
        <f>+S77+S78</f>
        <v>1242.76</v>
      </c>
      <c r="T79" s="2959">
        <f t="shared" si="94"/>
        <v>1262.5600000000002</v>
      </c>
      <c r="U79" s="2959">
        <f t="shared" si="94"/>
        <v>1160.54</v>
      </c>
      <c r="V79" s="2959">
        <f t="shared" si="94"/>
        <v>1112.07</v>
      </c>
      <c r="W79" s="2959">
        <f t="shared" si="94"/>
        <v>1120.8499999999999</v>
      </c>
      <c r="X79" s="2959">
        <f t="shared" si="94"/>
        <v>1134.99</v>
      </c>
      <c r="Y79" s="2959">
        <f t="shared" si="94"/>
        <v>1140.98</v>
      </c>
      <c r="Z79" s="2959">
        <f t="shared" ref="Z79:AE79" si="95">+Z77+Z78</f>
        <v>1159.67</v>
      </c>
      <c r="AA79" s="2959">
        <f t="shared" si="95"/>
        <v>1171.94</v>
      </c>
      <c r="AB79" s="2959">
        <f t="shared" si="95"/>
        <v>1194.1999999999998</v>
      </c>
      <c r="AC79" s="2959">
        <f t="shared" si="95"/>
        <v>1193.3100000000002</v>
      </c>
      <c r="AD79" s="2959">
        <f t="shared" si="95"/>
        <v>1186.7561024890892</v>
      </c>
      <c r="AE79" s="2959">
        <f t="shared" si="95"/>
        <v>1184.2837071101296</v>
      </c>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row>
    <row r="80" spans="1:119">
      <c r="A80" s="1130"/>
      <c r="Q80" s="599"/>
      <c r="R80" s="599"/>
      <c r="S80" s="599"/>
      <c r="T80" s="2930"/>
      <c r="U80" s="2930"/>
      <c r="V80" s="2930"/>
      <c r="W80" s="2930"/>
      <c r="X80" s="2930"/>
      <c r="Y80" s="2930"/>
      <c r="Z80" s="2930"/>
      <c r="AA80" s="2930"/>
      <c r="AB80" s="2930"/>
      <c r="AC80" s="2930"/>
      <c r="AD80" s="2930"/>
      <c r="AE80" s="2930"/>
    </row>
    <row r="81" spans="1:119" s="699" customFormat="1" ht="12.75" customHeight="1">
      <c r="A81" s="664"/>
      <c r="B81" s="664"/>
      <c r="C81" s="666"/>
      <c r="D81" s="742"/>
      <c r="E81" s="743" t="s">
        <v>969</v>
      </c>
      <c r="F81" s="744"/>
      <c r="G81" s="745">
        <f>+InputY!$G$3</f>
        <v>1995</v>
      </c>
      <c r="H81" s="745">
        <f>+G81+1</f>
        <v>1996</v>
      </c>
      <c r="I81" s="745">
        <f t="shared" ref="I81:O81" si="96">+H81+1</f>
        <v>1997</v>
      </c>
      <c r="J81" s="745">
        <f t="shared" si="96"/>
        <v>1998</v>
      </c>
      <c r="K81" s="745">
        <f t="shared" si="96"/>
        <v>1999</v>
      </c>
      <c r="L81" s="745">
        <f t="shared" si="96"/>
        <v>2000</v>
      </c>
      <c r="M81" s="745">
        <f t="shared" si="96"/>
        <v>2001</v>
      </c>
      <c r="N81" s="745">
        <f t="shared" si="96"/>
        <v>2002</v>
      </c>
      <c r="O81" s="745">
        <f t="shared" si="96"/>
        <v>2003</v>
      </c>
      <c r="P81" s="3495">
        <f t="shared" ref="P81:V81" si="97">+O81+1</f>
        <v>2004</v>
      </c>
      <c r="Q81" s="3495">
        <f t="shared" si="97"/>
        <v>2005</v>
      </c>
      <c r="R81" s="3495">
        <f t="shared" si="97"/>
        <v>2006</v>
      </c>
      <c r="S81" s="3495">
        <f t="shared" si="97"/>
        <v>2007</v>
      </c>
      <c r="T81" s="3496">
        <f t="shared" si="97"/>
        <v>2008</v>
      </c>
      <c r="U81" s="3496">
        <f t="shared" si="97"/>
        <v>2009</v>
      </c>
      <c r="V81" s="3496">
        <f t="shared" si="97"/>
        <v>2010</v>
      </c>
      <c r="W81" s="3496">
        <f t="shared" ref="W81:AE81" si="98">+V81+1</f>
        <v>2011</v>
      </c>
      <c r="X81" s="3496">
        <f t="shared" si="98"/>
        <v>2012</v>
      </c>
      <c r="Y81" s="3496">
        <f t="shared" si="98"/>
        <v>2013</v>
      </c>
      <c r="Z81" s="3496">
        <f t="shared" si="98"/>
        <v>2014</v>
      </c>
      <c r="AA81" s="3496">
        <f t="shared" si="98"/>
        <v>2015</v>
      </c>
      <c r="AB81" s="3496">
        <f t="shared" si="98"/>
        <v>2016</v>
      </c>
      <c r="AC81" s="3496">
        <f t="shared" si="98"/>
        <v>2017</v>
      </c>
      <c r="AD81" s="3496">
        <f t="shared" si="98"/>
        <v>2018</v>
      </c>
      <c r="AE81" s="3496">
        <f t="shared" si="98"/>
        <v>2019</v>
      </c>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row>
    <row r="82" spans="1:119" s="699" customFormat="1" ht="12.75" customHeight="1">
      <c r="A82" s="664"/>
      <c r="B82" s="664"/>
      <c r="C82" s="688" t="s">
        <v>1767</v>
      </c>
      <c r="D82" s="689"/>
      <c r="E82" s="738" t="s">
        <v>716</v>
      </c>
      <c r="F82" s="733" t="s">
        <v>273</v>
      </c>
      <c r="G82" s="734"/>
      <c r="H82" s="739" t="e">
        <f>(H77/G77-1)*100</f>
        <v>#VALUE!</v>
      </c>
      <c r="I82" s="739" t="e">
        <f t="shared" ref="I82:AE82" si="99">(I77/H77-1)*100</f>
        <v>#VALUE!</v>
      </c>
      <c r="J82" s="739" t="e">
        <f t="shared" si="99"/>
        <v>#VALUE!</v>
      </c>
      <c r="K82" s="739" t="e">
        <f t="shared" si="99"/>
        <v>#VALUE!</v>
      </c>
      <c r="L82" s="739" t="e">
        <f t="shared" si="99"/>
        <v>#VALUE!</v>
      </c>
      <c r="M82" s="739">
        <f t="shared" si="99"/>
        <v>-4.0415005694760637</v>
      </c>
      <c r="N82" s="739">
        <f t="shared" si="99"/>
        <v>3.1740880176554631</v>
      </c>
      <c r="O82" s="739">
        <f t="shared" si="99"/>
        <v>1.8163843077337649</v>
      </c>
      <c r="P82" s="3497">
        <f t="shared" si="99"/>
        <v>1.2393411365923646</v>
      </c>
      <c r="Q82" s="3497">
        <f t="shared" ref="Q82:S84" si="100">(Q77/P77-1)*100</f>
        <v>2.4125904612433358</v>
      </c>
      <c r="R82" s="3497">
        <f t="shared" si="100"/>
        <v>-9.1097167474052387E-2</v>
      </c>
      <c r="S82" s="3497">
        <f t="shared" si="100"/>
        <v>5.1265445249254471</v>
      </c>
      <c r="T82" s="2960">
        <f t="shared" si="99"/>
        <v>2.1051181038535649</v>
      </c>
      <c r="U82" s="2960">
        <f t="shared" si="99"/>
        <v>-8.0102887355810957</v>
      </c>
      <c r="V82" s="2960">
        <f t="shared" si="99"/>
        <v>-4.1122608372960112</v>
      </c>
      <c r="W82" s="2960">
        <f t="shared" si="99"/>
        <v>0.79832235302590426</v>
      </c>
      <c r="X82" s="2960">
        <f t="shared" si="99"/>
        <v>1.2446984240367831</v>
      </c>
      <c r="Y82" s="2960">
        <f t="shared" si="99"/>
        <v>0.51239538226812709</v>
      </c>
      <c r="Z82" s="2960">
        <f t="shared" si="99"/>
        <v>1.6214793366675417</v>
      </c>
      <c r="AA82" s="2960">
        <f t="shared" si="99"/>
        <v>1.1069091160268663</v>
      </c>
      <c r="AB82" s="2960">
        <f t="shared" si="99"/>
        <v>1.9043552519214302</v>
      </c>
      <c r="AC82" s="2960">
        <f t="shared" si="99"/>
        <v>-0.13408195759657682</v>
      </c>
      <c r="AD82" s="2960">
        <f t="shared" si="99"/>
        <v>-0.54922799362252528</v>
      </c>
      <c r="AE82" s="2960">
        <f t="shared" si="99"/>
        <v>-0.20820403215663363</v>
      </c>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row>
    <row r="83" spans="1:119">
      <c r="A83" s="1130"/>
      <c r="C83" s="690" t="s">
        <v>1767</v>
      </c>
      <c r="D83" s="691"/>
      <c r="E83" s="735" t="s">
        <v>719</v>
      </c>
      <c r="F83" s="736" t="s">
        <v>272</v>
      </c>
      <c r="G83" s="737"/>
      <c r="H83" s="741" t="e">
        <f>(H78/G78-1)*100</f>
        <v>#VALUE!</v>
      </c>
      <c r="I83" s="741" t="e">
        <f t="shared" ref="I83:AE83" si="101">(I78/H78-1)*100</f>
        <v>#VALUE!</v>
      </c>
      <c r="J83" s="741" t="e">
        <f t="shared" si="101"/>
        <v>#VALUE!</v>
      </c>
      <c r="K83" s="741" t="e">
        <f t="shared" si="101"/>
        <v>#VALUE!</v>
      </c>
      <c r="L83" s="741" t="e">
        <f t="shared" si="101"/>
        <v>#VALUE!</v>
      </c>
      <c r="M83" s="741">
        <f t="shared" si="101"/>
        <v>206.46067415731036</v>
      </c>
      <c r="N83" s="741">
        <f t="shared" si="101"/>
        <v>48.945921173234439</v>
      </c>
      <c r="O83" s="741">
        <f t="shared" si="101"/>
        <v>6.2769230769229578</v>
      </c>
      <c r="P83" s="3499">
        <f t="shared" si="101"/>
        <v>-11.812391430225622</v>
      </c>
      <c r="Q83" s="3499">
        <f t="shared" si="100"/>
        <v>11.818778726197987</v>
      </c>
      <c r="R83" s="3499">
        <f t="shared" si="100"/>
        <v>-12.037580739870569</v>
      </c>
      <c r="S83" s="3499">
        <f t="shared" si="100"/>
        <v>-39.252336448598811</v>
      </c>
      <c r="T83" s="2961">
        <f t="shared" si="101"/>
        <v>-67.802197802196787</v>
      </c>
      <c r="U83" s="2961">
        <f t="shared" si="101"/>
        <v>-38.225255972699443</v>
      </c>
      <c r="V83" s="2961">
        <f t="shared" si="101"/>
        <v>-45.303867403312772</v>
      </c>
      <c r="W83" s="2961">
        <f t="shared" si="101"/>
        <v>-9.090909090923704</v>
      </c>
      <c r="X83" s="2961">
        <f t="shared" si="101"/>
        <v>22.222222222230648</v>
      </c>
      <c r="Y83" s="2961">
        <f t="shared" si="101"/>
        <v>16.363636363643508</v>
      </c>
      <c r="Z83" s="2961">
        <f t="shared" si="101"/>
        <v>16.406250000003197</v>
      </c>
      <c r="AA83" s="2961">
        <f t="shared" si="101"/>
        <v>-36.912751677849073</v>
      </c>
      <c r="AB83" s="2961">
        <f t="shared" si="101"/>
        <v>-4.2553191489562376</v>
      </c>
      <c r="AC83" s="2961">
        <f t="shared" si="101"/>
        <v>78.888888888930154</v>
      </c>
      <c r="AD83" s="2961">
        <f t="shared" si="101"/>
        <v>-0.54332365908233982</v>
      </c>
      <c r="AE83" s="2961">
        <f t="shared" si="101"/>
        <v>-0.30321226620060315</v>
      </c>
    </row>
    <row r="84" spans="1:119" s="699" customFormat="1" ht="12.75" customHeight="1">
      <c r="A84" s="664"/>
      <c r="B84" s="664"/>
      <c r="C84" s="666" t="s">
        <v>1769</v>
      </c>
      <c r="D84" s="717"/>
      <c r="E84" s="722" t="s">
        <v>782</v>
      </c>
      <c r="F84" s="723" t="s">
        <v>720</v>
      </c>
      <c r="G84" s="721"/>
      <c r="H84" s="721" t="e">
        <f>(H79/G79-1)*100</f>
        <v>#VALUE!</v>
      </c>
      <c r="I84" s="721" t="e">
        <f t="shared" ref="I84:AE84" si="102">(I79/H79-1)*100</f>
        <v>#VALUE!</v>
      </c>
      <c r="J84" s="721" t="e">
        <f t="shared" si="102"/>
        <v>#VALUE!</v>
      </c>
      <c r="K84" s="721" t="e">
        <f t="shared" si="102"/>
        <v>#VALUE!</v>
      </c>
      <c r="L84" s="721" t="e">
        <f t="shared" si="102"/>
        <v>#VALUE!</v>
      </c>
      <c r="M84" s="721">
        <f t="shared" si="102"/>
        <v>-3.376796168174534</v>
      </c>
      <c r="N84" s="721">
        <f t="shared" si="102"/>
        <v>3.6325080554101996</v>
      </c>
      <c r="O84" s="721">
        <f t="shared" si="102"/>
        <v>1.8805917264593575</v>
      </c>
      <c r="P84" s="3500">
        <f t="shared" si="102"/>
        <v>1.0433603157903981</v>
      </c>
      <c r="Q84" s="3500">
        <f t="shared" si="100"/>
        <v>2.5358608761498092</v>
      </c>
      <c r="R84" s="3500">
        <f t="shared" si="100"/>
        <v>-0.2618328298086503</v>
      </c>
      <c r="S84" s="3500">
        <f t="shared" si="100"/>
        <v>4.567178244480341</v>
      </c>
      <c r="T84" s="2948">
        <f t="shared" si="102"/>
        <v>1.5932279764395485</v>
      </c>
      <c r="U84" s="2948">
        <f t="shared" si="102"/>
        <v>-8.0804080598149923</v>
      </c>
      <c r="V84" s="2948">
        <f t="shared" si="102"/>
        <v>-4.176504041222195</v>
      </c>
      <c r="W84" s="2948">
        <f t="shared" si="102"/>
        <v>0.78951864540901528</v>
      </c>
      <c r="X84" s="2948">
        <f t="shared" si="102"/>
        <v>1.2615425792925183</v>
      </c>
      <c r="Y84" s="2948">
        <f t="shared" si="102"/>
        <v>0.52775795381456714</v>
      </c>
      <c r="Z84" s="2948">
        <f t="shared" si="102"/>
        <v>1.6380655226209129</v>
      </c>
      <c r="AA84" s="2948">
        <f t="shared" si="102"/>
        <v>1.0580596204092574</v>
      </c>
      <c r="AB84" s="2948">
        <f t="shared" si="102"/>
        <v>1.8994146458009675</v>
      </c>
      <c r="AC84" s="2948">
        <f t="shared" si="102"/>
        <v>-7.4526879919578626E-2</v>
      </c>
      <c r="AD84" s="2948">
        <f t="shared" si="102"/>
        <v>-0.54922002756290222</v>
      </c>
      <c r="AE84" s="2948">
        <f t="shared" si="102"/>
        <v>-0.2083322237630858</v>
      </c>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row>
    <row r="85" spans="1:119" ht="30" customHeight="1">
      <c r="A85" s="1130"/>
      <c r="S85" s="2930"/>
      <c r="T85" s="2930"/>
      <c r="U85" s="2930"/>
      <c r="V85" s="2930"/>
      <c r="W85" s="2930"/>
      <c r="X85" s="2930"/>
      <c r="Y85" s="2930"/>
      <c r="Z85" s="2930"/>
      <c r="AA85" s="2930"/>
      <c r="AB85" s="2930"/>
      <c r="AC85" s="2930"/>
      <c r="AD85" s="2930"/>
      <c r="AE85" s="2930"/>
    </row>
    <row r="86" spans="1:119" ht="30" customHeight="1">
      <c r="A86" s="1130"/>
      <c r="S86" s="2930"/>
      <c r="T86" s="2930"/>
      <c r="U86" s="2930"/>
      <c r="V86" s="2930"/>
      <c r="W86" s="2930"/>
      <c r="X86" s="2930"/>
      <c r="Y86" s="2930"/>
      <c r="Z86" s="2930"/>
      <c r="AA86" s="2930"/>
      <c r="AB86" s="2930"/>
      <c r="AC86" s="2930"/>
      <c r="AD86" s="2930"/>
      <c r="AE86" s="2930"/>
    </row>
    <row r="87" spans="1:119" ht="22.5" customHeight="1">
      <c r="C87" s="3752" t="s">
        <v>42</v>
      </c>
      <c r="D87" s="3752"/>
      <c r="E87" s="3752"/>
      <c r="F87" s="3752"/>
      <c r="S87" s="2930"/>
      <c r="T87" s="2930"/>
      <c r="U87" s="2930"/>
      <c r="V87" s="2930"/>
      <c r="W87" s="2930"/>
      <c r="X87" s="2930"/>
      <c r="Y87" s="2930"/>
      <c r="Z87" s="2930"/>
      <c r="AA87" s="2930"/>
      <c r="AB87" s="2930"/>
      <c r="AC87" s="2930"/>
      <c r="AD87" s="2930"/>
      <c r="AE87" s="2930"/>
    </row>
    <row r="88" spans="1:119">
      <c r="AB88" s="3486"/>
      <c r="AC88" s="3486"/>
      <c r="AD88" s="3486"/>
      <c r="AE88" s="3486"/>
      <c r="AG88" s="3660"/>
    </row>
    <row r="89" spans="1:119" s="699" customFormat="1" ht="12.75" customHeight="1">
      <c r="A89" s="664"/>
      <c r="B89" s="664"/>
      <c r="C89" s="666"/>
      <c r="D89" s="695"/>
      <c r="E89" s="696" t="s">
        <v>833</v>
      </c>
      <c r="F89" s="697"/>
      <c r="G89" s="698">
        <f>+InputY!$G$3</f>
        <v>1995</v>
      </c>
      <c r="H89" s="698">
        <f>+G89+1</f>
        <v>1996</v>
      </c>
      <c r="I89" s="698">
        <f t="shared" ref="I89:O89" si="103">+H89+1</f>
        <v>1997</v>
      </c>
      <c r="J89" s="698">
        <f t="shared" si="103"/>
        <v>1998</v>
      </c>
      <c r="K89" s="698">
        <f t="shared" si="103"/>
        <v>1999</v>
      </c>
      <c r="L89" s="698">
        <f t="shared" si="103"/>
        <v>2000</v>
      </c>
      <c r="M89" s="698">
        <f t="shared" si="103"/>
        <v>2001</v>
      </c>
      <c r="N89" s="698">
        <f t="shared" si="103"/>
        <v>2002</v>
      </c>
      <c r="O89" s="698">
        <f t="shared" si="103"/>
        <v>2003</v>
      </c>
      <c r="P89" s="3490">
        <f t="shared" ref="P89:W89" si="104">+O89+1</f>
        <v>2004</v>
      </c>
      <c r="Q89" s="3490">
        <f t="shared" si="104"/>
        <v>2005</v>
      </c>
      <c r="R89" s="3490">
        <f t="shared" si="104"/>
        <v>2006</v>
      </c>
      <c r="S89" s="3490">
        <f t="shared" si="104"/>
        <v>2007</v>
      </c>
      <c r="T89" s="3491">
        <f t="shared" si="104"/>
        <v>2008</v>
      </c>
      <c r="U89" s="3491">
        <f>+T89+1</f>
        <v>2009</v>
      </c>
      <c r="V89" s="3491">
        <f t="shared" si="104"/>
        <v>2010</v>
      </c>
      <c r="W89" s="3491">
        <f t="shared" si="104"/>
        <v>2011</v>
      </c>
      <c r="X89" s="3491">
        <f t="shared" ref="X89:AE89" si="105">+W89+1</f>
        <v>2012</v>
      </c>
      <c r="Y89" s="3491">
        <f t="shared" si="105"/>
        <v>2013</v>
      </c>
      <c r="Z89" s="3491">
        <f t="shared" si="105"/>
        <v>2014</v>
      </c>
      <c r="AA89" s="3491">
        <f t="shared" si="105"/>
        <v>2015</v>
      </c>
      <c r="AB89" s="3491">
        <f t="shared" si="105"/>
        <v>2016</v>
      </c>
      <c r="AC89" s="3491">
        <f t="shared" si="105"/>
        <v>2017</v>
      </c>
      <c r="AD89" s="3491">
        <f t="shared" si="105"/>
        <v>2018</v>
      </c>
      <c r="AE89" s="3491">
        <f t="shared" si="105"/>
        <v>2019</v>
      </c>
      <c r="AF89"/>
      <c r="AG89" s="3660"/>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row>
    <row r="90" spans="1:119">
      <c r="A90" s="664">
        <f>+ROW(InputY!A224)</f>
        <v>224</v>
      </c>
      <c r="B90" s="665">
        <v>85</v>
      </c>
      <c r="C90" s="677"/>
      <c r="D90" s="678"/>
      <c r="E90" s="726" t="s">
        <v>283</v>
      </c>
      <c r="F90" s="727" t="str">
        <f>+InputY!B224</f>
        <v>AvHoursWorked</v>
      </c>
      <c r="G90" s="727">
        <f>+InputY!G224</f>
        <v>1729.3561604120878</v>
      </c>
      <c r="H90" s="727">
        <f>+InputY!H224</f>
        <v>1727.0403665925201</v>
      </c>
      <c r="I90" s="727">
        <f>+InputY!I224</f>
        <v>1732.6938883909304</v>
      </c>
      <c r="J90" s="727">
        <f>+InputY!J224</f>
        <v>1779.5935693254817</v>
      </c>
      <c r="K90" s="727">
        <f>+InputY!K224</f>
        <v>1726.0135615023025</v>
      </c>
      <c r="L90" s="727">
        <f>+InputY!L224</f>
        <v>1846.2277746410425</v>
      </c>
      <c r="M90" s="727">
        <f>+InputY!M224</f>
        <v>1831.2192363984873</v>
      </c>
      <c r="N90" s="727">
        <f>+InputY!N224</f>
        <v>1802.1709567786158</v>
      </c>
      <c r="O90" s="727">
        <f>+InputY!O224</f>
        <v>1785.8864635865639</v>
      </c>
      <c r="P90" s="3528">
        <f>+InputY!P224</f>
        <v>1878.5560953123895</v>
      </c>
      <c r="Q90" s="3528">
        <f>+InputY!Q224</f>
        <v>1878.9719508418264</v>
      </c>
      <c r="R90" s="3528">
        <f>+InputY!R224</f>
        <v>1874.210342733679</v>
      </c>
      <c r="S90" s="3528">
        <f>+InputY!S224</f>
        <v>1903.756480341005</v>
      </c>
      <c r="T90" s="3528">
        <f>+InputY!T224</f>
        <v>1933.5712472564849</v>
      </c>
      <c r="U90" s="3528">
        <f>+InputY!U224</f>
        <v>1862.9436540550396</v>
      </c>
      <c r="V90" s="3528">
        <f>+InputY!V224</f>
        <v>1884.2864281302889</v>
      </c>
      <c r="W90" s="3528">
        <f>+InputY!W224</f>
        <v>1858.872722918496</v>
      </c>
      <c r="X90" s="3528">
        <f>+InputY!X224</f>
        <v>1857.2941720919287</v>
      </c>
      <c r="Y90" s="3528">
        <f>+InputY!Y224</f>
        <v>1841.2473275588477</v>
      </c>
      <c r="Z90" s="3528">
        <f>+InputY!Z224</f>
        <v>1833.5296135254705</v>
      </c>
      <c r="AA90" s="3528">
        <f>+InputY!AA224</f>
        <v>1859.4973814928862</v>
      </c>
      <c r="AB90" s="3528">
        <f>+InputY!AB224</f>
        <v>1885.0091242350554</v>
      </c>
      <c r="AC90" s="3528">
        <f>+InputY!AC224</f>
        <v>1844.0169040919868</v>
      </c>
      <c r="AD90" s="2962">
        <f>+AC90*(1+AD93/100)</f>
        <v>1845.8609209960787</v>
      </c>
      <c r="AE90" s="2962">
        <f>+AD90*(1+AE93/100)</f>
        <v>1847.7067819170745</v>
      </c>
      <c r="AG90" s="3660"/>
    </row>
    <row r="91" spans="1:119">
      <c r="Q91" s="599"/>
      <c r="R91" s="599"/>
      <c r="S91" s="599"/>
      <c r="T91" s="2930"/>
      <c r="U91" s="2930"/>
      <c r="V91" s="2930"/>
      <c r="W91" s="2930"/>
      <c r="X91" s="2930"/>
      <c r="Y91" s="2930"/>
      <c r="Z91" s="2930"/>
      <c r="AA91" s="2930"/>
      <c r="AB91" s="2930"/>
      <c r="AC91" s="2930"/>
      <c r="AD91" s="2930"/>
      <c r="AE91" s="2930"/>
      <c r="AG91" s="3660"/>
    </row>
    <row r="92" spans="1:119" s="699" customFormat="1" ht="12.75" customHeight="1">
      <c r="A92" s="664"/>
      <c r="B92" s="664"/>
      <c r="C92" s="666"/>
      <c r="D92" s="713"/>
      <c r="E92" s="714" t="s">
        <v>284</v>
      </c>
      <c r="F92" s="715"/>
      <c r="G92" s="716">
        <f>+InputY!$G$3</f>
        <v>1995</v>
      </c>
      <c r="H92" s="716">
        <f>+G92+1</f>
        <v>1996</v>
      </c>
      <c r="I92" s="716">
        <f t="shared" ref="I92:O92" si="106">+H92+1</f>
        <v>1997</v>
      </c>
      <c r="J92" s="716">
        <f t="shared" si="106"/>
        <v>1998</v>
      </c>
      <c r="K92" s="716">
        <f t="shared" si="106"/>
        <v>1999</v>
      </c>
      <c r="L92" s="716">
        <f t="shared" si="106"/>
        <v>2000</v>
      </c>
      <c r="M92" s="716">
        <f t="shared" si="106"/>
        <v>2001</v>
      </c>
      <c r="N92" s="716">
        <f t="shared" si="106"/>
        <v>2002</v>
      </c>
      <c r="O92" s="716">
        <f t="shared" si="106"/>
        <v>2003</v>
      </c>
      <c r="P92" s="3529">
        <f t="shared" ref="P92:W92" si="107">+O92+1</f>
        <v>2004</v>
      </c>
      <c r="Q92" s="3529">
        <f t="shared" si="107"/>
        <v>2005</v>
      </c>
      <c r="R92" s="3529">
        <f t="shared" si="107"/>
        <v>2006</v>
      </c>
      <c r="S92" s="3529">
        <f t="shared" si="107"/>
        <v>2007</v>
      </c>
      <c r="T92" s="3530">
        <f t="shared" si="107"/>
        <v>2008</v>
      </c>
      <c r="U92" s="3530">
        <f>+T92+1</f>
        <v>2009</v>
      </c>
      <c r="V92" s="3530">
        <f t="shared" si="107"/>
        <v>2010</v>
      </c>
      <c r="W92" s="3530">
        <f t="shared" si="107"/>
        <v>2011</v>
      </c>
      <c r="X92" s="3530">
        <f t="shared" ref="X92:AE92" si="108">+W92+1</f>
        <v>2012</v>
      </c>
      <c r="Y92" s="3530">
        <f t="shared" si="108"/>
        <v>2013</v>
      </c>
      <c r="Z92" s="3530">
        <f t="shared" si="108"/>
        <v>2014</v>
      </c>
      <c r="AA92" s="3530">
        <f t="shared" si="108"/>
        <v>2015</v>
      </c>
      <c r="AB92" s="3530">
        <f t="shared" si="108"/>
        <v>2016</v>
      </c>
      <c r="AC92" s="3530">
        <f t="shared" si="108"/>
        <v>2017</v>
      </c>
      <c r="AD92" s="3530">
        <f t="shared" si="108"/>
        <v>2018</v>
      </c>
      <c r="AE92" s="3530">
        <f t="shared" si="108"/>
        <v>2019</v>
      </c>
      <c r="AF92"/>
      <c r="AG92" s="3660"/>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row>
    <row r="93" spans="1:119" s="699" customFormat="1" ht="12.75" customHeight="1">
      <c r="A93" s="664"/>
      <c r="B93" s="664"/>
      <c r="C93" s="756" t="s">
        <v>1767</v>
      </c>
      <c r="D93" s="757"/>
      <c r="E93" s="758" t="str">
        <f>+E90</f>
        <v>Avg. ann. hours worked / person</v>
      </c>
      <c r="F93" s="759" t="str">
        <f>+F90</f>
        <v>AvHoursWorked</v>
      </c>
      <c r="G93" s="760"/>
      <c r="H93" s="761">
        <f t="shared" ref="H93:P93" si="109">(H90/G90-1)*100</f>
        <v>-0.133910750866717</v>
      </c>
      <c r="I93" s="761">
        <f t="shared" si="109"/>
        <v>0.32735319380894357</v>
      </c>
      <c r="J93" s="761">
        <f t="shared" si="109"/>
        <v>2.7067493715294821</v>
      </c>
      <c r="K93" s="761">
        <f t="shared" si="109"/>
        <v>-3.0108002606172302</v>
      </c>
      <c r="L93" s="761">
        <f t="shared" si="109"/>
        <v>6.9648475434982648</v>
      </c>
      <c r="M93" s="761">
        <f t="shared" si="109"/>
        <v>-0.81292993468660146</v>
      </c>
      <c r="N93" s="761">
        <f t="shared" si="109"/>
        <v>-1.5862808255008076</v>
      </c>
      <c r="O93" s="761">
        <f t="shared" si="109"/>
        <v>-0.90360424080746515</v>
      </c>
      <c r="P93" s="3531">
        <f t="shared" si="109"/>
        <v>5.1889990553889431</v>
      </c>
      <c r="Q93" s="3531">
        <f t="shared" ref="Q93:AC93" si="110">(Q90/P90-1)*100</f>
        <v>2.2136976930031693E-2</v>
      </c>
      <c r="R93" s="3531">
        <f t="shared" si="110"/>
        <v>-0.25341560346412439</v>
      </c>
      <c r="S93" s="3531">
        <f t="shared" si="110"/>
        <v>1.576457931836539</v>
      </c>
      <c r="T93" s="3531">
        <f t="shared" si="110"/>
        <v>1.5661019265520437</v>
      </c>
      <c r="U93" s="3531">
        <f t="shared" si="110"/>
        <v>-3.6527018749196727</v>
      </c>
      <c r="V93" s="3531">
        <f t="shared" si="110"/>
        <v>1.1456478583661278</v>
      </c>
      <c r="W93" s="3531">
        <f t="shared" si="110"/>
        <v>-1.3487177338006862</v>
      </c>
      <c r="X93" s="3531">
        <f t="shared" si="110"/>
        <v>-8.4919790747639556E-2</v>
      </c>
      <c r="Y93" s="3531">
        <f t="shared" si="110"/>
        <v>-0.86399046388041523</v>
      </c>
      <c r="Z93" s="3531">
        <f t="shared" si="110"/>
        <v>-0.41915683557892658</v>
      </c>
      <c r="AA93" s="3531">
        <f t="shared" si="110"/>
        <v>1.4162720785013905</v>
      </c>
      <c r="AB93" s="3531">
        <f t="shared" si="110"/>
        <v>1.3719698127075297</v>
      </c>
      <c r="AC93" s="3531">
        <f t="shared" si="110"/>
        <v>-2.1746430622559099</v>
      </c>
      <c r="AD93" s="3532">
        <v>0.1</v>
      </c>
      <c r="AE93" s="3532">
        <v>0.1</v>
      </c>
      <c r="AF93" s="3661" t="s">
        <v>2589</v>
      </c>
      <c r="AG93" s="3660"/>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row>
    <row r="94" spans="1:119" ht="30" customHeight="1">
      <c r="E94" s="167"/>
      <c r="F94" s="705"/>
      <c r="G94" s="705"/>
      <c r="S94" s="2930"/>
      <c r="T94" s="2930"/>
      <c r="U94" s="2930"/>
      <c r="V94" s="2930"/>
      <c r="W94" s="2930"/>
      <c r="X94" s="2930"/>
      <c r="Y94" s="2930"/>
      <c r="Z94" s="2930"/>
      <c r="AA94" s="2930"/>
      <c r="AB94" s="2930"/>
      <c r="AC94" s="2930"/>
      <c r="AD94" s="2930"/>
      <c r="AE94" s="2930"/>
      <c r="AG94" s="3660"/>
    </row>
    <row r="95" spans="1:119" ht="30" customHeight="1">
      <c r="S95" s="2930"/>
      <c r="T95" s="2930"/>
      <c r="U95" s="2930"/>
      <c r="V95" s="2930"/>
      <c r="W95" s="2930"/>
      <c r="X95" s="2930"/>
      <c r="Y95" s="2930"/>
      <c r="Z95" s="2930"/>
      <c r="AA95" s="2930"/>
      <c r="AB95" s="2930"/>
      <c r="AC95" s="2930"/>
      <c r="AD95" s="2930"/>
      <c r="AE95" s="2930"/>
    </row>
    <row r="96" spans="1:119" ht="22.5" customHeight="1">
      <c r="C96" s="3752" t="s">
        <v>2012</v>
      </c>
      <c r="D96" s="3752"/>
      <c r="E96" s="3752"/>
      <c r="F96" s="3752"/>
      <c r="S96" s="2930"/>
      <c r="T96" s="2930"/>
      <c r="U96" s="2930"/>
      <c r="V96" s="2930"/>
      <c r="W96" s="2930"/>
      <c r="X96" s="2930"/>
      <c r="Y96" s="2930"/>
      <c r="Z96" s="2930"/>
      <c r="AA96" s="2930"/>
      <c r="AB96" s="2930"/>
      <c r="AC96" s="2930"/>
      <c r="AD96" s="2930"/>
      <c r="AE96" s="2930"/>
    </row>
    <row r="97" spans="1:119">
      <c r="AB97" s="3486"/>
      <c r="AC97" s="3486"/>
      <c r="AD97" s="3486"/>
      <c r="AE97" s="3486"/>
    </row>
    <row r="98" spans="1:119" s="699" customFormat="1" ht="12.75" customHeight="1">
      <c r="A98" s="664"/>
      <c r="B98" s="664"/>
      <c r="C98" s="666"/>
      <c r="D98" s="695"/>
      <c r="E98" s="696" t="s">
        <v>969</v>
      </c>
      <c r="F98" s="697"/>
      <c r="G98" s="698">
        <f>+InputY!$G$3</f>
        <v>1995</v>
      </c>
      <c r="H98" s="698">
        <f>+G98+1</f>
        <v>1996</v>
      </c>
      <c r="I98" s="698">
        <f t="shared" ref="I98:O98" si="111">+H98+1</f>
        <v>1997</v>
      </c>
      <c r="J98" s="698">
        <f t="shared" si="111"/>
        <v>1998</v>
      </c>
      <c r="K98" s="698">
        <f t="shared" si="111"/>
        <v>1999</v>
      </c>
      <c r="L98" s="698">
        <f t="shared" si="111"/>
        <v>2000</v>
      </c>
      <c r="M98" s="698">
        <f t="shared" si="111"/>
        <v>2001</v>
      </c>
      <c r="N98" s="698">
        <f t="shared" si="111"/>
        <v>2002</v>
      </c>
      <c r="O98" s="698">
        <f t="shared" si="111"/>
        <v>2003</v>
      </c>
      <c r="P98" s="3490">
        <f t="shared" ref="P98:W98" si="112">+O98+1</f>
        <v>2004</v>
      </c>
      <c r="Q98" s="3490">
        <f t="shared" si="112"/>
        <v>2005</v>
      </c>
      <c r="R98" s="3490">
        <f t="shared" si="112"/>
        <v>2006</v>
      </c>
      <c r="S98" s="3490">
        <f t="shared" si="112"/>
        <v>2007</v>
      </c>
      <c r="T98" s="3491">
        <f t="shared" si="112"/>
        <v>2008</v>
      </c>
      <c r="U98" s="3491">
        <f t="shared" si="112"/>
        <v>2009</v>
      </c>
      <c r="V98" s="3491">
        <f t="shared" si="112"/>
        <v>2010</v>
      </c>
      <c r="W98" s="3491">
        <f t="shared" si="112"/>
        <v>2011</v>
      </c>
      <c r="X98" s="3491">
        <f t="shared" ref="X98:AE98" si="113">+W98+1</f>
        <v>2012</v>
      </c>
      <c r="Y98" s="3491">
        <f t="shared" si="113"/>
        <v>2013</v>
      </c>
      <c r="Z98" s="3491">
        <f t="shared" si="113"/>
        <v>2014</v>
      </c>
      <c r="AA98" s="3491">
        <f t="shared" si="113"/>
        <v>2015</v>
      </c>
      <c r="AB98" s="3491">
        <f t="shared" si="113"/>
        <v>2016</v>
      </c>
      <c r="AC98" s="3491">
        <f t="shared" si="113"/>
        <v>2017</v>
      </c>
      <c r="AD98" s="3491">
        <f t="shared" si="113"/>
        <v>2018</v>
      </c>
      <c r="AE98" s="3491">
        <f t="shared" si="113"/>
        <v>2019</v>
      </c>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row>
    <row r="99" spans="1:119">
      <c r="A99" s="664">
        <f>+ROW(InputY!A9)</f>
        <v>9</v>
      </c>
      <c r="B99" s="665">
        <v>60</v>
      </c>
      <c r="C99" s="675"/>
      <c r="D99" s="668"/>
      <c r="E99" s="708" t="s">
        <v>690</v>
      </c>
      <c r="F99" s="709" t="str">
        <f>+InputY!B9</f>
        <v>LEmpTotDFTE</v>
      </c>
      <c r="G99" s="1860">
        <f>+InputY!G9</f>
        <v>0</v>
      </c>
      <c r="H99" s="1860">
        <f>+InputY!H9</f>
        <v>0</v>
      </c>
      <c r="I99" s="1860">
        <f>+InputY!I9</f>
        <v>0</v>
      </c>
      <c r="J99" s="1860">
        <f>+InputY!J9</f>
        <v>0</v>
      </c>
      <c r="K99" s="1860">
        <f>+InputY!K9</f>
        <v>0</v>
      </c>
      <c r="L99" s="1860">
        <f>+InputY!L9</f>
        <v>0</v>
      </c>
      <c r="M99" s="1860">
        <f>+InputY!M9</f>
        <v>0</v>
      </c>
      <c r="N99" s="1860">
        <f>+InputY!N9</f>
        <v>0</v>
      </c>
      <c r="O99" s="1860">
        <f>+InputY!O9</f>
        <v>0</v>
      </c>
      <c r="P99" s="3533">
        <f>+InputY!P9</f>
        <v>0</v>
      </c>
      <c r="Q99" s="3533">
        <f>+InputY!Q9</f>
        <v>0</v>
      </c>
      <c r="R99" s="3533">
        <f>+InputY!R9</f>
        <v>0</v>
      </c>
      <c r="S99" s="3533">
        <f>+InputY!S9</f>
        <v>0</v>
      </c>
      <c r="T99" s="2963">
        <f t="shared" ref="T99:AE99" si="114">+S99*(1+T105/100)</f>
        <v>0</v>
      </c>
      <c r="U99" s="2963">
        <f t="shared" si="114"/>
        <v>0</v>
      </c>
      <c r="V99" s="2963">
        <f t="shared" si="114"/>
        <v>0</v>
      </c>
      <c r="W99" s="2963">
        <f t="shared" si="114"/>
        <v>0</v>
      </c>
      <c r="X99" s="2963">
        <f t="shared" si="114"/>
        <v>0</v>
      </c>
      <c r="Y99" s="2963">
        <f t="shared" si="114"/>
        <v>0</v>
      </c>
      <c r="Z99" s="2963">
        <f t="shared" si="114"/>
        <v>0</v>
      </c>
      <c r="AA99" s="2963">
        <f t="shared" si="114"/>
        <v>0</v>
      </c>
      <c r="AB99" s="2963">
        <f t="shared" si="114"/>
        <v>0</v>
      </c>
      <c r="AC99" s="2963">
        <f t="shared" si="114"/>
        <v>0</v>
      </c>
      <c r="AD99" s="2963">
        <f t="shared" si="114"/>
        <v>0</v>
      </c>
      <c r="AE99" s="2963">
        <f t="shared" si="114"/>
        <v>0</v>
      </c>
    </row>
    <row r="100" spans="1:119" s="26" customFormat="1">
      <c r="A100" s="673"/>
      <c r="B100" s="1851"/>
      <c r="C100" s="1849"/>
      <c r="D100" s="679"/>
      <c r="E100" s="680" t="s">
        <v>1181</v>
      </c>
      <c r="F100" s="1850"/>
      <c r="G100" s="1861" t="e">
        <f t="shared" ref="G100:Y100" si="115">+G99/G34</f>
        <v>#VALUE!</v>
      </c>
      <c r="H100" s="1861" t="e">
        <f t="shared" si="115"/>
        <v>#VALUE!</v>
      </c>
      <c r="I100" s="1861" t="e">
        <f t="shared" si="115"/>
        <v>#VALUE!</v>
      </c>
      <c r="J100" s="1861" t="e">
        <f t="shared" si="115"/>
        <v>#VALUE!</v>
      </c>
      <c r="K100" s="1861" t="e">
        <f t="shared" si="115"/>
        <v>#VALUE!</v>
      </c>
      <c r="L100" s="1861">
        <f t="shared" si="115"/>
        <v>0</v>
      </c>
      <c r="M100" s="1861">
        <f t="shared" si="115"/>
        <v>0</v>
      </c>
      <c r="N100" s="1861">
        <f t="shared" si="115"/>
        <v>0</v>
      </c>
      <c r="O100" s="1861">
        <f t="shared" si="115"/>
        <v>0</v>
      </c>
      <c r="P100" s="1861">
        <f t="shared" si="115"/>
        <v>0</v>
      </c>
      <c r="Q100" s="1861">
        <f>+Q99/Q34</f>
        <v>0</v>
      </c>
      <c r="R100" s="1861">
        <f>+R99/R34</f>
        <v>0</v>
      </c>
      <c r="S100" s="1861">
        <f>+S99/S34</f>
        <v>0</v>
      </c>
      <c r="T100" s="2964">
        <f t="shared" si="115"/>
        <v>0</v>
      </c>
      <c r="U100" s="2964">
        <f t="shared" si="115"/>
        <v>0</v>
      </c>
      <c r="V100" s="2964">
        <f t="shared" si="115"/>
        <v>0</v>
      </c>
      <c r="W100" s="2964">
        <f t="shared" si="115"/>
        <v>0</v>
      </c>
      <c r="X100" s="2964">
        <f t="shared" si="115"/>
        <v>0</v>
      </c>
      <c r="Y100" s="2964">
        <f t="shared" si="115"/>
        <v>0</v>
      </c>
      <c r="Z100" s="2964">
        <f t="shared" ref="Z100:AE100" si="116">+Z99/Z34</f>
        <v>0</v>
      </c>
      <c r="AA100" s="2964">
        <f t="shared" si="116"/>
        <v>0</v>
      </c>
      <c r="AB100" s="2964">
        <f t="shared" si="116"/>
        <v>0</v>
      </c>
      <c r="AC100" s="2964">
        <f t="shared" si="116"/>
        <v>0</v>
      </c>
      <c r="AD100" s="2964">
        <f t="shared" si="116"/>
        <v>0</v>
      </c>
      <c r="AE100" s="2964">
        <f t="shared" si="116"/>
        <v>0</v>
      </c>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row>
    <row r="101" spans="1:119">
      <c r="A101" s="664">
        <f>+ROW(InputY!A10)</f>
        <v>10</v>
      </c>
      <c r="B101" s="665">
        <v>64</v>
      </c>
      <c r="C101" s="671"/>
      <c r="D101" s="674"/>
      <c r="E101" s="220" t="s">
        <v>781</v>
      </c>
      <c r="F101" s="725" t="str">
        <f>+InputY!B10</f>
        <v>LEmpDFTE</v>
      </c>
      <c r="G101" s="1862">
        <f>+InputY!G10</f>
        <v>0</v>
      </c>
      <c r="H101" s="1862">
        <f>+InputY!H10</f>
        <v>0</v>
      </c>
      <c r="I101" s="1862">
        <f>+InputY!I10</f>
        <v>0</v>
      </c>
      <c r="J101" s="1862">
        <f>+InputY!J10</f>
        <v>0</v>
      </c>
      <c r="K101" s="1862">
        <f>+InputY!K10</f>
        <v>0</v>
      </c>
      <c r="L101" s="1862">
        <f>+InputY!L10</f>
        <v>0</v>
      </c>
      <c r="M101" s="1862">
        <f>+InputY!M10</f>
        <v>0</v>
      </c>
      <c r="N101" s="1862">
        <f>+InputY!N10</f>
        <v>0</v>
      </c>
      <c r="O101" s="1862">
        <f>+InputY!O10</f>
        <v>0</v>
      </c>
      <c r="P101" s="3534">
        <f>+InputY!P10</f>
        <v>0</v>
      </c>
      <c r="Q101" s="3534">
        <f>+InputY!Q10</f>
        <v>0</v>
      </c>
      <c r="R101" s="3534">
        <f>+InputY!R10</f>
        <v>0</v>
      </c>
      <c r="S101" s="3534">
        <f>+InputY!S10</f>
        <v>0</v>
      </c>
      <c r="T101" s="2965">
        <f t="shared" ref="T101:AE101" si="117">+S101*(1+T106/100)</f>
        <v>0</v>
      </c>
      <c r="U101" s="2965">
        <f t="shared" si="117"/>
        <v>0</v>
      </c>
      <c r="V101" s="2965">
        <f t="shared" si="117"/>
        <v>0</v>
      </c>
      <c r="W101" s="2965">
        <f t="shared" si="117"/>
        <v>0</v>
      </c>
      <c r="X101" s="2965">
        <f t="shared" si="117"/>
        <v>0</v>
      </c>
      <c r="Y101" s="2965">
        <f t="shared" si="117"/>
        <v>0</v>
      </c>
      <c r="Z101" s="2965">
        <f t="shared" si="117"/>
        <v>0</v>
      </c>
      <c r="AA101" s="2965">
        <f t="shared" si="117"/>
        <v>0</v>
      </c>
      <c r="AB101" s="2965">
        <f t="shared" si="117"/>
        <v>0</v>
      </c>
      <c r="AC101" s="2965">
        <f t="shared" si="117"/>
        <v>0</v>
      </c>
      <c r="AD101" s="2965">
        <f t="shared" si="117"/>
        <v>0</v>
      </c>
      <c r="AE101" s="2965">
        <f t="shared" si="117"/>
        <v>0</v>
      </c>
    </row>
    <row r="102" spans="1:119" s="26" customFormat="1">
      <c r="A102" s="673"/>
      <c r="B102" s="673"/>
      <c r="C102" s="687"/>
      <c r="D102" s="683"/>
      <c r="E102" s="684" t="s">
        <v>2013</v>
      </c>
      <c r="F102" s="767"/>
      <c r="G102" s="1863" t="e">
        <f t="shared" ref="G102:Y102" si="118">+G101/G77</f>
        <v>#VALUE!</v>
      </c>
      <c r="H102" s="1863" t="e">
        <f t="shared" si="118"/>
        <v>#VALUE!</v>
      </c>
      <c r="I102" s="1863" t="e">
        <f t="shared" si="118"/>
        <v>#VALUE!</v>
      </c>
      <c r="J102" s="1863" t="e">
        <f t="shared" si="118"/>
        <v>#VALUE!</v>
      </c>
      <c r="K102" s="1863" t="e">
        <f t="shared" si="118"/>
        <v>#VALUE!</v>
      </c>
      <c r="L102" s="1863">
        <f t="shared" si="118"/>
        <v>0</v>
      </c>
      <c r="M102" s="1863">
        <f t="shared" si="118"/>
        <v>0</v>
      </c>
      <c r="N102" s="1863">
        <f t="shared" si="118"/>
        <v>0</v>
      </c>
      <c r="O102" s="1863">
        <f t="shared" si="118"/>
        <v>0</v>
      </c>
      <c r="P102" s="1863">
        <f t="shared" si="118"/>
        <v>0</v>
      </c>
      <c r="Q102" s="1863">
        <f>+Q101/Q77</f>
        <v>0</v>
      </c>
      <c r="R102" s="1863">
        <f>+R101/R77</f>
        <v>0</v>
      </c>
      <c r="S102" s="1863">
        <f>+S101/S77</f>
        <v>0</v>
      </c>
      <c r="T102" s="2966">
        <f t="shared" si="118"/>
        <v>0</v>
      </c>
      <c r="U102" s="2966">
        <f t="shared" si="118"/>
        <v>0</v>
      </c>
      <c r="V102" s="2966">
        <f t="shared" si="118"/>
        <v>0</v>
      </c>
      <c r="W102" s="2966">
        <f t="shared" si="118"/>
        <v>0</v>
      </c>
      <c r="X102" s="2966">
        <f t="shared" si="118"/>
        <v>0</v>
      </c>
      <c r="Y102" s="2966">
        <f t="shared" si="118"/>
        <v>0</v>
      </c>
      <c r="Z102" s="2966">
        <f t="shared" ref="Z102:AE102" si="119">+Z101/Z77</f>
        <v>0</v>
      </c>
      <c r="AA102" s="2966">
        <f t="shared" si="119"/>
        <v>0</v>
      </c>
      <c r="AB102" s="2966">
        <f t="shared" si="119"/>
        <v>0</v>
      </c>
      <c r="AC102" s="2966">
        <f t="shared" si="119"/>
        <v>0</v>
      </c>
      <c r="AD102" s="2966">
        <f t="shared" si="119"/>
        <v>0</v>
      </c>
      <c r="AE102" s="2966">
        <f t="shared" si="119"/>
        <v>0</v>
      </c>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row>
    <row r="103" spans="1:119">
      <c r="Q103" s="599"/>
      <c r="R103" s="599"/>
      <c r="S103" s="599"/>
      <c r="T103" s="2930"/>
      <c r="U103" s="2930"/>
      <c r="V103" s="2930"/>
      <c r="W103" s="2930"/>
      <c r="X103" s="2930"/>
      <c r="Y103" s="2930"/>
      <c r="Z103" s="2930"/>
      <c r="AA103" s="2930"/>
      <c r="AB103" s="2930"/>
      <c r="AC103" s="2930"/>
      <c r="AD103" s="2930"/>
      <c r="AE103" s="2930"/>
    </row>
    <row r="104" spans="1:119" s="699" customFormat="1" ht="12.75" customHeight="1">
      <c r="A104" s="664"/>
      <c r="B104" s="664"/>
      <c r="C104" s="666"/>
      <c r="D104" s="713"/>
      <c r="E104" s="714" t="s">
        <v>284</v>
      </c>
      <c r="F104" s="715"/>
      <c r="G104" s="716">
        <f>+InputY!$G$3</f>
        <v>1995</v>
      </c>
      <c r="H104" s="716">
        <f>+G104+1</f>
        <v>1996</v>
      </c>
      <c r="I104" s="716">
        <f t="shared" ref="I104:O104" si="120">+H104+1</f>
        <v>1997</v>
      </c>
      <c r="J104" s="716">
        <f t="shared" si="120"/>
        <v>1998</v>
      </c>
      <c r="K104" s="716">
        <f t="shared" si="120"/>
        <v>1999</v>
      </c>
      <c r="L104" s="716">
        <f t="shared" si="120"/>
        <v>2000</v>
      </c>
      <c r="M104" s="716">
        <f t="shared" si="120"/>
        <v>2001</v>
      </c>
      <c r="N104" s="716">
        <f t="shared" si="120"/>
        <v>2002</v>
      </c>
      <c r="O104" s="716">
        <f t="shared" si="120"/>
        <v>2003</v>
      </c>
      <c r="P104" s="3529">
        <f t="shared" ref="P104:W104" si="121">+O104+1</f>
        <v>2004</v>
      </c>
      <c r="Q104" s="3529">
        <f t="shared" si="121"/>
        <v>2005</v>
      </c>
      <c r="R104" s="3529">
        <f t="shared" si="121"/>
        <v>2006</v>
      </c>
      <c r="S104" s="3529">
        <f t="shared" si="121"/>
        <v>2007</v>
      </c>
      <c r="T104" s="3530">
        <f t="shared" si="121"/>
        <v>2008</v>
      </c>
      <c r="U104" s="3530">
        <f t="shared" si="121"/>
        <v>2009</v>
      </c>
      <c r="V104" s="3530">
        <f t="shared" si="121"/>
        <v>2010</v>
      </c>
      <c r="W104" s="3530">
        <f t="shared" si="121"/>
        <v>2011</v>
      </c>
      <c r="X104" s="3530">
        <f t="shared" ref="X104:AE104" si="122">+W104+1</f>
        <v>2012</v>
      </c>
      <c r="Y104" s="3530">
        <f t="shared" si="122"/>
        <v>2013</v>
      </c>
      <c r="Z104" s="3530">
        <f t="shared" si="122"/>
        <v>2014</v>
      </c>
      <c r="AA104" s="3530">
        <f t="shared" si="122"/>
        <v>2015</v>
      </c>
      <c r="AB104" s="3530">
        <f t="shared" si="122"/>
        <v>2016</v>
      </c>
      <c r="AC104" s="3530">
        <f t="shared" si="122"/>
        <v>2017</v>
      </c>
      <c r="AD104" s="3530">
        <f t="shared" si="122"/>
        <v>2018</v>
      </c>
      <c r="AE104" s="3530">
        <f t="shared" si="122"/>
        <v>2019</v>
      </c>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row>
    <row r="105" spans="1:119" s="699" customFormat="1" ht="12.75" customHeight="1">
      <c r="A105" s="664"/>
      <c r="B105" s="664"/>
      <c r="C105" s="1576" t="s">
        <v>1767</v>
      </c>
      <c r="D105" s="1856"/>
      <c r="E105" s="1857" t="str">
        <f>+E99</f>
        <v>Total employment (domestic - full time equivalent)</v>
      </c>
      <c r="F105" s="1858" t="str">
        <f>+F99</f>
        <v>LEmpTotDFTE</v>
      </c>
      <c r="G105" s="1864"/>
      <c r="H105" s="1865" t="e">
        <f>(H99/G99-1)*100</f>
        <v>#DIV/0!</v>
      </c>
      <c r="I105" s="1865" t="e">
        <f t="shared" ref="I105:P105" si="123">(I99/H99-1)*100</f>
        <v>#DIV/0!</v>
      </c>
      <c r="J105" s="1865" t="e">
        <f t="shared" si="123"/>
        <v>#DIV/0!</v>
      </c>
      <c r="K105" s="1865" t="e">
        <f t="shared" si="123"/>
        <v>#DIV/0!</v>
      </c>
      <c r="L105" s="1865" t="e">
        <f t="shared" si="123"/>
        <v>#DIV/0!</v>
      </c>
      <c r="M105" s="1865" t="e">
        <f t="shared" si="123"/>
        <v>#DIV/0!</v>
      </c>
      <c r="N105" s="1865" t="e">
        <f t="shared" si="123"/>
        <v>#DIV/0!</v>
      </c>
      <c r="O105" s="1865" t="e">
        <f t="shared" si="123"/>
        <v>#DIV/0!</v>
      </c>
      <c r="P105" s="3535" t="e">
        <f t="shared" si="123"/>
        <v>#DIV/0!</v>
      </c>
      <c r="Q105" s="3535" t="e">
        <f>(Q99/P99-1)*100</f>
        <v>#DIV/0!</v>
      </c>
      <c r="R105" s="3535" t="e">
        <f>(R99/Q99-1)*100</f>
        <v>#DIV/0!</v>
      </c>
      <c r="S105" s="3535" t="e">
        <f>(S99/R99-1)*100</f>
        <v>#DIV/0!</v>
      </c>
      <c r="T105" s="2967"/>
      <c r="U105" s="2967"/>
      <c r="V105" s="2967"/>
      <c r="W105" s="2967"/>
      <c r="X105" s="2967"/>
      <c r="Y105" s="2967"/>
      <c r="Z105" s="2967"/>
      <c r="AA105" s="2967"/>
      <c r="AB105" s="2967"/>
      <c r="AC105" s="2967"/>
      <c r="AD105" s="2967"/>
      <c r="AE105" s="2967"/>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row>
    <row r="106" spans="1:119" s="699" customFormat="1" ht="12.75" customHeight="1">
      <c r="A106" s="664"/>
      <c r="B106" s="664"/>
      <c r="C106" s="1852" t="s">
        <v>1767</v>
      </c>
      <c r="D106" s="1853"/>
      <c r="E106" s="1854" t="str">
        <f>+E101</f>
        <v>Wage and salary earners (domestic - full time equivalent)</v>
      </c>
      <c r="F106" s="1855" t="str">
        <f>+F101</f>
        <v>LEmpDFTE</v>
      </c>
      <c r="G106" s="1866"/>
      <c r="H106" s="1867" t="e">
        <f>(H101/G101-1)*100</f>
        <v>#DIV/0!</v>
      </c>
      <c r="I106" s="1867" t="e">
        <f t="shared" ref="I106:P106" si="124">(I101/H101-1)*100</f>
        <v>#DIV/0!</v>
      </c>
      <c r="J106" s="1867" t="e">
        <f t="shared" si="124"/>
        <v>#DIV/0!</v>
      </c>
      <c r="K106" s="1867" t="e">
        <f t="shared" si="124"/>
        <v>#DIV/0!</v>
      </c>
      <c r="L106" s="1867" t="e">
        <f t="shared" si="124"/>
        <v>#DIV/0!</v>
      </c>
      <c r="M106" s="1867" t="e">
        <f t="shared" si="124"/>
        <v>#DIV/0!</v>
      </c>
      <c r="N106" s="1867" t="e">
        <f t="shared" si="124"/>
        <v>#DIV/0!</v>
      </c>
      <c r="O106" s="1867" t="e">
        <f t="shared" si="124"/>
        <v>#DIV/0!</v>
      </c>
      <c r="P106" s="3536" t="e">
        <f t="shared" si="124"/>
        <v>#DIV/0!</v>
      </c>
      <c r="Q106" s="3536" t="e">
        <f>(Q101/P101-1)*100</f>
        <v>#DIV/0!</v>
      </c>
      <c r="R106" s="3536" t="e">
        <f>(R101/Q101-1)*100</f>
        <v>#DIV/0!</v>
      </c>
      <c r="S106" s="3536" t="e">
        <f>(S101/R101-1)*100</f>
        <v>#DIV/0!</v>
      </c>
      <c r="T106" s="2968"/>
      <c r="U106" s="2968"/>
      <c r="V106" s="2968"/>
      <c r="W106" s="2968"/>
      <c r="X106" s="2968"/>
      <c r="Y106" s="2968"/>
      <c r="Z106" s="2968"/>
      <c r="AA106" s="2968"/>
      <c r="AB106" s="2968"/>
      <c r="AC106" s="2968"/>
      <c r="AD106" s="2968"/>
      <c r="AE106" s="2968"/>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row>
    <row r="107" spans="1:119" s="699" customFormat="1" ht="30" customHeight="1">
      <c r="A107" s="663"/>
      <c r="B107" s="663"/>
      <c r="C107" s="694"/>
      <c r="D107" s="670"/>
      <c r="F107" s="694"/>
      <c r="P107" s="3226"/>
      <c r="Q107" s="3226"/>
      <c r="R107" s="3226"/>
      <c r="S107" s="547"/>
      <c r="T107" s="2286"/>
      <c r="U107" s="2286"/>
      <c r="V107" s="2286"/>
      <c r="W107" s="2286"/>
      <c r="X107" s="2286"/>
      <c r="Y107" s="2286">
        <f>Y147/Y116</f>
        <v>0.26751784826973046</v>
      </c>
      <c r="Z107" s="2286">
        <f t="shared" ref="Z107:AE107" si="125">Z147/Z116</f>
        <v>0.26947192771042489</v>
      </c>
      <c r="AA107" s="2286">
        <f t="shared" si="125"/>
        <v>0.2701094488930148</v>
      </c>
      <c r="AB107" s="2286">
        <f>AB147/AB116</f>
        <v>0.2741332428202371</v>
      </c>
      <c r="AC107" s="2286">
        <f t="shared" si="125"/>
        <v>0.28350708658848939</v>
      </c>
      <c r="AD107" s="2286">
        <f t="shared" si="125"/>
        <v>0.2880552308777678</v>
      </c>
      <c r="AE107" s="2286">
        <f t="shared" si="125"/>
        <v>0.28905869453810756</v>
      </c>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row>
    <row r="108" spans="1:119" s="699" customFormat="1" ht="30" customHeight="1">
      <c r="A108" s="663"/>
      <c r="B108" s="663"/>
      <c r="C108" s="694"/>
      <c r="D108" s="670"/>
      <c r="F108" s="694"/>
      <c r="P108" s="547"/>
      <c r="Q108" s="3226"/>
      <c r="R108" s="3537"/>
      <c r="S108" s="2286"/>
      <c r="T108" s="2290"/>
      <c r="U108" s="2286"/>
      <c r="V108" s="2286"/>
      <c r="W108" s="2286"/>
      <c r="X108" s="2286"/>
      <c r="Y108" s="2286">
        <f>Y143/Y112</f>
        <v>0.22779003764500416</v>
      </c>
      <c r="Z108" s="2286">
        <f t="shared" ref="Z108:AD108" si="126">Z143/Z112</f>
        <v>0.22816179221407984</v>
      </c>
      <c r="AA108" s="2286">
        <f t="shared" si="126"/>
        <v>0.22849164292788529</v>
      </c>
      <c r="AB108" s="2286">
        <f t="shared" si="126"/>
        <v>0.23308753076446165</v>
      </c>
      <c r="AC108" s="2286">
        <f t="shared" si="126"/>
        <v>0.2453214066885632</v>
      </c>
      <c r="AD108" s="2286">
        <f t="shared" si="126"/>
        <v>0.25161250217561154</v>
      </c>
      <c r="AE108" s="2286">
        <f>AE143/AE112</f>
        <v>0.25303672388603954</v>
      </c>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row>
    <row r="109" spans="1:119" s="699" customFormat="1" ht="22.5" customHeight="1">
      <c r="A109" s="663"/>
      <c r="B109" s="663"/>
      <c r="C109" s="3752" t="s">
        <v>1505</v>
      </c>
      <c r="D109" s="3752"/>
      <c r="E109" s="3752"/>
      <c r="F109" s="3752"/>
      <c r="P109" s="3668">
        <f>P112-P113</f>
        <v>-1.8035261081928224</v>
      </c>
      <c r="Q109" s="3668">
        <f t="shared" ref="Q109:AE109" si="127">Q112-Q113</f>
        <v>-1.911727940560831</v>
      </c>
      <c r="R109" s="3668">
        <f t="shared" si="127"/>
        <v>-3.1848434510964054</v>
      </c>
      <c r="S109" s="3668">
        <f t="shared" si="127"/>
        <v>-1.8361279080706563</v>
      </c>
      <c r="T109" s="3668">
        <f t="shared" si="127"/>
        <v>-2.9977920939814471</v>
      </c>
      <c r="U109" s="3668">
        <f t="shared" si="127"/>
        <v>-3.9639763380522117</v>
      </c>
      <c r="V109" s="3668">
        <f t="shared" si="127"/>
        <v>-2.8078174224987649</v>
      </c>
      <c r="W109" s="3668">
        <f t="shared" si="127"/>
        <v>-2.6185135971541271</v>
      </c>
      <c r="X109" s="3668">
        <f t="shared" si="127"/>
        <v>-2.4769924723891688</v>
      </c>
      <c r="Y109" s="3668">
        <f t="shared" si="127"/>
        <v>-2.4428288552802488</v>
      </c>
      <c r="Z109" s="3668">
        <f t="shared" si="127"/>
        <v>-2.1700047377548444</v>
      </c>
      <c r="AA109" s="3668">
        <f t="shared" si="127"/>
        <v>-1.5452991662447459</v>
      </c>
      <c r="AB109" s="3668">
        <f t="shared" si="127"/>
        <v>-1.1470196907626011</v>
      </c>
      <c r="AC109" s="3668">
        <f t="shared" si="127"/>
        <v>-1.0331805783043659</v>
      </c>
      <c r="AD109" s="3668">
        <f t="shared" si="127"/>
        <v>-1.0935383686459659</v>
      </c>
      <c r="AE109" s="3668">
        <f t="shared" si="127"/>
        <v>-1.1243977845907747</v>
      </c>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row>
    <row r="110" spans="1:119" s="699" customFormat="1">
      <c r="A110" s="663"/>
      <c r="B110" s="663"/>
      <c r="C110" s="694"/>
      <c r="D110" s="670"/>
      <c r="F110" s="694"/>
      <c r="P110" s="547"/>
      <c r="Q110" s="3226"/>
      <c r="R110" s="3537"/>
      <c r="S110" s="2286"/>
      <c r="T110" s="2286"/>
      <c r="U110" s="2286"/>
      <c r="V110" s="2286"/>
      <c r="W110" s="2286"/>
      <c r="X110" s="2286"/>
      <c r="Y110" s="2286"/>
      <c r="Z110" s="2286"/>
      <c r="AA110" s="2286"/>
      <c r="AB110" s="3716"/>
      <c r="AC110" s="2286"/>
      <c r="AD110" s="2286"/>
      <c r="AE110" s="2286"/>
      <c r="AF110"/>
      <c r="AG110" s="3344"/>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row>
    <row r="111" spans="1:119">
      <c r="D111" s="900"/>
      <c r="E111" s="3322" t="s">
        <v>2421</v>
      </c>
      <c r="F111" s="902"/>
      <c r="G111" s="778">
        <f>+InputY!$G$3</f>
        <v>1995</v>
      </c>
      <c r="H111" s="778">
        <f>+G111+1</f>
        <v>1996</v>
      </c>
      <c r="I111" s="778">
        <f>+H111+1</f>
        <v>1997</v>
      </c>
      <c r="J111" s="778">
        <f t="shared" ref="J111:P111" si="128">+I111+1</f>
        <v>1998</v>
      </c>
      <c r="K111" s="778">
        <f t="shared" si="128"/>
        <v>1999</v>
      </c>
      <c r="L111" s="778">
        <f t="shared" si="128"/>
        <v>2000</v>
      </c>
      <c r="M111" s="778">
        <f t="shared" si="128"/>
        <v>2001</v>
      </c>
      <c r="N111" s="778">
        <f t="shared" si="128"/>
        <v>2002</v>
      </c>
      <c r="O111" s="778">
        <f t="shared" si="128"/>
        <v>2003</v>
      </c>
      <c r="P111" s="3538">
        <f t="shared" si="128"/>
        <v>2004</v>
      </c>
      <c r="Q111" s="3538">
        <f t="shared" ref="Q111:V111" si="129">+P111+1</f>
        <v>2005</v>
      </c>
      <c r="R111" s="3538">
        <f t="shared" si="129"/>
        <v>2006</v>
      </c>
      <c r="S111" s="3538">
        <f>+R111+1</f>
        <v>2007</v>
      </c>
      <c r="T111" s="3539">
        <f t="shared" si="129"/>
        <v>2008</v>
      </c>
      <c r="U111" s="3539">
        <f t="shared" si="129"/>
        <v>2009</v>
      </c>
      <c r="V111" s="3539">
        <f t="shared" si="129"/>
        <v>2010</v>
      </c>
      <c r="W111" s="3539">
        <f t="shared" ref="W111:AE111" si="130">+V111+1</f>
        <v>2011</v>
      </c>
      <c r="X111" s="3539">
        <f t="shared" si="130"/>
        <v>2012</v>
      </c>
      <c r="Y111" s="3539">
        <f t="shared" si="130"/>
        <v>2013</v>
      </c>
      <c r="Z111" s="3539">
        <f t="shared" si="130"/>
        <v>2014</v>
      </c>
      <c r="AA111" s="3539">
        <f t="shared" si="130"/>
        <v>2015</v>
      </c>
      <c r="AB111" s="3539">
        <f t="shared" si="130"/>
        <v>2016</v>
      </c>
      <c r="AC111" s="3539">
        <f t="shared" si="130"/>
        <v>2017</v>
      </c>
      <c r="AD111" s="3539">
        <f t="shared" si="130"/>
        <v>2018</v>
      </c>
      <c r="AE111" s="3539">
        <f t="shared" si="130"/>
        <v>2019</v>
      </c>
      <c r="AG111" s="3344"/>
    </row>
    <row r="112" spans="1:119" s="3330" customFormat="1">
      <c r="A112" s="3323"/>
      <c r="B112" s="3323"/>
      <c r="C112" s="3331"/>
      <c r="D112" s="3332"/>
      <c r="E112" s="3333" t="s">
        <v>274</v>
      </c>
      <c r="F112" s="3334" t="s">
        <v>1509</v>
      </c>
      <c r="G112" s="3328" t="e">
        <f t="shared" ref="G112:P112" si="131">+G133/G30*1000</f>
        <v>#VALUE!</v>
      </c>
      <c r="H112" s="3328" t="e">
        <f t="shared" si="131"/>
        <v>#VALUE!</v>
      </c>
      <c r="I112" s="3328" t="e">
        <f t="shared" si="131"/>
        <v>#VALUE!</v>
      </c>
      <c r="J112" s="3328" t="e">
        <f t="shared" si="131"/>
        <v>#VALUE!</v>
      </c>
      <c r="K112" s="3328" t="e">
        <f t="shared" si="131"/>
        <v>#VALUE!</v>
      </c>
      <c r="L112" s="3328">
        <f t="shared" si="131"/>
        <v>3.2185094177304268</v>
      </c>
      <c r="M112" s="3328">
        <f t="shared" si="131"/>
        <v>3.4977334687122732</v>
      </c>
      <c r="N112" s="3328">
        <f t="shared" si="131"/>
        <v>3.7359462118950488</v>
      </c>
      <c r="O112" s="3328">
        <f t="shared" si="131"/>
        <v>4.1375191179041302</v>
      </c>
      <c r="P112" s="3540">
        <f t="shared" si="131"/>
        <v>4.7298518132517025</v>
      </c>
      <c r="Q112" s="3540">
        <f>+Q133/Q30*1000</f>
        <v>5.3851505185934734</v>
      </c>
      <c r="R112" s="3540">
        <f t="shared" ref="Q112:R114" si="132">+R133/R30*1000</f>
        <v>6.3996808445344637</v>
      </c>
      <c r="S112" s="3540">
        <f t="shared" ref="S112:U114" si="133">+S133/S30*1000</f>
        <v>7.4998513998137533</v>
      </c>
      <c r="T112" s="3540">
        <f t="shared" si="133"/>
        <v>8.3484475348882139</v>
      </c>
      <c r="U112" s="3540">
        <f t="shared" ref="U112:W113" si="134">+U133/U30*1000</f>
        <v>7.2860236619477901</v>
      </c>
      <c r="V112" s="3540">
        <f t="shared" si="134"/>
        <v>7.6031287309893898</v>
      </c>
      <c r="W112" s="3540">
        <f t="shared" si="134"/>
        <v>8.1581670850398549</v>
      </c>
      <c r="X112" s="3540">
        <f t="shared" ref="X112:Z114" si="135">+X133/X30*1000</f>
        <v>8.594211968836996</v>
      </c>
      <c r="Y112" s="3540">
        <f t="shared" si="135"/>
        <v>9.066485491740135</v>
      </c>
      <c r="Z112" s="3540">
        <f t="shared" si="135"/>
        <v>9.555964460333314</v>
      </c>
      <c r="AA112" s="3540">
        <f>+AA133/AA30*1000</f>
        <v>10.229679764366734</v>
      </c>
      <c r="AB112" s="3540">
        <f>+AB133/AB30*1000</f>
        <v>10.925867006045181</v>
      </c>
      <c r="AC112" s="3541">
        <f t="shared" ref="AC112:AE113" si="136">+AB112*(1+AC119/100)</f>
        <v>11.865491568565067</v>
      </c>
      <c r="AD112" s="3541">
        <f t="shared" si="136"/>
        <v>12.61001092018812</v>
      </c>
      <c r="AE112" s="3541">
        <f t="shared" si="136"/>
        <v>13.366611575399409</v>
      </c>
      <c r="AF112" s="3329"/>
      <c r="AG112" s="3662"/>
      <c r="AH112" s="3329"/>
      <c r="AI112" s="3329"/>
      <c r="AJ112" s="3329"/>
      <c r="AK112" s="3329"/>
      <c r="AL112" s="3329"/>
      <c r="AM112" s="3329"/>
      <c r="AN112" s="3329"/>
      <c r="AO112" s="3329"/>
      <c r="AP112" s="3329"/>
      <c r="AQ112" s="3329"/>
      <c r="AR112" s="3329"/>
      <c r="AS112" s="3329"/>
      <c r="AT112" s="3329"/>
      <c r="AU112" s="3329"/>
      <c r="AV112" s="3329"/>
      <c r="AW112" s="3329"/>
      <c r="AX112" s="3329"/>
      <c r="AY112" s="3329"/>
      <c r="AZ112" s="3329"/>
      <c r="BA112" s="3329"/>
      <c r="BB112" s="3329"/>
      <c r="BC112" s="3329"/>
      <c r="BD112" s="3329"/>
      <c r="BE112" s="3329"/>
      <c r="BF112" s="3329"/>
      <c r="BG112" s="3329"/>
      <c r="BH112" s="3329"/>
      <c r="BI112" s="3329"/>
      <c r="BJ112" s="3329"/>
      <c r="BK112" s="3329"/>
      <c r="BL112" s="3329"/>
      <c r="BM112" s="3329"/>
      <c r="BN112" s="3329"/>
      <c r="BO112" s="3329"/>
      <c r="BP112" s="3329"/>
      <c r="BQ112" s="3329"/>
      <c r="BR112" s="3329"/>
      <c r="BS112" s="3329"/>
      <c r="BT112" s="3329"/>
      <c r="BU112" s="3329"/>
      <c r="BV112" s="3329"/>
      <c r="BW112" s="3329"/>
      <c r="BX112" s="3329"/>
      <c r="BY112" s="3329"/>
      <c r="BZ112" s="3329"/>
      <c r="CA112" s="3329"/>
      <c r="CB112" s="3329"/>
      <c r="CC112" s="3329"/>
      <c r="CD112" s="3329"/>
      <c r="CE112" s="3329"/>
      <c r="CF112" s="3329"/>
      <c r="CG112" s="3329"/>
      <c r="CH112" s="3329"/>
      <c r="CI112" s="3329"/>
      <c r="CJ112" s="3329"/>
      <c r="CK112" s="3329"/>
      <c r="CL112" s="3329"/>
      <c r="CM112" s="3329"/>
      <c r="CN112" s="3329"/>
      <c r="CO112" s="3329"/>
      <c r="CP112" s="3329"/>
      <c r="CQ112" s="3329"/>
      <c r="CR112" s="3329"/>
      <c r="CS112" s="3329"/>
      <c r="CT112" s="3329"/>
      <c r="CU112" s="3329"/>
      <c r="CV112" s="3329"/>
      <c r="CW112" s="3329"/>
      <c r="CX112" s="3329"/>
      <c r="CY112" s="3329"/>
      <c r="CZ112" s="3329"/>
      <c r="DA112" s="3329"/>
      <c r="DB112" s="3329"/>
      <c r="DC112" s="3329"/>
      <c r="DD112" s="3329"/>
      <c r="DE112" s="3329"/>
      <c r="DF112" s="3329"/>
      <c r="DG112" s="3329"/>
      <c r="DH112" s="3329"/>
      <c r="DI112" s="3329"/>
      <c r="DJ112" s="3329"/>
      <c r="DK112" s="3329"/>
      <c r="DL112" s="3329"/>
      <c r="DM112" s="3329"/>
      <c r="DN112" s="3329"/>
      <c r="DO112" s="3329"/>
    </row>
    <row r="113" spans="1:119" s="3330" customFormat="1">
      <c r="A113" s="3323"/>
      <c r="B113" s="3323"/>
      <c r="C113" s="3324"/>
      <c r="D113" s="3325"/>
      <c r="E113" s="3326" t="s">
        <v>275</v>
      </c>
      <c r="F113" s="3327" t="s">
        <v>1510</v>
      </c>
      <c r="G113" s="3328">
        <f t="shared" ref="G113:P113" si="137">+G134/G31*1000</f>
        <v>2.8160572412963658</v>
      </c>
      <c r="H113" s="3328">
        <f t="shared" si="137"/>
        <v>3.7639755217933102</v>
      </c>
      <c r="I113" s="3328">
        <f t="shared" si="137"/>
        <v>4.6318004794178478</v>
      </c>
      <c r="J113" s="3328">
        <f t="shared" si="137"/>
        <v>5.8623951768348785</v>
      </c>
      <c r="K113" s="3328">
        <f t="shared" si="137"/>
        <v>5.710397276662337</v>
      </c>
      <c r="L113" s="3328">
        <f t="shared" si="137"/>
        <v>5.2146138845508467</v>
      </c>
      <c r="M113" s="3328">
        <f t="shared" si="137"/>
        <v>5.4465854232083331</v>
      </c>
      <c r="N113" s="3328">
        <f t="shared" si="137"/>
        <v>5.8332638653923805</v>
      </c>
      <c r="O113" s="3328">
        <f t="shared" si="137"/>
        <v>6.3668201023447253</v>
      </c>
      <c r="P113" s="3540">
        <f t="shared" si="137"/>
        <v>6.5333779214445249</v>
      </c>
      <c r="Q113" s="3540">
        <f t="shared" si="132"/>
        <v>7.2968784591543043</v>
      </c>
      <c r="R113" s="3540">
        <f t="shared" si="132"/>
        <v>9.5845242956308692</v>
      </c>
      <c r="S113" s="3540">
        <f t="shared" si="133"/>
        <v>9.3359793078844096</v>
      </c>
      <c r="T113" s="3540">
        <f t="shared" si="133"/>
        <v>11.346239628869661</v>
      </c>
      <c r="U113" s="3540">
        <f t="shared" si="134"/>
        <v>11.250000000000002</v>
      </c>
      <c r="V113" s="3540">
        <f t="shared" si="134"/>
        <v>10.410946153488155</v>
      </c>
      <c r="W113" s="3540">
        <f t="shared" si="134"/>
        <v>10.776680682193982</v>
      </c>
      <c r="X113" s="3540">
        <f t="shared" si="135"/>
        <v>11.071204441226165</v>
      </c>
      <c r="Y113" s="3540">
        <f t="shared" si="135"/>
        <v>11.509314347020384</v>
      </c>
      <c r="Z113" s="3540">
        <f t="shared" si="135"/>
        <v>11.725969198088158</v>
      </c>
      <c r="AA113" s="3540">
        <f t="shared" ref="AA113" si="138">+AA134/AA31*1000</f>
        <v>11.77497893061148</v>
      </c>
      <c r="AB113" s="3540">
        <f>+AB134/AB31*1000</f>
        <v>12.072886696807782</v>
      </c>
      <c r="AC113" s="3542">
        <f t="shared" si="136"/>
        <v>12.898672146869433</v>
      </c>
      <c r="AD113" s="3542">
        <f t="shared" si="136"/>
        <v>13.703549288834086</v>
      </c>
      <c r="AE113" s="3542">
        <f t="shared" si="136"/>
        <v>14.491009359990183</v>
      </c>
      <c r="AF113" s="3329"/>
      <c r="AG113" s="3662"/>
      <c r="AH113" s="3329"/>
      <c r="AI113" s="3329"/>
      <c r="AJ113" s="3329"/>
      <c r="AK113" s="3329"/>
      <c r="AL113" s="3329"/>
      <c r="AM113" s="3329"/>
      <c r="AN113" s="3329"/>
      <c r="AO113" s="3329"/>
      <c r="AP113" s="3329"/>
      <c r="AQ113" s="3329"/>
      <c r="AR113" s="3329"/>
      <c r="AS113" s="3329"/>
      <c r="AT113" s="3329"/>
      <c r="AU113" s="3329"/>
      <c r="AV113" s="3329"/>
      <c r="AW113" s="3329"/>
      <c r="AX113" s="3329"/>
      <c r="AY113" s="3329"/>
      <c r="AZ113" s="3329"/>
      <c r="BA113" s="3329"/>
      <c r="BB113" s="3329"/>
      <c r="BC113" s="3329"/>
      <c r="BD113" s="3329"/>
      <c r="BE113" s="3329"/>
      <c r="BF113" s="3329"/>
      <c r="BG113" s="3329"/>
      <c r="BH113" s="3329"/>
      <c r="BI113" s="3329"/>
      <c r="BJ113" s="3329"/>
      <c r="BK113" s="3329"/>
      <c r="BL113" s="3329"/>
      <c r="BM113" s="3329"/>
      <c r="BN113" s="3329"/>
      <c r="BO113" s="3329"/>
      <c r="BP113" s="3329"/>
      <c r="BQ113" s="3329"/>
      <c r="BR113" s="3329"/>
      <c r="BS113" s="3329"/>
      <c r="BT113" s="3329"/>
      <c r="BU113" s="3329"/>
      <c r="BV113" s="3329"/>
      <c r="BW113" s="3329"/>
      <c r="BX113" s="3329"/>
      <c r="BY113" s="3329"/>
      <c r="BZ113" s="3329"/>
      <c r="CA113" s="3329"/>
      <c r="CB113" s="3329"/>
      <c r="CC113" s="3329"/>
      <c r="CD113" s="3329"/>
      <c r="CE113" s="3329"/>
      <c r="CF113" s="3329"/>
      <c r="CG113" s="3329"/>
      <c r="CH113" s="3329"/>
      <c r="CI113" s="3329"/>
      <c r="CJ113" s="3329"/>
      <c r="CK113" s="3329"/>
      <c r="CL113" s="3329"/>
      <c r="CM113" s="3329"/>
      <c r="CN113" s="3329"/>
      <c r="CO113" s="3329"/>
      <c r="CP113" s="3329"/>
      <c r="CQ113" s="3329"/>
      <c r="CR113" s="3329"/>
      <c r="CS113" s="3329"/>
      <c r="CT113" s="3329"/>
      <c r="CU113" s="3329"/>
      <c r="CV113" s="3329"/>
      <c r="CW113" s="3329"/>
      <c r="CX113" s="3329"/>
      <c r="CY113" s="3329"/>
      <c r="CZ113" s="3329"/>
      <c r="DA113" s="3329"/>
      <c r="DB113" s="3329"/>
      <c r="DC113" s="3329"/>
      <c r="DD113" s="3329"/>
      <c r="DE113" s="3329"/>
      <c r="DF113" s="3329"/>
      <c r="DG113" s="3329"/>
      <c r="DH113" s="3329"/>
      <c r="DI113" s="3329"/>
      <c r="DJ113" s="3329"/>
      <c r="DK113" s="3329"/>
      <c r="DL113" s="3329"/>
      <c r="DM113" s="3329"/>
      <c r="DN113" s="3329"/>
      <c r="DO113" s="3329"/>
    </row>
    <row r="114" spans="1:119">
      <c r="C114" s="671"/>
      <c r="D114" s="746"/>
      <c r="E114" s="750" t="s">
        <v>590</v>
      </c>
      <c r="F114" s="895" t="s">
        <v>1511</v>
      </c>
      <c r="G114" s="922" t="e">
        <f t="shared" ref="G114:P114" si="139">+G135/G32*1000</f>
        <v>#VALUE!</v>
      </c>
      <c r="H114" s="922" t="e">
        <f t="shared" si="139"/>
        <v>#VALUE!</v>
      </c>
      <c r="I114" s="922" t="e">
        <f t="shared" si="139"/>
        <v>#VALUE!</v>
      </c>
      <c r="J114" s="922" t="e">
        <f t="shared" si="139"/>
        <v>#VALUE!</v>
      </c>
      <c r="K114" s="922" t="e">
        <f t="shared" si="139"/>
        <v>#VALUE!</v>
      </c>
      <c r="L114" s="922">
        <f t="shared" si="139"/>
        <v>3.6431860425317883</v>
      </c>
      <c r="M114" s="922">
        <f t="shared" si="139"/>
        <v>3.9215069366833109</v>
      </c>
      <c r="N114" s="922">
        <f t="shared" si="139"/>
        <v>4.1634585866878364</v>
      </c>
      <c r="O114" s="922">
        <f t="shared" si="139"/>
        <v>4.5631655375274729</v>
      </c>
      <c r="P114" s="3543">
        <f t="shared" si="139"/>
        <v>5.086342674466553</v>
      </c>
      <c r="Q114" s="3543">
        <f t="shared" si="132"/>
        <v>5.7527435572166841</v>
      </c>
      <c r="R114" s="3543">
        <f t="shared" si="132"/>
        <v>6.9314017895185351</v>
      </c>
      <c r="S114" s="3543">
        <f t="shared" si="133"/>
        <v>7.8336008300504183</v>
      </c>
      <c r="T114" s="3543">
        <f t="shared" si="133"/>
        <v>8.8819732778673099</v>
      </c>
      <c r="U114" s="3543">
        <f t="shared" si="133"/>
        <v>8.0432887730532556</v>
      </c>
      <c r="V114" s="3543">
        <f>+V135/V32*1000</f>
        <v>8.146128091586565</v>
      </c>
      <c r="W114" s="3543">
        <f>+W135/W32*1000</f>
        <v>8.6530648689673662</v>
      </c>
      <c r="X114" s="3543">
        <f t="shared" si="135"/>
        <v>9.0467329282381872</v>
      </c>
      <c r="Y114" s="3543">
        <f t="shared" si="135"/>
        <v>9.5060103536018232</v>
      </c>
      <c r="Z114" s="3543">
        <f t="shared" si="135"/>
        <v>9.9440501476454415</v>
      </c>
      <c r="AA114" s="3543">
        <f t="shared" ref="AA114:AB114" si="140">+AA135/AA32*1000</f>
        <v>10.511528608027326</v>
      </c>
      <c r="AB114" s="3543">
        <f t="shared" si="140"/>
        <v>11.136344590631023</v>
      </c>
      <c r="AC114" s="2969">
        <f>+AC135/AC32*1000</f>
        <v>12.051892360992223</v>
      </c>
      <c r="AD114" s="2969">
        <f>+AD135/AD32*1000</f>
        <v>12.806406894744772</v>
      </c>
      <c r="AE114" s="2969">
        <f>+AE135/AE32*1000</f>
        <v>13.568566403468553</v>
      </c>
      <c r="AF114" s="3700"/>
      <c r="AG114" s="3344"/>
    </row>
    <row r="115" spans="1:119">
      <c r="C115" s="672"/>
      <c r="D115" s="676"/>
      <c r="E115" s="711" t="s">
        <v>589</v>
      </c>
      <c r="F115" s="899" t="s">
        <v>1512</v>
      </c>
      <c r="G115" s="923" t="e">
        <f t="shared" ref="G115:P115" si="141">+G136/G35*1000</f>
        <v>#VALUE!</v>
      </c>
      <c r="H115" s="923" t="e">
        <f t="shared" si="141"/>
        <v>#VALUE!</v>
      </c>
      <c r="I115" s="923" t="e">
        <f t="shared" si="141"/>
        <v>#VALUE!</v>
      </c>
      <c r="J115" s="923" t="e">
        <f t="shared" si="141"/>
        <v>#VALUE!</v>
      </c>
      <c r="K115" s="923" t="e">
        <f t="shared" si="141"/>
        <v>#VALUE!</v>
      </c>
      <c r="L115" s="923">
        <f t="shared" si="141"/>
        <v>3.6437634722122136</v>
      </c>
      <c r="M115" s="923">
        <f t="shared" si="141"/>
        <v>5.1272675840498323</v>
      </c>
      <c r="N115" s="923">
        <f t="shared" si="141"/>
        <v>3.5192494474940781</v>
      </c>
      <c r="O115" s="923">
        <f t="shared" si="141"/>
        <v>2.3961950872395574</v>
      </c>
      <c r="P115" s="3544">
        <f t="shared" si="141"/>
        <v>9.4900582176171948</v>
      </c>
      <c r="Q115" s="3544">
        <f t="shared" ref="Q115:Y115" si="142">+Q136/Q35*1000</f>
        <v>10.93540810334706</v>
      </c>
      <c r="R115" s="3544">
        <f t="shared" si="142"/>
        <v>13.562082777035943</v>
      </c>
      <c r="S115" s="3544">
        <f t="shared" si="142"/>
        <v>17.551648351648538</v>
      </c>
      <c r="T115" s="3544">
        <f t="shared" si="142"/>
        <v>36.866894197951339</v>
      </c>
      <c r="U115" s="3544">
        <f t="shared" si="142"/>
        <v>20.900552486188246</v>
      </c>
      <c r="V115" s="3544">
        <f t="shared" si="142"/>
        <v>182.77777777777715</v>
      </c>
      <c r="W115" s="3544">
        <f t="shared" si="142"/>
        <v>165.33333333335599</v>
      </c>
      <c r="X115" s="3544">
        <f t="shared" si="142"/>
        <v>33.836363636366059</v>
      </c>
      <c r="Y115" s="3544">
        <f t="shared" si="142"/>
        <v>41.882812500001542</v>
      </c>
      <c r="Z115" s="3544">
        <f>+Z136/Z35*1000</f>
        <v>0.75167785235033657</v>
      </c>
      <c r="AA115" s="3544">
        <f>+AA136/AA35*1000</f>
        <v>15.489361702126189</v>
      </c>
      <c r="AB115" s="3544">
        <f>+AB136/AB35*1000</f>
        <v>-34.722222222227487</v>
      </c>
      <c r="AC115" s="2970">
        <f>+AB115*(1+AC122/100)</f>
        <v>-37.576826161503149</v>
      </c>
      <c r="AD115" s="2970">
        <f>+AC115*(1+AD122/100)</f>
        <v>-39.929341486226221</v>
      </c>
      <c r="AE115" s="2970">
        <f>+AD115*(1+AE122/100)</f>
        <v>-42.305693224924653</v>
      </c>
      <c r="AG115" s="3344"/>
    </row>
    <row r="116" spans="1:119" s="220" customFormat="1">
      <c r="A116" s="903"/>
      <c r="B116" s="903"/>
      <c r="C116" s="674"/>
      <c r="D116" s="746"/>
      <c r="E116" s="750" t="s">
        <v>1508</v>
      </c>
      <c r="F116" s="895" t="s">
        <v>1513</v>
      </c>
      <c r="G116" s="922" t="e">
        <f>+G137/G79*1000</f>
        <v>#VALUE!</v>
      </c>
      <c r="H116" s="922" t="e">
        <f>+H137/H79*1000</f>
        <v>#VALUE!</v>
      </c>
      <c r="I116" s="922" t="e">
        <f>+I137/I79*1000</f>
        <v>#VALUE!</v>
      </c>
      <c r="J116" s="922" t="e">
        <f t="shared" ref="J116:P116" si="143">+J137/J79*1000</f>
        <v>#VALUE!</v>
      </c>
      <c r="K116" s="922" t="e">
        <f t="shared" si="143"/>
        <v>#VALUE!</v>
      </c>
      <c r="L116" s="922">
        <f t="shared" si="143"/>
        <v>3.6431878658861101</v>
      </c>
      <c r="M116" s="922">
        <f t="shared" si="143"/>
        <v>3.9335830280998412</v>
      </c>
      <c r="N116" s="922">
        <f t="shared" si="143"/>
        <v>4.1541854903002919</v>
      </c>
      <c r="O116" s="922">
        <f t="shared" si="143"/>
        <v>4.5306269726030983</v>
      </c>
      <c r="P116" s="3543">
        <f t="shared" si="143"/>
        <v>5.1440544517394775</v>
      </c>
      <c r="Q116" s="3543">
        <f t="shared" ref="Q116:W116" si="144">+Q137/Q79*1000</f>
        <v>5.8268126888217529</v>
      </c>
      <c r="R116" s="3543">
        <f t="shared" si="144"/>
        <v>7.0149771136241243</v>
      </c>
      <c r="S116" s="3543">
        <f t="shared" si="144"/>
        <v>7.9047603720750583</v>
      </c>
      <c r="T116" s="3543">
        <f t="shared" si="144"/>
        <v>8.9469173742237977</v>
      </c>
      <c r="U116" s="2246">
        <f t="shared" si="144"/>
        <v>8.0633412032329765</v>
      </c>
      <c r="V116" s="2246">
        <f t="shared" si="144"/>
        <v>8.3015907272024254</v>
      </c>
      <c r="W116" s="2246">
        <f t="shared" si="144"/>
        <v>8.7788731766070391</v>
      </c>
      <c r="X116" s="2246">
        <f t="shared" ref="X116:AC116" si="145">+X137/X79*1000</f>
        <v>9.0707583326725327</v>
      </c>
      <c r="Y116" s="2246">
        <f t="shared" si="145"/>
        <v>9.5423320303598658</v>
      </c>
      <c r="Z116" s="2246">
        <f t="shared" si="145"/>
        <v>9.9322393439512968</v>
      </c>
      <c r="AA116" s="2246">
        <f t="shared" si="145"/>
        <v>10.515521272420088</v>
      </c>
      <c r="AB116" s="2246">
        <f t="shared" si="145"/>
        <v>11.101783620834032</v>
      </c>
      <c r="AC116" s="2246">
        <f t="shared" si="145"/>
        <v>12.035632087717717</v>
      </c>
      <c r="AD116" s="2246">
        <f>+AD137/AD79*1000</f>
        <v>12.78912761480386</v>
      </c>
      <c r="AE116" s="2246">
        <f>+AE137/AE79*1000</f>
        <v>13.550276172356504</v>
      </c>
      <c r="AF116"/>
      <c r="AG116" s="3344"/>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row>
    <row r="117" spans="1:119" s="220" customFormat="1">
      <c r="A117" s="903"/>
      <c r="B117" s="903"/>
      <c r="C117" s="674"/>
      <c r="D117" s="674"/>
      <c r="F117" s="710"/>
      <c r="P117" s="3545"/>
      <c r="Q117" s="3545"/>
      <c r="R117" s="3545"/>
      <c r="S117" s="3545"/>
      <c r="T117" s="2971"/>
      <c r="U117" s="2971"/>
      <c r="V117" s="2971"/>
      <c r="W117" s="2971">
        <f t="shared" ref="W117:Z117" si="146">W144/W113</f>
        <v>0.40166147911095529</v>
      </c>
      <c r="X117" s="2971">
        <f t="shared" si="146"/>
        <v>0.41345164384756256</v>
      </c>
      <c r="Y117" s="2971">
        <f t="shared" si="146"/>
        <v>0.41453751959662721</v>
      </c>
      <c r="Z117" s="2971">
        <f t="shared" si="146"/>
        <v>0.42545701581027667</v>
      </c>
      <c r="AA117" s="2971">
        <f>AA144/AA113</f>
        <v>0.43357986401049742</v>
      </c>
      <c r="AB117" s="2971">
        <f>AB144/AB113</f>
        <v>0.43832274171584223</v>
      </c>
      <c r="AC117" s="2971">
        <f t="shared" ref="AC117:AE117" si="147">AC144/AC113</f>
        <v>0.44308176811410488</v>
      </c>
      <c r="AD117" s="2971">
        <f t="shared" si="147"/>
        <v>0.44124229116450592</v>
      </c>
      <c r="AE117" s="2971">
        <f t="shared" si="147"/>
        <v>0.44082502654648792</v>
      </c>
      <c r="AF117"/>
      <c r="AG117" s="3344"/>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row>
    <row r="118" spans="1:119">
      <c r="D118" s="929"/>
      <c r="E118" s="3212" t="s">
        <v>2130</v>
      </c>
      <c r="F118" s="931"/>
      <c r="G118" s="896">
        <f>+InputY!$G$3</f>
        <v>1995</v>
      </c>
      <c r="H118" s="896">
        <f>+G118+1</f>
        <v>1996</v>
      </c>
      <c r="I118" s="896">
        <f>+H118+1</f>
        <v>1997</v>
      </c>
      <c r="J118" s="896">
        <f t="shared" ref="J118:P118" si="148">+I118+1</f>
        <v>1998</v>
      </c>
      <c r="K118" s="896">
        <f t="shared" si="148"/>
        <v>1999</v>
      </c>
      <c r="L118" s="896">
        <f t="shared" si="148"/>
        <v>2000</v>
      </c>
      <c r="M118" s="896">
        <f t="shared" si="148"/>
        <v>2001</v>
      </c>
      <c r="N118" s="896">
        <f t="shared" si="148"/>
        <v>2002</v>
      </c>
      <c r="O118" s="896">
        <f t="shared" si="148"/>
        <v>2003</v>
      </c>
      <c r="P118" s="3495">
        <f t="shared" si="148"/>
        <v>2004</v>
      </c>
      <c r="Q118" s="3546">
        <f t="shared" ref="Q118:W118" si="149">+P118+1</f>
        <v>2005</v>
      </c>
      <c r="R118" s="3495">
        <f t="shared" si="149"/>
        <v>2006</v>
      </c>
      <c r="S118" s="3495">
        <f t="shared" si="149"/>
        <v>2007</v>
      </c>
      <c r="T118" s="2936">
        <f t="shared" si="149"/>
        <v>2008</v>
      </c>
      <c r="U118" s="2936">
        <f t="shared" si="149"/>
        <v>2009</v>
      </c>
      <c r="V118" s="2936">
        <f t="shared" si="149"/>
        <v>2010</v>
      </c>
      <c r="W118" s="2936">
        <f t="shared" si="149"/>
        <v>2011</v>
      </c>
      <c r="X118" s="2936">
        <f t="shared" ref="X118:AE118" si="150">+W118+1</f>
        <v>2012</v>
      </c>
      <c r="Y118" s="2936">
        <f t="shared" si="150"/>
        <v>2013</v>
      </c>
      <c r="Z118" s="2936">
        <f t="shared" si="150"/>
        <v>2014</v>
      </c>
      <c r="AA118" s="2936">
        <f t="shared" si="150"/>
        <v>2015</v>
      </c>
      <c r="AB118" s="2936">
        <f t="shared" si="150"/>
        <v>2016</v>
      </c>
      <c r="AC118" s="2936">
        <f t="shared" si="150"/>
        <v>2017</v>
      </c>
      <c r="AD118" s="2936">
        <f t="shared" si="150"/>
        <v>2018</v>
      </c>
      <c r="AE118" s="2936">
        <f t="shared" si="150"/>
        <v>2019</v>
      </c>
      <c r="AG118" s="3344"/>
    </row>
    <row r="119" spans="1:119">
      <c r="C119" s="762"/>
      <c r="D119" s="689"/>
      <c r="E119" s="732" t="s">
        <v>274</v>
      </c>
      <c r="F119" s="763" t="s">
        <v>1509</v>
      </c>
      <c r="G119" s="1688"/>
      <c r="H119" s="1689" t="e">
        <f t="shared" ref="H119:I123" si="151">(H112/G112-1)*100</f>
        <v>#VALUE!</v>
      </c>
      <c r="I119" s="1689" t="e">
        <f t="shared" si="151"/>
        <v>#VALUE!</v>
      </c>
      <c r="J119" s="1689" t="e">
        <f t="shared" ref="J119:P119" si="152">(J112/I112-1)*100</f>
        <v>#VALUE!</v>
      </c>
      <c r="K119" s="1689" t="e">
        <f t="shared" si="152"/>
        <v>#VALUE!</v>
      </c>
      <c r="L119" s="1689" t="e">
        <f t="shared" si="152"/>
        <v>#VALUE!</v>
      </c>
      <c r="M119" s="1689">
        <f t="shared" si="152"/>
        <v>8.6755704191397101</v>
      </c>
      <c r="N119" s="1689">
        <f t="shared" si="152"/>
        <v>6.8104887154388116</v>
      </c>
      <c r="O119" s="1689">
        <f t="shared" si="152"/>
        <v>10.74889420866112</v>
      </c>
      <c r="P119" s="3547">
        <f t="shared" si="152"/>
        <v>14.316131925152774</v>
      </c>
      <c r="Q119" s="3548">
        <f t="shared" ref="Q119:T123" si="153">(Q112/P112-1)*100</f>
        <v>13.854529300596896</v>
      </c>
      <c r="R119" s="3547">
        <f t="shared" si="153"/>
        <v>18.839405183533685</v>
      </c>
      <c r="S119" s="3547">
        <f t="shared" si="153"/>
        <v>17.191022208847674</v>
      </c>
      <c r="T119" s="3547">
        <f t="shared" si="153"/>
        <v>11.31483931929016</v>
      </c>
      <c r="U119" s="3547">
        <f t="shared" ref="U119:AB121" si="154">(U112/T112-1)*100</f>
        <v>-12.72600526625517</v>
      </c>
      <c r="V119" s="3547">
        <f t="shared" ref="V119:AB119" si="155">(V112/U112-1)*100</f>
        <v>4.3522377054266537</v>
      </c>
      <c r="W119" s="3547">
        <f t="shared" si="155"/>
        <v>7.3001309551448124</v>
      </c>
      <c r="X119" s="3547">
        <f t="shared" si="155"/>
        <v>5.3448878804743361</v>
      </c>
      <c r="Y119" s="3547">
        <f t="shared" si="155"/>
        <v>5.4952510435584356</v>
      </c>
      <c r="Z119" s="3547">
        <f t="shared" si="155"/>
        <v>5.3987729759134462</v>
      </c>
      <c r="AA119" s="3547">
        <f t="shared" si="155"/>
        <v>7.0502073006864396</v>
      </c>
      <c r="AB119" s="3547">
        <f t="shared" si="155"/>
        <v>6.8055624194951925</v>
      </c>
      <c r="AC119" s="2937">
        <v>8.6</v>
      </c>
      <c r="AD119" s="2937">
        <v>6.274660829016895</v>
      </c>
      <c r="AE119" s="2937">
        <v>6</v>
      </c>
      <c r="AF119" s="3655" t="s">
        <v>2590</v>
      </c>
      <c r="AG119" s="3344"/>
    </row>
    <row r="120" spans="1:119">
      <c r="C120" s="932"/>
      <c r="D120" s="674"/>
      <c r="E120" s="220" t="s">
        <v>275</v>
      </c>
      <c r="F120" s="710" t="s">
        <v>1510</v>
      </c>
      <c r="G120" s="1559"/>
      <c r="H120" s="1044">
        <f t="shared" si="151"/>
        <v>33.661186519794327</v>
      </c>
      <c r="I120" s="1044">
        <f t="shared" si="151"/>
        <v>23.05607336179143</v>
      </c>
      <c r="J120" s="1044">
        <f t="shared" ref="J120:P123" si="156">(J113/I113-1)*100</f>
        <v>26.568387452900378</v>
      </c>
      <c r="K120" s="1044">
        <f t="shared" si="156"/>
        <v>-2.5927610744010843</v>
      </c>
      <c r="L120" s="1044">
        <f t="shared" si="156"/>
        <v>-8.6821173395009392</v>
      </c>
      <c r="M120" s="1044">
        <f t="shared" si="156"/>
        <v>4.448489261012023</v>
      </c>
      <c r="N120" s="1044">
        <f t="shared" si="156"/>
        <v>7.099465300523522</v>
      </c>
      <c r="O120" s="1044">
        <f t="shared" si="156"/>
        <v>9.1467872749221968</v>
      </c>
      <c r="P120" s="3508">
        <f t="shared" si="156"/>
        <v>2.6160283535961781</v>
      </c>
      <c r="Q120" s="3508">
        <f t="shared" si="153"/>
        <v>11.686152965432161</v>
      </c>
      <c r="R120" s="3508">
        <f t="shared" si="153"/>
        <v>31.351020155839326</v>
      </c>
      <c r="S120" s="3508">
        <f t="shared" si="153"/>
        <v>-2.5931906485933687</v>
      </c>
      <c r="T120" s="3508">
        <f t="shared" si="153"/>
        <v>21.532399062705167</v>
      </c>
      <c r="U120" s="3508">
        <f t="shared" si="154"/>
        <v>-0.84820726529328816</v>
      </c>
      <c r="V120" s="3508">
        <f t="shared" si="154"/>
        <v>-7.4582564134386349</v>
      </c>
      <c r="W120" s="3508">
        <f t="shared" si="154"/>
        <v>3.5129806966035293</v>
      </c>
      <c r="X120" s="3508">
        <f t="shared" si="154"/>
        <v>2.7329728672281783</v>
      </c>
      <c r="Y120" s="3508">
        <f t="shared" si="154"/>
        <v>3.9572018394206099</v>
      </c>
      <c r="Z120" s="3508">
        <f t="shared" si="154"/>
        <v>1.8824305648047934</v>
      </c>
      <c r="AA120" s="3508">
        <f t="shared" si="154"/>
        <v>0.41795890553177895</v>
      </c>
      <c r="AB120" s="3508">
        <f t="shared" si="154"/>
        <v>2.530006787713468</v>
      </c>
      <c r="AC120" s="3518">
        <v>6.84</v>
      </c>
      <c r="AD120" s="3518">
        <v>6.24</v>
      </c>
      <c r="AE120" s="3518">
        <v>5.7463950000000006</v>
      </c>
      <c r="AF120" s="3655" t="s">
        <v>2590</v>
      </c>
      <c r="AG120" s="3660"/>
    </row>
    <row r="121" spans="1:119">
      <c r="C121" s="932"/>
      <c r="D121" s="717"/>
      <c r="E121" s="718" t="s">
        <v>590</v>
      </c>
      <c r="F121" s="924" t="s">
        <v>1511</v>
      </c>
      <c r="G121" s="925"/>
      <c r="H121" s="925" t="e">
        <f t="shared" si="151"/>
        <v>#VALUE!</v>
      </c>
      <c r="I121" s="925" t="e">
        <f t="shared" si="151"/>
        <v>#VALUE!</v>
      </c>
      <c r="J121" s="925" t="e">
        <f t="shared" si="156"/>
        <v>#VALUE!</v>
      </c>
      <c r="K121" s="925" t="e">
        <f t="shared" si="156"/>
        <v>#VALUE!</v>
      </c>
      <c r="L121" s="925" t="e">
        <f t="shared" si="156"/>
        <v>#VALUE!</v>
      </c>
      <c r="M121" s="925">
        <f t="shared" si="156"/>
        <v>7.6394916675215141</v>
      </c>
      <c r="N121" s="925">
        <f t="shared" si="156"/>
        <v>6.1698641341473959</v>
      </c>
      <c r="O121" s="925">
        <f t="shared" si="156"/>
        <v>9.600358512455287</v>
      </c>
      <c r="P121" s="3549">
        <f t="shared" si="156"/>
        <v>11.46522370570322</v>
      </c>
      <c r="Q121" s="3549">
        <f t="shared" si="153"/>
        <v>13.10176929477176</v>
      </c>
      <c r="R121" s="3549">
        <f t="shared" si="153"/>
        <v>20.488628088127637</v>
      </c>
      <c r="S121" s="3549">
        <f t="shared" si="153"/>
        <v>13.016112294863103</v>
      </c>
      <c r="T121" s="2972">
        <f>(T114/S114-1)*100</f>
        <v>13.383021046914179</v>
      </c>
      <c r="U121" s="2972">
        <f t="shared" si="154"/>
        <v>-9.4425470396757856</v>
      </c>
      <c r="V121" s="2972">
        <f t="shared" si="154"/>
        <v>1.2785729996148243</v>
      </c>
      <c r="W121" s="2972">
        <f t="shared" ref="W121:AE121" si="157">(W114/V114-1)*100</f>
        <v>6.2230396045990455</v>
      </c>
      <c r="X121" s="2972">
        <f t="shared" si="157"/>
        <v>4.5494638631756956</v>
      </c>
      <c r="Y121" s="2972">
        <f t="shared" si="157"/>
        <v>5.0767213866794059</v>
      </c>
      <c r="Z121" s="2972">
        <f t="shared" si="157"/>
        <v>4.6080298437466416</v>
      </c>
      <c r="AA121" s="2972">
        <f t="shared" si="157"/>
        <v>5.7067135820534132</v>
      </c>
      <c r="AB121" s="2972">
        <f t="shared" si="157"/>
        <v>5.9441020036471448</v>
      </c>
      <c r="AC121" s="2972">
        <f t="shared" si="157"/>
        <v>8.2212593451126637</v>
      </c>
      <c r="AD121" s="2972">
        <f t="shared" si="157"/>
        <v>6.2605482288793812</v>
      </c>
      <c r="AE121" s="2972">
        <f t="shared" si="157"/>
        <v>5.9513922600455738</v>
      </c>
      <c r="AG121" s="3344"/>
    </row>
    <row r="122" spans="1:119">
      <c r="C122" s="690"/>
      <c r="D122" s="691"/>
      <c r="E122" s="735" t="s">
        <v>589</v>
      </c>
      <c r="F122" s="933" t="s">
        <v>1512</v>
      </c>
      <c r="G122" s="934"/>
      <c r="H122" s="934" t="e">
        <f t="shared" si="151"/>
        <v>#VALUE!</v>
      </c>
      <c r="I122" s="934" t="e">
        <f t="shared" si="151"/>
        <v>#VALUE!</v>
      </c>
      <c r="J122" s="934" t="e">
        <f t="shared" si="156"/>
        <v>#VALUE!</v>
      </c>
      <c r="K122" s="934" t="e">
        <f t="shared" si="156"/>
        <v>#VALUE!</v>
      </c>
      <c r="L122" s="934" t="e">
        <f t="shared" si="156"/>
        <v>#VALUE!</v>
      </c>
      <c r="M122" s="934">
        <f t="shared" si="156"/>
        <v>40.713512914628033</v>
      </c>
      <c r="N122" s="934">
        <f t="shared" si="156"/>
        <v>-31.362087314460819</v>
      </c>
      <c r="O122" s="934">
        <f t="shared" si="156"/>
        <v>-31.911757805466291</v>
      </c>
      <c r="P122" s="3550">
        <f t="shared" si="156"/>
        <v>296.04697748336696</v>
      </c>
      <c r="Q122" s="3550">
        <f t="shared" si="153"/>
        <v>15.230147724981702</v>
      </c>
      <c r="R122" s="3550">
        <f t="shared" si="153"/>
        <v>24.019905328315303</v>
      </c>
      <c r="S122" s="3550">
        <f>(S115/R115-1)*100</f>
        <v>29.417056658642025</v>
      </c>
      <c r="T122" s="3550">
        <f>(T115/S115-1)*100</f>
        <v>110.04804482929727</v>
      </c>
      <c r="U122" s="3550">
        <f t="shared" ref="U122:AB122" si="158">(U115/T115-1)*100</f>
        <v>-43.308073704376014</v>
      </c>
      <c r="V122" s="3550">
        <f t="shared" si="158"/>
        <v>774.51170440859175</v>
      </c>
      <c r="W122" s="3550">
        <f t="shared" si="158"/>
        <v>-9.5440729483155522</v>
      </c>
      <c r="X122" s="3550">
        <f t="shared" si="158"/>
        <v>-79.534457478007198</v>
      </c>
      <c r="Y122" s="3550">
        <f t="shared" si="158"/>
        <v>23.780477565820512</v>
      </c>
      <c r="Z122" s="3550">
        <f t="shared" si="158"/>
        <v>-98.205283247512781</v>
      </c>
      <c r="AA122" s="3550">
        <f t="shared" si="158"/>
        <v>1960.6382978684626</v>
      </c>
      <c r="AB122" s="3550">
        <f t="shared" si="158"/>
        <v>-324.16819291824817</v>
      </c>
      <c r="AC122" s="2973">
        <f>AC121</f>
        <v>8.2212593451126637</v>
      </c>
      <c r="AD122" s="2973">
        <f>AD121</f>
        <v>6.2605482288793812</v>
      </c>
      <c r="AE122" s="2973">
        <f>AE121</f>
        <v>5.9513922600455738</v>
      </c>
    </row>
    <row r="123" spans="1:119" s="220" customFormat="1">
      <c r="A123" s="903"/>
      <c r="B123" s="903"/>
      <c r="C123" s="674"/>
      <c r="D123" s="717"/>
      <c r="E123" s="718" t="s">
        <v>1508</v>
      </c>
      <c r="F123" s="924" t="s">
        <v>1513</v>
      </c>
      <c r="G123" s="925"/>
      <c r="H123" s="925" t="e">
        <f t="shared" si="151"/>
        <v>#VALUE!</v>
      </c>
      <c r="I123" s="925" t="e">
        <f t="shared" si="151"/>
        <v>#VALUE!</v>
      </c>
      <c r="J123" s="925" t="e">
        <f t="shared" si="156"/>
        <v>#VALUE!</v>
      </c>
      <c r="K123" s="925" t="e">
        <f t="shared" si="156"/>
        <v>#VALUE!</v>
      </c>
      <c r="L123" s="925" t="e">
        <f t="shared" si="156"/>
        <v>#VALUE!</v>
      </c>
      <c r="M123" s="925">
        <f t="shared" si="156"/>
        <v>7.9709082513399254</v>
      </c>
      <c r="N123" s="925">
        <f t="shared" si="156"/>
        <v>5.6081811576001117</v>
      </c>
      <c r="O123" s="925">
        <f t="shared" si="156"/>
        <v>9.0617398568689111</v>
      </c>
      <c r="P123" s="3549">
        <f t="shared" si="156"/>
        <v>13.539571517271277</v>
      </c>
      <c r="Q123" s="3549">
        <f t="shared" si="153"/>
        <v>13.272764576809614</v>
      </c>
      <c r="R123" s="3549">
        <f t="shared" si="153"/>
        <v>20.391326927013885</v>
      </c>
      <c r="S123" s="3549">
        <f t="shared" si="153"/>
        <v>12.684050767932554</v>
      </c>
      <c r="T123" s="2972">
        <f t="shared" ref="T123:AE123" si="159">(T116/S116-1)*100</f>
        <v>13.18391643888841</v>
      </c>
      <c r="U123" s="2972">
        <f t="shared" si="159"/>
        <v>-9.8757609356762028</v>
      </c>
      <c r="V123" s="2972">
        <f t="shared" si="159"/>
        <v>2.9547245734054206</v>
      </c>
      <c r="W123" s="2972">
        <f t="shared" si="159"/>
        <v>5.7492890831231547</v>
      </c>
      <c r="X123" s="2972">
        <f t="shared" si="159"/>
        <v>3.3248590131507605</v>
      </c>
      <c r="Y123" s="2972">
        <f t="shared" si="159"/>
        <v>5.1988343244549151</v>
      </c>
      <c r="Z123" s="2972">
        <f t="shared" si="159"/>
        <v>4.0860799262790515</v>
      </c>
      <c r="AA123" s="2972">
        <f t="shared" si="159"/>
        <v>5.8726124922070966</v>
      </c>
      <c r="AB123" s="2972">
        <f t="shared" si="159"/>
        <v>5.5752095709376004</v>
      </c>
      <c r="AC123" s="2972">
        <f t="shared" si="159"/>
        <v>8.4116976044388956</v>
      </c>
      <c r="AD123" s="2972">
        <f t="shared" si="159"/>
        <v>6.2605397173537636</v>
      </c>
      <c r="AE123" s="2972">
        <f t="shared" si="159"/>
        <v>5.9515283643865491</v>
      </c>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row>
    <row r="124" spans="1:119" s="220" customFormat="1">
      <c r="A124" s="903"/>
      <c r="B124" s="903"/>
      <c r="C124" s="674"/>
      <c r="D124" s="674"/>
      <c r="F124" s="710"/>
      <c r="P124" s="3545"/>
      <c r="Q124" s="3545"/>
      <c r="R124" s="3545"/>
      <c r="S124" s="3545"/>
      <c r="T124" s="2971"/>
      <c r="U124" s="2971"/>
      <c r="V124" s="2971"/>
      <c r="W124" s="2971"/>
      <c r="X124" s="2971"/>
      <c r="Y124" s="2971"/>
      <c r="Z124" s="2971"/>
      <c r="AA124" s="2971"/>
      <c r="AB124" s="2971"/>
      <c r="AC124" s="2971"/>
      <c r="AD124" s="2971"/>
      <c r="AE124" s="2971"/>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row>
    <row r="125" spans="1:119" s="352" customFormat="1">
      <c r="A125" s="903"/>
      <c r="B125" s="903"/>
      <c r="C125" s="903"/>
      <c r="D125" s="1936"/>
      <c r="E125" s="1937" t="s">
        <v>1565</v>
      </c>
      <c r="F125" s="1938"/>
      <c r="G125" s="1939"/>
      <c r="H125" s="1940" t="str">
        <f>CONCATENATE(G118,"-",H118)</f>
        <v>1995-1996</v>
      </c>
      <c r="I125" s="1940" t="str">
        <f>CONCATENATE(H118,"-",I118)</f>
        <v>1996-1997</v>
      </c>
      <c r="J125" s="1940" t="str">
        <f>CONCATENATE(I118,"-",J118)</f>
        <v>1997-1998</v>
      </c>
      <c r="K125" s="1940" t="str">
        <f t="shared" ref="K125:AE125" si="160">CONCATENATE(J118,"-",K118)</f>
        <v>1998-1999</v>
      </c>
      <c r="L125" s="1940" t="str">
        <f t="shared" si="160"/>
        <v>1999-2000</v>
      </c>
      <c r="M125" s="1940" t="str">
        <f t="shared" si="160"/>
        <v>2000-2001</v>
      </c>
      <c r="N125" s="1940" t="str">
        <f t="shared" si="160"/>
        <v>2001-2002</v>
      </c>
      <c r="O125" s="1940" t="str">
        <f t="shared" si="160"/>
        <v>2002-2003</v>
      </c>
      <c r="P125" s="1940" t="str">
        <f t="shared" si="160"/>
        <v>2003-2004</v>
      </c>
      <c r="Q125" s="1940" t="str">
        <f>CONCATENATE(P118,"-",Q118)</f>
        <v>2004-2005</v>
      </c>
      <c r="R125" s="1940" t="str">
        <f>CONCATENATE(Q118,"-",R118)</f>
        <v>2005-2006</v>
      </c>
      <c r="S125" s="1940" t="str">
        <f>CONCATENATE(R118,"-",S118)</f>
        <v>2006-2007</v>
      </c>
      <c r="T125" s="3050" t="str">
        <f t="shared" si="160"/>
        <v>2007-2008</v>
      </c>
      <c r="U125" s="3050" t="str">
        <f t="shared" si="160"/>
        <v>2008-2009</v>
      </c>
      <c r="V125" s="3050" t="str">
        <f t="shared" si="160"/>
        <v>2009-2010</v>
      </c>
      <c r="W125" s="3050" t="str">
        <f t="shared" si="160"/>
        <v>2010-2011</v>
      </c>
      <c r="X125" s="3050" t="str">
        <f t="shared" si="160"/>
        <v>2011-2012</v>
      </c>
      <c r="Y125" s="3050" t="str">
        <f t="shared" si="160"/>
        <v>2012-2013</v>
      </c>
      <c r="Z125" s="3050" t="str">
        <f t="shared" si="160"/>
        <v>2013-2014</v>
      </c>
      <c r="AA125" s="3050" t="str">
        <f t="shared" si="160"/>
        <v>2014-2015</v>
      </c>
      <c r="AB125" s="3050" t="str">
        <f t="shared" si="160"/>
        <v>2015-2016</v>
      </c>
      <c r="AC125" s="3050" t="str">
        <f t="shared" si="160"/>
        <v>2016-2017</v>
      </c>
      <c r="AD125" s="3050" t="str">
        <f t="shared" si="160"/>
        <v>2017-2018</v>
      </c>
      <c r="AE125" s="3050" t="str">
        <f t="shared" si="160"/>
        <v>2018-2019</v>
      </c>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row>
    <row r="126" spans="1:119" s="220" customFormat="1">
      <c r="A126" s="903"/>
      <c r="B126" s="903"/>
      <c r="C126" s="1928"/>
      <c r="D126" s="823"/>
      <c r="E126" s="218" t="s">
        <v>275</v>
      </c>
      <c r="F126" s="1929"/>
      <c r="G126" s="218"/>
      <c r="H126" s="1930">
        <f>AVERAGE(G113:H113)</f>
        <v>3.290016381544838</v>
      </c>
      <c r="I126" s="1930">
        <f>AVERAGE(H113:I113)</f>
        <v>4.1978880006055785</v>
      </c>
      <c r="J126" s="1930">
        <f t="shared" ref="J126:AE126" si="161">AVERAGE(I113:J113)</f>
        <v>5.2470978281263632</v>
      </c>
      <c r="K126" s="1930">
        <f t="shared" si="161"/>
        <v>5.7863962267486073</v>
      </c>
      <c r="L126" s="1930">
        <f t="shared" si="161"/>
        <v>5.4625055806065923</v>
      </c>
      <c r="M126" s="1930">
        <f t="shared" si="161"/>
        <v>5.3305996538795899</v>
      </c>
      <c r="N126" s="1930">
        <f t="shared" si="161"/>
        <v>5.6399246443003568</v>
      </c>
      <c r="O126" s="1930">
        <f t="shared" si="161"/>
        <v>6.1000419838685529</v>
      </c>
      <c r="P126" s="3551">
        <f t="shared" si="161"/>
        <v>6.4500990118946255</v>
      </c>
      <c r="Q126" s="3551">
        <f>AVERAGE(P113:Q113)</f>
        <v>6.9151281902994146</v>
      </c>
      <c r="R126" s="3551">
        <f>AVERAGE(Q113:R113)</f>
        <v>8.4407013773925872</v>
      </c>
      <c r="S126" s="3551">
        <f>AVERAGE(R113:S113)</f>
        <v>9.4602518017576394</v>
      </c>
      <c r="T126" s="2224">
        <f t="shared" si="161"/>
        <v>10.341109468377034</v>
      </c>
      <c r="U126" s="2224">
        <f>AVERAGE(T113:U113)</f>
        <v>11.29811981443483</v>
      </c>
      <c r="V126" s="2224">
        <f t="shared" si="161"/>
        <v>10.830473076744077</v>
      </c>
      <c r="W126" s="2224">
        <f t="shared" si="161"/>
        <v>10.593813417841069</v>
      </c>
      <c r="X126" s="2224">
        <f t="shared" si="161"/>
        <v>10.923942561710074</v>
      </c>
      <c r="Y126" s="2224">
        <f t="shared" si="161"/>
        <v>11.290259394123275</v>
      </c>
      <c r="Z126" s="2224">
        <f t="shared" si="161"/>
        <v>11.617641772554272</v>
      </c>
      <c r="AA126" s="2224">
        <f t="shared" si="161"/>
        <v>11.75047406434982</v>
      </c>
      <c r="AB126" s="2224">
        <f t="shared" si="161"/>
        <v>11.92393281370963</v>
      </c>
      <c r="AC126" s="2224">
        <f t="shared" si="161"/>
        <v>12.485779421838608</v>
      </c>
      <c r="AD126" s="2224">
        <f t="shared" si="161"/>
        <v>13.30111071785176</v>
      </c>
      <c r="AE126" s="2224">
        <f t="shared" si="161"/>
        <v>14.097279324412135</v>
      </c>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row>
    <row r="127" spans="1:119" s="1933" customFormat="1">
      <c r="A127" s="1931"/>
      <c r="B127" s="1931"/>
      <c r="C127" s="1932"/>
      <c r="D127" s="1941"/>
      <c r="E127" s="1942" t="s">
        <v>820</v>
      </c>
      <c r="F127" s="1943"/>
      <c r="G127" s="1942"/>
      <c r="H127" s="1942"/>
      <c r="I127" s="1944">
        <f>+I126/H126-1</f>
        <v>0.27594744638762148</v>
      </c>
      <c r="J127" s="1944">
        <f t="shared" ref="J127:AE127" si="162">+J126/I126-1</f>
        <v>0.24993754653993339</v>
      </c>
      <c r="K127" s="1944">
        <f t="shared" si="162"/>
        <v>0.1027803209102387</v>
      </c>
      <c r="L127" s="1944">
        <f t="shared" si="162"/>
        <v>-5.5974501822874667E-2</v>
      </c>
      <c r="M127" s="1944">
        <f t="shared" si="162"/>
        <v>-2.4147513403978027E-2</v>
      </c>
      <c r="N127" s="1944">
        <f t="shared" si="162"/>
        <v>5.8028178911474049E-2</v>
      </c>
      <c r="O127" s="1944">
        <f t="shared" si="162"/>
        <v>8.1582178590486221E-2</v>
      </c>
      <c r="P127" s="1944">
        <f t="shared" si="162"/>
        <v>5.7386003072075864E-2</v>
      </c>
      <c r="Q127" s="1944">
        <f>+Q126/P126-1</f>
        <v>7.2096440310021492E-2</v>
      </c>
      <c r="R127" s="1944">
        <f>+R126/Q126-1</f>
        <v>0.22061386934710137</v>
      </c>
      <c r="S127" s="1944">
        <f>+S126/R126-1</f>
        <v>0.12078977549138226</v>
      </c>
      <c r="T127" s="2225">
        <f t="shared" si="162"/>
        <v>9.3111439851499389E-2</v>
      </c>
      <c r="U127" s="2225">
        <f t="shared" si="162"/>
        <v>9.2544262197815419E-2</v>
      </c>
      <c r="V127" s="2225">
        <f t="shared" si="162"/>
        <v>-4.1391554114453055E-2</v>
      </c>
      <c r="W127" s="2225">
        <f t="shared" si="162"/>
        <v>-2.185127623013805E-2</v>
      </c>
      <c r="X127" s="2225">
        <f t="shared" si="162"/>
        <v>3.1162446500429652E-2</v>
      </c>
      <c r="Y127" s="2225">
        <f t="shared" si="162"/>
        <v>3.353339056332949E-2</v>
      </c>
      <c r="Z127" s="2225">
        <f t="shared" si="162"/>
        <v>2.8996887228419421E-2</v>
      </c>
      <c r="AA127" s="2225">
        <f t="shared" si="162"/>
        <v>1.1433670825464315E-2</v>
      </c>
      <c r="AB127" s="2225">
        <f t="shared" si="162"/>
        <v>1.4761851173823892E-2</v>
      </c>
      <c r="AC127" s="2225">
        <f t="shared" si="162"/>
        <v>4.7119236321341074E-2</v>
      </c>
      <c r="AD127" s="2225">
        <f t="shared" si="162"/>
        <v>6.5300792883388192E-2</v>
      </c>
      <c r="AE127" s="2225">
        <f t="shared" si="162"/>
        <v>5.9857302404965118E-2</v>
      </c>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row>
    <row r="128" spans="1:119" s="220" customFormat="1">
      <c r="A128" s="903"/>
      <c r="B128" s="903"/>
      <c r="C128" s="875"/>
      <c r="D128" s="674"/>
      <c r="E128" s="167" t="s">
        <v>73</v>
      </c>
      <c r="F128" s="710"/>
      <c r="H128" s="1927"/>
      <c r="I128" s="1927">
        <f ca="1">OFFSET('Q1'!$G296,0,4*COLUMN()-27)</f>
        <v>60.763333333333335</v>
      </c>
      <c r="J128" s="1927">
        <f ca="1">OFFSET('Q1'!$G296,0,4*COLUMN()-27)</f>
        <v>65.611666666666665</v>
      </c>
      <c r="K128" s="1927">
        <f ca="1">OFFSET('Q1'!$G296,0,4*COLUMN()-27)</f>
        <v>67.676666666666662</v>
      </c>
      <c r="L128" s="1927">
        <f ca="1">OFFSET('Q1'!$G296,0,4*COLUMN()-27)</f>
        <v>68.25</v>
      </c>
      <c r="M128" s="1927">
        <f ca="1">OFFSET('Q1'!$G296,0,4*COLUMN()-27)</f>
        <v>69.008333333333326</v>
      </c>
      <c r="N128" s="1927">
        <f ca="1">OFFSET('Q1'!$G296,0,4*COLUMN()-27)</f>
        <v>70.270833333333329</v>
      </c>
      <c r="O128" s="1927">
        <f ca="1">OFFSET('Q1'!$G296,0,4*COLUMN()-27)</f>
        <v>69.579166666666652</v>
      </c>
      <c r="P128" s="3552">
        <f ca="1">OFFSET('Q1'!$G296,0,4*COLUMN()-27)</f>
        <v>69.11333333333333</v>
      </c>
      <c r="Q128" s="3552">
        <f ca="1">OFFSET('Q1'!$G296,0,4*COLUMN()-27)</f>
        <v>70.974166666666662</v>
      </c>
      <c r="R128" s="3552">
        <f ca="1">OFFSET('Q1'!$G296,0,4*COLUMN()-27)</f>
        <v>73.12</v>
      </c>
      <c r="S128" s="3552">
        <f ca="1">OFFSET('Q1'!$G296,0,4*COLUMN()-27)</f>
        <v>76.32083333333334</v>
      </c>
      <c r="T128" s="3552">
        <f ca="1">OFFSET('Q1'!$G296,0,4*COLUMN()-27)</f>
        <v>83.388333333333321</v>
      </c>
      <c r="U128" s="3552">
        <f ca="1">OFFSET('Q1'!$G296,0,4*COLUMN()-27)</f>
        <v>90.549038249744186</v>
      </c>
      <c r="V128" s="3552">
        <f ca="1">OFFSET('Q1'!$G296,0,4*COLUMN()-27)</f>
        <v>91.371103573086259</v>
      </c>
      <c r="W128" s="3552">
        <f ca="1">OFFSET('Q1'!$G296,0,4*COLUMN()-27)</f>
        <v>94.270618090678397</v>
      </c>
      <c r="X128" s="3552">
        <f ca="1">OFFSET('Q1'!$G296,0,4*COLUMN()-27)</f>
        <v>97.822161346542856</v>
      </c>
      <c r="Y128" s="3552">
        <f ca="1">OFFSET('Q1'!$G296,0,4*COLUMN()-27)</f>
        <v>100.21953789123236</v>
      </c>
      <c r="Z128" s="3552">
        <f ca="1">OFFSET('Q1'!$G296,0,4*COLUMN()-27)</f>
        <v>100.61171025226528</v>
      </c>
      <c r="AA128" s="3552">
        <f ca="1">OFFSET('Q1'!$G296,0,4*COLUMN()-27)</f>
        <v>100.31609355924257</v>
      </c>
      <c r="AB128" s="3552">
        <f ca="1">OFFSET('Q1'!$G296,0,4*COLUMN()-27)</f>
        <v>100.34379048467596</v>
      </c>
      <c r="AC128" s="3552">
        <f ca="1">OFFSET('Q1'!$G296,0,4*COLUMN()-27)</f>
        <v>102.35679960696119</v>
      </c>
      <c r="AD128" s="3552">
        <f ca="1">OFFSET('Q1'!$G296,0,4*COLUMN()-27)</f>
        <v>106.0330876314767</v>
      </c>
      <c r="AE128" s="3552">
        <f ca="1">OFFSET('Q1'!$G296,0,4*COLUMN()-27)</f>
        <v>108.83590040348443</v>
      </c>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row>
    <row r="129" spans="1:119" s="1933" customFormat="1">
      <c r="A129" s="1931"/>
      <c r="B129" s="1931"/>
      <c r="C129" s="1934"/>
      <c r="D129" s="1945"/>
      <c r="E129" s="1946" t="s">
        <v>820</v>
      </c>
      <c r="F129" s="1947"/>
      <c r="G129" s="1946"/>
      <c r="H129" s="1946"/>
      <c r="I129" s="1948" t="e">
        <f ca="1">+I128/H128-1</f>
        <v>#DIV/0!</v>
      </c>
      <c r="J129" s="1948">
        <f t="shared" ref="J129:AE129" ca="1" si="163">+J128/I128-1</f>
        <v>7.9790443798343214E-2</v>
      </c>
      <c r="K129" s="1948">
        <f t="shared" ca="1" si="163"/>
        <v>3.1473061193385332E-2</v>
      </c>
      <c r="L129" s="1948">
        <f t="shared" ca="1" si="163"/>
        <v>8.4716544353051759E-3</v>
      </c>
      <c r="M129" s="1948">
        <f t="shared" ca="1" si="163"/>
        <v>1.1111111111111072E-2</v>
      </c>
      <c r="N129" s="1948">
        <f t="shared" ca="1" si="163"/>
        <v>1.8294891921265544E-2</v>
      </c>
      <c r="O129" s="1948">
        <f t="shared" ca="1" si="163"/>
        <v>-9.8428698487994515E-3</v>
      </c>
      <c r="P129" s="1948">
        <f t="shared" ca="1" si="163"/>
        <v>-6.6950116773457635E-3</v>
      </c>
      <c r="Q129" s="1948">
        <f ca="1">+Q128/P128-1</f>
        <v>2.6924375422012092E-2</v>
      </c>
      <c r="R129" s="1948">
        <f ca="1">+R128/Q128-1</f>
        <v>3.0234005330578073E-2</v>
      </c>
      <c r="S129" s="1948">
        <f ca="1">+S128/R128-1</f>
        <v>4.3775072939460369E-2</v>
      </c>
      <c r="T129" s="2226">
        <f t="shared" ca="1" si="163"/>
        <v>9.2602500409455502E-2</v>
      </c>
      <c r="U129" s="2226">
        <f t="shared" ca="1" si="163"/>
        <v>8.5871783619741349E-2</v>
      </c>
      <c r="V129" s="2226">
        <f t="shared" ca="1" si="163"/>
        <v>9.078675370076672E-3</v>
      </c>
      <c r="W129" s="2226">
        <f t="shared" ca="1" si="163"/>
        <v>3.173338620423749E-2</v>
      </c>
      <c r="X129" s="2226">
        <f t="shared" ca="1" si="163"/>
        <v>3.7673915030961735E-2</v>
      </c>
      <c r="Y129" s="2226">
        <f t="shared" ca="1" si="163"/>
        <v>2.4507499238302533E-2</v>
      </c>
      <c r="Z129" s="2226">
        <f t="shared" ca="1" si="163"/>
        <v>3.9131328010966193E-3</v>
      </c>
      <c r="AA129" s="2226">
        <f t="shared" ca="1" si="163"/>
        <v>-2.9381936981440759E-3</v>
      </c>
      <c r="AB129" s="2226">
        <f t="shared" ca="1" si="163"/>
        <v>2.7609653098226161E-4</v>
      </c>
      <c r="AC129" s="2226">
        <f t="shared" ca="1" si="163"/>
        <v>2.0061122990890468E-2</v>
      </c>
      <c r="AD129" s="2226">
        <f t="shared" ca="1" si="163"/>
        <v>3.5916402609617037E-2</v>
      </c>
      <c r="AE129" s="2226">
        <f t="shared" ca="1" si="163"/>
        <v>2.6433378812366959E-2</v>
      </c>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row>
    <row r="130" spans="1:119" s="220" customFormat="1">
      <c r="A130" s="903"/>
      <c r="B130" s="903"/>
      <c r="C130" s="674"/>
      <c r="D130" s="1949"/>
      <c r="E130" s="1950" t="s">
        <v>448</v>
      </c>
      <c r="F130" s="1951"/>
      <c r="G130" s="1950"/>
      <c r="H130" s="1950"/>
      <c r="I130" s="1952" t="e">
        <f t="shared" ref="I130:N130" ca="1" si="164">+(1+I127)/(1+I129)-1</f>
        <v>#DIV/0!</v>
      </c>
      <c r="J130" s="1952">
        <f t="shared" ca="1" si="164"/>
        <v>0.15757418832405046</v>
      </c>
      <c r="K130" s="1952">
        <f t="shared" ca="1" si="164"/>
        <v>6.9131480403717749E-2</v>
      </c>
      <c r="L130" s="1952">
        <f t="shared" ca="1" si="164"/>
        <v>-6.3904777070076912E-2</v>
      </c>
      <c r="M130" s="1952">
        <f t="shared" ca="1" si="164"/>
        <v>-3.4871167102835332E-2</v>
      </c>
      <c r="N130" s="1952">
        <f t="shared" ca="1" si="164"/>
        <v>3.9019430722314397E-2</v>
      </c>
      <c r="O130" s="1952">
        <f t="shared" ref="O130:Y130" ca="1" si="165">+(1+O127)/(1+O129)-1</f>
        <v>9.233387879085897E-2</v>
      </c>
      <c r="P130" s="3553">
        <f t="shared" ca="1" si="165"/>
        <v>6.4512929566207244E-2</v>
      </c>
      <c r="Q130" s="3553">
        <f ca="1">+(1+Q127)/(1+Q129)-1</f>
        <v>4.3987722922095518E-2</v>
      </c>
      <c r="R130" s="3553">
        <f ca="1">+(1+R127)/(1+R129)-1</f>
        <v>0.18479283641529065</v>
      </c>
      <c r="S130" s="3553">
        <f ca="1">+(1+S127)/(1+S129)-1</f>
        <v>7.3784768911020704E-2</v>
      </c>
      <c r="T130" s="2227">
        <f t="shared" ca="1" si="165"/>
        <v>4.6580475685642497E-4</v>
      </c>
      <c r="U130" s="2227">
        <f t="shared" ca="1" si="165"/>
        <v>6.1448125632581618E-3</v>
      </c>
      <c r="V130" s="2227">
        <f ca="1">+(1+V127)/(1+V129)-1</f>
        <v>-5.0016149103557228E-2</v>
      </c>
      <c r="W130" s="2227">
        <f ca="1">+(1+W127)/(1+W129)-1</f>
        <v>-5.193654014775495E-2</v>
      </c>
      <c r="X130" s="2227">
        <f t="shared" ca="1" si="165"/>
        <v>-6.2750623642089387E-3</v>
      </c>
      <c r="Y130" s="2227">
        <f t="shared" ca="1" si="165"/>
        <v>8.8099807290209498E-3</v>
      </c>
      <c r="Z130" s="2227">
        <f t="shared" ref="Z130:AE130" ca="1" si="166">+(1+Z127)/(1+Z129)-1</f>
        <v>2.4985980965638532E-2</v>
      </c>
      <c r="AA130" s="2227">
        <f t="shared" ca="1" si="166"/>
        <v>1.4414216283054948E-2</v>
      </c>
      <c r="AB130" s="2227">
        <f t="shared" ca="1" si="166"/>
        <v>1.4481756280170233E-2</v>
      </c>
      <c r="AC130" s="2227">
        <f t="shared" ca="1" si="166"/>
        <v>2.652597253301292E-2</v>
      </c>
      <c r="AD130" s="2227">
        <f t="shared" ca="1" si="166"/>
        <v>2.8365599965159083E-2</v>
      </c>
      <c r="AE130" s="2227">
        <f t="shared" ca="1" si="166"/>
        <v>3.256316901080436E-2</v>
      </c>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row>
    <row r="131" spans="1:119" s="220" customFormat="1" ht="30" customHeight="1">
      <c r="A131" s="903"/>
      <c r="B131" s="903"/>
      <c r="C131" s="674"/>
      <c r="D131" s="674"/>
      <c r="F131" s="710"/>
      <c r="P131" s="3545"/>
      <c r="Q131" s="3554"/>
      <c r="R131" s="3555"/>
      <c r="S131" s="3555"/>
      <c r="T131" s="2974"/>
      <c r="U131" s="2974"/>
      <c r="V131" s="2974"/>
      <c r="W131" s="2974"/>
      <c r="X131" s="2974"/>
      <c r="Y131" s="2974"/>
      <c r="Z131" s="2974"/>
      <c r="AA131" s="2974"/>
      <c r="AB131" s="3716"/>
      <c r="AC131" s="2974"/>
      <c r="AD131" s="2974"/>
      <c r="AE131" s="2974"/>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row>
    <row r="132" spans="1:119">
      <c r="D132" s="900"/>
      <c r="E132" s="901" t="s">
        <v>1297</v>
      </c>
      <c r="F132" s="902"/>
      <c r="G132" s="698">
        <f>+InputY!$G$3</f>
        <v>1995</v>
      </c>
      <c r="H132" s="698">
        <f>+G132+1</f>
        <v>1996</v>
      </c>
      <c r="I132" s="698">
        <f>+H132+1</f>
        <v>1997</v>
      </c>
      <c r="J132" s="698">
        <f t="shared" ref="J132:P132" si="167">+I132+1</f>
        <v>1998</v>
      </c>
      <c r="K132" s="698">
        <f t="shared" si="167"/>
        <v>1999</v>
      </c>
      <c r="L132" s="698">
        <f t="shared" si="167"/>
        <v>2000</v>
      </c>
      <c r="M132" s="698">
        <f t="shared" si="167"/>
        <v>2001</v>
      </c>
      <c r="N132" s="698">
        <f t="shared" si="167"/>
        <v>2002</v>
      </c>
      <c r="O132" s="698">
        <f t="shared" si="167"/>
        <v>2003</v>
      </c>
      <c r="P132" s="3490">
        <f t="shared" si="167"/>
        <v>2004</v>
      </c>
      <c r="Q132" s="3490">
        <f t="shared" ref="Q132:V132" si="168">+P132+1</f>
        <v>2005</v>
      </c>
      <c r="R132" s="3490">
        <f t="shared" si="168"/>
        <v>2006</v>
      </c>
      <c r="S132" s="3490">
        <f>+R132+1</f>
        <v>2007</v>
      </c>
      <c r="T132" s="3491">
        <f t="shared" si="168"/>
        <v>2008</v>
      </c>
      <c r="U132" s="3491">
        <f t="shared" si="168"/>
        <v>2009</v>
      </c>
      <c r="V132" s="3491">
        <f t="shared" si="168"/>
        <v>2010</v>
      </c>
      <c r="W132" s="3491">
        <f t="shared" ref="W132:AE132" si="169">+V132+1</f>
        <v>2011</v>
      </c>
      <c r="X132" s="3491">
        <f t="shared" si="169"/>
        <v>2012</v>
      </c>
      <c r="Y132" s="3491">
        <f t="shared" si="169"/>
        <v>2013</v>
      </c>
      <c r="Z132" s="3491">
        <f t="shared" si="169"/>
        <v>2014</v>
      </c>
      <c r="AA132" s="3491">
        <f t="shared" si="169"/>
        <v>2015</v>
      </c>
      <c r="AB132" s="3491">
        <f t="shared" si="169"/>
        <v>2016</v>
      </c>
      <c r="AC132" s="3491">
        <f t="shared" si="169"/>
        <v>2017</v>
      </c>
      <c r="AD132" s="3491">
        <f t="shared" si="169"/>
        <v>2018</v>
      </c>
      <c r="AE132" s="3491">
        <f t="shared" si="169"/>
        <v>2019</v>
      </c>
    </row>
    <row r="133" spans="1:119" s="898" customFormat="1" ht="22.5">
      <c r="A133" s="897"/>
      <c r="B133" s="897"/>
      <c r="C133" s="904" t="s">
        <v>1767</v>
      </c>
      <c r="D133" s="905"/>
      <c r="E133" s="906" t="s">
        <v>1298</v>
      </c>
      <c r="F133" s="917" t="s">
        <v>1292</v>
      </c>
      <c r="G133" s="1454">
        <f t="shared" ref="G133:Q133" si="170">+G135-G134</f>
        <v>1.7684198331788692</v>
      </c>
      <c r="H133" s="1454">
        <f t="shared" si="170"/>
        <v>2.1634615384615383</v>
      </c>
      <c r="I133" s="1454">
        <f t="shared" si="170"/>
        <v>2.5741427247451343</v>
      </c>
      <c r="J133" s="1454">
        <f t="shared" si="170"/>
        <v>2.9955398517145504</v>
      </c>
      <c r="K133" s="1454">
        <f t="shared" si="170"/>
        <v>2.9975671918443005</v>
      </c>
      <c r="L133" s="1454">
        <f>+L135-L134</f>
        <v>2.8475440222428174</v>
      </c>
      <c r="M133" s="1454">
        <f t="shared" si="170"/>
        <v>2.9518072289156621</v>
      </c>
      <c r="N133" s="1454">
        <f t="shared" si="170"/>
        <v>3.3094879518072293</v>
      </c>
      <c r="O133" s="1454">
        <f t="shared" si="170"/>
        <v>3.7922845227062094</v>
      </c>
      <c r="P133" s="3556">
        <f t="shared" si="170"/>
        <v>4.3524096385542164</v>
      </c>
      <c r="Q133" s="3556">
        <f t="shared" si="170"/>
        <v>5.109</v>
      </c>
      <c r="R133" s="3556">
        <f t="shared" ref="R133:W133" si="171">+R135-R134</f>
        <v>6.2562000000000006</v>
      </c>
      <c r="S133" s="3556">
        <f t="shared" si="171"/>
        <v>7.5704999999999991</v>
      </c>
      <c r="T133" s="3556">
        <f t="shared" si="171"/>
        <v>8.644400000000001</v>
      </c>
      <c r="U133" s="3556">
        <f t="shared" si="171"/>
        <v>6.8296999999999999</v>
      </c>
      <c r="V133" s="3556">
        <f t="shared" si="171"/>
        <v>6.8140000000000001</v>
      </c>
      <c r="W133" s="3556">
        <f t="shared" si="171"/>
        <v>7.4099000000000004</v>
      </c>
      <c r="X133" s="3556">
        <f>+X135-X134</f>
        <v>7.964599999999999</v>
      </c>
      <c r="Y133" s="3556">
        <f>+Y135-Y134</f>
        <v>8.4739000000000004</v>
      </c>
      <c r="Z133" s="3556">
        <f>+Z135-Z134</f>
        <v>9.0881999999999987</v>
      </c>
      <c r="AA133" s="3556">
        <f>+AA135-AA134</f>
        <v>9.7941000000000003</v>
      </c>
      <c r="AB133" s="3556">
        <f>+AB135-AB134</f>
        <v>10.6454</v>
      </c>
      <c r="AC133" s="2975">
        <f t="shared" ref="AC133:AD134" si="172">+AC112*AC30/1000</f>
        <v>11.589025615017505</v>
      </c>
      <c r="AD133" s="2975">
        <f t="shared" si="172"/>
        <v>12.260774776251875</v>
      </c>
      <c r="AE133" s="2975">
        <f t="shared" ref="AE133" si="173">+AE112*AE30/1000</f>
        <v>12.969128778175055</v>
      </c>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row>
    <row r="134" spans="1:119" s="898" customFormat="1" ht="22.5">
      <c r="A134" s="1902">
        <v>241</v>
      </c>
      <c r="B134" s="897"/>
      <c r="C134" s="907" t="s">
        <v>1767</v>
      </c>
      <c r="D134" s="908"/>
      <c r="E134" s="909" t="s">
        <v>1299</v>
      </c>
      <c r="F134" s="918" t="s">
        <v>1291</v>
      </c>
      <c r="G134" s="1044">
        <f>+InputY!G279/1000</f>
        <v>0.59024559777571828</v>
      </c>
      <c r="H134" s="1044">
        <f>+InputY!H279/1000</f>
        <v>0.803985171455051</v>
      </c>
      <c r="I134" s="1044">
        <f>+InputY!I279/1000</f>
        <v>1.0125115848007415</v>
      </c>
      <c r="J134" s="1044">
        <f>+InputY!J279/1000</f>
        <v>1.2856232622798889</v>
      </c>
      <c r="K134" s="1044">
        <f>+InputY!K279/1000</f>
        <v>1.3310936051899906</v>
      </c>
      <c r="L134" s="1044">
        <f>+InputY!L279/1000</f>
        <v>1.2468141797961074</v>
      </c>
      <c r="M134" s="1044">
        <f>+InputY!M279/1000</f>
        <v>1.2772242817423543</v>
      </c>
      <c r="N134" s="1044">
        <f>+InputY!N279/1000</f>
        <v>1.3229842446709918</v>
      </c>
      <c r="O134" s="1044">
        <f>+InputY!O279/1000</f>
        <v>1.3771431881371641</v>
      </c>
      <c r="P134" s="3508">
        <f>+InputY!P279/1000</f>
        <v>1.4811167747914737</v>
      </c>
      <c r="Q134" s="3508">
        <f>+InputY!Q279/1000</f>
        <v>1.6479999999999999</v>
      </c>
      <c r="R134" s="3508">
        <f>+InputY!R279/1000</f>
        <v>1.8777999999999999</v>
      </c>
      <c r="S134" s="3508">
        <f>+InputY!S279/1000</f>
        <v>2.0935000000000001</v>
      </c>
      <c r="T134" s="3508">
        <f>+InputY!T279/1000</f>
        <v>2.5436000000000005</v>
      </c>
      <c r="U134" s="3508">
        <f>+InputY!U279/1000</f>
        <v>2.4903000000000004</v>
      </c>
      <c r="V134" s="3508">
        <f>+InputY!V279/1000</f>
        <v>2.2370000000000001</v>
      </c>
      <c r="W134" s="3508">
        <f>+InputY!W279/1000</f>
        <v>2.2810999999999999</v>
      </c>
      <c r="X134" s="3508">
        <f>+InputY!X279/1000</f>
        <v>2.2934000000000001</v>
      </c>
      <c r="Y134" s="3508">
        <f>+InputY!Y279/1000</f>
        <v>2.3601000000000001</v>
      </c>
      <c r="Z134" s="3508">
        <f>+InputY!Z279/1000</f>
        <v>2.4288000000000003</v>
      </c>
      <c r="AA134" s="3508">
        <f>+InputY!AA279/1000</f>
        <v>2.5148999999999999</v>
      </c>
      <c r="AB134" s="3508">
        <f>+InputY!AB279/1000</f>
        <v>2.6435999999999997</v>
      </c>
      <c r="AC134" s="2943">
        <f t="shared" si="172"/>
        <v>2.7732145115769287</v>
      </c>
      <c r="AD134" s="2943">
        <f t="shared" si="172"/>
        <v>2.9168004661283358</v>
      </c>
      <c r="AE134" s="2943">
        <f t="shared" ref="AE134" si="174">+AE113*AE31/1000</f>
        <v>3.078242519589363</v>
      </c>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row>
    <row r="135" spans="1:119" s="898" customFormat="1">
      <c r="A135" s="664">
        <f>+ROW(InputY!A228)</f>
        <v>228</v>
      </c>
      <c r="B135" s="897">
        <v>62</v>
      </c>
      <c r="C135" s="907" t="s">
        <v>1769</v>
      </c>
      <c r="D135" s="910"/>
      <c r="E135" s="911" t="s">
        <v>1300</v>
      </c>
      <c r="F135" s="916" t="s">
        <v>1315</v>
      </c>
      <c r="G135" s="920">
        <f>+InputY!G228/1000</f>
        <v>2.3586654309545874</v>
      </c>
      <c r="H135" s="920">
        <f>+InputY!H228/1000</f>
        <v>2.9674467099165893</v>
      </c>
      <c r="I135" s="920">
        <f>+InputY!I228/1000</f>
        <v>3.5866543095458758</v>
      </c>
      <c r="J135" s="920">
        <f>+InputY!J228/1000</f>
        <v>4.2811631139944391</v>
      </c>
      <c r="K135" s="920">
        <f>+InputY!K228/1000</f>
        <v>4.3286607970342912</v>
      </c>
      <c r="L135" s="920">
        <f>+InputY!L228/1000</f>
        <v>4.0943582020389249</v>
      </c>
      <c r="M135" s="920">
        <f>+InputY!M228/1000</f>
        <v>4.2290315106580163</v>
      </c>
      <c r="N135" s="920">
        <f>+InputY!N228/1000</f>
        <v>4.6324721964782212</v>
      </c>
      <c r="O135" s="920">
        <f>+InputY!O228/1000</f>
        <v>5.1694277108433733</v>
      </c>
      <c r="P135" s="3557">
        <f>+InputY!P228/1000</f>
        <v>5.8335264133456901</v>
      </c>
      <c r="Q135" s="3557">
        <f>+InputY!Q228/1000</f>
        <v>6.7569999999999997</v>
      </c>
      <c r="R135" s="3557">
        <f>+InputY!R228/1000</f>
        <v>8.1340000000000003</v>
      </c>
      <c r="S135" s="3557">
        <f>+InputY!S228/1000</f>
        <v>9.6639999999999997</v>
      </c>
      <c r="T135" s="3557">
        <f>+InputY!T228/1000</f>
        <v>11.188000000000001</v>
      </c>
      <c r="U135" s="3557">
        <f>+InputY!U228/1000</f>
        <v>9.32</v>
      </c>
      <c r="V135" s="3557">
        <f>+InputY!V228/1000</f>
        <v>9.0510000000000002</v>
      </c>
      <c r="W135" s="3557">
        <f>+InputY!W228/1000</f>
        <v>9.6910000000000007</v>
      </c>
      <c r="X135" s="3557">
        <f>+InputY!X228/1000</f>
        <v>10.257999999999999</v>
      </c>
      <c r="Y135" s="3557">
        <f>+InputY!Y228/1000</f>
        <v>10.834</v>
      </c>
      <c r="Z135" s="3557">
        <f>+InputY!Z228/1000</f>
        <v>11.516999999999999</v>
      </c>
      <c r="AA135" s="3557">
        <f>+InputY!AA228/1000</f>
        <v>12.308999999999999</v>
      </c>
      <c r="AB135" s="3557">
        <f>+InputY!AB228/1000</f>
        <v>13.289</v>
      </c>
      <c r="AC135" s="2976">
        <f>+AC133+AC134</f>
        <v>14.362240126594433</v>
      </c>
      <c r="AD135" s="2976">
        <f>+AD133+AD134</f>
        <v>15.177575242380211</v>
      </c>
      <c r="AE135" s="2976">
        <f>+AE133+AE134</f>
        <v>16.047371297764418</v>
      </c>
      <c r="AF135" s="3659"/>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row>
    <row r="136" spans="1:119" s="898" customFormat="1" ht="22.5">
      <c r="A136" s="1902"/>
      <c r="B136" s="897"/>
      <c r="C136" s="912" t="s">
        <v>1767</v>
      </c>
      <c r="D136" s="913"/>
      <c r="E136" s="914" t="s">
        <v>1301</v>
      </c>
      <c r="F136" s="919" t="s">
        <v>1293</v>
      </c>
      <c r="G136" s="921">
        <f t="shared" ref="G136:S136" si="175">+G137-G135</f>
        <v>-3.7543095458758557E-4</v>
      </c>
      <c r="H136" s="921">
        <f t="shared" si="175"/>
        <v>-3.6446709916589271E-2</v>
      </c>
      <c r="I136" s="921">
        <f t="shared" si="175"/>
        <v>-6.4894309545875828E-2</v>
      </c>
      <c r="J136" s="921">
        <f t="shared" si="175"/>
        <v>-6.9973113994439728E-2</v>
      </c>
      <c r="K136" s="921">
        <f t="shared" si="175"/>
        <v>-5.0230797034291008E-2</v>
      </c>
      <c r="L136" s="921">
        <f t="shared" si="175"/>
        <v>1.2971797961075282E-2</v>
      </c>
      <c r="M136" s="921">
        <f t="shared" si="175"/>
        <v>5.5938489341984088E-2</v>
      </c>
      <c r="N136" s="921">
        <f t="shared" si="175"/>
        <v>5.7187803521778768E-2</v>
      </c>
      <c r="O136" s="921">
        <f t="shared" si="175"/>
        <v>4.1382289156627117E-2</v>
      </c>
      <c r="P136" s="3558">
        <f t="shared" si="175"/>
        <v>0.14453358665431004</v>
      </c>
      <c r="Q136" s="3558">
        <f t="shared" si="175"/>
        <v>0.18623000000000012</v>
      </c>
      <c r="R136" s="3558">
        <f t="shared" si="175"/>
        <v>0.20315999999999867</v>
      </c>
      <c r="S136" s="3558">
        <f t="shared" si="175"/>
        <v>0.15972000000000008</v>
      </c>
      <c r="T136" s="3558">
        <f t="shared" ref="T136:Z136" si="176">+T137-T135</f>
        <v>0.10801999999999978</v>
      </c>
      <c r="U136" s="3558">
        <f t="shared" si="176"/>
        <v>3.7829999999999586E-2</v>
      </c>
      <c r="V136" s="3558">
        <f t="shared" si="176"/>
        <v>0.18095000000000105</v>
      </c>
      <c r="W136" s="3558">
        <f t="shared" si="176"/>
        <v>0.14879999999999782</v>
      </c>
      <c r="X136" s="3558">
        <f>+X137-X135</f>
        <v>3.7219999999999587E-2</v>
      </c>
      <c r="Y136" s="3558">
        <f t="shared" si="176"/>
        <v>5.3610000000000824E-2</v>
      </c>
      <c r="Z136" s="3558">
        <f t="shared" si="176"/>
        <v>1.1200000000020083E-3</v>
      </c>
      <c r="AA136" s="3558">
        <f>+AA137-AA135</f>
        <v>1.4559999999999462E-2</v>
      </c>
      <c r="AB136" s="3558">
        <f>+AB137-AB135</f>
        <v>-3.125E-2</v>
      </c>
      <c r="AC136" s="3559">
        <v>0</v>
      </c>
      <c r="AD136" s="3559">
        <v>0</v>
      </c>
      <c r="AE136" s="3559">
        <v>0</v>
      </c>
      <c r="AF136" s="3659"/>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row>
    <row r="137" spans="1:119" s="909" customFormat="1">
      <c r="A137" s="664">
        <f>+ROW(InputY!A185)</f>
        <v>185</v>
      </c>
      <c r="B137" s="915">
        <v>88</v>
      </c>
      <c r="C137" s="908" t="s">
        <v>1769</v>
      </c>
      <c r="D137" s="910"/>
      <c r="E137" s="911" t="s">
        <v>1302</v>
      </c>
      <c r="F137" s="916" t="s">
        <v>334</v>
      </c>
      <c r="G137" s="920">
        <f>+InputY!G185/1000</f>
        <v>2.3582899999999998</v>
      </c>
      <c r="H137" s="920">
        <f>+InputY!H185/1000</f>
        <v>2.931</v>
      </c>
      <c r="I137" s="920">
        <f>+InputY!I185/1000</f>
        <v>3.52176</v>
      </c>
      <c r="J137" s="920">
        <f>+InputY!J185/1000</f>
        <v>4.2111899999999993</v>
      </c>
      <c r="K137" s="920">
        <f>+InputY!K185/1000</f>
        <v>4.2784300000000002</v>
      </c>
      <c r="L137" s="920">
        <f>+InputY!L185/1000</f>
        <v>4.1073300000000001</v>
      </c>
      <c r="M137" s="920">
        <f>+InputY!M185/1000</f>
        <v>4.2849700000000004</v>
      </c>
      <c r="N137" s="920">
        <f>+InputY!N185/1000</f>
        <v>4.6896599999999999</v>
      </c>
      <c r="O137">
        <f>+InputY!O185/1000</f>
        <v>5.2108100000000004</v>
      </c>
      <c r="P137" s="3560">
        <f>+InputY!P185/1000</f>
        <v>5.9780600000000002</v>
      </c>
      <c r="Q137" s="3557">
        <f>+InputY!Q185/1000</f>
        <v>6.9432299999999998</v>
      </c>
      <c r="R137" s="3557">
        <f>+InputY!R185/1000</f>
        <v>8.337159999999999</v>
      </c>
      <c r="S137" s="3557">
        <f>+InputY!S185/1000</f>
        <v>9.8237199999999998</v>
      </c>
      <c r="T137" s="3557">
        <f>+InputY!T185/1000</f>
        <v>11.29602</v>
      </c>
      <c r="U137" s="3557">
        <f>+InputY!U185/1000</f>
        <v>9.3578299999999999</v>
      </c>
      <c r="V137" s="3557">
        <f>+InputY!V185/1000</f>
        <v>9.2319500000000012</v>
      </c>
      <c r="W137" s="3557">
        <f>+InputY!W185/1000</f>
        <v>9.8397999999999985</v>
      </c>
      <c r="X137" s="3557">
        <f>+InputY!X185/1000</f>
        <v>10.295219999999999</v>
      </c>
      <c r="Y137" s="3557">
        <f>+InputY!Y185/1000</f>
        <v>10.88761</v>
      </c>
      <c r="Z137" s="3557">
        <f>+InputY!Z185/1000</f>
        <v>11.518120000000001</v>
      </c>
      <c r="AA137" s="3557">
        <f>+InputY!AA185/1000</f>
        <v>12.323559999999999</v>
      </c>
      <c r="AB137" s="3557">
        <f>+InputY!AB185/1000</f>
        <v>13.25775</v>
      </c>
      <c r="AC137" s="2976">
        <f>+AC135+AC136</f>
        <v>14.362240126594433</v>
      </c>
      <c r="AD137" s="2976">
        <f>+AD135+AD136</f>
        <v>15.177575242380211</v>
      </c>
      <c r="AE137" s="2976">
        <f>+AE135+AE136</f>
        <v>16.047371297764418</v>
      </c>
      <c r="AF137" s="3659"/>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row>
    <row r="138" spans="1:119" s="699" customFormat="1" ht="30" customHeight="1">
      <c r="A138" s="663"/>
      <c r="B138" s="663"/>
      <c r="C138" s="694"/>
      <c r="D138" s="670"/>
      <c r="F138" s="694"/>
      <c r="P138" s="547"/>
      <c r="Q138" s="3226"/>
      <c r="R138" s="2286"/>
      <c r="S138" s="2286"/>
      <c r="T138" s="2286"/>
      <c r="U138" s="2286"/>
      <c r="V138" s="2286"/>
      <c r="W138" s="3561"/>
      <c r="X138" s="3561"/>
      <c r="Y138" s="3562"/>
      <c r="Z138" s="3562"/>
      <c r="AA138" s="3693"/>
      <c r="AB138" s="3743"/>
      <c r="AC138" s="3693"/>
      <c r="AD138" s="3693"/>
      <c r="AE138" s="3693"/>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row>
    <row r="139" spans="1:119" s="699" customFormat="1" ht="30" customHeight="1">
      <c r="A139" s="663"/>
      <c r="B139" s="663"/>
      <c r="C139" s="694"/>
      <c r="D139" s="670"/>
      <c r="F139" s="694"/>
      <c r="P139" s="547"/>
      <c r="Q139" s="3226"/>
      <c r="R139" s="2286"/>
      <c r="S139" s="2286"/>
      <c r="T139" s="2286"/>
      <c r="U139" s="2286"/>
      <c r="V139" s="2286"/>
      <c r="W139" s="3561"/>
      <c r="X139" s="3561"/>
      <c r="Y139" s="3561"/>
      <c r="Z139" s="3561"/>
      <c r="AA139" s="3693"/>
      <c r="AB139" s="3693"/>
      <c r="AC139" s="3693"/>
      <c r="AD139" s="3693"/>
      <c r="AE139" s="3693"/>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row>
    <row r="140" spans="1:119" s="699" customFormat="1" ht="22.5" customHeight="1">
      <c r="A140" s="663"/>
      <c r="B140" s="663"/>
      <c r="C140" s="3752" t="s">
        <v>344</v>
      </c>
      <c r="D140" s="3752"/>
      <c r="E140" s="3752"/>
      <c r="F140" s="3752"/>
      <c r="J140" s="699">
        <v>10.614519406416123</v>
      </c>
      <c r="K140" s="699">
        <v>11.005135730007337</v>
      </c>
      <c r="L140" s="699">
        <v>11.042972347642475</v>
      </c>
      <c r="M140" s="699">
        <v>11.938340439488355</v>
      </c>
      <c r="N140" s="699">
        <v>12.738278376028358</v>
      </c>
      <c r="O140" s="699">
        <v>14.12574436868905</v>
      </c>
      <c r="P140" s="547"/>
      <c r="Q140" s="3226"/>
      <c r="R140" s="3537"/>
      <c r="S140" s="2286"/>
      <c r="T140" s="2286"/>
      <c r="U140" s="2290"/>
      <c r="V140" s="2286"/>
      <c r="W140" s="3561"/>
      <c r="X140" s="3561"/>
      <c r="Y140" s="3561"/>
      <c r="Z140" s="3561"/>
      <c r="AA140" s="3693"/>
      <c r="AB140" s="3693"/>
      <c r="AC140" s="3693"/>
      <c r="AD140" s="3693"/>
      <c r="AE140" s="3693"/>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row>
    <row r="141" spans="1:119" s="699" customFormat="1">
      <c r="A141" s="663"/>
      <c r="B141" s="663"/>
      <c r="C141" s="694"/>
      <c r="D141" s="670"/>
      <c r="F141" s="694"/>
      <c r="J141" s="699">
        <v>20.90909090909091</v>
      </c>
      <c r="K141" s="699">
        <v>20.481283422459892</v>
      </c>
      <c r="L141" s="699">
        <v>18.436830835117771</v>
      </c>
      <c r="M141" s="699">
        <v>19.626168224299068</v>
      </c>
      <c r="N141" s="699">
        <v>21.187384044526901</v>
      </c>
      <c r="O141" s="699">
        <v>23.093734822729481</v>
      </c>
      <c r="P141" s="547"/>
      <c r="Q141" s="3226"/>
      <c r="R141" s="3537"/>
      <c r="S141" s="2286"/>
      <c r="T141" s="2286"/>
      <c r="U141" s="2290"/>
      <c r="V141" s="2286"/>
      <c r="W141" s="2286"/>
      <c r="X141" s="2286"/>
      <c r="Y141" s="2286"/>
      <c r="Z141" s="2286"/>
      <c r="AA141" s="2286"/>
      <c r="AB141" s="2286"/>
      <c r="AC141" s="2286"/>
      <c r="AD141" s="2286"/>
      <c r="AE141" s="2286"/>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row>
    <row r="142" spans="1:119">
      <c r="D142" s="900"/>
      <c r="E142" s="901" t="s">
        <v>1504</v>
      </c>
      <c r="F142" s="902"/>
      <c r="G142" s="698">
        <f>+InputY!$G$3</f>
        <v>1995</v>
      </c>
      <c r="H142" s="698">
        <f>+G142+1</f>
        <v>1996</v>
      </c>
      <c r="I142" s="698">
        <f t="shared" ref="I142:P142" si="177">+H142+1</f>
        <v>1997</v>
      </c>
      <c r="J142" s="698">
        <f t="shared" si="177"/>
        <v>1998</v>
      </c>
      <c r="K142" s="698">
        <f t="shared" si="177"/>
        <v>1999</v>
      </c>
      <c r="L142" s="698">
        <f t="shared" si="177"/>
        <v>2000</v>
      </c>
      <c r="M142" s="698">
        <f t="shared" si="177"/>
        <v>2001</v>
      </c>
      <c r="N142" s="698">
        <f t="shared" si="177"/>
        <v>2002</v>
      </c>
      <c r="O142" s="778">
        <f t="shared" si="177"/>
        <v>2003</v>
      </c>
      <c r="P142" s="3538">
        <f t="shared" si="177"/>
        <v>2004</v>
      </c>
      <c r="Q142" s="3538">
        <f t="shared" ref="Q142:W142" si="178">+P142+1</f>
        <v>2005</v>
      </c>
      <c r="R142" s="3538">
        <f t="shared" si="178"/>
        <v>2006</v>
      </c>
      <c r="S142" s="3538">
        <f t="shared" si="178"/>
        <v>2007</v>
      </c>
      <c r="T142" s="3538">
        <f>+S142+1</f>
        <v>2008</v>
      </c>
      <c r="U142" s="3539">
        <f t="shared" si="178"/>
        <v>2009</v>
      </c>
      <c r="V142" s="3539">
        <f t="shared" si="178"/>
        <v>2010</v>
      </c>
      <c r="W142" s="3539">
        <f t="shared" si="178"/>
        <v>2011</v>
      </c>
      <c r="X142" s="3539">
        <f t="shared" ref="X142:AE142" si="179">+W142+1</f>
        <v>2012</v>
      </c>
      <c r="Y142" s="3539">
        <f t="shared" si="179"/>
        <v>2013</v>
      </c>
      <c r="Z142" s="3539">
        <f t="shared" si="179"/>
        <v>2014</v>
      </c>
      <c r="AA142" s="3539">
        <f t="shared" si="179"/>
        <v>2015</v>
      </c>
      <c r="AB142" s="3539">
        <f t="shared" si="179"/>
        <v>2016</v>
      </c>
      <c r="AC142" s="3539">
        <f t="shared" si="179"/>
        <v>2017</v>
      </c>
      <c r="AD142" s="3539">
        <f t="shared" si="179"/>
        <v>2018</v>
      </c>
      <c r="AE142" s="3539">
        <f t="shared" si="179"/>
        <v>2019</v>
      </c>
    </row>
    <row r="143" spans="1:119">
      <c r="C143" s="675"/>
      <c r="D143" s="668"/>
      <c r="E143" s="708" t="s">
        <v>58</v>
      </c>
      <c r="F143" s="724" t="s">
        <v>1316</v>
      </c>
      <c r="G143" s="1454" t="e">
        <f t="shared" ref="G143:Q143" si="180">+G164/G30*1000</f>
        <v>#VALUE!</v>
      </c>
      <c r="H143" s="1454" t="e">
        <f t="shared" si="180"/>
        <v>#VALUE!</v>
      </c>
      <c r="I143" s="1454" t="e">
        <f t="shared" si="180"/>
        <v>#VALUE!</v>
      </c>
      <c r="J143" s="1454" t="e">
        <f t="shared" si="180"/>
        <v>#VALUE!</v>
      </c>
      <c r="K143" s="1454" t="e">
        <f t="shared" si="180"/>
        <v>#VALUE!</v>
      </c>
      <c r="L143" s="1454">
        <f t="shared" si="180"/>
        <v>0.86774191034335835</v>
      </c>
      <c r="M143" s="1454">
        <f t="shared" si="180"/>
        <v>0.90538531031891378</v>
      </c>
      <c r="N143" s="1454">
        <f t="shared" si="180"/>
        <v>0.88820008826863561</v>
      </c>
      <c r="O143" s="1690">
        <f t="shared" si="180"/>
        <v>0.9429011491814947</v>
      </c>
      <c r="P143" s="3547">
        <f t="shared" si="180"/>
        <v>1.074777615133431</v>
      </c>
      <c r="Q143" s="3547">
        <f t="shared" si="180"/>
        <v>1.3259338898726716</v>
      </c>
      <c r="R143" s="3547">
        <f t="shared" ref="R143:S145" si="181">+R164/R30*1000</f>
        <v>1.5512694613228568</v>
      </c>
      <c r="S143" s="3547">
        <f t="shared" si="181"/>
        <v>1.9029937984188932</v>
      </c>
      <c r="T143" s="3547">
        <f t="shared" ref="T143:Z145" si="182">+T164/T30*1000</f>
        <v>2.1583562702206764</v>
      </c>
      <c r="U143" s="3547">
        <f t="shared" ref="U143:Z143" si="183">+U164/U30*1000</f>
        <v>1.8544331480631973</v>
      </c>
      <c r="V143" s="3547">
        <f t="shared" si="183"/>
        <v>1.782093482554312</v>
      </c>
      <c r="W143" s="3547">
        <f t="shared" si="183"/>
        <v>1.8594045888932911</v>
      </c>
      <c r="X143" s="3547">
        <f t="shared" si="183"/>
        <v>1.9108272007251215</v>
      </c>
      <c r="Y143" s="3547">
        <f t="shared" si="183"/>
        <v>2.0652550714713693</v>
      </c>
      <c r="Z143" s="3547">
        <f t="shared" si="183"/>
        <v>2.1803059776037013</v>
      </c>
      <c r="AA143" s="3547">
        <f t="shared" ref="AA143:AB143" si="184">+AA164/AA30*1000</f>
        <v>2.3373963359862975</v>
      </c>
      <c r="AB143" s="3547">
        <f t="shared" si="184"/>
        <v>2.5466833618999725</v>
      </c>
      <c r="AC143" s="2969">
        <f t="shared" ref="AC143:AE144" si="185">+AB143*(1+AC150/100)</f>
        <v>2.9108590826516685</v>
      </c>
      <c r="AD143" s="2969">
        <f t="shared" si="185"/>
        <v>3.1728364000903189</v>
      </c>
      <c r="AE143" s="2969">
        <f t="shared" si="185"/>
        <v>3.3822436024962803</v>
      </c>
      <c r="AF143" s="3716"/>
    </row>
    <row r="144" spans="1:119">
      <c r="C144" s="671"/>
      <c r="D144" s="674"/>
      <c r="E144" s="220" t="s">
        <v>59</v>
      </c>
      <c r="F144" s="710" t="s">
        <v>1317</v>
      </c>
      <c r="G144" s="1044">
        <f t="shared" ref="G144:Q144" si="186">+G165/G31*1000</f>
        <v>0.75364695717691677</v>
      </c>
      <c r="H144" s="1044">
        <f t="shared" si="186"/>
        <v>0.98953571416174613</v>
      </c>
      <c r="I144" s="1044">
        <f t="shared" si="186"/>
        <v>1.3078152570871842</v>
      </c>
      <c r="J144" s="1044">
        <f t="shared" si="186"/>
        <v>1.6478647410857781</v>
      </c>
      <c r="K144" s="1044">
        <f t="shared" si="186"/>
        <v>1.5655786993136391</v>
      </c>
      <c r="L144" s="1044">
        <f t="shared" si="186"/>
        <v>1.5088491016473968</v>
      </c>
      <c r="M144" s="1044">
        <f t="shared" si="186"/>
        <v>1.5871459200752485</v>
      </c>
      <c r="N144" s="1044">
        <f t="shared" si="186"/>
        <v>1.7240994503042688</v>
      </c>
      <c r="O144" s="1044">
        <f t="shared" si="186"/>
        <v>1.8926805911365503</v>
      </c>
      <c r="P144" s="3508">
        <f t="shared" si="186"/>
        <v>2.150653838590765</v>
      </c>
      <c r="Q144" s="3508">
        <f t="shared" si="186"/>
        <v>2.2363515607704234</v>
      </c>
      <c r="R144" s="3508">
        <f t="shared" si="181"/>
        <v>3.1993160473662723</v>
      </c>
      <c r="S144" s="3508">
        <f t="shared" si="181"/>
        <v>3.304405993578309</v>
      </c>
      <c r="T144" s="3508">
        <f t="shared" si="182"/>
        <v>4.1582656793647939</v>
      </c>
      <c r="U144" s="3508">
        <f t="shared" si="182"/>
        <v>4.1559450668594122</v>
      </c>
      <c r="V144" s="3508">
        <f t="shared" si="182"/>
        <v>3.8248243123749237</v>
      </c>
      <c r="W144" s="3508">
        <f t="shared" si="182"/>
        <v>4.3285775027164934</v>
      </c>
      <c r="X144" s="3508">
        <f t="shared" si="182"/>
        <v>4.5774076755973931</v>
      </c>
      <c r="Y144" s="3508">
        <f t="shared" si="182"/>
        <v>4.7710426216717048</v>
      </c>
      <c r="Z144" s="3508">
        <f t="shared" si="182"/>
        <v>4.9888958625018107</v>
      </c>
      <c r="AA144" s="3508">
        <f t="shared" ref="AA144:AB144" si="187">+AA165/AA31*1000</f>
        <v>5.1053937634609978</v>
      </c>
      <c r="AB144" s="3508">
        <f t="shared" si="187"/>
        <v>5.2918207973695051</v>
      </c>
      <c r="AC144" s="2969">
        <f t="shared" si="185"/>
        <v>5.7151664611590656</v>
      </c>
      <c r="AD144" s="2969">
        <f t="shared" si="185"/>
        <v>6.0465854852908878</v>
      </c>
      <c r="AE144" s="2969">
        <f t="shared" si="185"/>
        <v>6.3879995858030778</v>
      </c>
      <c r="AF144" s="3344"/>
    </row>
    <row r="145" spans="1:119">
      <c r="C145" s="671"/>
      <c r="D145" s="746"/>
      <c r="E145" s="750" t="s">
        <v>710</v>
      </c>
      <c r="F145" s="895" t="s">
        <v>1318</v>
      </c>
      <c r="G145" s="922" t="e">
        <f t="shared" ref="G145:Q145" si="188">+G166/G32*1000</f>
        <v>#VALUE!</v>
      </c>
      <c r="H145" s="922" t="e">
        <f t="shared" si="188"/>
        <v>#VALUE!</v>
      </c>
      <c r="I145" s="922" t="e">
        <f t="shared" si="188"/>
        <v>#VALUE!</v>
      </c>
      <c r="J145" s="922" t="e">
        <f t="shared" si="188"/>
        <v>#VALUE!</v>
      </c>
      <c r="K145" s="922" t="e">
        <f t="shared" si="188"/>
        <v>#VALUE!</v>
      </c>
      <c r="L145" s="922">
        <f t="shared" si="188"/>
        <v>1.0041391994955469</v>
      </c>
      <c r="M145" s="922">
        <f t="shared" si="188"/>
        <v>1.053632619333825</v>
      </c>
      <c r="N145" s="922">
        <f t="shared" si="188"/>
        <v>1.0585878789572452</v>
      </c>
      <c r="O145" s="922">
        <f t="shared" si="188"/>
        <v>1.1242450869097917</v>
      </c>
      <c r="P145" s="3543">
        <f t="shared" si="188"/>
        <v>1.2874388234844445</v>
      </c>
      <c r="Q145" s="3543">
        <f t="shared" si="188"/>
        <v>1.5009918523374521</v>
      </c>
      <c r="R145" s="3543">
        <f t="shared" si="181"/>
        <v>1.8264167021729854</v>
      </c>
      <c r="S145" s="3543">
        <f t="shared" si="181"/>
        <v>2.1577257915471031</v>
      </c>
      <c r="T145" s="3543">
        <f t="shared" si="182"/>
        <v>2.5142859411096898</v>
      </c>
      <c r="U145" s="3543">
        <f t="shared" si="182"/>
        <v>2.2941064786447223</v>
      </c>
      <c r="V145" s="3543">
        <f t="shared" si="182"/>
        <v>2.177133959750873</v>
      </c>
      <c r="W145" s="3543">
        <f t="shared" si="182"/>
        <v>2.3260770570114726</v>
      </c>
      <c r="X145" s="3543">
        <f t="shared" si="182"/>
        <v>2.3979839314219187</v>
      </c>
      <c r="Y145" s="3543">
        <f t="shared" si="182"/>
        <v>2.5520926559620962</v>
      </c>
      <c r="Z145" s="3543">
        <f t="shared" si="182"/>
        <v>2.6825968329620609</v>
      </c>
      <c r="AA145" s="3543">
        <f>+AA166/AA32*1000</f>
        <v>2.8422544833475669</v>
      </c>
      <c r="AB145" s="3543">
        <f>+AB166/AB32*1000</f>
        <v>3.0504148160563145</v>
      </c>
      <c r="AC145" s="2969">
        <f>+AC166/AC32*1000</f>
        <v>3.416796891142976</v>
      </c>
      <c r="AD145" s="2969">
        <f>+AD166/AD32*1000</f>
        <v>3.6889524947803425</v>
      </c>
      <c r="AE145" s="2969">
        <f>+AE166/AE32*1000</f>
        <v>3.9221120913402454</v>
      </c>
      <c r="AF145" s="3344"/>
    </row>
    <row r="146" spans="1:119">
      <c r="C146" s="672"/>
      <c r="D146" s="676"/>
      <c r="E146" s="711" t="s">
        <v>711</v>
      </c>
      <c r="F146" s="899" t="s">
        <v>1319</v>
      </c>
      <c r="G146" s="923" t="e">
        <f t="shared" ref="G146:Q146" si="189">+G167/G35*1000</f>
        <v>#VALUE!</v>
      </c>
      <c r="H146" s="923" t="e">
        <f t="shared" si="189"/>
        <v>#VALUE!</v>
      </c>
      <c r="I146" s="923" t="e">
        <f t="shared" si="189"/>
        <v>#VALUE!</v>
      </c>
      <c r="J146" s="923" t="e">
        <f t="shared" si="189"/>
        <v>#VALUE!</v>
      </c>
      <c r="K146" s="923" t="e">
        <f t="shared" si="189"/>
        <v>#VALUE!</v>
      </c>
      <c r="L146" s="923">
        <f t="shared" si="189"/>
        <v>-0.1156735845717994</v>
      </c>
      <c r="M146" s="923">
        <f t="shared" si="189"/>
        <v>-3.6525145919741903E-2</v>
      </c>
      <c r="N146" s="923">
        <f t="shared" si="189"/>
        <v>-4.7249447494124297E-2</v>
      </c>
      <c r="O146" s="923">
        <f t="shared" si="189"/>
        <v>-5.7457391813940231E-2</v>
      </c>
      <c r="P146" s="3544">
        <f t="shared" si="189"/>
        <v>-1.1397679206186492E-2</v>
      </c>
      <c r="Q146" s="3544">
        <f t="shared" si="189"/>
        <v>-3.9342337052335981E-2</v>
      </c>
      <c r="R146" s="3544">
        <f t="shared" ref="R146:Z146" si="190">+R167/R35*1000</f>
        <v>-5.0734312416294808E-2</v>
      </c>
      <c r="S146" s="3544">
        <f t="shared" si="190"/>
        <v>-6.0439560439420184E-2</v>
      </c>
      <c r="T146" s="3544">
        <f t="shared" si="190"/>
        <v>6.3651877133107639</v>
      </c>
      <c r="U146" s="3544">
        <f t="shared" si="190"/>
        <v>3.9779005524878328</v>
      </c>
      <c r="V146" s="3544">
        <f t="shared" si="190"/>
        <v>0</v>
      </c>
      <c r="W146" s="3544">
        <f t="shared" si="190"/>
        <v>0</v>
      </c>
      <c r="X146" s="3544">
        <f t="shared" si="190"/>
        <v>0</v>
      </c>
      <c r="Y146" s="3544">
        <f t="shared" si="190"/>
        <v>0</v>
      </c>
      <c r="Z146" s="3544">
        <f t="shared" si="190"/>
        <v>0</v>
      </c>
      <c r="AA146" s="3544">
        <f t="shared" ref="AA146:AB146" si="191">+AA167/AA35*1000</f>
        <v>0</v>
      </c>
      <c r="AB146" s="3544">
        <f t="shared" si="191"/>
        <v>0</v>
      </c>
      <c r="AC146" s="2970">
        <f>+AB146*(1+AC153/100)</f>
        <v>0</v>
      </c>
      <c r="AD146" s="2970">
        <f>+AC146*(1+AD153/100)</f>
        <v>0</v>
      </c>
      <c r="AE146" s="2970">
        <f>+AD146*(1+AE153/100)</f>
        <v>0</v>
      </c>
      <c r="AF146" s="3344"/>
    </row>
    <row r="147" spans="1:119" s="220" customFormat="1">
      <c r="A147" s="903"/>
      <c r="B147" s="903"/>
      <c r="C147" s="674"/>
      <c r="D147" s="746"/>
      <c r="E147" s="750" t="s">
        <v>1296</v>
      </c>
      <c r="F147" s="895" t="s">
        <v>1320</v>
      </c>
      <c r="G147" s="922" t="e">
        <f t="shared" ref="G147:O147" si="192">+G168/G79*1000</f>
        <v>#VALUE!</v>
      </c>
      <c r="H147" s="922" t="e">
        <f t="shared" si="192"/>
        <v>#VALUE!</v>
      </c>
      <c r="I147" s="922" t="e">
        <f t="shared" si="192"/>
        <v>#VALUE!</v>
      </c>
      <c r="J147" s="922" t="e">
        <f t="shared" si="192"/>
        <v>#VALUE!</v>
      </c>
      <c r="K147" s="922" t="e">
        <f t="shared" si="192"/>
        <v>#VALUE!</v>
      </c>
      <c r="L147" s="922">
        <f t="shared" si="192"/>
        <v>1.0006031577080006</v>
      </c>
      <c r="M147" s="922">
        <f t="shared" si="192"/>
        <v>1.042714328991214</v>
      </c>
      <c r="N147" s="922">
        <f t="shared" si="192"/>
        <v>1.0426698556116569</v>
      </c>
      <c r="O147" s="922">
        <f t="shared" si="192"/>
        <v>1.1065010042343038</v>
      </c>
      <c r="P147" s="3543">
        <f t="shared" ref="P147:Z147" si="193">+P168/P79*1000</f>
        <v>1.2704172510820642</v>
      </c>
      <c r="Q147" s="3543">
        <f t="shared" si="193"/>
        <v>1.4789778449144007</v>
      </c>
      <c r="R147" s="3543">
        <f t="shared" si="193"/>
        <v>1.802756462035543</v>
      </c>
      <c r="S147" s="3543">
        <f t="shared" si="193"/>
        <v>2.1414834722713967</v>
      </c>
      <c r="T147" s="3543">
        <f>+T168/T79*1000</f>
        <v>2.5232226587251296</v>
      </c>
      <c r="U147" s="2246">
        <f t="shared" si="193"/>
        <v>2.296732555534494</v>
      </c>
      <c r="V147" s="2246">
        <f t="shared" si="193"/>
        <v>2.2038091127357071</v>
      </c>
      <c r="W147" s="2246">
        <f t="shared" si="193"/>
        <v>2.347066958112149</v>
      </c>
      <c r="X147" s="2246">
        <f t="shared" si="193"/>
        <v>2.3970079031533316</v>
      </c>
      <c r="Y147" s="2246">
        <f t="shared" si="193"/>
        <v>2.5527441322371995</v>
      </c>
      <c r="Z147" s="2246">
        <f t="shared" si="193"/>
        <v>2.676459682495882</v>
      </c>
      <c r="AA147" s="2246">
        <f t="shared" ref="AA147" si="194">+AA168/AA79*1000</f>
        <v>2.8403416557161636</v>
      </c>
      <c r="AB147" s="3699">
        <f>+AB168/AB79*1000</f>
        <v>3.0433679450678266</v>
      </c>
      <c r="AC147" s="3699">
        <f>+AC168/AC79*1000</f>
        <v>3.4121869884397884</v>
      </c>
      <c r="AD147" s="3699">
        <f>+AD168/AD79*1000</f>
        <v>3.6839751078075613</v>
      </c>
      <c r="AE147" s="3699">
        <f>+AE168/AE79*1000</f>
        <v>3.9168251410121964</v>
      </c>
      <c r="AF147" s="3344"/>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row>
    <row r="148" spans="1:119" s="220" customFormat="1">
      <c r="A148" s="903"/>
      <c r="B148" s="903"/>
      <c r="C148" s="674"/>
      <c r="D148" s="674"/>
      <c r="F148" s="710"/>
      <c r="P148" s="3545"/>
      <c r="Q148" s="3545"/>
      <c r="R148" s="3545"/>
      <c r="S148" s="3545"/>
      <c r="T148" s="3545"/>
      <c r="U148" s="2971"/>
      <c r="V148" s="2971"/>
      <c r="W148" s="2971"/>
      <c r="X148" s="2971"/>
      <c r="Y148" s="2971"/>
      <c r="Z148" s="2971"/>
      <c r="AA148" s="2971"/>
      <c r="AB148" s="3692"/>
      <c r="AC148" s="2971"/>
      <c r="AD148" s="2971"/>
      <c r="AE148" s="2971"/>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row>
    <row r="149" spans="1:119">
      <c r="D149" s="929"/>
      <c r="E149" s="930" t="s">
        <v>1504</v>
      </c>
      <c r="F149" s="931"/>
      <c r="G149" s="896">
        <f>+InputY!$G$3</f>
        <v>1995</v>
      </c>
      <c r="H149" s="896">
        <f>+G149+1</f>
        <v>1996</v>
      </c>
      <c r="I149" s="896">
        <f t="shared" ref="I149:O149" si="195">+H149+1</f>
        <v>1997</v>
      </c>
      <c r="J149" s="896">
        <f t="shared" si="195"/>
        <v>1998</v>
      </c>
      <c r="K149" s="896">
        <f t="shared" si="195"/>
        <v>1999</v>
      </c>
      <c r="L149" s="896">
        <f t="shared" si="195"/>
        <v>2000</v>
      </c>
      <c r="M149" s="896">
        <f t="shared" si="195"/>
        <v>2001</v>
      </c>
      <c r="N149" s="896">
        <f t="shared" si="195"/>
        <v>2002</v>
      </c>
      <c r="O149" s="896">
        <f t="shared" si="195"/>
        <v>2003</v>
      </c>
      <c r="P149" s="3495">
        <f t="shared" ref="P149:W149" si="196">+O149+1</f>
        <v>2004</v>
      </c>
      <c r="Q149" s="3495">
        <f t="shared" si="196"/>
        <v>2005</v>
      </c>
      <c r="R149" s="3495">
        <f t="shared" si="196"/>
        <v>2006</v>
      </c>
      <c r="S149" s="3495">
        <f t="shared" si="196"/>
        <v>2007</v>
      </c>
      <c r="T149" s="3495">
        <f>+S149+1</f>
        <v>2008</v>
      </c>
      <c r="U149" s="3496">
        <f t="shared" si="196"/>
        <v>2009</v>
      </c>
      <c r="V149" s="3496">
        <f t="shared" si="196"/>
        <v>2010</v>
      </c>
      <c r="W149" s="3496">
        <f t="shared" si="196"/>
        <v>2011</v>
      </c>
      <c r="X149" s="3496">
        <f t="shared" ref="X149:AE149" si="197">+W149+1</f>
        <v>2012</v>
      </c>
      <c r="Y149" s="3496">
        <f t="shared" si="197"/>
        <v>2013</v>
      </c>
      <c r="Z149" s="3496">
        <f t="shared" si="197"/>
        <v>2014</v>
      </c>
      <c r="AA149" s="3496">
        <f t="shared" si="197"/>
        <v>2015</v>
      </c>
      <c r="AB149" s="3496">
        <f t="shared" si="197"/>
        <v>2016</v>
      </c>
      <c r="AC149" s="3496">
        <f t="shared" si="197"/>
        <v>2017</v>
      </c>
      <c r="AD149" s="3496">
        <f t="shared" si="197"/>
        <v>2018</v>
      </c>
      <c r="AE149" s="3496">
        <f t="shared" si="197"/>
        <v>2019</v>
      </c>
      <c r="AF149" s="3700">
        <f>AB193</f>
        <v>0</v>
      </c>
    </row>
    <row r="150" spans="1:119">
      <c r="C150" s="762"/>
      <c r="D150" s="689"/>
      <c r="E150" s="732" t="s">
        <v>58</v>
      </c>
      <c r="F150" s="763" t="s">
        <v>1316</v>
      </c>
      <c r="G150" s="1688"/>
      <c r="H150" s="1689" t="e">
        <f t="shared" ref="H150:R151" si="198">(H143/G143-1)*100</f>
        <v>#VALUE!</v>
      </c>
      <c r="I150" s="1689" t="e">
        <f t="shared" si="198"/>
        <v>#VALUE!</v>
      </c>
      <c r="J150" s="1689" t="e">
        <f t="shared" si="198"/>
        <v>#VALUE!</v>
      </c>
      <c r="K150" s="1689" t="e">
        <f t="shared" si="198"/>
        <v>#VALUE!</v>
      </c>
      <c r="L150" s="1689" t="e">
        <f t="shared" si="198"/>
        <v>#VALUE!</v>
      </c>
      <c r="M150" s="1689">
        <f t="shared" si="198"/>
        <v>4.3380871117150832</v>
      </c>
      <c r="N150" s="1689">
        <f t="shared" si="198"/>
        <v>-1.8981114288484369</v>
      </c>
      <c r="O150" s="1689">
        <f t="shared" si="198"/>
        <v>6.1586416884384265</v>
      </c>
      <c r="P150" s="3547">
        <f t="shared" si="198"/>
        <v>13.986245118739582</v>
      </c>
      <c r="Q150" s="3547">
        <f t="shared" si="198"/>
        <v>23.368208567319314</v>
      </c>
      <c r="R150" s="3547">
        <f t="shared" si="198"/>
        <v>16.994480129912361</v>
      </c>
      <c r="S150" s="3547">
        <f t="shared" ref="S150:AB150" si="199">(S143/R143-1)*100</f>
        <v>22.673323098625353</v>
      </c>
      <c r="T150" s="3547">
        <f t="shared" si="199"/>
        <v>13.418986021601942</v>
      </c>
      <c r="U150" s="3547">
        <f t="shared" si="199"/>
        <v>-14.081230534123323</v>
      </c>
      <c r="V150" s="3547">
        <f t="shared" si="199"/>
        <v>-3.9009044669223059</v>
      </c>
      <c r="W150" s="3547">
        <f t="shared" si="199"/>
        <v>4.3382183424052201</v>
      </c>
      <c r="X150" s="3547">
        <f t="shared" si="199"/>
        <v>2.7655418373704777</v>
      </c>
      <c r="Y150" s="3547">
        <f t="shared" si="199"/>
        <v>8.0817287239602464</v>
      </c>
      <c r="Z150" s="3547">
        <f t="shared" si="199"/>
        <v>5.570784341440449</v>
      </c>
      <c r="AA150" s="3547">
        <f t="shared" si="199"/>
        <v>7.2049684767295341</v>
      </c>
      <c r="AB150" s="3547">
        <f t="shared" si="199"/>
        <v>8.9538527416816329</v>
      </c>
      <c r="AC150" s="3559">
        <v>14.3</v>
      </c>
      <c r="AD150" s="3559">
        <v>9</v>
      </c>
      <c r="AE150" s="3559">
        <v>6.6</v>
      </c>
      <c r="AF150" s="3559">
        <v>5.5</v>
      </c>
    </row>
    <row r="151" spans="1:119">
      <c r="C151" s="932"/>
      <c r="D151" s="674"/>
      <c r="E151" s="220" t="s">
        <v>59</v>
      </c>
      <c r="F151" s="710" t="s">
        <v>1317</v>
      </c>
      <c r="G151" s="1559"/>
      <c r="H151" s="1044">
        <f t="shared" si="198"/>
        <v>31.299636353398697</v>
      </c>
      <c r="I151" s="1044">
        <f t="shared" si="198"/>
        <v>32.164533161398666</v>
      </c>
      <c r="J151" s="1044">
        <f t="shared" si="198"/>
        <v>26.001339421285309</v>
      </c>
      <c r="K151" s="1044">
        <f t="shared" si="198"/>
        <v>-4.993494898004835</v>
      </c>
      <c r="L151" s="1044">
        <f t="shared" si="198"/>
        <v>-3.6235545163659233</v>
      </c>
      <c r="M151" s="1044">
        <f t="shared" si="198"/>
        <v>5.1891748712555419</v>
      </c>
      <c r="N151" s="1044">
        <f t="shared" si="198"/>
        <v>8.6289186455223543</v>
      </c>
      <c r="O151" s="1044">
        <f t="shared" si="198"/>
        <v>9.7779244000414387</v>
      </c>
      <c r="P151" s="3508">
        <f t="shared" si="198"/>
        <v>13.630046647189541</v>
      </c>
      <c r="Q151" s="3508">
        <f t="shared" si="198"/>
        <v>3.9847287667555298</v>
      </c>
      <c r="R151" s="3508">
        <f t="shared" si="198"/>
        <v>43.05962011912419</v>
      </c>
      <c r="S151" s="3508">
        <f t="shared" ref="S151:T153" si="200">(S144/R144-1)*100</f>
        <v>3.2847628885726454</v>
      </c>
      <c r="T151" s="3508">
        <f t="shared" si="200"/>
        <v>25.840035620497371</v>
      </c>
      <c r="U151" s="3508">
        <f t="shared" ref="U151:Z153" si="201">(U144/T144-1)*100</f>
        <v>-5.580722070976929E-2</v>
      </c>
      <c r="V151" s="3508">
        <f t="shared" si="201"/>
        <v>-7.9673996926699413</v>
      </c>
      <c r="W151" s="3508">
        <f t="shared" si="201"/>
        <v>13.170622993367708</v>
      </c>
      <c r="X151" s="3508">
        <f t="shared" si="201"/>
        <v>5.7485437819870588</v>
      </c>
      <c r="Y151" s="3508">
        <f t="shared" si="201"/>
        <v>4.2302316026295417</v>
      </c>
      <c r="Z151" s="3508">
        <f t="shared" si="201"/>
        <v>4.5661558301856697</v>
      </c>
      <c r="AA151" s="3508">
        <f>(AA144/Z144-1)*100</f>
        <v>2.3351439711304378</v>
      </c>
      <c r="AB151" s="3508">
        <f>(AB144/AA144-1)*100</f>
        <v>3.6515701343695417</v>
      </c>
      <c r="AC151" s="3559">
        <v>8</v>
      </c>
      <c r="AD151" s="3559">
        <v>5.7989391277434308</v>
      </c>
      <c r="AE151" s="3559">
        <f>AE120-0.1</f>
        <v>5.6463950000000009</v>
      </c>
      <c r="AF151" s="3731"/>
    </row>
    <row r="152" spans="1:119">
      <c r="C152" s="932"/>
      <c r="D152" s="717"/>
      <c r="E152" s="718" t="s">
        <v>710</v>
      </c>
      <c r="F152" s="924" t="s">
        <v>1318</v>
      </c>
      <c r="G152" s="925"/>
      <c r="H152" s="925" t="e">
        <f>(H145/G145-1)*100</f>
        <v>#VALUE!</v>
      </c>
      <c r="I152" s="925" t="e">
        <f t="shared" ref="I152:R152" si="202">(I145/H145-1)*100</f>
        <v>#VALUE!</v>
      </c>
      <c r="J152" s="925" t="e">
        <f t="shared" si="202"/>
        <v>#VALUE!</v>
      </c>
      <c r="K152" s="925" t="e">
        <f t="shared" si="202"/>
        <v>#VALUE!</v>
      </c>
      <c r="L152" s="925" t="e">
        <f t="shared" si="202"/>
        <v>#VALUE!</v>
      </c>
      <c r="M152" s="925">
        <f t="shared" si="202"/>
        <v>4.9289401173803649</v>
      </c>
      <c r="N152" s="925">
        <f t="shared" si="202"/>
        <v>0.47030241210197499</v>
      </c>
      <c r="O152" s="925">
        <f t="shared" si="202"/>
        <v>6.2023389137255025</v>
      </c>
      <c r="P152" s="3549">
        <f t="shared" si="202"/>
        <v>14.51585054493969</v>
      </c>
      <c r="Q152" s="3549">
        <f t="shared" si="202"/>
        <v>16.587431181780566</v>
      </c>
      <c r="R152" s="3549">
        <f t="shared" si="202"/>
        <v>21.680653984147781</v>
      </c>
      <c r="S152" s="3549">
        <f t="shared" si="200"/>
        <v>18.139841197243854</v>
      </c>
      <c r="T152" s="3549">
        <f t="shared" si="200"/>
        <v>16.524812882128593</v>
      </c>
      <c r="U152" s="2972">
        <f t="shared" si="201"/>
        <v>-8.7571369216577821</v>
      </c>
      <c r="V152" s="2972">
        <f t="shared" si="201"/>
        <v>-5.0988269281621363</v>
      </c>
      <c r="W152" s="2972">
        <f t="shared" si="201"/>
        <v>6.8412463364285969</v>
      </c>
      <c r="X152" s="2972">
        <f t="shared" ref="X152:AE152" si="203">(X145/W145-1)*100</f>
        <v>3.0913367290949401</v>
      </c>
      <c r="Y152" s="2972">
        <f t="shared" si="203"/>
        <v>6.4265953795944242</v>
      </c>
      <c r="Z152" s="2972">
        <f t="shared" si="203"/>
        <v>5.1136143781882692</v>
      </c>
      <c r="AA152" s="2972">
        <f t="shared" si="203"/>
        <v>5.9516080994256537</v>
      </c>
      <c r="AB152" s="2972">
        <f t="shared" si="203"/>
        <v>7.3237753314608023</v>
      </c>
      <c r="AC152" s="2972">
        <f t="shared" si="203"/>
        <v>12.010893507274979</v>
      </c>
      <c r="AD152" s="2972">
        <f t="shared" si="203"/>
        <v>7.9652262720926847</v>
      </c>
      <c r="AE152" s="2972">
        <f t="shared" si="203"/>
        <v>6.3204824917049152</v>
      </c>
    </row>
    <row r="153" spans="1:119">
      <c r="C153" s="690"/>
      <c r="D153" s="691"/>
      <c r="E153" s="735" t="s">
        <v>711</v>
      </c>
      <c r="F153" s="933" t="s">
        <v>1319</v>
      </c>
      <c r="G153" s="934"/>
      <c r="H153" s="934" t="e">
        <f t="shared" ref="H153:R153" si="204">(H146/G146-1)*100</f>
        <v>#VALUE!</v>
      </c>
      <c r="I153" s="934" t="e">
        <f t="shared" si="204"/>
        <v>#VALUE!</v>
      </c>
      <c r="J153" s="934" t="e">
        <f t="shared" si="204"/>
        <v>#VALUE!</v>
      </c>
      <c r="K153" s="934" t="e">
        <f t="shared" si="204"/>
        <v>#VALUE!</v>
      </c>
      <c r="L153" s="934" t="e">
        <f t="shared" si="204"/>
        <v>#VALUE!</v>
      </c>
      <c r="M153" s="934">
        <f t="shared" si="204"/>
        <v>-68.423952577461193</v>
      </c>
      <c r="N153" s="934">
        <f t="shared" si="204"/>
        <v>29.36142020608845</v>
      </c>
      <c r="O153" s="934">
        <f t="shared" si="204"/>
        <v>21.604367587759299</v>
      </c>
      <c r="P153" s="3550">
        <f t="shared" si="204"/>
        <v>-80.163249938154692</v>
      </c>
      <c r="Q153" s="3550">
        <f t="shared" si="204"/>
        <v>245.178490643793</v>
      </c>
      <c r="R153" s="3550">
        <f t="shared" si="204"/>
        <v>28.956020962365315</v>
      </c>
      <c r="S153" s="3550">
        <f t="shared" si="200"/>
        <v>19.129554656205915</v>
      </c>
      <c r="T153" s="3550">
        <f t="shared" si="200"/>
        <v>-10631.492398411339</v>
      </c>
      <c r="U153" s="3550">
        <f t="shared" si="201"/>
        <v>-37.505369336251938</v>
      </c>
      <c r="V153" s="3550">
        <f>(V146/U146-1)*100</f>
        <v>-100</v>
      </c>
      <c r="W153" s="2973"/>
      <c r="X153" s="2973"/>
      <c r="Y153" s="2973"/>
      <c r="Z153" s="2973"/>
      <c r="AA153" s="2973"/>
      <c r="AB153" s="2973"/>
      <c r="AC153" s="2973"/>
      <c r="AD153" s="2973"/>
      <c r="AE153" s="2973"/>
    </row>
    <row r="154" spans="1:119" s="220" customFormat="1">
      <c r="A154" s="903"/>
      <c r="B154" s="903"/>
      <c r="C154" s="674"/>
      <c r="D154" s="717"/>
      <c r="E154" s="718" t="s">
        <v>1296</v>
      </c>
      <c r="F154" s="924" t="s">
        <v>1320</v>
      </c>
      <c r="G154" s="925"/>
      <c r="H154" s="925" t="e">
        <f t="shared" ref="H154:AE154" si="205">(H147/G147-1)*100</f>
        <v>#VALUE!</v>
      </c>
      <c r="I154" s="925" t="e">
        <f t="shared" si="205"/>
        <v>#VALUE!</v>
      </c>
      <c r="J154" s="925" t="e">
        <f t="shared" si="205"/>
        <v>#VALUE!</v>
      </c>
      <c r="K154" s="925" t="e">
        <f t="shared" si="205"/>
        <v>#VALUE!</v>
      </c>
      <c r="L154" s="925" t="e">
        <f t="shared" si="205"/>
        <v>#VALUE!</v>
      </c>
      <c r="M154" s="925">
        <f t="shared" si="205"/>
        <v>4.2085786916437495</v>
      </c>
      <c r="N154" s="925">
        <f t="shared" si="205"/>
        <v>-4.2651547332295259E-3</v>
      </c>
      <c r="O154" s="925">
        <f t="shared" si="205"/>
        <v>6.1218945075574016</v>
      </c>
      <c r="P154" s="3549">
        <f t="shared" si="205"/>
        <v>14.813926622795082</v>
      </c>
      <c r="Q154" s="3549">
        <f t="shared" si="205"/>
        <v>16.416700391520767</v>
      </c>
      <c r="R154" s="3549">
        <f t="shared" si="205"/>
        <v>21.892053233554808</v>
      </c>
      <c r="S154" s="3549">
        <f t="shared" si="205"/>
        <v>18.789393762781881</v>
      </c>
      <c r="T154" s="3549">
        <f t="shared" si="205"/>
        <v>17.825922609098434</v>
      </c>
      <c r="U154" s="2972">
        <f t="shared" si="205"/>
        <v>-8.976223418391104</v>
      </c>
      <c r="V154" s="2972">
        <f t="shared" si="205"/>
        <v>-4.0458974021536314</v>
      </c>
      <c r="W154" s="2972">
        <f t="shared" si="205"/>
        <v>6.500465242137432</v>
      </c>
      <c r="X154" s="2972">
        <f t="shared" si="205"/>
        <v>2.1278023138015634</v>
      </c>
      <c r="Y154" s="2972">
        <f t="shared" si="205"/>
        <v>6.4971095372273302</v>
      </c>
      <c r="Z154" s="2972">
        <f t="shared" si="205"/>
        <v>4.846374875427073</v>
      </c>
      <c r="AA154" s="2972">
        <f t="shared" si="205"/>
        <v>6.123087685275963</v>
      </c>
      <c r="AB154" s="2972">
        <f t="shared" si="205"/>
        <v>7.1479530972294869</v>
      </c>
      <c r="AC154" s="2972">
        <f t="shared" si="205"/>
        <v>12.118779261300983</v>
      </c>
      <c r="AD154" s="2972">
        <f t="shared" si="205"/>
        <v>7.9652176240214478</v>
      </c>
      <c r="AE154" s="2972">
        <f t="shared" si="205"/>
        <v>6.3206190701763587</v>
      </c>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row>
    <row r="155" spans="1:119" s="220" customFormat="1">
      <c r="A155" s="903"/>
      <c r="B155" s="903"/>
      <c r="C155" s="674"/>
      <c r="D155" s="674"/>
      <c r="F155" s="710"/>
      <c r="H155" s="1518"/>
      <c r="I155" s="1518"/>
      <c r="J155" s="1518"/>
      <c r="K155" s="1518"/>
      <c r="L155" s="1518"/>
      <c r="M155" s="1518"/>
      <c r="N155" s="1518"/>
      <c r="O155" s="1518"/>
      <c r="P155" s="3563"/>
      <c r="Q155" s="3563"/>
      <c r="R155" s="3563"/>
      <c r="S155" s="3563"/>
      <c r="T155" s="3563"/>
      <c r="U155" s="2977"/>
      <c r="V155" s="2977"/>
      <c r="W155" s="2977"/>
      <c r="X155" s="2977"/>
      <c r="Y155" s="2977"/>
      <c r="Z155" s="2977"/>
      <c r="AA155" s="2977"/>
      <c r="AB155" s="2977"/>
      <c r="AC155" s="2977"/>
      <c r="AD155" s="2977"/>
      <c r="AE155" s="2977"/>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row>
    <row r="156" spans="1:119">
      <c r="D156" s="1885"/>
      <c r="E156" s="1886" t="s">
        <v>228</v>
      </c>
      <c r="F156" s="1887"/>
      <c r="G156" s="984">
        <f>+InputY!$G$3</f>
        <v>1995</v>
      </c>
      <c r="H156" s="984">
        <f>+G156+1</f>
        <v>1996</v>
      </c>
      <c r="I156" s="984">
        <f t="shared" ref="I156:O156" si="206">+H156+1</f>
        <v>1997</v>
      </c>
      <c r="J156" s="984">
        <f t="shared" si="206"/>
        <v>1998</v>
      </c>
      <c r="K156" s="984">
        <f t="shared" si="206"/>
        <v>1999</v>
      </c>
      <c r="L156" s="984">
        <f t="shared" si="206"/>
        <v>2000</v>
      </c>
      <c r="M156" s="984">
        <f t="shared" si="206"/>
        <v>2001</v>
      </c>
      <c r="N156" s="984">
        <f t="shared" si="206"/>
        <v>2002</v>
      </c>
      <c r="O156" s="984">
        <f t="shared" si="206"/>
        <v>2003</v>
      </c>
      <c r="P156" s="3564">
        <f t="shared" ref="P156:U156" si="207">+O156+1</f>
        <v>2004</v>
      </c>
      <c r="Q156" s="3564">
        <f t="shared" si="207"/>
        <v>2005</v>
      </c>
      <c r="R156" s="3564">
        <f>+Q156+1</f>
        <v>2006</v>
      </c>
      <c r="S156" s="3564">
        <f>+R156+1</f>
        <v>2007</v>
      </c>
      <c r="T156" s="3564">
        <f>+S156+1</f>
        <v>2008</v>
      </c>
      <c r="U156" s="3565">
        <f t="shared" si="207"/>
        <v>2009</v>
      </c>
      <c r="V156" s="3565">
        <f t="shared" ref="V156:AE156" si="208">+U156+1</f>
        <v>2010</v>
      </c>
      <c r="W156" s="3565">
        <f t="shared" si="208"/>
        <v>2011</v>
      </c>
      <c r="X156" s="3565">
        <f t="shared" si="208"/>
        <v>2012</v>
      </c>
      <c r="Y156" s="3565">
        <f t="shared" si="208"/>
        <v>2013</v>
      </c>
      <c r="Z156" s="3565">
        <f t="shared" si="208"/>
        <v>2014</v>
      </c>
      <c r="AA156" s="3565">
        <f t="shared" si="208"/>
        <v>2015</v>
      </c>
      <c r="AB156" s="3565">
        <f t="shared" si="208"/>
        <v>2016</v>
      </c>
      <c r="AC156" s="3565">
        <f t="shared" si="208"/>
        <v>2017</v>
      </c>
      <c r="AD156" s="3565">
        <f t="shared" si="208"/>
        <v>2018</v>
      </c>
      <c r="AE156" s="3565">
        <f t="shared" si="208"/>
        <v>2019</v>
      </c>
    </row>
    <row r="157" spans="1:119">
      <c r="C157" s="992"/>
      <c r="D157" s="863"/>
      <c r="E157" s="1880" t="s">
        <v>58</v>
      </c>
      <c r="F157" s="1881" t="s">
        <v>1316</v>
      </c>
      <c r="G157" s="1882" t="e">
        <f>+G143/G112</f>
        <v>#VALUE!</v>
      </c>
      <c r="H157" s="1882" t="e">
        <f t="shared" ref="H157:P157" si="209">+H143/H112</f>
        <v>#VALUE!</v>
      </c>
      <c r="I157" s="1882" t="e">
        <f t="shared" si="209"/>
        <v>#VALUE!</v>
      </c>
      <c r="J157" s="1882" t="e">
        <f t="shared" si="209"/>
        <v>#VALUE!</v>
      </c>
      <c r="K157" s="1882" t="e">
        <f t="shared" si="209"/>
        <v>#VALUE!</v>
      </c>
      <c r="L157" s="1882">
        <f t="shared" si="209"/>
        <v>0.26960987144019533</v>
      </c>
      <c r="M157" s="1882">
        <f t="shared" si="209"/>
        <v>0.25884914285714306</v>
      </c>
      <c r="N157" s="1882">
        <f t="shared" si="209"/>
        <v>0.23774434584755397</v>
      </c>
      <c r="O157" s="1882">
        <f t="shared" si="209"/>
        <v>0.22789046341835961</v>
      </c>
      <c r="P157" s="3566">
        <f t="shared" si="209"/>
        <v>0.22723283044982701</v>
      </c>
      <c r="Q157" s="3566">
        <f t="shared" ref="Q157:R161" si="210">+Q143/Q112</f>
        <v>0.24622039538070092</v>
      </c>
      <c r="R157" s="3566">
        <f t="shared" si="210"/>
        <v>0.24239794124228733</v>
      </c>
      <c r="S157" s="3566">
        <f t="shared" ref="S157:T161" si="211">+S143/S112</f>
        <v>0.25373753384849079</v>
      </c>
      <c r="T157" s="3566">
        <f t="shared" si="211"/>
        <v>0.25853384850307704</v>
      </c>
      <c r="U157" s="2978">
        <f t="shared" ref="U157:V161" si="212">+U143/U112</f>
        <v>0.2545192321771087</v>
      </c>
      <c r="V157" s="2978">
        <f t="shared" si="212"/>
        <v>0.23438949222189606</v>
      </c>
      <c r="W157" s="2978">
        <f t="shared" ref="W157:X161" si="213">+W143/W112</f>
        <v>0.22791940512017686</v>
      </c>
      <c r="X157" s="2978">
        <f t="shared" si="213"/>
        <v>0.22233884940863316</v>
      </c>
      <c r="Y157" s="2978">
        <f t="shared" ref="Y157:Z161" si="214">+Y143/Y112</f>
        <v>0.22779003764500416</v>
      </c>
      <c r="Z157" s="2978">
        <f t="shared" si="214"/>
        <v>0.22816179221407984</v>
      </c>
      <c r="AA157" s="2978">
        <f t="shared" ref="AA157:AB161" si="215">+AA143/AA112</f>
        <v>0.22849164292788529</v>
      </c>
      <c r="AB157" s="2978">
        <f t="shared" si="215"/>
        <v>0.23308753076446165</v>
      </c>
      <c r="AC157" s="2978">
        <f t="shared" ref="AC157:AD161" si="216">+AC143/AC112</f>
        <v>0.2453214066885632</v>
      </c>
      <c r="AD157" s="2978">
        <f t="shared" si="216"/>
        <v>0.25161250217561154</v>
      </c>
      <c r="AE157" s="2978">
        <f t="shared" ref="AE157" si="217">+AE143/AE112</f>
        <v>0.25303672388603954</v>
      </c>
    </row>
    <row r="158" spans="1:119">
      <c r="C158" s="943"/>
      <c r="D158" s="674"/>
      <c r="E158" s="220" t="s">
        <v>59</v>
      </c>
      <c r="F158" s="710" t="s">
        <v>1317</v>
      </c>
      <c r="G158" s="1502">
        <f>+G144/G113</f>
        <v>0.26762487144259078</v>
      </c>
      <c r="H158" s="1502">
        <f t="shared" ref="H158:P158" si="218">+H144/H113</f>
        <v>0.26289642651296818</v>
      </c>
      <c r="I158" s="1502">
        <f t="shared" si="218"/>
        <v>0.2823556979405033</v>
      </c>
      <c r="J158" s="1502">
        <f t="shared" si="218"/>
        <v>0.28109069610272575</v>
      </c>
      <c r="K158" s="1502">
        <f t="shared" si="218"/>
        <v>0.27416283376849437</v>
      </c>
      <c r="L158" s="1502">
        <f t="shared" si="218"/>
        <v>0.28935011010452971</v>
      </c>
      <c r="M158" s="1502">
        <f t="shared" si="218"/>
        <v>0.29140200634920616</v>
      </c>
      <c r="N158" s="1502">
        <f t="shared" si="218"/>
        <v>0.2955634255691767</v>
      </c>
      <c r="O158" s="1502">
        <f t="shared" si="218"/>
        <v>0.29727250977917968</v>
      </c>
      <c r="P158" s="3567">
        <f t="shared" si="218"/>
        <v>0.32917946343371135</v>
      </c>
      <c r="Q158" s="3567">
        <f t="shared" si="210"/>
        <v>0.30648058252427202</v>
      </c>
      <c r="R158" s="3567">
        <f t="shared" si="210"/>
        <v>0.33380019171370756</v>
      </c>
      <c r="S158" s="3567">
        <f t="shared" si="211"/>
        <v>0.35394315739192739</v>
      </c>
      <c r="T158" s="3567">
        <f t="shared" si="211"/>
        <v>0.36648844157886429</v>
      </c>
      <c r="U158" s="2284">
        <f t="shared" si="212"/>
        <v>0.36941733927639214</v>
      </c>
      <c r="V158" s="2284">
        <f t="shared" si="212"/>
        <v>0.36738489047831913</v>
      </c>
      <c r="W158" s="2284">
        <f t="shared" si="213"/>
        <v>0.40166147911095529</v>
      </c>
      <c r="X158" s="2284">
        <f t="shared" si="213"/>
        <v>0.41345164384756256</v>
      </c>
      <c r="Y158" s="2284">
        <f t="shared" si="214"/>
        <v>0.41453751959662721</v>
      </c>
      <c r="Z158" s="2284">
        <f t="shared" si="214"/>
        <v>0.42545701581027667</v>
      </c>
      <c r="AA158" s="2284">
        <f t="shared" si="215"/>
        <v>0.43357986401049742</v>
      </c>
      <c r="AB158" s="2284">
        <f t="shared" si="215"/>
        <v>0.43832274171584223</v>
      </c>
      <c r="AC158" s="2284">
        <f t="shared" si="216"/>
        <v>0.44308176811410488</v>
      </c>
      <c r="AD158" s="2284">
        <f t="shared" si="216"/>
        <v>0.44124229116450592</v>
      </c>
      <c r="AE158" s="2284">
        <f t="shared" ref="AE158" si="219">+AE144/AE113</f>
        <v>0.44082502654648792</v>
      </c>
    </row>
    <row r="159" spans="1:119">
      <c r="C159" s="943"/>
      <c r="D159" s="806"/>
      <c r="E159" s="334" t="s">
        <v>710</v>
      </c>
      <c r="F159" s="187" t="s">
        <v>1318</v>
      </c>
      <c r="G159" s="1879" t="e">
        <f>+G145/G114</f>
        <v>#VALUE!</v>
      </c>
      <c r="H159" s="1879" t="e">
        <f t="shared" ref="H159:P159" si="220">+H145/H114</f>
        <v>#VALUE!</v>
      </c>
      <c r="I159" s="1879" t="e">
        <f t="shared" si="220"/>
        <v>#VALUE!</v>
      </c>
      <c r="J159" s="1879" t="e">
        <f t="shared" si="220"/>
        <v>#VALUE!</v>
      </c>
      <c r="K159" s="1879" t="e">
        <f t="shared" si="220"/>
        <v>#VALUE!</v>
      </c>
      <c r="L159" s="1879">
        <f t="shared" si="220"/>
        <v>0.27562116997948655</v>
      </c>
      <c r="M159" s="1879">
        <f t="shared" si="220"/>
        <v>0.26868054458293394</v>
      </c>
      <c r="N159" s="1879">
        <f t="shared" si="220"/>
        <v>0.25425685326664565</v>
      </c>
      <c r="O159" s="1879">
        <f t="shared" si="220"/>
        <v>0.24637394319009473</v>
      </c>
      <c r="P159" s="3568">
        <f t="shared" si="220"/>
        <v>0.25311680826134447</v>
      </c>
      <c r="Q159" s="3568">
        <f t="shared" si="210"/>
        <v>0.26091756696758933</v>
      </c>
      <c r="R159" s="3568">
        <f t="shared" si="210"/>
        <v>0.26349889353331668</v>
      </c>
      <c r="S159" s="3568">
        <f t="shared" si="211"/>
        <v>0.27544495033112576</v>
      </c>
      <c r="T159" s="3568">
        <f t="shared" si="211"/>
        <v>0.28307740436181611</v>
      </c>
      <c r="U159" s="2979">
        <f t="shared" si="212"/>
        <v>0.28521995708154502</v>
      </c>
      <c r="V159" s="2979">
        <f t="shared" si="212"/>
        <v>0.26725997127389234</v>
      </c>
      <c r="W159" s="2979">
        <f t="shared" si="213"/>
        <v>0.26881539572799484</v>
      </c>
      <c r="X159" s="2979">
        <f t="shared" si="213"/>
        <v>0.26506628972509261</v>
      </c>
      <c r="Y159" s="2979">
        <f t="shared" si="214"/>
        <v>0.26847147867823534</v>
      </c>
      <c r="Z159" s="2979">
        <f t="shared" si="214"/>
        <v>0.26976903707562738</v>
      </c>
      <c r="AA159" s="2979">
        <f t="shared" si="215"/>
        <v>0.2703940206353076</v>
      </c>
      <c r="AB159" s="2979">
        <f t="shared" si="215"/>
        <v>0.27391526826698775</v>
      </c>
      <c r="AC159" s="2979">
        <f t="shared" si="216"/>
        <v>0.28350708658848939</v>
      </c>
      <c r="AD159" s="2979">
        <f t="shared" si="216"/>
        <v>0.2880552308777678</v>
      </c>
      <c r="AE159" s="2979">
        <f t="shared" ref="AE159" si="221">+AE145/AE114</f>
        <v>0.28905869453810756</v>
      </c>
    </row>
    <row r="160" spans="1:119">
      <c r="C160" s="867"/>
      <c r="D160" s="868"/>
      <c r="E160" s="869" t="s">
        <v>711</v>
      </c>
      <c r="F160" s="1883" t="s">
        <v>1319</v>
      </c>
      <c r="G160" s="1884" t="e">
        <f>+G146/G115</f>
        <v>#VALUE!</v>
      </c>
      <c r="H160" s="1884" t="e">
        <f t="shared" ref="H160:P160" si="222">+H146/H115</f>
        <v>#VALUE!</v>
      </c>
      <c r="I160" s="1884" t="e">
        <f t="shared" si="222"/>
        <v>#VALUE!</v>
      </c>
      <c r="J160" s="1884" t="e">
        <f t="shared" si="222"/>
        <v>#VALUE!</v>
      </c>
      <c r="K160" s="1884" t="e">
        <f t="shared" si="222"/>
        <v>#VALUE!</v>
      </c>
      <c r="L160" s="1884">
        <f t="shared" si="222"/>
        <v>-3.1745634823429215E-2</v>
      </c>
      <c r="M160" s="1884">
        <f t="shared" si="222"/>
        <v>-7.1237058181566736E-3</v>
      </c>
      <c r="N160" s="1884">
        <f t="shared" si="222"/>
        <v>-1.3426001253695957E-2</v>
      </c>
      <c r="O160" s="1884">
        <f t="shared" si="222"/>
        <v>-2.3978595115196469E-2</v>
      </c>
      <c r="P160" s="3569">
        <f t="shared" si="222"/>
        <v>-1.2010125696624305E-3</v>
      </c>
      <c r="Q160" s="3569">
        <f t="shared" si="210"/>
        <v>-3.5977017666395331E-3</v>
      </c>
      <c r="R160" s="3569">
        <f t="shared" si="210"/>
        <v>-3.7408938767282047E-3</v>
      </c>
      <c r="S160" s="3569">
        <f>+S146/S115</f>
        <v>-3.4435261707908703E-3</v>
      </c>
      <c r="T160" s="3569">
        <f>+T146/T115</f>
        <v>0.17265321236808909</v>
      </c>
      <c r="U160" s="2980">
        <f>+U146/U115</f>
        <v>0.19032513877882207</v>
      </c>
      <c r="V160" s="2980">
        <f>+V146/V115</f>
        <v>0</v>
      </c>
      <c r="W160" s="2980">
        <f t="shared" si="213"/>
        <v>0</v>
      </c>
      <c r="X160" s="2980">
        <f t="shared" si="213"/>
        <v>0</v>
      </c>
      <c r="Y160" s="2980">
        <f t="shared" si="214"/>
        <v>0</v>
      </c>
      <c r="Z160" s="2980">
        <f t="shared" si="214"/>
        <v>0</v>
      </c>
      <c r="AA160" s="2980">
        <f t="shared" si="215"/>
        <v>0</v>
      </c>
      <c r="AB160" s="2980">
        <f t="shared" si="215"/>
        <v>0</v>
      </c>
      <c r="AC160" s="2980">
        <f t="shared" si="216"/>
        <v>0</v>
      </c>
      <c r="AD160" s="2980">
        <f t="shared" si="216"/>
        <v>0</v>
      </c>
      <c r="AE160" s="2980">
        <f t="shared" ref="AE160" si="223">+AE146/AE115</f>
        <v>0</v>
      </c>
    </row>
    <row r="161" spans="1:119" s="220" customFormat="1">
      <c r="A161" s="903"/>
      <c r="B161" s="903"/>
      <c r="C161" s="674"/>
      <c r="D161" s="806"/>
      <c r="E161" s="334" t="s">
        <v>1296</v>
      </c>
      <c r="F161" s="187" t="s">
        <v>1320</v>
      </c>
      <c r="G161" s="1879" t="e">
        <f>+G147/G116</f>
        <v>#VALUE!</v>
      </c>
      <c r="H161" s="1879" t="e">
        <f t="shared" ref="H161:P161" si="224">+H147/H116</f>
        <v>#VALUE!</v>
      </c>
      <c r="I161" s="1879" t="e">
        <f t="shared" si="224"/>
        <v>#VALUE!</v>
      </c>
      <c r="J161" s="1879" t="e">
        <f t="shared" si="224"/>
        <v>#VALUE!</v>
      </c>
      <c r="K161" s="1879" t="e">
        <f t="shared" si="224"/>
        <v>#VALUE!</v>
      </c>
      <c r="L161" s="1879">
        <f t="shared" si="224"/>
        <v>0.27465044201464206</v>
      </c>
      <c r="M161" s="1879">
        <f t="shared" si="224"/>
        <v>0.26508003556617643</v>
      </c>
      <c r="N161" s="1879">
        <f t="shared" si="224"/>
        <v>0.25099260927231393</v>
      </c>
      <c r="O161" s="1879">
        <f t="shared" si="224"/>
        <v>0.2442269052220287</v>
      </c>
      <c r="P161" s="3568">
        <f t="shared" si="224"/>
        <v>0.24696807994566791</v>
      </c>
      <c r="Q161" s="3568">
        <f t="shared" si="210"/>
        <v>0.25382278852925794</v>
      </c>
      <c r="R161" s="3568">
        <f t="shared" si="210"/>
        <v>0.25698679166526756</v>
      </c>
      <c r="S161" s="3568">
        <f t="shared" si="211"/>
        <v>0.27091061227315122</v>
      </c>
      <c r="T161" s="3568">
        <f t="shared" si="211"/>
        <v>0.28202145534444878</v>
      </c>
      <c r="U161" s="2979">
        <f t="shared" si="212"/>
        <v>0.28483633491952748</v>
      </c>
      <c r="V161" s="2979">
        <f t="shared" si="212"/>
        <v>0.26546829218095824</v>
      </c>
      <c r="W161" s="2979">
        <f t="shared" si="213"/>
        <v>0.26735401126039171</v>
      </c>
      <c r="X161" s="2979">
        <f t="shared" si="213"/>
        <v>0.26425661617721624</v>
      </c>
      <c r="Y161" s="2979">
        <f t="shared" si="214"/>
        <v>0.26751784826973046</v>
      </c>
      <c r="Z161" s="2979">
        <f t="shared" si="214"/>
        <v>0.26947192771042489</v>
      </c>
      <c r="AA161" s="2979">
        <f t="shared" si="215"/>
        <v>0.2701094488930148</v>
      </c>
      <c r="AB161" s="2979">
        <f t="shared" si="215"/>
        <v>0.2741332428202371</v>
      </c>
      <c r="AC161" s="2979">
        <f t="shared" si="216"/>
        <v>0.28350708658848939</v>
      </c>
      <c r="AD161" s="2979">
        <f t="shared" si="216"/>
        <v>0.2880552308777678</v>
      </c>
      <c r="AE161" s="2979">
        <f t="shared" ref="AE161" si="225">+AE147/AE116</f>
        <v>0.28905869453810756</v>
      </c>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row>
    <row r="162" spans="1:119" s="220" customFormat="1" ht="30" customHeight="1">
      <c r="A162" s="903"/>
      <c r="B162" s="903"/>
      <c r="C162" s="674"/>
      <c r="D162" s="674"/>
      <c r="F162" s="710"/>
      <c r="P162" s="3545"/>
      <c r="Q162" s="3554"/>
      <c r="R162" s="3555"/>
      <c r="S162" s="2971"/>
      <c r="T162" s="2971"/>
      <c r="U162" s="2971"/>
      <c r="V162" s="2971"/>
      <c r="W162" s="2971"/>
      <c r="X162" s="2971"/>
      <c r="Y162" s="2971"/>
      <c r="Z162" s="2971"/>
      <c r="AA162" s="2971"/>
      <c r="AB162" s="2971"/>
      <c r="AC162" s="2971"/>
      <c r="AD162" s="2971"/>
      <c r="AE162" s="2971"/>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row>
    <row r="163" spans="1:119">
      <c r="D163" s="900"/>
      <c r="E163" s="901" t="s">
        <v>2003</v>
      </c>
      <c r="F163" s="902"/>
      <c r="G163" s="698">
        <f>+InputY!$G$3</f>
        <v>1995</v>
      </c>
      <c r="H163" s="698">
        <f>+G163+1</f>
        <v>1996</v>
      </c>
      <c r="I163" s="698">
        <f t="shared" ref="I163:O163" si="226">+H163+1</f>
        <v>1997</v>
      </c>
      <c r="J163" s="698">
        <f t="shared" si="226"/>
        <v>1998</v>
      </c>
      <c r="K163" s="698">
        <f t="shared" si="226"/>
        <v>1999</v>
      </c>
      <c r="L163" s="698">
        <f t="shared" si="226"/>
        <v>2000</v>
      </c>
      <c r="M163" s="698">
        <f t="shared" si="226"/>
        <v>2001</v>
      </c>
      <c r="N163" s="698">
        <f t="shared" si="226"/>
        <v>2002</v>
      </c>
      <c r="O163" s="698">
        <f t="shared" si="226"/>
        <v>2003</v>
      </c>
      <c r="P163" s="3490">
        <f t="shared" ref="P163:W163" si="227">+O163+1</f>
        <v>2004</v>
      </c>
      <c r="Q163" s="3490">
        <f t="shared" si="227"/>
        <v>2005</v>
      </c>
      <c r="R163" s="3490">
        <f t="shared" si="227"/>
        <v>2006</v>
      </c>
      <c r="S163" s="3490">
        <f t="shared" si="227"/>
        <v>2007</v>
      </c>
      <c r="T163" s="3491">
        <f t="shared" si="227"/>
        <v>2008</v>
      </c>
      <c r="U163" s="3491">
        <f t="shared" si="227"/>
        <v>2009</v>
      </c>
      <c r="V163" s="3491">
        <f t="shared" si="227"/>
        <v>2010</v>
      </c>
      <c r="W163" s="3491">
        <f t="shared" si="227"/>
        <v>2011</v>
      </c>
      <c r="X163" s="3491">
        <f t="shared" ref="X163:AE163" si="228">+W163+1</f>
        <v>2012</v>
      </c>
      <c r="Y163" s="3491">
        <f t="shared" si="228"/>
        <v>2013</v>
      </c>
      <c r="Z163" s="3491">
        <f t="shared" si="228"/>
        <v>2014</v>
      </c>
      <c r="AA163" s="3491">
        <f t="shared" si="228"/>
        <v>2015</v>
      </c>
      <c r="AB163" s="3491">
        <f t="shared" si="228"/>
        <v>2016</v>
      </c>
      <c r="AC163" s="3491">
        <f t="shared" si="228"/>
        <v>2017</v>
      </c>
      <c r="AD163" s="3491">
        <f t="shared" si="228"/>
        <v>2018</v>
      </c>
      <c r="AE163" s="3491">
        <f t="shared" si="228"/>
        <v>2019</v>
      </c>
    </row>
    <row r="164" spans="1:119" s="898" customFormat="1" ht="22.5">
      <c r="A164" s="897"/>
      <c r="B164" s="897"/>
      <c r="C164" s="904" t="s">
        <v>1767</v>
      </c>
      <c r="D164" s="905"/>
      <c r="E164" s="906" t="s">
        <v>449</v>
      </c>
      <c r="F164" s="917" t="s">
        <v>1321</v>
      </c>
      <c r="G164" s="1454">
        <f>+G166-G165</f>
        <v>0.38532016682113068</v>
      </c>
      <c r="H164" s="1454">
        <f t="shared" ref="H164:P164" si="229">+H166-H165</f>
        <v>0.51183846153846191</v>
      </c>
      <c r="I164" s="1454">
        <f t="shared" si="229"/>
        <v>0.66385727525486526</v>
      </c>
      <c r="J164" s="1454">
        <f t="shared" si="229"/>
        <v>0.77285014828545018</v>
      </c>
      <c r="K164" s="1454">
        <f t="shared" si="229"/>
        <v>0.76017280815569999</v>
      </c>
      <c r="L164" s="1454">
        <f t="shared" si="229"/>
        <v>0.76772597775718276</v>
      </c>
      <c r="M164" s="1454">
        <f t="shared" si="229"/>
        <v>0.7640727710843378</v>
      </c>
      <c r="N164" s="1454">
        <f t="shared" si="229"/>
        <v>0.78681204819277095</v>
      </c>
      <c r="O164" s="1454">
        <f t="shared" si="229"/>
        <v>0.86422547729379073</v>
      </c>
      <c r="P164" s="3556">
        <f t="shared" si="229"/>
        <v>0.98901036144578325</v>
      </c>
      <c r="Q164" s="3556">
        <f t="shared" ref="Q164:Z164" si="230">+Q166-Q165</f>
        <v>1.2579400000000007</v>
      </c>
      <c r="R164" s="3556">
        <f t="shared" si="230"/>
        <v>1.5164899999999981</v>
      </c>
      <c r="S164" s="3556">
        <f t="shared" si="230"/>
        <v>1.9209199999999993</v>
      </c>
      <c r="T164" s="3556">
        <f t="shared" si="230"/>
        <v>2.2348699999999995</v>
      </c>
      <c r="U164" s="3556">
        <f t="shared" si="230"/>
        <v>1.7382899999999992</v>
      </c>
      <c r="V164" s="3556">
        <f t="shared" si="230"/>
        <v>1.5971299999999999</v>
      </c>
      <c r="W164" s="3556">
        <f t="shared" si="230"/>
        <v>1.6888599999999987</v>
      </c>
      <c r="X164" s="3556">
        <f t="shared" si="230"/>
        <v>1.7708399999999993</v>
      </c>
      <c r="Y164" s="3556">
        <f t="shared" si="230"/>
        <v>1.930270000000001</v>
      </c>
      <c r="Z164" s="3556">
        <f t="shared" si="230"/>
        <v>2.0735800000000002</v>
      </c>
      <c r="AA164" s="3556">
        <f>+AA166-AA165</f>
        <v>2.2378700000000014</v>
      </c>
      <c r="AB164" s="3556">
        <f>+AB166-AB165</f>
        <v>2.4813099999999997</v>
      </c>
      <c r="AC164" s="2975">
        <f t="shared" ref="AC164:AD165" si="231">+AC143*AC30/1000</f>
        <v>2.8430360660258853</v>
      </c>
      <c r="AD164" s="2975">
        <f t="shared" si="231"/>
        <v>3.0849642200643586</v>
      </c>
      <c r="AE164" s="2975">
        <f t="shared" ref="AE164" si="232">+AE143*AE30/1000</f>
        <v>3.2816658576855708</v>
      </c>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row>
    <row r="165" spans="1:119" s="898" customFormat="1" ht="22.5">
      <c r="A165" s="897"/>
      <c r="B165" s="897"/>
      <c r="C165" s="907" t="s">
        <v>1767</v>
      </c>
      <c r="D165" s="908"/>
      <c r="E165" s="909" t="s">
        <v>450</v>
      </c>
      <c r="F165" s="918" t="s">
        <v>1322</v>
      </c>
      <c r="G165" s="1044">
        <f t="shared" ref="G165:P165" si="233">+G211-G134</f>
        <v>0.15796440222428176</v>
      </c>
      <c r="H165" s="1044">
        <f t="shared" si="233"/>
        <v>0.21136482854494898</v>
      </c>
      <c r="I165" s="1044">
        <f t="shared" si="233"/>
        <v>0.28588841519925845</v>
      </c>
      <c r="J165" s="1044">
        <f t="shared" si="233"/>
        <v>0.36137673772011114</v>
      </c>
      <c r="K165" s="1044">
        <f t="shared" si="233"/>
        <v>0.36493639481000928</v>
      </c>
      <c r="L165" s="1044">
        <f t="shared" si="233"/>
        <v>0.36076582020389258</v>
      </c>
      <c r="M165" s="1044">
        <f t="shared" si="233"/>
        <v>0.37218571825764579</v>
      </c>
      <c r="N165" s="1044">
        <f t="shared" si="233"/>
        <v>0.39102575532900818</v>
      </c>
      <c r="O165" s="1044">
        <f t="shared" si="233"/>
        <v>0.40938681186283588</v>
      </c>
      <c r="P165" s="3508">
        <f t="shared" si="233"/>
        <v>0.4875532252085264</v>
      </c>
      <c r="Q165" s="3508">
        <f t="shared" ref="Q165:Z165" si="234">+Q211-Q134</f>
        <v>0.5050800000000002</v>
      </c>
      <c r="R165" s="3508">
        <f t="shared" si="234"/>
        <v>0.62681000000000009</v>
      </c>
      <c r="S165" s="3508">
        <f t="shared" si="234"/>
        <v>0.74097999999999997</v>
      </c>
      <c r="T165" s="3508">
        <f t="shared" si="234"/>
        <v>0.93219999999999947</v>
      </c>
      <c r="U165" s="3508">
        <f t="shared" si="234"/>
        <v>0.91995999999999967</v>
      </c>
      <c r="V165" s="3508">
        <f t="shared" si="234"/>
        <v>0.8218399999999999</v>
      </c>
      <c r="W165" s="3508">
        <f t="shared" si="234"/>
        <v>0.9162300000000001</v>
      </c>
      <c r="X165" s="3508">
        <f t="shared" si="234"/>
        <v>0.94821</v>
      </c>
      <c r="Y165" s="3508">
        <f t="shared" si="234"/>
        <v>0.97834999999999983</v>
      </c>
      <c r="Z165" s="3508">
        <f t="shared" si="234"/>
        <v>1.03335</v>
      </c>
      <c r="AA165" s="3508">
        <f>+AA211-AA134</f>
        <v>1.0904099999999999</v>
      </c>
      <c r="AB165" s="3508">
        <f>+AB211-AB134</f>
        <v>1.1587500000000004</v>
      </c>
      <c r="AC165" s="2969">
        <f t="shared" si="231"/>
        <v>1.2287607891491994</v>
      </c>
      <c r="AD165" s="2969">
        <f t="shared" si="231"/>
        <v>1.2870157205441655</v>
      </c>
      <c r="AE165" s="2969">
        <f t="shared" ref="AE165" si="235">+AE144*AE31/1000</f>
        <v>1.3569663404145087</v>
      </c>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row>
    <row r="166" spans="1:119" s="898" customFormat="1">
      <c r="A166" s="897"/>
      <c r="B166" s="897"/>
      <c r="C166" s="907" t="s">
        <v>1769</v>
      </c>
      <c r="D166" s="910"/>
      <c r="E166" s="911" t="s">
        <v>451</v>
      </c>
      <c r="F166" s="916" t="s">
        <v>237</v>
      </c>
      <c r="G166" s="920">
        <f t="shared" ref="G166:Q166" si="236">+G214-G135</f>
        <v>0.54328456904541245</v>
      </c>
      <c r="H166" s="920">
        <f t="shared" si="236"/>
        <v>0.72320329008341089</v>
      </c>
      <c r="I166" s="920">
        <f t="shared" si="236"/>
        <v>0.94974569045412371</v>
      </c>
      <c r="J166" s="920">
        <f t="shared" si="236"/>
        <v>1.1342268860055613</v>
      </c>
      <c r="K166" s="920">
        <f t="shared" si="236"/>
        <v>1.1251092029657093</v>
      </c>
      <c r="L166" s="920">
        <f t="shared" si="236"/>
        <v>1.1284917979610753</v>
      </c>
      <c r="M166" s="920">
        <f t="shared" si="236"/>
        <v>1.1362584893419836</v>
      </c>
      <c r="N166" s="920">
        <f t="shared" si="236"/>
        <v>1.1778378035217791</v>
      </c>
      <c r="O166" s="920">
        <f t="shared" si="236"/>
        <v>1.2736122891566266</v>
      </c>
      <c r="P166" s="3557">
        <f t="shared" si="236"/>
        <v>1.4765635866543096</v>
      </c>
      <c r="Q166" s="3557">
        <f t="shared" si="236"/>
        <v>1.7630200000000009</v>
      </c>
      <c r="R166" s="3557">
        <f t="shared" ref="R166:W166" si="237">+R214-R135</f>
        <v>2.1432999999999982</v>
      </c>
      <c r="S166" s="3557">
        <f t="shared" si="237"/>
        <v>2.6618999999999993</v>
      </c>
      <c r="T166" s="3557">
        <f t="shared" si="237"/>
        <v>3.1670699999999989</v>
      </c>
      <c r="U166" s="3557">
        <f t="shared" si="237"/>
        <v>2.6582499999999989</v>
      </c>
      <c r="V166" s="3557">
        <f t="shared" si="237"/>
        <v>2.4189699999999998</v>
      </c>
      <c r="W166" s="3557">
        <f t="shared" si="237"/>
        <v>2.6050899999999988</v>
      </c>
      <c r="X166" s="3557">
        <f>+X214-X135</f>
        <v>2.7190499999999993</v>
      </c>
      <c r="Y166" s="3557">
        <f>+Y214-Y135</f>
        <v>2.9086200000000009</v>
      </c>
      <c r="Z166" s="3557">
        <f>+Z214-Z135</f>
        <v>3.1069300000000002</v>
      </c>
      <c r="AA166" s="3557">
        <f>+AA214-AA135</f>
        <v>3.3282800000000012</v>
      </c>
      <c r="AB166" s="3557">
        <f>+AB214-AB135</f>
        <v>3.6400600000000001</v>
      </c>
      <c r="AC166" s="2976">
        <f>+AC164+AC165</f>
        <v>4.0717968551750845</v>
      </c>
      <c r="AD166" s="2976">
        <f>+AD164+AD165</f>
        <v>4.371979940608524</v>
      </c>
      <c r="AE166" s="2976">
        <f>+AE164+AE165</f>
        <v>4.6386321981000798</v>
      </c>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row>
    <row r="167" spans="1:119" s="898" customFormat="1" ht="22.5">
      <c r="A167" s="897"/>
      <c r="B167" s="897"/>
      <c r="C167" s="912" t="s">
        <v>1767</v>
      </c>
      <c r="D167" s="913"/>
      <c r="E167" s="914" t="s">
        <v>1313</v>
      </c>
      <c r="F167" s="919" t="s">
        <v>1549</v>
      </c>
      <c r="G167" s="921">
        <f>+G168-G166</f>
        <v>-7.4569045412253843E-5</v>
      </c>
      <c r="H167" s="921">
        <f>+H168-H166</f>
        <v>-3.3290083410797422E-5</v>
      </c>
      <c r="I167" s="921">
        <f t="shared" ref="I167:S167" si="238">+I168-I166</f>
        <v>1.4430954587574263E-4</v>
      </c>
      <c r="J167" s="921">
        <f t="shared" si="238"/>
        <v>-9.6886005560570254E-5</v>
      </c>
      <c r="K167" s="921">
        <f t="shared" si="238"/>
        <v>-3.1920296570930873E-4</v>
      </c>
      <c r="L167" s="921">
        <f t="shared" si="238"/>
        <v>-4.1179796107559952E-4</v>
      </c>
      <c r="M167" s="921">
        <f t="shared" si="238"/>
        <v>-3.9848934198438712E-4</v>
      </c>
      <c r="N167" s="921">
        <f t="shared" si="238"/>
        <v>-7.6780352177951983E-4</v>
      </c>
      <c r="O167" s="921">
        <f t="shared" si="238"/>
        <v>-9.9228915662674666E-4</v>
      </c>
      <c r="P167" s="3570">
        <f t="shared" si="238"/>
        <v>-1.7358665431022047E-4</v>
      </c>
      <c r="Q167" s="3570">
        <f t="shared" si="238"/>
        <v>-6.7000000000128068E-4</v>
      </c>
      <c r="R167" s="3570">
        <f t="shared" si="238"/>
        <v>-7.5999999999609713E-4</v>
      </c>
      <c r="S167" s="3570">
        <f t="shared" si="238"/>
        <v>-5.4999999999871818E-4</v>
      </c>
      <c r="T167" s="3570">
        <f>+T168-T166</f>
        <v>1.8650000000000944E-2</v>
      </c>
      <c r="U167" s="3570">
        <f>+U168-U166</f>
        <v>7.2000000000027597E-3</v>
      </c>
      <c r="V167" s="3570">
        <v>0</v>
      </c>
      <c r="W167" s="3570">
        <v>0</v>
      </c>
      <c r="X167" s="3570">
        <v>0</v>
      </c>
      <c r="Y167" s="3570">
        <v>0</v>
      </c>
      <c r="Z167" s="3570">
        <v>0</v>
      </c>
      <c r="AA167" s="3570">
        <v>0</v>
      </c>
      <c r="AB167" s="3570">
        <v>0</v>
      </c>
      <c r="AC167" s="3571">
        <v>0</v>
      </c>
      <c r="AD167" s="3571">
        <v>0</v>
      </c>
      <c r="AE167" s="3571">
        <v>0</v>
      </c>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row>
    <row r="168" spans="1:119" s="909" customFormat="1">
      <c r="A168" s="915"/>
      <c r="B168" s="915"/>
      <c r="C168" s="908" t="s">
        <v>1769</v>
      </c>
      <c r="D168" s="910"/>
      <c r="E168" s="911" t="s">
        <v>1314</v>
      </c>
      <c r="F168" s="916" t="s">
        <v>1556</v>
      </c>
      <c r="G168" s="920">
        <f t="shared" ref="G168:Q168" si="239">+G217-G137</f>
        <v>0.54321000000000019</v>
      </c>
      <c r="H168" s="920">
        <f t="shared" si="239"/>
        <v>0.72317000000000009</v>
      </c>
      <c r="I168" s="920">
        <f t="shared" si="239"/>
        <v>0.94988999999999946</v>
      </c>
      <c r="J168" s="920">
        <f t="shared" si="239"/>
        <v>1.1341300000000007</v>
      </c>
      <c r="K168" s="920">
        <f t="shared" si="239"/>
        <v>1.12479</v>
      </c>
      <c r="L168" s="920">
        <f t="shared" si="239"/>
        <v>1.1280799999999997</v>
      </c>
      <c r="M168" s="920">
        <f t="shared" si="239"/>
        <v>1.1358599999999992</v>
      </c>
      <c r="N168" s="920">
        <f t="shared" si="239"/>
        <v>1.1770699999999996</v>
      </c>
      <c r="O168" s="920">
        <f t="shared" si="239"/>
        <v>1.2726199999999999</v>
      </c>
      <c r="P168" s="3557">
        <f t="shared" si="239"/>
        <v>1.4763899999999994</v>
      </c>
      <c r="Q168" s="3557">
        <f t="shared" si="239"/>
        <v>1.7623499999999996</v>
      </c>
      <c r="R168" s="3557">
        <f t="shared" ref="R168:AB168" si="240">+R217-R137</f>
        <v>2.1425400000000021</v>
      </c>
      <c r="S168" s="3557">
        <f t="shared" si="240"/>
        <v>2.6613500000000005</v>
      </c>
      <c r="T168" s="3557">
        <f t="shared" si="240"/>
        <v>3.1857199999999999</v>
      </c>
      <c r="U168" s="3557">
        <f t="shared" si="240"/>
        <v>2.6654500000000017</v>
      </c>
      <c r="V168" s="3557">
        <f t="shared" si="240"/>
        <v>2.4507899999999978</v>
      </c>
      <c r="W168" s="3557">
        <f t="shared" si="240"/>
        <v>2.6307100000000023</v>
      </c>
      <c r="X168" s="3557">
        <f t="shared" si="240"/>
        <v>2.72058</v>
      </c>
      <c r="Y168" s="3557">
        <f t="shared" si="240"/>
        <v>2.9126300000000001</v>
      </c>
      <c r="Z168" s="3557">
        <f t="shared" si="240"/>
        <v>3.1038099999999993</v>
      </c>
      <c r="AA168" s="3557">
        <f t="shared" si="240"/>
        <v>3.3287100000000009</v>
      </c>
      <c r="AB168" s="3557">
        <f t="shared" si="240"/>
        <v>3.634389999999998</v>
      </c>
      <c r="AC168" s="2976">
        <f>+AC166+AC167</f>
        <v>4.0717968551750845</v>
      </c>
      <c r="AD168" s="2976">
        <f>+AD166+AD167</f>
        <v>4.371979940608524</v>
      </c>
      <c r="AE168" s="2976">
        <f>+AE166+AE167</f>
        <v>4.6386321981000798</v>
      </c>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row>
    <row r="169" spans="1:119" s="699" customFormat="1">
      <c r="A169" s="663"/>
      <c r="B169" s="663"/>
      <c r="C169" s="694"/>
      <c r="D169" s="670"/>
      <c r="F169" s="694"/>
      <c r="P169" s="3572"/>
      <c r="Q169" s="3572"/>
      <c r="R169" s="3572"/>
      <c r="S169" s="3572"/>
      <c r="T169" s="3572"/>
      <c r="U169" s="3572"/>
      <c r="V169" s="3572"/>
      <c r="W169" s="3572"/>
      <c r="X169" s="3572"/>
      <c r="Y169" s="3573">
        <f t="shared" ref="Y169:AD169" si="241">Y166/Y32*1000-Y145</f>
        <v>0</v>
      </c>
      <c r="Z169" s="3573">
        <f t="shared" si="241"/>
        <v>0</v>
      </c>
      <c r="AA169" s="3573">
        <f t="shared" si="241"/>
        <v>0</v>
      </c>
      <c r="AB169" s="3573">
        <f t="shared" si="241"/>
        <v>0</v>
      </c>
      <c r="AC169" s="3573">
        <f t="shared" si="241"/>
        <v>0</v>
      </c>
      <c r="AD169" s="3573">
        <f t="shared" si="241"/>
        <v>0</v>
      </c>
      <c r="AE169" s="3573">
        <f t="shared" ref="AE169" si="242">AE166/AE32*1000-AE145</f>
        <v>0</v>
      </c>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row>
    <row r="170" spans="1:119">
      <c r="D170" s="926"/>
      <c r="E170" s="927" t="s">
        <v>358</v>
      </c>
      <c r="F170" s="928"/>
      <c r="G170" s="745">
        <f>+InputY!$G$3</f>
        <v>1995</v>
      </c>
      <c r="H170" s="745">
        <f>+G170+1</f>
        <v>1996</v>
      </c>
      <c r="I170" s="745">
        <f t="shared" ref="I170:O170" si="243">+H170+1</f>
        <v>1997</v>
      </c>
      <c r="J170" s="745">
        <f t="shared" si="243"/>
        <v>1998</v>
      </c>
      <c r="K170" s="745">
        <f t="shared" si="243"/>
        <v>1999</v>
      </c>
      <c r="L170" s="745">
        <f t="shared" si="243"/>
        <v>2000</v>
      </c>
      <c r="M170" s="745">
        <f t="shared" si="243"/>
        <v>2001</v>
      </c>
      <c r="N170" s="745">
        <f t="shared" si="243"/>
        <v>2002</v>
      </c>
      <c r="O170" s="745">
        <f t="shared" si="243"/>
        <v>2003</v>
      </c>
      <c r="P170" s="3495">
        <f t="shared" ref="P170:W170" si="244">+O170+1</f>
        <v>2004</v>
      </c>
      <c r="Q170" s="3495">
        <f t="shared" si="244"/>
        <v>2005</v>
      </c>
      <c r="R170" s="3495">
        <f t="shared" si="244"/>
        <v>2006</v>
      </c>
      <c r="S170" s="3495">
        <f t="shared" si="244"/>
        <v>2007</v>
      </c>
      <c r="T170" s="3496">
        <f t="shared" si="244"/>
        <v>2008</v>
      </c>
      <c r="U170" s="3496">
        <f t="shared" si="244"/>
        <v>2009</v>
      </c>
      <c r="V170" s="3496">
        <f t="shared" si="244"/>
        <v>2010</v>
      </c>
      <c r="W170" s="3496">
        <f t="shared" si="244"/>
        <v>2011</v>
      </c>
      <c r="X170" s="3496">
        <f t="shared" ref="X170:AE170" si="245">+W170+1</f>
        <v>2012</v>
      </c>
      <c r="Y170" s="3496">
        <f t="shared" si="245"/>
        <v>2013</v>
      </c>
      <c r="Z170" s="3496">
        <f t="shared" si="245"/>
        <v>2014</v>
      </c>
      <c r="AA170" s="3496">
        <f t="shared" si="245"/>
        <v>2015</v>
      </c>
      <c r="AB170" s="3496">
        <f t="shared" si="245"/>
        <v>2016</v>
      </c>
      <c r="AC170" s="3496">
        <f t="shared" si="245"/>
        <v>2017</v>
      </c>
      <c r="AD170" s="3496">
        <f t="shared" si="245"/>
        <v>2018</v>
      </c>
      <c r="AE170" s="3496">
        <f t="shared" si="245"/>
        <v>2019</v>
      </c>
    </row>
    <row r="171" spans="1:119" s="898" customFormat="1" ht="22.5">
      <c r="A171" s="897"/>
      <c r="B171" s="897"/>
      <c r="C171" s="949" t="s">
        <v>1767</v>
      </c>
      <c r="D171" s="950"/>
      <c r="E171" s="951" t="s">
        <v>449</v>
      </c>
      <c r="F171" s="952" t="s">
        <v>1321</v>
      </c>
      <c r="G171" s="1689"/>
      <c r="H171" s="1689">
        <f t="shared" ref="H171:AE171" si="246">(H164/G164-1)*100</f>
        <v>32.834589417185178</v>
      </c>
      <c r="I171" s="1689">
        <f t="shared" si="246"/>
        <v>29.70054521879262</v>
      </c>
      <c r="J171" s="1689">
        <f t="shared" si="246"/>
        <v>16.418118335562546</v>
      </c>
      <c r="K171" s="1689">
        <f t="shared" si="246"/>
        <v>-1.6403361192172339</v>
      </c>
      <c r="L171" s="1689">
        <f t="shared" si="246"/>
        <v>0.99361217876339225</v>
      </c>
      <c r="M171" s="1689">
        <f t="shared" si="246"/>
        <v>-0.47584773456765816</v>
      </c>
      <c r="N171" s="1689">
        <f t="shared" si="246"/>
        <v>2.9760617010553325</v>
      </c>
      <c r="O171" s="1689">
        <f t="shared" si="246"/>
        <v>9.838871847327546</v>
      </c>
      <c r="P171" s="3548">
        <f t="shared" si="246"/>
        <v>14.438926811408059</v>
      </c>
      <c r="Q171" s="3548">
        <f t="shared" si="246"/>
        <v>27.191791819155785</v>
      </c>
      <c r="R171" s="3548">
        <f t="shared" si="246"/>
        <v>20.553444520406149</v>
      </c>
      <c r="S171" s="3548">
        <f t="shared" si="246"/>
        <v>26.668820763737422</v>
      </c>
      <c r="T171" s="2981">
        <f t="shared" si="246"/>
        <v>16.343731128834115</v>
      </c>
      <c r="U171" s="2981">
        <f t="shared" si="246"/>
        <v>-22.219636936376631</v>
      </c>
      <c r="V171" s="2981">
        <f t="shared" si="246"/>
        <v>-8.120624291688916</v>
      </c>
      <c r="W171" s="2981">
        <f t="shared" si="246"/>
        <v>5.7434272726702762</v>
      </c>
      <c r="X171" s="2981">
        <f t="shared" si="246"/>
        <v>4.8541619790865242</v>
      </c>
      <c r="Y171" s="2981">
        <f t="shared" si="246"/>
        <v>9.003071988434975</v>
      </c>
      <c r="Z171" s="2981">
        <f t="shared" si="246"/>
        <v>7.4243499614043085</v>
      </c>
      <c r="AA171" s="2981">
        <f t="shared" si="246"/>
        <v>7.9230123747336068</v>
      </c>
      <c r="AB171" s="2981">
        <f t="shared" si="246"/>
        <v>10.878201146625944</v>
      </c>
      <c r="AC171" s="2981">
        <f t="shared" si="246"/>
        <v>14.578027978200447</v>
      </c>
      <c r="AD171" s="2981">
        <f t="shared" si="246"/>
        <v>8.5095000000000134</v>
      </c>
      <c r="AE171" s="2981">
        <f t="shared" si="246"/>
        <v>6.376140000000019</v>
      </c>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row>
    <row r="172" spans="1:119" s="898" customFormat="1" ht="22.5">
      <c r="A172" s="897"/>
      <c r="B172" s="897"/>
      <c r="C172" s="953" t="s">
        <v>1767</v>
      </c>
      <c r="D172" s="908"/>
      <c r="E172" s="909" t="s">
        <v>450</v>
      </c>
      <c r="F172" s="918" t="s">
        <v>1322</v>
      </c>
      <c r="G172" s="1044"/>
      <c r="H172" s="1044">
        <f t="shared" ref="H172:AE172" si="247">(H165/G165-1)*100</f>
        <v>33.805354604417758</v>
      </c>
      <c r="I172" s="1044">
        <f t="shared" si="247"/>
        <v>35.258272233528778</v>
      </c>
      <c r="J172" s="1044">
        <f t="shared" si="247"/>
        <v>26.404820380090911</v>
      </c>
      <c r="K172" s="1044">
        <f t="shared" si="247"/>
        <v>0.98502662688131348</v>
      </c>
      <c r="L172" s="1044">
        <f t="shared" si="247"/>
        <v>-1.1428223288849959</v>
      </c>
      <c r="M172" s="1044">
        <f t="shared" si="247"/>
        <v>3.1654600891234841</v>
      </c>
      <c r="N172" s="1044">
        <f t="shared" si="247"/>
        <v>5.0619989288037015</v>
      </c>
      <c r="O172" s="1044">
        <f t="shared" si="247"/>
        <v>4.6956130852247258</v>
      </c>
      <c r="P172" s="3508">
        <f t="shared" si="247"/>
        <v>19.0935347892643</v>
      </c>
      <c r="Q172" s="3508">
        <f t="shared" si="247"/>
        <v>3.5948433699679816</v>
      </c>
      <c r="R172" s="3508">
        <f t="shared" si="247"/>
        <v>24.10113249386232</v>
      </c>
      <c r="S172" s="3508">
        <f t="shared" si="247"/>
        <v>18.214450950048633</v>
      </c>
      <c r="T172" s="2269">
        <f t="shared" si="247"/>
        <v>25.806364544252137</v>
      </c>
      <c r="U172" s="2269">
        <f t="shared" si="247"/>
        <v>-1.3130229564470963</v>
      </c>
      <c r="V172" s="2269">
        <f t="shared" si="247"/>
        <v>-10.665681116570269</v>
      </c>
      <c r="W172" s="2269">
        <f t="shared" si="247"/>
        <v>11.485203932638989</v>
      </c>
      <c r="X172" s="2269">
        <f t="shared" si="247"/>
        <v>3.4903899675845507</v>
      </c>
      <c r="Y172" s="2269">
        <f t="shared" si="247"/>
        <v>3.1786207696607116</v>
      </c>
      <c r="Z172" s="2269">
        <f t="shared" si="247"/>
        <v>5.6217100219758009</v>
      </c>
      <c r="AA172" s="2269">
        <f t="shared" si="247"/>
        <v>5.5218464218318886</v>
      </c>
      <c r="AB172" s="2269">
        <f t="shared" si="247"/>
        <v>6.2673673205491998</v>
      </c>
      <c r="AC172" s="2269">
        <f t="shared" si="247"/>
        <v>6.0419235511714353</v>
      </c>
      <c r="AD172" s="2269">
        <f t="shared" si="247"/>
        <v>4.7409497364659714</v>
      </c>
      <c r="AE172" s="2269">
        <f t="shared" si="247"/>
        <v>5.4351022099999868</v>
      </c>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row>
    <row r="173" spans="1:119" s="898" customFormat="1">
      <c r="A173" s="897"/>
      <c r="B173" s="897"/>
      <c r="C173" s="953" t="s">
        <v>1769</v>
      </c>
      <c r="D173" s="945"/>
      <c r="E173" s="946" t="s">
        <v>451</v>
      </c>
      <c r="F173" s="947" t="s">
        <v>237</v>
      </c>
      <c r="G173" s="948"/>
      <c r="H173" s="948">
        <f t="shared" ref="H173:S173" si="248">(H166/G166-1)*100</f>
        <v>33.116847282102583</v>
      </c>
      <c r="I173" s="948">
        <f t="shared" si="248"/>
        <v>31.324857543801343</v>
      </c>
      <c r="J173" s="948">
        <f t="shared" si="248"/>
        <v>19.424272982299851</v>
      </c>
      <c r="K173" s="948">
        <f t="shared" si="248"/>
        <v>-0.80386765226153623</v>
      </c>
      <c r="L173" s="948">
        <f t="shared" si="248"/>
        <v>0.30064592720864258</v>
      </c>
      <c r="M173" s="948">
        <f t="shared" si="248"/>
        <v>0.68823640499122707</v>
      </c>
      <c r="N173" s="948">
        <f t="shared" si="248"/>
        <v>3.6593182422667292</v>
      </c>
      <c r="O173" s="948">
        <f t="shared" si="248"/>
        <v>8.1313815322006313</v>
      </c>
      <c r="P173" s="3574">
        <f t="shared" si="248"/>
        <v>15.935092588661771</v>
      </c>
      <c r="Q173" s="3574">
        <f t="shared" si="248"/>
        <v>19.400208425480827</v>
      </c>
      <c r="R173" s="3574">
        <f t="shared" si="248"/>
        <v>21.569806355004317</v>
      </c>
      <c r="S173" s="3574">
        <f t="shared" si="248"/>
        <v>24.196332757896766</v>
      </c>
      <c r="T173" s="2982">
        <f t="shared" ref="T173:AE175" si="249">(T166/S166-1)*100</f>
        <v>18.977797813591792</v>
      </c>
      <c r="U173" s="2982">
        <f t="shared" si="249"/>
        <v>-16.065953704843917</v>
      </c>
      <c r="V173" s="2982">
        <f t="shared" si="249"/>
        <v>-9.0014107025298333</v>
      </c>
      <c r="W173" s="2982">
        <f t="shared" si="249"/>
        <v>7.6941838881837699</v>
      </c>
      <c r="X173" s="2982">
        <f t="shared" si="249"/>
        <v>4.3745129726804333</v>
      </c>
      <c r="Y173" s="2982">
        <f t="shared" si="249"/>
        <v>6.9719203398246332</v>
      </c>
      <c r="Z173" s="2982">
        <f t="shared" si="249"/>
        <v>6.8180099153550167</v>
      </c>
      <c r="AA173" s="2982">
        <f t="shared" si="249"/>
        <v>7.124396108055242</v>
      </c>
      <c r="AB173" s="2982">
        <f t="shared" si="249"/>
        <v>9.3676012835458131</v>
      </c>
      <c r="AC173" s="2982">
        <f t="shared" si="249"/>
        <v>11.860707108538993</v>
      </c>
      <c r="AD173" s="2982">
        <f t="shared" si="249"/>
        <v>7.3722510260284535</v>
      </c>
      <c r="AE173" s="2982">
        <f t="shared" si="249"/>
        <v>6.0991189601487861</v>
      </c>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row>
    <row r="174" spans="1:119" s="898" customFormat="1" ht="22.5">
      <c r="A174" s="897"/>
      <c r="B174" s="897"/>
      <c r="C174" s="954" t="s">
        <v>1767</v>
      </c>
      <c r="D174" s="955"/>
      <c r="E174" s="956" t="s">
        <v>1313</v>
      </c>
      <c r="F174" s="957" t="s">
        <v>1549</v>
      </c>
      <c r="G174" s="958"/>
      <c r="H174" s="958">
        <f t="shared" ref="H174:S174" si="250">(H167/G167-1)*100</f>
        <v>-55.356698980450005</v>
      </c>
      <c r="I174" s="958">
        <f t="shared" si="250"/>
        <v>-533.49109131080388</v>
      </c>
      <c r="J174" s="958">
        <f t="shared" si="250"/>
        <v>-167.13762764106659</v>
      </c>
      <c r="K174" s="958">
        <f t="shared" si="250"/>
        <v>229.4624067350496</v>
      </c>
      <c r="L174" s="958">
        <f t="shared" si="250"/>
        <v>29.008187677872343</v>
      </c>
      <c r="M174" s="958">
        <f t="shared" si="250"/>
        <v>-3.2318321966555708</v>
      </c>
      <c r="N174" s="958">
        <f t="shared" si="250"/>
        <v>92.678558968737107</v>
      </c>
      <c r="O174" s="958">
        <f t="shared" si="250"/>
        <v>29.237380199421569</v>
      </c>
      <c r="P174" s="3575">
        <f t="shared" si="250"/>
        <v>-82.506444502495384</v>
      </c>
      <c r="Q174" s="3575">
        <f t="shared" si="250"/>
        <v>285.97437266341291</v>
      </c>
      <c r="R174" s="3575">
        <f t="shared" si="250"/>
        <v>13.432835820096178</v>
      </c>
      <c r="S174" s="3575">
        <f t="shared" si="250"/>
        <v>-27.631578947165448</v>
      </c>
      <c r="T174" s="2983">
        <f t="shared" si="249"/>
        <v>-3490.9090909171655</v>
      </c>
      <c r="U174" s="2983">
        <f t="shared" si="249"/>
        <v>-61.394101876662766</v>
      </c>
      <c r="V174" s="2983">
        <f t="shared" si="249"/>
        <v>-100</v>
      </c>
      <c r="W174" s="2983" t="e">
        <f t="shared" ref="W174:AE174" si="251">(W167/V167-1)*100</f>
        <v>#DIV/0!</v>
      </c>
      <c r="X174" s="2983" t="e">
        <f t="shared" si="251"/>
        <v>#DIV/0!</v>
      </c>
      <c r="Y174" s="2983" t="e">
        <f t="shared" si="251"/>
        <v>#DIV/0!</v>
      </c>
      <c r="Z174" s="2983" t="e">
        <f t="shared" si="251"/>
        <v>#DIV/0!</v>
      </c>
      <c r="AA174" s="2983" t="e">
        <f t="shared" si="251"/>
        <v>#DIV/0!</v>
      </c>
      <c r="AB174" s="2983" t="e">
        <f t="shared" si="251"/>
        <v>#DIV/0!</v>
      </c>
      <c r="AC174" s="2983" t="e">
        <f t="shared" si="251"/>
        <v>#DIV/0!</v>
      </c>
      <c r="AD174" s="2983" t="e">
        <f t="shared" si="251"/>
        <v>#DIV/0!</v>
      </c>
      <c r="AE174" s="2983" t="e">
        <f t="shared" si="251"/>
        <v>#DIV/0!</v>
      </c>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row>
    <row r="175" spans="1:119" s="909" customFormat="1">
      <c r="A175" s="915"/>
      <c r="B175" s="915"/>
      <c r="C175" s="908" t="s">
        <v>1769</v>
      </c>
      <c r="D175" s="945"/>
      <c r="E175" s="946" t="s">
        <v>1314</v>
      </c>
      <c r="F175" s="947" t="s">
        <v>1556</v>
      </c>
      <c r="G175" s="948"/>
      <c r="H175" s="948">
        <f t="shared" ref="H175:S175" si="252">(H168/G168-1)*100</f>
        <v>33.128992470683507</v>
      </c>
      <c r="I175" s="948">
        <f t="shared" si="252"/>
        <v>31.350858027849515</v>
      </c>
      <c r="J175" s="948">
        <f t="shared" si="252"/>
        <v>19.395930055059154</v>
      </c>
      <c r="K175" s="948">
        <f t="shared" si="252"/>
        <v>-0.82353874776267544</v>
      </c>
      <c r="L175" s="948">
        <f t="shared" si="252"/>
        <v>0.2924990442660258</v>
      </c>
      <c r="M175" s="948">
        <f t="shared" si="252"/>
        <v>0.68966739947515787</v>
      </c>
      <c r="N175" s="948">
        <f t="shared" si="252"/>
        <v>3.6280879685877121</v>
      </c>
      <c r="O175" s="948">
        <f t="shared" si="252"/>
        <v>8.1176140756284987</v>
      </c>
      <c r="P175" s="3574">
        <f t="shared" si="252"/>
        <v>16.011849570178029</v>
      </c>
      <c r="Q175" s="3574">
        <f t="shared" si="252"/>
        <v>19.36886595005387</v>
      </c>
      <c r="R175" s="3574">
        <f t="shared" si="252"/>
        <v>21.572899821261537</v>
      </c>
      <c r="S175" s="3574">
        <f t="shared" si="252"/>
        <v>24.214717111465745</v>
      </c>
      <c r="T175" s="2982">
        <f t="shared" si="249"/>
        <v>19.703158171604617</v>
      </c>
      <c r="U175" s="2982">
        <f t="shared" si="249"/>
        <v>-16.331315997639408</v>
      </c>
      <c r="V175" s="2982">
        <f t="shared" si="249"/>
        <v>-8.0534243748711773</v>
      </c>
      <c r="W175" s="2982">
        <f t="shared" si="249"/>
        <v>7.341306272671444</v>
      </c>
      <c r="X175" s="2982">
        <f t="shared" si="249"/>
        <v>3.416188025285849</v>
      </c>
      <c r="Y175" s="2982">
        <f t="shared" si="249"/>
        <v>7.0591565033926607</v>
      </c>
      <c r="Z175" s="2982">
        <f t="shared" si="249"/>
        <v>6.5638271939792991</v>
      </c>
      <c r="AA175" s="2982">
        <f t="shared" si="249"/>
        <v>7.2459332240053964</v>
      </c>
      <c r="AB175" s="2982">
        <f t="shared" si="249"/>
        <v>9.1831370110342156</v>
      </c>
      <c r="AC175" s="2982">
        <f t="shared" si="249"/>
        <v>12.035220633313614</v>
      </c>
      <c r="AD175" s="2982">
        <f t="shared" si="249"/>
        <v>7.3722510260284535</v>
      </c>
      <c r="AE175" s="2982">
        <f t="shared" si="249"/>
        <v>6.0991189601487861</v>
      </c>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row>
    <row r="176" spans="1:119" s="699" customFormat="1">
      <c r="A176" s="663"/>
      <c r="B176" s="663"/>
      <c r="C176" s="694"/>
      <c r="D176" s="670"/>
      <c r="F176" s="694"/>
      <c r="P176" s="547"/>
      <c r="Q176" s="547"/>
      <c r="R176" s="547"/>
      <c r="S176" s="547"/>
      <c r="T176" s="2286"/>
      <c r="U176" s="2286"/>
      <c r="V176" s="2286"/>
      <c r="W176" s="2286"/>
      <c r="X176" s="2286"/>
      <c r="Y176" s="2286"/>
      <c r="Z176" s="2286"/>
      <c r="AA176" s="2286"/>
      <c r="AB176" s="2286"/>
      <c r="AC176" s="2286"/>
      <c r="AD176" s="2286"/>
      <c r="AE176" s="228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row>
    <row r="177" spans="1:119">
      <c r="D177" s="971"/>
      <c r="E177" s="972" t="s">
        <v>220</v>
      </c>
      <c r="F177" s="973"/>
      <c r="G177" s="974">
        <f>+InputY!$G$3</f>
        <v>1995</v>
      </c>
      <c r="H177" s="974">
        <f>+G177+1</f>
        <v>1996</v>
      </c>
      <c r="I177" s="974">
        <f t="shared" ref="I177:O177" si="253">+H177+1</f>
        <v>1997</v>
      </c>
      <c r="J177" s="974">
        <f t="shared" si="253"/>
        <v>1998</v>
      </c>
      <c r="K177" s="974">
        <f t="shared" si="253"/>
        <v>1999</v>
      </c>
      <c r="L177" s="974">
        <f t="shared" si="253"/>
        <v>2000</v>
      </c>
      <c r="M177" s="974">
        <f t="shared" si="253"/>
        <v>2001</v>
      </c>
      <c r="N177" s="974">
        <f t="shared" si="253"/>
        <v>2002</v>
      </c>
      <c r="O177" s="974">
        <f t="shared" si="253"/>
        <v>2003</v>
      </c>
      <c r="P177" s="3576">
        <f t="shared" ref="P177:W177" si="254">+O177+1</f>
        <v>2004</v>
      </c>
      <c r="Q177" s="3576">
        <f t="shared" si="254"/>
        <v>2005</v>
      </c>
      <c r="R177" s="3576">
        <f t="shared" si="254"/>
        <v>2006</v>
      </c>
      <c r="S177" s="3576">
        <f t="shared" si="254"/>
        <v>2007</v>
      </c>
      <c r="T177" s="3577">
        <f t="shared" si="254"/>
        <v>2008</v>
      </c>
      <c r="U177" s="3577">
        <f t="shared" si="254"/>
        <v>2009</v>
      </c>
      <c r="V177" s="3577">
        <f t="shared" si="254"/>
        <v>2010</v>
      </c>
      <c r="W177" s="3577">
        <f t="shared" si="254"/>
        <v>2011</v>
      </c>
      <c r="X177" s="3577">
        <f t="shared" ref="X177:AE177" si="255">+W177+1</f>
        <v>2012</v>
      </c>
      <c r="Y177" s="3577">
        <f t="shared" si="255"/>
        <v>2013</v>
      </c>
      <c r="Z177" s="3577">
        <f t="shared" si="255"/>
        <v>2014</v>
      </c>
      <c r="AA177" s="3577">
        <f t="shared" si="255"/>
        <v>2015</v>
      </c>
      <c r="AB177" s="3577">
        <f t="shared" si="255"/>
        <v>2016</v>
      </c>
      <c r="AC177" s="3577">
        <f t="shared" si="255"/>
        <v>2017</v>
      </c>
      <c r="AD177" s="3577">
        <f t="shared" si="255"/>
        <v>2018</v>
      </c>
      <c r="AE177" s="3577">
        <f t="shared" si="255"/>
        <v>2019</v>
      </c>
    </row>
    <row r="178" spans="1:119" s="898" customFormat="1" ht="22.5">
      <c r="A178" s="897"/>
      <c r="B178" s="897"/>
      <c r="C178" s="962" t="s">
        <v>1767</v>
      </c>
      <c r="D178" s="963"/>
      <c r="E178" s="964" t="s">
        <v>449</v>
      </c>
      <c r="F178" s="965" t="s">
        <v>1321</v>
      </c>
      <c r="G178" s="1691">
        <f t="shared" ref="G178:P178" si="256">+G164/G210</f>
        <v>0.19103059245690793</v>
      </c>
      <c r="H178" s="1691">
        <f t="shared" si="256"/>
        <v>0.20234208246400057</v>
      </c>
      <c r="I178" s="1691">
        <f t="shared" si="256"/>
        <v>0.21775522044415388</v>
      </c>
      <c r="J178" s="1691">
        <f t="shared" si="256"/>
        <v>0.21967577989660736</v>
      </c>
      <c r="K178" s="1691">
        <f t="shared" si="256"/>
        <v>0.21200418561647119</v>
      </c>
      <c r="L178" s="1691">
        <f t="shared" si="256"/>
        <v>0.22772806971831813</v>
      </c>
      <c r="M178" s="1691">
        <f t="shared" si="256"/>
        <v>0.22343465044414748</v>
      </c>
      <c r="N178" s="1691">
        <f t="shared" si="256"/>
        <v>0.20856294385023644</v>
      </c>
      <c r="O178" s="1691">
        <f t="shared" si="256"/>
        <v>0.20107712862642235</v>
      </c>
      <c r="P178" s="3578">
        <f t="shared" si="256"/>
        <v>0.19979522949863504</v>
      </c>
      <c r="Q178" s="3578">
        <f t="shared" ref="Q178:T179" si="257">+Q164/Q210</f>
        <v>0.21257352978452679</v>
      </c>
      <c r="R178" s="3578">
        <f t="shared" si="257"/>
        <v>0.20967425268921244</v>
      </c>
      <c r="S178" s="3578">
        <f t="shared" si="257"/>
        <v>0.21926708550973439</v>
      </c>
      <c r="T178" s="2984">
        <f t="shared" si="257"/>
        <v>0.22087253184060271</v>
      </c>
      <c r="U178" s="2984">
        <f t="shared" ref="U178:W179" si="258">+U164/U210</f>
        <v>0.21689475496728394</v>
      </c>
      <c r="V178" s="2984">
        <f t="shared" si="258"/>
        <v>0.20089053803339518</v>
      </c>
      <c r="W178" s="2984">
        <f t="shared" si="258"/>
        <v>0.19576536810185732</v>
      </c>
      <c r="X178" s="2984">
        <f t="shared" ref="X178:Z179" si="259">+X164/X210</f>
        <v>0.19091503028395101</v>
      </c>
      <c r="Y178" s="2984">
        <f t="shared" si="259"/>
        <v>0.19457680424581802</v>
      </c>
      <c r="Z178" s="2984">
        <f t="shared" si="259"/>
        <v>0.19436781576872861</v>
      </c>
      <c r="AA178" s="2984">
        <f t="shared" ref="AA178:AC179" si="260">+AA164/AA210</f>
        <v>0.19416701589259991</v>
      </c>
      <c r="AB178" s="2984">
        <f t="shared" si="260"/>
        <v>0.1963467139971149</v>
      </c>
      <c r="AC178" s="2984">
        <f t="shared" si="260"/>
        <v>0.20414550249658561</v>
      </c>
      <c r="AD178" s="2984">
        <f>+AD164/AD210</f>
        <v>0.20857418775098965</v>
      </c>
      <c r="AE178" s="2984">
        <f>+AE164/AE210</f>
        <v>0.2095239759591053</v>
      </c>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row>
    <row r="179" spans="1:119" s="898" customFormat="1" ht="22.5">
      <c r="A179" s="897"/>
      <c r="B179" s="897"/>
      <c r="C179" s="966" t="s">
        <v>1767</v>
      </c>
      <c r="D179" s="908"/>
      <c r="E179" s="909" t="s">
        <v>450</v>
      </c>
      <c r="F179" s="918" t="s">
        <v>1322</v>
      </c>
      <c r="G179" s="1502">
        <f t="shared" ref="G179:P179" si="261">+G165/G211</f>
        <v>0.21112308339140315</v>
      </c>
      <c r="H179" s="1502">
        <f t="shared" si="261"/>
        <v>0.20816942782779238</v>
      </c>
      <c r="I179" s="1502">
        <f t="shared" si="261"/>
        <v>0.22018516266116639</v>
      </c>
      <c r="J179" s="1502">
        <f t="shared" si="261"/>
        <v>0.2194151412993996</v>
      </c>
      <c r="K179" s="1502">
        <f t="shared" si="261"/>
        <v>0.21517095500080147</v>
      </c>
      <c r="L179" s="1502">
        <f t="shared" si="261"/>
        <v>0.22441546934142784</v>
      </c>
      <c r="M179" s="1502">
        <f t="shared" si="261"/>
        <v>0.22564778815312492</v>
      </c>
      <c r="N179" s="1502">
        <f t="shared" si="261"/>
        <v>0.22813504899563491</v>
      </c>
      <c r="O179" s="1502">
        <f t="shared" si="261"/>
        <v>0.22915193803789238</v>
      </c>
      <c r="P179" s="3567">
        <f t="shared" si="261"/>
        <v>0.24765614613344358</v>
      </c>
      <c r="Q179" s="3567">
        <f t="shared" si="257"/>
        <v>0.23458487376223836</v>
      </c>
      <c r="R179" s="3567">
        <f t="shared" si="257"/>
        <v>0.25026251592064236</v>
      </c>
      <c r="S179" s="3567">
        <f t="shared" si="257"/>
        <v>0.26141655612316894</v>
      </c>
      <c r="T179" s="2284">
        <f t="shared" si="257"/>
        <v>0.26819724955405932</v>
      </c>
      <c r="U179" s="2284">
        <f t="shared" si="258"/>
        <v>0.26976242280647211</v>
      </c>
      <c r="V179" s="2284">
        <f t="shared" si="258"/>
        <v>0.26867701481607403</v>
      </c>
      <c r="W179" s="2284">
        <f t="shared" si="258"/>
        <v>0.28656097431294242</v>
      </c>
      <c r="X179" s="2284">
        <f t="shared" si="259"/>
        <v>0.29251205419529186</v>
      </c>
      <c r="Y179" s="2284">
        <f t="shared" si="259"/>
        <v>0.29305516032889511</v>
      </c>
      <c r="Z179" s="2284">
        <f t="shared" si="259"/>
        <v>0.29847060352671023</v>
      </c>
      <c r="AA179" s="2284">
        <f t="shared" si="260"/>
        <v>0.30244555946645363</v>
      </c>
      <c r="AB179" s="2284">
        <f t="shared" si="260"/>
        <v>0.30474574933922455</v>
      </c>
      <c r="AC179" s="2284">
        <f t="shared" si="260"/>
        <v>0.30703857390780254</v>
      </c>
      <c r="AD179" s="2284">
        <f>+AD165/AD211</f>
        <v>0.30615413790556173</v>
      </c>
      <c r="AE179" s="2284">
        <f>+AE165/AE211</f>
        <v>0.30595319932990128</v>
      </c>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row>
    <row r="180" spans="1:119" s="898" customFormat="1">
      <c r="A180" s="897"/>
      <c r="B180" s="897"/>
      <c r="C180" s="966" t="s">
        <v>1769</v>
      </c>
      <c r="D180" s="959"/>
      <c r="E180" s="960" t="s">
        <v>451</v>
      </c>
      <c r="F180" s="961" t="s">
        <v>237</v>
      </c>
      <c r="G180" s="975">
        <f t="shared" ref="G180:U180" si="262">+G166/G214</f>
        <v>0.18721362154599924</v>
      </c>
      <c r="H180" s="975">
        <f t="shared" si="262"/>
        <v>0.19595553360069659</v>
      </c>
      <c r="I180" s="975">
        <f t="shared" si="262"/>
        <v>0.20936109920953264</v>
      </c>
      <c r="J180" s="975">
        <f t="shared" si="262"/>
        <v>0.20944509739936759</v>
      </c>
      <c r="K180" s="975">
        <f t="shared" si="262"/>
        <v>0.20629934943455797</v>
      </c>
      <c r="L180" s="975">
        <f t="shared" si="262"/>
        <v>0.21606819992170467</v>
      </c>
      <c r="M180" s="975">
        <f t="shared" si="262"/>
        <v>0.21177951039775736</v>
      </c>
      <c r="N180" s="975">
        <f t="shared" si="262"/>
        <v>0.20271513972951169</v>
      </c>
      <c r="O180" s="975">
        <f t="shared" si="262"/>
        <v>0.19767257213312764</v>
      </c>
      <c r="P180" s="3579">
        <f t="shared" si="262"/>
        <v>0.20198979583757651</v>
      </c>
      <c r="Q180" s="3579">
        <f t="shared" si="262"/>
        <v>0.20692674430341723</v>
      </c>
      <c r="R180" s="3579">
        <f>+R166/R214</f>
        <v>0.20854699191421858</v>
      </c>
      <c r="S180" s="3579">
        <f>+S166/S214</f>
        <v>0.21595988933870949</v>
      </c>
      <c r="T180" s="2985">
        <f>+T166/T214</f>
        <v>0.22062379354471967</v>
      </c>
      <c r="U180" s="2985">
        <f t="shared" si="262"/>
        <v>0.22192306889570673</v>
      </c>
      <c r="V180" s="2985">
        <f t="shared" ref="V180:AA180" si="263">+V166/V214</f>
        <v>0.21089593085247824</v>
      </c>
      <c r="W180" s="2985">
        <f t="shared" si="263"/>
        <v>0.21186328336894078</v>
      </c>
      <c r="X180" s="2985">
        <f t="shared" si="263"/>
        <v>0.20952758908997035</v>
      </c>
      <c r="Y180" s="2985">
        <f t="shared" si="263"/>
        <v>0.2116495981115683</v>
      </c>
      <c r="Z180" s="2985">
        <f t="shared" si="263"/>
        <v>0.21245520185066533</v>
      </c>
      <c r="AA180" s="2985">
        <f t="shared" si="263"/>
        <v>0.21284264271024125</v>
      </c>
      <c r="AB180" s="2985">
        <f>+AB166/AB214</f>
        <v>0.21501843575484994</v>
      </c>
      <c r="AC180" s="2985">
        <f>+AC166/AC214</f>
        <v>0.22069802240885503</v>
      </c>
      <c r="AD180" s="2985">
        <f>+AD166/AD214</f>
        <v>0.22363577583662117</v>
      </c>
      <c r="AE180" s="2985">
        <f>+AE166/AE214</f>
        <v>0.22424013410939553</v>
      </c>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row>
    <row r="181" spans="1:119" s="898" customFormat="1" ht="22.5">
      <c r="A181" s="897"/>
      <c r="B181" s="897"/>
      <c r="C181" s="967" t="s">
        <v>1767</v>
      </c>
      <c r="D181" s="968"/>
      <c r="E181" s="969" t="s">
        <v>1313</v>
      </c>
      <c r="F181" s="970" t="s">
        <v>1549</v>
      </c>
      <c r="G181" s="976">
        <f t="shared" ref="G181:U181" si="264">+G167/G216</f>
        <v>0.12873599999971502</v>
      </c>
      <c r="H181" s="976">
        <f t="shared" si="264"/>
        <v>9.1225396826032817E-4</v>
      </c>
      <c r="I181" s="976">
        <f t="shared" si="264"/>
        <v>-2.2244285714275182E-3</v>
      </c>
      <c r="J181" s="976">
        <f t="shared" si="264"/>
        <v>1.388082987549946E-3</v>
      </c>
      <c r="K181" s="976">
        <f t="shared" si="264"/>
        <v>6.3341609195465588E-3</v>
      </c>
      <c r="L181" s="976">
        <f t="shared" si="264"/>
        <v>-3.2314909090950673E-2</v>
      </c>
      <c r="M181" s="976">
        <f t="shared" si="264"/>
        <v>-7.2036858638936749E-3</v>
      </c>
      <c r="N181" s="976">
        <f t="shared" si="264"/>
        <v>-1.1427034482760026E-2</v>
      </c>
      <c r="O181" s="976">
        <f t="shared" si="264"/>
        <v>-2.114923456790636E-2</v>
      </c>
      <c r="P181" s="3580">
        <f t="shared" si="264"/>
        <v>-1.2011222444936458E-3</v>
      </c>
      <c r="Q181" s="3580">
        <f t="shared" si="264"/>
        <v>-3.6216216216285444E-3</v>
      </c>
      <c r="R181" s="3580">
        <f t="shared" ref="R181:T182" si="265">+R167/R216</f>
        <v>-3.7623762376044409E-3</v>
      </c>
      <c r="S181" s="3580">
        <f t="shared" si="265"/>
        <v>-3.4591194968472843E-3</v>
      </c>
      <c r="T181" s="2986">
        <f t="shared" si="265"/>
        <v>0.19631578947369413</v>
      </c>
      <c r="U181" s="2986">
        <f t="shared" si="264"/>
        <v>0.42352941176486819</v>
      </c>
      <c r="V181" s="2986">
        <f t="shared" ref="V181:X182" si="266">+V167/V216</f>
        <v>0</v>
      </c>
      <c r="W181" s="2986">
        <f t="shared" si="266"/>
        <v>0</v>
      </c>
      <c r="X181" s="2986">
        <f t="shared" si="266"/>
        <v>0</v>
      </c>
      <c r="Y181" s="2986">
        <f t="shared" ref="Y181:AA182" si="267">+Y167/Y216</f>
        <v>0</v>
      </c>
      <c r="Z181" s="2986">
        <f t="shared" si="267"/>
        <v>0</v>
      </c>
      <c r="AA181" s="2986">
        <f t="shared" si="267"/>
        <v>0</v>
      </c>
      <c r="AB181" s="2986">
        <f t="shared" ref="AB181:AD182" si="268">+AB167/AB216</f>
        <v>0</v>
      </c>
      <c r="AC181" s="2986" t="e">
        <f t="shared" si="268"/>
        <v>#DIV/0!</v>
      </c>
      <c r="AD181" s="2986" t="e">
        <f t="shared" si="268"/>
        <v>#DIV/0!</v>
      </c>
      <c r="AE181" s="2986" t="e">
        <f t="shared" ref="AE181" si="269">+AE167/AE216</f>
        <v>#DIV/0!</v>
      </c>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row>
    <row r="182" spans="1:119" s="909" customFormat="1">
      <c r="A182" s="915"/>
      <c r="B182" s="915"/>
      <c r="C182" s="908" t="s">
        <v>1769</v>
      </c>
      <c r="D182" s="959"/>
      <c r="E182" s="960" t="s">
        <v>1314</v>
      </c>
      <c r="F182" s="961" t="s">
        <v>1556</v>
      </c>
      <c r="G182" s="975">
        <f t="shared" ref="G182:U182" si="270">+G168/G217</f>
        <v>0.18721695674651048</v>
      </c>
      <c r="H182" s="975">
        <f t="shared" si="270"/>
        <v>0.19790267010018692</v>
      </c>
      <c r="I182" s="975">
        <f t="shared" si="270"/>
        <v>0.21242494381268651</v>
      </c>
      <c r="J182" s="975">
        <f t="shared" si="270"/>
        <v>0.21217251726744157</v>
      </c>
      <c r="K182" s="975">
        <f t="shared" si="270"/>
        <v>0.20817031325765006</v>
      </c>
      <c r="L182" s="975">
        <f t="shared" si="270"/>
        <v>0.21547118563780102</v>
      </c>
      <c r="M182" s="975">
        <f t="shared" si="270"/>
        <v>0.20953617803915622</v>
      </c>
      <c r="N182" s="975">
        <f t="shared" si="270"/>
        <v>0.20063476587468654</v>
      </c>
      <c r="O182" s="975">
        <f t="shared" si="270"/>
        <v>0.19628807591043626</v>
      </c>
      <c r="P182" s="3579">
        <f t="shared" si="270"/>
        <v>0.19805485314141211</v>
      </c>
      <c r="Q182" s="3579">
        <f t="shared" si="270"/>
        <v>0.20243912525070124</v>
      </c>
      <c r="R182" s="3579">
        <f t="shared" si="265"/>
        <v>0.20444669217630293</v>
      </c>
      <c r="S182" s="3579">
        <f t="shared" si="265"/>
        <v>0.21316260141112547</v>
      </c>
      <c r="T182" s="2985">
        <f t="shared" si="265"/>
        <v>0.21998185300937592</v>
      </c>
      <c r="U182" s="2985">
        <f t="shared" si="270"/>
        <v>0.22169075327198579</v>
      </c>
      <c r="V182" s="2985">
        <f t="shared" si="266"/>
        <v>0.20977869917502212</v>
      </c>
      <c r="W182" s="2985">
        <f t="shared" si="266"/>
        <v>0.21095448381822413</v>
      </c>
      <c r="X182" s="2985">
        <f t="shared" si="266"/>
        <v>0.20902134329046237</v>
      </c>
      <c r="Y182" s="2985">
        <f t="shared" si="267"/>
        <v>0.21105647438015571</v>
      </c>
      <c r="Z182" s="2985">
        <f t="shared" si="267"/>
        <v>0.21227088352905527</v>
      </c>
      <c r="AA182" s="2985">
        <f t="shared" si="267"/>
        <v>0.21266627779868358</v>
      </c>
      <c r="AB182" s="2985">
        <f t="shared" si="268"/>
        <v>0.21515272783673345</v>
      </c>
      <c r="AC182" s="2985">
        <f t="shared" si="268"/>
        <v>0.22069802240885503</v>
      </c>
      <c r="AD182" s="2985">
        <f t="shared" si="268"/>
        <v>0.22363577583662117</v>
      </c>
      <c r="AE182" s="2985">
        <f t="shared" ref="AE182" si="271">+AE168/AE217</f>
        <v>0.22424013410939553</v>
      </c>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row>
    <row r="183" spans="1:119" s="699" customFormat="1" ht="30" customHeight="1">
      <c r="A183" s="663"/>
      <c r="B183" s="663"/>
      <c r="C183" s="694"/>
      <c r="D183" s="670"/>
      <c r="F183" s="694"/>
      <c r="P183" s="547"/>
      <c r="Q183" s="3226"/>
      <c r="R183" s="3537"/>
      <c r="S183" s="2286"/>
      <c r="T183" s="2286"/>
      <c r="U183" s="2286"/>
      <c r="V183" s="2286"/>
      <c r="W183" s="2286"/>
      <c r="X183" s="2286"/>
      <c r="Y183" s="2286"/>
      <c r="Z183" s="2286"/>
      <c r="AA183" s="2286"/>
      <c r="AB183" s="2286"/>
      <c r="AC183" s="2286"/>
      <c r="AD183" s="2286"/>
      <c r="AE183" s="2286"/>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row>
    <row r="184" spans="1:119" s="699" customFormat="1" ht="30" customHeight="1">
      <c r="A184" s="663"/>
      <c r="B184" s="663"/>
      <c r="C184" s="694"/>
      <c r="D184" s="670"/>
      <c r="F184" s="694"/>
      <c r="P184" s="547"/>
      <c r="Q184" s="3226"/>
      <c r="R184" s="3537"/>
      <c r="S184" s="2286"/>
      <c r="T184" s="2286"/>
      <c r="U184" s="2286"/>
      <c r="V184" s="2286"/>
      <c r="W184" s="2286"/>
      <c r="X184" s="2286"/>
      <c r="Y184" s="2286"/>
      <c r="Z184" s="2286"/>
      <c r="AA184" s="2286"/>
      <c r="AB184" s="2286"/>
      <c r="AC184" s="2286"/>
      <c r="AD184" s="2286"/>
      <c r="AE184" s="2286"/>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row>
    <row r="185" spans="1:119" s="699" customFormat="1" ht="22.5" customHeight="1">
      <c r="A185" s="663"/>
      <c r="B185" s="663"/>
      <c r="C185" s="3752" t="s">
        <v>975</v>
      </c>
      <c r="D185" s="3752"/>
      <c r="E185" s="3752"/>
      <c r="F185" s="3752"/>
      <c r="P185" s="547"/>
      <c r="Q185" s="3226"/>
      <c r="R185" s="3537"/>
      <c r="S185" s="2286"/>
      <c r="T185" s="2286"/>
      <c r="U185" s="2286"/>
      <c r="V185" s="2286"/>
      <c r="W185" s="2286"/>
      <c r="X185" s="2286"/>
      <c r="Y185" s="2286"/>
      <c r="Z185" s="2286"/>
      <c r="AA185" s="2286"/>
      <c r="AB185" s="2286"/>
      <c r="AC185" s="2286"/>
      <c r="AD185" s="2286"/>
      <c r="AE185" s="2286"/>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row>
    <row r="186" spans="1:119" s="699" customFormat="1">
      <c r="A186" s="663"/>
      <c r="B186" s="663"/>
      <c r="C186" s="694"/>
      <c r="D186" s="670"/>
      <c r="F186" s="694"/>
      <c r="P186" s="547"/>
      <c r="Q186" s="3226"/>
      <c r="R186" s="3537"/>
      <c r="S186" s="2286"/>
      <c r="T186" s="2286"/>
      <c r="U186" s="2286"/>
      <c r="V186" s="2286"/>
      <c r="W186" s="2286"/>
      <c r="X186" s="2286"/>
      <c r="Y186" s="2286"/>
      <c r="Z186" s="2286"/>
      <c r="AA186" s="2286"/>
      <c r="AB186" s="2286"/>
      <c r="AC186" s="2286"/>
      <c r="AD186" s="2286"/>
      <c r="AE186" s="22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row>
    <row r="187" spans="1:119">
      <c r="D187" s="900"/>
      <c r="E187" s="901" t="s">
        <v>788</v>
      </c>
      <c r="F187" s="902"/>
      <c r="G187" s="778">
        <f>+InputY!$G$3</f>
        <v>1995</v>
      </c>
      <c r="H187" s="778">
        <f>+G187+1</f>
        <v>1996</v>
      </c>
      <c r="I187" s="778">
        <f t="shared" ref="I187:O187" si="272">+H187+1</f>
        <v>1997</v>
      </c>
      <c r="J187" s="778">
        <f t="shared" si="272"/>
        <v>1998</v>
      </c>
      <c r="K187" s="778">
        <f t="shared" si="272"/>
        <v>1999</v>
      </c>
      <c r="L187" s="778">
        <f t="shared" si="272"/>
        <v>2000</v>
      </c>
      <c r="M187" s="778">
        <f t="shared" si="272"/>
        <v>2001</v>
      </c>
      <c r="N187" s="778">
        <f t="shared" si="272"/>
        <v>2002</v>
      </c>
      <c r="O187" s="778">
        <f t="shared" si="272"/>
        <v>2003</v>
      </c>
      <c r="P187" s="3538">
        <f t="shared" ref="P187:W187" si="273">+O187+1</f>
        <v>2004</v>
      </c>
      <c r="Q187" s="3538">
        <f t="shared" si="273"/>
        <v>2005</v>
      </c>
      <c r="R187" s="3538">
        <f t="shared" si="273"/>
        <v>2006</v>
      </c>
      <c r="S187" s="3538">
        <f t="shared" si="273"/>
        <v>2007</v>
      </c>
      <c r="T187" s="3539">
        <f>+S187+1</f>
        <v>2008</v>
      </c>
      <c r="U187" s="3539">
        <f>+T187+1</f>
        <v>2009</v>
      </c>
      <c r="V187" s="3539">
        <f t="shared" si="273"/>
        <v>2010</v>
      </c>
      <c r="W187" s="3539">
        <f t="shared" si="273"/>
        <v>2011</v>
      </c>
      <c r="X187" s="3539">
        <f t="shared" ref="X187:AE187" si="274">+W187+1</f>
        <v>2012</v>
      </c>
      <c r="Y187" s="3539">
        <f t="shared" si="274"/>
        <v>2013</v>
      </c>
      <c r="Z187" s="3539">
        <f t="shared" si="274"/>
        <v>2014</v>
      </c>
      <c r="AA187" s="3539">
        <f t="shared" si="274"/>
        <v>2015</v>
      </c>
      <c r="AB187" s="3539">
        <f t="shared" si="274"/>
        <v>2016</v>
      </c>
      <c r="AC187" s="3539">
        <f t="shared" si="274"/>
        <v>2017</v>
      </c>
      <c r="AD187" s="3539">
        <f t="shared" si="274"/>
        <v>2018</v>
      </c>
      <c r="AE187" s="3539">
        <f t="shared" si="274"/>
        <v>2019</v>
      </c>
    </row>
    <row r="188" spans="1:119">
      <c r="C188" s="675"/>
      <c r="D188" s="668"/>
      <c r="E188" s="708" t="s">
        <v>2042</v>
      </c>
      <c r="F188" s="710" t="s">
        <v>2010</v>
      </c>
      <c r="G188" s="1692" t="e">
        <f t="shared" ref="G188:Q188" si="275">(G210+G209)/G30*1000</f>
        <v>#VALUE!</v>
      </c>
      <c r="H188" s="1692" t="e">
        <f t="shared" si="275"/>
        <v>#VALUE!</v>
      </c>
      <c r="I188" s="1692" t="e">
        <f t="shared" si="275"/>
        <v>#VALUE!</v>
      </c>
      <c r="J188" s="1692" t="e">
        <f t="shared" si="275"/>
        <v>#VALUE!</v>
      </c>
      <c r="K188" s="1692" t="e">
        <f t="shared" si="275"/>
        <v>#VALUE!</v>
      </c>
      <c r="L188" s="1692">
        <f t="shared" si="275"/>
        <v>4.0862400253181725</v>
      </c>
      <c r="M188" s="1692">
        <f t="shared" si="275"/>
        <v>4.4031069295667837</v>
      </c>
      <c r="N188" s="1692">
        <f t="shared" si="275"/>
        <v>4.6241463001636829</v>
      </c>
      <c r="O188" s="1692">
        <f t="shared" si="275"/>
        <v>5.0804202670856249</v>
      </c>
      <c r="P188" s="3488">
        <f t="shared" si="275"/>
        <v>5.804629428385133</v>
      </c>
      <c r="Q188" s="3488">
        <f t="shared" si="275"/>
        <v>6.711084408466145</v>
      </c>
      <c r="R188" s="3488">
        <f t="shared" ref="R188:X188" si="276">(R210+R209)/R30*1000</f>
        <v>7.9509503058573223</v>
      </c>
      <c r="S188" s="3488">
        <f t="shared" si="276"/>
        <v>9.4028352915535631</v>
      </c>
      <c r="T188" s="3488">
        <f t="shared" si="276"/>
        <v>10.506803805108889</v>
      </c>
      <c r="U188" s="3488">
        <f t="shared" si="276"/>
        <v>9.1404674781569692</v>
      </c>
      <c r="V188" s="3488">
        <f t="shared" si="276"/>
        <v>9.3852110554445964</v>
      </c>
      <c r="W188" s="3488">
        <f t="shared" si="276"/>
        <v>10.017571673933146</v>
      </c>
      <c r="X188" s="3488">
        <f t="shared" si="276"/>
        <v>10.505039169562121</v>
      </c>
      <c r="Y188" s="3488">
        <f>(Y210+Y209)/Y30*1000</f>
        <v>11.131740563211503</v>
      </c>
      <c r="Z188" s="3488">
        <f>(Z210+Z209)/Z30*1000</f>
        <v>11.736270437937014</v>
      </c>
      <c r="AA188" s="3488">
        <f>(AA210+AA209)/AA30*1000</f>
        <v>12.567076100353029</v>
      </c>
      <c r="AB188" s="3488">
        <f>(AB210+AB209)/AB30*1000</f>
        <v>13.472560631408252</v>
      </c>
      <c r="AC188" s="2987">
        <f t="shared" ref="AC188:AD192" si="277">+AC112+AC143</f>
        <v>14.776350651216736</v>
      </c>
      <c r="AD188" s="2987">
        <f t="shared" si="277"/>
        <v>15.782847320278439</v>
      </c>
      <c r="AE188" s="2987">
        <f t="shared" ref="AE188" si="278">+AE112+AE143</f>
        <v>16.748855177895688</v>
      </c>
    </row>
    <row r="189" spans="1:119">
      <c r="C189" s="671"/>
      <c r="D189" s="674"/>
      <c r="E189" s="220" t="s">
        <v>930</v>
      </c>
      <c r="F189" s="710" t="s">
        <v>2011</v>
      </c>
      <c r="G189" s="1692">
        <f t="shared" ref="G189:Q189" si="279">+G211/G31*1000</f>
        <v>3.5697041984732829</v>
      </c>
      <c r="H189" s="1692">
        <f t="shared" si="279"/>
        <v>4.753511235955056</v>
      </c>
      <c r="I189" s="1692">
        <f t="shared" si="279"/>
        <v>5.9396157365050319</v>
      </c>
      <c r="J189" s="1692">
        <f t="shared" si="279"/>
        <v>7.5102599179206564</v>
      </c>
      <c r="K189" s="1692">
        <f t="shared" si="279"/>
        <v>7.2759759759759755</v>
      </c>
      <c r="L189" s="1692">
        <f t="shared" si="279"/>
        <v>6.7234629861982436</v>
      </c>
      <c r="M189" s="1692">
        <f t="shared" si="279"/>
        <v>7.0337313432835824</v>
      </c>
      <c r="N189" s="1692">
        <f t="shared" si="279"/>
        <v>7.5573633156966489</v>
      </c>
      <c r="O189" s="1692">
        <f t="shared" si="279"/>
        <v>8.2595006934812751</v>
      </c>
      <c r="P189" s="3488">
        <f t="shared" si="279"/>
        <v>8.6840317600352908</v>
      </c>
      <c r="Q189" s="3488">
        <f t="shared" si="279"/>
        <v>9.5332300199247282</v>
      </c>
      <c r="R189" s="3488">
        <f t="shared" ref="R189:X189" si="280">+R211/R31*1000</f>
        <v>12.78384034299714</v>
      </c>
      <c r="S189" s="3488">
        <f t="shared" si="280"/>
        <v>12.640385301462718</v>
      </c>
      <c r="T189" s="3488">
        <f t="shared" si="280"/>
        <v>15.504505308234453</v>
      </c>
      <c r="U189" s="3488">
        <f t="shared" si="280"/>
        <v>15.405945066859415</v>
      </c>
      <c r="V189" s="3488">
        <f t="shared" si="280"/>
        <v>14.235770465863078</v>
      </c>
      <c r="W189" s="3488">
        <f t="shared" si="280"/>
        <v>15.105258184910474</v>
      </c>
      <c r="X189" s="3488">
        <f t="shared" si="280"/>
        <v>15.648612116823557</v>
      </c>
      <c r="Y189" s="3488">
        <f>+Y211/Y31*1000</f>
        <v>16.280356968692089</v>
      </c>
      <c r="Z189" s="3488">
        <f>+Z211/Z31*1000</f>
        <v>16.714865060589968</v>
      </c>
      <c r="AA189" s="3488">
        <f>+AA211/AA31*1000</f>
        <v>16.880372694072477</v>
      </c>
      <c r="AB189" s="3488">
        <f>+AB211/AB31*1000</f>
        <v>17.364707494177285</v>
      </c>
      <c r="AC189" s="2988">
        <f t="shared" si="277"/>
        <v>18.613838608028498</v>
      </c>
      <c r="AD189" s="2988">
        <f t="shared" si="277"/>
        <v>19.750134774124973</v>
      </c>
      <c r="AE189" s="3701">
        <f t="shared" ref="AE189" si="281">+AE113+AE144</f>
        <v>20.879008945793259</v>
      </c>
    </row>
    <row r="190" spans="1:119">
      <c r="C190" s="671"/>
      <c r="D190" s="746"/>
      <c r="E190" s="750" t="s">
        <v>906</v>
      </c>
      <c r="F190" s="895" t="s">
        <v>339</v>
      </c>
      <c r="G190" s="922" t="e">
        <f t="shared" ref="G190:Q190" si="282">+G214/G32*1000</f>
        <v>#VALUE!</v>
      </c>
      <c r="H190" s="922" t="e">
        <f t="shared" si="282"/>
        <v>#VALUE!</v>
      </c>
      <c r="I190" s="922" t="e">
        <f t="shared" si="282"/>
        <v>#VALUE!</v>
      </c>
      <c r="J190" s="922" t="e">
        <f t="shared" si="282"/>
        <v>#VALUE!</v>
      </c>
      <c r="K190" s="922" t="e">
        <f t="shared" si="282"/>
        <v>#VALUE!</v>
      </c>
      <c r="L190" s="922">
        <f t="shared" si="282"/>
        <v>4.6473252420273354</v>
      </c>
      <c r="M190" s="922">
        <f t="shared" si="282"/>
        <v>4.9751395560171359</v>
      </c>
      <c r="N190" s="922">
        <f t="shared" si="282"/>
        <v>5.2220464656450813</v>
      </c>
      <c r="O190" s="922">
        <f t="shared" si="282"/>
        <v>5.6874106244372653</v>
      </c>
      <c r="P190" s="3543">
        <f t="shared" si="282"/>
        <v>6.3737814979509979</v>
      </c>
      <c r="Q190" s="3543">
        <f t="shared" si="282"/>
        <v>7.2537354095541353</v>
      </c>
      <c r="R190" s="3543">
        <f t="shared" ref="R190:X190" si="283">+R214/R32*1000</f>
        <v>8.7578184916915198</v>
      </c>
      <c r="S190" s="3543">
        <f t="shared" si="283"/>
        <v>9.9913266215975209</v>
      </c>
      <c r="T190" s="3543">
        <f t="shared" si="283"/>
        <v>11.396259218977001</v>
      </c>
      <c r="U190" s="3543">
        <f t="shared" si="283"/>
        <v>10.337395251697979</v>
      </c>
      <c r="V190" s="3543">
        <f t="shared" si="283"/>
        <v>10.323262051337437</v>
      </c>
      <c r="W190" s="3543">
        <f t="shared" si="283"/>
        <v>10.979141925978839</v>
      </c>
      <c r="X190" s="3543">
        <f t="shared" si="283"/>
        <v>11.444716859660106</v>
      </c>
      <c r="Y190" s="3543">
        <f>+Y214/Y32*1000</f>
        <v>12.05810300956392</v>
      </c>
      <c r="Z190" s="3543">
        <f>+Z214/Z32*1000</f>
        <v>12.626646980607504</v>
      </c>
      <c r="AA190" s="3543">
        <f>+AA214/AA32*1000</f>
        <v>13.353783091374893</v>
      </c>
      <c r="AB190" s="3543">
        <f>+AB214/AB32*1000</f>
        <v>14.186759406687338</v>
      </c>
      <c r="AC190" s="2969">
        <f t="shared" si="277"/>
        <v>15.468689252135199</v>
      </c>
      <c r="AD190" s="2969">
        <f t="shared" si="277"/>
        <v>16.495359389525113</v>
      </c>
      <c r="AE190" s="2969">
        <f t="shared" ref="AE190" si="284">+AE114+AE145</f>
        <v>17.490678494808797</v>
      </c>
    </row>
    <row r="191" spans="1:119">
      <c r="C191" s="672"/>
      <c r="D191" s="676"/>
      <c r="E191" s="711" t="s">
        <v>907</v>
      </c>
      <c r="F191" s="899" t="s">
        <v>1707</v>
      </c>
      <c r="G191" s="923" t="e">
        <f t="shared" ref="G191:Q191" si="285">+G216/G35*1000</f>
        <v>#VALUE!</v>
      </c>
      <c r="H191" s="923" t="e">
        <f t="shared" si="285"/>
        <v>#VALUE!</v>
      </c>
      <c r="I191" s="923" t="e">
        <f t="shared" si="285"/>
        <v>#VALUE!</v>
      </c>
      <c r="J191" s="923" t="e">
        <f t="shared" si="285"/>
        <v>#VALUE!</v>
      </c>
      <c r="K191" s="923" t="e">
        <f t="shared" si="285"/>
        <v>#VALUE!</v>
      </c>
      <c r="L191" s="923">
        <f t="shared" si="285"/>
        <v>3.5795732628006096</v>
      </c>
      <c r="M191" s="923">
        <f t="shared" si="285"/>
        <v>5.0703412960875056</v>
      </c>
      <c r="N191" s="923">
        <f t="shared" si="285"/>
        <v>4.1348827261709564</v>
      </c>
      <c r="O191" s="923">
        <f t="shared" si="285"/>
        <v>2.7167598727724611</v>
      </c>
      <c r="P191" s="3544">
        <f t="shared" si="285"/>
        <v>9.4891916775643281</v>
      </c>
      <c r="Q191" s="3544">
        <f t="shared" si="285"/>
        <v>10.863182618907826</v>
      </c>
      <c r="R191" s="3544">
        <f t="shared" ref="R191:X191" si="286">+R216/R35*1000</f>
        <v>13.484646194926553</v>
      </c>
      <c r="S191" s="3544">
        <f t="shared" si="286"/>
        <v>17.472527472527648</v>
      </c>
      <c r="T191" s="3544">
        <f t="shared" si="286"/>
        <v>32.423208191125575</v>
      </c>
      <c r="U191" s="3544">
        <f t="shared" si="286"/>
        <v>9.3922651933704504</v>
      </c>
      <c r="V191" s="3544">
        <f t="shared" si="286"/>
        <v>172.72727272727116</v>
      </c>
      <c r="W191" s="3544">
        <f t="shared" si="286"/>
        <v>152.22222222224531</v>
      </c>
      <c r="X191" s="3544">
        <f t="shared" si="286"/>
        <v>19.090909090910671</v>
      </c>
      <c r="Y191" s="3544">
        <f>+Y216/Y35*1000</f>
        <v>28.906250000000615</v>
      </c>
      <c r="Z191" s="3544">
        <f>+Z216/Z35*1000</f>
        <v>-12.080536912751603</v>
      </c>
      <c r="AA191" s="3544">
        <f>+AA216/AA35*1000</f>
        <v>-1.0638297872339808</v>
      </c>
      <c r="AB191" s="3544">
        <f>+AB216/AB35*1000</f>
        <v>-52.222222222230137</v>
      </c>
      <c r="AC191" s="2970">
        <f t="shared" si="277"/>
        <v>-37.576826161503149</v>
      </c>
      <c r="AD191" s="2970">
        <f t="shared" si="277"/>
        <v>-39.929341486226221</v>
      </c>
      <c r="AE191" s="2970">
        <f t="shared" ref="AE191" si="287">+AE115+AE146</f>
        <v>-42.305693224924653</v>
      </c>
    </row>
    <row r="192" spans="1:119" s="220" customFormat="1">
      <c r="A192" s="903"/>
      <c r="B192" s="903"/>
      <c r="C192" s="674"/>
      <c r="D192" s="746"/>
      <c r="E192" s="750" t="s">
        <v>2009</v>
      </c>
      <c r="F192" s="895" t="s">
        <v>1708</v>
      </c>
      <c r="G192" s="922" t="e">
        <f t="shared" ref="G192:Q192" si="288">+G217/G77*1000</f>
        <v>#VALUE!</v>
      </c>
      <c r="H192" s="922" t="e">
        <f t="shared" si="288"/>
        <v>#VALUE!</v>
      </c>
      <c r="I192" s="922" t="e">
        <f t="shared" si="288"/>
        <v>#VALUE!</v>
      </c>
      <c r="J192" s="922" t="e">
        <f t="shared" si="288"/>
        <v>#VALUE!</v>
      </c>
      <c r="K192" s="922" t="e">
        <f t="shared" si="288"/>
        <v>#VALUE!</v>
      </c>
      <c r="L192" s="922">
        <f t="shared" si="288"/>
        <v>4.6585012101366745</v>
      </c>
      <c r="M192" s="922">
        <f t="shared" si="288"/>
        <v>5.0266408263941678</v>
      </c>
      <c r="N192" s="922">
        <f t="shared" si="288"/>
        <v>5.2727542353839922</v>
      </c>
      <c r="O192" s="922">
        <f t="shared" si="288"/>
        <v>5.723063750154477</v>
      </c>
      <c r="P192" s="3543">
        <f t="shared" si="288"/>
        <v>6.499651233760571</v>
      </c>
      <c r="Q192" s="3543">
        <f t="shared" si="288"/>
        <v>7.4117166282128784</v>
      </c>
      <c r="R192" s="3543">
        <f t="shared" ref="R192:Z192" si="289">+R217/R77*1000</f>
        <v>8.9302939923306361</v>
      </c>
      <c r="S192" s="3543">
        <f t="shared" si="289"/>
        <v>10.120349204805214</v>
      </c>
      <c r="T192" s="3543">
        <f t="shared" si="289"/>
        <v>11.496820494907235</v>
      </c>
      <c r="U192" s="3543">
        <f t="shared" si="289"/>
        <v>10.37625676387079</v>
      </c>
      <c r="V192" s="3543">
        <f t="shared" si="289"/>
        <v>10.514760413291572</v>
      </c>
      <c r="W192" s="3543">
        <f t="shared" si="289"/>
        <v>11.134881021474174</v>
      </c>
      <c r="X192" s="3543">
        <f t="shared" si="289"/>
        <v>11.47889125047403</v>
      </c>
      <c r="Y192" s="3543">
        <f t="shared" si="289"/>
        <v>12.108660173729929</v>
      </c>
      <c r="Z192" s="3543">
        <f t="shared" si="289"/>
        <v>12.62492013331261</v>
      </c>
      <c r="AA192" s="3543">
        <f>+AA217/AA77*1000</f>
        <v>13.366584116140052</v>
      </c>
      <c r="AB192" s="3543">
        <f>+AB217/AB77*1000</f>
        <v>14.155819994971926</v>
      </c>
      <c r="AC192" s="2969">
        <f t="shared" si="277"/>
        <v>15.447819076157506</v>
      </c>
      <c r="AD192" s="2969">
        <f t="shared" si="277"/>
        <v>16.473102722611422</v>
      </c>
      <c r="AE192" s="2969">
        <f t="shared" ref="AE192" si="290">+AE116+AE147</f>
        <v>17.467101313368701</v>
      </c>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row>
    <row r="193" spans="1:119" s="1933" customFormat="1">
      <c r="A193" s="1931"/>
      <c r="B193" s="1931"/>
      <c r="C193" s="1849"/>
      <c r="D193" s="1849"/>
      <c r="E193" s="1933" t="s">
        <v>2451</v>
      </c>
      <c r="F193"/>
      <c r="T193" s="3581"/>
      <c r="U193" s="3581"/>
      <c r="V193" s="3581"/>
      <c r="W193" s="3581"/>
      <c r="X193" s="3581"/>
      <c r="Y193" s="3582">
        <f t="shared" ref="Y193:AD193" si="291">Y190-(Y214/Y32)*1000</f>
        <v>0</v>
      </c>
      <c r="Z193" s="3582">
        <f t="shared" si="291"/>
        <v>0</v>
      </c>
      <c r="AA193" s="3582">
        <f>AA190-(AA214/AA32)*1000</f>
        <v>0</v>
      </c>
      <c r="AB193" s="3582">
        <f>AB190-(AB214/AB32)*1000</f>
        <v>0</v>
      </c>
      <c r="AC193" s="3582">
        <f t="shared" si="291"/>
        <v>-1.3084684258188872E-2</v>
      </c>
      <c r="AD193" s="3582">
        <f t="shared" si="291"/>
        <v>0</v>
      </c>
      <c r="AE193" s="3582">
        <f t="shared" ref="AE193" si="292">AE190-(AE214/AE32)*1000</f>
        <v>0</v>
      </c>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row>
    <row r="194" spans="1:119">
      <c r="D194" s="929"/>
      <c r="E194" s="930" t="s">
        <v>788</v>
      </c>
      <c r="F194" s="928"/>
      <c r="G194" s="745">
        <f>+InputY!$G$3</f>
        <v>1995</v>
      </c>
      <c r="H194" s="745">
        <f>+G194+1</f>
        <v>1996</v>
      </c>
      <c r="I194" s="745">
        <f t="shared" ref="I194:O194" si="293">+H194+1</f>
        <v>1997</v>
      </c>
      <c r="J194" s="745">
        <f t="shared" si="293"/>
        <v>1998</v>
      </c>
      <c r="K194" s="745">
        <f t="shared" si="293"/>
        <v>1999</v>
      </c>
      <c r="L194" s="745">
        <f t="shared" si="293"/>
        <v>2000</v>
      </c>
      <c r="M194" s="745">
        <f t="shared" si="293"/>
        <v>2001</v>
      </c>
      <c r="N194" s="745">
        <f t="shared" si="293"/>
        <v>2002</v>
      </c>
      <c r="O194" s="745">
        <f t="shared" si="293"/>
        <v>2003</v>
      </c>
      <c r="P194" s="3495">
        <f t="shared" ref="P194:W194" si="294">+O194+1</f>
        <v>2004</v>
      </c>
      <c r="Q194" s="3495">
        <f t="shared" si="294"/>
        <v>2005</v>
      </c>
      <c r="R194" s="3495">
        <f t="shared" si="294"/>
        <v>2006</v>
      </c>
      <c r="S194" s="3495">
        <f t="shared" si="294"/>
        <v>2007</v>
      </c>
      <c r="T194" s="3496">
        <f>+S194+1</f>
        <v>2008</v>
      </c>
      <c r="U194" s="3496">
        <f>+T194+1</f>
        <v>2009</v>
      </c>
      <c r="V194" s="3496">
        <f t="shared" si="294"/>
        <v>2010</v>
      </c>
      <c r="W194" s="3496">
        <f t="shared" si="294"/>
        <v>2011</v>
      </c>
      <c r="X194" s="3496">
        <f t="shared" ref="X194:AE194" si="295">+W194+1</f>
        <v>2012</v>
      </c>
      <c r="Y194" s="3496">
        <f t="shared" si="295"/>
        <v>2013</v>
      </c>
      <c r="Z194" s="3496">
        <f t="shared" si="295"/>
        <v>2014</v>
      </c>
      <c r="AA194" s="3496">
        <f t="shared" si="295"/>
        <v>2015</v>
      </c>
      <c r="AB194" s="3496">
        <f t="shared" si="295"/>
        <v>2016</v>
      </c>
      <c r="AC194" s="3496">
        <f t="shared" si="295"/>
        <v>2017</v>
      </c>
      <c r="AD194" s="3496">
        <f t="shared" si="295"/>
        <v>2018</v>
      </c>
      <c r="AE194" s="3496">
        <f t="shared" si="295"/>
        <v>2019</v>
      </c>
    </row>
    <row r="195" spans="1:119">
      <c r="C195" s="762"/>
      <c r="D195" s="689"/>
      <c r="E195" s="732" t="s">
        <v>2042</v>
      </c>
      <c r="F195" s="710" t="s">
        <v>2010</v>
      </c>
      <c r="H195" s="1692" t="e">
        <f t="shared" ref="H195:AE196" si="296">(H188/G188-1)*100</f>
        <v>#VALUE!</v>
      </c>
      <c r="I195" s="1692" t="e">
        <f t="shared" si="296"/>
        <v>#VALUE!</v>
      </c>
      <c r="J195" s="1692" t="e">
        <f t="shared" si="296"/>
        <v>#VALUE!</v>
      </c>
      <c r="K195" s="1692" t="e">
        <f t="shared" si="296"/>
        <v>#VALUE!</v>
      </c>
      <c r="L195" s="1692" t="e">
        <f t="shared" si="296"/>
        <v>#VALUE!</v>
      </c>
      <c r="M195" s="1692">
        <f t="shared" si="296"/>
        <v>7.7544858423713947</v>
      </c>
      <c r="N195" s="1692">
        <f t="shared" si="296"/>
        <v>5.0200772802637017</v>
      </c>
      <c r="O195" s="1692">
        <f t="shared" si="296"/>
        <v>9.8672043941557597</v>
      </c>
      <c r="P195" s="3488">
        <f t="shared" si="296"/>
        <v>14.254906547622092</v>
      </c>
      <c r="Q195" s="3488">
        <f t="shared" si="296"/>
        <v>15.61606974681915</v>
      </c>
      <c r="R195" s="3488">
        <f t="shared" si="296"/>
        <v>18.474896483600567</v>
      </c>
      <c r="S195" s="3488">
        <f t="shared" si="296"/>
        <v>18.260521445174472</v>
      </c>
      <c r="T195" s="2989">
        <f t="shared" ref="T195:U199" si="297">(T188/S188-1)*100</f>
        <v>11.740804548038897</v>
      </c>
      <c r="U195" s="2989">
        <f>(U188/T188-1)*100</f>
        <v>-13.004300378080202</v>
      </c>
      <c r="V195" s="2989">
        <f>(V188/U188-1)*100</f>
        <v>2.6775827152439646</v>
      </c>
      <c r="W195" s="2989">
        <f t="shared" si="296"/>
        <v>6.7378412137220955</v>
      </c>
      <c r="X195" s="2989">
        <f t="shared" si="296"/>
        <v>4.8661243612303728</v>
      </c>
      <c r="Y195" s="2989">
        <f t="shared" si="296"/>
        <v>5.9657216268666602</v>
      </c>
      <c r="Z195" s="2989">
        <f t="shared" si="296"/>
        <v>5.4306859856523948</v>
      </c>
      <c r="AA195" s="2989">
        <f t="shared" si="296"/>
        <v>7.0789580626096527</v>
      </c>
      <c r="AB195" s="2989">
        <f t="shared" si="296"/>
        <v>7.2052124442040011</v>
      </c>
      <c r="AC195" s="2989">
        <f t="shared" si="296"/>
        <v>9.6773735556178622</v>
      </c>
      <c r="AD195" s="2989">
        <f t="shared" si="296"/>
        <v>6.8115375224857999</v>
      </c>
      <c r="AE195" s="2989">
        <f t="shared" si="296"/>
        <v>6.1206184030943689</v>
      </c>
    </row>
    <row r="196" spans="1:119">
      <c r="C196" s="932"/>
      <c r="D196" s="674"/>
      <c r="E196" s="220" t="s">
        <v>930</v>
      </c>
      <c r="F196" s="710" t="s">
        <v>2011</v>
      </c>
      <c r="H196" s="1692">
        <f t="shared" si="296"/>
        <v>33.162608767081394</v>
      </c>
      <c r="I196" s="1692">
        <f t="shared" si="296"/>
        <v>24.952176226668122</v>
      </c>
      <c r="J196" s="1692">
        <f t="shared" si="296"/>
        <v>26.443531889822513</v>
      </c>
      <c r="K196" s="1692">
        <f t="shared" si="296"/>
        <v>-3.1195184255293551</v>
      </c>
      <c r="L196" s="1692">
        <f t="shared" si="296"/>
        <v>-7.5936615459154204</v>
      </c>
      <c r="M196" s="1692">
        <f t="shared" si="296"/>
        <v>4.6147105698692847</v>
      </c>
      <c r="N196" s="1692">
        <f t="shared" si="296"/>
        <v>7.4445830649058742</v>
      </c>
      <c r="O196" s="1692">
        <f t="shared" si="296"/>
        <v>9.2907717738842432</v>
      </c>
      <c r="P196" s="3488">
        <f t="shared" si="296"/>
        <v>5.1399119911579305</v>
      </c>
      <c r="Q196" s="3488">
        <f t="shared" si="296"/>
        <v>9.7788479286490482</v>
      </c>
      <c r="R196" s="3488">
        <f t="shared" si="296"/>
        <v>34.09768060015903</v>
      </c>
      <c r="S196" s="3488">
        <f t="shared" si="296"/>
        <v>-1.1221592079175502</v>
      </c>
      <c r="T196" s="2989">
        <f t="shared" si="297"/>
        <v>22.658486576673464</v>
      </c>
      <c r="U196" s="2989">
        <f t="shared" si="297"/>
        <v>-0.63568775278945999</v>
      </c>
      <c r="V196" s="2989">
        <f t="shared" si="296"/>
        <v>-7.5956041379997119</v>
      </c>
      <c r="W196" s="2989">
        <f t="shared" si="296"/>
        <v>6.1077671990595661</v>
      </c>
      <c r="X196" s="2989">
        <f t="shared" si="296"/>
        <v>3.5971178066712683</v>
      </c>
      <c r="Y196" s="2989">
        <f t="shared" si="296"/>
        <v>4.037066336313333</v>
      </c>
      <c r="Z196" s="2989">
        <f t="shared" si="296"/>
        <v>2.6689101027296713</v>
      </c>
      <c r="AA196" s="2989">
        <f t="shared" si="296"/>
        <v>0.99018228913341222</v>
      </c>
      <c r="AB196" s="2989">
        <f t="shared" si="296"/>
        <v>2.8692186415699261</v>
      </c>
      <c r="AC196" s="2989">
        <f t="shared" si="296"/>
        <v>7.1935050692335079</v>
      </c>
      <c r="AD196" s="2989">
        <f t="shared" si="296"/>
        <v>6.104577298775804</v>
      </c>
      <c r="AE196" s="2989">
        <f t="shared" si="296"/>
        <v>5.7157795862094352</v>
      </c>
    </row>
    <row r="197" spans="1:119">
      <c r="C197" s="932"/>
      <c r="D197" s="717"/>
      <c r="E197" s="718" t="s">
        <v>906</v>
      </c>
      <c r="F197" s="924" t="s">
        <v>339</v>
      </c>
      <c r="G197" s="925"/>
      <c r="H197" s="925" t="e">
        <f>(H190/G190-1)*100</f>
        <v>#VALUE!</v>
      </c>
      <c r="I197" s="925" t="e">
        <f t="shared" ref="I197:S197" si="298">(I190/H190-1)*100</f>
        <v>#VALUE!</v>
      </c>
      <c r="J197" s="925" t="e">
        <f t="shared" si="298"/>
        <v>#VALUE!</v>
      </c>
      <c r="K197" s="925" t="e">
        <f t="shared" si="298"/>
        <v>#VALUE!</v>
      </c>
      <c r="L197" s="925" t="e">
        <f t="shared" si="298"/>
        <v>#VALUE!</v>
      </c>
      <c r="M197" s="925">
        <f t="shared" si="298"/>
        <v>7.0538276732875271</v>
      </c>
      <c r="N197" s="925">
        <f t="shared" si="298"/>
        <v>4.9628137431708019</v>
      </c>
      <c r="O197" s="925">
        <f t="shared" si="298"/>
        <v>8.9115284946951867</v>
      </c>
      <c r="P197" s="3549">
        <f t="shared" si="298"/>
        <v>12.068248959633454</v>
      </c>
      <c r="Q197" s="3549">
        <f t="shared" si="298"/>
        <v>13.805837427687461</v>
      </c>
      <c r="R197" s="3549">
        <f t="shared" si="298"/>
        <v>20.73529012591646</v>
      </c>
      <c r="S197" s="3549">
        <f t="shared" si="298"/>
        <v>14.084650544838562</v>
      </c>
      <c r="T197" s="2972">
        <f t="shared" si="297"/>
        <v>14.061522063972355</v>
      </c>
      <c r="U197" s="2972">
        <f t="shared" si="297"/>
        <v>-9.2913292593047263</v>
      </c>
      <c r="V197" s="2972">
        <f t="shared" ref="V197:AE199" si="299">(V190/U190-1)*100</f>
        <v>-0.13671916393271921</v>
      </c>
      <c r="W197" s="2972">
        <f t="shared" si="299"/>
        <v>6.3534168887675158</v>
      </c>
      <c r="X197" s="2972">
        <f t="shared" si="299"/>
        <v>4.2405402609799969</v>
      </c>
      <c r="Y197" s="2972">
        <f t="shared" si="299"/>
        <v>5.3595572299901528</v>
      </c>
      <c r="Z197" s="2972">
        <f t="shared" si="299"/>
        <v>4.715036607272638</v>
      </c>
      <c r="AA197" s="2972">
        <f t="shared" si="299"/>
        <v>5.7587426961738464</v>
      </c>
      <c r="AB197" s="2972">
        <f t="shared" si="299"/>
        <v>6.237755320815852</v>
      </c>
      <c r="AC197" s="2972">
        <f t="shared" si="299"/>
        <v>9.0361005547439319</v>
      </c>
      <c r="AD197" s="2972">
        <f t="shared" si="299"/>
        <v>6.6370855387646976</v>
      </c>
      <c r="AE197" s="2972">
        <f t="shared" si="299"/>
        <v>6.0339340403564146</v>
      </c>
    </row>
    <row r="198" spans="1:119">
      <c r="C198" s="690"/>
      <c r="D198" s="691"/>
      <c r="E198" s="735" t="s">
        <v>907</v>
      </c>
      <c r="F198" s="933" t="s">
        <v>1707</v>
      </c>
      <c r="G198" s="934"/>
      <c r="H198" s="934" t="e">
        <f t="shared" ref="H198:S198" si="300">(H191/G191-1)*100</f>
        <v>#VALUE!</v>
      </c>
      <c r="I198" s="934" t="e">
        <f t="shared" si="300"/>
        <v>#VALUE!</v>
      </c>
      <c r="J198" s="934" t="e">
        <f t="shared" si="300"/>
        <v>#VALUE!</v>
      </c>
      <c r="K198" s="934" t="e">
        <f t="shared" si="300"/>
        <v>#VALUE!</v>
      </c>
      <c r="L198" s="934" t="e">
        <f t="shared" si="300"/>
        <v>#VALUE!</v>
      </c>
      <c r="M198" s="934">
        <f t="shared" si="300"/>
        <v>41.646529455875395</v>
      </c>
      <c r="N198" s="934">
        <f t="shared" si="300"/>
        <v>-18.449617398307872</v>
      </c>
      <c r="O198" s="934">
        <f t="shared" si="300"/>
        <v>-34.296567697621882</v>
      </c>
      <c r="P198" s="3550">
        <f t="shared" si="300"/>
        <v>249.28341561083869</v>
      </c>
      <c r="Q198" s="3550">
        <f t="shared" si="300"/>
        <v>14.479536171580133</v>
      </c>
      <c r="R198" s="3550">
        <f t="shared" si="300"/>
        <v>24.131634972756121</v>
      </c>
      <c r="S198" s="3550">
        <f t="shared" si="300"/>
        <v>29.573495811121031</v>
      </c>
      <c r="T198" s="2990">
        <f t="shared" si="297"/>
        <v>85.566789018389784</v>
      </c>
      <c r="U198" s="2990">
        <f t="shared" si="297"/>
        <v>-71.032276824656833</v>
      </c>
      <c r="V198" s="2990">
        <f t="shared" si="299"/>
        <v>1739.0374331550079</v>
      </c>
      <c r="W198" s="2990">
        <f t="shared" si="299"/>
        <v>-11.8713450292256</v>
      </c>
      <c r="X198" s="2990">
        <f t="shared" si="299"/>
        <v>-87.458526874586127</v>
      </c>
      <c r="Y198" s="2990">
        <f t="shared" si="299"/>
        <v>51.413690476181159</v>
      </c>
      <c r="Z198" s="2990">
        <f t="shared" si="299"/>
        <v>-141.79212769816684</v>
      </c>
      <c r="AA198" s="2990">
        <f t="shared" si="299"/>
        <v>-91.193853427896428</v>
      </c>
      <c r="AB198" s="2990">
        <f t="shared" si="299"/>
        <v>4808.8888888899173</v>
      </c>
      <c r="AC198" s="2990">
        <f t="shared" si="299"/>
        <v>-28.044375435430403</v>
      </c>
      <c r="AD198" s="2990">
        <f t="shared" si="299"/>
        <v>6.2605482288793812</v>
      </c>
      <c r="AE198" s="2990">
        <f t="shared" si="299"/>
        <v>5.9513922600455738</v>
      </c>
    </row>
    <row r="199" spans="1:119" s="220" customFormat="1">
      <c r="A199" s="903"/>
      <c r="B199" s="903"/>
      <c r="C199" s="674"/>
      <c r="D199" s="717"/>
      <c r="E199" s="718" t="s">
        <v>2009</v>
      </c>
      <c r="F199" s="924" t="s">
        <v>1708</v>
      </c>
      <c r="G199" s="925"/>
      <c r="H199" s="925" t="e">
        <f t="shared" ref="H199:S199" si="301">(H192/G192-1)*100</f>
        <v>#VALUE!</v>
      </c>
      <c r="I199" s="925" t="e">
        <f t="shared" si="301"/>
        <v>#VALUE!</v>
      </c>
      <c r="J199" s="925" t="e">
        <f t="shared" si="301"/>
        <v>#VALUE!</v>
      </c>
      <c r="K199" s="925" t="e">
        <f t="shared" si="301"/>
        <v>#VALUE!</v>
      </c>
      <c r="L199" s="925" t="e">
        <f t="shared" si="301"/>
        <v>#VALUE!</v>
      </c>
      <c r="M199" s="925">
        <f t="shared" si="301"/>
        <v>7.9025334469472464</v>
      </c>
      <c r="N199" s="925">
        <f t="shared" si="301"/>
        <v>4.89618052074694</v>
      </c>
      <c r="O199" s="925">
        <f t="shared" si="301"/>
        <v>8.5403091945492662</v>
      </c>
      <c r="P199" s="3549">
        <f t="shared" si="301"/>
        <v>13.569436188529838</v>
      </c>
      <c r="Q199" s="3549">
        <f t="shared" si="301"/>
        <v>14.032528233435748</v>
      </c>
      <c r="R199" s="3549">
        <f t="shared" si="301"/>
        <v>20.488875118852445</v>
      </c>
      <c r="S199" s="3549">
        <f t="shared" si="301"/>
        <v>13.326047423484599</v>
      </c>
      <c r="T199" s="2972">
        <f t="shared" si="297"/>
        <v>13.601025639001296</v>
      </c>
      <c r="U199" s="2972">
        <f t="shared" si="297"/>
        <v>-9.746727206298667</v>
      </c>
      <c r="V199" s="2972">
        <f t="shared" si="299"/>
        <v>1.3348132430862636</v>
      </c>
      <c r="W199" s="2972">
        <f t="shared" si="299"/>
        <v>5.8976199533630425</v>
      </c>
      <c r="X199" s="2972">
        <f t="shared" si="299"/>
        <v>3.0894827554638127</v>
      </c>
      <c r="Y199" s="2972">
        <f>(Y192/X192-1)*100</f>
        <v>5.4863218887093446</v>
      </c>
      <c r="Z199" s="2972">
        <f>(Z192/Y192-1)*100</f>
        <v>4.2635597347320253</v>
      </c>
      <c r="AA199" s="2972">
        <f t="shared" si="299"/>
        <v>5.8746033637904649</v>
      </c>
      <c r="AB199" s="2972">
        <f t="shared" si="299"/>
        <v>5.9045442872639242</v>
      </c>
      <c r="AC199" s="2972">
        <f t="shared" si="299"/>
        <v>9.1269815640810048</v>
      </c>
      <c r="AD199" s="2972">
        <f t="shared" si="299"/>
        <v>6.6370769970782506</v>
      </c>
      <c r="AE199" s="2972">
        <f t="shared" si="299"/>
        <v>6.0340702507299282</v>
      </c>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row>
    <row r="200" spans="1:119" s="699" customFormat="1">
      <c r="A200" s="663"/>
      <c r="B200" s="663"/>
      <c r="C200" s="694"/>
      <c r="D200" s="670"/>
      <c r="F200" s="694"/>
      <c r="P200" s="547"/>
      <c r="Q200" s="547"/>
      <c r="R200" s="547"/>
      <c r="S200" s="547"/>
      <c r="T200" s="2971"/>
      <c r="U200" s="2971"/>
      <c r="V200" s="2971"/>
      <c r="W200" s="2971"/>
      <c r="X200" s="2971"/>
      <c r="Y200" s="2971"/>
      <c r="Z200" s="2971"/>
      <c r="AA200" s="2971"/>
      <c r="AB200" s="2971"/>
      <c r="AC200" s="2971"/>
      <c r="AD200" s="2971"/>
      <c r="AE200" s="2971"/>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row>
    <row r="201" spans="1:119" s="699" customFormat="1" ht="12.75" customHeight="1">
      <c r="A201" s="664"/>
      <c r="B201" s="664"/>
      <c r="C201" s="774"/>
      <c r="D201" s="814"/>
      <c r="E201" s="815" t="s">
        <v>1267</v>
      </c>
      <c r="F201" s="816"/>
      <c r="G201" s="821">
        <f>+InputY!$G$3</f>
        <v>1995</v>
      </c>
      <c r="H201" s="817">
        <f t="shared" ref="H201:O201" si="302">+G201+1</f>
        <v>1996</v>
      </c>
      <c r="I201" s="817">
        <f t="shared" si="302"/>
        <v>1997</v>
      </c>
      <c r="J201" s="817">
        <f t="shared" si="302"/>
        <v>1998</v>
      </c>
      <c r="K201" s="817">
        <f t="shared" si="302"/>
        <v>1999</v>
      </c>
      <c r="L201" s="817">
        <f t="shared" si="302"/>
        <v>2000</v>
      </c>
      <c r="M201" s="817">
        <f t="shared" si="302"/>
        <v>2001</v>
      </c>
      <c r="N201" s="817">
        <f t="shared" si="302"/>
        <v>2002</v>
      </c>
      <c r="O201" s="817">
        <f t="shared" si="302"/>
        <v>2003</v>
      </c>
      <c r="P201" s="3583">
        <f t="shared" ref="P201:W201" si="303">+O201+1</f>
        <v>2004</v>
      </c>
      <c r="Q201" s="3583">
        <f t="shared" si="303"/>
        <v>2005</v>
      </c>
      <c r="R201" s="3583">
        <f t="shared" si="303"/>
        <v>2006</v>
      </c>
      <c r="S201" s="3583">
        <f t="shared" si="303"/>
        <v>2007</v>
      </c>
      <c r="T201" s="3584">
        <f t="shared" si="303"/>
        <v>2008</v>
      </c>
      <c r="U201" s="3584">
        <f t="shared" si="303"/>
        <v>2009</v>
      </c>
      <c r="V201" s="3584">
        <f t="shared" si="303"/>
        <v>2010</v>
      </c>
      <c r="W201" s="3584">
        <f t="shared" si="303"/>
        <v>2011</v>
      </c>
      <c r="X201" s="3584">
        <f t="shared" ref="X201:AE201" si="304">+W201+1</f>
        <v>2012</v>
      </c>
      <c r="Y201" s="3584">
        <f t="shared" si="304"/>
        <v>2013</v>
      </c>
      <c r="Z201" s="3584">
        <f t="shared" si="304"/>
        <v>2014</v>
      </c>
      <c r="AA201" s="3584">
        <f t="shared" si="304"/>
        <v>2015</v>
      </c>
      <c r="AB201" s="3584">
        <f t="shared" si="304"/>
        <v>2016</v>
      </c>
      <c r="AC201" s="3584">
        <f t="shared" si="304"/>
        <v>2017</v>
      </c>
      <c r="AD201" s="3584">
        <f t="shared" si="304"/>
        <v>2018</v>
      </c>
      <c r="AE201" s="3584">
        <f t="shared" si="304"/>
        <v>2019</v>
      </c>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row>
    <row r="202" spans="1:119" s="699" customFormat="1" ht="12.75" customHeight="1">
      <c r="A202" s="664"/>
      <c r="B202" s="664"/>
      <c r="C202" s="822" t="s">
        <v>1767</v>
      </c>
      <c r="D202" s="823"/>
      <c r="E202" s="824" t="s">
        <v>2042</v>
      </c>
      <c r="F202" s="1661" t="s">
        <v>2010</v>
      </c>
      <c r="G202" s="1688"/>
      <c r="H202" s="1689" t="e">
        <f>+H195-'VVP2'!H$366</f>
        <v>#VALUE!</v>
      </c>
      <c r="I202" s="1689" t="e">
        <f>+I195-'VVP2'!I$366</f>
        <v>#VALUE!</v>
      </c>
      <c r="J202" s="1689" t="e">
        <f>+J195-'VVP2'!J$366</f>
        <v>#VALUE!</v>
      </c>
      <c r="K202" s="1689" t="e">
        <f>+K195-'VVP2'!K$366</f>
        <v>#VALUE!</v>
      </c>
      <c r="L202" s="1689" t="e">
        <f>+L195-'VVP2'!L$366</f>
        <v>#VALUE!</v>
      </c>
      <c r="M202" s="1689">
        <f>+M195-'VVP2'!M$366</f>
        <v>5.4207260430140236</v>
      </c>
      <c r="N202" s="1689">
        <f>+N195-'VVP2'!N$366</f>
        <v>5.4059565908895486</v>
      </c>
      <c r="O202" s="1689">
        <f>+O195-'VVP2'!O$366</f>
        <v>11.350666340646832</v>
      </c>
      <c r="P202" s="3548">
        <f>+P195-'VVP2'!P$366</f>
        <v>15.132529987653653</v>
      </c>
      <c r="Q202" s="3548">
        <f>+Q195-'VVP2'!Q$366</f>
        <v>13.246806489415697</v>
      </c>
      <c r="R202" s="3548">
        <f>+R195-'VVP2'!R$366</f>
        <v>13.812195566016472</v>
      </c>
      <c r="S202" s="3548">
        <f>+S195-'VVP2'!S$366</f>
        <v>12.383362153207901</v>
      </c>
      <c r="T202" s="2981">
        <f>+T195-'VVP2'!T$366</f>
        <v>0.84576820966570843</v>
      </c>
      <c r="U202" s="2981">
        <f>+U195-'VVP2'!U$366</f>
        <v>-17.350677447954133</v>
      </c>
      <c r="V202" s="2981">
        <f>+V195-'VVP2'!V$366</f>
        <v>1.406925259907621</v>
      </c>
      <c r="W202" s="2981">
        <f>+W195-'VVP2'!W$366</f>
        <v>2.6195319878549173</v>
      </c>
      <c r="X202" s="2981">
        <f>+X195-'VVP2'!X$366</f>
        <v>1.781857061744474</v>
      </c>
      <c r="Y202" s="2981">
        <f>+Y195-'VVP2'!Y$366</f>
        <v>4.9700206306604322</v>
      </c>
      <c r="Z202" s="2981">
        <f>+Z195-'VVP2'!Z$366</f>
        <v>5.3112776357225222</v>
      </c>
      <c r="AA202" s="2981">
        <f>+AA195-'VVP2'!AA$366</f>
        <v>7.9610343087622937</v>
      </c>
      <c r="AB202" s="2981">
        <f>+AB195-'VVP2'!AB$366</f>
        <v>6.2666500350817111</v>
      </c>
      <c r="AC202" s="2981">
        <f>+AC195-'VVP2'!AC$366</f>
        <v>5.9236187958389577</v>
      </c>
      <c r="AD202" s="2981">
        <f ca="1">+AD195-'VVP2'!AD$366</f>
        <v>4.2115375224858003</v>
      </c>
      <c r="AE202" s="2981">
        <f ca="1">+AE195-'VVP2'!AE$366</f>
        <v>3.9206184030943687</v>
      </c>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row>
    <row r="203" spans="1:119" s="699" customFormat="1" ht="12.75" customHeight="1">
      <c r="A203" s="664"/>
      <c r="B203" s="664"/>
      <c r="C203" s="826" t="s">
        <v>1767</v>
      </c>
      <c r="D203" s="674"/>
      <c r="E203" s="783" t="s">
        <v>930</v>
      </c>
      <c r="F203" s="1017" t="s">
        <v>2011</v>
      </c>
      <c r="G203" s="1559"/>
      <c r="H203" s="1044">
        <f>+H196-'VVP2'!H$366</f>
        <v>15.181135553669826</v>
      </c>
      <c r="I203" s="1044">
        <f>+I196-'VVP2'!I$366</f>
        <v>15.699796186585502</v>
      </c>
      <c r="J203" s="1044">
        <f>+J196-'VVP2'!J$366</f>
        <v>20.696842160877836</v>
      </c>
      <c r="K203" s="1044">
        <f>+K196-'VVP2'!K$366</f>
        <v>-1.8891214205894902</v>
      </c>
      <c r="L203" s="1044">
        <f>+L196-'VVP2'!L$366</f>
        <v>-5.9546533060231397</v>
      </c>
      <c r="M203" s="1044">
        <f>+M196-'VVP2'!M$366</f>
        <v>2.2809507705119136</v>
      </c>
      <c r="N203" s="1044">
        <f>+N196-'VVP2'!N$366</f>
        <v>7.830462375531722</v>
      </c>
      <c r="O203" s="1044">
        <f>+O196-'VVP2'!O$366</f>
        <v>10.774233720375314</v>
      </c>
      <c r="P203" s="3508">
        <f>+P196-'VVP2'!P$366</f>
        <v>6.0175354311894917</v>
      </c>
      <c r="Q203" s="3508">
        <f>+Q196-'VVP2'!Q$366</f>
        <v>7.4095846712455948</v>
      </c>
      <c r="R203" s="3508">
        <f>+R196-'VVP2'!R$366</f>
        <v>29.434979682574934</v>
      </c>
      <c r="S203" s="3508">
        <f>+S196-'VVP2'!S$366</f>
        <v>-6.9993184998841222</v>
      </c>
      <c r="T203" s="2269">
        <f>+T196-'VVP2'!T$366</f>
        <v>11.763450238300276</v>
      </c>
      <c r="U203" s="2269">
        <f>+U196-'VVP2'!U$366</f>
        <v>-4.9820648226633901</v>
      </c>
      <c r="V203" s="2269">
        <f>+V196-'VVP2'!V$366</f>
        <v>-8.8662615933360556</v>
      </c>
      <c r="W203" s="2269">
        <f>+W196-'VVP2'!W$366</f>
        <v>1.9894579731923878</v>
      </c>
      <c r="X203" s="2269">
        <f>+X196-'VVP2'!X$366</f>
        <v>0.51285050718536951</v>
      </c>
      <c r="Y203" s="2269">
        <f>+Y196-'VVP2'!Y$366</f>
        <v>3.041365340107105</v>
      </c>
      <c r="Z203" s="2269">
        <f>+Z196-'VVP2'!Z$366</f>
        <v>2.5495017527997987</v>
      </c>
      <c r="AA203" s="2269">
        <f>+AA196-'VVP2'!AA$366</f>
        <v>1.8722585352860532</v>
      </c>
      <c r="AB203" s="2269">
        <f>+AB196-'VVP2'!AB$366</f>
        <v>1.9306562324476362</v>
      </c>
      <c r="AC203" s="2269">
        <f>+AC196-'VVP2'!AC$366</f>
        <v>3.4397503094546034</v>
      </c>
      <c r="AD203" s="2269">
        <f ca="1">+AD196-'VVP2'!AD$366</f>
        <v>3.5045772987758039</v>
      </c>
      <c r="AE203" s="2269">
        <f ca="1">+AE196-'VVP2'!AE$366</f>
        <v>3.515779586209435</v>
      </c>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row>
    <row r="204" spans="1:119" s="699" customFormat="1" ht="12.75" customHeight="1">
      <c r="A204" s="664"/>
      <c r="B204" s="664"/>
      <c r="C204" s="826" t="s">
        <v>1769</v>
      </c>
      <c r="D204" s="806"/>
      <c r="E204" s="807" t="s">
        <v>906</v>
      </c>
      <c r="F204" s="1662" t="s">
        <v>339</v>
      </c>
      <c r="G204" s="841"/>
      <c r="H204" s="1659" t="e">
        <f>+H197-'VVP2'!H$366</f>
        <v>#VALUE!</v>
      </c>
      <c r="I204" s="1659" t="e">
        <f>+I197-'VVP2'!I$366</f>
        <v>#VALUE!</v>
      </c>
      <c r="J204" s="1659" t="e">
        <f>+J197-'VVP2'!J$366</f>
        <v>#VALUE!</v>
      </c>
      <c r="K204" s="1659" t="e">
        <f>+K197-'VVP2'!K$366</f>
        <v>#VALUE!</v>
      </c>
      <c r="L204" s="1659" t="e">
        <f>+L197-'VVP2'!L$366</f>
        <v>#VALUE!</v>
      </c>
      <c r="M204" s="1659">
        <f>+M197-'VVP2'!M$366</f>
        <v>4.720067873930156</v>
      </c>
      <c r="N204" s="1659">
        <f>+N197-'VVP2'!N$366</f>
        <v>5.3486930537966497</v>
      </c>
      <c r="O204" s="1659">
        <f>+O197-'VVP2'!O$366</f>
        <v>10.394990441186259</v>
      </c>
      <c r="P204" s="3585">
        <f>+P197-'VVP2'!P$366</f>
        <v>12.945872399665015</v>
      </c>
      <c r="Q204" s="3585">
        <f>+Q197-'VVP2'!Q$366</f>
        <v>11.436574170284008</v>
      </c>
      <c r="R204" s="3585">
        <f>+R197-'VVP2'!R$366</f>
        <v>16.072589208332367</v>
      </c>
      <c r="S204" s="3585">
        <f>+S197-'VVP2'!S$366</f>
        <v>8.2074912528719892</v>
      </c>
      <c r="T204" s="2992">
        <f>+T197-'VVP2'!T$366</f>
        <v>3.1664857255991663</v>
      </c>
      <c r="U204" s="2992">
        <f>+U197-'VVP2'!U$366</f>
        <v>-13.637706329178656</v>
      </c>
      <c r="V204" s="2992">
        <f>+V197-'VVP2'!V$366</f>
        <v>-1.4073766192690629</v>
      </c>
      <c r="W204" s="2992">
        <f>+W197-'VVP2'!W$366</f>
        <v>2.2351076629003375</v>
      </c>
      <c r="X204" s="2992">
        <f>+X197-'VVP2'!X$366</f>
        <v>1.1562729614940981</v>
      </c>
      <c r="Y204" s="2992">
        <f>+Y197-'VVP2'!Y$366</f>
        <v>4.3638562337839248</v>
      </c>
      <c r="Z204" s="2992">
        <f>+Z197-'VVP2'!Z$366</f>
        <v>4.5956282573427654</v>
      </c>
      <c r="AA204" s="2992">
        <f>+AA197-'VVP2'!AA$366</f>
        <v>6.6408189423264874</v>
      </c>
      <c r="AB204" s="2992">
        <f>+AB197-'VVP2'!AB$366</f>
        <v>5.2991929116935621</v>
      </c>
      <c r="AC204" s="2992">
        <f>+AC197-'VVP2'!AC$366</f>
        <v>5.2823457949650274</v>
      </c>
      <c r="AD204" s="2992">
        <f ca="1">+AD197-'VVP2'!AD$366</f>
        <v>4.037085538764698</v>
      </c>
      <c r="AE204" s="2992">
        <f ca="1">+AE197-'VVP2'!AE$366</f>
        <v>3.8339340403564144</v>
      </c>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row>
    <row r="205" spans="1:119" s="699" customFormat="1" ht="12.75" customHeight="1">
      <c r="A205" s="664"/>
      <c r="B205" s="664"/>
      <c r="C205" s="827" t="s">
        <v>1767</v>
      </c>
      <c r="D205" s="828"/>
      <c r="E205" s="829" t="s">
        <v>907</v>
      </c>
      <c r="F205" s="1663" t="s">
        <v>1707</v>
      </c>
      <c r="G205" s="840"/>
      <c r="H205" s="1660" t="e">
        <f>+H198-'VVP2'!H$366</f>
        <v>#VALUE!</v>
      </c>
      <c r="I205" s="1660" t="e">
        <f>+I198-'VVP2'!I$366</f>
        <v>#VALUE!</v>
      </c>
      <c r="J205" s="1660" t="e">
        <f>+J198-'VVP2'!J$366</f>
        <v>#VALUE!</v>
      </c>
      <c r="K205" s="1660" t="e">
        <f>+K198-'VVP2'!K$366</f>
        <v>#VALUE!</v>
      </c>
      <c r="L205" s="1660" t="e">
        <f>+L198-'VVP2'!L$366</f>
        <v>#VALUE!</v>
      </c>
      <c r="M205" s="1660">
        <f>+M198-'VVP2'!M$366</f>
        <v>39.312769656518022</v>
      </c>
      <c r="N205" s="1660">
        <f>+N198-'VVP2'!N$366</f>
        <v>-18.063738087682026</v>
      </c>
      <c r="O205" s="1660">
        <f>+O198-'VVP2'!O$366</f>
        <v>-32.813105751130813</v>
      </c>
      <c r="P205" s="3586">
        <f>+P198-'VVP2'!P$366</f>
        <v>250.16103905087024</v>
      </c>
      <c r="Q205" s="3586">
        <f>+Q198-'VVP2'!Q$366</f>
        <v>12.110272914176679</v>
      </c>
      <c r="R205" s="3586">
        <f>+R198-'VVP2'!R$366</f>
        <v>19.468934055172028</v>
      </c>
      <c r="S205" s="3586">
        <f>+S198-'VVP2'!S$366</f>
        <v>23.69633651915446</v>
      </c>
      <c r="T205" s="2993">
        <f>+T198-'VVP2'!T$366</f>
        <v>74.671752680016596</v>
      </c>
      <c r="U205" s="2993">
        <f>+U198-'VVP2'!U$366</f>
        <v>-75.378653894530757</v>
      </c>
      <c r="V205" s="2993">
        <f>+V198-'VVP2'!V$366</f>
        <v>1737.7667756996716</v>
      </c>
      <c r="W205" s="2993">
        <f>+W198-'VVP2'!W$366</f>
        <v>-15.989654255092777</v>
      </c>
      <c r="X205" s="2993">
        <f>+X198-'VVP2'!X$366</f>
        <v>-90.542794174072029</v>
      </c>
      <c r="Y205" s="2993">
        <f>+Y198-'VVP2'!Y$366</f>
        <v>50.417989479974935</v>
      </c>
      <c r="Z205" s="2993">
        <f>+Z198-'VVP2'!Z$366</f>
        <v>-141.91153604809671</v>
      </c>
      <c r="AA205" s="2993">
        <f>+AA198-'VVP2'!AA$366</f>
        <v>-90.311777181743793</v>
      </c>
      <c r="AB205" s="2993">
        <f>+AB198-'VVP2'!AB$366</f>
        <v>4807.9503264807954</v>
      </c>
      <c r="AC205" s="2993">
        <f>+AC198-'VVP2'!AC$366</f>
        <v>-31.798130195209307</v>
      </c>
      <c r="AD205" s="2993">
        <f ca="1">+AD198-'VVP2'!AD$366</f>
        <v>3.6605482288793811</v>
      </c>
      <c r="AE205" s="2993">
        <f ca="1">+AE198-'VVP2'!AE$366</f>
        <v>3.7513922600455736</v>
      </c>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row>
    <row r="206" spans="1:119" s="699" customFormat="1" ht="12.75" customHeight="1">
      <c r="A206" s="664"/>
      <c r="B206" s="664"/>
      <c r="C206" s="774" t="s">
        <v>1769</v>
      </c>
      <c r="D206" s="806"/>
      <c r="E206" s="807" t="s">
        <v>2009</v>
      </c>
      <c r="F206" s="1662" t="s">
        <v>1708</v>
      </c>
      <c r="G206" s="841"/>
      <c r="H206" s="1659" t="e">
        <f>+H199-'VVP2'!H$366</f>
        <v>#VALUE!</v>
      </c>
      <c r="I206" s="1659" t="e">
        <f>+I199-'VVP2'!I$366</f>
        <v>#VALUE!</v>
      </c>
      <c r="J206" s="1659" t="e">
        <f>+J199-'VVP2'!J$366</f>
        <v>#VALUE!</v>
      </c>
      <c r="K206" s="1659" t="e">
        <f>+K199-'VVP2'!K$366</f>
        <v>#VALUE!</v>
      </c>
      <c r="L206" s="1659" t="e">
        <f>+L199-'VVP2'!L$366</f>
        <v>#VALUE!</v>
      </c>
      <c r="M206" s="1659">
        <f>+M199-'VVP2'!M$366</f>
        <v>5.5687736475898753</v>
      </c>
      <c r="N206" s="1659">
        <f>+N199-'VVP2'!N$366</f>
        <v>5.2820598313727878</v>
      </c>
      <c r="O206" s="1659">
        <f>+O199-'VVP2'!O$366</f>
        <v>10.023771141040339</v>
      </c>
      <c r="P206" s="3585">
        <f>+P199-'VVP2'!P$366</f>
        <v>14.4470596285614</v>
      </c>
      <c r="Q206" s="3585">
        <f>+Q199-'VVP2'!Q$366</f>
        <v>11.663264976032295</v>
      </c>
      <c r="R206" s="3585">
        <f>+R199-'VVP2'!R$366</f>
        <v>15.82617420126835</v>
      </c>
      <c r="S206" s="3585">
        <f>+S199-'VVP2'!S$366</f>
        <v>7.4488881315180278</v>
      </c>
      <c r="T206" s="2992">
        <f>+T199-'VVP2'!T$366</f>
        <v>2.7059893006281079</v>
      </c>
      <c r="U206" s="2992">
        <f>+U199-'VVP2'!U$366</f>
        <v>-14.093104276172596</v>
      </c>
      <c r="V206" s="2992">
        <f>+V199-'VVP2'!V$366</f>
        <v>6.4155787749919924E-2</v>
      </c>
      <c r="W206" s="2992">
        <f>+W199-'VVP2'!W$366</f>
        <v>1.7793107274958642</v>
      </c>
      <c r="X206" s="3223">
        <f>+X199-'VVP2'!X$366</f>
        <v>5.215455977913841E-3</v>
      </c>
      <c r="Y206" s="3223">
        <f>+Y199-'VVP2'!Y$366</f>
        <v>4.4906208925031166</v>
      </c>
      <c r="Z206" s="3223">
        <f>+Z199-'VVP2'!Z$366</f>
        <v>4.1441513848021527</v>
      </c>
      <c r="AA206" s="3223">
        <f>+AA199-'VVP2'!AA$366</f>
        <v>6.7566796099431059</v>
      </c>
      <c r="AB206" s="3223">
        <f>+AB199-'VVP2'!AB$366</f>
        <v>4.9659818781416343</v>
      </c>
      <c r="AC206" s="3223">
        <f>+AC199-'VVP2'!AC$366</f>
        <v>5.3732268043021003</v>
      </c>
      <c r="AD206" s="3223">
        <f ca="1">+AD199-'VVP2'!AD$366</f>
        <v>4.0370769970782501</v>
      </c>
      <c r="AE206" s="3223">
        <f ca="1">+AE199-'VVP2'!AE$366</f>
        <v>3.834070250729928</v>
      </c>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row>
    <row r="207" spans="1:119" s="699" customFormat="1" ht="30" customHeight="1">
      <c r="A207" s="663"/>
      <c r="B207" s="663"/>
      <c r="C207" s="694"/>
      <c r="D207" s="670"/>
      <c r="F207" s="694"/>
      <c r="G207" s="1935"/>
      <c r="H207" s="1935"/>
      <c r="I207" s="1935"/>
      <c r="J207" s="1935"/>
      <c r="K207" s="1935"/>
      <c r="L207" s="1935"/>
      <c r="M207" s="1935"/>
      <c r="N207" s="1935"/>
      <c r="O207" s="1935"/>
      <c r="P207" s="3587"/>
      <c r="Q207" s="3587"/>
      <c r="R207" s="2231"/>
      <c r="S207" s="3121"/>
      <c r="T207" s="2231"/>
      <c r="U207" s="2231"/>
      <c r="V207" s="2231"/>
      <c r="W207" s="2231"/>
      <c r="X207" s="2231"/>
      <c r="Y207" s="2231"/>
      <c r="Z207" s="2231"/>
      <c r="AA207" s="2231"/>
      <c r="AB207" s="3716"/>
      <c r="AC207" s="2231"/>
      <c r="AD207" s="2231"/>
      <c r="AE207" s="2231"/>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row>
    <row r="208" spans="1:119" s="699" customFormat="1" ht="12.75" customHeight="1">
      <c r="A208" s="664"/>
      <c r="B208" s="664"/>
      <c r="C208" s="774"/>
      <c r="D208" s="775"/>
      <c r="E208" s="776" t="s">
        <v>1384</v>
      </c>
      <c r="F208" s="777"/>
      <c r="G208" s="778">
        <f>+InputY!$G$3</f>
        <v>1995</v>
      </c>
      <c r="H208" s="778">
        <f t="shared" ref="H208:Q208" si="305">+G208+1</f>
        <v>1996</v>
      </c>
      <c r="I208" s="778">
        <f t="shared" si="305"/>
        <v>1997</v>
      </c>
      <c r="J208" s="778">
        <f t="shared" si="305"/>
        <v>1998</v>
      </c>
      <c r="K208" s="778">
        <f t="shared" si="305"/>
        <v>1999</v>
      </c>
      <c r="L208" s="778">
        <f t="shared" si="305"/>
        <v>2000</v>
      </c>
      <c r="M208" s="778">
        <f t="shared" si="305"/>
        <v>2001</v>
      </c>
      <c r="N208" s="778">
        <f t="shared" si="305"/>
        <v>2002</v>
      </c>
      <c r="O208" s="778">
        <f t="shared" si="305"/>
        <v>2003</v>
      </c>
      <c r="P208" s="3538">
        <f>+O208+1</f>
        <v>2004</v>
      </c>
      <c r="Q208" s="3538">
        <f t="shared" si="305"/>
        <v>2005</v>
      </c>
      <c r="R208" s="3539">
        <f t="shared" ref="R208:W208" si="306">+Q208+1</f>
        <v>2006</v>
      </c>
      <c r="S208" s="3539">
        <f t="shared" si="306"/>
        <v>2007</v>
      </c>
      <c r="T208" s="3539">
        <f t="shared" si="306"/>
        <v>2008</v>
      </c>
      <c r="U208" s="3539">
        <f t="shared" si="306"/>
        <v>2009</v>
      </c>
      <c r="V208" s="3539">
        <f t="shared" si="306"/>
        <v>2010</v>
      </c>
      <c r="W208" s="3539">
        <f t="shared" si="306"/>
        <v>2011</v>
      </c>
      <c r="X208" s="3539">
        <f t="shared" ref="X208:AE208" si="307">+W208+1</f>
        <v>2012</v>
      </c>
      <c r="Y208" s="3539">
        <f t="shared" si="307"/>
        <v>2013</v>
      </c>
      <c r="Z208" s="3539">
        <f t="shared" si="307"/>
        <v>2014</v>
      </c>
      <c r="AA208" s="3539">
        <f t="shared" si="307"/>
        <v>2015</v>
      </c>
      <c r="AB208" s="3539">
        <f t="shared" si="307"/>
        <v>2016</v>
      </c>
      <c r="AC208" s="3539">
        <f t="shared" si="307"/>
        <v>2017</v>
      </c>
      <c r="AD208" s="3539">
        <f t="shared" si="307"/>
        <v>2018</v>
      </c>
      <c r="AE208" s="3539">
        <f t="shared" si="307"/>
        <v>2019</v>
      </c>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row>
    <row r="209" spans="1:119" s="699" customFormat="1" ht="12.75" customHeight="1">
      <c r="A209" s="664">
        <f>+ROW(InputY!A186)</f>
        <v>186</v>
      </c>
      <c r="B209" s="664"/>
      <c r="C209" s="779" t="s">
        <v>1767</v>
      </c>
      <c r="D209" s="668" t="s">
        <v>685</v>
      </c>
      <c r="E209" s="700" t="s">
        <v>1376</v>
      </c>
      <c r="F209" s="701" t="str">
        <f>+InputY!B186</f>
        <v>$HComp</v>
      </c>
      <c r="G209" s="780">
        <f>+InputY!G186/1000</f>
        <v>0.13669000000000001</v>
      </c>
      <c r="H209" s="780">
        <f>+InputY!H186/1000</f>
        <v>0.14573</v>
      </c>
      <c r="I209" s="780">
        <f>+InputY!I186/1000</f>
        <v>0.18937000000000001</v>
      </c>
      <c r="J209" s="780">
        <f>+InputY!J186/1000</f>
        <v>0.25024999999999997</v>
      </c>
      <c r="K209" s="780">
        <f>+InputY!K186/1000</f>
        <v>0.1721</v>
      </c>
      <c r="L209" s="780">
        <f>+InputY!L186/1000</f>
        <v>0.24402000000000001</v>
      </c>
      <c r="M209" s="780">
        <f>+InputY!M186/1000</f>
        <v>0.29619999999999996</v>
      </c>
      <c r="N209" s="780">
        <f>+InputY!N186/1000</f>
        <v>0.32375999999999999</v>
      </c>
      <c r="O209" s="780">
        <f>+InputY!O186/1000</f>
        <v>0.35852999999999996</v>
      </c>
      <c r="P209" s="3588">
        <f>+InputY!P186/1000</f>
        <v>0.39130000000000004</v>
      </c>
      <c r="Q209" s="3588">
        <f>+InputY!Q186/1000</f>
        <v>0.44927</v>
      </c>
      <c r="R209" s="3588">
        <f>+InputY!R186/1000</f>
        <v>0.54009000000000007</v>
      </c>
      <c r="S209" s="3588">
        <f>+InputY!S186/1000</f>
        <v>0.73077000000000003</v>
      </c>
      <c r="T209" s="3588">
        <f>+InputY!T186/1000</f>
        <v>0.76090000000000002</v>
      </c>
      <c r="U209" s="3588">
        <f>+InputY!U186/1000</f>
        <v>0.55355999999999994</v>
      </c>
      <c r="V209" s="3588">
        <f>+InputY!V186/1000</f>
        <v>0.46087</v>
      </c>
      <c r="W209" s="3588">
        <f>+InputY!W186/1000</f>
        <v>0.4718</v>
      </c>
      <c r="X209" s="3588">
        <f>+InputY!X186/1000</f>
        <v>0.45989999999999998</v>
      </c>
      <c r="Y209" s="3588">
        <f>+InputY!Y186/1000</f>
        <v>0.48381999999999997</v>
      </c>
      <c r="Z209" s="3684">
        <f>+InputY!Z186/1000</f>
        <v>0.49345</v>
      </c>
      <c r="AA209" s="3684">
        <f>+InputY!AA186/1000</f>
        <v>0.50648000000000004</v>
      </c>
      <c r="AB209" s="3684">
        <f>+InputY!AB186/1000</f>
        <v>0.48932999999999999</v>
      </c>
      <c r="AC209" s="2994">
        <f>+AB209*(1+AC221/100)</f>
        <v>0.52113644999999997</v>
      </c>
      <c r="AD209" s="2994">
        <f>+AC209*(1+AD221/100)</f>
        <v>0.55501031924999999</v>
      </c>
      <c r="AE209" s="2994">
        <f>+AD209*(1+AE221/100)</f>
        <v>0.58831093840500004</v>
      </c>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row>
    <row r="210" spans="1:119" s="699" customFormat="1" ht="12.75" customHeight="1">
      <c r="A210" s="664">
        <f>+ROW(InputY!A116)</f>
        <v>116</v>
      </c>
      <c r="B210" s="664">
        <v>103</v>
      </c>
      <c r="C210" s="782" t="s">
        <v>1767</v>
      </c>
      <c r="D210" s="831" t="s">
        <v>686</v>
      </c>
      <c r="E210" s="832" t="s">
        <v>1376</v>
      </c>
      <c r="F210" s="704" t="str">
        <f>+InputY!B116</f>
        <v>$EComp</v>
      </c>
      <c r="G210" s="706">
        <f>+InputY!G116/1000</f>
        <v>2.0170599999999999</v>
      </c>
      <c r="H210" s="706">
        <f>+InputY!H116/1000</f>
        <v>2.5295700000000001</v>
      </c>
      <c r="I210" s="706">
        <f>+InputY!I116/1000</f>
        <v>3.0486399999999998</v>
      </c>
      <c r="J210" s="706">
        <f>+InputY!J116/1000</f>
        <v>3.5181399999999998</v>
      </c>
      <c r="K210" s="706">
        <f>+InputY!K116/1000</f>
        <v>3.5856500000000002</v>
      </c>
      <c r="L210" s="706">
        <f>+InputY!L116/1000</f>
        <v>3.3712399999999998</v>
      </c>
      <c r="M210" s="706">
        <f>+InputY!M116/1000</f>
        <v>3.41967</v>
      </c>
      <c r="N210" s="706">
        <f>+InputY!N116/1000</f>
        <v>3.7725399999999998</v>
      </c>
      <c r="O210" s="706">
        <f>+InputY!O116/1000</f>
        <v>4.2979799999999999</v>
      </c>
      <c r="P210" s="3511">
        <f>+InputY!P116/1000</f>
        <v>4.9501200000000001</v>
      </c>
      <c r="Q210" s="3511">
        <f>+InputY!Q116/1000</f>
        <v>5.9176700000000002</v>
      </c>
      <c r="R210" s="3511">
        <f>+InputY!R116/1000</f>
        <v>7.2326000000000006</v>
      </c>
      <c r="S210" s="3511">
        <f>+InputY!S116/1000</f>
        <v>8.7606399999999987</v>
      </c>
      <c r="T210" s="3511">
        <f>+InputY!T116/1000</f>
        <v>10.118370000000001</v>
      </c>
      <c r="U210" s="3511">
        <f>+InputY!U116/1000</f>
        <v>8.0144400000000005</v>
      </c>
      <c r="V210" s="3511">
        <f>+InputY!V116/1000</f>
        <v>7.9502499999999996</v>
      </c>
      <c r="W210" s="3511">
        <f>+InputY!W116/1000</f>
        <v>8.6269599999999986</v>
      </c>
      <c r="X210" s="3511">
        <f>+InputY!X116/1000</f>
        <v>9.2755400000000012</v>
      </c>
      <c r="Y210" s="3511">
        <f>+InputY!Y116/1000</f>
        <v>9.9203500000000009</v>
      </c>
      <c r="Z210" s="3511">
        <f>+InputY!Z116/1000</f>
        <v>10.668329999999999</v>
      </c>
      <c r="AA210" s="3511">
        <f>+InputY!AA116/1000</f>
        <v>11.52549</v>
      </c>
      <c r="AB210" s="3511">
        <f>+InputY!AB116/1000</f>
        <v>12.63739</v>
      </c>
      <c r="AC210" s="2995">
        <f>+AC214-AC209-AC211</f>
        <v>13.926518249273876</v>
      </c>
      <c r="AD210" s="2995">
        <f>+AD214-AD209-AD211</f>
        <v>14.79072867706623</v>
      </c>
      <c r="AE210" s="2995">
        <f>+AE214-AE209-AE211</f>
        <v>15.662483697455624</v>
      </c>
      <c r="AF210" s="3659"/>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row>
    <row r="211" spans="1:119" s="699" customFormat="1" ht="12.75" customHeight="1">
      <c r="A211" s="664">
        <f>+ROW(InputY!A145)</f>
        <v>145</v>
      </c>
      <c r="B211" s="664">
        <v>120</v>
      </c>
      <c r="C211" s="782" t="s">
        <v>1767</v>
      </c>
      <c r="D211" s="674" t="s">
        <v>687</v>
      </c>
      <c r="E211" s="783" t="s">
        <v>1376</v>
      </c>
      <c r="F211" s="704" t="str">
        <f>+InputY!B145</f>
        <v>$AComp</v>
      </c>
      <c r="G211" s="706">
        <f>+InputY!G145/1000</f>
        <v>0.74821000000000004</v>
      </c>
      <c r="H211" s="706">
        <f>+InputY!H145/1000</f>
        <v>1.01535</v>
      </c>
      <c r="I211" s="706">
        <f>+InputY!I145/1000</f>
        <v>1.2984</v>
      </c>
      <c r="J211" s="706">
        <f>+InputY!J145/1000</f>
        <v>1.647</v>
      </c>
      <c r="K211" s="706">
        <f>+InputY!K145/1000</f>
        <v>1.6960299999999999</v>
      </c>
      <c r="L211" s="706">
        <f>+InputY!L145/1000</f>
        <v>1.60758</v>
      </c>
      <c r="M211" s="706">
        <f>+InputY!M145/1000</f>
        <v>1.64941</v>
      </c>
      <c r="N211" s="706">
        <f>+InputY!N145/1000</f>
        <v>1.71401</v>
      </c>
      <c r="O211" s="706">
        <f>+InputY!O145/1000</f>
        <v>1.78653</v>
      </c>
      <c r="P211" s="3511">
        <f>+InputY!P145/1000</f>
        <v>1.9686700000000001</v>
      </c>
      <c r="Q211" s="3511">
        <f>+InputY!Q145/1000</f>
        <v>2.1530800000000001</v>
      </c>
      <c r="R211" s="3511">
        <f>+InputY!R145/1000</f>
        <v>2.50461</v>
      </c>
      <c r="S211" s="3511">
        <f>+InputY!S145/1000</f>
        <v>2.8344800000000001</v>
      </c>
      <c r="T211" s="3511">
        <f>+InputY!T145/1000</f>
        <v>3.4758</v>
      </c>
      <c r="U211" s="3511">
        <f>+InputY!U145/1000</f>
        <v>3.4102600000000001</v>
      </c>
      <c r="V211" s="3511">
        <f>+InputY!V145/1000</f>
        <v>3.05884</v>
      </c>
      <c r="W211" s="3511">
        <f>+InputY!W145/1000</f>
        <v>3.19733</v>
      </c>
      <c r="X211" s="3511">
        <f>+InputY!X145/1000</f>
        <v>3.2416100000000001</v>
      </c>
      <c r="Y211" s="3511">
        <f>+InputY!Y145/1000</f>
        <v>3.3384499999999999</v>
      </c>
      <c r="Z211" s="3511">
        <f>+InputY!Z145/1000</f>
        <v>3.4621500000000003</v>
      </c>
      <c r="AA211" s="3511">
        <f>+InputY!AA145/1000</f>
        <v>3.6053099999999998</v>
      </c>
      <c r="AB211" s="3511">
        <f>+InputY!AB145/1000</f>
        <v>3.8023500000000001</v>
      </c>
      <c r="AC211" s="2994">
        <f>AC189*AC31/1000</f>
        <v>4.0019753007261274</v>
      </c>
      <c r="AD211" s="2994">
        <f>AD189*AD31/1000</f>
        <v>4.2038161866725012</v>
      </c>
      <c r="AE211" s="2994">
        <f>AE189*AE31/1000</f>
        <v>4.435208860003871</v>
      </c>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row>
    <row r="212" spans="1:119" s="699" customFormat="1" ht="12.75" customHeight="1">
      <c r="A212" s="664"/>
      <c r="B212" s="664"/>
      <c r="C212" s="782"/>
      <c r="D212" s="1011"/>
      <c r="E212" s="2922" t="s">
        <v>1650</v>
      </c>
      <c r="F212" s="1973"/>
      <c r="G212" s="1973"/>
      <c r="H212" s="1973"/>
      <c r="I212" s="1973"/>
      <c r="J212" s="1973"/>
      <c r="K212" s="1973"/>
      <c r="L212" s="1973"/>
      <c r="M212" s="1973"/>
      <c r="N212" s="1973"/>
      <c r="O212" s="1973"/>
      <c r="P212" s="1973"/>
      <c r="Q212" s="1973"/>
      <c r="R212" s="1973"/>
      <c r="S212" s="1973"/>
      <c r="T212" s="1973"/>
      <c r="U212" s="1973"/>
      <c r="V212" s="1973"/>
      <c r="W212" s="1973"/>
      <c r="X212" s="1973"/>
      <c r="Y212" s="1973"/>
      <c r="Z212" s="1973"/>
      <c r="AA212" s="1973"/>
      <c r="AB212" s="1973"/>
      <c r="AC212" s="1973"/>
      <c r="AD212" s="1973"/>
      <c r="AE212" s="1973"/>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row>
    <row r="213" spans="1:119" s="699" customFormat="1" ht="12.75" customHeight="1">
      <c r="A213" s="664"/>
      <c r="B213" s="664"/>
      <c r="C213" s="782"/>
      <c r="D213" s="1011"/>
      <c r="E213" s="1973" t="s">
        <v>737</v>
      </c>
      <c r="F213" s="1974"/>
      <c r="G213" s="1002">
        <f>ABS(G189*G31/1000-G211)</f>
        <v>0</v>
      </c>
      <c r="H213" s="1002">
        <f t="shared" ref="H213:Q213" si="308">ABS(H189*H31/1000-H211)</f>
        <v>0</v>
      </c>
      <c r="I213" s="1002">
        <f t="shared" si="308"/>
        <v>2.2204460492503131E-16</v>
      </c>
      <c r="J213" s="1002">
        <f t="shared" si="308"/>
        <v>0</v>
      </c>
      <c r="K213" s="1002">
        <f t="shared" si="308"/>
        <v>2.2204460492503131E-16</v>
      </c>
      <c r="L213" s="1002">
        <f t="shared" si="308"/>
        <v>0</v>
      </c>
      <c r="M213" s="1002">
        <f t="shared" si="308"/>
        <v>0</v>
      </c>
      <c r="N213" s="1002">
        <f t="shared" si="308"/>
        <v>0</v>
      </c>
      <c r="O213" s="1002">
        <f t="shared" si="308"/>
        <v>0</v>
      </c>
      <c r="P213" s="1002">
        <f t="shared" si="308"/>
        <v>2.2204460492503131E-16</v>
      </c>
      <c r="Q213" s="1002">
        <f t="shared" si="308"/>
        <v>0</v>
      </c>
      <c r="R213" s="1002">
        <f t="shared" ref="R213:X213" si="309">ABS(R189*R31/1000-R211)</f>
        <v>4.4408920985006262E-16</v>
      </c>
      <c r="S213" s="1002">
        <f t="shared" si="309"/>
        <v>0</v>
      </c>
      <c r="T213" s="2233">
        <f t="shared" si="309"/>
        <v>4.4408920985006262E-16</v>
      </c>
      <c r="U213" s="2233">
        <f t="shared" si="309"/>
        <v>0</v>
      </c>
      <c r="V213" s="2233">
        <f t="shared" si="309"/>
        <v>4.4408920985006262E-16</v>
      </c>
      <c r="W213" s="3190">
        <f t="shared" si="309"/>
        <v>0</v>
      </c>
      <c r="X213" s="3190">
        <f t="shared" si="309"/>
        <v>0</v>
      </c>
      <c r="Y213" s="3190">
        <f t="shared" ref="Y213:AD213" si="310">ABS(Y189*Y31/1000-Y211)</f>
        <v>0</v>
      </c>
      <c r="Z213" s="3190">
        <f t="shared" si="310"/>
        <v>0</v>
      </c>
      <c r="AA213" s="3190">
        <f t="shared" si="310"/>
        <v>4.4408920985006262E-16</v>
      </c>
      <c r="AB213" s="3190">
        <f t="shared" si="310"/>
        <v>0</v>
      </c>
      <c r="AC213" s="3190">
        <f t="shared" si="310"/>
        <v>0</v>
      </c>
      <c r="AD213" s="3190">
        <f t="shared" si="310"/>
        <v>0</v>
      </c>
      <c r="AE213" s="3190">
        <f t="shared" ref="AE213" si="311">ABS(AE189*AE31/1000-AE211)</f>
        <v>0</v>
      </c>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row>
    <row r="214" spans="1:119" s="699" customFormat="1" ht="12.75" customHeight="1">
      <c r="A214" s="1953">
        <f>+ROW(InputY!A101)</f>
        <v>101</v>
      </c>
      <c r="B214" s="664">
        <v>61</v>
      </c>
      <c r="C214" s="782" t="s">
        <v>1769</v>
      </c>
      <c r="D214" s="746"/>
      <c r="E214" s="747" t="s">
        <v>1163</v>
      </c>
      <c r="F214" s="748" t="s">
        <v>474</v>
      </c>
      <c r="G214" s="799">
        <f>+InputY!G101/1000</f>
        <v>2.9019499999999998</v>
      </c>
      <c r="H214" s="799">
        <f>+InputY!H101/1000</f>
        <v>3.6906500000000002</v>
      </c>
      <c r="I214" s="799">
        <f>+InputY!I101/1000</f>
        <v>4.5363999999999995</v>
      </c>
      <c r="J214" s="799">
        <f>+InputY!J101/1000</f>
        <v>5.4153900000000004</v>
      </c>
      <c r="K214" s="799">
        <f>+InputY!K101/1000</f>
        <v>5.4537700000000005</v>
      </c>
      <c r="L214" s="799">
        <f>+InputY!L101/1000</f>
        <v>5.2228500000000002</v>
      </c>
      <c r="M214" s="799">
        <f>+InputY!M101/1000</f>
        <v>5.3652899999999999</v>
      </c>
      <c r="N214" s="799">
        <f>+InputY!N101/1000</f>
        <v>5.8103100000000003</v>
      </c>
      <c r="O214" s="799">
        <f>+InputY!O101/1000</f>
        <v>6.4430399999999999</v>
      </c>
      <c r="P214" s="3589">
        <f>+InputY!P101/1000</f>
        <v>7.3100899999999998</v>
      </c>
      <c r="Q214" s="3589">
        <f>+InputY!Q101/1000</f>
        <v>8.5200200000000006</v>
      </c>
      <c r="R214" s="3589">
        <f>+InputY!R101/1000</f>
        <v>10.277299999999999</v>
      </c>
      <c r="S214" s="3589">
        <f>+InputY!S101/1000</f>
        <v>12.325899999999999</v>
      </c>
      <c r="T214" s="3589">
        <f>+InputY!T101/1000</f>
        <v>14.35507</v>
      </c>
      <c r="U214" s="3589">
        <f>+InputY!U101/1000</f>
        <v>11.978249999999999</v>
      </c>
      <c r="V214" s="3589">
        <f>+InputY!V101/1000</f>
        <v>11.46997</v>
      </c>
      <c r="W214" s="3589">
        <f>+InputY!W101/1000</f>
        <v>12.29609</v>
      </c>
      <c r="X214" s="3589">
        <f>+InputY!X101/1000</f>
        <v>12.977049999999998</v>
      </c>
      <c r="Y214" s="3589">
        <f>+InputY!Y101/1000</f>
        <v>13.742620000000001</v>
      </c>
      <c r="Z214" s="3589">
        <f>+InputY!Z101/1000</f>
        <v>14.62393</v>
      </c>
      <c r="AA214" s="3589">
        <f>+InputY!AA101/1000</f>
        <v>15.637280000000001</v>
      </c>
      <c r="AB214" s="3589">
        <f>+InputY!AB101/1000</f>
        <v>16.92906</v>
      </c>
      <c r="AC214" s="3589">
        <f>+InputY!AC101/1000</f>
        <v>18.449630000000003</v>
      </c>
      <c r="AD214" s="2943">
        <f>+AD135+AD166</f>
        <v>19.549555182988733</v>
      </c>
      <c r="AE214" s="2943">
        <f>+AE135+AE166</f>
        <v>20.686003495864497</v>
      </c>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row>
    <row r="215" spans="1:119" s="699" customFormat="1" ht="12.75" customHeight="1">
      <c r="A215" s="664"/>
      <c r="B215" s="664"/>
      <c r="C215" s="782"/>
      <c r="D215" s="1011"/>
      <c r="E215" s="1973" t="s">
        <v>737</v>
      </c>
      <c r="F215" s="1974"/>
      <c r="G215" s="1002">
        <f t="shared" ref="G215:Z215" si="312">ABS(+G209+G210+G211-G214)</f>
        <v>1.0000000000065512E-5</v>
      </c>
      <c r="H215" s="1002">
        <f t="shared" si="312"/>
        <v>4.4408920985006262E-16</v>
      </c>
      <c r="I215" s="1002">
        <f t="shared" si="312"/>
        <v>1.0000000000509601E-5</v>
      </c>
      <c r="J215" s="1002">
        <f t="shared" si="312"/>
        <v>8.8817841970012523E-16</v>
      </c>
      <c r="K215" s="1002">
        <f t="shared" si="312"/>
        <v>9.9999999996214228E-6</v>
      </c>
      <c r="L215" s="1002">
        <f t="shared" si="312"/>
        <v>1.0000000000509601E-5</v>
      </c>
      <c r="M215" s="1002">
        <f t="shared" si="312"/>
        <v>9.9999999996214228E-6</v>
      </c>
      <c r="N215" s="1002">
        <f t="shared" si="312"/>
        <v>8.8817841970012523E-16</v>
      </c>
      <c r="O215" s="1002">
        <f t="shared" si="312"/>
        <v>0</v>
      </c>
      <c r="P215" s="1002">
        <f t="shared" si="312"/>
        <v>8.8817841970012523E-16</v>
      </c>
      <c r="Q215" s="1002">
        <f t="shared" si="312"/>
        <v>0</v>
      </c>
      <c r="R215" s="1002">
        <f>ABS(+R209+R210+R211-R214)</f>
        <v>1.7763568394002505E-15</v>
      </c>
      <c r="S215" s="1002">
        <f>ABS(+S209+S210+S211-S214)</f>
        <v>1.000000000139778E-5</v>
      </c>
      <c r="T215" s="2233">
        <f>ABS(+T209+T210+T211-T214)</f>
        <v>0</v>
      </c>
      <c r="U215" s="2233">
        <f>ABS(+U209+U210+U211-U214)</f>
        <v>9.9999999996214228E-6</v>
      </c>
      <c r="V215" s="2233">
        <f t="shared" si="312"/>
        <v>9.9999999996214228E-6</v>
      </c>
      <c r="W215" s="2233">
        <f t="shared" si="312"/>
        <v>0</v>
      </c>
      <c r="X215" s="2233">
        <f t="shared" si="312"/>
        <v>1.7763568394002505E-15</v>
      </c>
      <c r="Y215" s="3190">
        <f t="shared" si="312"/>
        <v>0</v>
      </c>
      <c r="Z215" s="3190">
        <f t="shared" si="312"/>
        <v>1.7763568394002505E-15</v>
      </c>
      <c r="AA215" s="3694">
        <f>ABS(+AA209+AA210+AA211-AA214)</f>
        <v>1.7763568394002505E-15</v>
      </c>
      <c r="AB215" s="2233">
        <f>ABS(+AB209+AB210+AB211-AB214)</f>
        <v>9.9999999996214228E-6</v>
      </c>
      <c r="AC215" s="2233">
        <f>ABS(+AC209+AC210+AC211-AC214)</f>
        <v>0</v>
      </c>
      <c r="AD215" s="2233">
        <f>ABS(+AD209+AD210+AD211-AD214)</f>
        <v>0</v>
      </c>
      <c r="AE215" s="2233">
        <f>ABS(+AE209+AE210+AE211-AE214)</f>
        <v>0</v>
      </c>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row>
    <row r="216" spans="1:119" s="699" customFormat="1" ht="12.75" customHeight="1">
      <c r="A216" s="1953">
        <f>+ROW(InputY!A231)</f>
        <v>231</v>
      </c>
      <c r="B216" s="664" t="s">
        <v>1909</v>
      </c>
      <c r="C216" s="782" t="s">
        <v>1767</v>
      </c>
      <c r="D216" s="674" t="s">
        <v>688</v>
      </c>
      <c r="E216" s="783" t="s">
        <v>1164</v>
      </c>
      <c r="F216" s="704" t="s">
        <v>1165</v>
      </c>
      <c r="G216" s="706">
        <f>+InputY!G231/1000</f>
        <v>-5.7924003707136244E-4</v>
      </c>
      <c r="H216" s="706">
        <f>+InputY!H231/1000</f>
        <v>-3.6492122335495827E-2</v>
      </c>
      <c r="I216" s="706">
        <f>+InputY!I231/1000</f>
        <v>-6.4874884151992593E-2</v>
      </c>
      <c r="J216" s="706">
        <f>+InputY!J231/1000</f>
        <v>-6.9798424467099163E-2</v>
      </c>
      <c r="K216" s="706">
        <f>+InputY!K231/1000</f>
        <v>-5.0393883225208526E-2</v>
      </c>
      <c r="L216" s="706">
        <f>+InputY!L231/1000</f>
        <v>1.2743280815569975E-2</v>
      </c>
      <c r="M216" s="706">
        <f>+InputY!M231/1000</f>
        <v>5.5317423540315103E-2</v>
      </c>
      <c r="N216" s="706">
        <f>+InputY!N231/1000</f>
        <v>6.7191844300278039E-2</v>
      </c>
      <c r="O216" s="706">
        <f>+InputY!O231/1000</f>
        <v>4.6918443002780356E-2</v>
      </c>
      <c r="P216" s="3511">
        <f>+InputY!P231/1000</f>
        <v>0.14452038924930491</v>
      </c>
      <c r="Q216" s="3511">
        <f>+InputY!Q231/1000</f>
        <v>0.185</v>
      </c>
      <c r="R216" s="3511">
        <f>+InputY!R231/1000</f>
        <v>0.20200000000000001</v>
      </c>
      <c r="S216" s="3511">
        <f>+InputY!S231/1000</f>
        <v>0.159</v>
      </c>
      <c r="T216" s="3511">
        <f>+InputY!T231/1000</f>
        <v>9.5000000000000001E-2</v>
      </c>
      <c r="U216" s="3511">
        <f>+InputY!U231/1000</f>
        <v>1.7000000000000001E-2</v>
      </c>
      <c r="V216" s="3590">
        <f>+InputY!V231/1000</f>
        <v>0.17100000000000001</v>
      </c>
      <c r="W216" s="3590">
        <f>+InputY!W231/1000</f>
        <v>0.13700000000000001</v>
      </c>
      <c r="X216" s="3590">
        <f>+InputY!X231/1000</f>
        <v>2.1000000000000001E-2</v>
      </c>
      <c r="Y216" s="3590">
        <f>+InputY!Y231/1000</f>
        <v>3.6999999999999998E-2</v>
      </c>
      <c r="Z216" s="3590">
        <f>+InputY!Z231/1000</f>
        <v>-1.7999999999999999E-2</v>
      </c>
      <c r="AA216" s="3590">
        <f>+InputY!AA231/1000</f>
        <v>-1E-3</v>
      </c>
      <c r="AB216" s="3590">
        <f>+InputY!AB231/1000</f>
        <v>-4.7E-2</v>
      </c>
      <c r="AC216" s="2943">
        <f>+AC136+AC167</f>
        <v>0</v>
      </c>
      <c r="AD216" s="2943">
        <f>+AD136+AD167</f>
        <v>0</v>
      </c>
      <c r="AE216" s="2943">
        <f>+AE136+AE167</f>
        <v>0</v>
      </c>
      <c r="AF216" t="s">
        <v>2590</v>
      </c>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row>
    <row r="217" spans="1:119" s="699" customFormat="1" ht="12.75" customHeight="1">
      <c r="A217" s="664">
        <f>+ROW(InputY!A184)</f>
        <v>184</v>
      </c>
      <c r="B217" s="664">
        <v>87</v>
      </c>
      <c r="C217" s="784" t="s">
        <v>1769</v>
      </c>
      <c r="D217" s="752" t="s">
        <v>685</v>
      </c>
      <c r="E217" s="753" t="s">
        <v>1378</v>
      </c>
      <c r="F217" s="754" t="str">
        <f>+InputY!B184</f>
        <v>YHComp</v>
      </c>
      <c r="G217" s="785">
        <f>+InputY!G184/1000</f>
        <v>2.9015</v>
      </c>
      <c r="H217" s="785">
        <f>+InputY!H184/1000</f>
        <v>3.6541700000000001</v>
      </c>
      <c r="I217" s="785">
        <f>+InputY!I184/1000</f>
        <v>4.4716499999999995</v>
      </c>
      <c r="J217" s="785">
        <f>+InputY!J184/1000</f>
        <v>5.3453200000000001</v>
      </c>
      <c r="K217" s="785">
        <f>+InputY!K184/1000</f>
        <v>5.4032200000000001</v>
      </c>
      <c r="L217" s="785">
        <f>+InputY!L184/1000</f>
        <v>5.2354099999999999</v>
      </c>
      <c r="M217" s="785">
        <f>+InputY!M184/1000</f>
        <v>5.4208299999999996</v>
      </c>
      <c r="N217" s="785">
        <f>+InputY!N184/1000</f>
        <v>5.8667299999999996</v>
      </c>
      <c r="O217" s="785">
        <f>+InputY!O184/1000</f>
        <v>6.4834300000000002</v>
      </c>
      <c r="P217" s="3591">
        <f>+InputY!P184/1000</f>
        <v>7.4544499999999996</v>
      </c>
      <c r="Q217" s="3591">
        <f>+InputY!Q184/1000</f>
        <v>8.7055799999999994</v>
      </c>
      <c r="R217" s="3591">
        <f>+InputY!R184/1000</f>
        <v>10.479700000000001</v>
      </c>
      <c r="S217" s="3591">
        <f>+InputY!S184/1000</f>
        <v>12.48507</v>
      </c>
      <c r="T217" s="3591">
        <f>+InputY!T184/1000</f>
        <v>14.48174</v>
      </c>
      <c r="U217" s="3591">
        <f>+InputY!U184/1000</f>
        <v>12.023280000000002</v>
      </c>
      <c r="V217" s="3591">
        <f>+InputY!V184/1000</f>
        <v>11.682739999999999</v>
      </c>
      <c r="W217" s="3591">
        <f>+InputY!W184/1000</f>
        <v>12.470510000000001</v>
      </c>
      <c r="X217" s="3591">
        <f>+InputY!X184/1000</f>
        <v>13.015799999999999</v>
      </c>
      <c r="Y217" s="3591">
        <f>+InputY!Y184/1000</f>
        <v>13.800240000000001</v>
      </c>
      <c r="Z217" s="3591">
        <f>+InputY!Z184/1000</f>
        <v>14.621930000000001</v>
      </c>
      <c r="AA217" s="3591">
        <f>+InputY!AA184/1000</f>
        <v>15.65227</v>
      </c>
      <c r="AB217" s="3591">
        <f>+InputY!AB184/1000</f>
        <v>16.892139999999998</v>
      </c>
      <c r="AC217" s="2994">
        <f>+AC214+AC216</f>
        <v>18.449630000000003</v>
      </c>
      <c r="AD217" s="2994">
        <f>+AD214+AD216</f>
        <v>19.549555182988733</v>
      </c>
      <c r="AE217" s="2994">
        <f>+AE214+AE216</f>
        <v>20.686003495864497</v>
      </c>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row>
    <row r="218" spans="1:119" s="1972" customFormat="1" ht="12.75" customHeight="1">
      <c r="A218" s="998"/>
      <c r="B218" s="998"/>
      <c r="C218" s="1595"/>
      <c r="D218" s="1011"/>
      <c r="E218" s="1973" t="s">
        <v>737</v>
      </c>
      <c r="F218" s="1974"/>
      <c r="G218" s="1002">
        <f>ABS(+G214+G216-G217)</f>
        <v>1.2924003707137643E-4</v>
      </c>
      <c r="H218" s="1002">
        <f t="shared" ref="H218:Y218" si="313">ABS(+H214+H216-H217)</f>
        <v>1.2122335495856618E-5</v>
      </c>
      <c r="I218" s="1002">
        <f t="shared" si="313"/>
        <v>1.2488415199207736E-4</v>
      </c>
      <c r="J218" s="1002">
        <f t="shared" si="313"/>
        <v>2.7157553290102499E-4</v>
      </c>
      <c r="K218" s="1002">
        <f t="shared" si="313"/>
        <v>1.5611677479210329E-4</v>
      </c>
      <c r="L218" s="1002">
        <f t="shared" si="313"/>
        <v>1.8328081557061893E-4</v>
      </c>
      <c r="M218" s="1002">
        <f t="shared" si="313"/>
        <v>2.22576459684376E-4</v>
      </c>
      <c r="N218" s="1002">
        <f t="shared" si="313"/>
        <v>1.0771844300278666E-2</v>
      </c>
      <c r="O218" s="1002">
        <f t="shared" si="313"/>
        <v>6.5284430027796603E-3</v>
      </c>
      <c r="P218" s="1002">
        <f t="shared" si="313"/>
        <v>1.6038924930494858E-4</v>
      </c>
      <c r="Q218" s="1002">
        <f t="shared" si="313"/>
        <v>5.599999999983396E-4</v>
      </c>
      <c r="R218" s="1002">
        <f>ABS(+R214+R216-R217)</f>
        <v>4.0000000000262048E-4</v>
      </c>
      <c r="S218" s="1002">
        <f>ABS(+S214+S216-S217)</f>
        <v>1.7000000000066962E-4</v>
      </c>
      <c r="T218" s="1002">
        <f>ABS(+T214+T216-T217)</f>
        <v>3.1670000000000087E-2</v>
      </c>
      <c r="U218" s="2233">
        <f>ABS(+U214+U216-U217)</f>
        <v>2.8030000000002886E-2</v>
      </c>
      <c r="V218" s="2233">
        <f t="shared" si="313"/>
        <v>4.1769999999999641E-2</v>
      </c>
      <c r="W218" s="2233">
        <f t="shared" si="313"/>
        <v>3.7420000000000897E-2</v>
      </c>
      <c r="X218" s="2233">
        <f t="shared" si="313"/>
        <v>1.7749999999999488E-2</v>
      </c>
      <c r="Y218" s="2233">
        <f t="shared" si="313"/>
        <v>2.0619999999999195E-2</v>
      </c>
      <c r="Z218" s="2233">
        <f t="shared" ref="Z218:AE218" si="314">ABS(+Z214+Z216-Z217)</f>
        <v>1.6000000000001791E-2</v>
      </c>
      <c r="AA218" s="2233">
        <f t="shared" si="314"/>
        <v>1.5989999999998616E-2</v>
      </c>
      <c r="AB218" s="2233">
        <f t="shared" si="314"/>
        <v>1.0079999999998535E-2</v>
      </c>
      <c r="AC218" s="2233">
        <f t="shared" si="314"/>
        <v>0</v>
      </c>
      <c r="AD218" s="2233">
        <f t="shared" si="314"/>
        <v>0</v>
      </c>
      <c r="AE218" s="2233">
        <f t="shared" si="314"/>
        <v>0</v>
      </c>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row>
    <row r="219" spans="1:119" s="699" customFormat="1">
      <c r="A219" s="664"/>
      <c r="B219" s="663"/>
      <c r="C219" s="694"/>
      <c r="D219" s="670"/>
      <c r="F219" s="694"/>
      <c r="P219" s="1869"/>
      <c r="Q219" s="1870"/>
      <c r="R219" s="3555"/>
      <c r="S219" s="3555"/>
      <c r="T219" s="2971"/>
      <c r="U219" s="2971"/>
      <c r="V219" s="2971"/>
      <c r="W219" s="2971"/>
      <c r="X219" s="2971"/>
      <c r="Y219" s="2971"/>
      <c r="Z219" s="2971"/>
      <c r="AA219" s="2971"/>
      <c r="AB219" s="2971"/>
      <c r="AC219" s="2971"/>
      <c r="AD219" s="2971"/>
      <c r="AE219" s="2971"/>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row>
    <row r="220" spans="1:119" s="699" customFormat="1" ht="12.75" customHeight="1">
      <c r="A220" s="664"/>
      <c r="B220" s="664"/>
      <c r="C220" s="774"/>
      <c r="D220" s="742"/>
      <c r="E220" s="743" t="s">
        <v>1311</v>
      </c>
      <c r="F220" s="744"/>
      <c r="G220" s="745">
        <f>+InputY!$G$3</f>
        <v>1995</v>
      </c>
      <c r="H220" s="745">
        <f t="shared" ref="H220:O220" si="315">+G220+1</f>
        <v>1996</v>
      </c>
      <c r="I220" s="745">
        <f t="shared" si="315"/>
        <v>1997</v>
      </c>
      <c r="J220" s="745">
        <f t="shared" si="315"/>
        <v>1998</v>
      </c>
      <c r="K220" s="745">
        <f t="shared" si="315"/>
        <v>1999</v>
      </c>
      <c r="L220" s="745">
        <f t="shared" si="315"/>
        <v>2000</v>
      </c>
      <c r="M220" s="745">
        <f t="shared" si="315"/>
        <v>2001</v>
      </c>
      <c r="N220" s="745">
        <f t="shared" si="315"/>
        <v>2002</v>
      </c>
      <c r="O220" s="745">
        <f t="shared" si="315"/>
        <v>2003</v>
      </c>
      <c r="P220" s="3495">
        <f t="shared" ref="P220:W220" si="316">+O220+1</f>
        <v>2004</v>
      </c>
      <c r="Q220" s="3495">
        <f t="shared" si="316"/>
        <v>2005</v>
      </c>
      <c r="R220" s="3496">
        <f t="shared" si="316"/>
        <v>2006</v>
      </c>
      <c r="S220" s="3496">
        <f t="shared" si="316"/>
        <v>2007</v>
      </c>
      <c r="T220" s="3496">
        <f t="shared" si="316"/>
        <v>2008</v>
      </c>
      <c r="U220" s="3496">
        <f t="shared" si="316"/>
        <v>2009</v>
      </c>
      <c r="V220" s="3496">
        <f t="shared" si="316"/>
        <v>2010</v>
      </c>
      <c r="W220" s="3496">
        <f t="shared" si="316"/>
        <v>2011</v>
      </c>
      <c r="X220" s="3496">
        <f t="shared" ref="X220:AE220" si="317">+W220+1</f>
        <v>2012</v>
      </c>
      <c r="Y220" s="3496">
        <f t="shared" si="317"/>
        <v>2013</v>
      </c>
      <c r="Z220" s="3496">
        <f t="shared" si="317"/>
        <v>2014</v>
      </c>
      <c r="AA220" s="3496">
        <f t="shared" si="317"/>
        <v>2015</v>
      </c>
      <c r="AB220" s="3496">
        <f t="shared" si="317"/>
        <v>2016</v>
      </c>
      <c r="AC220" s="3496">
        <f t="shared" si="317"/>
        <v>2017</v>
      </c>
      <c r="AD220" s="3496">
        <f t="shared" si="317"/>
        <v>2018</v>
      </c>
      <c r="AE220" s="3496">
        <f t="shared" si="317"/>
        <v>2019</v>
      </c>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row>
    <row r="221" spans="1:119" s="699" customFormat="1" ht="12.75" customHeight="1">
      <c r="A221" s="664"/>
      <c r="B221" s="664"/>
      <c r="C221" s="794" t="s">
        <v>1767</v>
      </c>
      <c r="D221" s="689" t="s">
        <v>685</v>
      </c>
      <c r="E221" s="738" t="s">
        <v>1376</v>
      </c>
      <c r="F221" s="733" t="s">
        <v>10</v>
      </c>
      <c r="G221" s="739"/>
      <c r="H221" s="739">
        <f t="shared" ref="H221:Q221" si="318">(H209/G209-1)*100</f>
        <v>6.6135050113395266</v>
      </c>
      <c r="I221" s="739">
        <f t="shared" si="318"/>
        <v>29.945790159884723</v>
      </c>
      <c r="J221" s="739">
        <f t="shared" si="318"/>
        <v>32.148703596134531</v>
      </c>
      <c r="K221" s="739">
        <f t="shared" si="318"/>
        <v>-31.228771228771222</v>
      </c>
      <c r="L221" s="739">
        <f t="shared" si="318"/>
        <v>41.789657176060444</v>
      </c>
      <c r="M221" s="739">
        <f t="shared" si="318"/>
        <v>21.383493156298638</v>
      </c>
      <c r="N221" s="739">
        <f t="shared" si="318"/>
        <v>9.3045239702903579</v>
      </c>
      <c r="O221" s="739">
        <f t="shared" si="318"/>
        <v>10.739436619718301</v>
      </c>
      <c r="P221" s="3497">
        <f t="shared" si="318"/>
        <v>9.1400998521741883</v>
      </c>
      <c r="Q221" s="3497">
        <f t="shared" si="318"/>
        <v>14.814720163557361</v>
      </c>
      <c r="R221" s="3497">
        <f t="shared" ref="R221:AB222" si="319">(R209/Q209-1)*100</f>
        <v>20.215015469539498</v>
      </c>
      <c r="S221" s="3497">
        <f t="shared" si="319"/>
        <v>35.30522690662665</v>
      </c>
      <c r="T221" s="3497">
        <f t="shared" si="319"/>
        <v>4.1230482915281197</v>
      </c>
      <c r="U221" s="3497">
        <f t="shared" si="319"/>
        <v>-27.249310027598906</v>
      </c>
      <c r="V221" s="3497">
        <f t="shared" si="319"/>
        <v>-16.744345689717456</v>
      </c>
      <c r="W221" s="3497">
        <f t="shared" si="319"/>
        <v>2.3716015362249543</v>
      </c>
      <c r="X221" s="3497">
        <f t="shared" si="319"/>
        <v>-2.5222551928783421</v>
      </c>
      <c r="Y221" s="3497">
        <f t="shared" si="319"/>
        <v>5.201130680582744</v>
      </c>
      <c r="Z221" s="3497">
        <f t="shared" si="319"/>
        <v>1.990409656483827</v>
      </c>
      <c r="AA221" s="3497">
        <f t="shared" si="319"/>
        <v>2.6405917519505717</v>
      </c>
      <c r="AB221" s="3497">
        <f t="shared" si="319"/>
        <v>-3.3861159374506511</v>
      </c>
      <c r="AC221" s="3592">
        <v>6.5</v>
      </c>
      <c r="AD221" s="3592">
        <v>6.5</v>
      </c>
      <c r="AE221" s="3592">
        <v>6</v>
      </c>
      <c r="AF221" s="3318" t="s">
        <v>2591</v>
      </c>
      <c r="AG221" s="3344"/>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row>
    <row r="222" spans="1:119" s="699" customFormat="1" ht="12.75" customHeight="1">
      <c r="A222" s="664"/>
      <c r="B222" s="664"/>
      <c r="C222" s="795" t="s">
        <v>1767</v>
      </c>
      <c r="D222" s="831" t="s">
        <v>686</v>
      </c>
      <c r="E222" s="832" t="s">
        <v>1376</v>
      </c>
      <c r="F222" s="704" t="s">
        <v>1158</v>
      </c>
      <c r="G222" s="706"/>
      <c r="H222" s="706">
        <f t="shared" ref="H222:Q222" si="320">(H210/G210-1)*100</f>
        <v>25.408763249481936</v>
      </c>
      <c r="I222" s="706">
        <f t="shared" si="320"/>
        <v>20.520088394470193</v>
      </c>
      <c r="J222" s="706">
        <f t="shared" si="320"/>
        <v>15.400309646268507</v>
      </c>
      <c r="K222" s="706">
        <f t="shared" si="320"/>
        <v>1.9189116976584319</v>
      </c>
      <c r="L222" s="706">
        <f t="shared" si="320"/>
        <v>-5.9796689582084284</v>
      </c>
      <c r="M222" s="706">
        <f t="shared" si="320"/>
        <v>1.4365634010037986</v>
      </c>
      <c r="N222" s="706">
        <f t="shared" si="320"/>
        <v>10.318831934075501</v>
      </c>
      <c r="O222" s="706">
        <f t="shared" si="320"/>
        <v>13.928016667815314</v>
      </c>
      <c r="P222" s="3511">
        <f t="shared" si="320"/>
        <v>15.173174374938924</v>
      </c>
      <c r="Q222" s="3511">
        <f t="shared" si="320"/>
        <v>19.545990804263337</v>
      </c>
      <c r="R222" s="3511">
        <f t="shared" si="319"/>
        <v>22.220400934827399</v>
      </c>
      <c r="S222" s="3511">
        <f t="shared" si="319"/>
        <v>21.127118878411611</v>
      </c>
      <c r="T222" s="3511">
        <f t="shared" si="319"/>
        <v>15.498068634255047</v>
      </c>
      <c r="U222" s="3511">
        <f t="shared" si="319"/>
        <v>-20.793171232125328</v>
      </c>
      <c r="V222" s="3511">
        <f t="shared" si="319"/>
        <v>-0.80092932257276317</v>
      </c>
      <c r="W222" s="3511">
        <f t="shared" si="319"/>
        <v>8.5118078047859989</v>
      </c>
      <c r="X222" s="3511">
        <f t="shared" si="319"/>
        <v>7.5180596641227337</v>
      </c>
      <c r="Y222" s="3511">
        <f t="shared" si="319"/>
        <v>6.9517246435248037</v>
      </c>
      <c r="Z222" s="3511">
        <f t="shared" si="319"/>
        <v>7.5398549446339835</v>
      </c>
      <c r="AA222" s="3511">
        <f t="shared" si="319"/>
        <v>8.034622101116117</v>
      </c>
      <c r="AB222" s="3511">
        <f>(AB210/AA210-1)*100</f>
        <v>9.6473121750138233</v>
      </c>
      <c r="AC222" s="3511">
        <f>(AC210/AB210-1)*100</f>
        <v>10.200905798379868</v>
      </c>
      <c r="AD222" s="3511">
        <f>(AD210/AC210-1)*100</f>
        <v>6.2055024258300451</v>
      </c>
      <c r="AE222" s="3511">
        <f>(AE210/AD210-1)*100</f>
        <v>5.8939288213777807</v>
      </c>
      <c r="AF222" s="3344"/>
      <c r="AG222" s="3344"/>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row>
    <row r="223" spans="1:119" s="699" customFormat="1" ht="12.75" customHeight="1">
      <c r="A223" s="664"/>
      <c r="B223" s="664"/>
      <c r="C223" s="795" t="s">
        <v>1767</v>
      </c>
      <c r="D223" s="674" t="s">
        <v>687</v>
      </c>
      <c r="E223" s="3629" t="s">
        <v>1376</v>
      </c>
      <c r="F223" s="704" t="s">
        <v>321</v>
      </c>
      <c r="G223" s="706"/>
      <c r="H223" s="706">
        <f t="shared" ref="H223:Q223" si="321">(H211/G211-1)*100</f>
        <v>35.703879926758518</v>
      </c>
      <c r="I223" s="706">
        <f t="shared" si="321"/>
        <v>27.877086718865417</v>
      </c>
      <c r="J223" s="706">
        <f t="shared" si="321"/>
        <v>26.848428835489834</v>
      </c>
      <c r="K223" s="706">
        <f t="shared" si="321"/>
        <v>2.9769277474195555</v>
      </c>
      <c r="L223" s="706">
        <f t="shared" si="321"/>
        <v>-5.2151200155657556</v>
      </c>
      <c r="M223" s="706">
        <f t="shared" si="321"/>
        <v>2.6020477985543522</v>
      </c>
      <c r="N223" s="706">
        <f t="shared" si="321"/>
        <v>3.9165519791925618</v>
      </c>
      <c r="O223" s="706">
        <f t="shared" si="321"/>
        <v>4.2310138213895954</v>
      </c>
      <c r="P223" s="3511">
        <f t="shared" si="321"/>
        <v>10.195182840478489</v>
      </c>
      <c r="Q223" s="3511">
        <f t="shared" si="321"/>
        <v>9.3672377798208917</v>
      </c>
      <c r="R223" s="3511">
        <f>(R211/Q211-1)*100</f>
        <v>16.326843405725743</v>
      </c>
      <c r="S223" s="3511">
        <f>(S211/R211-1)*100</f>
        <v>13.170513572971455</v>
      </c>
      <c r="T223" s="2996">
        <f t="shared" ref="T223:AB223" si="322">(T211/S211-1)*100</f>
        <v>22.625666788970111</v>
      </c>
      <c r="U223" s="2996">
        <f t="shared" si="322"/>
        <v>-1.8856090684159055</v>
      </c>
      <c r="V223" s="2996">
        <f t="shared" si="322"/>
        <v>-10.304786145337896</v>
      </c>
      <c r="W223" s="2996">
        <f t="shared" si="322"/>
        <v>4.5275333132821505</v>
      </c>
      <c r="X223" s="2996">
        <f t="shared" si="322"/>
        <v>1.3849055305520608</v>
      </c>
      <c r="Y223" s="2996">
        <f t="shared" si="322"/>
        <v>2.9874044070693273</v>
      </c>
      <c r="Z223" s="2996">
        <f t="shared" si="322"/>
        <v>3.7053123455495829</v>
      </c>
      <c r="AA223" s="2996">
        <f t="shared" si="322"/>
        <v>4.1350028161691199</v>
      </c>
      <c r="AB223" s="2996">
        <f t="shared" si="322"/>
        <v>5.4652720570491864</v>
      </c>
      <c r="AC223" s="3511">
        <f>(AC211/AB211-1)*100</f>
        <v>5.2500506456830021</v>
      </c>
      <c r="AD223" s="3511">
        <f>(AD211/AC211-1)*100</f>
        <v>5.0435315257880697</v>
      </c>
      <c r="AE223" s="3511">
        <f>(AE211/AD211-1)*100</f>
        <v>5.5043480270370093</v>
      </c>
      <c r="AF223" s="3655" t="s">
        <v>2605</v>
      </c>
      <c r="AG223" s="3344"/>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row>
    <row r="224" spans="1:119" s="699" customFormat="1" ht="12.75" customHeight="1">
      <c r="A224" s="664"/>
      <c r="B224" s="664"/>
      <c r="C224" s="795" t="s">
        <v>1769</v>
      </c>
      <c r="D224" s="717"/>
      <c r="E224" s="722" t="s">
        <v>1163</v>
      </c>
      <c r="F224" s="723" t="s">
        <v>474</v>
      </c>
      <c r="G224" s="721"/>
      <c r="H224" s="721">
        <f t="shared" ref="H224:Q224" si="323">(H214/G214-1)*100</f>
        <v>27.178276676028212</v>
      </c>
      <c r="I224" s="721">
        <f t="shared" si="323"/>
        <v>22.916017503691744</v>
      </c>
      <c r="J224" s="721">
        <f t="shared" si="323"/>
        <v>19.376377744466989</v>
      </c>
      <c r="K224" s="721">
        <f t="shared" si="323"/>
        <v>0.70872088621503071</v>
      </c>
      <c r="L224" s="721">
        <f t="shared" si="323"/>
        <v>-4.2341352862331982</v>
      </c>
      <c r="M224" s="721">
        <f t="shared" si="323"/>
        <v>2.727246618225676</v>
      </c>
      <c r="N224" s="721">
        <f t="shared" si="323"/>
        <v>8.2944258371868251</v>
      </c>
      <c r="O224" s="721">
        <f t="shared" si="323"/>
        <v>10.889780407585814</v>
      </c>
      <c r="P224" s="3500">
        <f t="shared" si="323"/>
        <v>13.457156870048914</v>
      </c>
      <c r="Q224" s="3500">
        <f t="shared" si="323"/>
        <v>16.551506205805964</v>
      </c>
      <c r="R224" s="3500">
        <f t="shared" ref="R224:AE224" si="324">(R214/Q214-1)*100</f>
        <v>20.625303696470176</v>
      </c>
      <c r="S224" s="3500">
        <f t="shared" si="324"/>
        <v>19.933250951125302</v>
      </c>
      <c r="T224" s="2948">
        <f t="shared" si="324"/>
        <v>16.462651814471975</v>
      </c>
      <c r="U224" s="2948">
        <f>(U214/T214-1)*100</f>
        <v>-16.55735569384197</v>
      </c>
      <c r="V224" s="2948">
        <f>(V214/U214-1)*100</f>
        <v>-4.2433577525932353</v>
      </c>
      <c r="W224" s="2948">
        <f t="shared" si="324"/>
        <v>7.2024599889973562</v>
      </c>
      <c r="X224" s="2948">
        <f t="shared" si="324"/>
        <v>5.5380206228158535</v>
      </c>
      <c r="Y224" s="2948">
        <f>(Y214/X214-1)*100</f>
        <v>5.8994147360147409</v>
      </c>
      <c r="Z224" s="2948">
        <f t="shared" si="324"/>
        <v>6.4129692882434197</v>
      </c>
      <c r="AA224" s="2948">
        <f t="shared" si="324"/>
        <v>6.9293958600731953</v>
      </c>
      <c r="AB224" s="2948">
        <f t="shared" si="324"/>
        <v>8.2608995937912368</v>
      </c>
      <c r="AC224" s="2948">
        <f t="shared" si="324"/>
        <v>8.9820108145402209</v>
      </c>
      <c r="AD224" s="2948">
        <f t="shared" si="324"/>
        <v>5.961773666944703</v>
      </c>
      <c r="AE224" s="2948">
        <f t="shared" si="324"/>
        <v>5.8131671142300778</v>
      </c>
      <c r="AF224" s="3344"/>
      <c r="AG224" s="334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row>
    <row r="225" spans="1:119" s="699" customFormat="1" ht="12.75" customHeight="1">
      <c r="A225" s="664"/>
      <c r="B225" s="664"/>
      <c r="C225" s="796" t="s">
        <v>1767</v>
      </c>
      <c r="D225" s="691" t="s">
        <v>688</v>
      </c>
      <c r="E225" s="797" t="s">
        <v>1164</v>
      </c>
      <c r="F225" s="941" t="s">
        <v>1165</v>
      </c>
      <c r="G225" s="741"/>
      <c r="H225" s="741">
        <f t="shared" ref="H225:Q225" si="325">(H216/G216-1)*100</f>
        <v>6199.9999999999991</v>
      </c>
      <c r="I225" s="741">
        <f t="shared" si="325"/>
        <v>77.777777777777814</v>
      </c>
      <c r="J225" s="741">
        <f t="shared" si="325"/>
        <v>7.5892857142856984</v>
      </c>
      <c r="K225" s="741">
        <f t="shared" si="325"/>
        <v>-27.800829875518673</v>
      </c>
      <c r="L225" s="741">
        <f t="shared" si="325"/>
        <v>-125.2873563218391</v>
      </c>
      <c r="M225" s="741">
        <f t="shared" si="325"/>
        <v>334.09090909090901</v>
      </c>
      <c r="N225" s="741">
        <f t="shared" si="325"/>
        <v>21.465968586387451</v>
      </c>
      <c r="O225" s="741">
        <f t="shared" si="325"/>
        <v>-30.172413793103448</v>
      </c>
      <c r="P225" s="3499">
        <f t="shared" si="325"/>
        <v>208.02469135802463</v>
      </c>
      <c r="Q225" s="3499">
        <f t="shared" si="325"/>
        <v>28.009619238476958</v>
      </c>
      <c r="R225" s="3499">
        <f t="shared" ref="R225:AE226" si="326">(R216/Q216-1)*100</f>
        <v>9.1891891891892072</v>
      </c>
      <c r="S225" s="3499">
        <f t="shared" si="326"/>
        <v>-21.287128712871294</v>
      </c>
      <c r="T225" s="2266">
        <f t="shared" si="326"/>
        <v>-40.25157232704403</v>
      </c>
      <c r="U225" s="2266">
        <f t="shared" si="326"/>
        <v>-82.10526315789474</v>
      </c>
      <c r="V225" s="2266">
        <f t="shared" si="326"/>
        <v>905.88235294117646</v>
      </c>
      <c r="W225" s="2266">
        <f t="shared" si="326"/>
        <v>-19.883040935672515</v>
      </c>
      <c r="X225" s="2266">
        <f t="shared" si="326"/>
        <v>-84.671532846715323</v>
      </c>
      <c r="Y225" s="2266">
        <f t="shared" si="326"/>
        <v>76.190476190476161</v>
      </c>
      <c r="Z225" s="2266">
        <f t="shared" si="326"/>
        <v>-148.64864864864865</v>
      </c>
      <c r="AA225" s="2266">
        <f t="shared" si="326"/>
        <v>-94.444444444444443</v>
      </c>
      <c r="AB225" s="2266">
        <f t="shared" si="326"/>
        <v>4600</v>
      </c>
      <c r="AC225" s="2266">
        <f t="shared" si="326"/>
        <v>-100</v>
      </c>
      <c r="AD225" s="2266" t="e">
        <f t="shared" si="326"/>
        <v>#DIV/0!</v>
      </c>
      <c r="AE225" s="2266" t="e">
        <f t="shared" si="326"/>
        <v>#DIV/0!</v>
      </c>
      <c r="AF225"/>
      <c r="AG225" s="3344"/>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row>
    <row r="226" spans="1:119" s="699" customFormat="1" ht="12.75" customHeight="1">
      <c r="A226" s="664"/>
      <c r="B226" s="664"/>
      <c r="C226" s="774" t="s">
        <v>1769</v>
      </c>
      <c r="D226" s="717" t="s">
        <v>685</v>
      </c>
      <c r="E226" s="722" t="s">
        <v>1378</v>
      </c>
      <c r="F226" s="723" t="s">
        <v>343</v>
      </c>
      <c r="G226" s="721"/>
      <c r="H226" s="721">
        <f t="shared" ref="H226:Q226" si="327">(H217/G217-1)*100</f>
        <v>25.940720317077371</v>
      </c>
      <c r="I226" s="721">
        <f t="shared" si="327"/>
        <v>22.371154051398801</v>
      </c>
      <c r="J226" s="721">
        <f t="shared" si="327"/>
        <v>19.53797815124172</v>
      </c>
      <c r="K226" s="721">
        <f t="shared" si="327"/>
        <v>1.0831905292854271</v>
      </c>
      <c r="L226" s="721">
        <f t="shared" si="327"/>
        <v>-3.1057406509451768</v>
      </c>
      <c r="M226" s="721">
        <f t="shared" si="327"/>
        <v>3.5416519432097893</v>
      </c>
      <c r="N226" s="721">
        <f t="shared" si="327"/>
        <v>8.2256776176341972</v>
      </c>
      <c r="O226" s="721">
        <f t="shared" si="327"/>
        <v>10.511818338324774</v>
      </c>
      <c r="P226" s="3500">
        <f t="shared" si="327"/>
        <v>14.976948929810296</v>
      </c>
      <c r="Q226" s="3500">
        <f t="shared" si="327"/>
        <v>16.783666132310238</v>
      </c>
      <c r="R226" s="3500">
        <f t="shared" si="326"/>
        <v>20.379113166497831</v>
      </c>
      <c r="S226" s="3500">
        <f t="shared" si="326"/>
        <v>19.135757702987675</v>
      </c>
      <c r="T226" s="2948">
        <f t="shared" si="326"/>
        <v>15.992461395891254</v>
      </c>
      <c r="U226" s="2948">
        <f t="shared" si="326"/>
        <v>-16.976274950385783</v>
      </c>
      <c r="V226" s="2948">
        <f t="shared" si="326"/>
        <v>-2.8323385964562298</v>
      </c>
      <c r="W226" s="2948">
        <f t="shared" si="326"/>
        <v>6.7430243247731392</v>
      </c>
      <c r="X226" s="2948">
        <f t="shared" si="326"/>
        <v>4.3726359226687439</v>
      </c>
      <c r="Y226" s="2948">
        <f t="shared" si="326"/>
        <v>6.026828930991579</v>
      </c>
      <c r="Z226" s="2948">
        <f t="shared" si="326"/>
        <v>5.9541718115047271</v>
      </c>
      <c r="AA226" s="2948">
        <f t="shared" si="326"/>
        <v>7.0465389999815331</v>
      </c>
      <c r="AB226" s="2948">
        <f t="shared" si="326"/>
        <v>7.9213430384218908</v>
      </c>
      <c r="AC226" s="2948">
        <f t="shared" si="326"/>
        <v>9.2202053736235143</v>
      </c>
      <c r="AD226" s="2948">
        <f t="shared" si="326"/>
        <v>5.961773666944703</v>
      </c>
      <c r="AE226" s="2948">
        <f t="shared" si="326"/>
        <v>5.8131671142300778</v>
      </c>
      <c r="AF226"/>
      <c r="AG226" s="3344"/>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row>
    <row r="227" spans="1:119" s="699" customFormat="1">
      <c r="A227" s="663"/>
      <c r="B227" s="663"/>
      <c r="C227" s="694"/>
      <c r="D227" s="670"/>
      <c r="F227" s="694"/>
      <c r="P227" s="547"/>
      <c r="Q227" s="3554"/>
      <c r="R227" s="3555"/>
      <c r="S227" s="3555"/>
      <c r="T227" s="2971"/>
      <c r="U227" s="2971"/>
      <c r="V227" s="2971"/>
      <c r="W227" s="2971"/>
      <c r="X227" s="2971"/>
      <c r="Y227" s="2971"/>
      <c r="Z227" s="2971"/>
      <c r="AA227" s="2971"/>
      <c r="AB227" s="2971"/>
      <c r="AC227" s="2971"/>
      <c r="AD227" s="2971"/>
      <c r="AE227" s="2971"/>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row>
    <row r="228" spans="1:119" s="699" customFormat="1" ht="12.75" customHeight="1">
      <c r="A228" s="664"/>
      <c r="B228" s="664"/>
      <c r="C228" s="774"/>
      <c r="D228" s="814"/>
      <c r="E228" s="815" t="s">
        <v>512</v>
      </c>
      <c r="F228" s="816"/>
      <c r="G228" s="821">
        <f>+InputY!$G$3</f>
        <v>1995</v>
      </c>
      <c r="H228" s="817">
        <f t="shared" ref="H228:O228" si="328">+G228+1</f>
        <v>1996</v>
      </c>
      <c r="I228" s="817">
        <f t="shared" si="328"/>
        <v>1997</v>
      </c>
      <c r="J228" s="817">
        <f t="shared" si="328"/>
        <v>1998</v>
      </c>
      <c r="K228" s="817">
        <f t="shared" si="328"/>
        <v>1999</v>
      </c>
      <c r="L228" s="817">
        <f t="shared" si="328"/>
        <v>2000</v>
      </c>
      <c r="M228" s="817">
        <f t="shared" si="328"/>
        <v>2001</v>
      </c>
      <c r="N228" s="817">
        <f t="shared" si="328"/>
        <v>2002</v>
      </c>
      <c r="O228" s="817">
        <f t="shared" si="328"/>
        <v>2003</v>
      </c>
      <c r="P228" s="3583">
        <f t="shared" ref="P228:W228" si="329">+O228+1</f>
        <v>2004</v>
      </c>
      <c r="Q228" s="3583">
        <f t="shared" si="329"/>
        <v>2005</v>
      </c>
      <c r="R228" s="3584">
        <f t="shared" si="329"/>
        <v>2006</v>
      </c>
      <c r="S228" s="3584">
        <f t="shared" si="329"/>
        <v>2007</v>
      </c>
      <c r="T228" s="3584">
        <f t="shared" si="329"/>
        <v>2008</v>
      </c>
      <c r="U228" s="3584">
        <f t="shared" si="329"/>
        <v>2009</v>
      </c>
      <c r="V228" s="3584">
        <f t="shared" si="329"/>
        <v>2010</v>
      </c>
      <c r="W228" s="3584">
        <f t="shared" si="329"/>
        <v>2011</v>
      </c>
      <c r="X228" s="3584">
        <f t="shared" ref="X228:AE228" si="330">+W228+1</f>
        <v>2012</v>
      </c>
      <c r="Y228" s="3584">
        <f t="shared" si="330"/>
        <v>2013</v>
      </c>
      <c r="Z228" s="3584">
        <f t="shared" si="330"/>
        <v>2014</v>
      </c>
      <c r="AA228" s="3584">
        <f t="shared" si="330"/>
        <v>2015</v>
      </c>
      <c r="AB228" s="3584">
        <f t="shared" si="330"/>
        <v>2016</v>
      </c>
      <c r="AC228" s="3584">
        <f t="shared" si="330"/>
        <v>2017</v>
      </c>
      <c r="AD228" s="3584">
        <f t="shared" si="330"/>
        <v>2018</v>
      </c>
      <c r="AE228" s="3584">
        <f t="shared" si="330"/>
        <v>2019</v>
      </c>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row>
    <row r="229" spans="1:119" s="699" customFormat="1" ht="12.75" customHeight="1">
      <c r="A229" s="664"/>
      <c r="B229" s="664"/>
      <c r="C229" s="822" t="s">
        <v>1767</v>
      </c>
      <c r="D229" s="823" t="s">
        <v>685</v>
      </c>
      <c r="E229" s="824" t="s">
        <v>1376</v>
      </c>
      <c r="F229" s="825" t="s">
        <v>10</v>
      </c>
      <c r="G229" s="838">
        <f>+G209/'VVP2'!G$341</f>
        <v>1.7604413918163753E-2</v>
      </c>
      <c r="H229" s="838">
        <f>+H209/'VVP2'!H$341</f>
        <v>1.500182723140985E-2</v>
      </c>
      <c r="I229" s="838">
        <f>+I209/'VVP2'!I$341</f>
        <v>1.6151868676616339E-2</v>
      </c>
      <c r="J229" s="838">
        <f>+J209/'VVP2'!J$341</f>
        <v>1.921753714494592E-2</v>
      </c>
      <c r="K229" s="838">
        <f>+K209/'VVP2'!K$341</f>
        <v>1.353830372370218E-2</v>
      </c>
      <c r="L229" s="838">
        <f>+L209/'VVP2'!L$341</f>
        <v>1.8253793710138553E-2</v>
      </c>
      <c r="M229" s="838">
        <f>+M209/'VVP2'!M$341</f>
        <v>2.0867207908404083E-2</v>
      </c>
      <c r="N229" s="838">
        <f>+N209/'VVP2'!N$341</f>
        <v>2.1296959578796973E-2</v>
      </c>
      <c r="O229" s="838">
        <f>+O209/'VVP2'!O$341</f>
        <v>2.1509459770776937E-2</v>
      </c>
      <c r="P229" s="3593">
        <f>+P209/'VVP2'!P$341</f>
        <v>2.1455532818795333E-2</v>
      </c>
      <c r="Q229" s="3593">
        <f>+Q209/'VVP2'!Q$341</f>
        <v>2.1391415722526289E-2</v>
      </c>
      <c r="R229" s="3593">
        <f>+R209/'VVP2'!R$341</f>
        <v>2.2429750514760056E-2</v>
      </c>
      <c r="S229" s="3593">
        <f>+S209/'VVP2'!S$341</f>
        <v>2.5163684296431281E-2</v>
      </c>
      <c r="T229" s="2279">
        <f>+T209/'VVP2'!T$341</f>
        <v>2.3271760579490999E-2</v>
      </c>
      <c r="U229" s="2279">
        <f>+U209/'VVP2'!U$341</f>
        <v>2.0551835876386031E-2</v>
      </c>
      <c r="V229" s="2279">
        <f>+V209/'VVP2'!V$341</f>
        <v>1.6443399127861549E-2</v>
      </c>
      <c r="W229" s="2279">
        <f>+W209/'VVP2'!W$341</f>
        <v>1.5085377223958059E-2</v>
      </c>
      <c r="X229" s="2279">
        <f>+X209/'VVP2'!X$341</f>
        <v>1.3790733490701824E-2</v>
      </c>
      <c r="Y229" s="2279">
        <f>+Y209/'VVP2'!Y$341</f>
        <v>1.3839383403437962E-2</v>
      </c>
      <c r="Z229" s="2279">
        <f>+Z209/'VVP2'!Z$341</f>
        <v>1.3493935180981987E-2</v>
      </c>
      <c r="AA229" s="2279">
        <f>+AA209/'VVP2'!AA$341</f>
        <v>1.3532617568088587E-2</v>
      </c>
      <c r="AB229" s="2279">
        <f>+AB209/'VVP2'!AB$341</f>
        <v>1.2654545116001935E-2</v>
      </c>
      <c r="AC229" s="2279">
        <f ca="1">+AC209/'VVP2'!AC$341</f>
        <v>1.2473468240708618E-2</v>
      </c>
      <c r="AD229" s="2279">
        <f ca="1">+AD209/'VVP2'!AD$341</f>
        <v>1.2553511778607678E-2</v>
      </c>
      <c r="AE229" s="2279">
        <f ca="1">+AE209/'VVP2'!AE$341</f>
        <v>1.2604074657663483E-2</v>
      </c>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row>
    <row r="230" spans="1:119" s="699" customFormat="1" ht="12.75" customHeight="1">
      <c r="A230" s="664"/>
      <c r="B230" s="664"/>
      <c r="C230" s="826" t="s">
        <v>1767</v>
      </c>
      <c r="D230" s="674" t="s">
        <v>686</v>
      </c>
      <c r="E230" s="783" t="s">
        <v>1376</v>
      </c>
      <c r="F230" s="704" t="s">
        <v>1158</v>
      </c>
      <c r="G230" s="839">
        <f>+G210/'VVP2'!G$341</f>
        <v>0.25977876317046877</v>
      </c>
      <c r="H230" s="839">
        <f>+H210/'VVP2'!H$341</f>
        <v>0.26040054971356219</v>
      </c>
      <c r="I230" s="839">
        <f>+I210/'VVP2'!I$341</f>
        <v>0.26002657718899314</v>
      </c>
      <c r="J230" s="839">
        <f>+J210/'VVP2'!J$341</f>
        <v>0.27016977474973042</v>
      </c>
      <c r="K230" s="839">
        <f>+K210/'VVP2'!K$341</f>
        <v>0.28206634948804604</v>
      </c>
      <c r="L230" s="839">
        <f>+L210/'VVP2'!L$341</f>
        <v>0.25218391733205264</v>
      </c>
      <c r="M230" s="839">
        <f>+M210/'VVP2'!M$341</f>
        <v>0.24091480374116206</v>
      </c>
      <c r="N230" s="839">
        <f>+N210/'VVP2'!N$341</f>
        <v>0.24815799323386067</v>
      </c>
      <c r="O230" s="839">
        <f>+O210/'VVP2'!O$341</f>
        <v>0.25785074583885276</v>
      </c>
      <c r="P230" s="3512">
        <f>+P210/'VVP2'!P$341</f>
        <v>0.27142208565544379</v>
      </c>
      <c r="Q230" s="3512">
        <f>+Q210/'VVP2'!Q$341</f>
        <v>0.28176227898306622</v>
      </c>
      <c r="R230" s="3512">
        <f>+R210/'VVP2'!R$341</f>
        <v>0.30036737131413943</v>
      </c>
      <c r="S230" s="3512">
        <f>+S210/'VVP2'!S$341</f>
        <v>0.30166807503686205</v>
      </c>
      <c r="T230" s="2280">
        <f>+T210/'VVP2'!T$341</f>
        <v>0.3094654804766781</v>
      </c>
      <c r="U230" s="2280">
        <f>+U210/'VVP2'!U$341</f>
        <v>0.29754941744552221</v>
      </c>
      <c r="V230" s="2280">
        <f>+V210/'VVP2'!V$341</f>
        <v>0.28365728712279226</v>
      </c>
      <c r="W230" s="2280">
        <f>+W210/'VVP2'!W$341</f>
        <v>0.27583922402712419</v>
      </c>
      <c r="X230" s="2280">
        <f>+X210/'VVP2'!X$341</f>
        <v>0.27813981326885068</v>
      </c>
      <c r="Y230" s="2280">
        <f>+Y210/'VVP2'!Y$341</f>
        <v>0.2837657127574218</v>
      </c>
      <c r="Z230" s="2280">
        <f>+Z210/'VVP2'!Z$341</f>
        <v>0.29173726519267512</v>
      </c>
      <c r="AA230" s="2280">
        <f>+AA210/'VVP2'!AA$341</f>
        <v>0.30794907687337963</v>
      </c>
      <c r="AB230" s="2280">
        <f>+AB210/'VVP2'!AB$341</f>
        <v>0.3268150775622008</v>
      </c>
      <c r="AC230" s="2280">
        <f ca="1">+AC210/'VVP2'!AC$341</f>
        <v>0.33333301304479218</v>
      </c>
      <c r="AD230" s="2280">
        <f ca="1">+AD210/'VVP2'!AD$341</f>
        <v>0.33454438633258127</v>
      </c>
      <c r="AE230" s="2280">
        <f ca="1">+AE210/'VVP2'!AE$341</f>
        <v>0.33555574265265109</v>
      </c>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row>
    <row r="231" spans="1:119" s="699" customFormat="1" ht="12.75" customHeight="1">
      <c r="A231" s="664"/>
      <c r="B231" s="664"/>
      <c r="C231" s="826" t="s">
        <v>1767</v>
      </c>
      <c r="D231" s="674" t="s">
        <v>687</v>
      </c>
      <c r="E231" s="783" t="s">
        <v>1376</v>
      </c>
      <c r="F231" s="704" t="s">
        <v>321</v>
      </c>
      <c r="G231" s="839">
        <f>+G211/'VVP2'!G$341</f>
        <v>9.6362561545901698E-2</v>
      </c>
      <c r="H231" s="839">
        <f>+H211/'VVP2'!H$341</f>
        <v>0.10452278377418507</v>
      </c>
      <c r="I231" s="839">
        <f>+I211/'VVP2'!I$341</f>
        <v>0.11074397364798359</v>
      </c>
      <c r="J231" s="839">
        <f>+J211/'VVP2'!J$341</f>
        <v>0.1264786560548489</v>
      </c>
      <c r="K231" s="839">
        <f>+K211/'VVP2'!K$341</f>
        <v>0.13341876388443119</v>
      </c>
      <c r="L231" s="839">
        <f>+L211/'VVP2'!L$341</f>
        <v>0.12025421560750976</v>
      </c>
      <c r="M231" s="839">
        <f>+M211/'VVP2'!M$341</f>
        <v>0.11620047736732203</v>
      </c>
      <c r="N231" s="839">
        <f>+N211/'VVP2'!N$341</f>
        <v>0.11274771956898258</v>
      </c>
      <c r="O231" s="839">
        <f>+O211/'VVP2'!O$341</f>
        <v>0.10718013880089847</v>
      </c>
      <c r="P231" s="3512">
        <f>+P211/'VVP2'!P$341</f>
        <v>0.10794496241854794</v>
      </c>
      <c r="Q231" s="3512">
        <f>+Q211/'VVP2'!Q$341</f>
        <v>0.10251614700259734</v>
      </c>
      <c r="R231" s="3512">
        <f>+R211/'VVP2'!R$341</f>
        <v>0.10401558524833486</v>
      </c>
      <c r="S231" s="3512">
        <f>+S211/'VVP2'!S$341</f>
        <v>9.7603842336916588E-2</v>
      </c>
      <c r="T231" s="2280">
        <f>+T211/'VVP2'!T$341</f>
        <v>0.10630567147088292</v>
      </c>
      <c r="U231" s="2280">
        <f>+U211/'VVP2'!U$341</f>
        <v>0.12661157564817588</v>
      </c>
      <c r="V231" s="2280">
        <f>+V211/'VVP2'!V$341</f>
        <v>0.10913647446843582</v>
      </c>
      <c r="W231" s="2280">
        <f>+W211/'VVP2'!W$341</f>
        <v>0.10223172776489577</v>
      </c>
      <c r="X231" s="2280">
        <f>+X211/'VVP2'!X$341</f>
        <v>9.7204130443126646E-2</v>
      </c>
      <c r="Y231" s="2280">
        <f>+Y211/'VVP2'!Y$341</f>
        <v>9.5494377089015467E-2</v>
      </c>
      <c r="Z231" s="2280">
        <f>+Z211/'VVP2'!Z$341</f>
        <v>9.4676315101503275E-2</v>
      </c>
      <c r="AA231" s="2280">
        <f>+AA211/'VVP2'!AA$341</f>
        <v>9.6330124475607043E-2</v>
      </c>
      <c r="AB231" s="2280">
        <f>+AB211/'VVP2'!AB$341</f>
        <v>9.8332433371814451E-2</v>
      </c>
      <c r="AC231" s="2280">
        <f ca="1">+AC211/'VVP2'!AC$341</f>
        <v>9.5787795717815691E-2</v>
      </c>
      <c r="AD231" s="2280">
        <f ca="1">+AD211/'VVP2'!AD$341</f>
        <v>9.5084098771006514E-2</v>
      </c>
      <c r="AE231" s="2280">
        <f ca="1">+AE211/'VVP2'!AE$341</f>
        <v>9.5020676898133691E-2</v>
      </c>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row>
    <row r="232" spans="1:119" s="699" customFormat="1" ht="12.75" customHeight="1">
      <c r="A232" s="664"/>
      <c r="B232" s="664"/>
      <c r="C232" s="826" t="s">
        <v>1769</v>
      </c>
      <c r="D232" s="806"/>
      <c r="E232" s="807" t="s">
        <v>1163</v>
      </c>
      <c r="F232" s="808" t="s">
        <v>474</v>
      </c>
      <c r="G232" s="841">
        <f>+G214/'VVP2'!G$341</f>
        <v>0.37374445072657325</v>
      </c>
      <c r="H232" s="841">
        <f>+H214/'VVP2'!H$341</f>
        <v>0.37992516071915711</v>
      </c>
      <c r="I232" s="841">
        <f>+I214/'VVP2'!I$341</f>
        <v>0.38692156658711702</v>
      </c>
      <c r="J232" s="841">
        <f>+J214/'VVP2'!J$341</f>
        <v>0.41586596794952529</v>
      </c>
      <c r="K232" s="841">
        <f>+K214/'VVP2'!K$341</f>
        <v>0.42902263044285438</v>
      </c>
      <c r="L232" s="841">
        <f>+L214/'VVP2'!L$341</f>
        <v>0.39069267469468544</v>
      </c>
      <c r="M232" s="841">
        <f>+M214/'VVP2'!M$341</f>
        <v>0.37798319351411669</v>
      </c>
      <c r="N232" s="841">
        <f>+N214/'VVP2'!N$341</f>
        <v>0.38220267238164024</v>
      </c>
      <c r="O232" s="841">
        <f>+O214/'VVP2'!O$341</f>
        <v>0.38654034441052815</v>
      </c>
      <c r="P232" s="3594">
        <f>+P214/'VVP2'!P$341</f>
        <v>0.40082258089278705</v>
      </c>
      <c r="Q232" s="3594">
        <f>+Q214/'VVP2'!Q$341</f>
        <v>0.40566984170818982</v>
      </c>
      <c r="R232" s="3594">
        <f>+R214/'VVP2'!R$341</f>
        <v>0.42681270707723429</v>
      </c>
      <c r="S232" s="3594">
        <f>+S214/'VVP2'!S$341</f>
        <v>0.42443594601500101</v>
      </c>
      <c r="T232" s="2282">
        <f>+T214/'VVP2'!T$341</f>
        <v>0.43904291252705197</v>
      </c>
      <c r="U232" s="2282">
        <f>+U214/'VVP2'!U$341</f>
        <v>0.44471245770344853</v>
      </c>
      <c r="V232" s="2282">
        <f>+V214/'VVP2'!V$341</f>
        <v>0.40923751750948884</v>
      </c>
      <c r="W232" s="2282">
        <f>+W214/'VVP2'!W$341</f>
        <v>0.39315632901597808</v>
      </c>
      <c r="X232" s="2282">
        <f>+X214/'VVP2'!X$341</f>
        <v>0.38913467720267902</v>
      </c>
      <c r="Y232" s="2282">
        <f>+Y214/'VVP2'!Y$341</f>
        <v>0.39309947324987521</v>
      </c>
      <c r="Z232" s="2282">
        <f>+Z214/'VVP2'!Z$341</f>
        <v>0.3999075154751604</v>
      </c>
      <c r="AA232" s="2282">
        <f>+AA214/'VVP2'!AA$341</f>
        <v>0.41781181891707531</v>
      </c>
      <c r="AB232" s="2282">
        <f>+AB214/'VVP2'!AB$341</f>
        <v>0.43780179744038528</v>
      </c>
      <c r="AC232" s="2282">
        <f ca="1">+AC214/'VVP2'!AC$341</f>
        <v>0.44159427700331649</v>
      </c>
      <c r="AD232" s="2282">
        <f ca="1">+AD214/'VVP2'!AD$341</f>
        <v>0.4421819968821955</v>
      </c>
      <c r="AE232" s="2282">
        <f ca="1">+AE214/'VVP2'!AE$341</f>
        <v>0.44318049420844835</v>
      </c>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row>
    <row r="233" spans="1:119" s="699" customFormat="1" ht="12.75" customHeight="1">
      <c r="A233" s="664"/>
      <c r="B233" s="664"/>
      <c r="C233" s="827" t="s">
        <v>1767</v>
      </c>
      <c r="D233" s="828" t="s">
        <v>688</v>
      </c>
      <c r="E233" s="829" t="s">
        <v>1164</v>
      </c>
      <c r="F233" s="830" t="s">
        <v>1165</v>
      </c>
      <c r="G233" s="840">
        <f>+G216/'VVP2'!G$341</f>
        <v>-7.4600785504256215E-5</v>
      </c>
      <c r="H233" s="840">
        <f>+H216/'VVP2'!H$341</f>
        <v>-3.7565944869593147E-3</v>
      </c>
      <c r="I233" s="840">
        <f>+I216/'VVP2'!I$341</f>
        <v>-5.5333506322737648E-3</v>
      </c>
      <c r="J233" s="840">
        <f>+J216/'VVP2'!J$341</f>
        <v>-5.3600552042165055E-3</v>
      </c>
      <c r="K233" s="840">
        <f>+K216/'VVP2'!K$341</f>
        <v>-3.9642515800096074E-3</v>
      </c>
      <c r="L233" s="840">
        <f>+L216/'VVP2'!L$341</f>
        <v>9.5325472993107322E-4</v>
      </c>
      <c r="M233" s="840">
        <f>+M216/'VVP2'!M$341</f>
        <v>3.8970971572349824E-3</v>
      </c>
      <c r="N233" s="840">
        <f>+N216/'VVP2'!N$341</f>
        <v>4.4198850756357834E-3</v>
      </c>
      <c r="O233" s="840">
        <f>+O216/'VVP2'!O$341</f>
        <v>2.8148003298909294E-3</v>
      </c>
      <c r="P233" s="3595">
        <f>+P216/'VVP2'!P$341</f>
        <v>7.9242574866433373E-3</v>
      </c>
      <c r="Q233" s="3595">
        <f>+Q216/'VVP2'!Q$341</f>
        <v>8.8085380921658768E-3</v>
      </c>
      <c r="R233" s="3595">
        <f>+R216/'VVP2'!R$341</f>
        <v>8.388989990522934E-3</v>
      </c>
      <c r="S233" s="3595">
        <f>+S216/'VVP2'!S$341</f>
        <v>5.4750821778843869E-3</v>
      </c>
      <c r="T233" s="2281">
        <f>+T216/'VVP2'!T$341</f>
        <v>2.9055293140381718E-3</v>
      </c>
      <c r="U233" s="2281">
        <f>+U216/'VVP2'!U$341</f>
        <v>6.3115328040061166E-4</v>
      </c>
      <c r="V233" s="2281">
        <f>+V216/'VVP2'!V$341</f>
        <v>6.1011158262944537E-3</v>
      </c>
      <c r="W233" s="2281">
        <f>+W216/'VVP2'!W$341</f>
        <v>4.3804507835571308E-3</v>
      </c>
      <c r="X233" s="2281">
        <f>+X216/'VVP2'!X$341</f>
        <v>6.2971385802291439E-4</v>
      </c>
      <c r="Y233" s="2281">
        <f>+Y216/'VVP2'!Y$341</f>
        <v>1.0583629984853966E-3</v>
      </c>
      <c r="Z233" s="2281">
        <f>+Z216/'VVP2'!Z$341</f>
        <v>-4.9222987791605177E-4</v>
      </c>
      <c r="AA233" s="2281">
        <f>+AA216/'VVP2'!AA$341</f>
        <v>-2.6718957447655556E-5</v>
      </c>
      <c r="AB233" s="2281">
        <f>+AB216/'VVP2'!AB$341</f>
        <v>-1.2154652697608792E-3</v>
      </c>
      <c r="AC233" s="2281">
        <f ca="1">+AC216/'VVP2'!AC$341</f>
        <v>0</v>
      </c>
      <c r="AD233" s="2281">
        <f ca="1">+AD216/'VVP2'!AD$341</f>
        <v>0</v>
      </c>
      <c r="AE233" s="2281">
        <f ca="1">+AE216/'VVP2'!AE$341</f>
        <v>0</v>
      </c>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row>
    <row r="234" spans="1:119" s="699" customFormat="1" ht="12.75" customHeight="1">
      <c r="A234" s="664"/>
      <c r="B234" s="664"/>
      <c r="C234" s="774" t="s">
        <v>1769</v>
      </c>
      <c r="D234" s="806" t="s">
        <v>685</v>
      </c>
      <c r="E234" s="807" t="s">
        <v>1378</v>
      </c>
      <c r="F234" s="808" t="s">
        <v>343</v>
      </c>
      <c r="G234" s="841">
        <f>+G217/'VVP2'!G$341</f>
        <v>0.37368649486833072</v>
      </c>
      <c r="H234" s="841">
        <f>+H217/'VVP2'!H$341</f>
        <v>0.37616981413710926</v>
      </c>
      <c r="I234" s="841">
        <f>+I217/'VVP2'!I$341</f>
        <v>0.3813988676548104</v>
      </c>
      <c r="J234" s="841">
        <f>+J217/'VVP2'!J$341</f>
        <v>0.41048505754894044</v>
      </c>
      <c r="K234" s="841">
        <f>+K217/'VVP2'!K$341</f>
        <v>0.42504609788484654</v>
      </c>
      <c r="L234" s="841">
        <f>+L217/'VVP2'!L$341</f>
        <v>0.39163221919513347</v>
      </c>
      <c r="M234" s="841">
        <f>+M217/'VVP2'!M$341</f>
        <v>0.38189597112124957</v>
      </c>
      <c r="N234" s="841">
        <f>+N217/'VVP2'!N$341</f>
        <v>0.38591398464824428</v>
      </c>
      <c r="O234" s="841">
        <f>+O217/'VVP2'!O$341</f>
        <v>0.3889634807732919</v>
      </c>
      <c r="P234" s="3594">
        <f>+P217/'VVP2'!P$341</f>
        <v>0.40873804400988717</v>
      </c>
      <c r="Q234" s="3594">
        <f>+Q217/'VVP2'!Q$341</f>
        <v>0.41450504348322925</v>
      </c>
      <c r="R234" s="3594">
        <f>+R217/'VVP2'!R$341</f>
        <v>0.43521830892912472</v>
      </c>
      <c r="S234" s="3594">
        <f>+S217/'VVP2'!S$341</f>
        <v>0.42991688205433348</v>
      </c>
      <c r="T234" s="2282">
        <f>+T217/'VVP2'!T$341</f>
        <v>0.44291705356083322</v>
      </c>
      <c r="U234" s="2282">
        <f>+U217/'VVP2'!U$341</f>
        <v>0.44638427136323922</v>
      </c>
      <c r="V234" s="2282">
        <f>+V217/'VVP2'!V$341</f>
        <v>0.4168289468332354</v>
      </c>
      <c r="W234" s="2282">
        <f>+W217/'VVP2'!W$341</f>
        <v>0.39873325037121926</v>
      </c>
      <c r="X234" s="2282">
        <f>+X217/'VVP2'!X$341</f>
        <v>0.39029664920260226</v>
      </c>
      <c r="Y234" s="2282">
        <f>+Y217/'VVP2'!Y$341</f>
        <v>0.39474765908697595</v>
      </c>
      <c r="Z234" s="2282">
        <f>+Z217/'VVP2'!Z$341</f>
        <v>0.39985282326650312</v>
      </c>
      <c r="AA234" s="2282">
        <f>+AA217/'VVP2'!AA$341</f>
        <v>0.4182123360892156</v>
      </c>
      <c r="AB234" s="2282">
        <f>+AB217/'VVP2'!AB$341</f>
        <v>0.43684701067954329</v>
      </c>
      <c r="AC234" s="2282">
        <f ca="1">+AC217/'VVP2'!AC$341</f>
        <v>0.44159427700331649</v>
      </c>
      <c r="AD234" s="2282">
        <f ca="1">+AD217/'VVP2'!AD$341</f>
        <v>0.4421819968821955</v>
      </c>
      <c r="AE234" s="2282">
        <f ca="1">+AE217/'VVP2'!AE$341</f>
        <v>0.44318049420844835</v>
      </c>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row>
    <row r="235" spans="1:119" s="699" customFormat="1">
      <c r="A235" s="663"/>
      <c r="B235" s="663"/>
      <c r="C235" s="694"/>
      <c r="D235" s="670"/>
      <c r="F235" s="694"/>
      <c r="P235" s="547"/>
      <c r="Q235" s="547"/>
      <c r="R235" s="547"/>
      <c r="S235" s="547"/>
      <c r="T235" s="2971"/>
      <c r="U235" s="2971"/>
      <c r="V235" s="2971"/>
      <c r="W235" s="2971"/>
      <c r="X235" s="2971"/>
      <c r="Y235" s="2971"/>
      <c r="Z235" s="2971"/>
      <c r="AA235" s="2971"/>
      <c r="AB235" s="2971"/>
      <c r="AC235" s="2971"/>
      <c r="AD235" s="2971"/>
      <c r="AE235" s="2971"/>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row>
    <row r="236" spans="1:119" s="699" customFormat="1" ht="12.75" customHeight="1">
      <c r="A236" s="664"/>
      <c r="B236" s="664"/>
      <c r="C236" s="774"/>
      <c r="D236" s="814"/>
      <c r="E236" s="815" t="s">
        <v>1262</v>
      </c>
      <c r="F236" s="816"/>
      <c r="G236" s="821">
        <f>+InputY!$G$3</f>
        <v>1995</v>
      </c>
      <c r="H236" s="817">
        <f t="shared" ref="H236:O236" si="331">+G236+1</f>
        <v>1996</v>
      </c>
      <c r="I236" s="817">
        <f t="shared" si="331"/>
        <v>1997</v>
      </c>
      <c r="J236" s="817">
        <f t="shared" si="331"/>
        <v>1998</v>
      </c>
      <c r="K236" s="817">
        <f t="shared" si="331"/>
        <v>1999</v>
      </c>
      <c r="L236" s="817">
        <f t="shared" si="331"/>
        <v>2000</v>
      </c>
      <c r="M236" s="817">
        <f t="shared" si="331"/>
        <v>2001</v>
      </c>
      <c r="N236" s="817">
        <f t="shared" si="331"/>
        <v>2002</v>
      </c>
      <c r="O236" s="817">
        <f t="shared" si="331"/>
        <v>2003</v>
      </c>
      <c r="P236" s="3583">
        <f t="shared" ref="P236:W236" si="332">+O236+1</f>
        <v>2004</v>
      </c>
      <c r="Q236" s="3583">
        <f t="shared" si="332"/>
        <v>2005</v>
      </c>
      <c r="R236" s="3583">
        <f t="shared" si="332"/>
        <v>2006</v>
      </c>
      <c r="S236" s="3583">
        <f t="shared" si="332"/>
        <v>2007</v>
      </c>
      <c r="T236" s="2991">
        <f t="shared" si="332"/>
        <v>2008</v>
      </c>
      <c r="U236" s="2991">
        <f t="shared" si="332"/>
        <v>2009</v>
      </c>
      <c r="V236" s="2991">
        <f t="shared" si="332"/>
        <v>2010</v>
      </c>
      <c r="W236" s="2991">
        <f t="shared" si="332"/>
        <v>2011</v>
      </c>
      <c r="X236" s="2991">
        <f t="shared" ref="X236:AE236" si="333">+W236+1</f>
        <v>2012</v>
      </c>
      <c r="Y236" s="2991">
        <f t="shared" si="333"/>
        <v>2013</v>
      </c>
      <c r="Z236" s="2991">
        <f t="shared" si="333"/>
        <v>2014</v>
      </c>
      <c r="AA236" s="2991">
        <f t="shared" si="333"/>
        <v>2015</v>
      </c>
      <c r="AB236" s="2991">
        <f t="shared" si="333"/>
        <v>2016</v>
      </c>
      <c r="AC236" s="2991">
        <f t="shared" si="333"/>
        <v>2017</v>
      </c>
      <c r="AD236" s="2991">
        <f t="shared" si="333"/>
        <v>2018</v>
      </c>
      <c r="AE236" s="2991">
        <f t="shared" si="333"/>
        <v>2019</v>
      </c>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row>
    <row r="237" spans="1:119" s="699" customFormat="1" ht="12.75" customHeight="1">
      <c r="A237" s="664"/>
      <c r="B237" s="664"/>
      <c r="C237" s="810" t="s">
        <v>1767</v>
      </c>
      <c r="D237" s="1655" t="s">
        <v>685</v>
      </c>
      <c r="E237" s="1656" t="s">
        <v>1378</v>
      </c>
      <c r="F237" s="1657" t="s">
        <v>343</v>
      </c>
      <c r="G237" s="1658">
        <f>+G217/Sector1!G375</f>
        <v>0.57681029769892145</v>
      </c>
      <c r="H237" s="1658">
        <f>+H217/Sector1!H375</f>
        <v>0.59376462406405994</v>
      </c>
      <c r="I237" s="1658">
        <f>+I217/Sector1!I375</f>
        <v>0.60354787594446702</v>
      </c>
      <c r="J237" s="1658">
        <f>+J217/Sector1!J375</f>
        <v>0.62313929156393377</v>
      </c>
      <c r="K237" s="1658">
        <f>+K217/Sector1!K375</f>
        <v>0.6266375647139597</v>
      </c>
      <c r="L237" s="1658">
        <f>+L217/Sector1!L375</f>
        <v>0.56540225192826499</v>
      </c>
      <c r="M237" s="1658">
        <f>+M217/Sector1!M375</f>
        <v>0.55930858582627785</v>
      </c>
      <c r="N237" s="1658">
        <f>+N217/Sector1!N375</f>
        <v>0.57255941053042492</v>
      </c>
      <c r="O237" s="1658">
        <f>+O217/Sector1!O375</f>
        <v>0.59212001987301732</v>
      </c>
      <c r="P237" s="3596">
        <f>+P217/Sector1!P375</f>
        <v>0.58046608909079311</v>
      </c>
      <c r="Q237" s="3596">
        <f>+Q217/Sector1!Q375</f>
        <v>0.61885091200675613</v>
      </c>
      <c r="R237" s="3596">
        <f>+R217/Sector1!R375</f>
        <v>0.64699650439019463</v>
      </c>
      <c r="S237" s="3596">
        <f>+S217/Sector1!S375</f>
        <v>0.71364829711381306</v>
      </c>
      <c r="T237" s="3597">
        <f>+T217/Sector1!T375</f>
        <v>0.6947088066307936</v>
      </c>
      <c r="U237" s="3597">
        <f>+U217/Sector1!U375</f>
        <v>0.6262063031667916</v>
      </c>
      <c r="V237" s="3597">
        <f>+V217/Sector1!V375</f>
        <v>0.60325412316303673</v>
      </c>
      <c r="W237" s="3597">
        <f>+W217/Sector1!W375</f>
        <v>0.61181085171675342</v>
      </c>
      <c r="X237" s="3597">
        <f>+X217/Sector1!X375</f>
        <v>0.61767373171117124</v>
      </c>
      <c r="Y237" s="3597">
        <f>+Y217/Sector1!Y375</f>
        <v>0.61947737667564595</v>
      </c>
      <c r="Z237" s="3597">
        <f>+Z217/Sector1!Z375</f>
        <v>0.64432720980129399</v>
      </c>
      <c r="AA237" s="3597">
        <f>+AA217/Sector1!AA375</f>
        <v>0.6704803541336295</v>
      </c>
      <c r="AB237" s="3597">
        <f>+AB217/Sector1!AB375</f>
        <v>0.68632584686918219</v>
      </c>
      <c r="AC237" s="3597">
        <f>+AC217/Sector1!AC375</f>
        <v>0.70156156496904265</v>
      </c>
      <c r="AD237" s="3597">
        <f>+AD217/Sector1!AD375</f>
        <v>0.70298076779255469</v>
      </c>
      <c r="AE237" s="3597">
        <f>+AE217/Sector1!AE375</f>
        <v>0.70695020670945918</v>
      </c>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row>
    <row r="238" spans="1:119" ht="30" customHeight="1">
      <c r="E238" s="167"/>
      <c r="F238" s="705"/>
      <c r="G238" s="705"/>
      <c r="AB238" s="3486"/>
      <c r="AC238" s="3486"/>
      <c r="AD238" s="3486"/>
      <c r="AE238" s="3486"/>
    </row>
    <row r="239" spans="1:119" ht="30" customHeight="1">
      <c r="AB239" s="3486"/>
      <c r="AC239" s="3486"/>
      <c r="AD239" s="3486"/>
      <c r="AE239" s="3486"/>
    </row>
    <row r="240" spans="1:119" ht="22.5" customHeight="1">
      <c r="C240" s="3752" t="s">
        <v>1287</v>
      </c>
      <c r="D240" s="3752"/>
      <c r="E240" s="3752"/>
      <c r="F240" s="3752"/>
      <c r="AB240" s="3486"/>
      <c r="AC240" s="3486"/>
      <c r="AD240" s="3486"/>
      <c r="AE240" s="3486"/>
    </row>
    <row r="241" spans="1:119">
      <c r="AB241" s="3486"/>
      <c r="AC241" s="3486"/>
      <c r="AD241" s="3486"/>
      <c r="AE241" s="3486"/>
    </row>
    <row r="242" spans="1:119" s="699" customFormat="1" ht="12.75" customHeight="1">
      <c r="A242" s="664"/>
      <c r="B242" s="664"/>
      <c r="C242" s="666"/>
      <c r="D242" s="695"/>
      <c r="E242" s="696" t="s">
        <v>345</v>
      </c>
      <c r="F242" s="697"/>
      <c r="G242" s="698">
        <f>+InputY!$G$3</f>
        <v>1995</v>
      </c>
      <c r="H242" s="698">
        <f>+G242+1</f>
        <v>1996</v>
      </c>
      <c r="I242" s="698">
        <f t="shared" ref="I242:O242" si="334">+H242+1</f>
        <v>1997</v>
      </c>
      <c r="J242" s="698">
        <f t="shared" si="334"/>
        <v>1998</v>
      </c>
      <c r="K242" s="698">
        <f t="shared" si="334"/>
        <v>1999</v>
      </c>
      <c r="L242" s="698">
        <f t="shared" si="334"/>
        <v>2000</v>
      </c>
      <c r="M242" s="698">
        <f t="shared" si="334"/>
        <v>2001</v>
      </c>
      <c r="N242" s="698">
        <f t="shared" si="334"/>
        <v>2002</v>
      </c>
      <c r="O242" s="698">
        <f t="shared" si="334"/>
        <v>2003</v>
      </c>
      <c r="P242" s="3490">
        <f t="shared" ref="P242:U242" si="335">+O242+1</f>
        <v>2004</v>
      </c>
      <c r="Q242" s="3490">
        <f t="shared" si="335"/>
        <v>2005</v>
      </c>
      <c r="R242" s="3490">
        <f t="shared" si="335"/>
        <v>2006</v>
      </c>
      <c r="S242" s="3490">
        <f>+R242+1</f>
        <v>2007</v>
      </c>
      <c r="T242" s="3490">
        <f t="shared" si="335"/>
        <v>2008</v>
      </c>
      <c r="U242" s="3490">
        <f t="shared" si="335"/>
        <v>2009</v>
      </c>
      <c r="V242" s="3490">
        <f t="shared" ref="V242:AE242" si="336">+U242+1</f>
        <v>2010</v>
      </c>
      <c r="W242" s="3490">
        <f t="shared" si="336"/>
        <v>2011</v>
      </c>
      <c r="X242" s="3490">
        <f t="shared" si="336"/>
        <v>2012</v>
      </c>
      <c r="Y242" s="3490">
        <f t="shared" si="336"/>
        <v>2013</v>
      </c>
      <c r="Z242" s="3490">
        <f t="shared" si="336"/>
        <v>2014</v>
      </c>
      <c r="AA242" s="3490">
        <f t="shared" si="336"/>
        <v>2015</v>
      </c>
      <c r="AB242" s="3490">
        <f t="shared" si="336"/>
        <v>2016</v>
      </c>
      <c r="AC242" s="3490">
        <f t="shared" si="336"/>
        <v>2017</v>
      </c>
      <c r="AD242" s="3490">
        <f t="shared" si="336"/>
        <v>2018</v>
      </c>
      <c r="AE242" s="3490">
        <f t="shared" si="336"/>
        <v>2019</v>
      </c>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row>
    <row r="243" spans="1:119">
      <c r="C243" s="675"/>
      <c r="D243" s="668"/>
      <c r="E243" s="708" t="s">
        <v>1120</v>
      </c>
      <c r="F243" s="701" t="str">
        <f>+InputY!B53</f>
        <v>VGrVadd</v>
      </c>
      <c r="G243" s="1454">
        <f>+'VVP2'!G159</f>
        <v>13.007718594954577</v>
      </c>
      <c r="H243" s="1454">
        <f>+'VVP2'!H159</f>
        <v>13.68921744656852</v>
      </c>
      <c r="I243" s="1454">
        <f>+'VVP2'!I159</f>
        <v>14.80355275774415</v>
      </c>
      <c r="J243" s="1454">
        <f>+'VVP2'!J159</f>
        <v>15.932074847052366</v>
      </c>
      <c r="K243" s="1454">
        <f>+'VVP2'!K159</f>
        <v>15.76932793178003</v>
      </c>
      <c r="L243" s="1454">
        <f>+'VVP2'!L159</f>
        <v>16.340395653944416</v>
      </c>
      <c r="M243" s="1454">
        <f>+'VVP2'!M159</f>
        <v>17.435136589285346</v>
      </c>
      <c r="N243" s="1454">
        <f>+'VVP2'!N159</f>
        <v>18.627352195151989</v>
      </c>
      <c r="O243" s="1454">
        <f>+'VVP2'!O159</f>
        <v>20.541478464990298</v>
      </c>
      <c r="P243" s="3556">
        <f>+'VVP2'!P159</f>
        <v>22.072500000000002</v>
      </c>
      <c r="Q243" s="3556">
        <f>+'VVP2'!Q159</f>
        <v>23.778130000000001</v>
      </c>
      <c r="R243" s="3556">
        <f>+'VVP2'!R159</f>
        <v>25.539240000000003</v>
      </c>
      <c r="S243" s="3556">
        <f>+'VVP2'!S159</f>
        <v>28.37077</v>
      </c>
      <c r="T243" s="3556">
        <f>+'VVP2'!T159</f>
        <v>29.11637</v>
      </c>
      <c r="U243" s="3556">
        <f>+'VVP2'!U159</f>
        <v>24.80303</v>
      </c>
      <c r="V243" s="3556">
        <f>+'VVP2'!V159</f>
        <v>25.20975</v>
      </c>
      <c r="W243" s="3556">
        <f>+'VVP2'!W159</f>
        <v>26.73321</v>
      </c>
      <c r="X243" s="3556">
        <f>+'VVP2'!X159</f>
        <v>27.75628</v>
      </c>
      <c r="Y243" s="3556">
        <f>+'VVP2'!Y159</f>
        <v>28.727349999999998</v>
      </c>
      <c r="Z243" s="3556">
        <f>+'VVP2'!Z159</f>
        <v>29.74361</v>
      </c>
      <c r="AA243" s="3556">
        <f>+'VVP2'!AA159</f>
        <v>30.348790000000001</v>
      </c>
      <c r="AB243" s="3556">
        <f>+'VVP2'!AB159</f>
        <v>31.06043</v>
      </c>
      <c r="AC243" s="3556">
        <f>+'VVP2'!AC159</f>
        <v>32.24971</v>
      </c>
      <c r="AD243" s="3556">
        <f ca="1">+'VVP2'!AD159</f>
        <v>33.151944645504848</v>
      </c>
      <c r="AE243" s="3556">
        <f ca="1">+'VVP2'!AE159</f>
        <v>34.017908485511633</v>
      </c>
    </row>
    <row r="244" spans="1:119">
      <c r="C244" s="768" t="s">
        <v>338</v>
      </c>
      <c r="D244" s="676"/>
      <c r="E244" s="711" t="s">
        <v>718</v>
      </c>
      <c r="F244" s="766" t="s">
        <v>553</v>
      </c>
      <c r="G244" s="712" t="str">
        <f t="shared" ref="G244:O244" si="337">+G34</f>
        <v>:</v>
      </c>
      <c r="H244" s="712" t="str">
        <f t="shared" si="337"/>
        <v>:</v>
      </c>
      <c r="I244" s="712" t="str">
        <f t="shared" si="337"/>
        <v>:</v>
      </c>
      <c r="J244" s="712" t="str">
        <f t="shared" si="337"/>
        <v>:</v>
      </c>
      <c r="K244" s="712" t="str">
        <f t="shared" si="337"/>
        <v>:</v>
      </c>
      <c r="L244" s="712">
        <f t="shared" si="337"/>
        <v>1399.19</v>
      </c>
      <c r="M244" s="712">
        <f t="shared" si="337"/>
        <v>1345.99</v>
      </c>
      <c r="N244" s="712">
        <f t="shared" si="337"/>
        <v>1394.68</v>
      </c>
      <c r="O244" s="712">
        <f t="shared" si="337"/>
        <v>1425.71</v>
      </c>
      <c r="P244" s="3598">
        <f t="shared" ref="P244:U244" si="338">+P34</f>
        <v>1410.1</v>
      </c>
      <c r="Q244" s="3598">
        <f t="shared" si="338"/>
        <v>1420.72</v>
      </c>
      <c r="R244" s="3598">
        <f t="shared" si="338"/>
        <v>1416.26</v>
      </c>
      <c r="S244" s="3598">
        <f>+S34</f>
        <v>1445.14</v>
      </c>
      <c r="T244" s="3598">
        <f t="shared" si="338"/>
        <v>1426.09</v>
      </c>
      <c r="U244" s="3598">
        <f t="shared" si="338"/>
        <v>1316.51</v>
      </c>
      <c r="V244" s="3598">
        <f t="shared" ref="V244:AA244" si="339">+V34</f>
        <v>1246.77</v>
      </c>
      <c r="W244" s="3598">
        <f t="shared" si="339"/>
        <v>1252.7</v>
      </c>
      <c r="X244" s="3598">
        <f t="shared" si="339"/>
        <v>1274.9000000000001</v>
      </c>
      <c r="Y244" s="3598">
        <f t="shared" si="339"/>
        <v>1291.8900000000001</v>
      </c>
      <c r="Z244" s="3598">
        <f t="shared" si="339"/>
        <v>1317.81</v>
      </c>
      <c r="AA244" s="3598">
        <f t="shared" si="339"/>
        <v>1334.73</v>
      </c>
      <c r="AB244" s="3598">
        <f>+AB34</f>
        <v>1361.21</v>
      </c>
      <c r="AC244" s="3598">
        <f>+AC34</f>
        <v>1354.11</v>
      </c>
      <c r="AD244" s="3598">
        <f>+AD34</f>
        <v>1346.7528000000002</v>
      </c>
      <c r="AE244" s="3598">
        <f>+AE34</f>
        <v>1342.6692803150002</v>
      </c>
    </row>
    <row r="245" spans="1:119">
      <c r="C245" s="670" t="s">
        <v>1769</v>
      </c>
      <c r="D245" s="769"/>
      <c r="E245" s="770" t="s">
        <v>1289</v>
      </c>
      <c r="F245" s="771" t="s">
        <v>1849</v>
      </c>
      <c r="G245" s="772" t="e">
        <f>+G243/G244*1000</f>
        <v>#VALUE!</v>
      </c>
      <c r="H245" s="772" t="e">
        <f t="shared" ref="H245:Q245" si="340">+H243/H244*1000</f>
        <v>#VALUE!</v>
      </c>
      <c r="I245" s="772" t="e">
        <f t="shared" si="340"/>
        <v>#VALUE!</v>
      </c>
      <c r="J245" s="772" t="e">
        <f t="shared" si="340"/>
        <v>#VALUE!</v>
      </c>
      <c r="K245" s="772" t="e">
        <f t="shared" si="340"/>
        <v>#VALUE!</v>
      </c>
      <c r="L245" s="772">
        <f t="shared" si="340"/>
        <v>11.678468009308538</v>
      </c>
      <c r="M245" s="772">
        <f t="shared" si="340"/>
        <v>12.953392364939818</v>
      </c>
      <c r="N245" s="772">
        <f t="shared" si="340"/>
        <v>13.356004384627289</v>
      </c>
      <c r="O245" s="772">
        <f t="shared" si="340"/>
        <v>14.407893937049119</v>
      </c>
      <c r="P245" s="3599">
        <f t="shared" si="340"/>
        <v>15.653145167009434</v>
      </c>
      <c r="Q245" s="3599">
        <f t="shared" si="340"/>
        <v>16.736675770032097</v>
      </c>
      <c r="R245" s="3599">
        <f t="shared" ref="R245:Y245" si="341">+R243/R244*1000</f>
        <v>18.032875319503482</v>
      </c>
      <c r="S245" s="3599">
        <f t="shared" si="341"/>
        <v>19.631848817415612</v>
      </c>
      <c r="T245" s="3599">
        <f t="shared" si="341"/>
        <v>20.416923195590741</v>
      </c>
      <c r="U245" s="3599">
        <f t="shared" si="341"/>
        <v>18.839986023653445</v>
      </c>
      <c r="V245" s="3599">
        <f t="shared" si="341"/>
        <v>20.220048605596862</v>
      </c>
      <c r="W245" s="3599">
        <f t="shared" si="341"/>
        <v>21.340472579228866</v>
      </c>
      <c r="X245" s="3599">
        <f t="shared" si="341"/>
        <v>21.771338928543415</v>
      </c>
      <c r="Y245" s="3599">
        <f t="shared" si="341"/>
        <v>22.236684237822104</v>
      </c>
      <c r="Z245" s="3599">
        <f t="shared" ref="Z245:AE245" si="342">+Z243/Z244*1000</f>
        <v>22.570484364210319</v>
      </c>
      <c r="AA245" s="3599">
        <f t="shared" si="342"/>
        <v>22.73777468102163</v>
      </c>
      <c r="AB245" s="3599">
        <f t="shared" si="342"/>
        <v>22.818249939392157</v>
      </c>
      <c r="AC245" s="3599">
        <f t="shared" si="342"/>
        <v>23.816167076529972</v>
      </c>
      <c r="AD245" s="3599">
        <f t="shared" ca="1" si="342"/>
        <v>24.616206215056575</v>
      </c>
      <c r="AE245" s="3599">
        <f t="shared" ca="1" si="342"/>
        <v>25.336029493078726</v>
      </c>
    </row>
    <row r="246" spans="1:119">
      <c r="Q246" s="599"/>
      <c r="R246" s="599"/>
      <c r="S246" s="599"/>
      <c r="T246" s="599"/>
      <c r="U246" s="599"/>
      <c r="V246" s="599"/>
      <c r="W246" s="599"/>
      <c r="X246" s="599"/>
      <c r="Y246" s="599"/>
      <c r="Z246" s="599"/>
      <c r="AA246" s="599"/>
      <c r="AB246" s="599"/>
      <c r="AC246" s="599"/>
      <c r="AD246" s="599"/>
      <c r="AE246" s="599"/>
    </row>
    <row r="247" spans="1:119" s="699" customFormat="1" ht="12.75" customHeight="1">
      <c r="A247" s="664"/>
      <c r="B247" s="664"/>
      <c r="C247" s="666"/>
      <c r="D247" s="695"/>
      <c r="E247" s="696" t="s">
        <v>1288</v>
      </c>
      <c r="F247" s="697"/>
      <c r="G247" s="698">
        <f>+InputY!$G$3</f>
        <v>1995</v>
      </c>
      <c r="H247" s="698">
        <f>+G247+1</f>
        <v>1996</v>
      </c>
      <c r="I247" s="698">
        <f t="shared" ref="I247:O247" si="343">+H247+1</f>
        <v>1997</v>
      </c>
      <c r="J247" s="698">
        <f t="shared" si="343"/>
        <v>1998</v>
      </c>
      <c r="K247" s="698">
        <f t="shared" si="343"/>
        <v>1999</v>
      </c>
      <c r="L247" s="698">
        <f t="shared" si="343"/>
        <v>2000</v>
      </c>
      <c r="M247" s="698">
        <f t="shared" si="343"/>
        <v>2001</v>
      </c>
      <c r="N247" s="698">
        <f t="shared" si="343"/>
        <v>2002</v>
      </c>
      <c r="O247" s="698">
        <f t="shared" si="343"/>
        <v>2003</v>
      </c>
      <c r="P247" s="3490">
        <f t="shared" ref="P247:U247" si="344">+O247+1</f>
        <v>2004</v>
      </c>
      <c r="Q247" s="3490">
        <f t="shared" si="344"/>
        <v>2005</v>
      </c>
      <c r="R247" s="3490">
        <f t="shared" si="344"/>
        <v>2006</v>
      </c>
      <c r="S247" s="3490">
        <f>+R247+1</f>
        <v>2007</v>
      </c>
      <c r="T247" s="3490">
        <f t="shared" si="344"/>
        <v>2008</v>
      </c>
      <c r="U247" s="3490">
        <f t="shared" si="344"/>
        <v>2009</v>
      </c>
      <c r="V247" s="3490">
        <f t="shared" ref="V247:AE247" si="345">+U247+1</f>
        <v>2010</v>
      </c>
      <c r="W247" s="3490">
        <f t="shared" si="345"/>
        <v>2011</v>
      </c>
      <c r="X247" s="3490">
        <f t="shared" si="345"/>
        <v>2012</v>
      </c>
      <c r="Y247" s="3490">
        <f t="shared" si="345"/>
        <v>2013</v>
      </c>
      <c r="Z247" s="3490">
        <f t="shared" si="345"/>
        <v>2014</v>
      </c>
      <c r="AA247" s="3490">
        <f t="shared" si="345"/>
        <v>2015</v>
      </c>
      <c r="AB247" s="3490">
        <f t="shared" si="345"/>
        <v>2016</v>
      </c>
      <c r="AC247" s="3490">
        <f t="shared" si="345"/>
        <v>2017</v>
      </c>
      <c r="AD247" s="3490">
        <f t="shared" si="345"/>
        <v>2018</v>
      </c>
      <c r="AE247" s="3490">
        <f t="shared" si="345"/>
        <v>2019</v>
      </c>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row>
    <row r="248" spans="1:119">
      <c r="C248" s="675"/>
      <c r="D248" s="668"/>
      <c r="E248" s="708" t="str">
        <f>+$E$190</f>
        <v>Total compensation / employee (domestic)</v>
      </c>
      <c r="F248" s="724" t="str">
        <f>+$F$190</f>
        <v>YCompAvD</v>
      </c>
      <c r="G248" s="977" t="e">
        <f t="shared" ref="G248:O248" si="346">+G190</f>
        <v>#VALUE!</v>
      </c>
      <c r="H248" s="977" t="e">
        <f t="shared" si="346"/>
        <v>#VALUE!</v>
      </c>
      <c r="I248" s="977" t="e">
        <f t="shared" si="346"/>
        <v>#VALUE!</v>
      </c>
      <c r="J248" s="977" t="e">
        <f t="shared" si="346"/>
        <v>#VALUE!</v>
      </c>
      <c r="K248" s="977" t="e">
        <f t="shared" si="346"/>
        <v>#VALUE!</v>
      </c>
      <c r="L248" s="977">
        <f t="shared" si="346"/>
        <v>4.6473252420273354</v>
      </c>
      <c r="M248" s="977">
        <f t="shared" si="346"/>
        <v>4.9751395560171359</v>
      </c>
      <c r="N248" s="977">
        <f t="shared" si="346"/>
        <v>5.2220464656450813</v>
      </c>
      <c r="O248" s="977">
        <f t="shared" si="346"/>
        <v>5.6874106244372653</v>
      </c>
      <c r="P248" s="3600">
        <f t="shared" ref="P248:U248" si="347">+P190</f>
        <v>6.3737814979509979</v>
      </c>
      <c r="Q248" s="3600">
        <f t="shared" si="347"/>
        <v>7.2537354095541353</v>
      </c>
      <c r="R248" s="3600">
        <f t="shared" si="347"/>
        <v>8.7578184916915198</v>
      </c>
      <c r="S248" s="3600">
        <f>+S190</f>
        <v>9.9913266215975209</v>
      </c>
      <c r="T248" s="3600">
        <f>+T190</f>
        <v>11.396259218977001</v>
      </c>
      <c r="U248" s="3600">
        <f t="shared" si="347"/>
        <v>10.337395251697979</v>
      </c>
      <c r="V248" s="3600">
        <f t="shared" ref="V248:AA248" si="348">+V190</f>
        <v>10.323262051337437</v>
      </c>
      <c r="W248" s="3600">
        <f t="shared" si="348"/>
        <v>10.979141925978839</v>
      </c>
      <c r="X248" s="3600">
        <f t="shared" si="348"/>
        <v>11.444716859660106</v>
      </c>
      <c r="Y248" s="3600">
        <f t="shared" si="348"/>
        <v>12.05810300956392</v>
      </c>
      <c r="Z248" s="3600">
        <f t="shared" si="348"/>
        <v>12.626646980607504</v>
      </c>
      <c r="AA248" s="3600">
        <f t="shared" si="348"/>
        <v>13.353783091374893</v>
      </c>
      <c r="AB248" s="3600">
        <f>+AB190</f>
        <v>14.186759406687338</v>
      </c>
      <c r="AC248" s="3600">
        <f>+AC190</f>
        <v>15.468689252135199</v>
      </c>
      <c r="AD248" s="3600">
        <f>+AD190</f>
        <v>16.495359389525113</v>
      </c>
      <c r="AE248" s="3600">
        <f>+AE190</f>
        <v>17.490678494808797</v>
      </c>
    </row>
    <row r="249" spans="1:119">
      <c r="A249" s="664"/>
      <c r="B249" s="664"/>
      <c r="C249" s="768" t="s">
        <v>338</v>
      </c>
      <c r="D249" s="676"/>
      <c r="E249" s="711" t="str">
        <f>+$E$245</f>
        <v>Unit labour productivity</v>
      </c>
      <c r="F249" s="899" t="str">
        <f>+$F$245</f>
        <v>ULPdty</v>
      </c>
      <c r="G249" s="923" t="e">
        <f>+G245</f>
        <v>#VALUE!</v>
      </c>
      <c r="H249" s="923" t="e">
        <f t="shared" ref="H249:O249" si="349">+H245</f>
        <v>#VALUE!</v>
      </c>
      <c r="I249" s="923" t="e">
        <f t="shared" si="349"/>
        <v>#VALUE!</v>
      </c>
      <c r="J249" s="923" t="e">
        <f t="shared" si="349"/>
        <v>#VALUE!</v>
      </c>
      <c r="K249" s="923" t="e">
        <f t="shared" si="349"/>
        <v>#VALUE!</v>
      </c>
      <c r="L249" s="923">
        <f t="shared" si="349"/>
        <v>11.678468009308538</v>
      </c>
      <c r="M249" s="923">
        <f t="shared" si="349"/>
        <v>12.953392364939818</v>
      </c>
      <c r="N249" s="923">
        <f t="shared" si="349"/>
        <v>13.356004384627289</v>
      </c>
      <c r="O249" s="923">
        <f t="shared" si="349"/>
        <v>14.407893937049119</v>
      </c>
      <c r="P249" s="3544">
        <f t="shared" ref="P249:U249" si="350">+P245</f>
        <v>15.653145167009434</v>
      </c>
      <c r="Q249" s="3544">
        <f t="shared" si="350"/>
        <v>16.736675770032097</v>
      </c>
      <c r="R249" s="3544">
        <f t="shared" si="350"/>
        <v>18.032875319503482</v>
      </c>
      <c r="S249" s="3544">
        <f>+S245</f>
        <v>19.631848817415612</v>
      </c>
      <c r="T249" s="3544">
        <f t="shared" si="350"/>
        <v>20.416923195590741</v>
      </c>
      <c r="U249" s="3544">
        <f t="shared" si="350"/>
        <v>18.839986023653445</v>
      </c>
      <c r="V249" s="3544">
        <f t="shared" ref="V249:AA249" si="351">+V245</f>
        <v>20.220048605596862</v>
      </c>
      <c r="W249" s="3544">
        <f t="shared" si="351"/>
        <v>21.340472579228866</v>
      </c>
      <c r="X249" s="3544">
        <f t="shared" si="351"/>
        <v>21.771338928543415</v>
      </c>
      <c r="Y249" s="3544">
        <f t="shared" si="351"/>
        <v>22.236684237822104</v>
      </c>
      <c r="Z249" s="3544">
        <f t="shared" si="351"/>
        <v>22.570484364210319</v>
      </c>
      <c r="AA249" s="3544">
        <f t="shared" si="351"/>
        <v>22.73777468102163</v>
      </c>
      <c r="AB249" s="3544">
        <f>+AB245</f>
        <v>22.818249939392157</v>
      </c>
      <c r="AC249" s="3544">
        <f>+AC245</f>
        <v>23.816167076529972</v>
      </c>
      <c r="AD249" s="3544">
        <f ca="1">+AD245</f>
        <v>24.616206215056575</v>
      </c>
      <c r="AE249" s="3544">
        <f ca="1">+AE245</f>
        <v>25.336029493078726</v>
      </c>
    </row>
    <row r="250" spans="1:119">
      <c r="C250" s="670" t="s">
        <v>1769</v>
      </c>
      <c r="D250" s="769"/>
      <c r="E250" s="770" t="s">
        <v>1288</v>
      </c>
      <c r="F250" s="771" t="s">
        <v>1290</v>
      </c>
      <c r="G250" s="772" t="e">
        <f>+G248/G249*100</f>
        <v>#VALUE!</v>
      </c>
      <c r="H250" s="772" t="e">
        <f t="shared" ref="H250:Q250" si="352">+H248/H249*100</f>
        <v>#VALUE!</v>
      </c>
      <c r="I250" s="772" t="e">
        <f t="shared" si="352"/>
        <v>#VALUE!</v>
      </c>
      <c r="J250" s="772" t="e">
        <f t="shared" si="352"/>
        <v>#VALUE!</v>
      </c>
      <c r="K250" s="772" t="e">
        <f t="shared" si="352"/>
        <v>#VALUE!</v>
      </c>
      <c r="L250" s="772">
        <f t="shared" si="352"/>
        <v>39.793963029423885</v>
      </c>
      <c r="M250" s="772">
        <f t="shared" si="352"/>
        <v>38.40800475930191</v>
      </c>
      <c r="N250" s="772">
        <f t="shared" si="352"/>
        <v>39.098867559939087</v>
      </c>
      <c r="O250" s="772">
        <f t="shared" si="352"/>
        <v>39.47426771245447</v>
      </c>
      <c r="P250" s="3599">
        <f t="shared" si="352"/>
        <v>40.718855092357913</v>
      </c>
      <c r="Q250" s="3599">
        <f t="shared" si="352"/>
        <v>43.340359275778837</v>
      </c>
      <c r="R250" s="3599">
        <f t="shared" ref="R250:Y250" si="353">+R248/R249*100</f>
        <v>48.565846192146012</v>
      </c>
      <c r="S250" s="3599">
        <f t="shared" si="353"/>
        <v>50.893457435013012</v>
      </c>
      <c r="T250" s="3599">
        <f t="shared" si="353"/>
        <v>55.817711169321285</v>
      </c>
      <c r="U250" s="3599">
        <f t="shared" si="353"/>
        <v>54.869442252873569</v>
      </c>
      <c r="V250" s="3599">
        <f t="shared" si="353"/>
        <v>51.054585736653394</v>
      </c>
      <c r="W250" s="3599">
        <f t="shared" si="353"/>
        <v>51.447510757868919</v>
      </c>
      <c r="X250" s="3599">
        <f t="shared" si="353"/>
        <v>52.567813570048536</v>
      </c>
      <c r="Y250" s="3599">
        <f t="shared" si="353"/>
        <v>54.226173653419252</v>
      </c>
      <c r="Z250" s="3599">
        <f t="shared" ref="Z250:AE250" si="354">+Z248/Z249*100</f>
        <v>55.943181266545572</v>
      </c>
      <c r="AA250" s="3599">
        <f t="shared" si="354"/>
        <v>58.729507520895595</v>
      </c>
      <c r="AB250" s="3599">
        <f t="shared" si="354"/>
        <v>62.172863582303506</v>
      </c>
      <c r="AC250" s="3599">
        <f t="shared" si="354"/>
        <v>64.950372586943558</v>
      </c>
      <c r="AD250" s="3599">
        <f t="shared" ca="1" si="354"/>
        <v>67.010160889193713</v>
      </c>
      <c r="AE250" s="3599">
        <f t="shared" ca="1" si="354"/>
        <v>69.034804761286239</v>
      </c>
    </row>
    <row r="251" spans="1:119" ht="30" customHeight="1">
      <c r="Q251" s="599"/>
      <c r="R251" s="599"/>
      <c r="S251" s="599"/>
      <c r="T251" s="599"/>
      <c r="U251" s="599"/>
      <c r="V251" s="599"/>
      <c r="W251" s="599"/>
      <c r="X251" s="599"/>
      <c r="Y251" s="599"/>
      <c r="Z251" s="599"/>
      <c r="AA251" s="599"/>
      <c r="AB251" s="599"/>
      <c r="AC251" s="599"/>
      <c r="AD251" s="599"/>
      <c r="AE251" s="599"/>
    </row>
    <row r="252" spans="1:119" s="699" customFormat="1" ht="12.75" customHeight="1">
      <c r="A252" s="664"/>
      <c r="B252" s="664"/>
      <c r="C252" s="666"/>
      <c r="D252" s="728"/>
      <c r="E252" s="729" t="s">
        <v>284</v>
      </c>
      <c r="F252" s="730"/>
      <c r="G252" s="731">
        <f>+InputY!$G$3</f>
        <v>1995</v>
      </c>
      <c r="H252" s="731">
        <f>+G252+1</f>
        <v>1996</v>
      </c>
      <c r="I252" s="731">
        <f t="shared" ref="I252:O252" si="355">+H252+1</f>
        <v>1997</v>
      </c>
      <c r="J252" s="731">
        <f t="shared" si="355"/>
        <v>1998</v>
      </c>
      <c r="K252" s="731">
        <f t="shared" si="355"/>
        <v>1999</v>
      </c>
      <c r="L252" s="731">
        <f t="shared" si="355"/>
        <v>2000</v>
      </c>
      <c r="M252" s="731">
        <f t="shared" si="355"/>
        <v>2001</v>
      </c>
      <c r="N252" s="731">
        <f t="shared" si="355"/>
        <v>2002</v>
      </c>
      <c r="O252" s="731">
        <f t="shared" si="355"/>
        <v>2003</v>
      </c>
      <c r="P252" s="3514">
        <f t="shared" ref="P252:U252" si="356">+O252+1</f>
        <v>2004</v>
      </c>
      <c r="Q252" s="3514">
        <f t="shared" si="356"/>
        <v>2005</v>
      </c>
      <c r="R252" s="3514">
        <f t="shared" si="356"/>
        <v>2006</v>
      </c>
      <c r="S252" s="3514">
        <f>+R252+1</f>
        <v>2007</v>
      </c>
      <c r="T252" s="3514">
        <f t="shared" si="356"/>
        <v>2008</v>
      </c>
      <c r="U252" s="3514">
        <f t="shared" si="356"/>
        <v>2009</v>
      </c>
      <c r="V252" s="3514">
        <f t="shared" ref="V252:AE252" si="357">+U252+1</f>
        <v>2010</v>
      </c>
      <c r="W252" s="3514">
        <f t="shared" si="357"/>
        <v>2011</v>
      </c>
      <c r="X252" s="3514">
        <f t="shared" si="357"/>
        <v>2012</v>
      </c>
      <c r="Y252" s="3514">
        <f t="shared" si="357"/>
        <v>2013</v>
      </c>
      <c r="Z252" s="3514">
        <f t="shared" si="357"/>
        <v>2014</v>
      </c>
      <c r="AA252" s="3514">
        <f t="shared" si="357"/>
        <v>2015</v>
      </c>
      <c r="AB252" s="3514">
        <f t="shared" si="357"/>
        <v>2016</v>
      </c>
      <c r="AC252" s="3514">
        <f t="shared" si="357"/>
        <v>2017</v>
      </c>
      <c r="AD252" s="3514">
        <f t="shared" si="357"/>
        <v>2018</v>
      </c>
      <c r="AE252" s="3514">
        <f t="shared" si="357"/>
        <v>2019</v>
      </c>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row>
    <row r="253" spans="1:119" s="699" customFormat="1" ht="12.75" customHeight="1">
      <c r="A253" s="664"/>
      <c r="B253" s="664"/>
      <c r="C253" s="688"/>
      <c r="D253" s="689"/>
      <c r="E253" s="732" t="str">
        <f>+$E$245</f>
        <v>Unit labour productivity</v>
      </c>
      <c r="F253" s="733" t="s">
        <v>1849</v>
      </c>
      <c r="G253" s="734"/>
      <c r="H253" s="978" t="e">
        <f>(H245/G245-1)*100</f>
        <v>#VALUE!</v>
      </c>
      <c r="I253" s="978" t="e">
        <f t="shared" ref="I253:Q253" si="358">(I245/H245-1)*100</f>
        <v>#VALUE!</v>
      </c>
      <c r="J253" s="978" t="e">
        <f t="shared" si="358"/>
        <v>#VALUE!</v>
      </c>
      <c r="K253" s="978" t="e">
        <f t="shared" si="358"/>
        <v>#VALUE!</v>
      </c>
      <c r="L253" s="978" t="e">
        <f t="shared" si="358"/>
        <v>#VALUE!</v>
      </c>
      <c r="M253" s="978">
        <f t="shared" si="358"/>
        <v>10.916880147422404</v>
      </c>
      <c r="N253" s="978">
        <f t="shared" si="358"/>
        <v>3.1081589157848422</v>
      </c>
      <c r="O253" s="978">
        <f t="shared" si="358"/>
        <v>7.8757802268510035</v>
      </c>
      <c r="P253" s="3498">
        <f t="shared" si="358"/>
        <v>8.6428400667096774</v>
      </c>
      <c r="Q253" s="3498">
        <f t="shared" si="358"/>
        <v>6.9221270962612103</v>
      </c>
      <c r="R253" s="3498">
        <f t="shared" ref="R253:AE253" si="359">(R245/Q245-1)*100</f>
        <v>7.7446654716959884</v>
      </c>
      <c r="S253" s="3498">
        <f t="shared" si="359"/>
        <v>8.866991367609355</v>
      </c>
      <c r="T253" s="3498">
        <f t="shared" si="359"/>
        <v>3.9989834145354619</v>
      </c>
      <c r="U253" s="3498">
        <f t="shared" si="359"/>
        <v>-7.7236768578227917</v>
      </c>
      <c r="V253" s="3498">
        <f t="shared" si="359"/>
        <v>7.3251783743934817</v>
      </c>
      <c r="W253" s="3498">
        <f t="shared" si="359"/>
        <v>5.5411537107871833</v>
      </c>
      <c r="X253" s="3498">
        <f t="shared" si="359"/>
        <v>2.0190103462559783</v>
      </c>
      <c r="Y253" s="3498">
        <f t="shared" si="359"/>
        <v>2.1374216386324196</v>
      </c>
      <c r="Z253" s="3498">
        <f t="shared" si="359"/>
        <v>1.5011236514320681</v>
      </c>
      <c r="AA253" s="3498">
        <f t="shared" si="359"/>
        <v>0.7411906369035659</v>
      </c>
      <c r="AB253" s="3498">
        <f t="shared" si="359"/>
        <v>0.35392759185750577</v>
      </c>
      <c r="AC253" s="3498">
        <f t="shared" si="359"/>
        <v>4.3733289791653362</v>
      </c>
      <c r="AD253" s="3498">
        <f t="shared" ca="1" si="359"/>
        <v>3.359227099624329</v>
      </c>
      <c r="AE253" s="3498">
        <f t="shared" ca="1" si="359"/>
        <v>2.9241844650369719</v>
      </c>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row>
    <row r="254" spans="1:119" s="699" customFormat="1">
      <c r="A254" s="663"/>
      <c r="B254" s="663"/>
      <c r="C254" s="979"/>
      <c r="D254" s="691"/>
      <c r="E254" s="980" t="str">
        <f>+$E$250</f>
        <v>Unit labour cost</v>
      </c>
      <c r="F254" s="933" t="str">
        <f>+$F$250</f>
        <v>ULCost</v>
      </c>
      <c r="G254" s="980"/>
      <c r="H254" s="765" t="e">
        <f>(H250/G250-1)*100</f>
        <v>#VALUE!</v>
      </c>
      <c r="I254" s="765" t="e">
        <f t="shared" ref="I254:Q254" si="360">(I250/H250-1)*100</f>
        <v>#VALUE!</v>
      </c>
      <c r="J254" s="765" t="e">
        <f t="shared" si="360"/>
        <v>#VALUE!</v>
      </c>
      <c r="K254" s="765" t="e">
        <f t="shared" si="360"/>
        <v>#VALUE!</v>
      </c>
      <c r="L254" s="765" t="e">
        <f t="shared" si="360"/>
        <v>#VALUE!</v>
      </c>
      <c r="M254" s="765">
        <f t="shared" si="360"/>
        <v>-3.4828354971762621</v>
      </c>
      <c r="N254" s="765">
        <f t="shared" si="360"/>
        <v>1.7987469147817681</v>
      </c>
      <c r="O254" s="765">
        <f t="shared" si="360"/>
        <v>0.96013049978975751</v>
      </c>
      <c r="P254" s="3601">
        <f t="shared" si="360"/>
        <v>3.1529080893140105</v>
      </c>
      <c r="Q254" s="3601">
        <f t="shared" si="360"/>
        <v>6.438059659277906</v>
      </c>
      <c r="R254" s="3601">
        <f t="shared" ref="R254:AE254" si="361">(R250/Q250-1)*100</f>
        <v>12.056861095951943</v>
      </c>
      <c r="S254" s="3601">
        <f t="shared" si="361"/>
        <v>4.7926916245997875</v>
      </c>
      <c r="T254" s="3601">
        <f t="shared" si="361"/>
        <v>9.675612509910847</v>
      </c>
      <c r="U254" s="3601">
        <f t="shared" si="361"/>
        <v>-1.6988674321868458</v>
      </c>
      <c r="V254" s="3601">
        <f t="shared" si="361"/>
        <v>-6.9526066961622668</v>
      </c>
      <c r="W254" s="3601">
        <f t="shared" si="361"/>
        <v>0.76961748988091383</v>
      </c>
      <c r="X254" s="3601">
        <f t="shared" si="361"/>
        <v>2.1775646589631492</v>
      </c>
      <c r="Y254" s="3601">
        <f t="shared" si="361"/>
        <v>3.1547062180185437</v>
      </c>
      <c r="Z254" s="3601">
        <f t="shared" si="361"/>
        <v>3.1663816519682753</v>
      </c>
      <c r="AA254" s="3601">
        <f t="shared" si="361"/>
        <v>4.9806360512005154</v>
      </c>
      <c r="AB254" s="3601">
        <f t="shared" si="361"/>
        <v>5.8630766828459802</v>
      </c>
      <c r="AC254" s="3601">
        <f t="shared" si="361"/>
        <v>4.4673975824890633</v>
      </c>
      <c r="AD254" s="3601">
        <f t="shared" ca="1" si="361"/>
        <v>3.1713263838369699</v>
      </c>
      <c r="AE254" s="3601">
        <f t="shared" ca="1" si="361"/>
        <v>3.0213983151606394</v>
      </c>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row>
    <row r="255" spans="1:119">
      <c r="C255" s="694"/>
      <c r="E255" s="699"/>
      <c r="G255" s="699"/>
      <c r="H255" s="699"/>
    </row>
    <row r="256" spans="1:119" customFormat="1">
      <c r="P256" s="3436"/>
      <c r="Q256" s="3436"/>
      <c r="R256" s="3436"/>
      <c r="S256" s="3436"/>
      <c r="T256" s="3436"/>
      <c r="U256" s="3436"/>
      <c r="V256" s="3194"/>
      <c r="W256" s="3194"/>
      <c r="X256" s="3194"/>
      <c r="Y256" s="3194"/>
      <c r="Z256" s="3194"/>
      <c r="AA256" s="3194"/>
      <c r="AB256" s="3194"/>
      <c r="AC256" s="3194"/>
      <c r="AD256" s="3194"/>
      <c r="AE256" s="3194"/>
    </row>
    <row r="257" spans="16:31" customFormat="1">
      <c r="P257" s="3436"/>
      <c r="Q257" s="3436"/>
      <c r="R257" s="3436"/>
      <c r="S257" s="3436"/>
      <c r="T257" s="3436"/>
      <c r="U257" s="3436"/>
      <c r="V257" s="3486"/>
      <c r="W257" s="3486"/>
      <c r="X257" s="3486"/>
      <c r="Y257" s="3486"/>
      <c r="Z257" s="3486"/>
      <c r="AA257" s="3486"/>
      <c r="AB257" s="3486"/>
      <c r="AC257" s="3486"/>
      <c r="AD257" s="3486"/>
      <c r="AE257" s="3486"/>
    </row>
    <row r="258" spans="16:31" customFormat="1">
      <c r="P258" s="3436"/>
      <c r="Q258" s="3436"/>
      <c r="R258" s="3436"/>
      <c r="S258" s="3436"/>
      <c r="T258" s="3436"/>
      <c r="U258" s="3436"/>
      <c r="V258" s="3436"/>
      <c r="W258" s="3436"/>
      <c r="X258" s="3436"/>
      <c r="Y258" s="3436"/>
      <c r="Z258" s="3436"/>
      <c r="AA258" s="3436"/>
      <c r="AB258" s="3436"/>
      <c r="AC258" s="3436"/>
      <c r="AD258" s="3436"/>
      <c r="AE258" s="3650"/>
    </row>
    <row r="259" spans="16:31" customFormat="1">
      <c r="P259" s="3436"/>
      <c r="Q259" s="3436"/>
      <c r="R259" s="3436"/>
      <c r="S259" s="3436"/>
      <c r="T259" s="3436"/>
      <c r="U259" s="3436"/>
      <c r="V259" s="3436"/>
      <c r="W259" s="3436"/>
      <c r="X259" s="3436"/>
      <c r="Y259" s="3436"/>
      <c r="Z259" s="3436"/>
      <c r="AA259" s="3436"/>
      <c r="AB259" s="3436"/>
      <c r="AC259" s="3436"/>
      <c r="AD259" s="3436"/>
      <c r="AE259" s="3650"/>
    </row>
    <row r="260" spans="16:31" customFormat="1">
      <c r="P260" s="3436"/>
      <c r="Q260" s="3436"/>
      <c r="R260" s="3436"/>
      <c r="S260" s="3436"/>
      <c r="T260" s="3436"/>
      <c r="U260" s="3436"/>
      <c r="V260" s="3436"/>
      <c r="W260" s="3436"/>
      <c r="X260" s="3436"/>
      <c r="Y260" s="3436"/>
      <c r="Z260" s="3436"/>
      <c r="AA260" s="3436"/>
      <c r="AB260" s="3436"/>
      <c r="AC260" s="3436"/>
      <c r="AD260" s="3436"/>
      <c r="AE260" s="3650"/>
    </row>
    <row r="261" spans="16:31" customFormat="1">
      <c r="P261" s="3436"/>
      <c r="Q261" s="3436"/>
      <c r="R261" s="3436"/>
      <c r="S261" s="3436"/>
      <c r="T261" s="3436"/>
      <c r="U261" s="3436"/>
      <c r="V261" s="3436"/>
      <c r="W261" s="3436"/>
      <c r="X261" s="3436"/>
      <c r="Y261" s="3436"/>
      <c r="Z261" s="3436"/>
      <c r="AA261" s="3436"/>
      <c r="AB261" s="3436"/>
      <c r="AC261" s="3436"/>
      <c r="AD261" s="3436"/>
      <c r="AE261" s="3650"/>
    </row>
    <row r="262" spans="16:31" customFormat="1">
      <c r="P262" s="3436"/>
      <c r="Q262" s="3436"/>
      <c r="R262" s="3436"/>
      <c r="S262" s="3436"/>
      <c r="T262" s="3436"/>
      <c r="U262" s="3436"/>
      <c r="V262" s="3436"/>
      <c r="W262" s="3436"/>
      <c r="X262" s="3436"/>
      <c r="Y262" s="3436"/>
      <c r="Z262" s="3436"/>
      <c r="AA262" s="3436"/>
      <c r="AB262" s="3436"/>
      <c r="AC262" s="3436"/>
      <c r="AD262" s="3436"/>
      <c r="AE262" s="3650"/>
    </row>
    <row r="263" spans="16:31" customFormat="1">
      <c r="P263" s="3436"/>
      <c r="Q263" s="3436"/>
      <c r="R263" s="3436"/>
      <c r="S263" s="3436"/>
      <c r="T263" s="3436"/>
      <c r="U263" s="3436"/>
      <c r="V263" s="3436"/>
      <c r="W263" s="3436"/>
      <c r="X263" s="3436"/>
      <c r="Y263" s="3436"/>
      <c r="Z263" s="3436"/>
      <c r="AA263" s="3436"/>
      <c r="AB263" s="3436"/>
      <c r="AC263" s="3436"/>
      <c r="AD263" s="3436"/>
      <c r="AE263" s="3650"/>
    </row>
    <row r="264" spans="16:31" customFormat="1">
      <c r="P264" s="3436"/>
      <c r="Q264" s="3436"/>
      <c r="R264" s="3436"/>
      <c r="S264" s="3436"/>
      <c r="T264" s="3436"/>
      <c r="U264" s="3436"/>
      <c r="V264" s="3436"/>
      <c r="W264" s="3436"/>
      <c r="X264" s="3436"/>
      <c r="Y264" s="3436"/>
      <c r="Z264" s="3436"/>
      <c r="AA264" s="3436"/>
      <c r="AB264" s="3436"/>
      <c r="AC264" s="3436"/>
      <c r="AD264" s="3436"/>
      <c r="AE264" s="3650"/>
    </row>
    <row r="265" spans="16:31" customFormat="1">
      <c r="P265" s="3436"/>
      <c r="Q265" s="3436"/>
      <c r="R265" s="3436"/>
      <c r="S265" s="3436"/>
      <c r="T265" s="3436"/>
      <c r="U265" s="3436"/>
      <c r="V265" s="3436"/>
      <c r="W265" s="3436"/>
      <c r="X265" s="3436"/>
      <c r="Y265" s="3436"/>
      <c r="Z265" s="3436"/>
      <c r="AA265" s="3436"/>
      <c r="AB265" s="3436"/>
      <c r="AC265" s="3436"/>
      <c r="AD265" s="3436"/>
      <c r="AE265" s="3650"/>
    </row>
    <row r="266" spans="16:31" customFormat="1">
      <c r="P266" s="3436"/>
      <c r="Q266" s="3436"/>
      <c r="R266" s="3436"/>
      <c r="S266" s="3436"/>
      <c r="T266" s="3436"/>
      <c r="U266" s="3436"/>
      <c r="V266" s="3436"/>
      <c r="W266" s="3436"/>
      <c r="X266" s="3436"/>
      <c r="Y266" s="3436"/>
      <c r="Z266" s="3436"/>
      <c r="AA266" s="3436"/>
      <c r="AB266" s="3436"/>
      <c r="AC266" s="3436"/>
      <c r="AD266" s="3436"/>
      <c r="AE266" s="3650"/>
    </row>
    <row r="267" spans="16:31" customFormat="1">
      <c r="P267" s="3436"/>
      <c r="Q267" s="3436"/>
      <c r="R267" s="3436"/>
      <c r="S267" s="3436"/>
      <c r="T267" s="3436"/>
      <c r="U267" s="3436"/>
      <c r="V267" s="3436"/>
      <c r="W267" s="3436"/>
      <c r="X267" s="3436"/>
      <c r="Y267" s="3436"/>
      <c r="Z267" s="3436"/>
      <c r="AA267" s="3436"/>
      <c r="AB267" s="3436"/>
      <c r="AC267" s="3436"/>
      <c r="AD267" s="3436"/>
      <c r="AE267" s="3650"/>
    </row>
    <row r="268" spans="16:31" customFormat="1">
      <c r="P268" s="3436"/>
      <c r="Q268" s="3436"/>
      <c r="R268" s="3436"/>
      <c r="S268" s="3436"/>
      <c r="T268" s="3436"/>
      <c r="U268" s="3436"/>
      <c r="V268" s="3436"/>
      <c r="W268" s="3436"/>
      <c r="X268" s="3436"/>
      <c r="Y268" s="3436"/>
      <c r="Z268" s="3436"/>
      <c r="AA268" s="3436"/>
      <c r="AB268" s="3436"/>
      <c r="AC268" s="3436"/>
      <c r="AD268" s="3436"/>
      <c r="AE268" s="3650"/>
    </row>
    <row r="269" spans="16:31" customFormat="1">
      <c r="P269" s="3436"/>
      <c r="Q269" s="3436"/>
      <c r="R269" s="3436"/>
      <c r="S269" s="3436"/>
      <c r="T269" s="3436"/>
      <c r="U269" s="3436"/>
      <c r="V269" s="3436"/>
      <c r="W269" s="3436"/>
      <c r="X269" s="3436"/>
      <c r="Y269" s="3436"/>
      <c r="Z269" s="3436"/>
      <c r="AA269" s="3436"/>
      <c r="AB269" s="3436"/>
      <c r="AC269" s="3436"/>
      <c r="AD269" s="3436"/>
      <c r="AE269" s="3650"/>
    </row>
    <row r="270" spans="16:31" customFormat="1">
      <c r="P270" s="3436"/>
      <c r="Q270" s="3436"/>
      <c r="R270" s="3436"/>
      <c r="S270" s="3436"/>
      <c r="T270" s="3436"/>
      <c r="U270" s="3436"/>
      <c r="V270" s="3436"/>
      <c r="W270" s="3436"/>
      <c r="X270" s="3436"/>
      <c r="Y270" s="3436"/>
      <c r="Z270" s="3436"/>
      <c r="AA270" s="3436"/>
      <c r="AB270" s="3436"/>
      <c r="AC270" s="3436"/>
      <c r="AD270" s="3436"/>
      <c r="AE270" s="3650"/>
    </row>
    <row r="271" spans="16:31" customFormat="1">
      <c r="P271" s="3436"/>
      <c r="Q271" s="3436"/>
      <c r="R271" s="3436"/>
      <c r="S271" s="3436"/>
      <c r="T271" s="3436"/>
      <c r="U271" s="3436"/>
      <c r="V271" s="3436"/>
      <c r="W271" s="3436"/>
      <c r="X271" s="3436"/>
      <c r="Y271" s="3436"/>
      <c r="Z271" s="3436"/>
      <c r="AA271" s="3436"/>
      <c r="AB271" s="3436"/>
      <c r="AC271" s="3436"/>
      <c r="AD271" s="3436"/>
      <c r="AE271" s="3650"/>
    </row>
    <row r="272" spans="16:31" customFormat="1">
      <c r="P272" s="3436"/>
      <c r="Q272" s="3436"/>
      <c r="R272" s="3436"/>
      <c r="S272" s="3436"/>
      <c r="T272" s="3436"/>
      <c r="U272" s="3436"/>
      <c r="V272" s="3436"/>
      <c r="W272" s="3436"/>
      <c r="X272" s="3436"/>
      <c r="Y272" s="3436"/>
      <c r="Z272" s="3436"/>
      <c r="AA272" s="3436"/>
      <c r="AB272" s="3436"/>
      <c r="AC272" s="3436"/>
      <c r="AD272" s="3436"/>
      <c r="AE272" s="3650"/>
    </row>
    <row r="273" spans="16:31" customFormat="1">
      <c r="P273" s="3436"/>
      <c r="Q273" s="3436"/>
      <c r="R273" s="3436"/>
      <c r="S273" s="3436"/>
      <c r="T273" s="3436"/>
      <c r="U273" s="3436"/>
      <c r="V273" s="3436"/>
      <c r="W273" s="3436"/>
      <c r="X273" s="3436"/>
      <c r="Y273" s="3436"/>
      <c r="Z273" s="3436"/>
      <c r="AA273" s="3436"/>
      <c r="AB273" s="3436"/>
      <c r="AC273" s="3436"/>
      <c r="AD273" s="3436"/>
      <c r="AE273" s="3650"/>
    </row>
    <row r="274" spans="16:31" customFormat="1">
      <c r="P274" s="3436"/>
      <c r="Q274" s="3436"/>
      <c r="R274" s="3436"/>
      <c r="S274" s="3436"/>
      <c r="T274" s="3436"/>
      <c r="U274" s="3436"/>
      <c r="V274" s="3436"/>
      <c r="W274" s="3436"/>
      <c r="X274" s="3436"/>
      <c r="Y274" s="3436"/>
      <c r="Z274" s="3436"/>
      <c r="AA274" s="3436"/>
      <c r="AB274" s="3436"/>
      <c r="AC274" s="3436"/>
      <c r="AD274" s="3436"/>
      <c r="AE274" s="3650"/>
    </row>
    <row r="275" spans="16:31" customFormat="1">
      <c r="P275" s="3436"/>
      <c r="Q275" s="3436"/>
      <c r="R275" s="3436"/>
      <c r="S275" s="3436"/>
      <c r="T275" s="3436"/>
      <c r="U275" s="3436"/>
      <c r="V275" s="3436"/>
      <c r="W275" s="3436"/>
      <c r="X275" s="3436"/>
      <c r="Y275" s="3436"/>
      <c r="Z275" s="3436"/>
      <c r="AA275" s="3436"/>
      <c r="AB275" s="3436"/>
      <c r="AC275" s="3436"/>
      <c r="AD275" s="3436"/>
      <c r="AE275" s="3650"/>
    </row>
    <row r="276" spans="16:31" customFormat="1">
      <c r="P276" s="3436"/>
      <c r="Q276" s="3436"/>
      <c r="R276" s="3436"/>
      <c r="S276" s="3436"/>
      <c r="T276" s="3436"/>
      <c r="U276" s="3436"/>
      <c r="V276" s="3436"/>
      <c r="W276" s="3436"/>
      <c r="X276" s="3436"/>
      <c r="Y276" s="3436"/>
      <c r="Z276" s="3436"/>
      <c r="AA276" s="3436"/>
      <c r="AB276" s="3436"/>
      <c r="AC276" s="3436"/>
      <c r="AD276" s="3436"/>
      <c r="AE276" s="3650"/>
    </row>
    <row r="277" spans="16:31" customFormat="1">
      <c r="P277" s="3436"/>
      <c r="Q277" s="3436"/>
      <c r="R277" s="3436"/>
      <c r="S277" s="3436"/>
      <c r="T277" s="3436"/>
      <c r="U277" s="3436"/>
      <c r="V277" s="3436"/>
      <c r="W277" s="3436"/>
      <c r="X277" s="3436"/>
      <c r="Y277" s="3436"/>
      <c r="Z277" s="3436"/>
      <c r="AA277" s="3436"/>
      <c r="AB277" s="3436"/>
      <c r="AC277" s="3436"/>
      <c r="AD277" s="3436"/>
      <c r="AE277" s="3650"/>
    </row>
    <row r="278" spans="16:31" customFormat="1">
      <c r="P278" s="3436"/>
      <c r="Q278" s="3436"/>
      <c r="R278" s="3436"/>
      <c r="S278" s="3436"/>
      <c r="T278" s="3436"/>
      <c r="U278" s="3436"/>
      <c r="V278" s="3436"/>
      <c r="W278" s="3436"/>
      <c r="X278" s="3436"/>
      <c r="Y278" s="3436"/>
      <c r="Z278" s="3436"/>
      <c r="AA278" s="3436"/>
      <c r="AB278" s="3436"/>
      <c r="AC278" s="3436"/>
      <c r="AD278" s="3436"/>
      <c r="AE278" s="3650"/>
    </row>
    <row r="279" spans="16:31" customFormat="1">
      <c r="P279" s="3436"/>
      <c r="Q279" s="3436"/>
      <c r="R279" s="3436"/>
      <c r="S279" s="3436"/>
      <c r="T279" s="3436"/>
      <c r="U279" s="3436"/>
      <c r="V279" s="3436"/>
      <c r="W279" s="3436"/>
      <c r="X279" s="3436"/>
      <c r="Y279" s="3436"/>
      <c r="Z279" s="3436"/>
      <c r="AA279" s="3436"/>
      <c r="AB279" s="3436"/>
      <c r="AC279" s="3436"/>
      <c r="AD279" s="3436"/>
      <c r="AE279" s="3650"/>
    </row>
    <row r="280" spans="16:31" customFormat="1">
      <c r="P280" s="3436"/>
      <c r="Q280" s="3436"/>
      <c r="R280" s="3436"/>
      <c r="S280" s="3436"/>
      <c r="T280" s="3436"/>
      <c r="U280" s="3436"/>
      <c r="V280" s="3436"/>
      <c r="W280" s="3436"/>
      <c r="X280" s="3436"/>
      <c r="Y280" s="3436"/>
      <c r="Z280" s="3436"/>
      <c r="AA280" s="3436"/>
      <c r="AB280" s="3436"/>
      <c r="AC280" s="3436"/>
      <c r="AD280" s="3436"/>
      <c r="AE280" s="3650"/>
    </row>
    <row r="281" spans="16:31" customFormat="1">
      <c r="P281" s="3436"/>
      <c r="Q281" s="3436"/>
      <c r="R281" s="3436"/>
      <c r="S281" s="3436"/>
      <c r="T281" s="3436"/>
      <c r="U281" s="3436"/>
      <c r="V281" s="3436"/>
      <c r="W281" s="3436"/>
      <c r="X281" s="3436"/>
      <c r="Y281" s="3436"/>
      <c r="Z281" s="3436"/>
      <c r="AA281" s="3436"/>
      <c r="AB281" s="3436"/>
      <c r="AC281" s="3436"/>
      <c r="AD281" s="3436"/>
      <c r="AE281" s="3650"/>
    </row>
    <row r="282" spans="16:31" customFormat="1">
      <c r="P282" s="3436"/>
      <c r="Q282" s="3436"/>
      <c r="R282" s="3436"/>
      <c r="S282" s="3436"/>
      <c r="T282" s="3436"/>
      <c r="U282" s="3436"/>
      <c r="V282" s="3436"/>
      <c r="W282" s="3436"/>
      <c r="X282" s="3436"/>
      <c r="Y282" s="3436"/>
      <c r="Z282" s="3436"/>
      <c r="AA282" s="3436"/>
      <c r="AB282" s="3436"/>
      <c r="AC282" s="3436"/>
      <c r="AD282" s="3436"/>
      <c r="AE282" s="3650"/>
    </row>
    <row r="283" spans="16:31" customFormat="1">
      <c r="P283" s="3436"/>
      <c r="Q283" s="3436"/>
      <c r="R283" s="3436"/>
      <c r="S283" s="3436"/>
      <c r="T283" s="3436"/>
      <c r="U283" s="3436"/>
      <c r="V283" s="3436"/>
      <c r="W283" s="3436"/>
      <c r="X283" s="3436"/>
      <c r="Y283" s="3436"/>
      <c r="Z283" s="3436"/>
      <c r="AA283" s="3436"/>
      <c r="AB283" s="3436"/>
      <c r="AC283" s="3436"/>
      <c r="AD283" s="3436"/>
      <c r="AE283" s="3650"/>
    </row>
    <row r="284" spans="16:31" customFormat="1">
      <c r="P284" s="3436"/>
      <c r="Q284" s="3436"/>
      <c r="R284" s="3436"/>
      <c r="S284" s="3436"/>
      <c r="T284" s="3436"/>
      <c r="U284" s="3436"/>
      <c r="V284" s="3436"/>
      <c r="W284" s="3436"/>
      <c r="X284" s="3436"/>
      <c r="Y284" s="3436"/>
      <c r="Z284" s="3436"/>
      <c r="AA284" s="3436"/>
      <c r="AB284" s="3436"/>
      <c r="AC284" s="3436"/>
      <c r="AD284" s="3436"/>
      <c r="AE284" s="3650"/>
    </row>
    <row r="285" spans="16:31" customFormat="1">
      <c r="P285" s="3436"/>
      <c r="Q285" s="3436"/>
      <c r="R285" s="3436"/>
      <c r="S285" s="3436"/>
      <c r="T285" s="3436"/>
      <c r="U285" s="3436"/>
      <c r="V285" s="3436"/>
      <c r="W285" s="3436"/>
      <c r="X285" s="3436"/>
      <c r="Y285" s="3436"/>
      <c r="Z285" s="3436"/>
      <c r="AA285" s="3436"/>
      <c r="AB285" s="3436"/>
      <c r="AC285" s="3436"/>
      <c r="AD285" s="3436"/>
      <c r="AE285" s="3650"/>
    </row>
    <row r="286" spans="16:31" customFormat="1">
      <c r="P286" s="3436"/>
      <c r="Q286" s="3436"/>
      <c r="R286" s="3436"/>
      <c r="S286" s="3436"/>
      <c r="T286" s="3436"/>
      <c r="U286" s="3436"/>
      <c r="V286" s="3436"/>
      <c r="W286" s="3436"/>
      <c r="X286" s="3436"/>
      <c r="Y286" s="3436"/>
      <c r="Z286" s="3436"/>
      <c r="AA286" s="3436"/>
      <c r="AB286" s="3436"/>
      <c r="AC286" s="3436"/>
      <c r="AD286" s="3436"/>
      <c r="AE286" s="3650"/>
    </row>
    <row r="287" spans="16:31" customFormat="1">
      <c r="P287" s="3436"/>
      <c r="Q287" s="3436"/>
      <c r="R287" s="3436"/>
      <c r="S287" s="3436"/>
      <c r="T287" s="3436"/>
      <c r="U287" s="3436"/>
      <c r="V287" s="3436"/>
      <c r="W287" s="3436"/>
      <c r="X287" s="3436"/>
      <c r="Y287" s="3436"/>
      <c r="Z287" s="3436"/>
      <c r="AA287" s="3436"/>
      <c r="AB287" s="3436"/>
      <c r="AC287" s="3436"/>
      <c r="AD287" s="3436"/>
      <c r="AE287" s="3650"/>
    </row>
    <row r="288" spans="16:31" customFormat="1">
      <c r="P288" s="3436"/>
      <c r="Q288" s="3436"/>
      <c r="R288" s="3436"/>
      <c r="S288" s="3436"/>
      <c r="T288" s="3436"/>
      <c r="U288" s="3436"/>
      <c r="V288" s="3436"/>
      <c r="W288" s="3436"/>
      <c r="X288" s="3436"/>
      <c r="Y288" s="3436"/>
      <c r="Z288" s="3436"/>
      <c r="AA288" s="3436"/>
      <c r="AB288" s="3436"/>
      <c r="AC288" s="3436"/>
      <c r="AD288" s="3436"/>
      <c r="AE288" s="3650"/>
    </row>
    <row r="289" spans="16:31" customFormat="1">
      <c r="P289" s="3436"/>
      <c r="Q289" s="3436"/>
      <c r="R289" s="3436"/>
      <c r="S289" s="3436"/>
      <c r="T289" s="3436"/>
      <c r="U289" s="3436"/>
      <c r="V289" s="3436"/>
      <c r="W289" s="3436"/>
      <c r="X289" s="3436"/>
      <c r="Y289" s="3436"/>
      <c r="Z289" s="3436"/>
      <c r="AA289" s="3436"/>
      <c r="AB289" s="3436"/>
      <c r="AC289" s="3436"/>
      <c r="AD289" s="3436"/>
      <c r="AE289" s="3650"/>
    </row>
    <row r="290" spans="16:31" customFormat="1">
      <c r="P290" s="3436"/>
      <c r="Q290" s="3436"/>
      <c r="R290" s="3436"/>
      <c r="S290" s="3436"/>
      <c r="T290" s="3436"/>
      <c r="U290" s="3436"/>
      <c r="V290" s="3436"/>
      <c r="W290" s="3436"/>
      <c r="X290" s="3436"/>
      <c r="Y290" s="3436"/>
      <c r="Z290" s="3436"/>
      <c r="AA290" s="3436"/>
      <c r="AB290" s="3436"/>
      <c r="AC290" s="3436"/>
      <c r="AD290" s="3436"/>
      <c r="AE290" s="3650"/>
    </row>
    <row r="291" spans="16:31" customFormat="1">
      <c r="P291" s="3436"/>
      <c r="Q291" s="3436"/>
      <c r="R291" s="3436"/>
      <c r="S291" s="3436"/>
      <c r="T291" s="3436"/>
      <c r="U291" s="3436"/>
      <c r="V291" s="3436"/>
      <c r="W291" s="3436"/>
      <c r="X291" s="3436"/>
      <c r="Y291" s="3436"/>
      <c r="Z291" s="3436"/>
      <c r="AA291" s="3436"/>
      <c r="AB291" s="3436"/>
      <c r="AC291" s="3436"/>
      <c r="AD291" s="3436"/>
      <c r="AE291" s="3650"/>
    </row>
    <row r="292" spans="16:31" customFormat="1">
      <c r="P292" s="3436"/>
      <c r="Q292" s="3436"/>
      <c r="R292" s="3436"/>
      <c r="S292" s="3436"/>
      <c r="T292" s="3436"/>
      <c r="U292" s="3436"/>
      <c r="V292" s="3436"/>
      <c r="W292" s="3436"/>
      <c r="X292" s="3436"/>
      <c r="Y292" s="3436"/>
      <c r="Z292" s="3436"/>
      <c r="AA292" s="3436"/>
      <c r="AB292" s="3436"/>
      <c r="AC292" s="3436"/>
      <c r="AD292" s="3436"/>
      <c r="AE292" s="3650"/>
    </row>
    <row r="293" spans="16:31" customFormat="1">
      <c r="P293" s="3436"/>
      <c r="Q293" s="3436"/>
      <c r="R293" s="3436"/>
      <c r="S293" s="3436"/>
      <c r="T293" s="3436"/>
      <c r="U293" s="3436"/>
      <c r="V293" s="3436"/>
      <c r="W293" s="3436"/>
      <c r="X293" s="3436"/>
      <c r="Y293" s="3436"/>
      <c r="Z293" s="3436"/>
      <c r="AA293" s="3436"/>
      <c r="AB293" s="3436"/>
      <c r="AC293" s="3436"/>
      <c r="AD293" s="3436"/>
      <c r="AE293" s="3650"/>
    </row>
    <row r="294" spans="16:31" customFormat="1">
      <c r="P294" s="3436"/>
      <c r="Q294" s="3436"/>
      <c r="R294" s="3436"/>
      <c r="S294" s="3436"/>
      <c r="T294" s="3436"/>
      <c r="U294" s="3436"/>
      <c r="V294" s="3436"/>
      <c r="W294" s="3436"/>
      <c r="X294" s="3436"/>
      <c r="Y294" s="3436"/>
      <c r="Z294" s="3436"/>
      <c r="AA294" s="3436"/>
      <c r="AB294" s="3436"/>
      <c r="AC294" s="3436"/>
      <c r="AD294" s="3436"/>
      <c r="AE294" s="3650"/>
    </row>
    <row r="295" spans="16:31" customFormat="1">
      <c r="P295" s="3436"/>
      <c r="Q295" s="3436"/>
      <c r="R295" s="3436"/>
      <c r="S295" s="3436"/>
      <c r="T295" s="3436"/>
      <c r="U295" s="3436"/>
      <c r="V295" s="3436"/>
      <c r="W295" s="3436"/>
      <c r="X295" s="3436"/>
      <c r="Y295" s="3436"/>
      <c r="Z295" s="3436"/>
      <c r="AA295" s="3436"/>
      <c r="AB295" s="3436"/>
      <c r="AC295" s="3436"/>
      <c r="AD295" s="3436"/>
      <c r="AE295" s="3650"/>
    </row>
    <row r="296" spans="16:31" customFormat="1">
      <c r="P296" s="3436"/>
      <c r="Q296" s="3436"/>
      <c r="R296" s="3436"/>
      <c r="S296" s="3436"/>
      <c r="T296" s="3436"/>
      <c r="U296" s="3436"/>
      <c r="V296" s="3436"/>
      <c r="W296" s="3436"/>
      <c r="X296" s="3436"/>
      <c r="Y296" s="3436"/>
      <c r="Z296" s="3436"/>
      <c r="AA296" s="3436"/>
      <c r="AB296" s="3436"/>
      <c r="AC296" s="3436"/>
      <c r="AD296" s="3436"/>
      <c r="AE296" s="3650"/>
    </row>
    <row r="297" spans="16:31" customFormat="1">
      <c r="P297" s="3436"/>
      <c r="Q297" s="3436"/>
      <c r="R297" s="3436"/>
      <c r="S297" s="3436"/>
      <c r="T297" s="3436"/>
      <c r="U297" s="3436"/>
      <c r="V297" s="3436"/>
      <c r="W297" s="3436"/>
      <c r="X297" s="3436"/>
      <c r="Y297" s="3436"/>
      <c r="Z297" s="3436"/>
      <c r="AA297" s="3436"/>
      <c r="AB297" s="3436"/>
      <c r="AC297" s="3436"/>
      <c r="AD297" s="3436"/>
      <c r="AE297" s="3650"/>
    </row>
    <row r="298" spans="16:31" customFormat="1">
      <c r="P298" s="3436"/>
      <c r="Q298" s="3436"/>
      <c r="R298" s="3436"/>
      <c r="S298" s="3436"/>
      <c r="T298" s="3436"/>
      <c r="U298" s="3436"/>
      <c r="V298" s="3436"/>
      <c r="W298" s="3436"/>
      <c r="X298" s="3436"/>
      <c r="Y298" s="3436"/>
      <c r="Z298" s="3436"/>
      <c r="AA298" s="3436"/>
      <c r="AB298" s="3436"/>
      <c r="AC298" s="3436"/>
      <c r="AD298" s="3436"/>
      <c r="AE298" s="3650"/>
    </row>
    <row r="299" spans="16:31" customFormat="1">
      <c r="P299" s="3436"/>
      <c r="Q299" s="3436"/>
      <c r="R299" s="3436"/>
      <c r="S299" s="3436"/>
      <c r="T299" s="3436"/>
      <c r="U299" s="3436"/>
      <c r="V299" s="3436"/>
      <c r="W299" s="3436"/>
      <c r="X299" s="3436"/>
      <c r="Y299" s="3436"/>
      <c r="Z299" s="3436"/>
      <c r="AA299" s="3436"/>
      <c r="AB299" s="3436"/>
      <c r="AC299" s="3436"/>
      <c r="AD299" s="3436"/>
      <c r="AE299" s="3650"/>
    </row>
    <row r="300" spans="16:31" customFormat="1">
      <c r="P300" s="3436"/>
      <c r="Q300" s="3436"/>
      <c r="R300" s="3436"/>
      <c r="S300" s="3436"/>
      <c r="T300" s="3436"/>
      <c r="U300" s="3436"/>
      <c r="V300" s="3436"/>
      <c r="W300" s="3436"/>
      <c r="X300" s="3436"/>
      <c r="Y300" s="3436"/>
      <c r="Z300" s="3436"/>
      <c r="AA300" s="3436"/>
      <c r="AB300" s="3436"/>
      <c r="AC300" s="3436"/>
      <c r="AD300" s="3436"/>
      <c r="AE300" s="3650"/>
    </row>
    <row r="301" spans="16:31" customFormat="1">
      <c r="P301" s="3436"/>
      <c r="Q301" s="3436"/>
      <c r="R301" s="3436"/>
      <c r="S301" s="3436"/>
      <c r="T301" s="3436"/>
      <c r="U301" s="3436"/>
      <c r="V301" s="3436"/>
      <c r="W301" s="3436"/>
      <c r="X301" s="3436"/>
      <c r="Y301" s="3436"/>
      <c r="Z301" s="3436"/>
      <c r="AA301" s="3436"/>
      <c r="AB301" s="3436"/>
      <c r="AC301" s="3436"/>
      <c r="AD301" s="3436"/>
      <c r="AE301" s="3650"/>
    </row>
    <row r="302" spans="16:31" customFormat="1">
      <c r="P302" s="3436"/>
      <c r="Q302" s="3436"/>
      <c r="R302" s="3436"/>
      <c r="S302" s="3436"/>
      <c r="T302" s="3436"/>
      <c r="U302" s="3436"/>
      <c r="V302" s="3436"/>
      <c r="W302" s="3436"/>
      <c r="X302" s="3436"/>
      <c r="Y302" s="3436"/>
      <c r="Z302" s="3436"/>
      <c r="AA302" s="3436"/>
      <c r="AB302" s="3436"/>
      <c r="AC302" s="3436"/>
      <c r="AD302" s="3436"/>
      <c r="AE302" s="3650"/>
    </row>
    <row r="303" spans="16:31" customFormat="1">
      <c r="P303" s="3436"/>
      <c r="Q303" s="3436"/>
      <c r="R303" s="3436"/>
      <c r="S303" s="3436"/>
      <c r="T303" s="3436"/>
      <c r="U303" s="3436"/>
      <c r="V303" s="3436"/>
      <c r="W303" s="3436"/>
      <c r="X303" s="3436"/>
      <c r="Y303" s="3436"/>
      <c r="Z303" s="3436"/>
      <c r="AA303" s="3436"/>
      <c r="AB303" s="3436"/>
      <c r="AC303" s="3436"/>
      <c r="AD303" s="3436"/>
      <c r="AE303" s="3650"/>
    </row>
    <row r="304" spans="16:31" customFormat="1">
      <c r="P304" s="3436"/>
      <c r="Q304" s="3436"/>
      <c r="R304" s="3436"/>
      <c r="S304" s="3436"/>
      <c r="T304" s="3436"/>
      <c r="U304" s="3436"/>
      <c r="V304" s="3436"/>
      <c r="W304" s="3436"/>
      <c r="X304" s="3436"/>
      <c r="Y304" s="3436"/>
      <c r="Z304" s="3436"/>
      <c r="AA304" s="3436"/>
      <c r="AB304" s="3436"/>
      <c r="AC304" s="3436"/>
      <c r="AD304" s="3436"/>
      <c r="AE304" s="3650"/>
    </row>
    <row r="305" spans="16:31" customFormat="1">
      <c r="P305" s="3436"/>
      <c r="Q305" s="3436"/>
      <c r="R305" s="3436"/>
      <c r="S305" s="3436"/>
      <c r="T305" s="3436"/>
      <c r="U305" s="3436"/>
      <c r="V305" s="3436"/>
      <c r="W305" s="3436"/>
      <c r="X305" s="3436"/>
      <c r="Y305" s="3436"/>
      <c r="Z305" s="3436"/>
      <c r="AA305" s="3436"/>
      <c r="AB305" s="3436"/>
      <c r="AC305" s="3436"/>
      <c r="AD305" s="3436"/>
      <c r="AE305" s="3650"/>
    </row>
    <row r="306" spans="16:31" customFormat="1">
      <c r="P306" s="3436"/>
      <c r="Q306" s="3436"/>
      <c r="R306" s="3436"/>
      <c r="S306" s="3436"/>
      <c r="T306" s="3436"/>
      <c r="U306" s="3436"/>
      <c r="V306" s="3436"/>
      <c r="W306" s="3436"/>
      <c r="X306" s="3436"/>
      <c r="Y306" s="3436"/>
      <c r="Z306" s="3436"/>
      <c r="AA306" s="3436"/>
      <c r="AB306" s="3436"/>
      <c r="AC306" s="3436"/>
      <c r="AD306" s="3436"/>
      <c r="AE306" s="3650"/>
    </row>
    <row r="307" spans="16:31" customFormat="1">
      <c r="P307" s="3436"/>
      <c r="Q307" s="3436"/>
      <c r="R307" s="3436"/>
      <c r="S307" s="3436"/>
      <c r="T307" s="3436"/>
      <c r="U307" s="3436"/>
      <c r="V307" s="3436"/>
      <c r="W307" s="3436"/>
      <c r="X307" s="3436"/>
      <c r="Y307" s="3436"/>
      <c r="Z307" s="3436"/>
      <c r="AA307" s="3436"/>
      <c r="AB307" s="3436"/>
      <c r="AC307" s="3436"/>
      <c r="AD307" s="3436"/>
      <c r="AE307" s="3650"/>
    </row>
    <row r="308" spans="16:31" customFormat="1">
      <c r="P308" s="3436"/>
      <c r="Q308" s="3436"/>
      <c r="R308" s="3436"/>
      <c r="S308" s="3436"/>
      <c r="T308" s="3436"/>
      <c r="U308" s="3436"/>
      <c r="V308" s="3436"/>
      <c r="W308" s="3436"/>
      <c r="X308" s="3436"/>
      <c r="Y308" s="3436"/>
      <c r="Z308" s="3436"/>
      <c r="AA308" s="3436"/>
      <c r="AB308" s="3436"/>
      <c r="AC308" s="3436"/>
      <c r="AD308" s="3436"/>
      <c r="AE308" s="3650"/>
    </row>
    <row r="309" spans="16:31" customFormat="1">
      <c r="P309" s="3436"/>
      <c r="Q309" s="3436"/>
      <c r="R309" s="3436"/>
      <c r="S309" s="3436"/>
      <c r="T309" s="3436"/>
      <c r="U309" s="3436"/>
      <c r="V309" s="3436"/>
      <c r="W309" s="3436"/>
      <c r="X309" s="3436"/>
      <c r="Y309" s="3436"/>
      <c r="Z309" s="3436"/>
      <c r="AA309" s="3436"/>
      <c r="AB309" s="3436"/>
      <c r="AC309" s="3436"/>
      <c r="AD309" s="3436"/>
      <c r="AE309" s="3650"/>
    </row>
    <row r="310" spans="16:31" customFormat="1">
      <c r="P310" s="3436"/>
      <c r="Q310" s="3436"/>
      <c r="R310" s="3436"/>
      <c r="S310" s="3436"/>
      <c r="T310" s="3436"/>
      <c r="U310" s="3436"/>
      <c r="V310" s="3436"/>
      <c r="W310" s="3436"/>
      <c r="X310" s="3436"/>
      <c r="Y310" s="3436"/>
      <c r="Z310" s="3436"/>
      <c r="AA310" s="3436"/>
      <c r="AB310" s="3436"/>
      <c r="AC310" s="3436"/>
      <c r="AD310" s="3436"/>
      <c r="AE310" s="3650"/>
    </row>
    <row r="311" spans="16:31" customFormat="1">
      <c r="P311" s="3436"/>
      <c r="Q311" s="3436"/>
      <c r="R311" s="3436"/>
      <c r="S311" s="3436"/>
      <c r="T311" s="3436"/>
      <c r="U311" s="3436"/>
      <c r="V311" s="3436"/>
      <c r="W311" s="3436"/>
      <c r="X311" s="3436"/>
      <c r="Y311" s="3436"/>
      <c r="Z311" s="3436"/>
      <c r="AA311" s="3436"/>
      <c r="AB311" s="3436"/>
      <c r="AC311" s="3436"/>
      <c r="AD311" s="3436"/>
      <c r="AE311" s="3650"/>
    </row>
    <row r="312" spans="16:31" customFormat="1">
      <c r="P312" s="3436"/>
      <c r="Q312" s="3436"/>
      <c r="R312" s="3436"/>
      <c r="S312" s="3436"/>
      <c r="T312" s="3436"/>
      <c r="U312" s="3436"/>
      <c r="V312" s="3436"/>
      <c r="W312" s="3436"/>
      <c r="X312" s="3436"/>
      <c r="Y312" s="3436"/>
      <c r="Z312" s="3436"/>
      <c r="AA312" s="3436"/>
      <c r="AB312" s="3436"/>
      <c r="AC312" s="3436"/>
      <c r="AD312" s="3436"/>
      <c r="AE312" s="3650"/>
    </row>
    <row r="313" spans="16:31" customFormat="1">
      <c r="P313" s="3436"/>
      <c r="Q313" s="3436"/>
      <c r="R313" s="3436"/>
      <c r="S313" s="3436"/>
      <c r="T313" s="3436"/>
      <c r="U313" s="3436"/>
      <c r="V313" s="3436"/>
      <c r="W313" s="3436"/>
      <c r="X313" s="3436"/>
      <c r="Y313" s="3436"/>
      <c r="Z313" s="3436"/>
      <c r="AA313" s="3436"/>
      <c r="AB313" s="3436"/>
      <c r="AC313" s="3436"/>
      <c r="AD313" s="3436"/>
      <c r="AE313" s="3650"/>
    </row>
    <row r="314" spans="16:31" customFormat="1">
      <c r="P314" s="3436"/>
      <c r="Q314" s="3436"/>
      <c r="R314" s="3436"/>
      <c r="S314" s="3436"/>
      <c r="T314" s="3436"/>
      <c r="U314" s="3436"/>
      <c r="V314" s="3436"/>
      <c r="W314" s="3436"/>
      <c r="X314" s="3436"/>
      <c r="Y314" s="3436"/>
      <c r="Z314" s="3436"/>
      <c r="AA314" s="3436"/>
      <c r="AB314" s="3436"/>
      <c r="AC314" s="3436"/>
      <c r="AD314" s="3436"/>
      <c r="AE314" s="3650"/>
    </row>
    <row r="315" spans="16:31" customFormat="1">
      <c r="P315" s="3436"/>
      <c r="Q315" s="3436"/>
      <c r="R315" s="3436"/>
      <c r="S315" s="3436"/>
      <c r="T315" s="3436"/>
      <c r="U315" s="3436"/>
      <c r="V315" s="3436"/>
      <c r="W315" s="3436"/>
      <c r="X315" s="3436"/>
      <c r="Y315" s="3436"/>
      <c r="Z315" s="3436"/>
      <c r="AA315" s="3436"/>
      <c r="AB315" s="3436"/>
      <c r="AC315" s="3436"/>
      <c r="AD315" s="3436"/>
      <c r="AE315" s="3650"/>
    </row>
    <row r="316" spans="16:31" customFormat="1">
      <c r="P316" s="3436"/>
      <c r="Q316" s="3436"/>
      <c r="R316" s="3436"/>
      <c r="S316" s="3436"/>
      <c r="T316" s="3436"/>
      <c r="U316" s="3436"/>
      <c r="V316" s="3436"/>
      <c r="W316" s="3436"/>
      <c r="X316" s="3436"/>
      <c r="Y316" s="3436"/>
      <c r="Z316" s="3436"/>
      <c r="AA316" s="3436"/>
      <c r="AB316" s="3436"/>
      <c r="AC316" s="3436"/>
      <c r="AD316" s="3436"/>
      <c r="AE316" s="3650"/>
    </row>
    <row r="317" spans="16:31" customFormat="1">
      <c r="P317" s="3436"/>
      <c r="Q317" s="3436"/>
      <c r="R317" s="3436"/>
      <c r="S317" s="3436"/>
      <c r="T317" s="3436"/>
      <c r="U317" s="3436"/>
      <c r="V317" s="3436"/>
      <c r="W317" s="3436"/>
      <c r="X317" s="3436"/>
      <c r="Y317" s="3436"/>
      <c r="Z317" s="3436"/>
      <c r="AA317" s="3436"/>
      <c r="AB317" s="3436"/>
      <c r="AC317" s="3436"/>
      <c r="AD317" s="3436"/>
      <c r="AE317" s="3650"/>
    </row>
    <row r="318" spans="16:31" customFormat="1">
      <c r="P318" s="3436"/>
      <c r="Q318" s="3436"/>
      <c r="R318" s="3436"/>
      <c r="S318" s="3436"/>
      <c r="T318" s="3436"/>
      <c r="U318" s="3436"/>
      <c r="V318" s="3436"/>
      <c r="W318" s="3436"/>
      <c r="X318" s="3436"/>
      <c r="Y318" s="3436"/>
      <c r="Z318" s="3436"/>
      <c r="AA318" s="3436"/>
      <c r="AB318" s="3436"/>
      <c r="AC318" s="3436"/>
      <c r="AD318" s="3436"/>
      <c r="AE318" s="3650"/>
    </row>
    <row r="319" spans="16:31" customFormat="1">
      <c r="P319" s="3436"/>
      <c r="Q319" s="3436"/>
      <c r="R319" s="3436"/>
      <c r="S319" s="3436"/>
      <c r="T319" s="3436"/>
      <c r="U319" s="3436"/>
      <c r="V319" s="3436"/>
      <c r="W319" s="3436"/>
      <c r="X319" s="3436"/>
      <c r="Y319" s="3436"/>
      <c r="Z319" s="3436"/>
      <c r="AA319" s="3436"/>
      <c r="AB319" s="3436"/>
      <c r="AC319" s="3436"/>
      <c r="AD319" s="3436"/>
      <c r="AE319" s="3650"/>
    </row>
    <row r="320" spans="16:31" customFormat="1">
      <c r="P320" s="3436"/>
      <c r="Q320" s="3436"/>
      <c r="R320" s="3436"/>
      <c r="S320" s="3436"/>
      <c r="T320" s="3436"/>
      <c r="U320" s="3436"/>
      <c r="V320" s="3436"/>
      <c r="W320" s="3436"/>
      <c r="X320" s="3436"/>
      <c r="Y320" s="3436"/>
      <c r="Z320" s="3436"/>
      <c r="AA320" s="3436"/>
      <c r="AB320" s="3436"/>
      <c r="AC320" s="3436"/>
      <c r="AD320" s="3436"/>
      <c r="AE320" s="3650"/>
    </row>
    <row r="321" spans="16:31" customFormat="1">
      <c r="P321" s="3436"/>
      <c r="Q321" s="3436"/>
      <c r="R321" s="3436"/>
      <c r="S321" s="3436"/>
      <c r="T321" s="3436"/>
      <c r="U321" s="3436"/>
      <c r="V321" s="3436"/>
      <c r="W321" s="3436"/>
      <c r="X321" s="3436"/>
      <c r="Y321" s="3436"/>
      <c r="Z321" s="3436"/>
      <c r="AA321" s="3436"/>
      <c r="AB321" s="3436"/>
      <c r="AC321" s="3436"/>
      <c r="AD321" s="3436"/>
      <c r="AE321" s="3650"/>
    </row>
    <row r="322" spans="16:31" customFormat="1">
      <c r="P322" s="3436"/>
      <c r="Q322" s="3436"/>
      <c r="R322" s="3436"/>
      <c r="S322" s="3436"/>
      <c r="T322" s="3436"/>
      <c r="U322" s="3436"/>
      <c r="V322" s="3436"/>
      <c r="W322" s="3436"/>
      <c r="X322" s="3436"/>
      <c r="Y322" s="3436"/>
      <c r="Z322" s="3436"/>
      <c r="AA322" s="3436"/>
      <c r="AB322" s="3436"/>
      <c r="AC322" s="3436"/>
      <c r="AD322" s="3436"/>
      <c r="AE322" s="3650"/>
    </row>
    <row r="323" spans="16:31" customFormat="1">
      <c r="P323" s="3436"/>
      <c r="Q323" s="3436"/>
      <c r="R323" s="3436"/>
      <c r="S323" s="3436"/>
      <c r="T323" s="3436"/>
      <c r="U323" s="3436"/>
      <c r="V323" s="3436"/>
      <c r="W323" s="3436"/>
      <c r="X323" s="3436"/>
      <c r="Y323" s="3436"/>
      <c r="Z323" s="3436"/>
      <c r="AA323" s="3436"/>
      <c r="AB323" s="3436"/>
      <c r="AC323" s="3436"/>
      <c r="AD323" s="3436"/>
      <c r="AE323" s="3650"/>
    </row>
    <row r="324" spans="16:31" customFormat="1">
      <c r="P324" s="3436"/>
      <c r="Q324" s="3436"/>
      <c r="R324" s="3436"/>
      <c r="S324" s="3436"/>
      <c r="T324" s="3436"/>
      <c r="U324" s="3436"/>
      <c r="V324" s="3436"/>
      <c r="W324" s="3436"/>
      <c r="X324" s="3436"/>
      <c r="Y324" s="3436"/>
      <c r="Z324" s="3436"/>
      <c r="AA324" s="3436"/>
      <c r="AB324" s="3436"/>
      <c r="AC324" s="3436"/>
      <c r="AD324" s="3436"/>
      <c r="AE324" s="3650"/>
    </row>
    <row r="325" spans="16:31" customFormat="1">
      <c r="P325" s="3436"/>
      <c r="Q325" s="3436"/>
      <c r="R325" s="3436"/>
      <c r="S325" s="3436"/>
      <c r="T325" s="3436"/>
      <c r="U325" s="3436"/>
      <c r="V325" s="3436"/>
      <c r="W325" s="3436"/>
      <c r="X325" s="3436"/>
      <c r="Y325" s="3436"/>
      <c r="Z325" s="3436"/>
      <c r="AA325" s="3436"/>
      <c r="AB325" s="3436"/>
      <c r="AC325" s="3436"/>
      <c r="AD325" s="3436"/>
      <c r="AE325" s="3650"/>
    </row>
    <row r="326" spans="16:31" customFormat="1">
      <c r="P326" s="3436"/>
      <c r="Q326" s="3436"/>
      <c r="R326" s="3436"/>
      <c r="S326" s="3436"/>
      <c r="T326" s="3436"/>
      <c r="U326" s="3436"/>
      <c r="V326" s="3436"/>
      <c r="W326" s="3436"/>
      <c r="X326" s="3436"/>
      <c r="Y326" s="3436"/>
      <c r="Z326" s="3436"/>
      <c r="AA326" s="3436"/>
      <c r="AB326" s="3436"/>
      <c r="AC326" s="3436"/>
      <c r="AD326" s="3436"/>
      <c r="AE326" s="3650"/>
    </row>
    <row r="327" spans="16:31" customFormat="1">
      <c r="P327" s="3436"/>
      <c r="Q327" s="3436"/>
      <c r="R327" s="3436"/>
      <c r="S327" s="3436"/>
      <c r="T327" s="3436"/>
      <c r="U327" s="3436"/>
      <c r="V327" s="3436"/>
      <c r="W327" s="3436"/>
      <c r="X327" s="3436"/>
      <c r="Y327" s="3436"/>
      <c r="Z327" s="3436"/>
      <c r="AA327" s="3436"/>
      <c r="AB327" s="3436"/>
      <c r="AC327" s="3436"/>
      <c r="AD327" s="3436"/>
      <c r="AE327" s="3650"/>
    </row>
    <row r="328" spans="16:31" customFormat="1">
      <c r="P328" s="3436"/>
      <c r="Q328" s="3436"/>
      <c r="R328" s="3436"/>
      <c r="S328" s="3436"/>
      <c r="T328" s="3436"/>
      <c r="U328" s="3436"/>
      <c r="V328" s="3436"/>
      <c r="W328" s="3436"/>
      <c r="X328" s="3436"/>
      <c r="Y328" s="3436"/>
      <c r="Z328" s="3436"/>
      <c r="AA328" s="3436"/>
      <c r="AB328" s="3436"/>
      <c r="AC328" s="3436"/>
      <c r="AD328" s="3436"/>
      <c r="AE328" s="3650"/>
    </row>
    <row r="329" spans="16:31" customFormat="1">
      <c r="P329" s="3436"/>
      <c r="Q329" s="3436"/>
      <c r="R329" s="3436"/>
      <c r="S329" s="3436"/>
      <c r="T329" s="3436"/>
      <c r="U329" s="3436"/>
      <c r="V329" s="3436"/>
      <c r="W329" s="3436"/>
      <c r="X329" s="3436"/>
      <c r="Y329" s="3436"/>
      <c r="Z329" s="3436"/>
      <c r="AA329" s="3436"/>
      <c r="AB329" s="3436"/>
      <c r="AC329" s="3436"/>
      <c r="AD329" s="3436"/>
      <c r="AE329" s="3650"/>
    </row>
    <row r="330" spans="16:31" customFormat="1">
      <c r="P330" s="3436"/>
      <c r="Q330" s="3436"/>
      <c r="R330" s="3436"/>
      <c r="S330" s="3436"/>
      <c r="T330" s="3436"/>
      <c r="U330" s="3436"/>
      <c r="V330" s="3436"/>
      <c r="W330" s="3436"/>
      <c r="X330" s="3436"/>
      <c r="Y330" s="3436"/>
      <c r="Z330" s="3436"/>
      <c r="AA330" s="3436"/>
      <c r="AB330" s="3436"/>
      <c r="AC330" s="3436"/>
      <c r="AD330" s="3436"/>
      <c r="AE330" s="3650"/>
    </row>
    <row r="331" spans="16:31" customFormat="1">
      <c r="P331" s="3436"/>
      <c r="Q331" s="3436"/>
      <c r="R331" s="3436"/>
      <c r="S331" s="3436"/>
      <c r="T331" s="3436"/>
      <c r="U331" s="3436"/>
      <c r="V331" s="3436"/>
      <c r="W331" s="3436"/>
      <c r="X331" s="3436"/>
      <c r="Y331" s="3436"/>
      <c r="Z331" s="3436"/>
      <c r="AA331" s="3436"/>
      <c r="AB331" s="3436"/>
      <c r="AC331" s="3436"/>
      <c r="AD331" s="3436"/>
      <c r="AE331" s="3650"/>
    </row>
    <row r="332" spans="16:31" customFormat="1">
      <c r="P332" s="3436"/>
      <c r="Q332" s="3436"/>
      <c r="R332" s="3436"/>
      <c r="S332" s="3436"/>
      <c r="T332" s="3436"/>
      <c r="U332" s="3436"/>
      <c r="V332" s="3436"/>
      <c r="W332" s="3436"/>
      <c r="X332" s="3436"/>
      <c r="Y332" s="3436"/>
      <c r="Z332" s="3436"/>
      <c r="AA332" s="3436"/>
      <c r="AB332" s="3436"/>
      <c r="AC332" s="3436"/>
      <c r="AD332" s="3436"/>
      <c r="AE332" s="3650"/>
    </row>
    <row r="333" spans="16:31" customFormat="1">
      <c r="P333" s="3436"/>
      <c r="Q333" s="3436"/>
      <c r="R333" s="3436"/>
      <c r="S333" s="3436"/>
      <c r="T333" s="3436"/>
      <c r="U333" s="3436"/>
      <c r="V333" s="3436"/>
      <c r="W333" s="3436"/>
      <c r="X333" s="3436"/>
      <c r="Y333" s="3436"/>
      <c r="Z333" s="3436"/>
      <c r="AA333" s="3436"/>
      <c r="AB333" s="3436"/>
      <c r="AC333" s="3436"/>
      <c r="AD333" s="3436"/>
      <c r="AE333" s="3650"/>
    </row>
    <row r="334" spans="16:31" customFormat="1">
      <c r="P334" s="3436"/>
      <c r="Q334" s="3436"/>
      <c r="R334" s="3436"/>
      <c r="S334" s="3436"/>
      <c r="T334" s="3436"/>
      <c r="U334" s="3436"/>
      <c r="V334" s="3436"/>
      <c r="W334" s="3436"/>
      <c r="X334" s="3436"/>
      <c r="Y334" s="3436"/>
      <c r="Z334" s="3436"/>
      <c r="AA334" s="3436"/>
      <c r="AB334" s="3436"/>
      <c r="AC334" s="3436"/>
      <c r="AD334" s="3436"/>
      <c r="AE334" s="3650"/>
    </row>
    <row r="335" spans="16:31" customFormat="1">
      <c r="P335" s="3436"/>
      <c r="Q335" s="3436"/>
      <c r="R335" s="3436"/>
      <c r="S335" s="3436"/>
      <c r="T335" s="3436"/>
      <c r="U335" s="3436"/>
      <c r="V335" s="3436"/>
      <c r="W335" s="3436"/>
      <c r="X335" s="3436"/>
      <c r="Y335" s="3436"/>
      <c r="Z335" s="3436"/>
      <c r="AA335" s="3436"/>
      <c r="AB335" s="3436"/>
      <c r="AC335" s="3436"/>
      <c r="AD335" s="3436"/>
      <c r="AE335" s="3650"/>
    </row>
    <row r="336" spans="16:31" customFormat="1">
      <c r="P336" s="3436"/>
      <c r="Q336" s="3436"/>
      <c r="R336" s="3436"/>
      <c r="S336" s="3436"/>
      <c r="T336" s="3436"/>
      <c r="U336" s="3436"/>
      <c r="V336" s="3436"/>
      <c r="W336" s="3436"/>
      <c r="X336" s="3436"/>
      <c r="Y336" s="3436"/>
      <c r="Z336" s="3436"/>
      <c r="AA336" s="3436"/>
      <c r="AB336" s="3436"/>
      <c r="AC336" s="3436"/>
      <c r="AD336" s="3436"/>
      <c r="AE336" s="3650"/>
    </row>
    <row r="337" spans="16:31" customFormat="1">
      <c r="P337" s="3436"/>
      <c r="Q337" s="3436"/>
      <c r="R337" s="3436"/>
      <c r="S337" s="3436"/>
      <c r="T337" s="3436"/>
      <c r="U337" s="3436"/>
      <c r="V337" s="3436"/>
      <c r="W337" s="3436"/>
      <c r="X337" s="3436"/>
      <c r="Y337" s="3436"/>
      <c r="Z337" s="3436"/>
      <c r="AA337" s="3436"/>
      <c r="AB337" s="3436"/>
      <c r="AC337" s="3436"/>
      <c r="AD337" s="3436"/>
      <c r="AE337" s="3650"/>
    </row>
    <row r="338" spans="16:31" customFormat="1">
      <c r="P338" s="3436"/>
      <c r="Q338" s="3436"/>
      <c r="R338" s="3436"/>
      <c r="S338" s="3436"/>
      <c r="T338" s="3436"/>
      <c r="U338" s="3436"/>
      <c r="V338" s="3436"/>
      <c r="W338" s="3436"/>
      <c r="X338" s="3436"/>
      <c r="Y338" s="3436"/>
      <c r="Z338" s="3436"/>
      <c r="AA338" s="3436"/>
      <c r="AB338" s="3436"/>
      <c r="AC338" s="3436"/>
      <c r="AD338" s="3436"/>
      <c r="AE338" s="3650"/>
    </row>
    <row r="339" spans="16:31" customFormat="1">
      <c r="P339" s="3436"/>
      <c r="Q339" s="3436"/>
      <c r="R339" s="3436"/>
      <c r="S339" s="3436"/>
      <c r="T339" s="3436"/>
      <c r="U339" s="3436"/>
      <c r="V339" s="3436"/>
      <c r="W339" s="3436"/>
      <c r="X339" s="3436"/>
      <c r="Y339" s="3436"/>
      <c r="Z339" s="3436"/>
      <c r="AA339" s="3436"/>
      <c r="AB339" s="3436"/>
      <c r="AC339" s="3436"/>
      <c r="AD339" s="3436"/>
      <c r="AE339" s="3650"/>
    </row>
    <row r="340" spans="16:31" customFormat="1">
      <c r="P340" s="3436"/>
      <c r="Q340" s="3436"/>
      <c r="R340" s="3436"/>
      <c r="S340" s="3436"/>
      <c r="T340" s="3436"/>
      <c r="U340" s="3436"/>
      <c r="V340" s="3436"/>
      <c r="W340" s="3436"/>
      <c r="X340" s="3436"/>
      <c r="Y340" s="3436"/>
      <c r="Z340" s="3436"/>
      <c r="AA340" s="3436"/>
      <c r="AB340" s="3436"/>
      <c r="AC340" s="3436"/>
      <c r="AD340" s="3436"/>
      <c r="AE340" s="3650"/>
    </row>
    <row r="341" spans="16:31" customFormat="1">
      <c r="P341" s="3436"/>
      <c r="Q341" s="3436"/>
      <c r="R341" s="3436"/>
      <c r="S341" s="3436"/>
      <c r="T341" s="3436"/>
      <c r="U341" s="3436"/>
      <c r="V341" s="3436"/>
      <c r="W341" s="3436"/>
      <c r="X341" s="3436"/>
      <c r="Y341" s="3436"/>
      <c r="Z341" s="3436"/>
      <c r="AA341" s="3436"/>
      <c r="AB341" s="3436"/>
      <c r="AC341" s="3436"/>
      <c r="AD341" s="3436"/>
      <c r="AE341" s="3650"/>
    </row>
    <row r="342" spans="16:31" customFormat="1">
      <c r="P342" s="3436"/>
      <c r="Q342" s="3436"/>
      <c r="R342" s="3436"/>
      <c r="S342" s="3436"/>
      <c r="T342" s="3436"/>
      <c r="U342" s="3436"/>
      <c r="V342" s="3436"/>
      <c r="W342" s="3436"/>
      <c r="X342" s="3436"/>
      <c r="Y342" s="3436"/>
      <c r="Z342" s="3436"/>
      <c r="AA342" s="3436"/>
      <c r="AB342" s="3436"/>
      <c r="AC342" s="3436"/>
      <c r="AD342" s="3436"/>
      <c r="AE342" s="3650"/>
    </row>
    <row r="343" spans="16:31" customFormat="1">
      <c r="P343" s="3436"/>
      <c r="Q343" s="3436"/>
      <c r="R343" s="3436"/>
      <c r="S343" s="3436"/>
      <c r="T343" s="3436"/>
      <c r="U343" s="3436"/>
      <c r="V343" s="3436"/>
      <c r="W343" s="3436"/>
      <c r="X343" s="3436"/>
      <c r="Y343" s="3436"/>
      <c r="Z343" s="3436"/>
      <c r="AA343" s="3436"/>
      <c r="AB343" s="3436"/>
      <c r="AC343" s="3436"/>
      <c r="AD343" s="3436"/>
      <c r="AE343" s="3650"/>
    </row>
    <row r="344" spans="16:31" customFormat="1">
      <c r="P344" s="3436"/>
      <c r="Q344" s="3436"/>
      <c r="R344" s="3436"/>
      <c r="S344" s="3436"/>
      <c r="T344" s="3436"/>
      <c r="U344" s="3436"/>
      <c r="V344" s="3436"/>
      <c r="W344" s="3436"/>
      <c r="X344" s="3436"/>
      <c r="Y344" s="3436"/>
      <c r="Z344" s="3436"/>
      <c r="AA344" s="3436"/>
      <c r="AB344" s="3436"/>
      <c r="AC344" s="3436"/>
      <c r="AD344" s="3436"/>
      <c r="AE344" s="3650"/>
    </row>
    <row r="345" spans="16:31" customFormat="1">
      <c r="P345" s="3436"/>
      <c r="Q345" s="3436"/>
      <c r="R345" s="3436"/>
      <c r="S345" s="3436"/>
      <c r="T345" s="3436"/>
      <c r="U345" s="3436"/>
      <c r="V345" s="3436"/>
      <c r="W345" s="3436"/>
      <c r="X345" s="3436"/>
      <c r="Y345" s="3436"/>
      <c r="Z345" s="3436"/>
      <c r="AA345" s="3436"/>
      <c r="AB345" s="3436"/>
      <c r="AC345" s="3436"/>
      <c r="AD345" s="3436"/>
      <c r="AE345" s="3650"/>
    </row>
    <row r="346" spans="16:31" customFormat="1">
      <c r="P346" s="3436"/>
      <c r="Q346" s="3436"/>
      <c r="R346" s="3436"/>
      <c r="S346" s="3436"/>
      <c r="T346" s="3436"/>
      <c r="U346" s="3436"/>
      <c r="V346" s="3436"/>
      <c r="W346" s="3436"/>
      <c r="X346" s="3436"/>
      <c r="Y346" s="3436"/>
      <c r="Z346" s="3436"/>
      <c r="AA346" s="3436"/>
      <c r="AB346" s="3436"/>
      <c r="AC346" s="3436"/>
      <c r="AD346" s="3436"/>
      <c r="AE346" s="3650"/>
    </row>
    <row r="347" spans="16:31" customFormat="1">
      <c r="P347" s="3436"/>
      <c r="Q347" s="3436"/>
      <c r="R347" s="3436"/>
      <c r="S347" s="3436"/>
      <c r="T347" s="3436"/>
      <c r="U347" s="3436"/>
      <c r="V347" s="3436"/>
      <c r="W347" s="3436"/>
      <c r="X347" s="3436"/>
      <c r="Y347" s="3436"/>
      <c r="Z347" s="3436"/>
      <c r="AA347" s="3436"/>
      <c r="AB347" s="3436"/>
      <c r="AC347" s="3436"/>
      <c r="AD347" s="3436"/>
      <c r="AE347" s="3650"/>
    </row>
    <row r="348" spans="16:31" customFormat="1">
      <c r="P348" s="3436"/>
      <c r="Q348" s="3436"/>
      <c r="R348" s="3436"/>
      <c r="S348" s="3436"/>
      <c r="T348" s="3436"/>
      <c r="U348" s="3436"/>
      <c r="V348" s="3436"/>
      <c r="W348" s="3436"/>
      <c r="X348" s="3436"/>
      <c r="Y348" s="3436"/>
      <c r="Z348" s="3436"/>
      <c r="AA348" s="3436"/>
      <c r="AB348" s="3436"/>
      <c r="AC348" s="3436"/>
      <c r="AD348" s="3436"/>
      <c r="AE348" s="3650"/>
    </row>
    <row r="349" spans="16:31" customFormat="1">
      <c r="P349" s="3436"/>
      <c r="Q349" s="3436"/>
      <c r="R349" s="3436"/>
      <c r="S349" s="3436"/>
      <c r="T349" s="3436"/>
      <c r="U349" s="3436"/>
      <c r="V349" s="3436"/>
      <c r="W349" s="3436"/>
      <c r="X349" s="3436"/>
      <c r="Y349" s="3436"/>
      <c r="Z349" s="3436"/>
      <c r="AA349" s="3436"/>
      <c r="AB349" s="3436"/>
      <c r="AC349" s="3436"/>
      <c r="AD349" s="3436"/>
      <c r="AE349" s="3650"/>
    </row>
    <row r="350" spans="16:31" customFormat="1">
      <c r="P350" s="3436"/>
      <c r="Q350" s="3436"/>
      <c r="R350" s="3436"/>
      <c r="S350" s="3436"/>
      <c r="T350" s="3436"/>
      <c r="U350" s="3436"/>
      <c r="V350" s="3436"/>
      <c r="W350" s="3436"/>
      <c r="X350" s="3436"/>
      <c r="Y350" s="3436"/>
      <c r="Z350" s="3436"/>
      <c r="AA350" s="3436"/>
      <c r="AB350" s="3436"/>
      <c r="AC350" s="3436"/>
      <c r="AD350" s="3436"/>
      <c r="AE350" s="3650"/>
    </row>
    <row r="351" spans="16:31" customFormat="1">
      <c r="P351" s="3436"/>
      <c r="Q351" s="3436"/>
      <c r="R351" s="3436"/>
      <c r="S351" s="3436"/>
      <c r="T351" s="3436"/>
      <c r="U351" s="3436"/>
      <c r="V351" s="3436"/>
      <c r="W351" s="3436"/>
      <c r="X351" s="3436"/>
      <c r="Y351" s="3436"/>
      <c r="Z351" s="3436"/>
      <c r="AA351" s="3436"/>
      <c r="AB351" s="3436"/>
      <c r="AC351" s="3436"/>
      <c r="AD351" s="3436"/>
      <c r="AE351" s="3650"/>
    </row>
    <row r="352" spans="16:31" customFormat="1">
      <c r="P352" s="3436"/>
      <c r="Q352" s="3436"/>
      <c r="R352" s="3436"/>
      <c r="S352" s="3436"/>
      <c r="T352" s="3436"/>
      <c r="U352" s="3436"/>
      <c r="V352" s="3436"/>
      <c r="W352" s="3436"/>
      <c r="X352" s="3436"/>
      <c r="Y352" s="3436"/>
      <c r="Z352" s="3436"/>
      <c r="AA352" s="3436"/>
      <c r="AB352" s="3436"/>
      <c r="AC352" s="3436"/>
      <c r="AD352" s="3436"/>
      <c r="AE352" s="3650"/>
    </row>
    <row r="353" spans="16:31" customFormat="1">
      <c r="P353" s="3436"/>
      <c r="Q353" s="3436"/>
      <c r="R353" s="3436"/>
      <c r="S353" s="3436"/>
      <c r="T353" s="3436"/>
      <c r="U353" s="3436"/>
      <c r="V353" s="3436"/>
      <c r="W353" s="3436"/>
      <c r="X353" s="3436"/>
      <c r="Y353" s="3436"/>
      <c r="Z353" s="3436"/>
      <c r="AA353" s="3436"/>
      <c r="AB353" s="3436"/>
      <c r="AC353" s="3436"/>
      <c r="AD353" s="3436"/>
      <c r="AE353" s="3650"/>
    </row>
    <row r="354" spans="16:31" customFormat="1">
      <c r="P354" s="3436"/>
      <c r="Q354" s="3436"/>
      <c r="R354" s="3436"/>
      <c r="S354" s="3436"/>
      <c r="T354" s="3436"/>
      <c r="U354" s="3436"/>
      <c r="V354" s="3436"/>
      <c r="W354" s="3436"/>
      <c r="X354" s="3436"/>
      <c r="Y354" s="3436"/>
      <c r="Z354" s="3436"/>
      <c r="AA354" s="3436"/>
      <c r="AB354" s="3436"/>
      <c r="AC354" s="3436"/>
      <c r="AD354" s="3436"/>
      <c r="AE354" s="3650"/>
    </row>
    <row r="355" spans="16:31" customFormat="1">
      <c r="P355" s="3436"/>
      <c r="Q355" s="3436"/>
      <c r="R355" s="3436"/>
      <c r="S355" s="3436"/>
      <c r="T355" s="3436"/>
      <c r="U355" s="3436"/>
      <c r="V355" s="3436"/>
      <c r="W355" s="3436"/>
      <c r="X355" s="3436"/>
      <c r="Y355" s="3436"/>
      <c r="Z355" s="3436"/>
      <c r="AA355" s="3436"/>
      <c r="AB355" s="3436"/>
      <c r="AC355" s="3436"/>
      <c r="AD355" s="3436"/>
      <c r="AE355" s="3650"/>
    </row>
    <row r="356" spans="16:31" customFormat="1">
      <c r="P356" s="3436"/>
      <c r="Q356" s="3436"/>
      <c r="R356" s="3436"/>
      <c r="S356" s="3436"/>
      <c r="T356" s="3436"/>
      <c r="U356" s="3436"/>
      <c r="V356" s="3436"/>
      <c r="W356" s="3436"/>
      <c r="X356" s="3436"/>
      <c r="Y356" s="3436"/>
      <c r="Z356" s="3436"/>
      <c r="AA356" s="3436"/>
      <c r="AB356" s="3436"/>
      <c r="AC356" s="3436"/>
      <c r="AD356" s="3436"/>
      <c r="AE356" s="3650"/>
    </row>
    <row r="357" spans="16:31" customFormat="1">
      <c r="P357" s="3436"/>
      <c r="Q357" s="3436"/>
      <c r="R357" s="3436"/>
      <c r="S357" s="3436"/>
      <c r="T357" s="3436"/>
      <c r="U357" s="3436"/>
      <c r="V357" s="3436"/>
      <c r="W357" s="3436"/>
      <c r="X357" s="3436"/>
      <c r="Y357" s="3436"/>
      <c r="Z357" s="3436"/>
      <c r="AA357" s="3436"/>
      <c r="AB357" s="3436"/>
      <c r="AC357" s="3436"/>
      <c r="AD357" s="3436"/>
      <c r="AE357" s="3650"/>
    </row>
    <row r="358" spans="16:31" customFormat="1">
      <c r="P358" s="3436"/>
      <c r="Q358" s="3436"/>
      <c r="R358" s="3436"/>
      <c r="S358" s="3436"/>
      <c r="T358" s="3436"/>
      <c r="U358" s="3436"/>
      <c r="V358" s="3436"/>
      <c r="W358" s="3436"/>
      <c r="X358" s="3436"/>
      <c r="Y358" s="3436"/>
      <c r="Z358" s="3436"/>
      <c r="AA358" s="3436"/>
      <c r="AB358" s="3436"/>
      <c r="AC358" s="3436"/>
      <c r="AD358" s="3436"/>
      <c r="AE358" s="3650"/>
    </row>
    <row r="359" spans="16:31" customFormat="1">
      <c r="P359" s="3436"/>
      <c r="Q359" s="3436"/>
      <c r="R359" s="3436"/>
      <c r="S359" s="3436"/>
      <c r="T359" s="3436"/>
      <c r="U359" s="3436"/>
      <c r="V359" s="3436"/>
      <c r="W359" s="3436"/>
      <c r="X359" s="3436"/>
      <c r="Y359" s="3436"/>
      <c r="Z359" s="3436"/>
      <c r="AA359" s="3436"/>
      <c r="AB359" s="3436"/>
      <c r="AC359" s="3436"/>
      <c r="AD359" s="3436"/>
      <c r="AE359" s="3650"/>
    </row>
    <row r="360" spans="16:31" customFormat="1">
      <c r="P360" s="3436"/>
      <c r="Q360" s="3436"/>
      <c r="R360" s="3436"/>
      <c r="S360" s="3436"/>
      <c r="T360" s="3436"/>
      <c r="U360" s="3436"/>
      <c r="V360" s="3436"/>
      <c r="W360" s="3436"/>
      <c r="X360" s="3436"/>
      <c r="Y360" s="3436"/>
      <c r="Z360" s="3436"/>
      <c r="AA360" s="3436"/>
      <c r="AB360" s="3436"/>
      <c r="AC360" s="3436"/>
      <c r="AD360" s="3436"/>
      <c r="AE360" s="3650"/>
    </row>
    <row r="361" spans="16:31" customFormat="1">
      <c r="P361" s="3436"/>
      <c r="Q361" s="3436"/>
      <c r="R361" s="3436"/>
      <c r="S361" s="3436"/>
      <c r="T361" s="3436"/>
      <c r="U361" s="3436"/>
      <c r="V361" s="3436"/>
      <c r="W361" s="3436"/>
      <c r="X361" s="3436"/>
      <c r="Y361" s="3436"/>
      <c r="Z361" s="3436"/>
      <c r="AA361" s="3436"/>
      <c r="AB361" s="3436"/>
      <c r="AC361" s="3436"/>
      <c r="AD361" s="3436"/>
      <c r="AE361" s="3650"/>
    </row>
    <row r="362" spans="16:31" customFormat="1">
      <c r="P362" s="3436"/>
      <c r="Q362" s="3436"/>
      <c r="R362" s="3436"/>
      <c r="S362" s="3436"/>
      <c r="T362" s="3436"/>
      <c r="U362" s="3436"/>
      <c r="V362" s="3436"/>
      <c r="W362" s="3436"/>
      <c r="X362" s="3436"/>
      <c r="Y362" s="3436"/>
      <c r="Z362" s="3436"/>
      <c r="AA362" s="3436"/>
      <c r="AB362" s="3436"/>
      <c r="AC362" s="3436"/>
      <c r="AD362" s="3436"/>
      <c r="AE362" s="3650"/>
    </row>
    <row r="363" spans="16:31" customFormat="1">
      <c r="P363" s="3436"/>
      <c r="Q363" s="3436"/>
      <c r="R363" s="3436"/>
      <c r="S363" s="3436"/>
      <c r="T363" s="3436"/>
      <c r="U363" s="3436"/>
      <c r="V363" s="3436"/>
      <c r="W363" s="3436"/>
      <c r="X363" s="3436"/>
      <c r="Y363" s="3436"/>
      <c r="Z363" s="3436"/>
      <c r="AA363" s="3436"/>
      <c r="AB363" s="3436"/>
      <c r="AC363" s="3436"/>
      <c r="AD363" s="3436"/>
      <c r="AE363" s="3650"/>
    </row>
    <row r="364" spans="16:31" customFormat="1">
      <c r="P364" s="3436"/>
      <c r="Q364" s="3436"/>
      <c r="R364" s="3436"/>
      <c r="S364" s="3436"/>
      <c r="T364" s="3436"/>
      <c r="U364" s="3436"/>
      <c r="V364" s="3436"/>
      <c r="W364" s="3436"/>
      <c r="X364" s="3436"/>
      <c r="Y364" s="3436"/>
      <c r="Z364" s="3436"/>
      <c r="AA364" s="3436"/>
      <c r="AB364" s="3436"/>
      <c r="AC364" s="3436"/>
      <c r="AD364" s="3436"/>
      <c r="AE364" s="3650"/>
    </row>
    <row r="365" spans="16:31" customFormat="1">
      <c r="P365" s="3436"/>
      <c r="Q365" s="3436"/>
      <c r="R365" s="3436"/>
      <c r="S365" s="3436"/>
      <c r="T365" s="3436"/>
      <c r="U365" s="3436"/>
      <c r="V365" s="3436"/>
      <c r="W365" s="3436"/>
      <c r="X365" s="3436"/>
      <c r="Y365" s="3436"/>
      <c r="Z365" s="3436"/>
      <c r="AA365" s="3436"/>
      <c r="AB365" s="3436"/>
      <c r="AC365" s="3436"/>
      <c r="AD365" s="3436"/>
      <c r="AE365" s="3650"/>
    </row>
    <row r="366" spans="16:31" customFormat="1">
      <c r="P366" s="3436"/>
      <c r="Q366" s="3436"/>
      <c r="R366" s="3436"/>
      <c r="S366" s="3436"/>
      <c r="T366" s="3436"/>
      <c r="U366" s="3436"/>
      <c r="V366" s="3436"/>
      <c r="W366" s="3436"/>
      <c r="X366" s="3436"/>
      <c r="Y366" s="3436"/>
      <c r="Z366" s="3436"/>
      <c r="AA366" s="3436"/>
      <c r="AB366" s="3436"/>
      <c r="AC366" s="3436"/>
      <c r="AD366" s="3436"/>
      <c r="AE366" s="3650"/>
    </row>
    <row r="367" spans="16:31" customFormat="1">
      <c r="P367" s="3436"/>
      <c r="Q367" s="3436"/>
      <c r="R367" s="3436"/>
      <c r="S367" s="3436"/>
      <c r="T367" s="3436"/>
      <c r="U367" s="3436"/>
      <c r="V367" s="3436"/>
      <c r="W367" s="3436"/>
      <c r="X367" s="3436"/>
      <c r="Y367" s="3436"/>
      <c r="Z367" s="3436"/>
      <c r="AA367" s="3436"/>
      <c r="AB367" s="3436"/>
      <c r="AC367" s="3436"/>
      <c r="AD367" s="3436"/>
      <c r="AE367" s="3650"/>
    </row>
    <row r="368" spans="16:31" customFormat="1">
      <c r="P368" s="3436"/>
      <c r="Q368" s="3436"/>
      <c r="R368" s="3436"/>
      <c r="S368" s="3436"/>
      <c r="T368" s="3436"/>
      <c r="U368" s="3436"/>
      <c r="V368" s="3436"/>
      <c r="W368" s="3436"/>
      <c r="X368" s="3436"/>
      <c r="Y368" s="3436"/>
      <c r="Z368" s="3436"/>
      <c r="AA368" s="3436"/>
      <c r="AB368" s="3436"/>
      <c r="AC368" s="3436"/>
      <c r="AD368" s="3436"/>
      <c r="AE368" s="3650"/>
    </row>
    <row r="369" spans="16:31" customFormat="1">
      <c r="P369" s="3436"/>
      <c r="Q369" s="3436"/>
      <c r="R369" s="3436"/>
      <c r="S369" s="3436"/>
      <c r="T369" s="3436"/>
      <c r="U369" s="3436"/>
      <c r="V369" s="3436"/>
      <c r="W369" s="3436"/>
      <c r="X369" s="3436"/>
      <c r="Y369" s="3436"/>
      <c r="Z369" s="3436"/>
      <c r="AA369" s="3436"/>
      <c r="AB369" s="3436"/>
      <c r="AC369" s="3436"/>
      <c r="AD369" s="3436"/>
      <c r="AE369" s="3650"/>
    </row>
    <row r="370" spans="16:31" customFormat="1">
      <c r="P370" s="3436"/>
      <c r="Q370" s="3436"/>
      <c r="R370" s="3436"/>
      <c r="S370" s="3436"/>
      <c r="T370" s="3436"/>
      <c r="U370" s="3436"/>
      <c r="V370" s="3436"/>
      <c r="W370" s="3436"/>
      <c r="X370" s="3436"/>
      <c r="Y370" s="3436"/>
      <c r="Z370" s="3436"/>
      <c r="AA370" s="3436"/>
      <c r="AB370" s="3436"/>
      <c r="AC370" s="3436"/>
      <c r="AD370" s="3436"/>
      <c r="AE370" s="3650"/>
    </row>
    <row r="371" spans="16:31" customFormat="1">
      <c r="P371" s="3436"/>
      <c r="Q371" s="3436"/>
      <c r="R371" s="3436"/>
      <c r="S371" s="3436"/>
      <c r="T371" s="3436"/>
      <c r="U371" s="3436"/>
      <c r="V371" s="3436"/>
      <c r="W371" s="3436"/>
      <c r="X371" s="3436"/>
      <c r="Y371" s="3436"/>
      <c r="Z371" s="3436"/>
      <c r="AA371" s="3436"/>
      <c r="AB371" s="3436"/>
      <c r="AC371" s="3436"/>
      <c r="AD371" s="3436"/>
      <c r="AE371" s="3650"/>
    </row>
    <row r="372" spans="16:31" customFormat="1">
      <c r="P372" s="3436"/>
      <c r="Q372" s="3436"/>
      <c r="R372" s="3436"/>
      <c r="S372" s="3436"/>
      <c r="T372" s="3436"/>
      <c r="U372" s="3436"/>
      <c r="V372" s="3436"/>
      <c r="W372" s="3436"/>
      <c r="X372" s="3436"/>
      <c r="Y372" s="3436"/>
      <c r="Z372" s="3436"/>
      <c r="AA372" s="3436"/>
      <c r="AB372" s="3436"/>
      <c r="AC372" s="3436"/>
      <c r="AD372" s="3436"/>
      <c r="AE372" s="3650"/>
    </row>
    <row r="373" spans="16:31" customFormat="1">
      <c r="P373" s="3436"/>
      <c r="Q373" s="3436"/>
      <c r="R373" s="3436"/>
      <c r="S373" s="3436"/>
      <c r="T373" s="3436"/>
      <c r="U373" s="3436"/>
      <c r="V373" s="3436"/>
      <c r="W373" s="3436"/>
      <c r="X373" s="3436"/>
      <c r="Y373" s="3436"/>
      <c r="Z373" s="3436"/>
      <c r="AA373" s="3436"/>
      <c r="AB373" s="3436"/>
      <c r="AC373" s="3436"/>
      <c r="AD373" s="3436"/>
      <c r="AE373" s="3650"/>
    </row>
    <row r="374" spans="16:31" customFormat="1">
      <c r="P374" s="3436"/>
      <c r="Q374" s="3436"/>
      <c r="R374" s="3436"/>
      <c r="S374" s="3436"/>
      <c r="T374" s="3436"/>
      <c r="U374" s="3436"/>
      <c r="V374" s="3436"/>
      <c r="W374" s="3436"/>
      <c r="X374" s="3436"/>
      <c r="Y374" s="3436"/>
      <c r="Z374" s="3436"/>
      <c r="AA374" s="3436"/>
      <c r="AB374" s="3436"/>
      <c r="AC374" s="3436"/>
      <c r="AD374" s="3436"/>
      <c r="AE374" s="3650"/>
    </row>
    <row r="375" spans="16:31" customFormat="1">
      <c r="P375" s="3436"/>
      <c r="Q375" s="3436"/>
      <c r="R375" s="3436"/>
      <c r="S375" s="3436"/>
      <c r="T375" s="3436"/>
      <c r="U375" s="3436"/>
      <c r="V375" s="3436"/>
      <c r="W375" s="3436"/>
      <c r="X375" s="3436"/>
      <c r="Y375" s="3436"/>
      <c r="Z375" s="3436"/>
      <c r="AA375" s="3436"/>
      <c r="AB375" s="3436"/>
      <c r="AC375" s="3436"/>
      <c r="AD375" s="3436"/>
      <c r="AE375" s="3650"/>
    </row>
    <row r="376" spans="16:31" customFormat="1">
      <c r="P376" s="3436"/>
      <c r="Q376" s="3436"/>
      <c r="R376" s="3436"/>
      <c r="S376" s="3436"/>
      <c r="T376" s="3436"/>
      <c r="U376" s="3436"/>
      <c r="V376" s="3436"/>
      <c r="W376" s="3436"/>
      <c r="X376" s="3436"/>
      <c r="Y376" s="3436"/>
      <c r="Z376" s="3436"/>
      <c r="AA376" s="3436"/>
      <c r="AB376" s="3436"/>
      <c r="AC376" s="3436"/>
      <c r="AD376" s="3436"/>
      <c r="AE376" s="3650"/>
    </row>
    <row r="377" spans="16:31" customFormat="1">
      <c r="P377" s="3436"/>
      <c r="Q377" s="3436"/>
      <c r="R377" s="3436"/>
      <c r="S377" s="3436"/>
      <c r="T377" s="3436"/>
      <c r="U377" s="3436"/>
      <c r="V377" s="3436"/>
      <c r="W377" s="3436"/>
      <c r="X377" s="3436"/>
      <c r="Y377" s="3436"/>
      <c r="Z377" s="3436"/>
      <c r="AA377" s="3436"/>
      <c r="AB377" s="3436"/>
      <c r="AC377" s="3436"/>
      <c r="AD377" s="3436"/>
      <c r="AE377" s="3650"/>
    </row>
    <row r="378" spans="16:31" customFormat="1">
      <c r="P378" s="3436"/>
      <c r="Q378" s="3436"/>
      <c r="R378" s="3436"/>
      <c r="S378" s="3436"/>
      <c r="T378" s="3436"/>
      <c r="U378" s="3436"/>
      <c r="V378" s="3436"/>
      <c r="W378" s="3436"/>
      <c r="X378" s="3436"/>
      <c r="Y378" s="3436"/>
      <c r="Z378" s="3436"/>
      <c r="AA378" s="3436"/>
      <c r="AB378" s="3436"/>
      <c r="AC378" s="3436"/>
      <c r="AD378" s="3436"/>
      <c r="AE378" s="3650"/>
    </row>
    <row r="379" spans="16:31" customFormat="1">
      <c r="P379" s="3436"/>
      <c r="Q379" s="3436"/>
      <c r="R379" s="3436"/>
      <c r="S379" s="3436"/>
      <c r="T379" s="3436"/>
      <c r="U379" s="3436"/>
      <c r="V379" s="3436"/>
      <c r="W379" s="3436"/>
      <c r="X379" s="3436"/>
      <c r="Y379" s="3436"/>
      <c r="Z379" s="3436"/>
      <c r="AA379" s="3436"/>
      <c r="AB379" s="3436"/>
      <c r="AC379" s="3436"/>
      <c r="AD379" s="3436"/>
      <c r="AE379" s="3650"/>
    </row>
    <row r="380" spans="16:31" customFormat="1">
      <c r="P380" s="3436"/>
      <c r="Q380" s="3436"/>
      <c r="R380" s="3436"/>
      <c r="S380" s="3436"/>
      <c r="T380" s="3436"/>
      <c r="U380" s="3436"/>
      <c r="V380" s="3436"/>
      <c r="W380" s="3436"/>
      <c r="X380" s="3436"/>
      <c r="Y380" s="3436"/>
      <c r="Z380" s="3436"/>
      <c r="AA380" s="3436"/>
      <c r="AB380" s="3436"/>
      <c r="AC380" s="3436"/>
      <c r="AD380" s="3436"/>
      <c r="AE380" s="3650"/>
    </row>
    <row r="381" spans="16:31" customFormat="1">
      <c r="P381" s="3436"/>
      <c r="Q381" s="3436"/>
      <c r="R381" s="3436"/>
      <c r="S381" s="3436"/>
      <c r="T381" s="3436"/>
      <c r="U381" s="3436"/>
      <c r="V381" s="3436"/>
      <c r="W381" s="3436"/>
      <c r="X381" s="3436"/>
      <c r="Y381" s="3436"/>
      <c r="Z381" s="3436"/>
      <c r="AA381" s="3436"/>
      <c r="AB381" s="3436"/>
      <c r="AC381" s="3436"/>
      <c r="AD381" s="3436"/>
      <c r="AE381" s="3650"/>
    </row>
    <row r="382" spans="16:31" customFormat="1">
      <c r="P382" s="3436"/>
      <c r="Q382" s="3436"/>
      <c r="R382" s="3436"/>
      <c r="S382" s="3436"/>
      <c r="T382" s="3436"/>
      <c r="U382" s="3436"/>
      <c r="V382" s="3436"/>
      <c r="W382" s="3436"/>
      <c r="X382" s="3436"/>
      <c r="Y382" s="3436"/>
      <c r="Z382" s="3436"/>
      <c r="AA382" s="3436"/>
      <c r="AB382" s="3436"/>
      <c r="AC382" s="3436"/>
      <c r="AD382" s="3436"/>
      <c r="AE382" s="3650"/>
    </row>
    <row r="383" spans="16:31" customFormat="1">
      <c r="P383" s="3436"/>
      <c r="Q383" s="3436"/>
      <c r="R383" s="3436"/>
      <c r="S383" s="3436"/>
      <c r="T383" s="3436"/>
      <c r="U383" s="3436"/>
      <c r="V383" s="3436"/>
      <c r="W383" s="3436"/>
      <c r="X383" s="3436"/>
      <c r="Y383" s="3436"/>
      <c r="Z383" s="3436"/>
      <c r="AA383" s="3436"/>
      <c r="AB383" s="3436"/>
      <c r="AC383" s="3436"/>
      <c r="AD383" s="3436"/>
      <c r="AE383" s="3650"/>
    </row>
    <row r="384" spans="16:31" customFormat="1">
      <c r="P384" s="3436"/>
      <c r="Q384" s="3436"/>
      <c r="R384" s="3436"/>
      <c r="S384" s="3436"/>
      <c r="T384" s="3436"/>
      <c r="U384" s="3436"/>
      <c r="V384" s="3436"/>
      <c r="W384" s="3436"/>
      <c r="X384" s="3436"/>
      <c r="Y384" s="3436"/>
      <c r="Z384" s="3436"/>
      <c r="AA384" s="3436"/>
      <c r="AB384" s="3436"/>
      <c r="AC384" s="3436"/>
      <c r="AD384" s="3436"/>
      <c r="AE384" s="3650"/>
    </row>
    <row r="385" spans="16:31" customFormat="1">
      <c r="P385" s="3436"/>
      <c r="Q385" s="3436"/>
      <c r="R385" s="3436"/>
      <c r="S385" s="3436"/>
      <c r="T385" s="3436"/>
      <c r="U385" s="3436"/>
      <c r="V385" s="3436"/>
      <c r="W385" s="3436"/>
      <c r="X385" s="3436"/>
      <c r="Y385" s="3436"/>
      <c r="Z385" s="3436"/>
      <c r="AA385" s="3436"/>
      <c r="AB385" s="3436"/>
      <c r="AC385" s="3436"/>
      <c r="AD385" s="3436"/>
      <c r="AE385" s="3650"/>
    </row>
    <row r="386" spans="16:31" customFormat="1">
      <c r="P386" s="3436"/>
      <c r="Q386" s="3436"/>
      <c r="R386" s="3436"/>
      <c r="S386" s="3436"/>
      <c r="T386" s="3436"/>
      <c r="U386" s="3436"/>
      <c r="V386" s="3436"/>
      <c r="W386" s="3436"/>
      <c r="X386" s="3436"/>
      <c r="Y386" s="3436"/>
      <c r="Z386" s="3436"/>
      <c r="AA386" s="3436"/>
      <c r="AB386" s="3436"/>
      <c r="AC386" s="3436"/>
      <c r="AD386" s="3436"/>
      <c r="AE386" s="3650"/>
    </row>
    <row r="387" spans="16:31" customFormat="1">
      <c r="P387" s="3436"/>
      <c r="Q387" s="3436"/>
      <c r="R387" s="3436"/>
      <c r="S387" s="3436"/>
      <c r="T387" s="3436"/>
      <c r="U387" s="3436"/>
      <c r="V387" s="3436"/>
      <c r="W387" s="3436"/>
      <c r="X387" s="3436"/>
      <c r="Y387" s="3436"/>
      <c r="Z387" s="3436"/>
      <c r="AA387" s="3436"/>
      <c r="AB387" s="3436"/>
      <c r="AC387" s="3436"/>
      <c r="AD387" s="3436"/>
      <c r="AE387" s="3650"/>
    </row>
    <row r="388" spans="16:31" customFormat="1">
      <c r="P388" s="3436"/>
      <c r="Q388" s="3436"/>
      <c r="R388" s="3436"/>
      <c r="S388" s="3436"/>
      <c r="T388" s="3436"/>
      <c r="U388" s="3436"/>
      <c r="V388" s="3436"/>
      <c r="W388" s="3436"/>
      <c r="X388" s="3436"/>
      <c r="Y388" s="3436"/>
      <c r="Z388" s="3436"/>
      <c r="AA388" s="3436"/>
      <c r="AB388" s="3436"/>
      <c r="AC388" s="3436"/>
      <c r="AD388" s="3436"/>
      <c r="AE388" s="3650"/>
    </row>
    <row r="389" spans="16:31" customFormat="1">
      <c r="P389" s="3436"/>
      <c r="Q389" s="3436"/>
      <c r="R389" s="3436"/>
      <c r="S389" s="3436"/>
      <c r="T389" s="3436"/>
      <c r="U389" s="3436"/>
      <c r="V389" s="3436"/>
      <c r="W389" s="3436"/>
      <c r="X389" s="3436"/>
      <c r="Y389" s="3436"/>
      <c r="Z389" s="3436"/>
      <c r="AA389" s="3436"/>
      <c r="AB389" s="3436"/>
      <c r="AC389" s="3436"/>
      <c r="AD389" s="3436"/>
      <c r="AE389" s="3650"/>
    </row>
    <row r="390" spans="16:31" customFormat="1">
      <c r="P390" s="3436"/>
      <c r="Q390" s="3436"/>
      <c r="R390" s="3436"/>
      <c r="S390" s="3436"/>
      <c r="T390" s="3436"/>
      <c r="U390" s="3436"/>
      <c r="V390" s="3436"/>
      <c r="W390" s="3436"/>
      <c r="X390" s="3436"/>
      <c r="Y390" s="3436"/>
      <c r="Z390" s="3436"/>
      <c r="AA390" s="3436"/>
      <c r="AB390" s="3436"/>
      <c r="AC390" s="3436"/>
      <c r="AD390" s="3436"/>
      <c r="AE390" s="3650"/>
    </row>
    <row r="391" spans="16:31" customFormat="1">
      <c r="P391" s="3436"/>
      <c r="Q391" s="3436"/>
      <c r="R391" s="3436"/>
      <c r="S391" s="3436"/>
      <c r="T391" s="3436"/>
      <c r="U391" s="3436"/>
      <c r="V391" s="3436"/>
      <c r="W391" s="3436"/>
      <c r="X391" s="3436"/>
      <c r="Y391" s="3436"/>
      <c r="Z391" s="3436"/>
      <c r="AA391" s="3436"/>
      <c r="AB391" s="3436"/>
      <c r="AC391" s="3436"/>
      <c r="AD391" s="3436"/>
      <c r="AE391" s="3650"/>
    </row>
    <row r="392" spans="16:31" customFormat="1">
      <c r="P392" s="3436"/>
      <c r="Q392" s="3436"/>
      <c r="R392" s="3436"/>
      <c r="S392" s="3436"/>
      <c r="T392" s="3436"/>
      <c r="U392" s="3436"/>
      <c r="V392" s="3436"/>
      <c r="W392" s="3436"/>
      <c r="X392" s="3436"/>
      <c r="Y392" s="3436"/>
      <c r="Z392" s="3436"/>
      <c r="AA392" s="3436"/>
      <c r="AB392" s="3436"/>
      <c r="AC392" s="3436"/>
      <c r="AD392" s="3436"/>
      <c r="AE392" s="3650"/>
    </row>
    <row r="393" spans="16:31" customFormat="1">
      <c r="P393" s="3436"/>
      <c r="Q393" s="3436"/>
      <c r="R393" s="3436"/>
      <c r="S393" s="3436"/>
      <c r="T393" s="3436"/>
      <c r="U393" s="3436"/>
      <c r="V393" s="3436"/>
      <c r="W393" s="3436"/>
      <c r="X393" s="3436"/>
      <c r="Y393" s="3436"/>
      <c r="Z393" s="3436"/>
      <c r="AA393" s="3436"/>
      <c r="AB393" s="3436"/>
      <c r="AC393" s="3436"/>
      <c r="AD393" s="3436"/>
      <c r="AE393" s="3650"/>
    </row>
    <row r="394" spans="16:31" customFormat="1">
      <c r="P394" s="3436"/>
      <c r="Q394" s="3436"/>
      <c r="R394" s="3436"/>
      <c r="S394" s="3436"/>
      <c r="T394" s="3436"/>
      <c r="U394" s="3436"/>
      <c r="V394" s="3436"/>
      <c r="W394" s="3436"/>
      <c r="X394" s="3436"/>
      <c r="Y394" s="3436"/>
      <c r="Z394" s="3436"/>
      <c r="AA394" s="3436"/>
      <c r="AB394" s="3436"/>
      <c r="AC394" s="3436"/>
      <c r="AD394" s="3436"/>
      <c r="AE394" s="3650"/>
    </row>
    <row r="395" spans="16:31" customFormat="1">
      <c r="P395" s="3436"/>
      <c r="Q395" s="3436"/>
      <c r="R395" s="3436"/>
      <c r="S395" s="3436"/>
      <c r="T395" s="3436"/>
      <c r="U395" s="3436"/>
      <c r="V395" s="3436"/>
      <c r="W395" s="3436"/>
      <c r="X395" s="3436"/>
      <c r="Y395" s="3436"/>
      <c r="Z395" s="3436"/>
      <c r="AA395" s="3436"/>
      <c r="AB395" s="3436"/>
      <c r="AC395" s="3436"/>
      <c r="AD395" s="3436"/>
      <c r="AE395" s="3650"/>
    </row>
    <row r="396" spans="16:31" customFormat="1">
      <c r="P396" s="3436"/>
      <c r="Q396" s="3436"/>
      <c r="R396" s="3436"/>
      <c r="S396" s="3436"/>
      <c r="T396" s="3436"/>
      <c r="U396" s="3436"/>
      <c r="V396" s="3436"/>
      <c r="W396" s="3436"/>
      <c r="X396" s="3436"/>
      <c r="Y396" s="3436"/>
      <c r="Z396" s="3436"/>
      <c r="AA396" s="3436"/>
      <c r="AB396" s="3436"/>
      <c r="AC396" s="3436"/>
      <c r="AD396" s="3436"/>
      <c r="AE396" s="3650"/>
    </row>
    <row r="397" spans="16:31" customFormat="1">
      <c r="P397" s="3436"/>
      <c r="Q397" s="3436"/>
      <c r="R397" s="3436"/>
      <c r="S397" s="3436"/>
      <c r="T397" s="3436"/>
      <c r="U397" s="3436"/>
      <c r="V397" s="3436"/>
      <c r="W397" s="3436"/>
      <c r="X397" s="3436"/>
      <c r="Y397" s="3436"/>
      <c r="Z397" s="3436"/>
      <c r="AA397" s="3436"/>
      <c r="AB397" s="3436"/>
      <c r="AC397" s="3436"/>
      <c r="AD397" s="3436"/>
      <c r="AE397" s="3650"/>
    </row>
    <row r="398" spans="16:31" customFormat="1">
      <c r="P398" s="3436"/>
      <c r="Q398" s="3436"/>
      <c r="R398" s="3436"/>
      <c r="S398" s="3436"/>
      <c r="T398" s="3436"/>
      <c r="U398" s="3436"/>
      <c r="V398" s="3436"/>
      <c r="W398" s="3436"/>
      <c r="X398" s="3436"/>
      <c r="Y398" s="3436"/>
      <c r="Z398" s="3436"/>
      <c r="AA398" s="3436"/>
      <c r="AB398" s="3436"/>
      <c r="AC398" s="3436"/>
      <c r="AD398" s="3436"/>
      <c r="AE398" s="3650"/>
    </row>
    <row r="399" spans="16:31" customFormat="1">
      <c r="P399" s="3436"/>
      <c r="Q399" s="3436"/>
      <c r="R399" s="3436"/>
      <c r="S399" s="3436"/>
      <c r="T399" s="3436"/>
      <c r="U399" s="3436"/>
      <c r="V399" s="3436"/>
      <c r="W399" s="3436"/>
      <c r="X399" s="3436"/>
      <c r="Y399" s="3436"/>
      <c r="Z399" s="3436"/>
      <c r="AA399" s="3436"/>
      <c r="AB399" s="3436"/>
      <c r="AC399" s="3436"/>
      <c r="AD399" s="3436"/>
      <c r="AE399" s="3650"/>
    </row>
    <row r="400" spans="16:31" customFormat="1">
      <c r="P400" s="3436"/>
      <c r="Q400" s="3436"/>
      <c r="R400" s="3436"/>
      <c r="S400" s="3436"/>
      <c r="T400" s="3436"/>
      <c r="U400" s="3436"/>
      <c r="V400" s="3436"/>
      <c r="W400" s="3436"/>
      <c r="X400" s="3436"/>
      <c r="Y400" s="3436"/>
      <c r="Z400" s="3436"/>
      <c r="AA400" s="3436"/>
      <c r="AB400" s="3436"/>
      <c r="AC400" s="3436"/>
      <c r="AD400" s="3436"/>
      <c r="AE400" s="3650"/>
    </row>
    <row r="401" spans="16:31" customFormat="1">
      <c r="P401" s="3436"/>
      <c r="Q401" s="3436"/>
      <c r="R401" s="3436"/>
      <c r="S401" s="3436"/>
      <c r="T401" s="3436"/>
      <c r="U401" s="3436"/>
      <c r="V401" s="3436"/>
      <c r="W401" s="3436"/>
      <c r="X401" s="3436"/>
      <c r="Y401" s="3436"/>
      <c r="Z401" s="3436"/>
      <c r="AA401" s="3436"/>
      <c r="AB401" s="3436"/>
      <c r="AC401" s="3436"/>
      <c r="AD401" s="3436"/>
      <c r="AE401" s="3650"/>
    </row>
    <row r="402" spans="16:31" customFormat="1">
      <c r="P402" s="3436"/>
      <c r="Q402" s="3436"/>
      <c r="R402" s="3436"/>
      <c r="S402" s="3436"/>
      <c r="T402" s="3436"/>
      <c r="U402" s="3436"/>
      <c r="V402" s="3436"/>
      <c r="W402" s="3436"/>
      <c r="X402" s="3436"/>
      <c r="Y402" s="3436"/>
      <c r="Z402" s="3436"/>
      <c r="AA402" s="3436"/>
      <c r="AB402" s="3436"/>
      <c r="AC402" s="3436"/>
      <c r="AD402" s="3436"/>
      <c r="AE402" s="3650"/>
    </row>
    <row r="403" spans="16:31" customFormat="1">
      <c r="P403" s="3436"/>
      <c r="Q403" s="3436"/>
      <c r="R403" s="3436"/>
      <c r="S403" s="3436"/>
      <c r="T403" s="3436"/>
      <c r="U403" s="3436"/>
      <c r="V403" s="3436"/>
      <c r="W403" s="3436"/>
      <c r="X403" s="3436"/>
      <c r="Y403" s="3436"/>
      <c r="Z403" s="3436"/>
      <c r="AA403" s="3436"/>
      <c r="AB403" s="3436"/>
      <c r="AC403" s="3436"/>
      <c r="AD403" s="3436"/>
      <c r="AE403" s="3650"/>
    </row>
    <row r="404" spans="16:31" customFormat="1">
      <c r="P404" s="3436"/>
      <c r="Q404" s="3436"/>
      <c r="R404" s="3436"/>
      <c r="S404" s="3436"/>
      <c r="T404" s="3436"/>
      <c r="U404" s="3436"/>
      <c r="V404" s="3436"/>
      <c r="W404" s="3436"/>
      <c r="X404" s="3436"/>
      <c r="Y404" s="3436"/>
      <c r="Z404" s="3436"/>
      <c r="AA404" s="3436"/>
      <c r="AB404" s="3436"/>
      <c r="AC404" s="3436"/>
      <c r="AD404" s="3436"/>
      <c r="AE404" s="3650"/>
    </row>
    <row r="405" spans="16:31" customFormat="1">
      <c r="P405" s="3436"/>
      <c r="Q405" s="3436"/>
      <c r="R405" s="3436"/>
      <c r="S405" s="3436"/>
      <c r="T405" s="3436"/>
      <c r="U405" s="3436"/>
      <c r="V405" s="3436"/>
      <c r="W405" s="3436"/>
      <c r="X405" s="3436"/>
      <c r="Y405" s="3436"/>
      <c r="Z405" s="3436"/>
      <c r="AA405" s="3436"/>
      <c r="AB405" s="3436"/>
      <c r="AC405" s="3436"/>
      <c r="AD405" s="3436"/>
      <c r="AE405" s="3650"/>
    </row>
    <row r="406" spans="16:31" customFormat="1">
      <c r="P406" s="3436"/>
      <c r="Q406" s="3436"/>
      <c r="R406" s="3436"/>
      <c r="S406" s="3436"/>
      <c r="T406" s="3436"/>
      <c r="U406" s="3436"/>
      <c r="V406" s="3436"/>
      <c r="W406" s="3436"/>
      <c r="X406" s="3436"/>
      <c r="Y406" s="3436"/>
      <c r="Z406" s="3436"/>
      <c r="AA406" s="3436"/>
      <c r="AB406" s="3436"/>
      <c r="AC406" s="3436"/>
      <c r="AD406" s="3436"/>
      <c r="AE406" s="3650"/>
    </row>
    <row r="407" spans="16:31" customFormat="1">
      <c r="P407" s="3436"/>
      <c r="Q407" s="3436"/>
      <c r="R407" s="3436"/>
      <c r="S407" s="3436"/>
      <c r="T407" s="3436"/>
      <c r="U407" s="3436"/>
      <c r="V407" s="3436"/>
      <c r="W407" s="3436"/>
      <c r="X407" s="3436"/>
      <c r="Y407" s="3436"/>
      <c r="Z407" s="3436"/>
      <c r="AA407" s="3436"/>
      <c r="AB407" s="3436"/>
      <c r="AC407" s="3436"/>
      <c r="AD407" s="3436"/>
      <c r="AE407" s="3650"/>
    </row>
    <row r="408" spans="16:31" customFormat="1">
      <c r="P408" s="3436"/>
      <c r="Q408" s="3436"/>
      <c r="R408" s="3436"/>
      <c r="S408" s="3436"/>
      <c r="T408" s="3436"/>
      <c r="U408" s="3436"/>
      <c r="V408" s="3436"/>
      <c r="W408" s="3436"/>
      <c r="X408" s="3436"/>
      <c r="Y408" s="3436"/>
      <c r="Z408" s="3436"/>
      <c r="AA408" s="3436"/>
      <c r="AB408" s="3436"/>
      <c r="AC408" s="3436"/>
      <c r="AD408" s="3436"/>
      <c r="AE408" s="3650"/>
    </row>
    <row r="409" spans="16:31" customFormat="1">
      <c r="P409" s="3436"/>
      <c r="Q409" s="3436"/>
      <c r="R409" s="3436"/>
      <c r="S409" s="3436"/>
      <c r="T409" s="3436"/>
      <c r="U409" s="3436"/>
      <c r="V409" s="3436"/>
      <c r="W409" s="3436"/>
      <c r="X409" s="3436"/>
      <c r="Y409" s="3436"/>
      <c r="Z409" s="3436"/>
      <c r="AA409" s="3436"/>
      <c r="AB409" s="3436"/>
      <c r="AC409" s="3436"/>
      <c r="AD409" s="3436"/>
      <c r="AE409" s="3650"/>
    </row>
    <row r="410" spans="16:31" customFormat="1">
      <c r="P410" s="3436"/>
      <c r="Q410" s="3436"/>
      <c r="R410" s="3436"/>
      <c r="S410" s="3436"/>
      <c r="T410" s="3436"/>
      <c r="U410" s="3436"/>
      <c r="V410" s="3436"/>
      <c r="W410" s="3436"/>
      <c r="X410" s="3436"/>
      <c r="Y410" s="3436"/>
      <c r="Z410" s="3436"/>
      <c r="AA410" s="3436"/>
      <c r="AB410" s="3436"/>
      <c r="AC410" s="3436"/>
      <c r="AD410" s="3436"/>
      <c r="AE410" s="3650"/>
    </row>
    <row r="411" spans="16:31" customFormat="1">
      <c r="P411" s="3436"/>
      <c r="Q411" s="3436"/>
      <c r="R411" s="3436"/>
      <c r="S411" s="3436"/>
      <c r="T411" s="3436"/>
      <c r="U411" s="3436"/>
      <c r="V411" s="3436"/>
      <c r="W411" s="3436"/>
      <c r="X411" s="3436"/>
      <c r="Y411" s="3436"/>
      <c r="Z411" s="3436"/>
      <c r="AA411" s="3436"/>
      <c r="AB411" s="3436"/>
      <c r="AC411" s="3436"/>
      <c r="AD411" s="3436"/>
      <c r="AE411" s="3650"/>
    </row>
    <row r="412" spans="16:31" customFormat="1">
      <c r="P412" s="3436"/>
      <c r="Q412" s="3436"/>
      <c r="R412" s="3436"/>
      <c r="S412" s="3436"/>
      <c r="T412" s="3436"/>
      <c r="U412" s="3436"/>
      <c r="V412" s="3436"/>
      <c r="W412" s="3436"/>
      <c r="X412" s="3436"/>
      <c r="Y412" s="3436"/>
      <c r="Z412" s="3436"/>
      <c r="AA412" s="3436"/>
      <c r="AB412" s="3436"/>
      <c r="AC412" s="3436"/>
      <c r="AD412" s="3436"/>
      <c r="AE412" s="3650"/>
    </row>
    <row r="413" spans="16:31" customFormat="1">
      <c r="P413" s="3436"/>
      <c r="Q413" s="3436"/>
      <c r="R413" s="3436"/>
      <c r="S413" s="3436"/>
      <c r="T413" s="3436"/>
      <c r="U413" s="3436"/>
      <c r="V413" s="3436"/>
      <c r="W413" s="3436"/>
      <c r="X413" s="3436"/>
      <c r="Y413" s="3436"/>
      <c r="Z413" s="3436"/>
      <c r="AA413" s="3436"/>
      <c r="AB413" s="3436"/>
      <c r="AC413" s="3436"/>
      <c r="AD413" s="3436"/>
      <c r="AE413" s="3650"/>
    </row>
    <row r="414" spans="16:31" customFormat="1">
      <c r="P414" s="3436"/>
      <c r="Q414" s="3436"/>
      <c r="R414" s="3436"/>
      <c r="S414" s="3436"/>
      <c r="T414" s="3436"/>
      <c r="U414" s="3436"/>
      <c r="V414" s="3436"/>
      <c r="W414" s="3436"/>
      <c r="X414" s="3436"/>
      <c r="Y414" s="3436"/>
      <c r="Z414" s="3436"/>
      <c r="AA414" s="3436"/>
      <c r="AB414" s="3436"/>
      <c r="AC414" s="3436"/>
      <c r="AD414" s="3436"/>
      <c r="AE414" s="3650"/>
    </row>
    <row r="415" spans="16:31" customFormat="1">
      <c r="P415" s="3436"/>
      <c r="Q415" s="3436"/>
      <c r="R415" s="3436"/>
      <c r="S415" s="3436"/>
      <c r="T415" s="3436"/>
      <c r="U415" s="3436"/>
      <c r="V415" s="3436"/>
      <c r="W415" s="3436"/>
      <c r="X415" s="3436"/>
      <c r="Y415" s="3436"/>
      <c r="Z415" s="3436"/>
      <c r="AA415" s="3436"/>
      <c r="AB415" s="3436"/>
      <c r="AC415" s="3436"/>
      <c r="AD415" s="3436"/>
      <c r="AE415" s="3650"/>
    </row>
    <row r="416" spans="16:31" customFormat="1">
      <c r="P416" s="3436"/>
      <c r="Q416" s="3436"/>
      <c r="R416" s="3436"/>
      <c r="S416" s="3436"/>
      <c r="T416" s="3436"/>
      <c r="U416" s="3436"/>
      <c r="V416" s="3436"/>
      <c r="W416" s="3436"/>
      <c r="X416" s="3436"/>
      <c r="Y416" s="3436"/>
      <c r="Z416" s="3436"/>
      <c r="AA416" s="3436"/>
      <c r="AB416" s="3436"/>
      <c r="AC416" s="3436"/>
      <c r="AD416" s="3436"/>
      <c r="AE416" s="3650"/>
    </row>
    <row r="417" spans="16:31" customFormat="1">
      <c r="P417" s="3436"/>
      <c r="Q417" s="3436"/>
      <c r="R417" s="3436"/>
      <c r="S417" s="3436"/>
      <c r="T417" s="3436"/>
      <c r="U417" s="3436"/>
      <c r="V417" s="3436"/>
      <c r="W417" s="3436"/>
      <c r="X417" s="3436"/>
      <c r="Y417" s="3436"/>
      <c r="Z417" s="3436"/>
      <c r="AA417" s="3436"/>
      <c r="AB417" s="3436"/>
      <c r="AC417" s="3436"/>
      <c r="AD417" s="3436"/>
      <c r="AE417" s="3650"/>
    </row>
    <row r="418" spans="16:31" customFormat="1">
      <c r="P418" s="3436"/>
      <c r="Q418" s="3436"/>
      <c r="R418" s="3436"/>
      <c r="S418" s="3436"/>
      <c r="T418" s="3436"/>
      <c r="U418" s="3436"/>
      <c r="V418" s="3436"/>
      <c r="W418" s="3436"/>
      <c r="X418" s="3436"/>
      <c r="Y418" s="3436"/>
      <c r="Z418" s="3436"/>
      <c r="AA418" s="3436"/>
      <c r="AB418" s="3436"/>
      <c r="AC418" s="3436"/>
      <c r="AD418" s="3436"/>
      <c r="AE418" s="3650"/>
    </row>
    <row r="419" spans="16:31" customFormat="1">
      <c r="P419" s="3436"/>
      <c r="Q419" s="3436"/>
      <c r="R419" s="3436"/>
      <c r="S419" s="3436"/>
      <c r="T419" s="3436"/>
      <c r="U419" s="3436"/>
      <c r="V419" s="3436"/>
      <c r="W419" s="3436"/>
      <c r="X419" s="3436"/>
      <c r="Y419" s="3436"/>
      <c r="Z419" s="3436"/>
      <c r="AA419" s="3436"/>
      <c r="AB419" s="3436"/>
      <c r="AC419" s="3436"/>
      <c r="AD419" s="3436"/>
      <c r="AE419" s="3650"/>
    </row>
    <row r="420" spans="16:31" customFormat="1">
      <c r="P420" s="3436"/>
      <c r="Q420" s="3436"/>
      <c r="R420" s="3436"/>
      <c r="S420" s="3436"/>
      <c r="T420" s="3436"/>
      <c r="U420" s="3436"/>
      <c r="V420" s="3436"/>
      <c r="W420" s="3436"/>
      <c r="X420" s="3436"/>
      <c r="Y420" s="3436"/>
      <c r="Z420" s="3436"/>
      <c r="AA420" s="3436"/>
      <c r="AB420" s="3436"/>
      <c r="AC420" s="3436"/>
      <c r="AD420" s="3436"/>
      <c r="AE420" s="3650"/>
    </row>
    <row r="421" spans="16:31" customFormat="1">
      <c r="P421" s="3436"/>
      <c r="Q421" s="3436"/>
      <c r="R421" s="3436"/>
      <c r="S421" s="3436"/>
      <c r="T421" s="3436"/>
      <c r="U421" s="3436"/>
      <c r="V421" s="3436"/>
      <c r="W421" s="3436"/>
      <c r="X421" s="3436"/>
      <c r="Y421" s="3436"/>
      <c r="Z421" s="3436"/>
      <c r="AA421" s="3436"/>
      <c r="AB421" s="3436"/>
      <c r="AC421" s="3436"/>
      <c r="AD421" s="3436"/>
      <c r="AE421" s="3650"/>
    </row>
    <row r="422" spans="16:31" customFormat="1">
      <c r="P422" s="3436"/>
      <c r="Q422" s="3436"/>
      <c r="R422" s="3436"/>
      <c r="S422" s="3436"/>
      <c r="T422" s="3436"/>
      <c r="U422" s="3436"/>
      <c r="V422" s="3436"/>
      <c r="W422" s="3436"/>
      <c r="X422" s="3436"/>
      <c r="Y422" s="3436"/>
      <c r="Z422" s="3436"/>
      <c r="AA422" s="3436"/>
      <c r="AB422" s="3436"/>
      <c r="AC422" s="3436"/>
      <c r="AD422" s="3436"/>
      <c r="AE422" s="3650"/>
    </row>
    <row r="423" spans="16:31" customFormat="1">
      <c r="P423" s="3436"/>
      <c r="Q423" s="3436"/>
      <c r="R423" s="3436"/>
      <c r="S423" s="3436"/>
      <c r="T423" s="3436"/>
      <c r="U423" s="3436"/>
      <c r="V423" s="3436"/>
      <c r="W423" s="3436"/>
      <c r="X423" s="3436"/>
      <c r="Y423" s="3436"/>
      <c r="Z423" s="3436"/>
      <c r="AA423" s="3436"/>
      <c r="AB423" s="3436"/>
      <c r="AC423" s="3436"/>
      <c r="AD423" s="3436"/>
      <c r="AE423" s="3650"/>
    </row>
    <row r="424" spans="16:31" customFormat="1">
      <c r="P424" s="3436"/>
      <c r="Q424" s="3436"/>
      <c r="R424" s="3436"/>
      <c r="S424" s="3436"/>
      <c r="T424" s="3436"/>
      <c r="U424" s="3436"/>
      <c r="V424" s="3436"/>
      <c r="W424" s="3436"/>
      <c r="X424" s="3436"/>
      <c r="Y424" s="3436"/>
      <c r="Z424" s="3436"/>
      <c r="AA424" s="3436"/>
      <c r="AB424" s="3436"/>
      <c r="AC424" s="3436"/>
      <c r="AD424" s="3436"/>
      <c r="AE424" s="3650"/>
    </row>
    <row r="425" spans="16:31" customFormat="1">
      <c r="P425" s="3436"/>
      <c r="Q425" s="3436"/>
      <c r="R425" s="3436"/>
      <c r="S425" s="3436"/>
      <c r="T425" s="3436"/>
      <c r="U425" s="3436"/>
      <c r="V425" s="3436"/>
      <c r="W425" s="3436"/>
      <c r="X425" s="3436"/>
      <c r="Y425" s="3436"/>
      <c r="Z425" s="3436"/>
      <c r="AA425" s="3436"/>
      <c r="AB425" s="3436"/>
      <c r="AC425" s="3436"/>
      <c r="AD425" s="3436"/>
      <c r="AE425" s="3650"/>
    </row>
    <row r="426" spans="16:31" customFormat="1">
      <c r="P426" s="3436"/>
      <c r="Q426" s="3436"/>
      <c r="R426" s="3436"/>
      <c r="S426" s="3436"/>
      <c r="T426" s="3436"/>
      <c r="U426" s="3436"/>
      <c r="V426" s="3436"/>
      <c r="W426" s="3436"/>
      <c r="X426" s="3436"/>
      <c r="Y426" s="3436"/>
      <c r="Z426" s="3436"/>
      <c r="AA426" s="3436"/>
      <c r="AB426" s="3436"/>
      <c r="AC426" s="3436"/>
      <c r="AD426" s="3436"/>
      <c r="AE426" s="3650"/>
    </row>
    <row r="427" spans="16:31" customFormat="1">
      <c r="P427" s="3436"/>
      <c r="Q427" s="3436"/>
      <c r="R427" s="3436"/>
      <c r="S427" s="3436"/>
      <c r="T427" s="3436"/>
      <c r="U427" s="3436"/>
      <c r="V427" s="3436"/>
      <c r="W427" s="3436"/>
      <c r="X427" s="3436"/>
      <c r="Y427" s="3436"/>
      <c r="Z427" s="3436"/>
      <c r="AA427" s="3436"/>
      <c r="AB427" s="3436"/>
      <c r="AC427" s="3436"/>
      <c r="AD427" s="3436"/>
      <c r="AE427" s="3650"/>
    </row>
    <row r="428" spans="16:31" customFormat="1">
      <c r="P428" s="3436"/>
      <c r="Q428" s="3436"/>
      <c r="R428" s="3436"/>
      <c r="S428" s="3436"/>
      <c r="T428" s="3436"/>
      <c r="U428" s="3436"/>
      <c r="V428" s="3436"/>
      <c r="W428" s="3436"/>
      <c r="X428" s="3436"/>
      <c r="Y428" s="3436"/>
      <c r="Z428" s="3436"/>
      <c r="AA428" s="3436"/>
      <c r="AB428" s="3436"/>
      <c r="AC428" s="3436"/>
      <c r="AD428" s="3436"/>
      <c r="AE428" s="3650"/>
    </row>
    <row r="429" spans="16:31" customFormat="1">
      <c r="P429" s="3436"/>
      <c r="Q429" s="3436"/>
      <c r="R429" s="3436"/>
      <c r="S429" s="3436"/>
      <c r="T429" s="3436"/>
      <c r="U429" s="3436"/>
      <c r="V429" s="3436"/>
      <c r="W429" s="3436"/>
      <c r="X429" s="3436"/>
      <c r="Y429" s="3436"/>
      <c r="Z429" s="3436"/>
      <c r="AA429" s="3436"/>
      <c r="AB429" s="3436"/>
      <c r="AC429" s="3436"/>
      <c r="AD429" s="3436"/>
      <c r="AE429" s="3650"/>
    </row>
    <row r="430" spans="16:31" customFormat="1">
      <c r="P430" s="3436"/>
      <c r="Q430" s="3436"/>
      <c r="R430" s="3436"/>
      <c r="S430" s="3436"/>
      <c r="T430" s="3436"/>
      <c r="U430" s="3436"/>
      <c r="V430" s="3436"/>
      <c r="W430" s="3436"/>
      <c r="X430" s="3436"/>
      <c r="Y430" s="3436"/>
      <c r="Z430" s="3436"/>
      <c r="AA430" s="3436"/>
      <c r="AB430" s="3436"/>
      <c r="AC430" s="3436"/>
      <c r="AD430" s="3436"/>
      <c r="AE430" s="3650"/>
    </row>
    <row r="431" spans="16:31" customFormat="1">
      <c r="P431" s="3436"/>
      <c r="Q431" s="3436"/>
      <c r="R431" s="3436"/>
      <c r="S431" s="3436"/>
      <c r="T431" s="3436"/>
      <c r="U431" s="3436"/>
      <c r="V431" s="3436"/>
      <c r="W431" s="3436"/>
      <c r="X431" s="3436"/>
      <c r="Y431" s="3436"/>
      <c r="Z431" s="3436"/>
      <c r="AA431" s="3436"/>
      <c r="AB431" s="3436"/>
      <c r="AC431" s="3436"/>
      <c r="AD431" s="3436"/>
      <c r="AE431" s="3650"/>
    </row>
    <row r="432" spans="16:31" customFormat="1">
      <c r="P432" s="3436"/>
      <c r="Q432" s="3436"/>
      <c r="R432" s="3436"/>
      <c r="S432" s="3436"/>
      <c r="T432" s="3436"/>
      <c r="U432" s="3436"/>
      <c r="V432" s="3436"/>
      <c r="W432" s="3436"/>
      <c r="X432" s="3436"/>
      <c r="Y432" s="3436"/>
      <c r="Z432" s="3436"/>
      <c r="AA432" s="3436"/>
      <c r="AB432" s="3436"/>
      <c r="AC432" s="3436"/>
      <c r="AD432" s="3436"/>
      <c r="AE432" s="3650"/>
    </row>
    <row r="433" spans="16:31" customFormat="1">
      <c r="P433" s="3436"/>
      <c r="Q433" s="3436"/>
      <c r="R433" s="3436"/>
      <c r="S433" s="3436"/>
      <c r="T433" s="3436"/>
      <c r="U433" s="3436"/>
      <c r="V433" s="3436"/>
      <c r="W433" s="3436"/>
      <c r="X433" s="3436"/>
      <c r="Y433" s="3436"/>
      <c r="Z433" s="3436"/>
      <c r="AA433" s="3436"/>
      <c r="AB433" s="3436"/>
      <c r="AC433" s="3436"/>
      <c r="AD433" s="3436"/>
      <c r="AE433" s="3650"/>
    </row>
    <row r="434" spans="16:31" customFormat="1">
      <c r="P434" s="3436"/>
      <c r="Q434" s="3436"/>
      <c r="R434" s="3436"/>
      <c r="S434" s="3436"/>
      <c r="T434" s="3436"/>
      <c r="U434" s="3436"/>
      <c r="V434" s="3436"/>
      <c r="W434" s="3436"/>
      <c r="X434" s="3436"/>
      <c r="Y434" s="3436"/>
      <c r="Z434" s="3436"/>
      <c r="AA434" s="3436"/>
      <c r="AB434" s="3436"/>
      <c r="AC434" s="3436"/>
      <c r="AD434" s="3436"/>
      <c r="AE434" s="3650"/>
    </row>
    <row r="435" spans="16:31" customFormat="1">
      <c r="P435" s="3436"/>
      <c r="Q435" s="3436"/>
      <c r="R435" s="3436"/>
      <c r="S435" s="3436"/>
      <c r="T435" s="3436"/>
      <c r="U435" s="3436"/>
      <c r="V435" s="3436"/>
      <c r="W435" s="3436"/>
      <c r="X435" s="3436"/>
      <c r="Y435" s="3436"/>
      <c r="Z435" s="3436"/>
      <c r="AA435" s="3436"/>
      <c r="AB435" s="3436"/>
      <c r="AC435" s="3436"/>
      <c r="AD435" s="3436"/>
      <c r="AE435" s="3650"/>
    </row>
    <row r="436" spans="16:31" customFormat="1">
      <c r="P436" s="3436"/>
      <c r="Q436" s="3436"/>
      <c r="R436" s="3436"/>
      <c r="S436" s="3436"/>
      <c r="T436" s="3436"/>
      <c r="U436" s="3436"/>
      <c r="V436" s="3436"/>
      <c r="W436" s="3436"/>
      <c r="X436" s="3436"/>
      <c r="Y436" s="3436"/>
      <c r="Z436" s="3436"/>
      <c r="AA436" s="3436"/>
      <c r="AB436" s="3436"/>
      <c r="AC436" s="3436"/>
      <c r="AD436" s="3436"/>
      <c r="AE436" s="3650"/>
    </row>
    <row r="437" spans="16:31" customFormat="1">
      <c r="P437" s="3436"/>
      <c r="Q437" s="3436"/>
      <c r="R437" s="3436"/>
      <c r="S437" s="3436"/>
      <c r="T437" s="3436"/>
      <c r="U437" s="3436"/>
      <c r="V437" s="3436"/>
      <c r="W437" s="3436"/>
      <c r="X437" s="3436"/>
      <c r="Y437" s="3436"/>
      <c r="Z437" s="3436"/>
      <c r="AA437" s="3436"/>
      <c r="AB437" s="3436"/>
      <c r="AC437" s="3436"/>
      <c r="AD437" s="3436"/>
      <c r="AE437" s="3650"/>
    </row>
    <row r="438" spans="16:31" customFormat="1">
      <c r="P438" s="3436"/>
      <c r="Q438" s="3436"/>
      <c r="R438" s="3436"/>
      <c r="S438" s="3436"/>
      <c r="T438" s="3436"/>
      <c r="U438" s="3436"/>
      <c r="V438" s="3436"/>
      <c r="W438" s="3436"/>
      <c r="X438" s="3436"/>
      <c r="Y438" s="3436"/>
      <c r="Z438" s="3436"/>
      <c r="AA438" s="3436"/>
      <c r="AB438" s="3436"/>
      <c r="AC438" s="3436"/>
      <c r="AD438" s="3436"/>
      <c r="AE438" s="3650"/>
    </row>
    <row r="439" spans="16:31" customFormat="1">
      <c r="P439" s="3436"/>
      <c r="Q439" s="3436"/>
      <c r="R439" s="3436"/>
      <c r="S439" s="3436"/>
      <c r="T439" s="3436"/>
      <c r="U439" s="3436"/>
      <c r="V439" s="3436"/>
      <c r="W439" s="3436"/>
      <c r="X439" s="3436"/>
      <c r="Y439" s="3436"/>
      <c r="Z439" s="3436"/>
      <c r="AA439" s="3436"/>
      <c r="AB439" s="3436"/>
      <c r="AC439" s="3436"/>
      <c r="AD439" s="3436"/>
      <c r="AE439" s="3650"/>
    </row>
    <row r="440" spans="16:31" customFormat="1">
      <c r="P440" s="3436"/>
      <c r="Q440" s="3436"/>
      <c r="R440" s="3436"/>
      <c r="S440" s="3436"/>
      <c r="T440" s="3436"/>
      <c r="U440" s="3436"/>
      <c r="V440" s="3436"/>
      <c r="W440" s="3436"/>
      <c r="X440" s="3436"/>
      <c r="Y440" s="3436"/>
      <c r="Z440" s="3436"/>
      <c r="AA440" s="3436"/>
      <c r="AB440" s="3436"/>
      <c r="AC440" s="3436"/>
      <c r="AD440" s="3436"/>
      <c r="AE440" s="3650"/>
    </row>
    <row r="441" spans="16:31" customFormat="1">
      <c r="P441" s="3436"/>
      <c r="Q441" s="3436"/>
      <c r="R441" s="3436"/>
      <c r="S441" s="3436"/>
      <c r="T441" s="3436"/>
      <c r="U441" s="3436"/>
      <c r="V441" s="3436"/>
      <c r="W441" s="3436"/>
      <c r="X441" s="3436"/>
      <c r="Y441" s="3436"/>
      <c r="Z441" s="3436"/>
      <c r="AA441" s="3436"/>
      <c r="AB441" s="3436"/>
      <c r="AC441" s="3436"/>
      <c r="AD441" s="3436"/>
      <c r="AE441" s="3650"/>
    </row>
    <row r="442" spans="16:31" customFormat="1">
      <c r="P442" s="3436"/>
      <c r="Q442" s="3436"/>
      <c r="R442" s="3436"/>
      <c r="S442" s="3436"/>
      <c r="T442" s="3436"/>
      <c r="U442" s="3436"/>
      <c r="V442" s="3436"/>
      <c r="W442" s="3436"/>
      <c r="X442" s="3436"/>
      <c r="Y442" s="3436"/>
      <c r="Z442" s="3436"/>
      <c r="AA442" s="3436"/>
      <c r="AB442" s="3436"/>
      <c r="AC442" s="3436"/>
      <c r="AD442" s="3436"/>
      <c r="AE442" s="3650"/>
    </row>
    <row r="443" spans="16:31" customFormat="1">
      <c r="P443" s="3436"/>
      <c r="Q443" s="3436"/>
      <c r="R443" s="3436"/>
      <c r="S443" s="3436"/>
      <c r="T443" s="3436"/>
      <c r="U443" s="3436"/>
      <c r="V443" s="3436"/>
      <c r="W443" s="3436"/>
      <c r="X443" s="3436"/>
      <c r="Y443" s="3436"/>
      <c r="Z443" s="3436"/>
      <c r="AA443" s="3436"/>
      <c r="AB443" s="3436"/>
      <c r="AC443" s="3436"/>
      <c r="AD443" s="3436"/>
      <c r="AE443" s="3650"/>
    </row>
    <row r="444" spans="16:31" customFormat="1">
      <c r="P444" s="3436"/>
      <c r="Q444" s="3436"/>
      <c r="R444" s="3436"/>
      <c r="S444" s="3436"/>
      <c r="T444" s="3436"/>
      <c r="U444" s="3436"/>
      <c r="V444" s="3436"/>
      <c r="W444" s="3436"/>
      <c r="X444" s="3436"/>
      <c r="Y444" s="3436"/>
      <c r="Z444" s="3436"/>
      <c r="AA444" s="3436"/>
      <c r="AB444" s="3436"/>
      <c r="AC444" s="3436"/>
      <c r="AD444" s="3436"/>
      <c r="AE444" s="3650"/>
    </row>
    <row r="445" spans="16:31" customFormat="1">
      <c r="P445" s="3436"/>
      <c r="Q445" s="3436"/>
      <c r="R445" s="3436"/>
      <c r="S445" s="3436"/>
      <c r="T445" s="3436"/>
      <c r="U445" s="3436"/>
      <c r="V445" s="3436"/>
      <c r="W445" s="3436"/>
      <c r="X445" s="3436"/>
      <c r="Y445" s="3436"/>
      <c r="Z445" s="3436"/>
      <c r="AA445" s="3436"/>
      <c r="AB445" s="3436"/>
      <c r="AC445" s="3436"/>
      <c r="AD445" s="3436"/>
      <c r="AE445" s="3650"/>
    </row>
    <row r="446" spans="16:31" customFormat="1">
      <c r="P446" s="3436"/>
      <c r="Q446" s="3436"/>
      <c r="R446" s="3436"/>
      <c r="S446" s="3436"/>
      <c r="T446" s="3436"/>
      <c r="U446" s="3436"/>
      <c r="V446" s="3436"/>
      <c r="W446" s="3436"/>
      <c r="X446" s="3436"/>
      <c r="Y446" s="3436"/>
      <c r="Z446" s="3436"/>
      <c r="AA446" s="3436"/>
      <c r="AB446" s="3436"/>
      <c r="AC446" s="3436"/>
      <c r="AD446" s="3436"/>
      <c r="AE446" s="3650"/>
    </row>
    <row r="447" spans="16:31" customFormat="1">
      <c r="P447" s="3436"/>
      <c r="Q447" s="3436"/>
      <c r="R447" s="3436"/>
      <c r="S447" s="3436"/>
      <c r="T447" s="3436"/>
      <c r="U447" s="3436"/>
      <c r="V447" s="3436"/>
      <c r="W447" s="3436"/>
      <c r="X447" s="3436"/>
      <c r="Y447" s="3436"/>
      <c r="Z447" s="3436"/>
      <c r="AA447" s="3436"/>
      <c r="AB447" s="3436"/>
      <c r="AC447" s="3436"/>
      <c r="AD447" s="3436"/>
      <c r="AE447" s="3650"/>
    </row>
    <row r="448" spans="16:31" customFormat="1">
      <c r="P448" s="3436"/>
      <c r="Q448" s="3436"/>
      <c r="R448" s="3436"/>
      <c r="S448" s="3436"/>
      <c r="T448" s="3436"/>
      <c r="U448" s="3436"/>
      <c r="V448" s="3436"/>
      <c r="W448" s="3436"/>
      <c r="X448" s="3436"/>
      <c r="Y448" s="3436"/>
      <c r="Z448" s="3436"/>
      <c r="AA448" s="3436"/>
      <c r="AB448" s="3436"/>
      <c r="AC448" s="3436"/>
      <c r="AD448" s="3436"/>
      <c r="AE448" s="3650"/>
    </row>
    <row r="449" spans="16:31" customFormat="1">
      <c r="P449" s="3436"/>
      <c r="Q449" s="3436"/>
      <c r="R449" s="3436"/>
      <c r="S449" s="3436"/>
      <c r="T449" s="3436"/>
      <c r="U449" s="3436"/>
      <c r="V449" s="3436"/>
      <c r="W449" s="3436"/>
      <c r="X449" s="3436"/>
      <c r="Y449" s="3436"/>
      <c r="Z449" s="3436"/>
      <c r="AA449" s="3436"/>
      <c r="AB449" s="3436"/>
      <c r="AC449" s="3436"/>
      <c r="AD449" s="3436"/>
      <c r="AE449" s="3650"/>
    </row>
    <row r="450" spans="16:31" customFormat="1">
      <c r="P450" s="3436"/>
      <c r="Q450" s="3436"/>
      <c r="R450" s="3436"/>
      <c r="S450" s="3436"/>
      <c r="T450" s="3436"/>
      <c r="U450" s="3436"/>
      <c r="V450" s="3436"/>
      <c r="W450" s="3436"/>
      <c r="X450" s="3436"/>
      <c r="Y450" s="3436"/>
      <c r="Z450" s="3436"/>
      <c r="AA450" s="3436"/>
      <c r="AB450" s="3436"/>
      <c r="AC450" s="3436"/>
      <c r="AD450" s="3436"/>
      <c r="AE450" s="3650"/>
    </row>
    <row r="451" spans="16:31" customFormat="1">
      <c r="P451" s="3436"/>
      <c r="Q451" s="3436"/>
      <c r="R451" s="3436"/>
      <c r="S451" s="3436"/>
      <c r="T451" s="3436"/>
      <c r="U451" s="3436"/>
      <c r="V451" s="3436"/>
      <c r="W451" s="3436"/>
      <c r="X451" s="3436"/>
      <c r="Y451" s="3436"/>
      <c r="Z451" s="3436"/>
      <c r="AA451" s="3436"/>
      <c r="AB451" s="3436"/>
      <c r="AC451" s="3436"/>
      <c r="AD451" s="3436"/>
      <c r="AE451" s="3650"/>
    </row>
    <row r="452" spans="16:31" customFormat="1">
      <c r="P452" s="3436"/>
      <c r="Q452" s="3436"/>
      <c r="R452" s="3436"/>
      <c r="S452" s="3436"/>
      <c r="T452" s="3436"/>
      <c r="U452" s="3436"/>
      <c r="V452" s="3436"/>
      <c r="W452" s="3436"/>
      <c r="X452" s="3436"/>
      <c r="Y452" s="3436"/>
      <c r="Z452" s="3436"/>
      <c r="AA452" s="3436"/>
      <c r="AB452" s="3436"/>
      <c r="AC452" s="3436"/>
      <c r="AD452" s="3436"/>
      <c r="AE452" s="3650"/>
    </row>
    <row r="453" spans="16:31" customFormat="1">
      <c r="P453" s="3436"/>
      <c r="Q453" s="3436"/>
      <c r="R453" s="3436"/>
      <c r="S453" s="3436"/>
      <c r="T453" s="3436"/>
      <c r="U453" s="3436"/>
      <c r="V453" s="3436"/>
      <c r="W453" s="3436"/>
      <c r="X453" s="3436"/>
      <c r="Y453" s="3436"/>
      <c r="Z453" s="3436"/>
      <c r="AA453" s="3436"/>
      <c r="AB453" s="3436"/>
      <c r="AC453" s="3436"/>
      <c r="AD453" s="3436"/>
      <c r="AE453" s="3650"/>
    </row>
    <row r="454" spans="16:31" customFormat="1">
      <c r="P454" s="3436"/>
      <c r="Q454" s="3436"/>
      <c r="R454" s="3436"/>
      <c r="S454" s="3436"/>
      <c r="T454" s="3436"/>
      <c r="U454" s="3436"/>
      <c r="V454" s="3436"/>
      <c r="W454" s="3436"/>
      <c r="X454" s="3436"/>
      <c r="Y454" s="3436"/>
      <c r="Z454" s="3436"/>
      <c r="AA454" s="3436"/>
      <c r="AB454" s="3436"/>
      <c r="AC454" s="3436"/>
      <c r="AD454" s="3436"/>
      <c r="AE454" s="3650"/>
    </row>
    <row r="455" spans="16:31" customFormat="1">
      <c r="P455" s="3436"/>
      <c r="Q455" s="3436"/>
      <c r="R455" s="3436"/>
      <c r="S455" s="3436"/>
      <c r="T455" s="3436"/>
      <c r="U455" s="3436"/>
      <c r="V455" s="3436"/>
      <c r="W455" s="3436"/>
      <c r="X455" s="3436"/>
      <c r="Y455" s="3436"/>
      <c r="Z455" s="3436"/>
      <c r="AA455" s="3436"/>
      <c r="AB455" s="3436"/>
      <c r="AC455" s="3436"/>
      <c r="AD455" s="3436"/>
      <c r="AE455" s="3650"/>
    </row>
    <row r="456" spans="16:31" customFormat="1">
      <c r="P456" s="3436"/>
      <c r="Q456" s="3436"/>
      <c r="R456" s="3436"/>
      <c r="S456" s="3436"/>
      <c r="T456" s="3436"/>
      <c r="U456" s="3436"/>
      <c r="V456" s="3436"/>
      <c r="W456" s="3436"/>
      <c r="X456" s="3436"/>
      <c r="Y456" s="3436"/>
      <c r="Z456" s="3436"/>
      <c r="AA456" s="3436"/>
      <c r="AB456" s="3436"/>
      <c r="AC456" s="3436"/>
      <c r="AD456" s="3436"/>
      <c r="AE456" s="3650"/>
    </row>
    <row r="457" spans="16:31" customFormat="1">
      <c r="P457" s="3436"/>
      <c r="Q457" s="3436"/>
      <c r="R457" s="3436"/>
      <c r="S457" s="3436"/>
      <c r="T457" s="3436"/>
      <c r="U457" s="3436"/>
      <c r="V457" s="3436"/>
      <c r="W457" s="3436"/>
      <c r="X457" s="3436"/>
      <c r="Y457" s="3436"/>
      <c r="Z457" s="3436"/>
      <c r="AA457" s="3436"/>
      <c r="AB457" s="3436"/>
      <c r="AC457" s="3436"/>
      <c r="AD457" s="3436"/>
      <c r="AE457" s="3650"/>
    </row>
    <row r="458" spans="16:31" customFormat="1">
      <c r="P458" s="3436"/>
      <c r="Q458" s="3436"/>
      <c r="R458" s="3436"/>
      <c r="S458" s="3436"/>
      <c r="T458" s="3436"/>
      <c r="U458" s="3436"/>
      <c r="V458" s="3436"/>
      <c r="W458" s="3436"/>
      <c r="X458" s="3436"/>
      <c r="Y458" s="3436"/>
      <c r="Z458" s="3436"/>
      <c r="AA458" s="3436"/>
      <c r="AB458" s="3436"/>
      <c r="AC458" s="3436"/>
      <c r="AD458" s="3436"/>
      <c r="AE458" s="3650"/>
    </row>
    <row r="459" spans="16:31" customFormat="1">
      <c r="P459" s="3436"/>
      <c r="Q459" s="3436"/>
      <c r="R459" s="3436"/>
      <c r="S459" s="3436"/>
      <c r="T459" s="3436"/>
      <c r="U459" s="3436"/>
      <c r="V459" s="3436"/>
      <c r="W459" s="3436"/>
      <c r="X459" s="3436"/>
      <c r="Y459" s="3436"/>
      <c r="Z459" s="3436"/>
      <c r="AA459" s="3436"/>
      <c r="AB459" s="3436"/>
      <c r="AC459" s="3436"/>
      <c r="AD459" s="3436"/>
      <c r="AE459" s="3650"/>
    </row>
    <row r="460" spans="16:31" customFormat="1">
      <c r="P460" s="3436"/>
      <c r="Q460" s="3436"/>
      <c r="R460" s="3436"/>
      <c r="S460" s="3436"/>
      <c r="T460" s="3436"/>
      <c r="U460" s="3436"/>
      <c r="V460" s="3436"/>
      <c r="W460" s="3436"/>
      <c r="X460" s="3436"/>
      <c r="Y460" s="3436"/>
      <c r="Z460" s="3436"/>
      <c r="AA460" s="3436"/>
      <c r="AB460" s="3436"/>
      <c r="AC460" s="3436"/>
      <c r="AD460" s="3436"/>
      <c r="AE460" s="3650"/>
    </row>
    <row r="461" spans="16:31" customFormat="1">
      <c r="P461" s="3436"/>
      <c r="Q461" s="3436"/>
      <c r="R461" s="3436"/>
      <c r="S461" s="3436"/>
      <c r="T461" s="3436"/>
      <c r="U461" s="3436"/>
      <c r="V461" s="3436"/>
      <c r="W461" s="3436"/>
      <c r="X461" s="3436"/>
      <c r="Y461" s="3436"/>
      <c r="Z461" s="3436"/>
      <c r="AA461" s="3436"/>
      <c r="AB461" s="3436"/>
      <c r="AC461" s="3436"/>
      <c r="AD461" s="3436"/>
      <c r="AE461" s="3650"/>
    </row>
    <row r="462" spans="16:31" customFormat="1">
      <c r="P462" s="3436"/>
      <c r="Q462" s="3436"/>
      <c r="R462" s="3436"/>
      <c r="S462" s="3436"/>
      <c r="T462" s="3436"/>
      <c r="U462" s="3436"/>
      <c r="V462" s="3436"/>
      <c r="W462" s="3436"/>
      <c r="X462" s="3436"/>
      <c r="Y462" s="3436"/>
      <c r="Z462" s="3436"/>
      <c r="AA462" s="3436"/>
      <c r="AB462" s="3436"/>
      <c r="AC462" s="3436"/>
      <c r="AD462" s="3436"/>
      <c r="AE462" s="3650"/>
    </row>
    <row r="463" spans="16:31" customFormat="1">
      <c r="P463" s="3436"/>
      <c r="Q463" s="3436"/>
      <c r="R463" s="3436"/>
      <c r="S463" s="3436"/>
      <c r="T463" s="3436"/>
      <c r="U463" s="3436"/>
      <c r="V463" s="3436"/>
      <c r="W463" s="3436"/>
      <c r="X463" s="3436"/>
      <c r="Y463" s="3436"/>
      <c r="Z463" s="3436"/>
      <c r="AA463" s="3436"/>
      <c r="AB463" s="3436"/>
      <c r="AC463" s="3436"/>
      <c r="AD463" s="3436"/>
      <c r="AE463" s="3650"/>
    </row>
    <row r="464" spans="16:31" customFormat="1">
      <c r="P464" s="3436"/>
      <c r="Q464" s="3436"/>
      <c r="R464" s="3436"/>
      <c r="S464" s="3436"/>
      <c r="T464" s="3436"/>
      <c r="U464" s="3436"/>
      <c r="V464" s="3436"/>
      <c r="W464" s="3436"/>
      <c r="X464" s="3436"/>
      <c r="Y464" s="3436"/>
      <c r="Z464" s="3436"/>
      <c r="AA464" s="3436"/>
      <c r="AB464" s="3436"/>
      <c r="AC464" s="3436"/>
      <c r="AD464" s="3436"/>
      <c r="AE464" s="3650"/>
    </row>
    <row r="465" spans="16:31" customFormat="1">
      <c r="P465" s="3436"/>
      <c r="Q465" s="3436"/>
      <c r="R465" s="3436"/>
      <c r="S465" s="3436"/>
      <c r="T465" s="3436"/>
      <c r="U465" s="3436"/>
      <c r="V465" s="3436"/>
      <c r="W465" s="3436"/>
      <c r="X465" s="3436"/>
      <c r="Y465" s="3436"/>
      <c r="Z465" s="3436"/>
      <c r="AA465" s="3436"/>
      <c r="AB465" s="3436"/>
      <c r="AC465" s="3436"/>
      <c r="AD465" s="3436"/>
      <c r="AE465" s="3650"/>
    </row>
    <row r="466" spans="16:31" customFormat="1">
      <c r="P466" s="3436"/>
      <c r="Q466" s="3436"/>
      <c r="R466" s="3436"/>
      <c r="S466" s="3436"/>
      <c r="T466" s="3436"/>
      <c r="U466" s="3436"/>
      <c r="V466" s="3436"/>
      <c r="W466" s="3436"/>
      <c r="X466" s="3436"/>
      <c r="Y466" s="3436"/>
      <c r="Z466" s="3436"/>
      <c r="AA466" s="3436"/>
      <c r="AB466" s="3436"/>
      <c r="AC466" s="3436"/>
      <c r="AD466" s="3436"/>
      <c r="AE466" s="3650"/>
    </row>
    <row r="467" spans="16:31" customFormat="1">
      <c r="P467" s="3436"/>
      <c r="Q467" s="3436"/>
      <c r="R467" s="3436"/>
      <c r="S467" s="3436"/>
      <c r="T467" s="3436"/>
      <c r="U467" s="3436"/>
      <c r="V467" s="3436"/>
      <c r="W467" s="3436"/>
      <c r="X467" s="3436"/>
      <c r="Y467" s="3436"/>
      <c r="Z467" s="3436"/>
      <c r="AA467" s="3436"/>
      <c r="AB467" s="3436"/>
      <c r="AC467" s="3436"/>
      <c r="AD467" s="3436"/>
      <c r="AE467" s="3650"/>
    </row>
    <row r="468" spans="16:31" customFormat="1">
      <c r="P468" s="3436"/>
      <c r="Q468" s="3436"/>
      <c r="R468" s="3436"/>
      <c r="S468" s="3436"/>
      <c r="T468" s="3436"/>
      <c r="U468" s="3436"/>
      <c r="V468" s="3436"/>
      <c r="W468" s="3436"/>
      <c r="X468" s="3436"/>
      <c r="Y468" s="3436"/>
      <c r="Z468" s="3436"/>
      <c r="AA468" s="3436"/>
      <c r="AB468" s="3436"/>
      <c r="AC468" s="3436"/>
      <c r="AD468" s="3436"/>
      <c r="AE468" s="3650"/>
    </row>
    <row r="469" spans="16:31" customFormat="1">
      <c r="P469" s="3436"/>
      <c r="Q469" s="3436"/>
      <c r="R469" s="3436"/>
      <c r="S469" s="3436"/>
      <c r="T469" s="3436"/>
      <c r="U469" s="3436"/>
      <c r="V469" s="3436"/>
      <c r="W469" s="3436"/>
      <c r="X469" s="3436"/>
      <c r="Y469" s="3436"/>
      <c r="Z469" s="3436"/>
      <c r="AA469" s="3436"/>
      <c r="AB469" s="3436"/>
      <c r="AC469" s="3436"/>
      <c r="AD469" s="3436"/>
      <c r="AE469" s="3650"/>
    </row>
    <row r="470" spans="16:31" customFormat="1">
      <c r="P470" s="3436"/>
      <c r="Q470" s="3436"/>
      <c r="R470" s="3436"/>
      <c r="S470" s="3436"/>
      <c r="T470" s="3436"/>
      <c r="U470" s="3436"/>
      <c r="V470" s="3436"/>
      <c r="W470" s="3436"/>
      <c r="X470" s="3436"/>
      <c r="Y470" s="3436"/>
      <c r="Z470" s="3436"/>
      <c r="AA470" s="3436"/>
      <c r="AB470" s="3436"/>
      <c r="AC470" s="3436"/>
      <c r="AD470" s="3436"/>
      <c r="AE470" s="3650"/>
    </row>
    <row r="471" spans="16:31" customFormat="1">
      <c r="P471" s="3436"/>
      <c r="Q471" s="3436"/>
      <c r="R471" s="3436"/>
      <c r="S471" s="3436"/>
      <c r="T471" s="3436"/>
      <c r="U471" s="3436"/>
      <c r="V471" s="3436"/>
      <c r="W471" s="3436"/>
      <c r="X471" s="3436"/>
      <c r="Y471" s="3436"/>
      <c r="Z471" s="3436"/>
      <c r="AA471" s="3436"/>
      <c r="AB471" s="3436"/>
      <c r="AC471" s="3436"/>
      <c r="AD471" s="3436"/>
      <c r="AE471" s="3650"/>
    </row>
    <row r="472" spans="16:31" customFormat="1">
      <c r="P472" s="3436"/>
      <c r="Q472" s="3436"/>
      <c r="R472" s="3436"/>
      <c r="S472" s="3436"/>
      <c r="T472" s="3436"/>
      <c r="U472" s="3436"/>
      <c r="V472" s="3436"/>
      <c r="W472" s="3436"/>
      <c r="X472" s="3436"/>
      <c r="Y472" s="3436"/>
      <c r="Z472" s="3436"/>
      <c r="AA472" s="3436"/>
      <c r="AB472" s="3436"/>
      <c r="AC472" s="3436"/>
      <c r="AD472" s="3436"/>
      <c r="AE472" s="3650"/>
    </row>
    <row r="473" spans="16:31" customFormat="1">
      <c r="P473" s="3436"/>
      <c r="Q473" s="3436"/>
      <c r="R473" s="3436"/>
      <c r="S473" s="3436"/>
      <c r="T473" s="3436"/>
      <c r="U473" s="3436"/>
      <c r="V473" s="3436"/>
      <c r="W473" s="3436"/>
      <c r="X473" s="3436"/>
      <c r="Y473" s="3436"/>
      <c r="Z473" s="3436"/>
      <c r="AA473" s="3436"/>
      <c r="AB473" s="3436"/>
      <c r="AC473" s="3436"/>
      <c r="AD473" s="3436"/>
      <c r="AE473" s="3650"/>
    </row>
    <row r="474" spans="16:31" customFormat="1">
      <c r="P474" s="3436"/>
      <c r="Q474" s="3436"/>
      <c r="R474" s="3436"/>
      <c r="S474" s="3436"/>
      <c r="T474" s="3436"/>
      <c r="U474" s="3436"/>
      <c r="V474" s="3436"/>
      <c r="W474" s="3436"/>
      <c r="X474" s="3436"/>
      <c r="Y474" s="3436"/>
      <c r="Z474" s="3436"/>
      <c r="AA474" s="3436"/>
      <c r="AB474" s="3436"/>
      <c r="AC474" s="3436"/>
      <c r="AD474" s="3436"/>
      <c r="AE474" s="3650"/>
    </row>
    <row r="475" spans="16:31" customFormat="1">
      <c r="P475" s="3436"/>
      <c r="Q475" s="3436"/>
      <c r="R475" s="3436"/>
      <c r="S475" s="3436"/>
      <c r="T475" s="3436"/>
      <c r="U475" s="3436"/>
      <c r="V475" s="3436"/>
      <c r="W475" s="3436"/>
      <c r="X475" s="3436"/>
      <c r="Y475" s="3436"/>
      <c r="Z475" s="3436"/>
      <c r="AA475" s="3436"/>
      <c r="AB475" s="3436"/>
      <c r="AC475" s="3436"/>
      <c r="AD475" s="3436"/>
      <c r="AE475" s="3650"/>
    </row>
    <row r="476" spans="16:31" customFormat="1">
      <c r="P476" s="3436"/>
      <c r="Q476" s="3436"/>
      <c r="R476" s="3436"/>
      <c r="S476" s="3436"/>
      <c r="T476" s="3436"/>
      <c r="U476" s="3436"/>
      <c r="V476" s="3436"/>
      <c r="W476" s="3436"/>
      <c r="X476" s="3436"/>
      <c r="Y476" s="3436"/>
      <c r="Z476" s="3436"/>
      <c r="AA476" s="3436"/>
      <c r="AB476" s="3436"/>
      <c r="AC476" s="3436"/>
      <c r="AD476" s="3436"/>
      <c r="AE476" s="3650"/>
    </row>
    <row r="477" spans="16:31" customFormat="1">
      <c r="P477" s="3436"/>
      <c r="Q477" s="3436"/>
      <c r="R477" s="3436"/>
      <c r="S477" s="3436"/>
      <c r="T477" s="3436"/>
      <c r="U477" s="3436"/>
      <c r="V477" s="3436"/>
      <c r="W477" s="3436"/>
      <c r="X477" s="3436"/>
      <c r="Y477" s="3436"/>
      <c r="Z477" s="3436"/>
      <c r="AA477" s="3436"/>
      <c r="AB477" s="3436"/>
      <c r="AC477" s="3436"/>
      <c r="AD477" s="3436"/>
      <c r="AE477" s="3650"/>
    </row>
    <row r="478" spans="16:31" customFormat="1">
      <c r="P478" s="3436"/>
      <c r="Q478" s="3436"/>
      <c r="R478" s="3436"/>
      <c r="S478" s="3436"/>
      <c r="T478" s="3436"/>
      <c r="U478" s="3436"/>
      <c r="V478" s="3436"/>
      <c r="W478" s="3436"/>
      <c r="X478" s="3436"/>
      <c r="Y478" s="3436"/>
      <c r="Z478" s="3436"/>
      <c r="AA478" s="3436"/>
      <c r="AB478" s="3436"/>
      <c r="AC478" s="3436"/>
      <c r="AD478" s="3436"/>
      <c r="AE478" s="3650"/>
    </row>
    <row r="479" spans="16:31" customFormat="1">
      <c r="P479" s="3436"/>
      <c r="Q479" s="3436"/>
      <c r="R479" s="3436"/>
      <c r="S479" s="3436"/>
      <c r="T479" s="3436"/>
      <c r="U479" s="3436"/>
      <c r="V479" s="3436"/>
      <c r="W479" s="3436"/>
      <c r="X479" s="3436"/>
      <c r="Y479" s="3436"/>
      <c r="Z479" s="3436"/>
      <c r="AA479" s="3436"/>
      <c r="AB479" s="3436"/>
      <c r="AC479" s="3436"/>
      <c r="AD479" s="3436"/>
      <c r="AE479" s="3650"/>
    </row>
    <row r="480" spans="16:31" customFormat="1">
      <c r="P480" s="3436"/>
      <c r="Q480" s="3436"/>
      <c r="R480" s="3436"/>
      <c r="S480" s="3436"/>
      <c r="T480" s="3436"/>
      <c r="U480" s="3436"/>
      <c r="V480" s="3436"/>
      <c r="W480" s="3436"/>
      <c r="X480" s="3436"/>
      <c r="Y480" s="3436"/>
      <c r="Z480" s="3436"/>
      <c r="AA480" s="3436"/>
      <c r="AB480" s="3436"/>
      <c r="AC480" s="3436"/>
      <c r="AD480" s="3436"/>
      <c r="AE480" s="3650"/>
    </row>
    <row r="481" spans="16:31" customFormat="1">
      <c r="P481" s="3436"/>
      <c r="Q481" s="3436"/>
      <c r="R481" s="3436"/>
      <c r="S481" s="3436"/>
      <c r="T481" s="3436"/>
      <c r="U481" s="3436"/>
      <c r="V481" s="3436"/>
      <c r="W481" s="3436"/>
      <c r="X481" s="3436"/>
      <c r="Y481" s="3436"/>
      <c r="Z481" s="3436"/>
      <c r="AA481" s="3436"/>
      <c r="AB481" s="3436"/>
      <c r="AC481" s="3436"/>
      <c r="AD481" s="3436"/>
      <c r="AE481" s="3650"/>
    </row>
    <row r="482" spans="16:31" customFormat="1">
      <c r="P482" s="3436"/>
      <c r="Q482" s="3436"/>
      <c r="R482" s="3436"/>
      <c r="S482" s="3436"/>
      <c r="T482" s="3436"/>
      <c r="U482" s="3436"/>
      <c r="V482" s="3436"/>
      <c r="W482" s="3436"/>
      <c r="X482" s="3436"/>
      <c r="Y482" s="3436"/>
      <c r="Z482" s="3436"/>
      <c r="AA482" s="3436"/>
      <c r="AB482" s="3436"/>
      <c r="AC482" s="3436"/>
      <c r="AD482" s="3436"/>
      <c r="AE482" s="3650"/>
    </row>
    <row r="483" spans="16:31" customFormat="1">
      <c r="P483" s="3436"/>
      <c r="Q483" s="3436"/>
      <c r="R483" s="3436"/>
      <c r="S483" s="3436"/>
      <c r="T483" s="3436"/>
      <c r="U483" s="3436"/>
      <c r="V483" s="3436"/>
      <c r="W483" s="3436"/>
      <c r="X483" s="3436"/>
      <c r="Y483" s="3436"/>
      <c r="Z483" s="3436"/>
      <c r="AA483" s="3436"/>
      <c r="AB483" s="3436"/>
      <c r="AC483" s="3436"/>
      <c r="AD483" s="3436"/>
      <c r="AE483" s="3650"/>
    </row>
    <row r="484" spans="16:31" customFormat="1">
      <c r="P484" s="3436"/>
      <c r="Q484" s="3436"/>
      <c r="R484" s="3436"/>
      <c r="S484" s="3436"/>
      <c r="T484" s="3436"/>
      <c r="U484" s="3436"/>
      <c r="V484" s="3436"/>
      <c r="W484" s="3436"/>
      <c r="X484" s="3436"/>
      <c r="Y484" s="3436"/>
      <c r="Z484" s="3436"/>
      <c r="AA484" s="3436"/>
      <c r="AB484" s="3436"/>
      <c r="AC484" s="3436"/>
      <c r="AD484" s="3436"/>
      <c r="AE484" s="3650"/>
    </row>
    <row r="485" spans="16:31" customFormat="1">
      <c r="P485" s="3436"/>
      <c r="Q485" s="3436"/>
      <c r="R485" s="3436"/>
      <c r="S485" s="3436"/>
      <c r="T485" s="3436"/>
      <c r="U485" s="3436"/>
      <c r="V485" s="3436"/>
      <c r="W485" s="3436"/>
      <c r="X485" s="3436"/>
      <c r="Y485" s="3436"/>
      <c r="Z485" s="3436"/>
      <c r="AA485" s="3436"/>
      <c r="AB485" s="3436"/>
      <c r="AC485" s="3436"/>
      <c r="AD485" s="3436"/>
      <c r="AE485" s="3650"/>
    </row>
    <row r="486" spans="16:31" customFormat="1">
      <c r="P486" s="3436"/>
      <c r="Q486" s="3436"/>
      <c r="R486" s="3436"/>
      <c r="S486" s="3436"/>
      <c r="T486" s="3436"/>
      <c r="U486" s="3436"/>
      <c r="V486" s="3436"/>
      <c r="W486" s="3436"/>
      <c r="X486" s="3436"/>
      <c r="Y486" s="3436"/>
      <c r="Z486" s="3436"/>
      <c r="AA486" s="3436"/>
      <c r="AB486" s="3436"/>
      <c r="AC486" s="3436"/>
      <c r="AD486" s="3436"/>
      <c r="AE486" s="3650"/>
    </row>
    <row r="487" spans="16:31" customFormat="1">
      <c r="P487" s="3436"/>
      <c r="Q487" s="3436"/>
      <c r="R487" s="3436"/>
      <c r="S487" s="3436"/>
      <c r="T487" s="3436"/>
      <c r="U487" s="3436"/>
      <c r="V487" s="3436"/>
      <c r="W487" s="3436"/>
      <c r="X487" s="3436"/>
      <c r="Y487" s="3436"/>
      <c r="Z487" s="3436"/>
      <c r="AA487" s="3436"/>
      <c r="AB487" s="3436"/>
      <c r="AC487" s="3436"/>
      <c r="AD487" s="3436"/>
      <c r="AE487" s="3650"/>
    </row>
    <row r="488" spans="16:31" customFormat="1">
      <c r="P488" s="3436"/>
      <c r="Q488" s="3436"/>
      <c r="R488" s="3436"/>
      <c r="S488" s="3436"/>
      <c r="T488" s="3436"/>
      <c r="U488" s="3436"/>
      <c r="V488" s="3436"/>
      <c r="W488" s="3436"/>
      <c r="X488" s="3436"/>
      <c r="Y488" s="3436"/>
      <c r="Z488" s="3436"/>
      <c r="AA488" s="3436"/>
      <c r="AB488" s="3436"/>
      <c r="AC488" s="3436"/>
      <c r="AD488" s="3436"/>
      <c r="AE488" s="3650"/>
    </row>
    <row r="489" spans="16:31" customFormat="1">
      <c r="P489" s="3436"/>
      <c r="Q489" s="3436"/>
      <c r="R489" s="3436"/>
      <c r="S489" s="3436"/>
      <c r="T489" s="3436"/>
      <c r="U489" s="3436"/>
      <c r="V489" s="3436"/>
      <c r="W489" s="3436"/>
      <c r="X489" s="3436"/>
      <c r="Y489" s="3436"/>
      <c r="Z489" s="3436"/>
      <c r="AA489" s="3436"/>
      <c r="AB489" s="3436"/>
      <c r="AC489" s="3436"/>
      <c r="AD489" s="3436"/>
      <c r="AE489" s="3650"/>
    </row>
    <row r="490" spans="16:31" customFormat="1">
      <c r="P490" s="3436"/>
      <c r="Q490" s="3436"/>
      <c r="R490" s="3436"/>
      <c r="S490" s="3436"/>
      <c r="T490" s="3436"/>
      <c r="U490" s="3436"/>
      <c r="V490" s="3436"/>
      <c r="W490" s="3436"/>
      <c r="X490" s="3436"/>
      <c r="Y490" s="3436"/>
      <c r="Z490" s="3436"/>
      <c r="AA490" s="3436"/>
      <c r="AB490" s="3436"/>
      <c r="AC490" s="3436"/>
      <c r="AD490" s="3436"/>
      <c r="AE490" s="3650"/>
    </row>
    <row r="491" spans="16:31" customFormat="1">
      <c r="P491" s="3436"/>
      <c r="Q491" s="3436"/>
      <c r="R491" s="3436"/>
      <c r="S491" s="3436"/>
      <c r="T491" s="3436"/>
      <c r="U491" s="3436"/>
      <c r="V491" s="3436"/>
      <c r="W491" s="3436"/>
      <c r="X491" s="3436"/>
      <c r="Y491" s="3436"/>
      <c r="Z491" s="3436"/>
      <c r="AA491" s="3436"/>
      <c r="AB491" s="3436"/>
      <c r="AC491" s="3436"/>
      <c r="AD491" s="3436"/>
      <c r="AE491" s="3650"/>
    </row>
    <row r="492" spans="16:31" customFormat="1">
      <c r="P492" s="3436"/>
      <c r="Q492" s="3436"/>
      <c r="R492" s="3436"/>
      <c r="S492" s="3436"/>
      <c r="T492" s="3436"/>
      <c r="U492" s="3436"/>
      <c r="V492" s="3436"/>
      <c r="W492" s="3436"/>
      <c r="X492" s="3436"/>
      <c r="Y492" s="3436"/>
      <c r="Z492" s="3436"/>
      <c r="AA492" s="3436"/>
      <c r="AB492" s="3436"/>
      <c r="AC492" s="3436"/>
      <c r="AD492" s="3436"/>
      <c r="AE492" s="3650"/>
    </row>
    <row r="493" spans="16:31" customFormat="1">
      <c r="P493" s="3436"/>
      <c r="Q493" s="3436"/>
      <c r="R493" s="3436"/>
      <c r="S493" s="3436"/>
      <c r="T493" s="3436"/>
      <c r="U493" s="3436"/>
      <c r="V493" s="3436"/>
      <c r="W493" s="3436"/>
      <c r="X493" s="3436"/>
      <c r="Y493" s="3436"/>
      <c r="Z493" s="3436"/>
      <c r="AA493" s="3436"/>
      <c r="AB493" s="3436"/>
      <c r="AC493" s="3436"/>
      <c r="AD493" s="3436"/>
      <c r="AE493" s="3650"/>
    </row>
    <row r="494" spans="16:31" customFormat="1">
      <c r="P494" s="3436"/>
      <c r="Q494" s="3436"/>
      <c r="R494" s="3436"/>
      <c r="S494" s="3436"/>
      <c r="T494" s="3436"/>
      <c r="U494" s="3436"/>
      <c r="V494" s="3436"/>
      <c r="W494" s="3436"/>
      <c r="X494" s="3436"/>
      <c r="Y494" s="3436"/>
      <c r="Z494" s="3436"/>
      <c r="AA494" s="3436"/>
      <c r="AB494" s="3436"/>
      <c r="AC494" s="3436"/>
      <c r="AD494" s="3436"/>
      <c r="AE494" s="3650"/>
    </row>
    <row r="495" spans="16:31" customFormat="1">
      <c r="P495" s="3436"/>
      <c r="Q495" s="3436"/>
      <c r="R495" s="3436"/>
      <c r="S495" s="3436"/>
      <c r="T495" s="3436"/>
      <c r="U495" s="3436"/>
      <c r="V495" s="3436"/>
      <c r="W495" s="3436"/>
      <c r="X495" s="3436"/>
      <c r="Y495" s="3436"/>
      <c r="Z495" s="3436"/>
      <c r="AA495" s="3436"/>
      <c r="AB495" s="3436"/>
      <c r="AC495" s="3436"/>
      <c r="AD495" s="3436"/>
      <c r="AE495" s="3650"/>
    </row>
    <row r="496" spans="16:31" customFormat="1">
      <c r="P496" s="3436"/>
      <c r="Q496" s="3436"/>
      <c r="R496" s="3436"/>
      <c r="S496" s="3436"/>
      <c r="T496" s="3436"/>
      <c r="U496" s="3436"/>
      <c r="V496" s="3436"/>
      <c r="W496" s="3436"/>
      <c r="X496" s="3436"/>
      <c r="Y496" s="3436"/>
      <c r="Z496" s="3436"/>
      <c r="AA496" s="3436"/>
      <c r="AB496" s="3436"/>
      <c r="AC496" s="3436"/>
      <c r="AD496" s="3436"/>
      <c r="AE496" s="3650"/>
    </row>
    <row r="497" spans="16:31" customFormat="1">
      <c r="P497" s="3436"/>
      <c r="Q497" s="3436"/>
      <c r="R497" s="3436"/>
      <c r="S497" s="3436"/>
      <c r="T497" s="3436"/>
      <c r="U497" s="3436"/>
      <c r="V497" s="3436"/>
      <c r="W497" s="3436"/>
      <c r="X497" s="3436"/>
      <c r="Y497" s="3436"/>
      <c r="Z497" s="3436"/>
      <c r="AA497" s="3436"/>
      <c r="AB497" s="3436"/>
      <c r="AC497" s="3436"/>
      <c r="AD497" s="3436"/>
      <c r="AE497" s="3650"/>
    </row>
    <row r="498" spans="16:31" customFormat="1">
      <c r="P498" s="3436"/>
      <c r="Q498" s="3436"/>
      <c r="R498" s="3436"/>
      <c r="S498" s="3436"/>
      <c r="T498" s="3436"/>
      <c r="U498" s="3436"/>
      <c r="V498" s="3436"/>
      <c r="W498" s="3436"/>
      <c r="X498" s="3436"/>
      <c r="Y498" s="3436"/>
      <c r="Z498" s="3436"/>
      <c r="AA498" s="3436"/>
      <c r="AB498" s="3436"/>
      <c r="AC498" s="3436"/>
      <c r="AD498" s="3436"/>
      <c r="AE498" s="3650"/>
    </row>
    <row r="499" spans="16:31" customFormat="1">
      <c r="P499" s="3436"/>
      <c r="Q499" s="3436"/>
      <c r="R499" s="3436"/>
      <c r="S499" s="3436"/>
      <c r="T499" s="3436"/>
      <c r="U499" s="3436"/>
      <c r="V499" s="3436"/>
      <c r="W499" s="3436"/>
      <c r="X499" s="3436"/>
      <c r="Y499" s="3436"/>
      <c r="Z499" s="3436"/>
      <c r="AA499" s="3436"/>
      <c r="AB499" s="3436"/>
      <c r="AC499" s="3436"/>
      <c r="AD499" s="3436"/>
      <c r="AE499" s="3650"/>
    </row>
    <row r="500" spans="16:31" customFormat="1">
      <c r="P500" s="3436"/>
      <c r="Q500" s="3436"/>
      <c r="R500" s="3436"/>
      <c r="S500" s="3436"/>
      <c r="T500" s="3436"/>
      <c r="U500" s="3436"/>
      <c r="V500" s="3436"/>
      <c r="W500" s="3436"/>
      <c r="X500" s="3436"/>
      <c r="Y500" s="3436"/>
      <c r="Z500" s="3436"/>
      <c r="AA500" s="3436"/>
      <c r="AB500" s="3436"/>
      <c r="AC500" s="3436"/>
      <c r="AD500" s="3436"/>
      <c r="AE500" s="3650"/>
    </row>
    <row r="501" spans="16:31" customFormat="1">
      <c r="P501" s="3436"/>
      <c r="Q501" s="3436"/>
      <c r="R501" s="3436"/>
      <c r="S501" s="3436"/>
      <c r="T501" s="3436"/>
      <c r="U501" s="3436"/>
      <c r="V501" s="3436"/>
      <c r="W501" s="3436"/>
      <c r="X501" s="3436"/>
      <c r="Y501" s="3436"/>
      <c r="Z501" s="3436"/>
      <c r="AA501" s="3436"/>
      <c r="AB501" s="3436"/>
      <c r="AC501" s="3436"/>
      <c r="AD501" s="3436"/>
      <c r="AE501" s="3650"/>
    </row>
    <row r="502" spans="16:31" customFormat="1">
      <c r="P502" s="3436"/>
      <c r="Q502" s="3436"/>
      <c r="R502" s="3436"/>
      <c r="S502" s="3436"/>
      <c r="T502" s="3436"/>
      <c r="U502" s="3436"/>
      <c r="V502" s="3436"/>
      <c r="W502" s="3436"/>
      <c r="X502" s="3436"/>
      <c r="Y502" s="3436"/>
      <c r="Z502" s="3436"/>
      <c r="AA502" s="3436"/>
      <c r="AB502" s="3436"/>
      <c r="AC502" s="3436"/>
      <c r="AD502" s="3436"/>
      <c r="AE502" s="3650"/>
    </row>
    <row r="503" spans="16:31" customFormat="1">
      <c r="P503" s="3436"/>
      <c r="Q503" s="3436"/>
      <c r="R503" s="3436"/>
      <c r="S503" s="3436"/>
      <c r="T503" s="3436"/>
      <c r="U503" s="3436"/>
      <c r="V503" s="3436"/>
      <c r="W503" s="3436"/>
      <c r="X503" s="3436"/>
      <c r="Y503" s="3436"/>
      <c r="Z503" s="3436"/>
      <c r="AA503" s="3436"/>
      <c r="AB503" s="3436"/>
      <c r="AC503" s="3436"/>
      <c r="AD503" s="3436"/>
      <c r="AE503" s="3650"/>
    </row>
    <row r="504" spans="16:31" customFormat="1">
      <c r="P504" s="3436"/>
      <c r="Q504" s="3436"/>
      <c r="R504" s="3436"/>
      <c r="S504" s="3436"/>
      <c r="T504" s="3436"/>
      <c r="U504" s="3436"/>
      <c r="V504" s="3436"/>
      <c r="W504" s="3436"/>
      <c r="X504" s="3436"/>
      <c r="Y504" s="3436"/>
      <c r="Z504" s="3436"/>
      <c r="AA504" s="3436"/>
      <c r="AB504" s="3436"/>
      <c r="AC504" s="3436"/>
      <c r="AD504" s="3436"/>
      <c r="AE504" s="3650"/>
    </row>
    <row r="505" spans="16:31" customFormat="1">
      <c r="P505" s="3436"/>
      <c r="Q505" s="3436"/>
      <c r="R505" s="3436"/>
      <c r="S505" s="3436"/>
      <c r="T505" s="3436"/>
      <c r="U505" s="3436"/>
      <c r="V505" s="3436"/>
      <c r="W505" s="3436"/>
      <c r="X505" s="3436"/>
      <c r="Y505" s="3436"/>
      <c r="Z505" s="3436"/>
      <c r="AA505" s="3436"/>
      <c r="AB505" s="3436"/>
      <c r="AC505" s="3436"/>
      <c r="AD505" s="3436"/>
      <c r="AE505" s="3650"/>
    </row>
    <row r="506" spans="16:31" customFormat="1">
      <c r="P506" s="3436"/>
      <c r="Q506" s="3436"/>
      <c r="R506" s="3436"/>
      <c r="S506" s="3436"/>
      <c r="T506" s="3436"/>
      <c r="U506" s="3436"/>
      <c r="V506" s="3436"/>
      <c r="W506" s="3436"/>
      <c r="X506" s="3436"/>
      <c r="Y506" s="3436"/>
      <c r="Z506" s="3436"/>
      <c r="AA506" s="3436"/>
      <c r="AB506" s="3436"/>
      <c r="AC506" s="3436"/>
      <c r="AD506" s="3436"/>
      <c r="AE506" s="3650"/>
    </row>
    <row r="507" spans="16:31" customFormat="1">
      <c r="P507" s="3436"/>
      <c r="Q507" s="3436"/>
      <c r="R507" s="3436"/>
      <c r="S507" s="3436"/>
      <c r="T507" s="3436"/>
      <c r="U507" s="3436"/>
      <c r="V507" s="3436"/>
      <c r="W507" s="3436"/>
      <c r="X507" s="3436"/>
      <c r="Y507" s="3436"/>
      <c r="Z507" s="3436"/>
      <c r="AA507" s="3436"/>
      <c r="AB507" s="3436"/>
      <c r="AC507" s="3436"/>
      <c r="AD507" s="3436"/>
      <c r="AE507" s="3650"/>
    </row>
    <row r="508" spans="16:31" customFormat="1">
      <c r="P508" s="3436"/>
      <c r="Q508" s="3436"/>
      <c r="R508" s="3436"/>
      <c r="S508" s="3436"/>
      <c r="T508" s="3436"/>
      <c r="U508" s="3436"/>
      <c r="V508" s="3436"/>
      <c r="W508" s="3436"/>
      <c r="X508" s="3436"/>
      <c r="Y508" s="3436"/>
      <c r="Z508" s="3436"/>
      <c r="AA508" s="3436"/>
      <c r="AB508" s="3436"/>
      <c r="AC508" s="3436"/>
      <c r="AD508" s="3436"/>
      <c r="AE508" s="3650"/>
    </row>
    <row r="509" spans="16:31" customFormat="1">
      <c r="P509" s="3436"/>
      <c r="Q509" s="3436"/>
      <c r="R509" s="3436"/>
      <c r="S509" s="3436"/>
      <c r="T509" s="3436"/>
      <c r="U509" s="3436"/>
      <c r="V509" s="3436"/>
      <c r="W509" s="3436"/>
      <c r="X509" s="3436"/>
      <c r="Y509" s="3436"/>
      <c r="Z509" s="3436"/>
      <c r="AA509" s="3436"/>
      <c r="AB509" s="3436"/>
      <c r="AC509" s="3436"/>
      <c r="AD509" s="3436"/>
      <c r="AE509" s="3650"/>
    </row>
    <row r="510" spans="16:31" customFormat="1">
      <c r="P510" s="3436"/>
      <c r="Q510" s="3436"/>
      <c r="R510" s="3436"/>
      <c r="S510" s="3436"/>
      <c r="T510" s="3436"/>
      <c r="U510" s="3436"/>
      <c r="V510" s="3436"/>
      <c r="W510" s="3436"/>
      <c r="X510" s="3436"/>
      <c r="Y510" s="3436"/>
      <c r="Z510" s="3436"/>
      <c r="AA510" s="3436"/>
      <c r="AB510" s="3436"/>
      <c r="AC510" s="3436"/>
      <c r="AD510" s="3436"/>
      <c r="AE510" s="3650"/>
    </row>
    <row r="511" spans="16:31" customFormat="1">
      <c r="P511" s="3436"/>
      <c r="Q511" s="3436"/>
      <c r="R511" s="3436"/>
      <c r="S511" s="3436"/>
      <c r="T511" s="3436"/>
      <c r="U511" s="3436"/>
      <c r="V511" s="3436"/>
      <c r="W511" s="3436"/>
      <c r="X511" s="3436"/>
      <c r="Y511" s="3436"/>
      <c r="Z511" s="3436"/>
      <c r="AA511" s="3436"/>
      <c r="AB511" s="3436"/>
      <c r="AC511" s="3436"/>
      <c r="AD511" s="3436"/>
      <c r="AE511" s="3650"/>
    </row>
    <row r="512" spans="16:31" customFormat="1">
      <c r="P512" s="3436"/>
      <c r="Q512" s="3436"/>
      <c r="R512" s="3436"/>
      <c r="S512" s="3436"/>
      <c r="T512" s="3436"/>
      <c r="U512" s="3436"/>
      <c r="V512" s="3436"/>
      <c r="W512" s="3436"/>
      <c r="X512" s="3436"/>
      <c r="Y512" s="3436"/>
      <c r="Z512" s="3436"/>
      <c r="AA512" s="3436"/>
      <c r="AB512" s="3436"/>
      <c r="AC512" s="3436"/>
      <c r="AD512" s="3436"/>
      <c r="AE512" s="3650"/>
    </row>
    <row r="513" spans="16:31" customFormat="1">
      <c r="P513" s="3436"/>
      <c r="Q513" s="3436"/>
      <c r="R513" s="3436"/>
      <c r="S513" s="3436"/>
      <c r="T513" s="3436"/>
      <c r="U513" s="3436"/>
      <c r="V513" s="3436"/>
      <c r="W513" s="3436"/>
      <c r="X513" s="3436"/>
      <c r="Y513" s="3436"/>
      <c r="Z513" s="3436"/>
      <c r="AA513" s="3436"/>
      <c r="AB513" s="3436"/>
      <c r="AC513" s="3436"/>
      <c r="AD513" s="3436"/>
      <c r="AE513" s="3650"/>
    </row>
    <row r="514" spans="16:31" customFormat="1">
      <c r="P514" s="3436"/>
      <c r="Q514" s="3436"/>
      <c r="R514" s="3436"/>
      <c r="S514" s="3436"/>
      <c r="T514" s="3436"/>
      <c r="U514" s="3436"/>
      <c r="V514" s="3436"/>
      <c r="W514" s="3436"/>
      <c r="X514" s="3436"/>
      <c r="Y514" s="3436"/>
      <c r="Z514" s="3436"/>
      <c r="AA514" s="3436"/>
      <c r="AB514" s="3436"/>
      <c r="AC514" s="3436"/>
      <c r="AD514" s="3436"/>
      <c r="AE514" s="3650"/>
    </row>
    <row r="515" spans="16:31" customFormat="1">
      <c r="P515" s="3436"/>
      <c r="Q515" s="3436"/>
      <c r="R515" s="3436"/>
      <c r="S515" s="3436"/>
      <c r="T515" s="3436"/>
      <c r="U515" s="3436"/>
      <c r="V515" s="3436"/>
      <c r="W515" s="3436"/>
      <c r="X515" s="3436"/>
      <c r="Y515" s="3436"/>
      <c r="Z515" s="3436"/>
      <c r="AA515" s="3436"/>
      <c r="AB515" s="3436"/>
      <c r="AC515" s="3436"/>
      <c r="AD515" s="3436"/>
      <c r="AE515" s="3650"/>
    </row>
    <row r="516" spans="16:31" customFormat="1">
      <c r="P516" s="3436"/>
      <c r="Q516" s="3436"/>
      <c r="R516" s="3436"/>
      <c r="S516" s="3436"/>
      <c r="T516" s="3436"/>
      <c r="U516" s="3436"/>
      <c r="V516" s="3436"/>
      <c r="W516" s="3436"/>
      <c r="X516" s="3436"/>
      <c r="Y516" s="3436"/>
      <c r="Z516" s="3436"/>
      <c r="AA516" s="3436"/>
      <c r="AB516" s="3436"/>
      <c r="AC516" s="3436"/>
      <c r="AD516" s="3436"/>
      <c r="AE516" s="3650"/>
    </row>
    <row r="517" spans="16:31" customFormat="1">
      <c r="P517" s="3436"/>
      <c r="Q517" s="3436"/>
      <c r="R517" s="3436"/>
      <c r="S517" s="3436"/>
      <c r="T517" s="3436"/>
      <c r="U517" s="3436"/>
      <c r="V517" s="3436"/>
      <c r="W517" s="3436"/>
      <c r="X517" s="3436"/>
      <c r="Y517" s="3436"/>
      <c r="Z517" s="3436"/>
      <c r="AA517" s="3436"/>
      <c r="AB517" s="3436"/>
      <c r="AC517" s="3436"/>
      <c r="AD517" s="3436"/>
      <c r="AE517" s="3650"/>
    </row>
    <row r="518" spans="16:31" customFormat="1">
      <c r="P518" s="3436"/>
      <c r="Q518" s="3436"/>
      <c r="R518" s="3436"/>
      <c r="S518" s="3436"/>
      <c r="T518" s="3436"/>
      <c r="U518" s="3436"/>
      <c r="V518" s="3436"/>
      <c r="W518" s="3436"/>
      <c r="X518" s="3436"/>
      <c r="Y518" s="3436"/>
      <c r="Z518" s="3436"/>
      <c r="AA518" s="3436"/>
      <c r="AB518" s="3436"/>
      <c r="AC518" s="3436"/>
      <c r="AD518" s="3436"/>
      <c r="AE518" s="3650"/>
    </row>
    <row r="519" spans="16:31" customFormat="1">
      <c r="P519" s="3436"/>
      <c r="Q519" s="3436"/>
      <c r="R519" s="3436"/>
      <c r="S519" s="3436"/>
      <c r="T519" s="3436"/>
      <c r="U519" s="3436"/>
      <c r="V519" s="3436"/>
      <c r="W519" s="3436"/>
      <c r="X519" s="3436"/>
      <c r="Y519" s="3436"/>
      <c r="Z519" s="3436"/>
      <c r="AA519" s="3436"/>
      <c r="AB519" s="3436"/>
      <c r="AC519" s="3436"/>
      <c r="AD519" s="3436"/>
      <c r="AE519" s="3650"/>
    </row>
    <row r="520" spans="16:31" customFormat="1">
      <c r="P520" s="3436"/>
      <c r="Q520" s="3436"/>
      <c r="R520" s="3436"/>
      <c r="S520" s="3436"/>
      <c r="T520" s="3436"/>
      <c r="U520" s="3436"/>
      <c r="V520" s="3436"/>
      <c r="W520" s="3436"/>
      <c r="X520" s="3436"/>
      <c r="Y520" s="3436"/>
      <c r="Z520" s="3436"/>
      <c r="AA520" s="3436"/>
      <c r="AB520" s="3436"/>
      <c r="AC520" s="3436"/>
      <c r="AD520" s="3436"/>
      <c r="AE520" s="3650"/>
    </row>
    <row r="521" spans="16:31" customFormat="1">
      <c r="P521" s="3436"/>
      <c r="Q521" s="3436"/>
      <c r="R521" s="3436"/>
      <c r="S521" s="3436"/>
      <c r="T521" s="3436"/>
      <c r="U521" s="3436"/>
      <c r="V521" s="3436"/>
      <c r="W521" s="3436"/>
      <c r="X521" s="3436"/>
      <c r="Y521" s="3436"/>
      <c r="Z521" s="3436"/>
      <c r="AA521" s="3436"/>
      <c r="AB521" s="3436"/>
      <c r="AC521" s="3436"/>
      <c r="AD521" s="3436"/>
      <c r="AE521" s="3650"/>
    </row>
    <row r="522" spans="16:31" customFormat="1">
      <c r="P522" s="3436"/>
      <c r="Q522" s="3436"/>
      <c r="R522" s="3436"/>
      <c r="S522" s="3436"/>
      <c r="T522" s="3436"/>
      <c r="U522" s="3436"/>
      <c r="V522" s="3436"/>
      <c r="W522" s="3436"/>
      <c r="X522" s="3436"/>
      <c r="Y522" s="3436"/>
      <c r="Z522" s="3436"/>
      <c r="AA522" s="3436"/>
      <c r="AB522" s="3436"/>
      <c r="AC522" s="3436"/>
      <c r="AD522" s="3436"/>
      <c r="AE522" s="3650"/>
    </row>
    <row r="523" spans="16:31" customFormat="1">
      <c r="P523" s="3436"/>
      <c r="Q523" s="3436"/>
      <c r="R523" s="3436"/>
      <c r="S523" s="3436"/>
      <c r="T523" s="3436"/>
      <c r="U523" s="3436"/>
      <c r="V523" s="3436"/>
      <c r="W523" s="3436"/>
      <c r="X523" s="3436"/>
      <c r="Y523" s="3436"/>
      <c r="Z523" s="3436"/>
      <c r="AA523" s="3436"/>
      <c r="AB523" s="3436"/>
      <c r="AC523" s="3436"/>
      <c r="AD523" s="3436"/>
      <c r="AE523" s="3650"/>
    </row>
    <row r="524" spans="16:31" customFormat="1">
      <c r="P524" s="3436"/>
      <c r="Q524" s="3436"/>
      <c r="R524" s="3436"/>
      <c r="S524" s="3436"/>
      <c r="T524" s="3436"/>
      <c r="U524" s="3436"/>
      <c r="V524" s="3436"/>
      <c r="W524" s="3436"/>
      <c r="X524" s="3436"/>
      <c r="Y524" s="3436"/>
      <c r="Z524" s="3436"/>
      <c r="AA524" s="3436"/>
      <c r="AB524" s="3436"/>
      <c r="AC524" s="3436"/>
      <c r="AD524" s="3436"/>
      <c r="AE524" s="3650"/>
    </row>
    <row r="525" spans="16:31" customFormat="1">
      <c r="P525" s="3436"/>
      <c r="Q525" s="3436"/>
      <c r="R525" s="3436"/>
      <c r="S525" s="3436"/>
      <c r="T525" s="3436"/>
      <c r="U525" s="3436"/>
      <c r="V525" s="3436"/>
      <c r="W525" s="3436"/>
      <c r="X525" s="3436"/>
      <c r="Y525" s="3436"/>
      <c r="Z525" s="3436"/>
      <c r="AA525" s="3436"/>
      <c r="AB525" s="3436"/>
      <c r="AC525" s="3436"/>
      <c r="AD525" s="3436"/>
      <c r="AE525" s="3650"/>
    </row>
    <row r="526" spans="16:31" customFormat="1">
      <c r="P526" s="3436"/>
      <c r="Q526" s="3436"/>
      <c r="R526" s="3436"/>
      <c r="S526" s="3436"/>
      <c r="T526" s="3436"/>
      <c r="U526" s="3436"/>
      <c r="V526" s="3436"/>
      <c r="W526" s="3436"/>
      <c r="X526" s="3436"/>
      <c r="Y526" s="3436"/>
      <c r="Z526" s="3436"/>
      <c r="AA526" s="3436"/>
      <c r="AB526" s="3436"/>
      <c r="AC526" s="3436"/>
      <c r="AD526" s="3436"/>
      <c r="AE526" s="3650"/>
    </row>
    <row r="527" spans="16:31" customFormat="1">
      <c r="P527" s="3436"/>
      <c r="Q527" s="3436"/>
      <c r="R527" s="3436"/>
      <c r="S527" s="3436"/>
      <c r="T527" s="3436"/>
      <c r="U527" s="3436"/>
      <c r="V527" s="3436"/>
      <c r="W527" s="3436"/>
      <c r="X527" s="3436"/>
      <c r="Y527" s="3436"/>
      <c r="Z527" s="3436"/>
      <c r="AA527" s="3436"/>
      <c r="AB527" s="3436"/>
      <c r="AC527" s="3436"/>
      <c r="AD527" s="3436"/>
      <c r="AE527" s="3650"/>
    </row>
    <row r="528" spans="16:31" customFormat="1">
      <c r="P528" s="3436"/>
      <c r="Q528" s="3436"/>
      <c r="R528" s="3436"/>
      <c r="S528" s="3436"/>
      <c r="T528" s="3436"/>
      <c r="U528" s="3436"/>
      <c r="V528" s="3436"/>
      <c r="W528" s="3436"/>
      <c r="X528" s="3436"/>
      <c r="Y528" s="3436"/>
      <c r="Z528" s="3436"/>
      <c r="AA528" s="3436"/>
      <c r="AB528" s="3436"/>
      <c r="AC528" s="3436"/>
      <c r="AD528" s="3436"/>
      <c r="AE528" s="3650"/>
    </row>
    <row r="529" spans="16:31" customFormat="1">
      <c r="P529" s="3436"/>
      <c r="Q529" s="3436"/>
      <c r="R529" s="3436"/>
      <c r="S529" s="3436"/>
      <c r="T529" s="3436"/>
      <c r="U529" s="3436"/>
      <c r="V529" s="3436"/>
      <c r="W529" s="3436"/>
      <c r="X529" s="3436"/>
      <c r="Y529" s="3436"/>
      <c r="Z529" s="3436"/>
      <c r="AA529" s="3436"/>
      <c r="AB529" s="3436"/>
      <c r="AC529" s="3436"/>
      <c r="AD529" s="3436"/>
      <c r="AE529" s="3650"/>
    </row>
    <row r="530" spans="16:31" customFormat="1">
      <c r="P530" s="3436"/>
      <c r="Q530" s="3436"/>
      <c r="R530" s="3436"/>
      <c r="S530" s="3436"/>
      <c r="T530" s="3436"/>
      <c r="U530" s="3436"/>
      <c r="V530" s="3436"/>
      <c r="W530" s="3436"/>
      <c r="X530" s="3436"/>
      <c r="Y530" s="3436"/>
      <c r="Z530" s="3436"/>
      <c r="AA530" s="3436"/>
      <c r="AB530" s="3436"/>
      <c r="AC530" s="3436"/>
      <c r="AD530" s="3436"/>
      <c r="AE530" s="3650"/>
    </row>
    <row r="531" spans="16:31" customFormat="1">
      <c r="P531" s="3436"/>
      <c r="Q531" s="3436"/>
      <c r="R531" s="3436"/>
      <c r="S531" s="3436"/>
      <c r="T531" s="3436"/>
      <c r="U531" s="3436"/>
      <c r="V531" s="3436"/>
      <c r="W531" s="3436"/>
      <c r="X531" s="3436"/>
      <c r="Y531" s="3436"/>
      <c r="Z531" s="3436"/>
      <c r="AA531" s="3436"/>
      <c r="AB531" s="3436"/>
      <c r="AC531" s="3436"/>
      <c r="AD531" s="3436"/>
      <c r="AE531" s="3650"/>
    </row>
    <row r="532" spans="16:31" customFormat="1">
      <c r="P532" s="3436"/>
      <c r="Q532" s="3436"/>
      <c r="R532" s="3436"/>
      <c r="S532" s="3436"/>
      <c r="T532" s="3436"/>
      <c r="U532" s="3436"/>
      <c r="V532" s="3436"/>
      <c r="W532" s="3436"/>
      <c r="X532" s="3436"/>
      <c r="Y532" s="3436"/>
      <c r="Z532" s="3436"/>
      <c r="AA532" s="3436"/>
      <c r="AB532" s="3436"/>
      <c r="AC532" s="3436"/>
      <c r="AD532" s="3436"/>
      <c r="AE532" s="3650"/>
    </row>
    <row r="533" spans="16:31" customFormat="1">
      <c r="P533" s="3436"/>
      <c r="Q533" s="3436"/>
      <c r="R533" s="3436"/>
      <c r="S533" s="3436"/>
      <c r="T533" s="3436"/>
      <c r="U533" s="3436"/>
      <c r="V533" s="3436"/>
      <c r="W533" s="3436"/>
      <c r="X533" s="3436"/>
      <c r="Y533" s="3436"/>
      <c r="Z533" s="3436"/>
      <c r="AA533" s="3436"/>
      <c r="AB533" s="3436"/>
      <c r="AC533" s="3436"/>
      <c r="AD533" s="3436"/>
      <c r="AE533" s="3650"/>
    </row>
    <row r="534" spans="16:31" customFormat="1">
      <c r="P534" s="3436"/>
      <c r="Q534" s="3436"/>
      <c r="R534" s="3436"/>
      <c r="S534" s="3436"/>
      <c r="T534" s="3436"/>
      <c r="U534" s="3436"/>
      <c r="V534" s="3436"/>
      <c r="W534" s="3436"/>
      <c r="X534" s="3436"/>
      <c r="Y534" s="3436"/>
      <c r="Z534" s="3436"/>
      <c r="AA534" s="3436"/>
      <c r="AB534" s="3436"/>
      <c r="AC534" s="3436"/>
      <c r="AD534" s="3436"/>
      <c r="AE534" s="3650"/>
    </row>
    <row r="535" spans="16:31" customFormat="1">
      <c r="P535" s="3436"/>
      <c r="Q535" s="3436"/>
      <c r="R535" s="3436"/>
      <c r="S535" s="3436"/>
      <c r="T535" s="3436"/>
      <c r="U535" s="3436"/>
      <c r="V535" s="3436"/>
      <c r="W535" s="3436"/>
      <c r="X535" s="3436"/>
      <c r="Y535" s="3436"/>
      <c r="Z535" s="3436"/>
      <c r="AA535" s="3436"/>
      <c r="AB535" s="3436"/>
      <c r="AC535" s="3436"/>
      <c r="AD535" s="3436"/>
      <c r="AE535" s="3650"/>
    </row>
    <row r="536" spans="16:31" customFormat="1">
      <c r="P536" s="3436"/>
      <c r="Q536" s="3436"/>
      <c r="R536" s="3436"/>
      <c r="S536" s="3436"/>
      <c r="T536" s="3436"/>
      <c r="U536" s="3436"/>
      <c r="V536" s="3436"/>
      <c r="W536" s="3436"/>
      <c r="X536" s="3436"/>
      <c r="Y536" s="3436"/>
      <c r="Z536" s="3436"/>
      <c r="AA536" s="3436"/>
      <c r="AB536" s="3436"/>
      <c r="AC536" s="3436"/>
      <c r="AD536" s="3436"/>
      <c r="AE536" s="3650"/>
    </row>
    <row r="537" spans="16:31" customFormat="1">
      <c r="P537" s="3436"/>
      <c r="Q537" s="3436"/>
      <c r="R537" s="3436"/>
      <c r="S537" s="3436"/>
      <c r="T537" s="3436"/>
      <c r="U537" s="3436"/>
      <c r="V537" s="3436"/>
      <c r="W537" s="3436"/>
      <c r="X537" s="3436"/>
      <c r="Y537" s="3436"/>
      <c r="Z537" s="3436"/>
      <c r="AA537" s="3436"/>
      <c r="AB537" s="3436"/>
      <c r="AC537" s="3436"/>
      <c r="AD537" s="3436"/>
      <c r="AE537" s="3650"/>
    </row>
    <row r="538" spans="16:31" customFormat="1">
      <c r="P538" s="3436"/>
      <c r="Q538" s="3436"/>
      <c r="R538" s="3436"/>
      <c r="S538" s="3436"/>
      <c r="T538" s="3436"/>
      <c r="U538" s="3436"/>
      <c r="V538" s="3436"/>
      <c r="W538" s="3436"/>
      <c r="X538" s="3436"/>
      <c r="Y538" s="3436"/>
      <c r="Z538" s="3436"/>
      <c r="AA538" s="3436"/>
      <c r="AB538" s="3436"/>
      <c r="AC538" s="3436"/>
      <c r="AD538" s="3436"/>
      <c r="AE538" s="3650"/>
    </row>
    <row r="539" spans="16:31" customFormat="1">
      <c r="P539" s="3436"/>
      <c r="Q539" s="3436"/>
      <c r="R539" s="3436"/>
      <c r="S539" s="3436"/>
      <c r="T539" s="3436"/>
      <c r="U539" s="3436"/>
      <c r="V539" s="3436"/>
      <c r="W539" s="3436"/>
      <c r="X539" s="3436"/>
      <c r="Y539" s="3436"/>
      <c r="Z539" s="3436"/>
      <c r="AA539" s="3436"/>
      <c r="AB539" s="3436"/>
      <c r="AC539" s="3436"/>
      <c r="AD539" s="3436"/>
      <c r="AE539" s="3650"/>
    </row>
    <row r="540" spans="16:31" customFormat="1">
      <c r="P540" s="3436"/>
      <c r="Q540" s="3436"/>
      <c r="R540" s="3436"/>
      <c r="S540" s="3436"/>
      <c r="T540" s="3436"/>
      <c r="U540" s="3436"/>
      <c r="V540" s="3436"/>
      <c r="W540" s="3436"/>
      <c r="X540" s="3436"/>
      <c r="Y540" s="3436"/>
      <c r="Z540" s="3436"/>
      <c r="AA540" s="3436"/>
      <c r="AB540" s="3436"/>
      <c r="AC540" s="3436"/>
      <c r="AD540" s="3436"/>
      <c r="AE540" s="3650"/>
    </row>
    <row r="541" spans="16:31" customFormat="1">
      <c r="P541" s="3436"/>
      <c r="Q541" s="3436"/>
      <c r="R541" s="3436"/>
      <c r="S541" s="3436"/>
      <c r="T541" s="3436"/>
      <c r="U541" s="3436"/>
      <c r="V541" s="3436"/>
      <c r="W541" s="3436"/>
      <c r="X541" s="3436"/>
      <c r="Y541" s="3436"/>
      <c r="Z541" s="3436"/>
      <c r="AA541" s="3436"/>
      <c r="AB541" s="3436"/>
      <c r="AC541" s="3436"/>
      <c r="AD541" s="3436"/>
      <c r="AE541" s="3650"/>
    </row>
    <row r="542" spans="16:31" customFormat="1">
      <c r="P542" s="3436"/>
      <c r="Q542" s="3436"/>
      <c r="R542" s="3436"/>
      <c r="S542" s="3436"/>
      <c r="T542" s="3436"/>
      <c r="U542" s="3436"/>
      <c r="V542" s="3436"/>
      <c r="W542" s="3436"/>
      <c r="X542" s="3436"/>
      <c r="Y542" s="3436"/>
      <c r="Z542" s="3436"/>
      <c r="AA542" s="3436"/>
      <c r="AB542" s="3436"/>
      <c r="AC542" s="3436"/>
      <c r="AD542" s="3436"/>
      <c r="AE542" s="3650"/>
    </row>
    <row r="543" spans="16:31" customFormat="1">
      <c r="P543" s="3436"/>
      <c r="Q543" s="3436"/>
      <c r="R543" s="3436"/>
      <c r="S543" s="3436"/>
      <c r="T543" s="3436"/>
      <c r="U543" s="3436"/>
      <c r="V543" s="3436"/>
      <c r="W543" s="3436"/>
      <c r="X543" s="3436"/>
      <c r="Y543" s="3436"/>
      <c r="Z543" s="3436"/>
      <c r="AA543" s="3436"/>
      <c r="AB543" s="3436"/>
      <c r="AC543" s="3436"/>
      <c r="AD543" s="3436"/>
      <c r="AE543" s="3650"/>
    </row>
    <row r="544" spans="16:31" customFormat="1">
      <c r="P544" s="3436"/>
      <c r="Q544" s="3436"/>
      <c r="R544" s="3436"/>
      <c r="S544" s="3436"/>
      <c r="T544" s="3436"/>
      <c r="U544" s="3436"/>
      <c r="V544" s="3436"/>
      <c r="W544" s="3436"/>
      <c r="X544" s="3436"/>
      <c r="Y544" s="3436"/>
      <c r="Z544" s="3436"/>
      <c r="AA544" s="3436"/>
      <c r="AB544" s="3436"/>
      <c r="AC544" s="3436"/>
      <c r="AD544" s="3436"/>
      <c r="AE544" s="3650"/>
    </row>
    <row r="545" spans="16:31" customFormat="1">
      <c r="P545" s="3436"/>
      <c r="Q545" s="3436"/>
      <c r="R545" s="3436"/>
      <c r="S545" s="3436"/>
      <c r="T545" s="3436"/>
      <c r="U545" s="3436"/>
      <c r="V545" s="3436"/>
      <c r="W545" s="3436"/>
      <c r="X545" s="3436"/>
      <c r="Y545" s="3436"/>
      <c r="Z545" s="3436"/>
      <c r="AA545" s="3436"/>
      <c r="AB545" s="3436"/>
      <c r="AC545" s="3436"/>
      <c r="AD545" s="3436"/>
      <c r="AE545" s="3650"/>
    </row>
    <row r="546" spans="16:31" customFormat="1">
      <c r="P546" s="3436"/>
      <c r="Q546" s="3436"/>
      <c r="R546" s="3436"/>
      <c r="S546" s="3436"/>
      <c r="T546" s="3436"/>
      <c r="U546" s="3436"/>
      <c r="V546" s="3436"/>
      <c r="W546" s="3436"/>
      <c r="X546" s="3436"/>
      <c r="Y546" s="3436"/>
      <c r="Z546" s="3436"/>
      <c r="AA546" s="3436"/>
      <c r="AB546" s="3436"/>
      <c r="AC546" s="3436"/>
      <c r="AD546" s="3436"/>
      <c r="AE546" s="3650"/>
    </row>
    <row r="547" spans="16:31" customFormat="1">
      <c r="P547" s="3436"/>
      <c r="Q547" s="3436"/>
      <c r="R547" s="3436"/>
      <c r="S547" s="3436"/>
      <c r="T547" s="3436"/>
      <c r="U547" s="3436"/>
      <c r="V547" s="3436"/>
      <c r="W547" s="3436"/>
      <c r="X547" s="3436"/>
      <c r="Y547" s="3436"/>
      <c r="Z547" s="3436"/>
      <c r="AA547" s="3436"/>
      <c r="AB547" s="3436"/>
      <c r="AC547" s="3436"/>
      <c r="AD547" s="3436"/>
      <c r="AE547" s="3650"/>
    </row>
    <row r="548" spans="16:31" customFormat="1">
      <c r="P548" s="3436"/>
      <c r="Q548" s="3436"/>
      <c r="R548" s="3436"/>
      <c r="S548" s="3436"/>
      <c r="T548" s="3436"/>
      <c r="U548" s="3436"/>
      <c r="V548" s="3436"/>
      <c r="W548" s="3436"/>
      <c r="X548" s="3436"/>
      <c r="Y548" s="3436"/>
      <c r="Z548" s="3436"/>
      <c r="AA548" s="3436"/>
      <c r="AB548" s="3436"/>
      <c r="AC548" s="3436"/>
      <c r="AD548" s="3436"/>
      <c r="AE548" s="3650"/>
    </row>
    <row r="549" spans="16:31" customFormat="1">
      <c r="P549" s="3436"/>
      <c r="Q549" s="3436"/>
      <c r="R549" s="3436"/>
      <c r="S549" s="3436"/>
      <c r="T549" s="3436"/>
      <c r="U549" s="3436"/>
      <c r="V549" s="3436"/>
      <c r="W549" s="3436"/>
      <c r="X549" s="3436"/>
      <c r="Y549" s="3436"/>
      <c r="Z549" s="3436"/>
      <c r="AA549" s="3436"/>
      <c r="AB549" s="3436"/>
      <c r="AC549" s="3436"/>
      <c r="AD549" s="3436"/>
      <c r="AE549" s="3650"/>
    </row>
    <row r="550" spans="16:31" customFormat="1">
      <c r="P550" s="3436"/>
      <c r="Q550" s="3436"/>
      <c r="R550" s="3436"/>
      <c r="S550" s="3436"/>
      <c r="T550" s="3436"/>
      <c r="U550" s="3436"/>
      <c r="V550" s="3436"/>
      <c r="W550" s="3436"/>
      <c r="X550" s="3436"/>
      <c r="Y550" s="3436"/>
      <c r="Z550" s="3436"/>
      <c r="AA550" s="3436"/>
      <c r="AB550" s="3436"/>
      <c r="AC550" s="3436"/>
      <c r="AD550" s="3436"/>
      <c r="AE550" s="3650"/>
    </row>
    <row r="551" spans="16:31" customFormat="1">
      <c r="P551" s="3436"/>
      <c r="Q551" s="3436"/>
      <c r="R551" s="3436"/>
      <c r="S551" s="3436"/>
      <c r="T551" s="3436"/>
      <c r="U551" s="3436"/>
      <c r="V551" s="3436"/>
      <c r="W551" s="3436"/>
      <c r="X551" s="3436"/>
      <c r="Y551" s="3436"/>
      <c r="Z551" s="3436"/>
      <c r="AA551" s="3436"/>
      <c r="AB551" s="3436"/>
      <c r="AC551" s="3436"/>
      <c r="AD551" s="3436"/>
      <c r="AE551" s="3650"/>
    </row>
    <row r="552" spans="16:31" customFormat="1">
      <c r="P552" s="3436"/>
      <c r="Q552" s="3436"/>
      <c r="R552" s="3436"/>
      <c r="S552" s="3436"/>
      <c r="T552" s="3436"/>
      <c r="U552" s="3436"/>
      <c r="V552" s="3436"/>
      <c r="W552" s="3436"/>
      <c r="X552" s="3436"/>
      <c r="Y552" s="3436"/>
      <c r="Z552" s="3436"/>
      <c r="AA552" s="3436"/>
      <c r="AB552" s="3436"/>
      <c r="AC552" s="3436"/>
      <c r="AD552" s="3436"/>
      <c r="AE552" s="3650"/>
    </row>
    <row r="553" spans="16:31" customFormat="1">
      <c r="P553" s="3436"/>
      <c r="Q553" s="3436"/>
      <c r="R553" s="3436"/>
      <c r="S553" s="3436"/>
      <c r="T553" s="3436"/>
      <c r="U553" s="3436"/>
      <c r="V553" s="3436"/>
      <c r="W553" s="3436"/>
      <c r="X553" s="3436"/>
      <c r="Y553" s="3436"/>
      <c r="Z553" s="3436"/>
      <c r="AA553" s="3436"/>
      <c r="AB553" s="3436"/>
      <c r="AC553" s="3436"/>
      <c r="AD553" s="3436"/>
      <c r="AE553" s="3650"/>
    </row>
    <row r="554" spans="16:31" customFormat="1">
      <c r="P554" s="3436"/>
      <c r="Q554" s="3436"/>
      <c r="R554" s="3436"/>
      <c r="S554" s="3436"/>
      <c r="T554" s="3436"/>
      <c r="U554" s="3436"/>
      <c r="V554" s="3436"/>
      <c r="W554" s="3436"/>
      <c r="X554" s="3436"/>
      <c r="Y554" s="3436"/>
      <c r="Z554" s="3436"/>
      <c r="AA554" s="3436"/>
      <c r="AB554" s="3436"/>
      <c r="AC554" s="3436"/>
      <c r="AD554" s="3436"/>
      <c r="AE554" s="3650"/>
    </row>
    <row r="555" spans="16:31" customFormat="1">
      <c r="P555" s="3436"/>
      <c r="Q555" s="3436"/>
      <c r="R555" s="3436"/>
      <c r="S555" s="3436"/>
      <c r="T555" s="3436"/>
      <c r="U555" s="3436"/>
      <c r="V555" s="3436"/>
      <c r="W555" s="3436"/>
      <c r="X555" s="3436"/>
      <c r="Y555" s="3436"/>
      <c r="Z555" s="3436"/>
      <c r="AA555" s="3436"/>
      <c r="AB555" s="3436"/>
      <c r="AC555" s="3436"/>
      <c r="AD555" s="3436"/>
      <c r="AE555" s="3650"/>
    </row>
    <row r="556" spans="16:31" customFormat="1">
      <c r="P556" s="3436"/>
      <c r="Q556" s="3436"/>
      <c r="R556" s="3436"/>
      <c r="S556" s="3436"/>
      <c r="T556" s="3436"/>
      <c r="U556" s="3436"/>
      <c r="V556" s="3436"/>
      <c r="W556" s="3436"/>
      <c r="X556" s="3436"/>
      <c r="Y556" s="3436"/>
      <c r="Z556" s="3436"/>
      <c r="AA556" s="3436"/>
      <c r="AB556" s="3436"/>
      <c r="AC556" s="3436"/>
      <c r="AD556" s="3436"/>
      <c r="AE556" s="3650"/>
    </row>
    <row r="557" spans="16:31" customFormat="1">
      <c r="P557" s="3436"/>
      <c r="Q557" s="3436"/>
      <c r="R557" s="3436"/>
      <c r="S557" s="3436"/>
      <c r="T557" s="3436"/>
      <c r="U557" s="3436"/>
      <c r="V557" s="3436"/>
      <c r="W557" s="3436"/>
      <c r="X557" s="3436"/>
      <c r="Y557" s="3436"/>
      <c r="Z557" s="3436"/>
      <c r="AA557" s="3436"/>
      <c r="AB557" s="3436"/>
      <c r="AC557" s="3436"/>
      <c r="AD557" s="3436"/>
      <c r="AE557" s="3650"/>
    </row>
    <row r="558" spans="16:31" customFormat="1">
      <c r="P558" s="3436"/>
      <c r="Q558" s="3436"/>
      <c r="R558" s="3436"/>
      <c r="S558" s="3436"/>
      <c r="T558" s="3436"/>
      <c r="U558" s="3436"/>
      <c r="V558" s="3436"/>
      <c r="W558" s="3436"/>
      <c r="X558" s="3436"/>
      <c r="Y558" s="3436"/>
      <c r="Z558" s="3436"/>
      <c r="AA558" s="3436"/>
      <c r="AB558" s="3436"/>
      <c r="AC558" s="3436"/>
      <c r="AD558" s="3436"/>
      <c r="AE558" s="3650"/>
    </row>
    <row r="559" spans="16:31" customFormat="1">
      <c r="P559" s="3436"/>
      <c r="Q559" s="3436"/>
      <c r="R559" s="3436"/>
      <c r="S559" s="3436"/>
      <c r="T559" s="3436"/>
      <c r="U559" s="3436"/>
      <c r="V559" s="3436"/>
      <c r="W559" s="3436"/>
      <c r="X559" s="3436"/>
      <c r="Y559" s="3436"/>
      <c r="Z559" s="3436"/>
      <c r="AA559" s="3436"/>
      <c r="AB559" s="3436"/>
      <c r="AC559" s="3436"/>
      <c r="AD559" s="3436"/>
      <c r="AE559" s="3650"/>
    </row>
    <row r="560" spans="16:31" customFormat="1">
      <c r="P560" s="3436"/>
      <c r="Q560" s="3436"/>
      <c r="R560" s="3436"/>
      <c r="S560" s="3436"/>
      <c r="T560" s="3436"/>
      <c r="U560" s="3436"/>
      <c r="V560" s="3436"/>
      <c r="W560" s="3436"/>
      <c r="X560" s="3436"/>
      <c r="Y560" s="3436"/>
      <c r="Z560" s="3436"/>
      <c r="AA560" s="3436"/>
      <c r="AB560" s="3436"/>
      <c r="AC560" s="3436"/>
      <c r="AD560" s="3436"/>
      <c r="AE560" s="3650"/>
    </row>
    <row r="561" spans="16:31" customFormat="1">
      <c r="P561" s="3436"/>
      <c r="Q561" s="3436"/>
      <c r="R561" s="3436"/>
      <c r="S561" s="3436"/>
      <c r="T561" s="3436"/>
      <c r="U561" s="3436"/>
      <c r="V561" s="3436"/>
      <c r="W561" s="3436"/>
      <c r="X561" s="3436"/>
      <c r="Y561" s="3436"/>
      <c r="Z561" s="3436"/>
      <c r="AA561" s="3436"/>
      <c r="AB561" s="3436"/>
      <c r="AC561" s="3436"/>
      <c r="AD561" s="3436"/>
      <c r="AE561" s="3650"/>
    </row>
    <row r="562" spans="16:31" customFormat="1">
      <c r="P562" s="3436"/>
      <c r="Q562" s="3436"/>
      <c r="R562" s="3436"/>
      <c r="S562" s="3436"/>
      <c r="T562" s="3436"/>
      <c r="U562" s="3436"/>
      <c r="V562" s="3436"/>
      <c r="W562" s="3436"/>
      <c r="X562" s="3436"/>
      <c r="Y562" s="3436"/>
      <c r="Z562" s="3436"/>
      <c r="AA562" s="3436"/>
      <c r="AB562" s="3436"/>
      <c r="AC562" s="3436"/>
      <c r="AD562" s="3436"/>
      <c r="AE562" s="3650"/>
    </row>
    <row r="563" spans="16:31" customFormat="1">
      <c r="P563" s="3436"/>
      <c r="Q563" s="3436"/>
      <c r="R563" s="3436"/>
      <c r="S563" s="3436"/>
      <c r="T563" s="3436"/>
      <c r="U563" s="3436"/>
      <c r="V563" s="3436"/>
      <c r="W563" s="3436"/>
      <c r="X563" s="3436"/>
      <c r="Y563" s="3436"/>
      <c r="Z563" s="3436"/>
      <c r="AA563" s="3436"/>
      <c r="AB563" s="3436"/>
      <c r="AC563" s="3436"/>
      <c r="AD563" s="3436"/>
      <c r="AE563" s="3650"/>
    </row>
    <row r="564" spans="16:31" customFormat="1">
      <c r="P564" s="3436"/>
      <c r="Q564" s="3436"/>
      <c r="R564" s="3436"/>
      <c r="S564" s="3436"/>
      <c r="T564" s="3436"/>
      <c r="U564" s="3436"/>
      <c r="V564" s="3436"/>
      <c r="W564" s="3436"/>
      <c r="X564" s="3436"/>
      <c r="Y564" s="3436"/>
      <c r="Z564" s="3436"/>
      <c r="AA564" s="3436"/>
      <c r="AB564" s="3436"/>
      <c r="AC564" s="3436"/>
      <c r="AD564" s="3436"/>
      <c r="AE564" s="3650"/>
    </row>
    <row r="565" spans="16:31" customFormat="1">
      <c r="P565" s="3436"/>
      <c r="Q565" s="3436"/>
      <c r="R565" s="3436"/>
      <c r="S565" s="3436"/>
      <c r="T565" s="3436"/>
      <c r="U565" s="3436"/>
      <c r="V565" s="3436"/>
      <c r="W565" s="3436"/>
      <c r="X565" s="3436"/>
      <c r="Y565" s="3436"/>
      <c r="Z565" s="3436"/>
      <c r="AA565" s="3436"/>
      <c r="AB565" s="3436"/>
      <c r="AC565" s="3436"/>
      <c r="AD565" s="3436"/>
      <c r="AE565" s="3650"/>
    </row>
    <row r="566" spans="16:31" customFormat="1">
      <c r="P566" s="3436"/>
      <c r="Q566" s="3436"/>
      <c r="R566" s="3436"/>
      <c r="S566" s="3436"/>
      <c r="T566" s="3436"/>
      <c r="U566" s="3436"/>
      <c r="V566" s="3436"/>
      <c r="W566" s="3436"/>
      <c r="X566" s="3436"/>
      <c r="Y566" s="3436"/>
      <c r="Z566" s="3436"/>
      <c r="AA566" s="3436"/>
      <c r="AB566" s="3436"/>
      <c r="AC566" s="3436"/>
      <c r="AD566" s="3436"/>
      <c r="AE566" s="3650"/>
    </row>
    <row r="567" spans="16:31" customFormat="1">
      <c r="P567" s="3436"/>
      <c r="Q567" s="3436"/>
      <c r="R567" s="3436"/>
      <c r="S567" s="3436"/>
      <c r="T567" s="3436"/>
      <c r="U567" s="3436"/>
      <c r="V567" s="3436"/>
      <c r="W567" s="3436"/>
      <c r="X567" s="3436"/>
      <c r="Y567" s="3436"/>
      <c r="Z567" s="3436"/>
      <c r="AA567" s="3436"/>
      <c r="AB567" s="3436"/>
      <c r="AC567" s="3436"/>
      <c r="AD567" s="3436"/>
      <c r="AE567" s="3650"/>
    </row>
    <row r="568" spans="16:31" customFormat="1">
      <c r="P568" s="3436"/>
      <c r="Q568" s="3436"/>
      <c r="R568" s="3436"/>
      <c r="S568" s="3436"/>
      <c r="T568" s="3436"/>
      <c r="U568" s="3436"/>
      <c r="V568" s="3436"/>
      <c r="W568" s="3436"/>
      <c r="X568" s="3436"/>
      <c r="Y568" s="3436"/>
      <c r="Z568" s="3436"/>
      <c r="AA568" s="3436"/>
      <c r="AB568" s="3436"/>
      <c r="AC568" s="3436"/>
      <c r="AD568" s="3436"/>
      <c r="AE568" s="3650"/>
    </row>
    <row r="569" spans="16:31" customFormat="1">
      <c r="P569" s="3436"/>
      <c r="Q569" s="3436"/>
      <c r="R569" s="3436"/>
      <c r="S569" s="3436"/>
      <c r="T569" s="3436"/>
      <c r="U569" s="3436"/>
      <c r="V569" s="3436"/>
      <c r="W569" s="3436"/>
      <c r="X569" s="3436"/>
      <c r="Y569" s="3436"/>
      <c r="Z569" s="3436"/>
      <c r="AA569" s="3436"/>
      <c r="AB569" s="3436"/>
      <c r="AC569" s="3436"/>
      <c r="AD569" s="3436"/>
      <c r="AE569" s="3650"/>
    </row>
    <row r="570" spans="16:31" customFormat="1">
      <c r="P570" s="3436"/>
      <c r="Q570" s="3436"/>
      <c r="R570" s="3436"/>
      <c r="S570" s="3436"/>
      <c r="T570" s="3436"/>
      <c r="U570" s="3436"/>
      <c r="V570" s="3436"/>
      <c r="W570" s="3436"/>
      <c r="X570" s="3436"/>
      <c r="Y570" s="3436"/>
      <c r="Z570" s="3436"/>
      <c r="AA570" s="3436"/>
      <c r="AB570" s="3436"/>
      <c r="AC570" s="3436"/>
      <c r="AD570" s="3436"/>
      <c r="AE570" s="3650"/>
    </row>
    <row r="571" spans="16:31" customFormat="1">
      <c r="P571" s="3436"/>
      <c r="Q571" s="3436"/>
      <c r="R571" s="3436"/>
      <c r="S571" s="3436"/>
      <c r="T571" s="3436"/>
      <c r="U571" s="3436"/>
      <c r="V571" s="3436"/>
      <c r="W571" s="3436"/>
      <c r="X571" s="3436"/>
      <c r="Y571" s="3436"/>
      <c r="Z571" s="3436"/>
      <c r="AA571" s="3436"/>
      <c r="AB571" s="3436"/>
      <c r="AC571" s="3436"/>
      <c r="AD571" s="3436"/>
      <c r="AE571" s="3650"/>
    </row>
    <row r="572" spans="16:31" customFormat="1">
      <c r="P572" s="3436"/>
      <c r="Q572" s="3436"/>
      <c r="R572" s="3436"/>
      <c r="S572" s="3436"/>
      <c r="T572" s="3436"/>
      <c r="U572" s="3436"/>
      <c r="V572" s="3436"/>
      <c r="W572" s="3436"/>
      <c r="X572" s="3436"/>
      <c r="Y572" s="3436"/>
      <c r="Z572" s="3436"/>
      <c r="AA572" s="3436"/>
      <c r="AB572" s="3436"/>
      <c r="AC572" s="3436"/>
      <c r="AD572" s="3436"/>
      <c r="AE572" s="3650"/>
    </row>
    <row r="573" spans="16:31" customFormat="1">
      <c r="P573" s="3436"/>
      <c r="Q573" s="3436"/>
      <c r="R573" s="3436"/>
      <c r="S573" s="3436"/>
      <c r="T573" s="3436"/>
      <c r="U573" s="3436"/>
      <c r="V573" s="3436"/>
      <c r="W573" s="3436"/>
      <c r="X573" s="3436"/>
      <c r="Y573" s="3436"/>
      <c r="Z573" s="3436"/>
      <c r="AA573" s="3436"/>
      <c r="AB573" s="3436"/>
      <c r="AC573" s="3436"/>
      <c r="AD573" s="3436"/>
      <c r="AE573" s="3650"/>
    </row>
    <row r="574" spans="16:31" customFormat="1">
      <c r="P574" s="3436"/>
      <c r="Q574" s="3436"/>
      <c r="R574" s="3436"/>
      <c r="S574" s="3436"/>
      <c r="T574" s="3436"/>
      <c r="U574" s="3436"/>
      <c r="V574" s="3436"/>
      <c r="W574" s="3436"/>
      <c r="X574" s="3436"/>
      <c r="Y574" s="3436"/>
      <c r="Z574" s="3436"/>
      <c r="AA574" s="3436"/>
      <c r="AB574" s="3436"/>
      <c r="AC574" s="3436"/>
      <c r="AD574" s="3436"/>
      <c r="AE574" s="3650"/>
    </row>
    <row r="575" spans="16:31" customFormat="1">
      <c r="P575" s="3436"/>
      <c r="Q575" s="3436"/>
      <c r="R575" s="3436"/>
      <c r="S575" s="3436"/>
      <c r="T575" s="3436"/>
      <c r="U575" s="3436"/>
      <c r="V575" s="3436"/>
      <c r="W575" s="3436"/>
      <c r="X575" s="3436"/>
      <c r="Y575" s="3436"/>
      <c r="Z575" s="3436"/>
      <c r="AA575" s="3436"/>
      <c r="AB575" s="3436"/>
      <c r="AC575" s="3436"/>
      <c r="AD575" s="3436"/>
      <c r="AE575" s="3650"/>
    </row>
    <row r="576" spans="16:31" customFormat="1">
      <c r="P576" s="3436"/>
      <c r="Q576" s="3436"/>
      <c r="R576" s="3436"/>
      <c r="S576" s="3436"/>
      <c r="T576" s="3436"/>
      <c r="U576" s="3436"/>
      <c r="V576" s="3436"/>
      <c r="W576" s="3436"/>
      <c r="X576" s="3436"/>
      <c r="Y576" s="3436"/>
      <c r="Z576" s="3436"/>
      <c r="AA576" s="3436"/>
      <c r="AB576" s="3436"/>
      <c r="AC576" s="3436"/>
      <c r="AD576" s="3436"/>
      <c r="AE576" s="3650"/>
    </row>
    <row r="577" spans="16:31" customFormat="1">
      <c r="P577" s="3436"/>
      <c r="Q577" s="3436"/>
      <c r="R577" s="3436"/>
      <c r="S577" s="3436"/>
      <c r="T577" s="3436"/>
      <c r="U577" s="3436"/>
      <c r="V577" s="3436"/>
      <c r="W577" s="3436"/>
      <c r="X577" s="3436"/>
      <c r="Y577" s="3436"/>
      <c r="Z577" s="3436"/>
      <c r="AA577" s="3436"/>
      <c r="AB577" s="3436"/>
      <c r="AC577" s="3436"/>
      <c r="AD577" s="3436"/>
      <c r="AE577" s="3650"/>
    </row>
    <row r="578" spans="16:31" customFormat="1">
      <c r="P578" s="3436"/>
      <c r="Q578" s="3436"/>
      <c r="R578" s="3436"/>
      <c r="S578" s="3436"/>
      <c r="T578" s="3436"/>
      <c r="U578" s="3436"/>
      <c r="V578" s="3436"/>
      <c r="W578" s="3436"/>
      <c r="X578" s="3436"/>
      <c r="Y578" s="3436"/>
      <c r="Z578" s="3436"/>
      <c r="AA578" s="3436"/>
      <c r="AB578" s="3436"/>
      <c r="AC578" s="3436"/>
      <c r="AD578" s="3436"/>
      <c r="AE578" s="3650"/>
    </row>
    <row r="579" spans="16:31" customFormat="1">
      <c r="P579" s="3436"/>
      <c r="Q579" s="3436"/>
      <c r="R579" s="3436"/>
      <c r="S579" s="3436"/>
      <c r="T579" s="3436"/>
      <c r="U579" s="3436"/>
      <c r="V579" s="3436"/>
      <c r="W579" s="3436"/>
      <c r="X579" s="3436"/>
      <c r="Y579" s="3436"/>
      <c r="Z579" s="3436"/>
      <c r="AA579" s="3436"/>
      <c r="AB579" s="3436"/>
      <c r="AC579" s="3436"/>
      <c r="AD579" s="3436"/>
      <c r="AE579" s="3650"/>
    </row>
    <row r="580" spans="16:31" customFormat="1">
      <c r="P580" s="3436"/>
      <c r="Q580" s="3436"/>
      <c r="R580" s="3436"/>
      <c r="S580" s="3436"/>
      <c r="T580" s="3436"/>
      <c r="U580" s="3436"/>
      <c r="V580" s="3436"/>
      <c r="W580" s="3436"/>
      <c r="X580" s="3436"/>
      <c r="Y580" s="3436"/>
      <c r="Z580" s="3436"/>
      <c r="AA580" s="3436"/>
      <c r="AB580" s="3436"/>
      <c r="AC580" s="3436"/>
      <c r="AD580" s="3436"/>
      <c r="AE580" s="3650"/>
    </row>
    <row r="581" spans="16:31" customFormat="1">
      <c r="P581" s="3436"/>
      <c r="Q581" s="3436"/>
      <c r="R581" s="3436"/>
      <c r="S581" s="3436"/>
      <c r="T581" s="3436"/>
      <c r="U581" s="3436"/>
      <c r="V581" s="3436"/>
      <c r="W581" s="3436"/>
      <c r="X581" s="3436"/>
      <c r="Y581" s="3436"/>
      <c r="Z581" s="3436"/>
      <c r="AA581" s="3436"/>
      <c r="AB581" s="3436"/>
      <c r="AC581" s="3436"/>
      <c r="AD581" s="3436"/>
      <c r="AE581" s="3650"/>
    </row>
    <row r="582" spans="16:31" customFormat="1">
      <c r="P582" s="3436"/>
      <c r="Q582" s="3436"/>
      <c r="R582" s="3436"/>
      <c r="S582" s="3436"/>
      <c r="T582" s="3436"/>
      <c r="U582" s="3436"/>
      <c r="V582" s="3436"/>
      <c r="W582" s="3436"/>
      <c r="X582" s="3436"/>
      <c r="Y582" s="3436"/>
      <c r="Z582" s="3436"/>
      <c r="AA582" s="3436"/>
      <c r="AB582" s="3436"/>
      <c r="AC582" s="3436"/>
      <c r="AD582" s="3436"/>
      <c r="AE582" s="3650"/>
    </row>
    <row r="583" spans="16:31" customFormat="1">
      <c r="P583" s="3436"/>
      <c r="Q583" s="3436"/>
      <c r="R583" s="3436"/>
      <c r="S583" s="3436"/>
      <c r="T583" s="3436"/>
      <c r="U583" s="3436"/>
      <c r="V583" s="3436"/>
      <c r="W583" s="3436"/>
      <c r="X583" s="3436"/>
      <c r="Y583" s="3436"/>
      <c r="Z583" s="3436"/>
      <c r="AA583" s="3436"/>
      <c r="AB583" s="3436"/>
      <c r="AC583" s="3436"/>
      <c r="AD583" s="3436"/>
      <c r="AE583" s="3650"/>
    </row>
    <row r="584" spans="16:31" customFormat="1">
      <c r="P584" s="3436"/>
      <c r="Q584" s="3436"/>
      <c r="R584" s="3436"/>
      <c r="S584" s="3436"/>
      <c r="T584" s="3436"/>
      <c r="U584" s="3436"/>
      <c r="V584" s="3436"/>
      <c r="W584" s="3436"/>
      <c r="X584" s="3436"/>
      <c r="Y584" s="3436"/>
      <c r="Z584" s="3436"/>
      <c r="AA584" s="3436"/>
      <c r="AB584" s="3436"/>
      <c r="AC584" s="3436"/>
      <c r="AD584" s="3436"/>
      <c r="AE584" s="3650"/>
    </row>
    <row r="585" spans="16:31" customFormat="1">
      <c r="P585" s="3436"/>
      <c r="Q585" s="3436"/>
      <c r="R585" s="3436"/>
      <c r="S585" s="3436"/>
      <c r="T585" s="3436"/>
      <c r="U585" s="3436"/>
      <c r="V585" s="3436"/>
      <c r="W585" s="3436"/>
      <c r="X585" s="3436"/>
      <c r="Y585" s="3436"/>
      <c r="Z585" s="3436"/>
      <c r="AA585" s="3436"/>
      <c r="AB585" s="3436"/>
      <c r="AC585" s="3436"/>
      <c r="AD585" s="3436"/>
      <c r="AE585" s="3650"/>
    </row>
    <row r="586" spans="16:31" customFormat="1">
      <c r="P586" s="3436"/>
      <c r="Q586" s="3436"/>
      <c r="R586" s="3436"/>
      <c r="S586" s="3436"/>
      <c r="T586" s="3436"/>
      <c r="U586" s="3436"/>
      <c r="V586" s="3436"/>
      <c r="W586" s="3436"/>
      <c r="X586" s="3436"/>
      <c r="Y586" s="3436"/>
      <c r="Z586" s="3436"/>
      <c r="AA586" s="3436"/>
      <c r="AB586" s="3436"/>
      <c r="AC586" s="3436"/>
      <c r="AD586" s="3436"/>
      <c r="AE586" s="3650"/>
    </row>
    <row r="587" spans="16:31" customFormat="1">
      <c r="P587" s="3436"/>
      <c r="Q587" s="3436"/>
      <c r="R587" s="3436"/>
      <c r="S587" s="3436"/>
      <c r="T587" s="3436"/>
      <c r="U587" s="3436"/>
      <c r="V587" s="3436"/>
      <c r="W587" s="3436"/>
      <c r="X587" s="3436"/>
      <c r="Y587" s="3436"/>
      <c r="Z587" s="3436"/>
      <c r="AA587" s="3436"/>
      <c r="AB587" s="3436"/>
      <c r="AC587" s="3436"/>
      <c r="AD587" s="3436"/>
      <c r="AE587" s="3650"/>
    </row>
    <row r="588" spans="16:31" customFormat="1">
      <c r="P588" s="3436"/>
      <c r="Q588" s="3436"/>
      <c r="R588" s="3436"/>
      <c r="S588" s="3436"/>
      <c r="T588" s="3436"/>
      <c r="U588" s="3436"/>
      <c r="V588" s="3436"/>
      <c r="W588" s="3436"/>
      <c r="X588" s="3436"/>
      <c r="Y588" s="3436"/>
      <c r="Z588" s="3436"/>
      <c r="AA588" s="3436"/>
      <c r="AB588" s="3436"/>
      <c r="AC588" s="3436"/>
      <c r="AD588" s="3436"/>
      <c r="AE588" s="3650"/>
    </row>
    <row r="589" spans="16:31" customFormat="1">
      <c r="P589" s="3436"/>
      <c r="Q589" s="3436"/>
      <c r="R589" s="3436"/>
      <c r="S589" s="3436"/>
      <c r="T589" s="3436"/>
      <c r="U589" s="3436"/>
      <c r="V589" s="3436"/>
      <c r="W589" s="3436"/>
      <c r="X589" s="3436"/>
      <c r="Y589" s="3436"/>
      <c r="Z589" s="3436"/>
      <c r="AA589" s="3436"/>
      <c r="AB589" s="3436"/>
      <c r="AC589" s="3436"/>
      <c r="AD589" s="3436"/>
      <c r="AE589" s="3650"/>
    </row>
    <row r="590" spans="16:31" customFormat="1">
      <c r="P590" s="3436"/>
      <c r="Q590" s="3436"/>
      <c r="R590" s="3436"/>
      <c r="S590" s="3436"/>
      <c r="T590" s="3436"/>
      <c r="U590" s="3436"/>
      <c r="V590" s="3436"/>
      <c r="W590" s="3436"/>
      <c r="X590" s="3436"/>
      <c r="Y590" s="3436"/>
      <c r="Z590" s="3436"/>
      <c r="AA590" s="3436"/>
      <c r="AB590" s="3436"/>
      <c r="AC590" s="3436"/>
      <c r="AD590" s="3436"/>
      <c r="AE590" s="3650"/>
    </row>
    <row r="591" spans="16:31" customFormat="1">
      <c r="P591" s="3436"/>
      <c r="Q591" s="3436"/>
      <c r="R591" s="3436"/>
      <c r="S591" s="3436"/>
      <c r="T591" s="3436"/>
      <c r="U591" s="3436"/>
      <c r="V591" s="3436"/>
      <c r="W591" s="3436"/>
      <c r="X591" s="3436"/>
      <c r="Y591" s="3436"/>
      <c r="Z591" s="3436"/>
      <c r="AA591" s="3436"/>
      <c r="AB591" s="3436"/>
      <c r="AC591" s="3436"/>
      <c r="AD591" s="3436"/>
      <c r="AE591" s="3650"/>
    </row>
    <row r="592" spans="16:31" customFormat="1">
      <c r="P592" s="3436"/>
      <c r="Q592" s="3436"/>
      <c r="R592" s="3436"/>
      <c r="S592" s="3436"/>
      <c r="T592" s="3436"/>
      <c r="U592" s="3436"/>
      <c r="V592" s="3436"/>
      <c r="W592" s="3436"/>
      <c r="X592" s="3436"/>
      <c r="Y592" s="3436"/>
      <c r="Z592" s="3436"/>
      <c r="AA592" s="3436"/>
      <c r="AB592" s="3436"/>
      <c r="AC592" s="3436"/>
      <c r="AD592" s="3436"/>
      <c r="AE592" s="3650"/>
    </row>
    <row r="593" spans="16:31" customFormat="1">
      <c r="P593" s="3436"/>
      <c r="Q593" s="3436"/>
      <c r="R593" s="3436"/>
      <c r="S593" s="3436"/>
      <c r="T593" s="3436"/>
      <c r="U593" s="3436"/>
      <c r="V593" s="3436"/>
      <c r="W593" s="3436"/>
      <c r="X593" s="3436"/>
      <c r="Y593" s="3436"/>
      <c r="Z593" s="3436"/>
      <c r="AA593" s="3436"/>
      <c r="AB593" s="3436"/>
      <c r="AC593" s="3436"/>
      <c r="AD593" s="3436"/>
      <c r="AE593" s="3650"/>
    </row>
    <row r="594" spans="16:31" customFormat="1">
      <c r="P594" s="3436"/>
      <c r="Q594" s="3436"/>
      <c r="R594" s="3436"/>
      <c r="S594" s="3436"/>
      <c r="T594" s="3436"/>
      <c r="U594" s="3436"/>
      <c r="V594" s="3436"/>
      <c r="W594" s="3436"/>
      <c r="X594" s="3436"/>
      <c r="Y594" s="3436"/>
      <c r="Z594" s="3436"/>
      <c r="AA594" s="3436"/>
      <c r="AB594" s="3436"/>
      <c r="AC594" s="3436"/>
      <c r="AD594" s="3436"/>
      <c r="AE594" s="3650"/>
    </row>
    <row r="595" spans="16:31" customFormat="1">
      <c r="P595" s="3436"/>
      <c r="Q595" s="3436"/>
      <c r="R595" s="3436"/>
      <c r="S595" s="3436"/>
      <c r="T595" s="3436"/>
      <c r="U595" s="3436"/>
      <c r="V595" s="3436"/>
      <c r="W595" s="3436"/>
      <c r="X595" s="3436"/>
      <c r="Y595" s="3436"/>
      <c r="Z595" s="3436"/>
      <c r="AA595" s="3436"/>
      <c r="AB595" s="3436"/>
      <c r="AC595" s="3436"/>
      <c r="AD595" s="3436"/>
      <c r="AE595" s="3650"/>
    </row>
    <row r="596" spans="16:31" customFormat="1">
      <c r="P596" s="3436"/>
      <c r="Q596" s="3436"/>
      <c r="R596" s="3436"/>
      <c r="S596" s="3436"/>
      <c r="T596" s="3436"/>
      <c r="U596" s="3436"/>
      <c r="V596" s="3436"/>
      <c r="W596" s="3436"/>
      <c r="X596" s="3436"/>
      <c r="Y596" s="3436"/>
      <c r="Z596" s="3436"/>
      <c r="AA596" s="3436"/>
      <c r="AB596" s="3436"/>
      <c r="AC596" s="3436"/>
      <c r="AD596" s="3436"/>
      <c r="AE596" s="3650"/>
    </row>
    <row r="597" spans="16:31" customFormat="1">
      <c r="P597" s="3436"/>
      <c r="Q597" s="3436"/>
      <c r="R597" s="3436"/>
      <c r="S597" s="3436"/>
      <c r="T597" s="3436"/>
      <c r="U597" s="3436"/>
      <c r="V597" s="3436"/>
      <c r="W597" s="3436"/>
      <c r="X597" s="3436"/>
      <c r="Y597" s="3436"/>
      <c r="Z597" s="3436"/>
      <c r="AA597" s="3436"/>
      <c r="AB597" s="3436"/>
      <c r="AC597" s="3436"/>
      <c r="AD597" s="3436"/>
      <c r="AE597" s="3650"/>
    </row>
    <row r="598" spans="16:31" customFormat="1">
      <c r="P598" s="3436"/>
      <c r="Q598" s="3436"/>
      <c r="R598" s="3436"/>
      <c r="S598" s="3436"/>
      <c r="T598" s="3436"/>
      <c r="U598" s="3436"/>
      <c r="V598" s="3436"/>
      <c r="W598" s="3436"/>
      <c r="X598" s="3436"/>
      <c r="Y598" s="3436"/>
      <c r="Z598" s="3436"/>
      <c r="AA598" s="3436"/>
      <c r="AB598" s="3436"/>
      <c r="AC598" s="3436"/>
      <c r="AD598" s="3436"/>
      <c r="AE598" s="3650"/>
    </row>
    <row r="599" spans="16:31" customFormat="1">
      <c r="P599" s="3436"/>
      <c r="Q599" s="3436"/>
      <c r="R599" s="3436"/>
      <c r="S599" s="3436"/>
      <c r="T599" s="3436"/>
      <c r="U599" s="3436"/>
      <c r="V599" s="3436"/>
      <c r="W599" s="3436"/>
      <c r="X599" s="3436"/>
      <c r="Y599" s="3436"/>
      <c r="Z599" s="3436"/>
      <c r="AA599" s="3436"/>
      <c r="AB599" s="3436"/>
      <c r="AC599" s="3436"/>
      <c r="AD599" s="3436"/>
      <c r="AE599" s="3650"/>
    </row>
    <row r="600" spans="16:31" customFormat="1">
      <c r="P600" s="3436"/>
      <c r="Q600" s="3436"/>
      <c r="R600" s="3436"/>
      <c r="S600" s="3436"/>
      <c r="T600" s="3436"/>
      <c r="U600" s="3436"/>
      <c r="V600" s="3436"/>
      <c r="W600" s="3436"/>
      <c r="X600" s="3436"/>
      <c r="Y600" s="3436"/>
      <c r="Z600" s="3436"/>
      <c r="AA600" s="3436"/>
      <c r="AB600" s="3436"/>
      <c r="AC600" s="3436"/>
      <c r="AD600" s="3436"/>
      <c r="AE600" s="3650"/>
    </row>
    <row r="601" spans="16:31" customFormat="1">
      <c r="P601" s="3436"/>
      <c r="Q601" s="3436"/>
      <c r="R601" s="3436"/>
      <c r="S601" s="3436"/>
      <c r="T601" s="3436"/>
      <c r="U601" s="3436"/>
      <c r="V601" s="3436"/>
      <c r="W601" s="3436"/>
      <c r="X601" s="3436"/>
      <c r="Y601" s="3436"/>
      <c r="Z601" s="3436"/>
      <c r="AA601" s="3436"/>
      <c r="AB601" s="3436"/>
      <c r="AC601" s="3436"/>
      <c r="AD601" s="3436"/>
      <c r="AE601" s="3650"/>
    </row>
    <row r="602" spans="16:31" customFormat="1">
      <c r="P602" s="3436"/>
      <c r="Q602" s="3436"/>
      <c r="R602" s="3436"/>
      <c r="S602" s="3436"/>
      <c r="T602" s="3436"/>
      <c r="U602" s="3436"/>
      <c r="V602" s="3436"/>
      <c r="W602" s="3436"/>
      <c r="X602" s="3436"/>
      <c r="Y602" s="3436"/>
      <c r="Z602" s="3436"/>
      <c r="AA602" s="3436"/>
      <c r="AB602" s="3436"/>
      <c r="AC602" s="3436"/>
      <c r="AD602" s="3436"/>
      <c r="AE602" s="3650"/>
    </row>
    <row r="603" spans="16:31" customFormat="1">
      <c r="P603" s="3436"/>
      <c r="Q603" s="3436"/>
      <c r="R603" s="3436"/>
      <c r="S603" s="3436"/>
      <c r="T603" s="3436"/>
      <c r="U603" s="3436"/>
      <c r="V603" s="3436"/>
      <c r="W603" s="3436"/>
      <c r="X603" s="3436"/>
      <c r="Y603" s="3436"/>
      <c r="Z603" s="3436"/>
      <c r="AA603" s="3436"/>
      <c r="AB603" s="3436"/>
      <c r="AC603" s="3436"/>
      <c r="AD603" s="3436"/>
      <c r="AE603" s="3650"/>
    </row>
    <row r="604" spans="16:31" customFormat="1">
      <c r="P604" s="3436"/>
      <c r="Q604" s="3436"/>
      <c r="R604" s="3436"/>
      <c r="S604" s="3436"/>
      <c r="T604" s="3436"/>
      <c r="U604" s="3436"/>
      <c r="V604" s="3436"/>
      <c r="W604" s="3436"/>
      <c r="X604" s="3436"/>
      <c r="Y604" s="3436"/>
      <c r="Z604" s="3436"/>
      <c r="AA604" s="3436"/>
      <c r="AB604" s="3436"/>
      <c r="AC604" s="3436"/>
      <c r="AD604" s="3436"/>
      <c r="AE604" s="3650"/>
    </row>
    <row r="605" spans="16:31" customFormat="1">
      <c r="P605" s="3436"/>
      <c r="Q605" s="3436"/>
      <c r="R605" s="3436"/>
      <c r="S605" s="3436"/>
      <c r="T605" s="3436"/>
      <c r="U605" s="3436"/>
      <c r="V605" s="3436"/>
      <c r="W605" s="3436"/>
      <c r="X605" s="3436"/>
      <c r="Y605" s="3436"/>
      <c r="Z605" s="3436"/>
      <c r="AA605" s="3436"/>
      <c r="AB605" s="3436"/>
      <c r="AC605" s="3436"/>
      <c r="AD605" s="3436"/>
      <c r="AE605" s="3650"/>
    </row>
    <row r="606" spans="16:31" customFormat="1">
      <c r="P606" s="3436"/>
      <c r="Q606" s="3436"/>
      <c r="R606" s="3436"/>
      <c r="S606" s="3436"/>
      <c r="T606" s="3436"/>
      <c r="U606" s="3436"/>
      <c r="V606" s="3436"/>
      <c r="W606" s="3436"/>
      <c r="X606" s="3436"/>
      <c r="Y606" s="3436"/>
      <c r="Z606" s="3436"/>
      <c r="AA606" s="3436"/>
      <c r="AB606" s="3436"/>
      <c r="AC606" s="3436"/>
      <c r="AD606" s="3436"/>
      <c r="AE606" s="3650"/>
    </row>
    <row r="607" spans="16:31" customFormat="1">
      <c r="P607" s="3436"/>
      <c r="Q607" s="3436"/>
      <c r="R607" s="3436"/>
      <c r="S607" s="3436"/>
      <c r="T607" s="3436"/>
      <c r="U607" s="3436"/>
      <c r="V607" s="3436"/>
      <c r="W607" s="3436"/>
      <c r="X607" s="3436"/>
      <c r="Y607" s="3436"/>
      <c r="Z607" s="3436"/>
      <c r="AA607" s="3436"/>
      <c r="AB607" s="3436"/>
      <c r="AC607" s="3436"/>
      <c r="AD607" s="3436"/>
      <c r="AE607" s="3650"/>
    </row>
    <row r="608" spans="16:31" customFormat="1">
      <c r="P608" s="3436"/>
      <c r="Q608" s="3436"/>
      <c r="R608" s="3436"/>
      <c r="S608" s="3436"/>
      <c r="T608" s="3436"/>
      <c r="U608" s="3436"/>
      <c r="V608" s="3436"/>
      <c r="W608" s="3436"/>
      <c r="X608" s="3436"/>
      <c r="Y608" s="3436"/>
      <c r="Z608" s="3436"/>
      <c r="AA608" s="3436"/>
      <c r="AB608" s="3436"/>
      <c r="AC608" s="3436"/>
      <c r="AD608" s="3436"/>
      <c r="AE608" s="3650"/>
    </row>
    <row r="609" spans="16:31" customFormat="1">
      <c r="P609" s="3436"/>
      <c r="Q609" s="3436"/>
      <c r="R609" s="3436"/>
      <c r="S609" s="3436"/>
      <c r="T609" s="3436"/>
      <c r="U609" s="3436"/>
      <c r="V609" s="3436"/>
      <c r="W609" s="3436"/>
      <c r="X609" s="3436"/>
      <c r="Y609" s="3436"/>
      <c r="Z609" s="3436"/>
      <c r="AA609" s="3436"/>
      <c r="AB609" s="3436"/>
      <c r="AC609" s="3436"/>
      <c r="AD609" s="3436"/>
      <c r="AE609" s="3650"/>
    </row>
    <row r="610" spans="16:31" customFormat="1">
      <c r="P610" s="3436"/>
      <c r="Q610" s="3436"/>
      <c r="R610" s="3436"/>
      <c r="S610" s="3436"/>
      <c r="T610" s="3436"/>
      <c r="U610" s="3436"/>
      <c r="V610" s="3436"/>
      <c r="W610" s="3436"/>
      <c r="X610" s="3436"/>
      <c r="Y610" s="3436"/>
      <c r="Z610" s="3436"/>
      <c r="AA610" s="3436"/>
      <c r="AB610" s="3436"/>
      <c r="AC610" s="3436"/>
      <c r="AD610" s="3436"/>
      <c r="AE610" s="3650"/>
    </row>
    <row r="611" spans="16:31" customFormat="1">
      <c r="P611" s="3436"/>
      <c r="Q611" s="3436"/>
      <c r="R611" s="3436"/>
      <c r="S611" s="3436"/>
      <c r="T611" s="3436"/>
      <c r="U611" s="3436"/>
      <c r="V611" s="3436"/>
      <c r="W611" s="3436"/>
      <c r="X611" s="3436"/>
      <c r="Y611" s="3436"/>
      <c r="Z611" s="3436"/>
      <c r="AA611" s="3436"/>
      <c r="AB611" s="3436"/>
      <c r="AC611" s="3436"/>
      <c r="AD611" s="3436"/>
      <c r="AE611" s="3650"/>
    </row>
    <row r="612" spans="16:31" customFormat="1">
      <c r="P612" s="3436"/>
      <c r="Q612" s="3436"/>
      <c r="R612" s="3436"/>
      <c r="S612" s="3436"/>
      <c r="T612" s="3436"/>
      <c r="U612" s="3436"/>
      <c r="V612" s="3436"/>
      <c r="W612" s="3436"/>
      <c r="X612" s="3436"/>
      <c r="Y612" s="3436"/>
      <c r="Z612" s="3436"/>
      <c r="AA612" s="3436"/>
      <c r="AB612" s="3436"/>
      <c r="AC612" s="3436"/>
      <c r="AD612" s="3436"/>
      <c r="AE612" s="3650"/>
    </row>
    <row r="613" spans="16:31" customFormat="1">
      <c r="P613" s="3436"/>
      <c r="Q613" s="3436"/>
      <c r="R613" s="3436"/>
      <c r="S613" s="3436"/>
      <c r="T613" s="3436"/>
      <c r="U613" s="3436"/>
      <c r="V613" s="3436"/>
      <c r="W613" s="3436"/>
      <c r="X613" s="3436"/>
      <c r="Y613" s="3436"/>
      <c r="Z613" s="3436"/>
      <c r="AA613" s="3436"/>
      <c r="AB613" s="3436"/>
      <c r="AC613" s="3436"/>
      <c r="AD613" s="3436"/>
      <c r="AE613" s="3650"/>
    </row>
    <row r="614" spans="16:31" customFormat="1">
      <c r="P614" s="3436"/>
      <c r="Q614" s="3436"/>
      <c r="R614" s="3436"/>
      <c r="S614" s="3436"/>
      <c r="T614" s="3436"/>
      <c r="U614" s="3436"/>
      <c r="V614" s="3436"/>
      <c r="W614" s="3436"/>
      <c r="X614" s="3436"/>
      <c r="Y614" s="3436"/>
      <c r="Z614" s="3436"/>
      <c r="AA614" s="3436"/>
      <c r="AB614" s="3436"/>
      <c r="AC614" s="3436"/>
      <c r="AD614" s="3436"/>
      <c r="AE614" s="3650"/>
    </row>
    <row r="615" spans="16:31" customFormat="1">
      <c r="P615" s="3436"/>
      <c r="Q615" s="3436"/>
      <c r="R615" s="3436"/>
      <c r="S615" s="3436"/>
      <c r="T615" s="3436"/>
      <c r="U615" s="3436"/>
      <c r="V615" s="3436"/>
      <c r="W615" s="3436"/>
      <c r="X615" s="3436"/>
      <c r="Y615" s="3436"/>
      <c r="Z615" s="3436"/>
      <c r="AA615" s="3436"/>
      <c r="AB615" s="3436"/>
      <c r="AC615" s="3436"/>
      <c r="AD615" s="3436"/>
      <c r="AE615" s="3650"/>
    </row>
    <row r="616" spans="16:31" customFormat="1">
      <c r="P616" s="3436"/>
      <c r="Q616" s="3436"/>
      <c r="R616" s="3436"/>
      <c r="S616" s="3436"/>
      <c r="T616" s="3436"/>
      <c r="U616" s="3436"/>
      <c r="V616" s="3436"/>
      <c r="W616" s="3436"/>
      <c r="X616" s="3436"/>
      <c r="Y616" s="3436"/>
      <c r="Z616" s="3436"/>
      <c r="AA616" s="3436"/>
      <c r="AB616" s="3436"/>
      <c r="AC616" s="3436"/>
      <c r="AD616" s="3436"/>
      <c r="AE616" s="3650"/>
    </row>
    <row r="617" spans="16:31" customFormat="1">
      <c r="P617" s="3436"/>
      <c r="Q617" s="3436"/>
      <c r="R617" s="3436"/>
      <c r="S617" s="3436"/>
      <c r="T617" s="3436"/>
      <c r="U617" s="3436"/>
      <c r="V617" s="3436"/>
      <c r="W617" s="3436"/>
      <c r="X617" s="3436"/>
      <c r="Y617" s="3436"/>
      <c r="Z617" s="3436"/>
      <c r="AA617" s="3436"/>
      <c r="AB617" s="3436"/>
      <c r="AC617" s="3436"/>
      <c r="AD617" s="3436"/>
      <c r="AE617" s="3650"/>
    </row>
    <row r="618" spans="16:31" customFormat="1">
      <c r="P618" s="3436"/>
      <c r="Q618" s="3436"/>
      <c r="R618" s="3436"/>
      <c r="S618" s="3436"/>
      <c r="T618" s="3436"/>
      <c r="U618" s="3436"/>
      <c r="V618" s="3436"/>
      <c r="W618" s="3436"/>
      <c r="X618" s="3436"/>
      <c r="Y618" s="3436"/>
      <c r="Z618" s="3436"/>
      <c r="AA618" s="3436"/>
      <c r="AB618" s="3436"/>
      <c r="AC618" s="3436"/>
      <c r="AD618" s="3436"/>
      <c r="AE618" s="3650"/>
    </row>
    <row r="619" spans="16:31" customFormat="1">
      <c r="P619" s="3436"/>
      <c r="Q619" s="3436"/>
      <c r="R619" s="3436"/>
      <c r="S619" s="3436"/>
      <c r="T619" s="3436"/>
      <c r="U619" s="3436"/>
      <c r="V619" s="3436"/>
      <c r="W619" s="3436"/>
      <c r="X619" s="3436"/>
      <c r="Y619" s="3436"/>
      <c r="Z619" s="3436"/>
      <c r="AA619" s="3436"/>
      <c r="AB619" s="3436"/>
      <c r="AC619" s="3436"/>
      <c r="AD619" s="3436"/>
      <c r="AE619" s="3650"/>
    </row>
    <row r="620" spans="16:31" customFormat="1">
      <c r="P620" s="3436"/>
      <c r="Q620" s="3436"/>
      <c r="R620" s="3436"/>
      <c r="S620" s="3436"/>
      <c r="T620" s="3436"/>
      <c r="U620" s="3436"/>
      <c r="V620" s="3436"/>
      <c r="W620" s="3436"/>
      <c r="X620" s="3436"/>
      <c r="Y620" s="3436"/>
      <c r="Z620" s="3436"/>
      <c r="AA620" s="3436"/>
      <c r="AB620" s="3436"/>
      <c r="AC620" s="3436"/>
      <c r="AD620" s="3436"/>
      <c r="AE620" s="3650"/>
    </row>
    <row r="621" spans="16:31" customFormat="1">
      <c r="P621" s="3436"/>
      <c r="Q621" s="3436"/>
      <c r="R621" s="3436"/>
      <c r="S621" s="3436"/>
      <c r="T621" s="3436"/>
      <c r="U621" s="3436"/>
      <c r="V621" s="3436"/>
      <c r="W621" s="3436"/>
      <c r="X621" s="3436"/>
      <c r="Y621" s="3436"/>
      <c r="Z621" s="3436"/>
      <c r="AA621" s="3436"/>
      <c r="AB621" s="3436"/>
      <c r="AC621" s="3436"/>
      <c r="AD621" s="3436"/>
      <c r="AE621" s="3650"/>
    </row>
    <row r="622" spans="16:31" customFormat="1">
      <c r="P622" s="3436"/>
      <c r="Q622" s="3436"/>
      <c r="R622" s="3436"/>
      <c r="S622" s="3436"/>
      <c r="T622" s="3436"/>
      <c r="U622" s="3436"/>
      <c r="V622" s="3436"/>
      <c r="W622" s="3436"/>
      <c r="X622" s="3436"/>
      <c r="Y622" s="3436"/>
      <c r="Z622" s="3436"/>
      <c r="AA622" s="3436"/>
      <c r="AB622" s="3436"/>
      <c r="AC622" s="3436"/>
      <c r="AD622" s="3436"/>
      <c r="AE622" s="3650"/>
    </row>
    <row r="623" spans="16:31" customFormat="1">
      <c r="P623" s="3436"/>
      <c r="Q623" s="3436"/>
      <c r="R623" s="3436"/>
      <c r="S623" s="3436"/>
      <c r="T623" s="3436"/>
      <c r="U623" s="3436"/>
      <c r="V623" s="3436"/>
      <c r="W623" s="3436"/>
      <c r="X623" s="3436"/>
      <c r="Y623" s="3436"/>
      <c r="Z623" s="3436"/>
      <c r="AA623" s="3436"/>
      <c r="AB623" s="3436"/>
      <c r="AC623" s="3436"/>
      <c r="AD623" s="3436"/>
      <c r="AE623" s="3650"/>
    </row>
    <row r="624" spans="16:31" customFormat="1">
      <c r="P624" s="3436"/>
      <c r="Q624" s="3436"/>
      <c r="R624" s="3436"/>
      <c r="S624" s="3436"/>
      <c r="T624" s="3436"/>
      <c r="U624" s="3436"/>
      <c r="V624" s="3436"/>
      <c r="W624" s="3436"/>
      <c r="X624" s="3436"/>
      <c r="Y624" s="3436"/>
      <c r="Z624" s="3436"/>
      <c r="AA624" s="3436"/>
      <c r="AB624" s="3436"/>
      <c r="AC624" s="3436"/>
      <c r="AD624" s="3436"/>
      <c r="AE624" s="3650"/>
    </row>
    <row r="625" spans="16:31" customFormat="1">
      <c r="P625" s="3436"/>
      <c r="Q625" s="3436"/>
      <c r="R625" s="3436"/>
      <c r="S625" s="3436"/>
      <c r="T625" s="3436"/>
      <c r="U625" s="3436"/>
      <c r="V625" s="3436"/>
      <c r="W625" s="3436"/>
      <c r="X625" s="3436"/>
      <c r="Y625" s="3436"/>
      <c r="Z625" s="3436"/>
      <c r="AA625" s="3436"/>
      <c r="AB625" s="3436"/>
      <c r="AC625" s="3436"/>
      <c r="AD625" s="3436"/>
      <c r="AE625" s="3650"/>
    </row>
    <row r="626" spans="16:31" customFormat="1">
      <c r="P626" s="3436"/>
      <c r="Q626" s="3436"/>
      <c r="R626" s="3436"/>
      <c r="S626" s="3436"/>
      <c r="T626" s="3436"/>
      <c r="U626" s="3436"/>
      <c r="V626" s="3436"/>
      <c r="W626" s="3436"/>
      <c r="X626" s="3436"/>
      <c r="Y626" s="3436"/>
      <c r="Z626" s="3436"/>
      <c r="AA626" s="3436"/>
      <c r="AB626" s="3436"/>
      <c r="AC626" s="3436"/>
      <c r="AD626" s="3436"/>
      <c r="AE626" s="3650"/>
    </row>
    <row r="627" spans="16:31" customFormat="1">
      <c r="P627" s="3436"/>
      <c r="Q627" s="3436"/>
      <c r="R627" s="3436"/>
      <c r="S627" s="3436"/>
      <c r="T627" s="3436"/>
      <c r="U627" s="3436"/>
      <c r="V627" s="3436"/>
      <c r="W627" s="3436"/>
      <c r="X627" s="3436"/>
      <c r="Y627" s="3436"/>
      <c r="Z627" s="3436"/>
      <c r="AA627" s="3436"/>
      <c r="AB627" s="3436"/>
      <c r="AC627" s="3436"/>
      <c r="AD627" s="3436"/>
      <c r="AE627" s="3650"/>
    </row>
    <row r="628" spans="16:31" customFormat="1">
      <c r="P628" s="3436"/>
      <c r="Q628" s="3436"/>
      <c r="R628" s="3436"/>
      <c r="S628" s="3436"/>
      <c r="T628" s="3436"/>
      <c r="U628" s="3436"/>
      <c r="V628" s="3436"/>
      <c r="W628" s="3436"/>
      <c r="X628" s="3436"/>
      <c r="Y628" s="3436"/>
      <c r="Z628" s="3436"/>
      <c r="AA628" s="3436"/>
      <c r="AB628" s="3436"/>
      <c r="AC628" s="3436"/>
      <c r="AD628" s="3436"/>
      <c r="AE628" s="3650"/>
    </row>
    <row r="629" spans="16:31" customFormat="1">
      <c r="P629" s="3436"/>
      <c r="Q629" s="3436"/>
      <c r="R629" s="3436"/>
      <c r="S629" s="3436"/>
      <c r="T629" s="3436"/>
      <c r="U629" s="3436"/>
      <c r="V629" s="3436"/>
      <c r="W629" s="3436"/>
      <c r="X629" s="3436"/>
      <c r="Y629" s="3436"/>
      <c r="Z629" s="3436"/>
      <c r="AA629" s="3436"/>
      <c r="AB629" s="3436"/>
      <c r="AC629" s="3436"/>
      <c r="AD629" s="3436"/>
      <c r="AE629" s="3650"/>
    </row>
    <row r="630" spans="16:31" customFormat="1">
      <c r="P630" s="3436"/>
      <c r="Q630" s="3436"/>
      <c r="R630" s="3436"/>
      <c r="S630" s="3436"/>
      <c r="T630" s="3436"/>
      <c r="U630" s="3436"/>
      <c r="V630" s="3436"/>
      <c r="W630" s="3436"/>
      <c r="X630" s="3436"/>
      <c r="Y630" s="3436"/>
      <c r="Z630" s="3436"/>
      <c r="AA630" s="3436"/>
      <c r="AB630" s="3436"/>
      <c r="AC630" s="3436"/>
      <c r="AD630" s="3436"/>
      <c r="AE630" s="3650"/>
    </row>
    <row r="631" spans="16:31" customFormat="1">
      <c r="P631" s="3436"/>
      <c r="Q631" s="3436"/>
      <c r="R631" s="3436"/>
      <c r="S631" s="3436"/>
      <c r="T631" s="3436"/>
      <c r="U631" s="3436"/>
      <c r="V631" s="3436"/>
      <c r="W631" s="3436"/>
      <c r="X631" s="3436"/>
      <c r="Y631" s="3436"/>
      <c r="Z631" s="3436"/>
      <c r="AA631" s="3436"/>
      <c r="AB631" s="3436"/>
      <c r="AC631" s="3436"/>
      <c r="AD631" s="3436"/>
      <c r="AE631" s="3650"/>
    </row>
    <row r="632" spans="16:31" customFormat="1">
      <c r="P632" s="3436"/>
      <c r="Q632" s="3436"/>
      <c r="R632" s="3436"/>
      <c r="S632" s="3436"/>
      <c r="T632" s="3436"/>
      <c r="U632" s="3436"/>
      <c r="V632" s="3436"/>
      <c r="W632" s="3436"/>
      <c r="X632" s="3436"/>
      <c r="Y632" s="3436"/>
      <c r="Z632" s="3436"/>
      <c r="AA632" s="3436"/>
      <c r="AB632" s="3436"/>
      <c r="AC632" s="3436"/>
      <c r="AD632" s="3436"/>
      <c r="AE632" s="3650"/>
    </row>
    <row r="633" spans="16:31" customFormat="1">
      <c r="P633" s="3436"/>
      <c r="Q633" s="3436"/>
      <c r="R633" s="3436"/>
      <c r="S633" s="3436"/>
      <c r="T633" s="3436"/>
      <c r="U633" s="3436"/>
      <c r="V633" s="3436"/>
      <c r="W633" s="3436"/>
      <c r="X633" s="3436"/>
      <c r="Y633" s="3436"/>
      <c r="Z633" s="3436"/>
      <c r="AA633" s="3436"/>
      <c r="AB633" s="3436"/>
      <c r="AC633" s="3436"/>
      <c r="AD633" s="3436"/>
      <c r="AE633" s="3650"/>
    </row>
    <row r="634" spans="16:31" customFormat="1">
      <c r="P634" s="3436"/>
      <c r="Q634" s="3436"/>
      <c r="R634" s="3436"/>
      <c r="S634" s="3436"/>
      <c r="T634" s="3436"/>
      <c r="U634" s="3436"/>
      <c r="V634" s="3436"/>
      <c r="W634" s="3436"/>
      <c r="X634" s="3436"/>
      <c r="Y634" s="3436"/>
      <c r="Z634" s="3436"/>
      <c r="AA634" s="3436"/>
      <c r="AB634" s="3436"/>
      <c r="AC634" s="3436"/>
      <c r="AD634" s="3436"/>
      <c r="AE634" s="3650"/>
    </row>
    <row r="635" spans="16:31" customFormat="1">
      <c r="P635" s="3436"/>
      <c r="Q635" s="3436"/>
      <c r="R635" s="3436"/>
      <c r="S635" s="3436"/>
      <c r="T635" s="3436"/>
      <c r="U635" s="3436"/>
      <c r="V635" s="3436"/>
      <c r="W635" s="3436"/>
      <c r="X635" s="3436"/>
      <c r="Y635" s="3436"/>
      <c r="Z635" s="3436"/>
      <c r="AA635" s="3436"/>
      <c r="AB635" s="3436"/>
      <c r="AC635" s="3436"/>
      <c r="AD635" s="3436"/>
      <c r="AE635" s="3650"/>
    </row>
    <row r="636" spans="16:31" customFormat="1">
      <c r="P636" s="3436"/>
      <c r="Q636" s="3436"/>
      <c r="R636" s="3436"/>
      <c r="S636" s="3436"/>
      <c r="T636" s="3436"/>
      <c r="U636" s="3436"/>
      <c r="V636" s="3436"/>
      <c r="W636" s="3436"/>
      <c r="X636" s="3436"/>
      <c r="Y636" s="3436"/>
      <c r="Z636" s="3436"/>
      <c r="AA636" s="3436"/>
      <c r="AB636" s="3436"/>
      <c r="AC636" s="3436"/>
      <c r="AD636" s="3436"/>
      <c r="AE636" s="3650"/>
    </row>
    <row r="637" spans="16:31" customFormat="1">
      <c r="P637" s="3436"/>
      <c r="Q637" s="3436"/>
      <c r="R637" s="3436"/>
      <c r="S637" s="3436"/>
      <c r="T637" s="3436"/>
      <c r="U637" s="3436"/>
      <c r="V637" s="3436"/>
      <c r="W637" s="3436"/>
      <c r="X637" s="3436"/>
      <c r="Y637" s="3436"/>
      <c r="Z637" s="3436"/>
      <c r="AA637" s="3436"/>
      <c r="AB637" s="3436"/>
      <c r="AC637" s="3436"/>
      <c r="AD637" s="3436"/>
      <c r="AE637" s="3650"/>
    </row>
    <row r="638" spans="16:31" customFormat="1">
      <c r="P638" s="3436"/>
      <c r="Q638" s="3436"/>
      <c r="R638" s="3436"/>
      <c r="S638" s="3436"/>
      <c r="T638" s="3436"/>
      <c r="U638" s="3436"/>
      <c r="V638" s="3436"/>
      <c r="W638" s="3436"/>
      <c r="X638" s="3436"/>
      <c r="Y638" s="3436"/>
      <c r="Z638" s="3436"/>
      <c r="AA638" s="3436"/>
      <c r="AB638" s="3436"/>
      <c r="AC638" s="3436"/>
      <c r="AD638" s="3436"/>
      <c r="AE638" s="3650"/>
    </row>
    <row r="639" spans="16:31" customFormat="1">
      <c r="P639" s="3436"/>
      <c r="Q639" s="3436"/>
      <c r="R639" s="3436"/>
      <c r="S639" s="3436"/>
      <c r="T639" s="3436"/>
      <c r="U639" s="3436"/>
      <c r="V639" s="3436"/>
      <c r="W639" s="3436"/>
      <c r="X639" s="3436"/>
      <c r="Y639" s="3436"/>
      <c r="Z639" s="3436"/>
      <c r="AA639" s="3436"/>
      <c r="AB639" s="3436"/>
      <c r="AC639" s="3436"/>
      <c r="AD639" s="3436"/>
      <c r="AE639" s="3650"/>
    </row>
    <row r="640" spans="16:31" customFormat="1">
      <c r="P640" s="3436"/>
      <c r="Q640" s="3436"/>
      <c r="R640" s="3436"/>
      <c r="S640" s="3436"/>
      <c r="T640" s="3436"/>
      <c r="U640" s="3436"/>
      <c r="V640" s="3436"/>
      <c r="W640" s="3436"/>
      <c r="X640" s="3436"/>
      <c r="Y640" s="3436"/>
      <c r="Z640" s="3436"/>
      <c r="AA640" s="3436"/>
      <c r="AB640" s="3436"/>
      <c r="AC640" s="3436"/>
      <c r="AD640" s="3436"/>
      <c r="AE640" s="3650"/>
    </row>
    <row r="641" spans="16:31" customFormat="1">
      <c r="P641" s="3436"/>
      <c r="Q641" s="3436"/>
      <c r="R641" s="3436"/>
      <c r="S641" s="3436"/>
      <c r="T641" s="3436"/>
      <c r="U641" s="3436"/>
      <c r="V641" s="3436"/>
      <c r="W641" s="3436"/>
      <c r="X641" s="3436"/>
      <c r="Y641" s="3436"/>
      <c r="Z641" s="3436"/>
      <c r="AA641" s="3436"/>
      <c r="AB641" s="3436"/>
      <c r="AC641" s="3436"/>
      <c r="AD641" s="3436"/>
      <c r="AE641" s="3650"/>
    </row>
    <row r="642" spans="16:31" customFormat="1">
      <c r="P642" s="3436"/>
      <c r="Q642" s="3436"/>
      <c r="R642" s="3436"/>
      <c r="S642" s="3436"/>
      <c r="T642" s="3436"/>
      <c r="U642" s="3436"/>
      <c r="V642" s="3436"/>
      <c r="W642" s="3436"/>
      <c r="X642" s="3436"/>
      <c r="Y642" s="3436"/>
      <c r="Z642" s="3436"/>
      <c r="AA642" s="3436"/>
      <c r="AB642" s="3436"/>
      <c r="AC642" s="3436"/>
      <c r="AD642" s="3436"/>
      <c r="AE642" s="3650"/>
    </row>
    <row r="643" spans="16:31" customFormat="1">
      <c r="P643" s="3436"/>
      <c r="Q643" s="3436"/>
      <c r="R643" s="3436"/>
      <c r="S643" s="3436"/>
      <c r="T643" s="3436"/>
      <c r="U643" s="3436"/>
      <c r="V643" s="3436"/>
      <c r="W643" s="3436"/>
      <c r="X643" s="3436"/>
      <c r="Y643" s="3436"/>
      <c r="Z643" s="3436"/>
      <c r="AA643" s="3436"/>
      <c r="AB643" s="3436"/>
      <c r="AC643" s="3436"/>
      <c r="AD643" s="3436"/>
      <c r="AE643" s="3650"/>
    </row>
    <row r="644" spans="16:31" customFormat="1">
      <c r="P644" s="3436"/>
      <c r="Q644" s="3436"/>
      <c r="R644" s="3436"/>
      <c r="S644" s="3436"/>
      <c r="T644" s="3436"/>
      <c r="U644" s="3436"/>
      <c r="V644" s="3436"/>
      <c r="W644" s="3436"/>
      <c r="X644" s="3436"/>
      <c r="Y644" s="3436"/>
      <c r="Z644" s="3436"/>
      <c r="AA644" s="3436"/>
      <c r="AB644" s="3436"/>
      <c r="AC644" s="3436"/>
      <c r="AD644" s="3436"/>
      <c r="AE644" s="3650"/>
    </row>
    <row r="645" spans="16:31" customFormat="1">
      <c r="P645" s="3436"/>
      <c r="Q645" s="3436"/>
      <c r="R645" s="3436"/>
      <c r="S645" s="3436"/>
      <c r="T645" s="3436"/>
      <c r="U645" s="3436"/>
      <c r="V645" s="3436"/>
      <c r="W645" s="3436"/>
      <c r="X645" s="3436"/>
      <c r="Y645" s="3436"/>
      <c r="Z645" s="3436"/>
      <c r="AA645" s="3436"/>
      <c r="AB645" s="3436"/>
      <c r="AC645" s="3436"/>
      <c r="AD645" s="3436"/>
      <c r="AE645" s="3650"/>
    </row>
    <row r="646" spans="16:31" customFormat="1">
      <c r="P646" s="3436"/>
      <c r="Q646" s="3436"/>
      <c r="R646" s="3436"/>
      <c r="S646" s="3436"/>
      <c r="T646" s="3436"/>
      <c r="U646" s="3436"/>
      <c r="V646" s="3436"/>
      <c r="W646" s="3436"/>
      <c r="X646" s="3436"/>
      <c r="Y646" s="3436"/>
      <c r="Z646" s="3436"/>
      <c r="AA646" s="3436"/>
      <c r="AB646" s="3436"/>
      <c r="AC646" s="3436"/>
      <c r="AD646" s="3436"/>
      <c r="AE646" s="3650"/>
    </row>
    <row r="647" spans="16:31" customFormat="1">
      <c r="P647" s="3436"/>
      <c r="Q647" s="3436"/>
      <c r="R647" s="3436"/>
      <c r="S647" s="3436"/>
      <c r="T647" s="3436"/>
      <c r="U647" s="3436"/>
      <c r="V647" s="3436"/>
      <c r="W647" s="3436"/>
      <c r="X647" s="3436"/>
      <c r="Y647" s="3436"/>
      <c r="Z647" s="3436"/>
      <c r="AA647" s="3436"/>
      <c r="AB647" s="3436"/>
      <c r="AC647" s="3436"/>
      <c r="AD647" s="3436"/>
      <c r="AE647" s="3650"/>
    </row>
    <row r="648" spans="16:31" customFormat="1">
      <c r="P648" s="3436"/>
      <c r="Q648" s="3436"/>
      <c r="R648" s="3436"/>
      <c r="S648" s="3436"/>
      <c r="T648" s="3436"/>
      <c r="U648" s="3436"/>
      <c r="V648" s="3436"/>
      <c r="W648" s="3436"/>
      <c r="X648" s="3436"/>
      <c r="Y648" s="3436"/>
      <c r="Z648" s="3436"/>
      <c r="AA648" s="3436"/>
      <c r="AB648" s="3436"/>
      <c r="AC648" s="3436"/>
      <c r="AD648" s="3436"/>
      <c r="AE648" s="3650"/>
    </row>
    <row r="649" spans="16:31" customFormat="1">
      <c r="P649" s="3436"/>
      <c r="Q649" s="3436"/>
      <c r="R649" s="3436"/>
      <c r="S649" s="3436"/>
      <c r="T649" s="3436"/>
      <c r="U649" s="3436"/>
      <c r="V649" s="3436"/>
      <c r="W649" s="3436"/>
      <c r="X649" s="3436"/>
      <c r="Y649" s="3436"/>
      <c r="Z649" s="3436"/>
      <c r="AA649" s="3436"/>
      <c r="AB649" s="3436"/>
      <c r="AC649" s="3436"/>
      <c r="AD649" s="3436"/>
      <c r="AE649" s="3650"/>
    </row>
    <row r="650" spans="16:31" customFormat="1">
      <c r="P650" s="3436"/>
      <c r="Q650" s="3436"/>
      <c r="R650" s="3436"/>
      <c r="S650" s="3436"/>
      <c r="T650" s="3436"/>
      <c r="U650" s="3436"/>
      <c r="V650" s="3436"/>
      <c r="W650" s="3436"/>
      <c r="X650" s="3436"/>
      <c r="Y650" s="3436"/>
      <c r="Z650" s="3436"/>
      <c r="AA650" s="3436"/>
      <c r="AB650" s="3436"/>
      <c r="AC650" s="3436"/>
      <c r="AD650" s="3436"/>
      <c r="AE650" s="3650"/>
    </row>
    <row r="651" spans="16:31" customFormat="1">
      <c r="P651" s="3436"/>
      <c r="Q651" s="3436"/>
      <c r="R651" s="3436"/>
      <c r="S651" s="3436"/>
      <c r="T651" s="3436"/>
      <c r="U651" s="3436"/>
      <c r="V651" s="3436"/>
      <c r="W651" s="3436"/>
      <c r="X651" s="3436"/>
      <c r="Y651" s="3436"/>
      <c r="Z651" s="3436"/>
      <c r="AA651" s="3436"/>
      <c r="AB651" s="3436"/>
      <c r="AC651" s="3436"/>
      <c r="AD651" s="3436"/>
      <c r="AE651" s="3650"/>
    </row>
    <row r="652" spans="16:31" customFormat="1">
      <c r="P652" s="3436"/>
      <c r="Q652" s="3436"/>
      <c r="R652" s="3436"/>
      <c r="S652" s="3436"/>
      <c r="T652" s="3436"/>
      <c r="U652" s="3436"/>
      <c r="V652" s="3436"/>
      <c r="W652" s="3436"/>
      <c r="X652" s="3436"/>
      <c r="Y652" s="3436"/>
      <c r="Z652" s="3436"/>
      <c r="AA652" s="3436"/>
      <c r="AB652" s="3436"/>
      <c r="AC652" s="3436"/>
      <c r="AD652" s="3436"/>
      <c r="AE652" s="3650"/>
    </row>
    <row r="653" spans="16:31" customFormat="1">
      <c r="P653" s="3436"/>
      <c r="Q653" s="3436"/>
      <c r="R653" s="3436"/>
      <c r="S653" s="3436"/>
      <c r="T653" s="3436"/>
      <c r="U653" s="3436"/>
      <c r="V653" s="3436"/>
      <c r="W653" s="3436"/>
      <c r="X653" s="3436"/>
      <c r="Y653" s="3436"/>
      <c r="Z653" s="3436"/>
      <c r="AA653" s="3436"/>
      <c r="AB653" s="3436"/>
      <c r="AC653" s="3436"/>
      <c r="AD653" s="3436"/>
      <c r="AE653" s="3650"/>
    </row>
    <row r="654" spans="16:31" customFormat="1">
      <c r="P654" s="3436"/>
      <c r="Q654" s="3436"/>
      <c r="R654" s="3436"/>
      <c r="S654" s="3436"/>
      <c r="T654" s="3436"/>
      <c r="U654" s="3436"/>
      <c r="V654" s="3436"/>
      <c r="W654" s="3436"/>
      <c r="X654" s="3436"/>
      <c r="Y654" s="3436"/>
      <c r="Z654" s="3436"/>
      <c r="AA654" s="3436"/>
      <c r="AB654" s="3436"/>
      <c r="AC654" s="3436"/>
      <c r="AD654" s="3436"/>
      <c r="AE654" s="3650"/>
    </row>
    <row r="655" spans="16:31" customFormat="1">
      <c r="P655" s="3436"/>
      <c r="Q655" s="3436"/>
      <c r="R655" s="3436"/>
      <c r="S655" s="3436"/>
      <c r="T655" s="3436"/>
      <c r="U655" s="3436"/>
      <c r="V655" s="3436"/>
      <c r="W655" s="3436"/>
      <c r="X655" s="3436"/>
      <c r="Y655" s="3436"/>
      <c r="Z655" s="3436"/>
      <c r="AA655" s="3436"/>
      <c r="AB655" s="3436"/>
      <c r="AC655" s="3436"/>
      <c r="AD655" s="3436"/>
      <c r="AE655" s="3650"/>
    </row>
    <row r="656" spans="16:31" customFormat="1">
      <c r="P656" s="3436"/>
      <c r="Q656" s="3436"/>
      <c r="R656" s="3436"/>
      <c r="S656" s="3436"/>
      <c r="T656" s="3436"/>
      <c r="U656" s="3436"/>
      <c r="V656" s="3436"/>
      <c r="W656" s="3436"/>
      <c r="X656" s="3436"/>
      <c r="Y656" s="3436"/>
      <c r="Z656" s="3436"/>
      <c r="AA656" s="3436"/>
      <c r="AB656" s="3436"/>
      <c r="AC656" s="3436"/>
      <c r="AD656" s="3436"/>
      <c r="AE656" s="3650"/>
    </row>
    <row r="657" spans="16:31" customFormat="1">
      <c r="P657" s="3436"/>
      <c r="Q657" s="3436"/>
      <c r="R657" s="3436"/>
      <c r="S657" s="3436"/>
      <c r="T657" s="3436"/>
      <c r="U657" s="3436"/>
      <c r="V657" s="3436"/>
      <c r="W657" s="3436"/>
      <c r="X657" s="3436"/>
      <c r="Y657" s="3436"/>
      <c r="Z657" s="3436"/>
      <c r="AA657" s="3436"/>
      <c r="AB657" s="3436"/>
      <c r="AC657" s="3436"/>
      <c r="AD657" s="3436"/>
      <c r="AE657" s="3650"/>
    </row>
    <row r="658" spans="16:31" customFormat="1">
      <c r="P658" s="3436"/>
      <c r="Q658" s="3436"/>
      <c r="R658" s="3436"/>
      <c r="S658" s="3436"/>
      <c r="T658" s="3436"/>
      <c r="U658" s="3436"/>
      <c r="V658" s="3436"/>
      <c r="W658" s="3436"/>
      <c r="X658" s="3436"/>
      <c r="Y658" s="3436"/>
      <c r="Z658" s="3436"/>
      <c r="AA658" s="3436"/>
      <c r="AB658" s="3436"/>
      <c r="AC658" s="3436"/>
      <c r="AD658" s="3436"/>
      <c r="AE658" s="3650"/>
    </row>
    <row r="659" spans="16:31" customFormat="1">
      <c r="P659" s="3436"/>
      <c r="Q659" s="3436"/>
      <c r="R659" s="3436"/>
      <c r="S659" s="3436"/>
      <c r="T659" s="3436"/>
      <c r="U659" s="3436"/>
      <c r="V659" s="3436"/>
      <c r="W659" s="3436"/>
      <c r="X659" s="3436"/>
      <c r="Y659" s="3436"/>
      <c r="Z659" s="3436"/>
      <c r="AA659" s="3436"/>
      <c r="AB659" s="3436"/>
      <c r="AC659" s="3436"/>
      <c r="AD659" s="3436"/>
      <c r="AE659" s="3650"/>
    </row>
    <row r="660" spans="16:31" customFormat="1">
      <c r="P660" s="3436"/>
      <c r="Q660" s="3436"/>
      <c r="R660" s="3436"/>
      <c r="S660" s="3436"/>
      <c r="T660" s="3436"/>
      <c r="U660" s="3436"/>
      <c r="V660" s="3436"/>
      <c r="W660" s="3436"/>
      <c r="X660" s="3436"/>
      <c r="Y660" s="3436"/>
      <c r="Z660" s="3436"/>
      <c r="AA660" s="3436"/>
      <c r="AB660" s="3436"/>
      <c r="AC660" s="3436"/>
      <c r="AD660" s="3436"/>
      <c r="AE660" s="3650"/>
    </row>
    <row r="661" spans="16:31" customFormat="1">
      <c r="P661" s="3436"/>
      <c r="Q661" s="3436"/>
      <c r="R661" s="3436"/>
      <c r="S661" s="3436"/>
      <c r="T661" s="3436"/>
      <c r="U661" s="3436"/>
      <c r="V661" s="3436"/>
      <c r="W661" s="3436"/>
      <c r="X661" s="3436"/>
      <c r="Y661" s="3436"/>
      <c r="Z661" s="3436"/>
      <c r="AA661" s="3436"/>
      <c r="AB661" s="3436"/>
      <c r="AC661" s="3436"/>
      <c r="AD661" s="3436"/>
      <c r="AE661" s="3650"/>
    </row>
    <row r="662" spans="16:31" customFormat="1">
      <c r="P662" s="3436"/>
      <c r="Q662" s="3436"/>
      <c r="R662" s="3436"/>
      <c r="S662" s="3436"/>
      <c r="T662" s="3436"/>
      <c r="U662" s="3436"/>
      <c r="V662" s="3436"/>
      <c r="W662" s="3436"/>
      <c r="X662" s="3436"/>
      <c r="Y662" s="3436"/>
      <c r="Z662" s="3436"/>
      <c r="AA662" s="3436"/>
      <c r="AB662" s="3436"/>
      <c r="AC662" s="3436"/>
      <c r="AD662" s="3436"/>
      <c r="AE662" s="3650"/>
    </row>
    <row r="663" spans="16:31" customFormat="1">
      <c r="P663" s="3436"/>
      <c r="Q663" s="3436"/>
      <c r="R663" s="3436"/>
      <c r="S663" s="3436"/>
      <c r="T663" s="3436"/>
      <c r="U663" s="3436"/>
      <c r="V663" s="3436"/>
      <c r="W663" s="3436"/>
      <c r="X663" s="3436"/>
      <c r="Y663" s="3436"/>
      <c r="Z663" s="3436"/>
      <c r="AA663" s="3436"/>
      <c r="AB663" s="3436"/>
      <c r="AC663" s="3436"/>
      <c r="AD663" s="3436"/>
      <c r="AE663" s="3650"/>
    </row>
    <row r="664" spans="16:31" customFormat="1">
      <c r="P664" s="3436"/>
      <c r="Q664" s="3436"/>
      <c r="R664" s="3436"/>
      <c r="S664" s="3436"/>
      <c r="T664" s="3436"/>
      <c r="U664" s="3436"/>
      <c r="V664" s="3436"/>
      <c r="W664" s="3436"/>
      <c r="X664" s="3436"/>
      <c r="Y664" s="3436"/>
      <c r="Z664" s="3436"/>
      <c r="AA664" s="3436"/>
      <c r="AB664" s="3436"/>
      <c r="AC664" s="3436"/>
      <c r="AD664" s="3436"/>
      <c r="AE664" s="3650"/>
    </row>
    <row r="665" spans="16:31" customFormat="1">
      <c r="P665" s="3436"/>
      <c r="Q665" s="3436"/>
      <c r="R665" s="3436"/>
      <c r="S665" s="3436"/>
      <c r="T665" s="3436"/>
      <c r="U665" s="3436"/>
      <c r="V665" s="3436"/>
      <c r="W665" s="3436"/>
      <c r="X665" s="3436"/>
      <c r="Y665" s="3436"/>
      <c r="Z665" s="3436"/>
      <c r="AA665" s="3436"/>
      <c r="AB665" s="3436"/>
      <c r="AC665" s="3436"/>
      <c r="AD665" s="3436"/>
      <c r="AE665" s="3650"/>
    </row>
    <row r="666" spans="16:31" customFormat="1">
      <c r="P666" s="3436"/>
      <c r="Q666" s="3436"/>
      <c r="R666" s="3436"/>
      <c r="S666" s="3436"/>
      <c r="T666" s="3436"/>
      <c r="U666" s="3436"/>
      <c r="V666" s="3436"/>
      <c r="W666" s="3436"/>
      <c r="X666" s="3436"/>
      <c r="Y666" s="3436"/>
      <c r="Z666" s="3436"/>
      <c r="AA666" s="3436"/>
      <c r="AB666" s="3436"/>
      <c r="AC666" s="3436"/>
      <c r="AD666" s="3436"/>
      <c r="AE666" s="3650"/>
    </row>
    <row r="667" spans="16:31" customFormat="1">
      <c r="P667" s="3436"/>
      <c r="Q667" s="3436"/>
      <c r="R667" s="3436"/>
      <c r="S667" s="3436"/>
      <c r="T667" s="3436"/>
      <c r="U667" s="3436"/>
      <c r="V667" s="3436"/>
      <c r="W667" s="3436"/>
      <c r="X667" s="3436"/>
      <c r="Y667" s="3436"/>
      <c r="Z667" s="3436"/>
      <c r="AA667" s="3436"/>
      <c r="AB667" s="3436"/>
      <c r="AC667" s="3436"/>
      <c r="AD667" s="3436"/>
      <c r="AE667" s="3650"/>
    </row>
    <row r="668" spans="16:31" customFormat="1">
      <c r="P668" s="3436"/>
      <c r="Q668" s="3436"/>
      <c r="R668" s="3436"/>
      <c r="S668" s="3436"/>
      <c r="T668" s="3436"/>
      <c r="U668" s="3436"/>
      <c r="V668" s="3436"/>
      <c r="W668" s="3436"/>
      <c r="X668" s="3436"/>
      <c r="Y668" s="3436"/>
      <c r="Z668" s="3436"/>
      <c r="AA668" s="3436"/>
      <c r="AB668" s="3436"/>
      <c r="AC668" s="3436"/>
      <c r="AD668" s="3436"/>
      <c r="AE668" s="3650"/>
    </row>
    <row r="669" spans="16:31" customFormat="1">
      <c r="P669" s="3436"/>
      <c r="Q669" s="3436"/>
      <c r="R669" s="3436"/>
      <c r="S669" s="3436"/>
      <c r="T669" s="3436"/>
      <c r="U669" s="3436"/>
      <c r="V669" s="3436"/>
      <c r="W669" s="3436"/>
      <c r="X669" s="3436"/>
      <c r="Y669" s="3436"/>
      <c r="Z669" s="3436"/>
      <c r="AA669" s="3436"/>
      <c r="AB669" s="3436"/>
      <c r="AC669" s="3436"/>
      <c r="AD669" s="3436"/>
      <c r="AE669" s="3650"/>
    </row>
    <row r="670" spans="16:31" customFormat="1">
      <c r="P670" s="3436"/>
      <c r="Q670" s="3436"/>
      <c r="R670" s="3436"/>
      <c r="S670" s="3436"/>
      <c r="T670" s="3436"/>
      <c r="U670" s="3436"/>
      <c r="V670" s="3436"/>
      <c r="W670" s="3436"/>
      <c r="X670" s="3436"/>
      <c r="Y670" s="3436"/>
      <c r="Z670" s="3436"/>
      <c r="AA670" s="3436"/>
      <c r="AB670" s="3436"/>
      <c r="AC670" s="3436"/>
      <c r="AD670" s="3436"/>
      <c r="AE670" s="3650"/>
    </row>
    <row r="671" spans="16:31" customFormat="1">
      <c r="P671" s="3436"/>
      <c r="Q671" s="3436"/>
      <c r="R671" s="3436"/>
      <c r="S671" s="3436"/>
      <c r="T671" s="3436"/>
      <c r="U671" s="3436"/>
      <c r="V671" s="3436"/>
      <c r="W671" s="3436"/>
      <c r="X671" s="3436"/>
      <c r="Y671" s="3436"/>
      <c r="Z671" s="3436"/>
      <c r="AA671" s="3436"/>
      <c r="AB671" s="3436"/>
      <c r="AC671" s="3436"/>
      <c r="AD671" s="3436"/>
      <c r="AE671" s="3650"/>
    </row>
    <row r="672" spans="16:31" customFormat="1">
      <c r="P672" s="3436"/>
      <c r="Q672" s="3436"/>
      <c r="R672" s="3436"/>
      <c r="S672" s="3436"/>
      <c r="T672" s="3436"/>
      <c r="U672" s="3436"/>
      <c r="V672" s="3436"/>
      <c r="W672" s="3436"/>
      <c r="X672" s="3436"/>
      <c r="Y672" s="3436"/>
      <c r="Z672" s="3436"/>
      <c r="AA672" s="3436"/>
      <c r="AB672" s="3436"/>
      <c r="AC672" s="3436"/>
      <c r="AD672" s="3436"/>
      <c r="AE672" s="3650"/>
    </row>
    <row r="673" spans="16:31" customFormat="1">
      <c r="P673" s="3436"/>
      <c r="Q673" s="3436"/>
      <c r="R673" s="3436"/>
      <c r="S673" s="3436"/>
      <c r="T673" s="3436"/>
      <c r="U673" s="3436"/>
      <c r="V673" s="3436"/>
      <c r="W673" s="3436"/>
      <c r="X673" s="3436"/>
      <c r="Y673" s="3436"/>
      <c r="Z673" s="3436"/>
      <c r="AA673" s="3436"/>
      <c r="AB673" s="3436"/>
      <c r="AC673" s="3436"/>
      <c r="AD673" s="3436"/>
      <c r="AE673" s="3650"/>
    </row>
    <row r="674" spans="16:31" customFormat="1">
      <c r="P674" s="3436"/>
      <c r="Q674" s="3436"/>
      <c r="R674" s="3436"/>
      <c r="S674" s="3436"/>
      <c r="T674" s="3436"/>
      <c r="U674" s="3436"/>
      <c r="V674" s="3436"/>
      <c r="W674" s="3436"/>
      <c r="X674" s="3436"/>
      <c r="Y674" s="3436"/>
      <c r="Z674" s="3436"/>
      <c r="AA674" s="3436"/>
      <c r="AB674" s="3436"/>
      <c r="AC674" s="3436"/>
      <c r="AD674" s="3436"/>
      <c r="AE674" s="3650"/>
    </row>
    <row r="675" spans="16:31" customFormat="1">
      <c r="P675" s="3436"/>
      <c r="Q675" s="3436"/>
      <c r="R675" s="3436"/>
      <c r="S675" s="3436"/>
      <c r="T675" s="3436"/>
      <c r="U675" s="3436"/>
      <c r="V675" s="3436"/>
      <c r="W675" s="3436"/>
      <c r="X675" s="3436"/>
      <c r="Y675" s="3436"/>
      <c r="Z675" s="3436"/>
      <c r="AA675" s="3436"/>
      <c r="AB675" s="3436"/>
      <c r="AC675" s="3436"/>
      <c r="AD675" s="3436"/>
      <c r="AE675" s="3650"/>
    </row>
    <row r="676" spans="16:31" customFormat="1">
      <c r="P676" s="3436"/>
      <c r="Q676" s="3436"/>
      <c r="R676" s="3436"/>
      <c r="S676" s="3436"/>
      <c r="T676" s="3436"/>
      <c r="U676" s="3436"/>
      <c r="V676" s="3436"/>
      <c r="W676" s="3436"/>
      <c r="X676" s="3436"/>
      <c r="Y676" s="3436"/>
      <c r="Z676" s="3436"/>
      <c r="AA676" s="3436"/>
      <c r="AB676" s="3436"/>
      <c r="AC676" s="3436"/>
      <c r="AD676" s="3436"/>
      <c r="AE676" s="3650"/>
    </row>
    <row r="677" spans="16:31" customFormat="1">
      <c r="P677" s="3436"/>
      <c r="Q677" s="3436"/>
      <c r="R677" s="3436"/>
      <c r="S677" s="3436"/>
      <c r="T677" s="3436"/>
      <c r="U677" s="3436"/>
      <c r="V677" s="3436"/>
      <c r="W677" s="3436"/>
      <c r="X677" s="3436"/>
      <c r="Y677" s="3436"/>
      <c r="Z677" s="3436"/>
      <c r="AA677" s="3436"/>
      <c r="AB677" s="3436"/>
      <c r="AC677" s="3436"/>
      <c r="AD677" s="3436"/>
      <c r="AE677" s="3650"/>
    </row>
    <row r="678" spans="16:31" customFormat="1">
      <c r="P678" s="3436"/>
      <c r="Q678" s="3436"/>
      <c r="R678" s="3436"/>
      <c r="S678" s="3436"/>
      <c r="T678" s="3436"/>
      <c r="U678" s="3436"/>
      <c r="V678" s="3436"/>
      <c r="W678" s="3436"/>
      <c r="X678" s="3436"/>
      <c r="Y678" s="3436"/>
      <c r="Z678" s="3436"/>
      <c r="AA678" s="3436"/>
      <c r="AB678" s="3436"/>
      <c r="AC678" s="3436"/>
      <c r="AD678" s="3436"/>
      <c r="AE678" s="3650"/>
    </row>
    <row r="679" spans="16:31" customFormat="1">
      <c r="P679" s="3436"/>
      <c r="Q679" s="3436"/>
      <c r="R679" s="3436"/>
      <c r="S679" s="3436"/>
      <c r="T679" s="3436"/>
      <c r="U679" s="3436"/>
      <c r="V679" s="3436"/>
      <c r="W679" s="3436"/>
      <c r="X679" s="3436"/>
      <c r="Y679" s="3436"/>
      <c r="Z679" s="3436"/>
      <c r="AA679" s="3436"/>
      <c r="AB679" s="3436"/>
      <c r="AC679" s="3436"/>
      <c r="AD679" s="3436"/>
      <c r="AE679" s="3650"/>
    </row>
    <row r="680" spans="16:31" customFormat="1">
      <c r="P680" s="3436"/>
      <c r="Q680" s="3436"/>
      <c r="R680" s="3436"/>
      <c r="S680" s="3436"/>
      <c r="T680" s="3436"/>
      <c r="U680" s="3436"/>
      <c r="V680" s="3436"/>
      <c r="W680" s="3436"/>
      <c r="X680" s="3436"/>
      <c r="Y680" s="3436"/>
      <c r="Z680" s="3436"/>
      <c r="AA680" s="3436"/>
      <c r="AB680" s="3436"/>
      <c r="AC680" s="3436"/>
      <c r="AD680" s="3436"/>
      <c r="AE680" s="3650"/>
    </row>
    <row r="681" spans="16:31" customFormat="1">
      <c r="P681" s="3436"/>
      <c r="Q681" s="3436"/>
      <c r="R681" s="3436"/>
      <c r="S681" s="3436"/>
      <c r="T681" s="3436"/>
      <c r="U681" s="3436"/>
      <c r="V681" s="3436"/>
      <c r="W681" s="3436"/>
      <c r="X681" s="3436"/>
      <c r="Y681" s="3436"/>
      <c r="Z681" s="3436"/>
      <c r="AA681" s="3436"/>
      <c r="AB681" s="3436"/>
      <c r="AC681" s="3436"/>
      <c r="AD681" s="3436"/>
      <c r="AE681" s="3650"/>
    </row>
    <row r="682" spans="16:31" customFormat="1">
      <c r="P682" s="3436"/>
      <c r="Q682" s="3436"/>
      <c r="R682" s="3436"/>
      <c r="S682" s="3436"/>
      <c r="T682" s="3436"/>
      <c r="U682" s="3436"/>
      <c r="V682" s="3436"/>
      <c r="W682" s="3436"/>
      <c r="X682" s="3436"/>
      <c r="Y682" s="3436"/>
      <c r="Z682" s="3436"/>
      <c r="AA682" s="3436"/>
      <c r="AB682" s="3436"/>
      <c r="AC682" s="3436"/>
      <c r="AD682" s="3436"/>
      <c r="AE682" s="3650"/>
    </row>
    <row r="683" spans="16:31" customFormat="1">
      <c r="P683" s="3436"/>
      <c r="Q683" s="3436"/>
      <c r="R683" s="3436"/>
      <c r="S683" s="3436"/>
      <c r="T683" s="3436"/>
      <c r="U683" s="3436"/>
      <c r="V683" s="3436"/>
      <c r="W683" s="3436"/>
      <c r="X683" s="3436"/>
      <c r="Y683" s="3436"/>
      <c r="Z683" s="3436"/>
      <c r="AA683" s="3436"/>
      <c r="AB683" s="3436"/>
      <c r="AC683" s="3436"/>
      <c r="AD683" s="3436"/>
      <c r="AE683" s="3650"/>
    </row>
    <row r="684" spans="16:31" customFormat="1">
      <c r="P684" s="3436"/>
      <c r="Q684" s="3436"/>
      <c r="R684" s="3436"/>
      <c r="S684" s="3436"/>
      <c r="T684" s="3436"/>
      <c r="U684" s="3436"/>
      <c r="V684" s="3436"/>
      <c r="W684" s="3436"/>
      <c r="X684" s="3436"/>
      <c r="Y684" s="3436"/>
      <c r="Z684" s="3436"/>
      <c r="AA684" s="3436"/>
      <c r="AB684" s="3436"/>
      <c r="AC684" s="3436"/>
      <c r="AD684" s="3436"/>
      <c r="AE684" s="3650"/>
    </row>
    <row r="685" spans="16:31" customFormat="1">
      <c r="P685" s="3436"/>
      <c r="Q685" s="3436"/>
      <c r="R685" s="3436"/>
      <c r="S685" s="3436"/>
      <c r="T685" s="3436"/>
      <c r="U685" s="3436"/>
      <c r="V685" s="3436"/>
      <c r="W685" s="3436"/>
      <c r="X685" s="3436"/>
      <c r="Y685" s="3436"/>
      <c r="Z685" s="3436"/>
      <c r="AA685" s="3436"/>
      <c r="AB685" s="3436"/>
      <c r="AC685" s="3436"/>
      <c r="AD685" s="3436"/>
      <c r="AE685" s="3650"/>
    </row>
    <row r="686" spans="16:31" customFormat="1">
      <c r="P686" s="3436"/>
      <c r="Q686" s="3436"/>
      <c r="R686" s="3436"/>
      <c r="S686" s="3436"/>
      <c r="T686" s="3436"/>
      <c r="U686" s="3436"/>
      <c r="V686" s="3436"/>
      <c r="W686" s="3436"/>
      <c r="X686" s="3436"/>
      <c r="Y686" s="3436"/>
      <c r="Z686" s="3436"/>
      <c r="AA686" s="3436"/>
      <c r="AB686" s="3436"/>
      <c r="AC686" s="3436"/>
      <c r="AD686" s="3436"/>
      <c r="AE686" s="3650"/>
    </row>
    <row r="687" spans="16:31" customFormat="1">
      <c r="P687" s="3436"/>
      <c r="Q687" s="3436"/>
      <c r="R687" s="3436"/>
      <c r="S687" s="3436"/>
      <c r="T687" s="3436"/>
      <c r="U687" s="3436"/>
      <c r="V687" s="3436"/>
      <c r="W687" s="3436"/>
      <c r="X687" s="3436"/>
      <c r="Y687" s="3436"/>
      <c r="Z687" s="3436"/>
      <c r="AA687" s="3436"/>
      <c r="AB687" s="3436"/>
      <c r="AC687" s="3436"/>
      <c r="AD687" s="3436"/>
      <c r="AE687" s="3650"/>
    </row>
    <row r="688" spans="16:31" customFormat="1">
      <c r="P688" s="3436"/>
      <c r="Q688" s="3436"/>
      <c r="R688" s="3436"/>
      <c r="S688" s="3436"/>
      <c r="T688" s="3436"/>
      <c r="U688" s="3436"/>
      <c r="V688" s="3436"/>
      <c r="W688" s="3436"/>
      <c r="X688" s="3436"/>
      <c r="Y688" s="3436"/>
      <c r="Z688" s="3436"/>
      <c r="AA688" s="3436"/>
      <c r="AB688" s="3436"/>
      <c r="AC688" s="3436"/>
      <c r="AD688" s="3436"/>
      <c r="AE688" s="3650"/>
    </row>
    <row r="689" spans="16:31" customFormat="1">
      <c r="P689" s="3436"/>
      <c r="Q689" s="3436"/>
      <c r="R689" s="3436"/>
      <c r="S689" s="3436"/>
      <c r="T689" s="3436"/>
      <c r="U689" s="3436"/>
      <c r="V689" s="3436"/>
      <c r="W689" s="3436"/>
      <c r="X689" s="3436"/>
      <c r="Y689" s="3436"/>
      <c r="Z689" s="3436"/>
      <c r="AA689" s="3436"/>
      <c r="AB689" s="3436"/>
      <c r="AC689" s="3436"/>
      <c r="AD689" s="3436"/>
      <c r="AE689" s="3650"/>
    </row>
    <row r="690" spans="16:31" customFormat="1">
      <c r="P690" s="3436"/>
      <c r="Q690" s="3436"/>
      <c r="R690" s="3436"/>
      <c r="S690" s="3436"/>
      <c r="T690" s="3436"/>
      <c r="U690" s="3436"/>
      <c r="V690" s="3436"/>
      <c r="W690" s="3436"/>
      <c r="X690" s="3436"/>
      <c r="Y690" s="3436"/>
      <c r="Z690" s="3436"/>
      <c r="AA690" s="3436"/>
      <c r="AB690" s="3436"/>
      <c r="AC690" s="3436"/>
      <c r="AD690" s="3436"/>
      <c r="AE690" s="3650"/>
    </row>
    <row r="691" spans="16:31" customFormat="1">
      <c r="P691" s="3436"/>
      <c r="Q691" s="3436"/>
      <c r="R691" s="3436"/>
      <c r="S691" s="3436"/>
      <c r="T691" s="3436"/>
      <c r="U691" s="3436"/>
      <c r="V691" s="3436"/>
      <c r="W691" s="3436"/>
      <c r="X691" s="3436"/>
      <c r="Y691" s="3436"/>
      <c r="Z691" s="3436"/>
      <c r="AA691" s="3436"/>
      <c r="AB691" s="3436"/>
      <c r="AC691" s="3436"/>
      <c r="AD691" s="3436"/>
      <c r="AE691" s="3650"/>
    </row>
    <row r="692" spans="16:31" customFormat="1">
      <c r="P692" s="3436"/>
      <c r="Q692" s="3436"/>
      <c r="R692" s="3436"/>
      <c r="S692" s="3436"/>
      <c r="T692" s="3436"/>
      <c r="U692" s="3436"/>
      <c r="V692" s="3436"/>
      <c r="W692" s="3436"/>
      <c r="X692" s="3436"/>
      <c r="Y692" s="3436"/>
      <c r="Z692" s="3436"/>
      <c r="AA692" s="3436"/>
      <c r="AB692" s="3436"/>
      <c r="AC692" s="3436"/>
      <c r="AD692" s="3436"/>
      <c r="AE692" s="3650"/>
    </row>
    <row r="693" spans="16:31" customFormat="1">
      <c r="P693" s="3436"/>
      <c r="Q693" s="3436"/>
      <c r="R693" s="3436"/>
      <c r="S693" s="3436"/>
      <c r="T693" s="3436"/>
      <c r="U693" s="3436"/>
      <c r="V693" s="3436"/>
      <c r="W693" s="3436"/>
      <c r="X693" s="3436"/>
      <c r="Y693" s="3436"/>
      <c r="Z693" s="3436"/>
      <c r="AA693" s="3436"/>
      <c r="AB693" s="3436"/>
      <c r="AC693" s="3436"/>
      <c r="AD693" s="3436"/>
      <c r="AE693" s="3650"/>
    </row>
    <row r="694" spans="16:31" customFormat="1">
      <c r="P694" s="3436"/>
      <c r="Q694" s="3436"/>
      <c r="R694" s="3436"/>
      <c r="S694" s="3436"/>
      <c r="T694" s="3436"/>
      <c r="U694" s="3436"/>
      <c r="V694" s="3436"/>
      <c r="W694" s="3436"/>
      <c r="X694" s="3436"/>
      <c r="Y694" s="3436"/>
      <c r="Z694" s="3436"/>
      <c r="AA694" s="3436"/>
      <c r="AB694" s="3436"/>
      <c r="AC694" s="3436"/>
      <c r="AD694" s="3436"/>
      <c r="AE694" s="3650"/>
    </row>
    <row r="695" spans="16:31" customFormat="1">
      <c r="P695" s="3436"/>
      <c r="Q695" s="3436"/>
      <c r="R695" s="3436"/>
      <c r="S695" s="3436"/>
      <c r="T695" s="3436"/>
      <c r="U695" s="3436"/>
      <c r="V695" s="3436"/>
      <c r="W695" s="3436"/>
      <c r="X695" s="3436"/>
      <c r="Y695" s="3436"/>
      <c r="Z695" s="3436"/>
      <c r="AA695" s="3436"/>
      <c r="AB695" s="3436"/>
      <c r="AC695" s="3436"/>
      <c r="AD695" s="3436"/>
      <c r="AE695" s="3650"/>
    </row>
    <row r="696" spans="16:31" customFormat="1">
      <c r="P696" s="3436"/>
      <c r="Q696" s="3436"/>
      <c r="R696" s="3436"/>
      <c r="S696" s="3436"/>
      <c r="T696" s="3436"/>
      <c r="U696" s="3436"/>
      <c r="V696" s="3436"/>
      <c r="W696" s="3436"/>
      <c r="X696" s="3436"/>
      <c r="Y696" s="3436"/>
      <c r="Z696" s="3436"/>
      <c r="AA696" s="3436"/>
      <c r="AB696" s="3436"/>
      <c r="AC696" s="3436"/>
      <c r="AD696" s="3436"/>
      <c r="AE696" s="3650"/>
    </row>
    <row r="697" spans="16:31" customFormat="1">
      <c r="P697" s="3436"/>
      <c r="Q697" s="3436"/>
      <c r="R697" s="3436"/>
      <c r="S697" s="3436"/>
      <c r="T697" s="3436"/>
      <c r="U697" s="3436"/>
      <c r="V697" s="3436"/>
      <c r="W697" s="3436"/>
      <c r="X697" s="3436"/>
      <c r="Y697" s="3436"/>
      <c r="Z697" s="3436"/>
      <c r="AA697" s="3436"/>
      <c r="AB697" s="3436"/>
      <c r="AC697" s="3436"/>
      <c r="AD697" s="3436"/>
      <c r="AE697" s="3650"/>
    </row>
    <row r="698" spans="16:31" customFormat="1">
      <c r="P698" s="3436"/>
      <c r="Q698" s="3436"/>
      <c r="R698" s="3436"/>
      <c r="S698" s="3436"/>
      <c r="T698" s="3436"/>
      <c r="U698" s="3436"/>
      <c r="V698" s="3436"/>
      <c r="W698" s="3436"/>
      <c r="X698" s="3436"/>
      <c r="Y698" s="3436"/>
      <c r="Z698" s="3436"/>
      <c r="AA698" s="3436"/>
      <c r="AB698" s="3436"/>
      <c r="AC698" s="3436"/>
      <c r="AD698" s="3436"/>
      <c r="AE698" s="3650"/>
    </row>
    <row r="699" spans="16:31" customFormat="1">
      <c r="P699" s="3436"/>
      <c r="Q699" s="3436"/>
      <c r="R699" s="3436"/>
      <c r="S699" s="3436"/>
      <c r="T699" s="3436"/>
      <c r="U699" s="3436"/>
      <c r="V699" s="3436"/>
      <c r="W699" s="3436"/>
      <c r="X699" s="3436"/>
      <c r="Y699" s="3436"/>
      <c r="Z699" s="3436"/>
      <c r="AA699" s="3436"/>
      <c r="AB699" s="3436"/>
      <c r="AC699" s="3436"/>
      <c r="AD699" s="3436"/>
      <c r="AE699" s="3650"/>
    </row>
    <row r="700" spans="16:31" customFormat="1">
      <c r="P700" s="3436"/>
      <c r="Q700" s="3436"/>
      <c r="R700" s="3436"/>
      <c r="S700" s="3436"/>
      <c r="T700" s="3436"/>
      <c r="U700" s="3436"/>
      <c r="V700" s="3436"/>
      <c r="W700" s="3436"/>
      <c r="X700" s="3436"/>
      <c r="Y700" s="3436"/>
      <c r="Z700" s="3436"/>
      <c r="AA700" s="3436"/>
      <c r="AB700" s="3436"/>
      <c r="AC700" s="3436"/>
      <c r="AD700" s="3436"/>
      <c r="AE700" s="3650"/>
    </row>
    <row r="701" spans="16:31" customFormat="1">
      <c r="P701" s="3436"/>
      <c r="Q701" s="3436"/>
      <c r="R701" s="3436"/>
      <c r="S701" s="3436"/>
      <c r="T701" s="3436"/>
      <c r="U701" s="3436"/>
      <c r="V701" s="3436"/>
      <c r="W701" s="3436"/>
      <c r="X701" s="3436"/>
      <c r="Y701" s="3436"/>
      <c r="Z701" s="3436"/>
      <c r="AA701" s="3436"/>
      <c r="AB701" s="3436"/>
      <c r="AC701" s="3436"/>
      <c r="AD701" s="3436"/>
      <c r="AE701" s="3650"/>
    </row>
    <row r="702" spans="16:31" customFormat="1">
      <c r="P702" s="3436"/>
      <c r="Q702" s="3436"/>
      <c r="R702" s="3436"/>
      <c r="S702" s="3436"/>
      <c r="T702" s="3436"/>
      <c r="U702" s="3436"/>
      <c r="V702" s="3436"/>
      <c r="W702" s="3436"/>
      <c r="X702" s="3436"/>
      <c r="Y702" s="3436"/>
      <c r="Z702" s="3436"/>
      <c r="AA702" s="3436"/>
      <c r="AB702" s="3436"/>
      <c r="AC702" s="3436"/>
      <c r="AD702" s="3436"/>
      <c r="AE702" s="3650"/>
    </row>
    <row r="703" spans="16:31" customFormat="1">
      <c r="P703" s="3436"/>
      <c r="Q703" s="3436"/>
      <c r="R703" s="3436"/>
      <c r="S703" s="3436"/>
      <c r="T703" s="3436"/>
      <c r="U703" s="3436"/>
      <c r="V703" s="3436"/>
      <c r="W703" s="3436"/>
      <c r="X703" s="3436"/>
      <c r="Y703" s="3436"/>
      <c r="Z703" s="3436"/>
      <c r="AA703" s="3436"/>
      <c r="AB703" s="3436"/>
      <c r="AC703" s="3436"/>
      <c r="AD703" s="3436"/>
      <c r="AE703" s="3650"/>
    </row>
    <row r="704" spans="16:31" customFormat="1">
      <c r="P704" s="3436"/>
      <c r="Q704" s="3436"/>
      <c r="R704" s="3436"/>
      <c r="S704" s="3436"/>
      <c r="T704" s="3436"/>
      <c r="U704" s="3436"/>
      <c r="V704" s="3436"/>
      <c r="W704" s="3436"/>
      <c r="X704" s="3436"/>
      <c r="Y704" s="3436"/>
      <c r="Z704" s="3436"/>
      <c r="AA704" s="3436"/>
      <c r="AB704" s="3436"/>
      <c r="AC704" s="3436"/>
      <c r="AD704" s="3436"/>
      <c r="AE704" s="3650"/>
    </row>
    <row r="705" spans="16:31" customFormat="1">
      <c r="P705" s="3436"/>
      <c r="Q705" s="3436"/>
      <c r="R705" s="3436"/>
      <c r="S705" s="3436"/>
      <c r="T705" s="3436"/>
      <c r="U705" s="3436"/>
      <c r="V705" s="3436"/>
      <c r="W705" s="3436"/>
      <c r="X705" s="3436"/>
      <c r="Y705" s="3436"/>
      <c r="Z705" s="3436"/>
      <c r="AA705" s="3436"/>
      <c r="AB705" s="3436"/>
      <c r="AC705" s="3436"/>
      <c r="AD705" s="3436"/>
      <c r="AE705" s="3650"/>
    </row>
    <row r="706" spans="16:31" customFormat="1">
      <c r="P706" s="3436"/>
      <c r="Q706" s="3436"/>
      <c r="R706" s="3436"/>
      <c r="S706" s="3436"/>
      <c r="T706" s="3436"/>
      <c r="U706" s="3436"/>
      <c r="V706" s="3436"/>
      <c r="W706" s="3436"/>
      <c r="X706" s="3436"/>
      <c r="Y706" s="3436"/>
      <c r="Z706" s="3436"/>
      <c r="AA706" s="3436"/>
      <c r="AB706" s="3436"/>
      <c r="AC706" s="3436"/>
      <c r="AD706" s="3436"/>
      <c r="AE706" s="3650"/>
    </row>
    <row r="707" spans="16:31" customFormat="1">
      <c r="P707" s="3436"/>
      <c r="Q707" s="3436"/>
      <c r="R707" s="3436"/>
      <c r="S707" s="3436"/>
      <c r="T707" s="3436"/>
      <c r="U707" s="3436"/>
      <c r="V707" s="3436"/>
      <c r="W707" s="3436"/>
      <c r="X707" s="3436"/>
      <c r="Y707" s="3436"/>
      <c r="Z707" s="3436"/>
      <c r="AA707" s="3436"/>
      <c r="AB707" s="3436"/>
      <c r="AC707" s="3436"/>
      <c r="AD707" s="3436"/>
      <c r="AE707" s="3650"/>
    </row>
    <row r="708" spans="16:31" customFormat="1">
      <c r="P708" s="3436"/>
      <c r="Q708" s="3436"/>
      <c r="R708" s="3436"/>
      <c r="S708" s="3436"/>
      <c r="T708" s="3436"/>
      <c r="U708" s="3436"/>
      <c r="V708" s="3436"/>
      <c r="W708" s="3436"/>
      <c r="X708" s="3436"/>
      <c r="Y708" s="3436"/>
      <c r="Z708" s="3436"/>
      <c r="AA708" s="3436"/>
      <c r="AB708" s="3436"/>
      <c r="AC708" s="3436"/>
      <c r="AD708" s="3436"/>
      <c r="AE708" s="3650"/>
    </row>
    <row r="709" spans="16:31" customFormat="1">
      <c r="P709" s="3436"/>
      <c r="Q709" s="3436"/>
      <c r="R709" s="3436"/>
      <c r="S709" s="3436"/>
      <c r="T709" s="3436"/>
      <c r="U709" s="3436"/>
      <c r="V709" s="3436"/>
      <c r="W709" s="3436"/>
      <c r="X709" s="3436"/>
      <c r="Y709" s="3436"/>
      <c r="Z709" s="3436"/>
      <c r="AA709" s="3436"/>
      <c r="AB709" s="3436"/>
      <c r="AC709" s="3436"/>
      <c r="AD709" s="3436"/>
      <c r="AE709" s="3650"/>
    </row>
    <row r="710" spans="16:31" customFormat="1">
      <c r="P710" s="3436"/>
      <c r="Q710" s="3436"/>
      <c r="R710" s="3436"/>
      <c r="S710" s="3436"/>
      <c r="T710" s="3436"/>
      <c r="U710" s="3436"/>
      <c r="V710" s="3436"/>
      <c r="W710" s="3436"/>
      <c r="X710" s="3436"/>
      <c r="Y710" s="3436"/>
      <c r="Z710" s="3436"/>
      <c r="AA710" s="3436"/>
      <c r="AB710" s="3436"/>
      <c r="AC710" s="3436"/>
      <c r="AD710" s="3436"/>
      <c r="AE710" s="3650"/>
    </row>
    <row r="711" spans="16:31" customFormat="1">
      <c r="P711" s="3436"/>
      <c r="Q711" s="3436"/>
      <c r="R711" s="3436"/>
      <c r="S711" s="3436"/>
      <c r="T711" s="3436"/>
      <c r="U711" s="3436"/>
      <c r="V711" s="3436"/>
      <c r="W711" s="3436"/>
      <c r="X711" s="3436"/>
      <c r="Y711" s="3436"/>
      <c r="Z711" s="3436"/>
      <c r="AA711" s="3436"/>
      <c r="AB711" s="3436"/>
      <c r="AC711" s="3436"/>
      <c r="AD711" s="3436"/>
      <c r="AE711" s="3650"/>
    </row>
    <row r="712" spans="16:31" customFormat="1">
      <c r="P712" s="3436"/>
      <c r="Q712" s="3436"/>
      <c r="R712" s="3436"/>
      <c r="S712" s="3436"/>
      <c r="T712" s="3436"/>
      <c r="U712" s="3436"/>
      <c r="V712" s="3436"/>
      <c r="W712" s="3436"/>
      <c r="X712" s="3436"/>
      <c r="Y712" s="3436"/>
      <c r="Z712" s="3436"/>
      <c r="AA712" s="3436"/>
      <c r="AB712" s="3436"/>
      <c r="AC712" s="3436"/>
      <c r="AD712" s="3436"/>
      <c r="AE712" s="3650"/>
    </row>
    <row r="713" spans="16:31" customFormat="1">
      <c r="P713" s="3436"/>
      <c r="Q713" s="3436"/>
      <c r="R713" s="3436"/>
      <c r="S713" s="3436"/>
      <c r="T713" s="3436"/>
      <c r="U713" s="3436"/>
      <c r="V713" s="3436"/>
      <c r="W713" s="3436"/>
      <c r="X713" s="3436"/>
      <c r="Y713" s="3436"/>
      <c r="Z713" s="3436"/>
      <c r="AA713" s="3436"/>
      <c r="AB713" s="3436"/>
      <c r="AC713" s="3436"/>
      <c r="AD713" s="3436"/>
      <c r="AE713" s="3650"/>
    </row>
    <row r="714" spans="16:31" customFormat="1">
      <c r="P714" s="3436"/>
      <c r="Q714" s="3436"/>
      <c r="R714" s="3436"/>
      <c r="S714" s="3436"/>
      <c r="T714" s="3436"/>
      <c r="U714" s="3436"/>
      <c r="V714" s="3436"/>
      <c r="W714" s="3436"/>
      <c r="X714" s="3436"/>
      <c r="Y714" s="3436"/>
      <c r="Z714" s="3436"/>
      <c r="AA714" s="3436"/>
      <c r="AB714" s="3436"/>
      <c r="AC714" s="3436"/>
      <c r="AD714" s="3436"/>
      <c r="AE714" s="3650"/>
    </row>
    <row r="715" spans="16:31" customFormat="1">
      <c r="P715" s="3436"/>
      <c r="Q715" s="3436"/>
      <c r="R715" s="3436"/>
      <c r="S715" s="3436"/>
      <c r="T715" s="3436"/>
      <c r="U715" s="3436"/>
      <c r="V715" s="3436"/>
      <c r="W715" s="3436"/>
      <c r="X715" s="3436"/>
      <c r="Y715" s="3436"/>
      <c r="Z715" s="3436"/>
      <c r="AA715" s="3436"/>
      <c r="AB715" s="3436"/>
      <c r="AC715" s="3436"/>
      <c r="AD715" s="3436"/>
      <c r="AE715" s="3650"/>
    </row>
    <row r="716" spans="16:31" customFormat="1">
      <c r="P716" s="3436"/>
      <c r="Q716" s="3436"/>
      <c r="R716" s="3436"/>
      <c r="S716" s="3436"/>
      <c r="T716" s="3436"/>
      <c r="U716" s="3436"/>
      <c r="V716" s="3436"/>
      <c r="W716" s="3436"/>
      <c r="X716" s="3436"/>
      <c r="Y716" s="3436"/>
      <c r="Z716" s="3436"/>
      <c r="AA716" s="3436"/>
      <c r="AB716" s="3436"/>
      <c r="AC716" s="3436"/>
      <c r="AD716" s="3436"/>
      <c r="AE716" s="3650"/>
    </row>
    <row r="717" spans="16:31" customFormat="1">
      <c r="P717" s="3436"/>
      <c r="Q717" s="3436"/>
      <c r="R717" s="3436"/>
      <c r="S717" s="3436"/>
      <c r="T717" s="3436"/>
      <c r="U717" s="3436"/>
      <c r="V717" s="3436"/>
      <c r="W717" s="3436"/>
      <c r="X717" s="3436"/>
      <c r="Y717" s="3436"/>
      <c r="Z717" s="3436"/>
      <c r="AA717" s="3436"/>
      <c r="AB717" s="3436"/>
      <c r="AC717" s="3436"/>
      <c r="AD717" s="3436"/>
      <c r="AE717" s="3650"/>
    </row>
    <row r="718" spans="16:31" customFormat="1">
      <c r="P718" s="3436"/>
      <c r="Q718" s="3436"/>
      <c r="R718" s="3436"/>
      <c r="S718" s="3436"/>
      <c r="T718" s="3436"/>
      <c r="U718" s="3436"/>
      <c r="V718" s="3436"/>
      <c r="W718" s="3436"/>
      <c r="X718" s="3436"/>
      <c r="Y718" s="3436"/>
      <c r="Z718" s="3436"/>
      <c r="AA718" s="3436"/>
      <c r="AB718" s="3436"/>
      <c r="AC718" s="3436"/>
      <c r="AD718" s="3436"/>
      <c r="AE718" s="3650"/>
    </row>
    <row r="719" spans="16:31" customFormat="1">
      <c r="P719" s="3436"/>
      <c r="Q719" s="3436"/>
      <c r="R719" s="3436"/>
      <c r="S719" s="3436"/>
      <c r="T719" s="3436"/>
      <c r="U719" s="3436"/>
      <c r="V719" s="3436"/>
      <c r="W719" s="3436"/>
      <c r="X719" s="3436"/>
      <c r="Y719" s="3436"/>
      <c r="Z719" s="3436"/>
      <c r="AA719" s="3436"/>
      <c r="AB719" s="3436"/>
      <c r="AC719" s="3436"/>
      <c r="AD719" s="3436"/>
      <c r="AE719" s="3650"/>
    </row>
    <row r="720" spans="16:31" customFormat="1">
      <c r="P720" s="3436"/>
      <c r="Q720" s="3436"/>
      <c r="R720" s="3436"/>
      <c r="S720" s="3436"/>
      <c r="T720" s="3436"/>
      <c r="U720" s="3436"/>
      <c r="V720" s="3436"/>
      <c r="W720" s="3436"/>
      <c r="X720" s="3436"/>
      <c r="Y720" s="3436"/>
      <c r="Z720" s="3436"/>
      <c r="AA720" s="3436"/>
      <c r="AB720" s="3436"/>
      <c r="AC720" s="3436"/>
      <c r="AD720" s="3436"/>
      <c r="AE720" s="3650"/>
    </row>
    <row r="721" spans="16:31" customFormat="1">
      <c r="P721" s="3436"/>
      <c r="Q721" s="3436"/>
      <c r="R721" s="3436"/>
      <c r="S721" s="3436"/>
      <c r="T721" s="3436"/>
      <c r="U721" s="3436"/>
      <c r="V721" s="3436"/>
      <c r="W721" s="3436"/>
      <c r="X721" s="3436"/>
      <c r="Y721" s="3436"/>
      <c r="Z721" s="3436"/>
      <c r="AA721" s="3436"/>
      <c r="AB721" s="3436"/>
      <c r="AC721" s="3436"/>
      <c r="AD721" s="3436"/>
      <c r="AE721" s="3650"/>
    </row>
    <row r="722" spans="16:31" customFormat="1">
      <c r="P722" s="3436"/>
      <c r="Q722" s="3436"/>
      <c r="R722" s="3436"/>
      <c r="S722" s="3436"/>
      <c r="T722" s="3436"/>
      <c r="U722" s="3436"/>
      <c r="V722" s="3436"/>
      <c r="W722" s="3436"/>
      <c r="X722" s="3436"/>
      <c r="Y722" s="3436"/>
      <c r="Z722" s="3436"/>
      <c r="AA722" s="3436"/>
      <c r="AB722" s="3436"/>
      <c r="AC722" s="3436"/>
      <c r="AD722" s="3436"/>
      <c r="AE722" s="3650"/>
    </row>
    <row r="723" spans="16:31" customFormat="1">
      <c r="P723" s="3436"/>
      <c r="Q723" s="3436"/>
      <c r="R723" s="3436"/>
      <c r="S723" s="3436"/>
      <c r="T723" s="3436"/>
      <c r="U723" s="3436"/>
      <c r="V723" s="3436"/>
      <c r="W723" s="3436"/>
      <c r="X723" s="3436"/>
      <c r="Y723" s="3436"/>
      <c r="Z723" s="3436"/>
      <c r="AA723" s="3436"/>
      <c r="AB723" s="3436"/>
      <c r="AC723" s="3436"/>
      <c r="AD723" s="3436"/>
      <c r="AE723" s="3650"/>
    </row>
    <row r="724" spans="16:31" customFormat="1">
      <c r="P724" s="3436"/>
      <c r="Q724" s="3436"/>
      <c r="R724" s="3436"/>
      <c r="S724" s="3436"/>
      <c r="T724" s="3436"/>
      <c r="U724" s="3436"/>
      <c r="V724" s="3436"/>
      <c r="W724" s="3436"/>
      <c r="X724" s="3436"/>
      <c r="Y724" s="3436"/>
      <c r="Z724" s="3436"/>
      <c r="AA724" s="3436"/>
      <c r="AB724" s="3436"/>
      <c r="AC724" s="3436"/>
      <c r="AD724" s="3436"/>
      <c r="AE724" s="3650"/>
    </row>
    <row r="725" spans="16:31" customFormat="1">
      <c r="P725" s="3436"/>
      <c r="Q725" s="3436"/>
      <c r="R725" s="3436"/>
      <c r="S725" s="3436"/>
      <c r="T725" s="3436"/>
      <c r="U725" s="3436"/>
      <c r="V725" s="3436"/>
      <c r="W725" s="3436"/>
      <c r="X725" s="3436"/>
      <c r="Y725" s="3436"/>
      <c r="Z725" s="3436"/>
      <c r="AA725" s="3436"/>
      <c r="AB725" s="3436"/>
      <c r="AC725" s="3436"/>
      <c r="AD725" s="3436"/>
      <c r="AE725" s="3650"/>
    </row>
    <row r="726" spans="16:31" customFormat="1">
      <c r="P726" s="3436"/>
      <c r="Q726" s="3436"/>
      <c r="R726" s="3436"/>
      <c r="S726" s="3436"/>
      <c r="T726" s="3436"/>
      <c r="U726" s="3436"/>
      <c r="V726" s="3436"/>
      <c r="W726" s="3436"/>
      <c r="X726" s="3436"/>
      <c r="Y726" s="3436"/>
      <c r="Z726" s="3436"/>
      <c r="AA726" s="3436"/>
      <c r="AB726" s="3436"/>
      <c r="AC726" s="3436"/>
      <c r="AD726" s="3436"/>
      <c r="AE726" s="3650"/>
    </row>
    <row r="727" spans="16:31" customFormat="1">
      <c r="P727" s="3436"/>
      <c r="Q727" s="3436"/>
      <c r="R727" s="3436"/>
      <c r="S727" s="3436"/>
      <c r="T727" s="3436"/>
      <c r="U727" s="3436"/>
      <c r="V727" s="3436"/>
      <c r="W727" s="3436"/>
      <c r="X727" s="3436"/>
      <c r="Y727" s="3436"/>
      <c r="Z727" s="3436"/>
      <c r="AA727" s="3436"/>
      <c r="AB727" s="3436"/>
      <c r="AC727" s="3436"/>
      <c r="AD727" s="3436"/>
      <c r="AE727" s="3650"/>
    </row>
    <row r="728" spans="16:31" customFormat="1">
      <c r="P728" s="3436"/>
      <c r="Q728" s="3436"/>
      <c r="R728" s="3436"/>
      <c r="S728" s="3436"/>
      <c r="T728" s="3436"/>
      <c r="U728" s="3436"/>
      <c r="V728" s="3436"/>
      <c r="W728" s="3436"/>
      <c r="X728" s="3436"/>
      <c r="Y728" s="3436"/>
      <c r="Z728" s="3436"/>
      <c r="AA728" s="3436"/>
      <c r="AB728" s="3436"/>
      <c r="AC728" s="3436"/>
      <c r="AD728" s="3436"/>
      <c r="AE728" s="3650"/>
    </row>
    <row r="729" spans="16:31" customFormat="1">
      <c r="P729" s="3436"/>
      <c r="Q729" s="3436"/>
      <c r="R729" s="3436"/>
      <c r="S729" s="3436"/>
      <c r="T729" s="3436"/>
      <c r="U729" s="3436"/>
      <c r="V729" s="3436"/>
      <c r="W729" s="3436"/>
      <c r="X729" s="3436"/>
      <c r="Y729" s="3436"/>
      <c r="Z729" s="3436"/>
      <c r="AA729" s="3436"/>
      <c r="AB729" s="3436"/>
      <c r="AC729" s="3436"/>
      <c r="AD729" s="3436"/>
      <c r="AE729" s="3650"/>
    </row>
    <row r="730" spans="16:31" customFormat="1">
      <c r="P730" s="3436"/>
      <c r="Q730" s="3436"/>
      <c r="R730" s="3436"/>
      <c r="S730" s="3436"/>
      <c r="T730" s="3436"/>
      <c r="U730" s="3436"/>
      <c r="V730" s="3436"/>
      <c r="W730" s="3436"/>
      <c r="X730" s="3436"/>
      <c r="Y730" s="3436"/>
      <c r="Z730" s="3436"/>
      <c r="AA730" s="3436"/>
      <c r="AB730" s="3436"/>
      <c r="AC730" s="3436"/>
      <c r="AD730" s="3436"/>
      <c r="AE730" s="3650"/>
    </row>
    <row r="731" spans="16:31" customFormat="1">
      <c r="P731" s="3436"/>
      <c r="Q731" s="3436"/>
      <c r="R731" s="3436"/>
      <c r="S731" s="3436"/>
      <c r="T731" s="3436"/>
      <c r="U731" s="3436"/>
      <c r="V731" s="3436"/>
      <c r="W731" s="3436"/>
      <c r="X731" s="3436"/>
      <c r="Y731" s="3436"/>
      <c r="Z731" s="3436"/>
      <c r="AA731" s="3436"/>
      <c r="AB731" s="3436"/>
      <c r="AC731" s="3436"/>
      <c r="AD731" s="3436"/>
      <c r="AE731" s="3650"/>
    </row>
    <row r="732" spans="16:31" customFormat="1">
      <c r="P732" s="3436"/>
      <c r="Q732" s="3436"/>
      <c r="R732" s="3436"/>
      <c r="S732" s="3436"/>
      <c r="T732" s="3436"/>
      <c r="U732" s="3436"/>
      <c r="V732" s="3436"/>
      <c r="W732" s="3436"/>
      <c r="X732" s="3436"/>
      <c r="Y732" s="3436"/>
      <c r="Z732" s="3436"/>
      <c r="AA732" s="3436"/>
      <c r="AB732" s="3436"/>
      <c r="AC732" s="3436"/>
      <c r="AD732" s="3436"/>
      <c r="AE732" s="3650"/>
    </row>
    <row r="733" spans="16:31" customFormat="1">
      <c r="P733" s="3436"/>
      <c r="Q733" s="3436"/>
      <c r="R733" s="3436"/>
      <c r="S733" s="3436"/>
      <c r="T733" s="3436"/>
      <c r="U733" s="3436"/>
      <c r="V733" s="3436"/>
      <c r="W733" s="3436"/>
      <c r="X733" s="3436"/>
      <c r="Y733" s="3436"/>
      <c r="Z733" s="3436"/>
      <c r="AA733" s="3436"/>
      <c r="AB733" s="3436"/>
      <c r="AC733" s="3436"/>
      <c r="AD733" s="3436"/>
      <c r="AE733" s="3650"/>
    </row>
    <row r="734" spans="16:31" customFormat="1">
      <c r="P734" s="3436"/>
      <c r="Q734" s="3436"/>
      <c r="R734" s="3436"/>
      <c r="S734" s="3436"/>
      <c r="T734" s="3436"/>
      <c r="U734" s="3436"/>
      <c r="V734" s="3436"/>
      <c r="W734" s="3436"/>
      <c r="X734" s="3436"/>
      <c r="Y734" s="3436"/>
      <c r="Z734" s="3436"/>
      <c r="AA734" s="3436"/>
      <c r="AB734" s="3436"/>
      <c r="AC734" s="3436"/>
      <c r="AD734" s="3436"/>
      <c r="AE734" s="3650"/>
    </row>
    <row r="735" spans="16:31" customFormat="1">
      <c r="P735" s="3436"/>
      <c r="Q735" s="3436"/>
      <c r="R735" s="3436"/>
      <c r="S735" s="3436"/>
      <c r="T735" s="3436"/>
      <c r="U735" s="3436"/>
      <c r="V735" s="3436"/>
      <c r="W735" s="3436"/>
      <c r="X735" s="3436"/>
      <c r="Y735" s="3436"/>
      <c r="Z735" s="3436"/>
      <c r="AA735" s="3436"/>
      <c r="AB735" s="3436"/>
      <c r="AC735" s="3436"/>
      <c r="AD735" s="3436"/>
      <c r="AE735" s="3650"/>
    </row>
    <row r="736" spans="16:31" customFormat="1">
      <c r="P736" s="3436"/>
      <c r="Q736" s="3436"/>
      <c r="R736" s="3436"/>
      <c r="S736" s="3436"/>
      <c r="T736" s="3436"/>
      <c r="U736" s="3436"/>
      <c r="V736" s="3436"/>
      <c r="W736" s="3436"/>
      <c r="X736" s="3436"/>
      <c r="Y736" s="3436"/>
      <c r="Z736" s="3436"/>
      <c r="AA736" s="3436"/>
      <c r="AB736" s="3436"/>
      <c r="AC736" s="3436"/>
      <c r="AD736" s="3436"/>
      <c r="AE736" s="3650"/>
    </row>
    <row r="737" spans="16:31" customFormat="1">
      <c r="P737" s="3436"/>
      <c r="Q737" s="3436"/>
      <c r="R737" s="3436"/>
      <c r="S737" s="3436"/>
      <c r="T737" s="3436"/>
      <c r="U737" s="3436"/>
      <c r="V737" s="3436"/>
      <c r="W737" s="3436"/>
      <c r="X737" s="3436"/>
      <c r="Y737" s="3436"/>
      <c r="Z737" s="3436"/>
      <c r="AA737" s="3436"/>
      <c r="AB737" s="3436"/>
      <c r="AC737" s="3436"/>
      <c r="AD737" s="3436"/>
      <c r="AE737" s="3650"/>
    </row>
    <row r="738" spans="16:31" customFormat="1">
      <c r="P738" s="3436"/>
      <c r="Q738" s="3436"/>
      <c r="R738" s="3436"/>
      <c r="S738" s="3436"/>
      <c r="T738" s="3436"/>
      <c r="U738" s="3436"/>
      <c r="V738" s="3436"/>
      <c r="W738" s="3436"/>
      <c r="X738" s="3436"/>
      <c r="Y738" s="3436"/>
      <c r="Z738" s="3436"/>
      <c r="AA738" s="3436"/>
      <c r="AB738" s="3436"/>
      <c r="AC738" s="3436"/>
      <c r="AD738" s="3436"/>
      <c r="AE738" s="3650"/>
    </row>
    <row r="739" spans="16:31" customFormat="1">
      <c r="P739" s="3436"/>
      <c r="Q739" s="3436"/>
      <c r="R739" s="3436"/>
      <c r="S739" s="3436"/>
      <c r="T739" s="3436"/>
      <c r="U739" s="3436"/>
      <c r="V739" s="3436"/>
      <c r="W739" s="3436"/>
      <c r="X739" s="3436"/>
      <c r="Y739" s="3436"/>
      <c r="Z739" s="3436"/>
      <c r="AA739" s="3436"/>
      <c r="AB739" s="3436"/>
      <c r="AC739" s="3436"/>
      <c r="AD739" s="3436"/>
      <c r="AE739" s="3650"/>
    </row>
    <row r="740" spans="16:31" customFormat="1">
      <c r="P740" s="3436"/>
      <c r="Q740" s="3436"/>
      <c r="R740" s="3436"/>
      <c r="S740" s="3436"/>
      <c r="T740" s="3436"/>
      <c r="U740" s="3436"/>
      <c r="V740" s="3436"/>
      <c r="W740" s="3436"/>
      <c r="X740" s="3436"/>
      <c r="Y740" s="3436"/>
      <c r="Z740" s="3436"/>
      <c r="AA740" s="3436"/>
      <c r="AB740" s="3436"/>
      <c r="AC740" s="3436"/>
      <c r="AD740" s="3436"/>
      <c r="AE740" s="3650"/>
    </row>
    <row r="741" spans="16:31" customFormat="1">
      <c r="P741" s="3436"/>
      <c r="Q741" s="3436"/>
      <c r="R741" s="3436"/>
      <c r="S741" s="3436"/>
      <c r="T741" s="3436"/>
      <c r="U741" s="3436"/>
      <c r="V741" s="3436"/>
      <c r="W741" s="3436"/>
      <c r="X741" s="3436"/>
      <c r="Y741" s="3436"/>
      <c r="Z741" s="3436"/>
      <c r="AA741" s="3436"/>
      <c r="AB741" s="3436"/>
      <c r="AC741" s="3436"/>
      <c r="AD741" s="3436"/>
      <c r="AE741" s="3650"/>
    </row>
    <row r="742" spans="16:31" customFormat="1">
      <c r="P742" s="3436"/>
      <c r="Q742" s="3436"/>
      <c r="R742" s="3436"/>
      <c r="S742" s="3436"/>
      <c r="T742" s="3436"/>
      <c r="U742" s="3436"/>
      <c r="V742" s="3436"/>
      <c r="W742" s="3436"/>
      <c r="X742" s="3436"/>
      <c r="Y742" s="3436"/>
      <c r="Z742" s="3436"/>
      <c r="AA742" s="3436"/>
      <c r="AB742" s="3436"/>
      <c r="AC742" s="3436"/>
      <c r="AD742" s="3436"/>
      <c r="AE742" s="3650"/>
    </row>
    <row r="743" spans="16:31" customFormat="1">
      <c r="P743" s="3436"/>
      <c r="Q743" s="3436"/>
      <c r="R743" s="3436"/>
      <c r="S743" s="3436"/>
      <c r="T743" s="3436"/>
      <c r="U743" s="3436"/>
      <c r="V743" s="3436"/>
      <c r="W743" s="3436"/>
      <c r="X743" s="3436"/>
      <c r="Y743" s="3436"/>
      <c r="Z743" s="3436"/>
      <c r="AA743" s="3436"/>
      <c r="AB743" s="3436"/>
      <c r="AC743" s="3436"/>
      <c r="AD743" s="3436"/>
      <c r="AE743" s="3650"/>
    </row>
    <row r="744" spans="16:31" customFormat="1">
      <c r="P744" s="3436"/>
      <c r="Q744" s="3436"/>
      <c r="R744" s="3436"/>
      <c r="S744" s="3436"/>
      <c r="T744" s="3436"/>
      <c r="U744" s="3436"/>
      <c r="V744" s="3436"/>
      <c r="W744" s="3436"/>
      <c r="X744" s="3436"/>
      <c r="Y744" s="3436"/>
      <c r="Z744" s="3436"/>
      <c r="AA744" s="3436"/>
      <c r="AB744" s="3436"/>
      <c r="AC744" s="3436"/>
      <c r="AD744" s="3436"/>
      <c r="AE744" s="3650"/>
    </row>
    <row r="745" spans="16:31" customFormat="1">
      <c r="P745" s="3436"/>
      <c r="Q745" s="3436"/>
      <c r="R745" s="3436"/>
      <c r="S745" s="3436"/>
      <c r="T745" s="3436"/>
      <c r="U745" s="3436"/>
      <c r="V745" s="3436"/>
      <c r="W745" s="3436"/>
      <c r="X745" s="3436"/>
      <c r="Y745" s="3436"/>
      <c r="Z745" s="3436"/>
      <c r="AA745" s="3436"/>
      <c r="AB745" s="3436"/>
      <c r="AC745" s="3436"/>
      <c r="AD745" s="3436"/>
      <c r="AE745" s="3650"/>
    </row>
    <row r="746" spans="16:31" customFormat="1">
      <c r="P746" s="3436"/>
      <c r="Q746" s="3436"/>
      <c r="R746" s="3436"/>
      <c r="S746" s="3436"/>
      <c r="T746" s="3436"/>
      <c r="U746" s="3436"/>
      <c r="V746" s="3436"/>
      <c r="W746" s="3436"/>
      <c r="X746" s="3436"/>
      <c r="Y746" s="3436"/>
      <c r="Z746" s="3436"/>
      <c r="AA746" s="3436"/>
      <c r="AB746" s="3436"/>
      <c r="AC746" s="3436"/>
      <c r="AD746" s="3436"/>
      <c r="AE746" s="3650"/>
    </row>
    <row r="747" spans="16:31" customFormat="1">
      <c r="P747" s="3436"/>
      <c r="Q747" s="3436"/>
      <c r="R747" s="3436"/>
      <c r="S747" s="3436"/>
      <c r="T747" s="3436"/>
      <c r="U747" s="3436"/>
      <c r="V747" s="3436"/>
      <c r="W747" s="3436"/>
      <c r="X747" s="3436"/>
      <c r="Y747" s="3436"/>
      <c r="Z747" s="3436"/>
      <c r="AA747" s="3436"/>
      <c r="AB747" s="3436"/>
      <c r="AC747" s="3436"/>
      <c r="AD747" s="3436"/>
      <c r="AE747" s="3650"/>
    </row>
    <row r="748" spans="16:31" customFormat="1">
      <c r="P748" s="3436"/>
      <c r="Q748" s="3436"/>
      <c r="R748" s="3436"/>
      <c r="S748" s="3436"/>
      <c r="T748" s="3436"/>
      <c r="U748" s="3436"/>
      <c r="V748" s="3436"/>
      <c r="W748" s="3436"/>
      <c r="X748" s="3436"/>
      <c r="Y748" s="3436"/>
      <c r="Z748" s="3436"/>
      <c r="AA748" s="3436"/>
      <c r="AB748" s="3436"/>
      <c r="AC748" s="3436"/>
      <c r="AD748" s="3436"/>
      <c r="AE748" s="3650"/>
    </row>
    <row r="749" spans="16:31" customFormat="1">
      <c r="P749" s="3436"/>
      <c r="Q749" s="3436"/>
      <c r="R749" s="3436"/>
      <c r="S749" s="3436"/>
      <c r="T749" s="3436"/>
      <c r="U749" s="3436"/>
      <c r="V749" s="3436"/>
      <c r="W749" s="3436"/>
      <c r="X749" s="3436"/>
      <c r="Y749" s="3436"/>
      <c r="Z749" s="3436"/>
      <c r="AA749" s="3436"/>
      <c r="AB749" s="3436"/>
      <c r="AC749" s="3436"/>
      <c r="AD749" s="3436"/>
      <c r="AE749" s="3650"/>
    </row>
    <row r="750" spans="16:31" customFormat="1">
      <c r="P750" s="3436"/>
      <c r="Q750" s="3436"/>
      <c r="R750" s="3436"/>
      <c r="S750" s="3436"/>
      <c r="T750" s="3436"/>
      <c r="U750" s="3436"/>
      <c r="V750" s="3436"/>
      <c r="W750" s="3436"/>
      <c r="X750" s="3436"/>
      <c r="Y750" s="3436"/>
      <c r="Z750" s="3436"/>
      <c r="AA750" s="3436"/>
      <c r="AB750" s="3436"/>
      <c r="AC750" s="3436"/>
      <c r="AD750" s="3436"/>
      <c r="AE750" s="3650"/>
    </row>
    <row r="751" spans="16:31" customFormat="1">
      <c r="P751" s="3436"/>
      <c r="Q751" s="3436"/>
      <c r="R751" s="3436"/>
      <c r="S751" s="3436"/>
      <c r="T751" s="3436"/>
      <c r="U751" s="3436"/>
      <c r="V751" s="3436"/>
      <c r="W751" s="3436"/>
      <c r="X751" s="3436"/>
      <c r="Y751" s="3436"/>
      <c r="Z751" s="3436"/>
      <c r="AA751" s="3436"/>
      <c r="AB751" s="3436"/>
      <c r="AC751" s="3436"/>
      <c r="AD751" s="3436"/>
      <c r="AE751" s="3650"/>
    </row>
    <row r="752" spans="16:31" customFormat="1">
      <c r="P752" s="3436"/>
      <c r="Q752" s="3436"/>
      <c r="R752" s="3436"/>
      <c r="S752" s="3436"/>
      <c r="T752" s="3436"/>
      <c r="U752" s="3436"/>
      <c r="V752" s="3436"/>
      <c r="W752" s="3436"/>
      <c r="X752" s="3436"/>
      <c r="Y752" s="3436"/>
      <c r="Z752" s="3436"/>
      <c r="AA752" s="3436"/>
      <c r="AB752" s="3436"/>
      <c r="AC752" s="3436"/>
      <c r="AD752" s="3436"/>
      <c r="AE752" s="3650"/>
    </row>
    <row r="753" spans="16:31" customFormat="1">
      <c r="P753" s="3436"/>
      <c r="Q753" s="3436"/>
      <c r="R753" s="3436"/>
      <c r="S753" s="3436"/>
      <c r="T753" s="3436"/>
      <c r="U753" s="3436"/>
      <c r="V753" s="3436"/>
      <c r="W753" s="3436"/>
      <c r="X753" s="3436"/>
      <c r="Y753" s="3436"/>
      <c r="Z753" s="3436"/>
      <c r="AA753" s="3436"/>
      <c r="AB753" s="3436"/>
      <c r="AC753" s="3436"/>
      <c r="AD753" s="3436"/>
      <c r="AE753" s="3650"/>
    </row>
    <row r="754" spans="16:31" customFormat="1">
      <c r="P754" s="3436"/>
      <c r="Q754" s="3436"/>
      <c r="R754" s="3436"/>
      <c r="S754" s="3436"/>
      <c r="T754" s="3436"/>
      <c r="U754" s="3436"/>
      <c r="V754" s="3436"/>
      <c r="W754" s="3436"/>
      <c r="X754" s="3436"/>
      <c r="Y754" s="3436"/>
      <c r="Z754" s="3436"/>
      <c r="AA754" s="3436"/>
      <c r="AB754" s="3436"/>
      <c r="AC754" s="3436"/>
      <c r="AD754" s="3436"/>
      <c r="AE754" s="3650"/>
    </row>
    <row r="755" spans="16:31" customFormat="1">
      <c r="P755" s="3436"/>
      <c r="Q755" s="3436"/>
      <c r="R755" s="3436"/>
      <c r="S755" s="3436"/>
      <c r="T755" s="3436"/>
      <c r="U755" s="3436"/>
      <c r="V755" s="3436"/>
      <c r="W755" s="3436"/>
      <c r="X755" s="3436"/>
      <c r="Y755" s="3436"/>
      <c r="Z755" s="3436"/>
      <c r="AA755" s="3436"/>
      <c r="AB755" s="3436"/>
      <c r="AC755" s="3436"/>
      <c r="AD755" s="3436"/>
      <c r="AE755" s="3650"/>
    </row>
    <row r="756" spans="16:31" customFormat="1">
      <c r="P756" s="3436"/>
      <c r="Q756" s="3436"/>
      <c r="R756" s="3436"/>
      <c r="S756" s="3436"/>
      <c r="T756" s="3436"/>
      <c r="U756" s="3436"/>
      <c r="V756" s="3436"/>
      <c r="W756" s="3436"/>
      <c r="X756" s="3436"/>
      <c r="Y756" s="3436"/>
      <c r="Z756" s="3436"/>
      <c r="AA756" s="3436"/>
      <c r="AB756" s="3436"/>
      <c r="AC756" s="3436"/>
      <c r="AD756" s="3436"/>
      <c r="AE756" s="3650"/>
    </row>
    <row r="757" spans="16:31" customFormat="1">
      <c r="P757" s="3436"/>
      <c r="Q757" s="3436"/>
      <c r="R757" s="3436"/>
      <c r="S757" s="3436"/>
      <c r="T757" s="3436"/>
      <c r="U757" s="3436"/>
      <c r="V757" s="3436"/>
      <c r="W757" s="3436"/>
      <c r="X757" s="3436"/>
      <c r="Y757" s="3436"/>
      <c r="Z757" s="3436"/>
      <c r="AA757" s="3436"/>
      <c r="AB757" s="3436"/>
      <c r="AC757" s="3436"/>
      <c r="AD757" s="3436"/>
      <c r="AE757" s="3650"/>
    </row>
    <row r="758" spans="16:31" customFormat="1">
      <c r="P758" s="3436"/>
      <c r="Q758" s="3436"/>
      <c r="R758" s="3436"/>
      <c r="S758" s="3436"/>
      <c r="T758" s="3436"/>
      <c r="U758" s="3436"/>
      <c r="V758" s="3436"/>
      <c r="W758" s="3436"/>
      <c r="X758" s="3436"/>
      <c r="Y758" s="3436"/>
      <c r="Z758" s="3436"/>
      <c r="AA758" s="3436"/>
      <c r="AB758" s="3436"/>
      <c r="AC758" s="3436"/>
      <c r="AD758" s="3436"/>
      <c r="AE758" s="3650"/>
    </row>
    <row r="759" spans="16:31" customFormat="1">
      <c r="P759" s="3436"/>
      <c r="Q759" s="3436"/>
      <c r="R759" s="3436"/>
      <c r="S759" s="3436"/>
      <c r="T759" s="3436"/>
      <c r="U759" s="3436"/>
      <c r="V759" s="3436"/>
      <c r="W759" s="3436"/>
      <c r="X759" s="3436"/>
      <c r="Y759" s="3436"/>
      <c r="Z759" s="3436"/>
      <c r="AA759" s="3436"/>
      <c r="AB759" s="3436"/>
      <c r="AC759" s="3436"/>
      <c r="AD759" s="3436"/>
      <c r="AE759" s="3650"/>
    </row>
    <row r="760" spans="16:31" customFormat="1">
      <c r="P760" s="3436"/>
      <c r="Q760" s="3436"/>
      <c r="R760" s="3436"/>
      <c r="S760" s="3436"/>
      <c r="T760" s="3436"/>
      <c r="U760" s="3436"/>
      <c r="V760" s="3436"/>
      <c r="W760" s="3436"/>
      <c r="X760" s="3436"/>
      <c r="Y760" s="3436"/>
      <c r="Z760" s="3436"/>
      <c r="AA760" s="3436"/>
      <c r="AB760" s="3436"/>
      <c r="AC760" s="3436"/>
      <c r="AD760" s="3436"/>
      <c r="AE760" s="3650"/>
    </row>
    <row r="761" spans="16:31" customFormat="1">
      <c r="P761" s="3436"/>
      <c r="Q761" s="3436"/>
      <c r="R761" s="3436"/>
      <c r="S761" s="3436"/>
      <c r="T761" s="3436"/>
      <c r="U761" s="3436"/>
      <c r="V761" s="3436"/>
      <c r="W761" s="3436"/>
      <c r="X761" s="3436"/>
      <c r="Y761" s="3436"/>
      <c r="Z761" s="3436"/>
      <c r="AA761" s="3436"/>
      <c r="AB761" s="3436"/>
      <c r="AC761" s="3436"/>
      <c r="AD761" s="3436"/>
      <c r="AE761" s="3650"/>
    </row>
    <row r="762" spans="16:31" customFormat="1">
      <c r="P762" s="3436"/>
      <c r="Q762" s="3436"/>
      <c r="R762" s="3436"/>
      <c r="S762" s="3436"/>
      <c r="T762" s="3436"/>
      <c r="U762" s="3436"/>
      <c r="V762" s="3436"/>
      <c r="W762" s="3436"/>
      <c r="X762" s="3436"/>
      <c r="Y762" s="3436"/>
      <c r="Z762" s="3436"/>
      <c r="AA762" s="3436"/>
      <c r="AB762" s="3436"/>
      <c r="AC762" s="3436"/>
      <c r="AD762" s="3436"/>
      <c r="AE762" s="3650"/>
    </row>
    <row r="763" spans="16:31" customFormat="1">
      <c r="P763" s="3436"/>
      <c r="Q763" s="3436"/>
      <c r="R763" s="3436"/>
      <c r="S763" s="3436"/>
      <c r="T763" s="3436"/>
      <c r="U763" s="3436"/>
      <c r="V763" s="3436"/>
      <c r="W763" s="3436"/>
      <c r="X763" s="3436"/>
      <c r="Y763" s="3436"/>
      <c r="Z763" s="3436"/>
      <c r="AA763" s="3436"/>
      <c r="AB763" s="3436"/>
      <c r="AC763" s="3436"/>
      <c r="AD763" s="3436"/>
      <c r="AE763" s="3650"/>
    </row>
    <row r="764" spans="16:31" customFormat="1">
      <c r="P764" s="3436"/>
      <c r="Q764" s="3436"/>
      <c r="R764" s="3436"/>
      <c r="S764" s="3436"/>
      <c r="T764" s="3436"/>
      <c r="U764" s="3436"/>
      <c r="V764" s="3436"/>
      <c r="W764" s="3436"/>
      <c r="X764" s="3436"/>
      <c r="Y764" s="3436"/>
      <c r="Z764" s="3436"/>
      <c r="AA764" s="3436"/>
      <c r="AB764" s="3436"/>
      <c r="AC764" s="3436"/>
      <c r="AD764" s="3436"/>
      <c r="AE764" s="3650"/>
    </row>
    <row r="765" spans="16:31" customFormat="1">
      <c r="P765" s="3436"/>
      <c r="Q765" s="3436"/>
      <c r="R765" s="3436"/>
      <c r="S765" s="3436"/>
      <c r="T765" s="3436"/>
      <c r="U765" s="3436"/>
      <c r="V765" s="3436"/>
      <c r="W765" s="3436"/>
      <c r="X765" s="3436"/>
      <c r="Y765" s="3436"/>
      <c r="Z765" s="3436"/>
      <c r="AA765" s="3436"/>
      <c r="AB765" s="3436"/>
      <c r="AC765" s="3436"/>
      <c r="AD765" s="3436"/>
      <c r="AE765" s="3650"/>
    </row>
    <row r="766" spans="16:31" customFormat="1">
      <c r="P766" s="3436"/>
      <c r="Q766" s="3436"/>
      <c r="R766" s="3436"/>
      <c r="S766" s="3436"/>
      <c r="T766" s="3436"/>
      <c r="U766" s="3436"/>
      <c r="V766" s="3436"/>
      <c r="W766" s="3436"/>
      <c r="X766" s="3436"/>
      <c r="Y766" s="3436"/>
      <c r="Z766" s="3436"/>
      <c r="AA766" s="3436"/>
      <c r="AB766" s="3436"/>
      <c r="AC766" s="3436"/>
      <c r="AD766" s="3436"/>
      <c r="AE766" s="3650"/>
    </row>
    <row r="767" spans="16:31" customFormat="1">
      <c r="P767" s="3436"/>
      <c r="Q767" s="3436"/>
      <c r="R767" s="3436"/>
      <c r="S767" s="3436"/>
      <c r="T767" s="3436"/>
      <c r="U767" s="3436"/>
      <c r="V767" s="3436"/>
      <c r="W767" s="3436"/>
      <c r="X767" s="3436"/>
      <c r="Y767" s="3436"/>
      <c r="Z767" s="3436"/>
      <c r="AA767" s="3436"/>
      <c r="AB767" s="3436"/>
      <c r="AC767" s="3436"/>
      <c r="AD767" s="3436"/>
      <c r="AE767" s="3650"/>
    </row>
    <row r="768" spans="16:31" customFormat="1">
      <c r="P768" s="3436"/>
      <c r="Q768" s="3436"/>
      <c r="R768" s="3436"/>
      <c r="S768" s="3436"/>
      <c r="T768" s="3436"/>
      <c r="U768" s="3436"/>
      <c r="V768" s="3436"/>
      <c r="W768" s="3436"/>
      <c r="X768" s="3436"/>
      <c r="Y768" s="3436"/>
      <c r="Z768" s="3436"/>
      <c r="AA768" s="3436"/>
      <c r="AB768" s="3436"/>
      <c r="AC768" s="3436"/>
      <c r="AD768" s="3436"/>
      <c r="AE768" s="3650"/>
    </row>
    <row r="769" spans="16:31" customFormat="1">
      <c r="P769" s="3436"/>
      <c r="Q769" s="3436"/>
      <c r="R769" s="3436"/>
      <c r="S769" s="3436"/>
      <c r="T769" s="3436"/>
      <c r="U769" s="3436"/>
      <c r="V769" s="3436"/>
      <c r="W769" s="3436"/>
      <c r="X769" s="3436"/>
      <c r="Y769" s="3436"/>
      <c r="Z769" s="3436"/>
      <c r="AA769" s="3436"/>
      <c r="AB769" s="3436"/>
      <c r="AC769" s="3436"/>
      <c r="AD769" s="3436"/>
      <c r="AE769" s="3650"/>
    </row>
    <row r="770" spans="16:31" customFormat="1">
      <c r="P770" s="3436"/>
      <c r="Q770" s="3436"/>
      <c r="R770" s="3436"/>
      <c r="S770" s="3436"/>
      <c r="T770" s="3436"/>
      <c r="U770" s="3436"/>
      <c r="V770" s="3436"/>
      <c r="W770" s="3436"/>
      <c r="X770" s="3436"/>
      <c r="Y770" s="3436"/>
      <c r="Z770" s="3436"/>
      <c r="AA770" s="3436"/>
      <c r="AB770" s="3436"/>
      <c r="AC770" s="3436"/>
      <c r="AD770" s="3436"/>
      <c r="AE770" s="3650"/>
    </row>
    <row r="771" spans="16:31" customFormat="1">
      <c r="P771" s="3436"/>
      <c r="Q771" s="3436"/>
      <c r="R771" s="3436"/>
      <c r="S771" s="3436"/>
      <c r="T771" s="3436"/>
      <c r="U771" s="3436"/>
      <c r="V771" s="3436"/>
      <c r="W771" s="3436"/>
      <c r="X771" s="3436"/>
      <c r="Y771" s="3436"/>
      <c r="Z771" s="3436"/>
      <c r="AA771" s="3436"/>
      <c r="AB771" s="3436"/>
      <c r="AC771" s="3436"/>
      <c r="AD771" s="3436"/>
      <c r="AE771" s="3650"/>
    </row>
    <row r="772" spans="16:31" customFormat="1">
      <c r="P772" s="3436"/>
      <c r="Q772" s="3436"/>
      <c r="R772" s="3436"/>
      <c r="S772" s="3436"/>
      <c r="T772" s="3436"/>
      <c r="U772" s="3436"/>
      <c r="V772" s="3436"/>
      <c r="W772" s="3436"/>
      <c r="X772" s="3436"/>
      <c r="Y772" s="3436"/>
      <c r="Z772" s="3436"/>
      <c r="AA772" s="3436"/>
      <c r="AB772" s="3436"/>
      <c r="AC772" s="3436"/>
      <c r="AD772" s="3436"/>
      <c r="AE772" s="3650"/>
    </row>
    <row r="773" spans="16:31" customFormat="1">
      <c r="P773" s="3436"/>
      <c r="Q773" s="3436"/>
      <c r="R773" s="3436"/>
      <c r="S773" s="3436"/>
      <c r="T773" s="3436"/>
      <c r="U773" s="3436"/>
      <c r="V773" s="3436"/>
      <c r="W773" s="3436"/>
      <c r="X773" s="3436"/>
      <c r="Y773" s="3436"/>
      <c r="Z773" s="3436"/>
      <c r="AA773" s="3436"/>
      <c r="AB773" s="3436"/>
      <c r="AC773" s="3436"/>
      <c r="AD773" s="3436"/>
      <c r="AE773" s="3650"/>
    </row>
    <row r="774" spans="16:31" customFormat="1">
      <c r="P774" s="3436"/>
      <c r="Q774" s="3436"/>
      <c r="R774" s="3436"/>
      <c r="S774" s="3436"/>
      <c r="T774" s="3436"/>
      <c r="U774" s="3436"/>
      <c r="V774" s="3436"/>
      <c r="W774" s="3436"/>
      <c r="X774" s="3436"/>
      <c r="Y774" s="3436"/>
      <c r="Z774" s="3436"/>
      <c r="AA774" s="3436"/>
      <c r="AB774" s="3436"/>
      <c r="AC774" s="3436"/>
      <c r="AD774" s="3436"/>
      <c r="AE774" s="3650"/>
    </row>
    <row r="775" spans="16:31" customFormat="1">
      <c r="P775" s="3436"/>
      <c r="Q775" s="3436"/>
      <c r="R775" s="3436"/>
      <c r="S775" s="3436"/>
      <c r="T775" s="3436"/>
      <c r="U775" s="3436"/>
      <c r="V775" s="3436"/>
      <c r="W775" s="3436"/>
      <c r="X775" s="3436"/>
      <c r="Y775" s="3436"/>
      <c r="Z775" s="3436"/>
      <c r="AA775" s="3436"/>
      <c r="AB775" s="3436"/>
      <c r="AC775" s="3436"/>
      <c r="AD775" s="3436"/>
      <c r="AE775" s="3650"/>
    </row>
    <row r="776" spans="16:31" customFormat="1">
      <c r="P776" s="3436"/>
      <c r="Q776" s="3436"/>
      <c r="R776" s="3436"/>
      <c r="S776" s="3436"/>
      <c r="T776" s="3436"/>
      <c r="U776" s="3436"/>
      <c r="V776" s="3436"/>
      <c r="W776" s="3436"/>
      <c r="X776" s="3436"/>
      <c r="Y776" s="3436"/>
      <c r="Z776" s="3436"/>
      <c r="AA776" s="3436"/>
      <c r="AB776" s="3436"/>
      <c r="AC776" s="3436"/>
      <c r="AD776" s="3436"/>
      <c r="AE776" s="3650"/>
    </row>
    <row r="777" spans="16:31" customFormat="1">
      <c r="P777" s="3436"/>
      <c r="Q777" s="3436"/>
      <c r="R777" s="3436"/>
      <c r="S777" s="3436"/>
      <c r="T777" s="3436"/>
      <c r="U777" s="3436"/>
      <c r="V777" s="3436"/>
      <c r="W777" s="3436"/>
      <c r="X777" s="3436"/>
      <c r="Y777" s="3436"/>
      <c r="Z777" s="3436"/>
      <c r="AA777" s="3436"/>
      <c r="AB777" s="3436"/>
      <c r="AC777" s="3436"/>
      <c r="AD777" s="3436"/>
      <c r="AE777" s="3650"/>
    </row>
    <row r="778" spans="16:31" customFormat="1">
      <c r="P778" s="3436"/>
      <c r="Q778" s="3436"/>
      <c r="R778" s="3436"/>
      <c r="S778" s="3436"/>
      <c r="T778" s="3436"/>
      <c r="U778" s="3436"/>
      <c r="V778" s="3436"/>
      <c r="W778" s="3436"/>
      <c r="X778" s="3436"/>
      <c r="Y778" s="3436"/>
      <c r="Z778" s="3436"/>
      <c r="AA778" s="3436"/>
      <c r="AB778" s="3436"/>
      <c r="AC778" s="3436"/>
      <c r="AD778" s="3436"/>
      <c r="AE778" s="3650"/>
    </row>
    <row r="779" spans="16:31" customFormat="1">
      <c r="P779" s="3436"/>
      <c r="Q779" s="3436"/>
      <c r="R779" s="3436"/>
      <c r="S779" s="3436"/>
      <c r="T779" s="3436"/>
      <c r="U779" s="3436"/>
      <c r="V779" s="3436"/>
      <c r="W779" s="3436"/>
      <c r="X779" s="3436"/>
      <c r="Y779" s="3436"/>
      <c r="Z779" s="3436"/>
      <c r="AA779" s="3436"/>
      <c r="AB779" s="3436"/>
      <c r="AC779" s="3436"/>
      <c r="AD779" s="3436"/>
      <c r="AE779" s="3650"/>
    </row>
    <row r="780" spans="16:31" customFormat="1">
      <c r="P780" s="3436"/>
      <c r="Q780" s="3436"/>
      <c r="R780" s="3436"/>
      <c r="S780" s="3436"/>
      <c r="T780" s="3436"/>
      <c r="U780" s="3436"/>
      <c r="V780" s="3436"/>
      <c r="W780" s="3436"/>
      <c r="X780" s="3436"/>
      <c r="Y780" s="3436"/>
      <c r="Z780" s="3436"/>
      <c r="AA780" s="3436"/>
      <c r="AB780" s="3436"/>
      <c r="AC780" s="3436"/>
      <c r="AD780" s="3436"/>
      <c r="AE780" s="3650"/>
    </row>
    <row r="781" spans="16:31" customFormat="1">
      <c r="P781" s="3436"/>
      <c r="Q781" s="3436"/>
      <c r="R781" s="3436"/>
      <c r="S781" s="3436"/>
      <c r="T781" s="3436"/>
      <c r="U781" s="3436"/>
      <c r="V781" s="3436"/>
      <c r="W781" s="3436"/>
      <c r="X781" s="3436"/>
      <c r="Y781" s="3436"/>
      <c r="Z781" s="3436"/>
      <c r="AA781" s="3436"/>
      <c r="AB781" s="3436"/>
      <c r="AC781" s="3436"/>
      <c r="AD781" s="3436"/>
      <c r="AE781" s="3650"/>
    </row>
    <row r="782" spans="16:31" customFormat="1">
      <c r="P782" s="3436"/>
      <c r="Q782" s="3436"/>
      <c r="R782" s="3436"/>
      <c r="S782" s="3436"/>
      <c r="T782" s="3436"/>
      <c r="U782" s="3436"/>
      <c r="V782" s="3436"/>
      <c r="W782" s="3436"/>
      <c r="X782" s="3436"/>
      <c r="Y782" s="3436"/>
      <c r="Z782" s="3436"/>
      <c r="AA782" s="3436"/>
      <c r="AB782" s="3436"/>
      <c r="AC782" s="3436"/>
      <c r="AD782" s="3436"/>
      <c r="AE782" s="3650"/>
    </row>
    <row r="783" spans="16:31" customFormat="1">
      <c r="P783" s="3436"/>
      <c r="Q783" s="3436"/>
      <c r="R783" s="3436"/>
      <c r="S783" s="3436"/>
      <c r="T783" s="3436"/>
      <c r="U783" s="3436"/>
      <c r="V783" s="3436"/>
      <c r="W783" s="3436"/>
      <c r="X783" s="3436"/>
      <c r="Y783" s="3436"/>
      <c r="Z783" s="3436"/>
      <c r="AA783" s="3436"/>
      <c r="AB783" s="3436"/>
      <c r="AC783" s="3436"/>
      <c r="AD783" s="3436"/>
      <c r="AE783" s="3650"/>
    </row>
    <row r="784" spans="16:31" customFormat="1">
      <c r="P784" s="3436"/>
      <c r="Q784" s="3436"/>
      <c r="R784" s="3436"/>
      <c r="S784" s="3436"/>
      <c r="T784" s="3436"/>
      <c r="U784" s="3436"/>
      <c r="V784" s="3436"/>
      <c r="W784" s="3436"/>
      <c r="X784" s="3436"/>
      <c r="Y784" s="3436"/>
      <c r="Z784" s="3436"/>
      <c r="AA784" s="3436"/>
      <c r="AB784" s="3436"/>
      <c r="AC784" s="3436"/>
      <c r="AD784" s="3436"/>
      <c r="AE784" s="3650"/>
    </row>
    <row r="785" spans="16:31" customFormat="1">
      <c r="P785" s="3436"/>
      <c r="Q785" s="3436"/>
      <c r="R785" s="3436"/>
      <c r="S785" s="3436"/>
      <c r="T785" s="3436"/>
      <c r="U785" s="3436"/>
      <c r="V785" s="3436"/>
      <c r="W785" s="3436"/>
      <c r="X785" s="3436"/>
      <c r="Y785" s="3436"/>
      <c r="Z785" s="3436"/>
      <c r="AA785" s="3436"/>
      <c r="AB785" s="3436"/>
      <c r="AC785" s="3436"/>
      <c r="AD785" s="3436"/>
      <c r="AE785" s="3650"/>
    </row>
    <row r="786" spans="16:31" customFormat="1">
      <c r="P786" s="3436"/>
      <c r="Q786" s="3436"/>
      <c r="R786" s="3436"/>
      <c r="S786" s="3436"/>
      <c r="T786" s="3436"/>
      <c r="U786" s="3436"/>
      <c r="V786" s="3436"/>
      <c r="W786" s="3436"/>
      <c r="X786" s="3436"/>
      <c r="Y786" s="3436"/>
      <c r="Z786" s="3436"/>
      <c r="AA786" s="3436"/>
      <c r="AB786" s="3436"/>
      <c r="AC786" s="3436"/>
      <c r="AD786" s="3436"/>
      <c r="AE786" s="3650"/>
    </row>
    <row r="787" spans="16:31" customFormat="1">
      <c r="P787" s="3436"/>
      <c r="Q787" s="3436"/>
      <c r="R787" s="3436"/>
      <c r="S787" s="3436"/>
      <c r="T787" s="3436"/>
      <c r="U787" s="3436"/>
      <c r="V787" s="3436"/>
      <c r="W787" s="3436"/>
      <c r="X787" s="3436"/>
      <c r="Y787" s="3436"/>
      <c r="Z787" s="3436"/>
      <c r="AA787" s="3436"/>
      <c r="AB787" s="3436"/>
      <c r="AC787" s="3436"/>
      <c r="AD787" s="3436"/>
      <c r="AE787" s="3650"/>
    </row>
    <row r="788" spans="16:31" customFormat="1">
      <c r="P788" s="3436"/>
      <c r="Q788" s="3436"/>
      <c r="R788" s="3436"/>
      <c r="S788" s="3436"/>
      <c r="T788" s="3436"/>
      <c r="U788" s="3436"/>
      <c r="V788" s="3436"/>
      <c r="W788" s="3436"/>
      <c r="X788" s="3436"/>
      <c r="Y788" s="3436"/>
      <c r="Z788" s="3436"/>
      <c r="AA788" s="3436"/>
      <c r="AB788" s="3436"/>
      <c r="AC788" s="3436"/>
      <c r="AD788" s="3436"/>
      <c r="AE788" s="3650"/>
    </row>
    <row r="789" spans="16:31" customFormat="1">
      <c r="P789" s="3436"/>
      <c r="Q789" s="3436"/>
      <c r="R789" s="3436"/>
      <c r="S789" s="3436"/>
      <c r="T789" s="3436"/>
      <c r="U789" s="3436"/>
      <c r="V789" s="3436"/>
      <c r="W789" s="3436"/>
      <c r="X789" s="3436"/>
      <c r="Y789" s="3436"/>
      <c r="Z789" s="3436"/>
      <c r="AA789" s="3436"/>
      <c r="AB789" s="3436"/>
      <c r="AC789" s="3436"/>
      <c r="AD789" s="3436"/>
      <c r="AE789" s="3650"/>
    </row>
    <row r="790" spans="16:31" customFormat="1">
      <c r="P790" s="3436"/>
      <c r="Q790" s="3436"/>
      <c r="R790" s="3436"/>
      <c r="S790" s="3436"/>
      <c r="T790" s="3436"/>
      <c r="U790" s="3436"/>
      <c r="V790" s="3436"/>
      <c r="W790" s="3436"/>
      <c r="X790" s="3436"/>
      <c r="Y790" s="3436"/>
      <c r="Z790" s="3436"/>
      <c r="AA790" s="3436"/>
      <c r="AB790" s="3436"/>
      <c r="AC790" s="3436"/>
      <c r="AD790" s="3436"/>
      <c r="AE790" s="3650"/>
    </row>
    <row r="791" spans="16:31" customFormat="1">
      <c r="P791" s="3436"/>
      <c r="Q791" s="3436"/>
      <c r="R791" s="3436"/>
      <c r="S791" s="3436"/>
      <c r="T791" s="3436"/>
      <c r="U791" s="3436"/>
      <c r="V791" s="3436"/>
      <c r="W791" s="3436"/>
      <c r="X791" s="3436"/>
      <c r="Y791" s="3436"/>
      <c r="Z791" s="3436"/>
      <c r="AA791" s="3436"/>
      <c r="AB791" s="3436"/>
      <c r="AC791" s="3436"/>
      <c r="AD791" s="3436"/>
      <c r="AE791" s="3650"/>
    </row>
    <row r="792" spans="16:31" customFormat="1">
      <c r="P792" s="3436"/>
      <c r="Q792" s="3436"/>
      <c r="R792" s="3436"/>
      <c r="S792" s="3436"/>
      <c r="T792" s="3436"/>
      <c r="U792" s="3436"/>
      <c r="V792" s="3436"/>
      <c r="W792" s="3436"/>
      <c r="X792" s="3436"/>
      <c r="Y792" s="3436"/>
      <c r="Z792" s="3436"/>
      <c r="AA792" s="3436"/>
      <c r="AB792" s="3436"/>
      <c r="AC792" s="3436"/>
      <c r="AD792" s="3436"/>
      <c r="AE792" s="3650"/>
    </row>
    <row r="793" spans="16:31" customFormat="1">
      <c r="P793" s="3436"/>
      <c r="Q793" s="3436"/>
      <c r="R793" s="3436"/>
      <c r="S793" s="3436"/>
      <c r="T793" s="3436"/>
      <c r="U793" s="3436"/>
      <c r="V793" s="3436"/>
      <c r="W793" s="3436"/>
      <c r="X793" s="3436"/>
      <c r="Y793" s="3436"/>
      <c r="Z793" s="3436"/>
      <c r="AA793" s="3436"/>
      <c r="AB793" s="3436"/>
      <c r="AC793" s="3436"/>
      <c r="AD793" s="3436"/>
      <c r="AE793" s="3650"/>
    </row>
    <row r="794" spans="16:31" customFormat="1">
      <c r="P794" s="3436"/>
      <c r="Q794" s="3436"/>
      <c r="R794" s="3436"/>
      <c r="S794" s="3436"/>
      <c r="T794" s="3436"/>
      <c r="U794" s="3436"/>
      <c r="V794" s="3436"/>
      <c r="W794" s="3436"/>
      <c r="X794" s="3436"/>
      <c r="Y794" s="3436"/>
      <c r="Z794" s="3436"/>
      <c r="AA794" s="3436"/>
      <c r="AB794" s="3436"/>
      <c r="AC794" s="3436"/>
      <c r="AD794" s="3436"/>
      <c r="AE794" s="3650"/>
    </row>
    <row r="795" spans="16:31" customFormat="1">
      <c r="P795" s="3436"/>
      <c r="Q795" s="3436"/>
      <c r="R795" s="3436"/>
      <c r="S795" s="3436"/>
      <c r="T795" s="3436"/>
      <c r="U795" s="3436"/>
      <c r="V795" s="3436"/>
      <c r="W795" s="3436"/>
      <c r="X795" s="3436"/>
      <c r="Y795" s="3436"/>
      <c r="Z795" s="3436"/>
      <c r="AA795" s="3436"/>
      <c r="AB795" s="3436"/>
      <c r="AC795" s="3436"/>
      <c r="AD795" s="3436"/>
      <c r="AE795" s="3650"/>
    </row>
    <row r="796" spans="16:31" customFormat="1">
      <c r="P796" s="3436"/>
      <c r="Q796" s="3436"/>
      <c r="R796" s="3436"/>
      <c r="S796" s="3436"/>
      <c r="T796" s="3436"/>
      <c r="U796" s="3436"/>
      <c r="V796" s="3436"/>
      <c r="W796" s="3436"/>
      <c r="X796" s="3436"/>
      <c r="Y796" s="3436"/>
      <c r="Z796" s="3436"/>
      <c r="AA796" s="3436"/>
      <c r="AB796" s="3436"/>
      <c r="AC796" s="3436"/>
      <c r="AD796" s="3436"/>
      <c r="AE796" s="3650"/>
    </row>
    <row r="797" spans="16:31" customFormat="1">
      <c r="P797" s="3436"/>
      <c r="Q797" s="3436"/>
      <c r="R797" s="3436"/>
      <c r="S797" s="3436"/>
      <c r="T797" s="3436"/>
      <c r="U797" s="3436"/>
      <c r="V797" s="3436"/>
      <c r="W797" s="3436"/>
      <c r="X797" s="3436"/>
      <c r="Y797" s="3436"/>
      <c r="Z797" s="3436"/>
      <c r="AA797" s="3436"/>
      <c r="AB797" s="3436"/>
      <c r="AC797" s="3436"/>
      <c r="AD797" s="3436"/>
      <c r="AE797" s="3650"/>
    </row>
    <row r="798" spans="16:31" customFormat="1">
      <c r="P798" s="3436"/>
      <c r="Q798" s="3436"/>
      <c r="R798" s="3436"/>
      <c r="S798" s="3436"/>
      <c r="T798" s="3436"/>
      <c r="U798" s="3436"/>
      <c r="V798" s="3436"/>
      <c r="W798" s="3436"/>
      <c r="X798" s="3436"/>
      <c r="Y798" s="3436"/>
      <c r="Z798" s="3436"/>
      <c r="AA798" s="3436"/>
      <c r="AB798" s="3436"/>
      <c r="AC798" s="3436"/>
      <c r="AD798" s="3436"/>
      <c r="AE798" s="3650"/>
    </row>
    <row r="799" spans="16:31" customFormat="1">
      <c r="P799" s="3436"/>
      <c r="Q799" s="3436"/>
      <c r="R799" s="3436"/>
      <c r="S799" s="3436"/>
      <c r="T799" s="3436"/>
      <c r="U799" s="3436"/>
      <c r="V799" s="3436"/>
      <c r="W799" s="3436"/>
      <c r="X799" s="3436"/>
      <c r="Y799" s="3436"/>
      <c r="Z799" s="3436"/>
      <c r="AA799" s="3436"/>
      <c r="AB799" s="3436"/>
      <c r="AC799" s="3436"/>
      <c r="AD799" s="3436"/>
      <c r="AE799" s="3650"/>
    </row>
    <row r="800" spans="16:31" customFormat="1">
      <c r="P800" s="3436"/>
      <c r="Q800" s="3436"/>
      <c r="R800" s="3436"/>
      <c r="S800" s="3436"/>
      <c r="T800" s="3436"/>
      <c r="U800" s="3436"/>
      <c r="V800" s="3436"/>
      <c r="W800" s="3436"/>
      <c r="X800" s="3436"/>
      <c r="Y800" s="3436"/>
      <c r="Z800" s="3436"/>
      <c r="AA800" s="3436"/>
      <c r="AB800" s="3436"/>
      <c r="AC800" s="3436"/>
      <c r="AD800" s="3436"/>
      <c r="AE800" s="3650"/>
    </row>
    <row r="801" spans="16:31" customFormat="1">
      <c r="P801" s="3436"/>
      <c r="Q801" s="3436"/>
      <c r="R801" s="3436"/>
      <c r="S801" s="3436"/>
      <c r="T801" s="3436"/>
      <c r="U801" s="3436"/>
      <c r="V801" s="3436"/>
      <c r="W801" s="3436"/>
      <c r="X801" s="3436"/>
      <c r="Y801" s="3436"/>
      <c r="Z801" s="3436"/>
      <c r="AA801" s="3436"/>
      <c r="AB801" s="3436"/>
      <c r="AC801" s="3436"/>
      <c r="AD801" s="3436"/>
      <c r="AE801" s="3650"/>
    </row>
    <row r="802" spans="16:31" customFormat="1">
      <c r="P802" s="3436"/>
      <c r="Q802" s="3436"/>
      <c r="R802" s="3436"/>
      <c r="S802" s="3436"/>
      <c r="T802" s="3436"/>
      <c r="U802" s="3436"/>
      <c r="V802" s="3436"/>
      <c r="W802" s="3436"/>
      <c r="X802" s="3436"/>
      <c r="Y802" s="3436"/>
      <c r="Z802" s="3436"/>
      <c r="AA802" s="3436"/>
      <c r="AB802" s="3436"/>
      <c r="AC802" s="3436"/>
      <c r="AD802" s="3436"/>
      <c r="AE802" s="3650"/>
    </row>
    <row r="803" spans="16:31" customFormat="1">
      <c r="P803" s="3436"/>
      <c r="Q803" s="3436"/>
      <c r="R803" s="3436"/>
      <c r="S803" s="3436"/>
      <c r="T803" s="3436"/>
      <c r="U803" s="3436"/>
      <c r="V803" s="3436"/>
      <c r="W803" s="3436"/>
      <c r="X803" s="3436"/>
      <c r="Y803" s="3436"/>
      <c r="Z803" s="3436"/>
      <c r="AA803" s="3436"/>
      <c r="AB803" s="3436"/>
      <c r="AC803" s="3436"/>
      <c r="AD803" s="3436"/>
      <c r="AE803" s="3650"/>
    </row>
    <row r="804" spans="16:31" customFormat="1">
      <c r="P804" s="3436"/>
      <c r="Q804" s="3436"/>
      <c r="R804" s="3436"/>
      <c r="S804" s="3436"/>
      <c r="T804" s="3436"/>
      <c r="U804" s="3436"/>
      <c r="V804" s="3436"/>
      <c r="W804" s="3436"/>
      <c r="X804" s="3436"/>
      <c r="Y804" s="3436"/>
      <c r="Z804" s="3436"/>
      <c r="AA804" s="3436"/>
      <c r="AB804" s="3436"/>
      <c r="AC804" s="3436"/>
      <c r="AD804" s="3436"/>
      <c r="AE804" s="3650"/>
    </row>
    <row r="805" spans="16:31" customFormat="1">
      <c r="P805" s="3436"/>
      <c r="Q805" s="3436"/>
      <c r="R805" s="3436"/>
      <c r="S805" s="3436"/>
      <c r="T805" s="3436"/>
      <c r="U805" s="3436"/>
      <c r="V805" s="3436"/>
      <c r="W805" s="3436"/>
      <c r="X805" s="3436"/>
      <c r="Y805" s="3436"/>
      <c r="Z805" s="3436"/>
      <c r="AA805" s="3436"/>
      <c r="AB805" s="3436"/>
      <c r="AC805" s="3436"/>
      <c r="AD805" s="3436"/>
      <c r="AE805" s="3650"/>
    </row>
    <row r="806" spans="16:31" customFormat="1">
      <c r="P806" s="3436"/>
      <c r="Q806" s="3436"/>
      <c r="R806" s="3436"/>
      <c r="S806" s="3436"/>
      <c r="T806" s="3436"/>
      <c r="U806" s="3436"/>
      <c r="V806" s="3436"/>
      <c r="W806" s="3436"/>
      <c r="X806" s="3436"/>
      <c r="Y806" s="3436"/>
      <c r="Z806" s="3436"/>
      <c r="AA806" s="3436"/>
      <c r="AB806" s="3436"/>
      <c r="AC806" s="3436"/>
      <c r="AD806" s="3436"/>
      <c r="AE806" s="3650"/>
    </row>
    <row r="807" spans="16:31" customFormat="1">
      <c r="P807" s="3436"/>
      <c r="Q807" s="3436"/>
      <c r="R807" s="3436"/>
      <c r="S807" s="3436"/>
      <c r="T807" s="3436"/>
      <c r="U807" s="3436"/>
      <c r="V807" s="3436"/>
      <c r="W807" s="3436"/>
      <c r="X807" s="3436"/>
      <c r="Y807" s="3436"/>
      <c r="Z807" s="3436"/>
      <c r="AA807" s="3436"/>
      <c r="AB807" s="3436"/>
      <c r="AC807" s="3436"/>
      <c r="AD807" s="3436"/>
      <c r="AE807" s="3650"/>
    </row>
    <row r="808" spans="16:31" customFormat="1">
      <c r="P808" s="3436"/>
      <c r="Q808" s="3436"/>
      <c r="R808" s="3436"/>
      <c r="S808" s="3436"/>
      <c r="T808" s="3436"/>
      <c r="U808" s="3436"/>
      <c r="V808" s="3436"/>
      <c r="W808" s="3436"/>
      <c r="X808" s="3436"/>
      <c r="Y808" s="3436"/>
      <c r="Z808" s="3436"/>
      <c r="AA808" s="3436"/>
      <c r="AB808" s="3436"/>
      <c r="AC808" s="3436"/>
      <c r="AD808" s="3436"/>
      <c r="AE808" s="3650"/>
    </row>
    <row r="809" spans="16:31" customFormat="1">
      <c r="P809" s="3436"/>
      <c r="Q809" s="3436"/>
      <c r="R809" s="3436"/>
      <c r="S809" s="3436"/>
      <c r="T809" s="3436"/>
      <c r="U809" s="3436"/>
      <c r="V809" s="3436"/>
      <c r="W809" s="3436"/>
      <c r="X809" s="3436"/>
      <c r="Y809" s="3436"/>
      <c r="Z809" s="3436"/>
      <c r="AA809" s="3436"/>
      <c r="AB809" s="3436"/>
      <c r="AC809" s="3436"/>
      <c r="AD809" s="3436"/>
      <c r="AE809" s="3650"/>
    </row>
    <row r="810" spans="16:31" customFormat="1">
      <c r="P810" s="3436"/>
      <c r="Q810" s="3436"/>
      <c r="R810" s="3436"/>
      <c r="S810" s="3436"/>
      <c r="T810" s="3436"/>
      <c r="U810" s="3436"/>
      <c r="V810" s="3436"/>
      <c r="W810" s="3436"/>
      <c r="X810" s="3436"/>
      <c r="Y810" s="3436"/>
      <c r="Z810" s="3436"/>
      <c r="AA810" s="3436"/>
      <c r="AB810" s="3436"/>
      <c r="AC810" s="3436"/>
      <c r="AD810" s="3436"/>
      <c r="AE810" s="3650"/>
    </row>
    <row r="811" spans="16:31" customFormat="1">
      <c r="P811" s="3436"/>
      <c r="Q811" s="3436"/>
      <c r="R811" s="3436"/>
      <c r="S811" s="3436"/>
      <c r="T811" s="3436"/>
      <c r="U811" s="3436"/>
      <c r="V811" s="3436"/>
      <c r="W811" s="3436"/>
      <c r="X811" s="3436"/>
      <c r="Y811" s="3436"/>
      <c r="Z811" s="3436"/>
      <c r="AA811" s="3436"/>
      <c r="AB811" s="3436"/>
      <c r="AC811" s="3436"/>
      <c r="AD811" s="3436"/>
      <c r="AE811" s="3650"/>
    </row>
    <row r="812" spans="16:31" customFormat="1">
      <c r="P812" s="3436"/>
      <c r="Q812" s="3436"/>
      <c r="R812" s="3436"/>
      <c r="S812" s="3436"/>
      <c r="T812" s="3436"/>
      <c r="U812" s="3436"/>
      <c r="V812" s="3436"/>
      <c r="W812" s="3436"/>
      <c r="X812" s="3436"/>
      <c r="Y812" s="3436"/>
      <c r="Z812" s="3436"/>
      <c r="AA812" s="3436"/>
      <c r="AB812" s="3436"/>
      <c r="AC812" s="3436"/>
      <c r="AD812" s="3436"/>
      <c r="AE812" s="3650"/>
    </row>
    <row r="813" spans="16:31" customFormat="1">
      <c r="P813" s="3436"/>
      <c r="Q813" s="3436"/>
      <c r="R813" s="3436"/>
      <c r="S813" s="3436"/>
      <c r="T813" s="3436"/>
      <c r="U813" s="3436"/>
      <c r="V813" s="3436"/>
      <c r="W813" s="3436"/>
      <c r="X813" s="3436"/>
      <c r="Y813" s="3436"/>
      <c r="Z813" s="3436"/>
      <c r="AA813" s="3436"/>
      <c r="AB813" s="3436"/>
      <c r="AC813" s="3436"/>
      <c r="AD813" s="3436"/>
      <c r="AE813" s="3650"/>
    </row>
    <row r="814" spans="16:31" customFormat="1">
      <c r="P814" s="3436"/>
      <c r="Q814" s="3436"/>
      <c r="R814" s="3436"/>
      <c r="S814" s="3436"/>
      <c r="T814" s="3436"/>
      <c r="U814" s="3436"/>
      <c r="V814" s="3436"/>
      <c r="W814" s="3436"/>
      <c r="X814" s="3436"/>
      <c r="Y814" s="3436"/>
      <c r="Z814" s="3436"/>
      <c r="AA814" s="3436"/>
      <c r="AB814" s="3436"/>
      <c r="AC814" s="3436"/>
      <c r="AD814" s="3436"/>
      <c r="AE814" s="3650"/>
    </row>
    <row r="815" spans="16:31" customFormat="1">
      <c r="P815" s="3436"/>
      <c r="Q815" s="3436"/>
      <c r="R815" s="3436"/>
      <c r="S815" s="3436"/>
      <c r="T815" s="3436"/>
      <c r="U815" s="3436"/>
      <c r="V815" s="3436"/>
      <c r="W815" s="3436"/>
      <c r="X815" s="3436"/>
      <c r="Y815" s="3436"/>
      <c r="Z815" s="3436"/>
      <c r="AA815" s="3436"/>
      <c r="AB815" s="3436"/>
      <c r="AC815" s="3436"/>
      <c r="AD815" s="3436"/>
      <c r="AE815" s="3650"/>
    </row>
    <row r="816" spans="16:31" customFormat="1">
      <c r="P816" s="3436"/>
      <c r="Q816" s="3436"/>
      <c r="R816" s="3436"/>
      <c r="S816" s="3436"/>
      <c r="T816" s="3436"/>
      <c r="U816" s="3436"/>
      <c r="V816" s="3436"/>
      <c r="W816" s="3436"/>
      <c r="X816" s="3436"/>
      <c r="Y816" s="3436"/>
      <c r="Z816" s="3436"/>
      <c r="AA816" s="3436"/>
      <c r="AB816" s="3436"/>
      <c r="AC816" s="3436"/>
      <c r="AD816" s="3436"/>
      <c r="AE816" s="3650"/>
    </row>
    <row r="817" spans="16:31" customFormat="1">
      <c r="P817" s="3436"/>
      <c r="Q817" s="3436"/>
      <c r="R817" s="3436"/>
      <c r="S817" s="3436"/>
      <c r="T817" s="3436"/>
      <c r="U817" s="3436"/>
      <c r="V817" s="3436"/>
      <c r="W817" s="3436"/>
      <c r="X817" s="3436"/>
      <c r="Y817" s="3436"/>
      <c r="Z817" s="3436"/>
      <c r="AA817" s="3436"/>
      <c r="AB817" s="3436"/>
      <c r="AC817" s="3436"/>
      <c r="AD817" s="3436"/>
      <c r="AE817" s="3650"/>
    </row>
    <row r="818" spans="16:31" customFormat="1">
      <c r="P818" s="3436"/>
      <c r="Q818" s="3436"/>
      <c r="R818" s="3436"/>
      <c r="S818" s="3436"/>
      <c r="T818" s="3436"/>
      <c r="U818" s="3436"/>
      <c r="V818" s="3436"/>
      <c r="W818" s="3436"/>
      <c r="X818" s="3436"/>
      <c r="Y818" s="3436"/>
      <c r="Z818" s="3436"/>
      <c r="AA818" s="3436"/>
      <c r="AB818" s="3436"/>
      <c r="AC818" s="3436"/>
      <c r="AD818" s="3436"/>
      <c r="AE818" s="3650"/>
    </row>
    <row r="819" spans="16:31" customFormat="1">
      <c r="P819" s="3436"/>
      <c r="Q819" s="3436"/>
      <c r="R819" s="3436"/>
      <c r="S819" s="3436"/>
      <c r="T819" s="3436"/>
      <c r="U819" s="3436"/>
      <c r="V819" s="3436"/>
      <c r="W819" s="3436"/>
      <c r="X819" s="3436"/>
      <c r="Y819" s="3436"/>
      <c r="Z819" s="3436"/>
      <c r="AA819" s="3436"/>
      <c r="AB819" s="3436"/>
      <c r="AC819" s="3436"/>
      <c r="AD819" s="3436"/>
      <c r="AE819" s="3650"/>
    </row>
    <row r="820" spans="16:31" customFormat="1">
      <c r="P820" s="3436"/>
      <c r="Q820" s="3436"/>
      <c r="R820" s="3436"/>
      <c r="S820" s="3436"/>
      <c r="T820" s="3436"/>
      <c r="U820" s="3436"/>
      <c r="V820" s="3436"/>
      <c r="W820" s="3436"/>
      <c r="X820" s="3436"/>
      <c r="Y820" s="3436"/>
      <c r="Z820" s="3436"/>
      <c r="AA820" s="3436"/>
      <c r="AB820" s="3436"/>
      <c r="AC820" s="3436"/>
      <c r="AD820" s="3436"/>
      <c r="AE820" s="3650"/>
    </row>
    <row r="821" spans="16:31" customFormat="1">
      <c r="P821" s="3436"/>
      <c r="Q821" s="3436"/>
      <c r="R821" s="3436"/>
      <c r="S821" s="3436"/>
      <c r="T821" s="3436"/>
      <c r="U821" s="3436"/>
      <c r="V821" s="3436"/>
      <c r="W821" s="3436"/>
      <c r="X821" s="3436"/>
      <c r="Y821" s="3436"/>
      <c r="Z821" s="3436"/>
      <c r="AA821" s="3436"/>
      <c r="AB821" s="3436"/>
      <c r="AC821" s="3436"/>
      <c r="AD821" s="3436"/>
      <c r="AE821" s="3650"/>
    </row>
    <row r="822" spans="16:31" customFormat="1">
      <c r="P822" s="3436"/>
      <c r="Q822" s="3436"/>
      <c r="R822" s="3436"/>
      <c r="S822" s="3436"/>
      <c r="T822" s="3436"/>
      <c r="U822" s="3436"/>
      <c r="V822" s="3436"/>
      <c r="W822" s="3436"/>
      <c r="X822" s="3436"/>
      <c r="Y822" s="3436"/>
      <c r="Z822" s="3436"/>
      <c r="AA822" s="3436"/>
      <c r="AB822" s="3436"/>
      <c r="AC822" s="3436"/>
      <c r="AD822" s="3436"/>
      <c r="AE822" s="3650"/>
    </row>
    <row r="823" spans="16:31" customFormat="1">
      <c r="P823" s="3436"/>
      <c r="Q823" s="3436"/>
      <c r="R823" s="3436"/>
      <c r="S823" s="3436"/>
      <c r="T823" s="3436"/>
      <c r="U823" s="3436"/>
      <c r="V823" s="3436"/>
      <c r="W823" s="3436"/>
      <c r="X823" s="3436"/>
      <c r="Y823" s="3436"/>
      <c r="Z823" s="3436"/>
      <c r="AA823" s="3436"/>
      <c r="AB823" s="3436"/>
      <c r="AC823" s="3436"/>
      <c r="AD823" s="3436"/>
      <c r="AE823" s="3650"/>
    </row>
    <row r="824" spans="16:31" customFormat="1">
      <c r="P824" s="3436"/>
      <c r="Q824" s="3436"/>
      <c r="R824" s="3436"/>
      <c r="S824" s="3436"/>
      <c r="T824" s="3436"/>
      <c r="U824" s="3436"/>
      <c r="V824" s="3436"/>
      <c r="W824" s="3436"/>
      <c r="X824" s="3436"/>
      <c r="Y824" s="3436"/>
      <c r="Z824" s="3436"/>
      <c r="AA824" s="3436"/>
      <c r="AB824" s="3436"/>
      <c r="AC824" s="3436"/>
      <c r="AD824" s="3436"/>
      <c r="AE824" s="3650"/>
    </row>
    <row r="825" spans="16:31" customFormat="1">
      <c r="P825" s="3436"/>
      <c r="Q825" s="3436"/>
      <c r="R825" s="3436"/>
      <c r="S825" s="3436"/>
      <c r="T825" s="3436"/>
      <c r="U825" s="3436"/>
      <c r="V825" s="3436"/>
      <c r="W825" s="3436"/>
      <c r="X825" s="3436"/>
      <c r="Y825" s="3436"/>
      <c r="Z825" s="3436"/>
      <c r="AA825" s="3436"/>
      <c r="AB825" s="3436"/>
      <c r="AC825" s="3436"/>
      <c r="AD825" s="3436"/>
      <c r="AE825" s="3650"/>
    </row>
    <row r="826" spans="16:31" customFormat="1">
      <c r="P826" s="3436"/>
      <c r="Q826" s="3436"/>
      <c r="R826" s="3436"/>
      <c r="S826" s="3436"/>
      <c r="T826" s="3436"/>
      <c r="U826" s="3436"/>
      <c r="V826" s="3436"/>
      <c r="W826" s="3436"/>
      <c r="X826" s="3436"/>
      <c r="Y826" s="3436"/>
      <c r="Z826" s="3436"/>
      <c r="AA826" s="3436"/>
      <c r="AB826" s="3436"/>
      <c r="AC826" s="3436"/>
      <c r="AD826" s="3436"/>
      <c r="AE826" s="3650"/>
    </row>
    <row r="827" spans="16:31" customFormat="1">
      <c r="P827" s="3436"/>
      <c r="Q827" s="3436"/>
      <c r="R827" s="3436"/>
      <c r="S827" s="3436"/>
      <c r="T827" s="3436"/>
      <c r="U827" s="3436"/>
      <c r="V827" s="3436"/>
      <c r="W827" s="3436"/>
      <c r="X827" s="3436"/>
      <c r="Y827" s="3436"/>
      <c r="Z827" s="3436"/>
      <c r="AA827" s="3436"/>
      <c r="AB827" s="3436"/>
      <c r="AC827" s="3436"/>
      <c r="AD827" s="3436"/>
      <c r="AE827" s="3650"/>
    </row>
    <row r="828" spans="16:31" customFormat="1">
      <c r="P828" s="3436"/>
      <c r="Q828" s="3436"/>
      <c r="R828" s="3436"/>
      <c r="S828" s="3436"/>
      <c r="T828" s="3436"/>
      <c r="U828" s="3436"/>
      <c r="V828" s="3436"/>
      <c r="W828" s="3436"/>
      <c r="X828" s="3436"/>
      <c r="Y828" s="3436"/>
      <c r="Z828" s="3436"/>
      <c r="AA828" s="3436"/>
      <c r="AB828" s="3436"/>
      <c r="AC828" s="3436"/>
      <c r="AD828" s="3436"/>
      <c r="AE828" s="3650"/>
    </row>
    <row r="829" spans="16:31" customFormat="1">
      <c r="P829" s="3436"/>
      <c r="Q829" s="3436"/>
      <c r="R829" s="3436"/>
      <c r="S829" s="3436"/>
      <c r="T829" s="3436"/>
      <c r="U829" s="3436"/>
      <c r="V829" s="3436"/>
      <c r="W829" s="3436"/>
      <c r="X829" s="3436"/>
      <c r="Y829" s="3436"/>
      <c r="Z829" s="3436"/>
      <c r="AA829" s="3436"/>
      <c r="AB829" s="3436"/>
      <c r="AC829" s="3436"/>
      <c r="AD829" s="3436"/>
      <c r="AE829" s="3650"/>
    </row>
    <row r="830" spans="16:31" customFormat="1">
      <c r="P830" s="3436"/>
      <c r="Q830" s="3436"/>
      <c r="R830" s="3436"/>
      <c r="S830" s="3436"/>
      <c r="T830" s="3436"/>
      <c r="U830" s="3436"/>
      <c r="V830" s="3436"/>
      <c r="W830" s="3436"/>
      <c r="X830" s="3436"/>
      <c r="Y830" s="3436"/>
      <c r="Z830" s="3436"/>
      <c r="AA830" s="3436"/>
      <c r="AB830" s="3436"/>
      <c r="AC830" s="3436"/>
      <c r="AD830" s="3436"/>
      <c r="AE830" s="3650"/>
    </row>
    <row r="831" spans="16:31" customFormat="1">
      <c r="P831" s="3436"/>
      <c r="Q831" s="3436"/>
      <c r="R831" s="3436"/>
      <c r="S831" s="3436"/>
      <c r="T831" s="3436"/>
      <c r="U831" s="3436"/>
      <c r="V831" s="3436"/>
      <c r="W831" s="3436"/>
      <c r="X831" s="3436"/>
      <c r="Y831" s="3436"/>
      <c r="Z831" s="3436"/>
      <c r="AA831" s="3436"/>
      <c r="AB831" s="3436"/>
      <c r="AC831" s="3436"/>
      <c r="AD831" s="3436"/>
      <c r="AE831" s="3650"/>
    </row>
    <row r="832" spans="16:31" customFormat="1">
      <c r="P832" s="3436"/>
      <c r="Q832" s="3436"/>
      <c r="R832" s="3436"/>
      <c r="S832" s="3436"/>
      <c r="T832" s="3436"/>
      <c r="U832" s="3436"/>
      <c r="V832" s="3436"/>
      <c r="W832" s="3436"/>
      <c r="X832" s="3436"/>
      <c r="Y832" s="3436"/>
      <c r="Z832" s="3436"/>
      <c r="AA832" s="3436"/>
      <c r="AB832" s="3436"/>
      <c r="AC832" s="3436"/>
      <c r="AD832" s="3436"/>
      <c r="AE832" s="3650"/>
    </row>
    <row r="833" spans="16:31" customFormat="1">
      <c r="P833" s="3436"/>
      <c r="Q833" s="3436"/>
      <c r="R833" s="3436"/>
      <c r="S833" s="3436"/>
      <c r="T833" s="3436"/>
      <c r="U833" s="3436"/>
      <c r="V833" s="3436"/>
      <c r="W833" s="3436"/>
      <c r="X833" s="3436"/>
      <c r="Y833" s="3436"/>
      <c r="Z833" s="3436"/>
      <c r="AA833" s="3436"/>
      <c r="AB833" s="3436"/>
      <c r="AC833" s="3436"/>
      <c r="AD833" s="3436"/>
      <c r="AE833" s="3650"/>
    </row>
    <row r="834" spans="16:31" customFormat="1">
      <c r="P834" s="3436"/>
      <c r="Q834" s="3436"/>
      <c r="R834" s="3436"/>
      <c r="S834" s="3436"/>
      <c r="T834" s="3436"/>
      <c r="U834" s="3436"/>
      <c r="V834" s="3436"/>
      <c r="W834" s="3436"/>
      <c r="X834" s="3436"/>
      <c r="Y834" s="3436"/>
      <c r="Z834" s="3436"/>
      <c r="AA834" s="3436"/>
      <c r="AB834" s="3436"/>
      <c r="AC834" s="3436"/>
      <c r="AD834" s="3436"/>
      <c r="AE834" s="3650"/>
    </row>
    <row r="835" spans="16:31" customFormat="1">
      <c r="P835" s="3436"/>
      <c r="Q835" s="3436"/>
      <c r="R835" s="3436"/>
      <c r="S835" s="3436"/>
      <c r="T835" s="3436"/>
      <c r="U835" s="3436"/>
      <c r="V835" s="3436"/>
      <c r="W835" s="3436"/>
      <c r="X835" s="3436"/>
      <c r="Y835" s="3436"/>
      <c r="Z835" s="3436"/>
      <c r="AA835" s="3436"/>
      <c r="AB835" s="3436"/>
      <c r="AC835" s="3436"/>
      <c r="AD835" s="3436"/>
      <c r="AE835" s="3650"/>
    </row>
    <row r="836" spans="16:31" customFormat="1">
      <c r="P836" s="3436"/>
      <c r="Q836" s="3436"/>
      <c r="R836" s="3436"/>
      <c r="S836" s="3436"/>
      <c r="T836" s="3436"/>
      <c r="U836" s="3436"/>
      <c r="V836" s="3436"/>
      <c r="W836" s="3436"/>
      <c r="X836" s="3436"/>
      <c r="Y836" s="3436"/>
      <c r="Z836" s="3436"/>
      <c r="AA836" s="3436"/>
      <c r="AB836" s="3436"/>
      <c r="AC836" s="3436"/>
      <c r="AD836" s="3436"/>
      <c r="AE836" s="3650"/>
    </row>
    <row r="837" spans="16:31" customFormat="1">
      <c r="P837" s="3436"/>
      <c r="Q837" s="3436"/>
      <c r="R837" s="3436"/>
      <c r="S837" s="3436"/>
      <c r="T837" s="3436"/>
      <c r="U837" s="3436"/>
      <c r="V837" s="3436"/>
      <c r="W837" s="3436"/>
      <c r="X837" s="3436"/>
      <c r="Y837" s="3436"/>
      <c r="Z837" s="3436"/>
      <c r="AA837" s="3436"/>
      <c r="AB837" s="3436"/>
      <c r="AC837" s="3436"/>
      <c r="AD837" s="3436"/>
      <c r="AE837" s="3650"/>
    </row>
    <row r="838" spans="16:31" customFormat="1">
      <c r="P838" s="3436"/>
      <c r="Q838" s="3436"/>
      <c r="R838" s="3436"/>
      <c r="S838" s="3436"/>
      <c r="T838" s="3436"/>
      <c r="U838" s="3436"/>
      <c r="V838" s="3436"/>
      <c r="W838" s="3436"/>
      <c r="X838" s="3436"/>
      <c r="Y838" s="3436"/>
      <c r="Z838" s="3436"/>
      <c r="AA838" s="3436"/>
      <c r="AB838" s="3436"/>
      <c r="AC838" s="3436"/>
      <c r="AD838" s="3436"/>
      <c r="AE838" s="3650"/>
    </row>
    <row r="839" spans="16:31" customFormat="1">
      <c r="P839" s="3436"/>
      <c r="Q839" s="3436"/>
      <c r="R839" s="3436"/>
      <c r="S839" s="3436"/>
      <c r="T839" s="3436"/>
      <c r="U839" s="3436"/>
      <c r="V839" s="3436"/>
      <c r="W839" s="3436"/>
      <c r="X839" s="3436"/>
      <c r="Y839" s="3436"/>
      <c r="Z839" s="3436"/>
      <c r="AA839" s="3436"/>
      <c r="AB839" s="3436"/>
      <c r="AC839" s="3436"/>
      <c r="AD839" s="3436"/>
      <c r="AE839" s="3650"/>
    </row>
    <row r="840" spans="16:31" customFormat="1">
      <c r="P840" s="3436"/>
      <c r="Q840" s="3436"/>
      <c r="R840" s="3436"/>
      <c r="S840" s="3436"/>
      <c r="T840" s="3436"/>
      <c r="U840" s="3436"/>
      <c r="V840" s="3436"/>
      <c r="W840" s="3436"/>
      <c r="X840" s="3436"/>
      <c r="Y840" s="3436"/>
      <c r="Z840" s="3436"/>
      <c r="AA840" s="3436"/>
      <c r="AB840" s="3436"/>
      <c r="AC840" s="3436"/>
      <c r="AD840" s="3436"/>
      <c r="AE840" s="3650"/>
    </row>
    <row r="841" spans="16:31" customFormat="1">
      <c r="P841" s="3436"/>
      <c r="Q841" s="3436"/>
      <c r="R841" s="3436"/>
      <c r="S841" s="3436"/>
      <c r="T841" s="3436"/>
      <c r="U841" s="3436"/>
      <c r="V841" s="3436"/>
      <c r="W841" s="3436"/>
      <c r="X841" s="3436"/>
      <c r="Y841" s="3436"/>
      <c r="Z841" s="3436"/>
      <c r="AA841" s="3436"/>
      <c r="AB841" s="3436"/>
      <c r="AC841" s="3436"/>
      <c r="AD841" s="3436"/>
      <c r="AE841" s="3650"/>
    </row>
    <row r="842" spans="16:31" customFormat="1">
      <c r="P842" s="3436"/>
      <c r="Q842" s="3436"/>
      <c r="R842" s="3436"/>
      <c r="S842" s="3436"/>
      <c r="T842" s="3436"/>
      <c r="U842" s="3436"/>
      <c r="V842" s="3436"/>
      <c r="W842" s="3436"/>
      <c r="X842" s="3436"/>
      <c r="Y842" s="3436"/>
      <c r="Z842" s="3436"/>
      <c r="AA842" s="3436"/>
      <c r="AB842" s="3436"/>
      <c r="AC842" s="3436"/>
      <c r="AD842" s="3436"/>
      <c r="AE842" s="3650"/>
    </row>
    <row r="843" spans="16:31" customFormat="1">
      <c r="P843" s="3436"/>
      <c r="Q843" s="3436"/>
      <c r="R843" s="3436"/>
      <c r="S843" s="3436"/>
      <c r="T843" s="3436"/>
      <c r="U843" s="3436"/>
      <c r="V843" s="3436"/>
      <c r="W843" s="3436"/>
      <c r="X843" s="3436"/>
      <c r="Y843" s="3436"/>
      <c r="Z843" s="3436"/>
      <c r="AA843" s="3436"/>
      <c r="AB843" s="3436"/>
      <c r="AC843" s="3436"/>
      <c r="AD843" s="3436"/>
      <c r="AE843" s="3650"/>
    </row>
    <row r="844" spans="16:31" customFormat="1">
      <c r="P844" s="3436"/>
      <c r="Q844" s="3436"/>
      <c r="R844" s="3436"/>
      <c r="S844" s="3436"/>
      <c r="T844" s="3436"/>
      <c r="U844" s="3436"/>
      <c r="V844" s="3436"/>
      <c r="W844" s="3436"/>
      <c r="X844" s="3436"/>
      <c r="Y844" s="3436"/>
      <c r="Z844" s="3436"/>
      <c r="AA844" s="3436"/>
      <c r="AB844" s="3436"/>
      <c r="AC844" s="3436"/>
      <c r="AD844" s="3436"/>
      <c r="AE844" s="3650"/>
    </row>
    <row r="845" spans="16:31" customFormat="1">
      <c r="P845" s="3436"/>
      <c r="Q845" s="3436"/>
      <c r="R845" s="3436"/>
      <c r="S845" s="3436"/>
      <c r="T845" s="3436"/>
      <c r="U845" s="3436"/>
      <c r="V845" s="3436"/>
      <c r="W845" s="3436"/>
      <c r="X845" s="3436"/>
      <c r="Y845" s="3436"/>
      <c r="Z845" s="3436"/>
      <c r="AA845" s="3436"/>
      <c r="AB845" s="3436"/>
      <c r="AC845" s="3436"/>
      <c r="AD845" s="3436"/>
      <c r="AE845" s="3650"/>
    </row>
    <row r="846" spans="16:31" customFormat="1">
      <c r="P846" s="3436"/>
      <c r="Q846" s="3436"/>
      <c r="R846" s="3436"/>
      <c r="S846" s="3436"/>
      <c r="T846" s="3436"/>
      <c r="U846" s="3436"/>
      <c r="V846" s="3436"/>
      <c r="W846" s="3436"/>
      <c r="X846" s="3436"/>
      <c r="Y846" s="3436"/>
      <c r="Z846" s="3436"/>
      <c r="AA846" s="3436"/>
      <c r="AB846" s="3436"/>
      <c r="AC846" s="3436"/>
      <c r="AD846" s="3436"/>
      <c r="AE846" s="3650"/>
    </row>
    <row r="847" spans="16:31" customFormat="1">
      <c r="P847" s="3436"/>
      <c r="Q847" s="3436"/>
      <c r="R847" s="3436"/>
      <c r="S847" s="3436"/>
      <c r="T847" s="3436"/>
      <c r="U847" s="3436"/>
      <c r="V847" s="3436"/>
      <c r="W847" s="3436"/>
      <c r="X847" s="3436"/>
      <c r="Y847" s="3436"/>
      <c r="Z847" s="3436"/>
      <c r="AA847" s="3436"/>
      <c r="AB847" s="3436"/>
      <c r="AC847" s="3436"/>
      <c r="AD847" s="3436"/>
      <c r="AE847" s="3650"/>
    </row>
    <row r="848" spans="16:31" customFormat="1">
      <c r="P848" s="3436"/>
      <c r="Q848" s="3436"/>
      <c r="R848" s="3436"/>
      <c r="S848" s="3436"/>
      <c r="T848" s="3436"/>
      <c r="U848" s="3436"/>
      <c r="V848" s="3436"/>
      <c r="W848" s="3436"/>
      <c r="X848" s="3436"/>
      <c r="Y848" s="3436"/>
      <c r="Z848" s="3436"/>
      <c r="AA848" s="3436"/>
      <c r="AB848" s="3436"/>
      <c r="AC848" s="3436"/>
      <c r="AD848" s="3436"/>
      <c r="AE848" s="3650"/>
    </row>
    <row r="849" spans="16:31" customFormat="1">
      <c r="P849" s="3436"/>
      <c r="Q849" s="3436"/>
      <c r="R849" s="3436"/>
      <c r="S849" s="3436"/>
      <c r="T849" s="3436"/>
      <c r="U849" s="3436"/>
      <c r="V849" s="3436"/>
      <c r="W849" s="3436"/>
      <c r="X849" s="3436"/>
      <c r="Y849" s="3436"/>
      <c r="Z849" s="3436"/>
      <c r="AA849" s="3436"/>
      <c r="AB849" s="3436"/>
      <c r="AC849" s="3436"/>
      <c r="AD849" s="3436"/>
      <c r="AE849" s="3650"/>
    </row>
    <row r="850" spans="16:31" customFormat="1">
      <c r="P850" s="3436"/>
      <c r="Q850" s="3436"/>
      <c r="R850" s="3436"/>
      <c r="S850" s="3436"/>
      <c r="T850" s="3436"/>
      <c r="U850" s="3436"/>
      <c r="V850" s="3436"/>
      <c r="W850" s="3436"/>
      <c r="X850" s="3436"/>
      <c r="Y850" s="3436"/>
      <c r="Z850" s="3436"/>
      <c r="AA850" s="3436"/>
      <c r="AB850" s="3436"/>
      <c r="AC850" s="3436"/>
      <c r="AD850" s="3436"/>
      <c r="AE850" s="3650"/>
    </row>
    <row r="851" spans="16:31" customFormat="1">
      <c r="P851" s="3436"/>
      <c r="Q851" s="3436"/>
      <c r="R851" s="3436"/>
      <c r="S851" s="3436"/>
      <c r="T851" s="3436"/>
      <c r="U851" s="3436"/>
      <c r="V851" s="3436"/>
      <c r="W851" s="3436"/>
      <c r="X851" s="3436"/>
      <c r="Y851" s="3436"/>
      <c r="Z851" s="3436"/>
      <c r="AA851" s="3436"/>
      <c r="AB851" s="3436"/>
      <c r="AC851" s="3436"/>
      <c r="AD851" s="3436"/>
      <c r="AE851" s="3650"/>
    </row>
    <row r="852" spans="16:31" customFormat="1">
      <c r="P852" s="3436"/>
      <c r="Q852" s="3436"/>
      <c r="R852" s="3436"/>
      <c r="S852" s="3436"/>
      <c r="T852" s="3436"/>
      <c r="U852" s="3436"/>
      <c r="V852" s="3436"/>
      <c r="W852" s="3436"/>
      <c r="X852" s="3436"/>
      <c r="Y852" s="3436"/>
      <c r="Z852" s="3436"/>
      <c r="AA852" s="3436"/>
      <c r="AB852" s="3436"/>
      <c r="AC852" s="3436"/>
      <c r="AD852" s="3436"/>
      <c r="AE852" s="3650"/>
    </row>
    <row r="853" spans="16:31" customFormat="1">
      <c r="P853" s="3436"/>
      <c r="Q853" s="3436"/>
      <c r="R853" s="3436"/>
      <c r="S853" s="3436"/>
      <c r="T853" s="3436"/>
      <c r="U853" s="3436"/>
      <c r="V853" s="3436"/>
      <c r="W853" s="3436"/>
      <c r="X853" s="3436"/>
      <c r="Y853" s="3436"/>
      <c r="Z853" s="3436"/>
      <c r="AA853" s="3436"/>
      <c r="AB853" s="3436"/>
      <c r="AC853" s="3436"/>
      <c r="AD853" s="3436"/>
      <c r="AE853" s="3650"/>
    </row>
    <row r="854" spans="16:31" customFormat="1">
      <c r="P854" s="3436"/>
      <c r="Q854" s="3436"/>
      <c r="R854" s="3436"/>
      <c r="S854" s="3436"/>
      <c r="T854" s="3436"/>
      <c r="U854" s="3436"/>
      <c r="V854" s="3436"/>
      <c r="W854" s="3436"/>
      <c r="X854" s="3436"/>
      <c r="Y854" s="3436"/>
      <c r="Z854" s="3436"/>
      <c r="AA854" s="3436"/>
      <c r="AB854" s="3436"/>
      <c r="AC854" s="3436"/>
      <c r="AD854" s="3436"/>
      <c r="AE854" s="3650"/>
    </row>
    <row r="855" spans="16:31" customFormat="1">
      <c r="P855" s="3436"/>
      <c r="Q855" s="3436"/>
      <c r="R855" s="3436"/>
      <c r="S855" s="3436"/>
      <c r="T855" s="3436"/>
      <c r="U855" s="3436"/>
      <c r="V855" s="3436"/>
      <c r="W855" s="3436"/>
      <c r="X855" s="3436"/>
      <c r="Y855" s="3436"/>
      <c r="Z855" s="3436"/>
      <c r="AA855" s="3436"/>
      <c r="AB855" s="3436"/>
      <c r="AC855" s="3436"/>
      <c r="AD855" s="3436"/>
      <c r="AE855" s="3650"/>
    </row>
    <row r="856" spans="16:31" customFormat="1">
      <c r="P856" s="3436"/>
      <c r="Q856" s="3436"/>
      <c r="R856" s="3436"/>
      <c r="S856" s="3436"/>
      <c r="T856" s="3436"/>
      <c r="U856" s="3436"/>
      <c r="V856" s="3436"/>
      <c r="W856" s="3436"/>
      <c r="X856" s="3436"/>
      <c r="Y856" s="3436"/>
      <c r="Z856" s="3436"/>
      <c r="AA856" s="3436"/>
      <c r="AB856" s="3436"/>
      <c r="AC856" s="3436"/>
      <c r="AD856" s="3436"/>
      <c r="AE856" s="3650"/>
    </row>
    <row r="857" spans="16:31" customFormat="1">
      <c r="P857" s="3436"/>
      <c r="Q857" s="3436"/>
      <c r="R857" s="3436"/>
      <c r="S857" s="3436"/>
      <c r="T857" s="3436"/>
      <c r="U857" s="3436"/>
      <c r="V857" s="3436"/>
      <c r="W857" s="3436"/>
      <c r="X857" s="3436"/>
      <c r="Y857" s="3436"/>
      <c r="Z857" s="3436"/>
      <c r="AA857" s="3436"/>
      <c r="AB857" s="3436"/>
      <c r="AC857" s="3436"/>
      <c r="AD857" s="3436"/>
      <c r="AE857" s="3650"/>
    </row>
    <row r="858" spans="16:31" customFormat="1">
      <c r="P858" s="3436"/>
      <c r="Q858" s="3436"/>
      <c r="R858" s="3436"/>
      <c r="S858" s="3436"/>
      <c r="T858" s="3436"/>
      <c r="U858" s="3436"/>
      <c r="V858" s="3436"/>
      <c r="W858" s="3436"/>
      <c r="X858" s="3436"/>
      <c r="Y858" s="3436"/>
      <c r="Z858" s="3436"/>
      <c r="AA858" s="3436"/>
      <c r="AB858" s="3436"/>
      <c r="AC858" s="3436"/>
      <c r="AD858" s="3436"/>
      <c r="AE858" s="3650"/>
    </row>
    <row r="859" spans="16:31" customFormat="1">
      <c r="P859" s="3436"/>
      <c r="Q859" s="3436"/>
      <c r="R859" s="3436"/>
      <c r="S859" s="3436"/>
      <c r="T859" s="3436"/>
      <c r="U859" s="3436"/>
      <c r="V859" s="3436"/>
      <c r="W859" s="3436"/>
      <c r="X859" s="3436"/>
      <c r="Y859" s="3436"/>
      <c r="Z859" s="3436"/>
      <c r="AA859" s="3436"/>
      <c r="AB859" s="3436"/>
      <c r="AC859" s="3436"/>
      <c r="AD859" s="3436"/>
      <c r="AE859" s="3650"/>
    </row>
    <row r="860" spans="16:31" customFormat="1">
      <c r="P860" s="3436"/>
      <c r="Q860" s="3436"/>
      <c r="R860" s="3436"/>
      <c r="S860" s="3436"/>
      <c r="T860" s="3436"/>
      <c r="U860" s="3436"/>
      <c r="V860" s="3436"/>
      <c r="W860" s="3436"/>
      <c r="X860" s="3436"/>
      <c r="Y860" s="3436"/>
      <c r="Z860" s="3436"/>
      <c r="AA860" s="3436"/>
      <c r="AB860" s="3436"/>
      <c r="AC860" s="3436"/>
      <c r="AD860" s="3436"/>
      <c r="AE860" s="3650"/>
    </row>
    <row r="861" spans="16:31" customFormat="1">
      <c r="P861" s="3436"/>
      <c r="Q861" s="3436"/>
      <c r="R861" s="3436"/>
      <c r="S861" s="3436"/>
      <c r="T861" s="3436"/>
      <c r="U861" s="3436"/>
      <c r="V861" s="3436"/>
      <c r="W861" s="3436"/>
      <c r="X861" s="3436"/>
      <c r="Y861" s="3436"/>
      <c r="Z861" s="3436"/>
      <c r="AA861" s="3436"/>
      <c r="AB861" s="3436"/>
      <c r="AC861" s="3436"/>
      <c r="AD861" s="3436"/>
      <c r="AE861" s="3650"/>
    </row>
    <row r="862" spans="16:31" customFormat="1">
      <c r="P862" s="3436"/>
      <c r="Q862" s="3436"/>
      <c r="R862" s="3436"/>
      <c r="S862" s="3436"/>
      <c r="T862" s="3436"/>
      <c r="U862" s="3436"/>
      <c r="V862" s="3436"/>
      <c r="W862" s="3436"/>
      <c r="X862" s="3436"/>
      <c r="Y862" s="3436"/>
      <c r="Z862" s="3436"/>
      <c r="AA862" s="3436"/>
      <c r="AB862" s="3436"/>
      <c r="AC862" s="3436"/>
      <c r="AD862" s="3436"/>
      <c r="AE862" s="3650"/>
    </row>
    <row r="863" spans="16:31" customFormat="1">
      <c r="P863" s="3436"/>
      <c r="Q863" s="3436"/>
      <c r="R863" s="3436"/>
      <c r="S863" s="3436"/>
      <c r="T863" s="3436"/>
      <c r="U863" s="3436"/>
      <c r="V863" s="3436"/>
      <c r="W863" s="3436"/>
      <c r="X863" s="3436"/>
      <c r="Y863" s="3436"/>
      <c r="Z863" s="3436"/>
      <c r="AA863" s="3436"/>
      <c r="AB863" s="3436"/>
      <c r="AC863" s="3436"/>
      <c r="AD863" s="3436"/>
      <c r="AE863" s="3650"/>
    </row>
    <row r="864" spans="16:31" customFormat="1">
      <c r="P864" s="3436"/>
      <c r="Q864" s="3436"/>
      <c r="R864" s="3436"/>
      <c r="S864" s="3436"/>
      <c r="T864" s="3436"/>
      <c r="U864" s="3436"/>
      <c r="V864" s="3436"/>
      <c r="W864" s="3436"/>
      <c r="X864" s="3436"/>
      <c r="Y864" s="3436"/>
      <c r="Z864" s="3436"/>
      <c r="AA864" s="3436"/>
      <c r="AB864" s="3436"/>
      <c r="AC864" s="3436"/>
      <c r="AD864" s="3436"/>
      <c r="AE864" s="3650"/>
    </row>
    <row r="865" spans="16:31" customFormat="1">
      <c r="P865" s="3436"/>
      <c r="Q865" s="3436"/>
      <c r="R865" s="3436"/>
      <c r="S865" s="3436"/>
      <c r="T865" s="3436"/>
      <c r="U865" s="3436"/>
      <c r="V865" s="3436"/>
      <c r="W865" s="3436"/>
      <c r="X865" s="3436"/>
      <c r="Y865" s="3436"/>
      <c r="Z865" s="3436"/>
      <c r="AA865" s="3436"/>
      <c r="AB865" s="3436"/>
      <c r="AC865" s="3436"/>
      <c r="AD865" s="3436"/>
      <c r="AE865" s="3650"/>
    </row>
    <row r="866" spans="16:31" customFormat="1">
      <c r="P866" s="3436"/>
      <c r="Q866" s="3436"/>
      <c r="R866" s="3436"/>
      <c r="S866" s="3436"/>
      <c r="T866" s="3436"/>
      <c r="U866" s="3436"/>
      <c r="V866" s="3436"/>
      <c r="W866" s="3436"/>
      <c r="X866" s="3436"/>
      <c r="Y866" s="3436"/>
      <c r="Z866" s="3436"/>
      <c r="AA866" s="3436"/>
      <c r="AB866" s="3436"/>
      <c r="AC866" s="3436"/>
      <c r="AD866" s="3436"/>
      <c r="AE866" s="3650"/>
    </row>
    <row r="867" spans="16:31" customFormat="1">
      <c r="P867" s="3436"/>
      <c r="Q867" s="3436"/>
      <c r="R867" s="3436"/>
      <c r="S867" s="3436"/>
      <c r="T867" s="3436"/>
      <c r="U867" s="3436"/>
      <c r="V867" s="3436"/>
      <c r="W867" s="3436"/>
      <c r="X867" s="3436"/>
      <c r="Y867" s="3436"/>
      <c r="Z867" s="3436"/>
      <c r="AA867" s="3436"/>
      <c r="AB867" s="3436"/>
      <c r="AC867" s="3436"/>
      <c r="AD867" s="3436"/>
      <c r="AE867" s="3650"/>
    </row>
    <row r="868" spans="16:31" customFormat="1">
      <c r="P868" s="3436"/>
      <c r="Q868" s="3436"/>
      <c r="R868" s="3436"/>
      <c r="S868" s="3436"/>
      <c r="T868" s="3436"/>
      <c r="U868" s="3436"/>
      <c r="V868" s="3436"/>
      <c r="W868" s="3436"/>
      <c r="X868" s="3436"/>
      <c r="Y868" s="3436"/>
      <c r="Z868" s="3436"/>
      <c r="AA868" s="3436"/>
      <c r="AB868" s="3436"/>
      <c r="AC868" s="3436"/>
      <c r="AD868" s="3436"/>
      <c r="AE868" s="3650"/>
    </row>
    <row r="869" spans="16:31" customFormat="1">
      <c r="P869" s="3436"/>
      <c r="Q869" s="3436"/>
      <c r="R869" s="3436"/>
      <c r="S869" s="3436"/>
      <c r="T869" s="3436"/>
      <c r="U869" s="3436"/>
      <c r="V869" s="3436"/>
      <c r="W869" s="3436"/>
      <c r="X869" s="3436"/>
      <c r="Y869" s="3436"/>
      <c r="Z869" s="3436"/>
      <c r="AA869" s="3436"/>
      <c r="AB869" s="3436"/>
      <c r="AC869" s="3436"/>
      <c r="AD869" s="3436"/>
      <c r="AE869" s="3650"/>
    </row>
    <row r="870" spans="16:31" customFormat="1">
      <c r="P870" s="3436"/>
      <c r="Q870" s="3436"/>
      <c r="R870" s="3436"/>
      <c r="S870" s="3436"/>
      <c r="T870" s="3436"/>
      <c r="U870" s="3436"/>
      <c r="V870" s="3436"/>
      <c r="W870" s="3436"/>
      <c r="X870" s="3436"/>
      <c r="Y870" s="3436"/>
      <c r="Z870" s="3436"/>
      <c r="AA870" s="3436"/>
      <c r="AB870" s="3436"/>
      <c r="AC870" s="3436"/>
      <c r="AD870" s="3436"/>
      <c r="AE870" s="3650"/>
    </row>
    <row r="871" spans="16:31" customFormat="1">
      <c r="P871" s="3436"/>
      <c r="Q871" s="3436"/>
      <c r="R871" s="3436"/>
      <c r="S871" s="3436"/>
      <c r="T871" s="3436"/>
      <c r="U871" s="3436"/>
      <c r="V871" s="3436"/>
      <c r="W871" s="3436"/>
      <c r="X871" s="3436"/>
      <c r="Y871" s="3436"/>
      <c r="Z871" s="3436"/>
      <c r="AA871" s="3436"/>
      <c r="AB871" s="3436"/>
      <c r="AC871" s="3436"/>
      <c r="AD871" s="3436"/>
      <c r="AE871" s="3650"/>
    </row>
    <row r="872" spans="16:31" customFormat="1">
      <c r="P872" s="3436"/>
      <c r="Q872" s="3436"/>
      <c r="R872" s="3436"/>
      <c r="S872" s="3436"/>
      <c r="T872" s="3436"/>
      <c r="U872" s="3436"/>
      <c r="V872" s="3436"/>
      <c r="W872" s="3436"/>
      <c r="X872" s="3436"/>
      <c r="Y872" s="3436"/>
      <c r="Z872" s="3436"/>
      <c r="AA872" s="3436"/>
      <c r="AB872" s="3436"/>
      <c r="AC872" s="3436"/>
      <c r="AD872" s="3436"/>
      <c r="AE872" s="3650"/>
    </row>
    <row r="873" spans="16:31" customFormat="1">
      <c r="P873" s="3436"/>
      <c r="Q873" s="3436"/>
      <c r="R873" s="3436"/>
      <c r="S873" s="3436"/>
      <c r="T873" s="3436"/>
      <c r="U873" s="3436"/>
      <c r="V873" s="3436"/>
      <c r="W873" s="3436"/>
      <c r="X873" s="3436"/>
      <c r="Y873" s="3436"/>
      <c r="Z873" s="3436"/>
      <c r="AA873" s="3436"/>
      <c r="AB873" s="3436"/>
      <c r="AC873" s="3436"/>
      <c r="AD873" s="3436"/>
      <c r="AE873" s="3650"/>
    </row>
    <row r="874" spans="16:31" customFormat="1">
      <c r="P874" s="3436"/>
      <c r="Q874" s="3436"/>
      <c r="R874" s="3436"/>
      <c r="S874" s="3436"/>
      <c r="T874" s="3436"/>
      <c r="U874" s="3436"/>
      <c r="V874" s="3436"/>
      <c r="W874" s="3436"/>
      <c r="X874" s="3436"/>
      <c r="Y874" s="3436"/>
      <c r="Z874" s="3436"/>
      <c r="AA874" s="3436"/>
      <c r="AB874" s="3436"/>
      <c r="AC874" s="3436"/>
      <c r="AD874" s="3436"/>
      <c r="AE874" s="3650"/>
    </row>
    <row r="875" spans="16:31" customFormat="1">
      <c r="P875" s="3436"/>
      <c r="Q875" s="3436"/>
      <c r="R875" s="3436"/>
      <c r="S875" s="3436"/>
      <c r="T875" s="3436"/>
      <c r="U875" s="3436"/>
      <c r="V875" s="3436"/>
      <c r="W875" s="3436"/>
      <c r="X875" s="3436"/>
      <c r="Y875" s="3436"/>
      <c r="Z875" s="3436"/>
      <c r="AA875" s="3436"/>
      <c r="AB875" s="3436"/>
      <c r="AC875" s="3436"/>
      <c r="AD875" s="3436"/>
      <c r="AE875" s="3650"/>
    </row>
    <row r="876" spans="16:31" customFormat="1">
      <c r="P876" s="3436"/>
      <c r="Q876" s="3436"/>
      <c r="R876" s="3436"/>
      <c r="S876" s="3436"/>
      <c r="T876" s="3436"/>
      <c r="U876" s="3436"/>
      <c r="V876" s="3436"/>
      <c r="W876" s="3436"/>
      <c r="X876" s="3436"/>
      <c r="Y876" s="3436"/>
      <c r="Z876" s="3436"/>
      <c r="AA876" s="3436"/>
      <c r="AB876" s="3436"/>
      <c r="AC876" s="3436"/>
      <c r="AD876" s="3436"/>
      <c r="AE876" s="3650"/>
    </row>
    <row r="877" spans="16:31" customFormat="1">
      <c r="P877" s="3436"/>
      <c r="Q877" s="3436"/>
      <c r="R877" s="3436"/>
      <c r="S877" s="3436"/>
      <c r="T877" s="3436"/>
      <c r="U877" s="3436"/>
      <c r="V877" s="3436"/>
      <c r="W877" s="3436"/>
      <c r="X877" s="3436"/>
      <c r="Y877" s="3436"/>
      <c r="Z877" s="3436"/>
      <c r="AA877" s="3436"/>
      <c r="AB877" s="3436"/>
      <c r="AC877" s="3436"/>
      <c r="AD877" s="3436"/>
      <c r="AE877" s="3650"/>
    </row>
    <row r="878" spans="16:31" customFormat="1">
      <c r="P878" s="3436"/>
      <c r="Q878" s="3436"/>
      <c r="R878" s="3436"/>
      <c r="S878" s="3436"/>
      <c r="T878" s="3436"/>
      <c r="U878" s="3436"/>
      <c r="V878" s="3436"/>
      <c r="W878" s="3436"/>
      <c r="X878" s="3436"/>
      <c r="Y878" s="3436"/>
      <c r="Z878" s="3436"/>
      <c r="AA878" s="3436"/>
      <c r="AB878" s="3436"/>
      <c r="AC878" s="3436"/>
      <c r="AD878" s="3436"/>
      <c r="AE878" s="3650"/>
    </row>
    <row r="879" spans="16:31" customFormat="1">
      <c r="P879" s="3436"/>
      <c r="Q879" s="3436"/>
      <c r="R879" s="3436"/>
      <c r="S879" s="3436"/>
      <c r="T879" s="3436"/>
      <c r="U879" s="3436"/>
      <c r="V879" s="3436"/>
      <c r="W879" s="3436"/>
      <c r="X879" s="3436"/>
      <c r="Y879" s="3436"/>
      <c r="Z879" s="3436"/>
      <c r="AA879" s="3436"/>
      <c r="AB879" s="3436"/>
      <c r="AC879" s="3436"/>
      <c r="AD879" s="3436"/>
      <c r="AE879" s="3650"/>
    </row>
    <row r="880" spans="16:31" customFormat="1">
      <c r="P880" s="3436"/>
      <c r="Q880" s="3436"/>
      <c r="R880" s="3436"/>
      <c r="S880" s="3436"/>
      <c r="T880" s="3436"/>
      <c r="U880" s="3436"/>
      <c r="V880" s="3436"/>
      <c r="W880" s="3436"/>
      <c r="X880" s="3436"/>
      <c r="Y880" s="3436"/>
      <c r="Z880" s="3436"/>
      <c r="AA880" s="3436"/>
      <c r="AB880" s="3436"/>
      <c r="AC880" s="3436"/>
      <c r="AD880" s="3436"/>
      <c r="AE880" s="3650"/>
    </row>
    <row r="881" spans="16:31" customFormat="1">
      <c r="P881" s="3436"/>
      <c r="Q881" s="3436"/>
      <c r="R881" s="3436"/>
      <c r="S881" s="3436"/>
      <c r="T881" s="3436"/>
      <c r="U881" s="3436"/>
      <c r="V881" s="3436"/>
      <c r="W881" s="3436"/>
      <c r="X881" s="3436"/>
      <c r="Y881" s="3436"/>
      <c r="Z881" s="3436"/>
      <c r="AA881" s="3436"/>
      <c r="AB881" s="3436"/>
      <c r="AC881" s="3436"/>
      <c r="AD881" s="3436"/>
      <c r="AE881" s="3650"/>
    </row>
    <row r="882" spans="16:31" customFormat="1">
      <c r="P882" s="3436"/>
      <c r="Q882" s="3436"/>
      <c r="R882" s="3436"/>
      <c r="S882" s="3436"/>
      <c r="T882" s="3436"/>
      <c r="U882" s="3436"/>
      <c r="V882" s="3436"/>
      <c r="W882" s="3436"/>
      <c r="X882" s="3436"/>
      <c r="Y882" s="3436"/>
      <c r="Z882" s="3436"/>
      <c r="AA882" s="3436"/>
      <c r="AB882" s="3436"/>
      <c r="AC882" s="3436"/>
      <c r="AD882" s="3436"/>
      <c r="AE882" s="3650"/>
    </row>
    <row r="883" spans="16:31" customFormat="1">
      <c r="P883" s="3436"/>
      <c r="Q883" s="3436"/>
      <c r="R883" s="3436"/>
      <c r="S883" s="3436"/>
      <c r="T883" s="3436"/>
      <c r="U883" s="3436"/>
      <c r="V883" s="3436"/>
      <c r="W883" s="3436"/>
      <c r="X883" s="3436"/>
      <c r="Y883" s="3436"/>
      <c r="Z883" s="3436"/>
      <c r="AA883" s="3436"/>
      <c r="AB883" s="3436"/>
      <c r="AC883" s="3436"/>
      <c r="AD883" s="3436"/>
      <c r="AE883" s="3650"/>
    </row>
    <row r="884" spans="16:31" customFormat="1">
      <c r="P884" s="3436"/>
      <c r="Q884" s="3436"/>
      <c r="R884" s="3436"/>
      <c r="S884" s="3436"/>
      <c r="T884" s="3436"/>
      <c r="U884" s="3436"/>
      <c r="V884" s="3436"/>
      <c r="W884" s="3436"/>
      <c r="X884" s="3436"/>
      <c r="Y884" s="3436"/>
      <c r="Z884" s="3436"/>
      <c r="AA884" s="3436"/>
      <c r="AB884" s="3436"/>
      <c r="AC884" s="3436"/>
      <c r="AD884" s="3436"/>
      <c r="AE884" s="3650"/>
    </row>
    <row r="885" spans="16:31" customFormat="1">
      <c r="P885" s="3436"/>
      <c r="Q885" s="3436"/>
      <c r="R885" s="3436"/>
      <c r="S885" s="3436"/>
      <c r="T885" s="3436"/>
      <c r="U885" s="3436"/>
      <c r="V885" s="3436"/>
      <c r="W885" s="3436"/>
      <c r="X885" s="3436"/>
      <c r="Y885" s="3436"/>
      <c r="Z885" s="3436"/>
      <c r="AA885" s="3436"/>
      <c r="AB885" s="3436"/>
      <c r="AC885" s="3436"/>
      <c r="AD885" s="3436"/>
      <c r="AE885" s="3650"/>
    </row>
    <row r="886" spans="16:31" customFormat="1">
      <c r="P886" s="3436"/>
      <c r="Q886" s="3436"/>
      <c r="R886" s="3436"/>
      <c r="S886" s="3436"/>
      <c r="T886" s="3436"/>
      <c r="U886" s="3436"/>
      <c r="V886" s="3436"/>
      <c r="W886" s="3436"/>
      <c r="X886" s="3436"/>
      <c r="Y886" s="3436"/>
      <c r="Z886" s="3436"/>
      <c r="AA886" s="3436"/>
      <c r="AB886" s="3436"/>
      <c r="AC886" s="3436"/>
      <c r="AD886" s="3436"/>
      <c r="AE886" s="3650"/>
    </row>
    <row r="887" spans="16:31" customFormat="1">
      <c r="P887" s="3436"/>
      <c r="Q887" s="3436"/>
      <c r="R887" s="3436"/>
      <c r="S887" s="3436"/>
      <c r="T887" s="3436"/>
      <c r="U887" s="3436"/>
      <c r="V887" s="3436"/>
      <c r="W887" s="3436"/>
      <c r="X887" s="3436"/>
      <c r="Y887" s="3436"/>
      <c r="Z887" s="3436"/>
      <c r="AA887" s="3436"/>
      <c r="AB887" s="3436"/>
      <c r="AC887" s="3436"/>
      <c r="AD887" s="3436"/>
      <c r="AE887" s="3650"/>
    </row>
    <row r="888" spans="16:31" customFormat="1">
      <c r="P888" s="3436"/>
      <c r="Q888" s="3436"/>
      <c r="R888" s="3436"/>
      <c r="S888" s="3436"/>
      <c r="T888" s="3436"/>
      <c r="U888" s="3436"/>
      <c r="V888" s="3436"/>
      <c r="W888" s="3436"/>
      <c r="X888" s="3436"/>
      <c r="Y888" s="3436"/>
      <c r="Z888" s="3436"/>
      <c r="AA888" s="3436"/>
      <c r="AB888" s="3436"/>
      <c r="AC888" s="3436"/>
      <c r="AD888" s="3436"/>
      <c r="AE888" s="3650"/>
    </row>
    <row r="889" spans="16:31" customFormat="1">
      <c r="P889" s="3436"/>
      <c r="Q889" s="3436"/>
      <c r="R889" s="3436"/>
      <c r="S889" s="3436"/>
      <c r="T889" s="3436"/>
      <c r="U889" s="3436"/>
      <c r="V889" s="3436"/>
      <c r="W889" s="3436"/>
      <c r="X889" s="3436"/>
      <c r="Y889" s="3436"/>
      <c r="Z889" s="3436"/>
      <c r="AA889" s="3436"/>
      <c r="AB889" s="3436"/>
      <c r="AC889" s="3436"/>
      <c r="AD889" s="3436"/>
      <c r="AE889" s="3650"/>
    </row>
    <row r="890" spans="16:31" customFormat="1">
      <c r="P890" s="3436"/>
      <c r="Q890" s="3436"/>
      <c r="R890" s="3436"/>
      <c r="S890" s="3436"/>
      <c r="T890" s="3436"/>
      <c r="U890" s="3436"/>
      <c r="V890" s="3436"/>
      <c r="W890" s="3436"/>
      <c r="X890" s="3436"/>
      <c r="Y890" s="3436"/>
      <c r="Z890" s="3436"/>
      <c r="AA890" s="3436"/>
      <c r="AB890" s="3436"/>
      <c r="AC890" s="3436"/>
      <c r="AD890" s="3436"/>
      <c r="AE890" s="3650"/>
    </row>
    <row r="891" spans="16:31" customFormat="1">
      <c r="P891" s="3436"/>
      <c r="Q891" s="3436"/>
      <c r="R891" s="3436"/>
      <c r="S891" s="3436"/>
      <c r="T891" s="3436"/>
      <c r="U891" s="3436"/>
      <c r="V891" s="3436"/>
      <c r="W891" s="3436"/>
      <c r="X891" s="3436"/>
      <c r="Y891" s="3436"/>
      <c r="Z891" s="3436"/>
      <c r="AA891" s="3436"/>
      <c r="AB891" s="3436"/>
      <c r="AC891" s="3436"/>
      <c r="AD891" s="3436"/>
      <c r="AE891" s="3650"/>
    </row>
    <row r="892" spans="16:31" customFormat="1">
      <c r="P892" s="3436"/>
      <c r="Q892" s="3436"/>
      <c r="R892" s="3436"/>
      <c r="S892" s="3436"/>
      <c r="T892" s="3436"/>
      <c r="U892" s="3436"/>
      <c r="V892" s="3436"/>
      <c r="W892" s="3436"/>
      <c r="X892" s="3436"/>
      <c r="Y892" s="3436"/>
      <c r="Z892" s="3436"/>
      <c r="AA892" s="3436"/>
      <c r="AB892" s="3436"/>
      <c r="AC892" s="3436"/>
      <c r="AD892" s="3436"/>
      <c r="AE892" s="3650"/>
    </row>
    <row r="893" spans="16:31" customFormat="1">
      <c r="P893" s="3436"/>
      <c r="Q893" s="3436"/>
      <c r="R893" s="3436"/>
      <c r="S893" s="3436"/>
      <c r="T893" s="3436"/>
      <c r="U893" s="3436"/>
      <c r="V893" s="3436"/>
      <c r="W893" s="3436"/>
      <c r="X893" s="3436"/>
      <c r="Y893" s="3436"/>
      <c r="Z893" s="3436"/>
      <c r="AA893" s="3436"/>
      <c r="AB893" s="3436"/>
      <c r="AC893" s="3436"/>
      <c r="AD893" s="3436"/>
      <c r="AE893" s="3650"/>
    </row>
    <row r="894" spans="16:31" customFormat="1">
      <c r="P894" s="3436"/>
      <c r="Q894" s="3436"/>
      <c r="R894" s="3436"/>
      <c r="S894" s="3436"/>
      <c r="T894" s="3436"/>
      <c r="U894" s="3436"/>
      <c r="V894" s="3436"/>
      <c r="W894" s="3436"/>
      <c r="X894" s="3436"/>
      <c r="Y894" s="3436"/>
      <c r="Z894" s="3436"/>
      <c r="AA894" s="3436"/>
      <c r="AB894" s="3436"/>
      <c r="AC894" s="3436"/>
      <c r="AD894" s="3436"/>
      <c r="AE894" s="3650"/>
    </row>
    <row r="895" spans="16:31" customFormat="1">
      <c r="P895" s="3436"/>
      <c r="Q895" s="3436"/>
      <c r="R895" s="3436"/>
      <c r="S895" s="3436"/>
      <c r="T895" s="3436"/>
      <c r="U895" s="3436"/>
      <c r="V895" s="3436"/>
      <c r="W895" s="3436"/>
      <c r="X895" s="3436"/>
      <c r="Y895" s="3436"/>
      <c r="Z895" s="3436"/>
      <c r="AA895" s="3436"/>
      <c r="AB895" s="3436"/>
      <c r="AC895" s="3436"/>
      <c r="AD895" s="3436"/>
      <c r="AE895" s="3650"/>
    </row>
    <row r="896" spans="16:31" customFormat="1">
      <c r="P896" s="3436"/>
      <c r="Q896" s="3436"/>
      <c r="R896" s="3436"/>
      <c r="S896" s="3436"/>
      <c r="T896" s="3436"/>
      <c r="U896" s="3436"/>
      <c r="V896" s="3436"/>
      <c r="W896" s="3436"/>
      <c r="X896" s="3436"/>
      <c r="Y896" s="3436"/>
      <c r="Z896" s="3436"/>
      <c r="AA896" s="3436"/>
      <c r="AB896" s="3436"/>
      <c r="AC896" s="3436"/>
      <c r="AD896" s="3436"/>
      <c r="AE896" s="3650"/>
    </row>
    <row r="897" spans="16:31" customFormat="1">
      <c r="P897" s="3436"/>
      <c r="Q897" s="3436"/>
      <c r="R897" s="3436"/>
      <c r="S897" s="3436"/>
      <c r="T897" s="3436"/>
      <c r="U897" s="3436"/>
      <c r="V897" s="3436"/>
      <c r="W897" s="3436"/>
      <c r="X897" s="3436"/>
      <c r="Y897" s="3436"/>
      <c r="Z897" s="3436"/>
      <c r="AA897" s="3436"/>
      <c r="AB897" s="3436"/>
      <c r="AC897" s="3436"/>
      <c r="AD897" s="3436"/>
      <c r="AE897" s="3650"/>
    </row>
    <row r="898" spans="16:31" customFormat="1">
      <c r="P898" s="3436"/>
      <c r="Q898" s="3436"/>
      <c r="R898" s="3436"/>
      <c r="S898" s="3436"/>
      <c r="T898" s="3436"/>
      <c r="U898" s="3436"/>
      <c r="V898" s="3436"/>
      <c r="W898" s="3436"/>
      <c r="X898" s="3436"/>
      <c r="Y898" s="3436"/>
      <c r="Z898" s="3436"/>
      <c r="AA898" s="3436"/>
      <c r="AB898" s="3436"/>
      <c r="AC898" s="3436"/>
      <c r="AD898" s="3436"/>
      <c r="AE898" s="3650"/>
    </row>
    <row r="899" spans="16:31" customFormat="1">
      <c r="P899" s="3436"/>
      <c r="Q899" s="3436"/>
      <c r="R899" s="3436"/>
      <c r="S899" s="3436"/>
      <c r="T899" s="3436"/>
      <c r="U899" s="3436"/>
      <c r="V899" s="3436"/>
      <c r="W899" s="3436"/>
      <c r="X899" s="3436"/>
      <c r="Y899" s="3436"/>
      <c r="Z899" s="3436"/>
      <c r="AA899" s="3436"/>
      <c r="AB899" s="3436"/>
      <c r="AC899" s="3436"/>
      <c r="AD899" s="3436"/>
      <c r="AE899" s="3650"/>
    </row>
    <row r="900" spans="16:31" customFormat="1">
      <c r="P900" s="3436"/>
      <c r="Q900" s="3436"/>
      <c r="R900" s="3436"/>
      <c r="S900" s="3436"/>
      <c r="T900" s="3436"/>
      <c r="U900" s="3436"/>
      <c r="V900" s="3436"/>
      <c r="W900" s="3436"/>
      <c r="X900" s="3436"/>
      <c r="Y900" s="3436"/>
      <c r="Z900" s="3436"/>
      <c r="AA900" s="3436"/>
      <c r="AB900" s="3436"/>
      <c r="AC900" s="3436"/>
      <c r="AD900" s="3436"/>
      <c r="AE900" s="3650"/>
    </row>
    <row r="901" spans="16:31" customFormat="1">
      <c r="P901" s="3436"/>
      <c r="Q901" s="3436"/>
      <c r="R901" s="3436"/>
      <c r="S901" s="3436"/>
      <c r="T901" s="3436"/>
      <c r="U901" s="3436"/>
      <c r="V901" s="3436"/>
      <c r="W901" s="3436"/>
      <c r="X901" s="3436"/>
      <c r="Y901" s="3436"/>
      <c r="Z901" s="3436"/>
      <c r="AA901" s="3436"/>
      <c r="AB901" s="3436"/>
      <c r="AC901" s="3436"/>
      <c r="AD901" s="3436"/>
      <c r="AE901" s="3650"/>
    </row>
    <row r="902" spans="16:31" customFormat="1">
      <c r="P902" s="3436"/>
      <c r="Q902" s="3436"/>
      <c r="R902" s="3436"/>
      <c r="S902" s="3436"/>
      <c r="T902" s="3436"/>
      <c r="U902" s="3436"/>
      <c r="V902" s="3436"/>
      <c r="W902" s="3436"/>
      <c r="X902" s="3436"/>
      <c r="Y902" s="3436"/>
      <c r="Z902" s="3436"/>
      <c r="AA902" s="3436"/>
      <c r="AB902" s="3436"/>
      <c r="AC902" s="3436"/>
      <c r="AD902" s="3436"/>
      <c r="AE902" s="3650"/>
    </row>
    <row r="903" spans="16:31" customFormat="1">
      <c r="P903" s="3436"/>
      <c r="Q903" s="3436"/>
      <c r="R903" s="3436"/>
      <c r="S903" s="3436"/>
      <c r="T903" s="3436"/>
      <c r="U903" s="3436"/>
      <c r="V903" s="3436"/>
      <c r="W903" s="3436"/>
      <c r="X903" s="3436"/>
      <c r="Y903" s="3436"/>
      <c r="Z903" s="3436"/>
      <c r="AA903" s="3436"/>
      <c r="AB903" s="3436"/>
      <c r="AC903" s="3436"/>
      <c r="AD903" s="3436"/>
      <c r="AE903" s="3650"/>
    </row>
    <row r="904" spans="16:31" customFormat="1">
      <c r="P904" s="3436"/>
      <c r="Q904" s="3436"/>
      <c r="R904" s="3436"/>
      <c r="S904" s="3436"/>
      <c r="T904" s="3436"/>
      <c r="U904" s="3436"/>
      <c r="V904" s="3436"/>
      <c r="W904" s="3436"/>
      <c r="X904" s="3436"/>
      <c r="Y904" s="3436"/>
      <c r="Z904" s="3436"/>
      <c r="AA904" s="3436"/>
      <c r="AB904" s="3436"/>
      <c r="AC904" s="3436"/>
      <c r="AD904" s="3436"/>
      <c r="AE904" s="3650"/>
    </row>
    <row r="905" spans="16:31" customFormat="1">
      <c r="P905" s="3436"/>
      <c r="Q905" s="3436"/>
      <c r="R905" s="3436"/>
      <c r="S905" s="3436"/>
      <c r="T905" s="3436"/>
      <c r="U905" s="3436"/>
      <c r="V905" s="3436"/>
      <c r="W905" s="3436"/>
      <c r="X905" s="3436"/>
      <c r="Y905" s="3436"/>
      <c r="Z905" s="3436"/>
      <c r="AA905" s="3436"/>
      <c r="AB905" s="3436"/>
      <c r="AC905" s="3436"/>
      <c r="AD905" s="3436"/>
      <c r="AE905" s="3650"/>
    </row>
    <row r="906" spans="16:31" customFormat="1">
      <c r="P906" s="3436"/>
      <c r="Q906" s="3436"/>
      <c r="R906" s="3436"/>
      <c r="S906" s="3436"/>
      <c r="T906" s="3436"/>
      <c r="U906" s="3436"/>
      <c r="V906" s="3436"/>
      <c r="W906" s="3436"/>
      <c r="X906" s="3436"/>
      <c r="Y906" s="3436"/>
      <c r="Z906" s="3436"/>
      <c r="AA906" s="3436"/>
      <c r="AB906" s="3436"/>
      <c r="AC906" s="3436"/>
      <c r="AD906" s="3436"/>
      <c r="AE906" s="3650"/>
    </row>
    <row r="907" spans="16:31" customFormat="1">
      <c r="P907" s="3436"/>
      <c r="Q907" s="3436"/>
      <c r="R907" s="3436"/>
      <c r="S907" s="3436"/>
      <c r="T907" s="3436"/>
      <c r="U907" s="3436"/>
      <c r="V907" s="3436"/>
      <c r="W907" s="3436"/>
      <c r="X907" s="3436"/>
      <c r="Y907" s="3436"/>
      <c r="Z907" s="3436"/>
      <c r="AA907" s="3436"/>
      <c r="AB907" s="3436"/>
      <c r="AC907" s="3436"/>
      <c r="AD907" s="3436"/>
      <c r="AE907" s="3650"/>
    </row>
    <row r="908" spans="16:31" customFormat="1">
      <c r="P908" s="3436"/>
      <c r="Q908" s="3436"/>
      <c r="R908" s="3436"/>
      <c r="S908" s="3436"/>
      <c r="T908" s="3436"/>
      <c r="U908" s="3436"/>
      <c r="V908" s="3436"/>
      <c r="W908" s="3436"/>
      <c r="X908" s="3436"/>
      <c r="Y908" s="3436"/>
      <c r="Z908" s="3436"/>
      <c r="AA908" s="3436"/>
      <c r="AB908" s="3436"/>
      <c r="AC908" s="3436"/>
      <c r="AD908" s="3436"/>
      <c r="AE908" s="3650"/>
    </row>
    <row r="909" spans="16:31" customFormat="1">
      <c r="P909" s="3436"/>
      <c r="Q909" s="3436"/>
      <c r="R909" s="3436"/>
      <c r="S909" s="3436"/>
      <c r="T909" s="3436"/>
      <c r="U909" s="3436"/>
      <c r="V909" s="3436"/>
      <c r="W909" s="3436"/>
      <c r="X909" s="3436"/>
      <c r="Y909" s="3436"/>
      <c r="Z909" s="3436"/>
      <c r="AA909" s="3436"/>
      <c r="AB909" s="3436"/>
      <c r="AC909" s="3436"/>
      <c r="AD909" s="3436"/>
      <c r="AE909" s="3650"/>
    </row>
    <row r="910" spans="16:31" customFormat="1">
      <c r="P910" s="3436"/>
      <c r="Q910" s="3436"/>
      <c r="R910" s="3436"/>
      <c r="S910" s="3436"/>
      <c r="T910" s="3436"/>
      <c r="U910" s="3436"/>
      <c r="V910" s="3436"/>
      <c r="W910" s="3436"/>
      <c r="X910" s="3436"/>
      <c r="Y910" s="3436"/>
      <c r="Z910" s="3436"/>
      <c r="AA910" s="3436"/>
      <c r="AB910" s="3436"/>
      <c r="AC910" s="3436"/>
      <c r="AD910" s="3436"/>
      <c r="AE910" s="3650"/>
    </row>
    <row r="911" spans="16:31" customFormat="1">
      <c r="P911" s="3436"/>
      <c r="Q911" s="3436"/>
      <c r="R911" s="3436"/>
      <c r="S911" s="3436"/>
      <c r="T911" s="3436"/>
      <c r="U911" s="3436"/>
      <c r="V911" s="3436"/>
      <c r="W911" s="3436"/>
      <c r="X911" s="3436"/>
      <c r="Y911" s="3436"/>
      <c r="Z911" s="3436"/>
      <c r="AA911" s="3436"/>
      <c r="AB911" s="3436"/>
      <c r="AC911" s="3436"/>
      <c r="AD911" s="3436"/>
      <c r="AE911" s="3650"/>
    </row>
    <row r="912" spans="16:31" customFormat="1">
      <c r="P912" s="3436"/>
      <c r="Q912" s="3436"/>
      <c r="R912" s="3436"/>
      <c r="S912" s="3436"/>
      <c r="T912" s="3436"/>
      <c r="U912" s="3436"/>
      <c r="V912" s="3436"/>
      <c r="W912" s="3436"/>
      <c r="X912" s="3436"/>
      <c r="Y912" s="3436"/>
      <c r="Z912" s="3436"/>
      <c r="AA912" s="3436"/>
      <c r="AB912" s="3436"/>
      <c r="AC912" s="3436"/>
      <c r="AD912" s="3436"/>
      <c r="AE912" s="3650"/>
    </row>
    <row r="913" spans="16:31" customFormat="1">
      <c r="P913" s="3436"/>
      <c r="Q913" s="3436"/>
      <c r="R913" s="3436"/>
      <c r="S913" s="3436"/>
      <c r="T913" s="3436"/>
      <c r="U913" s="3436"/>
      <c r="V913" s="3436"/>
      <c r="W913" s="3436"/>
      <c r="X913" s="3436"/>
      <c r="Y913" s="3436"/>
      <c r="Z913" s="3436"/>
      <c r="AA913" s="3436"/>
      <c r="AB913" s="3436"/>
      <c r="AC913" s="3436"/>
      <c r="AD913" s="3436"/>
      <c r="AE913" s="3650"/>
    </row>
    <row r="914" spans="16:31" customFormat="1">
      <c r="P914" s="3436"/>
      <c r="Q914" s="3436"/>
      <c r="R914" s="3436"/>
      <c r="S914" s="3436"/>
      <c r="T914" s="3436"/>
      <c r="U914" s="3436"/>
      <c r="V914" s="3436"/>
      <c r="W914" s="3436"/>
      <c r="X914" s="3436"/>
      <c r="Y914" s="3436"/>
      <c r="Z914" s="3436"/>
      <c r="AA914" s="3436"/>
      <c r="AB914" s="3436"/>
      <c r="AC914" s="3436"/>
      <c r="AD914" s="3436"/>
      <c r="AE914" s="3650"/>
    </row>
    <row r="915" spans="16:31" customFormat="1">
      <c r="P915" s="3436"/>
      <c r="Q915" s="3436"/>
      <c r="R915" s="3436"/>
      <c r="S915" s="3436"/>
      <c r="T915" s="3436"/>
      <c r="U915" s="3436"/>
      <c r="V915" s="3436"/>
      <c r="W915" s="3436"/>
      <c r="X915" s="3436"/>
      <c r="Y915" s="3436"/>
      <c r="Z915" s="3436"/>
      <c r="AA915" s="3436"/>
      <c r="AB915" s="3436"/>
      <c r="AC915" s="3436"/>
      <c r="AD915" s="3436"/>
      <c r="AE915" s="3650"/>
    </row>
    <row r="916" spans="16:31" customFormat="1">
      <c r="P916" s="3436"/>
      <c r="Q916" s="3436"/>
      <c r="R916" s="3436"/>
      <c r="S916" s="3436"/>
      <c r="T916" s="3436"/>
      <c r="U916" s="3436"/>
      <c r="V916" s="3436"/>
      <c r="W916" s="3436"/>
      <c r="X916" s="3436"/>
      <c r="Y916" s="3436"/>
      <c r="Z916" s="3436"/>
      <c r="AA916" s="3436"/>
      <c r="AB916" s="3436"/>
      <c r="AC916" s="3436"/>
      <c r="AD916" s="3436"/>
      <c r="AE916" s="3650"/>
    </row>
    <row r="917" spans="16:31" customFormat="1">
      <c r="P917" s="3436"/>
      <c r="Q917" s="3436"/>
      <c r="R917" s="3436"/>
      <c r="S917" s="3436"/>
      <c r="T917" s="3436"/>
      <c r="U917" s="3436"/>
      <c r="V917" s="3436"/>
      <c r="W917" s="3436"/>
      <c r="X917" s="3436"/>
      <c r="Y917" s="3436"/>
      <c r="Z917" s="3436"/>
      <c r="AA917" s="3436"/>
      <c r="AB917" s="3436"/>
      <c r="AC917" s="3436"/>
      <c r="AD917" s="3436"/>
      <c r="AE917" s="3650"/>
    </row>
    <row r="918" spans="16:31" customFormat="1">
      <c r="P918" s="3436"/>
      <c r="Q918" s="3436"/>
      <c r="R918" s="3436"/>
      <c r="S918" s="3436"/>
      <c r="T918" s="3436"/>
      <c r="U918" s="3436"/>
      <c r="V918" s="3436"/>
      <c r="W918" s="3436"/>
      <c r="X918" s="3436"/>
      <c r="Y918" s="3436"/>
      <c r="Z918" s="3436"/>
      <c r="AA918" s="3436"/>
      <c r="AB918" s="3436"/>
      <c r="AC918" s="3436"/>
      <c r="AD918" s="3436"/>
      <c r="AE918" s="3650"/>
    </row>
    <row r="919" spans="16:31" customFormat="1">
      <c r="P919" s="3436"/>
      <c r="Q919" s="3436"/>
      <c r="R919" s="3436"/>
      <c r="S919" s="3436"/>
      <c r="T919" s="3436"/>
      <c r="U919" s="3436"/>
      <c r="V919" s="3436"/>
      <c r="W919" s="3436"/>
      <c r="X919" s="3436"/>
      <c r="Y919" s="3436"/>
      <c r="Z919" s="3436"/>
      <c r="AA919" s="3436"/>
      <c r="AB919" s="3436"/>
      <c r="AC919" s="3436"/>
      <c r="AD919" s="3436"/>
      <c r="AE919" s="3650"/>
    </row>
    <row r="920" spans="16:31" customFormat="1">
      <c r="P920" s="3436"/>
      <c r="Q920" s="3436"/>
      <c r="R920" s="3436"/>
      <c r="S920" s="3436"/>
      <c r="T920" s="3436"/>
      <c r="U920" s="3436"/>
      <c r="V920" s="3436"/>
      <c r="W920" s="3436"/>
      <c r="X920" s="3436"/>
      <c r="Y920" s="3436"/>
      <c r="Z920" s="3436"/>
      <c r="AA920" s="3436"/>
      <c r="AB920" s="3436"/>
      <c r="AC920" s="3436"/>
      <c r="AD920" s="3436"/>
      <c r="AE920" s="3650"/>
    </row>
    <row r="921" spans="16:31" customFormat="1">
      <c r="P921" s="3436"/>
      <c r="Q921" s="3436"/>
      <c r="R921" s="3436"/>
      <c r="S921" s="3436"/>
      <c r="T921" s="3436"/>
      <c r="U921" s="3436"/>
      <c r="V921" s="3436"/>
      <c r="W921" s="3436"/>
      <c r="X921" s="3436"/>
      <c r="Y921" s="3436"/>
      <c r="Z921" s="3436"/>
      <c r="AA921" s="3436"/>
      <c r="AB921" s="3436"/>
      <c r="AC921" s="3436"/>
      <c r="AD921" s="3436"/>
      <c r="AE921" s="3650"/>
    </row>
    <row r="922" spans="16:31" customFormat="1">
      <c r="P922" s="3436"/>
      <c r="Q922" s="3436"/>
      <c r="R922" s="3436"/>
      <c r="S922" s="3436"/>
      <c r="T922" s="3436"/>
      <c r="U922" s="3436"/>
      <c r="V922" s="3436"/>
      <c r="W922" s="3436"/>
      <c r="X922" s="3436"/>
      <c r="Y922" s="3436"/>
      <c r="Z922" s="3436"/>
      <c r="AA922" s="3436"/>
      <c r="AB922" s="3436"/>
      <c r="AC922" s="3436"/>
      <c r="AD922" s="3436"/>
      <c r="AE922" s="3650"/>
    </row>
    <row r="923" spans="16:31" customFormat="1">
      <c r="P923" s="3436"/>
      <c r="Q923" s="3436"/>
      <c r="R923" s="3436"/>
      <c r="S923" s="3436"/>
      <c r="T923" s="3436"/>
      <c r="U923" s="3436"/>
      <c r="V923" s="3436"/>
      <c r="W923" s="3436"/>
      <c r="X923" s="3436"/>
      <c r="Y923" s="3436"/>
      <c r="Z923" s="3436"/>
      <c r="AA923" s="3436"/>
      <c r="AB923" s="3436"/>
      <c r="AC923" s="3436"/>
      <c r="AD923" s="3436"/>
      <c r="AE923" s="3650"/>
    </row>
    <row r="924" spans="16:31" customFormat="1">
      <c r="P924" s="3436"/>
      <c r="Q924" s="3436"/>
      <c r="R924" s="3436"/>
      <c r="S924" s="3436"/>
      <c r="T924" s="3436"/>
      <c r="U924" s="3436"/>
      <c r="V924" s="3436"/>
      <c r="W924" s="3436"/>
      <c r="X924" s="3436"/>
      <c r="Y924" s="3436"/>
      <c r="Z924" s="3436"/>
      <c r="AA924" s="3436"/>
      <c r="AB924" s="3436"/>
      <c r="AC924" s="3436"/>
      <c r="AD924" s="3436"/>
      <c r="AE924" s="3650"/>
    </row>
    <row r="925" spans="16:31" customFormat="1">
      <c r="P925" s="3436"/>
      <c r="Q925" s="3436"/>
      <c r="R925" s="3436"/>
      <c r="S925" s="3436"/>
      <c r="T925" s="3436"/>
      <c r="U925" s="3436"/>
      <c r="V925" s="3436"/>
      <c r="W925" s="3436"/>
      <c r="X925" s="3436"/>
      <c r="Y925" s="3436"/>
      <c r="Z925" s="3436"/>
      <c r="AA925" s="3436"/>
      <c r="AB925" s="3436"/>
      <c r="AC925" s="3436"/>
      <c r="AD925" s="3436"/>
      <c r="AE925" s="3650"/>
    </row>
    <row r="926" spans="16:31" customFormat="1">
      <c r="P926" s="3436"/>
      <c r="Q926" s="3436"/>
      <c r="R926" s="3436"/>
      <c r="S926" s="3436"/>
      <c r="T926" s="3436"/>
      <c r="U926" s="3436"/>
      <c r="V926" s="3436"/>
      <c r="W926" s="3436"/>
      <c r="X926" s="3436"/>
      <c r="Y926" s="3436"/>
      <c r="Z926" s="3436"/>
      <c r="AA926" s="3436"/>
      <c r="AB926" s="3436"/>
      <c r="AC926" s="3436"/>
      <c r="AD926" s="3436"/>
      <c r="AE926" s="3650"/>
    </row>
    <row r="927" spans="16:31" customFormat="1">
      <c r="P927" s="3436"/>
      <c r="Q927" s="3436"/>
      <c r="R927" s="3436"/>
      <c r="S927" s="3436"/>
      <c r="T927" s="3436"/>
      <c r="U927" s="3436"/>
      <c r="V927" s="3436"/>
      <c r="W927" s="3436"/>
      <c r="X927" s="3436"/>
      <c r="Y927" s="3436"/>
      <c r="Z927" s="3436"/>
      <c r="AA927" s="3436"/>
      <c r="AB927" s="3436"/>
      <c r="AC927" s="3436"/>
      <c r="AD927" s="3436"/>
      <c r="AE927" s="3650"/>
    </row>
    <row r="928" spans="16:31" customFormat="1">
      <c r="P928" s="3436"/>
      <c r="Q928" s="3436"/>
      <c r="R928" s="3436"/>
      <c r="S928" s="3436"/>
      <c r="T928" s="3436"/>
      <c r="U928" s="3436"/>
      <c r="V928" s="3436"/>
      <c r="W928" s="3436"/>
      <c r="X928" s="3436"/>
      <c r="Y928" s="3436"/>
      <c r="Z928" s="3436"/>
      <c r="AA928" s="3436"/>
      <c r="AB928" s="3436"/>
      <c r="AC928" s="3436"/>
      <c r="AD928" s="3436"/>
      <c r="AE928" s="3650"/>
    </row>
    <row r="929" spans="16:31" customFormat="1">
      <c r="P929" s="3436"/>
      <c r="Q929" s="3436"/>
      <c r="R929" s="3436"/>
      <c r="S929" s="3436"/>
      <c r="T929" s="3436"/>
      <c r="U929" s="3436"/>
      <c r="V929" s="3436"/>
      <c r="W929" s="3436"/>
      <c r="X929" s="3436"/>
      <c r="Y929" s="3436"/>
      <c r="Z929" s="3436"/>
      <c r="AA929" s="3436"/>
      <c r="AB929" s="3436"/>
      <c r="AC929" s="3436"/>
      <c r="AD929" s="3436"/>
      <c r="AE929" s="3650"/>
    </row>
    <row r="930" spans="16:31" customFormat="1">
      <c r="P930" s="3436"/>
      <c r="Q930" s="3436"/>
      <c r="R930" s="3436"/>
      <c r="S930" s="3436"/>
      <c r="T930" s="3436"/>
      <c r="U930" s="3436"/>
      <c r="V930" s="3436"/>
      <c r="W930" s="3436"/>
      <c r="X930" s="3436"/>
      <c r="Y930" s="3436"/>
      <c r="Z930" s="3436"/>
      <c r="AA930" s="3436"/>
      <c r="AB930" s="3436"/>
      <c r="AC930" s="3436"/>
      <c r="AD930" s="3436"/>
      <c r="AE930" s="3650"/>
    </row>
    <row r="931" spans="16:31" customFormat="1">
      <c r="P931" s="3436"/>
      <c r="Q931" s="3436"/>
      <c r="R931" s="3436"/>
      <c r="S931" s="3436"/>
      <c r="T931" s="3436"/>
      <c r="U931" s="3436"/>
      <c r="V931" s="3436"/>
      <c r="W931" s="3436"/>
      <c r="X931" s="3436"/>
      <c r="Y931" s="3436"/>
      <c r="Z931" s="3436"/>
      <c r="AA931" s="3436"/>
      <c r="AB931" s="3436"/>
      <c r="AC931" s="3436"/>
      <c r="AD931" s="3436"/>
      <c r="AE931" s="3650"/>
    </row>
    <row r="932" spans="16:31" customFormat="1">
      <c r="P932" s="3436"/>
      <c r="Q932" s="3436"/>
      <c r="R932" s="3436"/>
      <c r="S932" s="3436"/>
      <c r="T932" s="3436"/>
      <c r="U932" s="3436"/>
      <c r="V932" s="3436"/>
      <c r="W932" s="3436"/>
      <c r="X932" s="3436"/>
      <c r="Y932" s="3436"/>
      <c r="Z932" s="3436"/>
      <c r="AA932" s="3436"/>
      <c r="AB932" s="3436"/>
      <c r="AC932" s="3436"/>
      <c r="AD932" s="3436"/>
      <c r="AE932" s="3650"/>
    </row>
    <row r="933" spans="16:31" customFormat="1">
      <c r="P933" s="3436"/>
      <c r="Q933" s="3436"/>
      <c r="R933" s="3436"/>
      <c r="S933" s="3436"/>
      <c r="T933" s="3436"/>
      <c r="U933" s="3436"/>
      <c r="V933" s="3436"/>
      <c r="W933" s="3436"/>
      <c r="X933" s="3436"/>
      <c r="Y933" s="3436"/>
      <c r="Z933" s="3436"/>
      <c r="AA933" s="3436"/>
      <c r="AB933" s="3436"/>
      <c r="AC933" s="3436"/>
      <c r="AD933" s="3436"/>
      <c r="AE933" s="3650"/>
    </row>
    <row r="934" spans="16:31" customFormat="1">
      <c r="P934" s="3436"/>
      <c r="Q934" s="3436"/>
      <c r="R934" s="3436"/>
      <c r="S934" s="3436"/>
      <c r="T934" s="3436"/>
      <c r="U934" s="3436"/>
      <c r="V934" s="3436"/>
      <c r="W934" s="3436"/>
      <c r="X934" s="3436"/>
      <c r="Y934" s="3436"/>
      <c r="Z934" s="3436"/>
      <c r="AA934" s="3436"/>
      <c r="AB934" s="3436"/>
      <c r="AC934" s="3436"/>
      <c r="AD934" s="3436"/>
      <c r="AE934" s="3650"/>
    </row>
    <row r="935" spans="16:31" customFormat="1">
      <c r="P935" s="3436"/>
      <c r="Q935" s="3436"/>
      <c r="R935" s="3436"/>
      <c r="S935" s="3436"/>
      <c r="T935" s="3436"/>
      <c r="U935" s="3436"/>
      <c r="V935" s="3436"/>
      <c r="W935" s="3436"/>
      <c r="X935" s="3436"/>
      <c r="Y935" s="3436"/>
      <c r="Z935" s="3436"/>
      <c r="AA935" s="3436"/>
      <c r="AB935" s="3436"/>
      <c r="AC935" s="3436"/>
      <c r="AD935" s="3436"/>
      <c r="AE935" s="3650"/>
    </row>
    <row r="936" spans="16:31" customFormat="1">
      <c r="P936" s="3436"/>
      <c r="Q936" s="3436"/>
      <c r="R936" s="3436"/>
      <c r="S936" s="3436"/>
      <c r="T936" s="3436"/>
      <c r="U936" s="3436"/>
      <c r="V936" s="3436"/>
      <c r="W936" s="3436"/>
      <c r="X936" s="3436"/>
      <c r="Y936" s="3436"/>
      <c r="Z936" s="3436"/>
      <c r="AA936" s="3436"/>
      <c r="AB936" s="3436"/>
      <c r="AC936" s="3436"/>
      <c r="AD936" s="3436"/>
      <c r="AE936" s="3650"/>
    </row>
    <row r="937" spans="16:31" customFormat="1">
      <c r="P937" s="3436"/>
      <c r="Q937" s="3436"/>
      <c r="R937" s="3436"/>
      <c r="S937" s="3436"/>
      <c r="T937" s="3436"/>
      <c r="U937" s="3436"/>
      <c r="V937" s="3436"/>
      <c r="W937" s="3436"/>
      <c r="X937" s="3436"/>
      <c r="Y937" s="3436"/>
      <c r="Z937" s="3436"/>
      <c r="AA937" s="3436"/>
      <c r="AB937" s="3436"/>
      <c r="AC937" s="3436"/>
      <c r="AD937" s="3436"/>
      <c r="AE937" s="3650"/>
    </row>
    <row r="938" spans="16:31" customFormat="1">
      <c r="P938" s="3436"/>
      <c r="Q938" s="3436"/>
      <c r="R938" s="3436"/>
      <c r="S938" s="3436"/>
      <c r="T938" s="3436"/>
      <c r="U938" s="3436"/>
      <c r="V938" s="3436"/>
      <c r="W938" s="3436"/>
      <c r="X938" s="3436"/>
      <c r="Y938" s="3436"/>
      <c r="Z938" s="3436"/>
      <c r="AA938" s="3436"/>
      <c r="AB938" s="3436"/>
      <c r="AC938" s="3436"/>
      <c r="AD938" s="3436"/>
      <c r="AE938" s="3650"/>
    </row>
    <row r="939" spans="16:31" customFormat="1">
      <c r="P939" s="3436"/>
      <c r="Q939" s="3436"/>
      <c r="R939" s="3436"/>
      <c r="S939" s="3436"/>
      <c r="T939" s="3436"/>
      <c r="U939" s="3436"/>
      <c r="V939" s="3436"/>
      <c r="W939" s="3436"/>
      <c r="X939" s="3436"/>
      <c r="Y939" s="3436"/>
      <c r="Z939" s="3436"/>
      <c r="AA939" s="3436"/>
      <c r="AB939" s="3436"/>
      <c r="AC939" s="3436"/>
      <c r="AD939" s="3436"/>
      <c r="AE939" s="3650"/>
    </row>
    <row r="940" spans="16:31" customFormat="1">
      <c r="P940" s="3436"/>
      <c r="Q940" s="3436"/>
      <c r="R940" s="3436"/>
      <c r="S940" s="3436"/>
      <c r="T940" s="3436"/>
      <c r="U940" s="3436"/>
      <c r="V940" s="3436"/>
      <c r="W940" s="3436"/>
      <c r="X940" s="3436"/>
      <c r="Y940" s="3436"/>
      <c r="Z940" s="3436"/>
      <c r="AA940" s="3436"/>
      <c r="AB940" s="3436"/>
      <c r="AC940" s="3436"/>
      <c r="AD940" s="3436"/>
      <c r="AE940" s="3650"/>
    </row>
    <row r="941" spans="16:31" customFormat="1">
      <c r="P941" s="3436"/>
      <c r="Q941" s="3436"/>
      <c r="R941" s="3436"/>
      <c r="S941" s="3436"/>
      <c r="T941" s="3436"/>
      <c r="U941" s="3436"/>
      <c r="V941" s="3436"/>
      <c r="W941" s="3436"/>
      <c r="X941" s="3436"/>
      <c r="Y941" s="3436"/>
      <c r="Z941" s="3436"/>
      <c r="AA941" s="3436"/>
      <c r="AB941" s="3436"/>
      <c r="AC941" s="3436"/>
      <c r="AD941" s="3436"/>
      <c r="AE941" s="3650"/>
    </row>
    <row r="942" spans="16:31" customFormat="1">
      <c r="P942" s="3436"/>
      <c r="Q942" s="3436"/>
      <c r="R942" s="3436"/>
      <c r="S942" s="3436"/>
      <c r="T942" s="3436"/>
      <c r="U942" s="3436"/>
      <c r="V942" s="3436"/>
      <c r="W942" s="3436"/>
      <c r="X942" s="3436"/>
      <c r="Y942" s="3436"/>
      <c r="Z942" s="3436"/>
      <c r="AA942" s="3436"/>
      <c r="AB942" s="3436"/>
      <c r="AC942" s="3436"/>
      <c r="AD942" s="3436"/>
      <c r="AE942" s="3650"/>
    </row>
    <row r="943" spans="16:31" customFormat="1">
      <c r="P943" s="3436"/>
      <c r="Q943" s="3436"/>
      <c r="R943" s="3436"/>
      <c r="S943" s="3436"/>
      <c r="T943" s="3436"/>
      <c r="U943" s="3436"/>
      <c r="V943" s="3436"/>
      <c r="W943" s="3436"/>
      <c r="X943" s="3436"/>
      <c r="Y943" s="3436"/>
      <c r="Z943" s="3436"/>
      <c r="AA943" s="3436"/>
      <c r="AB943" s="3436"/>
      <c r="AC943" s="3436"/>
      <c r="AD943" s="3436"/>
      <c r="AE943" s="3650"/>
    </row>
    <row r="944" spans="16:31" customFormat="1">
      <c r="P944" s="3436"/>
      <c r="Q944" s="3436"/>
      <c r="R944" s="3436"/>
      <c r="S944" s="3436"/>
      <c r="T944" s="3436"/>
      <c r="U944" s="3436"/>
      <c r="V944" s="3436"/>
      <c r="W944" s="3436"/>
      <c r="X944" s="3436"/>
      <c r="Y944" s="3436"/>
      <c r="Z944" s="3436"/>
      <c r="AA944" s="3436"/>
      <c r="AB944" s="3436"/>
      <c r="AC944" s="3436"/>
      <c r="AD944" s="3436"/>
      <c r="AE944" s="3650"/>
    </row>
    <row r="945" spans="16:31" customFormat="1">
      <c r="P945" s="3436"/>
      <c r="Q945" s="3436"/>
      <c r="R945" s="3436"/>
      <c r="S945" s="3436"/>
      <c r="T945" s="3436"/>
      <c r="U945" s="3436"/>
      <c r="V945" s="3436"/>
      <c r="W945" s="3436"/>
      <c r="X945" s="3436"/>
      <c r="Y945" s="3436"/>
      <c r="Z945" s="3436"/>
      <c r="AA945" s="3436"/>
      <c r="AB945" s="3436"/>
      <c r="AC945" s="3436"/>
      <c r="AD945" s="3436"/>
      <c r="AE945" s="3650"/>
    </row>
    <row r="946" spans="16:31" customFormat="1">
      <c r="P946" s="3436"/>
      <c r="Q946" s="3436"/>
      <c r="R946" s="3436"/>
      <c r="S946" s="3436"/>
      <c r="T946" s="3436"/>
      <c r="U946" s="3436"/>
      <c r="V946" s="3436"/>
      <c r="W946" s="3436"/>
      <c r="X946" s="3436"/>
      <c r="Y946" s="3436"/>
      <c r="Z946" s="3436"/>
      <c r="AA946" s="3436"/>
      <c r="AB946" s="3436"/>
      <c r="AC946" s="3436"/>
      <c r="AD946" s="3436"/>
      <c r="AE946" s="3650"/>
    </row>
    <row r="947" spans="16:31" customFormat="1">
      <c r="P947" s="3436"/>
      <c r="Q947" s="3436"/>
      <c r="R947" s="3436"/>
      <c r="S947" s="3436"/>
      <c r="T947" s="3436"/>
      <c r="U947" s="3436"/>
      <c r="V947" s="3436"/>
      <c r="W947" s="3436"/>
      <c r="X947" s="3436"/>
      <c r="Y947" s="3436"/>
      <c r="Z947" s="3436"/>
      <c r="AA947" s="3436"/>
      <c r="AB947" s="3436"/>
      <c r="AC947" s="3436"/>
      <c r="AD947" s="3436"/>
      <c r="AE947" s="3650"/>
    </row>
    <row r="948" spans="16:31" customFormat="1">
      <c r="P948" s="3436"/>
      <c r="Q948" s="3436"/>
      <c r="R948" s="3436"/>
      <c r="S948" s="3436"/>
      <c r="T948" s="3436"/>
      <c r="U948" s="3436"/>
      <c r="V948" s="3436"/>
      <c r="W948" s="3436"/>
      <c r="X948" s="3436"/>
      <c r="Y948" s="3436"/>
      <c r="Z948" s="3436"/>
      <c r="AA948" s="3436"/>
      <c r="AB948" s="3436"/>
      <c r="AC948" s="3436"/>
      <c r="AD948" s="3436"/>
      <c r="AE948" s="3650"/>
    </row>
    <row r="949" spans="16:31" customFormat="1">
      <c r="P949" s="3436"/>
      <c r="Q949" s="3436"/>
      <c r="R949" s="3436"/>
      <c r="S949" s="3436"/>
      <c r="T949" s="3436"/>
      <c r="U949" s="3436"/>
      <c r="V949" s="3436"/>
      <c r="W949" s="3436"/>
      <c r="X949" s="3436"/>
      <c r="Y949" s="3436"/>
      <c r="Z949" s="3436"/>
      <c r="AA949" s="3436"/>
      <c r="AB949" s="3436"/>
      <c r="AC949" s="3436"/>
      <c r="AD949" s="3436"/>
      <c r="AE949" s="3650"/>
    </row>
    <row r="950" spans="16:31" customFormat="1">
      <c r="P950" s="3436"/>
      <c r="Q950" s="3436"/>
      <c r="R950" s="3436"/>
      <c r="S950" s="3436"/>
      <c r="T950" s="3436"/>
      <c r="U950" s="3436"/>
      <c r="V950" s="3436"/>
      <c r="W950" s="3436"/>
      <c r="X950" s="3436"/>
      <c r="Y950" s="3436"/>
      <c r="Z950" s="3436"/>
      <c r="AA950" s="3436"/>
      <c r="AB950" s="3436"/>
      <c r="AC950" s="3436"/>
      <c r="AD950" s="3436"/>
      <c r="AE950" s="3650"/>
    </row>
    <row r="951" spans="16:31" customFormat="1">
      <c r="P951" s="3436"/>
      <c r="Q951" s="3436"/>
      <c r="R951" s="3436"/>
      <c r="S951" s="3436"/>
      <c r="T951" s="3436"/>
      <c r="U951" s="3436"/>
      <c r="V951" s="3436"/>
      <c r="W951" s="3436"/>
      <c r="X951" s="3436"/>
      <c r="Y951" s="3436"/>
      <c r="Z951" s="3436"/>
      <c r="AA951" s="3436"/>
      <c r="AB951" s="3436"/>
      <c r="AC951" s="3436"/>
      <c r="AD951" s="3436"/>
      <c r="AE951" s="3650"/>
    </row>
    <row r="952" spans="16:31" customFormat="1">
      <c r="P952" s="3436"/>
      <c r="Q952" s="3436"/>
      <c r="R952" s="3436"/>
      <c r="S952" s="3436"/>
      <c r="T952" s="3436"/>
      <c r="U952" s="3436"/>
      <c r="V952" s="3436"/>
      <c r="W952" s="3436"/>
      <c r="X952" s="3436"/>
      <c r="Y952" s="3436"/>
      <c r="Z952" s="3436"/>
      <c r="AA952" s="3436"/>
      <c r="AB952" s="3436"/>
      <c r="AC952" s="3436"/>
      <c r="AD952" s="3436"/>
      <c r="AE952" s="3650"/>
    </row>
    <row r="953" spans="16:31" customFormat="1">
      <c r="P953" s="3436"/>
      <c r="Q953" s="3436"/>
      <c r="R953" s="3436"/>
      <c r="S953" s="3436"/>
      <c r="T953" s="3436"/>
      <c r="U953" s="3436"/>
      <c r="V953" s="3436"/>
      <c r="W953" s="3436"/>
      <c r="X953" s="3436"/>
      <c r="Y953" s="3436"/>
      <c r="Z953" s="3436"/>
      <c r="AA953" s="3436"/>
      <c r="AB953" s="3436"/>
      <c r="AC953" s="3436"/>
      <c r="AD953" s="3436"/>
      <c r="AE953" s="3650"/>
    </row>
    <row r="954" spans="16:31" customFormat="1">
      <c r="P954" s="3436"/>
      <c r="Q954" s="3436"/>
      <c r="R954" s="3436"/>
      <c r="S954" s="3436"/>
      <c r="T954" s="3436"/>
      <c r="U954" s="3436"/>
      <c r="V954" s="3436"/>
      <c r="W954" s="3436"/>
      <c r="X954" s="3436"/>
      <c r="Y954" s="3436"/>
      <c r="Z954" s="3436"/>
      <c r="AA954" s="3436"/>
      <c r="AB954" s="3436"/>
      <c r="AC954" s="3436"/>
      <c r="AD954" s="3436"/>
      <c r="AE954" s="3650"/>
    </row>
    <row r="955" spans="16:31" customFormat="1">
      <c r="P955" s="3436"/>
      <c r="Q955" s="3436"/>
      <c r="R955" s="3436"/>
      <c r="S955" s="3436"/>
      <c r="T955" s="3436"/>
      <c r="U955" s="3436"/>
      <c r="V955" s="3436"/>
      <c r="W955" s="3436"/>
      <c r="X955" s="3436"/>
      <c r="Y955" s="3436"/>
      <c r="Z955" s="3436"/>
      <c r="AA955" s="3436"/>
      <c r="AB955" s="3436"/>
      <c r="AC955" s="3436"/>
      <c r="AD955" s="3436"/>
      <c r="AE955" s="3650"/>
    </row>
    <row r="956" spans="16:31" customFormat="1">
      <c r="P956" s="3436"/>
      <c r="Q956" s="3436"/>
      <c r="R956" s="3436"/>
      <c r="S956" s="3436"/>
      <c r="T956" s="3436"/>
      <c r="U956" s="3436"/>
      <c r="V956" s="3436"/>
      <c r="W956" s="3436"/>
      <c r="X956" s="3436"/>
      <c r="Y956" s="3436"/>
      <c r="Z956" s="3436"/>
      <c r="AA956" s="3436"/>
      <c r="AB956" s="3436"/>
      <c r="AC956" s="3436"/>
      <c r="AD956" s="3436"/>
      <c r="AE956" s="3650"/>
    </row>
    <row r="957" spans="16:31" customFormat="1">
      <c r="P957" s="3436"/>
      <c r="Q957" s="3436"/>
      <c r="R957" s="3436"/>
      <c r="S957" s="3436"/>
      <c r="T957" s="3436"/>
      <c r="U957" s="3436"/>
      <c r="V957" s="3436"/>
      <c r="W957" s="3436"/>
      <c r="X957" s="3436"/>
      <c r="Y957" s="3436"/>
      <c r="Z957" s="3436"/>
      <c r="AA957" s="3436"/>
      <c r="AB957" s="3436"/>
      <c r="AC957" s="3436"/>
      <c r="AD957" s="3436"/>
      <c r="AE957" s="3650"/>
    </row>
    <row r="958" spans="16:31" customFormat="1">
      <c r="P958" s="3436"/>
      <c r="Q958" s="3436"/>
      <c r="R958" s="3436"/>
      <c r="S958" s="3436"/>
      <c r="T958" s="3436"/>
      <c r="U958" s="3436"/>
      <c r="V958" s="3436"/>
      <c r="W958" s="3436"/>
      <c r="X958" s="3436"/>
      <c r="Y958" s="3436"/>
      <c r="Z958" s="3436"/>
      <c r="AA958" s="3436"/>
      <c r="AB958" s="3436"/>
      <c r="AC958" s="3436"/>
      <c r="AD958" s="3436"/>
      <c r="AE958" s="3650"/>
    </row>
    <row r="959" spans="16:31" customFormat="1">
      <c r="P959" s="3436"/>
      <c r="Q959" s="3436"/>
      <c r="R959" s="3436"/>
      <c r="S959" s="3436"/>
      <c r="T959" s="3436"/>
      <c r="U959" s="3436"/>
      <c r="V959" s="3436"/>
      <c r="W959" s="3436"/>
      <c r="X959" s="3436"/>
      <c r="Y959" s="3436"/>
      <c r="Z959" s="3436"/>
      <c r="AA959" s="3436"/>
      <c r="AB959" s="3436"/>
      <c r="AC959" s="3436"/>
      <c r="AD959" s="3436"/>
      <c r="AE959" s="3650"/>
    </row>
    <row r="960" spans="16:31" customFormat="1">
      <c r="P960" s="3436"/>
      <c r="Q960" s="3436"/>
      <c r="R960" s="3436"/>
      <c r="S960" s="3436"/>
      <c r="T960" s="3436"/>
      <c r="U960" s="3436"/>
      <c r="V960" s="3436"/>
      <c r="W960" s="3436"/>
      <c r="X960" s="3436"/>
      <c r="Y960" s="3436"/>
      <c r="Z960" s="3436"/>
      <c r="AA960" s="3436"/>
      <c r="AB960" s="3436"/>
      <c r="AC960" s="3436"/>
      <c r="AD960" s="3436"/>
      <c r="AE960" s="3650"/>
    </row>
    <row r="961" spans="16:31" customFormat="1">
      <c r="P961" s="3436"/>
      <c r="Q961" s="3436"/>
      <c r="R961" s="3436"/>
      <c r="S961" s="3436"/>
      <c r="T961" s="3436"/>
      <c r="U961" s="3436"/>
      <c r="V961" s="3436"/>
      <c r="W961" s="3436"/>
      <c r="X961" s="3436"/>
      <c r="Y961" s="3436"/>
      <c r="Z961" s="3436"/>
      <c r="AA961" s="3436"/>
      <c r="AB961" s="3436"/>
      <c r="AC961" s="3436"/>
      <c r="AD961" s="3436"/>
      <c r="AE961" s="3650"/>
    </row>
    <row r="962" spans="16:31" customFormat="1">
      <c r="P962" s="3436"/>
      <c r="Q962" s="3436"/>
      <c r="R962" s="3436"/>
      <c r="S962" s="3436"/>
      <c r="T962" s="3436"/>
      <c r="U962" s="3436"/>
      <c r="V962" s="3436"/>
      <c r="W962" s="3436"/>
      <c r="X962" s="3436"/>
      <c r="Y962" s="3436"/>
      <c r="Z962" s="3436"/>
      <c r="AA962" s="3436"/>
      <c r="AB962" s="3436"/>
      <c r="AC962" s="3436"/>
      <c r="AD962" s="3436"/>
      <c r="AE962" s="3650"/>
    </row>
    <row r="963" spans="16:31" customFormat="1">
      <c r="P963" s="3436"/>
      <c r="Q963" s="3436"/>
      <c r="R963" s="3436"/>
      <c r="S963" s="3436"/>
      <c r="T963" s="3436"/>
      <c r="U963" s="3436"/>
      <c r="V963" s="3436"/>
      <c r="W963" s="3436"/>
      <c r="X963" s="3436"/>
      <c r="Y963" s="3436"/>
      <c r="Z963" s="3436"/>
      <c r="AA963" s="3436"/>
      <c r="AB963" s="3436"/>
      <c r="AC963" s="3436"/>
      <c r="AD963" s="3436"/>
      <c r="AE963" s="3650"/>
    </row>
    <row r="964" spans="16:31" customFormat="1">
      <c r="P964" s="3436"/>
      <c r="Q964" s="3436"/>
      <c r="R964" s="3436"/>
      <c r="S964" s="3436"/>
      <c r="T964" s="3436"/>
      <c r="U964" s="3436"/>
      <c r="V964" s="3436"/>
      <c r="W964" s="3436"/>
      <c r="X964" s="3436"/>
      <c r="Y964" s="3436"/>
      <c r="Z964" s="3436"/>
      <c r="AA964" s="3436"/>
      <c r="AB964" s="3436"/>
      <c r="AC964" s="3436"/>
      <c r="AD964" s="3436"/>
      <c r="AE964" s="3650"/>
    </row>
    <row r="965" spans="16:31" customFormat="1">
      <c r="P965" s="3436"/>
      <c r="Q965" s="3436"/>
      <c r="R965" s="3436"/>
      <c r="S965" s="3436"/>
      <c r="T965" s="3436"/>
      <c r="U965" s="3436"/>
      <c r="V965" s="3436"/>
      <c r="W965" s="3436"/>
      <c r="X965" s="3436"/>
      <c r="Y965" s="3436"/>
      <c r="Z965" s="3436"/>
      <c r="AA965" s="3436"/>
      <c r="AB965" s="3436"/>
      <c r="AC965" s="3436"/>
      <c r="AD965" s="3436"/>
      <c r="AE965" s="3650"/>
    </row>
    <row r="966" spans="16:31" customFormat="1">
      <c r="P966" s="3436"/>
      <c r="Q966" s="3436"/>
      <c r="R966" s="3436"/>
      <c r="S966" s="3436"/>
      <c r="T966" s="3436"/>
      <c r="U966" s="3436"/>
      <c r="V966" s="3436"/>
      <c r="W966" s="3436"/>
      <c r="X966" s="3436"/>
      <c r="Y966" s="3436"/>
      <c r="Z966" s="3436"/>
      <c r="AA966" s="3436"/>
      <c r="AB966" s="3436"/>
      <c r="AC966" s="3436"/>
      <c r="AD966" s="3436"/>
      <c r="AE966" s="3650"/>
    </row>
    <row r="967" spans="16:31" customFormat="1">
      <c r="P967" s="3436"/>
      <c r="Q967" s="3436"/>
      <c r="R967" s="3436"/>
      <c r="S967" s="3436"/>
      <c r="T967" s="3436"/>
      <c r="U967" s="3436"/>
      <c r="V967" s="3436"/>
      <c r="W967" s="3436"/>
      <c r="X967" s="3436"/>
      <c r="Y967" s="3436"/>
      <c r="Z967" s="3436"/>
      <c r="AA967" s="3436"/>
      <c r="AB967" s="3436"/>
      <c r="AC967" s="3436"/>
      <c r="AD967" s="3436"/>
      <c r="AE967" s="3650"/>
    </row>
    <row r="968" spans="16:31" customFormat="1">
      <c r="P968" s="3436"/>
      <c r="Q968" s="3436"/>
      <c r="R968" s="3436"/>
      <c r="S968" s="3436"/>
      <c r="T968" s="3436"/>
      <c r="U968" s="3436"/>
      <c r="V968" s="3436"/>
      <c r="W968" s="3436"/>
      <c r="X968" s="3436"/>
      <c r="Y968" s="3436"/>
      <c r="Z968" s="3436"/>
      <c r="AA968" s="3436"/>
      <c r="AB968" s="3436"/>
      <c r="AC968" s="3436"/>
      <c r="AD968" s="3436"/>
      <c r="AE968" s="3650"/>
    </row>
    <row r="969" spans="16:31" customFormat="1">
      <c r="P969" s="3436"/>
      <c r="Q969" s="3436"/>
      <c r="R969" s="3436"/>
      <c r="S969" s="3436"/>
      <c r="T969" s="3436"/>
      <c r="U969" s="3436"/>
      <c r="V969" s="3436"/>
      <c r="W969" s="3436"/>
      <c r="X969" s="3436"/>
      <c r="Y969" s="3436"/>
      <c r="Z969" s="3436"/>
      <c r="AA969" s="3436"/>
      <c r="AB969" s="3436"/>
      <c r="AC969" s="3436"/>
      <c r="AD969" s="3436"/>
      <c r="AE969" s="3650"/>
    </row>
    <row r="970" spans="16:31" customFormat="1">
      <c r="P970" s="3436"/>
      <c r="Q970" s="3436"/>
      <c r="R970" s="3436"/>
      <c r="S970" s="3436"/>
      <c r="T970" s="3436"/>
      <c r="U970" s="3436"/>
      <c r="V970" s="3436"/>
      <c r="W970" s="3436"/>
      <c r="X970" s="3436"/>
      <c r="Y970" s="3436"/>
      <c r="Z970" s="3436"/>
      <c r="AA970" s="3436"/>
      <c r="AB970" s="3436"/>
      <c r="AC970" s="3436"/>
      <c r="AD970" s="3436"/>
      <c r="AE970" s="3650"/>
    </row>
    <row r="971" spans="16:31" customFormat="1">
      <c r="P971" s="3436"/>
      <c r="Q971" s="3436"/>
      <c r="R971" s="3436"/>
      <c r="S971" s="3436"/>
      <c r="T971" s="3436"/>
      <c r="U971" s="3436"/>
      <c r="V971" s="3436"/>
      <c r="W971" s="3436"/>
      <c r="X971" s="3436"/>
      <c r="Y971" s="3436"/>
      <c r="Z971" s="3436"/>
      <c r="AA971" s="3436"/>
      <c r="AB971" s="3436"/>
      <c r="AC971" s="3436"/>
      <c r="AD971" s="3436"/>
      <c r="AE971" s="3650"/>
    </row>
    <row r="972" spans="16:31" customFormat="1">
      <c r="P972" s="3436"/>
      <c r="Q972" s="3436"/>
      <c r="R972" s="3436"/>
      <c r="S972" s="3436"/>
      <c r="T972" s="3436"/>
      <c r="U972" s="3436"/>
      <c r="V972" s="3436"/>
      <c r="W972" s="3436"/>
      <c r="X972" s="3436"/>
      <c r="Y972" s="3436"/>
      <c r="Z972" s="3436"/>
      <c r="AA972" s="3436"/>
      <c r="AB972" s="3436"/>
      <c r="AC972" s="3436"/>
      <c r="AD972" s="3436"/>
      <c r="AE972" s="3650"/>
    </row>
    <row r="973" spans="16:31" customFormat="1">
      <c r="P973" s="3436"/>
      <c r="Q973" s="3436"/>
      <c r="R973" s="3436"/>
      <c r="S973" s="3436"/>
      <c r="T973" s="3436"/>
      <c r="U973" s="3436"/>
      <c r="V973" s="3436"/>
      <c r="W973" s="3436"/>
      <c r="X973" s="3436"/>
      <c r="Y973" s="3436"/>
      <c r="Z973" s="3436"/>
      <c r="AA973" s="3436"/>
      <c r="AB973" s="3436"/>
      <c r="AC973" s="3436"/>
      <c r="AD973" s="3436"/>
      <c r="AE973" s="3650"/>
    </row>
    <row r="974" spans="16:31" customFormat="1">
      <c r="P974" s="3436"/>
      <c r="Q974" s="3436"/>
      <c r="R974" s="3436"/>
      <c r="S974" s="3436"/>
      <c r="T974" s="3436"/>
      <c r="U974" s="3436"/>
      <c r="V974" s="3436"/>
      <c r="W974" s="3436"/>
      <c r="X974" s="3436"/>
      <c r="Y974" s="3436"/>
      <c r="Z974" s="3436"/>
      <c r="AA974" s="3436"/>
      <c r="AB974" s="3436"/>
      <c r="AC974" s="3436"/>
      <c r="AD974" s="3436"/>
      <c r="AE974" s="3650"/>
    </row>
    <row r="975" spans="16:31" customFormat="1">
      <c r="P975" s="3436"/>
      <c r="Q975" s="3436"/>
      <c r="R975" s="3436"/>
      <c r="S975" s="3436"/>
      <c r="T975" s="3436"/>
      <c r="U975" s="3436"/>
      <c r="V975" s="3436"/>
      <c r="W975" s="3436"/>
      <c r="X975" s="3436"/>
      <c r="Y975" s="3436"/>
      <c r="Z975" s="3436"/>
      <c r="AA975" s="3436"/>
      <c r="AB975" s="3436"/>
      <c r="AC975" s="3436"/>
      <c r="AD975" s="3436"/>
      <c r="AE975" s="3650"/>
    </row>
    <row r="976" spans="16:31" customFormat="1">
      <c r="P976" s="3436"/>
      <c r="Q976" s="3436"/>
      <c r="R976" s="3436"/>
      <c r="S976" s="3436"/>
      <c r="T976" s="3436"/>
      <c r="U976" s="3436"/>
      <c r="V976" s="3436"/>
      <c r="W976" s="3436"/>
      <c r="X976" s="3436"/>
      <c r="Y976" s="3436"/>
      <c r="Z976" s="3436"/>
      <c r="AA976" s="3436"/>
      <c r="AB976" s="3436"/>
      <c r="AC976" s="3436"/>
      <c r="AD976" s="3436"/>
      <c r="AE976" s="3650"/>
    </row>
    <row r="977" spans="16:31" customFormat="1">
      <c r="P977" s="3436"/>
      <c r="Q977" s="3436"/>
      <c r="R977" s="3436"/>
      <c r="S977" s="3436"/>
      <c r="T977" s="3436"/>
      <c r="U977" s="3436"/>
      <c r="V977" s="3436"/>
      <c r="W977" s="3436"/>
      <c r="X977" s="3436"/>
      <c r="Y977" s="3436"/>
      <c r="Z977" s="3436"/>
      <c r="AA977" s="3436"/>
      <c r="AB977" s="3436"/>
      <c r="AC977" s="3436"/>
      <c r="AD977" s="3436"/>
      <c r="AE977" s="3650"/>
    </row>
    <row r="978" spans="16:31" customFormat="1">
      <c r="P978" s="3436"/>
      <c r="Q978" s="3436"/>
      <c r="R978" s="3436"/>
      <c r="S978" s="3436"/>
      <c r="T978" s="3436"/>
      <c r="U978" s="3436"/>
      <c r="V978" s="3436"/>
      <c r="W978" s="3436"/>
      <c r="X978" s="3436"/>
      <c r="Y978" s="3436"/>
      <c r="Z978" s="3436"/>
      <c r="AA978" s="3436"/>
      <c r="AB978" s="3436"/>
      <c r="AC978" s="3436"/>
      <c r="AD978" s="3436"/>
      <c r="AE978" s="3650"/>
    </row>
    <row r="979" spans="16:31" customFormat="1">
      <c r="P979" s="3436"/>
      <c r="Q979" s="3436"/>
      <c r="R979" s="3436"/>
      <c r="S979" s="3436"/>
      <c r="T979" s="3436"/>
      <c r="U979" s="3436"/>
      <c r="V979" s="3436"/>
      <c r="W979" s="3436"/>
      <c r="X979" s="3436"/>
      <c r="Y979" s="3436"/>
      <c r="Z979" s="3436"/>
      <c r="AA979" s="3436"/>
      <c r="AB979" s="3436"/>
      <c r="AC979" s="3436"/>
      <c r="AD979" s="3436"/>
      <c r="AE979" s="3650"/>
    </row>
    <row r="980" spans="16:31" customFormat="1">
      <c r="P980" s="3436"/>
      <c r="Q980" s="3436"/>
      <c r="R980" s="3436"/>
      <c r="S980" s="3436"/>
      <c r="T980" s="3436"/>
      <c r="U980" s="3436"/>
      <c r="V980" s="3436"/>
      <c r="W980" s="3436"/>
      <c r="X980" s="3436"/>
      <c r="Y980" s="3436"/>
      <c r="Z980" s="3436"/>
      <c r="AA980" s="3436"/>
      <c r="AB980" s="3436"/>
      <c r="AC980" s="3436"/>
      <c r="AD980" s="3436"/>
      <c r="AE980" s="3650"/>
    </row>
    <row r="981" spans="16:31" customFormat="1">
      <c r="P981" s="3436"/>
      <c r="Q981" s="3436"/>
      <c r="R981" s="3436"/>
      <c r="S981" s="3436"/>
      <c r="T981" s="3436"/>
      <c r="U981" s="3436"/>
      <c r="V981" s="3436"/>
      <c r="W981" s="3436"/>
      <c r="X981" s="3436"/>
      <c r="Y981" s="3436"/>
      <c r="Z981" s="3436"/>
      <c r="AA981" s="3436"/>
      <c r="AB981" s="3436"/>
      <c r="AC981" s="3436"/>
      <c r="AD981" s="3436"/>
      <c r="AE981" s="3650"/>
    </row>
    <row r="982" spans="16:31" customFormat="1">
      <c r="P982" s="3436"/>
      <c r="Q982" s="3436"/>
      <c r="R982" s="3436"/>
      <c r="S982" s="3436"/>
      <c r="T982" s="3436"/>
      <c r="U982" s="3436"/>
      <c r="V982" s="3436"/>
      <c r="W982" s="3436"/>
      <c r="X982" s="3436"/>
      <c r="Y982" s="3436"/>
      <c r="Z982" s="3436"/>
      <c r="AA982" s="3436"/>
      <c r="AB982" s="3436"/>
      <c r="AC982" s="3436"/>
      <c r="AD982" s="3436"/>
      <c r="AE982" s="3650"/>
    </row>
    <row r="983" spans="16:31" customFormat="1">
      <c r="P983" s="3436"/>
      <c r="Q983" s="3436"/>
      <c r="R983" s="3436"/>
      <c r="S983" s="3436"/>
      <c r="T983" s="3436"/>
      <c r="U983" s="3436"/>
      <c r="V983" s="3436"/>
      <c r="W983" s="3436"/>
      <c r="X983" s="3436"/>
      <c r="Y983" s="3436"/>
      <c r="Z983" s="3436"/>
      <c r="AA983" s="3436"/>
      <c r="AB983" s="3436"/>
      <c r="AC983" s="3436"/>
      <c r="AD983" s="3436"/>
      <c r="AE983" s="3650"/>
    </row>
    <row r="984" spans="16:31" customFormat="1">
      <c r="P984" s="3436"/>
      <c r="Q984" s="3436"/>
      <c r="R984" s="3436"/>
      <c r="S984" s="3436"/>
      <c r="T984" s="3436"/>
      <c r="U984" s="3436"/>
      <c r="V984" s="3436"/>
      <c r="W984" s="3436"/>
      <c r="X984" s="3436"/>
      <c r="Y984" s="3436"/>
      <c r="Z984" s="3436"/>
      <c r="AA984" s="3436"/>
      <c r="AB984" s="3436"/>
      <c r="AC984" s="3436"/>
      <c r="AD984" s="3436"/>
      <c r="AE984" s="3650"/>
    </row>
    <row r="985" spans="16:31" customFormat="1">
      <c r="P985" s="3436"/>
      <c r="Q985" s="3436"/>
      <c r="R985" s="3436"/>
      <c r="S985" s="3436"/>
      <c r="T985" s="3436"/>
      <c r="U985" s="3436"/>
      <c r="V985" s="3436"/>
      <c r="W985" s="3436"/>
      <c r="X985" s="3436"/>
      <c r="Y985" s="3436"/>
      <c r="Z985" s="3436"/>
      <c r="AA985" s="3436"/>
      <c r="AB985" s="3436"/>
      <c r="AC985" s="3436"/>
      <c r="AD985" s="3436"/>
      <c r="AE985" s="3650"/>
    </row>
    <row r="986" spans="16:31" customFormat="1">
      <c r="P986" s="3436"/>
      <c r="Q986" s="3436"/>
      <c r="R986" s="3436"/>
      <c r="S986" s="3436"/>
      <c r="T986" s="3436"/>
      <c r="U986" s="3436"/>
      <c r="V986" s="3436"/>
      <c r="W986" s="3436"/>
      <c r="X986" s="3436"/>
      <c r="Y986" s="3436"/>
      <c r="Z986" s="3436"/>
      <c r="AA986" s="3436"/>
      <c r="AB986" s="3436"/>
      <c r="AC986" s="3436"/>
      <c r="AD986" s="3436"/>
      <c r="AE986" s="3650"/>
    </row>
    <row r="987" spans="16:31" customFormat="1">
      <c r="P987" s="3436"/>
      <c r="Q987" s="3436"/>
      <c r="R987" s="3436"/>
      <c r="S987" s="3436"/>
      <c r="T987" s="3436"/>
      <c r="U987" s="3436"/>
      <c r="V987" s="3436"/>
      <c r="W987" s="3436"/>
      <c r="X987" s="3436"/>
      <c r="Y987" s="3436"/>
      <c r="Z987" s="3436"/>
      <c r="AA987" s="3436"/>
      <c r="AB987" s="3436"/>
      <c r="AC987" s="3436"/>
      <c r="AD987" s="3436"/>
      <c r="AE987" s="3650"/>
    </row>
    <row r="988" spans="16:31" customFormat="1">
      <c r="P988" s="3436"/>
      <c r="Q988" s="3436"/>
      <c r="R988" s="3436"/>
      <c r="S988" s="3436"/>
      <c r="T988" s="3436"/>
      <c r="U988" s="3436"/>
      <c r="V988" s="3436"/>
      <c r="W988" s="3436"/>
      <c r="X988" s="3436"/>
      <c r="Y988" s="3436"/>
      <c r="Z988" s="3436"/>
      <c r="AA988" s="3436"/>
      <c r="AB988" s="3436"/>
      <c r="AC988" s="3436"/>
      <c r="AD988" s="3436"/>
      <c r="AE988" s="3650"/>
    </row>
    <row r="989" spans="16:31" customFormat="1">
      <c r="P989" s="3436"/>
      <c r="Q989" s="3436"/>
      <c r="R989" s="3436"/>
      <c r="S989" s="3436"/>
      <c r="T989" s="3436"/>
      <c r="U989" s="3436"/>
      <c r="V989" s="3436"/>
      <c r="W989" s="3436"/>
      <c r="X989" s="3436"/>
      <c r="Y989" s="3436"/>
      <c r="Z989" s="3436"/>
      <c r="AA989" s="3436"/>
      <c r="AB989" s="3436"/>
      <c r="AC989" s="3436"/>
      <c r="AD989" s="3436"/>
      <c r="AE989" s="3650"/>
    </row>
    <row r="990" spans="16:31" customFormat="1">
      <c r="P990" s="3436"/>
      <c r="Q990" s="3436"/>
      <c r="R990" s="3436"/>
      <c r="S990" s="3436"/>
      <c r="T990" s="3436"/>
      <c r="U990" s="3436"/>
      <c r="V990" s="3436"/>
      <c r="W990" s="3436"/>
      <c r="X990" s="3436"/>
      <c r="Y990" s="3436"/>
      <c r="Z990" s="3436"/>
      <c r="AA990" s="3436"/>
      <c r="AB990" s="3436"/>
      <c r="AC990" s="3436"/>
      <c r="AD990" s="3436"/>
      <c r="AE990" s="3650"/>
    </row>
    <row r="991" spans="16:31" customFormat="1">
      <c r="P991" s="3436"/>
      <c r="Q991" s="3436"/>
      <c r="R991" s="3436"/>
      <c r="S991" s="3436"/>
      <c r="T991" s="3436"/>
      <c r="U991" s="3436"/>
      <c r="V991" s="3436"/>
      <c r="W991" s="3436"/>
      <c r="X991" s="3436"/>
      <c r="Y991" s="3436"/>
      <c r="Z991" s="3436"/>
      <c r="AA991" s="3436"/>
      <c r="AB991" s="3436"/>
      <c r="AC991" s="3436"/>
      <c r="AD991" s="3436"/>
      <c r="AE991" s="3650"/>
    </row>
    <row r="992" spans="16:31" customFormat="1">
      <c r="P992" s="3436"/>
      <c r="Q992" s="3436"/>
      <c r="R992" s="3436"/>
      <c r="S992" s="3436"/>
      <c r="T992" s="3436"/>
      <c r="U992" s="3436"/>
      <c r="V992" s="3436"/>
      <c r="W992" s="3436"/>
      <c r="X992" s="3436"/>
      <c r="Y992" s="3436"/>
      <c r="Z992" s="3436"/>
      <c r="AA992" s="3436"/>
      <c r="AB992" s="3436"/>
      <c r="AC992" s="3436"/>
      <c r="AD992" s="3436"/>
      <c r="AE992" s="3650"/>
    </row>
    <row r="993" spans="16:31" customFormat="1">
      <c r="P993" s="3436"/>
      <c r="Q993" s="3436"/>
      <c r="R993" s="3436"/>
      <c r="S993" s="3436"/>
      <c r="T993" s="3436"/>
      <c r="U993" s="3436"/>
      <c r="V993" s="3436"/>
      <c r="W993" s="3436"/>
      <c r="X993" s="3436"/>
      <c r="Y993" s="3436"/>
      <c r="Z993" s="3436"/>
      <c r="AA993" s="3436"/>
      <c r="AB993" s="3436"/>
      <c r="AC993" s="3436"/>
      <c r="AD993" s="3436"/>
      <c r="AE993" s="3650"/>
    </row>
    <row r="994" spans="16:31" customFormat="1">
      <c r="P994" s="3436"/>
      <c r="Q994" s="3436"/>
      <c r="R994" s="3436"/>
      <c r="S994" s="3436"/>
      <c r="T994" s="3436"/>
      <c r="U994" s="3436"/>
      <c r="V994" s="3436"/>
      <c r="W994" s="3436"/>
      <c r="X994" s="3436"/>
      <c r="Y994" s="3436"/>
      <c r="Z994" s="3436"/>
      <c r="AA994" s="3436"/>
      <c r="AB994" s="3436"/>
      <c r="AC994" s="3436"/>
      <c r="AD994" s="3436"/>
      <c r="AE994" s="3650"/>
    </row>
    <row r="995" spans="16:31" customFormat="1">
      <c r="P995" s="3436"/>
      <c r="Q995" s="3436"/>
      <c r="R995" s="3436"/>
      <c r="S995" s="3436"/>
      <c r="T995" s="3436"/>
      <c r="U995" s="3436"/>
      <c r="V995" s="3436"/>
      <c r="W995" s="3436"/>
      <c r="X995" s="3436"/>
      <c r="Y995" s="3436"/>
      <c r="Z995" s="3436"/>
      <c r="AA995" s="3436"/>
      <c r="AB995" s="3436"/>
      <c r="AC995" s="3436"/>
      <c r="AD995" s="3436"/>
      <c r="AE995" s="3650"/>
    </row>
    <row r="996" spans="16:31" customFormat="1">
      <c r="P996" s="3436"/>
      <c r="Q996" s="3436"/>
      <c r="R996" s="3436"/>
      <c r="S996" s="3436"/>
      <c r="T996" s="3436"/>
      <c r="U996" s="3436"/>
      <c r="V996" s="3436"/>
      <c r="W996" s="3436"/>
      <c r="X996" s="3436"/>
      <c r="Y996" s="3436"/>
      <c r="Z996" s="3436"/>
      <c r="AA996" s="3436"/>
      <c r="AB996" s="3436"/>
      <c r="AC996" s="3436"/>
      <c r="AD996" s="3436"/>
      <c r="AE996" s="3650"/>
    </row>
    <row r="997" spans="16:31" customFormat="1">
      <c r="P997" s="3436"/>
      <c r="Q997" s="3436"/>
      <c r="R997" s="3436"/>
      <c r="S997" s="3436"/>
      <c r="T997" s="3436"/>
      <c r="U997" s="3436"/>
      <c r="V997" s="3436"/>
      <c r="W997" s="3436"/>
      <c r="X997" s="3436"/>
      <c r="Y997" s="3436"/>
      <c r="Z997" s="3436"/>
      <c r="AA997" s="3436"/>
      <c r="AB997" s="3436"/>
      <c r="AC997" s="3436"/>
      <c r="AD997" s="3436"/>
      <c r="AE997" s="3650"/>
    </row>
    <row r="998" spans="16:31" customFormat="1">
      <c r="P998" s="3436"/>
      <c r="Q998" s="3436"/>
      <c r="R998" s="3436"/>
      <c r="S998" s="3436"/>
      <c r="T998" s="3436"/>
      <c r="U998" s="3436"/>
      <c r="V998" s="3436"/>
      <c r="W998" s="3436"/>
      <c r="X998" s="3436"/>
      <c r="Y998" s="3436"/>
      <c r="Z998" s="3436"/>
      <c r="AA998" s="3436"/>
      <c r="AB998" s="3436"/>
      <c r="AC998" s="3436"/>
      <c r="AD998" s="3436"/>
      <c r="AE998" s="3650"/>
    </row>
    <row r="999" spans="16:31" customFormat="1">
      <c r="P999" s="3436"/>
      <c r="Q999" s="3436"/>
      <c r="R999" s="3436"/>
      <c r="S999" s="3436"/>
      <c r="T999" s="3436"/>
      <c r="U999" s="3436"/>
      <c r="V999" s="3436"/>
      <c r="W999" s="3436"/>
      <c r="X999" s="3436"/>
      <c r="Y999" s="3436"/>
      <c r="Z999" s="3436"/>
      <c r="AA999" s="3436"/>
      <c r="AB999" s="3436"/>
      <c r="AC999" s="3436"/>
      <c r="AD999" s="3436"/>
      <c r="AE999" s="3650"/>
    </row>
    <row r="1000" spans="16:31" customFormat="1">
      <c r="P1000" s="3436"/>
      <c r="Q1000" s="3436"/>
      <c r="R1000" s="3436"/>
      <c r="S1000" s="3436"/>
      <c r="T1000" s="3436"/>
      <c r="U1000" s="3436"/>
      <c r="V1000" s="3436"/>
      <c r="W1000" s="3436"/>
      <c r="X1000" s="3436"/>
      <c r="Y1000" s="3436"/>
      <c r="Z1000" s="3436"/>
      <c r="AA1000" s="3436"/>
      <c r="AB1000" s="3436"/>
      <c r="AC1000" s="3436"/>
      <c r="AD1000" s="3436"/>
      <c r="AE1000" s="3650"/>
    </row>
    <row r="1001" spans="16:31" customFormat="1">
      <c r="P1001" s="3436"/>
      <c r="Q1001" s="3436"/>
      <c r="R1001" s="3436"/>
      <c r="S1001" s="3436"/>
      <c r="T1001" s="3436"/>
      <c r="U1001" s="3436"/>
      <c r="V1001" s="3436"/>
      <c r="W1001" s="3436"/>
      <c r="X1001" s="3436"/>
      <c r="Y1001" s="3436"/>
      <c r="Z1001" s="3436"/>
      <c r="AA1001" s="3436"/>
      <c r="AB1001" s="3436"/>
      <c r="AC1001" s="3436"/>
      <c r="AD1001" s="3436"/>
      <c r="AE1001" s="3650"/>
    </row>
    <row r="1002" spans="16:31" customFormat="1">
      <c r="P1002" s="3436"/>
      <c r="Q1002" s="3436"/>
      <c r="R1002" s="3436"/>
      <c r="S1002" s="3436"/>
      <c r="T1002" s="3436"/>
      <c r="U1002" s="3436"/>
      <c r="V1002" s="3436"/>
      <c r="W1002" s="3436"/>
      <c r="X1002" s="3436"/>
      <c r="Y1002" s="3436"/>
      <c r="Z1002" s="3436"/>
      <c r="AA1002" s="3436"/>
      <c r="AB1002" s="3436"/>
      <c r="AC1002" s="3436"/>
      <c r="AD1002" s="3436"/>
      <c r="AE1002" s="3650"/>
    </row>
    <row r="1003" spans="16:31" customFormat="1">
      <c r="P1003" s="3436"/>
      <c r="Q1003" s="3436"/>
      <c r="R1003" s="3436"/>
      <c r="S1003" s="3436"/>
      <c r="T1003" s="3436"/>
      <c r="U1003" s="3436"/>
      <c r="V1003" s="3436"/>
      <c r="W1003" s="3436"/>
      <c r="X1003" s="3436"/>
      <c r="Y1003" s="3436"/>
      <c r="Z1003" s="3436"/>
      <c r="AA1003" s="3436"/>
      <c r="AB1003" s="3436"/>
      <c r="AC1003" s="3436"/>
      <c r="AD1003" s="3436"/>
      <c r="AE1003" s="3650"/>
    </row>
    <row r="1004" spans="16:31" customFormat="1">
      <c r="P1004" s="3436"/>
      <c r="Q1004" s="3436"/>
      <c r="R1004" s="3436"/>
      <c r="S1004" s="3436"/>
      <c r="T1004" s="3436"/>
      <c r="U1004" s="3436"/>
      <c r="V1004" s="3436"/>
      <c r="W1004" s="3436"/>
      <c r="X1004" s="3436"/>
      <c r="Y1004" s="3436"/>
      <c r="Z1004" s="3436"/>
      <c r="AA1004" s="3436"/>
      <c r="AB1004" s="3436"/>
      <c r="AC1004" s="3436"/>
      <c r="AD1004" s="3436"/>
      <c r="AE1004" s="3650"/>
    </row>
    <row r="1005" spans="16:31" customFormat="1">
      <c r="P1005" s="3436"/>
      <c r="Q1005" s="3436"/>
      <c r="R1005" s="3436"/>
      <c r="S1005" s="3436"/>
      <c r="T1005" s="3436"/>
      <c r="U1005" s="3436"/>
      <c r="V1005" s="3436"/>
      <c r="W1005" s="3436"/>
      <c r="X1005" s="3436"/>
      <c r="Y1005" s="3436"/>
      <c r="Z1005" s="3436"/>
      <c r="AA1005" s="3436"/>
      <c r="AB1005" s="3436"/>
      <c r="AC1005" s="3436"/>
      <c r="AD1005" s="3436"/>
      <c r="AE1005" s="3650"/>
    </row>
    <row r="1006" spans="16:31" customFormat="1">
      <c r="P1006" s="3436"/>
      <c r="Q1006" s="3436"/>
      <c r="R1006" s="3436"/>
      <c r="S1006" s="3436"/>
      <c r="T1006" s="3436"/>
      <c r="U1006" s="3436"/>
      <c r="V1006" s="3436"/>
      <c r="W1006" s="3436"/>
      <c r="X1006" s="3436"/>
      <c r="Y1006" s="3436"/>
      <c r="Z1006" s="3436"/>
      <c r="AA1006" s="3436"/>
      <c r="AB1006" s="3436"/>
      <c r="AC1006" s="3436"/>
      <c r="AD1006" s="3436"/>
      <c r="AE1006" s="3650"/>
    </row>
    <row r="1007" spans="16:31" customFormat="1">
      <c r="P1007" s="3436"/>
      <c r="Q1007" s="3436"/>
      <c r="R1007" s="3436"/>
      <c r="S1007" s="3436"/>
      <c r="T1007" s="3436"/>
      <c r="U1007" s="3436"/>
      <c r="V1007" s="3436"/>
      <c r="W1007" s="3436"/>
      <c r="X1007" s="3436"/>
      <c r="Y1007" s="3436"/>
      <c r="Z1007" s="3436"/>
      <c r="AA1007" s="3436"/>
      <c r="AB1007" s="3436"/>
      <c r="AC1007" s="3436"/>
      <c r="AD1007" s="3436"/>
      <c r="AE1007" s="3650"/>
    </row>
    <row r="1008" spans="16:31" customFormat="1">
      <c r="P1008" s="3436"/>
      <c r="Q1008" s="3436"/>
      <c r="R1008" s="3436"/>
      <c r="S1008" s="3436"/>
      <c r="T1008" s="3436"/>
      <c r="U1008" s="3436"/>
      <c r="V1008" s="3436"/>
      <c r="W1008" s="3436"/>
      <c r="X1008" s="3436"/>
      <c r="Y1008" s="3436"/>
      <c r="Z1008" s="3436"/>
      <c r="AA1008" s="3436"/>
      <c r="AB1008" s="3436"/>
      <c r="AC1008" s="3436"/>
      <c r="AD1008" s="3436"/>
      <c r="AE1008" s="3650"/>
    </row>
    <row r="1009" spans="16:31" customFormat="1">
      <c r="P1009" s="3436"/>
      <c r="Q1009" s="3436"/>
      <c r="R1009" s="3436"/>
      <c r="S1009" s="3436"/>
      <c r="T1009" s="3436"/>
      <c r="U1009" s="3436"/>
      <c r="V1009" s="3436"/>
      <c r="W1009" s="3436"/>
      <c r="X1009" s="3436"/>
      <c r="Y1009" s="3436"/>
      <c r="Z1009" s="3436"/>
      <c r="AA1009" s="3436"/>
      <c r="AB1009" s="3436"/>
      <c r="AC1009" s="3436"/>
      <c r="AD1009" s="3436"/>
      <c r="AE1009" s="3650"/>
    </row>
    <row r="1010" spans="16:31" customFormat="1">
      <c r="P1010" s="3436"/>
      <c r="Q1010" s="3436"/>
      <c r="R1010" s="3436"/>
      <c r="S1010" s="3436"/>
      <c r="T1010" s="3436"/>
      <c r="U1010" s="3436"/>
      <c r="V1010" s="3436"/>
      <c r="W1010" s="3436"/>
      <c r="X1010" s="3436"/>
      <c r="Y1010" s="3436"/>
      <c r="Z1010" s="3436"/>
      <c r="AA1010" s="3436"/>
      <c r="AB1010" s="3436"/>
      <c r="AC1010" s="3436"/>
      <c r="AD1010" s="3436"/>
      <c r="AE1010" s="3650"/>
    </row>
    <row r="1011" spans="16:31" customFormat="1">
      <c r="P1011" s="3436"/>
      <c r="Q1011" s="3436"/>
      <c r="R1011" s="3436"/>
      <c r="S1011" s="3436"/>
      <c r="T1011" s="3436"/>
      <c r="U1011" s="3436"/>
      <c r="V1011" s="3436"/>
      <c r="W1011" s="3436"/>
      <c r="X1011" s="3436"/>
      <c r="Y1011" s="3436"/>
      <c r="Z1011" s="3436"/>
      <c r="AA1011" s="3436"/>
      <c r="AB1011" s="3436"/>
      <c r="AC1011" s="3436"/>
      <c r="AD1011" s="3436"/>
      <c r="AE1011" s="3650"/>
    </row>
    <row r="1012" spans="16:31" customFormat="1">
      <c r="P1012" s="3436"/>
      <c r="Q1012" s="3436"/>
      <c r="R1012" s="3436"/>
      <c r="S1012" s="3436"/>
      <c r="T1012" s="3436"/>
      <c r="U1012" s="3436"/>
      <c r="V1012" s="3436"/>
      <c r="W1012" s="3436"/>
      <c r="X1012" s="3436"/>
      <c r="Y1012" s="3436"/>
      <c r="Z1012" s="3436"/>
      <c r="AA1012" s="3436"/>
      <c r="AB1012" s="3436"/>
      <c r="AC1012" s="3436"/>
      <c r="AD1012" s="3436"/>
      <c r="AE1012" s="3650"/>
    </row>
    <row r="1013" spans="16:31" customFormat="1">
      <c r="P1013" s="3436"/>
      <c r="Q1013" s="3436"/>
      <c r="R1013" s="3436"/>
      <c r="S1013" s="3436"/>
      <c r="T1013" s="3436"/>
      <c r="U1013" s="3436"/>
      <c r="V1013" s="3436"/>
      <c r="W1013" s="3436"/>
      <c r="X1013" s="3436"/>
      <c r="Y1013" s="3436"/>
      <c r="Z1013" s="3436"/>
      <c r="AA1013" s="3436"/>
      <c r="AB1013" s="3436"/>
      <c r="AC1013" s="3436"/>
      <c r="AD1013" s="3436"/>
      <c r="AE1013" s="3650"/>
    </row>
    <row r="1014" spans="16:31" customFormat="1">
      <c r="P1014" s="3436"/>
      <c r="Q1014" s="3436"/>
      <c r="R1014" s="3436"/>
      <c r="S1014" s="3436"/>
      <c r="T1014" s="3436"/>
      <c r="U1014" s="3436"/>
      <c r="V1014" s="3436"/>
      <c r="W1014" s="3436"/>
      <c r="X1014" s="3436"/>
      <c r="Y1014" s="3436"/>
      <c r="Z1014" s="3436"/>
      <c r="AA1014" s="3436"/>
      <c r="AB1014" s="3436"/>
      <c r="AC1014" s="3436"/>
      <c r="AD1014" s="3436"/>
      <c r="AE1014" s="3650"/>
    </row>
    <row r="1015" spans="16:31" customFormat="1">
      <c r="P1015" s="3436"/>
      <c r="Q1015" s="3436"/>
      <c r="R1015" s="3436"/>
      <c r="S1015" s="3436"/>
      <c r="T1015" s="3436"/>
      <c r="U1015" s="3436"/>
      <c r="V1015" s="3436"/>
      <c r="W1015" s="3436"/>
      <c r="X1015" s="3436"/>
      <c r="Y1015" s="3436"/>
      <c r="Z1015" s="3436"/>
      <c r="AA1015" s="3436"/>
      <c r="AB1015" s="3436"/>
      <c r="AC1015" s="3436"/>
      <c r="AD1015" s="3436"/>
      <c r="AE1015" s="3650"/>
    </row>
    <row r="1016" spans="16:31" customFormat="1">
      <c r="P1016" s="3436"/>
      <c r="Q1016" s="3436"/>
      <c r="R1016" s="3436"/>
      <c r="S1016" s="3436"/>
      <c r="T1016" s="3436"/>
      <c r="U1016" s="3436"/>
      <c r="V1016" s="3436"/>
      <c r="W1016" s="3436"/>
      <c r="X1016" s="3436"/>
      <c r="Y1016" s="3436"/>
      <c r="Z1016" s="3436"/>
      <c r="AA1016" s="3436"/>
      <c r="AB1016" s="3436"/>
      <c r="AC1016" s="3436"/>
      <c r="AD1016" s="3436"/>
      <c r="AE1016" s="3650"/>
    </row>
    <row r="1017" spans="16:31" customFormat="1">
      <c r="P1017" s="3436"/>
      <c r="Q1017" s="3436"/>
      <c r="R1017" s="3436"/>
      <c r="S1017" s="3436"/>
      <c r="T1017" s="3436"/>
      <c r="U1017" s="3436"/>
      <c r="V1017" s="3436"/>
      <c r="W1017" s="3436"/>
      <c r="X1017" s="3436"/>
      <c r="Y1017" s="3436"/>
      <c r="Z1017" s="3436"/>
      <c r="AA1017" s="3436"/>
      <c r="AB1017" s="3436"/>
      <c r="AC1017" s="3436"/>
      <c r="AD1017" s="3436"/>
      <c r="AE1017" s="3650"/>
    </row>
    <row r="1018" spans="16:31" customFormat="1">
      <c r="P1018" s="3436"/>
      <c r="Q1018" s="3436"/>
      <c r="R1018" s="3436"/>
      <c r="S1018" s="3436"/>
      <c r="T1018" s="3436"/>
      <c r="U1018" s="3436"/>
      <c r="V1018" s="3436"/>
      <c r="W1018" s="3436"/>
      <c r="X1018" s="3436"/>
      <c r="Y1018" s="3436"/>
      <c r="Z1018" s="3436"/>
      <c r="AA1018" s="3436"/>
      <c r="AB1018" s="3436"/>
      <c r="AC1018" s="3436"/>
      <c r="AD1018" s="3436"/>
      <c r="AE1018" s="3650"/>
    </row>
    <row r="1019" spans="16:31" customFormat="1">
      <c r="P1019" s="3436"/>
      <c r="Q1019" s="3436"/>
      <c r="R1019" s="3436"/>
      <c r="S1019" s="3436"/>
      <c r="T1019" s="3436"/>
      <c r="U1019" s="3436"/>
      <c r="V1019" s="3436"/>
      <c r="W1019" s="3436"/>
      <c r="X1019" s="3436"/>
      <c r="Y1019" s="3436"/>
      <c r="Z1019" s="3436"/>
      <c r="AA1019" s="3436"/>
      <c r="AB1019" s="3436"/>
      <c r="AC1019" s="3436"/>
      <c r="AD1019" s="3436"/>
      <c r="AE1019" s="3650"/>
    </row>
    <row r="1020" spans="16:31" customFormat="1">
      <c r="P1020" s="3436"/>
      <c r="Q1020" s="3436"/>
      <c r="R1020" s="3436"/>
      <c r="S1020" s="3436"/>
      <c r="T1020" s="3436"/>
      <c r="U1020" s="3436"/>
      <c r="V1020" s="3436"/>
      <c r="W1020" s="3436"/>
      <c r="X1020" s="3436"/>
      <c r="Y1020" s="3436"/>
      <c r="Z1020" s="3436"/>
      <c r="AA1020" s="3436"/>
      <c r="AB1020" s="3436"/>
      <c r="AC1020" s="3436"/>
      <c r="AD1020" s="3436"/>
      <c r="AE1020" s="3650"/>
    </row>
    <row r="1021" spans="16:31" customFormat="1">
      <c r="P1021" s="3436"/>
      <c r="Q1021" s="3436"/>
      <c r="R1021" s="3436"/>
      <c r="S1021" s="3436"/>
      <c r="T1021" s="3436"/>
      <c r="U1021" s="3436"/>
      <c r="V1021" s="3436"/>
      <c r="W1021" s="3436"/>
      <c r="X1021" s="3436"/>
      <c r="Y1021" s="3436"/>
      <c r="Z1021" s="3436"/>
      <c r="AA1021" s="3436"/>
      <c r="AB1021" s="3436"/>
      <c r="AC1021" s="3436"/>
      <c r="AD1021" s="3436"/>
      <c r="AE1021" s="3650"/>
    </row>
    <row r="1022" spans="16:31" customFormat="1">
      <c r="P1022" s="3436"/>
      <c r="Q1022" s="3436"/>
      <c r="R1022" s="3436"/>
      <c r="S1022" s="3436"/>
      <c r="T1022" s="3436"/>
      <c r="U1022" s="3436"/>
      <c r="V1022" s="3436"/>
      <c r="W1022" s="3436"/>
      <c r="X1022" s="3436"/>
      <c r="Y1022" s="3436"/>
      <c r="Z1022" s="3436"/>
      <c r="AA1022" s="3436"/>
      <c r="AB1022" s="3436"/>
      <c r="AC1022" s="3436"/>
      <c r="AD1022" s="3436"/>
      <c r="AE1022" s="3650"/>
    </row>
    <row r="1023" spans="16:31" customFormat="1">
      <c r="P1023" s="3436"/>
      <c r="Q1023" s="3436"/>
      <c r="R1023" s="3436"/>
      <c r="S1023" s="3436"/>
      <c r="T1023" s="3436"/>
      <c r="U1023" s="3436"/>
      <c r="V1023" s="3436"/>
      <c r="W1023" s="3436"/>
      <c r="X1023" s="3436"/>
      <c r="Y1023" s="3436"/>
      <c r="Z1023" s="3436"/>
      <c r="AA1023" s="3436"/>
      <c r="AB1023" s="3436"/>
      <c r="AC1023" s="3436"/>
      <c r="AD1023" s="3436"/>
      <c r="AE1023" s="3650"/>
    </row>
    <row r="1024" spans="16:31" customFormat="1">
      <c r="P1024" s="3436"/>
      <c r="Q1024" s="3436"/>
      <c r="R1024" s="3436"/>
      <c r="S1024" s="3436"/>
      <c r="T1024" s="3436"/>
      <c r="U1024" s="3436"/>
      <c r="V1024" s="3436"/>
      <c r="W1024" s="3436"/>
      <c r="X1024" s="3436"/>
      <c r="Y1024" s="3436"/>
      <c r="Z1024" s="3436"/>
      <c r="AA1024" s="3436"/>
      <c r="AB1024" s="3436"/>
      <c r="AC1024" s="3436"/>
      <c r="AD1024" s="3436"/>
      <c r="AE1024" s="3650"/>
    </row>
    <row r="1025" spans="16:31" customFormat="1">
      <c r="P1025" s="3436"/>
      <c r="Q1025" s="3436"/>
      <c r="R1025" s="3436"/>
      <c r="S1025" s="3436"/>
      <c r="T1025" s="3436"/>
      <c r="U1025" s="3436"/>
      <c r="V1025" s="3436"/>
      <c r="W1025" s="3436"/>
      <c r="X1025" s="3436"/>
      <c r="Y1025" s="3436"/>
      <c r="Z1025" s="3436"/>
      <c r="AA1025" s="3436"/>
      <c r="AB1025" s="3436"/>
      <c r="AC1025" s="3436"/>
      <c r="AD1025" s="3436"/>
      <c r="AE1025" s="3650"/>
    </row>
    <row r="1026" spans="16:31" customFormat="1">
      <c r="P1026" s="3436"/>
      <c r="Q1026" s="3436"/>
      <c r="R1026" s="3436"/>
      <c r="S1026" s="3436"/>
      <c r="T1026" s="3436"/>
      <c r="U1026" s="3436"/>
      <c r="V1026" s="3436"/>
      <c r="W1026" s="3436"/>
      <c r="X1026" s="3436"/>
      <c r="Y1026" s="3436"/>
      <c r="Z1026" s="3436"/>
      <c r="AA1026" s="3436"/>
      <c r="AB1026" s="3436"/>
      <c r="AC1026" s="3436"/>
      <c r="AD1026" s="3436"/>
      <c r="AE1026" s="3650"/>
    </row>
    <row r="1027" spans="16:31" customFormat="1">
      <c r="P1027" s="3436"/>
      <c r="Q1027" s="3436"/>
      <c r="R1027" s="3436"/>
      <c r="S1027" s="3436"/>
      <c r="T1027" s="3436"/>
      <c r="U1027" s="3436"/>
      <c r="V1027" s="3436"/>
      <c r="W1027" s="3436"/>
      <c r="X1027" s="3436"/>
      <c r="Y1027" s="3436"/>
      <c r="Z1027" s="3436"/>
      <c r="AA1027" s="3436"/>
      <c r="AB1027" s="3436"/>
      <c r="AC1027" s="3436"/>
      <c r="AD1027" s="3436"/>
      <c r="AE1027" s="3650"/>
    </row>
    <row r="1028" spans="16:31" customFormat="1">
      <c r="P1028" s="3436"/>
      <c r="Q1028" s="3436"/>
      <c r="R1028" s="3436"/>
      <c r="S1028" s="3436"/>
      <c r="T1028" s="3436"/>
      <c r="U1028" s="3436"/>
      <c r="V1028" s="3436"/>
      <c r="W1028" s="3436"/>
      <c r="X1028" s="3436"/>
      <c r="Y1028" s="3436"/>
      <c r="Z1028" s="3436"/>
      <c r="AA1028" s="3436"/>
      <c r="AB1028" s="3436"/>
      <c r="AC1028" s="3436"/>
      <c r="AD1028" s="3436"/>
      <c r="AE1028" s="3650"/>
    </row>
    <row r="1029" spans="16:31" customFormat="1">
      <c r="P1029" s="3436"/>
      <c r="Q1029" s="3436"/>
      <c r="R1029" s="3436"/>
      <c r="S1029" s="3436"/>
      <c r="T1029" s="3436"/>
      <c r="U1029" s="3436"/>
      <c r="V1029" s="3436"/>
      <c r="W1029" s="3436"/>
      <c r="X1029" s="3436"/>
      <c r="Y1029" s="3436"/>
      <c r="Z1029" s="3436"/>
      <c r="AA1029" s="3436"/>
      <c r="AB1029" s="3436"/>
      <c r="AC1029" s="3436"/>
      <c r="AD1029" s="3436"/>
      <c r="AE1029" s="3650"/>
    </row>
    <row r="1030" spans="16:31" customFormat="1">
      <c r="P1030" s="3436"/>
      <c r="Q1030" s="3436"/>
      <c r="R1030" s="3436"/>
      <c r="S1030" s="3436"/>
      <c r="T1030" s="3436"/>
      <c r="U1030" s="3436"/>
      <c r="V1030" s="3436"/>
      <c r="W1030" s="3436"/>
      <c r="X1030" s="3436"/>
      <c r="Y1030" s="3436"/>
      <c r="Z1030" s="3436"/>
      <c r="AA1030" s="3436"/>
      <c r="AB1030" s="3436"/>
      <c r="AC1030" s="3436"/>
      <c r="AD1030" s="3436"/>
      <c r="AE1030" s="3650"/>
    </row>
    <row r="1031" spans="16:31" customFormat="1">
      <c r="P1031" s="3436"/>
      <c r="Q1031" s="3436"/>
      <c r="R1031" s="3436"/>
      <c r="S1031" s="3436"/>
      <c r="T1031" s="3436"/>
      <c r="U1031" s="3436"/>
      <c r="V1031" s="3436"/>
      <c r="W1031" s="3436"/>
      <c r="X1031" s="3436"/>
      <c r="Y1031" s="3436"/>
      <c r="Z1031" s="3436"/>
      <c r="AA1031" s="3436"/>
      <c r="AB1031" s="3436"/>
      <c r="AC1031" s="3436"/>
      <c r="AD1031" s="3436"/>
      <c r="AE1031" s="3650"/>
    </row>
    <row r="1032" spans="16:31" customFormat="1">
      <c r="P1032" s="3436"/>
      <c r="Q1032" s="3436"/>
      <c r="R1032" s="3436"/>
      <c r="S1032" s="3436"/>
      <c r="T1032" s="3436"/>
      <c r="U1032" s="3436"/>
      <c r="V1032" s="3436"/>
      <c r="W1032" s="3436"/>
      <c r="X1032" s="3436"/>
      <c r="Y1032" s="3436"/>
      <c r="Z1032" s="3436"/>
      <c r="AA1032" s="3436"/>
      <c r="AB1032" s="3436"/>
      <c r="AC1032" s="3436"/>
      <c r="AD1032" s="3436"/>
      <c r="AE1032" s="3650"/>
    </row>
    <row r="1033" spans="16:31" customFormat="1">
      <c r="P1033" s="3436"/>
      <c r="Q1033" s="3436"/>
      <c r="R1033" s="3436"/>
      <c r="S1033" s="3436"/>
      <c r="T1033" s="3436"/>
      <c r="U1033" s="3436"/>
      <c r="V1033" s="3436"/>
      <c r="W1033" s="3436"/>
      <c r="X1033" s="3436"/>
      <c r="Y1033" s="3436"/>
      <c r="Z1033" s="3436"/>
      <c r="AA1033" s="3436"/>
      <c r="AB1033" s="3436"/>
      <c r="AC1033" s="3436"/>
      <c r="AD1033" s="3436"/>
      <c r="AE1033" s="3650"/>
    </row>
    <row r="1034" spans="16:31" customFormat="1">
      <c r="P1034" s="3436"/>
      <c r="Q1034" s="3436"/>
      <c r="R1034" s="3436"/>
      <c r="S1034" s="3436"/>
      <c r="T1034" s="3436"/>
      <c r="U1034" s="3436"/>
      <c r="V1034" s="3436"/>
      <c r="W1034" s="3436"/>
      <c r="X1034" s="3436"/>
      <c r="Y1034" s="3436"/>
      <c r="Z1034" s="3436"/>
      <c r="AA1034" s="3436"/>
      <c r="AB1034" s="3436"/>
      <c r="AC1034" s="3436"/>
      <c r="AD1034" s="3436"/>
      <c r="AE1034" s="3650"/>
    </row>
    <row r="1035" spans="16:31" customFormat="1">
      <c r="P1035" s="3436"/>
      <c r="Q1035" s="3436"/>
      <c r="R1035" s="3436"/>
      <c r="S1035" s="3436"/>
      <c r="T1035" s="3436"/>
      <c r="U1035" s="3436"/>
      <c r="V1035" s="3436"/>
      <c r="W1035" s="3436"/>
      <c r="X1035" s="3436"/>
      <c r="Y1035" s="3436"/>
      <c r="Z1035" s="3436"/>
      <c r="AA1035" s="3436"/>
      <c r="AB1035" s="3436"/>
      <c r="AC1035" s="3436"/>
      <c r="AD1035" s="3436"/>
      <c r="AE1035" s="3650"/>
    </row>
    <row r="1036" spans="16:31" customFormat="1">
      <c r="P1036" s="3436"/>
      <c r="Q1036" s="3436"/>
      <c r="R1036" s="3436"/>
      <c r="S1036" s="3436"/>
      <c r="T1036" s="3436"/>
      <c r="U1036" s="3436"/>
      <c r="V1036" s="3436"/>
      <c r="W1036" s="3436"/>
      <c r="X1036" s="3436"/>
      <c r="Y1036" s="3436"/>
      <c r="Z1036" s="3436"/>
      <c r="AA1036" s="3436"/>
      <c r="AB1036" s="3436"/>
      <c r="AC1036" s="3436"/>
      <c r="AD1036" s="3436"/>
      <c r="AE1036" s="3650"/>
    </row>
    <row r="1037" spans="16:31" customFormat="1">
      <c r="P1037" s="3436"/>
      <c r="Q1037" s="3436"/>
      <c r="R1037" s="3436"/>
      <c r="S1037" s="3436"/>
      <c r="T1037" s="3436"/>
      <c r="U1037" s="3436"/>
      <c r="V1037" s="3436"/>
      <c r="W1037" s="3436"/>
      <c r="X1037" s="3436"/>
      <c r="Y1037" s="3436"/>
      <c r="Z1037" s="3436"/>
      <c r="AA1037" s="3436"/>
      <c r="AB1037" s="3436"/>
      <c r="AC1037" s="3436"/>
      <c r="AD1037" s="3436"/>
      <c r="AE1037" s="3650"/>
    </row>
    <row r="1038" spans="16:31" customFormat="1">
      <c r="P1038" s="3436"/>
      <c r="Q1038" s="3436"/>
      <c r="R1038" s="3436"/>
      <c r="S1038" s="3436"/>
      <c r="T1038" s="3436"/>
      <c r="U1038" s="3436"/>
      <c r="V1038" s="3436"/>
      <c r="W1038" s="3436"/>
      <c r="X1038" s="3436"/>
      <c r="Y1038" s="3436"/>
      <c r="Z1038" s="3436"/>
      <c r="AA1038" s="3436"/>
      <c r="AB1038" s="3436"/>
      <c r="AC1038" s="3436"/>
      <c r="AD1038" s="3436"/>
      <c r="AE1038" s="3650"/>
    </row>
    <row r="1039" spans="16:31" customFormat="1">
      <c r="P1039" s="3436"/>
      <c r="Q1039" s="3436"/>
      <c r="R1039" s="3436"/>
      <c r="S1039" s="3436"/>
      <c r="T1039" s="3436"/>
      <c r="U1039" s="3436"/>
      <c r="V1039" s="3436"/>
      <c r="W1039" s="3436"/>
      <c r="X1039" s="3436"/>
      <c r="Y1039" s="3436"/>
      <c r="Z1039" s="3436"/>
      <c r="AA1039" s="3436"/>
      <c r="AB1039" s="3436"/>
      <c r="AC1039" s="3436"/>
      <c r="AD1039" s="3436"/>
      <c r="AE1039" s="3650"/>
    </row>
    <row r="1040" spans="16:31" customFormat="1">
      <c r="P1040" s="3436"/>
      <c r="Q1040" s="3436"/>
      <c r="R1040" s="3436"/>
      <c r="S1040" s="3436"/>
      <c r="T1040" s="3436"/>
      <c r="U1040" s="3436"/>
      <c r="V1040" s="3436"/>
      <c r="W1040" s="3436"/>
      <c r="X1040" s="3436"/>
      <c r="Y1040" s="3436"/>
      <c r="Z1040" s="3436"/>
      <c r="AA1040" s="3436"/>
      <c r="AB1040" s="3436"/>
      <c r="AC1040" s="3436"/>
      <c r="AD1040" s="3436"/>
      <c r="AE1040" s="3650"/>
    </row>
    <row r="1041" spans="16:31" customFormat="1">
      <c r="P1041" s="3436"/>
      <c r="Q1041" s="3436"/>
      <c r="R1041" s="3436"/>
      <c r="S1041" s="3436"/>
      <c r="T1041" s="3436"/>
      <c r="U1041" s="3436"/>
      <c r="V1041" s="3436"/>
      <c r="W1041" s="3436"/>
      <c r="X1041" s="3436"/>
      <c r="Y1041" s="3436"/>
      <c r="Z1041" s="3436"/>
      <c r="AA1041" s="3436"/>
      <c r="AB1041" s="3436"/>
      <c r="AC1041" s="3436"/>
      <c r="AD1041" s="3436"/>
      <c r="AE1041" s="3650"/>
    </row>
    <row r="1042" spans="16:31" customFormat="1">
      <c r="P1042" s="3436"/>
      <c r="Q1042" s="3436"/>
      <c r="R1042" s="3436"/>
      <c r="S1042" s="3436"/>
      <c r="T1042" s="3436"/>
      <c r="U1042" s="3436"/>
      <c r="V1042" s="3436"/>
      <c r="W1042" s="3436"/>
      <c r="X1042" s="3436"/>
      <c r="Y1042" s="3436"/>
      <c r="Z1042" s="3436"/>
      <c r="AA1042" s="3436"/>
      <c r="AB1042" s="3436"/>
      <c r="AC1042" s="3436"/>
      <c r="AD1042" s="3436"/>
      <c r="AE1042" s="3650"/>
    </row>
    <row r="1043" spans="16:31" customFormat="1">
      <c r="P1043" s="3436"/>
      <c r="Q1043" s="3436"/>
      <c r="R1043" s="3436"/>
      <c r="S1043" s="3436"/>
      <c r="T1043" s="3436"/>
      <c r="U1043" s="3436"/>
      <c r="V1043" s="3436"/>
      <c r="W1043" s="3436"/>
      <c r="X1043" s="3436"/>
      <c r="Y1043" s="3436"/>
      <c r="Z1043" s="3436"/>
      <c r="AA1043" s="3436"/>
      <c r="AB1043" s="3436"/>
      <c r="AC1043" s="3436"/>
      <c r="AD1043" s="3436"/>
      <c r="AE1043" s="3650"/>
    </row>
    <row r="1044" spans="16:31" customFormat="1">
      <c r="P1044" s="3436"/>
      <c r="Q1044" s="3436"/>
      <c r="R1044" s="3436"/>
      <c r="S1044" s="3436"/>
      <c r="T1044" s="3436"/>
      <c r="U1044" s="3436"/>
      <c r="V1044" s="3436"/>
      <c r="W1044" s="3436"/>
      <c r="X1044" s="3436"/>
      <c r="Y1044" s="3436"/>
      <c r="Z1044" s="3436"/>
      <c r="AA1044" s="3436"/>
      <c r="AB1044" s="3436"/>
      <c r="AC1044" s="3436"/>
      <c r="AD1044" s="3436"/>
      <c r="AE1044" s="3650"/>
    </row>
    <row r="1045" spans="16:31" customFormat="1">
      <c r="P1045" s="3436"/>
      <c r="Q1045" s="3436"/>
      <c r="R1045" s="3436"/>
      <c r="S1045" s="3436"/>
      <c r="T1045" s="3436"/>
      <c r="U1045" s="3436"/>
      <c r="V1045" s="3436"/>
      <c r="W1045" s="3436"/>
      <c r="X1045" s="3436"/>
      <c r="Y1045" s="3436"/>
      <c r="Z1045" s="3436"/>
      <c r="AA1045" s="3436"/>
      <c r="AB1045" s="3436"/>
      <c r="AC1045" s="3436"/>
      <c r="AD1045" s="3436"/>
      <c r="AE1045" s="3650"/>
    </row>
    <row r="1046" spans="16:31" customFormat="1">
      <c r="P1046" s="3436"/>
      <c r="Q1046" s="3436"/>
      <c r="R1046" s="3436"/>
      <c r="S1046" s="3436"/>
      <c r="T1046" s="3436"/>
      <c r="U1046" s="3436"/>
      <c r="V1046" s="3436"/>
      <c r="W1046" s="3436"/>
      <c r="X1046" s="3436"/>
      <c r="Y1046" s="3436"/>
      <c r="Z1046" s="3436"/>
      <c r="AA1046" s="3436"/>
      <c r="AB1046" s="3436"/>
      <c r="AC1046" s="3436"/>
      <c r="AD1046" s="3436"/>
      <c r="AE1046" s="3650"/>
    </row>
    <row r="1047" spans="16:31" customFormat="1">
      <c r="P1047" s="3436"/>
      <c r="Q1047" s="3436"/>
      <c r="R1047" s="3436"/>
      <c r="S1047" s="3436"/>
      <c r="T1047" s="3436"/>
      <c r="U1047" s="3436"/>
      <c r="V1047" s="3436"/>
      <c r="W1047" s="3436"/>
      <c r="X1047" s="3436"/>
      <c r="Y1047" s="3436"/>
      <c r="Z1047" s="3436"/>
      <c r="AA1047" s="3436"/>
      <c r="AB1047" s="3436"/>
      <c r="AC1047" s="3436"/>
      <c r="AD1047" s="3436"/>
      <c r="AE1047" s="3650"/>
    </row>
    <row r="1048" spans="16:31" customFormat="1">
      <c r="P1048" s="3436"/>
      <c r="Q1048" s="3436"/>
      <c r="R1048" s="3436"/>
      <c r="S1048" s="3436"/>
      <c r="T1048" s="3436"/>
      <c r="U1048" s="3436"/>
      <c r="V1048" s="3436"/>
      <c r="W1048" s="3436"/>
      <c r="X1048" s="3436"/>
      <c r="Y1048" s="3436"/>
      <c r="Z1048" s="3436"/>
      <c r="AA1048" s="3436"/>
      <c r="AB1048" s="3436"/>
      <c r="AC1048" s="3436"/>
      <c r="AD1048" s="3436"/>
      <c r="AE1048" s="3650"/>
    </row>
    <row r="1049" spans="16:31" customFormat="1">
      <c r="P1049" s="3436"/>
      <c r="Q1049" s="3436"/>
      <c r="R1049" s="3436"/>
      <c r="S1049" s="3436"/>
      <c r="T1049" s="3436"/>
      <c r="U1049" s="3436"/>
      <c r="V1049" s="3436"/>
      <c r="W1049" s="3436"/>
      <c r="X1049" s="3436"/>
      <c r="Y1049" s="3436"/>
      <c r="Z1049" s="3436"/>
      <c r="AA1049" s="3436"/>
      <c r="AB1049" s="3436"/>
      <c r="AC1049" s="3436"/>
      <c r="AD1049" s="3436"/>
      <c r="AE1049" s="3650"/>
    </row>
    <row r="1050" spans="16:31" customFormat="1">
      <c r="P1050" s="3436"/>
      <c r="Q1050" s="3436"/>
      <c r="R1050" s="3436"/>
      <c r="S1050" s="3436"/>
      <c r="T1050" s="3436"/>
      <c r="U1050" s="3436"/>
      <c r="V1050" s="3436"/>
      <c r="W1050" s="3436"/>
      <c r="X1050" s="3436"/>
      <c r="Y1050" s="3436"/>
      <c r="Z1050" s="3436"/>
      <c r="AA1050" s="3436"/>
      <c r="AB1050" s="3436"/>
      <c r="AC1050" s="3436"/>
      <c r="AD1050" s="3436"/>
      <c r="AE1050" s="3650"/>
    </row>
    <row r="1051" spans="16:31" customFormat="1">
      <c r="P1051" s="3436"/>
      <c r="Q1051" s="3436"/>
      <c r="R1051" s="3436"/>
      <c r="S1051" s="3436"/>
      <c r="T1051" s="3436"/>
      <c r="U1051" s="3436"/>
      <c r="V1051" s="3436"/>
      <c r="W1051" s="3436"/>
      <c r="X1051" s="3436"/>
      <c r="Y1051" s="3436"/>
      <c r="Z1051" s="3436"/>
      <c r="AA1051" s="3436"/>
      <c r="AB1051" s="3436"/>
      <c r="AC1051" s="3436"/>
      <c r="AD1051" s="3436"/>
      <c r="AE1051" s="3650"/>
    </row>
    <row r="1052" spans="16:31" customFormat="1">
      <c r="P1052" s="3436"/>
      <c r="Q1052" s="3436"/>
      <c r="R1052" s="3436"/>
      <c r="S1052" s="3436"/>
      <c r="T1052" s="3436"/>
      <c r="U1052" s="3436"/>
      <c r="V1052" s="3436"/>
      <c r="W1052" s="3436"/>
      <c r="X1052" s="3436"/>
      <c r="Y1052" s="3436"/>
      <c r="Z1052" s="3436"/>
      <c r="AA1052" s="3436"/>
      <c r="AB1052" s="3436"/>
      <c r="AC1052" s="3436"/>
      <c r="AD1052" s="3436"/>
      <c r="AE1052" s="3650"/>
    </row>
    <row r="1053" spans="16:31" customFormat="1">
      <c r="P1053" s="3436"/>
      <c r="Q1053" s="3436"/>
      <c r="R1053" s="3436"/>
      <c r="S1053" s="3436"/>
      <c r="T1053" s="3436"/>
      <c r="U1053" s="3436"/>
      <c r="V1053" s="3436"/>
      <c r="W1053" s="3436"/>
      <c r="X1053" s="3436"/>
      <c r="Y1053" s="3436"/>
      <c r="Z1053" s="3436"/>
      <c r="AA1053" s="3436"/>
      <c r="AB1053" s="3436"/>
      <c r="AC1053" s="3436"/>
      <c r="AD1053" s="3436"/>
      <c r="AE1053" s="3650"/>
    </row>
    <row r="1054" spans="16:31" customFormat="1">
      <c r="P1054" s="3436"/>
      <c r="Q1054" s="3436"/>
      <c r="R1054" s="3436"/>
      <c r="S1054" s="3436"/>
      <c r="T1054" s="3436"/>
      <c r="U1054" s="3436"/>
      <c r="V1054" s="3436"/>
      <c r="W1054" s="3436"/>
      <c r="X1054" s="3436"/>
      <c r="Y1054" s="3436"/>
      <c r="Z1054" s="3436"/>
      <c r="AA1054" s="3436"/>
      <c r="AB1054" s="3436"/>
      <c r="AC1054" s="3436"/>
      <c r="AD1054" s="3436"/>
      <c r="AE1054" s="3650"/>
    </row>
    <row r="1055" spans="16:31" customFormat="1">
      <c r="P1055" s="3436"/>
      <c r="Q1055" s="3436"/>
      <c r="R1055" s="3436"/>
      <c r="S1055" s="3436"/>
      <c r="T1055" s="3436"/>
      <c r="U1055" s="3436"/>
      <c r="V1055" s="3436"/>
      <c r="W1055" s="3436"/>
      <c r="X1055" s="3436"/>
      <c r="Y1055" s="3436"/>
      <c r="Z1055" s="3436"/>
      <c r="AA1055" s="3436"/>
      <c r="AB1055" s="3436"/>
      <c r="AC1055" s="3436"/>
      <c r="AD1055" s="3436"/>
      <c r="AE1055" s="3650"/>
    </row>
    <row r="1056" spans="16:31" customFormat="1">
      <c r="P1056" s="3436"/>
      <c r="Q1056" s="3436"/>
      <c r="R1056" s="3436"/>
      <c r="S1056" s="3436"/>
      <c r="T1056" s="3436"/>
      <c r="U1056" s="3436"/>
      <c r="V1056" s="3436"/>
      <c r="W1056" s="3436"/>
      <c r="X1056" s="3436"/>
      <c r="Y1056" s="3436"/>
      <c r="Z1056" s="3436"/>
      <c r="AA1056" s="3436"/>
      <c r="AB1056" s="3436"/>
      <c r="AC1056" s="3436"/>
      <c r="AD1056" s="3436"/>
      <c r="AE1056" s="3650"/>
    </row>
    <row r="1057" spans="16:31" customFormat="1">
      <c r="P1057" s="3436"/>
      <c r="Q1057" s="3436"/>
      <c r="R1057" s="3436"/>
      <c r="S1057" s="3436"/>
      <c r="T1057" s="3436"/>
      <c r="U1057" s="3436"/>
      <c r="V1057" s="3436"/>
      <c r="W1057" s="3436"/>
      <c r="X1057" s="3436"/>
      <c r="Y1057" s="3436"/>
      <c r="Z1057" s="3436"/>
      <c r="AA1057" s="3436"/>
      <c r="AB1057" s="3436"/>
      <c r="AC1057" s="3436"/>
      <c r="AD1057" s="3436"/>
      <c r="AE1057" s="3650"/>
    </row>
    <row r="1058" spans="16:31" customFormat="1">
      <c r="P1058" s="3436"/>
      <c r="Q1058" s="3436"/>
      <c r="R1058" s="3436"/>
      <c r="S1058" s="3436"/>
      <c r="T1058" s="3436"/>
      <c r="U1058" s="3436"/>
      <c r="V1058" s="3436"/>
      <c r="W1058" s="3436"/>
      <c r="X1058" s="3436"/>
      <c r="Y1058" s="3436"/>
      <c r="Z1058" s="3436"/>
      <c r="AA1058" s="3436"/>
      <c r="AB1058" s="3436"/>
      <c r="AC1058" s="3436"/>
      <c r="AD1058" s="3436"/>
      <c r="AE1058" s="3650"/>
    </row>
    <row r="1059" spans="16:31" customFormat="1">
      <c r="P1059" s="3436"/>
      <c r="Q1059" s="3436"/>
      <c r="R1059" s="3436"/>
      <c r="S1059" s="3436"/>
      <c r="T1059" s="3436"/>
      <c r="U1059" s="3436"/>
      <c r="V1059" s="3436"/>
      <c r="W1059" s="3436"/>
      <c r="X1059" s="3436"/>
      <c r="Y1059" s="3436"/>
      <c r="Z1059" s="3436"/>
      <c r="AA1059" s="3436"/>
      <c r="AB1059" s="3436"/>
      <c r="AC1059" s="3436"/>
      <c r="AD1059" s="3436"/>
      <c r="AE1059" s="3650"/>
    </row>
    <row r="1060" spans="16:31" customFormat="1">
      <c r="P1060" s="3436"/>
      <c r="Q1060" s="3436"/>
      <c r="R1060" s="3436"/>
      <c r="S1060" s="3436"/>
      <c r="T1060" s="3436"/>
      <c r="U1060" s="3436"/>
      <c r="V1060" s="3436"/>
      <c r="W1060" s="3436"/>
      <c r="X1060" s="3436"/>
      <c r="Y1060" s="3436"/>
      <c r="Z1060" s="3436"/>
      <c r="AA1060" s="3436"/>
      <c r="AB1060" s="3436"/>
      <c r="AC1060" s="3436"/>
      <c r="AD1060" s="3436"/>
      <c r="AE1060" s="3650"/>
    </row>
    <row r="1061" spans="16:31" customFormat="1">
      <c r="P1061" s="3436"/>
      <c r="Q1061" s="3436"/>
      <c r="R1061" s="3436"/>
      <c r="S1061" s="3436"/>
      <c r="T1061" s="3436"/>
      <c r="U1061" s="3436"/>
      <c r="V1061" s="3436"/>
      <c r="W1061" s="3436"/>
      <c r="X1061" s="3436"/>
      <c r="Y1061" s="3436"/>
      <c r="Z1061" s="3436"/>
      <c r="AA1061" s="3436"/>
      <c r="AB1061" s="3436"/>
      <c r="AC1061" s="3436"/>
      <c r="AD1061" s="3436"/>
      <c r="AE1061" s="3650"/>
    </row>
    <row r="1062" spans="16:31" customFormat="1">
      <c r="P1062" s="3436"/>
      <c r="Q1062" s="3436"/>
      <c r="R1062" s="3436"/>
      <c r="S1062" s="3436"/>
      <c r="T1062" s="3436"/>
      <c r="U1062" s="3436"/>
      <c r="V1062" s="3436"/>
      <c r="W1062" s="3436"/>
      <c r="X1062" s="3436"/>
      <c r="Y1062" s="3436"/>
      <c r="Z1062" s="3436"/>
      <c r="AA1062" s="3436"/>
      <c r="AB1062" s="3436"/>
      <c r="AC1062" s="3436"/>
      <c r="AD1062" s="3436"/>
      <c r="AE1062" s="3650"/>
    </row>
    <row r="1063" spans="16:31" customFormat="1">
      <c r="P1063" s="3436"/>
      <c r="Q1063" s="3436"/>
      <c r="R1063" s="3436"/>
      <c r="S1063" s="3436"/>
      <c r="T1063" s="3436"/>
      <c r="U1063" s="3436"/>
      <c r="V1063" s="3436"/>
      <c r="W1063" s="3436"/>
      <c r="X1063" s="3436"/>
      <c r="Y1063" s="3436"/>
      <c r="Z1063" s="3436"/>
      <c r="AA1063" s="3436"/>
      <c r="AB1063" s="3436"/>
      <c r="AC1063" s="3436"/>
      <c r="AD1063" s="3436"/>
      <c r="AE1063" s="3650"/>
    </row>
    <row r="1064" spans="16:31" customFormat="1">
      <c r="P1064" s="3436"/>
      <c r="Q1064" s="3436"/>
      <c r="R1064" s="3436"/>
      <c r="S1064" s="3436"/>
      <c r="T1064" s="3436"/>
      <c r="U1064" s="3436"/>
      <c r="V1064" s="3436"/>
      <c r="W1064" s="3436"/>
      <c r="X1064" s="3436"/>
      <c r="Y1064" s="3436"/>
      <c r="Z1064" s="3436"/>
      <c r="AA1064" s="3436"/>
      <c r="AB1064" s="3436"/>
      <c r="AC1064" s="3436"/>
      <c r="AD1064" s="3436"/>
      <c r="AE1064" s="3650"/>
    </row>
    <row r="1065" spans="16:31" customFormat="1">
      <c r="P1065" s="3436"/>
      <c r="Q1065" s="3436"/>
      <c r="R1065" s="3436"/>
      <c r="S1065" s="3436"/>
      <c r="T1065" s="3436"/>
      <c r="U1065" s="3436"/>
      <c r="V1065" s="3436"/>
      <c r="W1065" s="3436"/>
      <c r="X1065" s="3436"/>
      <c r="Y1065" s="3436"/>
      <c r="Z1065" s="3436"/>
      <c r="AA1065" s="3436"/>
      <c r="AB1065" s="3436"/>
      <c r="AC1065" s="3436"/>
      <c r="AD1065" s="3436"/>
      <c r="AE1065" s="3650"/>
    </row>
    <row r="1066" spans="16:31" customFormat="1">
      <c r="P1066" s="3436"/>
      <c r="Q1066" s="3436"/>
      <c r="R1066" s="3436"/>
      <c r="S1066" s="3436"/>
      <c r="T1066" s="3436"/>
      <c r="U1066" s="3436"/>
      <c r="V1066" s="3436"/>
      <c r="W1066" s="3436"/>
      <c r="X1066" s="3436"/>
      <c r="Y1066" s="3436"/>
      <c r="Z1066" s="3436"/>
      <c r="AA1066" s="3436"/>
      <c r="AB1066" s="3436"/>
      <c r="AC1066" s="3436"/>
      <c r="AD1066" s="3436"/>
      <c r="AE1066" s="3650"/>
    </row>
    <row r="1067" spans="16:31" customFormat="1">
      <c r="P1067" s="3436"/>
      <c r="Q1067" s="3436"/>
      <c r="R1067" s="3436"/>
      <c r="S1067" s="3436"/>
      <c r="T1067" s="3436"/>
      <c r="U1067" s="3436"/>
      <c r="V1067" s="3436"/>
      <c r="W1067" s="3436"/>
      <c r="X1067" s="3436"/>
      <c r="Y1067" s="3436"/>
      <c r="Z1067" s="3436"/>
      <c r="AA1067" s="3436"/>
      <c r="AB1067" s="3436"/>
      <c r="AC1067" s="3436"/>
      <c r="AD1067" s="3436"/>
      <c r="AE1067" s="3650"/>
    </row>
    <row r="1068" spans="16:31" customFormat="1">
      <c r="P1068" s="3436"/>
      <c r="Q1068" s="3436"/>
      <c r="R1068" s="3436"/>
      <c r="S1068" s="3436"/>
      <c r="T1068" s="3436"/>
      <c r="U1068" s="3436"/>
      <c r="V1068" s="3436"/>
      <c r="W1068" s="3436"/>
      <c r="X1068" s="3436"/>
      <c r="Y1068" s="3436"/>
      <c r="Z1068" s="3436"/>
      <c r="AA1068" s="3436"/>
      <c r="AB1068" s="3436"/>
      <c r="AC1068" s="3436"/>
      <c r="AD1068" s="3436"/>
      <c r="AE1068" s="3650"/>
    </row>
    <row r="1069" spans="16:31" customFormat="1">
      <c r="P1069" s="3436"/>
      <c r="Q1069" s="3436"/>
      <c r="R1069" s="3436"/>
      <c r="S1069" s="3436"/>
      <c r="T1069" s="3436"/>
      <c r="U1069" s="3436"/>
      <c r="V1069" s="3436"/>
      <c r="W1069" s="3436"/>
      <c r="X1069" s="3436"/>
      <c r="Y1069" s="3436"/>
      <c r="Z1069" s="3436"/>
      <c r="AA1069" s="3436"/>
      <c r="AB1069" s="3436"/>
      <c r="AC1069" s="3436"/>
      <c r="AD1069" s="3436"/>
      <c r="AE1069" s="3650"/>
    </row>
    <row r="1070" spans="16:31" customFormat="1">
      <c r="P1070" s="3436"/>
      <c r="Q1070" s="3436"/>
      <c r="R1070" s="3436"/>
      <c r="S1070" s="3436"/>
      <c r="T1070" s="3436"/>
      <c r="U1070" s="3436"/>
      <c r="V1070" s="3436"/>
      <c r="W1070" s="3436"/>
      <c r="X1070" s="3436"/>
      <c r="Y1070" s="3436"/>
      <c r="Z1070" s="3436"/>
      <c r="AA1070" s="3436"/>
      <c r="AB1070" s="3436"/>
      <c r="AC1070" s="3436"/>
      <c r="AD1070" s="3436"/>
      <c r="AE1070" s="3650"/>
    </row>
    <row r="1071" spans="16:31" customFormat="1">
      <c r="P1071" s="3436"/>
      <c r="Q1071" s="3436"/>
      <c r="R1071" s="3436"/>
      <c r="S1071" s="3436"/>
      <c r="T1071" s="3436"/>
      <c r="U1071" s="3436"/>
      <c r="V1071" s="3436"/>
      <c r="W1071" s="3436"/>
      <c r="X1071" s="3436"/>
      <c r="Y1071" s="3436"/>
      <c r="Z1071" s="3436"/>
      <c r="AA1071" s="3436"/>
      <c r="AB1071" s="3436"/>
      <c r="AC1071" s="3436"/>
      <c r="AD1071" s="3436"/>
      <c r="AE1071" s="3650"/>
    </row>
    <row r="1072" spans="16:31" customFormat="1">
      <c r="P1072" s="3436"/>
      <c r="Q1072" s="3436"/>
      <c r="R1072" s="3436"/>
      <c r="S1072" s="3436"/>
      <c r="T1072" s="3436"/>
      <c r="U1072" s="3436"/>
      <c r="V1072" s="3436"/>
      <c r="W1072" s="3436"/>
      <c r="X1072" s="3436"/>
      <c r="Y1072" s="3436"/>
      <c r="Z1072" s="3436"/>
      <c r="AA1072" s="3436"/>
      <c r="AB1072" s="3436"/>
      <c r="AC1072" s="3436"/>
      <c r="AD1072" s="3436"/>
      <c r="AE1072" s="3650"/>
    </row>
    <row r="1073" spans="16:31" customFormat="1">
      <c r="P1073" s="3436"/>
      <c r="Q1073" s="3436"/>
      <c r="R1073" s="3436"/>
      <c r="S1073" s="3436"/>
      <c r="T1073" s="3436"/>
      <c r="U1073" s="3436"/>
      <c r="V1073" s="3436"/>
      <c r="W1073" s="3436"/>
      <c r="X1073" s="3436"/>
      <c r="Y1073" s="3436"/>
      <c r="Z1073" s="3436"/>
      <c r="AA1073" s="3436"/>
      <c r="AB1073" s="3436"/>
      <c r="AC1073" s="3436"/>
      <c r="AD1073" s="3436"/>
      <c r="AE1073" s="3650"/>
    </row>
    <row r="1074" spans="16:31" customFormat="1">
      <c r="P1074" s="3436"/>
      <c r="Q1074" s="3436"/>
      <c r="R1074" s="3436"/>
      <c r="S1074" s="3436"/>
      <c r="T1074" s="3436"/>
      <c r="U1074" s="3436"/>
      <c r="V1074" s="3436"/>
      <c r="W1074" s="3436"/>
      <c r="X1074" s="3436"/>
      <c r="Y1074" s="3436"/>
      <c r="Z1074" s="3436"/>
      <c r="AA1074" s="3436"/>
      <c r="AB1074" s="3436"/>
      <c r="AC1074" s="3436"/>
      <c r="AD1074" s="3436"/>
      <c r="AE1074" s="3650"/>
    </row>
    <row r="1075" spans="16:31" customFormat="1">
      <c r="P1075" s="3436"/>
      <c r="Q1075" s="3436"/>
      <c r="R1075" s="3436"/>
      <c r="S1075" s="3436"/>
      <c r="T1075" s="3436"/>
      <c r="U1075" s="3436"/>
      <c r="V1075" s="3436"/>
      <c r="W1075" s="3436"/>
      <c r="X1075" s="3436"/>
      <c r="Y1075" s="3436"/>
      <c r="Z1075" s="3436"/>
      <c r="AA1075" s="3436"/>
      <c r="AB1075" s="3436"/>
      <c r="AC1075" s="3436"/>
      <c r="AD1075" s="3436"/>
      <c r="AE1075" s="3650"/>
    </row>
    <row r="1076" spans="16:31" customFormat="1">
      <c r="P1076" s="3436"/>
      <c r="Q1076" s="3436"/>
      <c r="R1076" s="3436"/>
      <c r="S1076" s="3436"/>
      <c r="T1076" s="3436"/>
      <c r="U1076" s="3436"/>
      <c r="V1076" s="3436"/>
      <c r="W1076" s="3436"/>
      <c r="X1076" s="3436"/>
      <c r="Y1076" s="3436"/>
      <c r="Z1076" s="3436"/>
      <c r="AA1076" s="3436"/>
      <c r="AB1076" s="3436"/>
      <c r="AC1076" s="3436"/>
      <c r="AD1076" s="3436"/>
      <c r="AE1076" s="3650"/>
    </row>
    <row r="1077" spans="16:31" customFormat="1">
      <c r="P1077" s="3436"/>
      <c r="Q1077" s="3436"/>
      <c r="R1077" s="3436"/>
      <c r="S1077" s="3436"/>
      <c r="T1077" s="3436"/>
      <c r="U1077" s="3436"/>
      <c r="V1077" s="3436"/>
      <c r="W1077" s="3436"/>
      <c r="X1077" s="3436"/>
      <c r="Y1077" s="3436"/>
      <c r="Z1077" s="3436"/>
      <c r="AA1077" s="3436"/>
      <c r="AB1077" s="3436"/>
      <c r="AC1077" s="3436"/>
      <c r="AD1077" s="3436"/>
      <c r="AE1077" s="3650"/>
    </row>
    <row r="1078" spans="16:31" customFormat="1">
      <c r="P1078" s="3436"/>
      <c r="Q1078" s="3436"/>
      <c r="R1078" s="3436"/>
      <c r="S1078" s="3436"/>
      <c r="T1078" s="3436"/>
      <c r="U1078" s="3436"/>
      <c r="V1078" s="3436"/>
      <c r="W1078" s="3436"/>
      <c r="X1078" s="3436"/>
      <c r="Y1078" s="3436"/>
      <c r="Z1078" s="3436"/>
      <c r="AA1078" s="3436"/>
      <c r="AB1078" s="3436"/>
      <c r="AC1078" s="3436"/>
      <c r="AD1078" s="3436"/>
      <c r="AE1078" s="3650"/>
    </row>
    <row r="1079" spans="16:31" customFormat="1">
      <c r="P1079" s="3436"/>
      <c r="Q1079" s="3436"/>
      <c r="R1079" s="3436"/>
      <c r="S1079" s="3436"/>
      <c r="T1079" s="3436"/>
      <c r="U1079" s="3436"/>
      <c r="V1079" s="3436"/>
      <c r="W1079" s="3436"/>
      <c r="X1079" s="3436"/>
      <c r="Y1079" s="3436"/>
      <c r="Z1079" s="3436"/>
      <c r="AA1079" s="3436"/>
      <c r="AB1079" s="3436"/>
      <c r="AC1079" s="3436"/>
      <c r="AD1079" s="3436"/>
      <c r="AE1079" s="3650"/>
    </row>
    <row r="1080" spans="16:31" customFormat="1">
      <c r="P1080" s="3436"/>
      <c r="Q1080" s="3436"/>
      <c r="R1080" s="3436"/>
      <c r="S1080" s="3436"/>
      <c r="T1080" s="3436"/>
      <c r="U1080" s="3436"/>
      <c r="V1080" s="3436"/>
      <c r="W1080" s="3436"/>
      <c r="X1080" s="3436"/>
      <c r="Y1080" s="3436"/>
      <c r="Z1080" s="3436"/>
      <c r="AA1080" s="3436"/>
      <c r="AB1080" s="3436"/>
      <c r="AC1080" s="3436"/>
      <c r="AD1080" s="3436"/>
      <c r="AE1080" s="3650"/>
    </row>
    <row r="1081" spans="16:31" customFormat="1">
      <c r="P1081" s="3436"/>
      <c r="Q1081" s="3436"/>
      <c r="R1081" s="3436"/>
      <c r="S1081" s="3436"/>
      <c r="T1081" s="3436"/>
      <c r="U1081" s="3436"/>
      <c r="V1081" s="3436"/>
      <c r="W1081" s="3436"/>
      <c r="X1081" s="3436"/>
      <c r="Y1081" s="3436"/>
      <c r="Z1081" s="3436"/>
      <c r="AA1081" s="3436"/>
      <c r="AB1081" s="3436"/>
      <c r="AC1081" s="3436"/>
      <c r="AD1081" s="3436"/>
      <c r="AE1081" s="3650"/>
    </row>
    <row r="1082" spans="16:31" customFormat="1">
      <c r="P1082" s="3436"/>
      <c r="Q1082" s="3436"/>
      <c r="R1082" s="3436"/>
      <c r="S1082" s="3436"/>
      <c r="T1082" s="3436"/>
      <c r="U1082" s="3436"/>
      <c r="V1082" s="3436"/>
      <c r="W1082" s="3436"/>
      <c r="X1082" s="3436"/>
      <c r="Y1082" s="3436"/>
      <c r="Z1082" s="3436"/>
      <c r="AA1082" s="3436"/>
      <c r="AB1082" s="3436"/>
      <c r="AC1082" s="3436"/>
      <c r="AD1082" s="3436"/>
      <c r="AE1082" s="3650"/>
    </row>
    <row r="1083" spans="16:31" customFormat="1">
      <c r="P1083" s="3436"/>
      <c r="Q1083" s="3436"/>
      <c r="R1083" s="3436"/>
      <c r="S1083" s="3436"/>
      <c r="T1083" s="3436"/>
      <c r="U1083" s="3436"/>
      <c r="V1083" s="3436"/>
      <c r="W1083" s="3436"/>
      <c r="X1083" s="3436"/>
      <c r="Y1083" s="3436"/>
      <c r="Z1083" s="3436"/>
      <c r="AA1083" s="3436"/>
      <c r="AB1083" s="3436"/>
      <c r="AC1083" s="3436"/>
      <c r="AD1083" s="3436"/>
      <c r="AE1083" s="3650"/>
    </row>
    <row r="1084" spans="16:31" customFormat="1">
      <c r="P1084" s="3436"/>
      <c r="Q1084" s="3436"/>
      <c r="R1084" s="3436"/>
      <c r="S1084" s="3436"/>
      <c r="T1084" s="3436"/>
      <c r="U1084" s="3436"/>
      <c r="V1084" s="3436"/>
      <c r="W1084" s="3436"/>
      <c r="X1084" s="3436"/>
      <c r="Y1084" s="3436"/>
      <c r="Z1084" s="3436"/>
      <c r="AA1084" s="3436"/>
      <c r="AB1084" s="3436"/>
      <c r="AC1084" s="3436"/>
      <c r="AD1084" s="3436"/>
      <c r="AE1084" s="3650"/>
    </row>
    <row r="1085" spans="16:31" customFormat="1">
      <c r="P1085" s="3436"/>
      <c r="Q1085" s="3436"/>
      <c r="R1085" s="3436"/>
      <c r="S1085" s="3436"/>
      <c r="T1085" s="3436"/>
      <c r="U1085" s="3436"/>
      <c r="V1085" s="3436"/>
      <c r="W1085" s="3436"/>
      <c r="X1085" s="3436"/>
      <c r="Y1085" s="3436"/>
      <c r="Z1085" s="3436"/>
      <c r="AA1085" s="3436"/>
      <c r="AB1085" s="3436"/>
      <c r="AC1085" s="3436"/>
      <c r="AD1085" s="3436"/>
      <c r="AE1085" s="3650"/>
    </row>
    <row r="1086" spans="16:31" customFormat="1">
      <c r="P1086" s="3436"/>
      <c r="Q1086" s="3436"/>
      <c r="R1086" s="3436"/>
      <c r="S1086" s="3436"/>
      <c r="T1086" s="3436"/>
      <c r="U1086" s="3436"/>
      <c r="V1086" s="3436"/>
      <c r="W1086" s="3436"/>
      <c r="X1086" s="3436"/>
      <c r="Y1086" s="3436"/>
      <c r="Z1086" s="3436"/>
      <c r="AA1086" s="3436"/>
      <c r="AB1086" s="3436"/>
      <c r="AC1086" s="3436"/>
      <c r="AD1086" s="3436"/>
      <c r="AE1086" s="3650"/>
    </row>
    <row r="1087" spans="16:31" customFormat="1">
      <c r="P1087" s="3436"/>
      <c r="Q1087" s="3436"/>
      <c r="R1087" s="3436"/>
      <c r="S1087" s="3436"/>
      <c r="T1087" s="3436"/>
      <c r="U1087" s="3436"/>
      <c r="V1087" s="3436"/>
      <c r="W1087" s="3436"/>
      <c r="X1087" s="3436"/>
      <c r="Y1087" s="3436"/>
      <c r="Z1087" s="3436"/>
      <c r="AA1087" s="3436"/>
      <c r="AB1087" s="3436"/>
      <c r="AC1087" s="3436"/>
      <c r="AD1087" s="3436"/>
      <c r="AE1087" s="3650"/>
    </row>
    <row r="1088" spans="16:31" customFormat="1">
      <c r="P1088" s="3436"/>
      <c r="Q1088" s="3436"/>
      <c r="R1088" s="3436"/>
      <c r="S1088" s="3436"/>
      <c r="T1088" s="3436"/>
      <c r="U1088" s="3436"/>
      <c r="V1088" s="3436"/>
      <c r="W1088" s="3436"/>
      <c r="X1088" s="3436"/>
      <c r="Y1088" s="3436"/>
      <c r="Z1088" s="3436"/>
      <c r="AA1088" s="3436"/>
      <c r="AB1088" s="3436"/>
      <c r="AC1088" s="3436"/>
      <c r="AD1088" s="3436"/>
      <c r="AE1088" s="3650"/>
    </row>
    <row r="1089" spans="16:31" customFormat="1">
      <c r="P1089" s="3436"/>
      <c r="Q1089" s="3436"/>
      <c r="R1089" s="3436"/>
      <c r="S1089" s="3436"/>
      <c r="T1089" s="3436"/>
      <c r="U1089" s="3436"/>
      <c r="V1089" s="3436"/>
      <c r="W1089" s="3436"/>
      <c r="X1089" s="3436"/>
      <c r="Y1089" s="3436"/>
      <c r="Z1089" s="3436"/>
      <c r="AA1089" s="3436"/>
      <c r="AB1089" s="3436"/>
      <c r="AC1089" s="3436"/>
      <c r="AD1089" s="3436"/>
      <c r="AE1089" s="3650"/>
    </row>
    <row r="1090" spans="16:31" customFormat="1">
      <c r="P1090" s="3436"/>
      <c r="Q1090" s="3436"/>
      <c r="R1090" s="3436"/>
      <c r="S1090" s="3436"/>
      <c r="T1090" s="3436"/>
      <c r="U1090" s="3436"/>
      <c r="V1090" s="3436"/>
      <c r="W1090" s="3436"/>
      <c r="X1090" s="3436"/>
      <c r="Y1090" s="3436"/>
      <c r="Z1090" s="3436"/>
      <c r="AA1090" s="3436"/>
      <c r="AB1090" s="3436"/>
      <c r="AC1090" s="3436"/>
      <c r="AD1090" s="3436"/>
      <c r="AE1090" s="3650"/>
    </row>
    <row r="1091" spans="16:31" customFormat="1">
      <c r="P1091" s="3436"/>
      <c r="Q1091" s="3436"/>
      <c r="R1091" s="3436"/>
      <c r="S1091" s="3436"/>
      <c r="T1091" s="3436"/>
      <c r="U1091" s="3436"/>
      <c r="V1091" s="3436"/>
      <c r="W1091" s="3436"/>
      <c r="X1091" s="3436"/>
      <c r="Y1091" s="3436"/>
      <c r="Z1091" s="3436"/>
      <c r="AA1091" s="3436"/>
      <c r="AB1091" s="3436"/>
      <c r="AC1091" s="3436"/>
      <c r="AD1091" s="3436"/>
      <c r="AE1091" s="3650"/>
    </row>
    <row r="1092" spans="16:31" customFormat="1">
      <c r="P1092" s="3436"/>
      <c r="Q1092" s="3436"/>
      <c r="R1092" s="3436"/>
      <c r="S1092" s="3436"/>
      <c r="T1092" s="3436"/>
      <c r="U1092" s="3436"/>
      <c r="V1092" s="3436"/>
      <c r="W1092" s="3436"/>
      <c r="X1092" s="3436"/>
      <c r="Y1092" s="3436"/>
      <c r="Z1092" s="3436"/>
      <c r="AA1092" s="3436"/>
      <c r="AB1092" s="3436"/>
      <c r="AC1092" s="3436"/>
      <c r="AD1092" s="3436"/>
      <c r="AE1092" s="3650"/>
    </row>
    <row r="1093" spans="16:31" customFormat="1">
      <c r="P1093" s="3436"/>
      <c r="Q1093" s="3436"/>
      <c r="R1093" s="3436"/>
      <c r="S1093" s="3436"/>
      <c r="T1093" s="3436"/>
      <c r="U1093" s="3436"/>
      <c r="V1093" s="3436"/>
      <c r="W1093" s="3436"/>
      <c r="X1093" s="3436"/>
      <c r="Y1093" s="3436"/>
      <c r="Z1093" s="3436"/>
      <c r="AA1093" s="3436"/>
      <c r="AB1093" s="3436"/>
      <c r="AC1093" s="3436"/>
      <c r="AD1093" s="3436"/>
      <c r="AE1093" s="3650"/>
    </row>
    <row r="1094" spans="16:31" customFormat="1">
      <c r="P1094" s="3436"/>
      <c r="Q1094" s="3436"/>
      <c r="R1094" s="3436"/>
      <c r="S1094" s="3436"/>
      <c r="T1094" s="3436"/>
      <c r="U1094" s="3436"/>
      <c r="V1094" s="3436"/>
      <c r="W1094" s="3436"/>
      <c r="X1094" s="3436"/>
      <c r="Y1094" s="3436"/>
      <c r="Z1094" s="3436"/>
      <c r="AA1094" s="3436"/>
      <c r="AB1094" s="3436"/>
      <c r="AC1094" s="3436"/>
      <c r="AD1094" s="3436"/>
      <c r="AE1094" s="3650"/>
    </row>
    <row r="1095" spans="16:31" customFormat="1">
      <c r="P1095" s="3436"/>
      <c r="Q1095" s="3436"/>
      <c r="R1095" s="3436"/>
      <c r="S1095" s="3436"/>
      <c r="T1095" s="3436"/>
      <c r="U1095" s="3436"/>
      <c r="V1095" s="3436"/>
      <c r="W1095" s="3436"/>
      <c r="X1095" s="3436"/>
      <c r="Y1095" s="3436"/>
      <c r="Z1095" s="3436"/>
      <c r="AA1095" s="3436"/>
      <c r="AB1095" s="3436"/>
      <c r="AC1095" s="3436"/>
      <c r="AD1095" s="3436"/>
      <c r="AE1095" s="3650"/>
    </row>
    <row r="1096" spans="16:31" customFormat="1">
      <c r="P1096" s="3436"/>
      <c r="Q1096" s="3436"/>
      <c r="R1096" s="3436"/>
      <c r="S1096" s="3436"/>
      <c r="T1096" s="3436"/>
      <c r="U1096" s="3436"/>
      <c r="V1096" s="3436"/>
      <c r="W1096" s="3436"/>
      <c r="X1096" s="3436"/>
      <c r="Y1096" s="3436"/>
      <c r="Z1096" s="3436"/>
      <c r="AA1096" s="3436"/>
      <c r="AB1096" s="3436"/>
      <c r="AC1096" s="3436"/>
      <c r="AD1096" s="3436"/>
      <c r="AE1096" s="3650"/>
    </row>
    <row r="1097" spans="16:31" customFormat="1">
      <c r="P1097" s="3436"/>
      <c r="Q1097" s="3436"/>
      <c r="R1097" s="3436"/>
      <c r="S1097" s="3436"/>
      <c r="T1097" s="3436"/>
      <c r="U1097" s="3436"/>
      <c r="V1097" s="3436"/>
      <c r="W1097" s="3436"/>
      <c r="X1097" s="3436"/>
      <c r="Y1097" s="3436"/>
      <c r="Z1097" s="3436"/>
      <c r="AA1097" s="3436"/>
      <c r="AB1097" s="3436"/>
      <c r="AC1097" s="3436"/>
      <c r="AD1097" s="3436"/>
      <c r="AE1097" s="3650"/>
    </row>
    <row r="1098" spans="16:31" customFormat="1">
      <c r="P1098" s="3436"/>
      <c r="Q1098" s="3436"/>
      <c r="R1098" s="3436"/>
      <c r="S1098" s="3436"/>
      <c r="T1098" s="3436"/>
      <c r="U1098" s="3436"/>
      <c r="V1098" s="3436"/>
      <c r="W1098" s="3436"/>
      <c r="X1098" s="3436"/>
      <c r="Y1098" s="3436"/>
      <c r="Z1098" s="3436"/>
      <c r="AA1098" s="3436"/>
      <c r="AB1098" s="3436"/>
      <c r="AC1098" s="3436"/>
      <c r="AD1098" s="3436"/>
      <c r="AE1098" s="3650"/>
    </row>
    <row r="1099" spans="16:31" customFormat="1">
      <c r="P1099" s="3436"/>
      <c r="Q1099" s="3436"/>
      <c r="R1099" s="3436"/>
      <c r="S1099" s="3436"/>
      <c r="T1099" s="3436"/>
      <c r="U1099" s="3436"/>
      <c r="V1099" s="3436"/>
      <c r="W1099" s="3436"/>
      <c r="X1099" s="3436"/>
      <c r="Y1099" s="3436"/>
      <c r="Z1099" s="3436"/>
      <c r="AA1099" s="3436"/>
      <c r="AB1099" s="3436"/>
      <c r="AC1099" s="3436"/>
      <c r="AD1099" s="3436"/>
      <c r="AE1099" s="3650"/>
    </row>
    <row r="1100" spans="16:31" customFormat="1">
      <c r="P1100" s="3436"/>
      <c r="Q1100" s="3436"/>
      <c r="R1100" s="3436"/>
      <c r="S1100" s="3436"/>
      <c r="T1100" s="3436"/>
      <c r="U1100" s="3436"/>
      <c r="V1100" s="3436"/>
      <c r="W1100" s="3436"/>
      <c r="X1100" s="3436"/>
      <c r="Y1100" s="3436"/>
      <c r="Z1100" s="3436"/>
      <c r="AA1100" s="3436"/>
      <c r="AB1100" s="3436"/>
      <c r="AC1100" s="3436"/>
      <c r="AD1100" s="3436"/>
      <c r="AE1100" s="3650"/>
    </row>
    <row r="1101" spans="16:31" customFormat="1">
      <c r="P1101" s="3436"/>
      <c r="Q1101" s="3436"/>
      <c r="R1101" s="3436"/>
      <c r="S1101" s="3436"/>
      <c r="T1101" s="3436"/>
      <c r="U1101" s="3436"/>
      <c r="V1101" s="3436"/>
      <c r="W1101" s="3436"/>
      <c r="X1101" s="3436"/>
      <c r="Y1101" s="3436"/>
      <c r="Z1101" s="3436"/>
      <c r="AA1101" s="3436"/>
      <c r="AB1101" s="3436"/>
      <c r="AC1101" s="3436"/>
      <c r="AD1101" s="3436"/>
      <c r="AE1101" s="3650"/>
    </row>
    <row r="1102" spans="16:31" customFormat="1">
      <c r="P1102" s="3436"/>
      <c r="Q1102" s="3436"/>
      <c r="R1102" s="3436"/>
      <c r="S1102" s="3436"/>
      <c r="T1102" s="3436"/>
      <c r="U1102" s="3436"/>
      <c r="V1102" s="3436"/>
      <c r="W1102" s="3436"/>
      <c r="X1102" s="3436"/>
      <c r="Y1102" s="3436"/>
      <c r="Z1102" s="3436"/>
      <c r="AA1102" s="3436"/>
      <c r="AB1102" s="3436"/>
      <c r="AC1102" s="3436"/>
      <c r="AD1102" s="3436"/>
      <c r="AE1102" s="3650"/>
    </row>
    <row r="1103" spans="16:31" customFormat="1">
      <c r="P1103" s="3436"/>
      <c r="Q1103" s="3436"/>
      <c r="R1103" s="3436"/>
      <c r="S1103" s="3436"/>
      <c r="T1103" s="3436"/>
      <c r="U1103" s="3436"/>
      <c r="V1103" s="3436"/>
      <c r="W1103" s="3436"/>
      <c r="X1103" s="3436"/>
      <c r="Y1103" s="3436"/>
      <c r="Z1103" s="3436"/>
      <c r="AA1103" s="3436"/>
      <c r="AB1103" s="3436"/>
      <c r="AC1103" s="3436"/>
      <c r="AD1103" s="3436"/>
      <c r="AE1103" s="3650"/>
    </row>
    <row r="1104" spans="16:31" customFormat="1">
      <c r="P1104" s="3436"/>
      <c r="Q1104" s="3436"/>
      <c r="R1104" s="3436"/>
      <c r="S1104" s="3436"/>
      <c r="T1104" s="3436"/>
      <c r="U1104" s="3436"/>
      <c r="V1104" s="3436"/>
      <c r="W1104" s="3436"/>
      <c r="X1104" s="3436"/>
      <c r="Y1104" s="3436"/>
      <c r="Z1104" s="3436"/>
      <c r="AA1104" s="3436"/>
      <c r="AB1104" s="3436"/>
      <c r="AC1104" s="3436"/>
      <c r="AD1104" s="3436"/>
      <c r="AE1104" s="3650"/>
    </row>
    <row r="1105" spans="16:31" customFormat="1">
      <c r="P1105" s="3436"/>
      <c r="Q1105" s="3436"/>
      <c r="R1105" s="3436"/>
      <c r="S1105" s="3436"/>
      <c r="T1105" s="3436"/>
      <c r="U1105" s="3436"/>
      <c r="V1105" s="3436"/>
      <c r="W1105" s="3436"/>
      <c r="X1105" s="3436"/>
      <c r="Y1105" s="3436"/>
      <c r="Z1105" s="3436"/>
      <c r="AA1105" s="3436"/>
      <c r="AB1105" s="3436"/>
      <c r="AC1105" s="3436"/>
      <c r="AD1105" s="3436"/>
      <c r="AE1105" s="3650"/>
    </row>
    <row r="1106" spans="16:31" customFormat="1">
      <c r="P1106" s="3436"/>
      <c r="Q1106" s="3436"/>
      <c r="R1106" s="3436"/>
      <c r="S1106" s="3436"/>
      <c r="T1106" s="3436"/>
      <c r="U1106" s="3436"/>
      <c r="V1106" s="3436"/>
      <c r="W1106" s="3436"/>
      <c r="X1106" s="3436"/>
      <c r="Y1106" s="3436"/>
      <c r="Z1106" s="3436"/>
      <c r="AA1106" s="3436"/>
      <c r="AB1106" s="3436"/>
      <c r="AC1106" s="3436"/>
      <c r="AD1106" s="3436"/>
      <c r="AE1106" s="3650"/>
    </row>
    <row r="1107" spans="16:31" customFormat="1">
      <c r="P1107" s="3436"/>
      <c r="Q1107" s="3436"/>
      <c r="R1107" s="3436"/>
      <c r="S1107" s="3436"/>
      <c r="T1107" s="3436"/>
      <c r="U1107" s="3436"/>
      <c r="V1107" s="3436"/>
      <c r="W1107" s="3436"/>
      <c r="X1107" s="3436"/>
      <c r="Y1107" s="3436"/>
      <c r="Z1107" s="3436"/>
      <c r="AA1107" s="3436"/>
      <c r="AB1107" s="3436"/>
      <c r="AC1107" s="3436"/>
      <c r="AD1107" s="3436"/>
      <c r="AE1107" s="3650"/>
    </row>
    <row r="1108" spans="16:31" customFormat="1">
      <c r="P1108" s="3436"/>
      <c r="Q1108" s="3436"/>
      <c r="R1108" s="3436"/>
      <c r="S1108" s="3436"/>
      <c r="T1108" s="3436"/>
      <c r="U1108" s="3436"/>
      <c r="V1108" s="3436"/>
      <c r="W1108" s="3436"/>
      <c r="X1108" s="3436"/>
      <c r="Y1108" s="3436"/>
      <c r="Z1108" s="3436"/>
      <c r="AA1108" s="3436"/>
      <c r="AB1108" s="3436"/>
      <c r="AC1108" s="3436"/>
      <c r="AD1108" s="3436"/>
      <c r="AE1108" s="3650"/>
    </row>
    <row r="1109" spans="16:31" customFormat="1">
      <c r="P1109" s="3436"/>
      <c r="Q1109" s="3436"/>
      <c r="R1109" s="3436"/>
      <c r="S1109" s="3436"/>
      <c r="T1109" s="3436"/>
      <c r="U1109" s="3436"/>
      <c r="V1109" s="3436"/>
      <c r="W1109" s="3436"/>
      <c r="X1109" s="3436"/>
      <c r="Y1109" s="3436"/>
      <c r="Z1109" s="3436"/>
      <c r="AA1109" s="3436"/>
      <c r="AB1109" s="3436"/>
      <c r="AC1109" s="3436"/>
      <c r="AD1109" s="3436"/>
      <c r="AE1109" s="3650"/>
    </row>
    <row r="1110" spans="16:31" customFormat="1">
      <c r="P1110" s="3436"/>
      <c r="Q1110" s="3436"/>
      <c r="R1110" s="3436"/>
      <c r="S1110" s="3436"/>
      <c r="T1110" s="3436"/>
      <c r="U1110" s="3436"/>
      <c r="V1110" s="3436"/>
      <c r="W1110" s="3436"/>
      <c r="X1110" s="3436"/>
      <c r="Y1110" s="3436"/>
      <c r="Z1110" s="3436"/>
      <c r="AA1110" s="3436"/>
      <c r="AB1110" s="3436"/>
      <c r="AC1110" s="3436"/>
      <c r="AD1110" s="3436"/>
      <c r="AE1110" s="3650"/>
    </row>
    <row r="1111" spans="16:31" customFormat="1">
      <c r="P1111" s="3436"/>
      <c r="Q1111" s="3436"/>
      <c r="R1111" s="3436"/>
      <c r="S1111" s="3436"/>
      <c r="T1111" s="3436"/>
      <c r="U1111" s="3436"/>
      <c r="V1111" s="3436"/>
      <c r="W1111" s="3436"/>
      <c r="X1111" s="3436"/>
      <c r="Y1111" s="3436"/>
      <c r="Z1111" s="3436"/>
      <c r="AA1111" s="3436"/>
      <c r="AB1111" s="3436"/>
      <c r="AC1111" s="3436"/>
      <c r="AD1111" s="3436"/>
      <c r="AE1111" s="3650"/>
    </row>
    <row r="1112" spans="16:31" customFormat="1">
      <c r="P1112" s="3436"/>
      <c r="Q1112" s="3436"/>
      <c r="R1112" s="3436"/>
      <c r="S1112" s="3436"/>
      <c r="T1112" s="3436"/>
      <c r="U1112" s="3436"/>
      <c r="V1112" s="3436"/>
      <c r="W1112" s="3436"/>
      <c r="X1112" s="3436"/>
      <c r="Y1112" s="3436"/>
      <c r="Z1112" s="3436"/>
      <c r="AA1112" s="3436"/>
      <c r="AB1112" s="3436"/>
      <c r="AC1112" s="3436"/>
      <c r="AD1112" s="3436"/>
      <c r="AE1112" s="3650"/>
    </row>
    <row r="1113" spans="16:31" customFormat="1">
      <c r="P1113" s="3436"/>
      <c r="Q1113" s="3436"/>
      <c r="R1113" s="3436"/>
      <c r="S1113" s="3436"/>
      <c r="T1113" s="3436"/>
      <c r="U1113" s="3436"/>
      <c r="V1113" s="3436"/>
      <c r="W1113" s="3436"/>
      <c r="X1113" s="3436"/>
      <c r="Y1113" s="3436"/>
      <c r="Z1113" s="3436"/>
      <c r="AA1113" s="3436"/>
      <c r="AB1113" s="3436"/>
      <c r="AC1113" s="3436"/>
      <c r="AD1113" s="3436"/>
      <c r="AE1113" s="3650"/>
    </row>
    <row r="1114" spans="16:31" customFormat="1">
      <c r="P1114" s="3436"/>
      <c r="Q1114" s="3436"/>
      <c r="R1114" s="3436"/>
      <c r="S1114" s="3436"/>
      <c r="T1114" s="3436"/>
      <c r="U1114" s="3436"/>
      <c r="V1114" s="3436"/>
      <c r="W1114" s="3436"/>
      <c r="X1114" s="3436"/>
      <c r="Y1114" s="3436"/>
      <c r="Z1114" s="3436"/>
      <c r="AA1114" s="3436"/>
      <c r="AB1114" s="3436"/>
      <c r="AC1114" s="3436"/>
      <c r="AD1114" s="3436"/>
      <c r="AE1114" s="3650"/>
    </row>
    <row r="1115" spans="16:31" customFormat="1">
      <c r="P1115" s="3436"/>
      <c r="Q1115" s="3436"/>
      <c r="R1115" s="3436"/>
      <c r="S1115" s="3436"/>
      <c r="T1115" s="3436"/>
      <c r="U1115" s="3436"/>
      <c r="V1115" s="3436"/>
      <c r="W1115" s="3436"/>
      <c r="X1115" s="3436"/>
      <c r="Y1115" s="3436"/>
      <c r="Z1115" s="3436"/>
      <c r="AA1115" s="3436"/>
      <c r="AB1115" s="3436"/>
      <c r="AC1115" s="3436"/>
      <c r="AD1115" s="3436"/>
      <c r="AE1115" s="3650"/>
    </row>
    <row r="1116" spans="16:31" customFormat="1">
      <c r="P1116" s="3436"/>
      <c r="Q1116" s="3436"/>
      <c r="R1116" s="3436"/>
      <c r="S1116" s="3436"/>
      <c r="T1116" s="3436"/>
      <c r="U1116" s="3436"/>
      <c r="V1116" s="3436"/>
      <c r="W1116" s="3436"/>
      <c r="X1116" s="3436"/>
      <c r="Y1116" s="3436"/>
      <c r="Z1116" s="3436"/>
      <c r="AA1116" s="3436"/>
      <c r="AB1116" s="3436"/>
      <c r="AC1116" s="3436"/>
      <c r="AD1116" s="3436"/>
      <c r="AE1116" s="3650"/>
    </row>
    <row r="1117" spans="16:31" customFormat="1">
      <c r="P1117" s="3436"/>
      <c r="Q1117" s="3436"/>
      <c r="R1117" s="3436"/>
      <c r="S1117" s="3436"/>
      <c r="T1117" s="3436"/>
      <c r="U1117" s="3436"/>
      <c r="V1117" s="3436"/>
      <c r="W1117" s="3436"/>
      <c r="X1117" s="3436"/>
      <c r="Y1117" s="3436"/>
      <c r="Z1117" s="3436"/>
      <c r="AA1117" s="3436"/>
      <c r="AB1117" s="3436"/>
      <c r="AC1117" s="3436"/>
      <c r="AD1117" s="3436"/>
      <c r="AE1117" s="3650"/>
    </row>
    <row r="1118" spans="16:31" customFormat="1">
      <c r="P1118" s="3436"/>
      <c r="Q1118" s="3436"/>
      <c r="R1118" s="3436"/>
      <c r="S1118" s="3436"/>
      <c r="T1118" s="3436"/>
      <c r="U1118" s="3436"/>
      <c r="V1118" s="3436"/>
      <c r="W1118" s="3436"/>
      <c r="X1118" s="3436"/>
      <c r="Y1118" s="3436"/>
      <c r="Z1118" s="3436"/>
      <c r="AA1118" s="3436"/>
      <c r="AB1118" s="3436"/>
      <c r="AC1118" s="3436"/>
      <c r="AD1118" s="3436"/>
      <c r="AE1118" s="3650"/>
    </row>
    <row r="1119" spans="16:31" customFormat="1">
      <c r="P1119" s="3436"/>
      <c r="Q1119" s="3436"/>
      <c r="R1119" s="3436"/>
      <c r="S1119" s="3436"/>
      <c r="T1119" s="3436"/>
      <c r="U1119" s="3436"/>
      <c r="V1119" s="3436"/>
      <c r="W1119" s="3436"/>
      <c r="X1119" s="3436"/>
      <c r="Y1119" s="3436"/>
      <c r="Z1119" s="3436"/>
      <c r="AA1119" s="3436"/>
      <c r="AB1119" s="3436"/>
      <c r="AC1119" s="3436"/>
      <c r="AD1119" s="3436"/>
      <c r="AE1119" s="3650"/>
    </row>
    <row r="1120" spans="16:31" customFormat="1">
      <c r="P1120" s="3436"/>
      <c r="Q1120" s="3436"/>
      <c r="R1120" s="3436"/>
      <c r="S1120" s="3436"/>
      <c r="T1120" s="3436"/>
      <c r="U1120" s="3436"/>
      <c r="V1120" s="3436"/>
      <c r="W1120" s="3436"/>
      <c r="X1120" s="3436"/>
      <c r="Y1120" s="3436"/>
      <c r="Z1120" s="3436"/>
      <c r="AA1120" s="3436"/>
      <c r="AB1120" s="3436"/>
      <c r="AC1120" s="3436"/>
      <c r="AD1120" s="3436"/>
      <c r="AE1120" s="3650"/>
    </row>
    <row r="1121" spans="16:31" customFormat="1">
      <c r="P1121" s="3436"/>
      <c r="Q1121" s="3436"/>
      <c r="R1121" s="3436"/>
      <c r="S1121" s="3436"/>
      <c r="T1121" s="3436"/>
      <c r="U1121" s="3436"/>
      <c r="V1121" s="3436"/>
      <c r="W1121" s="3436"/>
      <c r="X1121" s="3436"/>
      <c r="Y1121" s="3436"/>
      <c r="Z1121" s="3436"/>
      <c r="AA1121" s="3436"/>
      <c r="AB1121" s="3436"/>
      <c r="AC1121" s="3436"/>
      <c r="AD1121" s="3436"/>
      <c r="AE1121" s="3650"/>
    </row>
    <row r="1122" spans="16:31" customFormat="1">
      <c r="P1122" s="3436"/>
      <c r="Q1122" s="3436"/>
      <c r="R1122" s="3436"/>
      <c r="S1122" s="3436"/>
      <c r="T1122" s="3436"/>
      <c r="U1122" s="3436"/>
      <c r="V1122" s="3436"/>
      <c r="W1122" s="3436"/>
      <c r="X1122" s="3436"/>
      <c r="Y1122" s="3436"/>
      <c r="Z1122" s="3436"/>
      <c r="AA1122" s="3436"/>
      <c r="AB1122" s="3436"/>
      <c r="AC1122" s="3436"/>
      <c r="AD1122" s="3436"/>
      <c r="AE1122" s="3650"/>
    </row>
    <row r="1123" spans="16:31" customFormat="1">
      <c r="P1123" s="3436"/>
      <c r="Q1123" s="3436"/>
      <c r="R1123" s="3436"/>
      <c r="S1123" s="3436"/>
      <c r="T1123" s="3436"/>
      <c r="U1123" s="3436"/>
      <c r="V1123" s="3436"/>
      <c r="W1123" s="3436"/>
      <c r="X1123" s="3436"/>
      <c r="Y1123" s="3436"/>
      <c r="Z1123" s="3436"/>
      <c r="AA1123" s="3436"/>
      <c r="AB1123" s="3436"/>
      <c r="AC1123" s="3436"/>
      <c r="AD1123" s="3436"/>
      <c r="AE1123" s="3650"/>
    </row>
    <row r="1124" spans="16:31" customFormat="1">
      <c r="P1124" s="3436"/>
      <c r="Q1124" s="3436"/>
      <c r="R1124" s="3436"/>
      <c r="S1124" s="3436"/>
      <c r="T1124" s="3436"/>
      <c r="U1124" s="3436"/>
      <c r="V1124" s="3436"/>
      <c r="W1124" s="3436"/>
      <c r="X1124" s="3436"/>
      <c r="Y1124" s="3436"/>
      <c r="Z1124" s="3436"/>
      <c r="AA1124" s="3436"/>
      <c r="AB1124" s="3436"/>
      <c r="AC1124" s="3436"/>
      <c r="AD1124" s="3436"/>
      <c r="AE1124" s="3650"/>
    </row>
    <row r="1125" spans="16:31" customFormat="1">
      <c r="P1125" s="3436"/>
      <c r="Q1125" s="3436"/>
      <c r="R1125" s="3436"/>
      <c r="S1125" s="3436"/>
      <c r="T1125" s="3436"/>
      <c r="U1125" s="3436"/>
      <c r="V1125" s="3436"/>
      <c r="W1125" s="3436"/>
      <c r="X1125" s="3436"/>
      <c r="Y1125" s="3436"/>
      <c r="Z1125" s="3436"/>
      <c r="AA1125" s="3436"/>
      <c r="AB1125" s="3436"/>
      <c r="AC1125" s="3436"/>
      <c r="AD1125" s="3436"/>
      <c r="AE1125" s="3650"/>
    </row>
    <row r="1126" spans="16:31" customFormat="1">
      <c r="P1126" s="3436"/>
      <c r="Q1126" s="3436"/>
      <c r="R1126" s="3436"/>
      <c r="S1126" s="3436"/>
      <c r="T1126" s="3436"/>
      <c r="U1126" s="3436"/>
      <c r="V1126" s="3436"/>
      <c r="W1126" s="3436"/>
      <c r="X1126" s="3436"/>
      <c r="Y1126" s="3436"/>
      <c r="Z1126" s="3436"/>
      <c r="AA1126" s="3436"/>
      <c r="AB1126" s="3436"/>
      <c r="AC1126" s="3436"/>
      <c r="AD1126" s="3436"/>
      <c r="AE1126" s="3650"/>
    </row>
    <row r="1127" spans="16:31" customFormat="1">
      <c r="P1127" s="3436"/>
      <c r="Q1127" s="3436"/>
      <c r="R1127" s="3436"/>
      <c r="S1127" s="3436"/>
      <c r="T1127" s="3436"/>
      <c r="U1127" s="3436"/>
      <c r="V1127" s="3436"/>
      <c r="W1127" s="3436"/>
      <c r="X1127" s="3436"/>
      <c r="Y1127" s="3436"/>
      <c r="Z1127" s="3436"/>
      <c r="AA1127" s="3436"/>
      <c r="AB1127" s="3436"/>
      <c r="AC1127" s="3436"/>
      <c r="AD1127" s="3436"/>
      <c r="AE1127" s="3650"/>
    </row>
    <row r="1128" spans="16:31" customFormat="1">
      <c r="P1128" s="3436"/>
      <c r="Q1128" s="3436"/>
      <c r="R1128" s="3436"/>
      <c r="S1128" s="3436"/>
      <c r="T1128" s="3436"/>
      <c r="U1128" s="3436"/>
      <c r="V1128" s="3436"/>
      <c r="W1128" s="3436"/>
      <c r="X1128" s="3436"/>
      <c r="Y1128" s="3436"/>
      <c r="Z1128" s="3436"/>
      <c r="AA1128" s="3436"/>
      <c r="AB1128" s="3436"/>
      <c r="AC1128" s="3436"/>
      <c r="AD1128" s="3436"/>
      <c r="AE1128" s="3650"/>
    </row>
    <row r="1129" spans="16:31" customFormat="1">
      <c r="P1129" s="3436"/>
      <c r="Q1129" s="3436"/>
      <c r="R1129" s="3436"/>
      <c r="S1129" s="3436"/>
      <c r="T1129" s="3436"/>
      <c r="U1129" s="3436"/>
      <c r="V1129" s="3436"/>
      <c r="W1129" s="3436"/>
      <c r="X1129" s="3436"/>
      <c r="Y1129" s="3436"/>
      <c r="Z1129" s="3436"/>
      <c r="AA1129" s="3436"/>
      <c r="AB1129" s="3436"/>
      <c r="AC1129" s="3436"/>
      <c r="AD1129" s="3436"/>
      <c r="AE1129" s="3650"/>
    </row>
    <row r="1130" spans="16:31" customFormat="1">
      <c r="P1130" s="3436"/>
      <c r="Q1130" s="3436"/>
      <c r="R1130" s="3436"/>
      <c r="S1130" s="3436"/>
      <c r="T1130" s="3436"/>
      <c r="U1130" s="3436"/>
      <c r="V1130" s="3436"/>
      <c r="W1130" s="3436"/>
      <c r="X1130" s="3436"/>
      <c r="Y1130" s="3436"/>
      <c r="Z1130" s="3436"/>
      <c r="AA1130" s="3436"/>
      <c r="AB1130" s="3436"/>
      <c r="AC1130" s="3436"/>
      <c r="AD1130" s="3436"/>
      <c r="AE1130" s="3650"/>
    </row>
    <row r="1131" spans="16:31" customFormat="1">
      <c r="P1131" s="3436"/>
      <c r="Q1131" s="3436"/>
      <c r="R1131" s="3436"/>
      <c r="S1131" s="3436"/>
      <c r="T1131" s="3436"/>
      <c r="U1131" s="3436"/>
      <c r="V1131" s="3436"/>
      <c r="W1131" s="3436"/>
      <c r="X1131" s="3436"/>
      <c r="Y1131" s="3436"/>
      <c r="Z1131" s="3436"/>
      <c r="AA1131" s="3436"/>
      <c r="AB1131" s="3436"/>
      <c r="AC1131" s="3436"/>
      <c r="AD1131" s="3436"/>
      <c r="AE1131" s="3650"/>
    </row>
    <row r="1132" spans="16:31" customFormat="1">
      <c r="P1132" s="3436"/>
      <c r="Q1132" s="3436"/>
      <c r="R1132" s="3436"/>
      <c r="S1132" s="3436"/>
      <c r="T1132" s="3436"/>
      <c r="U1132" s="3436"/>
      <c r="V1132" s="3436"/>
      <c r="W1132" s="3436"/>
      <c r="X1132" s="3436"/>
      <c r="Y1132" s="3436"/>
      <c r="Z1132" s="3436"/>
      <c r="AA1132" s="3436"/>
      <c r="AB1132" s="3436"/>
      <c r="AC1132" s="3436"/>
      <c r="AD1132" s="3436"/>
      <c r="AE1132" s="3650"/>
    </row>
    <row r="1133" spans="16:31" customFormat="1">
      <c r="P1133" s="3436"/>
      <c r="Q1133" s="3436"/>
      <c r="R1133" s="3436"/>
      <c r="S1133" s="3436"/>
      <c r="T1133" s="3436"/>
      <c r="U1133" s="3436"/>
      <c r="V1133" s="3436"/>
      <c r="W1133" s="3436"/>
      <c r="X1133" s="3436"/>
      <c r="Y1133" s="3436"/>
      <c r="Z1133" s="3436"/>
      <c r="AA1133" s="3436"/>
      <c r="AB1133" s="3436"/>
      <c r="AC1133" s="3436"/>
      <c r="AD1133" s="3436"/>
      <c r="AE1133" s="3650"/>
    </row>
    <row r="1134" spans="16:31" customFormat="1">
      <c r="P1134" s="3436"/>
      <c r="Q1134" s="3436"/>
      <c r="R1134" s="3436"/>
      <c r="S1134" s="3436"/>
      <c r="T1134" s="3436"/>
      <c r="U1134" s="3436"/>
      <c r="V1134" s="3436"/>
      <c r="W1134" s="3436"/>
      <c r="X1134" s="3436"/>
      <c r="Y1134" s="3436"/>
      <c r="Z1134" s="3436"/>
      <c r="AA1134" s="3436"/>
      <c r="AB1134" s="3436"/>
      <c r="AC1134" s="3436"/>
      <c r="AD1134" s="3436"/>
      <c r="AE1134" s="3650"/>
    </row>
    <row r="1135" spans="16:31" customFormat="1">
      <c r="P1135" s="3436"/>
      <c r="Q1135" s="3436"/>
      <c r="R1135" s="3436"/>
      <c r="S1135" s="3436"/>
      <c r="T1135" s="3436"/>
      <c r="U1135" s="3436"/>
      <c r="V1135" s="3436"/>
      <c r="W1135" s="3436"/>
      <c r="X1135" s="3436"/>
      <c r="Y1135" s="3436"/>
      <c r="Z1135" s="3436"/>
      <c r="AA1135" s="3436"/>
      <c r="AB1135" s="3436"/>
      <c r="AC1135" s="3436"/>
      <c r="AD1135" s="3436"/>
      <c r="AE1135" s="3650"/>
    </row>
    <row r="1136" spans="16:31" customFormat="1">
      <c r="P1136" s="3436"/>
      <c r="Q1136" s="3436"/>
      <c r="R1136" s="3436"/>
      <c r="S1136" s="3436"/>
      <c r="T1136" s="3436"/>
      <c r="U1136" s="3436"/>
      <c r="V1136" s="3436"/>
      <c r="W1136" s="3436"/>
      <c r="X1136" s="3436"/>
      <c r="Y1136" s="3436"/>
      <c r="Z1136" s="3436"/>
      <c r="AA1136" s="3436"/>
      <c r="AB1136" s="3436"/>
      <c r="AC1136" s="3436"/>
      <c r="AD1136" s="3436"/>
      <c r="AE1136" s="3650"/>
    </row>
    <row r="1137" spans="16:31" customFormat="1">
      <c r="P1137" s="3436"/>
      <c r="Q1137" s="3436"/>
      <c r="R1137" s="3436"/>
      <c r="S1137" s="3436"/>
      <c r="T1137" s="3436"/>
      <c r="U1137" s="3436"/>
      <c r="V1137" s="3436"/>
      <c r="W1137" s="3436"/>
      <c r="X1137" s="3436"/>
      <c r="Y1137" s="3436"/>
      <c r="Z1137" s="3436"/>
      <c r="AA1137" s="3436"/>
      <c r="AB1137" s="3436"/>
      <c r="AC1137" s="3436"/>
      <c r="AD1137" s="3436"/>
      <c r="AE1137" s="3650"/>
    </row>
    <row r="1138" spans="16:31" customFormat="1">
      <c r="P1138" s="3436"/>
      <c r="Q1138" s="3436"/>
      <c r="R1138" s="3436"/>
      <c r="S1138" s="3436"/>
      <c r="T1138" s="3436"/>
      <c r="U1138" s="3436"/>
      <c r="V1138" s="3436"/>
      <c r="W1138" s="3436"/>
      <c r="X1138" s="3436"/>
      <c r="Y1138" s="3436"/>
      <c r="Z1138" s="3436"/>
      <c r="AA1138" s="3436"/>
      <c r="AB1138" s="3436"/>
      <c r="AC1138" s="3436"/>
      <c r="AD1138" s="3436"/>
      <c r="AE1138" s="3650"/>
    </row>
    <row r="1139" spans="16:31" customFormat="1">
      <c r="P1139" s="3436"/>
      <c r="Q1139" s="3436"/>
      <c r="R1139" s="3436"/>
      <c r="S1139" s="3436"/>
      <c r="T1139" s="3436"/>
      <c r="U1139" s="3436"/>
      <c r="V1139" s="3436"/>
      <c r="W1139" s="3436"/>
      <c r="X1139" s="3436"/>
      <c r="Y1139" s="3436"/>
      <c r="Z1139" s="3436"/>
      <c r="AA1139" s="3436"/>
      <c r="AB1139" s="3436"/>
      <c r="AC1139" s="3436"/>
      <c r="AD1139" s="3436"/>
      <c r="AE1139" s="3650"/>
    </row>
    <row r="1140" spans="16:31" customFormat="1">
      <c r="P1140" s="3436"/>
      <c r="Q1140" s="3436"/>
      <c r="R1140" s="3436"/>
      <c r="S1140" s="3436"/>
      <c r="T1140" s="3436"/>
      <c r="U1140" s="3436"/>
      <c r="V1140" s="3436"/>
      <c r="W1140" s="3436"/>
      <c r="X1140" s="3436"/>
      <c r="Y1140" s="3436"/>
      <c r="Z1140" s="3436"/>
      <c r="AA1140" s="3436"/>
      <c r="AB1140" s="3436"/>
      <c r="AC1140" s="3436"/>
      <c r="AD1140" s="3436"/>
      <c r="AE1140" s="3650"/>
    </row>
    <row r="1141" spans="16:31" customFormat="1">
      <c r="P1141" s="3436"/>
      <c r="Q1141" s="3436"/>
      <c r="R1141" s="3436"/>
      <c r="S1141" s="3436"/>
      <c r="T1141" s="3436"/>
      <c r="U1141" s="3436"/>
      <c r="V1141" s="3436"/>
      <c r="W1141" s="3436"/>
      <c r="X1141" s="3436"/>
      <c r="Y1141" s="3436"/>
      <c r="Z1141" s="3436"/>
      <c r="AA1141" s="3436"/>
      <c r="AB1141" s="3436"/>
      <c r="AC1141" s="3436"/>
      <c r="AD1141" s="3436"/>
      <c r="AE1141" s="3650"/>
    </row>
    <row r="1142" spans="16:31" customFormat="1">
      <c r="P1142" s="3436"/>
      <c r="Q1142" s="3436"/>
      <c r="R1142" s="3436"/>
      <c r="S1142" s="3436"/>
      <c r="T1142" s="3436"/>
      <c r="U1142" s="3436"/>
      <c r="V1142" s="3436"/>
      <c r="W1142" s="3436"/>
      <c r="X1142" s="3436"/>
      <c r="Y1142" s="3436"/>
      <c r="Z1142" s="3436"/>
      <c r="AA1142" s="3436"/>
      <c r="AB1142" s="3436"/>
      <c r="AC1142" s="3436"/>
      <c r="AD1142" s="3436"/>
      <c r="AE1142" s="3650"/>
    </row>
    <row r="1143" spans="16:31" customFormat="1">
      <c r="P1143" s="3436"/>
      <c r="Q1143" s="3436"/>
      <c r="R1143" s="3436"/>
      <c r="S1143" s="3436"/>
      <c r="T1143" s="3436"/>
      <c r="U1143" s="3436"/>
      <c r="V1143" s="3436"/>
      <c r="W1143" s="3436"/>
      <c r="X1143" s="3436"/>
      <c r="Y1143" s="3436"/>
      <c r="Z1143" s="3436"/>
      <c r="AA1143" s="3436"/>
      <c r="AB1143" s="3436"/>
      <c r="AC1143" s="3436"/>
      <c r="AD1143" s="3436"/>
      <c r="AE1143" s="3650"/>
    </row>
    <row r="1144" spans="16:31" customFormat="1">
      <c r="P1144" s="3436"/>
      <c r="Q1144" s="3436"/>
      <c r="R1144" s="3436"/>
      <c r="S1144" s="3436"/>
      <c r="T1144" s="3436"/>
      <c r="U1144" s="3436"/>
      <c r="V1144" s="3436"/>
      <c r="W1144" s="3436"/>
      <c r="X1144" s="3436"/>
      <c r="Y1144" s="3436"/>
      <c r="Z1144" s="3436"/>
      <c r="AA1144" s="3436"/>
      <c r="AB1144" s="3436"/>
      <c r="AC1144" s="3436"/>
      <c r="AD1144" s="3436"/>
      <c r="AE1144" s="3650"/>
    </row>
    <row r="1145" spans="16:31" customFormat="1">
      <c r="P1145" s="3436"/>
      <c r="Q1145" s="3436"/>
      <c r="R1145" s="3436"/>
      <c r="S1145" s="3436"/>
      <c r="T1145" s="3436"/>
      <c r="U1145" s="3436"/>
      <c r="V1145" s="3436"/>
      <c r="W1145" s="3436"/>
      <c r="X1145" s="3436"/>
      <c r="Y1145" s="3436"/>
      <c r="Z1145" s="3436"/>
      <c r="AA1145" s="3436"/>
      <c r="AB1145" s="3436"/>
      <c r="AC1145" s="3436"/>
      <c r="AD1145" s="3436"/>
      <c r="AE1145" s="3650"/>
    </row>
    <row r="1146" spans="16:31" customFormat="1">
      <c r="P1146" s="3436"/>
      <c r="Q1146" s="3436"/>
      <c r="R1146" s="3436"/>
      <c r="S1146" s="3436"/>
      <c r="T1146" s="3436"/>
      <c r="U1146" s="3436"/>
      <c r="V1146" s="3436"/>
      <c r="W1146" s="3436"/>
      <c r="X1146" s="3436"/>
      <c r="Y1146" s="3436"/>
      <c r="Z1146" s="3436"/>
      <c r="AA1146" s="3436"/>
      <c r="AB1146" s="3436"/>
      <c r="AC1146" s="3436"/>
      <c r="AD1146" s="3436"/>
      <c r="AE1146" s="3650"/>
    </row>
    <row r="1147" spans="16:31" customFormat="1">
      <c r="P1147" s="3436"/>
      <c r="Q1147" s="3436"/>
      <c r="R1147" s="3436"/>
      <c r="S1147" s="3436"/>
      <c r="T1147" s="3436"/>
      <c r="U1147" s="3436"/>
      <c r="V1147" s="3436"/>
      <c r="W1147" s="3436"/>
      <c r="X1147" s="3436"/>
      <c r="Y1147" s="3436"/>
      <c r="Z1147" s="3436"/>
      <c r="AA1147" s="3436"/>
      <c r="AB1147" s="3436"/>
      <c r="AC1147" s="3436"/>
      <c r="AD1147" s="3436"/>
      <c r="AE1147" s="3650"/>
    </row>
    <row r="1148" spans="16:31" customFormat="1">
      <c r="P1148" s="3436"/>
      <c r="Q1148" s="3436"/>
      <c r="R1148" s="3436"/>
      <c r="S1148" s="3436"/>
      <c r="T1148" s="3436"/>
      <c r="U1148" s="3436"/>
      <c r="V1148" s="3436"/>
      <c r="W1148" s="3436"/>
      <c r="X1148" s="3436"/>
      <c r="Y1148" s="3436"/>
      <c r="Z1148" s="3436"/>
      <c r="AA1148" s="3436"/>
      <c r="AB1148" s="3436"/>
      <c r="AC1148" s="3436"/>
      <c r="AD1148" s="3436"/>
      <c r="AE1148" s="3650"/>
    </row>
    <row r="1149" spans="16:31" customFormat="1">
      <c r="P1149" s="3436"/>
      <c r="Q1149" s="3436"/>
      <c r="R1149" s="3436"/>
      <c r="S1149" s="3436"/>
      <c r="T1149" s="3436"/>
      <c r="U1149" s="3436"/>
      <c r="V1149" s="3436"/>
      <c r="W1149" s="3436"/>
      <c r="X1149" s="3436"/>
      <c r="Y1149" s="3436"/>
      <c r="Z1149" s="3436"/>
      <c r="AA1149" s="3436"/>
      <c r="AB1149" s="3436"/>
      <c r="AC1149" s="3436"/>
      <c r="AD1149" s="3436"/>
      <c r="AE1149" s="3650"/>
    </row>
    <row r="1150" spans="16:31" customFormat="1">
      <c r="P1150" s="3436"/>
      <c r="Q1150" s="3436"/>
      <c r="R1150" s="3436"/>
      <c r="S1150" s="3436"/>
      <c r="T1150" s="3436"/>
      <c r="U1150" s="3436"/>
      <c r="V1150" s="3436"/>
      <c r="W1150" s="3436"/>
      <c r="X1150" s="3436"/>
      <c r="Y1150" s="3436"/>
      <c r="Z1150" s="3436"/>
      <c r="AA1150" s="3436"/>
      <c r="AB1150" s="3436"/>
      <c r="AC1150" s="3436"/>
      <c r="AD1150" s="3436"/>
      <c r="AE1150" s="3650"/>
    </row>
    <row r="1151" spans="16:31" customFormat="1">
      <c r="P1151" s="3436"/>
      <c r="Q1151" s="3436"/>
      <c r="R1151" s="3436"/>
      <c r="S1151" s="3436"/>
      <c r="T1151" s="3436"/>
      <c r="U1151" s="3436"/>
      <c r="V1151" s="3436"/>
      <c r="W1151" s="3436"/>
      <c r="X1151" s="3436"/>
      <c r="Y1151" s="3436"/>
      <c r="Z1151" s="3436"/>
      <c r="AA1151" s="3436"/>
      <c r="AB1151" s="3436"/>
      <c r="AC1151" s="3436"/>
      <c r="AD1151" s="3436"/>
      <c r="AE1151" s="3650"/>
    </row>
    <row r="1152" spans="16:31" customFormat="1">
      <c r="P1152" s="3436"/>
      <c r="Q1152" s="3436"/>
      <c r="R1152" s="3436"/>
      <c r="S1152" s="3436"/>
      <c r="T1152" s="3436"/>
      <c r="U1152" s="3436"/>
      <c r="V1152" s="3436"/>
      <c r="W1152" s="3436"/>
      <c r="X1152" s="3436"/>
      <c r="Y1152" s="3436"/>
      <c r="Z1152" s="3436"/>
      <c r="AA1152" s="3436"/>
      <c r="AB1152" s="3436"/>
      <c r="AC1152" s="3436"/>
      <c r="AD1152" s="3436"/>
      <c r="AE1152" s="3650"/>
    </row>
    <row r="1153" spans="16:31" customFormat="1">
      <c r="P1153" s="3436"/>
      <c r="Q1153" s="3436"/>
      <c r="R1153" s="3436"/>
      <c r="S1153" s="3436"/>
      <c r="T1153" s="3436"/>
      <c r="U1153" s="3436"/>
      <c r="V1153" s="3436"/>
      <c r="W1153" s="3436"/>
      <c r="X1153" s="3436"/>
      <c r="Y1153" s="3436"/>
      <c r="Z1153" s="3436"/>
      <c r="AA1153" s="3436"/>
      <c r="AB1153" s="3436"/>
      <c r="AC1153" s="3436"/>
      <c r="AD1153" s="3436"/>
      <c r="AE1153" s="3650"/>
    </row>
    <row r="1154" spans="16:31" customFormat="1">
      <c r="P1154" s="3436"/>
      <c r="Q1154" s="3436"/>
      <c r="R1154" s="3436"/>
      <c r="S1154" s="3436"/>
      <c r="T1154" s="3436"/>
      <c r="U1154" s="3436"/>
      <c r="V1154" s="3436"/>
      <c r="W1154" s="3436"/>
      <c r="X1154" s="3436"/>
      <c r="Y1154" s="3436"/>
      <c r="Z1154" s="3436"/>
      <c r="AA1154" s="3436"/>
      <c r="AB1154" s="3436"/>
      <c r="AC1154" s="3436"/>
      <c r="AD1154" s="3436"/>
      <c r="AE1154" s="3650"/>
    </row>
    <row r="1155" spans="16:31" customFormat="1">
      <c r="P1155" s="3436"/>
      <c r="Q1155" s="3436"/>
      <c r="R1155" s="3436"/>
      <c r="S1155" s="3436"/>
      <c r="T1155" s="3436"/>
      <c r="U1155" s="3436"/>
      <c r="V1155" s="3436"/>
      <c r="W1155" s="3436"/>
      <c r="X1155" s="3436"/>
      <c r="Y1155" s="3436"/>
      <c r="Z1155" s="3436"/>
      <c r="AA1155" s="3436"/>
      <c r="AB1155" s="3436"/>
      <c r="AC1155" s="3436"/>
      <c r="AD1155" s="3436"/>
      <c r="AE1155" s="3650"/>
    </row>
    <row r="1156" spans="16:31" customFormat="1">
      <c r="P1156" s="3436"/>
      <c r="Q1156" s="3436"/>
      <c r="R1156" s="3436"/>
      <c r="S1156" s="3436"/>
      <c r="T1156" s="3436"/>
      <c r="U1156" s="3436"/>
      <c r="V1156" s="3436"/>
      <c r="W1156" s="3436"/>
      <c r="X1156" s="3436"/>
      <c r="Y1156" s="3436"/>
      <c r="Z1156" s="3436"/>
      <c r="AA1156" s="3436"/>
      <c r="AB1156" s="3436"/>
      <c r="AC1156" s="3436"/>
      <c r="AD1156" s="3436"/>
      <c r="AE1156" s="3650"/>
    </row>
    <row r="1157" spans="16:31" customFormat="1">
      <c r="P1157" s="3436"/>
      <c r="Q1157" s="3436"/>
      <c r="R1157" s="3436"/>
      <c r="S1157" s="3436"/>
      <c r="T1157" s="3436"/>
      <c r="U1157" s="3436"/>
      <c r="V1157" s="3436"/>
      <c r="W1157" s="3436"/>
      <c r="X1157" s="3436"/>
      <c r="Y1157" s="3436"/>
      <c r="Z1157" s="3436"/>
      <c r="AA1157" s="3436"/>
      <c r="AB1157" s="3436"/>
      <c r="AC1157" s="3436"/>
      <c r="AD1157" s="3436"/>
      <c r="AE1157" s="3650"/>
    </row>
    <row r="1158" spans="16:31" customFormat="1">
      <c r="P1158" s="3436"/>
      <c r="Q1158" s="3436"/>
      <c r="R1158" s="3436"/>
      <c r="S1158" s="3436"/>
      <c r="T1158" s="3436"/>
      <c r="U1158" s="3436"/>
      <c r="V1158" s="3436"/>
      <c r="W1158" s="3436"/>
      <c r="X1158" s="3436"/>
      <c r="Y1158" s="3436"/>
      <c r="Z1158" s="3436"/>
      <c r="AA1158" s="3436"/>
      <c r="AB1158" s="3436"/>
      <c r="AC1158" s="3436"/>
      <c r="AD1158" s="3436"/>
      <c r="AE1158" s="3650"/>
    </row>
    <row r="1159" spans="16:31" customFormat="1">
      <c r="P1159" s="3436"/>
      <c r="Q1159" s="3436"/>
      <c r="R1159" s="3436"/>
      <c r="S1159" s="3436"/>
      <c r="T1159" s="3436"/>
      <c r="U1159" s="3436"/>
      <c r="V1159" s="3436"/>
      <c r="W1159" s="3436"/>
      <c r="X1159" s="3436"/>
      <c r="Y1159" s="3436"/>
      <c r="Z1159" s="3436"/>
      <c r="AA1159" s="3436"/>
      <c r="AB1159" s="3436"/>
      <c r="AC1159" s="3436"/>
      <c r="AD1159" s="3436"/>
      <c r="AE1159" s="3650"/>
    </row>
    <row r="1160" spans="16:31" customFormat="1">
      <c r="P1160" s="3436"/>
      <c r="Q1160" s="3436"/>
      <c r="R1160" s="3436"/>
      <c r="S1160" s="3436"/>
      <c r="T1160" s="3436"/>
      <c r="U1160" s="3436"/>
      <c r="V1160" s="3436"/>
      <c r="W1160" s="3436"/>
      <c r="X1160" s="3436"/>
      <c r="Y1160" s="3436"/>
      <c r="Z1160" s="3436"/>
      <c r="AA1160" s="3436"/>
      <c r="AB1160" s="3436"/>
      <c r="AC1160" s="3436"/>
      <c r="AD1160" s="3436"/>
      <c r="AE1160" s="3650"/>
    </row>
    <row r="1161" spans="16:31" customFormat="1">
      <c r="P1161" s="3436"/>
      <c r="Q1161" s="3436"/>
      <c r="R1161" s="3436"/>
      <c r="S1161" s="3436"/>
      <c r="T1161" s="3436"/>
      <c r="U1161" s="3436"/>
      <c r="V1161" s="3436"/>
      <c r="W1161" s="3436"/>
      <c r="X1161" s="3436"/>
      <c r="Y1161" s="3436"/>
      <c r="Z1161" s="3436"/>
      <c r="AA1161" s="3436"/>
      <c r="AB1161" s="3436"/>
      <c r="AC1161" s="3436"/>
      <c r="AD1161" s="3436"/>
      <c r="AE1161" s="3650"/>
    </row>
    <row r="1162" spans="16:31" customFormat="1">
      <c r="P1162" s="3436"/>
      <c r="Q1162" s="3436"/>
      <c r="R1162" s="3436"/>
      <c r="S1162" s="3436"/>
      <c r="T1162" s="3436"/>
      <c r="U1162" s="3436"/>
      <c r="V1162" s="3436"/>
      <c r="W1162" s="3436"/>
      <c r="X1162" s="3436"/>
      <c r="Y1162" s="3436"/>
      <c r="Z1162" s="3436"/>
      <c r="AA1162" s="3436"/>
      <c r="AB1162" s="3436"/>
      <c r="AC1162" s="3436"/>
      <c r="AD1162" s="3436"/>
      <c r="AE1162" s="3650"/>
    </row>
  </sheetData>
  <mergeCells count="8">
    <mergeCell ref="C2:F2"/>
    <mergeCell ref="C27:F27"/>
    <mergeCell ref="C87:F87"/>
    <mergeCell ref="C96:F96"/>
    <mergeCell ref="C240:F240"/>
    <mergeCell ref="C185:F185"/>
    <mergeCell ref="C109:F109"/>
    <mergeCell ref="C140:F140"/>
  </mergeCells>
  <phoneticPr fontId="60" type="noConversion"/>
  <conditionalFormatting sqref="G213:O213 G218:O218 G215:O215">
    <cfRule type="cellIs" dxfId="36" priority="9" stopIfTrue="1" operator="notBetween">
      <formula>-0.001</formula>
      <formula>0.001</formula>
    </cfRule>
  </conditionalFormatting>
  <conditionalFormatting sqref="P213:Y213 P218:Y218 P215:Z215">
    <cfRule type="cellIs" dxfId="35" priority="5" stopIfTrue="1" operator="notBetween">
      <formula>-0.001</formula>
      <formula>0.001</formula>
    </cfRule>
  </conditionalFormatting>
  <conditionalFormatting sqref="Z218 Z213:AA213">
    <cfRule type="cellIs" dxfId="34" priority="4" stopIfTrue="1" operator="notBetween">
      <formula>-0.001</formula>
      <formula>0.001</formula>
    </cfRule>
  </conditionalFormatting>
  <conditionalFormatting sqref="AA215:AC215 AA218:AC218 AA213:AC213">
    <cfRule type="cellIs" dxfId="33" priority="3" stopIfTrue="1" operator="notBetween">
      <formula>-0.001</formula>
      <formula>0.001</formula>
    </cfRule>
  </conditionalFormatting>
  <conditionalFormatting sqref="AD215 AD213 AD218">
    <cfRule type="cellIs" dxfId="32" priority="2" stopIfTrue="1" operator="notBetween">
      <formula>-0.001</formula>
      <formula>0.001</formula>
    </cfRule>
  </conditionalFormatting>
  <conditionalFormatting sqref="AE215 AE213 AE218">
    <cfRule type="cellIs" dxfId="31" priority="1" stopIfTrue="1" operator="notBetween">
      <formula>-0.001</formula>
      <formula>0.001</formula>
    </cfRule>
  </conditionalFormatting>
  <hyperlinks>
    <hyperlink ref="E212" location="Sector1!E416" display="Follow this link to GVT final consumption expenditure"/>
  </hyperlinks>
  <pageMargins left="0.75" right="0.75" top="1" bottom="1" header="0.5" footer="0.5"/>
  <pageSetup scale="11" orientation="landscape" r:id="rId1"/>
  <headerFooter alignWithMargins="0"/>
  <ignoredErrors>
    <ignoredError sqref="G34 H7:O7 G7 H34:O34" formula="1"/>
  </ignoredErrors>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indexed="42"/>
  </sheetPr>
  <dimension ref="A1:O222"/>
  <sheetViews>
    <sheetView showGridLines="0" workbookViewId="0">
      <selection activeCell="O91" sqref="O91"/>
    </sheetView>
  </sheetViews>
  <sheetFormatPr defaultRowHeight="12.75"/>
  <sheetData>
    <row r="1" spans="1:14">
      <c r="A1" s="1503"/>
      <c r="B1" s="1503"/>
      <c r="C1" s="1503"/>
      <c r="D1" s="1503"/>
      <c r="E1" s="1503"/>
      <c r="F1" s="1503"/>
      <c r="G1" s="1503"/>
      <c r="H1" s="1503"/>
      <c r="I1" s="1503"/>
      <c r="J1" s="1503"/>
      <c r="K1" s="1503"/>
      <c r="L1" s="1503"/>
      <c r="M1" s="1503"/>
      <c r="N1" s="1503"/>
    </row>
    <row r="2" spans="1:14" ht="18">
      <c r="A2" s="1504" t="s">
        <v>50</v>
      </c>
      <c r="B2" s="1503"/>
      <c r="C2" s="1503"/>
      <c r="D2" s="1503"/>
      <c r="E2" s="1503"/>
      <c r="F2" s="1503"/>
      <c r="G2" s="1503"/>
      <c r="H2" s="1503"/>
      <c r="I2" s="1503"/>
      <c r="J2" s="1503"/>
      <c r="K2" s="1503"/>
      <c r="L2" s="1503"/>
      <c r="M2" s="1503"/>
      <c r="N2" s="1503"/>
    </row>
    <row r="3" spans="1:14">
      <c r="A3" s="1503"/>
      <c r="B3" s="1503"/>
      <c r="C3" s="1503"/>
      <c r="D3" s="1503"/>
      <c r="E3" s="1503"/>
      <c r="F3" s="1503"/>
      <c r="G3" s="1503"/>
      <c r="H3" s="1503"/>
      <c r="I3" s="1503"/>
      <c r="J3" s="1503"/>
      <c r="K3" s="1503"/>
      <c r="L3" s="1503"/>
      <c r="M3" s="1503"/>
      <c r="N3" s="1503"/>
    </row>
    <row r="88" spans="15:15">
      <c r="O88" t="s">
        <v>784</v>
      </c>
    </row>
    <row r="89" spans="15:15">
      <c r="O89" t="s">
        <v>785</v>
      </c>
    </row>
    <row r="90" spans="15:15">
      <c r="O90" t="s">
        <v>1864</v>
      </c>
    </row>
    <row r="91" spans="15:15">
      <c r="O91" t="s">
        <v>1865</v>
      </c>
    </row>
    <row r="92" spans="15:15">
      <c r="O92" t="s">
        <v>1830</v>
      </c>
    </row>
    <row r="109" spans="1:14">
      <c r="A109" s="1503"/>
      <c r="B109" s="1503"/>
      <c r="C109" s="1503"/>
      <c r="D109" s="1503"/>
      <c r="E109" s="1503"/>
      <c r="F109" s="1503"/>
      <c r="G109" s="1503"/>
      <c r="H109" s="1503"/>
      <c r="I109" s="1503"/>
      <c r="J109" s="1503"/>
      <c r="K109" s="1503"/>
      <c r="L109" s="1503"/>
      <c r="M109" s="1503"/>
      <c r="N109" s="1503"/>
    </row>
    <row r="110" spans="1:14" ht="18">
      <c r="A110" s="1504" t="s">
        <v>51</v>
      </c>
      <c r="B110" s="1503"/>
      <c r="C110" s="1503"/>
      <c r="D110" s="1503"/>
      <c r="E110" s="1503"/>
      <c r="F110" s="1503"/>
      <c r="G110" s="1503"/>
      <c r="H110" s="1503"/>
      <c r="I110" s="1503"/>
      <c r="J110" s="1503"/>
      <c r="K110" s="1503"/>
      <c r="L110" s="1503"/>
      <c r="M110" s="1503"/>
      <c r="N110" s="1503"/>
    </row>
    <row r="111" spans="1:14">
      <c r="A111" s="1503"/>
      <c r="B111" s="1503"/>
      <c r="C111" s="1503"/>
      <c r="D111" s="1503"/>
      <c r="E111" s="1503"/>
      <c r="F111" s="1503"/>
      <c r="G111" s="1503"/>
      <c r="H111" s="1503"/>
      <c r="I111" s="1503"/>
      <c r="J111" s="1503"/>
      <c r="K111" s="1503"/>
      <c r="L111" s="1503"/>
      <c r="M111" s="1503"/>
      <c r="N111" s="1503"/>
    </row>
    <row r="133" spans="1:14">
      <c r="A133" s="1503"/>
      <c r="B133" s="1503"/>
      <c r="C133" s="1503"/>
      <c r="D133" s="1503"/>
      <c r="E133" s="1503"/>
      <c r="F133" s="1503"/>
      <c r="G133" s="1503"/>
      <c r="H133" s="1503"/>
      <c r="I133" s="1503"/>
      <c r="J133" s="1503"/>
      <c r="K133" s="1503"/>
      <c r="L133" s="1503"/>
      <c r="M133" s="1503"/>
      <c r="N133" s="1503"/>
    </row>
    <row r="134" spans="1:14" ht="18">
      <c r="A134" s="1504" t="s">
        <v>193</v>
      </c>
      <c r="B134" s="1503"/>
      <c r="C134" s="1503"/>
      <c r="D134" s="1503"/>
      <c r="E134" s="1503"/>
      <c r="F134" s="1503"/>
      <c r="G134" s="1503"/>
      <c r="H134" s="1503"/>
      <c r="I134" s="1503"/>
      <c r="J134" s="1503"/>
      <c r="K134" s="1503"/>
      <c r="L134" s="1503"/>
      <c r="M134" s="1503"/>
      <c r="N134" s="1503"/>
    </row>
    <row r="135" spans="1:14">
      <c r="A135" s="1503"/>
      <c r="B135" s="1503"/>
      <c r="C135" s="1503"/>
      <c r="D135" s="1503"/>
      <c r="E135" s="1503"/>
      <c r="F135" s="1503"/>
      <c r="G135" s="1503"/>
      <c r="H135" s="1503"/>
      <c r="I135" s="1503"/>
      <c r="J135" s="1503"/>
      <c r="K135" s="1503"/>
      <c r="L135" s="1503"/>
      <c r="M135" s="1503"/>
      <c r="N135" s="1503"/>
    </row>
    <row r="220" spans="1:14">
      <c r="A220" s="1503"/>
      <c r="B220" s="1503"/>
      <c r="C220" s="1503"/>
      <c r="D220" s="1503"/>
      <c r="E220" s="1503"/>
      <c r="F220" s="1503"/>
      <c r="G220" s="1503"/>
      <c r="H220" s="1503"/>
      <c r="I220" s="1503"/>
      <c r="J220" s="1503"/>
      <c r="K220" s="1503"/>
      <c r="L220" s="1503"/>
      <c r="M220" s="1503"/>
      <c r="N220" s="1503"/>
    </row>
    <row r="221" spans="1:14" ht="18">
      <c r="A221" s="1504" t="s">
        <v>1261</v>
      </c>
      <c r="B221" s="1503"/>
      <c r="C221" s="1503"/>
      <c r="D221" s="1503"/>
      <c r="E221" s="1503"/>
      <c r="F221" s="1503"/>
      <c r="G221" s="1503"/>
      <c r="H221" s="1503"/>
      <c r="I221" s="1503"/>
      <c r="J221" s="1503"/>
      <c r="K221" s="1503"/>
      <c r="L221" s="1503"/>
      <c r="M221" s="1503"/>
      <c r="N221" s="1503"/>
    </row>
    <row r="222" spans="1:14">
      <c r="A222" s="1503"/>
      <c r="B222" s="1503"/>
      <c r="C222" s="1503"/>
      <c r="D222" s="1503"/>
      <c r="E222" s="1503"/>
      <c r="F222" s="1503"/>
      <c r="G222" s="1503"/>
      <c r="H222" s="1503"/>
      <c r="I222" s="1503"/>
      <c r="J222" s="1503"/>
      <c r="K222" s="1503"/>
      <c r="L222" s="1503"/>
      <c r="M222" s="1503"/>
      <c r="N222" s="1503"/>
    </row>
  </sheetData>
  <phoneticPr fontId="60" type="noConversion"/>
  <pageMargins left="0.75" right="0.75" top="1" bottom="1" header="0.5" footer="0.5"/>
  <headerFooter alignWithMargins="0"/>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enableFormatConditionsCalculation="0">
    <tabColor indexed="43"/>
    <pageSetUpPr fitToPage="1"/>
  </sheetPr>
  <dimension ref="A1:DI1979"/>
  <sheetViews>
    <sheetView showGridLines="0" topLeftCell="C418" zoomScaleNormal="100" workbookViewId="0">
      <pane ySplit="7845" topLeftCell="A524" activePane="bottomLeft"/>
      <selection activeCell="AD433" sqref="AD433"/>
      <selection pane="bottomLeft" activeCell="AC568" sqref="AC568"/>
    </sheetView>
  </sheetViews>
  <sheetFormatPr defaultRowHeight="12.75"/>
  <cols>
    <col min="1" max="1" width="4.28515625" style="663" customWidth="1"/>
    <col min="2" max="2" width="7.140625" style="663" customWidth="1"/>
    <col min="3" max="3" width="4" style="694" customWidth="1"/>
    <col min="4" max="4" width="4" style="670" customWidth="1"/>
    <col min="5" max="5" width="46.5703125" style="699" customWidth="1"/>
    <col min="6" max="6" width="12.42578125" style="694" customWidth="1"/>
    <col min="7" max="7" width="9.28515625" style="699" hidden="1" customWidth="1"/>
    <col min="8" max="9" width="9.5703125" style="699" hidden="1" customWidth="1"/>
    <col min="10" max="13" width="9.140625" style="699" hidden="1" customWidth="1"/>
    <col min="14" max="14" width="9.28515625" style="699" hidden="1" customWidth="1"/>
    <col min="15" max="16" width="10" style="699" hidden="1" customWidth="1"/>
    <col min="17" max="17" width="10" style="843" hidden="1" customWidth="1"/>
    <col min="18" max="18" width="9.85546875" style="2221" customWidth="1"/>
    <col min="19" max="19" width="9.5703125" style="2221" customWidth="1"/>
    <col min="20" max="20" width="10.5703125" style="2221" customWidth="1"/>
    <col min="21" max="22" width="9.5703125" style="2221" customWidth="1"/>
    <col min="23" max="23" width="10.85546875" style="2221" bestFit="1" customWidth="1"/>
    <col min="24" max="24" width="14" style="2221" bestFit="1" customWidth="1"/>
    <col min="25" max="25" width="13.7109375" style="2221" bestFit="1" customWidth="1"/>
    <col min="26" max="26" width="11.42578125" style="2221" bestFit="1" customWidth="1"/>
    <col min="27" max="27" width="11.7109375" style="2221" bestFit="1" customWidth="1"/>
    <col min="28" max="28" width="11.28515625" style="2861" bestFit="1" customWidth="1"/>
    <col min="29" max="31" width="16.85546875" style="2861" bestFit="1" customWidth="1"/>
    <col min="32" max="32" width="11.28515625" customWidth="1"/>
    <col min="114" max="16384" width="9.140625" style="699"/>
  </cols>
  <sheetData>
    <row r="1" spans="1:113">
      <c r="R1" s="843"/>
      <c r="S1" s="843"/>
      <c r="T1" s="843"/>
      <c r="U1" s="843"/>
      <c r="V1" s="843"/>
      <c r="W1" s="843"/>
      <c r="X1" s="843"/>
      <c r="Y1" s="843"/>
      <c r="Z1" s="843"/>
      <c r="AA1" s="843"/>
    </row>
    <row r="2" spans="1:113" ht="22.5" customHeight="1">
      <c r="A2" s="574"/>
      <c r="B2" s="574"/>
      <c r="C2" s="3752" t="s">
        <v>738</v>
      </c>
      <c r="D2" s="3752"/>
      <c r="E2" s="3770"/>
      <c r="F2" s="2306">
        <v>0.1</v>
      </c>
      <c r="G2" s="1977" t="e">
        <f t="shared" ref="G2:AC2" si="0">IF(G14+G51+G89+G115+G144+G206+G262+G303+G330+G428+G491+G523+G545+G567+G569+G632+G665+G774+G784+G791&lt;$F$2,"ok","Not ok")</f>
        <v>#VALUE!</v>
      </c>
      <c r="H2" s="1977" t="e">
        <f t="shared" si="0"/>
        <v>#VALUE!</v>
      </c>
      <c r="I2" s="1977" t="e">
        <f t="shared" si="0"/>
        <v>#VALUE!</v>
      </c>
      <c r="J2" s="1977" t="e">
        <f t="shared" si="0"/>
        <v>#VALUE!</v>
      </c>
      <c r="K2" s="1977" t="e">
        <f t="shared" si="0"/>
        <v>#VALUE!</v>
      </c>
      <c r="L2" s="1977" t="e">
        <f t="shared" si="0"/>
        <v>#VALUE!</v>
      </c>
      <c r="M2" s="1977" t="e">
        <f t="shared" si="0"/>
        <v>#VALUE!</v>
      </c>
      <c r="N2" s="1977" t="e">
        <f t="shared" si="0"/>
        <v>#VALUE!</v>
      </c>
      <c r="O2" s="1977" t="e">
        <f t="shared" si="0"/>
        <v>#VALUE!</v>
      </c>
      <c r="P2" s="1977" t="e">
        <f t="shared" si="0"/>
        <v>#VALUE!</v>
      </c>
      <c r="Q2" s="1977" t="e">
        <f t="shared" si="0"/>
        <v>#VALUE!</v>
      </c>
      <c r="R2" s="1977" t="e">
        <f t="shared" si="0"/>
        <v>#VALUE!</v>
      </c>
      <c r="S2" s="1977" t="e">
        <f t="shared" si="0"/>
        <v>#VALUE!</v>
      </c>
      <c r="T2" s="1977" t="str">
        <f t="shared" si="0"/>
        <v>Not ok</v>
      </c>
      <c r="U2" s="1977" t="str">
        <f t="shared" si="0"/>
        <v>Not ok</v>
      </c>
      <c r="V2" s="1977" t="str">
        <f t="shared" si="0"/>
        <v>Not ok</v>
      </c>
      <c r="W2" s="1977" t="str">
        <f t="shared" si="0"/>
        <v>Not ok</v>
      </c>
      <c r="X2" s="1977" t="str">
        <f t="shared" si="0"/>
        <v>Not ok</v>
      </c>
      <c r="Y2" s="1977" t="str">
        <f t="shared" si="0"/>
        <v>Not ok</v>
      </c>
      <c r="Z2" s="1977" t="str">
        <f t="shared" si="0"/>
        <v>ok</v>
      </c>
      <c r="AA2" s="1977" t="str">
        <f>IF(AA14+AA51+AA89+AA115+AA144+AA206+AA262+AA303+AA330+AA428+AA491+AA523+AA545+AA567+AA569+AA632+AA665+AA774+AA784+AA791&lt;$F$2,"ok","Not ok")</f>
        <v>ok</v>
      </c>
      <c r="AB2" s="1977" t="str">
        <f t="shared" si="0"/>
        <v>ok</v>
      </c>
      <c r="AC2" s="1977" t="str">
        <f t="shared" ca="1" si="0"/>
        <v>ok</v>
      </c>
      <c r="AD2" s="1977" t="str">
        <f ca="1">IF(AD14+AD51+AD89+AD115+AD144+AD206+AD262+AD303+AD330+AD428+AD491+AD523+AD545+AD567+AD569+AD632+AD665+AD774+AD784+AD791&lt;$F$2,"ok","Not ok")</f>
        <v>ok</v>
      </c>
      <c r="AE2" s="1977" t="str">
        <f ca="1">IF(AE14+AE51+AE89+AE115+AE144+AE206+AE262+AE303+AE330+AE428+AE491+AE523+AE545+AE567+AE569+AE632+AE665+AE774+AE784+AE791&lt;$F$2,"ok","Not ok")</f>
        <v>ok</v>
      </c>
    </row>
    <row r="3" spans="1:113">
      <c r="AB3" s="2221"/>
    </row>
    <row r="4" spans="1:113">
      <c r="AB4" s="2221"/>
    </row>
    <row r="5" spans="1:113" ht="22.5" customHeight="1">
      <c r="A5" s="574"/>
      <c r="B5" s="574"/>
      <c r="C5" s="3752" t="s">
        <v>976</v>
      </c>
      <c r="D5" s="3752"/>
      <c r="E5" s="3752"/>
      <c r="F5" s="3752"/>
      <c r="V5" s="3120"/>
      <c r="W5" s="2274"/>
      <c r="AB5" s="2221"/>
    </row>
    <row r="6" spans="1:113" ht="12.75" customHeight="1">
      <c r="A6" s="664"/>
      <c r="B6" s="664"/>
      <c r="C6" s="774"/>
      <c r="T6" s="3120"/>
      <c r="U6" s="3120"/>
      <c r="V6" s="1869"/>
      <c r="AB6" s="2221"/>
      <c r="AC6" s="2861">
        <v>4.66</v>
      </c>
    </row>
    <row r="7" spans="1:113" ht="12.75" customHeight="1">
      <c r="A7" s="664"/>
      <c r="B7" s="664"/>
      <c r="C7" s="774"/>
      <c r="D7" s="775"/>
      <c r="E7" s="776" t="s">
        <v>1384</v>
      </c>
      <c r="F7" s="777"/>
      <c r="G7" s="778">
        <f>+InputY!$G$3</f>
        <v>1995</v>
      </c>
      <c r="H7" s="778">
        <f t="shared" ref="H7:R7" si="1">+G7+1</f>
        <v>1996</v>
      </c>
      <c r="I7" s="778">
        <f t="shared" si="1"/>
        <v>1997</v>
      </c>
      <c r="J7" s="778">
        <f t="shared" si="1"/>
        <v>1998</v>
      </c>
      <c r="K7" s="778">
        <f>+J7+1</f>
        <v>1999</v>
      </c>
      <c r="L7" s="778">
        <f t="shared" si="1"/>
        <v>2000</v>
      </c>
      <c r="M7" s="778">
        <f t="shared" si="1"/>
        <v>2001</v>
      </c>
      <c r="N7" s="778">
        <f t="shared" si="1"/>
        <v>2002</v>
      </c>
      <c r="O7" s="778">
        <f t="shared" si="1"/>
        <v>2003</v>
      </c>
      <c r="P7" s="778">
        <f>+O7+1</f>
        <v>2004</v>
      </c>
      <c r="Q7" s="778">
        <f t="shared" si="1"/>
        <v>2005</v>
      </c>
      <c r="R7" s="2222">
        <f t="shared" si="1"/>
        <v>2006</v>
      </c>
      <c r="S7" s="2222">
        <f t="shared" ref="S7:X7" si="2">+R7+1</f>
        <v>2007</v>
      </c>
      <c r="T7" s="2222">
        <f t="shared" si="2"/>
        <v>2008</v>
      </c>
      <c r="U7" s="2222">
        <f t="shared" si="2"/>
        <v>2009</v>
      </c>
      <c r="V7" s="2222">
        <f t="shared" si="2"/>
        <v>2010</v>
      </c>
      <c r="W7" s="2222">
        <f t="shared" si="2"/>
        <v>2011</v>
      </c>
      <c r="X7" s="2222">
        <f t="shared" si="2"/>
        <v>2012</v>
      </c>
      <c r="Y7" s="2222">
        <f t="shared" ref="Y7:AE7" si="3">+X7+1</f>
        <v>2013</v>
      </c>
      <c r="Z7" s="2222">
        <f t="shared" si="3"/>
        <v>2014</v>
      </c>
      <c r="AA7" s="2222">
        <f t="shared" si="3"/>
        <v>2015</v>
      </c>
      <c r="AB7" s="2222">
        <f t="shared" si="3"/>
        <v>2016</v>
      </c>
      <c r="AC7" s="2222">
        <f t="shared" si="3"/>
        <v>2017</v>
      </c>
      <c r="AD7" s="2222">
        <f t="shared" si="3"/>
        <v>2018</v>
      </c>
      <c r="AE7" s="2222">
        <f t="shared" si="3"/>
        <v>2019</v>
      </c>
      <c r="AF7" s="2861"/>
    </row>
    <row r="8" spans="1:113" ht="12.75" customHeight="1">
      <c r="A8" s="664">
        <f>+ROW(InputY!A103)</f>
        <v>103</v>
      </c>
      <c r="B8" s="664">
        <v>50</v>
      </c>
      <c r="C8" s="779" t="s">
        <v>1767</v>
      </c>
      <c r="D8" s="668" t="s">
        <v>684</v>
      </c>
      <c r="E8" s="700" t="s">
        <v>1766</v>
      </c>
      <c r="F8" s="701" t="str">
        <f>+InputY!B103</f>
        <v>YATaxProd</v>
      </c>
      <c r="G8" s="780">
        <f>+InputY!G103/1000</f>
        <v>0.89854000000000001</v>
      </c>
      <c r="H8" s="780">
        <f>+InputY!H103/1000</f>
        <v>1.06829</v>
      </c>
      <c r="I8" s="780">
        <f>+InputY!I103/1000</f>
        <v>1.5122899999999999</v>
      </c>
      <c r="J8" s="780">
        <f>+InputY!J103/1000</f>
        <v>1.7178800000000001</v>
      </c>
      <c r="K8" s="780">
        <f>+InputY!K103/1000</f>
        <v>1.65448</v>
      </c>
      <c r="L8" s="780">
        <f>+InputY!L103/1000</f>
        <v>1.58941</v>
      </c>
      <c r="M8" s="780">
        <f>+InputY!M103/1000</f>
        <v>1.6358499999999998</v>
      </c>
      <c r="N8" s="780">
        <f>+InputY!N103/1000</f>
        <v>1.7799700000000001</v>
      </c>
      <c r="O8" s="780">
        <f>+InputY!O103/1000</f>
        <v>1.8392200000000001</v>
      </c>
      <c r="P8" s="780">
        <f>+InputY!P103/1000</f>
        <v>1.9280999999999999</v>
      </c>
      <c r="Q8" s="780">
        <f>+InputY!Q103/1000</f>
        <v>2.2637700000000001</v>
      </c>
      <c r="R8" s="780">
        <f>+InputY!R103/1000</f>
        <v>2.61253</v>
      </c>
      <c r="S8" s="780">
        <f>+InputY!S103/1000</f>
        <v>3.2654899999999998</v>
      </c>
      <c r="T8" s="780">
        <f>+InputY!T103/1000</f>
        <v>3.7011799999999999</v>
      </c>
      <c r="U8" s="780">
        <f>+InputY!U103/1000</f>
        <v>2.9961599999999997</v>
      </c>
      <c r="V8" s="780">
        <f>+InputY!V103/1000</f>
        <v>3.1924800000000002</v>
      </c>
      <c r="W8" s="780">
        <f>+InputY!W103/1000</f>
        <v>3.5021399999999998</v>
      </c>
      <c r="X8" s="780">
        <f>+InputY!X103/1000</f>
        <v>3.5937899999999998</v>
      </c>
      <c r="Y8" s="780">
        <f>+InputY!Y103/1000</f>
        <v>3.7091500000000002</v>
      </c>
      <c r="Z8" s="780">
        <f>+InputY!Z103/1000</f>
        <v>3.9403299999999999</v>
      </c>
      <c r="AA8" s="3690">
        <f>+InputY!AA103/1000</f>
        <v>4.2110900000000004</v>
      </c>
      <c r="AB8" s="3745">
        <f>+InputY!AB103/1000</f>
        <v>4.4171499999999995</v>
      </c>
      <c r="AC8" s="3745">
        <f>+InputY!AC103/1000</f>
        <v>4.8132999999999999</v>
      </c>
      <c r="AD8" s="2232">
        <f t="shared" ref="AC8:AE12" si="4">+AC8*(1+AD17/100)</f>
        <v>5.123979558019216</v>
      </c>
      <c r="AE8" s="2232">
        <f t="shared" si="4"/>
        <v>5.4109224132682927</v>
      </c>
      <c r="AF8" s="2861" t="s">
        <v>2462</v>
      </c>
    </row>
    <row r="9" spans="1:113" ht="12.75" customHeight="1">
      <c r="A9" s="664">
        <f>+ROW(InputY!A181)</f>
        <v>181</v>
      </c>
      <c r="B9" s="664"/>
      <c r="C9" s="782" t="s">
        <v>1767</v>
      </c>
      <c r="D9" s="674" t="s">
        <v>685</v>
      </c>
      <c r="E9" s="783" t="s">
        <v>1374</v>
      </c>
      <c r="F9" s="704" t="str">
        <f>+InputY!B181</f>
        <v>$HTaxOth</v>
      </c>
      <c r="G9" s="706">
        <f>+InputY!G181/1000</f>
        <v>8.3099999999999997E-3</v>
      </c>
      <c r="H9" s="706">
        <f>+InputY!H181/1000</f>
        <v>3.058E-2</v>
      </c>
      <c r="I9" s="706">
        <f>+InputY!I181/1000</f>
        <v>1.2670000000000001E-2</v>
      </c>
      <c r="J9" s="706">
        <f>+InputY!J181/1000</f>
        <v>1.191E-2</v>
      </c>
      <c r="K9" s="706">
        <f>+InputY!K181/1000</f>
        <v>1.1630000000000001E-2</v>
      </c>
      <c r="L9" s="706">
        <f>+InputY!L181/1000</f>
        <v>1.585E-2</v>
      </c>
      <c r="M9" s="706">
        <f>+InputY!M181/1000</f>
        <v>2.0829999999999998E-2</v>
      </c>
      <c r="N9" s="706">
        <f>+InputY!N181/1000</f>
        <v>3.5810000000000002E-2</v>
      </c>
      <c r="O9" s="706">
        <f>+InputY!O181/1000</f>
        <v>1.5619999999999998E-2</v>
      </c>
      <c r="P9" s="706">
        <f>+InputY!P181/1000</f>
        <v>1.992E-2</v>
      </c>
      <c r="Q9" s="706">
        <f>+InputY!Q181/1000</f>
        <v>2.2589999999999999E-2</v>
      </c>
      <c r="R9" s="706">
        <f>+InputY!R181/1000</f>
        <v>2.104E-2</v>
      </c>
      <c r="S9" s="706">
        <f>+InputY!S181/1000</f>
        <v>2.4559999999999998E-2</v>
      </c>
      <c r="T9" s="706">
        <f>+InputY!T181/1000</f>
        <v>2.8829999999999998E-2</v>
      </c>
      <c r="U9" s="706">
        <f>+InputY!U181/1000</f>
        <v>2.1950000000000001E-2</v>
      </c>
      <c r="V9" s="706">
        <f>+InputY!V181/1000</f>
        <v>2.9440000000000001E-2</v>
      </c>
      <c r="W9" s="706">
        <f>+InputY!W181/1000</f>
        <v>2.375E-2</v>
      </c>
      <c r="X9" s="706">
        <f>+InputY!X181/1000</f>
        <v>2.214E-2</v>
      </c>
      <c r="Y9" s="706">
        <f>+InputY!Y181/1000</f>
        <v>2.2120000000000001E-2</v>
      </c>
      <c r="Z9" s="706">
        <f>+InputY!Z181/1000</f>
        <v>1.7780000000000001E-2</v>
      </c>
      <c r="AA9" s="706">
        <f>+InputY!AA181/1000</f>
        <v>2.4340000000000001E-2</v>
      </c>
      <c r="AB9" s="706">
        <f>+InputY!AB181/1000</f>
        <v>2.4559999999999998E-2</v>
      </c>
      <c r="AC9" s="2217">
        <f t="shared" si="4"/>
        <v>2.6279199999999999E-2</v>
      </c>
      <c r="AD9" s="2217">
        <f t="shared" si="4"/>
        <v>2.8118744000000001E-2</v>
      </c>
      <c r="AE9" s="2217">
        <f t="shared" si="4"/>
        <v>3.0087056080000004E-2</v>
      </c>
      <c r="AF9" s="2861" t="s">
        <v>2463</v>
      </c>
    </row>
    <row r="10" spans="1:113" ht="12.75" customHeight="1">
      <c r="A10" s="664">
        <f>+ROW(InputY!A114)</f>
        <v>114</v>
      </c>
      <c r="B10" s="664">
        <v>102</v>
      </c>
      <c r="C10" s="782" t="s">
        <v>1767</v>
      </c>
      <c r="D10" s="674" t="s">
        <v>686</v>
      </c>
      <c r="E10" s="783" t="s">
        <v>1374</v>
      </c>
      <c r="F10" s="704" t="str">
        <f>+InputY!B114</f>
        <v>$ETaxProd</v>
      </c>
      <c r="G10" s="706">
        <f>+InputY!G114/1000</f>
        <v>2.444E-2</v>
      </c>
      <c r="H10" s="706">
        <f>+InputY!H114/1000</f>
        <v>2.0420000000000001E-2</v>
      </c>
      <c r="I10" s="706">
        <f>+InputY!I114/1000</f>
        <v>5.4789999999999998E-2</v>
      </c>
      <c r="J10" s="706">
        <f>+InputY!J114/1000</f>
        <v>5.9069999999999998E-2</v>
      </c>
      <c r="K10" s="706">
        <f>+InputY!K114/1000</f>
        <v>7.102E-2</v>
      </c>
      <c r="L10" s="706">
        <f>+InputY!L114/1000</f>
        <v>6.1149999999999996E-2</v>
      </c>
      <c r="M10" s="706">
        <f>+InputY!M114/1000</f>
        <v>6.5700000000000008E-2</v>
      </c>
      <c r="N10" s="706">
        <f>+InputY!N114/1000</f>
        <v>6.003E-2</v>
      </c>
      <c r="O10" s="706">
        <f>+InputY!O114/1000</f>
        <v>7.8189999999999996E-2</v>
      </c>
      <c r="P10" s="706">
        <f>+InputY!P114/1000</f>
        <v>0.10031</v>
      </c>
      <c r="Q10" s="706">
        <f>+InputY!Q114/1000</f>
        <v>0.10956999999999999</v>
      </c>
      <c r="R10" s="706">
        <f>+InputY!R114/1000</f>
        <v>0.13700999999999999</v>
      </c>
      <c r="S10" s="706">
        <f>+InputY!S114/1000</f>
        <v>0.15727000000000002</v>
      </c>
      <c r="T10" s="706">
        <f>+InputY!T114/1000</f>
        <v>0.15278999999999998</v>
      </c>
      <c r="U10" s="706">
        <f>+InputY!U114/1000</f>
        <v>0.15337000000000001</v>
      </c>
      <c r="V10" s="706">
        <f>+InputY!V114/1000</f>
        <v>0.14898</v>
      </c>
      <c r="W10" s="706">
        <f>+InputY!W114/1000</f>
        <v>0.16141999999999998</v>
      </c>
      <c r="X10" s="1455">
        <f>+InputY!X114/1000</f>
        <v>0.16938999999999999</v>
      </c>
      <c r="Y10" s="1455">
        <f>+InputY!Y114/1000</f>
        <v>0.18053999999999998</v>
      </c>
      <c r="Z10" s="1455">
        <f>+InputY!Z114/1000</f>
        <v>0.20343</v>
      </c>
      <c r="AA10" s="1455">
        <f>+InputY!AA114/1000</f>
        <v>0.21567</v>
      </c>
      <c r="AB10" s="1455">
        <f>+InputY!AB114/1000</f>
        <v>0.19243000000000002</v>
      </c>
      <c r="AC10" s="2217">
        <f t="shared" si="4"/>
        <v>0.20205150000000002</v>
      </c>
      <c r="AD10" s="2217">
        <f t="shared" si="4"/>
        <v>0.21215407500000003</v>
      </c>
      <c r="AE10" s="2217">
        <f t="shared" si="4"/>
        <v>0.22276177875000003</v>
      </c>
      <c r="AF10" s="2861" t="s">
        <v>2463</v>
      </c>
    </row>
    <row r="11" spans="1:113" ht="12.75" customHeight="1">
      <c r="A11" s="664">
        <f>+ROW(InputY!A148)</f>
        <v>148</v>
      </c>
      <c r="B11" s="664" t="s">
        <v>1695</v>
      </c>
      <c r="C11" s="782" t="s">
        <v>1767</v>
      </c>
      <c r="D11" s="674" t="s">
        <v>687</v>
      </c>
      <c r="E11" s="783" t="s">
        <v>1374</v>
      </c>
      <c r="F11" s="704" t="s">
        <v>215</v>
      </c>
      <c r="G11" s="706">
        <f>+InputY!G148/1000</f>
        <v>2.8500000000000001E-3</v>
      </c>
      <c r="H11" s="706">
        <f>+InputY!H148/1000</f>
        <v>4.4299999999999999E-3</v>
      </c>
      <c r="I11" s="706">
        <f>+InputY!I148/1000</f>
        <v>5.8700000000000002E-3</v>
      </c>
      <c r="J11" s="706">
        <f>+InputY!J148/1000</f>
        <v>6.1700000000000001E-3</v>
      </c>
      <c r="K11" s="706">
        <f>+InputY!K148/1000</f>
        <v>6.43E-3</v>
      </c>
      <c r="L11" s="706">
        <f>+InputY!L148/1000</f>
        <v>6.1900000000000002E-3</v>
      </c>
      <c r="M11" s="706">
        <f>+InputY!M148/1000</f>
        <v>6.9500000000000004E-3</v>
      </c>
      <c r="N11" s="706">
        <f>+InputY!N148/1000</f>
        <v>7.62E-3</v>
      </c>
      <c r="O11" s="706">
        <f>+InputY!O148/1000</f>
        <v>7.6699999999999997E-3</v>
      </c>
      <c r="P11" s="706">
        <f>+InputY!P148/1000</f>
        <v>9.5500000000000012E-3</v>
      </c>
      <c r="Q11" s="706">
        <f>+InputY!Q148/1000</f>
        <v>4.15E-3</v>
      </c>
      <c r="R11" s="706">
        <f>+InputY!R148/1000</f>
        <v>3.5999999999999999E-3</v>
      </c>
      <c r="S11" s="706">
        <f>+InputY!S148/1000</f>
        <v>3.64E-3</v>
      </c>
      <c r="T11" s="706">
        <f>+InputY!T148/1000</f>
        <v>3.2699999999999999E-3</v>
      </c>
      <c r="U11" s="706">
        <f>+InputY!U148/1000</f>
        <v>2.4599999999999999E-3</v>
      </c>
      <c r="V11" s="706">
        <f>+InputY!V148/1000</f>
        <v>2.2200000000000002E-3</v>
      </c>
      <c r="W11" s="706">
        <f>+InputY!W148/1000</f>
        <v>2.8200000000000005E-3</v>
      </c>
      <c r="X11" s="706">
        <f>+InputY!X148/1000</f>
        <v>3.7200000000000002E-3</v>
      </c>
      <c r="Y11" s="706">
        <f>+InputY!Y148/1000</f>
        <v>4.3600000000000002E-3</v>
      </c>
      <c r="Z11" s="706">
        <f>+InputY!Z148/1000</f>
        <v>5.0499999999999998E-3</v>
      </c>
      <c r="AA11" s="706">
        <f>+InputY!AA148/1000</f>
        <v>2.6199999999999999E-3</v>
      </c>
      <c r="AB11" s="706">
        <f>+InputY!AB148/1000</f>
        <v>2.7000000000000001E-3</v>
      </c>
      <c r="AC11" s="2217">
        <f t="shared" si="4"/>
        <v>2.8350000000000003E-3</v>
      </c>
      <c r="AD11" s="2217">
        <f t="shared" si="4"/>
        <v>2.9767500000000002E-3</v>
      </c>
      <c r="AE11" s="2217">
        <f t="shared" si="4"/>
        <v>3.1255875000000006E-3</v>
      </c>
      <c r="AF11" s="2861" t="s">
        <v>2463</v>
      </c>
    </row>
    <row r="12" spans="1:113" ht="12.75" customHeight="1">
      <c r="A12" s="1953">
        <f>+ROW(InputY!A233)</f>
        <v>233</v>
      </c>
      <c r="B12" s="664" t="s">
        <v>1916</v>
      </c>
      <c r="C12" s="782" t="s">
        <v>401</v>
      </c>
      <c r="D12" s="674" t="s">
        <v>688</v>
      </c>
      <c r="E12" s="783" t="s">
        <v>768</v>
      </c>
      <c r="F12" s="704" t="str">
        <f>+InputY!B233</f>
        <v>TaxToRow</v>
      </c>
      <c r="G12" s="3116">
        <v>0</v>
      </c>
      <c r="H12" s="3116">
        <v>0</v>
      </c>
      <c r="I12" s="3116">
        <v>0</v>
      </c>
      <c r="J12" s="3116">
        <v>0</v>
      </c>
      <c r="K12" s="3116">
        <v>0</v>
      </c>
      <c r="L12" s="3116">
        <v>0</v>
      </c>
      <c r="M12" s="3116">
        <v>0</v>
      </c>
      <c r="N12" s="3116">
        <v>0</v>
      </c>
      <c r="O12" s="3116">
        <v>0</v>
      </c>
      <c r="P12" s="706">
        <f>+InputY!P233/1000</f>
        <v>3.4464782205746058E-2</v>
      </c>
      <c r="Q12" s="706" t="e">
        <f>+InputY!Q233/1000</f>
        <v>#VALUE!</v>
      </c>
      <c r="R12" s="706" t="e">
        <f>+InputY!R233/1000</f>
        <v>#VALUE!</v>
      </c>
      <c r="S12" s="706" t="e">
        <f>+InputY!S233/1000</f>
        <v>#VALUE!</v>
      </c>
      <c r="T12" s="706">
        <f>+InputY!T233/1000</f>
        <v>0.11799999999999999</v>
      </c>
      <c r="U12" s="706">
        <f>+InputY!U233/1000</f>
        <v>7.9000000000000001E-2</v>
      </c>
      <c r="V12" s="706">
        <f>+InputY!V233/1000</f>
        <v>8.7999999999999995E-2</v>
      </c>
      <c r="W12" s="706">
        <f>+InputY!W233/1000</f>
        <v>9.1999999999999998E-2</v>
      </c>
      <c r="X12" s="706">
        <f>+InputY!X233/1000</f>
        <v>8.6999999999999994E-2</v>
      </c>
      <c r="Y12" s="1564">
        <f>+InputY!Y233/1000</f>
        <v>0.1</v>
      </c>
      <c r="Z12" s="1564">
        <f>+InputY!Z233/1000</f>
        <v>0.10299999999999999</v>
      </c>
      <c r="AA12" s="1455">
        <f>+InputY!AA233/1000</f>
        <v>0.123</v>
      </c>
      <c r="AB12" s="1455">
        <f>+InputY!AB233/1000</f>
        <v>0.112</v>
      </c>
      <c r="AC12" s="2275">
        <f t="shared" si="4"/>
        <v>0.11648</v>
      </c>
      <c r="AD12" s="2275">
        <f t="shared" si="4"/>
        <v>0.1211392</v>
      </c>
      <c r="AE12" s="2275">
        <f t="shared" si="4"/>
        <v>0.125984768</v>
      </c>
      <c r="AF12" t="s">
        <v>2464</v>
      </c>
    </row>
    <row r="13" spans="1:113" ht="12.75" customHeight="1">
      <c r="A13" s="664">
        <f>+ROW(InputY!A146)</f>
        <v>146</v>
      </c>
      <c r="B13" s="664">
        <v>113</v>
      </c>
      <c r="C13" s="784" t="s">
        <v>1769</v>
      </c>
      <c r="D13" s="752" t="s">
        <v>687</v>
      </c>
      <c r="E13" s="753" t="s">
        <v>1381</v>
      </c>
      <c r="F13" s="754" t="str">
        <f>+InputY!B146</f>
        <v>YATaxIndir</v>
      </c>
      <c r="G13" s="785">
        <f>+InputY!G146/1000</f>
        <v>0.93413999999999997</v>
      </c>
      <c r="H13" s="785">
        <f>+InputY!H146/1000</f>
        <v>1.1237200000000001</v>
      </c>
      <c r="I13" s="785">
        <f>+InputY!I146/1000</f>
        <v>1.58561</v>
      </c>
      <c r="J13" s="785">
        <f>+InputY!J146/1000</f>
        <v>1.7950299999999999</v>
      </c>
      <c r="K13" s="785">
        <f>+InputY!K146/1000</f>
        <v>1.74356</v>
      </c>
      <c r="L13" s="785">
        <f>+InputY!L146/1000</f>
        <v>1.6726099999999999</v>
      </c>
      <c r="M13" s="785">
        <f>+InputY!M146/1000</f>
        <v>1.72933</v>
      </c>
      <c r="N13" s="785">
        <f>+InputY!N146/1000</f>
        <v>1.8834200000000001</v>
      </c>
      <c r="O13" s="785">
        <f>+InputY!O146/1000</f>
        <v>1.94069</v>
      </c>
      <c r="P13" s="785">
        <f>+InputY!P146/1000</f>
        <v>2.0387400000000002</v>
      </c>
      <c r="Q13" s="785">
        <f>+InputY!Q146/1000</f>
        <v>2.3545599999999998</v>
      </c>
      <c r="R13" s="785">
        <f>+InputY!R146/1000</f>
        <v>2.7234699999999998</v>
      </c>
      <c r="S13" s="785">
        <f>+InputY!S146/1000</f>
        <v>3.3773499999999999</v>
      </c>
      <c r="T13" s="785">
        <f>+InputY!T146/1000</f>
        <v>3.79074</v>
      </c>
      <c r="U13" s="785">
        <f>+InputY!U146/1000</f>
        <v>3.1144400000000001</v>
      </c>
      <c r="V13" s="785">
        <f>+InputY!V146/1000</f>
        <v>3.3192600000000003</v>
      </c>
      <c r="W13" s="785">
        <f>+InputY!W146/1000</f>
        <v>3.6286</v>
      </c>
      <c r="X13" s="785">
        <f>+InputY!X146/1000</f>
        <v>3.7240700000000002</v>
      </c>
      <c r="Y13" s="785">
        <f>+InputY!Y146/1000</f>
        <v>3.8413400000000002</v>
      </c>
      <c r="Z13" s="785">
        <f>+InputY!Z146/1000</f>
        <v>4.0795399999999997</v>
      </c>
      <c r="AA13" s="785">
        <f>+InputY!AA146/1000</f>
        <v>4.3436300000000001</v>
      </c>
      <c r="AB13" s="785">
        <f>+InputY!AB146/1000</f>
        <v>4.5327600000000006</v>
      </c>
      <c r="AC13" s="3122">
        <f>+AC8+AC9+AC10+AC11-AC12</f>
        <v>4.9279856999999998</v>
      </c>
      <c r="AD13" s="2232">
        <f>+AD8+AD9+AD10+AD11-AD12</f>
        <v>5.2460899270192165</v>
      </c>
      <c r="AE13" s="2232">
        <f>+AE8+AE9+AE10+AE11-AE12</f>
        <v>5.5409120675982919</v>
      </c>
    </row>
    <row r="14" spans="1:113" s="1972" customFormat="1" ht="12.75" customHeight="1">
      <c r="A14" s="998"/>
      <c r="B14" s="998"/>
      <c r="C14" s="1595"/>
      <c r="D14" s="1011"/>
      <c r="E14" s="1973" t="s">
        <v>737</v>
      </c>
      <c r="F14" s="1974"/>
      <c r="G14" s="1002">
        <f t="shared" ref="G14:Y14" si="5">ABS(+G8+G9+G10+G11-G12-G13)</f>
        <v>1.1102230246251565E-16</v>
      </c>
      <c r="H14" s="1002">
        <f t="shared" si="5"/>
        <v>0</v>
      </c>
      <c r="I14" s="1002">
        <f t="shared" si="5"/>
        <v>9.9999999998434674E-6</v>
      </c>
      <c r="J14" s="1002">
        <f t="shared" si="5"/>
        <v>2.2204460492503131E-16</v>
      </c>
      <c r="K14" s="1002">
        <f t="shared" si="5"/>
        <v>0</v>
      </c>
      <c r="L14" s="1002">
        <f t="shared" si="5"/>
        <v>1.0000000000065512E-5</v>
      </c>
      <c r="M14" s="1002">
        <f t="shared" si="5"/>
        <v>2.2204460492503131E-16</v>
      </c>
      <c r="N14" s="1002">
        <f t="shared" si="5"/>
        <v>9.9999999998434674E-6</v>
      </c>
      <c r="O14" s="1002">
        <f t="shared" si="5"/>
        <v>1.0000000000065512E-5</v>
      </c>
      <c r="P14" s="1002">
        <f t="shared" si="5"/>
        <v>1.5324782205746512E-2</v>
      </c>
      <c r="Q14" s="1002" t="e">
        <f t="shared" si="5"/>
        <v>#VALUE!</v>
      </c>
      <c r="R14" s="1002" t="e">
        <f t="shared" si="5"/>
        <v>#VALUE!</v>
      </c>
      <c r="S14" s="1002" t="e">
        <f t="shared" si="5"/>
        <v>#VALUE!</v>
      </c>
      <c r="T14" s="3217">
        <f t="shared" si="5"/>
        <v>2.2669999999999746E-2</v>
      </c>
      <c r="U14" s="3217">
        <f t="shared" si="5"/>
        <v>1.9500000000000295E-2</v>
      </c>
      <c r="V14" s="3217">
        <f>ABS(+V8+V9+V10+V11-V12-V13)</f>
        <v>3.4140000000000281E-2</v>
      </c>
      <c r="W14" s="3217">
        <f t="shared" si="5"/>
        <v>3.0470000000000219E-2</v>
      </c>
      <c r="X14" s="3217">
        <f t="shared" si="5"/>
        <v>2.2030000000000882E-2</v>
      </c>
      <c r="Y14" s="3217">
        <f t="shared" si="5"/>
        <v>2.5169999999999693E-2</v>
      </c>
      <c r="Z14" s="3217">
        <f t="shared" ref="Z14:AE14" si="6">ABS(+Z8+Z9+Z10+Z11-Z12-Z13)</f>
        <v>1.5949999999999243E-2</v>
      </c>
      <c r="AA14" s="3217">
        <f t="shared" si="6"/>
        <v>1.2909999999999755E-2</v>
      </c>
      <c r="AB14" s="3217">
        <f t="shared" si="6"/>
        <v>7.9200000000012594E-3</v>
      </c>
      <c r="AC14" s="2904">
        <f t="shared" si="6"/>
        <v>0</v>
      </c>
      <c r="AD14" s="2904">
        <f t="shared" si="6"/>
        <v>0</v>
      </c>
      <c r="AE14" s="2904">
        <f t="shared" si="6"/>
        <v>0</v>
      </c>
      <c r="AF14" s="3265"/>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row>
    <row r="15" spans="1:113">
      <c r="Q15" s="1869"/>
      <c r="X15" s="3268"/>
      <c r="AB15" s="3201"/>
      <c r="AC15" s="2221"/>
      <c r="AD15" s="2221"/>
      <c r="AE15" s="2221"/>
    </row>
    <row r="16" spans="1:113" ht="12.75" customHeight="1">
      <c r="A16" s="664"/>
      <c r="B16" s="664"/>
      <c r="C16" s="774"/>
      <c r="D16" s="742"/>
      <c r="E16" s="743" t="s">
        <v>1311</v>
      </c>
      <c r="F16" s="744"/>
      <c r="G16" s="745">
        <f>+InputY!$G$3</f>
        <v>1995</v>
      </c>
      <c r="H16" s="745">
        <f t="shared" ref="H16:R16" si="7">+G16+1</f>
        <v>1996</v>
      </c>
      <c r="I16" s="745">
        <f t="shared" si="7"/>
        <v>1997</v>
      </c>
      <c r="J16" s="745">
        <f t="shared" si="7"/>
        <v>1998</v>
      </c>
      <c r="K16" s="745">
        <f>+J16+1</f>
        <v>1999</v>
      </c>
      <c r="L16" s="745">
        <f t="shared" si="7"/>
        <v>2000</v>
      </c>
      <c r="M16" s="745">
        <f t="shared" si="7"/>
        <v>2001</v>
      </c>
      <c r="N16" s="745">
        <f t="shared" si="7"/>
        <v>2002</v>
      </c>
      <c r="O16" s="745">
        <f t="shared" si="7"/>
        <v>2003</v>
      </c>
      <c r="P16" s="745">
        <f>+O16+1</f>
        <v>2004</v>
      </c>
      <c r="Q16" s="745">
        <f>+P16+1</f>
        <v>2005</v>
      </c>
      <c r="R16" s="2211">
        <f t="shared" si="7"/>
        <v>2006</v>
      </c>
      <c r="S16" s="2211">
        <f t="shared" ref="S16:X16" si="8">+R16+1</f>
        <v>2007</v>
      </c>
      <c r="T16" s="2211">
        <f t="shared" si="8"/>
        <v>2008</v>
      </c>
      <c r="U16" s="2211">
        <f t="shared" si="8"/>
        <v>2009</v>
      </c>
      <c r="V16" s="2211">
        <f t="shared" si="8"/>
        <v>2010</v>
      </c>
      <c r="W16" s="2211">
        <f t="shared" si="8"/>
        <v>2011</v>
      </c>
      <c r="X16" s="2211">
        <f t="shared" si="8"/>
        <v>2012</v>
      </c>
      <c r="Y16" s="2211">
        <f t="shared" ref="Y16:AE16" si="9">+X16+1</f>
        <v>2013</v>
      </c>
      <c r="Z16" s="2211">
        <f t="shared" si="9"/>
        <v>2014</v>
      </c>
      <c r="AA16" s="2211">
        <f t="shared" si="9"/>
        <v>2015</v>
      </c>
      <c r="AB16" s="2211">
        <f t="shared" si="9"/>
        <v>2016</v>
      </c>
      <c r="AC16" s="2211">
        <f t="shared" si="9"/>
        <v>2017</v>
      </c>
      <c r="AD16" s="2211">
        <f t="shared" si="9"/>
        <v>2018</v>
      </c>
      <c r="AE16" s="2211">
        <f t="shared" si="9"/>
        <v>2019</v>
      </c>
    </row>
    <row r="17" spans="1:31" ht="12.75" customHeight="1">
      <c r="A17" s="664"/>
      <c r="B17" s="664"/>
      <c r="C17" s="794" t="s">
        <v>1767</v>
      </c>
      <c r="D17" s="689" t="s">
        <v>684</v>
      </c>
      <c r="E17" s="738" t="s">
        <v>1766</v>
      </c>
      <c r="F17" s="733" t="str">
        <f>+$F$8</f>
        <v>YATaxProd</v>
      </c>
      <c r="G17" s="739"/>
      <c r="H17" s="739">
        <f t="shared" ref="H17:AC17" si="10">(H8/G8-1)*100</f>
        <v>18.891757740334313</v>
      </c>
      <c r="I17" s="739">
        <f t="shared" si="10"/>
        <v>41.561748214436143</v>
      </c>
      <c r="J17" s="739">
        <f t="shared" si="10"/>
        <v>13.594614789491445</v>
      </c>
      <c r="K17" s="739">
        <f>(K8/J8-1)*100</f>
        <v>-3.690595385009432</v>
      </c>
      <c r="L17" s="739">
        <f t="shared" si="10"/>
        <v>-3.9329577873410404</v>
      </c>
      <c r="M17" s="739">
        <f t="shared" si="10"/>
        <v>2.9218389213607532</v>
      </c>
      <c r="N17" s="739">
        <f t="shared" si="10"/>
        <v>8.8100987254332797</v>
      </c>
      <c r="O17" s="739">
        <f t="shared" si="10"/>
        <v>3.3287077872099058</v>
      </c>
      <c r="P17" s="739">
        <f t="shared" si="10"/>
        <v>4.8324833353269314</v>
      </c>
      <c r="Q17" s="739">
        <f t="shared" si="10"/>
        <v>17.409366734090568</v>
      </c>
      <c r="R17" s="739">
        <f t="shared" si="10"/>
        <v>15.406158752876831</v>
      </c>
      <c r="S17" s="739">
        <f t="shared" si="10"/>
        <v>24.993397205008172</v>
      </c>
      <c r="T17" s="739">
        <f t="shared" si="10"/>
        <v>13.342254914270146</v>
      </c>
      <c r="U17" s="739">
        <f t="shared" si="10"/>
        <v>-19.048519661297213</v>
      </c>
      <c r="V17" s="739">
        <f t="shared" si="10"/>
        <v>6.5523870554309749</v>
      </c>
      <c r="W17" s="739">
        <f t="shared" si="10"/>
        <v>9.6996692226732684</v>
      </c>
      <c r="X17" s="739">
        <f t="shared" si="10"/>
        <v>2.6169713375250536</v>
      </c>
      <c r="Y17" s="739">
        <f t="shared" si="10"/>
        <v>3.2099816628128108</v>
      </c>
      <c r="Z17" s="739">
        <f t="shared" si="10"/>
        <v>6.2326948222638512</v>
      </c>
      <c r="AA17" s="739">
        <f t="shared" si="10"/>
        <v>6.8715056860719992</v>
      </c>
      <c r="AB17" s="739">
        <f t="shared" si="10"/>
        <v>4.8932699134903057</v>
      </c>
      <c r="AC17" s="739">
        <f t="shared" si="10"/>
        <v>8.9684525089707368</v>
      </c>
      <c r="AD17" s="2213">
        <v>6.4546061541814561</v>
      </c>
      <c r="AE17" s="2213">
        <v>5.6</v>
      </c>
    </row>
    <row r="18" spans="1:31" ht="12.75" customHeight="1">
      <c r="A18" s="664"/>
      <c r="B18" s="664"/>
      <c r="C18" s="795" t="s">
        <v>1767</v>
      </c>
      <c r="D18" s="674" t="s">
        <v>685</v>
      </c>
      <c r="E18" s="783" t="s">
        <v>1374</v>
      </c>
      <c r="F18" s="704" t="str">
        <f>+$F$9</f>
        <v>$HTaxOth</v>
      </c>
      <c r="G18" s="706"/>
      <c r="H18" s="706">
        <f t="shared" ref="H18:AB18" si="11">(H9/G9-1)*100</f>
        <v>267.99037304452469</v>
      </c>
      <c r="I18" s="706">
        <f t="shared" si="11"/>
        <v>-58.567691301504254</v>
      </c>
      <c r="J18" s="706">
        <f t="shared" si="11"/>
        <v>-5.9984214680347314</v>
      </c>
      <c r="K18" s="706">
        <f>(K9/J9-1)*100</f>
        <v>-2.3509655751469238</v>
      </c>
      <c r="L18" s="706">
        <f t="shared" si="11"/>
        <v>36.285468615649165</v>
      </c>
      <c r="M18" s="706">
        <f t="shared" si="11"/>
        <v>31.419558359621448</v>
      </c>
      <c r="N18" s="706">
        <f t="shared" si="11"/>
        <v>71.915506481036999</v>
      </c>
      <c r="O18" s="706">
        <f t="shared" si="11"/>
        <v>-56.380899190170354</v>
      </c>
      <c r="P18" s="706">
        <f t="shared" si="11"/>
        <v>27.528809218950066</v>
      </c>
      <c r="Q18" s="706">
        <f t="shared" si="11"/>
        <v>13.403614457831313</v>
      </c>
      <c r="R18" s="706">
        <f t="shared" si="11"/>
        <v>-6.8614431164231942</v>
      </c>
      <c r="S18" s="706">
        <f t="shared" si="11"/>
        <v>16.730038022813677</v>
      </c>
      <c r="T18" s="706">
        <f t="shared" si="11"/>
        <v>17.38599348534202</v>
      </c>
      <c r="U18" s="706">
        <f t="shared" si="11"/>
        <v>-23.864030523759961</v>
      </c>
      <c r="V18" s="706">
        <f t="shared" si="11"/>
        <v>34.123006833712985</v>
      </c>
      <c r="W18" s="706">
        <f t="shared" si="11"/>
        <v>-19.327445652173914</v>
      </c>
      <c r="X18" s="706">
        <f t="shared" si="11"/>
        <v>-6.7789473684210506</v>
      </c>
      <c r="Y18" s="706">
        <f t="shared" si="11"/>
        <v>-9.033423667569318E-2</v>
      </c>
      <c r="Z18" s="706">
        <f t="shared" si="11"/>
        <v>-19.620253164556967</v>
      </c>
      <c r="AA18" s="706">
        <f t="shared" si="11"/>
        <v>36.895388076490441</v>
      </c>
      <c r="AB18" s="706">
        <f t="shared" si="11"/>
        <v>0.90386195562859317</v>
      </c>
      <c r="AC18" s="2215">
        <v>7</v>
      </c>
      <c r="AD18" s="2215">
        <v>7</v>
      </c>
      <c r="AE18" s="2215">
        <v>7</v>
      </c>
    </row>
    <row r="19" spans="1:31" ht="12.75" customHeight="1">
      <c r="A19" s="664"/>
      <c r="B19" s="664"/>
      <c r="C19" s="795" t="s">
        <v>1767</v>
      </c>
      <c r="D19" s="674" t="s">
        <v>686</v>
      </c>
      <c r="E19" s="783" t="s">
        <v>1374</v>
      </c>
      <c r="F19" s="704" t="str">
        <f>+$F$10</f>
        <v>$ETaxProd</v>
      </c>
      <c r="G19" s="706"/>
      <c r="H19" s="706">
        <f t="shared" ref="H19:AB20" si="12">(H10/G10-1)*100</f>
        <v>-16.448445171849425</v>
      </c>
      <c r="I19" s="706">
        <f t="shared" si="12"/>
        <v>168.31537708129284</v>
      </c>
      <c r="J19" s="706">
        <f t="shared" si="12"/>
        <v>7.8116444606679991</v>
      </c>
      <c r="K19" s="706">
        <f>(K10/J10-1)*100</f>
        <v>20.230235314034207</v>
      </c>
      <c r="L19" s="706">
        <f t="shared" si="12"/>
        <v>-13.897493663756688</v>
      </c>
      <c r="M19" s="706">
        <f t="shared" si="12"/>
        <v>7.4407195421095862</v>
      </c>
      <c r="N19" s="706">
        <f t="shared" si="12"/>
        <v>-8.6301369863013839</v>
      </c>
      <c r="O19" s="706">
        <f t="shared" si="12"/>
        <v>30.251540896218554</v>
      </c>
      <c r="P19" s="706">
        <f t="shared" si="12"/>
        <v>28.29006266786034</v>
      </c>
      <c r="Q19" s="706">
        <f t="shared" si="12"/>
        <v>9.2313827135878768</v>
      </c>
      <c r="R19" s="706">
        <f t="shared" si="12"/>
        <v>25.043351282285297</v>
      </c>
      <c r="S19" s="706">
        <f t="shared" si="12"/>
        <v>14.787241807167373</v>
      </c>
      <c r="T19" s="706">
        <f t="shared" si="12"/>
        <v>-2.8486043110574455</v>
      </c>
      <c r="U19" s="706">
        <f t="shared" si="12"/>
        <v>0.37960599515676208</v>
      </c>
      <c r="V19" s="706">
        <f t="shared" si="12"/>
        <v>-2.8623590011084388</v>
      </c>
      <c r="W19" s="706">
        <f t="shared" si="12"/>
        <v>8.3501141092763973</v>
      </c>
      <c r="X19" s="706">
        <f t="shared" si="12"/>
        <v>4.9374303060339519</v>
      </c>
      <c r="Y19" s="706">
        <f t="shared" si="12"/>
        <v>6.5824428832870874</v>
      </c>
      <c r="Z19" s="706">
        <f t="shared" si="12"/>
        <v>12.678630774343658</v>
      </c>
      <c r="AA19" s="706">
        <f t="shared" si="12"/>
        <v>6.0168116796932569</v>
      </c>
      <c r="AB19" s="706">
        <f t="shared" si="12"/>
        <v>-10.775722168127222</v>
      </c>
      <c r="AC19" s="2215">
        <v>5</v>
      </c>
      <c r="AD19" s="2215">
        <v>5</v>
      </c>
      <c r="AE19" s="2215">
        <v>5</v>
      </c>
    </row>
    <row r="20" spans="1:31" ht="12.75" customHeight="1">
      <c r="A20" s="664"/>
      <c r="B20" s="664"/>
      <c r="C20" s="795" t="s">
        <v>1767</v>
      </c>
      <c r="D20" s="674" t="s">
        <v>687</v>
      </c>
      <c r="E20" s="783" t="s">
        <v>1374</v>
      </c>
      <c r="F20" s="704" t="s">
        <v>215</v>
      </c>
      <c r="G20" s="706"/>
      <c r="H20" s="706">
        <f t="shared" ref="H20:P20" si="13">(H11/G11-1)*100</f>
        <v>55.438596491228068</v>
      </c>
      <c r="I20" s="706">
        <f t="shared" si="13"/>
        <v>32.505643340857794</v>
      </c>
      <c r="J20" s="706">
        <f t="shared" si="13"/>
        <v>5.110732538330498</v>
      </c>
      <c r="K20" s="706">
        <f>(K11/J11-1)*100</f>
        <v>4.2139384116693712</v>
      </c>
      <c r="L20" s="706">
        <f t="shared" si="13"/>
        <v>-3.7325038880248851</v>
      </c>
      <c r="M20" s="706">
        <f t="shared" si="13"/>
        <v>12.277867528271402</v>
      </c>
      <c r="N20" s="706">
        <f t="shared" si="13"/>
        <v>9.6402877697841625</v>
      </c>
      <c r="O20" s="706">
        <f t="shared" si="13"/>
        <v>0.65616797900263091</v>
      </c>
      <c r="P20" s="706">
        <f t="shared" si="13"/>
        <v>24.511082138200813</v>
      </c>
      <c r="Q20" s="706">
        <f t="shared" si="12"/>
        <v>-56.544502617801051</v>
      </c>
      <c r="R20" s="706">
        <f t="shared" si="12"/>
        <v>-13.253012048192769</v>
      </c>
      <c r="S20" s="706">
        <f t="shared" si="12"/>
        <v>1.1111111111111072</v>
      </c>
      <c r="T20" s="706">
        <f t="shared" si="12"/>
        <v>-10.164835164835173</v>
      </c>
      <c r="U20" s="706">
        <f t="shared" ref="U20:AB20" si="14">(U11/T11-1)*100</f>
        <v>-24.770642201834857</v>
      </c>
      <c r="V20" s="706">
        <f t="shared" si="14"/>
        <v>-9.7560975609755971</v>
      </c>
      <c r="W20" s="706">
        <f t="shared" si="14"/>
        <v>27.027027027027039</v>
      </c>
      <c r="X20" s="706">
        <f t="shared" si="14"/>
        <v>31.914893617021267</v>
      </c>
      <c r="Y20" s="706">
        <f t="shared" si="14"/>
        <v>17.204301075268823</v>
      </c>
      <c r="Z20" s="706">
        <f t="shared" si="14"/>
        <v>15.825688073394485</v>
      </c>
      <c r="AA20" s="706">
        <f t="shared" si="14"/>
        <v>-48.118811881188115</v>
      </c>
      <c r="AB20" s="706">
        <f t="shared" si="14"/>
        <v>3.0534351145038219</v>
      </c>
      <c r="AC20" s="2215">
        <f>AC19</f>
        <v>5</v>
      </c>
      <c r="AD20" s="2215">
        <f>AD19</f>
        <v>5</v>
      </c>
      <c r="AE20" s="2215">
        <f>AE19</f>
        <v>5</v>
      </c>
    </row>
    <row r="21" spans="1:31" ht="12.75" customHeight="1">
      <c r="A21" s="664"/>
      <c r="B21" s="664"/>
      <c r="C21" s="796" t="s">
        <v>401</v>
      </c>
      <c r="D21" s="691" t="s">
        <v>688</v>
      </c>
      <c r="E21" s="797" t="s">
        <v>768</v>
      </c>
      <c r="F21" s="736" t="str">
        <f>+$F$12</f>
        <v>TaxToRow</v>
      </c>
      <c r="G21" s="741"/>
      <c r="H21" s="3117">
        <v>0</v>
      </c>
      <c r="I21" s="3117">
        <v>0</v>
      </c>
      <c r="J21" s="3117">
        <v>0</v>
      </c>
      <c r="K21" s="3117">
        <v>0</v>
      </c>
      <c r="L21" s="3117">
        <v>0</v>
      </c>
      <c r="M21" s="3117">
        <v>0</v>
      </c>
      <c r="N21" s="3117">
        <v>0</v>
      </c>
      <c r="O21" s="3117">
        <v>0</v>
      </c>
      <c r="P21" s="3117">
        <v>0</v>
      </c>
      <c r="Q21" s="741" t="e">
        <f t="shared" ref="Q21:W22" si="15">(Q12/P12-1)*100</f>
        <v>#VALUE!</v>
      </c>
      <c r="R21" s="741" t="e">
        <f t="shared" si="15"/>
        <v>#VALUE!</v>
      </c>
      <c r="S21" s="741" t="e">
        <f t="shared" si="15"/>
        <v>#VALUE!</v>
      </c>
      <c r="T21" s="741" t="e">
        <f t="shared" si="15"/>
        <v>#VALUE!</v>
      </c>
      <c r="U21" s="741">
        <f t="shared" si="15"/>
        <v>-33.050847457627121</v>
      </c>
      <c r="V21" s="741">
        <f t="shared" si="15"/>
        <v>11.392405063291132</v>
      </c>
      <c r="W21" s="741">
        <f t="shared" si="15"/>
        <v>4.5454545454545414</v>
      </c>
      <c r="X21" s="741">
        <v>6.3398226881925916</v>
      </c>
      <c r="Y21" s="741">
        <v>6.3398226881925916</v>
      </c>
      <c r="Z21" s="741">
        <v>6.3398226881925916</v>
      </c>
      <c r="AA21" s="741">
        <v>6.3398226881925916</v>
      </c>
      <c r="AB21" s="741">
        <v>6.3398226881925916</v>
      </c>
      <c r="AC21" s="2214">
        <v>4</v>
      </c>
      <c r="AD21" s="2214">
        <v>4</v>
      </c>
      <c r="AE21" s="2214">
        <v>4</v>
      </c>
    </row>
    <row r="22" spans="1:31" ht="12.75" customHeight="1">
      <c r="A22" s="664"/>
      <c r="B22" s="664"/>
      <c r="C22" s="774" t="s">
        <v>1769</v>
      </c>
      <c r="D22" s="717" t="s">
        <v>687</v>
      </c>
      <c r="E22" s="722" t="s">
        <v>1381</v>
      </c>
      <c r="F22" s="723" t="str">
        <f>+$F$13</f>
        <v>YATaxIndir</v>
      </c>
      <c r="G22" s="721"/>
      <c r="H22" s="721">
        <f t="shared" ref="H22:V22" si="16">(H13/G13-1)*100</f>
        <v>20.294602522105908</v>
      </c>
      <c r="I22" s="721">
        <f t="shared" si="16"/>
        <v>41.103655714946782</v>
      </c>
      <c r="J22" s="721">
        <f t="shared" si="16"/>
        <v>13.207535270337601</v>
      </c>
      <c r="K22" s="721">
        <f>(K13/J13-1)*100</f>
        <v>-2.8673615482749493</v>
      </c>
      <c r="L22" s="721">
        <f t="shared" si="16"/>
        <v>-4.069260593268953</v>
      </c>
      <c r="M22" s="721">
        <f t="shared" si="16"/>
        <v>3.3911073113278123</v>
      </c>
      <c r="N22" s="721">
        <f t="shared" si="16"/>
        <v>8.9103872598058196</v>
      </c>
      <c r="O22" s="721">
        <f t="shared" si="16"/>
        <v>3.0407450276624504</v>
      </c>
      <c r="P22" s="721">
        <f t="shared" si="16"/>
        <v>5.0523267497642799</v>
      </c>
      <c r="Q22" s="721">
        <f t="shared" si="16"/>
        <v>15.490940482847225</v>
      </c>
      <c r="R22" s="721">
        <f>(R13/Q13-1)*100</f>
        <v>15.667895487904326</v>
      </c>
      <c r="S22" s="721">
        <f t="shared" si="16"/>
        <v>24.009076655883852</v>
      </c>
      <c r="T22" s="721">
        <f t="shared" si="16"/>
        <v>12.240069877270642</v>
      </c>
      <c r="U22" s="721">
        <f t="shared" si="16"/>
        <v>-17.840843740272348</v>
      </c>
      <c r="V22" s="721">
        <f t="shared" si="16"/>
        <v>6.5764631843927113</v>
      </c>
      <c r="W22" s="721">
        <f t="shared" si="15"/>
        <v>9.3195471279742925</v>
      </c>
      <c r="X22" s="721">
        <f t="shared" ref="X22:AE22" si="17">(X13/W13-1)*100</f>
        <v>2.6310422752576779</v>
      </c>
      <c r="Y22" s="721">
        <f t="shared" si="17"/>
        <v>3.1489741062869392</v>
      </c>
      <c r="Z22" s="721">
        <f t="shared" si="17"/>
        <v>6.2009611229414618</v>
      </c>
      <c r="AA22" s="721">
        <f t="shared" si="17"/>
        <v>6.4735239757423679</v>
      </c>
      <c r="AB22" s="721">
        <f t="shared" si="17"/>
        <v>4.3541922309220826</v>
      </c>
      <c r="AC22" s="2220">
        <f t="shared" si="17"/>
        <v>8.7193167077012532</v>
      </c>
      <c r="AD22" s="2220">
        <f t="shared" si="17"/>
        <v>6.4550558054423002</v>
      </c>
      <c r="AE22" s="2220">
        <f t="shared" si="17"/>
        <v>5.6198453453997654</v>
      </c>
    </row>
    <row r="23" spans="1:31" ht="12.75" customHeight="1">
      <c r="A23" s="664"/>
      <c r="B23" s="664"/>
      <c r="C23" s="774"/>
      <c r="D23" s="806"/>
      <c r="E23" s="807" t="s">
        <v>660</v>
      </c>
      <c r="F23" s="808" t="s">
        <v>661</v>
      </c>
      <c r="G23" s="809"/>
      <c r="H23" s="809">
        <f>+$F$36*'VVP2'!H188</f>
        <v>25.622229970634393</v>
      </c>
      <c r="I23" s="809">
        <f>+$F$36*'VVP2'!I188</f>
        <v>15.393575341015197</v>
      </c>
      <c r="J23" s="809">
        <f>+$F$36*'VVP2'!J188</f>
        <v>10.775243593166062</v>
      </c>
      <c r="K23" s="809">
        <f>+$F$36*'VVP2'!K188</f>
        <v>3.6730088323411403</v>
      </c>
      <c r="L23" s="809">
        <f>+$F$36*'VVP2'!L188</f>
        <v>5.2293294753600117</v>
      </c>
      <c r="M23" s="809">
        <f>+$F$36*'VVP2'!M188</f>
        <v>6.639982788553489</v>
      </c>
      <c r="N23" s="809">
        <f>+$F$36*'VVP2'!N188</f>
        <v>5.75453957965395</v>
      </c>
      <c r="O23" s="809">
        <f>+$F$36*'VVP2'!O188</f>
        <v>9.5645769105996195</v>
      </c>
      <c r="P23" s="809">
        <f>+$F$36*'VVP2'!P188</f>
        <v>10.699275045204937</v>
      </c>
      <c r="Q23" s="809">
        <f>+$F$36*'VVP2'!Q188</f>
        <v>14.248369091637048</v>
      </c>
      <c r="R23" s="809">
        <f>+$F$36*'VVP2'!R188</f>
        <v>14.18500075093425</v>
      </c>
      <c r="S23" s="809">
        <f>+$F$36*'VVP2'!S188</f>
        <v>19.025147906103477</v>
      </c>
      <c r="T23" s="2253">
        <f>+$F$36*'VVP2'!T188</f>
        <v>15.168621188573962</v>
      </c>
      <c r="U23" s="2253">
        <f>+$F$36*'VVP2'!U188</f>
        <v>-13.759763847413298</v>
      </c>
      <c r="V23" s="2253">
        <f>+$F$36*'VVP2'!V188</f>
        <v>-2.1262160226752647</v>
      </c>
      <c r="W23" s="2253">
        <f>+$F$36*'VVP2'!W188</f>
        <v>8.9064469500499612</v>
      </c>
      <c r="X23" s="2253">
        <f>+$F$36*'VVP2'!X188</f>
        <v>6.2742499558684717</v>
      </c>
      <c r="Y23" s="2253">
        <f>+$F$36*'VVP2'!Y188</f>
        <v>5.3520737522436024</v>
      </c>
      <c r="Z23" s="2253">
        <f>+$F$36*'VVP2'!Z188</f>
        <v>4.0906766427303953</v>
      </c>
      <c r="AA23" s="2253">
        <f>+$F$36*'VVP2'!AA188</f>
        <v>3.0593383975462629</v>
      </c>
      <c r="AB23" s="2253">
        <f>+$F$36*'VVP2'!AB188</f>
        <v>5.9202577870326012</v>
      </c>
      <c r="AC23" s="2253">
        <f>+$F$36*'VVP2'!AC188</f>
        <v>7.790787561124124</v>
      </c>
      <c r="AD23" s="2253">
        <f ca="1">+$F$36*'VVP2'!AD188</f>
        <v>6.190999999999991</v>
      </c>
      <c r="AE23" s="2253">
        <f ca="1">+$F$36*'VVP2'!AE188</f>
        <v>5.5725999999999942</v>
      </c>
    </row>
    <row r="24" spans="1:31" ht="12.75" customHeight="1">
      <c r="A24" s="664"/>
      <c r="B24" s="664"/>
      <c r="C24" s="774"/>
      <c r="E24" s="786"/>
      <c r="F24" s="787"/>
      <c r="G24" s="703"/>
      <c r="H24" s="788"/>
      <c r="I24" s="703"/>
      <c r="J24" s="703"/>
      <c r="K24" s="703"/>
      <c r="L24" s="703"/>
      <c r="M24" s="703"/>
      <c r="N24" s="703"/>
      <c r="O24" s="703"/>
      <c r="P24" s="703"/>
      <c r="Q24" s="845"/>
      <c r="R24" s="2254"/>
      <c r="S24" s="2254"/>
      <c r="T24" s="2254"/>
      <c r="U24" s="2254"/>
      <c r="V24" s="2254"/>
      <c r="W24" s="2254"/>
      <c r="X24" s="2254"/>
      <c r="Y24" s="2254"/>
      <c r="Z24" s="2254"/>
      <c r="AA24" s="2254"/>
      <c r="AB24" s="2254"/>
      <c r="AC24" s="2254"/>
      <c r="AD24" s="2254"/>
      <c r="AE24" s="2254"/>
    </row>
    <row r="25" spans="1:31" ht="12.75" customHeight="1">
      <c r="A25" s="664"/>
      <c r="B25" s="664"/>
      <c r="C25" s="774"/>
      <c r="D25" s="818"/>
      <c r="E25" s="819" t="s">
        <v>512</v>
      </c>
      <c r="F25" s="820"/>
      <c r="G25" s="821">
        <f>+InputY!$G$3</f>
        <v>1995</v>
      </c>
      <c r="H25" s="821">
        <f t="shared" ref="H25:O25" si="18">+G25+1</f>
        <v>1996</v>
      </c>
      <c r="I25" s="821">
        <f t="shared" si="18"/>
        <v>1997</v>
      </c>
      <c r="J25" s="821">
        <f t="shared" si="18"/>
        <v>1998</v>
      </c>
      <c r="K25" s="821">
        <f>+J25+1</f>
        <v>1999</v>
      </c>
      <c r="L25" s="821">
        <f t="shared" si="18"/>
        <v>2000</v>
      </c>
      <c r="M25" s="821">
        <f t="shared" si="18"/>
        <v>2001</v>
      </c>
      <c r="N25" s="821">
        <f t="shared" si="18"/>
        <v>2002</v>
      </c>
      <c r="O25" s="821">
        <f t="shared" si="18"/>
        <v>2003</v>
      </c>
      <c r="P25" s="821">
        <f t="shared" ref="P25:V25" si="19">+O25+1</f>
        <v>2004</v>
      </c>
      <c r="Q25" s="821">
        <f t="shared" si="19"/>
        <v>2005</v>
      </c>
      <c r="R25" s="821">
        <f t="shared" si="19"/>
        <v>2006</v>
      </c>
      <c r="S25" s="821">
        <f>+R25+1</f>
        <v>2007</v>
      </c>
      <c r="T25" s="821">
        <f>+S25+1</f>
        <v>2008</v>
      </c>
      <c r="U25" s="821">
        <f>+T25+1</f>
        <v>2009</v>
      </c>
      <c r="V25" s="821">
        <f t="shared" si="19"/>
        <v>2010</v>
      </c>
      <c r="W25" s="821">
        <f t="shared" ref="W25:AE25" si="20">+V25+1</f>
        <v>2011</v>
      </c>
      <c r="X25" s="821">
        <f t="shared" si="20"/>
        <v>2012</v>
      </c>
      <c r="Y25" s="821">
        <f t="shared" si="20"/>
        <v>2013</v>
      </c>
      <c r="Z25" s="821">
        <f t="shared" si="20"/>
        <v>2014</v>
      </c>
      <c r="AA25" s="821">
        <f t="shared" si="20"/>
        <v>2015</v>
      </c>
      <c r="AB25" s="821">
        <f t="shared" si="20"/>
        <v>2016</v>
      </c>
      <c r="AC25" s="821">
        <f t="shared" si="20"/>
        <v>2017</v>
      </c>
      <c r="AD25" s="821">
        <f t="shared" si="20"/>
        <v>2018</v>
      </c>
      <c r="AE25" s="821">
        <f t="shared" si="20"/>
        <v>2019</v>
      </c>
    </row>
    <row r="26" spans="1:31" ht="12.75" customHeight="1">
      <c r="A26" s="664"/>
      <c r="B26" s="664"/>
      <c r="C26" s="822" t="s">
        <v>1767</v>
      </c>
      <c r="D26" s="823" t="s">
        <v>684</v>
      </c>
      <c r="E26" s="824" t="s">
        <v>1766</v>
      </c>
      <c r="F26" s="825" t="str">
        <f>+$F$8</f>
        <v>YATaxProd</v>
      </c>
      <c r="G26" s="838">
        <f>+G8/'VVP2'!G$341</f>
        <v>0.11572368192279507</v>
      </c>
      <c r="H26" s="838">
        <f>+H8/'VVP2'!H$341</f>
        <v>0.10997256579319857</v>
      </c>
      <c r="I26" s="838">
        <f>+I8/'VVP2'!I$341</f>
        <v>0.12898721804383018</v>
      </c>
      <c r="J26" s="838">
        <f>+J8/'VVP2'!J$341</f>
        <v>0.13192176907316563</v>
      </c>
      <c r="K26" s="838">
        <f>+K8/'VVP2'!K$341</f>
        <v>0.13015021931894702</v>
      </c>
      <c r="L26" s="838">
        <f>+L8/'VVP2'!L$341</f>
        <v>0.11889501787079468</v>
      </c>
      <c r="M26" s="838">
        <f>+M8/'VVP2'!M$341</f>
        <v>0.11524517912546529</v>
      </c>
      <c r="N26" s="838">
        <f>+N8/'VVP2'!N$341</f>
        <v>0.11708657382465792</v>
      </c>
      <c r="O26" s="838">
        <f>+O8/'VVP2'!O$341</f>
        <v>0.11034119487799729</v>
      </c>
      <c r="P26" s="838">
        <f>+P8/'VVP2'!P$341</f>
        <v>0.10572045189859258</v>
      </c>
      <c r="Q26" s="838">
        <f>+Q8/'VVP2'!Q$341</f>
        <v>0.10778650960487755</v>
      </c>
      <c r="R26" s="838">
        <f>+R8/'VVP2'!R$341</f>
        <v>0.10849746544525186</v>
      </c>
      <c r="S26" s="838">
        <f>+S8/'VVP2'!S$341</f>
        <v>0.11244544717647602</v>
      </c>
      <c r="T26" s="838">
        <f>+T8/'VVP2'!T$341</f>
        <v>0.11319881038454527</v>
      </c>
      <c r="U26" s="838">
        <f>+U8/'VVP2'!U$341</f>
        <v>0.11123742427088801</v>
      </c>
      <c r="V26" s="2909">
        <f>+V8/'VVP2'!V$341</f>
        <v>0.11390462136332466</v>
      </c>
      <c r="W26" s="2909">
        <f>+W8/'VVP2'!W$341</f>
        <v>0.11197775114691072</v>
      </c>
      <c r="X26" s="2909">
        <f>+X8/'VVP2'!X$341</f>
        <v>0.10776473170591282</v>
      </c>
      <c r="Y26" s="2909">
        <f>+Y8/'VVP2'!Y$341</f>
        <v>0.10609803015762458</v>
      </c>
      <c r="Z26" s="2909">
        <f>+Z8/'VVP2'!Z$341</f>
        <v>0.10775267526938646</v>
      </c>
      <c r="AA26" s="2909">
        <f>+AA8/'VVP2'!AA$341</f>
        <v>0.11251593451824785</v>
      </c>
      <c r="AB26" s="2909">
        <f>+AB8/'VVP2'!AB$341</f>
        <v>0.11423175353881418</v>
      </c>
      <c r="AC26" s="2909">
        <f ca="1">+AC8/'VVP2'!AC$341</f>
        <v>0.11520695718559466</v>
      </c>
      <c r="AD26" s="2909">
        <f ca="1">+AD8/'VVP2'!AD$341</f>
        <v>0.11589683201181163</v>
      </c>
      <c r="AE26" s="2909">
        <f ca="1">+AE8/'VVP2'!AE$341</f>
        <v>0.11592453175961312</v>
      </c>
    </row>
    <row r="27" spans="1:31" ht="12.75" customHeight="1">
      <c r="A27" s="664"/>
      <c r="B27" s="664"/>
      <c r="C27" s="826" t="s">
        <v>1767</v>
      </c>
      <c r="D27" s="674" t="s">
        <v>685</v>
      </c>
      <c r="E27" s="783" t="s">
        <v>1374</v>
      </c>
      <c r="F27" s="704" t="str">
        <f>+$F$9</f>
        <v>$HTaxOth</v>
      </c>
      <c r="G27" s="839">
        <f>+G9/'VVP2'!G$341</f>
        <v>1.0702515155456931E-3</v>
      </c>
      <c r="H27" s="839">
        <f>+H9/'VVP2'!H$341</f>
        <v>3.1479851556749689E-3</v>
      </c>
      <c r="I27" s="839">
        <f>+I9/'VVP2'!I$341</f>
        <v>1.0806578451324339E-3</v>
      </c>
      <c r="J27" s="839">
        <f>+J9/'VVP2'!J$341</f>
        <v>9.1460886072449929E-4</v>
      </c>
      <c r="K27" s="839">
        <f>+K9/'VVP2'!K$341</f>
        <v>9.1487781700555699E-4</v>
      </c>
      <c r="L27" s="839">
        <f>+L9/'VVP2'!L$341</f>
        <v>1.1856513003265963E-3</v>
      </c>
      <c r="M27" s="839">
        <f>+M9/'VVP2'!M$341</f>
        <v>1.4674677269819619E-3</v>
      </c>
      <c r="N27" s="839">
        <f>+N9/'VVP2'!N$341</f>
        <v>2.3555847619122798E-3</v>
      </c>
      <c r="O27" s="839">
        <f>+O9/'VVP2'!O$341</f>
        <v>9.3709804373284182E-4</v>
      </c>
      <c r="P27" s="839">
        <f>+P9/'VVP2'!P$341</f>
        <v>1.0922417933820676E-3</v>
      </c>
      <c r="Q27" s="839">
        <f>+Q9/'VVP2'!Q$341</f>
        <v>1.0755939216325792E-3</v>
      </c>
      <c r="R27" s="839">
        <f>+R9/'VVP2'!R$341</f>
        <v>8.7378390792377473E-4</v>
      </c>
      <c r="S27" s="839">
        <f>+S9/'VVP2'!S$341</f>
        <v>8.4571080684805371E-4</v>
      </c>
      <c r="T27" s="839">
        <f>+T9/'VVP2'!T$341</f>
        <v>8.8175168551284718E-4</v>
      </c>
      <c r="U27" s="839">
        <f>+U9/'VVP2'!U$341</f>
        <v>8.1493026498784856E-4</v>
      </c>
      <c r="V27" s="2910">
        <f>+V9/'VVP2'!V$341</f>
        <v>1.0503909352404018E-3</v>
      </c>
      <c r="W27" s="2910">
        <f>+W9/'VVP2'!W$341</f>
        <v>7.593847161276048E-4</v>
      </c>
      <c r="X27" s="2910">
        <f>+X9/'VVP2'!X$341</f>
        <v>6.6389832460130114E-4</v>
      </c>
      <c r="Y27" s="2910">
        <f>+Y9/'VVP2'!Y$341</f>
        <v>6.3272944666208043E-4</v>
      </c>
      <c r="Z27" s="2910">
        <f>+Z9/'VVP2'!Z$341</f>
        <v>4.8621373496374453E-4</v>
      </c>
      <c r="AA27" s="2910">
        <f>+AA9/'VVP2'!AA$341</f>
        <v>6.5033942427593621E-4</v>
      </c>
      <c r="AB27" s="2910">
        <f>+AB9/'VVP2'!AB$341</f>
        <v>6.3514525585802535E-4</v>
      </c>
      <c r="AC27" s="2910">
        <f ca="1">+AC9/'VVP2'!AC$341</f>
        <v>6.2899604622019807E-4</v>
      </c>
      <c r="AD27" s="2910">
        <f ca="1">+AD9/'VVP2'!AD$341</f>
        <v>6.3600436201016448E-4</v>
      </c>
      <c r="AE27" s="2910">
        <f ca="1">+AE9/'VVP2'!AE$341</f>
        <v>6.4459026053425E-4</v>
      </c>
    </row>
    <row r="28" spans="1:31" ht="12.75" customHeight="1">
      <c r="A28" s="664"/>
      <c r="B28" s="664"/>
      <c r="C28" s="826" t="s">
        <v>1767</v>
      </c>
      <c r="D28" s="674" t="s">
        <v>686</v>
      </c>
      <c r="E28" s="783" t="s">
        <v>1374</v>
      </c>
      <c r="F28" s="704" t="str">
        <f>+$F$10</f>
        <v>$ETaxProd</v>
      </c>
      <c r="G28" s="839">
        <f>+G10/'VVP2'!G$341</f>
        <v>3.1476470565507506E-3</v>
      </c>
      <c r="H28" s="839">
        <f>+H10/'VVP2'!H$341</f>
        <v>2.1020881909379618E-3</v>
      </c>
      <c r="I28" s="839">
        <f>+I10/'VVP2'!I$341</f>
        <v>4.6731841621788514E-3</v>
      </c>
      <c r="J28" s="839">
        <f>+J10/'VVP2'!J$341</f>
        <v>4.536183493114708E-3</v>
      </c>
      <c r="K28" s="839">
        <f>+K10/'VVP2'!K$341</f>
        <v>5.5868119143365992E-3</v>
      </c>
      <c r="L28" s="839">
        <f>+L10/'VVP2'!L$341</f>
        <v>4.5742950798089189E-3</v>
      </c>
      <c r="M28" s="839">
        <f>+M10/'VVP2'!M$341</f>
        <v>4.6285467912969237E-3</v>
      </c>
      <c r="N28" s="839">
        <f>+N10/'VVP2'!N$341</f>
        <v>3.9487783651939159E-3</v>
      </c>
      <c r="O28" s="839">
        <f>+O10/'VVP2'!O$341</f>
        <v>4.690889631208125E-3</v>
      </c>
      <c r="P28" s="839">
        <f>+P10/'VVP2'!P$341</f>
        <v>5.5001392717949392E-3</v>
      </c>
      <c r="Q28" s="839">
        <f>+Q10/'VVP2'!Q$341</f>
        <v>5.2170352365330536E-3</v>
      </c>
      <c r="R28" s="839">
        <f>+R10/'VVP2'!R$341</f>
        <v>5.6899778148591434E-3</v>
      </c>
      <c r="S28" s="839">
        <f>+S10/'VVP2'!S$341</f>
        <v>5.415510529030677E-3</v>
      </c>
      <c r="T28" s="839">
        <f>+T10/'VVP2'!T$341</f>
        <v>4.6730086725462342E-3</v>
      </c>
      <c r="U28" s="839">
        <f>+U10/'VVP2'!U$341</f>
        <v>5.6941163891201059E-3</v>
      </c>
      <c r="V28" s="2910">
        <f>+V10/'VVP2'!V$341</f>
        <v>5.315463367259343E-3</v>
      </c>
      <c r="W28" s="2910">
        <f>+W10/'VVP2'!W$341</f>
        <v>5.1612581422028608E-3</v>
      </c>
      <c r="X28" s="2910">
        <f>+X10/'VVP2'!X$341</f>
        <v>5.0793919243095932E-3</v>
      </c>
      <c r="Y28" s="2910">
        <f>+Y10/'VVP2'!Y$341</f>
        <v>5.1642393445014458E-3</v>
      </c>
      <c r="Z28" s="2910">
        <f>+Z10/'VVP2'!Z$341</f>
        <v>5.5630180035812458E-3</v>
      </c>
      <c r="AA28" s="2910">
        <f>+AA10/'VVP2'!AA$341</f>
        <v>5.7624775527358738E-3</v>
      </c>
      <c r="AB28" s="2910">
        <f>+AB10/'VVP2'!AB$341</f>
        <v>4.9764251459592764E-3</v>
      </c>
      <c r="AC28" s="2910">
        <f ca="1">+AC10/'VVP2'!AC$341</f>
        <v>4.8361287494619459E-3</v>
      </c>
      <c r="AD28" s="2910">
        <f ca="1">+AD10/'VVP2'!AD$341</f>
        <v>4.7986111014855998E-3</v>
      </c>
      <c r="AE28" s="2910">
        <f ca="1">+AE10/'VVP2'!AE$341</f>
        <v>4.7724866341105794E-3</v>
      </c>
    </row>
    <row r="29" spans="1:31" ht="12.75" customHeight="1">
      <c r="A29" s="664"/>
      <c r="B29" s="664"/>
      <c r="C29" s="826" t="s">
        <v>1767</v>
      </c>
      <c r="D29" s="674" t="s">
        <v>687</v>
      </c>
      <c r="E29" s="783" t="s">
        <v>1374</v>
      </c>
      <c r="F29" s="704" t="s">
        <v>215</v>
      </c>
      <c r="G29" s="839">
        <f>+G11/'VVP2'!G$341</f>
        <v>3.6705376886946153E-4</v>
      </c>
      <c r="H29" s="839">
        <f>+H11/'VVP2'!H$341</f>
        <v>4.5603578285284866E-4</v>
      </c>
      <c r="I29" s="839">
        <f>+I11/'VVP2'!I$341</f>
        <v>5.0066784143073303E-4</v>
      </c>
      <c r="J29" s="839">
        <f>+J11/'VVP2'!J$341</f>
        <v>4.7381500173552984E-4</v>
      </c>
      <c r="K29" s="839">
        <f>+K11/'VVP2'!K$341</f>
        <v>5.0581808799189426E-4</v>
      </c>
      <c r="L29" s="839">
        <f>+L11/'VVP2'!L$341</f>
        <v>4.6303984536414083E-4</v>
      </c>
      <c r="M29" s="839">
        <f>+M11/'VVP2'!M$341</f>
        <v>4.8962557381299261E-4</v>
      </c>
      <c r="N29" s="839">
        <f>+N11/'VVP2'!N$341</f>
        <v>5.0124423026449516E-4</v>
      </c>
      <c r="O29" s="839">
        <f>+O11/'VVP2'!O$341</f>
        <v>4.6014993568699726E-4</v>
      </c>
      <c r="P29" s="839">
        <f>+P11/'VVP2'!P$341</f>
        <v>5.2364001640555955E-4</v>
      </c>
      <c r="Q29" s="839">
        <f>+Q11/'VVP2'!Q$341</f>
        <v>1.9759693558101831E-4</v>
      </c>
      <c r="R29" s="839">
        <f>+R11/'VVP2'!R$341</f>
        <v>1.4950675230634928E-4</v>
      </c>
      <c r="S29" s="839">
        <f>+S11/'VVP2'!S$341</f>
        <v>1.2534150394653566E-4</v>
      </c>
      <c r="T29" s="839">
        <f>+T11/'VVP2'!T$341</f>
        <v>1.0001137744110338E-4</v>
      </c>
      <c r="U29" s="839">
        <f>+U11/'VVP2'!U$341</f>
        <v>9.1331592340323787E-5</v>
      </c>
      <c r="V29" s="2910">
        <f>+V11/'VVP2'!V$341</f>
        <v>7.9207468622068345E-5</v>
      </c>
      <c r="W29" s="2910">
        <f>+W11/'VVP2'!W$341</f>
        <v>9.0166943135993501E-5</v>
      </c>
      <c r="X29" s="2910">
        <f>+X11/'VVP2'!X$341</f>
        <v>1.1154931199263055E-4</v>
      </c>
      <c r="Y29" s="2910">
        <f>+Y11/'VVP2'!Y$341</f>
        <v>1.2471520738908999E-4</v>
      </c>
      <c r="Z29" s="2910">
        <f>+Z11/'VVP2'!Z$341</f>
        <v>1.380978268597812E-4</v>
      </c>
      <c r="AA29" s="2910">
        <f>+AA11/'VVP2'!AA$341</f>
        <v>7.0003668512857553E-5</v>
      </c>
      <c r="AB29" s="2910">
        <f>+AB11/'VVP2'!AB$341</f>
        <v>6.9824600603284555E-5</v>
      </c>
      <c r="AC29" s="2910">
        <f ca="1">+AC11/'VVP2'!AC$341</f>
        <v>6.7856091168462572E-5</v>
      </c>
      <c r="AD29" s="2910">
        <f ca="1">+AD11/'VVP2'!AD$341</f>
        <v>6.732967818952928E-5</v>
      </c>
      <c r="AE29" s="2910">
        <f ca="1">+AE11/'VVP2'!AE$341</f>
        <v>6.6963123796178172E-5</v>
      </c>
    </row>
    <row r="30" spans="1:31" ht="12.75" customHeight="1">
      <c r="A30" s="664"/>
      <c r="B30" s="664"/>
      <c r="C30" s="827" t="s">
        <v>401</v>
      </c>
      <c r="D30" s="828" t="s">
        <v>688</v>
      </c>
      <c r="E30" s="829" t="s">
        <v>768</v>
      </c>
      <c r="F30" s="830" t="str">
        <f>+$F$12</f>
        <v>TaxToRow</v>
      </c>
      <c r="G30" s="840">
        <f>+G12/'VVP2'!G$341</f>
        <v>0</v>
      </c>
      <c r="H30" s="840">
        <f>+H12/'VVP2'!H$341</f>
        <v>0</v>
      </c>
      <c r="I30" s="840">
        <f>+I12/'VVP2'!I$341</f>
        <v>0</v>
      </c>
      <c r="J30" s="840">
        <f>+J12/'VVP2'!J$341</f>
        <v>0</v>
      </c>
      <c r="K30" s="840">
        <f>+K12/'VVP2'!K$341</f>
        <v>0</v>
      </c>
      <c r="L30" s="840">
        <f>+L12/'VVP2'!L$341</f>
        <v>0</v>
      </c>
      <c r="M30" s="840">
        <f>+M12/'VVP2'!M$341</f>
        <v>0</v>
      </c>
      <c r="N30" s="840">
        <f>+N12/'VVP2'!N$341</f>
        <v>0</v>
      </c>
      <c r="O30" s="840">
        <f>+O12/'VVP2'!O$341</f>
        <v>0</v>
      </c>
      <c r="P30" s="840">
        <f>+P12/'VVP2'!P$341</f>
        <v>1.8897527873959058E-3</v>
      </c>
      <c r="Q30" s="840" t="e">
        <f>+Q12/'VVP2'!Q$341</f>
        <v>#VALUE!</v>
      </c>
      <c r="R30" s="840" t="e">
        <f>+R12/'VVP2'!R$341</f>
        <v>#VALUE!</v>
      </c>
      <c r="S30" s="840" t="e">
        <f>+S12/'VVP2'!S$341</f>
        <v>#VALUE!</v>
      </c>
      <c r="T30" s="840">
        <f>+T12/'VVP2'!T$341</f>
        <v>3.6089732532263606E-3</v>
      </c>
      <c r="U30" s="840">
        <f>+U12/'VVP2'!U$341</f>
        <v>2.9330064206851952E-3</v>
      </c>
      <c r="V30" s="2911">
        <f>+V12/'VVP2'!V$341</f>
        <v>3.1397555129468531E-3</v>
      </c>
      <c r="W30" s="2911">
        <f>+W12/'VVP2'!W$341</f>
        <v>2.9416165845785108E-3</v>
      </c>
      <c r="X30" s="2911">
        <f>+X12/'VVP2'!X$341</f>
        <v>2.6088145546663594E-3</v>
      </c>
      <c r="Y30" s="2911">
        <f>+Y12/'VVP2'!Y$341</f>
        <v>2.860440536447018E-3</v>
      </c>
      <c r="Z30" s="2911">
        <f>+Z12/'VVP2'!Z$341</f>
        <v>2.8166487458529629E-3</v>
      </c>
      <c r="AA30" s="2911">
        <f>+AA12/'VVP2'!AA$341</f>
        <v>3.2864317660616332E-3</v>
      </c>
      <c r="AB30" s="2911">
        <f>+AB12/'VVP2'!AB$341</f>
        <v>2.8964278768769886E-3</v>
      </c>
      <c r="AC30" s="2911">
        <f ca="1">+AC12/'VVP2'!AC$341</f>
        <v>2.7879638445511535E-3</v>
      </c>
      <c r="AD30" s="2911">
        <f ca="1">+AD12/'VVP2'!AD$341</f>
        <v>2.7399893683167967E-3</v>
      </c>
      <c r="AE30" s="2911">
        <f ca="1">+AE12/'VVP2'!AE$341</f>
        <v>2.6991193226927048E-3</v>
      </c>
    </row>
    <row r="31" spans="1:31" ht="12.75" customHeight="1">
      <c r="A31" s="664"/>
      <c r="B31" s="664"/>
      <c r="C31" s="774" t="s">
        <v>1769</v>
      </c>
      <c r="D31" s="806" t="s">
        <v>687</v>
      </c>
      <c r="E31" s="807" t="s">
        <v>1381</v>
      </c>
      <c r="F31" s="808" t="str">
        <f>+$F$13</f>
        <v>YATaxIndir</v>
      </c>
      <c r="G31" s="841">
        <f>+G13/'VVP2'!G$341</f>
        <v>0.12030863426376097</v>
      </c>
      <c r="H31" s="841">
        <f>+H13/'VVP2'!H$341</f>
        <v>0.11567867492266437</v>
      </c>
      <c r="I31" s="841">
        <f>+I13/'VVP2'!I$341</f>
        <v>0.13524087496609616</v>
      </c>
      <c r="J31" s="841">
        <f>+J13/'VVP2'!J$341</f>
        <v>0.13784637642874037</v>
      </c>
      <c r="K31" s="841">
        <f>+K13/'VVP2'!K$341</f>
        <v>0.13715772713828106</v>
      </c>
      <c r="L31" s="841">
        <f>+L13/'VVP2'!L$341</f>
        <v>0.12511875214127877</v>
      </c>
      <c r="M31" s="841">
        <f>+M13/'VVP2'!M$341</f>
        <v>0.1218308192175572</v>
      </c>
      <c r="N31" s="841">
        <f>+N13/'VVP2'!N$341</f>
        <v>0.1238915233812015</v>
      </c>
      <c r="O31" s="841">
        <f>+O13/'VVP2'!O$341</f>
        <v>0.11642873255389814</v>
      </c>
      <c r="P31" s="841">
        <f>+P13/'VVP2'!P$341</f>
        <v>0.11178699969075083</v>
      </c>
      <c r="Q31" s="841">
        <f>+Q13/'VVP2'!Q$341</f>
        <v>0.11210935919075722</v>
      </c>
      <c r="R31" s="841">
        <f>+R13/'VVP2'!R$341</f>
        <v>0.11310476519549252</v>
      </c>
      <c r="S31" s="841">
        <f>+S13/'VVP2'!S$341</f>
        <v>0.11629728800929455</v>
      </c>
      <c r="T31" s="841">
        <f>+T13/'VVP2'!T$341</f>
        <v>0.11593795991470589</v>
      </c>
      <c r="U31" s="841">
        <f>+U13/'VVP2'!U$341</f>
        <v>0.11562876603593417</v>
      </c>
      <c r="V31" s="2912">
        <f>+V13/'VVP2'!V$341</f>
        <v>0.11842801004436333</v>
      </c>
      <c r="W31" s="2912">
        <f>+W13/'VVP2'!W$341</f>
        <v>0.11602119498697375</v>
      </c>
      <c r="X31" s="2912">
        <f>+X13/'VVP2'!X$341</f>
        <v>0.11167135653559022</v>
      </c>
      <c r="Y31" s="2912">
        <f>+Y13/'VVP2'!Y$341</f>
        <v>0.10987924650275388</v>
      </c>
      <c r="Z31" s="2912">
        <f>+Z13/'VVP2'!Z$341</f>
        <v>0.11155952645298055</v>
      </c>
      <c r="AA31" s="2912">
        <f>+AA13/'VVP2'!AA$341</f>
        <v>0.11605726513836011</v>
      </c>
      <c r="AB31" s="2912">
        <f>+AB13/'VVP2'!AB$341</f>
        <v>0.11722153949279411</v>
      </c>
      <c r="AC31" s="2912">
        <f ca="1">+AC13/'VVP2'!AC$341</f>
        <v>0.11795197422789411</v>
      </c>
      <c r="AD31" s="2912">
        <f ca="1">+AD13/'VVP2'!AD$341</f>
        <v>0.11865878778518013</v>
      </c>
      <c r="AE31" s="2912">
        <f ca="1">+AE13/'VVP2'!AE$341</f>
        <v>0.11870945245536141</v>
      </c>
    </row>
    <row r="32" spans="1:31" ht="12.75" customHeight="1">
      <c r="A32" s="664"/>
      <c r="B32" s="664"/>
      <c r="C32" s="774"/>
      <c r="AB32" s="2221"/>
      <c r="AC32" s="2221"/>
      <c r="AD32" s="2221"/>
      <c r="AE32" s="2221"/>
    </row>
    <row r="33" spans="1:113" ht="12.75" customHeight="1">
      <c r="A33" s="664"/>
      <c r="B33" s="664"/>
      <c r="C33" s="774"/>
      <c r="D33" s="818"/>
      <c r="E33" s="819" t="s">
        <v>1367</v>
      </c>
      <c r="F33" s="820"/>
      <c r="G33" s="821">
        <f>+InputY!$G$3</f>
        <v>1995</v>
      </c>
      <c r="H33" s="821">
        <f t="shared" ref="H33:O33" si="21">+G33+1</f>
        <v>1996</v>
      </c>
      <c r="I33" s="821">
        <f t="shared" si="21"/>
        <v>1997</v>
      </c>
      <c r="J33" s="821">
        <f t="shared" si="21"/>
        <v>1998</v>
      </c>
      <c r="K33" s="821">
        <f>+J33+1</f>
        <v>1999</v>
      </c>
      <c r="L33" s="821">
        <f t="shared" si="21"/>
        <v>2000</v>
      </c>
      <c r="M33" s="821">
        <f t="shared" si="21"/>
        <v>2001</v>
      </c>
      <c r="N33" s="821">
        <f t="shared" si="21"/>
        <v>2002</v>
      </c>
      <c r="O33" s="821">
        <f t="shared" si="21"/>
        <v>2003</v>
      </c>
      <c r="P33" s="821">
        <f t="shared" ref="P33:W33" si="22">+O33+1</f>
        <v>2004</v>
      </c>
      <c r="Q33" s="821">
        <f t="shared" si="22"/>
        <v>2005</v>
      </c>
      <c r="R33" s="821">
        <f t="shared" si="22"/>
        <v>2006</v>
      </c>
      <c r="S33" s="821">
        <f t="shared" si="22"/>
        <v>2007</v>
      </c>
      <c r="T33" s="2255">
        <f t="shared" si="22"/>
        <v>2008</v>
      </c>
      <c r="U33" s="2255">
        <f t="shared" si="22"/>
        <v>2009</v>
      </c>
      <c r="V33" s="2255">
        <f t="shared" si="22"/>
        <v>2010</v>
      </c>
      <c r="W33" s="2255">
        <f t="shared" si="22"/>
        <v>2011</v>
      </c>
      <c r="X33" s="2255">
        <f t="shared" ref="X33:AE33" si="23">+W33+1</f>
        <v>2012</v>
      </c>
      <c r="Y33" s="2255">
        <f t="shared" si="23"/>
        <v>2013</v>
      </c>
      <c r="Z33" s="2255">
        <f t="shared" si="23"/>
        <v>2014</v>
      </c>
      <c r="AA33" s="2255">
        <f t="shared" si="23"/>
        <v>2015</v>
      </c>
      <c r="AB33" s="2255">
        <f t="shared" si="23"/>
        <v>2016</v>
      </c>
      <c r="AC33" s="2255">
        <f t="shared" si="23"/>
        <v>2017</v>
      </c>
      <c r="AD33" s="2255">
        <f t="shared" si="23"/>
        <v>2018</v>
      </c>
      <c r="AE33" s="2255">
        <f t="shared" si="23"/>
        <v>2019</v>
      </c>
    </row>
    <row r="34" spans="1:113" s="898" customFormat="1" ht="25.5">
      <c r="A34" s="664"/>
      <c r="B34" s="664"/>
      <c r="C34" s="822"/>
      <c r="D34" s="1835" t="s">
        <v>337</v>
      </c>
      <c r="E34" s="1836" t="s">
        <v>655</v>
      </c>
      <c r="F34" s="1837" t="s">
        <v>1544</v>
      </c>
      <c r="G34" s="1838">
        <f>+G13+G12</f>
        <v>0.93413999999999997</v>
      </c>
      <c r="H34" s="1838">
        <f t="shared" ref="H34:U34" si="24">+H13+H12</f>
        <v>1.1237200000000001</v>
      </c>
      <c r="I34" s="1838">
        <f t="shared" si="24"/>
        <v>1.58561</v>
      </c>
      <c r="J34" s="1838">
        <f t="shared" si="24"/>
        <v>1.7950299999999999</v>
      </c>
      <c r="K34" s="1838">
        <f t="shared" si="24"/>
        <v>1.74356</v>
      </c>
      <c r="L34" s="1838">
        <f t="shared" si="24"/>
        <v>1.6726099999999999</v>
      </c>
      <c r="M34" s="1838">
        <f t="shared" si="24"/>
        <v>1.72933</v>
      </c>
      <c r="N34" s="1838">
        <f t="shared" si="24"/>
        <v>1.8834200000000001</v>
      </c>
      <c r="O34" s="1838">
        <f t="shared" si="24"/>
        <v>1.94069</v>
      </c>
      <c r="P34" s="1838">
        <f t="shared" si="24"/>
        <v>2.0732047822057464</v>
      </c>
      <c r="Q34" s="1838" t="e">
        <f t="shared" si="24"/>
        <v>#VALUE!</v>
      </c>
      <c r="R34" s="1838" t="e">
        <f t="shared" si="24"/>
        <v>#VALUE!</v>
      </c>
      <c r="S34" s="1838" t="e">
        <f>+S13+S12</f>
        <v>#VALUE!</v>
      </c>
      <c r="T34" s="2256">
        <f t="shared" si="24"/>
        <v>3.9087399999999999</v>
      </c>
      <c r="U34" s="2256">
        <f t="shared" si="24"/>
        <v>3.1934400000000003</v>
      </c>
      <c r="V34" s="2256">
        <f t="shared" ref="V34:AA34" si="25">+V13+V12</f>
        <v>3.4072600000000004</v>
      </c>
      <c r="W34" s="2256">
        <f t="shared" si="25"/>
        <v>3.7206000000000001</v>
      </c>
      <c r="X34" s="2256">
        <f t="shared" si="25"/>
        <v>3.8110700000000004</v>
      </c>
      <c r="Y34" s="2256">
        <f t="shared" si="25"/>
        <v>3.9413400000000003</v>
      </c>
      <c r="Z34" s="2256">
        <f t="shared" si="25"/>
        <v>4.1825399999999995</v>
      </c>
      <c r="AA34" s="2256">
        <f t="shared" si="25"/>
        <v>4.4666300000000003</v>
      </c>
      <c r="AB34" s="2256">
        <f>+AB13+AB12</f>
        <v>4.6447600000000007</v>
      </c>
      <c r="AC34" s="2256">
        <f>+AC13+AC12</f>
        <v>5.0444656999999999</v>
      </c>
      <c r="AD34" s="2256">
        <f>+AD13+AD12</f>
        <v>5.3672291270192165</v>
      </c>
      <c r="AE34" s="2256">
        <f>+AE13+AE12</f>
        <v>5.6668968355982923</v>
      </c>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row>
    <row r="35" spans="1:113" ht="12.75" customHeight="1" thickBot="1">
      <c r="A35" s="664"/>
      <c r="B35" s="664"/>
      <c r="C35" s="826"/>
      <c r="D35" s="806"/>
      <c r="E35" s="1733" t="s">
        <v>284</v>
      </c>
      <c r="F35" s="187"/>
      <c r="G35" s="1733"/>
      <c r="H35" s="809">
        <f>(H34/G34-1)*100</f>
        <v>20.294602522105908</v>
      </c>
      <c r="I35" s="809">
        <f t="shared" ref="I35:V35" si="26">(I34/H34-1)*100</f>
        <v>41.103655714946782</v>
      </c>
      <c r="J35" s="809">
        <f t="shared" si="26"/>
        <v>13.207535270337601</v>
      </c>
      <c r="K35" s="809">
        <f>(K34/J34-1)*100</f>
        <v>-2.8673615482749493</v>
      </c>
      <c r="L35" s="809">
        <f t="shared" si="26"/>
        <v>-4.069260593268953</v>
      </c>
      <c r="M35" s="809">
        <f t="shared" si="26"/>
        <v>3.3911073113278123</v>
      </c>
      <c r="N35" s="809">
        <f t="shared" si="26"/>
        <v>8.9103872598058196</v>
      </c>
      <c r="O35" s="809">
        <f t="shared" si="26"/>
        <v>3.0407450276624504</v>
      </c>
      <c r="P35" s="809">
        <f t="shared" si="26"/>
        <v>6.8282302792175065</v>
      </c>
      <c r="Q35" s="809" t="e">
        <f t="shared" si="26"/>
        <v>#VALUE!</v>
      </c>
      <c r="R35" s="809" t="e">
        <f t="shared" si="26"/>
        <v>#VALUE!</v>
      </c>
      <c r="S35" s="809" t="e">
        <f t="shared" si="26"/>
        <v>#VALUE!</v>
      </c>
      <c r="T35" s="809" t="e">
        <f t="shared" si="26"/>
        <v>#VALUE!</v>
      </c>
      <c r="U35" s="2253">
        <f t="shared" si="26"/>
        <v>-18.300014838541312</v>
      </c>
      <c r="V35" s="2253">
        <f t="shared" si="26"/>
        <v>6.695600982013139</v>
      </c>
      <c r="W35" s="2253">
        <f t="shared" ref="W35:AE35" si="27">(W34/V34-1)*100</f>
        <v>9.1962456636710996</v>
      </c>
      <c r="X35" s="2253">
        <f t="shared" si="27"/>
        <v>2.4315970542385656</v>
      </c>
      <c r="Y35" s="2253">
        <f t="shared" si="27"/>
        <v>3.4182001380189675</v>
      </c>
      <c r="Z35" s="2253">
        <f t="shared" si="27"/>
        <v>6.1197460762075551</v>
      </c>
      <c r="AA35" s="2253">
        <f t="shared" si="27"/>
        <v>6.7922841144376633</v>
      </c>
      <c r="AB35" s="2253">
        <f t="shared" si="27"/>
        <v>3.9880178120865306</v>
      </c>
      <c r="AC35" s="2253">
        <f t="shared" si="27"/>
        <v>8.6055189073278129</v>
      </c>
      <c r="AD35" s="2253">
        <f t="shared" si="27"/>
        <v>6.3983669671738852</v>
      </c>
      <c r="AE35" s="2253">
        <f t="shared" si="27"/>
        <v>5.5832851828612196</v>
      </c>
    </row>
    <row r="36" spans="1:113" s="884" customFormat="1" ht="12.75" customHeight="1" thickBot="1">
      <c r="A36" s="664"/>
      <c r="B36" s="664"/>
      <c r="C36" s="826"/>
      <c r="D36" s="1041"/>
      <c r="E36" s="1042" t="s">
        <v>1078</v>
      </c>
      <c r="F36" s="1505">
        <v>1</v>
      </c>
      <c r="G36" s="1044"/>
      <c r="H36" s="1044">
        <f>+H35/'VVP2'!H188</f>
        <v>0.79207011042229847</v>
      </c>
      <c r="I36" s="1044">
        <f>+I35/'VVP2'!I188</f>
        <v>2.6701825147422849</v>
      </c>
      <c r="J36" s="1044">
        <f>+J35/'VVP2'!J188</f>
        <v>1.2257296232926151</v>
      </c>
      <c r="K36" s="1044">
        <f>+K35/'VVP2'!K188</f>
        <v>-0.78065740627346125</v>
      </c>
      <c r="L36" s="1044">
        <f>+L35/'VVP2'!L188</f>
        <v>-0.77816106490188319</v>
      </c>
      <c r="M36" s="1044">
        <f>+M35/'VVP2'!M188</f>
        <v>0.51071025623344424</v>
      </c>
      <c r="N36" s="1044">
        <f>+N35/'VVP2'!N188</f>
        <v>1.5484101093525968</v>
      </c>
      <c r="O36" s="1044">
        <f>+O35/'VVP2'!O188</f>
        <v>0.3179173586123446</v>
      </c>
      <c r="P36" s="1044">
        <f>+P35/'VVP2'!P188</f>
        <v>0.63819560207284276</v>
      </c>
      <c r="Q36" s="1044" t="e">
        <f>+Q35/'VVP2'!Q188</f>
        <v>#VALUE!</v>
      </c>
      <c r="R36" s="1044" t="e">
        <f>+R35/'VVP2'!R188</f>
        <v>#VALUE!</v>
      </c>
      <c r="S36" s="1044" t="e">
        <f>+S35/'VVP2'!S188</f>
        <v>#VALUE!</v>
      </c>
      <c r="T36" s="1044" t="e">
        <f>+T35/'VVP2'!T188</f>
        <v>#VALUE!</v>
      </c>
      <c r="U36" s="1044">
        <f>+U35/'VVP2'!U188</f>
        <v>1.329965764054994</v>
      </c>
      <c r="V36" s="1044">
        <f>+V35/'VVP2'!V188</f>
        <v>-3.149069008326137</v>
      </c>
      <c r="W36" s="1044">
        <f>+W35/'VVP2'!W188</f>
        <v>1.0325380833958162</v>
      </c>
      <c r="X36" s="1044">
        <f>+X35/'VVP2'!X188</f>
        <v>0.3875518303130765</v>
      </c>
      <c r="Y36" s="3229">
        <f>+Y35/'VVP2'!Y188</f>
        <v>0.63866835478230277</v>
      </c>
      <c r="Z36" s="3229">
        <f>+Z35/'VVP2'!Z188</f>
        <v>1.4960229347589842</v>
      </c>
      <c r="AA36" s="3229">
        <f>+AA35/'VVP2'!AA188</f>
        <v>2.2201807161592204</v>
      </c>
      <c r="AB36" s="3229">
        <f>+AB35/'VVP2'!AB188</f>
        <v>0.67362232449094694</v>
      </c>
      <c r="AC36" s="3277">
        <f>+AC35/'VVP2'!AC188</f>
        <v>1.1045762498093494</v>
      </c>
      <c r="AD36" s="3277">
        <f ca="1">+AD35/'VVP2'!AD188</f>
        <v>1.0334949066667574</v>
      </c>
      <c r="AE36" s="3277">
        <f ca="1">+AE35/'VVP2'!AE188</f>
        <v>1.0019174501778749</v>
      </c>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row>
    <row r="37" spans="1:113" s="884" customFormat="1" ht="12.75" customHeight="1">
      <c r="A37" s="664"/>
      <c r="B37" s="664"/>
      <c r="C37" s="826"/>
      <c r="D37" s="806"/>
      <c r="E37" s="807" t="s">
        <v>654</v>
      </c>
      <c r="F37" s="808"/>
      <c r="G37" s="809"/>
      <c r="H37" s="809"/>
      <c r="I37" s="809"/>
      <c r="J37" s="809"/>
      <c r="K37" s="809">
        <f>AVERAGE(H36:K36)</f>
        <v>0.97683121054593436</v>
      </c>
      <c r="L37" s="809">
        <f>AVERAGE(I36:L36)</f>
        <v>0.58427341671488886</v>
      </c>
      <c r="M37" s="809">
        <f>AVERAGE(J36:M36)</f>
        <v>4.4405352087678734E-2</v>
      </c>
      <c r="N37" s="809">
        <f t="shared" ref="N37:AE37" si="28">AVERAGE(K36:N36)</f>
        <v>0.12507547360267413</v>
      </c>
      <c r="O37" s="809">
        <f t="shared" si="28"/>
        <v>0.39971916482412562</v>
      </c>
      <c r="P37" s="809">
        <f t="shared" si="28"/>
        <v>0.75380833156780713</v>
      </c>
      <c r="Q37" s="809" t="e">
        <f t="shared" si="28"/>
        <v>#VALUE!</v>
      </c>
      <c r="R37" s="809" t="e">
        <f t="shared" si="28"/>
        <v>#VALUE!</v>
      </c>
      <c r="S37" s="809" t="e">
        <f t="shared" si="28"/>
        <v>#VALUE!</v>
      </c>
      <c r="T37" s="2253" t="e">
        <f t="shared" si="28"/>
        <v>#VALUE!</v>
      </c>
      <c r="U37" s="2253" t="e">
        <f t="shared" si="28"/>
        <v>#VALUE!</v>
      </c>
      <c r="V37" s="2253" t="e">
        <f t="shared" si="28"/>
        <v>#VALUE!</v>
      </c>
      <c r="W37" s="2253" t="e">
        <f t="shared" si="28"/>
        <v>#VALUE!</v>
      </c>
      <c r="X37" s="2253">
        <f t="shared" si="28"/>
        <v>-9.9753332640562575E-2</v>
      </c>
      <c r="Y37" s="2253">
        <f t="shared" si="28"/>
        <v>-0.27257768495873536</v>
      </c>
      <c r="Z37" s="2253">
        <f t="shared" si="28"/>
        <v>0.88869530081254489</v>
      </c>
      <c r="AA37" s="2253">
        <f t="shared" si="28"/>
        <v>1.185605959003396</v>
      </c>
      <c r="AB37" s="2253">
        <f t="shared" si="28"/>
        <v>1.2571235825478635</v>
      </c>
      <c r="AC37" s="2253">
        <f t="shared" si="28"/>
        <v>1.3736005563046252</v>
      </c>
      <c r="AD37" s="2253">
        <f t="shared" ca="1" si="28"/>
        <v>1.2579685492815686</v>
      </c>
      <c r="AE37" s="2253">
        <f t="shared" ca="1" si="28"/>
        <v>0.95340273278623222</v>
      </c>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row>
    <row r="38" spans="1:113" s="884" customFormat="1" ht="12.75" customHeight="1">
      <c r="A38" s="664"/>
      <c r="B38" s="664"/>
      <c r="C38" s="826"/>
      <c r="D38" s="1041"/>
      <c r="E38" s="1042" t="s">
        <v>1531</v>
      </c>
      <c r="F38" s="1044"/>
      <c r="G38" s="1502">
        <f>+G34/'VVP2'!G185</f>
        <v>0.18827432335198999</v>
      </c>
      <c r="H38" s="1502">
        <f>+H34/'VVP2'!H185</f>
        <v>0.18028962627108586</v>
      </c>
      <c r="I38" s="1502">
        <f>+I34/'VVP2'!I185</f>
        <v>0.22045876712938245</v>
      </c>
      <c r="J38" s="1502">
        <f>+J34/'VVP2'!J185</f>
        <v>0.225299379589849</v>
      </c>
      <c r="K38" s="1502">
        <f>+K34/'VVP2'!K185</f>
        <v>0.21108602352314482</v>
      </c>
      <c r="L38" s="1502">
        <f>+L34/'VVP2'!L185</f>
        <v>0.19243340631324143</v>
      </c>
      <c r="M38" s="1502">
        <f>+M34/'VVP2'!M185</f>
        <v>0.18657076306798012</v>
      </c>
      <c r="N38" s="1502">
        <f>+N34/'VVP2'!N185</f>
        <v>0.19213826789711114</v>
      </c>
      <c r="O38" s="1502">
        <f>+O34/'VVP2'!O185</f>
        <v>0.18069772941849055</v>
      </c>
      <c r="P38" s="1502">
        <f>+P34/'VVP2'!P185</f>
        <v>0.17437890755262361</v>
      </c>
      <c r="Q38" s="1502" t="e">
        <f>+Q34/'VVP2'!Q185</f>
        <v>#VALUE!</v>
      </c>
      <c r="R38" s="1502" t="e">
        <f>+R34/'VVP2'!R185</f>
        <v>#VALUE!</v>
      </c>
      <c r="S38" s="1502" t="e">
        <f>+S34/'VVP2'!S185</f>
        <v>#VALUE!</v>
      </c>
      <c r="T38" s="2229">
        <f>+T34/'VVP2'!T185</f>
        <v>0.18384700879504701</v>
      </c>
      <c r="U38" s="2229">
        <f>+U34/'VVP2'!U185</f>
        <v>0.17416809786974807</v>
      </c>
      <c r="V38" s="2229">
        <f>+V34/'VVP2'!V185</f>
        <v>0.1898666743937491</v>
      </c>
      <c r="W38" s="2229">
        <f>+W34/'VVP2'!W185</f>
        <v>0.19037190727517866</v>
      </c>
      <c r="X38" s="2229">
        <f>+X34/'VVP2'!X185</f>
        <v>0.18348846032369642</v>
      </c>
      <c r="Y38" s="2229">
        <f>+Y34/'VVP2'!Y185</f>
        <v>0.18012029224407053</v>
      </c>
      <c r="Z38" s="2229">
        <f>+Z34/'VVP2'!Z185</f>
        <v>0.1836314287947132</v>
      </c>
      <c r="AA38" s="2229">
        <f>+AA34/'VVP2'!AA185</f>
        <v>0.19028280232635417</v>
      </c>
      <c r="AB38" s="2229">
        <f>+AB34/'VVP2'!AB185</f>
        <v>0.18681158685840279</v>
      </c>
      <c r="AC38" s="2229">
        <f>+AC34/'VVP2'!AC185</f>
        <v>0.18822359301487776</v>
      </c>
      <c r="AD38" s="2229">
        <f ca="1">+AD34/'VVP2'!AD185</f>
        <v>0.18859115105307372</v>
      </c>
      <c r="AE38" s="2229">
        <f ca="1">+AE34/'VVP2'!AE185</f>
        <v>0.18861023868504465</v>
      </c>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row>
    <row r="39" spans="1:113" s="884" customFormat="1" ht="12.75" customHeight="1">
      <c r="A39" s="664"/>
      <c r="B39" s="664">
        <v>158</v>
      </c>
      <c r="C39" s="827"/>
      <c r="D39" s="1049"/>
      <c r="E39" s="1050" t="s">
        <v>654</v>
      </c>
      <c r="F39" s="1051"/>
      <c r="G39" s="1500"/>
      <c r="H39" s="1501"/>
      <c r="I39" s="1501"/>
      <c r="J39" s="1501">
        <f t="shared" ref="J39:AE39" si="29">AVERAGE(G38:J38)</f>
        <v>0.20358052408557681</v>
      </c>
      <c r="K39" s="1501">
        <f>AVERAGE(H38:K38)</f>
        <v>0.20928344912836555</v>
      </c>
      <c r="L39" s="1501">
        <f>AVERAGE(I38:L38)</f>
        <v>0.21231939413890441</v>
      </c>
      <c r="M39" s="1501">
        <f>AVERAGE(J38:M38)</f>
        <v>0.20384739312355385</v>
      </c>
      <c r="N39" s="1501">
        <f t="shared" si="29"/>
        <v>0.19555711520036939</v>
      </c>
      <c r="O39" s="1501">
        <f t="shared" si="29"/>
        <v>0.18796004167420582</v>
      </c>
      <c r="P39" s="1501">
        <f t="shared" si="29"/>
        <v>0.18344641698405134</v>
      </c>
      <c r="Q39" s="1501" t="e">
        <f t="shared" si="29"/>
        <v>#VALUE!</v>
      </c>
      <c r="R39" s="1501" t="e">
        <f t="shared" si="29"/>
        <v>#VALUE!</v>
      </c>
      <c r="S39" s="1501" t="e">
        <f t="shared" si="29"/>
        <v>#VALUE!</v>
      </c>
      <c r="T39" s="2258" t="e">
        <f t="shared" si="29"/>
        <v>#VALUE!</v>
      </c>
      <c r="U39" s="2258" t="e">
        <f t="shared" si="29"/>
        <v>#VALUE!</v>
      </c>
      <c r="V39" s="2258" t="e">
        <f t="shared" si="29"/>
        <v>#VALUE!</v>
      </c>
      <c r="W39" s="2258">
        <f t="shared" si="29"/>
        <v>0.18456342208343068</v>
      </c>
      <c r="X39" s="2258">
        <f t="shared" si="29"/>
        <v>0.18447378496559308</v>
      </c>
      <c r="Y39" s="2258">
        <f t="shared" si="29"/>
        <v>0.18596183355917367</v>
      </c>
      <c r="Z39" s="2258">
        <f t="shared" si="29"/>
        <v>0.1844030221594147</v>
      </c>
      <c r="AA39" s="2258">
        <f t="shared" si="29"/>
        <v>0.18438074592220857</v>
      </c>
      <c r="AB39" s="2258">
        <f t="shared" si="29"/>
        <v>0.18521152755588519</v>
      </c>
      <c r="AC39" s="2258">
        <f t="shared" si="29"/>
        <v>0.18723735274858699</v>
      </c>
      <c r="AD39" s="2258">
        <f t="shared" ca="1" si="29"/>
        <v>0.18847728331317709</v>
      </c>
      <c r="AE39" s="2258">
        <f t="shared" ca="1" si="29"/>
        <v>0.18805914240284974</v>
      </c>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row>
    <row r="40" spans="1:113" ht="30" customHeight="1">
      <c r="A40" s="664"/>
      <c r="B40" s="664"/>
      <c r="C40" s="774"/>
      <c r="AB40" s="2221"/>
      <c r="AC40" s="2221"/>
      <c r="AD40" s="2221"/>
      <c r="AE40" s="2221"/>
    </row>
    <row r="41" spans="1:113" ht="30" customHeight="1">
      <c r="AB41" s="2221"/>
      <c r="AC41" s="2221"/>
      <c r="AD41" s="2221"/>
      <c r="AE41" s="2221"/>
    </row>
    <row r="42" spans="1:113" ht="22.5" customHeight="1">
      <c r="A42" s="574"/>
      <c r="B42" s="574"/>
      <c r="C42" s="3752" t="s">
        <v>977</v>
      </c>
      <c r="D42" s="3752"/>
      <c r="E42" s="3752"/>
      <c r="F42" s="3752"/>
      <c r="AB42" s="2221"/>
      <c r="AC42" s="2221"/>
      <c r="AD42" s="2221"/>
      <c r="AE42" s="2221"/>
    </row>
    <row r="43" spans="1:113" ht="12.75" customHeight="1">
      <c r="A43" s="664"/>
      <c r="B43" s="664"/>
      <c r="C43" s="774"/>
      <c r="AB43" s="2221"/>
      <c r="AC43" s="2221"/>
      <c r="AD43" s="2221"/>
      <c r="AE43" s="2221"/>
    </row>
    <row r="44" spans="1:113" ht="12.75" customHeight="1">
      <c r="A44" s="664"/>
      <c r="B44" s="664"/>
      <c r="C44" s="774"/>
      <c r="D44" s="775"/>
      <c r="E44" s="776" t="s">
        <v>1384</v>
      </c>
      <c r="F44" s="777"/>
      <c r="G44" s="778">
        <f>+InputY!$G$3</f>
        <v>1995</v>
      </c>
      <c r="H44" s="778">
        <f t="shared" ref="H44:O44" si="30">+G44+1</f>
        <v>1996</v>
      </c>
      <c r="I44" s="778">
        <f t="shared" si="30"/>
        <v>1997</v>
      </c>
      <c r="J44" s="778">
        <f t="shared" si="30"/>
        <v>1998</v>
      </c>
      <c r="K44" s="778">
        <f>+J44+1</f>
        <v>1999</v>
      </c>
      <c r="L44" s="778">
        <f t="shared" si="30"/>
        <v>2000</v>
      </c>
      <c r="M44" s="778">
        <f t="shared" si="30"/>
        <v>2001</v>
      </c>
      <c r="N44" s="778">
        <f t="shared" si="30"/>
        <v>2002</v>
      </c>
      <c r="O44" s="778">
        <f t="shared" si="30"/>
        <v>2003</v>
      </c>
      <c r="P44" s="778">
        <f t="shared" ref="P44:W44" si="31">+O44+1</f>
        <v>2004</v>
      </c>
      <c r="Q44" s="778">
        <f t="shared" si="31"/>
        <v>2005</v>
      </c>
      <c r="R44" s="778">
        <f t="shared" si="31"/>
        <v>2006</v>
      </c>
      <c r="S44" s="778">
        <f t="shared" si="31"/>
        <v>2007</v>
      </c>
      <c r="T44" s="2222">
        <f t="shared" si="31"/>
        <v>2008</v>
      </c>
      <c r="U44" s="2222">
        <f t="shared" si="31"/>
        <v>2009</v>
      </c>
      <c r="V44" s="2222">
        <f t="shared" si="31"/>
        <v>2010</v>
      </c>
      <c r="W44" s="2222">
        <f t="shared" si="31"/>
        <v>2011</v>
      </c>
      <c r="X44" s="2222">
        <f t="shared" ref="X44:AE44" si="32">+W44+1</f>
        <v>2012</v>
      </c>
      <c r="Y44" s="2222">
        <f t="shared" si="32"/>
        <v>2013</v>
      </c>
      <c r="Z44" s="2222">
        <f t="shared" si="32"/>
        <v>2014</v>
      </c>
      <c r="AA44" s="2222">
        <f t="shared" si="32"/>
        <v>2015</v>
      </c>
      <c r="AB44" s="2222">
        <f t="shared" si="32"/>
        <v>2016</v>
      </c>
      <c r="AC44" s="2222">
        <f t="shared" si="32"/>
        <v>2017</v>
      </c>
      <c r="AD44" s="2222">
        <f t="shared" si="32"/>
        <v>2018</v>
      </c>
      <c r="AE44" s="2222">
        <f t="shared" si="32"/>
        <v>2019</v>
      </c>
    </row>
    <row r="45" spans="1:113" ht="12.75" customHeight="1">
      <c r="A45" s="664">
        <f>+ROW(InputY!A104)</f>
        <v>104</v>
      </c>
      <c r="B45" s="664">
        <v>51</v>
      </c>
      <c r="C45" s="779" t="s">
        <v>1767</v>
      </c>
      <c r="D45" s="668" t="s">
        <v>684</v>
      </c>
      <c r="E45" s="700" t="s">
        <v>1768</v>
      </c>
      <c r="F45" s="701" t="str">
        <f>+InputY!B104</f>
        <v>$ASubProd</v>
      </c>
      <c r="G45" s="780">
        <f>+InputY!G104/1000</f>
        <v>6.9860000000000005E-2</v>
      </c>
      <c r="H45" s="780">
        <f>+InputY!H104/1000</f>
        <v>8.7959999999999997E-2</v>
      </c>
      <c r="I45" s="780">
        <f>+InputY!I104/1000</f>
        <v>6.3109999999999999E-2</v>
      </c>
      <c r="J45" s="780">
        <f>+InputY!J104/1000</f>
        <v>0.10904999999999999</v>
      </c>
      <c r="K45" s="780">
        <f>+InputY!K104/1000</f>
        <v>0.11612</v>
      </c>
      <c r="L45" s="780">
        <f>+InputY!L104/1000</f>
        <v>0.10212</v>
      </c>
      <c r="M45" s="780">
        <f>+InputY!M104/1000</f>
        <v>7.5840000000000005E-2</v>
      </c>
      <c r="N45" s="780">
        <f>+InputY!N104/1000</f>
        <v>0.10173</v>
      </c>
      <c r="O45" s="780">
        <f>+InputY!O104/1000</f>
        <v>0.10779000000000001</v>
      </c>
      <c r="P45" s="780">
        <f>+InputY!P104/1000</f>
        <v>0.18997</v>
      </c>
      <c r="Q45" s="780">
        <f>+InputY!Q104/1000</f>
        <v>0.27112999999999998</v>
      </c>
      <c r="R45" s="780">
        <f>+InputY!R104/1000</f>
        <v>0.26702999999999999</v>
      </c>
      <c r="S45" s="780">
        <f>+InputY!S104/1000</f>
        <v>0.30131999999999998</v>
      </c>
      <c r="T45" s="780">
        <f>+InputY!T104/1000</f>
        <v>0.35411000000000004</v>
      </c>
      <c r="U45" s="780">
        <f>+InputY!U104/1000</f>
        <v>0.36169999999999997</v>
      </c>
      <c r="V45" s="2872">
        <f>+InputY!V104/1000</f>
        <v>0.37457000000000001</v>
      </c>
      <c r="W45" s="2872">
        <f>+InputY!W104/1000</f>
        <v>0.38688</v>
      </c>
      <c r="X45" s="2872">
        <f>+InputY!X104/1000</f>
        <v>0.41048000000000001</v>
      </c>
      <c r="Y45" s="2872">
        <f>+InputY!Y104/1000</f>
        <v>0.43957999999999997</v>
      </c>
      <c r="Z45" s="2872">
        <f>+InputY!Z104/1000</f>
        <v>0.43972</v>
      </c>
      <c r="AA45" s="2872">
        <f>+InputY!AA104/1000</f>
        <v>0.49363000000000001</v>
      </c>
      <c r="AB45" s="2872">
        <f>+InputY!AB104/1000</f>
        <v>0.53820000000000001</v>
      </c>
      <c r="AC45" s="2872">
        <f>+InputY!AC104/1000</f>
        <v>0.54600000000000004</v>
      </c>
      <c r="AD45" s="2232">
        <f t="shared" ref="AC45:AE49" si="33">+AC45*(1+AD54/100)</f>
        <v>0.56565600000000005</v>
      </c>
      <c r="AE45" s="2232">
        <f t="shared" si="33"/>
        <v>0.58601961600000008</v>
      </c>
    </row>
    <row r="46" spans="1:113" ht="12.75" customHeight="1">
      <c r="A46" s="664">
        <f>+ROW(InputY!A182)</f>
        <v>182</v>
      </c>
      <c r="B46" s="664"/>
      <c r="C46" s="782" t="s">
        <v>1767</v>
      </c>
      <c r="D46" s="674" t="s">
        <v>685</v>
      </c>
      <c r="E46" s="783" t="s">
        <v>1375</v>
      </c>
      <c r="F46" s="704" t="str">
        <f>+InputY!B182</f>
        <v>YHSubOth</v>
      </c>
      <c r="G46" s="706">
        <f>+InputY!G182/1000</f>
        <v>0</v>
      </c>
      <c r="H46" s="706">
        <f>+InputY!H182/1000</f>
        <v>0</v>
      </c>
      <c r="I46" s="706">
        <f>+InputY!I182/1000</f>
        <v>0</v>
      </c>
      <c r="J46" s="706">
        <f>+InputY!J182/1000</f>
        <v>0</v>
      </c>
      <c r="K46" s="706">
        <f>+InputY!K182/1000</f>
        <v>0</v>
      </c>
      <c r="L46" s="706">
        <f>+InputY!L182/1000</f>
        <v>0</v>
      </c>
      <c r="M46" s="706">
        <f>+InputY!M182/1000</f>
        <v>1.184E-2</v>
      </c>
      <c r="N46" s="706">
        <f>+InputY!N182/1000</f>
        <v>0</v>
      </c>
      <c r="O46" s="706">
        <f>+InputY!O182/1000</f>
        <v>7.5499999999999994E-3</v>
      </c>
      <c r="P46" s="706">
        <f>+InputY!P182/1000</f>
        <v>3.5569999999999997E-2</v>
      </c>
      <c r="Q46" s="706">
        <f>+InputY!Q182/1000</f>
        <v>9.2980000000000007E-2</v>
      </c>
      <c r="R46" s="706">
        <f>+InputY!R182/1000</f>
        <v>6.3270000000000007E-2</v>
      </c>
      <c r="S46" s="706">
        <f>+InputY!S182/1000</f>
        <v>7.1400000000000005E-2</v>
      </c>
      <c r="T46" s="706">
        <f>+InputY!T182/1000</f>
        <v>3.7039999999999997E-2</v>
      </c>
      <c r="U46" s="706">
        <f>+InputY!U182/1000</f>
        <v>6.3250000000000001E-2</v>
      </c>
      <c r="V46" s="706">
        <f>+InputY!V182/1000</f>
        <v>2.2339999999999999E-2</v>
      </c>
      <c r="W46" s="706">
        <f>+InputY!W182/1000</f>
        <v>3.1730000000000001E-2</v>
      </c>
      <c r="X46" s="706">
        <f>+InputY!X182/1000</f>
        <v>3.5049999999999998E-2</v>
      </c>
      <c r="Y46" s="706">
        <f>+InputY!Y182/1000</f>
        <v>1.5939999999999999E-2</v>
      </c>
      <c r="Z46" s="706">
        <f>+InputY!Z182/1000</f>
        <v>1.7649999999999999E-2</v>
      </c>
      <c r="AA46" s="706">
        <f>+InputY!AA182/1000</f>
        <v>3.4369999999999998E-2</v>
      </c>
      <c r="AB46" s="706">
        <f>+InputY!AB182/1000</f>
        <v>1.8620000000000001E-2</v>
      </c>
      <c r="AC46" s="2217">
        <f t="shared" si="33"/>
        <v>1.8620000000000001E-2</v>
      </c>
      <c r="AD46" s="2217">
        <f t="shared" si="33"/>
        <v>1.8620000000000001E-2</v>
      </c>
      <c r="AE46" s="2217">
        <f t="shared" si="33"/>
        <v>1.8620000000000001E-2</v>
      </c>
    </row>
    <row r="47" spans="1:113" ht="12.75" customHeight="1">
      <c r="A47" s="664">
        <f>+ROW(InputY!A115)</f>
        <v>115</v>
      </c>
      <c r="B47" s="664">
        <v>101</v>
      </c>
      <c r="C47" s="782" t="s">
        <v>1767</v>
      </c>
      <c r="D47" s="674" t="s">
        <v>686</v>
      </c>
      <c r="E47" s="783" t="s">
        <v>1375</v>
      </c>
      <c r="F47" s="704" t="str">
        <f>+InputY!B115</f>
        <v>YESubProd</v>
      </c>
      <c r="G47" s="706">
        <f>+InputY!G115/1000</f>
        <v>9.7899999999999984E-3</v>
      </c>
      <c r="H47" s="706">
        <f>+InputY!H115/1000</f>
        <v>2.6850000000000002E-2</v>
      </c>
      <c r="I47" s="706">
        <f>+InputY!I115/1000</f>
        <v>3.7999999999999999E-2</v>
      </c>
      <c r="J47" s="706">
        <f>+InputY!J115/1000</f>
        <v>2.7570000000000001E-2</v>
      </c>
      <c r="K47" s="706">
        <f>+InputY!K115/1000</f>
        <v>1.627E-2</v>
      </c>
      <c r="L47" s="706">
        <f>+InputY!L115/1000</f>
        <v>2.5300000000000001E-3</v>
      </c>
      <c r="M47" s="706">
        <f>+InputY!M115/1000</f>
        <v>3.1579999999999997E-2</v>
      </c>
      <c r="N47" s="706">
        <f>+InputY!N115/1000</f>
        <v>1.8100000000000002E-2</v>
      </c>
      <c r="O47" s="706">
        <f>+InputY!O115/1000</f>
        <v>1.4150000000000001E-2</v>
      </c>
      <c r="P47" s="706">
        <f>+InputY!P115/1000</f>
        <v>2.214E-2</v>
      </c>
      <c r="Q47" s="706">
        <f>+InputY!Q115/1000</f>
        <v>2.2510000000000002E-2</v>
      </c>
      <c r="R47" s="706">
        <f>+InputY!R115/1000</f>
        <v>6.6269999999999996E-2</v>
      </c>
      <c r="S47" s="706">
        <f>+InputY!S115/1000</f>
        <v>7.1400000000000005E-2</v>
      </c>
      <c r="T47" s="706">
        <f>+InputY!T115/1000</f>
        <v>3.6409999999999998E-2</v>
      </c>
      <c r="U47" s="706">
        <f>+InputY!U115/1000</f>
        <v>1.898E-2</v>
      </c>
      <c r="V47" s="706">
        <f>+InputY!V115/1000</f>
        <v>4.5649999999999996E-2</v>
      </c>
      <c r="W47" s="706">
        <f>+InputY!W115/1000</f>
        <v>2.6890000000000001E-2</v>
      </c>
      <c r="X47" s="706">
        <f>+InputY!X115/1000</f>
        <v>2.572E-2</v>
      </c>
      <c r="Y47" s="706">
        <f>+InputY!Y115/1000</f>
        <v>4.9030000000000004E-2</v>
      </c>
      <c r="Z47" s="706">
        <f>+InputY!Z115/1000</f>
        <v>4.7329999999999997E-2</v>
      </c>
      <c r="AA47" s="706">
        <f>+InputY!AA115/1000</f>
        <v>6.0969999999999996E-2</v>
      </c>
      <c r="AB47" s="706">
        <f>+InputY!AB115/1000</f>
        <v>7.2870000000000004E-2</v>
      </c>
      <c r="AC47" s="2217">
        <f t="shared" si="33"/>
        <v>7.2870000000000004E-2</v>
      </c>
      <c r="AD47" s="2217">
        <f t="shared" si="33"/>
        <v>7.2870000000000004E-2</v>
      </c>
      <c r="AE47" s="2217">
        <f t="shared" si="33"/>
        <v>7.2870000000000004E-2</v>
      </c>
    </row>
    <row r="48" spans="1:113" ht="12.75" customHeight="1">
      <c r="A48" s="664">
        <f>+ROW(InputY!A149)</f>
        <v>149</v>
      </c>
      <c r="B48" s="664" t="s">
        <v>1913</v>
      </c>
      <c r="C48" s="782" t="s">
        <v>1767</v>
      </c>
      <c r="D48" s="674" t="s">
        <v>687</v>
      </c>
      <c r="E48" s="783" t="s">
        <v>1375</v>
      </c>
      <c r="F48" s="704" t="s">
        <v>218</v>
      </c>
      <c r="G48" s="706">
        <f>+InputY!G149/1000</f>
        <v>0</v>
      </c>
      <c r="H48" s="706">
        <f>+InputY!H149/1000</f>
        <v>0</v>
      </c>
      <c r="I48" s="706">
        <f>+InputY!I149/1000</f>
        <v>0</v>
      </c>
      <c r="J48" s="706">
        <f>+InputY!J149/1000</f>
        <v>0</v>
      </c>
      <c r="K48" s="706">
        <f>+InputY!K149/1000</f>
        <v>0</v>
      </c>
      <c r="L48" s="706">
        <f>+InputY!L149/1000</f>
        <v>0</v>
      </c>
      <c r="M48" s="706">
        <f>+InputY!M149/1000</f>
        <v>0</v>
      </c>
      <c r="N48" s="706">
        <f>+InputY!N149/1000</f>
        <v>0</v>
      </c>
      <c r="O48" s="706">
        <f>+InputY!O149/1000</f>
        <v>0</v>
      </c>
      <c r="P48" s="706">
        <f>+InputY!P149/1000</f>
        <v>0</v>
      </c>
      <c r="Q48" s="706">
        <f>+InputY!Q149/1000</f>
        <v>0</v>
      </c>
      <c r="R48" s="706">
        <f>+InputY!R149/1000</f>
        <v>0</v>
      </c>
      <c r="S48" s="706">
        <f>+InputY!S149/1000</f>
        <v>0</v>
      </c>
      <c r="T48" s="706">
        <f>+InputY!T149/1000</f>
        <v>0</v>
      </c>
      <c r="U48" s="706">
        <f>+InputY!U149/1000</f>
        <v>0</v>
      </c>
      <c r="V48" s="706">
        <f>+InputY!V149/1000</f>
        <v>0</v>
      </c>
      <c r="W48" s="706">
        <f>+InputY!W149/1000</f>
        <v>0</v>
      </c>
      <c r="X48" s="706">
        <f>+InputY!X149/1000</f>
        <v>0</v>
      </c>
      <c r="Y48" s="706">
        <f>+InputY!Y149/1000</f>
        <v>0</v>
      </c>
      <c r="Z48" s="706">
        <f>+InputY!Z149/1000</f>
        <v>0</v>
      </c>
      <c r="AA48" s="706">
        <f>+InputY!AA149/1000</f>
        <v>0</v>
      </c>
      <c r="AB48" s="706">
        <f>+InputY!AB149/1000</f>
        <v>0</v>
      </c>
      <c r="AC48" s="2217">
        <f t="shared" si="33"/>
        <v>0</v>
      </c>
      <c r="AD48" s="2217">
        <f t="shared" si="33"/>
        <v>0</v>
      </c>
      <c r="AE48" s="2217">
        <f t="shared" si="33"/>
        <v>0</v>
      </c>
    </row>
    <row r="49" spans="1:113" ht="12.75" customHeight="1">
      <c r="A49" s="1953">
        <f>+ROW(InputY!A235)</f>
        <v>235</v>
      </c>
      <c r="B49" s="664" t="s">
        <v>1879</v>
      </c>
      <c r="C49" s="782" t="s">
        <v>401</v>
      </c>
      <c r="D49" s="674" t="s">
        <v>688</v>
      </c>
      <c r="E49" s="783" t="s">
        <v>1880</v>
      </c>
      <c r="F49" s="704" t="str">
        <f>+InputY!B235</f>
        <v>SubFrRow</v>
      </c>
      <c r="G49" s="706">
        <f>+InputY!G235/1000</f>
        <v>0</v>
      </c>
      <c r="H49" s="706">
        <f>+InputY!H235/1000</f>
        <v>0</v>
      </c>
      <c r="I49" s="706">
        <f>+InputY!I235/1000</f>
        <v>0</v>
      </c>
      <c r="J49" s="706">
        <f>+InputY!J235/1000</f>
        <v>0</v>
      </c>
      <c r="K49" s="706">
        <f>+InputY!K235/1000</f>
        <v>0</v>
      </c>
      <c r="L49" s="706">
        <f>+InputY!L235/1000</f>
        <v>0</v>
      </c>
      <c r="M49" s="706">
        <f>+InputY!M235/1000</f>
        <v>0</v>
      </c>
      <c r="N49" s="706">
        <f>+InputY!N235/1000</f>
        <v>0</v>
      </c>
      <c r="O49" s="706">
        <f>+InputY!O235/1000</f>
        <v>0</v>
      </c>
      <c r="P49" s="706">
        <f>+InputY!P235/1000</f>
        <v>0.12193002780352179</v>
      </c>
      <c r="Q49" s="706">
        <f>+InputY!Q235/1000</f>
        <v>0.245</v>
      </c>
      <c r="R49" s="706">
        <f>+InputY!R235/1000</f>
        <v>0.23499999999999999</v>
      </c>
      <c r="S49" s="706">
        <f>+InputY!S235/1000</f>
        <v>0.189</v>
      </c>
      <c r="T49" s="706">
        <f>+InputY!T235/1000</f>
        <v>0.20699999999999999</v>
      </c>
      <c r="U49" s="706">
        <f>+InputY!U235/1000</f>
        <v>0.27300000000000002</v>
      </c>
      <c r="V49" s="706">
        <f>+InputY!V235/1000</f>
        <v>0.30499999999999999</v>
      </c>
      <c r="W49" s="706">
        <f>+InputY!W235/1000</f>
        <v>0.32300000000000001</v>
      </c>
      <c r="X49" s="706">
        <f>+InputY!X235/1000</f>
        <v>0.36599999999999999</v>
      </c>
      <c r="Y49" s="706">
        <f>+InputY!Y235/1000</f>
        <v>0.38900000000000001</v>
      </c>
      <c r="Z49" s="706">
        <f>+InputY!Z235/1000</f>
        <v>0.38600000000000001</v>
      </c>
      <c r="AA49" s="706">
        <f>+InputY!AA235/1000</f>
        <v>0.441</v>
      </c>
      <c r="AB49" s="706">
        <f>+InputY!AB235/1000</f>
        <v>0.46700000000000003</v>
      </c>
      <c r="AC49" s="2275">
        <f t="shared" si="33"/>
        <v>0.47867499999999996</v>
      </c>
      <c r="AD49" s="2275">
        <f t="shared" si="33"/>
        <v>0.49064187499999989</v>
      </c>
      <c r="AE49" s="2275">
        <f t="shared" si="33"/>
        <v>0.50290792187499989</v>
      </c>
    </row>
    <row r="50" spans="1:113" ht="12.75" customHeight="1">
      <c r="A50" s="664">
        <f>+ROW(InputY!A147)</f>
        <v>147</v>
      </c>
      <c r="B50" s="664">
        <v>123</v>
      </c>
      <c r="C50" s="784" t="s">
        <v>1769</v>
      </c>
      <c r="D50" s="752" t="s">
        <v>687</v>
      </c>
      <c r="E50" s="753" t="s">
        <v>1488</v>
      </c>
      <c r="F50" s="754" t="str">
        <f>+InputY!B147</f>
        <v>$ATE</v>
      </c>
      <c r="G50" s="785">
        <f>+InputY!G147/1000</f>
        <v>7.9650000000000012E-2</v>
      </c>
      <c r="H50" s="785">
        <f>+InputY!H147/1000</f>
        <v>0.11481</v>
      </c>
      <c r="I50" s="785">
        <f>+InputY!I147/1000</f>
        <v>0.10111000000000001</v>
      </c>
      <c r="J50" s="785">
        <f>+InputY!J147/1000</f>
        <v>0.13661000000000001</v>
      </c>
      <c r="K50" s="785">
        <f>+InputY!K147/1000</f>
        <v>0.13238999999999998</v>
      </c>
      <c r="L50" s="785">
        <f>+InputY!L147/1000</f>
        <v>0.10464</v>
      </c>
      <c r="M50" s="785">
        <f>+InputY!M147/1000</f>
        <v>0.11926</v>
      </c>
      <c r="N50" s="785">
        <f>+InputY!N147/1000</f>
        <v>0.11982</v>
      </c>
      <c r="O50" s="785">
        <f>+InputY!O147/1000</f>
        <v>0.1295</v>
      </c>
      <c r="P50" s="785">
        <f>+InputY!P147/1000</f>
        <v>0.12561</v>
      </c>
      <c r="Q50" s="785">
        <f>+InputY!Q147/1000</f>
        <v>0.14176</v>
      </c>
      <c r="R50" s="785">
        <f>+InputY!R147/1000</f>
        <v>0.16190000000000002</v>
      </c>
      <c r="S50" s="785">
        <f>+InputY!S147/1000</f>
        <v>0.25557000000000002</v>
      </c>
      <c r="T50" s="2099">
        <f>+InputY!T147/1000</f>
        <v>0.22084000000000001</v>
      </c>
      <c r="U50" s="2099">
        <f>+InputY!U147/1000</f>
        <v>0.17044000000000001</v>
      </c>
      <c r="V50" s="2099">
        <f>+InputY!V147/1000</f>
        <v>0.13799</v>
      </c>
      <c r="W50" s="2099">
        <f>+InputY!W147/1000</f>
        <v>0.12257</v>
      </c>
      <c r="X50" s="2099">
        <f>+InputY!X147/1000</f>
        <v>0.10482</v>
      </c>
      <c r="Y50" s="2099">
        <f>+InputY!Y147/1000</f>
        <v>0.11563</v>
      </c>
      <c r="Z50" s="2099">
        <f>+InputY!Z147/1000</f>
        <v>0.11874</v>
      </c>
      <c r="AA50" s="2099">
        <f>+InputY!AA147/1000</f>
        <v>0.14757000000000001</v>
      </c>
      <c r="AB50" s="2099">
        <f>+InputY!AB147/1000</f>
        <v>0.16243000000000002</v>
      </c>
      <c r="AC50" s="3122">
        <f>+AC45+AC46+AC47+AC48-AC49</f>
        <v>0.15881500000000004</v>
      </c>
      <c r="AD50" s="3122">
        <f>+AD45+AD46+AD47+AD48-AD49</f>
        <v>0.16650412500000011</v>
      </c>
      <c r="AE50" s="3122">
        <f>+AE45+AE46+AE47+AE48-AE49</f>
        <v>0.17460169412500015</v>
      </c>
    </row>
    <row r="51" spans="1:113" s="1972" customFormat="1" ht="12.75" customHeight="1">
      <c r="A51" s="998"/>
      <c r="B51" s="998"/>
      <c r="C51" s="1595"/>
      <c r="D51" s="1011"/>
      <c r="E51" s="1973" t="s">
        <v>737</v>
      </c>
      <c r="F51" s="1974"/>
      <c r="G51" s="1002">
        <f t="shared" ref="G51:T51" si="34">ABS(+G45+G46+G47+G48-G49-G50)</f>
        <v>1.3877787807814457E-17</v>
      </c>
      <c r="H51" s="1002">
        <f t="shared" si="34"/>
        <v>0</v>
      </c>
      <c r="I51" s="1002">
        <f t="shared" si="34"/>
        <v>0</v>
      </c>
      <c r="J51" s="1002">
        <f t="shared" si="34"/>
        <v>9.9999999999822453E-6</v>
      </c>
      <c r="K51" s="1002">
        <f t="shared" si="34"/>
        <v>2.7755575615628914E-17</v>
      </c>
      <c r="L51" s="1002">
        <f t="shared" si="34"/>
        <v>1.0000000000010001E-5</v>
      </c>
      <c r="M51" s="1002">
        <f t="shared" si="34"/>
        <v>0</v>
      </c>
      <c r="N51" s="1002">
        <f t="shared" si="34"/>
        <v>1.0000000000010001E-5</v>
      </c>
      <c r="O51" s="1002">
        <f t="shared" si="34"/>
        <v>9.9999999999822453E-6</v>
      </c>
      <c r="P51" s="1002">
        <f t="shared" si="34"/>
        <v>1.399721964782108E-4</v>
      </c>
      <c r="Q51" s="1002">
        <f t="shared" si="34"/>
        <v>1.4000000000002899E-4</v>
      </c>
      <c r="R51" s="1002">
        <f t="shared" si="34"/>
        <v>3.3000000000002472E-4</v>
      </c>
      <c r="S51" s="1002">
        <f t="shared" si="34"/>
        <v>4.5000000000000595E-4</v>
      </c>
      <c r="T51" s="2904">
        <f t="shared" si="34"/>
        <v>2.7999999999994696E-4</v>
      </c>
      <c r="U51" s="2904">
        <f t="shared" ref="U51:Z51" si="35">ABS(+U45+U46+U47+U48-U49-U50)</f>
        <v>4.8999999999990718E-4</v>
      </c>
      <c r="V51" s="3130">
        <f t="shared" si="35"/>
        <v>4.3000000000004146E-4</v>
      </c>
      <c r="W51" s="3130">
        <f t="shared" si="35"/>
        <v>7.0000000000000617E-5</v>
      </c>
      <c r="X51" s="3130">
        <f t="shared" si="35"/>
        <v>4.300000000000137E-4</v>
      </c>
      <c r="Y51" s="3130">
        <f t="shared" si="35"/>
        <v>8.0000000000066129E-5</v>
      </c>
      <c r="Z51" s="3130">
        <f t="shared" si="35"/>
        <v>3.9999999999970615E-5</v>
      </c>
      <c r="AA51" s="3130">
        <f>ABS(+AA45+AA46+AA47+AA48-AA49-AA50)</f>
        <v>3.999999999999837E-4</v>
      </c>
      <c r="AB51" s="3130">
        <f>ABS(+AB45+AB46+AB47+AB48-AB49-AB50)</f>
        <v>2.5999999999992696E-4</v>
      </c>
      <c r="AC51" s="3130">
        <f>ABS(+AC45+AC46+AC47+AC48-AC49-AC50)</f>
        <v>0</v>
      </c>
      <c r="AD51" s="3130">
        <f>ABS(+AD45+AD46+AD47+AD48-AD49-AD50)</f>
        <v>0</v>
      </c>
      <c r="AE51" s="3130">
        <f>ABS(+AE45+AE46+AE47+AE48-AE49-AE50)</f>
        <v>0</v>
      </c>
      <c r="AF51" s="3432"/>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row>
    <row r="52" spans="1:113">
      <c r="W52" s="3120"/>
      <c r="X52" s="3202"/>
      <c r="AB52" s="2221"/>
      <c r="AC52" s="2221"/>
      <c r="AD52" s="2221"/>
      <c r="AE52" s="2221"/>
    </row>
    <row r="53" spans="1:113" ht="12.75" customHeight="1">
      <c r="A53" s="664"/>
      <c r="B53" s="664"/>
      <c r="C53" s="774"/>
      <c r="D53" s="742"/>
      <c r="E53" s="743" t="s">
        <v>1311</v>
      </c>
      <c r="F53" s="744"/>
      <c r="G53" s="745">
        <f>+InputY!$G$3</f>
        <v>1995</v>
      </c>
      <c r="H53" s="745">
        <f t="shared" ref="H53:Q53" si="36">+G53+1</f>
        <v>1996</v>
      </c>
      <c r="I53" s="745">
        <f t="shared" si="36"/>
        <v>1997</v>
      </c>
      <c r="J53" s="745">
        <f t="shared" si="36"/>
        <v>1998</v>
      </c>
      <c r="K53" s="745">
        <f>+J53+1</f>
        <v>1999</v>
      </c>
      <c r="L53" s="745">
        <f t="shared" si="36"/>
        <v>2000</v>
      </c>
      <c r="M53" s="745">
        <f t="shared" si="36"/>
        <v>2001</v>
      </c>
      <c r="N53" s="745">
        <f t="shared" si="36"/>
        <v>2002</v>
      </c>
      <c r="O53" s="745">
        <f t="shared" si="36"/>
        <v>2003</v>
      </c>
      <c r="P53" s="745">
        <f>+O53+1</f>
        <v>2004</v>
      </c>
      <c r="Q53" s="745">
        <f t="shared" si="36"/>
        <v>2005</v>
      </c>
      <c r="R53" s="745">
        <f t="shared" ref="R53:W53" si="37">+Q53+1</f>
        <v>2006</v>
      </c>
      <c r="S53" s="745">
        <f t="shared" si="37"/>
        <v>2007</v>
      </c>
      <c r="T53" s="2211">
        <f t="shared" si="37"/>
        <v>2008</v>
      </c>
      <c r="U53" s="2211">
        <f t="shared" si="37"/>
        <v>2009</v>
      </c>
      <c r="V53" s="2211">
        <f>+U53+1</f>
        <v>2010</v>
      </c>
      <c r="W53" s="2211">
        <f t="shared" si="37"/>
        <v>2011</v>
      </c>
      <c r="X53" s="2211">
        <f t="shared" ref="X53:AE53" si="38">+W53+1</f>
        <v>2012</v>
      </c>
      <c r="Y53" s="2211">
        <f t="shared" si="38"/>
        <v>2013</v>
      </c>
      <c r="Z53" s="2211">
        <f t="shared" si="38"/>
        <v>2014</v>
      </c>
      <c r="AA53" s="2211">
        <f t="shared" si="38"/>
        <v>2015</v>
      </c>
      <c r="AB53" s="2211">
        <f t="shared" si="38"/>
        <v>2016</v>
      </c>
      <c r="AC53" s="2211">
        <f t="shared" si="38"/>
        <v>2017</v>
      </c>
      <c r="AD53" s="2211">
        <f t="shared" si="38"/>
        <v>2018</v>
      </c>
      <c r="AE53" s="2211">
        <f t="shared" si="38"/>
        <v>2019</v>
      </c>
    </row>
    <row r="54" spans="1:113" ht="12.75" customHeight="1">
      <c r="A54" s="664"/>
      <c r="B54" s="664"/>
      <c r="C54" s="794" t="s">
        <v>1767</v>
      </c>
      <c r="D54" s="689" t="s">
        <v>684</v>
      </c>
      <c r="E54" s="738" t="s">
        <v>1768</v>
      </c>
      <c r="F54" s="733" t="str">
        <f>+$F$45</f>
        <v>$ASubProd</v>
      </c>
      <c r="G54" s="739"/>
      <c r="H54" s="739">
        <f t="shared" ref="H54:S54" si="39">(H45/G45-1)*100</f>
        <v>25.908960778700241</v>
      </c>
      <c r="I54" s="739">
        <f t="shared" si="39"/>
        <v>-28.251477944520232</v>
      </c>
      <c r="J54" s="739">
        <f t="shared" si="39"/>
        <v>72.793535097448881</v>
      </c>
      <c r="K54" s="739">
        <f t="shared" si="39"/>
        <v>6.483264557542423</v>
      </c>
      <c r="L54" s="739">
        <f t="shared" si="39"/>
        <v>-12.056493282810887</v>
      </c>
      <c r="M54" s="739">
        <f t="shared" si="39"/>
        <v>-25.734430082256164</v>
      </c>
      <c r="N54" s="739">
        <f t="shared" si="39"/>
        <v>34.137658227848092</v>
      </c>
      <c r="O54" s="739">
        <f t="shared" si="39"/>
        <v>5.9569448540253811</v>
      </c>
      <c r="P54" s="739">
        <f t="shared" si="39"/>
        <v>76.240838667779926</v>
      </c>
      <c r="Q54" s="739">
        <f t="shared" si="39"/>
        <v>42.722535137126918</v>
      </c>
      <c r="R54" s="739">
        <f t="shared" si="39"/>
        <v>-1.5121897244864013</v>
      </c>
      <c r="S54" s="739">
        <f t="shared" si="39"/>
        <v>12.841253791708795</v>
      </c>
      <c r="T54" s="739">
        <f t="shared" ref="T54:AA54" si="40">(T45/S45-1)*100</f>
        <v>17.51958051241207</v>
      </c>
      <c r="U54" s="739">
        <f t="shared" si="40"/>
        <v>2.1434017678122474</v>
      </c>
      <c r="V54" s="739">
        <f t="shared" si="40"/>
        <v>3.5581974011611894</v>
      </c>
      <c r="W54" s="739">
        <f t="shared" si="40"/>
        <v>3.2864351122620539</v>
      </c>
      <c r="X54" s="739">
        <f t="shared" si="40"/>
        <v>6.1000827129859436</v>
      </c>
      <c r="Y54" s="739">
        <f t="shared" si="40"/>
        <v>7.0892613525628478</v>
      </c>
      <c r="Z54" s="739">
        <f t="shared" si="40"/>
        <v>3.1848582738080999E-2</v>
      </c>
      <c r="AA54" s="739">
        <f t="shared" si="40"/>
        <v>12.260074592922777</v>
      </c>
      <c r="AB54" s="739">
        <f>(AB45/AA45-1)*100</f>
        <v>9.0290298401636946</v>
      </c>
      <c r="AC54" s="739">
        <f>(AC45/AB45-1)*100</f>
        <v>1.449275362318847</v>
      </c>
      <c r="AD54" s="3269">
        <v>3.6</v>
      </c>
      <c r="AE54" s="3269">
        <v>3.6</v>
      </c>
      <c r="AF54" s="3654" t="s">
        <v>2592</v>
      </c>
    </row>
    <row r="55" spans="1:113" ht="12.75" customHeight="1">
      <c r="A55" s="664"/>
      <c r="B55" s="664"/>
      <c r="C55" s="795" t="s">
        <v>1767</v>
      </c>
      <c r="D55" s="674" t="s">
        <v>685</v>
      </c>
      <c r="E55" s="783" t="s">
        <v>1375</v>
      </c>
      <c r="F55" s="704" t="str">
        <f>+$F$46</f>
        <v>YHSubOth</v>
      </c>
      <c r="G55" s="706"/>
      <c r="H55" s="837">
        <v>0</v>
      </c>
      <c r="I55" s="837">
        <v>0</v>
      </c>
      <c r="J55" s="837">
        <v>0</v>
      </c>
      <c r="K55" s="837">
        <v>0</v>
      </c>
      <c r="L55" s="837">
        <v>0</v>
      </c>
      <c r="M55" s="837">
        <v>0</v>
      </c>
      <c r="N55" s="837">
        <v>0</v>
      </c>
      <c r="O55" s="837">
        <v>0</v>
      </c>
      <c r="P55" s="837">
        <v>0</v>
      </c>
      <c r="Q55" s="739">
        <f t="shared" ref="Q55:AA55" si="41">(Q46/P46-1)*100</f>
        <v>161.40005622715776</v>
      </c>
      <c r="R55" s="739">
        <f t="shared" si="41"/>
        <v>-31.953108195310818</v>
      </c>
      <c r="S55" s="739">
        <f t="shared" si="41"/>
        <v>12.849691797060213</v>
      </c>
      <c r="T55" s="739">
        <f t="shared" si="41"/>
        <v>-48.123249299719895</v>
      </c>
      <c r="U55" s="739">
        <f t="shared" si="41"/>
        <v>70.761339092872589</v>
      </c>
      <c r="V55" s="739">
        <f t="shared" si="41"/>
        <v>-64.679841897233203</v>
      </c>
      <c r="W55" s="739">
        <f t="shared" si="41"/>
        <v>42.032229185317838</v>
      </c>
      <c r="X55" s="739">
        <f t="shared" si="41"/>
        <v>10.463283958398971</v>
      </c>
      <c r="Y55" s="739">
        <f t="shared" si="41"/>
        <v>-54.52211126961484</v>
      </c>
      <c r="Z55" s="739">
        <f t="shared" si="41"/>
        <v>10.727728983688834</v>
      </c>
      <c r="AA55" s="739">
        <f t="shared" si="41"/>
        <v>94.730878186968837</v>
      </c>
      <c r="AB55" s="739">
        <f>(AB46/AA46-1)*100</f>
        <v>-45.824847250509158</v>
      </c>
      <c r="AC55" s="2259">
        <v>0</v>
      </c>
      <c r="AD55" s="2259">
        <v>0</v>
      </c>
      <c r="AE55" s="2259">
        <v>0</v>
      </c>
    </row>
    <row r="56" spans="1:113" ht="12.75" customHeight="1">
      <c r="A56" s="664"/>
      <c r="B56" s="664"/>
      <c r="C56" s="795" t="s">
        <v>1767</v>
      </c>
      <c r="D56" s="674" t="s">
        <v>686</v>
      </c>
      <c r="E56" s="783" t="s">
        <v>1375</v>
      </c>
      <c r="F56" s="704" t="str">
        <f>+$F$47</f>
        <v>YESubProd</v>
      </c>
      <c r="G56" s="706"/>
      <c r="H56" s="706">
        <f t="shared" ref="H56:AB56" si="42">(H47/G47-1)*100</f>
        <v>174.25944841675184</v>
      </c>
      <c r="I56" s="706">
        <f t="shared" si="42"/>
        <v>41.52700186219738</v>
      </c>
      <c r="J56" s="706">
        <f t="shared" si="42"/>
        <v>-27.44736842105263</v>
      </c>
      <c r="K56" s="706">
        <f t="shared" si="42"/>
        <v>-40.986579615524121</v>
      </c>
      <c r="L56" s="706">
        <f t="shared" si="42"/>
        <v>-84.449907805777499</v>
      </c>
      <c r="M56" s="706">
        <f t="shared" si="42"/>
        <v>1148.2213438735175</v>
      </c>
      <c r="N56" s="706">
        <f t="shared" si="42"/>
        <v>-42.685243825205823</v>
      </c>
      <c r="O56" s="706">
        <f t="shared" si="42"/>
        <v>-21.823204419889507</v>
      </c>
      <c r="P56" s="706">
        <f t="shared" si="42"/>
        <v>56.466431095406342</v>
      </c>
      <c r="Q56" s="706">
        <f t="shared" si="42"/>
        <v>1.6711833785004515</v>
      </c>
      <c r="R56" s="706">
        <f t="shared" si="42"/>
        <v>194.40248778320745</v>
      </c>
      <c r="S56" s="706">
        <f t="shared" si="42"/>
        <v>7.7410593028519825</v>
      </c>
      <c r="T56" s="706">
        <f t="shared" si="42"/>
        <v>-49.005602240896366</v>
      </c>
      <c r="U56" s="706">
        <f t="shared" si="42"/>
        <v>-47.871463883548472</v>
      </c>
      <c r="V56" s="706">
        <f t="shared" si="42"/>
        <v>140.5163329820864</v>
      </c>
      <c r="W56" s="706">
        <f t="shared" si="42"/>
        <v>-41.095290251916751</v>
      </c>
      <c r="X56" s="706">
        <f t="shared" si="42"/>
        <v>-4.351059873558949</v>
      </c>
      <c r="Y56" s="706">
        <f t="shared" si="42"/>
        <v>90.629860031104229</v>
      </c>
      <c r="Z56" s="706">
        <f t="shared" si="42"/>
        <v>-3.4672649398327704</v>
      </c>
      <c r="AA56" s="706">
        <f t="shared" si="42"/>
        <v>28.818930910627504</v>
      </c>
      <c r="AB56" s="706">
        <f t="shared" si="42"/>
        <v>19.517795637198642</v>
      </c>
      <c r="AC56" s="2215">
        <v>0</v>
      </c>
      <c r="AD56" s="2215">
        <v>0</v>
      </c>
      <c r="AE56" s="2215">
        <v>0</v>
      </c>
    </row>
    <row r="57" spans="1:113" ht="12.75" customHeight="1">
      <c r="A57" s="664"/>
      <c r="B57" s="664"/>
      <c r="C57" s="795" t="s">
        <v>1767</v>
      </c>
      <c r="D57" s="674" t="s">
        <v>687</v>
      </c>
      <c r="E57" s="783" t="s">
        <v>1375</v>
      </c>
      <c r="F57" s="704" t="s">
        <v>218</v>
      </c>
      <c r="G57" s="706"/>
      <c r="H57" s="837">
        <v>0</v>
      </c>
      <c r="I57" s="837">
        <v>0</v>
      </c>
      <c r="J57" s="837">
        <v>0</v>
      </c>
      <c r="K57" s="837">
        <v>0</v>
      </c>
      <c r="L57" s="837">
        <v>0</v>
      </c>
      <c r="M57" s="837">
        <v>0</v>
      </c>
      <c r="N57" s="837">
        <v>0</v>
      </c>
      <c r="O57" s="837">
        <v>0</v>
      </c>
      <c r="P57" s="837">
        <v>0</v>
      </c>
      <c r="Q57" s="837">
        <v>0</v>
      </c>
      <c r="R57" s="3511">
        <v>0</v>
      </c>
      <c r="S57" s="3511">
        <v>0</v>
      </c>
      <c r="T57" s="3511">
        <v>0</v>
      </c>
      <c r="U57" s="3511">
        <v>0</v>
      </c>
      <c r="V57" s="3511">
        <v>0</v>
      </c>
      <c r="W57" s="3511">
        <v>0</v>
      </c>
      <c r="X57" s="3511">
        <v>0</v>
      </c>
      <c r="Y57" s="3511">
        <v>0</v>
      </c>
      <c r="Z57" s="3511">
        <v>0</v>
      </c>
      <c r="AA57" s="3511">
        <v>0</v>
      </c>
      <c r="AB57" s="3511">
        <v>1</v>
      </c>
      <c r="AC57" s="2215">
        <v>1.4</v>
      </c>
      <c r="AD57" s="2215">
        <v>1</v>
      </c>
      <c r="AE57" s="2215">
        <v>1</v>
      </c>
    </row>
    <row r="58" spans="1:113" ht="12.75" customHeight="1">
      <c r="A58" s="664"/>
      <c r="B58" s="664"/>
      <c r="C58" s="796" t="s">
        <v>401</v>
      </c>
      <c r="D58" s="691" t="s">
        <v>688</v>
      </c>
      <c r="E58" s="797" t="s">
        <v>1880</v>
      </c>
      <c r="F58" s="736" t="str">
        <f>+$F$49</f>
        <v>SubFrRow</v>
      </c>
      <c r="G58" s="741"/>
      <c r="H58" s="741" t="e">
        <f t="shared" ref="H58:AB58" si="43">(H49/G49-1)*100</f>
        <v>#DIV/0!</v>
      </c>
      <c r="I58" s="741" t="e">
        <f t="shared" si="43"/>
        <v>#DIV/0!</v>
      </c>
      <c r="J58" s="741" t="e">
        <f t="shared" si="43"/>
        <v>#DIV/0!</v>
      </c>
      <c r="K58" s="741" t="e">
        <f t="shared" si="43"/>
        <v>#DIV/0!</v>
      </c>
      <c r="L58" s="741" t="e">
        <f t="shared" si="43"/>
        <v>#DIV/0!</v>
      </c>
      <c r="M58" s="741" t="e">
        <f t="shared" si="43"/>
        <v>#DIV/0!</v>
      </c>
      <c r="N58" s="741" t="e">
        <f t="shared" si="43"/>
        <v>#DIV/0!</v>
      </c>
      <c r="O58" s="741" t="e">
        <f t="shared" si="43"/>
        <v>#DIV/0!</v>
      </c>
      <c r="P58" s="741" t="e">
        <f t="shared" si="43"/>
        <v>#DIV/0!</v>
      </c>
      <c r="Q58" s="741">
        <f t="shared" si="43"/>
        <v>100.93491686460806</v>
      </c>
      <c r="R58" s="741">
        <f t="shared" si="43"/>
        <v>-4.081632653061229</v>
      </c>
      <c r="S58" s="741">
        <f t="shared" si="43"/>
        <v>-19.574468085106378</v>
      </c>
      <c r="T58" s="741">
        <f t="shared" si="43"/>
        <v>9.5238095238095113</v>
      </c>
      <c r="U58" s="741">
        <f t="shared" si="43"/>
        <v>31.884057971014499</v>
      </c>
      <c r="V58" s="741">
        <f t="shared" si="43"/>
        <v>11.721611721611701</v>
      </c>
      <c r="W58" s="741">
        <f t="shared" si="43"/>
        <v>5.9016393442623105</v>
      </c>
      <c r="X58" s="741">
        <f t="shared" si="43"/>
        <v>13.31269349845201</v>
      </c>
      <c r="Y58" s="741">
        <f t="shared" si="43"/>
        <v>6.2841530054644767</v>
      </c>
      <c r="Z58" s="741">
        <f t="shared" si="43"/>
        <v>-0.77120822622107621</v>
      </c>
      <c r="AA58" s="741">
        <f t="shared" si="43"/>
        <v>14.248704663212441</v>
      </c>
      <c r="AB58" s="741">
        <f t="shared" si="43"/>
        <v>5.8956916099773382</v>
      </c>
      <c r="AC58" s="3179">
        <v>2.5</v>
      </c>
      <c r="AD58" s="3179">
        <v>2.5</v>
      </c>
      <c r="AE58" s="3179">
        <v>2.5</v>
      </c>
      <c r="AF58" s="3654" t="s">
        <v>2593</v>
      </c>
    </row>
    <row r="59" spans="1:113" ht="12.75" customHeight="1">
      <c r="A59" s="664"/>
      <c r="B59" s="664"/>
      <c r="C59" s="774" t="s">
        <v>1769</v>
      </c>
      <c r="D59" s="717" t="s">
        <v>687</v>
      </c>
      <c r="E59" s="722" t="s">
        <v>1488</v>
      </c>
      <c r="F59" s="723" t="str">
        <f>+$F$50</f>
        <v>$ATE</v>
      </c>
      <c r="G59" s="721"/>
      <c r="H59" s="721">
        <f t="shared" ref="H59:V59" si="44">(H50/G50-1)*100</f>
        <v>44.143126177024449</v>
      </c>
      <c r="I59" s="721">
        <f t="shared" si="44"/>
        <v>-11.932758470516502</v>
      </c>
      <c r="J59" s="721">
        <f t="shared" si="44"/>
        <v>35.110275937098208</v>
      </c>
      <c r="K59" s="721">
        <f>(K50/J50-1)*100</f>
        <v>-3.0890857184686538</v>
      </c>
      <c r="L59" s="721">
        <f t="shared" si="44"/>
        <v>-20.960797643326522</v>
      </c>
      <c r="M59" s="721">
        <f t="shared" si="44"/>
        <v>13.97171253822631</v>
      </c>
      <c r="N59" s="721">
        <f t="shared" si="44"/>
        <v>0.46956230085526407</v>
      </c>
      <c r="O59" s="721">
        <f t="shared" si="44"/>
        <v>8.0787848439325636</v>
      </c>
      <c r="P59" s="721">
        <f t="shared" si="44"/>
        <v>-3.0038610038610081</v>
      </c>
      <c r="Q59" s="721">
        <f t="shared" si="44"/>
        <v>12.857256587851285</v>
      </c>
      <c r="R59" s="721">
        <f t="shared" si="44"/>
        <v>14.207110609480832</v>
      </c>
      <c r="S59" s="721">
        <f t="shared" si="44"/>
        <v>57.8567016676961</v>
      </c>
      <c r="T59" s="721">
        <f t="shared" si="44"/>
        <v>-13.589231912978839</v>
      </c>
      <c r="U59" s="721">
        <f t="shared" si="44"/>
        <v>-22.821952544828839</v>
      </c>
      <c r="V59" s="721">
        <f t="shared" si="44"/>
        <v>-19.038957991081908</v>
      </c>
      <c r="W59" s="721">
        <f t="shared" ref="W59:AE59" si="45">(W50/V50-1)*100</f>
        <v>-11.174722806000437</v>
      </c>
      <c r="X59" s="721">
        <f t="shared" si="45"/>
        <v>-14.481520763645261</v>
      </c>
      <c r="Y59" s="721">
        <f t="shared" si="45"/>
        <v>10.312917382178966</v>
      </c>
      <c r="Z59" s="721">
        <f t="shared" si="45"/>
        <v>2.6896134221222834</v>
      </c>
      <c r="AA59" s="721">
        <f t="shared" si="45"/>
        <v>24.279939363314806</v>
      </c>
      <c r="AB59" s="2260">
        <f t="shared" si="45"/>
        <v>10.069797384292212</v>
      </c>
      <c r="AC59" s="2260">
        <f t="shared" si="45"/>
        <v>-2.225574093455629</v>
      </c>
      <c r="AD59" s="2260">
        <f t="shared" si="45"/>
        <v>4.8415609356799338</v>
      </c>
      <c r="AE59" s="2260">
        <f t="shared" si="45"/>
        <v>4.8632843931043945</v>
      </c>
    </row>
    <row r="60" spans="1:113" ht="12.75" customHeight="1">
      <c r="A60" s="664"/>
      <c r="B60" s="664"/>
      <c r="C60" s="774"/>
      <c r="E60" s="786"/>
      <c r="F60" s="787"/>
      <c r="G60" s="703"/>
      <c r="H60" s="788"/>
      <c r="I60" s="703"/>
      <c r="J60" s="703"/>
      <c r="K60" s="703"/>
      <c r="L60" s="703"/>
      <c r="M60" s="703"/>
      <c r="N60" s="703"/>
      <c r="O60" s="703"/>
      <c r="P60" s="703"/>
      <c r="Q60" s="845"/>
      <c r="R60" s="2270"/>
      <c r="S60" s="2270"/>
      <c r="T60" s="2254"/>
      <c r="U60" s="2254"/>
      <c r="V60" s="2254"/>
      <c r="W60" s="2254"/>
      <c r="X60" s="2254"/>
      <c r="Y60" s="2254"/>
      <c r="Z60" s="2254"/>
      <c r="AA60" s="2254"/>
      <c r="AB60" s="2254"/>
      <c r="AC60" s="2254"/>
      <c r="AD60" s="2254"/>
      <c r="AE60" s="2254"/>
    </row>
    <row r="61" spans="1:113" ht="12.75" customHeight="1">
      <c r="A61" s="664"/>
      <c r="B61" s="664"/>
      <c r="C61" s="774"/>
      <c r="D61" s="818"/>
      <c r="E61" s="819" t="s">
        <v>512</v>
      </c>
      <c r="F61" s="820"/>
      <c r="G61" s="821">
        <f>+InputY!$G$3</f>
        <v>1995</v>
      </c>
      <c r="H61" s="821">
        <f t="shared" ref="H61:O61" si="46">+G61+1</f>
        <v>1996</v>
      </c>
      <c r="I61" s="821">
        <f t="shared" si="46"/>
        <v>1997</v>
      </c>
      <c r="J61" s="821">
        <f t="shared" si="46"/>
        <v>1998</v>
      </c>
      <c r="K61" s="821">
        <f>+J61+1</f>
        <v>1999</v>
      </c>
      <c r="L61" s="821">
        <f t="shared" si="46"/>
        <v>2000</v>
      </c>
      <c r="M61" s="821">
        <f t="shared" si="46"/>
        <v>2001</v>
      </c>
      <c r="N61" s="821">
        <f t="shared" si="46"/>
        <v>2002</v>
      </c>
      <c r="O61" s="821">
        <f t="shared" si="46"/>
        <v>2003</v>
      </c>
      <c r="P61" s="821">
        <f t="shared" ref="P61:V61" si="47">+O61+1</f>
        <v>2004</v>
      </c>
      <c r="Q61" s="821">
        <f t="shared" si="47"/>
        <v>2005</v>
      </c>
      <c r="R61" s="821">
        <f t="shared" si="47"/>
        <v>2006</v>
      </c>
      <c r="S61" s="821">
        <f>+R61+1</f>
        <v>2007</v>
      </c>
      <c r="T61" s="821">
        <f t="shared" si="47"/>
        <v>2008</v>
      </c>
      <c r="U61" s="821">
        <f t="shared" si="47"/>
        <v>2009</v>
      </c>
      <c r="V61" s="821">
        <f t="shared" si="47"/>
        <v>2010</v>
      </c>
      <c r="W61" s="821">
        <f t="shared" ref="W61:AE61" si="48">+V61+1</f>
        <v>2011</v>
      </c>
      <c r="X61" s="821">
        <f t="shared" si="48"/>
        <v>2012</v>
      </c>
      <c r="Y61" s="821">
        <f t="shared" si="48"/>
        <v>2013</v>
      </c>
      <c r="Z61" s="821">
        <f t="shared" si="48"/>
        <v>2014</v>
      </c>
      <c r="AA61" s="821">
        <f t="shared" si="48"/>
        <v>2015</v>
      </c>
      <c r="AB61" s="821">
        <f t="shared" si="48"/>
        <v>2016</v>
      </c>
      <c r="AC61" s="821">
        <f t="shared" si="48"/>
        <v>2017</v>
      </c>
      <c r="AD61" s="821">
        <f t="shared" si="48"/>
        <v>2018</v>
      </c>
      <c r="AE61" s="821">
        <f t="shared" si="48"/>
        <v>2019</v>
      </c>
    </row>
    <row r="62" spans="1:113" ht="12.75" customHeight="1">
      <c r="A62" s="664"/>
      <c r="B62" s="664"/>
      <c r="C62" s="822" t="s">
        <v>1767</v>
      </c>
      <c r="D62" s="823" t="s">
        <v>684</v>
      </c>
      <c r="E62" s="824" t="s">
        <v>1768</v>
      </c>
      <c r="F62" s="825" t="str">
        <f>+$F$8</f>
        <v>YATaxProd</v>
      </c>
      <c r="G62" s="838">
        <f>+G45/'VVP2'!G$341</f>
        <v>8.9973250151651179E-3</v>
      </c>
      <c r="H62" s="838">
        <f>+H45/'VVP2'!H$341</f>
        <v>9.0548323836877123E-3</v>
      </c>
      <c r="I62" s="838">
        <f>+I45/'VVP2'!I$341</f>
        <v>5.3828189902374035E-3</v>
      </c>
      <c r="J62" s="838">
        <f>+J45/'VVP2'!J$341</f>
        <v>8.3743153872381723E-3</v>
      </c>
      <c r="K62" s="838">
        <f>+K45/'VVP2'!K$341</f>
        <v>9.1346184102050962E-3</v>
      </c>
      <c r="L62" s="838">
        <f>+L45/'VVP2'!L$341</f>
        <v>7.6390353810316738E-3</v>
      </c>
      <c r="M62" s="838">
        <f>+M45/'VVP2'!M$341</f>
        <v>5.3429069810039366E-3</v>
      </c>
      <c r="N62" s="838">
        <f>+N45/'VVP2'!N$341</f>
        <v>6.6918078142791451E-3</v>
      </c>
      <c r="O62" s="838">
        <f>+O45/'VVP2'!O$341</f>
        <v>6.4666964234291321E-3</v>
      </c>
      <c r="P62" s="838">
        <f>+P45/'VVP2'!P$341</f>
        <v>1.0416323970320851E-2</v>
      </c>
      <c r="Q62" s="838">
        <f>+Q45/'VVP2'!Q$341</f>
        <v>1.2909507745561806E-2</v>
      </c>
      <c r="R62" s="838">
        <f>+R45/'VVP2'!R$341</f>
        <v>1.1089663352323458E-2</v>
      </c>
      <c r="S62" s="838">
        <f>+S45/'VVP2'!S$341</f>
        <v>1.0375797244277505E-2</v>
      </c>
      <c r="T62" s="2909">
        <f>+T45/'VVP2'!T$341</f>
        <v>1.0830284056779549E-2</v>
      </c>
      <c r="U62" s="2909">
        <f>+U45/'VVP2'!U$341</f>
        <v>1.3428714207111834E-2</v>
      </c>
      <c r="V62" s="2909">
        <f>+V45/'VVP2'!V$341</f>
        <v>1.3364297982778441E-2</v>
      </c>
      <c r="W62" s="2909">
        <f>+W45/'VVP2'!W$341</f>
        <v>1.2370137220018852E-2</v>
      </c>
      <c r="X62" s="2909">
        <f>+X45/'VVP2'!X$341</f>
        <v>1.2308806878154567E-2</v>
      </c>
      <c r="Y62" s="2909">
        <f>+Y45/'VVP2'!Y$341</f>
        <v>1.25739245101138E-2</v>
      </c>
      <c r="Z62" s="2909">
        <f>+Z45/'VVP2'!Z$341</f>
        <v>1.2024628995402572E-2</v>
      </c>
      <c r="AA62" s="2909">
        <f>+AA45/'VVP2'!AA$341</f>
        <v>1.3189278964886213E-2</v>
      </c>
      <c r="AB62" s="2909">
        <f>+AB45/'VVP2'!AB$341</f>
        <v>1.3918370386921387E-2</v>
      </c>
      <c r="AC62" s="2909">
        <f ca="1">+AC45/'VVP2'!AC$341</f>
        <v>1.3068580521333532E-2</v>
      </c>
      <c r="AD62" s="2909">
        <f ca="1">+AD45/'VVP2'!AD$341</f>
        <v>1.2794301317200428E-2</v>
      </c>
      <c r="AE62" s="2909">
        <f ca="1">+AE45/'VVP2'!AE$341</f>
        <v>1.2554984972648116E-2</v>
      </c>
    </row>
    <row r="63" spans="1:113" ht="12.75" customHeight="1">
      <c r="A63" s="664"/>
      <c r="B63" s="664"/>
      <c r="C63" s="826" t="s">
        <v>1767</v>
      </c>
      <c r="D63" s="674" t="s">
        <v>685</v>
      </c>
      <c r="E63" s="783" t="s">
        <v>1375</v>
      </c>
      <c r="F63" s="704" t="str">
        <f>+$F$9</f>
        <v>$HTaxOth</v>
      </c>
      <c r="G63" s="839">
        <f>+G46/'VVP2'!G$341</f>
        <v>0</v>
      </c>
      <c r="H63" s="839">
        <f>+H46/'VVP2'!H$341</f>
        <v>0</v>
      </c>
      <c r="I63" s="839">
        <f>+I46/'VVP2'!I$341</f>
        <v>0</v>
      </c>
      <c r="J63" s="839">
        <f>+J46/'VVP2'!J$341</f>
        <v>0</v>
      </c>
      <c r="K63" s="839">
        <f>+K46/'VVP2'!K$341</f>
        <v>0</v>
      </c>
      <c r="L63" s="839">
        <f>+L46/'VVP2'!L$341</f>
        <v>0</v>
      </c>
      <c r="M63" s="839">
        <f>+M46/'VVP2'!M$341</f>
        <v>8.3412471855335711E-4</v>
      </c>
      <c r="N63" s="839">
        <f>+N46/'VVP2'!N$341</f>
        <v>0</v>
      </c>
      <c r="O63" s="839">
        <f>+O46/'VVP2'!O$341</f>
        <v>4.5295071896177697E-4</v>
      </c>
      <c r="P63" s="839">
        <f>+P46/'VVP2'!P$341</f>
        <v>1.9503534433032198E-3</v>
      </c>
      <c r="Q63" s="839">
        <f>+Q46/'VVP2'!Q$341</f>
        <v>4.4271236314031527E-3</v>
      </c>
      <c r="R63" s="839">
        <f>+R46/'VVP2'!R$341</f>
        <v>2.6275811717840891E-3</v>
      </c>
      <c r="S63" s="839">
        <f>+S46/'VVP2'!S$341</f>
        <v>2.4586218081820458E-3</v>
      </c>
      <c r="T63" s="2910">
        <f>+T46/'VVP2'!T$341</f>
        <v>1.1328505872839356E-3</v>
      </c>
      <c r="U63" s="2910">
        <f>+U46/'VVP2'!U$341</f>
        <v>2.3482614697258051E-3</v>
      </c>
      <c r="V63" s="2910">
        <f>+V46/'VVP2'!V$341</f>
        <v>7.9706975180946242E-4</v>
      </c>
      <c r="W63" s="2910">
        <f>+W46/'VVP2'!W$341</f>
        <v>1.0145379807464799E-3</v>
      </c>
      <c r="X63" s="2910">
        <f>+X46/'VVP2'!X$341</f>
        <v>1.0510224154144355E-3</v>
      </c>
      <c r="Y63" s="2910">
        <f>+Y46/'VVP2'!Y$341</f>
        <v>4.5595422150965465E-4</v>
      </c>
      <c r="Z63" s="2910">
        <f>+Z46/'VVP2'!Z$341</f>
        <v>4.8265874140101747E-4</v>
      </c>
      <c r="AA63" s="2910">
        <f>+AA46/'VVP2'!AA$341</f>
        <v>9.1833056747592137E-4</v>
      </c>
      <c r="AB63" s="2910">
        <f>+AB46/'VVP2'!AB$341</f>
        <v>4.8153113453079936E-4</v>
      </c>
      <c r="AC63" s="2910">
        <f ca="1">+AC46/'VVP2'!AC$341</f>
        <v>4.4567210495829735E-4</v>
      </c>
      <c r="AD63" s="2910">
        <f ca="1">+AD46/'VVP2'!AD$341</f>
        <v>4.2115683476577983E-4</v>
      </c>
      <c r="AE63" s="2910">
        <f ca="1">+AE46/'VVP2'!AE$341</f>
        <v>3.9891808022806508E-4</v>
      </c>
    </row>
    <row r="64" spans="1:113" ht="12.75" customHeight="1">
      <c r="A64" s="664"/>
      <c r="B64" s="664"/>
      <c r="C64" s="826" t="s">
        <v>1767</v>
      </c>
      <c r="D64" s="674" t="s">
        <v>686</v>
      </c>
      <c r="E64" s="783" t="s">
        <v>1375</v>
      </c>
      <c r="F64" s="704" t="str">
        <f>+$F$10</f>
        <v>$ETaxProd</v>
      </c>
      <c r="G64" s="839">
        <f>+G47/'VVP2'!G$341</f>
        <v>1.2608618937656238E-3</v>
      </c>
      <c r="H64" s="839">
        <f>+H47/'VVP2'!H$341</f>
        <v>2.7640092030697489E-3</v>
      </c>
      <c r="I64" s="839">
        <f>+I47/'VVP2'!I$341</f>
        <v>3.2411206089212699E-3</v>
      </c>
      <c r="J64" s="839">
        <f>+J47/'VVP2'!J$341</f>
        <v>2.1171928035410952E-3</v>
      </c>
      <c r="K64" s="839">
        <f>+K47/'VVP2'!K$341</f>
        <v>1.2798849598177481E-3</v>
      </c>
      <c r="L64" s="839">
        <f>+L47/'VVP2'!L$341</f>
        <v>1.8925538106159552E-4</v>
      </c>
      <c r="M64" s="839">
        <f>+M47/'VVP2'!M$341</f>
        <v>2.2248022476279573E-3</v>
      </c>
      <c r="N64" s="839">
        <f>+N47/'VVP2'!N$341</f>
        <v>1.1906194970849556E-3</v>
      </c>
      <c r="O64" s="839">
        <f>+O47/'VVP2'!O$341</f>
        <v>8.4890763884889336E-4</v>
      </c>
      <c r="P64" s="839">
        <f>+P47/'VVP2'!P$341</f>
        <v>1.2139675354156112E-3</v>
      </c>
      <c r="Q64" s="839">
        <f>+Q47/'VVP2'!Q$341</f>
        <v>1.0717848240792104E-3</v>
      </c>
      <c r="R64" s="839">
        <f>+R47/'VVP2'!R$341</f>
        <v>2.7521701320393798E-3</v>
      </c>
      <c r="S64" s="839">
        <f>+S47/'VVP2'!S$341</f>
        <v>2.4586218081820458E-3</v>
      </c>
      <c r="T64" s="2910">
        <f>+T47/'VVP2'!T$341</f>
        <v>1.1135823402539983E-3</v>
      </c>
      <c r="U64" s="2910">
        <f>+U47/'VVP2'!U$341</f>
        <v>7.0466407423550633E-4</v>
      </c>
      <c r="V64" s="2910">
        <f>+V47/'VVP2'!V$341</f>
        <v>1.6287481723411799E-3</v>
      </c>
      <c r="W64" s="2910">
        <f>+W47/'VVP2'!W$341</f>
        <v>8.5978336912300184E-4</v>
      </c>
      <c r="X64" s="2910">
        <f>+X47/'VVP2'!X$341</f>
        <v>7.7124954420711221E-4</v>
      </c>
      <c r="Y64" s="2910">
        <f>+Y47/'VVP2'!Y$341</f>
        <v>1.4024739950199731E-3</v>
      </c>
      <c r="Z64" s="2910">
        <f>+Z47/'VVP2'!Z$341</f>
        <v>1.2942911178759294E-3</v>
      </c>
      <c r="AA64" s="2910">
        <f>+AA47/'VVP2'!AA$341</f>
        <v>1.6290548355835592E-3</v>
      </c>
      <c r="AB64" s="2910">
        <f>+AB47/'VVP2'!AB$341</f>
        <v>1.8844883873930908E-3</v>
      </c>
      <c r="AC64" s="2910">
        <f ca="1">+AC47/'VVP2'!AC$341</f>
        <v>1.7441528618856676E-3</v>
      </c>
      <c r="AD64" s="2910">
        <f ca="1">+AD47/'VVP2'!AD$341</f>
        <v>1.6482115225232212E-3</v>
      </c>
      <c r="AE64" s="2910">
        <f ca="1">+AE47/'VVP2'!AE$341</f>
        <v>1.5611794042008111E-3</v>
      </c>
    </row>
    <row r="65" spans="1:31" ht="12.75" customHeight="1">
      <c r="A65" s="664"/>
      <c r="B65" s="664"/>
      <c r="C65" s="826" t="s">
        <v>1767</v>
      </c>
      <c r="D65" s="674" t="s">
        <v>687</v>
      </c>
      <c r="E65" s="783" t="s">
        <v>1375</v>
      </c>
      <c r="F65" s="704" t="s">
        <v>218</v>
      </c>
      <c r="G65" s="839">
        <f>+G48/'VVP2'!G$341</f>
        <v>0</v>
      </c>
      <c r="H65" s="839">
        <f>+H48/'VVP2'!H$341</f>
        <v>0</v>
      </c>
      <c r="I65" s="839">
        <f>+I48/'VVP2'!I$341</f>
        <v>0</v>
      </c>
      <c r="J65" s="839">
        <f>+J48/'VVP2'!J$341</f>
        <v>0</v>
      </c>
      <c r="K65" s="839">
        <f>+K48/'VVP2'!K$341</f>
        <v>0</v>
      </c>
      <c r="L65" s="839">
        <f>+L48/'VVP2'!L$341</f>
        <v>0</v>
      </c>
      <c r="M65" s="839">
        <f>+M48/'VVP2'!M$341</f>
        <v>0</v>
      </c>
      <c r="N65" s="839">
        <f>+N48/'VVP2'!N$341</f>
        <v>0</v>
      </c>
      <c r="O65" s="839">
        <f>+O48/'VVP2'!O$341</f>
        <v>0</v>
      </c>
      <c r="P65" s="839">
        <f>+P48/'VVP2'!P$341</f>
        <v>0</v>
      </c>
      <c r="Q65" s="839">
        <f>+Q48/'VVP2'!Q$341</f>
        <v>0</v>
      </c>
      <c r="R65" s="839">
        <f>+R48/'VVP2'!R$341</f>
        <v>0</v>
      </c>
      <c r="S65" s="839">
        <f>+S48/'VVP2'!S$341</f>
        <v>0</v>
      </c>
      <c r="T65" s="2910">
        <f>+T48/'VVP2'!T$341</f>
        <v>0</v>
      </c>
      <c r="U65" s="2910">
        <f>+U48/'VVP2'!U$341</f>
        <v>0</v>
      </c>
      <c r="V65" s="2910">
        <f>+V48/'VVP2'!V$341</f>
        <v>0</v>
      </c>
      <c r="W65" s="2910">
        <f>+W48/'VVP2'!W$341</f>
        <v>0</v>
      </c>
      <c r="X65" s="2910">
        <f>+X48/'VVP2'!X$341</f>
        <v>0</v>
      </c>
      <c r="Y65" s="2910">
        <f>+Y48/'VVP2'!Y$341</f>
        <v>0</v>
      </c>
      <c r="Z65" s="2910">
        <f>+Z48/'VVP2'!Z$341</f>
        <v>0</v>
      </c>
      <c r="AA65" s="2910">
        <f>+AA48/'VVP2'!AA$341</f>
        <v>0</v>
      </c>
      <c r="AB65" s="2910">
        <f>+AB48/'VVP2'!AB$341</f>
        <v>0</v>
      </c>
      <c r="AC65" s="2910">
        <f ca="1">+AC48/'VVP2'!AC$341</f>
        <v>0</v>
      </c>
      <c r="AD65" s="2910">
        <f ca="1">+AD48/'VVP2'!AD$341</f>
        <v>0</v>
      </c>
      <c r="AE65" s="2910">
        <f ca="1">+AE48/'VVP2'!AE$341</f>
        <v>0</v>
      </c>
    </row>
    <row r="66" spans="1:31" ht="12.75" customHeight="1">
      <c r="A66" s="664"/>
      <c r="B66" s="664"/>
      <c r="C66" s="827" t="s">
        <v>401</v>
      </c>
      <c r="D66" s="828" t="s">
        <v>688</v>
      </c>
      <c r="E66" s="829" t="s">
        <v>1880</v>
      </c>
      <c r="F66" s="830" t="str">
        <f>+$F$12</f>
        <v>TaxToRow</v>
      </c>
      <c r="G66" s="840">
        <f>+G49/'VVP2'!G$341</f>
        <v>0</v>
      </c>
      <c r="H66" s="840">
        <f>+H49/'VVP2'!H$341</f>
        <v>0</v>
      </c>
      <c r="I66" s="840">
        <f>+I49/'VVP2'!I$341</f>
        <v>0</v>
      </c>
      <c r="J66" s="840">
        <f>+J49/'VVP2'!J$341</f>
        <v>0</v>
      </c>
      <c r="K66" s="840">
        <f>+K49/'VVP2'!K$341</f>
        <v>0</v>
      </c>
      <c r="L66" s="840">
        <f>+L49/'VVP2'!L$341</f>
        <v>0</v>
      </c>
      <c r="M66" s="840">
        <f>+M49/'VVP2'!M$341</f>
        <v>0</v>
      </c>
      <c r="N66" s="840">
        <f>+N49/'VVP2'!N$341</f>
        <v>0</v>
      </c>
      <c r="O66" s="840">
        <f>+O49/'VVP2'!O$341</f>
        <v>0</v>
      </c>
      <c r="P66" s="840">
        <f>+P49/'VVP2'!P$341</f>
        <v>6.6855959957451807E-3</v>
      </c>
      <c r="Q66" s="840">
        <f>+Q49/'VVP2'!Q$341</f>
        <v>1.1665361257192648E-2</v>
      </c>
      <c r="R66" s="840">
        <f>+R49/'VVP2'!R$341</f>
        <v>9.7594685533311347E-3</v>
      </c>
      <c r="S66" s="840">
        <f>+S49/'VVP2'!S$341</f>
        <v>6.5081165510701205E-3</v>
      </c>
      <c r="T66" s="2911">
        <f>+T49/'VVP2'!T$341</f>
        <v>6.3309954526937001E-3</v>
      </c>
      <c r="U66" s="2911">
        <f>+U49/'VVP2'!U$341</f>
        <v>1.0135579149962763E-2</v>
      </c>
      <c r="V66" s="2911">
        <f>+V49/'VVP2'!V$341</f>
        <v>1.0882107175554434E-2</v>
      </c>
      <c r="W66" s="2911">
        <f>+W49/'VVP2'!W$341</f>
        <v>1.0327632139335425E-2</v>
      </c>
      <c r="X66" s="2911">
        <f>+X49/'VVP2'!X$341</f>
        <v>1.097501295411365E-2</v>
      </c>
      <c r="Y66" s="2911">
        <f>+Y49/'VVP2'!Y$341</f>
        <v>1.11271136867789E-2</v>
      </c>
      <c r="Z66" s="2911">
        <f>+Z49/'VVP2'!Z$341</f>
        <v>1.0555596270866444E-2</v>
      </c>
      <c r="AA66" s="2911">
        <f>+AA49/'VVP2'!AA$341</f>
        <v>1.1783060234416101E-2</v>
      </c>
      <c r="AB66" s="2911">
        <f>+AB49/'VVP2'!AB$341</f>
        <v>1.2077069808049587E-2</v>
      </c>
      <c r="AC66" s="2911">
        <f ca="1">+AC49/'VVP2'!AC$341</f>
        <v>1.1457147950639793E-2</v>
      </c>
      <c r="AD66" s="2911">
        <f ca="1">+AD49/'VVP2'!AD$341</f>
        <v>1.1097592861361296E-2</v>
      </c>
      <c r="AE66" s="2911">
        <f ca="1">+AE49/'VVP2'!AE$341</f>
        <v>1.0774385753268565E-2</v>
      </c>
    </row>
    <row r="67" spans="1:31" ht="12.75" customHeight="1">
      <c r="A67" s="664"/>
      <c r="B67" s="664"/>
      <c r="C67" s="774" t="s">
        <v>1769</v>
      </c>
      <c r="D67" s="806" t="s">
        <v>687</v>
      </c>
      <c r="E67" s="807" t="s">
        <v>1488</v>
      </c>
      <c r="F67" s="808" t="str">
        <f>+$F$13</f>
        <v>YATaxIndir</v>
      </c>
      <c r="G67" s="841">
        <f>+G50/'VVP2'!G$341</f>
        <v>1.0258186908930742E-2</v>
      </c>
      <c r="H67" s="841">
        <f>+H50/'VVP2'!H$341</f>
        <v>1.1818841586757462E-2</v>
      </c>
      <c r="I67" s="841">
        <f>+I50/'VVP2'!I$341</f>
        <v>8.6239395991586747E-3</v>
      </c>
      <c r="J67" s="841">
        <f>+J50/'VVP2'!J$341</f>
        <v>1.0490740257227023E-2</v>
      </c>
      <c r="K67" s="841">
        <f>+K50/'VVP2'!K$341</f>
        <v>1.0414503370022843E-2</v>
      </c>
      <c r="L67" s="841">
        <f>+L50/'VVP2'!L$341</f>
        <v>7.8275427171088357E-3</v>
      </c>
      <c r="M67" s="841">
        <f>+M50/'VVP2'!M$341</f>
        <v>8.4018339471852513E-3</v>
      </c>
      <c r="N67" s="841">
        <f>+N50/'VVP2'!N$341</f>
        <v>7.8817695105369828E-3</v>
      </c>
      <c r="O67" s="841">
        <f>+O50/'VVP2'!O$341</f>
        <v>7.7691547159669033E-3</v>
      </c>
      <c r="P67" s="841">
        <f>+P50/'VVP2'!P$341</f>
        <v>6.8873740796546942E-3</v>
      </c>
      <c r="Q67" s="841">
        <f>+Q50/'VVP2'!Q$341</f>
        <v>6.7497208645699172E-3</v>
      </c>
      <c r="R67" s="841">
        <f>+R50/'VVP2'!R$341</f>
        <v>6.723650888443876E-3</v>
      </c>
      <c r="S67" s="841">
        <f>+S50/'VVP2'!S$341</f>
        <v>8.8004198251692631E-3</v>
      </c>
      <c r="T67" s="2912">
        <f>+T50/'VVP2'!T$341</f>
        <v>6.7542851969704196E-3</v>
      </c>
      <c r="U67" s="2912">
        <f>+U50/'VVP2'!U$341</f>
        <v>6.3278685359694263E-3</v>
      </c>
      <c r="V67" s="2912">
        <f>+V50/'VVP2'!V$341</f>
        <v>4.9233507185401848E-3</v>
      </c>
      <c r="W67" s="2912">
        <f>+W50/'VVP2'!W$341</f>
        <v>3.9190646170846532E-3</v>
      </c>
      <c r="X67" s="2912">
        <f>+X50/'VVP2'!X$341</f>
        <v>3.1431717427600897E-3</v>
      </c>
      <c r="Y67" s="2912">
        <f>+Y50/'VVP2'!Y$341</f>
        <v>3.3075273922936869E-3</v>
      </c>
      <c r="Z67" s="2912">
        <f>+Z50/'VVP2'!Z$341</f>
        <v>3.2470764279862218E-3</v>
      </c>
      <c r="AA67" s="2912">
        <f>+AA50/'VVP2'!AA$341</f>
        <v>3.9429165505505308E-3</v>
      </c>
      <c r="AB67" s="2912">
        <f>+AB50/'VVP2'!AB$341</f>
        <v>4.2005962503672261E-3</v>
      </c>
      <c r="AC67" s="2912">
        <f ca="1">+AC50/'VVP2'!AC$341</f>
        <v>3.801257537537702E-3</v>
      </c>
      <c r="AD67" s="2912">
        <f ca="1">+AD50/'VVP2'!AD$341</f>
        <v>3.7660768131281309E-3</v>
      </c>
      <c r="AE67" s="2912">
        <f ca="1">+AE50/'VVP2'!AE$341</f>
        <v>3.7406967038084256E-3</v>
      </c>
    </row>
    <row r="68" spans="1:31">
      <c r="A68" s="664"/>
      <c r="B68" s="664"/>
      <c r="C68" s="774"/>
      <c r="S68" s="843"/>
      <c r="U68" s="843"/>
      <c r="AB68" s="2221"/>
      <c r="AC68" s="2221"/>
      <c r="AD68" s="2221"/>
      <c r="AE68" s="2221"/>
    </row>
    <row r="69" spans="1:31">
      <c r="A69" s="664"/>
      <c r="B69" s="664"/>
      <c r="C69" s="774"/>
      <c r="AB69" s="2221"/>
      <c r="AC69" s="2221"/>
      <c r="AD69" s="2221"/>
      <c r="AE69" s="2221"/>
    </row>
    <row r="70" spans="1:31" ht="22.5" customHeight="1">
      <c r="A70" s="574"/>
      <c r="B70" s="574"/>
      <c r="C70" s="3752" t="s">
        <v>1373</v>
      </c>
      <c r="D70" s="3752"/>
      <c r="E70" s="3752"/>
      <c r="F70" s="3752"/>
      <c r="G70" s="2899"/>
      <c r="AB70" s="2221"/>
      <c r="AC70" s="2221"/>
      <c r="AD70" s="2221"/>
      <c r="AE70" s="2221"/>
    </row>
    <row r="71" spans="1:31" ht="12.75" customHeight="1">
      <c r="A71" s="664"/>
      <c r="B71" s="664"/>
      <c r="C71" s="774"/>
      <c r="AB71" s="2221"/>
      <c r="AC71" s="2221"/>
      <c r="AD71" s="2221"/>
      <c r="AE71" s="2221"/>
    </row>
    <row r="72" spans="1:31" ht="12.75" customHeight="1">
      <c r="A72" s="664"/>
      <c r="B72" s="664"/>
      <c r="C72" s="774"/>
      <c r="D72" s="775"/>
      <c r="E72" s="776" t="s">
        <v>1384</v>
      </c>
      <c r="F72" s="777"/>
      <c r="G72" s="778">
        <f>+InputY!$G$3</f>
        <v>1995</v>
      </c>
      <c r="H72" s="778">
        <f t="shared" ref="H72:N72" si="49">+G72+1</f>
        <v>1996</v>
      </c>
      <c r="I72" s="778">
        <f t="shared" si="49"/>
        <v>1997</v>
      </c>
      <c r="J72" s="778">
        <f t="shared" si="49"/>
        <v>1998</v>
      </c>
      <c r="K72" s="778">
        <f>+J72+1</f>
        <v>1999</v>
      </c>
      <c r="L72" s="778">
        <f t="shared" si="49"/>
        <v>2000</v>
      </c>
      <c r="M72" s="778">
        <f t="shared" si="49"/>
        <v>2001</v>
      </c>
      <c r="N72" s="778">
        <f t="shared" si="49"/>
        <v>2002</v>
      </c>
      <c r="O72" s="778">
        <f t="shared" ref="O72:W72" si="50">+N72+1</f>
        <v>2003</v>
      </c>
      <c r="P72" s="778">
        <f t="shared" si="50"/>
        <v>2004</v>
      </c>
      <c r="Q72" s="778">
        <f t="shared" si="50"/>
        <v>2005</v>
      </c>
      <c r="R72" s="778">
        <f t="shared" si="50"/>
        <v>2006</v>
      </c>
      <c r="S72" s="778">
        <f t="shared" si="50"/>
        <v>2007</v>
      </c>
      <c r="T72" s="2222">
        <f t="shared" si="50"/>
        <v>2008</v>
      </c>
      <c r="U72" s="2222">
        <f t="shared" si="50"/>
        <v>2009</v>
      </c>
      <c r="V72" s="2222">
        <f>+U72+1</f>
        <v>2010</v>
      </c>
      <c r="W72" s="2222">
        <f t="shared" si="50"/>
        <v>2011</v>
      </c>
      <c r="X72" s="2222">
        <f t="shared" ref="X72:AE72" si="51">+W72+1</f>
        <v>2012</v>
      </c>
      <c r="Y72" s="2222">
        <f t="shared" si="51"/>
        <v>2013</v>
      </c>
      <c r="Z72" s="2222">
        <f t="shared" si="51"/>
        <v>2014</v>
      </c>
      <c r="AA72" s="2222">
        <f t="shared" si="51"/>
        <v>2015</v>
      </c>
      <c r="AB72" s="2222">
        <f t="shared" si="51"/>
        <v>2016</v>
      </c>
      <c r="AC72" s="2222">
        <f t="shared" si="51"/>
        <v>2017</v>
      </c>
      <c r="AD72" s="2222">
        <f t="shared" si="51"/>
        <v>2018</v>
      </c>
      <c r="AE72" s="2222">
        <f t="shared" si="51"/>
        <v>2019</v>
      </c>
    </row>
    <row r="73" spans="1:31" ht="12.75" customHeight="1">
      <c r="A73" s="664">
        <f>+ROW(InputY!A180)</f>
        <v>180</v>
      </c>
      <c r="B73" s="664"/>
      <c r="C73" s="779" t="s">
        <v>1767</v>
      </c>
      <c r="D73" s="668" t="s">
        <v>685</v>
      </c>
      <c r="E73" s="700" t="s">
        <v>1373</v>
      </c>
      <c r="F73" s="701" t="str">
        <f>+InputY!B180</f>
        <v>YHGrVadd</v>
      </c>
      <c r="G73" s="780">
        <f>+InputY!G180/1000</f>
        <v>1.84365</v>
      </c>
      <c r="H73" s="780">
        <f>+InputY!H180/1000</f>
        <v>2.30016</v>
      </c>
      <c r="I73" s="780">
        <f>+InputY!I180/1000</f>
        <v>2.6009799999999998</v>
      </c>
      <c r="J73" s="780">
        <f>+InputY!J180/1000</f>
        <v>2.8379499999999998</v>
      </c>
      <c r="K73" s="780">
        <f>+InputY!K180/1000</f>
        <v>2.6959400000000002</v>
      </c>
      <c r="L73" s="780">
        <f>+InputY!L180/1000</f>
        <v>2.7768699999999997</v>
      </c>
      <c r="M73" s="780">
        <f>+InputY!M180/1000</f>
        <v>2.6924899999999998</v>
      </c>
      <c r="N73" s="780">
        <f>+InputY!N180/1000</f>
        <v>2.7059600000000001</v>
      </c>
      <c r="O73" s="780">
        <f>+InputY!O180/1000</f>
        <v>2.8033899999999998</v>
      </c>
      <c r="P73" s="780">
        <f>+InputY!P180/1000</f>
        <v>2.92544</v>
      </c>
      <c r="Q73" s="780">
        <f>+InputY!Q180/1000</f>
        <v>3.2303899999999999</v>
      </c>
      <c r="R73" s="780">
        <f>+InputY!R180/1000</f>
        <v>3.4656799999999999</v>
      </c>
      <c r="S73" s="780">
        <f>+InputY!S180/1000</f>
        <v>3.8770199999999999</v>
      </c>
      <c r="T73" s="780">
        <f>+InputY!T180/1000</f>
        <v>4.1631099999999996</v>
      </c>
      <c r="U73" s="780">
        <f>+InputY!U180/1000</f>
        <v>3.3344800000000001</v>
      </c>
      <c r="V73" s="780">
        <f>+InputY!V180/1000</f>
        <v>3.0989499999999999</v>
      </c>
      <c r="W73" s="780">
        <f>+InputY!W180/1000</f>
        <v>3.3005</v>
      </c>
      <c r="X73" s="780">
        <f>+InputY!X180/1000</f>
        <v>3.7175500000000001</v>
      </c>
      <c r="Y73" s="780">
        <f>+InputY!Y180/1000</f>
        <v>3.8779400000000002</v>
      </c>
      <c r="Z73" s="780">
        <f>+InputY!Z180/1000</f>
        <v>4.0212899999999996</v>
      </c>
      <c r="AA73" s="780">
        <f>+InputY!AA180/1000</f>
        <v>4.2696000000000005</v>
      </c>
      <c r="AB73" s="780">
        <f>+InputY!AB180/1000</f>
        <v>4.2739500000000001</v>
      </c>
      <c r="AC73" s="2232">
        <f>+AC107+Labour1!AC209+Sector1!AC9-Sector1!AC46</f>
        <v>4.3074756499999998</v>
      </c>
      <c r="AD73" s="2232">
        <f>+AD107+Labour1!AD209+Sector1!AD9-Sector1!AD46</f>
        <v>4.3431890632499996</v>
      </c>
      <c r="AE73" s="2232">
        <f>+AE107+Labour1!AE209+Sector1!AE9-Sector1!AE46</f>
        <v>4.3784579944850002</v>
      </c>
    </row>
    <row r="74" spans="1:31" ht="12.75" customHeight="1">
      <c r="A74" s="664"/>
      <c r="B74" s="664"/>
      <c r="C74" s="782"/>
      <c r="D74" s="1973" t="s">
        <v>727</v>
      </c>
      <c r="E74" s="1973"/>
      <c r="F74" s="1973"/>
      <c r="G74" s="2898"/>
      <c r="H74" s="2898"/>
      <c r="I74" s="2898"/>
      <c r="J74" s="2898"/>
      <c r="K74" s="2898"/>
      <c r="L74" s="2898"/>
      <c r="M74" s="2898"/>
      <c r="N74" s="2898"/>
      <c r="O74" s="2898"/>
      <c r="P74" s="2898"/>
      <c r="Q74" s="2898"/>
      <c r="R74" s="2898"/>
      <c r="S74" s="2898"/>
      <c r="T74" s="2905"/>
      <c r="U74" s="2905"/>
      <c r="V74" s="2905"/>
      <c r="W74" s="2905"/>
      <c r="X74" s="2905"/>
      <c r="Y74" s="2905"/>
      <c r="Z74" s="2905"/>
      <c r="AA74" s="2905"/>
      <c r="AB74" s="2905"/>
      <c r="AC74" s="2905"/>
      <c r="AD74" s="2905"/>
      <c r="AE74" s="2905"/>
    </row>
    <row r="75" spans="1:31" ht="12.75" customHeight="1">
      <c r="A75" s="664"/>
      <c r="B75" s="664"/>
      <c r="C75" s="782"/>
      <c r="D75" s="1973"/>
      <c r="E75" s="1973" t="s">
        <v>2018</v>
      </c>
      <c r="F75" s="1973"/>
      <c r="G75" s="2898">
        <f t="shared" ref="G75:U75" si="52">(G9-G46)/G73</f>
        <v>4.5073631112195912E-3</v>
      </c>
      <c r="H75" s="2898">
        <f t="shared" si="52"/>
        <v>1.3294727323316638E-2</v>
      </c>
      <c r="I75" s="2898">
        <f t="shared" si="52"/>
        <v>4.8712408399910808E-3</v>
      </c>
      <c r="J75" s="2898">
        <f t="shared" si="52"/>
        <v>4.1966912736306145E-3</v>
      </c>
      <c r="K75" s="2898">
        <f t="shared" si="52"/>
        <v>4.3138942261326295E-3</v>
      </c>
      <c r="L75" s="2898">
        <f t="shared" si="52"/>
        <v>5.7078653303899718E-3</v>
      </c>
      <c r="M75" s="2898">
        <f t="shared" si="52"/>
        <v>3.3389167647790703E-3</v>
      </c>
      <c r="N75" s="2898">
        <f t="shared" si="52"/>
        <v>1.3233750683676033E-2</v>
      </c>
      <c r="O75" s="2898">
        <f t="shared" si="52"/>
        <v>2.8786576252323079E-3</v>
      </c>
      <c r="P75" s="2898">
        <f t="shared" si="52"/>
        <v>-5.3496226208707056E-3</v>
      </c>
      <c r="Q75" s="2898">
        <f t="shared" si="52"/>
        <v>-2.1789938676135084E-2</v>
      </c>
      <c r="R75" s="2898">
        <f t="shared" si="52"/>
        <v>-1.2185198864292146E-2</v>
      </c>
      <c r="S75" s="2898">
        <f>(S9-S46)/S73</f>
        <v>-1.2081443995646143E-2</v>
      </c>
      <c r="T75" s="2905">
        <f t="shared" si="52"/>
        <v>-1.9720833703649435E-3</v>
      </c>
      <c r="U75" s="2905">
        <f t="shared" si="52"/>
        <v>-1.2385739305678847E-2</v>
      </c>
      <c r="V75" s="2905">
        <f t="shared" ref="V75:AA75" si="53">(V9-V46)/V73</f>
        <v>2.2910985979121968E-3</v>
      </c>
      <c r="W75" s="2905">
        <f t="shared" si="53"/>
        <v>-2.4178154825026514E-3</v>
      </c>
      <c r="X75" s="2905">
        <f t="shared" si="53"/>
        <v>-3.4727172465736835E-3</v>
      </c>
      <c r="Y75" s="2905">
        <f t="shared" si="53"/>
        <v>1.5936296074720087E-3</v>
      </c>
      <c r="Z75" s="2905">
        <f t="shared" si="53"/>
        <v>3.2327934568260844E-5</v>
      </c>
      <c r="AA75" s="2905">
        <f t="shared" si="53"/>
        <v>-2.3491661982387099E-3</v>
      </c>
      <c r="AB75" s="2905">
        <f>(AB9-AB46)/AB73</f>
        <v>1.3898150422910884E-3</v>
      </c>
      <c r="AC75" s="2905">
        <f>(AC9-AC46)/AC73</f>
        <v>1.7781180028260863E-3</v>
      </c>
      <c r="AD75" s="2905">
        <f>(AD9-AD46)/AD73</f>
        <v>2.1870436358329077E-3</v>
      </c>
      <c r="AE75" s="2905">
        <f>(AE9-AE46)/AE73</f>
        <v>2.6189713580542806E-3</v>
      </c>
    </row>
    <row r="76" spans="1:31" ht="12.75" customHeight="1">
      <c r="A76" s="664"/>
      <c r="B76" s="664"/>
      <c r="C76" s="782"/>
      <c r="D76" s="1973"/>
      <c r="E76" s="1973" t="s">
        <v>729</v>
      </c>
      <c r="F76" s="1973"/>
      <c r="G76" s="2898">
        <f>+Labour1!G209/G73</f>
        <v>7.4140970357714317E-2</v>
      </c>
      <c r="H76" s="2898">
        <f>+Labour1!H209/H73</f>
        <v>6.335646215915415E-2</v>
      </c>
      <c r="I76" s="2898">
        <f>+Labour1!I209/I73</f>
        <v>7.2807172681066373E-2</v>
      </c>
      <c r="J76" s="2898">
        <f>+Labour1!J209/J73</f>
        <v>8.8179848129812013E-2</v>
      </c>
      <c r="K76" s="2898">
        <f>+Labour1!K209/K73</f>
        <v>6.3836732271489713E-2</v>
      </c>
      <c r="L76" s="2898">
        <f>+Labour1!L209/L73</f>
        <v>8.7875917849953383E-2</v>
      </c>
      <c r="M76" s="2898">
        <f>+Labour1!M209/M73</f>
        <v>0.11000969362931709</v>
      </c>
      <c r="N76" s="2898">
        <f>+Labour1!N209/N73</f>
        <v>0.11964700143387189</v>
      </c>
      <c r="O76" s="2898">
        <f>+Labour1!O209/O73</f>
        <v>0.12789158839833201</v>
      </c>
      <c r="P76" s="2898">
        <f>+Labour1!P209/P73</f>
        <v>0.13375765696784075</v>
      </c>
      <c r="Q76" s="2898">
        <f>+Labour1!Q209/Q73</f>
        <v>0.13907608678828254</v>
      </c>
      <c r="R76" s="2898">
        <f>+Labour1!R209/R73</f>
        <v>0.15583954664019761</v>
      </c>
      <c r="S76" s="2898">
        <f>+Labour1!S209/S73</f>
        <v>0.18848754971601903</v>
      </c>
      <c r="T76" s="2905">
        <f>+Labour1!T209/T73</f>
        <v>0.18277201419131373</v>
      </c>
      <c r="U76" s="2905">
        <f>+Labour1!U209/U73</f>
        <v>0.16601089225306492</v>
      </c>
      <c r="V76" s="2905">
        <f>+Labour1!V209/V73</f>
        <v>0.14871811419997097</v>
      </c>
      <c r="W76" s="2905">
        <f>+Labour1!W209/W73</f>
        <v>0.14294803817603394</v>
      </c>
      <c r="X76" s="2905">
        <f>+Labour1!X209/X73</f>
        <v>0.12371050826485185</v>
      </c>
      <c r="Y76" s="2905">
        <f>+Labour1!Y209/Y73</f>
        <v>0.12476211596878754</v>
      </c>
      <c r="Z76" s="2905">
        <f>+Labour1!Z209/Z73</f>
        <v>0.12270937932852394</v>
      </c>
      <c r="AA76" s="2905">
        <f>+Labour1!AA209/AA73</f>
        <v>0.11862469552182874</v>
      </c>
      <c r="AB76" s="2905">
        <f>+Labour1!AB209/AB73</f>
        <v>0.11449127855964622</v>
      </c>
      <c r="AC76" s="2905">
        <f>+Labour1!AC209/AC73</f>
        <v>0.120984189428906</v>
      </c>
      <c r="AD76" s="2905">
        <f>+Labour1!AD209/AD73</f>
        <v>0.12778866201018818</v>
      </c>
      <c r="AE76" s="2905">
        <f>+Labour1!AE209/AE73</f>
        <v>0.13436486981170592</v>
      </c>
    </row>
    <row r="77" spans="1:31" ht="12.75" customHeight="1">
      <c r="A77" s="664"/>
      <c r="B77" s="664"/>
      <c r="C77" s="782"/>
      <c r="D77" s="1973"/>
      <c r="E77" s="1973" t="s">
        <v>728</v>
      </c>
      <c r="F77" s="1973"/>
      <c r="G77" s="2898">
        <f t="shared" ref="G77:U77" si="54">+G107/G73</f>
        <v>0.92135166653106604</v>
      </c>
      <c r="H77" s="2898">
        <f t="shared" si="54"/>
        <v>0.92334881051752926</v>
      </c>
      <c r="I77" s="2898">
        <f t="shared" si="54"/>
        <v>0.92232158647894258</v>
      </c>
      <c r="J77" s="2898">
        <f t="shared" si="54"/>
        <v>0.90762346059655741</v>
      </c>
      <c r="K77" s="2898">
        <f t="shared" si="54"/>
        <v>0.93184937350237773</v>
      </c>
      <c r="L77" s="2898">
        <f t="shared" si="54"/>
        <v>0.90641621681965667</v>
      </c>
      <c r="M77" s="2898">
        <f t="shared" si="54"/>
        <v>0.88665138960590384</v>
      </c>
      <c r="N77" s="2898">
        <f t="shared" si="54"/>
        <v>0.86711924788245198</v>
      </c>
      <c r="O77" s="2898">
        <f t="shared" si="54"/>
        <v>0.86922975397643565</v>
      </c>
      <c r="P77" s="2898">
        <f t="shared" si="54"/>
        <v>0.87159196565302988</v>
      </c>
      <c r="Q77" s="2898">
        <f t="shared" si="54"/>
        <v>0.88271385188785256</v>
      </c>
      <c r="R77" s="2898">
        <f t="shared" si="54"/>
        <v>0.85634565222409453</v>
      </c>
      <c r="S77" s="2898">
        <f>+S107/S73</f>
        <v>0.82359389427962715</v>
      </c>
      <c r="T77" s="2905">
        <f t="shared" si="54"/>
        <v>0.8192000691790513</v>
      </c>
      <c r="U77" s="2905">
        <f t="shared" si="54"/>
        <v>0.8463748470526139</v>
      </c>
      <c r="V77" s="2905">
        <f t="shared" ref="V77:AA77" si="55">+V107/V73</f>
        <v>0.84899078720211674</v>
      </c>
      <c r="W77" s="2905">
        <f t="shared" si="55"/>
        <v>0.85946977730646867</v>
      </c>
      <c r="X77" s="2905">
        <f t="shared" si="55"/>
        <v>0.87976220898172186</v>
      </c>
      <c r="Y77" s="2905">
        <f t="shared" si="55"/>
        <v>0.87364425442374039</v>
      </c>
      <c r="Z77" s="2905">
        <f t="shared" si="55"/>
        <v>0.87725829273690781</v>
      </c>
      <c r="AA77" s="2905">
        <f t="shared" si="55"/>
        <v>0.88372447067641002</v>
      </c>
      <c r="AB77" s="2905">
        <f>+AB107/AB73</f>
        <v>0.88411890639806268</v>
      </c>
      <c r="AC77" s="2905">
        <f>+AC107/AC73</f>
        <v>0.877237692568268</v>
      </c>
      <c r="AD77" s="2905">
        <f>+AD107/AD73</f>
        <v>0.87002429435397899</v>
      </c>
      <c r="AE77" s="2905">
        <f>+AE107/AE73</f>
        <v>0.86301615883023974</v>
      </c>
    </row>
    <row r="78" spans="1:31" ht="12.75" customHeight="1">
      <c r="A78" s="664">
        <f>+ROW(InputY!A113)</f>
        <v>113</v>
      </c>
      <c r="B78" s="664">
        <v>100</v>
      </c>
      <c r="C78" s="782" t="s">
        <v>1767</v>
      </c>
      <c r="D78" s="674" t="s">
        <v>686</v>
      </c>
      <c r="E78" s="783" t="s">
        <v>1373</v>
      </c>
      <c r="F78" s="704" t="str">
        <f>+InputY!B113</f>
        <v>YEGrVadd</v>
      </c>
      <c r="G78" s="706">
        <f>+InputY!G113/1000</f>
        <v>3.9930599999999998</v>
      </c>
      <c r="H78" s="706">
        <f>+InputY!H113/1000</f>
        <v>5.0259799999999997</v>
      </c>
      <c r="I78" s="706">
        <f>+InputY!I113/1000</f>
        <v>5.9436200000000001</v>
      </c>
      <c r="J78" s="706">
        <f>+InputY!J113/1000</f>
        <v>6.4824099999999998</v>
      </c>
      <c r="K78" s="706">
        <f>+InputY!K113/1000</f>
        <v>6.3313900000000007</v>
      </c>
      <c r="L78" s="706">
        <f>+InputY!L113/1000</f>
        <v>7.04054</v>
      </c>
      <c r="M78" s="706">
        <f>+InputY!M113/1000</f>
        <v>7.8377799999999995</v>
      </c>
      <c r="N78" s="706">
        <f>+InputY!N113/1000</f>
        <v>8.6526899999999998</v>
      </c>
      <c r="O78" s="706">
        <f>+InputY!O113/1000</f>
        <v>9.867700000000001</v>
      </c>
      <c r="P78" s="706">
        <f>+InputY!P113/1000</f>
        <v>11.10008</v>
      </c>
      <c r="Q78" s="706">
        <f>+InputY!Q113/1000</f>
        <v>13.076600000000001</v>
      </c>
      <c r="R78" s="706">
        <f>+InputY!R113/1000</f>
        <v>15.146889999999999</v>
      </c>
      <c r="S78" s="706">
        <f>+InputY!S113/1000</f>
        <v>18.65231</v>
      </c>
      <c r="T78" s="706">
        <f>+InputY!T113/1000</f>
        <v>20.88843</v>
      </c>
      <c r="U78" s="706">
        <f>+InputY!U113/1000</f>
        <v>16.73537</v>
      </c>
      <c r="V78" s="706">
        <f>+InputY!V113/1000</f>
        <v>18.234159999999999</v>
      </c>
      <c r="W78" s="706">
        <f>+InputY!W113/1000</f>
        <v>20.770669999999999</v>
      </c>
      <c r="X78" s="706">
        <f>+InputY!X113/1000</f>
        <v>22.225490000000001</v>
      </c>
      <c r="Y78" s="706">
        <f>+InputY!Y113/1000</f>
        <v>23.43872</v>
      </c>
      <c r="Z78" s="706">
        <f>+InputY!Z113/1000</f>
        <v>24.500109999999999</v>
      </c>
      <c r="AA78" s="706">
        <f>+InputY!AA113/1000</f>
        <v>24.728159999999999</v>
      </c>
      <c r="AB78" s="706">
        <f>+InputY!AB113/1000</f>
        <v>25.56738</v>
      </c>
      <c r="AC78" s="2217">
        <f>+AC88-AC73-AC83</f>
        <v>28.093316769273876</v>
      </c>
      <c r="AD78" s="2217">
        <f ca="1">+AD88-AD73-AD83</f>
        <v>29.895443026415556</v>
      </c>
      <c r="AE78" s="2217">
        <f ca="1">+AE88-AE73-AE83</f>
        <v>31.814666730987341</v>
      </c>
    </row>
    <row r="79" spans="1:31" ht="12.75" customHeight="1">
      <c r="A79" s="664"/>
      <c r="B79" s="664"/>
      <c r="C79" s="782"/>
      <c r="D79" s="1973" t="s">
        <v>727</v>
      </c>
      <c r="E79" s="1973"/>
      <c r="F79" s="1973"/>
      <c r="G79" s="2898"/>
      <c r="H79" s="2898"/>
      <c r="I79" s="2898"/>
      <c r="J79" s="2898"/>
      <c r="K79" s="2898"/>
      <c r="L79" s="2898"/>
      <c r="M79" s="2898"/>
      <c r="N79" s="2898"/>
      <c r="O79" s="2898"/>
      <c r="P79" s="2898"/>
      <c r="Q79" s="2898"/>
      <c r="R79" s="2898"/>
      <c r="S79" s="2898"/>
      <c r="T79" s="2905"/>
      <c r="U79" s="2905"/>
      <c r="V79" s="2905"/>
      <c r="W79" s="2905"/>
      <c r="X79" s="2905"/>
      <c r="Y79" s="2905"/>
      <c r="Z79" s="2905"/>
      <c r="AA79" s="2905"/>
      <c r="AB79" s="2905"/>
      <c r="AC79" s="2905"/>
      <c r="AD79" s="2905"/>
      <c r="AE79" s="2905"/>
    </row>
    <row r="80" spans="1:31" ht="12.75" customHeight="1">
      <c r="A80" s="664"/>
      <c r="B80" s="664"/>
      <c r="C80" s="782"/>
      <c r="D80" s="1973"/>
      <c r="E80" s="1973" t="s">
        <v>2018</v>
      </c>
      <c r="F80" s="1973"/>
      <c r="G80" s="2898">
        <f t="shared" ref="G80:U80" si="56">+(G10-G47)/G78</f>
        <v>3.668865481610595E-3</v>
      </c>
      <c r="H80" s="2898">
        <f t="shared" si="56"/>
        <v>-1.2793524844905873E-3</v>
      </c>
      <c r="I80" s="2898">
        <f t="shared" si="56"/>
        <v>2.8248777680941915E-3</v>
      </c>
      <c r="J80" s="2898">
        <f t="shared" si="56"/>
        <v>4.8593038700113075E-3</v>
      </c>
      <c r="K80" s="2898">
        <f t="shared" si="56"/>
        <v>8.6473902255270949E-3</v>
      </c>
      <c r="L80" s="2898">
        <f t="shared" si="56"/>
        <v>8.326065898354388E-3</v>
      </c>
      <c r="M80" s="2898">
        <f t="shared" si="56"/>
        <v>4.3532735034665449E-3</v>
      </c>
      <c r="N80" s="2898">
        <f t="shared" si="56"/>
        <v>4.8458918555963513E-3</v>
      </c>
      <c r="O80" s="2898">
        <f t="shared" si="56"/>
        <v>6.489860859166776E-3</v>
      </c>
      <c r="P80" s="2898">
        <f t="shared" si="56"/>
        <v>7.0422915870876597E-3</v>
      </c>
      <c r="Q80" s="2898">
        <f t="shared" si="56"/>
        <v>6.6576938959668399E-3</v>
      </c>
      <c r="R80" s="2898">
        <f t="shared" si="56"/>
        <v>4.6702656452908813E-3</v>
      </c>
      <c r="S80" s="2898">
        <f>+(S10-S47)/S78</f>
        <v>4.6037193248450198E-3</v>
      </c>
      <c r="T80" s="2905">
        <f t="shared" si="56"/>
        <v>5.5715053740276309E-3</v>
      </c>
      <c r="U80" s="2905">
        <f t="shared" si="56"/>
        <v>8.0302975076141144E-3</v>
      </c>
      <c r="V80" s="2905">
        <f t="shared" ref="V80:AA80" si="57">+(V10-V47)/V78</f>
        <v>5.666836311626091E-3</v>
      </c>
      <c r="W80" s="2905">
        <f t="shared" si="57"/>
        <v>6.4769215436959902E-3</v>
      </c>
      <c r="X80" s="2905">
        <f t="shared" si="57"/>
        <v>6.4641994394724249E-3</v>
      </c>
      <c r="Y80" s="2905">
        <f t="shared" si="57"/>
        <v>5.6108012724244314E-3</v>
      </c>
      <c r="Z80" s="2905">
        <f t="shared" si="57"/>
        <v>6.3713999651430148E-3</v>
      </c>
      <c r="AA80" s="2905">
        <f t="shared" si="57"/>
        <v>6.2560255190843156E-3</v>
      </c>
      <c r="AB80" s="2905">
        <f>+(AB10-AB47)/AB78</f>
        <v>4.6762710923059E-3</v>
      </c>
      <c r="AC80" s="2905">
        <f>+(AC10-AC47)/AC78</f>
        <v>4.5983000533880687E-3</v>
      </c>
      <c r="AD80" s="2905">
        <f ca="1">+(AD10-AD47)/AD78</f>
        <v>4.6590403385870166E-3</v>
      </c>
      <c r="AE80" s="2905">
        <f ca="1">+(AE10-AE47)/AE78</f>
        <v>4.7114049635480267E-3</v>
      </c>
    </row>
    <row r="81" spans="1:113" ht="12.75" customHeight="1">
      <c r="A81" s="664"/>
      <c r="B81" s="664"/>
      <c r="C81" s="782"/>
      <c r="D81" s="1973"/>
      <c r="E81" s="1973" t="s">
        <v>729</v>
      </c>
      <c r="F81" s="1973"/>
      <c r="G81" s="2898">
        <f>+Labour1!G210/Sector1!G78</f>
        <v>0.50514142036433207</v>
      </c>
      <c r="H81" s="2898">
        <f>+Labour1!H210/Sector1!H78</f>
        <v>0.50329885912797112</v>
      </c>
      <c r="I81" s="2898">
        <f>+Labour1!I210/Sector1!I78</f>
        <v>0.51292646568926004</v>
      </c>
      <c r="J81" s="2898">
        <f>+Labour1!J210/Sector1!J78</f>
        <v>0.54272099419814546</v>
      </c>
      <c r="K81" s="2898">
        <f>+Labour1!K210/Sector1!K78</f>
        <v>0.56632903675180324</v>
      </c>
      <c r="L81" s="2898">
        <f>+Labour1!L210/Sector1!L78</f>
        <v>0.47883258954568825</v>
      </c>
      <c r="M81" s="2898">
        <f>+Labour1!M210/Sector1!M78</f>
        <v>0.43630594377489545</v>
      </c>
      <c r="N81" s="2898">
        <f>+Labour1!N210/Sector1!N78</f>
        <v>0.43599620464849659</v>
      </c>
      <c r="O81" s="2898">
        <f>+Labour1!O210/Sector1!O78</f>
        <v>0.43556046495130574</v>
      </c>
      <c r="P81" s="2898">
        <f>+Labour1!P210/Sector1!P78</f>
        <v>0.44595354267716991</v>
      </c>
      <c r="Q81" s="2898">
        <f>+Labour1!Q210/Sector1!Q78</f>
        <v>0.45253888625483685</v>
      </c>
      <c r="R81" s="2898">
        <f>+Labour1!R210/Sector1!R78</f>
        <v>0.47749736084437144</v>
      </c>
      <c r="S81" s="2898">
        <f>+Labour1!S210/Sector1!S78</f>
        <v>0.46968123519285271</v>
      </c>
      <c r="T81" s="2905">
        <f>+Labour1!T210/Sector1!T78</f>
        <v>0.48440069454717277</v>
      </c>
      <c r="U81" s="2905">
        <f>+Labour1!U210/Sector1!U78</f>
        <v>0.47889231011922656</v>
      </c>
      <c r="V81" s="2905">
        <f>+Labour1!V210/Sector1!V78</f>
        <v>0.43600856853290748</v>
      </c>
      <c r="W81" s="2905">
        <f>+Labour1!W210/Sector1!W78</f>
        <v>0.41534336639116598</v>
      </c>
      <c r="X81" s="2905">
        <f>+Labour1!X210/Sector1!X78</f>
        <v>0.41733793045732631</v>
      </c>
      <c r="Y81" s="2905">
        <f>+Labour1!Y210/Sector1!Y78</f>
        <v>0.42324623528929911</v>
      </c>
      <c r="Z81" s="2905">
        <f>+Labour1!Z210/Sector1!Z78</f>
        <v>0.43544008577920668</v>
      </c>
      <c r="AA81" s="2905">
        <f>+Labour1!AA210/Sector1!AA78</f>
        <v>0.46608765067841684</v>
      </c>
      <c r="AB81" s="2905">
        <f>+Labour1!AB210/Sector1!AB78</f>
        <v>0.49427786499829079</v>
      </c>
      <c r="AC81" s="2905">
        <f>+Labour1!AC210/Sector1!AC78</f>
        <v>0.4957235332392485</v>
      </c>
      <c r="AD81" s="2905">
        <f ca="1">+Labour1!AD210/Sector1!AD78</f>
        <v>0.49474860312313051</v>
      </c>
      <c r="AE81" s="2905">
        <f ca="1">+Labour1!AE210/Sector1!AE78</f>
        <v>0.49230387449573487</v>
      </c>
    </row>
    <row r="82" spans="1:113" ht="12.75" customHeight="1">
      <c r="A82" s="664"/>
      <c r="B82" s="664"/>
      <c r="C82" s="782"/>
      <c r="D82" s="1973"/>
      <c r="E82" s="1973" t="s">
        <v>728</v>
      </c>
      <c r="F82" s="1973"/>
      <c r="G82" s="2898">
        <f t="shared" ref="G82:U82" si="58">+G108/G78</f>
        <v>0.49118971415405727</v>
      </c>
      <c r="H82" s="2898">
        <f t="shared" si="58"/>
        <v>0.49798049335651945</v>
      </c>
      <c r="I82" s="2898">
        <f t="shared" si="58"/>
        <v>0.48424865654264571</v>
      </c>
      <c r="J82" s="2898">
        <f t="shared" si="58"/>
        <v>0.45241970193184322</v>
      </c>
      <c r="K82" s="2898">
        <f t="shared" si="58"/>
        <v>0.42502357302266963</v>
      </c>
      <c r="L82" s="2898">
        <f t="shared" si="58"/>
        <v>0.51284134455595742</v>
      </c>
      <c r="M82" s="2898">
        <f t="shared" si="58"/>
        <v>0.55934078272163801</v>
      </c>
      <c r="N82" s="2898">
        <f t="shared" si="58"/>
        <v>0.55915790349590699</v>
      </c>
      <c r="O82" s="2898">
        <f t="shared" si="58"/>
        <v>0.55794967418952746</v>
      </c>
      <c r="P82" s="2898">
        <f t="shared" si="58"/>
        <v>0.5470041657357424</v>
      </c>
      <c r="Q82" s="2898">
        <f t="shared" si="58"/>
        <v>0.54080341984919633</v>
      </c>
      <c r="R82" s="2898">
        <f t="shared" si="58"/>
        <v>0.51783237351033773</v>
      </c>
      <c r="S82" s="2898">
        <f>+S108/S78</f>
        <v>0.5257150454823023</v>
      </c>
      <c r="T82" s="2905">
        <f t="shared" si="58"/>
        <v>0.51002780007879955</v>
      </c>
      <c r="U82" s="2905">
        <f t="shared" si="58"/>
        <v>0.5130773923731593</v>
      </c>
      <c r="V82" s="2905">
        <f t="shared" ref="V82:AA82" si="59">+V108/V78</f>
        <v>0.5583245951554664</v>
      </c>
      <c r="W82" s="2905">
        <f t="shared" si="59"/>
        <v>0.57817971206513807</v>
      </c>
      <c r="X82" s="2905">
        <f t="shared" si="59"/>
        <v>0.57619787010320123</v>
      </c>
      <c r="Y82" s="2905">
        <f t="shared" si="59"/>
        <v>0.57114296343827642</v>
      </c>
      <c r="Z82" s="2905">
        <f t="shared" si="59"/>
        <v>0.55818851425565041</v>
      </c>
      <c r="AA82" s="2905">
        <f t="shared" si="59"/>
        <v>0.52765632380249883</v>
      </c>
      <c r="AB82" s="2905">
        <f>+AB108/AB78</f>
        <v>0.50104586390940331</v>
      </c>
      <c r="AC82" s="2905">
        <f>+AC108/AC78</f>
        <v>0.49967816670736342</v>
      </c>
      <c r="AD82" s="2905">
        <f ca="1">+AD108/AD78</f>
        <v>0.50059235653828238</v>
      </c>
      <c r="AE82" s="2905">
        <f ca="1">+AE108/AE78</f>
        <v>0.50298472054071708</v>
      </c>
    </row>
    <row r="83" spans="1:113" ht="12.75" customHeight="1">
      <c r="A83" s="664">
        <f>+ROW(InputY!A143)</f>
        <v>143</v>
      </c>
      <c r="B83" s="664"/>
      <c r="C83" s="782" t="s">
        <v>1767</v>
      </c>
      <c r="D83" s="674" t="s">
        <v>687</v>
      </c>
      <c r="E83" s="783" t="s">
        <v>1373</v>
      </c>
      <c r="F83" s="704" t="str">
        <f>+InputY!B143</f>
        <v>YAGVadd</v>
      </c>
      <c r="G83" s="706">
        <f>+InputY!G143/1000</f>
        <v>1.09914</v>
      </c>
      <c r="H83" s="706">
        <f>+InputY!H143/1000</f>
        <v>1.40767</v>
      </c>
      <c r="I83" s="706">
        <f>+InputY!I143/1000</f>
        <v>1.7305599999999999</v>
      </c>
      <c r="J83" s="706">
        <f>+InputY!J143/1000</f>
        <v>2.0927699999999998</v>
      </c>
      <c r="K83" s="706">
        <f>+InputY!K143/1000</f>
        <v>2.1463899999999998</v>
      </c>
      <c r="L83" s="706">
        <f>+InputY!L143/1000</f>
        <v>2.0634800000000002</v>
      </c>
      <c r="M83" s="706">
        <f>+InputY!M143/1000</f>
        <v>2.1042299999999998</v>
      </c>
      <c r="N83" s="706">
        <f>+InputY!N143/1000</f>
        <v>2.1652600000000004</v>
      </c>
      <c r="O83" s="706">
        <f>+InputY!O143/1000</f>
        <v>2.2659699999999998</v>
      </c>
      <c r="P83" s="706">
        <f>+InputY!P143/1000</f>
        <v>2.4740900000000003</v>
      </c>
      <c r="Q83" s="706">
        <f>+InputY!Q143/1000</f>
        <v>2.7027199999999998</v>
      </c>
      <c r="R83" s="706">
        <f>+InputY!R143/1000</f>
        <v>3.1210999999999998</v>
      </c>
      <c r="S83" s="706">
        <f>+InputY!S143/1000</f>
        <v>3.5471599999999999</v>
      </c>
      <c r="T83" s="706">
        <f>+InputY!T143/1000</f>
        <v>4.2976700000000001</v>
      </c>
      <c r="U83" s="706">
        <f>+InputY!U143/1000</f>
        <v>4.2305000000000001</v>
      </c>
      <c r="V83" s="706">
        <f>+InputY!V143/1000</f>
        <v>3.8766500000000002</v>
      </c>
      <c r="W83" s="706">
        <f>+InputY!W143/1000</f>
        <v>4.0888900000000001</v>
      </c>
      <c r="X83" s="706">
        <f>+InputY!X143/1000</f>
        <v>4.2221200000000003</v>
      </c>
      <c r="Y83" s="706">
        <f>+InputY!Y143/1000</f>
        <v>4.3734099999999998</v>
      </c>
      <c r="Z83" s="706">
        <f>+InputY!Z143/1000</f>
        <v>4.5462799999999994</v>
      </c>
      <c r="AA83" s="706">
        <f>+InputY!AA143/1000</f>
        <v>4.7113900000000006</v>
      </c>
      <c r="AB83" s="706">
        <f>+InputY!AB143/1000</f>
        <v>4.9480300000000002</v>
      </c>
      <c r="AC83" s="2217">
        <f>+AC109+Labour1!AC211+Sector1!AC11-Sector1!AC48</f>
        <v>5.1889375807261278</v>
      </c>
      <c r="AD83" s="2217">
        <f>+AD109+Labour1!AD211+Sector1!AD11-Sector1!AD48</f>
        <v>5.4146027622725015</v>
      </c>
      <c r="AE83" s="2217">
        <f>+AE109+Labour1!AE211+Sector1!AE11-Sector1!AE48</f>
        <v>5.6582223713598712</v>
      </c>
    </row>
    <row r="84" spans="1:113" ht="12.75" customHeight="1">
      <c r="A84" s="664"/>
      <c r="B84" s="664"/>
      <c r="C84" s="782"/>
      <c r="D84" s="1973" t="s">
        <v>727</v>
      </c>
      <c r="E84" s="1973"/>
      <c r="F84" s="1973"/>
      <c r="G84" s="2898"/>
      <c r="H84" s="2898"/>
      <c r="I84" s="2898"/>
      <c r="J84" s="2898"/>
      <c r="K84" s="2898"/>
      <c r="L84" s="2898"/>
      <c r="M84" s="2898"/>
      <c r="N84" s="2898"/>
      <c r="O84" s="2898"/>
      <c r="P84" s="2898"/>
      <c r="Q84" s="2898"/>
      <c r="R84" s="2898"/>
      <c r="S84" s="2898"/>
      <c r="T84" s="2905"/>
      <c r="U84" s="2905"/>
      <c r="V84" s="2905"/>
      <c r="W84" s="2905"/>
      <c r="X84" s="2905"/>
      <c r="Y84" s="2905"/>
      <c r="Z84" s="2905"/>
      <c r="AA84" s="2905"/>
      <c r="AB84" s="2905"/>
      <c r="AC84" s="2905"/>
      <c r="AD84" s="2905"/>
      <c r="AE84" s="2905"/>
    </row>
    <row r="85" spans="1:113" ht="12.75" customHeight="1">
      <c r="A85" s="664"/>
      <c r="B85" s="664"/>
      <c r="C85" s="782"/>
      <c r="D85" s="1973"/>
      <c r="E85" s="1973" t="s">
        <v>2018</v>
      </c>
      <c r="F85" s="1973"/>
      <c r="G85" s="2898">
        <f t="shared" ref="G85:U85" si="60">(G11-G48)/G83</f>
        <v>2.5929362956493259E-3</v>
      </c>
      <c r="H85" s="2898">
        <f t="shared" si="60"/>
        <v>3.1470444067146419E-3</v>
      </c>
      <c r="I85" s="2898">
        <f t="shared" si="60"/>
        <v>3.3919656065088759E-3</v>
      </c>
      <c r="J85" s="2898">
        <f t="shared" si="60"/>
        <v>2.9482456266097089E-3</v>
      </c>
      <c r="K85" s="2898">
        <f t="shared" si="60"/>
        <v>2.9957277102483706E-3</v>
      </c>
      <c r="L85" s="2898">
        <f t="shared" si="60"/>
        <v>2.9997867679841818E-3</v>
      </c>
      <c r="M85" s="2898">
        <f t="shared" si="60"/>
        <v>3.3028708838862678E-3</v>
      </c>
      <c r="N85" s="2898">
        <f t="shared" si="60"/>
        <v>3.5192078549458258E-3</v>
      </c>
      <c r="O85" s="2898">
        <f t="shared" si="60"/>
        <v>3.3848638772799289E-3</v>
      </c>
      <c r="P85" s="2898">
        <f t="shared" si="60"/>
        <v>3.8600050927815885E-3</v>
      </c>
      <c r="Q85" s="2898">
        <f t="shared" si="60"/>
        <v>1.5354901728628937E-3</v>
      </c>
      <c r="R85" s="2898">
        <f t="shared" si="60"/>
        <v>1.1534394924866233E-3</v>
      </c>
      <c r="S85" s="2898">
        <f>(S11-S48)/S83</f>
        <v>1.0261730511169499E-3</v>
      </c>
      <c r="T85" s="2905">
        <f t="shared" si="60"/>
        <v>7.6087740566399933E-4</v>
      </c>
      <c r="U85" s="2905">
        <f t="shared" si="60"/>
        <v>5.8149154946223846E-4</v>
      </c>
      <c r="V85" s="2905">
        <f t="shared" ref="V85:AA85" si="61">(V11-V48)/V83</f>
        <v>5.7265938374627585E-4</v>
      </c>
      <c r="W85" s="2905">
        <f t="shared" si="61"/>
        <v>6.896737256321399E-4</v>
      </c>
      <c r="X85" s="2905">
        <f t="shared" si="61"/>
        <v>8.8107396284331095E-4</v>
      </c>
      <c r="Y85" s="2905">
        <f t="shared" si="61"/>
        <v>9.9693374277737517E-4</v>
      </c>
      <c r="Z85" s="2905">
        <f t="shared" si="61"/>
        <v>1.1107982790325278E-3</v>
      </c>
      <c r="AA85" s="2905">
        <f t="shared" si="61"/>
        <v>5.5609915545093902E-4</v>
      </c>
      <c r="AB85" s="2905">
        <f>(AB11-AB48)/AB83</f>
        <v>5.4567171177215983E-4</v>
      </c>
      <c r="AC85" s="2905">
        <f>(AC11-AC48)/AC83</f>
        <v>5.4635461612226159E-4</v>
      </c>
      <c r="AD85" s="2905">
        <f>(AD11-AD48)/AD83</f>
        <v>5.4976332164959453E-4</v>
      </c>
      <c r="AE85" s="2905">
        <f>(AE11-AE48)/AE83</f>
        <v>5.5239743065255511E-4</v>
      </c>
    </row>
    <row r="86" spans="1:113" ht="12.75" customHeight="1">
      <c r="A86" s="664"/>
      <c r="B86" s="664"/>
      <c r="C86" s="782"/>
      <c r="D86" s="1973"/>
      <c r="E86" s="1973" t="s">
        <v>729</v>
      </c>
      <c r="F86" s="1973"/>
      <c r="G86" s="2898">
        <f>+Labour1!G211/Sector1!G83</f>
        <v>0.68072311079571302</v>
      </c>
      <c r="H86" s="2898">
        <f>+Labour1!H211/Sector1!H83</f>
        <v>0.72129831565636837</v>
      </c>
      <c r="I86" s="2898">
        <f>+Labour1!I211/Sector1!I83</f>
        <v>0.75027736686390534</v>
      </c>
      <c r="J86" s="2898">
        <f>+Labour1!J211/Sector1!J83</f>
        <v>0.78699522642239716</v>
      </c>
      <c r="K86" s="2898">
        <f>+Labour1!K211/Sector1!K83</f>
        <v>0.79017792665824949</v>
      </c>
      <c r="L86" s="2898">
        <f>+Labour1!L211/Sector1!L83</f>
        <v>0.77906255451954942</v>
      </c>
      <c r="M86" s="2898">
        <f>+Labour1!M211/Sector1!M83</f>
        <v>0.78385442655983428</v>
      </c>
      <c r="N86" s="2898">
        <f>+Labour1!N211/Sector1!N83</f>
        <v>0.7915954665952355</v>
      </c>
      <c r="O86" s="2898">
        <f>+Labour1!O211/Sector1!O83</f>
        <v>0.78841732238290896</v>
      </c>
      <c r="P86" s="2898">
        <f>+Labour1!P211/Sector1!P83</f>
        <v>0.79571478806348994</v>
      </c>
      <c r="Q86" s="2898">
        <f>+Labour1!Q211/Sector1!Q83</f>
        <v>0.79663450153919024</v>
      </c>
      <c r="R86" s="2898">
        <f>+Labour1!R211/Sector1!R83</f>
        <v>0.80247669091025609</v>
      </c>
      <c r="S86" s="2898">
        <f>+Labour1!S211/Sector1!S83</f>
        <v>0.79908433789284961</v>
      </c>
      <c r="T86" s="2905">
        <f>+Labour1!T211/Sector1!T83</f>
        <v>0.80876381853422896</v>
      </c>
      <c r="U86" s="2905">
        <f>+Labour1!U211/Sector1!U83</f>
        <v>0.80611275262971283</v>
      </c>
      <c r="V86" s="2905">
        <f>+Labour1!V211/Sector1!V83</f>
        <v>0.78904208530561182</v>
      </c>
      <c r="W86" s="2905">
        <f>+Labour1!W211/Sector1!W83</f>
        <v>0.78195549403383313</v>
      </c>
      <c r="X86" s="2905">
        <f>+Labour1!X211/Sector1!X83</f>
        <v>0.76776832491734004</v>
      </c>
      <c r="Y86" s="2905">
        <f>+Labour1!Y211/Sector1!Y83</f>
        <v>0.76335170953557985</v>
      </c>
      <c r="Z86" s="2905">
        <f>+Labour1!Z211/Sector1!Z83</f>
        <v>0.7615347052975181</v>
      </c>
      <c r="AA86" s="2905">
        <f>+Labour1!AA211/Sector1!AA83</f>
        <v>0.76523276570184151</v>
      </c>
      <c r="AB86" s="2905">
        <f>+Labour1!AB211/Sector1!AB83</f>
        <v>0.76845734565069335</v>
      </c>
      <c r="AC86" s="2905">
        <f>+Labour1!AC211/Sector1!AC83</f>
        <v>0.77125138594673559</v>
      </c>
      <c r="AD86" s="2905">
        <f>+Labour1!AD211/Sector1!AD83</f>
        <v>0.7763849669570525</v>
      </c>
      <c r="AE86" s="2905">
        <f>+Labour1!AE211/Sector1!AE83</f>
        <v>0.78385198900161523</v>
      </c>
    </row>
    <row r="87" spans="1:113" ht="12.75" customHeight="1">
      <c r="A87" s="664"/>
      <c r="B87" s="664"/>
      <c r="C87" s="842"/>
      <c r="D87" s="1973"/>
      <c r="E87" s="1973" t="s">
        <v>728</v>
      </c>
      <c r="F87" s="1973"/>
      <c r="G87" s="2898">
        <f t="shared" ref="G87:U87" si="62">+G109/G83</f>
        <v>0.3166839529086376</v>
      </c>
      <c r="H87" s="2898">
        <f t="shared" si="62"/>
        <v>0.27555463993691703</v>
      </c>
      <c r="I87" s="2898">
        <f t="shared" si="62"/>
        <v>0.24633066752958577</v>
      </c>
      <c r="J87" s="2898">
        <f t="shared" si="62"/>
        <v>0.21005652795099308</v>
      </c>
      <c r="K87" s="2898">
        <f t="shared" si="62"/>
        <v>0.20682634563150215</v>
      </c>
      <c r="L87" s="2898">
        <f t="shared" si="62"/>
        <v>0.2179376587124664</v>
      </c>
      <c r="M87" s="2898">
        <f t="shared" si="62"/>
        <v>0.21284270255627941</v>
      </c>
      <c r="N87" s="2898">
        <f t="shared" si="62"/>
        <v>0.20488532554981861</v>
      </c>
      <c r="O87" s="2898">
        <f t="shared" si="62"/>
        <v>0.20819781373981117</v>
      </c>
      <c r="P87" s="2898">
        <f t="shared" si="62"/>
        <v>0.20042520684372844</v>
      </c>
      <c r="Q87" s="2898">
        <f t="shared" si="62"/>
        <v>0.20183000828794687</v>
      </c>
      <c r="R87" s="2898">
        <f t="shared" si="62"/>
        <v>0.1963698695972573</v>
      </c>
      <c r="S87" s="2898">
        <f>+S109/S83</f>
        <v>0.19988948905603351</v>
      </c>
      <c r="T87" s="2905">
        <f t="shared" si="62"/>
        <v>0.19047530406010701</v>
      </c>
      <c r="U87" s="2905">
        <f t="shared" si="62"/>
        <v>0.19330575582082496</v>
      </c>
      <c r="V87" s="2905">
        <f t="shared" ref="V87:AA87" si="63">+V109/V83</f>
        <v>0.21038525531064195</v>
      </c>
      <c r="W87" s="2905">
        <f t="shared" si="63"/>
        <v>0.21735483224053473</v>
      </c>
      <c r="X87" s="2905">
        <f t="shared" si="63"/>
        <v>0.23135060111981662</v>
      </c>
      <c r="Y87" s="2905">
        <f t="shared" si="63"/>
        <v>0.23565135672164284</v>
      </c>
      <c r="Z87" s="2905">
        <f t="shared" si="63"/>
        <v>0.23735449642344936</v>
      </c>
      <c r="AA87" s="2905">
        <f t="shared" si="63"/>
        <v>0.2342111351427075</v>
      </c>
      <c r="AB87" s="2905">
        <f>+AB109/AB83</f>
        <v>0.23099698263753454</v>
      </c>
      <c r="AC87" s="2905">
        <f>+AC109/AC83</f>
        <v>0.22820225943714209</v>
      </c>
      <c r="AD87" s="2905">
        <f>+AD109/AD83</f>
        <v>0.22306526972129792</v>
      </c>
      <c r="AE87" s="2905">
        <f>+AE109/AE83</f>
        <v>0.21559561356773224</v>
      </c>
    </row>
    <row r="88" spans="1:113" ht="12.75" customHeight="1">
      <c r="A88" s="1953">
        <f>+ROW(InputY!A100)</f>
        <v>100</v>
      </c>
      <c r="B88" s="664">
        <v>57</v>
      </c>
      <c r="C88" s="784" t="s">
        <v>1769</v>
      </c>
      <c r="D88" s="752"/>
      <c r="E88" s="753" t="s">
        <v>1373</v>
      </c>
      <c r="F88" s="754" t="s">
        <v>1908</v>
      </c>
      <c r="G88" s="785">
        <f>+InputY!G100/1000</f>
        <v>6.9358399999999998</v>
      </c>
      <c r="H88" s="785">
        <f>+InputY!H100/1000</f>
        <v>8.7338100000000001</v>
      </c>
      <c r="I88" s="785">
        <f>+InputY!I100/1000</f>
        <v>10.27515</v>
      </c>
      <c r="J88" s="785">
        <f>+InputY!J100/1000</f>
        <v>11.413129999999999</v>
      </c>
      <c r="K88" s="785">
        <f>+InputY!K100/1000</f>
        <v>11.17371</v>
      </c>
      <c r="L88" s="785">
        <f>+InputY!L100/1000</f>
        <v>11.880889999999999</v>
      </c>
      <c r="M88" s="785">
        <f>+InputY!M100/1000</f>
        <v>12.634510000000001</v>
      </c>
      <c r="N88" s="785">
        <f>+InputY!N100/1000</f>
        <v>13.52392</v>
      </c>
      <c r="O88" s="785">
        <f>+InputY!O100/1000</f>
        <v>14.937059999999999</v>
      </c>
      <c r="P88" s="785">
        <f>+InputY!P100/1000</f>
        <v>16.499599999999997</v>
      </c>
      <c r="Q88" s="785">
        <f>+InputY!Q100/1000</f>
        <v>19.009709999999998</v>
      </c>
      <c r="R88" s="785">
        <f>+InputY!R100/1000</f>
        <v>21.73368</v>
      </c>
      <c r="S88" s="785">
        <f>+InputY!S100/1000</f>
        <v>26.076499999999999</v>
      </c>
      <c r="T88" s="785">
        <f>+InputY!T100/1000</f>
        <v>29.349209999999999</v>
      </c>
      <c r="U88" s="785">
        <f>+InputY!U100/1000</f>
        <v>24.300360000000001</v>
      </c>
      <c r="V88" s="785">
        <f>+InputY!V100/1000</f>
        <v>25.20975</v>
      </c>
      <c r="W88" s="785">
        <f>+InputY!W100/1000</f>
        <v>28.160060000000001</v>
      </c>
      <c r="X88" s="785">
        <f>+InputY!X100/1000</f>
        <v>30.16516</v>
      </c>
      <c r="Y88" s="785">
        <f>+InputY!Y100/1000</f>
        <v>31.690080000000002</v>
      </c>
      <c r="Z88" s="785">
        <f>+InputY!Z100/1000</f>
        <v>33.067680000000003</v>
      </c>
      <c r="AA88" s="785">
        <f>+InputY!AA100/1000</f>
        <v>33.709150000000001</v>
      </c>
      <c r="AB88" s="785">
        <f>+InputY!AB100/1000</f>
        <v>34.789370000000005</v>
      </c>
      <c r="AC88" s="785">
        <f>+InputY!AC100/1000</f>
        <v>37.589730000000003</v>
      </c>
      <c r="AD88" s="2232">
        <f ca="1">+'VVP2'!AD341-AD8+AD45</f>
        <v>39.653234851938059</v>
      </c>
      <c r="AE88" s="2232">
        <f ca="1">+'VVP2'!AE341-AE8+AE45</f>
        <v>41.851347096832214</v>
      </c>
    </row>
    <row r="89" spans="1:113" s="1972" customFormat="1" ht="12.75" customHeight="1">
      <c r="A89" s="998"/>
      <c r="B89" s="998"/>
      <c r="C89" s="1595"/>
      <c r="D89" s="1011"/>
      <c r="E89" s="1973" t="s">
        <v>737</v>
      </c>
      <c r="F89" s="1974"/>
      <c r="G89" s="1002">
        <f t="shared" ref="G89:Y89" si="64">ABS(+G73+G78+G83-G88)</f>
        <v>1.0000000000509601E-5</v>
      </c>
      <c r="H89" s="1002">
        <f t="shared" si="64"/>
        <v>0</v>
      </c>
      <c r="I89" s="1002">
        <f t="shared" si="64"/>
        <v>9.9999999996214228E-6</v>
      </c>
      <c r="J89" s="1002">
        <f t="shared" si="64"/>
        <v>0</v>
      </c>
      <c r="K89" s="1002">
        <f t="shared" si="64"/>
        <v>1.000000000139778E-5</v>
      </c>
      <c r="L89" s="1002">
        <f t="shared" si="64"/>
        <v>0</v>
      </c>
      <c r="M89" s="1002">
        <f t="shared" si="64"/>
        <v>1.000000000139778E-5</v>
      </c>
      <c r="N89" s="1002">
        <f t="shared" si="64"/>
        <v>9.9999999996214228E-6</v>
      </c>
      <c r="O89" s="1002">
        <f t="shared" si="64"/>
        <v>1.7763568394002505E-15</v>
      </c>
      <c r="P89" s="1002">
        <f t="shared" si="64"/>
        <v>1.0000000003174137E-5</v>
      </c>
      <c r="Q89" s="1002">
        <f t="shared" si="64"/>
        <v>0</v>
      </c>
      <c r="R89" s="1002">
        <f t="shared" si="64"/>
        <v>1.0000000003174137E-5</v>
      </c>
      <c r="S89" s="1002">
        <f t="shared" si="64"/>
        <v>9.9999999996214228E-6</v>
      </c>
      <c r="T89" s="2906">
        <f>ABS(+T73+T78+T83-T88)</f>
        <v>0</v>
      </c>
      <c r="U89" s="2906">
        <f t="shared" si="64"/>
        <v>1.0000000003174137E-5</v>
      </c>
      <c r="V89" s="2906">
        <f t="shared" si="64"/>
        <v>9.9999999996214228E-6</v>
      </c>
      <c r="W89" s="2921">
        <f t="shared" si="64"/>
        <v>3.5527136788005009E-15</v>
      </c>
      <c r="X89" s="2906">
        <f t="shared" si="64"/>
        <v>0</v>
      </c>
      <c r="Y89" s="2906">
        <f t="shared" si="64"/>
        <v>1.0000000003174137E-5</v>
      </c>
      <c r="Z89" s="2906">
        <f t="shared" ref="Z89:AE89" si="65">ABS(+Z73+Z78+Z83-Z88)</f>
        <v>7.1054273576010019E-15</v>
      </c>
      <c r="AA89" s="2906">
        <f t="shared" si="65"/>
        <v>0</v>
      </c>
      <c r="AB89" s="2906">
        <f t="shared" si="65"/>
        <v>1.0000000003174137E-5</v>
      </c>
      <c r="AC89" s="2906">
        <f t="shared" si="65"/>
        <v>0</v>
      </c>
      <c r="AD89" s="2906">
        <f t="shared" ca="1" si="65"/>
        <v>0</v>
      </c>
      <c r="AE89" s="2906">
        <f t="shared" ca="1" si="65"/>
        <v>0</v>
      </c>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row>
    <row r="90" spans="1:113">
      <c r="G90" s="703"/>
      <c r="Q90" s="699"/>
      <c r="R90" s="699"/>
      <c r="S90" s="699"/>
      <c r="AB90" s="2221"/>
      <c r="AC90" s="2221"/>
      <c r="AD90" s="2221"/>
      <c r="AE90" s="2221"/>
    </row>
    <row r="91" spans="1:113" ht="12.75" customHeight="1">
      <c r="A91" s="664"/>
      <c r="B91" s="664"/>
      <c r="C91" s="774"/>
      <c r="D91" s="742"/>
      <c r="E91" s="743" t="s">
        <v>1311</v>
      </c>
      <c r="F91" s="744"/>
      <c r="G91" s="745">
        <f>+InputY!$G$3</f>
        <v>1995</v>
      </c>
      <c r="H91" s="745">
        <f t="shared" ref="H91:N91" si="66">+G91+1</f>
        <v>1996</v>
      </c>
      <c r="I91" s="745">
        <f t="shared" si="66"/>
        <v>1997</v>
      </c>
      <c r="J91" s="745">
        <f t="shared" si="66"/>
        <v>1998</v>
      </c>
      <c r="K91" s="745">
        <f>+J91+1</f>
        <v>1999</v>
      </c>
      <c r="L91" s="745">
        <f t="shared" si="66"/>
        <v>2000</v>
      </c>
      <c r="M91" s="745">
        <f t="shared" si="66"/>
        <v>2001</v>
      </c>
      <c r="N91" s="745">
        <f t="shared" si="66"/>
        <v>2002</v>
      </c>
      <c r="O91" s="745">
        <f t="shared" ref="O91:V91" si="67">+N91+1</f>
        <v>2003</v>
      </c>
      <c r="P91" s="745">
        <f t="shared" si="67"/>
        <v>2004</v>
      </c>
      <c r="Q91" s="745">
        <f t="shared" si="67"/>
        <v>2005</v>
      </c>
      <c r="R91" s="745">
        <f t="shared" si="67"/>
        <v>2006</v>
      </c>
      <c r="S91" s="745">
        <f>+R91+1</f>
        <v>2007</v>
      </c>
      <c r="T91" s="745">
        <f t="shared" si="67"/>
        <v>2008</v>
      </c>
      <c r="U91" s="745">
        <f t="shared" si="67"/>
        <v>2009</v>
      </c>
      <c r="V91" s="745">
        <f t="shared" si="67"/>
        <v>2010</v>
      </c>
      <c r="W91" s="745">
        <f t="shared" ref="W91:AE91" si="68">+V91+1</f>
        <v>2011</v>
      </c>
      <c r="X91" s="745">
        <f t="shared" si="68"/>
        <v>2012</v>
      </c>
      <c r="Y91" s="745">
        <f t="shared" si="68"/>
        <v>2013</v>
      </c>
      <c r="Z91" s="745">
        <f t="shared" si="68"/>
        <v>2014</v>
      </c>
      <c r="AA91" s="745">
        <f t="shared" si="68"/>
        <v>2015</v>
      </c>
      <c r="AB91" s="745">
        <f t="shared" si="68"/>
        <v>2016</v>
      </c>
      <c r="AC91" s="745">
        <f t="shared" si="68"/>
        <v>2017</v>
      </c>
      <c r="AD91" s="745">
        <f t="shared" si="68"/>
        <v>2018</v>
      </c>
      <c r="AE91" s="745">
        <f t="shared" si="68"/>
        <v>2019</v>
      </c>
    </row>
    <row r="92" spans="1:113" ht="12.75" customHeight="1">
      <c r="A92" s="664"/>
      <c r="B92" s="664"/>
      <c r="C92" s="794" t="s">
        <v>1767</v>
      </c>
      <c r="D92" s="689" t="s">
        <v>685</v>
      </c>
      <c r="E92" s="738" t="s">
        <v>1373</v>
      </c>
      <c r="F92" s="733" t="s">
        <v>1215</v>
      </c>
      <c r="G92" s="739"/>
      <c r="H92" s="739">
        <f t="shared" ref="H92:N92" si="69">(H73/G73-1)*100</f>
        <v>24.761207387519324</v>
      </c>
      <c r="I92" s="739">
        <f t="shared" si="69"/>
        <v>13.078220645520311</v>
      </c>
      <c r="J92" s="739">
        <f t="shared" si="69"/>
        <v>9.1107966997054923</v>
      </c>
      <c r="K92" s="739">
        <f>(K73/J73-1)*100</f>
        <v>-5.0039641290367864</v>
      </c>
      <c r="L92" s="739">
        <f t="shared" si="69"/>
        <v>3.001921407746444</v>
      </c>
      <c r="M92" s="739">
        <f t="shared" si="69"/>
        <v>-3.0386730383489269</v>
      </c>
      <c r="N92" s="739">
        <f t="shared" si="69"/>
        <v>0.50028040958369768</v>
      </c>
      <c r="O92" s="739">
        <f t="shared" ref="O92:AE92" si="70">(O73/N73-1)*100</f>
        <v>3.6005705923221276</v>
      </c>
      <c r="P92" s="739">
        <f t="shared" si="70"/>
        <v>4.3536575360545671</v>
      </c>
      <c r="Q92" s="739">
        <f t="shared" si="70"/>
        <v>10.424072959964992</v>
      </c>
      <c r="R92" s="739">
        <f t="shared" si="70"/>
        <v>7.2836406749649418</v>
      </c>
      <c r="S92" s="739">
        <f t="shared" si="70"/>
        <v>11.868955010272163</v>
      </c>
      <c r="T92" s="2907">
        <f t="shared" si="70"/>
        <v>7.3791210775286054</v>
      </c>
      <c r="U92" s="2907">
        <f t="shared" si="70"/>
        <v>-19.904110148422681</v>
      </c>
      <c r="V92" s="2907">
        <f t="shared" si="70"/>
        <v>-7.0634701662628085</v>
      </c>
      <c r="W92" s="2907">
        <f t="shared" si="70"/>
        <v>6.5038158085803266</v>
      </c>
      <c r="X92" s="2907">
        <f t="shared" si="70"/>
        <v>12.635964247841237</v>
      </c>
      <c r="Y92" s="2907">
        <f t="shared" si="70"/>
        <v>4.3144006133071455</v>
      </c>
      <c r="Z92" s="2907">
        <f t="shared" si="70"/>
        <v>3.6965502302768849</v>
      </c>
      <c r="AA92" s="2907">
        <f t="shared" si="70"/>
        <v>6.1748841789575293</v>
      </c>
      <c r="AB92" s="2907">
        <f t="shared" si="70"/>
        <v>0.10188308038223681</v>
      </c>
      <c r="AC92" s="2907">
        <f t="shared" si="70"/>
        <v>0.78441839516136813</v>
      </c>
      <c r="AD92" s="2907">
        <f t="shared" si="70"/>
        <v>0.82910307920138759</v>
      </c>
      <c r="AE92" s="2907">
        <f t="shared" si="70"/>
        <v>0.81205148386076509</v>
      </c>
    </row>
    <row r="93" spans="1:113" ht="12.75" customHeight="1">
      <c r="A93" s="664"/>
      <c r="B93" s="664"/>
      <c r="C93" s="795" t="s">
        <v>1767</v>
      </c>
      <c r="D93" s="674" t="s">
        <v>686</v>
      </c>
      <c r="E93" s="783" t="s">
        <v>1373</v>
      </c>
      <c r="F93" s="704" t="s">
        <v>1551</v>
      </c>
      <c r="G93" s="706"/>
      <c r="H93" s="706">
        <f t="shared" ref="H93:N93" si="71">(H78/G78-1)*100</f>
        <v>25.867880773141394</v>
      </c>
      <c r="I93" s="706">
        <f t="shared" si="71"/>
        <v>18.257931786437688</v>
      </c>
      <c r="J93" s="706">
        <f t="shared" si="71"/>
        <v>9.0650142505745546</v>
      </c>
      <c r="K93" s="706">
        <f>(K78/J78-1)*100</f>
        <v>-2.3296891125368369</v>
      </c>
      <c r="L93" s="706">
        <f t="shared" si="71"/>
        <v>11.200542061063977</v>
      </c>
      <c r="M93" s="706">
        <f t="shared" si="71"/>
        <v>11.32356324940984</v>
      </c>
      <c r="N93" s="706">
        <f t="shared" si="71"/>
        <v>10.397204310404229</v>
      </c>
      <c r="O93" s="706">
        <f t="shared" ref="O93:AE93" si="72">(O78/N78-1)*100</f>
        <v>14.041991565628731</v>
      </c>
      <c r="P93" s="706">
        <f t="shared" si="72"/>
        <v>12.489029865115464</v>
      </c>
      <c r="Q93" s="706">
        <f t="shared" si="72"/>
        <v>17.806358152373679</v>
      </c>
      <c r="R93" s="706">
        <f t="shared" si="72"/>
        <v>15.83202055580195</v>
      </c>
      <c r="S93" s="706">
        <f t="shared" si="72"/>
        <v>23.142836582295125</v>
      </c>
      <c r="T93" s="792">
        <f t="shared" si="72"/>
        <v>11.988434676455629</v>
      </c>
      <c r="U93" s="792">
        <f t="shared" si="72"/>
        <v>-19.88210698458429</v>
      </c>
      <c r="V93" s="792">
        <f t="shared" si="72"/>
        <v>8.9558223092766944</v>
      </c>
      <c r="W93" s="792">
        <f t="shared" si="72"/>
        <v>13.910758707831894</v>
      </c>
      <c r="X93" s="792">
        <f t="shared" si="72"/>
        <v>7.0042035235262201</v>
      </c>
      <c r="Y93" s="792">
        <f t="shared" si="72"/>
        <v>5.4587322934162463</v>
      </c>
      <c r="Z93" s="792">
        <f t="shared" si="72"/>
        <v>4.5283616170166185</v>
      </c>
      <c r="AA93" s="792">
        <f t="shared" si="72"/>
        <v>0.93081214737402718</v>
      </c>
      <c r="AB93" s="792">
        <f t="shared" si="72"/>
        <v>3.393782634858411</v>
      </c>
      <c r="AC93" s="792">
        <f t="shared" si="72"/>
        <v>9.879529186306435</v>
      </c>
      <c r="AD93" s="792">
        <f t="shared" ca="1" si="72"/>
        <v>6.4147863776365943</v>
      </c>
      <c r="AE93" s="792">
        <f t="shared" ca="1" si="72"/>
        <v>6.4197867978606604</v>
      </c>
    </row>
    <row r="94" spans="1:113" ht="12.75" customHeight="1">
      <c r="A94" s="664"/>
      <c r="B94" s="664"/>
      <c r="C94" s="796" t="s">
        <v>1767</v>
      </c>
      <c r="D94" s="691" t="s">
        <v>687</v>
      </c>
      <c r="E94" s="797" t="s">
        <v>1373</v>
      </c>
      <c r="F94" s="736" t="s">
        <v>1027</v>
      </c>
      <c r="G94" s="741"/>
      <c r="H94" s="741">
        <f t="shared" ref="H94:N94" si="73">(H83/G83-1)*100</f>
        <v>28.070127554269696</v>
      </c>
      <c r="I94" s="741">
        <f t="shared" si="73"/>
        <v>22.937904480453518</v>
      </c>
      <c r="J94" s="741">
        <f t="shared" si="73"/>
        <v>20.930219119822489</v>
      </c>
      <c r="K94" s="741">
        <f>(K83/J83-1)*100</f>
        <v>2.562154465134725</v>
      </c>
      <c r="L94" s="741">
        <f t="shared" si="73"/>
        <v>-3.8627649215659643</v>
      </c>
      <c r="M94" s="741">
        <f t="shared" si="73"/>
        <v>1.9748192374047457</v>
      </c>
      <c r="N94" s="741">
        <f t="shared" si="73"/>
        <v>2.9003483459508095</v>
      </c>
      <c r="O94" s="741">
        <f t="shared" ref="O94:AE94" si="74">(O83/N83-1)*100</f>
        <v>4.6511735311232538</v>
      </c>
      <c r="P94" s="741">
        <f t="shared" si="74"/>
        <v>9.1845876158996198</v>
      </c>
      <c r="Q94" s="741">
        <f t="shared" si="74"/>
        <v>9.2409734488235742</v>
      </c>
      <c r="R94" s="741">
        <f t="shared" si="74"/>
        <v>15.479960928250058</v>
      </c>
      <c r="S94" s="741">
        <f t="shared" si="74"/>
        <v>13.650956393579182</v>
      </c>
      <c r="T94" s="2908">
        <f t="shared" si="74"/>
        <v>21.158053203125892</v>
      </c>
      <c r="U94" s="2908">
        <f t="shared" si="74"/>
        <v>-1.5629399186070536</v>
      </c>
      <c r="V94" s="2908">
        <f t="shared" si="74"/>
        <v>-8.3642595437891547</v>
      </c>
      <c r="W94" s="2908">
        <f t="shared" si="74"/>
        <v>5.4748300723562959</v>
      </c>
      <c r="X94" s="2908">
        <f t="shared" si="74"/>
        <v>3.2583415058854648</v>
      </c>
      <c r="Y94" s="2908">
        <f t="shared" si="74"/>
        <v>3.5832709634022519</v>
      </c>
      <c r="Z94" s="2908">
        <f t="shared" si="74"/>
        <v>3.9527508283010215</v>
      </c>
      <c r="AA94" s="2908">
        <f t="shared" si="74"/>
        <v>3.6317604722982511</v>
      </c>
      <c r="AB94" s="2908">
        <f t="shared" si="74"/>
        <v>5.0227215322866448</v>
      </c>
      <c r="AC94" s="2908">
        <f t="shared" si="74"/>
        <v>4.8687574797672495</v>
      </c>
      <c r="AD94" s="2908">
        <f t="shared" si="74"/>
        <v>4.3489669712849954</v>
      </c>
      <c r="AE94" s="2908">
        <f t="shared" si="74"/>
        <v>4.4993071474207724</v>
      </c>
    </row>
    <row r="95" spans="1:113" ht="12.75" customHeight="1">
      <c r="A95" s="664"/>
      <c r="B95" s="664"/>
      <c r="C95" s="774" t="s">
        <v>1769</v>
      </c>
      <c r="D95" s="717"/>
      <c r="E95" s="722" t="s">
        <v>1373</v>
      </c>
      <c r="F95" s="723" t="s">
        <v>1908</v>
      </c>
      <c r="G95" s="721"/>
      <c r="H95" s="721">
        <f t="shared" ref="H95:N95" si="75">(H88/G88-1)*100</f>
        <v>25.922887494521206</v>
      </c>
      <c r="I95" s="721">
        <f t="shared" si="75"/>
        <v>17.647968068918374</v>
      </c>
      <c r="J95" s="721">
        <f t="shared" si="75"/>
        <v>11.075069463706111</v>
      </c>
      <c r="K95" s="721">
        <f>(K88/J88-1)*100</f>
        <v>-2.0977593350816059</v>
      </c>
      <c r="L95" s="721">
        <f t="shared" si="75"/>
        <v>6.3289632539237139</v>
      </c>
      <c r="M95" s="721">
        <f t="shared" si="75"/>
        <v>6.3431274929740322</v>
      </c>
      <c r="N95" s="721">
        <f t="shared" si="75"/>
        <v>7.0395290359499541</v>
      </c>
      <c r="O95" s="721">
        <f t="shared" ref="O95:AE95" si="76">(O88/N88-1)*100</f>
        <v>10.449189288312844</v>
      </c>
      <c r="P95" s="721">
        <f t="shared" si="76"/>
        <v>10.46082696327122</v>
      </c>
      <c r="Q95" s="721">
        <f t="shared" si="76"/>
        <v>15.213156682586249</v>
      </c>
      <c r="R95" s="721">
        <f t="shared" si="76"/>
        <v>14.329361152800345</v>
      </c>
      <c r="S95" s="721">
        <f t="shared" si="76"/>
        <v>19.981981882497578</v>
      </c>
      <c r="T95" s="801">
        <f t="shared" si="76"/>
        <v>12.550418959599629</v>
      </c>
      <c r="U95" s="801">
        <f t="shared" si="76"/>
        <v>-17.202677687065503</v>
      </c>
      <c r="V95" s="801">
        <f t="shared" si="76"/>
        <v>3.7422902376754941</v>
      </c>
      <c r="W95" s="801">
        <f t="shared" si="76"/>
        <v>11.703051398764375</v>
      </c>
      <c r="X95" s="801">
        <f t="shared" si="76"/>
        <v>7.1203683514878824</v>
      </c>
      <c r="Y95" s="801">
        <f t="shared" si="76"/>
        <v>5.0552359079149678</v>
      </c>
      <c r="Z95" s="801">
        <f t="shared" si="76"/>
        <v>4.3471016797685724</v>
      </c>
      <c r="AA95" s="801">
        <f t="shared" si="76"/>
        <v>1.9398699878552028</v>
      </c>
      <c r="AB95" s="801">
        <f t="shared" si="76"/>
        <v>3.2045305206449992</v>
      </c>
      <c r="AC95" s="801">
        <f t="shared" si="76"/>
        <v>8.0494702835952392</v>
      </c>
      <c r="AD95" s="801">
        <f t="shared" ca="1" si="76"/>
        <v>5.4895442237495651</v>
      </c>
      <c r="AE95" s="801">
        <f t="shared" ca="1" si="76"/>
        <v>5.543336509875485</v>
      </c>
    </row>
    <row r="96" spans="1:113" ht="12.75" customHeight="1">
      <c r="A96" s="664"/>
      <c r="B96" s="664"/>
      <c r="C96" s="774"/>
      <c r="E96" s="786"/>
      <c r="F96" s="787"/>
      <c r="G96" s="703"/>
      <c r="H96" s="788"/>
      <c r="I96" s="703"/>
      <c r="J96" s="703"/>
      <c r="K96" s="703"/>
      <c r="L96" s="703"/>
      <c r="M96" s="703"/>
      <c r="N96" s="703"/>
      <c r="O96" s="703"/>
      <c r="P96" s="703"/>
      <c r="Q96" s="703"/>
      <c r="R96" s="703"/>
      <c r="S96" s="703"/>
      <c r="T96" s="845"/>
      <c r="U96" s="845"/>
      <c r="V96" s="845"/>
      <c r="W96" s="845"/>
      <c r="X96" s="845"/>
      <c r="Y96" s="845"/>
      <c r="Z96" s="845"/>
      <c r="AA96" s="845"/>
      <c r="AB96" s="845"/>
      <c r="AC96" s="845"/>
      <c r="AD96" s="845"/>
      <c r="AE96" s="845"/>
    </row>
    <row r="97" spans="1:31" ht="12.75" customHeight="1">
      <c r="A97" s="664"/>
      <c r="B97" s="664"/>
      <c r="C97" s="774"/>
      <c r="D97" s="818"/>
      <c r="E97" s="819" t="s">
        <v>1167</v>
      </c>
      <c r="F97" s="820"/>
      <c r="G97" s="821">
        <f>+InputY!$G$3</f>
        <v>1995</v>
      </c>
      <c r="H97" s="821">
        <f t="shared" ref="H97:N97" si="77">+G97+1</f>
        <v>1996</v>
      </c>
      <c r="I97" s="821">
        <f t="shared" si="77"/>
        <v>1997</v>
      </c>
      <c r="J97" s="821">
        <f t="shared" si="77"/>
        <v>1998</v>
      </c>
      <c r="K97" s="821">
        <f>+J97+1</f>
        <v>1999</v>
      </c>
      <c r="L97" s="821">
        <f t="shared" si="77"/>
        <v>2000</v>
      </c>
      <c r="M97" s="821">
        <f t="shared" si="77"/>
        <v>2001</v>
      </c>
      <c r="N97" s="821">
        <f t="shared" si="77"/>
        <v>2002</v>
      </c>
      <c r="O97" s="821">
        <f t="shared" ref="O97:V97" si="78">+N97+1</f>
        <v>2003</v>
      </c>
      <c r="P97" s="821">
        <f t="shared" si="78"/>
        <v>2004</v>
      </c>
      <c r="Q97" s="821">
        <f t="shared" si="78"/>
        <v>2005</v>
      </c>
      <c r="R97" s="821">
        <f t="shared" si="78"/>
        <v>2006</v>
      </c>
      <c r="S97" s="821">
        <f>+R97+1</f>
        <v>2007</v>
      </c>
      <c r="T97" s="821">
        <f t="shared" si="78"/>
        <v>2008</v>
      </c>
      <c r="U97" s="821">
        <f t="shared" si="78"/>
        <v>2009</v>
      </c>
      <c r="V97" s="821">
        <f t="shared" si="78"/>
        <v>2010</v>
      </c>
      <c r="W97" s="821">
        <f t="shared" ref="W97:AE97" si="79">+V97+1</f>
        <v>2011</v>
      </c>
      <c r="X97" s="821">
        <f t="shared" si="79"/>
        <v>2012</v>
      </c>
      <c r="Y97" s="821">
        <f t="shared" si="79"/>
        <v>2013</v>
      </c>
      <c r="Z97" s="821">
        <f t="shared" si="79"/>
        <v>2014</v>
      </c>
      <c r="AA97" s="821">
        <f t="shared" si="79"/>
        <v>2015</v>
      </c>
      <c r="AB97" s="821">
        <f t="shared" si="79"/>
        <v>2016</v>
      </c>
      <c r="AC97" s="821">
        <f t="shared" si="79"/>
        <v>2017</v>
      </c>
      <c r="AD97" s="821">
        <f t="shared" si="79"/>
        <v>2018</v>
      </c>
      <c r="AE97" s="821">
        <f t="shared" si="79"/>
        <v>2019</v>
      </c>
    </row>
    <row r="98" spans="1:31" ht="12.75" customHeight="1">
      <c r="A98" s="664"/>
      <c r="B98" s="664"/>
      <c r="C98" s="822" t="s">
        <v>1767</v>
      </c>
      <c r="D98" s="823" t="s">
        <v>685</v>
      </c>
      <c r="E98" s="824" t="s">
        <v>1373</v>
      </c>
      <c r="F98" s="825" t="s">
        <v>1215</v>
      </c>
      <c r="G98" s="838">
        <f t="shared" ref="G98:R98" si="80">+G73/G$88</f>
        <v>0.2658149553622921</v>
      </c>
      <c r="H98" s="838">
        <f t="shared" si="80"/>
        <v>0.26336272485891038</v>
      </c>
      <c r="I98" s="838">
        <f t="shared" si="80"/>
        <v>0.25313304428645811</v>
      </c>
      <c r="J98" s="838">
        <f t="shared" si="80"/>
        <v>0.24865659113669958</v>
      </c>
      <c r="K98" s="838">
        <f t="shared" si="80"/>
        <v>0.24127527920448985</v>
      </c>
      <c r="L98" s="838">
        <f t="shared" si="80"/>
        <v>0.23372575623543354</v>
      </c>
      <c r="M98" s="838">
        <f t="shared" si="80"/>
        <v>0.21310600885986078</v>
      </c>
      <c r="N98" s="838">
        <f t="shared" si="80"/>
        <v>0.20008695703612561</v>
      </c>
      <c r="O98" s="838">
        <f t="shared" si="80"/>
        <v>0.18768017267119499</v>
      </c>
      <c r="P98" s="838">
        <f t="shared" si="80"/>
        <v>0.17730369221072029</v>
      </c>
      <c r="Q98" s="838">
        <f t="shared" si="80"/>
        <v>0.16993368126078726</v>
      </c>
      <c r="R98" s="838">
        <f t="shared" si="80"/>
        <v>0.15946126012713907</v>
      </c>
      <c r="S98" s="838">
        <f t="shared" ref="S98:X98" si="81">+S73/S$88</f>
        <v>0.14867869537706363</v>
      </c>
      <c r="T98" s="2909">
        <f t="shared" si="81"/>
        <v>0.14184742962417046</v>
      </c>
      <c r="U98" s="2909">
        <f t="shared" si="81"/>
        <v>0.13721936629745402</v>
      </c>
      <c r="V98" s="2909">
        <f t="shared" si="81"/>
        <v>0.1229266454447188</v>
      </c>
      <c r="W98" s="2909">
        <f t="shared" si="81"/>
        <v>0.11720500595524298</v>
      </c>
      <c r="X98" s="2909">
        <f t="shared" si="81"/>
        <v>0.12323985684146876</v>
      </c>
      <c r="Y98" s="2909">
        <f t="shared" ref="Y98:AD98" si="82">+Y73/Y$88</f>
        <v>0.12237078606302035</v>
      </c>
      <c r="Z98" s="2909">
        <f t="shared" si="82"/>
        <v>0.12160786604926621</v>
      </c>
      <c r="AA98" s="2909">
        <f t="shared" si="82"/>
        <v>0.1266599721440618</v>
      </c>
      <c r="AB98" s="2909">
        <f t="shared" si="82"/>
        <v>0.12285218157155474</v>
      </c>
      <c r="AC98" s="2909">
        <f t="shared" si="82"/>
        <v>0.11459182202160004</v>
      </c>
      <c r="AD98" s="2909">
        <f t="shared" ca="1" si="82"/>
        <v>0.10952924974386359</v>
      </c>
      <c r="AE98" s="2909">
        <f t="shared" ref="AE98" ca="1" si="83">+AE73/AE$88</f>
        <v>0.10461928463985838</v>
      </c>
    </row>
    <row r="99" spans="1:31" ht="12.75" customHeight="1">
      <c r="A99" s="664"/>
      <c r="B99" s="664"/>
      <c r="C99" s="826" t="s">
        <v>1767</v>
      </c>
      <c r="D99" s="674" t="s">
        <v>686</v>
      </c>
      <c r="E99" s="783" t="s">
        <v>1373</v>
      </c>
      <c r="F99" s="704" t="s">
        <v>1551</v>
      </c>
      <c r="G99" s="839">
        <f t="shared" ref="G99:N99" si="84">+G78/G$88</f>
        <v>0.57571397264066071</v>
      </c>
      <c r="H99" s="839">
        <f t="shared" si="84"/>
        <v>0.57546248429952096</v>
      </c>
      <c r="I99" s="839">
        <f t="shared" si="84"/>
        <v>0.57844605674856331</v>
      </c>
      <c r="J99" s="839">
        <f t="shared" si="84"/>
        <v>0.56797828465986111</v>
      </c>
      <c r="K99" s="839">
        <f t="shared" si="84"/>
        <v>0.56663274776238159</v>
      </c>
      <c r="L99" s="839">
        <f t="shared" si="84"/>
        <v>0.59259365249573059</v>
      </c>
      <c r="M99" s="839">
        <f t="shared" si="84"/>
        <v>0.62034697032176156</v>
      </c>
      <c r="N99" s="839">
        <f t="shared" si="84"/>
        <v>0.63980635791989304</v>
      </c>
      <c r="O99" s="839">
        <f t="shared" ref="O99:V99" si="85">+O78/O$88</f>
        <v>0.66061862240628355</v>
      </c>
      <c r="P99" s="839">
        <f t="shared" si="85"/>
        <v>0.67274843026497622</v>
      </c>
      <c r="Q99" s="839">
        <f t="shared" si="85"/>
        <v>0.6878905569837731</v>
      </c>
      <c r="R99" s="839">
        <f t="shared" si="85"/>
        <v>0.69693167470948314</v>
      </c>
      <c r="S99" s="839">
        <f>+S78/S$88</f>
        <v>0.71529192951508069</v>
      </c>
      <c r="T99" s="2910">
        <f t="shared" si="85"/>
        <v>0.71172034954262819</v>
      </c>
      <c r="U99" s="2910">
        <f t="shared" si="85"/>
        <v>0.68868815112204096</v>
      </c>
      <c r="V99" s="2910">
        <f t="shared" si="85"/>
        <v>0.72329793036424395</v>
      </c>
      <c r="W99" s="2910">
        <f t="shared" ref="W99:AB99" si="86">+W78/W$88</f>
        <v>0.73759324376439528</v>
      </c>
      <c r="X99" s="2910">
        <f t="shared" si="86"/>
        <v>0.73679337354749652</v>
      </c>
      <c r="Y99" s="2910">
        <f t="shared" si="86"/>
        <v>0.73962325118775329</v>
      </c>
      <c r="Z99" s="2910">
        <f t="shared" si="86"/>
        <v>0.74090804072133265</v>
      </c>
      <c r="AA99" s="2910">
        <f t="shared" si="86"/>
        <v>0.733574118599846</v>
      </c>
      <c r="AB99" s="2910">
        <f t="shared" si="86"/>
        <v>0.73491931587148596</v>
      </c>
      <c r="AC99" s="2910">
        <f>+AC78/AC$88</f>
        <v>0.74736681453348763</v>
      </c>
      <c r="AD99" s="2910">
        <f ca="1">+AD78/AD$88</f>
        <v>0.7539219218316664</v>
      </c>
      <c r="AE99" s="2910">
        <f ca="1">+AE78/AE$88</f>
        <v>0.76018262106061185</v>
      </c>
    </row>
    <row r="100" spans="1:31" ht="12.75" customHeight="1">
      <c r="A100" s="664"/>
      <c r="B100" s="664"/>
      <c r="C100" s="827" t="s">
        <v>1767</v>
      </c>
      <c r="D100" s="828" t="s">
        <v>687</v>
      </c>
      <c r="E100" s="829" t="s">
        <v>1373</v>
      </c>
      <c r="F100" s="830" t="s">
        <v>1027</v>
      </c>
      <c r="G100" s="840">
        <f t="shared" ref="G100:N100" si="87">+G83/G$88</f>
        <v>0.15847251378347829</v>
      </c>
      <c r="H100" s="840">
        <f t="shared" si="87"/>
        <v>0.16117479084156858</v>
      </c>
      <c r="I100" s="840">
        <f t="shared" si="87"/>
        <v>0.1684218721867807</v>
      </c>
      <c r="J100" s="840">
        <f t="shared" si="87"/>
        <v>0.18336512420343937</v>
      </c>
      <c r="K100" s="840">
        <f t="shared" si="87"/>
        <v>0.19209286799102535</v>
      </c>
      <c r="L100" s="840">
        <f t="shared" si="87"/>
        <v>0.17368059126883595</v>
      </c>
      <c r="M100" s="840">
        <f t="shared" si="87"/>
        <v>0.16654622933536795</v>
      </c>
      <c r="N100" s="840">
        <f t="shared" si="87"/>
        <v>0.16010594561340205</v>
      </c>
      <c r="O100" s="840">
        <f t="shared" ref="O100:V100" si="88">+O83/O$88</f>
        <v>0.15170120492252157</v>
      </c>
      <c r="P100" s="840">
        <f t="shared" si="88"/>
        <v>0.14994848359960247</v>
      </c>
      <c r="Q100" s="840">
        <f t="shared" si="88"/>
        <v>0.14217576175543972</v>
      </c>
      <c r="R100" s="840">
        <f t="shared" si="88"/>
        <v>0.14360660504801764</v>
      </c>
      <c r="S100" s="840">
        <f>+S83/S$88</f>
        <v>0.136028991620808</v>
      </c>
      <c r="T100" s="2911">
        <f t="shared" si="88"/>
        <v>0.14643222083320132</v>
      </c>
      <c r="U100" s="2911">
        <f t="shared" si="88"/>
        <v>0.17409207106396776</v>
      </c>
      <c r="V100" s="2911">
        <f t="shared" si="88"/>
        <v>0.15377582086295977</v>
      </c>
      <c r="W100" s="2911">
        <f t="shared" ref="W100:AB100" si="89">+W83/W$88</f>
        <v>0.14520175028036161</v>
      </c>
      <c r="X100" s="2911">
        <f t="shared" si="89"/>
        <v>0.13996676961103471</v>
      </c>
      <c r="Y100" s="2911">
        <f t="shared" si="89"/>
        <v>0.13800564719306482</v>
      </c>
      <c r="Z100" s="2911">
        <f t="shared" si="89"/>
        <v>0.137484093229401</v>
      </c>
      <c r="AA100" s="2911">
        <f t="shared" si="89"/>
        <v>0.1397659092560922</v>
      </c>
      <c r="AB100" s="2911">
        <f t="shared" si="89"/>
        <v>0.14222821511283473</v>
      </c>
      <c r="AC100" s="2911">
        <f>+AC83/AC$88</f>
        <v>0.13804136344491241</v>
      </c>
      <c r="AD100" s="2911">
        <f ca="1">+AD83/AD$88</f>
        <v>0.13654882842446994</v>
      </c>
      <c r="AE100" s="2911">
        <f ca="1">+AE83/AE$88</f>
        <v>0.13519809429952973</v>
      </c>
    </row>
    <row r="101" spans="1:31" ht="12.75" customHeight="1">
      <c r="A101" s="664"/>
      <c r="B101" s="664"/>
      <c r="C101" s="774" t="s">
        <v>1769</v>
      </c>
      <c r="D101" s="806"/>
      <c r="E101" s="807" t="s">
        <v>1373</v>
      </c>
      <c r="F101" s="808" t="s">
        <v>1908</v>
      </c>
      <c r="G101" s="841">
        <f t="shared" ref="G101:N101" si="90">+G88/G$88</f>
        <v>1</v>
      </c>
      <c r="H101" s="841">
        <f t="shared" si="90"/>
        <v>1</v>
      </c>
      <c r="I101" s="841">
        <f t="shared" si="90"/>
        <v>1</v>
      </c>
      <c r="J101" s="841">
        <f t="shared" si="90"/>
        <v>1</v>
      </c>
      <c r="K101" s="841">
        <f t="shared" si="90"/>
        <v>1</v>
      </c>
      <c r="L101" s="841">
        <f t="shared" si="90"/>
        <v>1</v>
      </c>
      <c r="M101" s="841">
        <f t="shared" si="90"/>
        <v>1</v>
      </c>
      <c r="N101" s="841">
        <f t="shared" si="90"/>
        <v>1</v>
      </c>
      <c r="O101" s="841">
        <f t="shared" ref="O101:V101" si="91">+O88/O$88</f>
        <v>1</v>
      </c>
      <c r="P101" s="841">
        <f t="shared" si="91"/>
        <v>1</v>
      </c>
      <c r="Q101" s="841">
        <f t="shared" si="91"/>
        <v>1</v>
      </c>
      <c r="R101" s="841">
        <f t="shared" si="91"/>
        <v>1</v>
      </c>
      <c r="S101" s="841">
        <f>+S88/S$88</f>
        <v>1</v>
      </c>
      <c r="T101" s="2912">
        <f t="shared" si="91"/>
        <v>1</v>
      </c>
      <c r="U101" s="2912">
        <f t="shared" si="91"/>
        <v>1</v>
      </c>
      <c r="V101" s="2912">
        <f t="shared" si="91"/>
        <v>1</v>
      </c>
      <c r="W101" s="2912">
        <f t="shared" ref="W101:AB101" si="92">+W88/W$88</f>
        <v>1</v>
      </c>
      <c r="X101" s="2912">
        <f t="shared" si="92"/>
        <v>1</v>
      </c>
      <c r="Y101" s="2912">
        <f t="shared" si="92"/>
        <v>1</v>
      </c>
      <c r="Z101" s="2912">
        <f t="shared" si="92"/>
        <v>1</v>
      </c>
      <c r="AA101" s="2912">
        <f t="shared" si="92"/>
        <v>1</v>
      </c>
      <c r="AB101" s="2912">
        <f t="shared" si="92"/>
        <v>1</v>
      </c>
      <c r="AC101" s="2912">
        <f>+AC88/AC$88</f>
        <v>1</v>
      </c>
      <c r="AD101" s="2912">
        <f ca="1">+AD88/AD$88</f>
        <v>1</v>
      </c>
      <c r="AE101" s="2912">
        <f ca="1">+AE88/AE$88</f>
        <v>1</v>
      </c>
    </row>
    <row r="102" spans="1:31" ht="12.75" customHeight="1">
      <c r="A102" s="664"/>
      <c r="B102" s="664"/>
      <c r="C102" s="774"/>
      <c r="E102" s="786"/>
      <c r="F102" s="787"/>
      <c r="G102" s="703"/>
      <c r="H102" s="788"/>
      <c r="I102" s="703"/>
      <c r="J102" s="703"/>
      <c r="K102" s="703"/>
      <c r="L102" s="703"/>
      <c r="M102" s="703"/>
      <c r="N102" s="703"/>
      <c r="O102" s="703"/>
      <c r="P102" s="703"/>
      <c r="Q102" s="703"/>
      <c r="R102" s="2254"/>
      <c r="S102" s="2254"/>
      <c r="T102" s="2254"/>
      <c r="U102" s="2254"/>
      <c r="V102" s="2254"/>
      <c r="W102" s="2254"/>
      <c r="X102" s="2254"/>
      <c r="Y102" s="2254"/>
      <c r="Z102" s="2254"/>
      <c r="AA102" s="2254"/>
      <c r="AB102" s="2254"/>
      <c r="AC102" s="2254"/>
      <c r="AD102" s="2254"/>
      <c r="AE102" s="2254"/>
    </row>
    <row r="103" spans="1:31">
      <c r="AB103" s="2221"/>
      <c r="AC103" s="2221"/>
      <c r="AD103" s="2221"/>
      <c r="AE103" s="2221"/>
    </row>
    <row r="104" spans="1:31" ht="22.5" customHeight="1">
      <c r="A104" s="574"/>
      <c r="B104" s="574"/>
      <c r="C104" s="3752" t="s">
        <v>1204</v>
      </c>
      <c r="D104" s="3752"/>
      <c r="E104" s="3752"/>
      <c r="F104" s="3752"/>
      <c r="V104" s="2270"/>
      <c r="AB104" s="2221"/>
      <c r="AC104" s="2221"/>
      <c r="AD104" s="2221"/>
      <c r="AE104" s="2221"/>
    </row>
    <row r="105" spans="1:31" ht="12.75" customHeight="1">
      <c r="A105" s="664"/>
      <c r="B105" s="664"/>
      <c r="C105" s="774"/>
      <c r="AB105" s="2221"/>
      <c r="AC105" s="2221"/>
      <c r="AD105" s="2221"/>
      <c r="AE105" s="2221"/>
    </row>
    <row r="106" spans="1:31" ht="12.75" customHeight="1">
      <c r="A106" s="664"/>
      <c r="B106" s="664"/>
      <c r="C106" s="774"/>
      <c r="D106" s="775"/>
      <c r="E106" s="776" t="s">
        <v>1384</v>
      </c>
      <c r="F106" s="777"/>
      <c r="G106" s="778">
        <f>+InputY!$G$3</f>
        <v>1995</v>
      </c>
      <c r="H106" s="778">
        <f t="shared" ref="H106:R106" si="93">+G106+1</f>
        <v>1996</v>
      </c>
      <c r="I106" s="778">
        <f t="shared" si="93"/>
        <v>1997</v>
      </c>
      <c r="J106" s="778">
        <f t="shared" si="93"/>
        <v>1998</v>
      </c>
      <c r="K106" s="778">
        <f>+J106+1</f>
        <v>1999</v>
      </c>
      <c r="L106" s="778">
        <f t="shared" si="93"/>
        <v>2000</v>
      </c>
      <c r="M106" s="778">
        <f t="shared" si="93"/>
        <v>2001</v>
      </c>
      <c r="N106" s="778">
        <f t="shared" si="93"/>
        <v>2002</v>
      </c>
      <c r="O106" s="778">
        <f t="shared" si="93"/>
        <v>2003</v>
      </c>
      <c r="P106" s="778">
        <f>+O106+1</f>
        <v>2004</v>
      </c>
      <c r="Q106" s="778">
        <f>+P106+1</f>
        <v>2005</v>
      </c>
      <c r="R106" s="2222">
        <f t="shared" si="93"/>
        <v>2006</v>
      </c>
      <c r="S106" s="2222">
        <f t="shared" ref="S106:X106" si="94">+R106+1</f>
        <v>2007</v>
      </c>
      <c r="T106" s="2222">
        <f t="shared" si="94"/>
        <v>2008</v>
      </c>
      <c r="U106" s="2222">
        <f t="shared" si="94"/>
        <v>2009</v>
      </c>
      <c r="V106" s="2222">
        <f t="shared" si="94"/>
        <v>2010</v>
      </c>
      <c r="W106" s="2222">
        <f t="shared" si="94"/>
        <v>2011</v>
      </c>
      <c r="X106" s="2222">
        <f t="shared" si="94"/>
        <v>2012</v>
      </c>
      <c r="Y106" s="2222">
        <f t="shared" ref="Y106:AE106" si="95">+X106+1</f>
        <v>2013</v>
      </c>
      <c r="Z106" s="2222">
        <f t="shared" si="95"/>
        <v>2014</v>
      </c>
      <c r="AA106" s="2222">
        <f t="shared" si="95"/>
        <v>2015</v>
      </c>
      <c r="AB106" s="2222">
        <f t="shared" si="95"/>
        <v>2016</v>
      </c>
      <c r="AC106" s="2222">
        <f t="shared" si="95"/>
        <v>2017</v>
      </c>
      <c r="AD106" s="2222">
        <f t="shared" si="95"/>
        <v>2018</v>
      </c>
      <c r="AE106" s="2222">
        <f t="shared" si="95"/>
        <v>2019</v>
      </c>
    </row>
    <row r="107" spans="1:31" ht="12.75" customHeight="1">
      <c r="A107" s="664"/>
      <c r="B107" s="664">
        <v>89</v>
      </c>
      <c r="C107" s="779" t="s">
        <v>1767</v>
      </c>
      <c r="D107" s="668" t="s">
        <v>685</v>
      </c>
      <c r="E107" s="700" t="s">
        <v>732</v>
      </c>
      <c r="F107" s="701" t="s">
        <v>124</v>
      </c>
      <c r="G107" s="780">
        <f>+G73-Labour1!G209-G9+G46</f>
        <v>1.69865</v>
      </c>
      <c r="H107" s="780">
        <f>+H73-Labour1!H209-H9+H46</f>
        <v>2.12385</v>
      </c>
      <c r="I107" s="780">
        <f>+I73-Labour1!I209-I9+I46</f>
        <v>2.3989400000000001</v>
      </c>
      <c r="J107" s="780">
        <f>+J73-Labour1!J209-J9+J46</f>
        <v>2.57579</v>
      </c>
      <c r="K107" s="780">
        <f>+K73-Labour1!K209-K9+K46</f>
        <v>2.5122100000000005</v>
      </c>
      <c r="L107" s="780">
        <f>+L73-Labour1!L209-L9+L46</f>
        <v>2.5169999999999999</v>
      </c>
      <c r="M107" s="780">
        <f>+M73-Labour1!M209-M9+M46</f>
        <v>2.3872999999999998</v>
      </c>
      <c r="N107" s="780">
        <f>+N73-Labour1!N209-N9+N46</f>
        <v>2.34639</v>
      </c>
      <c r="O107" s="780">
        <f>+O73-Labour1!O209-O9+O46</f>
        <v>2.4367899999999998</v>
      </c>
      <c r="P107" s="780">
        <f>+P73-Labour1!P209-P9+P46</f>
        <v>2.5497899999999998</v>
      </c>
      <c r="Q107" s="780">
        <f>+Q73-Labour1!Q209-Q9+Q46</f>
        <v>2.8515099999999998</v>
      </c>
      <c r="R107" s="780">
        <f>+R73-Labour1!R209-R9+R46</f>
        <v>2.9678199999999997</v>
      </c>
      <c r="S107" s="780">
        <f>+S73-Labour1!S209-S9+S46</f>
        <v>3.1930899999999998</v>
      </c>
      <c r="T107" s="780">
        <f>+T73-Labour1!T209-T9+T46</f>
        <v>3.4104199999999998</v>
      </c>
      <c r="U107" s="780">
        <f>+U73-Labour1!U209-U9+U46</f>
        <v>2.8222200000000002</v>
      </c>
      <c r="V107" s="780">
        <f>+V73-Labour1!V209-V9+V46</f>
        <v>2.6309799999999997</v>
      </c>
      <c r="W107" s="780">
        <f>+W73-Labour1!W209-W9+W46</f>
        <v>2.8366799999999999</v>
      </c>
      <c r="X107" s="780">
        <f>+X73-Labour1!X209-X9+X46</f>
        <v>3.2705600000000001</v>
      </c>
      <c r="Y107" s="780">
        <f>+Y73-Labour1!Y209-Y9+Y46</f>
        <v>3.38794</v>
      </c>
      <c r="Z107" s="780">
        <f>+Z73-Labour1!Z209-Z9+Z46</f>
        <v>3.5277099999999995</v>
      </c>
      <c r="AA107" s="780">
        <f>+AA73-Labour1!AA209-AA9+AA46</f>
        <v>3.7731500000000007</v>
      </c>
      <c r="AB107" s="780">
        <f>+AB73-Labour1!AB209-AB9+AB46</f>
        <v>3.77868</v>
      </c>
      <c r="AC107" s="2217">
        <f>+AB107*(1+AC118/100)</f>
        <v>3.77868</v>
      </c>
      <c r="AD107" s="2217">
        <f>+AC107*(1+AD118/100)</f>
        <v>3.77868</v>
      </c>
      <c r="AE107" s="2217">
        <f>+AD107*(1+AE118/100)</f>
        <v>3.77868</v>
      </c>
    </row>
    <row r="108" spans="1:31" ht="12.75" customHeight="1">
      <c r="A108" s="664"/>
      <c r="B108" s="664">
        <v>104</v>
      </c>
      <c r="C108" s="782" t="s">
        <v>1767</v>
      </c>
      <c r="D108" s="674" t="s">
        <v>686</v>
      </c>
      <c r="E108" s="783" t="s">
        <v>1065</v>
      </c>
      <c r="F108" s="704" t="s">
        <v>1160</v>
      </c>
      <c r="G108" s="706">
        <f>+G78-Labour1!G210-G10+G47</f>
        <v>1.9613499999999999</v>
      </c>
      <c r="H108" s="706">
        <f>+H78-Labour1!H210-H10+H47</f>
        <v>2.5028399999999995</v>
      </c>
      <c r="I108" s="706">
        <f>+I78-Labour1!I210-I10+I47</f>
        <v>2.87819</v>
      </c>
      <c r="J108" s="706">
        <f>+J78-Labour1!J210-J10+J47</f>
        <v>2.9327699999999997</v>
      </c>
      <c r="K108" s="706">
        <f>+K78-Labour1!K210-K10+K47</f>
        <v>2.6909900000000007</v>
      </c>
      <c r="L108" s="706">
        <f>+L78-Labour1!L210-L10+L47</f>
        <v>3.6106800000000003</v>
      </c>
      <c r="M108" s="706">
        <f>+M78-Labour1!M210-M10+M47</f>
        <v>4.3839899999999998</v>
      </c>
      <c r="N108" s="706">
        <f>+N78-Labour1!N210-N10+N47</f>
        <v>4.8382199999999997</v>
      </c>
      <c r="O108" s="706">
        <f>+O78-Labour1!O210-O10+O47</f>
        <v>5.5056800000000008</v>
      </c>
      <c r="P108" s="706">
        <f>+P78-Labour1!P210-P10+P47</f>
        <v>6.07179</v>
      </c>
      <c r="Q108" s="706">
        <f>+Q78-Labour1!Q210-Q10+Q47</f>
        <v>7.0718700000000005</v>
      </c>
      <c r="R108" s="706">
        <f>+R78-Labour1!R210-R10+R47</f>
        <v>7.8435499999999987</v>
      </c>
      <c r="S108" s="706">
        <f>+S78-Labour1!S210-S10+S47</f>
        <v>9.8058000000000014</v>
      </c>
      <c r="T108" s="706">
        <f>+T78-Labour1!T210-T10+T47</f>
        <v>10.65368</v>
      </c>
      <c r="U108" s="706">
        <f>+U78-Labour1!U210-U10+U47</f>
        <v>8.5865399999999994</v>
      </c>
      <c r="V108" s="706">
        <f>+V78-Labour1!V210-V10+V47</f>
        <v>10.180579999999999</v>
      </c>
      <c r="W108" s="706">
        <f>+W78-Labour1!W210-W10+W47</f>
        <v>12.009180000000001</v>
      </c>
      <c r="X108" s="706">
        <f>+X78-Labour1!X210-X10+X47</f>
        <v>12.806279999999999</v>
      </c>
      <c r="Y108" s="706">
        <f>+Y78-Labour1!Y210-Y10+Y47</f>
        <v>13.386859999999999</v>
      </c>
      <c r="Z108" s="706">
        <f>+Z78-Labour1!Z210-Z10+Z47</f>
        <v>13.675680000000002</v>
      </c>
      <c r="AA108" s="706">
        <f>+AA78-Labour1!AA210-AA10+AA47</f>
        <v>13.047969999999999</v>
      </c>
      <c r="AB108" s="706">
        <f>+AB78-Labour1!AB210-AB10+AB47</f>
        <v>12.81043</v>
      </c>
      <c r="AC108" s="3278">
        <f>+AC78-Labour1!AC210-Sector1!AC10+Sector1!AC47</f>
        <v>14.037617020000001</v>
      </c>
      <c r="AD108" s="3278">
        <f ca="1">+AD78-Labour1!AD210-Sector1!AD10+Sector1!AD47</f>
        <v>14.965430274349325</v>
      </c>
      <c r="AE108" s="3278">
        <f ca="1">+AE78-Labour1!AE210-Sector1!AE10+Sector1!AE47</f>
        <v>16.002291254781717</v>
      </c>
    </row>
    <row r="109" spans="1:31" ht="12.75" customHeight="1">
      <c r="A109" s="664"/>
      <c r="B109" s="664" t="s">
        <v>1913</v>
      </c>
      <c r="C109" s="782" t="s">
        <v>1767</v>
      </c>
      <c r="D109" s="674" t="s">
        <v>687</v>
      </c>
      <c r="E109" s="783" t="s">
        <v>732</v>
      </c>
      <c r="F109" s="704" t="s">
        <v>1914</v>
      </c>
      <c r="G109" s="706">
        <f>+G83-Labour1!G211-G11+G48</f>
        <v>0.34807999999999995</v>
      </c>
      <c r="H109" s="706">
        <f>+H83-Labour1!H211-H11+H48</f>
        <v>0.38789000000000001</v>
      </c>
      <c r="I109" s="706">
        <f>+I83-Labour1!I211-I11+I48</f>
        <v>0.42628999999999989</v>
      </c>
      <c r="J109" s="706">
        <f>+J83-Labour1!J211-J11+J48</f>
        <v>0.43959999999999977</v>
      </c>
      <c r="K109" s="706">
        <f>+K83-Labour1!K211-K11+K48</f>
        <v>0.44392999999999988</v>
      </c>
      <c r="L109" s="706">
        <f>+L83-Labour1!L211-L11+L48</f>
        <v>0.44971000000000022</v>
      </c>
      <c r="M109" s="706">
        <f>+M83-Labour1!M211-M11+M48</f>
        <v>0.44786999999999977</v>
      </c>
      <c r="N109" s="706">
        <f>+N83-Labour1!N211-N11+N48</f>
        <v>0.44363000000000036</v>
      </c>
      <c r="O109" s="706">
        <f>+O83-Labour1!O211-O11+O48</f>
        <v>0.47176999999999986</v>
      </c>
      <c r="P109" s="706">
        <f>+P83-Labour1!P211-P11+P48</f>
        <v>0.4958700000000002</v>
      </c>
      <c r="Q109" s="706">
        <f>+Q83-Labour1!Q211-Q11+Q48</f>
        <v>0.5454899999999997</v>
      </c>
      <c r="R109" s="706">
        <f>+R83-Labour1!R211-R11+R48</f>
        <v>0.61288999999999971</v>
      </c>
      <c r="S109" s="706">
        <f>+S83-Labour1!S211-S11+S48</f>
        <v>0.70903999999999978</v>
      </c>
      <c r="T109" s="706">
        <f>+T83-Labour1!T211-T11+T48</f>
        <v>0.81860000000000011</v>
      </c>
      <c r="U109" s="706">
        <f>+U83-Labour1!U211-U11+U48</f>
        <v>0.81778000000000006</v>
      </c>
      <c r="V109" s="706">
        <f>+V83-Labour1!V211-V11+V48</f>
        <v>0.81559000000000015</v>
      </c>
      <c r="W109" s="706">
        <f>+W83-Labour1!W211-W11+W48</f>
        <v>0.88874000000000009</v>
      </c>
      <c r="X109" s="706">
        <f>+X83-Labour1!X211-X11+X48</f>
        <v>0.97679000000000027</v>
      </c>
      <c r="Y109" s="706">
        <f>+Y83-Labour1!Y211-Y11+Y48</f>
        <v>1.0306</v>
      </c>
      <c r="Z109" s="706">
        <f>+Z83-Labour1!Z211-Z11+Z48</f>
        <v>1.0790799999999992</v>
      </c>
      <c r="AA109" s="706">
        <f>+AA83-Labour1!AA211-AA11+AA48</f>
        <v>1.1034600000000008</v>
      </c>
      <c r="AB109" s="706">
        <f>+AB83-Labour1!AB211-AB11+AB48</f>
        <v>1.1429800000000001</v>
      </c>
      <c r="AC109" s="2217">
        <f>AB109*(1+AC120/100)</f>
        <v>1.1841272800000002</v>
      </c>
      <c r="AD109" s="2217">
        <f>AC109*(1+AD120/100)</f>
        <v>1.2078098256000003</v>
      </c>
      <c r="AE109" s="2217">
        <f>AD109*(1+AE120/100)</f>
        <v>1.2198879238560003</v>
      </c>
    </row>
    <row r="110" spans="1:31" ht="12.75" customHeight="1">
      <c r="A110" s="664"/>
      <c r="B110" s="664"/>
      <c r="C110" s="782"/>
      <c r="D110" s="1973"/>
      <c r="E110" s="2922" t="s">
        <v>1651</v>
      </c>
      <c r="F110" s="1973"/>
      <c r="G110" s="2898"/>
      <c r="H110" s="2898"/>
      <c r="I110" s="2898"/>
      <c r="J110" s="2898"/>
      <c r="K110" s="2898"/>
      <c r="L110" s="2898"/>
      <c r="M110" s="2898"/>
      <c r="N110" s="2898"/>
      <c r="O110" s="2898"/>
      <c r="P110" s="2898"/>
      <c r="Q110" s="2898"/>
      <c r="R110" s="2898"/>
      <c r="S110" s="2898"/>
      <c r="T110" s="2905"/>
      <c r="U110" s="2905"/>
      <c r="V110" s="2905"/>
      <c r="W110" s="2905"/>
      <c r="X110" s="2905"/>
      <c r="Y110" s="2905"/>
      <c r="Z110" s="2905"/>
      <c r="AA110" s="2905"/>
      <c r="AB110" s="2905"/>
      <c r="AC110" s="2905"/>
      <c r="AD110" s="2905"/>
      <c r="AE110" s="2905"/>
    </row>
    <row r="111" spans="1:31" ht="12.75" customHeight="1">
      <c r="A111" s="664"/>
      <c r="B111" s="664"/>
      <c r="C111" s="782"/>
      <c r="D111" s="1973" t="s">
        <v>727</v>
      </c>
      <c r="E111" s="1973"/>
      <c r="F111" s="1973"/>
      <c r="G111" s="2898"/>
      <c r="H111" s="2898"/>
      <c r="I111" s="2898"/>
      <c r="J111" s="2898"/>
      <c r="K111" s="2898"/>
      <c r="L111" s="2898"/>
      <c r="M111" s="2898"/>
      <c r="N111" s="2898"/>
      <c r="O111" s="2898"/>
      <c r="P111" s="2898"/>
      <c r="Q111" s="2898"/>
      <c r="R111" s="2898"/>
      <c r="S111" s="2898"/>
      <c r="T111" s="2905"/>
      <c r="U111" s="2905"/>
      <c r="V111" s="2905"/>
      <c r="W111" s="2905"/>
      <c r="X111" s="2905"/>
      <c r="Y111" s="2905"/>
      <c r="Z111" s="2905"/>
      <c r="AA111" s="2905"/>
      <c r="AB111" s="2905"/>
      <c r="AC111" s="2905"/>
      <c r="AD111" s="2905"/>
      <c r="AE111" s="2905"/>
    </row>
    <row r="112" spans="1:31" ht="12.75" customHeight="1">
      <c r="C112" s="782"/>
      <c r="D112" s="1973" t="s">
        <v>687</v>
      </c>
      <c r="E112" s="1973" t="s">
        <v>731</v>
      </c>
      <c r="F112" s="1973"/>
      <c r="G112" s="1012">
        <f>+G422</f>
        <v>0.34808</v>
      </c>
      <c r="H112" s="1012">
        <f t="shared" ref="H112:R112" si="96">+H422</f>
        <v>0.38789000000000001</v>
      </c>
      <c r="I112" s="1012">
        <f t="shared" si="96"/>
        <v>0.42630000000000001</v>
      </c>
      <c r="J112" s="1012">
        <f t="shared" si="96"/>
        <v>0.43960000000000005</v>
      </c>
      <c r="K112" s="1012">
        <f t="shared" si="96"/>
        <v>0.44392999999999999</v>
      </c>
      <c r="L112" s="1012">
        <f t="shared" si="96"/>
        <v>0.44969999999999999</v>
      </c>
      <c r="M112" s="1012">
        <f t="shared" si="96"/>
        <v>0.44792000000000004</v>
      </c>
      <c r="N112" s="1012">
        <f t="shared" si="96"/>
        <v>0.44373000000000001</v>
      </c>
      <c r="O112" s="1012">
        <f t="shared" si="96"/>
        <v>0.47164999999999996</v>
      </c>
      <c r="P112" s="1012">
        <f t="shared" si="96"/>
        <v>0.49575999999999998</v>
      </c>
      <c r="Q112" s="1012">
        <f>+Q422</f>
        <v>0.54459000000000002</v>
      </c>
      <c r="R112" s="1012">
        <f t="shared" si="96"/>
        <v>0.60770000000000002</v>
      </c>
      <c r="S112" s="1012">
        <f t="shared" ref="S112:X112" si="97">+S422</f>
        <v>0.70246000000000008</v>
      </c>
      <c r="T112" s="1012">
        <f t="shared" si="97"/>
        <v>0.81538999999999995</v>
      </c>
      <c r="U112" s="1012">
        <f t="shared" si="97"/>
        <v>0.81699999999999995</v>
      </c>
      <c r="V112" s="1012">
        <f t="shared" si="97"/>
        <v>0.81259000000000003</v>
      </c>
      <c r="W112" s="1012">
        <f t="shared" si="97"/>
        <v>0.88575000000000004</v>
      </c>
      <c r="X112" s="1012">
        <f t="shared" si="97"/>
        <v>0.96163999999999994</v>
      </c>
      <c r="Y112" s="1012">
        <f>+Y422</f>
        <v>1.02627</v>
      </c>
      <c r="Z112" s="1012">
        <f>+Z422</f>
        <v>1.0739400000000001</v>
      </c>
      <c r="AA112" s="1012">
        <f>+AA422</f>
        <v>1.1040000000000001</v>
      </c>
      <c r="AB112" s="1012">
        <f>+AB422</f>
        <v>1.14178</v>
      </c>
      <c r="AC112" s="3395">
        <f>+AB112*(1+AC122/100)</f>
        <v>1.18288408</v>
      </c>
      <c r="AD112" s="3395">
        <f>+AC112*(1+AD122/100)</f>
        <v>1.2065417616</v>
      </c>
      <c r="AE112" s="3395">
        <f>+AD112*(1+AE122/100)</f>
        <v>1.218607179216</v>
      </c>
    </row>
    <row r="113" spans="1:113" ht="12.75" customHeight="1">
      <c r="C113" s="782"/>
      <c r="D113" s="1973" t="s">
        <v>687</v>
      </c>
      <c r="E113" s="1973" t="s">
        <v>730</v>
      </c>
      <c r="F113" s="1973"/>
      <c r="G113" s="1012">
        <f t="shared" ref="G113:AB113" si="98">+G109-G112</f>
        <v>0</v>
      </c>
      <c r="H113" s="1012">
        <f t="shared" si="98"/>
        <v>0</v>
      </c>
      <c r="I113" s="1012">
        <f t="shared" si="98"/>
        <v>-1.0000000000121023E-5</v>
      </c>
      <c r="J113" s="1012">
        <f t="shared" si="98"/>
        <v>0</v>
      </c>
      <c r="K113" s="1012">
        <f t="shared" si="98"/>
        <v>0</v>
      </c>
      <c r="L113" s="1012">
        <f t="shared" si="98"/>
        <v>1.0000000000232045E-5</v>
      </c>
      <c r="M113" s="1012">
        <f t="shared" si="98"/>
        <v>-5.0000000000272049E-5</v>
      </c>
      <c r="N113" s="1012">
        <f t="shared" si="98"/>
        <v>-9.999999999965592E-5</v>
      </c>
      <c r="O113" s="1012">
        <f t="shared" si="98"/>
        <v>1.1999999999989797E-4</v>
      </c>
      <c r="P113" s="1012">
        <f t="shared" si="98"/>
        <v>1.1000000000022103E-4</v>
      </c>
      <c r="Q113" s="1012">
        <f t="shared" si="98"/>
        <v>8.9999999999967883E-4</v>
      </c>
      <c r="R113" s="1012">
        <f t="shared" si="98"/>
        <v>5.1899999999996949E-3</v>
      </c>
      <c r="S113" s="1012">
        <f t="shared" si="98"/>
        <v>6.5799999999996972E-3</v>
      </c>
      <c r="T113" s="1012">
        <f t="shared" si="98"/>
        <v>3.2100000000001572E-3</v>
      </c>
      <c r="U113" s="1012">
        <f t="shared" si="98"/>
        <v>7.8000000000011394E-4</v>
      </c>
      <c r="V113" s="2913">
        <f t="shared" si="98"/>
        <v>3.0000000000001137E-3</v>
      </c>
      <c r="W113" s="2913">
        <f t="shared" si="98"/>
        <v>2.9900000000000482E-3</v>
      </c>
      <c r="X113" s="2913">
        <f t="shared" si="98"/>
        <v>1.515000000000033E-2</v>
      </c>
      <c r="Y113" s="2913">
        <f t="shared" si="98"/>
        <v>4.329999999999945E-3</v>
      </c>
      <c r="Z113" s="2913">
        <f t="shared" si="98"/>
        <v>5.1399999999990342E-3</v>
      </c>
      <c r="AA113" s="2913">
        <f t="shared" si="98"/>
        <v>-5.399999999993188E-4</v>
      </c>
      <c r="AB113" s="2913">
        <f t="shared" si="98"/>
        <v>1.2000000000000899E-3</v>
      </c>
      <c r="AC113" s="3395">
        <f>+AC109-AC112</f>
        <v>1.2432000000002219E-3</v>
      </c>
      <c r="AD113" s="3395">
        <f>+AD109-AD112</f>
        <v>1.2680640000002352E-3</v>
      </c>
      <c r="AE113" s="3395">
        <f>+AE109-AE112</f>
        <v>1.2807446400002753E-3</v>
      </c>
    </row>
    <row r="114" spans="1:113" ht="12.75" customHeight="1">
      <c r="A114" s="1953">
        <f>+ROW(InputY!A106)</f>
        <v>106</v>
      </c>
      <c r="B114" s="664"/>
      <c r="C114" s="784" t="s">
        <v>1769</v>
      </c>
      <c r="D114" s="752"/>
      <c r="E114" s="753" t="s">
        <v>1204</v>
      </c>
      <c r="F114" s="754" t="s">
        <v>1107</v>
      </c>
      <c r="G114" s="785">
        <f>+InputY!G106/1000</f>
        <v>4.0080799999999996</v>
      </c>
      <c r="H114" s="785">
        <f>+InputY!H106/1000</f>
        <v>5.0145799999999996</v>
      </c>
      <c r="I114" s="785">
        <f>+InputY!I106/1000</f>
        <v>5.70343</v>
      </c>
      <c r="J114" s="785">
        <f>+InputY!J106/1000</f>
        <v>5.94815</v>
      </c>
      <c r="K114" s="785">
        <f>+InputY!K106/1000</f>
        <v>5.6471299999999998</v>
      </c>
      <c r="L114" s="785">
        <f>+InputY!L106/1000</f>
        <v>6.5773599999999997</v>
      </c>
      <c r="M114" s="785">
        <f>+InputY!M106/1000</f>
        <v>7.2191700000000001</v>
      </c>
      <c r="N114" s="785">
        <f>+InputY!N106/1000</f>
        <v>7.62826</v>
      </c>
      <c r="O114" s="785">
        <f>+InputY!O106/1000</f>
        <v>8.4142499999999991</v>
      </c>
      <c r="P114" s="785">
        <f>+InputY!P106/1000</f>
        <v>9.1174400000000002</v>
      </c>
      <c r="Q114" s="785">
        <f>+InputY!Q106/1000</f>
        <v>10.468870000000001</v>
      </c>
      <c r="R114" s="785">
        <f>+InputY!R106/1000</f>
        <v>11.42427</v>
      </c>
      <c r="S114" s="785">
        <f>+InputY!S106/1000</f>
        <v>13.70792</v>
      </c>
      <c r="T114" s="785">
        <f>+InputY!T106/1000</f>
        <v>14.882709999999999</v>
      </c>
      <c r="U114" s="785">
        <f>+InputY!U106/1000</f>
        <v>12.226559999999999</v>
      </c>
      <c r="V114" s="2099">
        <f>+InputY!V106/1000</f>
        <v>13.627139999999999</v>
      </c>
      <c r="W114" s="2099">
        <f>+InputY!W106/1000</f>
        <v>15.734590000000001</v>
      </c>
      <c r="X114" s="2099">
        <f>+InputY!X106/1000</f>
        <v>17.053639999999998</v>
      </c>
      <c r="Y114" s="2099">
        <f>+InputY!Y106/1000</f>
        <v>17.805409999999998</v>
      </c>
      <c r="Z114" s="2099">
        <f>+InputY!Z106/1000</f>
        <v>18.28246</v>
      </c>
      <c r="AA114" s="2099">
        <f>+InputY!AA106/1000</f>
        <v>17.924569999999999</v>
      </c>
      <c r="AB114" s="2099">
        <f>+InputY!AB106/1000</f>
        <v>17.732099999999999</v>
      </c>
      <c r="AC114" s="2232">
        <f>+AC107+AC108+AC109</f>
        <v>19.000424299999999</v>
      </c>
      <c r="AD114" s="2232">
        <f ca="1">+AD107+AD108+AD109</f>
        <v>19.951920099949326</v>
      </c>
      <c r="AE114" s="2232">
        <f ca="1">+AE107+AE108+AE109</f>
        <v>21.000859178637718</v>
      </c>
    </row>
    <row r="115" spans="1:113" s="1972" customFormat="1" ht="12.75" customHeight="1">
      <c r="A115" s="998"/>
      <c r="B115" s="998"/>
      <c r="C115" s="1595"/>
      <c r="D115" s="1011"/>
      <c r="E115" s="1973" t="s">
        <v>737</v>
      </c>
      <c r="F115" s="1974"/>
      <c r="G115" s="1002">
        <f t="shared" ref="G115:Z115" si="99">ABS(+G107+G108+G109-G114)</f>
        <v>0</v>
      </c>
      <c r="H115" s="1002">
        <f t="shared" si="99"/>
        <v>0</v>
      </c>
      <c r="I115" s="1002">
        <f t="shared" si="99"/>
        <v>1.0000000000509601E-5</v>
      </c>
      <c r="J115" s="1002">
        <f t="shared" si="99"/>
        <v>9.9999999987332444E-6</v>
      </c>
      <c r="K115" s="1002">
        <f t="shared" si="99"/>
        <v>8.8817841970012523E-16</v>
      </c>
      <c r="L115" s="1002">
        <f t="shared" si="99"/>
        <v>3.0000000000640625E-5</v>
      </c>
      <c r="M115" s="1002">
        <f t="shared" si="99"/>
        <v>1.0000000000509601E-5</v>
      </c>
      <c r="N115" s="1002">
        <f t="shared" si="99"/>
        <v>2.0000000000131024E-5</v>
      </c>
      <c r="O115" s="1002">
        <f t="shared" si="99"/>
        <v>9.9999999996214228E-6</v>
      </c>
      <c r="P115" s="1002">
        <f t="shared" si="99"/>
        <v>9.9999999996214228E-6</v>
      </c>
      <c r="Q115" s="1002">
        <f t="shared" si="99"/>
        <v>1.7763568394002505E-15</v>
      </c>
      <c r="R115" s="1002">
        <f t="shared" si="99"/>
        <v>1.000000000139778E-5</v>
      </c>
      <c r="S115" s="1002">
        <f t="shared" si="99"/>
        <v>1.000000000139778E-5</v>
      </c>
      <c r="T115" s="2906">
        <f t="shared" si="99"/>
        <v>9.9999999996214228E-6</v>
      </c>
      <c r="U115" s="3146">
        <f>ABS(+U107+U108+U109-U114)</f>
        <v>1.9999999999242846E-5</v>
      </c>
      <c r="V115" s="3146">
        <f>ABS(+V107+V108+V109-V114)</f>
        <v>9.9999999996214228E-6</v>
      </c>
      <c r="W115" s="3146">
        <f t="shared" si="99"/>
        <v>9.9999999996214228E-6</v>
      </c>
      <c r="X115" s="3125">
        <f t="shared" si="99"/>
        <v>9.9999999960687092E-6</v>
      </c>
      <c r="Y115" s="3125">
        <f t="shared" si="99"/>
        <v>9.9999999996214228E-6</v>
      </c>
      <c r="Z115" s="3125">
        <f t="shared" si="99"/>
        <v>9.9999999996214228E-6</v>
      </c>
      <c r="AA115" s="3125">
        <f>ABS(+AA107+AA108+AA109-AA114)</f>
        <v>1.0000000003174137E-5</v>
      </c>
      <c r="AB115" s="3125">
        <f>ABS(+AB107+AB108+AB109-AB114)</f>
        <v>9.9999999960687092E-6</v>
      </c>
      <c r="AC115" s="2906">
        <f>ABS(+AC107+AC108+AC109-AC114)</f>
        <v>0</v>
      </c>
      <c r="AD115" s="2906">
        <f ca="1">ABS(+AD107+AD108+AD109-AD114)</f>
        <v>0</v>
      </c>
      <c r="AE115" s="2906">
        <f ca="1">ABS(+AE107+AE108+AE109-AE114)</f>
        <v>0</v>
      </c>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row>
    <row r="116" spans="1:113" ht="12.75" customHeight="1">
      <c r="A116" s="664"/>
      <c r="B116" s="664"/>
      <c r="C116" s="774"/>
      <c r="E116" s="786"/>
      <c r="F116" s="787"/>
      <c r="G116" s="703"/>
      <c r="H116" s="788"/>
      <c r="I116" s="703"/>
      <c r="J116" s="703"/>
      <c r="K116" s="703"/>
      <c r="L116" s="703"/>
      <c r="M116" s="703"/>
      <c r="N116" s="703"/>
      <c r="O116" s="703"/>
      <c r="P116" s="703"/>
      <c r="Q116" s="703"/>
      <c r="R116" s="2254"/>
      <c r="S116" s="3124"/>
      <c r="T116" s="2254"/>
      <c r="U116" s="2254"/>
      <c r="V116" s="2254"/>
      <c r="W116" s="2254"/>
      <c r="X116" s="2254"/>
      <c r="Y116" s="2254"/>
      <c r="Z116" s="2254"/>
      <c r="AA116" s="2254"/>
      <c r="AB116" s="3685"/>
      <c r="AC116" s="2270"/>
      <c r="AD116" s="2867"/>
      <c r="AE116" s="2254"/>
    </row>
    <row r="117" spans="1:113" ht="12.75" customHeight="1">
      <c r="A117" s="664"/>
      <c r="B117" s="664"/>
      <c r="C117" s="774"/>
      <c r="D117" s="742"/>
      <c r="E117" s="743" t="s">
        <v>1311</v>
      </c>
      <c r="F117" s="744"/>
      <c r="G117" s="745">
        <f>+InputY!$G$3</f>
        <v>1995</v>
      </c>
      <c r="H117" s="745">
        <f>+G117+1</f>
        <v>1996</v>
      </c>
      <c r="I117" s="745">
        <f t="shared" ref="I117:O117" si="100">+H117+1</f>
        <v>1997</v>
      </c>
      <c r="J117" s="745">
        <f t="shared" si="100"/>
        <v>1998</v>
      </c>
      <c r="K117" s="745">
        <f>+J117+1</f>
        <v>1999</v>
      </c>
      <c r="L117" s="745">
        <f t="shared" si="100"/>
        <v>2000</v>
      </c>
      <c r="M117" s="745">
        <f t="shared" si="100"/>
        <v>2001</v>
      </c>
      <c r="N117" s="745">
        <f t="shared" si="100"/>
        <v>2002</v>
      </c>
      <c r="O117" s="745">
        <f t="shared" si="100"/>
        <v>2003</v>
      </c>
      <c r="P117" s="745">
        <f t="shared" ref="P117:W117" si="101">+O117+1</f>
        <v>2004</v>
      </c>
      <c r="Q117" s="745">
        <f t="shared" si="101"/>
        <v>2005</v>
      </c>
      <c r="R117" s="745">
        <f t="shared" si="101"/>
        <v>2006</v>
      </c>
      <c r="S117" s="745">
        <f t="shared" si="101"/>
        <v>2007</v>
      </c>
      <c r="T117" s="2211">
        <f t="shared" si="101"/>
        <v>2008</v>
      </c>
      <c r="U117" s="2211">
        <f t="shared" si="101"/>
        <v>2009</v>
      </c>
      <c r="V117" s="2211">
        <f t="shared" si="101"/>
        <v>2010</v>
      </c>
      <c r="W117" s="2211">
        <f t="shared" si="101"/>
        <v>2011</v>
      </c>
      <c r="X117" s="2211">
        <f t="shared" ref="X117:AE117" si="102">+W117+1</f>
        <v>2012</v>
      </c>
      <c r="Y117" s="2211">
        <f t="shared" si="102"/>
        <v>2013</v>
      </c>
      <c r="Z117" s="2211">
        <f t="shared" si="102"/>
        <v>2014</v>
      </c>
      <c r="AA117" s="2211">
        <f t="shared" si="102"/>
        <v>2015</v>
      </c>
      <c r="AB117" s="2211">
        <f t="shared" si="102"/>
        <v>2016</v>
      </c>
      <c r="AC117" s="2211">
        <f t="shared" si="102"/>
        <v>2017</v>
      </c>
      <c r="AD117" s="2211">
        <f t="shared" si="102"/>
        <v>2018</v>
      </c>
      <c r="AE117" s="2211">
        <f t="shared" si="102"/>
        <v>2019</v>
      </c>
    </row>
    <row r="118" spans="1:113" ht="12.75" customHeight="1">
      <c r="A118" s="664"/>
      <c r="B118" s="664"/>
      <c r="C118" s="794" t="s">
        <v>1767</v>
      </c>
      <c r="D118" s="689" t="s">
        <v>685</v>
      </c>
      <c r="E118" s="738" t="s">
        <v>1204</v>
      </c>
      <c r="F118" s="733" t="s">
        <v>124</v>
      </c>
      <c r="G118" s="739"/>
      <c r="H118" s="739">
        <f t="shared" ref="H118:P118" si="103">(H107/G107-1)*100</f>
        <v>25.031642775144981</v>
      </c>
      <c r="I118" s="739">
        <f t="shared" si="103"/>
        <v>12.952421310356188</v>
      </c>
      <c r="J118" s="739">
        <f t="shared" si="103"/>
        <v>7.372005969303097</v>
      </c>
      <c r="K118" s="739">
        <f>(K107/J107-1)*100</f>
        <v>-2.4683689275911247</v>
      </c>
      <c r="L118" s="739">
        <f t="shared" si="103"/>
        <v>0.19066877370919055</v>
      </c>
      <c r="M118" s="739">
        <f t="shared" si="103"/>
        <v>-5.1529598728645265</v>
      </c>
      <c r="N118" s="739">
        <f t="shared" si="103"/>
        <v>-1.7136514053533225</v>
      </c>
      <c r="O118" s="739">
        <f t="shared" si="103"/>
        <v>3.8527269550245213</v>
      </c>
      <c r="P118" s="739">
        <f t="shared" si="103"/>
        <v>4.637248183060505</v>
      </c>
      <c r="Q118" s="739">
        <f t="shared" ref="Q118:X120" si="104">(Q107/P107-1)*100</f>
        <v>11.833131355915594</v>
      </c>
      <c r="R118" s="739">
        <f t="shared" si="104"/>
        <v>4.0788915346605892</v>
      </c>
      <c r="S118" s="739">
        <f t="shared" si="104"/>
        <v>7.5904199041720855</v>
      </c>
      <c r="T118" s="3144">
        <f t="shared" ref="T118:AB118" si="105">(T107/S107-1)*100</f>
        <v>6.8062597671847636</v>
      </c>
      <c r="U118" s="3144">
        <f t="shared" si="105"/>
        <v>-17.247142580679199</v>
      </c>
      <c r="V118" s="3144">
        <f t="shared" si="105"/>
        <v>-6.7762258080518389</v>
      </c>
      <c r="W118" s="3144">
        <f t="shared" si="105"/>
        <v>7.8183794631658365</v>
      </c>
      <c r="X118" s="3144">
        <f t="shared" si="105"/>
        <v>15.295345262771987</v>
      </c>
      <c r="Y118" s="3144">
        <f t="shared" si="105"/>
        <v>3.5889878185998647</v>
      </c>
      <c r="Z118" s="3144">
        <f t="shared" si="105"/>
        <v>4.1255158001617387</v>
      </c>
      <c r="AA118" s="3144">
        <f t="shared" si="105"/>
        <v>6.9574880021317398</v>
      </c>
      <c r="AB118" s="3144">
        <f t="shared" si="105"/>
        <v>0.14656189125794583</v>
      </c>
      <c r="AC118" s="3269">
        <v>0</v>
      </c>
      <c r="AD118" s="3269">
        <v>0</v>
      </c>
      <c r="AE118" s="3269">
        <v>0</v>
      </c>
    </row>
    <row r="119" spans="1:113" ht="12.75" customHeight="1">
      <c r="A119" s="664"/>
      <c r="B119" s="664"/>
      <c r="C119" s="795" t="s">
        <v>1767</v>
      </c>
      <c r="D119" s="674" t="s">
        <v>686</v>
      </c>
      <c r="E119" s="783" t="s">
        <v>1204</v>
      </c>
      <c r="F119" s="704" t="s">
        <v>1160</v>
      </c>
      <c r="G119" s="706"/>
      <c r="H119" s="706">
        <f t="shared" ref="H119:P120" si="106">(H108/G108-1)*100</f>
        <v>27.608025084763032</v>
      </c>
      <c r="I119" s="706">
        <f t="shared" si="106"/>
        <v>14.996963449521372</v>
      </c>
      <c r="J119" s="706">
        <f t="shared" si="106"/>
        <v>1.8963306800454216</v>
      </c>
      <c r="K119" s="706">
        <f>(K108/J108-1)*100</f>
        <v>-8.244083238712852</v>
      </c>
      <c r="L119" s="706">
        <f t="shared" si="106"/>
        <v>34.176641310447067</v>
      </c>
      <c r="M119" s="706">
        <f t="shared" si="106"/>
        <v>21.417295357107236</v>
      </c>
      <c r="N119" s="706">
        <f t="shared" si="106"/>
        <v>10.361109400340784</v>
      </c>
      <c r="O119" s="706">
        <f t="shared" si="106"/>
        <v>13.795569444961187</v>
      </c>
      <c r="P119" s="706">
        <f t="shared" si="106"/>
        <v>10.28229028930121</v>
      </c>
      <c r="Q119" s="706">
        <f t="shared" si="104"/>
        <v>16.470925377853995</v>
      </c>
      <c r="R119" s="706">
        <f t="shared" si="104"/>
        <v>10.911965293479643</v>
      </c>
      <c r="S119" s="706">
        <f t="shared" si="104"/>
        <v>25.017370960853214</v>
      </c>
      <c r="T119" s="706">
        <f t="shared" si="104"/>
        <v>8.6467192885842934</v>
      </c>
      <c r="U119" s="706">
        <f t="shared" si="104"/>
        <v>-19.40306072643444</v>
      </c>
      <c r="V119" s="706">
        <f t="shared" si="104"/>
        <v>18.564404288572579</v>
      </c>
      <c r="W119" s="706">
        <f t="shared" si="104"/>
        <v>17.96164855047553</v>
      </c>
      <c r="X119" s="706">
        <f t="shared" si="104"/>
        <v>6.637422371885493</v>
      </c>
      <c r="Y119" s="706">
        <f t="shared" ref="Y119:AE119" si="107">(Y108/X108-1)*100</f>
        <v>4.5335569736098202</v>
      </c>
      <c r="Z119" s="706">
        <f t="shared" si="107"/>
        <v>2.1574887613675209</v>
      </c>
      <c r="AA119" s="706">
        <f t="shared" si="107"/>
        <v>-4.5899728569255949</v>
      </c>
      <c r="AB119" s="706">
        <f t="shared" si="107"/>
        <v>-1.82051307598039</v>
      </c>
      <c r="AC119" s="706">
        <f t="shared" si="107"/>
        <v>9.579592722492535</v>
      </c>
      <c r="AD119" s="706">
        <f t="shared" ca="1" si="107"/>
        <v>6.6094783254695422</v>
      </c>
      <c r="AE119" s="706">
        <f t="shared" ca="1" si="107"/>
        <v>6.928374002113169</v>
      </c>
    </row>
    <row r="120" spans="1:113" ht="12.75" customHeight="1">
      <c r="A120" s="664"/>
      <c r="B120" s="664"/>
      <c r="C120" s="795" t="s">
        <v>1767</v>
      </c>
      <c r="D120" s="674" t="s">
        <v>687</v>
      </c>
      <c r="E120" s="783" t="s">
        <v>1204</v>
      </c>
      <c r="F120" s="704" t="s">
        <v>1914</v>
      </c>
      <c r="G120" s="706"/>
      <c r="H120" s="706">
        <f>(H109/G109-1)*100</f>
        <v>11.437025971041169</v>
      </c>
      <c r="I120" s="706">
        <f t="shared" si="106"/>
        <v>9.8997138363968951</v>
      </c>
      <c r="J120" s="706">
        <f t="shared" si="106"/>
        <v>3.1222876445611947</v>
      </c>
      <c r="K120" s="706">
        <f>(K109/J109-1)*100</f>
        <v>0.98498635122841183</v>
      </c>
      <c r="L120" s="706">
        <f t="shared" si="106"/>
        <v>1.3020070731872835</v>
      </c>
      <c r="M120" s="706">
        <f t="shared" si="106"/>
        <v>-0.40915256498642583</v>
      </c>
      <c r="N120" s="706">
        <f t="shared" si="106"/>
        <v>-0.94670328443507978</v>
      </c>
      <c r="O120" s="706">
        <f t="shared" si="106"/>
        <v>6.3431237743163171</v>
      </c>
      <c r="P120" s="706">
        <f>(P109/O109-1)*100</f>
        <v>5.1084214765670488</v>
      </c>
      <c r="Q120" s="706">
        <f t="shared" si="104"/>
        <v>10.00665497005253</v>
      </c>
      <c r="R120" s="706">
        <f t="shared" si="104"/>
        <v>12.355863535536859</v>
      </c>
      <c r="S120" s="706">
        <f t="shared" si="104"/>
        <v>15.687970108828676</v>
      </c>
      <c r="T120" s="706">
        <f t="shared" si="104"/>
        <v>15.451878596412104</v>
      </c>
      <c r="U120" s="706">
        <f t="shared" ref="U120:AB120" si="108">(U109/T109-1)*100</f>
        <v>-0.10017102369900277</v>
      </c>
      <c r="V120" s="706">
        <f t="shared" si="108"/>
        <v>-0.26779818533100297</v>
      </c>
      <c r="W120" s="706">
        <f t="shared" si="108"/>
        <v>8.9689672507019313</v>
      </c>
      <c r="X120" s="706">
        <f t="shared" si="108"/>
        <v>9.9072844701487703</v>
      </c>
      <c r="Y120" s="706">
        <f t="shared" si="108"/>
        <v>5.5088606558215902</v>
      </c>
      <c r="Z120" s="706">
        <f t="shared" si="108"/>
        <v>4.7040558897728735</v>
      </c>
      <c r="AA120" s="706">
        <f t="shared" si="108"/>
        <v>2.2593320235757997</v>
      </c>
      <c r="AB120" s="706">
        <f t="shared" si="108"/>
        <v>3.5814619469667575</v>
      </c>
      <c r="AC120" s="3274">
        <v>3.6</v>
      </c>
      <c r="AD120" s="3274">
        <v>2</v>
      </c>
      <c r="AE120" s="3274">
        <v>1</v>
      </c>
    </row>
    <row r="121" spans="1:113" ht="12.75" customHeight="1">
      <c r="A121" s="664"/>
      <c r="B121" s="664"/>
      <c r="C121" s="795"/>
      <c r="D121" s="2900" t="s">
        <v>727</v>
      </c>
      <c r="E121" s="2900"/>
      <c r="F121" s="2900"/>
      <c r="G121" s="2901"/>
      <c r="H121" s="2901"/>
      <c r="I121" s="2901"/>
      <c r="J121" s="2901"/>
      <c r="K121" s="2901"/>
      <c r="L121" s="2901"/>
      <c r="M121" s="2901"/>
      <c r="N121" s="2901"/>
      <c r="O121" s="2901"/>
      <c r="P121" s="2901"/>
      <c r="Q121" s="2901"/>
      <c r="R121" s="2901"/>
      <c r="S121" s="2901"/>
      <c r="T121" s="2914"/>
      <c r="U121" s="2914"/>
      <c r="V121" s="2914"/>
      <c r="W121" s="2914"/>
      <c r="X121" s="2914"/>
      <c r="Y121" s="2914"/>
      <c r="Z121" s="2914"/>
      <c r="AA121" s="2914"/>
      <c r="AB121" s="2914"/>
      <c r="AC121" s="2914"/>
      <c r="AD121" s="2914"/>
      <c r="AE121" s="2914"/>
    </row>
    <row r="122" spans="1:113" ht="12.75" customHeight="1">
      <c r="A122" s="664"/>
      <c r="B122" s="664"/>
      <c r="C122" s="795"/>
      <c r="D122" s="2900" t="s">
        <v>687</v>
      </c>
      <c r="E122" s="2900" t="s">
        <v>731</v>
      </c>
      <c r="F122" s="2900"/>
      <c r="G122" s="1005"/>
      <c r="H122" s="1005">
        <f t="shared" ref="H122:X123" si="109">(H112/G112-1)*100</f>
        <v>11.437025971041148</v>
      </c>
      <c r="I122" s="1005">
        <f t="shared" si="109"/>
        <v>9.9022918868751475</v>
      </c>
      <c r="J122" s="1005">
        <f t="shared" si="109"/>
        <v>3.1198686371100237</v>
      </c>
      <c r="K122" s="1005">
        <f>(K112/J112-1)*100</f>
        <v>0.98498635122836742</v>
      </c>
      <c r="L122" s="1005">
        <f t="shared" si="109"/>
        <v>1.2997544657941562</v>
      </c>
      <c r="M122" s="1005">
        <f t="shared" si="109"/>
        <v>-0.3958194351790012</v>
      </c>
      <c r="N122" s="1005">
        <f t="shared" si="109"/>
        <v>-0.93543489908912703</v>
      </c>
      <c r="O122" s="1005">
        <f t="shared" si="109"/>
        <v>6.292114574177976</v>
      </c>
      <c r="P122" s="1005">
        <f t="shared" si="109"/>
        <v>5.1118414078235919</v>
      </c>
      <c r="Q122" s="1005">
        <f t="shared" si="109"/>
        <v>9.8495239632080178</v>
      </c>
      <c r="R122" s="1005">
        <f t="shared" si="109"/>
        <v>11.588534493839408</v>
      </c>
      <c r="S122" s="1005">
        <f t="shared" si="109"/>
        <v>15.593220338983071</v>
      </c>
      <c r="T122" s="1005">
        <f t="shared" si="109"/>
        <v>16.076360219798968</v>
      </c>
      <c r="U122" s="1005">
        <f t="shared" si="109"/>
        <v>0.19745152626351459</v>
      </c>
      <c r="V122" s="1005">
        <f t="shared" si="109"/>
        <v>-0.5397796817625311</v>
      </c>
      <c r="W122" s="1005">
        <f t="shared" si="109"/>
        <v>9.0033104025400323</v>
      </c>
      <c r="X122" s="1005">
        <f t="shared" si="109"/>
        <v>8.5678803274061401</v>
      </c>
      <c r="Y122" s="1005">
        <f>(Y112/X112-1)*100</f>
        <v>6.7208102824341864</v>
      </c>
      <c r="Z122" s="1005">
        <f>(Z112/Y112-1)*100</f>
        <v>4.6449764681808947</v>
      </c>
      <c r="AA122" s="1005">
        <f>(AA112/Z112-1)*100</f>
        <v>2.7990390524610387</v>
      </c>
      <c r="AB122" s="1005">
        <f>(AB112/AA112-1)*100</f>
        <v>3.4221014492753499</v>
      </c>
      <c r="AC122" s="2259">
        <f>+AC120</f>
        <v>3.6</v>
      </c>
      <c r="AD122" s="2259">
        <f>+AD120</f>
        <v>2</v>
      </c>
      <c r="AE122" s="2259">
        <f>+AE120</f>
        <v>1</v>
      </c>
    </row>
    <row r="123" spans="1:113" ht="12.75" customHeight="1">
      <c r="A123" s="664"/>
      <c r="B123" s="664"/>
      <c r="C123" s="796"/>
      <c r="D123" s="2902" t="s">
        <v>687</v>
      </c>
      <c r="E123" s="2902" t="s">
        <v>730</v>
      </c>
      <c r="F123" s="2902"/>
      <c r="G123" s="2903"/>
      <c r="H123" s="2903" t="e">
        <f t="shared" ref="H123:S123" si="110">(H113/G113-1)*100</f>
        <v>#DIV/0!</v>
      </c>
      <c r="I123" s="2903" t="e">
        <f t="shared" si="110"/>
        <v>#DIV/0!</v>
      </c>
      <c r="J123" s="2903">
        <f t="shared" si="110"/>
        <v>-100</v>
      </c>
      <c r="K123" s="2903" t="e">
        <f>(K113/J113-1)*100</f>
        <v>#DIV/0!</v>
      </c>
      <c r="L123" s="2903" t="e">
        <f t="shared" si="110"/>
        <v>#DIV/0!</v>
      </c>
      <c r="M123" s="2903">
        <f t="shared" si="110"/>
        <v>-599.99999999111822</v>
      </c>
      <c r="N123" s="2903">
        <f t="shared" si="110"/>
        <v>99.999999998223643</v>
      </c>
      <c r="O123" s="2903">
        <f t="shared" si="110"/>
        <v>-220.00000000031088</v>
      </c>
      <c r="P123" s="2903">
        <f t="shared" si="110"/>
        <v>-8.3333333330712023</v>
      </c>
      <c r="Q123" s="2903">
        <f t="shared" si="110"/>
        <v>718.18181817988216</v>
      </c>
      <c r="R123" s="2903">
        <f t="shared" si="110"/>
        <v>476.66666666683852</v>
      </c>
      <c r="S123" s="2903">
        <f t="shared" si="110"/>
        <v>26.782273603084473</v>
      </c>
      <c r="T123" s="2903">
        <f t="shared" si="109"/>
        <v>-51.215805471119992</v>
      </c>
      <c r="U123" s="2903">
        <f t="shared" si="109"/>
        <v>-75.70093457943689</v>
      </c>
      <c r="V123" s="3170">
        <f t="shared" ref="V123:AE123" si="111">(V113/U113-1)*100</f>
        <v>284.61538461534303</v>
      </c>
      <c r="W123" s="3170">
        <f t="shared" si="111"/>
        <v>-0.33333333333550597</v>
      </c>
      <c r="X123" s="3170">
        <f t="shared" si="111"/>
        <v>406.6889632107052</v>
      </c>
      <c r="Y123" s="2915">
        <f t="shared" si="111"/>
        <v>-71.419141914192409</v>
      </c>
      <c r="Z123" s="2915">
        <f t="shared" si="111"/>
        <v>18.706697459563504</v>
      </c>
      <c r="AA123" s="2915">
        <f t="shared" si="111"/>
        <v>-110.50583657586421</v>
      </c>
      <c r="AB123" s="2915">
        <f t="shared" si="111"/>
        <v>-322.22222222251918</v>
      </c>
      <c r="AC123" s="2915">
        <f t="shared" si="111"/>
        <v>3.600000000010728</v>
      </c>
      <c r="AD123" s="2915">
        <f t="shared" si="111"/>
        <v>2.0000000000007123</v>
      </c>
      <c r="AE123" s="2915">
        <f t="shared" si="111"/>
        <v>1.0000000000029763</v>
      </c>
    </row>
    <row r="124" spans="1:113" ht="12.75" customHeight="1">
      <c r="A124" s="664"/>
      <c r="B124" s="664"/>
      <c r="C124" s="774" t="s">
        <v>1769</v>
      </c>
      <c r="D124" s="717"/>
      <c r="E124" s="722" t="s">
        <v>1204</v>
      </c>
      <c r="F124" s="723" t="s">
        <v>1107</v>
      </c>
      <c r="G124" s="721"/>
      <c r="H124" s="721">
        <f t="shared" ref="H124:P124" si="112">(H114/G114-1)*100</f>
        <v>25.111774216083504</v>
      </c>
      <c r="I124" s="721">
        <f t="shared" si="112"/>
        <v>13.736943073996244</v>
      </c>
      <c r="J124" s="721">
        <f t="shared" si="112"/>
        <v>4.2907513548864573</v>
      </c>
      <c r="K124" s="721">
        <f>(K114/J114-1)*100</f>
        <v>-5.060733169136622</v>
      </c>
      <c r="L124" s="721">
        <f t="shared" si="112"/>
        <v>16.472615293078086</v>
      </c>
      <c r="M124" s="721">
        <f t="shared" si="112"/>
        <v>9.7578663779996901</v>
      </c>
      <c r="N124" s="721">
        <f t="shared" si="112"/>
        <v>5.6667179190959649</v>
      </c>
      <c r="O124" s="721">
        <f t="shared" si="112"/>
        <v>10.303660336695387</v>
      </c>
      <c r="P124" s="721">
        <f t="shared" si="112"/>
        <v>8.3571322458924069</v>
      </c>
      <c r="Q124" s="721">
        <f t="shared" ref="Q124:V124" si="113">(Q114/P114-1)*100</f>
        <v>14.822472097430861</v>
      </c>
      <c r="R124" s="721">
        <f t="shared" si="113"/>
        <v>9.1261043455501891</v>
      </c>
      <c r="S124" s="721">
        <f t="shared" si="113"/>
        <v>19.989461033396449</v>
      </c>
      <c r="T124" s="721">
        <f t="shared" si="113"/>
        <v>8.5701550636420478</v>
      </c>
      <c r="U124" s="721">
        <f t="shared" si="113"/>
        <v>-17.847220029147913</v>
      </c>
      <c r="V124" s="2260">
        <f t="shared" si="113"/>
        <v>11.455225345477382</v>
      </c>
      <c r="W124" s="2260">
        <f t="shared" ref="W124:AE124" si="114">(W114/V114-1)*100</f>
        <v>15.465093922862771</v>
      </c>
      <c r="X124" s="2260">
        <f t="shared" si="114"/>
        <v>8.3831227887094517</v>
      </c>
      <c r="Y124" s="2260">
        <f t="shared" si="114"/>
        <v>4.4082670913658362</v>
      </c>
      <c r="Z124" s="2260">
        <f t="shared" si="114"/>
        <v>2.6792418708695864</v>
      </c>
      <c r="AA124" s="2260">
        <f t="shared" si="114"/>
        <v>-1.9575593218855714</v>
      </c>
      <c r="AB124" s="2260">
        <f t="shared" si="114"/>
        <v>-1.0737775020544404</v>
      </c>
      <c r="AC124" s="2260">
        <f t="shared" si="114"/>
        <v>7.1527021616164976</v>
      </c>
      <c r="AD124" s="2260">
        <f t="shared" ca="1" si="114"/>
        <v>5.0077608001065865</v>
      </c>
      <c r="AE124" s="2260">
        <f t="shared" ca="1" si="114"/>
        <v>5.2573339981000444</v>
      </c>
    </row>
    <row r="125" spans="1:113" ht="12.75" customHeight="1">
      <c r="A125" s="664"/>
      <c r="B125" s="664"/>
      <c r="C125" s="774"/>
      <c r="E125" s="786"/>
      <c r="F125" s="787"/>
      <c r="G125" s="703"/>
      <c r="H125" s="788"/>
      <c r="I125" s="703"/>
      <c r="J125" s="703"/>
      <c r="K125" s="703"/>
      <c r="L125" s="703"/>
      <c r="M125" s="703"/>
      <c r="N125" s="703"/>
      <c r="O125" s="703"/>
      <c r="P125" s="703"/>
      <c r="Q125" s="703"/>
      <c r="R125" s="703"/>
      <c r="S125" s="703"/>
      <c r="T125" s="2254"/>
      <c r="U125" s="2254"/>
      <c r="V125" s="2254"/>
      <c r="W125" s="2254"/>
      <c r="X125" s="2254"/>
      <c r="Y125" s="2254"/>
      <c r="Z125" s="2254"/>
      <c r="AA125" s="2254"/>
      <c r="AB125" s="2254"/>
      <c r="AC125" s="2254"/>
      <c r="AD125" s="2254"/>
      <c r="AE125" s="2254"/>
    </row>
    <row r="126" spans="1:113" ht="12.75" customHeight="1">
      <c r="A126" s="664"/>
      <c r="B126" s="664"/>
      <c r="C126" s="774"/>
      <c r="D126" s="818"/>
      <c r="E126" s="819" t="s">
        <v>512</v>
      </c>
      <c r="F126" s="820"/>
      <c r="G126" s="821">
        <f>+InputY!$G$3</f>
        <v>1995</v>
      </c>
      <c r="H126" s="821">
        <f>+G126+1</f>
        <v>1996</v>
      </c>
      <c r="I126" s="821">
        <f t="shared" ref="I126:O126" si="115">+H126+1</f>
        <v>1997</v>
      </c>
      <c r="J126" s="821">
        <f t="shared" si="115"/>
        <v>1998</v>
      </c>
      <c r="K126" s="821">
        <f>+J126+1</f>
        <v>1999</v>
      </c>
      <c r="L126" s="821">
        <f t="shared" si="115"/>
        <v>2000</v>
      </c>
      <c r="M126" s="821">
        <f t="shared" si="115"/>
        <v>2001</v>
      </c>
      <c r="N126" s="821">
        <f t="shared" si="115"/>
        <v>2002</v>
      </c>
      <c r="O126" s="821">
        <f t="shared" si="115"/>
        <v>2003</v>
      </c>
      <c r="P126" s="821">
        <f t="shared" ref="P126:V126" si="116">+O126+1</f>
        <v>2004</v>
      </c>
      <c r="Q126" s="821">
        <f t="shared" si="116"/>
        <v>2005</v>
      </c>
      <c r="R126" s="821">
        <f t="shared" si="116"/>
        <v>2006</v>
      </c>
      <c r="S126" s="821">
        <f>+R126+1</f>
        <v>2007</v>
      </c>
      <c r="T126" s="821">
        <f t="shared" si="116"/>
        <v>2008</v>
      </c>
      <c r="U126" s="821">
        <f t="shared" si="116"/>
        <v>2009</v>
      </c>
      <c r="V126" s="821">
        <f t="shared" si="116"/>
        <v>2010</v>
      </c>
      <c r="W126" s="821">
        <f t="shared" ref="W126:AE126" si="117">+V126+1</f>
        <v>2011</v>
      </c>
      <c r="X126" s="821">
        <f t="shared" si="117"/>
        <v>2012</v>
      </c>
      <c r="Y126" s="821">
        <f t="shared" si="117"/>
        <v>2013</v>
      </c>
      <c r="Z126" s="821">
        <f t="shared" si="117"/>
        <v>2014</v>
      </c>
      <c r="AA126" s="821">
        <f t="shared" si="117"/>
        <v>2015</v>
      </c>
      <c r="AB126" s="821">
        <f t="shared" si="117"/>
        <v>2016</v>
      </c>
      <c r="AC126" s="821">
        <f t="shared" si="117"/>
        <v>2017</v>
      </c>
      <c r="AD126" s="821">
        <f t="shared" si="117"/>
        <v>2018</v>
      </c>
      <c r="AE126" s="821">
        <f t="shared" si="117"/>
        <v>2019</v>
      </c>
    </row>
    <row r="127" spans="1:113" ht="12.75" customHeight="1">
      <c r="A127" s="664"/>
      <c r="B127" s="664"/>
      <c r="C127" s="822" t="s">
        <v>1767</v>
      </c>
      <c r="D127" s="823" t="s">
        <v>685</v>
      </c>
      <c r="E127" s="824" t="s">
        <v>1204</v>
      </c>
      <c r="F127" s="825" t="s">
        <v>124</v>
      </c>
      <c r="G127" s="838">
        <f>+G107/'VVP2'!G$341</f>
        <v>0.2187704857860038</v>
      </c>
      <c r="H127" s="838">
        <f>+H107/'VVP2'!H$341</f>
        <v>0.21863467210203671</v>
      </c>
      <c r="I127" s="838">
        <f>+I107/'VVP2'!I$341</f>
        <v>0.20461194404119978</v>
      </c>
      <c r="J127" s="838">
        <f>+J107/'VVP2'!J$341</f>
        <v>0.19780355645386716</v>
      </c>
      <c r="K127" s="838">
        <f>+K107/'VVP2'!K$341</f>
        <v>0.19762383496642566</v>
      </c>
      <c r="L127" s="838">
        <f>+L107/'VVP2'!L$341</f>
        <v>0.18828292258183235</v>
      </c>
      <c r="M127" s="838">
        <f>+M107/'VVP2'!M$341</f>
        <v>0.16818462336169168</v>
      </c>
      <c r="N127" s="838">
        <f>+N107/'VVP2'!N$341</f>
        <v>0.15434572827431872</v>
      </c>
      <c r="O127" s="838">
        <f>+O107/'VVP2'!O$341</f>
        <v>0.14619149436541304</v>
      </c>
      <c r="P127" s="838">
        <f>+P107/'VVP2'!P$341</f>
        <v>0.13980859449536454</v>
      </c>
      <c r="Q127" s="838">
        <f>+Q107/'VVP2'!Q$341</f>
        <v>0.13577099705509144</v>
      </c>
      <c r="R127" s="838">
        <f>+R107/'VVP2'!R$341</f>
        <v>0.12325253600828598</v>
      </c>
      <c r="S127" s="838">
        <f>+S107/'VVP2'!S$341</f>
        <v>0.10995239088918778</v>
      </c>
      <c r="T127" s="838">
        <f>+T107/'VVP2'!T$341</f>
        <v>0.10430605561244274</v>
      </c>
      <c r="U127" s="2909">
        <f>+U107/'VVP2'!U$341</f>
        <v>0.10477961241248318</v>
      </c>
      <c r="V127" s="2909">
        <f>+V107/'VVP2'!V$341</f>
        <v>9.3870840448328524E-2</v>
      </c>
      <c r="W127" s="2909">
        <f>+W107/'VVP2'!W$341</f>
        <v>9.0700271012414901E-2</v>
      </c>
      <c r="X127" s="2909">
        <f>+X107/'VVP2'!X$341</f>
        <v>9.8072235975972519E-2</v>
      </c>
      <c r="Y127" s="2909">
        <f>+Y107/'VVP2'!Y$341</f>
        <v>9.6910009110503098E-2</v>
      </c>
      <c r="Z127" s="2909">
        <f>+Z107/'VVP2'!Z$341</f>
        <v>9.6469125701290834E-2</v>
      </c>
      <c r="AA127" s="2909">
        <f>+AA107/'VVP2'!AA$341</f>
        <v>0.10081463429362157</v>
      </c>
      <c r="AB127" s="2909">
        <f>+AB107/'VVP2'!AB$341</f>
        <v>9.7720304373192318E-2</v>
      </c>
      <c r="AC127" s="2909">
        <f ca="1">+AC107/'VVP2'!AC$341</f>
        <v>9.0443193854125623E-2</v>
      </c>
      <c r="AD127" s="2909">
        <f ca="1">+AD107/'VVP2'!AD$341</f>
        <v>8.5468147604337102E-2</v>
      </c>
      <c r="AE127" s="2909">
        <f ca="1">+AE107/'VVP2'!AE$341</f>
        <v>8.0955089763490057E-2</v>
      </c>
    </row>
    <row r="128" spans="1:113" ht="12.75" customHeight="1">
      <c r="A128" s="664"/>
      <c r="B128" s="664"/>
      <c r="C128" s="826" t="s">
        <v>1767</v>
      </c>
      <c r="D128" s="674" t="s">
        <v>686</v>
      </c>
      <c r="E128" s="783" t="s">
        <v>1204</v>
      </c>
      <c r="F128" s="704" t="s">
        <v>1160</v>
      </c>
      <c r="G128" s="839">
        <f>+G108/'VVP2'!G$341</f>
        <v>0.25260382792004155</v>
      </c>
      <c r="H128" s="839">
        <f>+H108/'VVP2'!H$341</f>
        <v>0.25764889362424909</v>
      </c>
      <c r="I128" s="839">
        <f>+I108/'VVP2'!I$341</f>
        <v>0.2454884454050292</v>
      </c>
      <c r="J128" s="839">
        <f>+J108/'VVP2'!J$341</f>
        <v>0.22521724840193025</v>
      </c>
      <c r="K128" s="839">
        <f>+K108/'VVP2'!K$341</f>
        <v>0.21168762311124542</v>
      </c>
      <c r="L128" s="839">
        <f>+L108/'VVP2'!L$341</f>
        <v>0.27009510643932083</v>
      </c>
      <c r="M128" s="839">
        <f>+M108/'VVP2'!M$341</f>
        <v>0.30885088048063614</v>
      </c>
      <c r="N128" s="839">
        <f>+N108/'VVP2'!N$341</f>
        <v>0.31825851177825271</v>
      </c>
      <c r="O128" s="839">
        <f>+O108/'VVP2'!O$341</f>
        <v>0.33030486283092408</v>
      </c>
      <c r="P128" s="839">
        <f>+P108/'VVP2'!P$341</f>
        <v>0.3329248392891217</v>
      </c>
      <c r="Q128" s="839">
        <f>+Q108/'VVP2'!Q$341</f>
        <v>0.33671803393429783</v>
      </c>
      <c r="R128" s="839">
        <f>+R108/'VVP2'!R$341</f>
        <v>0.32573991307012939</v>
      </c>
      <c r="S128" s="839">
        <f>+S108/'VVP2'!S$341</f>
        <v>0.33765761521948889</v>
      </c>
      <c r="T128" s="839">
        <f>+T108/'VVP2'!T$341</f>
        <v>0.32583767939349673</v>
      </c>
      <c r="U128" s="2910">
        <f>+U108/'VVP2'!U$341</f>
        <v>0.31878958166418042</v>
      </c>
      <c r="V128" s="2910">
        <f>+V108/'VVP2'!V$341</f>
        <v>0.36323332022723265</v>
      </c>
      <c r="W128" s="2910">
        <f>+W108/'VVP2'!W$341</f>
        <v>0.38398264190422354</v>
      </c>
      <c r="X128" s="2910">
        <f>+X108/'VVP2'!X$341</f>
        <v>0.3840139040819851</v>
      </c>
      <c r="Y128" s="2910">
        <f>+Y108/'VVP2'!Y$341</f>
        <v>0.38292316999741122</v>
      </c>
      <c r="Z128" s="2910">
        <f>+Z108/'VVP2'!Z$341</f>
        <v>0.37397657204549956</v>
      </c>
      <c r="AA128" s="2910">
        <f>+AA108/'VVP2'!AA$341</f>
        <v>0.34862815520828627</v>
      </c>
      <c r="AB128" s="2910">
        <f>+AB108/'VVP2'!AB$341</f>
        <v>0.33129005863197575</v>
      </c>
      <c r="AC128" s="2910">
        <f ca="1">+AC108/'VVP2'!AC$341</f>
        <v>0.33599217647163382</v>
      </c>
      <c r="AD128" s="2910">
        <f ca="1">+AD108/'VVP2'!AD$341</f>
        <v>0.33849587783313306</v>
      </c>
      <c r="AE128" s="2910">
        <f ca="1">+AE108/'VVP2'!AE$341</f>
        <v>0.34283583816368834</v>
      </c>
    </row>
    <row r="129" spans="1:113" ht="12.75" customHeight="1">
      <c r="A129" s="664"/>
      <c r="B129" s="664"/>
      <c r="C129" s="827" t="s">
        <v>1767</v>
      </c>
      <c r="D129" s="828" t="s">
        <v>687</v>
      </c>
      <c r="E129" s="829" t="s">
        <v>1204</v>
      </c>
      <c r="F129" s="830" t="s">
        <v>1914</v>
      </c>
      <c r="G129" s="840">
        <f>+G109/'VVP2'!G$341</f>
        <v>4.4829500304590229E-2</v>
      </c>
      <c r="H129" s="840">
        <f>+H109/'VVP2'!H$341</f>
        <v>3.9930410792503722E-2</v>
      </c>
      <c r="I129" s="840">
        <f>+I109/'VVP2'!I$341</f>
        <v>3.6359402746764413E-2</v>
      </c>
      <c r="J129" s="840">
        <f>+J109/'VVP2'!J$341</f>
        <v>3.3758358956716174E-2</v>
      </c>
      <c r="K129" s="840">
        <f>+K109/'VVP2'!K$341</f>
        <v>3.4921901057891384E-2</v>
      </c>
      <c r="L129" s="840">
        <f>+L109/'VVP2'!L$341</f>
        <v>3.3640330994944727E-2</v>
      </c>
      <c r="M129" s="840">
        <f>+M109/'VVP2'!M$341</f>
        <v>3.1552317373183439E-2</v>
      </c>
      <c r="N129" s="840">
        <f>+N109/'VVP2'!N$341</f>
        <v>2.9182018093469573E-2</v>
      </c>
      <c r="O129" s="840">
        <f>+O109/'VVP2'!O$341</f>
        <v>2.8303120620476484E-2</v>
      </c>
      <c r="P129" s="840">
        <f>+P109/'VVP2'!P$341</f>
        <v>2.7189253919897894E-2</v>
      </c>
      <c r="Q129" s="840">
        <f>+Q109/'VVP2'!Q$341</f>
        <v>2.5972807804840872E-2</v>
      </c>
      <c r="R129" s="840">
        <f>+R109/'VVP2'!R$341</f>
        <v>2.545310928362177E-2</v>
      </c>
      <c r="S129" s="840">
        <f>+S109/'VVP2'!S$341</f>
        <v>2.4415423065453738E-2</v>
      </c>
      <c r="T129" s="840">
        <f>+T109/'VVP2'!T$341</f>
        <v>2.5036487331280503E-2</v>
      </c>
      <c r="U129" s="2911">
        <f>+U109/'VVP2'!U$341</f>
        <v>3.0361442920353657E-2</v>
      </c>
      <c r="V129" s="2911">
        <f>+V109/'VVP2'!V$341</f>
        <v>2.909946816823096E-2</v>
      </c>
      <c r="W129" s="2911">
        <f>+W109/'VVP2'!W$341</f>
        <v>2.8416655688894631E-2</v>
      </c>
      <c r="X129" s="2911">
        <f>+X109/'VVP2'!X$341</f>
        <v>2.9290390446581081E-2</v>
      </c>
      <c r="Y129" s="2911">
        <f>+Y109/'VVP2'!Y$341</f>
        <v>2.9479700168622964E-2</v>
      </c>
      <c r="Z129" s="2911">
        <f>+Z109/'VVP2'!Z$341</f>
        <v>2.9508634258980711E-2</v>
      </c>
      <c r="AA129" s="2911">
        <f>+AA109/'VVP2'!AA$341</f>
        <v>2.9483300785190021E-2</v>
      </c>
      <c r="AB129" s="2911">
        <f>+AB109/'VVP2'!AB$341</f>
        <v>2.9558563702793399E-2</v>
      </c>
      <c r="AC129" s="2911">
        <f ca="1">+AC109/'VVP2'!AC$341</f>
        <v>2.8342239388622088E-2</v>
      </c>
      <c r="AD129" s="2911">
        <f ca="1">+AD109/'VVP2'!AD$341</f>
        <v>2.731887020132678E-2</v>
      </c>
      <c r="AE129" s="2911">
        <f ca="1">+AE109/'VVP2'!AE$341</f>
        <v>2.6135088543396114E-2</v>
      </c>
    </row>
    <row r="130" spans="1:113" ht="12.75" customHeight="1">
      <c r="A130" s="664"/>
      <c r="B130" s="664"/>
      <c r="C130" s="774" t="s">
        <v>1769</v>
      </c>
      <c r="D130" s="806"/>
      <c r="E130" s="807" t="s">
        <v>1204</v>
      </c>
      <c r="F130" s="808" t="s">
        <v>1107</v>
      </c>
      <c r="G130" s="841">
        <f>+G114/'VVP2'!G$341</f>
        <v>0.51620381401063553</v>
      </c>
      <c r="H130" s="841">
        <f>+H114/'VVP2'!H$341</f>
        <v>0.51621397651878953</v>
      </c>
      <c r="I130" s="841">
        <f>+I114/'VVP2'!I$341</f>
        <v>0.4864606451194694</v>
      </c>
      <c r="J130" s="841">
        <f>+J114/'VVP2'!J$341</f>
        <v>0.45677839587896141</v>
      </c>
      <c r="K130" s="841">
        <f>+K114/'VVP2'!K$341</f>
        <v>0.44423335913556239</v>
      </c>
      <c r="L130" s="841">
        <f>+L114/'VVP2'!L$341</f>
        <v>0.49201611588114458</v>
      </c>
      <c r="M130" s="841">
        <f>+M114/'VVP2'!M$341</f>
        <v>0.50858852571273983</v>
      </c>
      <c r="N130" s="841">
        <f>+N114/'VVP2'!N$341</f>
        <v>0.50178757374769523</v>
      </c>
      <c r="O130" s="841">
        <f>+O114/'VVP2'!O$341</f>
        <v>0.50480007775154057</v>
      </c>
      <c r="P130" s="841">
        <f>+P114/'VVP2'!P$341</f>
        <v>0.49992213939023084</v>
      </c>
      <c r="Q130" s="841">
        <f>+Q114/'VVP2'!Q$341</f>
        <v>0.49846183879423023</v>
      </c>
      <c r="R130" s="841">
        <f>+R114/'VVP2'!R$341</f>
        <v>0.47444597365857138</v>
      </c>
      <c r="S130" s="841">
        <f>+S114/'VVP2'!S$341</f>
        <v>0.4720250848293393</v>
      </c>
      <c r="T130" s="841">
        <f>+T114/'VVP2'!T$341</f>
        <v>0.45518052818241095</v>
      </c>
      <c r="U130" s="2912">
        <f>+U114/'VVP2'!U$341</f>
        <v>0.45393137953028828</v>
      </c>
      <c r="V130" s="2912">
        <f>+V114/'VVP2'!V$341</f>
        <v>0.48620327205339292</v>
      </c>
      <c r="W130" s="2912">
        <f>+W114/'VVP2'!W$341</f>
        <v>0.5030992488646</v>
      </c>
      <c r="X130" s="2912">
        <f>+X114/'VVP2'!X$341</f>
        <v>0.51137683036828052</v>
      </c>
      <c r="Y130" s="2912">
        <f>+Y114/'VVP2'!Y$341</f>
        <v>0.5093131653205909</v>
      </c>
      <c r="Z130" s="2912">
        <f>+Z114/'VVP2'!Z$341</f>
        <v>0.49995405854472785</v>
      </c>
      <c r="AA130" s="2912">
        <f>+AA114/'VVP2'!AA$341</f>
        <v>0.47892582309752335</v>
      </c>
      <c r="AB130" s="2912">
        <f>+AB114/'VVP2'!AB$341</f>
        <v>0.45856918531759328</v>
      </c>
      <c r="AC130" s="2912">
        <f ca="1">+AC114/'VVP2'!AC$341</f>
        <v>0.45477760971438147</v>
      </c>
      <c r="AD130" s="2912">
        <f ca="1">+AD114/'VVP2'!AD$341</f>
        <v>0.45128289563879698</v>
      </c>
      <c r="AE130" s="2912">
        <f ca="1">+AE114/'VVP2'!AE$341</f>
        <v>0.44992601647057456</v>
      </c>
    </row>
    <row r="131" spans="1:113" ht="30" customHeight="1">
      <c r="AB131" s="2221"/>
      <c r="AC131" s="2221"/>
      <c r="AD131" s="2221"/>
      <c r="AE131" s="2221"/>
    </row>
    <row r="132" spans="1:113" ht="30" customHeight="1">
      <c r="AB132" s="2221"/>
      <c r="AC132" s="2221"/>
      <c r="AD132" s="2221"/>
      <c r="AE132" s="2221"/>
    </row>
    <row r="133" spans="1:113" ht="22.5" customHeight="1">
      <c r="A133" s="574"/>
      <c r="B133" s="574"/>
      <c r="C133" s="3752" t="s">
        <v>1489</v>
      </c>
      <c r="D133" s="3752"/>
      <c r="E133" s="3752"/>
      <c r="F133" s="3752"/>
      <c r="R133" s="843"/>
      <c r="S133" s="843"/>
      <c r="T133" s="843"/>
      <c r="U133" s="843"/>
      <c r="V133" s="843"/>
      <c r="W133" s="843"/>
      <c r="X133" s="1907"/>
      <c r="Y133" s="843"/>
      <c r="Z133" s="843"/>
      <c r="AA133" s="843"/>
      <c r="AB133" s="843"/>
      <c r="AC133" s="843"/>
      <c r="AD133" s="843"/>
      <c r="AE133" s="843"/>
    </row>
    <row r="134" spans="1:113" ht="12.75" customHeight="1">
      <c r="A134" s="664"/>
      <c r="B134" s="664"/>
      <c r="C134" s="774"/>
      <c r="Q134" s="699"/>
      <c r="R134" s="2254"/>
      <c r="S134" s="2254"/>
      <c r="T134" s="2254"/>
      <c r="V134" s="2254"/>
      <c r="W134" s="2254"/>
      <c r="X134" s="2254"/>
      <c r="Y134" s="2254"/>
      <c r="Z134" s="2254"/>
      <c r="AA134" s="2254"/>
      <c r="AB134" s="2254"/>
      <c r="AC134" s="2254"/>
      <c r="AD134" s="2254"/>
      <c r="AE134" s="2254"/>
    </row>
    <row r="135" spans="1:113" ht="12.75" customHeight="1">
      <c r="A135" s="664"/>
      <c r="B135" s="664"/>
      <c r="C135" s="774"/>
      <c r="D135" s="775"/>
      <c r="E135" s="776" t="s">
        <v>1384</v>
      </c>
      <c r="F135" s="777"/>
      <c r="G135" s="778">
        <f>+InputY!$G$3</f>
        <v>1995</v>
      </c>
      <c r="H135" s="778">
        <f>+G135+1</f>
        <v>1996</v>
      </c>
      <c r="I135" s="778">
        <f t="shared" ref="I135:O135" si="118">+H135+1</f>
        <v>1997</v>
      </c>
      <c r="J135" s="778">
        <f t="shared" si="118"/>
        <v>1998</v>
      </c>
      <c r="K135" s="778">
        <f>+J135+1</f>
        <v>1999</v>
      </c>
      <c r="L135" s="778">
        <f t="shared" si="118"/>
        <v>2000</v>
      </c>
      <c r="M135" s="778">
        <f t="shared" si="118"/>
        <v>2001</v>
      </c>
      <c r="N135" s="778">
        <f t="shared" si="118"/>
        <v>2002</v>
      </c>
      <c r="O135" s="778">
        <f t="shared" si="118"/>
        <v>2003</v>
      </c>
      <c r="P135" s="778">
        <f t="shared" ref="P135:W135" si="119">+O135+1</f>
        <v>2004</v>
      </c>
      <c r="Q135" s="778">
        <f t="shared" si="119"/>
        <v>2005</v>
      </c>
      <c r="R135" s="778">
        <f t="shared" si="119"/>
        <v>2006</v>
      </c>
      <c r="S135" s="778">
        <f t="shared" si="119"/>
        <v>2007</v>
      </c>
      <c r="T135" s="2222">
        <f t="shared" si="119"/>
        <v>2008</v>
      </c>
      <c r="U135" s="2222">
        <f t="shared" si="119"/>
        <v>2009</v>
      </c>
      <c r="V135" s="2222">
        <f t="shared" si="119"/>
        <v>2010</v>
      </c>
      <c r="W135" s="2222">
        <f t="shared" si="119"/>
        <v>2011</v>
      </c>
      <c r="X135" s="2222">
        <f t="shared" ref="X135:AE135" si="120">+W135+1</f>
        <v>2012</v>
      </c>
      <c r="Y135" s="2222">
        <f t="shared" si="120"/>
        <v>2013</v>
      </c>
      <c r="Z135" s="2222">
        <f t="shared" si="120"/>
        <v>2014</v>
      </c>
      <c r="AA135" s="2222">
        <f t="shared" si="120"/>
        <v>2015</v>
      </c>
      <c r="AB135" s="2222">
        <f t="shared" si="120"/>
        <v>2016</v>
      </c>
      <c r="AC135" s="2222">
        <f t="shared" si="120"/>
        <v>2017</v>
      </c>
      <c r="AD135" s="2222">
        <f t="shared" si="120"/>
        <v>2018</v>
      </c>
      <c r="AE135" s="2222">
        <f t="shared" si="120"/>
        <v>2019</v>
      </c>
    </row>
    <row r="136" spans="1:113" ht="12.75" customHeight="1">
      <c r="A136" s="664">
        <f>+ROW(InputY!A119)</f>
        <v>119</v>
      </c>
      <c r="B136" s="664">
        <v>105</v>
      </c>
      <c r="C136" s="779" t="s">
        <v>401</v>
      </c>
      <c r="D136" s="668" t="s">
        <v>686</v>
      </c>
      <c r="E136" s="700" t="s">
        <v>1692</v>
      </c>
      <c r="F136" s="701" t="str">
        <f>+InputY!B119</f>
        <v>YEPropN</v>
      </c>
      <c r="G136" s="780">
        <f>+InputY!G119/1000</f>
        <v>-0.78402000000000005</v>
      </c>
      <c r="H136" s="780">
        <f>+InputY!H119/1000</f>
        <v>-0.92613000000000012</v>
      </c>
      <c r="I136" s="780">
        <f>+InputY!I119/1000</f>
        <v>-1.30352</v>
      </c>
      <c r="J136" s="780">
        <f>+InputY!J119/1000</f>
        <v>-1.6185399999999999</v>
      </c>
      <c r="K136" s="780">
        <f>+InputY!K119/1000</f>
        <v>-1.5516400000000001</v>
      </c>
      <c r="L136" s="780">
        <f>+InputY!L119/1000</f>
        <v>-2.4417300000000002</v>
      </c>
      <c r="M136" s="780">
        <f>+InputY!M119/1000</f>
        <v>-2.69787</v>
      </c>
      <c r="N136" s="780">
        <f>+InputY!N119/1000</f>
        <v>-3.0302600000000002</v>
      </c>
      <c r="O136" s="780">
        <f>+InputY!O119/1000</f>
        <v>-3.2625700000000002</v>
      </c>
      <c r="P136" s="780">
        <f>+InputY!P119/1000</f>
        <v>-4.324110000000001</v>
      </c>
      <c r="Q136" s="780">
        <f>+InputY!Q119/1000</f>
        <v>-4.0924699999999996</v>
      </c>
      <c r="R136" s="780">
        <f>+InputY!R119/1000</f>
        <v>-4.8829799999999999</v>
      </c>
      <c r="S136" s="780">
        <f>+InputY!S119/1000</f>
        <v>-4.5213700000000001</v>
      </c>
      <c r="T136" s="780">
        <f>+InputY!T119/1000</f>
        <v>-5.0862400000000001</v>
      </c>
      <c r="U136" s="780">
        <f>+InputY!U119/1000</f>
        <v>-3.3473299999999999</v>
      </c>
      <c r="V136" s="780">
        <f>+InputY!V119/1000</f>
        <v>-5.076950000000001</v>
      </c>
      <c r="W136" s="780">
        <f>+InputY!W119/1000</f>
        <v>-6.1153799999999991</v>
      </c>
      <c r="X136" s="780">
        <f>+InputY!X119/1000</f>
        <v>-5.9805399999999995</v>
      </c>
      <c r="Y136" s="780">
        <f>+InputY!Y119/1000</f>
        <v>-5.8831499999999997</v>
      </c>
      <c r="Z136" s="780">
        <f>+InputY!Z119/1000</f>
        <v>-5.0425499999999994</v>
      </c>
      <c r="AA136" s="780">
        <f>+InputY!AA119/1000</f>
        <v>-6.1047099999999999</v>
      </c>
      <c r="AB136" s="780">
        <f>+InputY!AB119/1000</f>
        <v>-6.4326499999999998</v>
      </c>
      <c r="AC136" s="2232">
        <f>+AB136*(1+AC147/100)</f>
        <v>-6.7864457499999995</v>
      </c>
      <c r="AD136" s="2232">
        <f>+AC136*(1+AD147/100)</f>
        <v>-7.1597002662499989</v>
      </c>
      <c r="AE136" s="2232">
        <f>+AD136*(1+AE147/100)</f>
        <v>-7.5534837808937487</v>
      </c>
    </row>
    <row r="137" spans="1:113" ht="12.75" customHeight="1">
      <c r="A137" s="664">
        <f>+ROW(InputY!A151)</f>
        <v>151</v>
      </c>
      <c r="B137" s="664" t="s">
        <v>1913</v>
      </c>
      <c r="C137" s="782" t="s">
        <v>401</v>
      </c>
      <c r="D137" s="674" t="s">
        <v>687</v>
      </c>
      <c r="E137" s="783" t="s">
        <v>852</v>
      </c>
      <c r="F137" s="704" t="str">
        <f>+InputY!B151</f>
        <v>YAProp</v>
      </c>
      <c r="G137" s="706">
        <f>+InputY!G151/1000</f>
        <v>2.7739999999999997E-2</v>
      </c>
      <c r="H137" s="706">
        <f>+InputY!H151/1000</f>
        <v>3.005E-2</v>
      </c>
      <c r="I137" s="706">
        <f>+InputY!I151/1000</f>
        <v>5.4469999999999998E-2</v>
      </c>
      <c r="J137" s="706">
        <f>+InputY!J151/1000</f>
        <v>0.15242</v>
      </c>
      <c r="K137" s="706">
        <f>+InputY!K151/1000</f>
        <v>0.15071999999999999</v>
      </c>
      <c r="L137" s="706">
        <f>+InputY!L151/1000</f>
        <v>0.17279</v>
      </c>
      <c r="M137" s="706">
        <f>+InputY!M151/1000</f>
        <v>0.21227000000000001</v>
      </c>
      <c r="N137" s="706">
        <f>+InputY!N151/1000</f>
        <v>0.16736000000000001</v>
      </c>
      <c r="O137" s="706">
        <f>+InputY!O151/1000</f>
        <v>0.15512999999999999</v>
      </c>
      <c r="P137" s="706">
        <f>+InputY!P151/1000</f>
        <v>0.14368999999999998</v>
      </c>
      <c r="Q137" s="706">
        <f>+InputY!Q151/1000</f>
        <v>0.16131999999999999</v>
      </c>
      <c r="R137" s="706">
        <f>+InputY!R151/1000</f>
        <v>0.14407</v>
      </c>
      <c r="S137" s="706">
        <f>+InputY!S151/1000</f>
        <v>0.17216999999999999</v>
      </c>
      <c r="T137" s="706">
        <f>+InputY!T151/1000</f>
        <v>0.19849</v>
      </c>
      <c r="U137" s="1564">
        <f>+InputY!U151/1000</f>
        <v>0.16755</v>
      </c>
      <c r="V137" s="1564">
        <f>+InputY!V151/1000</f>
        <v>0.1923</v>
      </c>
      <c r="W137" s="1564">
        <f>+InputY!W151/1000</f>
        <v>0.17241000000000001</v>
      </c>
      <c r="X137" s="1564">
        <f>+InputY!X151/1000</f>
        <v>0.20311999999999999</v>
      </c>
      <c r="Y137" s="1564">
        <f>+InputY!Y151/1000</f>
        <v>0.12808</v>
      </c>
      <c r="Z137" s="1564">
        <f>+InputY!Z151/1000</f>
        <v>0.13741</v>
      </c>
      <c r="AA137" s="1564">
        <f>+InputY!AA151/1000</f>
        <v>0.14858000000000002</v>
      </c>
      <c r="AB137" s="1564">
        <f>+InputY!AB151/1000</f>
        <v>0.18825999999999998</v>
      </c>
      <c r="AC137" s="3341">
        <f t="shared" ref="AC137:AE139" si="121">+AB137*(1+AC148/100)</f>
        <v>0.21649899999999997</v>
      </c>
      <c r="AD137" s="3341">
        <f t="shared" si="121"/>
        <v>0.2381489</v>
      </c>
      <c r="AE137" s="3341">
        <f t="shared" si="121"/>
        <v>0.25243783400000003</v>
      </c>
    </row>
    <row r="138" spans="1:113" ht="12.75" customHeight="1">
      <c r="A138" s="664">
        <f>+ROW(InputY!A154)</f>
        <v>154</v>
      </c>
      <c r="B138" s="664" t="s">
        <v>1695</v>
      </c>
      <c r="C138" s="782" t="s">
        <v>1767</v>
      </c>
      <c r="D138" s="674" t="s">
        <v>687</v>
      </c>
      <c r="E138" s="783" t="s">
        <v>851</v>
      </c>
      <c r="F138" s="981" t="s">
        <v>854</v>
      </c>
      <c r="G138" s="706">
        <f>+InputY!G154/1000</f>
        <v>0</v>
      </c>
      <c r="H138" s="706">
        <f>+InputY!H154/1000</f>
        <v>0</v>
      </c>
      <c r="I138" s="706">
        <f>+InputY!I154/1000</f>
        <v>0</v>
      </c>
      <c r="J138" s="706">
        <f>+InputY!J154/1000</f>
        <v>0</v>
      </c>
      <c r="K138" s="706">
        <f>+InputY!K154/1000</f>
        <v>0</v>
      </c>
      <c r="L138" s="706">
        <f>+InputY!L154/1000</f>
        <v>0</v>
      </c>
      <c r="M138" s="706">
        <f>+InputY!M154/1000</f>
        <v>0</v>
      </c>
      <c r="N138" s="706">
        <f>+InputY!N154/1000</f>
        <v>0</v>
      </c>
      <c r="O138" s="706">
        <f>+InputY!O154/1000</f>
        <v>0</v>
      </c>
      <c r="P138" s="706">
        <f>+InputY!P154/1000</f>
        <v>9.9999999999909054E-6</v>
      </c>
      <c r="Q138" s="706">
        <f>+InputY!Q154/1000</f>
        <v>9.9999999999909054E-6</v>
      </c>
      <c r="R138" s="706">
        <f>+InputY!R154/1000</f>
        <v>1.0000000000019327E-5</v>
      </c>
      <c r="S138" s="706">
        <f>+InputY!S154/1000</f>
        <v>9.9999999999909054E-6</v>
      </c>
      <c r="T138" s="706">
        <f>+InputY!T154/1000</f>
        <v>2.000000000001023E-5</v>
      </c>
      <c r="U138" s="706">
        <f>+InputY!U154/1000</f>
        <v>2.0000000000038653E-5</v>
      </c>
      <c r="V138" s="706">
        <f>+InputY!V154/1000</f>
        <v>1.9999999999981811E-5</v>
      </c>
      <c r="W138" s="706">
        <f>+InputY!W154/1000</f>
        <v>1.9999999999981811E-5</v>
      </c>
      <c r="X138" s="706">
        <f>+InputY!X154/1000</f>
        <v>9.9999999999909054E-6</v>
      </c>
      <c r="Y138" s="706">
        <f>+InputY!Y154/1000</f>
        <v>1.0000000000104592E-5</v>
      </c>
      <c r="Z138" s="706">
        <f>+InputY!Z154/1000</f>
        <v>9.9999999999909054E-6</v>
      </c>
      <c r="AA138" s="706">
        <f>+InputY!AA154/1000</f>
        <v>1.0000000000104592E-5</v>
      </c>
      <c r="AB138" s="706">
        <f>+InputY!AB154/1000</f>
        <v>9.9999999999909054E-6</v>
      </c>
      <c r="AC138" s="2217">
        <f t="shared" si="121"/>
        <v>9.9999999999909054E-6</v>
      </c>
      <c r="AD138" s="2217">
        <f t="shared" si="121"/>
        <v>9.9999999999909054E-6</v>
      </c>
      <c r="AE138" s="2217">
        <f t="shared" si="121"/>
        <v>9.9999999999909054E-6</v>
      </c>
      <c r="AF138" t="s">
        <v>724</v>
      </c>
    </row>
    <row r="139" spans="1:113" ht="12.75" customHeight="1">
      <c r="A139" s="664">
        <f>+ROW(InputY!A153)</f>
        <v>153</v>
      </c>
      <c r="B139" s="664">
        <v>122</v>
      </c>
      <c r="C139" s="782" t="s">
        <v>1767</v>
      </c>
      <c r="D139" s="674" t="s">
        <v>687</v>
      </c>
      <c r="E139" s="783" t="s">
        <v>1205</v>
      </c>
      <c r="F139" s="704" t="str">
        <f>+InputY!B153</f>
        <v>$AInt</v>
      </c>
      <c r="G139" s="706">
        <f>+InputY!G153/1000</f>
        <v>2.6940000000000002E-2</v>
      </c>
      <c r="H139" s="706">
        <f>+InputY!H153/1000</f>
        <v>8.097E-2</v>
      </c>
      <c r="I139" s="706">
        <f>+InputY!I153/1000</f>
        <v>8.584E-2</v>
      </c>
      <c r="J139" s="706">
        <f>+InputY!J153/1000</f>
        <v>0.14752999999999999</v>
      </c>
      <c r="K139" s="706">
        <f>+InputY!K153/1000</f>
        <v>0.18694</v>
      </c>
      <c r="L139" s="706">
        <f>+InputY!L153/1000</f>
        <v>0.23169999999999999</v>
      </c>
      <c r="M139" s="706">
        <f>+InputY!M153/1000</f>
        <v>0.21352000000000002</v>
      </c>
      <c r="N139" s="706">
        <f>+InputY!N153/1000</f>
        <v>0.19841</v>
      </c>
      <c r="O139" s="706">
        <f>+InputY!O153/1000</f>
        <v>0.20580999999999999</v>
      </c>
      <c r="P139" s="706">
        <f>+InputY!P153/1000</f>
        <v>0.16370999999999999</v>
      </c>
      <c r="Q139" s="706">
        <f>+InputY!Q153/1000</f>
        <v>0.16072</v>
      </c>
      <c r="R139" s="706">
        <f>+InputY!R153/1000</f>
        <v>0.16800999999999999</v>
      </c>
      <c r="S139" s="706">
        <f>+InputY!S153/1000</f>
        <v>0.19231000000000001</v>
      </c>
      <c r="T139" s="706">
        <f>+InputY!T153/1000</f>
        <v>0.21409999999999998</v>
      </c>
      <c r="U139" s="706">
        <f>+InputY!U153/1000</f>
        <v>0.3332</v>
      </c>
      <c r="V139" s="706">
        <f>+InputY!V153/1000</f>
        <v>0.50985999999999998</v>
      </c>
      <c r="W139" s="706">
        <f>+InputY!W153/1000</f>
        <v>0.57565</v>
      </c>
      <c r="X139" s="706">
        <f>+InputY!X153/1000</f>
        <v>0.6585700000000001</v>
      </c>
      <c r="Y139" s="706">
        <f>+InputY!Y153/1000</f>
        <v>0.61480999999999997</v>
      </c>
      <c r="Z139" s="706">
        <f>+InputY!Z153/1000</f>
        <v>0.58675999999999995</v>
      </c>
      <c r="AA139" s="1455">
        <f>+InputY!AA153/1000</f>
        <v>0.56867999999999996</v>
      </c>
      <c r="AB139" s="3612">
        <f>+InputY!AB153/1000</f>
        <v>0.51676999999999995</v>
      </c>
      <c r="AC139" s="3698">
        <f t="shared" si="121"/>
        <v>0.49499999999999994</v>
      </c>
      <c r="AD139" s="3698">
        <f t="shared" si="121"/>
        <v>0.38500000000000001</v>
      </c>
      <c r="AE139" s="3698">
        <f t="shared" si="121"/>
        <v>0.40100000000000002</v>
      </c>
      <c r="AF139">
        <v>1.2490000000000001</v>
      </c>
      <c r="AG139" s="3661" t="s">
        <v>2594</v>
      </c>
    </row>
    <row r="140" spans="1:113" ht="12.75" customHeight="1">
      <c r="A140" s="3114"/>
      <c r="B140" s="3114"/>
      <c r="C140" s="3115"/>
      <c r="D140" s="1000" t="s">
        <v>688</v>
      </c>
      <c r="E140" s="1000" t="s">
        <v>327</v>
      </c>
      <c r="F140" s="723"/>
      <c r="G140" s="721"/>
      <c r="H140" s="721"/>
      <c r="I140" s="721"/>
      <c r="J140" s="721"/>
      <c r="K140" s="721"/>
      <c r="L140" s="721">
        <f>-InputY!L285/1000</f>
        <v>-0.166241890639481</v>
      </c>
      <c r="M140" s="721">
        <f>-InputY!M285/1000</f>
        <v>-0.15089202965708989</v>
      </c>
      <c r="N140" s="721">
        <f>-InputY!N285/1000</f>
        <v>-0.12859128822984245</v>
      </c>
      <c r="O140" s="721">
        <f>-InputY!O285/1000</f>
        <v>-0.14220342910101949</v>
      </c>
      <c r="P140" s="721">
        <f>-InputY!P285/1000</f>
        <v>-0.159001390176089</v>
      </c>
      <c r="Q140" s="721">
        <f>-InputY!Q285/1000</f>
        <v>-0.123</v>
      </c>
      <c r="R140" s="721">
        <f>-InputY!R285/1000</f>
        <v>-0.215</v>
      </c>
      <c r="S140" s="721">
        <f>-InputY!S285/1000</f>
        <v>-0.32400000000000001</v>
      </c>
      <c r="T140" s="721">
        <f>-InputY!T285/1000</f>
        <v>-0.436</v>
      </c>
      <c r="U140" s="721">
        <f>-InputY!U285/1000</f>
        <v>-0.20499999999999999</v>
      </c>
      <c r="V140" s="721">
        <f>-InputY!V285/1000</f>
        <v>-0.26900000000000002</v>
      </c>
      <c r="W140" s="721">
        <f>-InputY!W285/1000</f>
        <v>-0.41599999999999998</v>
      </c>
      <c r="X140" s="721">
        <f>-InputY!X285/1000</f>
        <v>-0.432</v>
      </c>
      <c r="Y140" s="721">
        <f>-InputY!Y285/1000</f>
        <v>-0.33700000000000002</v>
      </c>
      <c r="Z140" s="721">
        <f>-InputY!Z285/1000</f>
        <v>-0.29799999999999999</v>
      </c>
      <c r="AA140" s="721">
        <f>-InputY!AA285/1000</f>
        <v>-0.22900000000000001</v>
      </c>
      <c r="AB140" s="721">
        <f>-InputY!AB285/1000</f>
        <v>-0.22900000000000001</v>
      </c>
      <c r="AC140" s="2302">
        <f>AC142-AC141</f>
        <v>0.77876499999999971</v>
      </c>
      <c r="AD140" s="2302">
        <f>AD142-AD141</f>
        <v>0.8163402999999998</v>
      </c>
      <c r="AE140" s="2302">
        <f>AE142-AE141</f>
        <v>0.85466710599999973</v>
      </c>
    </row>
    <row r="141" spans="1:113" ht="12.75" customHeight="1">
      <c r="A141" s="3114"/>
      <c r="B141" s="3114"/>
      <c r="C141" s="3115"/>
      <c r="D141" s="1000" t="s">
        <v>688</v>
      </c>
      <c r="E141" s="1000" t="s">
        <v>905</v>
      </c>
      <c r="F141" s="723"/>
      <c r="G141" s="721"/>
      <c r="H141" s="721"/>
      <c r="I141" s="721"/>
      <c r="J141" s="721"/>
      <c r="K141" s="721"/>
      <c r="L141" s="721">
        <f>InputY!L286/1000</f>
        <v>0.41039156626506024</v>
      </c>
      <c r="M141" s="721">
        <f>InputY!M286/1000</f>
        <v>0.39214550509731239</v>
      </c>
      <c r="N141" s="721">
        <f>InputY!N286/1000</f>
        <v>0.34291010194624655</v>
      </c>
      <c r="O141" s="721">
        <f>InputY!O286/1000</f>
        <v>0.59516913809082483</v>
      </c>
      <c r="P141" s="721">
        <f>InputY!P286/1000</f>
        <v>0.74374420759962934</v>
      </c>
      <c r="Q141" s="721">
        <f>InputY!Q286/1000</f>
        <v>0.78900000000000003</v>
      </c>
      <c r="R141" s="721">
        <f>InputY!R286/1000</f>
        <v>1.0609999999999999</v>
      </c>
      <c r="S141" s="721">
        <f>InputY!S286/1000</f>
        <v>1.6919999999999999</v>
      </c>
      <c r="T141" s="721">
        <f>InputY!T286/1000</f>
        <v>1.7889999999999999</v>
      </c>
      <c r="U141" s="721">
        <f>InputY!U286/1000</f>
        <v>-3.9E-2</v>
      </c>
      <c r="V141" s="721">
        <f>InputY!V286/1000</f>
        <v>1.254</v>
      </c>
      <c r="W141" s="721">
        <f>InputY!W286/1000</f>
        <v>2</v>
      </c>
      <c r="X141" s="721">
        <f>InputY!X286/1000</f>
        <v>1.778</v>
      </c>
      <c r="Y141" s="721">
        <f>InputY!Y286/1000</f>
        <v>1.6180000000000001</v>
      </c>
      <c r="Z141" s="721">
        <f>InputY!Z286/1000</f>
        <v>1.069</v>
      </c>
      <c r="AA141" s="721">
        <f>InputY!AA286/1000</f>
        <v>2.0990000000000002</v>
      </c>
      <c r="AB141" s="721">
        <f>InputY!AB286/1000</f>
        <v>2.08</v>
      </c>
      <c r="AC141" s="2295">
        <v>1.1000000000000001</v>
      </c>
      <c r="AD141" s="2295">
        <v>1.1000000000000001</v>
      </c>
      <c r="AE141" s="2295">
        <v>1.1000000000000001</v>
      </c>
    </row>
    <row r="142" spans="1:113" ht="12.75" customHeight="1">
      <c r="A142" s="1953">
        <f>+ROW(InputY!A238)</f>
        <v>238</v>
      </c>
      <c r="B142" s="664" t="s">
        <v>1909</v>
      </c>
      <c r="C142" s="842" t="s">
        <v>401</v>
      </c>
      <c r="D142" s="674" t="s">
        <v>688</v>
      </c>
      <c r="E142" s="783" t="s">
        <v>1692</v>
      </c>
      <c r="F142" s="704" t="str">
        <f>InputY!B238</f>
        <v>PropFrRowN</v>
      </c>
      <c r="G142" s="706">
        <f>-InputY!G238/1000</f>
        <v>7.8197405004633899E-3</v>
      </c>
      <c r="H142" s="706">
        <f>-InputY!H238/1000</f>
        <v>7.24050046339203E-2</v>
      </c>
      <c r="I142" s="706">
        <f>-InputY!I238/1000</f>
        <v>0.15118164967562558</v>
      </c>
      <c r="J142" s="706">
        <f>-InputY!J238/1000</f>
        <v>0.22329703429101019</v>
      </c>
      <c r="K142" s="706">
        <f>-InputY!K238/1000</f>
        <v>0.24357043558850788</v>
      </c>
      <c r="L142" s="706">
        <f>-InputY!L238/1000</f>
        <v>0.24414967562557924</v>
      </c>
      <c r="M142" s="706">
        <f>-InputY!M238/1000</f>
        <v>0.24125347544022246</v>
      </c>
      <c r="N142" s="706">
        <f>-InputY!N238/1000</f>
        <v>0.21431881371640407</v>
      </c>
      <c r="O142" s="706">
        <f>-InputY!O238/1000</f>
        <v>0.45296570898980537</v>
      </c>
      <c r="P142" s="706">
        <f>-InputY!P238/1000</f>
        <v>0.5847428174235404</v>
      </c>
      <c r="Q142" s="706">
        <f>-InputY!Q238/1000</f>
        <v>0.66600000000000004</v>
      </c>
      <c r="R142" s="706">
        <f>-InputY!R238/1000</f>
        <v>0.84499999999999997</v>
      </c>
      <c r="S142" s="706">
        <f>-InputY!S238/1000</f>
        <v>1.367</v>
      </c>
      <c r="T142" s="706">
        <f>-InputY!T238/1000</f>
        <v>1.353</v>
      </c>
      <c r="U142" s="706">
        <f>-InputY!U238/1000</f>
        <v>-0.24299999999999999</v>
      </c>
      <c r="V142" s="706">
        <f>-InputY!V238/1000</f>
        <v>0.98599999999999999</v>
      </c>
      <c r="W142" s="706">
        <f>-InputY!W238/1000</f>
        <v>1.583</v>
      </c>
      <c r="X142" s="706">
        <f>-InputY!X238/1000</f>
        <v>1.347</v>
      </c>
      <c r="Y142" s="706">
        <f>-InputY!Y238/1000</f>
        <v>1.2809999999999999</v>
      </c>
      <c r="Z142" s="706">
        <f>-InputY!Z238/1000</f>
        <v>0.77200000000000002</v>
      </c>
      <c r="AA142" s="706">
        <f>-InputY!AA238/1000</f>
        <v>1.871</v>
      </c>
      <c r="AB142" s="706">
        <f>-InputY!AB238/1000</f>
        <v>1.851</v>
      </c>
      <c r="AC142" s="2217">
        <f>+AB142*(1+AC151/100)</f>
        <v>1.8787649999999998</v>
      </c>
      <c r="AD142" s="2217">
        <f>+AC142*(1+AD151/100)</f>
        <v>1.9163402999999999</v>
      </c>
      <c r="AE142" s="2217">
        <f>+AD142*(1+AE151/100)</f>
        <v>1.9546671059999998</v>
      </c>
    </row>
    <row r="143" spans="1:113" ht="12.75" customHeight="1">
      <c r="A143" s="664">
        <f>+ROW(InputY!A189)</f>
        <v>189</v>
      </c>
      <c r="B143" s="664">
        <v>90</v>
      </c>
      <c r="C143" s="784" t="s">
        <v>1769</v>
      </c>
      <c r="D143" s="752" t="s">
        <v>685</v>
      </c>
      <c r="E143" s="753" t="s">
        <v>1692</v>
      </c>
      <c r="F143" s="754" t="str">
        <f>+InputY!B189</f>
        <v>HPropN</v>
      </c>
      <c r="G143" s="785">
        <f>+InputY!G189/1000</f>
        <v>0.77046999999999999</v>
      </c>
      <c r="H143" s="785">
        <f>+InputY!H189/1000</f>
        <v>0.91266999999999998</v>
      </c>
      <c r="I143" s="785">
        <f>+InputY!I189/1000</f>
        <v>1.17761</v>
      </c>
      <c r="J143" s="785">
        <f>+InputY!J189/1000</f>
        <v>1.3924300000000001</v>
      </c>
      <c r="K143" s="785">
        <f>+InputY!K189/1000</f>
        <v>1.3356299999999999</v>
      </c>
      <c r="L143" s="785">
        <f>+InputY!L189/1000</f>
        <v>2.2481900000000001</v>
      </c>
      <c r="M143" s="785">
        <f>+InputY!M189/1000</f>
        <v>2.4520399999999998</v>
      </c>
      <c r="N143" s="785">
        <f>+InputY!N189/1000</f>
        <v>2.8442200000000004</v>
      </c>
      <c r="O143" s="785">
        <f>+InputY!O189/1000</f>
        <v>2.8599800000000002</v>
      </c>
      <c r="P143" s="785">
        <f>+InputY!P189/1000</f>
        <v>3.7417699999999998</v>
      </c>
      <c r="Q143" s="785">
        <f>+InputY!Q189/1000</f>
        <v>3.4261699999999999</v>
      </c>
      <c r="R143" s="785">
        <f>+InputY!R189/1000</f>
        <v>4.061090000000001</v>
      </c>
      <c r="S143" s="785">
        <f>+InputY!S189/1000</f>
        <v>3.1740200000000001</v>
      </c>
      <c r="T143" s="785">
        <f>+InputY!T189/1000</f>
        <v>3.7490299999999999</v>
      </c>
      <c r="U143" s="785">
        <f>+InputY!U189/1000</f>
        <v>3.7567799999999996</v>
      </c>
      <c r="V143" s="785">
        <f>+InputY!V189/1000</f>
        <v>4.4089599999999995</v>
      </c>
      <c r="W143" s="785">
        <f>+InputY!W189/1000</f>
        <v>4.9348000000000001</v>
      </c>
      <c r="X143" s="785">
        <f>+InputY!X189/1000</f>
        <v>5.0896300000000005</v>
      </c>
      <c r="Y143" s="785">
        <f>+InputY!Y189/1000</f>
        <v>5.0884999999999998</v>
      </c>
      <c r="Z143" s="785">
        <f>+InputY!Z189/1000</f>
        <v>4.7201900000000006</v>
      </c>
      <c r="AA143" s="785">
        <f>+InputY!AA189/1000</f>
        <v>4.6545599999999991</v>
      </c>
      <c r="AB143" s="785">
        <f>+InputY!AB189/1000</f>
        <v>4.9098900000000008</v>
      </c>
      <c r="AC143" s="2232">
        <f>-AC136-AC137+AC138+AC139-AC142</f>
        <v>5.1861917499999999</v>
      </c>
      <c r="AD143" s="2232">
        <f>-AD136-AD137+AD138+AD139-AD142</f>
        <v>5.3902210662499987</v>
      </c>
      <c r="AE143" s="2232">
        <f>-AE136-AE137+AE138+AE139-AE142</f>
        <v>5.7473888408937484</v>
      </c>
    </row>
    <row r="144" spans="1:113" s="1972" customFormat="1" ht="12.75" customHeight="1">
      <c r="A144" s="998"/>
      <c r="B144" s="998"/>
      <c r="C144" s="1595"/>
      <c r="D144" s="1011"/>
      <c r="E144" s="1973" t="s">
        <v>737</v>
      </c>
      <c r="F144" s="1974"/>
      <c r="G144" s="1002">
        <f>ABS(+G143+G142-G139-G138+G137+G136)</f>
        <v>4.9302594995366267E-3</v>
      </c>
      <c r="H144" s="1002">
        <f t="shared" ref="H144:S144" si="122">ABS(+H143+H142-H139-H138+H137+H136)</f>
        <v>8.0250046339201964E-3</v>
      </c>
      <c r="I144" s="1002">
        <f t="shared" si="122"/>
        <v>6.0983503243743353E-3</v>
      </c>
      <c r="J144" s="1002">
        <f t="shared" si="122"/>
        <v>2.0770342910103601E-3</v>
      </c>
      <c r="K144" s="1002">
        <f t="shared" si="122"/>
        <v>8.6595644114924042E-3</v>
      </c>
      <c r="L144" s="1002">
        <f t="shared" si="122"/>
        <v>8.3003243744208532E-3</v>
      </c>
      <c r="M144" s="1002">
        <f t="shared" si="122"/>
        <v>5.8265245597777238E-3</v>
      </c>
      <c r="N144" s="1002">
        <f t="shared" si="122"/>
        <v>2.771186283595739E-3</v>
      </c>
      <c r="O144" s="1002">
        <f t="shared" si="122"/>
        <v>3.0429101019446847E-4</v>
      </c>
      <c r="P144" s="1002">
        <f>ABS(+P143+P142-P139-P138+P137+P136)</f>
        <v>1.7627182576459788E-2</v>
      </c>
      <c r="Q144" s="1002">
        <f t="shared" si="122"/>
        <v>2.9000000000056758E-4</v>
      </c>
      <c r="R144" s="1002">
        <f t="shared" si="122"/>
        <v>8.3999999999839758E-4</v>
      </c>
      <c r="S144" s="1002">
        <f t="shared" si="122"/>
        <v>4.9999999999972289E-4</v>
      </c>
      <c r="T144" s="2906">
        <f t="shared" ref="T144:Y144" si="123">ABS(+T143+T142-T139-T138+T137+T136)</f>
        <v>1.5999999999927184E-4</v>
      </c>
      <c r="U144" s="2906">
        <f t="shared" si="123"/>
        <v>7.7999999999933678E-4</v>
      </c>
      <c r="V144" s="2906">
        <f t="shared" si="123"/>
        <v>4.2999999999882021E-4</v>
      </c>
      <c r="W144" s="2906">
        <f t="shared" si="123"/>
        <v>8.3999999999928576E-4</v>
      </c>
      <c r="X144" s="2906">
        <f t="shared" si="123"/>
        <v>6.3000000000190681E-4</v>
      </c>
      <c r="Y144" s="2906">
        <f t="shared" si="123"/>
        <v>3.900000000012227E-4</v>
      </c>
      <c r="Z144" s="2921">
        <f t="shared" ref="Z144:AE144" si="124">ABS(+Z143+Z142-Z139-Z138+Z137+Z136)</f>
        <v>2.8000000000183434E-4</v>
      </c>
      <c r="AA144" s="2906">
        <f t="shared" si="124"/>
        <v>7.3999999999863064E-4</v>
      </c>
      <c r="AB144" s="2906">
        <f t="shared" si="124"/>
        <v>2.799999999991698E-4</v>
      </c>
      <c r="AC144" s="2906">
        <f t="shared" si="124"/>
        <v>0</v>
      </c>
      <c r="AD144" s="2906">
        <f t="shared" si="124"/>
        <v>0</v>
      </c>
      <c r="AE144" s="2906">
        <f t="shared" si="124"/>
        <v>0</v>
      </c>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row>
    <row r="145" spans="1:31" ht="12.75" customHeight="1">
      <c r="A145" s="664"/>
      <c r="B145" s="664"/>
      <c r="C145" s="774"/>
      <c r="E145" s="786"/>
      <c r="F145" s="787"/>
      <c r="G145" s="703"/>
      <c r="H145" s="788"/>
      <c r="I145" s="703"/>
      <c r="J145" s="703"/>
      <c r="K145" s="703"/>
      <c r="L145" s="703"/>
      <c r="M145" s="703"/>
      <c r="N145" s="703"/>
      <c r="O145" s="703"/>
      <c r="P145" s="703"/>
      <c r="Q145" s="845"/>
      <c r="R145" s="845"/>
      <c r="S145" s="2254"/>
      <c r="T145" s="2254"/>
      <c r="U145" s="2254"/>
      <c r="V145" s="2254"/>
      <c r="W145" s="2254"/>
      <c r="X145" s="2254"/>
      <c r="Y145" s="2254"/>
      <c r="Z145" s="2254"/>
      <c r="AA145" s="2270"/>
      <c r="AB145" s="2254"/>
      <c r="AC145" s="2254"/>
      <c r="AD145" s="2254"/>
      <c r="AE145" s="2254"/>
    </row>
    <row r="146" spans="1:31" ht="12.75" customHeight="1">
      <c r="A146" s="664"/>
      <c r="B146" s="664"/>
      <c r="C146" s="774"/>
      <c r="D146" s="742"/>
      <c r="E146" s="743" t="s">
        <v>1311</v>
      </c>
      <c r="F146" s="744"/>
      <c r="G146" s="745">
        <f>+InputY!$G$3</f>
        <v>1995</v>
      </c>
      <c r="H146" s="745">
        <f>+G146+1</f>
        <v>1996</v>
      </c>
      <c r="I146" s="745">
        <f t="shared" ref="I146:O146" si="125">+H146+1</f>
        <v>1997</v>
      </c>
      <c r="J146" s="745">
        <f t="shared" si="125"/>
        <v>1998</v>
      </c>
      <c r="K146" s="745">
        <f>+J146+1</f>
        <v>1999</v>
      </c>
      <c r="L146" s="745">
        <f t="shared" si="125"/>
        <v>2000</v>
      </c>
      <c r="M146" s="745">
        <f t="shared" si="125"/>
        <v>2001</v>
      </c>
      <c r="N146" s="745">
        <f t="shared" si="125"/>
        <v>2002</v>
      </c>
      <c r="O146" s="745">
        <f t="shared" si="125"/>
        <v>2003</v>
      </c>
      <c r="P146" s="745">
        <f t="shared" ref="P146:U146" si="126">+O146+1</f>
        <v>2004</v>
      </c>
      <c r="Q146" s="745">
        <f t="shared" si="126"/>
        <v>2005</v>
      </c>
      <c r="R146" s="745">
        <f>+Q146+1</f>
        <v>2006</v>
      </c>
      <c r="S146" s="745">
        <f>+R146+1</f>
        <v>2007</v>
      </c>
      <c r="T146" s="2211">
        <f t="shared" si="126"/>
        <v>2008</v>
      </c>
      <c r="U146" s="2211">
        <f t="shared" si="126"/>
        <v>2009</v>
      </c>
      <c r="V146" s="2211">
        <f t="shared" ref="V146:AE146" si="127">+U146+1</f>
        <v>2010</v>
      </c>
      <c r="W146" s="2211">
        <f t="shared" si="127"/>
        <v>2011</v>
      </c>
      <c r="X146" s="2211">
        <f t="shared" si="127"/>
        <v>2012</v>
      </c>
      <c r="Y146" s="2211">
        <f t="shared" si="127"/>
        <v>2013</v>
      </c>
      <c r="Z146" s="2211">
        <f t="shared" si="127"/>
        <v>2014</v>
      </c>
      <c r="AA146" s="2211">
        <f t="shared" si="127"/>
        <v>2015</v>
      </c>
      <c r="AB146" s="2211">
        <f t="shared" si="127"/>
        <v>2016</v>
      </c>
      <c r="AC146" s="2211">
        <f t="shared" si="127"/>
        <v>2017</v>
      </c>
      <c r="AD146" s="2211">
        <f t="shared" si="127"/>
        <v>2018</v>
      </c>
      <c r="AE146" s="2211">
        <f t="shared" si="127"/>
        <v>2019</v>
      </c>
    </row>
    <row r="147" spans="1:31" ht="12.75" customHeight="1">
      <c r="A147" s="664"/>
      <c r="B147" s="664"/>
      <c r="C147" s="794" t="s">
        <v>401</v>
      </c>
      <c r="D147" s="689" t="s">
        <v>686</v>
      </c>
      <c r="E147" s="738" t="s">
        <v>1692</v>
      </c>
      <c r="F147" s="733" t="s">
        <v>1162</v>
      </c>
      <c r="G147" s="739"/>
      <c r="H147" s="739">
        <f t="shared" ref="H147:AB147" si="128">(H136/G136-1)*100</f>
        <v>18.125813117012335</v>
      </c>
      <c r="I147" s="739">
        <f t="shared" si="128"/>
        <v>40.749138889788682</v>
      </c>
      <c r="J147" s="739">
        <f t="shared" si="128"/>
        <v>24.166871240947586</v>
      </c>
      <c r="K147" s="739">
        <f t="shared" si="128"/>
        <v>-4.1333547518133447</v>
      </c>
      <c r="L147" s="739">
        <f t="shared" si="128"/>
        <v>57.364465984377809</v>
      </c>
      <c r="M147" s="739">
        <f t="shared" si="128"/>
        <v>10.490103328377831</v>
      </c>
      <c r="N147" s="739">
        <f t="shared" si="128"/>
        <v>12.320460214910289</v>
      </c>
      <c r="O147" s="739">
        <f t="shared" si="128"/>
        <v>7.6663388620118456</v>
      </c>
      <c r="P147" s="739">
        <f t="shared" si="128"/>
        <v>32.536926410774349</v>
      </c>
      <c r="Q147" s="739">
        <f t="shared" si="128"/>
        <v>-5.3569405033637274</v>
      </c>
      <c r="R147" s="739">
        <f t="shared" si="128"/>
        <v>19.316207571466638</v>
      </c>
      <c r="S147" s="739">
        <f t="shared" si="128"/>
        <v>-7.4055187610844175</v>
      </c>
      <c r="T147" s="739">
        <f t="shared" si="128"/>
        <v>12.493337196469213</v>
      </c>
      <c r="U147" s="739">
        <f t="shared" si="128"/>
        <v>-34.188516467960618</v>
      </c>
      <c r="V147" s="739">
        <f t="shared" si="128"/>
        <v>51.671630822177718</v>
      </c>
      <c r="W147" s="739">
        <f t="shared" si="128"/>
        <v>20.45381577521934</v>
      </c>
      <c r="X147" s="739">
        <f t="shared" si="128"/>
        <v>-2.2049324817100424</v>
      </c>
      <c r="Y147" s="739">
        <f t="shared" si="128"/>
        <v>-1.6284482672133227</v>
      </c>
      <c r="Z147" s="739">
        <f t="shared" si="128"/>
        <v>-14.288263940236101</v>
      </c>
      <c r="AA147" s="739">
        <f t="shared" si="128"/>
        <v>21.063945821062767</v>
      </c>
      <c r="AB147" s="739">
        <f t="shared" si="128"/>
        <v>5.371917748754651</v>
      </c>
      <c r="AC147" s="2213">
        <v>5.5</v>
      </c>
      <c r="AD147" s="2213">
        <v>5.5</v>
      </c>
      <c r="AE147" s="2213">
        <v>5.5</v>
      </c>
    </row>
    <row r="148" spans="1:31" ht="12.75" customHeight="1">
      <c r="A148" s="664"/>
      <c r="B148" s="664"/>
      <c r="C148" s="795" t="s">
        <v>401</v>
      </c>
      <c r="D148" s="674" t="s">
        <v>687</v>
      </c>
      <c r="E148" s="783" t="s">
        <v>2015</v>
      </c>
      <c r="F148" s="704" t="s">
        <v>2094</v>
      </c>
      <c r="G148" s="706"/>
      <c r="H148" s="706">
        <f>(H137/G137-1)*100</f>
        <v>8.3273251622206335</v>
      </c>
      <c r="I148" s="706">
        <f>(I137/H137-1)*100</f>
        <v>81.264559068219626</v>
      </c>
      <c r="J148" s="706">
        <f>(J137/I137-1)*100</f>
        <v>179.82375619607126</v>
      </c>
      <c r="K148" s="706">
        <f>(K137/J137-1)*100</f>
        <v>-1.115339194331455</v>
      </c>
      <c r="L148" s="706">
        <f t="shared" ref="L148:V148" si="129">(L137/K137-1)*100</f>
        <v>14.643046709129525</v>
      </c>
      <c r="M148" s="706">
        <f t="shared" si="129"/>
        <v>22.848544475953481</v>
      </c>
      <c r="N148" s="706">
        <f t="shared" si="129"/>
        <v>-21.157017006642487</v>
      </c>
      <c r="O148" s="706">
        <f t="shared" si="129"/>
        <v>-7.3076003824091851</v>
      </c>
      <c r="P148" s="706">
        <f t="shared" si="129"/>
        <v>-7.3744601302133788</v>
      </c>
      <c r="Q148" s="706">
        <f t="shared" si="129"/>
        <v>12.269468995754762</v>
      </c>
      <c r="R148" s="706">
        <f t="shared" si="129"/>
        <v>-10.693032482023302</v>
      </c>
      <c r="S148" s="706">
        <f t="shared" si="129"/>
        <v>19.504407579648774</v>
      </c>
      <c r="T148" s="706">
        <f t="shared" si="129"/>
        <v>15.287216123598778</v>
      </c>
      <c r="U148" s="706">
        <f t="shared" si="129"/>
        <v>-15.587687037130326</v>
      </c>
      <c r="V148" s="706">
        <f t="shared" si="129"/>
        <v>14.771709937332144</v>
      </c>
      <c r="W148" s="706">
        <f t="shared" ref="W148:AB149" si="130">(W137/V137-1)*100</f>
        <v>-10.343213728549138</v>
      </c>
      <c r="X148" s="706">
        <f t="shared" si="130"/>
        <v>17.812191868221095</v>
      </c>
      <c r="Y148" s="706">
        <f t="shared" si="130"/>
        <v>-36.943678613627405</v>
      </c>
      <c r="Z148" s="706">
        <f t="shared" si="130"/>
        <v>7.2845096814490917</v>
      </c>
      <c r="AA148" s="706">
        <f t="shared" si="130"/>
        <v>8.128957135579661</v>
      </c>
      <c r="AB148" s="706">
        <f t="shared" si="130"/>
        <v>26.706151568178726</v>
      </c>
      <c r="AC148" s="2215">
        <v>15</v>
      </c>
      <c r="AD148" s="2215">
        <v>10</v>
      </c>
      <c r="AE148" s="2215">
        <v>6</v>
      </c>
    </row>
    <row r="149" spans="1:31" ht="12.75" customHeight="1">
      <c r="A149" s="664"/>
      <c r="B149" s="664"/>
      <c r="C149" s="795" t="s">
        <v>1767</v>
      </c>
      <c r="D149" s="674" t="s">
        <v>687</v>
      </c>
      <c r="E149" s="783" t="s">
        <v>851</v>
      </c>
      <c r="F149" s="981" t="s">
        <v>854</v>
      </c>
      <c r="G149" s="706"/>
      <c r="H149" s="706" t="e">
        <f>(H138/G138-1)*100</f>
        <v>#DIV/0!</v>
      </c>
      <c r="I149" s="706" t="e">
        <f t="shared" ref="I149:T149" si="131">(I138/H138-1)*100</f>
        <v>#DIV/0!</v>
      </c>
      <c r="J149" s="706" t="e">
        <f t="shared" si="131"/>
        <v>#DIV/0!</v>
      </c>
      <c r="K149" s="706" t="e">
        <f>(K138/J138-1)*100</f>
        <v>#DIV/0!</v>
      </c>
      <c r="L149" s="706" t="e">
        <f t="shared" si="131"/>
        <v>#DIV/0!</v>
      </c>
      <c r="M149" s="706" t="e">
        <f t="shared" si="131"/>
        <v>#DIV/0!</v>
      </c>
      <c r="N149" s="706" t="e">
        <f t="shared" si="131"/>
        <v>#DIV/0!</v>
      </c>
      <c r="O149" s="706" t="e">
        <f t="shared" si="131"/>
        <v>#DIV/0!</v>
      </c>
      <c r="P149" s="706" t="e">
        <f t="shared" si="131"/>
        <v>#DIV/0!</v>
      </c>
      <c r="Q149" s="706">
        <f t="shared" si="131"/>
        <v>0</v>
      </c>
      <c r="R149" s="706">
        <f t="shared" si="131"/>
        <v>2.8421709430404007E-10</v>
      </c>
      <c r="S149" s="706">
        <f t="shared" si="131"/>
        <v>-2.8421709430404007E-10</v>
      </c>
      <c r="T149" s="706">
        <f t="shared" si="131"/>
        <v>100.00000000028422</v>
      </c>
      <c r="U149" s="706">
        <f>(U138/T138-1)*100</f>
        <v>1.4210854715202004E-10</v>
      </c>
      <c r="V149" s="706">
        <f>(V138/U138-1)*100</f>
        <v>-2.8421709430404007E-10</v>
      </c>
      <c r="W149" s="706">
        <f t="shared" si="130"/>
        <v>0</v>
      </c>
      <c r="X149" s="706">
        <f t="shared" si="130"/>
        <v>-50</v>
      </c>
      <c r="Y149" s="706">
        <f t="shared" si="130"/>
        <v>1.1368683772161603E-9</v>
      </c>
      <c r="Z149" s="706">
        <f t="shared" si="130"/>
        <v>-1.1368683772161603E-9</v>
      </c>
      <c r="AA149" s="706">
        <f t="shared" si="130"/>
        <v>1.1368683772161603E-9</v>
      </c>
      <c r="AB149" s="706">
        <f t="shared" si="130"/>
        <v>-1.1368683772161603E-9</v>
      </c>
      <c r="AC149" s="3077">
        <v>0</v>
      </c>
      <c r="AD149" s="3077">
        <v>0</v>
      </c>
      <c r="AE149" s="3077">
        <v>0</v>
      </c>
    </row>
    <row r="150" spans="1:31" ht="12.75" customHeight="1">
      <c r="A150" s="664"/>
      <c r="B150" s="664"/>
      <c r="C150" s="795" t="s">
        <v>1767</v>
      </c>
      <c r="D150" s="674" t="s">
        <v>687</v>
      </c>
      <c r="E150" s="783" t="s">
        <v>1205</v>
      </c>
      <c r="F150" s="704" t="s">
        <v>846</v>
      </c>
      <c r="G150" s="706"/>
      <c r="H150" s="706">
        <f t="shared" ref="H150:AB150" si="132">(H139/G139-1)*100</f>
        <v>200.55679287305122</v>
      </c>
      <c r="I150" s="706">
        <f t="shared" si="132"/>
        <v>6.0145732987526346</v>
      </c>
      <c r="J150" s="706">
        <f t="shared" si="132"/>
        <v>71.866262814538672</v>
      </c>
      <c r="K150" s="706">
        <f>(K139/J139-1)*100</f>
        <v>26.713210872364932</v>
      </c>
      <c r="L150" s="706">
        <f t="shared" si="132"/>
        <v>23.943511287043972</v>
      </c>
      <c r="M150" s="706">
        <f t="shared" si="132"/>
        <v>-7.8463530427276496</v>
      </c>
      <c r="N150" s="706">
        <f t="shared" si="132"/>
        <v>-7.0766204571000468</v>
      </c>
      <c r="O150" s="706">
        <f t="shared" si="132"/>
        <v>3.7296507232498222</v>
      </c>
      <c r="P150" s="706">
        <f t="shared" si="132"/>
        <v>-20.455760167144454</v>
      </c>
      <c r="Q150" s="706">
        <f t="shared" si="132"/>
        <v>-1.8264003420682906</v>
      </c>
      <c r="R150" s="706">
        <f t="shared" si="132"/>
        <v>4.5358387257341981</v>
      </c>
      <c r="S150" s="706">
        <f t="shared" si="132"/>
        <v>14.463424796143087</v>
      </c>
      <c r="T150" s="706">
        <f t="shared" si="132"/>
        <v>11.330664032031601</v>
      </c>
      <c r="U150" s="706">
        <f t="shared" si="132"/>
        <v>55.628211116300804</v>
      </c>
      <c r="V150" s="706">
        <f t="shared" si="132"/>
        <v>53.019207683073219</v>
      </c>
      <c r="W150" s="706">
        <f t="shared" si="132"/>
        <v>12.903542148825164</v>
      </c>
      <c r="X150" s="706">
        <f t="shared" si="132"/>
        <v>14.404586120038232</v>
      </c>
      <c r="Y150" s="706">
        <f t="shared" si="132"/>
        <v>-6.6446998800431478</v>
      </c>
      <c r="Z150" s="706">
        <f t="shared" si="132"/>
        <v>-4.5623851271124449</v>
      </c>
      <c r="AA150" s="706">
        <f t="shared" si="132"/>
        <v>-3.0813279705501406</v>
      </c>
      <c r="AB150" s="706">
        <f t="shared" si="132"/>
        <v>-9.1281564324400382</v>
      </c>
      <c r="AC150" s="3671">
        <v>-4.2127058459275926</v>
      </c>
      <c r="AD150" s="3671">
        <v>-22.222222222222207</v>
      </c>
      <c r="AE150" s="3671">
        <v>4.1558441558441572</v>
      </c>
    </row>
    <row r="151" spans="1:31" ht="12.75" customHeight="1">
      <c r="A151" s="664"/>
      <c r="B151" s="664"/>
      <c r="C151" s="796" t="s">
        <v>401</v>
      </c>
      <c r="D151" s="691" t="s">
        <v>688</v>
      </c>
      <c r="E151" s="797" t="s">
        <v>1692</v>
      </c>
      <c r="F151" s="736" t="s">
        <v>885</v>
      </c>
      <c r="G151" s="741"/>
      <c r="H151" s="741">
        <f t="shared" ref="H151:AB151" si="133">(H142/G142-1)*100</f>
        <v>825.92592592592632</v>
      </c>
      <c r="I151" s="741">
        <f t="shared" si="133"/>
        <v>108.80000000000001</v>
      </c>
      <c r="J151" s="741">
        <f t="shared" si="133"/>
        <v>47.701149425287362</v>
      </c>
      <c r="K151" s="741">
        <f>(K142/J142-1)*100</f>
        <v>9.0791180285343831</v>
      </c>
      <c r="L151" s="741">
        <f t="shared" si="133"/>
        <v>0.23781212841853527</v>
      </c>
      <c r="M151" s="741">
        <f t="shared" si="133"/>
        <v>-1.1862396204033065</v>
      </c>
      <c r="N151" s="741">
        <f t="shared" si="133"/>
        <v>-11.164465786314537</v>
      </c>
      <c r="O151" s="741">
        <f t="shared" si="133"/>
        <v>111.35135135135137</v>
      </c>
      <c r="P151" s="741">
        <f t="shared" si="133"/>
        <v>29.092071611253225</v>
      </c>
      <c r="Q151" s="741">
        <f t="shared" si="133"/>
        <v>13.896225854383349</v>
      </c>
      <c r="R151" s="741">
        <f t="shared" si="133"/>
        <v>26.876876876876878</v>
      </c>
      <c r="S151" s="741">
        <f t="shared" si="133"/>
        <v>61.77514792899408</v>
      </c>
      <c r="T151" s="741">
        <f t="shared" si="133"/>
        <v>-1.0241404535479171</v>
      </c>
      <c r="U151" s="741">
        <f t="shared" si="133"/>
        <v>-117.96008869179602</v>
      </c>
      <c r="V151" s="741">
        <f t="shared" si="133"/>
        <v>-505.76131687242798</v>
      </c>
      <c r="W151" s="741">
        <f t="shared" si="133"/>
        <v>60.547667342799194</v>
      </c>
      <c r="X151" s="741">
        <f t="shared" si="133"/>
        <v>-14.908401768793434</v>
      </c>
      <c r="Y151" s="741">
        <f t="shared" si="133"/>
        <v>-4.8997772828507813</v>
      </c>
      <c r="Z151" s="741">
        <f t="shared" si="133"/>
        <v>-39.734582357533178</v>
      </c>
      <c r="AA151" s="741">
        <f t="shared" si="133"/>
        <v>142.35751295336786</v>
      </c>
      <c r="AB151" s="741">
        <f t="shared" si="133"/>
        <v>-1.0689470871191875</v>
      </c>
      <c r="AC151" s="3610">
        <v>1.5</v>
      </c>
      <c r="AD151" s="3610">
        <v>2</v>
      </c>
      <c r="AE151" s="3610">
        <v>2</v>
      </c>
    </row>
    <row r="152" spans="1:31" ht="12.75" customHeight="1">
      <c r="A152" s="664"/>
      <c r="B152" s="664"/>
      <c r="C152" s="774" t="s">
        <v>1769</v>
      </c>
      <c r="D152" s="717" t="s">
        <v>685</v>
      </c>
      <c r="E152" s="722" t="s">
        <v>1692</v>
      </c>
      <c r="F152" s="723" t="s">
        <v>682</v>
      </c>
      <c r="G152" s="721"/>
      <c r="H152" s="721">
        <f t="shared" ref="H152:T152" si="134">(H143/G143-1)*100</f>
        <v>18.456266953937206</v>
      </c>
      <c r="I152" s="721">
        <f t="shared" si="134"/>
        <v>29.029112384542067</v>
      </c>
      <c r="J152" s="721">
        <f t="shared" si="134"/>
        <v>18.242032591435198</v>
      </c>
      <c r="K152" s="721">
        <f>(K143/J143-1)*100</f>
        <v>-4.0791996725149655</v>
      </c>
      <c r="L152" s="721">
        <f>(L143/K143-1)*100</f>
        <v>68.324311373658901</v>
      </c>
      <c r="M152" s="721">
        <f t="shared" si="134"/>
        <v>9.0672941343925331</v>
      </c>
      <c r="N152" s="721">
        <f t="shared" si="134"/>
        <v>15.994029461183379</v>
      </c>
      <c r="O152" s="721">
        <f t="shared" si="134"/>
        <v>0.55410622244411734</v>
      </c>
      <c r="P152" s="721">
        <f t="shared" si="134"/>
        <v>30.832033790446079</v>
      </c>
      <c r="Q152" s="721">
        <f t="shared" si="134"/>
        <v>-8.4345109400096767</v>
      </c>
      <c r="R152" s="721">
        <f t="shared" si="134"/>
        <v>18.531479757280025</v>
      </c>
      <c r="S152" s="721">
        <f t="shared" si="134"/>
        <v>-21.843150484229625</v>
      </c>
      <c r="T152" s="721">
        <f t="shared" si="134"/>
        <v>18.116142935457248</v>
      </c>
      <c r="U152" s="2220">
        <f t="shared" ref="U152:AE152" si="135">(U143/T143-1)*100</f>
        <v>0.20672013827576219</v>
      </c>
      <c r="V152" s="2220">
        <f t="shared" si="135"/>
        <v>17.360079642672723</v>
      </c>
      <c r="W152" s="2220">
        <f t="shared" si="135"/>
        <v>11.926622151255639</v>
      </c>
      <c r="X152" s="2220">
        <f t="shared" si="135"/>
        <v>3.1375131717597649</v>
      </c>
      <c r="Y152" s="2220">
        <f t="shared" si="135"/>
        <v>-2.2202006825655651E-2</v>
      </c>
      <c r="Z152" s="2220">
        <f t="shared" si="135"/>
        <v>-7.2380858799253041</v>
      </c>
      <c r="AA152" s="2220">
        <f t="shared" si="135"/>
        <v>-1.3904101317955719</v>
      </c>
      <c r="AB152" s="2220">
        <f t="shared" si="135"/>
        <v>5.4855883262865168</v>
      </c>
      <c r="AC152" s="2220">
        <f t="shared" si="135"/>
        <v>5.6274529571945342</v>
      </c>
      <c r="AD152" s="2220">
        <f t="shared" si="135"/>
        <v>3.9340874014154759</v>
      </c>
      <c r="AE152" s="2220">
        <f t="shared" si="135"/>
        <v>6.6262175568289505</v>
      </c>
    </row>
    <row r="153" spans="1:31" ht="12.75" customHeight="1">
      <c r="A153" s="664"/>
      <c r="B153" s="664"/>
      <c r="C153" s="774"/>
      <c r="E153" s="786"/>
      <c r="F153" s="787"/>
      <c r="G153" s="703"/>
      <c r="H153" s="788"/>
      <c r="I153" s="703"/>
      <c r="J153" s="703"/>
      <c r="K153" s="703"/>
      <c r="L153" s="703"/>
      <c r="M153" s="703"/>
      <c r="N153" s="703"/>
      <c r="O153" s="703"/>
      <c r="P153" s="703"/>
      <c r="Q153" s="703"/>
      <c r="R153" s="703"/>
      <c r="S153" s="703"/>
      <c r="T153" s="2254"/>
      <c r="U153" s="2254"/>
      <c r="V153" s="2254"/>
      <c r="W153" s="2254"/>
      <c r="X153">
        <f>'VVP2'!X464</f>
        <v>-1.0469999999999999</v>
      </c>
      <c r="Y153">
        <f>'VVP2'!Y464</f>
        <v>-0.95499999999999996</v>
      </c>
      <c r="Z153">
        <f>'VVP2'!Z464</f>
        <v>-0.50700000000000001</v>
      </c>
      <c r="AA153">
        <f>'VVP2'!AA464</f>
        <v>-1.554</v>
      </c>
      <c r="AB153">
        <f>'VVP2'!AB464</f>
        <v>-1.5429999999999999</v>
      </c>
      <c r="AC153">
        <f>'VVP2'!AC464</f>
        <v>-1.5165699999999998</v>
      </c>
      <c r="AD153">
        <f>'VVP2'!AD464</f>
        <v>-1.546837625</v>
      </c>
      <c r="AE153" s="3650">
        <f>'VVP2'!AE464</f>
        <v>-1.5777439521250001</v>
      </c>
    </row>
    <row r="154" spans="1:31" ht="12.75" customHeight="1">
      <c r="A154" s="664"/>
      <c r="B154" s="664"/>
      <c r="C154" s="774"/>
      <c r="D154" s="818"/>
      <c r="E154" s="819" t="s">
        <v>512</v>
      </c>
      <c r="F154" s="820"/>
      <c r="G154" s="821">
        <f>+InputY!$G$3</f>
        <v>1995</v>
      </c>
      <c r="H154" s="821">
        <f>+G154+1</f>
        <v>1996</v>
      </c>
      <c r="I154" s="821">
        <f t="shared" ref="I154:O154" si="136">+H154+1</f>
        <v>1997</v>
      </c>
      <c r="J154" s="821">
        <f t="shared" si="136"/>
        <v>1998</v>
      </c>
      <c r="K154" s="821">
        <f>+J154+1</f>
        <v>1999</v>
      </c>
      <c r="L154" s="821">
        <f t="shared" si="136"/>
        <v>2000</v>
      </c>
      <c r="M154" s="821">
        <f t="shared" si="136"/>
        <v>2001</v>
      </c>
      <c r="N154" s="821">
        <f t="shared" si="136"/>
        <v>2002</v>
      </c>
      <c r="O154" s="821">
        <f t="shared" si="136"/>
        <v>2003</v>
      </c>
      <c r="P154" s="821">
        <f t="shared" ref="P154:V154" si="137">+O154+1</f>
        <v>2004</v>
      </c>
      <c r="Q154" s="821">
        <f t="shared" si="137"/>
        <v>2005</v>
      </c>
      <c r="R154" s="821">
        <f t="shared" si="137"/>
        <v>2006</v>
      </c>
      <c r="S154" s="821">
        <f>+R154+1</f>
        <v>2007</v>
      </c>
      <c r="T154" s="821">
        <f t="shared" si="137"/>
        <v>2008</v>
      </c>
      <c r="U154" s="821">
        <f t="shared" si="137"/>
        <v>2009</v>
      </c>
      <c r="V154" s="821">
        <f t="shared" si="137"/>
        <v>2010</v>
      </c>
      <c r="W154" s="821">
        <f t="shared" ref="W154:AE154" si="138">+V154+1</f>
        <v>2011</v>
      </c>
      <c r="X154" s="821">
        <f t="shared" si="138"/>
        <v>2012</v>
      </c>
      <c r="Y154" s="821">
        <f t="shared" si="138"/>
        <v>2013</v>
      </c>
      <c r="Z154" s="821">
        <f t="shared" si="138"/>
        <v>2014</v>
      </c>
      <c r="AA154" s="821">
        <f t="shared" si="138"/>
        <v>2015</v>
      </c>
      <c r="AB154" s="821">
        <f t="shared" si="138"/>
        <v>2016</v>
      </c>
      <c r="AC154" s="821">
        <f t="shared" si="138"/>
        <v>2017</v>
      </c>
      <c r="AD154" s="821">
        <f t="shared" si="138"/>
        <v>2018</v>
      </c>
      <c r="AE154" s="821">
        <f t="shared" si="138"/>
        <v>2019</v>
      </c>
    </row>
    <row r="155" spans="1:31" ht="12.75" customHeight="1">
      <c r="A155" s="664"/>
      <c r="B155" s="664"/>
      <c r="C155" s="822" t="s">
        <v>401</v>
      </c>
      <c r="D155" s="823" t="s">
        <v>686</v>
      </c>
      <c r="E155" s="824" t="s">
        <v>1692</v>
      </c>
      <c r="F155" s="825" t="s">
        <v>1162</v>
      </c>
      <c r="G155" s="838">
        <f>+G136/'VVP2'!G$341</f>
        <v>-0.10097455995404746</v>
      </c>
      <c r="H155" s="838">
        <f>+H136/'VVP2'!H$341</f>
        <v>-9.533824369605165E-2</v>
      </c>
      <c r="I155" s="838">
        <f>+I136/'VVP2'!I$341</f>
        <v>-0.11118067200371194</v>
      </c>
      <c r="J155" s="838">
        <f>+J136/'VVP2'!J$341</f>
        <v>-0.12429311716515792</v>
      </c>
      <c r="K155" s="838">
        <f>+K136/'VVP2'!K$341</f>
        <v>-0.12206027652437682</v>
      </c>
      <c r="L155" s="838">
        <f>+L136/'VVP2'!L$341</f>
        <v>-0.18265238798400382</v>
      </c>
      <c r="M155" s="838">
        <f>+M136/'VVP2'!M$341</f>
        <v>-0.19006419378746164</v>
      </c>
      <c r="N155" s="838">
        <f>+N136/'VVP2'!N$341</f>
        <v>-0.19933075343848938</v>
      </c>
      <c r="O155" s="838">
        <f>+O136/'VVP2'!O$341</f>
        <v>-0.19573290426001652</v>
      </c>
      <c r="P155" s="838">
        <f>+P136/'VVP2'!P$341</f>
        <v>-0.23709707134444444</v>
      </c>
      <c r="Q155" s="838">
        <f>+Q136/'VVP2'!Q$341</f>
        <v>-0.19485771830295179</v>
      </c>
      <c r="R155" s="838">
        <f>+R136/'VVP2'!R$341</f>
        <v>-0.20278846704912706</v>
      </c>
      <c r="S155" s="838">
        <f>+S136/'VVP2'!S$341</f>
        <v>-0.15569102079635933</v>
      </c>
      <c r="T155" s="2909">
        <f>+T136/'VVP2'!T$341</f>
        <v>-0.15556020440245802</v>
      </c>
      <c r="U155" s="2909">
        <f>+U136/'VVP2'!U$341</f>
        <v>-0.124275194710787</v>
      </c>
      <c r="V155" s="2909">
        <f>+V136/'VVP2'!V$341</f>
        <v>-0.18114070172108557</v>
      </c>
      <c r="W155" s="2909">
        <f>+W136/'VVP2'!W$341</f>
        <v>-0.19553373074999708</v>
      </c>
      <c r="X155" s="2909">
        <f>+X136/'VVP2'!X$341</f>
        <v>-0.17933471030763617</v>
      </c>
      <c r="Y155" s="2909">
        <f>+Y136/'VVP2'!Y$341</f>
        <v>-0.16828400741998273</v>
      </c>
      <c r="Z155" s="2909">
        <f>+Z136/'VVP2'!Z$341</f>
        <v>-0.13789409838253261</v>
      </c>
      <c r="AA155" s="2909">
        <f>+AA136/'VVP2'!AA$341</f>
        <v>-0.16311148672027734</v>
      </c>
      <c r="AB155" s="2909">
        <f>+AB136/'VVP2'!AB$341</f>
        <v>-0.1663545248410068</v>
      </c>
      <c r="AC155" s="2909">
        <f ca="1">+AC136/'VVP2'!AC$341</f>
        <v>-0.16243445556325406</v>
      </c>
      <c r="AD155" s="2909">
        <f ca="1">+AD136/'VVP2'!AD$341</f>
        <v>-0.16194182073069605</v>
      </c>
      <c r="AE155" s="2909">
        <f ca="1">+AE136/'VVP2'!AE$341</f>
        <v>-0.16182713474264021</v>
      </c>
    </row>
    <row r="156" spans="1:31" ht="12.75" customHeight="1">
      <c r="A156" s="664"/>
      <c r="B156" s="664"/>
      <c r="C156" s="826" t="s">
        <v>401</v>
      </c>
      <c r="D156" s="674" t="s">
        <v>687</v>
      </c>
      <c r="E156" s="783" t="s">
        <v>2015</v>
      </c>
      <c r="F156" s="704" t="s">
        <v>2094</v>
      </c>
      <c r="G156" s="839">
        <f>+G137/'VVP2'!G$341</f>
        <v>3.5726566836627584E-3</v>
      </c>
      <c r="H156" s="839">
        <f>+H137/'VVP2'!H$341</f>
        <v>3.0934255699160505E-3</v>
      </c>
      <c r="I156" s="839">
        <f>+I137/'VVP2'!I$341</f>
        <v>4.6458905149458305E-3</v>
      </c>
      <c r="J156" s="839">
        <f>+J137/'VVP2'!J$341</f>
        <v>1.1704843203327302E-2</v>
      </c>
      <c r="K156" s="839">
        <f>+K137/'VVP2'!K$341</f>
        <v>1.1856438914796005E-2</v>
      </c>
      <c r="L156" s="839">
        <f>+L137/'VVP2'!L$341</f>
        <v>1.2925469286020983E-2</v>
      </c>
      <c r="M156" s="839">
        <f>+M137/'VVP2'!M$341</f>
        <v>1.4954362669537258E-2</v>
      </c>
      <c r="N156" s="839">
        <f>+N137/'VVP2'!N$341</f>
        <v>1.1008954642659568E-2</v>
      </c>
      <c r="O156" s="839">
        <f>+O137/'VVP2'!O$341</f>
        <v>9.3067874215285382E-3</v>
      </c>
      <c r="P156" s="839">
        <f>+P137/'VVP2'!P$341</f>
        <v>7.8787260688287786E-3</v>
      </c>
      <c r="Q156" s="839">
        <f>+Q137/'VVP2'!Q$341</f>
        <v>7.6810452163686444E-3</v>
      </c>
      <c r="R156" s="839">
        <f>+R137/'VVP2'!R$341</f>
        <v>5.9831771679932618E-3</v>
      </c>
      <c r="S156" s="839">
        <f>+S137/'VVP2'!S$341</f>
        <v>5.9285842677129236E-3</v>
      </c>
      <c r="T156" s="2910">
        <f>+T137/'VVP2'!T$341</f>
        <v>6.0707211951940704E-3</v>
      </c>
      <c r="U156" s="2910">
        <f>+U137/'VVP2'!U$341</f>
        <v>6.2205724783013219E-3</v>
      </c>
      <c r="V156" s="2910">
        <f>+V137/'VVP2'!V$341</f>
        <v>6.8610793765872709E-3</v>
      </c>
      <c r="W156" s="2910">
        <f>+W137/'VVP2'!W$341</f>
        <v>5.5126534276867516E-3</v>
      </c>
      <c r="X156" s="2910">
        <f>+X137/'VVP2'!X$341</f>
        <v>6.0908323257911597E-3</v>
      </c>
      <c r="Y156" s="2910">
        <f>+Y137/'VVP2'!Y$341</f>
        <v>3.6636522390813405E-3</v>
      </c>
      <c r="Z156" s="2910">
        <f>+Z137/'VVP2'!Z$341</f>
        <v>3.7576281958024821E-3</v>
      </c>
      <c r="AA156" s="2910">
        <f>+AA137/'VVP2'!AA$341</f>
        <v>3.9699026975726628E-3</v>
      </c>
      <c r="AB156" s="2910">
        <f>+AB137/'VVP2'!AB$341</f>
        <v>4.8685849294719807E-3</v>
      </c>
      <c r="AC156" s="2910">
        <f ca="1">+AC137/'VVP2'!AC$341</f>
        <v>5.1819315280003438E-3</v>
      </c>
      <c r="AD156" s="2910">
        <f ca="1">+AD137/'VVP2'!AD$341</f>
        <v>5.3865755599866927E-3</v>
      </c>
      <c r="AE156" s="2910">
        <f ca="1">+AE137/'VVP2'!AE$341</f>
        <v>5.4082715422240054E-3</v>
      </c>
    </row>
    <row r="157" spans="1:31" ht="12.75" customHeight="1">
      <c r="A157" s="664"/>
      <c r="B157" s="664"/>
      <c r="C157" s="826" t="s">
        <v>1767</v>
      </c>
      <c r="D157" s="674" t="s">
        <v>687</v>
      </c>
      <c r="E157" s="783" t="s">
        <v>851</v>
      </c>
      <c r="F157" s="981" t="s">
        <v>854</v>
      </c>
      <c r="G157" s="839">
        <f>+G138/'VVP2'!G$341</f>
        <v>0</v>
      </c>
      <c r="H157" s="839">
        <f>+H138/'VVP2'!H$341</f>
        <v>0</v>
      </c>
      <c r="I157" s="839">
        <f>+I138/'VVP2'!I$341</f>
        <v>0</v>
      </c>
      <c r="J157" s="839">
        <f>+J138/'VVP2'!J$341</f>
        <v>0</v>
      </c>
      <c r="K157" s="839">
        <f>+K138/'VVP2'!K$341</f>
        <v>0</v>
      </c>
      <c r="L157" s="839">
        <f>+L138/'VVP2'!L$341</f>
        <v>0</v>
      </c>
      <c r="M157" s="839">
        <f>+M138/'VVP2'!M$341</f>
        <v>0</v>
      </c>
      <c r="N157" s="839">
        <f>+N138/'VVP2'!N$341</f>
        <v>0</v>
      </c>
      <c r="O157" s="839">
        <f>+O138/'VVP2'!O$341</f>
        <v>0</v>
      </c>
      <c r="P157" s="839">
        <f>+P138/'VVP2'!P$341</f>
        <v>5.4831415330375204E-7</v>
      </c>
      <c r="Q157" s="839">
        <f>+Q138/'VVP2'!Q$341</f>
        <v>4.7613719417069547E-7</v>
      </c>
      <c r="R157" s="839">
        <f>+R138/'VVP2'!R$341</f>
        <v>4.1529653418510623E-7</v>
      </c>
      <c r="S157" s="839">
        <f>+S138/'VVP2'!S$341</f>
        <v>3.4434479106159797E-7</v>
      </c>
      <c r="T157" s="2910">
        <f>+T138/'VVP2'!T$341</f>
        <v>6.1169038190308593E-7</v>
      </c>
      <c r="U157" s="2910">
        <f>+U138/'VVP2'!U$341</f>
        <v>7.4253327106097809E-7</v>
      </c>
      <c r="V157" s="2910">
        <f>+V138/'VVP2'!V$341</f>
        <v>7.1358079839636308E-7</v>
      </c>
      <c r="W157" s="2910">
        <f>+W138/'VVP2'!W$341</f>
        <v>6.3948186621213818E-7</v>
      </c>
      <c r="X157" s="2910">
        <f>+X138/'VVP2'!X$341</f>
        <v>2.9986374191540079E-7</v>
      </c>
      <c r="Y157" s="2910">
        <f>+Y138/'VVP2'!Y$341</f>
        <v>2.8604405364769361E-7</v>
      </c>
      <c r="Z157" s="2910">
        <f>+Z138/'VVP2'!Z$341</f>
        <v>2.7346104328644673E-7</v>
      </c>
      <c r="AA157" s="2910">
        <f>+AA138/'VVP2'!AA$341</f>
        <v>2.6718957447935017E-7</v>
      </c>
      <c r="AB157" s="2910">
        <f>+AB138/'VVP2'!AB$341</f>
        <v>2.5860963186378164E-7</v>
      </c>
      <c r="AC157" s="2910">
        <f ca="1">+AC138/'VVP2'!AC$341</f>
        <v>2.3935129159929752E-7</v>
      </c>
      <c r="AD157" s="2910">
        <f ca="1">+AD138/'VVP2'!AD$341</f>
        <v>2.2618519589978346E-7</v>
      </c>
      <c r="AE157" s="2910">
        <f ca="1">+AE138/'VVP2'!AE$341</f>
        <v>2.142417187044588E-7</v>
      </c>
    </row>
    <row r="158" spans="1:31" ht="12.75" customHeight="1">
      <c r="A158" s="664"/>
      <c r="B158" s="664"/>
      <c r="C158" s="826" t="s">
        <v>1767</v>
      </c>
      <c r="D158" s="674" t="s">
        <v>687</v>
      </c>
      <c r="E158" s="783" t="s">
        <v>1205</v>
      </c>
      <c r="F158" s="704" t="s">
        <v>846</v>
      </c>
      <c r="G158" s="839">
        <f>+G139/'VVP2'!G$341</f>
        <v>3.4696240467871208E-3</v>
      </c>
      <c r="H158" s="839">
        <f>+H139/'VVP2'!H$341</f>
        <v>8.3352635073578232E-3</v>
      </c>
      <c r="I158" s="839">
        <f>+I139/'VVP2'!I$341</f>
        <v>7.3215208702579419E-3</v>
      </c>
      <c r="J158" s="839">
        <f>+J139/'VVP2'!J$341</f>
        <v>1.1329323696279208E-2</v>
      </c>
      <c r="K158" s="839">
        <f>+K139/'VVP2'!K$341</f>
        <v>1.470569725804117E-2</v>
      </c>
      <c r="L158" s="839">
        <f>+L139/'VVP2'!L$341</f>
        <v>1.733220228931687E-2</v>
      </c>
      <c r="M158" s="839">
        <f>+M139/'VVP2'!M$341</f>
        <v>1.5042424823100746E-2</v>
      </c>
      <c r="N158" s="839">
        <f>+N139/'VVP2'!N$341</f>
        <v>1.3051426210863318E-2</v>
      </c>
      <c r="O158" s="839">
        <f>+O139/'VVP2'!O$341</f>
        <v>1.2347256618479911E-2</v>
      </c>
      <c r="P158" s="839">
        <f>+P139/'VVP2'!P$341</f>
        <v>8.9764510037438888E-3</v>
      </c>
      <c r="Q158" s="839">
        <f>+Q139/'VVP2'!Q$341</f>
        <v>7.6524769847183772E-3</v>
      </c>
      <c r="R158" s="839">
        <f>+R139/'VVP2'!R$341</f>
        <v>6.9773970708304845E-3</v>
      </c>
      <c r="S158" s="839">
        <f>+S139/'VVP2'!S$341</f>
        <v>6.6220946769116138E-3</v>
      </c>
      <c r="T158" s="2910">
        <f>+T139/'VVP2'!T$341</f>
        <v>6.5481455382691844E-3</v>
      </c>
      <c r="U158" s="2910">
        <f>+U139/'VVP2'!U$341</f>
        <v>1.2370604295851987E-2</v>
      </c>
      <c r="V158" s="2910">
        <f>+V139/'VVP2'!V$341</f>
        <v>1.8191315293535029E-2</v>
      </c>
      <c r="W158" s="2910">
        <f>+W139/'VVP2'!W$341</f>
        <v>1.8405886814267608E-2</v>
      </c>
      <c r="X158" s="2910">
        <f>+X139/'VVP2'!X$341</f>
        <v>1.9748126451340511E-2</v>
      </c>
      <c r="Y158" s="2910">
        <f>+Y139/'VVP2'!Y$341</f>
        <v>1.758627446212991E-2</v>
      </c>
      <c r="Z158" s="2910">
        <f>+Z139/'VVP2'!Z$341</f>
        <v>1.6045600175890139E-2</v>
      </c>
      <c r="AA158" s="2910">
        <f>+AA139/'VVP2'!AA$341</f>
        <v>1.5194536721332761E-2</v>
      </c>
      <c r="AB158" s="2910">
        <f>+AB139/'VVP2'!AB$341</f>
        <v>1.3364169945836796E-2</v>
      </c>
      <c r="AC158" s="2910">
        <f ca="1">+AC139/'VVP2'!AC$341</f>
        <v>1.1847888934176003E-2</v>
      </c>
      <c r="AD158" s="2910">
        <f ca="1">+AD139/'VVP2'!AD$341</f>
        <v>8.7081300421495821E-3</v>
      </c>
      <c r="AE158" s="2910">
        <f ca="1">+AE139/'VVP2'!AE$341</f>
        <v>8.5910929200566106E-3</v>
      </c>
    </row>
    <row r="159" spans="1:31" ht="12.75" customHeight="1">
      <c r="A159" s="664"/>
      <c r="B159" s="664"/>
      <c r="C159" s="827" t="s">
        <v>401</v>
      </c>
      <c r="D159" s="828" t="s">
        <v>688</v>
      </c>
      <c r="E159" s="829" t="s">
        <v>1692</v>
      </c>
      <c r="F159" s="830" t="s">
        <v>885</v>
      </c>
      <c r="G159" s="840">
        <f>+G142/'VVP2'!G$341</f>
        <v>1.0071106043074583E-3</v>
      </c>
      <c r="H159" s="840">
        <f>+H142/'VVP2'!H$341</f>
        <v>7.4535604899986412E-3</v>
      </c>
      <c r="I159" s="840">
        <f>+I142/'VVP2'!I$341</f>
        <v>1.2894683169852254E-2</v>
      </c>
      <c r="J159" s="840">
        <f>+J142/'VVP2'!J$341</f>
        <v>1.7147728474900106E-2</v>
      </c>
      <c r="K159" s="840">
        <f>+K142/'VVP2'!K$341</f>
        <v>1.9160549303379768E-2</v>
      </c>
      <c r="L159" s="840">
        <f>+L142/'VVP2'!L$341</f>
        <v>1.826349403027033E-2</v>
      </c>
      <c r="M159" s="840">
        <f>+M142/'VVP2'!M$341</f>
        <v>1.6996240481553616E-2</v>
      </c>
      <c r="N159" s="840">
        <f>+N142/'VVP2'!N$341</f>
        <v>1.4097909292976205E-2</v>
      </c>
      <c r="O159" s="840">
        <f>+O142/'VVP2'!O$341</f>
        <v>2.7174985900922304E-2</v>
      </c>
      <c r="P159" s="840">
        <f>+P142/'VVP2'!P$341</f>
        <v>3.2062276283633062E-2</v>
      </c>
      <c r="Q159" s="840">
        <f>+Q142/'VVP2'!Q$341</f>
        <v>3.1710737131797159E-2</v>
      </c>
      <c r="R159" s="840">
        <f>+R142/'VVP2'!R$341</f>
        <v>3.5092557138573656E-2</v>
      </c>
      <c r="S159" s="840">
        <f>+S142/'VVP2'!S$341</f>
        <v>4.7071932938163252E-2</v>
      </c>
      <c r="T159" s="2911">
        <f>+T142/'VVP2'!T$341</f>
        <v>4.138085433572259E-2</v>
      </c>
      <c r="U159" s="2911">
        <f>+U142/'VVP2'!U$341</f>
        <v>-9.021779243373447E-3</v>
      </c>
      <c r="V159" s="2911">
        <f>+V142/'VVP2'!V$341</f>
        <v>3.5179533360972695E-2</v>
      </c>
      <c r="W159" s="2911">
        <f>+W142/'VVP2'!W$341</f>
        <v>5.0614989710736767E-2</v>
      </c>
      <c r="X159" s="2911">
        <f>+X142/'VVP2'!X$341</f>
        <v>4.0391646036041222E-2</v>
      </c>
      <c r="Y159" s="2911">
        <f>+Y142/'VVP2'!Y$341</f>
        <v>3.6642243271886296E-2</v>
      </c>
      <c r="Z159" s="2911">
        <f>+Z142/'VVP2'!Z$341</f>
        <v>2.1111192541732889E-2</v>
      </c>
      <c r="AA159" s="2911">
        <f>+AA142/'VVP2'!AA$341</f>
        <v>4.9991169384563543E-2</v>
      </c>
      <c r="AB159" s="2911">
        <f>+AB142/'VVP2'!AB$341</f>
        <v>4.7868642858029518E-2</v>
      </c>
      <c r="AC159" s="2911">
        <f ca="1">+AC142/'VVP2'!AC$341</f>
        <v>4.4968482936196319E-2</v>
      </c>
      <c r="AD159" s="2911">
        <f ca="1">+AD142/'VVP2'!AD$341</f>
        <v>4.3344780616654401E-2</v>
      </c>
      <c r="AE159" s="2911">
        <f ca="1">+AE142/'VVP2'!AE$341</f>
        <v>4.1877124028489136E-2</v>
      </c>
    </row>
    <row r="160" spans="1:31" ht="12.75" customHeight="1">
      <c r="A160" s="664"/>
      <c r="B160" s="664"/>
      <c r="C160" s="774" t="s">
        <v>1769</v>
      </c>
      <c r="D160" s="806" t="s">
        <v>685</v>
      </c>
      <c r="E160" s="807" t="s">
        <v>1692</v>
      </c>
      <c r="F160" s="808" t="s">
        <v>682</v>
      </c>
      <c r="G160" s="841">
        <f>+G143/'VVP2'!G$341</f>
        <v>9.9229444666966315E-2</v>
      </c>
      <c r="H160" s="841">
        <f>+H143/'VVP2'!H$341</f>
        <v>9.3952636103004375E-2</v>
      </c>
      <c r="I160" s="841">
        <f>+I143/'VVP2'!I$341</f>
        <v>0.10044147474399412</v>
      </c>
      <c r="J160" s="841">
        <f>+J143/'VVP2'!J$341</f>
        <v>0.10692937161533288</v>
      </c>
      <c r="K160" s="841">
        <f>+K143/'VVP2'!K$341</f>
        <v>0.10506777805048426</v>
      </c>
      <c r="L160" s="841">
        <f>+L143/'VVP2'!L$341</f>
        <v>0.16817472535528397</v>
      </c>
      <c r="M160" s="841">
        <f>+M143/'VVP2'!M$341</f>
        <v>0.17274553841905183</v>
      </c>
      <c r="N160" s="841">
        <f>+N143/'VVP2'!N$341</f>
        <v>0.18709302685077198</v>
      </c>
      <c r="O160" s="841">
        <f>+O143/'VVP2'!O$341</f>
        <v>0.17158013208162953</v>
      </c>
      <c r="P160" s="841">
        <f>+P143/'VVP2'!P$341</f>
        <v>0.20516654494092462</v>
      </c>
      <c r="Q160" s="841">
        <f>+Q143/'VVP2'!Q$341</f>
        <v>0.16313269705532951</v>
      </c>
      <c r="R160" s="841">
        <f>+R143/'VVP2'!R$341</f>
        <v>0.16865566020105338</v>
      </c>
      <c r="S160" s="841">
        <f>+S143/'VVP2'!S$341</f>
        <v>0.10929572537263273</v>
      </c>
      <c r="T160" s="2912">
        <f>+T143/'VVP2'!T$341</f>
        <v>0.11466227962324765</v>
      </c>
      <c r="U160" s="2912">
        <f>+U143/'VVP2'!U$341</f>
        <v>0.1394767071025535</v>
      </c>
      <c r="V160" s="2912">
        <f>+V143/'VVP2'!V$341</f>
        <v>0.15730745984502451</v>
      </c>
      <c r="W160" s="2912">
        <f>+W143/'VVP2'!W$341</f>
        <v>0.15778575566932648</v>
      </c>
      <c r="X160" s="2912">
        <f>+X143/'VVP2'!X$341</f>
        <v>0.15261954967662694</v>
      </c>
      <c r="Y160" s="2912">
        <f>+Y143/'VVP2'!Y$341</f>
        <v>0.14555351669710651</v>
      </c>
      <c r="Z160" s="2912">
        <f>+Z143/'VVP2'!Z$341</f>
        <v>0.12907880819114273</v>
      </c>
      <c r="AA160" s="2912">
        <f>+AA143/'VVP2'!AA$341</f>
        <v>0.12436499057755962</v>
      </c>
      <c r="AB160" s="2912">
        <f>+AB143/'VVP2'!AB$341</f>
        <v>0.12697448453928178</v>
      </c>
      <c r="AC160" s="2912">
        <f ca="1">+AC143/'VVP2'!AC$341</f>
        <v>0.12413216938452501</v>
      </c>
      <c r="AD160" s="2912">
        <f ca="1">+AD143/'VVP2'!AD$341</f>
        <v>0.12191882078140044</v>
      </c>
      <c r="AE160" s="2912">
        <f ca="1">+AE143/'VVP2'!AE$341</f>
        <v>0.12313304633370237</v>
      </c>
    </row>
    <row r="161" spans="1:113" ht="30" customHeight="1">
      <c r="AB161" s="2221"/>
      <c r="AC161" s="2221"/>
      <c r="AD161" s="2221"/>
      <c r="AE161" s="2221"/>
    </row>
    <row r="162" spans="1:113" ht="12.75" customHeight="1">
      <c r="A162" s="664"/>
      <c r="B162" s="664"/>
      <c r="C162" s="774"/>
      <c r="D162" s="775"/>
      <c r="E162" s="776" t="s">
        <v>1384</v>
      </c>
      <c r="F162" s="777"/>
      <c r="G162" s="778">
        <f>+InputY!$G$3</f>
        <v>1995</v>
      </c>
      <c r="H162" s="778">
        <f>+G162+1</f>
        <v>1996</v>
      </c>
      <c r="I162" s="778">
        <f t="shared" ref="I162:Q162" si="139">+H162+1</f>
        <v>1997</v>
      </c>
      <c r="J162" s="778">
        <f t="shared" si="139"/>
        <v>1998</v>
      </c>
      <c r="K162" s="778">
        <f>+J162+1</f>
        <v>1999</v>
      </c>
      <c r="L162" s="778">
        <f t="shared" si="139"/>
        <v>2000</v>
      </c>
      <c r="M162" s="778">
        <f t="shared" si="139"/>
        <v>2001</v>
      </c>
      <c r="N162" s="778">
        <f t="shared" si="139"/>
        <v>2002</v>
      </c>
      <c r="O162" s="778">
        <f t="shared" si="139"/>
        <v>2003</v>
      </c>
      <c r="P162" s="778">
        <f>+O162+1</f>
        <v>2004</v>
      </c>
      <c r="Q162" s="778">
        <f t="shared" si="139"/>
        <v>2005</v>
      </c>
      <c r="R162" s="778">
        <f t="shared" ref="R162:W162" si="140">+Q162+1</f>
        <v>2006</v>
      </c>
      <c r="S162" s="778">
        <f t="shared" si="140"/>
        <v>2007</v>
      </c>
      <c r="T162" s="2222">
        <f t="shared" si="140"/>
        <v>2008</v>
      </c>
      <c r="U162" s="2222">
        <f t="shared" si="140"/>
        <v>2009</v>
      </c>
      <c r="V162" s="2222">
        <f t="shared" si="140"/>
        <v>2010</v>
      </c>
      <c r="W162" s="2222">
        <f t="shared" si="140"/>
        <v>2011</v>
      </c>
      <c r="X162" s="2222">
        <f t="shared" ref="X162:AE162" si="141">+W162+1</f>
        <v>2012</v>
      </c>
      <c r="Y162" s="2222">
        <f t="shared" si="141"/>
        <v>2013</v>
      </c>
      <c r="Z162" s="2222">
        <f t="shared" si="141"/>
        <v>2014</v>
      </c>
      <c r="AA162" s="2222">
        <f t="shared" si="141"/>
        <v>2015</v>
      </c>
      <c r="AB162" s="2222">
        <f t="shared" si="141"/>
        <v>2016</v>
      </c>
      <c r="AC162" s="2222">
        <f t="shared" si="141"/>
        <v>2017</v>
      </c>
      <c r="AD162" s="2222">
        <f t="shared" si="141"/>
        <v>2018</v>
      </c>
      <c r="AE162" s="2222">
        <f t="shared" si="141"/>
        <v>2019</v>
      </c>
    </row>
    <row r="163" spans="1:113" ht="12.75" customHeight="1">
      <c r="A163" s="664"/>
      <c r="B163" s="664"/>
      <c r="C163" s="779" t="s">
        <v>1767</v>
      </c>
      <c r="D163" s="668" t="s">
        <v>687</v>
      </c>
      <c r="E163" s="700" t="s">
        <v>1205</v>
      </c>
      <c r="F163" s="701" t="s">
        <v>846</v>
      </c>
      <c r="G163" s="780">
        <f>+G139</f>
        <v>2.6940000000000002E-2</v>
      </c>
      <c r="H163" s="780">
        <f t="shared" ref="H163:O163" si="142">+H139</f>
        <v>8.097E-2</v>
      </c>
      <c r="I163" s="780">
        <f t="shared" si="142"/>
        <v>8.584E-2</v>
      </c>
      <c r="J163" s="780">
        <f t="shared" si="142"/>
        <v>0.14752999999999999</v>
      </c>
      <c r="K163" s="780">
        <f t="shared" si="142"/>
        <v>0.18694</v>
      </c>
      <c r="L163" s="780">
        <f t="shared" si="142"/>
        <v>0.23169999999999999</v>
      </c>
      <c r="M163" s="780">
        <f t="shared" si="142"/>
        <v>0.21352000000000002</v>
      </c>
      <c r="N163" s="780">
        <f t="shared" si="142"/>
        <v>0.19841</v>
      </c>
      <c r="O163" s="780">
        <f t="shared" si="142"/>
        <v>0.20580999999999999</v>
      </c>
      <c r="P163" s="780">
        <f t="shared" ref="P163:Z163" si="143">+P139</f>
        <v>0.16370999999999999</v>
      </c>
      <c r="Q163" s="780">
        <f t="shared" si="143"/>
        <v>0.16072</v>
      </c>
      <c r="R163" s="780">
        <f t="shared" si="143"/>
        <v>0.16800999999999999</v>
      </c>
      <c r="S163" s="780">
        <f t="shared" si="143"/>
        <v>0.19231000000000001</v>
      </c>
      <c r="T163" s="780">
        <f t="shared" si="143"/>
        <v>0.21409999999999998</v>
      </c>
      <c r="U163" s="780">
        <f t="shared" si="143"/>
        <v>0.3332</v>
      </c>
      <c r="V163" s="2267">
        <f t="shared" si="143"/>
        <v>0.50985999999999998</v>
      </c>
      <c r="W163" s="2267">
        <f t="shared" si="143"/>
        <v>0.57565</v>
      </c>
      <c r="X163" s="2267">
        <f t="shared" si="143"/>
        <v>0.6585700000000001</v>
      </c>
      <c r="Y163" s="2267">
        <f>+Y139</f>
        <v>0.61480999999999997</v>
      </c>
      <c r="Z163" s="2267">
        <f t="shared" si="143"/>
        <v>0.58675999999999995</v>
      </c>
      <c r="AA163" s="2267">
        <f>+AA139</f>
        <v>0.56867999999999996</v>
      </c>
      <c r="AB163" s="2267">
        <f>+AB139</f>
        <v>0.51676999999999995</v>
      </c>
      <c r="AC163" s="2267">
        <f>+AC139</f>
        <v>0.49499999999999994</v>
      </c>
      <c r="AD163" s="2267">
        <f>+AD139</f>
        <v>0.38500000000000001</v>
      </c>
      <c r="AE163" s="2267">
        <f>+AE139</f>
        <v>0.40100000000000002</v>
      </c>
    </row>
    <row r="164" spans="1:113" ht="12.75" customHeight="1">
      <c r="A164" s="664"/>
      <c r="B164" s="664"/>
      <c r="C164" s="782" t="s">
        <v>401</v>
      </c>
      <c r="D164" s="674" t="s">
        <v>687</v>
      </c>
      <c r="E164" s="783" t="s">
        <v>210</v>
      </c>
      <c r="F164" s="704" t="s">
        <v>211</v>
      </c>
      <c r="G164" s="706">
        <f t="shared" ref="G164:P164" si="144">+G163-G165</f>
        <v>0</v>
      </c>
      <c r="H164" s="706">
        <f t="shared" si="144"/>
        <v>0</v>
      </c>
      <c r="I164" s="706">
        <f t="shared" si="144"/>
        <v>0</v>
      </c>
      <c r="J164" s="706">
        <f t="shared" si="144"/>
        <v>0</v>
      </c>
      <c r="K164" s="706">
        <f t="shared" si="144"/>
        <v>0</v>
      </c>
      <c r="L164" s="706">
        <f t="shared" si="144"/>
        <v>0</v>
      </c>
      <c r="M164" s="706">
        <f t="shared" si="144"/>
        <v>0</v>
      </c>
      <c r="N164" s="706">
        <f t="shared" si="144"/>
        <v>0</v>
      </c>
      <c r="O164" s="706">
        <f t="shared" si="144"/>
        <v>0</v>
      </c>
      <c r="P164" s="706">
        <f t="shared" si="144"/>
        <v>0</v>
      </c>
      <c r="Q164" s="706">
        <f t="shared" ref="Q164:AB164" si="145">+Q163-Q165</f>
        <v>0</v>
      </c>
      <c r="R164" s="706">
        <f t="shared" si="145"/>
        <v>0</v>
      </c>
      <c r="S164" s="706">
        <f t="shared" si="145"/>
        <v>0</v>
      </c>
      <c r="T164" s="706">
        <f t="shared" si="145"/>
        <v>0</v>
      </c>
      <c r="U164" s="706">
        <f t="shared" si="145"/>
        <v>0</v>
      </c>
      <c r="V164" s="706">
        <f t="shared" si="145"/>
        <v>0</v>
      </c>
      <c r="W164" s="706">
        <f t="shared" si="145"/>
        <v>0</v>
      </c>
      <c r="X164" s="706">
        <f t="shared" si="145"/>
        <v>0</v>
      </c>
      <c r="Y164" s="706">
        <f t="shared" si="145"/>
        <v>0</v>
      </c>
      <c r="Z164" s="706">
        <f t="shared" si="145"/>
        <v>0</v>
      </c>
      <c r="AA164" s="706">
        <f t="shared" si="145"/>
        <v>0</v>
      </c>
      <c r="AB164" s="706">
        <f t="shared" si="145"/>
        <v>0</v>
      </c>
      <c r="AC164" s="2217">
        <f>AB164*(1+AC169/100)</f>
        <v>0</v>
      </c>
      <c r="AD164" s="2217">
        <f>AC164*(1+AD169/100)</f>
        <v>0</v>
      </c>
      <c r="AE164" s="2217">
        <f>AD164*(1+AE169/100)</f>
        <v>0</v>
      </c>
    </row>
    <row r="165" spans="1:113" ht="12.75" customHeight="1">
      <c r="A165" s="664">
        <f>+ROW(InputY!A178)</f>
        <v>178</v>
      </c>
      <c r="B165" s="664">
        <v>132</v>
      </c>
      <c r="C165" s="784" t="s">
        <v>1769</v>
      </c>
      <c r="D165" s="752" t="s">
        <v>687</v>
      </c>
      <c r="E165" s="753" t="s">
        <v>212</v>
      </c>
      <c r="F165" s="754" t="s">
        <v>1028</v>
      </c>
      <c r="G165" s="785">
        <f>+InputY!G178/1000</f>
        <v>2.6940000000000002E-2</v>
      </c>
      <c r="H165" s="785">
        <f>+InputY!H178/1000</f>
        <v>8.097E-2</v>
      </c>
      <c r="I165" s="785">
        <f>+InputY!I178/1000</f>
        <v>8.584E-2</v>
      </c>
      <c r="J165" s="785">
        <f>+InputY!J178/1000</f>
        <v>0.14752999999999999</v>
      </c>
      <c r="K165" s="785">
        <f>+InputY!K178/1000</f>
        <v>0.18694</v>
      </c>
      <c r="L165" s="785">
        <f>+InputY!L178/1000</f>
        <v>0.23169999999999999</v>
      </c>
      <c r="M165" s="785">
        <f>+InputY!M178/1000</f>
        <v>0.21352000000000002</v>
      </c>
      <c r="N165" s="785">
        <f>+InputY!N178/1000</f>
        <v>0.19841</v>
      </c>
      <c r="O165" s="785">
        <f>+InputY!O178/1000</f>
        <v>0.20580999999999999</v>
      </c>
      <c r="P165" s="785">
        <f>+InputY!P178/1000</f>
        <v>0.16370999999999999</v>
      </c>
      <c r="Q165" s="785">
        <f>+InputY!Q178/1000</f>
        <v>0.16072</v>
      </c>
      <c r="R165" s="785">
        <f>+InputY!R178/1000</f>
        <v>0.16800999999999999</v>
      </c>
      <c r="S165" s="785">
        <f>+InputY!S178/1000</f>
        <v>0.19231000000000001</v>
      </c>
      <c r="T165" s="785">
        <f>+InputY!T178/1000</f>
        <v>0.21409999999999998</v>
      </c>
      <c r="U165" s="785">
        <f>+InputY!U178/1000</f>
        <v>0.3332</v>
      </c>
      <c r="V165" s="785">
        <f>+InputY!V178/1000</f>
        <v>0.50985999999999998</v>
      </c>
      <c r="W165" s="785">
        <f>+InputY!W178/1000</f>
        <v>0.57565</v>
      </c>
      <c r="X165" s="785">
        <f>+InputY!X178/1000</f>
        <v>0.6585700000000001</v>
      </c>
      <c r="Y165" s="785">
        <f>+InputY!Y178/1000</f>
        <v>0.61480999999999997</v>
      </c>
      <c r="Z165" s="3611">
        <f>+InputY!Z178/1000</f>
        <v>0.58675999999999995</v>
      </c>
      <c r="AA165" s="3611">
        <f>+InputY!AA178/1000</f>
        <v>0.56867999999999996</v>
      </c>
      <c r="AB165" s="3611">
        <f>+InputY!AB178/1000</f>
        <v>0.51676999999999995</v>
      </c>
      <c r="AC165" s="2232">
        <f>+AC163-AC164</f>
        <v>0.49499999999999994</v>
      </c>
      <c r="AD165" s="2232">
        <f>+AD163-AD164</f>
        <v>0.38500000000000001</v>
      </c>
      <c r="AE165" s="2232">
        <f>+AE163-AE164</f>
        <v>0.40100000000000002</v>
      </c>
    </row>
    <row r="166" spans="1:113" ht="12.75" customHeight="1">
      <c r="A166" s="664"/>
      <c r="B166" s="664"/>
      <c r="C166" s="774"/>
      <c r="E166" s="786"/>
      <c r="F166" s="787"/>
      <c r="G166" s="703"/>
      <c r="H166" s="788"/>
      <c r="I166" s="703"/>
      <c r="J166" s="703"/>
      <c r="K166" s="703"/>
      <c r="L166" s="703"/>
      <c r="M166" s="703"/>
      <c r="N166" s="703"/>
      <c r="O166" s="703"/>
      <c r="P166" s="703"/>
      <c r="Q166" s="1907"/>
      <c r="R166" s="1907"/>
      <c r="S166" s="1907"/>
      <c r="T166" s="2271"/>
      <c r="U166" s="2271"/>
      <c r="V166" s="2271"/>
      <c r="W166" s="2271"/>
      <c r="X166" s="2271"/>
      <c r="Y166" s="2271"/>
      <c r="Z166" s="2271"/>
      <c r="AA166" s="2271"/>
      <c r="AB166" s="2271"/>
      <c r="AC166" s="2271"/>
      <c r="AD166" s="2271"/>
      <c r="AE166" s="2271"/>
    </row>
    <row r="167" spans="1:113" ht="12.75" customHeight="1">
      <c r="A167" s="664"/>
      <c r="B167" s="664"/>
      <c r="C167" s="774"/>
      <c r="D167" s="742"/>
      <c r="E167" s="743" t="s">
        <v>1311</v>
      </c>
      <c r="F167" s="744"/>
      <c r="G167" s="745">
        <f>+G162</f>
        <v>1995</v>
      </c>
      <c r="H167" s="745">
        <f>+G167+1</f>
        <v>1996</v>
      </c>
      <c r="I167" s="745">
        <f t="shared" ref="I167:Q167" si="146">+H167+1</f>
        <v>1997</v>
      </c>
      <c r="J167" s="745">
        <f t="shared" si="146"/>
        <v>1998</v>
      </c>
      <c r="K167" s="745">
        <f>+J167+1</f>
        <v>1999</v>
      </c>
      <c r="L167" s="745">
        <f t="shared" si="146"/>
        <v>2000</v>
      </c>
      <c r="M167" s="745">
        <f t="shared" si="146"/>
        <v>2001</v>
      </c>
      <c r="N167" s="745">
        <f t="shared" si="146"/>
        <v>2002</v>
      </c>
      <c r="O167" s="745">
        <f t="shared" si="146"/>
        <v>2003</v>
      </c>
      <c r="P167" s="745">
        <f>+O167+1</f>
        <v>2004</v>
      </c>
      <c r="Q167" s="745">
        <f t="shared" si="146"/>
        <v>2005</v>
      </c>
      <c r="R167" s="745">
        <f t="shared" ref="R167:W167" si="147">+Q167+1</f>
        <v>2006</v>
      </c>
      <c r="S167" s="745">
        <f t="shared" si="147"/>
        <v>2007</v>
      </c>
      <c r="T167" s="2211">
        <f t="shared" si="147"/>
        <v>2008</v>
      </c>
      <c r="U167" s="2211">
        <f t="shared" si="147"/>
        <v>2009</v>
      </c>
      <c r="V167" s="2211">
        <f t="shared" si="147"/>
        <v>2010</v>
      </c>
      <c r="W167" s="2211">
        <f t="shared" si="147"/>
        <v>2011</v>
      </c>
      <c r="X167" s="2211">
        <f t="shared" ref="X167:AE167" si="148">+W167+1</f>
        <v>2012</v>
      </c>
      <c r="Y167" s="2211">
        <f t="shared" si="148"/>
        <v>2013</v>
      </c>
      <c r="Z167" s="2211">
        <f t="shared" si="148"/>
        <v>2014</v>
      </c>
      <c r="AA167" s="2211">
        <f t="shared" si="148"/>
        <v>2015</v>
      </c>
      <c r="AB167" s="2211">
        <f t="shared" si="148"/>
        <v>2016</v>
      </c>
      <c r="AC167" s="2211">
        <f t="shared" si="148"/>
        <v>2017</v>
      </c>
      <c r="AD167" s="2211">
        <f t="shared" si="148"/>
        <v>2018</v>
      </c>
      <c r="AE167" s="2211">
        <f t="shared" si="148"/>
        <v>2019</v>
      </c>
    </row>
    <row r="168" spans="1:113" ht="12.75" customHeight="1">
      <c r="A168" s="664"/>
      <c r="B168" s="664"/>
      <c r="C168" s="794" t="s">
        <v>1767</v>
      </c>
      <c r="D168" s="689" t="s">
        <v>687</v>
      </c>
      <c r="E168" s="738" t="s">
        <v>1205</v>
      </c>
      <c r="F168" s="733" t="s">
        <v>846</v>
      </c>
      <c r="G168" s="739"/>
      <c r="H168" s="739">
        <f t="shared" ref="H168:AB168" si="149">(H163/G163-1)*100</f>
        <v>200.55679287305122</v>
      </c>
      <c r="I168" s="739">
        <f t="shared" si="149"/>
        <v>6.0145732987526346</v>
      </c>
      <c r="J168" s="739">
        <f t="shared" si="149"/>
        <v>71.866262814538672</v>
      </c>
      <c r="K168" s="739">
        <f>(K163/J163-1)*100</f>
        <v>26.713210872364932</v>
      </c>
      <c r="L168" s="739">
        <f t="shared" si="149"/>
        <v>23.943511287043972</v>
      </c>
      <c r="M168" s="739">
        <f t="shared" si="149"/>
        <v>-7.8463530427276496</v>
      </c>
      <c r="N168" s="739">
        <f t="shared" si="149"/>
        <v>-7.0766204571000468</v>
      </c>
      <c r="O168" s="739">
        <f t="shared" si="149"/>
        <v>3.7296507232498222</v>
      </c>
      <c r="P168" s="739">
        <f t="shared" si="149"/>
        <v>-20.455760167144454</v>
      </c>
      <c r="Q168" s="739">
        <f t="shared" si="149"/>
        <v>-1.8264003420682906</v>
      </c>
      <c r="R168" s="739">
        <f t="shared" si="149"/>
        <v>4.5358387257341981</v>
      </c>
      <c r="S168" s="739">
        <f t="shared" si="149"/>
        <v>14.463424796143087</v>
      </c>
      <c r="T168" s="2268">
        <f t="shared" si="149"/>
        <v>11.330664032031601</v>
      </c>
      <c r="U168" s="2268">
        <f t="shared" si="149"/>
        <v>55.628211116300804</v>
      </c>
      <c r="V168" s="2268">
        <f t="shared" si="149"/>
        <v>53.019207683073219</v>
      </c>
      <c r="W168" s="2268">
        <f t="shared" si="149"/>
        <v>12.903542148825164</v>
      </c>
      <c r="X168" s="2268">
        <f t="shared" si="149"/>
        <v>14.404586120038232</v>
      </c>
      <c r="Y168" s="2268">
        <f t="shared" si="149"/>
        <v>-6.6446998800431478</v>
      </c>
      <c r="Z168" s="2268">
        <f t="shared" si="149"/>
        <v>-4.5623851271124449</v>
      </c>
      <c r="AA168" s="2268">
        <f t="shared" si="149"/>
        <v>-3.0813279705501406</v>
      </c>
      <c r="AB168" s="2268">
        <f t="shared" si="149"/>
        <v>-9.1281564324400382</v>
      </c>
      <c r="AC168" s="2268">
        <f>(AC163/AB163-1)*100</f>
        <v>-4.212705845927589</v>
      </c>
      <c r="AD168" s="2268">
        <f>(AD163/AC163-1)*100</f>
        <v>-22.222222222222211</v>
      </c>
      <c r="AE168" s="2268">
        <f>(AE163/AD163-1)*100</f>
        <v>4.1558441558441572</v>
      </c>
    </row>
    <row r="169" spans="1:113" ht="12.75" customHeight="1">
      <c r="A169" s="664"/>
      <c r="B169" s="664"/>
      <c r="C169" s="796" t="s">
        <v>1767</v>
      </c>
      <c r="D169" s="691" t="s">
        <v>687</v>
      </c>
      <c r="E169" s="797" t="s">
        <v>210</v>
      </c>
      <c r="F169" s="736" t="s">
        <v>211</v>
      </c>
      <c r="G169" s="741"/>
      <c r="H169" s="741" t="e">
        <f t="shared" ref="H169:R169" si="150">(H164/G164-1)*100</f>
        <v>#DIV/0!</v>
      </c>
      <c r="I169" s="741" t="e">
        <f t="shared" si="150"/>
        <v>#DIV/0!</v>
      </c>
      <c r="J169" s="741" t="e">
        <f t="shared" si="150"/>
        <v>#DIV/0!</v>
      </c>
      <c r="K169" s="741" t="e">
        <f>(K164/J164-1)*100</f>
        <v>#DIV/0!</v>
      </c>
      <c r="L169" s="741" t="e">
        <f t="shared" si="150"/>
        <v>#DIV/0!</v>
      </c>
      <c r="M169" s="741" t="e">
        <f t="shared" si="150"/>
        <v>#DIV/0!</v>
      </c>
      <c r="N169" s="741" t="e">
        <f t="shared" si="150"/>
        <v>#DIV/0!</v>
      </c>
      <c r="O169" s="741" t="e">
        <f t="shared" si="150"/>
        <v>#DIV/0!</v>
      </c>
      <c r="P169" s="741" t="e">
        <f t="shared" si="150"/>
        <v>#DIV/0!</v>
      </c>
      <c r="Q169" s="741" t="e">
        <f t="shared" si="150"/>
        <v>#DIV/0!</v>
      </c>
      <c r="R169" s="741" t="e">
        <f t="shared" si="150"/>
        <v>#DIV/0!</v>
      </c>
      <c r="S169" s="3076">
        <v>0</v>
      </c>
      <c r="T169" s="3076">
        <v>0</v>
      </c>
      <c r="U169" s="3076">
        <v>0</v>
      </c>
      <c r="V169" s="3076">
        <v>0</v>
      </c>
      <c r="W169" s="3076">
        <v>0</v>
      </c>
      <c r="X169" s="3076">
        <v>0</v>
      </c>
      <c r="Y169" s="3076">
        <v>0</v>
      </c>
      <c r="Z169" s="3076">
        <v>0</v>
      </c>
      <c r="AA169" s="3076">
        <v>0</v>
      </c>
      <c r="AB169" s="3076">
        <v>0</v>
      </c>
      <c r="AC169" s="2214">
        <v>0</v>
      </c>
      <c r="AD169" s="2214">
        <v>0</v>
      </c>
      <c r="AE169" s="2214">
        <v>0</v>
      </c>
    </row>
    <row r="170" spans="1:113" ht="12.75" customHeight="1">
      <c r="A170" s="664"/>
      <c r="B170" s="664"/>
      <c r="C170" s="774" t="s">
        <v>1769</v>
      </c>
      <c r="D170" s="717" t="s">
        <v>687</v>
      </c>
      <c r="E170" s="722" t="s">
        <v>212</v>
      </c>
      <c r="F170" s="723" t="s">
        <v>1028</v>
      </c>
      <c r="G170" s="721"/>
      <c r="H170" s="721">
        <f t="shared" ref="H170:S170" si="151">(H165/G165-1)*100</f>
        <v>200.55679287305122</v>
      </c>
      <c r="I170" s="721">
        <f t="shared" si="151"/>
        <v>6.0145732987526346</v>
      </c>
      <c r="J170" s="721">
        <f t="shared" si="151"/>
        <v>71.866262814538672</v>
      </c>
      <c r="K170" s="721">
        <f>(K165/J165-1)*100</f>
        <v>26.713210872364932</v>
      </c>
      <c r="L170" s="721">
        <f t="shared" si="151"/>
        <v>23.943511287043972</v>
      </c>
      <c r="M170" s="721">
        <f t="shared" si="151"/>
        <v>-7.8463530427276496</v>
      </c>
      <c r="N170" s="721">
        <f t="shared" si="151"/>
        <v>-7.0766204571000468</v>
      </c>
      <c r="O170" s="721">
        <f t="shared" si="151"/>
        <v>3.7296507232498222</v>
      </c>
      <c r="P170" s="721">
        <f t="shared" si="151"/>
        <v>-20.455760167144454</v>
      </c>
      <c r="Q170" s="721">
        <f t="shared" si="151"/>
        <v>-1.8264003420682906</v>
      </c>
      <c r="R170" s="721">
        <f t="shared" si="151"/>
        <v>4.5358387257341981</v>
      </c>
      <c r="S170" s="721">
        <f t="shared" si="151"/>
        <v>14.463424796143087</v>
      </c>
      <c r="T170" s="2260">
        <f t="shared" ref="T170:AB170" si="152">(T165/S165-1)*100</f>
        <v>11.330664032031601</v>
      </c>
      <c r="U170" s="2260">
        <f t="shared" si="152"/>
        <v>55.628211116300804</v>
      </c>
      <c r="V170" s="2260">
        <f t="shared" si="152"/>
        <v>53.019207683073219</v>
      </c>
      <c r="W170" s="2260">
        <f t="shared" si="152"/>
        <v>12.903542148825164</v>
      </c>
      <c r="X170" s="2260">
        <f t="shared" si="152"/>
        <v>14.404586120038232</v>
      </c>
      <c r="Y170" s="2260">
        <f t="shared" si="152"/>
        <v>-6.6446998800431478</v>
      </c>
      <c r="Z170" s="2260">
        <f t="shared" si="152"/>
        <v>-4.5623851271124449</v>
      </c>
      <c r="AA170" s="2260">
        <f t="shared" si="152"/>
        <v>-3.0813279705501406</v>
      </c>
      <c r="AB170" s="2260">
        <f t="shared" si="152"/>
        <v>-9.1281564324400382</v>
      </c>
      <c r="AC170" s="2260">
        <f>(AC165/AB165-1)*100</f>
        <v>-4.212705845927589</v>
      </c>
      <c r="AD170" s="2260">
        <f>(AD165/AC165-1)*100</f>
        <v>-22.222222222222211</v>
      </c>
      <c r="AE170" s="2260">
        <f>(AE165/AD165-1)*100</f>
        <v>4.1558441558441572</v>
      </c>
    </row>
    <row r="171" spans="1:113" ht="12.75" customHeight="1">
      <c r="A171" s="664"/>
      <c r="B171" s="664"/>
      <c r="C171" s="774"/>
      <c r="E171" s="786"/>
      <c r="F171" s="787"/>
      <c r="G171" s="703"/>
      <c r="H171" s="788"/>
      <c r="I171" s="703"/>
      <c r="J171" s="703"/>
      <c r="K171" s="703"/>
      <c r="L171" s="703"/>
      <c r="M171" s="703"/>
      <c r="N171" s="703"/>
      <c r="O171" s="703"/>
      <c r="P171" s="703"/>
      <c r="Q171" s="1907"/>
      <c r="R171" s="1907"/>
      <c r="S171" s="1907"/>
      <c r="T171" s="2270"/>
      <c r="U171" s="2270"/>
      <c r="V171" s="2270"/>
      <c r="W171" s="2270"/>
      <c r="X171" s="2270"/>
      <c r="Y171" s="2270"/>
      <c r="Z171" s="2270"/>
      <c r="AA171" s="2270"/>
      <c r="AB171" s="2270"/>
      <c r="AC171" s="2270"/>
      <c r="AD171" s="2270"/>
      <c r="AE171" s="2270"/>
    </row>
    <row r="172" spans="1:113" ht="12.75" customHeight="1">
      <c r="A172" s="664"/>
      <c r="B172" s="664"/>
      <c r="C172" s="774"/>
      <c r="D172" s="814"/>
      <c r="E172" s="815" t="s">
        <v>1282</v>
      </c>
      <c r="F172" s="816"/>
      <c r="G172" s="821">
        <f>+InputY!$G$3</f>
        <v>1995</v>
      </c>
      <c r="H172" s="817">
        <f>+G172+1</f>
        <v>1996</v>
      </c>
      <c r="I172" s="817">
        <f t="shared" ref="I172:O172" si="153">+H172+1</f>
        <v>1997</v>
      </c>
      <c r="J172" s="817">
        <f t="shared" si="153"/>
        <v>1998</v>
      </c>
      <c r="K172" s="817">
        <f>+J172+1</f>
        <v>1999</v>
      </c>
      <c r="L172" s="817">
        <f t="shared" si="153"/>
        <v>2000</v>
      </c>
      <c r="M172" s="817">
        <f t="shared" si="153"/>
        <v>2001</v>
      </c>
      <c r="N172" s="817">
        <f t="shared" si="153"/>
        <v>2002</v>
      </c>
      <c r="O172" s="817">
        <f t="shared" si="153"/>
        <v>2003</v>
      </c>
      <c r="P172" s="817">
        <f t="shared" ref="P172:V172" si="154">+O172+1</f>
        <v>2004</v>
      </c>
      <c r="Q172" s="817">
        <f t="shared" si="154"/>
        <v>2005</v>
      </c>
      <c r="R172" s="817">
        <f t="shared" si="154"/>
        <v>2006</v>
      </c>
      <c r="S172" s="817">
        <f>+R172+1</f>
        <v>2007</v>
      </c>
      <c r="T172" s="817">
        <f t="shared" si="154"/>
        <v>2008</v>
      </c>
      <c r="U172" s="817">
        <f t="shared" si="154"/>
        <v>2009</v>
      </c>
      <c r="V172" s="817">
        <f t="shared" si="154"/>
        <v>2010</v>
      </c>
      <c r="W172" s="817">
        <f t="shared" ref="W172:AE172" si="155">+V172+1</f>
        <v>2011</v>
      </c>
      <c r="X172" s="817">
        <f t="shared" si="155"/>
        <v>2012</v>
      </c>
      <c r="Y172" s="817">
        <f t="shared" si="155"/>
        <v>2013</v>
      </c>
      <c r="Z172" s="817">
        <f t="shared" si="155"/>
        <v>2014</v>
      </c>
      <c r="AA172" s="817">
        <f t="shared" si="155"/>
        <v>2015</v>
      </c>
      <c r="AB172" s="817">
        <f t="shared" si="155"/>
        <v>2016</v>
      </c>
      <c r="AC172" s="817">
        <f t="shared" si="155"/>
        <v>2017</v>
      </c>
      <c r="AD172" s="817">
        <f t="shared" si="155"/>
        <v>2018</v>
      </c>
      <c r="AE172" s="817">
        <f t="shared" si="155"/>
        <v>2019</v>
      </c>
    </row>
    <row r="173" spans="1:113" ht="12.75" customHeight="1">
      <c r="A173" s="664"/>
      <c r="B173" s="664"/>
      <c r="C173" s="810"/>
      <c r="D173" s="811" t="s">
        <v>687</v>
      </c>
      <c r="E173" s="812" t="s">
        <v>1205</v>
      </c>
      <c r="F173" s="813" t="s">
        <v>1283</v>
      </c>
      <c r="G173" s="1527"/>
      <c r="H173" s="1527">
        <f t="shared" ref="H173:R173" si="156">+H163/G$605</f>
        <v>9.0519843487982116E-2</v>
      </c>
      <c r="I173" s="1527">
        <f t="shared" si="156"/>
        <v>6.3514613392526828E-2</v>
      </c>
      <c r="J173" s="1527">
        <f t="shared" si="156"/>
        <v>8.186105870602596E-2</v>
      </c>
      <c r="K173" s="1527">
        <f>+K163/J$605</f>
        <v>8.6799461392023033E-2</v>
      </c>
      <c r="L173" s="1527">
        <f t="shared" si="156"/>
        <v>8.0295259218186865E-2</v>
      </c>
      <c r="M173" s="1527">
        <f t="shared" si="156"/>
        <v>6.8000000000000005E-2</v>
      </c>
      <c r="N173" s="1527">
        <f t="shared" si="156"/>
        <v>6.1052987876176995E-2</v>
      </c>
      <c r="O173" s="1527">
        <f t="shared" si="156"/>
        <v>6.115469186426576E-2</v>
      </c>
      <c r="P173" s="1527">
        <f t="shared" si="156"/>
        <v>4.8225174536777916E-2</v>
      </c>
      <c r="Q173" s="1527">
        <f t="shared" si="156"/>
        <v>4.7208106917315321E-2</v>
      </c>
      <c r="R173" s="1527">
        <f t="shared" si="156"/>
        <v>4.5384802398768194E-2</v>
      </c>
      <c r="S173" s="1527">
        <f t="shared" ref="S173:X173" si="157">+S163/R$605</f>
        <v>4.6318552951660694E-2</v>
      </c>
      <c r="T173" s="3001">
        <f t="shared" si="157"/>
        <v>4.6445538755233523E-2</v>
      </c>
      <c r="U173" s="3001">
        <f t="shared" si="157"/>
        <v>6.9969131265618101E-2</v>
      </c>
      <c r="V173" s="3001">
        <f t="shared" si="157"/>
        <v>6.7723982200969646E-2</v>
      </c>
      <c r="W173" s="3001">
        <f t="shared" si="157"/>
        <v>5.6709815975095564E-2</v>
      </c>
      <c r="X173" s="3001">
        <f t="shared" si="157"/>
        <v>5.6630722663639804E-2</v>
      </c>
      <c r="Y173" s="3001">
        <f t="shared" ref="Y173:AE173" si="158">+Y163/X$605</f>
        <v>4.6351429799232506E-2</v>
      </c>
      <c r="Z173" s="3001">
        <f t="shared" si="158"/>
        <v>4.3303321033210329E-2</v>
      </c>
      <c r="AA173" s="3001">
        <f t="shared" si="158"/>
        <v>3.8359527824620571E-2</v>
      </c>
      <c r="AB173" s="3001">
        <f t="shared" si="158"/>
        <v>3.2420715831738757E-2</v>
      </c>
      <c r="AC173" s="3001">
        <f t="shared" si="158"/>
        <v>3.1907281950791878E-2</v>
      </c>
      <c r="AD173" s="3001">
        <f t="shared" ca="1" si="158"/>
        <v>2.2688977506363533E-2</v>
      </c>
      <c r="AE173" s="3001">
        <f t="shared" ca="1" si="158"/>
        <v>2.4499746367397567E-2</v>
      </c>
    </row>
    <row r="174" spans="1:113" s="793" customFormat="1" ht="12.75" customHeight="1">
      <c r="A174" s="664"/>
      <c r="B174" s="664"/>
      <c r="C174" s="694"/>
      <c r="D174" s="803" t="s">
        <v>687</v>
      </c>
      <c r="E174" s="804" t="s">
        <v>212</v>
      </c>
      <c r="F174" s="805" t="s">
        <v>239</v>
      </c>
      <c r="G174" s="1526"/>
      <c r="H174" s="1526">
        <f t="shared" ref="H174:R174" si="159">+H165/G$605</f>
        <v>9.0519843487982116E-2</v>
      </c>
      <c r="I174" s="1526">
        <f t="shared" si="159"/>
        <v>6.3514613392526828E-2</v>
      </c>
      <c r="J174" s="1526">
        <f t="shared" si="159"/>
        <v>8.186105870602596E-2</v>
      </c>
      <c r="K174" s="1526">
        <f>+K165/J$605</f>
        <v>8.6799461392023033E-2</v>
      </c>
      <c r="L174" s="1526">
        <f t="shared" si="159"/>
        <v>8.0295259218186865E-2</v>
      </c>
      <c r="M174" s="1526">
        <f t="shared" si="159"/>
        <v>6.8000000000000005E-2</v>
      </c>
      <c r="N174" s="1526">
        <f t="shared" si="159"/>
        <v>6.1052987876176995E-2</v>
      </c>
      <c r="O174" s="1526">
        <f t="shared" si="159"/>
        <v>6.115469186426576E-2</v>
      </c>
      <c r="P174" s="1526">
        <f t="shared" si="159"/>
        <v>4.8225174536777916E-2</v>
      </c>
      <c r="Q174" s="1526">
        <f t="shared" si="159"/>
        <v>4.7208106917315321E-2</v>
      </c>
      <c r="R174" s="1526">
        <f t="shared" si="159"/>
        <v>4.5384802398768194E-2</v>
      </c>
      <c r="S174" s="1526">
        <f t="shared" ref="S174:X174" si="160">+S165/R$605</f>
        <v>4.6318552951660694E-2</v>
      </c>
      <c r="T174" s="1971">
        <f t="shared" si="160"/>
        <v>4.6445538755233523E-2</v>
      </c>
      <c r="U174" s="1971">
        <f t="shared" si="160"/>
        <v>6.9969131265618101E-2</v>
      </c>
      <c r="V174" s="1971">
        <f t="shared" si="160"/>
        <v>6.7723982200969646E-2</v>
      </c>
      <c r="W174" s="1971">
        <f t="shared" si="160"/>
        <v>5.6709815975095564E-2</v>
      </c>
      <c r="X174" s="1971">
        <f t="shared" si="160"/>
        <v>5.6630722663639804E-2</v>
      </c>
      <c r="Y174" s="1971">
        <f t="shared" ref="Y174:AE174" si="161">+Y165/X$605</f>
        <v>4.6351429799232506E-2</v>
      </c>
      <c r="Z174" s="1971">
        <f t="shared" si="161"/>
        <v>4.3303321033210329E-2</v>
      </c>
      <c r="AA174" s="1971">
        <f t="shared" si="161"/>
        <v>3.8359527824620571E-2</v>
      </c>
      <c r="AB174" s="1971">
        <f t="shared" si="161"/>
        <v>3.2420715831738757E-2</v>
      </c>
      <c r="AC174" s="1971">
        <f t="shared" si="161"/>
        <v>3.1907281950791878E-2</v>
      </c>
      <c r="AD174" s="1971">
        <f t="shared" ca="1" si="161"/>
        <v>2.2688977506363533E-2</v>
      </c>
      <c r="AE174" s="1971">
        <f t="shared" ca="1" si="161"/>
        <v>2.4499746367397567E-2</v>
      </c>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row>
    <row r="175" spans="1:113" ht="30" customHeight="1">
      <c r="AB175" s="2221"/>
      <c r="AC175" s="2221"/>
      <c r="AD175" s="2221"/>
      <c r="AE175" s="2221"/>
    </row>
    <row r="176" spans="1:113" ht="30" customHeight="1">
      <c r="AB176" s="2221"/>
      <c r="AC176" s="2221"/>
      <c r="AD176" s="2221"/>
      <c r="AE176" s="2221"/>
    </row>
    <row r="177" spans="1:31" ht="22.5" customHeight="1">
      <c r="A177" s="574"/>
      <c r="B177" s="574"/>
      <c r="C177" s="3752" t="s">
        <v>1491</v>
      </c>
      <c r="D177" s="3752"/>
      <c r="E177" s="3752"/>
      <c r="F177" s="3752"/>
      <c r="AB177" s="2221"/>
      <c r="AC177" s="2221"/>
      <c r="AD177" s="2221"/>
      <c r="AE177" s="2221"/>
    </row>
    <row r="178" spans="1:31" ht="12.75" customHeight="1">
      <c r="A178" s="664"/>
      <c r="B178" s="664"/>
      <c r="C178" s="774"/>
      <c r="AB178" s="2221"/>
      <c r="AC178" s="2221"/>
      <c r="AD178" s="2221"/>
      <c r="AE178" s="2221"/>
    </row>
    <row r="179" spans="1:31" ht="12.75" customHeight="1">
      <c r="A179" s="664"/>
      <c r="B179" s="664"/>
      <c r="C179" s="774"/>
      <c r="D179" s="775"/>
      <c r="E179" s="776" t="s">
        <v>1384</v>
      </c>
      <c r="F179" s="777"/>
      <c r="G179" s="778">
        <f>+InputY!$G$3</f>
        <v>1995</v>
      </c>
      <c r="H179" s="778">
        <f>+G179+1</f>
        <v>1996</v>
      </c>
      <c r="I179" s="778">
        <f t="shared" ref="I179:O179" si="162">+H179+1</f>
        <v>1997</v>
      </c>
      <c r="J179" s="778">
        <f t="shared" si="162"/>
        <v>1998</v>
      </c>
      <c r="K179" s="778">
        <f>+J179+1</f>
        <v>1999</v>
      </c>
      <c r="L179" s="778">
        <f t="shared" si="162"/>
        <v>2000</v>
      </c>
      <c r="M179" s="778">
        <f t="shared" si="162"/>
        <v>2001</v>
      </c>
      <c r="N179" s="778">
        <f t="shared" si="162"/>
        <v>2002</v>
      </c>
      <c r="O179" s="778">
        <f t="shared" si="162"/>
        <v>2003</v>
      </c>
      <c r="P179" s="778">
        <f t="shared" ref="P179:V179" si="163">+O179+1</f>
        <v>2004</v>
      </c>
      <c r="Q179" s="778">
        <f t="shared" si="163"/>
        <v>2005</v>
      </c>
      <c r="R179" s="778">
        <f t="shared" si="163"/>
        <v>2006</v>
      </c>
      <c r="S179" s="778">
        <f>+R179+1</f>
        <v>2007</v>
      </c>
      <c r="T179" s="778">
        <f t="shared" si="163"/>
        <v>2008</v>
      </c>
      <c r="U179" s="778">
        <f t="shared" si="163"/>
        <v>2009</v>
      </c>
      <c r="V179" s="778">
        <f t="shared" si="163"/>
        <v>2010</v>
      </c>
      <c r="W179" s="778">
        <f t="shared" ref="W179:AE179" si="164">+V179+1</f>
        <v>2011</v>
      </c>
      <c r="X179" s="778">
        <f t="shared" si="164"/>
        <v>2012</v>
      </c>
      <c r="Y179" s="778">
        <f t="shared" si="164"/>
        <v>2013</v>
      </c>
      <c r="Z179" s="778">
        <f t="shared" si="164"/>
        <v>2014</v>
      </c>
      <c r="AA179" s="778">
        <f t="shared" si="164"/>
        <v>2015</v>
      </c>
      <c r="AB179" s="778">
        <f t="shared" si="164"/>
        <v>2016</v>
      </c>
      <c r="AC179" s="778">
        <f t="shared" si="164"/>
        <v>2017</v>
      </c>
      <c r="AD179" s="778">
        <f t="shared" si="164"/>
        <v>2018</v>
      </c>
      <c r="AE179" s="778">
        <f t="shared" si="164"/>
        <v>2019</v>
      </c>
    </row>
    <row r="180" spans="1:31" ht="12.75" customHeight="1">
      <c r="A180" s="664"/>
      <c r="B180" s="664"/>
      <c r="C180" s="779" t="s">
        <v>1767</v>
      </c>
      <c r="D180" s="668" t="s">
        <v>685</v>
      </c>
      <c r="E180" s="700" t="s">
        <v>1850</v>
      </c>
      <c r="F180" s="701" t="s">
        <v>2070</v>
      </c>
      <c r="G180" s="780">
        <f>+G107+G143+Labour1!G217</f>
        <v>5.3706200000000006</v>
      </c>
      <c r="H180" s="780">
        <f>+H107+H143+Labour1!H217</f>
        <v>6.69069</v>
      </c>
      <c r="I180" s="780">
        <f>+I107+I143+Labour1!I217</f>
        <v>8.0481999999999996</v>
      </c>
      <c r="J180" s="780">
        <f>+J107+J143+Labour1!J217</f>
        <v>9.3135399999999997</v>
      </c>
      <c r="K180" s="780">
        <f>+K107+K143+Labour1!K217</f>
        <v>9.2510600000000007</v>
      </c>
      <c r="L180" s="780">
        <f>+L107+L143+Labour1!L217</f>
        <v>10.0006</v>
      </c>
      <c r="M180" s="780">
        <f>+M107+M143+Labour1!M217</f>
        <v>10.260169999999999</v>
      </c>
      <c r="N180" s="780">
        <f>+N107+N143+Labour1!N217</f>
        <v>11.05734</v>
      </c>
      <c r="O180" s="780">
        <f>+O107+O143+Labour1!O217</f>
        <v>11.780200000000001</v>
      </c>
      <c r="P180" s="780">
        <f>+P107+P143+Labour1!P217</f>
        <v>13.746009999999998</v>
      </c>
      <c r="Q180" s="780">
        <f>+Q107+Q143+Labour1!Q217</f>
        <v>14.98326</v>
      </c>
      <c r="R180" s="780">
        <f>+R107+R143+Labour1!R217</f>
        <v>17.508610000000001</v>
      </c>
      <c r="S180" s="780">
        <f>+S107+S143+Labour1!S217</f>
        <v>18.852180000000001</v>
      </c>
      <c r="T180" s="780">
        <f>+T107+T143+Labour1!T217</f>
        <v>21.641190000000002</v>
      </c>
      <c r="U180" s="846">
        <f>+U107+U143+Labour1!U217</f>
        <v>18.60228</v>
      </c>
      <c r="V180" s="846">
        <f>+V107+V143+Labour1!V217</f>
        <v>18.722679999999997</v>
      </c>
      <c r="W180" s="846">
        <f>+W107+W143+Labour1!W217</f>
        <v>20.241990000000001</v>
      </c>
      <c r="X180" s="846">
        <f>+X107+X143+Labour1!X217</f>
        <v>21.375990000000002</v>
      </c>
      <c r="Y180" s="846">
        <f>+Y107+Y143+Labour1!Y217</f>
        <v>22.276679999999999</v>
      </c>
      <c r="Z180" s="846">
        <f>+Z107+Z143+Labour1!Z217</f>
        <v>22.86983</v>
      </c>
      <c r="AA180" s="846">
        <f>+AA107+AA143+Labour1!AA217</f>
        <v>24.079979999999999</v>
      </c>
      <c r="AB180" s="846">
        <f>+AB107+AB143+Labour1!AB217</f>
        <v>25.580709999999996</v>
      </c>
      <c r="AC180" s="846">
        <f>+AC107+AC143+Labour1!AC217</f>
        <v>27.414501750000003</v>
      </c>
      <c r="AD180" s="846">
        <f>+AD107+AD143+Labour1!AD217</f>
        <v>28.718456249238734</v>
      </c>
      <c r="AE180" s="846">
        <f>+AE107+AE143+Labour1!AE217</f>
        <v>30.212072336758247</v>
      </c>
    </row>
    <row r="181" spans="1:31" ht="12.75" customHeight="1">
      <c r="A181" s="664"/>
      <c r="B181" s="664"/>
      <c r="C181" s="782" t="s">
        <v>1767</v>
      </c>
      <c r="D181" s="674" t="s">
        <v>686</v>
      </c>
      <c r="E181" s="783" t="s">
        <v>1850</v>
      </c>
      <c r="F181" s="704" t="s">
        <v>2071</v>
      </c>
      <c r="G181" s="706">
        <f t="shared" ref="G181:R181" si="165">+G108+G136</f>
        <v>1.17733</v>
      </c>
      <c r="H181" s="706">
        <f t="shared" si="165"/>
        <v>1.5767099999999994</v>
      </c>
      <c r="I181" s="706">
        <f t="shared" si="165"/>
        <v>1.57467</v>
      </c>
      <c r="J181" s="706">
        <f t="shared" si="165"/>
        <v>1.3142299999999998</v>
      </c>
      <c r="K181" s="706">
        <f t="shared" si="165"/>
        <v>1.1393500000000005</v>
      </c>
      <c r="L181" s="706">
        <f t="shared" si="165"/>
        <v>1.1689500000000002</v>
      </c>
      <c r="M181" s="706">
        <f t="shared" si="165"/>
        <v>1.6861199999999998</v>
      </c>
      <c r="N181" s="706">
        <f t="shared" si="165"/>
        <v>1.8079599999999996</v>
      </c>
      <c r="O181" s="706">
        <f t="shared" si="165"/>
        <v>2.2431100000000006</v>
      </c>
      <c r="P181" s="706">
        <f t="shared" si="165"/>
        <v>1.747679999999999</v>
      </c>
      <c r="Q181" s="706">
        <f t="shared" si="165"/>
        <v>2.9794000000000009</v>
      </c>
      <c r="R181" s="706">
        <f t="shared" si="165"/>
        <v>2.9605699999999988</v>
      </c>
      <c r="S181" s="706">
        <f t="shared" ref="S181:X181" si="166">+S108+S136</f>
        <v>5.2844300000000013</v>
      </c>
      <c r="T181" s="792">
        <f t="shared" si="166"/>
        <v>5.5674399999999995</v>
      </c>
      <c r="U181" s="792">
        <f t="shared" si="166"/>
        <v>5.2392099999999999</v>
      </c>
      <c r="V181" s="792">
        <f t="shared" si="166"/>
        <v>5.1036299999999981</v>
      </c>
      <c r="W181" s="792">
        <f t="shared" si="166"/>
        <v>5.8938000000000015</v>
      </c>
      <c r="X181" s="792">
        <f t="shared" si="166"/>
        <v>6.8257399999999997</v>
      </c>
      <c r="Y181" s="792">
        <f t="shared" ref="Y181:AD181" si="167">+Y108+Y136</f>
        <v>7.503709999999999</v>
      </c>
      <c r="Z181" s="792">
        <f t="shared" si="167"/>
        <v>8.6331300000000013</v>
      </c>
      <c r="AA181" s="792">
        <f t="shared" si="167"/>
        <v>6.9432599999999995</v>
      </c>
      <c r="AB181" s="792">
        <f t="shared" si="167"/>
        <v>6.3777800000000004</v>
      </c>
      <c r="AC181" s="792">
        <f t="shared" si="167"/>
        <v>7.2511712700000013</v>
      </c>
      <c r="AD181" s="792">
        <f t="shared" ca="1" si="167"/>
        <v>7.8057300080993262</v>
      </c>
      <c r="AE181" s="792">
        <f t="shared" ref="AE181" ca="1" si="168">+AE108+AE136</f>
        <v>8.4488074738879675</v>
      </c>
    </row>
    <row r="182" spans="1:31" ht="12.75" customHeight="1">
      <c r="A182" s="664"/>
      <c r="B182" s="664"/>
      <c r="C182" s="782" t="s">
        <v>1767</v>
      </c>
      <c r="D182" s="674" t="s">
        <v>687</v>
      </c>
      <c r="E182" s="783" t="s">
        <v>1850</v>
      </c>
      <c r="F182" s="704" t="s">
        <v>2072</v>
      </c>
      <c r="G182" s="706">
        <f t="shared" ref="G182:R182" si="169">+G109+G13-G50+G137-G138-G139</f>
        <v>1.2033700000000001</v>
      </c>
      <c r="H182" s="706">
        <f t="shared" si="169"/>
        <v>1.34588</v>
      </c>
      <c r="I182" s="706">
        <f t="shared" si="169"/>
        <v>1.8794199999999999</v>
      </c>
      <c r="J182" s="706">
        <f t="shared" si="169"/>
        <v>2.1029099999999992</v>
      </c>
      <c r="K182" s="706">
        <f t="shared" si="169"/>
        <v>2.0188800000000002</v>
      </c>
      <c r="L182" s="706">
        <f t="shared" si="169"/>
        <v>1.9587700000000003</v>
      </c>
      <c r="M182" s="706">
        <f t="shared" si="169"/>
        <v>2.0566900000000001</v>
      </c>
      <c r="N182" s="706">
        <f t="shared" si="169"/>
        <v>2.1761800000000004</v>
      </c>
      <c r="O182" s="706">
        <f t="shared" si="169"/>
        <v>2.2322799999999998</v>
      </c>
      <c r="P182" s="706">
        <f t="shared" si="169"/>
        <v>2.38897</v>
      </c>
      <c r="Q182" s="706">
        <f t="shared" si="169"/>
        <v>2.7588799999999991</v>
      </c>
      <c r="R182" s="706">
        <f t="shared" si="169"/>
        <v>3.1505099999999997</v>
      </c>
      <c r="S182" s="706">
        <f t="shared" ref="S182:X182" si="170">+S109+S13-S50+S137-S138-S139</f>
        <v>3.81067</v>
      </c>
      <c r="T182" s="792">
        <f t="shared" si="170"/>
        <v>4.3728699999999998</v>
      </c>
      <c r="U182" s="792">
        <f t="shared" si="170"/>
        <v>3.5961099999999995</v>
      </c>
      <c r="V182" s="792">
        <f t="shared" si="170"/>
        <v>3.6792800000000003</v>
      </c>
      <c r="W182" s="792">
        <f t="shared" si="170"/>
        <v>3.9915100000000003</v>
      </c>
      <c r="X182" s="792">
        <f t="shared" si="170"/>
        <v>4.1405800000000008</v>
      </c>
      <c r="Y182" s="792">
        <f t="shared" ref="Y182:AD182" si="171">+Y109+Y13-Y50+Y137-Y138-Y139</f>
        <v>4.269569999999999</v>
      </c>
      <c r="Z182" s="792">
        <f t="shared" si="171"/>
        <v>4.5905199999999997</v>
      </c>
      <c r="AA182" s="792">
        <f t="shared" si="171"/>
        <v>4.8794100000000009</v>
      </c>
      <c r="AB182" s="792">
        <f>+AB109+AB13-AB50+AB137-AB138-AB139</f>
        <v>5.1847900000000013</v>
      </c>
      <c r="AC182" s="792">
        <f t="shared" si="171"/>
        <v>5.6747869800000004</v>
      </c>
      <c r="AD182" s="792">
        <f t="shared" si="171"/>
        <v>6.1405345276192165</v>
      </c>
      <c r="AE182" s="792">
        <f t="shared" ref="AE182" si="172">+AE109+AE13-AE50+AE137-AE138-AE139</f>
        <v>6.4376261313292931</v>
      </c>
    </row>
    <row r="183" spans="1:31" ht="12.75" customHeight="1">
      <c r="A183" s="664"/>
      <c r="B183" s="664"/>
      <c r="C183" s="784" t="s">
        <v>1769</v>
      </c>
      <c r="D183" s="752"/>
      <c r="E183" s="753" t="s">
        <v>1850</v>
      </c>
      <c r="F183" s="754" t="s">
        <v>1108</v>
      </c>
      <c r="G183" s="785">
        <f t="shared" ref="G183:S183" si="173">+G180+G181+G182</f>
        <v>7.7513199999999998</v>
      </c>
      <c r="H183" s="785">
        <f t="shared" si="173"/>
        <v>9.6132799999999978</v>
      </c>
      <c r="I183" s="785">
        <f t="shared" si="173"/>
        <v>11.502289999999999</v>
      </c>
      <c r="J183" s="785">
        <f t="shared" si="173"/>
        <v>12.73068</v>
      </c>
      <c r="K183" s="785">
        <f t="shared" si="173"/>
        <v>12.409290000000002</v>
      </c>
      <c r="L183" s="785">
        <f t="shared" si="173"/>
        <v>13.128320000000002</v>
      </c>
      <c r="M183" s="785">
        <f t="shared" si="173"/>
        <v>14.002979999999997</v>
      </c>
      <c r="N183" s="785">
        <f t="shared" si="173"/>
        <v>15.04148</v>
      </c>
      <c r="O183" s="785">
        <f t="shared" si="173"/>
        <v>16.255590000000002</v>
      </c>
      <c r="P183" s="785">
        <f t="shared" si="173"/>
        <v>17.882659999999998</v>
      </c>
      <c r="Q183" s="785">
        <f t="shared" si="173"/>
        <v>20.721539999999997</v>
      </c>
      <c r="R183" s="785">
        <f t="shared" si="173"/>
        <v>23.619690000000002</v>
      </c>
      <c r="S183" s="785">
        <f t="shared" si="173"/>
        <v>27.947279999999999</v>
      </c>
      <c r="T183" s="844">
        <f t="shared" ref="T183:Y183" si="174">+T180+T181+T182</f>
        <v>31.581499999999998</v>
      </c>
      <c r="U183" s="844">
        <f t="shared" si="174"/>
        <v>27.4376</v>
      </c>
      <c r="V183" s="844">
        <f t="shared" si="174"/>
        <v>27.505589999999998</v>
      </c>
      <c r="W183" s="844">
        <f t="shared" si="174"/>
        <v>30.127300000000005</v>
      </c>
      <c r="X183" s="844">
        <f t="shared" si="174"/>
        <v>32.342310000000005</v>
      </c>
      <c r="Y183" s="844">
        <f t="shared" si="174"/>
        <v>34.049959999999999</v>
      </c>
      <c r="Z183" s="844">
        <f t="shared" ref="Z183:AE183" si="175">+Z180+Z181+Z182</f>
        <v>36.09348</v>
      </c>
      <c r="AA183" s="844">
        <f t="shared" si="175"/>
        <v>35.902650000000001</v>
      </c>
      <c r="AB183" s="844">
        <f t="shared" si="175"/>
        <v>37.143279999999997</v>
      </c>
      <c r="AC183" s="844">
        <f t="shared" si="175"/>
        <v>40.340460000000007</v>
      </c>
      <c r="AD183" s="844">
        <f t="shared" ca="1" si="175"/>
        <v>42.664720784957275</v>
      </c>
      <c r="AE183" s="844">
        <f t="shared" ca="1" si="175"/>
        <v>45.09850594197551</v>
      </c>
    </row>
    <row r="184" spans="1:31" ht="12.75" customHeight="1">
      <c r="A184" s="664"/>
      <c r="B184" s="664"/>
      <c r="C184" s="774"/>
      <c r="E184" s="786"/>
      <c r="F184" s="787"/>
      <c r="G184" s="703"/>
      <c r="H184" s="788"/>
      <c r="I184" s="703"/>
      <c r="J184" s="703"/>
      <c r="K184" s="703"/>
      <c r="L184" s="703"/>
      <c r="M184" s="703"/>
      <c r="N184" s="703"/>
      <c r="O184" s="703"/>
      <c r="P184" s="703"/>
      <c r="Q184" s="703"/>
      <c r="R184" s="703"/>
      <c r="S184" s="703"/>
      <c r="T184" s="845"/>
      <c r="U184" s="845"/>
      <c r="V184" s="845"/>
      <c r="W184" s="845"/>
      <c r="X184" s="845"/>
      <c r="Y184" s="845"/>
      <c r="Z184" s="845"/>
      <c r="AA184" s="845"/>
      <c r="AB184" s="845"/>
      <c r="AC184" s="845"/>
      <c r="AD184" s="845"/>
      <c r="AE184" s="845"/>
    </row>
    <row r="185" spans="1:31" ht="12.75" customHeight="1">
      <c r="A185" s="664"/>
      <c r="B185" s="664"/>
      <c r="C185" s="774"/>
      <c r="D185" s="742"/>
      <c r="E185" s="743" t="s">
        <v>1311</v>
      </c>
      <c r="F185" s="744"/>
      <c r="G185" s="745">
        <f>+G179</f>
        <v>1995</v>
      </c>
      <c r="H185" s="745">
        <f>+G185+1</f>
        <v>1996</v>
      </c>
      <c r="I185" s="745">
        <f t="shared" ref="I185:O185" si="176">+H185+1</f>
        <v>1997</v>
      </c>
      <c r="J185" s="745">
        <f t="shared" si="176"/>
        <v>1998</v>
      </c>
      <c r="K185" s="745">
        <f>+J185+1</f>
        <v>1999</v>
      </c>
      <c r="L185" s="745">
        <f t="shared" si="176"/>
        <v>2000</v>
      </c>
      <c r="M185" s="745">
        <f t="shared" si="176"/>
        <v>2001</v>
      </c>
      <c r="N185" s="745">
        <f t="shared" si="176"/>
        <v>2002</v>
      </c>
      <c r="O185" s="745">
        <f t="shared" si="176"/>
        <v>2003</v>
      </c>
      <c r="P185" s="745">
        <f t="shared" ref="P185:V185" si="177">+O185+1</f>
        <v>2004</v>
      </c>
      <c r="Q185" s="745">
        <f t="shared" si="177"/>
        <v>2005</v>
      </c>
      <c r="R185" s="745">
        <f t="shared" si="177"/>
        <v>2006</v>
      </c>
      <c r="S185" s="745">
        <f>+R185+1</f>
        <v>2007</v>
      </c>
      <c r="T185" s="745">
        <f t="shared" si="177"/>
        <v>2008</v>
      </c>
      <c r="U185" s="745">
        <f t="shared" si="177"/>
        <v>2009</v>
      </c>
      <c r="V185" s="745">
        <f t="shared" si="177"/>
        <v>2010</v>
      </c>
      <c r="W185" s="745">
        <f t="shared" ref="W185:AE185" si="178">+V185+1</f>
        <v>2011</v>
      </c>
      <c r="X185" s="745">
        <f t="shared" si="178"/>
        <v>2012</v>
      </c>
      <c r="Y185" s="745">
        <f t="shared" si="178"/>
        <v>2013</v>
      </c>
      <c r="Z185" s="745">
        <f t="shared" si="178"/>
        <v>2014</v>
      </c>
      <c r="AA185" s="745">
        <f t="shared" si="178"/>
        <v>2015</v>
      </c>
      <c r="AB185" s="745">
        <f t="shared" si="178"/>
        <v>2016</v>
      </c>
      <c r="AC185" s="745">
        <f t="shared" si="178"/>
        <v>2017</v>
      </c>
      <c r="AD185" s="745">
        <f t="shared" si="178"/>
        <v>2018</v>
      </c>
      <c r="AE185" s="745">
        <f t="shared" si="178"/>
        <v>2019</v>
      </c>
    </row>
    <row r="186" spans="1:31" ht="12.75" customHeight="1">
      <c r="A186" s="664"/>
      <c r="B186" s="664"/>
      <c r="C186" s="794" t="s">
        <v>1767</v>
      </c>
      <c r="D186" s="689" t="s">
        <v>685</v>
      </c>
      <c r="E186" s="738" t="s">
        <v>1850</v>
      </c>
      <c r="F186" s="733" t="s">
        <v>2070</v>
      </c>
      <c r="G186" s="739"/>
      <c r="H186" s="739">
        <f t="shared" ref="H186:S186" si="179">(H180/G180-1)*100</f>
        <v>24.579471271473309</v>
      </c>
      <c r="I186" s="739">
        <f t="shared" si="179"/>
        <v>20.289536654664907</v>
      </c>
      <c r="J186" s="739">
        <f t="shared" si="179"/>
        <v>15.72202480057654</v>
      </c>
      <c r="K186" s="739">
        <f>(K180/J180-1)*100</f>
        <v>-0.67085125526920031</v>
      </c>
      <c r="L186" s="739">
        <f t="shared" si="179"/>
        <v>8.1022066660469072</v>
      </c>
      <c r="M186" s="739">
        <f t="shared" si="179"/>
        <v>2.5955442673439411</v>
      </c>
      <c r="N186" s="739">
        <f t="shared" si="179"/>
        <v>7.7695593737725721</v>
      </c>
      <c r="O186" s="739">
        <f t="shared" si="179"/>
        <v>6.5373769821674976</v>
      </c>
      <c r="P186" s="739">
        <f t="shared" si="179"/>
        <v>16.687407684080036</v>
      </c>
      <c r="Q186" s="739">
        <f t="shared" si="179"/>
        <v>9.0007936848583761</v>
      </c>
      <c r="R186" s="739">
        <f t="shared" si="179"/>
        <v>16.854476262175268</v>
      </c>
      <c r="S186" s="739">
        <f t="shared" si="179"/>
        <v>7.6737673635999704</v>
      </c>
      <c r="T186" s="2907">
        <f t="shared" ref="T186:AE189" si="180">(T180/S180-1)*100</f>
        <v>14.794098083086427</v>
      </c>
      <c r="U186" s="2907">
        <f t="shared" si="180"/>
        <v>-14.042249987177236</v>
      </c>
      <c r="V186" s="2907">
        <f t="shared" si="180"/>
        <v>0.64723248978080239</v>
      </c>
      <c r="W186" s="2907">
        <f t="shared" si="180"/>
        <v>8.1148104865329316</v>
      </c>
      <c r="X186" s="2907">
        <f t="shared" si="180"/>
        <v>5.602215987657333</v>
      </c>
      <c r="Y186" s="2907">
        <f t="shared" si="180"/>
        <v>4.213559231642594</v>
      </c>
      <c r="Z186" s="2907">
        <f t="shared" si="180"/>
        <v>2.6626499101302326</v>
      </c>
      <c r="AA186" s="2907">
        <f t="shared" si="180"/>
        <v>5.2914691539027503</v>
      </c>
      <c r="AB186" s="2907">
        <f t="shared" si="180"/>
        <v>6.2322726181666122</v>
      </c>
      <c r="AC186" s="2907">
        <f t="shared" si="180"/>
        <v>7.168650713760516</v>
      </c>
      <c r="AD186" s="2907">
        <f t="shared" si="180"/>
        <v>4.7564406281384697</v>
      </c>
      <c r="AE186" s="2907">
        <f t="shared" si="180"/>
        <v>5.2008926752777906</v>
      </c>
    </row>
    <row r="187" spans="1:31" ht="12.75" customHeight="1">
      <c r="A187" s="664"/>
      <c r="B187" s="664"/>
      <c r="C187" s="795" t="s">
        <v>1767</v>
      </c>
      <c r="D187" s="674" t="s">
        <v>686</v>
      </c>
      <c r="E187" s="783" t="s">
        <v>1850</v>
      </c>
      <c r="F187" s="704" t="s">
        <v>2071</v>
      </c>
      <c r="G187" s="706"/>
      <c r="H187" s="706">
        <f t="shared" ref="H187:S187" si="181">(H181/G181-1)*100</f>
        <v>33.922519599432555</v>
      </c>
      <c r="I187" s="706">
        <f t="shared" si="181"/>
        <v>-0.12938333618733866</v>
      </c>
      <c r="J187" s="706">
        <f t="shared" si="181"/>
        <v>-16.539338401061819</v>
      </c>
      <c r="K187" s="706">
        <f>(K181/J181-1)*100</f>
        <v>-13.306651042815886</v>
      </c>
      <c r="L187" s="706">
        <f t="shared" si="181"/>
        <v>2.5979725281958688</v>
      </c>
      <c r="M187" s="706">
        <f t="shared" si="181"/>
        <v>44.242268702681862</v>
      </c>
      <c r="N187" s="706">
        <f t="shared" si="181"/>
        <v>7.2260574573577152</v>
      </c>
      <c r="O187" s="706">
        <f t="shared" si="181"/>
        <v>24.068563463793513</v>
      </c>
      <c r="P187" s="706">
        <f t="shared" si="181"/>
        <v>-22.086745634409432</v>
      </c>
      <c r="Q187" s="706">
        <f t="shared" si="181"/>
        <v>70.477432939668745</v>
      </c>
      <c r="R187" s="706">
        <f t="shared" si="181"/>
        <v>-0.63200644425058794</v>
      </c>
      <c r="S187" s="706">
        <f t="shared" si="181"/>
        <v>78.493668448981225</v>
      </c>
      <c r="T187" s="792">
        <f t="shared" si="180"/>
        <v>5.3555444958112375</v>
      </c>
      <c r="U187" s="792">
        <f t="shared" si="180"/>
        <v>-5.8955282858908165</v>
      </c>
      <c r="V187" s="792">
        <f t="shared" si="180"/>
        <v>-2.5877947247772481</v>
      </c>
      <c r="W187" s="792">
        <f t="shared" si="180"/>
        <v>15.482509507938547</v>
      </c>
      <c r="X187" s="792">
        <f t="shared" si="180"/>
        <v>15.812209440428893</v>
      </c>
      <c r="Y187" s="792">
        <f t="shared" si="180"/>
        <v>9.9325494378631483</v>
      </c>
      <c r="Z187" s="792">
        <f t="shared" si="180"/>
        <v>15.051487864003299</v>
      </c>
      <c r="AA187" s="792">
        <f t="shared" si="180"/>
        <v>-19.574244798815744</v>
      </c>
      <c r="AB187" s="792">
        <f t="shared" si="180"/>
        <v>-8.1443010919942331</v>
      </c>
      <c r="AC187" s="792">
        <f t="shared" si="180"/>
        <v>13.694283434047595</v>
      </c>
      <c r="AD187" s="792">
        <f t="shared" ca="1" si="180"/>
        <v>7.6478504982178563</v>
      </c>
      <c r="AE187" s="792">
        <f t="shared" ca="1" si="180"/>
        <v>8.2385307347471191</v>
      </c>
    </row>
    <row r="188" spans="1:31" ht="12.75" customHeight="1">
      <c r="A188" s="664"/>
      <c r="B188" s="664"/>
      <c r="C188" s="796" t="s">
        <v>1767</v>
      </c>
      <c r="D188" s="691" t="s">
        <v>687</v>
      </c>
      <c r="E188" s="797" t="s">
        <v>1850</v>
      </c>
      <c r="F188" s="736" t="s">
        <v>2072</v>
      </c>
      <c r="G188" s="741"/>
      <c r="H188" s="741">
        <f t="shared" ref="H188:S188" si="182">(H182/G182-1)*100</f>
        <v>11.842575433989545</v>
      </c>
      <c r="I188" s="741">
        <f t="shared" si="182"/>
        <v>39.6424644099028</v>
      </c>
      <c r="J188" s="741">
        <f t="shared" si="182"/>
        <v>11.891434591522888</v>
      </c>
      <c r="K188" s="741">
        <f>(K182/J182-1)*100</f>
        <v>-3.9958914076208218</v>
      </c>
      <c r="L188" s="741">
        <f t="shared" si="182"/>
        <v>-2.9773934062450436</v>
      </c>
      <c r="M188" s="741">
        <f t="shared" si="182"/>
        <v>4.9990555297456885</v>
      </c>
      <c r="N188" s="741">
        <f t="shared" si="182"/>
        <v>5.8098206341257175</v>
      </c>
      <c r="O188" s="741">
        <f t="shared" si="182"/>
        <v>2.5779117536232965</v>
      </c>
      <c r="P188" s="741">
        <f t="shared" si="182"/>
        <v>7.0192807353916198</v>
      </c>
      <c r="Q188" s="741">
        <f t="shared" si="182"/>
        <v>15.48407891266943</v>
      </c>
      <c r="R188" s="741">
        <f t="shared" si="182"/>
        <v>14.195253146204291</v>
      </c>
      <c r="S188" s="741">
        <f t="shared" si="182"/>
        <v>20.954067754109662</v>
      </c>
      <c r="T188" s="2908">
        <f t="shared" si="180"/>
        <v>14.753311097523536</v>
      </c>
      <c r="U188" s="2908">
        <f t="shared" si="180"/>
        <v>-17.763162408212462</v>
      </c>
      <c r="V188" s="2908">
        <f t="shared" si="180"/>
        <v>2.3127768616644229</v>
      </c>
      <c r="W188" s="2908">
        <f t="shared" si="180"/>
        <v>8.4861712074101536</v>
      </c>
      <c r="X188" s="2908">
        <f t="shared" si="180"/>
        <v>3.7346768516175688</v>
      </c>
      <c r="Y188" s="2908">
        <f t="shared" si="180"/>
        <v>3.1152640451337366</v>
      </c>
      <c r="Z188" s="2908">
        <f t="shared" si="180"/>
        <v>7.5171504390372013</v>
      </c>
      <c r="AA188" s="2908">
        <f t="shared" si="180"/>
        <v>6.2931868285074799</v>
      </c>
      <c r="AB188" s="2908">
        <f t="shared" si="180"/>
        <v>6.2585435534214362</v>
      </c>
      <c r="AC188" s="2908">
        <f t="shared" si="180"/>
        <v>9.4506620325991886</v>
      </c>
      <c r="AD188" s="2908">
        <f t="shared" si="180"/>
        <v>8.2073133187321226</v>
      </c>
      <c r="AE188" s="2908">
        <f t="shared" si="180"/>
        <v>4.8382042699019578</v>
      </c>
    </row>
    <row r="189" spans="1:31" ht="12.75" customHeight="1">
      <c r="A189" s="664"/>
      <c r="B189" s="664"/>
      <c r="C189" s="774" t="s">
        <v>1769</v>
      </c>
      <c r="D189" s="717"/>
      <c r="E189" s="722" t="s">
        <v>1850</v>
      </c>
      <c r="F189" s="723" t="s">
        <v>1108</v>
      </c>
      <c r="G189" s="721"/>
      <c r="H189" s="721">
        <f t="shared" ref="H189:S189" si="183">(H183/G183-1)*100</f>
        <v>24.021198969981871</v>
      </c>
      <c r="I189" s="721">
        <f t="shared" si="183"/>
        <v>19.650004993092907</v>
      </c>
      <c r="J189" s="721">
        <f t="shared" si="183"/>
        <v>10.679525555345947</v>
      </c>
      <c r="K189" s="721">
        <f>(K183/J183-1)*100</f>
        <v>-2.5245312897661187</v>
      </c>
      <c r="L189" s="721">
        <f t="shared" si="183"/>
        <v>5.7942879890791499</v>
      </c>
      <c r="M189" s="721">
        <f t="shared" si="183"/>
        <v>6.6623909228293865</v>
      </c>
      <c r="N189" s="721">
        <f t="shared" si="183"/>
        <v>7.4162785349975779</v>
      </c>
      <c r="O189" s="721">
        <f t="shared" si="183"/>
        <v>8.0717455995021901</v>
      </c>
      <c r="P189" s="721">
        <f t="shared" si="183"/>
        <v>10.009295263967633</v>
      </c>
      <c r="Q189" s="721">
        <f t="shared" si="183"/>
        <v>15.875043198271399</v>
      </c>
      <c r="R189" s="721">
        <f t="shared" si="183"/>
        <v>13.986170912007534</v>
      </c>
      <c r="S189" s="721">
        <f t="shared" si="183"/>
        <v>18.321959348323347</v>
      </c>
      <c r="T189" s="801">
        <f t="shared" si="180"/>
        <v>13.003841518745297</v>
      </c>
      <c r="U189" s="801">
        <f t="shared" si="180"/>
        <v>-13.1212893624432</v>
      </c>
      <c r="V189" s="801">
        <f t="shared" si="180"/>
        <v>0.24779864128057216</v>
      </c>
      <c r="W189" s="801">
        <f t="shared" si="180"/>
        <v>9.5315534042353036</v>
      </c>
      <c r="X189" s="801">
        <f t="shared" si="180"/>
        <v>7.352168963033523</v>
      </c>
      <c r="Y189" s="801">
        <f t="shared" si="180"/>
        <v>5.2799258927392456</v>
      </c>
      <c r="Z189" s="801">
        <f t="shared" si="180"/>
        <v>6.0015342161929164</v>
      </c>
      <c r="AA189" s="801">
        <f t="shared" si="180"/>
        <v>-0.5287104485352967</v>
      </c>
      <c r="AB189" s="801">
        <f t="shared" si="180"/>
        <v>3.4555387972754037</v>
      </c>
      <c r="AC189" s="801">
        <f t="shared" si="180"/>
        <v>8.6076943124032468</v>
      </c>
      <c r="AD189" s="801">
        <f t="shared" ca="1" si="180"/>
        <v>5.7616120018395112</v>
      </c>
      <c r="AE189" s="801">
        <f t="shared" ca="1" si="180"/>
        <v>5.7044441220774011</v>
      </c>
    </row>
    <row r="190" spans="1:31" ht="12.75" customHeight="1">
      <c r="A190" s="664"/>
      <c r="B190" s="664"/>
      <c r="C190" s="774"/>
      <c r="E190" s="786"/>
      <c r="F190" s="787"/>
      <c r="G190" s="703"/>
      <c r="H190" s="788"/>
      <c r="I190" s="788"/>
      <c r="J190" s="788"/>
      <c r="K190" s="788"/>
      <c r="L190" s="788"/>
      <c r="M190" s="788"/>
      <c r="N190" s="788"/>
      <c r="O190" s="788"/>
      <c r="P190" s="788"/>
      <c r="Q190" s="788"/>
      <c r="R190" s="788"/>
      <c r="S190" s="788"/>
      <c r="T190" s="848"/>
      <c r="U190" s="848"/>
      <c r="V190" s="848"/>
      <c r="W190" s="848"/>
      <c r="X190" s="848"/>
      <c r="Y190" s="848"/>
      <c r="Z190" s="848"/>
      <c r="AA190" s="848"/>
      <c r="AB190" s="848"/>
      <c r="AC190" s="848"/>
      <c r="AD190" s="848"/>
      <c r="AE190" s="848"/>
    </row>
    <row r="191" spans="1:31" ht="12.75" customHeight="1">
      <c r="A191" s="664"/>
      <c r="B191" s="664"/>
      <c r="C191" s="774"/>
      <c r="D191" s="818"/>
      <c r="E191" s="819" t="s">
        <v>512</v>
      </c>
      <c r="F191" s="820"/>
      <c r="G191" s="821">
        <f>+InputY!$G$3</f>
        <v>1995</v>
      </c>
      <c r="H191" s="821">
        <f>+G191+1</f>
        <v>1996</v>
      </c>
      <c r="I191" s="821">
        <f t="shared" ref="I191:O191" si="184">+H191+1</f>
        <v>1997</v>
      </c>
      <c r="J191" s="821">
        <f t="shared" si="184"/>
        <v>1998</v>
      </c>
      <c r="K191" s="821">
        <f>+J191+1</f>
        <v>1999</v>
      </c>
      <c r="L191" s="821">
        <f t="shared" si="184"/>
        <v>2000</v>
      </c>
      <c r="M191" s="821">
        <f t="shared" si="184"/>
        <v>2001</v>
      </c>
      <c r="N191" s="821">
        <f t="shared" si="184"/>
        <v>2002</v>
      </c>
      <c r="O191" s="821">
        <f t="shared" si="184"/>
        <v>2003</v>
      </c>
      <c r="P191" s="821">
        <f t="shared" ref="P191:V191" si="185">+O191+1</f>
        <v>2004</v>
      </c>
      <c r="Q191" s="821">
        <f t="shared" si="185"/>
        <v>2005</v>
      </c>
      <c r="R191" s="821">
        <f t="shared" si="185"/>
        <v>2006</v>
      </c>
      <c r="S191" s="821">
        <f>+R191+1</f>
        <v>2007</v>
      </c>
      <c r="T191" s="821">
        <f t="shared" si="185"/>
        <v>2008</v>
      </c>
      <c r="U191" s="821">
        <f t="shared" si="185"/>
        <v>2009</v>
      </c>
      <c r="V191" s="821">
        <f t="shared" si="185"/>
        <v>2010</v>
      </c>
      <c r="W191" s="821">
        <f t="shared" ref="W191:AE191" si="186">+V191+1</f>
        <v>2011</v>
      </c>
      <c r="X191" s="821">
        <f t="shared" si="186"/>
        <v>2012</v>
      </c>
      <c r="Y191" s="821">
        <f t="shared" si="186"/>
        <v>2013</v>
      </c>
      <c r="Z191" s="821">
        <f t="shared" si="186"/>
        <v>2014</v>
      </c>
      <c r="AA191" s="821">
        <f t="shared" si="186"/>
        <v>2015</v>
      </c>
      <c r="AB191" s="821">
        <f t="shared" si="186"/>
        <v>2016</v>
      </c>
      <c r="AC191" s="821">
        <f t="shared" si="186"/>
        <v>2017</v>
      </c>
      <c r="AD191" s="821">
        <f t="shared" si="186"/>
        <v>2018</v>
      </c>
      <c r="AE191" s="821">
        <f t="shared" si="186"/>
        <v>2019</v>
      </c>
    </row>
    <row r="192" spans="1:31" ht="12.75" customHeight="1">
      <c r="A192" s="664"/>
      <c r="B192" s="664"/>
      <c r="C192" s="822" t="s">
        <v>1767</v>
      </c>
      <c r="D192" s="823" t="s">
        <v>685</v>
      </c>
      <c r="E192" s="824" t="s">
        <v>1850</v>
      </c>
      <c r="F192" s="825" t="s">
        <v>2070</v>
      </c>
      <c r="G192" s="838">
        <f>+G180/'VVP2'!G$341</f>
        <v>0.69168642532130098</v>
      </c>
      <c r="H192" s="838">
        <f>+H180/'VVP2'!H$341</f>
        <v>0.68875712234215036</v>
      </c>
      <c r="I192" s="838">
        <f>+I180/'VVP2'!I$341</f>
        <v>0.68645228644000422</v>
      </c>
      <c r="J192" s="838">
        <f>+J180/'VVP2'!J$341</f>
        <v>0.71521798561814043</v>
      </c>
      <c r="K192" s="838">
        <f>+K180/'VVP2'!K$341</f>
        <v>0.72773771090175643</v>
      </c>
      <c r="L192" s="838">
        <f>+L180/'VVP2'!L$341</f>
        <v>0.7480898671322499</v>
      </c>
      <c r="M192" s="838">
        <f>+M180/'VVP2'!M$341</f>
        <v>0.72282613290199305</v>
      </c>
      <c r="N192" s="838">
        <f>+N180/'VVP2'!N$341</f>
        <v>0.72735273977333492</v>
      </c>
      <c r="O192" s="838">
        <f>+O180/'VVP2'!O$341</f>
        <v>0.7067351072203345</v>
      </c>
      <c r="P192" s="838">
        <f>+P180/'VVP2'!P$341</f>
        <v>0.75371318344617633</v>
      </c>
      <c r="Q192" s="838">
        <f>+Q180/'VVP2'!Q$341</f>
        <v>0.7134087375936502</v>
      </c>
      <c r="R192" s="838">
        <f>+R180/'VVP2'!R$341</f>
        <v>0.727126505138464</v>
      </c>
      <c r="S192" s="838">
        <f>+S180/'VVP2'!S$341</f>
        <v>0.64916499831615404</v>
      </c>
      <c r="T192" s="2909">
        <f>+T180/'VVP2'!T$341</f>
        <v>0.6618853887965237</v>
      </c>
      <c r="U192" s="2909">
        <f>+U180/'VVP2'!U$341</f>
        <v>0.69064059087827578</v>
      </c>
      <c r="V192" s="2909">
        <f>+V180/'VVP2'!V$341</f>
        <v>0.66800724712658843</v>
      </c>
      <c r="W192" s="2909">
        <f>+W180/'VVP2'!W$341</f>
        <v>0.64721927705296067</v>
      </c>
      <c r="X192" s="2909">
        <f>+X180/'VVP2'!X$341</f>
        <v>0.64098843485520185</v>
      </c>
      <c r="Y192" s="2909">
        <f>+Y180/'VVP2'!Y$341</f>
        <v>0.6372111848945855</v>
      </c>
      <c r="Z192" s="2909">
        <f>+Z180/'VVP2'!Z$341</f>
        <v>0.62540075715893662</v>
      </c>
      <c r="AA192" s="2909">
        <f>+AA180/'VVP2'!AA$341</f>
        <v>0.64339196096039686</v>
      </c>
      <c r="AB192" s="2909">
        <f>+AB180/'VVP2'!AB$341</f>
        <v>0.66154179959201731</v>
      </c>
      <c r="AC192" s="2909">
        <f ca="1">+AC180/'VVP2'!AC$341</f>
        <v>0.65616964024196711</v>
      </c>
      <c r="AD192" s="2909">
        <f ca="1">+AD180/'VVP2'!AD$341</f>
        <v>0.64956896526793306</v>
      </c>
      <c r="AE192" s="2909">
        <f ca="1">+AE180/'VVP2'!AE$341</f>
        <v>0.64726863030564075</v>
      </c>
    </row>
    <row r="193" spans="1:113" ht="12.75" customHeight="1">
      <c r="A193" s="664"/>
      <c r="B193" s="664"/>
      <c r="C193" s="826" t="s">
        <v>1767</v>
      </c>
      <c r="D193" s="674" t="s">
        <v>686</v>
      </c>
      <c r="E193" s="783" t="s">
        <v>1850</v>
      </c>
      <c r="F193" s="704" t="s">
        <v>2071</v>
      </c>
      <c r="G193" s="839">
        <f>+G181/'VVP2'!G$341</f>
        <v>0.15162926796599407</v>
      </c>
      <c r="H193" s="839">
        <f>+H181/'VVP2'!H$341</f>
        <v>0.16231064992819746</v>
      </c>
      <c r="I193" s="839">
        <f>+I181/'VVP2'!I$341</f>
        <v>0.13430777340131728</v>
      </c>
      <c r="J193" s="839">
        <f>+J181/'VVP2'!J$341</f>
        <v>0.10092413123677232</v>
      </c>
      <c r="K193" s="839">
        <f>+K181/'VVP2'!K$341</f>
        <v>8.9627346586868592E-2</v>
      </c>
      <c r="L193" s="839">
        <f>+L181/'VVP2'!L$341</f>
        <v>8.7442718455317037E-2</v>
      </c>
      <c r="M193" s="839">
        <f>+M181/'VVP2'!M$341</f>
        <v>0.11878668669317453</v>
      </c>
      <c r="N193" s="839">
        <f>+N181/'VVP2'!N$341</f>
        <v>0.11892775833976331</v>
      </c>
      <c r="O193" s="839">
        <f>+O181/'VVP2'!O$341</f>
        <v>0.13457195857090753</v>
      </c>
      <c r="P193" s="839">
        <f>+P181/'VVP2'!P$341</f>
        <v>9.5827767944677247E-2</v>
      </c>
      <c r="Q193" s="839">
        <f>+Q181/'VVP2'!Q$341</f>
        <v>0.14186031563134607</v>
      </c>
      <c r="R193" s="839">
        <f>+R181/'VVP2'!R$341</f>
        <v>0.12295144602100232</v>
      </c>
      <c r="S193" s="839">
        <f>+S181/'VVP2'!S$341</f>
        <v>0.18196659442312954</v>
      </c>
      <c r="T193" s="2910">
        <f>+T181/'VVP2'!T$341</f>
        <v>0.17027747499103871</v>
      </c>
      <c r="U193" s="2910">
        <f>+U181/'VVP2'!U$341</f>
        <v>0.19451438695339343</v>
      </c>
      <c r="V193" s="2910">
        <f>+V181/'VVP2'!V$341</f>
        <v>0.18209261850614708</v>
      </c>
      <c r="W193" s="2910">
        <f>+W181/'VVP2'!W$341</f>
        <v>0.18844891115422643</v>
      </c>
      <c r="X193" s="2910">
        <f>+X181/'VVP2'!X$341</f>
        <v>0.20467919377434893</v>
      </c>
      <c r="Y193" s="2910">
        <f>+Y181/'VVP2'!Y$341</f>
        <v>0.21463916257742849</v>
      </c>
      <c r="Z193" s="2910">
        <f>+Z181/'VVP2'!Z$341</f>
        <v>0.23608247366296695</v>
      </c>
      <c r="AA193" s="2910">
        <f>+AA181/'VVP2'!AA$341</f>
        <v>0.18551666848800891</v>
      </c>
      <c r="AB193" s="2910">
        <f>+AB181/'VVP2'!AB$341</f>
        <v>0.16493553379096895</v>
      </c>
      <c r="AC193" s="2910">
        <f ca="1">+AC181/'VVP2'!AC$341</f>
        <v>0.17355772090837973</v>
      </c>
      <c r="AD193" s="2910">
        <f ca="1">+AD181/'VVP2'!AD$341</f>
        <v>0.17655405710243702</v>
      </c>
      <c r="AE193" s="2910">
        <f ca="1">+AE181/'VVP2'!AE$341</f>
        <v>0.18100870342104811</v>
      </c>
    </row>
    <row r="194" spans="1:113" ht="12.75" customHeight="1">
      <c r="A194" s="664"/>
      <c r="B194" s="664"/>
      <c r="C194" s="827" t="s">
        <v>1767</v>
      </c>
      <c r="D194" s="828" t="s">
        <v>687</v>
      </c>
      <c r="E194" s="829" t="s">
        <v>1850</v>
      </c>
      <c r="F194" s="830" t="s">
        <v>2072</v>
      </c>
      <c r="G194" s="840">
        <f>+G182/'VVP2'!G$341</f>
        <v>0.15498298029629612</v>
      </c>
      <c r="H194" s="840">
        <f>+H182/'VVP2'!H$341</f>
        <v>0.13854840619096884</v>
      </c>
      <c r="I194" s="840">
        <f>+I182/'VVP2'!I$341</f>
        <v>0.16030070775838981</v>
      </c>
      <c r="J194" s="840">
        <f>+J182/'VVP2'!J$341</f>
        <v>0.16148951463527758</v>
      </c>
      <c r="K194" s="840">
        <f>+K182/'VVP2'!K$341</f>
        <v>0.15881586648290447</v>
      </c>
      <c r="L194" s="840">
        <f>+L182/'VVP2'!L$341</f>
        <v>0.14652480741581878</v>
      </c>
      <c r="M194" s="840">
        <f>+M182/'VVP2'!M$341</f>
        <v>0.14489324048999191</v>
      </c>
      <c r="N194" s="840">
        <f>+N182/'VVP2'!N$341</f>
        <v>0.14314930039593035</v>
      </c>
      <c r="O194" s="840">
        <f>+O182/'VVP2'!O$341</f>
        <v>0.13392222926145636</v>
      </c>
      <c r="P194" s="840">
        <f>+P182/'VVP2'!P$341</f>
        <v>0.1309906062819256</v>
      </c>
      <c r="Q194" s="840">
        <f>+Q182/'VVP2'!Q$341</f>
        <v>0.13136053822548424</v>
      </c>
      <c r="R194" s="840">
        <f>+R182/'VVP2'!R$341</f>
        <v>0.13083958839129903</v>
      </c>
      <c r="S194" s="840">
        <f>+S182/'VVP2'!S$341</f>
        <v>0.13121843649558929</v>
      </c>
      <c r="T194" s="2911">
        <f>+T182/'VVP2'!T$341</f>
        <v>0.13374212601555893</v>
      </c>
      <c r="U194" s="2911">
        <f>+U182/'VVP2'!U$341</f>
        <v>0.13351156606949666</v>
      </c>
      <c r="V194" s="2911">
        <f>+V182/'VVP2'!V$341</f>
        <v>0.13127317799630794</v>
      </c>
      <c r="W194" s="2911">
        <f>+W182/'VVP2'!W$341</f>
        <v>0.12762491319033667</v>
      </c>
      <c r="X194" s="2911">
        <f>+X182/'VVP2'!X$341</f>
        <v>0.12416098125011996</v>
      </c>
      <c r="Y194" s="2911">
        <f>+Y182/'VVP2'!Y$341</f>
        <v>0.12212851101198091</v>
      </c>
      <c r="Z194" s="2911">
        <f>+Z182/'VVP2'!Z$341</f>
        <v>0.12553283884284411</v>
      </c>
      <c r="AA194" s="2911">
        <f>+AA182/'VVP2'!AA$341</f>
        <v>0.13037274815966501</v>
      </c>
      <c r="AB194" s="2911">
        <f>+AB182/'VVP2'!AB$341</f>
        <v>0.13408366331922361</v>
      </c>
      <c r="AC194" s="2911">
        <f ca="1">+AC182/'VVP2'!AC$341</f>
        <v>0.13582675932151125</v>
      </c>
      <c r="AD194" s="2911">
        <f ca="1">+AD182/'VVP2'!AD$341</f>
        <v>0.13888980050601998</v>
      </c>
      <c r="AE194" s="2911">
        <f ca="1">+AE182/'VVP2'!AE$341</f>
        <v>0.1379208086753978</v>
      </c>
    </row>
    <row r="195" spans="1:113" ht="12.75" customHeight="1">
      <c r="A195" s="664"/>
      <c r="B195" s="664"/>
      <c r="C195" s="774" t="s">
        <v>1769</v>
      </c>
      <c r="D195" s="806"/>
      <c r="E195" s="807" t="s">
        <v>1850</v>
      </c>
      <c r="F195" s="808" t="s">
        <v>1108</v>
      </c>
      <c r="G195" s="841">
        <f>+G183/'VVP2'!G$341</f>
        <v>0.99829867358359103</v>
      </c>
      <c r="H195" s="841">
        <f>+H183/'VVP2'!H$341</f>
        <v>0.98961617846131655</v>
      </c>
      <c r="I195" s="841">
        <f>+I183/'VVP2'!I$341</f>
        <v>0.98106076759971128</v>
      </c>
      <c r="J195" s="841">
        <f>+J183/'VVP2'!J$341</f>
        <v>0.97763163149019039</v>
      </c>
      <c r="K195" s="841">
        <f>+K183/'VVP2'!K$341</f>
        <v>0.97618092397152956</v>
      </c>
      <c r="L195" s="841">
        <f>+L183/'VVP2'!L$341</f>
        <v>0.98205739300338579</v>
      </c>
      <c r="M195" s="841">
        <f>+M183/'VVP2'!M$341</f>
        <v>0.9865060600851594</v>
      </c>
      <c r="N195" s="841">
        <f>+N183/'VVP2'!N$341</f>
        <v>0.98942979850902857</v>
      </c>
      <c r="O195" s="841">
        <f>+O183/'VVP2'!O$341</f>
        <v>0.9752292950526984</v>
      </c>
      <c r="P195" s="841">
        <f>+P183/'VVP2'!P$341</f>
        <v>0.98053155767277922</v>
      </c>
      <c r="Q195" s="841">
        <f>+Q183/'VVP2'!Q$341</f>
        <v>0.98662959145048046</v>
      </c>
      <c r="R195" s="841">
        <f>+R183/'VVP2'!R$341</f>
        <v>0.98091753955076544</v>
      </c>
      <c r="S195" s="841">
        <f>+S183/'VVP2'!S$341</f>
        <v>0.96235002923487278</v>
      </c>
      <c r="T195" s="2912">
        <f>+T183/'VVP2'!T$341</f>
        <v>0.96590498980312123</v>
      </c>
      <c r="U195" s="2912">
        <f>+U183/'VVP2'!U$341</f>
        <v>1.018666543901166</v>
      </c>
      <c r="V195" s="2912">
        <f>+V183/'VVP2'!V$341</f>
        <v>0.98137304362904354</v>
      </c>
      <c r="W195" s="2912">
        <f>+W183/'VVP2'!W$341</f>
        <v>0.96329310139752378</v>
      </c>
      <c r="X195" s="2912">
        <f>+X183/'VVP2'!X$341</f>
        <v>0.96982860987967079</v>
      </c>
      <c r="Y195" s="2912">
        <f>+Y183/'VVP2'!Y$341</f>
        <v>0.97397885848399501</v>
      </c>
      <c r="Z195" s="2912">
        <f>+Z183/'VVP2'!Z$341</f>
        <v>0.98701606966474764</v>
      </c>
      <c r="AA195" s="2912">
        <f>+AA183/'VVP2'!AA$341</f>
        <v>0.95928137760807075</v>
      </c>
      <c r="AB195" s="2912">
        <f>+AB183/'VVP2'!AB$341</f>
        <v>0.96056099670220985</v>
      </c>
      <c r="AC195" s="2912">
        <f ca="1">+AC183/'VVP2'!AC$341</f>
        <v>0.96555412047185818</v>
      </c>
      <c r="AD195" s="2912">
        <f ca="1">+AD183/'VVP2'!AD$341</f>
        <v>0.96501282287639001</v>
      </c>
      <c r="AE195" s="2912">
        <f ca="1">+AE183/'VVP2'!AE$341</f>
        <v>0.96619814240208679</v>
      </c>
    </row>
    <row r="196" spans="1:113" ht="30" customHeight="1">
      <c r="AB196"/>
      <c r="AC196"/>
      <c r="AD196"/>
      <c r="AE196" s="3650"/>
    </row>
    <row r="197" spans="1:113" ht="30" customHeight="1">
      <c r="U197" s="2290"/>
      <c r="V197" s="2290"/>
      <c r="Y197" s="2274"/>
      <c r="Z197" s="3320"/>
      <c r="AB197"/>
      <c r="AC197"/>
      <c r="AD197">
        <v>1.7161676185957699</v>
      </c>
      <c r="AE197" s="3650"/>
    </row>
    <row r="198" spans="1:113" ht="22.5" customHeight="1">
      <c r="A198" s="574"/>
      <c r="B198" s="574"/>
      <c r="C198" s="3752" t="s">
        <v>974</v>
      </c>
      <c r="D198" s="3752"/>
      <c r="E198" s="3752"/>
      <c r="F198" s="3752"/>
      <c r="R198" s="2274"/>
      <c r="S198" s="3120"/>
      <c r="T198" s="3120"/>
      <c r="U198" s="2203"/>
      <c r="V198" s="3120"/>
      <c r="AB198" s="2221"/>
      <c r="AC198" s="2254"/>
      <c r="AD198" s="2254">
        <f>+AD201-0.08</f>
        <v>1.6534637770239999</v>
      </c>
      <c r="AE198" s="2221"/>
    </row>
    <row r="199" spans="1:113" ht="12.75" customHeight="1">
      <c r="A199" s="664"/>
      <c r="B199" s="664"/>
      <c r="C199" s="774"/>
      <c r="Q199" s="845"/>
      <c r="R199" s="2270"/>
      <c r="S199" s="3123"/>
      <c r="T199" s="3120"/>
      <c r="U199" s="2203"/>
      <c r="V199" s="3120"/>
      <c r="AB199" s="2221"/>
      <c r="AC199" s="2221"/>
      <c r="AD199" s="2221"/>
      <c r="AE199" s="2221"/>
    </row>
    <row r="200" spans="1:113" ht="12.75" customHeight="1">
      <c r="A200" s="664"/>
      <c r="B200" s="664"/>
      <c r="C200" s="774"/>
      <c r="D200" s="775"/>
      <c r="E200" s="776" t="s">
        <v>1384</v>
      </c>
      <c r="F200" s="777"/>
      <c r="G200" s="778">
        <f>+InputY!$G$3</f>
        <v>1995</v>
      </c>
      <c r="H200" s="778">
        <f>+G200+1</f>
        <v>1996</v>
      </c>
      <c r="I200" s="778">
        <f t="shared" ref="I200:R200" si="187">+H200+1</f>
        <v>1997</v>
      </c>
      <c r="J200" s="778">
        <f t="shared" si="187"/>
        <v>1998</v>
      </c>
      <c r="K200" s="778">
        <f>+J200+1</f>
        <v>1999</v>
      </c>
      <c r="L200" s="778">
        <f t="shared" si="187"/>
        <v>2000</v>
      </c>
      <c r="M200" s="778">
        <f t="shared" si="187"/>
        <v>2001</v>
      </c>
      <c r="N200" s="778">
        <f t="shared" si="187"/>
        <v>2002</v>
      </c>
      <c r="O200" s="778">
        <f t="shared" si="187"/>
        <v>2003</v>
      </c>
      <c r="P200" s="778">
        <f>+O200+1</f>
        <v>2004</v>
      </c>
      <c r="Q200" s="778">
        <f>+P200+1</f>
        <v>2005</v>
      </c>
      <c r="R200" s="2222">
        <f t="shared" si="187"/>
        <v>2006</v>
      </c>
      <c r="S200" s="2222">
        <f t="shared" ref="S200:X200" si="188">+R200+1</f>
        <v>2007</v>
      </c>
      <c r="T200" s="2222">
        <f t="shared" si="188"/>
        <v>2008</v>
      </c>
      <c r="U200" s="2222">
        <f t="shared" si="188"/>
        <v>2009</v>
      </c>
      <c r="V200" s="2222">
        <f t="shared" si="188"/>
        <v>2010</v>
      </c>
      <c r="W200" s="2222">
        <f t="shared" si="188"/>
        <v>2011</v>
      </c>
      <c r="X200" s="2222">
        <f t="shared" si="188"/>
        <v>2012</v>
      </c>
      <c r="Y200" s="2222">
        <f t="shared" ref="Y200:AE200" si="189">+X200+1</f>
        <v>2013</v>
      </c>
      <c r="Z200" s="2222">
        <f t="shared" si="189"/>
        <v>2014</v>
      </c>
      <c r="AA200" s="2222">
        <f t="shared" si="189"/>
        <v>2015</v>
      </c>
      <c r="AB200" s="2222">
        <f t="shared" si="189"/>
        <v>2016</v>
      </c>
      <c r="AC200" s="2222">
        <f t="shared" si="189"/>
        <v>2017</v>
      </c>
      <c r="AD200" s="2222">
        <f t="shared" si="189"/>
        <v>2018</v>
      </c>
      <c r="AE200" s="2222">
        <f t="shared" si="189"/>
        <v>2019</v>
      </c>
    </row>
    <row r="201" spans="1:113" ht="12.75" customHeight="1">
      <c r="A201" s="664">
        <f>+ROW(InputY!A191)</f>
        <v>191</v>
      </c>
      <c r="B201" s="664">
        <v>92</v>
      </c>
      <c r="C201" s="779" t="s">
        <v>1767</v>
      </c>
      <c r="D201" s="668" t="s">
        <v>685</v>
      </c>
      <c r="E201" s="700" t="s">
        <v>978</v>
      </c>
      <c r="F201" s="701" t="str">
        <f>+InputY!B191</f>
        <v>$HTaxDir</v>
      </c>
      <c r="G201" s="780">
        <f>+InputY!G191/1000</f>
        <v>0.49329000000000001</v>
      </c>
      <c r="H201" s="780">
        <f>+InputY!H191/1000</f>
        <v>0.66565999999999992</v>
      </c>
      <c r="I201" s="780">
        <f>+InputY!I191/1000</f>
        <v>0.84538000000000002</v>
      </c>
      <c r="J201" s="780">
        <f>+InputY!J191/1000</f>
        <v>1.00234</v>
      </c>
      <c r="K201" s="780">
        <f>+InputY!K191/1000</f>
        <v>1.0550999999999999</v>
      </c>
      <c r="L201" s="780">
        <f>+InputY!L191/1000</f>
        <v>1.02823</v>
      </c>
      <c r="M201" s="780">
        <f>+InputY!M191/1000</f>
        <v>1.0264000000000002</v>
      </c>
      <c r="N201" s="780">
        <f>+InputY!N191/1000</f>
        <v>1.0390299999999999</v>
      </c>
      <c r="O201" s="780">
        <f>+InputY!O191/1000</f>
        <v>1.0864400000000001</v>
      </c>
      <c r="P201">
        <f>+InputY!P191/1000</f>
        <v>1.2406900000000001</v>
      </c>
      <c r="Q201" s="780">
        <f>+InputY!Q191/1000</f>
        <v>1.44129</v>
      </c>
      <c r="R201" s="2872">
        <f>+InputY!R191/1000</f>
        <v>1.63571</v>
      </c>
      <c r="S201" s="2872">
        <f>+InputY!S191/1000</f>
        <v>1.8986800000000001</v>
      </c>
      <c r="T201" s="2872">
        <f>+InputY!T191/1000</f>
        <v>2.1377100000000002</v>
      </c>
      <c r="U201" s="2872">
        <f>+InputY!U191/1000</f>
        <v>1.10605</v>
      </c>
      <c r="V201" s="2872">
        <f>+InputY!V191/1000</f>
        <v>1.0397700000000001</v>
      </c>
      <c r="W201" s="2872">
        <f>+InputY!W191/1000</f>
        <v>1.12323</v>
      </c>
      <c r="X201" s="2872">
        <f>+InputY!X191/1000</f>
        <v>1.1782999999999999</v>
      </c>
      <c r="Y201" s="2872">
        <f>+InputY!Y191/1000</f>
        <v>1.2658900000000002</v>
      </c>
      <c r="Z201" s="2872">
        <f>+InputY!Z191/1000</f>
        <v>1.3338399999999999</v>
      </c>
      <c r="AA201" s="2872">
        <f>+InputY!AA191/1000</f>
        <v>1.4569700000000001</v>
      </c>
      <c r="AB201" s="2872">
        <f>+InputY!AB191/1000</f>
        <v>1.5573599999999999</v>
      </c>
      <c r="AC201" s="2232">
        <f t="shared" ref="AC201:AE204" si="190">+AB201*(1+AC209/100)</f>
        <v>1.6732275839999999</v>
      </c>
      <c r="AD201" s="2232">
        <f t="shared" si="190"/>
        <v>1.733463777024</v>
      </c>
      <c r="AE201" s="2232">
        <f t="shared" si="190"/>
        <v>1.8262040890947842</v>
      </c>
      <c r="AF201" s="3661" t="s">
        <v>2596</v>
      </c>
    </row>
    <row r="202" spans="1:113" ht="12.75" customHeight="1">
      <c r="A202" s="664">
        <f>+ROW(InputY!A121)</f>
        <v>121</v>
      </c>
      <c r="B202" s="664">
        <v>107</v>
      </c>
      <c r="C202" s="782" t="s">
        <v>1767</v>
      </c>
      <c r="D202" s="674" t="s">
        <v>686</v>
      </c>
      <c r="E202" s="783" t="s">
        <v>978</v>
      </c>
      <c r="F202" s="704" t="str">
        <f>+InputY!B121</f>
        <v>$ETaxDir</v>
      </c>
      <c r="G202" s="706">
        <f>+InputY!G121/1000</f>
        <v>0.15953999999999999</v>
      </c>
      <c r="H202" s="706">
        <f>+InputY!H121/1000</f>
        <v>0.11173000000000001</v>
      </c>
      <c r="I202" s="706">
        <f>+InputY!I121/1000</f>
        <v>0.17983000000000002</v>
      </c>
      <c r="J202" s="706">
        <f>+InputY!J121/1000</f>
        <v>0.16805</v>
      </c>
      <c r="K202" s="706">
        <f>+InputY!K121/1000</f>
        <v>0.1045</v>
      </c>
      <c r="L202" s="706">
        <f>+InputY!L121/1000</f>
        <v>9.0269999999999989E-2</v>
      </c>
      <c r="M202" s="706">
        <f>+InputY!M121/1000</f>
        <v>7.5079999999999994E-2</v>
      </c>
      <c r="N202" s="706">
        <f>+InputY!N121/1000</f>
        <v>8.9090000000000003E-2</v>
      </c>
      <c r="O202" s="706">
        <f>+InputY!O121/1000</f>
        <v>0.22716</v>
      </c>
      <c r="P202" s="706">
        <f>+InputY!P121/1000</f>
        <v>0.33768999999999999</v>
      </c>
      <c r="Q202" s="706">
        <f>+InputY!Q121/1000</f>
        <v>0.43642000000000003</v>
      </c>
      <c r="R202" s="1564">
        <f>+InputY!R121/1000</f>
        <v>0.66228999999999993</v>
      </c>
      <c r="S202" s="1564">
        <f>+InputY!S121/1000</f>
        <v>0.73341999999999996</v>
      </c>
      <c r="T202" s="1564">
        <f>+InputY!T121/1000</f>
        <v>0.88609000000000004</v>
      </c>
      <c r="U202" s="1564">
        <f>+InputY!U121/1000</f>
        <v>0.48854999999999998</v>
      </c>
      <c r="V202" s="1564">
        <f>+InputY!V121/1000</f>
        <v>0.27594999999999997</v>
      </c>
      <c r="W202" s="1564">
        <f>+InputY!W121/1000</f>
        <v>0.25196000000000002</v>
      </c>
      <c r="X202" s="1564">
        <f>+InputY!X121/1000</f>
        <v>0.43019999999999997</v>
      </c>
      <c r="Y202" s="1564">
        <f>+InputY!Y121/1000</f>
        <v>0.47525000000000001</v>
      </c>
      <c r="Z202" s="1564">
        <f>+InputY!Z121/1000</f>
        <v>0.49851999999999996</v>
      </c>
      <c r="AA202" s="1564">
        <f>+InputY!AA121/1000</f>
        <v>0.57265999999999995</v>
      </c>
      <c r="AB202" s="1455">
        <f>+InputY!AB121/1000</f>
        <v>0.62555999999999989</v>
      </c>
      <c r="AC202" s="3122">
        <f t="shared" si="190"/>
        <v>0.63099999999999989</v>
      </c>
      <c r="AD202" s="2232">
        <f t="shared" si="190"/>
        <v>0.6499299999999999</v>
      </c>
      <c r="AE202" s="2232">
        <f t="shared" si="190"/>
        <v>0.6882758699999999</v>
      </c>
      <c r="AF202" s="3654" t="s">
        <v>2595</v>
      </c>
    </row>
    <row r="203" spans="1:113" ht="12.75" customHeight="1">
      <c r="A203" s="664">
        <f>+ROW(InputY!A157)</f>
        <v>157</v>
      </c>
      <c r="B203" s="664" t="s">
        <v>1695</v>
      </c>
      <c r="C203" s="782" t="s">
        <v>1767</v>
      </c>
      <c r="D203" s="674" t="s">
        <v>687</v>
      </c>
      <c r="E203" s="783" t="s">
        <v>978</v>
      </c>
      <c r="F203" s="704" t="str">
        <f>+InputY!B157</f>
        <v>$ATaxDir</v>
      </c>
      <c r="G203" s="706">
        <f>+InputY!G157/1000</f>
        <v>0</v>
      </c>
      <c r="H203" s="706">
        <f>+InputY!H157/1000</f>
        <v>0</v>
      </c>
      <c r="I203" s="706">
        <f>+InputY!I157/1000</f>
        <v>0</v>
      </c>
      <c r="J203" s="706">
        <f>+InputY!J157/1000</f>
        <v>0</v>
      </c>
      <c r="K203" s="706">
        <f>+InputY!K157/1000</f>
        <v>0</v>
      </c>
      <c r="L203" s="706">
        <f>+InputY!L157/1000</f>
        <v>0</v>
      </c>
      <c r="M203" s="706">
        <f>+InputY!M157/1000</f>
        <v>0</v>
      </c>
      <c r="N203" s="706">
        <f>+InputY!N157/1000</f>
        <v>3.0000000000000001E-5</v>
      </c>
      <c r="O203" s="706">
        <f>+InputY!O157/1000</f>
        <v>1.5000000000000001E-4</v>
      </c>
      <c r="P203" s="706">
        <f>+InputY!P157/1000</f>
        <v>3.2000000000000003E-4</v>
      </c>
      <c r="Q203" s="706">
        <f>+InputY!Q157/1000</f>
        <v>2.4000000000000001E-4</v>
      </c>
      <c r="R203" s="1564">
        <f>+InputY!R157/1000</f>
        <v>9.4000000000000008E-4</v>
      </c>
      <c r="S203" s="1564">
        <f>+InputY!S157/1000</f>
        <v>9.3000000000000005E-4</v>
      </c>
      <c r="T203" s="1564">
        <f>+InputY!T157/1000</f>
        <v>1.6899999999999999E-3</v>
      </c>
      <c r="U203" s="1564">
        <f>+InputY!U157/1000</f>
        <v>7.2000000000000005E-4</v>
      </c>
      <c r="V203" s="1564">
        <f>+InputY!V157/1000</f>
        <v>3.0000000000000003E-4</v>
      </c>
      <c r="W203" s="1564">
        <f>+InputY!W157/1000</f>
        <v>9.1E-4</v>
      </c>
      <c r="X203" s="1564">
        <f>+InputY!X157/1000</f>
        <v>2.7100000000000002E-3</v>
      </c>
      <c r="Y203" s="1564">
        <f>+InputY!Y157/1000</f>
        <v>1.4199999999999998E-3</v>
      </c>
      <c r="Z203" s="1564">
        <f>+InputY!Z157/1000</f>
        <v>1.25E-3</v>
      </c>
      <c r="AA203" s="1564">
        <f>+InputY!AA157/1000</f>
        <v>1.2199999999999999E-3</v>
      </c>
      <c r="AB203" s="1564">
        <f>+InputY!AB157/1000</f>
        <v>2.0899999999999998E-3</v>
      </c>
      <c r="AC203" s="2217">
        <f t="shared" si="190"/>
        <v>2.1317999999999997E-3</v>
      </c>
      <c r="AD203" s="2217">
        <f t="shared" si="190"/>
        <v>2.1744359999999996E-3</v>
      </c>
      <c r="AE203" s="2217">
        <f t="shared" si="190"/>
        <v>2.2179247199999997E-3</v>
      </c>
    </row>
    <row r="204" spans="1:113" ht="12.75" customHeight="1">
      <c r="A204" s="1953">
        <f>ROW(InputY!A242)</f>
        <v>242</v>
      </c>
      <c r="B204" s="664" t="s">
        <v>988</v>
      </c>
      <c r="C204" s="782" t="s">
        <v>1767</v>
      </c>
      <c r="D204" s="674" t="s">
        <v>688</v>
      </c>
      <c r="E204" s="783" t="s">
        <v>979</v>
      </c>
      <c r="F204" s="704" t="s">
        <v>980</v>
      </c>
      <c r="G204" s="706">
        <f>+InputY!G242/1000</f>
        <v>0</v>
      </c>
      <c r="H204" s="706">
        <f>+InputY!H242/1000</f>
        <v>0</v>
      </c>
      <c r="I204" s="706">
        <f>+InputY!I242/1000</f>
        <v>0</v>
      </c>
      <c r="J204" s="706">
        <f>+InputY!J242/1000</f>
        <v>0</v>
      </c>
      <c r="K204" s="706">
        <f>+InputY!K242/1000</f>
        <v>0</v>
      </c>
      <c r="L204" s="706">
        <f>+InputY!L242/1000</f>
        <v>0</v>
      </c>
      <c r="M204" s="706">
        <f>+InputY!M242/1000</f>
        <v>0</v>
      </c>
      <c r="N204" s="706">
        <f>+InputY!N242/1000</f>
        <v>0</v>
      </c>
      <c r="O204" s="706">
        <f>+InputY!O242/1000</f>
        <v>0</v>
      </c>
      <c r="P204" s="706">
        <f>+InputY!P242/1000</f>
        <v>5.7924003707136244E-4</v>
      </c>
      <c r="Q204" s="706" t="e">
        <f>+InputY!Q242/1000</f>
        <v>#VALUE!</v>
      </c>
      <c r="R204" s="1564" t="e">
        <f>+InputY!R242/1000</f>
        <v>#VALUE!</v>
      </c>
      <c r="S204" s="1564" t="e">
        <f>+InputY!S242/1000</f>
        <v>#VALUE!</v>
      </c>
      <c r="T204" s="1564">
        <f>+InputY!T242/1000</f>
        <v>-8.9999999999999993E-3</v>
      </c>
      <c r="U204" s="1564">
        <f>+InputY!U242/1000</f>
        <v>3.0000000000000001E-3</v>
      </c>
      <c r="V204" s="1564">
        <f>+InputY!V242/1000</f>
        <v>-2.1999999999999999E-2</v>
      </c>
      <c r="W204" s="1564">
        <f>+InputY!W242/1000</f>
        <v>-1.7000000000000001E-2</v>
      </c>
      <c r="X204" s="1564">
        <f>+InputY!X242/1000</f>
        <v>-4.0000000000000001E-3</v>
      </c>
      <c r="Y204" s="1564">
        <f>+InputY!Y242/1000</f>
        <v>-6.0000000000000001E-3</v>
      </c>
      <c r="Z204" s="1564">
        <f>+InputY!Z242/1000</f>
        <v>3.0000000000000001E-3</v>
      </c>
      <c r="AA204" s="1564">
        <f>+InputY!AA242/1000</f>
        <v>1E-3</v>
      </c>
      <c r="AB204" s="1564">
        <f>+InputY!AB242/1000</f>
        <v>8.9999999999999993E-3</v>
      </c>
      <c r="AC204" s="2217">
        <f t="shared" si="190"/>
        <v>8.9999999999999993E-3</v>
      </c>
      <c r="AD204" s="2217">
        <f t="shared" si="190"/>
        <v>8.9999999999999993E-3</v>
      </c>
      <c r="AE204" s="2217">
        <f t="shared" si="190"/>
        <v>8.9999999999999993E-3</v>
      </c>
    </row>
    <row r="205" spans="1:113" ht="12.75" customHeight="1">
      <c r="A205" s="664">
        <f>+ROW(InputY!A156)</f>
        <v>156</v>
      </c>
      <c r="B205" s="664">
        <v>114</v>
      </c>
      <c r="C205" s="784" t="s">
        <v>1769</v>
      </c>
      <c r="D205" s="752" t="s">
        <v>687</v>
      </c>
      <c r="E205" s="753" t="s">
        <v>614</v>
      </c>
      <c r="F205" s="754" t="str">
        <f>+InputY!B156</f>
        <v>YATaxDir</v>
      </c>
      <c r="G205" s="785">
        <f>+InputY!G156/1000</f>
        <v>0.65282000000000007</v>
      </c>
      <c r="H205" s="785">
        <f>+InputY!H156/1000</f>
        <v>0.77739000000000003</v>
      </c>
      <c r="I205" s="785">
        <f>+InputY!I156/1000</f>
        <v>1.02521</v>
      </c>
      <c r="J205" s="785">
        <f>+InputY!J156/1000</f>
        <v>1.17039</v>
      </c>
      <c r="K205" s="785">
        <f>+InputY!K156/1000</f>
        <v>1.1596099999999998</v>
      </c>
      <c r="L205" s="785">
        <f>+InputY!L156/1000</f>
        <v>1.1185</v>
      </c>
      <c r="M205" s="785">
        <f>+InputY!M156/1000</f>
        <v>1.1014699999999999</v>
      </c>
      <c r="N205" s="785">
        <f>+InputY!N156/1000</f>
        <v>1.12815</v>
      </c>
      <c r="O205" s="785">
        <f>+InputY!O156/1000</f>
        <v>1.31376</v>
      </c>
      <c r="P205" s="785">
        <f>+InputY!P156/1000</f>
        <v>1.57897</v>
      </c>
      <c r="Q205" s="2099">
        <f>+InputY!Q156/1000</f>
        <v>1.8784799999999999</v>
      </c>
      <c r="R205" s="2874">
        <f>+InputY!R156/1000</f>
        <v>2.2994699999999999</v>
      </c>
      <c r="S205" s="2874">
        <f>+InputY!S156/1000</f>
        <v>2.6336900000000001</v>
      </c>
      <c r="T205" s="2874">
        <f>+InputY!T156/1000</f>
        <v>3.0165999999999999</v>
      </c>
      <c r="U205" s="2874">
        <f>+InputY!U156/1000</f>
        <v>1.5983099999999999</v>
      </c>
      <c r="V205" s="2874">
        <f>+InputY!V156/1000</f>
        <v>1.2940499999999999</v>
      </c>
      <c r="W205" s="2874">
        <f>+InputY!W156/1000</f>
        <v>1.3590799999999998</v>
      </c>
      <c r="X205" s="2874">
        <f>+InputY!X156/1000</f>
        <v>1.60755</v>
      </c>
      <c r="Y205" s="2874">
        <f>+InputY!Y156/1000</f>
        <v>1.7361900000000001</v>
      </c>
      <c r="Z205" s="2874">
        <f>+InputY!Z156/1000</f>
        <v>1.83673</v>
      </c>
      <c r="AA205" s="2874">
        <f>+InputY!AA156/1000</f>
        <v>2.0321899999999999</v>
      </c>
      <c r="AB205" s="2874">
        <f>+InputY!AB156/1000</f>
        <v>2.1945000000000001</v>
      </c>
      <c r="AC205" s="3279">
        <f>+AC201+AC202+AC203+AC204</f>
        <v>2.3153593839999997</v>
      </c>
      <c r="AD205" s="3279">
        <f>+AD201+AD202+AD203+AD204</f>
        <v>2.3945682130239994</v>
      </c>
      <c r="AE205" s="3279">
        <f>+AE201+AE202+AE203+AE204</f>
        <v>2.5256978838147841</v>
      </c>
    </row>
    <row r="206" spans="1:113" s="1972" customFormat="1" ht="12.75" customHeight="1">
      <c r="A206" s="998"/>
      <c r="B206" s="998"/>
      <c r="C206" s="1595"/>
      <c r="D206" s="1011"/>
      <c r="E206" s="1973" t="s">
        <v>737</v>
      </c>
      <c r="F206" s="1974"/>
      <c r="G206" s="1002">
        <f>ABS(+G201+G202+G203+G204-G205)</f>
        <v>9.9999999999544897E-6</v>
      </c>
      <c r="H206" s="1002">
        <f t="shared" ref="H206:Y206" si="191">ABS(+H201+H202+H203+H204-H205)</f>
        <v>1.1102230246251565E-16</v>
      </c>
      <c r="I206" s="1002">
        <f t="shared" si="191"/>
        <v>0</v>
      </c>
      <c r="J206" s="1002">
        <f t="shared" si="191"/>
        <v>0</v>
      </c>
      <c r="K206" s="1002">
        <f t="shared" si="191"/>
        <v>9.9999999998434674E-6</v>
      </c>
      <c r="L206" s="1002">
        <f t="shared" si="191"/>
        <v>0</v>
      </c>
      <c r="M206" s="1002">
        <f t="shared" si="191"/>
        <v>1.0000000000287557E-5</v>
      </c>
      <c r="N206" s="1002">
        <f t="shared" si="191"/>
        <v>0</v>
      </c>
      <c r="O206" s="1002">
        <f t="shared" si="191"/>
        <v>9.9999999998434674E-6</v>
      </c>
      <c r="P206" s="1002">
        <f t="shared" si="191"/>
        <v>3.0924003707166747E-4</v>
      </c>
      <c r="Q206" s="1002" t="e">
        <f t="shared" si="191"/>
        <v>#VALUE!</v>
      </c>
      <c r="R206" s="1002" t="e">
        <f t="shared" si="191"/>
        <v>#VALUE!</v>
      </c>
      <c r="S206" s="1002" t="e">
        <f t="shared" si="191"/>
        <v>#VALUE!</v>
      </c>
      <c r="T206" s="3125">
        <f t="shared" si="191"/>
        <v>1.0999999999938836E-4</v>
      </c>
      <c r="U206" s="2906">
        <f t="shared" si="191"/>
        <v>1.0000000000065512E-5</v>
      </c>
      <c r="V206" s="2906">
        <f t="shared" si="191"/>
        <v>2.9999999999974492E-5</v>
      </c>
      <c r="W206" s="3125">
        <f t="shared" si="191"/>
        <v>2.0000000000131024E-5</v>
      </c>
      <c r="X206" s="2906">
        <f t="shared" si="191"/>
        <v>3.4000000000022901E-4</v>
      </c>
      <c r="Y206" s="2906">
        <f t="shared" si="191"/>
        <v>3.6999999999998145E-4</v>
      </c>
      <c r="Z206" s="2906">
        <f t="shared" ref="Z206:AE206" si="192">ABS(+Z201+Z202+Z203+Z204-Z205)</f>
        <v>1.2000000000012001E-4</v>
      </c>
      <c r="AA206" s="2906">
        <f t="shared" si="192"/>
        <v>3.4000000000000696E-4</v>
      </c>
      <c r="AB206" s="2906">
        <f t="shared" si="192"/>
        <v>4.9000000000054555E-4</v>
      </c>
      <c r="AC206" s="2906">
        <f t="shared" si="192"/>
        <v>0</v>
      </c>
      <c r="AD206" s="2906">
        <f t="shared" si="192"/>
        <v>0</v>
      </c>
      <c r="AE206" s="2906">
        <f t="shared" si="192"/>
        <v>0</v>
      </c>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row>
    <row r="207" spans="1:113">
      <c r="A207" s="664"/>
      <c r="B207" s="664"/>
      <c r="G207" s="699">
        <v>6.773233087709376</v>
      </c>
      <c r="H207" s="699">
        <v>8.9159226578951944</v>
      </c>
      <c r="I207" s="699">
        <v>10.786047119278839</v>
      </c>
      <c r="J207" s="699">
        <v>12.45618174464069</v>
      </c>
      <c r="K207" s="699">
        <v>12.830616291946743</v>
      </c>
      <c r="L207" s="699">
        <v>12.57919276765376</v>
      </c>
      <c r="M207" s="699">
        <v>13.540179150980137</v>
      </c>
      <c r="N207" s="699">
        <v>14.375460607912569</v>
      </c>
      <c r="O207" s="699">
        <v>15.755697967974863</v>
      </c>
      <c r="P207" s="699">
        <v>17.383424384434147</v>
      </c>
      <c r="Q207" s="845">
        <v>19.267009653737208</v>
      </c>
      <c r="R207" s="845">
        <v>22.43057829458602</v>
      </c>
      <c r="S207" s="845">
        <v>25.296811268972416</v>
      </c>
      <c r="T207" s="2270">
        <v>28.393986752995456</v>
      </c>
      <c r="U207" s="2270">
        <f>CORREL(H207:T207,H201:T201)</f>
        <v>0.99194662828188163</v>
      </c>
      <c r="V207" s="2270"/>
      <c r="W207" s="2270"/>
      <c r="X207" s="2270"/>
      <c r="Y207" s="2270"/>
      <c r="Z207" s="2270"/>
      <c r="AA207" s="2270"/>
      <c r="AB207" s="2270"/>
      <c r="AC207" s="2270"/>
      <c r="AD207" s="2270"/>
      <c r="AE207" s="2270"/>
    </row>
    <row r="208" spans="1:113" ht="12.75" customHeight="1">
      <c r="A208" s="664"/>
      <c r="B208" s="664"/>
      <c r="C208" s="774"/>
      <c r="D208" s="742"/>
      <c r="E208" s="743" t="s">
        <v>1311</v>
      </c>
      <c r="F208" s="744"/>
      <c r="G208" s="745">
        <f>+InputY!$G$3</f>
        <v>1995</v>
      </c>
      <c r="H208" s="745">
        <f>+G208+1</f>
        <v>1996</v>
      </c>
      <c r="I208" s="745">
        <f t="shared" ref="I208:R208" si="193">+H208+1</f>
        <v>1997</v>
      </c>
      <c r="J208" s="745">
        <f t="shared" si="193"/>
        <v>1998</v>
      </c>
      <c r="K208" s="745">
        <f>+J208+1</f>
        <v>1999</v>
      </c>
      <c r="L208" s="745">
        <f t="shared" si="193"/>
        <v>2000</v>
      </c>
      <c r="M208" s="745">
        <f t="shared" si="193"/>
        <v>2001</v>
      </c>
      <c r="N208" s="745">
        <f t="shared" si="193"/>
        <v>2002</v>
      </c>
      <c r="O208" s="745">
        <f t="shared" si="193"/>
        <v>2003</v>
      </c>
      <c r="P208" s="745">
        <f>+O208+1</f>
        <v>2004</v>
      </c>
      <c r="Q208" s="745">
        <f t="shared" si="193"/>
        <v>2005</v>
      </c>
      <c r="R208" s="2211">
        <f t="shared" si="193"/>
        <v>2006</v>
      </c>
      <c r="S208" s="2211">
        <f t="shared" ref="S208:X208" si="194">+R208+1</f>
        <v>2007</v>
      </c>
      <c r="T208" s="2211">
        <f t="shared" si="194"/>
        <v>2008</v>
      </c>
      <c r="U208" s="2211">
        <f t="shared" si="194"/>
        <v>2009</v>
      </c>
      <c r="V208" s="2211">
        <f t="shared" si="194"/>
        <v>2010</v>
      </c>
      <c r="W208" s="2211">
        <f t="shared" si="194"/>
        <v>2011</v>
      </c>
      <c r="X208" s="2211">
        <f t="shared" si="194"/>
        <v>2012</v>
      </c>
      <c r="Y208" s="2211">
        <f t="shared" ref="Y208:AE208" si="195">+X208+1</f>
        <v>2013</v>
      </c>
      <c r="Z208" s="2211">
        <f t="shared" si="195"/>
        <v>2014</v>
      </c>
      <c r="AA208" s="2211">
        <f t="shared" si="195"/>
        <v>2015</v>
      </c>
      <c r="AB208" s="2211">
        <f t="shared" si="195"/>
        <v>2016</v>
      </c>
      <c r="AC208" s="2211">
        <f t="shared" si="195"/>
        <v>2017</v>
      </c>
      <c r="AD208" s="2211">
        <f t="shared" si="195"/>
        <v>2018</v>
      </c>
      <c r="AE208" s="2211">
        <f t="shared" si="195"/>
        <v>2019</v>
      </c>
    </row>
    <row r="209" spans="1:31" ht="12.75" customHeight="1">
      <c r="A209" s="664"/>
      <c r="B209" s="664"/>
      <c r="C209" s="794" t="s">
        <v>1767</v>
      </c>
      <c r="D209" s="689" t="s">
        <v>685</v>
      </c>
      <c r="E209" s="738" t="s">
        <v>978</v>
      </c>
      <c r="F209" s="733" t="s">
        <v>1438</v>
      </c>
      <c r="G209" s="739"/>
      <c r="H209" s="739">
        <f t="shared" ref="H209:AB209" si="196">(H201/G201-1)*100</f>
        <v>34.942934176650638</v>
      </c>
      <c r="I209" s="739">
        <f t="shared" si="196"/>
        <v>26.998768139891261</v>
      </c>
      <c r="J209" s="739">
        <f t="shared" si="196"/>
        <v>18.566798362866411</v>
      </c>
      <c r="K209" s="739">
        <f>(K201/J201-1)*100</f>
        <v>5.2636829818225372</v>
      </c>
      <c r="L209" s="739">
        <f t="shared" si="196"/>
        <v>-2.5466780399962086</v>
      </c>
      <c r="M209" s="739">
        <f t="shared" si="196"/>
        <v>-0.17797574472635525</v>
      </c>
      <c r="N209" s="739">
        <f t="shared" si="196"/>
        <v>1.2305144193296647</v>
      </c>
      <c r="O209" s="739">
        <f t="shared" si="196"/>
        <v>4.5629096368728694</v>
      </c>
      <c r="P209" s="739">
        <f t="shared" si="196"/>
        <v>14.197746769264752</v>
      </c>
      <c r="Q209" s="739">
        <f t="shared" si="196"/>
        <v>16.168422410110495</v>
      </c>
      <c r="R209" s="2212">
        <f t="shared" si="196"/>
        <v>13.489304720077167</v>
      </c>
      <c r="S209" s="2212">
        <f t="shared" si="196"/>
        <v>16.076810681600051</v>
      </c>
      <c r="T209" s="2212">
        <f t="shared" si="196"/>
        <v>12.589272547243358</v>
      </c>
      <c r="U209" s="2212">
        <f t="shared" si="196"/>
        <v>-48.260053983000503</v>
      </c>
      <c r="V209" s="2212">
        <f t="shared" si="196"/>
        <v>-5.9924958184530475</v>
      </c>
      <c r="W209" s="2212">
        <f t="shared" si="196"/>
        <v>8.0267751521970965</v>
      </c>
      <c r="X209" s="2212">
        <f t="shared" si="196"/>
        <v>4.9028248889363635</v>
      </c>
      <c r="Y209" s="2212">
        <f t="shared" si="196"/>
        <v>7.4335907663583445</v>
      </c>
      <c r="Z209" s="2212">
        <f t="shared" si="196"/>
        <v>5.3677649716799891</v>
      </c>
      <c r="AA209" s="2212">
        <f t="shared" si="196"/>
        <v>9.2312421279913792</v>
      </c>
      <c r="AB209" s="2212">
        <f t="shared" si="196"/>
        <v>6.8903271858720361</v>
      </c>
      <c r="AC209" s="3269">
        <v>7.44</v>
      </c>
      <c r="AD209" s="3269">
        <v>3.6</v>
      </c>
      <c r="AE209" s="3269">
        <v>5.35</v>
      </c>
    </row>
    <row r="210" spans="1:31" ht="12.75" customHeight="1">
      <c r="A210" s="664"/>
      <c r="B210" s="664"/>
      <c r="C210" s="795" t="s">
        <v>1767</v>
      </c>
      <c r="D210" s="674" t="s">
        <v>686</v>
      </c>
      <c r="E210" s="783" t="s">
        <v>978</v>
      </c>
      <c r="F210" s="704" t="s">
        <v>1966</v>
      </c>
      <c r="G210" s="706"/>
      <c r="H210" s="706">
        <f t="shared" ref="H210:AB210" si="197">(H202/G202-1)*100</f>
        <v>-29.967406293092623</v>
      </c>
      <c r="I210" s="706">
        <f t="shared" si="197"/>
        <v>60.950505683343771</v>
      </c>
      <c r="J210" s="706">
        <f t="shared" si="197"/>
        <v>-6.550631151643227</v>
      </c>
      <c r="K210" s="706">
        <f>(K202/J202-1)*100</f>
        <v>-37.816126152930686</v>
      </c>
      <c r="L210" s="706">
        <f t="shared" si="197"/>
        <v>-13.617224880382784</v>
      </c>
      <c r="M210" s="706">
        <f t="shared" si="197"/>
        <v>-16.82729589010745</v>
      </c>
      <c r="N210" s="706">
        <f t="shared" si="197"/>
        <v>18.660095897709116</v>
      </c>
      <c r="O210" s="706">
        <f t="shared" si="197"/>
        <v>154.97811202155125</v>
      </c>
      <c r="P210" s="706">
        <f t="shared" si="197"/>
        <v>48.657334037682688</v>
      </c>
      <c r="Q210" s="706">
        <f t="shared" si="197"/>
        <v>29.236874056086947</v>
      </c>
      <c r="R210" s="2219">
        <f t="shared" si="197"/>
        <v>51.755189954630843</v>
      </c>
      <c r="S210" s="2219">
        <f t="shared" si="197"/>
        <v>10.740008153527913</v>
      </c>
      <c r="T210" s="2219">
        <f t="shared" si="197"/>
        <v>20.816176270077193</v>
      </c>
      <c r="U210" s="2219">
        <f t="shared" si="197"/>
        <v>-44.864517148370943</v>
      </c>
      <c r="V210" s="2219">
        <f t="shared" si="197"/>
        <v>-43.516528502712113</v>
      </c>
      <c r="W210" s="2219">
        <f t="shared" si="197"/>
        <v>-8.6936039137524794</v>
      </c>
      <c r="X210" s="2219">
        <f t="shared" si="197"/>
        <v>70.741387521828841</v>
      </c>
      <c r="Y210" s="2219">
        <f t="shared" si="197"/>
        <v>10.471873547187371</v>
      </c>
      <c r="Z210" s="2219">
        <f t="shared" si="197"/>
        <v>4.8963703314045093</v>
      </c>
      <c r="AA210" s="2219">
        <f t="shared" si="197"/>
        <v>14.87202118270079</v>
      </c>
      <c r="AB210" s="2219">
        <f t="shared" si="197"/>
        <v>9.2375929871127518</v>
      </c>
      <c r="AC210" s="3224">
        <v>0.8696208197455102</v>
      </c>
      <c r="AD210" s="3224">
        <v>3</v>
      </c>
      <c r="AE210" s="3224">
        <v>5.9</v>
      </c>
    </row>
    <row r="211" spans="1:31" ht="12.75" customHeight="1">
      <c r="A211" s="664"/>
      <c r="B211" s="664"/>
      <c r="C211" s="795" t="s">
        <v>1767</v>
      </c>
      <c r="D211" s="674" t="s">
        <v>687</v>
      </c>
      <c r="E211" s="783" t="s">
        <v>978</v>
      </c>
      <c r="F211" s="704" t="s">
        <v>384</v>
      </c>
      <c r="G211" s="706"/>
      <c r="H211" s="706" t="e">
        <f>(H203/G203-1)*100</f>
        <v>#DIV/0!</v>
      </c>
      <c r="I211" s="706" t="e">
        <f t="shared" ref="I211:AB212" si="198">(I203/H203-1)*100</f>
        <v>#DIV/0!</v>
      </c>
      <c r="J211" s="706" t="e">
        <f t="shared" si="198"/>
        <v>#DIV/0!</v>
      </c>
      <c r="K211" s="706" t="e">
        <f>(K203/J203-1)*100</f>
        <v>#DIV/0!</v>
      </c>
      <c r="L211" s="706" t="e">
        <f t="shared" si="198"/>
        <v>#DIV/0!</v>
      </c>
      <c r="M211" s="706" t="e">
        <f t="shared" si="198"/>
        <v>#DIV/0!</v>
      </c>
      <c r="N211" s="706" t="e">
        <f t="shared" si="198"/>
        <v>#DIV/0!</v>
      </c>
      <c r="O211" s="706">
        <f t="shared" si="198"/>
        <v>400</v>
      </c>
      <c r="P211" s="706">
        <f t="shared" si="198"/>
        <v>113.33333333333333</v>
      </c>
      <c r="Q211" s="706">
        <f t="shared" si="198"/>
        <v>-25</v>
      </c>
      <c r="R211" s="2219">
        <f t="shared" si="198"/>
        <v>291.66666666666669</v>
      </c>
      <c r="S211" s="2219">
        <f t="shared" si="198"/>
        <v>-1.0638297872340496</v>
      </c>
      <c r="T211" s="2219">
        <f t="shared" si="198"/>
        <v>81.720430107526852</v>
      </c>
      <c r="U211" s="2219">
        <f t="shared" si="198"/>
        <v>-57.396449704142007</v>
      </c>
      <c r="V211" s="2219">
        <f t="shared" si="198"/>
        <v>-58.333333333333329</v>
      </c>
      <c r="W211" s="2219">
        <f t="shared" si="198"/>
        <v>203.33333333333331</v>
      </c>
      <c r="X211" s="2219">
        <f t="shared" si="198"/>
        <v>197.80219780219781</v>
      </c>
      <c r="Y211" s="2219">
        <f t="shared" si="198"/>
        <v>-47.601476014760159</v>
      </c>
      <c r="Z211" s="2219">
        <f t="shared" si="198"/>
        <v>-11.971830985915478</v>
      </c>
      <c r="AA211" s="2219">
        <f t="shared" si="198"/>
        <v>-2.4000000000000021</v>
      </c>
      <c r="AB211" s="2219">
        <f t="shared" si="198"/>
        <v>71.311475409836063</v>
      </c>
      <c r="AC211" s="2259">
        <v>2</v>
      </c>
      <c r="AD211" s="2259">
        <v>2</v>
      </c>
      <c r="AE211" s="2259">
        <v>2</v>
      </c>
    </row>
    <row r="212" spans="1:31" ht="12.75" customHeight="1">
      <c r="A212" s="664"/>
      <c r="B212" s="664"/>
      <c r="C212" s="796" t="s">
        <v>1767</v>
      </c>
      <c r="D212" s="691" t="s">
        <v>688</v>
      </c>
      <c r="E212" s="797" t="s">
        <v>979</v>
      </c>
      <c r="F212" s="736" t="s">
        <v>980</v>
      </c>
      <c r="G212" s="741"/>
      <c r="H212" s="741" t="e">
        <f>(H204/G204-1)*100</f>
        <v>#DIV/0!</v>
      </c>
      <c r="I212" s="741" t="e">
        <f>(I204/H204-1)*100</f>
        <v>#DIV/0!</v>
      </c>
      <c r="J212" s="741" t="e">
        <f>(J204/I204-1)*100</f>
        <v>#DIV/0!</v>
      </c>
      <c r="K212" s="741" t="e">
        <f>(K204/J204-1)*100</f>
        <v>#DIV/0!</v>
      </c>
      <c r="L212" s="741" t="e">
        <f>(L204/K204-1)*100</f>
        <v>#DIV/0!</v>
      </c>
      <c r="M212" s="3076">
        <v>0</v>
      </c>
      <c r="N212" s="3076">
        <v>0</v>
      </c>
      <c r="O212" s="3076">
        <v>0</v>
      </c>
      <c r="P212" s="3076">
        <v>0</v>
      </c>
      <c r="Q212" s="3076">
        <v>0</v>
      </c>
      <c r="R212" s="3076">
        <v>0</v>
      </c>
      <c r="S212" s="2219" t="e">
        <f t="shared" si="198"/>
        <v>#VALUE!</v>
      </c>
      <c r="T212" s="741" t="e">
        <f t="shared" ref="T212:AB212" si="199">(T204/S204-1)*100</f>
        <v>#VALUE!</v>
      </c>
      <c r="U212" s="741">
        <f t="shared" si="199"/>
        <v>-133.33333333333334</v>
      </c>
      <c r="V212" s="741">
        <f t="shared" si="199"/>
        <v>-833.33333333333326</v>
      </c>
      <c r="W212" s="741">
        <f t="shared" si="199"/>
        <v>-22.72727272727272</v>
      </c>
      <c r="X212" s="741">
        <f t="shared" si="199"/>
        <v>-76.470588235294116</v>
      </c>
      <c r="Y212" s="741">
        <f t="shared" si="199"/>
        <v>50</v>
      </c>
      <c r="Z212" s="741">
        <f t="shared" si="199"/>
        <v>-150</v>
      </c>
      <c r="AA212" s="741">
        <f t="shared" si="199"/>
        <v>-66.666666666666671</v>
      </c>
      <c r="AB212" s="741">
        <f t="shared" si="199"/>
        <v>800</v>
      </c>
      <c r="AC212" s="2214">
        <v>0</v>
      </c>
      <c r="AD212" s="2214">
        <v>0</v>
      </c>
      <c r="AE212" s="2214">
        <v>0</v>
      </c>
    </row>
    <row r="213" spans="1:31" ht="12.75" customHeight="1">
      <c r="A213" s="664"/>
      <c r="B213" s="664"/>
      <c r="C213" s="774" t="s">
        <v>1769</v>
      </c>
      <c r="D213" s="717" t="s">
        <v>687</v>
      </c>
      <c r="E213" s="722" t="s">
        <v>614</v>
      </c>
      <c r="F213" s="723" t="s">
        <v>1803</v>
      </c>
      <c r="G213" s="721"/>
      <c r="H213" s="721">
        <f>(H205/G205-1)*100</f>
        <v>19.081829600808796</v>
      </c>
      <c r="I213" s="721">
        <f t="shared" ref="I213:AA213" si="200">(I205/H205-1)*100</f>
        <v>31.87846512046719</v>
      </c>
      <c r="J213" s="721">
        <f t="shared" si="200"/>
        <v>14.161001160737818</v>
      </c>
      <c r="K213" s="721">
        <f>(K205/J205-1)*100</f>
        <v>-0.92106050120047689</v>
      </c>
      <c r="L213" s="721">
        <f t="shared" si="200"/>
        <v>-3.5451574236165406</v>
      </c>
      <c r="M213" s="721">
        <f t="shared" si="200"/>
        <v>-1.5225748770675063</v>
      </c>
      <c r="N213" s="721">
        <f t="shared" si="200"/>
        <v>2.4222175819586633</v>
      </c>
      <c r="O213" s="721">
        <f t="shared" si="200"/>
        <v>16.45259938837922</v>
      </c>
      <c r="P213" s="721">
        <f t="shared" si="200"/>
        <v>20.187096577761544</v>
      </c>
      <c r="Q213" s="721">
        <f t="shared" si="200"/>
        <v>18.96869478204146</v>
      </c>
      <c r="R213" s="2272">
        <f t="shared" si="200"/>
        <v>22.41120480388399</v>
      </c>
      <c r="S213" s="2272">
        <f t="shared" si="200"/>
        <v>14.534653637577355</v>
      </c>
      <c r="T213" s="2272">
        <f t="shared" si="200"/>
        <v>14.538916880878162</v>
      </c>
      <c r="U213" s="2272">
        <f t="shared" si="200"/>
        <v>-47.016177153086261</v>
      </c>
      <c r="V213" s="2272">
        <f t="shared" si="200"/>
        <v>-19.036357152242054</v>
      </c>
      <c r="W213" s="2272">
        <f t="shared" si="200"/>
        <v>5.0253081411073763</v>
      </c>
      <c r="X213" s="2272">
        <f t="shared" si="200"/>
        <v>18.282220325514341</v>
      </c>
      <c r="Y213" s="2272">
        <f t="shared" si="200"/>
        <v>8.0022394326770616</v>
      </c>
      <c r="Z213" s="2272">
        <f t="shared" si="200"/>
        <v>5.7908408641911269</v>
      </c>
      <c r="AA213" s="2272">
        <f t="shared" si="200"/>
        <v>10.64173830666455</v>
      </c>
      <c r="AB213" s="2272">
        <f>(AB205/AA205-1)*100</f>
        <v>7.9869500391203774</v>
      </c>
      <c r="AC213" s="2220">
        <f>(AC205/AB205-1)*100</f>
        <v>5.5073768056504768</v>
      </c>
      <c r="AD213" s="2220">
        <f>(AD205/AC205-1)*100</f>
        <v>3.4210166063792125</v>
      </c>
      <c r="AE213" s="2220">
        <f>(AE205/AD205-1)*100</f>
        <v>5.4761301046916788</v>
      </c>
    </row>
    <row r="214" spans="1:31" ht="12.75" customHeight="1">
      <c r="A214" s="664"/>
      <c r="B214" s="664"/>
      <c r="C214" s="774"/>
      <c r="D214" s="699"/>
      <c r="Q214" s="699"/>
      <c r="R214" s="2276"/>
      <c r="S214" s="2276"/>
      <c r="AB214" s="2221"/>
      <c r="AC214" s="2221"/>
      <c r="AD214" s="2221"/>
      <c r="AE214" s="2221"/>
    </row>
    <row r="215" spans="1:31" ht="12.75" customHeight="1">
      <c r="A215" s="664"/>
      <c r="B215" s="664"/>
      <c r="C215" s="774"/>
      <c r="D215" s="814"/>
      <c r="E215" s="815" t="s">
        <v>660</v>
      </c>
      <c r="F215" s="816"/>
      <c r="G215" s="817">
        <f>+InputY!$G$3</f>
        <v>1995</v>
      </c>
      <c r="H215" s="817">
        <f>+G215+1</f>
        <v>1996</v>
      </c>
      <c r="I215" s="817">
        <f t="shared" ref="I215:O215" si="201">+H215+1</f>
        <v>1997</v>
      </c>
      <c r="J215" s="817">
        <f t="shared" si="201"/>
        <v>1998</v>
      </c>
      <c r="K215" s="817">
        <f>+J215+1</f>
        <v>1999</v>
      </c>
      <c r="L215" s="817">
        <f t="shared" si="201"/>
        <v>2000</v>
      </c>
      <c r="M215" s="817">
        <f t="shared" si="201"/>
        <v>2001</v>
      </c>
      <c r="N215" s="817">
        <f t="shared" si="201"/>
        <v>2002</v>
      </c>
      <c r="O215" s="817">
        <f t="shared" si="201"/>
        <v>2003</v>
      </c>
      <c r="P215" s="817">
        <f t="shared" ref="P215:V215" si="202">+O215+1</f>
        <v>2004</v>
      </c>
      <c r="Q215" s="817">
        <f t="shared" si="202"/>
        <v>2005</v>
      </c>
      <c r="R215" s="2230">
        <f t="shared" si="202"/>
        <v>2006</v>
      </c>
      <c r="S215" s="2230">
        <f>+R215+1</f>
        <v>2007</v>
      </c>
      <c r="T215" s="2230">
        <f t="shared" si="202"/>
        <v>2008</v>
      </c>
      <c r="U215" s="817">
        <f t="shared" si="202"/>
        <v>2009</v>
      </c>
      <c r="V215" s="2230">
        <f t="shared" si="202"/>
        <v>2010</v>
      </c>
      <c r="W215" s="2230">
        <f t="shared" ref="W215:AE215" si="203">+V215+1</f>
        <v>2011</v>
      </c>
      <c r="X215" s="2230">
        <f t="shared" si="203"/>
        <v>2012</v>
      </c>
      <c r="Y215" s="2230">
        <f t="shared" si="203"/>
        <v>2013</v>
      </c>
      <c r="Z215" s="2230">
        <f t="shared" si="203"/>
        <v>2014</v>
      </c>
      <c r="AA215" s="2230">
        <f t="shared" si="203"/>
        <v>2015</v>
      </c>
      <c r="AB215" s="2230">
        <f t="shared" si="203"/>
        <v>2016</v>
      </c>
      <c r="AC215" s="2230">
        <f t="shared" si="203"/>
        <v>2017</v>
      </c>
      <c r="AD215" s="2230">
        <f t="shared" si="203"/>
        <v>2018</v>
      </c>
      <c r="AE215" s="2230">
        <f t="shared" si="203"/>
        <v>2019</v>
      </c>
    </row>
    <row r="216" spans="1:31" ht="12.75" customHeight="1">
      <c r="A216" s="664"/>
      <c r="B216" s="664"/>
      <c r="C216" s="822" t="s">
        <v>1767</v>
      </c>
      <c r="D216" s="1045" t="s">
        <v>685</v>
      </c>
      <c r="E216" s="1046" t="s">
        <v>978</v>
      </c>
      <c r="F216" s="1047" t="s">
        <v>661</v>
      </c>
      <c r="G216" s="1048"/>
      <c r="H216" s="1048">
        <f>+$F$230*'VVP2'!H348</f>
        <v>27.369149195121921</v>
      </c>
      <c r="I216" s="1048">
        <f>+$F$230*'VVP2'!I348</f>
        <v>22.555829382910503</v>
      </c>
      <c r="J216" s="1048">
        <f>+$F$230*'VVP2'!J348</f>
        <v>12.063841546730997</v>
      </c>
      <c r="K216" s="1048">
        <f>+$F$230*'VVP2'!K348</f>
        <v>-2.593843015951514</v>
      </c>
      <c r="L216" s="1048">
        <f>+$F$230*'VVP2'!L348</f>
        <v>5.6257433873921432</v>
      </c>
      <c r="M216" s="1048">
        <f>+$F$230*'VVP2'!M348</f>
        <v>6.7377204675580469</v>
      </c>
      <c r="N216" s="1048">
        <f>+$F$230*'VVP2'!N348</f>
        <v>7.7377642921352843</v>
      </c>
      <c r="O216" s="1048">
        <f>+$F$230*'VVP2'!O348</f>
        <v>10.513485245856325</v>
      </c>
      <c r="P216" s="1048">
        <f>+$F$230*'VVP2'!P348</f>
        <v>10.261713125611932</v>
      </c>
      <c r="Q216" s="1048">
        <f>+$F$230*'VVP2'!Q348</f>
        <v>16.523154758379892</v>
      </c>
      <c r="R216" s="2277">
        <f>+$F$230*'VVP2'!R348</f>
        <v>15.968425914242934</v>
      </c>
      <c r="S216" s="2277">
        <f>+$F$230*'VVP2'!S348</f>
        <v>22.459291387829648</v>
      </c>
      <c r="T216" s="2277">
        <f>+$F$230*'VVP2'!T348</f>
        <v>13.720851385609009</v>
      </c>
      <c r="U216" s="3002">
        <f>+$F$230*'VVP2'!U348</f>
        <v>-19.207051689060666</v>
      </c>
      <c r="V216" s="3003">
        <f>+$F$230*'VVP2'!V348</f>
        <v>4.422511826698682</v>
      </c>
      <c r="W216" s="3003">
        <f>+$F$230*'VVP2'!W348</f>
        <v>12.630199595685122</v>
      </c>
      <c r="X216" s="3003">
        <f>+$F$230*'VVP2'!X348</f>
        <v>7.2253278303787223</v>
      </c>
      <c r="Y216" s="3003">
        <f>+$F$230*'VVP2'!Y348</f>
        <v>5.2661329691788135</v>
      </c>
      <c r="Z216" s="3003">
        <f>+$F$230*'VVP2'!Z348</f>
        <v>5.01551560155779</v>
      </c>
      <c r="AA216" s="3003">
        <f>+$F$230*'VVP2'!AA348</f>
        <v>2.558446008398545</v>
      </c>
      <c r="AB216" s="3003">
        <f>+$F$230*'VVP2'!AB348</f>
        <v>3.6163144351037753</v>
      </c>
      <c r="AC216" s="3003">
        <f ca="1">+$F$230*'VVP2'!AC348</f>
        <v>8.7702016346041152</v>
      </c>
      <c r="AD216" s="3003">
        <f ca="1">+$F$230*'VVP2'!AD348</f>
        <v>6.344820338652462</v>
      </c>
      <c r="AE216" s="3003">
        <f ca="1">+$F$230*'VVP2'!AE348</f>
        <v>6.0764963152962848</v>
      </c>
    </row>
    <row r="217" spans="1:31" ht="12.75" customHeight="1">
      <c r="A217" s="664"/>
      <c r="B217" s="664"/>
      <c r="C217" s="826" t="s">
        <v>1767</v>
      </c>
      <c r="D217" s="1041" t="s">
        <v>686</v>
      </c>
      <c r="E217" s="1042" t="s">
        <v>978</v>
      </c>
      <c r="F217" s="1043" t="s">
        <v>661</v>
      </c>
      <c r="G217" s="1044"/>
      <c r="H217" s="1044">
        <f>+$F$238*'VVP2'!H348</f>
        <v>39.421618565450835</v>
      </c>
      <c r="I217" s="1044">
        <f>+$F$238*'VVP2'!I348</f>
        <v>32.488671679972008</v>
      </c>
      <c r="J217" s="1044">
        <f>+$F$238*'VVP2'!J348</f>
        <v>17.376358925107951</v>
      </c>
      <c r="K217" s="1044">
        <f>+$F$238*'VVP2'!K348</f>
        <v>-3.7360858119668596</v>
      </c>
      <c r="L217" s="1044">
        <f>+$F$238*'VVP2'!L348</f>
        <v>8.1031349708308849</v>
      </c>
      <c r="M217" s="1044">
        <f>+$F$238*'VVP2'!M348</f>
        <v>9.7047900312533333</v>
      </c>
      <c r="N217" s="1044">
        <f>+$F$238*'VVP2'!N348</f>
        <v>11.145220127204034</v>
      </c>
      <c r="O217" s="1044">
        <f>+$F$238*'VVP2'!O348</f>
        <v>15.143276913756358</v>
      </c>
      <c r="P217" s="1044">
        <f>+$F$238*'VVP2'!P348</f>
        <v>14.780632667165809</v>
      </c>
      <c r="Q217" s="1044">
        <f>+$F$238*'VVP2'!Q348</f>
        <v>23.799406395097641</v>
      </c>
      <c r="R217" s="2269">
        <f>+$F$238*'VVP2'!R348</f>
        <v>23.000393289322389</v>
      </c>
      <c r="S217" s="2269">
        <f>+$F$238*'VVP2'!S348</f>
        <v>32.349621540268394</v>
      </c>
      <c r="T217" s="2269">
        <f>+$F$238*'VVP2'!T348</f>
        <v>19.76306117009738</v>
      </c>
      <c r="U217" s="1312">
        <f>+$F$238*'VVP2'!U348</f>
        <v>-27.665202891582794</v>
      </c>
      <c r="V217" s="3004">
        <f>+$F$238*'VVP2'!V348</f>
        <v>6.3700399705659914</v>
      </c>
      <c r="W217" s="3004">
        <f>+$F$238*'VVP2'!W348</f>
        <v>18.192122353418018</v>
      </c>
      <c r="X217" s="3004">
        <f>+$F$238*'VVP2'!X348</f>
        <v>10.407123572196875</v>
      </c>
      <c r="Y217" s="3004">
        <f>+$F$238*'VVP2'!Y348</f>
        <v>7.5851640014777404</v>
      </c>
      <c r="Z217" s="3004">
        <f>+$F$238*'VVP2'!Z348</f>
        <v>7.2241830224272752</v>
      </c>
      <c r="AA217" s="3004">
        <f>+$F$238*'VVP2'!AA348</f>
        <v>3.6851011313630417</v>
      </c>
      <c r="AB217" s="3004">
        <f>+$F$238*'VVP2'!AB348</f>
        <v>5.2088198744155294</v>
      </c>
      <c r="AC217" s="3004">
        <f ca="1">+$F$238*'VVP2'!AC348</f>
        <v>12.632308776448129</v>
      </c>
      <c r="AD217" s="3004">
        <f ca="1">+$F$238*'VVP2'!AD348</f>
        <v>9.1388696620957468</v>
      </c>
      <c r="AE217" s="3004">
        <f ca="1">+$F$238*'VVP2'!AE348</f>
        <v>8.7523846009313448</v>
      </c>
    </row>
    <row r="218" spans="1:31" ht="12.75" customHeight="1">
      <c r="A218" s="664"/>
      <c r="B218" s="664"/>
      <c r="C218" s="827" t="s">
        <v>1767</v>
      </c>
      <c r="D218" s="1506" t="s">
        <v>687</v>
      </c>
      <c r="E218" s="1507" t="s">
        <v>614</v>
      </c>
      <c r="F218" s="1508" t="s">
        <v>661</v>
      </c>
      <c r="G218" s="1509"/>
      <c r="H218" s="1509">
        <f>+$F$244*'VVP2'!H348</f>
        <v>29.653405194985357</v>
      </c>
      <c r="I218" s="1509">
        <f>+$F$244*'VVP2'!I348</f>
        <v>24.438360996607596</v>
      </c>
      <c r="J218" s="1509">
        <f>+$F$244*'VVP2'!J348</f>
        <v>13.070701578734976</v>
      </c>
      <c r="K218" s="1509">
        <f>+$F$244*'VVP2'!K348</f>
        <v>-2.8103276947279796</v>
      </c>
      <c r="L218" s="1509">
        <f>+$F$244*'VVP2'!L348</f>
        <v>6.0952734409106855</v>
      </c>
      <c r="M218" s="1509">
        <f>+$F$244*'VVP2'!M348</f>
        <v>7.3000572173670353</v>
      </c>
      <c r="N218" s="1509">
        <f>+$F$244*'VVP2'!N348</f>
        <v>8.3835656790848425</v>
      </c>
      <c r="O218" s="1509">
        <f>+$F$244*'VVP2'!O348</f>
        <v>11.390951022417747</v>
      </c>
      <c r="P218" s="1509">
        <f>+$F$244*'VVP2'!P348</f>
        <v>11.118165754407359</v>
      </c>
      <c r="Q218" s="1509">
        <f>+$F$244*'VVP2'!Q348</f>
        <v>17.90219343891836</v>
      </c>
      <c r="R218" s="2278">
        <f>+$F$244*'VVP2'!R348</f>
        <v>17.301166382093701</v>
      </c>
      <c r="S218" s="2278">
        <f>+$F$244*'VVP2'!S348</f>
        <v>24.33376584589848</v>
      </c>
      <c r="T218" s="2278">
        <f>+$F$244*'VVP2'!T348</f>
        <v>14.866007081804277</v>
      </c>
      <c r="U218" s="3005">
        <f>+$F$244*'VVP2'!U348</f>
        <v>-20.81009103630657</v>
      </c>
      <c r="V218" s="3006">
        <f>+$F$244*'VVP2'!V348</f>
        <v>4.7916189955983279</v>
      </c>
      <c r="W218" s="3006">
        <f>+$F$244*'VVP2'!W348</f>
        <v>13.684328425201629</v>
      </c>
      <c r="X218" s="3006">
        <f>+$F$244*'VVP2'!X348</f>
        <v>7.8283607682993699</v>
      </c>
      <c r="Y218" s="3006">
        <f>+$F$244*'VVP2'!Y348</f>
        <v>5.7056495849554327</v>
      </c>
      <c r="Z218" s="3006">
        <f>+$F$244*'VVP2'!Z348</f>
        <v>5.4341154463534416</v>
      </c>
      <c r="AA218" s="3006">
        <f>+$F$244*'VVP2'!AA348</f>
        <v>2.7719764182533262</v>
      </c>
      <c r="AB218" s="3006">
        <f>+$F$244*'VVP2'!AB348</f>
        <v>3.9181355800318345</v>
      </c>
      <c r="AC218" s="3006">
        <f ca="1">+$F$244*'VVP2'!AC348</f>
        <v>9.502171253426873</v>
      </c>
      <c r="AD218" s="3006">
        <f ca="1">+$F$244*'VVP2'!AD348</f>
        <v>6.8743652588579325</v>
      </c>
      <c r="AE218" s="3006">
        <f ca="1">+$F$244*'VVP2'!AE348</f>
        <v>6.5836466496894905</v>
      </c>
    </row>
    <row r="219" spans="1:31" ht="12.75" customHeight="1">
      <c r="A219" s="664"/>
      <c r="B219" s="664"/>
      <c r="C219" s="774"/>
      <c r="E219" s="786"/>
      <c r="F219" s="787"/>
      <c r="G219" s="703"/>
      <c r="H219" s="788"/>
      <c r="I219" s="703"/>
      <c r="J219" s="703"/>
      <c r="K219" s="703"/>
      <c r="L219" s="703"/>
      <c r="M219" s="703"/>
      <c r="N219" s="703"/>
      <c r="O219" s="703"/>
      <c r="P219" s="703"/>
      <c r="Q219" s="845"/>
      <c r="R219" s="2254"/>
      <c r="S219" s="2254"/>
      <c r="T219" s="2290"/>
      <c r="U219" s="845"/>
      <c r="V219" s="2254"/>
      <c r="W219" s="2254"/>
      <c r="X219" s="2254"/>
      <c r="Y219" s="2254"/>
      <c r="Z219" s="2254"/>
      <c r="AA219" s="2254"/>
      <c r="AB219" s="2254"/>
      <c r="AC219" s="2254"/>
      <c r="AD219" s="2254"/>
      <c r="AE219" s="2254"/>
    </row>
    <row r="220" spans="1:31" ht="12.75" customHeight="1">
      <c r="A220" s="664"/>
      <c r="B220" s="664"/>
      <c r="C220" s="774"/>
      <c r="D220" s="818"/>
      <c r="E220" s="819" t="s">
        <v>512</v>
      </c>
      <c r="F220" s="820"/>
      <c r="G220" s="821">
        <f>+InputY!$G$3</f>
        <v>1995</v>
      </c>
      <c r="H220" s="821">
        <f>+G220+1</f>
        <v>1996</v>
      </c>
      <c r="I220" s="821">
        <f t="shared" ref="I220:O220" si="204">+H220+1</f>
        <v>1997</v>
      </c>
      <c r="J220" s="821">
        <f t="shared" si="204"/>
        <v>1998</v>
      </c>
      <c r="K220" s="821">
        <f>+J220+1</f>
        <v>1999</v>
      </c>
      <c r="L220" s="821">
        <f t="shared" si="204"/>
        <v>2000</v>
      </c>
      <c r="M220" s="821">
        <f t="shared" si="204"/>
        <v>2001</v>
      </c>
      <c r="N220" s="821">
        <f t="shared" si="204"/>
        <v>2002</v>
      </c>
      <c r="O220" s="821">
        <f t="shared" si="204"/>
        <v>2003</v>
      </c>
      <c r="P220" s="821">
        <f t="shared" ref="P220:V220" si="205">+O220+1</f>
        <v>2004</v>
      </c>
      <c r="Q220" s="821">
        <f t="shared" si="205"/>
        <v>2005</v>
      </c>
      <c r="R220" s="2255">
        <f t="shared" si="205"/>
        <v>2006</v>
      </c>
      <c r="S220" s="2255">
        <f>+R220+1</f>
        <v>2007</v>
      </c>
      <c r="T220" s="2255">
        <f t="shared" si="205"/>
        <v>2008</v>
      </c>
      <c r="U220" s="821">
        <f t="shared" si="205"/>
        <v>2009</v>
      </c>
      <c r="V220" s="2255">
        <f t="shared" si="205"/>
        <v>2010</v>
      </c>
      <c r="W220" s="2255">
        <f t="shared" ref="W220:AE220" si="206">+V220+1</f>
        <v>2011</v>
      </c>
      <c r="X220" s="2255">
        <f t="shared" si="206"/>
        <v>2012</v>
      </c>
      <c r="Y220" s="2255">
        <f t="shared" si="206"/>
        <v>2013</v>
      </c>
      <c r="Z220" s="2255">
        <f t="shared" si="206"/>
        <v>2014</v>
      </c>
      <c r="AA220" s="2255">
        <f t="shared" si="206"/>
        <v>2015</v>
      </c>
      <c r="AB220" s="2255">
        <f t="shared" si="206"/>
        <v>2016</v>
      </c>
      <c r="AC220" s="2255">
        <f t="shared" si="206"/>
        <v>2017</v>
      </c>
      <c r="AD220" s="2255">
        <f t="shared" si="206"/>
        <v>2018</v>
      </c>
      <c r="AE220" s="2255">
        <f t="shared" si="206"/>
        <v>2019</v>
      </c>
    </row>
    <row r="221" spans="1:31" ht="12.75" customHeight="1">
      <c r="A221" s="664"/>
      <c r="B221" s="664"/>
      <c r="C221" s="822" t="s">
        <v>1767</v>
      </c>
      <c r="D221" s="823" t="s">
        <v>685</v>
      </c>
      <c r="E221" s="824" t="s">
        <v>978</v>
      </c>
      <c r="F221" s="825" t="s">
        <v>1438</v>
      </c>
      <c r="G221" s="838">
        <f>+G201/'VVP2'!G$341</f>
        <v>6.3531211805479534E-2</v>
      </c>
      <c r="H221" s="838">
        <f>+H201/'VVP2'!H$341</f>
        <v>6.8524780860909074E-2</v>
      </c>
      <c r="I221" s="838">
        <f>+I201/'VVP2'!I$341</f>
        <v>7.2104698430785874E-2</v>
      </c>
      <c r="J221" s="838">
        <f>+J201/'VVP2'!J$341</f>
        <v>7.6973051675784596E-2</v>
      </c>
      <c r="K221" s="838">
        <f>+K201/'VVP2'!K$341</f>
        <v>8.2999792323522184E-2</v>
      </c>
      <c r="L221" s="838">
        <f>+L201/'VVP2'!L$341</f>
        <v>7.6916229434373262E-2</v>
      </c>
      <c r="M221" s="838">
        <f>+M201/'VVP2'!M$341</f>
        <v>7.2309595534051183E-2</v>
      </c>
      <c r="N221" s="838">
        <f>+N201/'VVP2'!N$341</f>
        <v>6.8347479340120518E-2</v>
      </c>
      <c r="O221" s="838">
        <f>+O201/'VVP2'!O$341</f>
        <v>6.5179308491236168E-2</v>
      </c>
      <c r="P221" s="838">
        <f>+P201/'VVP2'!P$341</f>
        <v>6.8028788686305089E-2</v>
      </c>
      <c r="Q221" s="838">
        <f>+Q201/'VVP2'!Q$341</f>
        <v>6.862517765869057E-2</v>
      </c>
      <c r="R221" s="2279">
        <f>+R201/'VVP2'!R$341</f>
        <v>6.793046939306073E-2</v>
      </c>
      <c r="S221" s="2279">
        <f>+S201/'VVP2'!S$341</f>
        <v>6.5380056789342944E-2</v>
      </c>
      <c r="T221" s="2279">
        <f>+T201/'VVP2'!T$341</f>
        <v>6.5380832314868853E-2</v>
      </c>
      <c r="U221" s="2909">
        <f>+U201/'VVP2'!U$341</f>
        <v>4.1063946222770376E-2</v>
      </c>
      <c r="V221" s="2235">
        <f>+V201/'VVP2'!V$341</f>
        <v>3.7097995337463066E-2</v>
      </c>
      <c r="W221" s="2235">
        <f>+W201/'VVP2'!W$341</f>
        <v>3.5914260829305662E-2</v>
      </c>
      <c r="X221" s="2235">
        <f>+X201/'VVP2'!X$341</f>
        <v>3.5332944709923805E-2</v>
      </c>
      <c r="Y221" s="2235">
        <f>+Y201/'VVP2'!Y$341</f>
        <v>3.6210030706829162E-2</v>
      </c>
      <c r="Z221" s="2235">
        <f>+Z201/'VVP2'!Z$341</f>
        <v>3.6475327797752581E-2</v>
      </c>
      <c r="AA221" s="2235">
        <f>+AA201/'VVP2'!AA$341</f>
        <v>3.8928719432510715E-2</v>
      </c>
      <c r="AB221" s="2235">
        <f>+AB201/'VVP2'!AB$341</f>
        <v>4.0274829627974525E-2</v>
      </c>
      <c r="AC221" s="2235">
        <f ca="1">+AC201/'VVP2'!AC$341</f>
        <v>4.0048918337033633E-2</v>
      </c>
      <c r="AD221" s="2235">
        <f ca="1">+AD201/'VVP2'!AD$341</f>
        <v>3.9208384399170855E-2</v>
      </c>
      <c r="AE221" s="2235">
        <f ca="1">+AE201/'VVP2'!AE$341</f>
        <v>3.9124910275313299E-2</v>
      </c>
    </row>
    <row r="222" spans="1:31" ht="12.75" customHeight="1">
      <c r="A222" s="664"/>
      <c r="B222" s="664"/>
      <c r="C222" s="826" t="s">
        <v>1767</v>
      </c>
      <c r="D222" s="674" t="s">
        <v>686</v>
      </c>
      <c r="E222" s="783" t="s">
        <v>978</v>
      </c>
      <c r="F222" s="704" t="s">
        <v>1966</v>
      </c>
      <c r="G222" s="839">
        <f>+G202/'VVP2'!G$341</f>
        <v>2.0547283608924171E-2</v>
      </c>
      <c r="H222" s="839">
        <f>+H202/'VVP2'!H$341</f>
        <v>1.1501778333667898E-2</v>
      </c>
      <c r="I222" s="839">
        <f>+I202/'VVP2'!I$341</f>
        <v>1.5338176818481895E-2</v>
      </c>
      <c r="J222" s="839">
        <f>+J202/'VVP2'!J$341</f>
        <v>1.2905123345487162E-2</v>
      </c>
      <c r="K222" s="839">
        <f>+K202/'VVP2'!K$341</f>
        <v>8.2205272465245647E-3</v>
      </c>
      <c r="L222" s="839">
        <f>+L202/'VVP2'!L$341</f>
        <v>6.7526020744783496E-3</v>
      </c>
      <c r="M222" s="839">
        <f>+M202/'VVP2'!M$341</f>
        <v>5.2893651916373352E-3</v>
      </c>
      <c r="N222" s="839">
        <f>+N202/'VVP2'!N$341</f>
        <v>5.8603475688010333E-3</v>
      </c>
      <c r="O222" s="839">
        <f>+O202/'VVP2'!O$341</f>
        <v>1.3628117260842022E-2</v>
      </c>
      <c r="P222" s="839">
        <f>+P202/'VVP2'!P$341</f>
        <v>1.8516020642931244E-2</v>
      </c>
      <c r="Q222" s="839">
        <f>+Q202/'VVP2'!Q$341</f>
        <v>2.0779579428016389E-2</v>
      </c>
      <c r="R222" s="2280">
        <f>+R202/'VVP2'!R$341</f>
        <v>2.7504674162492242E-2</v>
      </c>
      <c r="S222" s="2280">
        <f>+S202/'VVP2'!S$341</f>
        <v>2.5254935666062687E-2</v>
      </c>
      <c r="T222" s="2280">
        <f>+T202/'VVP2'!T$341</f>
        <v>2.7100636525011407E-2</v>
      </c>
      <c r="U222" s="2910">
        <f>+U202/'VVP2'!U$341</f>
        <v>1.8138231478806988E-2</v>
      </c>
      <c r="V222" s="2218">
        <f>+V202/'VVP2'!V$341</f>
        <v>9.8456310658827737E-3</v>
      </c>
      <c r="W222" s="2218">
        <f>+W202/'VVP2'!W$341</f>
        <v>8.0561925505478436E-3</v>
      </c>
      <c r="X222" s="2218">
        <f>+X202/'VVP2'!X$341</f>
        <v>1.2900138177212273E-2</v>
      </c>
      <c r="Y222" s="2218">
        <f>+Y202/'VVP2'!Y$341</f>
        <v>1.3594243649464453E-2</v>
      </c>
      <c r="Z222" s="2218">
        <f>+Z202/'VVP2'!Z$341</f>
        <v>1.3632579929928342E-2</v>
      </c>
      <c r="AA222" s="2218">
        <f>+AA202/'VVP2'!AA$341</f>
        <v>1.530087817197443E-2</v>
      </c>
      <c r="AB222" s="2218">
        <f>+AB202/'VVP2'!AB$341</f>
        <v>1.6177584130885436E-2</v>
      </c>
      <c r="AC222" s="2218">
        <f ca="1">+AC202/'VVP2'!AC$341</f>
        <v>1.5103066499929409E-2</v>
      </c>
      <c r="AD222" s="2218">
        <f ca="1">+AD202/'VVP2'!AD$341</f>
        <v>1.4700454437127993E-2</v>
      </c>
      <c r="AE222" s="2218">
        <f ca="1">+AE202/'VVP2'!AE$341</f>
        <v>1.4745740533174073E-2</v>
      </c>
    </row>
    <row r="223" spans="1:31" ht="12.75" customHeight="1">
      <c r="A223" s="664"/>
      <c r="B223" s="664"/>
      <c r="C223" s="826" t="s">
        <v>1767</v>
      </c>
      <c r="D223" s="674" t="s">
        <v>687</v>
      </c>
      <c r="E223" s="783" t="s">
        <v>978</v>
      </c>
      <c r="F223" s="704" t="s">
        <v>384</v>
      </c>
      <c r="G223" s="839">
        <f>+G203/'VVP2'!G$341</f>
        <v>0</v>
      </c>
      <c r="H223" s="839">
        <f>+H203/'VVP2'!H$341</f>
        <v>0</v>
      </c>
      <c r="I223" s="839">
        <f>+I203/'VVP2'!I$341</f>
        <v>0</v>
      </c>
      <c r="J223" s="839">
        <f>+J203/'VVP2'!J$341</f>
        <v>0</v>
      </c>
      <c r="K223" s="839">
        <f>+K203/'VVP2'!K$341</f>
        <v>0</v>
      </c>
      <c r="L223" s="839">
        <f>+L203/'VVP2'!L$341</f>
        <v>0</v>
      </c>
      <c r="M223" s="839">
        <f>+M203/'VVP2'!M$341</f>
        <v>0</v>
      </c>
      <c r="N223" s="839">
        <f>+N203/'VVP2'!N$341</f>
        <v>1.9734024813562799E-6</v>
      </c>
      <c r="O223" s="839">
        <f>+O203/'VVP2'!O$341</f>
        <v>8.9990209065253713E-6</v>
      </c>
      <c r="P223" s="839">
        <f>+P203/'VVP2'!P$341</f>
        <v>1.7546052905736027E-5</v>
      </c>
      <c r="Q223" s="839">
        <f>+Q203/'VVP2'!Q$341</f>
        <v>1.1427292660107083E-5</v>
      </c>
      <c r="R223" s="2280">
        <f>+R203/'VVP2'!R$341</f>
        <v>3.903787421332454E-5</v>
      </c>
      <c r="S223" s="2280">
        <f>+S203/'VVP2'!S$341</f>
        <v>3.2024065568757736E-5</v>
      </c>
      <c r="T223" s="2280">
        <f>+T203/'VVP2'!T$341</f>
        <v>5.1687837270784315E-5</v>
      </c>
      <c r="U223" s="2910">
        <f>+U203/'VVP2'!U$341</f>
        <v>2.6731197758143552E-5</v>
      </c>
      <c r="V223" s="2218">
        <f>+V203/'VVP2'!V$341</f>
        <v>1.0703711975955183E-5</v>
      </c>
      <c r="W223" s="2218">
        <f>+W203/'VVP2'!W$341</f>
        <v>2.909642491267875E-5</v>
      </c>
      <c r="X223" s="2218">
        <f>+X203/'VVP2'!X$341</f>
        <v>8.1263074059147525E-5</v>
      </c>
      <c r="Y223" s="2218">
        <f>+Y203/'VVP2'!Y$341</f>
        <v>4.0618255617547646E-5</v>
      </c>
      <c r="Z223" s="2218">
        <f>+Z203/'VVP2'!Z$341</f>
        <v>3.4182630410836935E-5</v>
      </c>
      <c r="AA223" s="2218">
        <f>+AA203/'VVP2'!AA$341</f>
        <v>3.2597128086139778E-5</v>
      </c>
      <c r="AB223" s="2218">
        <f>+AB203/'VVP2'!AB$341</f>
        <v>5.4049413059579518E-5</v>
      </c>
      <c r="AC223" s="2218">
        <f ca="1">+AC203/'VVP2'!AC$341</f>
        <v>5.102490834318465E-5</v>
      </c>
      <c r="AD223" s="2218">
        <f ca="1">+AD203/'VVP2'!AD$341</f>
        <v>4.9182523263198875E-5</v>
      </c>
      <c r="AE223" s="2218">
        <f ca="1">+AE203/'VVP2'!AE$341</f>
        <v>4.7517200397033765E-5</v>
      </c>
    </row>
    <row r="224" spans="1:31" ht="12.75" customHeight="1">
      <c r="A224" s="664"/>
      <c r="B224" s="664"/>
      <c r="C224" s="827" t="s">
        <v>1767</v>
      </c>
      <c r="D224" s="828" t="s">
        <v>688</v>
      </c>
      <c r="E224" s="829" t="s">
        <v>979</v>
      </c>
      <c r="F224" s="830" t="s">
        <v>980</v>
      </c>
      <c r="G224" s="840">
        <f>+G204/'VVP2'!G$341</f>
        <v>0</v>
      </c>
      <c r="H224" s="840">
        <f>+H204/'VVP2'!H$341</f>
        <v>0</v>
      </c>
      <c r="I224" s="840">
        <f>+I204/'VVP2'!I$341</f>
        <v>0</v>
      </c>
      <c r="J224" s="840">
        <f>+J204/'VVP2'!J$341</f>
        <v>0</v>
      </c>
      <c r="K224" s="840">
        <f>+K204/'VVP2'!K$341</f>
        <v>0</v>
      </c>
      <c r="L224" s="840">
        <f>+L204/'VVP2'!L$341</f>
        <v>0</v>
      </c>
      <c r="M224" s="840">
        <f>+M204/'VVP2'!M$341</f>
        <v>0</v>
      </c>
      <c r="N224" s="840">
        <f>+N204/'VVP2'!N$341</f>
        <v>0</v>
      </c>
      <c r="O224" s="840">
        <f>+O204/'VVP2'!O$341</f>
        <v>0</v>
      </c>
      <c r="P224" s="840">
        <f>+P204/'VVP2'!P$341</f>
        <v>3.1760551048670691E-5</v>
      </c>
      <c r="Q224" s="840" t="e">
        <f>+Q204/'VVP2'!Q$341</f>
        <v>#VALUE!</v>
      </c>
      <c r="R224" s="2281" t="e">
        <f>+R204/'VVP2'!R$341</f>
        <v>#VALUE!</v>
      </c>
      <c r="S224" s="2281" t="e">
        <f>+S204/'VVP2'!S$341</f>
        <v>#VALUE!</v>
      </c>
      <c r="T224" s="2281">
        <f>+T204/'VVP2'!T$341</f>
        <v>-2.7526067185624782E-4</v>
      </c>
      <c r="U224" s="2911">
        <f>+U204/'VVP2'!U$341</f>
        <v>1.1137999065893145E-4</v>
      </c>
      <c r="V224" s="2237">
        <f>+V204/'VVP2'!V$341</f>
        <v>-7.8493887823671328E-4</v>
      </c>
      <c r="W224" s="2237">
        <f>+W204/'VVP2'!W$341</f>
        <v>-5.4355958628081187E-4</v>
      </c>
      <c r="X224" s="2237">
        <f>+X204/'VVP2'!X$341</f>
        <v>-1.199454967662694E-4</v>
      </c>
      <c r="Y224" s="2237">
        <f>+Y204/'VVP2'!Y$341</f>
        <v>-1.7162643218682108E-4</v>
      </c>
      <c r="Z224" s="2237">
        <f>+Z204/'VVP2'!Z$341</f>
        <v>8.2038312986008641E-5</v>
      </c>
      <c r="AA224" s="2237">
        <f>+AA204/'VVP2'!AA$341</f>
        <v>2.6718957447655556E-5</v>
      </c>
      <c r="AB224" s="2237">
        <f>+AB204/'VVP2'!AB$341</f>
        <v>2.3274866867761514E-4</v>
      </c>
      <c r="AC224" s="2237">
        <f ca="1">+AC204/'VVP2'!AC$341</f>
        <v>2.1541616243956368E-4</v>
      </c>
      <c r="AD224" s="2237">
        <f ca="1">+AD204/'VVP2'!AD$341</f>
        <v>2.0356667630999024E-4</v>
      </c>
      <c r="AE224" s="2237">
        <f ca="1">+AE204/'VVP2'!AE$341</f>
        <v>1.9281754683418825E-4</v>
      </c>
    </row>
    <row r="225" spans="1:113" ht="12.75" customHeight="1">
      <c r="A225" s="664"/>
      <c r="B225" s="664"/>
      <c r="C225" s="774" t="s">
        <v>1769</v>
      </c>
      <c r="D225" s="806" t="s">
        <v>687</v>
      </c>
      <c r="E225" s="807" t="s">
        <v>614</v>
      </c>
      <c r="F225" s="808" t="s">
        <v>1803</v>
      </c>
      <c r="G225" s="841">
        <f>+G205/'VVP2'!G$341</f>
        <v>8.4077207506442778E-2</v>
      </c>
      <c r="H225" s="841">
        <f>+H205/'VVP2'!H$341</f>
        <v>8.0026559194576991E-2</v>
      </c>
      <c r="I225" s="841">
        <f>+I205/'VVP2'!I$341</f>
        <v>8.7442875249267762E-2</v>
      </c>
      <c r="J225" s="841">
        <f>+J205/'VVP2'!J$341</f>
        <v>8.9878175021271767E-2</v>
      </c>
      <c r="K225" s="841">
        <f>+K205/'VVP2'!K$341</f>
        <v>9.1221106223371762E-2</v>
      </c>
      <c r="L225" s="841">
        <f>+L205/'VVP2'!L$341</f>
        <v>8.3668831508851613E-2</v>
      </c>
      <c r="M225" s="841">
        <f>+M205/'VVP2'!M$341</f>
        <v>7.7598256228459991E-2</v>
      </c>
      <c r="N225" s="841">
        <f>+N205/'VVP2'!N$341</f>
        <v>7.420980031140291E-2</v>
      </c>
      <c r="O225" s="841">
        <f>+O205/'VVP2'!O$341</f>
        <v>7.8817024707711805E-2</v>
      </c>
      <c r="P225" s="841">
        <f>+P205/'VVP2'!P$341</f>
        <v>8.6577159864281286E-2</v>
      </c>
      <c r="Q225" s="841">
        <f>+Q205/'VVP2'!Q$341</f>
        <v>8.9441419650658133E-2</v>
      </c>
      <c r="R225" s="2282">
        <f>+R205/'VVP2'!R$341</f>
        <v>9.549619214607806E-2</v>
      </c>
      <c r="S225" s="2282">
        <f>+S205/'VVP2'!S$341</f>
        <v>9.0689743277184473E-2</v>
      </c>
      <c r="T225" s="2282">
        <f>+T205/'VVP2'!T$341</f>
        <v>9.2261260302395245E-2</v>
      </c>
      <c r="U225" s="2912">
        <f>+U205/'VVP2'!U$341</f>
        <v>5.9339917623358905E-2</v>
      </c>
      <c r="V225" s="2236">
        <f>+V205/'VVP2'!V$341</f>
        <v>4.617046160828267E-2</v>
      </c>
      <c r="W225" s="2236">
        <f>+W205/'VVP2'!W$341</f>
        <v>4.3455350736619158E-2</v>
      </c>
      <c r="X225" s="2236">
        <f>+X205/'VVP2'!X$341</f>
        <v>4.8204595831654096E-2</v>
      </c>
      <c r="Y225" s="2236">
        <f>+Y205/'VVP2'!Y$341</f>
        <v>4.9662682549739483E-2</v>
      </c>
      <c r="Z225" s="2236">
        <f>+Z205/'VVP2'!Z$341</f>
        <v>5.0227410203597216E-2</v>
      </c>
      <c r="AA225" s="2236">
        <f>+AA205/'VVP2'!AA$341</f>
        <v>5.429799813555114E-2</v>
      </c>
      <c r="AB225" s="2236">
        <f>+AB205/'VVP2'!AB$341</f>
        <v>5.6751883712558501E-2</v>
      </c>
      <c r="AC225" s="2236">
        <f ca="1">+AC205/'VVP2'!AC$341</f>
        <v>5.5418425907745789E-2</v>
      </c>
      <c r="AD225" s="2236">
        <f ca="1">+AD205/'VVP2'!AD$341</f>
        <v>5.4161588035872024E-2</v>
      </c>
      <c r="AE225" s="2236">
        <f ca="1">+AE205/'VVP2'!AE$341</f>
        <v>5.4110985555718596E-2</v>
      </c>
    </row>
    <row r="226" spans="1:113" ht="12.75" customHeight="1">
      <c r="A226" s="664"/>
      <c r="B226" s="664"/>
      <c r="C226" s="774"/>
      <c r="Q226" s="699"/>
      <c r="T226" s="2286"/>
      <c r="AB226" s="2221"/>
      <c r="AC226" s="2221"/>
      <c r="AD226" s="2221"/>
      <c r="AE226" s="2221"/>
    </row>
    <row r="227" spans="1:113" ht="12.75" customHeight="1">
      <c r="A227" s="664"/>
      <c r="B227" s="664"/>
      <c r="C227" s="774"/>
      <c r="D227" s="814" t="s">
        <v>685</v>
      </c>
      <c r="E227" s="3283" t="s">
        <v>1532</v>
      </c>
      <c r="F227" s="816"/>
      <c r="G227" s="817">
        <f>+InputY!$G$3</f>
        <v>1995</v>
      </c>
      <c r="H227" s="821">
        <f>+G227+1</f>
        <v>1996</v>
      </c>
      <c r="I227" s="821">
        <f t="shared" ref="I227:O227" si="207">+H227+1</f>
        <v>1997</v>
      </c>
      <c r="J227" s="821">
        <f t="shared" si="207"/>
        <v>1998</v>
      </c>
      <c r="K227" s="821">
        <f>+J227+1</f>
        <v>1999</v>
      </c>
      <c r="L227" s="821">
        <f t="shared" si="207"/>
        <v>2000</v>
      </c>
      <c r="M227" s="821">
        <f t="shared" si="207"/>
        <v>2001</v>
      </c>
      <c r="N227" s="821">
        <f t="shared" si="207"/>
        <v>2002</v>
      </c>
      <c r="O227" s="821">
        <f t="shared" si="207"/>
        <v>2003</v>
      </c>
      <c r="P227" s="821">
        <f t="shared" ref="P227:U227" si="208">+O227+1</f>
        <v>2004</v>
      </c>
      <c r="Q227" s="821">
        <f t="shared" si="208"/>
        <v>2005</v>
      </c>
      <c r="R227" s="2255">
        <f t="shared" si="208"/>
        <v>2006</v>
      </c>
      <c r="S227" s="2255">
        <f>+R227+1</f>
        <v>2007</v>
      </c>
      <c r="T227" s="2255">
        <f t="shared" si="208"/>
        <v>2008</v>
      </c>
      <c r="U227" s="2255">
        <f t="shared" si="208"/>
        <v>2009</v>
      </c>
      <c r="V227" s="2255">
        <f t="shared" ref="V227:AE227" si="209">+U227+1</f>
        <v>2010</v>
      </c>
      <c r="W227" s="2255">
        <f t="shared" si="209"/>
        <v>2011</v>
      </c>
      <c r="X227" s="2255">
        <f t="shared" si="209"/>
        <v>2012</v>
      </c>
      <c r="Y227" s="2255">
        <f t="shared" si="209"/>
        <v>2013</v>
      </c>
      <c r="Z227" s="2255">
        <f t="shared" si="209"/>
        <v>2014</v>
      </c>
      <c r="AA227" s="2255">
        <f t="shared" si="209"/>
        <v>2015</v>
      </c>
      <c r="AB227" s="2255">
        <f t="shared" si="209"/>
        <v>2016</v>
      </c>
      <c r="AC227" s="2255">
        <f t="shared" si="209"/>
        <v>2017</v>
      </c>
      <c r="AD227" s="2255">
        <f t="shared" si="209"/>
        <v>2018</v>
      </c>
      <c r="AE227" s="2255">
        <f t="shared" si="209"/>
        <v>2019</v>
      </c>
    </row>
    <row r="228" spans="1:113" s="884" customFormat="1" ht="12.75" customHeight="1">
      <c r="A228" s="664"/>
      <c r="B228" s="664"/>
      <c r="C228" s="822"/>
      <c r="D228" s="1041"/>
      <c r="E228" s="1042" t="s">
        <v>1080</v>
      </c>
      <c r="F228" s="2097"/>
      <c r="G228" s="1044"/>
      <c r="H228" s="1048" t="e">
        <f>+H209/Labour1!H197</f>
        <v>#VALUE!</v>
      </c>
      <c r="I228" s="1048" t="e">
        <f>+I209/Labour1!I197</f>
        <v>#VALUE!</v>
      </c>
      <c r="J228" s="1048" t="e">
        <f>+J209/Labour1!J197</f>
        <v>#VALUE!</v>
      </c>
      <c r="K228" s="1048" t="e">
        <f>+K209/Labour1!K197</f>
        <v>#VALUE!</v>
      </c>
      <c r="L228" s="1048" t="e">
        <f>+L209/Labour1!L197</f>
        <v>#VALUE!</v>
      </c>
      <c r="M228" s="1048">
        <f>+M209/Labour1!M197</f>
        <v>-2.5231087711476138E-2</v>
      </c>
      <c r="N228" s="1048">
        <f>+N209/Labour1!N197</f>
        <v>0.24794692749107164</v>
      </c>
      <c r="O228" s="1048">
        <f>+O209/Labour1!O197</f>
        <v>0.51202323367860603</v>
      </c>
      <c r="P228" s="1048">
        <f>+P209/Labour1!P197</f>
        <v>1.1764545806731499</v>
      </c>
      <c r="Q228" s="1048">
        <f>+Q209/Labour1!Q197</f>
        <v>1.1711294222315622</v>
      </c>
      <c r="R228" s="2277">
        <f>+R209/Labour1!R197</f>
        <v>0.65054815428973722</v>
      </c>
      <c r="S228" s="2277">
        <f>+S209/Labour1!S197</f>
        <v>1.1414419286030162</v>
      </c>
      <c r="T228" s="2277">
        <f>+T209/Labour1!T197</f>
        <v>0.89529941993256101</v>
      </c>
      <c r="U228" s="3002">
        <f>+U209/Labour1!U197</f>
        <v>5.1940957678010244</v>
      </c>
      <c r="V228" s="3003">
        <f>+V209/Labour1!V197</f>
        <v>43.83069385504735</v>
      </c>
      <c r="W228" s="3003">
        <f>+W209/Labour1!W197</f>
        <v>1.2633792639025441</v>
      </c>
      <c r="X228" s="3003">
        <f>+X209/Labour1!X197</f>
        <v>1.1561793043331019</v>
      </c>
      <c r="Y228" s="3003">
        <f>+Y209/Labour1!Y197</f>
        <v>1.3869785221739301</v>
      </c>
      <c r="Z228" s="3003">
        <f>+Z209/Labour1!Z197</f>
        <v>1.1384354817946822</v>
      </c>
      <c r="AA228" s="3003">
        <f>+AA209/Labour1!AA197</f>
        <v>1.6029961078352553</v>
      </c>
      <c r="AB228" s="3003">
        <f>+AB209/Labour1!AB197</f>
        <v>1.1046164576027058</v>
      </c>
      <c r="AC228" s="3003">
        <f>+AC209/Labour1!AC197</f>
        <v>0.82336401138143789</v>
      </c>
      <c r="AD228" s="3003">
        <f>+AD209/Labour1!AD197</f>
        <v>0.54240675051930043</v>
      </c>
      <c r="AE228" s="3003">
        <f>+AE209/Labour1!AE197</f>
        <v>0.88665205224616339</v>
      </c>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row>
    <row r="229" spans="1:113" s="885" customFormat="1" ht="12.75" customHeight="1" thickBot="1">
      <c r="A229" s="664"/>
      <c r="B229" s="664"/>
      <c r="C229" s="826"/>
      <c r="D229" s="806"/>
      <c r="E229" s="807" t="s">
        <v>654</v>
      </c>
      <c r="F229" s="808"/>
      <c r="G229" s="809"/>
      <c r="H229" s="809"/>
      <c r="I229" s="809"/>
      <c r="J229" s="809"/>
      <c r="K229" s="809" t="e">
        <f>AVERAGE(H228:K228)</f>
        <v>#VALUE!</v>
      </c>
      <c r="L229" s="809" t="e">
        <f>AVERAGE(I228:L228)</f>
        <v>#VALUE!</v>
      </c>
      <c r="M229" s="809" t="e">
        <f>AVERAGE(J228:M228)</f>
        <v>#VALUE!</v>
      </c>
      <c r="N229" s="809" t="e">
        <f t="shared" ref="N229:T229" si="210">AVERAGE(K228:N228)</f>
        <v>#VALUE!</v>
      </c>
      <c r="O229" s="809" t="e">
        <f t="shared" si="210"/>
        <v>#VALUE!</v>
      </c>
      <c r="P229" s="809">
        <f t="shared" si="210"/>
        <v>0.47779841353283786</v>
      </c>
      <c r="Q229" s="809">
        <f t="shared" si="210"/>
        <v>0.7768885410185975</v>
      </c>
      <c r="R229" s="2283">
        <f t="shared" si="210"/>
        <v>0.87753884771826385</v>
      </c>
      <c r="S229" s="2283">
        <f t="shared" si="210"/>
        <v>1.0348935214493664</v>
      </c>
      <c r="T229" s="2283">
        <f t="shared" si="210"/>
        <v>0.9646047312642192</v>
      </c>
      <c r="U229" s="3007">
        <f t="shared" ref="U229:AE229" si="211">AVERAGE(R228:U228)</f>
        <v>1.9703463176565847</v>
      </c>
      <c r="V229" s="3008">
        <f t="shared" si="211"/>
        <v>12.765382742845988</v>
      </c>
      <c r="W229" s="3008">
        <f t="shared" si="211"/>
        <v>12.79586707667087</v>
      </c>
      <c r="X229" s="3008">
        <f t="shared" si="211"/>
        <v>12.861087047771004</v>
      </c>
      <c r="Y229" s="3008">
        <f t="shared" si="211"/>
        <v>11.909307736364232</v>
      </c>
      <c r="Z229" s="3008">
        <f t="shared" si="211"/>
        <v>1.2362431430510648</v>
      </c>
      <c r="AA229" s="3008">
        <f t="shared" si="211"/>
        <v>1.3211473540342424</v>
      </c>
      <c r="AB229" s="3008">
        <f t="shared" si="211"/>
        <v>1.3082566423516435</v>
      </c>
      <c r="AC229" s="3008">
        <f t="shared" si="211"/>
        <v>1.1673530146535203</v>
      </c>
      <c r="AD229" s="3008">
        <f t="shared" si="211"/>
        <v>1.0183458318346748</v>
      </c>
      <c r="AE229" s="3008">
        <f t="shared" si="211"/>
        <v>0.83925981793740201</v>
      </c>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row>
    <row r="230" spans="1:113" s="885" customFormat="1" ht="12.75" customHeight="1" thickBot="1">
      <c r="A230" s="664"/>
      <c r="B230" s="664"/>
      <c r="C230" s="826"/>
      <c r="D230" s="1041"/>
      <c r="E230" s="1042" t="s">
        <v>656</v>
      </c>
      <c r="F230" s="2097">
        <v>1.0900000000000001</v>
      </c>
      <c r="G230" s="1044"/>
      <c r="H230" s="1044">
        <f>+H209/'VVP2'!H348</f>
        <v>1.3916325268648722</v>
      </c>
      <c r="I230" s="1044">
        <f>+I209/'VVP2'!I348</f>
        <v>1.3047029560694494</v>
      </c>
      <c r="J230" s="1044">
        <f>+J209/'VVP2'!J348</f>
        <v>1.6775593526432164</v>
      </c>
      <c r="K230" s="1044">
        <f>+K209/'VVP2'!K348</f>
        <v>-2.2119358862131744</v>
      </c>
      <c r="L230" s="1044">
        <f>+L209/'VVP2'!L348</f>
        <v>-0.49342440144299721</v>
      </c>
      <c r="M230" s="1044">
        <f>+M209/'VVP2'!M348</f>
        <v>-2.8792165345208565E-2</v>
      </c>
      <c r="N230" s="1044">
        <f>+N209/'VVP2'!N348</f>
        <v>0.17333956766201847</v>
      </c>
      <c r="O230" s="1044">
        <f>+O209/'VVP2'!O348</f>
        <v>0.47306591371797085</v>
      </c>
      <c r="P230" s="1044">
        <f>+P209/'VVP2'!P348</f>
        <v>1.5080858126771826</v>
      </c>
      <c r="Q230" s="1044">
        <f>+Q209/'VVP2'!Q348</f>
        <v>1.0665990051374696</v>
      </c>
      <c r="R230" s="2269">
        <f>+R209/'VVP2'!R348</f>
        <v>0.92077592518180273</v>
      </c>
      <c r="S230" s="2269">
        <f>+S209/'VVP2'!S348</f>
        <v>0.78024383496087946</v>
      </c>
      <c r="T230" s="2269">
        <f>+T209/'VVP2'!T348</f>
        <v>1.0001060933352706</v>
      </c>
      <c r="U230" s="2269">
        <f>+U209/'VVP2'!U348</f>
        <v>2.7387576028355638</v>
      </c>
      <c r="V230" s="2269">
        <f>+V209/'VVP2'!V348</f>
        <v>-1.4769481005525535</v>
      </c>
      <c r="W230" s="2269">
        <f>+W209/'VVP2'!W348</f>
        <v>0.69271944988769896</v>
      </c>
      <c r="X230" s="2269">
        <f>+X209/'VVP2'!X348</f>
        <v>0.7396313709769099</v>
      </c>
      <c r="Y230" s="2269">
        <f>+Y209/'VVP2'!Y348</f>
        <v>1.5386269170856306</v>
      </c>
      <c r="Z230" s="2269">
        <f>+Z209/'VVP2'!Z348</f>
        <v>1.1665528101066907</v>
      </c>
      <c r="AA230" s="2269">
        <f>+AA209/'VVP2'!AA348</f>
        <v>3.9328771787562289</v>
      </c>
      <c r="AB230" s="2269">
        <f>+AB209/'VVP2'!AB348</f>
        <v>2.076826218344312</v>
      </c>
      <c r="AC230" s="2257">
        <f ca="1">+AC209/'VVP2'!AC348</f>
        <v>0.92467657391164026</v>
      </c>
      <c r="AD230" s="2257">
        <f ca="1">+AD209/'VVP2'!AD348</f>
        <v>0.61845722818896953</v>
      </c>
      <c r="AE230" s="2257">
        <f ca="1">+AE209/'VVP2'!AE348</f>
        <v>0.95968131920370647</v>
      </c>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row>
    <row r="231" spans="1:113" s="884" customFormat="1" ht="12.75" customHeight="1">
      <c r="A231" s="664"/>
      <c r="B231" s="664"/>
      <c r="C231" s="826"/>
      <c r="D231" s="806"/>
      <c r="E231" s="807" t="s">
        <v>654</v>
      </c>
      <c r="F231" s="808"/>
      <c r="G231" s="809"/>
      <c r="H231" s="809"/>
      <c r="I231" s="809"/>
      <c r="J231" s="809"/>
      <c r="K231" s="809">
        <f>AVERAGE(H230:K230)</f>
        <v>0.54048973734109085</v>
      </c>
      <c r="L231" s="809">
        <f>AVERAGE(I230:L230)</f>
        <v>6.9225505264123507E-2</v>
      </c>
      <c r="M231" s="809">
        <f>AVERAGE(J230:M230)</f>
        <v>-0.26414827508954092</v>
      </c>
      <c r="N231" s="809">
        <f t="shared" ref="N231:T231" si="212">AVERAGE(K230:N230)</f>
        <v>-0.64020322133484042</v>
      </c>
      <c r="O231" s="809">
        <f t="shared" si="212"/>
        <v>3.1047228647945901E-2</v>
      </c>
      <c r="P231" s="809">
        <f t="shared" si="212"/>
        <v>0.53142478217799083</v>
      </c>
      <c r="Q231" s="809">
        <f t="shared" si="212"/>
        <v>0.80527257479866032</v>
      </c>
      <c r="R231" s="2283">
        <f t="shared" si="212"/>
        <v>0.99213166417860643</v>
      </c>
      <c r="S231" s="2283">
        <f t="shared" si="212"/>
        <v>1.0689261444893334</v>
      </c>
      <c r="T231" s="2283">
        <f t="shared" si="212"/>
        <v>0.94193121465385565</v>
      </c>
      <c r="U231" s="3007">
        <f t="shared" ref="U231:Z231" si="213">AVERAGE(R230:U230)</f>
        <v>1.3599708640783792</v>
      </c>
      <c r="V231" s="3008">
        <f t="shared" si="213"/>
        <v>0.76053985764479004</v>
      </c>
      <c r="W231" s="3008">
        <f t="shared" si="213"/>
        <v>0.73865876137649489</v>
      </c>
      <c r="X231" s="3008">
        <f>AVERAGE(U230:X230)</f>
        <v>0.67354008078690475</v>
      </c>
      <c r="Y231" s="3008">
        <f>AVERAGE(V230:Y230)</f>
        <v>0.3735074093494215</v>
      </c>
      <c r="Z231" s="3008">
        <f t="shared" si="213"/>
        <v>1.0343826370142324</v>
      </c>
      <c r="AA231" s="3008">
        <f>AVERAGE(X230:AA230)</f>
        <v>1.8444220692313651</v>
      </c>
      <c r="AB231" s="3008">
        <f>AVERAGE(Y230:AB230)</f>
        <v>2.1787207810732157</v>
      </c>
      <c r="AC231" s="3008">
        <f ca="1">AVERAGE(Z230:AC230)</f>
        <v>2.0252331952797178</v>
      </c>
      <c r="AD231" s="3008">
        <f ca="1">AVERAGE(AA230:AD230)</f>
        <v>1.8882092998002875</v>
      </c>
      <c r="AE231" s="3008">
        <f ca="1">AVERAGE(AB230:AE230)</f>
        <v>1.1449103349121572</v>
      </c>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row>
    <row r="232" spans="1:113" s="884" customFormat="1" ht="12.75" customHeight="1">
      <c r="A232" s="664"/>
      <c r="B232" s="664"/>
      <c r="C232" s="826"/>
      <c r="D232" s="1041"/>
      <c r="E232" s="1042" t="s">
        <v>662</v>
      </c>
      <c r="F232" s="1043"/>
      <c r="G232" s="1502">
        <f>+G201/'VVP2'!G341</f>
        <v>6.3531211805479534E-2</v>
      </c>
      <c r="H232" s="1502">
        <f>+H201/'VVP2'!H341</f>
        <v>6.8524780860909074E-2</v>
      </c>
      <c r="I232" s="1502">
        <f>+I201/'VVP2'!I341</f>
        <v>7.2104698430785874E-2</v>
      </c>
      <c r="J232" s="1502">
        <f>+J201/'VVP2'!J341</f>
        <v>7.6973051675784596E-2</v>
      </c>
      <c r="K232" s="1502">
        <f>+K201/'VVP2'!K341</f>
        <v>8.2999792323522184E-2</v>
      </c>
      <c r="L232" s="1502">
        <f>+L201/'VVP2'!L341</f>
        <v>7.6916229434373262E-2</v>
      </c>
      <c r="M232" s="1502">
        <f>+M201/'VVP2'!M341</f>
        <v>7.2309595534051183E-2</v>
      </c>
      <c r="N232" s="1502">
        <f>+N201/'VVP2'!N341</f>
        <v>6.8347479340120518E-2</v>
      </c>
      <c r="O232" s="1502">
        <f>+O201/'VVP2'!O341</f>
        <v>6.5179308491236168E-2</v>
      </c>
      <c r="P232" s="1502">
        <f>+P201/'VVP2'!P341</f>
        <v>6.8028788686305089E-2</v>
      </c>
      <c r="Q232" s="1502">
        <f>+Q201/'VVP2'!Q341</f>
        <v>6.862517765869057E-2</v>
      </c>
      <c r="R232" s="2284">
        <f>+R201/'VVP2'!R341</f>
        <v>6.793046939306073E-2</v>
      </c>
      <c r="S232" s="2284">
        <f>+S201/'VVP2'!S341</f>
        <v>6.5380056789342944E-2</v>
      </c>
      <c r="T232" s="2284">
        <f>+T201/'VVP2'!T341</f>
        <v>6.5380832314868853E-2</v>
      </c>
      <c r="U232" s="3009">
        <f>+U201/'VVP2'!U341</f>
        <v>4.1063946222770376E-2</v>
      </c>
      <c r="V232" s="2229">
        <f>+V201/'VVP2'!V341</f>
        <v>3.7097995337463066E-2</v>
      </c>
      <c r="W232" s="2229">
        <f>+W201/'VVP2'!W341</f>
        <v>3.5914260829305662E-2</v>
      </c>
      <c r="X232" s="2229">
        <f>+X201/'VVP2'!X341</f>
        <v>3.5332944709923805E-2</v>
      </c>
      <c r="Y232" s="2229">
        <f>+Y201/'VVP2'!Y341</f>
        <v>3.6210030706829162E-2</v>
      </c>
      <c r="Z232" s="2229">
        <f>+Z201/'VVP2'!Z341</f>
        <v>3.6475327797752581E-2</v>
      </c>
      <c r="AA232" s="2229">
        <f>+AA201/'VVP2'!AA341</f>
        <v>3.8928719432510715E-2</v>
      </c>
      <c r="AB232" s="2229">
        <f>+AB201/'VVP2'!AB341</f>
        <v>4.0274829627974525E-2</v>
      </c>
      <c r="AC232" s="2229">
        <f ca="1">+AC201/'VVP2'!AC341</f>
        <v>4.0048918337033633E-2</v>
      </c>
      <c r="AD232" s="2229">
        <f ca="1">+AD201/'VVP2'!AD341</f>
        <v>3.9208384399170855E-2</v>
      </c>
      <c r="AE232" s="2229">
        <f ca="1">+AE201/'VVP2'!AE341</f>
        <v>3.9124910275313299E-2</v>
      </c>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row>
    <row r="233" spans="1:113" s="884" customFormat="1" ht="12.75" customHeight="1">
      <c r="A233" s="664"/>
      <c r="B233" s="664"/>
      <c r="C233" s="827"/>
      <c r="D233" s="1049"/>
      <c r="E233" s="1050" t="s">
        <v>654</v>
      </c>
      <c r="F233" s="1051"/>
      <c r="G233" s="1500"/>
      <c r="H233" s="1501"/>
      <c r="I233" s="1501"/>
      <c r="J233" s="1501">
        <f t="shared" ref="J233:T233" si="214">AVERAGE(G232:J232)</f>
        <v>7.0283435693239776E-2</v>
      </c>
      <c r="K233" s="1501">
        <f>AVERAGE(H232:K232)</f>
        <v>7.5150580822750432E-2</v>
      </c>
      <c r="L233" s="1501">
        <f>AVERAGE(I232:L232)</f>
        <v>7.7248442966116479E-2</v>
      </c>
      <c r="M233" s="1501">
        <f>AVERAGE(J232:M232)</f>
        <v>7.729966724193281E-2</v>
      </c>
      <c r="N233" s="1501">
        <f t="shared" si="214"/>
        <v>7.514327415801679E-2</v>
      </c>
      <c r="O233" s="1501">
        <f t="shared" si="214"/>
        <v>7.0688153199945286E-2</v>
      </c>
      <c r="P233" s="1501">
        <f t="shared" si="214"/>
        <v>6.8466293012928239E-2</v>
      </c>
      <c r="Q233" s="1501">
        <f t="shared" si="214"/>
        <v>6.7545188544088086E-2</v>
      </c>
      <c r="R233" s="2285">
        <f t="shared" si="214"/>
        <v>6.7440936057323139E-2</v>
      </c>
      <c r="S233" s="2285">
        <f t="shared" si="214"/>
        <v>6.7491123131849837E-2</v>
      </c>
      <c r="T233" s="2285">
        <f t="shared" si="214"/>
        <v>6.6829134038990767E-2</v>
      </c>
      <c r="U233" s="3010">
        <f t="shared" ref="U233:AE233" si="215">AVERAGE(R232:U232)</f>
        <v>5.9938826180010729E-2</v>
      </c>
      <c r="V233" s="2258">
        <f t="shared" si="215"/>
        <v>5.2230707666111306E-2</v>
      </c>
      <c r="W233" s="2258">
        <f t="shared" si="215"/>
        <v>4.4864258676101984E-2</v>
      </c>
      <c r="X233" s="2258">
        <f t="shared" si="215"/>
        <v>3.7352286774865726E-2</v>
      </c>
      <c r="Y233" s="2258">
        <f t="shared" si="215"/>
        <v>3.6138807895880427E-2</v>
      </c>
      <c r="Z233" s="2258">
        <f t="shared" si="215"/>
        <v>3.5983141010952804E-2</v>
      </c>
      <c r="AA233" s="2258">
        <f t="shared" si="215"/>
        <v>3.6736755661754071E-2</v>
      </c>
      <c r="AB233" s="2258">
        <f t="shared" si="215"/>
        <v>3.7972226891266746E-2</v>
      </c>
      <c r="AC233" s="2258">
        <f t="shared" ca="1" si="215"/>
        <v>3.8931948798817867E-2</v>
      </c>
      <c r="AD233" s="2258">
        <f t="shared" ca="1" si="215"/>
        <v>3.9615212949172432E-2</v>
      </c>
      <c r="AE233" s="2258">
        <f t="shared" ca="1" si="215"/>
        <v>3.966426065987308E-2</v>
      </c>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row>
    <row r="234" spans="1:113" ht="12.75" customHeight="1">
      <c r="A234" s="664"/>
      <c r="B234" s="664"/>
      <c r="C234" s="774"/>
      <c r="Q234" s="699"/>
      <c r="R234" s="2286"/>
      <c r="S234" s="2286"/>
      <c r="AB234" s="2221"/>
      <c r="AC234" s="2221"/>
      <c r="AD234" s="2221"/>
      <c r="AE234" s="2221"/>
    </row>
    <row r="235" spans="1:113" ht="12.75" customHeight="1">
      <c r="A235" s="664"/>
      <c r="B235" s="664"/>
      <c r="C235" s="774"/>
      <c r="D235" s="814" t="s">
        <v>686</v>
      </c>
      <c r="E235" s="2098" t="s">
        <v>978</v>
      </c>
      <c r="F235" s="816"/>
      <c r="G235" s="821">
        <f>+InputY!$G$3</f>
        <v>1995</v>
      </c>
      <c r="H235" s="821">
        <f>+G235+1</f>
        <v>1996</v>
      </c>
      <c r="I235" s="821">
        <f t="shared" ref="I235:O235" si="216">+H235+1</f>
        <v>1997</v>
      </c>
      <c r="J235" s="821">
        <f t="shared" si="216"/>
        <v>1998</v>
      </c>
      <c r="K235" s="821">
        <f>+J235+1</f>
        <v>1999</v>
      </c>
      <c r="L235" s="821">
        <f t="shared" si="216"/>
        <v>2000</v>
      </c>
      <c r="M235" s="821">
        <f t="shared" si="216"/>
        <v>2001</v>
      </c>
      <c r="N235" s="821">
        <f t="shared" si="216"/>
        <v>2002</v>
      </c>
      <c r="O235" s="821">
        <f t="shared" si="216"/>
        <v>2003</v>
      </c>
      <c r="P235" s="821">
        <f t="shared" ref="P235:W235" si="217">+O235+1</f>
        <v>2004</v>
      </c>
      <c r="Q235" s="821">
        <f t="shared" si="217"/>
        <v>2005</v>
      </c>
      <c r="R235" s="2255">
        <f t="shared" si="217"/>
        <v>2006</v>
      </c>
      <c r="S235" s="2255">
        <f t="shared" si="217"/>
        <v>2007</v>
      </c>
      <c r="T235" s="2255">
        <f t="shared" si="217"/>
        <v>2008</v>
      </c>
      <c r="U235" s="2255">
        <f t="shared" si="217"/>
        <v>2009</v>
      </c>
      <c r="V235" s="2255">
        <f t="shared" si="217"/>
        <v>2010</v>
      </c>
      <c r="W235" s="2255">
        <f t="shared" si="217"/>
        <v>2011</v>
      </c>
      <c r="X235" s="2255">
        <f t="shared" ref="X235:AE235" si="218">+W235+1</f>
        <v>2012</v>
      </c>
      <c r="Y235" s="2255">
        <f t="shared" si="218"/>
        <v>2013</v>
      </c>
      <c r="Z235" s="2255">
        <f t="shared" si="218"/>
        <v>2014</v>
      </c>
      <c r="AA235" s="2255">
        <f t="shared" si="218"/>
        <v>2015</v>
      </c>
      <c r="AB235" s="2255">
        <f t="shared" si="218"/>
        <v>2016</v>
      </c>
      <c r="AC235" s="2255">
        <f t="shared" si="218"/>
        <v>2017</v>
      </c>
      <c r="AD235" s="2255">
        <f t="shared" si="218"/>
        <v>2018</v>
      </c>
      <c r="AE235" s="2255">
        <f t="shared" si="218"/>
        <v>2019</v>
      </c>
    </row>
    <row r="236" spans="1:113" s="884" customFormat="1" ht="12.75" customHeight="1">
      <c r="A236" s="664"/>
      <c r="B236" s="664"/>
      <c r="C236" s="822"/>
      <c r="D236" s="1045"/>
      <c r="E236" s="1046" t="s">
        <v>783</v>
      </c>
      <c r="F236" s="1505">
        <v>1</v>
      </c>
      <c r="G236" s="1048"/>
      <c r="H236" s="1048">
        <f t="shared" ref="H236:R236" si="219">+H210/H119</f>
        <v>-1.0854599777088634</v>
      </c>
      <c r="I236" s="1048">
        <f t="shared" si="219"/>
        <v>4.0641897867190577</v>
      </c>
      <c r="J236" s="1048">
        <f t="shared" si="219"/>
        <v>-3.4543717615148872</v>
      </c>
      <c r="K236" s="1048">
        <f t="shared" si="219"/>
        <v>4.58706263121561</v>
      </c>
      <c r="L236" s="1048">
        <f t="shared" si="219"/>
        <v>-0.3984366034300828</v>
      </c>
      <c r="M236" s="1048">
        <f t="shared" si="219"/>
        <v>-0.7856872499320221</v>
      </c>
      <c r="N236" s="1048">
        <f t="shared" si="219"/>
        <v>1.8009747003632037</v>
      </c>
      <c r="O236" s="1048">
        <f t="shared" si="219"/>
        <v>11.233904670615594</v>
      </c>
      <c r="P236" s="1048">
        <f t="shared" si="219"/>
        <v>4.7321494208650146</v>
      </c>
      <c r="Q236" s="1048">
        <f t="shared" si="219"/>
        <v>1.7750595904828412</v>
      </c>
      <c r="R236" s="2277">
        <f t="shared" si="219"/>
        <v>4.7429760416812119</v>
      </c>
      <c r="S236" s="2277">
        <f t="shared" ref="S236:X236" si="220">+S210/S119</f>
        <v>0.42930203059041289</v>
      </c>
      <c r="T236" s="2277">
        <f t="shared" si="220"/>
        <v>2.4074074311119884</v>
      </c>
      <c r="U236" s="3002">
        <f t="shared" si="220"/>
        <v>2.3122391761238057</v>
      </c>
      <c r="V236" s="3003">
        <f t="shared" si="220"/>
        <v>-2.3440842930521044</v>
      </c>
      <c r="W236" s="3003">
        <f t="shared" si="220"/>
        <v>-0.48400924276643409</v>
      </c>
      <c r="X236" s="3003">
        <f t="shared" si="220"/>
        <v>10.657960810430289</v>
      </c>
      <c r="Y236" s="3003">
        <f t="shared" ref="Y236:AD236" si="221">+Y210/Y119</f>
        <v>2.3098581551185844</v>
      </c>
      <c r="Z236" s="3003">
        <f t="shared" si="221"/>
        <v>2.2694766337048971</v>
      </c>
      <c r="AA236" s="3003">
        <f t="shared" si="221"/>
        <v>-3.2401109214101549</v>
      </c>
      <c r="AB236" s="3003">
        <f t="shared" si="221"/>
        <v>-5.0741700836936232</v>
      </c>
      <c r="AC236" s="3003">
        <f t="shared" si="221"/>
        <v>9.0778475133256153E-2</v>
      </c>
      <c r="AD236" s="3003">
        <f t="shared" ca="1" si="221"/>
        <v>0.45389361342475965</v>
      </c>
      <c r="AE236" s="3003">
        <f t="shared" ref="AE236" ca="1" si="222">+AE210/AE119</f>
        <v>0.85157065686703515</v>
      </c>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row>
    <row r="237" spans="1:113" s="885" customFormat="1" ht="12.75" customHeight="1" thickBot="1">
      <c r="A237" s="664"/>
      <c r="B237" s="664"/>
      <c r="C237" s="826"/>
      <c r="D237" s="806"/>
      <c r="E237" s="807" t="s">
        <v>654</v>
      </c>
      <c r="F237" s="808"/>
      <c r="G237" s="809"/>
      <c r="H237" s="809"/>
      <c r="I237" s="809"/>
      <c r="J237" s="809"/>
      <c r="K237" s="809">
        <f>AVERAGE(H236:K236)</f>
        <v>1.0278551696777294</v>
      </c>
      <c r="L237" s="809">
        <f>AVERAGE(I236:L236)</f>
        <v>1.1996110132474245</v>
      </c>
      <c r="M237" s="809">
        <f>AVERAGE(J236:M236)</f>
        <v>-1.285824591534554E-2</v>
      </c>
      <c r="N237" s="809">
        <f t="shared" ref="N237:T237" si="223">AVERAGE(K236:N236)</f>
        <v>1.3009783695541772</v>
      </c>
      <c r="O237" s="809">
        <f t="shared" si="223"/>
        <v>2.962688879404173</v>
      </c>
      <c r="P237" s="809">
        <f t="shared" si="223"/>
        <v>4.2453353854779472</v>
      </c>
      <c r="Q237" s="809">
        <f t="shared" si="223"/>
        <v>4.8855220955816634</v>
      </c>
      <c r="R237" s="2283">
        <f t="shared" si="223"/>
        <v>5.6210224309111645</v>
      </c>
      <c r="S237" s="2283">
        <f t="shared" si="223"/>
        <v>2.9198717709048703</v>
      </c>
      <c r="T237" s="2283">
        <f t="shared" si="223"/>
        <v>2.3386862734666134</v>
      </c>
      <c r="U237" s="3007">
        <f t="shared" ref="U237:AE237" si="224">AVERAGE(R236:U236)</f>
        <v>2.4729811698768547</v>
      </c>
      <c r="V237" s="3008">
        <f t="shared" si="224"/>
        <v>0.7012160861935256</v>
      </c>
      <c r="W237" s="3008">
        <f t="shared" si="224"/>
        <v>0.47288826785431393</v>
      </c>
      <c r="X237" s="3008">
        <f t="shared" si="224"/>
        <v>2.5355266126838889</v>
      </c>
      <c r="Y237" s="3008">
        <f t="shared" si="224"/>
        <v>2.5349313574325838</v>
      </c>
      <c r="Z237" s="3008">
        <f t="shared" si="224"/>
        <v>3.6883215891218342</v>
      </c>
      <c r="AA237" s="3008">
        <f t="shared" si="224"/>
        <v>2.9992961694609042</v>
      </c>
      <c r="AB237" s="3008">
        <f t="shared" si="224"/>
        <v>-0.93373655407007417</v>
      </c>
      <c r="AC237" s="3008">
        <f t="shared" si="224"/>
        <v>-1.488506474066406</v>
      </c>
      <c r="AD237" s="3008">
        <f t="shared" ca="1" si="224"/>
        <v>-1.9424022291364407</v>
      </c>
      <c r="AE237" s="3008">
        <f t="shared" ca="1" si="224"/>
        <v>-0.91948183456714294</v>
      </c>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row>
    <row r="238" spans="1:113" s="885" customFormat="1" ht="12.75" customHeight="1" thickBot="1">
      <c r="A238" s="664"/>
      <c r="B238" s="664"/>
      <c r="C238" s="826"/>
      <c r="D238" s="1041"/>
      <c r="E238" s="1042" t="s">
        <v>656</v>
      </c>
      <c r="F238" s="2097">
        <v>1.57</v>
      </c>
      <c r="G238" s="1044"/>
      <c r="H238" s="1044">
        <f>+H210/'VVP2'!H348</f>
        <v>-1.1934778325258588</v>
      </c>
      <c r="I238" s="1044">
        <f>+I210/'VVP2'!I348</f>
        <v>2.9454049357715131</v>
      </c>
      <c r="J238" s="1044">
        <f>+J210/'VVP2'!J348</f>
        <v>-0.59186685498417646</v>
      </c>
      <c r="K238" s="1044">
        <f>+K210/'VVP2'!K348</f>
        <v>15.891315416239111</v>
      </c>
      <c r="L238" s="1044">
        <f>+L210/'VVP2'!L348</f>
        <v>-2.6383668961654716</v>
      </c>
      <c r="M238" s="1044">
        <f>+M210/'VVP2'!M348</f>
        <v>-2.7222489577197799</v>
      </c>
      <c r="N238" s="1044">
        <f>+N210/'VVP2'!N348</f>
        <v>2.6286022371056386</v>
      </c>
      <c r="O238" s="1044">
        <f>+O210/'VVP2'!O348</f>
        <v>16.067568285223938</v>
      </c>
      <c r="P238" s="1044">
        <f>+P210/'VVP2'!P348</f>
        <v>5.168385965565709</v>
      </c>
      <c r="Q238" s="1044">
        <f>+Q210/'VVP2'!Q348</f>
        <v>1.9286990400530193</v>
      </c>
      <c r="R238" s="2269">
        <f>+R210/'VVP2'!R348</f>
        <v>3.532793861681149</v>
      </c>
      <c r="S238" s="2269">
        <f>+S210/'VVP2'!S348</f>
        <v>0.52123678726965805</v>
      </c>
      <c r="T238" s="2269">
        <f>+T210/'VVP2'!T348</f>
        <v>1.6536606582724127</v>
      </c>
      <c r="U238" s="2269">
        <f>+U210/'VVP2'!U348</f>
        <v>2.546060919884781</v>
      </c>
      <c r="V238" s="2269">
        <f>+V210/'VVP2'!V348</f>
        <v>-10.725356522870854</v>
      </c>
      <c r="W238" s="2269">
        <f>+W210/'VVP2'!W348</f>
        <v>-0.7502674992743199</v>
      </c>
      <c r="X238" s="2269">
        <f>+X210/'VVP2'!X348</f>
        <v>10.671918867763228</v>
      </c>
      <c r="Y238" s="2269">
        <f>+Y210/'VVP2'!Y348</f>
        <v>2.1674998017025304</v>
      </c>
      <c r="Z238" s="2269">
        <f>+Z210/'VVP2'!Z348</f>
        <v>1.0641066811901176</v>
      </c>
      <c r="AA238" s="2269">
        <f>+AA210/'VVP2'!AA348</f>
        <v>6.3360739432960713</v>
      </c>
      <c r="AB238" s="2269">
        <f>+AB210/'VVP2'!AB348</f>
        <v>2.7843199303171091</v>
      </c>
      <c r="AC238" s="2257">
        <f ca="1">+AC210/'VVP2'!AC348</f>
        <v>0.10808037637157399</v>
      </c>
      <c r="AD238" s="2257">
        <f ca="1">+AD210/'VVP2'!AD348</f>
        <v>0.51538102349080794</v>
      </c>
      <c r="AE238" s="2257">
        <f ca="1">+AE210/'VVP2'!AE348</f>
        <v>1.0583401464115643</v>
      </c>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row>
    <row r="239" spans="1:113" s="884" customFormat="1" ht="12.75" customHeight="1">
      <c r="A239" s="664"/>
      <c r="B239" s="664"/>
      <c r="C239" s="826"/>
      <c r="D239" s="806"/>
      <c r="E239" s="807" t="s">
        <v>654</v>
      </c>
      <c r="F239" s="808"/>
      <c r="G239" s="809"/>
      <c r="H239" s="809"/>
      <c r="I239" s="809"/>
      <c r="J239" s="809"/>
      <c r="K239" s="809">
        <f>AVERAGE(H238:K238)</f>
        <v>4.2628439161251475</v>
      </c>
      <c r="L239" s="809">
        <f>AVERAGE(I238:L238)</f>
        <v>3.9016216502152439</v>
      </c>
      <c r="M239" s="809">
        <f>AVERAGE(J238:M238)</f>
        <v>2.4847081768424206</v>
      </c>
      <c r="N239" s="809">
        <f t="shared" ref="N239:T239" si="225">AVERAGE(K238:N238)</f>
        <v>3.2898254498648747</v>
      </c>
      <c r="O239" s="809">
        <f t="shared" si="225"/>
        <v>3.3338886671110814</v>
      </c>
      <c r="P239" s="809">
        <f t="shared" si="225"/>
        <v>5.285576882543876</v>
      </c>
      <c r="Q239" s="809">
        <f t="shared" si="225"/>
        <v>6.448313881987076</v>
      </c>
      <c r="R239" s="2283">
        <f t="shared" si="225"/>
        <v>6.6743617881309536</v>
      </c>
      <c r="S239" s="2283">
        <f t="shared" si="225"/>
        <v>2.7877789136423838</v>
      </c>
      <c r="T239" s="2283">
        <f t="shared" si="225"/>
        <v>1.9090975868190598</v>
      </c>
      <c r="U239" s="3007">
        <f t="shared" ref="U239:AE239" si="226">AVERAGE(R238:U238)</f>
        <v>2.0634380567770001</v>
      </c>
      <c r="V239" s="3008">
        <f t="shared" si="226"/>
        <v>-1.5010995393610005</v>
      </c>
      <c r="W239" s="3008">
        <f t="shared" si="226"/>
        <v>-1.818975610996995</v>
      </c>
      <c r="X239" s="3008">
        <f t="shared" si="226"/>
        <v>0.43558894137570858</v>
      </c>
      <c r="Y239" s="3008">
        <f t="shared" si="226"/>
        <v>0.34094866183014605</v>
      </c>
      <c r="Z239" s="3008">
        <f t="shared" si="226"/>
        <v>3.2883144628453893</v>
      </c>
      <c r="AA239" s="3008">
        <f t="shared" si="226"/>
        <v>5.0598998234879868</v>
      </c>
      <c r="AB239" s="3008">
        <f t="shared" si="226"/>
        <v>3.088000089126457</v>
      </c>
      <c r="AC239" s="3008">
        <f t="shared" ca="1" si="226"/>
        <v>2.5731452327937179</v>
      </c>
      <c r="AD239" s="3008">
        <f t="shared" ca="1" si="226"/>
        <v>2.4359638183688901</v>
      </c>
      <c r="AE239" s="3008">
        <f t="shared" ca="1" si="226"/>
        <v>1.1165303691477639</v>
      </c>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row>
    <row r="240" spans="1:113" s="884" customFormat="1" ht="12.75" customHeight="1">
      <c r="A240" s="664"/>
      <c r="B240" s="664"/>
      <c r="C240" s="826"/>
      <c r="D240" s="1041"/>
      <c r="E240" s="1042" t="s">
        <v>662</v>
      </c>
      <c r="F240" s="1043"/>
      <c r="G240" s="1502">
        <f>+G202/'VVP2'!G341</f>
        <v>2.0547283608924171E-2</v>
      </c>
      <c r="H240" s="1502">
        <f>+H202/'VVP2'!H341</f>
        <v>1.1501778333667898E-2</v>
      </c>
      <c r="I240" s="1502">
        <f>+I202/'VVP2'!I341</f>
        <v>1.5338176818481895E-2</v>
      </c>
      <c r="J240" s="1502">
        <f>+J202/'VVP2'!J341</f>
        <v>1.2905123345487162E-2</v>
      </c>
      <c r="K240" s="1502">
        <f>+K202/'VVP2'!K341</f>
        <v>8.2205272465245647E-3</v>
      </c>
      <c r="L240" s="1502">
        <f>+L202/'VVP2'!L341</f>
        <v>6.7526020744783496E-3</v>
      </c>
      <c r="M240" s="1502">
        <f>+M202/'VVP2'!M341</f>
        <v>5.2893651916373352E-3</v>
      </c>
      <c r="N240" s="1502">
        <f>+N202/'VVP2'!N341</f>
        <v>5.8603475688010333E-3</v>
      </c>
      <c r="O240" s="1502">
        <f>+O202/'VVP2'!O341</f>
        <v>1.3628117260842022E-2</v>
      </c>
      <c r="P240" s="1502">
        <f>+P202/'VVP2'!P341</f>
        <v>1.8516020642931244E-2</v>
      </c>
      <c r="Q240" s="1502">
        <f>+Q202/'VVP2'!Q341</f>
        <v>2.0779579428016389E-2</v>
      </c>
      <c r="R240" s="2284">
        <f>+R202/'VVP2'!R341</f>
        <v>2.7504674162492242E-2</v>
      </c>
      <c r="S240" s="2284">
        <f>+S202/'VVP2'!S341</f>
        <v>2.5254935666062687E-2</v>
      </c>
      <c r="T240" s="2284">
        <f>+T202/'VVP2'!T341</f>
        <v>2.7100636525011407E-2</v>
      </c>
      <c r="U240" s="3009">
        <f>+U202/'VVP2'!U341</f>
        <v>1.8138231478806988E-2</v>
      </c>
      <c r="V240" s="2229">
        <f>+V202/'VVP2'!V341</f>
        <v>9.8456310658827737E-3</v>
      </c>
      <c r="W240" s="2229">
        <f>+W202/'VVP2'!W341</f>
        <v>8.0561925505478436E-3</v>
      </c>
      <c r="X240" s="2229">
        <f>+X202/'VVP2'!X341</f>
        <v>1.2900138177212273E-2</v>
      </c>
      <c r="Y240" s="2229">
        <f>+Y202/'VVP2'!Y341</f>
        <v>1.3594243649464453E-2</v>
      </c>
      <c r="Z240" s="2229">
        <f>+Z202/'VVP2'!Z341</f>
        <v>1.3632579929928342E-2</v>
      </c>
      <c r="AA240" s="2229">
        <f>+AA202/'VVP2'!AA341</f>
        <v>1.530087817197443E-2</v>
      </c>
      <c r="AB240" s="2229">
        <f>+AB202/'VVP2'!AB341</f>
        <v>1.6177584130885436E-2</v>
      </c>
      <c r="AC240" s="2229">
        <f ca="1">+AC202/'VVP2'!AC341</f>
        <v>1.5103066499929409E-2</v>
      </c>
      <c r="AD240" s="2229">
        <f ca="1">+AD202/'VVP2'!AD341</f>
        <v>1.4700454437127993E-2</v>
      </c>
      <c r="AE240" s="2229">
        <f ca="1">+AE202/'VVP2'!AE341</f>
        <v>1.4745740533174073E-2</v>
      </c>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row>
    <row r="241" spans="1:113" s="884" customFormat="1" ht="12.75" customHeight="1">
      <c r="A241" s="664"/>
      <c r="B241" s="664"/>
      <c r="C241" s="827"/>
      <c r="D241" s="1049"/>
      <c r="E241" s="1050" t="s">
        <v>654</v>
      </c>
      <c r="F241" s="1051"/>
      <c r="G241" s="1500"/>
      <c r="H241" s="1501"/>
      <c r="I241" s="1501"/>
      <c r="J241" s="1501">
        <f t="shared" ref="J241:T241" si="227">AVERAGE(G240:J240)</f>
        <v>1.5073090526640283E-2</v>
      </c>
      <c r="K241" s="1501">
        <f>AVERAGE(H240:K240)</f>
        <v>1.199140143604038E-2</v>
      </c>
      <c r="L241" s="1501">
        <f>AVERAGE(I240:L240)</f>
        <v>1.0804107371242993E-2</v>
      </c>
      <c r="M241" s="1501">
        <f>AVERAGE(J240:M240)</f>
        <v>8.2919044645318532E-3</v>
      </c>
      <c r="N241" s="1501">
        <f t="shared" si="227"/>
        <v>6.5307105203603203E-3</v>
      </c>
      <c r="O241" s="1501">
        <f t="shared" si="227"/>
        <v>7.8826080239396846E-3</v>
      </c>
      <c r="P241" s="1501">
        <f t="shared" si="227"/>
        <v>1.0823462666052908E-2</v>
      </c>
      <c r="Q241" s="1501">
        <f t="shared" si="227"/>
        <v>1.4696016225147674E-2</v>
      </c>
      <c r="R241" s="2285">
        <f t="shared" si="227"/>
        <v>2.0107097873570477E-2</v>
      </c>
      <c r="S241" s="2285">
        <f t="shared" si="227"/>
        <v>2.3013802474875639E-2</v>
      </c>
      <c r="T241" s="2285">
        <f t="shared" si="227"/>
        <v>2.5159956445395679E-2</v>
      </c>
      <c r="U241" s="3010">
        <f t="shared" ref="U241:AE241" si="228">AVERAGE(R240:U240)</f>
        <v>2.4499619458093331E-2</v>
      </c>
      <c r="V241" s="2258">
        <f t="shared" si="228"/>
        <v>2.0084858683940963E-2</v>
      </c>
      <c r="W241" s="2258">
        <f t="shared" si="228"/>
        <v>1.5785172905062251E-2</v>
      </c>
      <c r="X241" s="2258">
        <f t="shared" si="228"/>
        <v>1.223504831811247E-2</v>
      </c>
      <c r="Y241" s="2258">
        <f t="shared" si="228"/>
        <v>1.1099051360776836E-2</v>
      </c>
      <c r="Z241" s="2258">
        <f t="shared" si="228"/>
        <v>1.2045788576788228E-2</v>
      </c>
      <c r="AA241" s="2258">
        <f t="shared" si="228"/>
        <v>1.3856959982144874E-2</v>
      </c>
      <c r="AB241" s="2258">
        <f t="shared" si="228"/>
        <v>1.4676321470563166E-2</v>
      </c>
      <c r="AC241" s="2258">
        <f t="shared" ca="1" si="228"/>
        <v>1.5053527183179405E-2</v>
      </c>
      <c r="AD241" s="2258">
        <f t="shared" ca="1" si="228"/>
        <v>1.5320495809979318E-2</v>
      </c>
      <c r="AE241" s="2258">
        <f t="shared" ca="1" si="228"/>
        <v>1.5181711400279229E-2</v>
      </c>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row>
    <row r="242" spans="1:113" ht="12.75" customHeight="1">
      <c r="A242" s="664"/>
      <c r="B242" s="664"/>
      <c r="C242" s="774"/>
      <c r="Q242" s="699"/>
      <c r="AB242" s="2221"/>
      <c r="AC242" s="2221"/>
      <c r="AD242" s="2221"/>
      <c r="AE242" s="2221"/>
    </row>
    <row r="243" spans="1:113" ht="12.75" customHeight="1" thickBot="1">
      <c r="A243" s="664"/>
      <c r="B243" s="664"/>
      <c r="C243" s="774"/>
      <c r="D243" s="818" t="s">
        <v>687</v>
      </c>
      <c r="E243" s="1052" t="s">
        <v>614</v>
      </c>
      <c r="F243" s="820"/>
      <c r="G243" s="821">
        <f>+InputY!$G$3</f>
        <v>1995</v>
      </c>
      <c r="H243" s="821">
        <f t="shared" ref="H243:O243" si="229">+G243+1</f>
        <v>1996</v>
      </c>
      <c r="I243" s="821">
        <f t="shared" si="229"/>
        <v>1997</v>
      </c>
      <c r="J243" s="821">
        <f t="shared" si="229"/>
        <v>1998</v>
      </c>
      <c r="K243" s="821">
        <f>+J243+1</f>
        <v>1999</v>
      </c>
      <c r="L243" s="821">
        <f t="shared" si="229"/>
        <v>2000</v>
      </c>
      <c r="M243" s="821">
        <f t="shared" si="229"/>
        <v>2001</v>
      </c>
      <c r="N243" s="821">
        <f t="shared" si="229"/>
        <v>2002</v>
      </c>
      <c r="O243" s="821">
        <f t="shared" si="229"/>
        <v>2003</v>
      </c>
      <c r="P243" s="821">
        <f t="shared" ref="P243:W243" si="230">+O243+1</f>
        <v>2004</v>
      </c>
      <c r="Q243" s="821">
        <f t="shared" si="230"/>
        <v>2005</v>
      </c>
      <c r="R243" s="821">
        <f t="shared" si="230"/>
        <v>2006</v>
      </c>
      <c r="S243" s="821">
        <f t="shared" si="230"/>
        <v>2007</v>
      </c>
      <c r="T243" s="2255">
        <f t="shared" si="230"/>
        <v>2008</v>
      </c>
      <c r="U243" s="2255">
        <f t="shared" si="230"/>
        <v>2009</v>
      </c>
      <c r="V243" s="2255">
        <f t="shared" si="230"/>
        <v>2010</v>
      </c>
      <c r="W243" s="2255">
        <f t="shared" si="230"/>
        <v>2011</v>
      </c>
      <c r="X243" s="2255">
        <f t="shared" ref="X243:AE243" si="231">+W243+1</f>
        <v>2012</v>
      </c>
      <c r="Y243" s="2255">
        <f t="shared" si="231"/>
        <v>2013</v>
      </c>
      <c r="Z243" s="2255">
        <f t="shared" si="231"/>
        <v>2014</v>
      </c>
      <c r="AA243" s="2255">
        <f t="shared" si="231"/>
        <v>2015</v>
      </c>
      <c r="AB243" s="2255">
        <f t="shared" si="231"/>
        <v>2016</v>
      </c>
      <c r="AC243" s="2255">
        <f t="shared" si="231"/>
        <v>2017</v>
      </c>
      <c r="AD243" s="2255">
        <f t="shared" si="231"/>
        <v>2018</v>
      </c>
      <c r="AE243" s="2255">
        <f t="shared" si="231"/>
        <v>2019</v>
      </c>
    </row>
    <row r="244" spans="1:113" s="884" customFormat="1" ht="12.75" customHeight="1" thickBot="1">
      <c r="A244" s="664"/>
      <c r="B244" s="664"/>
      <c r="C244" s="822"/>
      <c r="D244" s="1045"/>
      <c r="E244" s="1046" t="s">
        <v>656</v>
      </c>
      <c r="F244" s="1505">
        <v>1.1809724676532847</v>
      </c>
      <c r="G244" s="1048"/>
      <c r="H244" s="1048">
        <f>+H213/'VVP2'!H348</f>
        <v>0.75995034104270542</v>
      </c>
      <c r="I244" s="1048">
        <f>+I213/'VVP2'!I348</f>
        <v>1.5405120508508465</v>
      </c>
      <c r="J244" s="1048">
        <f>+J213/'VVP2'!J348</f>
        <v>1.279483919397703</v>
      </c>
      <c r="K244" s="1048">
        <f>+K213/'VVP2'!K348</f>
        <v>0.38705347244780464</v>
      </c>
      <c r="L244" s="1048">
        <f>+L213/'VVP2'!L348</f>
        <v>-0.68688195064178348</v>
      </c>
      <c r="M244" s="1048">
        <f>+M213/'VVP2'!M348</f>
        <v>-0.24631574194782133</v>
      </c>
      <c r="N244" s="1048">
        <f>+N213/'VVP2'!N348</f>
        <v>0.34121188817013692</v>
      </c>
      <c r="O244" s="1048">
        <f>+O213/'VVP2'!O348</f>
        <v>1.7057458030296289</v>
      </c>
      <c r="P244" s="1048">
        <f>+P213/'VVP2'!P348</f>
        <v>2.1442750348225053</v>
      </c>
      <c r="Q244" s="1048">
        <f>+Q213/'VVP2'!Q348</f>
        <v>1.2513274622655945</v>
      </c>
      <c r="R244" s="1048">
        <f>+R213/'VVP2'!R348</f>
        <v>1.5297821693523945</v>
      </c>
      <c r="S244" s="1048">
        <f>+S213/'VVP2'!S348</f>
        <v>0.7053994799472737</v>
      </c>
      <c r="T244" s="1048">
        <f>+T213/'VVP2'!T348</f>
        <v>1.1549880510169084</v>
      </c>
      <c r="U244" s="1048">
        <f>+U213/'VVP2'!U348</f>
        <v>2.6681676046122167</v>
      </c>
      <c r="V244" s="1048">
        <f>+V213/'VVP2'!V348</f>
        <v>-4.6918199677112069</v>
      </c>
      <c r="W244" s="1048">
        <f>+W213/'VVP2'!W348</f>
        <v>0.43368957333646241</v>
      </c>
      <c r="X244" s="1048">
        <f>+X213/'VVP2'!X348</f>
        <v>2.7580229745459324</v>
      </c>
      <c r="Y244" s="1048">
        <f>+Y213/'VVP2'!Y348</f>
        <v>1.656327523947454</v>
      </c>
      <c r="Z244" s="1048">
        <f>+Z213/'VVP2'!Z348</f>
        <v>1.2584980375712227</v>
      </c>
      <c r="AA244" s="1048">
        <f>+AA213/'VVP2'!AA348</f>
        <v>4.5338047846962555</v>
      </c>
      <c r="AB244" s="1048">
        <f>+AB213/'VVP2'!AB348</f>
        <v>2.4073613339962203</v>
      </c>
      <c r="AC244" s="2257">
        <f ca="1">+AC213/'VVP2'!AC348</f>
        <v>0.68448149407114467</v>
      </c>
      <c r="AD244" s="2257">
        <f ca="1">+AD213/'VVP2'!AD348</f>
        <v>0.58770901332492298</v>
      </c>
      <c r="AE244" s="2257">
        <f ca="1">+AE213/'VVP2'!AE348</f>
        <v>0.98230649775731627</v>
      </c>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row>
    <row r="245" spans="1:113" s="884" customFormat="1" ht="12.75" customHeight="1">
      <c r="A245" s="664"/>
      <c r="B245" s="664"/>
      <c r="C245" s="826"/>
      <c r="D245" s="806"/>
      <c r="E245" s="807" t="s">
        <v>654</v>
      </c>
      <c r="F245" s="808"/>
      <c r="G245" s="809"/>
      <c r="H245" s="809"/>
      <c r="I245" s="809"/>
      <c r="J245" s="809"/>
      <c r="K245" s="809">
        <f>AVERAGE(H244:K244)</f>
        <v>0.99174994593476484</v>
      </c>
      <c r="L245" s="809">
        <f>AVERAGE(I244:L244)</f>
        <v>0.63004187301364267</v>
      </c>
      <c r="M245" s="809">
        <f>AVERAGE(J244:M244)</f>
        <v>0.18333492481397567</v>
      </c>
      <c r="N245" s="809">
        <f t="shared" ref="N245:T245" si="232">AVERAGE(K244:N244)</f>
        <v>-5.1233082992915818E-2</v>
      </c>
      <c r="O245" s="809">
        <f t="shared" si="232"/>
        <v>0.27843999965254024</v>
      </c>
      <c r="P245" s="809">
        <f t="shared" si="232"/>
        <v>0.98622924601861239</v>
      </c>
      <c r="Q245" s="809">
        <f t="shared" si="232"/>
        <v>1.3606400470719664</v>
      </c>
      <c r="R245" s="809">
        <f t="shared" si="232"/>
        <v>1.6577826173675307</v>
      </c>
      <c r="S245" s="809">
        <f t="shared" si="232"/>
        <v>1.407696036596942</v>
      </c>
      <c r="T245" s="809">
        <f t="shared" si="232"/>
        <v>1.1603742906455428</v>
      </c>
      <c r="U245" s="3007">
        <f t="shared" ref="U245:AE245" si="233">AVERAGE(R244:U244)</f>
        <v>1.5145843262321983</v>
      </c>
      <c r="V245" s="3007">
        <f t="shared" si="233"/>
        <v>-4.0816208033702006E-2</v>
      </c>
      <c r="W245" s="3007">
        <f t="shared" si="233"/>
        <v>-0.10874368468640486</v>
      </c>
      <c r="X245" s="3007">
        <f t="shared" si="233"/>
        <v>0.29201504619585117</v>
      </c>
      <c r="Y245" s="3007">
        <f t="shared" si="233"/>
        <v>3.9055026029660378E-2</v>
      </c>
      <c r="Z245" s="3007">
        <f t="shared" si="233"/>
        <v>1.5266345273502679</v>
      </c>
      <c r="AA245" s="3007">
        <f t="shared" si="233"/>
        <v>2.5516633301902161</v>
      </c>
      <c r="AB245" s="3007">
        <f t="shared" si="233"/>
        <v>2.4639979200527882</v>
      </c>
      <c r="AC245" s="3007">
        <f t="shared" ca="1" si="233"/>
        <v>2.221036412583711</v>
      </c>
      <c r="AD245" s="3007">
        <f t="shared" ca="1" si="233"/>
        <v>2.0533391565221359</v>
      </c>
      <c r="AE245" s="3007">
        <f t="shared" ca="1" si="233"/>
        <v>1.1654645847874012</v>
      </c>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row>
    <row r="246" spans="1:113" s="884" customFormat="1" ht="12.75" customHeight="1">
      <c r="A246" s="664"/>
      <c r="B246" s="664"/>
      <c r="C246" s="826"/>
      <c r="D246" s="1041"/>
      <c r="E246" s="1042" t="s">
        <v>662</v>
      </c>
      <c r="F246" s="1044"/>
      <c r="G246" s="1502">
        <f>+G205/'VVP2'!G341</f>
        <v>8.4077207506442778E-2</v>
      </c>
      <c r="H246" s="1502">
        <f>+H205/'VVP2'!H341</f>
        <v>8.0026559194576991E-2</v>
      </c>
      <c r="I246" s="1502">
        <f>+I205/'VVP2'!I341</f>
        <v>8.7442875249267762E-2</v>
      </c>
      <c r="J246" s="1502">
        <f>+J205/'VVP2'!J341</f>
        <v>8.9878175021271767E-2</v>
      </c>
      <c r="K246" s="1502">
        <f>+K205/'VVP2'!K341</f>
        <v>9.1221106223371762E-2</v>
      </c>
      <c r="L246" s="1502">
        <f>+L205/'VVP2'!L341</f>
        <v>8.3668831508851613E-2</v>
      </c>
      <c r="M246" s="1502">
        <f>+M205/'VVP2'!M341</f>
        <v>7.7598256228459991E-2</v>
      </c>
      <c r="N246" s="1502">
        <f>+N205/'VVP2'!N341</f>
        <v>7.420980031140291E-2</v>
      </c>
      <c r="O246" s="1502">
        <f>+O205/'VVP2'!O341</f>
        <v>7.8817024707711805E-2</v>
      </c>
      <c r="P246" s="1502">
        <f>+P205/'VVP2'!P341</f>
        <v>8.6577159864281286E-2</v>
      </c>
      <c r="Q246" s="1502">
        <f>+Q205/'VVP2'!Q341</f>
        <v>8.9441419650658133E-2</v>
      </c>
      <c r="R246" s="1502">
        <f>+R205/'VVP2'!R341</f>
        <v>9.549619214607806E-2</v>
      </c>
      <c r="S246" s="1502">
        <f>+S205/'VVP2'!S341</f>
        <v>9.0689743277184473E-2</v>
      </c>
      <c r="T246" s="1502">
        <f>+T205/'VVP2'!T341</f>
        <v>9.2261260302395245E-2</v>
      </c>
      <c r="U246" s="3009">
        <f>+U205/'VVP2'!U341</f>
        <v>5.9339917623358905E-2</v>
      </c>
      <c r="V246" s="3009">
        <f>+V205/'VVP2'!V341</f>
        <v>4.617046160828267E-2</v>
      </c>
      <c r="W246" s="3009">
        <f>+W205/'VVP2'!W341</f>
        <v>4.3455350736619158E-2</v>
      </c>
      <c r="X246" s="3009">
        <f>+X205/'VVP2'!X341</f>
        <v>4.8204595831654096E-2</v>
      </c>
      <c r="Y246" s="3009">
        <f>+Y205/'VVP2'!Y341</f>
        <v>4.9662682549739483E-2</v>
      </c>
      <c r="Z246" s="3009">
        <f>+Z205/'VVP2'!Z341</f>
        <v>5.0227410203597216E-2</v>
      </c>
      <c r="AA246" s="3009">
        <f>+AA205/'VVP2'!AA341</f>
        <v>5.429799813555114E-2</v>
      </c>
      <c r="AB246" s="3009">
        <f>+AB205/'VVP2'!AB341</f>
        <v>5.6751883712558501E-2</v>
      </c>
      <c r="AC246" s="3009">
        <f ca="1">+AC205/'VVP2'!AC341</f>
        <v>5.5418425907745789E-2</v>
      </c>
      <c r="AD246" s="3009">
        <f ca="1">+AD205/'VVP2'!AD341</f>
        <v>5.4161588035872024E-2</v>
      </c>
      <c r="AE246" s="3009">
        <f ca="1">+AE205/'VVP2'!AE341</f>
        <v>5.4110985555718596E-2</v>
      </c>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row>
    <row r="247" spans="1:113" s="884" customFormat="1" ht="12.75" customHeight="1">
      <c r="A247" s="664"/>
      <c r="B247" s="664">
        <v>159</v>
      </c>
      <c r="C247" s="827"/>
      <c r="D247" s="1049"/>
      <c r="E247" s="1050" t="s">
        <v>654</v>
      </c>
      <c r="F247" s="1051"/>
      <c r="G247" s="1500"/>
      <c r="H247" s="1501"/>
      <c r="I247" s="1501"/>
      <c r="J247" s="1501">
        <f t="shared" ref="J247:T247" si="234">AVERAGE(G246:J246)</f>
        <v>8.5356204242889824E-2</v>
      </c>
      <c r="K247" s="1501">
        <f>AVERAGE(H246:K246)</f>
        <v>8.7142178922122074E-2</v>
      </c>
      <c r="L247" s="1501">
        <f>AVERAGE(I246:L246)</f>
        <v>8.8052747000690726E-2</v>
      </c>
      <c r="M247" s="1501">
        <f>AVERAGE(J246:M246)</f>
        <v>8.559159224548879E-2</v>
      </c>
      <c r="N247" s="1501">
        <f t="shared" si="234"/>
        <v>8.1674498568021572E-2</v>
      </c>
      <c r="O247" s="1501">
        <f t="shared" si="234"/>
        <v>7.857347818910658E-2</v>
      </c>
      <c r="P247" s="1501">
        <f t="shared" si="234"/>
        <v>7.9300560277963991E-2</v>
      </c>
      <c r="Q247" s="1501">
        <f t="shared" si="234"/>
        <v>8.2261351133513544E-2</v>
      </c>
      <c r="R247" s="1501">
        <f t="shared" si="234"/>
        <v>8.7582949092182324E-2</v>
      </c>
      <c r="S247" s="1501">
        <f t="shared" si="234"/>
        <v>9.0551128734550498E-2</v>
      </c>
      <c r="T247" s="1501">
        <f t="shared" si="234"/>
        <v>9.1972153844078974E-2</v>
      </c>
      <c r="U247" s="3010">
        <f t="shared" ref="U247:AE247" si="235">AVERAGE(R246:U246)</f>
        <v>8.4446778337254169E-2</v>
      </c>
      <c r="V247" s="3010">
        <f t="shared" si="235"/>
        <v>7.2115345702805325E-2</v>
      </c>
      <c r="W247" s="3010">
        <f t="shared" si="235"/>
        <v>6.0306747567663993E-2</v>
      </c>
      <c r="X247" s="3010">
        <f t="shared" si="235"/>
        <v>4.9292581449978709E-2</v>
      </c>
      <c r="Y247" s="3010">
        <f t="shared" si="235"/>
        <v>4.6873272681573853E-2</v>
      </c>
      <c r="Z247" s="3010">
        <f t="shared" si="235"/>
        <v>4.7887509830402492E-2</v>
      </c>
      <c r="AA247" s="3010">
        <f t="shared" si="235"/>
        <v>5.0598171680135487E-2</v>
      </c>
      <c r="AB247" s="3010">
        <f t="shared" si="235"/>
        <v>5.2734993650361592E-2</v>
      </c>
      <c r="AC247" s="3010">
        <f t="shared" ca="1" si="235"/>
        <v>5.4173929489863167E-2</v>
      </c>
      <c r="AD247" s="3010">
        <f t="shared" ca="1" si="235"/>
        <v>5.5157473947931857E-2</v>
      </c>
      <c r="AE247" s="3010">
        <f t="shared" ca="1" si="235"/>
        <v>5.5110720802973731E-2</v>
      </c>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row>
    <row r="248" spans="1:113" ht="30" customHeight="1">
      <c r="A248" s="664"/>
      <c r="B248" s="664"/>
      <c r="C248" s="774"/>
      <c r="AB248" s="2221"/>
      <c r="AC248" s="2221"/>
      <c r="AD248" s="2221"/>
      <c r="AE248" s="2221"/>
    </row>
    <row r="249" spans="1:113" ht="30" customHeight="1">
      <c r="AB249" s="2221"/>
      <c r="AC249"/>
      <c r="AD249"/>
      <c r="AE249" s="3650"/>
    </row>
    <row r="250" spans="1:113" ht="22.5" customHeight="1">
      <c r="A250" s="574"/>
      <c r="B250" s="574"/>
      <c r="C250" s="3752" t="s">
        <v>981</v>
      </c>
      <c r="D250" s="3752"/>
      <c r="E250" s="3752"/>
      <c r="F250" s="3752"/>
      <c r="T250" s="2254"/>
      <c r="V250" s="2254"/>
      <c r="W250" s="2254"/>
      <c r="X250" s="2254"/>
      <c r="Y250" s="2254"/>
      <c r="Z250" s="2254"/>
      <c r="AA250" s="2254"/>
      <c r="AB250" s="2254"/>
      <c r="AC250" s="2254">
        <v>4.9313383679397358</v>
      </c>
      <c r="AD250" s="2254">
        <f>+AC250-0.04</f>
        <v>4.8913383679397358</v>
      </c>
      <c r="AE250" s="2254">
        <f>+AD250-0.04</f>
        <v>4.8513383679397357</v>
      </c>
    </row>
    <row r="251" spans="1:113" ht="12.75" customHeight="1">
      <c r="A251" s="664"/>
      <c r="B251" s="664"/>
      <c r="C251" s="774"/>
      <c r="AB251" s="2221"/>
      <c r="AC251" s="2221"/>
      <c r="AD251" s="2221"/>
      <c r="AE251" s="2221"/>
    </row>
    <row r="252" spans="1:113" ht="12.75" customHeight="1">
      <c r="A252" s="664"/>
      <c r="B252" s="664"/>
      <c r="C252" s="774"/>
      <c r="D252" s="775"/>
      <c r="E252" s="776" t="s">
        <v>1384</v>
      </c>
      <c r="F252" s="777"/>
      <c r="G252" s="778">
        <f>+InputY!$G$3</f>
        <v>1995</v>
      </c>
      <c r="H252" s="778">
        <f>+G252+1</f>
        <v>1996</v>
      </c>
      <c r="I252" s="778">
        <f t="shared" ref="I252:O252" si="236">+H252+1</f>
        <v>1997</v>
      </c>
      <c r="J252" s="778">
        <f t="shared" si="236"/>
        <v>1998</v>
      </c>
      <c r="K252" s="778">
        <f>+J252+1</f>
        <v>1999</v>
      </c>
      <c r="L252" s="778">
        <f t="shared" si="236"/>
        <v>2000</v>
      </c>
      <c r="M252" s="778">
        <f t="shared" si="236"/>
        <v>2001</v>
      </c>
      <c r="N252" s="778">
        <f t="shared" si="236"/>
        <v>2002</v>
      </c>
      <c r="O252" s="778">
        <f t="shared" si="236"/>
        <v>2003</v>
      </c>
      <c r="P252" s="778">
        <f t="shared" ref="P252:W252" si="237">+O252+1</f>
        <v>2004</v>
      </c>
      <c r="Q252" s="778">
        <f t="shared" si="237"/>
        <v>2005</v>
      </c>
      <c r="R252" s="778">
        <f t="shared" si="237"/>
        <v>2006</v>
      </c>
      <c r="S252" s="778">
        <f t="shared" si="237"/>
        <v>2007</v>
      </c>
      <c r="T252" s="2222">
        <f t="shared" si="237"/>
        <v>2008</v>
      </c>
      <c r="U252" s="2222">
        <f t="shared" si="237"/>
        <v>2009</v>
      </c>
      <c r="V252" s="2222">
        <f t="shared" si="237"/>
        <v>2010</v>
      </c>
      <c r="W252" s="2222">
        <f t="shared" si="237"/>
        <v>2011</v>
      </c>
      <c r="X252" s="2222">
        <f t="shared" ref="X252:AE252" si="238">+W252+1</f>
        <v>2012</v>
      </c>
      <c r="Y252" s="2222">
        <f t="shared" si="238"/>
        <v>2013</v>
      </c>
      <c r="Z252" s="2222">
        <f t="shared" si="238"/>
        <v>2014</v>
      </c>
      <c r="AA252" s="2222">
        <f t="shared" si="238"/>
        <v>2015</v>
      </c>
      <c r="AB252" s="2222">
        <f t="shared" si="238"/>
        <v>2016</v>
      </c>
      <c r="AC252" s="2222">
        <f t="shared" si="238"/>
        <v>2017</v>
      </c>
      <c r="AD252" s="2222">
        <f t="shared" si="238"/>
        <v>2018</v>
      </c>
      <c r="AE252" s="2222">
        <f t="shared" si="238"/>
        <v>2019</v>
      </c>
    </row>
    <row r="253" spans="1:113" ht="12.75" customHeight="1">
      <c r="A253" s="664">
        <f>+ROW(InputY!A159)</f>
        <v>159</v>
      </c>
      <c r="B253" s="664">
        <v>116</v>
      </c>
      <c r="C253" s="779" t="s">
        <v>1767</v>
      </c>
      <c r="D253" s="668" t="s">
        <v>687</v>
      </c>
      <c r="E253" s="700" t="s">
        <v>982</v>
      </c>
      <c r="F253" s="701" t="str">
        <f>+InputY!B159</f>
        <v>YATaxActSoc</v>
      </c>
      <c r="G253" s="780">
        <f>+InputY!G159/1000</f>
        <v>0.55920000000000003</v>
      </c>
      <c r="H253" s="780">
        <f>+InputY!H159/1000</f>
        <v>0.74658000000000002</v>
      </c>
      <c r="I253" s="780">
        <f>+InputY!I159/1000</f>
        <v>1.05233</v>
      </c>
      <c r="J253" s="780">
        <f>+InputY!J159/1000</f>
        <v>1.30036</v>
      </c>
      <c r="K253" s="780">
        <f>+InputY!K159/1000</f>
        <v>1.28443</v>
      </c>
      <c r="L253" s="780">
        <f>+InputY!L159/1000</f>
        <v>1.3622799999999999</v>
      </c>
      <c r="M253" s="780">
        <f>+InputY!M159/1000</f>
        <v>1.37643</v>
      </c>
      <c r="N253" s="780">
        <f>+InputY!N159/1000</f>
        <v>1.4224300000000001</v>
      </c>
      <c r="O253" s="780">
        <f>+InputY!O159/1000</f>
        <v>1.53271</v>
      </c>
      <c r="P253" s="780">
        <f>+InputY!P159/1000</f>
        <v>1.66425</v>
      </c>
      <c r="Q253" s="780">
        <f>+InputY!Q159/1000</f>
        <v>1.8654900000000001</v>
      </c>
      <c r="R253" s="780">
        <f>+InputY!R159/1000</f>
        <v>2.1977500000000001</v>
      </c>
      <c r="S253" s="780">
        <f>+InputY!S159/1000</f>
        <v>2.64581</v>
      </c>
      <c r="T253" s="780">
        <f>+InputY!T159/1000</f>
        <v>3.1147900000000002</v>
      </c>
      <c r="U253" s="780">
        <f>+InputY!U159/1000</f>
        <v>3.4030100000000001</v>
      </c>
      <c r="V253" s="780">
        <f>+InputY!V159/1000</f>
        <v>3.29555</v>
      </c>
      <c r="W253" s="780">
        <f>+InputY!W159/1000</f>
        <v>3.4756199999999997</v>
      </c>
      <c r="X253" s="780">
        <f>+InputY!X159/1000</f>
        <v>3.6120100000000002</v>
      </c>
      <c r="Y253" s="780">
        <f>+InputY!Y159/1000</f>
        <v>3.7942399999999998</v>
      </c>
      <c r="Z253" s="780">
        <f>+InputY!Z159/1000</f>
        <v>4.0646199999999997</v>
      </c>
      <c r="AA253" s="3745">
        <f>+InputY!AA159/1000</f>
        <v>4.3401000000000005</v>
      </c>
      <c r="AB253" s="3745">
        <f>+InputY!AB159/1000</f>
        <v>4.7157900000000001</v>
      </c>
      <c r="AC253" s="2873">
        <f t="shared" ref="AC253:AE254" si="239">+AB253*(1+AC265/100)</f>
        <v>5.3</v>
      </c>
      <c r="AD253" s="2873">
        <f t="shared" si="239"/>
        <v>5.6550999999999991</v>
      </c>
      <c r="AE253" s="2873">
        <f t="shared" si="239"/>
        <v>5.9793080106769914</v>
      </c>
    </row>
    <row r="254" spans="1:113" ht="12.75" customHeight="1">
      <c r="A254" s="664">
        <f>+ROW(InputY!A158)</f>
        <v>158</v>
      </c>
      <c r="B254" s="664"/>
      <c r="C254" s="782" t="s">
        <v>1767</v>
      </c>
      <c r="D254" s="674" t="s">
        <v>687</v>
      </c>
      <c r="E254" s="783" t="s">
        <v>2079</v>
      </c>
      <c r="F254" s="704" t="str">
        <f>+InputY!B158</f>
        <v>YATaxSocImp</v>
      </c>
      <c r="G254" s="706">
        <f>+InputY!G158/1000</f>
        <v>1.24E-3</v>
      </c>
      <c r="H254" s="706">
        <f>+InputY!H158/1000</f>
        <v>1.6899999999999999E-3</v>
      </c>
      <c r="I254" s="706">
        <f>+InputY!I158/1000</f>
        <v>2.1299999999999999E-3</v>
      </c>
      <c r="J254" s="706">
        <f>+InputY!J158/1000</f>
        <v>2.7000000000000001E-3</v>
      </c>
      <c r="K254" s="706">
        <f>+InputY!K158/1000</f>
        <v>2.8E-3</v>
      </c>
      <c r="L254" s="706">
        <f>+InputY!L158/1000</f>
        <v>2.6100000000000003E-3</v>
      </c>
      <c r="M254" s="706">
        <f>+InputY!M158/1000</f>
        <v>2.6800000000000001E-3</v>
      </c>
      <c r="N254" s="706">
        <f>+InputY!N158/1000</f>
        <v>2.7800000000000004E-3</v>
      </c>
      <c r="O254" s="706">
        <f>+InputY!O158/1000</f>
        <v>2.8900000000000002E-3</v>
      </c>
      <c r="P254" s="706">
        <f>+InputY!P158/1000</f>
        <v>5.2049999999999999E-2</v>
      </c>
      <c r="Q254" s="706">
        <f>+InputY!Q158/1000</f>
        <v>6.0579999999999995E-2</v>
      </c>
      <c r="R254" s="706">
        <f>+InputY!R158/1000</f>
        <v>7.2120000000000004E-2</v>
      </c>
      <c r="S254" s="706">
        <f>+InputY!S158/1000</f>
        <v>9.0969999999999995E-2</v>
      </c>
      <c r="T254" s="706">
        <f>+InputY!T158/1000</f>
        <v>0.11168</v>
      </c>
      <c r="U254" s="706">
        <f>+InputY!U158/1000</f>
        <v>0.11831999999999999</v>
      </c>
      <c r="V254" s="706">
        <f>+InputY!V158/1000</f>
        <v>0.10293000000000001</v>
      </c>
      <c r="W254" s="706">
        <f>+InputY!W158/1000</f>
        <v>0.10776999999999999</v>
      </c>
      <c r="X254" s="706">
        <f>+InputY!X158/1000</f>
        <v>0.11347</v>
      </c>
      <c r="Y254" s="706">
        <f>+InputY!Y158/1000</f>
        <v>9.851E-2</v>
      </c>
      <c r="Z254" s="706">
        <f>+InputY!Z158/1000</f>
        <v>0.10911</v>
      </c>
      <c r="AA254" s="706">
        <f>+InputY!AA158/1000</f>
        <v>0.11624</v>
      </c>
      <c r="AB254" s="706">
        <f>+InputY!AB158/1000</f>
        <v>0.12831000000000001</v>
      </c>
      <c r="AC254" s="2217">
        <f t="shared" si="239"/>
        <v>0.14420553078063272</v>
      </c>
      <c r="AD254" s="2217">
        <f t="shared" si="239"/>
        <v>0.15386730134293511</v>
      </c>
      <c r="AE254" s="2217">
        <f t="shared" si="239"/>
        <v>0.16268854441142733</v>
      </c>
    </row>
    <row r="255" spans="1:113" ht="12.75" customHeight="1">
      <c r="A255" s="664"/>
      <c r="B255" s="664">
        <v>115</v>
      </c>
      <c r="C255" s="782" t="s">
        <v>1769</v>
      </c>
      <c r="D255" s="746" t="s">
        <v>687</v>
      </c>
      <c r="E255" s="747" t="s">
        <v>567</v>
      </c>
      <c r="F255" s="748" t="s">
        <v>1805</v>
      </c>
      <c r="G255" s="799">
        <f>+G253+G254</f>
        <v>0.56044000000000005</v>
      </c>
      <c r="H255" s="799">
        <f t="shared" ref="H255:AB255" si="240">+H253+H254</f>
        <v>0.74826999999999999</v>
      </c>
      <c r="I255" s="799">
        <f t="shared" si="240"/>
        <v>1.05446</v>
      </c>
      <c r="J255" s="799">
        <f t="shared" si="240"/>
        <v>1.3030599999999999</v>
      </c>
      <c r="K255" s="799">
        <f t="shared" si="240"/>
        <v>1.2872299999999999</v>
      </c>
      <c r="L255" s="799">
        <f t="shared" si="240"/>
        <v>1.3648899999999999</v>
      </c>
      <c r="M255" s="799">
        <f t="shared" si="240"/>
        <v>1.3791100000000001</v>
      </c>
      <c r="N255" s="799">
        <f t="shared" si="240"/>
        <v>1.4252100000000001</v>
      </c>
      <c r="O255" s="799">
        <f t="shared" si="240"/>
        <v>1.5356000000000001</v>
      </c>
      <c r="P255" s="799">
        <f t="shared" si="240"/>
        <v>1.7162999999999999</v>
      </c>
      <c r="Q255" s="799">
        <f t="shared" si="240"/>
        <v>1.9260700000000002</v>
      </c>
      <c r="R255" s="799">
        <f t="shared" si="240"/>
        <v>2.2698700000000001</v>
      </c>
      <c r="S255" s="799">
        <f t="shared" si="240"/>
        <v>2.73678</v>
      </c>
      <c r="T255" s="2878">
        <f t="shared" si="240"/>
        <v>3.2264699999999999</v>
      </c>
      <c r="U255" s="2878">
        <f t="shared" si="240"/>
        <v>3.5213300000000003</v>
      </c>
      <c r="V255" s="2878">
        <f t="shared" si="240"/>
        <v>3.3984800000000002</v>
      </c>
      <c r="W255" s="2878">
        <f t="shared" si="240"/>
        <v>3.5833899999999996</v>
      </c>
      <c r="X255" s="2878">
        <f t="shared" si="240"/>
        <v>3.7254800000000001</v>
      </c>
      <c r="Y255" s="2878">
        <f t="shared" si="240"/>
        <v>3.8927499999999999</v>
      </c>
      <c r="Z255" s="2878">
        <f t="shared" si="240"/>
        <v>4.1737299999999999</v>
      </c>
      <c r="AA255" s="2878">
        <f t="shared" si="240"/>
        <v>4.4563400000000009</v>
      </c>
      <c r="AB255" s="2878">
        <f t="shared" si="240"/>
        <v>4.8441000000000001</v>
      </c>
      <c r="AC255" s="2876">
        <f>+AC253+AC254</f>
        <v>5.444205530780633</v>
      </c>
      <c r="AD255" s="2876">
        <f>+AD253+AD254</f>
        <v>5.8089673013429346</v>
      </c>
      <c r="AE255" s="2876">
        <f>+AE253+AE254</f>
        <v>6.1419965550884186</v>
      </c>
    </row>
    <row r="256" spans="1:113" ht="12.75" customHeight="1">
      <c r="A256" s="664">
        <f>+ROW(InputY!A192)</f>
        <v>192</v>
      </c>
      <c r="B256" s="664" t="s">
        <v>997</v>
      </c>
      <c r="C256" s="782" t="s">
        <v>1767</v>
      </c>
      <c r="D256" s="674" t="s">
        <v>685</v>
      </c>
      <c r="E256" s="783" t="s">
        <v>567</v>
      </c>
      <c r="F256" s="704" t="str">
        <f>+InputY!B192</f>
        <v>YHTSoc(1)</v>
      </c>
      <c r="G256" s="706">
        <f>+InputY!G192/1000</f>
        <v>2.8000000000000003E-4</v>
      </c>
      <c r="H256" s="706">
        <f>+InputY!H192/1000</f>
        <v>2.2000000000000003E-4</v>
      </c>
      <c r="I256" s="706">
        <f>+InputY!I192/1000</f>
        <v>3.3E-4</v>
      </c>
      <c r="J256" s="706">
        <f>+InputY!J192/1000</f>
        <v>4.9000000000000009E-4</v>
      </c>
      <c r="K256" s="706">
        <f>+InputY!K192/1000</f>
        <v>3.5000000000000005E-4</v>
      </c>
      <c r="L256" s="706">
        <f>+InputY!L192/1000</f>
        <v>4.6000000000000001E-4</v>
      </c>
      <c r="M256" s="706">
        <f>+InputY!M192/1000</f>
        <v>4.0000000000000002E-4</v>
      </c>
      <c r="N256" s="706">
        <f>+InputY!N192/1000</f>
        <v>3.7000000000000005E-4</v>
      </c>
      <c r="O256" s="706">
        <f>+InputY!O192/1000</f>
        <v>4.2000000000000002E-4</v>
      </c>
      <c r="P256" s="706">
        <f>+InputY!P192/1000</f>
        <v>4.4000000000000007E-4</v>
      </c>
      <c r="Q256" s="706">
        <f>+InputY!Q192/1000</f>
        <v>5.6000000000000006E-4</v>
      </c>
      <c r="R256" s="706">
        <f>+InputY!R192/1000</f>
        <v>6.8000000000000005E-4</v>
      </c>
      <c r="S256" s="706">
        <f>+InputY!S192/1000</f>
        <v>8.5000000000000006E-4</v>
      </c>
      <c r="T256" s="706">
        <f>+InputY!T192/1000</f>
        <v>8.7000000000000011E-4</v>
      </c>
      <c r="U256" s="706">
        <f>+InputY!U192/1000</f>
        <v>8.1000000000000006E-4</v>
      </c>
      <c r="V256" s="706">
        <f>+InputY!V192/1000</f>
        <v>7.7999999999999999E-4</v>
      </c>
      <c r="W256" s="706">
        <f>+InputY!W192/1000</f>
        <v>8.7000000000000011E-4</v>
      </c>
      <c r="X256" s="706">
        <f>+InputY!X192/1000</f>
        <v>8.5000000000000006E-4</v>
      </c>
      <c r="Y256" s="706">
        <f>+InputY!Y192/1000</f>
        <v>8.8000000000000014E-4</v>
      </c>
      <c r="Z256" s="706">
        <f>+InputY!Z192/1000</f>
        <v>1E-3</v>
      </c>
      <c r="AA256" s="706">
        <f>+InputY!AA192/1000</f>
        <v>8.9999999999999998E-4</v>
      </c>
      <c r="AB256" s="706">
        <f>+InputY!AB192/1000</f>
        <v>9.4000000000000008E-4</v>
      </c>
      <c r="AC256" s="2217">
        <f t="shared" ref="AC256:AE258" si="241">+AB256*(1+AC268/100)</f>
        <v>9.7760000000000013E-4</v>
      </c>
      <c r="AD256" s="2217">
        <f t="shared" si="241"/>
        <v>1.0167040000000002E-3</v>
      </c>
      <c r="AE256" s="2217">
        <f t="shared" si="241"/>
        <v>1.0573721600000002E-3</v>
      </c>
    </row>
    <row r="257" spans="1:113" ht="12.75" customHeight="1">
      <c r="A257" s="664">
        <f>+ROW(InputY!A122)</f>
        <v>122</v>
      </c>
      <c r="B257" s="664" t="s">
        <v>992</v>
      </c>
      <c r="C257" s="782" t="s">
        <v>1767</v>
      </c>
      <c r="D257" s="674" t="s">
        <v>686</v>
      </c>
      <c r="E257" s="783" t="s">
        <v>567</v>
      </c>
      <c r="F257" s="704" t="str">
        <f>+InputY!B122</f>
        <v>YESoc</v>
      </c>
      <c r="G257" s="706">
        <f>+InputY!G122/1000</f>
        <v>4.4400000000000004E-3</v>
      </c>
      <c r="H257" s="706">
        <f>+InputY!H122/1000</f>
        <v>4.1399999999999996E-3</v>
      </c>
      <c r="I257" s="706">
        <f>+InputY!I122/1000</f>
        <v>5.7199999999999994E-3</v>
      </c>
      <c r="J257" s="706">
        <f>+InputY!J122/1000</f>
        <v>7.0899999999999999E-3</v>
      </c>
      <c r="K257" s="706">
        <f>+InputY!K122/1000</f>
        <v>7.7400000000000004E-3</v>
      </c>
      <c r="L257" s="706">
        <f>+InputY!L122/1000</f>
        <v>6.1700000000000001E-3</v>
      </c>
      <c r="M257" s="706">
        <f>+InputY!M122/1000</f>
        <v>4.5999999999999999E-3</v>
      </c>
      <c r="N257" s="706">
        <f>+InputY!N122/1000</f>
        <v>4.3699999999999998E-3</v>
      </c>
      <c r="O257" s="706">
        <f>+InputY!O122/1000</f>
        <v>5.2900000000000004E-3</v>
      </c>
      <c r="P257" s="706">
        <f>+InputY!P122/1000</f>
        <v>5.6229999999999995E-2</v>
      </c>
      <c r="Q257" s="706">
        <f>+InputY!Q122/1000</f>
        <v>0.17993000000000001</v>
      </c>
      <c r="R257" s="706">
        <f>+InputY!R122/1000</f>
        <v>0.26597999999999999</v>
      </c>
      <c r="S257" s="706">
        <f>+InputY!S122/1000</f>
        <v>0.39018000000000003</v>
      </c>
      <c r="T257" s="706">
        <f>+InputY!T122/1000</f>
        <v>0.47537999999999997</v>
      </c>
      <c r="U257" s="706">
        <f>+InputY!U122/1000</f>
        <v>0.24734999999999999</v>
      </c>
      <c r="V257" s="706">
        <f>+InputY!V122/1000</f>
        <v>0.21381999999999998</v>
      </c>
      <c r="W257" s="706">
        <f>+InputY!W122/1000</f>
        <v>0.25058000000000002</v>
      </c>
      <c r="X257" s="706">
        <f>+InputY!X122/1000</f>
        <v>0.21143000000000001</v>
      </c>
      <c r="Y257" s="706">
        <f>+InputY!Y122/1000</f>
        <v>0.29031000000000001</v>
      </c>
      <c r="Z257" s="706">
        <f>+InputY!Z122/1000</f>
        <v>0.27892</v>
      </c>
      <c r="AA257" s="706">
        <f>+InputY!AA122/1000</f>
        <v>0.30210000000000004</v>
      </c>
      <c r="AB257" s="706">
        <f>+InputY!AB122/1000</f>
        <v>0.31881999999999999</v>
      </c>
      <c r="AC257" s="2217">
        <f t="shared" si="241"/>
        <v>0.33794920000000001</v>
      </c>
      <c r="AD257" s="2217">
        <f t="shared" si="241"/>
        <v>0.35822615200000002</v>
      </c>
      <c r="AE257" s="2217">
        <f t="shared" si="241"/>
        <v>0.37971972112000002</v>
      </c>
    </row>
    <row r="258" spans="1:113" ht="12.75" customHeight="1">
      <c r="A258" s="1953">
        <f>ROW(InputY!A246)</f>
        <v>246</v>
      </c>
      <c r="B258" s="664" t="s">
        <v>988</v>
      </c>
      <c r="C258" s="782" t="s">
        <v>1767</v>
      </c>
      <c r="D258" s="674" t="s">
        <v>688</v>
      </c>
      <c r="E258" s="783" t="s">
        <v>840</v>
      </c>
      <c r="F258" s="704" t="s">
        <v>841</v>
      </c>
      <c r="G258" s="706" t="e">
        <f>+InputY!G246/1000</f>
        <v>#VALUE!</v>
      </c>
      <c r="H258" s="706" t="e">
        <f>+InputY!H246/1000</f>
        <v>#VALUE!</v>
      </c>
      <c r="I258" s="706" t="e">
        <f>+InputY!I246/1000</f>
        <v>#VALUE!</v>
      </c>
      <c r="J258" s="706" t="e">
        <f>+InputY!J246/1000</f>
        <v>#VALUE!</v>
      </c>
      <c r="K258" s="706" t="e">
        <f>+InputY!K246/1000</f>
        <v>#VALUE!</v>
      </c>
      <c r="L258" s="706" t="e">
        <f>+InputY!L246/1000</f>
        <v>#VALUE!</v>
      </c>
      <c r="M258" s="706" t="e">
        <f>+InputY!M246/1000</f>
        <v>#VALUE!</v>
      </c>
      <c r="N258" s="706" t="e">
        <f>+InputY!N246/1000</f>
        <v>#VALUE!</v>
      </c>
      <c r="O258" s="706" t="e">
        <f>+InputY!O246/1000</f>
        <v>#VALUE!</v>
      </c>
      <c r="P258" s="706" t="e">
        <f>+InputY!P246/1000</f>
        <v>#VALUE!</v>
      </c>
      <c r="Q258" s="706" t="e">
        <f>+InputY!Q246/1000</f>
        <v>#VALUE!</v>
      </c>
      <c r="R258" s="706" t="e">
        <f>+InputY!R246/1000</f>
        <v>#VALUE!</v>
      </c>
      <c r="S258" s="706" t="e">
        <f>+InputY!S246/1000</f>
        <v>#VALUE!</v>
      </c>
      <c r="T258" s="706">
        <f>+InputY!T246/1000</f>
        <v>1.9E-2</v>
      </c>
      <c r="U258" s="706">
        <f>+InputY!U246/1000</f>
        <v>1.0999999999999999E-2</v>
      </c>
      <c r="V258" s="706">
        <f>+InputY!V246/1000</f>
        <v>3.2000000000000001E-2</v>
      </c>
      <c r="W258" s="706">
        <f>+InputY!W246/1000</f>
        <v>2.5999999999999999E-2</v>
      </c>
      <c r="X258" s="706">
        <f>+InputY!X246/1000</f>
        <v>1E-3</v>
      </c>
      <c r="Y258" s="706">
        <f>+InputY!Y246/1000</f>
        <v>3.0000000000000001E-3</v>
      </c>
      <c r="Z258" s="706">
        <f>+InputY!Z246/1000</f>
        <v>-3.0000000000000001E-3</v>
      </c>
      <c r="AA258" s="706">
        <f>+InputY!AA246/1000</f>
        <v>1E-3</v>
      </c>
      <c r="AB258" s="706">
        <f>+InputY!AB246/1000</f>
        <v>-5.0000000000000001E-3</v>
      </c>
      <c r="AC258" s="2217">
        <f t="shared" si="241"/>
        <v>-5.0000000000000001E-3</v>
      </c>
      <c r="AD258" s="2217">
        <f t="shared" si="241"/>
        <v>-5.0000000000000001E-3</v>
      </c>
      <c r="AE258" s="2217">
        <f t="shared" si="241"/>
        <v>-5.0000000000000001E-3</v>
      </c>
    </row>
    <row r="259" spans="1:113" ht="12.75" customHeight="1">
      <c r="A259" s="664">
        <f>+ROW(InputY!A194)</f>
        <v>194</v>
      </c>
      <c r="B259" s="664" t="s">
        <v>991</v>
      </c>
      <c r="C259" s="784" t="s">
        <v>1769</v>
      </c>
      <c r="D259" s="752" t="s">
        <v>685</v>
      </c>
      <c r="E259" s="753" t="s">
        <v>1339</v>
      </c>
      <c r="F259" s="754" t="str">
        <f>+InputY!B194</f>
        <v>$HTaxSoc(1)</v>
      </c>
      <c r="G259" s="785">
        <f>+InputY!G194/1000</f>
        <v>0.56516999999999995</v>
      </c>
      <c r="H259" s="785">
        <f>+InputY!H194/1000</f>
        <v>0.75261999999999996</v>
      </c>
      <c r="I259" s="785">
        <f>+InputY!I194/1000</f>
        <v>1.0605100000000001</v>
      </c>
      <c r="J259" s="785">
        <f>+InputY!J194/1000</f>
        <v>1.3106500000000001</v>
      </c>
      <c r="K259" s="785">
        <f>+InputY!K194/1000</f>
        <v>1.29495</v>
      </c>
      <c r="L259" s="785">
        <f>+InputY!L194/1000</f>
        <v>1.37117</v>
      </c>
      <c r="M259" s="785">
        <f>+InputY!M194/1000</f>
        <v>1.3836900000000001</v>
      </c>
      <c r="N259" s="785">
        <f>+InputY!N194/1000</f>
        <v>1.4291700000000001</v>
      </c>
      <c r="O259" s="785">
        <f>+InputY!O194/1000</f>
        <v>1.5403800000000001</v>
      </c>
      <c r="P259" s="785">
        <f>+InputY!P194/1000</f>
        <v>1.7726900000000001</v>
      </c>
      <c r="Q259" s="785">
        <f>+InputY!Q194/1000</f>
        <v>2.1060300000000001</v>
      </c>
      <c r="R259" s="785">
        <f>+InputY!R194/1000</f>
        <v>2.5360200000000002</v>
      </c>
      <c r="S259" s="785">
        <f>+InputY!S194/1000</f>
        <v>3.1271399999999998</v>
      </c>
      <c r="T259" s="785">
        <f>+InputY!T194/1000</f>
        <v>3.7217500000000001</v>
      </c>
      <c r="U259" s="785">
        <f>+InputY!U194/1000</f>
        <v>3.7771500000000002</v>
      </c>
      <c r="V259" s="785">
        <f>+InputY!V194/1000</f>
        <v>3.6449099999999999</v>
      </c>
      <c r="W259" s="785">
        <f>+InputY!W194/1000</f>
        <v>3.8609299999999998</v>
      </c>
      <c r="X259" s="785">
        <f>+InputY!X194/1000</f>
        <v>3.9392600000000004</v>
      </c>
      <c r="Y259" s="785">
        <f>+InputY!Y194/1000</f>
        <v>4.1875400000000003</v>
      </c>
      <c r="Z259" s="785">
        <f>+InputY!Z194/1000</f>
        <v>4.4502299999999995</v>
      </c>
      <c r="AA259" s="785">
        <f>+InputY!AA194/1000</f>
        <v>4.7600800000000003</v>
      </c>
      <c r="AB259" s="785">
        <f>+InputY!AB194/1000</f>
        <v>5.1583000000000006</v>
      </c>
      <c r="AC259" s="2232">
        <f>+AC255+AC256+AC257+AC258</f>
        <v>5.7781323307806325</v>
      </c>
      <c r="AD259" s="2232">
        <f>+AD255+AD256+AD257+AD258</f>
        <v>6.1632101573429354</v>
      </c>
      <c r="AE259" s="2232">
        <f>+AE255+AE256+AE257+AE258</f>
        <v>6.5177736483684185</v>
      </c>
    </row>
    <row r="260" spans="1:113" s="1006" customFormat="1">
      <c r="A260" s="664"/>
      <c r="B260" s="998"/>
      <c r="C260" s="1007"/>
      <c r="D260" s="1008"/>
      <c r="E260" s="1011" t="s">
        <v>236</v>
      </c>
      <c r="F260" s="1008" t="s">
        <v>1915</v>
      </c>
      <c r="G260" s="1012">
        <f>+Labour1!G168</f>
        <v>0.54321000000000019</v>
      </c>
      <c r="H260" s="1012">
        <f>+Labour1!H168</f>
        <v>0.72317000000000009</v>
      </c>
      <c r="I260" s="1012">
        <f>+Labour1!I168</f>
        <v>0.94988999999999946</v>
      </c>
      <c r="J260" s="1012">
        <f>+Labour1!J168</f>
        <v>1.1341300000000007</v>
      </c>
      <c r="K260" s="1012">
        <f>+Labour1!K168</f>
        <v>1.12479</v>
      </c>
      <c r="L260" s="1012">
        <f>+Labour1!L168</f>
        <v>1.1280799999999997</v>
      </c>
      <c r="M260" s="1012">
        <f>+Labour1!M168</f>
        <v>1.1358599999999992</v>
      </c>
      <c r="N260" s="1012">
        <f>+Labour1!N168</f>
        <v>1.1770699999999996</v>
      </c>
      <c r="O260" s="1012">
        <f>+Labour1!O168</f>
        <v>1.2726199999999999</v>
      </c>
      <c r="P260" s="1012">
        <f>+Labour1!P168</f>
        <v>1.4763899999999994</v>
      </c>
      <c r="Q260" s="1012">
        <f>+Labour1!Q168</f>
        <v>1.7623499999999996</v>
      </c>
      <c r="R260" s="1012">
        <f>+Labour1!R168</f>
        <v>2.1425400000000021</v>
      </c>
      <c r="S260" s="1012">
        <f>+Labour1!S168</f>
        <v>2.6613500000000005</v>
      </c>
      <c r="T260" s="2287">
        <f>+Labour1!T168</f>
        <v>3.1857199999999999</v>
      </c>
      <c r="U260" s="2287">
        <f>+Labour1!U168</f>
        <v>2.6654500000000017</v>
      </c>
      <c r="V260" s="2287">
        <f>+Labour1!V168</f>
        <v>2.4507899999999978</v>
      </c>
      <c r="W260" s="2287">
        <f>+Labour1!W168</f>
        <v>2.6307100000000023</v>
      </c>
      <c r="X260" s="2287">
        <f>+Labour1!X168</f>
        <v>2.72058</v>
      </c>
      <c r="Y260" s="2287">
        <f>+Labour1!Y168</f>
        <v>2.9126300000000001</v>
      </c>
      <c r="Z260" s="2287">
        <f>+Labour1!Z168</f>
        <v>3.1038099999999993</v>
      </c>
      <c r="AA260" s="2287">
        <f>+Labour1!AA168</f>
        <v>3.3287100000000009</v>
      </c>
      <c r="AB260" s="2287">
        <f>+Labour1!AB168</f>
        <v>3.634389999999998</v>
      </c>
      <c r="AC260" s="2287">
        <f>+Labour1!AC168</f>
        <v>4.0717968551750845</v>
      </c>
      <c r="AD260" s="2287">
        <f>+Labour1!AD168</f>
        <v>4.371979940608524</v>
      </c>
      <c r="AE260" s="2287">
        <f>+Labour1!AE168</f>
        <v>4.6386321981000798</v>
      </c>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row>
    <row r="261" spans="1:113" s="1006" customFormat="1">
      <c r="A261" s="664"/>
      <c r="B261" s="998"/>
      <c r="C261" s="1007"/>
      <c r="D261" s="1008"/>
      <c r="E261" s="1011" t="s">
        <v>1079</v>
      </c>
      <c r="F261" s="1008" t="s">
        <v>14</v>
      </c>
      <c r="G261" s="1012">
        <f>+G259-G260</f>
        <v>2.1959999999999757E-2</v>
      </c>
      <c r="H261" s="1012">
        <f t="shared" ref="H261:Y261" si="242">+H259-H260</f>
        <v>2.9449999999999865E-2</v>
      </c>
      <c r="I261" s="1012">
        <f t="shared" si="242"/>
        <v>0.11062000000000061</v>
      </c>
      <c r="J261" s="1012">
        <f t="shared" si="242"/>
        <v>0.17651999999999934</v>
      </c>
      <c r="K261" s="1012">
        <f t="shared" si="242"/>
        <v>0.17016000000000009</v>
      </c>
      <c r="L261" s="1012">
        <f t="shared" si="242"/>
        <v>0.24309000000000025</v>
      </c>
      <c r="M261" s="1012">
        <f t="shared" si="242"/>
        <v>0.24783000000000088</v>
      </c>
      <c r="N261" s="1012">
        <f t="shared" si="242"/>
        <v>0.25210000000000043</v>
      </c>
      <c r="O261" s="1012">
        <f t="shared" si="242"/>
        <v>0.26776000000000022</v>
      </c>
      <c r="P261" s="1012">
        <f t="shared" si="242"/>
        <v>0.29630000000000067</v>
      </c>
      <c r="Q261" s="1012">
        <f t="shared" si="242"/>
        <v>0.34368000000000043</v>
      </c>
      <c r="R261" s="1012">
        <f t="shared" si="242"/>
        <v>0.39347999999999805</v>
      </c>
      <c r="S261" s="1012">
        <f t="shared" si="242"/>
        <v>0.46578999999999926</v>
      </c>
      <c r="T261" s="2287">
        <f t="shared" si="242"/>
        <v>0.53603000000000023</v>
      </c>
      <c r="U261" s="2287">
        <f t="shared" si="242"/>
        <v>1.1116999999999986</v>
      </c>
      <c r="V261" s="2287">
        <f t="shared" si="242"/>
        <v>1.1941200000000021</v>
      </c>
      <c r="W261" s="2287">
        <f t="shared" si="242"/>
        <v>1.2302199999999974</v>
      </c>
      <c r="X261" s="2287">
        <f t="shared" si="242"/>
        <v>1.2186800000000004</v>
      </c>
      <c r="Y261" s="2287">
        <f t="shared" si="242"/>
        <v>1.2749100000000002</v>
      </c>
      <c r="Z261" s="2287">
        <f t="shared" ref="Z261:AE261" si="243">+Z259-Z260</f>
        <v>1.3464200000000002</v>
      </c>
      <c r="AA261" s="2287">
        <f t="shared" si="243"/>
        <v>1.4313699999999994</v>
      </c>
      <c r="AB261" s="2287">
        <f t="shared" si="243"/>
        <v>1.5239100000000025</v>
      </c>
      <c r="AC261" s="2287">
        <f t="shared" si="243"/>
        <v>1.706335475605548</v>
      </c>
      <c r="AD261" s="2287">
        <f t="shared" si="243"/>
        <v>1.7912302167344114</v>
      </c>
      <c r="AE261" s="2287">
        <f t="shared" si="243"/>
        <v>1.8791414502683388</v>
      </c>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row>
    <row r="262" spans="1:113" s="1972" customFormat="1" ht="12.75" customHeight="1">
      <c r="A262" s="998"/>
      <c r="B262" s="998"/>
      <c r="C262" s="1595"/>
      <c r="D262" s="1011"/>
      <c r="E262" s="1973" t="s">
        <v>737</v>
      </c>
      <c r="F262" s="1974"/>
      <c r="G262" s="1002" t="e">
        <f>ABS(+G255+G256+G257+G258-G259)</f>
        <v>#VALUE!</v>
      </c>
      <c r="H262" s="1002" t="e">
        <f t="shared" ref="H262:T262" si="244">ABS(+H255+H256+H257+H258-H259)</f>
        <v>#VALUE!</v>
      </c>
      <c r="I262" s="1002" t="e">
        <f t="shared" si="244"/>
        <v>#VALUE!</v>
      </c>
      <c r="J262" s="1002" t="e">
        <f t="shared" si="244"/>
        <v>#VALUE!</v>
      </c>
      <c r="K262" s="1002" t="e">
        <f t="shared" si="244"/>
        <v>#VALUE!</v>
      </c>
      <c r="L262" s="1002" t="e">
        <f t="shared" si="244"/>
        <v>#VALUE!</v>
      </c>
      <c r="M262" s="1002" t="e">
        <f t="shared" si="244"/>
        <v>#VALUE!</v>
      </c>
      <c r="N262" s="1002" t="e">
        <f t="shared" si="244"/>
        <v>#VALUE!</v>
      </c>
      <c r="O262" s="1002" t="e">
        <f t="shared" si="244"/>
        <v>#VALUE!</v>
      </c>
      <c r="P262" s="1002" t="e">
        <f t="shared" si="244"/>
        <v>#VALUE!</v>
      </c>
      <c r="Q262" s="1002" t="e">
        <f t="shared" si="244"/>
        <v>#VALUE!</v>
      </c>
      <c r="R262" s="1002" t="e">
        <f>ABS(+R255+R256+R257+R258-R259)</f>
        <v>#VALUE!</v>
      </c>
      <c r="S262" s="1002" t="e">
        <f>ABS(+S255+S256+S257+S258-S259)</f>
        <v>#VALUE!</v>
      </c>
      <c r="T262" s="2906">
        <f t="shared" si="244"/>
        <v>3.0000000000196536E-5</v>
      </c>
      <c r="U262" s="2906">
        <f t="shared" ref="U262:Z262" si="245">ABS(+U255+U256+U257+U258-U259)</f>
        <v>3.3400000000001207E-3</v>
      </c>
      <c r="V262" s="2906">
        <f t="shared" si="245"/>
        <v>1.7000000000022553E-4</v>
      </c>
      <c r="W262" s="2906">
        <f t="shared" si="245"/>
        <v>9.0000000000145519E-5</v>
      </c>
      <c r="X262" s="2906">
        <f t="shared" si="245"/>
        <v>5.0000000000061107E-4</v>
      </c>
      <c r="Y262" s="2906">
        <f t="shared" si="245"/>
        <v>6.0000000000037801E-4</v>
      </c>
      <c r="Z262" s="2906">
        <f t="shared" si="245"/>
        <v>4.2000000000097515E-4</v>
      </c>
      <c r="AA262" s="2906">
        <f>ABS(+AA255+AA256+AA257+AA258-AA259)</f>
        <v>2.6000000000081513E-4</v>
      </c>
      <c r="AB262" s="2906">
        <f>ABS(+AB255+AB256+AB257+AB258-AB259)</f>
        <v>5.5999999999922778E-4</v>
      </c>
      <c r="AC262" s="2906">
        <f>ABS(+AC255+AC256+AC257+AC258-AC259)</f>
        <v>0</v>
      </c>
      <c r="AD262" s="2906">
        <f>ABS(+AD255+AD256+AD257+AD258-AD259)</f>
        <v>0</v>
      </c>
      <c r="AE262" s="2906">
        <f>ABS(+AE255+AE256+AE257+AE258-AE259)</f>
        <v>0</v>
      </c>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row>
    <row r="263" spans="1:113">
      <c r="A263" s="3148"/>
      <c r="B263" s="3148"/>
      <c r="E263" s="699" t="s">
        <v>67</v>
      </c>
      <c r="G263" s="699">
        <v>6.7722017997638027</v>
      </c>
      <c r="H263" s="699">
        <v>8.8065055082754657</v>
      </c>
      <c r="I263" s="699">
        <v>10.590898401776771</v>
      </c>
      <c r="J263" s="699">
        <v>12.252603815558851</v>
      </c>
      <c r="K263" s="699">
        <v>12.680693983019566</v>
      </c>
      <c r="L263" s="699">
        <v>12.617507830296127</v>
      </c>
      <c r="M263" s="699">
        <v>13.717846479108324</v>
      </c>
      <c r="N263" s="699">
        <v>14.550428702388869</v>
      </c>
      <c r="O263" s="699">
        <v>15.878881768267926</v>
      </c>
      <c r="Q263" s="703"/>
      <c r="R263" s="703"/>
      <c r="S263" s="703"/>
      <c r="T263" s="2286"/>
      <c r="U263" s="2286"/>
      <c r="V263" s="2286"/>
      <c r="W263" s="2286"/>
      <c r="X263" s="2286"/>
      <c r="Y263" s="2286"/>
      <c r="Z263" s="2286"/>
      <c r="AA263" s="2286"/>
      <c r="AB263" s="2286"/>
      <c r="AC263" s="2286"/>
      <c r="AD263" s="2286"/>
      <c r="AE263" s="2286"/>
      <c r="AF263" s="217"/>
      <c r="AG263" s="217"/>
      <c r="AH263" s="217"/>
      <c r="AI263" s="217"/>
      <c r="AJ263" s="217"/>
      <c r="AK263" s="217"/>
      <c r="AL263" s="217"/>
      <c r="AM263" s="217"/>
      <c r="AN263" s="217"/>
      <c r="AO263" s="217"/>
      <c r="AP263" s="217"/>
      <c r="AQ263" s="217"/>
      <c r="AR263" s="217"/>
      <c r="AS263" s="217"/>
      <c r="AT263" s="217"/>
      <c r="AU263" s="217"/>
      <c r="AV263" s="217"/>
      <c r="AW263" s="217"/>
      <c r="AX263" s="217"/>
      <c r="AY263" s="217"/>
      <c r="AZ263" s="217"/>
      <c r="BA263" s="217"/>
      <c r="BB263" s="217"/>
      <c r="BC263" s="217"/>
      <c r="BD263" s="217"/>
      <c r="BE263" s="217"/>
      <c r="BF263" s="217"/>
      <c r="BG263" s="217"/>
      <c r="BH263" s="217"/>
      <c r="BI263" s="217"/>
      <c r="BJ263" s="217"/>
      <c r="BK263" s="217"/>
      <c r="BL263" s="217"/>
      <c r="BM263" s="217"/>
      <c r="BN263" s="217"/>
      <c r="BO263" s="217"/>
      <c r="BP263" s="217"/>
      <c r="BQ263" s="217"/>
      <c r="BR263" s="217"/>
      <c r="BS263" s="217"/>
      <c r="BT263" s="217"/>
      <c r="BU263" s="217"/>
      <c r="BV263" s="217"/>
      <c r="BW263" s="217"/>
      <c r="BX263" s="217"/>
      <c r="BY263" s="217"/>
      <c r="BZ263" s="217"/>
      <c r="CA263" s="217"/>
      <c r="CB263" s="217"/>
      <c r="CC263" s="217"/>
      <c r="CD263" s="217"/>
      <c r="CE263" s="217"/>
      <c r="CF263" s="217"/>
      <c r="CG263" s="217"/>
      <c r="CH263" s="217"/>
      <c r="CI263" s="217"/>
      <c r="CJ263" s="217"/>
      <c r="CK263" s="217"/>
      <c r="CL263" s="217"/>
      <c r="CM263" s="217"/>
      <c r="CN263" s="217"/>
      <c r="CO263" s="217"/>
      <c r="CP263" s="217"/>
      <c r="CQ263" s="217"/>
      <c r="CR263" s="217"/>
      <c r="CS263" s="217"/>
      <c r="CT263" s="217"/>
      <c r="CU263" s="217"/>
      <c r="CV263" s="217"/>
      <c r="CW263" s="217"/>
      <c r="CX263" s="217"/>
      <c r="CY263" s="217"/>
      <c r="CZ263" s="217"/>
      <c r="DA263" s="217"/>
      <c r="DB263" s="217"/>
      <c r="DC263" s="217"/>
      <c r="DD263" s="217"/>
      <c r="DE263" s="217"/>
      <c r="DF263" s="217"/>
      <c r="DG263" s="217"/>
      <c r="DH263" s="217"/>
      <c r="DI263" s="217"/>
    </row>
    <row r="264" spans="1:113" ht="12.75" customHeight="1">
      <c r="A264" s="664"/>
      <c r="B264" s="664"/>
      <c r="C264" s="774"/>
      <c r="D264" s="742"/>
      <c r="E264" s="743" t="s">
        <v>1311</v>
      </c>
      <c r="F264" s="744"/>
      <c r="G264" s="745">
        <f>+InputY!$G$3</f>
        <v>1995</v>
      </c>
      <c r="H264" s="745">
        <f>+G264+1</f>
        <v>1996</v>
      </c>
      <c r="I264" s="745">
        <f t="shared" ref="I264:O264" si="246">+H264+1</f>
        <v>1997</v>
      </c>
      <c r="J264" s="745">
        <f t="shared" si="246"/>
        <v>1998</v>
      </c>
      <c r="K264" s="745">
        <f>+J264+1</f>
        <v>1999</v>
      </c>
      <c r="L264" s="745">
        <f t="shared" si="246"/>
        <v>2000</v>
      </c>
      <c r="M264" s="745">
        <f t="shared" si="246"/>
        <v>2001</v>
      </c>
      <c r="N264" s="745">
        <f t="shared" si="246"/>
        <v>2002</v>
      </c>
      <c r="O264" s="745">
        <f t="shared" si="246"/>
        <v>2003</v>
      </c>
      <c r="P264" s="745">
        <f t="shared" ref="P264:W264" si="247">+O264+1</f>
        <v>2004</v>
      </c>
      <c r="Q264" s="745">
        <f t="shared" si="247"/>
        <v>2005</v>
      </c>
      <c r="R264" s="745">
        <f t="shared" si="247"/>
        <v>2006</v>
      </c>
      <c r="S264" s="745">
        <f t="shared" si="247"/>
        <v>2007</v>
      </c>
      <c r="T264" s="2211">
        <f t="shared" si="247"/>
        <v>2008</v>
      </c>
      <c r="U264" s="2211">
        <f t="shared" si="247"/>
        <v>2009</v>
      </c>
      <c r="V264" s="2211">
        <f t="shared" si="247"/>
        <v>2010</v>
      </c>
      <c r="W264" s="2211">
        <f t="shared" si="247"/>
        <v>2011</v>
      </c>
      <c r="X264" s="2211">
        <f t="shared" ref="X264:AE264" si="248">+W264+1</f>
        <v>2012</v>
      </c>
      <c r="Y264" s="2211">
        <f t="shared" si="248"/>
        <v>2013</v>
      </c>
      <c r="Z264" s="2211">
        <f t="shared" si="248"/>
        <v>2014</v>
      </c>
      <c r="AA264" s="2211">
        <f t="shared" si="248"/>
        <v>2015</v>
      </c>
      <c r="AB264" s="2211">
        <f t="shared" si="248"/>
        <v>2016</v>
      </c>
      <c r="AC264" s="2211">
        <f t="shared" si="248"/>
        <v>2017</v>
      </c>
      <c r="AD264" s="2211">
        <f t="shared" si="248"/>
        <v>2018</v>
      </c>
      <c r="AE264" s="2211">
        <f t="shared" si="248"/>
        <v>2019</v>
      </c>
    </row>
    <row r="265" spans="1:113" ht="12.75" customHeight="1">
      <c r="A265" s="664"/>
      <c r="B265" s="664"/>
      <c r="C265" s="794" t="s">
        <v>1767</v>
      </c>
      <c r="D265" s="689" t="s">
        <v>687</v>
      </c>
      <c r="E265" s="738" t="s">
        <v>982</v>
      </c>
      <c r="F265" s="733" t="s">
        <v>2006</v>
      </c>
      <c r="G265" s="739"/>
      <c r="H265" s="739">
        <f t="shared" ref="H265:H273" si="249">(H253/G253-1)*100</f>
        <v>33.508583690987123</v>
      </c>
      <c r="I265" s="739">
        <f t="shared" ref="I265:AB265" si="250">(I253/H253-1)*100</f>
        <v>40.953414235580922</v>
      </c>
      <c r="J265" s="739">
        <f t="shared" si="250"/>
        <v>23.56960269117101</v>
      </c>
      <c r="K265" s="739">
        <f t="shared" ref="K265:K273" si="251">(K253/J253-1)*100</f>
        <v>-1.2250453720508148</v>
      </c>
      <c r="L265" s="739">
        <f t="shared" si="250"/>
        <v>6.0610543198150069</v>
      </c>
      <c r="M265" s="739">
        <f t="shared" si="250"/>
        <v>1.0386998267610359</v>
      </c>
      <c r="N265" s="739">
        <f t="shared" si="250"/>
        <v>3.3419788874116341</v>
      </c>
      <c r="O265" s="739">
        <f t="shared" si="250"/>
        <v>7.7529298454053874</v>
      </c>
      <c r="P265" s="739">
        <f t="shared" si="250"/>
        <v>8.5821844967410641</v>
      </c>
      <c r="Q265" s="739">
        <f t="shared" si="250"/>
        <v>12.091933303289771</v>
      </c>
      <c r="R265" s="739">
        <f t="shared" si="250"/>
        <v>17.810870066309658</v>
      </c>
      <c r="S265" s="739">
        <f t="shared" si="250"/>
        <v>20.387214196337155</v>
      </c>
      <c r="T265" s="739">
        <f t="shared" si="250"/>
        <v>17.725384664809638</v>
      </c>
      <c r="U265" s="739">
        <f t="shared" si="250"/>
        <v>9.2532722912298979</v>
      </c>
      <c r="V265" s="739">
        <f t="shared" si="250"/>
        <v>-3.1577926600274475</v>
      </c>
      <c r="W265" s="739">
        <f t="shared" si="250"/>
        <v>5.4640348348530487</v>
      </c>
      <c r="X265" s="739">
        <f t="shared" si="250"/>
        <v>3.9241919427325245</v>
      </c>
      <c r="Y265" s="739">
        <f t="shared" si="250"/>
        <v>5.0451133856218355</v>
      </c>
      <c r="Z265" s="739">
        <f t="shared" si="250"/>
        <v>7.1260647718647263</v>
      </c>
      <c r="AA265" s="739">
        <f t="shared" si="250"/>
        <v>6.7775093366661876</v>
      </c>
      <c r="AB265" s="739">
        <f t="shared" si="250"/>
        <v>8.6562521600884743</v>
      </c>
      <c r="AC265" s="2215">
        <v>12.38838031379683</v>
      </c>
      <c r="AD265" s="3354">
        <v>6.7</v>
      </c>
      <c r="AE265" s="3354">
        <v>5.7330199408850859</v>
      </c>
      <c r="AF265" s="3654" t="s">
        <v>2597</v>
      </c>
    </row>
    <row r="266" spans="1:113" ht="12.75" customHeight="1">
      <c r="A266" s="664"/>
      <c r="B266" s="664"/>
      <c r="C266" s="795" t="s">
        <v>1767</v>
      </c>
      <c r="D266" s="674" t="s">
        <v>687</v>
      </c>
      <c r="E266" s="783" t="s">
        <v>2079</v>
      </c>
      <c r="F266" s="704" t="s">
        <v>385</v>
      </c>
      <c r="G266" s="706"/>
      <c r="H266" s="706">
        <f t="shared" si="249"/>
        <v>36.290322580645153</v>
      </c>
      <c r="I266" s="706">
        <f t="shared" ref="I266:AB273" si="252">(I254/H254-1)*100</f>
        <v>26.035502958579883</v>
      </c>
      <c r="J266" s="706">
        <f t="shared" si="252"/>
        <v>26.760563380281699</v>
      </c>
      <c r="K266" s="706">
        <f t="shared" si="251"/>
        <v>3.7037037037036979</v>
      </c>
      <c r="L266" s="706">
        <f t="shared" si="252"/>
        <v>-6.7857142857142723</v>
      </c>
      <c r="M266" s="706">
        <f t="shared" si="252"/>
        <v>2.6819923371647514</v>
      </c>
      <c r="N266" s="706">
        <f t="shared" si="252"/>
        <v>3.7313432835820892</v>
      </c>
      <c r="O266" s="706">
        <f t="shared" si="252"/>
        <v>3.9568345323740983</v>
      </c>
      <c r="P266" s="706">
        <f t="shared" si="252"/>
        <v>1701.0380622837367</v>
      </c>
      <c r="Q266" s="706">
        <f t="shared" si="252"/>
        <v>16.388088376560983</v>
      </c>
      <c r="R266" s="706">
        <f t="shared" si="252"/>
        <v>19.049191152195455</v>
      </c>
      <c r="S266" s="706">
        <f t="shared" si="252"/>
        <v>26.136993899057103</v>
      </c>
      <c r="T266" s="706">
        <f t="shared" si="252"/>
        <v>22.765746949543807</v>
      </c>
      <c r="U266" s="706">
        <f t="shared" si="252"/>
        <v>5.9455587392550191</v>
      </c>
      <c r="V266" s="706">
        <f t="shared" si="252"/>
        <v>-13.007099391480725</v>
      </c>
      <c r="W266" s="706">
        <f t="shared" si="252"/>
        <v>4.7022248129796829</v>
      </c>
      <c r="X266" s="706">
        <f t="shared" si="252"/>
        <v>5.2890414772200245</v>
      </c>
      <c r="Y266" s="706">
        <f t="shared" si="252"/>
        <v>-13.184101524632064</v>
      </c>
      <c r="Z266" s="706">
        <f t="shared" si="252"/>
        <v>10.760328900619221</v>
      </c>
      <c r="AA266" s="706">
        <f t="shared" si="252"/>
        <v>6.534689762624879</v>
      </c>
      <c r="AB266" s="706">
        <f t="shared" si="252"/>
        <v>10.383688919476963</v>
      </c>
      <c r="AC266" s="2259">
        <f>+AC265</f>
        <v>12.38838031379683</v>
      </c>
      <c r="AD266" s="2259">
        <f>+AD265</f>
        <v>6.7</v>
      </c>
      <c r="AE266" s="2259">
        <f>+AE265</f>
        <v>5.7330199408850859</v>
      </c>
    </row>
    <row r="267" spans="1:113" ht="12.75" customHeight="1">
      <c r="A267" s="664"/>
      <c r="B267" s="664"/>
      <c r="C267" s="795" t="s">
        <v>1769</v>
      </c>
      <c r="D267" s="717" t="s">
        <v>687</v>
      </c>
      <c r="E267" s="722" t="s">
        <v>567</v>
      </c>
      <c r="F267" s="723" t="s">
        <v>1805</v>
      </c>
      <c r="G267" s="721"/>
      <c r="H267" s="721">
        <f t="shared" si="249"/>
        <v>33.514738419812986</v>
      </c>
      <c r="I267" s="721">
        <f t="shared" si="252"/>
        <v>40.91972149090568</v>
      </c>
      <c r="J267" s="721">
        <f t="shared" si="252"/>
        <v>23.576048403922378</v>
      </c>
      <c r="K267" s="721">
        <f t="shared" si="251"/>
        <v>-1.2148327782297019</v>
      </c>
      <c r="L267" s="721">
        <f t="shared" si="252"/>
        <v>6.0331098560474805</v>
      </c>
      <c r="M267" s="721">
        <f t="shared" si="252"/>
        <v>1.0418421997377081</v>
      </c>
      <c r="N267" s="721">
        <f t="shared" si="252"/>
        <v>3.342735532336083</v>
      </c>
      <c r="O267" s="721">
        <f t="shared" si="252"/>
        <v>7.7455252208446401</v>
      </c>
      <c r="P267" s="721">
        <f t="shared" si="252"/>
        <v>11.76738734045324</v>
      </c>
      <c r="Q267" s="721">
        <f t="shared" si="252"/>
        <v>12.222222222222246</v>
      </c>
      <c r="R267" s="721">
        <f t="shared" si="252"/>
        <v>17.849818542420557</v>
      </c>
      <c r="S267" s="721">
        <f t="shared" si="252"/>
        <v>20.569900478882055</v>
      </c>
      <c r="T267" s="721">
        <f t="shared" si="252"/>
        <v>17.89292526253481</v>
      </c>
      <c r="U267" s="721">
        <f t="shared" si="252"/>
        <v>9.1387801529225534</v>
      </c>
      <c r="V267" s="721">
        <f t="shared" si="252"/>
        <v>-3.4887386300062828</v>
      </c>
      <c r="W267" s="721">
        <f t="shared" si="252"/>
        <v>5.4409618417645467</v>
      </c>
      <c r="X267" s="721">
        <f t="shared" si="252"/>
        <v>3.9652396194664874</v>
      </c>
      <c r="Y267" s="721">
        <f t="shared" si="252"/>
        <v>4.4898912354917941</v>
      </c>
      <c r="Z267" s="721">
        <f t="shared" si="252"/>
        <v>7.2180335238584581</v>
      </c>
      <c r="AA267" s="2948">
        <f>(AA255/Z255-1)*100</f>
        <v>6.7711615269794967</v>
      </c>
      <c r="AB267" s="2948">
        <f>(AB255/AA255-1)*100</f>
        <v>8.7013109412656942</v>
      </c>
      <c r="AC267" s="2220">
        <f>(AC255/AB255-1)*100</f>
        <v>12.388380313796855</v>
      </c>
      <c r="AD267" s="2220">
        <f>(AD255/AC255-1)*100</f>
        <v>6.6999999999999948</v>
      </c>
      <c r="AE267" s="2220">
        <f>(AE255/AD255-1)*100</f>
        <v>5.7330199408850646</v>
      </c>
    </row>
    <row r="268" spans="1:113" ht="12.75" customHeight="1">
      <c r="A268" s="664"/>
      <c r="B268" s="664"/>
      <c r="C268" s="795" t="s">
        <v>1767</v>
      </c>
      <c r="D268" s="674" t="s">
        <v>685</v>
      </c>
      <c r="E268" s="783" t="s">
        <v>567</v>
      </c>
      <c r="F268" s="704" t="s">
        <v>11</v>
      </c>
      <c r="G268" s="706"/>
      <c r="H268" s="706">
        <f t="shared" si="249"/>
        <v>-21.42857142857142</v>
      </c>
      <c r="I268" s="706">
        <f t="shared" si="252"/>
        <v>49.999999999999979</v>
      </c>
      <c r="J268" s="706">
        <f t="shared" si="252"/>
        <v>48.484848484848506</v>
      </c>
      <c r="K268" s="706">
        <f t="shared" si="251"/>
        <v>-28.571428571428569</v>
      </c>
      <c r="L268" s="706">
        <f t="shared" si="252"/>
        <v>31.428571428571406</v>
      </c>
      <c r="M268" s="706">
        <f t="shared" si="252"/>
        <v>-13.043478260869568</v>
      </c>
      <c r="N268" s="706">
        <f t="shared" si="252"/>
        <v>-7.4999999999999956</v>
      </c>
      <c r="O268" s="706">
        <f t="shared" si="252"/>
        <v>13.513513513513509</v>
      </c>
      <c r="P268" s="706">
        <f t="shared" si="252"/>
        <v>4.7619047619047672</v>
      </c>
      <c r="Q268" s="706">
        <f t="shared" si="252"/>
        <v>27.27272727272727</v>
      </c>
      <c r="R268" s="706">
        <f t="shared" si="252"/>
        <v>21.42857142857142</v>
      </c>
      <c r="S268" s="706">
        <f t="shared" si="252"/>
        <v>25</v>
      </c>
      <c r="T268" s="706">
        <f t="shared" si="252"/>
        <v>2.3529411764706021</v>
      </c>
      <c r="U268" s="706">
        <f t="shared" si="252"/>
        <v>-6.8965517241379342</v>
      </c>
      <c r="V268" s="706">
        <f t="shared" si="252"/>
        <v>-3.703703703703709</v>
      </c>
      <c r="W268" s="706">
        <f t="shared" si="252"/>
        <v>11.538461538461565</v>
      </c>
      <c r="X268" s="706">
        <f t="shared" si="252"/>
        <v>-2.298850574712652</v>
      </c>
      <c r="Y268" s="706">
        <f t="shared" si="252"/>
        <v>3.529411764705892</v>
      </c>
      <c r="Z268" s="706">
        <f t="shared" si="252"/>
        <v>13.636363636363624</v>
      </c>
      <c r="AA268" s="706">
        <f t="shared" si="252"/>
        <v>-10.000000000000009</v>
      </c>
      <c r="AB268" s="706">
        <f t="shared" si="252"/>
        <v>4.4444444444444509</v>
      </c>
      <c r="AC268" s="2259">
        <v>4</v>
      </c>
      <c r="AD268" s="2259">
        <v>4</v>
      </c>
      <c r="AE268" s="2259">
        <v>4</v>
      </c>
    </row>
    <row r="269" spans="1:113" ht="12.75" customHeight="1">
      <c r="A269" s="664"/>
      <c r="B269" s="664"/>
      <c r="C269" s="795" t="s">
        <v>1767</v>
      </c>
      <c r="D269" s="674" t="s">
        <v>686</v>
      </c>
      <c r="E269" s="783" t="s">
        <v>567</v>
      </c>
      <c r="F269" s="704" t="s">
        <v>1555</v>
      </c>
      <c r="G269" s="706"/>
      <c r="H269" s="706">
        <f t="shared" si="249"/>
        <v>-6.7567567567567766</v>
      </c>
      <c r="I269" s="706">
        <f t="shared" si="252"/>
        <v>38.164251207729464</v>
      </c>
      <c r="J269" s="706">
        <f t="shared" si="252"/>
        <v>23.951048951048961</v>
      </c>
      <c r="K269" s="706">
        <f t="shared" si="251"/>
        <v>9.1678420310296271</v>
      </c>
      <c r="L269" s="706">
        <f t="shared" si="252"/>
        <v>-20.284237726098198</v>
      </c>
      <c r="M269" s="706">
        <f t="shared" si="252"/>
        <v>-25.445705024311181</v>
      </c>
      <c r="N269" s="706">
        <f t="shared" si="252"/>
        <v>-5.0000000000000044</v>
      </c>
      <c r="O269" s="706">
        <f t="shared" si="252"/>
        <v>21.052631578947391</v>
      </c>
      <c r="P269" s="706">
        <f t="shared" si="252"/>
        <v>962.94896030245741</v>
      </c>
      <c r="Q269" s="706">
        <f t="shared" si="252"/>
        <v>219.9893295393918</v>
      </c>
      <c r="R269" s="706">
        <f t="shared" si="252"/>
        <v>47.824153837603504</v>
      </c>
      <c r="S269" s="706">
        <f t="shared" si="252"/>
        <v>46.695240243627346</v>
      </c>
      <c r="T269" s="706">
        <f t="shared" si="252"/>
        <v>21.836075657388875</v>
      </c>
      <c r="U269" s="706">
        <f t="shared" si="252"/>
        <v>-47.967941436324622</v>
      </c>
      <c r="V269" s="706">
        <f t="shared" si="252"/>
        <v>-13.555690317364066</v>
      </c>
      <c r="W269" s="706">
        <f t="shared" si="252"/>
        <v>17.19203068001125</v>
      </c>
      <c r="X269" s="706">
        <f t="shared" si="252"/>
        <v>-15.623752893287579</v>
      </c>
      <c r="Y269" s="706">
        <f t="shared" si="252"/>
        <v>37.307856027999819</v>
      </c>
      <c r="Z269" s="706">
        <f t="shared" si="252"/>
        <v>-3.9233922358857809</v>
      </c>
      <c r="AA269" s="706">
        <f t="shared" si="252"/>
        <v>8.3106267029972933</v>
      </c>
      <c r="AB269" s="706">
        <f t="shared" si="252"/>
        <v>5.53459119496853</v>
      </c>
      <c r="AC269" s="2215">
        <v>6</v>
      </c>
      <c r="AD269" s="2215">
        <v>6</v>
      </c>
      <c r="AE269" s="2215">
        <v>6</v>
      </c>
      <c r="AF269" s="3661" t="s">
        <v>2598</v>
      </c>
    </row>
    <row r="270" spans="1:113" ht="12.75" customHeight="1">
      <c r="A270" s="664"/>
      <c r="B270" s="664"/>
      <c r="C270" s="796" t="s">
        <v>1767</v>
      </c>
      <c r="D270" s="691" t="s">
        <v>688</v>
      </c>
      <c r="E270" s="797" t="s">
        <v>840</v>
      </c>
      <c r="F270" s="736" t="s">
        <v>841</v>
      </c>
      <c r="G270" s="741"/>
      <c r="H270" s="741" t="e">
        <f t="shared" si="249"/>
        <v>#VALUE!</v>
      </c>
      <c r="I270" s="741" t="e">
        <f t="shared" si="252"/>
        <v>#VALUE!</v>
      </c>
      <c r="J270" s="741" t="e">
        <f t="shared" si="252"/>
        <v>#VALUE!</v>
      </c>
      <c r="K270" s="741" t="e">
        <f t="shared" si="251"/>
        <v>#VALUE!</v>
      </c>
      <c r="L270" s="741" t="e">
        <f t="shared" si="252"/>
        <v>#VALUE!</v>
      </c>
      <c r="M270" s="741" t="e">
        <f t="shared" si="252"/>
        <v>#VALUE!</v>
      </c>
      <c r="N270" s="741" t="e">
        <f t="shared" si="252"/>
        <v>#VALUE!</v>
      </c>
      <c r="O270" s="741" t="e">
        <f t="shared" si="252"/>
        <v>#VALUE!</v>
      </c>
      <c r="P270" s="741" t="e">
        <f t="shared" si="252"/>
        <v>#VALUE!</v>
      </c>
      <c r="Q270" s="741" t="e">
        <f t="shared" si="252"/>
        <v>#VALUE!</v>
      </c>
      <c r="R270" s="741" t="e">
        <f t="shared" si="252"/>
        <v>#VALUE!</v>
      </c>
      <c r="S270" s="741" t="e">
        <f t="shared" ref="S270:AB270" si="253">(S258/R258-1)*100</f>
        <v>#VALUE!</v>
      </c>
      <c r="T270" s="741" t="e">
        <f t="shared" si="253"/>
        <v>#VALUE!</v>
      </c>
      <c r="U270" s="741">
        <f t="shared" si="253"/>
        <v>-42.105263157894733</v>
      </c>
      <c r="V270" s="741">
        <f t="shared" si="253"/>
        <v>190.90909090909091</v>
      </c>
      <c r="W270" s="741">
        <f t="shared" si="253"/>
        <v>-18.75</v>
      </c>
      <c r="X270" s="741">
        <f t="shared" si="253"/>
        <v>-96.15384615384616</v>
      </c>
      <c r="Y270" s="741">
        <f t="shared" si="253"/>
        <v>200</v>
      </c>
      <c r="Z270" s="741">
        <f t="shared" si="253"/>
        <v>-200</v>
      </c>
      <c r="AA270" s="741">
        <f t="shared" si="253"/>
        <v>-133.33333333333331</v>
      </c>
      <c r="AB270" s="741">
        <f t="shared" si="253"/>
        <v>-600</v>
      </c>
      <c r="AC270" s="2214">
        <v>0</v>
      </c>
      <c r="AD270" s="2214">
        <v>0</v>
      </c>
      <c r="AE270" s="2214">
        <v>0</v>
      </c>
      <c r="AF270" s="3655"/>
    </row>
    <row r="271" spans="1:113" ht="12.75" customHeight="1">
      <c r="A271" s="664"/>
      <c r="B271" s="664"/>
      <c r="C271" s="774" t="s">
        <v>1769</v>
      </c>
      <c r="D271" s="717" t="s">
        <v>685</v>
      </c>
      <c r="E271" s="722" t="s">
        <v>1339</v>
      </c>
      <c r="F271" s="723" t="s">
        <v>679</v>
      </c>
      <c r="G271" s="721"/>
      <c r="H271" s="721">
        <f t="shared" si="249"/>
        <v>33.167011695596017</v>
      </c>
      <c r="I271" s="721">
        <f t="shared" si="252"/>
        <v>40.909090909090921</v>
      </c>
      <c r="J271" s="721">
        <f t="shared" si="252"/>
        <v>23.586764858417176</v>
      </c>
      <c r="K271" s="721">
        <f t="shared" si="251"/>
        <v>-1.1978789150421609</v>
      </c>
      <c r="L271" s="721">
        <f t="shared" si="252"/>
        <v>5.8859415421444794</v>
      </c>
      <c r="M271" s="721">
        <f t="shared" si="252"/>
        <v>0.91308882195497709</v>
      </c>
      <c r="N271" s="721">
        <f t="shared" si="252"/>
        <v>3.2868633870303254</v>
      </c>
      <c r="O271" s="721">
        <f t="shared" si="252"/>
        <v>7.7814395768173172</v>
      </c>
      <c r="P271" s="721">
        <f t="shared" si="252"/>
        <v>15.081343564574979</v>
      </c>
      <c r="Q271" s="721">
        <f t="shared" si="252"/>
        <v>18.804190241948682</v>
      </c>
      <c r="R271" s="721">
        <f t="shared" si="252"/>
        <v>20.417088075668445</v>
      </c>
      <c r="S271" s="721">
        <f t="shared" si="252"/>
        <v>23.308964440343516</v>
      </c>
      <c r="T271" s="721">
        <f t="shared" si="252"/>
        <v>19.014498871173036</v>
      </c>
      <c r="U271" s="2220">
        <f t="shared" ref="U271:AE273" si="254">(U259/T259-1)*100</f>
        <v>1.488547054477074</v>
      </c>
      <c r="V271" s="2220">
        <f t="shared" si="254"/>
        <v>-3.501052380763281</v>
      </c>
      <c r="W271" s="2220">
        <f t="shared" si="254"/>
        <v>5.9266209590908892</v>
      </c>
      <c r="X271" s="2220">
        <f t="shared" si="254"/>
        <v>2.0287858106725842</v>
      </c>
      <c r="Y271" s="2220">
        <f t="shared" si="254"/>
        <v>6.3027065997167009</v>
      </c>
      <c r="Z271" s="2220">
        <f t="shared" si="254"/>
        <v>6.2731341073756663</v>
      </c>
      <c r="AA271" s="2220">
        <f t="shared" si="254"/>
        <v>6.9625614855861606</v>
      </c>
      <c r="AB271" s="2220">
        <f t="shared" si="254"/>
        <v>8.3658257844406059</v>
      </c>
      <c r="AC271" s="2220">
        <f t="shared" si="254"/>
        <v>12.016213302456858</v>
      </c>
      <c r="AD271" s="2220">
        <f t="shared" si="254"/>
        <v>6.6643995761564545</v>
      </c>
      <c r="AE271" s="2220">
        <f t="shared" si="254"/>
        <v>5.7529028213170852</v>
      </c>
    </row>
    <row r="272" spans="1:113" s="1006" customFormat="1">
      <c r="A272" s="998"/>
      <c r="B272" s="998"/>
      <c r="C272" s="1007"/>
      <c r="D272" s="1013"/>
      <c r="E272" s="1014" t="s">
        <v>236</v>
      </c>
      <c r="F272" s="1013" t="s">
        <v>1915</v>
      </c>
      <c r="G272" s="1015"/>
      <c r="H272" s="1015">
        <f t="shared" si="249"/>
        <v>33.128992470683507</v>
      </c>
      <c r="I272" s="1015">
        <f t="shared" si="252"/>
        <v>31.350858027849515</v>
      </c>
      <c r="J272" s="1015">
        <f t="shared" si="252"/>
        <v>19.395930055059154</v>
      </c>
      <c r="K272" s="1015">
        <f t="shared" si="251"/>
        <v>-0.82353874776267544</v>
      </c>
      <c r="L272" s="1015">
        <f t="shared" si="252"/>
        <v>0.2924990442660258</v>
      </c>
      <c r="M272" s="1015">
        <f t="shared" si="252"/>
        <v>0.68966739947515787</v>
      </c>
      <c r="N272" s="1015">
        <f t="shared" si="252"/>
        <v>3.6280879685877121</v>
      </c>
      <c r="O272" s="1015">
        <f t="shared" si="252"/>
        <v>8.1176140756284987</v>
      </c>
      <c r="P272" s="1015">
        <f t="shared" si="252"/>
        <v>16.011849570178029</v>
      </c>
      <c r="Q272" s="1015">
        <f t="shared" si="252"/>
        <v>19.36886595005387</v>
      </c>
      <c r="R272" s="1015">
        <f t="shared" si="252"/>
        <v>21.572899821261537</v>
      </c>
      <c r="S272" s="1015">
        <f t="shared" si="252"/>
        <v>24.214717111465745</v>
      </c>
      <c r="T272" s="1015">
        <f t="shared" si="252"/>
        <v>19.703158171604617</v>
      </c>
      <c r="U272" s="2288">
        <f t="shared" si="254"/>
        <v>-16.331315997639408</v>
      </c>
      <c r="V272" s="2288">
        <f t="shared" si="254"/>
        <v>-8.0534243748711773</v>
      </c>
      <c r="W272" s="2288">
        <f t="shared" si="254"/>
        <v>7.341306272671444</v>
      </c>
      <c r="X272" s="2288">
        <f t="shared" si="254"/>
        <v>3.416188025285849</v>
      </c>
      <c r="Y272" s="2288">
        <f t="shared" si="254"/>
        <v>7.0591565033926607</v>
      </c>
      <c r="Z272" s="2288">
        <f t="shared" si="254"/>
        <v>6.5638271939792991</v>
      </c>
      <c r="AA272" s="2288">
        <f t="shared" si="254"/>
        <v>7.2459332240053964</v>
      </c>
      <c r="AB272" s="2288">
        <f t="shared" si="254"/>
        <v>9.1831370110342156</v>
      </c>
      <c r="AC272" s="2288">
        <f t="shared" si="254"/>
        <v>12.035220633313614</v>
      </c>
      <c r="AD272" s="2288">
        <f t="shared" si="254"/>
        <v>7.3722510260284535</v>
      </c>
      <c r="AE272" s="2288">
        <f t="shared" si="254"/>
        <v>6.0991189601487861</v>
      </c>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row>
    <row r="273" spans="1:113" s="1006" customFormat="1">
      <c r="A273" s="998"/>
      <c r="B273" s="998"/>
      <c r="C273" s="1007"/>
      <c r="D273" s="1013"/>
      <c r="E273" s="1014" t="str">
        <f>+E261</f>
        <v>Implicit employees' social contributions</v>
      </c>
      <c r="F273" s="1013" t="s">
        <v>14</v>
      </c>
      <c r="G273" s="1015"/>
      <c r="H273" s="1015">
        <f t="shared" si="249"/>
        <v>34.107468123862425</v>
      </c>
      <c r="I273" s="1015">
        <f t="shared" si="252"/>
        <v>275.61969439728733</v>
      </c>
      <c r="J273" s="1015">
        <f t="shared" si="252"/>
        <v>59.573314048091099</v>
      </c>
      <c r="K273" s="1015">
        <f t="shared" si="251"/>
        <v>-3.6029911624741007</v>
      </c>
      <c r="L273" s="1015">
        <f t="shared" si="252"/>
        <v>42.859661495063548</v>
      </c>
      <c r="M273" s="1015">
        <f t="shared" si="252"/>
        <v>1.9498951005803011</v>
      </c>
      <c r="N273" s="1015">
        <f t="shared" si="252"/>
        <v>1.7229552515835689</v>
      </c>
      <c r="O273" s="1015">
        <f t="shared" si="252"/>
        <v>6.2118207060689157</v>
      </c>
      <c r="P273" s="1015">
        <f t="shared" si="252"/>
        <v>10.658798924410085</v>
      </c>
      <c r="Q273" s="1015">
        <f t="shared" si="252"/>
        <v>15.990550118123403</v>
      </c>
      <c r="R273" s="1015">
        <f t="shared" si="252"/>
        <v>14.490223463686448</v>
      </c>
      <c r="S273" s="1015">
        <f t="shared" si="252"/>
        <v>18.377045847311567</v>
      </c>
      <c r="T273" s="1015">
        <f t="shared" si="252"/>
        <v>15.07975697202626</v>
      </c>
      <c r="U273" s="2288">
        <f t="shared" si="254"/>
        <v>107.39510848273382</v>
      </c>
      <c r="V273" s="2288">
        <f t="shared" si="254"/>
        <v>7.4138706485565864</v>
      </c>
      <c r="W273" s="2288">
        <f t="shared" si="254"/>
        <v>3.0231467524197919</v>
      </c>
      <c r="X273" s="2288">
        <f t="shared" si="254"/>
        <v>-0.9380436019571281</v>
      </c>
      <c r="Y273" s="2288">
        <f t="shared" si="254"/>
        <v>4.6140085994682556</v>
      </c>
      <c r="Z273" s="2288">
        <f t="shared" si="254"/>
        <v>5.6090233820426549</v>
      </c>
      <c r="AA273" s="2288">
        <f t="shared" si="254"/>
        <v>6.3093239850863236</v>
      </c>
      <c r="AB273" s="2288">
        <f t="shared" si="254"/>
        <v>6.4651348009252096</v>
      </c>
      <c r="AC273" s="2288">
        <f t="shared" si="254"/>
        <v>11.97088250654863</v>
      </c>
      <c r="AD273" s="2288">
        <f t="shared" si="254"/>
        <v>4.9752667246595106</v>
      </c>
      <c r="AE273" s="2288">
        <f t="shared" si="254"/>
        <v>4.907869056284575</v>
      </c>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row>
    <row r="274" spans="1:113" ht="12.75" customHeight="1">
      <c r="A274" s="664"/>
      <c r="B274" s="664"/>
      <c r="C274" s="774"/>
      <c r="D274" s="699"/>
      <c r="R274" s="843"/>
      <c r="S274" s="843"/>
      <c r="AB274" s="2221"/>
      <c r="AC274" s="2221"/>
      <c r="AD274" s="2221"/>
      <c r="AE274" s="2221"/>
    </row>
    <row r="275" spans="1:113" ht="12.75" customHeight="1">
      <c r="A275" s="664"/>
      <c r="B275" s="664"/>
      <c r="C275" s="774"/>
      <c r="D275" s="818"/>
      <c r="E275" s="815" t="s">
        <v>660</v>
      </c>
      <c r="F275" s="816"/>
      <c r="G275" s="817">
        <f>+InputY!$G$3</f>
        <v>1995</v>
      </c>
      <c r="H275" s="817">
        <f>+G275+1</f>
        <v>1996</v>
      </c>
      <c r="I275" s="817">
        <f t="shared" ref="I275:O275" si="255">+H275+1</f>
        <v>1997</v>
      </c>
      <c r="J275" s="817">
        <f t="shared" si="255"/>
        <v>1998</v>
      </c>
      <c r="K275" s="817">
        <f>+J275+1</f>
        <v>1999</v>
      </c>
      <c r="L275" s="817">
        <f t="shared" si="255"/>
        <v>2000</v>
      </c>
      <c r="M275" s="817">
        <f t="shared" si="255"/>
        <v>2001</v>
      </c>
      <c r="N275" s="817">
        <f t="shared" si="255"/>
        <v>2002</v>
      </c>
      <c r="O275" s="817">
        <f t="shared" si="255"/>
        <v>2003</v>
      </c>
      <c r="P275" s="817">
        <f t="shared" ref="P275:V275" si="256">+O275+1</f>
        <v>2004</v>
      </c>
      <c r="Q275" s="817">
        <f t="shared" si="256"/>
        <v>2005</v>
      </c>
      <c r="R275" s="817">
        <f t="shared" si="256"/>
        <v>2006</v>
      </c>
      <c r="S275" s="817">
        <f>+R275+1</f>
        <v>2007</v>
      </c>
      <c r="T275" s="817">
        <f t="shared" si="256"/>
        <v>2008</v>
      </c>
      <c r="U275" s="817">
        <f t="shared" si="256"/>
        <v>2009</v>
      </c>
      <c r="V275" s="817">
        <f t="shared" si="256"/>
        <v>2010</v>
      </c>
      <c r="W275" s="817">
        <f t="shared" ref="W275:AE275" si="257">+V275+1</f>
        <v>2011</v>
      </c>
      <c r="X275" s="817">
        <f t="shared" si="257"/>
        <v>2012</v>
      </c>
      <c r="Y275" s="817">
        <f t="shared" si="257"/>
        <v>2013</v>
      </c>
      <c r="Z275" s="817">
        <f t="shared" si="257"/>
        <v>2014</v>
      </c>
      <c r="AA275" s="817">
        <f t="shared" si="257"/>
        <v>2015</v>
      </c>
      <c r="AB275" s="817">
        <f t="shared" si="257"/>
        <v>2016</v>
      </c>
      <c r="AC275" s="817">
        <f t="shared" si="257"/>
        <v>2017</v>
      </c>
      <c r="AD275" s="817">
        <f t="shared" si="257"/>
        <v>2018</v>
      </c>
      <c r="AE275" s="817">
        <f t="shared" si="257"/>
        <v>2019</v>
      </c>
    </row>
    <row r="276" spans="1:113" ht="12.75" customHeight="1">
      <c r="A276" s="664"/>
      <c r="B276" s="664"/>
      <c r="C276" s="810" t="s">
        <v>1767</v>
      </c>
      <c r="D276" s="811" t="s">
        <v>687</v>
      </c>
      <c r="E276" s="1507" t="s">
        <v>567</v>
      </c>
      <c r="F276" s="1508" t="s">
        <v>661</v>
      </c>
      <c r="G276" s="1509"/>
      <c r="H276" s="1509">
        <f>+$F$289*Labour1!H224</f>
        <v>27.178276676028212</v>
      </c>
      <c r="I276" s="1509">
        <f>+$F$289*Labour1!I224</f>
        <v>22.916017503691744</v>
      </c>
      <c r="J276" s="1509">
        <f>+$F$289*Labour1!J224</f>
        <v>19.376377744466989</v>
      </c>
      <c r="K276" s="1509">
        <f>+$F$289*Labour1!K224</f>
        <v>0.70872088621503071</v>
      </c>
      <c r="L276" s="1509">
        <f>+$F$289*Labour1!L224</f>
        <v>-4.2341352862331982</v>
      </c>
      <c r="M276" s="1509">
        <f>+$F$289*Labour1!M224</f>
        <v>2.727246618225676</v>
      </c>
      <c r="N276" s="1509">
        <f>+$F$289*Labour1!N224</f>
        <v>8.2944258371868251</v>
      </c>
      <c r="O276" s="1509">
        <f>+$F$289*Labour1!O224</f>
        <v>10.889780407585814</v>
      </c>
      <c r="P276" s="1509">
        <f>+$F$289*Labour1!P224</f>
        <v>13.457156870048914</v>
      </c>
      <c r="Q276" s="1509">
        <f>+$F$289*Labour1!Q224</f>
        <v>16.551506205805964</v>
      </c>
      <c r="R276" s="1509">
        <f>+$F$289*Labour1!R224</f>
        <v>20.625303696470176</v>
      </c>
      <c r="S276" s="1509">
        <f>+$F$289*Labour1!S224</f>
        <v>19.933250951125302</v>
      </c>
      <c r="T276" s="1509">
        <f>+$F$289*Labour1!T224</f>
        <v>16.462651814471975</v>
      </c>
      <c r="U276" s="3005">
        <f>+$F$289*Labour1!U224</f>
        <v>-16.55735569384197</v>
      </c>
      <c r="V276" s="3005">
        <f>+$F$289*Labour1!V224</f>
        <v>-4.2433577525932353</v>
      </c>
      <c r="W276" s="3005">
        <f>+$F$289*Labour1!W224</f>
        <v>7.2024599889973562</v>
      </c>
      <c r="X276" s="3005">
        <f>+$F$289*Labour1!X224</f>
        <v>5.5380206228158535</v>
      </c>
      <c r="Y276" s="3005">
        <f>+$F$289*Labour1!Y224</f>
        <v>5.8994147360147409</v>
      </c>
      <c r="Z276" s="3005">
        <f>+$F$289*Labour1!Z224</f>
        <v>6.4129692882434197</v>
      </c>
      <c r="AA276" s="3005">
        <f>+$F$289*Labour1!AA224</f>
        <v>6.9293958600731953</v>
      </c>
      <c r="AB276" s="3005">
        <f>+$F$289*Labour1!AB224</f>
        <v>8.2608995937912368</v>
      </c>
      <c r="AC276" s="3005">
        <f>+$F$289*Labour1!AC224</f>
        <v>8.9820108145402209</v>
      </c>
      <c r="AD276" s="3005">
        <f>+$F$289*Labour1!AD224</f>
        <v>5.961773666944703</v>
      </c>
      <c r="AE276" s="3005">
        <f>+$F$289*Labour1!AE224</f>
        <v>5.8131671142300778</v>
      </c>
    </row>
    <row r="277" spans="1:113" ht="12.75" customHeight="1">
      <c r="A277" s="664"/>
      <c r="B277" s="664"/>
      <c r="C277" s="774"/>
      <c r="E277" s="786"/>
      <c r="F277" s="787"/>
      <c r="G277" s="703"/>
      <c r="H277" s="788"/>
      <c r="I277" s="703"/>
      <c r="J277" s="703"/>
      <c r="K277" s="703"/>
      <c r="L277" s="703"/>
      <c r="M277" s="703"/>
      <c r="N277" s="703"/>
      <c r="O277" s="703"/>
      <c r="P277" s="703"/>
      <c r="Q277" s="703"/>
      <c r="R277" s="703"/>
      <c r="S277" s="703"/>
      <c r="T277" s="845"/>
      <c r="U277" s="845"/>
      <c r="V277" s="845"/>
      <c r="W277" s="845"/>
      <c r="X277" s="845"/>
      <c r="Y277" s="845"/>
      <c r="Z277" s="845"/>
      <c r="AA277" s="845"/>
      <c r="AB277" s="845"/>
      <c r="AC277" s="845"/>
      <c r="AD277" s="845"/>
      <c r="AE277" s="845"/>
    </row>
    <row r="278" spans="1:113" ht="12.75" customHeight="1">
      <c r="A278" s="664"/>
      <c r="B278" s="664"/>
      <c r="C278" s="774"/>
      <c r="D278" s="818"/>
      <c r="E278" s="819" t="s">
        <v>512</v>
      </c>
      <c r="F278" s="820"/>
      <c r="G278" s="821">
        <f>+InputY!$G$3</f>
        <v>1995</v>
      </c>
      <c r="H278" s="821">
        <f>+G278+1</f>
        <v>1996</v>
      </c>
      <c r="I278" s="821">
        <f t="shared" ref="I278:O278" si="258">+H278+1</f>
        <v>1997</v>
      </c>
      <c r="J278" s="821">
        <f t="shared" si="258"/>
        <v>1998</v>
      </c>
      <c r="K278" s="821">
        <f>+J278+1</f>
        <v>1999</v>
      </c>
      <c r="L278" s="821">
        <f t="shared" si="258"/>
        <v>2000</v>
      </c>
      <c r="M278" s="821">
        <f t="shared" si="258"/>
        <v>2001</v>
      </c>
      <c r="N278" s="821">
        <f t="shared" si="258"/>
        <v>2002</v>
      </c>
      <c r="O278" s="821">
        <f t="shared" si="258"/>
        <v>2003</v>
      </c>
      <c r="P278" s="821">
        <f t="shared" ref="P278:V278" si="259">+O278+1</f>
        <v>2004</v>
      </c>
      <c r="Q278" s="821">
        <f t="shared" si="259"/>
        <v>2005</v>
      </c>
      <c r="R278" s="821">
        <f t="shared" si="259"/>
        <v>2006</v>
      </c>
      <c r="S278" s="821">
        <f>+R278+1</f>
        <v>2007</v>
      </c>
      <c r="T278" s="821">
        <f t="shared" si="259"/>
        <v>2008</v>
      </c>
      <c r="U278" s="821">
        <f t="shared" si="259"/>
        <v>2009</v>
      </c>
      <c r="V278" s="821">
        <f t="shared" si="259"/>
        <v>2010</v>
      </c>
      <c r="W278" s="821">
        <f t="shared" ref="W278:AE278" si="260">+V278+1</f>
        <v>2011</v>
      </c>
      <c r="X278" s="821">
        <f t="shared" si="260"/>
        <v>2012</v>
      </c>
      <c r="Y278" s="821">
        <f t="shared" si="260"/>
        <v>2013</v>
      </c>
      <c r="Z278" s="821">
        <f t="shared" si="260"/>
        <v>2014</v>
      </c>
      <c r="AA278" s="821">
        <f t="shared" si="260"/>
        <v>2015</v>
      </c>
      <c r="AB278" s="821">
        <f t="shared" si="260"/>
        <v>2016</v>
      </c>
      <c r="AC278" s="821">
        <f t="shared" si="260"/>
        <v>2017</v>
      </c>
      <c r="AD278" s="821">
        <f t="shared" si="260"/>
        <v>2018</v>
      </c>
      <c r="AE278" s="821">
        <f t="shared" si="260"/>
        <v>2019</v>
      </c>
    </row>
    <row r="279" spans="1:113" ht="12.75" customHeight="1">
      <c r="A279" s="664"/>
      <c r="B279" s="664"/>
      <c r="C279" s="822" t="s">
        <v>1767</v>
      </c>
      <c r="D279" s="823" t="s">
        <v>687</v>
      </c>
      <c r="E279" s="824" t="s">
        <v>982</v>
      </c>
      <c r="F279" s="825" t="s">
        <v>2006</v>
      </c>
      <c r="G279" s="838">
        <f>+G253/'VVP2'!G$341</f>
        <v>7.2019813176071187E-2</v>
      </c>
      <c r="H279" s="838">
        <f>+H253/'VVP2'!H$341</f>
        <v>7.6854897237534942E-2</v>
      </c>
      <c r="I279" s="838">
        <f>+I253/'VVP2'!I$341</f>
        <v>8.975601185226631E-2</v>
      </c>
      <c r="J279" s="838">
        <f>+J253/'VVP2'!J$341</f>
        <v>9.98590073998077E-2</v>
      </c>
      <c r="K279" s="838">
        <f>+K253/'VVP2'!K$341</f>
        <v>0.10104011302634973</v>
      </c>
      <c r="L279" s="838">
        <f>+L253/'VVP2'!L$341</f>
        <v>0.10190467213936376</v>
      </c>
      <c r="M279" s="838">
        <f>+M253/'VVP2'!M$341</f>
        <v>9.6969112023513299E-2</v>
      </c>
      <c r="N279" s="838">
        <f>+N253/'VVP2'!N$341</f>
        <v>9.3567563051853778E-2</v>
      </c>
      <c r="O279" s="838">
        <f>+O253/'VVP2'!O$341</f>
        <v>9.1952595557603337E-2</v>
      </c>
      <c r="P279" s="838">
        <f>+P253/'VVP2'!P$341</f>
        <v>9.1253182963659932E-2</v>
      </c>
      <c r="Q279" s="838">
        <f>+Q253/'VVP2'!Q$341</f>
        <v>8.8822917435429846E-2</v>
      </c>
      <c r="R279" s="838">
        <f>+R253/'VVP2'!R$341</f>
        <v>9.1271795800355326E-2</v>
      </c>
      <c r="S279" s="838">
        <f>+S253/'VVP2'!S$341</f>
        <v>9.1107089163951507E-2</v>
      </c>
      <c r="T279" s="838">
        <f>+T253/'VVP2'!T$341</f>
        <v>9.5264354232346929E-2</v>
      </c>
      <c r="U279" s="2909">
        <f>+U253/'VVP2'!U$341</f>
        <v>0.12634240733741678</v>
      </c>
      <c r="V279" s="2909">
        <f>+V253/'VVP2'!V$341</f>
        <v>0.11758206000786366</v>
      </c>
      <c r="W279" s="2909">
        <f>+W253/'VVP2'!W$341</f>
        <v>0.11112979819231265</v>
      </c>
      <c r="X279" s="2909">
        <f>+X253/'VVP2'!X$341</f>
        <v>0.10831108344368319</v>
      </c>
      <c r="Y279" s="2909">
        <f>+Y253/'VVP2'!Y$341</f>
        <v>0.10853197901008733</v>
      </c>
      <c r="Z279" s="2909">
        <f>+Z253/'VVP2'!Z$341</f>
        <v>0.11115152257639679</v>
      </c>
      <c r="AA279" s="2909">
        <f>+AA253/'VVP2'!AA$341</f>
        <v>0.1159629472185699</v>
      </c>
      <c r="AB279" s="2909">
        <f>+AB253/'VVP2'!AB$341</f>
        <v>0.1219548715848012</v>
      </c>
      <c r="AC279" s="2909">
        <f ca="1">+AC253/'VVP2'!AC$341</f>
        <v>0.12685618454774306</v>
      </c>
      <c r="AD279" s="2909">
        <f ca="1">+AD253/'VVP2'!AD$341</f>
        <v>0.12790999013340285</v>
      </c>
      <c r="AE279" s="2909">
        <f ca="1">+AE253/'VVP2'!AE$341</f>
        <v>0.1281017224871942</v>
      </c>
    </row>
    <row r="280" spans="1:113" ht="12.75" customHeight="1">
      <c r="A280" s="664"/>
      <c r="B280" s="664"/>
      <c r="C280" s="826" t="s">
        <v>1767</v>
      </c>
      <c r="D280" s="674" t="s">
        <v>687</v>
      </c>
      <c r="E280" s="783" t="s">
        <v>2079</v>
      </c>
      <c r="F280" s="704" t="s">
        <v>385</v>
      </c>
      <c r="G280" s="839">
        <f>+G254/'VVP2'!G$341</f>
        <v>1.5970058715723939E-4</v>
      </c>
      <c r="H280" s="839">
        <f>+H254/'VVP2'!H$341</f>
        <v>1.7397301874070298E-4</v>
      </c>
      <c r="I280" s="839">
        <f>+I254/'VVP2'!I$341</f>
        <v>1.8167333939479748E-4</v>
      </c>
      <c r="J280" s="839">
        <f>+J254/'VVP2'!J$341</f>
        <v>2.0734205910630967E-4</v>
      </c>
      <c r="K280" s="839">
        <f>+K254/'VVP2'!K$341</f>
        <v>2.2026293100735678E-4</v>
      </c>
      <c r="L280" s="839">
        <f>+L254/'VVP2'!L$341</f>
        <v>1.9523974093706102E-4</v>
      </c>
      <c r="M280" s="839">
        <f>+M254/'VVP2'!M$341</f>
        <v>1.8880525724011802E-4</v>
      </c>
      <c r="N280" s="839">
        <f>+N254/'VVP2'!N$341</f>
        <v>1.828686299390153E-4</v>
      </c>
      <c r="O280" s="839">
        <f>+O254/'VVP2'!O$341</f>
        <v>1.7338113613238882E-4</v>
      </c>
      <c r="P280" s="839">
        <f>+P254/'VVP2'!P$341</f>
        <v>2.853975167948625E-3</v>
      </c>
      <c r="Q280" s="839">
        <f>+Q254/'VVP2'!Q$341</f>
        <v>2.884439122288696E-3</v>
      </c>
      <c r="R280" s="839">
        <f>+R254/'VVP2'!R$341</f>
        <v>2.9951186045371978E-3</v>
      </c>
      <c r="S280" s="839">
        <f>+S254/'VVP2'!S$341</f>
        <v>3.1325045642902056E-3</v>
      </c>
      <c r="T280" s="839">
        <f>+T254/'VVP2'!T$341</f>
        <v>3.4156790925450845E-3</v>
      </c>
      <c r="U280" s="2910">
        <f>+U254/'VVP2'!U$341</f>
        <v>4.3928268315882564E-3</v>
      </c>
      <c r="V280" s="2910">
        <f>+V254/'VVP2'!V$341</f>
        <v>3.6724435789502229E-3</v>
      </c>
      <c r="W280" s="2910">
        <f>+W254/'VVP2'!W$341</f>
        <v>3.4458480360872405E-3</v>
      </c>
      <c r="X280" s="2910">
        <f>+X254/'VVP2'!X$341</f>
        <v>3.402553879517147E-3</v>
      </c>
      <c r="Y280" s="2910">
        <f>+Y254/'VVP2'!Y$341</f>
        <v>2.8178199724539573E-3</v>
      </c>
      <c r="Z280" s="2910">
        <f>+Z254/'VVP2'!Z$341</f>
        <v>2.9837334433011342E-3</v>
      </c>
      <c r="AA280" s="2910">
        <f>+AA254/'VVP2'!AA$341</f>
        <v>3.1058116137154816E-3</v>
      </c>
      <c r="AB280" s="2910">
        <f>+AB254/'VVP2'!AB$341</f>
        <v>3.3182201864472003E-3</v>
      </c>
      <c r="AC280" s="2910">
        <f ca="1">+AC254/'VVP2'!AC$341</f>
        <v>3.4515780048138089E-3</v>
      </c>
      <c r="AD280" s="2910">
        <f ca="1">+AD254/'VVP2'!AD$341</f>
        <v>3.4802505696854445E-3</v>
      </c>
      <c r="AE280" s="2910">
        <f ca="1">+AE254/'VVP2'!AE$341</f>
        <v>3.4854673368262565E-3</v>
      </c>
    </row>
    <row r="281" spans="1:113" ht="12.75" customHeight="1">
      <c r="A281" s="664"/>
      <c r="B281" s="664"/>
      <c r="C281" s="826" t="s">
        <v>1769</v>
      </c>
      <c r="D281" s="806" t="s">
        <v>687</v>
      </c>
      <c r="E281" s="807" t="s">
        <v>567</v>
      </c>
      <c r="F281" s="808" t="s">
        <v>1805</v>
      </c>
      <c r="G281" s="841">
        <f>+G255/'VVP2'!G$341</f>
        <v>7.2179513763228439E-2</v>
      </c>
      <c r="H281" s="841">
        <f>+H255/'VVP2'!H$341</f>
        <v>7.7028870256275639E-2</v>
      </c>
      <c r="I281" s="841">
        <f>+I255/'VVP2'!I$341</f>
        <v>8.9937685191661107E-2</v>
      </c>
      <c r="J281" s="841">
        <f>+J255/'VVP2'!J$341</f>
        <v>0.10006634945891402</v>
      </c>
      <c r="K281" s="841">
        <f>+K255/'VVP2'!K$341</f>
        <v>0.10126037595735708</v>
      </c>
      <c r="L281" s="841">
        <f>+L255/'VVP2'!L$341</f>
        <v>0.10209991188030082</v>
      </c>
      <c r="M281" s="841">
        <f>+M255/'VVP2'!M$341</f>
        <v>9.7157917280753417E-2</v>
      </c>
      <c r="N281" s="841">
        <f>+N255/'VVP2'!N$341</f>
        <v>9.3750431681792798E-2</v>
      </c>
      <c r="O281" s="841">
        <f>+O255/'VVP2'!O$341</f>
        <v>9.2125976693735734E-2</v>
      </c>
      <c r="P281" s="841">
        <f>+P255/'VVP2'!P$341</f>
        <v>9.4107158131608554E-2</v>
      </c>
      <c r="Q281" s="841">
        <f>+Q255/'VVP2'!Q$341</f>
        <v>9.1707356557718556E-2</v>
      </c>
      <c r="R281" s="841">
        <f>+R255/'VVP2'!R$341</f>
        <v>9.4266914404892529E-2</v>
      </c>
      <c r="S281" s="841">
        <f>+S255/'VVP2'!S$341</f>
        <v>9.4239593728241713E-2</v>
      </c>
      <c r="T281" s="841">
        <f>+T255/'VVP2'!T$341</f>
        <v>9.8680033324892003E-2</v>
      </c>
      <c r="U281" s="2912">
        <f>+U255/'VVP2'!U$341</f>
        <v>0.13073523416900504</v>
      </c>
      <c r="V281" s="2912">
        <f>+V255/'VVP2'!V$341</f>
        <v>0.12125450358681389</v>
      </c>
      <c r="W281" s="2912">
        <f>+W255/'VVP2'!W$341</f>
        <v>0.11457564622839989</v>
      </c>
      <c r="X281" s="2912">
        <f>+X255/'VVP2'!X$341</f>
        <v>0.11171363732320033</v>
      </c>
      <c r="Y281" s="2912">
        <f>+Y255/'VVP2'!Y$341</f>
        <v>0.11134979898254128</v>
      </c>
      <c r="Z281" s="2912">
        <f>+Z255/'VVP2'!Z$341</f>
        <v>0.11413525601969794</v>
      </c>
      <c r="AA281" s="2912">
        <f>+AA255/'VVP2'!AA$341</f>
        <v>0.11906875883228538</v>
      </c>
      <c r="AB281" s="2912">
        <f>+AB255/'VVP2'!AB$341</f>
        <v>0.1252730917712484</v>
      </c>
      <c r="AC281" s="2912">
        <f ca="1">+AC255/'VVP2'!AC$341</f>
        <v>0.13030776255255688</v>
      </c>
      <c r="AD281" s="2912">
        <f ca="1">+AD255/'VVP2'!AD$341</f>
        <v>0.1313902407030883</v>
      </c>
      <c r="AE281" s="2912">
        <f ca="1">+AE255/'VVP2'!AE$341</f>
        <v>0.13158718982402046</v>
      </c>
    </row>
    <row r="282" spans="1:113" ht="12.75" customHeight="1">
      <c r="A282" s="664"/>
      <c r="B282" s="664"/>
      <c r="C282" s="826" t="s">
        <v>1767</v>
      </c>
      <c r="D282" s="674" t="s">
        <v>685</v>
      </c>
      <c r="E282" s="783" t="s">
        <v>567</v>
      </c>
      <c r="F282" s="704" t="s">
        <v>11</v>
      </c>
      <c r="G282" s="839">
        <f>+G256/'VVP2'!G$341</f>
        <v>3.6061422906473417E-5</v>
      </c>
      <c r="H282" s="839">
        <f>+H256/'VVP2'!H$341</f>
        <v>2.2647375220683234E-5</v>
      </c>
      <c r="I282" s="839">
        <f>+I256/'VVP2'!I$341</f>
        <v>2.8146573709053132E-5</v>
      </c>
      <c r="J282" s="839">
        <f>+J256/'VVP2'!J$341</f>
        <v>3.7628744060033983E-5</v>
      </c>
      <c r="K282" s="839">
        <f>+K256/'VVP2'!K$341</f>
        <v>2.7532866375919601E-5</v>
      </c>
      <c r="L282" s="839">
        <f>+L256/'VVP2'!L$341</f>
        <v>3.441006928392646E-5</v>
      </c>
      <c r="M282" s="839">
        <f>+M256/'VVP2'!M$341</f>
        <v>2.8179889140316121E-5</v>
      </c>
      <c r="N282" s="839">
        <f>+N256/'VVP2'!N$341</f>
        <v>2.4338630603394121E-5</v>
      </c>
      <c r="O282" s="839">
        <f>+O256/'VVP2'!O$341</f>
        <v>2.5197258538271039E-5</v>
      </c>
      <c r="P282" s="839">
        <f>+P256/'VVP2'!P$341</f>
        <v>2.4125822745387037E-5</v>
      </c>
      <c r="Q282" s="839">
        <f>+Q256/'VVP2'!Q$341</f>
        <v>2.6663682873583196E-5</v>
      </c>
      <c r="R282" s="839">
        <f>+R256/'VVP2'!R$341</f>
        <v>2.8240164324532647E-5</v>
      </c>
      <c r="S282" s="839">
        <f>+S256/'VVP2'!S$341</f>
        <v>2.9269307240262448E-5</v>
      </c>
      <c r="T282" s="839">
        <f>+T256/'VVP2'!T$341</f>
        <v>2.660853161277063E-5</v>
      </c>
      <c r="U282" s="2910">
        <f>+U256/'VVP2'!U$341</f>
        <v>3.0072597477911495E-5</v>
      </c>
      <c r="V282" s="2910">
        <f>+V256/'VVP2'!V$341</f>
        <v>2.7829651137483471E-5</v>
      </c>
      <c r="W282" s="2910">
        <f>+W256/'VVP2'!W$341</f>
        <v>2.7817461180253313E-5</v>
      </c>
      <c r="X282" s="2910">
        <f>+X256/'VVP2'!X$341</f>
        <v>2.5488418062832251E-5</v>
      </c>
      <c r="Y282" s="2910">
        <f>+Y256/'VVP2'!Y$341</f>
        <v>2.5171876720733762E-5</v>
      </c>
      <c r="Z282" s="2910">
        <f>+Z256/'VVP2'!Z$341</f>
        <v>2.7346104328669546E-5</v>
      </c>
      <c r="AA282" s="2910">
        <f>+AA256/'VVP2'!AA$341</f>
        <v>2.4047061702889999E-5</v>
      </c>
      <c r="AB282" s="2910">
        <f>+AB256/'VVP2'!AB$341</f>
        <v>2.4309305395217586E-5</v>
      </c>
      <c r="AC282" s="2910">
        <f ca="1">+AC256/'VVP2'!AC$341</f>
        <v>2.339898226676861E-5</v>
      </c>
      <c r="AD282" s="2910">
        <f ca="1">+AD256/'VVP2'!AD$341</f>
        <v>2.2996339341230264E-5</v>
      </c>
      <c r="AE282" s="2910">
        <f ca="1">+AE256/'VVP2'!AE$341</f>
        <v>2.2653322886885206E-5</v>
      </c>
    </row>
    <row r="283" spans="1:113" ht="12.75" customHeight="1">
      <c r="A283" s="664"/>
      <c r="B283" s="664"/>
      <c r="C283" s="826" t="s">
        <v>1767</v>
      </c>
      <c r="D283" s="674" t="s">
        <v>686</v>
      </c>
      <c r="E283" s="783" t="s">
        <v>567</v>
      </c>
      <c r="F283" s="704" t="s">
        <v>1555</v>
      </c>
      <c r="G283" s="839">
        <f>+G257/'VVP2'!G$341</f>
        <v>5.7183113465979272E-4</v>
      </c>
      <c r="H283" s="839">
        <f>+H257/'VVP2'!H$341</f>
        <v>4.2618242460740256E-4</v>
      </c>
      <c r="I283" s="839">
        <f>+I257/'VVP2'!I$341</f>
        <v>4.8787394429025428E-4</v>
      </c>
      <c r="J283" s="839">
        <f>+J257/'VVP2'!J$341</f>
        <v>5.4446488854212425E-4</v>
      </c>
      <c r="K283" s="839">
        <f>+K257/'VVP2'!K$341</f>
        <v>6.0886967357033628E-4</v>
      </c>
      <c r="L283" s="839">
        <f>+L257/'VVP2'!L$341</f>
        <v>4.6154375539527446E-4</v>
      </c>
      <c r="M283" s="839">
        <f>+M257/'VVP2'!M$341</f>
        <v>3.2406872511363537E-4</v>
      </c>
      <c r="N283" s="839">
        <f>+N257/'VVP2'!N$341</f>
        <v>2.874589614508981E-4</v>
      </c>
      <c r="O283" s="839">
        <f>+O257/'VVP2'!O$341</f>
        <v>3.1736547063679479E-4</v>
      </c>
      <c r="P283" s="839">
        <f>+P257/'VVP2'!P$341</f>
        <v>3.083170484029802E-3</v>
      </c>
      <c r="Q283" s="839">
        <f>+Q257/'VVP2'!Q$341</f>
        <v>8.5671365347211141E-3</v>
      </c>
      <c r="R283" s="839">
        <f>+R257/'VVP2'!R$341</f>
        <v>1.1046057216234107E-2</v>
      </c>
      <c r="S283" s="839">
        <f>+S257/'VVP2'!S$341</f>
        <v>1.343564505765365E-2</v>
      </c>
      <c r="T283" s="839">
        <f>+T257/'VVP2'!T$341</f>
        <v>1.453926868744701E-2</v>
      </c>
      <c r="U283" s="2910">
        <f>+U257/'VVP2'!U$341</f>
        <v>9.1832802298288975E-3</v>
      </c>
      <c r="V283" s="2910">
        <f>+V257/'VVP2'!V$341</f>
        <v>7.6288923156624553E-3</v>
      </c>
      <c r="W283" s="2910">
        <f>+W257/'VVP2'!W$341</f>
        <v>8.0120683017791666E-3</v>
      </c>
      <c r="X283" s="2910">
        <f>+X257/'VVP2'!X$341</f>
        <v>6.3400190953230851E-3</v>
      </c>
      <c r="Y283" s="2910">
        <f>+Y257/'VVP2'!Y$341</f>
        <v>8.3041449213593389E-3</v>
      </c>
      <c r="Z283" s="2910">
        <f>+Z257/'VVP2'!Z$341</f>
        <v>7.6273754193525098E-3</v>
      </c>
      <c r="AA283" s="2910">
        <f>+AA257/'VVP2'!AA$341</f>
        <v>8.0717970449367439E-3</v>
      </c>
      <c r="AB283" s="2910">
        <f>+AB257/'VVP2'!AB$341</f>
        <v>8.2449922830885852E-3</v>
      </c>
      <c r="AC283" s="2910">
        <f ca="1">+AC257/'VVP2'!AC$341</f>
        <v>8.0888577515022889E-3</v>
      </c>
      <c r="AD283" s="2910">
        <f ca="1">+AD257/'VVP2'!AD$341</f>
        <v>8.1025452366619306E-3</v>
      </c>
      <c r="AE283" s="2910">
        <f ca="1">+AE257/'VVP2'!AE$341</f>
        <v>8.1351805678800578E-3</v>
      </c>
    </row>
    <row r="284" spans="1:113" ht="12.75" customHeight="1">
      <c r="A284" s="664"/>
      <c r="B284" s="664"/>
      <c r="C284" s="827" t="s">
        <v>1767</v>
      </c>
      <c r="D284" s="828" t="s">
        <v>688</v>
      </c>
      <c r="E284" s="829" t="s">
        <v>840</v>
      </c>
      <c r="F284" s="830" t="s">
        <v>841</v>
      </c>
      <c r="G284" s="840" t="e">
        <f>+G258/'VVP2'!G$341</f>
        <v>#VALUE!</v>
      </c>
      <c r="H284" s="840" t="e">
        <f>+H258/'VVP2'!H$341</f>
        <v>#VALUE!</v>
      </c>
      <c r="I284" s="840" t="e">
        <f>+I258/'VVP2'!I$341</f>
        <v>#VALUE!</v>
      </c>
      <c r="J284" s="840" t="e">
        <f>+J258/'VVP2'!J$341</f>
        <v>#VALUE!</v>
      </c>
      <c r="K284" s="840" t="e">
        <f>+K258/'VVP2'!K$341</f>
        <v>#VALUE!</v>
      </c>
      <c r="L284" s="840" t="e">
        <f>+L258/'VVP2'!L$341</f>
        <v>#VALUE!</v>
      </c>
      <c r="M284" s="840" t="e">
        <f>+M258/'VVP2'!M$341</f>
        <v>#VALUE!</v>
      </c>
      <c r="N284" s="840" t="e">
        <f>+N258/'VVP2'!N$341</f>
        <v>#VALUE!</v>
      </c>
      <c r="O284" s="840" t="e">
        <f>+O258/'VVP2'!O$341</f>
        <v>#VALUE!</v>
      </c>
      <c r="P284" s="840" t="e">
        <f>+P258/'VVP2'!P$341</f>
        <v>#VALUE!</v>
      </c>
      <c r="Q284" s="840" t="e">
        <f>+Q258/'VVP2'!Q$341</f>
        <v>#VALUE!</v>
      </c>
      <c r="R284" s="840" t="e">
        <f>+R258/'VVP2'!R$341</f>
        <v>#VALUE!</v>
      </c>
      <c r="S284" s="840" t="e">
        <f>+S258/'VVP2'!S$341</f>
        <v>#VALUE!</v>
      </c>
      <c r="T284" s="840">
        <f>+T258/'VVP2'!T$341</f>
        <v>5.8110586280763431E-4</v>
      </c>
      <c r="U284" s="2911">
        <f>+U258/'VVP2'!U$341</f>
        <v>4.0839329908274864E-4</v>
      </c>
      <c r="V284" s="2911">
        <f>+V258/'VVP2'!V$341</f>
        <v>1.1417292774352193E-3</v>
      </c>
      <c r="W284" s="2911">
        <f>+W258/'VVP2'!W$341</f>
        <v>8.3132642607653567E-4</v>
      </c>
      <c r="X284" s="2911">
        <f>+X258/'VVP2'!X$341</f>
        <v>2.998637419156735E-5</v>
      </c>
      <c r="Y284" s="2911">
        <f>+Y258/'VVP2'!Y$341</f>
        <v>8.581321609341054E-5</v>
      </c>
      <c r="Z284" s="2911">
        <f>+Z258/'VVP2'!Z$341</f>
        <v>-8.2038312986008641E-5</v>
      </c>
      <c r="AA284" s="2911">
        <f>+AA258/'VVP2'!AA$341</f>
        <v>2.6718957447655556E-5</v>
      </c>
      <c r="AB284" s="2911">
        <f>+AB258/'VVP2'!AB$341</f>
        <v>-1.2930481593200843E-4</v>
      </c>
      <c r="AC284" s="2911">
        <f ca="1">+AC258/'VVP2'!AC$341</f>
        <v>-1.1967564579975762E-4</v>
      </c>
      <c r="AD284" s="2911">
        <f ca="1">+AD258/'VVP2'!AD$341</f>
        <v>-1.1309259794999458E-4</v>
      </c>
      <c r="AE284" s="2911">
        <f ca="1">+AE258/'VVP2'!AE$341</f>
        <v>-1.0712085935232682E-4</v>
      </c>
    </row>
    <row r="285" spans="1:113" ht="12.75" customHeight="1">
      <c r="A285" s="664"/>
      <c r="B285" s="664"/>
      <c r="C285" s="774" t="s">
        <v>1769</v>
      </c>
      <c r="D285" s="806" t="s">
        <v>685</v>
      </c>
      <c r="E285" s="807" t="s">
        <v>1339</v>
      </c>
      <c r="F285" s="808" t="s">
        <v>679</v>
      </c>
      <c r="G285" s="841">
        <f>+G259/'VVP2'!G$341</f>
        <v>7.2788694228755627E-2</v>
      </c>
      <c r="H285" s="841">
        <f>+H259/'VVP2'!H$341</f>
        <v>7.747667062995732E-2</v>
      </c>
      <c r="I285" s="841">
        <f>+I259/'VVP2'!I$341</f>
        <v>9.0453705709660423E-2</v>
      </c>
      <c r="J285" s="841">
        <f>+J259/'VVP2'!J$341</f>
        <v>0.10064921102506844</v>
      </c>
      <c r="K285" s="841">
        <f>+K259/'VVP2'!K$341</f>
        <v>0.10186767232427738</v>
      </c>
      <c r="L285" s="841">
        <f>+L259/'VVP2'!L$341</f>
        <v>0.10256968413052486</v>
      </c>
      <c r="M285" s="841">
        <f>+M259/'VVP2'!M$341</f>
        <v>9.7480577011410038E-2</v>
      </c>
      <c r="N285" s="841">
        <f>+N259/'VVP2'!N$341</f>
        <v>9.4010920809331822E-2</v>
      </c>
      <c r="O285" s="841">
        <f>+O259/'VVP2'!O$341</f>
        <v>9.2412745493290344E-2</v>
      </c>
      <c r="P285" s="841">
        <f>+P259/'VVP2'!P$341</f>
        <v>9.7199101642091237E-2</v>
      </c>
      <c r="Q285" s="841">
        <f>+Q259/'VVP2'!Q$341</f>
        <v>0.10027592150402218</v>
      </c>
      <c r="R285" s="841">
        <f>+R259/'VVP2'!R$341</f>
        <v>0.10532003166220777</v>
      </c>
      <c r="S285" s="841">
        <f>+S259/'VVP2'!S$341</f>
        <v>0.10768143699213448</v>
      </c>
      <c r="T285" s="841">
        <f>+T259/'VVP2'!T$341</f>
        <v>0.11382793394233227</v>
      </c>
      <c r="U285" s="2912">
        <f>+U259/'VVP2'!U$341</f>
        <v>0.14023297723912767</v>
      </c>
      <c r="V285" s="2912">
        <f>+V259/'VVP2'!V$341</f>
        <v>0.13004688939426265</v>
      </c>
      <c r="W285" s="2912">
        <f>+W259/'VVP2'!W$341</f>
        <v>0.1234497360858338</v>
      </c>
      <c r="X285" s="2912">
        <f>+X259/'VVP2'!X$341</f>
        <v>0.11812412439787361</v>
      </c>
      <c r="Y285" s="2912">
        <f>+Y259/'VVP2'!Y$341</f>
        <v>0.11978209163993346</v>
      </c>
      <c r="Z285" s="2912">
        <f>+Z259/'VVP2'!Z$341</f>
        <v>0.12169645386657506</v>
      </c>
      <c r="AA285" s="2912">
        <f>+AA259/'VVP2'!AA$341</f>
        <v>0.12718437496743626</v>
      </c>
      <c r="AB285" s="2912">
        <f>+AB259/'VVP2'!AB$341</f>
        <v>0.13339860640441581</v>
      </c>
      <c r="AC285" s="2912">
        <f ca="1">+AC259/'VVP2'!AC$341</f>
        <v>0.13830034364052618</v>
      </c>
      <c r="AD285" s="2912">
        <f ca="1">+AD259/'VVP2'!AD$341</f>
        <v>0.13940268968114147</v>
      </c>
      <c r="AE285" s="2912">
        <f ca="1">+AE259/'VVP2'!AE$341</f>
        <v>0.13963790285543506</v>
      </c>
    </row>
    <row r="286" spans="1:113" ht="12.75" customHeight="1">
      <c r="A286" s="664"/>
      <c r="B286" s="664"/>
      <c r="C286" s="774"/>
      <c r="R286" s="843"/>
      <c r="S286" s="843"/>
      <c r="T286" s="843"/>
      <c r="U286" s="843"/>
      <c r="V286" s="843"/>
      <c r="W286" s="843"/>
      <c r="X286" s="843"/>
      <c r="Y286" s="843"/>
      <c r="Z286" s="843"/>
      <c r="AA286" s="843"/>
      <c r="AB286" s="843"/>
      <c r="AC286" s="843"/>
      <c r="AD286" s="843"/>
      <c r="AE286" s="843"/>
    </row>
    <row r="287" spans="1:113" ht="12.75" customHeight="1">
      <c r="A287" s="664"/>
      <c r="B287" s="664"/>
      <c r="C287" s="774"/>
      <c r="R287" s="843"/>
      <c r="S287" s="843"/>
      <c r="AB287" s="2221"/>
      <c r="AC287" s="2221"/>
      <c r="AD287" s="2221"/>
      <c r="AE287" s="2221"/>
    </row>
    <row r="288" spans="1:113" ht="12.75" customHeight="1" thickBot="1">
      <c r="A288" s="664"/>
      <c r="B288" s="664"/>
      <c r="C288" s="774"/>
      <c r="D288" s="818" t="s">
        <v>687</v>
      </c>
      <c r="E288" s="1052" t="s">
        <v>567</v>
      </c>
      <c r="F288" s="820"/>
      <c r="G288" s="821">
        <f>+InputY!$G$3</f>
        <v>1995</v>
      </c>
      <c r="H288" s="821">
        <f t="shared" ref="H288:O288" si="261">+G288+1</f>
        <v>1996</v>
      </c>
      <c r="I288" s="821">
        <f t="shared" si="261"/>
        <v>1997</v>
      </c>
      <c r="J288" s="821">
        <f t="shared" si="261"/>
        <v>1998</v>
      </c>
      <c r="K288" s="821">
        <f>+J288+1</f>
        <v>1999</v>
      </c>
      <c r="L288" s="821">
        <f t="shared" si="261"/>
        <v>2000</v>
      </c>
      <c r="M288" s="821">
        <f t="shared" si="261"/>
        <v>2001</v>
      </c>
      <c r="N288" s="821">
        <f t="shared" si="261"/>
        <v>2002</v>
      </c>
      <c r="O288" s="821">
        <f t="shared" si="261"/>
        <v>2003</v>
      </c>
      <c r="P288" s="821">
        <f t="shared" ref="P288:W288" si="262">+O288+1</f>
        <v>2004</v>
      </c>
      <c r="Q288" s="821">
        <f t="shared" si="262"/>
        <v>2005</v>
      </c>
      <c r="R288" s="821">
        <f t="shared" si="262"/>
        <v>2006</v>
      </c>
      <c r="S288" s="821">
        <f t="shared" si="262"/>
        <v>2007</v>
      </c>
      <c r="T288" s="2255">
        <f t="shared" si="262"/>
        <v>2008</v>
      </c>
      <c r="U288" s="2255">
        <f t="shared" si="262"/>
        <v>2009</v>
      </c>
      <c r="V288" s="2255">
        <f t="shared" si="262"/>
        <v>2010</v>
      </c>
      <c r="W288" s="2255">
        <f t="shared" si="262"/>
        <v>2011</v>
      </c>
      <c r="X288" s="2255">
        <f t="shared" ref="X288:AE288" si="263">+W288+1</f>
        <v>2012</v>
      </c>
      <c r="Y288" s="2255">
        <f t="shared" si="263"/>
        <v>2013</v>
      </c>
      <c r="Z288" s="2255">
        <f t="shared" si="263"/>
        <v>2014</v>
      </c>
      <c r="AA288" s="2255">
        <f t="shared" si="263"/>
        <v>2015</v>
      </c>
      <c r="AB288" s="2255">
        <f t="shared" si="263"/>
        <v>2016</v>
      </c>
      <c r="AC288" s="2255">
        <f t="shared" si="263"/>
        <v>2017</v>
      </c>
      <c r="AD288" s="2255">
        <f t="shared" si="263"/>
        <v>2018</v>
      </c>
      <c r="AE288" s="2255">
        <f t="shared" si="263"/>
        <v>2019</v>
      </c>
    </row>
    <row r="289" spans="1:113" s="884" customFormat="1" ht="12.75" customHeight="1" thickBot="1">
      <c r="A289" s="664"/>
      <c r="B289" s="664"/>
      <c r="C289" s="822"/>
      <c r="D289" s="1045"/>
      <c r="E289" s="1046" t="s">
        <v>1080</v>
      </c>
      <c r="F289" s="1505">
        <v>1</v>
      </c>
      <c r="G289" s="1048"/>
      <c r="H289" s="1048">
        <f>+H267/Labour1!H224</f>
        <v>1.2331443534598225</v>
      </c>
      <c r="I289" s="1048">
        <f>+I267/Labour1!I224</f>
        <v>1.7856384288549945</v>
      </c>
      <c r="J289" s="1048">
        <f>+J267/Labour1!J224</f>
        <v>1.2167417829503568</v>
      </c>
      <c r="K289" s="1048">
        <f>+K267/Labour1!K224</f>
        <v>-1.7141201873104011</v>
      </c>
      <c r="L289" s="1048">
        <f>+L267/Labour1!L224</f>
        <v>-1.4248741356147594</v>
      </c>
      <c r="M289" s="1048">
        <f>+M267/Labour1!M224</f>
        <v>0.3820124636970022</v>
      </c>
      <c r="N289" s="1048">
        <f>+N267/Labour1!N224</f>
        <v>0.4030098765063912</v>
      </c>
      <c r="O289" s="1048">
        <f>+O267/Labour1!O224</f>
        <v>0.71126551050093834</v>
      </c>
      <c r="P289" s="1048">
        <f>+P267/Labour1!P224</f>
        <v>0.87443339288430755</v>
      </c>
      <c r="Q289" s="1048">
        <f>+Q267/Labour1!Q224</f>
        <v>0.73843564871062406</v>
      </c>
      <c r="R289" s="1048">
        <f>+R267/Labour1!R224</f>
        <v>0.86543300428955061</v>
      </c>
      <c r="S289" s="1048">
        <f>+S267/Labour1!S224</f>
        <v>1.0319390715201331</v>
      </c>
      <c r="T289" s="1048">
        <f>+T267/Labour1!T224</f>
        <v>1.0868798942103308</v>
      </c>
      <c r="U289" s="1048">
        <f>+U267/Labour1!U224</f>
        <v>-0.55194683993661253</v>
      </c>
      <c r="V289" s="1048">
        <f>+V267/Labour1!V224</f>
        <v>0.82216462372851229</v>
      </c>
      <c r="W289" s="1048">
        <f>+W267/Labour1!W224</f>
        <v>0.75543104023851371</v>
      </c>
      <c r="X289" s="1048">
        <f>+X267/Labour1!X224</f>
        <v>0.71600304324080466</v>
      </c>
      <c r="Y289" s="1048">
        <f>+Y267/Labour1!Y224</f>
        <v>0.76107401096619143</v>
      </c>
      <c r="Z289" s="1048">
        <f>+Z267/Labour1!Z224</f>
        <v>1.1255368924175144</v>
      </c>
      <c r="AA289" s="1048">
        <f>+AA267/Labour1!AA224</f>
        <v>0.97716477218375752</v>
      </c>
      <c r="AB289" s="1048">
        <f>+AB267/Labour1!AB224</f>
        <v>1.0533127587951152</v>
      </c>
      <c r="AC289" s="2257">
        <f>+AC267/Labour1!AC224</f>
        <v>1.379243531275018</v>
      </c>
      <c r="AD289" s="2257">
        <f>+AD267/Labour1!AD224</f>
        <v>1.1238266284995719</v>
      </c>
      <c r="AE289" s="2257">
        <f>+AE267/Labour1!AE224</f>
        <v>0.9862128213811675</v>
      </c>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row>
    <row r="290" spans="1:113" s="884" customFormat="1" ht="12.75" customHeight="1">
      <c r="A290" s="664"/>
      <c r="B290" s="664"/>
      <c r="C290" s="826"/>
      <c r="D290" s="806"/>
      <c r="E290" s="807" t="s">
        <v>654</v>
      </c>
      <c r="F290" s="808"/>
      <c r="G290" s="809"/>
      <c r="H290" s="809"/>
      <c r="I290" s="809"/>
      <c r="J290" s="809"/>
      <c r="K290" s="809">
        <f>AVERAGE(H289:K289)</f>
        <v>0.6303510944886932</v>
      </c>
      <c r="L290" s="809">
        <f>AVERAGE(I289:L289)</f>
        <v>-3.4153527779952231E-2</v>
      </c>
      <c r="M290" s="809">
        <f>AVERAGE(J289:M289)</f>
        <v>-0.38506001906945037</v>
      </c>
      <c r="N290" s="809">
        <f t="shared" ref="N290:T290" si="264">AVERAGE(K289:N289)</f>
        <v>-0.58849299568044189</v>
      </c>
      <c r="O290" s="809">
        <f t="shared" si="264"/>
        <v>1.7853428772393071E-2</v>
      </c>
      <c r="P290" s="809">
        <f t="shared" si="264"/>
        <v>0.59268031089715978</v>
      </c>
      <c r="Q290" s="809">
        <f t="shared" si="264"/>
        <v>0.68178610715056531</v>
      </c>
      <c r="R290" s="809">
        <f t="shared" si="264"/>
        <v>0.79739188909635517</v>
      </c>
      <c r="S290" s="809">
        <f t="shared" si="264"/>
        <v>0.87756027935115388</v>
      </c>
      <c r="T290" s="809">
        <f t="shared" si="264"/>
        <v>0.93067190468265959</v>
      </c>
      <c r="U290" s="3007">
        <f t="shared" ref="U290:AE290" si="265">AVERAGE(R289:U289)</f>
        <v>0.60807628252085055</v>
      </c>
      <c r="V290" s="3007">
        <f t="shared" si="265"/>
        <v>0.59725918738059081</v>
      </c>
      <c r="W290" s="3007">
        <f t="shared" si="265"/>
        <v>0.5281321795601861</v>
      </c>
      <c r="X290" s="3007">
        <f t="shared" si="265"/>
        <v>0.43541296681780456</v>
      </c>
      <c r="Y290" s="3007">
        <f t="shared" si="265"/>
        <v>0.76366817954350541</v>
      </c>
      <c r="Z290" s="3007">
        <f t="shared" si="265"/>
        <v>0.83951124671575605</v>
      </c>
      <c r="AA290" s="3007">
        <f t="shared" si="265"/>
        <v>0.89494467970206704</v>
      </c>
      <c r="AB290" s="3007">
        <f t="shared" si="265"/>
        <v>0.97927210859064462</v>
      </c>
      <c r="AC290" s="3007">
        <f t="shared" si="265"/>
        <v>1.1338144886678512</v>
      </c>
      <c r="AD290" s="3007">
        <f t="shared" si="265"/>
        <v>1.1333869226883657</v>
      </c>
      <c r="AE290" s="3007">
        <f t="shared" si="265"/>
        <v>1.1356489349877181</v>
      </c>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row>
    <row r="291" spans="1:113" s="884" customFormat="1" ht="12.75" customHeight="1">
      <c r="A291" s="664"/>
      <c r="B291" s="664"/>
      <c r="C291" s="826"/>
      <c r="D291" s="1041"/>
      <c r="E291" s="1042" t="s">
        <v>1081</v>
      </c>
      <c r="F291" s="1044"/>
      <c r="G291" s="1502">
        <f>+G255/Labour1!G214</f>
        <v>0.19312531229001192</v>
      </c>
      <c r="H291" s="1502">
        <f>+H255/Labour1!H214</f>
        <v>0.20274748350561553</v>
      </c>
      <c r="I291" s="1502">
        <f>+I255/Labour1!I214</f>
        <v>0.23244422890397673</v>
      </c>
      <c r="J291" s="1502">
        <f>+J255/Labour1!J214</f>
        <v>0.24062163574553261</v>
      </c>
      <c r="K291" s="1502">
        <f>+K255/Labour1!K214</f>
        <v>0.23602572165676217</v>
      </c>
      <c r="L291" s="1502">
        <f>+L255/Labour1!L214</f>
        <v>0.26133049963142724</v>
      </c>
      <c r="M291" s="1502">
        <f>+M255/Labour1!M214</f>
        <v>0.25704295573957792</v>
      </c>
      <c r="N291" s="1502">
        <f>+N255/Labour1!N214</f>
        <v>0.24528983823582562</v>
      </c>
      <c r="O291" s="1502">
        <f>+O255/Labour1!O214</f>
        <v>0.23833469914822819</v>
      </c>
      <c r="P291" s="1502">
        <f>+P255/Labour1!P214</f>
        <v>0.23478507104563692</v>
      </c>
      <c r="Q291" s="1502">
        <f>+Q255/Labour1!Q214</f>
        <v>0.22606402332388892</v>
      </c>
      <c r="R291" s="1502">
        <f>+R255/Labour1!R214</f>
        <v>0.22086248333706326</v>
      </c>
      <c r="S291" s="1502">
        <f>+S255/Labour1!S214</f>
        <v>0.22203490211668114</v>
      </c>
      <c r="T291" s="1502">
        <f>+T255/Labour1!T214</f>
        <v>0.22476170440130211</v>
      </c>
      <c r="U291" s="3009">
        <f>+U255/Labour1!U214</f>
        <v>0.29397699997912891</v>
      </c>
      <c r="V291" s="3009">
        <f>+V255/Labour1!V214</f>
        <v>0.29629371306115015</v>
      </c>
      <c r="W291" s="3009">
        <f>+W255/Labour1!W214</f>
        <v>0.29142516035585292</v>
      </c>
      <c r="X291" s="3009">
        <f>+X255/Labour1!X214</f>
        <v>0.2870821951059756</v>
      </c>
      <c r="Y291" s="3009">
        <f>+Y255/Labour1!Y214</f>
        <v>0.28326112488011745</v>
      </c>
      <c r="Z291" s="3009">
        <f>+Z255/Labour1!Z214</f>
        <v>0.2854041287123229</v>
      </c>
      <c r="AA291" s="3009">
        <f>+AA255/Labour1!AA214</f>
        <v>0.28498178711387151</v>
      </c>
      <c r="AB291" s="3009">
        <f>+AB255/Labour1!AB214</f>
        <v>0.28614110883888416</v>
      </c>
      <c r="AC291" s="3009">
        <f>+AC255/Labour1!AC214</f>
        <v>0.29508480824713734</v>
      </c>
      <c r="AD291" s="3009">
        <f>+AD255/Labour1!AD214</f>
        <v>0.29714063808457764</v>
      </c>
      <c r="AE291" s="3009">
        <f>+AE255/Labour1!AE214</f>
        <v>0.29691557174474587</v>
      </c>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row>
    <row r="292" spans="1:113" s="884" customFormat="1" ht="12.75" customHeight="1">
      <c r="A292" s="664"/>
      <c r="B292" s="664">
        <v>160</v>
      </c>
      <c r="C292" s="827"/>
      <c r="D292" s="1049"/>
      <c r="E292" s="1050" t="s">
        <v>654</v>
      </c>
      <c r="F292" s="1051"/>
      <c r="G292" s="1500"/>
      <c r="H292" s="1501"/>
      <c r="I292" s="1501"/>
      <c r="J292" s="1501">
        <f t="shared" ref="J292:T292" si="266">AVERAGE(G291:J291)</f>
        <v>0.2172346651112842</v>
      </c>
      <c r="K292" s="1501">
        <f>AVERAGE(H291:K291)</f>
        <v>0.22795976745297175</v>
      </c>
      <c r="L292" s="1501">
        <f>AVERAGE(I291:L291)</f>
        <v>0.24260552148442466</v>
      </c>
      <c r="M292" s="1501">
        <f>AVERAGE(J291:M291)</f>
        <v>0.248755203193325</v>
      </c>
      <c r="N292" s="1501">
        <f t="shared" si="266"/>
        <v>0.24992225381589825</v>
      </c>
      <c r="O292" s="1501">
        <f t="shared" si="266"/>
        <v>0.25049949818876471</v>
      </c>
      <c r="P292" s="1501">
        <f t="shared" si="266"/>
        <v>0.24386314104231716</v>
      </c>
      <c r="Q292" s="1501">
        <f t="shared" si="266"/>
        <v>0.23611840793839489</v>
      </c>
      <c r="R292" s="1501">
        <f t="shared" si="266"/>
        <v>0.23001156921370433</v>
      </c>
      <c r="S292" s="1501">
        <f t="shared" si="266"/>
        <v>0.22593661995581754</v>
      </c>
      <c r="T292" s="1501">
        <f t="shared" si="266"/>
        <v>0.22343077829473384</v>
      </c>
      <c r="U292" s="3010">
        <f t="shared" ref="U292:AE292" si="267">AVERAGE(R291:U291)</f>
        <v>0.24040902245854384</v>
      </c>
      <c r="V292" s="3010">
        <f t="shared" si="267"/>
        <v>0.25926682988956562</v>
      </c>
      <c r="W292" s="3010">
        <f t="shared" si="267"/>
        <v>0.27661439444935854</v>
      </c>
      <c r="X292" s="3010">
        <f t="shared" si="267"/>
        <v>0.29219451712552691</v>
      </c>
      <c r="Y292" s="3010">
        <f t="shared" si="267"/>
        <v>0.28951554835077409</v>
      </c>
      <c r="Z292" s="3010">
        <f t="shared" si="267"/>
        <v>0.28679315226356722</v>
      </c>
      <c r="AA292" s="3010">
        <f t="shared" si="267"/>
        <v>0.28518230895307184</v>
      </c>
      <c r="AB292" s="3010">
        <f t="shared" si="267"/>
        <v>0.28494703738629901</v>
      </c>
      <c r="AC292" s="3010">
        <f t="shared" si="267"/>
        <v>0.28790295822805395</v>
      </c>
      <c r="AD292" s="3010">
        <f t="shared" si="267"/>
        <v>0.29083708557111765</v>
      </c>
      <c r="AE292" s="3010">
        <f t="shared" si="267"/>
        <v>0.29382053172883621</v>
      </c>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row>
    <row r="293" spans="1:113" ht="30" customHeight="1">
      <c r="A293" s="664"/>
      <c r="B293" s="664"/>
      <c r="C293" s="774"/>
      <c r="AB293" s="2221"/>
      <c r="AC293" s="2221"/>
      <c r="AD293" s="2221"/>
      <c r="AE293" s="2221"/>
    </row>
    <row r="294" spans="1:113" ht="30" customHeight="1">
      <c r="AB294" s="2221">
        <v>4.1640929138554217</v>
      </c>
      <c r="AC294" s="2221">
        <v>5.1640929138554199</v>
      </c>
      <c r="AD294" s="2221">
        <v>5.1640929138554199</v>
      </c>
      <c r="AE294" s="2221">
        <v>5.1640929138554199</v>
      </c>
    </row>
    <row r="295" spans="1:113" ht="22.5" customHeight="1">
      <c r="A295" s="574"/>
      <c r="B295" s="574"/>
      <c r="C295" s="3752" t="s">
        <v>1182</v>
      </c>
      <c r="D295" s="3752"/>
      <c r="E295" s="3752"/>
      <c r="F295" s="3752"/>
      <c r="AB295" s="2221"/>
      <c r="AC295" s="2221"/>
      <c r="AD295" s="2221"/>
      <c r="AE295" s="2221"/>
    </row>
    <row r="296" spans="1:113" ht="12.75" customHeight="1">
      <c r="A296" s="664"/>
      <c r="B296" s="664"/>
      <c r="C296" s="774"/>
      <c r="V296" s="3120"/>
      <c r="AB296" s="2221"/>
      <c r="AC296" s="2221"/>
      <c r="AD296" s="2221"/>
      <c r="AE296" s="2221"/>
    </row>
    <row r="297" spans="1:113" ht="12.75" customHeight="1">
      <c r="A297" s="664"/>
      <c r="B297" s="664"/>
      <c r="C297" s="774"/>
      <c r="D297" s="775"/>
      <c r="E297" s="776" t="s">
        <v>1384</v>
      </c>
      <c r="F297" s="777"/>
      <c r="G297" s="778">
        <f>+InputY!$G$3</f>
        <v>1995</v>
      </c>
      <c r="H297" s="778">
        <f>+G297+1</f>
        <v>1996</v>
      </c>
      <c r="I297" s="778">
        <f t="shared" ref="I297:O297" si="268">+H297+1</f>
        <v>1997</v>
      </c>
      <c r="J297" s="778">
        <f t="shared" si="268"/>
        <v>1998</v>
      </c>
      <c r="K297" s="778">
        <f>+J297+1</f>
        <v>1999</v>
      </c>
      <c r="L297" s="778">
        <f t="shared" si="268"/>
        <v>2000</v>
      </c>
      <c r="M297" s="778">
        <f t="shared" si="268"/>
        <v>2001</v>
      </c>
      <c r="N297" s="778">
        <f t="shared" si="268"/>
        <v>2002</v>
      </c>
      <c r="O297" s="778">
        <f t="shared" si="268"/>
        <v>2003</v>
      </c>
      <c r="P297" s="778">
        <f t="shared" ref="P297:W297" si="269">+O297+1</f>
        <v>2004</v>
      </c>
      <c r="Q297" s="778">
        <f t="shared" si="269"/>
        <v>2005</v>
      </c>
      <c r="R297" s="778">
        <f t="shared" si="269"/>
        <v>2006</v>
      </c>
      <c r="S297" s="778">
        <f t="shared" si="269"/>
        <v>2007</v>
      </c>
      <c r="T297" s="2222">
        <f t="shared" si="269"/>
        <v>2008</v>
      </c>
      <c r="U297" s="2222">
        <f t="shared" si="269"/>
        <v>2009</v>
      </c>
      <c r="V297" s="2222">
        <f t="shared" si="269"/>
        <v>2010</v>
      </c>
      <c r="W297" s="2222">
        <f t="shared" si="269"/>
        <v>2011</v>
      </c>
      <c r="X297" s="2222">
        <f t="shared" ref="X297:AE297" si="270">+W297+1</f>
        <v>2012</v>
      </c>
      <c r="Y297" s="2222">
        <f t="shared" si="270"/>
        <v>2013</v>
      </c>
      <c r="Z297" s="2222">
        <f t="shared" si="270"/>
        <v>2014</v>
      </c>
      <c r="AA297" s="2222">
        <f t="shared" si="270"/>
        <v>2015</v>
      </c>
      <c r="AB297" s="2222">
        <f t="shared" si="270"/>
        <v>2016</v>
      </c>
      <c r="AC297" s="2222">
        <f t="shared" si="270"/>
        <v>2017</v>
      </c>
      <c r="AD297" s="2222">
        <f t="shared" si="270"/>
        <v>2018</v>
      </c>
      <c r="AE297" s="2222">
        <f t="shared" si="270"/>
        <v>2019</v>
      </c>
    </row>
    <row r="298" spans="1:113" ht="12.75" customHeight="1">
      <c r="A298" s="664">
        <f>+ROW(InputY!A195)</f>
        <v>195</v>
      </c>
      <c r="B298" s="664" t="s">
        <v>991</v>
      </c>
      <c r="C298" s="779" t="s">
        <v>1767</v>
      </c>
      <c r="D298" s="668" t="s">
        <v>685</v>
      </c>
      <c r="E298" s="700" t="s">
        <v>1340</v>
      </c>
      <c r="F298" s="701" t="str">
        <f>+InputY!B195</f>
        <v>$HTaxSoc(2)</v>
      </c>
      <c r="G298" s="780">
        <f>+InputY!G195/1000</f>
        <v>2.8000000000000003E-4</v>
      </c>
      <c r="H298" s="780">
        <f>+InputY!H195/1000</f>
        <v>2.2000000000000003E-4</v>
      </c>
      <c r="I298" s="780">
        <f>+InputY!I195/1000</f>
        <v>3.3E-4</v>
      </c>
      <c r="J298" s="780">
        <f>+InputY!J195/1000</f>
        <v>4.9000000000000009E-4</v>
      </c>
      <c r="K298" s="780">
        <f>+InputY!K195/1000</f>
        <v>3.5000000000000005E-4</v>
      </c>
      <c r="L298" s="780">
        <f>+InputY!L195/1000</f>
        <v>4.6000000000000001E-4</v>
      </c>
      <c r="M298" s="780">
        <f>+InputY!M195/1000</f>
        <v>4.0000000000000002E-4</v>
      </c>
      <c r="N298" s="780">
        <f>+InputY!N195/1000</f>
        <v>3.7000000000000005E-4</v>
      </c>
      <c r="O298" s="780">
        <f>+InputY!O195/1000</f>
        <v>4.2000000000000002E-4</v>
      </c>
      <c r="P298" s="780">
        <f>+InputY!P195/1000</f>
        <v>4.4000000000000007E-4</v>
      </c>
      <c r="Q298" s="780">
        <f>+InputY!Q195/1000</f>
        <v>5.6000000000000006E-4</v>
      </c>
      <c r="R298" s="2872">
        <f>+InputY!R195/1000</f>
        <v>6.8000000000000005E-4</v>
      </c>
      <c r="S298" s="2872">
        <f>+InputY!S195/1000</f>
        <v>8.5000000000000006E-4</v>
      </c>
      <c r="T298" s="2872">
        <f>+InputY!T195/1000</f>
        <v>8.7000000000000011E-4</v>
      </c>
      <c r="U298" s="2872">
        <f>+InputY!U195/1000</f>
        <v>8.1000000000000006E-4</v>
      </c>
      <c r="V298" s="2872">
        <f>+InputY!V195/1000</f>
        <v>7.7999999999999999E-4</v>
      </c>
      <c r="W298" s="2872">
        <f>+InputY!W195/1000</f>
        <v>8.7000000000000011E-4</v>
      </c>
      <c r="X298" s="2872">
        <f>+InputY!X195/1000</f>
        <v>8.5000000000000006E-4</v>
      </c>
      <c r="Y298" s="2872">
        <f>+InputY!Y195/1000</f>
        <v>8.8000000000000014E-4</v>
      </c>
      <c r="Z298" s="2872">
        <f>+InputY!Z195/1000</f>
        <v>1E-3</v>
      </c>
      <c r="AA298" s="2872">
        <f>+InputY!AA195/1000</f>
        <v>8.9999999999999998E-4</v>
      </c>
      <c r="AB298" s="2872">
        <f>+InputY!AB195/1000</f>
        <v>9.4000000000000008E-4</v>
      </c>
      <c r="AC298" s="2873">
        <f t="shared" ref="AC298:AE301" si="271">+AB298*(1+AC306/100)</f>
        <v>9.8042000000000008E-4</v>
      </c>
      <c r="AD298" s="2873">
        <f t="shared" si="271"/>
        <v>1.0245389000000001E-3</v>
      </c>
      <c r="AE298" s="2873">
        <f t="shared" si="271"/>
        <v>1.0685940727000001E-3</v>
      </c>
    </row>
    <row r="299" spans="1:113" ht="12.75" customHeight="1">
      <c r="A299" s="664">
        <f>+ROW(InputY!A123)</f>
        <v>123</v>
      </c>
      <c r="B299" s="664" t="s">
        <v>992</v>
      </c>
      <c r="C299" s="782" t="s">
        <v>1767</v>
      </c>
      <c r="D299" s="674" t="s">
        <v>686</v>
      </c>
      <c r="E299" s="783" t="s">
        <v>1340</v>
      </c>
      <c r="F299" s="704" t="str">
        <f>+InputY!B123</f>
        <v>$ETSoc</v>
      </c>
      <c r="G299" s="706">
        <f>+InputY!G123/1000</f>
        <v>4.4400000000000004E-3</v>
      </c>
      <c r="H299" s="706">
        <f>+InputY!H123/1000</f>
        <v>4.1399999999999996E-3</v>
      </c>
      <c r="I299" s="706">
        <f>+InputY!I123/1000</f>
        <v>5.7199999999999994E-3</v>
      </c>
      <c r="J299" s="706">
        <f>+InputY!J123/1000</f>
        <v>7.0899999999999999E-3</v>
      </c>
      <c r="K299" s="706">
        <f>+InputY!K123/1000</f>
        <v>7.7400000000000004E-3</v>
      </c>
      <c r="L299" s="706">
        <f>+InputY!L123/1000</f>
        <v>6.1700000000000001E-3</v>
      </c>
      <c r="M299" s="706">
        <f>+InputY!M123/1000</f>
        <v>4.5999999999999999E-3</v>
      </c>
      <c r="N299" s="706">
        <f>+InputY!N123/1000</f>
        <v>4.3699999999999998E-3</v>
      </c>
      <c r="O299" s="706">
        <f>+InputY!O123/1000</f>
        <v>5.2900000000000004E-3</v>
      </c>
      <c r="P299" s="706">
        <f>+InputY!P123/1000</f>
        <v>6.0899999999999999E-3</v>
      </c>
      <c r="Q299" s="706">
        <f>+InputY!Q123/1000</f>
        <v>9.0659999999999991E-2</v>
      </c>
      <c r="R299" s="1564">
        <f>+InputY!R123/1000</f>
        <v>0.11231999999999999</v>
      </c>
      <c r="S299" s="1564">
        <f>+InputY!S123/1000</f>
        <v>0.14411000000000002</v>
      </c>
      <c r="T299" s="1564">
        <f>+InputY!T123/1000</f>
        <v>0.16861999999999999</v>
      </c>
      <c r="U299" s="1564">
        <f>+InputY!U123/1000</f>
        <v>0.12520999999999999</v>
      </c>
      <c r="V299" s="1564">
        <f>+InputY!V123/1000</f>
        <v>0.11831</v>
      </c>
      <c r="W299" s="1564">
        <f>+InputY!W123/1000</f>
        <v>0.15762999999999999</v>
      </c>
      <c r="X299" s="1564">
        <f>+InputY!X123/1000</f>
        <v>0.13691999999999999</v>
      </c>
      <c r="Y299" s="1564">
        <f>+InputY!Y123/1000</f>
        <v>0.15028</v>
      </c>
      <c r="Z299" s="1564">
        <f>+InputY!Z123/1000</f>
        <v>0.15912000000000001</v>
      </c>
      <c r="AA299" s="1564">
        <f>+InputY!AA123/1000</f>
        <v>0.17338000000000001</v>
      </c>
      <c r="AB299" s="1564">
        <f>+InputY!AB123/1000</f>
        <v>0.18775999999999998</v>
      </c>
      <c r="AC299" s="2275">
        <f t="shared" si="271"/>
        <v>0.19620919999999997</v>
      </c>
      <c r="AD299" s="2275">
        <f t="shared" si="271"/>
        <v>0.20503861399999995</v>
      </c>
      <c r="AE299" s="2275">
        <f t="shared" si="271"/>
        <v>0.21426535162999993</v>
      </c>
    </row>
    <row r="300" spans="1:113" ht="12.75" customHeight="1">
      <c r="A300" s="664">
        <f>+ROW(InputY!A160)</f>
        <v>160</v>
      </c>
      <c r="B300" s="664">
        <v>121</v>
      </c>
      <c r="C300" s="782" t="s">
        <v>1767</v>
      </c>
      <c r="D300" s="674" t="s">
        <v>687</v>
      </c>
      <c r="E300" s="783" t="s">
        <v>1340</v>
      </c>
      <c r="F300" s="704" t="str">
        <f>+InputY!B160</f>
        <v>$ATToH</v>
      </c>
      <c r="G300" s="706">
        <f>+InputY!G160/1000</f>
        <v>0.6345599999999999</v>
      </c>
      <c r="H300" s="706">
        <f>+InputY!H160/1000</f>
        <v>0.83355999999999997</v>
      </c>
      <c r="I300" s="706">
        <f>+InputY!I160/1000</f>
        <v>1.1307799999999999</v>
      </c>
      <c r="J300" s="706">
        <f>+InputY!J160/1000</f>
        <v>1.4114899999999999</v>
      </c>
      <c r="K300" s="706">
        <f>+InputY!K160/1000</f>
        <v>1.5512699999999999</v>
      </c>
      <c r="L300" s="706">
        <f>+InputY!L160/1000</f>
        <v>1.53494</v>
      </c>
      <c r="M300" s="706">
        <f>+InputY!M160/1000</f>
        <v>1.6019600000000001</v>
      </c>
      <c r="N300" s="706">
        <f>+InputY!N160/1000</f>
        <v>1.5185899999999999</v>
      </c>
      <c r="O300" s="706">
        <f>+InputY!O160/1000</f>
        <v>1.6291600000000002</v>
      </c>
      <c r="P300" s="706">
        <f>+InputY!P160/1000</f>
        <v>1.77817</v>
      </c>
      <c r="Q300" s="706">
        <f>+InputY!Q160/1000</f>
        <v>1.9577899999999999</v>
      </c>
      <c r="R300" s="1564">
        <f>+InputY!R160/1000</f>
        <v>2.2084899999999998</v>
      </c>
      <c r="S300" s="1564">
        <f>+InputY!S160/1000</f>
        <v>2.8051200000000001</v>
      </c>
      <c r="T300" s="1564">
        <f>+InputY!T160/1000</f>
        <v>3.7564499999999996</v>
      </c>
      <c r="U300" s="1564">
        <f>+InputY!U160/1000</f>
        <v>4.3547600000000006</v>
      </c>
      <c r="V300" s="1564">
        <f>+InputY!V160/1000</f>
        <v>4.0089800000000002</v>
      </c>
      <c r="W300" s="1564">
        <f>+InputY!W160/1000</f>
        <v>3.9032199999999997</v>
      </c>
      <c r="X300" s="1564">
        <f>+InputY!X160/1000</f>
        <v>3.9884200000000001</v>
      </c>
      <c r="Y300" s="1564">
        <f>+InputY!Y160/1000</f>
        <v>3.9543499999999998</v>
      </c>
      <c r="Z300" s="1564">
        <f>+InputY!Z160/1000</f>
        <v>3.9676999999999998</v>
      </c>
      <c r="AA300" s="1564">
        <f>+InputY!AA160/1000</f>
        <v>4.0540500000000002</v>
      </c>
      <c r="AB300" s="1564">
        <f>+InputY!AB160/1000</f>
        <v>4.2601700000000005</v>
      </c>
      <c r="AC300" s="2275">
        <f t="shared" si="271"/>
        <v>4.7713904000000014</v>
      </c>
      <c r="AD300" s="2275">
        <f t="shared" si="271"/>
        <v>5.3439572480000024</v>
      </c>
      <c r="AE300" s="2275">
        <f t="shared" si="271"/>
        <v>5.6645946828800025</v>
      </c>
    </row>
    <row r="301" spans="1:113" ht="12.75" customHeight="1">
      <c r="A301" s="1953">
        <f>ROW(InputY!A250)</f>
        <v>250</v>
      </c>
      <c r="B301" s="664" t="s">
        <v>988</v>
      </c>
      <c r="C301" s="782" t="s">
        <v>401</v>
      </c>
      <c r="D301" s="674" t="s">
        <v>688</v>
      </c>
      <c r="E301" s="783" t="s">
        <v>1182</v>
      </c>
      <c r="F301" s="704" t="s">
        <v>842</v>
      </c>
      <c r="G301" s="706">
        <f>+InputY!G250/1000</f>
        <v>0</v>
      </c>
      <c r="H301" s="706">
        <f>+InputY!H250/1000</f>
        <v>0</v>
      </c>
      <c r="I301" s="706">
        <f>+InputY!I250/1000</f>
        <v>0</v>
      </c>
      <c r="J301" s="706">
        <f>+InputY!J250/1000</f>
        <v>0</v>
      </c>
      <c r="K301" s="706">
        <f>+InputY!K250/1000</f>
        <v>0</v>
      </c>
      <c r="L301" s="706">
        <f>+InputY!L250/1000</f>
        <v>-2.635542168674699E-2</v>
      </c>
      <c r="M301" s="706">
        <f>+InputY!M250/1000</f>
        <v>-2.3459221501390175E-2</v>
      </c>
      <c r="N301" s="706">
        <f>+InputY!N250/1000</f>
        <v>-2.7224281742354032E-2</v>
      </c>
      <c r="O301" s="706">
        <f>+InputY!O250/1000</f>
        <v>-2.5486561631139947E-2</v>
      </c>
      <c r="P301" s="706">
        <f>+InputY!P250/1000</f>
        <v>-2.5486561631139947E-2</v>
      </c>
      <c r="Q301" s="706">
        <f>+InputY!Q250/1000</f>
        <v>-2.9000000000000001E-2</v>
      </c>
      <c r="R301" s="1564">
        <f>+InputY!R250/1000</f>
        <v>-2.8000000000000001E-2</v>
      </c>
      <c r="S301" s="1564">
        <f>+InputY!S250/1000</f>
        <v>-2.5000000000000001E-2</v>
      </c>
      <c r="T301" s="1564">
        <f>+InputY!T250/1000</f>
        <v>-3.3000000000000002E-2</v>
      </c>
      <c r="U301" s="1564">
        <f>+InputY!U250/1000</f>
        <v>-2.7E-2</v>
      </c>
      <c r="V301" s="1564">
        <f>+InputY!V250/1000</f>
        <v>-3.1E-2</v>
      </c>
      <c r="W301" s="1564">
        <f>+InputY!W250/1000</f>
        <v>-0.02</v>
      </c>
      <c r="X301" s="1564">
        <f>+InputY!X250/1000</f>
        <v>-1.7000000000000001E-2</v>
      </c>
      <c r="Y301" s="1564">
        <f>+InputY!Y250/1000</f>
        <v>-5.0000000000000001E-3</v>
      </c>
      <c r="Z301" s="1564">
        <f>+InputY!Z250/1000</f>
        <v>-4.0000000000000001E-3</v>
      </c>
      <c r="AA301" s="1564">
        <f>+InputY!AA250/1000</f>
        <v>-8.9999999999999993E-3</v>
      </c>
      <c r="AB301" s="1564">
        <f>+InputY!AB250/1000</f>
        <v>-7.0000000000000001E-3</v>
      </c>
      <c r="AC301" s="2275">
        <f t="shared" si="271"/>
        <v>-7.0000000000000001E-3</v>
      </c>
      <c r="AD301" s="2275">
        <f t="shared" si="271"/>
        <v>-7.0000000000000001E-3</v>
      </c>
      <c r="AE301" s="2275">
        <f t="shared" si="271"/>
        <v>-7.0000000000000001E-3</v>
      </c>
    </row>
    <row r="302" spans="1:113" ht="12.75" customHeight="1">
      <c r="A302" s="664">
        <f>+ROW(InputY!A193)</f>
        <v>193</v>
      </c>
      <c r="B302" s="664" t="s">
        <v>997</v>
      </c>
      <c r="C302" s="784" t="s">
        <v>1769</v>
      </c>
      <c r="D302" s="752" t="s">
        <v>685</v>
      </c>
      <c r="E302" s="753" t="s">
        <v>1335</v>
      </c>
      <c r="F302" s="754" t="str">
        <f>+InputY!B193</f>
        <v>YHTSoc(2)</v>
      </c>
      <c r="G302" s="785">
        <f>+InputY!G193/1000</f>
        <v>0.63928999999999991</v>
      </c>
      <c r="H302" s="785">
        <f>+InputY!H193/1000</f>
        <v>0.83790999999999993</v>
      </c>
      <c r="I302" s="785">
        <f>+InputY!I193/1000</f>
        <v>1.13683</v>
      </c>
      <c r="J302" s="785">
        <f>+InputY!J193/1000</f>
        <v>1.4190799999999999</v>
      </c>
      <c r="K302" s="785">
        <f>+InputY!K193/1000</f>
        <v>1.5840999999999998</v>
      </c>
      <c r="L302" s="785">
        <f>+InputY!L193/1000</f>
        <v>1.5676600000000001</v>
      </c>
      <c r="M302" s="785">
        <f>+InputY!M193/1000</f>
        <v>1.63063</v>
      </c>
      <c r="N302" s="785">
        <f>+InputY!N193/1000</f>
        <v>1.54847</v>
      </c>
      <c r="O302" s="785">
        <f>+InputY!O193/1000</f>
        <v>1.6601600000000001</v>
      </c>
      <c r="P302" s="785">
        <f>+InputY!P193/1000</f>
        <v>1.81019</v>
      </c>
      <c r="Q302" s="785">
        <f>+InputY!Q193/1000</f>
        <v>2.0784899999999999</v>
      </c>
      <c r="R302" s="2874">
        <f>+InputY!R193/1000</f>
        <v>2.3494000000000002</v>
      </c>
      <c r="S302" s="2874">
        <f>+InputY!S193/1000</f>
        <v>2.9751099999999999</v>
      </c>
      <c r="T302" s="2874">
        <f>+InputY!T193/1000</f>
        <v>3.9594299999999998</v>
      </c>
      <c r="U302" s="2874">
        <f>+InputY!U193/1000</f>
        <v>4.5076000000000001</v>
      </c>
      <c r="V302" s="2874">
        <f>+InputY!V193/1000</f>
        <v>4.1591899999999997</v>
      </c>
      <c r="W302" s="2874">
        <f>+InputY!W193/1000</f>
        <v>4.0821500000000004</v>
      </c>
      <c r="X302" s="2874">
        <f>+InputY!X193/1000</f>
        <v>4.1427500000000004</v>
      </c>
      <c r="Y302" s="2874">
        <f>+InputY!Y193/1000</f>
        <v>4.1100900000000005</v>
      </c>
      <c r="Z302" s="2874">
        <f>+InputY!Z193/1000</f>
        <v>4.13232</v>
      </c>
      <c r="AA302" s="2874">
        <f>+InputY!AA193/1000</f>
        <v>4.2368500000000004</v>
      </c>
      <c r="AB302" s="2874">
        <f>+InputY!AB193/1000</f>
        <v>4.4561299999999999</v>
      </c>
      <c r="AC302" s="2873">
        <f>+AC298+AC299+AC300-AC301</f>
        <v>4.9755800200000007</v>
      </c>
      <c r="AD302" s="2873">
        <f>+AD298+AD299+AD300-AD301</f>
        <v>5.5570204009000017</v>
      </c>
      <c r="AE302" s="2873">
        <f>+AE298+AE299+AE300-AE301</f>
        <v>5.8869286285827016</v>
      </c>
    </row>
    <row r="303" spans="1:113" s="1972" customFormat="1" ht="12.75" customHeight="1">
      <c r="A303" s="998"/>
      <c r="B303" s="998"/>
      <c r="C303" s="1595"/>
      <c r="D303" s="1011"/>
      <c r="E303" s="1973" t="s">
        <v>737</v>
      </c>
      <c r="F303" s="1974"/>
      <c r="G303" s="1002">
        <f>ABS(+G298+G299+G300-G301-G302)</f>
        <v>1.0000000000065512E-5</v>
      </c>
      <c r="H303" s="1002">
        <f t="shared" ref="H303:Y303" si="272">ABS(+H298+H299+H300-H301-H302)</f>
        <v>1.0000000000065512E-5</v>
      </c>
      <c r="I303" s="1002">
        <f t="shared" si="272"/>
        <v>2.2204460492503131E-16</v>
      </c>
      <c r="J303" s="1002">
        <f t="shared" si="272"/>
        <v>1.0000000000065512E-5</v>
      </c>
      <c r="K303" s="1002">
        <f t="shared" si="272"/>
        <v>2.4739999999999984E-2</v>
      </c>
      <c r="L303" s="1002">
        <f t="shared" si="272"/>
        <v>2.6542168674681399E-4</v>
      </c>
      <c r="M303" s="1002">
        <f t="shared" si="272"/>
        <v>2.1077849860984266E-4</v>
      </c>
      <c r="N303" s="1002">
        <f t="shared" si="272"/>
        <v>2.0842817423538662E-3</v>
      </c>
      <c r="O303" s="1002">
        <f t="shared" si="272"/>
        <v>1.9656163114012415E-4</v>
      </c>
      <c r="P303" s="1002">
        <f t="shared" si="272"/>
        <v>3.4383688600758688E-6</v>
      </c>
      <c r="Q303" s="1002">
        <f t="shared" si="272"/>
        <v>4.8000000000003595E-4</v>
      </c>
      <c r="R303" s="1002">
        <f t="shared" si="272"/>
        <v>8.999999999970143E-5</v>
      </c>
      <c r="S303" s="1002">
        <f t="shared" si="272"/>
        <v>2.9999999999752447E-5</v>
      </c>
      <c r="T303" s="2906">
        <f t="shared" si="272"/>
        <v>4.9000000000010147E-4</v>
      </c>
      <c r="U303" s="2906">
        <f t="shared" si="272"/>
        <v>1.8000000000029104E-4</v>
      </c>
      <c r="V303" s="3125">
        <f t="shared" si="272"/>
        <v>1.1999999999989797E-4</v>
      </c>
      <c r="W303" s="2906">
        <f t="shared" si="272"/>
        <v>4.3000000000148475E-4</v>
      </c>
      <c r="X303" s="2906">
        <f t="shared" si="272"/>
        <v>4.4000000000021799E-4</v>
      </c>
      <c r="Y303" s="2906">
        <f t="shared" si="272"/>
        <v>4.1999999999919879E-4</v>
      </c>
      <c r="Z303" s="2906">
        <f t="shared" ref="Z303:AE303" si="273">ABS(+Z298+Z299+Z300-Z301-Z302)</f>
        <v>5.0000000000061107E-4</v>
      </c>
      <c r="AA303" s="2906">
        <f t="shared" si="273"/>
        <v>4.8000000000048004E-4</v>
      </c>
      <c r="AB303" s="2906">
        <f t="shared" si="273"/>
        <v>2.5999999999992696E-4</v>
      </c>
      <c r="AC303" s="2906">
        <f t="shared" si="273"/>
        <v>0</v>
      </c>
      <c r="AD303" s="2906">
        <f t="shared" si="273"/>
        <v>0</v>
      </c>
      <c r="AE303" s="2906">
        <f t="shared" si="273"/>
        <v>0</v>
      </c>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row>
    <row r="304" spans="1:113">
      <c r="A304" s="664"/>
      <c r="B304" s="664"/>
      <c r="G304" s="699">
        <v>6.859746504046621E-2</v>
      </c>
      <c r="H304" s="699">
        <v>7.695017707811834E-2</v>
      </c>
      <c r="I304" s="699">
        <v>6.5034072875501767E-2</v>
      </c>
      <c r="J304" s="699">
        <v>0.13202492574689884</v>
      </c>
      <c r="K304" s="699">
        <v>0.14595202926074419</v>
      </c>
      <c r="L304" s="699">
        <v>0.16360908368153315</v>
      </c>
      <c r="M304" s="699">
        <v>0.17423419775581445</v>
      </c>
      <c r="N304" s="699">
        <v>0.13859722805543889</v>
      </c>
      <c r="O304" s="699">
        <v>0.12512196169635678</v>
      </c>
      <c r="Q304" s="845"/>
      <c r="R304" s="845"/>
      <c r="S304" s="845"/>
      <c r="AB304" s="2221"/>
      <c r="AC304" s="2221"/>
      <c r="AD304" s="2221"/>
      <c r="AE304" s="2221"/>
    </row>
    <row r="305" spans="1:32" ht="12.75" customHeight="1">
      <c r="A305" s="664"/>
      <c r="B305" s="664"/>
      <c r="C305" s="774"/>
      <c r="D305" s="742"/>
      <c r="E305" s="743" t="s">
        <v>1311</v>
      </c>
      <c r="F305" s="744"/>
      <c r="G305" s="745">
        <f>+InputY!$G$3</f>
        <v>1995</v>
      </c>
      <c r="H305" s="745">
        <f>+G305+1</f>
        <v>1996</v>
      </c>
      <c r="I305" s="745">
        <f t="shared" ref="I305:O305" si="274">+H305+1</f>
        <v>1997</v>
      </c>
      <c r="J305" s="745">
        <f t="shared" si="274"/>
        <v>1998</v>
      </c>
      <c r="K305" s="745">
        <f>+J305+1</f>
        <v>1999</v>
      </c>
      <c r="L305" s="745">
        <f t="shared" si="274"/>
        <v>2000</v>
      </c>
      <c r="M305" s="745">
        <f t="shared" si="274"/>
        <v>2001</v>
      </c>
      <c r="N305" s="745">
        <f t="shared" si="274"/>
        <v>2002</v>
      </c>
      <c r="O305" s="745">
        <f t="shared" si="274"/>
        <v>2003</v>
      </c>
      <c r="P305" s="745">
        <f t="shared" ref="P305:W305" si="275">+O305+1</f>
        <v>2004</v>
      </c>
      <c r="Q305" s="745">
        <f t="shared" si="275"/>
        <v>2005</v>
      </c>
      <c r="R305" s="745">
        <f t="shared" si="275"/>
        <v>2006</v>
      </c>
      <c r="S305" s="745">
        <f t="shared" si="275"/>
        <v>2007</v>
      </c>
      <c r="T305" s="2211">
        <f t="shared" si="275"/>
        <v>2008</v>
      </c>
      <c r="U305" s="2211">
        <f t="shared" si="275"/>
        <v>2009</v>
      </c>
      <c r="V305" s="2211">
        <f t="shared" si="275"/>
        <v>2010</v>
      </c>
      <c r="W305" s="2211">
        <f t="shared" si="275"/>
        <v>2011</v>
      </c>
      <c r="X305" s="2211">
        <f t="shared" ref="X305:AE305" si="276">+W305+1</f>
        <v>2012</v>
      </c>
      <c r="Y305" s="2211">
        <f t="shared" si="276"/>
        <v>2013</v>
      </c>
      <c r="Z305" s="2211">
        <f t="shared" si="276"/>
        <v>2014</v>
      </c>
      <c r="AA305" s="2211">
        <f t="shared" si="276"/>
        <v>2015</v>
      </c>
      <c r="AB305" s="2211">
        <f t="shared" si="276"/>
        <v>2016</v>
      </c>
      <c r="AC305" s="2211">
        <f t="shared" si="276"/>
        <v>2017</v>
      </c>
      <c r="AD305" s="2211">
        <f t="shared" si="276"/>
        <v>2018</v>
      </c>
      <c r="AE305" s="2211">
        <f t="shared" si="276"/>
        <v>2019</v>
      </c>
    </row>
    <row r="306" spans="1:32" ht="12.75" customHeight="1">
      <c r="A306" s="664"/>
      <c r="B306" s="664"/>
      <c r="C306" s="794" t="s">
        <v>1767</v>
      </c>
      <c r="D306" s="689" t="s">
        <v>685</v>
      </c>
      <c r="E306" s="738" t="s">
        <v>1340</v>
      </c>
      <c r="F306" s="733" t="s">
        <v>680</v>
      </c>
      <c r="G306" s="739"/>
      <c r="H306" s="739">
        <f t="shared" ref="H306:AB306" si="277">(H298/G298-1)*100</f>
        <v>-21.42857142857142</v>
      </c>
      <c r="I306" s="739">
        <f t="shared" si="277"/>
        <v>49.999999999999979</v>
      </c>
      <c r="J306" s="739">
        <f t="shared" si="277"/>
        <v>48.484848484848506</v>
      </c>
      <c r="K306" s="739">
        <f>(K298/J298-1)*100</f>
        <v>-28.571428571428569</v>
      </c>
      <c r="L306" s="739">
        <f t="shared" si="277"/>
        <v>31.428571428571406</v>
      </c>
      <c r="M306" s="739">
        <f t="shared" si="277"/>
        <v>-13.043478260869568</v>
      </c>
      <c r="N306" s="739">
        <f t="shared" si="277"/>
        <v>-7.4999999999999956</v>
      </c>
      <c r="O306" s="739">
        <f t="shared" si="277"/>
        <v>13.513513513513509</v>
      </c>
      <c r="P306" s="739">
        <f t="shared" si="277"/>
        <v>4.7619047619047672</v>
      </c>
      <c r="Q306" s="739">
        <f t="shared" si="277"/>
        <v>27.27272727272727</v>
      </c>
      <c r="R306" s="739">
        <f t="shared" si="277"/>
        <v>21.42857142857142</v>
      </c>
      <c r="S306" s="739">
        <f t="shared" si="277"/>
        <v>25</v>
      </c>
      <c r="T306" s="739">
        <f t="shared" si="277"/>
        <v>2.3529411764706021</v>
      </c>
      <c r="U306" s="739">
        <f t="shared" si="277"/>
        <v>-6.8965517241379342</v>
      </c>
      <c r="V306" s="739">
        <f t="shared" si="277"/>
        <v>-3.703703703703709</v>
      </c>
      <c r="W306" s="739">
        <f t="shared" si="277"/>
        <v>11.538461538461565</v>
      </c>
      <c r="X306" s="739">
        <f t="shared" si="277"/>
        <v>-2.298850574712652</v>
      </c>
      <c r="Y306" s="739">
        <f t="shared" si="277"/>
        <v>3.529411764705892</v>
      </c>
      <c r="Z306" s="739">
        <f t="shared" si="277"/>
        <v>13.636363636363624</v>
      </c>
      <c r="AA306" s="739">
        <f t="shared" si="277"/>
        <v>-10.000000000000009</v>
      </c>
      <c r="AB306" s="739">
        <f t="shared" si="277"/>
        <v>4.4444444444444509</v>
      </c>
      <c r="AC306" s="2289">
        <v>4.3</v>
      </c>
      <c r="AD306" s="2289">
        <v>4.5</v>
      </c>
      <c r="AE306" s="2289">
        <v>4.3</v>
      </c>
    </row>
    <row r="307" spans="1:32" ht="12.75" customHeight="1">
      <c r="A307" s="664"/>
      <c r="B307" s="664"/>
      <c r="C307" s="795" t="s">
        <v>1767</v>
      </c>
      <c r="D307" s="674" t="s">
        <v>686</v>
      </c>
      <c r="E307" s="783" t="s">
        <v>1340</v>
      </c>
      <c r="F307" s="704" t="s">
        <v>1556</v>
      </c>
      <c r="G307" s="706"/>
      <c r="H307" s="706">
        <f t="shared" ref="H307:AB307" si="278">(H299/G299-1)*100</f>
        <v>-6.7567567567567766</v>
      </c>
      <c r="I307" s="706">
        <f t="shared" si="278"/>
        <v>38.164251207729464</v>
      </c>
      <c r="J307" s="706">
        <f t="shared" si="278"/>
        <v>23.951048951048961</v>
      </c>
      <c r="K307" s="706">
        <f>(K299/J299-1)*100</f>
        <v>9.1678420310296271</v>
      </c>
      <c r="L307" s="706">
        <f t="shared" si="278"/>
        <v>-20.284237726098198</v>
      </c>
      <c r="M307" s="706">
        <f t="shared" si="278"/>
        <v>-25.445705024311181</v>
      </c>
      <c r="N307" s="706">
        <f t="shared" si="278"/>
        <v>-5.0000000000000044</v>
      </c>
      <c r="O307" s="706">
        <f t="shared" si="278"/>
        <v>21.052631578947391</v>
      </c>
      <c r="P307" s="706">
        <f t="shared" si="278"/>
        <v>15.122873345935716</v>
      </c>
      <c r="Q307" s="706">
        <f t="shared" si="278"/>
        <v>1388.6699507389162</v>
      </c>
      <c r="R307" s="706">
        <f t="shared" si="278"/>
        <v>23.891462607544668</v>
      </c>
      <c r="S307" s="706">
        <f t="shared" si="278"/>
        <v>28.303062678062709</v>
      </c>
      <c r="T307" s="706">
        <f t="shared" si="278"/>
        <v>17.007841232391897</v>
      </c>
      <c r="U307" s="706">
        <f t="shared" si="278"/>
        <v>-25.744277072707867</v>
      </c>
      <c r="V307" s="706">
        <f t="shared" si="278"/>
        <v>-5.5107419535180835</v>
      </c>
      <c r="W307" s="706">
        <f t="shared" si="278"/>
        <v>33.234722339616262</v>
      </c>
      <c r="X307" s="706">
        <f t="shared" si="278"/>
        <v>-13.138361986931423</v>
      </c>
      <c r="Y307" s="706">
        <f t="shared" si="278"/>
        <v>9.7575226409582392</v>
      </c>
      <c r="Z307" s="706">
        <f t="shared" si="278"/>
        <v>5.8823529411764719</v>
      </c>
      <c r="AA307" s="706">
        <f t="shared" si="278"/>
        <v>8.9617898441427748</v>
      </c>
      <c r="AB307" s="706">
        <f t="shared" si="278"/>
        <v>8.2939208674587483</v>
      </c>
      <c r="AC307" s="2215">
        <v>4.5</v>
      </c>
      <c r="AD307" s="2215">
        <v>4.5</v>
      </c>
      <c r="AE307" s="2215">
        <v>4.5</v>
      </c>
    </row>
    <row r="308" spans="1:32" ht="12.75" customHeight="1">
      <c r="A308" s="664"/>
      <c r="B308" s="664"/>
      <c r="C308" s="795" t="s">
        <v>1767</v>
      </c>
      <c r="D308" s="674" t="s">
        <v>687</v>
      </c>
      <c r="E308" s="783" t="s">
        <v>1340</v>
      </c>
      <c r="F308" s="704" t="s">
        <v>844</v>
      </c>
      <c r="G308" s="706"/>
      <c r="H308" s="706">
        <f>(H300/G300-1)*100</f>
        <v>31.360312657589517</v>
      </c>
      <c r="I308" s="706">
        <f t="shared" ref="I308:AB309" si="279">(I300/H300-1)*100</f>
        <v>35.656701377225389</v>
      </c>
      <c r="J308" s="706">
        <f t="shared" si="279"/>
        <v>24.824457454146696</v>
      </c>
      <c r="K308" s="706">
        <f>(K300/J300-1)*100</f>
        <v>9.9030102940863998</v>
      </c>
      <c r="L308" s="706">
        <f t="shared" si="279"/>
        <v>-1.0526858638405967</v>
      </c>
      <c r="M308" s="706">
        <f t="shared" si="279"/>
        <v>4.3662944479914589</v>
      </c>
      <c r="N308" s="706">
        <f t="shared" si="279"/>
        <v>-5.204249794002358</v>
      </c>
      <c r="O308" s="706">
        <f t="shared" si="279"/>
        <v>7.2810962801019619</v>
      </c>
      <c r="P308" s="706">
        <f t="shared" si="279"/>
        <v>9.1464312897443953</v>
      </c>
      <c r="Q308" s="706">
        <f t="shared" si="279"/>
        <v>10.101396379423777</v>
      </c>
      <c r="R308" s="706">
        <f t="shared" si="279"/>
        <v>12.805254904765073</v>
      </c>
      <c r="S308" s="706">
        <f t="shared" si="279"/>
        <v>27.015290990676899</v>
      </c>
      <c r="T308" s="706">
        <f t="shared" si="279"/>
        <v>33.914057152635159</v>
      </c>
      <c r="U308" s="706">
        <f t="shared" si="279"/>
        <v>15.92753796802835</v>
      </c>
      <c r="V308" s="706">
        <f t="shared" si="279"/>
        <v>-7.9402768464852391</v>
      </c>
      <c r="W308" s="706">
        <f t="shared" si="279"/>
        <v>-2.6380775159766445</v>
      </c>
      <c r="X308" s="706">
        <f t="shared" si="279"/>
        <v>2.1828131645154514</v>
      </c>
      <c r="Y308" s="706">
        <f t="shared" si="279"/>
        <v>-0.85422297551411841</v>
      </c>
      <c r="Z308" s="706">
        <f t="shared" si="279"/>
        <v>0.33760289301654201</v>
      </c>
      <c r="AA308" s="706">
        <f t="shared" si="279"/>
        <v>2.1763238148045483</v>
      </c>
      <c r="AB308" s="706">
        <f t="shared" si="279"/>
        <v>5.0842984176317607</v>
      </c>
      <c r="AC308" s="3671">
        <v>12</v>
      </c>
      <c r="AD308" s="3671">
        <v>12</v>
      </c>
      <c r="AE308" s="3671">
        <v>6</v>
      </c>
      <c r="AF308" s="3672" t="s">
        <v>2606</v>
      </c>
    </row>
    <row r="309" spans="1:32" ht="12.75" customHeight="1">
      <c r="A309" s="664"/>
      <c r="B309" s="664"/>
      <c r="C309" s="796" t="s">
        <v>1767</v>
      </c>
      <c r="D309" s="691" t="s">
        <v>688</v>
      </c>
      <c r="E309" s="797" t="s">
        <v>1340</v>
      </c>
      <c r="F309" s="736" t="s">
        <v>842</v>
      </c>
      <c r="G309" s="741"/>
      <c r="H309" s="741" t="e">
        <f>(H301/G301-1)*100</f>
        <v>#DIV/0!</v>
      </c>
      <c r="I309" s="741" t="e">
        <f t="shared" ref="I309:V310" si="280">(I301/H301-1)*100</f>
        <v>#DIV/0!</v>
      </c>
      <c r="J309" s="741" t="e">
        <f t="shared" si="280"/>
        <v>#DIV/0!</v>
      </c>
      <c r="K309" s="741" t="e">
        <f>(K301/J301-1)*100</f>
        <v>#DIV/0!</v>
      </c>
      <c r="L309" s="741" t="e">
        <f t="shared" si="280"/>
        <v>#DIV/0!</v>
      </c>
      <c r="M309" s="741">
        <f t="shared" si="280"/>
        <v>-10.989010989010994</v>
      </c>
      <c r="N309" s="741">
        <f t="shared" si="280"/>
        <v>16.049382716049386</v>
      </c>
      <c r="O309" s="741">
        <f t="shared" si="280"/>
        <v>-6.3829787234042428</v>
      </c>
      <c r="P309" s="741">
        <f t="shared" si="280"/>
        <v>0</v>
      </c>
      <c r="Q309" s="741">
        <f t="shared" si="280"/>
        <v>13.785454545454545</v>
      </c>
      <c r="R309" s="741">
        <f t="shared" si="280"/>
        <v>-3.4482758620689724</v>
      </c>
      <c r="S309" s="741">
        <f t="shared" si="280"/>
        <v>-10.71428571428571</v>
      </c>
      <c r="T309" s="741">
        <f t="shared" si="280"/>
        <v>32.000000000000007</v>
      </c>
      <c r="U309" s="741">
        <f t="shared" si="280"/>
        <v>-18.181818181818187</v>
      </c>
      <c r="V309" s="741">
        <f t="shared" si="280"/>
        <v>14.814814814814813</v>
      </c>
      <c r="W309" s="741">
        <f t="shared" si="279"/>
        <v>-35.483870967741936</v>
      </c>
      <c r="X309" s="741">
        <f t="shared" si="279"/>
        <v>-14.999999999999991</v>
      </c>
      <c r="Y309" s="741">
        <f t="shared" si="279"/>
        <v>-70.588235294117638</v>
      </c>
      <c r="Z309" s="741">
        <f t="shared" si="279"/>
        <v>-19.999999999999996</v>
      </c>
      <c r="AA309" s="741">
        <f t="shared" si="279"/>
        <v>125</v>
      </c>
      <c r="AB309" s="741">
        <f t="shared" si="279"/>
        <v>-22.222222222222211</v>
      </c>
      <c r="AC309" s="2214">
        <v>0</v>
      </c>
      <c r="AD309" s="2214">
        <v>0</v>
      </c>
      <c r="AE309" s="2214">
        <v>0</v>
      </c>
    </row>
    <row r="310" spans="1:32" ht="12.75" customHeight="1">
      <c r="A310" s="664"/>
      <c r="B310" s="664"/>
      <c r="C310" s="774" t="s">
        <v>1769</v>
      </c>
      <c r="D310" s="717" t="s">
        <v>685</v>
      </c>
      <c r="E310" s="722" t="s">
        <v>1335</v>
      </c>
      <c r="F310" s="723" t="s">
        <v>12</v>
      </c>
      <c r="G310" s="721"/>
      <c r="H310" s="721">
        <f>(H302/G302-1)*100</f>
        <v>31.068841996589967</v>
      </c>
      <c r="I310" s="721">
        <f t="shared" si="280"/>
        <v>35.674475779021634</v>
      </c>
      <c r="J310" s="721">
        <f t="shared" si="280"/>
        <v>24.827810666502458</v>
      </c>
      <c r="K310" s="721">
        <f>(K302/J302-1)*100</f>
        <v>11.62866082250471</v>
      </c>
      <c r="L310" s="721">
        <f t="shared" si="280"/>
        <v>-1.0378132693642961</v>
      </c>
      <c r="M310" s="721">
        <f t="shared" si="280"/>
        <v>4.0168148705714168</v>
      </c>
      <c r="N310" s="721">
        <f t="shared" si="280"/>
        <v>-5.0385433850720247</v>
      </c>
      <c r="O310" s="721">
        <f t="shared" si="280"/>
        <v>7.212926307903933</v>
      </c>
      <c r="P310" s="721">
        <f t="shared" si="280"/>
        <v>9.0370807632999206</v>
      </c>
      <c r="Q310" s="721">
        <f t="shared" si="280"/>
        <v>14.821648556228894</v>
      </c>
      <c r="R310" s="721">
        <f t="shared" si="280"/>
        <v>13.033981399958638</v>
      </c>
      <c r="S310" s="721">
        <f t="shared" si="280"/>
        <v>26.632757299736088</v>
      </c>
      <c r="T310" s="721">
        <f t="shared" si="280"/>
        <v>33.085163237661796</v>
      </c>
      <c r="U310" s="721">
        <f t="shared" ref="U310:AE310" si="281">(U302/T302-1)*100</f>
        <v>13.844669561022682</v>
      </c>
      <c r="V310" s="2220">
        <f t="shared" si="281"/>
        <v>-7.7293903629425902</v>
      </c>
      <c r="W310" s="2220">
        <f t="shared" si="281"/>
        <v>-1.852283737939342</v>
      </c>
      <c r="X310" s="2220">
        <f t="shared" si="281"/>
        <v>1.4845118381245248</v>
      </c>
      <c r="Y310" s="2220">
        <f t="shared" si="281"/>
        <v>-0.78836521634180201</v>
      </c>
      <c r="Z310" s="2220">
        <f t="shared" si="281"/>
        <v>0.54086406867002168</v>
      </c>
      <c r="AA310" s="2220">
        <f t="shared" si="281"/>
        <v>2.5295717659813421</v>
      </c>
      <c r="AB310" s="2220">
        <f t="shared" si="281"/>
        <v>5.1755431511618211</v>
      </c>
      <c r="AC310" s="2220">
        <f t="shared" si="281"/>
        <v>11.656976344945068</v>
      </c>
      <c r="AD310" s="2220">
        <f t="shared" si="281"/>
        <v>11.68588141609268</v>
      </c>
      <c r="AE310" s="2220">
        <f t="shared" si="281"/>
        <v>5.9367827339498191</v>
      </c>
    </row>
    <row r="311" spans="1:32" ht="12.75" customHeight="1">
      <c r="A311" s="664"/>
      <c r="B311" s="664"/>
      <c r="C311" s="774"/>
      <c r="E311" s="786"/>
      <c r="F311" s="787"/>
      <c r="G311" s="703"/>
      <c r="H311" s="788"/>
      <c r="I311" s="703"/>
      <c r="J311" s="703"/>
      <c r="K311" s="703"/>
      <c r="L311" s="703"/>
      <c r="M311" s="703"/>
      <c r="N311" s="703"/>
      <c r="O311" s="703"/>
      <c r="P311" s="703"/>
      <c r="Q311" s="845"/>
      <c r="R311" s="845"/>
      <c r="S311" s="845"/>
      <c r="T311" s="2254"/>
      <c r="U311" s="2254"/>
      <c r="V311" s="2254"/>
      <c r="W311" s="2254"/>
      <c r="X311" s="2254"/>
      <c r="Y311" s="2254"/>
      <c r="Z311" s="2254"/>
      <c r="AA311" s="2254"/>
      <c r="AB311" s="2254"/>
      <c r="AC311" s="2254"/>
      <c r="AD311" s="2254">
        <v>9.9</v>
      </c>
      <c r="AE311" s="2254">
        <v>6</v>
      </c>
    </row>
    <row r="312" spans="1:32" ht="12.75" customHeight="1">
      <c r="A312" s="664"/>
      <c r="B312" s="664"/>
      <c r="C312" s="774"/>
      <c r="D312" s="818"/>
      <c r="E312" s="819" t="s">
        <v>512</v>
      </c>
      <c r="F312" s="820"/>
      <c r="G312" s="821">
        <f>+InputY!$G$3</f>
        <v>1995</v>
      </c>
      <c r="H312" s="821">
        <f>+G312+1</f>
        <v>1996</v>
      </c>
      <c r="I312" s="821">
        <f t="shared" ref="I312:O312" si="282">+H312+1</f>
        <v>1997</v>
      </c>
      <c r="J312" s="821">
        <f t="shared" si="282"/>
        <v>1998</v>
      </c>
      <c r="K312" s="821">
        <f>+J312+1</f>
        <v>1999</v>
      </c>
      <c r="L312" s="821">
        <f t="shared" si="282"/>
        <v>2000</v>
      </c>
      <c r="M312" s="821">
        <f t="shared" si="282"/>
        <v>2001</v>
      </c>
      <c r="N312" s="821">
        <f t="shared" si="282"/>
        <v>2002</v>
      </c>
      <c r="O312" s="821">
        <f t="shared" si="282"/>
        <v>2003</v>
      </c>
      <c r="P312" s="821">
        <f t="shared" ref="P312:V312" si="283">+O312+1</f>
        <v>2004</v>
      </c>
      <c r="Q312" s="821">
        <f t="shared" si="283"/>
        <v>2005</v>
      </c>
      <c r="R312" s="821">
        <f t="shared" si="283"/>
        <v>2006</v>
      </c>
      <c r="S312" s="821">
        <f>+R312+1</f>
        <v>2007</v>
      </c>
      <c r="T312" s="821">
        <f t="shared" si="283"/>
        <v>2008</v>
      </c>
      <c r="U312" s="821">
        <f t="shared" si="283"/>
        <v>2009</v>
      </c>
      <c r="V312" s="821">
        <f t="shared" si="283"/>
        <v>2010</v>
      </c>
      <c r="W312" s="821">
        <f t="shared" ref="W312:AE312" si="284">+V312+1</f>
        <v>2011</v>
      </c>
      <c r="X312" s="821">
        <f t="shared" si="284"/>
        <v>2012</v>
      </c>
      <c r="Y312" s="821">
        <f t="shared" si="284"/>
        <v>2013</v>
      </c>
      <c r="Z312" s="821">
        <f t="shared" si="284"/>
        <v>2014</v>
      </c>
      <c r="AA312" s="821">
        <f t="shared" si="284"/>
        <v>2015</v>
      </c>
      <c r="AB312" s="821">
        <f t="shared" si="284"/>
        <v>2016</v>
      </c>
      <c r="AC312" s="821">
        <f t="shared" si="284"/>
        <v>2017</v>
      </c>
      <c r="AD312" s="821">
        <f t="shared" si="284"/>
        <v>2018</v>
      </c>
      <c r="AE312" s="821">
        <f t="shared" si="284"/>
        <v>2019</v>
      </c>
    </row>
    <row r="313" spans="1:32" ht="12.75" customHeight="1">
      <c r="A313" s="664"/>
      <c r="B313" s="664"/>
      <c r="C313" s="822" t="s">
        <v>1767</v>
      </c>
      <c r="D313" s="823" t="s">
        <v>685</v>
      </c>
      <c r="E313" s="824" t="s">
        <v>1340</v>
      </c>
      <c r="F313" s="825" t="s">
        <v>680</v>
      </c>
      <c r="G313" s="838">
        <f>+G298/'VVP2'!G$341</f>
        <v>3.6061422906473417E-5</v>
      </c>
      <c r="H313" s="838">
        <f>+H298/'VVP2'!H$341</f>
        <v>2.2647375220683234E-5</v>
      </c>
      <c r="I313" s="838">
        <f>+I298/'VVP2'!I$341</f>
        <v>2.8146573709053132E-5</v>
      </c>
      <c r="J313" s="838">
        <f>+J298/'VVP2'!J$341</f>
        <v>3.7628744060033983E-5</v>
      </c>
      <c r="K313" s="838">
        <f>+K298/'VVP2'!K$341</f>
        <v>2.7532866375919601E-5</v>
      </c>
      <c r="L313" s="838">
        <f>+L298/'VVP2'!L$341</f>
        <v>3.441006928392646E-5</v>
      </c>
      <c r="M313" s="838">
        <f>+M298/'VVP2'!M$341</f>
        <v>2.8179889140316121E-5</v>
      </c>
      <c r="N313" s="838">
        <f>+N298/'VVP2'!N$341</f>
        <v>2.4338630603394121E-5</v>
      </c>
      <c r="O313" s="838">
        <f>+O298/'VVP2'!O$341</f>
        <v>2.5197258538271039E-5</v>
      </c>
      <c r="P313" s="838">
        <f>+P298/'VVP2'!P$341</f>
        <v>2.4125822745387037E-5</v>
      </c>
      <c r="Q313" s="838">
        <f>+Q298/'VVP2'!Q$341</f>
        <v>2.6663682873583196E-5</v>
      </c>
      <c r="R313" s="838">
        <f>+R298/'VVP2'!R$341</f>
        <v>2.8240164324532647E-5</v>
      </c>
      <c r="S313" s="838">
        <f>+S298/'VVP2'!S$341</f>
        <v>2.9269307240262448E-5</v>
      </c>
      <c r="T313" s="838">
        <f>+T298/'VVP2'!T$341</f>
        <v>2.660853161277063E-5</v>
      </c>
      <c r="U313" s="2909">
        <f>+U298/'VVP2'!U$341</f>
        <v>3.0072597477911495E-5</v>
      </c>
      <c r="V313" s="2909">
        <f>+V298/'VVP2'!V$341</f>
        <v>2.7829651137483471E-5</v>
      </c>
      <c r="W313" s="2909">
        <f>+W298/'VVP2'!W$341</f>
        <v>2.7817461180253313E-5</v>
      </c>
      <c r="X313" s="2909">
        <f>+X298/'VVP2'!X$341</f>
        <v>2.5488418062832251E-5</v>
      </c>
      <c r="Y313" s="2909">
        <f>+Y298/'VVP2'!Y$341</f>
        <v>2.5171876720733762E-5</v>
      </c>
      <c r="Z313" s="2909">
        <f>+Z298/'VVP2'!Z$341</f>
        <v>2.7346104328669546E-5</v>
      </c>
      <c r="AA313" s="2909">
        <f>+AA298/'VVP2'!AA$341</f>
        <v>2.4047061702889999E-5</v>
      </c>
      <c r="AB313" s="2909">
        <f>+AB298/'VVP2'!AB$341</f>
        <v>2.4309305395217586E-5</v>
      </c>
      <c r="AC313" s="2909">
        <f ca="1">+AC298/'VVP2'!AC$341</f>
        <v>2.3466479330999675E-5</v>
      </c>
      <c r="AD313" s="2909">
        <f ca="1">+AD298/'VVP2'!AD$341</f>
        <v>2.3173553180365941E-5</v>
      </c>
      <c r="AE313" s="2909">
        <f ca="1">+AE298/'VVP2'!AE$341</f>
        <v>2.289374307328536E-5</v>
      </c>
    </row>
    <row r="314" spans="1:32" ht="12.75" customHeight="1">
      <c r="A314" s="664"/>
      <c r="B314" s="664"/>
      <c r="C314" s="826" t="s">
        <v>1767</v>
      </c>
      <c r="D314" s="674" t="s">
        <v>686</v>
      </c>
      <c r="E314" s="783" t="s">
        <v>1340</v>
      </c>
      <c r="F314" s="704" t="s">
        <v>1556</v>
      </c>
      <c r="G314" s="839">
        <f>+G299/'VVP2'!G$341</f>
        <v>5.7183113465979272E-4</v>
      </c>
      <c r="H314" s="839">
        <f>+H299/'VVP2'!H$341</f>
        <v>4.2618242460740256E-4</v>
      </c>
      <c r="I314" s="839">
        <f>+I299/'VVP2'!I$341</f>
        <v>4.8787394429025428E-4</v>
      </c>
      <c r="J314" s="839">
        <f>+J299/'VVP2'!J$341</f>
        <v>5.4446488854212425E-4</v>
      </c>
      <c r="K314" s="839">
        <f>+K299/'VVP2'!K$341</f>
        <v>6.0886967357033628E-4</v>
      </c>
      <c r="L314" s="839">
        <f>+L299/'VVP2'!L$341</f>
        <v>4.6154375539527446E-4</v>
      </c>
      <c r="M314" s="839">
        <f>+M299/'VVP2'!M$341</f>
        <v>3.2406872511363537E-4</v>
      </c>
      <c r="N314" s="839">
        <f>+N299/'VVP2'!N$341</f>
        <v>2.874589614508981E-4</v>
      </c>
      <c r="O314" s="839">
        <f>+O299/'VVP2'!O$341</f>
        <v>3.1736547063679479E-4</v>
      </c>
      <c r="P314" s="839">
        <f>+P299/'VVP2'!P$341</f>
        <v>3.339233193622887E-4</v>
      </c>
      <c r="Q314" s="839">
        <f>+Q299/'VVP2'!Q$341</f>
        <v>4.3166598023554499E-3</v>
      </c>
      <c r="R314" s="839">
        <f>+R299/'VVP2'!R$341</f>
        <v>4.6646106719580973E-3</v>
      </c>
      <c r="S314" s="839">
        <f>+S299/'VVP2'!S$341</f>
        <v>4.9623527839932017E-3</v>
      </c>
      <c r="T314" s="839">
        <f>+T299/'VVP2'!T$341</f>
        <v>5.157161609822279E-3</v>
      </c>
      <c r="U314" s="2910">
        <f>+U299/'VVP2'!U$341</f>
        <v>4.6486295434682691E-3</v>
      </c>
      <c r="V314" s="2910">
        <f>+V299/'VVP2'!V$341</f>
        <v>4.2211872129175251E-3</v>
      </c>
      <c r="W314" s="2910">
        <f>+W299/'VVP2'!W$341</f>
        <v>5.0400763285555509E-3</v>
      </c>
      <c r="X314" s="2910">
        <f>+X299/'VVP2'!X$341</f>
        <v>4.105734354309401E-3</v>
      </c>
      <c r="Y314" s="2910">
        <f>+Y299/'VVP2'!Y$341</f>
        <v>4.298670038172578E-3</v>
      </c>
      <c r="Z314" s="2910">
        <f>+Z299/'VVP2'!Z$341</f>
        <v>4.3513121207778985E-3</v>
      </c>
      <c r="AA314" s="2910">
        <f>+AA299/'VVP2'!AA$341</f>
        <v>4.6325328422745201E-3</v>
      </c>
      <c r="AB314" s="2910">
        <f>+AB299/'VVP2'!AB$341</f>
        <v>4.8556544478787801E-3</v>
      </c>
      <c r="AC314" s="2910">
        <f ca="1">+AC299/'VVP2'!AC$341</f>
        <v>4.6962925443707598E-3</v>
      </c>
      <c r="AD314" s="2910">
        <f ca="1">+AD299/'VVP2'!AD$341</f>
        <v>4.637669907465225E-3</v>
      </c>
      <c r="AE314" s="2910">
        <f ca="1">+AE299/'VVP2'!AE$341</f>
        <v>4.5904577192068148E-3</v>
      </c>
    </row>
    <row r="315" spans="1:32" ht="12.75" customHeight="1">
      <c r="A315" s="664"/>
      <c r="B315" s="664"/>
      <c r="C315" s="826" t="s">
        <v>1767</v>
      </c>
      <c r="D315" s="674" t="s">
        <v>687</v>
      </c>
      <c r="E315" s="783" t="s">
        <v>1340</v>
      </c>
      <c r="F315" s="704" t="s">
        <v>844</v>
      </c>
      <c r="G315" s="839">
        <f>+G300/'VVP2'!G$341</f>
        <v>8.1725487569756311E-2</v>
      </c>
      <c r="H315" s="839">
        <f>+H300/'VVP2'!H$341</f>
        <v>8.5808845858875965E-2</v>
      </c>
      <c r="I315" s="839">
        <f>+I300/'VVP2'!I$341</f>
        <v>9.6447220056736657E-2</v>
      </c>
      <c r="J315" s="839">
        <f>+J300/'VVP2'!J$341</f>
        <v>0.10839305296591296</v>
      </c>
      <c r="K315" s="839">
        <f>+K300/'VVP2'!K$341</f>
        <v>0.12203117035135083</v>
      </c>
      <c r="L315" s="839">
        <f>+L300/'VVP2'!L$341</f>
        <v>0.11482041684058712</v>
      </c>
      <c r="M315" s="839">
        <f>+M300/'VVP2'!M$341</f>
        <v>0.11285763801805203</v>
      </c>
      <c r="N315" s="839">
        <f>+N300/'VVP2'!N$341</f>
        <v>9.9892975805427761E-2</v>
      </c>
      <c r="O315" s="839">
        <f>+O300/'VVP2'!O$341</f>
        <v>9.7738966000499167E-2</v>
      </c>
      <c r="P315" s="839">
        <f>+P300/'VVP2'!P$341</f>
        <v>9.7499577798101963E-2</v>
      </c>
      <c r="Q315" s="839">
        <f>+Q300/'VVP2'!Q$341</f>
        <v>9.3217663737629353E-2</v>
      </c>
      <c r="R315" s="839">
        <f>+R300/'VVP2'!R$341</f>
        <v>9.1717824278069265E-2</v>
      </c>
      <c r="S315" s="839">
        <f>+S300/'VVP2'!S$341</f>
        <v>9.6592846030358823E-2</v>
      </c>
      <c r="T315" s="839">
        <f>+T300/'VVP2'!T$341</f>
        <v>0.11488921675493358</v>
      </c>
      <c r="U315" s="2910">
        <f>+U300/'VVP2'!U$341</f>
        <v>0.16167770937396281</v>
      </c>
      <c r="V315" s="2910">
        <f>+V300/'VVP2'!V$341</f>
        <v>0.14303655745788268</v>
      </c>
      <c r="W315" s="2910">
        <f>+W300/'VVP2'!W$341</f>
        <v>0.1248019204919406</v>
      </c>
      <c r="X315" s="2910">
        <f>+X300/'VVP2'!X$341</f>
        <v>0.11959825455313106</v>
      </c>
      <c r="Y315" s="2910">
        <f>+Y300/'VVP2'!Y$341</f>
        <v>0.11311183035299265</v>
      </c>
      <c r="Z315" s="2910">
        <f>+Z300/'VVP2'!Z$341</f>
        <v>0.10850113814486215</v>
      </c>
      <c r="AA315" s="2910">
        <f>+AA300/'VVP2'!AA$341</f>
        <v>0.10831998944066801</v>
      </c>
      <c r="AB315" s="2910">
        <f>+AB300/'VVP2'!AB$341</f>
        <v>0.11017209953781287</v>
      </c>
      <c r="AC315" s="2910">
        <f ca="1">+AC300/'VVP2'!AC$341</f>
        <v>0.1142038454965528</v>
      </c>
      <c r="AD315" s="2910">
        <f ca="1">+AD300/'VVP2'!AD$341</f>
        <v>0.12087240170200475</v>
      </c>
      <c r="AE315" s="2910">
        <f ca="1">+AE300/'VVP2'!AE$341</f>
        <v>0.12135925006254542</v>
      </c>
    </row>
    <row r="316" spans="1:32" ht="12.75" customHeight="1">
      <c r="A316" s="664"/>
      <c r="B316" s="664"/>
      <c r="C316" s="827" t="s">
        <v>1767</v>
      </c>
      <c r="D316" s="828" t="s">
        <v>688</v>
      </c>
      <c r="E316" s="829" t="s">
        <v>1340</v>
      </c>
      <c r="F316" s="830" t="s">
        <v>842</v>
      </c>
      <c r="G316" s="840">
        <f>+G301/'VVP2'!G$341</f>
        <v>0</v>
      </c>
      <c r="H316" s="840">
        <f>+H301/'VVP2'!H$341</f>
        <v>0</v>
      </c>
      <c r="I316" s="840">
        <f>+I301/'VVP2'!I$341</f>
        <v>0</v>
      </c>
      <c r="J316" s="840">
        <f>+J301/'VVP2'!J$341</f>
        <v>0</v>
      </c>
      <c r="K316" s="840">
        <f>+K301/'VVP2'!K$341</f>
        <v>0</v>
      </c>
      <c r="L316" s="840">
        <f>+L301/'VVP2'!L$341</f>
        <v>-1.9715041005392646E-3</v>
      </c>
      <c r="M316" s="840">
        <f>+M301/'VVP2'!M$341</f>
        <v>-1.6526956530682386E-3</v>
      </c>
      <c r="N316" s="840">
        <f>+N301/'VVP2'!N$341</f>
        <v>-1.7908155047834638E-3</v>
      </c>
      <c r="O316" s="840">
        <f>+O301/'VVP2'!O$341</f>
        <v>-1.5290273396938382E-3</v>
      </c>
      <c r="P316" s="840">
        <f>+P301/'VVP2'!P$341</f>
        <v>-1.3974642461415103E-3</v>
      </c>
      <c r="Q316" s="840">
        <f>+Q301/'VVP2'!Q$341</f>
        <v>-1.3807978630962726E-3</v>
      </c>
      <c r="R316" s="840">
        <f>+R301/'VVP2'!R$341</f>
        <v>-1.1628302957160501E-3</v>
      </c>
      <c r="S316" s="840">
        <f>+S301/'VVP2'!S$341</f>
        <v>-8.6086197765477786E-4</v>
      </c>
      <c r="T316" s="840">
        <f>+T301/'VVP2'!T$341</f>
        <v>-1.0092891301395756E-3</v>
      </c>
      <c r="U316" s="2911">
        <f>+U301/'VVP2'!U$341</f>
        <v>-1.002419915930383E-3</v>
      </c>
      <c r="V316" s="2911">
        <f>+V301/'VVP2'!V$341</f>
        <v>-1.1060502375153686E-3</v>
      </c>
      <c r="W316" s="2911">
        <f>+W301/'VVP2'!W$341</f>
        <v>-6.3948186621271984E-4</v>
      </c>
      <c r="X316" s="2911">
        <f>+X301/'VVP2'!X$341</f>
        <v>-5.09768361256645E-4</v>
      </c>
      <c r="Y316" s="2911">
        <f>+Y301/'VVP2'!Y$341</f>
        <v>-1.430220268223509E-4</v>
      </c>
      <c r="Z316" s="2911">
        <f>+Z301/'VVP2'!Z$341</f>
        <v>-1.0938441731467818E-4</v>
      </c>
      <c r="AA316" s="2911">
        <f>+AA301/'VVP2'!AA$341</f>
        <v>-2.4047061702889999E-4</v>
      </c>
      <c r="AB316" s="2911">
        <f>+AB301/'VVP2'!AB$341</f>
        <v>-1.8102674230481179E-4</v>
      </c>
      <c r="AC316" s="2911">
        <f ca="1">+AC301/'VVP2'!AC$341</f>
        <v>-1.6754590411966066E-4</v>
      </c>
      <c r="AD316" s="2911">
        <f ca="1">+AD301/'VVP2'!AD$341</f>
        <v>-1.5832963712999242E-4</v>
      </c>
      <c r="AE316" s="2911">
        <f ca="1">+AE301/'VVP2'!AE$341</f>
        <v>-1.4996920309325756E-4</v>
      </c>
    </row>
    <row r="317" spans="1:32" ht="12.75" customHeight="1">
      <c r="A317" s="664"/>
      <c r="B317" s="664"/>
      <c r="C317" s="774" t="s">
        <v>1769</v>
      </c>
      <c r="D317" s="806" t="s">
        <v>685</v>
      </c>
      <c r="E317" s="807" t="s">
        <v>1335</v>
      </c>
      <c r="F317" s="808" t="s">
        <v>12</v>
      </c>
      <c r="G317" s="841">
        <f>+G302/'VVP2'!G$341</f>
        <v>8.2334668035283512E-2</v>
      </c>
      <c r="H317" s="841">
        <f>+H302/'VVP2'!H$341</f>
        <v>8.625664623255766E-2</v>
      </c>
      <c r="I317" s="841">
        <f>+I302/'VVP2'!I$341</f>
        <v>9.6963240574735973E-2</v>
      </c>
      <c r="J317" s="841">
        <f>+J302/'VVP2'!J$341</f>
        <v>0.10897591453206736</v>
      </c>
      <c r="K317" s="841">
        <f>+K302/'VVP2'!K$341</f>
        <v>0.12461375321741208</v>
      </c>
      <c r="L317" s="841">
        <f>+L302/'VVP2'!L$341</f>
        <v>0.1172680200296525</v>
      </c>
      <c r="M317" s="841">
        <f>+M302/'VVP2'!M$341</f>
        <v>0.11487743157218419</v>
      </c>
      <c r="N317" s="841">
        <f>+N302/'VVP2'!N$341</f>
        <v>0.10185848467685862</v>
      </c>
      <c r="O317" s="841">
        <f>+O302/'VVP2'!O$341</f>
        <v>9.9598763654514394E-2</v>
      </c>
      <c r="P317" s="841">
        <f>+P302/'VVP2'!P$341</f>
        <v>9.925527971698217E-2</v>
      </c>
      <c r="Q317" s="841">
        <f>+Q302/'VVP2'!Q$341</f>
        <v>9.8964639671274876E-2</v>
      </c>
      <c r="R317" s="841">
        <f>+R302/'VVP2'!R$341</f>
        <v>9.7569767741260291E-2</v>
      </c>
      <c r="S317" s="841">
        <f>+S302/'VVP2'!S$341</f>
        <v>0.10244636313362024</v>
      </c>
      <c r="T317" s="841">
        <f>+T302/'VVP2'!T$341</f>
        <v>0.12109726244086481</v>
      </c>
      <c r="U317" s="2912">
        <f>+U302/'VVP2'!U$341</f>
        <v>0.1673521486313998</v>
      </c>
      <c r="V317" s="2912">
        <f>+V302/'VVP2'!V$341</f>
        <v>0.14839590604424341</v>
      </c>
      <c r="W317" s="2912">
        <f>+W302/'VVP2'!W$341</f>
        <v>0.13052304500801271</v>
      </c>
      <c r="X317" s="2912">
        <f>+X302/'VVP2'!X$341</f>
        <v>0.12422605168211565</v>
      </c>
      <c r="Y317" s="2912">
        <f>+Y302/'VVP2'!Y$341</f>
        <v>0.11756668044445526</v>
      </c>
      <c r="Z317" s="2912">
        <f>+Z302/'VVP2'!Z$341</f>
        <v>0.11300285383944773</v>
      </c>
      <c r="AA317" s="2912">
        <f>+AA302/'VVP2'!AA$341</f>
        <v>0.11320421486209946</v>
      </c>
      <c r="AB317" s="2912">
        <f>+AB302/'VVP2'!AB$341</f>
        <v>0.11523981388382014</v>
      </c>
      <c r="AC317" s="2912">
        <f ca="1">+AC302/'VVP2'!AC$341</f>
        <v>0.1190911504243742</v>
      </c>
      <c r="AD317" s="2912">
        <f ca="1">+AD302/'VVP2'!AD$341</f>
        <v>0.12569157479978033</v>
      </c>
      <c r="AE317" s="2912">
        <f ca="1">+AE302/'VVP2'!AE$341</f>
        <v>0.12612257072791874</v>
      </c>
    </row>
    <row r="318" spans="1:32" ht="30" customHeight="1">
      <c r="A318" s="664"/>
      <c r="B318" s="664"/>
      <c r="C318" s="774"/>
      <c r="AB318" s="2221"/>
      <c r="AC318" s="2221"/>
      <c r="AD318" s="2221"/>
      <c r="AE318" s="2221"/>
    </row>
    <row r="319" spans="1:32" ht="30" customHeight="1">
      <c r="AB319" s="2221"/>
      <c r="AC319" s="2221"/>
      <c r="AD319" s="2221"/>
      <c r="AE319" s="2221"/>
    </row>
    <row r="320" spans="1:32" ht="22.5" customHeight="1">
      <c r="A320" s="574"/>
      <c r="B320" s="574"/>
      <c r="C320" s="3752" t="s">
        <v>1188</v>
      </c>
      <c r="D320" s="3752"/>
      <c r="E320" s="3752"/>
      <c r="F320" s="3752"/>
      <c r="AA320" s="2254"/>
      <c r="AB320" s="2221"/>
      <c r="AC320" s="2221"/>
      <c r="AD320" s="2221"/>
      <c r="AE320" s="2221"/>
    </row>
    <row r="321" spans="1:113" ht="12.75" customHeight="1">
      <c r="A321" s="664"/>
      <c r="B321" s="664"/>
      <c r="C321" s="774"/>
      <c r="O321" s="848"/>
      <c r="P321" s="848"/>
      <c r="Q321" s="848"/>
      <c r="R321" s="2274"/>
      <c r="S321" s="2274"/>
      <c r="T321" s="2274"/>
      <c r="U321" s="2274"/>
      <c r="V321" s="2274"/>
      <c r="W321" s="2274"/>
      <c r="X321" s="2274"/>
      <c r="Y321" s="2274"/>
      <c r="Z321" s="2274"/>
      <c r="AA321" s="2254"/>
      <c r="AB321" s="2274"/>
      <c r="AC321" s="2274"/>
      <c r="AD321" s="2274"/>
      <c r="AE321" s="2274"/>
    </row>
    <row r="322" spans="1:113" ht="12.75" customHeight="1">
      <c r="A322" s="664"/>
      <c r="B322" s="664"/>
      <c r="C322" s="774"/>
      <c r="D322" s="775"/>
      <c r="E322" s="776" t="s">
        <v>1384</v>
      </c>
      <c r="F322" s="777"/>
      <c r="G322" s="778">
        <f>+InputY!$G$3</f>
        <v>1995</v>
      </c>
      <c r="H322" s="778">
        <f>+G322+1</f>
        <v>1996</v>
      </c>
      <c r="I322" s="778">
        <f t="shared" ref="I322:O322" si="285">+H322+1</f>
        <v>1997</v>
      </c>
      <c r="J322" s="778">
        <f t="shared" si="285"/>
        <v>1998</v>
      </c>
      <c r="K322" s="778">
        <f>+J322+1</f>
        <v>1999</v>
      </c>
      <c r="L322" s="778">
        <f t="shared" si="285"/>
        <v>2000</v>
      </c>
      <c r="M322" s="778">
        <f t="shared" si="285"/>
        <v>2001</v>
      </c>
      <c r="N322" s="778">
        <f t="shared" si="285"/>
        <v>2002</v>
      </c>
      <c r="O322" s="778">
        <f t="shared" si="285"/>
        <v>2003</v>
      </c>
      <c r="P322" s="778">
        <f t="shared" ref="P322:W322" si="286">+O322+1</f>
        <v>2004</v>
      </c>
      <c r="Q322" s="778">
        <f t="shared" si="286"/>
        <v>2005</v>
      </c>
      <c r="R322" s="778">
        <f t="shared" si="286"/>
        <v>2006</v>
      </c>
      <c r="S322" s="778">
        <f t="shared" si="286"/>
        <v>2007</v>
      </c>
      <c r="T322" s="2222">
        <f t="shared" si="286"/>
        <v>2008</v>
      </c>
      <c r="U322" s="2222">
        <f t="shared" si="286"/>
        <v>2009</v>
      </c>
      <c r="V322" s="2222">
        <f t="shared" si="286"/>
        <v>2010</v>
      </c>
      <c r="W322" s="2222">
        <f t="shared" si="286"/>
        <v>2011</v>
      </c>
      <c r="X322" s="2222">
        <f t="shared" ref="X322:AE322" si="287">+W322+1</f>
        <v>2012</v>
      </c>
      <c r="Y322" s="2222">
        <f t="shared" si="287"/>
        <v>2013</v>
      </c>
      <c r="Z322" s="2222">
        <f t="shared" si="287"/>
        <v>2014</v>
      </c>
      <c r="AA322" s="2222">
        <f t="shared" si="287"/>
        <v>2015</v>
      </c>
      <c r="AB322" s="2222">
        <f t="shared" si="287"/>
        <v>2016</v>
      </c>
      <c r="AC322" s="2222">
        <f t="shared" si="287"/>
        <v>2017</v>
      </c>
      <c r="AD322" s="2222">
        <f t="shared" si="287"/>
        <v>2018</v>
      </c>
      <c r="AE322" s="2222">
        <f t="shared" si="287"/>
        <v>2019</v>
      </c>
    </row>
    <row r="323" spans="1:113" ht="12.75" customHeight="1">
      <c r="A323" s="664">
        <f>+ROW(InputY!A198)</f>
        <v>198</v>
      </c>
      <c r="B323" s="664" t="s">
        <v>991</v>
      </c>
      <c r="C323" s="779" t="s">
        <v>1767</v>
      </c>
      <c r="D323" s="668" t="s">
        <v>685</v>
      </c>
      <c r="E323" s="700" t="s">
        <v>1341</v>
      </c>
      <c r="F323" s="701" t="str">
        <f>+InputY!B198</f>
        <v>$HTO</v>
      </c>
      <c r="G323" s="780">
        <f>+InputY!G198/1000</f>
        <v>3.585E-2</v>
      </c>
      <c r="H323" s="780">
        <f>+InputY!H198/1000</f>
        <v>4.6530000000000002E-2</v>
      </c>
      <c r="I323" s="780">
        <f>+InputY!I198/1000</f>
        <v>1.9690000000000003E-2</v>
      </c>
      <c r="J323" s="780">
        <f>+InputY!J198/1000</f>
        <v>2.5559999999999999E-2</v>
      </c>
      <c r="K323" s="780">
        <f>+InputY!K198/1000</f>
        <v>3.9259999999999996E-2</v>
      </c>
      <c r="L323" s="780">
        <f>+InputY!L198/1000</f>
        <v>3.6819999999999999E-2</v>
      </c>
      <c r="M323" s="780">
        <f>+InputY!M198/1000</f>
        <v>4.1790000000000001E-2</v>
      </c>
      <c r="N323" s="780">
        <f>+InputY!N198/1000</f>
        <v>9.0469999999999995E-2</v>
      </c>
      <c r="O323" s="780">
        <f>+InputY!O198/1000</f>
        <v>7.5569999999999998E-2</v>
      </c>
      <c r="P323" s="780">
        <f>+InputY!P198/1000</f>
        <v>5.6060000000000006E-2</v>
      </c>
      <c r="Q323" s="780">
        <f>+InputY!Q198/1000</f>
        <v>8.0260000000000012E-2</v>
      </c>
      <c r="R323" s="780">
        <f>+InputY!R198/1000</f>
        <v>0.11993999999999999</v>
      </c>
      <c r="S323" s="780">
        <f>+InputY!S198/1000</f>
        <v>0.13761999999999999</v>
      </c>
      <c r="T323" s="780">
        <f>+InputY!T198/1000</f>
        <v>0.11809</v>
      </c>
      <c r="U323" s="780">
        <f>+InputY!U198/1000</f>
        <v>0.10909000000000001</v>
      </c>
      <c r="V323" s="780">
        <f>+InputY!V198/1000</f>
        <v>0.11334999999999999</v>
      </c>
      <c r="W323" s="780">
        <f>+InputY!W198/1000</f>
        <v>0.13771</v>
      </c>
      <c r="X323" s="780">
        <f>+InputY!X198/1000</f>
        <v>0.13758999999999999</v>
      </c>
      <c r="Y323" s="780">
        <f>+InputY!Y198/1000</f>
        <v>0.13761000000000001</v>
      </c>
      <c r="Z323" s="780">
        <f>+InputY!Z198/1000</f>
        <v>0.14047999999999999</v>
      </c>
      <c r="AA323" s="780">
        <f>+InputY!AA198/1000</f>
        <v>0.15171999999999999</v>
      </c>
      <c r="AB323" s="780">
        <f>+InputY!AB198/1000</f>
        <v>0.17138</v>
      </c>
      <c r="AC323" s="2232">
        <f t="shared" ref="AC323:AE328" si="288">+AB323*(1+AC333/100)</f>
        <v>0.17652140000000002</v>
      </c>
      <c r="AD323" s="2232">
        <f t="shared" si="288"/>
        <v>0.18181704200000004</v>
      </c>
      <c r="AE323" s="2232">
        <f t="shared" si="288"/>
        <v>0.18727155326000006</v>
      </c>
    </row>
    <row r="324" spans="1:113" ht="12.75" customHeight="1">
      <c r="A324" s="664">
        <f>+ROW(InputY!A197)</f>
        <v>197</v>
      </c>
      <c r="B324" s="664" t="s">
        <v>997</v>
      </c>
      <c r="C324" s="782" t="s">
        <v>401</v>
      </c>
      <c r="D324" s="674" t="s">
        <v>685</v>
      </c>
      <c r="E324" s="783" t="s">
        <v>1336</v>
      </c>
      <c r="F324" s="704" t="str">
        <f>+InputY!B197</f>
        <v>YHTO</v>
      </c>
      <c r="G324" s="706">
        <f>+InputY!G197/1000</f>
        <v>0.11465</v>
      </c>
      <c r="H324" s="706">
        <f>+InputY!H197/1000</f>
        <v>9.0450000000000003E-2</v>
      </c>
      <c r="I324" s="706">
        <f>+InputY!I197/1000</f>
        <v>0.14949000000000001</v>
      </c>
      <c r="J324" s="706">
        <f>+InputY!J197/1000</f>
        <v>0.18397999999999998</v>
      </c>
      <c r="K324" s="706">
        <f>+InputY!K197/1000</f>
        <v>0.17671000000000001</v>
      </c>
      <c r="L324" s="706">
        <f>+InputY!L197/1000</f>
        <v>0.12758</v>
      </c>
      <c r="M324" s="706">
        <f>+InputY!M197/1000</f>
        <v>0.25309999999999999</v>
      </c>
      <c r="N324" s="706">
        <f>+InputY!N197/1000</f>
        <v>0.19936000000000001</v>
      </c>
      <c r="O324" s="706">
        <f>+InputY!O197/1000</f>
        <v>0.21155000000000002</v>
      </c>
      <c r="P324" s="706">
        <f>+InputY!P197/1000</f>
        <v>0.35542000000000001</v>
      </c>
      <c r="Q324" s="706">
        <f>+InputY!Q197/1000</f>
        <v>0.63315999999999995</v>
      </c>
      <c r="R324" s="706">
        <f>+InputY!R197/1000</f>
        <v>0.63112000000000001</v>
      </c>
      <c r="S324" s="706">
        <f>+InputY!S197/1000</f>
        <v>0.83086000000000004</v>
      </c>
      <c r="T324" s="706">
        <f>+InputY!T197/1000</f>
        <v>1.2227000000000001</v>
      </c>
      <c r="U324" s="706">
        <f>+InputY!U197/1000</f>
        <v>1.0826</v>
      </c>
      <c r="V324" s="706">
        <f>+InputY!V197/1000</f>
        <v>1.2823599999999999</v>
      </c>
      <c r="W324" s="706">
        <f>+InputY!W197/1000</f>
        <v>1.1806800000000002</v>
      </c>
      <c r="X324" s="706">
        <f>+InputY!X197/1000</f>
        <v>0.80870000000000009</v>
      </c>
      <c r="Y324" s="706">
        <f>+InputY!Y197/1000</f>
        <v>1.4815</v>
      </c>
      <c r="Z324" s="706">
        <f>+InputY!Z197/1000</f>
        <v>1.6157300000000001</v>
      </c>
      <c r="AA324" s="706">
        <f>+InputY!AA197/1000</f>
        <v>1.3968</v>
      </c>
      <c r="AB324" s="706">
        <f>+InputY!AB197/1000</f>
        <v>1.4626199999999998</v>
      </c>
      <c r="AC324" s="2217">
        <f t="shared" si="288"/>
        <v>1.5357509999999999</v>
      </c>
      <c r="AD324" s="2217">
        <f t="shared" si="288"/>
        <v>1.61253855</v>
      </c>
      <c r="AE324" s="2217">
        <f t="shared" si="288"/>
        <v>1.6931654775</v>
      </c>
    </row>
    <row r="325" spans="1:113" ht="12.75" customHeight="1">
      <c r="A325" s="664">
        <f>+ROW(InputY!A125)</f>
        <v>125</v>
      </c>
      <c r="B325" s="664" t="s">
        <v>992</v>
      </c>
      <c r="C325" s="782" t="s">
        <v>1767</v>
      </c>
      <c r="D325" s="674" t="s">
        <v>686</v>
      </c>
      <c r="E325" s="783" t="s">
        <v>1341</v>
      </c>
      <c r="F325" s="704" t="str">
        <f>+InputY!B125</f>
        <v>$ETO</v>
      </c>
      <c r="G325" s="706">
        <f>+InputY!G125/1000</f>
        <v>0.29097000000000001</v>
      </c>
      <c r="H325" s="706">
        <f>+InputY!H125/1000</f>
        <v>0.36098000000000002</v>
      </c>
      <c r="I325" s="706">
        <f>+InputY!I125/1000</f>
        <v>0.36907999999999996</v>
      </c>
      <c r="J325" s="706">
        <f>+InputY!J125/1000</f>
        <v>0.30886000000000002</v>
      </c>
      <c r="K325" s="706">
        <f>+InputY!K125/1000</f>
        <v>0.27594000000000002</v>
      </c>
      <c r="L325" s="706">
        <f>+InputY!L125/1000</f>
        <v>0.25236999999999998</v>
      </c>
      <c r="M325" s="706">
        <f>+InputY!M125/1000</f>
        <v>0.24536000000000002</v>
      </c>
      <c r="N325" s="706">
        <f>+InputY!N125/1000</f>
        <v>0.27867000000000003</v>
      </c>
      <c r="O325" s="706">
        <f>+InputY!O125/1000</f>
        <v>0.18616999999999997</v>
      </c>
      <c r="P325" s="706">
        <f>+InputY!P125/1000</f>
        <v>0.23157</v>
      </c>
      <c r="Q325" s="706">
        <f>+InputY!Q125/1000</f>
        <v>0.32592000000000004</v>
      </c>
      <c r="R325" s="706">
        <f>+InputY!R125/1000</f>
        <v>0.32991000000000004</v>
      </c>
      <c r="S325" s="706">
        <f>+InputY!S125/1000</f>
        <v>0.40314</v>
      </c>
      <c r="T325" s="706">
        <f>+InputY!T125/1000</f>
        <v>0.79137000000000002</v>
      </c>
      <c r="U325" s="706">
        <f>+InputY!U125/1000</f>
        <v>0.71341999999999994</v>
      </c>
      <c r="V325" s="706">
        <f>+InputY!V125/1000</f>
        <v>0.64309000000000005</v>
      </c>
      <c r="W325" s="706">
        <f>+InputY!W125/1000</f>
        <v>0.71772999999999998</v>
      </c>
      <c r="X325" s="706">
        <f>+InputY!X125/1000</f>
        <v>0.68996000000000002</v>
      </c>
      <c r="Y325" s="706">
        <f>+InputY!Y125/1000</f>
        <v>0.71371000000000007</v>
      </c>
      <c r="Z325" s="706">
        <f>+InputY!Z125/1000</f>
        <v>0.72487999999999997</v>
      </c>
      <c r="AA325" s="706">
        <f>+InputY!AA125/1000</f>
        <v>0.77882000000000007</v>
      </c>
      <c r="AB325" s="706">
        <f>+InputY!AB125/1000</f>
        <v>0.83196000000000003</v>
      </c>
      <c r="AC325" s="2217">
        <f t="shared" si="288"/>
        <v>0.89851680000000012</v>
      </c>
      <c r="AD325" s="2217">
        <f t="shared" si="288"/>
        <v>0.97039814400000024</v>
      </c>
      <c r="AE325" s="2217">
        <f t="shared" si="288"/>
        <v>1.0480299955200003</v>
      </c>
    </row>
    <row r="326" spans="1:113" ht="12.75" customHeight="1">
      <c r="A326" s="664">
        <f>+ROW(InputY!A124)</f>
        <v>124</v>
      </c>
      <c r="B326" s="664" t="s">
        <v>992</v>
      </c>
      <c r="C326" s="782" t="s">
        <v>401</v>
      </c>
      <c r="D326" s="674" t="s">
        <v>686</v>
      </c>
      <c r="E326" s="783" t="s">
        <v>1336</v>
      </c>
      <c r="F326" s="704" t="str">
        <f>+InputY!B124</f>
        <v>YETO</v>
      </c>
      <c r="G326" s="706">
        <f>+InputY!G124/1000</f>
        <v>2.1780000000000001E-2</v>
      </c>
      <c r="H326" s="706">
        <f>+InputY!H124/1000</f>
        <v>1.8239999999999999E-2</v>
      </c>
      <c r="I326" s="706">
        <f>+InputY!I124/1000</f>
        <v>0.11393</v>
      </c>
      <c r="J326" s="706">
        <f>+InputY!J124/1000</f>
        <v>0.13008</v>
      </c>
      <c r="K326" s="706">
        <f>+InputY!K124/1000</f>
        <v>0.15775999999999998</v>
      </c>
      <c r="L326" s="706">
        <f>+InputY!L124/1000</f>
        <v>0.11975</v>
      </c>
      <c r="M326" s="706">
        <f>+InputY!M124/1000</f>
        <v>0.12631999999999999</v>
      </c>
      <c r="N326" s="706">
        <f>+InputY!N124/1000</f>
        <v>0.19588</v>
      </c>
      <c r="O326" s="706">
        <f>+InputY!O124/1000</f>
        <v>0.14812999999999998</v>
      </c>
      <c r="P326" s="706">
        <f>+InputY!P124/1000</f>
        <v>0.18512999999999999</v>
      </c>
      <c r="Q326" s="706">
        <f>+InputY!Q124/1000</f>
        <v>0.19778000000000001</v>
      </c>
      <c r="R326" s="706">
        <f>+InputY!R124/1000</f>
        <v>0.35533999999999999</v>
      </c>
      <c r="S326" s="706">
        <f>+InputY!S124/1000</f>
        <v>0.38927999999999996</v>
      </c>
      <c r="T326" s="706">
        <f>+InputY!T124/1000</f>
        <v>0.46614999999999995</v>
      </c>
      <c r="U326" s="706">
        <f>+InputY!U124/1000</f>
        <v>0.41881000000000002</v>
      </c>
      <c r="V326" s="706">
        <f>+InputY!V124/1000</f>
        <v>0.40181</v>
      </c>
      <c r="W326" s="706">
        <f>+InputY!W124/1000</f>
        <v>0.44327</v>
      </c>
      <c r="X326" s="706">
        <f>+InputY!X124/1000</f>
        <v>0.39974999999999999</v>
      </c>
      <c r="Y326" s="706">
        <f>+InputY!Y124/1000</f>
        <v>0.43422000000000005</v>
      </c>
      <c r="Z326" s="706">
        <f>+InputY!Z124/1000</f>
        <v>0.46385000000000004</v>
      </c>
      <c r="AA326" s="706">
        <f>+InputY!AA124/1000</f>
        <v>0.49933</v>
      </c>
      <c r="AB326" s="706">
        <f>+InputY!AB124/1000</f>
        <v>0.49392000000000003</v>
      </c>
      <c r="AC326" s="2217">
        <f t="shared" si="288"/>
        <v>0.51861600000000008</v>
      </c>
      <c r="AD326" s="2217">
        <f t="shared" si="288"/>
        <v>0.54454680000000011</v>
      </c>
      <c r="AE326" s="2217">
        <f t="shared" si="288"/>
        <v>0.57177414000000015</v>
      </c>
    </row>
    <row r="327" spans="1:113" ht="13.5" customHeight="1">
      <c r="A327" s="664">
        <f>+ROW(InputY!A163)</f>
        <v>163</v>
      </c>
      <c r="B327" s="664" t="s">
        <v>1695</v>
      </c>
      <c r="C327" s="782" t="s">
        <v>1767</v>
      </c>
      <c r="D327" s="674" t="s">
        <v>687</v>
      </c>
      <c r="E327" s="783" t="s">
        <v>1341</v>
      </c>
      <c r="F327" s="704" t="str">
        <f>+InputY!B163</f>
        <v>$ATO</v>
      </c>
      <c r="G327" s="706">
        <f>+InputY!G163/1000</f>
        <v>5.6799999999999993E-3</v>
      </c>
      <c r="H327" s="706">
        <f>+InputY!H163/1000</f>
        <v>5.4999999999999997E-3</v>
      </c>
      <c r="I327" s="706">
        <f>+InputY!I163/1000</f>
        <v>0.22914999999999999</v>
      </c>
      <c r="J327" s="706">
        <f>+InputY!J163/1000</f>
        <v>8.2860000000000003E-2</v>
      </c>
      <c r="K327" s="706">
        <f>+InputY!K163/1000</f>
        <v>6.4030000000000004E-2</v>
      </c>
      <c r="L327" s="706">
        <f>+InputY!L163/1000</f>
        <v>1.325E-2</v>
      </c>
      <c r="M327" s="706">
        <f>+InputY!M163/1000</f>
        <v>5.237E-2</v>
      </c>
      <c r="N327" s="706">
        <f>+InputY!N163/1000</f>
        <v>1.8089999999999998E-2</v>
      </c>
      <c r="O327" s="706">
        <f>+InputY!O163/1000</f>
        <v>2.7050000000000001E-2</v>
      </c>
      <c r="P327" s="706">
        <f>+InputY!P163/1000</f>
        <v>0.13155</v>
      </c>
      <c r="Q327" s="706">
        <f>+InputY!Q163/1000</f>
        <v>0.37627999999999995</v>
      </c>
      <c r="R327" s="706">
        <f>+InputY!R163/1000</f>
        <v>0.30130000000000001</v>
      </c>
      <c r="S327" s="706">
        <f>+InputY!S163/1000</f>
        <v>0.38061</v>
      </c>
      <c r="T327" s="706">
        <f>+InputY!T163/1000</f>
        <v>0.47885</v>
      </c>
      <c r="U327" s="706">
        <f>+InputY!U163/1000</f>
        <v>0.44794</v>
      </c>
      <c r="V327" s="706">
        <f>+InputY!V163/1000</f>
        <v>0.34664</v>
      </c>
      <c r="W327" s="706">
        <f>+InputY!W163/1000</f>
        <v>0.49845</v>
      </c>
      <c r="X327" s="706">
        <f>+InputY!X163/1000</f>
        <v>0.46572000000000002</v>
      </c>
      <c r="Y327" s="706">
        <f>+InputY!Y163/1000</f>
        <v>0.5542999999999999</v>
      </c>
      <c r="Z327" s="706">
        <f>+InputY!Z163/1000</f>
        <v>0.51539999999999997</v>
      </c>
      <c r="AA327" s="706">
        <f>+InputY!AA163/1000</f>
        <v>0.55409000000000008</v>
      </c>
      <c r="AB327" s="706">
        <f>+InputY!AB163/1000</f>
        <v>0.64263999999999999</v>
      </c>
      <c r="AC327" s="2217">
        <f t="shared" si="288"/>
        <v>0.67477200000000004</v>
      </c>
      <c r="AD327" s="2217">
        <f t="shared" si="288"/>
        <v>0.70513674000000004</v>
      </c>
      <c r="AE327" s="2217">
        <f t="shared" si="288"/>
        <v>0.74039357700000008</v>
      </c>
    </row>
    <row r="328" spans="1:113" ht="12.75" customHeight="1">
      <c r="A328" s="664">
        <f>+ROW(InputY!A161)</f>
        <v>161</v>
      </c>
      <c r="B328" s="664" t="s">
        <v>1913</v>
      </c>
      <c r="C328" s="782" t="s">
        <v>401</v>
      </c>
      <c r="D328" s="674" t="s">
        <v>687</v>
      </c>
      <c r="E328" s="783" t="s">
        <v>1336</v>
      </c>
      <c r="F328" s="704" t="str">
        <f>+InputY!B161</f>
        <v>YATO</v>
      </c>
      <c r="G328" s="706">
        <f>+InputY!G161/1000</f>
        <v>0.32274000000000003</v>
      </c>
      <c r="H328" s="706">
        <f>+InputY!H161/1000</f>
        <v>0.47088999999999998</v>
      </c>
      <c r="I328" s="706">
        <f>+InputY!I161/1000</f>
        <v>0.621</v>
      </c>
      <c r="J328" s="706">
        <f>+InputY!J161/1000</f>
        <v>0.37545999999999996</v>
      </c>
      <c r="K328" s="706">
        <f>+InputY!K161/1000</f>
        <v>0.2334</v>
      </c>
      <c r="L328" s="706">
        <f>+InputY!L161/1000</f>
        <v>0.31313000000000002</v>
      </c>
      <c r="M328" s="706">
        <f>+InputY!M161/1000</f>
        <v>0.22991</v>
      </c>
      <c r="N328" s="706">
        <f>+InputY!N161/1000</f>
        <v>0.19896</v>
      </c>
      <c r="O328" s="706">
        <f>+InputY!O161/1000</f>
        <v>0.15042</v>
      </c>
      <c r="P328" s="706">
        <f>+InputY!P161/1000</f>
        <v>0.14199000000000001</v>
      </c>
      <c r="Q328" s="706">
        <f>+InputY!Q161/1000</f>
        <v>0.24165999999999999</v>
      </c>
      <c r="R328" s="706">
        <f>+InputY!R161/1000</f>
        <v>0.20996000000000001</v>
      </c>
      <c r="S328" s="706">
        <f>+InputY!S161/1000</f>
        <v>0.24681</v>
      </c>
      <c r="T328" s="706">
        <f>+InputY!T161/1000</f>
        <v>0.28988999999999998</v>
      </c>
      <c r="U328" s="706">
        <f>+InputY!U161/1000</f>
        <v>0.27145999999999998</v>
      </c>
      <c r="V328" s="706">
        <f>+InputY!V161/1000</f>
        <v>0.40132000000000001</v>
      </c>
      <c r="W328" s="1455">
        <f>+InputY!W161/1000</f>
        <v>0.50073999999999996</v>
      </c>
      <c r="X328" s="1455">
        <f>+InputY!X161/1000</f>
        <v>0.47694999999999999</v>
      </c>
      <c r="Y328" s="1455">
        <f>+InputY!Y161/1000</f>
        <v>0.46564</v>
      </c>
      <c r="Z328" s="1455">
        <f>+InputY!Z161/1000</f>
        <v>0.46029999999999999</v>
      </c>
      <c r="AA328" s="1455">
        <f>+InputY!AA161/1000</f>
        <v>0.52540999999999993</v>
      </c>
      <c r="AB328" s="1455">
        <f>+InputY!AB161/1000</f>
        <v>0.45651999999999998</v>
      </c>
      <c r="AC328" s="2217">
        <f t="shared" si="288"/>
        <v>0.49094160799999992</v>
      </c>
      <c r="AD328" s="2217">
        <f t="shared" si="288"/>
        <v>0.53267164467999994</v>
      </c>
      <c r="AE328" s="2217">
        <f t="shared" si="288"/>
        <v>0.57794873447779993</v>
      </c>
    </row>
    <row r="329" spans="1:113" ht="12.75" customHeight="1">
      <c r="A329" s="1953">
        <f>ROW(InputY!A254)</f>
        <v>254</v>
      </c>
      <c r="B329" s="664" t="s">
        <v>988</v>
      </c>
      <c r="C329" s="784" t="s">
        <v>1769</v>
      </c>
      <c r="D329" s="752" t="s">
        <v>688</v>
      </c>
      <c r="E329" s="753" t="s">
        <v>0</v>
      </c>
      <c r="F329" s="754" t="s">
        <v>1</v>
      </c>
      <c r="G329" s="785">
        <f>+InputY!G254/1000</f>
        <v>-0.12656394810009269</v>
      </c>
      <c r="H329" s="785">
        <f>+InputY!H254/1000</f>
        <v>-0.16653151065801669</v>
      </c>
      <c r="I329" s="785">
        <f>+InputY!I254/1000</f>
        <v>-0.26645041705282663</v>
      </c>
      <c r="J329" s="785">
        <f>+InputY!J254/1000</f>
        <v>-0.27224281742354034</v>
      </c>
      <c r="K329" s="785">
        <f>+InputY!K254/1000</f>
        <v>-0.18883225208526414</v>
      </c>
      <c r="L329" s="785">
        <f>+InputY!L254/1000</f>
        <v>-0.25457599629286376</v>
      </c>
      <c r="M329" s="785">
        <f>+InputY!M254/1000</f>
        <v>-0.27427015755329004</v>
      </c>
      <c r="N329" s="785">
        <f>+InputY!N254/1000</f>
        <v>-0.20939527340129752</v>
      </c>
      <c r="O329" s="785">
        <f>+InputY!O254/1000</f>
        <v>-0.22474513438368859</v>
      </c>
      <c r="P329" s="785">
        <f>+InputY!P254/1000</f>
        <v>-0.26152687673772013</v>
      </c>
      <c r="Q329" s="785">
        <f>+InputY!Q254/1000</f>
        <v>-0.28999999999999998</v>
      </c>
      <c r="R329" s="785">
        <f>+InputY!R254/1000</f>
        <v>-0.44600000000000001</v>
      </c>
      <c r="S329" s="785">
        <f>+InputY!S254/1000</f>
        <v>-0.54500000000000004</v>
      </c>
      <c r="T329" s="785">
        <f>+InputY!T254/1000</f>
        <v>-0.59</v>
      </c>
      <c r="U329" s="785">
        <f>+InputY!U254/1000</f>
        <v>-0.502</v>
      </c>
      <c r="V329" s="785">
        <f>+InputY!V254/1000</f>
        <v>-0.98199999999999998</v>
      </c>
      <c r="W329" s="785">
        <f>+InputY!W254/1000</f>
        <v>-0.77100000000000002</v>
      </c>
      <c r="X329" s="785">
        <f>+InputY!X254/1000</f>
        <v>-0.39200000000000002</v>
      </c>
      <c r="Y329" s="785">
        <f>+InputY!Y254/1000</f>
        <v>-0.97599999999999998</v>
      </c>
      <c r="Z329" s="785">
        <f>+InputY!Z254/1000</f>
        <v>-1.159</v>
      </c>
      <c r="AA329" s="785">
        <f>+InputY!AA254/1000</f>
        <v>-0.93700000000000006</v>
      </c>
      <c r="AB329" s="2873">
        <f>+AB323-AB324+AB325-AB326+AB327-AB328</f>
        <v>-0.76707999999999976</v>
      </c>
      <c r="AC329" s="2873">
        <f>+AC323-AC324+AC325-AC326+AC327-AC328</f>
        <v>-0.79549840799999982</v>
      </c>
      <c r="AD329" s="2873">
        <f>+AD323-AD324+AD325-AD326+AD327-AD328</f>
        <v>-0.83240506867999964</v>
      </c>
      <c r="AE329" s="2873">
        <f>+AE323-AE324+AE325-AE326+AE327-AE328</f>
        <v>-0.86719322619779959</v>
      </c>
    </row>
    <row r="330" spans="1:113" s="1972" customFormat="1" ht="12.75" customHeight="1">
      <c r="A330" s="998"/>
      <c r="B330" s="998"/>
      <c r="C330" s="1595"/>
      <c r="D330" s="1011"/>
      <c r="E330" s="1973" t="s">
        <v>737</v>
      </c>
      <c r="F330" s="1974"/>
      <c r="G330" s="1002">
        <f>ABS(+G323-G324+G325-G326+G327-G328-G329)</f>
        <v>1.0605189990733899E-4</v>
      </c>
      <c r="H330" s="1002">
        <f t="shared" ref="H330:Y330" si="289">ABS(+H323-H324+H325-H326+H327-H328-H329)</f>
        <v>3.8489341983249936E-5</v>
      </c>
      <c r="I330" s="1002">
        <f t="shared" si="289"/>
        <v>4.9582947173443248E-5</v>
      </c>
      <c r="J330" s="1002">
        <f t="shared" si="289"/>
        <v>2.8174235404132553E-6</v>
      </c>
      <c r="K330" s="1002">
        <f t="shared" si="289"/>
        <v>1.9225208526416071E-4</v>
      </c>
      <c r="L330" s="1002">
        <f t="shared" si="289"/>
        <v>3.4440037071362672E-3</v>
      </c>
      <c r="M330" s="1002">
        <f t="shared" si="289"/>
        <v>4.460157553290045E-3</v>
      </c>
      <c r="N330" s="1002">
        <f t="shared" si="289"/>
        <v>2.4252734012975286E-3</v>
      </c>
      <c r="O330" s="1002">
        <f t="shared" si="289"/>
        <v>3.4351343836885873E-3</v>
      </c>
      <c r="P330" s="1002">
        <f t="shared" si="289"/>
        <v>1.8331232622799121E-3</v>
      </c>
      <c r="Q330" s="1002">
        <f t="shared" si="289"/>
        <v>1.3999999999997348E-4</v>
      </c>
      <c r="R330" s="1002">
        <f t="shared" si="289"/>
        <v>7.3000000000006393E-4</v>
      </c>
      <c r="S330" s="1002">
        <f t="shared" si="289"/>
        <v>5.8000000000002494E-4</v>
      </c>
      <c r="T330" s="2906">
        <f t="shared" si="289"/>
        <v>4.3000000000004146E-4</v>
      </c>
      <c r="U330" s="2906">
        <f t="shared" si="289"/>
        <v>4.2000000000008697E-4</v>
      </c>
      <c r="V330" s="2906">
        <f t="shared" si="289"/>
        <v>4.0999999999991044E-4</v>
      </c>
      <c r="W330" s="2906">
        <f t="shared" si="289"/>
        <v>1.9999999999986695E-4</v>
      </c>
      <c r="X330" s="2906">
        <f t="shared" si="289"/>
        <v>1.3000000000001899E-4</v>
      </c>
      <c r="Y330" s="2906">
        <f t="shared" si="289"/>
        <v>2.5999999999992696E-4</v>
      </c>
      <c r="Z330" s="2906">
        <f t="shared" ref="Z330:AE330" si="290">ABS(+Z323-Z324+Z325-Z326+Z327-Z328-Z329)</f>
        <v>1.2000000000034206E-4</v>
      </c>
      <c r="AA330" s="2906">
        <f t="shared" si="290"/>
        <v>9.0000000000256541E-5</v>
      </c>
      <c r="AB330" s="2906">
        <f t="shared" si="290"/>
        <v>0</v>
      </c>
      <c r="AC330" s="2906">
        <f t="shared" si="290"/>
        <v>0</v>
      </c>
      <c r="AD330" s="2906">
        <f t="shared" si="290"/>
        <v>0</v>
      </c>
      <c r="AE330" s="2906">
        <f t="shared" si="290"/>
        <v>0</v>
      </c>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row>
    <row r="331" spans="1:113">
      <c r="A331" s="664"/>
      <c r="B331" s="664"/>
      <c r="P331" s="1868"/>
      <c r="Q331" s="1872"/>
      <c r="R331" s="2877"/>
      <c r="S331" s="2877"/>
      <c r="T331" s="2877"/>
      <c r="U331" s="3128"/>
      <c r="V331" s="2877"/>
      <c r="W331" s="2877"/>
      <c r="X331" s="2877"/>
      <c r="Y331" s="2877"/>
      <c r="Z331" s="2877"/>
      <c r="AA331" s="2877">
        <f>AB331-AB329</f>
        <v>3.393915599999997E-2</v>
      </c>
      <c r="AB331" s="2877">
        <v>-0.73314084399999979</v>
      </c>
      <c r="AC331" s="2877">
        <v>-0.74509314087999989</v>
      </c>
      <c r="AD331" s="2877">
        <v>-0.74509314087999989</v>
      </c>
      <c r="AE331" s="2877">
        <v>-0.74509314087999989</v>
      </c>
    </row>
    <row r="332" spans="1:113" ht="12.75" customHeight="1">
      <c r="A332" s="664"/>
      <c r="B332" s="664"/>
      <c r="C332" s="774"/>
      <c r="D332" s="742"/>
      <c r="E332" s="743" t="s">
        <v>1311</v>
      </c>
      <c r="F332" s="744"/>
      <c r="G332" s="745">
        <f>+InputY!$G$3</f>
        <v>1995</v>
      </c>
      <c r="H332" s="745">
        <f>+G332+1</f>
        <v>1996</v>
      </c>
      <c r="I332" s="745">
        <f t="shared" ref="I332:O332" si="291">+H332+1</f>
        <v>1997</v>
      </c>
      <c r="J332" s="745">
        <f t="shared" si="291"/>
        <v>1998</v>
      </c>
      <c r="K332" s="745">
        <f>+J332+1</f>
        <v>1999</v>
      </c>
      <c r="L332" s="745">
        <f t="shared" si="291"/>
        <v>2000</v>
      </c>
      <c r="M332" s="745">
        <f t="shared" si="291"/>
        <v>2001</v>
      </c>
      <c r="N332" s="745">
        <f t="shared" si="291"/>
        <v>2002</v>
      </c>
      <c r="O332" s="745">
        <f t="shared" si="291"/>
        <v>2003</v>
      </c>
      <c r="P332" s="745">
        <f t="shared" ref="P332:W332" si="292">+O332+1</f>
        <v>2004</v>
      </c>
      <c r="Q332" s="745">
        <f t="shared" si="292"/>
        <v>2005</v>
      </c>
      <c r="R332" s="745">
        <f t="shared" si="292"/>
        <v>2006</v>
      </c>
      <c r="S332" s="745">
        <f t="shared" si="292"/>
        <v>2007</v>
      </c>
      <c r="T332" s="2211">
        <f t="shared" si="292"/>
        <v>2008</v>
      </c>
      <c r="U332" s="2211">
        <f t="shared" si="292"/>
        <v>2009</v>
      </c>
      <c r="V332" s="2211">
        <f t="shared" si="292"/>
        <v>2010</v>
      </c>
      <c r="W332" s="2211">
        <f t="shared" si="292"/>
        <v>2011</v>
      </c>
      <c r="X332" s="2211">
        <f t="shared" ref="X332:AE332" si="293">+W332+1</f>
        <v>2012</v>
      </c>
      <c r="Y332" s="2211">
        <f t="shared" si="293"/>
        <v>2013</v>
      </c>
      <c r="Z332" s="2211">
        <f t="shared" si="293"/>
        <v>2014</v>
      </c>
      <c r="AA332" s="2211">
        <f t="shared" si="293"/>
        <v>2015</v>
      </c>
      <c r="AB332" s="2211">
        <f t="shared" si="293"/>
        <v>2016</v>
      </c>
      <c r="AC332" s="2211">
        <f t="shared" si="293"/>
        <v>2017</v>
      </c>
      <c r="AD332" s="2211">
        <f t="shared" si="293"/>
        <v>2018</v>
      </c>
      <c r="AE332" s="2211">
        <f t="shared" si="293"/>
        <v>2019</v>
      </c>
    </row>
    <row r="333" spans="1:113" ht="12.75" customHeight="1">
      <c r="A333" s="664"/>
      <c r="B333" s="664"/>
      <c r="C333" s="794" t="s">
        <v>1767</v>
      </c>
      <c r="D333" s="689" t="s">
        <v>685</v>
      </c>
      <c r="E333" s="738" t="s">
        <v>1341</v>
      </c>
      <c r="F333" s="733" t="s">
        <v>15</v>
      </c>
      <c r="G333" s="739"/>
      <c r="H333" s="739">
        <f t="shared" ref="H333:AB333" si="294">(H323/G323-1)*100</f>
        <v>29.790794979079504</v>
      </c>
      <c r="I333" s="739">
        <f t="shared" si="294"/>
        <v>-57.683215130023633</v>
      </c>
      <c r="J333" s="739">
        <f t="shared" si="294"/>
        <v>29.812087353986772</v>
      </c>
      <c r="K333" s="739">
        <f t="shared" ref="K333:K339" si="295">(K323/J323-1)*100</f>
        <v>53.59937402190922</v>
      </c>
      <c r="L333" s="739">
        <f t="shared" si="294"/>
        <v>-6.2149770759042262</v>
      </c>
      <c r="M333" s="739">
        <f t="shared" si="294"/>
        <v>13.498098859315588</v>
      </c>
      <c r="N333" s="739">
        <f t="shared" si="294"/>
        <v>116.48719789423305</v>
      </c>
      <c r="O333" s="739">
        <f t="shared" si="294"/>
        <v>-16.46954791643639</v>
      </c>
      <c r="P333" s="739">
        <f t="shared" si="294"/>
        <v>-25.817123197035851</v>
      </c>
      <c r="Q333" s="739">
        <f t="shared" si="294"/>
        <v>43.168034249018916</v>
      </c>
      <c r="R333" s="739">
        <f t="shared" si="294"/>
        <v>49.439322202840728</v>
      </c>
      <c r="S333" s="739">
        <f t="shared" si="294"/>
        <v>14.740703685175927</v>
      </c>
      <c r="T333" s="739">
        <f t="shared" si="294"/>
        <v>-14.191251271617489</v>
      </c>
      <c r="U333" s="739">
        <f t="shared" si="294"/>
        <v>-7.6213057837242744</v>
      </c>
      <c r="V333" s="739">
        <f t="shared" si="294"/>
        <v>3.9050325419378362</v>
      </c>
      <c r="W333" s="739">
        <f t="shared" si="294"/>
        <v>21.490957212174688</v>
      </c>
      <c r="X333" s="739">
        <f t="shared" si="294"/>
        <v>-8.713964127514684E-2</v>
      </c>
      <c r="Y333" s="739">
        <f t="shared" si="294"/>
        <v>1.4535940111937151E-2</v>
      </c>
      <c r="Z333" s="739">
        <f t="shared" si="294"/>
        <v>2.0856042438776035</v>
      </c>
      <c r="AA333" s="739">
        <f t="shared" si="294"/>
        <v>8.0011389521640108</v>
      </c>
      <c r="AB333" s="739">
        <f t="shared" si="294"/>
        <v>12.958080674927498</v>
      </c>
      <c r="AC333" s="2213">
        <v>3</v>
      </c>
      <c r="AD333" s="2213">
        <v>3</v>
      </c>
      <c r="AE333" s="2213">
        <v>3</v>
      </c>
    </row>
    <row r="334" spans="1:113" ht="12.75" customHeight="1">
      <c r="A334" s="664"/>
      <c r="B334" s="664"/>
      <c r="C334" s="795" t="s">
        <v>401</v>
      </c>
      <c r="D334" s="674" t="s">
        <v>685</v>
      </c>
      <c r="E334" s="783" t="s">
        <v>1336</v>
      </c>
      <c r="F334" s="704" t="s">
        <v>13</v>
      </c>
      <c r="G334" s="706"/>
      <c r="H334" s="706">
        <f t="shared" ref="H334:S334" si="296">(H324/G324-1)*100</f>
        <v>-21.107719145224589</v>
      </c>
      <c r="I334" s="706">
        <f t="shared" si="296"/>
        <v>65.273631840796014</v>
      </c>
      <c r="J334" s="706">
        <f t="shared" si="296"/>
        <v>23.071777376413106</v>
      </c>
      <c r="K334" s="706">
        <f t="shared" si="295"/>
        <v>-3.9515164691814153</v>
      </c>
      <c r="L334" s="706">
        <f t="shared" si="296"/>
        <v>-27.802614453058684</v>
      </c>
      <c r="M334" s="706">
        <f t="shared" si="296"/>
        <v>98.385326853738817</v>
      </c>
      <c r="N334" s="706">
        <f t="shared" si="296"/>
        <v>-21.232714342157244</v>
      </c>
      <c r="O334" s="706">
        <f t="shared" si="296"/>
        <v>6.1145666131621201</v>
      </c>
      <c r="P334" s="706">
        <f t="shared" si="296"/>
        <v>68.00756322382415</v>
      </c>
      <c r="Q334" s="706">
        <f t="shared" si="296"/>
        <v>78.144167463845562</v>
      </c>
      <c r="R334" s="706">
        <f t="shared" si="296"/>
        <v>-0.32219344241580794</v>
      </c>
      <c r="S334" s="706">
        <f t="shared" si="296"/>
        <v>31.648497908480167</v>
      </c>
      <c r="T334" s="706">
        <f t="shared" ref="T334:AB334" si="297">(T324/S324-1)*100</f>
        <v>47.160773174782754</v>
      </c>
      <c r="U334" s="706">
        <f t="shared" si="297"/>
        <v>-11.458248139363715</v>
      </c>
      <c r="V334" s="706">
        <f t="shared" si="297"/>
        <v>18.45187511546278</v>
      </c>
      <c r="W334" s="706">
        <f t="shared" si="297"/>
        <v>-7.9291306653357712</v>
      </c>
      <c r="X334" s="706">
        <f t="shared" si="297"/>
        <v>-31.505573059592784</v>
      </c>
      <c r="Y334" s="706">
        <f t="shared" si="297"/>
        <v>83.19525163843204</v>
      </c>
      <c r="Z334" s="706">
        <f t="shared" si="297"/>
        <v>9.0604117448531909</v>
      </c>
      <c r="AA334" s="706">
        <f t="shared" si="297"/>
        <v>-13.5499124234866</v>
      </c>
      <c r="AB334" s="706">
        <f t="shared" si="297"/>
        <v>4.7121993127147599</v>
      </c>
      <c r="AC334" s="2215">
        <v>5</v>
      </c>
      <c r="AD334" s="2215">
        <v>5</v>
      </c>
      <c r="AE334" s="2215">
        <v>5</v>
      </c>
    </row>
    <row r="335" spans="1:113" ht="12.75" customHeight="1">
      <c r="A335" s="664"/>
      <c r="B335" s="664"/>
      <c r="C335" s="795" t="s">
        <v>1767</v>
      </c>
      <c r="D335" s="674" t="s">
        <v>686</v>
      </c>
      <c r="E335" s="783" t="s">
        <v>1341</v>
      </c>
      <c r="F335" s="704" t="s">
        <v>1554</v>
      </c>
      <c r="G335" s="706"/>
      <c r="H335" s="706">
        <f t="shared" ref="H335:AB335" si="298">(H325/G325-1)*100</f>
        <v>24.060899749115027</v>
      </c>
      <c r="I335" s="706">
        <f t="shared" si="298"/>
        <v>2.2438916283450405</v>
      </c>
      <c r="J335" s="706">
        <f t="shared" si="298"/>
        <v>-16.316245800368467</v>
      </c>
      <c r="K335" s="706">
        <f t="shared" si="295"/>
        <v>-10.658550799715083</v>
      </c>
      <c r="L335" s="706">
        <f t="shared" si="298"/>
        <v>-8.5417119663695136</v>
      </c>
      <c r="M335" s="706">
        <f t="shared" si="298"/>
        <v>-2.7776677101081559</v>
      </c>
      <c r="N335" s="706">
        <f t="shared" si="298"/>
        <v>13.575970003260519</v>
      </c>
      <c r="O335" s="706">
        <f t="shared" si="298"/>
        <v>-33.193382854272087</v>
      </c>
      <c r="P335" s="706">
        <f t="shared" si="298"/>
        <v>24.386313584358387</v>
      </c>
      <c r="Q335" s="706">
        <f t="shared" si="298"/>
        <v>40.74361963984974</v>
      </c>
      <c r="R335" s="706">
        <f t="shared" si="298"/>
        <v>1.224226804123707</v>
      </c>
      <c r="S335" s="706">
        <f t="shared" si="298"/>
        <v>22.196962808038535</v>
      </c>
      <c r="T335" s="706">
        <f t="shared" si="298"/>
        <v>96.30153296621522</v>
      </c>
      <c r="U335" s="706">
        <f t="shared" si="298"/>
        <v>-9.850006949972844</v>
      </c>
      <c r="V335" s="706">
        <f t="shared" si="298"/>
        <v>-9.8581480754674544</v>
      </c>
      <c r="W335" s="706">
        <f t="shared" si="298"/>
        <v>11.606462548010366</v>
      </c>
      <c r="X335" s="706">
        <f t="shared" si="298"/>
        <v>-3.8691429924902043</v>
      </c>
      <c r="Y335" s="706">
        <f t="shared" si="298"/>
        <v>3.4422285349875459</v>
      </c>
      <c r="Z335" s="706">
        <f t="shared" si="298"/>
        <v>1.5650614395202433</v>
      </c>
      <c r="AA335" s="706">
        <f t="shared" si="298"/>
        <v>7.4412316521355493</v>
      </c>
      <c r="AB335" s="706">
        <f t="shared" si="298"/>
        <v>6.8231427030636116</v>
      </c>
      <c r="AC335" s="2215">
        <v>8</v>
      </c>
      <c r="AD335" s="2215">
        <v>8</v>
      </c>
      <c r="AE335" s="2215">
        <v>8</v>
      </c>
    </row>
    <row r="336" spans="1:113" ht="12.75" customHeight="1">
      <c r="A336" s="664"/>
      <c r="B336" s="664"/>
      <c r="C336" s="795" t="s">
        <v>401</v>
      </c>
      <c r="D336" s="674" t="s">
        <v>686</v>
      </c>
      <c r="E336" s="783" t="s">
        <v>1336</v>
      </c>
      <c r="F336" s="704" t="s">
        <v>1553</v>
      </c>
      <c r="G336" s="706"/>
      <c r="H336" s="706">
        <f t="shared" ref="H336:AB336" si="299">(H326/G326-1)*100</f>
        <v>-16.253443526170809</v>
      </c>
      <c r="I336" s="706">
        <f t="shared" si="299"/>
        <v>524.61622807017557</v>
      </c>
      <c r="J336" s="706">
        <f t="shared" si="299"/>
        <v>14.17537084174494</v>
      </c>
      <c r="K336" s="706">
        <f t="shared" si="295"/>
        <v>21.2792127921279</v>
      </c>
      <c r="L336" s="706">
        <f t="shared" si="299"/>
        <v>-24.093559837728186</v>
      </c>
      <c r="M336" s="706">
        <f t="shared" si="299"/>
        <v>5.4864300626304763</v>
      </c>
      <c r="N336" s="706">
        <f t="shared" si="299"/>
        <v>55.066497783407243</v>
      </c>
      <c r="O336" s="706">
        <f t="shared" si="299"/>
        <v>-24.377169695732093</v>
      </c>
      <c r="P336" s="706">
        <f t="shared" si="299"/>
        <v>24.978059812327015</v>
      </c>
      <c r="Q336" s="706">
        <f t="shared" si="299"/>
        <v>6.8330362448009607</v>
      </c>
      <c r="R336" s="706">
        <f t="shared" si="299"/>
        <v>79.664273435129914</v>
      </c>
      <c r="S336" s="706">
        <f t="shared" si="299"/>
        <v>9.5514155456745584</v>
      </c>
      <c r="T336" s="706">
        <f t="shared" si="299"/>
        <v>19.746711878339497</v>
      </c>
      <c r="U336" s="706">
        <f t="shared" si="299"/>
        <v>-10.155529336050616</v>
      </c>
      <c r="V336" s="706">
        <f t="shared" si="299"/>
        <v>-4.0591198872997332</v>
      </c>
      <c r="W336" s="706">
        <f t="shared" si="299"/>
        <v>10.318309648838998</v>
      </c>
      <c r="X336" s="706">
        <f t="shared" si="299"/>
        <v>-9.817943916800143</v>
      </c>
      <c r="Y336" s="706">
        <f t="shared" si="299"/>
        <v>8.6228893058161393</v>
      </c>
      <c r="Z336" s="706">
        <f t="shared" si="299"/>
        <v>6.8237299064989987</v>
      </c>
      <c r="AA336" s="706">
        <f t="shared" si="299"/>
        <v>7.6490244691171716</v>
      </c>
      <c r="AB336" s="706">
        <f t="shared" si="299"/>
        <v>-1.0834518254460912</v>
      </c>
      <c r="AC336" s="2215">
        <v>5</v>
      </c>
      <c r="AD336" s="2215">
        <v>5</v>
      </c>
      <c r="AE336" s="2215">
        <v>5</v>
      </c>
    </row>
    <row r="337" spans="1:31" ht="12.75" customHeight="1">
      <c r="A337" s="664"/>
      <c r="B337" s="664"/>
      <c r="C337" s="795" t="s">
        <v>1767</v>
      </c>
      <c r="D337" s="674" t="s">
        <v>687</v>
      </c>
      <c r="E337" s="783" t="s">
        <v>1341</v>
      </c>
      <c r="F337" s="704" t="s">
        <v>318</v>
      </c>
      <c r="G337" s="706"/>
      <c r="H337" s="706">
        <f t="shared" ref="H337:AB337" si="300">(H327/G327-1)*100</f>
        <v>-3.169014084507038</v>
      </c>
      <c r="I337" s="706">
        <f t="shared" si="300"/>
        <v>4066.3636363636365</v>
      </c>
      <c r="J337" s="706">
        <f t="shared" si="300"/>
        <v>-63.840279293039494</v>
      </c>
      <c r="K337" s="706">
        <f t="shared" si="295"/>
        <v>-22.725078445570844</v>
      </c>
      <c r="L337" s="706">
        <f t="shared" si="300"/>
        <v>-79.306575042948623</v>
      </c>
      <c r="M337" s="706">
        <f t="shared" si="300"/>
        <v>295.24528301886789</v>
      </c>
      <c r="N337" s="706">
        <f t="shared" si="300"/>
        <v>-65.457322894787097</v>
      </c>
      <c r="O337" s="706">
        <f t="shared" si="300"/>
        <v>49.530127142067457</v>
      </c>
      <c r="P337" s="706">
        <f t="shared" si="300"/>
        <v>386.32162661737522</v>
      </c>
      <c r="Q337" s="706">
        <f t="shared" si="300"/>
        <v>186.03572786012919</v>
      </c>
      <c r="R337" s="706">
        <f t="shared" si="300"/>
        <v>-19.926650366748156</v>
      </c>
      <c r="S337" s="706">
        <f t="shared" si="300"/>
        <v>26.322602057749744</v>
      </c>
      <c r="T337" s="706">
        <f t="shared" si="300"/>
        <v>25.81119781403536</v>
      </c>
      <c r="U337" s="706">
        <f t="shared" si="300"/>
        <v>-6.4550485538268809</v>
      </c>
      <c r="V337" s="706">
        <f t="shared" si="300"/>
        <v>-22.614635888735101</v>
      </c>
      <c r="W337" s="706">
        <f t="shared" si="300"/>
        <v>43.794714978075234</v>
      </c>
      <c r="X337" s="706">
        <f t="shared" si="300"/>
        <v>-6.5663557026782948</v>
      </c>
      <c r="Y337" s="706">
        <f t="shared" si="300"/>
        <v>19.020012024392319</v>
      </c>
      <c r="Z337" s="706">
        <f t="shared" si="300"/>
        <v>-7.0178603644235888</v>
      </c>
      <c r="AA337" s="706">
        <f t="shared" si="300"/>
        <v>7.506790842064448</v>
      </c>
      <c r="AB337" s="706">
        <f t="shared" si="300"/>
        <v>15.981158295583731</v>
      </c>
      <c r="AC337" s="2215">
        <v>5</v>
      </c>
      <c r="AD337" s="2215">
        <v>4.5</v>
      </c>
      <c r="AE337" s="2215">
        <v>5</v>
      </c>
    </row>
    <row r="338" spans="1:31" ht="12.75" customHeight="1">
      <c r="A338" s="664"/>
      <c r="B338" s="664"/>
      <c r="C338" s="796" t="s">
        <v>401</v>
      </c>
      <c r="D338" s="691" t="s">
        <v>687</v>
      </c>
      <c r="E338" s="797" t="s">
        <v>1336</v>
      </c>
      <c r="F338" s="736" t="s">
        <v>317</v>
      </c>
      <c r="G338" s="741"/>
      <c r="H338" s="741">
        <f t="shared" ref="H338:AB338" si="301">(H328/G328-1)*100</f>
        <v>45.90382351118545</v>
      </c>
      <c r="I338" s="741">
        <f t="shared" si="301"/>
        <v>31.87793327528723</v>
      </c>
      <c r="J338" s="741">
        <f t="shared" si="301"/>
        <v>-39.539452495974238</v>
      </c>
      <c r="K338" s="741">
        <f t="shared" si="295"/>
        <v>-37.836254194854305</v>
      </c>
      <c r="L338" s="741">
        <f t="shared" si="301"/>
        <v>34.160239931448167</v>
      </c>
      <c r="M338" s="741">
        <f t="shared" si="301"/>
        <v>-26.576821128604735</v>
      </c>
      <c r="N338" s="741">
        <f t="shared" si="301"/>
        <v>-13.461789395850554</v>
      </c>
      <c r="O338" s="741">
        <f t="shared" si="301"/>
        <v>-24.396863691194216</v>
      </c>
      <c r="P338" s="741">
        <f t="shared" si="301"/>
        <v>-5.6043079377742222</v>
      </c>
      <c r="Q338" s="741">
        <f t="shared" si="301"/>
        <v>70.195084160856382</v>
      </c>
      <c r="R338" s="741">
        <f t="shared" si="301"/>
        <v>-13.117603244227416</v>
      </c>
      <c r="S338" s="741">
        <f t="shared" si="301"/>
        <v>17.550962088016764</v>
      </c>
      <c r="T338" s="741">
        <f t="shared" si="301"/>
        <v>17.45472225598639</v>
      </c>
      <c r="U338" s="741">
        <f t="shared" si="301"/>
        <v>-6.3575839111387094</v>
      </c>
      <c r="V338" s="741">
        <f t="shared" si="301"/>
        <v>47.837618802033454</v>
      </c>
      <c r="W338" s="741">
        <f t="shared" si="301"/>
        <v>24.773248280673755</v>
      </c>
      <c r="X338" s="741">
        <f t="shared" si="301"/>
        <v>-4.7509685665215411</v>
      </c>
      <c r="Y338" s="741">
        <f t="shared" si="301"/>
        <v>-2.371317748191637</v>
      </c>
      <c r="Z338" s="741">
        <f t="shared" si="301"/>
        <v>-1.1468086934112165</v>
      </c>
      <c r="AA338" s="741">
        <f t="shared" si="301"/>
        <v>14.145122746035188</v>
      </c>
      <c r="AB338" s="741">
        <f t="shared" si="301"/>
        <v>-13.111665175767484</v>
      </c>
      <c r="AC338" s="3078">
        <v>7.54</v>
      </c>
      <c r="AD338" s="3078">
        <v>8.5</v>
      </c>
      <c r="AE338" s="3078">
        <v>8.5</v>
      </c>
    </row>
    <row r="339" spans="1:31" ht="12.75" customHeight="1">
      <c r="A339" s="664"/>
      <c r="B339" s="664"/>
      <c r="C339" s="774" t="s">
        <v>1769</v>
      </c>
      <c r="D339" s="717" t="s">
        <v>688</v>
      </c>
      <c r="E339" s="722" t="s">
        <v>0</v>
      </c>
      <c r="F339" s="723" t="s">
        <v>1</v>
      </c>
      <c r="G339" s="721"/>
      <c r="H339" s="721">
        <f t="shared" ref="H339:U339" si="302">(H329/G329-1)*100</f>
        <v>31.578947368421041</v>
      </c>
      <c r="I339" s="721">
        <f t="shared" si="302"/>
        <v>59.999999999999943</v>
      </c>
      <c r="J339" s="721">
        <f t="shared" si="302"/>
        <v>2.1739130434782927</v>
      </c>
      <c r="K339" s="721">
        <f t="shared" si="295"/>
        <v>-30.638297872340438</v>
      </c>
      <c r="L339" s="721">
        <f t="shared" si="302"/>
        <v>34.815950920245385</v>
      </c>
      <c r="M339" s="721">
        <f t="shared" si="302"/>
        <v>7.7360637087599438</v>
      </c>
      <c r="N339" s="721">
        <f t="shared" si="302"/>
        <v>-23.653643083421315</v>
      </c>
      <c r="O339" s="721">
        <f t="shared" si="302"/>
        <v>7.3305670816044222</v>
      </c>
      <c r="P339" s="721">
        <f t="shared" si="302"/>
        <v>16.365979381443307</v>
      </c>
      <c r="Q339" s="721">
        <f t="shared" si="302"/>
        <v>10.887264673311181</v>
      </c>
      <c r="R339" s="721">
        <f t="shared" si="302"/>
        <v>53.793103448275879</v>
      </c>
      <c r="S339" s="721">
        <f t="shared" si="302"/>
        <v>22.197309417040366</v>
      </c>
      <c r="T339" s="721">
        <f t="shared" si="302"/>
        <v>8.2568807339449499</v>
      </c>
      <c r="U339" s="721">
        <f t="shared" si="302"/>
        <v>-14.915254237288133</v>
      </c>
      <c r="V339" s="2220">
        <f t="shared" ref="V339:AE339" si="303">(V329/U329-1)*100</f>
        <v>95.617529880478088</v>
      </c>
      <c r="W339" s="2220">
        <f t="shared" si="303"/>
        <v>-21.486761710794291</v>
      </c>
      <c r="X339" s="2220">
        <f t="shared" si="303"/>
        <v>-49.156939040207526</v>
      </c>
      <c r="Y339" s="2220">
        <f t="shared" si="303"/>
        <v>148.97959183673467</v>
      </c>
      <c r="Z339" s="2220">
        <f t="shared" si="303"/>
        <v>18.75</v>
      </c>
      <c r="AA339" s="2220">
        <f t="shared" si="303"/>
        <v>-19.154443485763583</v>
      </c>
      <c r="AB339" s="2220">
        <f t="shared" si="303"/>
        <v>-18.134471718249767</v>
      </c>
      <c r="AC339" s="2220">
        <f t="shared" si="303"/>
        <v>3.7047515252646601</v>
      </c>
      <c r="AD339" s="2220">
        <f t="shared" si="303"/>
        <v>4.6394386599450943</v>
      </c>
      <c r="AE339" s="2220">
        <f t="shared" si="303"/>
        <v>4.1792342246264713</v>
      </c>
    </row>
    <row r="340" spans="1:31" ht="12.75" customHeight="1">
      <c r="A340" s="664"/>
      <c r="B340" s="664"/>
      <c r="C340" s="774"/>
      <c r="E340" s="786"/>
      <c r="F340" s="787"/>
      <c r="G340" s="703"/>
      <c r="H340" s="788"/>
      <c r="I340" s="703"/>
      <c r="J340" s="703"/>
      <c r="K340" s="703"/>
      <c r="L340" s="703"/>
      <c r="M340" s="703"/>
      <c r="N340" s="703"/>
      <c r="O340" s="703"/>
      <c r="P340" s="703"/>
      <c r="Q340" s="845"/>
      <c r="R340" s="845"/>
      <c r="S340" s="845"/>
      <c r="T340" s="2254"/>
      <c r="U340" s="2254"/>
      <c r="V340" s="2254"/>
      <c r="W340" s="2254"/>
      <c r="X340" s="2254"/>
      <c r="Y340" s="2254"/>
      <c r="Z340" s="2254"/>
      <c r="AA340" s="2254"/>
      <c r="AB340" s="2254"/>
      <c r="AC340" s="2254"/>
      <c r="AD340" s="2254"/>
      <c r="AE340" s="2254"/>
    </row>
    <row r="341" spans="1:31" ht="12.75" customHeight="1">
      <c r="A341" s="664"/>
      <c r="B341" s="664"/>
      <c r="C341" s="774"/>
      <c r="D341" s="818"/>
      <c r="E341" s="819" t="s">
        <v>512</v>
      </c>
      <c r="F341" s="820"/>
      <c r="G341" s="821">
        <f>+InputY!$G$3</f>
        <v>1995</v>
      </c>
      <c r="H341" s="821">
        <f>+G341+1</f>
        <v>1996</v>
      </c>
      <c r="I341" s="821">
        <f t="shared" ref="I341:O341" si="304">+H341+1</f>
        <v>1997</v>
      </c>
      <c r="J341" s="821">
        <f t="shared" si="304"/>
        <v>1998</v>
      </c>
      <c r="K341" s="821">
        <f>+J341+1</f>
        <v>1999</v>
      </c>
      <c r="L341" s="821">
        <f t="shared" si="304"/>
        <v>2000</v>
      </c>
      <c r="M341" s="821">
        <f t="shared" si="304"/>
        <v>2001</v>
      </c>
      <c r="N341" s="821">
        <f t="shared" si="304"/>
        <v>2002</v>
      </c>
      <c r="O341" s="821">
        <f t="shared" si="304"/>
        <v>2003</v>
      </c>
      <c r="P341" s="821">
        <f t="shared" ref="P341:V341" si="305">+O341+1</f>
        <v>2004</v>
      </c>
      <c r="Q341" s="821">
        <f t="shared" si="305"/>
        <v>2005</v>
      </c>
      <c r="R341" s="821">
        <f t="shared" si="305"/>
        <v>2006</v>
      </c>
      <c r="S341" s="821">
        <f>+R341+1</f>
        <v>2007</v>
      </c>
      <c r="T341" s="821">
        <f t="shared" si="305"/>
        <v>2008</v>
      </c>
      <c r="U341" s="821">
        <f t="shared" si="305"/>
        <v>2009</v>
      </c>
      <c r="V341" s="821">
        <f t="shared" si="305"/>
        <v>2010</v>
      </c>
      <c r="W341" s="821">
        <f t="shared" ref="W341:AE341" si="306">+V341+1</f>
        <v>2011</v>
      </c>
      <c r="X341" s="821">
        <f t="shared" si="306"/>
        <v>2012</v>
      </c>
      <c r="Y341" s="821">
        <f t="shared" si="306"/>
        <v>2013</v>
      </c>
      <c r="Z341" s="821">
        <f t="shared" si="306"/>
        <v>2014</v>
      </c>
      <c r="AA341" s="821">
        <f t="shared" si="306"/>
        <v>2015</v>
      </c>
      <c r="AB341" s="821">
        <f t="shared" si="306"/>
        <v>2016</v>
      </c>
      <c r="AC341" s="821">
        <f t="shared" si="306"/>
        <v>2017</v>
      </c>
      <c r="AD341" s="821">
        <f t="shared" si="306"/>
        <v>2018</v>
      </c>
      <c r="AE341" s="821">
        <f t="shared" si="306"/>
        <v>2019</v>
      </c>
    </row>
    <row r="342" spans="1:31" ht="12.75" customHeight="1">
      <c r="A342" s="664"/>
      <c r="B342" s="664"/>
      <c r="C342" s="822" t="s">
        <v>1767</v>
      </c>
      <c r="D342" s="823" t="s">
        <v>685</v>
      </c>
      <c r="E342" s="824" t="s">
        <v>1341</v>
      </c>
      <c r="F342" s="825" t="s">
        <v>15</v>
      </c>
      <c r="G342" s="838">
        <f>+G323/'VVP2'!G$341</f>
        <v>4.6171500399895425E-3</v>
      </c>
      <c r="H342" s="838">
        <f>+H323/'VVP2'!H$341</f>
        <v>4.7899198591745034E-3</v>
      </c>
      <c r="I342" s="838">
        <f>+I323/'VVP2'!I$341</f>
        <v>1.6794122313068371E-3</v>
      </c>
      <c r="J342" s="838">
        <f>+J323/'VVP2'!J$341</f>
        <v>1.9628381595397314E-3</v>
      </c>
      <c r="K342" s="838">
        <f>+K323/'VVP2'!K$341</f>
        <v>3.0884009540531523E-3</v>
      </c>
      <c r="L342" s="838">
        <f>+L323/'VVP2'!L$341</f>
        <v>2.7543016326829826E-3</v>
      </c>
      <c r="M342" s="838">
        <f>+M323/'VVP2'!M$341</f>
        <v>2.9440939179345266E-3</v>
      </c>
      <c r="N342" s="838">
        <f>+N323/'VVP2'!N$341</f>
        <v>5.9511240829434216E-3</v>
      </c>
      <c r="O342" s="838">
        <f>+O323/'VVP2'!O$341</f>
        <v>4.5337067327074817E-3</v>
      </c>
      <c r="P342" s="838">
        <f>+P323/'VVP2'!P$341</f>
        <v>3.0738491434236302E-3</v>
      </c>
      <c r="Q342" s="838">
        <f>+Q323/'VVP2'!Q$341</f>
        <v>3.8214771204174778E-3</v>
      </c>
      <c r="R342" s="838">
        <f>+R323/'VVP2'!R$341</f>
        <v>4.9810666310065371E-3</v>
      </c>
      <c r="S342" s="838">
        <f>+S323/'VVP2'!S$341</f>
        <v>4.7388730145940207E-3</v>
      </c>
      <c r="T342" s="2909">
        <f>+T323/'VVP2'!T$341</f>
        <v>3.6117258599449231E-3</v>
      </c>
      <c r="U342" s="2909">
        <f>+U323/'VVP2'!U$341</f>
        <v>4.0501477269942777E-3</v>
      </c>
      <c r="V342" s="2909">
        <f>+V323/'VVP2'!V$341</f>
        <v>4.0442191749150659E-3</v>
      </c>
      <c r="W342" s="2909">
        <f>+W323/'VVP2'!W$341</f>
        <v>4.4031523898076822E-3</v>
      </c>
      <c r="X342" s="2909">
        <f>+X323/'VVP2'!X$341</f>
        <v>4.1258252250177515E-3</v>
      </c>
      <c r="Y342" s="2909">
        <f>+Y323/'VVP2'!Y$341</f>
        <v>3.9362522222047419E-3</v>
      </c>
      <c r="Z342" s="2909">
        <f>+Z323/'VVP2'!Z$341</f>
        <v>3.8415807360914975E-3</v>
      </c>
      <c r="AA342" s="2909">
        <f>+AA323/'VVP2'!AA$341</f>
        <v>4.0538002239583005E-3</v>
      </c>
      <c r="AB342" s="2909">
        <f>+AB323/'VVP2'!AB$341</f>
        <v>4.432051870885521E-3</v>
      </c>
      <c r="AC342" s="2909">
        <f ca="1">+AC323/'VVP2'!AC$341</f>
        <v>4.225062508495467E-3</v>
      </c>
      <c r="AD342" s="2909">
        <f ca="1">+AD323/'VVP2'!AD$341</f>
        <v>4.1124323262726565E-3</v>
      </c>
      <c r="AE342" s="2909">
        <f ca="1">+AE323/'VVP2'!AE$341</f>
        <v>4.0121379434912494E-3</v>
      </c>
    </row>
    <row r="343" spans="1:31" ht="12.75" customHeight="1">
      <c r="A343" s="664"/>
      <c r="B343" s="664"/>
      <c r="C343" s="826" t="s">
        <v>401</v>
      </c>
      <c r="D343" s="674" t="s">
        <v>685</v>
      </c>
      <c r="E343" s="783" t="s">
        <v>1336</v>
      </c>
      <c r="F343" s="704" t="s">
        <v>13</v>
      </c>
      <c r="G343" s="839">
        <f>+G324/'VVP2'!G$341</f>
        <v>1.4765864772239918E-2</v>
      </c>
      <c r="H343" s="839">
        <f>+H324/'VVP2'!H$341</f>
        <v>9.3111594941399922E-3</v>
      </c>
      <c r="I343" s="839">
        <f>+I324/'VVP2'!I$341</f>
        <v>1.2750397890201071E-2</v>
      </c>
      <c r="J343" s="839">
        <f>+J324/'VVP2'!J$341</f>
        <v>1.4128441494214387E-2</v>
      </c>
      <c r="K343" s="839">
        <f>+K324/'VVP2'!K$341</f>
        <v>1.3900950906539292E-2</v>
      </c>
      <c r="L343" s="839">
        <f>+L324/'VVP2'!L$341</f>
        <v>9.5435579113985602E-3</v>
      </c>
      <c r="M343" s="839">
        <f>+M324/'VVP2'!M$341</f>
        <v>1.7830824853535026E-2</v>
      </c>
      <c r="N343" s="839">
        <f>+N324/'VVP2'!N$341</f>
        <v>1.31139172894396E-2</v>
      </c>
      <c r="O343" s="839">
        <f>+O324/'VVP2'!O$341</f>
        <v>1.2691619151836283E-2</v>
      </c>
      <c r="P343" s="839">
        <f>+P324/'VVP2'!P$341</f>
        <v>1.9488181636739682E-2</v>
      </c>
      <c r="Q343" s="839">
        <f>+Q324/'VVP2'!Q$341</f>
        <v>3.0147102586139167E-2</v>
      </c>
      <c r="R343" s="839">
        <f>+R324/'VVP2'!R$341</f>
        <v>2.6210194865439771E-2</v>
      </c>
      <c r="S343" s="839">
        <f>+S324/'VVP2'!S$341</f>
        <v>2.8610231310169952E-2</v>
      </c>
      <c r="T343" s="2910">
        <f>+T324/'VVP2'!T$341</f>
        <v>3.7395691497626032E-2</v>
      </c>
      <c r="U343" s="2910">
        <f>+U324/'VVP2'!U$341</f>
        <v>4.0193325962453064E-2</v>
      </c>
      <c r="V343" s="2910">
        <f>+V324/'VVP2'!V$341</f>
        <v>4.5753373631619618E-2</v>
      </c>
      <c r="W343" s="2910">
        <f>+W324/'VVP2'!W$341</f>
        <v>3.7751172490001705E-2</v>
      </c>
      <c r="X343" s="2910">
        <f>+X324/'VVP2'!X$341</f>
        <v>2.4249980808720518E-2</v>
      </c>
      <c r="Y343" s="2910">
        <f>+Y324/'VVP2'!Y$341</f>
        <v>4.2377426547462571E-2</v>
      </c>
      <c r="Z343" s="2910">
        <f>+Z324/'VVP2'!Z$341</f>
        <v>4.418392114696125E-2</v>
      </c>
      <c r="AA343" s="2910">
        <f>+AA324/'VVP2'!AA$341</f>
        <v>3.7321039762885283E-2</v>
      </c>
      <c r="AB343" s="2910">
        <f>+AB324/'VVP2'!AB$341</f>
        <v>3.7824761975694829E-2</v>
      </c>
      <c r="AC343" s="2910">
        <f ca="1">+AC324/'VVP2'!AC$341</f>
        <v>3.675839854252471E-2</v>
      </c>
      <c r="AD343" s="2910">
        <f ca="1">+AD324/'VVP2'!AD$341</f>
        <v>3.6473234782803447E-2</v>
      </c>
      <c r="AE343" s="2910">
        <f ca="1">+AE324/'VVP2'!AE$341</f>
        <v>3.6274668195098558E-2</v>
      </c>
    </row>
    <row r="344" spans="1:31" ht="12.75" customHeight="1">
      <c r="A344" s="664"/>
      <c r="B344" s="664"/>
      <c r="C344" s="826" t="s">
        <v>1767</v>
      </c>
      <c r="D344" s="674" t="s">
        <v>686</v>
      </c>
      <c r="E344" s="783" t="s">
        <v>1341</v>
      </c>
      <c r="F344" s="704" t="s">
        <v>1554</v>
      </c>
      <c r="G344" s="839">
        <f>+G325/'VVP2'!G$341</f>
        <v>3.7474257939630606E-2</v>
      </c>
      <c r="H344" s="839">
        <f>+H325/'VVP2'!H$341</f>
        <v>3.7160225032555602E-2</v>
      </c>
      <c r="I344" s="839">
        <f>+I325/'VVP2'!I$341</f>
        <v>3.1479810377385849E-2</v>
      </c>
      <c r="J344" s="839">
        <f>+J325/'VVP2'!J$341</f>
        <v>2.3718395694657335E-2</v>
      </c>
      <c r="K344" s="839">
        <f>+K325/'VVP2'!K$341</f>
        <v>2.1706911850775012E-2</v>
      </c>
      <c r="L344" s="839">
        <f>+L325/'VVP2'!L$341</f>
        <v>1.8878411272140259E-2</v>
      </c>
      <c r="M344" s="839">
        <f>+M325/'VVP2'!M$341</f>
        <v>1.7285543998669911E-2</v>
      </c>
      <c r="N344" s="839">
        <f>+N325/'VVP2'!N$341</f>
        <v>1.8330935649318487E-2</v>
      </c>
      <c r="O344" s="839">
        <f>+O325/'VVP2'!O$341</f>
        <v>1.1168984814452186E-2</v>
      </c>
      <c r="P344" s="839">
        <f>+P325/'VVP2'!P$341</f>
        <v>1.2697310848066535E-2</v>
      </c>
      <c r="Q344" s="839">
        <f>+Q325/'VVP2'!Q$341</f>
        <v>1.5518263432425421E-2</v>
      </c>
      <c r="R344" s="839">
        <f>+R325/'VVP2'!R$341</f>
        <v>1.3701047959274362E-2</v>
      </c>
      <c r="S344" s="839">
        <f>+S325/'VVP2'!S$341</f>
        <v>1.3881915906869886E-2</v>
      </c>
      <c r="T344" s="2910">
        <f>+T325/'VVP2'!T$341</f>
        <v>2.4203670876319874E-2</v>
      </c>
      <c r="U344" s="2910">
        <f>+U325/'VVP2'!U$341</f>
        <v>2.6486904311964959E-2</v>
      </c>
      <c r="V344" s="2910">
        <f>+V325/'VVP2'!V$341</f>
        <v>2.2944833782056726E-2</v>
      </c>
      <c r="W344" s="2910">
        <f>+W325/'VVP2'!W$341</f>
        <v>2.2948765991842767E-2</v>
      </c>
      <c r="X344" s="2910">
        <f>+X325/'VVP2'!X$341</f>
        <v>2.0689398737213809E-2</v>
      </c>
      <c r="Y344" s="2910">
        <f>+Y325/'VVP2'!Y$341</f>
        <v>2.0415250152676014E-2</v>
      </c>
      <c r="Z344" s="2910">
        <f>+Z325/'VVP2'!Z$341</f>
        <v>1.982264410576598E-2</v>
      </c>
      <c r="AA344" s="2910">
        <f>+AA325/'VVP2'!AA$341</f>
        <v>2.0809258439383103E-2</v>
      </c>
      <c r="AB344" s="2910">
        <f>+AB325/'VVP2'!AB$341</f>
        <v>2.1515286932558747E-2</v>
      </c>
      <c r="AC344" s="2910">
        <f ca="1">+AC325/'VVP2'!AC$341</f>
        <v>2.1506115660386332E-2</v>
      </c>
      <c r="AD344" s="2910">
        <f ca="1">+AD325/'VVP2'!AD$341</f>
        <v>2.1948969430162595E-2</v>
      </c>
      <c r="AE344" s="2910">
        <f ca="1">+AE325/'VVP2'!AE$341</f>
        <v>2.2453174749423533E-2</v>
      </c>
    </row>
    <row r="345" spans="1:31" ht="12.75" customHeight="1">
      <c r="A345" s="664"/>
      <c r="B345" s="664"/>
      <c r="C345" s="826" t="s">
        <v>401</v>
      </c>
      <c r="D345" s="674" t="s">
        <v>686</v>
      </c>
      <c r="E345" s="783" t="s">
        <v>1336</v>
      </c>
      <c r="F345" s="704" t="s">
        <v>1553</v>
      </c>
      <c r="G345" s="839">
        <f>+G326/'VVP2'!G$341</f>
        <v>2.8050635389392535E-3</v>
      </c>
      <c r="H345" s="839">
        <f>+H326/'VVP2'!H$341</f>
        <v>1.8776732910239186E-3</v>
      </c>
      <c r="I345" s="839">
        <f>+I326/'VVP2'!I$341</f>
        <v>9.7173913414315867E-3</v>
      </c>
      <c r="J345" s="839">
        <f>+J326/'VVP2'!J$341</f>
        <v>9.9892796476106511E-3</v>
      </c>
      <c r="K345" s="839">
        <f>+K326/'VVP2'!K$341</f>
        <v>1.2410242855614501E-2</v>
      </c>
      <c r="L345" s="839">
        <f>+L326/'VVP2'!L$341</f>
        <v>8.9578386885873756E-3</v>
      </c>
      <c r="M345" s="839">
        <f>+M326/'VVP2'!M$341</f>
        <v>8.8992089905118293E-3</v>
      </c>
      <c r="N345" s="839">
        <f>+N326/'VVP2'!N$341</f>
        <v>1.2885002601602271E-2</v>
      </c>
      <c r="O345" s="839">
        <f>+O326/'VVP2'!O$341</f>
        <v>8.8868331125573526E-3</v>
      </c>
      <c r="P345" s="839">
        <f>+P326/'VVP2'!P$341</f>
        <v>1.0150939920121595E-2</v>
      </c>
      <c r="Q345" s="839">
        <f>+Q326/'VVP2'!Q$341</f>
        <v>9.4170414263165803E-3</v>
      </c>
      <c r="R345" s="839">
        <f>+R326/'VVP2'!R$341</f>
        <v>1.4757147045705044E-2</v>
      </c>
      <c r="S345" s="839">
        <f>+S326/'VVP2'!S$341</f>
        <v>1.3404654026458076E-2</v>
      </c>
      <c r="T345" s="2910">
        <f>+T326/'VVP2'!T$341</f>
        <v>1.4256973576198881E-2</v>
      </c>
      <c r="U345" s="2910">
        <f>+U326/'VVP2'!U$341</f>
        <v>1.5549017962622362E-2</v>
      </c>
      <c r="V345" s="2910">
        <f>+V326/'VVP2'!V$341</f>
        <v>1.4336195030195171E-2</v>
      </c>
      <c r="W345" s="2910">
        <f>+W326/'VVP2'!W$341</f>
        <v>1.4173156341805614E-2</v>
      </c>
      <c r="X345" s="2910">
        <f>+X326/'VVP2'!X$341</f>
        <v>1.1987053083079048E-2</v>
      </c>
      <c r="Y345" s="2910">
        <f>+Y326/'VVP2'!Y$341</f>
        <v>1.2420604897360243E-2</v>
      </c>
      <c r="Z345" s="2910">
        <f>+Z326/'VVP2'!Z$341</f>
        <v>1.2684490492853369E-2</v>
      </c>
      <c r="AA345" s="2910">
        <f>+AA326/'VVP2'!AA$341</f>
        <v>1.3341577022337849E-2</v>
      </c>
      <c r="AB345" s="2910">
        <f>+AB326/'VVP2'!AB$341</f>
        <v>1.277324693702752E-2</v>
      </c>
      <c r="AC345" s="2910">
        <f ca="1">+AC326/'VVP2'!AC$341</f>
        <v>1.2413140944417421E-2</v>
      </c>
      <c r="AD345" s="2910">
        <f ca="1">+AD326/'VVP2'!AD$341</f>
        <v>1.2316842463471225E-2</v>
      </c>
      <c r="AE345" s="2910">
        <f ca="1">+AE326/'VVP2'!AE$341</f>
        <v>1.2249787446447528E-2</v>
      </c>
    </row>
    <row r="346" spans="1:31" ht="12.75" customHeight="1">
      <c r="A346" s="664"/>
      <c r="B346" s="664"/>
      <c r="C346" s="826" t="s">
        <v>1767</v>
      </c>
      <c r="D346" s="674" t="s">
        <v>687</v>
      </c>
      <c r="E346" s="783" t="s">
        <v>1341</v>
      </c>
      <c r="F346" s="704" t="s">
        <v>318</v>
      </c>
      <c r="G346" s="839">
        <f>+G327/'VVP2'!G$341</f>
        <v>7.3153172181703204E-4</v>
      </c>
      <c r="H346" s="839">
        <f>+H327/'VVP2'!H$341</f>
        <v>5.6618438051708069E-4</v>
      </c>
      <c r="I346" s="839">
        <f>+I327/'VVP2'!I$341</f>
        <v>1.9544810198271288E-2</v>
      </c>
      <c r="J346" s="839">
        <f>+J327/'VVP2'!J$341</f>
        <v>6.3630974139069693E-3</v>
      </c>
      <c r="K346" s="839">
        <f>+K327/'VVP2'!K$341</f>
        <v>5.0369412401432339E-3</v>
      </c>
      <c r="L346" s="839">
        <f>+L327/'VVP2'!L$341</f>
        <v>9.9115960437396854E-4</v>
      </c>
      <c r="M346" s="839">
        <f>+M327/'VVP2'!M$341</f>
        <v>3.689451985695888E-3</v>
      </c>
      <c r="N346" s="839">
        <f>+N327/'VVP2'!N$341</f>
        <v>1.1899616962578368E-3</v>
      </c>
      <c r="O346" s="839">
        <f>+O327/'VVP2'!O$341</f>
        <v>1.6228234368100753E-3</v>
      </c>
      <c r="P346" s="839">
        <f>+P327/'VVP2'!P$341</f>
        <v>7.2130726867174191E-3</v>
      </c>
      <c r="Q346" s="839">
        <f>+Q327/'VVP2'!Q$341</f>
        <v>1.7916090342271221E-2</v>
      </c>
      <c r="R346" s="839">
        <f>+R327/'VVP2'!R$341</f>
        <v>1.2512884574973068E-2</v>
      </c>
      <c r="S346" s="839">
        <f>+S327/'VVP2'!S$341</f>
        <v>1.31061070926074E-2</v>
      </c>
      <c r="T346" s="2910">
        <f>+T327/'VVP2'!T$341</f>
        <v>1.4645396968707142E-2</v>
      </c>
      <c r="U346" s="2910">
        <f>+U327/'VVP2'!U$341</f>
        <v>1.6630517671920586E-2</v>
      </c>
      <c r="V346" s="2910">
        <f>+V327/'VVP2'!V$341</f>
        <v>1.2367782397817013E-2</v>
      </c>
      <c r="W346" s="2910">
        <f>+W327/'VVP2'!W$341</f>
        <v>1.5937486810686508E-2</v>
      </c>
      <c r="X346" s="2910">
        <f>+X327/'VVP2'!X$341</f>
        <v>1.3965254188496748E-2</v>
      </c>
      <c r="Y346" s="2910">
        <f>+Y327/'VVP2'!Y$341</f>
        <v>1.5855421893525817E-2</v>
      </c>
      <c r="Z346" s="2910">
        <f>+Z327/'VVP2'!Z$341</f>
        <v>1.4094182170996283E-2</v>
      </c>
      <c r="AA346" s="2910">
        <f>+AA327/'VVP2'!AA$341</f>
        <v>1.4804707132171468E-2</v>
      </c>
      <c r="AB346" s="2910">
        <f>+AB327/'VVP2'!AB$341</f>
        <v>1.6619289382109177E-2</v>
      </c>
      <c r="AC346" s="2910">
        <f ca="1">+AC327/'VVP2'!AC$341</f>
        <v>1.6150754973518811E-2</v>
      </c>
      <c r="AD346" s="2910">
        <f ca="1">+AD327/'VVP2'!AD$341</f>
        <v>1.5949149167317975E-2</v>
      </c>
      <c r="AE346" s="2910">
        <f ca="1">+AE327/'VVP2'!AE$341</f>
        <v>1.5862319245436633E-2</v>
      </c>
    </row>
    <row r="347" spans="1:31" ht="12.75" customHeight="1">
      <c r="A347" s="664"/>
      <c r="B347" s="664"/>
      <c r="C347" s="827" t="s">
        <v>401</v>
      </c>
      <c r="D347" s="828" t="s">
        <v>687</v>
      </c>
      <c r="E347" s="829" t="s">
        <v>1336</v>
      </c>
      <c r="F347" s="830" t="s">
        <v>317</v>
      </c>
      <c r="G347" s="840">
        <f>+G328/'VVP2'!G$341</f>
        <v>4.1565941531554393E-2</v>
      </c>
      <c r="H347" s="840">
        <f>+H328/'VVP2'!H$341</f>
        <v>4.8474647807579659E-2</v>
      </c>
      <c r="I347" s="840">
        <f>+I328/'VVP2'!I$341</f>
        <v>5.2966734161581805E-2</v>
      </c>
      <c r="J347" s="840">
        <f>+J328/'VVP2'!J$341</f>
        <v>2.8832833152612966E-2</v>
      </c>
      <c r="K347" s="840">
        <f>+K328/'VVP2'!K$341</f>
        <v>1.8360488606113241E-2</v>
      </c>
      <c r="L347" s="840">
        <f>+L328/'VVP2'!L$341</f>
        <v>2.3423532597556286E-2</v>
      </c>
      <c r="M347" s="840">
        <f>+M328/'VVP2'!M$341</f>
        <v>1.6197095780625198E-2</v>
      </c>
      <c r="N347" s="840">
        <f>+N328/'VVP2'!N$341</f>
        <v>1.3087605256354849E-2</v>
      </c>
      <c r="O347" s="840">
        <f>+O328/'VVP2'!O$341</f>
        <v>9.0242181650636421E-3</v>
      </c>
      <c r="P347" s="840">
        <f>+P328/'VVP2'!P$341</f>
        <v>7.785512662767057E-3</v>
      </c>
      <c r="Q347" s="840">
        <f>+Q328/'VVP2'!Q$341</f>
        <v>1.150633143433949E-2</v>
      </c>
      <c r="R347" s="840">
        <f>+R328/'VVP2'!R$341</f>
        <v>8.7195660317336381E-3</v>
      </c>
      <c r="S347" s="840">
        <f>+S328/'VVP2'!S$341</f>
        <v>8.498773788199028E-3</v>
      </c>
      <c r="T347" s="2911">
        <f>+T328/'VVP2'!T$341</f>
        <v>8.8661462404897428E-3</v>
      </c>
      <c r="U347" s="2911">
        <f>+U328/'VVP2'!U$341</f>
        <v>1.0078404088091178E-2</v>
      </c>
      <c r="V347" s="2911">
        <f>+V328/'VVP2'!V$341</f>
        <v>1.4318712300634445E-2</v>
      </c>
      <c r="W347" s="2911">
        <f>+W328/'VVP2'!W$341</f>
        <v>1.6010707484367864E-2</v>
      </c>
      <c r="X347" s="2911">
        <f>+X328/'VVP2'!X$341</f>
        <v>1.4302001170668047E-2</v>
      </c>
      <c r="Y347" s="2911">
        <f>+Y328/'VVP2'!Y$341</f>
        <v>1.3319355313911894E-2</v>
      </c>
      <c r="Z347" s="2911">
        <f>+Z328/'VVP2'!Z$341</f>
        <v>1.2587411822486591E-2</v>
      </c>
      <c r="AA347" s="2911">
        <f>+AA328/'VVP2'!AA$341</f>
        <v>1.4038407432572704E-2</v>
      </c>
      <c r="AB347" s="2911">
        <f>+AB328/'VVP2'!AB$341</f>
        <v>1.1806046913856096E-2</v>
      </c>
      <c r="AC347" s="2911">
        <f ca="1">+AC328/'VVP2'!AC$341</f>
        <v>1.1750750797474287E-2</v>
      </c>
      <c r="AD347" s="2911">
        <f ca="1">+AD328/'VVP2'!AD$341</f>
        <v>1.204824403023152E-2</v>
      </c>
      <c r="AE347" s="2911">
        <f ca="1">+AE328/'VVP2'!AE$341</f>
        <v>1.2382073019770337E-2</v>
      </c>
    </row>
    <row r="348" spans="1:31" ht="12.75" customHeight="1">
      <c r="A348" s="664"/>
      <c r="B348" s="664"/>
      <c r="C348" s="774" t="s">
        <v>1769</v>
      </c>
      <c r="D348" s="806" t="s">
        <v>688</v>
      </c>
      <c r="E348" s="807" t="s">
        <v>0</v>
      </c>
      <c r="F348" s="808" t="s">
        <v>1</v>
      </c>
      <c r="G348" s="841">
        <f>+G329/'VVP2'!G$341</f>
        <v>-1.6300271632679983E-2</v>
      </c>
      <c r="H348" s="841">
        <f>+H329/'VVP2'!H$341</f>
        <v>-1.7143189126996874E-2</v>
      </c>
      <c r="I348" s="841">
        <f>+I329/'VVP2'!I$341</f>
        <v>-2.2726261525410098E-2</v>
      </c>
      <c r="J348" s="841">
        <f>+J329/'VVP2'!J$341</f>
        <v>-2.090643938574073E-2</v>
      </c>
      <c r="K348" s="841">
        <f>+K329/'VVP2'!K$341</f>
        <v>-1.4854551897507264E-2</v>
      </c>
      <c r="L348" s="841">
        <f>+L329/'VVP2'!L$341</f>
        <v>-1.9043429718395753E-2</v>
      </c>
      <c r="M348" s="841">
        <f>+M329/'VVP2'!M$341</f>
        <v>-1.9322256585871875E-2</v>
      </c>
      <c r="N348" s="841">
        <f>+N329/'VVP2'!N$341</f>
        <v>-1.3774038403813239E-2</v>
      </c>
      <c r="O348" s="841">
        <f>+O329/'VVP2'!O$341</f>
        <v>-1.3483241086391116E-2</v>
      </c>
      <c r="P348" s="841">
        <f>+P329/'VVP2'!P$341</f>
        <v>-1.4339888798474816E-2</v>
      </c>
      <c r="Q348" s="841">
        <f>+Q329/'VVP2'!Q$341</f>
        <v>-1.3807978630962725E-2</v>
      </c>
      <c r="R348" s="841">
        <f>+R329/'VVP2'!R$341</f>
        <v>-1.852222542461994E-2</v>
      </c>
      <c r="S348" s="841">
        <f>+S329/'VVP2'!S$341</f>
        <v>-1.8766791112874159E-2</v>
      </c>
      <c r="T348" s="2912">
        <f>+T329/'VVP2'!T$341</f>
        <v>-1.8044866266131804E-2</v>
      </c>
      <c r="U348" s="2912">
        <f>+U329/'VVP2'!U$341</f>
        <v>-1.863758510359453E-2</v>
      </c>
      <c r="V348" s="2912">
        <f>+V329/'VVP2'!V$341</f>
        <v>-3.5036817201293292E-2</v>
      </c>
      <c r="W348" s="2912">
        <f>+W329/'VVP2'!W$341</f>
        <v>-2.465202594250035E-2</v>
      </c>
      <c r="X348" s="2912">
        <f>+X329/'VVP2'!X$341</f>
        <v>-1.1754658683094402E-2</v>
      </c>
      <c r="Y348" s="2912">
        <f>+Y329/'VVP2'!Y$341</f>
        <v>-2.7917899635722894E-2</v>
      </c>
      <c r="Z348" s="2912">
        <f>+Z329/'VVP2'!Z$341</f>
        <v>-3.1694134916928005E-2</v>
      </c>
      <c r="AA348" s="2912">
        <f>+AA329/'VVP2'!AA$341</f>
        <v>-2.5035663128453258E-2</v>
      </c>
      <c r="AB348" s="2912">
        <f>+AB329/'VVP2'!AB$341</f>
        <v>-1.9837427641024998E-2</v>
      </c>
      <c r="AC348" s="2912">
        <f ca="1">+AC329/'VVP2'!AC$341</f>
        <v>-1.904035714201581E-2</v>
      </c>
      <c r="AD348" s="2912">
        <f ca="1">+AD329/'VVP2'!AD$341</f>
        <v>-1.8827770352752966E-2</v>
      </c>
      <c r="AE348" s="2912">
        <f ca="1">+AE329/'VVP2'!AE$341</f>
        <v>-1.8578896722965005E-2</v>
      </c>
    </row>
    <row r="349" spans="1:31" ht="30" customHeight="1">
      <c r="A349" s="664"/>
      <c r="B349" s="664"/>
      <c r="C349" s="774"/>
      <c r="AB349"/>
      <c r="AC349"/>
      <c r="AD349"/>
      <c r="AE349" s="3650"/>
    </row>
    <row r="350" spans="1:31" ht="30" customHeight="1">
      <c r="AB350" s="2221"/>
      <c r="AC350" s="2221"/>
      <c r="AD350" s="2221"/>
      <c r="AE350" s="2221"/>
    </row>
    <row r="351" spans="1:31" ht="22.5" customHeight="1">
      <c r="A351" s="574"/>
      <c r="B351" s="574"/>
      <c r="C351" s="3752" t="s">
        <v>1337</v>
      </c>
      <c r="D351" s="3752"/>
      <c r="E351" s="3752"/>
      <c r="F351" s="3752"/>
      <c r="AB351" s="2221"/>
      <c r="AC351" s="2221"/>
      <c r="AD351" s="2221"/>
      <c r="AE351" s="2221"/>
    </row>
    <row r="352" spans="1:31" ht="12.75" customHeight="1">
      <c r="A352" s="664"/>
      <c r="B352" s="664"/>
      <c r="C352" s="774"/>
      <c r="AB352" s="2221"/>
      <c r="AC352" s="2221"/>
      <c r="AD352" s="2221"/>
      <c r="AE352" s="2221"/>
    </row>
    <row r="353" spans="1:31" ht="12.75" customHeight="1">
      <c r="A353" s="664"/>
      <c r="B353" s="664"/>
      <c r="C353" s="774"/>
      <c r="D353" s="775"/>
      <c r="E353" s="776" t="s">
        <v>1384</v>
      </c>
      <c r="F353" s="777"/>
      <c r="G353" s="778">
        <f>+InputY!$G$3</f>
        <v>1995</v>
      </c>
      <c r="H353" s="778">
        <f>+G353+1</f>
        <v>1996</v>
      </c>
      <c r="I353" s="778">
        <f t="shared" ref="I353:O353" si="307">+H353+1</f>
        <v>1997</v>
      </c>
      <c r="J353" s="778">
        <f t="shared" si="307"/>
        <v>1998</v>
      </c>
      <c r="K353" s="778">
        <f>+J353+1</f>
        <v>1999</v>
      </c>
      <c r="L353" s="778">
        <f t="shared" si="307"/>
        <v>2000</v>
      </c>
      <c r="M353" s="778">
        <f t="shared" si="307"/>
        <v>2001</v>
      </c>
      <c r="N353" s="778">
        <f t="shared" si="307"/>
        <v>2002</v>
      </c>
      <c r="O353" s="778">
        <f t="shared" si="307"/>
        <v>2003</v>
      </c>
      <c r="P353" s="778">
        <f t="shared" ref="P353:W353" si="308">+O353+1</f>
        <v>2004</v>
      </c>
      <c r="Q353" s="778">
        <f t="shared" si="308"/>
        <v>2005</v>
      </c>
      <c r="R353" s="778">
        <f t="shared" si="308"/>
        <v>2006</v>
      </c>
      <c r="S353" s="778">
        <f t="shared" si="308"/>
        <v>2007</v>
      </c>
      <c r="T353" s="2222">
        <f t="shared" si="308"/>
        <v>2008</v>
      </c>
      <c r="U353" s="2222">
        <f t="shared" si="308"/>
        <v>2009</v>
      </c>
      <c r="V353" s="2222">
        <f t="shared" si="308"/>
        <v>2010</v>
      </c>
      <c r="W353" s="2222">
        <f t="shared" si="308"/>
        <v>2011</v>
      </c>
      <c r="X353" s="2222">
        <f t="shared" ref="X353:AE353" si="309">+W353+1</f>
        <v>2012</v>
      </c>
      <c r="Y353" s="2222">
        <f t="shared" si="309"/>
        <v>2013</v>
      </c>
      <c r="Z353" s="2222">
        <f t="shared" si="309"/>
        <v>2014</v>
      </c>
      <c r="AA353" s="2222">
        <f t="shared" si="309"/>
        <v>2015</v>
      </c>
      <c r="AB353" s="2222">
        <f t="shared" si="309"/>
        <v>2016</v>
      </c>
      <c r="AC353" s="2222">
        <f t="shared" si="309"/>
        <v>2017</v>
      </c>
      <c r="AD353" s="2222">
        <f t="shared" si="309"/>
        <v>2018</v>
      </c>
      <c r="AE353" s="2222">
        <f t="shared" si="309"/>
        <v>2019</v>
      </c>
    </row>
    <row r="354" spans="1:31" ht="12.75" customHeight="1">
      <c r="A354" s="664"/>
      <c r="B354" s="664"/>
      <c r="C354" s="779" t="s">
        <v>1767</v>
      </c>
      <c r="D354" s="668" t="s">
        <v>685</v>
      </c>
      <c r="E354" s="700" t="s">
        <v>1337</v>
      </c>
      <c r="F354" s="701"/>
      <c r="G354" s="780">
        <f t="shared" ref="G354:T354" si="310">+G180+G256+G302+G324</f>
        <v>6.1248400000000007</v>
      </c>
      <c r="H354" s="780">
        <f t="shared" si="310"/>
        <v>7.6192699999999993</v>
      </c>
      <c r="I354" s="780">
        <f t="shared" si="310"/>
        <v>9.3348499999999994</v>
      </c>
      <c r="J354" s="780">
        <f t="shared" si="310"/>
        <v>10.917089999999998</v>
      </c>
      <c r="K354" s="780">
        <f t="shared" si="310"/>
        <v>11.012219999999999</v>
      </c>
      <c r="L354" s="780">
        <f t="shared" si="310"/>
        <v>11.696300000000001</v>
      </c>
      <c r="M354" s="780">
        <f t="shared" si="310"/>
        <v>12.144299999999999</v>
      </c>
      <c r="N354" s="780">
        <f t="shared" si="310"/>
        <v>12.805540000000001</v>
      </c>
      <c r="O354" s="780">
        <f t="shared" si="310"/>
        <v>13.652330000000001</v>
      </c>
      <c r="P354" s="780">
        <f t="shared" si="310"/>
        <v>15.912059999999999</v>
      </c>
      <c r="Q354" s="780">
        <f t="shared" si="310"/>
        <v>17.69547</v>
      </c>
      <c r="R354" s="780">
        <f>+R180+R256+R302+R324</f>
        <v>20.489809999999999</v>
      </c>
      <c r="S354" s="780">
        <f>+S180+S256+S302+S324</f>
        <v>22.659000000000002</v>
      </c>
      <c r="T354" s="2267">
        <f t="shared" si="310"/>
        <v>26.824190000000002</v>
      </c>
      <c r="U354" s="2267">
        <f t="shared" ref="U354:Z354" si="311">+U180+U256+U302+U324</f>
        <v>24.193290000000001</v>
      </c>
      <c r="V354" s="2267">
        <f t="shared" si="311"/>
        <v>24.165009999999995</v>
      </c>
      <c r="W354" s="2267">
        <f t="shared" si="311"/>
        <v>25.505689999999998</v>
      </c>
      <c r="X354" s="2267">
        <f t="shared" si="311"/>
        <v>26.328290000000003</v>
      </c>
      <c r="Y354" s="2267">
        <f t="shared" si="311"/>
        <v>27.869149999999998</v>
      </c>
      <c r="Z354" s="2267">
        <f t="shared" si="311"/>
        <v>28.618880000000001</v>
      </c>
      <c r="AA354" s="2267">
        <f>+AA180+AA256+AA302+AA324</f>
        <v>29.71453</v>
      </c>
      <c r="AB354" s="2267">
        <f>+AB180+AB256+AB302+AB324</f>
        <v>31.500399999999999</v>
      </c>
      <c r="AC354" s="2267">
        <f>+AC180+AC256+AC302+AC324</f>
        <v>33.926810369999998</v>
      </c>
      <c r="AD354" s="2267">
        <f>+AD180+AD256+AD302+AD324</f>
        <v>35.889031904138733</v>
      </c>
      <c r="AE354" s="2267">
        <f>+AE180+AE256+AE302+AE324</f>
        <v>37.79322381500095</v>
      </c>
    </row>
    <row r="355" spans="1:31" ht="12.75" customHeight="1">
      <c r="A355" s="664"/>
      <c r="B355" s="664"/>
      <c r="C355" s="782" t="s">
        <v>1767</v>
      </c>
      <c r="D355" s="674" t="s">
        <v>686</v>
      </c>
      <c r="E355" s="783" t="s">
        <v>1337</v>
      </c>
      <c r="F355" s="704"/>
      <c r="G355" s="706">
        <f t="shared" ref="G355:T355" si="312">+G181+G257+G326</f>
        <v>1.2035499999999999</v>
      </c>
      <c r="H355" s="706">
        <f t="shared" si="312"/>
        <v>1.5990899999999995</v>
      </c>
      <c r="I355" s="706">
        <f t="shared" si="312"/>
        <v>1.69432</v>
      </c>
      <c r="J355" s="706">
        <f t="shared" si="312"/>
        <v>1.4513999999999998</v>
      </c>
      <c r="K355" s="706">
        <f t="shared" si="312"/>
        <v>1.3048500000000005</v>
      </c>
      <c r="L355" s="706">
        <f t="shared" si="312"/>
        <v>1.2948700000000002</v>
      </c>
      <c r="M355" s="706">
        <f t="shared" si="312"/>
        <v>1.8170399999999998</v>
      </c>
      <c r="N355" s="706">
        <f t="shared" si="312"/>
        <v>2.0082099999999996</v>
      </c>
      <c r="O355" s="706">
        <f t="shared" si="312"/>
        <v>2.3965300000000007</v>
      </c>
      <c r="P355" s="706">
        <f t="shared" si="312"/>
        <v>1.989039999999999</v>
      </c>
      <c r="Q355" s="706">
        <f t="shared" si="312"/>
        <v>3.3571100000000009</v>
      </c>
      <c r="R355" s="706">
        <f>+R181+R257+R326</f>
        <v>3.5818899999999987</v>
      </c>
      <c r="S355" s="706">
        <f>+S181+S257+S326</f>
        <v>6.0638900000000016</v>
      </c>
      <c r="T355" s="2265">
        <f t="shared" si="312"/>
        <v>6.5089699999999997</v>
      </c>
      <c r="U355" s="2265">
        <f t="shared" ref="U355:Z355" si="313">+U181+U257+U326</f>
        <v>5.9053699999999996</v>
      </c>
      <c r="V355" s="2265">
        <f t="shared" si="313"/>
        <v>5.7192599999999985</v>
      </c>
      <c r="W355" s="2265">
        <f t="shared" si="313"/>
        <v>6.5876500000000018</v>
      </c>
      <c r="X355" s="2265">
        <f t="shared" si="313"/>
        <v>7.4369199999999998</v>
      </c>
      <c r="Y355" s="2265">
        <f t="shared" si="313"/>
        <v>8.2282399999999996</v>
      </c>
      <c r="Z355" s="2265">
        <f t="shared" si="313"/>
        <v>9.3759000000000015</v>
      </c>
      <c r="AA355" s="2265">
        <f>+AA181+AA257+AA326</f>
        <v>7.7446899999999994</v>
      </c>
      <c r="AB355" s="2265">
        <f>+AB181+AB257+AB326</f>
        <v>7.1905200000000002</v>
      </c>
      <c r="AC355" s="2265">
        <f>+AC181+AC257+AC326</f>
        <v>8.1077364700000008</v>
      </c>
      <c r="AD355" s="2265">
        <f ca="1">+AD181+AD257+AD326</f>
        <v>8.7085029600993273</v>
      </c>
      <c r="AE355" s="2265">
        <f ca="1">+AE181+AE257+AE326</f>
        <v>9.4003013350079687</v>
      </c>
    </row>
    <row r="356" spans="1:31" ht="12.75" customHeight="1">
      <c r="A356" s="664"/>
      <c r="B356" s="664"/>
      <c r="C356" s="782" t="s">
        <v>1767</v>
      </c>
      <c r="D356" s="674" t="s">
        <v>687</v>
      </c>
      <c r="E356" s="783" t="s">
        <v>1337</v>
      </c>
      <c r="F356" s="704"/>
      <c r="G356" s="706">
        <f t="shared" ref="G356:T356" si="314">+G182+G205+G255+G328</f>
        <v>2.7393700000000005</v>
      </c>
      <c r="H356" s="706">
        <f t="shared" si="314"/>
        <v>3.3424299999999993</v>
      </c>
      <c r="I356" s="706">
        <f t="shared" si="314"/>
        <v>4.5800900000000002</v>
      </c>
      <c r="J356" s="706">
        <f t="shared" si="314"/>
        <v>4.9518199999999997</v>
      </c>
      <c r="K356" s="706">
        <f t="shared" si="314"/>
        <v>4.6991199999999997</v>
      </c>
      <c r="L356" s="706">
        <f t="shared" si="314"/>
        <v>4.7552900000000005</v>
      </c>
      <c r="M356" s="706">
        <f t="shared" si="314"/>
        <v>4.7671800000000006</v>
      </c>
      <c r="N356" s="706">
        <f t="shared" si="314"/>
        <v>4.9284999999999997</v>
      </c>
      <c r="O356" s="706">
        <f t="shared" si="314"/>
        <v>5.2320600000000006</v>
      </c>
      <c r="P356" s="706">
        <f t="shared" si="314"/>
        <v>5.8262299999999998</v>
      </c>
      <c r="Q356" s="706">
        <f t="shared" si="314"/>
        <v>6.8050899999999999</v>
      </c>
      <c r="R356" s="706">
        <f>+R182+R205+R255+R328</f>
        <v>7.9298099999999998</v>
      </c>
      <c r="S356" s="706">
        <f>+S182+S205+S255+S328</f>
        <v>9.4279499999999992</v>
      </c>
      <c r="T356" s="2265">
        <f t="shared" si="314"/>
        <v>10.905829999999998</v>
      </c>
      <c r="U356" s="2265">
        <f t="shared" ref="U356:Z356" si="315">+U182+U205+U255+U328</f>
        <v>8.9872099999999993</v>
      </c>
      <c r="V356" s="2265">
        <f t="shared" si="315"/>
        <v>8.7731300000000001</v>
      </c>
      <c r="W356" s="2265">
        <f t="shared" si="315"/>
        <v>9.4347200000000004</v>
      </c>
      <c r="X356" s="2265">
        <f t="shared" si="315"/>
        <v>9.9505600000000012</v>
      </c>
      <c r="Y356" s="2265">
        <f t="shared" si="315"/>
        <v>10.364149999999999</v>
      </c>
      <c r="Z356" s="2265">
        <f t="shared" si="315"/>
        <v>11.06128</v>
      </c>
      <c r="AA356" s="2265">
        <f>+AA182+AA205+AA255+AA328</f>
        <v>11.893350000000002</v>
      </c>
      <c r="AB356" s="2265">
        <f>+AB182+AB205+AB255+AB328</f>
        <v>12.679910000000001</v>
      </c>
      <c r="AC356" s="2265">
        <f>+AC182+AC205+AC255+AC328</f>
        <v>13.925293502780633</v>
      </c>
      <c r="AD356" s="2265">
        <f>+AD182+AD205+AD255+AD328</f>
        <v>14.876741686666151</v>
      </c>
      <c r="AE356" s="2265">
        <f>+AE182+AE205+AE255+AE328</f>
        <v>15.683269304710297</v>
      </c>
    </row>
    <row r="357" spans="1:31" ht="12.75" customHeight="1">
      <c r="A357" s="664"/>
      <c r="B357" s="664"/>
      <c r="C357" s="784" t="s">
        <v>1769</v>
      </c>
      <c r="D357" s="752"/>
      <c r="E357" s="753" t="s">
        <v>1337</v>
      </c>
      <c r="F357" s="754"/>
      <c r="G357" s="785">
        <f t="shared" ref="G357:Y357" si="316">+G354+G355+G356</f>
        <v>10.067760000000002</v>
      </c>
      <c r="H357" s="785">
        <f t="shared" si="316"/>
        <v>12.560789999999997</v>
      </c>
      <c r="I357" s="785">
        <f t="shared" si="316"/>
        <v>15.609259999999999</v>
      </c>
      <c r="J357" s="785">
        <f t="shared" si="316"/>
        <v>17.320309999999999</v>
      </c>
      <c r="K357" s="785">
        <f t="shared" si="316"/>
        <v>17.016189999999998</v>
      </c>
      <c r="L357" s="785">
        <f t="shared" si="316"/>
        <v>17.746459999999999</v>
      </c>
      <c r="M357" s="785">
        <f t="shared" si="316"/>
        <v>18.72852</v>
      </c>
      <c r="N357" s="785">
        <f t="shared" si="316"/>
        <v>19.742249999999999</v>
      </c>
      <c r="O357" s="785">
        <f t="shared" si="316"/>
        <v>21.280920000000002</v>
      </c>
      <c r="P357" s="785">
        <f t="shared" si="316"/>
        <v>23.727329999999995</v>
      </c>
      <c r="Q357" s="785">
        <f t="shared" si="316"/>
        <v>27.857670000000002</v>
      </c>
      <c r="R357" s="785">
        <f t="shared" si="316"/>
        <v>32.001509999999996</v>
      </c>
      <c r="S357" s="785">
        <f t="shared" si="316"/>
        <v>38.150840000000002</v>
      </c>
      <c r="T357" s="2273">
        <f t="shared" si="316"/>
        <v>44.238990000000001</v>
      </c>
      <c r="U357" s="2273">
        <f t="shared" si="316"/>
        <v>39.08587</v>
      </c>
      <c r="V357" s="2273">
        <f t="shared" si="316"/>
        <v>38.657399999999996</v>
      </c>
      <c r="W357" s="2273">
        <f t="shared" si="316"/>
        <v>41.528059999999996</v>
      </c>
      <c r="X357" s="2273">
        <f t="shared" si="316"/>
        <v>43.715770000000006</v>
      </c>
      <c r="Y357" s="2273">
        <f t="shared" si="316"/>
        <v>46.461539999999999</v>
      </c>
      <c r="Z357" s="2273">
        <f t="shared" ref="Z357:AE357" si="317">+Z354+Z355+Z356</f>
        <v>49.056060000000002</v>
      </c>
      <c r="AA357" s="2273">
        <f t="shared" si="317"/>
        <v>49.35257</v>
      </c>
      <c r="AB357" s="2273">
        <f t="shared" si="317"/>
        <v>51.370829999999998</v>
      </c>
      <c r="AC357" s="2273">
        <f t="shared" si="317"/>
        <v>55.95984034278063</v>
      </c>
      <c r="AD357" s="2273">
        <f t="shared" ca="1" si="317"/>
        <v>59.474276550904207</v>
      </c>
      <c r="AE357" s="2273">
        <f t="shared" ca="1" si="317"/>
        <v>62.876794454719217</v>
      </c>
    </row>
    <row r="358" spans="1:31">
      <c r="A358" s="664"/>
      <c r="B358" s="664"/>
      <c r="Q358" s="699"/>
      <c r="R358" s="699"/>
      <c r="S358" s="699"/>
      <c r="AB358" s="2221"/>
      <c r="AC358" s="2221"/>
      <c r="AD358" s="2221"/>
      <c r="AE358" s="2221"/>
    </row>
    <row r="359" spans="1:31" ht="12.75" customHeight="1">
      <c r="A359" s="664"/>
      <c r="B359" s="664"/>
      <c r="C359" s="774"/>
      <c r="D359" s="742"/>
      <c r="E359" s="743" t="s">
        <v>1311</v>
      </c>
      <c r="F359" s="744"/>
      <c r="G359" s="745">
        <f>+InputY!$G$3</f>
        <v>1995</v>
      </c>
      <c r="H359" s="745">
        <f>+G359+1</f>
        <v>1996</v>
      </c>
      <c r="I359" s="745">
        <f t="shared" ref="I359:O359" si="318">+H359+1</f>
        <v>1997</v>
      </c>
      <c r="J359" s="745">
        <f t="shared" si="318"/>
        <v>1998</v>
      </c>
      <c r="K359" s="745">
        <f>+J359+1</f>
        <v>1999</v>
      </c>
      <c r="L359" s="745">
        <f t="shared" si="318"/>
        <v>2000</v>
      </c>
      <c r="M359" s="745">
        <f t="shared" si="318"/>
        <v>2001</v>
      </c>
      <c r="N359" s="745">
        <f t="shared" si="318"/>
        <v>2002</v>
      </c>
      <c r="O359" s="745">
        <f t="shared" si="318"/>
        <v>2003</v>
      </c>
      <c r="P359" s="745">
        <f t="shared" ref="P359:W359" si="319">+O359+1</f>
        <v>2004</v>
      </c>
      <c r="Q359" s="745">
        <f t="shared" si="319"/>
        <v>2005</v>
      </c>
      <c r="R359" s="745">
        <f t="shared" si="319"/>
        <v>2006</v>
      </c>
      <c r="S359" s="745">
        <f t="shared" si="319"/>
        <v>2007</v>
      </c>
      <c r="T359" s="2211">
        <f t="shared" si="319"/>
        <v>2008</v>
      </c>
      <c r="U359" s="2211">
        <f t="shared" si="319"/>
        <v>2009</v>
      </c>
      <c r="V359" s="2211">
        <f t="shared" si="319"/>
        <v>2010</v>
      </c>
      <c r="W359" s="2211">
        <f t="shared" si="319"/>
        <v>2011</v>
      </c>
      <c r="X359" s="2211">
        <f t="shared" ref="X359:AE359" si="320">+W359+1</f>
        <v>2012</v>
      </c>
      <c r="Y359" s="2211">
        <f t="shared" si="320"/>
        <v>2013</v>
      </c>
      <c r="Z359" s="2211">
        <f t="shared" si="320"/>
        <v>2014</v>
      </c>
      <c r="AA359" s="2211">
        <f t="shared" si="320"/>
        <v>2015</v>
      </c>
      <c r="AB359" s="2211">
        <f t="shared" si="320"/>
        <v>2016</v>
      </c>
      <c r="AC359" s="2211">
        <f t="shared" si="320"/>
        <v>2017</v>
      </c>
      <c r="AD359" s="2211">
        <f t="shared" si="320"/>
        <v>2018</v>
      </c>
      <c r="AE359" s="2211">
        <f t="shared" si="320"/>
        <v>2019</v>
      </c>
    </row>
    <row r="360" spans="1:31" ht="12.75" customHeight="1">
      <c r="A360" s="664"/>
      <c r="B360" s="664"/>
      <c r="C360" s="794" t="s">
        <v>1767</v>
      </c>
      <c r="D360" s="689" t="s">
        <v>685</v>
      </c>
      <c r="E360" s="738" t="s">
        <v>1337</v>
      </c>
      <c r="F360" s="733"/>
      <c r="G360" s="739"/>
      <c r="H360" s="739">
        <f t="shared" ref="H360:AE360" si="321">(H354/G354-1)*100</f>
        <v>24.399494517407771</v>
      </c>
      <c r="I360" s="739">
        <f t="shared" si="321"/>
        <v>22.516330304609244</v>
      </c>
      <c r="J360" s="739">
        <f t="shared" si="321"/>
        <v>16.949817083295372</v>
      </c>
      <c r="K360" s="739">
        <f>(K354/J354-1)*100</f>
        <v>0.87138605617431697</v>
      </c>
      <c r="L360" s="739">
        <f t="shared" si="321"/>
        <v>6.2120081146217698</v>
      </c>
      <c r="M360" s="739">
        <f t="shared" si="321"/>
        <v>3.8302711113770815</v>
      </c>
      <c r="N360" s="739">
        <f t="shared" si="321"/>
        <v>5.4448589050007046</v>
      </c>
      <c r="O360" s="739">
        <f t="shared" si="321"/>
        <v>6.6126848223503343</v>
      </c>
      <c r="P360" s="739">
        <f t="shared" si="321"/>
        <v>16.551973179669677</v>
      </c>
      <c r="Q360" s="739">
        <f t="shared" si="321"/>
        <v>11.207913997307717</v>
      </c>
      <c r="R360" s="739">
        <f t="shared" si="321"/>
        <v>15.791273133745509</v>
      </c>
      <c r="S360" s="739">
        <f t="shared" si="321"/>
        <v>10.586676987243916</v>
      </c>
      <c r="T360" s="2268">
        <f t="shared" si="321"/>
        <v>18.382055695308708</v>
      </c>
      <c r="U360" s="2268">
        <f t="shared" si="321"/>
        <v>-9.8079382825725592</v>
      </c>
      <c r="V360" s="2268">
        <f t="shared" si="321"/>
        <v>-0.11689191507234797</v>
      </c>
      <c r="W360" s="2268">
        <f t="shared" si="321"/>
        <v>5.5480217057638503</v>
      </c>
      <c r="X360" s="2268">
        <f t="shared" si="321"/>
        <v>3.2251626989899362</v>
      </c>
      <c r="Y360" s="2268">
        <f t="shared" si="321"/>
        <v>5.8524879511734129</v>
      </c>
      <c r="Z360" s="2268">
        <f t="shared" si="321"/>
        <v>2.6901789254426545</v>
      </c>
      <c r="AA360" s="2268">
        <f t="shared" si="321"/>
        <v>3.8284167654359713</v>
      </c>
      <c r="AB360" s="2268">
        <f t="shared" si="321"/>
        <v>6.0100900132022961</v>
      </c>
      <c r="AC360" s="2268">
        <f t="shared" si="321"/>
        <v>7.70279225025714</v>
      </c>
      <c r="AD360" s="2268">
        <f t="shared" si="321"/>
        <v>5.7836899865890246</v>
      </c>
      <c r="AE360" s="2268">
        <f t="shared" si="321"/>
        <v>5.3057767508145615</v>
      </c>
    </row>
    <row r="361" spans="1:31" ht="12.75" customHeight="1">
      <c r="A361" s="664"/>
      <c r="B361" s="664"/>
      <c r="C361" s="795" t="s">
        <v>1767</v>
      </c>
      <c r="D361" s="674" t="s">
        <v>686</v>
      </c>
      <c r="E361" s="783" t="s">
        <v>1337</v>
      </c>
      <c r="F361" s="704"/>
      <c r="G361" s="706"/>
      <c r="H361" s="706">
        <f t="shared" ref="H361:AE361" si="322">(H355/G355-1)*100</f>
        <v>32.864442690374275</v>
      </c>
      <c r="I361" s="706">
        <f t="shared" si="322"/>
        <v>5.9552620552939972</v>
      </c>
      <c r="J361" s="706">
        <f t="shared" si="322"/>
        <v>-14.33731526512112</v>
      </c>
      <c r="K361" s="706">
        <f>(K355/J355-1)*100</f>
        <v>-10.09714758164526</v>
      </c>
      <c r="L361" s="706">
        <f t="shared" si="322"/>
        <v>-0.76483887036826737</v>
      </c>
      <c r="M361" s="706">
        <f t="shared" si="322"/>
        <v>40.326055897503174</v>
      </c>
      <c r="N361" s="706">
        <f t="shared" si="322"/>
        <v>10.520957161097154</v>
      </c>
      <c r="O361" s="706">
        <f t="shared" si="322"/>
        <v>19.336623161920375</v>
      </c>
      <c r="P361" s="706">
        <f t="shared" si="322"/>
        <v>-17.003333987056347</v>
      </c>
      <c r="Q361" s="706">
        <f t="shared" si="322"/>
        <v>68.780416683425301</v>
      </c>
      <c r="R361" s="706">
        <f t="shared" si="322"/>
        <v>6.695639999880787</v>
      </c>
      <c r="S361" s="706">
        <f t="shared" si="322"/>
        <v>69.293026865705087</v>
      </c>
      <c r="T361" s="2265">
        <f t="shared" si="322"/>
        <v>7.3398429061212855</v>
      </c>
      <c r="U361" s="2265">
        <f t="shared" si="322"/>
        <v>-9.2733566140264951</v>
      </c>
      <c r="V361" s="2265">
        <f t="shared" si="322"/>
        <v>-3.1515383456074963</v>
      </c>
      <c r="W361" s="2265">
        <f t="shared" si="322"/>
        <v>15.183607669523735</v>
      </c>
      <c r="X361" s="2265">
        <f t="shared" si="322"/>
        <v>12.891850659946979</v>
      </c>
      <c r="Y361" s="2265">
        <f t="shared" si="322"/>
        <v>10.640426413084981</v>
      </c>
      <c r="Z361" s="2265">
        <f t="shared" si="322"/>
        <v>13.947818731587812</v>
      </c>
      <c r="AA361" s="2265">
        <f t="shared" si="322"/>
        <v>-17.397903134632429</v>
      </c>
      <c r="AB361" s="2265">
        <f t="shared" si="322"/>
        <v>-7.1554833053356415</v>
      </c>
      <c r="AC361" s="2265">
        <f t="shared" si="322"/>
        <v>12.755912924239144</v>
      </c>
      <c r="AD361" s="2265">
        <f t="shared" ca="1" si="322"/>
        <v>7.409793008471155</v>
      </c>
      <c r="AE361" s="2265">
        <f t="shared" ca="1" si="322"/>
        <v>7.9439414337725722</v>
      </c>
    </row>
    <row r="362" spans="1:31" ht="12.75" customHeight="1">
      <c r="A362" s="664"/>
      <c r="B362" s="664"/>
      <c r="C362" s="796" t="s">
        <v>1767</v>
      </c>
      <c r="D362" s="691" t="s">
        <v>687</v>
      </c>
      <c r="E362" s="797" t="s">
        <v>1337</v>
      </c>
      <c r="F362" s="736"/>
      <c r="G362" s="741"/>
      <c r="H362" s="741">
        <f t="shared" ref="H362:AE362" si="323">(H356/G356-1)*100</f>
        <v>22.014550790875219</v>
      </c>
      <c r="I362" s="741">
        <f t="shared" si="323"/>
        <v>37.028748545220139</v>
      </c>
      <c r="J362" s="741">
        <f t="shared" si="323"/>
        <v>8.1162160568897015</v>
      </c>
      <c r="K362" s="741">
        <f>(K356/J356-1)*100</f>
        <v>-5.103174186460735</v>
      </c>
      <c r="L362" s="741">
        <f t="shared" si="323"/>
        <v>1.1953301894823021</v>
      </c>
      <c r="M362" s="741">
        <f t="shared" si="323"/>
        <v>0.25003732685073832</v>
      </c>
      <c r="N362" s="741">
        <f t="shared" si="323"/>
        <v>3.3839712366640073</v>
      </c>
      <c r="O362" s="741">
        <f t="shared" si="323"/>
        <v>6.1592776706908881</v>
      </c>
      <c r="P362" s="741">
        <f t="shared" si="323"/>
        <v>11.356330011505978</v>
      </c>
      <c r="Q362" s="741">
        <f t="shared" si="323"/>
        <v>16.800915858110656</v>
      </c>
      <c r="R362" s="741">
        <f t="shared" si="323"/>
        <v>16.527628583898224</v>
      </c>
      <c r="S362" s="741">
        <f t="shared" si="323"/>
        <v>18.892508143322463</v>
      </c>
      <c r="T362" s="2234">
        <f t="shared" si="323"/>
        <v>15.675518007626255</v>
      </c>
      <c r="U362" s="2234">
        <f t="shared" si="323"/>
        <v>-17.592608723957724</v>
      </c>
      <c r="V362" s="2234">
        <f t="shared" si="323"/>
        <v>-2.382051826985232</v>
      </c>
      <c r="W362" s="2234">
        <f t="shared" si="323"/>
        <v>7.5410942274877879</v>
      </c>
      <c r="X362" s="2234">
        <f t="shared" si="323"/>
        <v>5.467464853223003</v>
      </c>
      <c r="Y362" s="2234">
        <f t="shared" si="323"/>
        <v>4.1564494862600387</v>
      </c>
      <c r="Z362" s="2234">
        <f t="shared" si="323"/>
        <v>6.7263596146331484</v>
      </c>
      <c r="AA362" s="2234">
        <f t="shared" si="323"/>
        <v>7.5223663084200254</v>
      </c>
      <c r="AB362" s="2234">
        <f t="shared" si="323"/>
        <v>6.6134436470800972</v>
      </c>
      <c r="AC362" s="2234">
        <f t="shared" si="323"/>
        <v>9.8217061696860064</v>
      </c>
      <c r="AD362" s="2234">
        <f t="shared" si="323"/>
        <v>6.8325179910608824</v>
      </c>
      <c r="AE362" s="2234">
        <f t="shared" si="323"/>
        <v>5.4213996252084451</v>
      </c>
    </row>
    <row r="363" spans="1:31" ht="12.75" customHeight="1">
      <c r="A363" s="664"/>
      <c r="B363" s="664"/>
      <c r="C363" s="774" t="s">
        <v>1769</v>
      </c>
      <c r="D363" s="717" t="s">
        <v>688</v>
      </c>
      <c r="E363" s="722" t="s">
        <v>1337</v>
      </c>
      <c r="F363" s="723"/>
      <c r="G363" s="721"/>
      <c r="H363" s="721">
        <f t="shared" ref="H363:AE363" si="324">(H357/G357-1)*100</f>
        <v>24.762509237407283</v>
      </c>
      <c r="I363" s="721">
        <f t="shared" si="324"/>
        <v>24.269731442051047</v>
      </c>
      <c r="J363" s="721">
        <f t="shared" si="324"/>
        <v>10.96176244101259</v>
      </c>
      <c r="K363" s="721">
        <f>(K357/J357-1)*100</f>
        <v>-1.7558577184819457</v>
      </c>
      <c r="L363" s="721">
        <f t="shared" si="324"/>
        <v>4.2916187466171873</v>
      </c>
      <c r="M363" s="721">
        <f t="shared" si="324"/>
        <v>5.5338360439208811</v>
      </c>
      <c r="N363" s="721">
        <f t="shared" si="324"/>
        <v>5.4127608588398823</v>
      </c>
      <c r="O363" s="721">
        <f t="shared" si="324"/>
        <v>7.7937925008547904</v>
      </c>
      <c r="P363" s="721">
        <f t="shared" si="324"/>
        <v>11.495790595519328</v>
      </c>
      <c r="Q363" s="721">
        <f t="shared" si="324"/>
        <v>17.407521200236211</v>
      </c>
      <c r="R363" s="721">
        <f t="shared" si="324"/>
        <v>14.875041595366699</v>
      </c>
      <c r="S363" s="721">
        <f t="shared" si="324"/>
        <v>19.215749506820167</v>
      </c>
      <c r="T363" s="2220">
        <f t="shared" si="324"/>
        <v>15.958102102076911</v>
      </c>
      <c r="U363" s="2220">
        <f t="shared" si="324"/>
        <v>-11.64836719825656</v>
      </c>
      <c r="V363" s="2220">
        <f t="shared" si="324"/>
        <v>-1.0962273578661641</v>
      </c>
      <c r="W363" s="2220">
        <f t="shared" si="324"/>
        <v>7.4259003450827032</v>
      </c>
      <c r="X363" s="2220">
        <f t="shared" si="324"/>
        <v>5.2680284125962373</v>
      </c>
      <c r="Y363" s="2220">
        <f t="shared" si="324"/>
        <v>6.2809599373406799</v>
      </c>
      <c r="Z363" s="2220">
        <f t="shared" si="324"/>
        <v>5.5842316031711414</v>
      </c>
      <c r="AA363" s="2220">
        <f t="shared" si="324"/>
        <v>0.60443093065360998</v>
      </c>
      <c r="AB363" s="2220">
        <f t="shared" si="324"/>
        <v>4.0894729494330262</v>
      </c>
      <c r="AC363" s="2220">
        <f t="shared" si="324"/>
        <v>8.9331053105052618</v>
      </c>
      <c r="AD363" s="2220">
        <f t="shared" ca="1" si="324"/>
        <v>6.2802827645611181</v>
      </c>
      <c r="AE363" s="2220">
        <f t="shared" ca="1" si="324"/>
        <v>5.720990823491201</v>
      </c>
    </row>
    <row r="364" spans="1:31" ht="12.75" customHeight="1">
      <c r="A364" s="664"/>
      <c r="B364" s="664"/>
      <c r="C364" s="774"/>
      <c r="E364" s="786"/>
      <c r="F364" s="787"/>
      <c r="G364" s="703"/>
      <c r="H364" s="788"/>
      <c r="I364" s="703"/>
      <c r="J364" s="703"/>
      <c r="K364" s="703"/>
      <c r="L364" s="703"/>
      <c r="M364" s="703"/>
      <c r="N364" s="703"/>
      <c r="O364" s="703"/>
      <c r="P364" s="703"/>
      <c r="Q364" s="703"/>
      <c r="R364" s="703"/>
      <c r="S364" s="703"/>
      <c r="T364" s="2254"/>
      <c r="U364" s="2254"/>
      <c r="V364" s="2254"/>
      <c r="W364" s="2254"/>
      <c r="X364" s="2254"/>
      <c r="Y364" s="2254"/>
      <c r="Z364" s="2254"/>
      <c r="AA364" s="2254"/>
      <c r="AB364" s="2254"/>
      <c r="AC364" s="2254"/>
      <c r="AD364" s="2254"/>
      <c r="AE364" s="2254"/>
    </row>
    <row r="365" spans="1:31" ht="12.75" customHeight="1">
      <c r="A365" s="664"/>
      <c r="B365" s="664"/>
      <c r="C365" s="774"/>
      <c r="D365" s="818"/>
      <c r="E365" s="819" t="s">
        <v>512</v>
      </c>
      <c r="F365" s="820"/>
      <c r="G365" s="821">
        <f>+InputY!$G$3</f>
        <v>1995</v>
      </c>
      <c r="H365" s="821">
        <f>+G365+1</f>
        <v>1996</v>
      </c>
      <c r="I365" s="821">
        <f t="shared" ref="I365:O365" si="325">+H365+1</f>
        <v>1997</v>
      </c>
      <c r="J365" s="821">
        <f t="shared" si="325"/>
        <v>1998</v>
      </c>
      <c r="K365" s="821">
        <f>+J365+1</f>
        <v>1999</v>
      </c>
      <c r="L365" s="821">
        <f t="shared" si="325"/>
        <v>2000</v>
      </c>
      <c r="M365" s="821">
        <f t="shared" si="325"/>
        <v>2001</v>
      </c>
      <c r="N365" s="821">
        <f t="shared" si="325"/>
        <v>2002</v>
      </c>
      <c r="O365" s="821">
        <f t="shared" si="325"/>
        <v>2003</v>
      </c>
      <c r="P365" s="821">
        <f t="shared" ref="P365:V365" si="326">+O365+1</f>
        <v>2004</v>
      </c>
      <c r="Q365" s="821">
        <f t="shared" si="326"/>
        <v>2005</v>
      </c>
      <c r="R365" s="821">
        <f t="shared" si="326"/>
        <v>2006</v>
      </c>
      <c r="S365" s="821">
        <f>+R365+1</f>
        <v>2007</v>
      </c>
      <c r="T365" s="821">
        <f t="shared" si="326"/>
        <v>2008</v>
      </c>
      <c r="U365" s="821">
        <f t="shared" si="326"/>
        <v>2009</v>
      </c>
      <c r="V365" s="821">
        <f t="shared" si="326"/>
        <v>2010</v>
      </c>
      <c r="W365" s="821">
        <f t="shared" ref="W365:AE365" si="327">+V365+1</f>
        <v>2011</v>
      </c>
      <c r="X365" s="821">
        <f t="shared" si="327"/>
        <v>2012</v>
      </c>
      <c r="Y365" s="821">
        <f t="shared" si="327"/>
        <v>2013</v>
      </c>
      <c r="Z365" s="821">
        <f t="shared" si="327"/>
        <v>2014</v>
      </c>
      <c r="AA365" s="821">
        <f t="shared" si="327"/>
        <v>2015</v>
      </c>
      <c r="AB365" s="821">
        <f t="shared" si="327"/>
        <v>2016</v>
      </c>
      <c r="AC365" s="821">
        <f t="shared" si="327"/>
        <v>2017</v>
      </c>
      <c r="AD365" s="821">
        <f t="shared" si="327"/>
        <v>2018</v>
      </c>
      <c r="AE365" s="821">
        <f t="shared" si="327"/>
        <v>2019</v>
      </c>
    </row>
    <row r="366" spans="1:31" ht="12.75" customHeight="1">
      <c r="A366" s="664"/>
      <c r="B366" s="664"/>
      <c r="C366" s="822" t="s">
        <v>1767</v>
      </c>
      <c r="D366" s="823" t="s">
        <v>685</v>
      </c>
      <c r="E366" s="824" t="s">
        <v>1337</v>
      </c>
      <c r="F366" s="825"/>
      <c r="G366" s="838">
        <f>+G354/'VVP2'!G$341</f>
        <v>0.78882301955173084</v>
      </c>
      <c r="H366" s="838">
        <f>+H354/'VVP2'!H$341</f>
        <v>0.78434757544406863</v>
      </c>
      <c r="I366" s="838">
        <f>+I354/'VVP2'!I$341</f>
        <v>0.7961940714786504</v>
      </c>
      <c r="J366" s="838">
        <f>+J354/'VVP2'!J$341</f>
        <v>0.83835997038848209</v>
      </c>
      <c r="K366" s="838">
        <f>+K354/'VVP2'!K$341</f>
        <v>0.86627994789208362</v>
      </c>
      <c r="L366" s="838">
        <f>+L354/'VVP2'!L$341</f>
        <v>0.87493585514258487</v>
      </c>
      <c r="M366" s="838">
        <f>+M354/'VVP2'!M$341</f>
        <v>0.85556256921685259</v>
      </c>
      <c r="N366" s="838">
        <f>+N354/'VVP2'!N$341</f>
        <v>0.8423494803702366</v>
      </c>
      <c r="O366" s="838">
        <f>+O354/'VVP2'!O$341</f>
        <v>0.81905068728522346</v>
      </c>
      <c r="P366" s="838">
        <f>+P354/'VVP2'!P$341</f>
        <v>0.87248077062264351</v>
      </c>
      <c r="Q366" s="838">
        <f>+Q354/'VVP2'!Q$341</f>
        <v>0.84254714353393789</v>
      </c>
      <c r="R366" s="838">
        <f>+R354/'VVP2'!R$341</f>
        <v>0.85093470790948855</v>
      </c>
      <c r="S366" s="838">
        <f>+S354/'VVP2'!S$341</f>
        <v>0.78025086206718453</v>
      </c>
      <c r="T366" s="2909">
        <f>+T354/'VVP2'!T$341</f>
        <v>0.82040495126662727</v>
      </c>
      <c r="U366" s="2909">
        <f>+U354/'VVP2'!U$341</f>
        <v>0.89821613806960665</v>
      </c>
      <c r="V366" s="2909">
        <f>+V354/'VVP2'!V$341</f>
        <v>0.86218435645358882</v>
      </c>
      <c r="W366" s="2909">
        <f>+W354/'VVP2'!W$341</f>
        <v>0.81552131201215516</v>
      </c>
      <c r="X366" s="2909">
        <f>+X354/'VVP2'!X$341</f>
        <v>0.78948995576410086</v>
      </c>
      <c r="Y366" s="2909">
        <f>+Y354/'VVP2'!Y$341</f>
        <v>0.79718046376322405</v>
      </c>
      <c r="Z366" s="2909">
        <f>+Z354/'VVP2'!Z$341</f>
        <v>0.78261487824967435</v>
      </c>
      <c r="AA366" s="2909">
        <f>+AA354/'VVP2'!AA$341</f>
        <v>0.79394126264708442</v>
      </c>
      <c r="AB366" s="2909">
        <f>+AB354/'VVP2'!AB$341</f>
        <v>0.81463068475692757</v>
      </c>
      <c r="AC366" s="2909">
        <f ca="1">+AC354/'VVP2'!AC$341</f>
        <v>0.81204258819113262</v>
      </c>
      <c r="AD366" s="2909">
        <f ca="1">+AD354/'VVP2'!AD$341</f>
        <v>0.81175677118985801</v>
      </c>
      <c r="AE366" s="2909">
        <f ca="1">+AE354/'VVP2'!AE$341</f>
        <v>0.809688522551545</v>
      </c>
    </row>
    <row r="367" spans="1:31" ht="12.75" customHeight="1">
      <c r="A367" s="664"/>
      <c r="B367" s="664"/>
      <c r="C367" s="826" t="s">
        <v>1767</v>
      </c>
      <c r="D367" s="674" t="s">
        <v>685</v>
      </c>
      <c r="E367" s="783" t="s">
        <v>1337</v>
      </c>
      <c r="F367" s="704"/>
      <c r="G367" s="839">
        <f>+G355/'VVP2'!G$341</f>
        <v>0.1550061626395931</v>
      </c>
      <c r="H367" s="839">
        <f>+H355/'VVP2'!H$341</f>
        <v>0.16461450564382879</v>
      </c>
      <c r="I367" s="839">
        <f>+I355/'VVP2'!I$341</f>
        <v>0.1445130386870391</v>
      </c>
      <c r="J367" s="839">
        <f>+J355/'VVP2'!J$341</f>
        <v>0.11145787577292511</v>
      </c>
      <c r="K367" s="839">
        <f>+K355/'VVP2'!K$341</f>
        <v>0.10264645911605343</v>
      </c>
      <c r="L367" s="839">
        <f>+L355/'VVP2'!L$341</f>
        <v>9.6862100899299683E-2</v>
      </c>
      <c r="M367" s="839">
        <f>+M355/'VVP2'!M$341</f>
        <v>0.1280099644088</v>
      </c>
      <c r="N367" s="839">
        <f>+N355/'VVP2'!N$341</f>
        <v>0.13210021990281648</v>
      </c>
      <c r="O367" s="839">
        <f>+O355/'VVP2'!O$341</f>
        <v>0.14377615715410169</v>
      </c>
      <c r="P367" s="839">
        <f>+P355/'VVP2'!P$341</f>
        <v>0.10906187834882865</v>
      </c>
      <c r="Q367" s="839">
        <f>+Q355/'VVP2'!Q$341</f>
        <v>0.15984449359238376</v>
      </c>
      <c r="R367" s="839">
        <f>+R355/'VVP2'!R$341</f>
        <v>0.14875465028294146</v>
      </c>
      <c r="S367" s="839">
        <f>+S355/'VVP2'!S$341</f>
        <v>0.2088068935072413</v>
      </c>
      <c r="T367" s="2910">
        <f>+T355/'VVP2'!T$341</f>
        <v>0.19907371725468462</v>
      </c>
      <c r="U367" s="2910">
        <f>+U355/'VVP2'!U$341</f>
        <v>0.21924668514584467</v>
      </c>
      <c r="V367" s="2910">
        <f>+V355/'VVP2'!V$341</f>
        <v>0.20405770585200469</v>
      </c>
      <c r="W367" s="2910">
        <f>+W355/'VVP2'!W$341</f>
        <v>0.21063413579781123</v>
      </c>
      <c r="X367" s="2910">
        <f>+X355/'VVP2'!X$341</f>
        <v>0.22300626595275105</v>
      </c>
      <c r="Y367" s="2910">
        <f>+Y355/'VVP2'!Y$341</f>
        <v>0.2353639123961481</v>
      </c>
      <c r="Z367" s="2910">
        <f>+Z355/'VVP2'!Z$341</f>
        <v>0.25639433957517282</v>
      </c>
      <c r="AA367" s="2910">
        <f>+AA355/'VVP2'!AA$341</f>
        <v>0.20693004255528349</v>
      </c>
      <c r="AB367" s="2910">
        <f>+AB355/'VVP2'!AB$341</f>
        <v>0.18595377301108504</v>
      </c>
      <c r="AC367" s="2910">
        <f ca="1">+AC355/'VVP2'!AC$341</f>
        <v>0.19405971960429944</v>
      </c>
      <c r="AD367" s="2910">
        <f ca="1">+AD355/'VVP2'!AD$341</f>
        <v>0.19697344480257017</v>
      </c>
      <c r="AE367" s="2910">
        <f ca="1">+AE355/'VVP2'!AE$341</f>
        <v>0.20139367143537573</v>
      </c>
    </row>
    <row r="368" spans="1:31" ht="12.75" customHeight="1">
      <c r="A368" s="664"/>
      <c r="B368" s="664"/>
      <c r="C368" s="827" t="s">
        <v>1767</v>
      </c>
      <c r="D368" s="828" t="s">
        <v>687</v>
      </c>
      <c r="E368" s="829" t="s">
        <v>1337</v>
      </c>
      <c r="F368" s="830"/>
      <c r="G368" s="840">
        <f>+G356/'VVP2'!G$341</f>
        <v>0.35280564309752177</v>
      </c>
      <c r="H368" s="840">
        <f>+H356/'VVP2'!H$341</f>
        <v>0.34407848344940106</v>
      </c>
      <c r="I368" s="840">
        <f>+I356/'VVP2'!I$341</f>
        <v>0.39064800236090053</v>
      </c>
      <c r="J368" s="840">
        <f>+J356/'VVP2'!J$341</f>
        <v>0.38026687226807637</v>
      </c>
      <c r="K368" s="840">
        <f>+K356/'VVP2'!K$341</f>
        <v>0.36965783726974655</v>
      </c>
      <c r="L368" s="840">
        <f>+L356/'VVP2'!L$341</f>
        <v>0.3557170834025275</v>
      </c>
      <c r="M368" s="840">
        <f>+M356/'VVP2'!M$341</f>
        <v>0.33584650977983055</v>
      </c>
      <c r="N368" s="840">
        <f>+N356/'VVP2'!N$341</f>
        <v>0.32419713764548086</v>
      </c>
      <c r="O368" s="840">
        <f>+O356/'VVP2'!O$341</f>
        <v>0.3138894488279676</v>
      </c>
      <c r="P368" s="840">
        <f>+P356/'VVP2'!P$341</f>
        <v>0.31946043694058246</v>
      </c>
      <c r="Q368" s="840">
        <f>+Q356/'VVP2'!Q$341</f>
        <v>0.32401564586820047</v>
      </c>
      <c r="R368" s="840">
        <f>+R356/'VVP2'!R$341</f>
        <v>0.32932226097400324</v>
      </c>
      <c r="S368" s="840">
        <f>+S356/'VVP2'!S$341</f>
        <v>0.32464654728921449</v>
      </c>
      <c r="T368" s="2911">
        <f>+T356/'VVP2'!T$341</f>
        <v>0.3335495658833359</v>
      </c>
      <c r="U368" s="2911">
        <f>+U356/'VVP2'!U$341</f>
        <v>0.33366512194995174</v>
      </c>
      <c r="V368" s="2911">
        <f>+V356/'VVP2'!V$341</f>
        <v>0.31301685549203895</v>
      </c>
      <c r="W368" s="2911">
        <f>+W356/'VVP2'!W$341</f>
        <v>0.30166661763972358</v>
      </c>
      <c r="X368" s="2911">
        <f>+X356/'VVP2'!X$341</f>
        <v>0.29838121557564246</v>
      </c>
      <c r="Y368" s="2911">
        <f>+Y356/'VVP2'!Y$341</f>
        <v>0.29646034785817355</v>
      </c>
      <c r="Z368" s="2911">
        <f>+Z356/'VVP2'!Z$341</f>
        <v>0.30248291688862589</v>
      </c>
      <c r="AA368" s="2911">
        <f>+AA356/'VVP2'!AA$341</f>
        <v>0.31777791256007426</v>
      </c>
      <c r="AB368" s="2911">
        <f>+AB356/'VVP2'!AB$341</f>
        <v>0.32791468571688659</v>
      </c>
      <c r="AC368" s="2911">
        <f ca="1">+AC356/'VVP2'!AC$341</f>
        <v>0.33330369857928821</v>
      </c>
      <c r="AD368" s="2911">
        <f ca="1">+AD356/'VVP2'!AD$341</f>
        <v>0.33648987327521185</v>
      </c>
      <c r="AE368" s="2911">
        <f ca="1">+AE356/'VVP2'!AE$341</f>
        <v>0.33600105707490724</v>
      </c>
    </row>
    <row r="369" spans="1:31" ht="12.75" customHeight="1">
      <c r="A369" s="664"/>
      <c r="B369" s="664"/>
      <c r="C369" s="774" t="s">
        <v>1769</v>
      </c>
      <c r="D369" s="806" t="s">
        <v>688</v>
      </c>
      <c r="E369" s="807" t="s">
        <v>1337</v>
      </c>
      <c r="F369" s="808"/>
      <c r="G369" s="841">
        <f>+G357/'VVP2'!G$341</f>
        <v>1.2966348252888458</v>
      </c>
      <c r="H369" s="841">
        <f>+H357/'VVP2'!H$341</f>
        <v>1.2930405645372984</v>
      </c>
      <c r="I369" s="841">
        <f>+I357/'VVP2'!I$341</f>
        <v>1.3313551125265899</v>
      </c>
      <c r="J369" s="841">
        <f>+J357/'VVP2'!J$341</f>
        <v>1.3300847184294837</v>
      </c>
      <c r="K369" s="841">
        <f>+K357/'VVP2'!K$341</f>
        <v>1.3385842442778835</v>
      </c>
      <c r="L369" s="841">
        <f>+L357/'VVP2'!L$341</f>
        <v>1.327515039444412</v>
      </c>
      <c r="M369" s="841">
        <f>+M357/'VVP2'!M$341</f>
        <v>1.3194190434054831</v>
      </c>
      <c r="N369" s="841">
        <f>+N357/'VVP2'!N$341</f>
        <v>1.2986468379185339</v>
      </c>
      <c r="O369" s="841">
        <f>+O357/'VVP2'!O$341</f>
        <v>1.2767162932672926</v>
      </c>
      <c r="P369" s="841">
        <f>+P357/'VVP2'!P$341</f>
        <v>1.3010030859120545</v>
      </c>
      <c r="Q369" s="841">
        <f>+Q357/'VVP2'!Q$341</f>
        <v>1.3264072829945222</v>
      </c>
      <c r="R369" s="841">
        <f>+R357/'VVP2'!R$341</f>
        <v>1.3290116191664332</v>
      </c>
      <c r="S369" s="841">
        <f>+S357/'VVP2'!S$341</f>
        <v>1.3137043028636404</v>
      </c>
      <c r="T369" s="2912">
        <f>+T357/'VVP2'!T$341</f>
        <v>1.3530282344046478</v>
      </c>
      <c r="U369" s="2912">
        <f>+U357/'VVP2'!U$341</f>
        <v>1.4511279451654031</v>
      </c>
      <c r="V369" s="2912">
        <f>+V357/'VVP2'!V$341</f>
        <v>1.3792589177976327</v>
      </c>
      <c r="W369" s="2912">
        <f>+W357/'VVP2'!W$341</f>
        <v>1.3278220654496899</v>
      </c>
      <c r="X369" s="2912">
        <f>+X357/'VVP2'!X$341</f>
        <v>1.3108774372924943</v>
      </c>
      <c r="Y369" s="2912">
        <f>+Y357/'VVP2'!Y$341</f>
        <v>1.3290047240175458</v>
      </c>
      <c r="Z369" s="2912">
        <f>+Z357/'VVP2'!Z$341</f>
        <v>1.341492134713473</v>
      </c>
      <c r="AA369" s="2912">
        <f>+AA357/'VVP2'!AA$341</f>
        <v>1.3186492177624423</v>
      </c>
      <c r="AB369" s="2912">
        <f>+AB357/'VVP2'!AB$341</f>
        <v>1.3284991434848992</v>
      </c>
      <c r="AC369" s="2912">
        <f ca="1">+AC357/'VVP2'!AC$341</f>
        <v>1.3394060063747202</v>
      </c>
      <c r="AD369" s="2912">
        <f ca="1">+AD357/'VVP2'!AD$341</f>
        <v>1.34522008926764</v>
      </c>
      <c r="AE369" s="2912">
        <f ca="1">+AE357/'VVP2'!AE$341</f>
        <v>1.347083251061828</v>
      </c>
    </row>
    <row r="370" spans="1:31" ht="30" customHeight="1">
      <c r="A370" s="664"/>
      <c r="B370" s="664"/>
      <c r="C370" s="774"/>
      <c r="AB370" s="2221"/>
      <c r="AC370" s="2221"/>
      <c r="AD370" s="2221"/>
      <c r="AE370" s="2221"/>
    </row>
    <row r="371" spans="1:31" ht="30" customHeight="1">
      <c r="AB371" s="2221"/>
      <c r="AC371" s="2221"/>
      <c r="AD371" s="2221"/>
      <c r="AE371" s="2221"/>
    </row>
    <row r="372" spans="1:31" ht="22.5" customHeight="1">
      <c r="A372" s="574"/>
      <c r="B372" s="574"/>
      <c r="C372" s="3752" t="s">
        <v>500</v>
      </c>
      <c r="D372" s="3752"/>
      <c r="E372" s="3752"/>
      <c r="F372" s="3752"/>
      <c r="AB372" s="2221"/>
      <c r="AC372" s="2221"/>
      <c r="AD372" s="2221"/>
      <c r="AE372" s="2221"/>
    </row>
    <row r="373" spans="1:31" ht="12.75" customHeight="1">
      <c r="A373" s="664"/>
      <c r="B373" s="664"/>
      <c r="C373" s="774"/>
      <c r="AB373" s="2221"/>
      <c r="AC373" s="2221"/>
      <c r="AD373" s="2221"/>
      <c r="AE373" s="2221"/>
    </row>
    <row r="374" spans="1:31" ht="12.75" customHeight="1">
      <c r="A374" s="664"/>
      <c r="B374" s="664"/>
      <c r="C374" s="774"/>
      <c r="D374" s="775"/>
      <c r="E374" s="776" t="s">
        <v>1384</v>
      </c>
      <c r="F374" s="777"/>
      <c r="G374" s="778">
        <f>+InputY!$G$3</f>
        <v>1995</v>
      </c>
      <c r="H374" s="778">
        <f>+G374+1</f>
        <v>1996</v>
      </c>
      <c r="I374" s="778">
        <f t="shared" ref="I374:O374" si="328">+H374+1</f>
        <v>1997</v>
      </c>
      <c r="J374" s="778">
        <f t="shared" si="328"/>
        <v>1998</v>
      </c>
      <c r="K374" s="778">
        <f>+J374+1</f>
        <v>1999</v>
      </c>
      <c r="L374" s="778">
        <f t="shared" si="328"/>
        <v>2000</v>
      </c>
      <c r="M374" s="778">
        <f t="shared" si="328"/>
        <v>2001</v>
      </c>
      <c r="N374" s="778">
        <f t="shared" si="328"/>
        <v>2002</v>
      </c>
      <c r="O374" s="778">
        <f t="shared" si="328"/>
        <v>2003</v>
      </c>
      <c r="P374" s="778">
        <f t="shared" ref="P374:V374" si="329">+O374+1</f>
        <v>2004</v>
      </c>
      <c r="Q374" s="778">
        <f t="shared" si="329"/>
        <v>2005</v>
      </c>
      <c r="R374" s="778">
        <f t="shared" si="329"/>
        <v>2006</v>
      </c>
      <c r="S374" s="778">
        <f>+R374+1</f>
        <v>2007</v>
      </c>
      <c r="T374" s="778">
        <f t="shared" si="329"/>
        <v>2008</v>
      </c>
      <c r="U374" s="778">
        <f t="shared" si="329"/>
        <v>2009</v>
      </c>
      <c r="V374" s="778">
        <f t="shared" si="329"/>
        <v>2010</v>
      </c>
      <c r="W374" s="778">
        <f t="shared" ref="W374:AE374" si="330">+V374+1</f>
        <v>2011</v>
      </c>
      <c r="X374" s="778">
        <f t="shared" si="330"/>
        <v>2012</v>
      </c>
      <c r="Y374" s="778">
        <f t="shared" si="330"/>
        <v>2013</v>
      </c>
      <c r="Z374" s="778">
        <f t="shared" si="330"/>
        <v>2014</v>
      </c>
      <c r="AA374" s="778">
        <f t="shared" si="330"/>
        <v>2015</v>
      </c>
      <c r="AB374" s="778">
        <f t="shared" si="330"/>
        <v>2016</v>
      </c>
      <c r="AC374" s="778">
        <f t="shared" si="330"/>
        <v>2017</v>
      </c>
      <c r="AD374" s="778">
        <f t="shared" si="330"/>
        <v>2018</v>
      </c>
      <c r="AE374" s="778">
        <f t="shared" si="330"/>
        <v>2019</v>
      </c>
    </row>
    <row r="375" spans="1:31" ht="12.75" customHeight="1">
      <c r="A375" s="664"/>
      <c r="B375" s="664"/>
      <c r="C375" s="779" t="s">
        <v>1767</v>
      </c>
      <c r="D375" s="668" t="s">
        <v>685</v>
      </c>
      <c r="E375" s="700" t="s">
        <v>500</v>
      </c>
      <c r="F375" s="701" t="s">
        <v>1699</v>
      </c>
      <c r="G375" s="780">
        <f t="shared" ref="G375:Q375" si="331">+G180-G201+G256-G259-G298+G302-G323+G324</f>
        <v>5.0302500000000006</v>
      </c>
      <c r="H375" s="780">
        <f t="shared" si="331"/>
        <v>6.1542399999999997</v>
      </c>
      <c r="I375" s="780">
        <f t="shared" si="331"/>
        <v>7.4089399999999994</v>
      </c>
      <c r="J375" s="780">
        <f t="shared" si="331"/>
        <v>8.5780499999999975</v>
      </c>
      <c r="K375" s="780">
        <f t="shared" si="331"/>
        <v>8.62256</v>
      </c>
      <c r="L375" s="780">
        <f t="shared" si="331"/>
        <v>9.2596199999999982</v>
      </c>
      <c r="M375" s="780">
        <f t="shared" si="331"/>
        <v>9.6920199999999976</v>
      </c>
      <c r="N375" s="780">
        <f t="shared" si="331"/>
        <v>10.246500000000001</v>
      </c>
      <c r="O375" s="780">
        <f t="shared" si="331"/>
        <v>10.94952</v>
      </c>
      <c r="P375" s="780">
        <f t="shared" si="331"/>
        <v>12.842179999999997</v>
      </c>
      <c r="Q375" s="780">
        <f t="shared" si="331"/>
        <v>14.067329999999998</v>
      </c>
      <c r="R375" s="780">
        <f t="shared" ref="R375:W375" si="332">+R180-R201+R256-R259-R298+R302-R323+R324</f>
        <v>16.19746</v>
      </c>
      <c r="S375" s="780">
        <f t="shared" si="332"/>
        <v>17.494710000000005</v>
      </c>
      <c r="T375" s="780">
        <f>+T180-T201+T256-T259-T298+T302-T323+T324</f>
        <v>20.845770000000002</v>
      </c>
      <c r="U375" s="780">
        <f>+U180-U201+U256-U259-U298+U302-U323+U324</f>
        <v>19.200190000000003</v>
      </c>
      <c r="V375" s="846">
        <f>+V180-V201+V256-V259-V298+V302-V323+V324</f>
        <v>19.366199999999996</v>
      </c>
      <c r="W375" s="846">
        <f t="shared" si="332"/>
        <v>20.382950000000001</v>
      </c>
      <c r="X375" s="846">
        <f t="shared" ref="X375:AC375" si="333">+X180-X201+X256-X259-X298+X302-X323+X324</f>
        <v>21.072290000000002</v>
      </c>
      <c r="Y375" s="846">
        <f t="shared" si="333"/>
        <v>22.277229999999999</v>
      </c>
      <c r="Z375" s="846">
        <f t="shared" si="333"/>
        <v>22.693330000000003</v>
      </c>
      <c r="AA375" s="846">
        <f t="shared" si="333"/>
        <v>23.344859999999997</v>
      </c>
      <c r="AB375" s="846">
        <f t="shared" si="333"/>
        <v>24.61242</v>
      </c>
      <c r="AC375" s="846">
        <f t="shared" si="333"/>
        <v>26.297948635219374</v>
      </c>
      <c r="AD375" s="846">
        <f>+AD180-AD201+AD256-AD259-AD298+AD302-AD323+AD324</f>
        <v>27.809516388871803</v>
      </c>
      <c r="AE375" s="846">
        <f>+AE180-AE201+AE256-AE259-AE298+AE302-AE323+AE324</f>
        <v>29.260905930205045</v>
      </c>
    </row>
    <row r="376" spans="1:31" ht="12.75" customHeight="1">
      <c r="A376" s="664"/>
      <c r="B376" s="664"/>
      <c r="C376" s="782" t="s">
        <v>1767</v>
      </c>
      <c r="D376" s="674" t="s">
        <v>686</v>
      </c>
      <c r="E376" s="783" t="s">
        <v>500</v>
      </c>
      <c r="F376" s="704" t="s">
        <v>2024</v>
      </c>
      <c r="G376" s="706">
        <f t="shared" ref="G376:Q376" si="334">+G181-G202+G257-G299-G325+G326</f>
        <v>0.74860000000000004</v>
      </c>
      <c r="H376" s="706">
        <f t="shared" si="334"/>
        <v>1.1222399999999992</v>
      </c>
      <c r="I376" s="706">
        <f t="shared" si="334"/>
        <v>1.1396900000000001</v>
      </c>
      <c r="J376" s="706">
        <f t="shared" si="334"/>
        <v>0.9673999999999997</v>
      </c>
      <c r="K376" s="706">
        <f t="shared" si="334"/>
        <v>0.91667000000000043</v>
      </c>
      <c r="L376" s="706">
        <f t="shared" si="334"/>
        <v>0.94606000000000012</v>
      </c>
      <c r="M376" s="706">
        <f t="shared" si="334"/>
        <v>1.4919999999999998</v>
      </c>
      <c r="N376" s="706">
        <f t="shared" si="334"/>
        <v>1.6360799999999995</v>
      </c>
      <c r="O376" s="706">
        <f t="shared" si="334"/>
        <v>1.9779100000000005</v>
      </c>
      <c r="P376" s="706">
        <f t="shared" si="334"/>
        <v>1.413689999999999</v>
      </c>
      <c r="Q376" s="706">
        <f t="shared" si="334"/>
        <v>2.5041100000000007</v>
      </c>
      <c r="R376" s="706">
        <f t="shared" ref="R376:W376" si="335">+R181-R202+R257-R299-R325+R326</f>
        <v>2.4773699999999987</v>
      </c>
      <c r="S376" s="706">
        <f t="shared" si="335"/>
        <v>4.7832200000000018</v>
      </c>
      <c r="T376" s="706">
        <f>+T181-T202+T257-T299-T325+T326</f>
        <v>4.66289</v>
      </c>
      <c r="U376" s="706">
        <f>+U181-U202+U257-U299-U325+U326</f>
        <v>4.5781899999999993</v>
      </c>
      <c r="V376" s="792">
        <f>+V181-V202+V257-V299-V325+V326</f>
        <v>4.6819099999999985</v>
      </c>
      <c r="W376" s="792">
        <f t="shared" si="335"/>
        <v>5.4603300000000008</v>
      </c>
      <c r="X376" s="792">
        <f t="shared" ref="X376:AC376" si="336">+X181-X202+X257-X299-X325+X326</f>
        <v>6.1798399999999996</v>
      </c>
      <c r="Y376" s="792">
        <f t="shared" si="336"/>
        <v>6.8889999999999985</v>
      </c>
      <c r="Z376" s="792">
        <f t="shared" si="336"/>
        <v>7.9933800000000019</v>
      </c>
      <c r="AA376" s="792">
        <f t="shared" si="336"/>
        <v>6.2198299999999991</v>
      </c>
      <c r="AB376" s="792">
        <f t="shared" si="336"/>
        <v>5.5452400000000006</v>
      </c>
      <c r="AC376" s="792">
        <f t="shared" si="336"/>
        <v>6.38201047</v>
      </c>
      <c r="AD376" s="792">
        <f ca="1">+AD181-AD202+AD257-AD299-AD325+AD326</f>
        <v>6.883136202099327</v>
      </c>
      <c r="AE376" s="792">
        <f ca="1">+AE181-AE202+AE257-AE299-AE325+AE326</f>
        <v>7.4497301178579685</v>
      </c>
    </row>
    <row r="377" spans="1:31" ht="12.75" customHeight="1">
      <c r="A377" s="664"/>
      <c r="B377" s="664"/>
      <c r="C377" s="782" t="s">
        <v>1767</v>
      </c>
      <c r="D377" s="674" t="s">
        <v>687</v>
      </c>
      <c r="E377" s="783" t="s">
        <v>500</v>
      </c>
      <c r="F377" s="704" t="s">
        <v>1463</v>
      </c>
      <c r="G377" s="706">
        <f t="shared" ref="G377:Q377" si="337">+G182-G203+G205+G255-G300-G327+G328</f>
        <v>2.0991300000000006</v>
      </c>
      <c r="H377" s="706">
        <f t="shared" si="337"/>
        <v>2.5033699999999994</v>
      </c>
      <c r="I377" s="706">
        <f t="shared" si="337"/>
        <v>3.2201599999999999</v>
      </c>
      <c r="J377" s="706">
        <f t="shared" si="337"/>
        <v>3.4574699999999994</v>
      </c>
      <c r="K377" s="706">
        <f t="shared" si="337"/>
        <v>3.0838200000000007</v>
      </c>
      <c r="L377" s="706">
        <f t="shared" si="337"/>
        <v>3.2071000000000005</v>
      </c>
      <c r="M377" s="706">
        <f t="shared" si="337"/>
        <v>3.1128500000000003</v>
      </c>
      <c r="N377" s="706">
        <f t="shared" si="337"/>
        <v>3.3917900000000007</v>
      </c>
      <c r="O377" s="706">
        <f t="shared" si="337"/>
        <v>3.5757000000000003</v>
      </c>
      <c r="P377" s="706">
        <f t="shared" si="337"/>
        <v>3.9161900000000003</v>
      </c>
      <c r="Q377" s="706">
        <f t="shared" si="337"/>
        <v>4.4707799999999995</v>
      </c>
      <c r="R377" s="706">
        <f t="shared" ref="R377:W377" si="338">+R182-R203+R205+R255-R300-R327+R328</f>
        <v>5.4190799999999992</v>
      </c>
      <c r="S377" s="706">
        <f t="shared" si="338"/>
        <v>6.2412900000000002</v>
      </c>
      <c r="T377" s="706">
        <f>+T182-T203+T205+T255-T300-T327+T328</f>
        <v>6.6688399999999994</v>
      </c>
      <c r="U377" s="706">
        <f>+U182-U203+U205+U255-U300-U327+U328</f>
        <v>4.1837900000000001</v>
      </c>
      <c r="V377" s="792">
        <f>+V182-V203+V205+V255-V300-V327+V328</f>
        <v>4.4172100000000007</v>
      </c>
      <c r="W377" s="792">
        <f t="shared" si="338"/>
        <v>5.0321400000000018</v>
      </c>
      <c r="X377" s="792">
        <f t="shared" ref="X377:AC377" si="339">+X182-X203+X205+X255-X300-X327+X328</f>
        <v>5.4937100000000001</v>
      </c>
      <c r="Y377" s="792">
        <f t="shared" si="339"/>
        <v>5.8540799999999988</v>
      </c>
      <c r="Z377" s="792">
        <f t="shared" si="339"/>
        <v>6.5769300000000017</v>
      </c>
      <c r="AA377" s="792">
        <f t="shared" si="339"/>
        <v>7.2839900000000002</v>
      </c>
      <c r="AB377" s="792">
        <f>+AB182-AB203+AB205+AB255-AB300-AB327+AB328</f>
        <v>7.7750100000000026</v>
      </c>
      <c r="AC377" s="3319">
        <f t="shared" si="339"/>
        <v>8.4769993027806301</v>
      </c>
      <c r="AD377" s="3319">
        <f>+AD182-AD203+AD205+AD255-AD300-AD327+AD328</f>
        <v>8.8254732626661472</v>
      </c>
      <c r="AE377" s="3319">
        <f>+AE182-AE203+AE205+AE255-AE300-AE327+AE328</f>
        <v>9.2760631201102939</v>
      </c>
    </row>
    <row r="378" spans="1:31" ht="12.75" customHeight="1">
      <c r="A378" s="664"/>
      <c r="B378" s="664"/>
      <c r="C378" s="784" t="s">
        <v>1769</v>
      </c>
      <c r="D378" s="752"/>
      <c r="E378" s="753" t="s">
        <v>500</v>
      </c>
      <c r="F378" s="754" t="s">
        <v>2025</v>
      </c>
      <c r="G378" s="785">
        <f>+G375+G376+G377</f>
        <v>7.8779800000000009</v>
      </c>
      <c r="H378" s="785">
        <f t="shared" ref="H378:S378" si="340">+H375+H376+H377</f>
        <v>9.7798499999999997</v>
      </c>
      <c r="I378" s="785">
        <f t="shared" si="340"/>
        <v>11.768789999999999</v>
      </c>
      <c r="J378" s="785">
        <f t="shared" si="340"/>
        <v>13.002919999999996</v>
      </c>
      <c r="K378" s="785">
        <f t="shared" si="340"/>
        <v>12.623050000000001</v>
      </c>
      <c r="L378" s="785">
        <f t="shared" si="340"/>
        <v>13.412779999999998</v>
      </c>
      <c r="M378" s="785">
        <f t="shared" si="340"/>
        <v>14.296869999999997</v>
      </c>
      <c r="N378" s="785">
        <f t="shared" si="340"/>
        <v>15.274370000000001</v>
      </c>
      <c r="O378" s="785">
        <f t="shared" si="340"/>
        <v>16.503130000000002</v>
      </c>
      <c r="P378" s="785">
        <f t="shared" si="340"/>
        <v>18.172059999999995</v>
      </c>
      <c r="Q378" s="785">
        <f t="shared" si="340"/>
        <v>21.04222</v>
      </c>
      <c r="R378" s="785">
        <f t="shared" si="340"/>
        <v>24.093910000000001</v>
      </c>
      <c r="S378" s="785">
        <f t="shared" si="340"/>
        <v>28.519220000000004</v>
      </c>
      <c r="T378" s="785">
        <f t="shared" ref="T378:Y378" si="341">+T375+T376+T377</f>
        <v>32.177500000000002</v>
      </c>
      <c r="U378" s="785">
        <f t="shared" si="341"/>
        <v>27.96217</v>
      </c>
      <c r="V378" s="844">
        <f t="shared" si="341"/>
        <v>28.465319999999995</v>
      </c>
      <c r="W378" s="844">
        <f t="shared" si="341"/>
        <v>30.875420000000002</v>
      </c>
      <c r="X378" s="844">
        <f t="shared" si="341"/>
        <v>32.745840000000001</v>
      </c>
      <c r="Y378" s="844">
        <f t="shared" si="341"/>
        <v>35.020309999999995</v>
      </c>
      <c r="Z378" s="844">
        <f t="shared" ref="Z378:AE378" si="342">+Z375+Z376+Z377</f>
        <v>37.263640000000009</v>
      </c>
      <c r="AA378" s="844">
        <f t="shared" si="342"/>
        <v>36.848679999999995</v>
      </c>
      <c r="AB378" s="844">
        <f t="shared" si="342"/>
        <v>37.932670000000002</v>
      </c>
      <c r="AC378" s="844">
        <f t="shared" si="342"/>
        <v>41.156958408000008</v>
      </c>
      <c r="AD378" s="844">
        <f t="shared" ca="1" si="342"/>
        <v>43.518125853637272</v>
      </c>
      <c r="AE378" s="844">
        <f t="shared" ca="1" si="342"/>
        <v>45.98669916817331</v>
      </c>
    </row>
    <row r="379" spans="1:31">
      <c r="A379" s="664"/>
      <c r="B379" s="664"/>
      <c r="Q379" s="699"/>
      <c r="R379" s="699"/>
      <c r="S379" s="699"/>
      <c r="T379" s="843"/>
      <c r="U379" s="843"/>
      <c r="V379" s="843"/>
      <c r="W379" s="843"/>
      <c r="X379" s="843"/>
      <c r="Y379" s="843"/>
      <c r="Z379" s="843"/>
      <c r="AA379" s="843"/>
      <c r="AB379" s="843"/>
      <c r="AC379" s="843"/>
      <c r="AD379" s="843"/>
      <c r="AE379" s="843"/>
    </row>
    <row r="380" spans="1:31" ht="12.75" customHeight="1">
      <c r="A380" s="664"/>
      <c r="B380" s="664"/>
      <c r="C380" s="774"/>
      <c r="D380" s="742"/>
      <c r="E380" s="743" t="s">
        <v>1311</v>
      </c>
      <c r="F380" s="744"/>
      <c r="G380" s="745">
        <f>+InputY!$G$3</f>
        <v>1995</v>
      </c>
      <c r="H380" s="745">
        <f>+G380+1</f>
        <v>1996</v>
      </c>
      <c r="I380" s="745">
        <f t="shared" ref="I380:O380" si="343">+H380+1</f>
        <v>1997</v>
      </c>
      <c r="J380" s="745">
        <f t="shared" si="343"/>
        <v>1998</v>
      </c>
      <c r="K380" s="745">
        <f>+J380+1</f>
        <v>1999</v>
      </c>
      <c r="L380" s="745">
        <f t="shared" si="343"/>
        <v>2000</v>
      </c>
      <c r="M380" s="745">
        <f t="shared" si="343"/>
        <v>2001</v>
      </c>
      <c r="N380" s="745">
        <f t="shared" si="343"/>
        <v>2002</v>
      </c>
      <c r="O380" s="745">
        <f t="shared" si="343"/>
        <v>2003</v>
      </c>
      <c r="P380" s="745">
        <f t="shared" ref="P380:V380" si="344">+O380+1</f>
        <v>2004</v>
      </c>
      <c r="Q380" s="745">
        <f t="shared" si="344"/>
        <v>2005</v>
      </c>
      <c r="R380" s="745">
        <f t="shared" si="344"/>
        <v>2006</v>
      </c>
      <c r="S380" s="745">
        <f>+R380+1</f>
        <v>2007</v>
      </c>
      <c r="T380" s="745">
        <f t="shared" si="344"/>
        <v>2008</v>
      </c>
      <c r="U380" s="745">
        <f t="shared" si="344"/>
        <v>2009</v>
      </c>
      <c r="V380" s="745">
        <f t="shared" si="344"/>
        <v>2010</v>
      </c>
      <c r="W380" s="745">
        <f t="shared" ref="W380:AE380" si="345">+V380+1</f>
        <v>2011</v>
      </c>
      <c r="X380" s="745">
        <f t="shared" si="345"/>
        <v>2012</v>
      </c>
      <c r="Y380" s="745">
        <f t="shared" si="345"/>
        <v>2013</v>
      </c>
      <c r="Z380" s="745">
        <f t="shared" si="345"/>
        <v>2014</v>
      </c>
      <c r="AA380" s="745">
        <f t="shared" si="345"/>
        <v>2015</v>
      </c>
      <c r="AB380" s="745">
        <f t="shared" si="345"/>
        <v>2016</v>
      </c>
      <c r="AC380" s="745">
        <f t="shared" si="345"/>
        <v>2017</v>
      </c>
      <c r="AD380" s="745">
        <f t="shared" si="345"/>
        <v>2018</v>
      </c>
      <c r="AE380" s="745">
        <f t="shared" si="345"/>
        <v>2019</v>
      </c>
    </row>
    <row r="381" spans="1:31" ht="12.75" customHeight="1">
      <c r="A381" s="664"/>
      <c r="B381" s="664"/>
      <c r="C381" s="794" t="s">
        <v>1767</v>
      </c>
      <c r="D381" s="689" t="s">
        <v>685</v>
      </c>
      <c r="E381" s="738" t="s">
        <v>500</v>
      </c>
      <c r="F381" s="733" t="s">
        <v>1699</v>
      </c>
      <c r="G381" s="739"/>
      <c r="H381" s="739">
        <f t="shared" ref="H381:S381" si="346">(H375/G375-1)*100</f>
        <v>22.344615078773412</v>
      </c>
      <c r="I381" s="739">
        <f t="shared" si="346"/>
        <v>20.387570195507475</v>
      </c>
      <c r="J381" s="739">
        <f t="shared" si="346"/>
        <v>15.779720175895573</v>
      </c>
      <c r="K381" s="739">
        <f>(K375/J375-1)*100</f>
        <v>0.5188824966047445</v>
      </c>
      <c r="L381" s="739">
        <f t="shared" si="346"/>
        <v>7.3882930359429055</v>
      </c>
      <c r="M381" s="739">
        <f t="shared" si="346"/>
        <v>4.6697380670049027</v>
      </c>
      <c r="N381" s="739">
        <f t="shared" si="346"/>
        <v>5.7209952104927853</v>
      </c>
      <c r="O381" s="739">
        <f t="shared" si="346"/>
        <v>6.8610745132484219</v>
      </c>
      <c r="P381" s="739">
        <f t="shared" si="346"/>
        <v>17.28532392287514</v>
      </c>
      <c r="Q381" s="739">
        <f t="shared" si="346"/>
        <v>9.5400469390711109</v>
      </c>
      <c r="R381" s="739">
        <f t="shared" si="346"/>
        <v>15.14239020482211</v>
      </c>
      <c r="S381" s="739">
        <f t="shared" si="346"/>
        <v>8.0089717770564395</v>
      </c>
      <c r="T381" s="2907">
        <f t="shared" ref="T381:AE384" si="347">(T375/S375-1)*100</f>
        <v>19.154704479239705</v>
      </c>
      <c r="U381" s="2907">
        <f t="shared" si="347"/>
        <v>-7.8940715550444907</v>
      </c>
      <c r="V381" s="2907">
        <f t="shared" si="347"/>
        <v>0.86462686046331338</v>
      </c>
      <c r="W381" s="2907">
        <f t="shared" si="347"/>
        <v>5.250126509072528</v>
      </c>
      <c r="X381" s="2907">
        <f t="shared" si="347"/>
        <v>3.3819442229902963</v>
      </c>
      <c r="Y381" s="2907">
        <f t="shared" si="347"/>
        <v>5.7181255573077072</v>
      </c>
      <c r="Z381" s="2907">
        <f t="shared" si="347"/>
        <v>1.8678264757333141</v>
      </c>
      <c r="AA381" s="2907">
        <f t="shared" si="347"/>
        <v>2.8710198106667972</v>
      </c>
      <c r="AB381" s="2907">
        <f t="shared" si="347"/>
        <v>5.4297177194466029</v>
      </c>
      <c r="AC381" s="2907">
        <f t="shared" si="347"/>
        <v>6.8482848708878441</v>
      </c>
      <c r="AD381" s="2907">
        <f t="shared" si="347"/>
        <v>5.7478542323566195</v>
      </c>
      <c r="AE381" s="2907">
        <f t="shared" si="347"/>
        <v>5.2190391268868819</v>
      </c>
    </row>
    <row r="382" spans="1:31" ht="12.75" customHeight="1">
      <c r="A382" s="664"/>
      <c r="B382" s="664"/>
      <c r="C382" s="795" t="s">
        <v>1767</v>
      </c>
      <c r="D382" s="674" t="s">
        <v>686</v>
      </c>
      <c r="E382" s="783" t="s">
        <v>500</v>
      </c>
      <c r="F382" s="704" t="s">
        <v>2024</v>
      </c>
      <c r="G382" s="706"/>
      <c r="H382" s="706">
        <f t="shared" ref="H382:S382" si="348">(H376/G376-1)*100</f>
        <v>49.911835426128668</v>
      </c>
      <c r="I382" s="706">
        <f t="shared" si="348"/>
        <v>1.5549258625606743</v>
      </c>
      <c r="J382" s="706">
        <f t="shared" si="348"/>
        <v>-15.117268730970734</v>
      </c>
      <c r="K382" s="706">
        <f>(K376/J376-1)*100</f>
        <v>-5.2439528633449806</v>
      </c>
      <c r="L382" s="706">
        <f t="shared" si="348"/>
        <v>3.2061701593812053</v>
      </c>
      <c r="M382" s="706">
        <f t="shared" si="348"/>
        <v>57.70669936367667</v>
      </c>
      <c r="N382" s="706">
        <f t="shared" si="348"/>
        <v>9.6568364611259838</v>
      </c>
      <c r="O382" s="706">
        <f t="shared" si="348"/>
        <v>20.89323260476268</v>
      </c>
      <c r="P382" s="706">
        <f t="shared" si="348"/>
        <v>-28.526070448099329</v>
      </c>
      <c r="Q382" s="706">
        <f t="shared" si="348"/>
        <v>77.132893350027416</v>
      </c>
      <c r="R382" s="706">
        <f t="shared" si="348"/>
        <v>-1.0678444637017503</v>
      </c>
      <c r="S382" s="706">
        <f t="shared" si="348"/>
        <v>93.076528738137782</v>
      </c>
      <c r="T382" s="792">
        <f t="shared" si="347"/>
        <v>-2.5156693608071934</v>
      </c>
      <c r="U382" s="792">
        <f t="shared" si="347"/>
        <v>-1.8164700432564462</v>
      </c>
      <c r="V382" s="792">
        <f t="shared" si="347"/>
        <v>2.2655241481895461</v>
      </c>
      <c r="W382" s="792">
        <f t="shared" si="347"/>
        <v>16.626120536276922</v>
      </c>
      <c r="X382" s="792">
        <f t="shared" si="347"/>
        <v>13.177042413187468</v>
      </c>
      <c r="Y382" s="792">
        <f t="shared" si="347"/>
        <v>11.475378003313974</v>
      </c>
      <c r="Z382" s="792">
        <f t="shared" si="347"/>
        <v>16.031064015096575</v>
      </c>
      <c r="AA382" s="792">
        <f t="shared" si="347"/>
        <v>-22.187735351002992</v>
      </c>
      <c r="AB382" s="792">
        <f t="shared" si="347"/>
        <v>-10.845794820758748</v>
      </c>
      <c r="AC382" s="792">
        <f t="shared" si="347"/>
        <v>15.089887362855347</v>
      </c>
      <c r="AD382" s="792">
        <f t="shared" ca="1" si="347"/>
        <v>7.8521609209977861</v>
      </c>
      <c r="AE382" s="792">
        <f t="shared" ca="1" si="347"/>
        <v>8.2316243514959364</v>
      </c>
    </row>
    <row r="383" spans="1:31" ht="12.75" customHeight="1">
      <c r="A383" s="664"/>
      <c r="B383" s="664"/>
      <c r="C383" s="796" t="s">
        <v>1767</v>
      </c>
      <c r="D383" s="691" t="s">
        <v>687</v>
      </c>
      <c r="E383" s="797" t="s">
        <v>500</v>
      </c>
      <c r="F383" s="736" t="s">
        <v>1463</v>
      </c>
      <c r="G383" s="741"/>
      <c r="H383" s="741">
        <f t="shared" ref="H383:S383" si="349">(H377/G377-1)*100</f>
        <v>19.257501917460985</v>
      </c>
      <c r="I383" s="741">
        <f t="shared" si="349"/>
        <v>28.633002712343792</v>
      </c>
      <c r="J383" s="741">
        <f t="shared" si="349"/>
        <v>7.3695095895855989</v>
      </c>
      <c r="K383" s="741">
        <f>(K377/J377-1)*100</f>
        <v>-10.80703520204076</v>
      </c>
      <c r="L383" s="741">
        <f t="shared" si="349"/>
        <v>3.9976392915280323</v>
      </c>
      <c r="M383" s="741">
        <f t="shared" si="349"/>
        <v>-2.9387920551276925</v>
      </c>
      <c r="N383" s="741">
        <f t="shared" si="349"/>
        <v>8.9609200571823422</v>
      </c>
      <c r="O383" s="741">
        <f t="shared" si="349"/>
        <v>5.4222106911099965</v>
      </c>
      <c r="P383" s="741">
        <f t="shared" si="349"/>
        <v>9.5223312917750427</v>
      </c>
      <c r="Q383" s="741">
        <f t="shared" si="349"/>
        <v>14.161468161657108</v>
      </c>
      <c r="R383" s="741">
        <f t="shared" si="349"/>
        <v>21.211063841208922</v>
      </c>
      <c r="S383" s="741">
        <f t="shared" si="349"/>
        <v>15.172501605438594</v>
      </c>
      <c r="T383" s="2908">
        <f t="shared" si="347"/>
        <v>6.850346643081795</v>
      </c>
      <c r="U383" s="2908">
        <f t="shared" si="347"/>
        <v>-37.263602065726566</v>
      </c>
      <c r="V383" s="2908">
        <f t="shared" si="347"/>
        <v>5.5791519172807558</v>
      </c>
      <c r="W383" s="2908">
        <f t="shared" si="347"/>
        <v>13.921230822170582</v>
      </c>
      <c r="X383" s="2908">
        <f t="shared" si="347"/>
        <v>9.1724395585178087</v>
      </c>
      <c r="Y383" s="2908">
        <f t="shared" si="347"/>
        <v>6.5596837110076578</v>
      </c>
      <c r="Z383" s="2908">
        <f t="shared" si="347"/>
        <v>12.34779845851104</v>
      </c>
      <c r="AA383" s="2908">
        <f t="shared" si="347"/>
        <v>10.750608566610831</v>
      </c>
      <c r="AB383" s="2908">
        <f t="shared" si="347"/>
        <v>6.7410855863339059</v>
      </c>
      <c r="AC383" s="2908">
        <f t="shared" si="347"/>
        <v>9.0287897093460643</v>
      </c>
      <c r="AD383" s="2908">
        <f t="shared" si="347"/>
        <v>4.1108173710856732</v>
      </c>
      <c r="AE383" s="2908">
        <f t="shared" si="347"/>
        <v>5.1055602802656308</v>
      </c>
    </row>
    <row r="384" spans="1:31" ht="12.75" customHeight="1">
      <c r="A384" s="664"/>
      <c r="B384" s="664"/>
      <c r="C384" s="774" t="s">
        <v>1769</v>
      </c>
      <c r="D384" s="717" t="s">
        <v>688</v>
      </c>
      <c r="E384" s="722" t="s">
        <v>500</v>
      </c>
      <c r="F384" s="723" t="s">
        <v>2025</v>
      </c>
      <c r="G384" s="721"/>
      <c r="H384" s="721">
        <f t="shared" ref="H384:S384" si="350">(H378/G378-1)*100</f>
        <v>24.141594672746038</v>
      </c>
      <c r="I384" s="721">
        <f t="shared" si="350"/>
        <v>20.337121734995932</v>
      </c>
      <c r="J384" s="721">
        <f t="shared" si="350"/>
        <v>10.486464623805825</v>
      </c>
      <c r="K384" s="721">
        <f>(K378/J378-1)*100</f>
        <v>-2.921420727036661</v>
      </c>
      <c r="L384" s="721">
        <f t="shared" si="350"/>
        <v>6.2562534411255255</v>
      </c>
      <c r="M384" s="721">
        <f t="shared" si="350"/>
        <v>6.5914001422523905</v>
      </c>
      <c r="N384" s="721">
        <f t="shared" si="350"/>
        <v>6.8371608610836132</v>
      </c>
      <c r="O384" s="721">
        <f t="shared" si="350"/>
        <v>8.0445871089936958</v>
      </c>
      <c r="P384" s="721">
        <f t="shared" si="350"/>
        <v>10.112808903523106</v>
      </c>
      <c r="Q384" s="721">
        <f t="shared" si="350"/>
        <v>15.794356831311408</v>
      </c>
      <c r="R384" s="721">
        <f t="shared" si="350"/>
        <v>14.502699810191121</v>
      </c>
      <c r="S384" s="721">
        <f t="shared" si="350"/>
        <v>18.366923425878177</v>
      </c>
      <c r="T384" s="801">
        <f t="shared" si="347"/>
        <v>12.827419543732255</v>
      </c>
      <c r="U384" s="801">
        <f t="shared" si="347"/>
        <v>-13.10024085152669</v>
      </c>
      <c r="V384" s="801">
        <f t="shared" si="347"/>
        <v>1.7993953974244192</v>
      </c>
      <c r="W384" s="801">
        <f t="shared" si="347"/>
        <v>8.4667939794810252</v>
      </c>
      <c r="X384" s="801">
        <f t="shared" si="347"/>
        <v>6.0579580779791753</v>
      </c>
      <c r="Y384" s="801">
        <f t="shared" si="347"/>
        <v>6.9458288442134641</v>
      </c>
      <c r="Z384" s="801">
        <f t="shared" si="347"/>
        <v>6.4057970931725494</v>
      </c>
      <c r="AA384" s="801">
        <f t="shared" si="347"/>
        <v>-1.1135788130199109</v>
      </c>
      <c r="AB384" s="801">
        <f t="shared" si="347"/>
        <v>2.9417335980556292</v>
      </c>
      <c r="AC384" s="801">
        <f t="shared" si="347"/>
        <v>8.5000302061521325</v>
      </c>
      <c r="AD384" s="801">
        <f t="shared" ca="1" si="347"/>
        <v>5.736982364513854</v>
      </c>
      <c r="AE384" s="801">
        <f t="shared" ca="1" si="347"/>
        <v>5.67251752255713</v>
      </c>
    </row>
    <row r="385" spans="1:31" ht="12.75" customHeight="1">
      <c r="A385" s="664"/>
      <c r="B385" s="664"/>
      <c r="C385" s="774"/>
      <c r="E385" s="786"/>
      <c r="F385" s="787"/>
      <c r="G385" s="703"/>
      <c r="H385" s="788"/>
      <c r="I385" s="703"/>
      <c r="J385" s="703"/>
      <c r="K385" s="703"/>
      <c r="L385" s="703"/>
      <c r="M385" s="703"/>
      <c r="N385" s="703"/>
      <c r="O385" s="703"/>
      <c r="P385" s="703"/>
      <c r="Q385" s="703"/>
      <c r="R385" s="703"/>
      <c r="S385" s="703"/>
      <c r="T385" s="845"/>
      <c r="U385" s="845"/>
      <c r="V385" s="845"/>
      <c r="W385" s="845"/>
      <c r="X385" s="845"/>
      <c r="Y385" s="845"/>
      <c r="Z385" s="845"/>
      <c r="AA385" s="845"/>
      <c r="AB385" s="845"/>
      <c r="AC385" s="845"/>
      <c r="AD385" s="845"/>
      <c r="AE385" s="845"/>
    </row>
    <row r="386" spans="1:31" ht="12.75" customHeight="1">
      <c r="A386" s="664"/>
      <c r="B386" s="664"/>
      <c r="C386" s="774"/>
      <c r="D386" s="818"/>
      <c r="E386" s="819" t="s">
        <v>512</v>
      </c>
      <c r="F386" s="820"/>
      <c r="G386" s="821">
        <f>+InputY!$G$3</f>
        <v>1995</v>
      </c>
      <c r="H386" s="821">
        <f>+G386+1</f>
        <v>1996</v>
      </c>
      <c r="I386" s="821">
        <f t="shared" ref="I386:O386" si="351">+H386+1</f>
        <v>1997</v>
      </c>
      <c r="J386" s="821">
        <f t="shared" si="351"/>
        <v>1998</v>
      </c>
      <c r="K386" s="821">
        <f>+J386+1</f>
        <v>1999</v>
      </c>
      <c r="L386" s="821">
        <f t="shared" si="351"/>
        <v>2000</v>
      </c>
      <c r="M386" s="821">
        <f t="shared" si="351"/>
        <v>2001</v>
      </c>
      <c r="N386" s="821">
        <f t="shared" si="351"/>
        <v>2002</v>
      </c>
      <c r="O386" s="821">
        <f t="shared" si="351"/>
        <v>2003</v>
      </c>
      <c r="P386" s="821">
        <f t="shared" ref="P386:V386" si="352">+O386+1</f>
        <v>2004</v>
      </c>
      <c r="Q386" s="821">
        <f t="shared" si="352"/>
        <v>2005</v>
      </c>
      <c r="R386" s="821">
        <f t="shared" si="352"/>
        <v>2006</v>
      </c>
      <c r="S386" s="821">
        <f>+R386+1</f>
        <v>2007</v>
      </c>
      <c r="T386" s="821">
        <f t="shared" si="352"/>
        <v>2008</v>
      </c>
      <c r="U386" s="821">
        <f t="shared" si="352"/>
        <v>2009</v>
      </c>
      <c r="V386" s="821">
        <f t="shared" si="352"/>
        <v>2010</v>
      </c>
      <c r="W386" s="821">
        <f t="shared" ref="W386:AE386" si="353">+V386+1</f>
        <v>2011</v>
      </c>
      <c r="X386" s="821">
        <f t="shared" si="353"/>
        <v>2012</v>
      </c>
      <c r="Y386" s="821">
        <f t="shared" si="353"/>
        <v>2013</v>
      </c>
      <c r="Z386" s="821">
        <f t="shared" si="353"/>
        <v>2014</v>
      </c>
      <c r="AA386" s="821">
        <f t="shared" si="353"/>
        <v>2015</v>
      </c>
      <c r="AB386" s="821">
        <f t="shared" si="353"/>
        <v>2016</v>
      </c>
      <c r="AC386" s="821">
        <f t="shared" si="353"/>
        <v>2017</v>
      </c>
      <c r="AD386" s="821">
        <f t="shared" si="353"/>
        <v>2018</v>
      </c>
      <c r="AE386" s="821">
        <f t="shared" si="353"/>
        <v>2019</v>
      </c>
    </row>
    <row r="387" spans="1:31" ht="12.75" customHeight="1">
      <c r="A387" s="664"/>
      <c r="B387" s="664"/>
      <c r="C387" s="822" t="s">
        <v>1767</v>
      </c>
      <c r="D387" s="823" t="s">
        <v>685</v>
      </c>
      <c r="E387" s="824" t="s">
        <v>500</v>
      </c>
      <c r="F387" s="825" t="s">
        <v>1699</v>
      </c>
      <c r="G387" s="838">
        <f>+G375/'VVP2'!G$341</f>
        <v>0.64784990205459969</v>
      </c>
      <c r="H387" s="838">
        <f>+H375/'VVP2'!H$341</f>
        <v>0.63353355671880707</v>
      </c>
      <c r="I387" s="838">
        <f>+I375/'VVP2'!I$341</f>
        <v>0.63192810853318815</v>
      </c>
      <c r="J387" s="838">
        <f>+J375/'VVP2'!J$341</f>
        <v>0.65873724078402929</v>
      </c>
      <c r="K387" s="838">
        <f>+K375/'VVP2'!K$341</f>
        <v>0.67829654942385509</v>
      </c>
      <c r="L387" s="838">
        <f>+L375/'VVP2'!L$341</f>
        <v>0.69266122987571965</v>
      </c>
      <c r="M387" s="838">
        <f>+M375/'VVP2'!M$341</f>
        <v>0.68280012286431646</v>
      </c>
      <c r="N387" s="838">
        <f>+N375/'VVP2'!N$341</f>
        <v>0.67401561750723749</v>
      </c>
      <c r="O387" s="838">
        <f>+O375/'VVP2'!O$341</f>
        <v>0.65689972930945117</v>
      </c>
      <c r="P387" s="838">
        <f>+P375/'VVP2'!P$341</f>
        <v>0.70415490532807812</v>
      </c>
      <c r="Q387" s="838">
        <f>+Q375/'VVP2'!Q$341</f>
        <v>0.66979790356793401</v>
      </c>
      <c r="R387" s="838">
        <f>+R375/'VVP2'!R$341</f>
        <v>0.67267490005888897</v>
      </c>
      <c r="S387" s="838">
        <f>+S375/'VVP2'!S$341</f>
        <v>0.60242122596387293</v>
      </c>
      <c r="T387" s="2909">
        <f>+T375/'VVP2'!T$341</f>
        <v>0.63755785061786852</v>
      </c>
      <c r="U387" s="2909">
        <f>+U375/'VVP2'!U$341</f>
        <v>0.71283899428323649</v>
      </c>
      <c r="V387" s="2909">
        <f>+V375/'VVP2'!V$341</f>
        <v>0.69096742289581059</v>
      </c>
      <c r="W387" s="2909">
        <f>+W375/'VVP2'!W$341</f>
        <v>0.6517263452460279</v>
      </c>
      <c r="X387" s="2909">
        <f>+X375/'VVP2'!X$341</f>
        <v>0.63188157301322279</v>
      </c>
      <c r="Y387" s="2909">
        <f>+Y375/'VVP2'!Y$341</f>
        <v>0.637226917317536</v>
      </c>
      <c r="Z387" s="2909">
        <f>+Z375/'VVP2'!Z$341</f>
        <v>0.62057416974492652</v>
      </c>
      <c r="AA387" s="2909">
        <f>+AA375/'VVP2'!AA$341</f>
        <v>0.6237503209614762</v>
      </c>
      <c r="AB387" s="2909">
        <f>+AB375/'VVP2'!AB$341</f>
        <v>0.63650088754825651</v>
      </c>
      <c r="AC387" s="2909">
        <f ca="1">+AC375/'VVP2'!AC$341</f>
        <v>0.62944479722574653</v>
      </c>
      <c r="AD387" s="2909">
        <f ca="1">+AD375/'VVP2'!AD$341</f>
        <v>0.62901009123009277</v>
      </c>
      <c r="AE387" s="2909">
        <f ca="1">+AE375/'VVP2'!AE$341</f>
        <v>0.62689067773423202</v>
      </c>
    </row>
    <row r="388" spans="1:31" ht="12.75" customHeight="1">
      <c r="A388" s="664"/>
      <c r="B388" s="664"/>
      <c r="C388" s="826" t="s">
        <v>1767</v>
      </c>
      <c r="D388" s="674" t="s">
        <v>685</v>
      </c>
      <c r="E388" s="783" t="s">
        <v>500</v>
      </c>
      <c r="F388" s="704" t="s">
        <v>2024</v>
      </c>
      <c r="G388" s="839">
        <f>+G376/'VVP2'!G$341</f>
        <v>9.6412789956378572E-2</v>
      </c>
      <c r="H388" s="839">
        <f>+H376/'VVP2'!H$341</f>
        <v>0.11552631985299787</v>
      </c>
      <c r="I388" s="839">
        <f>+I376/'VVP2'!I$341</f>
        <v>9.7207177546881116E-2</v>
      </c>
      <c r="J388" s="839">
        <f>+J376/'VVP2'!J$341</f>
        <v>7.4289891844238481E-2</v>
      </c>
      <c r="K388" s="839">
        <f>+K376/'VVP2'!K$341</f>
        <v>7.2110150345183505E-2</v>
      </c>
      <c r="L388" s="839">
        <f>+L376/'VVP2'!L$341</f>
        <v>7.0769543797285797E-2</v>
      </c>
      <c r="M388" s="839">
        <f>+M376/'VVP2'!M$341</f>
        <v>0.10511098649337912</v>
      </c>
      <c r="N388" s="839">
        <f>+N376/'VVP2'!N$341</f>
        <v>0.10762147772324605</v>
      </c>
      <c r="O388" s="839">
        <f>+O376/'VVP2'!O$341</f>
        <v>0.11866168960817067</v>
      </c>
      <c r="P388" s="839">
        <f>+P376/'VVP2'!P$341</f>
        <v>7.7514623538468566E-2</v>
      </c>
      <c r="Q388" s="839">
        <f>+Q376/'VVP2'!Q$341</f>
        <v>0.11922999092958649</v>
      </c>
      <c r="R388" s="839">
        <f>+R376/'VVP2'!R$341</f>
        <v>0.10288431748921677</v>
      </c>
      <c r="S388" s="839">
        <f>+S376/'VVP2'!S$341</f>
        <v>0.16470768915031553</v>
      </c>
      <c r="T388" s="2910">
        <f>+T376/'VVP2'!T$341</f>
        <v>0.14261224824353105</v>
      </c>
      <c r="U388" s="2910">
        <f>+U376/'VVP2'!U$341</f>
        <v>0.16997291981160445</v>
      </c>
      <c r="V388" s="2910">
        <f>+V376/'VVP2'!V$341</f>
        <v>0.16704605379114768</v>
      </c>
      <c r="W388" s="2910">
        <f>+W376/'VVP2'!W$341</f>
        <v>0.17458910092686503</v>
      </c>
      <c r="X388" s="2910">
        <f>+X376/'VVP2'!X$341</f>
        <v>0.18531099468401555</v>
      </c>
      <c r="Y388" s="2910">
        <f>+Y376/'VVP2'!Y$341</f>
        <v>0.19705574855583502</v>
      </c>
      <c r="Z388" s="2910">
        <f>+Z376/'VVP2'!Z$341</f>
        <v>0.21858780341870063</v>
      </c>
      <c r="AA388" s="2910">
        <f>+AA376/'VVP2'!AA$341</f>
        <v>0.16618737310165144</v>
      </c>
      <c r="AB388" s="2910">
        <f>+AB376/'VVP2'!AB$341</f>
        <v>0.14340524749976208</v>
      </c>
      <c r="AC388" s="2910">
        <f ca="1">+AC376/'VVP2'!AC$341</f>
        <v>0.15275424489961292</v>
      </c>
      <c r="AD388" s="2910">
        <f ca="1">+AD376/'VVP2'!AD$341</f>
        <v>0.15568635102781436</v>
      </c>
      <c r="AE388" s="2910">
        <f ca="1">+AE376/'VVP2'!AE$341</f>
        <v>0.1596042984335713</v>
      </c>
    </row>
    <row r="389" spans="1:31" ht="12.75" customHeight="1">
      <c r="A389" s="664"/>
      <c r="B389" s="664"/>
      <c r="C389" s="827" t="s">
        <v>1767</v>
      </c>
      <c r="D389" s="828" t="s">
        <v>687</v>
      </c>
      <c r="E389" s="829" t="s">
        <v>500</v>
      </c>
      <c r="F389" s="830" t="s">
        <v>1463</v>
      </c>
      <c r="G389" s="840">
        <f>+G377/'VVP2'!G$341</f>
        <v>0.27034862380594843</v>
      </c>
      <c r="H389" s="840">
        <f>+H377/'VVP2'!H$341</f>
        <v>0.25770345321000804</v>
      </c>
      <c r="I389" s="840">
        <f>+I377/'VVP2'!I$341</f>
        <v>0.27465597210589254</v>
      </c>
      <c r="J389" s="840">
        <f>+J377/'VVP2'!J$341</f>
        <v>0.26551072188825642</v>
      </c>
      <c r="K389" s="840">
        <f>+K377/'VVP2'!K$341</f>
        <v>0.24258972567825254</v>
      </c>
      <c r="L389" s="840">
        <f>+L377/'VVP2'!L$341</f>
        <v>0.23990550695756643</v>
      </c>
      <c r="M389" s="840">
        <f>+M377/'VVP2'!M$341</f>
        <v>0.21929941977608261</v>
      </c>
      <c r="N389" s="840">
        <f>+N377/'VVP2'!N$341</f>
        <v>0.22311222674131395</v>
      </c>
      <c r="O389" s="840">
        <f>+O377/'VVP2'!O$341</f>
        <v>0.21451866036975181</v>
      </c>
      <c r="P389" s="840">
        <f>+P377/'VVP2'!P$341</f>
        <v>0.2147302404028574</v>
      </c>
      <c r="Q389" s="840">
        <f>+Q377/'VVP2'!Q$341</f>
        <v>0.21287046449563976</v>
      </c>
      <c r="R389" s="840">
        <f>+R377/'VVP2'!R$341</f>
        <v>0.22505251424674758</v>
      </c>
      <c r="S389" s="840">
        <f>+S377/'VVP2'!S$341</f>
        <v>0.21491557010067955</v>
      </c>
      <c r="T389" s="2911">
        <f>+T377/'VVP2'!T$341</f>
        <v>0.20396326432242443</v>
      </c>
      <c r="U389" s="2911">
        <f>+U377/'VVP2'!U$341</f>
        <v>0.15533016370631028</v>
      </c>
      <c r="V389" s="2911">
        <f>+V377/'VVP2'!V$341</f>
        <v>0.15760181192436332</v>
      </c>
      <c r="W389" s="2911">
        <f>+W377/'VVP2'!W$341</f>
        <v>0.16089811391218384</v>
      </c>
      <c r="X389" s="2911">
        <f>+X377/'VVP2'!X$341</f>
        <v>0.16473644375995547</v>
      </c>
      <c r="Y389" s="2911">
        <f>+Y377/'VVP2'!Y$341</f>
        <v>0.16745247735603755</v>
      </c>
      <c r="Z389" s="2911">
        <f>+Z377/'VVP2'!Z$341</f>
        <v>0.17985341394235663</v>
      </c>
      <c r="AA389" s="2911">
        <f>+AA377/'VVP2'!AA$341</f>
        <v>0.19462061885914861</v>
      </c>
      <c r="AB389" s="2911">
        <f>+AB377/'VVP2'!AB$341</f>
        <v>0.20106924738390503</v>
      </c>
      <c r="AC389" s="2911">
        <f ca="1">+AC377/'VVP2'!AC$341</f>
        <v>0.20289807320087339</v>
      </c>
      <c r="AD389" s="2911">
        <f ca="1">+AD377/'VVP2'!AD$341</f>
        <v>0.19961913988262589</v>
      </c>
      <c r="AE389" s="2911">
        <f ca="1">+AE377/'VVP2'!AE$341</f>
        <v>0.19873197056652814</v>
      </c>
    </row>
    <row r="390" spans="1:31" ht="12.75" customHeight="1">
      <c r="A390" s="664"/>
      <c r="B390" s="664"/>
      <c r="C390" s="774" t="s">
        <v>1769</v>
      </c>
      <c r="D390" s="806" t="s">
        <v>688</v>
      </c>
      <c r="E390" s="807" t="s">
        <v>500</v>
      </c>
      <c r="F390" s="808" t="s">
        <v>2025</v>
      </c>
      <c r="G390" s="841">
        <f>+G378/'VVP2'!G$341</f>
        <v>1.0146113158169265</v>
      </c>
      <c r="H390" s="841">
        <f>+H378/'VVP2'!H$341</f>
        <v>1.006763329781813</v>
      </c>
      <c r="I390" s="841">
        <f>+I378/'VVP2'!I$341</f>
        <v>1.0037912581859618</v>
      </c>
      <c r="J390" s="841">
        <f>+J378/'VVP2'!J$341</f>
        <v>0.9985378545165241</v>
      </c>
      <c r="K390" s="841">
        <f>+K378/'VVP2'!K$341</f>
        <v>0.99299642544729116</v>
      </c>
      <c r="L390" s="841">
        <f>+L378/'VVP2'!L$341</f>
        <v>1.0033362806305719</v>
      </c>
      <c r="M390" s="841">
        <f>+M378/'VVP2'!M$341</f>
        <v>1.0072105291337781</v>
      </c>
      <c r="N390" s="841">
        <f>+N378/'VVP2'!N$341</f>
        <v>1.0047493219717976</v>
      </c>
      <c r="O390" s="841">
        <f>+O378/'VVP2'!O$341</f>
        <v>0.99008007928737374</v>
      </c>
      <c r="P390" s="841">
        <f>+P378/'VVP2'!P$341</f>
        <v>0.99639976926940399</v>
      </c>
      <c r="Q390" s="841">
        <f>+Q378/'VVP2'!Q$341</f>
        <v>1.0018983589931603</v>
      </c>
      <c r="R390" s="841">
        <f>+R378/'VVP2'!R$341</f>
        <v>1.0006117317948535</v>
      </c>
      <c r="S390" s="841">
        <f>+S378/'VVP2'!S$341</f>
        <v>0.98204448521486787</v>
      </c>
      <c r="T390" s="2912">
        <f>+T378/'VVP2'!T$341</f>
        <v>0.98413336318382394</v>
      </c>
      <c r="U390" s="2912">
        <f>+U378/'VVP2'!U$341</f>
        <v>1.0381420778011512</v>
      </c>
      <c r="V390" s="2912">
        <f>+V378/'VVP2'!V$341</f>
        <v>1.0156152886113217</v>
      </c>
      <c r="W390" s="2912">
        <f>+W378/'VVP2'!W$341</f>
        <v>0.98721356008507666</v>
      </c>
      <c r="X390" s="2912">
        <f>+X378/'VVP2'!X$341</f>
        <v>0.9819290114571938</v>
      </c>
      <c r="Y390" s="2912">
        <f>+Y378/'VVP2'!Y$341</f>
        <v>1.0017351432294086</v>
      </c>
      <c r="Z390" s="2912">
        <f>+Z378/'VVP2'!Z$341</f>
        <v>1.0190153871059839</v>
      </c>
      <c r="AA390" s="2912">
        <f>+AA378/'VVP2'!AA$341</f>
        <v>0.98455831292227614</v>
      </c>
      <c r="AB390" s="2912">
        <f>+AB378/'VVP2'!AB$341</f>
        <v>0.98097538243192361</v>
      </c>
      <c r="AC390" s="2912">
        <f ca="1">+AC378/'VVP2'!AC$341</f>
        <v>0.98509711532623301</v>
      </c>
      <c r="AD390" s="2912">
        <f ca="1">+AD378/'VVP2'!AD$341</f>
        <v>0.98431558214053294</v>
      </c>
      <c r="AE390" s="2912">
        <f ca="1">+AE378/'VVP2'!AE$341</f>
        <v>0.98522694673433153</v>
      </c>
    </row>
    <row r="391" spans="1:31" ht="30" customHeight="1">
      <c r="A391" s="664"/>
      <c r="B391" s="664"/>
      <c r="C391" s="774"/>
      <c r="AB391" s="2221"/>
      <c r="AC391" s="2221"/>
      <c r="AD391" s="2221"/>
      <c r="AE391" s="2221"/>
    </row>
    <row r="392" spans="1:31" ht="30" customHeight="1">
      <c r="AB392" s="2221"/>
      <c r="AC392" s="2221"/>
      <c r="AD392" s="2221"/>
      <c r="AE392" s="2221"/>
    </row>
    <row r="393" spans="1:31" ht="22.5" customHeight="1">
      <c r="A393" s="574"/>
      <c r="B393" s="574"/>
      <c r="C393" s="3752" t="s">
        <v>1295</v>
      </c>
      <c r="D393" s="3752"/>
      <c r="E393" s="3752"/>
      <c r="F393" s="3752"/>
      <c r="AB393" s="2221"/>
      <c r="AC393" s="2221"/>
      <c r="AD393" s="2221"/>
      <c r="AE393" s="2221"/>
    </row>
    <row r="394" spans="1:31" ht="12.75" customHeight="1">
      <c r="A394" s="664"/>
      <c r="B394" s="664"/>
      <c r="C394" s="774"/>
      <c r="AB394" s="2221"/>
      <c r="AC394" s="2221"/>
      <c r="AD394" s="2221"/>
      <c r="AE394" s="2221"/>
    </row>
    <row r="395" spans="1:31" ht="12.75" customHeight="1">
      <c r="A395" s="664"/>
      <c r="B395" s="664"/>
      <c r="C395" s="774"/>
      <c r="D395" s="775"/>
      <c r="E395" s="776" t="s">
        <v>1384</v>
      </c>
      <c r="F395" s="777"/>
      <c r="G395" s="778">
        <f>+InputY!$G$3</f>
        <v>1995</v>
      </c>
      <c r="H395" s="778">
        <f>+G395+1</f>
        <v>1996</v>
      </c>
      <c r="I395" s="778">
        <f t="shared" ref="I395:O395" si="354">+H395+1</f>
        <v>1997</v>
      </c>
      <c r="J395" s="778">
        <f t="shared" si="354"/>
        <v>1998</v>
      </c>
      <c r="K395" s="778">
        <f>+J395+1</f>
        <v>1999</v>
      </c>
      <c r="L395" s="778">
        <f t="shared" si="354"/>
        <v>2000</v>
      </c>
      <c r="M395" s="778">
        <f t="shared" si="354"/>
        <v>2001</v>
      </c>
      <c r="N395" s="778">
        <f t="shared" si="354"/>
        <v>2002</v>
      </c>
      <c r="O395" s="778">
        <f t="shared" si="354"/>
        <v>2003</v>
      </c>
      <c r="P395" s="778">
        <f t="shared" ref="P395:W395" si="355">+O395+1</f>
        <v>2004</v>
      </c>
      <c r="Q395" s="778">
        <f t="shared" si="355"/>
        <v>2005</v>
      </c>
      <c r="R395" s="778">
        <f t="shared" si="355"/>
        <v>2006</v>
      </c>
      <c r="S395" s="778">
        <f t="shared" si="355"/>
        <v>2007</v>
      </c>
      <c r="T395" s="2222">
        <f t="shared" si="355"/>
        <v>2008</v>
      </c>
      <c r="U395" s="2222">
        <f t="shared" si="355"/>
        <v>2009</v>
      </c>
      <c r="V395" s="2222">
        <f t="shared" si="355"/>
        <v>2010</v>
      </c>
      <c r="W395" s="2222">
        <f t="shared" si="355"/>
        <v>2011</v>
      </c>
      <c r="X395" s="2222">
        <f t="shared" ref="X395:AE395" si="356">+W395+1</f>
        <v>2012</v>
      </c>
      <c r="Y395" s="2222">
        <f t="shared" si="356"/>
        <v>2013</v>
      </c>
      <c r="Z395" s="2222">
        <f t="shared" si="356"/>
        <v>2014</v>
      </c>
      <c r="AA395" s="2222">
        <f t="shared" si="356"/>
        <v>2015</v>
      </c>
      <c r="AB395" s="2222">
        <f t="shared" si="356"/>
        <v>2016</v>
      </c>
      <c r="AC395" s="2222">
        <f t="shared" si="356"/>
        <v>2017</v>
      </c>
      <c r="AD395" s="2222">
        <f t="shared" si="356"/>
        <v>2018</v>
      </c>
      <c r="AE395" s="2222">
        <f t="shared" si="356"/>
        <v>2019</v>
      </c>
    </row>
    <row r="396" spans="1:31" customFormat="1" ht="12.75" customHeight="1">
      <c r="A396" s="3373">
        <f>+ROW(InputY!A200)</f>
        <v>200</v>
      </c>
      <c r="B396" s="3373">
        <v>94</v>
      </c>
      <c r="C396" s="3374" t="s">
        <v>1767</v>
      </c>
      <c r="D396" s="3375" t="s">
        <v>685</v>
      </c>
      <c r="E396" s="3376" t="s">
        <v>486</v>
      </c>
      <c r="F396" s="3377" t="str">
        <f>InputY!B200</f>
        <v>HChEqPenR</v>
      </c>
      <c r="G396" s="3378">
        <f>InputY!G200/1000</f>
        <v>0</v>
      </c>
      <c r="H396" s="3378">
        <f>InputY!H200/1000</f>
        <v>0</v>
      </c>
      <c r="I396" s="3378">
        <f>InputY!I200/1000</f>
        <v>0</v>
      </c>
      <c r="J396" s="3378">
        <f>InputY!J200/1000</f>
        <v>0</v>
      </c>
      <c r="K396" s="3378">
        <f>InputY!K200/1000</f>
        <v>0</v>
      </c>
      <c r="L396" s="3378">
        <f>InputY!L200/1000</f>
        <v>0</v>
      </c>
      <c r="M396" s="3378">
        <f>InputY!M200/1000</f>
        <v>0</v>
      </c>
      <c r="N396" s="3378">
        <f>InputY!N200/1000</f>
        <v>0</v>
      </c>
      <c r="O396" s="3378">
        <f>InputY!O200/1000</f>
        <v>0</v>
      </c>
      <c r="P396" s="3378">
        <f>InputY!P200/1000</f>
        <v>5.0140000000000004E-2</v>
      </c>
      <c r="Q396" s="3378">
        <f>InputY!Q200/1000</f>
        <v>8.9270000000000002E-2</v>
      </c>
      <c r="R396" s="3378">
        <f>InputY!R200/1000</f>
        <v>0.15365999999999999</v>
      </c>
      <c r="S396" s="3378">
        <f>InputY!S200/1000</f>
        <v>0.24606999999999998</v>
      </c>
      <c r="T396" s="3378">
        <f>InputY!T200/1000</f>
        <v>0.30675999999999998</v>
      </c>
      <c r="U396" s="3378">
        <f>InputY!U200/1000</f>
        <v>0.12214</v>
      </c>
      <c r="V396" s="3695">
        <f>InputY!V200/1000</f>
        <v>9.5510000000000012E-2</v>
      </c>
      <c r="W396" s="3695">
        <f>InputY!W200/1000</f>
        <v>9.2939999999999995E-2</v>
      </c>
      <c r="X396" s="3695">
        <f>InputY!X200/1000</f>
        <v>7.4510000000000007E-2</v>
      </c>
      <c r="Y396" s="3695">
        <f>InputY!Y200/1000</f>
        <v>0.14002999999999999</v>
      </c>
      <c r="Z396" s="3691">
        <f>InputY!Z200/1000</f>
        <v>0.1198</v>
      </c>
      <c r="AA396" s="3691">
        <f>InputY!AA200/1000</f>
        <v>0.12872</v>
      </c>
      <c r="AB396" s="3691">
        <f>InputY!AB200/1000</f>
        <v>0.13106000000000001</v>
      </c>
      <c r="AC396" s="3696">
        <f>+AC397+AC398</f>
        <v>0.13106000000000001</v>
      </c>
      <c r="AD396" s="3696">
        <f>+AD397+AD398</f>
        <v>0.13106000000000001</v>
      </c>
      <c r="AE396" s="3696">
        <f>+AE397+AE398</f>
        <v>0.13106000000000001</v>
      </c>
    </row>
    <row r="397" spans="1:31" ht="12.75" customHeight="1">
      <c r="A397" s="664">
        <f>+ROW(InputY!A127)</f>
        <v>127</v>
      </c>
      <c r="B397" s="664">
        <v>108</v>
      </c>
      <c r="C397" s="782" t="s">
        <v>401</v>
      </c>
      <c r="D397" s="674" t="s">
        <v>686</v>
      </c>
      <c r="E397" s="783" t="s">
        <v>487</v>
      </c>
      <c r="F397" s="704" t="str">
        <f>InputY!B127</f>
        <v>EChEqPenR</v>
      </c>
      <c r="G397" s="706">
        <f>InputY!G127/1000</f>
        <v>0</v>
      </c>
      <c r="H397" s="706">
        <f>InputY!H127/1000</f>
        <v>0</v>
      </c>
      <c r="I397" s="706">
        <f>InputY!I127/1000</f>
        <v>0</v>
      </c>
      <c r="J397" s="706">
        <f>InputY!J127/1000</f>
        <v>0</v>
      </c>
      <c r="K397" s="706">
        <f>InputY!K127/1000</f>
        <v>0</v>
      </c>
      <c r="L397" s="706">
        <f>InputY!L127/1000</f>
        <v>0</v>
      </c>
      <c r="M397" s="706">
        <f>InputY!M127/1000</f>
        <v>0</v>
      </c>
      <c r="N397" s="706">
        <f>InputY!N127/1000</f>
        <v>0</v>
      </c>
      <c r="O397" s="706">
        <f>InputY!O127/1000</f>
        <v>0</v>
      </c>
      <c r="P397" s="706">
        <f>InputY!P127/1000</f>
        <v>5.0140000000000004E-2</v>
      </c>
      <c r="Q397" s="706">
        <f>InputY!Q127/1000</f>
        <v>8.9270000000000002E-2</v>
      </c>
      <c r="R397" s="706">
        <f>InputY!R127/1000</f>
        <v>0.15365999999999999</v>
      </c>
      <c r="S397" s="706">
        <f>InputY!S127/1000</f>
        <v>0.24606999999999998</v>
      </c>
      <c r="T397" s="706">
        <f>InputY!T127/1000</f>
        <v>0.30675999999999998</v>
      </c>
      <c r="U397" s="706">
        <f>InputY!U127/1000</f>
        <v>0.12214</v>
      </c>
      <c r="V397" s="706">
        <f>InputY!V127/1000</f>
        <v>9.5510000000000012E-2</v>
      </c>
      <c r="W397" s="706">
        <f>InputY!W127/1000</f>
        <v>9.2939999999999995E-2</v>
      </c>
      <c r="X397" s="706">
        <f>InputY!X127/1000</f>
        <v>7.4510000000000007E-2</v>
      </c>
      <c r="Y397" s="706">
        <f>InputY!Y127/1000</f>
        <v>0.14002999999999999</v>
      </c>
      <c r="Z397" s="706">
        <f>InputY!Z127/1000</f>
        <v>0.1198</v>
      </c>
      <c r="AA397" s="706">
        <f>InputY!AA127/1000</f>
        <v>0.12872</v>
      </c>
      <c r="AB397" s="706">
        <f>InputY!AB127/1000</f>
        <v>0.13106000000000001</v>
      </c>
      <c r="AC397" s="2217">
        <f t="shared" ref="AC397:AE398" si="357">+AB397*(1+AC403/100)</f>
        <v>0.13106000000000001</v>
      </c>
      <c r="AD397" s="2217">
        <f t="shared" si="357"/>
        <v>0.13106000000000001</v>
      </c>
      <c r="AE397" s="2217">
        <f t="shared" si="357"/>
        <v>0.13106000000000001</v>
      </c>
    </row>
    <row r="398" spans="1:31" ht="12.75" customHeight="1">
      <c r="A398" s="664">
        <f>+ROW(InputY!A165)</f>
        <v>165</v>
      </c>
      <c r="B398" s="664" t="s">
        <v>1695</v>
      </c>
      <c r="C398" s="782" t="s">
        <v>401</v>
      </c>
      <c r="D398" s="674" t="s">
        <v>687</v>
      </c>
      <c r="E398" s="783" t="s">
        <v>487</v>
      </c>
      <c r="F398" s="704" t="str">
        <f>InputY!B165</f>
        <v>AChEqPenR</v>
      </c>
      <c r="G398" s="706">
        <f>InputY!G165/1000</f>
        <v>0</v>
      </c>
      <c r="H398" s="706">
        <f>InputY!H165/1000</f>
        <v>0</v>
      </c>
      <c r="I398" s="706">
        <f>InputY!I165/1000</f>
        <v>0</v>
      </c>
      <c r="J398" s="706">
        <f>InputY!J165/1000</f>
        <v>0</v>
      </c>
      <c r="K398" s="706">
        <f>InputY!K165/1000</f>
        <v>0</v>
      </c>
      <c r="L398" s="706">
        <f>InputY!L165/1000</f>
        <v>0</v>
      </c>
      <c r="M398" s="706">
        <f>InputY!M165/1000</f>
        <v>0</v>
      </c>
      <c r="N398" s="706">
        <f>InputY!N165/1000</f>
        <v>0</v>
      </c>
      <c r="O398" s="706">
        <f>InputY!O165/1000</f>
        <v>0</v>
      </c>
      <c r="P398" s="706">
        <f>InputY!P165/1000</f>
        <v>0</v>
      </c>
      <c r="Q398" s="706">
        <f>InputY!Q165/1000</f>
        <v>0</v>
      </c>
      <c r="R398" s="706">
        <f>InputY!R165/1000</f>
        <v>0</v>
      </c>
      <c r="S398" s="706">
        <f>InputY!S165/1000</f>
        <v>0</v>
      </c>
      <c r="T398" s="706">
        <f>InputY!T165/1000</f>
        <v>0</v>
      </c>
      <c r="U398" s="706">
        <f>InputY!U165/1000</f>
        <v>0</v>
      </c>
      <c r="V398" s="706">
        <f>InputY!V165/1000</f>
        <v>0</v>
      </c>
      <c r="W398" s="706">
        <f>InputY!W165/1000</f>
        <v>0</v>
      </c>
      <c r="X398" s="706">
        <f>InputY!X165/1000</f>
        <v>0</v>
      </c>
      <c r="Y398" s="706">
        <f>InputY!Y165/1000</f>
        <v>0</v>
      </c>
      <c r="Z398" s="706">
        <f>InputY!Z165/1000</f>
        <v>0</v>
      </c>
      <c r="AA398" s="705">
        <f>InputY!AA165/1000</f>
        <v>0</v>
      </c>
      <c r="AB398" s="705">
        <f>InputY!AB165/1000</f>
        <v>0</v>
      </c>
      <c r="AC398" s="2217">
        <f t="shared" si="357"/>
        <v>0</v>
      </c>
      <c r="AD398" s="2217">
        <f t="shared" si="357"/>
        <v>0</v>
      </c>
      <c r="AE398" s="2217">
        <f t="shared" si="357"/>
        <v>0</v>
      </c>
    </row>
    <row r="399" spans="1:31" ht="12.75" customHeight="1">
      <c r="A399" s="664"/>
      <c r="B399" s="664" t="s">
        <v>2102</v>
      </c>
      <c r="C399" s="784" t="s">
        <v>1769</v>
      </c>
      <c r="D399" s="752" t="s">
        <v>688</v>
      </c>
      <c r="E399" s="753" t="str">
        <f>+E398</f>
        <v>Adj. for change in net eq. of pens. fund res. (D.8p)</v>
      </c>
      <c r="F399" s="754" t="s">
        <v>1366</v>
      </c>
      <c r="G399" s="785">
        <f>+G396-G397-G398</f>
        <v>0</v>
      </c>
      <c r="H399" s="785">
        <f>+H396-H397-H398</f>
        <v>0</v>
      </c>
      <c r="I399" s="785">
        <f t="shared" ref="I399:Z399" si="358">+I396-I397-I398</f>
        <v>0</v>
      </c>
      <c r="J399" s="785">
        <f t="shared" si="358"/>
        <v>0</v>
      </c>
      <c r="K399" s="785">
        <f t="shared" si="358"/>
        <v>0</v>
      </c>
      <c r="L399" s="785">
        <f t="shared" si="358"/>
        <v>0</v>
      </c>
      <c r="M399" s="785">
        <f t="shared" si="358"/>
        <v>0</v>
      </c>
      <c r="N399" s="785">
        <f t="shared" si="358"/>
        <v>0</v>
      </c>
      <c r="O399" s="785">
        <f t="shared" si="358"/>
        <v>0</v>
      </c>
      <c r="P399" s="785">
        <f t="shared" si="358"/>
        <v>0</v>
      </c>
      <c r="Q399" s="785">
        <f t="shared" si="358"/>
        <v>0</v>
      </c>
      <c r="R399" s="785">
        <f t="shared" si="358"/>
        <v>0</v>
      </c>
      <c r="S399" s="785">
        <f t="shared" si="358"/>
        <v>0</v>
      </c>
      <c r="T399" s="785">
        <f t="shared" si="358"/>
        <v>0</v>
      </c>
      <c r="U399" s="2273">
        <f t="shared" si="358"/>
        <v>0</v>
      </c>
      <c r="V399" s="2273">
        <f t="shared" si="358"/>
        <v>0</v>
      </c>
      <c r="W399" s="2273">
        <f t="shared" si="358"/>
        <v>0</v>
      </c>
      <c r="X399" s="2273">
        <f t="shared" si="358"/>
        <v>0</v>
      </c>
      <c r="Y399" s="2273">
        <f t="shared" si="358"/>
        <v>0</v>
      </c>
      <c r="Z399" s="2273">
        <f t="shared" si="358"/>
        <v>0</v>
      </c>
      <c r="AA399" s="2273">
        <f>+AA396-AA397-AA398</f>
        <v>0</v>
      </c>
      <c r="AB399" s="2273">
        <f>+AB396-AB397-AB398</f>
        <v>0</v>
      </c>
      <c r="AC399" s="2273">
        <f>+AC396-AC397-AC398</f>
        <v>0</v>
      </c>
      <c r="AD399" s="2273">
        <f>+AD396-AD397-AD398</f>
        <v>0</v>
      </c>
      <c r="AE399" s="2273">
        <f>+AE396-AE397-AE398</f>
        <v>0</v>
      </c>
    </row>
    <row r="400" spans="1:31">
      <c r="A400" s="664"/>
      <c r="B400" s="664"/>
      <c r="G400" s="849"/>
      <c r="Q400" s="845"/>
      <c r="R400" s="845"/>
      <c r="S400" s="845"/>
      <c r="AB400" s="2221"/>
      <c r="AC400" s="2221"/>
      <c r="AD400" s="2221"/>
      <c r="AE400" s="2221"/>
    </row>
    <row r="401" spans="1:31" ht="12.75" customHeight="1">
      <c r="A401" s="664"/>
      <c r="B401" s="664"/>
      <c r="C401" s="774"/>
      <c r="D401" s="742"/>
      <c r="E401" s="743" t="s">
        <v>1311</v>
      </c>
      <c r="F401" s="744"/>
      <c r="G401" s="745">
        <f>+InputY!$G$3</f>
        <v>1995</v>
      </c>
      <c r="H401" s="745">
        <f>+G401+1</f>
        <v>1996</v>
      </c>
      <c r="I401" s="745">
        <f t="shared" ref="I401:O401" si="359">+H401+1</f>
        <v>1997</v>
      </c>
      <c r="J401" s="745">
        <f t="shared" si="359"/>
        <v>1998</v>
      </c>
      <c r="K401" s="745">
        <f>+J401+1</f>
        <v>1999</v>
      </c>
      <c r="L401" s="745">
        <f t="shared" si="359"/>
        <v>2000</v>
      </c>
      <c r="M401" s="745">
        <f t="shared" si="359"/>
        <v>2001</v>
      </c>
      <c r="N401" s="745">
        <f t="shared" si="359"/>
        <v>2002</v>
      </c>
      <c r="O401" s="745">
        <f t="shared" si="359"/>
        <v>2003</v>
      </c>
      <c r="P401" s="745">
        <f t="shared" ref="P401:W401" si="360">+O401+1</f>
        <v>2004</v>
      </c>
      <c r="Q401" s="745">
        <f t="shared" si="360"/>
        <v>2005</v>
      </c>
      <c r="R401" s="745">
        <f t="shared" si="360"/>
        <v>2006</v>
      </c>
      <c r="S401" s="745">
        <f t="shared" si="360"/>
        <v>2007</v>
      </c>
      <c r="T401" s="2211">
        <f t="shared" si="360"/>
        <v>2008</v>
      </c>
      <c r="U401" s="2211">
        <f t="shared" si="360"/>
        <v>2009</v>
      </c>
      <c r="V401" s="2211">
        <f t="shared" si="360"/>
        <v>2010</v>
      </c>
      <c r="W401" s="2211">
        <f t="shared" si="360"/>
        <v>2011</v>
      </c>
      <c r="X401" s="2211">
        <f t="shared" ref="X401:AE401" si="361">+W401+1</f>
        <v>2012</v>
      </c>
      <c r="Y401" s="2211">
        <f t="shared" si="361"/>
        <v>2013</v>
      </c>
      <c r="Z401" s="2211">
        <f t="shared" si="361"/>
        <v>2014</v>
      </c>
      <c r="AA401" s="2211">
        <f t="shared" si="361"/>
        <v>2015</v>
      </c>
      <c r="AB401" s="2211">
        <f t="shared" si="361"/>
        <v>2016</v>
      </c>
      <c r="AC401" s="2211">
        <f t="shared" si="361"/>
        <v>2017</v>
      </c>
      <c r="AD401" s="2211">
        <f t="shared" si="361"/>
        <v>2018</v>
      </c>
      <c r="AE401" s="2211">
        <f t="shared" si="361"/>
        <v>2019</v>
      </c>
    </row>
    <row r="402" spans="1:31" ht="12.75" customHeight="1">
      <c r="A402" s="664"/>
      <c r="B402" s="664"/>
      <c r="C402" s="794" t="s">
        <v>1767</v>
      </c>
      <c r="D402" s="689" t="s">
        <v>685</v>
      </c>
      <c r="E402" s="738" t="s">
        <v>486</v>
      </c>
      <c r="F402" s="733" t="s">
        <v>16</v>
      </c>
      <c r="G402" s="739"/>
      <c r="H402" s="739" t="e">
        <f t="shared" ref="H402:AE402" si="362">(H396/G396-1)*100</f>
        <v>#DIV/0!</v>
      </c>
      <c r="I402" s="739" t="e">
        <f t="shared" si="362"/>
        <v>#DIV/0!</v>
      </c>
      <c r="J402" s="739" t="e">
        <f t="shared" si="362"/>
        <v>#DIV/0!</v>
      </c>
      <c r="K402" s="739" t="e">
        <f>(K396/J396-1)*100</f>
        <v>#DIV/0!</v>
      </c>
      <c r="L402" s="739" t="e">
        <f t="shared" si="362"/>
        <v>#DIV/0!</v>
      </c>
      <c r="M402" s="739" t="e">
        <f t="shared" si="362"/>
        <v>#DIV/0!</v>
      </c>
      <c r="N402" s="739" t="e">
        <f t="shared" si="362"/>
        <v>#DIV/0!</v>
      </c>
      <c r="O402" s="739" t="e">
        <f t="shared" si="362"/>
        <v>#DIV/0!</v>
      </c>
      <c r="P402" s="739" t="e">
        <f t="shared" si="362"/>
        <v>#DIV/0!</v>
      </c>
      <c r="Q402" s="739">
        <f t="shared" si="362"/>
        <v>78.04148384523333</v>
      </c>
      <c r="R402" s="739">
        <f t="shared" si="362"/>
        <v>72.129494791083218</v>
      </c>
      <c r="S402" s="739">
        <f t="shared" si="362"/>
        <v>60.13926851490303</v>
      </c>
      <c r="T402" s="739">
        <f>(T396/S396-1)*100</f>
        <v>24.663713577437306</v>
      </c>
      <c r="U402" s="739">
        <f>(U396/T396-1)*100</f>
        <v>-60.183857086973525</v>
      </c>
      <c r="V402" s="739">
        <f>(V396/U396-1)*100</f>
        <v>-21.802849189454708</v>
      </c>
      <c r="W402" s="739">
        <f>(W396/V396-1)*100</f>
        <v>-2.6908177154224888</v>
      </c>
      <c r="X402" s="739">
        <f>(X396/W396-1)*100</f>
        <v>-19.829997848074012</v>
      </c>
      <c r="Y402" s="2268">
        <f t="shared" si="362"/>
        <v>87.93450543551198</v>
      </c>
      <c r="Z402" s="2268">
        <f t="shared" si="362"/>
        <v>-14.446904234806812</v>
      </c>
      <c r="AA402" s="2268">
        <f t="shared" si="362"/>
        <v>7.4457429048413903</v>
      </c>
      <c r="AB402" s="2268">
        <f t="shared" si="362"/>
        <v>1.8178993163455726</v>
      </c>
      <c r="AC402" s="2268">
        <f t="shared" si="362"/>
        <v>0</v>
      </c>
      <c r="AD402" s="2268">
        <f t="shared" si="362"/>
        <v>0</v>
      </c>
      <c r="AE402" s="2268">
        <f t="shared" si="362"/>
        <v>0</v>
      </c>
    </row>
    <row r="403" spans="1:31" ht="12.75" customHeight="1">
      <c r="A403" s="664"/>
      <c r="B403" s="664"/>
      <c r="C403" s="795" t="s">
        <v>401</v>
      </c>
      <c r="D403" s="674" t="s">
        <v>686</v>
      </c>
      <c r="E403" s="783" t="s">
        <v>487</v>
      </c>
      <c r="F403" s="704" t="s">
        <v>1552</v>
      </c>
      <c r="G403" s="706"/>
      <c r="H403" s="706" t="e">
        <f t="shared" ref="H403:AB403" si="363">(H397/G397-1)*100</f>
        <v>#DIV/0!</v>
      </c>
      <c r="I403" s="706" t="e">
        <f t="shared" si="363"/>
        <v>#DIV/0!</v>
      </c>
      <c r="J403" s="706" t="e">
        <f t="shared" si="363"/>
        <v>#DIV/0!</v>
      </c>
      <c r="K403" s="706" t="e">
        <f>(K397/J397-1)*100</f>
        <v>#DIV/0!</v>
      </c>
      <c r="L403" s="706" t="e">
        <f t="shared" si="363"/>
        <v>#DIV/0!</v>
      </c>
      <c r="M403" s="706" t="e">
        <f t="shared" si="363"/>
        <v>#DIV/0!</v>
      </c>
      <c r="N403" s="706" t="e">
        <f t="shared" si="363"/>
        <v>#DIV/0!</v>
      </c>
      <c r="O403" s="706" t="e">
        <f t="shared" si="363"/>
        <v>#DIV/0!</v>
      </c>
      <c r="P403" s="706" t="e">
        <f t="shared" si="363"/>
        <v>#DIV/0!</v>
      </c>
      <c r="Q403" s="706">
        <f t="shared" si="363"/>
        <v>78.04148384523333</v>
      </c>
      <c r="R403" s="706">
        <f t="shared" si="363"/>
        <v>72.129494791083218</v>
      </c>
      <c r="S403" s="706">
        <f t="shared" si="363"/>
        <v>60.13926851490303</v>
      </c>
      <c r="T403" s="706">
        <f t="shared" si="363"/>
        <v>24.663713577437306</v>
      </c>
      <c r="U403" s="706">
        <f t="shared" si="363"/>
        <v>-60.183857086973525</v>
      </c>
      <c r="V403" s="706">
        <f t="shared" si="363"/>
        <v>-21.802849189454708</v>
      </c>
      <c r="W403" s="706">
        <f t="shared" si="363"/>
        <v>-2.6908177154224888</v>
      </c>
      <c r="X403" s="706">
        <f t="shared" si="363"/>
        <v>-19.829997848074012</v>
      </c>
      <c r="Y403" s="706">
        <f t="shared" si="363"/>
        <v>87.93450543551198</v>
      </c>
      <c r="Z403" s="706">
        <f t="shared" si="363"/>
        <v>-14.446904234806812</v>
      </c>
      <c r="AA403" s="706">
        <f t="shared" si="363"/>
        <v>7.4457429048413903</v>
      </c>
      <c r="AB403" s="706">
        <f t="shared" si="363"/>
        <v>1.8178993163455726</v>
      </c>
      <c r="AC403" s="2215">
        <v>0</v>
      </c>
      <c r="AD403" s="2215">
        <v>0</v>
      </c>
      <c r="AE403" s="2215">
        <v>0</v>
      </c>
    </row>
    <row r="404" spans="1:31" ht="12.75" customHeight="1">
      <c r="A404" s="664"/>
      <c r="B404" s="664"/>
      <c r="C404" s="796" t="s">
        <v>401</v>
      </c>
      <c r="D404" s="691" t="s">
        <v>687</v>
      </c>
      <c r="E404" s="797" t="s">
        <v>487</v>
      </c>
      <c r="F404" s="736" t="s">
        <v>386</v>
      </c>
      <c r="G404" s="741"/>
      <c r="H404" s="741" t="e">
        <f>(H398/G398-1)*100</f>
        <v>#DIV/0!</v>
      </c>
      <c r="I404" s="741" t="e">
        <f t="shared" ref="I404:S405" si="364">(I398/H398-1)*100</f>
        <v>#DIV/0!</v>
      </c>
      <c r="J404" s="741" t="e">
        <f t="shared" si="364"/>
        <v>#DIV/0!</v>
      </c>
      <c r="K404" s="741" t="e">
        <f>(K398/J398-1)*100</f>
        <v>#DIV/0!</v>
      </c>
      <c r="L404" s="741" t="e">
        <f t="shared" si="364"/>
        <v>#DIV/0!</v>
      </c>
      <c r="M404" s="741" t="e">
        <f t="shared" si="364"/>
        <v>#DIV/0!</v>
      </c>
      <c r="N404" s="741" t="e">
        <f t="shared" si="364"/>
        <v>#DIV/0!</v>
      </c>
      <c r="O404" s="741" t="e">
        <f t="shared" si="364"/>
        <v>#DIV/0!</v>
      </c>
      <c r="P404" s="741" t="e">
        <f t="shared" si="364"/>
        <v>#DIV/0!</v>
      </c>
      <c r="Q404" s="741" t="e">
        <f t="shared" si="364"/>
        <v>#DIV/0!</v>
      </c>
      <c r="R404" s="741" t="e">
        <f t="shared" si="364"/>
        <v>#DIV/0!</v>
      </c>
      <c r="S404" s="3076">
        <v>0</v>
      </c>
      <c r="T404" s="3076">
        <v>0</v>
      </c>
      <c r="U404" s="3076">
        <v>0</v>
      </c>
      <c r="V404" s="3076">
        <v>0</v>
      </c>
      <c r="W404" s="3076">
        <v>0</v>
      </c>
      <c r="X404" s="3076">
        <v>0</v>
      </c>
      <c r="Y404" s="3076">
        <v>0</v>
      </c>
      <c r="Z404" s="3076">
        <v>0</v>
      </c>
      <c r="AA404" s="3076">
        <v>0</v>
      </c>
      <c r="AB404" s="3076">
        <v>0</v>
      </c>
      <c r="AC404" s="2214">
        <v>0</v>
      </c>
      <c r="AD404" s="2214">
        <v>0</v>
      </c>
      <c r="AE404" s="2214">
        <v>0</v>
      </c>
    </row>
    <row r="405" spans="1:31" ht="12.75" customHeight="1">
      <c r="A405" s="664"/>
      <c r="B405" s="664"/>
      <c r="C405" s="774"/>
      <c r="D405" s="717" t="s">
        <v>688</v>
      </c>
      <c r="E405" s="722" t="s">
        <v>487</v>
      </c>
      <c r="F405" s="723" t="s">
        <v>1366</v>
      </c>
      <c r="G405" s="721"/>
      <c r="H405" s="721" t="e">
        <f>(H399/G399-1)*100</f>
        <v>#DIV/0!</v>
      </c>
      <c r="I405" s="721" t="e">
        <f>(I399/H399-1)*100</f>
        <v>#DIV/0!</v>
      </c>
      <c r="J405" s="721" t="e">
        <f t="shared" si="364"/>
        <v>#DIV/0!</v>
      </c>
      <c r="K405" s="721" t="e">
        <f>(K399/J399-1)*100</f>
        <v>#DIV/0!</v>
      </c>
      <c r="L405" s="721" t="e">
        <f t="shared" si="364"/>
        <v>#DIV/0!</v>
      </c>
      <c r="M405" s="721" t="e">
        <f t="shared" si="364"/>
        <v>#DIV/0!</v>
      </c>
      <c r="N405" s="721" t="e">
        <f t="shared" si="364"/>
        <v>#DIV/0!</v>
      </c>
      <c r="O405" s="721" t="e">
        <f t="shared" si="364"/>
        <v>#DIV/0!</v>
      </c>
      <c r="P405" s="721" t="e">
        <f t="shared" si="364"/>
        <v>#DIV/0!</v>
      </c>
      <c r="Q405" s="721" t="e">
        <f t="shared" si="364"/>
        <v>#DIV/0!</v>
      </c>
      <c r="R405" s="721" t="e">
        <f t="shared" si="364"/>
        <v>#DIV/0!</v>
      </c>
      <c r="S405" s="721" t="e">
        <f t="shared" si="364"/>
        <v>#DIV/0!</v>
      </c>
      <c r="T405" s="2260" t="e">
        <f t="shared" ref="T405:AE405" si="365">(T399/S399-1)*100</f>
        <v>#DIV/0!</v>
      </c>
      <c r="U405" s="2260" t="e">
        <f t="shared" si="365"/>
        <v>#DIV/0!</v>
      </c>
      <c r="V405" s="2260" t="e">
        <f t="shared" si="365"/>
        <v>#DIV/0!</v>
      </c>
      <c r="W405" s="2260" t="e">
        <f t="shared" si="365"/>
        <v>#DIV/0!</v>
      </c>
      <c r="X405" s="2260" t="e">
        <f t="shared" si="365"/>
        <v>#DIV/0!</v>
      </c>
      <c r="Y405" s="2260" t="e">
        <f t="shared" si="365"/>
        <v>#DIV/0!</v>
      </c>
      <c r="Z405" s="2260" t="e">
        <f t="shared" si="365"/>
        <v>#DIV/0!</v>
      </c>
      <c r="AA405" s="2260" t="e">
        <f t="shared" si="365"/>
        <v>#DIV/0!</v>
      </c>
      <c r="AB405" s="2260" t="e">
        <f t="shared" si="365"/>
        <v>#DIV/0!</v>
      </c>
      <c r="AC405" s="2260" t="e">
        <f t="shared" si="365"/>
        <v>#DIV/0!</v>
      </c>
      <c r="AD405" s="2260" t="e">
        <f t="shared" si="365"/>
        <v>#DIV/0!</v>
      </c>
      <c r="AE405" s="2260" t="e">
        <f t="shared" si="365"/>
        <v>#DIV/0!</v>
      </c>
    </row>
    <row r="406" spans="1:31" ht="12.75" customHeight="1">
      <c r="A406" s="664"/>
      <c r="B406" s="664"/>
      <c r="C406" s="774"/>
      <c r="E406" s="786"/>
      <c r="F406" s="787"/>
      <c r="G406" s="703"/>
      <c r="H406" s="788"/>
      <c r="I406" s="703"/>
      <c r="J406" s="703"/>
      <c r="K406" s="703"/>
      <c r="L406" s="703"/>
      <c r="M406" s="703"/>
      <c r="N406" s="703"/>
      <c r="O406" s="703"/>
      <c r="P406" s="703"/>
      <c r="Q406" s="845"/>
      <c r="R406" s="845"/>
      <c r="S406" s="845"/>
      <c r="T406" s="2254"/>
      <c r="U406" s="2254"/>
      <c r="V406" s="2254"/>
      <c r="W406" s="2254"/>
      <c r="X406" s="2254"/>
      <c r="Y406" s="2254"/>
      <c r="Z406" s="2254"/>
      <c r="AA406" s="2254"/>
      <c r="AB406" s="2254"/>
      <c r="AC406" s="2254"/>
      <c r="AD406" s="2254"/>
      <c r="AE406" s="2254"/>
    </row>
    <row r="407" spans="1:31" ht="12.75" customHeight="1">
      <c r="A407" s="664"/>
      <c r="B407" s="664"/>
      <c r="C407" s="774"/>
      <c r="D407" s="818"/>
      <c r="E407" s="819" t="s">
        <v>512</v>
      </c>
      <c r="F407" s="820"/>
      <c r="G407" s="821">
        <f>+InputY!$G$3</f>
        <v>1995</v>
      </c>
      <c r="H407" s="821">
        <f>+G407+1</f>
        <v>1996</v>
      </c>
      <c r="I407" s="821">
        <f t="shared" ref="I407:O407" si="366">+H407+1</f>
        <v>1997</v>
      </c>
      <c r="J407" s="821">
        <f t="shared" si="366"/>
        <v>1998</v>
      </c>
      <c r="K407" s="821">
        <f>+J407+1</f>
        <v>1999</v>
      </c>
      <c r="L407" s="821">
        <f t="shared" si="366"/>
        <v>2000</v>
      </c>
      <c r="M407" s="821">
        <f t="shared" si="366"/>
        <v>2001</v>
      </c>
      <c r="N407" s="821">
        <f t="shared" si="366"/>
        <v>2002</v>
      </c>
      <c r="O407" s="821">
        <f t="shared" si="366"/>
        <v>2003</v>
      </c>
      <c r="P407" s="821">
        <f t="shared" ref="P407:W407" si="367">+O407+1</f>
        <v>2004</v>
      </c>
      <c r="Q407" s="821">
        <f t="shared" si="367"/>
        <v>2005</v>
      </c>
      <c r="R407" s="821">
        <f t="shared" si="367"/>
        <v>2006</v>
      </c>
      <c r="S407" s="821">
        <f t="shared" si="367"/>
        <v>2007</v>
      </c>
      <c r="T407" s="2255">
        <f t="shared" si="367"/>
        <v>2008</v>
      </c>
      <c r="U407" s="2255">
        <f t="shared" si="367"/>
        <v>2009</v>
      </c>
      <c r="V407" s="2255">
        <f t="shared" si="367"/>
        <v>2010</v>
      </c>
      <c r="W407" s="2255">
        <f t="shared" si="367"/>
        <v>2011</v>
      </c>
      <c r="X407" s="2255">
        <f t="shared" ref="X407:AE407" si="368">+W407+1</f>
        <v>2012</v>
      </c>
      <c r="Y407" s="2255">
        <f t="shared" si="368"/>
        <v>2013</v>
      </c>
      <c r="Z407" s="2255">
        <f t="shared" si="368"/>
        <v>2014</v>
      </c>
      <c r="AA407" s="2255">
        <f t="shared" si="368"/>
        <v>2015</v>
      </c>
      <c r="AB407" s="2255">
        <f t="shared" si="368"/>
        <v>2016</v>
      </c>
      <c r="AC407" s="2255">
        <f t="shared" si="368"/>
        <v>2017</v>
      </c>
      <c r="AD407" s="2255">
        <f t="shared" si="368"/>
        <v>2018</v>
      </c>
      <c r="AE407" s="2255">
        <f t="shared" si="368"/>
        <v>2019</v>
      </c>
    </row>
    <row r="408" spans="1:31" ht="12.75" customHeight="1">
      <c r="A408" s="664"/>
      <c r="B408" s="664"/>
      <c r="C408" s="822" t="s">
        <v>1767</v>
      </c>
      <c r="D408" s="823" t="s">
        <v>685</v>
      </c>
      <c r="E408" s="824" t="s">
        <v>486</v>
      </c>
      <c r="F408" s="825" t="s">
        <v>16</v>
      </c>
      <c r="G408" s="838">
        <f>+G396/'VVP2'!G$341</f>
        <v>0</v>
      </c>
      <c r="H408" s="838">
        <f>+H396/'VVP2'!H$341</f>
        <v>0</v>
      </c>
      <c r="I408" s="838">
        <f>+I396/'VVP2'!I$341</f>
        <v>0</v>
      </c>
      <c r="J408" s="838">
        <f>+J396/'VVP2'!J$341</f>
        <v>0</v>
      </c>
      <c r="K408" s="838">
        <f>+K396/'VVP2'!K$341</f>
        <v>0</v>
      </c>
      <c r="L408" s="838">
        <f>+L396/'VVP2'!L$341</f>
        <v>0</v>
      </c>
      <c r="M408" s="838">
        <f>+M396/'VVP2'!M$341</f>
        <v>0</v>
      </c>
      <c r="N408" s="838">
        <f>+N396/'VVP2'!N$341</f>
        <v>0</v>
      </c>
      <c r="O408" s="838">
        <f>+O396/'VVP2'!O$341</f>
        <v>0</v>
      </c>
      <c r="P408" s="838">
        <f>+P396/'VVP2'!P$341</f>
        <v>2.7492471646675134E-3</v>
      </c>
      <c r="Q408" s="838">
        <f>+Q396/'VVP2'!Q$341</f>
        <v>4.2504767323656642E-3</v>
      </c>
      <c r="R408" s="838">
        <f>+R396/'VVP2'!R$341</f>
        <v>6.3814465442760086E-3</v>
      </c>
      <c r="S408" s="838">
        <f>+S396/'VVP2'!S$341</f>
        <v>8.4732922736604471E-3</v>
      </c>
      <c r="T408" s="2261">
        <f>+T396/'VVP2'!T$341</f>
        <v>9.3821070776247319E-3</v>
      </c>
      <c r="U408" s="2261">
        <f>+U396/'VVP2'!U$341</f>
        <v>4.5346506863606292E-3</v>
      </c>
      <c r="V408" s="2261">
        <f>+V396/'VVP2'!V$341</f>
        <v>3.4077051027449315E-3</v>
      </c>
      <c r="W408" s="2261">
        <f>+W396/'VVP2'!W$341</f>
        <v>2.9716722322905087E-3</v>
      </c>
      <c r="X408" s="2261">
        <f>+X396/'VVP2'!X$341</f>
        <v>2.2342847410136836E-3</v>
      </c>
      <c r="Y408" s="2261">
        <f>+Y396/'VVP2'!Y$341</f>
        <v>4.0054748831867592E-3</v>
      </c>
      <c r="Z408" s="2261">
        <f>+Z396/'VVP2'!Z$341</f>
        <v>3.2760632985746117E-3</v>
      </c>
      <c r="AA408" s="2261">
        <f>+AA396/'VVP2'!AA$341</f>
        <v>3.439264202662223E-3</v>
      </c>
      <c r="AB408" s="2261">
        <f>+AB396/'VVP2'!AB$341</f>
        <v>3.389337835209805E-3</v>
      </c>
      <c r="AC408" s="2261">
        <f ca="1">+AC396/'VVP2'!AC$341</f>
        <v>3.136938027703247E-3</v>
      </c>
      <c r="AD408" s="2261">
        <f ca="1">+AD396/'VVP2'!AD$341</f>
        <v>2.9643831774652583E-3</v>
      </c>
      <c r="AE408" s="2261">
        <f ca="1">+AE396/'VVP2'!AE$341</f>
        <v>2.8078519653431909E-3</v>
      </c>
    </row>
    <row r="409" spans="1:31" ht="12.75" customHeight="1">
      <c r="A409" s="664"/>
      <c r="B409" s="664"/>
      <c r="C409" s="826" t="s">
        <v>401</v>
      </c>
      <c r="D409" s="674" t="s">
        <v>686</v>
      </c>
      <c r="E409" s="783" t="s">
        <v>487</v>
      </c>
      <c r="F409" s="704" t="s">
        <v>1552</v>
      </c>
      <c r="G409" s="839">
        <f>+G397/'VVP2'!G$341</f>
        <v>0</v>
      </c>
      <c r="H409" s="839">
        <f>+H397/'VVP2'!H$341</f>
        <v>0</v>
      </c>
      <c r="I409" s="839">
        <f>+I397/'VVP2'!I$341</f>
        <v>0</v>
      </c>
      <c r="J409" s="839">
        <f>+J397/'VVP2'!J$341</f>
        <v>0</v>
      </c>
      <c r="K409" s="839">
        <f>+K397/'VVP2'!K$341</f>
        <v>0</v>
      </c>
      <c r="L409" s="839">
        <f>+L397/'VVP2'!L$341</f>
        <v>0</v>
      </c>
      <c r="M409" s="839">
        <f>+M397/'VVP2'!M$341</f>
        <v>0</v>
      </c>
      <c r="N409" s="839">
        <f>+N397/'VVP2'!N$341</f>
        <v>0</v>
      </c>
      <c r="O409" s="839">
        <f>+O397/'VVP2'!O$341</f>
        <v>0</v>
      </c>
      <c r="P409" s="839">
        <f>+P397/'VVP2'!P$341</f>
        <v>2.7492471646675134E-3</v>
      </c>
      <c r="Q409" s="839">
        <f>+Q397/'VVP2'!Q$341</f>
        <v>4.2504767323656642E-3</v>
      </c>
      <c r="R409" s="839">
        <f>+R397/'VVP2'!R$341</f>
        <v>6.3814465442760086E-3</v>
      </c>
      <c r="S409" s="839">
        <f>+S397/'VVP2'!S$341</f>
        <v>8.4732922736604471E-3</v>
      </c>
      <c r="T409" s="2262">
        <f>+T397/'VVP2'!T$341</f>
        <v>9.3821070776247319E-3</v>
      </c>
      <c r="U409" s="2262">
        <f>+U397/'VVP2'!U$341</f>
        <v>4.5346506863606292E-3</v>
      </c>
      <c r="V409" s="2262">
        <f>+V397/'VVP2'!V$341</f>
        <v>3.4077051027449315E-3</v>
      </c>
      <c r="W409" s="2262">
        <f>+W397/'VVP2'!W$341</f>
        <v>2.9716722322905087E-3</v>
      </c>
      <c r="X409" s="2262">
        <f>+X397/'VVP2'!X$341</f>
        <v>2.2342847410136836E-3</v>
      </c>
      <c r="Y409" s="2262">
        <f>+Y397/'VVP2'!Y$341</f>
        <v>4.0054748831867592E-3</v>
      </c>
      <c r="Z409" s="2262">
        <f>+Z397/'VVP2'!Z$341</f>
        <v>3.2760632985746117E-3</v>
      </c>
      <c r="AA409" s="2262">
        <f>+AA397/'VVP2'!AA$341</f>
        <v>3.439264202662223E-3</v>
      </c>
      <c r="AB409" s="2262">
        <f>+AB397/'VVP2'!AB$341</f>
        <v>3.389337835209805E-3</v>
      </c>
      <c r="AC409" s="2262">
        <f ca="1">+AC397/'VVP2'!AC$341</f>
        <v>3.136938027703247E-3</v>
      </c>
      <c r="AD409" s="2262">
        <f ca="1">+AD397/'VVP2'!AD$341</f>
        <v>2.9643831774652583E-3</v>
      </c>
      <c r="AE409" s="2262">
        <f ca="1">+AE397/'VVP2'!AE$341</f>
        <v>2.8078519653431909E-3</v>
      </c>
    </row>
    <row r="410" spans="1:31" ht="12.75" customHeight="1">
      <c r="A410" s="664"/>
      <c r="B410" s="664"/>
      <c r="C410" s="827" t="s">
        <v>401</v>
      </c>
      <c r="D410" s="828" t="s">
        <v>687</v>
      </c>
      <c r="E410" s="829" t="s">
        <v>487</v>
      </c>
      <c r="F410" s="830" t="s">
        <v>386</v>
      </c>
      <c r="G410" s="840">
        <f>+G398/'VVP2'!G$341</f>
        <v>0</v>
      </c>
      <c r="H410" s="840">
        <f>+H398/'VVP2'!H$341</f>
        <v>0</v>
      </c>
      <c r="I410" s="840">
        <f>+I398/'VVP2'!I$341</f>
        <v>0</v>
      </c>
      <c r="J410" s="840">
        <f>+J398/'VVP2'!J$341</f>
        <v>0</v>
      </c>
      <c r="K410" s="840">
        <f>+K398/'VVP2'!K$341</f>
        <v>0</v>
      </c>
      <c r="L410" s="840">
        <f>+L398/'VVP2'!L$341</f>
        <v>0</v>
      </c>
      <c r="M410" s="840">
        <f>+M398/'VVP2'!M$341</f>
        <v>0</v>
      </c>
      <c r="N410" s="840">
        <f>+N398/'VVP2'!N$341</f>
        <v>0</v>
      </c>
      <c r="O410" s="840">
        <f>+O398/'VVP2'!O$341</f>
        <v>0</v>
      </c>
      <c r="P410" s="840">
        <f>+P398/'VVP2'!P$341</f>
        <v>0</v>
      </c>
      <c r="Q410" s="840">
        <f>+Q398/'VVP2'!Q$341</f>
        <v>0</v>
      </c>
      <c r="R410" s="840">
        <f>+R398/'VVP2'!R$341</f>
        <v>0</v>
      </c>
      <c r="S410" s="840">
        <f>+S398/'VVP2'!S$341</f>
        <v>0</v>
      </c>
      <c r="T410" s="2263">
        <f>+T398/'VVP2'!T$341</f>
        <v>0</v>
      </c>
      <c r="U410" s="2263">
        <f>+U398/'VVP2'!U$341</f>
        <v>0</v>
      </c>
      <c r="V410" s="2263">
        <f>+V398/'VVP2'!V$341</f>
        <v>0</v>
      </c>
      <c r="W410" s="2263">
        <f>+W398/'VVP2'!W$341</f>
        <v>0</v>
      </c>
      <c r="X410" s="2263">
        <f>+X398/'VVP2'!X$341</f>
        <v>0</v>
      </c>
      <c r="Y410" s="2263">
        <f>+Y398/'VVP2'!Y$341</f>
        <v>0</v>
      </c>
      <c r="Z410" s="2263">
        <f>+Z398/'VVP2'!Z$341</f>
        <v>0</v>
      </c>
      <c r="AA410" s="2263">
        <f>+AA398/'VVP2'!AA$341</f>
        <v>0</v>
      </c>
      <c r="AB410" s="2263">
        <f>+AB398/'VVP2'!AB$341</f>
        <v>0</v>
      </c>
      <c r="AC410" s="2263">
        <f ca="1">+AC398/'VVP2'!AC$341</f>
        <v>0</v>
      </c>
      <c r="AD410" s="2263">
        <f ca="1">+AD398/'VVP2'!AD$341</f>
        <v>0</v>
      </c>
      <c r="AE410" s="2263">
        <f ca="1">+AE398/'VVP2'!AE$341</f>
        <v>0</v>
      </c>
    </row>
    <row r="411" spans="1:31" ht="12.75" customHeight="1">
      <c r="A411" s="664"/>
      <c r="B411" s="664"/>
      <c r="C411" s="774" t="s">
        <v>1769</v>
      </c>
      <c r="D411" s="806" t="s">
        <v>688</v>
      </c>
      <c r="E411" s="807" t="s">
        <v>487</v>
      </c>
      <c r="F411" s="808" t="s">
        <v>1366</v>
      </c>
      <c r="G411" s="841">
        <f>+G399/'VVP2'!G$341</f>
        <v>0</v>
      </c>
      <c r="H411" s="841">
        <f>+H399/'VVP2'!H$341</f>
        <v>0</v>
      </c>
      <c r="I411" s="841">
        <f>+I399/'VVP2'!I$341</f>
        <v>0</v>
      </c>
      <c r="J411" s="841">
        <f>+J399/'VVP2'!J$341</f>
        <v>0</v>
      </c>
      <c r="K411" s="841">
        <f>+K399/'VVP2'!K$341</f>
        <v>0</v>
      </c>
      <c r="L411" s="841">
        <f>+L399/'VVP2'!L$341</f>
        <v>0</v>
      </c>
      <c r="M411" s="841">
        <f>+M399/'VVP2'!M$341</f>
        <v>0</v>
      </c>
      <c r="N411" s="841">
        <f>+N399/'VVP2'!N$341</f>
        <v>0</v>
      </c>
      <c r="O411" s="841">
        <f>+O399/'VVP2'!O$341</f>
        <v>0</v>
      </c>
      <c r="P411" s="841">
        <f>+P399/'VVP2'!P$341</f>
        <v>0</v>
      </c>
      <c r="Q411" s="841">
        <f>+Q399/'VVP2'!Q$341</f>
        <v>0</v>
      </c>
      <c r="R411" s="841">
        <f>+R399/'VVP2'!R$341</f>
        <v>0</v>
      </c>
      <c r="S411" s="841">
        <f>+S399/'VVP2'!S$341</f>
        <v>0</v>
      </c>
      <c r="T411" s="2264">
        <f>+T399/'VVP2'!T$341</f>
        <v>0</v>
      </c>
      <c r="U411" s="2264">
        <f>+U399/'VVP2'!U$341</f>
        <v>0</v>
      </c>
      <c r="V411" s="2264">
        <f>+V399/'VVP2'!V$341</f>
        <v>0</v>
      </c>
      <c r="W411" s="2264">
        <f>+W399/'VVP2'!W$341</f>
        <v>0</v>
      </c>
      <c r="X411" s="2264">
        <f>+X399/'VVP2'!X$341</f>
        <v>0</v>
      </c>
      <c r="Y411" s="2264">
        <f>+Y399/'VVP2'!Y$341</f>
        <v>0</v>
      </c>
      <c r="Z411" s="2264">
        <f>+Z399/'VVP2'!Z$341</f>
        <v>0</v>
      </c>
      <c r="AA411" s="2264">
        <f>+AA399/'VVP2'!AA$341</f>
        <v>0</v>
      </c>
      <c r="AB411" s="2264">
        <f>+AB399/'VVP2'!AB$341</f>
        <v>0</v>
      </c>
      <c r="AC411" s="2264">
        <f ca="1">+AC399/'VVP2'!AC$341</f>
        <v>0</v>
      </c>
      <c r="AD411" s="2264">
        <f ca="1">+AD399/'VVP2'!AD$341</f>
        <v>0</v>
      </c>
      <c r="AE411" s="2264">
        <f ca="1">+AE399/'VVP2'!AE$341</f>
        <v>0</v>
      </c>
    </row>
    <row r="412" spans="1:31" ht="30" customHeight="1">
      <c r="A412" s="664"/>
      <c r="B412" s="664"/>
      <c r="C412" s="774"/>
      <c r="AB412" s="2221"/>
      <c r="AC412" s="2221"/>
      <c r="AD412" s="2221"/>
      <c r="AE412" s="2221"/>
    </row>
    <row r="413" spans="1:31" ht="30" customHeight="1">
      <c r="R413" s="843"/>
      <c r="S413" s="843"/>
      <c r="AB413" s="2221"/>
      <c r="AC413" s="2221"/>
      <c r="AD413" s="2221"/>
      <c r="AE413" s="2221"/>
    </row>
    <row r="414" spans="1:31" ht="22.5" customHeight="1">
      <c r="A414" s="574"/>
      <c r="B414" s="574"/>
      <c r="C414" s="3752" t="s">
        <v>821</v>
      </c>
      <c r="D414" s="3752"/>
      <c r="E414" s="3752"/>
      <c r="F414" s="3752"/>
      <c r="T414" s="3120"/>
      <c r="U414" s="3120"/>
      <c r="V414" s="3120"/>
      <c r="W414" s="3120" t="s">
        <v>1180</v>
      </c>
      <c r="X414" s="3120"/>
      <c r="Y414" s="3120"/>
      <c r="Z414" s="3120"/>
      <c r="AA414" s="3120"/>
      <c r="AB414" s="3120"/>
      <c r="AC414" s="3120"/>
      <c r="AD414" s="3120"/>
      <c r="AE414" s="3120"/>
    </row>
    <row r="415" spans="1:31" ht="12.75" customHeight="1">
      <c r="A415" s="664"/>
      <c r="B415" s="664"/>
      <c r="C415" s="774"/>
      <c r="T415" s="2203"/>
      <c r="U415" s="3120"/>
      <c r="V415" s="2203"/>
      <c r="W415" s="2203"/>
      <c r="X415" s="2203">
        <v>-0.6</v>
      </c>
      <c r="Y415" s="2203"/>
      <c r="Z415" s="2203"/>
      <c r="AA415" s="2203"/>
      <c r="AB415" s="2203"/>
      <c r="AC415" s="2203"/>
      <c r="AD415" s="2203"/>
      <c r="AE415" s="2203"/>
    </row>
    <row r="416" spans="1:31" ht="12.75" customHeight="1">
      <c r="A416" s="664"/>
      <c r="B416" s="664"/>
      <c r="C416" s="774"/>
      <c r="T416" s="2254"/>
      <c r="U416" s="2254">
        <f>U418+U419</f>
        <v>4.9334500000000006</v>
      </c>
      <c r="V416" s="2254">
        <f>V418+V419</f>
        <v>4.8171299999999997</v>
      </c>
      <c r="W416" s="2254">
        <f>W418+W419</f>
        <v>4.782</v>
      </c>
      <c r="X416" s="2254">
        <f>X418+X419</f>
        <v>4.8831500000000005</v>
      </c>
      <c r="Y416" s="2254"/>
      <c r="Z416" s="2254"/>
      <c r="AA416" s="2254"/>
      <c r="AB416" s="2254"/>
      <c r="AC416" s="2254"/>
      <c r="AD416" s="2254"/>
      <c r="AE416" s="2254"/>
    </row>
    <row r="417" spans="1:113" ht="12.75" customHeight="1">
      <c r="A417" s="664"/>
      <c r="B417" s="664"/>
      <c r="C417" s="774"/>
      <c r="D417" s="775"/>
      <c r="E417" s="776" t="s">
        <v>1384</v>
      </c>
      <c r="F417" s="777"/>
      <c r="G417" s="778">
        <f>+InputY!$G$3</f>
        <v>1995</v>
      </c>
      <c r="H417" s="778">
        <f>+G417+1</f>
        <v>1996</v>
      </c>
      <c r="I417" s="778">
        <f t="shared" ref="I417:O417" si="369">+H417+1</f>
        <v>1997</v>
      </c>
      <c r="J417" s="778">
        <f t="shared" si="369"/>
        <v>1998</v>
      </c>
      <c r="K417" s="778">
        <f>+J417+1</f>
        <v>1999</v>
      </c>
      <c r="L417" s="778">
        <f t="shared" si="369"/>
        <v>2000</v>
      </c>
      <c r="M417" s="778">
        <f t="shared" si="369"/>
        <v>2001</v>
      </c>
      <c r="N417" s="778">
        <f t="shared" si="369"/>
        <v>2002</v>
      </c>
      <c r="O417" s="778">
        <f t="shared" si="369"/>
        <v>2003</v>
      </c>
      <c r="P417" s="778">
        <f t="shared" ref="P417:U417" si="370">+O417+1</f>
        <v>2004</v>
      </c>
      <c r="Q417" s="778">
        <f t="shared" si="370"/>
        <v>2005</v>
      </c>
      <c r="R417" s="2222">
        <f t="shared" si="370"/>
        <v>2006</v>
      </c>
      <c r="S417" s="2222">
        <f>+R417+1</f>
        <v>2007</v>
      </c>
      <c r="T417" s="2222">
        <f t="shared" si="370"/>
        <v>2008</v>
      </c>
      <c r="U417" s="2222">
        <f t="shared" si="370"/>
        <v>2009</v>
      </c>
      <c r="V417" s="2222">
        <f t="shared" ref="V417:AE417" si="371">+U417+1</f>
        <v>2010</v>
      </c>
      <c r="W417" s="2222">
        <f t="shared" si="371"/>
        <v>2011</v>
      </c>
      <c r="X417" s="2222">
        <f t="shared" si="371"/>
        <v>2012</v>
      </c>
      <c r="Y417" s="2222">
        <f t="shared" si="371"/>
        <v>2013</v>
      </c>
      <c r="Z417" s="2222">
        <f t="shared" si="371"/>
        <v>2014</v>
      </c>
      <c r="AA417" s="2222">
        <f t="shared" si="371"/>
        <v>2015</v>
      </c>
      <c r="AB417" s="2222">
        <f t="shared" si="371"/>
        <v>2016</v>
      </c>
      <c r="AC417" s="2222">
        <f t="shared" si="371"/>
        <v>2017</v>
      </c>
      <c r="AD417" s="2222">
        <f t="shared" si="371"/>
        <v>2018</v>
      </c>
      <c r="AE417" s="2222">
        <f t="shared" si="371"/>
        <v>2019</v>
      </c>
    </row>
    <row r="418" spans="1:113" ht="12.75" customHeight="1">
      <c r="A418" s="664"/>
      <c r="B418" s="664"/>
      <c r="C418" s="779" t="s">
        <v>1767</v>
      </c>
      <c r="D418" s="668" t="s">
        <v>687</v>
      </c>
      <c r="E418" s="700" t="str">
        <f>+Labour1!E211</f>
        <v>Compensation of employees (D.1p)</v>
      </c>
      <c r="F418" s="701" t="s">
        <v>321</v>
      </c>
      <c r="G418" s="780">
        <f>+Labour1!G211</f>
        <v>0.74821000000000004</v>
      </c>
      <c r="H418" s="780">
        <f>+Labour1!H211</f>
        <v>1.01535</v>
      </c>
      <c r="I418" s="780">
        <f>+Labour1!I211</f>
        <v>1.2984</v>
      </c>
      <c r="J418" s="780">
        <f>+Labour1!J211</f>
        <v>1.647</v>
      </c>
      <c r="K418" s="780">
        <f>+Labour1!K211</f>
        <v>1.6960299999999999</v>
      </c>
      <c r="L418" s="780">
        <f>+Labour1!L211</f>
        <v>1.60758</v>
      </c>
      <c r="M418" s="780">
        <f>+Labour1!M211</f>
        <v>1.64941</v>
      </c>
      <c r="N418" s="780">
        <f>+Labour1!N211</f>
        <v>1.71401</v>
      </c>
      <c r="O418" s="780">
        <f>+Labour1!O211</f>
        <v>1.78653</v>
      </c>
      <c r="P418" s="780">
        <f>+Labour1!P211</f>
        <v>1.9686700000000001</v>
      </c>
      <c r="Q418" s="780">
        <f>+Labour1!Q211</f>
        <v>2.1530800000000001</v>
      </c>
      <c r="R418" s="780">
        <f>+Labour1!R211</f>
        <v>2.50461</v>
      </c>
      <c r="S418" s="780">
        <f>+Labour1!S211</f>
        <v>2.8344800000000001</v>
      </c>
      <c r="T418" s="3191">
        <f>+Labour1!T211</f>
        <v>3.4758</v>
      </c>
      <c r="U418" s="3191">
        <f>+Labour1!U211</f>
        <v>3.4102600000000001</v>
      </c>
      <c r="V418" s="3191">
        <f>+Labour1!V211</f>
        <v>3.05884</v>
      </c>
      <c r="W418" s="3191">
        <f>+Labour1!W211</f>
        <v>3.19733</v>
      </c>
      <c r="X418" s="3191">
        <f>+Labour1!X211</f>
        <v>3.2416100000000001</v>
      </c>
      <c r="Y418" s="3191">
        <f>+Labour1!Y211</f>
        <v>3.3384499999999999</v>
      </c>
      <c r="Z418" s="3191">
        <f>+Labour1!Z211</f>
        <v>3.4621500000000003</v>
      </c>
      <c r="AA418" s="3191">
        <f>+Labour1!AA211</f>
        <v>3.6053099999999998</v>
      </c>
      <c r="AB418" s="3191">
        <f>+Labour1!AB211</f>
        <v>3.8023500000000001</v>
      </c>
      <c r="AC418" s="2275">
        <f>+Labour1!AC211</f>
        <v>4.0019753007261274</v>
      </c>
      <c r="AD418" s="2275">
        <f>+Labour1!AD211</f>
        <v>4.2038161866725012</v>
      </c>
      <c r="AE418" s="2275">
        <f>+Labour1!AE211</f>
        <v>4.435208860003871</v>
      </c>
    </row>
    <row r="419" spans="1:113" ht="12.75" customHeight="1">
      <c r="A419" s="664">
        <f>+ROW(InputY!A142)</f>
        <v>142</v>
      </c>
      <c r="B419" s="664">
        <v>145</v>
      </c>
      <c r="C419" s="782" t="s">
        <v>1767</v>
      </c>
      <c r="D419" s="831" t="s">
        <v>687</v>
      </c>
      <c r="E419" s="832" t="s">
        <v>1623</v>
      </c>
      <c r="F419" s="704"/>
      <c r="G419" s="703">
        <f>+InputY!G142/1000</f>
        <v>0.70490999999999993</v>
      </c>
      <c r="H419" s="703">
        <f>+InputY!H142/1000</f>
        <v>0.83732000000000006</v>
      </c>
      <c r="I419" s="703">
        <f>+InputY!I142/1000</f>
        <v>1.13032</v>
      </c>
      <c r="J419" s="703">
        <f>+InputY!J142/1000</f>
        <v>1.2086300000000001</v>
      </c>
      <c r="K419" s="703">
        <f>+InputY!K142/1000</f>
        <v>0.88361999999999996</v>
      </c>
      <c r="L419" s="703">
        <f>+InputY!L142/1000</f>
        <v>0.97050000000000003</v>
      </c>
      <c r="M419" s="703">
        <f>+InputY!M142/1000</f>
        <v>0.85672999999999999</v>
      </c>
      <c r="N419" s="703">
        <f>+InputY!N142/1000</f>
        <v>0.95311999999999997</v>
      </c>
      <c r="O419" s="703">
        <f>+InputY!O142/1000</f>
        <v>0.98717999999999995</v>
      </c>
      <c r="P419" s="703">
        <f>+InputY!P142/1000</f>
        <v>1.0180800000000001</v>
      </c>
      <c r="Q419" s="703">
        <f>+InputY!Q142/1000</f>
        <v>1.16645</v>
      </c>
      <c r="R419" s="2290">
        <f>+InputY!R142/1000</f>
        <v>1.39947</v>
      </c>
      <c r="S419" s="2290">
        <f>+InputY!S142/1000</f>
        <v>1.4840100000000001</v>
      </c>
      <c r="T419" s="2290">
        <f>+InputY!T142/1000</f>
        <v>1.81999</v>
      </c>
      <c r="U419" s="2290">
        <f>+InputY!U142/1000</f>
        <v>1.52319</v>
      </c>
      <c r="V419" s="2290">
        <f>+InputY!V142/1000</f>
        <v>1.7582899999999999</v>
      </c>
      <c r="W419" s="2290">
        <f>+InputY!W142/1000</f>
        <v>1.58467</v>
      </c>
      <c r="X419" s="2290">
        <f>+InputY!X142/1000</f>
        <v>1.64154</v>
      </c>
      <c r="Y419" s="2290">
        <f>+InputY!Y142/1000</f>
        <v>1.6197699999999999</v>
      </c>
      <c r="Z419" s="2290">
        <f>+InputY!Z142/1000</f>
        <v>1.7096199999999999</v>
      </c>
      <c r="AA419" s="2290">
        <f>+InputY!AA142/1000</f>
        <v>1.8676900000000001</v>
      </c>
      <c r="AB419" s="2290">
        <f>+InputY!AB142/1000</f>
        <v>1.84643</v>
      </c>
      <c r="AC419" s="3425">
        <f>+AC427-AC418-AC420-AC422-AC423-AC424+AC425+AC426</f>
        <v>1.8754002492738726</v>
      </c>
      <c r="AD419" s="3425">
        <f ca="1">+AD427-AD418-AD420-AD422-AD423-AD424+AD425+AD426</f>
        <v>2.0133065466654987</v>
      </c>
      <c r="AE419" s="3425">
        <f ca="1">+AE427-AE418-AE420-AE422-AE423-AE424+AE425+AE426</f>
        <v>2.1138316020828603</v>
      </c>
    </row>
    <row r="420" spans="1:113" ht="12.75" customHeight="1">
      <c r="A420" s="664">
        <f>+ROW(InputY!A162)</f>
        <v>162</v>
      </c>
      <c r="B420" s="664">
        <v>146</v>
      </c>
      <c r="C420" s="782" t="s">
        <v>1767</v>
      </c>
      <c r="D420" s="674" t="s">
        <v>687</v>
      </c>
      <c r="E420" s="783" t="s">
        <v>1624</v>
      </c>
      <c r="F420" s="704"/>
      <c r="G420" s="706">
        <f>+InputY!G162/1000</f>
        <v>0.12528</v>
      </c>
      <c r="H420" s="706">
        <f>+InputY!H162/1000</f>
        <v>0.17881</v>
      </c>
      <c r="I420" s="706">
        <f>+InputY!I162/1000</f>
        <v>0.14405000000000001</v>
      </c>
      <c r="J420" s="706">
        <f>+InputY!J162/1000</f>
        <v>0.23977000000000001</v>
      </c>
      <c r="K420" s="706">
        <f>+InputY!K162/1000</f>
        <v>0.22491999999999998</v>
      </c>
      <c r="L420" s="706">
        <f>+InputY!L162/1000</f>
        <v>0.18768000000000001</v>
      </c>
      <c r="M420" s="706">
        <f>+InputY!M162/1000</f>
        <v>0.18218000000000001</v>
      </c>
      <c r="N420" s="706">
        <f>+InputY!N162/1000</f>
        <v>0.21962999999999999</v>
      </c>
      <c r="O420" s="706">
        <f>+InputY!O162/1000</f>
        <v>0.24327000000000001</v>
      </c>
      <c r="P420" s="706">
        <f>+InputY!P162/1000</f>
        <v>0.26491000000000003</v>
      </c>
      <c r="Q420" s="706">
        <f>+InputY!Q162/1000</f>
        <v>0.38077</v>
      </c>
      <c r="R420" s="2219">
        <f>+InputY!R162/1000</f>
        <v>0.40255000000000002</v>
      </c>
      <c r="S420" s="2219">
        <f>+InputY!S162/1000</f>
        <v>0.45735999999999999</v>
      </c>
      <c r="T420" s="2219">
        <f>+InputY!T162/1000</f>
        <v>0.5645</v>
      </c>
      <c r="U420" s="2219">
        <f>+InputY!U162/1000</f>
        <v>0.53662999999999994</v>
      </c>
      <c r="V420" s="2219">
        <f>+InputY!V162/1000</f>
        <v>0.53661999999999999</v>
      </c>
      <c r="W420" s="2219">
        <f>+InputY!W162/1000</f>
        <v>0.61984000000000006</v>
      </c>
      <c r="X420" s="2219">
        <f>+InputY!X162/1000</f>
        <v>0.58472999999999997</v>
      </c>
      <c r="Y420" s="2219">
        <f>+InputY!Y162/1000</f>
        <v>0.55325999999999997</v>
      </c>
      <c r="Z420">
        <f>+InputY!Z162/1000</f>
        <v>0.57772999999999997</v>
      </c>
      <c r="AA420">
        <f>+InputY!AA162/1000</f>
        <v>0.61829999999999996</v>
      </c>
      <c r="AB420" s="3609">
        <f>+InputY!AB162/1000</f>
        <v>0.64269000000000009</v>
      </c>
      <c r="AC420" s="3425">
        <f>+AB420*(1+AC434/100)</f>
        <v>0.66518415000000009</v>
      </c>
      <c r="AD420" s="3425">
        <f>+AC420*(1+AD434/100)</f>
        <v>0.68846559525000006</v>
      </c>
      <c r="AE420" s="3425">
        <f>+AD420*(1+AE434/100)</f>
        <v>0.70911956310750013</v>
      </c>
    </row>
    <row r="421" spans="1:113" s="1006" customFormat="1" ht="12.75" customHeight="1">
      <c r="A421" s="998"/>
      <c r="B421" s="998"/>
      <c r="C421" s="2204"/>
      <c r="D421" s="1011"/>
      <c r="E421" s="1973" t="s">
        <v>1625</v>
      </c>
      <c r="F421" s="1974"/>
      <c r="G421" s="2205">
        <f>G420/'VVP2'!G191</f>
        <v>0.15813389881853984</v>
      </c>
      <c r="H421" s="2205">
        <f>H420/'VVP2'!H191</f>
        <v>0.17461743537660762</v>
      </c>
      <c r="I421" s="2205">
        <f>I420/'VVP2'!I191</f>
        <v>0.10646947086779457</v>
      </c>
      <c r="J421" s="2205">
        <f>J420/'VVP2'!J191</f>
        <v>0.14424771839899894</v>
      </c>
      <c r="K421" s="2205">
        <f>K420/'VVP2'!K191</f>
        <v>0.12977900871271134</v>
      </c>
      <c r="L421" s="2205">
        <f>L420/'VVP2'!L191</f>
        <v>0.12824402443524252</v>
      </c>
      <c r="M421" s="2205">
        <f>M420/'VVP2'!M191</f>
        <v>0.11985368613570875</v>
      </c>
      <c r="N421" s="2205">
        <f>N420/'VVP2'!N191</f>
        <v>0.1333264534301376</v>
      </c>
      <c r="O421" s="2205">
        <f>O420/'VVP2'!O191</f>
        <v>0.14185087785792172</v>
      </c>
      <c r="P421" s="2205">
        <f>P420/'VVP2'!P191</f>
        <v>0.14374002973445182</v>
      </c>
      <c r="Q421" s="2205">
        <f>Q420/'VVP2'!Q191</f>
        <v>0.17932090044268625</v>
      </c>
      <c r="R421" s="2291">
        <f>R420/'VVP2'!R191</f>
        <v>0.1648315651116416</v>
      </c>
      <c r="S421" s="2291">
        <f>S420/'VVP2'!S191</f>
        <v>0.16742871576727786</v>
      </c>
      <c r="T421" s="2291">
        <f>T420/'VVP2'!T191</f>
        <v>0.1672037723777591</v>
      </c>
      <c r="U421" s="2916">
        <f>U420/'VVP2'!U191</f>
        <v>0.15833763628048331</v>
      </c>
      <c r="V421" s="2916">
        <f>V420/'VVP2'!V191</f>
        <v>0.16807454388849735</v>
      </c>
      <c r="W421" s="2916">
        <f>W420/'VVP2'!W191</f>
        <v>0.18594604972640877</v>
      </c>
      <c r="X421" s="2916">
        <f>X420/'VVP2'!X191</f>
        <v>0.17735213830755231</v>
      </c>
      <c r="Y421" s="2916">
        <f>Y420/'VVP2'!Y191</f>
        <v>0.16715056118672489</v>
      </c>
      <c r="Z421" s="2916">
        <f>Z420/'VVP2'!Z191</f>
        <v>0.17030126164367407</v>
      </c>
      <c r="AA421" s="2916">
        <f>AA420/'VVP2'!AA191</f>
        <v>0.16993406569244765</v>
      </c>
      <c r="AB421" s="2916">
        <f>AB420/'VVP2'!AB191</f>
        <v>0.17018048361984051</v>
      </c>
      <c r="AC421" s="2916">
        <f>AC420/'VVP2'!AC191</f>
        <v>0.16965347986655924</v>
      </c>
      <c r="AD421" s="2916">
        <f ca="1">AD420/'VVP2'!AD191</f>
        <v>0.16544036730892689</v>
      </c>
      <c r="AE421" s="2916">
        <f ca="1">AE420/'VVP2'!AE191</f>
        <v>0.16192532321578959</v>
      </c>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c r="DF421"/>
      <c r="DG421"/>
      <c r="DH421"/>
      <c r="DI421"/>
    </row>
    <row r="422" spans="1:113" ht="12.75" customHeight="1">
      <c r="A422" s="664">
        <f>+ROW(InputY!A144)</f>
        <v>144</v>
      </c>
      <c r="B422" s="664">
        <v>144</v>
      </c>
      <c r="C422" s="782" t="s">
        <v>1767</v>
      </c>
      <c r="D422" s="674" t="s">
        <v>687</v>
      </c>
      <c r="E422" s="783" t="str">
        <f>+E112</f>
        <v>Consumption of fixed capital (K.1)</v>
      </c>
      <c r="F422" s="704"/>
      <c r="G422" s="703">
        <f>+InputY!G144/1000</f>
        <v>0.34808</v>
      </c>
      <c r="H422" s="703">
        <f>+InputY!H144/1000</f>
        <v>0.38789000000000001</v>
      </c>
      <c r="I422" s="703">
        <f>+InputY!I144/1000</f>
        <v>0.42630000000000001</v>
      </c>
      <c r="J422" s="703">
        <f>+InputY!J144/1000</f>
        <v>0.43960000000000005</v>
      </c>
      <c r="K422" s="703">
        <f>+InputY!K144/1000</f>
        <v>0.44392999999999999</v>
      </c>
      <c r="L422" s="703">
        <f>+InputY!L144/1000</f>
        <v>0.44969999999999999</v>
      </c>
      <c r="M422" s="703">
        <f>+InputY!M144/1000</f>
        <v>0.44792000000000004</v>
      </c>
      <c r="N422" s="703">
        <f>+InputY!N144/1000</f>
        <v>0.44373000000000001</v>
      </c>
      <c r="O422" s="703">
        <f>+InputY!O144/1000</f>
        <v>0.47164999999999996</v>
      </c>
      <c r="P422" s="703">
        <f>+InputY!P144/1000</f>
        <v>0.49575999999999998</v>
      </c>
      <c r="Q422" s="703">
        <f>+InputY!Q144/1000</f>
        <v>0.54459000000000002</v>
      </c>
      <c r="R422" s="703">
        <f>+InputY!R144/1000</f>
        <v>0.60770000000000002</v>
      </c>
      <c r="S422" s="703">
        <f>+InputY!S144/1000</f>
        <v>0.70246000000000008</v>
      </c>
      <c r="T422" s="703">
        <f>+InputY!T144/1000</f>
        <v>0.81538999999999995</v>
      </c>
      <c r="U422" s="703">
        <f>+InputY!U144/1000</f>
        <v>0.81699999999999995</v>
      </c>
      <c r="V422" s="703">
        <f>+InputY!V144/1000</f>
        <v>0.81259000000000003</v>
      </c>
      <c r="W422" s="703">
        <f>+InputY!W144/1000</f>
        <v>0.88575000000000004</v>
      </c>
      <c r="X422" s="703">
        <f>+InputY!X144/1000</f>
        <v>0.96163999999999994</v>
      </c>
      <c r="Y422" s="703">
        <f>+InputY!Y144/1000</f>
        <v>1.02627</v>
      </c>
      <c r="Z422" s="703">
        <f>+InputY!Z144/1000</f>
        <v>1.0739400000000001</v>
      </c>
      <c r="AA422" s="703">
        <f>+InputY!AA144/1000</f>
        <v>1.1040000000000001</v>
      </c>
      <c r="AB422" s="703">
        <f>+InputY!AB144/1000</f>
        <v>1.14178</v>
      </c>
      <c r="AC422" s="3425">
        <f t="shared" ref="AC422:AE423" si="372">+AB422*(1+AC436/100)</f>
        <v>1.1817423</v>
      </c>
      <c r="AD422" s="3425">
        <f t="shared" si="372"/>
        <v>1.229011992</v>
      </c>
      <c r="AE422" s="3425">
        <f t="shared" si="372"/>
        <v>1.2720274117199999</v>
      </c>
    </row>
    <row r="423" spans="1:113" ht="12.75" customHeight="1">
      <c r="A423" s="664"/>
      <c r="B423" s="664"/>
      <c r="C423" s="782" t="s">
        <v>1767</v>
      </c>
      <c r="D423" s="674" t="s">
        <v>687</v>
      </c>
      <c r="E423" s="783" t="str">
        <f>+E113</f>
        <v>Net operating surplus (B.2n)</v>
      </c>
      <c r="F423" s="704"/>
      <c r="G423" s="706">
        <f t="shared" ref="G423:V423" si="373">+G109-G422</f>
        <v>0</v>
      </c>
      <c r="H423" s="706">
        <f t="shared" si="373"/>
        <v>0</v>
      </c>
      <c r="I423" s="706">
        <f t="shared" si="373"/>
        <v>-1.0000000000121023E-5</v>
      </c>
      <c r="J423" s="706">
        <f t="shared" si="373"/>
        <v>0</v>
      </c>
      <c r="K423" s="706">
        <f t="shared" si="373"/>
        <v>0</v>
      </c>
      <c r="L423" s="706">
        <f t="shared" si="373"/>
        <v>1.0000000000232045E-5</v>
      </c>
      <c r="M423" s="706">
        <f t="shared" si="373"/>
        <v>-5.0000000000272049E-5</v>
      </c>
      <c r="N423" s="706">
        <f t="shared" si="373"/>
        <v>-9.999999999965592E-5</v>
      </c>
      <c r="O423" s="706">
        <f t="shared" si="373"/>
        <v>1.1999999999989797E-4</v>
      </c>
      <c r="P423" s="706">
        <f t="shared" si="373"/>
        <v>1.1000000000022103E-4</v>
      </c>
      <c r="Q423" s="706">
        <f t="shared" si="373"/>
        <v>8.9999999999967883E-4</v>
      </c>
      <c r="R423" s="706">
        <f t="shared" si="373"/>
        <v>5.1899999999996949E-3</v>
      </c>
      <c r="S423" s="706">
        <f t="shared" si="373"/>
        <v>6.5799999999996972E-3</v>
      </c>
      <c r="T423" s="706">
        <f t="shared" si="373"/>
        <v>3.2100000000001572E-3</v>
      </c>
      <c r="U423" s="706">
        <f t="shared" si="373"/>
        <v>7.8000000000011394E-4</v>
      </c>
      <c r="V423" s="706">
        <f t="shared" si="373"/>
        <v>3.0000000000001137E-3</v>
      </c>
      <c r="W423" s="706">
        <f t="shared" ref="W423:AA423" si="374">+W109-W422</f>
        <v>2.9900000000000482E-3</v>
      </c>
      <c r="X423" s="706">
        <f t="shared" si="374"/>
        <v>1.515000000000033E-2</v>
      </c>
      <c r="Y423" s="706">
        <f t="shared" si="374"/>
        <v>4.329999999999945E-3</v>
      </c>
      <c r="Z423" s="706">
        <f t="shared" si="374"/>
        <v>5.1399999999990342E-3</v>
      </c>
      <c r="AA423" s="706">
        <f t="shared" si="374"/>
        <v>-5.399999999993188E-4</v>
      </c>
      <c r="AB423" s="706">
        <f t="shared" ref="AB423" si="375">+AB109-AB422</f>
        <v>1.2000000000000899E-3</v>
      </c>
      <c r="AC423" s="3425">
        <f t="shared" si="372"/>
        <v>1.2000000000000899E-3</v>
      </c>
      <c r="AD423" s="3425">
        <f t="shared" si="372"/>
        <v>1.2000000000000899E-3</v>
      </c>
      <c r="AE423" s="3425">
        <f t="shared" si="372"/>
        <v>1.2000000000000899E-3</v>
      </c>
    </row>
    <row r="424" spans="1:113" ht="12.75" customHeight="1">
      <c r="A424" s="664"/>
      <c r="B424" s="664"/>
      <c r="C424" s="782" t="s">
        <v>1767</v>
      </c>
      <c r="D424" s="674" t="s">
        <v>687</v>
      </c>
      <c r="E424" s="706" t="str">
        <f>+E11</f>
        <v>Other taxes on production (D.29p)</v>
      </c>
      <c r="F424" s="706" t="str">
        <f>+F11</f>
        <v>$ATaxProd</v>
      </c>
      <c r="G424" s="706">
        <f>+G11</f>
        <v>2.8500000000000001E-3</v>
      </c>
      <c r="H424" s="706">
        <f>+H11</f>
        <v>4.4299999999999999E-3</v>
      </c>
      <c r="I424" s="706">
        <f t="shared" ref="I424:P424" si="376">+I11</f>
        <v>5.8700000000000002E-3</v>
      </c>
      <c r="J424" s="706">
        <f t="shared" si="376"/>
        <v>6.1700000000000001E-3</v>
      </c>
      <c r="K424" s="706">
        <f t="shared" si="376"/>
        <v>6.43E-3</v>
      </c>
      <c r="L424" s="706">
        <f t="shared" si="376"/>
        <v>6.1900000000000002E-3</v>
      </c>
      <c r="M424" s="706">
        <f t="shared" si="376"/>
        <v>6.9500000000000004E-3</v>
      </c>
      <c r="N424" s="706">
        <f t="shared" si="376"/>
        <v>7.62E-3</v>
      </c>
      <c r="O424" s="706">
        <f t="shared" si="376"/>
        <v>7.6699999999999997E-3</v>
      </c>
      <c r="P424" s="706">
        <f t="shared" si="376"/>
        <v>9.5500000000000012E-3</v>
      </c>
      <c r="Q424" s="706">
        <f t="shared" ref="Q424:V424" si="377">+Q11</f>
        <v>4.15E-3</v>
      </c>
      <c r="R424" s="2219">
        <f t="shared" si="377"/>
        <v>3.5999999999999999E-3</v>
      </c>
      <c r="S424" s="2219">
        <f t="shared" si="377"/>
        <v>3.64E-3</v>
      </c>
      <c r="T424" s="2219">
        <f t="shared" si="377"/>
        <v>3.2699999999999999E-3</v>
      </c>
      <c r="U424" s="2219">
        <f t="shared" si="377"/>
        <v>2.4599999999999999E-3</v>
      </c>
      <c r="V424" s="2219">
        <f t="shared" si="377"/>
        <v>2.2200000000000002E-3</v>
      </c>
      <c r="W424" s="2219">
        <f t="shared" ref="W424:Y424" si="378">+W11</f>
        <v>2.8200000000000005E-3</v>
      </c>
      <c r="X424" s="2219">
        <f t="shared" si="378"/>
        <v>3.7200000000000002E-3</v>
      </c>
      <c r="Y424" s="2219">
        <f t="shared" si="378"/>
        <v>4.3600000000000002E-3</v>
      </c>
      <c r="Z424" s="2219">
        <f t="shared" ref="Z424:AE424" si="379">+Z11</f>
        <v>5.0499999999999998E-3</v>
      </c>
      <c r="AA424" s="2219">
        <f t="shared" si="379"/>
        <v>2.6199999999999999E-3</v>
      </c>
      <c r="AB424" s="2219">
        <f t="shared" si="379"/>
        <v>2.7000000000000001E-3</v>
      </c>
      <c r="AC424" s="3425">
        <f t="shared" si="379"/>
        <v>2.8350000000000003E-3</v>
      </c>
      <c r="AD424" s="3425">
        <f t="shared" si="379"/>
        <v>2.9767500000000002E-3</v>
      </c>
      <c r="AE424" s="3425">
        <f t="shared" si="379"/>
        <v>3.1255875000000006E-3</v>
      </c>
    </row>
    <row r="425" spans="1:113" ht="12.75" customHeight="1">
      <c r="A425" s="664"/>
      <c r="B425" s="664"/>
      <c r="C425" s="782" t="s">
        <v>401</v>
      </c>
      <c r="D425" s="674" t="s">
        <v>687</v>
      </c>
      <c r="E425" s="706" t="str">
        <f>+E48</f>
        <v>Other subsidies on production (D.39r)</v>
      </c>
      <c r="F425" s="706" t="str">
        <f>+F48</f>
        <v>YASubProd</v>
      </c>
      <c r="G425" s="706">
        <f>+G48</f>
        <v>0</v>
      </c>
      <c r="H425" s="706">
        <f>+H48</f>
        <v>0</v>
      </c>
      <c r="I425" s="706">
        <f t="shared" ref="I425:P425" si="380">+I48</f>
        <v>0</v>
      </c>
      <c r="J425" s="706">
        <f t="shared" si="380"/>
        <v>0</v>
      </c>
      <c r="K425" s="706">
        <f t="shared" si="380"/>
        <v>0</v>
      </c>
      <c r="L425" s="706">
        <f t="shared" si="380"/>
        <v>0</v>
      </c>
      <c r="M425" s="706">
        <f t="shared" si="380"/>
        <v>0</v>
      </c>
      <c r="N425" s="706">
        <f t="shared" si="380"/>
        <v>0</v>
      </c>
      <c r="O425" s="706">
        <f t="shared" si="380"/>
        <v>0</v>
      </c>
      <c r="P425" s="706">
        <f t="shared" si="380"/>
        <v>0</v>
      </c>
      <c r="Q425" s="706">
        <f t="shared" ref="Q425:V425" si="381">+Q48</f>
        <v>0</v>
      </c>
      <c r="R425" s="2219">
        <f t="shared" si="381"/>
        <v>0</v>
      </c>
      <c r="S425" s="2219">
        <f t="shared" si="381"/>
        <v>0</v>
      </c>
      <c r="T425" s="2219">
        <f t="shared" si="381"/>
        <v>0</v>
      </c>
      <c r="U425" s="2219">
        <f t="shared" si="381"/>
        <v>0</v>
      </c>
      <c r="V425" s="2219">
        <f t="shared" si="381"/>
        <v>0</v>
      </c>
      <c r="W425" s="2219">
        <f t="shared" ref="W425:Y425" si="382">+W48</f>
        <v>0</v>
      </c>
      <c r="X425" s="2219">
        <f t="shared" si="382"/>
        <v>0</v>
      </c>
      <c r="Y425" s="2219">
        <f t="shared" si="382"/>
        <v>0</v>
      </c>
      <c r="Z425" s="2219">
        <f t="shared" ref="Z425:AE425" si="383">+Z48</f>
        <v>0</v>
      </c>
      <c r="AA425" s="2219">
        <f t="shared" si="383"/>
        <v>0</v>
      </c>
      <c r="AB425" s="2219">
        <f t="shared" si="383"/>
        <v>0</v>
      </c>
      <c r="AC425" s="3425">
        <f t="shared" si="383"/>
        <v>0</v>
      </c>
      <c r="AD425" s="3425">
        <f t="shared" si="383"/>
        <v>0</v>
      </c>
      <c r="AE425" s="3425">
        <f t="shared" si="383"/>
        <v>0</v>
      </c>
    </row>
    <row r="426" spans="1:113" ht="12.75" customHeight="1">
      <c r="A426" s="664">
        <f>+ROW(InputY!A140)</f>
        <v>140</v>
      </c>
      <c r="B426" s="664">
        <v>143</v>
      </c>
      <c r="C426" s="782" t="s">
        <v>401</v>
      </c>
      <c r="D426" s="674" t="s">
        <v>687</v>
      </c>
      <c r="E426" s="783" t="s">
        <v>770</v>
      </c>
      <c r="F426" s="704"/>
      <c r="G426" s="706">
        <f>+InputY!G140/1000</f>
        <v>6.6879999999999995E-2</v>
      </c>
      <c r="H426" s="706">
        <f>+InputY!H140/1000</f>
        <v>8.5260000000000002E-2</v>
      </c>
      <c r="I426" s="706">
        <f>+InputY!I140/1000</f>
        <v>0.17276</v>
      </c>
      <c r="J426" s="706">
        <f>+InputY!J140/1000</f>
        <v>0.17068</v>
      </c>
      <c r="K426" s="706">
        <f>+InputY!K140/1000</f>
        <v>0.24678</v>
      </c>
      <c r="L426" s="706">
        <f>+InputY!L140/1000</f>
        <v>0.22652</v>
      </c>
      <c r="M426" s="706">
        <f>+InputY!M140/1000</f>
        <v>0.14169999999999999</v>
      </c>
      <c r="N426" s="706">
        <f>+InputY!N140/1000</f>
        <v>0.21209</v>
      </c>
      <c r="O426" s="706">
        <f>+InputY!O140/1000</f>
        <v>0.23732</v>
      </c>
      <c r="P426" s="706">
        <f>+InputY!P140/1000</f>
        <v>0.26157999999999998</v>
      </c>
      <c r="Q426" s="706">
        <f>+InputY!Q140/1000</f>
        <v>0.36352999999999996</v>
      </c>
      <c r="R426" s="706">
        <f>+InputY!R140/1000</f>
        <v>0.31760999999999995</v>
      </c>
      <c r="S426" s="706">
        <f>+InputY!S140/1000</f>
        <v>0.42169000000000001</v>
      </c>
      <c r="T426" s="706">
        <f>+InputY!T140/1000</f>
        <v>0.58135999999999999</v>
      </c>
      <c r="U426" s="706">
        <f>+InputY!U140/1000</f>
        <v>0.57049000000000005</v>
      </c>
      <c r="V426" s="706">
        <f>+InputY!V140/1000</f>
        <v>0.6081700000000001</v>
      </c>
      <c r="W426" s="706">
        <f>+InputY!W140/1000</f>
        <v>0.55608000000000002</v>
      </c>
      <c r="X426" s="706">
        <f>+InputY!X140/1000</f>
        <v>0.61770999999999998</v>
      </c>
      <c r="Y426" s="706">
        <f>+InputY!Y140/1000</f>
        <v>0.70948</v>
      </c>
      <c r="Z426" s="706">
        <f>+InputY!Z140/1000</f>
        <v>0.76029999999999998</v>
      </c>
      <c r="AA426" s="706">
        <f>+InputY!AA140/1000</f>
        <v>0.76861999999999997</v>
      </c>
      <c r="AB426" s="706">
        <f>+InputY!AB140/1000</f>
        <v>0.80027999999999999</v>
      </c>
      <c r="AC426" s="3425">
        <f>+AB426*(1+AC440/100)</f>
        <v>0.82028699999999988</v>
      </c>
      <c r="AD426" s="3425">
        <f>+AC426*(1+AD440/100)</f>
        <v>0.84079417499999975</v>
      </c>
      <c r="AE426" s="3425">
        <f>+AD426*(1+AE440/100)</f>
        <v>0.86181402937499962</v>
      </c>
    </row>
    <row r="427" spans="1:113" ht="12.75" customHeight="1">
      <c r="A427" s="664"/>
      <c r="B427" s="664"/>
      <c r="C427" s="784" t="s">
        <v>1769</v>
      </c>
      <c r="D427" s="752" t="s">
        <v>687</v>
      </c>
      <c r="E427" s="753" t="s">
        <v>1360</v>
      </c>
      <c r="F427" s="754"/>
      <c r="G427" s="785">
        <f>+InputY!G64/1000</f>
        <v>1.8624400000000001</v>
      </c>
      <c r="H427" s="785">
        <f>+InputY!H64/1000</f>
        <v>2.3385500000000001</v>
      </c>
      <c r="I427" s="785">
        <f>+InputY!I64/1000</f>
        <v>2.83216</v>
      </c>
      <c r="J427" s="785">
        <f>+InputY!J64/1000</f>
        <v>3.3704699999999996</v>
      </c>
      <c r="K427" s="785">
        <f>+InputY!K64/1000</f>
        <v>3.0081500000000001</v>
      </c>
      <c r="L427" s="785">
        <f>+InputY!L64/1000</f>
        <v>2.9951300000000001</v>
      </c>
      <c r="M427" s="785">
        <f>+InputY!M64/1000</f>
        <v>3.0014400000000001</v>
      </c>
      <c r="N427" s="785">
        <f>+InputY!N64/1000</f>
        <v>3.1259200000000003</v>
      </c>
      <c r="O427" s="785">
        <f>+InputY!O64/1000</f>
        <v>3.2591100000000002</v>
      </c>
      <c r="P427" s="785">
        <f>+InputY!P64/1000</f>
        <v>3.4954899999999998</v>
      </c>
      <c r="Q427" s="785">
        <f>+InputY!Q64/1000</f>
        <v>3.8864099999999997</v>
      </c>
      <c r="R427" s="785">
        <f>+InputY!R64/1000</f>
        <v>4.6055000000000001</v>
      </c>
      <c r="S427" s="785">
        <f>+InputY!S64/1000</f>
        <v>5.0668299999999995</v>
      </c>
      <c r="T427" s="785">
        <f>+InputY!T64/1000</f>
        <v>6.1008000000000004</v>
      </c>
      <c r="U427" s="785">
        <f>+InputY!U64/1000</f>
        <v>5.71983</v>
      </c>
      <c r="V427" s="785">
        <f>+InputY!V64/1000</f>
        <v>5.5633800000000004</v>
      </c>
      <c r="W427" s="785">
        <f>+InputY!W64/1000</f>
        <v>5.7373199999999995</v>
      </c>
      <c r="X427" s="785">
        <f>+InputY!X64/1000</f>
        <v>5.8306800000000001</v>
      </c>
      <c r="Y427" s="785">
        <f>+InputY!Y64/1000</f>
        <v>5.83697</v>
      </c>
      <c r="Z427" s="785">
        <f>+InputY!Z64/1000</f>
        <v>6.0733300000000003</v>
      </c>
      <c r="AA427" s="785">
        <f>+InputY!AA64/1000</f>
        <v>6.4287700000000001</v>
      </c>
      <c r="AB427" s="785">
        <f>+InputY!AB64/1000</f>
        <v>6.63687</v>
      </c>
      <c r="AC427" s="785">
        <f>+'VVP2'!AC191+'VVP2'!AC192</f>
        <v>6.9080500000000002</v>
      </c>
      <c r="AD427" s="785">
        <f ca="1">+'VVP2'!AD191+'VVP2'!AD192</f>
        <v>7.2979828955880004</v>
      </c>
      <c r="AE427" s="785">
        <f ca="1">+'VVP2'!AE191+'VVP2'!AE192</f>
        <v>7.6726989950392319</v>
      </c>
    </row>
    <row r="428" spans="1:113" s="1972" customFormat="1" ht="12.75" customHeight="1">
      <c r="A428" s="998"/>
      <c r="B428" s="998"/>
      <c r="C428" s="1595"/>
      <c r="D428" s="1011"/>
      <c r="E428" s="1973" t="s">
        <v>737</v>
      </c>
      <c r="F428" s="1974"/>
      <c r="G428" s="1002">
        <f>ABS(+G418+G419+G420+G422+G423+G424-G425-G426-G427)</f>
        <v>9.9999999998434674E-6</v>
      </c>
      <c r="H428" s="1002">
        <f>ABS(+H418+H419+H420+H422+H423+H424-H425-H426-H427)</f>
        <v>9.9999999996214228E-6</v>
      </c>
      <c r="I428" s="1002">
        <f t="shared" ref="I428:Q428" si="384">ABS(+I418+I419+I420+I422+I423+I424-I425-I426-I427)</f>
        <v>1.0000000000065512E-5</v>
      </c>
      <c r="J428" s="1002">
        <f t="shared" si="384"/>
        <v>2.0000000000575113E-5</v>
      </c>
      <c r="K428" s="1002">
        <f t="shared" si="384"/>
        <v>4.4408920985006262E-16</v>
      </c>
      <c r="L428" s="1002">
        <f t="shared" si="384"/>
        <v>1.0000000000065512E-5</v>
      </c>
      <c r="M428" s="1002">
        <f t="shared" si="384"/>
        <v>8.8817841970012523E-16</v>
      </c>
      <c r="N428" s="1002">
        <f t="shared" si="384"/>
        <v>4.4408920985006262E-16</v>
      </c>
      <c r="O428" s="1002">
        <f t="shared" si="384"/>
        <v>1.0000000000509601E-5</v>
      </c>
      <c r="P428" s="1002">
        <f t="shared" si="384"/>
        <v>1.0000000000509601E-5</v>
      </c>
      <c r="Q428" s="1002">
        <f t="shared" si="384"/>
        <v>8.8817841970012523E-16</v>
      </c>
      <c r="R428" s="2233">
        <f t="shared" ref="R428:Y428" si="385">ABS(+R418+R419+R420+R422+R423+R424-R425-R426-R427)</f>
        <v>9.9999999996214228E-6</v>
      </c>
      <c r="S428" s="2233">
        <f t="shared" si="385"/>
        <v>1.0000000000509601E-5</v>
      </c>
      <c r="T428" s="2906">
        <f t="shared" si="385"/>
        <v>8.8817841970012523E-16</v>
      </c>
      <c r="U428" s="2906">
        <f t="shared" si="385"/>
        <v>0</v>
      </c>
      <c r="V428" s="2906">
        <f t="shared" si="385"/>
        <v>9.9999999996214228E-6</v>
      </c>
      <c r="W428" s="2906">
        <f t="shared" si="385"/>
        <v>8.8817841970012523E-16</v>
      </c>
      <c r="X428" s="2906">
        <f>ABS(+X418+X419+X420+X422+X423+X424-X425-X426-X427)</f>
        <v>1.7763568394002505E-15</v>
      </c>
      <c r="Y428" s="2906">
        <f t="shared" si="385"/>
        <v>9.9999999996214228E-6</v>
      </c>
      <c r="Z428" s="2906">
        <f t="shared" ref="Z428:AE428" si="386">ABS(+Z418+Z419+Z420+Z422+Z423+Z424-Z425-Z426-Z427)</f>
        <v>8.8817841970012523E-16</v>
      </c>
      <c r="AA428" s="2906">
        <f t="shared" si="386"/>
        <v>9.9999999996214228E-6</v>
      </c>
      <c r="AB428" s="2906">
        <f t="shared" si="386"/>
        <v>0</v>
      </c>
      <c r="AC428" s="2906">
        <f t="shared" si="386"/>
        <v>0</v>
      </c>
      <c r="AD428" s="2906">
        <f t="shared" ca="1" si="386"/>
        <v>0</v>
      </c>
      <c r="AE428" s="2906">
        <f t="shared" ca="1" si="386"/>
        <v>1.7763568394002505E-15</v>
      </c>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c r="DF428"/>
      <c r="DG428"/>
      <c r="DH428"/>
      <c r="DI428"/>
    </row>
    <row r="429" spans="1:113">
      <c r="A429" s="664"/>
      <c r="B429" s="664"/>
      <c r="D429" s="1782"/>
      <c r="E429" s="2897" t="s">
        <v>726</v>
      </c>
      <c r="F429" s="1782"/>
      <c r="G429" s="1782"/>
      <c r="H429" s="1782"/>
      <c r="I429" s="1782"/>
      <c r="J429" s="1782"/>
      <c r="K429" s="1782"/>
      <c r="L429" s="1782"/>
      <c r="M429" s="1782"/>
      <c r="N429" s="1782"/>
      <c r="O429" s="1782"/>
      <c r="P429" s="1782"/>
      <c r="Q429" s="1782"/>
      <c r="R429" s="1782"/>
      <c r="S429" s="1782"/>
      <c r="T429" s="1782"/>
      <c r="U429" s="3131">
        <f>U418+U419+U420+U422-U426+U423+U424-U425</f>
        <v>5.71983</v>
      </c>
      <c r="V429" s="2917"/>
      <c r="W429" s="2917"/>
      <c r="X429" s="2917"/>
      <c r="Y429" s="2917"/>
      <c r="Z429" s="2917"/>
      <c r="AA429" s="2917"/>
      <c r="AB429" s="2917"/>
      <c r="AC429" s="2917"/>
      <c r="AD429" s="2917"/>
      <c r="AE429" s="2917"/>
    </row>
    <row r="430" spans="1:113">
      <c r="A430" s="664"/>
      <c r="B430" s="664"/>
      <c r="G430" s="849"/>
      <c r="Q430" s="845"/>
      <c r="R430" s="2254"/>
      <c r="W430" s="2221">
        <v>-9.6</v>
      </c>
      <c r="AB430" s="2221"/>
      <c r="AC430" s="2221"/>
      <c r="AD430" s="2221"/>
      <c r="AE430" s="2221"/>
    </row>
    <row r="431" spans="1:113" ht="12.75" customHeight="1">
      <c r="A431" s="664"/>
      <c r="B431" s="664"/>
      <c r="C431" s="774"/>
      <c r="D431" s="742"/>
      <c r="E431" s="743" t="s">
        <v>1311</v>
      </c>
      <c r="F431" s="744"/>
      <c r="G431" s="745">
        <f>+InputY!$G$3</f>
        <v>1995</v>
      </c>
      <c r="H431" s="745">
        <f>+G431+1</f>
        <v>1996</v>
      </c>
      <c r="I431" s="745">
        <f t="shared" ref="I431:O431" si="387">+H431+1</f>
        <v>1997</v>
      </c>
      <c r="J431" s="745">
        <f t="shared" si="387"/>
        <v>1998</v>
      </c>
      <c r="K431" s="745">
        <f>+J431+1</f>
        <v>1999</v>
      </c>
      <c r="L431" s="745">
        <f t="shared" si="387"/>
        <v>2000</v>
      </c>
      <c r="M431" s="745">
        <f t="shared" si="387"/>
        <v>2001</v>
      </c>
      <c r="N431" s="745">
        <f t="shared" si="387"/>
        <v>2002</v>
      </c>
      <c r="O431" s="745">
        <f t="shared" si="387"/>
        <v>2003</v>
      </c>
      <c r="P431" s="745">
        <f t="shared" ref="P431:U431" si="388">+O431+1</f>
        <v>2004</v>
      </c>
      <c r="Q431" s="745">
        <f t="shared" si="388"/>
        <v>2005</v>
      </c>
      <c r="R431" s="2211">
        <f t="shared" si="388"/>
        <v>2006</v>
      </c>
      <c r="S431" s="2211">
        <f>+R431+1</f>
        <v>2007</v>
      </c>
      <c r="T431" s="2211">
        <f t="shared" si="388"/>
        <v>2008</v>
      </c>
      <c r="U431" s="2211">
        <f t="shared" si="388"/>
        <v>2009</v>
      </c>
      <c r="V431" s="2211">
        <f t="shared" ref="V431:AE431" si="389">+U431+1</f>
        <v>2010</v>
      </c>
      <c r="W431" s="2211">
        <f t="shared" si="389"/>
        <v>2011</v>
      </c>
      <c r="X431" s="2211">
        <f t="shared" si="389"/>
        <v>2012</v>
      </c>
      <c r="Y431" s="2211">
        <f t="shared" si="389"/>
        <v>2013</v>
      </c>
      <c r="Z431" s="2211">
        <f t="shared" si="389"/>
        <v>2014</v>
      </c>
      <c r="AA431" s="2211">
        <f t="shared" si="389"/>
        <v>2015</v>
      </c>
      <c r="AB431" s="2211">
        <f t="shared" si="389"/>
        <v>2016</v>
      </c>
      <c r="AC431" s="2211">
        <f t="shared" si="389"/>
        <v>2017</v>
      </c>
      <c r="AD431" s="2211">
        <f t="shared" si="389"/>
        <v>2018</v>
      </c>
      <c r="AE431" s="2211">
        <f t="shared" si="389"/>
        <v>2019</v>
      </c>
    </row>
    <row r="432" spans="1:113" ht="12.75" customHeight="1">
      <c r="A432" s="664"/>
      <c r="B432" s="664"/>
      <c r="C432" s="794" t="s">
        <v>1767</v>
      </c>
      <c r="D432" s="689" t="s">
        <v>687</v>
      </c>
      <c r="E432" s="738" t="str">
        <f>+E418</f>
        <v>Compensation of employees (D.1p)</v>
      </c>
      <c r="F432" s="733" t="s">
        <v>16</v>
      </c>
      <c r="G432" s="739"/>
      <c r="H432" s="739">
        <f t="shared" ref="H432:P432" si="390">(H418/G418-1)*100</f>
        <v>35.703879926758518</v>
      </c>
      <c r="I432" s="739">
        <f t="shared" si="390"/>
        <v>27.877086718865417</v>
      </c>
      <c r="J432" s="739">
        <f t="shared" si="390"/>
        <v>26.848428835489834</v>
      </c>
      <c r="K432" s="739">
        <f>(K418/J418-1)*100</f>
        <v>2.9769277474195555</v>
      </c>
      <c r="L432" s="739">
        <f t="shared" si="390"/>
        <v>-5.2151200155657556</v>
      </c>
      <c r="M432" s="739">
        <f t="shared" si="390"/>
        <v>2.6020477985543522</v>
      </c>
      <c r="N432" s="739">
        <f t="shared" si="390"/>
        <v>3.9165519791925618</v>
      </c>
      <c r="O432" s="739">
        <f t="shared" si="390"/>
        <v>4.2310138213895954</v>
      </c>
      <c r="P432" s="739">
        <f t="shared" si="390"/>
        <v>10.195182840478489</v>
      </c>
      <c r="Q432" s="739">
        <f>(Q418/P418-1)*100</f>
        <v>9.3672377798208917</v>
      </c>
      <c r="R432" s="2212">
        <f t="shared" ref="R432:AE432" si="391">(R418/Q418-1)*100</f>
        <v>16.326843405725743</v>
      </c>
      <c r="S432" s="2212">
        <f t="shared" si="391"/>
        <v>13.170513572971455</v>
      </c>
      <c r="T432" s="2212">
        <f t="shared" si="391"/>
        <v>22.625666788970111</v>
      </c>
      <c r="U432" s="2212">
        <f t="shared" si="391"/>
        <v>-1.8856090684159055</v>
      </c>
      <c r="V432" s="2212">
        <f t="shared" si="391"/>
        <v>-10.304786145337896</v>
      </c>
      <c r="W432" s="2212">
        <f t="shared" si="391"/>
        <v>4.5275333132821505</v>
      </c>
      <c r="X432" s="2212">
        <f t="shared" si="391"/>
        <v>1.3849055305520608</v>
      </c>
      <c r="Y432" s="2212">
        <f t="shared" si="391"/>
        <v>2.9874044070693273</v>
      </c>
      <c r="Z432" s="2212">
        <f t="shared" ref="Z432:AB433" si="392">(Z418/Y418-1)*100</f>
        <v>3.7053123455495829</v>
      </c>
      <c r="AA432" s="2212">
        <f t="shared" si="392"/>
        <v>4.1350028161691199</v>
      </c>
      <c r="AB432" s="2212">
        <f t="shared" si="392"/>
        <v>5.4652720570491864</v>
      </c>
      <c r="AC432" s="2268">
        <f t="shared" si="391"/>
        <v>5.2500506456830021</v>
      </c>
      <c r="AD432" s="2268">
        <f t="shared" si="391"/>
        <v>5.0435315257880697</v>
      </c>
      <c r="AE432" s="2268">
        <f t="shared" si="391"/>
        <v>5.5043480270370093</v>
      </c>
    </row>
    <row r="433" spans="1:113" ht="12.75" customHeight="1">
      <c r="A433" s="664"/>
      <c r="B433" s="664"/>
      <c r="C433" s="795" t="s">
        <v>1767</v>
      </c>
      <c r="D433" s="831" t="s">
        <v>687</v>
      </c>
      <c r="E433" s="832" t="str">
        <f>+E419</f>
        <v>Intermediate consumption (P.2)</v>
      </c>
      <c r="F433" s="704" t="s">
        <v>1552</v>
      </c>
      <c r="G433" s="706"/>
      <c r="H433" s="706">
        <f t="shared" ref="H433:P433" si="393">(H419/G419-1)*100</f>
        <v>18.783958235803166</v>
      </c>
      <c r="I433" s="706">
        <f t="shared" si="393"/>
        <v>34.992595423494002</v>
      </c>
      <c r="J433" s="706">
        <f t="shared" si="393"/>
        <v>6.928126548234137</v>
      </c>
      <c r="K433" s="706">
        <f>(K419/J419-1)*100</f>
        <v>-26.890777160917743</v>
      </c>
      <c r="L433" s="706">
        <f t="shared" si="393"/>
        <v>9.8322808447070198</v>
      </c>
      <c r="M433" s="706">
        <f t="shared" si="393"/>
        <v>-11.72282328696549</v>
      </c>
      <c r="N433" s="706">
        <f t="shared" si="393"/>
        <v>11.250919192744501</v>
      </c>
      <c r="O433" s="706">
        <f t="shared" si="393"/>
        <v>3.5735269430921646</v>
      </c>
      <c r="P433" s="706">
        <f t="shared" si="393"/>
        <v>3.1301282440892475</v>
      </c>
      <c r="Q433" s="706">
        <f>(Q419/P419-1)*100</f>
        <v>14.573510922520816</v>
      </c>
      <c r="R433" s="2219">
        <f t="shared" ref="R433:Y433" si="394">(R419/Q419-1)*100</f>
        <v>19.976852844099625</v>
      </c>
      <c r="S433" s="2219">
        <f t="shared" si="394"/>
        <v>6.0408583249373038</v>
      </c>
      <c r="T433" s="2219">
        <f t="shared" si="394"/>
        <v>22.64000916435873</v>
      </c>
      <c r="U433" s="2219">
        <f t="shared" si="394"/>
        <v>-16.307781910889616</v>
      </c>
      <c r="V433" s="2219">
        <f t="shared" si="394"/>
        <v>15.434712675372065</v>
      </c>
      <c r="W433" s="2219">
        <f t="shared" si="394"/>
        <v>-9.8743665720671725</v>
      </c>
      <c r="X433" s="2219">
        <f t="shared" si="394"/>
        <v>3.5887598048805147</v>
      </c>
      <c r="Y433" s="2219">
        <f t="shared" si="394"/>
        <v>-1.326193696163358</v>
      </c>
      <c r="Z433" s="2219">
        <f t="shared" si="392"/>
        <v>5.5470838452372773</v>
      </c>
      <c r="AA433" s="2219">
        <f t="shared" si="392"/>
        <v>9.2459142967443064</v>
      </c>
      <c r="AB433" s="2219">
        <f t="shared" si="392"/>
        <v>-1.138304536620105</v>
      </c>
      <c r="AC433" s="837">
        <f>(AC419/AB419-1)*100</f>
        <v>1.568987141341549</v>
      </c>
      <c r="AD433" s="837">
        <f ca="1">(AD419/AC419-1)*100</f>
        <v>7.3534328176090069</v>
      </c>
      <c r="AE433" s="837">
        <f ca="1">(AE419/AD419-1)*100</f>
        <v>4.9930327591620083</v>
      </c>
      <c r="AF433" s="3661" t="s">
        <v>2599</v>
      </c>
      <c r="AG433" s="3654" t="s">
        <v>2600</v>
      </c>
    </row>
    <row r="434" spans="1:113" ht="12.75" customHeight="1">
      <c r="A434" s="664"/>
      <c r="B434" s="664"/>
      <c r="C434" s="795" t="s">
        <v>1767</v>
      </c>
      <c r="D434" s="674" t="s">
        <v>687</v>
      </c>
      <c r="E434" s="783" t="str">
        <f>+E420</f>
        <v>Social transfers in kind via market producers (D.6311+D.63121+D.63122)</v>
      </c>
      <c r="F434" s="704"/>
      <c r="G434" s="706"/>
      <c r="H434" s="706">
        <f t="shared" ref="H434:P434" si="395">(H420/G420-1)*100</f>
        <v>42.728288633461034</v>
      </c>
      <c r="I434" s="706">
        <f t="shared" si="395"/>
        <v>-19.439628656115428</v>
      </c>
      <c r="J434" s="706">
        <f t="shared" si="395"/>
        <v>66.449149600833039</v>
      </c>
      <c r="K434" s="706">
        <f>(K420/J420-1)*100</f>
        <v>-6.1934353755682681</v>
      </c>
      <c r="L434" s="706">
        <f t="shared" si="395"/>
        <v>-16.556998043748873</v>
      </c>
      <c r="M434" s="706">
        <f t="shared" si="395"/>
        <v>-2.9305200341006032</v>
      </c>
      <c r="N434" s="706">
        <f t="shared" si="395"/>
        <v>20.556592381161476</v>
      </c>
      <c r="O434" s="706">
        <f t="shared" si="395"/>
        <v>10.763556891135106</v>
      </c>
      <c r="P434" s="706">
        <f t="shared" si="395"/>
        <v>8.8954659431907057</v>
      </c>
      <c r="Q434" s="706">
        <f>(Q420/P420-1)*100</f>
        <v>43.735608319806715</v>
      </c>
      <c r="R434" s="2219">
        <f>(R420/Q420-1)*100</f>
        <v>5.719988444467794</v>
      </c>
      <c r="S434" s="2219">
        <f>(S420/R420-1)*100</f>
        <v>13.615699913054268</v>
      </c>
      <c r="T434" s="2219">
        <f t="shared" ref="T434:AB434" si="396">(T420/S420-1)*100</f>
        <v>23.425747769809348</v>
      </c>
      <c r="U434" s="2219">
        <f t="shared" si="396"/>
        <v>-4.937112488928264</v>
      </c>
      <c r="V434" s="2219">
        <f t="shared" si="396"/>
        <v>-1.8634813558571217E-3</v>
      </c>
      <c r="W434" s="2219">
        <f t="shared" si="396"/>
        <v>15.508180835600616</v>
      </c>
      <c r="X434" s="2219">
        <f t="shared" si="396"/>
        <v>-5.6643649974187031</v>
      </c>
      <c r="Y434" s="2219">
        <f t="shared" si="396"/>
        <v>-5.3819711661792669</v>
      </c>
      <c r="Z434" s="2219">
        <f t="shared" si="396"/>
        <v>4.4228753208256588</v>
      </c>
      <c r="AA434" s="2219">
        <f t="shared" si="396"/>
        <v>7.0223114603707559</v>
      </c>
      <c r="AB434" s="2219">
        <f t="shared" si="396"/>
        <v>3.9446870451237404</v>
      </c>
      <c r="AC434" s="2215">
        <v>3.5</v>
      </c>
      <c r="AD434" s="2215">
        <v>3.5</v>
      </c>
      <c r="AE434" s="2215">
        <v>3</v>
      </c>
    </row>
    <row r="435" spans="1:113" s="574" customFormat="1" ht="12.75" customHeight="1">
      <c r="A435" s="998"/>
      <c r="B435" s="998"/>
      <c r="C435" s="999"/>
      <c r="D435" s="1000"/>
      <c r="E435" s="1004" t="s">
        <v>791</v>
      </c>
      <c r="F435" s="1001"/>
      <c r="G435" s="1005"/>
      <c r="H435" s="1005">
        <f>+'VVP2'!H197</f>
        <v>29.255023730182785</v>
      </c>
      <c r="I435" s="1005">
        <f>+'VVP2'!I197</f>
        <v>32.124686282360514</v>
      </c>
      <c r="J435" s="1005">
        <f>+'VVP2'!J197</f>
        <v>22.856382624891893</v>
      </c>
      <c r="K435" s="1005">
        <f>+'VVP2'!K197</f>
        <v>4.2648040861263059</v>
      </c>
      <c r="L435" s="1005">
        <f>+'VVP2'!L197</f>
        <v>-15.558248225722693</v>
      </c>
      <c r="M435" s="1005">
        <f>+'VVP2'!M197</f>
        <v>3.8648135241140746</v>
      </c>
      <c r="N435" s="1005">
        <f>+'VVP2'!N197</f>
        <v>8.3742319180010849</v>
      </c>
      <c r="O435" s="1005">
        <f>+'VVP2'!O197</f>
        <v>4.1073022078418786</v>
      </c>
      <c r="P435" s="1005">
        <f>+'VVP2'!P197</f>
        <v>7.4642705120206099</v>
      </c>
      <c r="Q435" s="1005">
        <f>+'VVP2'!Q197</f>
        <v>15.21557477563511</v>
      </c>
      <c r="R435" s="2292">
        <f>+'VVP2'!R197</f>
        <v>15.013186399171129</v>
      </c>
      <c r="S435" s="2292">
        <f>+'VVP2'!S197</f>
        <v>11.853295607630866</v>
      </c>
      <c r="T435" s="2292">
        <f>+'VVP2'!T197</f>
        <v>23.591795495063451</v>
      </c>
      <c r="U435" s="2292">
        <f>+'VVP2'!U197</f>
        <v>0.38594599718020373</v>
      </c>
      <c r="V435" s="2292">
        <f>+'VVP2'!V197</f>
        <v>-5.7949633388902688</v>
      </c>
      <c r="W435" s="2292">
        <f>+'VVP2'!W197</f>
        <v>4.4065460809646684</v>
      </c>
      <c r="X435" s="2292">
        <f>+'VVP2'!X197</f>
        <v>-1.0931650187193998</v>
      </c>
      <c r="Y435" s="2292">
        <f>+'VVP2'!Y197</f>
        <v>0.39278131634818969</v>
      </c>
      <c r="Z435" s="2292">
        <f>+'VVP2'!Z197</f>
        <v>2.4909741839000743</v>
      </c>
      <c r="AA435" s="2292">
        <f>+'VVP2'!AA197</f>
        <v>7.2535667963683492</v>
      </c>
      <c r="AB435" s="2292">
        <f>+'VVP2'!AB197</f>
        <v>3.7941772228436754</v>
      </c>
      <c r="AC435" s="2918">
        <f>+'VVP2'!AC197</f>
        <v>3.8215076313643292</v>
      </c>
      <c r="AD435" s="2918">
        <f ca="1">+'VVP2'!AD197</f>
        <v>6.1357361072627299</v>
      </c>
      <c r="AE435" s="2918">
        <f ca="1">+'VVP2'!AE197</f>
        <v>5.2359043934756073</v>
      </c>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c r="DF435"/>
      <c r="DG435"/>
      <c r="DH435"/>
      <c r="DI435"/>
    </row>
    <row r="436" spans="1:113" ht="12.75" customHeight="1">
      <c r="A436" s="664"/>
      <c r="B436" s="664"/>
      <c r="C436" s="795" t="s">
        <v>1767</v>
      </c>
      <c r="D436" s="674" t="s">
        <v>687</v>
      </c>
      <c r="E436" s="783" t="str">
        <f t="shared" ref="E436:E441" si="397">+E422</f>
        <v>Consumption of fixed capital (K.1)</v>
      </c>
      <c r="F436" s="704"/>
      <c r="G436" s="706"/>
      <c r="H436" s="706">
        <f t="shared" ref="H436:AB439" si="398">(H422/G422-1)*100</f>
        <v>11.437025971041148</v>
      </c>
      <c r="I436" s="706">
        <f t="shared" si="398"/>
        <v>9.9022918868751475</v>
      </c>
      <c r="J436" s="706">
        <f t="shared" si="398"/>
        <v>3.1198686371100237</v>
      </c>
      <c r="K436" s="706">
        <f t="shared" ref="K436:K441" si="399">(K422/J422-1)*100</f>
        <v>0.98498635122836742</v>
      </c>
      <c r="L436" s="706">
        <f t="shared" si="398"/>
        <v>1.2997544657941562</v>
      </c>
      <c r="M436" s="706">
        <f t="shared" si="398"/>
        <v>-0.3958194351790012</v>
      </c>
      <c r="N436" s="706">
        <f t="shared" si="398"/>
        <v>-0.93543489908912703</v>
      </c>
      <c r="O436" s="706">
        <f t="shared" si="398"/>
        <v>6.292114574177976</v>
      </c>
      <c r="P436" s="706">
        <f t="shared" si="398"/>
        <v>5.1118414078235919</v>
      </c>
      <c r="Q436" s="706">
        <f t="shared" si="398"/>
        <v>9.8495239632080178</v>
      </c>
      <c r="R436" s="2219">
        <f t="shared" ref="R436:AB436" si="400">(R422/Q422-1)*100</f>
        <v>11.588534493839408</v>
      </c>
      <c r="S436" s="2219">
        <f t="shared" si="400"/>
        <v>15.593220338983071</v>
      </c>
      <c r="T436" s="2219">
        <f t="shared" si="400"/>
        <v>16.076360219798968</v>
      </c>
      <c r="U436" s="2219">
        <f t="shared" si="400"/>
        <v>0.19745152626351459</v>
      </c>
      <c r="V436" s="2219">
        <f t="shared" si="400"/>
        <v>-0.5397796817625311</v>
      </c>
      <c r="W436" s="2219">
        <f t="shared" si="400"/>
        <v>9.0033104025400323</v>
      </c>
      <c r="X436" s="2219">
        <f t="shared" si="400"/>
        <v>8.5678803274061401</v>
      </c>
      <c r="Y436" s="2219">
        <f t="shared" si="400"/>
        <v>6.7208102824341864</v>
      </c>
      <c r="Z436" s="2219">
        <f t="shared" si="400"/>
        <v>4.6449764681808947</v>
      </c>
      <c r="AA436" s="2219">
        <f t="shared" si="400"/>
        <v>2.7990390524610387</v>
      </c>
      <c r="AB436" s="2219">
        <f t="shared" si="400"/>
        <v>3.4221014492753499</v>
      </c>
      <c r="AC436" s="2259">
        <v>3.5</v>
      </c>
      <c r="AD436" s="2259">
        <v>4</v>
      </c>
      <c r="AE436" s="2259">
        <v>3.5</v>
      </c>
    </row>
    <row r="437" spans="1:113" ht="12.75" customHeight="1">
      <c r="A437" s="664"/>
      <c r="B437" s="664"/>
      <c r="C437" s="795" t="s">
        <v>1767</v>
      </c>
      <c r="D437" s="674" t="s">
        <v>687</v>
      </c>
      <c r="E437" s="783" t="str">
        <f t="shared" si="397"/>
        <v>Net operating surplus (B.2n)</v>
      </c>
      <c r="F437" s="704"/>
      <c r="G437" s="706"/>
      <c r="H437" s="706" t="e">
        <f t="shared" si="398"/>
        <v>#DIV/0!</v>
      </c>
      <c r="I437" s="706" t="e">
        <f t="shared" si="398"/>
        <v>#DIV/0!</v>
      </c>
      <c r="J437" s="706">
        <f t="shared" si="398"/>
        <v>-100</v>
      </c>
      <c r="K437" s="706" t="e">
        <f t="shared" si="399"/>
        <v>#DIV/0!</v>
      </c>
      <c r="L437" s="706" t="e">
        <f t="shared" si="398"/>
        <v>#DIV/0!</v>
      </c>
      <c r="M437" s="706">
        <f t="shared" si="398"/>
        <v>-599.99999999111822</v>
      </c>
      <c r="N437" s="706">
        <f t="shared" si="398"/>
        <v>99.999999998223643</v>
      </c>
      <c r="O437" s="706">
        <f t="shared" si="398"/>
        <v>-220.00000000031088</v>
      </c>
      <c r="P437" s="706">
        <f t="shared" si="398"/>
        <v>-8.3333333330712023</v>
      </c>
      <c r="Q437" s="706">
        <f t="shared" si="398"/>
        <v>718.18181817988216</v>
      </c>
      <c r="R437" s="2219">
        <f t="shared" si="398"/>
        <v>476.66666666683852</v>
      </c>
      <c r="S437" s="2219">
        <f t="shared" si="398"/>
        <v>26.782273603084473</v>
      </c>
      <c r="T437" s="2219">
        <f t="shared" si="398"/>
        <v>-51.215805471119992</v>
      </c>
      <c r="U437" s="2219">
        <f t="shared" si="398"/>
        <v>-75.70093457943689</v>
      </c>
      <c r="V437" s="2219">
        <f t="shared" si="398"/>
        <v>284.61538461534303</v>
      </c>
      <c r="W437" s="2219">
        <f t="shared" si="398"/>
        <v>-0.33333333333550597</v>
      </c>
      <c r="X437" s="2219">
        <f t="shared" si="398"/>
        <v>406.6889632107052</v>
      </c>
      <c r="Y437" s="2219">
        <f t="shared" si="398"/>
        <v>-71.419141914192409</v>
      </c>
      <c r="Z437" s="2219">
        <f t="shared" si="398"/>
        <v>18.706697459563504</v>
      </c>
      <c r="AA437" s="2219">
        <f t="shared" si="398"/>
        <v>-110.50583657586421</v>
      </c>
      <c r="AB437" s="2219">
        <f t="shared" si="398"/>
        <v>-322.22222222251918</v>
      </c>
      <c r="AC437" s="2259">
        <v>0</v>
      </c>
      <c r="AD437" s="2259">
        <v>0</v>
      </c>
      <c r="AE437" s="2259">
        <v>0</v>
      </c>
    </row>
    <row r="438" spans="1:113" ht="12.75" customHeight="1">
      <c r="A438" s="664"/>
      <c r="B438" s="664"/>
      <c r="C438" s="795" t="s">
        <v>1767</v>
      </c>
      <c r="D438" s="674" t="s">
        <v>687</v>
      </c>
      <c r="E438" s="783" t="str">
        <f t="shared" si="397"/>
        <v>Other taxes on production (D.29p)</v>
      </c>
      <c r="F438" s="704" t="s">
        <v>215</v>
      </c>
      <c r="G438" s="706"/>
      <c r="H438" s="706">
        <f t="shared" si="398"/>
        <v>55.438596491228068</v>
      </c>
      <c r="I438" s="706">
        <f t="shared" si="398"/>
        <v>32.505643340857794</v>
      </c>
      <c r="J438" s="706">
        <f t="shared" si="398"/>
        <v>5.110732538330498</v>
      </c>
      <c r="K438" s="706">
        <f t="shared" si="399"/>
        <v>4.2139384116693712</v>
      </c>
      <c r="L438" s="706">
        <f t="shared" si="398"/>
        <v>-3.7325038880248851</v>
      </c>
      <c r="M438" s="706">
        <f t="shared" si="398"/>
        <v>12.277867528271402</v>
      </c>
      <c r="N438" s="706">
        <f t="shared" si="398"/>
        <v>9.6402877697841625</v>
      </c>
      <c r="O438" s="706">
        <f t="shared" si="398"/>
        <v>0.65616797900263091</v>
      </c>
      <c r="P438" s="706">
        <f t="shared" si="398"/>
        <v>24.511082138200813</v>
      </c>
      <c r="Q438" s="706">
        <f t="shared" si="398"/>
        <v>-56.544502617801051</v>
      </c>
      <c r="R438" s="2219">
        <f t="shared" ref="R438:AE439" si="401">(R424/Q424-1)*100</f>
        <v>-13.253012048192769</v>
      </c>
      <c r="S438" s="2219">
        <f t="shared" si="401"/>
        <v>1.1111111111111072</v>
      </c>
      <c r="T438" s="2219">
        <f t="shared" si="401"/>
        <v>-10.164835164835173</v>
      </c>
      <c r="U438" s="2219">
        <f t="shared" si="401"/>
        <v>-24.770642201834857</v>
      </c>
      <c r="V438" s="2219">
        <f t="shared" si="401"/>
        <v>-9.7560975609755971</v>
      </c>
      <c r="W438" s="2219">
        <f t="shared" si="401"/>
        <v>27.027027027027039</v>
      </c>
      <c r="X438" s="2219">
        <f t="shared" si="401"/>
        <v>31.914893617021267</v>
      </c>
      <c r="Y438" s="2219">
        <f t="shared" si="401"/>
        <v>17.204301075268823</v>
      </c>
      <c r="Z438" s="2219">
        <f t="shared" si="401"/>
        <v>15.825688073394485</v>
      </c>
      <c r="AA438" s="2219">
        <f t="shared" si="401"/>
        <v>-48.118811881188115</v>
      </c>
      <c r="AB438" s="2219">
        <f t="shared" si="401"/>
        <v>3.0534351145038219</v>
      </c>
      <c r="AC438" s="2265">
        <f t="shared" si="401"/>
        <v>5.0000000000000044</v>
      </c>
      <c r="AD438" s="2265">
        <f t="shared" si="401"/>
        <v>5.0000000000000044</v>
      </c>
      <c r="AE438" s="2265">
        <f t="shared" si="401"/>
        <v>5.0000000000000044</v>
      </c>
    </row>
    <row r="439" spans="1:113" ht="12.75" customHeight="1">
      <c r="A439" s="664"/>
      <c r="B439" s="664"/>
      <c r="C439" s="795" t="s">
        <v>401</v>
      </c>
      <c r="D439" s="674" t="s">
        <v>687</v>
      </c>
      <c r="E439" s="783" t="str">
        <f t="shared" si="397"/>
        <v>Other subsidies on production (D.39r)</v>
      </c>
      <c r="F439" s="704" t="s">
        <v>218</v>
      </c>
      <c r="G439" s="706"/>
      <c r="H439" s="706" t="e">
        <f t="shared" si="398"/>
        <v>#DIV/0!</v>
      </c>
      <c r="I439" s="706" t="e">
        <f t="shared" si="398"/>
        <v>#DIV/0!</v>
      </c>
      <c r="J439" s="706" t="e">
        <f t="shared" si="398"/>
        <v>#DIV/0!</v>
      </c>
      <c r="K439" s="706" t="e">
        <f t="shared" si="399"/>
        <v>#DIV/0!</v>
      </c>
      <c r="L439" s="706" t="e">
        <f t="shared" si="398"/>
        <v>#DIV/0!</v>
      </c>
      <c r="M439" s="706" t="e">
        <f t="shared" si="398"/>
        <v>#DIV/0!</v>
      </c>
      <c r="N439" s="706" t="e">
        <f t="shared" si="398"/>
        <v>#DIV/0!</v>
      </c>
      <c r="O439" s="706" t="e">
        <f t="shared" si="398"/>
        <v>#DIV/0!</v>
      </c>
      <c r="P439" s="706" t="e">
        <f t="shared" si="398"/>
        <v>#DIV/0!</v>
      </c>
      <c r="Q439" s="706" t="e">
        <f t="shared" si="398"/>
        <v>#DIV/0!</v>
      </c>
      <c r="R439" s="2219" t="e">
        <f t="shared" si="401"/>
        <v>#DIV/0!</v>
      </c>
      <c r="S439" s="3129">
        <v>0</v>
      </c>
      <c r="T439" s="706">
        <v>0</v>
      </c>
      <c r="U439" s="706">
        <v>0</v>
      </c>
      <c r="V439" s="706">
        <v>1</v>
      </c>
      <c r="W439" s="706">
        <v>1</v>
      </c>
      <c r="X439" s="706">
        <v>2</v>
      </c>
      <c r="Y439" s="706">
        <v>3</v>
      </c>
      <c r="Z439" s="706">
        <v>3</v>
      </c>
      <c r="AA439" s="706">
        <v>4</v>
      </c>
      <c r="AB439" s="706">
        <v>5</v>
      </c>
      <c r="AC439" s="2295">
        <v>4.5</v>
      </c>
      <c r="AD439" s="2295">
        <v>4.5</v>
      </c>
      <c r="AE439" s="2295">
        <v>4.5</v>
      </c>
    </row>
    <row r="440" spans="1:113" ht="12.75" customHeight="1">
      <c r="A440" s="664"/>
      <c r="B440" s="664"/>
      <c r="C440" s="796" t="s">
        <v>401</v>
      </c>
      <c r="D440" s="691" t="s">
        <v>687</v>
      </c>
      <c r="E440" s="797" t="str">
        <f t="shared" si="397"/>
        <v>Sales (P.11 + P.12 + P.131)</v>
      </c>
      <c r="F440" s="736"/>
      <c r="G440" s="741"/>
      <c r="H440" s="741">
        <f>(H426/G426-1)*100</f>
        <v>27.482057416267946</v>
      </c>
      <c r="I440" s="741">
        <f t="shared" ref="I440:Q440" si="402">(I426/H426-1)*100</f>
        <v>102.62725779967158</v>
      </c>
      <c r="J440" s="741">
        <f t="shared" si="402"/>
        <v>-1.2039824033341029</v>
      </c>
      <c r="K440" s="741">
        <f t="shared" si="399"/>
        <v>44.586360440590589</v>
      </c>
      <c r="L440" s="741">
        <f t="shared" si="402"/>
        <v>-8.2097414701353451</v>
      </c>
      <c r="M440" s="741">
        <f t="shared" si="402"/>
        <v>-37.444817234681274</v>
      </c>
      <c r="N440" s="741">
        <f t="shared" si="402"/>
        <v>49.675370501058595</v>
      </c>
      <c r="O440" s="741">
        <f t="shared" si="402"/>
        <v>11.895893252864354</v>
      </c>
      <c r="P440" s="741">
        <f t="shared" si="402"/>
        <v>10.222484409236454</v>
      </c>
      <c r="Q440" s="741">
        <f t="shared" si="402"/>
        <v>38.974692254759532</v>
      </c>
      <c r="R440" s="2266">
        <f t="shared" ref="R440:AB441" si="403">(R426/Q426-1)*100</f>
        <v>-12.631694770720436</v>
      </c>
      <c r="S440" s="2266">
        <f t="shared" si="403"/>
        <v>32.769749063316667</v>
      </c>
      <c r="T440" s="2266">
        <f t="shared" si="403"/>
        <v>37.864307903910444</v>
      </c>
      <c r="U440" s="2266">
        <f t="shared" si="403"/>
        <v>-1.8697536810238002</v>
      </c>
      <c r="V440" s="2266">
        <f t="shared" si="403"/>
        <v>6.6048484636014759</v>
      </c>
      <c r="W440" s="2266">
        <f t="shared" si="403"/>
        <v>-8.5650393804364011</v>
      </c>
      <c r="X440" s="2266">
        <f t="shared" si="403"/>
        <v>11.082937706804774</v>
      </c>
      <c r="Y440" s="2266">
        <f t="shared" si="403"/>
        <v>14.856486053325991</v>
      </c>
      <c r="Z440" s="2266">
        <f t="shared" si="403"/>
        <v>7.1629926143090605</v>
      </c>
      <c r="AA440" s="2266">
        <f t="shared" si="403"/>
        <v>1.0943048796527632</v>
      </c>
      <c r="AB440" s="2266">
        <f t="shared" si="403"/>
        <v>4.1190705420103502</v>
      </c>
      <c r="AC440" s="2214">
        <v>2.5</v>
      </c>
      <c r="AD440" s="2214">
        <v>2.5</v>
      </c>
      <c r="AE440" s="2214">
        <v>2.5</v>
      </c>
    </row>
    <row r="441" spans="1:113" ht="12.75" customHeight="1">
      <c r="A441" s="664"/>
      <c r="B441" s="664"/>
      <c r="C441" s="774"/>
      <c r="D441" s="717" t="s">
        <v>687</v>
      </c>
      <c r="E441" s="722" t="str">
        <f t="shared" si="397"/>
        <v>Final consumption expenditure</v>
      </c>
      <c r="F441" s="723" t="s">
        <v>1366</v>
      </c>
      <c r="G441" s="721"/>
      <c r="H441" s="721">
        <f>(H427/G427-1)*100</f>
        <v>25.563776551190909</v>
      </c>
      <c r="I441" s="721">
        <f t="shared" ref="I441:Q441" si="404">(I427/H427-1)*100</f>
        <v>21.107523893010626</v>
      </c>
      <c r="J441" s="721">
        <f t="shared" si="404"/>
        <v>19.007047624427976</v>
      </c>
      <c r="K441" s="721">
        <f t="shared" si="399"/>
        <v>-10.74983607627421</v>
      </c>
      <c r="L441" s="721">
        <f t="shared" si="404"/>
        <v>-0.43282416102921051</v>
      </c>
      <c r="M441" s="721">
        <f t="shared" si="404"/>
        <v>0.21067532961842605</v>
      </c>
      <c r="N441" s="721">
        <f t="shared" si="404"/>
        <v>4.1473426088810772</v>
      </c>
      <c r="O441" s="721">
        <f t="shared" si="404"/>
        <v>4.260825612939545</v>
      </c>
      <c r="P441" s="721">
        <f t="shared" si="404"/>
        <v>7.2529003316856411</v>
      </c>
      <c r="Q441" s="721">
        <f t="shared" si="404"/>
        <v>11.183553664865297</v>
      </c>
      <c r="R441" s="2272">
        <f t="shared" si="403"/>
        <v>18.502679851070791</v>
      </c>
      <c r="S441" s="2272">
        <f t="shared" si="403"/>
        <v>10.016936271848852</v>
      </c>
      <c r="T441" s="2272">
        <f t="shared" si="403"/>
        <v>20.406644785793105</v>
      </c>
      <c r="U441" s="2272">
        <f t="shared" si="403"/>
        <v>-6.244590873328093</v>
      </c>
      <c r="V441" s="2272">
        <f t="shared" si="403"/>
        <v>-2.7352211516775804</v>
      </c>
      <c r="W441" s="721">
        <f t="shared" ref="W441:AE441" si="405">(W427/V427-1)*100</f>
        <v>3.1265166140008294</v>
      </c>
      <c r="X441" s="721">
        <f t="shared" si="405"/>
        <v>1.6272405931689438</v>
      </c>
      <c r="Y441" s="721">
        <f t="shared" si="405"/>
        <v>0.10787764034383418</v>
      </c>
      <c r="Z441" s="721">
        <f t="shared" si="405"/>
        <v>4.0493612268009072</v>
      </c>
      <c r="AA441" s="721">
        <f t="shared" si="405"/>
        <v>5.8524730255065993</v>
      </c>
      <c r="AB441" s="721">
        <f t="shared" si="405"/>
        <v>3.2370111234341969</v>
      </c>
      <c r="AC441" s="2260">
        <f t="shared" si="405"/>
        <v>4.0859622080890556</v>
      </c>
      <c r="AD441" s="2260">
        <f t="shared" ca="1" si="405"/>
        <v>5.6446159999999912</v>
      </c>
      <c r="AE441" s="2260">
        <f t="shared" ca="1" si="405"/>
        <v>5.1345160000000334</v>
      </c>
    </row>
    <row r="442" spans="1:113" ht="12.75" customHeight="1">
      <c r="A442" s="664"/>
      <c r="B442" s="664"/>
      <c r="C442" s="774"/>
      <c r="E442" s="786"/>
      <c r="F442" s="787"/>
      <c r="G442" s="703"/>
      <c r="H442" s="788"/>
      <c r="I442" s="703"/>
      <c r="J442" s="703"/>
      <c r="K442" s="703"/>
      <c r="L442" s="703"/>
      <c r="M442" s="703"/>
      <c r="N442" s="703"/>
      <c r="O442" s="703"/>
      <c r="P442" s="703"/>
      <c r="Q442" s="845"/>
      <c r="R442" s="2254"/>
      <c r="S442" s="2254"/>
      <c r="T442" s="2254"/>
      <c r="U442" s="2254"/>
      <c r="V442" s="2254"/>
      <c r="W442" s="3172"/>
      <c r="X442" s="2254"/>
      <c r="Y442" s="2254"/>
      <c r="Z442" s="2254"/>
      <c r="AA442" s="2254"/>
      <c r="AB442" s="2254"/>
      <c r="AC442" s="2254"/>
      <c r="AD442" s="2254"/>
      <c r="AE442" s="2254"/>
    </row>
    <row r="443" spans="1:113" ht="12.75" customHeight="1">
      <c r="A443" s="664"/>
      <c r="B443" s="664"/>
      <c r="C443" s="774"/>
      <c r="D443" s="818"/>
      <c r="E443" s="819" t="s">
        <v>512</v>
      </c>
      <c r="F443" s="820"/>
      <c r="G443" s="821">
        <f>+InputY!$G$3</f>
        <v>1995</v>
      </c>
      <c r="H443" s="821">
        <f>+G443+1</f>
        <v>1996</v>
      </c>
      <c r="I443" s="821">
        <f t="shared" ref="I443:O443" si="406">+H443+1</f>
        <v>1997</v>
      </c>
      <c r="J443" s="821">
        <f t="shared" si="406"/>
        <v>1998</v>
      </c>
      <c r="K443" s="821">
        <f>+J443+1</f>
        <v>1999</v>
      </c>
      <c r="L443" s="821">
        <f t="shared" si="406"/>
        <v>2000</v>
      </c>
      <c r="M443" s="821">
        <f t="shared" si="406"/>
        <v>2001</v>
      </c>
      <c r="N443" s="821">
        <f t="shared" si="406"/>
        <v>2002</v>
      </c>
      <c r="O443" s="821">
        <f t="shared" si="406"/>
        <v>2003</v>
      </c>
      <c r="P443" s="821">
        <f t="shared" ref="P443:U443" si="407">+O443+1</f>
        <v>2004</v>
      </c>
      <c r="Q443" s="821">
        <f t="shared" si="407"/>
        <v>2005</v>
      </c>
      <c r="R443" s="2255">
        <f t="shared" si="407"/>
        <v>2006</v>
      </c>
      <c r="S443" s="2255">
        <f>+R443+1</f>
        <v>2007</v>
      </c>
      <c r="T443" s="2255">
        <f t="shared" si="407"/>
        <v>2008</v>
      </c>
      <c r="U443" s="2255">
        <f t="shared" si="407"/>
        <v>2009</v>
      </c>
      <c r="V443" s="2255">
        <f t="shared" ref="V443:AE443" si="408">+U443+1</f>
        <v>2010</v>
      </c>
      <c r="W443" s="2255">
        <f t="shared" si="408"/>
        <v>2011</v>
      </c>
      <c r="X443" s="2255">
        <f t="shared" si="408"/>
        <v>2012</v>
      </c>
      <c r="Y443" s="2255">
        <f t="shared" si="408"/>
        <v>2013</v>
      </c>
      <c r="Z443" s="2255">
        <f t="shared" si="408"/>
        <v>2014</v>
      </c>
      <c r="AA443" s="2255">
        <f t="shared" si="408"/>
        <v>2015</v>
      </c>
      <c r="AB443" s="2255">
        <f t="shared" si="408"/>
        <v>2016</v>
      </c>
      <c r="AC443" s="2255">
        <f t="shared" si="408"/>
        <v>2017</v>
      </c>
      <c r="AD443" s="2255">
        <f t="shared" si="408"/>
        <v>2018</v>
      </c>
      <c r="AE443" s="2255">
        <f t="shared" si="408"/>
        <v>2019</v>
      </c>
    </row>
    <row r="444" spans="1:113" ht="12.75" customHeight="1">
      <c r="A444" s="664"/>
      <c r="B444" s="664"/>
      <c r="C444" s="822" t="s">
        <v>1767</v>
      </c>
      <c r="D444" s="823" t="s">
        <v>687</v>
      </c>
      <c r="E444" s="824" t="s">
        <v>1376</v>
      </c>
      <c r="F444" s="825" t="s">
        <v>16</v>
      </c>
      <c r="G444" s="838">
        <f>+G418/'VVP2'!G$341</f>
        <v>9.6362561545901698E-2</v>
      </c>
      <c r="H444" s="838">
        <f>+H418/'VVP2'!H$341</f>
        <v>0.10452278377418507</v>
      </c>
      <c r="I444" s="838">
        <f>+I418/'VVP2'!I$341</f>
        <v>0.11074397364798359</v>
      </c>
      <c r="J444" s="838">
        <f>+J418/'VVP2'!J$341</f>
        <v>0.1264786560548489</v>
      </c>
      <c r="K444" s="838">
        <f>+K418/'VVP2'!K$341</f>
        <v>0.13341876388443119</v>
      </c>
      <c r="L444" s="838">
        <f>+L418/'VVP2'!L$341</f>
        <v>0.12025421560750976</v>
      </c>
      <c r="M444" s="838">
        <f>+M418/'VVP2'!M$341</f>
        <v>0.11620047736732203</v>
      </c>
      <c r="N444" s="838">
        <f>+N418/'VVP2'!N$341</f>
        <v>0.11274771956898258</v>
      </c>
      <c r="O444" s="838">
        <f>+O418/'VVP2'!O$341</f>
        <v>0.10718013880089847</v>
      </c>
      <c r="P444" s="838">
        <f>+P418/'VVP2'!P$341</f>
        <v>0.10794496241854794</v>
      </c>
      <c r="Q444" s="838">
        <f>+Q418/'VVP2'!Q$341</f>
        <v>0.10251614700259734</v>
      </c>
      <c r="R444" s="2279">
        <f>+R418/'VVP2'!R$341</f>
        <v>0.10401558524833486</v>
      </c>
      <c r="S444" s="2279">
        <f>+S418/'VVP2'!S$341</f>
        <v>9.7603842336916588E-2</v>
      </c>
      <c r="T444" s="2261">
        <f>+T418/'VVP2'!T$341</f>
        <v>0.10630567147088292</v>
      </c>
      <c r="U444" s="2261">
        <f>+U418/'VVP2'!U$341</f>
        <v>0.12661157564817588</v>
      </c>
      <c r="V444" s="2261">
        <f>+V418/'VVP2'!V$341</f>
        <v>0.10913647446843582</v>
      </c>
      <c r="W444" s="2261">
        <f>+W418/'VVP2'!W$341</f>
        <v>0.10223172776489577</v>
      </c>
      <c r="X444" s="2261">
        <f>+X418/'VVP2'!X$341</f>
        <v>9.7204130443126646E-2</v>
      </c>
      <c r="Y444" s="2261">
        <f>+Y418/'VVP2'!Y$341</f>
        <v>9.5494377089015467E-2</v>
      </c>
      <c r="Z444" s="2261">
        <f>+Z418/'VVP2'!Z$341</f>
        <v>9.4676315101503275E-2</v>
      </c>
      <c r="AA444" s="2261">
        <f>+AA418/'VVP2'!AA$341</f>
        <v>9.6330124475607043E-2</v>
      </c>
      <c r="AB444" s="2261">
        <f>+AB418/'VVP2'!AB$341</f>
        <v>9.8332433371814451E-2</v>
      </c>
      <c r="AC444" s="2261">
        <f ca="1">+AC418/'VVP2'!AC$341</f>
        <v>9.5787795717815691E-2</v>
      </c>
      <c r="AD444" s="2261">
        <f ca="1">+AD418/'VVP2'!AD$341</f>
        <v>9.5084098771006514E-2</v>
      </c>
      <c r="AE444" s="2261">
        <f ca="1">+AE418/'VVP2'!AE$341</f>
        <v>9.5020676898133691E-2</v>
      </c>
    </row>
    <row r="445" spans="1:113" ht="12.75" customHeight="1">
      <c r="A445" s="664"/>
      <c r="B445" s="664"/>
      <c r="C445" s="826" t="s">
        <v>1767</v>
      </c>
      <c r="D445" s="674" t="s">
        <v>687</v>
      </c>
      <c r="E445" s="783" t="s">
        <v>1623</v>
      </c>
      <c r="F445" s="704" t="s">
        <v>1552</v>
      </c>
      <c r="G445" s="839">
        <f>+G419/'VVP2'!G$341</f>
        <v>9.0785920075007756E-2</v>
      </c>
      <c r="H445" s="839">
        <f>+H419/'VVP2'!H$341</f>
        <v>8.6195910089920377E-2</v>
      </c>
      <c r="I445" s="839">
        <f>+I419/'VVP2'!I$341</f>
        <v>9.6407985438839203E-2</v>
      </c>
      <c r="J445" s="839">
        <f>+J419/'VVP2'!J$341</f>
        <v>9.2814752925058905E-2</v>
      </c>
      <c r="K445" s="839">
        <f>+K419/'VVP2'!K$341</f>
        <v>6.9510261105971638E-2</v>
      </c>
      <c r="L445" s="839">
        <f>+L419/'VVP2'!L$341</f>
        <v>7.2597765739240497E-2</v>
      </c>
      <c r="M445" s="839">
        <f>+M419/'VVP2'!M$341</f>
        <v>6.0356391057957572E-2</v>
      </c>
      <c r="N445" s="839">
        <f>+N419/'VVP2'!N$341</f>
        <v>6.2696312434343246E-2</v>
      </c>
      <c r="O445" s="839">
        <f>+O419/'VVP2'!O$341</f>
        <v>5.9224356390024768E-2</v>
      </c>
      <c r="P445" s="839">
        <f>+P419/'VVP2'!P$341</f>
        <v>5.5822767319599169E-2</v>
      </c>
      <c r="Q445" s="839">
        <f>+Q419/'VVP2'!Q$341</f>
        <v>5.5539023014091277E-2</v>
      </c>
      <c r="R445" s="2280">
        <f>+R419/'VVP2'!R$341</f>
        <v>5.8119504069490735E-2</v>
      </c>
      <c r="S445" s="2280">
        <f>+S419/'VVP2'!S$341</f>
        <v>5.1101111338378677E-2</v>
      </c>
      <c r="T445" s="2262">
        <f>+T419/'VVP2'!T$341</f>
        <v>5.5663518907961396E-2</v>
      </c>
      <c r="U445" s="2262">
        <f>+U419/'VVP2'!U$341</f>
        <v>5.6550962657259271E-2</v>
      </c>
      <c r="V445" s="2262">
        <f>+V419/'VVP2'!V$341</f>
        <v>6.2734099100674109E-2</v>
      </c>
      <c r="W445" s="2262">
        <f>+W419/'VVP2'!W$341</f>
        <v>5.0668386446565537E-2</v>
      </c>
      <c r="X445" s="2262">
        <f>+X419/'VVP2'!X$341</f>
        <v>4.9223832690425469E-2</v>
      </c>
      <c r="Y445" s="2262">
        <f>+Y419/'VVP2'!Y$341</f>
        <v>4.6332557677207863E-2</v>
      </c>
      <c r="Z445" s="2262">
        <f>+Z419/'VVP2'!Z$341</f>
        <v>4.6751446882380025E-2</v>
      </c>
      <c r="AA445" s="2262">
        <f>+AA419/'VVP2'!AA$341</f>
        <v>4.9902729635411806E-2</v>
      </c>
      <c r="AB445" s="2262">
        <f>+AB419/'VVP2'!AB$341</f>
        <v>4.7750458256267662E-2</v>
      </c>
      <c r="AC445" s="2262">
        <f ca="1">+AC419/'VVP2'!AC$341</f>
        <v>4.4887947192975425E-2</v>
      </c>
      <c r="AD445" s="2262">
        <f ca="1">+AD419/'VVP2'!AD$341</f>
        <v>4.5538013566426651E-2</v>
      </c>
      <c r="AE445" s="2262">
        <f ca="1">+AE419/'VVP2'!AE$341</f>
        <v>4.5287091548244347E-2</v>
      </c>
    </row>
    <row r="446" spans="1:113" ht="12.75" customHeight="1">
      <c r="A446" s="664"/>
      <c r="B446" s="664"/>
      <c r="C446" s="826" t="s">
        <v>1767</v>
      </c>
      <c r="D446" s="674" t="s">
        <v>687</v>
      </c>
      <c r="E446" s="783" t="s">
        <v>1624</v>
      </c>
      <c r="F446" s="704"/>
      <c r="G446" s="839">
        <f>+G420/'VVP2'!G$341</f>
        <v>1.6134910934724963E-2</v>
      </c>
      <c r="H446" s="839">
        <f>+H420/'VVP2'!H$341</f>
        <v>1.8407168923683492E-2</v>
      </c>
      <c r="I446" s="839">
        <f>+I420/'VVP2'!I$341</f>
        <v>1.2286405887239709E-2</v>
      </c>
      <c r="J446" s="839">
        <f>+J420/'VVP2'!J$341</f>
        <v>1.8412742782192543E-2</v>
      </c>
      <c r="K446" s="839">
        <f>+K420/'VVP2'!K$341</f>
        <v>1.7693406586490958E-2</v>
      </c>
      <c r="L446" s="839">
        <f>+L420/'VVP2'!L$341</f>
        <v>1.4039308267841995E-2</v>
      </c>
      <c r="M446" s="839">
        <f>+M420/'VVP2'!M$341</f>
        <v>1.2834530508956978E-2</v>
      </c>
      <c r="N446" s="839">
        <f>+N420/'VVP2'!N$341</f>
        <v>1.4447279566009325E-2</v>
      </c>
      <c r="O446" s="839">
        <f>+O420/'VVP2'!O$341</f>
        <v>1.4594612106202847E-2</v>
      </c>
      <c r="P446" s="839">
        <f>+P420/'VVP2'!P$341</f>
        <v>1.4525390235182909E-2</v>
      </c>
      <c r="Q446" s="839">
        <f>+Q420/'VVP2'!Q$341</f>
        <v>1.8129875942454059E-2</v>
      </c>
      <c r="R446" s="2280">
        <f>+R420/'VVP2'!R$341</f>
        <v>1.6717761983589142E-2</v>
      </c>
      <c r="S446" s="2280">
        <f>+S420/'VVP2'!S$341</f>
        <v>1.5748953364007567E-2</v>
      </c>
      <c r="T446" s="2262">
        <f>+T420/'VVP2'!T$341</f>
        <v>1.7264961029205769E-2</v>
      </c>
      <c r="U446" s="2262">
        <f>+U420/'VVP2'!U$341</f>
        <v>1.9923281462434127E-2</v>
      </c>
      <c r="V446" s="2262">
        <f>+V420/'VVP2'!V$341</f>
        <v>1.9146086401790229E-2</v>
      </c>
      <c r="W446" s="2262">
        <f>+W420/'VVP2'!W$341</f>
        <v>1.9818821997664614E-2</v>
      </c>
      <c r="X446" s="2262">
        <f>+X420/'VVP2'!X$341</f>
        <v>1.7533932581035177E-2</v>
      </c>
      <c r="Y446" s="2262">
        <f>+Y420/'VVP2'!Y$341</f>
        <v>1.5825673311946769E-2</v>
      </c>
      <c r="Z446" s="2262">
        <f>+Z420/'VVP2'!Z$341</f>
        <v>1.5798664853802255E-2</v>
      </c>
      <c r="AA446" s="2262">
        <f>+AA420/'VVP2'!AA$341</f>
        <v>1.6520331389885429E-2</v>
      </c>
      <c r="AB446" s="2262">
        <f>+AB420/'VVP2'!AB$341</f>
        <v>1.66205824302685E-2</v>
      </c>
      <c r="AC446" s="2262">
        <f ca="1">+AC420/'VVP2'!AC$341</f>
        <v>1.5921268545402569E-2</v>
      </c>
      <c r="AD446" s="2262">
        <f ca="1">+AD420/'VVP2'!AD$341</f>
        <v>1.5572072553202391E-2</v>
      </c>
      <c r="AE446" s="2262">
        <f ca="1">+AE420/'VVP2'!AE$341</f>
        <v>1.5192299396724392E-2</v>
      </c>
    </row>
    <row r="447" spans="1:113" ht="12.75" customHeight="1">
      <c r="A447" s="664"/>
      <c r="B447" s="664"/>
      <c r="C447" s="826" t="s">
        <v>1767</v>
      </c>
      <c r="D447" s="674" t="s">
        <v>687</v>
      </c>
      <c r="E447" s="783" t="s">
        <v>1901</v>
      </c>
      <c r="F447" s="704"/>
      <c r="G447" s="839">
        <f>+G422/'VVP2'!G$341</f>
        <v>4.4829500304590236E-2</v>
      </c>
      <c r="H447" s="839">
        <f>+H422/'VVP2'!H$341</f>
        <v>3.9930410792503722E-2</v>
      </c>
      <c r="I447" s="839">
        <f>+I422/'VVP2'!I$341</f>
        <v>3.6360255673240457E-2</v>
      </c>
      <c r="J447" s="839">
        <f>+J422/'VVP2'!J$341</f>
        <v>3.3758358956716195E-2</v>
      </c>
      <c r="K447" s="839">
        <f>+K422/'VVP2'!K$341</f>
        <v>3.4921901057891391E-2</v>
      </c>
      <c r="L447" s="839">
        <f>+L422/'VVP2'!L$341</f>
        <v>3.3639582949960278E-2</v>
      </c>
      <c r="M447" s="839">
        <f>+M422/'VVP2'!M$341</f>
        <v>3.1555839859325995E-2</v>
      </c>
      <c r="N447" s="839">
        <f>+N422/'VVP2'!N$341</f>
        <v>2.9188596101740738E-2</v>
      </c>
      <c r="O447" s="839">
        <f>+O422/'VVP2'!O$341</f>
        <v>2.829592140375127E-2</v>
      </c>
      <c r="P447" s="839">
        <f>+P422/'VVP2'!P$341</f>
        <v>2.7183222464211534E-2</v>
      </c>
      <c r="Q447" s="839">
        <f>+Q422/'VVP2'!Q$341</f>
        <v>2.5929955457365487E-2</v>
      </c>
      <c r="R447" s="2280">
        <f>+R422/'VVP2'!R$341</f>
        <v>2.5237570382380132E-2</v>
      </c>
      <c r="S447" s="2280">
        <f>+S422/'VVP2'!S$341</f>
        <v>2.4188844192935013E-2</v>
      </c>
      <c r="T447" s="2262">
        <f>+T422/'VVP2'!T$341</f>
        <v>2.4938311024985102E-2</v>
      </c>
      <c r="U447" s="2262">
        <f>+U422/'VVP2'!U$341</f>
        <v>3.0332484122782333E-2</v>
      </c>
      <c r="V447" s="2262">
        <f>+V422/'VVP2'!V$341</f>
        <v>2.8992431048471403E-2</v>
      </c>
      <c r="W447" s="2262">
        <f>+W422/'VVP2'!W$341</f>
        <v>2.8321053149895831E-2</v>
      </c>
      <c r="X447" s="2262">
        <f>+X422/'VVP2'!X$341</f>
        <v>2.8836096877578824E-2</v>
      </c>
      <c r="Y447" s="2262">
        <f>+Y422/'VVP2'!Y$341</f>
        <v>2.9355843093394812E-2</v>
      </c>
      <c r="Z447" s="2262">
        <f>+Z422/'VVP2'!Z$341</f>
        <v>2.9368075282731373E-2</v>
      </c>
      <c r="AA447" s="2262">
        <f>+AA422/'VVP2'!AA$341</f>
        <v>2.9497729022211736E-2</v>
      </c>
      <c r="AB447" s="2262">
        <f>+AB422/'VVP2'!AB$341</f>
        <v>2.9527530546969716E-2</v>
      </c>
      <c r="AC447" s="2262">
        <f ca="1">+AC422/'VVP2'!AC$341</f>
        <v>2.8285154584278181E-2</v>
      </c>
      <c r="AD447" s="2262">
        <f ca="1">+AD422/'VVP2'!AD$341</f>
        <v>2.7798431817395591E-2</v>
      </c>
      <c r="AE447" s="2262">
        <f ca="1">+AE422/'VVP2'!AE$341</f>
        <v>2.7252133892632487E-2</v>
      </c>
    </row>
    <row r="448" spans="1:113" ht="12.75" customHeight="1">
      <c r="A448" s="664"/>
      <c r="B448" s="664"/>
      <c r="C448" s="826" t="s">
        <v>1767</v>
      </c>
      <c r="D448" s="674" t="s">
        <v>687</v>
      </c>
      <c r="E448" s="783" t="s">
        <v>1672</v>
      </c>
      <c r="F448" s="704"/>
      <c r="G448" s="839">
        <f>+G423/'VVP2'!G$341</f>
        <v>0</v>
      </c>
      <c r="H448" s="839">
        <f>+H423/'VVP2'!H$341</f>
        <v>0</v>
      </c>
      <c r="I448" s="839">
        <f>+I423/'VVP2'!I$341</f>
        <v>-8.5292647604223553E-7</v>
      </c>
      <c r="J448" s="839">
        <f>+J423/'VVP2'!J$341</f>
        <v>0</v>
      </c>
      <c r="K448" s="839">
        <f>+K423/'VVP2'!K$341</f>
        <v>0</v>
      </c>
      <c r="L448" s="839">
        <f>+L423/'VVP2'!L$341</f>
        <v>7.480449844505419E-7</v>
      </c>
      <c r="M448" s="839">
        <f>+M423/'VVP2'!M$341</f>
        <v>-3.522486142558681E-6</v>
      </c>
      <c r="N448" s="839">
        <f>+N423/'VVP2'!N$341</f>
        <v>-6.578008271164966E-6</v>
      </c>
      <c r="O448" s="839">
        <f>+O423/'VVP2'!O$341</f>
        <v>7.1992167252141749E-6</v>
      </c>
      <c r="P448" s="839">
        <f>+P423/'VVP2'!P$341</f>
        <v>6.0314556863588779E-6</v>
      </c>
      <c r="Q448" s="839">
        <f>+Q423/'VVP2'!Q$341</f>
        <v>4.2852347475386269E-5</v>
      </c>
      <c r="R448" s="2280">
        <f>+R423/'VVP2'!R$341</f>
        <v>2.155389012416409E-4</v>
      </c>
      <c r="S448" s="2280">
        <f>+S423/'VVP2'!S$341</f>
        <v>2.2657887251872709E-4</v>
      </c>
      <c r="T448" s="2262">
        <f>+T423/'VVP2'!T$341</f>
        <v>9.8176306295399881E-5</v>
      </c>
      <c r="U448" s="2262">
        <f>+U423/'VVP2'!U$341</f>
        <v>2.8958797571326409E-5</v>
      </c>
      <c r="V448" s="2262">
        <f>+V423/'VVP2'!V$341</f>
        <v>1.0703711975955587E-4</v>
      </c>
      <c r="W448" s="2262">
        <f>+W423/'VVP2'!W$341</f>
        <v>9.5602538998803147E-5</v>
      </c>
      <c r="X448" s="2262">
        <f>+X423/'VVP2'!X$341</f>
        <v>4.5429356900225523E-4</v>
      </c>
      <c r="Y448" s="2262">
        <f>+Y423/'VVP2'!Y$341</f>
        <v>1.238570752281543E-4</v>
      </c>
      <c r="Z448" s="2262">
        <f>+Z423/'VVP2'!Z$341</f>
        <v>1.4055897624933505E-4</v>
      </c>
      <c r="AA448" s="2262">
        <f>+AA423/'VVP2'!AA$341</f>
        <v>-1.4428237021715798E-5</v>
      </c>
      <c r="AB448" s="2262">
        <f>+AB423/'VVP2'!AB$341</f>
        <v>3.1033155823684345E-5</v>
      </c>
      <c r="AC448" s="2262">
        <f ca="1">+AC423/'VVP2'!AC$341</f>
        <v>2.8722154991943979E-5</v>
      </c>
      <c r="AD448" s="2262">
        <f ca="1">+AD423/'VVP2'!AD$341</f>
        <v>2.7142223508000731E-5</v>
      </c>
      <c r="AE448" s="2262">
        <f ca="1">+AE423/'VVP2'!AE$341</f>
        <v>2.5709006244560361E-5</v>
      </c>
    </row>
    <row r="449" spans="1:31" ht="12.75" customHeight="1">
      <c r="A449" s="664"/>
      <c r="B449" s="664"/>
      <c r="C449" s="826" t="s">
        <v>1767</v>
      </c>
      <c r="D449" s="674" t="s">
        <v>687</v>
      </c>
      <c r="E449" s="783" t="s">
        <v>502</v>
      </c>
      <c r="F449" s="704" t="s">
        <v>215</v>
      </c>
      <c r="G449" s="839">
        <f>+G424/'VVP2'!G$341</f>
        <v>3.6705376886946153E-4</v>
      </c>
      <c r="H449" s="839">
        <f>+H424/'VVP2'!H$341</f>
        <v>4.5603578285284866E-4</v>
      </c>
      <c r="I449" s="839">
        <f>+I424/'VVP2'!I$341</f>
        <v>5.0066784143073303E-4</v>
      </c>
      <c r="J449" s="839">
        <f>+J424/'VVP2'!J$341</f>
        <v>4.7381500173552984E-4</v>
      </c>
      <c r="K449" s="839">
        <f>+K424/'VVP2'!K$341</f>
        <v>5.0581808799189426E-4</v>
      </c>
      <c r="L449" s="839">
        <f>+L424/'VVP2'!L$341</f>
        <v>4.6303984536414083E-4</v>
      </c>
      <c r="M449" s="839">
        <f>+M424/'VVP2'!M$341</f>
        <v>4.8962557381299261E-4</v>
      </c>
      <c r="N449" s="839">
        <f>+N424/'VVP2'!N$341</f>
        <v>5.0124423026449516E-4</v>
      </c>
      <c r="O449" s="839">
        <f>+O424/'VVP2'!O$341</f>
        <v>4.6014993568699726E-4</v>
      </c>
      <c r="P449" s="839">
        <f>+P424/'VVP2'!P$341</f>
        <v>5.2364001640555955E-4</v>
      </c>
      <c r="Q449" s="839">
        <f>+Q424/'VVP2'!Q$341</f>
        <v>1.9759693558101831E-4</v>
      </c>
      <c r="R449" s="2280">
        <f>+R424/'VVP2'!R$341</f>
        <v>1.4950675230634928E-4</v>
      </c>
      <c r="S449" s="2280">
        <f>+S424/'VVP2'!S$341</f>
        <v>1.2534150394653566E-4</v>
      </c>
      <c r="T449" s="2262">
        <f>+T424/'VVP2'!T$341</f>
        <v>1.0001137744110338E-4</v>
      </c>
      <c r="U449" s="2262">
        <f>+U424/'VVP2'!U$341</f>
        <v>9.1331592340323787E-5</v>
      </c>
      <c r="V449" s="2262">
        <f>+V424/'VVP2'!V$341</f>
        <v>7.9207468622068345E-5</v>
      </c>
      <c r="W449" s="2262">
        <f>+W424/'VVP2'!W$341</f>
        <v>9.0166943135993501E-5</v>
      </c>
      <c r="X449" s="2262">
        <f>+X424/'VVP2'!X$341</f>
        <v>1.1154931199263055E-4</v>
      </c>
      <c r="Y449" s="2262">
        <f>+Y424/'VVP2'!Y$341</f>
        <v>1.2471520738908999E-4</v>
      </c>
      <c r="Z449" s="2262">
        <f>+Z424/'VVP2'!Z$341</f>
        <v>1.380978268597812E-4</v>
      </c>
      <c r="AA449" s="2262">
        <f>+AA424/'VVP2'!AA$341</f>
        <v>7.0003668512857553E-5</v>
      </c>
      <c r="AB449" s="2262">
        <f>+AB424/'VVP2'!AB$341</f>
        <v>6.9824600603284555E-5</v>
      </c>
      <c r="AC449" s="2262">
        <f ca="1">+AC424/'VVP2'!AC$341</f>
        <v>6.7856091168462572E-5</v>
      </c>
      <c r="AD449" s="2262">
        <f ca="1">+AD424/'VVP2'!AD$341</f>
        <v>6.732967818952928E-5</v>
      </c>
      <c r="AE449" s="2262">
        <f ca="1">+AE424/'VVP2'!AE$341</f>
        <v>6.6963123796178172E-5</v>
      </c>
    </row>
    <row r="450" spans="1:31" ht="12.75" customHeight="1">
      <c r="A450" s="664"/>
      <c r="B450" s="664"/>
      <c r="C450" s="826" t="s">
        <v>401</v>
      </c>
      <c r="D450" s="674" t="s">
        <v>687</v>
      </c>
      <c r="E450" s="783" t="s">
        <v>501</v>
      </c>
      <c r="F450" s="704" t="s">
        <v>218</v>
      </c>
      <c r="G450" s="839">
        <f>+G425/'VVP2'!G$341</f>
        <v>0</v>
      </c>
      <c r="H450" s="839">
        <f>+H425/'VVP2'!H$341</f>
        <v>0</v>
      </c>
      <c r="I450" s="839">
        <f>+I425/'VVP2'!I$341</f>
        <v>0</v>
      </c>
      <c r="J450" s="839">
        <f>+J425/'VVP2'!J$341</f>
        <v>0</v>
      </c>
      <c r="K450" s="839">
        <f>+K425/'VVP2'!K$341</f>
        <v>0</v>
      </c>
      <c r="L450" s="839">
        <f>+L425/'VVP2'!L$341</f>
        <v>0</v>
      </c>
      <c r="M450" s="839">
        <f>+M425/'VVP2'!M$341</f>
        <v>0</v>
      </c>
      <c r="N450" s="839">
        <f>+N425/'VVP2'!N$341</f>
        <v>0</v>
      </c>
      <c r="O450" s="839">
        <f>+O425/'VVP2'!O$341</f>
        <v>0</v>
      </c>
      <c r="P450" s="839">
        <f>+P425/'VVP2'!P$341</f>
        <v>0</v>
      </c>
      <c r="Q450" s="839">
        <f>+Q425/'VVP2'!Q$341</f>
        <v>0</v>
      </c>
      <c r="R450" s="2280">
        <f>+R425/'VVP2'!R$341</f>
        <v>0</v>
      </c>
      <c r="S450" s="2280">
        <f>+S425/'VVP2'!S$341</f>
        <v>0</v>
      </c>
      <c r="T450" s="2262">
        <f>+T425/'VVP2'!T$341</f>
        <v>0</v>
      </c>
      <c r="U450" s="2262">
        <f>+U425/'VVP2'!U$341</f>
        <v>0</v>
      </c>
      <c r="V450" s="2262">
        <f>+V425/'VVP2'!V$341</f>
        <v>0</v>
      </c>
      <c r="W450" s="2262">
        <f>+W425/'VVP2'!W$341</f>
        <v>0</v>
      </c>
      <c r="X450" s="2262">
        <f>+X425/'VVP2'!X$341</f>
        <v>0</v>
      </c>
      <c r="Y450" s="2262">
        <f>+Y425/'VVP2'!Y$341</f>
        <v>0</v>
      </c>
      <c r="Z450" s="2262">
        <f>+Z425/'VVP2'!Z$341</f>
        <v>0</v>
      </c>
      <c r="AA450" s="2262">
        <f>+AA425/'VVP2'!AA$341</f>
        <v>0</v>
      </c>
      <c r="AB450" s="2262">
        <f>+AB425/'VVP2'!AB$341</f>
        <v>0</v>
      </c>
      <c r="AC450" s="2262">
        <f ca="1">+AC425/'VVP2'!AC$341</f>
        <v>0</v>
      </c>
      <c r="AD450" s="2262">
        <f ca="1">+AD425/'VVP2'!AD$341</f>
        <v>0</v>
      </c>
      <c r="AE450" s="2262">
        <f ca="1">+AE425/'VVP2'!AE$341</f>
        <v>0</v>
      </c>
    </row>
    <row r="451" spans="1:31" ht="12.75" customHeight="1">
      <c r="A451" s="664"/>
      <c r="B451" s="664"/>
      <c r="C451" s="827" t="s">
        <v>401</v>
      </c>
      <c r="D451" s="828" t="s">
        <v>687</v>
      </c>
      <c r="E451" s="829" t="s">
        <v>770</v>
      </c>
      <c r="F451" s="830"/>
      <c r="G451" s="840">
        <f>+G426/'VVP2'!G$341</f>
        <v>8.6135284428033639E-3</v>
      </c>
      <c r="H451" s="840">
        <f>+H426/'VVP2'!H$341</f>
        <v>8.7768873241611464E-3</v>
      </c>
      <c r="I451" s="840">
        <f>+I426/'VVP2'!I$341</f>
        <v>1.4735157799927331E-2</v>
      </c>
      <c r="J451" s="840">
        <f>+J426/'VVP2'!J$341</f>
        <v>1.3107089869727752E-2</v>
      </c>
      <c r="K451" s="840">
        <f>+K426/'VVP2'!K$341</f>
        <v>1.9413030754998395E-2</v>
      </c>
      <c r="L451" s="840">
        <f>+L426/'VVP2'!L$341</f>
        <v>1.6944714987380479E-2</v>
      </c>
      <c r="M451" s="840">
        <f>+M426/'VVP2'!M$341</f>
        <v>9.9827257279569859E-3</v>
      </c>
      <c r="N451" s="840">
        <f>+N426/'VVP2'!N$341</f>
        <v>1.3951297742361781E-2</v>
      </c>
      <c r="O451" s="840">
        <f>+O426/'VVP2'!O$341</f>
        <v>1.4237650943577341E-2</v>
      </c>
      <c r="P451" s="840">
        <f>+P426/'VVP2'!P$341</f>
        <v>1.4342801622132591E-2</v>
      </c>
      <c r="Q451" s="840">
        <f>+Q426/'VVP2'!Q$341</f>
        <v>1.7309015419703033E-2</v>
      </c>
      <c r="R451" s="2281">
        <f>+R426/'VVP2'!R$341</f>
        <v>1.3190233222227664E-2</v>
      </c>
      <c r="S451" s="2281">
        <f>+S426/'VVP2'!S$341</f>
        <v>1.4520675494289731E-2</v>
      </c>
      <c r="T451" s="2263">
        <f>+T426/'VVP2'!T$341</f>
        <v>1.7780616021149807E-2</v>
      </c>
      <c r="U451" s="2263">
        <f>+U426/'VVP2'!U$341</f>
        <v>2.1180390290337938E-2</v>
      </c>
      <c r="V451" s="2263">
        <f>+V426/'VVP2'!V$341</f>
        <v>2.1698921708055544E-2</v>
      </c>
      <c r="W451" s="2263">
        <f>+W426/'VVP2'!W$341</f>
        <v>1.7780153808178462E-2</v>
      </c>
      <c r="X451" s="2263">
        <f>+X426/'VVP2'!X$341</f>
        <v>1.8522883201873067E-2</v>
      </c>
      <c r="Y451" s="2263">
        <f>+Y426/'VVP2'!Y$341</f>
        <v>2.0294253517984303E-2</v>
      </c>
      <c r="Z451" s="2263">
        <f>+Z426/'VVP2'!Z$341</f>
        <v>2.0791243121087453E-2</v>
      </c>
      <c r="AA451" s="2263">
        <f>+AA426/'VVP2'!AA$341</f>
        <v>2.0536725073417011E-2</v>
      </c>
      <c r="AB451" s="2263">
        <f>+AB426/'VVP2'!AB$341</f>
        <v>2.0696011618813539E-2</v>
      </c>
      <c r="AC451" s="2263">
        <f ca="1">+AC426/'VVP2'!AC$341</f>
        <v>1.9633675293229153E-2</v>
      </c>
      <c r="AD451" s="2263">
        <f ca="1">+AD426/'VVP2'!AD$341</f>
        <v>1.901751951839447E-2</v>
      </c>
      <c r="AE451" s="2263">
        <f ca="1">+AE426/'VVP2'!AE$341</f>
        <v>1.8463651885708279E-2</v>
      </c>
    </row>
    <row r="452" spans="1:31" ht="12.75" customHeight="1">
      <c r="A452" s="664"/>
      <c r="B452" s="664"/>
      <c r="C452" s="774"/>
      <c r="D452" s="806" t="s">
        <v>687</v>
      </c>
      <c r="E452" s="807" t="s">
        <v>1360</v>
      </c>
      <c r="F452" s="808" t="s">
        <v>1366</v>
      </c>
      <c r="G452" s="841">
        <f>+G427/'VVP2'!G$341</f>
        <v>0.23986513027832981</v>
      </c>
      <c r="H452" s="841">
        <f>+H427/'VVP2'!H$341</f>
        <v>0.24073645146513079</v>
      </c>
      <c r="I452" s="841">
        <f>+I427/'VVP2'!I$341</f>
        <v>0.2415624248358543</v>
      </c>
      <c r="J452" s="841">
        <f>+J427/'VVP2'!J$341</f>
        <v>0.2588296999837198</v>
      </c>
      <c r="K452" s="841">
        <f>+K427/'VVP2'!K$341</f>
        <v>0.23663711996777867</v>
      </c>
      <c r="L452" s="841">
        <f>+L427/'VVP2'!L$341</f>
        <v>0.22404919742253621</v>
      </c>
      <c r="M452" s="841">
        <f>+M427/'VVP2'!M$341</f>
        <v>0.21145061615327604</v>
      </c>
      <c r="N452" s="841">
        <f>+N427/'VVP2'!N$341</f>
        <v>0.20562327615070744</v>
      </c>
      <c r="O452" s="841">
        <f>+O427/'VVP2'!O$341</f>
        <v>0.19552532684443935</v>
      </c>
      <c r="P452" s="841">
        <f>+P427/'VVP2'!P$341</f>
        <v>0.19166266397334752</v>
      </c>
      <c r="Q452" s="841">
        <f>+Q427/'VVP2'!Q$341</f>
        <v>0.18504643527986153</v>
      </c>
      <c r="R452" s="2293">
        <f>+R427/'VVP2'!R$341</f>
        <v>0.19126481881858104</v>
      </c>
      <c r="S452" s="2293">
        <f>+S427/'VVP2'!S$341</f>
        <v>0.17447365176962232</v>
      </c>
      <c r="T452" s="2264">
        <f>+T427/'VVP2'!T$341</f>
        <v>0.18659003409562189</v>
      </c>
      <c r="U452" s="2264">
        <f>+U427/'VVP2'!U$341</f>
        <v>0.21235820399022531</v>
      </c>
      <c r="V452" s="2264">
        <f>+V427/'VVP2'!V$341</f>
        <v>0.19849605710929846</v>
      </c>
      <c r="W452" s="2264">
        <f>+W427/'VVP2'!W$341</f>
        <v>0.18344560503297805</v>
      </c>
      <c r="X452" s="2264">
        <f>+X427/'VVP2'!X$341</f>
        <v>0.17484095227128793</v>
      </c>
      <c r="Y452" s="2264">
        <f>+Y427/'VVP2'!Y$341</f>
        <v>0.16696305598025149</v>
      </c>
      <c r="Z452" s="2264">
        <f>+Z427/'VVP2'!Z$341</f>
        <v>0.16608191580243861</v>
      </c>
      <c r="AA452" s="2264">
        <f>+AA427/'VVP2'!AA$341</f>
        <v>0.17177003207076461</v>
      </c>
      <c r="AB452" s="2264">
        <f>+AB427/'VVP2'!AB$341</f>
        <v>0.17163585074293375</v>
      </c>
      <c r="AC452" s="2264">
        <f ca="1">+AC427/'VVP2'!AC$341</f>
        <v>0.16534506899340312</v>
      </c>
      <c r="AD452" s="2264">
        <f ca="1">+AD427/'VVP2'!AD$341</f>
        <v>0.16506956909133419</v>
      </c>
      <c r="AE452" s="2264">
        <f ca="1">+AE427/'VVP2'!AE$341</f>
        <v>0.16438122198006738</v>
      </c>
    </row>
    <row r="453" spans="1:31" ht="30" customHeight="1">
      <c r="A453" s="664"/>
      <c r="B453" s="664"/>
      <c r="C453" s="774"/>
      <c r="V453" s="3169"/>
      <c r="W453" s="3169"/>
      <c r="X453" s="3169"/>
      <c r="Y453" s="3169"/>
      <c r="Z453" s="3169"/>
      <c r="AA453" s="3169"/>
      <c r="AB453" s="3169"/>
      <c r="AC453" s="3169"/>
      <c r="AD453" s="3169"/>
      <c r="AE453" s="3169"/>
    </row>
    <row r="454" spans="1:31" ht="30" customHeight="1">
      <c r="V454" s="3169"/>
      <c r="W454" s="3169"/>
      <c r="X454" s="3169"/>
      <c r="Y454" s="3169"/>
      <c r="Z454" s="3169"/>
      <c r="AA454" s="3169"/>
      <c r="AB454" s="3169"/>
      <c r="AC454" s="3169"/>
      <c r="AD454" s="3169"/>
      <c r="AE454" s="3169"/>
    </row>
    <row r="455" spans="1:31" ht="22.5" customHeight="1">
      <c r="A455" s="574"/>
      <c r="B455" s="574"/>
      <c r="C455" s="3752" t="s">
        <v>1323</v>
      </c>
      <c r="D455" s="3752"/>
      <c r="E455" s="3752"/>
      <c r="F455" s="3752"/>
      <c r="V455" s="3169"/>
      <c r="W455" s="3169"/>
      <c r="X455" s="3169"/>
      <c r="Y455" s="3169"/>
      <c r="Z455" s="3169"/>
      <c r="AA455" s="3169"/>
      <c r="AB455" s="3169"/>
      <c r="AC455" s="3169"/>
      <c r="AD455" s="3169"/>
      <c r="AE455" s="3169"/>
    </row>
    <row r="456" spans="1:31" ht="12.75" customHeight="1">
      <c r="A456" s="664"/>
      <c r="B456" s="664"/>
      <c r="C456" s="774"/>
      <c r="E456" s="3226" t="s">
        <v>2137</v>
      </c>
      <c r="L456" s="3225">
        <f t="shared" ref="L456:Z456" si="409">L458/L375</f>
        <v>6.1312451266898563E-2</v>
      </c>
      <c r="M456" s="3225">
        <f t="shared" si="409"/>
        <v>4.3643120835491156E-2</v>
      </c>
      <c r="N456" s="3225">
        <f t="shared" si="409"/>
        <v>4.3339676962865496E-2</v>
      </c>
      <c r="O456" s="3225">
        <f t="shared" si="409"/>
        <v>1.9136911937692291E-2</v>
      </c>
      <c r="P456" s="3225">
        <f t="shared" si="409"/>
        <v>7.8120692904164124E-2</v>
      </c>
      <c r="Q456" s="3225">
        <f t="shared" si="409"/>
        <v>4.0769641431600633E-2</v>
      </c>
      <c r="R456" s="3225">
        <f t="shared" si="409"/>
        <v>5.1939007720963506E-2</v>
      </c>
      <c r="S456" s="3225">
        <f t="shared" si="409"/>
        <v>-4.114558057835737E-2</v>
      </c>
      <c r="T456" s="3225">
        <f t="shared" si="409"/>
        <v>-5.1952986145390569E-3</v>
      </c>
      <c r="U456" s="3225">
        <f t="shared" si="409"/>
        <v>5.1402616328276127E-2</v>
      </c>
      <c r="V456" s="3225">
        <f t="shared" si="409"/>
        <v>7.8289494066982462E-2</v>
      </c>
      <c r="W456" s="3225">
        <f t="shared" si="409"/>
        <v>4.5726452746045129E-2</v>
      </c>
      <c r="X456" s="3225">
        <f t="shared" si="409"/>
        <v>1.78775064314321E-2</v>
      </c>
      <c r="Y456" s="3225">
        <f t="shared" si="409"/>
        <v>2.4040241986997515E-2</v>
      </c>
      <c r="Z456" s="3225">
        <f t="shared" si="409"/>
        <v>1.6000296122254351E-3</v>
      </c>
      <c r="AA456" s="3225">
        <f>AA458/AA375</f>
        <v>-2.5701589129804703E-6</v>
      </c>
      <c r="AB456" s="3225">
        <f>AB458/AB375</f>
        <v>-4.8698990184630033E-3</v>
      </c>
      <c r="AC456" s="3225">
        <f>AC458/AC375</f>
        <v>-1.4122065942560038E-2</v>
      </c>
      <c r="AD456" s="3225">
        <f ca="1">AD458/AD375</f>
        <v>-1.866360237159264E-2</v>
      </c>
      <c r="AE456" s="3225">
        <f ca="1">AE458/AE375</f>
        <v>-2.2336150677651441E-2</v>
      </c>
    </row>
    <row r="457" spans="1:31" ht="12.75" customHeight="1">
      <c r="A457" s="664"/>
      <c r="B457" s="664"/>
      <c r="C457" s="774"/>
      <c r="D457" s="775"/>
      <c r="E457" s="776" t="s">
        <v>1384</v>
      </c>
      <c r="F457" s="777"/>
      <c r="G457" s="778">
        <f>+InputY!$G$3</f>
        <v>1995</v>
      </c>
      <c r="H457" s="778">
        <f>+G457+1</f>
        <v>1996</v>
      </c>
      <c r="I457" s="778">
        <f t="shared" ref="I457:O457" si="410">+H457+1</f>
        <v>1997</v>
      </c>
      <c r="J457" s="778">
        <f t="shared" si="410"/>
        <v>1998</v>
      </c>
      <c r="K457" s="778">
        <f>+J457+1</f>
        <v>1999</v>
      </c>
      <c r="L457" s="778">
        <f t="shared" si="410"/>
        <v>2000</v>
      </c>
      <c r="M457" s="778">
        <f t="shared" si="410"/>
        <v>2001</v>
      </c>
      <c r="N457" s="778">
        <f t="shared" si="410"/>
        <v>2002</v>
      </c>
      <c r="O457" s="778">
        <f t="shared" si="410"/>
        <v>2003</v>
      </c>
      <c r="P457" s="778">
        <f t="shared" ref="P457:V457" si="411">+O457+1</f>
        <v>2004</v>
      </c>
      <c r="Q457" s="778">
        <f t="shared" si="411"/>
        <v>2005</v>
      </c>
      <c r="R457" s="778">
        <f t="shared" si="411"/>
        <v>2006</v>
      </c>
      <c r="S457" s="778">
        <f>+R457+1</f>
        <v>2007</v>
      </c>
      <c r="T457" s="778">
        <f t="shared" si="411"/>
        <v>2008</v>
      </c>
      <c r="U457" s="778">
        <f t="shared" si="411"/>
        <v>2009</v>
      </c>
      <c r="V457" s="778">
        <f t="shared" si="411"/>
        <v>2010</v>
      </c>
      <c r="W457" s="778">
        <f t="shared" ref="W457:AE457" si="412">+V457+1</f>
        <v>2011</v>
      </c>
      <c r="X457" s="778">
        <f t="shared" si="412"/>
        <v>2012</v>
      </c>
      <c r="Y457" s="778">
        <f t="shared" si="412"/>
        <v>2013</v>
      </c>
      <c r="Z457" s="778">
        <f t="shared" si="412"/>
        <v>2014</v>
      </c>
      <c r="AA457" s="778">
        <f t="shared" si="412"/>
        <v>2015</v>
      </c>
      <c r="AB457" s="778">
        <f t="shared" si="412"/>
        <v>2016</v>
      </c>
      <c r="AC457" s="778">
        <f t="shared" si="412"/>
        <v>2017</v>
      </c>
      <c r="AD457" s="778">
        <f t="shared" si="412"/>
        <v>2018</v>
      </c>
      <c r="AE457" s="778">
        <f t="shared" si="412"/>
        <v>2019</v>
      </c>
    </row>
    <row r="458" spans="1:31" ht="12.75" customHeight="1">
      <c r="A458" s="664"/>
      <c r="B458" s="664"/>
      <c r="C458" s="779" t="s">
        <v>1767</v>
      </c>
      <c r="D458" s="668" t="s">
        <v>685</v>
      </c>
      <c r="E458" s="700" t="s">
        <v>1323</v>
      </c>
      <c r="F458" s="701" t="s">
        <v>1604</v>
      </c>
      <c r="G458" s="780">
        <f>+G375+G396-'VVP2'!G185</f>
        <v>6.8660000000000387E-2</v>
      </c>
      <c r="H458" s="780">
        <f>+H375+H396-'VVP2'!H185</f>
        <v>-7.8619999999999912E-2</v>
      </c>
      <c r="I458" s="780">
        <f>+I375+I396-'VVP2'!I185</f>
        <v>0.21661999999999981</v>
      </c>
      <c r="J458" s="780">
        <f>+J375+J396-'VVP2'!J185</f>
        <v>0.61073999999999717</v>
      </c>
      <c r="K458" s="780">
        <f>+K375+K396-'VVP2'!K185</f>
        <v>0.3626100000000001</v>
      </c>
      <c r="L458" s="780">
        <f>+L375+L396-'VVP2'!L185</f>
        <v>0.56772999999999918</v>
      </c>
      <c r="M458" s="780">
        <f>+M375+M396-'VVP2'!M185</f>
        <v>0.42298999999999687</v>
      </c>
      <c r="N458" s="780">
        <f>+N375+N396-'VVP2'!N185</f>
        <v>0.44408000000000136</v>
      </c>
      <c r="O458" s="780">
        <f>+O375+O396-'VVP2'!O185</f>
        <v>0.2095400000000005</v>
      </c>
      <c r="P458" s="780">
        <f>+P375+P396-'VVP2'!P185</f>
        <v>1.0032399999999981</v>
      </c>
      <c r="Q458" s="780">
        <f>+Q375+Q396-'VVP2'!Q185</f>
        <v>0.57351999999999848</v>
      </c>
      <c r="R458" s="780">
        <f>+R375+R396-'VVP2'!R185</f>
        <v>0.84127999999999759</v>
      </c>
      <c r="S458" s="780">
        <f>+S375+S396-'VVP2'!S185</f>
        <v>-0.71982999999999464</v>
      </c>
      <c r="T458" s="780">
        <f>+T375+T396-'VVP2'!T185</f>
        <v>-0.10829999999999984</v>
      </c>
      <c r="U458" s="780">
        <f>+U375+U396-'VVP2'!U185</f>
        <v>0.98694000000000415</v>
      </c>
      <c r="V458" s="846">
        <f>+V375+V396-'VVP2'!V185</f>
        <v>1.5161699999999954</v>
      </c>
      <c r="W458" s="846">
        <f>+W375+W396-'VVP2'!W185</f>
        <v>0.93204000000000065</v>
      </c>
      <c r="X458" s="846">
        <f>+X375+X396-'VVP2'!X185</f>
        <v>0.37672000000000239</v>
      </c>
      <c r="Y458" s="846">
        <f>+Y375+Y396-'VVP2'!Y185</f>
        <v>0.53555000000000064</v>
      </c>
      <c r="Z458" s="846">
        <f>+Z375+Z396-'VVP2'!Z185</f>
        <v>3.6310000000003839E-2</v>
      </c>
      <c r="AA458" s="846">
        <f>+AA375+AA396-'VVP2'!AA185</f>
        <v>-6.0000000001281251E-5</v>
      </c>
      <c r="AB458" s="846">
        <f>+AB375+AB396-'VVP2'!AB185</f>
        <v>-0.11985999999999919</v>
      </c>
      <c r="AC458" s="846">
        <f>+AC375+AC396-'VVP2'!AC185</f>
        <v>-0.37138136478062478</v>
      </c>
      <c r="AD458" s="846">
        <f ca="1">+AD375+AD396-'VVP2'!AD185</f>
        <v>-0.51902575602819212</v>
      </c>
      <c r="AE458" s="846">
        <f ca="1">+AE375+AE396-'VVP2'!AE185</f>
        <v>-0.65357600382164449</v>
      </c>
    </row>
    <row r="459" spans="1:31" ht="12.75" customHeight="1">
      <c r="A459" s="664"/>
      <c r="B459" s="664"/>
      <c r="C459" s="782" t="s">
        <v>1767</v>
      </c>
      <c r="D459" s="674" t="s">
        <v>686</v>
      </c>
      <c r="E459" s="783" t="s">
        <v>1323</v>
      </c>
      <c r="F459" s="704" t="s">
        <v>1605</v>
      </c>
      <c r="G459" s="706">
        <f>+G376-G397</f>
        <v>0.74860000000000004</v>
      </c>
      <c r="H459" s="706">
        <f t="shared" ref="H459:O459" si="413">+H376-H397</f>
        <v>1.1222399999999992</v>
      </c>
      <c r="I459" s="706">
        <f t="shared" si="413"/>
        <v>1.1396900000000001</v>
      </c>
      <c r="J459" s="706">
        <f t="shared" si="413"/>
        <v>0.9673999999999997</v>
      </c>
      <c r="K459" s="706">
        <f t="shared" si="413"/>
        <v>0.91667000000000043</v>
      </c>
      <c r="L459" s="706">
        <f t="shared" si="413"/>
        <v>0.94606000000000012</v>
      </c>
      <c r="M459" s="706">
        <f t="shared" si="413"/>
        <v>1.4919999999999998</v>
      </c>
      <c r="N459" s="706">
        <f t="shared" si="413"/>
        <v>1.6360799999999995</v>
      </c>
      <c r="O459" s="706">
        <f t="shared" si="413"/>
        <v>1.9779100000000005</v>
      </c>
      <c r="P459" s="706">
        <f>+P376-P397</f>
        <v>1.3635499999999989</v>
      </c>
      <c r="Q459" s="706">
        <f>+Q376-Q397</f>
        <v>2.4148400000000008</v>
      </c>
      <c r="R459" s="706">
        <f>+R376-R397</f>
        <v>2.3237099999999988</v>
      </c>
      <c r="S459" s="706">
        <f t="shared" ref="S459:X459" si="414">+S376-S397</f>
        <v>4.5371500000000022</v>
      </c>
      <c r="T459" s="706">
        <f t="shared" si="414"/>
        <v>4.3561300000000003</v>
      </c>
      <c r="U459" s="706">
        <f t="shared" si="414"/>
        <v>4.4560499999999994</v>
      </c>
      <c r="V459" s="792">
        <f t="shared" si="414"/>
        <v>4.5863999999999985</v>
      </c>
      <c r="W459" s="792">
        <f t="shared" si="414"/>
        <v>5.3673900000000012</v>
      </c>
      <c r="X459" s="792">
        <f t="shared" si="414"/>
        <v>6.1053299999999995</v>
      </c>
      <c r="Y459" s="792">
        <f t="shared" ref="Y459:AD459" si="415">+Y376-Y397</f>
        <v>6.7489699999999981</v>
      </c>
      <c r="Z459" s="792">
        <f t="shared" si="415"/>
        <v>7.8735800000000022</v>
      </c>
      <c r="AA459" s="792">
        <f t="shared" si="415"/>
        <v>6.0911099999999987</v>
      </c>
      <c r="AB459" s="792">
        <f t="shared" si="415"/>
        <v>5.4141800000000009</v>
      </c>
      <c r="AC459" s="792">
        <f t="shared" si="415"/>
        <v>6.2509504700000003</v>
      </c>
      <c r="AD459" s="792">
        <f t="shared" ca="1" si="415"/>
        <v>6.7520762020993272</v>
      </c>
      <c r="AE459" s="792">
        <f t="shared" ref="AE459" ca="1" si="416">+AE376-AE397</f>
        <v>7.3186701178579687</v>
      </c>
    </row>
    <row r="460" spans="1:31" ht="12.75" customHeight="1">
      <c r="A460" s="664"/>
      <c r="B460" s="664"/>
      <c r="C460" s="782" t="s">
        <v>1767</v>
      </c>
      <c r="D460" s="674" t="s">
        <v>687</v>
      </c>
      <c r="E460" s="783" t="s">
        <v>1323</v>
      </c>
      <c r="F460" s="704" t="s">
        <v>1606</v>
      </c>
      <c r="G460" s="706">
        <f>+G377-G398-G427</f>
        <v>0.23669000000000051</v>
      </c>
      <c r="H460" s="706">
        <f t="shared" ref="H460:Q460" si="417">+H377-H398-H427</f>
        <v>0.1648199999999993</v>
      </c>
      <c r="I460" s="706">
        <f t="shared" si="417"/>
        <v>0.3879999999999999</v>
      </c>
      <c r="J460" s="706">
        <f t="shared" si="417"/>
        <v>8.6999999999999744E-2</v>
      </c>
      <c r="K460" s="706">
        <f t="shared" si="417"/>
        <v>7.567000000000057E-2</v>
      </c>
      <c r="L460" s="706">
        <f t="shared" si="417"/>
        <v>0.21197000000000044</v>
      </c>
      <c r="M460" s="706">
        <f t="shared" si="417"/>
        <v>0.11141000000000023</v>
      </c>
      <c r="N460" s="706">
        <f t="shared" si="417"/>
        <v>0.26587000000000049</v>
      </c>
      <c r="O460" s="706">
        <f t="shared" si="417"/>
        <v>0.31659000000000015</v>
      </c>
      <c r="P460" s="706">
        <f t="shared" si="417"/>
        <v>0.42070000000000052</v>
      </c>
      <c r="Q460" s="706">
        <f t="shared" si="417"/>
        <v>0.58436999999999983</v>
      </c>
      <c r="R460" s="706">
        <f t="shared" ref="R460:W460" si="418">+R377-R398-R427</f>
        <v>0.81357999999999908</v>
      </c>
      <c r="S460" s="706">
        <f t="shared" si="418"/>
        <v>1.1744600000000007</v>
      </c>
      <c r="T460" s="706">
        <f>+T377-T398-T427</f>
        <v>0.56803999999999899</v>
      </c>
      <c r="U460" s="706">
        <f>+U377-U398-U427</f>
        <v>-1.5360399999999998</v>
      </c>
      <c r="V460" s="792">
        <f>+V377-V398-V427</f>
        <v>-1.1461699999999997</v>
      </c>
      <c r="W460" s="792">
        <f t="shared" si="418"/>
        <v>-0.7051799999999977</v>
      </c>
      <c r="X460" s="792">
        <f t="shared" ref="X460:AC460" si="419">+X377-X398-X427</f>
        <v>-0.33696999999999999</v>
      </c>
      <c r="Y460" s="792">
        <f t="shared" si="419"/>
        <v>1.7109999999998848E-2</v>
      </c>
      <c r="Z460" s="792">
        <f t="shared" si="419"/>
        <v>0.50360000000000138</v>
      </c>
      <c r="AA460" s="792">
        <f>+AA377-AA398-AA427</f>
        <v>0.85522000000000009</v>
      </c>
      <c r="AB460" s="792">
        <f>+AB377-AB398-AB427</f>
        <v>1.1381400000000026</v>
      </c>
      <c r="AC460" s="792">
        <f t="shared" si="419"/>
        <v>1.5689493027806298</v>
      </c>
      <c r="AD460" s="792">
        <f ca="1">+AD377-AD398-AD427</f>
        <v>1.5274903670781468</v>
      </c>
      <c r="AE460" s="792">
        <f ca="1">+AE377-AE398-AE427</f>
        <v>1.603364125071062</v>
      </c>
    </row>
    <row r="461" spans="1:31" ht="12.75" customHeight="1">
      <c r="A461" s="664"/>
      <c r="B461" s="664"/>
      <c r="C461" s="784" t="s">
        <v>1769</v>
      </c>
      <c r="D461" s="752"/>
      <c r="E461" s="753" t="s">
        <v>1323</v>
      </c>
      <c r="F461" s="754" t="s">
        <v>1607</v>
      </c>
      <c r="G461" s="785">
        <f t="shared" ref="G461:S461" si="420">+G458+G459+G460</f>
        <v>1.0539500000000008</v>
      </c>
      <c r="H461" s="785">
        <f t="shared" si="420"/>
        <v>1.2084399999999986</v>
      </c>
      <c r="I461" s="785">
        <f t="shared" si="420"/>
        <v>1.7443099999999998</v>
      </c>
      <c r="J461" s="785">
        <f t="shared" si="420"/>
        <v>1.6651399999999965</v>
      </c>
      <c r="K461" s="785">
        <f t="shared" si="420"/>
        <v>1.354950000000001</v>
      </c>
      <c r="L461" s="785">
        <f t="shared" si="420"/>
        <v>1.7257599999999997</v>
      </c>
      <c r="M461" s="785">
        <f t="shared" si="420"/>
        <v>2.0263999999999971</v>
      </c>
      <c r="N461" s="785">
        <f t="shared" si="420"/>
        <v>2.3460300000000016</v>
      </c>
      <c r="O461" s="785">
        <f t="shared" si="420"/>
        <v>2.5040400000000012</v>
      </c>
      <c r="P461" s="785">
        <f t="shared" si="420"/>
        <v>2.7874899999999978</v>
      </c>
      <c r="Q461" s="785">
        <f t="shared" si="420"/>
        <v>3.5727299999999991</v>
      </c>
      <c r="R461" s="785">
        <f t="shared" si="420"/>
        <v>3.9785699999999955</v>
      </c>
      <c r="S461" s="785">
        <f t="shared" si="420"/>
        <v>4.9917800000000083</v>
      </c>
      <c r="T461" s="785">
        <f t="shared" ref="T461:Y461" si="421">+T458+T459+T460</f>
        <v>4.8158699999999994</v>
      </c>
      <c r="U461" s="785">
        <f t="shared" si="421"/>
        <v>3.9069500000000037</v>
      </c>
      <c r="V461" s="785">
        <f t="shared" si="421"/>
        <v>4.9563999999999941</v>
      </c>
      <c r="W461" s="844">
        <f t="shared" si="421"/>
        <v>5.5942500000000042</v>
      </c>
      <c r="X461" s="844">
        <f t="shared" si="421"/>
        <v>6.1450800000000019</v>
      </c>
      <c r="Y461" s="844">
        <f t="shared" si="421"/>
        <v>7.3016299999999976</v>
      </c>
      <c r="Z461" s="844">
        <f t="shared" ref="Z461:AE461" si="422">+Z458+Z459+Z460</f>
        <v>8.4134900000000066</v>
      </c>
      <c r="AA461" s="844">
        <f t="shared" si="422"/>
        <v>6.9462699999999975</v>
      </c>
      <c r="AB461" s="844">
        <f t="shared" si="422"/>
        <v>6.4324600000000043</v>
      </c>
      <c r="AC461" s="844">
        <f t="shared" si="422"/>
        <v>7.4485184080000053</v>
      </c>
      <c r="AD461" s="844">
        <f t="shared" ca="1" si="422"/>
        <v>7.7605408131492819</v>
      </c>
      <c r="AE461" s="844">
        <f t="shared" ca="1" si="422"/>
        <v>8.2684582391073853</v>
      </c>
    </row>
    <row r="462" spans="1:31">
      <c r="A462" s="664"/>
      <c r="B462" s="664"/>
      <c r="Q462" s="699"/>
      <c r="R462" s="699"/>
      <c r="S462" s="699"/>
      <c r="T462" s="843"/>
      <c r="U462" s="843"/>
      <c r="V462" s="843"/>
      <c r="W462" s="843"/>
      <c r="X462" s="843"/>
      <c r="Y462" s="843"/>
      <c r="Z462" s="843"/>
      <c r="AA462" s="843"/>
      <c r="AB462" s="843"/>
      <c r="AC462" s="843"/>
      <c r="AD462" s="843"/>
      <c r="AE462" s="843"/>
    </row>
    <row r="463" spans="1:31" ht="12.75" customHeight="1">
      <c r="A463" s="664"/>
      <c r="B463" s="664"/>
      <c r="C463" s="774"/>
      <c r="D463" s="742"/>
      <c r="E463" s="743" t="s">
        <v>1311</v>
      </c>
      <c r="F463" s="744"/>
      <c r="G463" s="745">
        <f>+InputY!$G$3</f>
        <v>1995</v>
      </c>
      <c r="H463" s="745">
        <f>+G463+1</f>
        <v>1996</v>
      </c>
      <c r="I463" s="745">
        <f t="shared" ref="I463:O463" si="423">+H463+1</f>
        <v>1997</v>
      </c>
      <c r="J463" s="745">
        <f t="shared" si="423"/>
        <v>1998</v>
      </c>
      <c r="K463" s="745">
        <f>+J463+1</f>
        <v>1999</v>
      </c>
      <c r="L463" s="745">
        <f t="shared" si="423"/>
        <v>2000</v>
      </c>
      <c r="M463" s="745">
        <f t="shared" si="423"/>
        <v>2001</v>
      </c>
      <c r="N463" s="745">
        <f t="shared" si="423"/>
        <v>2002</v>
      </c>
      <c r="O463" s="745">
        <f t="shared" si="423"/>
        <v>2003</v>
      </c>
      <c r="P463" s="745">
        <f t="shared" ref="P463:V463" si="424">+O463+1</f>
        <v>2004</v>
      </c>
      <c r="Q463" s="745">
        <f t="shared" si="424"/>
        <v>2005</v>
      </c>
      <c r="R463" s="745">
        <f t="shared" si="424"/>
        <v>2006</v>
      </c>
      <c r="S463" s="745">
        <f>+R463+1</f>
        <v>2007</v>
      </c>
      <c r="T463" s="745">
        <f t="shared" si="424"/>
        <v>2008</v>
      </c>
      <c r="U463" s="745">
        <f t="shared" si="424"/>
        <v>2009</v>
      </c>
      <c r="V463" s="745">
        <f t="shared" si="424"/>
        <v>2010</v>
      </c>
      <c r="W463" s="745">
        <f t="shared" ref="W463:AE463" si="425">+V463+1</f>
        <v>2011</v>
      </c>
      <c r="X463" s="745">
        <f t="shared" si="425"/>
        <v>2012</v>
      </c>
      <c r="Y463" s="745">
        <f t="shared" si="425"/>
        <v>2013</v>
      </c>
      <c r="Z463" s="745">
        <f t="shared" si="425"/>
        <v>2014</v>
      </c>
      <c r="AA463" s="745">
        <f t="shared" si="425"/>
        <v>2015</v>
      </c>
      <c r="AB463" s="745">
        <f t="shared" si="425"/>
        <v>2016</v>
      </c>
      <c r="AC463" s="745">
        <f t="shared" si="425"/>
        <v>2017</v>
      </c>
      <c r="AD463" s="745">
        <f t="shared" si="425"/>
        <v>2018</v>
      </c>
      <c r="AE463" s="745">
        <f t="shared" si="425"/>
        <v>2019</v>
      </c>
    </row>
    <row r="464" spans="1:31" ht="12.75" customHeight="1">
      <c r="A464" s="664"/>
      <c r="B464" s="664"/>
      <c r="C464" s="794" t="s">
        <v>1767</v>
      </c>
      <c r="D464" s="689" t="s">
        <v>685</v>
      </c>
      <c r="E464" s="738" t="s">
        <v>1323</v>
      </c>
      <c r="F464" s="733" t="s">
        <v>1604</v>
      </c>
      <c r="G464" s="739"/>
      <c r="H464" s="739">
        <f t="shared" ref="H464:Q464" si="426">(H458/G458-1)*100</f>
        <v>-214.50626274395495</v>
      </c>
      <c r="I464" s="739">
        <f t="shared" si="426"/>
        <v>-375.52785550750451</v>
      </c>
      <c r="J464" s="739">
        <f t="shared" si="426"/>
        <v>181.94072569476396</v>
      </c>
      <c r="K464" s="739">
        <f>(K458/J458-1)*100</f>
        <v>-40.627763041555852</v>
      </c>
      <c r="L464" s="739">
        <f t="shared" si="426"/>
        <v>56.567662226634411</v>
      </c>
      <c r="M464" s="739">
        <f t="shared" si="426"/>
        <v>-25.494513236926451</v>
      </c>
      <c r="N464" s="739">
        <f t="shared" si="426"/>
        <v>4.9859334736056748</v>
      </c>
      <c r="O464" s="739">
        <f t="shared" si="426"/>
        <v>-52.81480814267703</v>
      </c>
      <c r="P464" s="739">
        <f t="shared" si="426"/>
        <v>378.78209411090762</v>
      </c>
      <c r="Q464" s="739">
        <f t="shared" si="426"/>
        <v>-42.83322036601416</v>
      </c>
      <c r="R464" s="739">
        <f t="shared" ref="R464:AE467" si="427">(R458/Q458-1)*100</f>
        <v>46.68712512205326</v>
      </c>
      <c r="S464" s="739">
        <f t="shared" si="427"/>
        <v>-185.56366489159336</v>
      </c>
      <c r="T464" s="739">
        <f t="shared" ref="T464:U466" si="428">(T458/S458-1)*100</f>
        <v>-84.954780989955864</v>
      </c>
      <c r="U464" s="739">
        <f t="shared" si="428"/>
        <v>-1011.3019390581769</v>
      </c>
      <c r="V464" s="2907">
        <f t="shared" si="427"/>
        <v>53.623320566598686</v>
      </c>
      <c r="W464" s="2907">
        <f t="shared" si="427"/>
        <v>-38.526682364114606</v>
      </c>
      <c r="X464" s="2907">
        <f t="shared" si="427"/>
        <v>-59.581133856915791</v>
      </c>
      <c r="Y464" s="2907">
        <f t="shared" si="427"/>
        <v>42.161286897429726</v>
      </c>
      <c r="Z464" s="2907">
        <f t="shared" si="427"/>
        <v>-93.220054149938605</v>
      </c>
      <c r="AA464" s="2907">
        <f t="shared" si="427"/>
        <v>-100.16524373451192</v>
      </c>
      <c r="AB464" s="2907">
        <f t="shared" si="427"/>
        <v>199666.66666239945</v>
      </c>
      <c r="AC464" s="2907">
        <f t="shared" si="427"/>
        <v>209.84595760105731</v>
      </c>
      <c r="AD464" s="2907">
        <f t="shared" ca="1" si="427"/>
        <v>39.755465742009164</v>
      </c>
      <c r="AE464" s="2907">
        <f t="shared" ca="1" si="427"/>
        <v>25.923616743625331</v>
      </c>
    </row>
    <row r="465" spans="1:32" ht="12.75" customHeight="1">
      <c r="A465" s="664"/>
      <c r="B465" s="664"/>
      <c r="C465" s="795" t="s">
        <v>1767</v>
      </c>
      <c r="D465" s="674" t="s">
        <v>686</v>
      </c>
      <c r="E465" s="783" t="s">
        <v>1323</v>
      </c>
      <c r="F465" s="704" t="s">
        <v>1605</v>
      </c>
      <c r="G465" s="706"/>
      <c r="H465" s="706">
        <f t="shared" ref="H465:Q465" si="429">(H459/G459-1)*100</f>
        <v>49.911835426128668</v>
      </c>
      <c r="I465" s="706">
        <f t="shared" si="429"/>
        <v>1.5549258625606743</v>
      </c>
      <c r="J465" s="706">
        <f t="shared" si="429"/>
        <v>-15.117268730970734</v>
      </c>
      <c r="K465" s="706">
        <f>(K459/J459-1)*100</f>
        <v>-5.2439528633449806</v>
      </c>
      <c r="L465" s="706">
        <f t="shared" si="429"/>
        <v>3.2061701593812053</v>
      </c>
      <c r="M465" s="706">
        <f t="shared" si="429"/>
        <v>57.70669936367667</v>
      </c>
      <c r="N465" s="706">
        <f t="shared" si="429"/>
        <v>9.6568364611259838</v>
      </c>
      <c r="O465" s="706">
        <f t="shared" si="429"/>
        <v>20.89323260476268</v>
      </c>
      <c r="P465" s="706">
        <f t="shared" si="429"/>
        <v>-31.061069512768601</v>
      </c>
      <c r="Q465" s="706">
        <f t="shared" si="429"/>
        <v>77.099482967254801</v>
      </c>
      <c r="R465" s="706">
        <f t="shared" si="427"/>
        <v>-3.7737489854401063</v>
      </c>
      <c r="S465" s="706">
        <f t="shared" si="427"/>
        <v>95.254571353568409</v>
      </c>
      <c r="T465" s="706">
        <f t="shared" si="428"/>
        <v>-3.9897292353129554</v>
      </c>
      <c r="U465" s="706">
        <f t="shared" si="428"/>
        <v>2.2937791112753514</v>
      </c>
      <c r="V465" s="792">
        <f t="shared" si="427"/>
        <v>2.9252364762513583</v>
      </c>
      <c r="W465" s="792">
        <f t="shared" si="427"/>
        <v>17.028388278388352</v>
      </c>
      <c r="X465" s="792">
        <f t="shared" si="427"/>
        <v>13.748581712899522</v>
      </c>
      <c r="Y465" s="792">
        <f t="shared" si="427"/>
        <v>10.542263890731519</v>
      </c>
      <c r="Z465" s="792">
        <f t="shared" si="427"/>
        <v>16.663431605119072</v>
      </c>
      <c r="AA465" s="792">
        <f t="shared" si="427"/>
        <v>-22.638621821331629</v>
      </c>
      <c r="AB465" s="792">
        <f t="shared" si="427"/>
        <v>-11.113409542759822</v>
      </c>
      <c r="AC465" s="792">
        <f t="shared" si="427"/>
        <v>15.455165325127695</v>
      </c>
      <c r="AD465" s="792">
        <f t="shared" ca="1" si="427"/>
        <v>8.0167925582575794</v>
      </c>
      <c r="AE465" s="792">
        <f t="shared" ca="1" si="427"/>
        <v>8.3914028633515603</v>
      </c>
    </row>
    <row r="466" spans="1:32" ht="12.75" customHeight="1">
      <c r="A466" s="664"/>
      <c r="B466" s="664"/>
      <c r="C466" s="796" t="s">
        <v>1767</v>
      </c>
      <c r="D466" s="691" t="s">
        <v>687</v>
      </c>
      <c r="E466" s="797" t="s">
        <v>1323</v>
      </c>
      <c r="F466" s="736" t="s">
        <v>1606</v>
      </c>
      <c r="G466" s="741"/>
      <c r="H466" s="741">
        <f t="shared" ref="H466:Q466" si="430">(H460/G460-1)*100</f>
        <v>-30.364611939668361</v>
      </c>
      <c r="I466" s="741">
        <f t="shared" si="430"/>
        <v>135.40832423249699</v>
      </c>
      <c r="J466" s="741">
        <f t="shared" si="430"/>
        <v>-77.577319587628921</v>
      </c>
      <c r="K466" s="741">
        <f>(K460/J460-1)*100</f>
        <v>-13.022988505746213</v>
      </c>
      <c r="L466" s="741">
        <f t="shared" si="430"/>
        <v>180.12422360248291</v>
      </c>
      <c r="M466" s="741">
        <f t="shared" si="430"/>
        <v>-47.440675567297262</v>
      </c>
      <c r="N466" s="741">
        <f t="shared" si="430"/>
        <v>138.6410555605421</v>
      </c>
      <c r="O466" s="741">
        <f t="shared" si="430"/>
        <v>19.076992515138812</v>
      </c>
      <c r="P466" s="741">
        <f t="shared" si="430"/>
        <v>32.884803689314346</v>
      </c>
      <c r="Q466" s="741">
        <f t="shared" si="430"/>
        <v>38.904207273591432</v>
      </c>
      <c r="R466" s="741">
        <f t="shared" si="427"/>
        <v>39.223437205879733</v>
      </c>
      <c r="S466" s="741">
        <f t="shared" si="427"/>
        <v>44.357039258585765</v>
      </c>
      <c r="T466" s="741">
        <f t="shared" si="428"/>
        <v>-51.633942407574665</v>
      </c>
      <c r="U466" s="741">
        <f t="shared" si="428"/>
        <v>-370.41053446940401</v>
      </c>
      <c r="V466" s="2908">
        <f t="shared" si="427"/>
        <v>-25.381500481758302</v>
      </c>
      <c r="W466" s="2908">
        <f t="shared" si="427"/>
        <v>-38.475095317448726</v>
      </c>
      <c r="X466" s="2908">
        <f t="shared" si="427"/>
        <v>-52.215037295442144</v>
      </c>
      <c r="Y466" s="2908">
        <f t="shared" si="427"/>
        <v>-105.07760334747867</v>
      </c>
      <c r="Z466" s="2908">
        <f t="shared" si="427"/>
        <v>2843.3080070136489</v>
      </c>
      <c r="AA466" s="2908">
        <f t="shared" si="427"/>
        <v>69.821286735503918</v>
      </c>
      <c r="AB466" s="2908">
        <f t="shared" si="427"/>
        <v>33.081546268796622</v>
      </c>
      <c r="AC466" s="2908">
        <f t="shared" si="427"/>
        <v>37.852048322756971</v>
      </c>
      <c r="AD466" s="2908">
        <f t="shared" ca="1" si="427"/>
        <v>-2.6424649686899282</v>
      </c>
      <c r="AE466" s="2908">
        <f t="shared" ca="1" si="427"/>
        <v>4.9672167909019294</v>
      </c>
    </row>
    <row r="467" spans="1:32" ht="12.75" customHeight="1">
      <c r="A467" s="664"/>
      <c r="B467" s="664"/>
      <c r="C467" s="774" t="s">
        <v>1769</v>
      </c>
      <c r="D467" s="717"/>
      <c r="E467" s="722" t="s">
        <v>1323</v>
      </c>
      <c r="F467" s="723" t="s">
        <v>1607</v>
      </c>
      <c r="G467" s="721"/>
      <c r="H467" s="721">
        <f t="shared" ref="H467:Q467" si="431">(H461/G461-1)*100</f>
        <v>14.658190616252931</v>
      </c>
      <c r="I467" s="721">
        <f t="shared" si="431"/>
        <v>44.343947568766495</v>
      </c>
      <c r="J467" s="721">
        <f t="shared" si="431"/>
        <v>-4.53875744563772</v>
      </c>
      <c r="K467" s="721">
        <f>(K461/J461-1)*100</f>
        <v>-18.628463672723981</v>
      </c>
      <c r="L467" s="721">
        <f t="shared" si="431"/>
        <v>27.367061515184954</v>
      </c>
      <c r="M467" s="721">
        <f t="shared" si="431"/>
        <v>17.420730576673304</v>
      </c>
      <c r="N467" s="721">
        <f t="shared" si="431"/>
        <v>15.773292538492157</v>
      </c>
      <c r="O467" s="721">
        <f t="shared" si="431"/>
        <v>6.7352079896676242</v>
      </c>
      <c r="P467" s="721">
        <f t="shared" si="431"/>
        <v>11.31970735291754</v>
      </c>
      <c r="Q467" s="721">
        <f t="shared" si="431"/>
        <v>28.170145901868771</v>
      </c>
      <c r="R467" s="721">
        <f t="shared" si="427"/>
        <v>11.359380641694061</v>
      </c>
      <c r="S467" s="721">
        <f t="shared" si="427"/>
        <v>25.466687779780518</v>
      </c>
      <c r="T467" s="801">
        <f t="shared" si="427"/>
        <v>-3.5239934452241162</v>
      </c>
      <c r="U467" s="801">
        <f t="shared" si="427"/>
        <v>-18.873433045327136</v>
      </c>
      <c r="V467" s="801">
        <f t="shared" si="427"/>
        <v>26.861106489716779</v>
      </c>
      <c r="W467" s="801">
        <f t="shared" si="427"/>
        <v>12.869219594867465</v>
      </c>
      <c r="X467" s="801">
        <f t="shared" si="427"/>
        <v>9.8463601018902835</v>
      </c>
      <c r="Y467" s="801">
        <f t="shared" si="427"/>
        <v>18.82074765503452</v>
      </c>
      <c r="Z467" s="801">
        <f t="shared" si="427"/>
        <v>15.227558777971616</v>
      </c>
      <c r="AA467" s="801">
        <f t="shared" si="427"/>
        <v>-17.43889872098271</v>
      </c>
      <c r="AB467" s="801">
        <f t="shared" si="427"/>
        <v>-7.3969194978023234</v>
      </c>
      <c r="AC467" s="801">
        <f t="shared" si="427"/>
        <v>15.795798310444219</v>
      </c>
      <c r="AD467" s="801">
        <f t="shared" ca="1" si="427"/>
        <v>4.189053286277078</v>
      </c>
      <c r="AE467" s="801">
        <f t="shared" ca="1" si="427"/>
        <v>6.5448715261892554</v>
      </c>
    </row>
    <row r="468" spans="1:32" ht="12.75" customHeight="1">
      <c r="A468" s="664"/>
      <c r="B468" s="664"/>
      <c r="C468" s="774"/>
      <c r="E468" s="786"/>
      <c r="F468" s="787"/>
      <c r="G468" s="703"/>
      <c r="H468" s="788"/>
      <c r="I468" s="703"/>
      <c r="J468" s="703"/>
      <c r="K468" s="703"/>
      <c r="L468" s="703"/>
      <c r="M468" s="703"/>
      <c r="N468" s="703"/>
      <c r="O468" s="703"/>
      <c r="P468" s="703"/>
      <c r="Q468" s="703"/>
      <c r="R468" s="703"/>
      <c r="S468" s="703"/>
      <c r="T468" s="845"/>
      <c r="U468" s="845"/>
      <c r="V468" s="845"/>
      <c r="W468" s="845"/>
      <c r="X468" s="845"/>
      <c r="Y468" s="845"/>
      <c r="Z468" s="845"/>
      <c r="AA468" s="845"/>
      <c r="AB468" s="845"/>
      <c r="AC468" s="845"/>
      <c r="AD468" s="845"/>
      <c r="AE468" s="845"/>
    </row>
    <row r="469" spans="1:32" ht="12.75" customHeight="1">
      <c r="A469" s="664"/>
      <c r="B469" s="664"/>
      <c r="C469" s="774"/>
      <c r="D469" s="818"/>
      <c r="E469" s="819" t="s">
        <v>1195</v>
      </c>
      <c r="F469" s="820"/>
      <c r="G469" s="821">
        <f>+InputY!$G$3</f>
        <v>1995</v>
      </c>
      <c r="H469" s="821">
        <f>+G469+1</f>
        <v>1996</v>
      </c>
      <c r="I469" s="821">
        <f t="shared" ref="I469:O469" si="432">+H469+1</f>
        <v>1997</v>
      </c>
      <c r="J469" s="821">
        <f t="shared" si="432"/>
        <v>1998</v>
      </c>
      <c r="K469" s="821">
        <f>+J469+1</f>
        <v>1999</v>
      </c>
      <c r="L469" s="821">
        <f t="shared" si="432"/>
        <v>2000</v>
      </c>
      <c r="M469" s="821">
        <f t="shared" si="432"/>
        <v>2001</v>
      </c>
      <c r="N469" s="821">
        <f t="shared" si="432"/>
        <v>2002</v>
      </c>
      <c r="O469" s="821">
        <f t="shared" si="432"/>
        <v>2003</v>
      </c>
      <c r="P469" s="821">
        <f t="shared" ref="P469:V469" si="433">+O469+1</f>
        <v>2004</v>
      </c>
      <c r="Q469" s="821">
        <f t="shared" si="433"/>
        <v>2005</v>
      </c>
      <c r="R469" s="821">
        <f t="shared" si="433"/>
        <v>2006</v>
      </c>
      <c r="S469" s="821">
        <f>+R469+1</f>
        <v>2007</v>
      </c>
      <c r="T469" s="821">
        <f t="shared" si="433"/>
        <v>2008</v>
      </c>
      <c r="U469" s="821">
        <f t="shared" si="433"/>
        <v>2009</v>
      </c>
      <c r="V469" s="821">
        <f t="shared" si="433"/>
        <v>2010</v>
      </c>
      <c r="W469" s="821">
        <f t="shared" ref="W469:AE469" si="434">+V469+1</f>
        <v>2011</v>
      </c>
      <c r="X469" s="821">
        <f t="shared" si="434"/>
        <v>2012</v>
      </c>
      <c r="Y469" s="821">
        <f t="shared" si="434"/>
        <v>2013</v>
      </c>
      <c r="Z469" s="821">
        <f t="shared" si="434"/>
        <v>2014</v>
      </c>
      <c r="AA469" s="821">
        <f t="shared" si="434"/>
        <v>2015</v>
      </c>
      <c r="AB469" s="821">
        <f t="shared" si="434"/>
        <v>2016</v>
      </c>
      <c r="AC469" s="821">
        <f t="shared" si="434"/>
        <v>2017</v>
      </c>
      <c r="AD469" s="821">
        <f t="shared" si="434"/>
        <v>2018</v>
      </c>
      <c r="AE469" s="821">
        <f t="shared" si="434"/>
        <v>2019</v>
      </c>
    </row>
    <row r="470" spans="1:32" ht="12.75" customHeight="1">
      <c r="A470" s="664"/>
      <c r="B470" s="664"/>
      <c r="C470" s="822" t="s">
        <v>1767</v>
      </c>
      <c r="D470" s="823" t="s">
        <v>685</v>
      </c>
      <c r="E470" s="824" t="s">
        <v>1323</v>
      </c>
      <c r="F470" s="825" t="s">
        <v>1196</v>
      </c>
      <c r="G470" s="838">
        <f>+G458/'VVP2'!G$341</f>
        <v>8.8427760598517088E-3</v>
      </c>
      <c r="H470" s="838">
        <f>+H458/'VVP2'!H$341</f>
        <v>-8.093348362955062E-3</v>
      </c>
      <c r="I470" s="838">
        <f>+I458/'VVP2'!I$341</f>
        <v>1.8476093323803285E-2</v>
      </c>
      <c r="J470" s="838">
        <f>+J458/'VVP2'!J$341</f>
        <v>4.6900773769847026E-2</v>
      </c>
      <c r="K470" s="838">
        <f>+K458/'VVP2'!K$341</f>
        <v>2.8524836218777737E-2</v>
      </c>
      <c r="L470" s="838">
        <f>+L458/'VVP2'!L$341</f>
        <v>4.2468757901225083E-2</v>
      </c>
      <c r="M470" s="838">
        <f>+M458/'VVP2'!M$341</f>
        <v>2.9799528268655569E-2</v>
      </c>
      <c r="N470" s="838">
        <f>+N458/'VVP2'!N$341</f>
        <v>2.9211619130689984E-2</v>
      </c>
      <c r="O470" s="838">
        <f>+O458/'VVP2'!O$341</f>
        <v>1.2571032271688872E-2</v>
      </c>
      <c r="P470" s="838">
        <f>+P458/'VVP2'!P$341</f>
        <v>5.5009069116095551E-2</v>
      </c>
      <c r="Q470" s="838">
        <f>+Q458/'VVP2'!Q$341</f>
        <v>2.7307420360102488E-2</v>
      </c>
      <c r="R470" s="838">
        <f>+R458/'VVP2'!R$341</f>
        <v>3.4938066827856995E-2</v>
      </c>
      <c r="S470" s="838">
        <f>+S458/'VVP2'!S$341</f>
        <v>-2.4786971095009366E-2</v>
      </c>
      <c r="T470" s="2909">
        <f>+T458/'VVP2'!T$341</f>
        <v>-3.3123034180035111E-3</v>
      </c>
      <c r="U470" s="2909">
        <f>+U458/'VVP2'!U$341</f>
        <v>3.6641789326975427E-2</v>
      </c>
      <c r="V470" s="2909">
        <f>+V458/'VVP2'!V$341</f>
        <v>5.4095489955279727E-2</v>
      </c>
      <c r="W470" s="2909">
        <f>+W458/'VVP2'!W$341</f>
        <v>2.9801133929245188E-2</v>
      </c>
      <c r="X470" s="2909">
        <f>+X458/'VVP2'!X$341</f>
        <v>1.1296466885447323E-2</v>
      </c>
      <c r="Y470" s="2909">
        <f>+Y458/'VVP2'!Y$341</f>
        <v>1.5319089292942022E-2</v>
      </c>
      <c r="Z470" s="2909">
        <f>+Z458/'VVP2'!Z$341</f>
        <v>9.9293704817409617E-4</v>
      </c>
      <c r="AA470" s="2909">
        <f>+AA458/'VVP2'!AA$341</f>
        <v>-1.6031374468935671E-6</v>
      </c>
      <c r="AB470" s="2909">
        <f>+AB458/'VVP2'!AB$341</f>
        <v>-3.0996950475220848E-3</v>
      </c>
      <c r="AC470" s="2909">
        <f ca="1">+AC458/'VVP2'!AC$341</f>
        <v>-8.8890609336233252E-3</v>
      </c>
      <c r="AD470" s="2909">
        <f ca="1">+AD458/'VVP2'!AD$341</f>
        <v>-1.1739594230437661E-2</v>
      </c>
      <c r="AE470" s="2909">
        <f ca="1">+AE458/'VVP2'!AE$341</f>
        <v>-1.4002324636286839E-2</v>
      </c>
    </row>
    <row r="471" spans="1:32" ht="12.75" customHeight="1">
      <c r="A471" s="664"/>
      <c r="B471" s="664"/>
      <c r="C471" s="826" t="s">
        <v>1767</v>
      </c>
      <c r="D471" s="674" t="s">
        <v>686</v>
      </c>
      <c r="E471" s="783" t="s">
        <v>1323</v>
      </c>
      <c r="F471" s="704" t="s">
        <v>1605</v>
      </c>
      <c r="G471" s="839">
        <f>+G459/'VVP2'!G$341</f>
        <v>9.6412789956378572E-2</v>
      </c>
      <c r="H471" s="839">
        <f>+H459/'VVP2'!H$341</f>
        <v>0.11552631985299787</v>
      </c>
      <c r="I471" s="839">
        <f>+I459/'VVP2'!I$341</f>
        <v>9.7207177546881116E-2</v>
      </c>
      <c r="J471" s="839">
        <f>+J459/'VVP2'!J$341</f>
        <v>7.4289891844238481E-2</v>
      </c>
      <c r="K471" s="839">
        <f>+K459/'VVP2'!K$341</f>
        <v>7.2110150345183505E-2</v>
      </c>
      <c r="L471" s="839">
        <f>+L459/'VVP2'!L$341</f>
        <v>7.0769543797285797E-2</v>
      </c>
      <c r="M471" s="839">
        <f>+M459/'VVP2'!M$341</f>
        <v>0.10511098649337912</v>
      </c>
      <c r="N471" s="839">
        <f>+N459/'VVP2'!N$341</f>
        <v>0.10762147772324605</v>
      </c>
      <c r="O471" s="839">
        <f>+O459/'VVP2'!O$341</f>
        <v>0.11866168960817067</v>
      </c>
      <c r="P471" s="839">
        <f>+P459/'VVP2'!P$341</f>
        <v>7.4765376373801054E-2</v>
      </c>
      <c r="Q471" s="839">
        <f>+Q459/'VVP2'!Q$341</f>
        <v>0.11497951419722083</v>
      </c>
      <c r="R471" s="839">
        <f>+R459/'VVP2'!R$341</f>
        <v>9.6502870944940769E-2</v>
      </c>
      <c r="S471" s="839">
        <f>+S459/'VVP2'!S$341</f>
        <v>0.15623439687665508</v>
      </c>
      <c r="T471" s="2910">
        <f>+T459/'VVP2'!T$341</f>
        <v>0.13323014116590634</v>
      </c>
      <c r="U471" s="2910">
        <f>+U459/'VVP2'!U$341</f>
        <v>0.16543826912524381</v>
      </c>
      <c r="V471" s="2910">
        <f>+V459/'VVP2'!V$341</f>
        <v>0.16363834868840274</v>
      </c>
      <c r="W471" s="2910">
        <f>+W459/'VVP2'!W$341</f>
        <v>0.17161742869457455</v>
      </c>
      <c r="X471" s="2910">
        <f>+X459/'VVP2'!X$341</f>
        <v>0.18307670994300188</v>
      </c>
      <c r="Y471" s="2910">
        <f>+Y459/'VVP2'!Y$341</f>
        <v>0.19305027367264826</v>
      </c>
      <c r="Z471" s="2910">
        <f>+Z459/'VVP2'!Z$341</f>
        <v>0.21531174012012602</v>
      </c>
      <c r="AA471" s="2910">
        <f>+AA459/'VVP2'!AA$341</f>
        <v>0.16274810889898919</v>
      </c>
      <c r="AB471" s="2910">
        <f>+AB459/'VVP2'!AB$341</f>
        <v>0.1400159096645523</v>
      </c>
      <c r="AC471" s="2910">
        <f ca="1">+AC459/'VVP2'!AC$341</f>
        <v>0.14961730687190969</v>
      </c>
      <c r="AD471" s="2910">
        <f ca="1">+AD459/'VVP2'!AD$341</f>
        <v>0.15272196785034911</v>
      </c>
      <c r="AE471" s="2910">
        <f ca="1">+AE459/'VVP2'!AE$341</f>
        <v>0.15679644646822813</v>
      </c>
    </row>
    <row r="472" spans="1:32" ht="12.75" customHeight="1">
      <c r="A472" s="664"/>
      <c r="B472" s="664"/>
      <c r="C472" s="827" t="s">
        <v>1767</v>
      </c>
      <c r="D472" s="828" t="s">
        <v>687</v>
      </c>
      <c r="E472" s="829" t="s">
        <v>1323</v>
      </c>
      <c r="F472" s="830" t="s">
        <v>1606</v>
      </c>
      <c r="G472" s="840">
        <f>+G460/'VVP2'!G$341</f>
        <v>3.0483493527618609E-2</v>
      </c>
      <c r="H472" s="840">
        <f>+H460/'VVP2'!H$341</f>
        <v>1.6967001744877246E-2</v>
      </c>
      <c r="I472" s="840">
        <f>+I460/'VVP2'!I$341</f>
        <v>3.3093547270038222E-2</v>
      </c>
      <c r="J472" s="840">
        <f>+J460/'VVP2'!J$341</f>
        <v>6.681021904536625E-3</v>
      </c>
      <c r="K472" s="840">
        <f>+K460/'VVP2'!K$341</f>
        <v>5.9526057104738617E-3</v>
      </c>
      <c r="L472" s="840">
        <f>+L460/'VVP2'!L$341</f>
        <v>1.5856309535030231E-2</v>
      </c>
      <c r="M472" s="840">
        <f>+M460/'VVP2'!M$341</f>
        <v>7.8488036228065629E-3</v>
      </c>
      <c r="N472" s="840">
        <f>+N460/'VVP2'!N$341</f>
        <v>1.7488950590606504E-2</v>
      </c>
      <c r="O472" s="840">
        <f>+O460/'VVP2'!O$341</f>
        <v>1.8993333525312458E-2</v>
      </c>
      <c r="P472" s="840">
        <f>+P460/'VVP2'!P$341</f>
        <v>2.3067576429509858E-2</v>
      </c>
      <c r="Q472" s="840">
        <f>+Q460/'VVP2'!Q$341</f>
        <v>2.7824029215778225E-2</v>
      </c>
      <c r="R472" s="840">
        <f>+R460/'VVP2'!R$341</f>
        <v>3.3787695428166536E-2</v>
      </c>
      <c r="S472" s="840">
        <f>+S460/'VVP2'!S$341</f>
        <v>4.0441918331057237E-2</v>
      </c>
      <c r="T472" s="2911">
        <f>+T460/'VVP2'!T$341</f>
        <v>1.7373230226802528E-2</v>
      </c>
      <c r="U472" s="2911">
        <f>+U460/'VVP2'!U$341</f>
        <v>-5.7028040283915019E-2</v>
      </c>
      <c r="V472" s="2911">
        <f>+V460/'VVP2'!V$341</f>
        <v>-4.0894245184935153E-2</v>
      </c>
      <c r="W472" s="2911">
        <f>+W460/'VVP2'!W$341</f>
        <v>-2.2547491120794214E-2</v>
      </c>
      <c r="X472" s="2911">
        <f>+X460/'VVP2'!X$341</f>
        <v>-1.010450851133245E-2</v>
      </c>
      <c r="Y472" s="2911">
        <f>+Y460/'VVP2'!Y$341</f>
        <v>4.8942137578605177E-4</v>
      </c>
      <c r="Z472" s="2911">
        <f>+Z460/'VVP2'!Z$341</f>
        <v>1.377149813991802E-2</v>
      </c>
      <c r="AA472" s="2911">
        <f>+AA460/'VVP2'!AA$341</f>
        <v>2.2850586788383986E-2</v>
      </c>
      <c r="AB472" s="2911">
        <f>+AB460/'VVP2'!AB$341</f>
        <v>2.943339664097128E-2</v>
      </c>
      <c r="AC472" s="2911">
        <f ca="1">+AC460/'VVP2'!AC$341</f>
        <v>3.7553004207470264E-2</v>
      </c>
      <c r="AD472" s="2911">
        <f ca="1">+AD460/'VVP2'!AD$341</f>
        <v>3.4549570791291701E-2</v>
      </c>
      <c r="AE472" s="2911">
        <f ca="1">+AE460/'VVP2'!AE$341</f>
        <v>3.4350748586460755E-2</v>
      </c>
    </row>
    <row r="473" spans="1:32" ht="12.75" customHeight="1">
      <c r="A473" s="664"/>
      <c r="B473" s="664"/>
      <c r="C473" s="774" t="s">
        <v>1769</v>
      </c>
      <c r="D473" s="806"/>
      <c r="E473" s="807" t="s">
        <v>1323</v>
      </c>
      <c r="F473" s="808" t="s">
        <v>1607</v>
      </c>
      <c r="G473" s="841">
        <f>+G461/'VVP2'!G$341</f>
        <v>0.13573905954384888</v>
      </c>
      <c r="H473" s="841">
        <f>+H461/'VVP2'!H$341</f>
        <v>0.12439997323492005</v>
      </c>
      <c r="I473" s="841">
        <f>+I461/'VVP2'!I$341</f>
        <v>0.14877681814072263</v>
      </c>
      <c r="J473" s="841">
        <f>+J461/'VVP2'!J$341</f>
        <v>0.12787168751862213</v>
      </c>
      <c r="K473" s="841">
        <f>+K461/'VVP2'!K$341</f>
        <v>0.10658759227443509</v>
      </c>
      <c r="L473" s="841">
        <f>+L461/'VVP2'!L$341</f>
        <v>0.1290946112335411</v>
      </c>
      <c r="M473" s="841">
        <f>+M461/'VVP2'!M$341</f>
        <v>0.14275931838484127</v>
      </c>
      <c r="N473" s="841">
        <f>+N461/'VVP2'!N$341</f>
        <v>0.15432204744454256</v>
      </c>
      <c r="O473" s="841">
        <f>+O461/'VVP2'!O$341</f>
        <v>0.150226055405172</v>
      </c>
      <c r="P473" s="841">
        <f>+P461/'VVP2'!P$341</f>
        <v>0.15284202191940649</v>
      </c>
      <c r="Q473" s="841">
        <f>+Q461/'VVP2'!Q$341</f>
        <v>0.17011096377310153</v>
      </c>
      <c r="R473" s="841">
        <f>+R461/'VVP2'!R$341</f>
        <v>0.16522863320096429</v>
      </c>
      <c r="S473" s="841">
        <f>+S461/'VVP2'!S$341</f>
        <v>0.17188934411270296</v>
      </c>
      <c r="T473" s="2912">
        <f>+T461/'VVP2'!T$341</f>
        <v>0.14729106797470534</v>
      </c>
      <c r="U473" s="2912">
        <f>+U461/'VVP2'!U$341</f>
        <v>0.14505201816830421</v>
      </c>
      <c r="V473" s="2912">
        <f>+V461/'VVP2'!V$341</f>
        <v>0.17683959345874734</v>
      </c>
      <c r="W473" s="2912">
        <f>+W461/'VVP2'!W$341</f>
        <v>0.17887107150302553</v>
      </c>
      <c r="X473" s="2912">
        <f>+X461/'VVP2'!X$341</f>
        <v>0.18426866831711675</v>
      </c>
      <c r="Y473" s="2912">
        <f>+Y461/'VVP2'!Y$341</f>
        <v>0.20885878434137634</v>
      </c>
      <c r="Z473" s="2912">
        <f>+Z461/'VVP2'!Z$341</f>
        <v>0.23007617530821811</v>
      </c>
      <c r="AA473" s="2912">
        <f>+AA461/'VVP2'!AA$341</f>
        <v>0.18559709254992629</v>
      </c>
      <c r="AB473" s="2912">
        <f>+AB461/'VVP2'!AB$341</f>
        <v>0.16634961125800149</v>
      </c>
      <c r="AC473" s="2912">
        <f ca="1">+AC461/'VVP2'!AC$341</f>
        <v>0.17828125014575663</v>
      </c>
      <c r="AD473" s="2912">
        <f ca="1">+AD461/'VVP2'!AD$341</f>
        <v>0.17553194441120315</v>
      </c>
      <c r="AE473" s="2912">
        <f ca="1">+AE461/'VVP2'!AE$341</f>
        <v>0.17714487041840202</v>
      </c>
    </row>
    <row r="474" spans="1:32" ht="12.75" customHeight="1">
      <c r="A474" s="664"/>
      <c r="B474" s="664"/>
      <c r="C474" s="774"/>
      <c r="E474" s="786"/>
      <c r="F474" s="787"/>
      <c r="G474" s="703"/>
      <c r="H474" s="788"/>
      <c r="I474" s="703"/>
      <c r="J474" s="703"/>
      <c r="K474" s="703"/>
      <c r="L474" s="703"/>
      <c r="M474" s="703"/>
      <c r="N474" s="703"/>
      <c r="O474" s="703"/>
      <c r="P474" s="703"/>
      <c r="Q474" s="703"/>
      <c r="R474" s="703"/>
      <c r="S474" s="703"/>
      <c r="T474" s="845"/>
      <c r="U474" s="845"/>
      <c r="V474" s="845"/>
      <c r="W474" s="845"/>
      <c r="X474" s="845"/>
      <c r="Y474" s="845"/>
      <c r="Z474" s="845"/>
      <c r="AA474" s="845"/>
      <c r="AB474" s="845"/>
      <c r="AC474" s="845"/>
      <c r="AD474" s="845"/>
      <c r="AE474" s="845"/>
    </row>
    <row r="475" spans="1:32" ht="12.75" customHeight="1">
      <c r="A475" s="664"/>
      <c r="B475" s="664"/>
      <c r="C475" s="774"/>
      <c r="D475" s="818"/>
      <c r="E475" s="815" t="s">
        <v>1197</v>
      </c>
      <c r="F475" s="816"/>
      <c r="G475" s="817">
        <f>+InputY!$G$3</f>
        <v>1995</v>
      </c>
      <c r="H475" s="817">
        <f>+G475+1</f>
        <v>1996</v>
      </c>
      <c r="I475" s="817">
        <f t="shared" ref="I475:O475" si="435">+H475+1</f>
        <v>1997</v>
      </c>
      <c r="J475" s="817">
        <f t="shared" si="435"/>
        <v>1998</v>
      </c>
      <c r="K475" s="817">
        <f>+J475+1</f>
        <v>1999</v>
      </c>
      <c r="L475" s="817">
        <f t="shared" si="435"/>
        <v>2000</v>
      </c>
      <c r="M475" s="817">
        <f t="shared" si="435"/>
        <v>2001</v>
      </c>
      <c r="N475" s="817">
        <f t="shared" si="435"/>
        <v>2002</v>
      </c>
      <c r="O475" s="817">
        <f t="shared" si="435"/>
        <v>2003</v>
      </c>
      <c r="P475" s="817">
        <f t="shared" ref="P475:V475" si="436">+O475+1</f>
        <v>2004</v>
      </c>
      <c r="Q475" s="817">
        <f t="shared" si="436"/>
        <v>2005</v>
      </c>
      <c r="R475" s="817">
        <f t="shared" si="436"/>
        <v>2006</v>
      </c>
      <c r="S475" s="817">
        <f>+R475+1</f>
        <v>2007</v>
      </c>
      <c r="T475" s="817">
        <f t="shared" si="436"/>
        <v>2008</v>
      </c>
      <c r="U475" s="817">
        <f t="shared" si="436"/>
        <v>2009</v>
      </c>
      <c r="V475" s="817">
        <f t="shared" si="436"/>
        <v>2010</v>
      </c>
      <c r="W475" s="817">
        <f t="shared" ref="W475:AE475" si="437">+V475+1</f>
        <v>2011</v>
      </c>
      <c r="X475" s="817">
        <f t="shared" si="437"/>
        <v>2012</v>
      </c>
      <c r="Y475" s="817">
        <f t="shared" si="437"/>
        <v>2013</v>
      </c>
      <c r="Z475" s="817">
        <f t="shared" si="437"/>
        <v>2014</v>
      </c>
      <c r="AA475" s="817">
        <f t="shared" si="437"/>
        <v>2015</v>
      </c>
      <c r="AB475" s="817">
        <f t="shared" si="437"/>
        <v>2016</v>
      </c>
      <c r="AC475" s="817">
        <f t="shared" si="437"/>
        <v>2017</v>
      </c>
      <c r="AD475" s="817">
        <f t="shared" si="437"/>
        <v>2018</v>
      </c>
      <c r="AE475" s="817">
        <f t="shared" si="437"/>
        <v>2019</v>
      </c>
    </row>
    <row r="476" spans="1:32" ht="12.75" customHeight="1">
      <c r="A476" s="664"/>
      <c r="B476" s="664"/>
      <c r="C476" s="810" t="s">
        <v>1767</v>
      </c>
      <c r="D476" s="811" t="s">
        <v>685</v>
      </c>
      <c r="E476" s="1507" t="s">
        <v>1198</v>
      </c>
      <c r="F476" s="1508" t="s">
        <v>91</v>
      </c>
      <c r="G476" s="1545">
        <f t="shared" ref="G476:Q476" si="438">+G458/(G375+G396)</f>
        <v>1.3649421002932335E-2</v>
      </c>
      <c r="H476" s="1545">
        <f t="shared" si="438"/>
        <v>-1.277493240432611E-2</v>
      </c>
      <c r="I476" s="1545">
        <f t="shared" si="438"/>
        <v>2.9237650730063926E-2</v>
      </c>
      <c r="J476" s="1545">
        <f t="shared" si="438"/>
        <v>7.1197999545350901E-2</v>
      </c>
      <c r="K476" s="1545">
        <f t="shared" si="438"/>
        <v>4.2053636043124093E-2</v>
      </c>
      <c r="L476" s="1545">
        <f t="shared" si="438"/>
        <v>6.1312451266898563E-2</v>
      </c>
      <c r="M476" s="1545">
        <f t="shared" si="438"/>
        <v>4.3643120835491156E-2</v>
      </c>
      <c r="N476" s="1545">
        <f t="shared" si="438"/>
        <v>4.3339676962865496E-2</v>
      </c>
      <c r="O476" s="1545">
        <f t="shared" si="438"/>
        <v>1.9136911937692291E-2</v>
      </c>
      <c r="P476" s="1545">
        <f t="shared" si="438"/>
        <v>7.7816870819216274E-2</v>
      </c>
      <c r="Q476" s="1545">
        <f t="shared" si="438"/>
        <v>4.0512552449034268E-2</v>
      </c>
      <c r="R476" s="1545">
        <f t="shared" ref="R476:W476" si="439">+R458/(R375+R396)</f>
        <v>5.1450909784773013E-2</v>
      </c>
      <c r="S476" s="1545">
        <f t="shared" si="439"/>
        <v>-4.0574878894839711E-2</v>
      </c>
      <c r="T476" s="2919">
        <f t="shared" si="439"/>
        <v>-5.11995491792234E-3</v>
      </c>
      <c r="U476" s="2919">
        <f t="shared" si="439"/>
        <v>5.1077690940999551E-2</v>
      </c>
      <c r="V476" s="2919">
        <f t="shared" si="439"/>
        <v>7.7905281704433768E-2</v>
      </c>
      <c r="W476" s="2919">
        <f t="shared" si="439"/>
        <v>4.5518900521540243E-2</v>
      </c>
      <c r="X476" s="2919">
        <f t="shared" ref="X476:AC476" si="440">+X458/(X375+X396)</f>
        <v>1.781451567140193E-2</v>
      </c>
      <c r="Y476" s="2919">
        <f t="shared" si="440"/>
        <v>2.3890073987632772E-2</v>
      </c>
      <c r="Z476" s="2919">
        <f t="shared" si="440"/>
        <v>1.5916272778002769E-3</v>
      </c>
      <c r="AA476" s="2919">
        <f t="shared" si="440"/>
        <v>-2.5560651592676217E-6</v>
      </c>
      <c r="AB476" s="2919">
        <f t="shared" si="440"/>
        <v>-4.8441043862867787E-3</v>
      </c>
      <c r="AC476" s="2919">
        <f t="shared" si="440"/>
        <v>-1.4052035394385579E-2</v>
      </c>
      <c r="AD476" s="2919">
        <f ca="1">+AD458/(AD375+AD396)</f>
        <v>-1.8576057587520282E-2</v>
      </c>
      <c r="AE476" s="2919">
        <f ca="1">+AE458/(AE375+AE396)</f>
        <v>-2.2236552851675306E-2</v>
      </c>
    </row>
    <row r="477" spans="1:32" ht="30" customHeight="1">
      <c r="A477" s="664"/>
      <c r="B477" s="664"/>
      <c r="C477" s="774"/>
      <c r="AB477" s="2221"/>
      <c r="AC477" s="2221"/>
      <c r="AD477" s="2221"/>
      <c r="AE477" s="2221"/>
    </row>
    <row r="478" spans="1:32" ht="30" customHeight="1">
      <c r="T478" s="2274">
        <f>T487+T327</f>
        <v>0.69205000000000005</v>
      </c>
      <c r="U478" s="2274">
        <f>U487+U327</f>
        <v>0.73157000000000005</v>
      </c>
      <c r="V478" s="2274">
        <f t="shared" ref="V478:AA478" si="441">V487+V328</f>
        <v>0.98746999999999996</v>
      </c>
      <c r="W478" s="2274">
        <f t="shared" si="441"/>
        <v>-0.20561000000000018</v>
      </c>
      <c r="X478" s="2274">
        <f t="shared" si="441"/>
        <v>1.0214799999999999</v>
      </c>
      <c r="Y478" s="2274">
        <f t="shared" si="441"/>
        <v>0.73714999999999986</v>
      </c>
      <c r="Z478" s="2274">
        <f t="shared" si="441"/>
        <v>0.94808000000000003</v>
      </c>
      <c r="AA478" s="2274">
        <f t="shared" si="441"/>
        <v>0.94954999999999989</v>
      </c>
      <c r="AB478" s="2274">
        <f>AB487+AB328</f>
        <v>0.58617999999999992</v>
      </c>
      <c r="AC478" s="2274">
        <f>AC487+AC328</f>
        <v>0.53316420799999986</v>
      </c>
      <c r="AD478" s="2274">
        <f>AD487+AD328</f>
        <v>0.70020096467999993</v>
      </c>
      <c r="AE478" s="2274">
        <f>AE487+AE328</f>
        <v>0.7528965839177999</v>
      </c>
    </row>
    <row r="479" spans="1:32" ht="22.5" customHeight="1">
      <c r="A479" s="574"/>
      <c r="B479" s="574"/>
      <c r="C479" s="3752" t="s">
        <v>1324</v>
      </c>
      <c r="D479" s="3752"/>
      <c r="E479" s="3752"/>
      <c r="F479" s="3752"/>
      <c r="R479" s="2254"/>
      <c r="S479" s="2254"/>
      <c r="T479" s="2254"/>
      <c r="U479" s="2254"/>
      <c r="V479" s="2254"/>
      <c r="W479" s="2254"/>
      <c r="X479" s="2254"/>
      <c r="Y479" s="2254"/>
      <c r="Z479" s="2254"/>
      <c r="AA479" s="2254"/>
      <c r="AB479" s="2254">
        <f>0.1+0.025</f>
        <v>0.125</v>
      </c>
      <c r="AC479" s="2254"/>
      <c r="AD479" s="2254"/>
      <c r="AE479" s="2254"/>
      <c r="AF479" s="3265">
        <f>+AA484-0.105</f>
        <v>0.60249999999999992</v>
      </c>
    </row>
    <row r="480" spans="1:32" ht="12.75" customHeight="1">
      <c r="A480" s="664"/>
      <c r="B480" s="664"/>
      <c r="C480" s="774"/>
      <c r="R480" s="2270"/>
      <c r="S480" s="2254"/>
      <c r="X480" s="3201"/>
      <c r="Y480" s="3202"/>
      <c r="AB480" s="2221"/>
      <c r="AC480" s="3746"/>
      <c r="AD480" s="2221"/>
      <c r="AE480" s="2221"/>
    </row>
    <row r="481" spans="1:113" ht="12.75" customHeight="1">
      <c r="A481" s="664"/>
      <c r="B481" s="664"/>
      <c r="C481" s="774"/>
      <c r="D481" s="775"/>
      <c r="E481" s="776" t="s">
        <v>1384</v>
      </c>
      <c r="F481" s="777"/>
      <c r="G481" s="778">
        <f>+InputY!$G$3</f>
        <v>1995</v>
      </c>
      <c r="H481" s="778">
        <f>+G481+1</f>
        <v>1996</v>
      </c>
      <c r="I481" s="778">
        <f t="shared" ref="I481:O481" si="442">+H481+1</f>
        <v>1997</v>
      </c>
      <c r="J481" s="778">
        <f t="shared" si="442"/>
        <v>1998</v>
      </c>
      <c r="K481" s="778">
        <f>+J481+1</f>
        <v>1999</v>
      </c>
      <c r="L481" s="778">
        <f t="shared" si="442"/>
        <v>2000</v>
      </c>
      <c r="M481" s="778">
        <f t="shared" si="442"/>
        <v>2001</v>
      </c>
      <c r="N481" s="778">
        <f t="shared" si="442"/>
        <v>2002</v>
      </c>
      <c r="O481" s="778">
        <f t="shared" si="442"/>
        <v>2003</v>
      </c>
      <c r="P481" s="778">
        <f t="shared" ref="P481:W481" si="443">+O481+1</f>
        <v>2004</v>
      </c>
      <c r="Q481" s="778">
        <f t="shared" si="443"/>
        <v>2005</v>
      </c>
      <c r="R481" s="778">
        <f t="shared" si="443"/>
        <v>2006</v>
      </c>
      <c r="S481" s="778">
        <f t="shared" si="443"/>
        <v>2007</v>
      </c>
      <c r="T481" s="2222">
        <f t="shared" si="443"/>
        <v>2008</v>
      </c>
      <c r="U481" s="2222">
        <f t="shared" si="443"/>
        <v>2009</v>
      </c>
      <c r="V481" s="2222">
        <f t="shared" si="443"/>
        <v>2010</v>
      </c>
      <c r="W481" s="2222">
        <f t="shared" si="443"/>
        <v>2011</v>
      </c>
      <c r="X481" s="2222">
        <f t="shared" ref="X481:AE481" si="444">+W481+1</f>
        <v>2012</v>
      </c>
      <c r="Y481" s="2222">
        <f t="shared" si="444"/>
        <v>2013</v>
      </c>
      <c r="Z481" s="2222">
        <f t="shared" si="444"/>
        <v>2014</v>
      </c>
      <c r="AA481" s="2222">
        <f t="shared" si="444"/>
        <v>2015</v>
      </c>
      <c r="AB481" s="2222">
        <f t="shared" si="444"/>
        <v>2016</v>
      </c>
      <c r="AC481" s="2222">
        <f t="shared" si="444"/>
        <v>2017</v>
      </c>
      <c r="AD481" s="2222">
        <f t="shared" si="444"/>
        <v>2018</v>
      </c>
      <c r="AE481" s="2222">
        <f t="shared" si="444"/>
        <v>2019</v>
      </c>
    </row>
    <row r="482" spans="1:113" ht="12.75" customHeight="1">
      <c r="A482" s="664">
        <f>+ROW(InputY!A167)</f>
        <v>167</v>
      </c>
      <c r="B482" s="664">
        <v>130</v>
      </c>
      <c r="C482" s="779" t="s">
        <v>1767</v>
      </c>
      <c r="D482" s="668" t="s">
        <v>687</v>
      </c>
      <c r="E482" s="700" t="s">
        <v>1476</v>
      </c>
      <c r="F482" s="701" t="str">
        <f>+InputY!B167</f>
        <v>YACapTax</v>
      </c>
      <c r="G482" s="780">
        <f>+InputY!G167/1000</f>
        <v>0</v>
      </c>
      <c r="H482" s="780">
        <f>+InputY!H167/1000</f>
        <v>0</v>
      </c>
      <c r="I482" s="780">
        <f>+InputY!I167/1000</f>
        <v>3.0000000000000001E-5</v>
      </c>
      <c r="J482" s="780">
        <f>+InputY!J167/1000</f>
        <v>2.0000000000000001E-4</v>
      </c>
      <c r="K482" s="780">
        <f>+InputY!K167/1000</f>
        <v>6.2E-4</v>
      </c>
      <c r="L482" s="780">
        <f>+InputY!L167/1000</f>
        <v>5.2999999999999998E-4</v>
      </c>
      <c r="M482" s="780">
        <f>+InputY!M167/1000</f>
        <v>6.4999999999999997E-4</v>
      </c>
      <c r="N482" s="780">
        <f>+InputY!N167/1000</f>
        <v>6.6E-4</v>
      </c>
      <c r="O482" s="780">
        <f>+InputY!O167/1000</f>
        <v>3.2000000000000003E-4</v>
      </c>
      <c r="P482" s="780">
        <f>+InputY!P167/1000</f>
        <v>5.0000000000000001E-4</v>
      </c>
      <c r="Q482" s="780">
        <f>+InputY!Q167/1000</f>
        <v>6.7000000000000002E-4</v>
      </c>
      <c r="R482" s="780">
        <f>+InputY!R167/1000</f>
        <v>1.2099999999999999E-3</v>
      </c>
      <c r="S482" s="780">
        <f>+InputY!S167/1000</f>
        <v>1.82E-3</v>
      </c>
      <c r="T482" s="780">
        <f>+InputY!T167/1000</f>
        <v>1.7600000000000001E-3</v>
      </c>
      <c r="U482" s="780">
        <f>+InputY!U167/1000</f>
        <v>1.7800000000000001E-3</v>
      </c>
      <c r="V482" s="780">
        <f>+InputY!V167/1000</f>
        <v>1.1000000000000001E-3</v>
      </c>
      <c r="W482" s="780">
        <f>+InputY!W167/1000</f>
        <v>1E-3</v>
      </c>
      <c r="X482" s="780">
        <f>+InputY!X167/1000</f>
        <v>1.1999999999999999E-3</v>
      </c>
      <c r="Y482" s="780">
        <f>+InputY!Y167/1000</f>
        <v>1.2800000000000001E-3</v>
      </c>
      <c r="Z482" s="780">
        <f>+InputY!Z167/1000</f>
        <v>1.33E-3</v>
      </c>
      <c r="AA482" s="780">
        <f>+InputY!AA167/1000</f>
        <v>1.4300000000000001E-3</v>
      </c>
      <c r="AB482" s="780">
        <f>+InputY!AB167/1000</f>
        <v>1.47E-3</v>
      </c>
      <c r="AC482" s="2873">
        <f t="shared" ref="AC482:AE484" si="445">+AB482*(1+AC494/100)</f>
        <v>1.47E-3</v>
      </c>
      <c r="AD482" s="2873">
        <f t="shared" si="445"/>
        <v>1.47E-3</v>
      </c>
      <c r="AE482" s="2873">
        <f t="shared" si="445"/>
        <v>1.47E-3</v>
      </c>
    </row>
    <row r="483" spans="1:113" ht="12.75" customHeight="1">
      <c r="A483" s="664">
        <f>+ROW(InputY!A169)</f>
        <v>169</v>
      </c>
      <c r="B483" s="664">
        <v>148</v>
      </c>
      <c r="C483" s="782" t="s">
        <v>401</v>
      </c>
      <c r="D483" s="1041" t="s">
        <v>687</v>
      </c>
      <c r="E483" s="1042" t="s">
        <v>1116</v>
      </c>
      <c r="F483" s="704"/>
      <c r="G483" s="706">
        <f>+InputY!G169/1000</f>
        <v>0</v>
      </c>
      <c r="H483" s="706">
        <f>+InputY!H169/1000</f>
        <v>0</v>
      </c>
      <c r="I483" s="706">
        <f>+InputY!I169/1000</f>
        <v>0</v>
      </c>
      <c r="J483" s="706">
        <f>+InputY!J169/1000</f>
        <v>0</v>
      </c>
      <c r="K483" s="706">
        <f>+InputY!K169/1000</f>
        <v>0</v>
      </c>
      <c r="L483" s="706">
        <f>+InputY!L169/1000</f>
        <v>3.8509999999999996E-2</v>
      </c>
      <c r="M483" s="706">
        <f>+InputY!M169/1000</f>
        <v>4.5679999999999998E-2</v>
      </c>
      <c r="N483" s="706">
        <f>+InputY!N169/1000</f>
        <v>2.674E-2</v>
      </c>
      <c r="O483" s="706">
        <f>+InputY!O169/1000</f>
        <v>1.4320000000000001E-2</v>
      </c>
      <c r="P483" s="706">
        <f>+InputY!P169/1000</f>
        <v>1.1990000000000001E-2</v>
      </c>
      <c r="Q483" s="706">
        <f>+InputY!Q169/1000</f>
        <v>9.8000000000000014E-3</v>
      </c>
      <c r="R483" s="706">
        <f>+InputY!R169/1000</f>
        <v>1.498E-2</v>
      </c>
      <c r="S483" s="706">
        <f>+InputY!S169/1000</f>
        <v>8.8999999999999999E-3</v>
      </c>
      <c r="T483" s="706">
        <f>+InputY!T169/1000</f>
        <v>1.8670000000000003E-2</v>
      </c>
      <c r="U483" s="706">
        <f>+InputY!U169/1000</f>
        <v>4.725E-2</v>
      </c>
      <c r="V483" s="706">
        <f>+InputY!V169/1000</f>
        <v>3.1949999999999999E-2</v>
      </c>
      <c r="W483" s="706">
        <f>+InputY!W169/1000</f>
        <v>1.5939999999999999E-2</v>
      </c>
      <c r="X483" s="706">
        <f>+InputY!X169/1000</f>
        <v>1.4119999999999999E-2</v>
      </c>
      <c r="Y483" s="706">
        <f>+InputY!Y169/1000</f>
        <v>1.7410000000000002E-2</v>
      </c>
      <c r="Z483" s="706">
        <f>+InputY!Z169/1000</f>
        <v>1.5140000000000001E-2</v>
      </c>
      <c r="AA483" s="706">
        <f>+InputY!AA169/1000</f>
        <v>1.763E-2</v>
      </c>
      <c r="AB483" s="706">
        <f>+InputY!AB169/1000</f>
        <v>1.421E-2</v>
      </c>
      <c r="AC483" s="2217">
        <f t="shared" si="445"/>
        <v>1.421E-2</v>
      </c>
      <c r="AD483" s="2217">
        <f t="shared" si="445"/>
        <v>1.421E-2</v>
      </c>
      <c r="AE483" s="2217">
        <f t="shared" si="445"/>
        <v>1.421E-2</v>
      </c>
      <c r="AF483" s="3382"/>
      <c r="AG483" s="3382"/>
      <c r="AH483" s="3382"/>
    </row>
    <row r="484" spans="1:113" ht="12.75" customHeight="1">
      <c r="B484" s="664"/>
      <c r="C484" s="782" t="s">
        <v>1767</v>
      </c>
      <c r="D484" s="674" t="s">
        <v>687</v>
      </c>
      <c r="E484" s="783" t="s">
        <v>1115</v>
      </c>
      <c r="F484" s="704" t="str">
        <f>+InputY!B166</f>
        <v>YACap</v>
      </c>
      <c r="G484" s="706">
        <f>+G485-G482+G483</f>
        <v>0</v>
      </c>
      <c r="H484" s="706">
        <f t="shared" ref="H484:T484" si="446">+H485-H482+H483</f>
        <v>0</v>
      </c>
      <c r="I484" s="706">
        <f t="shared" si="446"/>
        <v>2.2699999999999999E-3</v>
      </c>
      <c r="J484" s="706">
        <f t="shared" si="446"/>
        <v>2.7000000000000006E-4</v>
      </c>
      <c r="K484" s="706">
        <f t="shared" si="446"/>
        <v>1.1270000000000001E-2</v>
      </c>
      <c r="L484" s="706">
        <f t="shared" si="446"/>
        <v>1.0129999999999997E-2</v>
      </c>
      <c r="M484" s="706">
        <f t="shared" si="446"/>
        <v>1.5579999999999997E-2</v>
      </c>
      <c r="N484" s="706">
        <f t="shared" si="446"/>
        <v>7.1979999999999988E-2</v>
      </c>
      <c r="O484" s="706">
        <f t="shared" si="446"/>
        <v>6.7400000000000002E-2</v>
      </c>
      <c r="P484" s="706">
        <f t="shared" si="446"/>
        <v>8.3680000000000004E-2</v>
      </c>
      <c r="Q484" s="706">
        <f t="shared" si="446"/>
        <v>0.16884000000000002</v>
      </c>
      <c r="R484" s="706">
        <f t="shared" si="446"/>
        <v>0.2455</v>
      </c>
      <c r="S484" s="706">
        <f t="shared" si="446"/>
        <v>0.42033000000000004</v>
      </c>
      <c r="T484" s="706">
        <f t="shared" si="446"/>
        <v>0.35964000000000007</v>
      </c>
      <c r="U484" s="706">
        <f t="shared" ref="U484:AA484" si="447">+U485-U482+U483</f>
        <v>0.43989</v>
      </c>
      <c r="V484" s="706">
        <f t="shared" si="447"/>
        <v>0.73855000000000004</v>
      </c>
      <c r="W484" s="706">
        <f t="shared" si="447"/>
        <v>0.70224999999999993</v>
      </c>
      <c r="X484" s="706">
        <f t="shared" si="447"/>
        <v>0.64863000000000004</v>
      </c>
      <c r="Y484" s="706">
        <f t="shared" si="447"/>
        <v>0.73843999999999999</v>
      </c>
      <c r="Z484" s="706">
        <f t="shared" si="447"/>
        <v>1.00678</v>
      </c>
      <c r="AA484" s="706">
        <f t="shared" si="447"/>
        <v>0.70749999999999991</v>
      </c>
      <c r="AB484" s="3612">
        <f t="shared" ref="AB484" si="448">+AB485-AB482+AB483</f>
        <v>0.32628999999999997</v>
      </c>
      <c r="AC484" s="3613">
        <f>+AB484*(1+AC496/100)</f>
        <v>0.31976419999999994</v>
      </c>
      <c r="AD484" s="3613">
        <f t="shared" si="445"/>
        <v>0.3709264719999999</v>
      </c>
      <c r="AE484" s="3613">
        <f t="shared" si="445"/>
        <v>0.37834500143999988</v>
      </c>
      <c r="AF484" s="3421">
        <v>0.3827399999999998</v>
      </c>
      <c r="AG484" s="3382"/>
      <c r="AH484" s="3382"/>
    </row>
    <row r="485" spans="1:113" ht="12.75" customHeight="1">
      <c r="A485" s="664">
        <f>+ROW(InputY!A166)</f>
        <v>166</v>
      </c>
      <c r="B485" s="664">
        <v>125</v>
      </c>
      <c r="C485" s="782" t="s">
        <v>1769</v>
      </c>
      <c r="D485" s="746" t="s">
        <v>687</v>
      </c>
      <c r="E485" s="747" t="s">
        <v>1479</v>
      </c>
      <c r="F485" s="748" t="s">
        <v>1939</v>
      </c>
      <c r="G485" s="799">
        <f>+InputY!G166/1000</f>
        <v>0</v>
      </c>
      <c r="H485" s="799">
        <f>+InputY!H166/1000</f>
        <v>0</v>
      </c>
      <c r="I485" s="799">
        <f>+InputY!I166/1000</f>
        <v>2.3E-3</v>
      </c>
      <c r="J485" s="799">
        <f>+InputY!J166/1000</f>
        <v>4.7000000000000004E-4</v>
      </c>
      <c r="K485" s="799">
        <f>+InputY!K166/1000</f>
        <v>1.1890000000000001E-2</v>
      </c>
      <c r="L485" s="799">
        <f>+InputY!L166/1000</f>
        <v>-2.785E-2</v>
      </c>
      <c r="M485" s="799">
        <f>+InputY!M166/1000</f>
        <v>-2.945E-2</v>
      </c>
      <c r="N485" s="799">
        <f>+InputY!N166/1000</f>
        <v>4.5899999999999996E-2</v>
      </c>
      <c r="O485" s="799">
        <f>+InputY!O166/1000</f>
        <v>5.3399999999999996E-2</v>
      </c>
      <c r="P485" s="799">
        <f>+InputY!P166/1000</f>
        <v>7.2190000000000004E-2</v>
      </c>
      <c r="Q485" s="799">
        <f>+InputY!Q166/1000</f>
        <v>0.15971000000000002</v>
      </c>
      <c r="R485" s="799">
        <f>+InputY!R166/1000</f>
        <v>0.23172999999999999</v>
      </c>
      <c r="S485" s="799">
        <f>+InputY!S166/1000</f>
        <v>0.41325000000000001</v>
      </c>
      <c r="T485" s="799">
        <f>+InputY!T166/1000</f>
        <v>0.34273000000000003</v>
      </c>
      <c r="U485" s="799">
        <f>+InputY!U166/1000</f>
        <v>0.39441999999999999</v>
      </c>
      <c r="V485" s="799">
        <f>+InputY!V166/1000</f>
        <v>0.7077</v>
      </c>
      <c r="W485" s="799">
        <f>+InputY!W166/1000</f>
        <v>0.68730999999999998</v>
      </c>
      <c r="X485" s="799">
        <f>+InputY!X166/1000</f>
        <v>0.63571</v>
      </c>
      <c r="Y485" s="799">
        <f>+InputY!Y166/1000</f>
        <v>0.7223099999999999</v>
      </c>
      <c r="Z485" s="799">
        <f>+InputY!Z166/1000</f>
        <v>0.99297000000000002</v>
      </c>
      <c r="AA485" s="799">
        <f>+InputY!AA166/1000</f>
        <v>0.69129999999999991</v>
      </c>
      <c r="AB485" s="799">
        <f>+InputY!AB166/1000</f>
        <v>0.31355</v>
      </c>
      <c r="AC485" s="2876">
        <f>+AC482+AC484-AC483</f>
        <v>0.30702419999999997</v>
      </c>
      <c r="AD485" s="2876">
        <f>+AD482+AD484-AD483</f>
        <v>0.35818647199999992</v>
      </c>
      <c r="AE485" s="2876">
        <f>+AE482+AE484-AE483</f>
        <v>0.36560500143999991</v>
      </c>
      <c r="AF485" s="3382"/>
      <c r="AG485" s="3382"/>
      <c r="AH485" s="3382"/>
    </row>
    <row r="486" spans="1:113" ht="12.75" customHeight="1">
      <c r="A486" s="664">
        <f>+ROW(InputY!A168)</f>
        <v>168</v>
      </c>
      <c r="B486" s="664" t="s">
        <v>672</v>
      </c>
      <c r="C486" s="782" t="s">
        <v>401</v>
      </c>
      <c r="D486" s="674" t="s">
        <v>687</v>
      </c>
      <c r="E486" s="783" t="s">
        <v>185</v>
      </c>
      <c r="F486" s="704" t="str">
        <f>+InputY!B168</f>
        <v>$ACapT</v>
      </c>
      <c r="G486" s="706">
        <f>+InputY!G168/1000</f>
        <v>9.6120000000000011E-2</v>
      </c>
      <c r="H486" s="706">
        <f>+InputY!H168/1000</f>
        <v>0.24603</v>
      </c>
      <c r="I486" s="706">
        <f>+InputY!I168/1000</f>
        <v>1.50024</v>
      </c>
      <c r="J486" s="706">
        <f>+InputY!J168/1000</f>
        <v>0.15225</v>
      </c>
      <c r="K486" s="706">
        <f>+InputY!K168/1000</f>
        <v>0.12124</v>
      </c>
      <c r="L486" s="706">
        <f>+InputY!L168/1000</f>
        <v>0.29037000000000002</v>
      </c>
      <c r="M486" s="706">
        <f>+InputY!M168/1000</f>
        <v>0.25951000000000002</v>
      </c>
      <c r="N486" s="706">
        <f>+InputY!N168/1000</f>
        <v>0.13302</v>
      </c>
      <c r="O486" s="706">
        <f>+InputY!O168/1000</f>
        <v>7.1790000000000007E-2</v>
      </c>
      <c r="P486" s="706">
        <f>+InputY!P168/1000</f>
        <v>0.10396</v>
      </c>
      <c r="Q486" s="706">
        <f>+InputY!Q168/1000</f>
        <v>8.3019999999999997E-2</v>
      </c>
      <c r="R486" s="706">
        <f>+InputY!R168/1000</f>
        <v>9.5530000000000004E-2</v>
      </c>
      <c r="S486" s="706">
        <f>+InputY!S168/1000</f>
        <v>0.25720999999999999</v>
      </c>
      <c r="T486" s="1455">
        <f>+InputY!T168/1000</f>
        <v>0.12953000000000001</v>
      </c>
      <c r="U486" s="1564">
        <f>+InputY!U168/1000</f>
        <v>0.11079</v>
      </c>
      <c r="V486" s="1564">
        <f>+InputY!V168/1000</f>
        <v>0.12154999999999999</v>
      </c>
      <c r="W486" s="1564">
        <f>+InputY!W168/1000</f>
        <v>1.3936600000000001</v>
      </c>
      <c r="X486" s="1564">
        <f>+InputY!X168/1000</f>
        <v>9.1180000000000011E-2</v>
      </c>
      <c r="Y486" s="1564">
        <f>+InputY!Y168/1000</f>
        <v>0.45080000000000003</v>
      </c>
      <c r="Z486" s="1564">
        <f>+InputY!Z168/1000</f>
        <v>0.50519000000000003</v>
      </c>
      <c r="AA486" s="1564">
        <f>+InputY!AA168/1000</f>
        <v>0.26716000000000001</v>
      </c>
      <c r="AB486" s="1564">
        <f>+InputY!AB168/1000</f>
        <v>0.18389</v>
      </c>
      <c r="AC486" s="3345">
        <f>+AB486*(1+AC498/100)</f>
        <v>0.26480159999999997</v>
      </c>
      <c r="AD486" s="3345">
        <f>+AC486*(1+AD498/100)</f>
        <v>0.19065715199999997</v>
      </c>
      <c r="AE486" s="3345">
        <f>+AD486*(1+AE498/100)</f>
        <v>0.19065715199999997</v>
      </c>
      <c r="AF486" s="3663" t="s">
        <v>2601</v>
      </c>
      <c r="AG486" s="3382"/>
      <c r="AH486" s="3382"/>
    </row>
    <row r="487" spans="1:113" ht="12.75" customHeight="1">
      <c r="A487" s="664"/>
      <c r="B487" s="664"/>
      <c r="C487" s="782" t="s">
        <v>1769</v>
      </c>
      <c r="D487" s="746" t="s">
        <v>687</v>
      </c>
      <c r="E487" s="747" t="s">
        <v>1364</v>
      </c>
      <c r="F487" s="1020" t="s">
        <v>2120</v>
      </c>
      <c r="G487" s="799">
        <f t="shared" ref="G487:U487" si="449">+G485-G486</f>
        <v>-9.6120000000000011E-2</v>
      </c>
      <c r="H487" s="799">
        <f t="shared" si="449"/>
        <v>-0.24603</v>
      </c>
      <c r="I487" s="799">
        <f t="shared" si="449"/>
        <v>-1.49794</v>
      </c>
      <c r="J487" s="799">
        <f t="shared" si="449"/>
        <v>-0.15178</v>
      </c>
      <c r="K487" s="799">
        <f t="shared" si="449"/>
        <v>-0.10935</v>
      </c>
      <c r="L487" s="799">
        <f t="shared" si="449"/>
        <v>-0.31822</v>
      </c>
      <c r="M487" s="799">
        <f t="shared" si="449"/>
        <v>-0.28895999999999999</v>
      </c>
      <c r="N487" s="799">
        <f t="shared" si="449"/>
        <v>-8.7120000000000003E-2</v>
      </c>
      <c r="O487" s="799">
        <f t="shared" si="449"/>
        <v>-1.8390000000000011E-2</v>
      </c>
      <c r="P487" s="799">
        <f t="shared" si="449"/>
        <v>-3.1769999999999993E-2</v>
      </c>
      <c r="Q487" s="799">
        <f t="shared" si="449"/>
        <v>7.6690000000000022E-2</v>
      </c>
      <c r="R487" s="799">
        <f t="shared" si="449"/>
        <v>0.13619999999999999</v>
      </c>
      <c r="S487" s="799">
        <f t="shared" si="449"/>
        <v>0.15604000000000001</v>
      </c>
      <c r="T487" s="799">
        <f t="shared" si="449"/>
        <v>0.21320000000000003</v>
      </c>
      <c r="U487" s="799">
        <f t="shared" si="449"/>
        <v>0.28362999999999999</v>
      </c>
      <c r="V487" s="799">
        <f t="shared" ref="V487:AC487" si="450">+V485-V486</f>
        <v>0.58614999999999995</v>
      </c>
      <c r="W487" s="799">
        <f t="shared" si="450"/>
        <v>-0.70635000000000014</v>
      </c>
      <c r="X487" s="799">
        <f t="shared" si="450"/>
        <v>0.54452999999999996</v>
      </c>
      <c r="Y487" s="799">
        <f t="shared" si="450"/>
        <v>0.27150999999999986</v>
      </c>
      <c r="Z487" s="799">
        <f t="shared" si="450"/>
        <v>0.48777999999999999</v>
      </c>
      <c r="AA487" s="799">
        <f t="shared" si="450"/>
        <v>0.42413999999999991</v>
      </c>
      <c r="AB487" s="799">
        <f t="shared" ref="AB487" si="451">+AB485-AB486</f>
        <v>0.12966</v>
      </c>
      <c r="AC487" s="2876">
        <f t="shared" si="450"/>
        <v>4.2222599999999999E-2</v>
      </c>
      <c r="AD487" s="2876">
        <f>+AD485-AD486</f>
        <v>0.16752931999999995</v>
      </c>
      <c r="AE487" s="2876">
        <f>+AE485-AE486</f>
        <v>0.17494784943999994</v>
      </c>
      <c r="AF487" s="3382"/>
      <c r="AG487" s="3382"/>
      <c r="AH487" s="3382"/>
    </row>
    <row r="488" spans="1:113" ht="12.75" customHeight="1">
      <c r="A488" s="664">
        <f>+ROW(InputY!A203)</f>
        <v>203</v>
      </c>
      <c r="B488" s="664" t="s">
        <v>1468</v>
      </c>
      <c r="C488" s="782" t="s">
        <v>1767</v>
      </c>
      <c r="D488" s="674" t="s">
        <v>685</v>
      </c>
      <c r="E488" s="783" t="s">
        <v>1364</v>
      </c>
      <c r="F488" s="1021" t="s">
        <v>2121</v>
      </c>
      <c r="G488" s="706">
        <f>+InputY!G203/1000</f>
        <v>1.7899999999999999E-2</v>
      </c>
      <c r="H488" s="706">
        <f>+InputY!H203/1000</f>
        <v>3.032E-2</v>
      </c>
      <c r="I488" s="706">
        <f>+InputY!I203/1000</f>
        <v>1.4711000000000001</v>
      </c>
      <c r="J488" s="706">
        <f>+InputY!J203/1000</f>
        <v>4.9669999999999992E-2</v>
      </c>
      <c r="K488" s="706">
        <f>+InputY!K203/1000</f>
        <v>5.1540000000000002E-2</v>
      </c>
      <c r="L488" s="706">
        <f>+InputY!L203/1000</f>
        <v>0.19487000000000002</v>
      </c>
      <c r="M488" s="706">
        <f>+InputY!M203/1000</f>
        <v>2.8420000000000001E-2</v>
      </c>
      <c r="N488" s="706">
        <f>+InputY!N203/1000</f>
        <v>2.4410000000000001E-2</v>
      </c>
      <c r="O488" s="706">
        <f>+InputY!O203/1000</f>
        <v>3.4189999999999998E-2</v>
      </c>
      <c r="P488" s="706">
        <f>+InputY!P203/1000</f>
        <v>8.5610000000000006E-2</v>
      </c>
      <c r="Q488" s="706">
        <f>+InputY!Q203/1000</f>
        <v>7.2179999999999994E-2</v>
      </c>
      <c r="R488" s="706">
        <f>+InputY!R203/1000</f>
        <v>7.8410000000000007E-2</v>
      </c>
      <c r="S488" s="706">
        <f>+InputY!S203/1000</f>
        <v>0.18384</v>
      </c>
      <c r="T488" s="706">
        <f>+InputY!T203/1000</f>
        <v>4.446E-2</v>
      </c>
      <c r="U488" s="706">
        <f>+InputY!U203/1000</f>
        <v>3.0710000000000001E-2</v>
      </c>
      <c r="V488" s="706">
        <f>+InputY!V203/1000</f>
        <v>3.9329999999999997E-2</v>
      </c>
      <c r="W488" s="706">
        <f>+InputY!W203/1000</f>
        <v>1.23645</v>
      </c>
      <c r="X488" s="706">
        <f>+InputY!X203/1000</f>
        <v>3.8779999999999995E-2</v>
      </c>
      <c r="Y488" s="706">
        <f>+InputY!Y203/1000</f>
        <v>7.3069999999999996E-2</v>
      </c>
      <c r="Z488" s="706">
        <f>+InputY!Z203/1000</f>
        <v>0.39702000000000004</v>
      </c>
      <c r="AA488" s="3607">
        <f>+InputY!AA203/1000</f>
        <v>0.12033000000000001</v>
      </c>
      <c r="AB488" s="3607">
        <f>+InputY!AB203/1000</f>
        <v>5.5060000000000005E-2</v>
      </c>
      <c r="AC488" s="3614">
        <f t="shared" ref="AC488:AE489" si="452">+AB488*(1+AC500/100)</f>
        <v>5.1205800000000003E-2</v>
      </c>
      <c r="AD488" s="3614">
        <f t="shared" si="452"/>
        <v>4.7621393999999997E-2</v>
      </c>
      <c r="AE488" s="3614">
        <f t="shared" si="452"/>
        <v>4.4287896419999993E-2</v>
      </c>
      <c r="AF488" s="3663" t="s">
        <v>2602</v>
      </c>
      <c r="AG488" s="3382"/>
      <c r="AH488" s="3382"/>
    </row>
    <row r="489" spans="1:113" ht="12.75" customHeight="1">
      <c r="A489" s="664">
        <f>+ROW(InputY!A130)</f>
        <v>130</v>
      </c>
      <c r="B489" s="664" t="s">
        <v>669</v>
      </c>
      <c r="C489" s="782" t="s">
        <v>1767</v>
      </c>
      <c r="D489" s="674" t="s">
        <v>686</v>
      </c>
      <c r="E489" s="783" t="s">
        <v>1364</v>
      </c>
      <c r="F489" s="1021" t="s">
        <v>2122</v>
      </c>
      <c r="G489" s="706">
        <f>+InputY!G130/1000</f>
        <v>3.3049999999999996E-2</v>
      </c>
      <c r="H489" s="706">
        <f>+InputY!H130/1000</f>
        <v>0.22208</v>
      </c>
      <c r="I489" s="706">
        <f>+InputY!I130/1000</f>
        <v>3.1609999999999999E-2</v>
      </c>
      <c r="J489" s="706">
        <f>+InputY!J130/1000</f>
        <v>0.10012</v>
      </c>
      <c r="K489" s="706">
        <f>+InputY!K130/1000</f>
        <v>5.3999999999999999E-2</v>
      </c>
      <c r="L489" s="706">
        <f>+InputY!L130/1000</f>
        <v>0.12583</v>
      </c>
      <c r="M489" s="706">
        <f>+InputY!M130/1000</f>
        <v>0.26213999999999998</v>
      </c>
      <c r="N489" s="706">
        <f>+InputY!N130/1000</f>
        <v>0.12173</v>
      </c>
      <c r="O489" s="706">
        <f>+InputY!O130/1000</f>
        <v>4.3559999999999995E-2</v>
      </c>
      <c r="P489" s="706">
        <f>+InputY!P130/1000</f>
        <v>7.5829999999999995E-2</v>
      </c>
      <c r="Q489" s="706">
        <f>+InputY!Q130/1000</f>
        <v>5.5099999999999996E-2</v>
      </c>
      <c r="R489" s="706">
        <f>+InputY!R130/1000</f>
        <v>0.14396</v>
      </c>
      <c r="S489" s="706">
        <f>+InputY!S130/1000</f>
        <v>0.27153000000000005</v>
      </c>
      <c r="T489" s="706">
        <f>+InputY!T130/1000</f>
        <v>0.36141000000000001</v>
      </c>
      <c r="U489" s="706">
        <f>+InputY!U130/1000</f>
        <v>0.84387999999999996</v>
      </c>
      <c r="V489" s="706">
        <f>+InputY!V130/1000</f>
        <v>0.43232999999999999</v>
      </c>
      <c r="W489" s="706">
        <f>+InputY!W130/1000</f>
        <v>0.47370999999999996</v>
      </c>
      <c r="X489" s="706">
        <f>+InputY!X130/1000</f>
        <v>0.38078000000000001</v>
      </c>
      <c r="Y489" s="706">
        <f>+InputY!Y130/1000</f>
        <v>0.74426999999999999</v>
      </c>
      <c r="Z489" s="706">
        <f>+InputY!Z130/1000</f>
        <v>9.0939999999999938E-2</v>
      </c>
      <c r="AA489" s="706">
        <f>+InputY!AA130/1000</f>
        <v>0.57279000000000013</v>
      </c>
      <c r="AB489" s="706">
        <f>+InputY!AB130/1000</f>
        <v>0.38400000000000001</v>
      </c>
      <c r="AC489" s="2275">
        <f t="shared" si="452"/>
        <v>0.35711999999999999</v>
      </c>
      <c r="AD489" s="2275">
        <f t="shared" si="452"/>
        <v>0.33212159999999996</v>
      </c>
      <c r="AE489" s="2275">
        <f t="shared" si="452"/>
        <v>0.30887308799999996</v>
      </c>
      <c r="AF489" s="3382"/>
      <c r="AG489" s="3382"/>
      <c r="AH489" s="3382"/>
    </row>
    <row r="490" spans="1:113" ht="12.75" customHeight="1">
      <c r="A490" s="1953">
        <f>+ROW(InputY!A256)</f>
        <v>256</v>
      </c>
      <c r="B490" s="664" t="s">
        <v>2102</v>
      </c>
      <c r="C490" s="784" t="s">
        <v>1769</v>
      </c>
      <c r="D490" s="752" t="s">
        <v>688</v>
      </c>
      <c r="E490" s="753" t="s">
        <v>227</v>
      </c>
      <c r="F490" s="754" t="s">
        <v>1477</v>
      </c>
      <c r="G490" s="785">
        <f>+InputY!G256/1000</f>
        <v>-4.5170000000000002E-2</v>
      </c>
      <c r="H490" s="785">
        <f>+InputY!H256/1000</f>
        <v>6.3699999999999998E-3</v>
      </c>
      <c r="I490" s="785">
        <f>+InputY!I256/1000</f>
        <v>4.7699999999999999E-3</v>
      </c>
      <c r="J490" s="785">
        <f>+InputY!J256/1000</f>
        <v>-1.98E-3</v>
      </c>
      <c r="K490" s="785">
        <f>+InputY!K256/1000</f>
        <v>-3.81E-3</v>
      </c>
      <c r="L490" s="785">
        <f>+InputY!L256/1000</f>
        <v>2.49E-3</v>
      </c>
      <c r="M490" s="785">
        <f>+InputY!M256/1000</f>
        <v>1.6100000000000001E-3</v>
      </c>
      <c r="N490" s="785">
        <f>+InputY!N256/1000</f>
        <v>5.9020000000000003E-2</v>
      </c>
      <c r="O490" s="785">
        <f>+InputY!O256/1000</f>
        <v>5.9359999999999996E-2</v>
      </c>
      <c r="P490" s="785">
        <f>+InputY!P256/1000</f>
        <v>0.12966999999999998</v>
      </c>
      <c r="Q490" s="785">
        <f>+InputY!Q256/1000</f>
        <v>0.20397000000000001</v>
      </c>
      <c r="R490" s="2099">
        <f>+InputY!R256/1000</f>
        <v>0.35857</v>
      </c>
      <c r="S490" s="2874">
        <f>+InputY!S256/1000</f>
        <v>0.61141999999999996</v>
      </c>
      <c r="T490" s="2874">
        <f>+InputY!T256/1000</f>
        <v>0.61907000000000001</v>
      </c>
      <c r="U490" s="2874">
        <f>+InputY!U256/1000</f>
        <v>1.15822</v>
      </c>
      <c r="V490" s="2874">
        <f>+InputY!V256/1000</f>
        <v>1.0577999999999999</v>
      </c>
      <c r="W490" s="3396">
        <f t="shared" ref="W490:AB490" si="453">+W487+W488+W489</f>
        <v>1.0038099999999999</v>
      </c>
      <c r="X490" s="3396">
        <f t="shared" si="453"/>
        <v>0.96409</v>
      </c>
      <c r="Y490" s="3396">
        <f t="shared" si="453"/>
        <v>1.0888499999999999</v>
      </c>
      <c r="Z490" s="3396">
        <f t="shared" si="453"/>
        <v>0.97573999999999994</v>
      </c>
      <c r="AA490" s="3396">
        <f t="shared" si="453"/>
        <v>1.1172599999999999</v>
      </c>
      <c r="AB490" s="3396">
        <f t="shared" si="453"/>
        <v>0.56872</v>
      </c>
      <c r="AC490" s="2875">
        <f>+AC487+AC488+AC489</f>
        <v>0.45054839999999996</v>
      </c>
      <c r="AD490" s="2875">
        <f>+AD487+AD488+AD489</f>
        <v>0.54727231399999998</v>
      </c>
      <c r="AE490" s="2875">
        <f>+AE487+AE488+AE489</f>
        <v>0.52810883385999996</v>
      </c>
      <c r="AF490" s="3382"/>
      <c r="AG490" s="3382"/>
      <c r="AH490" s="3382"/>
    </row>
    <row r="491" spans="1:113" s="1972" customFormat="1" ht="12.75" customHeight="1">
      <c r="A491" s="998"/>
      <c r="B491" s="998"/>
      <c r="C491" s="1595"/>
      <c r="D491" s="1011"/>
      <c r="E491" s="1973" t="s">
        <v>737</v>
      </c>
      <c r="F491" s="1974"/>
      <c r="G491" s="1002">
        <f>ABS(+G487+G488+G489-G490)</f>
        <v>1.3877787807814457E-17</v>
      </c>
      <c r="H491" s="1002">
        <f t="shared" ref="H491:Y491" si="454">ABS(+H487+H488+H489-H490)</f>
        <v>1.3010426069826053E-17</v>
      </c>
      <c r="I491" s="1002">
        <f t="shared" si="454"/>
        <v>2.4286128663675299E-17</v>
      </c>
      <c r="J491" s="1002">
        <f t="shared" si="454"/>
        <v>1.0000000000005664E-5</v>
      </c>
      <c r="K491" s="1002">
        <f t="shared" si="454"/>
        <v>8.6736173798840355E-19</v>
      </c>
      <c r="L491" s="1002">
        <f t="shared" si="454"/>
        <v>9.9999999999900516E-6</v>
      </c>
      <c r="M491" s="1002">
        <f t="shared" si="454"/>
        <v>1.0000000000009784E-5</v>
      </c>
      <c r="N491" s="1002">
        <f t="shared" si="454"/>
        <v>0</v>
      </c>
      <c r="O491" s="1002">
        <f t="shared" si="454"/>
        <v>1.3877787807814457E-17</v>
      </c>
      <c r="P491" s="1002">
        <f t="shared" si="454"/>
        <v>2.7755575615628914E-17</v>
      </c>
      <c r="Q491" s="1002">
        <f t="shared" si="454"/>
        <v>2.7755575615628914E-17</v>
      </c>
      <c r="R491" s="2209">
        <f t="shared" si="454"/>
        <v>0</v>
      </c>
      <c r="S491" s="2209">
        <f t="shared" si="454"/>
        <v>9.9999999999544897E-6</v>
      </c>
      <c r="T491" s="2921">
        <f t="shared" si="454"/>
        <v>0</v>
      </c>
      <c r="U491" s="2921">
        <f t="shared" si="454"/>
        <v>0</v>
      </c>
      <c r="V491" s="2921">
        <f>ABS(+V487+V488+V489-V490)</f>
        <v>1.0000000000065512E-5</v>
      </c>
      <c r="W491" s="2921">
        <f t="shared" si="454"/>
        <v>0</v>
      </c>
      <c r="X491" s="2921">
        <f t="shared" si="454"/>
        <v>0</v>
      </c>
      <c r="Y491" s="2921">
        <f t="shared" si="454"/>
        <v>0</v>
      </c>
      <c r="Z491" s="2921">
        <f t="shared" ref="Z491:AE491" si="455">ABS(+Z487+Z488+Z489-Z490)</f>
        <v>0</v>
      </c>
      <c r="AA491" s="2921">
        <f t="shared" si="455"/>
        <v>0</v>
      </c>
      <c r="AB491" s="2921">
        <f t="shared" si="455"/>
        <v>0</v>
      </c>
      <c r="AC491" s="2906">
        <f t="shared" si="455"/>
        <v>0</v>
      </c>
      <c r="AD491" s="2906">
        <f t="shared" si="455"/>
        <v>0</v>
      </c>
      <c r="AE491" s="2906">
        <f t="shared" si="455"/>
        <v>0</v>
      </c>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c r="DF491"/>
      <c r="DG491"/>
      <c r="DH491"/>
      <c r="DI491"/>
    </row>
    <row r="492" spans="1:113">
      <c r="A492" s="664"/>
      <c r="B492" s="664"/>
      <c r="P492" s="703"/>
      <c r="Q492" s="703"/>
      <c r="R492" s="703"/>
      <c r="S492" s="703"/>
      <c r="AB492" s="2221"/>
      <c r="AC492" s="2221"/>
      <c r="AD492" s="2221"/>
      <c r="AE492" s="2221"/>
    </row>
    <row r="493" spans="1:113" ht="12.75" customHeight="1">
      <c r="A493" s="664"/>
      <c r="B493" s="664"/>
      <c r="C493" s="774"/>
      <c r="D493" s="742"/>
      <c r="E493" s="743" t="s">
        <v>1311</v>
      </c>
      <c r="F493" s="744"/>
      <c r="G493" s="745">
        <f>+InputY!$G$3</f>
        <v>1995</v>
      </c>
      <c r="H493" s="745">
        <f>+G493+1</f>
        <v>1996</v>
      </c>
      <c r="I493" s="745">
        <f t="shared" ref="I493:Q493" si="456">+H493+1</f>
        <v>1997</v>
      </c>
      <c r="J493" s="745">
        <f t="shared" si="456"/>
        <v>1998</v>
      </c>
      <c r="K493" s="745">
        <f>+J493+1</f>
        <v>1999</v>
      </c>
      <c r="L493" s="745">
        <f t="shared" si="456"/>
        <v>2000</v>
      </c>
      <c r="M493" s="745">
        <f t="shared" si="456"/>
        <v>2001</v>
      </c>
      <c r="N493" s="745">
        <f t="shared" si="456"/>
        <v>2002</v>
      </c>
      <c r="O493" s="745">
        <f t="shared" si="456"/>
        <v>2003</v>
      </c>
      <c r="P493" s="745">
        <f>+O493+1</f>
        <v>2004</v>
      </c>
      <c r="Q493" s="745">
        <f t="shared" si="456"/>
        <v>2005</v>
      </c>
      <c r="R493" s="745">
        <f t="shared" ref="R493:W493" si="457">+Q493+1</f>
        <v>2006</v>
      </c>
      <c r="S493" s="745">
        <f t="shared" si="457"/>
        <v>2007</v>
      </c>
      <c r="T493" s="2211">
        <f t="shared" si="457"/>
        <v>2008</v>
      </c>
      <c r="U493" s="2211">
        <f t="shared" si="457"/>
        <v>2009</v>
      </c>
      <c r="V493" s="2211">
        <f t="shared" si="457"/>
        <v>2010</v>
      </c>
      <c r="W493" s="2211">
        <f t="shared" si="457"/>
        <v>2011</v>
      </c>
      <c r="X493" s="2211">
        <f t="shared" ref="X493:AE493" si="458">+W493+1</f>
        <v>2012</v>
      </c>
      <c r="Y493" s="2211">
        <f t="shared" si="458"/>
        <v>2013</v>
      </c>
      <c r="Z493" s="2211">
        <f t="shared" si="458"/>
        <v>2014</v>
      </c>
      <c r="AA493" s="2211">
        <f t="shared" si="458"/>
        <v>2015</v>
      </c>
      <c r="AB493" s="2211">
        <f t="shared" si="458"/>
        <v>2016</v>
      </c>
      <c r="AC493" s="2211">
        <f t="shared" si="458"/>
        <v>2017</v>
      </c>
      <c r="AD493" s="2211">
        <f t="shared" si="458"/>
        <v>2018</v>
      </c>
      <c r="AE493" s="2211">
        <f t="shared" si="458"/>
        <v>2019</v>
      </c>
    </row>
    <row r="494" spans="1:113" ht="12.75" customHeight="1">
      <c r="A494" s="664"/>
      <c r="B494" s="664"/>
      <c r="C494" s="794" t="s">
        <v>1767</v>
      </c>
      <c r="D494" s="689" t="s">
        <v>687</v>
      </c>
      <c r="E494" s="738" t="s">
        <v>1476</v>
      </c>
      <c r="F494" s="733" t="s">
        <v>319</v>
      </c>
      <c r="G494" s="739"/>
      <c r="H494" s="739" t="e">
        <f>(H482/G482-1)*100</f>
        <v>#DIV/0!</v>
      </c>
      <c r="I494" s="739" t="e">
        <f t="shared" ref="I494:AB494" si="459">(I482/H482-1)*100</f>
        <v>#DIV/0!</v>
      </c>
      <c r="J494" s="739">
        <f t="shared" si="459"/>
        <v>566.66666666666674</v>
      </c>
      <c r="K494" s="739">
        <f t="shared" ref="K494:K502" si="460">(K482/J482-1)*100</f>
        <v>209.99999999999997</v>
      </c>
      <c r="L494" s="739">
        <f t="shared" si="459"/>
        <v>-14.516129032258062</v>
      </c>
      <c r="M494" s="739">
        <f t="shared" si="459"/>
        <v>22.641509433962259</v>
      </c>
      <c r="N494" s="739">
        <f t="shared" si="459"/>
        <v>1.538461538461533</v>
      </c>
      <c r="O494" s="739">
        <f t="shared" si="459"/>
        <v>-51.515151515151516</v>
      </c>
      <c r="P494" s="739">
        <f t="shared" si="459"/>
        <v>56.25</v>
      </c>
      <c r="Q494" s="739">
        <f t="shared" si="459"/>
        <v>34.000000000000007</v>
      </c>
      <c r="R494" s="739">
        <f t="shared" si="459"/>
        <v>80.597014925373117</v>
      </c>
      <c r="S494" s="739">
        <f t="shared" si="459"/>
        <v>50.41322314049588</v>
      </c>
      <c r="T494" s="739">
        <f t="shared" si="459"/>
        <v>-3.2967032967032961</v>
      </c>
      <c r="U494" s="739">
        <f t="shared" si="459"/>
        <v>1.1363636363636465</v>
      </c>
      <c r="V494" s="739">
        <f t="shared" si="459"/>
        <v>-38.202247191011239</v>
      </c>
      <c r="W494" s="739">
        <f t="shared" si="459"/>
        <v>-9.0909090909090935</v>
      </c>
      <c r="X494" s="739">
        <f t="shared" si="459"/>
        <v>19.999999999999996</v>
      </c>
      <c r="Y494" s="739">
        <f t="shared" si="459"/>
        <v>6.6666666666666874</v>
      </c>
      <c r="Z494" s="739">
        <f t="shared" si="459"/>
        <v>3.90625</v>
      </c>
      <c r="AA494" s="739">
        <f t="shared" si="459"/>
        <v>7.5187969924812137</v>
      </c>
      <c r="AB494" s="739">
        <f t="shared" si="459"/>
        <v>2.7972027972027913</v>
      </c>
      <c r="AC494" s="2213">
        <v>0</v>
      </c>
      <c r="AD494" s="2213">
        <v>0</v>
      </c>
      <c r="AE494" s="2213">
        <v>0</v>
      </c>
    </row>
    <row r="495" spans="1:113" ht="12.75" customHeight="1">
      <c r="A495" s="664"/>
      <c r="B495" s="664"/>
      <c r="C495" s="795" t="s">
        <v>401</v>
      </c>
      <c r="D495" s="674" t="s">
        <v>687</v>
      </c>
      <c r="E495" s="783" t="s">
        <v>1116</v>
      </c>
      <c r="F495" s="704" t="s">
        <v>1175</v>
      </c>
      <c r="G495" s="706"/>
      <c r="H495" s="706" t="e">
        <f>(H483/G483-1)*100</f>
        <v>#DIV/0!</v>
      </c>
      <c r="I495" s="706" t="e">
        <f t="shared" ref="I495:AB495" si="461">(I483/H483-1)*100</f>
        <v>#DIV/0!</v>
      </c>
      <c r="J495" s="706" t="e">
        <f t="shared" si="461"/>
        <v>#DIV/0!</v>
      </c>
      <c r="K495" s="706" t="e">
        <f t="shared" si="460"/>
        <v>#DIV/0!</v>
      </c>
      <c r="L495" s="706" t="e">
        <f t="shared" si="461"/>
        <v>#DIV/0!</v>
      </c>
      <c r="M495" s="706">
        <f t="shared" si="461"/>
        <v>18.618540638795132</v>
      </c>
      <c r="N495" s="706">
        <f t="shared" si="461"/>
        <v>-41.462346760070048</v>
      </c>
      <c r="O495" s="706">
        <f t="shared" si="461"/>
        <v>-46.447270007479425</v>
      </c>
      <c r="P495" s="706">
        <f t="shared" si="461"/>
        <v>-16.270949720670391</v>
      </c>
      <c r="Q495" s="706">
        <f t="shared" si="461"/>
        <v>-18.265221017514587</v>
      </c>
      <c r="R495" s="706">
        <f t="shared" si="461"/>
        <v>52.857142857142847</v>
      </c>
      <c r="S495" s="706">
        <f t="shared" si="461"/>
        <v>-40.587449933244322</v>
      </c>
      <c r="T495" s="706">
        <f t="shared" si="461"/>
        <v>109.77528089887643</v>
      </c>
      <c r="U495" s="706">
        <f t="shared" si="461"/>
        <v>153.07980717728972</v>
      </c>
      <c r="V495" s="706">
        <f t="shared" si="461"/>
        <v>-32.380952380952387</v>
      </c>
      <c r="W495" s="706">
        <f t="shared" si="461"/>
        <v>-50.10954616588419</v>
      </c>
      <c r="X495" s="706">
        <f t="shared" si="461"/>
        <v>-11.417816813048942</v>
      </c>
      <c r="Y495" s="706">
        <f t="shared" si="461"/>
        <v>23.300283286118994</v>
      </c>
      <c r="Z495" s="706">
        <f t="shared" si="461"/>
        <v>-13.038483630097652</v>
      </c>
      <c r="AA495" s="706">
        <f t="shared" si="461"/>
        <v>16.446499339498022</v>
      </c>
      <c r="AB495" s="706">
        <f t="shared" si="461"/>
        <v>-19.398752127056152</v>
      </c>
      <c r="AC495" s="3089">
        <v>0</v>
      </c>
      <c r="AD495" s="3089">
        <v>0</v>
      </c>
      <c r="AE495" s="3089">
        <v>0</v>
      </c>
    </row>
    <row r="496" spans="1:113" ht="12.75" customHeight="1">
      <c r="A496" s="664"/>
      <c r="B496" s="664"/>
      <c r="C496" s="795" t="s">
        <v>1767</v>
      </c>
      <c r="D496" s="674" t="s">
        <v>687</v>
      </c>
      <c r="E496" s="783" t="s">
        <v>43</v>
      </c>
      <c r="F496" s="704" t="s">
        <v>320</v>
      </c>
      <c r="G496" s="706"/>
      <c r="H496" s="706" t="e">
        <f>(H484/G484-1)*100</f>
        <v>#DIV/0!</v>
      </c>
      <c r="I496" s="706" t="e">
        <f t="shared" ref="I496:AB496" si="462">(I484/H484-1)*100</f>
        <v>#DIV/0!</v>
      </c>
      <c r="J496" s="706">
        <f t="shared" si="462"/>
        <v>-88.105726872246692</v>
      </c>
      <c r="K496" s="706">
        <f t="shared" si="460"/>
        <v>4074.0740740740735</v>
      </c>
      <c r="L496" s="706">
        <f t="shared" si="462"/>
        <v>-10.115350488021324</v>
      </c>
      <c r="M496" s="706">
        <f t="shared" si="462"/>
        <v>53.800592300098728</v>
      </c>
      <c r="N496" s="706">
        <f t="shared" si="462"/>
        <v>362.00256739409502</v>
      </c>
      <c r="O496" s="706">
        <f t="shared" si="462"/>
        <v>-6.3628785773825918</v>
      </c>
      <c r="P496" s="706">
        <f t="shared" si="462"/>
        <v>24.154302670623153</v>
      </c>
      <c r="Q496" s="706">
        <f t="shared" si="462"/>
        <v>101.76864244741877</v>
      </c>
      <c r="R496" s="706">
        <f t="shared" si="462"/>
        <v>45.403932717365535</v>
      </c>
      <c r="S496" s="706">
        <f t="shared" si="462"/>
        <v>71.213849287169054</v>
      </c>
      <c r="T496" s="706">
        <f t="shared" si="462"/>
        <v>-14.438655342231099</v>
      </c>
      <c r="U496" s="706">
        <f t="shared" si="462"/>
        <v>22.313980647313958</v>
      </c>
      <c r="V496" s="706">
        <f t="shared" si="462"/>
        <v>67.894246288844954</v>
      </c>
      <c r="W496" s="706">
        <f t="shared" si="462"/>
        <v>-4.9150362196195392</v>
      </c>
      <c r="X496" s="706">
        <f t="shared" si="462"/>
        <v>-7.6354574581701478</v>
      </c>
      <c r="Y496" s="706">
        <f t="shared" si="462"/>
        <v>13.846106408892588</v>
      </c>
      <c r="Z496" s="706">
        <f t="shared" si="462"/>
        <v>36.338768214072914</v>
      </c>
      <c r="AA496" s="706">
        <f t="shared" si="462"/>
        <v>-29.726454637557374</v>
      </c>
      <c r="AB496" s="706">
        <f t="shared" si="462"/>
        <v>-53.881272084805651</v>
      </c>
      <c r="AC496" s="2215">
        <v>-2</v>
      </c>
      <c r="AD496" s="2215">
        <v>16</v>
      </c>
      <c r="AE496" s="2215">
        <v>2</v>
      </c>
    </row>
    <row r="497" spans="1:31" ht="12.75" customHeight="1">
      <c r="A497" s="664"/>
      <c r="B497" s="664"/>
      <c r="C497" s="795" t="s">
        <v>1769</v>
      </c>
      <c r="D497" s="717" t="s">
        <v>687</v>
      </c>
      <c r="E497" s="722" t="s">
        <v>1479</v>
      </c>
      <c r="F497" s="723" t="s">
        <v>1939</v>
      </c>
      <c r="G497" s="721"/>
      <c r="H497" s="721" t="e">
        <f>(H485/G485-1)*100</f>
        <v>#DIV/0!</v>
      </c>
      <c r="I497" s="721" t="e">
        <f t="shared" ref="I497:AE497" si="463">(I485/H485-1)*100</f>
        <v>#DIV/0!</v>
      </c>
      <c r="J497" s="721">
        <f t="shared" si="463"/>
        <v>-79.565217391304344</v>
      </c>
      <c r="K497" s="721">
        <f t="shared" si="460"/>
        <v>2429.7872340425533</v>
      </c>
      <c r="L497" s="721">
        <f t="shared" si="463"/>
        <v>-334.23044575273337</v>
      </c>
      <c r="M497" s="721">
        <f t="shared" si="463"/>
        <v>5.7450628366247702</v>
      </c>
      <c r="N497" s="721">
        <f t="shared" si="463"/>
        <v>-255.85738539898131</v>
      </c>
      <c r="O497" s="721">
        <f t="shared" si="463"/>
        <v>16.339869281045761</v>
      </c>
      <c r="P497" s="721">
        <f t="shared" si="463"/>
        <v>35.187265917603014</v>
      </c>
      <c r="Q497" s="721">
        <f t="shared" si="463"/>
        <v>121.23562820335229</v>
      </c>
      <c r="R497" s="721">
        <f t="shared" si="463"/>
        <v>45.094233297852341</v>
      </c>
      <c r="S497" s="721">
        <f t="shared" si="463"/>
        <v>78.332542182712643</v>
      </c>
      <c r="T497" s="721">
        <f t="shared" si="463"/>
        <v>-17.064730792498484</v>
      </c>
      <c r="U497" s="721">
        <f t="shared" ref="U497:AB497" si="464">(U485/T485-1)*100</f>
        <v>15.081842850056892</v>
      </c>
      <c r="V497" s="721">
        <f t="shared" si="464"/>
        <v>79.428020891435523</v>
      </c>
      <c r="W497" s="721">
        <f t="shared" si="464"/>
        <v>-2.881164335170272</v>
      </c>
      <c r="X497" s="721">
        <f t="shared" si="464"/>
        <v>-7.5075293535667997</v>
      </c>
      <c r="Y497" s="721">
        <f t="shared" si="464"/>
        <v>13.622563747620763</v>
      </c>
      <c r="Z497" s="721">
        <f t="shared" si="464"/>
        <v>37.471445778128533</v>
      </c>
      <c r="AA497" s="721">
        <f t="shared" si="464"/>
        <v>-30.380575445381041</v>
      </c>
      <c r="AB497" s="721">
        <f t="shared" si="464"/>
        <v>-54.643425430348614</v>
      </c>
      <c r="AC497" s="2220">
        <f t="shared" si="463"/>
        <v>-2.0812629564662788</v>
      </c>
      <c r="AD497" s="2220">
        <f t="shared" si="463"/>
        <v>16.663921606179557</v>
      </c>
      <c r="AE497" s="2220">
        <f t="shared" si="463"/>
        <v>2.0711361315733923</v>
      </c>
    </row>
    <row r="498" spans="1:31" ht="12.75" customHeight="1">
      <c r="A498" s="664"/>
      <c r="B498" s="664"/>
      <c r="C498" s="795" t="s">
        <v>401</v>
      </c>
      <c r="D498" s="674" t="s">
        <v>687</v>
      </c>
      <c r="E498" s="783" t="s">
        <v>185</v>
      </c>
      <c r="F498" s="704" t="s">
        <v>1175</v>
      </c>
      <c r="G498" s="706"/>
      <c r="H498" s="706">
        <f t="shared" ref="H498:P499" si="465">(H486/G486-1)*100</f>
        <v>155.9612983770287</v>
      </c>
      <c r="I498" s="706">
        <f t="shared" si="465"/>
        <v>509.7792952079015</v>
      </c>
      <c r="J498" s="706">
        <f t="shared" si="465"/>
        <v>-89.851623740201575</v>
      </c>
      <c r="K498" s="706">
        <f t="shared" si="460"/>
        <v>-20.367816091954015</v>
      </c>
      <c r="L498" s="706">
        <f t="shared" si="465"/>
        <v>139.50016496205873</v>
      </c>
      <c r="M498" s="706">
        <f t="shared" si="465"/>
        <v>-10.627819678341421</v>
      </c>
      <c r="N498" s="706">
        <f t="shared" si="465"/>
        <v>-48.741859658587337</v>
      </c>
      <c r="O498" s="706">
        <f t="shared" si="465"/>
        <v>-46.030672079386562</v>
      </c>
      <c r="P498" s="706">
        <f t="shared" si="465"/>
        <v>44.811255049449763</v>
      </c>
      <c r="Q498" s="706">
        <f t="shared" ref="Q498:AB499" si="466">(Q486/P486-1)*100</f>
        <v>-20.142362447095042</v>
      </c>
      <c r="R498" s="706">
        <f t="shared" si="466"/>
        <v>15.068658154661541</v>
      </c>
      <c r="S498" s="706">
        <f t="shared" si="466"/>
        <v>169.24526326808328</v>
      </c>
      <c r="T498" s="706">
        <f t="shared" si="466"/>
        <v>-49.640371680727803</v>
      </c>
      <c r="U498" s="706">
        <f t="shared" si="466"/>
        <v>-14.467690882421069</v>
      </c>
      <c r="V498" s="706">
        <f t="shared" si="466"/>
        <v>9.7120678761621004</v>
      </c>
      <c r="W498" s="706">
        <f t="shared" si="466"/>
        <v>1046.5734265734268</v>
      </c>
      <c r="X498" s="706">
        <f t="shared" si="466"/>
        <v>-93.457514745346785</v>
      </c>
      <c r="Y498" s="706">
        <f t="shared" si="466"/>
        <v>394.40666812897564</v>
      </c>
      <c r="Z498" s="706">
        <f t="shared" si="466"/>
        <v>12.065217391304351</v>
      </c>
      <c r="AA498" s="706">
        <f t="shared" si="466"/>
        <v>-47.116926304954575</v>
      </c>
      <c r="AB498" s="706">
        <f t="shared" si="466"/>
        <v>-31.168588111992811</v>
      </c>
      <c r="AC498" s="3274">
        <v>44</v>
      </c>
      <c r="AD498" s="3274">
        <v>-28</v>
      </c>
      <c r="AE498" s="3274">
        <v>0</v>
      </c>
    </row>
    <row r="499" spans="1:31" ht="12.75" customHeight="1">
      <c r="A499" s="664"/>
      <c r="B499" s="664"/>
      <c r="C499" s="795" t="s">
        <v>1769</v>
      </c>
      <c r="D499" s="717" t="s">
        <v>687</v>
      </c>
      <c r="E499" s="722" t="s">
        <v>2123</v>
      </c>
      <c r="F499" s="723" t="s">
        <v>2120</v>
      </c>
      <c r="G499" s="721"/>
      <c r="H499" s="721">
        <f t="shared" si="465"/>
        <v>155.9612983770287</v>
      </c>
      <c r="I499" s="721">
        <f t="shared" si="465"/>
        <v>508.84444986383778</v>
      </c>
      <c r="J499" s="721">
        <f t="shared" si="465"/>
        <v>-89.867417920610976</v>
      </c>
      <c r="K499" s="721">
        <f t="shared" si="460"/>
        <v>-27.954934774015015</v>
      </c>
      <c r="L499" s="721">
        <f t="shared" si="465"/>
        <v>191.01051668952903</v>
      </c>
      <c r="M499" s="721">
        <f t="shared" si="465"/>
        <v>-9.1948966124065112</v>
      </c>
      <c r="N499" s="721">
        <f t="shared" si="465"/>
        <v>-69.850498338870423</v>
      </c>
      <c r="O499" s="721">
        <f t="shared" si="465"/>
        <v>-78.891184573002747</v>
      </c>
      <c r="P499" s="721">
        <f t="shared" si="465"/>
        <v>72.756933115823671</v>
      </c>
      <c r="Q499" s="721">
        <f t="shared" si="466"/>
        <v>-341.39124960654715</v>
      </c>
      <c r="R499" s="721">
        <f t="shared" si="466"/>
        <v>77.598122310601056</v>
      </c>
      <c r="S499" s="721">
        <f t="shared" si="466"/>
        <v>14.566813509544808</v>
      </c>
      <c r="T499" s="721">
        <f t="shared" si="466"/>
        <v>36.631632914637294</v>
      </c>
      <c r="U499" s="721">
        <f t="shared" si="466"/>
        <v>33.03470919324576</v>
      </c>
      <c r="V499" s="721">
        <f t="shared" si="466"/>
        <v>106.66008532242711</v>
      </c>
      <c r="W499" s="721">
        <f t="shared" si="466"/>
        <v>-220.50669623816432</v>
      </c>
      <c r="X499" s="721">
        <f t="shared" si="466"/>
        <v>-177.0906774262051</v>
      </c>
      <c r="Y499" s="721">
        <f t="shared" si="466"/>
        <v>-50.138651681266431</v>
      </c>
      <c r="Z499" s="721">
        <f t="shared" si="466"/>
        <v>79.654524695223088</v>
      </c>
      <c r="AA499" s="721">
        <f t="shared" si="466"/>
        <v>-13.04686539013491</v>
      </c>
      <c r="AB499" s="721">
        <f t="shared" si="466"/>
        <v>-69.429905219974529</v>
      </c>
      <c r="AC499" s="2220">
        <f>(AC487/AB487-1)*100</f>
        <v>-67.435909301249424</v>
      </c>
      <c r="AD499" s="2220">
        <f>(AD487/AC487-1)*100</f>
        <v>296.77641831625709</v>
      </c>
      <c r="AE499" s="2220">
        <f>(AE487/AD487-1)*100</f>
        <v>4.4281976671307399</v>
      </c>
    </row>
    <row r="500" spans="1:31" ht="12.75" customHeight="1">
      <c r="A500" s="664"/>
      <c r="B500" s="664"/>
      <c r="C500" s="795" t="s">
        <v>1767</v>
      </c>
      <c r="D500" s="674" t="s">
        <v>685</v>
      </c>
      <c r="E500" s="783" t="s">
        <v>2123</v>
      </c>
      <c r="F500" s="704" t="s">
        <v>2121</v>
      </c>
      <c r="G500" s="706"/>
      <c r="H500" s="706">
        <f t="shared" ref="H500:AB500" si="467">(H488/G488-1)*100</f>
        <v>69.385474860335194</v>
      </c>
      <c r="I500" s="706">
        <f t="shared" si="467"/>
        <v>4751.9129287598953</v>
      </c>
      <c r="J500" s="706">
        <f t="shared" si="467"/>
        <v>-96.623614981986279</v>
      </c>
      <c r="K500" s="706">
        <f t="shared" si="460"/>
        <v>3.764847996778764</v>
      </c>
      <c r="L500" s="706">
        <f t="shared" si="467"/>
        <v>278.09468374078386</v>
      </c>
      <c r="M500" s="706">
        <f t="shared" si="467"/>
        <v>-85.415918304510697</v>
      </c>
      <c r="N500" s="706">
        <f t="shared" si="467"/>
        <v>-14.109781843771984</v>
      </c>
      <c r="O500" s="706">
        <f t="shared" si="467"/>
        <v>40.06554690700532</v>
      </c>
      <c r="P500" s="706">
        <f t="shared" si="467"/>
        <v>150.39485229599302</v>
      </c>
      <c r="Q500" s="706">
        <f t="shared" si="467"/>
        <v>-15.687419693961003</v>
      </c>
      <c r="R500" s="706">
        <f t="shared" si="467"/>
        <v>8.6311997783319772</v>
      </c>
      <c r="S500" s="706">
        <f t="shared" si="467"/>
        <v>134.45989032011224</v>
      </c>
      <c r="T500" s="706">
        <f t="shared" si="467"/>
        <v>-75.815926892950387</v>
      </c>
      <c r="U500" s="706">
        <f t="shared" si="467"/>
        <v>-30.926675663517766</v>
      </c>
      <c r="V500" s="706">
        <f t="shared" si="467"/>
        <v>28.069032888309977</v>
      </c>
      <c r="W500" s="706">
        <f t="shared" si="467"/>
        <v>3043.7833714721592</v>
      </c>
      <c r="X500" s="706">
        <f t="shared" si="467"/>
        <v>-96.863601439605318</v>
      </c>
      <c r="Y500" s="706">
        <f t="shared" si="467"/>
        <v>88.421866941722556</v>
      </c>
      <c r="Z500" s="706">
        <f t="shared" si="467"/>
        <v>443.34200082113051</v>
      </c>
      <c r="AA500" s="706">
        <f t="shared" si="467"/>
        <v>-69.691703188756236</v>
      </c>
      <c r="AB500" s="706">
        <f t="shared" si="467"/>
        <v>-54.242499792238007</v>
      </c>
      <c r="AC500" s="2215">
        <v>-7</v>
      </c>
      <c r="AD500" s="2215">
        <v>-7</v>
      </c>
      <c r="AE500" s="2215">
        <v>-7</v>
      </c>
    </row>
    <row r="501" spans="1:31" ht="12.75" customHeight="1">
      <c r="A501" s="664"/>
      <c r="B501" s="664"/>
      <c r="C501" s="796" t="s">
        <v>1767</v>
      </c>
      <c r="D501" s="691" t="s">
        <v>686</v>
      </c>
      <c r="E501" s="797" t="s">
        <v>2123</v>
      </c>
      <c r="F501" s="736" t="s">
        <v>2122</v>
      </c>
      <c r="G501" s="741"/>
      <c r="H501" s="741">
        <f t="shared" ref="H501:X502" si="468">(H489/G489-1)*100</f>
        <v>571.95158850226937</v>
      </c>
      <c r="I501" s="741">
        <f t="shared" si="468"/>
        <v>-85.766390489913547</v>
      </c>
      <c r="J501" s="741">
        <f t="shared" si="468"/>
        <v>216.73521037646316</v>
      </c>
      <c r="K501" s="741">
        <f t="shared" si="460"/>
        <v>-46.064722333200159</v>
      </c>
      <c r="L501" s="741">
        <f t="shared" si="468"/>
        <v>133.0185185185185</v>
      </c>
      <c r="M501" s="741">
        <f t="shared" si="468"/>
        <v>108.32869744893902</v>
      </c>
      <c r="N501" s="741">
        <f t="shared" si="468"/>
        <v>-53.562981612878602</v>
      </c>
      <c r="O501" s="741">
        <f t="shared" si="468"/>
        <v>-64.215887620142936</v>
      </c>
      <c r="P501" s="741">
        <f t="shared" si="468"/>
        <v>74.08172635445365</v>
      </c>
      <c r="Q501" s="741">
        <f t="shared" si="468"/>
        <v>-27.337465383093761</v>
      </c>
      <c r="R501" s="741">
        <f t="shared" si="468"/>
        <v>161.27041742286755</v>
      </c>
      <c r="S501" s="741">
        <f t="shared" si="468"/>
        <v>88.61489302584053</v>
      </c>
      <c r="T501" s="741">
        <f t="shared" si="468"/>
        <v>33.101314771848386</v>
      </c>
      <c r="U501" s="741">
        <f t="shared" si="468"/>
        <v>133.49658282836666</v>
      </c>
      <c r="V501" s="741">
        <f t="shared" si="468"/>
        <v>-48.768782291321045</v>
      </c>
      <c r="W501" s="741">
        <f t="shared" si="468"/>
        <v>9.5713922235329374</v>
      </c>
      <c r="X501" s="741">
        <f t="shared" si="468"/>
        <v>-19.617487492347628</v>
      </c>
      <c r="Y501" s="741">
        <f t="shared" ref="Y501:AB502" si="469">(Y489/X489-1)*100</f>
        <v>95.459320342454944</v>
      </c>
      <c r="Z501" s="741">
        <f t="shared" si="469"/>
        <v>-87.781315920297757</v>
      </c>
      <c r="AA501" s="741">
        <f t="shared" si="469"/>
        <v>529.85484935122122</v>
      </c>
      <c r="AB501" s="741">
        <f t="shared" si="469"/>
        <v>-32.95972345885928</v>
      </c>
      <c r="AC501" s="2214">
        <v>-7</v>
      </c>
      <c r="AD501" s="2214">
        <v>-7</v>
      </c>
      <c r="AE501" s="2214">
        <v>-7</v>
      </c>
    </row>
    <row r="502" spans="1:31" ht="12.75" customHeight="1">
      <c r="A502" s="664"/>
      <c r="B502" s="664"/>
      <c r="C502" s="774" t="s">
        <v>1769</v>
      </c>
      <c r="D502" s="717" t="s">
        <v>688</v>
      </c>
      <c r="E502" s="722" t="s">
        <v>206</v>
      </c>
      <c r="F502" s="723" t="s">
        <v>1477</v>
      </c>
      <c r="G502" s="721"/>
      <c r="H502" s="721">
        <f t="shared" ref="H502:T502" si="470">(H490/G490-1)*100</f>
        <v>-114.10228027451848</v>
      </c>
      <c r="I502" s="721">
        <f t="shared" si="470"/>
        <v>-25.117739403453687</v>
      </c>
      <c r="J502" s="721">
        <f t="shared" si="470"/>
        <v>-141.50943396226415</v>
      </c>
      <c r="K502" s="721">
        <f t="shared" si="460"/>
        <v>92.424242424242436</v>
      </c>
      <c r="L502" s="721">
        <f t="shared" si="470"/>
        <v>-165.35433070866142</v>
      </c>
      <c r="M502" s="721">
        <f t="shared" si="470"/>
        <v>-35.341365461847388</v>
      </c>
      <c r="N502" s="721">
        <f t="shared" si="470"/>
        <v>3565.8385093167703</v>
      </c>
      <c r="O502" s="721">
        <f t="shared" si="470"/>
        <v>0.57607590647237306</v>
      </c>
      <c r="P502" s="721">
        <f t="shared" si="470"/>
        <v>118.44676549865225</v>
      </c>
      <c r="Q502" s="721">
        <f t="shared" si="470"/>
        <v>57.299298218554817</v>
      </c>
      <c r="R502" s="721">
        <f t="shared" si="470"/>
        <v>75.795460116683813</v>
      </c>
      <c r="S502" s="721">
        <f t="shared" si="470"/>
        <v>70.516217196084426</v>
      </c>
      <c r="T502" s="721">
        <f t="shared" si="470"/>
        <v>1.2511857642864221</v>
      </c>
      <c r="U502" s="2220">
        <f>(U490/T490-1)*100</f>
        <v>87.090312888687876</v>
      </c>
      <c r="V502" s="2220">
        <f t="shared" si="468"/>
        <v>-8.6702008254045175</v>
      </c>
      <c r="W502" s="2220">
        <f>(W490/V490-1)*100</f>
        <v>-5.1039894119871416</v>
      </c>
      <c r="X502" s="2220">
        <f>(X490/W490-1)*100</f>
        <v>-3.9569241191061977</v>
      </c>
      <c r="Y502" s="2220">
        <f t="shared" si="469"/>
        <v>12.940700557001916</v>
      </c>
      <c r="Z502" s="2220">
        <f t="shared" si="469"/>
        <v>-10.388024062083845</v>
      </c>
      <c r="AA502" s="2220">
        <f t="shared" si="469"/>
        <v>14.50386373419148</v>
      </c>
      <c r="AB502" s="2220">
        <f t="shared" si="469"/>
        <v>-49.096897767753248</v>
      </c>
      <c r="AC502" s="2220">
        <f>(AC490/AB490-1)*100</f>
        <v>-20.778520185680126</v>
      </c>
      <c r="AD502" s="2220">
        <f>(AD490/AC490-1)*100</f>
        <v>21.468040725480343</v>
      </c>
      <c r="AE502" s="2220">
        <f>(AE490/AD490-1)*100</f>
        <v>-3.5016352279790275</v>
      </c>
    </row>
    <row r="503" spans="1:31" ht="12.75" customHeight="1">
      <c r="A503" s="664"/>
      <c r="B503" s="664"/>
      <c r="C503" s="774"/>
      <c r="E503" s="786"/>
      <c r="F503" s="787"/>
      <c r="G503" s="703"/>
      <c r="H503" s="788"/>
      <c r="I503" s="703"/>
      <c r="J503" s="703"/>
      <c r="K503" s="703"/>
      <c r="L503" s="703"/>
      <c r="M503" s="703"/>
      <c r="N503" s="703"/>
      <c r="O503" s="703"/>
      <c r="P503" s="703"/>
      <c r="Q503" s="845"/>
      <c r="R503" s="845"/>
      <c r="S503" s="845"/>
      <c r="T503" s="2254"/>
      <c r="U503" s="2254"/>
      <c r="V503" s="2254"/>
      <c r="W503" s="2254"/>
      <c r="X503" s="2254"/>
      <c r="Y503" s="2254"/>
      <c r="Z503" s="2254"/>
      <c r="AA503" s="2254"/>
      <c r="AB503" s="2254"/>
      <c r="AC503" s="2254"/>
      <c r="AD503" s="2254"/>
      <c r="AE503" s="2254"/>
    </row>
    <row r="504" spans="1:31" ht="12.75" customHeight="1">
      <c r="A504" s="664"/>
      <c r="B504" s="664"/>
      <c r="C504" s="774"/>
      <c r="D504" s="818"/>
      <c r="E504" s="819" t="s">
        <v>512</v>
      </c>
      <c r="F504" s="820"/>
      <c r="G504" s="821">
        <f>+InputY!$G$3</f>
        <v>1995</v>
      </c>
      <c r="H504" s="821">
        <f>+G504+1</f>
        <v>1996</v>
      </c>
      <c r="I504" s="821">
        <f t="shared" ref="I504:O504" si="471">+H504+1</f>
        <v>1997</v>
      </c>
      <c r="J504" s="821">
        <f t="shared" si="471"/>
        <v>1998</v>
      </c>
      <c r="K504" s="821">
        <f>+J504+1</f>
        <v>1999</v>
      </c>
      <c r="L504" s="821">
        <f t="shared" si="471"/>
        <v>2000</v>
      </c>
      <c r="M504" s="821">
        <f t="shared" si="471"/>
        <v>2001</v>
      </c>
      <c r="N504" s="821">
        <f t="shared" si="471"/>
        <v>2002</v>
      </c>
      <c r="O504" s="821">
        <f t="shared" si="471"/>
        <v>2003</v>
      </c>
      <c r="P504" s="821">
        <f t="shared" ref="P504:V504" si="472">+O504+1</f>
        <v>2004</v>
      </c>
      <c r="Q504" s="821">
        <f t="shared" si="472"/>
        <v>2005</v>
      </c>
      <c r="R504" s="821">
        <f t="shared" si="472"/>
        <v>2006</v>
      </c>
      <c r="S504" s="821">
        <f>+R504+1</f>
        <v>2007</v>
      </c>
      <c r="T504" s="821">
        <f t="shared" si="472"/>
        <v>2008</v>
      </c>
      <c r="U504" s="821">
        <f t="shared" si="472"/>
        <v>2009</v>
      </c>
      <c r="V504" s="821">
        <f t="shared" si="472"/>
        <v>2010</v>
      </c>
      <c r="W504" s="821">
        <f t="shared" ref="W504:AE504" si="473">+V504+1</f>
        <v>2011</v>
      </c>
      <c r="X504" s="821">
        <f t="shared" si="473"/>
        <v>2012</v>
      </c>
      <c r="Y504" s="821">
        <f t="shared" si="473"/>
        <v>2013</v>
      </c>
      <c r="Z504" s="821">
        <f t="shared" si="473"/>
        <v>2014</v>
      </c>
      <c r="AA504" s="821">
        <f t="shared" si="473"/>
        <v>2015</v>
      </c>
      <c r="AB504" s="821">
        <f t="shared" si="473"/>
        <v>2016</v>
      </c>
      <c r="AC504" s="821">
        <f t="shared" si="473"/>
        <v>2017</v>
      </c>
      <c r="AD504" s="821">
        <f t="shared" si="473"/>
        <v>2018</v>
      </c>
      <c r="AE504" s="821">
        <f t="shared" si="473"/>
        <v>2019</v>
      </c>
    </row>
    <row r="505" spans="1:31" ht="12.75" customHeight="1">
      <c r="A505" s="664"/>
      <c r="B505" s="664"/>
      <c r="C505" s="822" t="s">
        <v>1767</v>
      </c>
      <c r="D505" s="823" t="s">
        <v>687</v>
      </c>
      <c r="E505" s="824" t="s">
        <v>1476</v>
      </c>
      <c r="F505" s="825" t="s">
        <v>319</v>
      </c>
      <c r="G505" s="838">
        <f>+G482/'VVP2'!G$341</f>
        <v>0</v>
      </c>
      <c r="H505" s="838">
        <f>+H482/'VVP2'!H$341</f>
        <v>0</v>
      </c>
      <c r="I505" s="838">
        <f>+I482/'VVP2'!I$341</f>
        <v>2.5587794280957396E-6</v>
      </c>
      <c r="J505" s="838">
        <f>+J482/'VVP2'!J$341</f>
        <v>1.5358671044911828E-5</v>
      </c>
      <c r="K505" s="838">
        <f>+K482/'VVP2'!K$341</f>
        <v>4.8772506151628998E-5</v>
      </c>
      <c r="L505" s="838">
        <f>+L482/'VVP2'!L$341</f>
        <v>3.9646384174958745E-5</v>
      </c>
      <c r="M505" s="838">
        <f>+M482/'VVP2'!M$341</f>
        <v>4.5792319853013695E-5</v>
      </c>
      <c r="N505" s="838">
        <f>+N482/'VVP2'!N$341</f>
        <v>4.341485458983816E-5</v>
      </c>
      <c r="O505" s="838">
        <f>+O482/'VVP2'!O$341</f>
        <v>1.9197911267254126E-5</v>
      </c>
      <c r="P505" s="838">
        <f>+P482/'VVP2'!P$341</f>
        <v>2.7415707665212539E-5</v>
      </c>
      <c r="Q505" s="838">
        <f>+Q482/'VVP2'!Q$341</f>
        <v>3.190119200946561E-5</v>
      </c>
      <c r="R505" s="838">
        <f>+R482/'VVP2'!R$341</f>
        <v>5.0250880636300734E-5</v>
      </c>
      <c r="S505" s="838">
        <f>+S482/'VVP2'!S$341</f>
        <v>6.2670751973267828E-5</v>
      </c>
      <c r="T505" s="2909">
        <f>+T482/'VVP2'!T$341</f>
        <v>5.3828753607444027E-5</v>
      </c>
      <c r="U505" s="2909">
        <f>+U482/'VVP2'!U$341</f>
        <v>6.6085461124299337E-5</v>
      </c>
      <c r="V505" s="2909">
        <f>+V482/'VVP2'!V$341</f>
        <v>3.9246943911835667E-5</v>
      </c>
      <c r="W505" s="2909">
        <f>+W482/'VVP2'!W$341</f>
        <v>3.1974093310635988E-5</v>
      </c>
      <c r="X505" s="2909">
        <f>+X482/'VVP2'!X$341</f>
        <v>3.5983649029880815E-5</v>
      </c>
      <c r="Y505" s="2909">
        <f>+Y482/'VVP2'!Y$341</f>
        <v>3.6613638866521836E-5</v>
      </c>
      <c r="Z505" s="2909">
        <f>+Z482/'VVP2'!Z$341</f>
        <v>3.6370318757130499E-5</v>
      </c>
      <c r="AA505" s="2909">
        <f>+AA482/'VVP2'!AA$341</f>
        <v>3.8208109150147448E-5</v>
      </c>
      <c r="AB505" s="2909">
        <f>+AB482/'VVP2'!AB$341</f>
        <v>3.8015615884010472E-5</v>
      </c>
      <c r="AC505" s="2909">
        <f ca="1">+AC482/'VVP2'!AC$341</f>
        <v>3.5184639865128737E-5</v>
      </c>
      <c r="AD505" s="2909">
        <f ca="1">+AD482/'VVP2'!AD$341</f>
        <v>3.3249223797298408E-5</v>
      </c>
      <c r="AE505" s="2909">
        <f ca="1">+AE482/'VVP2'!AE$341</f>
        <v>3.1493532649584085E-5</v>
      </c>
    </row>
    <row r="506" spans="1:31" ht="12.75" customHeight="1">
      <c r="A506" s="664"/>
      <c r="B506" s="664"/>
      <c r="C506" s="826" t="s">
        <v>401</v>
      </c>
      <c r="D506" s="674" t="s">
        <v>687</v>
      </c>
      <c r="E506" s="783" t="s">
        <v>1116</v>
      </c>
      <c r="F506" s="704" t="s">
        <v>1175</v>
      </c>
      <c r="G506" s="839">
        <f>+G483/'VVP2'!G$341</f>
        <v>0</v>
      </c>
      <c r="H506" s="839">
        <f>+H483/'VVP2'!H$341</f>
        <v>0</v>
      </c>
      <c r="I506" s="839">
        <f>+I483/'VVP2'!I$341</f>
        <v>0</v>
      </c>
      <c r="J506" s="839">
        <f>+J483/'VVP2'!J$341</f>
        <v>0</v>
      </c>
      <c r="K506" s="839">
        <f>+K483/'VVP2'!K$341</f>
        <v>0</v>
      </c>
      <c r="L506" s="839">
        <f>+L483/'VVP2'!L$341</f>
        <v>2.8807212350521905E-3</v>
      </c>
      <c r="M506" s="839">
        <f>+M483/'VVP2'!M$341</f>
        <v>3.2181433398241008E-3</v>
      </c>
      <c r="N506" s="839">
        <f>+N483/'VVP2'!N$341</f>
        <v>1.7589594117155642E-3</v>
      </c>
      <c r="O506" s="839">
        <f>+O483/'VVP2'!O$341</f>
        <v>8.5910652920962209E-4</v>
      </c>
      <c r="P506" s="839">
        <f>+P483/'VVP2'!P$341</f>
        <v>6.5742866981179668E-4</v>
      </c>
      <c r="Q506" s="839">
        <f>+Q483/'VVP2'!Q$341</f>
        <v>4.6661445028770595E-4</v>
      </c>
      <c r="R506" s="839">
        <f>+R483/'VVP2'!R$341</f>
        <v>6.2211420820808684E-4</v>
      </c>
      <c r="S506" s="839">
        <f>+S483/'VVP2'!S$341</f>
        <v>3.0646686404510091E-4</v>
      </c>
      <c r="T506" s="2910">
        <f>+T483/'VVP2'!T$341</f>
        <v>5.7101297150623871E-4</v>
      </c>
      <c r="U506" s="2910">
        <f>+U483/'VVP2'!U$341</f>
        <v>1.7542348528781703E-3</v>
      </c>
      <c r="V506" s="2910">
        <f>+V483/'VVP2'!V$341</f>
        <v>1.1399453254392268E-3</v>
      </c>
      <c r="W506" s="2910">
        <f>+W483/'VVP2'!W$341</f>
        <v>5.0966704737153768E-4</v>
      </c>
      <c r="X506" s="2910">
        <f>+X483/'VVP2'!X$341</f>
        <v>4.2340760358493094E-4</v>
      </c>
      <c r="Y506" s="2910">
        <f>+Y483/'VVP2'!Y$341</f>
        <v>4.9800269739542591E-4</v>
      </c>
      <c r="Z506" s="2910">
        <f>+Z483/'VVP2'!Z$341</f>
        <v>4.1402001953605693E-4</v>
      </c>
      <c r="AA506" s="2910">
        <f>+AA483/'VVP2'!AA$341</f>
        <v>4.7105521980216747E-4</v>
      </c>
      <c r="AB506" s="2910">
        <f>+AB483/'VVP2'!AB$341</f>
        <v>3.6748428687876793E-4</v>
      </c>
      <c r="AC506" s="2910">
        <f ca="1">+AC483/'VVP2'!AC$341</f>
        <v>3.4011818536291115E-4</v>
      </c>
      <c r="AD506" s="2910">
        <f ca="1">+AD483/'VVP2'!AD$341</f>
        <v>3.2140916337388461E-4</v>
      </c>
      <c r="AE506" s="2910">
        <f ca="1">+AE483/'VVP2'!AE$341</f>
        <v>3.044374822793128E-4</v>
      </c>
    </row>
    <row r="507" spans="1:31" ht="12.75" customHeight="1">
      <c r="A507" s="664"/>
      <c r="B507" s="664"/>
      <c r="C507" s="826" t="s">
        <v>1767</v>
      </c>
      <c r="D507" s="674" t="s">
        <v>687</v>
      </c>
      <c r="E507" s="783" t="s">
        <v>43</v>
      </c>
      <c r="F507" s="704" t="s">
        <v>320</v>
      </c>
      <c r="G507" s="839">
        <f>+G484/'VVP2'!G$341</f>
        <v>0</v>
      </c>
      <c r="H507" s="839">
        <f>+H484/'VVP2'!H$341</f>
        <v>0</v>
      </c>
      <c r="I507" s="839">
        <f>+I484/'VVP2'!I$341</f>
        <v>1.9361431005924428E-4</v>
      </c>
      <c r="J507" s="839">
        <f>+J484/'VVP2'!J$341</f>
        <v>2.0734205910630968E-5</v>
      </c>
      <c r="K507" s="839">
        <f>+K484/'VVP2'!K$341</f>
        <v>8.8655829730461102E-4</v>
      </c>
      <c r="L507" s="839">
        <f>+L484/'VVP2'!L$341</f>
        <v>7.5776956923081498E-4</v>
      </c>
      <c r="M507" s="839">
        <f>+M484/'VVP2'!M$341</f>
        <v>1.0976066820153126E-3</v>
      </c>
      <c r="N507" s="839">
        <f>+N484/'VVP2'!N$341</f>
        <v>4.734850353600834E-3</v>
      </c>
      <c r="O507" s="839">
        <f>+O484/'VVP2'!O$341</f>
        <v>4.0435600606653996E-3</v>
      </c>
      <c r="P507" s="839">
        <f>+P484/'VVP2'!P$341</f>
        <v>4.5882928348499703E-3</v>
      </c>
      <c r="Q507" s="839">
        <f>+Q484/'VVP2'!Q$341</f>
        <v>8.0391003863853339E-3</v>
      </c>
      <c r="R507" s="839">
        <f>+R484/'VVP2'!R$341</f>
        <v>1.0195529914224653E-2</v>
      </c>
      <c r="S507" s="839">
        <f>+S484/'VVP2'!S$341</f>
        <v>1.4473844602705312E-2</v>
      </c>
      <c r="T507" s="2910">
        <f>+T484/'VVP2'!T$341</f>
        <v>1.0999416447375666E-2</v>
      </c>
      <c r="U507" s="2910">
        <f>+U484/'VVP2'!U$341</f>
        <v>1.6331648030319119E-2</v>
      </c>
      <c r="V507" s="2910">
        <f>+V484/'VVP2'!V$341</f>
        <v>2.6350754932805663E-2</v>
      </c>
      <c r="W507" s="2910">
        <f>+W484/'VVP2'!W$341</f>
        <v>2.2453807027394121E-2</v>
      </c>
      <c r="X507" s="2910">
        <f>+X484/'VVP2'!X$341</f>
        <v>1.9450061891876331E-2</v>
      </c>
      <c r="Y507" s="2910">
        <f>+Y484/'VVP2'!Y$341</f>
        <v>2.1122637097339358E-2</v>
      </c>
      <c r="Z507" s="2910">
        <f>+Z484/'VVP2'!Z$341</f>
        <v>2.7531510916017923E-2</v>
      </c>
      <c r="AA507" s="2910">
        <f>+AA484/'VVP2'!AA$341</f>
        <v>1.8903662394216304E-2</v>
      </c>
      <c r="AB507" s="2910">
        <f>+AB484/'VVP2'!AB$341</f>
        <v>8.4381736780910054E-3</v>
      </c>
      <c r="AC507" s="2910">
        <f ca="1">+AC484/'VVP2'!AC$341</f>
        <v>7.6535974277285694E-3</v>
      </c>
      <c r="AD507" s="2910">
        <f ca="1">+AD484/'VVP2'!AD$341</f>
        <v>8.3898076733811815E-3</v>
      </c>
      <c r="AE507" s="2910">
        <f ca="1">+AE484/'VVP2'!AE$341</f>
        <v>8.1057283371820232E-3</v>
      </c>
    </row>
    <row r="508" spans="1:31" ht="12.75" customHeight="1">
      <c r="A508" s="664"/>
      <c r="B508" s="664"/>
      <c r="C508" s="826" t="s">
        <v>1769</v>
      </c>
      <c r="D508" s="806" t="s">
        <v>687</v>
      </c>
      <c r="E508" s="807" t="s">
        <v>1479</v>
      </c>
      <c r="F508" s="808" t="s">
        <v>1939</v>
      </c>
      <c r="G508" s="841">
        <f>+G485/'VVP2'!G$341</f>
        <v>0</v>
      </c>
      <c r="H508" s="841">
        <f>+H485/'VVP2'!H$341</f>
        <v>0</v>
      </c>
      <c r="I508" s="841">
        <f>+I485/'VVP2'!I$341</f>
        <v>1.9617308948734002E-4</v>
      </c>
      <c r="J508" s="841">
        <f>+J485/'VVP2'!J$341</f>
        <v>3.6092876955542796E-5</v>
      </c>
      <c r="K508" s="841">
        <f>+K485/'VVP2'!K$341</f>
        <v>9.3533080345624007E-4</v>
      </c>
      <c r="L508" s="841">
        <f>+L485/'VVP2'!L$341</f>
        <v>-2.0833052816464168E-3</v>
      </c>
      <c r="M508" s="841">
        <f>+M485/'VVP2'!M$341</f>
        <v>-2.0747443379557744E-3</v>
      </c>
      <c r="N508" s="841">
        <f>+N485/'VVP2'!N$341</f>
        <v>3.019305796475108E-3</v>
      </c>
      <c r="O508" s="841">
        <f>+O485/'VVP2'!O$341</f>
        <v>3.2036514427230319E-3</v>
      </c>
      <c r="P508" s="841">
        <f>+P485/'VVP2'!P$341</f>
        <v>3.9582798727033864E-3</v>
      </c>
      <c r="Q508" s="841">
        <f>+Q485/'VVP2'!Q$341</f>
        <v>7.6043871281070933E-3</v>
      </c>
      <c r="R508" s="841">
        <f>+R485/'VVP2'!R$341</f>
        <v>9.6236665866528664E-3</v>
      </c>
      <c r="S508" s="841">
        <f>+S485/'VVP2'!S$341</f>
        <v>1.4230048490633479E-2</v>
      </c>
      <c r="T508" s="2912">
        <f>+T485/'VVP2'!T$341</f>
        <v>1.0482232229476871E-2</v>
      </c>
      <c r="U508" s="2912">
        <f>+U485/'VVP2'!U$341</f>
        <v>1.4643498638565249E-2</v>
      </c>
      <c r="V508" s="2912">
        <f>+V485/'VVP2'!V$341</f>
        <v>2.5250056551278273E-2</v>
      </c>
      <c r="W508" s="2912">
        <f>+W485/'VVP2'!W$341</f>
        <v>2.1976114073333223E-2</v>
      </c>
      <c r="X508" s="2912">
        <f>+X485/'VVP2'!X$341</f>
        <v>1.906263793732128E-2</v>
      </c>
      <c r="Y508" s="2912">
        <f>+Y485/'VVP2'!Y$341</f>
        <v>2.0661248038810451E-2</v>
      </c>
      <c r="Z508" s="2912">
        <f>+Z485/'VVP2'!Z$341</f>
        <v>2.7153861215238998E-2</v>
      </c>
      <c r="AA508" s="2912">
        <f>+AA485/'VVP2'!AA$341</f>
        <v>1.8470815283564285E-2</v>
      </c>
      <c r="AB508" s="2912">
        <f>+AB485/'VVP2'!AB$341</f>
        <v>8.108705007096248E-3</v>
      </c>
      <c r="AC508" s="2912">
        <f ca="1">+AC485/'VVP2'!AC$341</f>
        <v>7.3486638822307876E-3</v>
      </c>
      <c r="AD508" s="2912">
        <f ca="1">+AD485/'VVP2'!AD$341</f>
        <v>8.101647733804597E-3</v>
      </c>
      <c r="AE508" s="2912">
        <f ca="1">+AE485/'VVP2'!AE$341</f>
        <v>7.8327843875522947E-3</v>
      </c>
    </row>
    <row r="509" spans="1:31" ht="12.75" customHeight="1">
      <c r="A509" s="664"/>
      <c r="B509" s="664"/>
      <c r="C509" s="826" t="s">
        <v>401</v>
      </c>
      <c r="D509" s="674" t="s">
        <v>687</v>
      </c>
      <c r="E509" s="783" t="s">
        <v>185</v>
      </c>
      <c r="F509" s="704" t="s">
        <v>1175</v>
      </c>
      <c r="G509" s="839">
        <f>+G486/'VVP2'!G$341</f>
        <v>1.2379371320607947E-2</v>
      </c>
      <c r="H509" s="839">
        <f>+H486/'VVP2'!H$341</f>
        <v>2.5326971479748613E-2</v>
      </c>
      <c r="I509" s="839">
        <f>+I486/'VVP2'!I$341</f>
        <v>0.12795944164021172</v>
      </c>
      <c r="J509" s="839">
        <f>+J486/'VVP2'!J$341</f>
        <v>1.1691788332939127E-2</v>
      </c>
      <c r="K509" s="839">
        <f>+K486/'VVP2'!K$341</f>
        <v>9.5373849126185479E-3</v>
      </c>
      <c r="L509" s="839">
        <f>+L486/'VVP2'!L$341</f>
        <v>2.1720982212986361E-2</v>
      </c>
      <c r="M509" s="839">
        <f>+M486/'VVP2'!M$341</f>
        <v>1.8282407577008591E-2</v>
      </c>
      <c r="N509" s="839">
        <f>+N486/'VVP2'!N$341</f>
        <v>8.7500666023337462E-3</v>
      </c>
      <c r="O509" s="839">
        <f>+O486/'VVP2'!O$341</f>
        <v>4.3069314058630428E-3</v>
      </c>
      <c r="P509" s="839">
        <f>+P486/'VVP2'!P$341</f>
        <v>5.7002739377509911E-3</v>
      </c>
      <c r="Q509" s="839">
        <f>+Q486/'VVP2'!Q$341</f>
        <v>3.9528909860087084E-3</v>
      </c>
      <c r="R509" s="839">
        <f>+R486/'VVP2'!R$341</f>
        <v>3.9673277910626525E-3</v>
      </c>
      <c r="S509" s="839">
        <f>+S486/'VVP2'!S$341</f>
        <v>8.8568923709034155E-3</v>
      </c>
      <c r="T509" s="2910">
        <f>+T486/'VVP2'!T$341</f>
        <v>3.9616127583933097E-3</v>
      </c>
      <c r="U509" s="2910">
        <f>+U486/'VVP2'!U$341</f>
        <v>4.1132630550343389E-3</v>
      </c>
      <c r="V509" s="2910">
        <f>+V486/'VVP2'!V$341</f>
        <v>4.3367873022578402E-3</v>
      </c>
      <c r="W509" s="2910">
        <f>+W486/'VVP2'!W$341</f>
        <v>4.4561014883300956E-2</v>
      </c>
      <c r="X509" s="2910">
        <f>+X486/'VVP2'!X$341</f>
        <v>2.7341575987871111E-3</v>
      </c>
      <c r="Y509" s="2910">
        <f>+Y486/'VVP2'!Y$341</f>
        <v>1.2894865938303158E-2</v>
      </c>
      <c r="Z509" s="2910">
        <f>+Z486/'VVP2'!Z$341</f>
        <v>1.3814978445800569E-2</v>
      </c>
      <c r="AA509" s="2910">
        <f>+AA486/'VVP2'!AA$341</f>
        <v>7.1382366717156589E-3</v>
      </c>
      <c r="AB509" s="2910">
        <f>+AB486/'VVP2'!AB$341</f>
        <v>4.7555725203474054E-3</v>
      </c>
      <c r="AC509" s="2910">
        <f ca="1">+AC486/'VVP2'!AC$341</f>
        <v>6.3380604977618183E-3</v>
      </c>
      <c r="AD509" s="2910">
        <f ca="1">+AD486/'VVP2'!AD$341</f>
        <v>4.3123825274854E-3</v>
      </c>
      <c r="AE509" s="2910">
        <f ca="1">+AE486/'VVP2'!AE$341</f>
        <v>4.0846715927814383E-3</v>
      </c>
    </row>
    <row r="510" spans="1:31" ht="12.75" customHeight="1">
      <c r="A510" s="664"/>
      <c r="B510" s="664"/>
      <c r="C510" s="826" t="s">
        <v>1769</v>
      </c>
      <c r="D510" s="806" t="s">
        <v>687</v>
      </c>
      <c r="E510" s="807" t="s">
        <v>2123</v>
      </c>
      <c r="F510" s="808" t="s">
        <v>2120</v>
      </c>
      <c r="G510" s="841">
        <f>+G487/'VVP2'!G$341</f>
        <v>-1.2379371320607947E-2</v>
      </c>
      <c r="H510" s="841">
        <f>+H487/'VVP2'!H$341</f>
        <v>-2.5326971479748613E-2</v>
      </c>
      <c r="I510" s="841">
        <f>+I487/'VVP2'!I$341</f>
        <v>-0.1277632685507244</v>
      </c>
      <c r="J510" s="841">
        <f>+J487/'VVP2'!J$341</f>
        <v>-1.1655695455983585E-2</v>
      </c>
      <c r="K510" s="841">
        <f>+K487/'VVP2'!K$341</f>
        <v>-8.602054109162309E-3</v>
      </c>
      <c r="L510" s="841">
        <f>+L487/'VVP2'!L$341</f>
        <v>-2.3804287494632776E-2</v>
      </c>
      <c r="M510" s="841">
        <f>+M487/'VVP2'!M$341</f>
        <v>-2.0357151914964365E-2</v>
      </c>
      <c r="N510" s="841">
        <f>+N487/'VVP2'!N$341</f>
        <v>-5.7307608058586373E-3</v>
      </c>
      <c r="O510" s="841">
        <f>+O487/'VVP2'!O$341</f>
        <v>-1.1032799631400111E-3</v>
      </c>
      <c r="P510" s="841">
        <f>+P487/'VVP2'!P$341</f>
        <v>-1.7419940650476042E-3</v>
      </c>
      <c r="Q510" s="841">
        <f>+Q487/'VVP2'!Q$341</f>
        <v>3.6514961420983853E-3</v>
      </c>
      <c r="R510" s="841">
        <f>+R487/'VVP2'!R$341</f>
        <v>5.6563387955902147E-3</v>
      </c>
      <c r="S510" s="841">
        <f>+S487/'VVP2'!S$341</f>
        <v>5.3731561197300614E-3</v>
      </c>
      <c r="T510" s="2912">
        <f>+T487/'VVP2'!T$341</f>
        <v>6.5206194710835611E-3</v>
      </c>
      <c r="U510" s="2912">
        <f>+U487/'VVP2'!U$341</f>
        <v>1.053023558353091E-2</v>
      </c>
      <c r="V510" s="2912">
        <f>+V487/'VVP2'!V$341</f>
        <v>2.0913269249020431E-2</v>
      </c>
      <c r="W510" s="2912">
        <f>+W487/'VVP2'!W$341</f>
        <v>-2.2584900809967737E-2</v>
      </c>
      <c r="X510" s="2912">
        <f>+X487/'VVP2'!X$341</f>
        <v>1.6328480338534169E-2</v>
      </c>
      <c r="Y510" s="2912">
        <f>+Y487/'VVP2'!Y$341</f>
        <v>7.7663821005072948E-3</v>
      </c>
      <c r="Z510" s="2912">
        <f>+Z487/'VVP2'!Z$341</f>
        <v>1.3338882769438431E-2</v>
      </c>
      <c r="AA510" s="2912">
        <f>+AA487/'VVP2'!AA$341</f>
        <v>1.1332578611848625E-2</v>
      </c>
      <c r="AB510" s="2912">
        <f>+AB487/'VVP2'!AB$341</f>
        <v>3.3531324867488422E-3</v>
      </c>
      <c r="AC510" s="2912">
        <f ca="1">+AC487/'VVP2'!AC$341</f>
        <v>1.0106033844689691E-3</v>
      </c>
      <c r="AD510" s="2912">
        <f ca="1">+AD487/'VVP2'!AD$341</f>
        <v>3.7892652063191961E-3</v>
      </c>
      <c r="AE510" s="2912">
        <f ca="1">+AE487/'VVP2'!AE$341</f>
        <v>3.7481127947708564E-3</v>
      </c>
    </row>
    <row r="511" spans="1:31" ht="12.75" customHeight="1">
      <c r="A511" s="664"/>
      <c r="B511" s="664"/>
      <c r="C511" s="826" t="s">
        <v>1767</v>
      </c>
      <c r="D511" s="674" t="s">
        <v>685</v>
      </c>
      <c r="E511" s="783" t="s">
        <v>2123</v>
      </c>
      <c r="F511" s="704" t="s">
        <v>2121</v>
      </c>
      <c r="G511" s="839">
        <f>+G488/'VVP2'!G$341</f>
        <v>2.3053552500924075E-3</v>
      </c>
      <c r="H511" s="839">
        <f>+H488/'VVP2'!H$341</f>
        <v>3.1212200758687068E-3</v>
      </c>
      <c r="I511" s="839">
        <f>+I488/'VVP2'!I$341</f>
        <v>0.12547401388905474</v>
      </c>
      <c r="J511" s="839">
        <f>+J488/'VVP2'!J$341</f>
        <v>3.8143259540038515E-3</v>
      </c>
      <c r="K511" s="839">
        <f>+K488/'VVP2'!K$341</f>
        <v>4.0544112371854171E-3</v>
      </c>
      <c r="L511" s="839">
        <f>+L488/'VVP2'!L$341</f>
        <v>1.4577152611649455E-2</v>
      </c>
      <c r="M511" s="839">
        <f>+M488/'VVP2'!M$341</f>
        <v>2.0021811234194604E-3</v>
      </c>
      <c r="N511" s="839">
        <f>+N488/'VVP2'!N$341</f>
        <v>1.6056918189968931E-3</v>
      </c>
      <c r="O511" s="839">
        <f>+O488/'VVP2'!O$341</f>
        <v>2.0511768319606827E-3</v>
      </c>
      <c r="P511" s="839">
        <f>+P488/'VVP2'!P$341</f>
        <v>4.6941174664376908E-3</v>
      </c>
      <c r="Q511" s="839">
        <f>+Q488/'VVP2'!Q$341</f>
        <v>3.4367582675272051E-3</v>
      </c>
      <c r="R511" s="839">
        <f>+R488/'VVP2'!R$341</f>
        <v>3.256340124539125E-3</v>
      </c>
      <c r="S511" s="839">
        <f>+S488/'VVP2'!S$341</f>
        <v>6.3304346388821748E-3</v>
      </c>
      <c r="T511" s="2910">
        <f>+T488/'VVP2'!T$341</f>
        <v>1.3597877189698644E-3</v>
      </c>
      <c r="U511" s="2910">
        <f>+U488/'VVP2'!U$341</f>
        <v>1.1401598377119284E-3</v>
      </c>
      <c r="V511" s="2910">
        <f>+V488/'VVP2'!V$341</f>
        <v>1.4032566400477241E-3</v>
      </c>
      <c r="W511" s="2910">
        <f>+W488/'VVP2'!W$341</f>
        <v>3.9534367673935873E-2</v>
      </c>
      <c r="X511" s="2910">
        <f>+X488/'VVP2'!X$341</f>
        <v>1.1628715911489818E-3</v>
      </c>
      <c r="Y511" s="2910">
        <f>+Y488/'VVP2'!Y$341</f>
        <v>2.0901238999818357E-3</v>
      </c>
      <c r="Z511" s="2910">
        <f>+Z488/'VVP2'!Z$341</f>
        <v>1.0856950340568383E-2</v>
      </c>
      <c r="AA511" s="2910">
        <f>+AA488/'VVP2'!AA$341</f>
        <v>3.2150921496763934E-3</v>
      </c>
      <c r="AB511" s="2910">
        <f>+AB488/'VVP2'!AB$341</f>
        <v>1.4239046330432768E-3</v>
      </c>
      <c r="AC511" s="2910">
        <f ca="1">+AC488/'VVP2'!AC$341</f>
        <v>1.2256174367386457E-3</v>
      </c>
      <c r="AD511" s="2910">
        <f ca="1">+AD488/'VVP2'!AD$341</f>
        <v>1.0771254330920567E-3</v>
      </c>
      <c r="AE511" s="2910">
        <f ca="1">+AE488/'VVP2'!AE$341</f>
        <v>9.4883150468344751E-4</v>
      </c>
    </row>
    <row r="512" spans="1:31" ht="12.75" customHeight="1">
      <c r="A512" s="664"/>
      <c r="B512" s="664"/>
      <c r="C512" s="827" t="s">
        <v>1767</v>
      </c>
      <c r="D512" s="828" t="s">
        <v>686</v>
      </c>
      <c r="E512" s="829" t="s">
        <v>2123</v>
      </c>
      <c r="F512" s="830" t="s">
        <v>2122</v>
      </c>
      <c r="G512" s="840">
        <f>+G489/'VVP2'!G$341</f>
        <v>4.2565358109248079E-3</v>
      </c>
      <c r="H512" s="840">
        <f>+H489/'VVP2'!H$341</f>
        <v>2.2861495859133326E-2</v>
      </c>
      <c r="I512" s="840">
        <f>+I489/'VVP2'!I$341</f>
        <v>2.6961005907368773E-3</v>
      </c>
      <c r="J512" s="840">
        <f>+J489/'VVP2'!J$341</f>
        <v>7.6885507250828598E-3</v>
      </c>
      <c r="K512" s="840">
        <f>+K489/'VVP2'!K$341</f>
        <v>4.2479279551418808E-3</v>
      </c>
      <c r="L512" s="840">
        <f>+L489/'VVP2'!L$341</f>
        <v>9.4126500391227517E-3</v>
      </c>
      <c r="M512" s="840">
        <f>+M489/'VVP2'!M$341</f>
        <v>1.8467690348106167E-2</v>
      </c>
      <c r="N512" s="840">
        <f>+N489/'VVP2'!N$341</f>
        <v>8.0074094685166665E-3</v>
      </c>
      <c r="O512" s="840">
        <f>+O489/'VVP2'!O$341</f>
        <v>2.6133156712549671E-3</v>
      </c>
      <c r="P512" s="840">
        <f>+P489/'VVP2'!P$341</f>
        <v>4.1578662245061329E-3</v>
      </c>
      <c r="Q512" s="840">
        <f>+Q489/'VVP2'!Q$341</f>
        <v>2.6235159398829179E-3</v>
      </c>
      <c r="R512" s="840">
        <f>+R489/'VVP2'!R$341</f>
        <v>5.9786089061172349E-3</v>
      </c>
      <c r="S512" s="840">
        <f>+S489/'VVP2'!S$341</f>
        <v>9.3499941117040752E-3</v>
      </c>
      <c r="T512" s="2911">
        <f>+T489/'VVP2'!T$341</f>
        <v>1.1053551046174059E-2</v>
      </c>
      <c r="U512" s="2911">
        <f>+U489/'VVP2'!U$341</f>
        <v>3.133044883908636E-2</v>
      </c>
      <c r="V512" s="2911">
        <f>+V489/'VVP2'!V$341</f>
        <v>1.5425119328549012E-2</v>
      </c>
      <c r="W512" s="2911">
        <f>+W489/'VVP2'!W$341</f>
        <v>1.5146447742181374E-2</v>
      </c>
      <c r="X512" s="2911">
        <f>+X489/'VVP2'!X$341</f>
        <v>1.1418211564665015E-2</v>
      </c>
      <c r="Y512" s="2911">
        <f>+Y489/'VVP2'!Y$341</f>
        <v>2.1289400780614219E-2</v>
      </c>
      <c r="Z512" s="2911">
        <f>+Z489/'VVP2'!Z$341</f>
        <v>2.4868547276492067E-3</v>
      </c>
      <c r="AA512" s="2911">
        <f>+AA489/'VVP2'!AA$341</f>
        <v>1.5304351636442629E-2</v>
      </c>
      <c r="AB512" s="2911">
        <f>+AB489/'VVP2'!AB$341</f>
        <v>9.9306098635782471E-3</v>
      </c>
      <c r="AC512" s="2911">
        <f ca="1">+AC489/'VVP2'!AC$341</f>
        <v>8.5477133256018877E-3</v>
      </c>
      <c r="AD512" s="2911">
        <f ca="1">+AD489/'VVP2'!AD$341</f>
        <v>7.5120989158617832E-3</v>
      </c>
      <c r="AE512" s="2911">
        <f ca="1">+AE489/'VVP2'!AE$341</f>
        <v>6.6173501234733723E-3</v>
      </c>
    </row>
    <row r="513" spans="1:113" ht="12.75" customHeight="1">
      <c r="A513" s="664"/>
      <c r="B513" s="664"/>
      <c r="C513" s="774" t="s">
        <v>1769</v>
      </c>
      <c r="D513" s="806" t="s">
        <v>688</v>
      </c>
      <c r="E513" s="807" t="s">
        <v>206</v>
      </c>
      <c r="F513" s="808" t="s">
        <v>1477</v>
      </c>
      <c r="G513" s="841">
        <f>+G490/'VVP2'!G$341</f>
        <v>-5.817480259590729E-3</v>
      </c>
      <c r="H513" s="841">
        <f>+H490/'VVP2'!H$341</f>
        <v>6.5574445525341894E-4</v>
      </c>
      <c r="I513" s="841">
        <f>+I490/'VVP2'!I$341</f>
        <v>4.0684592906722254E-4</v>
      </c>
      <c r="J513" s="841">
        <f>+J490/'VVP2'!J$341</f>
        <v>-1.5205084334462708E-4</v>
      </c>
      <c r="K513" s="841">
        <f>+K490/'VVP2'!K$341</f>
        <v>-2.997149168350105E-4</v>
      </c>
      <c r="L513" s="841">
        <f>+L490/'VVP2'!L$341</f>
        <v>1.8626320112386278E-4</v>
      </c>
      <c r="M513" s="841">
        <f>+M490/'VVP2'!M$341</f>
        <v>1.1342405378977239E-4</v>
      </c>
      <c r="N513" s="841">
        <f>+N490/'VVP2'!N$341</f>
        <v>3.8823404816549219E-3</v>
      </c>
      <c r="O513" s="841">
        <f>+O490/'VVP2'!O$341</f>
        <v>3.5612125400756398E-3</v>
      </c>
      <c r="P513" s="841">
        <f>+P490/'VVP2'!P$341</f>
        <v>7.1099896258962183E-3</v>
      </c>
      <c r="Q513" s="841">
        <f>+Q490/'VVP2'!Q$341</f>
        <v>9.7117703495085087E-3</v>
      </c>
      <c r="R513" s="841">
        <f>+R490/'VVP2'!R$341</f>
        <v>1.4891287826246574E-2</v>
      </c>
      <c r="S513" s="841">
        <f>+S490/'VVP2'!S$341</f>
        <v>2.1053929215107368E-2</v>
      </c>
      <c r="T513" s="2912">
        <f>+T490/'VVP2'!T$341</f>
        <v>1.8933958236227486E-2</v>
      </c>
      <c r="U513" s="2912">
        <f>+U490/'VVP2'!U$341</f>
        <v>4.3000844260329199E-2</v>
      </c>
      <c r="V513" s="2912">
        <f>+V490/'VVP2'!V$341</f>
        <v>3.774128842721796E-2</v>
      </c>
      <c r="W513" s="2912">
        <f>+W490/'VVP2'!W$341</f>
        <v>3.2095914606149509E-2</v>
      </c>
      <c r="X513" s="2912">
        <f>+X490/'VVP2'!X$341</f>
        <v>2.8909563494348166E-2</v>
      </c>
      <c r="Y513" s="2912">
        <f>+Y490/'VVP2'!Y$341</f>
        <v>3.114590678110335E-2</v>
      </c>
      <c r="Z513" s="2912">
        <f>+Z490/'VVP2'!Z$341</f>
        <v>2.6682687837656021E-2</v>
      </c>
      <c r="AA513" s="2912">
        <f>+AA490/'VVP2'!AA$341</f>
        <v>2.9852022397967644E-2</v>
      </c>
      <c r="AB513" s="2912">
        <f>+AB490/'VVP2'!AB$341</f>
        <v>1.4707646983370366E-2</v>
      </c>
      <c r="AC513" s="2912">
        <f ca="1">+AC490/'VVP2'!AC$341</f>
        <v>1.0783934146809502E-2</v>
      </c>
      <c r="AD513" s="2912">
        <f ca="1">+AD490/'VVP2'!AD$341</f>
        <v>1.2378489555273037E-2</v>
      </c>
      <c r="AE513" s="2912">
        <f ca="1">+AE490/'VVP2'!AE$341</f>
        <v>1.1314294422927678E-2</v>
      </c>
    </row>
    <row r="514" spans="1:113" ht="30" customHeight="1">
      <c r="AB514" s="2221"/>
      <c r="AC514" s="2221"/>
      <c r="AD514" s="2221"/>
      <c r="AE514" s="2221"/>
    </row>
    <row r="515" spans="1:113" ht="30" customHeight="1">
      <c r="AB515" s="2221"/>
      <c r="AC515" s="2221"/>
      <c r="AD515" s="2221"/>
      <c r="AE515" s="2221"/>
    </row>
    <row r="516" spans="1:113" ht="22.5" customHeight="1">
      <c r="A516" s="574"/>
      <c r="B516" s="574"/>
      <c r="C516" s="3752" t="s">
        <v>1478</v>
      </c>
      <c r="D516" s="3752"/>
      <c r="E516" s="3752"/>
      <c r="F516" s="3752"/>
      <c r="AB516" s="2221"/>
      <c r="AC516" s="2221"/>
      <c r="AD516" s="2221"/>
      <c r="AE516" s="2221"/>
    </row>
    <row r="517" spans="1:113" ht="12.75" customHeight="1">
      <c r="A517" s="664"/>
      <c r="B517" s="664"/>
      <c r="C517" s="774"/>
      <c r="AB517" s="2221"/>
      <c r="AC517" s="2221"/>
      <c r="AD517" s="2221"/>
      <c r="AE517" s="2221"/>
    </row>
    <row r="518" spans="1:113" ht="12.75" customHeight="1">
      <c r="A518" s="664"/>
      <c r="B518" s="664"/>
      <c r="C518" s="774"/>
      <c r="D518" s="775"/>
      <c r="E518" s="776" t="s">
        <v>1384</v>
      </c>
      <c r="F518" s="777"/>
      <c r="G518" s="778">
        <f>+InputY!$G$3</f>
        <v>1995</v>
      </c>
      <c r="H518" s="778">
        <f>+G518+1</f>
        <v>1996</v>
      </c>
      <c r="I518" s="778">
        <f t="shared" ref="I518:O518" si="474">+H518+1</f>
        <v>1997</v>
      </c>
      <c r="J518" s="778">
        <f t="shared" si="474"/>
        <v>1998</v>
      </c>
      <c r="K518" s="778">
        <f>+J518+1</f>
        <v>1999</v>
      </c>
      <c r="L518" s="778">
        <f t="shared" si="474"/>
        <v>2000</v>
      </c>
      <c r="M518" s="778">
        <f t="shared" si="474"/>
        <v>2001</v>
      </c>
      <c r="N518" s="778">
        <f t="shared" si="474"/>
        <v>2002</v>
      </c>
      <c r="O518" s="778">
        <f t="shared" si="474"/>
        <v>2003</v>
      </c>
      <c r="P518" s="778">
        <f t="shared" ref="P518:W518" si="475">+O518+1</f>
        <v>2004</v>
      </c>
      <c r="Q518" s="778">
        <f t="shared" si="475"/>
        <v>2005</v>
      </c>
      <c r="R518" s="778">
        <f t="shared" si="475"/>
        <v>2006</v>
      </c>
      <c r="S518" s="778">
        <f t="shared" si="475"/>
        <v>2007</v>
      </c>
      <c r="T518" s="2222">
        <f t="shared" si="475"/>
        <v>2008</v>
      </c>
      <c r="U518" s="2222">
        <f t="shared" si="475"/>
        <v>2009</v>
      </c>
      <c r="V518" s="2222">
        <f t="shared" si="475"/>
        <v>2010</v>
      </c>
      <c r="W518" s="2222">
        <f t="shared" si="475"/>
        <v>2011</v>
      </c>
      <c r="X518" s="2222">
        <f t="shared" ref="X518:AE518" si="476">+W518+1</f>
        <v>2012</v>
      </c>
      <c r="Y518" s="2222">
        <f t="shared" si="476"/>
        <v>2013</v>
      </c>
      <c r="Z518" s="2222">
        <f t="shared" si="476"/>
        <v>2014</v>
      </c>
      <c r="AA518" s="2222">
        <f t="shared" si="476"/>
        <v>2015</v>
      </c>
      <c r="AB518" s="2222">
        <f t="shared" si="476"/>
        <v>2016</v>
      </c>
      <c r="AC518" s="2222">
        <f t="shared" si="476"/>
        <v>2017</v>
      </c>
      <c r="AD518" s="2222">
        <f t="shared" si="476"/>
        <v>2018</v>
      </c>
      <c r="AE518" s="2222">
        <f t="shared" si="476"/>
        <v>2019</v>
      </c>
    </row>
    <row r="519" spans="1:113" ht="12.75" customHeight="1">
      <c r="A519" s="664">
        <f>+ROW(InputY!A205)</f>
        <v>205</v>
      </c>
      <c r="B519" s="664" t="s">
        <v>1468</v>
      </c>
      <c r="C519" s="779" t="s">
        <v>401</v>
      </c>
      <c r="D519" s="668" t="s">
        <v>685</v>
      </c>
      <c r="E519" s="700" t="s">
        <v>375</v>
      </c>
      <c r="F519" s="701" t="str">
        <f>+InputY!B205</f>
        <v>HNonFinN</v>
      </c>
      <c r="G519" s="780">
        <f>+InputY!G205/1000</f>
        <v>0</v>
      </c>
      <c r="H519" s="780">
        <f>+InputY!H205/1000</f>
        <v>0</v>
      </c>
      <c r="I519" s="780">
        <f>+InputY!I205/1000</f>
        <v>-6.4200000000000004E-3</v>
      </c>
      <c r="J519" s="780">
        <f>+InputY!J205/1000</f>
        <v>-1.0400000000000001E-3</v>
      </c>
      <c r="K519" s="780">
        <f>+InputY!K205/1000</f>
        <v>-3.0099999999999997E-3</v>
      </c>
      <c r="L519" s="780">
        <f>+InputY!L205/1000</f>
        <v>-1.6600000000000002E-3</v>
      </c>
      <c r="M519" s="780">
        <f>+InputY!M205/1000</f>
        <v>-1.439E-2</v>
      </c>
      <c r="N519" s="780">
        <f>+InputY!N205/1000</f>
        <v>-1.6190000000000003E-2</v>
      </c>
      <c r="O519" s="780">
        <f>+InputY!O205/1000</f>
        <v>-1.6879999999999999E-2</v>
      </c>
      <c r="P519" s="780">
        <f>+InputY!P205/1000</f>
        <v>-4.5679999999999998E-2</v>
      </c>
      <c r="Q519" s="780">
        <f>+InputY!Q205/1000</f>
        <v>-0.14876</v>
      </c>
      <c r="R519" s="780">
        <f>+InputY!R205/1000</f>
        <v>-0.22446000000000002</v>
      </c>
      <c r="S519" s="780">
        <f>+InputY!S205/1000</f>
        <v>-0.38224000000000002</v>
      </c>
      <c r="T519" s="780">
        <f>+InputY!T205/1000</f>
        <v>-0.16441999999999998</v>
      </c>
      <c r="U519" s="780">
        <f>+InputY!U205/1000</f>
        <v>2.172E-2</v>
      </c>
      <c r="V519" s="780">
        <f>+InputY!V205/1000</f>
        <v>3.7149999999999996E-2</v>
      </c>
      <c r="W519" s="780">
        <f>+InputY!W205/1000</f>
        <v>-2.291E-2</v>
      </c>
      <c r="X519" s="780">
        <f>+InputY!X205/1000</f>
        <v>-4.2200000000000001E-2</v>
      </c>
      <c r="Y519" s="780">
        <f>+InputY!Y205/1000</f>
        <v>2.3190000000000002E-2</v>
      </c>
      <c r="Z519" s="780">
        <f>+InputY!Z205/1000</f>
        <v>4.1369999999999997E-2</v>
      </c>
      <c r="AA519" s="3690">
        <f>+InputY!AA205/1000</f>
        <v>-3.4590000000000003E-2</v>
      </c>
      <c r="AB519" s="3690">
        <f>+InputY!AB205/1000</f>
        <v>-7.7609999999999998E-2</v>
      </c>
      <c r="AC519" s="2232">
        <f t="shared" ref="AC519:AE521" si="477">+AB519*(1+AC526/100)</f>
        <v>-7.7609999999999998E-2</v>
      </c>
      <c r="AD519" s="2232">
        <f t="shared" si="477"/>
        <v>-7.7609999999999998E-2</v>
      </c>
      <c r="AE519" s="2232">
        <f t="shared" si="477"/>
        <v>-7.7609999999999998E-2</v>
      </c>
    </row>
    <row r="520" spans="1:113" ht="12.75" customHeight="1">
      <c r="A520" s="664">
        <f>+ROW(InputY!A132)</f>
        <v>132</v>
      </c>
      <c r="B520" s="664" t="s">
        <v>669</v>
      </c>
      <c r="C520" s="782" t="s">
        <v>401</v>
      </c>
      <c r="D520" s="674" t="s">
        <v>686</v>
      </c>
      <c r="E520" s="783" t="s">
        <v>375</v>
      </c>
      <c r="F520" s="704" t="str">
        <f>+InputY!B132</f>
        <v>ENonFinN</v>
      </c>
      <c r="G520" s="706">
        <f>+InputY!G132/1000</f>
        <v>0</v>
      </c>
      <c r="H520" s="706">
        <f>+InputY!H132/1000</f>
        <v>0</v>
      </c>
      <c r="I520" s="706">
        <f>+InputY!I132/1000</f>
        <v>6.4200000000000004E-3</v>
      </c>
      <c r="J520" s="706">
        <f>+InputY!J132/1000</f>
        <v>1.3600000000000001E-3</v>
      </c>
      <c r="K520" s="706">
        <f>+InputY!K132/1000</f>
        <v>4.2699999999999995E-3</v>
      </c>
      <c r="L520" s="706">
        <f>+InputY!L132/1000</f>
        <v>6.5300000000000002E-3</v>
      </c>
      <c r="M520" s="706">
        <f>+InputY!M132/1000</f>
        <v>1.7149999999999999E-2</v>
      </c>
      <c r="N520" s="706">
        <f>+InputY!N132/1000</f>
        <v>1.9890000000000001E-2</v>
      </c>
      <c r="O520" s="706">
        <f>+InputY!O132/1000</f>
        <v>2.3649999999999997E-2</v>
      </c>
      <c r="P520" s="706">
        <f>+InputY!P132/1000</f>
        <v>6.8229999999999999E-2</v>
      </c>
      <c r="Q520" s="706">
        <f>+InputY!Q132/1000</f>
        <v>0.18268000000000001</v>
      </c>
      <c r="R520" s="706">
        <f>+InputY!R132/1000</f>
        <v>0.26053999999999999</v>
      </c>
      <c r="S520" s="706">
        <f>+InputY!S132/1000</f>
        <v>0.40805999999999998</v>
      </c>
      <c r="T520" s="706">
        <f>+InputY!T132/1000</f>
        <v>0.16866999999999999</v>
      </c>
      <c r="U520" s="706">
        <f>+InputY!U132/1000</f>
        <v>-2.4570000000000002E-2</v>
      </c>
      <c r="V520" s="706">
        <f>+InputY!V132/1000</f>
        <v>-1.6739999999999998E-2</v>
      </c>
      <c r="W520" s="706">
        <f>+InputY!W132/1000</f>
        <v>0.12236</v>
      </c>
      <c r="X520" s="706">
        <f>+InputY!X132/1000</f>
        <v>0.1183</v>
      </c>
      <c r="Y520" s="706">
        <f>+InputY!Y132/1000</f>
        <v>9.484999999999999E-2</v>
      </c>
      <c r="Z520" s="706">
        <f>+InputY!Z132/1000</f>
        <v>3.7079999999999995E-2</v>
      </c>
      <c r="AA520" s="706">
        <f>+InputY!AA132/1000</f>
        <v>8.6230000000000001E-2</v>
      </c>
      <c r="AB520" s="706">
        <f>+InputY!AB132/1000</f>
        <v>0.10553</v>
      </c>
      <c r="AC520" s="2217">
        <f t="shared" si="477"/>
        <v>0.10553</v>
      </c>
      <c r="AD520" s="2217">
        <f t="shared" si="477"/>
        <v>0.10553</v>
      </c>
      <c r="AE520" s="2217">
        <f t="shared" si="477"/>
        <v>0.10553</v>
      </c>
    </row>
    <row r="521" spans="1:113" ht="12.75" customHeight="1">
      <c r="A521" s="664">
        <f>+ROW(InputY!A173)</f>
        <v>173</v>
      </c>
      <c r="B521" s="664" t="s">
        <v>672</v>
      </c>
      <c r="C521" s="782" t="s">
        <v>401</v>
      </c>
      <c r="D521" s="674" t="s">
        <v>687</v>
      </c>
      <c r="E521" s="783" t="s">
        <v>375</v>
      </c>
      <c r="F521" s="704" t="str">
        <f>+InputY!B173</f>
        <v>ANonFinN</v>
      </c>
      <c r="G521" s="706">
        <f>+InputY!G173/1000</f>
        <v>0</v>
      </c>
      <c r="H521" s="706">
        <f>+InputY!H173/1000</f>
        <v>0</v>
      </c>
      <c r="I521" s="706">
        <f>+InputY!I173/1000</f>
        <v>0</v>
      </c>
      <c r="J521" s="706">
        <f>+InputY!J173/1000</f>
        <v>-3.2000000000000003E-4</v>
      </c>
      <c r="K521" s="706">
        <f>+InputY!K173/1000</f>
        <v>-1.2600000000000001E-3</v>
      </c>
      <c r="L521" s="706">
        <f>+InputY!L173/1000</f>
        <v>-4.8700000000000002E-3</v>
      </c>
      <c r="M521" s="706">
        <f>+InputY!M173/1000</f>
        <v>-2.7599999999999999E-3</v>
      </c>
      <c r="N521" s="706">
        <f>+InputY!N173/1000</f>
        <v>-3.7000000000000002E-3</v>
      </c>
      <c r="O521" s="706">
        <f>+InputY!O173/1000</f>
        <v>-6.77E-3</v>
      </c>
      <c r="P521" s="706">
        <f>+InputY!P173/1000</f>
        <v>-2.2550000000000001E-2</v>
      </c>
      <c r="Q521" s="706">
        <f>+InputY!Q173/1000</f>
        <v>-3.3919999999999999E-2</v>
      </c>
      <c r="R521" s="706">
        <f>+InputY!R173/1000</f>
        <v>-3.6069999999999998E-2</v>
      </c>
      <c r="S521" s="706">
        <f>+InputY!S173/1000</f>
        <v>-2.5829999999999999E-2</v>
      </c>
      <c r="T521" s="706">
        <f>+InputY!T173/1000</f>
        <v>-4.2500000000000003E-3</v>
      </c>
      <c r="U521" s="706">
        <f>+InputY!U173/1000</f>
        <v>2.8500000000000001E-3</v>
      </c>
      <c r="V521" s="706">
        <f>+InputY!V173/1000</f>
        <v>-2.0399999999999998E-2</v>
      </c>
      <c r="W521" s="706">
        <f>+InputY!W173/1000</f>
        <v>-9.9449999999999997E-2</v>
      </c>
      <c r="X521" s="706">
        <f>+InputY!X173/1000</f>
        <v>-7.6109999999999997E-2</v>
      </c>
      <c r="Y521" s="706">
        <f>+InputY!Y173/1000</f>
        <v>-0.11804000000000001</v>
      </c>
      <c r="Z521" s="706">
        <f>+InputY!Z173/1000</f>
        <v>-7.8439999999999996E-2</v>
      </c>
      <c r="AA521" s="706">
        <f>+InputY!AA173/1000</f>
        <v>-5.1639999999999998E-2</v>
      </c>
      <c r="AB521" s="706">
        <f>+InputY!AB173/1000</f>
        <v>-2.792E-2</v>
      </c>
      <c r="AC521" s="2217">
        <f t="shared" si="477"/>
        <v>0</v>
      </c>
      <c r="AD521" s="2217">
        <f t="shared" si="477"/>
        <v>0</v>
      </c>
      <c r="AE521" s="2217">
        <f t="shared" si="477"/>
        <v>0</v>
      </c>
    </row>
    <row r="522" spans="1:113" ht="12.75" customHeight="1">
      <c r="A522" s="1953">
        <f>+ROW(InputY!A257)</f>
        <v>257</v>
      </c>
      <c r="B522" s="664" t="s">
        <v>2102</v>
      </c>
      <c r="C522" s="784" t="s">
        <v>1769</v>
      </c>
      <c r="D522" s="752" t="s">
        <v>688</v>
      </c>
      <c r="E522" s="753" t="s">
        <v>375</v>
      </c>
      <c r="F522" s="754" t="s">
        <v>887</v>
      </c>
      <c r="G522" s="785" t="e">
        <f>+InputY!G257/1000</f>
        <v>#VALUE!</v>
      </c>
      <c r="H522" s="785" t="e">
        <f>+InputY!H257/1000</f>
        <v>#VALUE!</v>
      </c>
      <c r="I522" s="785" t="e">
        <f>+InputY!I257/1000</f>
        <v>#VALUE!</v>
      </c>
      <c r="J522" s="785" t="e">
        <f>+InputY!J257/1000</f>
        <v>#VALUE!</v>
      </c>
      <c r="K522" s="785" t="e">
        <f>+InputY!K257/1000</f>
        <v>#VALUE!</v>
      </c>
      <c r="L522" s="785" t="e">
        <f>+InputY!L257/1000</f>
        <v>#VALUE!</v>
      </c>
      <c r="M522" s="785" t="e">
        <f>+InputY!M257/1000</f>
        <v>#VALUE!</v>
      </c>
      <c r="N522" s="785" t="e">
        <f>+InputY!N257/1000</f>
        <v>#VALUE!</v>
      </c>
      <c r="O522" s="785" t="e">
        <f>+InputY!O257/1000</f>
        <v>#VALUE!</v>
      </c>
      <c r="P522" s="785" t="e">
        <f>+InputY!P257/1000</f>
        <v>#VALUE!</v>
      </c>
      <c r="Q522" s="785" t="e">
        <f>+InputY!Q257/1000</f>
        <v>#VALUE!</v>
      </c>
      <c r="R522" s="785" t="e">
        <f>+InputY!R257/1000</f>
        <v>#VALUE!</v>
      </c>
      <c r="S522" s="785" t="e">
        <f>+InputY!S257/1000</f>
        <v>#VALUE!</v>
      </c>
      <c r="T522" s="2273">
        <f t="shared" ref="T522:Y522" si="478">-T519-T520-T521</f>
        <v>0</v>
      </c>
      <c r="U522" s="2273">
        <f t="shared" si="478"/>
        <v>0</v>
      </c>
      <c r="V522" s="2273">
        <f t="shared" si="478"/>
        <v>-9.9999999999995925E-6</v>
      </c>
      <c r="W522" s="2273">
        <f t="shared" si="478"/>
        <v>0</v>
      </c>
      <c r="X522" s="2273">
        <f t="shared" si="478"/>
        <v>9.9999999999961231E-6</v>
      </c>
      <c r="Y522" s="2273">
        <f t="shared" si="478"/>
        <v>0</v>
      </c>
      <c r="Z522" s="2273">
        <f t="shared" ref="Z522:AE522" si="479">-Z519-Z520-Z521</f>
        <v>-9.9999999999961231E-6</v>
      </c>
      <c r="AA522" s="2273">
        <f t="shared" si="479"/>
        <v>0</v>
      </c>
      <c r="AB522" s="2273">
        <f t="shared" si="479"/>
        <v>0</v>
      </c>
      <c r="AC522" s="2273">
        <f t="shared" si="479"/>
        <v>-2.792E-2</v>
      </c>
      <c r="AD522" s="2273">
        <f t="shared" si="479"/>
        <v>-2.792E-2</v>
      </c>
      <c r="AE522" s="2273">
        <f t="shared" si="479"/>
        <v>-2.792E-2</v>
      </c>
    </row>
    <row r="523" spans="1:113" s="1972" customFormat="1" ht="12.75" customHeight="1">
      <c r="A523" s="998"/>
      <c r="B523" s="998"/>
      <c r="C523" s="1595"/>
      <c r="D523" s="1011"/>
      <c r="E523" s="1973" t="s">
        <v>737</v>
      </c>
      <c r="F523" s="1974"/>
      <c r="G523" s="1002" t="e">
        <f>ABS(-G519-G520-G521-G522)</f>
        <v>#VALUE!</v>
      </c>
      <c r="H523" s="1002" t="e">
        <f t="shared" ref="H523:Y523" si="480">ABS(-H519-H520-H521-H522)</f>
        <v>#VALUE!</v>
      </c>
      <c r="I523" s="1002" t="e">
        <f t="shared" si="480"/>
        <v>#VALUE!</v>
      </c>
      <c r="J523" s="1002" t="e">
        <f t="shared" si="480"/>
        <v>#VALUE!</v>
      </c>
      <c r="K523" s="1002" t="e">
        <f t="shared" si="480"/>
        <v>#VALUE!</v>
      </c>
      <c r="L523" s="1002" t="e">
        <f t="shared" si="480"/>
        <v>#VALUE!</v>
      </c>
      <c r="M523" s="1002" t="e">
        <f t="shared" si="480"/>
        <v>#VALUE!</v>
      </c>
      <c r="N523" s="1002" t="e">
        <f t="shared" si="480"/>
        <v>#VALUE!</v>
      </c>
      <c r="O523" s="1002" t="e">
        <f t="shared" si="480"/>
        <v>#VALUE!</v>
      </c>
      <c r="P523" s="1002" t="e">
        <f t="shared" si="480"/>
        <v>#VALUE!</v>
      </c>
      <c r="Q523" s="1002" t="e">
        <f t="shared" si="480"/>
        <v>#VALUE!</v>
      </c>
      <c r="R523" s="1002" t="e">
        <f t="shared" si="480"/>
        <v>#VALUE!</v>
      </c>
      <c r="S523" s="1002" t="e">
        <f t="shared" si="480"/>
        <v>#VALUE!</v>
      </c>
      <c r="T523" s="2906">
        <f t="shared" si="480"/>
        <v>3.4694469519536142E-18</v>
      </c>
      <c r="U523" s="2906">
        <f t="shared" si="480"/>
        <v>1.7347234759768071E-18</v>
      </c>
      <c r="V523" s="2906">
        <f t="shared" si="480"/>
        <v>0</v>
      </c>
      <c r="W523" s="2906">
        <f t="shared" si="480"/>
        <v>0</v>
      </c>
      <c r="X523" s="2906">
        <f t="shared" si="480"/>
        <v>0</v>
      </c>
      <c r="Y523" s="2906">
        <f t="shared" si="480"/>
        <v>1.3877787807814457E-17</v>
      </c>
      <c r="Z523" s="2906">
        <f t="shared" ref="Z523:AE523" si="481">ABS(-Z519-Z520-Z521-Z522)</f>
        <v>0</v>
      </c>
      <c r="AA523" s="2906">
        <f t="shared" si="481"/>
        <v>0</v>
      </c>
      <c r="AB523" s="2921">
        <f t="shared" si="481"/>
        <v>0</v>
      </c>
      <c r="AC523" s="2906">
        <f t="shared" si="481"/>
        <v>0</v>
      </c>
      <c r="AD523" s="2906">
        <f t="shared" si="481"/>
        <v>0</v>
      </c>
      <c r="AE523" s="2906">
        <f t="shared" si="481"/>
        <v>0</v>
      </c>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c r="CW523"/>
      <c r="CX523"/>
      <c r="CY523"/>
      <c r="CZ523"/>
      <c r="DA523"/>
      <c r="DB523"/>
      <c r="DC523"/>
      <c r="DD523"/>
      <c r="DE523"/>
      <c r="DF523"/>
      <c r="DG523"/>
      <c r="DH523"/>
      <c r="DI523"/>
    </row>
    <row r="524" spans="1:113" ht="12.75" customHeight="1">
      <c r="A524" s="664"/>
      <c r="B524" s="664"/>
      <c r="C524" s="774"/>
      <c r="E524" s="786"/>
      <c r="F524" s="787"/>
      <c r="G524" s="703"/>
      <c r="H524" s="788"/>
      <c r="I524" s="703"/>
      <c r="J524" s="703"/>
      <c r="K524" s="703"/>
      <c r="L524" s="703"/>
      <c r="M524" s="703"/>
      <c r="N524" s="703"/>
      <c r="O524" s="703"/>
      <c r="P524" s="703"/>
      <c r="Q524" s="703"/>
      <c r="R524" s="703"/>
      <c r="S524" s="703"/>
      <c r="T524" s="2254"/>
      <c r="U524" s="2254"/>
      <c r="V524" s="2254"/>
      <c r="W524" s="2254"/>
      <c r="X524" s="2254"/>
      <c r="Y524" s="2254"/>
      <c r="Z524" s="2254"/>
      <c r="AA524" s="2254"/>
      <c r="AB524" s="2254"/>
      <c r="AC524" s="2254"/>
      <c r="AD524" s="2254"/>
      <c r="AE524" s="2254"/>
    </row>
    <row r="525" spans="1:113" ht="12.75" customHeight="1">
      <c r="A525" s="664"/>
      <c r="B525" s="664"/>
      <c r="C525" s="774"/>
      <c r="D525" s="742"/>
      <c r="E525" s="743" t="s">
        <v>1311</v>
      </c>
      <c r="F525" s="744"/>
      <c r="G525" s="745">
        <f>+G518</f>
        <v>1995</v>
      </c>
      <c r="H525" s="745">
        <f>+G525+1</f>
        <v>1996</v>
      </c>
      <c r="I525" s="745">
        <f t="shared" ref="I525:O525" si="482">+H525+1</f>
        <v>1997</v>
      </c>
      <c r="J525" s="745">
        <f t="shared" si="482"/>
        <v>1998</v>
      </c>
      <c r="K525" s="745">
        <f>+J525+1</f>
        <v>1999</v>
      </c>
      <c r="L525" s="745">
        <f t="shared" si="482"/>
        <v>2000</v>
      </c>
      <c r="M525" s="745">
        <f t="shared" si="482"/>
        <v>2001</v>
      </c>
      <c r="N525" s="745">
        <f t="shared" si="482"/>
        <v>2002</v>
      </c>
      <c r="O525" s="745">
        <f t="shared" si="482"/>
        <v>2003</v>
      </c>
      <c r="P525" s="745">
        <f t="shared" ref="P525:W525" si="483">+O525+1</f>
        <v>2004</v>
      </c>
      <c r="Q525" s="745">
        <f t="shared" si="483"/>
        <v>2005</v>
      </c>
      <c r="R525" s="745">
        <f t="shared" si="483"/>
        <v>2006</v>
      </c>
      <c r="S525" s="745">
        <f t="shared" si="483"/>
        <v>2007</v>
      </c>
      <c r="T525" s="2211">
        <f t="shared" si="483"/>
        <v>2008</v>
      </c>
      <c r="U525" s="2211">
        <f t="shared" si="483"/>
        <v>2009</v>
      </c>
      <c r="V525" s="2211">
        <f t="shared" si="483"/>
        <v>2010</v>
      </c>
      <c r="W525" s="2211">
        <f t="shared" si="483"/>
        <v>2011</v>
      </c>
      <c r="X525" s="2211">
        <f t="shared" ref="X525:AE525" si="484">+W525+1</f>
        <v>2012</v>
      </c>
      <c r="Y525" s="2211">
        <f t="shared" si="484"/>
        <v>2013</v>
      </c>
      <c r="Z525" s="2211">
        <f t="shared" si="484"/>
        <v>2014</v>
      </c>
      <c r="AA525" s="2211">
        <f t="shared" si="484"/>
        <v>2015</v>
      </c>
      <c r="AB525" s="2211">
        <f t="shared" si="484"/>
        <v>2016</v>
      </c>
      <c r="AC525" s="2211">
        <f t="shared" si="484"/>
        <v>2017</v>
      </c>
      <c r="AD525" s="2211">
        <f t="shared" si="484"/>
        <v>2018</v>
      </c>
      <c r="AE525" s="2211">
        <f t="shared" si="484"/>
        <v>2019</v>
      </c>
    </row>
    <row r="526" spans="1:113" ht="12.75" customHeight="1">
      <c r="A526" s="664"/>
      <c r="B526" s="664"/>
      <c r="C526" s="794" t="s">
        <v>401</v>
      </c>
      <c r="D526" s="689" t="s">
        <v>685</v>
      </c>
      <c r="E526" s="738" t="s">
        <v>375</v>
      </c>
      <c r="F526" s="733" t="s">
        <v>19</v>
      </c>
      <c r="G526" s="739"/>
      <c r="H526" s="739" t="e">
        <f t="shared" ref="H526:AB526" si="485">(H519/G519-1)*100</f>
        <v>#DIV/0!</v>
      </c>
      <c r="I526" s="739" t="e">
        <f t="shared" si="485"/>
        <v>#DIV/0!</v>
      </c>
      <c r="J526" s="739">
        <f t="shared" si="485"/>
        <v>-83.800623052959494</v>
      </c>
      <c r="K526" s="739">
        <f>(K519/J519-1)*100</f>
        <v>189.42307692307688</v>
      </c>
      <c r="L526" s="739">
        <f t="shared" si="485"/>
        <v>-44.850498338870416</v>
      </c>
      <c r="M526" s="739">
        <f t="shared" si="485"/>
        <v>766.8674698795179</v>
      </c>
      <c r="N526" s="739">
        <f t="shared" si="485"/>
        <v>12.50868658790829</v>
      </c>
      <c r="O526" s="739">
        <f t="shared" si="485"/>
        <v>4.2618900555898565</v>
      </c>
      <c r="P526" s="739">
        <f t="shared" si="485"/>
        <v>170.61611374407582</v>
      </c>
      <c r="Q526" s="739">
        <f t="shared" si="485"/>
        <v>225.65674255691772</v>
      </c>
      <c r="R526" s="739">
        <f t="shared" si="485"/>
        <v>50.887335305189588</v>
      </c>
      <c r="S526" s="739">
        <f t="shared" si="485"/>
        <v>70.293147999643594</v>
      </c>
      <c r="T526" s="739">
        <f t="shared" si="485"/>
        <v>-56.985140226036002</v>
      </c>
      <c r="U526" s="739">
        <f t="shared" si="485"/>
        <v>-113.21007176742488</v>
      </c>
      <c r="V526" s="739">
        <f t="shared" si="485"/>
        <v>71.040515653775287</v>
      </c>
      <c r="W526" s="739">
        <f t="shared" si="485"/>
        <v>-161.66890982503367</v>
      </c>
      <c r="X526" s="739">
        <f t="shared" si="485"/>
        <v>84.199039720646013</v>
      </c>
      <c r="Y526" s="739">
        <f t="shared" si="485"/>
        <v>-154.95260663507108</v>
      </c>
      <c r="Z526" s="739">
        <f t="shared" si="485"/>
        <v>78.395860284605419</v>
      </c>
      <c r="AA526" s="739">
        <f t="shared" si="485"/>
        <v>-183.6113125453227</v>
      </c>
      <c r="AB526" s="739">
        <f t="shared" si="485"/>
        <v>124.3712055507372</v>
      </c>
      <c r="AC526" s="2294">
        <v>0</v>
      </c>
      <c r="AD526" s="2294">
        <v>0</v>
      </c>
      <c r="AE526" s="2294">
        <v>0</v>
      </c>
    </row>
    <row r="527" spans="1:113" ht="12.75" customHeight="1">
      <c r="A527" s="664"/>
      <c r="B527" s="664"/>
      <c r="C527" s="795" t="s">
        <v>401</v>
      </c>
      <c r="D527" s="674" t="s">
        <v>686</v>
      </c>
      <c r="E527" s="783" t="s">
        <v>375</v>
      </c>
      <c r="F527" s="704" t="s">
        <v>1557</v>
      </c>
      <c r="G527" s="706"/>
      <c r="H527" s="706" t="e">
        <f t="shared" ref="H527:AB527" si="486">(H520/G520-1)*100</f>
        <v>#DIV/0!</v>
      </c>
      <c r="I527" s="706" t="e">
        <f t="shared" si="486"/>
        <v>#DIV/0!</v>
      </c>
      <c r="J527" s="706">
        <f t="shared" si="486"/>
        <v>-78.81619937694704</v>
      </c>
      <c r="K527" s="706">
        <f>(K520/J520-1)*100</f>
        <v>213.97058823529406</v>
      </c>
      <c r="L527" s="706">
        <f t="shared" si="486"/>
        <v>52.927400468384093</v>
      </c>
      <c r="M527" s="706">
        <f t="shared" si="486"/>
        <v>162.63399693721286</v>
      </c>
      <c r="N527" s="706">
        <f t="shared" si="486"/>
        <v>15.97667638483966</v>
      </c>
      <c r="O527" s="706">
        <f t="shared" si="486"/>
        <v>18.903971845148291</v>
      </c>
      <c r="P527" s="706">
        <f t="shared" si="486"/>
        <v>188.49894291754759</v>
      </c>
      <c r="Q527" s="706">
        <f t="shared" si="486"/>
        <v>167.74146269969225</v>
      </c>
      <c r="R527" s="706">
        <f t="shared" si="486"/>
        <v>42.620976571053191</v>
      </c>
      <c r="S527" s="706">
        <f t="shared" si="486"/>
        <v>56.620864358639736</v>
      </c>
      <c r="T527" s="706">
        <f t="shared" si="486"/>
        <v>-58.665392344263104</v>
      </c>
      <c r="U527" s="706">
        <f t="shared" si="486"/>
        <v>-114.56690579237565</v>
      </c>
      <c r="V527" s="706">
        <f t="shared" si="486"/>
        <v>-31.868131868131876</v>
      </c>
      <c r="W527" s="706">
        <f t="shared" si="486"/>
        <v>-830.94384707287929</v>
      </c>
      <c r="X527" s="706">
        <f t="shared" si="486"/>
        <v>-3.3180778032036562</v>
      </c>
      <c r="Y527" s="706">
        <f t="shared" si="486"/>
        <v>-19.822485207100605</v>
      </c>
      <c r="Z527" s="706">
        <f t="shared" si="486"/>
        <v>-60.906694781233526</v>
      </c>
      <c r="AA527" s="706">
        <f t="shared" si="486"/>
        <v>132.55124056094934</v>
      </c>
      <c r="AB527" s="706">
        <f t="shared" si="486"/>
        <v>22.382001623564875</v>
      </c>
      <c r="AC527" s="2295">
        <v>0</v>
      </c>
      <c r="AD527" s="2295">
        <v>0</v>
      </c>
      <c r="AE527" s="2295">
        <v>0</v>
      </c>
    </row>
    <row r="528" spans="1:113" ht="12.75" customHeight="1">
      <c r="A528" s="664"/>
      <c r="B528" s="664"/>
      <c r="C528" s="796" t="s">
        <v>401</v>
      </c>
      <c r="D528" s="691" t="s">
        <v>687</v>
      </c>
      <c r="E528" s="797" t="s">
        <v>375</v>
      </c>
      <c r="F528" s="736" t="s">
        <v>1026</v>
      </c>
      <c r="G528" s="741"/>
      <c r="H528" s="741" t="e">
        <f>(H521/G521-1)*100</f>
        <v>#DIV/0!</v>
      </c>
      <c r="I528" s="741" t="e">
        <f t="shared" ref="I528:AB528" si="487">(I521/H521-1)*100</f>
        <v>#DIV/0!</v>
      </c>
      <c r="J528" s="741" t="e">
        <f t="shared" si="487"/>
        <v>#DIV/0!</v>
      </c>
      <c r="K528" s="741">
        <f>(K521/J521-1)*100</f>
        <v>293.75</v>
      </c>
      <c r="L528" s="741">
        <f t="shared" si="487"/>
        <v>286.50793650793651</v>
      </c>
      <c r="M528" s="741">
        <f t="shared" si="487"/>
        <v>-43.32648870636551</v>
      </c>
      <c r="N528" s="741">
        <f t="shared" si="487"/>
        <v>34.057971014492772</v>
      </c>
      <c r="O528" s="741">
        <f t="shared" si="487"/>
        <v>82.972972972972968</v>
      </c>
      <c r="P528" s="741">
        <f t="shared" si="487"/>
        <v>233.08714918759233</v>
      </c>
      <c r="Q528" s="741">
        <f t="shared" si="487"/>
        <v>50.421286031042122</v>
      </c>
      <c r="R528" s="741">
        <f t="shared" si="487"/>
        <v>6.3384433962264231</v>
      </c>
      <c r="S528" s="741">
        <f t="shared" si="487"/>
        <v>-28.389243138342113</v>
      </c>
      <c r="T528" s="741">
        <f t="shared" si="487"/>
        <v>-83.546264034068912</v>
      </c>
      <c r="U528" s="741">
        <f t="shared" si="487"/>
        <v>-167.05882352941174</v>
      </c>
      <c r="V528" s="741">
        <f t="shared" si="487"/>
        <v>-815.78947368421041</v>
      </c>
      <c r="W528" s="741">
        <f t="shared" si="487"/>
        <v>387.5</v>
      </c>
      <c r="X528" s="741">
        <f t="shared" si="487"/>
        <v>-23.46907993966818</v>
      </c>
      <c r="Y528" s="741">
        <f t="shared" si="487"/>
        <v>55.091315201681802</v>
      </c>
      <c r="Z528" s="741">
        <f t="shared" si="487"/>
        <v>-33.547949847509329</v>
      </c>
      <c r="AA528" s="741">
        <f t="shared" si="487"/>
        <v>-34.16624171341153</v>
      </c>
      <c r="AB528" s="741">
        <f t="shared" si="487"/>
        <v>-45.933384972889236</v>
      </c>
      <c r="AC528" s="2871">
        <v>-100</v>
      </c>
      <c r="AD528" s="2871">
        <v>-100</v>
      </c>
      <c r="AE528" s="2871">
        <v>-100</v>
      </c>
    </row>
    <row r="529" spans="1:31" ht="12.75" customHeight="1">
      <c r="A529" s="664"/>
      <c r="B529" s="664"/>
      <c r="C529" s="774" t="s">
        <v>1769</v>
      </c>
      <c r="D529" s="717" t="s">
        <v>688</v>
      </c>
      <c r="E529" s="722" t="s">
        <v>375</v>
      </c>
      <c r="F529" s="723" t="s">
        <v>887</v>
      </c>
      <c r="G529" s="721"/>
      <c r="H529" s="721" t="e">
        <f>(H522/G522-1)*100</f>
        <v>#VALUE!</v>
      </c>
      <c r="I529" s="721" t="e">
        <f t="shared" ref="I529:AE529" si="488">(I522/H522-1)*100</f>
        <v>#VALUE!</v>
      </c>
      <c r="J529" s="721" t="e">
        <f t="shared" si="488"/>
        <v>#VALUE!</v>
      </c>
      <c r="K529" s="721" t="e">
        <f>(K522/J522-1)*100</f>
        <v>#VALUE!</v>
      </c>
      <c r="L529" s="721" t="e">
        <f t="shared" si="488"/>
        <v>#VALUE!</v>
      </c>
      <c r="M529" s="721" t="e">
        <f t="shared" si="488"/>
        <v>#VALUE!</v>
      </c>
      <c r="N529" s="721" t="e">
        <f t="shared" si="488"/>
        <v>#VALUE!</v>
      </c>
      <c r="O529" s="721" t="e">
        <f t="shared" si="488"/>
        <v>#VALUE!</v>
      </c>
      <c r="P529" s="721" t="e">
        <f t="shared" si="488"/>
        <v>#VALUE!</v>
      </c>
      <c r="Q529" s="721" t="e">
        <f t="shared" si="488"/>
        <v>#VALUE!</v>
      </c>
      <c r="R529" s="721" t="e">
        <f t="shared" si="488"/>
        <v>#VALUE!</v>
      </c>
      <c r="S529" s="721" t="e">
        <f t="shared" si="488"/>
        <v>#VALUE!</v>
      </c>
      <c r="T529" s="2260" t="e">
        <f t="shared" si="488"/>
        <v>#VALUE!</v>
      </c>
      <c r="U529" s="2260" t="e">
        <f t="shared" si="488"/>
        <v>#DIV/0!</v>
      </c>
      <c r="V529" s="2260" t="e">
        <f t="shared" si="488"/>
        <v>#DIV/0!</v>
      </c>
      <c r="W529" s="2260">
        <v>0</v>
      </c>
      <c r="X529" s="2260" t="e">
        <f t="shared" si="488"/>
        <v>#DIV/0!</v>
      </c>
      <c r="Y529" s="2260">
        <f t="shared" si="488"/>
        <v>-100</v>
      </c>
      <c r="Z529" s="2260" t="e">
        <f t="shared" si="488"/>
        <v>#DIV/0!</v>
      </c>
      <c r="AA529" s="2260">
        <f t="shared" si="488"/>
        <v>-100</v>
      </c>
      <c r="AB529" s="2260" t="e">
        <f t="shared" si="488"/>
        <v>#DIV/0!</v>
      </c>
      <c r="AC529" s="2260" t="e">
        <f t="shared" si="488"/>
        <v>#DIV/0!</v>
      </c>
      <c r="AD529" s="2260">
        <f t="shared" si="488"/>
        <v>0</v>
      </c>
      <c r="AE529" s="2260">
        <f t="shared" si="488"/>
        <v>0</v>
      </c>
    </row>
    <row r="530" spans="1:31" ht="12.75" customHeight="1">
      <c r="A530" s="664"/>
      <c r="B530" s="664"/>
      <c r="C530" s="774"/>
      <c r="E530" s="786"/>
      <c r="F530" s="787"/>
      <c r="G530" s="703"/>
      <c r="H530" s="788"/>
      <c r="I530" s="788"/>
      <c r="J530" s="788"/>
      <c r="K530" s="788"/>
      <c r="L530" s="788"/>
      <c r="M530" s="788"/>
      <c r="N530" s="788"/>
      <c r="O530" s="788"/>
      <c r="P530" s="788"/>
      <c r="Q530" s="788"/>
      <c r="R530" s="788"/>
      <c r="S530" s="788"/>
      <c r="T530" s="2274"/>
      <c r="U530" s="2274"/>
      <c r="V530" s="2274"/>
      <c r="W530" s="2274"/>
      <c r="X530" s="2274"/>
      <c r="Y530" s="2274"/>
      <c r="Z530" s="2274"/>
      <c r="AA530" s="2274"/>
      <c r="AB530" s="2274"/>
      <c r="AC530" s="2274"/>
      <c r="AD530" s="2274"/>
      <c r="AE530" s="2274"/>
    </row>
    <row r="531" spans="1:31" ht="12.75" customHeight="1">
      <c r="A531" s="664"/>
      <c r="B531" s="664"/>
      <c r="C531" s="774"/>
      <c r="D531" s="818"/>
      <c r="E531" s="819" t="s">
        <v>512</v>
      </c>
      <c r="F531" s="820"/>
      <c r="G531" s="821">
        <f>+InputY!$G$3</f>
        <v>1995</v>
      </c>
      <c r="H531" s="821">
        <f>+G531+1</f>
        <v>1996</v>
      </c>
      <c r="I531" s="821">
        <f t="shared" ref="I531:O531" si="489">+H531+1</f>
        <v>1997</v>
      </c>
      <c r="J531" s="821">
        <f t="shared" si="489"/>
        <v>1998</v>
      </c>
      <c r="K531" s="821">
        <f>+J531+1</f>
        <v>1999</v>
      </c>
      <c r="L531" s="821">
        <f t="shared" si="489"/>
        <v>2000</v>
      </c>
      <c r="M531" s="821">
        <f t="shared" si="489"/>
        <v>2001</v>
      </c>
      <c r="N531" s="821">
        <f t="shared" si="489"/>
        <v>2002</v>
      </c>
      <c r="O531" s="821">
        <f t="shared" si="489"/>
        <v>2003</v>
      </c>
      <c r="P531" s="821">
        <f t="shared" ref="P531:V531" si="490">+O531+1</f>
        <v>2004</v>
      </c>
      <c r="Q531" s="821">
        <f t="shared" si="490"/>
        <v>2005</v>
      </c>
      <c r="R531" s="821">
        <f t="shared" si="490"/>
        <v>2006</v>
      </c>
      <c r="S531" s="821">
        <f>+R531+1</f>
        <v>2007</v>
      </c>
      <c r="T531" s="821">
        <f t="shared" si="490"/>
        <v>2008</v>
      </c>
      <c r="U531" s="821">
        <f t="shared" si="490"/>
        <v>2009</v>
      </c>
      <c r="V531" s="821">
        <f t="shared" si="490"/>
        <v>2010</v>
      </c>
      <c r="W531" s="821">
        <f t="shared" ref="W531:AE531" si="491">+V531+1</f>
        <v>2011</v>
      </c>
      <c r="X531" s="821">
        <f t="shared" si="491"/>
        <v>2012</v>
      </c>
      <c r="Y531" s="821">
        <f t="shared" si="491"/>
        <v>2013</v>
      </c>
      <c r="Z531" s="821">
        <f t="shared" si="491"/>
        <v>2014</v>
      </c>
      <c r="AA531" s="821">
        <f t="shared" si="491"/>
        <v>2015</v>
      </c>
      <c r="AB531" s="821">
        <f t="shared" si="491"/>
        <v>2016</v>
      </c>
      <c r="AC531" s="821">
        <f t="shared" si="491"/>
        <v>2017</v>
      </c>
      <c r="AD531" s="821">
        <f t="shared" si="491"/>
        <v>2018</v>
      </c>
      <c r="AE531" s="821">
        <f t="shared" si="491"/>
        <v>2019</v>
      </c>
    </row>
    <row r="532" spans="1:31" ht="12.75" customHeight="1">
      <c r="A532" s="664"/>
      <c r="B532" s="664"/>
      <c r="C532" s="822" t="s">
        <v>401</v>
      </c>
      <c r="D532" s="823" t="s">
        <v>685</v>
      </c>
      <c r="E532" s="824" t="s">
        <v>375</v>
      </c>
      <c r="F532" s="825" t="s">
        <v>19</v>
      </c>
      <c r="G532" s="838">
        <f>+G519/'VVP2'!G$341</f>
        <v>0</v>
      </c>
      <c r="H532" s="838">
        <f>+H519/'VVP2'!H$341</f>
        <v>0</v>
      </c>
      <c r="I532" s="838">
        <f>+I519/'VVP2'!I$341</f>
        <v>-5.4757879761248827E-4</v>
      </c>
      <c r="J532" s="838">
        <f>+J519/'VVP2'!J$341</f>
        <v>-7.98650894335415E-5</v>
      </c>
      <c r="K532" s="838">
        <f>+K519/'VVP2'!K$341</f>
        <v>-2.3678265083290851E-4</v>
      </c>
      <c r="L532" s="838">
        <f>+L519/'VVP2'!L$341</f>
        <v>-1.2417546741590855E-4</v>
      </c>
      <c r="M532" s="838">
        <f>+M519/'VVP2'!M$341</f>
        <v>-1.0137715118228724E-3</v>
      </c>
      <c r="N532" s="838">
        <f>+N519/'VVP2'!N$341</f>
        <v>-1.0649795391052725E-3</v>
      </c>
      <c r="O532" s="838">
        <f>+O519/'VVP2'!O$341</f>
        <v>-1.012689819347655E-3</v>
      </c>
      <c r="P532" s="838">
        <f>+P519/'VVP2'!P$341</f>
        <v>-2.5046990522938173E-3</v>
      </c>
      <c r="Q532" s="838">
        <f>+Q519/'VVP2'!Q$341</f>
        <v>-7.0830169004897072E-3</v>
      </c>
      <c r="R532" s="838">
        <f>+R519/'VVP2'!R$341</f>
        <v>-9.3217460063008788E-3</v>
      </c>
      <c r="S532" s="838">
        <f>+S519/'VVP2'!S$341</f>
        <v>-1.3162235293550493E-2</v>
      </c>
      <c r="T532" s="2909">
        <f>+T519/'VVP2'!T$341</f>
        <v>-5.028706629622696E-3</v>
      </c>
      <c r="U532" s="2909">
        <f>+U519/'VVP2'!U$341</f>
        <v>8.0639113237066374E-4</v>
      </c>
      <c r="V532" s="2909">
        <f>+V519/'VVP2'!V$341</f>
        <v>1.3254763330224498E-3</v>
      </c>
      <c r="W532" s="2909">
        <f>+W519/'VVP2'!W$341</f>
        <v>-7.3252647774667051E-4</v>
      </c>
      <c r="X532" s="2909">
        <f>+X519/'VVP2'!X$341</f>
        <v>-1.2654249908841421E-3</v>
      </c>
      <c r="Y532" s="2909">
        <f>+Y519/'VVP2'!Y$341</f>
        <v>6.6333616040206353E-4</v>
      </c>
      <c r="Z532" s="2909">
        <f>+Z519/'VVP2'!Z$341</f>
        <v>1.1313083360770591E-3</v>
      </c>
      <c r="AA532" s="2909">
        <f>+AA519/'VVP2'!AA$341</f>
        <v>-9.2420873811440579E-4</v>
      </c>
      <c r="AB532" s="2909">
        <f>+AB519/'VVP2'!AB$341</f>
        <v>-2.0070693528966344E-3</v>
      </c>
      <c r="AC532" s="2909">
        <f ca="1">+AC519/'VVP2'!AC$341</f>
        <v>-1.8576053741038376E-3</v>
      </c>
      <c r="AD532" s="2909">
        <f ca="1">+AD519/'VVP2'!AD$341</f>
        <v>-1.7554233053798159E-3</v>
      </c>
      <c r="AE532" s="2909">
        <f ca="1">+AE519/'VVP2'!AE$341</f>
        <v>-1.6627299788668168E-3</v>
      </c>
    </row>
    <row r="533" spans="1:31" ht="12.75" customHeight="1">
      <c r="A533" s="664"/>
      <c r="B533" s="664"/>
      <c r="C533" s="826" t="s">
        <v>401</v>
      </c>
      <c r="D533" s="674" t="s">
        <v>686</v>
      </c>
      <c r="E533" s="783" t="s">
        <v>375</v>
      </c>
      <c r="F533" s="704" t="s">
        <v>1557</v>
      </c>
      <c r="G533" s="839">
        <f>+G520/'VVP2'!G$341</f>
        <v>0</v>
      </c>
      <c r="H533" s="839">
        <f>+H520/'VVP2'!H$341</f>
        <v>0</v>
      </c>
      <c r="I533" s="839">
        <f>+I520/'VVP2'!I$341</f>
        <v>5.4757879761248827E-4</v>
      </c>
      <c r="J533" s="839">
        <f>+J520/'VVP2'!J$341</f>
        <v>1.0443896310540042E-4</v>
      </c>
      <c r="K533" s="839">
        <f>+K520/'VVP2'!K$341</f>
        <v>3.3590096978621903E-4</v>
      </c>
      <c r="L533" s="839">
        <f>+L520/'VVP2'!L$341</f>
        <v>4.884733748348691E-4</v>
      </c>
      <c r="M533" s="839">
        <f>+M520/'VVP2'!M$341</f>
        <v>1.2082127468910535E-3</v>
      </c>
      <c r="N533" s="839">
        <f>+N520/'VVP2'!N$341</f>
        <v>1.3083658451392137E-3</v>
      </c>
      <c r="O533" s="839">
        <f>+O520/'VVP2'!O$341</f>
        <v>1.4188456295955E-3</v>
      </c>
      <c r="P533" s="839">
        <f>+P520/'VVP2'!P$341</f>
        <v>3.741147467994903E-3</v>
      </c>
      <c r="Q533" s="839">
        <f>+Q520/'VVP2'!Q$341</f>
        <v>8.6980742631181749E-3</v>
      </c>
      <c r="R533" s="839">
        <f>+R520/'VVP2'!R$341</f>
        <v>1.0820135901637846E-2</v>
      </c>
      <c r="S533" s="839">
        <f>+S520/'VVP2'!S$341</f>
        <v>1.4051333544072345E-2</v>
      </c>
      <c r="T533" s="2910">
        <f>+T520/'VVP2'!T$341</f>
        <v>5.1586908357770358E-3</v>
      </c>
      <c r="U533" s="2910">
        <f>+U520/'VVP2'!U$341</f>
        <v>-9.1220212349664865E-4</v>
      </c>
      <c r="V533" s="2910">
        <f>+V520/'VVP2'!V$341</f>
        <v>-5.9726712825829901E-4</v>
      </c>
      <c r="W533" s="2910">
        <f>+W520/'VVP2'!W$341</f>
        <v>3.9123500574894197E-3</v>
      </c>
      <c r="X533" s="2910">
        <f>+X520/'VVP2'!X$341</f>
        <v>3.5473880668624174E-3</v>
      </c>
      <c r="Y533" s="2910">
        <f>+Y520/'VVP2'!Y$341</f>
        <v>2.7131278488199961E-3</v>
      </c>
      <c r="Z533" s="2910">
        <f>+Z520/'VVP2'!Z$341</f>
        <v>1.0139935485070665E-3</v>
      </c>
      <c r="AA533" s="2910">
        <f>+AA520/'VVP2'!AA$341</f>
        <v>2.3039757007113386E-3</v>
      </c>
      <c r="AB533" s="2910">
        <f>+AB520/'VVP2'!AB$341</f>
        <v>2.7291074450609696E-3</v>
      </c>
      <c r="AC533" s="2910">
        <f ca="1">+AC520/'VVP2'!AC$341</f>
        <v>2.5258741802496841E-3</v>
      </c>
      <c r="AD533" s="2910">
        <f ca="1">+AD520/'VVP2'!AD$341</f>
        <v>2.3869323723325854E-3</v>
      </c>
      <c r="AE533" s="2910">
        <f ca="1">+AE520/'VVP2'!AE$341</f>
        <v>2.2608928574902099E-3</v>
      </c>
    </row>
    <row r="534" spans="1:31" ht="12.75" customHeight="1">
      <c r="A534" s="664"/>
      <c r="B534" s="664"/>
      <c r="C534" s="827" t="s">
        <v>401</v>
      </c>
      <c r="D534" s="828" t="s">
        <v>687</v>
      </c>
      <c r="E534" s="829" t="s">
        <v>375</v>
      </c>
      <c r="F534" s="830" t="s">
        <v>1026</v>
      </c>
      <c r="G534" s="840">
        <f>+G521/'VVP2'!G$341</f>
        <v>0</v>
      </c>
      <c r="H534" s="840">
        <f>+H521/'VVP2'!H$341</f>
        <v>0</v>
      </c>
      <c r="I534" s="840">
        <f>+I521/'VVP2'!I$341</f>
        <v>0</v>
      </c>
      <c r="J534" s="840">
        <f>+J521/'VVP2'!J$341</f>
        <v>-2.4573873671858922E-5</v>
      </c>
      <c r="K534" s="840">
        <f>+K521/'VVP2'!K$341</f>
        <v>-9.9118318953310549E-5</v>
      </c>
      <c r="L534" s="840">
        <f>+L521/'VVP2'!L$341</f>
        <v>-3.6429790741896053E-4</v>
      </c>
      <c r="M534" s="840">
        <f>+M521/'VVP2'!M$341</f>
        <v>-1.9444123506818123E-4</v>
      </c>
      <c r="N534" s="840">
        <f>+N521/'VVP2'!N$341</f>
        <v>-2.4338630603394122E-4</v>
      </c>
      <c r="O534" s="840">
        <f>+O521/'VVP2'!O$341</f>
        <v>-4.0615581024784506E-4</v>
      </c>
      <c r="P534" s="840">
        <f>+P521/'VVP2'!P$341</f>
        <v>-1.2364484157010856E-3</v>
      </c>
      <c r="Q534" s="840">
        <f>+Q521/'VVP2'!Q$341</f>
        <v>-1.6150573626284677E-3</v>
      </c>
      <c r="R534" s="840">
        <f>+R521/'VVP2'!R$341</f>
        <v>-1.497974598802783E-3</v>
      </c>
      <c r="S534" s="840">
        <f>+S521/'VVP2'!S$341</f>
        <v>-8.8944259531291642E-4</v>
      </c>
      <c r="T534" s="2911">
        <f>+T521/'VVP2'!T$341</f>
        <v>-1.2998420615433927E-4</v>
      </c>
      <c r="U534" s="2911">
        <f>+U521/'VVP2'!U$341</f>
        <v>1.0581099112598489E-4</v>
      </c>
      <c r="V534" s="2911">
        <f>+V521/'VVP2'!V$341</f>
        <v>-7.2785241436495226E-4</v>
      </c>
      <c r="W534" s="2911">
        <f>+W521/'VVP2'!W$341</f>
        <v>-3.1798235797427491E-3</v>
      </c>
      <c r="X534" s="2911">
        <f>+X521/'VVP2'!X$341</f>
        <v>-2.2822629397201907E-3</v>
      </c>
      <c r="Y534" s="2911">
        <f>+Y521/'VVP2'!Y$341</f>
        <v>-3.3764640092220602E-3</v>
      </c>
      <c r="Z534" s="2911">
        <f>+Z521/'VVP2'!Z$341</f>
        <v>-2.1450284235408389E-3</v>
      </c>
      <c r="AA534" s="2911">
        <f>+AA521/'VVP2'!AA$341</f>
        <v>-1.3797669625969329E-3</v>
      </c>
      <c r="AB534" s="2911">
        <f>+AB521/'VVP2'!AB$341</f>
        <v>-7.2203809216433502E-4</v>
      </c>
      <c r="AC534" s="2911">
        <f ca="1">+AC521/'VVP2'!AC$341</f>
        <v>0</v>
      </c>
      <c r="AD534" s="2911">
        <f ca="1">+AD521/'VVP2'!AD$341</f>
        <v>0</v>
      </c>
      <c r="AE534" s="2911">
        <f ca="1">+AE521/'VVP2'!AE$341</f>
        <v>0</v>
      </c>
    </row>
    <row r="535" spans="1:31" ht="12.75" customHeight="1">
      <c r="A535" s="664"/>
      <c r="B535" s="664"/>
      <c r="C535" s="774" t="s">
        <v>1769</v>
      </c>
      <c r="D535" s="806" t="s">
        <v>688</v>
      </c>
      <c r="E535" s="807" t="s">
        <v>375</v>
      </c>
      <c r="F535" s="808" t="s">
        <v>887</v>
      </c>
      <c r="G535" s="841" t="e">
        <f>+G522/'VVP2'!G$341</f>
        <v>#VALUE!</v>
      </c>
      <c r="H535" s="841" t="e">
        <f>+H522/'VVP2'!H$341</f>
        <v>#VALUE!</v>
      </c>
      <c r="I535" s="841" t="e">
        <f>+I522/'VVP2'!I$341</f>
        <v>#VALUE!</v>
      </c>
      <c r="J535" s="841" t="e">
        <f>+J522/'VVP2'!J$341</f>
        <v>#VALUE!</v>
      </c>
      <c r="K535" s="841" t="e">
        <f>+K522/'VVP2'!K$341</f>
        <v>#VALUE!</v>
      </c>
      <c r="L535" s="841" t="e">
        <f>+L522/'VVP2'!L$341</f>
        <v>#VALUE!</v>
      </c>
      <c r="M535" s="841" t="e">
        <f>+M522/'VVP2'!M$341</f>
        <v>#VALUE!</v>
      </c>
      <c r="N535" s="841" t="e">
        <f>+N522/'VVP2'!N$341</f>
        <v>#VALUE!</v>
      </c>
      <c r="O535" s="841" t="e">
        <f>+O522/'VVP2'!O$341</f>
        <v>#VALUE!</v>
      </c>
      <c r="P535" s="841" t="e">
        <f>+P522/'VVP2'!P$341</f>
        <v>#VALUE!</v>
      </c>
      <c r="Q535" s="841" t="e">
        <f>+Q522/'VVP2'!Q$341</f>
        <v>#VALUE!</v>
      </c>
      <c r="R535" s="841" t="e">
        <f>+R522/'VVP2'!R$341</f>
        <v>#VALUE!</v>
      </c>
      <c r="S535" s="841" t="e">
        <f>+S522/'VVP2'!S$341</f>
        <v>#VALUE!</v>
      </c>
      <c r="T535" s="2912">
        <f>+T522/'VVP2'!T$341</f>
        <v>0</v>
      </c>
      <c r="U535" s="2912">
        <f>+U522/'VVP2'!U$341</f>
        <v>0</v>
      </c>
      <c r="V535" s="2912">
        <f>+V522/'VVP2'!V$341</f>
        <v>-3.567903991984915E-7</v>
      </c>
      <c r="W535" s="2912">
        <f>+W522/'VVP2'!W$341</f>
        <v>0</v>
      </c>
      <c r="X535" s="2912">
        <f>+X522/'VVP2'!X$341</f>
        <v>2.9986374191555723E-7</v>
      </c>
      <c r="Y535" s="2912">
        <f>+Y522/'VVP2'!Y$341</f>
        <v>0</v>
      </c>
      <c r="Z535" s="2912">
        <f>+Z522/'VVP2'!Z$341</f>
        <v>-2.7346104328658946E-7</v>
      </c>
      <c r="AA535" s="2912">
        <f>+AA522/'VVP2'!AA$341</f>
        <v>0</v>
      </c>
      <c r="AB535" s="2912">
        <f>+AB522/'VVP2'!AB$341</f>
        <v>0</v>
      </c>
      <c r="AC535" s="2912">
        <f ca="1">+AC522/'VVP2'!AC$341</f>
        <v>-6.6826880614584655E-4</v>
      </c>
      <c r="AD535" s="2912">
        <f ca="1">+AD522/'VVP2'!AD$341</f>
        <v>-6.3150906695276976E-4</v>
      </c>
      <c r="AE535" s="2912">
        <f ca="1">+AE522/'VVP2'!AE$341</f>
        <v>-5.9816287862339296E-4</v>
      </c>
    </row>
    <row r="536" spans="1:31" ht="30" customHeight="1">
      <c r="S536" s="843"/>
      <c r="U536" s="843"/>
      <c r="AB536" s="2221"/>
      <c r="AC536" s="2221"/>
      <c r="AD536" s="2221"/>
      <c r="AE536" s="2221"/>
    </row>
    <row r="537" spans="1:31" ht="30" customHeight="1">
      <c r="AB537" s="2221"/>
      <c r="AC537" s="2221"/>
      <c r="AD537" s="2221"/>
      <c r="AE537" s="2221"/>
    </row>
    <row r="538" spans="1:31" ht="22.5" customHeight="1">
      <c r="A538" s="574"/>
      <c r="B538" s="574"/>
      <c r="C538" s="3752" t="s">
        <v>377</v>
      </c>
      <c r="D538" s="3752"/>
      <c r="E538" s="3752"/>
      <c r="F538" s="3752"/>
      <c r="AB538" s="2221"/>
      <c r="AC538" s="2221"/>
      <c r="AD538" s="2221"/>
      <c r="AE538" s="2221"/>
    </row>
    <row r="539" spans="1:31" ht="12.75" customHeight="1">
      <c r="A539" s="664"/>
      <c r="B539" s="664"/>
      <c r="C539" s="774"/>
      <c r="AB539" s="2221"/>
      <c r="AC539" s="2221"/>
      <c r="AD539" s="2221"/>
      <c r="AE539" s="2221"/>
    </row>
    <row r="540" spans="1:31" ht="12.75" customHeight="1">
      <c r="A540" s="664"/>
      <c r="B540" s="664"/>
      <c r="C540" s="774"/>
      <c r="D540" s="775"/>
      <c r="E540" s="776" t="s">
        <v>1384</v>
      </c>
      <c r="F540" s="777"/>
      <c r="G540" s="778">
        <f>+InputY!$G$3</f>
        <v>1995</v>
      </c>
      <c r="H540" s="778">
        <f>+G540+1</f>
        <v>1996</v>
      </c>
      <c r="I540" s="778">
        <f t="shared" ref="I540:O540" si="492">+H540+1</f>
        <v>1997</v>
      </c>
      <c r="J540" s="778">
        <f t="shared" si="492"/>
        <v>1998</v>
      </c>
      <c r="K540" s="778">
        <f>+J540+1</f>
        <v>1999</v>
      </c>
      <c r="L540" s="778">
        <f t="shared" si="492"/>
        <v>2000</v>
      </c>
      <c r="M540" s="778">
        <f t="shared" si="492"/>
        <v>2001</v>
      </c>
      <c r="N540" s="778">
        <f t="shared" si="492"/>
        <v>2002</v>
      </c>
      <c r="O540" s="778">
        <f t="shared" si="492"/>
        <v>2003</v>
      </c>
      <c r="P540" s="778">
        <f t="shared" ref="P540:W540" si="493">+O540+1</f>
        <v>2004</v>
      </c>
      <c r="Q540" s="778">
        <f t="shared" si="493"/>
        <v>2005</v>
      </c>
      <c r="R540" s="778">
        <f t="shared" si="493"/>
        <v>2006</v>
      </c>
      <c r="S540" s="778">
        <f t="shared" si="493"/>
        <v>2007</v>
      </c>
      <c r="T540" s="2222">
        <f t="shared" si="493"/>
        <v>2008</v>
      </c>
      <c r="U540" s="2222">
        <f t="shared" si="493"/>
        <v>2009</v>
      </c>
      <c r="V540" s="2222">
        <f t="shared" si="493"/>
        <v>2010</v>
      </c>
      <c r="W540" s="2222">
        <f t="shared" si="493"/>
        <v>2011</v>
      </c>
      <c r="X540" s="2222">
        <f t="shared" ref="X540:AE540" si="494">+W540+1</f>
        <v>2012</v>
      </c>
      <c r="Y540" s="2222">
        <f t="shared" si="494"/>
        <v>2013</v>
      </c>
      <c r="Z540" s="2222">
        <f t="shared" si="494"/>
        <v>2014</v>
      </c>
      <c r="AA540" s="2222">
        <f t="shared" si="494"/>
        <v>2015</v>
      </c>
      <c r="AB540" s="2222">
        <f t="shared" si="494"/>
        <v>2016</v>
      </c>
      <c r="AC540" s="2222">
        <f t="shared" si="494"/>
        <v>2017</v>
      </c>
      <c r="AD540" s="2222">
        <f t="shared" si="494"/>
        <v>2018</v>
      </c>
      <c r="AE540" s="2222">
        <f t="shared" si="494"/>
        <v>2019</v>
      </c>
    </row>
    <row r="541" spans="1:31" ht="12.75" customHeight="1">
      <c r="A541" s="664">
        <f>+ROW(InputY!A209)</f>
        <v>209</v>
      </c>
      <c r="B541" s="664" t="s">
        <v>675</v>
      </c>
      <c r="C541" s="779" t="s">
        <v>1767</v>
      </c>
      <c r="D541" s="668" t="s">
        <v>685</v>
      </c>
      <c r="E541" s="700" t="s">
        <v>377</v>
      </c>
      <c r="F541" s="701" t="s">
        <v>2076</v>
      </c>
      <c r="G541" s="780">
        <f>+InputY!G209/1000</f>
        <v>1.3009999999999999E-2</v>
      </c>
      <c r="H541" s="780">
        <f>+InputY!H209/1000</f>
        <v>2.0800000000000003E-3</v>
      </c>
      <c r="I541" s="780">
        <f>+InputY!I209/1000</f>
        <v>5.6900000000000006E-2</v>
      </c>
      <c r="J541" s="780">
        <f>+InputY!J209/1000</f>
        <v>2.6830000000000003E-2</v>
      </c>
      <c r="K541" s="780">
        <f>+InputY!K209/1000</f>
        <v>-3.6469999999999995E-2</v>
      </c>
      <c r="L541" s="780">
        <f>+InputY!L209/1000</f>
        <v>-1.7000000000000036E-4</v>
      </c>
      <c r="M541" s="780">
        <f>+InputY!M209/1000</f>
        <v>-0.1043</v>
      </c>
      <c r="N541" s="780">
        <f>+InputY!N209/1000</f>
        <v>-1.8500000000000001E-3</v>
      </c>
      <c r="O541" s="780">
        <f>+InputY!O209/1000</f>
        <v>8.6599999999999993E-3</v>
      </c>
      <c r="P541" s="780">
        <f>+InputY!P209/1000</f>
        <v>1.4449999999999999E-2</v>
      </c>
      <c r="Q541" s="780">
        <f>+InputY!Q209/1000</f>
        <v>-3.968E-2</v>
      </c>
      <c r="R541" s="780">
        <f>+InputY!R209/1000</f>
        <v>4.8399999999999988E-3</v>
      </c>
      <c r="S541" s="780">
        <f>+InputY!S209/1000</f>
        <v>4.6170000000000003E-2</v>
      </c>
      <c r="T541" s="780">
        <f>+InputY!T209/1000</f>
        <v>0.13553000000000001</v>
      </c>
      <c r="U541" s="780">
        <f>+InputY!U209/1000</f>
        <v>-5.6829999999999999E-2</v>
      </c>
      <c r="V541" s="780">
        <f>+InputY!V209/1000</f>
        <v>-2.7140000000000001E-2</v>
      </c>
      <c r="W541" s="780">
        <f>+InputY!W209/1000</f>
        <v>6.4819999999999989E-2</v>
      </c>
      <c r="X541" s="780">
        <f>+InputY!X209/1000</f>
        <v>8.8359999999999994E-2</v>
      </c>
      <c r="Y541" s="780">
        <f>+InputY!Y209/1000</f>
        <v>0.10335999999999999</v>
      </c>
      <c r="Z541" s="780">
        <f>+InputY!Z209/1000</f>
        <v>1.2970000000000001E-2</v>
      </c>
      <c r="AA541" s="780">
        <f>+InputY!AA209/1000</f>
        <v>2.895E-2</v>
      </c>
      <c r="AB541" s="780">
        <f>+InputY!AB209/1000</f>
        <v>-4.3100000000000005E-3</v>
      </c>
      <c r="AC541" s="2232">
        <f ca="1">+AB541*(1+AC548/100)</f>
        <v>-4.3100000000000005E-3</v>
      </c>
      <c r="AD541" s="2232">
        <f ca="1">+AC541*(1+AD548/100)</f>
        <v>-4.3100000000000005E-3</v>
      </c>
      <c r="AE541" s="2232">
        <f ca="1">+AD541*(1+AE548/100)</f>
        <v>-4.3100000000000005E-3</v>
      </c>
    </row>
    <row r="542" spans="1:31" ht="12.75" customHeight="1">
      <c r="A542" s="664">
        <f>+ROW(InputY!A136)</f>
        <v>136</v>
      </c>
      <c r="B542" s="664" t="s">
        <v>676</v>
      </c>
      <c r="C542" s="782" t="s">
        <v>1767</v>
      </c>
      <c r="D542" s="674" t="s">
        <v>686</v>
      </c>
      <c r="E542" s="783" t="s">
        <v>377</v>
      </c>
      <c r="F542" s="704" t="s">
        <v>382</v>
      </c>
      <c r="G542" s="706">
        <f>+InputY!G136/1000</f>
        <v>0.16175</v>
      </c>
      <c r="H542" s="706">
        <f>+InputY!H136/1000</f>
        <v>4.1340000000000002E-2</v>
      </c>
      <c r="I542" s="706">
        <f>+InputY!I136/1000</f>
        <v>0.19895000000000002</v>
      </c>
      <c r="J542" s="706">
        <f>+InputY!J136/1000</f>
        <v>3.1109999999999999E-2</v>
      </c>
      <c r="K542" s="706">
        <f>+InputY!K136/1000</f>
        <v>-4.0870000000000004E-2</v>
      </c>
      <c r="L542" s="706">
        <f>+InputY!L136/1000</f>
        <v>-4.922E-2</v>
      </c>
      <c r="M542" s="706">
        <f>+InputY!M136/1000</f>
        <v>-0.11035</v>
      </c>
      <c r="N542" s="706">
        <f>+InputY!N136/1000</f>
        <v>-2.018E-2</v>
      </c>
      <c r="O542" s="706">
        <f>+InputY!O136/1000</f>
        <v>3.2250000000000001E-2</v>
      </c>
      <c r="P542" s="706">
        <f>+InputY!P136/1000</f>
        <v>-6.1490000000000003E-2</v>
      </c>
      <c r="Q542" s="706">
        <f>+InputY!Q136/1000</f>
        <v>0.17057</v>
      </c>
      <c r="R542" s="706">
        <f>+InputY!R136/1000</f>
        <v>0.16547000000000001</v>
      </c>
      <c r="S542" s="706">
        <f>+InputY!S136/1000</f>
        <v>0.9591900000000001</v>
      </c>
      <c r="T542" s="706">
        <f>+InputY!T136/1000</f>
        <v>0.43486000000000002</v>
      </c>
      <c r="U542" s="706">
        <f>+InputY!U136/1000</f>
        <v>-1.4296800000000001</v>
      </c>
      <c r="V542" s="706">
        <f t="shared" ref="V542:AB542" si="495">+V544-V541-V543</f>
        <v>0.34223999999999999</v>
      </c>
      <c r="W542" s="706">
        <f t="shared" si="495"/>
        <v>0.94126000000000021</v>
      </c>
      <c r="X542" s="706">
        <f t="shared" si="495"/>
        <v>0.57815000000000005</v>
      </c>
      <c r="Y542" s="706">
        <f t="shared" si="495"/>
        <v>0.23589000000000004</v>
      </c>
      <c r="Z542" s="706">
        <f t="shared" si="495"/>
        <v>2.7549999999999998E-2</v>
      </c>
      <c r="AA542" s="706">
        <f t="shared" si="495"/>
        <v>0.30141000000000007</v>
      </c>
      <c r="AB542" s="706">
        <f t="shared" si="495"/>
        <v>-0.68081999999999998</v>
      </c>
      <c r="AC542" s="837">
        <f ca="1">+AC544-AC541-AC543</f>
        <v>-0.68081999999999998</v>
      </c>
      <c r="AD542" s="837">
        <f ca="1">+AD544-AD541-AD543</f>
        <v>-0.68081999999999998</v>
      </c>
      <c r="AE542" s="837">
        <f ca="1">+AE544-AE541-AE543</f>
        <v>-0.68081999999999998</v>
      </c>
    </row>
    <row r="543" spans="1:31" ht="12.75" customHeight="1">
      <c r="A543" s="664">
        <f>+ROW(InputY!A172)</f>
        <v>172</v>
      </c>
      <c r="B543" s="664" t="s">
        <v>747</v>
      </c>
      <c r="C543" s="782" t="s">
        <v>1767</v>
      </c>
      <c r="D543" s="674" t="s">
        <v>687</v>
      </c>
      <c r="E543" s="783" t="s">
        <v>377</v>
      </c>
      <c r="F543" s="704" t="s">
        <v>1177</v>
      </c>
      <c r="G543" s="706">
        <f>+InputY!G172/1000</f>
        <v>9.689999999999999E-3</v>
      </c>
      <c r="H543" s="706">
        <f>+InputY!H172/1000</f>
        <v>3.2599999999999999E-3</v>
      </c>
      <c r="I543" s="706">
        <f>+InputY!I172/1000</f>
        <v>2.6100000000000003E-3</v>
      </c>
      <c r="J543" s="706">
        <f>+InputY!J172/1000</f>
        <v>8.9999999999999998E-4</v>
      </c>
      <c r="K543" s="706">
        <f>+InputY!K172/1000</f>
        <v>1.7000000000000001E-4</v>
      </c>
      <c r="L543" s="706">
        <f>+InputY!L172/1000</f>
        <v>4.1000000000000005E-4</v>
      </c>
      <c r="M543" s="706">
        <f>+InputY!M172/1000</f>
        <v>2.3799999999999997E-3</v>
      </c>
      <c r="N543" s="706">
        <f>+InputY!N172/1000</f>
        <v>1.2800000000000001E-2</v>
      </c>
      <c r="O543" s="706">
        <f>+InputY!O172/1000</f>
        <v>2.7299999999999998E-3</v>
      </c>
      <c r="P543" s="706">
        <f>+InputY!P172/1000</f>
        <v>7.6299999999999996E-3</v>
      </c>
      <c r="Q543" s="706">
        <f>+InputY!Q172/1000</f>
        <v>9.5700000000000004E-3</v>
      </c>
      <c r="R543" s="706">
        <f>+InputY!R172/1000</f>
        <v>2.2030000000000001E-2</v>
      </c>
      <c r="S543" s="1455">
        <f>+InputY!S172/1000</f>
        <v>2.0730000000000002E-2</v>
      </c>
      <c r="T543" s="1455">
        <f>+InputY!T172/1000</f>
        <v>3.4360000000000002E-2</v>
      </c>
      <c r="U543" s="1455">
        <f>+InputY!U172/1000</f>
        <v>8.1400000000000014E-3</v>
      </c>
      <c r="V543" s="1455">
        <f>+InputY!V172/1000</f>
        <v>3.5499999999999998E-3</v>
      </c>
      <c r="W543" s="1455">
        <f>+InputY!W172/1000</f>
        <v>4.62E-3</v>
      </c>
      <c r="X543" s="1455">
        <f>+InputY!X172/1000</f>
        <v>6.3099999999999996E-3</v>
      </c>
      <c r="Y543" s="1455">
        <f>+InputY!Y172/1000</f>
        <v>9.5999999999999992E-3</v>
      </c>
      <c r="Z543" s="1455">
        <f>+InputY!Z172/1000</f>
        <v>1.26E-2</v>
      </c>
      <c r="AA543" s="1455">
        <f>+InputY!AA172/1000</f>
        <v>4.811E-2</v>
      </c>
      <c r="AB543" s="1455">
        <f>+InputY!AB172/1000</f>
        <v>3.9149999999999997E-2</v>
      </c>
      <c r="AC543" s="2217">
        <f ca="1">+AB543*(1+AC550/100)</f>
        <v>3.9149999999999997E-2</v>
      </c>
      <c r="AD543" s="2217">
        <f ca="1">+AC543*(1+AD550/100)</f>
        <v>3.9149999999999997E-2</v>
      </c>
      <c r="AE543" s="2217">
        <f ca="1">+AD543*(1+AE550/100)</f>
        <v>3.9149999999999997E-2</v>
      </c>
    </row>
    <row r="544" spans="1:31" ht="12.75" customHeight="1">
      <c r="A544" s="664">
        <f>+ROW(InputY!A79)</f>
        <v>79</v>
      </c>
      <c r="B544" s="664"/>
      <c r="C544" s="784" t="s">
        <v>1769</v>
      </c>
      <c r="D544" s="752"/>
      <c r="E544" s="753" t="s">
        <v>377</v>
      </c>
      <c r="F544" s="754" t="s">
        <v>1536</v>
      </c>
      <c r="G544" s="785">
        <f>+InputY!G79/1000</f>
        <v>0.18446000000000001</v>
      </c>
      <c r="H544" s="785">
        <f>+InputY!H79/1000</f>
        <v>4.6679999999999999E-2</v>
      </c>
      <c r="I544" s="785">
        <f>+InputY!I79/1000</f>
        <v>0.25845999999999997</v>
      </c>
      <c r="J544" s="785">
        <f>+InputY!J79/1000</f>
        <v>5.8840000000000003E-2</v>
      </c>
      <c r="K544" s="785">
        <f>+InputY!K79/1000</f>
        <v>-7.7159999999999992E-2</v>
      </c>
      <c r="L544" s="785">
        <f>+InputY!L79/1000</f>
        <v>-4.8979999999999996E-2</v>
      </c>
      <c r="M544" s="785">
        <f>+InputY!M79/1000</f>
        <v>-0.21227000000000001</v>
      </c>
      <c r="N544" s="785">
        <f>+InputY!N79/1000</f>
        <v>-9.2399999999999999E-3</v>
      </c>
      <c r="O544" s="785">
        <f>+InputY!O79/1000</f>
        <v>4.3630000000000002E-2</v>
      </c>
      <c r="P544" s="785">
        <f>+InputY!P79/1000</f>
        <v>-3.9409999999999994E-2</v>
      </c>
      <c r="Q544" s="785">
        <f>+InputY!Q79/1000</f>
        <v>0.14046</v>
      </c>
      <c r="R544" s="785">
        <f>+InputY!R79/1000</f>
        <v>0.19234000000000001</v>
      </c>
      <c r="S544" s="785">
        <f>+InputY!S79/1000</f>
        <v>1.0260799999999999</v>
      </c>
      <c r="T544" s="785">
        <f>+InputY!T79/1000</f>
        <v>0.60474000000000006</v>
      </c>
      <c r="U544" s="785">
        <f>+InputY!U79/1000</f>
        <v>-1.47837</v>
      </c>
      <c r="V544" s="785">
        <f>+InputY!V79/1000</f>
        <v>0.31864999999999999</v>
      </c>
      <c r="W544" s="2273">
        <f>+'VVP2'!W260</f>
        <v>1.0107000000000002</v>
      </c>
      <c r="X544" s="2273">
        <f>+'VVP2'!X260</f>
        <v>0.67282000000000008</v>
      </c>
      <c r="Y544" s="2273">
        <f>+'VVP2'!Y260</f>
        <v>0.34885000000000005</v>
      </c>
      <c r="Z544" s="2273">
        <f>+'VVP2'!Z260</f>
        <v>5.3120000000000001E-2</v>
      </c>
      <c r="AA544" s="2273">
        <f>+'VVP2'!AA260</f>
        <v>0.37847000000000003</v>
      </c>
      <c r="AB544" s="2273">
        <f>+'VVP2'!AB260</f>
        <v>-0.64598</v>
      </c>
      <c r="AC544" s="2273">
        <f ca="1">+'VVP2'!AC260</f>
        <v>-0.64598</v>
      </c>
      <c r="AD544" s="2273">
        <f ca="1">+'VVP2'!AD260</f>
        <v>-0.64598</v>
      </c>
      <c r="AE544" s="2273">
        <f ca="1">+'VVP2'!AE260</f>
        <v>-0.64598</v>
      </c>
    </row>
    <row r="545" spans="1:113" s="1972" customFormat="1" ht="12.75" customHeight="1">
      <c r="A545" s="998"/>
      <c r="B545" s="998"/>
      <c r="C545" s="1595"/>
      <c r="D545" s="1011"/>
      <c r="E545" s="1973" t="s">
        <v>737</v>
      </c>
      <c r="F545" s="1974"/>
      <c r="G545" s="1002">
        <f>ABS(+G541+G542+G543-G544)</f>
        <v>1.0000000000010001E-5</v>
      </c>
      <c r="H545" s="1002">
        <f t="shared" ref="H545:Y545" si="496">ABS(+H541+H542+H543-H544)</f>
        <v>0</v>
      </c>
      <c r="I545" s="1002">
        <f t="shared" si="496"/>
        <v>5.5511151231257827E-17</v>
      </c>
      <c r="J545" s="1002">
        <f t="shared" si="496"/>
        <v>0</v>
      </c>
      <c r="K545" s="1002">
        <f t="shared" si="496"/>
        <v>9.9999999999961231E-6</v>
      </c>
      <c r="L545" s="1002">
        <f t="shared" si="496"/>
        <v>6.9388939039072284E-18</v>
      </c>
      <c r="M545" s="1002">
        <f t="shared" si="496"/>
        <v>0</v>
      </c>
      <c r="N545" s="1002">
        <f t="shared" si="496"/>
        <v>9.9999999999995925E-6</v>
      </c>
      <c r="O545" s="1002">
        <f t="shared" si="496"/>
        <v>9.9999999999961231E-6</v>
      </c>
      <c r="P545" s="1002">
        <f t="shared" si="496"/>
        <v>1.3877787807814457E-17</v>
      </c>
      <c r="Q545" s="1002">
        <f t="shared" si="496"/>
        <v>0</v>
      </c>
      <c r="R545" s="1002">
        <f t="shared" si="496"/>
        <v>0</v>
      </c>
      <c r="S545" s="1002">
        <f t="shared" si="496"/>
        <v>1.0000000000065512E-5</v>
      </c>
      <c r="T545" s="2906">
        <f t="shared" si="496"/>
        <v>1.0000000000065512E-5</v>
      </c>
      <c r="U545" s="2906">
        <f t="shared" si="496"/>
        <v>0</v>
      </c>
      <c r="V545" s="2906">
        <f>ABS(+V541+V542+V543-V544)</f>
        <v>0</v>
      </c>
      <c r="W545" s="2906">
        <f t="shared" si="496"/>
        <v>2.2204460492503131E-16</v>
      </c>
      <c r="X545" s="2906">
        <f t="shared" si="496"/>
        <v>0</v>
      </c>
      <c r="Y545" s="2906">
        <f t="shared" si="496"/>
        <v>0</v>
      </c>
      <c r="Z545" s="2906">
        <f t="shared" ref="Z545:AE545" si="497">ABS(+Z541+Z542+Z543-Z544)</f>
        <v>0</v>
      </c>
      <c r="AA545" s="2906">
        <f t="shared" si="497"/>
        <v>0</v>
      </c>
      <c r="AB545" s="2906">
        <f t="shared" si="497"/>
        <v>0</v>
      </c>
      <c r="AC545" s="2906">
        <f t="shared" ca="1" si="497"/>
        <v>0</v>
      </c>
      <c r="AD545" s="2906">
        <f t="shared" ca="1" si="497"/>
        <v>0</v>
      </c>
      <c r="AE545" s="2906">
        <f t="shared" ca="1" si="497"/>
        <v>0</v>
      </c>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c r="CW545"/>
      <c r="CX545"/>
      <c r="CY545"/>
      <c r="CZ545"/>
      <c r="DA545"/>
      <c r="DB545"/>
      <c r="DC545"/>
      <c r="DD545"/>
      <c r="DE545"/>
      <c r="DF545"/>
      <c r="DG545"/>
      <c r="DH545"/>
      <c r="DI545"/>
    </row>
    <row r="546" spans="1:113" ht="12.75" customHeight="1">
      <c r="A546" s="664"/>
      <c r="B546" s="664"/>
      <c r="C546" s="774"/>
      <c r="E546" s="786"/>
      <c r="F546" s="787"/>
      <c r="G546" s="703"/>
      <c r="Q546" s="699"/>
      <c r="R546" s="699"/>
      <c r="S546" s="699"/>
      <c r="AB546" s="2221"/>
      <c r="AC546" s="2221"/>
      <c r="AD546" s="2221"/>
      <c r="AE546" s="2221"/>
    </row>
    <row r="547" spans="1:113" ht="12.75" customHeight="1">
      <c r="A547" s="664"/>
      <c r="B547" s="664"/>
      <c r="C547" s="774"/>
      <c r="D547" s="742"/>
      <c r="E547" s="743" t="s">
        <v>1311</v>
      </c>
      <c r="F547" s="744"/>
      <c r="G547" s="745">
        <f>+InputY!$G$3</f>
        <v>1995</v>
      </c>
      <c r="H547" s="745">
        <f>+G547+1</f>
        <v>1996</v>
      </c>
      <c r="I547" s="745">
        <f t="shared" ref="I547:O547" si="498">+H547+1</f>
        <v>1997</v>
      </c>
      <c r="J547" s="745">
        <f t="shared" si="498"/>
        <v>1998</v>
      </c>
      <c r="K547" s="745">
        <f>+J547+1</f>
        <v>1999</v>
      </c>
      <c r="L547" s="745">
        <f t="shared" si="498"/>
        <v>2000</v>
      </c>
      <c r="M547" s="745">
        <f t="shared" si="498"/>
        <v>2001</v>
      </c>
      <c r="N547" s="745">
        <f t="shared" si="498"/>
        <v>2002</v>
      </c>
      <c r="O547" s="745">
        <f t="shared" si="498"/>
        <v>2003</v>
      </c>
      <c r="P547" s="745">
        <f t="shared" ref="P547:W547" si="499">+O547+1</f>
        <v>2004</v>
      </c>
      <c r="Q547" s="745">
        <f t="shared" si="499"/>
        <v>2005</v>
      </c>
      <c r="R547" s="745">
        <f t="shared" si="499"/>
        <v>2006</v>
      </c>
      <c r="S547" s="745">
        <f t="shared" si="499"/>
        <v>2007</v>
      </c>
      <c r="T547" s="2211">
        <f t="shared" si="499"/>
        <v>2008</v>
      </c>
      <c r="U547" s="2211">
        <f t="shared" si="499"/>
        <v>2009</v>
      </c>
      <c r="V547" s="2211">
        <f t="shared" si="499"/>
        <v>2010</v>
      </c>
      <c r="W547" s="2211">
        <f t="shared" si="499"/>
        <v>2011</v>
      </c>
      <c r="X547" s="2211">
        <f t="shared" ref="X547:AE547" si="500">+W547+1</f>
        <v>2012</v>
      </c>
      <c r="Y547" s="2211">
        <f t="shared" si="500"/>
        <v>2013</v>
      </c>
      <c r="Z547" s="2211">
        <f t="shared" si="500"/>
        <v>2014</v>
      </c>
      <c r="AA547" s="2211">
        <f t="shared" si="500"/>
        <v>2015</v>
      </c>
      <c r="AB547" s="2211">
        <f t="shared" si="500"/>
        <v>2016</v>
      </c>
      <c r="AC547" s="2211">
        <f t="shared" si="500"/>
        <v>2017</v>
      </c>
      <c r="AD547" s="2211">
        <f t="shared" si="500"/>
        <v>2018</v>
      </c>
      <c r="AE547" s="2211">
        <f t="shared" si="500"/>
        <v>2019</v>
      </c>
    </row>
    <row r="548" spans="1:113" ht="12.75" customHeight="1">
      <c r="A548" s="664"/>
      <c r="B548" s="664"/>
      <c r="C548" s="794" t="s">
        <v>1767</v>
      </c>
      <c r="D548" s="689" t="s">
        <v>685</v>
      </c>
      <c r="E548" s="738" t="s">
        <v>377</v>
      </c>
      <c r="F548" s="733" t="s">
        <v>2076</v>
      </c>
      <c r="G548" s="739"/>
      <c r="H548" s="739">
        <f t="shared" ref="H548:AB549" si="501">(H541/G541-1)*100</f>
        <v>-84.012298232129126</v>
      </c>
      <c r="I548" s="739">
        <f t="shared" si="501"/>
        <v>2635.5769230769229</v>
      </c>
      <c r="J548" s="739">
        <f t="shared" si="501"/>
        <v>-52.847100175746917</v>
      </c>
      <c r="K548" s="739">
        <f>(K541/J541-1)*100</f>
        <v>-235.92992918374952</v>
      </c>
      <c r="L548" s="739">
        <f t="shared" si="501"/>
        <v>-99.533863449410475</v>
      </c>
      <c r="M548" s="739">
        <f t="shared" si="501"/>
        <v>61252.941176470464</v>
      </c>
      <c r="N548" s="739">
        <f t="shared" si="501"/>
        <v>-98.22627037392138</v>
      </c>
      <c r="O548" s="739">
        <f t="shared" si="501"/>
        <v>-568.10810810810801</v>
      </c>
      <c r="P548" s="739">
        <f t="shared" si="501"/>
        <v>66.859122401847571</v>
      </c>
      <c r="Q548" s="739">
        <f t="shared" si="501"/>
        <v>-374.60207612456753</v>
      </c>
      <c r="R548" s="739">
        <f t="shared" si="501"/>
        <v>-112.1975806451613</v>
      </c>
      <c r="S548" s="739">
        <f t="shared" si="501"/>
        <v>853.92561983471114</v>
      </c>
      <c r="T548" s="739">
        <f t="shared" si="501"/>
        <v>193.54559237600176</v>
      </c>
      <c r="U548" s="739">
        <f t="shared" si="501"/>
        <v>-141.9316756437689</v>
      </c>
      <c r="V548" s="739">
        <f t="shared" si="501"/>
        <v>-52.243533345064222</v>
      </c>
      <c r="W548" s="739">
        <f t="shared" si="501"/>
        <v>-338.83566691230646</v>
      </c>
      <c r="X548" s="739">
        <f t="shared" si="501"/>
        <v>36.31595186670782</v>
      </c>
      <c r="Y548" s="739">
        <f t="shared" si="501"/>
        <v>16.976007243096426</v>
      </c>
      <c r="Z548" s="739">
        <f t="shared" si="501"/>
        <v>-87.451625386996895</v>
      </c>
      <c r="AA548" s="739">
        <f t="shared" si="501"/>
        <v>123.20740169622204</v>
      </c>
      <c r="AB548" s="739">
        <f t="shared" si="501"/>
        <v>-114.88773747841105</v>
      </c>
      <c r="AC548" s="2289">
        <f ca="1">+AC551</f>
        <v>0</v>
      </c>
      <c r="AD548" s="2289">
        <f ca="1">+AD551</f>
        <v>0</v>
      </c>
      <c r="AE548" s="2289">
        <f ca="1">+AE551</f>
        <v>0</v>
      </c>
    </row>
    <row r="549" spans="1:113" ht="12.75" customHeight="1">
      <c r="A549" s="664"/>
      <c r="B549" s="664"/>
      <c r="C549" s="795" t="s">
        <v>1767</v>
      </c>
      <c r="D549" s="831" t="s">
        <v>686</v>
      </c>
      <c r="E549" s="832" t="s">
        <v>377</v>
      </c>
      <c r="F549" s="704" t="s">
        <v>382</v>
      </c>
      <c r="G549" s="706"/>
      <c r="H549" s="706">
        <f t="shared" ref="H549:V549" si="502">(H542/G542-1)*100</f>
        <v>-74.442040185471399</v>
      </c>
      <c r="I549" s="706">
        <f t="shared" si="502"/>
        <v>381.25302370585388</v>
      </c>
      <c r="J549" s="706">
        <f t="shared" si="502"/>
        <v>-84.362905252576027</v>
      </c>
      <c r="K549" s="706">
        <f>(K542/J542-1)*100</f>
        <v>-231.37254901960787</v>
      </c>
      <c r="L549" s="706">
        <f t="shared" si="502"/>
        <v>20.430633716662584</v>
      </c>
      <c r="M549" s="706">
        <f t="shared" si="502"/>
        <v>124.19748069890288</v>
      </c>
      <c r="N549" s="706">
        <f t="shared" si="502"/>
        <v>-81.712732215677391</v>
      </c>
      <c r="O549" s="706">
        <f t="shared" si="502"/>
        <v>-259.81169474727454</v>
      </c>
      <c r="P549" s="706">
        <f t="shared" si="502"/>
        <v>-290.66666666666669</v>
      </c>
      <c r="Q549" s="706">
        <f t="shared" si="502"/>
        <v>-377.39469832493086</v>
      </c>
      <c r="R549" s="706">
        <f t="shared" si="502"/>
        <v>-2.9899747904086227</v>
      </c>
      <c r="S549" s="706">
        <f t="shared" si="502"/>
        <v>479.67607421284828</v>
      </c>
      <c r="T549" s="706">
        <f t="shared" si="502"/>
        <v>-54.663830940689536</v>
      </c>
      <c r="U549" s="706">
        <f t="shared" si="502"/>
        <v>-428.76787931748146</v>
      </c>
      <c r="V549" s="706">
        <f t="shared" si="502"/>
        <v>-123.93822393822393</v>
      </c>
      <c r="W549" s="706">
        <f t="shared" si="501"/>
        <v>175.02921926133715</v>
      </c>
      <c r="X549" s="706">
        <f t="shared" si="501"/>
        <v>-38.577013790026136</v>
      </c>
      <c r="Y549" s="706">
        <f t="shared" si="501"/>
        <v>-59.199169765631751</v>
      </c>
      <c r="Z549" s="706">
        <f t="shared" si="501"/>
        <v>-88.320827504345246</v>
      </c>
      <c r="AA549" s="706">
        <f t="shared" si="501"/>
        <v>994.04718693284974</v>
      </c>
      <c r="AB549" s="706">
        <f t="shared" si="501"/>
        <v>-325.87837165322975</v>
      </c>
      <c r="AC549" s="837">
        <v>1</v>
      </c>
      <c r="AD549" s="837">
        <v>1</v>
      </c>
      <c r="AE549" s="837">
        <v>1</v>
      </c>
    </row>
    <row r="550" spans="1:113" ht="12.75" customHeight="1">
      <c r="A550" s="664"/>
      <c r="B550" s="664"/>
      <c r="C550" s="796" t="s">
        <v>1767</v>
      </c>
      <c r="D550" s="691" t="s">
        <v>687</v>
      </c>
      <c r="E550" s="797" t="s">
        <v>377</v>
      </c>
      <c r="F550" s="736" t="s">
        <v>1177</v>
      </c>
      <c r="G550" s="741"/>
      <c r="H550" s="741">
        <f t="shared" ref="H550:AB550" si="503">(H543/G543-1)*100</f>
        <v>-66.35706914344685</v>
      </c>
      <c r="I550" s="741">
        <f t="shared" si="503"/>
        <v>-19.93865030674845</v>
      </c>
      <c r="J550" s="741">
        <f t="shared" si="503"/>
        <v>-65.517241379310349</v>
      </c>
      <c r="K550" s="741">
        <f>(K543/J543-1)*100</f>
        <v>-81.111111111111114</v>
      </c>
      <c r="L550" s="741">
        <f t="shared" si="503"/>
        <v>141.17647058823533</v>
      </c>
      <c r="M550" s="741">
        <f t="shared" si="503"/>
        <v>480.48780487804868</v>
      </c>
      <c r="N550" s="741">
        <f t="shared" si="503"/>
        <v>437.81512605042019</v>
      </c>
      <c r="O550" s="741">
        <f t="shared" si="503"/>
        <v>-78.671875</v>
      </c>
      <c r="P550" s="741">
        <f t="shared" si="503"/>
        <v>179.4871794871795</v>
      </c>
      <c r="Q550" s="741">
        <f t="shared" si="503"/>
        <v>25.425950196592417</v>
      </c>
      <c r="R550" s="741">
        <f t="shared" si="503"/>
        <v>130.19853709508885</v>
      </c>
      <c r="S550" s="741">
        <f t="shared" si="503"/>
        <v>-5.9010440308669976</v>
      </c>
      <c r="T550" s="741">
        <f t="shared" si="503"/>
        <v>65.750120598166887</v>
      </c>
      <c r="U550" s="741">
        <f t="shared" si="503"/>
        <v>-76.309662398137363</v>
      </c>
      <c r="V550" s="741">
        <f t="shared" si="503"/>
        <v>-56.388206388206399</v>
      </c>
      <c r="W550" s="741">
        <f t="shared" si="503"/>
        <v>30.140845070422539</v>
      </c>
      <c r="X550" s="741">
        <f t="shared" si="503"/>
        <v>36.580086580086579</v>
      </c>
      <c r="Y550" s="741">
        <f t="shared" si="503"/>
        <v>52.139461172741683</v>
      </c>
      <c r="Z550" s="741">
        <f t="shared" si="503"/>
        <v>31.250000000000021</v>
      </c>
      <c r="AA550" s="741">
        <f t="shared" si="503"/>
        <v>281.82539682539681</v>
      </c>
      <c r="AB550" s="741">
        <f t="shared" si="503"/>
        <v>-18.623986697152361</v>
      </c>
      <c r="AC550" s="2238">
        <f ca="1">+AC551</f>
        <v>0</v>
      </c>
      <c r="AD550" s="2238">
        <f ca="1">+AD551</f>
        <v>0</v>
      </c>
      <c r="AE550" s="2238">
        <f ca="1">+AE551</f>
        <v>0</v>
      </c>
    </row>
    <row r="551" spans="1:113" ht="12.75" customHeight="1">
      <c r="A551" s="664"/>
      <c r="B551" s="664"/>
      <c r="C551" s="774" t="s">
        <v>1769</v>
      </c>
      <c r="D551" s="717"/>
      <c r="E551" s="722" t="s">
        <v>377</v>
      </c>
      <c r="F551" s="723" t="s">
        <v>1536</v>
      </c>
      <c r="G551" s="721"/>
      <c r="H551" s="721">
        <f t="shared" ref="H551:V551" si="504">(H544/G544-1)*100</f>
        <v>-74.693700531280498</v>
      </c>
      <c r="I551" s="721">
        <f t="shared" si="504"/>
        <v>453.68466152527844</v>
      </c>
      <c r="J551" s="721">
        <f t="shared" si="504"/>
        <v>-77.234388299930359</v>
      </c>
      <c r="K551" s="721">
        <f>(K544/J544-1)*100</f>
        <v>-231.13528212100613</v>
      </c>
      <c r="L551" s="721">
        <f t="shared" si="504"/>
        <v>-36.521513737687918</v>
      </c>
      <c r="M551" s="721">
        <f t="shared" si="504"/>
        <v>333.38097182523489</v>
      </c>
      <c r="N551" s="721">
        <f t="shared" si="504"/>
        <v>-95.647053281198467</v>
      </c>
      <c r="O551" s="721">
        <f t="shared" si="504"/>
        <v>-572.1861471861472</v>
      </c>
      <c r="P551" s="721">
        <f t="shared" si="504"/>
        <v>-190.32775613110243</v>
      </c>
      <c r="Q551" s="721">
        <f t="shared" si="504"/>
        <v>-456.40700329865524</v>
      </c>
      <c r="R551" s="721">
        <f t="shared" si="504"/>
        <v>36.935782429161335</v>
      </c>
      <c r="S551" s="721">
        <f t="shared" si="504"/>
        <v>433.47197670791297</v>
      </c>
      <c r="T551" s="721">
        <f t="shared" si="504"/>
        <v>-41.063075003898319</v>
      </c>
      <c r="U551" s="721">
        <f t="shared" si="504"/>
        <v>-344.46373648179377</v>
      </c>
      <c r="V551" s="721">
        <f t="shared" si="504"/>
        <v>-121.5541440911274</v>
      </c>
      <c r="W551" s="2220">
        <f t="shared" ref="W551:AE551" si="505">(W544/V544-1)*100</f>
        <v>217.18186097599252</v>
      </c>
      <c r="X551" s="2220">
        <f t="shared" si="505"/>
        <v>-33.430295834570103</v>
      </c>
      <c r="Y551" s="2220">
        <f t="shared" si="505"/>
        <v>-48.151065663921997</v>
      </c>
      <c r="Z551" s="2220">
        <f t="shared" si="505"/>
        <v>-84.772824996416801</v>
      </c>
      <c r="AA551" s="2220">
        <f t="shared" si="505"/>
        <v>612.48117469879526</v>
      </c>
      <c r="AB551" s="2220">
        <f t="shared" si="505"/>
        <v>-270.68195629772504</v>
      </c>
      <c r="AC551" s="2220">
        <f t="shared" ca="1" si="505"/>
        <v>0</v>
      </c>
      <c r="AD551" s="2220">
        <f t="shared" ca="1" si="505"/>
        <v>0</v>
      </c>
      <c r="AE551" s="2220">
        <f t="shared" ca="1" si="505"/>
        <v>0</v>
      </c>
    </row>
    <row r="552" spans="1:113" ht="12.75" customHeight="1">
      <c r="A552" s="664"/>
      <c r="B552" s="664"/>
      <c r="C552" s="774"/>
      <c r="E552" s="786"/>
      <c r="F552" s="787"/>
      <c r="G552" s="703"/>
      <c r="H552" s="788"/>
      <c r="I552" s="788"/>
      <c r="J552" s="788"/>
      <c r="K552" s="788"/>
      <c r="L552" s="788"/>
      <c r="M552" s="788"/>
      <c r="N552" s="788"/>
      <c r="O552" s="788"/>
      <c r="P552" s="788"/>
      <c r="Q552" s="788"/>
      <c r="R552" s="788"/>
      <c r="S552" s="788"/>
      <c r="T552" s="2274"/>
      <c r="U552" s="2274"/>
      <c r="V552" s="2274"/>
      <c r="W552" s="2274"/>
      <c r="X552" s="2274"/>
      <c r="Y552" s="2274"/>
      <c r="Z552" s="2274"/>
      <c r="AA552" s="2274"/>
      <c r="AB552" s="2274"/>
      <c r="AC552" s="2274"/>
      <c r="AD552" s="2274"/>
      <c r="AE552" s="2274"/>
    </row>
    <row r="553" spans="1:113" ht="12.75" customHeight="1">
      <c r="A553" s="664"/>
      <c r="B553" s="664"/>
      <c r="C553" s="774"/>
      <c r="D553" s="818"/>
      <c r="E553" s="819" t="s">
        <v>512</v>
      </c>
      <c r="F553" s="820"/>
      <c r="G553" s="821">
        <f>+InputY!$G$3</f>
        <v>1995</v>
      </c>
      <c r="H553" s="821">
        <f>+G553+1</f>
        <v>1996</v>
      </c>
      <c r="I553" s="821">
        <f t="shared" ref="I553:O553" si="506">+H553+1</f>
        <v>1997</v>
      </c>
      <c r="J553" s="821">
        <f t="shared" si="506"/>
        <v>1998</v>
      </c>
      <c r="K553" s="821">
        <f>+J553+1</f>
        <v>1999</v>
      </c>
      <c r="L553" s="821">
        <f t="shared" si="506"/>
        <v>2000</v>
      </c>
      <c r="M553" s="821">
        <f t="shared" si="506"/>
        <v>2001</v>
      </c>
      <c r="N553" s="821">
        <f t="shared" si="506"/>
        <v>2002</v>
      </c>
      <c r="O553" s="821">
        <f t="shared" si="506"/>
        <v>2003</v>
      </c>
      <c r="P553" s="821">
        <f t="shared" ref="P553:V553" si="507">+O553+1</f>
        <v>2004</v>
      </c>
      <c r="Q553" s="821">
        <f t="shared" si="507"/>
        <v>2005</v>
      </c>
      <c r="R553" s="821">
        <f t="shared" si="507"/>
        <v>2006</v>
      </c>
      <c r="S553" s="821">
        <f>+R553+1</f>
        <v>2007</v>
      </c>
      <c r="T553" s="821">
        <f t="shared" si="507"/>
        <v>2008</v>
      </c>
      <c r="U553" s="821">
        <f t="shared" si="507"/>
        <v>2009</v>
      </c>
      <c r="V553" s="821">
        <f t="shared" si="507"/>
        <v>2010</v>
      </c>
      <c r="W553" s="821">
        <f t="shared" ref="W553:AE553" si="508">+V553+1</f>
        <v>2011</v>
      </c>
      <c r="X553" s="821">
        <f t="shared" si="508"/>
        <v>2012</v>
      </c>
      <c r="Y553" s="821">
        <f t="shared" si="508"/>
        <v>2013</v>
      </c>
      <c r="Z553" s="821">
        <f t="shared" si="508"/>
        <v>2014</v>
      </c>
      <c r="AA553" s="821">
        <f t="shared" si="508"/>
        <v>2015</v>
      </c>
      <c r="AB553" s="821">
        <f t="shared" si="508"/>
        <v>2016</v>
      </c>
      <c r="AC553" s="821">
        <f t="shared" si="508"/>
        <v>2017</v>
      </c>
      <c r="AD553" s="821">
        <f t="shared" si="508"/>
        <v>2018</v>
      </c>
      <c r="AE553" s="821">
        <f t="shared" si="508"/>
        <v>2019</v>
      </c>
    </row>
    <row r="554" spans="1:113" ht="12.75" customHeight="1">
      <c r="A554" s="664"/>
      <c r="B554" s="664"/>
      <c r="C554" s="822" t="s">
        <v>1767</v>
      </c>
      <c r="D554" s="823" t="s">
        <v>685</v>
      </c>
      <c r="E554" s="824" t="s">
        <v>377</v>
      </c>
      <c r="F554" s="825" t="s">
        <v>2076</v>
      </c>
      <c r="G554" s="838">
        <f>+G541/'VVP2'!G$341</f>
        <v>1.6755682571900682E-3</v>
      </c>
      <c r="H554" s="838">
        <f>+H541/'VVP2'!H$341</f>
        <v>2.1412063845009603E-4</v>
      </c>
      <c r="I554" s="838">
        <f>+I541/'VVP2'!I$341</f>
        <v>4.8531516486215861E-3</v>
      </c>
      <c r="J554" s="838">
        <f>+J541/'VVP2'!J$341</f>
        <v>2.0603657206749218E-3</v>
      </c>
      <c r="K554" s="838">
        <f>+K541/'VVP2'!K$341</f>
        <v>-2.8689246763708215E-3</v>
      </c>
      <c r="L554" s="838">
        <f>+L541/'VVP2'!L$341</f>
        <v>-1.2716764735364152E-5</v>
      </c>
      <c r="M554" s="838">
        <f>+M541/'VVP2'!M$341</f>
        <v>-7.3479060933374285E-3</v>
      </c>
      <c r="N554" s="838">
        <f>+N541/'VVP2'!N$341</f>
        <v>-1.2169315301697061E-4</v>
      </c>
      <c r="O554" s="838">
        <f>+O541/'VVP2'!O$341</f>
        <v>5.1954347367006467E-4</v>
      </c>
      <c r="P554" s="838">
        <f>+P541/'VVP2'!P$341</f>
        <v>7.9231395152464228E-4</v>
      </c>
      <c r="Q554" s="838">
        <f>+Q541/'VVP2'!Q$341</f>
        <v>-1.8893123864710379E-3</v>
      </c>
      <c r="R554" s="838">
        <f>+R541/'VVP2'!R$341</f>
        <v>2.0100352254520288E-4</v>
      </c>
      <c r="S554" s="838">
        <f>+S541/'VVP2'!S$341</f>
        <v>1.5898399003328439E-3</v>
      </c>
      <c r="T554" s="2909">
        <f>+T541/'VVP2'!T$341</f>
        <v>4.145119872964142E-3</v>
      </c>
      <c r="U554" s="2909">
        <f>+U541/'VVP2'!U$341</f>
        <v>-2.1099082897156913E-3</v>
      </c>
      <c r="V554" s="2909">
        <f>+V541/'VVP2'!V$341</f>
        <v>-9.6832914342474537E-4</v>
      </c>
      <c r="W554" s="2909">
        <f>+W541/'VVP2'!W$341</f>
        <v>2.0725607283954245E-3</v>
      </c>
      <c r="X554" s="2909">
        <f>+X541/'VVP2'!X$341</f>
        <v>2.6495960235668908E-3</v>
      </c>
      <c r="Y554" s="2909">
        <f>+Y541/'VVP2'!Y$341</f>
        <v>2.9565513384716374E-3</v>
      </c>
      <c r="Z554" s="2909">
        <f>+Z541/'VVP2'!Z$341</f>
        <v>3.5467897314284401E-4</v>
      </c>
      <c r="AA554" s="2909">
        <f>+AA541/'VVP2'!AA$341</f>
        <v>7.7351381810962831E-4</v>
      </c>
      <c r="AB554" s="2909">
        <f>+AB541/'VVP2'!AB$341</f>
        <v>-1.1146075133339127E-4</v>
      </c>
      <c r="AC554" s="2909">
        <f ca="1">+AC541/'VVP2'!AC$341</f>
        <v>-1.0316040667939107E-4</v>
      </c>
      <c r="AD554" s="2909">
        <f ca="1">+AD541/'VVP2'!AD$341</f>
        <v>-9.7485819432895337E-5</v>
      </c>
      <c r="AE554" s="2909">
        <f ca="1">+AE541/'VVP2'!AE$341</f>
        <v>-9.233818076170573E-5</v>
      </c>
    </row>
    <row r="555" spans="1:113" ht="12.75" customHeight="1">
      <c r="A555" s="664"/>
      <c r="B555" s="664"/>
      <c r="C555" s="826" t="s">
        <v>1767</v>
      </c>
      <c r="D555" s="674" t="s">
        <v>686</v>
      </c>
      <c r="E555" s="783" t="s">
        <v>377</v>
      </c>
      <c r="F555" s="704" t="s">
        <v>382</v>
      </c>
      <c r="G555" s="839">
        <f>+G542/'VVP2'!G$341</f>
        <v>2.0831911268293125E-2</v>
      </c>
      <c r="H555" s="839">
        <f>+H542/'VVP2'!H$341</f>
        <v>4.2556476891956584E-3</v>
      </c>
      <c r="I555" s="839">
        <f>+I542/'VVP2'!I$341</f>
        <v>1.6968972240654911E-2</v>
      </c>
      <c r="J555" s="839">
        <f>+J542/'VVP2'!J$341</f>
        <v>2.3890412810360345E-3</v>
      </c>
      <c r="K555" s="839">
        <f>+K542/'VVP2'!K$341</f>
        <v>-3.2150521393823832E-3</v>
      </c>
      <c r="L555" s="839">
        <f>+L542/'VVP2'!L$341</f>
        <v>-3.681877413380131E-3</v>
      </c>
      <c r="M555" s="839">
        <f>+M542/'VVP2'!M$341</f>
        <v>-7.7741269165847102E-3</v>
      </c>
      <c r="N555" s="839">
        <f>+N542/'VVP2'!N$341</f>
        <v>-1.3274420691256577E-3</v>
      </c>
      <c r="O555" s="839">
        <f>+O542/'VVP2'!O$341</f>
        <v>1.9347894949029547E-3</v>
      </c>
      <c r="P555" s="839">
        <f>+P542/'VVP2'!P$341</f>
        <v>-3.3715837286678379E-3</v>
      </c>
      <c r="Q555" s="839">
        <f>+Q542/'VVP2'!Q$341</f>
        <v>8.1214721209769379E-3</v>
      </c>
      <c r="R555" s="839">
        <f>+R542/'VVP2'!R$341</f>
        <v>6.8719117511476724E-3</v>
      </c>
      <c r="S555" s="839">
        <f>+S542/'VVP2'!S$341</f>
        <v>3.302920801386746E-2</v>
      </c>
      <c r="T555" s="2910">
        <f>+T542/'VVP2'!T$341</f>
        <v>1.3299983973711994E-2</v>
      </c>
      <c r="U555" s="2910">
        <f>+U542/'VVP2'!U$341</f>
        <v>-5.3079248348420378E-2</v>
      </c>
      <c r="V555" s="2910">
        <f>+V542/'VVP2'!V$341</f>
        <v>1.221079462216967E-2</v>
      </c>
      <c r="W555" s="2910">
        <f>+W542/'VVP2'!W$341</f>
        <v>3.0095935069569237E-2</v>
      </c>
      <c r="X555" s="2910">
        <f>+X542/'VVP2'!X$341</f>
        <v>1.7336622238854665E-2</v>
      </c>
      <c r="Y555" s="2910">
        <f>+Y542/'VVP2'!Y$341</f>
        <v>6.7474931814248719E-3</v>
      </c>
      <c r="Z555" s="2910">
        <f>+Z542/'VVP2'!Z$341</f>
        <v>7.5338517425484587E-4</v>
      </c>
      <c r="AA555" s="2910">
        <f>+AA542/'VVP2'!AA$341</f>
        <v>8.0533609642978628E-3</v>
      </c>
      <c r="AB555" s="2910">
        <f>+AB542/'VVP2'!AB$341</f>
        <v>-1.7606660956565993E-2</v>
      </c>
      <c r="AC555" s="2910">
        <f ca="1">+AC542/'VVP2'!AC$341</f>
        <v>-1.6295514634678196E-2</v>
      </c>
      <c r="AD555" s="2910">
        <f ca="1">+AD542/'VVP2'!AD$341</f>
        <v>-1.5399140507263062E-2</v>
      </c>
      <c r="AE555" s="2910">
        <f ca="1">+AE542/'VVP2'!AE$341</f>
        <v>-1.4586004692850228E-2</v>
      </c>
    </row>
    <row r="556" spans="1:113" ht="12.75" customHeight="1">
      <c r="A556" s="664"/>
      <c r="B556" s="664"/>
      <c r="C556" s="827" t="s">
        <v>1767</v>
      </c>
      <c r="D556" s="828" t="s">
        <v>687</v>
      </c>
      <c r="E556" s="829" t="s">
        <v>377</v>
      </c>
      <c r="F556" s="830" t="s">
        <v>1177</v>
      </c>
      <c r="G556" s="840">
        <f>+G543/'VVP2'!G$341</f>
        <v>1.247982814156169E-3</v>
      </c>
      <c r="H556" s="840">
        <f>+H543/'VVP2'!H$341</f>
        <v>3.3559292372466968E-4</v>
      </c>
      <c r="I556" s="840">
        <f>+I543/'VVP2'!I$341</f>
        <v>2.2261381024432934E-4</v>
      </c>
      <c r="J556" s="840">
        <f>+J543/'VVP2'!J$341</f>
        <v>6.9114019702103219E-5</v>
      </c>
      <c r="K556" s="840">
        <f>+K543/'VVP2'!K$341</f>
        <v>1.3373106525446662E-5</v>
      </c>
      <c r="L556" s="840">
        <f>+L543/'VVP2'!L$341</f>
        <v>3.0669844361760537E-5</v>
      </c>
      <c r="M556" s="840">
        <f>+M543/'VVP2'!M$341</f>
        <v>1.676703403848809E-4</v>
      </c>
      <c r="N556" s="840">
        <f>+N543/'VVP2'!N$341</f>
        <v>8.4198505871201285E-4</v>
      </c>
      <c r="O556" s="840">
        <f>+O543/'VVP2'!O$341</f>
        <v>1.6378218049876173E-4</v>
      </c>
      <c r="P556" s="840">
        <f>+P543/'VVP2'!P$341</f>
        <v>4.1836369897114333E-4</v>
      </c>
      <c r="Q556" s="840">
        <f>+Q543/'VVP2'!Q$341</f>
        <v>4.5566329482176995E-4</v>
      </c>
      <c r="R556" s="840">
        <f>+R543/'VVP2'!R$341</f>
        <v>9.1489826480802092E-4</v>
      </c>
      <c r="S556" s="840">
        <f>+S543/'VVP2'!S$341</f>
        <v>7.1382675187134186E-4</v>
      </c>
      <c r="T556" s="2911">
        <f>+T543/'VVP2'!T$341</f>
        <v>1.0508840761089642E-3</v>
      </c>
      <c r="U556" s="2911">
        <f>+U543/'VVP2'!U$341</f>
        <v>3.0221104132123407E-4</v>
      </c>
      <c r="V556" s="2911">
        <f>+V543/'VVP2'!V$341</f>
        <v>1.2666059171546963E-4</v>
      </c>
      <c r="W556" s="2911">
        <f>+W543/'VVP2'!W$341</f>
        <v>1.4772031109513826E-4</v>
      </c>
      <c r="X556" s="2911">
        <f>+X543/'VVP2'!X$341</f>
        <v>1.8921402114878996E-4</v>
      </c>
      <c r="Y556" s="2911">
        <f>+Y543/'VVP2'!Y$341</f>
        <v>2.746022914989137E-4</v>
      </c>
      <c r="Z556" s="2911">
        <f>+Z543/'VVP2'!Z$341</f>
        <v>3.4456091454123625E-4</v>
      </c>
      <c r="AA556" s="2911">
        <f>+AA543/'VVP2'!AA$341</f>
        <v>1.2854490428067088E-3</v>
      </c>
      <c r="AB556" s="2911">
        <f>+AB543/'VVP2'!AB$341</f>
        <v>1.0124567087476258E-3</v>
      </c>
      <c r="AC556" s="2911">
        <f ca="1">+AC543/'VVP2'!AC$341</f>
        <v>9.37060306612102E-4</v>
      </c>
      <c r="AD556" s="2911">
        <f ca="1">+AD543/'VVP2'!AD$341</f>
        <v>8.8551504194845753E-4</v>
      </c>
      <c r="AE556" s="2911">
        <f ca="1">+AE543/'VVP2'!AE$341</f>
        <v>8.3875632872871891E-4</v>
      </c>
    </row>
    <row r="557" spans="1:113" ht="12.75" customHeight="1">
      <c r="A557" s="664"/>
      <c r="B557" s="664"/>
      <c r="C557" s="774" t="s">
        <v>1769</v>
      </c>
      <c r="D557" s="806"/>
      <c r="E557" s="807" t="s">
        <v>377</v>
      </c>
      <c r="F557" s="808" t="s">
        <v>1536</v>
      </c>
      <c r="G557" s="841">
        <f>+G544/'VVP2'!G$341</f>
        <v>2.3756750247600308E-2</v>
      </c>
      <c r="H557" s="841">
        <f>+H544/'VVP2'!H$341</f>
        <v>4.8053612513704238E-3</v>
      </c>
      <c r="I557" s="841">
        <f>+I544/'VVP2'!I$341</f>
        <v>2.2044737699520825E-2</v>
      </c>
      <c r="J557" s="841">
        <f>+J544/'VVP2'!J$341</f>
        <v>4.5185210214130599E-3</v>
      </c>
      <c r="K557" s="841">
        <f>+K544/'VVP2'!K$341</f>
        <v>-6.0698170559027311E-3</v>
      </c>
      <c r="L557" s="841">
        <f>+L544/'VVP2'!L$341</f>
        <v>-3.6639243337537341E-3</v>
      </c>
      <c r="M557" s="841">
        <f>+M544/'VVP2'!M$341</f>
        <v>-1.4954362669537258E-2</v>
      </c>
      <c r="N557" s="841">
        <f>+N544/'VVP2'!N$341</f>
        <v>-6.0780796425773424E-4</v>
      </c>
      <c r="O557" s="841">
        <f>+O544/'VVP2'!O$341</f>
        <v>2.6175152143446795E-3</v>
      </c>
      <c r="P557" s="841">
        <f>+P544/'VVP2'!P$341</f>
        <v>-2.1609060781720519E-3</v>
      </c>
      <c r="Q557" s="841">
        <f>+Q544/'VVP2'!Q$341</f>
        <v>6.6878230293276704E-3</v>
      </c>
      <c r="R557" s="841">
        <f>+R544/'VVP2'!R$341</f>
        <v>7.9878135385008965E-3</v>
      </c>
      <c r="S557" s="841">
        <f>+S544/'VVP2'!S$341</f>
        <v>3.5332530321280572E-2</v>
      </c>
      <c r="T557" s="2912">
        <f>+T544/'VVP2'!T$341</f>
        <v>1.8495682077594149E-2</v>
      </c>
      <c r="U557" s="2912">
        <f>+U544/'VVP2'!U$341</f>
        <v>-5.4886945596814833E-2</v>
      </c>
      <c r="V557" s="2912">
        <f>+V544/'VVP2'!V$341</f>
        <v>1.1369126070460395E-2</v>
      </c>
      <c r="W557" s="2912">
        <f>+W544/'VVP2'!W$341</f>
        <v>3.2316216109059798E-2</v>
      </c>
      <c r="X557" s="2912">
        <f>+X544/'VVP2'!X$341</f>
        <v>2.0175432283570348E-2</v>
      </c>
      <c r="Y557" s="2912">
        <f>+Y544/'VVP2'!Y$341</f>
        <v>9.9786468113954238E-3</v>
      </c>
      <c r="Z557" s="2912">
        <f>+Z544/'VVP2'!Z$341</f>
        <v>1.4526250619389264E-3</v>
      </c>
      <c r="AA557" s="2912">
        <f>+AA544/'VVP2'!AA$341</f>
        <v>1.0112323825214199E-2</v>
      </c>
      <c r="AB557" s="2912">
        <f>+AB544/'VVP2'!AB$341</f>
        <v>-1.670566499915176E-2</v>
      </c>
      <c r="AC557" s="2912">
        <f ca="1">+AC544/'VVP2'!AC$341</f>
        <v>-1.5461614734745485E-2</v>
      </c>
      <c r="AD557" s="2912">
        <f ca="1">+AD544/'VVP2'!AD$341</f>
        <v>-1.4611111284747499E-2</v>
      </c>
      <c r="AE557" s="2912">
        <f ca="1">+AE544/'VVP2'!AE$341</f>
        <v>-1.3839586544883216E-2</v>
      </c>
    </row>
    <row r="558" spans="1:113" ht="30" customHeight="1">
      <c r="A558" s="664"/>
      <c r="B558" s="664"/>
      <c r="C558" s="774"/>
      <c r="S558" s="843"/>
      <c r="U558" s="843"/>
      <c r="AB558" s="2221"/>
      <c r="AC558" s="2221"/>
      <c r="AD558" s="2221"/>
      <c r="AE558" s="2221"/>
    </row>
    <row r="559" spans="1:113" ht="30" customHeight="1">
      <c r="AB559" s="2221"/>
      <c r="AC559" s="2221"/>
      <c r="AD559" s="2221"/>
      <c r="AE559" s="2221"/>
    </row>
    <row r="560" spans="1:113" ht="22.5" customHeight="1">
      <c r="A560" s="574"/>
      <c r="B560" s="574"/>
      <c r="C560" s="3752" t="s">
        <v>378</v>
      </c>
      <c r="D560" s="3752"/>
      <c r="E560" s="3752"/>
      <c r="F560" s="3752"/>
      <c r="R560" s="2270"/>
      <c r="AB560" s="2221"/>
      <c r="AC560" s="2221"/>
      <c r="AD560" s="2221"/>
      <c r="AE560" s="2221"/>
    </row>
    <row r="561" spans="1:113" ht="12.75" customHeight="1">
      <c r="A561" s="664"/>
      <c r="B561" s="664"/>
      <c r="C561" s="774"/>
      <c r="P561" s="703"/>
      <c r="R561" s="2867"/>
      <c r="AB561" s="2221"/>
      <c r="AC561" s="2221"/>
      <c r="AD561" s="2221"/>
      <c r="AE561" s="2221"/>
    </row>
    <row r="562" spans="1:113" ht="12.75" customHeight="1">
      <c r="A562" s="664"/>
      <c r="B562" s="664"/>
      <c r="C562" s="774"/>
      <c r="D562" s="775"/>
      <c r="E562" s="776" t="s">
        <v>1384</v>
      </c>
      <c r="F562" s="777"/>
      <c r="G562" s="778">
        <f>+InputY!$G$3</f>
        <v>1995</v>
      </c>
      <c r="H562" s="778">
        <f>+G562+1</f>
        <v>1996</v>
      </c>
      <c r="I562" s="778">
        <f t="shared" ref="I562:O562" si="509">+H562+1</f>
        <v>1997</v>
      </c>
      <c r="J562" s="778">
        <f t="shared" si="509"/>
        <v>1998</v>
      </c>
      <c r="K562" s="778">
        <f>+J562+1</f>
        <v>1999</v>
      </c>
      <c r="L562" s="778">
        <f t="shared" si="509"/>
        <v>2000</v>
      </c>
      <c r="M562" s="778">
        <f t="shared" si="509"/>
        <v>2001</v>
      </c>
      <c r="N562" s="778">
        <f t="shared" si="509"/>
        <v>2002</v>
      </c>
      <c r="O562" s="778">
        <f t="shared" si="509"/>
        <v>2003</v>
      </c>
      <c r="P562" s="778">
        <f t="shared" ref="P562:W562" si="510">+O562+1</f>
        <v>2004</v>
      </c>
      <c r="Q562" s="778">
        <f t="shared" si="510"/>
        <v>2005</v>
      </c>
      <c r="R562" s="778">
        <f t="shared" si="510"/>
        <v>2006</v>
      </c>
      <c r="S562" s="778">
        <f t="shared" si="510"/>
        <v>2007</v>
      </c>
      <c r="T562" s="2222">
        <f t="shared" si="510"/>
        <v>2008</v>
      </c>
      <c r="U562" s="2222">
        <f t="shared" si="510"/>
        <v>2009</v>
      </c>
      <c r="V562" s="2222">
        <f t="shared" si="510"/>
        <v>2010</v>
      </c>
      <c r="W562" s="2222">
        <f t="shared" si="510"/>
        <v>2011</v>
      </c>
      <c r="X562" s="2222">
        <f t="shared" ref="X562:AE562" si="511">+W562+1</f>
        <v>2012</v>
      </c>
      <c r="Y562" s="2222">
        <f t="shared" si="511"/>
        <v>2013</v>
      </c>
      <c r="Z562" s="2222">
        <f t="shared" si="511"/>
        <v>2014</v>
      </c>
      <c r="AA562" s="2222">
        <f t="shared" si="511"/>
        <v>2015</v>
      </c>
      <c r="AB562" s="2222">
        <f t="shared" si="511"/>
        <v>2016</v>
      </c>
      <c r="AC562" s="2222">
        <f t="shared" si="511"/>
        <v>2017</v>
      </c>
      <c r="AD562" s="2222">
        <f t="shared" si="511"/>
        <v>2018</v>
      </c>
      <c r="AE562" s="2222">
        <f t="shared" si="511"/>
        <v>2019</v>
      </c>
    </row>
    <row r="563" spans="1:113" ht="12.75" customHeight="1">
      <c r="A563" s="664"/>
      <c r="B563" s="664"/>
      <c r="C563" s="779" t="s">
        <v>401</v>
      </c>
      <c r="D563" s="668" t="s">
        <v>685</v>
      </c>
      <c r="E563" s="700" t="s">
        <v>378</v>
      </c>
      <c r="F563" s="3621" t="s">
        <v>505</v>
      </c>
      <c r="G563" s="780">
        <f>+G458+G488-G519-G541-'VVP2'!G228</f>
        <v>-0.22516999999999965</v>
      </c>
      <c r="H563" s="780">
        <f>+H458+H488-H519-H541-'VVP2'!H228</f>
        <v>-0.36486999999999992</v>
      </c>
      <c r="I563" s="780">
        <f>+I458+I488-I519-I541-'VVP2'!I228</f>
        <v>1.2108699999999999</v>
      </c>
      <c r="J563" s="780">
        <f>+J458+J488-J519-J541-'VVP2'!J228</f>
        <v>5.0399999999997114E-2</v>
      </c>
      <c r="K563" s="780">
        <f>+K458+K488-K519-K541-'VVP2'!K228</f>
        <v>1.9470000000000098E-2</v>
      </c>
      <c r="L563" s="780">
        <f>+L458+L488-L519-L541-'VVP2'!L228</f>
        <v>0.28123999999999916</v>
      </c>
      <c r="M563" s="780">
        <f>+M458+M488-M519-M541-'VVP2'!M228</f>
        <v>3.472999999999693E-2</v>
      </c>
      <c r="N563" s="780">
        <f>+N458+N488-N519-N541-'VVP2'!N228</f>
        <v>-5.0589999999998692E-2</v>
      </c>
      <c r="O563" s="780">
        <f>+O458+O488-O519-O541-'VVP2'!O228</f>
        <v>-0.43792999999999954</v>
      </c>
      <c r="P563" s="780">
        <f>+P458+P488-P519-P541-'VVP2'!P228</f>
        <v>0.32683999999999791</v>
      </c>
      <c r="Q563" s="780">
        <f>+Q458+Q488-Q519-Q541-'VVP2'!Q228</f>
        <v>-5.5100000000014582E-3</v>
      </c>
      <c r="R563" s="780">
        <f>+R458+R488-R519-R541-'VVP2'!R228</f>
        <v>0.26163999999999765</v>
      </c>
      <c r="S563" s="780">
        <f>+S458+S488-S519-S541-'VVP2'!S228</f>
        <v>-1.2824399999999945</v>
      </c>
      <c r="T563" s="780">
        <f>+T458+T488-T519-T541-'VVP2'!T228</f>
        <v>-1.3141399999999999</v>
      </c>
      <c r="U563" s="780">
        <f>+U458+U488-U519-U541-'VVP2'!U228</f>
        <v>9.5600000000004126E-2</v>
      </c>
      <c r="V563" s="2267">
        <f>+V458+V488-V519-V541-'VVP2'!V228</f>
        <v>0.62328999999999535</v>
      </c>
      <c r="W563" s="2267">
        <f>+W458+W488-W519-W541-'VVP2'!W228</f>
        <v>1.0828300000000006</v>
      </c>
      <c r="X563" s="2267">
        <f>+X458+X488-X519-X541-'VVP2'!X228</f>
        <v>-0.6336499999999976</v>
      </c>
      <c r="Y563" s="2267">
        <f>+Y458+Y488-Y519-Y541-'VVP2'!Y228</f>
        <v>-0.75928999999999924</v>
      </c>
      <c r="Z563" s="2267">
        <f>+Z458+Z488-Z519-Z541-'VVP2'!Z228</f>
        <v>-0.99271999999999605</v>
      </c>
      <c r="AA563" s="2267">
        <f>+AA458+AA488-AA519-AA541-'VVP2'!AA228</f>
        <v>-1.4376000000000013</v>
      </c>
      <c r="AB563" s="2267">
        <f>+AB458+AB488-AB519-AB541-'VVP2'!AB228</f>
        <v>-1.7251599999999991</v>
      </c>
      <c r="AC563" s="2267">
        <f ca="1">+AC458+AC488-AC519-AC541-'VVP2'!AC228</f>
        <v>-2.0415153647806248</v>
      </c>
      <c r="AD563" s="2267">
        <f ca="1">+AD458+AD488-AD519-AD541-'VVP2'!AD228</f>
        <v>-2.2558582550281918</v>
      </c>
      <c r="AE563" s="2267">
        <f ca="1">+AE458+AE488-AE519-AE541-'VVP2'!AE228</f>
        <v>-2.4590650866566444</v>
      </c>
    </row>
    <row r="564" spans="1:113" ht="12.75" customHeight="1">
      <c r="A564" s="664"/>
      <c r="B564" s="664"/>
      <c r="C564" s="782" t="s">
        <v>401</v>
      </c>
      <c r="D564" s="674" t="s">
        <v>686</v>
      </c>
      <c r="E564" s="783" t="s">
        <v>378</v>
      </c>
      <c r="F564" s="704" t="s">
        <v>1608</v>
      </c>
      <c r="G564" s="706">
        <f>+G459+G489-G520-G542-'VVP2'!G230</f>
        <v>-0.41160999999999981</v>
      </c>
      <c r="H564" s="706">
        <f>+H459+H489-H520-H542-'VVP2'!H230</f>
        <v>-0.15018000000000065</v>
      </c>
      <c r="I564" s="706">
        <f>+I459+I489-I520-I542-'VVP2'!I230</f>
        <v>-0.9649500000000002</v>
      </c>
      <c r="J564" s="706">
        <f>+J459+J489-J520-J542-'VVP2'!J230</f>
        <v>-1.1613400000000003</v>
      </c>
      <c r="K564" s="706">
        <f>+K459+K489-K520-K542-'VVP2'!K230</f>
        <v>-1.0227499999999994</v>
      </c>
      <c r="L564" s="706">
        <f>+L459+L489-L520-L542-'VVP2'!L230</f>
        <v>-0.63495999999999952</v>
      </c>
      <c r="M564" s="706">
        <f>+M459+M489-M520-M542-'VVP2'!M230</f>
        <v>-0.20589999999999997</v>
      </c>
      <c r="N564" s="706">
        <f>+N459+N489-N520-N542-'VVP2'!N230</f>
        <v>-0.39900000000000002</v>
      </c>
      <c r="O564" s="706">
        <f>+O459+O489-O520-O542-'VVP2'!O230</f>
        <v>-0.42183999999999955</v>
      </c>
      <c r="P564" s="706">
        <f>+P459+P489-P520-P542-'VVP2'!P230</f>
        <v>-1.2923500000000006</v>
      </c>
      <c r="Q564" s="706">
        <f>+Q459+Q489-Q520-Q542-'VVP2'!Q230</f>
        <v>-1.1975599999999993</v>
      </c>
      <c r="R564" s="706">
        <f>+R459+R489-R520-R542-'VVP2'!R230</f>
        <v>-2.2942400000000012</v>
      </c>
      <c r="S564" s="706">
        <f>+S459+S489-S520-S542-'VVP2'!S230</f>
        <v>-2.2023699999999979</v>
      </c>
      <c r="T564" s="706">
        <f>+T459+T489-T520-T542-'VVP2'!T230</f>
        <v>-1.3609699999999991</v>
      </c>
      <c r="U564" s="706">
        <f>+U459+U489-U520-U542-'VVP2'!U230</f>
        <v>4.0900099999999995</v>
      </c>
      <c r="V564" s="2265">
        <f>+V459+V489-V520-V542-'VVP2'!V230</f>
        <v>2.2800599999999989</v>
      </c>
      <c r="W564" s="2265">
        <f>+W459+W489-W520-W542-'VVP2'!W230</f>
        <v>1.5193500000000006</v>
      </c>
      <c r="X564" s="2265">
        <f>+X459+X489-X520-X542-'VVP2'!X230</f>
        <v>2.3309499999999996</v>
      </c>
      <c r="Y564" s="2265">
        <f>+Y459+Y489-Y520-Y542-'VVP2'!Y230</f>
        <v>3.2584699999999978</v>
      </c>
      <c r="Z564" s="2265">
        <f>+Z459+Z489-Z520-Z542-'VVP2'!Z230</f>
        <v>3.6490900000000028</v>
      </c>
      <c r="AA564" s="2265">
        <f>+AA459+AA489-AA520-AA542-'VVP2'!AA230</f>
        <v>1.8890599999999997</v>
      </c>
      <c r="AB564" s="2265">
        <f>+AB459+AB489-AB520-AB542-'VVP2'!AB230</f>
        <v>1.955140000000001</v>
      </c>
      <c r="AC564" s="2265">
        <f ca="1">+AC459+AC489-AC520-AC542-'VVP2'!AC230</f>
        <v>2.3431331208203297</v>
      </c>
      <c r="AD564" s="2265">
        <f ca="1">+AD459+AD489-AD520-AD542-'VVP2'!AD230</f>
        <v>2.2681252850970388</v>
      </c>
      <c r="AE564" s="2265">
        <f ca="1">+AE459+AE489-AE520-AE542-'VVP2'!AE230</f>
        <v>2.4083488961713249</v>
      </c>
    </row>
    <row r="565" spans="1:113" ht="12.75" customHeight="1">
      <c r="A565" s="664"/>
      <c r="B565" s="664"/>
      <c r="C565" s="782" t="s">
        <v>401</v>
      </c>
      <c r="D565" s="674" t="s">
        <v>687</v>
      </c>
      <c r="E565" s="783" t="s">
        <v>378</v>
      </c>
      <c r="F565" s="704" t="s">
        <v>1678</v>
      </c>
      <c r="G565" s="706">
        <f>+G460+G487-G521-G543-'VVP2'!G229</f>
        <v>-0.12010999999999949</v>
      </c>
      <c r="H565" s="706">
        <f>+H460+H487-H521-H543-'VVP2'!H229</f>
        <v>-0.31566000000000072</v>
      </c>
      <c r="I565" s="706">
        <f>+I460+I487-I521-I543-'VVP2'!I229</f>
        <v>-1.3780200000000002</v>
      </c>
      <c r="J565" s="706">
        <f>+J460+J487-J521-J543-'VVP2'!J229</f>
        <v>-0.39488000000000023</v>
      </c>
      <c r="K565" s="706">
        <f>+K460+K487-K521-K543-'VVP2'!K229</f>
        <v>-0.35872999999999944</v>
      </c>
      <c r="L565" s="706">
        <f>+L460+L487-L521-L543-'VVP2'!L229</f>
        <v>-0.42574999999999952</v>
      </c>
      <c r="M565" s="706">
        <f>+M460+M487-M521-M543-'VVP2'!M229</f>
        <v>-0.50059999999999971</v>
      </c>
      <c r="N565" s="1455">
        <f>+N460+N487-N521-N543-'VVP2'!N229</f>
        <v>-0.28202999999999956</v>
      </c>
      <c r="O565" s="706">
        <f>+O460+O487-O521-O543-'VVP2'!O229</f>
        <v>-0.21074999999999994</v>
      </c>
      <c r="P565" s="706">
        <f>+P460+P487-P521-P543-'VVP2'!P229</f>
        <v>-0.25391999999999942</v>
      </c>
      <c r="Q565" s="706">
        <f>+Q460+Q487-Q521-Q543-'VVP2'!Q229</f>
        <v>-7.2070000000000189E-2</v>
      </c>
      <c r="R565" s="706">
        <f>+R460+R487-R521-R543-'VVP2'!R229</f>
        <v>-6.5510000000000734E-2</v>
      </c>
      <c r="S565" s="706">
        <f>+S460+S487-S521-S543-'VVP2'!S229</f>
        <v>-0.23675999999999919</v>
      </c>
      <c r="T565" s="706">
        <f>+T460+T487-T521-T543-'VVP2'!T229</f>
        <v>-1.008020000000001</v>
      </c>
      <c r="U565" s="706">
        <f>+U460+U487-U521-U543-'VVP2'!U229</f>
        <v>-2.4525999999999999</v>
      </c>
      <c r="V565" s="706">
        <f>+V460+V487-V521-V543-'VVP2'!V229</f>
        <v>-1.9340999999999999</v>
      </c>
      <c r="W565" s="706">
        <f>+W460+W487-W521-W543-'VVP2'!W229</f>
        <v>-2.7959299999999976</v>
      </c>
      <c r="X565" s="706">
        <f>+X460+X487-X521-X543-'VVP2'!X229</f>
        <v>-1.04897</v>
      </c>
      <c r="Y565" s="706">
        <f>+Y460+Y487-Y521-Y543-'VVP2'!Y229</f>
        <v>-0.91242000000000134</v>
      </c>
      <c r="Z565" s="706">
        <f>+Z460+Z487-Z521-Z543-'VVP2'!Z229</f>
        <v>-0.22575999999999863</v>
      </c>
      <c r="AA565" s="706">
        <f>+AA460+AA487-AA521-AA543-'VVP2'!AA229</f>
        <v>-9.1620000000000035E-2</v>
      </c>
      <c r="AB565" s="3607">
        <f>+AB460+AB487-AB521-AB543-'VVP2'!AB229</f>
        <v>0.10298000000000251</v>
      </c>
      <c r="AC565" s="3308">
        <f ca="1">+AC460+AC487-AC521-AC543-'VVP2'!AC229</f>
        <v>0.33510809708063016</v>
      </c>
      <c r="AD565" s="3308">
        <f ca="1">+AD460+AD487-AD521-AD543-'VVP2'!AD229</f>
        <v>0.30107552186732556</v>
      </c>
      <c r="AE565" s="3308">
        <f ca="1">+AE460+AE487-AE521-AE543-'VVP2'!AE229</f>
        <v>0.28092927478639473</v>
      </c>
      <c r="AF565" s="3661" t="s">
        <v>2603</v>
      </c>
    </row>
    <row r="566" spans="1:113" ht="12.75" customHeight="1">
      <c r="A566" s="1953">
        <f>+ROW(InputY!A85)</f>
        <v>85</v>
      </c>
      <c r="B566" s="664"/>
      <c r="C566" s="784" t="s">
        <v>1769</v>
      </c>
      <c r="D566" s="752" t="s">
        <v>688</v>
      </c>
      <c r="E566" s="753" t="s">
        <v>378</v>
      </c>
      <c r="F566" s="754" t="s">
        <v>1609</v>
      </c>
      <c r="G566" s="785">
        <f>-InputY!G85/1000</f>
        <v>0.75688</v>
      </c>
      <c r="H566" s="785">
        <f>-InputY!H85/1000</f>
        <v>0.83072000000000001</v>
      </c>
      <c r="I566" s="785">
        <f>-InputY!I85/1000</f>
        <v>1.1321099999999999</v>
      </c>
      <c r="J566" s="785">
        <f>-InputY!J85/1000</f>
        <v>1.50583</v>
      </c>
      <c r="K566" s="785">
        <f>-InputY!K85/1000</f>
        <v>1.36202</v>
      </c>
      <c r="L566" s="785">
        <f>-InputY!L85/1000</f>
        <v>0.77947</v>
      </c>
      <c r="M566" s="785">
        <f>-InputY!M85/1000</f>
        <v>0.67176999999999998</v>
      </c>
      <c r="N566" s="785">
        <f>-InputY!N85/1000</f>
        <v>0.73158000000000001</v>
      </c>
      <c r="O566" s="785">
        <f>-InputY!O85/1000</f>
        <v>1.0705</v>
      </c>
      <c r="P566" s="785">
        <f>-InputY!P85/1000</f>
        <v>1.2194</v>
      </c>
      <c r="Q566" s="785">
        <f>-InputY!Q85/1000</f>
        <v>1.2750999999999999</v>
      </c>
      <c r="R566" s="785">
        <f>-InputY!R85/1000</f>
        <v>2.0981000000000001</v>
      </c>
      <c r="S566" s="785">
        <f>-InputY!S85/1000</f>
        <v>3.7216</v>
      </c>
      <c r="T566" s="785">
        <f>-InputY!T85/1000</f>
        <v>3.6831</v>
      </c>
      <c r="U566" s="785">
        <f>-InputY!U85/1000</f>
        <v>-1.7330000000000001</v>
      </c>
      <c r="V566" s="785">
        <f>-InputY!V85/1000</f>
        <v>-0.96920000000000006</v>
      </c>
      <c r="W566" s="785">
        <f>-InputY!W85/1000</f>
        <v>0.19369999999999998</v>
      </c>
      <c r="X566" s="2874">
        <f>-InputY!X85/1000</f>
        <v>-0.64829999999999999</v>
      </c>
      <c r="Y566" s="2874">
        <f>-InputY!Y85/1000</f>
        <v>-1.5868</v>
      </c>
      <c r="Z566" s="2874">
        <f>-InputY!Z85/1000</f>
        <v>-2.4306000000000001</v>
      </c>
      <c r="AA566" s="2874">
        <f>-InputY!AA85/1000</f>
        <v>-0.3599</v>
      </c>
      <c r="AB566" s="2874">
        <f>-InputY!AB85/1000</f>
        <v>-0.33297000000000004</v>
      </c>
      <c r="AC566" s="3688">
        <f ca="1">-AC563-AC564-AC565</f>
        <v>-0.63672585312033503</v>
      </c>
      <c r="AD566" s="3732">
        <f ca="1">-AD563-AD564-AD565</f>
        <v>-0.31334255193617255</v>
      </c>
      <c r="AE566" s="3732">
        <f ca="1">-AE563-AE564-AE565</f>
        <v>-0.23021308430107523</v>
      </c>
    </row>
    <row r="567" spans="1:113" s="1976" customFormat="1" ht="12.75" customHeight="1">
      <c r="A567" s="998"/>
      <c r="B567" s="998"/>
      <c r="C567" s="1595"/>
      <c r="D567" s="1975"/>
      <c r="E567" s="1973" t="s">
        <v>737</v>
      </c>
      <c r="F567" s="1974"/>
      <c r="G567" s="1002">
        <f>ABS(-G563-G564-G565-G566)</f>
        <v>9.999999998955289E-6</v>
      </c>
      <c r="H567" s="1002">
        <f t="shared" ref="H567:Y567" si="512">ABS(-H563-H564-H565-H566)</f>
        <v>9.9999999987332444E-6</v>
      </c>
      <c r="I567" s="1002">
        <f t="shared" si="512"/>
        <v>9.9999999993993782E-6</v>
      </c>
      <c r="J567" s="1002">
        <f t="shared" si="512"/>
        <v>9.9999999965127984E-6</v>
      </c>
      <c r="K567" s="1002">
        <f t="shared" si="512"/>
        <v>1.0000000001175735E-5</v>
      </c>
      <c r="L567" s="1002">
        <f t="shared" si="512"/>
        <v>1.1102230246251565E-16</v>
      </c>
      <c r="M567" s="1002">
        <f t="shared" si="512"/>
        <v>2.7755575615628914E-15</v>
      </c>
      <c r="N567" s="1002">
        <f t="shared" si="512"/>
        <v>3.9999999998263647E-5</v>
      </c>
      <c r="O567" s="1002">
        <f t="shared" si="512"/>
        <v>1.9999999999020801E-5</v>
      </c>
      <c r="P567" s="1002">
        <f t="shared" si="512"/>
        <v>3.0000000001972893E-5</v>
      </c>
      <c r="Q567" s="1002">
        <f>ABS(-Q563-Q564-Q565-Q566)</f>
        <v>4.0000000000928182E-5</v>
      </c>
      <c r="R567" s="1002">
        <f>ABS(-R563-R564-R565-R566)</f>
        <v>1.0000000004062315E-5</v>
      </c>
      <c r="S567" s="1002">
        <f>ABS(-S563-S564-S565-S566)</f>
        <v>3.0000000008190142E-5</v>
      </c>
      <c r="T567" s="3192">
        <f t="shared" si="512"/>
        <v>3.0000000000196536E-5</v>
      </c>
      <c r="U567" s="3192">
        <f t="shared" si="512"/>
        <v>1.0000000004062315E-5</v>
      </c>
      <c r="V567" s="3192">
        <f t="shared" si="512"/>
        <v>4.9999999994332356E-5</v>
      </c>
      <c r="W567" s="3192">
        <f t="shared" si="512"/>
        <v>4.9999999996108713E-5</v>
      </c>
      <c r="X567" s="3192">
        <f t="shared" si="512"/>
        <v>3.0000000002083915E-5</v>
      </c>
      <c r="Y567" s="3146">
        <f t="shared" si="512"/>
        <v>4.0000000002704539E-5</v>
      </c>
      <c r="Z567" s="3146">
        <f t="shared" ref="Z567:AE567" si="513">ABS(-Z563-Z564-Z565-Z566)</f>
        <v>1.0000000008503207E-5</v>
      </c>
      <c r="AA567" s="3125">
        <f>ABS(-AA563-AA564-AA565-AA566)</f>
        <v>6.0000000001614318E-5</v>
      </c>
      <c r="AB567" s="3192">
        <f>ABS(-AB563-AB564-AB565-AB566)</f>
        <v>9.9999999956801311E-6</v>
      </c>
      <c r="AC567" s="3125">
        <f t="shared" ca="1" si="513"/>
        <v>0</v>
      </c>
      <c r="AD567" s="2906">
        <f t="shared" ca="1" si="513"/>
        <v>0</v>
      </c>
      <c r="AE567" s="2906">
        <f t="shared" ca="1" si="513"/>
        <v>0</v>
      </c>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c r="CW567"/>
      <c r="CX567"/>
      <c r="CY567"/>
      <c r="CZ567"/>
      <c r="DA567"/>
      <c r="DB567"/>
      <c r="DC567"/>
      <c r="DD567"/>
      <c r="DE567"/>
      <c r="DF567"/>
      <c r="DG567"/>
      <c r="DH567"/>
      <c r="DI567"/>
    </row>
    <row r="568" spans="1:113" ht="12.75" customHeight="1">
      <c r="A568" s="998"/>
      <c r="B568" s="664"/>
      <c r="C568" s="774" t="s">
        <v>1769</v>
      </c>
      <c r="D568" s="746" t="s">
        <v>688</v>
      </c>
      <c r="E568" s="747" t="s">
        <v>378</v>
      </c>
      <c r="F568" s="748" t="s">
        <v>1609</v>
      </c>
      <c r="G568" s="799" t="e">
        <f>-'VVP2'!G331-Labour1!G216+Sector1!G12-Sector1!G49+Sector1!G142+Sector1!G258+Sector1!G329-Sector1!G204+Sector1!G301-Sector1!G399-Sector1!G490-Sector1!G522</f>
        <v>#VALUE!</v>
      </c>
      <c r="H568" s="799" t="e">
        <f>-'VVP2'!H331-Labour1!H216+Sector1!H12-Sector1!H49+Sector1!H142+Sector1!H258+Sector1!H329-Sector1!H204+Sector1!H301-Sector1!H399-Sector1!H490-Sector1!H522</f>
        <v>#VALUE!</v>
      </c>
      <c r="I568" s="799" t="e">
        <f>-'VVP2'!I331-Labour1!I216+Sector1!I12-Sector1!I49+Sector1!I142+Sector1!I258+Sector1!I329-Sector1!I204+Sector1!I301-Sector1!I399-Sector1!I490-Sector1!I522</f>
        <v>#VALUE!</v>
      </c>
      <c r="J568" s="799" t="e">
        <f>-'VVP2'!J331-Labour1!J216+Sector1!J12-Sector1!J49+Sector1!J142+Sector1!J258+Sector1!J329-Sector1!J204+Sector1!J301-Sector1!J399-Sector1!J490-Sector1!J522</f>
        <v>#VALUE!</v>
      </c>
      <c r="K568" s="799" t="e">
        <f>-'VVP2'!K331-Labour1!K216+Sector1!K12-Sector1!K49+Sector1!K142+Sector1!K258+Sector1!K329-Sector1!K204+Sector1!K301-Sector1!K399-Sector1!K490-Sector1!K522</f>
        <v>#VALUE!</v>
      </c>
      <c r="L568" s="799" t="e">
        <f>-'VVP2'!L331-Labour1!L216+Sector1!L12-Sector1!L49+Sector1!L142+Sector1!L258+Sector1!L329-Sector1!L204+Sector1!L301-Sector1!L399-Sector1!L490-Sector1!L522</f>
        <v>#VALUE!</v>
      </c>
      <c r="M568" s="799" t="e">
        <f>-'VVP2'!M331-Labour1!M216+Sector1!M12-Sector1!M49+Sector1!M142+Sector1!M258+Sector1!M329-Sector1!M204+Sector1!M301-Sector1!M399-Sector1!M490-Sector1!M522</f>
        <v>#VALUE!</v>
      </c>
      <c r="N568" s="799" t="e">
        <f>-'VVP2'!N331-Labour1!N216+Sector1!N12-Sector1!N49+Sector1!N142+Sector1!N258+Sector1!N329-Sector1!N204+Sector1!N301-Sector1!N399-Sector1!N490-Sector1!N522</f>
        <v>#VALUE!</v>
      </c>
      <c r="O568" s="799" t="e">
        <f>-'VVP2'!O331-Labour1!O216+Sector1!O12-Sector1!O49+Sector1!O142+Sector1!O258+Sector1!O329-Sector1!O204+Sector1!O301-Sector1!O399-Sector1!O490-Sector1!O522</f>
        <v>#VALUE!</v>
      </c>
      <c r="P568" s="799" t="e">
        <f>-'VVP2'!P331-Labour1!P216+Sector1!P12-Sector1!P49+Sector1!P142+Sector1!P258+Sector1!P329-Sector1!P204+Sector1!P301-Sector1!P399-Sector1!P490-Sector1!P522</f>
        <v>#VALUE!</v>
      </c>
      <c r="Q568" s="799" t="e">
        <f>-'VVP2'!Q331-Labour1!Q216+Sector1!Q12-Sector1!Q49+Sector1!Q142+Sector1!Q258+Sector1!Q329-Sector1!Q204+Sector1!Q301-Sector1!Q399-Sector1!Q490-Sector1!Q522</f>
        <v>#VALUE!</v>
      </c>
      <c r="R568" s="799" t="e">
        <f>-'VVP2'!R331-Labour1!R216+Sector1!R12-Sector1!R49+Sector1!R142+Sector1!R258+Sector1!R329-Sector1!R204+Sector1!R301-Sector1!R399-Sector1!R490-Sector1!R522</f>
        <v>#VALUE!</v>
      </c>
      <c r="S568" s="799" t="e">
        <f>-'VVP2'!S331-Labour1!S216+Sector1!S12-Sector1!S49+Sector1!S142+Sector1!S258+Sector1!S329-Sector1!S204+Sector1!S301-Sector1!S399-Sector1!S490-Sector1!S522</f>
        <v>#VALUE!</v>
      </c>
      <c r="T568" s="799">
        <f>-'VVP2'!T331-Labour1!T216+Sector1!T12-Sector1!T49+Sector1!T142+Sector1!T258+Sector1!T329-Sector1!T204+Sector1!T301-Sector1!T399-Sector1!T490-Sector1!T522</f>
        <v>3.7383499999999996</v>
      </c>
      <c r="U568" s="799">
        <f>-'VVP2'!U331-Labour1!U216+Sector1!U12-Sector1!U49+Sector1!U142+Sector1!U258+Sector1!U329-Sector1!U204+Sector1!U301-Sector1!U399-Sector1!U490-Sector1!U522</f>
        <v>-1.6806699999999997</v>
      </c>
      <c r="V568" s="800">
        <f>-'VVP2'!V331-Labour1!V216+Sector1!V12-Sector1!V49+Sector1!V142+Sector1!V258+Sector1!V329-Sector1!V204+Sector1!V301-Sector1!V399-Sector1!V490-Sector1!V522</f>
        <v>-0.89258000000000104</v>
      </c>
      <c r="W568" s="800">
        <f>-'VVP2'!W331-Labour1!W216+Sector1!W12-Sector1!W49+Sector1!W142+Sector1!W258+Sector1!W329-Sector1!W204+Sector1!W301-Sector1!W399-Sector1!W490-Sector1!W522</f>
        <v>0.26085000000000025</v>
      </c>
      <c r="X568" s="800">
        <f>-'VVP2'!X331-Labour1!X216+Sector1!X12-Sector1!X49+Sector1!X142+Sector1!X258+Sector1!X329-Sector1!X204+Sector1!X301-Sector1!X399-Sector1!X490-Sector1!X522</f>
        <v>-0.60796000000000083</v>
      </c>
      <c r="Y568" s="800">
        <f>-'VVP2'!Y331-Labour1!Y216+Sector1!Y12-Sector1!Y49+Sector1!Y142+Sector1!Y258+Sector1!Y329-Sector1!Y204+Sector1!Y301-Sector1!Y399-Sector1!Y490-Sector1!Y522</f>
        <v>-1.5430999999999986</v>
      </c>
      <c r="Z568" s="800">
        <f>-'VVP2'!Z331-Labour1!Z216+Sector1!Z12-Sector1!Z49+Sector1!Z142+Sector1!Z258+Sector1!Z329-Sector1!Z204+Sector1!Z301-Sector1!Z399-Sector1!Z490-Sector1!Z522</f>
        <v>-2.3972500000000019</v>
      </c>
      <c r="AA568" s="800">
        <f>-'VVP2'!AA331-Labour1!AA216+Sector1!AA12-Sector1!AA49+Sector1!AA142+Sector1!AA258+Sector1!AA329-Sector1!AA204+Sector1!AA301-Sector1!AA399-Sector1!AA490-Sector1!AA522</f>
        <v>-0.32976999999999879</v>
      </c>
      <c r="AB568" s="800">
        <f>-'VVP2'!AB331-Labour1!AB216+Sector1!AB12-Sector1!AB49+Sector1!AB142+Sector1!AB258+Sector1!AB329-Sector1!AB204+Sector1!AB301-Sector1!AB399-Sector1!AB490-Sector1!AB522</f>
        <v>-0.31369999999999998</v>
      </c>
      <c r="AC568" s="3697">
        <f>-'VVP2'!AC331-Labour1!AC216+Sector1!AC12-Sector1!AC49+Sector1!AC142+Sector1!AC258+Sector1!AC329-Sector1!AC204+Sector1!AC301-Sector1!AC399-Sector1!AC490-Sector1!AC522</f>
        <v>-0.56568680799999482</v>
      </c>
      <c r="AD568" s="3697">
        <f ca="1">-'VVP2'!AD331-Labour1!AD216+Sector1!AD12-Sector1!AD49+Sector1!AD142+Sector1!AD258+Sector1!AD329-Sector1!AD204+Sector1!AD301-Sector1!AD399-Sector1!AD490-Sector1!AD522</f>
        <v>-0.32033206199999326</v>
      </c>
      <c r="AE568" s="3697">
        <f ca="1">-'VVP2'!AE331-Labour1!AE216+Sector1!AE12-Sector1!AE49+Sector1!AE142+Sector1!AE258+Sector1!AE329-Sector1!AE204+Sector1!AE301-Sector1!AE399-Sector1!AE490-Sector1!AE522</f>
        <v>-0.23766613259460795</v>
      </c>
    </row>
    <row r="569" spans="1:113" s="1972" customFormat="1" ht="12.75" customHeight="1">
      <c r="A569" s="998"/>
      <c r="B569" s="998"/>
      <c r="C569" s="1595"/>
      <c r="D569" s="1011"/>
      <c r="E569" s="1973" t="s">
        <v>737</v>
      </c>
      <c r="F569" s="1974"/>
      <c r="G569" s="1002" t="e">
        <f>ABS(+G566-G568)</f>
        <v>#VALUE!</v>
      </c>
      <c r="H569" s="1002" t="e">
        <f t="shared" ref="H569:W569" si="514">ABS(+H566-H568)</f>
        <v>#VALUE!</v>
      </c>
      <c r="I569" s="1002" t="e">
        <f t="shared" si="514"/>
        <v>#VALUE!</v>
      </c>
      <c r="J569" s="1002" t="e">
        <f t="shared" si="514"/>
        <v>#VALUE!</v>
      </c>
      <c r="K569" s="1002" t="e">
        <f t="shared" si="514"/>
        <v>#VALUE!</v>
      </c>
      <c r="L569" s="1002" t="e">
        <f t="shared" si="514"/>
        <v>#VALUE!</v>
      </c>
      <c r="M569" s="1002" t="e">
        <f t="shared" si="514"/>
        <v>#VALUE!</v>
      </c>
      <c r="N569" s="1002" t="e">
        <f t="shared" si="514"/>
        <v>#VALUE!</v>
      </c>
      <c r="O569" s="1002" t="e">
        <f t="shared" si="514"/>
        <v>#VALUE!</v>
      </c>
      <c r="P569" s="1002" t="e">
        <f t="shared" si="514"/>
        <v>#VALUE!</v>
      </c>
      <c r="Q569" s="1002" t="e">
        <f>ABS(+Q566-Q568)</f>
        <v>#VALUE!</v>
      </c>
      <c r="R569" s="1002" t="e">
        <f>ABS(+R566-R568)</f>
        <v>#VALUE!</v>
      </c>
      <c r="S569" s="1002" t="e">
        <f>ABS(+S566-S568)</f>
        <v>#VALUE!</v>
      </c>
      <c r="T569" s="2921">
        <f t="shared" si="514"/>
        <v>5.5249999999999577E-2</v>
      </c>
      <c r="U569" s="2921">
        <f t="shared" si="514"/>
        <v>5.2330000000000432E-2</v>
      </c>
      <c r="V569" s="2921">
        <f>ABS(+V566-V568)</f>
        <v>7.6619999999999022E-2</v>
      </c>
      <c r="W569" s="2921">
        <f t="shared" si="514"/>
        <v>6.7150000000000265E-2</v>
      </c>
      <c r="X569" s="2921">
        <f t="shared" ref="X569:AC569" si="515">ABS(+X566-X568)</f>
        <v>4.0339999999999154E-2</v>
      </c>
      <c r="Y569" s="2921">
        <f t="shared" si="515"/>
        <v>4.3700000000001404E-2</v>
      </c>
      <c r="Z569" s="3146">
        <f t="shared" si="515"/>
        <v>3.3349999999998214E-2</v>
      </c>
      <c r="AA569" s="3146">
        <f t="shared" si="515"/>
        <v>3.0130000000001211E-2</v>
      </c>
      <c r="AB569" s="3146">
        <f t="shared" si="515"/>
        <v>1.9270000000000065E-2</v>
      </c>
      <c r="AC569" s="3146">
        <f t="shared" ca="1" si="515"/>
        <v>7.1039045120340205E-2</v>
      </c>
      <c r="AD569" s="3146">
        <f ca="1">ABS(+AD566-AD568)</f>
        <v>6.9895100638207031E-3</v>
      </c>
      <c r="AE569" s="3146">
        <f ca="1">ABS(+AE566-AE568)</f>
        <v>7.4530482935327158E-3</v>
      </c>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c r="CW569"/>
      <c r="CX569"/>
      <c r="CY569"/>
      <c r="CZ569"/>
      <c r="DA569"/>
      <c r="DB569"/>
      <c r="DC569"/>
      <c r="DD569"/>
      <c r="DE569"/>
      <c r="DF569"/>
      <c r="DG569"/>
      <c r="DH569"/>
      <c r="DI569"/>
    </row>
    <row r="570" spans="1:113">
      <c r="A570" s="664"/>
      <c r="B570" s="664"/>
      <c r="P570" s="703"/>
      <c r="Q570" s="703"/>
      <c r="R570" s="703"/>
      <c r="S570" s="703"/>
      <c r="T570" s="2254"/>
      <c r="U570" s="2254"/>
      <c r="V570" s="2254"/>
      <c r="W570" s="2254"/>
      <c r="X570" s="2254"/>
      <c r="Y570" s="2254"/>
      <c r="Z570" s="2254"/>
      <c r="AA570" s="2254"/>
      <c r="AB570" s="2254"/>
      <c r="AC570" s="2254"/>
      <c r="AD570" s="2254"/>
      <c r="AE570" s="2254"/>
    </row>
    <row r="571" spans="1:113" ht="12.75" customHeight="1">
      <c r="A571" s="664"/>
      <c r="B571" s="664"/>
      <c r="C571" s="774"/>
      <c r="D571" s="742"/>
      <c r="E571" s="743" t="s">
        <v>1311</v>
      </c>
      <c r="F571" s="744"/>
      <c r="G571" s="745">
        <f>+InputY!$G$3</f>
        <v>1995</v>
      </c>
      <c r="H571" s="745">
        <f>+G571+1</f>
        <v>1996</v>
      </c>
      <c r="I571" s="745">
        <f t="shared" ref="I571:O571" si="516">+H571+1</f>
        <v>1997</v>
      </c>
      <c r="J571" s="745">
        <f t="shared" si="516"/>
        <v>1998</v>
      </c>
      <c r="K571" s="745">
        <f>+J571+1</f>
        <v>1999</v>
      </c>
      <c r="L571" s="745">
        <f t="shared" si="516"/>
        <v>2000</v>
      </c>
      <c r="M571" s="745">
        <f t="shared" si="516"/>
        <v>2001</v>
      </c>
      <c r="N571" s="745">
        <f t="shared" si="516"/>
        <v>2002</v>
      </c>
      <c r="O571" s="745">
        <f t="shared" si="516"/>
        <v>2003</v>
      </c>
      <c r="P571" s="745">
        <f t="shared" ref="P571:U571" si="517">+O571+1</f>
        <v>2004</v>
      </c>
      <c r="Q571" s="745">
        <f t="shared" si="517"/>
        <v>2005</v>
      </c>
      <c r="R571" s="745">
        <f t="shared" si="517"/>
        <v>2006</v>
      </c>
      <c r="S571" s="745">
        <f>+R571+1</f>
        <v>2007</v>
      </c>
      <c r="T571" s="745">
        <f t="shared" si="517"/>
        <v>2008</v>
      </c>
      <c r="U571" s="745">
        <f t="shared" si="517"/>
        <v>2009</v>
      </c>
      <c r="V571" s="745">
        <f t="shared" ref="V571:AE571" si="518">+U571+1</f>
        <v>2010</v>
      </c>
      <c r="W571" s="745">
        <f t="shared" si="518"/>
        <v>2011</v>
      </c>
      <c r="X571" s="745">
        <f t="shared" si="518"/>
        <v>2012</v>
      </c>
      <c r="Y571" s="745">
        <f t="shared" si="518"/>
        <v>2013</v>
      </c>
      <c r="Z571" s="745">
        <f t="shared" si="518"/>
        <v>2014</v>
      </c>
      <c r="AA571" s="745">
        <f t="shared" si="518"/>
        <v>2015</v>
      </c>
      <c r="AB571" s="745">
        <f t="shared" si="518"/>
        <v>2016</v>
      </c>
      <c r="AC571" s="745">
        <f t="shared" si="518"/>
        <v>2017</v>
      </c>
      <c r="AD571" s="745">
        <f t="shared" si="518"/>
        <v>2018</v>
      </c>
      <c r="AE571" s="745">
        <f t="shared" si="518"/>
        <v>2019</v>
      </c>
    </row>
    <row r="572" spans="1:113" ht="12.75" customHeight="1">
      <c r="A572" s="664"/>
      <c r="B572" s="664"/>
      <c r="C572" s="794" t="s">
        <v>401</v>
      </c>
      <c r="D572" s="689" t="s">
        <v>685</v>
      </c>
      <c r="E572" s="738" t="s">
        <v>378</v>
      </c>
      <c r="F572" s="733" t="s">
        <v>505</v>
      </c>
      <c r="G572" s="739"/>
      <c r="H572" s="739">
        <f t="shared" ref="H572:P572" si="519">(H563/G563-1)*100</f>
        <v>62.042012701514636</v>
      </c>
      <c r="I572" s="739">
        <f t="shared" si="519"/>
        <v>-431.86340340395208</v>
      </c>
      <c r="J572" s="739">
        <f t="shared" si="519"/>
        <v>-95.837703469406534</v>
      </c>
      <c r="K572" s="739">
        <f>(K563/J563-1)*100</f>
        <v>-61.369047619045212</v>
      </c>
      <c r="L572" s="739">
        <f t="shared" si="519"/>
        <v>1344.4786851566396</v>
      </c>
      <c r="M572" s="739">
        <f t="shared" si="519"/>
        <v>-87.651116484142705</v>
      </c>
      <c r="N572" s="739">
        <f t="shared" si="519"/>
        <v>-245.66657068817497</v>
      </c>
      <c r="O572" s="739">
        <f t="shared" si="519"/>
        <v>765.64538446335405</v>
      </c>
      <c r="P572" s="739">
        <f t="shared" si="519"/>
        <v>-174.63293220377648</v>
      </c>
      <c r="Q572" s="739">
        <f>(Q563/P563-1)*100</f>
        <v>-101.68584016644276</v>
      </c>
      <c r="R572" s="739">
        <f t="shared" ref="R572:AE575" si="520">(R563/Q563-1)*100</f>
        <v>-4848.4573502709327</v>
      </c>
      <c r="S572" s="739">
        <f t="shared" si="520"/>
        <v>-590.15441064057711</v>
      </c>
      <c r="T572" s="739">
        <f t="shared" ref="T572:U574" si="521">(T563/S563-1)*100</f>
        <v>2.4718505349182518</v>
      </c>
      <c r="U572" s="739">
        <f t="shared" si="521"/>
        <v>-107.27471958847643</v>
      </c>
      <c r="V572" s="2907">
        <f t="shared" si="520"/>
        <v>551.97698744766569</v>
      </c>
      <c r="W572" s="2907">
        <f t="shared" si="520"/>
        <v>73.728120136695381</v>
      </c>
      <c r="X572" s="2907">
        <f t="shared" si="520"/>
        <v>-158.51795757413419</v>
      </c>
      <c r="Y572" s="2907">
        <f t="shared" si="520"/>
        <v>19.827980746469208</v>
      </c>
      <c r="Z572" s="2907">
        <f t="shared" si="520"/>
        <v>30.743194299937706</v>
      </c>
      <c r="AA572" s="2907">
        <f t="shared" si="520"/>
        <v>44.814247723427258</v>
      </c>
      <c r="AB572" s="2907">
        <f t="shared" si="520"/>
        <v>20.002782415136178</v>
      </c>
      <c r="AC572" s="2907">
        <f t="shared" ca="1" si="520"/>
        <v>18.337740544681402</v>
      </c>
      <c r="AD572" s="2907">
        <f t="shared" ca="1" si="520"/>
        <v>10.499205342527485</v>
      </c>
      <c r="AE572" s="2907">
        <f t="shared" ca="1" si="520"/>
        <v>9.0079609911444933</v>
      </c>
    </row>
    <row r="573" spans="1:113" ht="12.75" customHeight="1">
      <c r="A573" s="664"/>
      <c r="B573" s="664"/>
      <c r="C573" s="795" t="s">
        <v>401</v>
      </c>
      <c r="D573" s="674" t="s">
        <v>686</v>
      </c>
      <c r="E573" s="783" t="s">
        <v>378</v>
      </c>
      <c r="F573" s="704" t="s">
        <v>1608</v>
      </c>
      <c r="G573" s="706"/>
      <c r="H573" s="706">
        <f t="shared" ref="H573:P573" si="522">(H564/G564-1)*100</f>
        <v>-63.51400597653101</v>
      </c>
      <c r="I573" s="706">
        <f t="shared" si="522"/>
        <v>542.5289652417074</v>
      </c>
      <c r="J573" s="706">
        <f t="shared" si="522"/>
        <v>20.352349862687191</v>
      </c>
      <c r="K573" s="706">
        <f>(K564/J564-1)*100</f>
        <v>-11.933628394785412</v>
      </c>
      <c r="L573" s="706">
        <f t="shared" si="522"/>
        <v>-37.916401857736503</v>
      </c>
      <c r="M573" s="706">
        <f t="shared" si="522"/>
        <v>-67.572760488849667</v>
      </c>
      <c r="N573" s="706">
        <f t="shared" si="522"/>
        <v>93.78338999514331</v>
      </c>
      <c r="O573" s="706">
        <f t="shared" si="522"/>
        <v>5.724310776942243</v>
      </c>
      <c r="P573" s="706">
        <f t="shared" si="522"/>
        <v>206.36023136734352</v>
      </c>
      <c r="Q573" s="706">
        <f>(Q564/P564-1)*100</f>
        <v>-7.3347003520718985</v>
      </c>
      <c r="R573" s="706">
        <f t="shared" si="520"/>
        <v>91.57620495006536</v>
      </c>
      <c r="S573" s="706">
        <f t="shared" si="520"/>
        <v>-4.0043761768604469</v>
      </c>
      <c r="T573" s="706">
        <f t="shared" si="521"/>
        <v>-38.204298097049985</v>
      </c>
      <c r="U573" s="706">
        <f t="shared" si="521"/>
        <v>-400.52168673813549</v>
      </c>
      <c r="V573" s="792">
        <f t="shared" si="520"/>
        <v>-44.252948036801889</v>
      </c>
      <c r="W573" s="792">
        <f t="shared" si="520"/>
        <v>-33.363595694850076</v>
      </c>
      <c r="X573" s="792">
        <f t="shared" si="520"/>
        <v>53.417579886135428</v>
      </c>
      <c r="Y573" s="792">
        <f t="shared" si="520"/>
        <v>39.791501319204549</v>
      </c>
      <c r="Z573" s="792">
        <f t="shared" si="520"/>
        <v>11.987834781354611</v>
      </c>
      <c r="AA573" s="792">
        <f t="shared" si="520"/>
        <v>-48.232024970609153</v>
      </c>
      <c r="AB573" s="792">
        <f t="shared" si="520"/>
        <v>3.4980360602628435</v>
      </c>
      <c r="AC573" s="792">
        <f t="shared" ca="1" si="520"/>
        <v>19.844774329220847</v>
      </c>
      <c r="AD573" s="792">
        <f t="shared" ca="1" si="520"/>
        <v>-3.2011768796572082</v>
      </c>
      <c r="AE573" s="792">
        <f t="shared" ca="1" si="520"/>
        <v>6.1823573854425273</v>
      </c>
    </row>
    <row r="574" spans="1:113" ht="12.75" customHeight="1">
      <c r="A574" s="664"/>
      <c r="B574" s="664"/>
      <c r="C574" s="796" t="s">
        <v>401</v>
      </c>
      <c r="D574" s="691" t="s">
        <v>687</v>
      </c>
      <c r="E574" s="797" t="s">
        <v>378</v>
      </c>
      <c r="F574" s="736" t="s">
        <v>1678</v>
      </c>
      <c r="G574" s="741"/>
      <c r="H574" s="741">
        <f t="shared" ref="H574:P574" si="523">(H565/G565-1)*100</f>
        <v>162.80909166597456</v>
      </c>
      <c r="I574" s="741">
        <f t="shared" si="523"/>
        <v>336.55198631438799</v>
      </c>
      <c r="J574" s="741">
        <f t="shared" si="523"/>
        <v>-71.344392679351515</v>
      </c>
      <c r="K574" s="741">
        <f>(K565/J565-1)*100</f>
        <v>-9.1546799027554577</v>
      </c>
      <c r="L574" s="741">
        <f t="shared" si="523"/>
        <v>18.682574638307404</v>
      </c>
      <c r="M574" s="741">
        <f t="shared" si="523"/>
        <v>17.580739870816274</v>
      </c>
      <c r="N574" s="741">
        <f t="shared" si="523"/>
        <v>-43.6616060727128</v>
      </c>
      <c r="O574" s="741">
        <f t="shared" si="523"/>
        <v>-25.273907031166797</v>
      </c>
      <c r="P574" s="741">
        <f t="shared" si="523"/>
        <v>20.483985765124313</v>
      </c>
      <c r="Q574" s="741">
        <f>(Q565/P565-1)*100</f>
        <v>-71.617044738500169</v>
      </c>
      <c r="R574" s="741">
        <f t="shared" si="520"/>
        <v>-9.1022616900228055</v>
      </c>
      <c r="S574" s="741">
        <f t="shared" si="520"/>
        <v>261.4104716837071</v>
      </c>
      <c r="T574" s="741">
        <f t="shared" si="521"/>
        <v>325.75603987160184</v>
      </c>
      <c r="U574" s="741">
        <f t="shared" si="521"/>
        <v>143.30866451062451</v>
      </c>
      <c r="V574" s="2908">
        <f t="shared" si="520"/>
        <v>-21.140830139443857</v>
      </c>
      <c r="W574" s="2908">
        <f t="shared" si="520"/>
        <v>44.559743549971451</v>
      </c>
      <c r="X574" s="2908">
        <f t="shared" si="520"/>
        <v>-62.482250986254996</v>
      </c>
      <c r="Y574" s="2908">
        <f t="shared" si="520"/>
        <v>-13.017531483264399</v>
      </c>
      <c r="Z574" s="2908">
        <f t="shared" si="520"/>
        <v>-75.257008833651355</v>
      </c>
      <c r="AA574" s="2908">
        <f t="shared" si="520"/>
        <v>-59.417080085045804</v>
      </c>
      <c r="AB574" s="2908">
        <f t="shared" si="520"/>
        <v>-212.3990395110265</v>
      </c>
      <c r="AC574" s="2908">
        <f t="shared" ca="1" si="520"/>
        <v>225.41085364208774</v>
      </c>
      <c r="AD574" s="2908">
        <f t="shared" ca="1" si="520"/>
        <v>-10.15570065593373</v>
      </c>
      <c r="AE574" s="2908">
        <f t="shared" ca="1" si="520"/>
        <v>-6.6914264421033316</v>
      </c>
    </row>
    <row r="575" spans="1:113" ht="12.75" customHeight="1">
      <c r="A575" s="664"/>
      <c r="B575" s="664"/>
      <c r="C575" s="774" t="s">
        <v>1769</v>
      </c>
      <c r="D575" s="717" t="s">
        <v>688</v>
      </c>
      <c r="E575" s="722" t="s">
        <v>378</v>
      </c>
      <c r="F575" s="723" t="s">
        <v>1609</v>
      </c>
      <c r="G575" s="721"/>
      <c r="H575" s="721">
        <f t="shared" ref="H575:P575" si="524">(H566/G566-1)*100</f>
        <v>9.7558397632385496</v>
      </c>
      <c r="I575" s="721">
        <f t="shared" si="524"/>
        <v>36.280575885978415</v>
      </c>
      <c r="J575" s="721">
        <f t="shared" si="524"/>
        <v>33.010926500075087</v>
      </c>
      <c r="K575" s="721">
        <f>(K566/J566-1)*100</f>
        <v>-9.5502148316875086</v>
      </c>
      <c r="L575" s="721">
        <f t="shared" si="524"/>
        <v>-42.771031262389691</v>
      </c>
      <c r="M575" s="721">
        <f t="shared" si="524"/>
        <v>-13.817080836978979</v>
      </c>
      <c r="N575" s="721">
        <f t="shared" si="524"/>
        <v>8.9033448948300897</v>
      </c>
      <c r="O575" s="721">
        <f t="shared" si="524"/>
        <v>46.327127586866787</v>
      </c>
      <c r="P575" s="721">
        <f t="shared" si="524"/>
        <v>13.909388136384869</v>
      </c>
      <c r="Q575" s="721">
        <f>(Q566/P566-1)*100</f>
        <v>4.5678202394620282</v>
      </c>
      <c r="R575" s="721">
        <f t="shared" si="520"/>
        <v>64.543957336679497</v>
      </c>
      <c r="S575" s="721">
        <f t="shared" si="520"/>
        <v>77.379533863972156</v>
      </c>
      <c r="T575" s="801">
        <f t="shared" si="520"/>
        <v>-1.0345012897678418</v>
      </c>
      <c r="U575" s="801">
        <f t="shared" si="520"/>
        <v>-147.05275447313403</v>
      </c>
      <c r="V575" s="801">
        <f t="shared" si="520"/>
        <v>-44.073860357761106</v>
      </c>
      <c r="W575" s="801">
        <f t="shared" si="520"/>
        <v>-119.98555509698721</v>
      </c>
      <c r="X575" s="801">
        <f t="shared" si="520"/>
        <v>-434.69282395456901</v>
      </c>
      <c r="Y575" s="801">
        <f t="shared" si="520"/>
        <v>144.76322690112605</v>
      </c>
      <c r="Z575" s="801">
        <f t="shared" si="520"/>
        <v>53.176203680363002</v>
      </c>
      <c r="AA575" s="801">
        <f t="shared" si="520"/>
        <v>-85.19295647165309</v>
      </c>
      <c r="AB575" s="801">
        <f t="shared" si="520"/>
        <v>-7.4826340650180452</v>
      </c>
      <c r="AC575" s="801">
        <f t="shared" ca="1" si="520"/>
        <v>91.226192485910133</v>
      </c>
      <c r="AD575" s="801">
        <f t="shared" ca="1" si="520"/>
        <v>-50.788467218567</v>
      </c>
      <c r="AE575" s="801">
        <f t="shared" ca="1" si="520"/>
        <v>-26.529900621997449</v>
      </c>
    </row>
    <row r="576" spans="1:113" ht="12.75" customHeight="1">
      <c r="A576" s="664"/>
      <c r="B576" s="664"/>
      <c r="C576" s="774"/>
      <c r="E576" s="786"/>
      <c r="F576" s="787"/>
      <c r="G576" s="703"/>
      <c r="H576" s="788"/>
      <c r="I576" s="703"/>
      <c r="J576" s="703"/>
      <c r="K576" s="703"/>
      <c r="L576" s="703"/>
      <c r="M576" s="703"/>
      <c r="N576" s="703"/>
      <c r="O576" s="703"/>
      <c r="P576" s="703"/>
      <c r="Q576" s="703"/>
      <c r="R576" s="703"/>
      <c r="S576" s="703"/>
      <c r="T576" s="2254"/>
      <c r="U576" s="2254"/>
      <c r="V576" s="2254"/>
      <c r="W576" s="2254"/>
      <c r="X576" s="2254"/>
      <c r="Y576" s="2254"/>
      <c r="Z576" s="2254"/>
      <c r="AA576" s="2254"/>
      <c r="AB576" s="2254"/>
      <c r="AC576" s="2254"/>
      <c r="AD576" s="2254"/>
      <c r="AE576" s="2254"/>
    </row>
    <row r="577" spans="1:31" ht="12.75" customHeight="1">
      <c r="A577" s="664"/>
      <c r="B577" s="664"/>
      <c r="C577" s="774"/>
      <c r="D577" s="818"/>
      <c r="E577" s="819" t="s">
        <v>512</v>
      </c>
      <c r="F577" s="820"/>
      <c r="G577" s="821">
        <f>+InputY!$G$3</f>
        <v>1995</v>
      </c>
      <c r="H577" s="821">
        <f>+G577+1</f>
        <v>1996</v>
      </c>
      <c r="I577" s="821">
        <f t="shared" ref="I577:O577" si="525">+H577+1</f>
        <v>1997</v>
      </c>
      <c r="J577" s="821">
        <f t="shared" si="525"/>
        <v>1998</v>
      </c>
      <c r="K577" s="821">
        <f>+J577+1</f>
        <v>1999</v>
      </c>
      <c r="L577" s="821">
        <f t="shared" si="525"/>
        <v>2000</v>
      </c>
      <c r="M577" s="821">
        <f t="shared" si="525"/>
        <v>2001</v>
      </c>
      <c r="N577" s="821">
        <f t="shared" si="525"/>
        <v>2002</v>
      </c>
      <c r="O577" s="821">
        <f t="shared" si="525"/>
        <v>2003</v>
      </c>
      <c r="P577" s="821">
        <f t="shared" ref="P577:U577" si="526">+O577+1</f>
        <v>2004</v>
      </c>
      <c r="Q577" s="821">
        <f t="shared" si="526"/>
        <v>2005</v>
      </c>
      <c r="R577" s="821">
        <f t="shared" si="526"/>
        <v>2006</v>
      </c>
      <c r="S577" s="821">
        <f>+R577+1</f>
        <v>2007</v>
      </c>
      <c r="T577" s="821">
        <f t="shared" si="526"/>
        <v>2008</v>
      </c>
      <c r="U577" s="821">
        <f t="shared" si="526"/>
        <v>2009</v>
      </c>
      <c r="V577" s="821">
        <f t="shared" ref="V577:AE577" si="527">+U577+1</f>
        <v>2010</v>
      </c>
      <c r="W577" s="821">
        <f t="shared" si="527"/>
        <v>2011</v>
      </c>
      <c r="X577" s="821">
        <f t="shared" si="527"/>
        <v>2012</v>
      </c>
      <c r="Y577" s="821">
        <f t="shared" si="527"/>
        <v>2013</v>
      </c>
      <c r="Z577" s="821">
        <f t="shared" si="527"/>
        <v>2014</v>
      </c>
      <c r="AA577" s="821">
        <f t="shared" si="527"/>
        <v>2015</v>
      </c>
      <c r="AB577" s="821">
        <f t="shared" si="527"/>
        <v>2016</v>
      </c>
      <c r="AC577" s="821">
        <f t="shared" si="527"/>
        <v>2017</v>
      </c>
      <c r="AD577" s="821">
        <f t="shared" si="527"/>
        <v>2018</v>
      </c>
      <c r="AE577" s="821">
        <f t="shared" si="527"/>
        <v>2019</v>
      </c>
    </row>
    <row r="578" spans="1:31" ht="12.75" customHeight="1">
      <c r="A578" s="664"/>
      <c r="B578" s="664"/>
      <c r="C578" s="822" t="s">
        <v>401</v>
      </c>
      <c r="D578" s="823" t="s">
        <v>685</v>
      </c>
      <c r="E578" s="824" t="s">
        <v>378</v>
      </c>
      <c r="F578" s="825" t="s">
        <v>505</v>
      </c>
      <c r="G578" s="838">
        <f>+G563/'VVP2'!G$341</f>
        <v>-2.8999823556609305E-2</v>
      </c>
      <c r="H578" s="838">
        <f>+H563/'VVP2'!H$341</f>
        <v>-3.7560671803503129E-2</v>
      </c>
      <c r="I578" s="838">
        <f>+I563/'VVP2'!I$341</f>
        <v>0.10327830820327626</v>
      </c>
      <c r="J578" s="838">
        <f>+J563/'VVP2'!J$341</f>
        <v>3.8703851033175586E-3</v>
      </c>
      <c r="K578" s="838">
        <f>+K563/'VVP2'!K$341</f>
        <v>1.5316140238261636E-3</v>
      </c>
      <c r="L578" s="838">
        <f>+L563/'VVP2'!L$341</f>
        <v>2.10380171421988E-2</v>
      </c>
      <c r="M578" s="838">
        <f>+M563/'VVP2'!M$341</f>
        <v>2.4467188746077309E-3</v>
      </c>
      <c r="N578" s="838">
        <f>+N563/'VVP2'!N$341</f>
        <v>-3.3278143843937205E-3</v>
      </c>
      <c r="O578" s="838">
        <f>+O563/'VVP2'!O$341</f>
        <v>-2.6272941503964344E-2</v>
      </c>
      <c r="P578" s="838">
        <f>+P563/'VVP2'!P$341</f>
        <v>1.7921099786596017E-2</v>
      </c>
      <c r="Q578" s="838">
        <f>+Q563/'VVP2'!Q$341</f>
        <v>-2.6235159398836123E-4</v>
      </c>
      <c r="R578" s="838">
        <f>+R563/'VVP2'!R$341</f>
        <v>1.0865818520398023E-2</v>
      </c>
      <c r="S578" s="838">
        <f>+S563/'VVP2'!S$341</f>
        <v>-4.4160153384943543E-2</v>
      </c>
      <c r="T578" s="2909">
        <f>+T563/'VVP2'!T$341</f>
        <v>-4.0192339923685504E-2</v>
      </c>
      <c r="U578" s="2909">
        <f>+U563/'VVP2'!U$341</f>
        <v>3.5493090356647689E-3</v>
      </c>
      <c r="V578" s="2909">
        <f>+V563/'VVP2'!V$341</f>
        <v>2.2238388791643516E-2</v>
      </c>
      <c r="W578" s="2909">
        <f>+W563/'VVP2'!W$341</f>
        <v>3.4622507459555987E-2</v>
      </c>
      <c r="X578" s="2909">
        <f>+X563/'VVP2'!X$341</f>
        <v>-1.900086600648658E-2</v>
      </c>
      <c r="Y578" s="2909">
        <f>+Y563/'VVP2'!Y$341</f>
        <v>-2.171903894918854E-2</v>
      </c>
      <c r="Z578" s="2909">
        <f>+Z563/'VVP2'!Z$341</f>
        <v>-2.7147024689156724E-2</v>
      </c>
      <c r="AA578" s="2909">
        <f>+AA563/'VVP2'!AA$341</f>
        <v>-3.8411173226749661E-2</v>
      </c>
      <c r="AB578" s="2909">
        <f>+AB563/'VVP2'!AB$341</f>
        <v>-4.461429925065271E-2</v>
      </c>
      <c r="AC578" s="2909">
        <f ca="1">+AC563/'VVP2'!AC$341</f>
        <v>-4.8863933938049803E-2</v>
      </c>
      <c r="AD578" s="2909">
        <f ca="1">+AD563/'VVP2'!AD$341</f>
        <v>-5.1024174133615929E-2</v>
      </c>
      <c r="AE578" s="2909">
        <f ca="1">+AE563/'VVP2'!AE$341</f>
        <v>-5.2683433057192752E-2</v>
      </c>
    </row>
    <row r="579" spans="1:31" ht="12.75" customHeight="1">
      <c r="A579" s="664"/>
      <c r="B579" s="664"/>
      <c r="C579" s="826" t="s">
        <v>401</v>
      </c>
      <c r="D579" s="674" t="s">
        <v>686</v>
      </c>
      <c r="E579" s="783" t="s">
        <v>378</v>
      </c>
      <c r="F579" s="704" t="s">
        <v>1608</v>
      </c>
      <c r="G579" s="839">
        <f>+G564/'VVP2'!G$341</f>
        <v>-5.3011579580476836E-2</v>
      </c>
      <c r="H579" s="839">
        <f>+H564/'VVP2'!H$341</f>
        <v>-1.5459921866555554E-2</v>
      </c>
      <c r="I579" s="839">
        <f>+I564/'VVP2'!I$341</f>
        <v>-8.2303140304699471E-2</v>
      </c>
      <c r="J579" s="839">
        <f>+J564/'VVP2'!J$341</f>
        <v>-8.9183195156489523E-2</v>
      </c>
      <c r="K579" s="839">
        <f>+K564/'VVP2'!K$341</f>
        <v>-8.0454968817062142E-2</v>
      </c>
      <c r="L579" s="839">
        <f>+L564/'VVP2'!L$341</f>
        <v>-4.7497864331569405E-2</v>
      </c>
      <c r="M579" s="839">
        <f>+M564/'VVP2'!M$341</f>
        <v>-1.4505597934977721E-2</v>
      </c>
      <c r="N579" s="839">
        <f>+N564/'VVP2'!N$341</f>
        <v>-2.6246253002038526E-2</v>
      </c>
      <c r="O579" s="839">
        <f>+O564/'VVP2'!O$341</f>
        <v>-2.5307646528057722E-2</v>
      </c>
      <c r="P579" s="839">
        <f>+P564/'VVP2'!P$341</f>
        <v>-7.0861379602274885E-2</v>
      </c>
      <c r="Q579" s="839">
        <f>+Q564/'VVP2'!Q$341</f>
        <v>-5.7020285825157627E-2</v>
      </c>
      <c r="R579" s="839">
        <f>+R564/'VVP2'!R$341</f>
        <v>-9.5278992058699719E-2</v>
      </c>
      <c r="S579" s="839">
        <f>+S564/'VVP2'!S$341</f>
        <v>-7.5837463749102052E-2</v>
      </c>
      <c r="T579" s="2910">
        <f>+T564/'VVP2'!T$341</f>
        <v>-4.1624612952910825E-2</v>
      </c>
      <c r="U579" s="2910">
        <f>+U564/'VVP2'!U$341</f>
        <v>0.15184842519831207</v>
      </c>
      <c r="V579" s="2910">
        <f>+V564/'VVP2'!V$341</f>
        <v>8.1350351759654521E-2</v>
      </c>
      <c r="W579" s="2910">
        <f>+W564/'VVP2'!W$341</f>
        <v>4.8579838671514809E-2</v>
      </c>
      <c r="X579" s="2910">
        <f>+X564/'VVP2'!X$341</f>
        <v>6.9896738921833901E-2</v>
      </c>
      <c r="Y579" s="2910">
        <f>+Y564/'VVP2'!Y$341</f>
        <v>9.3206596747965081E-2</v>
      </c>
      <c r="Z579" s="2910">
        <f>+Z564/'VVP2'!Z$341</f>
        <v>9.9788395844704822E-2</v>
      </c>
      <c r="AA579" s="2910">
        <f>+AA564/'VVP2'!AA$341</f>
        <v>5.0473713756068198E-2</v>
      </c>
      <c r="AB579" s="2910">
        <f>+AB564/'VVP2'!AB$341</f>
        <v>5.0561803564261411E-2</v>
      </c>
      <c r="AC579" s="2910">
        <f ca="1">+AC564/'VVP2'!AC$341</f>
        <v>5.6083193885794885E-2</v>
      </c>
      <c r="AD579" s="2910">
        <f ca="1">+AD564/'VVP2'!AD$341</f>
        <v>5.1301636193539252E-2</v>
      </c>
      <c r="AE579" s="2910">
        <f ca="1">+AE564/'VVP2'!AE$341</f>
        <v>5.1596880675620009E-2</v>
      </c>
    </row>
    <row r="580" spans="1:31" ht="12.75" customHeight="1">
      <c r="A580" s="664"/>
      <c r="B580" s="664"/>
      <c r="C580" s="827" t="s">
        <v>401</v>
      </c>
      <c r="D580" s="828" t="s">
        <v>687</v>
      </c>
      <c r="E580" s="829" t="s">
        <v>378</v>
      </c>
      <c r="F580" s="830" t="s">
        <v>1678</v>
      </c>
      <c r="G580" s="840">
        <f>+G565/'VVP2'!G$341</f>
        <v>-1.5469062518916084E-2</v>
      </c>
      <c r="H580" s="840">
        <f>+H565/'VVP2'!H$341</f>
        <v>-3.2494865737094931E-2</v>
      </c>
      <c r="I580" s="840">
        <f>+I565/'VVP2'!I$341</f>
        <v>-0.11753497425014971</v>
      </c>
      <c r="J580" s="840">
        <f>+J565/'VVP2'!J$341</f>
        <v>-3.0324160111073927E-2</v>
      </c>
      <c r="K580" s="840">
        <f>+K565/'VVP2'!K$341</f>
        <v>-2.8219614728667491E-2</v>
      </c>
      <c r="L580" s="840">
        <f>+L565/'VVP2'!L$341</f>
        <v>-3.1848015212242765E-2</v>
      </c>
      <c r="M580" s="840">
        <f>+M565/'VVP2'!M$341</f>
        <v>-3.5267131259105605E-2</v>
      </c>
      <c r="N580" s="840">
        <f>+N565/'VVP2'!N$341</f>
        <v>-1.8551956727230361E-2</v>
      </c>
      <c r="O580" s="840">
        <f>+O565/'VVP2'!O$341</f>
        <v>-1.2643624373668142E-2</v>
      </c>
      <c r="P580" s="840">
        <f>+P565/'VVP2'!P$341</f>
        <v>-1.3922792980701504E-2</v>
      </c>
      <c r="Q580" s="840">
        <f>+Q565/'VVP2'!Q$341</f>
        <v>-3.4315207583913319E-3</v>
      </c>
      <c r="R580" s="840">
        <f>+R565/'VVP2'!R$341</f>
        <v>-2.7206075954414035E-3</v>
      </c>
      <c r="S580" s="840">
        <f>+S565/'VVP2'!S$341</f>
        <v>-8.1527072731817796E-3</v>
      </c>
      <c r="T580" s="2911">
        <f>+T565/'VVP2'!T$341</f>
        <v>-3.0829806938281693E-2</v>
      </c>
      <c r="U580" s="2911">
        <f>+U565/'VVP2'!U$341</f>
        <v>-9.1056855030031761E-2</v>
      </c>
      <c r="V580" s="2911">
        <f>+V565/'VVP2'!V$341</f>
        <v>-6.9006831108983049E-2</v>
      </c>
      <c r="W580" s="2911">
        <f>+W565/'VVP2'!W$341</f>
        <v>-8.93973267100064E-2</v>
      </c>
      <c r="X580" s="2911">
        <f>+X565/'VVP2'!X$341</f>
        <v>-3.1454806935728399E-2</v>
      </c>
      <c r="Y580" s="2911">
        <f>+Y565/'VVP2'!Y$341</f>
        <v>-2.6099231542649919E-2</v>
      </c>
      <c r="Z580" s="2911">
        <f>+Z565/'VVP2'!Z$341</f>
        <v>-6.1736565132403994E-3</v>
      </c>
      <c r="AA580" s="2911">
        <f>+AA565/'VVP2'!AA$341</f>
        <v>-2.4479908813542029E-3</v>
      </c>
      <c r="AB580" s="2911">
        <f>+AB565/'VVP2'!AB$341</f>
        <v>2.6631619889357105E-3</v>
      </c>
      <c r="AC580" s="2911">
        <f ca="1">+AC565/'VVP2'!AC$341</f>
        <v>8.0208555861704563E-3</v>
      </c>
      <c r="AD580" s="2911">
        <f ca="1">+AD565/'VVP2'!AD$341</f>
        <v>6.8098825894252505E-3</v>
      </c>
      <c r="AE580" s="2911">
        <f ca="1">+AE565/'VVP2'!AE$341</f>
        <v>6.0186770664689129E-3</v>
      </c>
    </row>
    <row r="581" spans="1:31" ht="12.75" customHeight="1">
      <c r="A581" s="664"/>
      <c r="B581" s="664"/>
      <c r="C581" s="774" t="s">
        <v>1769</v>
      </c>
      <c r="D581" s="806" t="s">
        <v>688</v>
      </c>
      <c r="E581" s="807" t="s">
        <v>378</v>
      </c>
      <c r="F581" s="808" t="s">
        <v>1609</v>
      </c>
      <c r="G581" s="841">
        <f>+G566/'VVP2'!G$341</f>
        <v>9.7479177748041421E-2</v>
      </c>
      <c r="H581" s="841">
        <f>+H566/'VVP2'!H$341</f>
        <v>8.5516488833299875E-2</v>
      </c>
      <c r="I581" s="841">
        <f>+I566/'VVP2'!I$341</f>
        <v>9.656065927804891E-2</v>
      </c>
      <c r="J581" s="841">
        <f>+J566/'VVP2'!J$341</f>
        <v>0.11563773809779787</v>
      </c>
      <c r="K581" s="841">
        <f>+K566/'VVP2'!K$341</f>
        <v>0.1071437561752286</v>
      </c>
      <c r="L581" s="841">
        <f>+L566/'VVP2'!L$341</f>
        <v>5.8307862401613383E-2</v>
      </c>
      <c r="M581" s="841">
        <f>+M566/'VVP2'!M$341</f>
        <v>4.7326010319475399E-2</v>
      </c>
      <c r="N581" s="841">
        <f>+N566/'VVP2'!N$341</f>
        <v>4.8123392910354244E-2</v>
      </c>
      <c r="O581" s="841">
        <f>+O566/'VVP2'!O$341</f>
        <v>6.4223012536236065E-2</v>
      </c>
      <c r="P581" s="841">
        <f>+P566/'VVP2'!P$341</f>
        <v>6.6861427853920338E-2</v>
      </c>
      <c r="Q581" s="841">
        <f>+Q566/'VVP2'!Q$341</f>
        <v>6.0712253628760586E-2</v>
      </c>
      <c r="R581" s="841">
        <f>+R566/'VVP2'!R$341</f>
        <v>8.7133365837208737E-2</v>
      </c>
      <c r="S581" s="841">
        <f>+S566/'VVP2'!S$341</f>
        <v>0.12815135744160086</v>
      </c>
      <c r="T581" s="2912">
        <f>+T566/'VVP2'!T$341</f>
        <v>0.11264584227930516</v>
      </c>
      <c r="U581" s="2912">
        <f>+U566/'VVP2'!U$341</f>
        <v>-6.4340507937309402E-2</v>
      </c>
      <c r="V581" s="2912">
        <f>+V566/'VVP2'!V$341</f>
        <v>-3.4580125490319205E-2</v>
      </c>
      <c r="W581" s="2912">
        <f>+W566/'VVP2'!W$341</f>
        <v>6.1933818742701905E-3</v>
      </c>
      <c r="X581" s="2912">
        <f>+X566/'VVP2'!X$341</f>
        <v>-1.9440166388393111E-2</v>
      </c>
      <c r="Y581" s="2912">
        <f>+Y566/'VVP2'!Y$341</f>
        <v>-4.5389470432341282E-2</v>
      </c>
      <c r="Z581" s="2912">
        <f>+Z566/'VVP2'!Z$341</f>
        <v>-6.64674411812642E-2</v>
      </c>
      <c r="AA581" s="2912">
        <f>+AA566/'VVP2'!AA$341</f>
        <v>-9.6161527854112337E-3</v>
      </c>
      <c r="AB581" s="2912">
        <f>+AB566/'VVP2'!AB$341</f>
        <v>-8.6109249121761704E-3</v>
      </c>
      <c r="AC581" s="2912">
        <f ca="1">+AC566/'VVP2'!AC$341</f>
        <v>-1.5240115533915541E-2</v>
      </c>
      <c r="AD581" s="2912">
        <f ca="1">+AD566/'VVP2'!AD$341</f>
        <v>-7.0873446493485721E-3</v>
      </c>
      <c r="AE581" s="2912">
        <f ca="1">+AE566/'VVP2'!AE$341</f>
        <v>-4.9321246848961671E-3</v>
      </c>
    </row>
    <row r="582" spans="1:31" ht="30" customHeight="1">
      <c r="AB582" s="2221"/>
      <c r="AC582" s="2221"/>
      <c r="AD582" s="2221"/>
      <c r="AE582" s="2221"/>
    </row>
    <row r="583" spans="1:31" ht="30" customHeight="1">
      <c r="AB583" s="2221"/>
      <c r="AC583" s="2221"/>
      <c r="AD583" s="2221"/>
      <c r="AE583" s="2221"/>
    </row>
    <row r="584" spans="1:31" ht="22.5" customHeight="1">
      <c r="A584" s="574"/>
      <c r="B584" s="574"/>
      <c r="C584" s="3752" t="s">
        <v>910</v>
      </c>
      <c r="D584" s="3752"/>
      <c r="E584" s="3752"/>
      <c r="F584" s="3752"/>
      <c r="AB584" s="2221"/>
      <c r="AC584" s="2221"/>
      <c r="AD584" s="2221"/>
      <c r="AE584" s="2221"/>
    </row>
    <row r="585" spans="1:31">
      <c r="AB585" s="2221"/>
      <c r="AC585" s="2221"/>
      <c r="AD585" s="2221"/>
      <c r="AE585" s="2221"/>
    </row>
    <row r="586" spans="1:31" ht="12.75" customHeight="1">
      <c r="A586" s="664"/>
      <c r="B586" s="664"/>
      <c r="C586" s="774"/>
      <c r="D586" s="695"/>
      <c r="E586" s="696" t="s">
        <v>964</v>
      </c>
      <c r="F586" s="697"/>
      <c r="G586" s="698">
        <f>+InputY!$G$3</f>
        <v>1995</v>
      </c>
      <c r="H586" s="698">
        <f>+G586+1</f>
        <v>1996</v>
      </c>
      <c r="I586" s="698">
        <f t="shared" ref="I586:O586" si="528">+H586+1</f>
        <v>1997</v>
      </c>
      <c r="J586" s="698">
        <f t="shared" si="528"/>
        <v>1998</v>
      </c>
      <c r="K586" s="698">
        <f>+J586+1</f>
        <v>1999</v>
      </c>
      <c r="L586" s="698">
        <f t="shared" si="528"/>
        <v>2000</v>
      </c>
      <c r="M586" s="698">
        <f t="shared" si="528"/>
        <v>2001</v>
      </c>
      <c r="N586" s="698">
        <f t="shared" si="528"/>
        <v>2002</v>
      </c>
      <c r="O586" s="698">
        <f t="shared" si="528"/>
        <v>2003</v>
      </c>
      <c r="P586" s="698">
        <f t="shared" ref="P586:W586" si="529">+O586+1</f>
        <v>2004</v>
      </c>
      <c r="Q586" s="698">
        <f t="shared" si="529"/>
        <v>2005</v>
      </c>
      <c r="R586" s="698">
        <f t="shared" si="529"/>
        <v>2006</v>
      </c>
      <c r="S586" s="698">
        <f t="shared" si="529"/>
        <v>2007</v>
      </c>
      <c r="T586" s="2210">
        <f t="shared" si="529"/>
        <v>2008</v>
      </c>
      <c r="U586" s="2210">
        <f t="shared" si="529"/>
        <v>2009</v>
      </c>
      <c r="V586" s="2210">
        <f t="shared" si="529"/>
        <v>2010</v>
      </c>
      <c r="W586" s="2210">
        <f t="shared" si="529"/>
        <v>2011</v>
      </c>
      <c r="X586" s="2210">
        <f t="shared" ref="X586:AE586" si="530">+W586+1</f>
        <v>2012</v>
      </c>
      <c r="Y586" s="2210">
        <f t="shared" si="530"/>
        <v>2013</v>
      </c>
      <c r="Z586" s="2210">
        <f t="shared" si="530"/>
        <v>2014</v>
      </c>
      <c r="AA586" s="2210">
        <f t="shared" si="530"/>
        <v>2015</v>
      </c>
      <c r="AB586" s="2210">
        <f t="shared" si="530"/>
        <v>2016</v>
      </c>
      <c r="AC586" s="2210">
        <f t="shared" si="530"/>
        <v>2017</v>
      </c>
      <c r="AD586" s="2210">
        <f t="shared" si="530"/>
        <v>2018</v>
      </c>
      <c r="AE586" s="2210">
        <f t="shared" si="530"/>
        <v>2019</v>
      </c>
    </row>
    <row r="587" spans="1:31">
      <c r="C587" s="1316" t="s">
        <v>1767</v>
      </c>
      <c r="D587" s="1317" t="s">
        <v>687</v>
      </c>
      <c r="E587" s="1318" t="s">
        <v>709</v>
      </c>
      <c r="F587" s="1319" t="s">
        <v>507</v>
      </c>
      <c r="G587" s="1320">
        <f t="shared" ref="G587:L587" si="531">+G565</f>
        <v>-0.12010999999999949</v>
      </c>
      <c r="H587" s="1320">
        <f t="shared" si="531"/>
        <v>-0.31566000000000072</v>
      </c>
      <c r="I587" s="1320">
        <f t="shared" si="531"/>
        <v>-1.3780200000000002</v>
      </c>
      <c r="J587" s="1320">
        <f t="shared" si="531"/>
        <v>-0.39488000000000023</v>
      </c>
      <c r="K587" s="1320">
        <f t="shared" si="531"/>
        <v>-0.35872999999999944</v>
      </c>
      <c r="L587" s="1320">
        <f t="shared" si="531"/>
        <v>-0.42574999999999952</v>
      </c>
      <c r="M587" s="1320">
        <f>+M565</f>
        <v>-0.50059999999999971</v>
      </c>
      <c r="N587" s="1320">
        <f>+N565</f>
        <v>-0.28202999999999956</v>
      </c>
      <c r="O587" s="1320">
        <f>+O565</f>
        <v>-0.21074999999999994</v>
      </c>
      <c r="P587" s="1320">
        <f t="shared" ref="P587:W587" si="532">+P565</f>
        <v>-0.25391999999999942</v>
      </c>
      <c r="Q587" s="1320">
        <f t="shared" si="532"/>
        <v>-7.2070000000000189E-2</v>
      </c>
      <c r="R587" s="1320">
        <f t="shared" si="532"/>
        <v>-6.5510000000000734E-2</v>
      </c>
      <c r="S587" s="1320">
        <f t="shared" si="532"/>
        <v>-0.23675999999999919</v>
      </c>
      <c r="T587" s="1320">
        <f t="shared" si="532"/>
        <v>-1.008020000000001</v>
      </c>
      <c r="U587" s="1320">
        <f t="shared" si="532"/>
        <v>-2.4525999999999999</v>
      </c>
      <c r="V587" s="2868">
        <f>+V565</f>
        <v>-1.9340999999999999</v>
      </c>
      <c r="W587" s="2868">
        <f t="shared" si="532"/>
        <v>-2.7959299999999976</v>
      </c>
      <c r="X587" s="2868">
        <f t="shared" ref="X587:AC587" si="533">+X565</f>
        <v>-1.04897</v>
      </c>
      <c r="Y587" s="2868">
        <f t="shared" si="533"/>
        <v>-0.91242000000000134</v>
      </c>
      <c r="Z587" s="2868">
        <f>+Z565</f>
        <v>-0.22575999999999863</v>
      </c>
      <c r="AA587" s="2868">
        <f t="shared" si="533"/>
        <v>-9.1620000000000035E-2</v>
      </c>
      <c r="AB587" s="2868">
        <f t="shared" si="533"/>
        <v>0.10298000000000251</v>
      </c>
      <c r="AC587" s="2868">
        <f t="shared" ca="1" si="533"/>
        <v>0.33510809708063016</v>
      </c>
      <c r="AD587" s="2868">
        <f ca="1">+AD565</f>
        <v>0.30107552186732556</v>
      </c>
      <c r="AE587" s="2868">
        <f ca="1">+AE565</f>
        <v>0.28092927478639473</v>
      </c>
    </row>
    <row r="588" spans="1:31">
      <c r="C588" s="1321" t="s">
        <v>1767</v>
      </c>
      <c r="D588" s="1322" t="s">
        <v>687</v>
      </c>
      <c r="E588" s="1323" t="s">
        <v>210</v>
      </c>
      <c r="F588" s="1324" t="s">
        <v>211</v>
      </c>
      <c r="G588" s="1323">
        <f t="shared" ref="G588:O588" si="534">+G164</f>
        <v>0</v>
      </c>
      <c r="H588" s="1323">
        <f t="shared" si="534"/>
        <v>0</v>
      </c>
      <c r="I588" s="1323">
        <f t="shared" si="534"/>
        <v>0</v>
      </c>
      <c r="J588" s="1323">
        <f t="shared" si="534"/>
        <v>0</v>
      </c>
      <c r="K588" s="1323">
        <f t="shared" si="534"/>
        <v>0</v>
      </c>
      <c r="L588" s="1323">
        <f t="shared" si="534"/>
        <v>0</v>
      </c>
      <c r="M588" s="1323">
        <f t="shared" si="534"/>
        <v>0</v>
      </c>
      <c r="N588" s="1323">
        <f t="shared" si="534"/>
        <v>0</v>
      </c>
      <c r="O588" s="1323">
        <f t="shared" si="534"/>
        <v>0</v>
      </c>
      <c r="P588" s="1323">
        <f t="shared" ref="P588:W588" si="535">+P164</f>
        <v>0</v>
      </c>
      <c r="Q588" s="1323">
        <f t="shared" si="535"/>
        <v>0</v>
      </c>
      <c r="R588" s="1323">
        <f t="shared" si="535"/>
        <v>0</v>
      </c>
      <c r="S588" s="1323">
        <f t="shared" si="535"/>
        <v>0</v>
      </c>
      <c r="T588" s="1323">
        <f t="shared" si="535"/>
        <v>0</v>
      </c>
      <c r="U588" s="3135">
        <f t="shared" si="535"/>
        <v>0</v>
      </c>
      <c r="V588" s="2869">
        <f t="shared" si="535"/>
        <v>0</v>
      </c>
      <c r="W588" s="2869">
        <f t="shared" si="535"/>
        <v>0</v>
      </c>
      <c r="X588" s="3305">
        <f t="shared" ref="X588:AC588" si="536">+X164</f>
        <v>0</v>
      </c>
      <c r="Y588" s="2869">
        <f t="shared" si="536"/>
        <v>0</v>
      </c>
      <c r="Z588" s="2869">
        <f t="shared" si="536"/>
        <v>0</v>
      </c>
      <c r="AA588" s="2869">
        <f t="shared" si="536"/>
        <v>0</v>
      </c>
      <c r="AB588" s="2869">
        <f t="shared" si="536"/>
        <v>0</v>
      </c>
      <c r="AC588" s="2869">
        <f t="shared" si="536"/>
        <v>0</v>
      </c>
      <c r="AD588" s="2869">
        <f>+AD164</f>
        <v>0</v>
      </c>
      <c r="AE588" s="2869">
        <f>+AE164</f>
        <v>0</v>
      </c>
    </row>
    <row r="589" spans="1:31">
      <c r="B589" s="663">
        <v>137</v>
      </c>
      <c r="C589" s="694" t="s">
        <v>1769</v>
      </c>
      <c r="D589" s="769" t="s">
        <v>687</v>
      </c>
      <c r="E589" s="1313" t="s">
        <v>585</v>
      </c>
      <c r="F589" s="771" t="s">
        <v>1681</v>
      </c>
      <c r="G589" s="1314">
        <f t="shared" ref="G589:N589" si="537">+G587+G588</f>
        <v>-0.12010999999999949</v>
      </c>
      <c r="H589" s="1314">
        <f t="shared" si="537"/>
        <v>-0.31566000000000072</v>
      </c>
      <c r="I589" s="1314">
        <f t="shared" si="537"/>
        <v>-1.3780200000000002</v>
      </c>
      <c r="J589" s="1314">
        <f t="shared" si="537"/>
        <v>-0.39488000000000023</v>
      </c>
      <c r="K589" s="1314">
        <f t="shared" si="537"/>
        <v>-0.35872999999999944</v>
      </c>
      <c r="L589" s="1314">
        <f t="shared" si="537"/>
        <v>-0.42574999999999952</v>
      </c>
      <c r="M589" s="1314">
        <f t="shared" si="537"/>
        <v>-0.50059999999999971</v>
      </c>
      <c r="N589" s="1314">
        <f t="shared" si="537"/>
        <v>-0.28202999999999956</v>
      </c>
      <c r="O589" s="1314">
        <f t="shared" ref="O589:Y589" si="538">+O587+O588</f>
        <v>-0.21074999999999994</v>
      </c>
      <c r="P589" s="1314">
        <f t="shared" si="538"/>
        <v>-0.25391999999999942</v>
      </c>
      <c r="Q589" s="1314">
        <f t="shared" si="538"/>
        <v>-7.2070000000000189E-2</v>
      </c>
      <c r="R589" s="1314">
        <f t="shared" si="538"/>
        <v>-6.5510000000000734E-2</v>
      </c>
      <c r="S589" s="1314">
        <f t="shared" si="538"/>
        <v>-0.23675999999999919</v>
      </c>
      <c r="T589" s="1314">
        <f>+T587+T588</f>
        <v>-1.008020000000001</v>
      </c>
      <c r="U589" s="1314">
        <f>+U587+U588</f>
        <v>-2.4525999999999999</v>
      </c>
      <c r="V589" s="3137">
        <f t="shared" si="538"/>
        <v>-1.9340999999999999</v>
      </c>
      <c r="W589" s="2870">
        <f t="shared" si="538"/>
        <v>-2.7959299999999976</v>
      </c>
      <c r="X589" s="3303">
        <f>+X587+X588</f>
        <v>-1.04897</v>
      </c>
      <c r="Y589" s="3304">
        <f t="shared" si="538"/>
        <v>-0.91242000000000134</v>
      </c>
      <c r="Z589" s="3304">
        <f t="shared" ref="Z589:AE589" si="539">+Z587+Z588</f>
        <v>-0.22575999999999863</v>
      </c>
      <c r="AA589" s="3304">
        <f t="shared" si="539"/>
        <v>-9.1620000000000035E-2</v>
      </c>
      <c r="AB589" s="3304">
        <f t="shared" si="539"/>
        <v>0.10298000000000251</v>
      </c>
      <c r="AC589" s="3304">
        <f t="shared" ca="1" si="539"/>
        <v>0.33510809708063016</v>
      </c>
      <c r="AD589" s="3304">
        <f t="shared" ca="1" si="539"/>
        <v>0.30107552186732556</v>
      </c>
      <c r="AE589" s="3304">
        <f t="shared" ca="1" si="539"/>
        <v>0.28092927478639473</v>
      </c>
    </row>
    <row r="590" spans="1:31">
      <c r="Q590" s="699"/>
      <c r="R590" s="699"/>
      <c r="S590" s="3120" t="s">
        <v>1020</v>
      </c>
      <c r="T590" s="3120">
        <v>-3.6469</v>
      </c>
      <c r="U590" s="3120"/>
      <c r="V590" s="3120"/>
      <c r="AB590" s="2221"/>
      <c r="AC590" s="2221"/>
      <c r="AD590" s="2221"/>
      <c r="AE590" s="2221"/>
    </row>
    <row r="591" spans="1:31" ht="12.75" customHeight="1">
      <c r="A591" s="664"/>
      <c r="B591" s="664"/>
      <c r="C591" s="774"/>
      <c r="D591" s="742"/>
      <c r="E591" s="743" t="s">
        <v>576</v>
      </c>
      <c r="F591" s="744"/>
      <c r="G591" s="745">
        <f>+InputY!$G$3</f>
        <v>1995</v>
      </c>
      <c r="H591" s="745">
        <f>+G591+1</f>
        <v>1996</v>
      </c>
      <c r="I591" s="745">
        <f t="shared" ref="I591:O591" si="540">+H591+1</f>
        <v>1997</v>
      </c>
      <c r="J591" s="745">
        <f t="shared" si="540"/>
        <v>1998</v>
      </c>
      <c r="K591" s="745">
        <f>+J591+1</f>
        <v>1999</v>
      </c>
      <c r="L591" s="745">
        <f t="shared" si="540"/>
        <v>2000</v>
      </c>
      <c r="M591" s="745">
        <f t="shared" si="540"/>
        <v>2001</v>
      </c>
      <c r="N591" s="745">
        <f t="shared" si="540"/>
        <v>2002</v>
      </c>
      <c r="O591" s="745">
        <f t="shared" si="540"/>
        <v>2003</v>
      </c>
      <c r="P591" s="745">
        <f t="shared" ref="P591:W591" si="541">+O591+1</f>
        <v>2004</v>
      </c>
      <c r="Q591" s="745">
        <f t="shared" si="541"/>
        <v>2005</v>
      </c>
      <c r="R591" s="745">
        <f t="shared" si="541"/>
        <v>2006</v>
      </c>
      <c r="S591" s="745">
        <f t="shared" si="541"/>
        <v>2007</v>
      </c>
      <c r="T591" s="2211">
        <f t="shared" si="541"/>
        <v>2008</v>
      </c>
      <c r="U591" s="2211">
        <f t="shared" si="541"/>
        <v>2009</v>
      </c>
      <c r="V591" s="2211">
        <f t="shared" si="541"/>
        <v>2010</v>
      </c>
      <c r="W591" s="2211">
        <f t="shared" si="541"/>
        <v>2011</v>
      </c>
      <c r="X591" s="2211">
        <f t="shared" ref="X591:AE591" si="542">+W591+1</f>
        <v>2012</v>
      </c>
      <c r="Y591" s="2211">
        <f t="shared" si="542"/>
        <v>2013</v>
      </c>
      <c r="Z591" s="2211">
        <f t="shared" si="542"/>
        <v>2014</v>
      </c>
      <c r="AA591" s="2211">
        <f t="shared" si="542"/>
        <v>2015</v>
      </c>
      <c r="AB591" s="2211">
        <f t="shared" si="542"/>
        <v>2016</v>
      </c>
      <c r="AC591" s="2211">
        <f t="shared" si="542"/>
        <v>2017</v>
      </c>
      <c r="AD591" s="2211">
        <f t="shared" si="542"/>
        <v>2018</v>
      </c>
      <c r="AE591" s="2211">
        <f t="shared" si="542"/>
        <v>2019</v>
      </c>
    </row>
    <row r="592" spans="1:31" ht="12.75" customHeight="1">
      <c r="A592" s="664"/>
      <c r="B592" s="664"/>
      <c r="C592" s="794" t="s">
        <v>1767</v>
      </c>
      <c r="D592" s="689" t="s">
        <v>687</v>
      </c>
      <c r="E592" s="738" t="s">
        <v>709</v>
      </c>
      <c r="F592" s="733" t="s">
        <v>507</v>
      </c>
      <c r="G592" s="739"/>
      <c r="H592" s="739">
        <f>(H587/G587-1)*100</f>
        <v>162.80909166597456</v>
      </c>
      <c r="I592" s="739">
        <f t="shared" ref="I592:S592" si="543">(I587/H587-1)*100</f>
        <v>336.55198631438799</v>
      </c>
      <c r="J592" s="739">
        <f t="shared" si="543"/>
        <v>-71.344392679351515</v>
      </c>
      <c r="K592" s="739">
        <f>(K587/J587-1)*100</f>
        <v>-9.1546799027554577</v>
      </c>
      <c r="L592" s="739">
        <f t="shared" si="543"/>
        <v>18.682574638307404</v>
      </c>
      <c r="M592" s="739">
        <f t="shared" si="543"/>
        <v>17.580739870816274</v>
      </c>
      <c r="N592" s="739">
        <f t="shared" si="543"/>
        <v>-43.6616060727128</v>
      </c>
      <c r="O592" s="739">
        <f t="shared" si="543"/>
        <v>-25.273907031166797</v>
      </c>
      <c r="P592" s="739">
        <f t="shared" si="543"/>
        <v>20.483985765124313</v>
      </c>
      <c r="Q592" s="739">
        <f t="shared" si="543"/>
        <v>-71.617044738500169</v>
      </c>
      <c r="R592" s="739">
        <f t="shared" si="543"/>
        <v>-9.1022616900228055</v>
      </c>
      <c r="S592" s="739">
        <f t="shared" si="543"/>
        <v>261.4104716837071</v>
      </c>
      <c r="T592" s="2268">
        <f t="shared" ref="T592:AE593" si="544">(T587/S587-1)*100</f>
        <v>325.75603987160184</v>
      </c>
      <c r="U592" s="2268">
        <f>(U587/T587-1)*100</f>
        <v>143.30866451062451</v>
      </c>
      <c r="V592" s="2268">
        <f t="shared" si="544"/>
        <v>-21.140830139443857</v>
      </c>
      <c r="W592" s="2268">
        <f t="shared" si="544"/>
        <v>44.559743549971451</v>
      </c>
      <c r="X592" s="2268">
        <f t="shared" si="544"/>
        <v>-62.482250986254996</v>
      </c>
      <c r="Y592" s="2268">
        <f t="shared" si="544"/>
        <v>-13.017531483264399</v>
      </c>
      <c r="Z592" s="2268">
        <f t="shared" si="544"/>
        <v>-75.257008833651355</v>
      </c>
      <c r="AA592" s="2268">
        <f t="shared" si="544"/>
        <v>-59.417080085045804</v>
      </c>
      <c r="AB592" s="2268">
        <f t="shared" si="544"/>
        <v>-212.3990395110265</v>
      </c>
      <c r="AC592" s="2268">
        <f ca="1">(AC587/AB587-1)*100</f>
        <v>225.41085364208774</v>
      </c>
      <c r="AD592" s="2268">
        <f ca="1">(AD587/AC587-1)*100</f>
        <v>-10.15570065593373</v>
      </c>
      <c r="AE592" s="2268">
        <f ca="1">(AE587/AD587-1)*100</f>
        <v>-6.6914264421033316</v>
      </c>
    </row>
    <row r="593" spans="1:31" ht="12.75" customHeight="1">
      <c r="A593" s="664"/>
      <c r="B593" s="664"/>
      <c r="C593" s="796" t="s">
        <v>1767</v>
      </c>
      <c r="D593" s="691" t="s">
        <v>687</v>
      </c>
      <c r="E593" s="797" t="s">
        <v>210</v>
      </c>
      <c r="F593" s="736" t="s">
        <v>211</v>
      </c>
      <c r="G593" s="741"/>
      <c r="H593" s="741" t="e">
        <f t="shared" ref="H593:AE594" si="545">(H588/G588-1)*100</f>
        <v>#DIV/0!</v>
      </c>
      <c r="I593" s="741" t="e">
        <f t="shared" si="545"/>
        <v>#DIV/0!</v>
      </c>
      <c r="J593" s="741" t="e">
        <f t="shared" si="545"/>
        <v>#DIV/0!</v>
      </c>
      <c r="K593" s="741" t="e">
        <f>(K588/J588-1)*100</f>
        <v>#DIV/0!</v>
      </c>
      <c r="L593" s="741" t="e">
        <f t="shared" si="545"/>
        <v>#DIV/0!</v>
      </c>
      <c r="M593" s="741" t="e">
        <f t="shared" si="545"/>
        <v>#DIV/0!</v>
      </c>
      <c r="N593" s="741" t="e">
        <f t="shared" si="545"/>
        <v>#DIV/0!</v>
      </c>
      <c r="O593" s="741" t="e">
        <f t="shared" si="545"/>
        <v>#DIV/0!</v>
      </c>
      <c r="P593" s="741" t="e">
        <f t="shared" si="545"/>
        <v>#DIV/0!</v>
      </c>
      <c r="Q593" s="741" t="e">
        <f t="shared" si="545"/>
        <v>#DIV/0!</v>
      </c>
      <c r="R593" s="741" t="e">
        <f t="shared" si="545"/>
        <v>#DIV/0!</v>
      </c>
      <c r="S593" s="741" t="e">
        <f t="shared" si="545"/>
        <v>#DIV/0!</v>
      </c>
      <c r="T593" s="2234" t="e">
        <f t="shared" si="544"/>
        <v>#DIV/0!</v>
      </c>
      <c r="U593" s="2234" t="e">
        <f t="shared" si="544"/>
        <v>#DIV/0!</v>
      </c>
      <c r="V593" s="2234" t="e">
        <f t="shared" si="544"/>
        <v>#DIV/0!</v>
      </c>
      <c r="W593" s="2234" t="e">
        <f t="shared" si="544"/>
        <v>#DIV/0!</v>
      </c>
      <c r="X593" s="2234" t="e">
        <f t="shared" si="544"/>
        <v>#DIV/0!</v>
      </c>
      <c r="Y593" s="2234" t="e">
        <f t="shared" si="544"/>
        <v>#DIV/0!</v>
      </c>
      <c r="Z593" s="2234" t="e">
        <f t="shared" si="544"/>
        <v>#DIV/0!</v>
      </c>
      <c r="AA593" s="2234" t="e">
        <f t="shared" si="544"/>
        <v>#DIV/0!</v>
      </c>
      <c r="AB593" s="2234" t="e">
        <f t="shared" si="544"/>
        <v>#DIV/0!</v>
      </c>
      <c r="AC593" s="2234" t="e">
        <f t="shared" si="544"/>
        <v>#DIV/0!</v>
      </c>
      <c r="AD593" s="2234" t="e">
        <f t="shared" si="544"/>
        <v>#DIV/0!</v>
      </c>
      <c r="AE593" s="2234" t="e">
        <f t="shared" si="544"/>
        <v>#DIV/0!</v>
      </c>
    </row>
    <row r="594" spans="1:31" ht="12.75" customHeight="1">
      <c r="A594" s="664"/>
      <c r="B594" s="664"/>
      <c r="C594" s="774" t="s">
        <v>1769</v>
      </c>
      <c r="D594" s="717" t="s">
        <v>687</v>
      </c>
      <c r="E594" s="722" t="s">
        <v>585</v>
      </c>
      <c r="F594" s="723" t="s">
        <v>1681</v>
      </c>
      <c r="G594" s="721"/>
      <c r="H594" s="721">
        <f t="shared" si="545"/>
        <v>162.80909166597456</v>
      </c>
      <c r="I594" s="721">
        <f t="shared" si="545"/>
        <v>336.55198631438799</v>
      </c>
      <c r="J594" s="721">
        <f t="shared" si="545"/>
        <v>-71.344392679351515</v>
      </c>
      <c r="K594" s="721">
        <f>(K589/J589-1)*100</f>
        <v>-9.1546799027554577</v>
      </c>
      <c r="L594" s="721">
        <f t="shared" si="545"/>
        <v>18.682574638307404</v>
      </c>
      <c r="M594" s="721">
        <f t="shared" si="545"/>
        <v>17.580739870816274</v>
      </c>
      <c r="N594" s="721">
        <f t="shared" si="545"/>
        <v>-43.6616060727128</v>
      </c>
      <c r="O594" s="721">
        <f t="shared" si="545"/>
        <v>-25.273907031166797</v>
      </c>
      <c r="P594" s="721">
        <f t="shared" si="545"/>
        <v>20.483985765124313</v>
      </c>
      <c r="Q594" s="721">
        <f>(Q589/P589-1)*100</f>
        <v>-71.617044738500169</v>
      </c>
      <c r="R594" s="721">
        <f>(R589/Q589-1)*100</f>
        <v>-9.1022616900228055</v>
      </c>
      <c r="S594" s="721">
        <f>(S589/R589-1)*100</f>
        <v>261.4104716837071</v>
      </c>
      <c r="T594" s="721">
        <f>(T589/S589-1)*100</f>
        <v>325.75603987160184</v>
      </c>
      <c r="U594" s="2260">
        <f t="shared" si="545"/>
        <v>143.30866451062451</v>
      </c>
      <c r="V594" s="2260">
        <f t="shared" si="545"/>
        <v>-21.140830139443857</v>
      </c>
      <c r="W594" s="2260">
        <f t="shared" si="545"/>
        <v>44.559743549971451</v>
      </c>
      <c r="X594" s="2260">
        <f t="shared" si="545"/>
        <v>-62.482250986254996</v>
      </c>
      <c r="Y594" s="2260">
        <f t="shared" si="545"/>
        <v>-13.017531483264399</v>
      </c>
      <c r="Z594" s="2260">
        <f t="shared" si="545"/>
        <v>-75.257008833651355</v>
      </c>
      <c r="AA594" s="2260">
        <f t="shared" si="545"/>
        <v>-59.417080085045804</v>
      </c>
      <c r="AB594" s="2260">
        <f t="shared" si="545"/>
        <v>-212.3990395110265</v>
      </c>
      <c r="AC594" s="2260">
        <f t="shared" ca="1" si="545"/>
        <v>225.41085364208774</v>
      </c>
      <c r="AD594" s="2260">
        <f t="shared" ca="1" si="545"/>
        <v>-10.15570065593373</v>
      </c>
      <c r="AE594" s="2260">
        <f t="shared" ca="1" si="545"/>
        <v>-6.6914264421033316</v>
      </c>
    </row>
    <row r="595" spans="1:31">
      <c r="Q595" s="699"/>
      <c r="R595" s="699"/>
      <c r="S595" s="699"/>
      <c r="AB595" s="2221"/>
      <c r="AC595" s="2221"/>
      <c r="AD595" s="2221"/>
      <c r="AE595" s="2221"/>
    </row>
    <row r="596" spans="1:31" ht="12.75" customHeight="1">
      <c r="A596" s="664"/>
      <c r="B596" s="664"/>
      <c r="C596" s="774"/>
      <c r="D596" s="818"/>
      <c r="E596" s="819" t="s">
        <v>577</v>
      </c>
      <c r="F596" s="820"/>
      <c r="G596" s="821">
        <f>+InputY!$G$3</f>
        <v>1995</v>
      </c>
      <c r="H596" s="821">
        <f>+G596+1</f>
        <v>1996</v>
      </c>
      <c r="I596" s="821">
        <f t="shared" ref="I596:O596" si="546">+H596+1</f>
        <v>1997</v>
      </c>
      <c r="J596" s="821">
        <f t="shared" si="546"/>
        <v>1998</v>
      </c>
      <c r="K596" s="821">
        <f>+J596+1</f>
        <v>1999</v>
      </c>
      <c r="L596" s="821">
        <f t="shared" si="546"/>
        <v>2000</v>
      </c>
      <c r="M596" s="821">
        <f t="shared" si="546"/>
        <v>2001</v>
      </c>
      <c r="N596" s="821">
        <f t="shared" si="546"/>
        <v>2002</v>
      </c>
      <c r="O596" s="821">
        <f t="shared" si="546"/>
        <v>2003</v>
      </c>
      <c r="P596" s="821">
        <f t="shared" ref="P596:W596" si="547">+O596+1</f>
        <v>2004</v>
      </c>
      <c r="Q596" s="821">
        <f t="shared" si="547"/>
        <v>2005</v>
      </c>
      <c r="R596" s="821">
        <f t="shared" si="547"/>
        <v>2006</v>
      </c>
      <c r="S596" s="821">
        <f t="shared" si="547"/>
        <v>2007</v>
      </c>
      <c r="T596" s="2255">
        <f t="shared" si="547"/>
        <v>2008</v>
      </c>
      <c r="U596" s="2255">
        <f t="shared" si="547"/>
        <v>2009</v>
      </c>
      <c r="V596" s="2255">
        <f t="shared" si="547"/>
        <v>2010</v>
      </c>
      <c r="W596" s="2255">
        <f t="shared" si="547"/>
        <v>2011</v>
      </c>
      <c r="X596" s="2255">
        <f t="shared" ref="X596:AE596" si="548">+W596+1</f>
        <v>2012</v>
      </c>
      <c r="Y596" s="2255">
        <f t="shared" si="548"/>
        <v>2013</v>
      </c>
      <c r="Z596" s="2255">
        <f t="shared" si="548"/>
        <v>2014</v>
      </c>
      <c r="AA596" s="2255">
        <f t="shared" si="548"/>
        <v>2015</v>
      </c>
      <c r="AB596" s="2255">
        <f t="shared" si="548"/>
        <v>2016</v>
      </c>
      <c r="AC596" s="2255">
        <f t="shared" si="548"/>
        <v>2017</v>
      </c>
      <c r="AD596" s="2255">
        <f t="shared" si="548"/>
        <v>2018</v>
      </c>
      <c r="AE596" s="2255">
        <f t="shared" si="548"/>
        <v>2019</v>
      </c>
    </row>
    <row r="597" spans="1:31" ht="12.75" customHeight="1">
      <c r="A597" s="664"/>
      <c r="B597" s="664"/>
      <c r="C597" s="822" t="s">
        <v>1767</v>
      </c>
      <c r="D597" s="823" t="s">
        <v>687</v>
      </c>
      <c r="E597" s="824" t="s">
        <v>709</v>
      </c>
      <c r="F597" s="825" t="s">
        <v>507</v>
      </c>
      <c r="G597" s="838">
        <f>+G587/'VVP2'!G$341</f>
        <v>-1.5469062518916084E-2</v>
      </c>
      <c r="H597" s="838">
        <f>+H587/'VVP2'!H$341</f>
        <v>-3.2494865737094931E-2</v>
      </c>
      <c r="I597" s="838">
        <f>+I587/'VVP2'!I$341</f>
        <v>-0.11753497425014971</v>
      </c>
      <c r="J597" s="838">
        <f>+J587/'VVP2'!J$341</f>
        <v>-3.0324160111073927E-2</v>
      </c>
      <c r="K597" s="838">
        <f>+K587/'VVP2'!K$341</f>
        <v>-2.8219614728667491E-2</v>
      </c>
      <c r="L597" s="838">
        <f>+L587/'VVP2'!L$341</f>
        <v>-3.1848015212242765E-2</v>
      </c>
      <c r="M597" s="838">
        <f>+M587/'VVP2'!M$341</f>
        <v>-3.5267131259105605E-2</v>
      </c>
      <c r="N597" s="838">
        <f>+N587/'VVP2'!N$341</f>
        <v>-1.8551956727230361E-2</v>
      </c>
      <c r="O597" s="838">
        <f>+O587/'VVP2'!O$341</f>
        <v>-1.2643624373668142E-2</v>
      </c>
      <c r="P597" s="838">
        <f>+P587/'VVP2'!P$341</f>
        <v>-1.3922792980701504E-2</v>
      </c>
      <c r="Q597" s="838">
        <f>+Q587/'VVP2'!Q$341</f>
        <v>-3.4315207583913319E-3</v>
      </c>
      <c r="R597" s="838">
        <f>+R587/'VVP2'!R$341</f>
        <v>-2.7206075954414035E-3</v>
      </c>
      <c r="S597" s="838">
        <f>+S587/'VVP2'!S$341</f>
        <v>-8.1527072731817796E-3</v>
      </c>
      <c r="T597" s="838">
        <f>+T587/'VVP2'!T$341</f>
        <v>-3.0829806938281693E-2</v>
      </c>
      <c r="U597" s="2235">
        <f>+U587/'VVP2'!U$341</f>
        <v>-9.1056855030031761E-2</v>
      </c>
      <c r="V597" s="2235">
        <f>+V587/'VVP2'!V$341</f>
        <v>-6.9006831108983049E-2</v>
      </c>
      <c r="W597" s="2235">
        <f>+W587/'VVP2'!W$341</f>
        <v>-8.93973267100064E-2</v>
      </c>
      <c r="X597" s="2235">
        <f>+X587/'VVP2'!X$341</f>
        <v>-3.1454806935728399E-2</v>
      </c>
      <c r="Y597" s="2235">
        <f>+Y587/'VVP2'!Y$341</f>
        <v>-2.6099231542649919E-2</v>
      </c>
      <c r="Z597" s="2235">
        <f>+Z587/'VVP2'!Z$341</f>
        <v>-6.1736565132403994E-3</v>
      </c>
      <c r="AA597" s="2235">
        <f>+AA587/'VVP2'!AA$341</f>
        <v>-2.4479908813542029E-3</v>
      </c>
      <c r="AB597" s="2235">
        <f>+AB587/'VVP2'!AB$341</f>
        <v>2.6631619889357105E-3</v>
      </c>
      <c r="AC597" s="2235">
        <f ca="1">+AC587/'VVP2'!AC$341</f>
        <v>8.0208555861704563E-3</v>
      </c>
      <c r="AD597" s="2235">
        <f ca="1">+AD587/'VVP2'!AD$341</f>
        <v>6.8098825894252505E-3</v>
      </c>
      <c r="AE597" s="2235">
        <f ca="1">+AE587/'VVP2'!AE$341</f>
        <v>6.0186770664689129E-3</v>
      </c>
    </row>
    <row r="598" spans="1:31" ht="12.75" customHeight="1" thickBot="1">
      <c r="A598" s="664"/>
      <c r="B598" s="664"/>
      <c r="C598" s="827" t="s">
        <v>1767</v>
      </c>
      <c r="D598" s="828" t="s">
        <v>687</v>
      </c>
      <c r="E598" s="829" t="s">
        <v>210</v>
      </c>
      <c r="F598" s="830" t="s">
        <v>211</v>
      </c>
      <c r="G598" s="840">
        <f>+G588/'VVP2'!G$341</f>
        <v>0</v>
      </c>
      <c r="H598" s="840">
        <f>+H588/'VVP2'!H$341</f>
        <v>0</v>
      </c>
      <c r="I598" s="840">
        <f>+I588/'VVP2'!I$341</f>
        <v>0</v>
      </c>
      <c r="J598" s="840">
        <f>+J588/'VVP2'!J$341</f>
        <v>0</v>
      </c>
      <c r="K598" s="840">
        <f>+K588/'VVP2'!K$341</f>
        <v>0</v>
      </c>
      <c r="L598" s="840">
        <f>+L588/'VVP2'!L$341</f>
        <v>0</v>
      </c>
      <c r="M598" s="840">
        <f>+M588/'VVP2'!M$341</f>
        <v>0</v>
      </c>
      <c r="N598" s="840">
        <f>+N588/'VVP2'!N$341</f>
        <v>0</v>
      </c>
      <c r="O598" s="840">
        <f>+O588/'VVP2'!O$341</f>
        <v>0</v>
      </c>
      <c r="P598" s="840">
        <f>+P588/'VVP2'!P$341</f>
        <v>0</v>
      </c>
      <c r="Q598" s="840">
        <f>+Q588/'VVP2'!Q$341</f>
        <v>0</v>
      </c>
      <c r="R598" s="840">
        <f>+R588/'VVP2'!R$341</f>
        <v>0</v>
      </c>
      <c r="S598" s="840">
        <f>+S588/'VVP2'!S$341</f>
        <v>0</v>
      </c>
      <c r="T598" s="840">
        <f>+T588/'VVP2'!T$341</f>
        <v>0</v>
      </c>
      <c r="U598" s="2218">
        <f>+U588/'VVP2'!U$341</f>
        <v>0</v>
      </c>
      <c r="V598" s="2218">
        <f>+V588/'VVP2'!V$341</f>
        <v>0</v>
      </c>
      <c r="W598" s="2218">
        <f>+W588/'VVP2'!W$341</f>
        <v>0</v>
      </c>
      <c r="X598" s="2218">
        <f>+X588/'VVP2'!X$341</f>
        <v>0</v>
      </c>
      <c r="Y598" s="2218">
        <f>+Y588/'VVP2'!Y$341</f>
        <v>0</v>
      </c>
      <c r="Z598" s="2218">
        <f>+Z588/'VVP2'!Z$341</f>
        <v>0</v>
      </c>
      <c r="AA598" s="2218">
        <f>+AA588/'VVP2'!AA$341</f>
        <v>0</v>
      </c>
      <c r="AB598" s="2218">
        <f>+AB588/'VVP2'!AB$341</f>
        <v>0</v>
      </c>
      <c r="AC598" s="2218">
        <f ca="1">+AC588/'VVP2'!AC$341</f>
        <v>0</v>
      </c>
      <c r="AD598" s="2218">
        <f ca="1">+AD588/'VVP2'!AD$341</f>
        <v>0</v>
      </c>
      <c r="AE598" s="2218">
        <f ca="1">+AE588/'VVP2'!AE$341</f>
        <v>0</v>
      </c>
    </row>
    <row r="599" spans="1:31" ht="12.75" customHeight="1" thickBot="1">
      <c r="A599" s="664"/>
      <c r="B599" s="664"/>
      <c r="C599" s="774" t="s">
        <v>1769</v>
      </c>
      <c r="D599" s="806" t="s">
        <v>687</v>
      </c>
      <c r="E599" s="807" t="s">
        <v>585</v>
      </c>
      <c r="F599" s="808" t="s">
        <v>1681</v>
      </c>
      <c r="G599" s="841">
        <f>+G589/'VVP2'!G$341</f>
        <v>-1.5469062518916084E-2</v>
      </c>
      <c r="H599" s="841">
        <f>+H589/'VVP2'!H$341</f>
        <v>-3.2494865737094931E-2</v>
      </c>
      <c r="I599" s="841">
        <f>+I589/'VVP2'!I$341</f>
        <v>-0.11753497425014971</v>
      </c>
      <c r="J599" s="841">
        <f>+J589/'VVP2'!J$341</f>
        <v>-3.0324160111073927E-2</v>
      </c>
      <c r="K599" s="841">
        <f>+K589/'VVP2'!K$341</f>
        <v>-2.8219614728667491E-2</v>
      </c>
      <c r="L599" s="841">
        <f>+L589/'VVP2'!L$341</f>
        <v>-3.1848015212242765E-2</v>
      </c>
      <c r="M599" s="841">
        <f>+M589/'VVP2'!M$341</f>
        <v>-3.5267131259105605E-2</v>
      </c>
      <c r="N599" s="841">
        <f>+N589/'VVP2'!N$341</f>
        <v>-1.8551956727230361E-2</v>
      </c>
      <c r="O599" s="841">
        <f>+O589/'VVP2'!O$341</f>
        <v>-1.2643624373668142E-2</v>
      </c>
      <c r="P599" s="841">
        <f>+P589/'VVP2'!P$341</f>
        <v>-1.3922792980701504E-2</v>
      </c>
      <c r="Q599" s="841">
        <f>+Q589/'VVP2'!Q$341</f>
        <v>-3.4315207583913319E-3</v>
      </c>
      <c r="R599" s="841">
        <f>+R589/'VVP2'!R$341</f>
        <v>-2.7206075954414035E-3</v>
      </c>
      <c r="S599" s="841">
        <f>+S589/'VVP2'!S$341</f>
        <v>-8.1527072731817796E-3</v>
      </c>
      <c r="T599" s="841">
        <f>+T589/'VVP2'!T$341</f>
        <v>-3.0829806938281693E-2</v>
      </c>
      <c r="U599" s="841">
        <f>+U589/'VVP2'!U$341</f>
        <v>-9.1056855030031761E-2</v>
      </c>
      <c r="V599" s="841">
        <f>+V589/'VVP2'!V$341</f>
        <v>-6.9006831108983049E-2</v>
      </c>
      <c r="W599" s="3423">
        <f>+W589/'VVP2'!W$341</f>
        <v>-8.93973267100064E-2</v>
      </c>
      <c r="X599" s="3423">
        <f>+X589/'VVP2'!X$341</f>
        <v>-3.1454806935728399E-2</v>
      </c>
      <c r="Y599" s="3423">
        <f>+Y589/'VVP2'!Y$341</f>
        <v>-2.6099231542649919E-2</v>
      </c>
      <c r="Z599" s="3423">
        <f>+Z589/'VVP2'!Z$341</f>
        <v>-6.1736565132403994E-3</v>
      </c>
      <c r="AA599" s="3423">
        <f>+AA589/'VVP2'!AA$341</f>
        <v>-2.4479908813542029E-3</v>
      </c>
      <c r="AB599" s="3423">
        <f>+AB589/'VVP2'!AB$341</f>
        <v>2.6631619889357105E-3</v>
      </c>
      <c r="AC599" s="3424">
        <f ca="1">+AC589/'VVP2'!AC$341</f>
        <v>8.0208555861704563E-3</v>
      </c>
      <c r="AD599" s="3424">
        <f ca="1">+AD589/'VVP2'!AD$341</f>
        <v>6.8098825894252505E-3</v>
      </c>
      <c r="AE599" s="3424">
        <f ca="1">+AE589/'VVP2'!AE$341</f>
        <v>6.0186770664689129E-3</v>
      </c>
    </row>
    <row r="600" spans="1:31" ht="30" customHeight="1">
      <c r="AB600">
        <v>-5.5228929272020423E-3</v>
      </c>
      <c r="AC600">
        <v>-7.4812802886114636E-3</v>
      </c>
      <c r="AD600">
        <v>-6.4220837462135557E-3</v>
      </c>
      <c r="AE600" s="3650">
        <v>-6.4220837462135557E-3</v>
      </c>
    </row>
    <row r="601" spans="1:31" ht="12.75" customHeight="1">
      <c r="A601" s="664"/>
      <c r="B601" s="664"/>
      <c r="C601" s="774"/>
      <c r="D601" s="695"/>
      <c r="E601" s="696" t="s">
        <v>166</v>
      </c>
      <c r="F601" s="697"/>
      <c r="G601" s="698">
        <f>+InputY!$G$3</f>
        <v>1995</v>
      </c>
      <c r="H601" s="698">
        <f>+G601+1</f>
        <v>1996</v>
      </c>
      <c r="I601" s="698">
        <f t="shared" ref="I601:R601" si="549">+H601+1</f>
        <v>1997</v>
      </c>
      <c r="J601" s="698">
        <f t="shared" si="549"/>
        <v>1998</v>
      </c>
      <c r="K601" s="698">
        <f>+J601+1</f>
        <v>1999</v>
      </c>
      <c r="L601" s="698">
        <f t="shared" si="549"/>
        <v>2000</v>
      </c>
      <c r="M601" s="698">
        <f t="shared" si="549"/>
        <v>2001</v>
      </c>
      <c r="N601" s="698">
        <f t="shared" si="549"/>
        <v>2002</v>
      </c>
      <c r="O601" s="698">
        <f t="shared" si="549"/>
        <v>2003</v>
      </c>
      <c r="P601" s="698">
        <f>+O601+1</f>
        <v>2004</v>
      </c>
      <c r="Q601" s="698">
        <f t="shared" si="549"/>
        <v>2005</v>
      </c>
      <c r="R601" s="2210">
        <f t="shared" si="549"/>
        <v>2006</v>
      </c>
      <c r="S601" s="2210">
        <f t="shared" ref="S601:X601" si="550">+R601+1</f>
        <v>2007</v>
      </c>
      <c r="T601" s="2210">
        <f t="shared" si="550"/>
        <v>2008</v>
      </c>
      <c r="U601" s="2210">
        <f t="shared" si="550"/>
        <v>2009</v>
      </c>
      <c r="V601" s="2210">
        <f t="shared" si="550"/>
        <v>2010</v>
      </c>
      <c r="W601" s="2210">
        <f t="shared" si="550"/>
        <v>2011</v>
      </c>
      <c r="X601" s="2210">
        <f t="shared" si="550"/>
        <v>2012</v>
      </c>
      <c r="Y601" s="2210">
        <f t="shared" ref="Y601:AE601" si="551">+X601+1</f>
        <v>2013</v>
      </c>
      <c r="Z601" s="2210">
        <f t="shared" si="551"/>
        <v>2014</v>
      </c>
      <c r="AA601" s="2210">
        <f t="shared" si="551"/>
        <v>2015</v>
      </c>
      <c r="AB601" s="2210">
        <f t="shared" si="551"/>
        <v>2016</v>
      </c>
      <c r="AC601" s="2210">
        <f t="shared" si="551"/>
        <v>2017</v>
      </c>
      <c r="AD601" s="2210">
        <f t="shared" si="551"/>
        <v>2018</v>
      </c>
      <c r="AE601" s="2210">
        <f t="shared" si="551"/>
        <v>2019</v>
      </c>
    </row>
    <row r="602" spans="1:31">
      <c r="C602" s="1079"/>
      <c r="D602" s="668" t="s">
        <v>687</v>
      </c>
      <c r="E602" s="1325" t="s">
        <v>586</v>
      </c>
      <c r="F602" s="1326" t="s">
        <v>483</v>
      </c>
      <c r="G602" s="1054"/>
      <c r="H602" s="780">
        <f>+G605</f>
        <v>0.89449999999999996</v>
      </c>
      <c r="I602" s="780">
        <f t="shared" ref="I602:P602" si="552">+H605</f>
        <v>1.3514999999999999</v>
      </c>
      <c r="J602" s="780">
        <f t="shared" si="552"/>
        <v>1.8022</v>
      </c>
      <c r="K602" s="780">
        <f>+J605</f>
        <v>2.1536999999999997</v>
      </c>
      <c r="L602" s="780">
        <f t="shared" si="552"/>
        <v>2.8855999999999997</v>
      </c>
      <c r="M602" s="780">
        <f t="shared" si="552"/>
        <v>3.14</v>
      </c>
      <c r="N602" s="780">
        <f t="shared" si="552"/>
        <v>3.2498</v>
      </c>
      <c r="O602" s="780">
        <f t="shared" si="552"/>
        <v>3.3654000000000002</v>
      </c>
      <c r="P602" s="780">
        <f t="shared" si="552"/>
        <v>3.3946999999999998</v>
      </c>
      <c r="Q602" s="780">
        <f t="shared" ref="Q602:AE602" si="553">+P605</f>
        <v>3.4045000000000001</v>
      </c>
      <c r="R602" s="780">
        <f t="shared" si="553"/>
        <v>3.7019000000000002</v>
      </c>
      <c r="S602" s="780">
        <f t="shared" si="553"/>
        <v>4.1518999999999995</v>
      </c>
      <c r="T602" s="780">
        <f t="shared" si="553"/>
        <v>4.6097000000000001</v>
      </c>
      <c r="U602" s="780">
        <f t="shared" si="553"/>
        <v>4.7621000000000002</v>
      </c>
      <c r="V602" s="780">
        <f t="shared" si="553"/>
        <v>7.5285000000000002</v>
      </c>
      <c r="W602" s="2267">
        <f t="shared" si="553"/>
        <v>10.150799999999998</v>
      </c>
      <c r="X602" s="2267">
        <f t="shared" si="553"/>
        <v>11.629200000000001</v>
      </c>
      <c r="Y602" s="2267">
        <f t="shared" si="553"/>
        <v>13.264100000000001</v>
      </c>
      <c r="Z602" s="2267">
        <f t="shared" si="553"/>
        <v>13.55</v>
      </c>
      <c r="AA602" s="2267">
        <f t="shared" si="553"/>
        <v>14.824999999999999</v>
      </c>
      <c r="AB602" s="2267">
        <f t="shared" si="553"/>
        <v>15.939500000000001</v>
      </c>
      <c r="AC602" s="2267">
        <f t="shared" si="553"/>
        <v>15.5137</v>
      </c>
      <c r="AD602" s="2267">
        <f t="shared" ca="1" si="553"/>
        <v>16.968591902919371</v>
      </c>
      <c r="AE602" s="2267">
        <f t="shared" ca="1" si="553"/>
        <v>16.367516381052045</v>
      </c>
    </row>
    <row r="603" spans="1:31">
      <c r="C603" s="1080" t="s">
        <v>401</v>
      </c>
      <c r="D603" s="674" t="s">
        <v>687</v>
      </c>
      <c r="E603" s="1327" t="str">
        <f>+E587</f>
        <v>Net-lending</v>
      </c>
      <c r="F603" s="1328" t="s">
        <v>1678</v>
      </c>
      <c r="G603" s="706">
        <f t="shared" ref="G603:O603" si="554">+G565</f>
        <v>-0.12010999999999949</v>
      </c>
      <c r="H603" s="706">
        <f t="shared" si="554"/>
        <v>-0.31566000000000072</v>
      </c>
      <c r="I603" s="706">
        <f t="shared" si="554"/>
        <v>-1.3780200000000002</v>
      </c>
      <c r="J603" s="706">
        <f t="shared" si="554"/>
        <v>-0.39488000000000023</v>
      </c>
      <c r="K603" s="706">
        <f t="shared" si="554"/>
        <v>-0.35872999999999944</v>
      </c>
      <c r="L603" s="706">
        <f t="shared" si="554"/>
        <v>-0.42574999999999952</v>
      </c>
      <c r="M603" s="706">
        <f t="shared" si="554"/>
        <v>-0.50059999999999971</v>
      </c>
      <c r="N603" s="706">
        <f t="shared" si="554"/>
        <v>-0.28202999999999956</v>
      </c>
      <c r="O603" s="706">
        <f t="shared" si="554"/>
        <v>-0.21074999999999994</v>
      </c>
      <c r="P603" s="706">
        <f t="shared" ref="P603:W603" si="555">+P565</f>
        <v>-0.25391999999999942</v>
      </c>
      <c r="Q603" s="706">
        <f t="shared" si="555"/>
        <v>-7.2070000000000189E-2</v>
      </c>
      <c r="R603" s="706">
        <f t="shared" si="555"/>
        <v>-6.5510000000000734E-2</v>
      </c>
      <c r="S603" s="706">
        <f t="shared" si="555"/>
        <v>-0.23675999999999919</v>
      </c>
      <c r="T603" s="706">
        <f t="shared" si="555"/>
        <v>-1.008020000000001</v>
      </c>
      <c r="U603" s="706">
        <f t="shared" si="555"/>
        <v>-2.4525999999999999</v>
      </c>
      <c r="V603" s="706">
        <f t="shared" si="555"/>
        <v>-1.9340999999999999</v>
      </c>
      <c r="W603" s="2265">
        <f t="shared" si="555"/>
        <v>-2.7959299999999976</v>
      </c>
      <c r="X603" s="2265">
        <f t="shared" ref="X603:AC603" si="556">+X565</f>
        <v>-1.04897</v>
      </c>
      <c r="Y603" s="2265">
        <f t="shared" si="556"/>
        <v>-0.91242000000000134</v>
      </c>
      <c r="Z603" s="2265">
        <f t="shared" si="556"/>
        <v>-0.22575999999999863</v>
      </c>
      <c r="AA603" s="2265">
        <f>+AA565</f>
        <v>-9.1620000000000035E-2</v>
      </c>
      <c r="AB603" s="2265">
        <f t="shared" si="556"/>
        <v>0.10298000000000251</v>
      </c>
      <c r="AC603" s="2265">
        <f t="shared" ca="1" si="556"/>
        <v>0.33510809708063016</v>
      </c>
      <c r="AD603" s="2265">
        <f ca="1">+AD565</f>
        <v>0.30107552186732556</v>
      </c>
      <c r="AE603" s="2265">
        <f ca="1">+AE565</f>
        <v>0.28092927478639473</v>
      </c>
    </row>
    <row r="604" spans="1:31">
      <c r="C604" s="1081" t="s">
        <v>1767</v>
      </c>
      <c r="D604" s="676" t="s">
        <v>687</v>
      </c>
      <c r="E604" s="1329" t="s">
        <v>587</v>
      </c>
      <c r="F604" s="1330" t="s">
        <v>1679</v>
      </c>
      <c r="G604" s="1225"/>
      <c r="H604" s="1133">
        <f t="shared" ref="H604:T604" si="557">H605-H602+H603</f>
        <v>0.14133999999999924</v>
      </c>
      <c r="I604" s="1133">
        <f t="shared" si="557"/>
        <v>-0.92732000000000014</v>
      </c>
      <c r="J604" s="1133">
        <f t="shared" si="557"/>
        <v>-4.3380000000000529E-2</v>
      </c>
      <c r="K604" s="1133">
        <f t="shared" si="557"/>
        <v>0.37317000000000056</v>
      </c>
      <c r="L604" s="1133">
        <f t="shared" si="557"/>
        <v>-0.17134999999999911</v>
      </c>
      <c r="M604" s="1133">
        <f t="shared" si="557"/>
        <v>-0.39079999999999981</v>
      </c>
      <c r="N604" s="1133">
        <f t="shared" si="557"/>
        <v>-0.16642999999999941</v>
      </c>
      <c r="O604" s="1133">
        <f t="shared" si="557"/>
        <v>-0.18145000000000028</v>
      </c>
      <c r="P604" s="1133">
        <f t="shared" si="557"/>
        <v>-0.24411999999999917</v>
      </c>
      <c r="Q604" s="1133">
        <f t="shared" si="557"/>
        <v>0.22532999999999992</v>
      </c>
      <c r="R604" s="1133">
        <f t="shared" si="557"/>
        <v>0.38448999999999856</v>
      </c>
      <c r="S604" s="1133">
        <f t="shared" si="557"/>
        <v>0.22104000000000146</v>
      </c>
      <c r="T604" s="1133">
        <f t="shared" si="557"/>
        <v>-0.85562000000000094</v>
      </c>
      <c r="U604" s="1438">
        <f t="shared" ref="U604:AB604" si="558">U605-U602+U603</f>
        <v>0.31380000000000008</v>
      </c>
      <c r="V604" s="1438">
        <f t="shared" si="558"/>
        <v>0.68819999999999837</v>
      </c>
      <c r="W604" s="1438">
        <f t="shared" si="558"/>
        <v>-1.3175299999999952</v>
      </c>
      <c r="X604" s="1438">
        <f t="shared" si="558"/>
        <v>0.58593000000000006</v>
      </c>
      <c r="Y604" s="1438">
        <f t="shared" si="558"/>
        <v>-0.62652000000000152</v>
      </c>
      <c r="Z604" s="1438">
        <f t="shared" si="558"/>
        <v>1.04924</v>
      </c>
      <c r="AA604" s="1438">
        <f t="shared" si="558"/>
        <v>1.0228800000000013</v>
      </c>
      <c r="AB604" s="1438">
        <f t="shared" si="558"/>
        <v>-0.32281999999999811</v>
      </c>
      <c r="AC604" s="3266">
        <v>1.79</v>
      </c>
      <c r="AD604" s="3266">
        <v>-0.3</v>
      </c>
      <c r="AE604" s="3266">
        <v>1.5</v>
      </c>
    </row>
    <row r="605" spans="1:31">
      <c r="A605" s="664">
        <f>+ROW(InputY!A175)</f>
        <v>175</v>
      </c>
      <c r="B605" s="663">
        <v>128</v>
      </c>
      <c r="C605" s="694" t="s">
        <v>1769</v>
      </c>
      <c r="D605" s="769" t="s">
        <v>687</v>
      </c>
      <c r="E605" s="1313" t="s">
        <v>588</v>
      </c>
      <c r="F605" s="1315" t="s">
        <v>1680</v>
      </c>
      <c r="G605" s="1314">
        <f>+InputY!G175/1000</f>
        <v>0.89449999999999996</v>
      </c>
      <c r="H605" s="1314">
        <f>+InputY!H175/1000</f>
        <v>1.3514999999999999</v>
      </c>
      <c r="I605" s="1314">
        <f>+InputY!I175/1000</f>
        <v>1.8022</v>
      </c>
      <c r="J605" s="1314">
        <f>+InputY!J175/1000</f>
        <v>2.1536999999999997</v>
      </c>
      <c r="K605" s="1314">
        <f>+InputY!K175/1000</f>
        <v>2.8855999999999997</v>
      </c>
      <c r="L605" s="1314">
        <f>+InputY!L175/1000</f>
        <v>3.14</v>
      </c>
      <c r="M605" s="1314">
        <f>+InputY!M175/1000</f>
        <v>3.2498</v>
      </c>
      <c r="N605" s="1314">
        <f>+InputY!N175/1000</f>
        <v>3.3654000000000002</v>
      </c>
      <c r="O605" s="1314">
        <f>+InputY!O175/1000</f>
        <v>3.3946999999999998</v>
      </c>
      <c r="P605" s="1314">
        <f>+InputY!P175/1000</f>
        <v>3.4045000000000001</v>
      </c>
      <c r="Q605" s="1314">
        <f>+InputY!Q175/1000</f>
        <v>3.7019000000000002</v>
      </c>
      <c r="R605" s="1314">
        <f>+InputY!R175/1000</f>
        <v>4.1518999999999995</v>
      </c>
      <c r="S605" s="1314">
        <f>+InputY!S175/1000</f>
        <v>4.6097000000000001</v>
      </c>
      <c r="T605" s="1314">
        <f>+InputY!T175/1000</f>
        <v>4.7621000000000002</v>
      </c>
      <c r="U605" s="1314">
        <f>+InputY!U175/1000</f>
        <v>7.5285000000000002</v>
      </c>
      <c r="V605" s="1314">
        <f>+InputY!V175/1000</f>
        <v>10.150799999999998</v>
      </c>
      <c r="W605" s="1314">
        <f>+InputY!W175/1000</f>
        <v>11.629200000000001</v>
      </c>
      <c r="X605" s="1314">
        <f>+InputY!X175/1000</f>
        <v>13.264100000000001</v>
      </c>
      <c r="Y605" s="1314">
        <f>+InputY!Y175/1000</f>
        <v>13.55</v>
      </c>
      <c r="Z605" s="1314">
        <f>+InputY!Z175/1000</f>
        <v>14.824999999999999</v>
      </c>
      <c r="AA605" s="1314">
        <f>+InputY!AA175/1000</f>
        <v>15.939500000000001</v>
      </c>
      <c r="AB605" s="1314">
        <f>+InputY!AB175/1000</f>
        <v>15.5137</v>
      </c>
      <c r="AC605" s="2296">
        <f ca="1">+AC602-AC603+AC604</f>
        <v>16.968591902919371</v>
      </c>
      <c r="AD605" s="2296">
        <f ca="1">+AD602-AD603+AD604</f>
        <v>16.367516381052045</v>
      </c>
      <c r="AE605" s="2296">
        <f ca="1">+AE602-AE603+AE604</f>
        <v>17.58658710626565</v>
      </c>
    </row>
    <row r="606" spans="1:31" ht="13.5" thickBot="1">
      <c r="D606" s="1333"/>
      <c r="E606" s="1334" t="s">
        <v>579</v>
      </c>
      <c r="F606" s="1335"/>
      <c r="G606" s="1334"/>
      <c r="H606" s="1345">
        <f>(H605/G605-1)*100</f>
        <v>51.08999441028508</v>
      </c>
      <c r="I606" s="1345">
        <f t="shared" ref="I606:AE606" si="559">(I605/H605-1)*100</f>
        <v>33.348131705512408</v>
      </c>
      <c r="J606" s="1345">
        <f t="shared" si="559"/>
        <v>19.503939629341893</v>
      </c>
      <c r="K606" s="1345">
        <f>(K605/J605-1)*100</f>
        <v>33.983377443469379</v>
      </c>
      <c r="L606" s="1345">
        <f t="shared" si="559"/>
        <v>8.8161907402273485</v>
      </c>
      <c r="M606" s="1345">
        <f t="shared" si="559"/>
        <v>3.4968152866241997</v>
      </c>
      <c r="N606" s="1345">
        <f t="shared" si="559"/>
        <v>3.5571419779678815</v>
      </c>
      <c r="O606" s="1345">
        <f t="shared" si="559"/>
        <v>0.87062459143043558</v>
      </c>
      <c r="P606" s="1345">
        <f t="shared" si="559"/>
        <v>0.28868530356143118</v>
      </c>
      <c r="Q606" s="1345">
        <f t="shared" si="559"/>
        <v>8.7354971361433442</v>
      </c>
      <c r="R606" s="1345">
        <f t="shared" si="559"/>
        <v>12.155919933007354</v>
      </c>
      <c r="S606" s="1345">
        <f t="shared" si="559"/>
        <v>11.026277126135042</v>
      </c>
      <c r="T606" s="1345">
        <f>(T605/S605-1)*100</f>
        <v>3.3060719786537129</v>
      </c>
      <c r="U606" s="1345">
        <f>(U605/T605-1)*100</f>
        <v>58.092018227252673</v>
      </c>
      <c r="V606" s="1345">
        <f t="shared" si="559"/>
        <v>34.83163976887824</v>
      </c>
      <c r="W606" s="2297">
        <f t="shared" si="559"/>
        <v>14.564369310793257</v>
      </c>
      <c r="X606" s="2297">
        <f t="shared" si="559"/>
        <v>14.058576686272485</v>
      </c>
      <c r="Y606" s="2297">
        <f t="shared" si="559"/>
        <v>2.1554421332770302</v>
      </c>
      <c r="Z606" s="2297">
        <f t="shared" si="559"/>
        <v>9.4095940959409532</v>
      </c>
      <c r="AA606" s="2297">
        <f t="shared" si="559"/>
        <v>7.5177065767285001</v>
      </c>
      <c r="AB606" s="2297">
        <f t="shared" si="559"/>
        <v>-2.6713510461432333</v>
      </c>
      <c r="AC606" s="2297">
        <f t="shared" ca="1" si="559"/>
        <v>9.3781103342166716</v>
      </c>
      <c r="AD606" s="2297">
        <f t="shared" ca="1" si="559"/>
        <v>-3.5422828559151909</v>
      </c>
      <c r="AE606" s="2297">
        <f t="shared" ca="1" si="559"/>
        <v>7.4481106163722499</v>
      </c>
    </row>
    <row r="607" spans="1:31" ht="13.5" thickBot="1">
      <c r="D607" s="1336" t="s">
        <v>687</v>
      </c>
      <c r="E607" s="1337" t="s">
        <v>578</v>
      </c>
      <c r="F607" s="1338"/>
      <c r="G607" s="1434">
        <f>+G605/'VVP2'!G$341</f>
        <v>0.1152033671065731</v>
      </c>
      <c r="H607" s="1434">
        <f>+H605/'VVP2'!H$341</f>
        <v>0.13912694368524264</v>
      </c>
      <c r="I607" s="1434">
        <f>+I605/'VVP2'!I$341</f>
        <v>0.15371440951047138</v>
      </c>
      <c r="J607" s="1434">
        <f>+J605/'VVP2'!J$341</f>
        <v>0.16538984914713298</v>
      </c>
      <c r="K607" s="1434">
        <f>+K605/'VVP2'!K$341</f>
        <v>0.22699668346958166</v>
      </c>
      <c r="L607" s="1434">
        <f>+L605/'VVP2'!L$341</f>
        <v>0.23488612511201973</v>
      </c>
      <c r="M607" s="1434">
        <f>+M605/'VVP2'!M$341</f>
        <v>0.22894750932049832</v>
      </c>
      <c r="N607" s="1434">
        <f>+N605/'VVP2'!N$341</f>
        <v>0.2213762903585475</v>
      </c>
      <c r="O607" s="1434">
        <f>+O605/'VVP2'!O$341</f>
        <v>0.20365984180921115</v>
      </c>
      <c r="P607" s="1434">
        <f>+P605/'VVP2'!P$341</f>
        <v>0.18667355349243217</v>
      </c>
      <c r="Q607" s="1434">
        <f>+Q605/'VVP2'!Q$341</f>
        <v>0.17626122791021007</v>
      </c>
      <c r="R607" s="1434">
        <f>+R605/'VVP2'!R$341</f>
        <v>0.17242696802798099</v>
      </c>
      <c r="S607" s="1434">
        <f>+S605/'VVP2'!S$341</f>
        <v>0.15873261833580918</v>
      </c>
      <c r="T607" s="1434">
        <f>+T605/'VVP2'!T$341</f>
        <v>0.14564653838295977</v>
      </c>
      <c r="U607" s="1434">
        <f>+U605/'VVP2'!U$341</f>
        <v>0.2795080865585885</v>
      </c>
      <c r="V607" s="1434">
        <f>+V605/'VVP2'!V$341</f>
        <v>0.36217079841841943</v>
      </c>
      <c r="W607" s="1434">
        <f>+W605/'VVP2'!W$341</f>
        <v>0.37183312592804807</v>
      </c>
      <c r="X607" s="1434">
        <f>+X605/'VVP2'!X$341</f>
        <v>0.39774226591436851</v>
      </c>
      <c r="Y607" s="1434">
        <f>+Y605/'VVP2'!Y$341</f>
        <v>0.38758969268857096</v>
      </c>
      <c r="Z607" s="1434">
        <f>+Z605/'VVP2'!Z$341</f>
        <v>0.40540599667252597</v>
      </c>
      <c r="AA607" s="1434">
        <f>+AA605/'VVP2'!AA$341</f>
        <v>0.42588682223690577</v>
      </c>
      <c r="AB607" s="1434">
        <f>+AB605/'VVP2'!AB$341</f>
        <v>0.40119922458487983</v>
      </c>
      <c r="AC607" s="2298">
        <f ca="1">+AC605/'VVP2'!AC$341</f>
        <v>0.40614543885888271</v>
      </c>
      <c r="AD607" s="2298">
        <f ca="1">+AD605/'VVP2'!AD$341</f>
        <v>0.37020898990445383</v>
      </c>
      <c r="AE607" s="2298">
        <f ca="1">+AE605/'VVP2'!AE$341</f>
        <v>0.3767780647795454</v>
      </c>
    </row>
    <row r="608" spans="1:31" ht="30" customHeight="1">
      <c r="T608" s="3120"/>
      <c r="U608" s="3176"/>
      <c r="V608" s="3177"/>
      <c r="W608" s="3178"/>
      <c r="X608" s="3178"/>
      <c r="Z608" s="3379"/>
      <c r="AA608" s="3379"/>
      <c r="AB608" s="3379"/>
      <c r="AC608" s="3379"/>
      <c r="AD608" s="3379"/>
      <c r="AE608" s="3379"/>
    </row>
    <row r="609" spans="1:113" ht="12.75" customHeight="1">
      <c r="A609" s="664"/>
      <c r="B609" s="664"/>
      <c r="C609" s="774"/>
      <c r="D609" s="814"/>
      <c r="E609" s="815" t="s">
        <v>166</v>
      </c>
      <c r="F609" s="816"/>
      <c r="G609" s="817">
        <f>+InputY!$G$3</f>
        <v>1995</v>
      </c>
      <c r="H609" s="817">
        <f>+G609+1</f>
        <v>1996</v>
      </c>
      <c r="I609" s="817">
        <f t="shared" ref="I609:R609" si="560">+H609+1</f>
        <v>1997</v>
      </c>
      <c r="J609" s="817">
        <f t="shared" si="560"/>
        <v>1998</v>
      </c>
      <c r="K609" s="817">
        <f>+J609+1</f>
        <v>1999</v>
      </c>
      <c r="L609" s="817">
        <f t="shared" si="560"/>
        <v>2000</v>
      </c>
      <c r="M609" s="817">
        <f t="shared" si="560"/>
        <v>2001</v>
      </c>
      <c r="N609" s="817">
        <f t="shared" si="560"/>
        <v>2002</v>
      </c>
      <c r="O609" s="817">
        <f t="shared" si="560"/>
        <v>2003</v>
      </c>
      <c r="P609" s="817">
        <f>+O609+1</f>
        <v>2004</v>
      </c>
      <c r="Q609" s="817">
        <f t="shared" si="560"/>
        <v>2005</v>
      </c>
      <c r="R609" s="2230">
        <f t="shared" si="560"/>
        <v>2006</v>
      </c>
      <c r="S609" s="2230">
        <f t="shared" ref="S609:X609" si="561">+R609+1</f>
        <v>2007</v>
      </c>
      <c r="T609" s="2230">
        <f t="shared" si="561"/>
        <v>2008</v>
      </c>
      <c r="U609" s="2230">
        <f t="shared" si="561"/>
        <v>2009</v>
      </c>
      <c r="V609" s="2230">
        <f t="shared" si="561"/>
        <v>2010</v>
      </c>
      <c r="W609" s="2230">
        <f t="shared" si="561"/>
        <v>2011</v>
      </c>
      <c r="X609" s="2230">
        <f t="shared" si="561"/>
        <v>2012</v>
      </c>
      <c r="Y609" s="2230">
        <f t="shared" ref="Y609:AE609" si="562">+X609+1</f>
        <v>2013</v>
      </c>
      <c r="Z609" s="2230">
        <f t="shared" si="562"/>
        <v>2014</v>
      </c>
      <c r="AA609" s="2230">
        <f t="shared" si="562"/>
        <v>2015</v>
      </c>
      <c r="AB609" s="2230">
        <f t="shared" si="562"/>
        <v>2016</v>
      </c>
      <c r="AC609" s="2230">
        <f t="shared" si="562"/>
        <v>2017</v>
      </c>
      <c r="AD609" s="2230">
        <f t="shared" si="562"/>
        <v>2018</v>
      </c>
      <c r="AE609" s="2230">
        <f t="shared" si="562"/>
        <v>2019</v>
      </c>
    </row>
    <row r="610" spans="1:113">
      <c r="C610" s="1534"/>
      <c r="D610" s="823" t="s">
        <v>687</v>
      </c>
      <c r="E610" s="1535" t="s">
        <v>697</v>
      </c>
      <c r="F610" s="1536"/>
      <c r="G610" s="1044"/>
      <c r="H610" s="838">
        <f t="shared" ref="H610:R610" si="563">+H613-H612-H611</f>
        <v>-2.3121198311567889E-2</v>
      </c>
      <c r="I610" s="838">
        <f t="shared" si="563"/>
        <v>-2.385393044952959E-2</v>
      </c>
      <c r="J610" s="838">
        <f t="shared" si="563"/>
        <v>-1.5317424724770917E-2</v>
      </c>
      <c r="K610" s="838">
        <f t="shared" si="563"/>
        <v>4.031677463775668E-3</v>
      </c>
      <c r="L610" s="838">
        <f t="shared" si="563"/>
        <v>-1.1140822761542154E-2</v>
      </c>
      <c r="M610" s="838">
        <f t="shared" si="563"/>
        <v>-1.367399536053818E-2</v>
      </c>
      <c r="N610" s="838">
        <f t="shared" si="563"/>
        <v>-1.5175396523443692E-2</v>
      </c>
      <c r="O610" s="838">
        <f t="shared" si="563"/>
        <v>-1.9474257299744287E-2</v>
      </c>
      <c r="P610" s="838">
        <f>+P613-P612-P611</f>
        <v>-1.7523636187017161E-2</v>
      </c>
      <c r="Q610" s="838">
        <f t="shared" si="563"/>
        <v>-2.4572645736871471E-2</v>
      </c>
      <c r="R610" s="2279">
        <f t="shared" si="563"/>
        <v>-2.2522603920522709E-2</v>
      </c>
      <c r="S610" s="2279">
        <f t="shared" ref="S610:X610" si="564">+S613-S612-S611</f>
        <v>-2.9458454226986126E-2</v>
      </c>
      <c r="T610" s="2235">
        <f t="shared" si="564"/>
        <v>-1.7747160662948545E-2</v>
      </c>
      <c r="U610" s="2235">
        <f t="shared" si="564"/>
        <v>3.1154346122672733E-2</v>
      </c>
      <c r="V610" s="2235">
        <f t="shared" si="564"/>
        <v>-1.0898434521993253E-2</v>
      </c>
      <c r="W610" s="2235">
        <f t="shared" si="564"/>
        <v>-3.7608172040815672E-2</v>
      </c>
      <c r="X610" s="2235">
        <f t="shared" si="564"/>
        <v>-2.3115583179473018E-2</v>
      </c>
      <c r="Y610" s="2235">
        <f t="shared" ref="Y610:AD610" si="565">+Y613-Y612-Y611</f>
        <v>-1.8330572719499564E-2</v>
      </c>
      <c r="Z610" s="2235">
        <f t="shared" si="565"/>
        <v>-1.7049979035098625E-2</v>
      </c>
      <c r="AA610" s="2235">
        <f t="shared" si="565"/>
        <v>-9.297452511032353E-3</v>
      </c>
      <c r="AB610" s="2235">
        <f t="shared" si="565"/>
        <v>-1.3675999527256085E-2</v>
      </c>
      <c r="AC610" s="2235">
        <f t="shared" ca="1" si="565"/>
        <v>-2.9876811336139886E-2</v>
      </c>
      <c r="AD610" s="2235">
        <f t="shared" ca="1" si="565"/>
        <v>-2.2341010488003955E-2</v>
      </c>
      <c r="AE610" s="2235">
        <f t="shared" ref="AE610" ca="1" si="566">+AE613-AE612-AE611</f>
        <v>-1.9548505864137568E-2</v>
      </c>
    </row>
    <row r="611" spans="1:113">
      <c r="C611" s="1537" t="s">
        <v>1767</v>
      </c>
      <c r="D611" s="674" t="s">
        <v>687</v>
      </c>
      <c r="E611" s="1327" t="s">
        <v>698</v>
      </c>
      <c r="F611" s="1533" t="s">
        <v>699</v>
      </c>
      <c r="G611" s="1044"/>
      <c r="H611" s="839">
        <f>-H603/'VVP2'!H$341</f>
        <v>3.2494865737094931E-2</v>
      </c>
      <c r="I611" s="839">
        <f>-I603/'VVP2'!I$341</f>
        <v>0.11753497425014971</v>
      </c>
      <c r="J611" s="839">
        <f>-J603/'VVP2'!J$341</f>
        <v>3.0324160111073927E-2</v>
      </c>
      <c r="K611" s="839">
        <f>-K603/'VVP2'!K$341</f>
        <v>2.8219614728667491E-2</v>
      </c>
      <c r="L611" s="839">
        <f>-L603/'VVP2'!L$341</f>
        <v>3.1848015212242765E-2</v>
      </c>
      <c r="M611" s="839">
        <f>-M603/'VVP2'!M$341</f>
        <v>3.5267131259105605E-2</v>
      </c>
      <c r="N611" s="839">
        <f>-N603/'VVP2'!N$341</f>
        <v>1.8551956727230361E-2</v>
      </c>
      <c r="O611" s="839">
        <f>-O603/'VVP2'!O$341</f>
        <v>1.2643624373668142E-2</v>
      </c>
      <c r="P611" s="839">
        <f>-P603/'VVP2'!P$341</f>
        <v>1.3922792980701504E-2</v>
      </c>
      <c r="Q611" s="839">
        <f>-Q603/'VVP2'!Q$341</f>
        <v>3.4315207583913319E-3</v>
      </c>
      <c r="R611" s="2280">
        <f>-R603/'VVP2'!R$341</f>
        <v>2.7206075954414035E-3</v>
      </c>
      <c r="S611" s="2280">
        <f>-S603/'VVP2'!S$341</f>
        <v>8.1527072731817796E-3</v>
      </c>
      <c r="T611" s="2218">
        <f>-T603/'VVP2'!T$341</f>
        <v>3.0829806938281693E-2</v>
      </c>
      <c r="U611" s="2218">
        <f>-U603/'VVP2'!U$341</f>
        <v>9.1056855030031761E-2</v>
      </c>
      <c r="V611" s="2218">
        <f>-V603/'VVP2'!V$341</f>
        <v>6.9006831108983049E-2</v>
      </c>
      <c r="W611" s="2218">
        <f>-W603/'VVP2'!W$341</f>
        <v>8.93973267100064E-2</v>
      </c>
      <c r="X611" s="2218">
        <f>-X603/'VVP2'!X$341</f>
        <v>3.1454806935728399E-2</v>
      </c>
      <c r="Y611" s="2218">
        <f>-Y603/'VVP2'!Y$341</f>
        <v>2.6099231542649919E-2</v>
      </c>
      <c r="Z611" s="2218">
        <f>-Z603/'VVP2'!Z$341</f>
        <v>6.1736565132403994E-3</v>
      </c>
      <c r="AA611" s="2218">
        <f>-AA603/'VVP2'!AA$341</f>
        <v>2.4479908813542029E-3</v>
      </c>
      <c r="AB611" s="2218">
        <f>-AB603/'VVP2'!AB$341</f>
        <v>-2.6631619889357105E-3</v>
      </c>
      <c r="AC611" s="2218">
        <f ca="1">-AC603/'VVP2'!AC$341</f>
        <v>-8.0208555861704563E-3</v>
      </c>
      <c r="AD611" s="2218">
        <f ca="1">-AD603/'VVP2'!AD$341</f>
        <v>-6.8098825894252505E-3</v>
      </c>
      <c r="AE611" s="2218">
        <f ca="1">-AE603/'VVP2'!AE$341</f>
        <v>-6.0186770664689129E-3</v>
      </c>
    </row>
    <row r="612" spans="1:113">
      <c r="C612" s="1538" t="s">
        <v>1767</v>
      </c>
      <c r="D612" s="828" t="s">
        <v>687</v>
      </c>
      <c r="E612" s="1539" t="s">
        <v>696</v>
      </c>
      <c r="F612" s="1540" t="s">
        <v>1679</v>
      </c>
      <c r="G612" s="1509"/>
      <c r="H612" s="840">
        <f>(H604)/'VVP2'!H$341</f>
        <v>1.4549909153142502E-2</v>
      </c>
      <c r="I612" s="840">
        <f>(I604)/'VVP2'!I$341</f>
        <v>-7.9093577975391377E-2</v>
      </c>
      <c r="J612" s="840">
        <f>(J604)/'VVP2'!J$341</f>
        <v>-3.3312957496414155E-3</v>
      </c>
      <c r="K612" s="840">
        <f>(K604)/'VVP2'!K$341</f>
        <v>2.9355542130005519E-2</v>
      </c>
      <c r="L612" s="840">
        <f>(L604)/'VVP2'!L$341</f>
        <v>-1.281775080826254E-2</v>
      </c>
      <c r="M612" s="840">
        <f>(M604)/'VVP2'!M$341</f>
        <v>-2.7531751690088837E-2</v>
      </c>
      <c r="N612" s="840">
        <f>(N604)/'VVP2'!N$341</f>
        <v>-1.0947779165737484E-2</v>
      </c>
      <c r="O612" s="840">
        <f>(O604)/'VVP2'!O$341</f>
        <v>-1.0885815623260207E-2</v>
      </c>
      <c r="P612" s="840">
        <f>(P604)/'VVP2'!P$341</f>
        <v>-1.3385445110463324E-2</v>
      </c>
      <c r="Q612" s="840">
        <f>(Q604)/'VVP2'!Q$341</f>
        <v>1.0728799396258034E-2</v>
      </c>
      <c r="R612" s="2299">
        <f>(R604)/'VVP2'!R$341</f>
        <v>1.596773644285223E-2</v>
      </c>
      <c r="S612" s="2299">
        <f>(S604)/'VVP2'!S$341</f>
        <v>7.611397261632534E-3</v>
      </c>
      <c r="T612" s="2263">
        <f>(T604)/'VVP2'!T$341</f>
        <v>-2.6168726228182559E-2</v>
      </c>
      <c r="U612" s="2263">
        <f>(U604)/'VVP2'!U$341</f>
        <v>1.1650347022924234E-2</v>
      </c>
      <c r="V612" s="2263">
        <f>(V604)/'VVP2'!V$341</f>
        <v>2.4554315272841128E-2</v>
      </c>
      <c r="W612" s="2263">
        <f>(W604)/'VVP2'!W$341</f>
        <v>-4.2126827159562084E-2</v>
      </c>
      <c r="X612" s="2263">
        <f>(X604)/'VVP2'!X$341</f>
        <v>1.7569916230065059E-2</v>
      </c>
      <c r="Y612" s="2263">
        <f>(Y604)/'VVP2'!Y$341</f>
        <v>-1.79212320489479E-2</v>
      </c>
      <c r="Z612" s="2263">
        <f>(Z604)/'VVP2'!Z$341</f>
        <v>2.8692626505813234E-2</v>
      </c>
      <c r="AA612" s="2263">
        <f>(AA604)/'VVP2'!AA$341</f>
        <v>2.7330287194057952E-2</v>
      </c>
      <c r="AB612" s="2263">
        <f>(AB604)/'VVP2'!AB$341</f>
        <v>-8.3484361358341433E-3</v>
      </c>
      <c r="AC612" s="2263">
        <f ca="1">(AC604)/'VVP2'!AC$341</f>
        <v>4.2843881196313223E-2</v>
      </c>
      <c r="AD612" s="2263">
        <f ca="1">(AD604)/'VVP2'!AD$341</f>
        <v>-6.7855558769996747E-3</v>
      </c>
      <c r="AE612" s="2263">
        <f ca="1">(AE604)/'VVP2'!AE$341</f>
        <v>3.2136257805698044E-2</v>
      </c>
    </row>
    <row r="613" spans="1:113" s="898" customFormat="1" ht="25.5">
      <c r="A613" s="664"/>
      <c r="B613" s="1530"/>
      <c r="C613" s="1531" t="s">
        <v>1769</v>
      </c>
      <c r="D613" s="1541" t="s">
        <v>687</v>
      </c>
      <c r="E613" s="1542" t="s">
        <v>695</v>
      </c>
      <c r="F613" s="1543" t="s">
        <v>700</v>
      </c>
      <c r="G613" s="1544"/>
      <c r="H613" s="1532">
        <f>+H607-G607</f>
        <v>2.3923576578669545E-2</v>
      </c>
      <c r="I613" s="1532">
        <f t="shared" ref="I613:AE613" si="567">+I607-H607</f>
        <v>1.458746582522874E-2</v>
      </c>
      <c r="J613" s="1532">
        <f t="shared" si="567"/>
        <v>1.1675439636661594E-2</v>
      </c>
      <c r="K613" s="1532">
        <f>+K607-J607</f>
        <v>6.1606834322448678E-2</v>
      </c>
      <c r="L613" s="1532">
        <f t="shared" si="567"/>
        <v>7.889441642438072E-3</v>
      </c>
      <c r="M613" s="1532">
        <f t="shared" si="567"/>
        <v>-5.9386157915214122E-3</v>
      </c>
      <c r="N613" s="1532">
        <f t="shared" si="567"/>
        <v>-7.5712189619508152E-3</v>
      </c>
      <c r="O613" s="1532">
        <f t="shared" si="567"/>
        <v>-1.771644854933635E-2</v>
      </c>
      <c r="P613" s="1532">
        <f t="shared" si="567"/>
        <v>-1.698628831677898E-2</v>
      </c>
      <c r="Q613" s="1532">
        <f t="shared" si="567"/>
        <v>-1.0412325582222104E-2</v>
      </c>
      <c r="R613" s="2300">
        <f t="shared" si="567"/>
        <v>-3.8342598822290741E-3</v>
      </c>
      <c r="S613" s="2300">
        <f t="shared" si="567"/>
        <v>-1.3694349692171814E-2</v>
      </c>
      <c r="T613" s="2920">
        <f t="shared" si="567"/>
        <v>-1.3086079952849411E-2</v>
      </c>
      <c r="U613" s="2920">
        <f t="shared" si="567"/>
        <v>0.13386154817562873</v>
      </c>
      <c r="V613" s="2920">
        <f t="shared" si="567"/>
        <v>8.2662711859830929E-2</v>
      </c>
      <c r="W613" s="2920">
        <f t="shared" si="567"/>
        <v>9.6623275096286432E-3</v>
      </c>
      <c r="X613" s="2920">
        <f t="shared" si="567"/>
        <v>2.590913998632044E-2</v>
      </c>
      <c r="Y613" s="2920">
        <f t="shared" si="567"/>
        <v>-1.0152573225797545E-2</v>
      </c>
      <c r="Z613" s="2920">
        <f t="shared" si="567"/>
        <v>1.7816303983955006E-2</v>
      </c>
      <c r="AA613" s="2920">
        <f t="shared" si="567"/>
        <v>2.0480825564379801E-2</v>
      </c>
      <c r="AB613" s="2920">
        <f t="shared" si="567"/>
        <v>-2.4687597652025939E-2</v>
      </c>
      <c r="AC613" s="2920">
        <f t="shared" ca="1" si="567"/>
        <v>4.9462142740028803E-3</v>
      </c>
      <c r="AD613" s="2920">
        <f t="shared" ca="1" si="567"/>
        <v>-3.5936448954428879E-2</v>
      </c>
      <c r="AE613" s="2920">
        <f t="shared" ca="1" si="567"/>
        <v>6.5690748750915628E-3</v>
      </c>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M613"/>
      <c r="CN613"/>
      <c r="CO613"/>
      <c r="CP613"/>
      <c r="CQ613"/>
      <c r="CR613"/>
      <c r="CS613"/>
      <c r="CT613"/>
      <c r="CU613"/>
      <c r="CV613"/>
      <c r="CW613"/>
      <c r="CX613"/>
      <c r="CY613"/>
      <c r="CZ613"/>
      <c r="DA613"/>
      <c r="DB613"/>
      <c r="DC613"/>
      <c r="DD613"/>
      <c r="DE613"/>
      <c r="DF613"/>
      <c r="DG613"/>
      <c r="DH613"/>
      <c r="DI613"/>
    </row>
    <row r="614" spans="1:113" ht="30" customHeight="1">
      <c r="F614" s="1023"/>
      <c r="Q614" s="1906"/>
      <c r="AB614" s="2221"/>
      <c r="AC614" s="2221"/>
      <c r="AD614" s="2221"/>
      <c r="AE614" s="2221"/>
      <c r="AF614">
        <f>0.271/3.4528</f>
        <v>7.8487025023169607E-2</v>
      </c>
    </row>
    <row r="615" spans="1:113" customFormat="1">
      <c r="A615" s="1130"/>
      <c r="B615" s="1130"/>
      <c r="C615" s="694"/>
      <c r="D615" s="1074"/>
      <c r="E615" s="1075" t="s">
        <v>1962</v>
      </c>
      <c r="F615" s="1076"/>
      <c r="G615" s="698">
        <f>+InputY!$G$3</f>
        <v>1995</v>
      </c>
      <c r="H615" s="698">
        <f>+G615+1</f>
        <v>1996</v>
      </c>
      <c r="I615" s="698">
        <f t="shared" ref="I615:R615" si="568">+H615+1</f>
        <v>1997</v>
      </c>
      <c r="J615" s="698">
        <f t="shared" si="568"/>
        <v>1998</v>
      </c>
      <c r="K615" s="698">
        <f>+J615+1</f>
        <v>1999</v>
      </c>
      <c r="L615" s="698">
        <f t="shared" si="568"/>
        <v>2000</v>
      </c>
      <c r="M615" s="698">
        <f t="shared" si="568"/>
        <v>2001</v>
      </c>
      <c r="N615" s="698">
        <f t="shared" si="568"/>
        <v>2002</v>
      </c>
      <c r="O615" s="698">
        <f t="shared" si="568"/>
        <v>2003</v>
      </c>
      <c r="P615" s="698">
        <f>+O615+1</f>
        <v>2004</v>
      </c>
      <c r="Q615" s="698">
        <f t="shared" si="568"/>
        <v>2005</v>
      </c>
      <c r="R615" s="2210">
        <f t="shared" si="568"/>
        <v>2006</v>
      </c>
      <c r="S615" s="2210">
        <f t="shared" ref="S615:X615" si="569">+R615+1</f>
        <v>2007</v>
      </c>
      <c r="T615" s="2210">
        <f t="shared" si="569"/>
        <v>2008</v>
      </c>
      <c r="U615" s="2210">
        <f t="shared" si="569"/>
        <v>2009</v>
      </c>
      <c r="V615" s="2210">
        <f t="shared" si="569"/>
        <v>2010</v>
      </c>
      <c r="W615" s="2210">
        <f t="shared" si="569"/>
        <v>2011</v>
      </c>
      <c r="X615" s="2210">
        <f t="shared" si="569"/>
        <v>2012</v>
      </c>
      <c r="Y615" s="2210">
        <f t="shared" ref="Y615:AE615" si="570">+X615+1</f>
        <v>2013</v>
      </c>
      <c r="Z615" s="2210">
        <f t="shared" si="570"/>
        <v>2014</v>
      </c>
      <c r="AA615" s="2210">
        <f t="shared" si="570"/>
        <v>2015</v>
      </c>
      <c r="AB615" s="2210">
        <f t="shared" si="570"/>
        <v>2016</v>
      </c>
      <c r="AC615" s="2210">
        <f t="shared" si="570"/>
        <v>2017</v>
      </c>
      <c r="AD615" s="2210">
        <f t="shared" si="570"/>
        <v>2018</v>
      </c>
      <c r="AE615" s="2210">
        <f t="shared" si="570"/>
        <v>2019</v>
      </c>
      <c r="AF615" t="s">
        <v>2422</v>
      </c>
    </row>
    <row r="616" spans="1:113" customFormat="1">
      <c r="A616" s="664">
        <f>+ROW(InputY!A276)</f>
        <v>276</v>
      </c>
      <c r="B616" s="1130">
        <v>138</v>
      </c>
      <c r="C616" s="1079"/>
      <c r="D616" s="1069" t="s">
        <v>687</v>
      </c>
      <c r="E616" s="1059" t="s">
        <v>803</v>
      </c>
      <c r="F616" s="2998" t="s">
        <v>805</v>
      </c>
      <c r="G616" s="2999"/>
      <c r="H616" s="2999"/>
      <c r="I616" s="2999"/>
      <c r="J616" s="2999"/>
      <c r="K616" s="2999"/>
      <c r="L616" s="2999"/>
      <c r="M616" s="2999"/>
      <c r="N616" s="2999"/>
      <c r="O616" s="1454">
        <f>+SUM(InputY!O276)</f>
        <v>0</v>
      </c>
      <c r="P616" s="1454">
        <f>+SUM(InputY!P276)</f>
        <v>0</v>
      </c>
      <c r="Q616" s="1454">
        <f>+SUM(InputY!Q276)</f>
        <v>0</v>
      </c>
      <c r="R616" s="1454">
        <f>+SUM(InputY!R276)</f>
        <v>0</v>
      </c>
      <c r="S616" s="1454">
        <f>+SUM(InputY!S276)</f>
        <v>0</v>
      </c>
      <c r="T616" s="1454"/>
      <c r="U616" s="3000"/>
      <c r="V616" s="3000"/>
      <c r="W616" s="3359"/>
      <c r="X616" s="3363"/>
      <c r="Y616" s="3363"/>
      <c r="Z616" s="3362"/>
      <c r="AA616" s="3362"/>
      <c r="AB616" s="3362"/>
      <c r="AC616" s="3362"/>
      <c r="AD616" s="3362"/>
      <c r="AE616" s="3362"/>
    </row>
    <row r="617" spans="1:113" customFormat="1">
      <c r="A617" s="664"/>
      <c r="B617" s="1130"/>
      <c r="C617" s="1080"/>
      <c r="D617" s="837" t="s">
        <v>1281</v>
      </c>
      <c r="E617" s="1"/>
      <c r="F617" s="3057"/>
      <c r="G617" s="3058"/>
      <c r="H617" s="3058"/>
      <c r="I617" s="3058"/>
      <c r="J617" s="3058"/>
      <c r="K617" s="3058"/>
      <c r="L617" s="3058"/>
      <c r="M617" s="3058"/>
      <c r="N617" s="3058"/>
      <c r="O617" s="1690"/>
      <c r="P617" s="1690"/>
      <c r="Q617" s="1690"/>
      <c r="R617" s="1690"/>
      <c r="S617" s="1690"/>
      <c r="T617" s="1690"/>
      <c r="U617" s="1690"/>
      <c r="V617" s="1690"/>
      <c r="W617" s="3360"/>
      <c r="X617" s="3360"/>
      <c r="Y617" s="3360"/>
      <c r="Z617" s="3360"/>
      <c r="AA617" s="3360"/>
      <c r="AB617" s="3360"/>
      <c r="AC617" s="3360"/>
      <c r="AD617" s="3360"/>
      <c r="AE617" s="3360"/>
    </row>
    <row r="618" spans="1:113">
      <c r="A618" s="664">
        <f>+ROW(InputY!A277)</f>
        <v>277</v>
      </c>
      <c r="B618" s="1130">
        <v>139</v>
      </c>
      <c r="C618" s="1080"/>
      <c r="D618" s="674" t="s">
        <v>687</v>
      </c>
      <c r="E618" s="1" t="s">
        <v>804</v>
      </c>
      <c r="F618" s="3057" t="s">
        <v>806</v>
      </c>
      <c r="G618" s="3058"/>
      <c r="H618" s="3058"/>
      <c r="I618" s="3058"/>
      <c r="J618" s="3058"/>
      <c r="K618" s="3058"/>
      <c r="L618" s="3058"/>
      <c r="M618" s="3058"/>
      <c r="N618" s="3058"/>
      <c r="O618" s="1690">
        <f>+SUM(InputY!O277)</f>
        <v>0</v>
      </c>
      <c r="P618" s="1690">
        <f>+SUM(InputY!P277)</f>
        <v>0</v>
      </c>
      <c r="Q618" s="1690">
        <f>+SUM(InputY!Q277)</f>
        <v>0</v>
      </c>
      <c r="R618" s="1690">
        <f>+SUM(InputY!R277)</f>
        <v>0</v>
      </c>
      <c r="S618" s="1690">
        <f>+SUM(InputY!S277)</f>
        <v>-0.55600000000000005</v>
      </c>
      <c r="T618" s="1690"/>
      <c r="U618" s="3090"/>
      <c r="V618" s="3276"/>
      <c r="W618" s="3361"/>
      <c r="X618" s="3365"/>
      <c r="Y618" s="3361"/>
      <c r="Z618" s="3364"/>
      <c r="AA618" s="3361"/>
      <c r="AB618" s="3364"/>
      <c r="AC618" s="3364"/>
      <c r="AD618" s="3364"/>
      <c r="AE618" s="3364"/>
    </row>
    <row r="619" spans="1:113">
      <c r="A619" s="664"/>
      <c r="B619" s="1130"/>
      <c r="C619" s="1081"/>
      <c r="D619" s="3059" t="s">
        <v>1280</v>
      </c>
      <c r="E619" s="1329"/>
      <c r="F619" s="1330"/>
      <c r="G619" s="1225"/>
      <c r="H619" s="1225"/>
      <c r="I619" s="1225"/>
      <c r="J619" s="1225"/>
      <c r="K619" s="1225"/>
      <c r="L619" s="1225"/>
      <c r="M619" s="1225"/>
      <c r="N619" s="1225"/>
      <c r="O619" s="1133"/>
      <c r="P619" s="1133"/>
      <c r="Q619" s="1133"/>
      <c r="R619" s="1133"/>
      <c r="S619" s="1133"/>
      <c r="T619" s="1133"/>
      <c r="U619" s="1133"/>
      <c r="V619" s="1133"/>
      <c r="W619" s="1133"/>
      <c r="X619" s="1133"/>
      <c r="Y619" s="1133"/>
      <c r="Z619" s="1133"/>
      <c r="AA619" s="1133"/>
      <c r="AB619" s="1133"/>
      <c r="AC619" s="1133"/>
      <c r="AD619" s="1133"/>
      <c r="AE619" s="1133"/>
    </row>
    <row r="620" spans="1:113" s="1" customFormat="1">
      <c r="A620" s="664"/>
      <c r="B620" s="2206"/>
      <c r="C620" s="710"/>
      <c r="D620" s="2207" t="s">
        <v>687</v>
      </c>
      <c r="E620" s="1060" t="s">
        <v>1963</v>
      </c>
      <c r="F620" s="2208" t="s">
        <v>1964</v>
      </c>
      <c r="G620" s="1061"/>
      <c r="H620" s="1061"/>
      <c r="I620" s="1061"/>
      <c r="J620" s="1061"/>
      <c r="K620" s="1061"/>
      <c r="L620" s="1061"/>
      <c r="M620" s="1061"/>
      <c r="N620" s="1061"/>
      <c r="O620" s="1061">
        <f>+O616+O618</f>
        <v>0</v>
      </c>
      <c r="P620" s="1061">
        <f t="shared" ref="P620:W620" si="571">+P616+P618</f>
        <v>0</v>
      </c>
      <c r="Q620" s="1061">
        <f t="shared" si="571"/>
        <v>0</v>
      </c>
      <c r="R620" s="1061">
        <f t="shared" si="571"/>
        <v>0</v>
      </c>
      <c r="S620" s="1061">
        <f t="shared" si="571"/>
        <v>-0.55600000000000005</v>
      </c>
      <c r="T620" s="1061">
        <f t="shared" si="571"/>
        <v>0</v>
      </c>
      <c r="U620" s="1061">
        <f t="shared" si="571"/>
        <v>0</v>
      </c>
      <c r="V620" s="1061">
        <f t="shared" si="571"/>
        <v>0</v>
      </c>
      <c r="W620" s="1061">
        <f t="shared" si="571"/>
        <v>0</v>
      </c>
      <c r="X620" s="1061">
        <f t="shared" ref="X620:AC620" si="572">+X616+X618</f>
        <v>0</v>
      </c>
      <c r="Y620" s="1061">
        <f t="shared" si="572"/>
        <v>0</v>
      </c>
      <c r="Z620" s="1061">
        <f t="shared" si="572"/>
        <v>0</v>
      </c>
      <c r="AA620" s="1061">
        <f t="shared" si="572"/>
        <v>0</v>
      </c>
      <c r="AB620" s="1061">
        <f t="shared" si="572"/>
        <v>0</v>
      </c>
      <c r="AC620" s="1061">
        <f t="shared" si="572"/>
        <v>0</v>
      </c>
      <c r="AD620" s="1061">
        <f>+AD616+AD618</f>
        <v>0</v>
      </c>
      <c r="AE620" s="1061">
        <f>+AE616+AE618</f>
        <v>0</v>
      </c>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M620"/>
      <c r="CN620"/>
      <c r="CO620"/>
      <c r="CP620"/>
      <c r="CQ620"/>
      <c r="CR620"/>
      <c r="CS620"/>
      <c r="CT620"/>
      <c r="CU620"/>
      <c r="CV620"/>
      <c r="CW620"/>
      <c r="CX620"/>
      <c r="CY620"/>
      <c r="CZ620"/>
      <c r="DA620"/>
      <c r="DB620"/>
      <c r="DC620"/>
      <c r="DD620"/>
      <c r="DE620"/>
      <c r="DF620"/>
      <c r="DG620"/>
      <c r="DH620"/>
      <c r="DI620"/>
    </row>
    <row r="621" spans="1:113" customFormat="1">
      <c r="A621" s="664"/>
      <c r="B621" s="1130"/>
      <c r="C621" s="710"/>
      <c r="D621" s="1445"/>
      <c r="E621" s="50" t="s">
        <v>379</v>
      </c>
      <c r="F621" s="1446"/>
      <c r="G621" s="1447"/>
      <c r="H621" s="1447"/>
      <c r="I621" s="1447"/>
      <c r="J621" s="1447"/>
      <c r="K621" s="1447"/>
      <c r="L621" s="1447"/>
      <c r="M621" s="1447"/>
      <c r="N621" s="1447"/>
      <c r="O621" s="1434">
        <f>+O620/'VVP2'!O$341</f>
        <v>0</v>
      </c>
      <c r="P621" s="1434">
        <f>+P620/'VVP2'!P$341</f>
        <v>0</v>
      </c>
      <c r="Q621" s="1434">
        <f>+Q620/'VVP2'!Q$341</f>
        <v>0</v>
      </c>
      <c r="R621" s="1434">
        <f>+R620/'VVP2'!R$341</f>
        <v>0</v>
      </c>
      <c r="S621" s="1434">
        <f>+S620/'VVP2'!S$341</f>
        <v>-1.9145570383042262E-2</v>
      </c>
      <c r="T621" s="2301">
        <f>+T620/'VVP2'!T$341</f>
        <v>0</v>
      </c>
      <c r="U621" s="2301">
        <f>+U620/'VVP2'!U$341</f>
        <v>0</v>
      </c>
      <c r="V621" s="2301">
        <f>+V620/'VVP2'!V$341</f>
        <v>0</v>
      </c>
      <c r="W621" s="2301">
        <f>+W620/'VVP2'!W$341</f>
        <v>0</v>
      </c>
      <c r="X621" s="2301">
        <f>+X620/'VVP2'!X$341</f>
        <v>0</v>
      </c>
      <c r="Y621" s="2301">
        <f>+Y620/'VVP2'!Y$341</f>
        <v>0</v>
      </c>
      <c r="Z621" s="2301">
        <f>+Z620/'VVP2'!Z$341</f>
        <v>0</v>
      </c>
      <c r="AA621" s="2301">
        <f>+AA620/'VVP2'!AA$341</f>
        <v>0</v>
      </c>
      <c r="AB621" s="2301">
        <f>+AB620/'VVP2'!AB$341</f>
        <v>0</v>
      </c>
      <c r="AC621" s="2301">
        <f ca="1">+AC620/'VVP2'!AC$341</f>
        <v>0</v>
      </c>
      <c r="AD621" s="2301">
        <f ca="1">+AD620/'VVP2'!AD$341</f>
        <v>0</v>
      </c>
      <c r="AE621" s="2301">
        <f ca="1">+AE620/'VVP2'!AE$341</f>
        <v>0</v>
      </c>
    </row>
    <row r="622" spans="1:113" ht="30" customHeight="1">
      <c r="F622" s="1023"/>
      <c r="AB622" s="2221"/>
      <c r="AC622" s="2221"/>
      <c r="AD622" s="2221"/>
      <c r="AE622" s="2221"/>
    </row>
    <row r="623" spans="1:113" ht="12.75" customHeight="1">
      <c r="B623" s="664"/>
      <c r="C623" s="774"/>
      <c r="D623" s="775"/>
      <c r="E623" s="776" t="s">
        <v>1127</v>
      </c>
      <c r="F623" s="777"/>
      <c r="G623" s="778">
        <f>+InputY!$G$3</f>
        <v>1995</v>
      </c>
      <c r="H623" s="778">
        <f>+G623+1</f>
        <v>1996</v>
      </c>
      <c r="I623" s="778">
        <f t="shared" ref="I623:O623" si="573">+H623+1</f>
        <v>1997</v>
      </c>
      <c r="J623" s="778">
        <f t="shared" si="573"/>
        <v>1998</v>
      </c>
      <c r="K623" s="778">
        <f>+J623+1</f>
        <v>1999</v>
      </c>
      <c r="L623" s="778">
        <f t="shared" si="573"/>
        <v>2000</v>
      </c>
      <c r="M623" s="778">
        <f t="shared" si="573"/>
        <v>2001</v>
      </c>
      <c r="N623" s="778">
        <f t="shared" si="573"/>
        <v>2002</v>
      </c>
      <c r="O623" s="778">
        <f t="shared" si="573"/>
        <v>2003</v>
      </c>
      <c r="P623" s="778">
        <f t="shared" ref="P623:W623" si="574">+O623+1</f>
        <v>2004</v>
      </c>
      <c r="Q623" s="778">
        <f t="shared" si="574"/>
        <v>2005</v>
      </c>
      <c r="R623" s="778">
        <f t="shared" si="574"/>
        <v>2006</v>
      </c>
      <c r="S623" s="778">
        <f t="shared" si="574"/>
        <v>2007</v>
      </c>
      <c r="T623" s="2222">
        <f t="shared" si="574"/>
        <v>2008</v>
      </c>
      <c r="U623" s="2222">
        <f t="shared" si="574"/>
        <v>2009</v>
      </c>
      <c r="V623" s="2222">
        <f t="shared" si="574"/>
        <v>2010</v>
      </c>
      <c r="W623" s="2222">
        <f t="shared" si="574"/>
        <v>2011</v>
      </c>
      <c r="X623" s="2222">
        <f t="shared" ref="X623:AE623" si="575">+W623+1</f>
        <v>2012</v>
      </c>
      <c r="Y623" s="2222">
        <f t="shared" si="575"/>
        <v>2013</v>
      </c>
      <c r="Z623" s="2222">
        <f t="shared" si="575"/>
        <v>2014</v>
      </c>
      <c r="AA623" s="2222">
        <f t="shared" si="575"/>
        <v>2015</v>
      </c>
      <c r="AB623" s="2222">
        <f t="shared" si="575"/>
        <v>2016</v>
      </c>
      <c r="AC623" s="2222">
        <f t="shared" si="575"/>
        <v>2017</v>
      </c>
      <c r="AD623" s="2222">
        <f t="shared" si="575"/>
        <v>2018</v>
      </c>
      <c r="AE623" s="2222">
        <f t="shared" si="575"/>
        <v>2019</v>
      </c>
    </row>
    <row r="624" spans="1:113" ht="12.75" customHeight="1">
      <c r="B624" s="664"/>
      <c r="C624" s="779" t="s">
        <v>1767</v>
      </c>
      <c r="D624" s="668" t="s">
        <v>687</v>
      </c>
      <c r="E624" s="780" t="s">
        <v>1381</v>
      </c>
      <c r="F624" s="701" t="s">
        <v>1801</v>
      </c>
      <c r="G624" s="780">
        <f t="shared" ref="G624:AC624" si="576">+G13</f>
        <v>0.93413999999999997</v>
      </c>
      <c r="H624" s="780">
        <f t="shared" si="576"/>
        <v>1.1237200000000001</v>
      </c>
      <c r="I624" s="780">
        <f t="shared" si="576"/>
        <v>1.58561</v>
      </c>
      <c r="J624" s="780">
        <f t="shared" si="576"/>
        <v>1.7950299999999999</v>
      </c>
      <c r="K624" s="780">
        <f t="shared" si="576"/>
        <v>1.74356</v>
      </c>
      <c r="L624" s="780">
        <f t="shared" si="576"/>
        <v>1.6726099999999999</v>
      </c>
      <c r="M624" s="780">
        <f t="shared" si="576"/>
        <v>1.72933</v>
      </c>
      <c r="N624" s="780">
        <f t="shared" si="576"/>
        <v>1.8834200000000001</v>
      </c>
      <c r="O624" s="780">
        <f t="shared" si="576"/>
        <v>1.94069</v>
      </c>
      <c r="P624" s="780">
        <f t="shared" si="576"/>
        <v>2.0387400000000002</v>
      </c>
      <c r="Q624" s="780">
        <f t="shared" si="576"/>
        <v>2.3545599999999998</v>
      </c>
      <c r="R624" s="780">
        <f t="shared" si="576"/>
        <v>2.7234699999999998</v>
      </c>
      <c r="S624" s="780">
        <f t="shared" si="576"/>
        <v>3.3773499999999999</v>
      </c>
      <c r="T624" s="2267">
        <f t="shared" si="576"/>
        <v>3.79074</v>
      </c>
      <c r="U624" s="2267">
        <f t="shared" si="576"/>
        <v>3.1144400000000001</v>
      </c>
      <c r="V624" s="2267">
        <f t="shared" si="576"/>
        <v>3.3192600000000003</v>
      </c>
      <c r="W624" s="2267">
        <f t="shared" si="576"/>
        <v>3.6286</v>
      </c>
      <c r="X624" s="2267">
        <f t="shared" si="576"/>
        <v>3.7240700000000002</v>
      </c>
      <c r="Y624" s="2267">
        <f t="shared" si="576"/>
        <v>3.8413400000000002</v>
      </c>
      <c r="Z624" s="2267">
        <f t="shared" si="576"/>
        <v>4.0795399999999997</v>
      </c>
      <c r="AA624" s="2267">
        <f t="shared" si="576"/>
        <v>4.3436300000000001</v>
      </c>
      <c r="AB624" s="2267">
        <f t="shared" si="576"/>
        <v>4.5327600000000006</v>
      </c>
      <c r="AC624" s="2267">
        <f t="shared" si="576"/>
        <v>4.9279856999999998</v>
      </c>
      <c r="AD624" s="2267">
        <f>+AD13</f>
        <v>5.2460899270192165</v>
      </c>
      <c r="AE624" s="2267">
        <f>+AE13</f>
        <v>5.5409120675982919</v>
      </c>
    </row>
    <row r="625" spans="1:113" ht="12.75" customHeight="1">
      <c r="B625" s="664"/>
      <c r="C625" s="782" t="s">
        <v>1767</v>
      </c>
      <c r="D625" s="674" t="s">
        <v>687</v>
      </c>
      <c r="E625" s="706" t="s">
        <v>614</v>
      </c>
      <c r="F625" s="704" t="s">
        <v>1803</v>
      </c>
      <c r="G625" s="706">
        <f t="shared" ref="G625:AC625" si="577">+G205</f>
        <v>0.65282000000000007</v>
      </c>
      <c r="H625" s="706">
        <f t="shared" si="577"/>
        <v>0.77739000000000003</v>
      </c>
      <c r="I625" s="706">
        <f t="shared" si="577"/>
        <v>1.02521</v>
      </c>
      <c r="J625" s="706">
        <f t="shared" si="577"/>
        <v>1.17039</v>
      </c>
      <c r="K625" s="706">
        <f t="shared" si="577"/>
        <v>1.1596099999999998</v>
      </c>
      <c r="L625" s="706">
        <f t="shared" si="577"/>
        <v>1.1185</v>
      </c>
      <c r="M625" s="706">
        <f t="shared" si="577"/>
        <v>1.1014699999999999</v>
      </c>
      <c r="N625" s="706">
        <f t="shared" si="577"/>
        <v>1.12815</v>
      </c>
      <c r="O625" s="706">
        <f t="shared" si="577"/>
        <v>1.31376</v>
      </c>
      <c r="P625" s="706">
        <f t="shared" si="577"/>
        <v>1.57897</v>
      </c>
      <c r="Q625" s="706">
        <f t="shared" si="577"/>
        <v>1.8784799999999999</v>
      </c>
      <c r="R625" s="706">
        <f t="shared" si="577"/>
        <v>2.2994699999999999</v>
      </c>
      <c r="S625" s="706">
        <f t="shared" si="577"/>
        <v>2.6336900000000001</v>
      </c>
      <c r="T625" s="2265">
        <f t="shared" si="577"/>
        <v>3.0165999999999999</v>
      </c>
      <c r="U625" s="2265">
        <f t="shared" si="577"/>
        <v>1.5983099999999999</v>
      </c>
      <c r="V625" s="2265">
        <f t="shared" si="577"/>
        <v>1.2940499999999999</v>
      </c>
      <c r="W625" s="2265">
        <f t="shared" si="577"/>
        <v>1.3590799999999998</v>
      </c>
      <c r="X625" s="2265">
        <f t="shared" si="577"/>
        <v>1.60755</v>
      </c>
      <c r="Y625" s="2265">
        <f t="shared" si="577"/>
        <v>1.7361900000000001</v>
      </c>
      <c r="Z625" s="2265">
        <f t="shared" si="577"/>
        <v>1.83673</v>
      </c>
      <c r="AA625" s="2265">
        <f t="shared" si="577"/>
        <v>2.0321899999999999</v>
      </c>
      <c r="AB625" s="2265">
        <f t="shared" si="577"/>
        <v>2.1945000000000001</v>
      </c>
      <c r="AC625" s="2265">
        <f t="shared" si="577"/>
        <v>2.3153593839999997</v>
      </c>
      <c r="AD625" s="2265">
        <f>+AD205</f>
        <v>2.3945682130239994</v>
      </c>
      <c r="AE625" s="2265">
        <f>+AE205</f>
        <v>2.5256978838147841</v>
      </c>
    </row>
    <row r="626" spans="1:113" ht="12.75" customHeight="1">
      <c r="B626" s="664"/>
      <c r="C626" s="782" t="s">
        <v>1767</v>
      </c>
      <c r="D626" s="674" t="s">
        <v>687</v>
      </c>
      <c r="E626" s="706" t="s">
        <v>567</v>
      </c>
      <c r="F626" s="704" t="s">
        <v>1805</v>
      </c>
      <c r="G626" s="706">
        <f t="shared" ref="G626:AC626" si="578">+G255</f>
        <v>0.56044000000000005</v>
      </c>
      <c r="H626" s="706">
        <f t="shared" si="578"/>
        <v>0.74826999999999999</v>
      </c>
      <c r="I626" s="706">
        <f t="shared" si="578"/>
        <v>1.05446</v>
      </c>
      <c r="J626" s="706">
        <f t="shared" si="578"/>
        <v>1.3030599999999999</v>
      </c>
      <c r="K626" s="706">
        <f t="shared" si="578"/>
        <v>1.2872299999999999</v>
      </c>
      <c r="L626" s="706">
        <f t="shared" si="578"/>
        <v>1.3648899999999999</v>
      </c>
      <c r="M626" s="706">
        <f t="shared" si="578"/>
        <v>1.3791100000000001</v>
      </c>
      <c r="N626" s="706">
        <f t="shared" si="578"/>
        <v>1.4252100000000001</v>
      </c>
      <c r="O626" s="706">
        <f t="shared" si="578"/>
        <v>1.5356000000000001</v>
      </c>
      <c r="P626" s="706">
        <f t="shared" si="578"/>
        <v>1.7162999999999999</v>
      </c>
      <c r="Q626" s="706">
        <f t="shared" si="578"/>
        <v>1.9260700000000002</v>
      </c>
      <c r="R626" s="706">
        <f t="shared" si="578"/>
        <v>2.2698700000000001</v>
      </c>
      <c r="S626" s="706">
        <f t="shared" si="578"/>
        <v>2.73678</v>
      </c>
      <c r="T626" s="2265">
        <f t="shared" si="578"/>
        <v>3.2264699999999999</v>
      </c>
      <c r="U626" s="2265">
        <f t="shared" si="578"/>
        <v>3.5213300000000003</v>
      </c>
      <c r="V626" s="2265">
        <f t="shared" si="578"/>
        <v>3.3984800000000002</v>
      </c>
      <c r="W626" s="2265">
        <f t="shared" si="578"/>
        <v>3.5833899999999996</v>
      </c>
      <c r="X626" s="2265">
        <f t="shared" si="578"/>
        <v>3.7254800000000001</v>
      </c>
      <c r="Y626" s="2265">
        <f t="shared" si="578"/>
        <v>3.8927499999999999</v>
      </c>
      <c r="Z626" s="2265">
        <f t="shared" si="578"/>
        <v>4.1737299999999999</v>
      </c>
      <c r="AA626" s="2265">
        <f t="shared" si="578"/>
        <v>4.4563400000000009</v>
      </c>
      <c r="AB626" s="2265">
        <f t="shared" si="578"/>
        <v>4.8441000000000001</v>
      </c>
      <c r="AC626" s="2265">
        <f t="shared" si="578"/>
        <v>5.444205530780633</v>
      </c>
      <c r="AD626" s="2265">
        <f>+AD255</f>
        <v>5.8089673013429346</v>
      </c>
      <c r="AE626" s="2265">
        <f>+AE255</f>
        <v>6.1419965550884186</v>
      </c>
    </row>
    <row r="627" spans="1:113" ht="12.75" customHeight="1">
      <c r="B627" s="664"/>
      <c r="C627" s="782" t="s">
        <v>1767</v>
      </c>
      <c r="D627" s="674" t="s">
        <v>687</v>
      </c>
      <c r="E627" s="706" t="s">
        <v>770</v>
      </c>
      <c r="F627" s="704"/>
      <c r="G627" s="706">
        <f t="shared" ref="G627:AC627" si="579">+G426</f>
        <v>6.6879999999999995E-2</v>
      </c>
      <c r="H627" s="706">
        <f t="shared" si="579"/>
        <v>8.5260000000000002E-2</v>
      </c>
      <c r="I627" s="706">
        <f t="shared" si="579"/>
        <v>0.17276</v>
      </c>
      <c r="J627" s="706">
        <f t="shared" si="579"/>
        <v>0.17068</v>
      </c>
      <c r="K627" s="706">
        <f t="shared" si="579"/>
        <v>0.24678</v>
      </c>
      <c r="L627" s="706">
        <f t="shared" si="579"/>
        <v>0.22652</v>
      </c>
      <c r="M627" s="706">
        <f t="shared" si="579"/>
        <v>0.14169999999999999</v>
      </c>
      <c r="N627" s="706">
        <f t="shared" si="579"/>
        <v>0.21209</v>
      </c>
      <c r="O627" s="706">
        <f t="shared" si="579"/>
        <v>0.23732</v>
      </c>
      <c r="P627" s="706">
        <f t="shared" si="579"/>
        <v>0.26157999999999998</v>
      </c>
      <c r="Q627" s="706">
        <f t="shared" si="579"/>
        <v>0.36352999999999996</v>
      </c>
      <c r="R627" s="706">
        <f t="shared" si="579"/>
        <v>0.31760999999999995</v>
      </c>
      <c r="S627" s="706">
        <f t="shared" si="579"/>
        <v>0.42169000000000001</v>
      </c>
      <c r="T627" s="2265">
        <f t="shared" si="579"/>
        <v>0.58135999999999999</v>
      </c>
      <c r="U627" s="2265">
        <f t="shared" si="579"/>
        <v>0.57049000000000005</v>
      </c>
      <c r="V627" s="2265">
        <f t="shared" si="579"/>
        <v>0.6081700000000001</v>
      </c>
      <c r="W627" s="2265">
        <f t="shared" si="579"/>
        <v>0.55608000000000002</v>
      </c>
      <c r="X627" s="2265">
        <f t="shared" si="579"/>
        <v>0.61770999999999998</v>
      </c>
      <c r="Y627" s="2265">
        <f t="shared" si="579"/>
        <v>0.70948</v>
      </c>
      <c r="Z627" s="2265">
        <f t="shared" si="579"/>
        <v>0.76029999999999998</v>
      </c>
      <c r="AA627" s="2265">
        <f t="shared" si="579"/>
        <v>0.76861999999999997</v>
      </c>
      <c r="AB627" s="2265">
        <f t="shared" si="579"/>
        <v>0.80027999999999999</v>
      </c>
      <c r="AC627" s="2265">
        <f t="shared" si="579"/>
        <v>0.82028699999999988</v>
      </c>
      <c r="AD627" s="2265">
        <f>+AD426</f>
        <v>0.84079417499999975</v>
      </c>
      <c r="AE627" s="2265">
        <f>+AE426</f>
        <v>0.86181402937499962</v>
      </c>
    </row>
    <row r="628" spans="1:113" ht="12.75" customHeight="1">
      <c r="B628" s="664"/>
      <c r="C628" s="782" t="s">
        <v>1767</v>
      </c>
      <c r="D628" s="674" t="s">
        <v>687</v>
      </c>
      <c r="E628" s="706" t="s">
        <v>1945</v>
      </c>
      <c r="F628" s="704" t="s">
        <v>2008</v>
      </c>
      <c r="G628" s="706">
        <f>+G748</f>
        <v>0.35048000000000001</v>
      </c>
      <c r="H628" s="706">
        <f t="shared" ref="H628:T628" si="580">+H748</f>
        <v>0.50093999999999994</v>
      </c>
      <c r="I628" s="706">
        <f t="shared" si="580"/>
        <v>0.67547000000000001</v>
      </c>
      <c r="J628" s="706">
        <f t="shared" si="580"/>
        <v>0.5278799999999999</v>
      </c>
      <c r="K628" s="706">
        <f t="shared" si="580"/>
        <v>0.38412000000000002</v>
      </c>
      <c r="L628" s="706">
        <f>+L748</f>
        <v>0.48592000000000002</v>
      </c>
      <c r="M628" s="706">
        <f>+M748</f>
        <v>0.44218000000000002</v>
      </c>
      <c r="N628" s="706">
        <f t="shared" si="580"/>
        <v>0.36631999999999998</v>
      </c>
      <c r="O628" s="706">
        <f t="shared" si="580"/>
        <v>0.30554999999999999</v>
      </c>
      <c r="P628" s="706">
        <f t="shared" si="580"/>
        <v>0.28567999999999999</v>
      </c>
      <c r="Q628" s="706">
        <f t="shared" si="580"/>
        <v>0.40298</v>
      </c>
      <c r="R628" s="706">
        <f>+R748</f>
        <v>0.35403000000000001</v>
      </c>
      <c r="S628" s="706">
        <f>+S748</f>
        <v>0.41898000000000002</v>
      </c>
      <c r="T628" s="2265">
        <f t="shared" si="580"/>
        <v>0.48837999999999998</v>
      </c>
      <c r="U628" s="2265">
        <f t="shared" ref="U628:Z628" si="581">+U748</f>
        <v>0.43901000000000001</v>
      </c>
      <c r="V628" s="2265">
        <f t="shared" si="581"/>
        <v>0.59362000000000004</v>
      </c>
      <c r="W628" s="2265">
        <f t="shared" si="581"/>
        <v>0.67314999999999992</v>
      </c>
      <c r="X628" s="2265">
        <f t="shared" si="581"/>
        <v>0.68006999999999995</v>
      </c>
      <c r="Y628" s="2265">
        <f t="shared" si="581"/>
        <v>0.59372000000000003</v>
      </c>
      <c r="Z628" s="2265">
        <f t="shared" si="581"/>
        <v>0.59770999999999996</v>
      </c>
      <c r="AA628" s="2265">
        <f>+AA748</f>
        <v>0.67398999999999998</v>
      </c>
      <c r="AB628" s="2265">
        <f>+AB748</f>
        <v>0.64477999999999991</v>
      </c>
      <c r="AC628" s="2265">
        <f>+AC748</f>
        <v>0.70744060799999986</v>
      </c>
      <c r="AD628" s="2265">
        <f>+AD748</f>
        <v>0.77082054467999994</v>
      </c>
      <c r="AE628" s="2265">
        <f>+AE748</f>
        <v>0.83038656847780001</v>
      </c>
    </row>
    <row r="629" spans="1:113" ht="12.75" customHeight="1">
      <c r="B629" s="664"/>
      <c r="C629" s="782" t="s">
        <v>1769</v>
      </c>
      <c r="D629" s="746" t="s">
        <v>687</v>
      </c>
      <c r="E629" s="799" t="s">
        <v>1815</v>
      </c>
      <c r="F629" s="748" t="s">
        <v>160</v>
      </c>
      <c r="G629" s="799">
        <f t="shared" ref="G629:Y629" si="582">+G624+G625+G626+G627+G628</f>
        <v>2.5647600000000002</v>
      </c>
      <c r="H629" s="799">
        <f t="shared" si="582"/>
        <v>3.2355799999999997</v>
      </c>
      <c r="I629" s="799">
        <f t="shared" si="582"/>
        <v>4.5135100000000001</v>
      </c>
      <c r="J629" s="799">
        <f t="shared" si="582"/>
        <v>4.9670399999999999</v>
      </c>
      <c r="K629" s="799">
        <f t="shared" si="582"/>
        <v>4.8212999999999999</v>
      </c>
      <c r="L629" s="799">
        <f t="shared" si="582"/>
        <v>4.8684399999999997</v>
      </c>
      <c r="M629" s="799">
        <f t="shared" si="582"/>
        <v>4.7937899999999996</v>
      </c>
      <c r="N629" s="799">
        <f t="shared" si="582"/>
        <v>5.0151899999999996</v>
      </c>
      <c r="O629" s="799">
        <f t="shared" si="582"/>
        <v>5.3329200000000014</v>
      </c>
      <c r="P629" s="799">
        <f t="shared" si="582"/>
        <v>5.8812700000000007</v>
      </c>
      <c r="Q629" s="799">
        <f t="shared" si="582"/>
        <v>6.9256200000000003</v>
      </c>
      <c r="R629" s="799">
        <f t="shared" si="582"/>
        <v>7.9644500000000003</v>
      </c>
      <c r="S629" s="799">
        <f t="shared" si="582"/>
        <v>9.5884899999999984</v>
      </c>
      <c r="T629" s="799">
        <f>+T624+T625+T626+T627+T628</f>
        <v>11.103549999999998</v>
      </c>
      <c r="U629" s="799">
        <f>+U624+U625+U626+U627+U628</f>
        <v>9.2435799999999997</v>
      </c>
      <c r="V629" s="2302">
        <f t="shared" si="582"/>
        <v>9.2135800000000003</v>
      </c>
      <c r="W629" s="2302">
        <f t="shared" si="582"/>
        <v>9.8002999999999982</v>
      </c>
      <c r="X629" s="2302">
        <f t="shared" si="582"/>
        <v>10.354880000000001</v>
      </c>
      <c r="Y629" s="2302">
        <f t="shared" si="582"/>
        <v>10.773479999999999</v>
      </c>
      <c r="Z629" s="2302">
        <f t="shared" ref="Z629:AE629" si="583">+Z624+Z625+Z626+Z627+Z628</f>
        <v>11.44801</v>
      </c>
      <c r="AA629" s="2302">
        <f t="shared" si="583"/>
        <v>12.274770000000002</v>
      </c>
      <c r="AB629" s="2302">
        <f t="shared" si="583"/>
        <v>13.016420000000004</v>
      </c>
      <c r="AC629" s="2302">
        <f t="shared" si="583"/>
        <v>14.215278222780634</v>
      </c>
      <c r="AD629" s="2302">
        <f t="shared" si="583"/>
        <v>15.061240161066149</v>
      </c>
      <c r="AE629" s="2302">
        <f t="shared" si="583"/>
        <v>15.900807104354294</v>
      </c>
    </row>
    <row r="630" spans="1:113" s="884" customFormat="1" ht="12.75" customHeight="1">
      <c r="A630" s="663"/>
      <c r="B630" s="664"/>
      <c r="C630" s="842" t="s">
        <v>1767</v>
      </c>
      <c r="D630" s="890" t="s">
        <v>687</v>
      </c>
      <c r="E630" s="1438" t="s">
        <v>1479</v>
      </c>
      <c r="F630" s="1439" t="s">
        <v>1816</v>
      </c>
      <c r="G630" s="1438">
        <f t="shared" ref="G630:AC630" si="584">+G485</f>
        <v>0</v>
      </c>
      <c r="H630" s="1438">
        <f t="shared" si="584"/>
        <v>0</v>
      </c>
      <c r="I630" s="1438">
        <f t="shared" si="584"/>
        <v>2.3E-3</v>
      </c>
      <c r="J630" s="1438">
        <f t="shared" si="584"/>
        <v>4.7000000000000004E-4</v>
      </c>
      <c r="K630" s="1438">
        <f t="shared" si="584"/>
        <v>1.1890000000000001E-2</v>
      </c>
      <c r="L630" s="1438">
        <f t="shared" si="584"/>
        <v>-2.785E-2</v>
      </c>
      <c r="M630" s="1438">
        <f t="shared" si="584"/>
        <v>-2.945E-2</v>
      </c>
      <c r="N630" s="1438">
        <f t="shared" si="584"/>
        <v>4.5899999999999996E-2</v>
      </c>
      <c r="O630" s="1438">
        <f t="shared" si="584"/>
        <v>5.3399999999999996E-2</v>
      </c>
      <c r="P630" s="1438">
        <f t="shared" si="584"/>
        <v>7.2190000000000004E-2</v>
      </c>
      <c r="Q630" s="1438">
        <f t="shared" si="584"/>
        <v>0.15971000000000002</v>
      </c>
      <c r="R630" s="1438">
        <f t="shared" si="584"/>
        <v>0.23172999999999999</v>
      </c>
      <c r="S630" s="1438">
        <f t="shared" si="584"/>
        <v>0.41325000000000001</v>
      </c>
      <c r="T630" s="2303">
        <f t="shared" si="584"/>
        <v>0.34273000000000003</v>
      </c>
      <c r="U630" s="2303">
        <f t="shared" si="584"/>
        <v>0.39441999999999999</v>
      </c>
      <c r="V630" s="2303">
        <f t="shared" si="584"/>
        <v>0.7077</v>
      </c>
      <c r="W630" s="2303">
        <f t="shared" si="584"/>
        <v>0.68730999999999998</v>
      </c>
      <c r="X630" s="2303">
        <f t="shared" si="584"/>
        <v>0.63571</v>
      </c>
      <c r="Y630" s="2303">
        <f t="shared" si="584"/>
        <v>0.7223099999999999</v>
      </c>
      <c r="Z630" s="2303">
        <f t="shared" si="584"/>
        <v>0.99297000000000002</v>
      </c>
      <c r="AA630" s="2303">
        <f t="shared" si="584"/>
        <v>0.69129999999999991</v>
      </c>
      <c r="AB630" s="2303">
        <f t="shared" si="584"/>
        <v>0.31355</v>
      </c>
      <c r="AC630" s="2303">
        <f t="shared" si="584"/>
        <v>0.30702419999999997</v>
      </c>
      <c r="AD630" s="2303">
        <f>+AD485</f>
        <v>0.35818647199999992</v>
      </c>
      <c r="AE630" s="2303">
        <f>+AE485</f>
        <v>0.36560500143999991</v>
      </c>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c r="CW630"/>
      <c r="CX630"/>
      <c r="CY630"/>
      <c r="CZ630"/>
      <c r="DA630"/>
      <c r="DB630"/>
      <c r="DC630"/>
      <c r="DD630"/>
      <c r="DE630"/>
      <c r="DF630"/>
      <c r="DG630"/>
      <c r="DH630"/>
      <c r="DI630"/>
    </row>
    <row r="631" spans="1:113" s="1" customFormat="1">
      <c r="A631" s="664">
        <f>+ROW(InputY!A177)</f>
        <v>177</v>
      </c>
      <c r="B631" s="2206"/>
      <c r="C631" s="710"/>
      <c r="D631" s="2207" t="s">
        <v>687</v>
      </c>
      <c r="E631" s="1060" t="s">
        <v>793</v>
      </c>
      <c r="F631" s="2208" t="s">
        <v>1142</v>
      </c>
      <c r="G631" s="1061">
        <f>+InputY!G177/1000</f>
        <v>2.5647699999999998</v>
      </c>
      <c r="H631" s="1061">
        <f>+InputY!H177/1000</f>
        <v>3.2355800000000001</v>
      </c>
      <c r="I631" s="1061">
        <f>+InputY!I177/1000</f>
        <v>4.5158100000000001</v>
      </c>
      <c r="J631" s="1061">
        <f>+InputY!J177/1000</f>
        <v>4.9675200000000004</v>
      </c>
      <c r="K631" s="1061">
        <f>+InputY!K177/1000</f>
        <v>4.8331899999999992</v>
      </c>
      <c r="L631" s="1061">
        <f>+InputY!L177/1000</f>
        <v>4.8406099999999999</v>
      </c>
      <c r="M631" s="1061">
        <f>+InputY!M177/1000</f>
        <v>4.7643399999999998</v>
      </c>
      <c r="N631" s="1061">
        <f>+InputY!N177/1000</f>
        <v>5.0611000000000006</v>
      </c>
      <c r="O631" s="1061">
        <f>+InputY!O177/1000</f>
        <v>5.3863300000000001</v>
      </c>
      <c r="P631" s="1061">
        <f>+InputY!P177/1000</f>
        <v>5.9534700000000003</v>
      </c>
      <c r="Q631" s="1061">
        <f>+InputY!Q177/1000</f>
        <v>7.0853299999999999</v>
      </c>
      <c r="R631" s="1061">
        <f>+InputY!R177/1000</f>
        <v>8.1961700000000004</v>
      </c>
      <c r="S631" s="1061">
        <f>+InputY!S177/1000</f>
        <v>10.00174</v>
      </c>
      <c r="T631" s="1061">
        <f>+InputY!T177/1000</f>
        <v>11.44628</v>
      </c>
      <c r="U631" s="1061">
        <f>+InputY!U177/1000</f>
        <v>9.6379999999999999</v>
      </c>
      <c r="V631" s="1061">
        <f>+InputY!V177/1000</f>
        <v>9.9212800000000012</v>
      </c>
      <c r="W631" s="1061">
        <f>+InputY!W177/1000</f>
        <v>10.487590000000001</v>
      </c>
      <c r="X631" s="1061">
        <f>+InputY!X177/1000</f>
        <v>10.990590000000001</v>
      </c>
      <c r="Y631" s="1061">
        <f>+InputY!Y177/1000</f>
        <v>11.495790000000001</v>
      </c>
      <c r="Z631" s="1061">
        <f>+InputY!Z177/1000</f>
        <v>12.44098</v>
      </c>
      <c r="AA631" s="1061">
        <f>+InputY!AA177/1000</f>
        <v>12.966089999999999</v>
      </c>
      <c r="AB631" s="1061">
        <f>+InputY!AB177/1000</f>
        <v>13.329979999999999</v>
      </c>
      <c r="AC631" s="2223">
        <f t="shared" ref="AC631" si="585">+AC629+AC630</f>
        <v>14.522302422780635</v>
      </c>
      <c r="AD631" s="2223">
        <f>+AD629+AD630</f>
        <v>15.419426633066148</v>
      </c>
      <c r="AE631" s="2223">
        <f>+AE629+AE630</f>
        <v>16.266412105794295</v>
      </c>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M631"/>
      <c r="CN631"/>
      <c r="CO631"/>
      <c r="CP631"/>
      <c r="CQ631"/>
      <c r="CR631"/>
      <c r="CS631"/>
      <c r="CT631"/>
      <c r="CU631"/>
      <c r="CV631"/>
      <c r="CW631"/>
      <c r="CX631"/>
      <c r="CY631"/>
      <c r="CZ631"/>
      <c r="DA631"/>
      <c r="DB631"/>
      <c r="DC631"/>
      <c r="DD631"/>
      <c r="DE631"/>
      <c r="DF631"/>
      <c r="DG631"/>
      <c r="DH631"/>
      <c r="DI631"/>
    </row>
    <row r="632" spans="1:113" s="1976" customFormat="1" ht="12.75" customHeight="1">
      <c r="A632" s="998"/>
      <c r="B632" s="998"/>
      <c r="C632" s="1595"/>
      <c r="D632" s="1975"/>
      <c r="E632" s="1973" t="s">
        <v>737</v>
      </c>
      <c r="F632" s="1974"/>
      <c r="G632" s="2209">
        <f>ABS(G631-G630-G629)</f>
        <v>9.9999999996214228E-6</v>
      </c>
      <c r="H632" s="2209">
        <f t="shared" ref="H632:Y632" si="586">ABS(H631-H630-H629)</f>
        <v>4.4408920985006262E-16</v>
      </c>
      <c r="I632" s="2209">
        <f t="shared" si="586"/>
        <v>0</v>
      </c>
      <c r="J632" s="2209">
        <f t="shared" si="586"/>
        <v>1.0000000000509601E-5</v>
      </c>
      <c r="K632" s="2209">
        <f t="shared" si="586"/>
        <v>8.8817841970012523E-16</v>
      </c>
      <c r="L632" s="2209">
        <f>ABS(L631-L630-L629)</f>
        <v>2.0000000000131024E-5</v>
      </c>
      <c r="M632" s="2209">
        <f>ABS(M631-M630-M629)</f>
        <v>0</v>
      </c>
      <c r="N632" s="2209">
        <f t="shared" si="586"/>
        <v>1.000000000139778E-5</v>
      </c>
      <c r="O632" s="2209">
        <f t="shared" si="586"/>
        <v>9.9999999987332444E-6</v>
      </c>
      <c r="P632" s="2209">
        <f t="shared" si="586"/>
        <v>9.9999999996214228E-6</v>
      </c>
      <c r="Q632" s="2209">
        <f>ABS(Q631-Q630-Q629)</f>
        <v>0</v>
      </c>
      <c r="R632" s="2209">
        <f>ABS(R631-R630-R629)</f>
        <v>9.9999999996214228E-6</v>
      </c>
      <c r="S632" s="2209">
        <f>ABS(S631-S630-S629)</f>
        <v>1.7763568394002505E-15</v>
      </c>
      <c r="T632" s="2921">
        <f t="shared" si="586"/>
        <v>1.7763568394002505E-15</v>
      </c>
      <c r="U632" s="2921">
        <f t="shared" si="586"/>
        <v>0</v>
      </c>
      <c r="V632" s="2921">
        <f t="shared" si="586"/>
        <v>0</v>
      </c>
      <c r="W632" s="2921">
        <f t="shared" si="586"/>
        <v>1.9999999997466489E-5</v>
      </c>
      <c r="X632" s="2921">
        <f t="shared" si="586"/>
        <v>0</v>
      </c>
      <c r="Y632" s="2921">
        <f t="shared" si="586"/>
        <v>1.7763568394002505E-15</v>
      </c>
      <c r="Z632" s="2921">
        <f t="shared" ref="Z632:AE632" si="587">ABS(Z631-Z630-Z629)</f>
        <v>0</v>
      </c>
      <c r="AA632" s="2921">
        <f t="shared" si="587"/>
        <v>1.9999999997466489E-5</v>
      </c>
      <c r="AB632" s="2921">
        <f t="shared" si="587"/>
        <v>9.9999999960687092E-6</v>
      </c>
      <c r="AC632" s="2921">
        <f t="shared" si="587"/>
        <v>0</v>
      </c>
      <c r="AD632" s="2921">
        <f t="shared" si="587"/>
        <v>0</v>
      </c>
      <c r="AE632" s="2921">
        <f t="shared" si="587"/>
        <v>0</v>
      </c>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M632"/>
      <c r="CN632"/>
      <c r="CO632"/>
      <c r="CP632"/>
      <c r="CQ632"/>
      <c r="CR632"/>
      <c r="CS632"/>
      <c r="CT632"/>
      <c r="CU632"/>
      <c r="CV632"/>
      <c r="CW632"/>
      <c r="CX632"/>
      <c r="CY632"/>
      <c r="CZ632"/>
      <c r="DA632"/>
      <c r="DB632"/>
      <c r="DC632"/>
      <c r="DD632"/>
      <c r="DE632"/>
      <c r="DF632"/>
      <c r="DG632"/>
      <c r="DH632"/>
      <c r="DI632"/>
    </row>
    <row r="633" spans="1:113">
      <c r="F633" s="1023"/>
      <c r="Q633" s="699"/>
      <c r="R633" s="699"/>
      <c r="S633" s="699"/>
      <c r="AB633" s="2221"/>
      <c r="AC633" s="2221"/>
      <c r="AD633" s="2221"/>
      <c r="AE633" s="2221"/>
    </row>
    <row r="634" spans="1:113" ht="12.75" customHeight="1">
      <c r="B634" s="664"/>
      <c r="C634" s="774"/>
      <c r="D634" s="858"/>
      <c r="E634" s="859" t="s">
        <v>1337</v>
      </c>
      <c r="F634" s="860"/>
      <c r="G634" s="861">
        <f>+InputY!$G$3</f>
        <v>1995</v>
      </c>
      <c r="H634" s="861">
        <f>+G634+1</f>
        <v>1996</v>
      </c>
      <c r="I634" s="861">
        <f t="shared" ref="I634:O634" si="588">+H634+1</f>
        <v>1997</v>
      </c>
      <c r="J634" s="861">
        <f t="shared" si="588"/>
        <v>1998</v>
      </c>
      <c r="K634" s="861">
        <f>+J634+1</f>
        <v>1999</v>
      </c>
      <c r="L634" s="861">
        <f t="shared" si="588"/>
        <v>2000</v>
      </c>
      <c r="M634" s="861">
        <f t="shared" si="588"/>
        <v>2001</v>
      </c>
      <c r="N634" s="861">
        <f t="shared" si="588"/>
        <v>2002</v>
      </c>
      <c r="O634" s="861">
        <f t="shared" si="588"/>
        <v>2003</v>
      </c>
      <c r="P634" s="861">
        <f t="shared" ref="P634:U634" si="589">+O634+1</f>
        <v>2004</v>
      </c>
      <c r="Q634" s="861">
        <f t="shared" si="589"/>
        <v>2005</v>
      </c>
      <c r="R634" s="861">
        <f>+Q634+1</f>
        <v>2006</v>
      </c>
      <c r="S634" s="861">
        <f>+R634+1</f>
        <v>2007</v>
      </c>
      <c r="T634" s="2216">
        <f t="shared" si="589"/>
        <v>2008</v>
      </c>
      <c r="U634" s="2216">
        <f t="shared" si="589"/>
        <v>2009</v>
      </c>
      <c r="V634" s="2216">
        <f t="shared" ref="V634:AE634" si="590">+U634+1</f>
        <v>2010</v>
      </c>
      <c r="W634" s="2216">
        <f t="shared" si="590"/>
        <v>2011</v>
      </c>
      <c r="X634" s="2216">
        <f t="shared" si="590"/>
        <v>2012</v>
      </c>
      <c r="Y634" s="2216">
        <f t="shared" si="590"/>
        <v>2013</v>
      </c>
      <c r="Z634" s="2216">
        <f t="shared" si="590"/>
        <v>2014</v>
      </c>
      <c r="AA634" s="2216">
        <f t="shared" si="590"/>
        <v>2015</v>
      </c>
      <c r="AB634" s="2216">
        <f t="shared" si="590"/>
        <v>2016</v>
      </c>
      <c r="AC634" s="2216">
        <f t="shared" si="590"/>
        <v>2017</v>
      </c>
      <c r="AD634" s="2216">
        <f t="shared" si="590"/>
        <v>2018</v>
      </c>
      <c r="AE634" s="2216">
        <f t="shared" si="590"/>
        <v>2019</v>
      </c>
    </row>
    <row r="635" spans="1:113" ht="12.75" customHeight="1">
      <c r="B635" s="664"/>
      <c r="C635" s="1873" t="s">
        <v>1767</v>
      </c>
      <c r="D635" s="863" t="s">
        <v>687</v>
      </c>
      <c r="E635" s="1888" t="s">
        <v>1381</v>
      </c>
      <c r="F635" s="865" t="s">
        <v>1801</v>
      </c>
      <c r="G635" s="1892">
        <f>+G624/'VVP2'!G$341</f>
        <v>0.12030863426376097</v>
      </c>
      <c r="H635" s="1892">
        <f>+H624/'VVP2'!H$341</f>
        <v>0.11567867492266437</v>
      </c>
      <c r="I635" s="1892">
        <f>+I624/'VVP2'!I$341</f>
        <v>0.13524087496609616</v>
      </c>
      <c r="J635" s="1892">
        <f>+J624/'VVP2'!J$341</f>
        <v>0.13784637642874037</v>
      </c>
      <c r="K635" s="1892">
        <f>+K624/'VVP2'!K$341</f>
        <v>0.13715772713828106</v>
      </c>
      <c r="L635" s="1892">
        <f>+L624/'VVP2'!L$341</f>
        <v>0.12511875214127877</v>
      </c>
      <c r="M635" s="1892">
        <f>+M624/'VVP2'!M$341</f>
        <v>0.1218308192175572</v>
      </c>
      <c r="N635" s="1892">
        <f>+N624/'VVP2'!N$341</f>
        <v>0.1238915233812015</v>
      </c>
      <c r="O635" s="1892">
        <f>+O624/'VVP2'!O$341</f>
        <v>0.11642873255389814</v>
      </c>
      <c r="P635" s="1892">
        <f>+P624/'VVP2'!P$341</f>
        <v>0.11178699969075083</v>
      </c>
      <c r="Q635" s="1892">
        <f>+Q624/'VVP2'!Q$341</f>
        <v>0.11210935919075722</v>
      </c>
      <c r="R635" s="1892">
        <f>+R624/'VVP2'!R$341</f>
        <v>0.11310476519549252</v>
      </c>
      <c r="S635" s="1892">
        <f>+S624/'VVP2'!S$341</f>
        <v>0.11629728800929455</v>
      </c>
      <c r="T635" s="2862">
        <f>+T624/'VVP2'!T$341</f>
        <v>0.11593795991470589</v>
      </c>
      <c r="U635" s="2862">
        <f>+U624/'VVP2'!U$341</f>
        <v>0.11562876603593417</v>
      </c>
      <c r="V635" s="2862">
        <f>+V624/'VVP2'!V$341</f>
        <v>0.11842801004436333</v>
      </c>
      <c r="W635" s="2862">
        <f>+W624/'VVP2'!W$341</f>
        <v>0.11602119498697375</v>
      </c>
      <c r="X635" s="2862">
        <f>+X624/'VVP2'!X$341</f>
        <v>0.11167135653559022</v>
      </c>
      <c r="Y635" s="2862">
        <f>+Y624/'VVP2'!Y$341</f>
        <v>0.10987924650275388</v>
      </c>
      <c r="Z635" s="2862">
        <f>+Z624/'VVP2'!Z$341</f>
        <v>0.11155952645298055</v>
      </c>
      <c r="AA635" s="2862">
        <f>+AA624/'VVP2'!AA$341</f>
        <v>0.11605726513836011</v>
      </c>
      <c r="AB635" s="2862">
        <f>+AB624/'VVP2'!AB$341</f>
        <v>0.11722153949279411</v>
      </c>
      <c r="AC635" s="2862">
        <f ca="1">+AC624/'VVP2'!AC$341</f>
        <v>0.11795197422789411</v>
      </c>
      <c r="AD635" s="2862">
        <f ca="1">+AD624/'VVP2'!AD$341</f>
        <v>0.11865878778518013</v>
      </c>
      <c r="AE635" s="2862">
        <f ca="1">+AE624/'VVP2'!AE$341</f>
        <v>0.11870945245536141</v>
      </c>
    </row>
    <row r="636" spans="1:113" ht="12.75" customHeight="1">
      <c r="B636" s="664"/>
      <c r="C636" s="1874" t="s">
        <v>1767</v>
      </c>
      <c r="D636" s="674" t="s">
        <v>687</v>
      </c>
      <c r="E636" s="706" t="s">
        <v>614</v>
      </c>
      <c r="F636" s="704" t="s">
        <v>1803</v>
      </c>
      <c r="G636" s="839">
        <f>+G625/'VVP2'!G$341</f>
        <v>8.4077207506442778E-2</v>
      </c>
      <c r="H636" s="839">
        <f>+H625/'VVP2'!H$341</f>
        <v>8.0026559194576991E-2</v>
      </c>
      <c r="I636" s="839">
        <f>+I625/'VVP2'!I$341</f>
        <v>8.7442875249267762E-2</v>
      </c>
      <c r="J636" s="839">
        <f>+J625/'VVP2'!J$341</f>
        <v>8.9878175021271767E-2</v>
      </c>
      <c r="K636" s="839">
        <f>+K625/'VVP2'!K$341</f>
        <v>9.1221106223371762E-2</v>
      </c>
      <c r="L636" s="839">
        <f>+L625/'VVP2'!L$341</f>
        <v>8.3668831508851613E-2</v>
      </c>
      <c r="M636" s="839">
        <f>+M625/'VVP2'!M$341</f>
        <v>7.7598256228459991E-2</v>
      </c>
      <c r="N636" s="839">
        <f>+N625/'VVP2'!N$341</f>
        <v>7.420980031140291E-2</v>
      </c>
      <c r="O636" s="839">
        <f>+O625/'VVP2'!O$341</f>
        <v>7.8817024707711805E-2</v>
      </c>
      <c r="P636" s="839">
        <f>+P625/'VVP2'!P$341</f>
        <v>8.6577159864281286E-2</v>
      </c>
      <c r="Q636" s="839">
        <f>+Q625/'VVP2'!Q$341</f>
        <v>8.9441419650658133E-2</v>
      </c>
      <c r="R636" s="839">
        <f>+R625/'VVP2'!R$341</f>
        <v>9.549619214607806E-2</v>
      </c>
      <c r="S636" s="839">
        <f>+S625/'VVP2'!S$341</f>
        <v>9.0689743277184473E-2</v>
      </c>
      <c r="T636" s="2262">
        <f>+T625/'VVP2'!T$341</f>
        <v>9.2261260302395245E-2</v>
      </c>
      <c r="U636" s="2262">
        <f>+U625/'VVP2'!U$341</f>
        <v>5.9339917623358905E-2</v>
      </c>
      <c r="V636" s="2262">
        <f>+V625/'VVP2'!V$341</f>
        <v>4.617046160828267E-2</v>
      </c>
      <c r="W636" s="2262">
        <f>+W625/'VVP2'!W$341</f>
        <v>4.3455350736619158E-2</v>
      </c>
      <c r="X636" s="2262">
        <f>+X625/'VVP2'!X$341</f>
        <v>4.8204595831654096E-2</v>
      </c>
      <c r="Y636" s="2262">
        <f>+Y625/'VVP2'!Y$341</f>
        <v>4.9662682549739483E-2</v>
      </c>
      <c r="Z636" s="2262">
        <f>+Z625/'VVP2'!Z$341</f>
        <v>5.0227410203597216E-2</v>
      </c>
      <c r="AA636" s="2262">
        <f>+AA625/'VVP2'!AA$341</f>
        <v>5.429799813555114E-2</v>
      </c>
      <c r="AB636" s="2262">
        <f>+AB625/'VVP2'!AB$341</f>
        <v>5.6751883712558501E-2</v>
      </c>
      <c r="AC636" s="2262">
        <f ca="1">+AC625/'VVP2'!AC$341</f>
        <v>5.5418425907745789E-2</v>
      </c>
      <c r="AD636" s="2262">
        <f ca="1">+AD625/'VVP2'!AD$341</f>
        <v>5.4161588035872024E-2</v>
      </c>
      <c r="AE636" s="2262">
        <f ca="1">+AE625/'VVP2'!AE$341</f>
        <v>5.4110985555718596E-2</v>
      </c>
    </row>
    <row r="637" spans="1:113" ht="12.75" customHeight="1">
      <c r="B637" s="664"/>
      <c r="C637" s="1874" t="s">
        <v>1767</v>
      </c>
      <c r="D637" s="674" t="s">
        <v>687</v>
      </c>
      <c r="E637" s="706" t="s">
        <v>567</v>
      </c>
      <c r="F637" s="704" t="s">
        <v>1805</v>
      </c>
      <c r="G637" s="839">
        <f>+G626/'VVP2'!G$341</f>
        <v>7.2179513763228439E-2</v>
      </c>
      <c r="H637" s="839">
        <f>+H626/'VVP2'!H$341</f>
        <v>7.7028870256275639E-2</v>
      </c>
      <c r="I637" s="839">
        <f>+I626/'VVP2'!I$341</f>
        <v>8.9937685191661107E-2</v>
      </c>
      <c r="J637" s="839">
        <f>+J626/'VVP2'!J$341</f>
        <v>0.10006634945891402</v>
      </c>
      <c r="K637" s="839">
        <f>+K626/'VVP2'!K$341</f>
        <v>0.10126037595735708</v>
      </c>
      <c r="L637" s="839">
        <f>+L626/'VVP2'!L$341</f>
        <v>0.10209991188030082</v>
      </c>
      <c r="M637" s="839">
        <f>+M626/'VVP2'!M$341</f>
        <v>9.7157917280753417E-2</v>
      </c>
      <c r="N637" s="839">
        <f>+N626/'VVP2'!N$341</f>
        <v>9.3750431681792798E-2</v>
      </c>
      <c r="O637" s="839">
        <f>+O626/'VVP2'!O$341</f>
        <v>9.2125976693735734E-2</v>
      </c>
      <c r="P637" s="839">
        <f>+P626/'VVP2'!P$341</f>
        <v>9.4107158131608554E-2</v>
      </c>
      <c r="Q637" s="839">
        <f>+Q626/'VVP2'!Q$341</f>
        <v>9.1707356557718556E-2</v>
      </c>
      <c r="R637" s="839">
        <f>+R626/'VVP2'!R$341</f>
        <v>9.4266914404892529E-2</v>
      </c>
      <c r="S637" s="839">
        <f>+S626/'VVP2'!S$341</f>
        <v>9.4239593728241713E-2</v>
      </c>
      <c r="T637" s="2262">
        <f>+T626/'VVP2'!T$341</f>
        <v>9.8680033324892003E-2</v>
      </c>
      <c r="U637" s="2262">
        <f>+U626/'VVP2'!U$341</f>
        <v>0.13073523416900504</v>
      </c>
      <c r="V637" s="2262">
        <f>+V626/'VVP2'!V$341</f>
        <v>0.12125450358681389</v>
      </c>
      <c r="W637" s="2262">
        <f>+W626/'VVP2'!W$341</f>
        <v>0.11457564622839989</v>
      </c>
      <c r="X637" s="2262">
        <f>+X626/'VVP2'!X$341</f>
        <v>0.11171363732320033</v>
      </c>
      <c r="Y637" s="2262">
        <f>+Y626/'VVP2'!Y$341</f>
        <v>0.11134979898254128</v>
      </c>
      <c r="Z637" s="2262">
        <f>+Z626/'VVP2'!Z$341</f>
        <v>0.11413525601969794</v>
      </c>
      <c r="AA637" s="2262">
        <f>+AA626/'VVP2'!AA$341</f>
        <v>0.11906875883228538</v>
      </c>
      <c r="AB637" s="2262">
        <f>+AB626/'VVP2'!AB$341</f>
        <v>0.1252730917712484</v>
      </c>
      <c r="AC637" s="2262">
        <f ca="1">+AC626/'VVP2'!AC$341</f>
        <v>0.13030776255255688</v>
      </c>
      <c r="AD637" s="2262">
        <f ca="1">+AD626/'VVP2'!AD$341</f>
        <v>0.1313902407030883</v>
      </c>
      <c r="AE637" s="2262">
        <f ca="1">+AE626/'VVP2'!AE$341</f>
        <v>0.13158718982402046</v>
      </c>
    </row>
    <row r="638" spans="1:113" ht="12.75" customHeight="1">
      <c r="B638" s="664"/>
      <c r="C638" s="1874" t="s">
        <v>1767</v>
      </c>
      <c r="D638" s="674" t="s">
        <v>687</v>
      </c>
      <c r="E638" s="706" t="s">
        <v>770</v>
      </c>
      <c r="F638" s="704"/>
      <c r="G638" s="839">
        <f>+G627/'VVP2'!G$341</f>
        <v>8.6135284428033639E-3</v>
      </c>
      <c r="H638" s="839">
        <f>+H627/'VVP2'!H$341</f>
        <v>8.7768873241611464E-3</v>
      </c>
      <c r="I638" s="839">
        <f>+I627/'VVP2'!I$341</f>
        <v>1.4735157799927331E-2</v>
      </c>
      <c r="J638" s="839">
        <f>+J627/'VVP2'!J$341</f>
        <v>1.3107089869727752E-2</v>
      </c>
      <c r="K638" s="839">
        <f>+K627/'VVP2'!K$341</f>
        <v>1.9413030754998395E-2</v>
      </c>
      <c r="L638" s="839">
        <f>+L627/'VVP2'!L$341</f>
        <v>1.6944714987380479E-2</v>
      </c>
      <c r="M638" s="839">
        <f>+M627/'VVP2'!M$341</f>
        <v>9.9827257279569859E-3</v>
      </c>
      <c r="N638" s="839">
        <f>+N627/'VVP2'!N$341</f>
        <v>1.3951297742361781E-2</v>
      </c>
      <c r="O638" s="839">
        <f>+O627/'VVP2'!O$341</f>
        <v>1.4237650943577341E-2</v>
      </c>
      <c r="P638" s="839">
        <f>+P627/'VVP2'!P$341</f>
        <v>1.4342801622132591E-2</v>
      </c>
      <c r="Q638" s="839">
        <f>+Q627/'VVP2'!Q$341</f>
        <v>1.7309015419703033E-2</v>
      </c>
      <c r="R638" s="839">
        <f>+R627/'VVP2'!R$341</f>
        <v>1.3190233222227664E-2</v>
      </c>
      <c r="S638" s="839">
        <f>+S627/'VVP2'!S$341</f>
        <v>1.4520675494289731E-2</v>
      </c>
      <c r="T638" s="2262">
        <f>+T627/'VVP2'!T$341</f>
        <v>1.7780616021149807E-2</v>
      </c>
      <c r="U638" s="2262">
        <f>+U627/'VVP2'!U$341</f>
        <v>2.1180390290337938E-2</v>
      </c>
      <c r="V638" s="2262">
        <f>+V627/'VVP2'!V$341</f>
        <v>2.1698921708055544E-2</v>
      </c>
      <c r="W638" s="2262">
        <f>+W627/'VVP2'!W$341</f>
        <v>1.7780153808178462E-2</v>
      </c>
      <c r="X638" s="2262">
        <f>+X627/'VVP2'!X$341</f>
        <v>1.8522883201873067E-2</v>
      </c>
      <c r="Y638" s="2262">
        <f>+Y627/'VVP2'!Y$341</f>
        <v>2.0294253517984303E-2</v>
      </c>
      <c r="Z638" s="2262">
        <f>+Z627/'VVP2'!Z$341</f>
        <v>2.0791243121087453E-2</v>
      </c>
      <c r="AA638" s="2262">
        <f>+AA627/'VVP2'!AA$341</f>
        <v>2.0536725073417011E-2</v>
      </c>
      <c r="AB638" s="2262">
        <f>+AB627/'VVP2'!AB$341</f>
        <v>2.0696011618813539E-2</v>
      </c>
      <c r="AC638" s="2262">
        <f ca="1">+AC627/'VVP2'!AC$341</f>
        <v>1.9633675293229153E-2</v>
      </c>
      <c r="AD638" s="2262">
        <f ca="1">+AD627/'VVP2'!AD$341</f>
        <v>1.901751951839447E-2</v>
      </c>
      <c r="AE638" s="2262">
        <f ca="1">+AE627/'VVP2'!AE$341</f>
        <v>1.8463651885708279E-2</v>
      </c>
    </row>
    <row r="639" spans="1:113" ht="12.75" customHeight="1">
      <c r="B639" s="664"/>
      <c r="C639" s="1874" t="s">
        <v>1767</v>
      </c>
      <c r="D639" s="674" t="s">
        <v>687</v>
      </c>
      <c r="E639" s="706" t="s">
        <v>790</v>
      </c>
      <c r="F639" s="704" t="s">
        <v>2008</v>
      </c>
      <c r="G639" s="839">
        <f>+G628/'VVP2'!G$341</f>
        <v>4.5138598215217152E-2</v>
      </c>
      <c r="H639" s="839">
        <f>+H628/'VVP2'!H$341</f>
        <v>5.1568073377495707E-2</v>
      </c>
      <c r="I639" s="839">
        <f>+I628/'VVP2'!I$341</f>
        <v>5.7612624676527634E-2</v>
      </c>
      <c r="J639" s="839">
        <f>+J628/'VVP2'!J$341</f>
        <v>4.0537676355940265E-2</v>
      </c>
      <c r="K639" s="839">
        <f>+K628/'VVP2'!K$341</f>
        <v>3.0216927520909247E-2</v>
      </c>
      <c r="L639" s="839">
        <f>+L628/'VVP2'!L$341</f>
        <v>3.6349001883577273E-2</v>
      </c>
      <c r="M639" s="839">
        <f>+M628/'VVP2'!M$341</f>
        <v>3.1151458450162456E-2</v>
      </c>
      <c r="N639" s="839">
        <f>+N628/'VVP2'!N$341</f>
        <v>2.4096559899014415E-2</v>
      </c>
      <c r="O639" s="839">
        <f>+O628/'VVP2'!O$341</f>
        <v>1.8331005586592179E-2</v>
      </c>
      <c r="P639" s="839">
        <f>+P628/'VVP2'!P$341</f>
        <v>1.5664238731595836E-2</v>
      </c>
      <c r="Q639" s="839">
        <f>+Q628/'VVP2'!Q$341</f>
        <v>1.9187376650708136E-2</v>
      </c>
      <c r="R639" s="839">
        <f>+R628/'VVP2'!R$341</f>
        <v>1.4702743199726901E-2</v>
      </c>
      <c r="S639" s="839">
        <f>+S628/'VVP2'!S$341</f>
        <v>1.4427358055911953E-2</v>
      </c>
      <c r="T639" s="2262">
        <f>+T628/'VVP2'!T$341</f>
        <v>1.4936867435683813E-2</v>
      </c>
      <c r="U639" s="2262">
        <f>+U628/'VVP2'!U$341</f>
        <v>1.6298976566392499E-2</v>
      </c>
      <c r="V639" s="2262">
        <f>+V628/'VVP2'!V$341</f>
        <v>2.1179791677221716E-2</v>
      </c>
      <c r="W639" s="2262">
        <f>+W628/'VVP2'!W$341</f>
        <v>2.1523360912054614E-2</v>
      </c>
      <c r="X639" s="2262">
        <f>+X628/'VVP2'!X$341</f>
        <v>2.0392833496459206E-2</v>
      </c>
      <c r="Y639" s="2262">
        <f>+Y628/'VVP2'!Y$341</f>
        <v>1.6983007552993236E-2</v>
      </c>
      <c r="Z639" s="2262">
        <f>+Z628/'VVP2'!Z$341</f>
        <v>1.6345040018289073E-2</v>
      </c>
      <c r="AA639" s="2262">
        <f>+AA628/'VVP2'!AA$341</f>
        <v>1.8008310130145366E-2</v>
      </c>
      <c r="AB639" s="2262">
        <f>+AB628/'VVP2'!AB$341</f>
        <v>1.6674631843328076E-2</v>
      </c>
      <c r="AC639" s="2262">
        <f ca="1">+AC628/'VVP2'!AC$341</f>
        <v>1.6932682325474631E-2</v>
      </c>
      <c r="AD639" s="2262">
        <f ca="1">+AD628/'VVP2'!AD$341</f>
        <v>1.7434819590218212E-2</v>
      </c>
      <c r="AE639" s="2262">
        <f ca="1">+AE628/'VVP2'!AE$341</f>
        <v>1.7790344561994343E-2</v>
      </c>
    </row>
    <row r="640" spans="1:113" ht="12.75" customHeight="1">
      <c r="B640" s="664"/>
      <c r="C640" s="1874" t="s">
        <v>1769</v>
      </c>
      <c r="D640" s="806" t="s">
        <v>687</v>
      </c>
      <c r="E640" s="809" t="s">
        <v>158</v>
      </c>
      <c r="F640" s="808" t="s">
        <v>160</v>
      </c>
      <c r="G640" s="841">
        <f>+G629/'VVP2'!G$341</f>
        <v>0.33031748219145268</v>
      </c>
      <c r="H640" s="841">
        <f>+H629/'VVP2'!H$341</f>
        <v>0.33307906507517382</v>
      </c>
      <c r="I640" s="841">
        <f>+I629/'VVP2'!I$341</f>
        <v>0.38496921788348004</v>
      </c>
      <c r="J640" s="841">
        <f>+J629/'VVP2'!J$341</f>
        <v>0.38143566713459415</v>
      </c>
      <c r="K640" s="841">
        <f>+K629/'VVP2'!K$341</f>
        <v>0.37926916759491758</v>
      </c>
      <c r="L640" s="841">
        <f>+L629/'VVP2'!L$341</f>
        <v>0.36418121240138895</v>
      </c>
      <c r="M640" s="841">
        <f>+M629/'VVP2'!M$341</f>
        <v>0.33772117690489001</v>
      </c>
      <c r="N640" s="841">
        <f>+N629/'VVP2'!N$341</f>
        <v>0.32989961301577336</v>
      </c>
      <c r="O640" s="841">
        <f>+O629/'VVP2'!O$341</f>
        <v>0.31994039048551526</v>
      </c>
      <c r="P640" s="841">
        <f>+P629/'VVP2'!P$341</f>
        <v>0.32247835804036912</v>
      </c>
      <c r="Q640" s="841">
        <f>+Q629/'VVP2'!Q$341</f>
        <v>0.32975452746954509</v>
      </c>
      <c r="R640" s="841">
        <f>+R629/'VVP2'!R$341</f>
        <v>0.33076084816841772</v>
      </c>
      <c r="S640" s="841">
        <f>+S629/'VVP2'!S$341</f>
        <v>0.3301746585649224</v>
      </c>
      <c r="T640" s="2264">
        <f>+T629/'VVP2'!T$341</f>
        <v>0.3395967369988267</v>
      </c>
      <c r="U640" s="2264">
        <f>+U629/'VVP2'!U$341</f>
        <v>0.34318328468502851</v>
      </c>
      <c r="V640" s="2264">
        <f>+V629/'VVP2'!V$341</f>
        <v>0.32873168862473712</v>
      </c>
      <c r="W640" s="2264">
        <f>+W629/'VVP2'!W$341</f>
        <v>0.31335570667222584</v>
      </c>
      <c r="X640" s="2264">
        <f>+X629/'VVP2'!X$341</f>
        <v>0.31050530638877694</v>
      </c>
      <c r="Y640" s="2264">
        <f>+Y629/'VVP2'!Y$341</f>
        <v>0.30816898910601215</v>
      </c>
      <c r="Z640" s="2264">
        <f>+Z629/'VVP2'!Z$341</f>
        <v>0.31305847581565222</v>
      </c>
      <c r="AA640" s="2264">
        <f>+AA629/'VVP2'!AA$341</f>
        <v>0.32796905730975906</v>
      </c>
      <c r="AB640" s="2264">
        <f>+AB629/'VVP2'!AB$341</f>
        <v>0.33661715843874268</v>
      </c>
      <c r="AC640" s="2264">
        <f ca="1">+AC629/'VVP2'!AC$341</f>
        <v>0.34024452030690061</v>
      </c>
      <c r="AD640" s="2264">
        <f ca="1">+AD629/'VVP2'!AD$341</f>
        <v>0.34066295563275312</v>
      </c>
      <c r="AE640" s="2264">
        <f ca="1">+AE629/'VVP2'!AE$341</f>
        <v>0.34066162428280311</v>
      </c>
    </row>
    <row r="641" spans="1:113" s="884" customFormat="1" ht="12.75" customHeight="1">
      <c r="A641" s="663"/>
      <c r="B641" s="664"/>
      <c r="C641" s="1875" t="s">
        <v>1767</v>
      </c>
      <c r="D641" s="1889" t="s">
        <v>687</v>
      </c>
      <c r="E641" s="1890" t="s">
        <v>1479</v>
      </c>
      <c r="F641" s="1891" t="s">
        <v>162</v>
      </c>
      <c r="G641" s="1878">
        <f>+G630/'VVP2'!G$341</f>
        <v>0</v>
      </c>
      <c r="H641" s="1878">
        <f>+H630/'VVP2'!H$341</f>
        <v>0</v>
      </c>
      <c r="I641" s="1878">
        <f>+I630/'VVP2'!I$341</f>
        <v>1.9617308948734002E-4</v>
      </c>
      <c r="J641" s="1878">
        <f>+J630/'VVP2'!J$341</f>
        <v>3.6092876955542796E-5</v>
      </c>
      <c r="K641" s="1878">
        <f>+K630/'VVP2'!K$341</f>
        <v>9.3533080345624007E-4</v>
      </c>
      <c r="L641" s="1878">
        <f>+L630/'VVP2'!L$341</f>
        <v>-2.0833052816464168E-3</v>
      </c>
      <c r="M641" s="1878">
        <f>+M630/'VVP2'!M$341</f>
        <v>-2.0747443379557744E-3</v>
      </c>
      <c r="N641" s="1878">
        <f>+N630/'VVP2'!N$341</f>
        <v>3.019305796475108E-3</v>
      </c>
      <c r="O641" s="1878">
        <f>+O630/'VVP2'!O$341</f>
        <v>3.2036514427230319E-3</v>
      </c>
      <c r="P641" s="1878">
        <f>+P630/'VVP2'!P$341</f>
        <v>3.9582798727033864E-3</v>
      </c>
      <c r="Q641" s="1878">
        <f>+Q630/'VVP2'!Q$341</f>
        <v>7.6043871281070933E-3</v>
      </c>
      <c r="R641" s="1878">
        <f>+R630/'VVP2'!R$341</f>
        <v>9.6236665866528664E-3</v>
      </c>
      <c r="S641" s="1878">
        <f>+S630/'VVP2'!S$341</f>
        <v>1.4230048490633479E-2</v>
      </c>
      <c r="T641" s="2863">
        <f>+T630/'VVP2'!T$341</f>
        <v>1.0482232229476871E-2</v>
      </c>
      <c r="U641" s="2863">
        <f>+U630/'VVP2'!U$341</f>
        <v>1.4643498638565249E-2</v>
      </c>
      <c r="V641" s="2863">
        <f>+V630/'VVP2'!V$341</f>
        <v>2.5250056551278273E-2</v>
      </c>
      <c r="W641" s="2863">
        <f>+W630/'VVP2'!W$341</f>
        <v>2.1976114073333223E-2</v>
      </c>
      <c r="X641" s="2863">
        <f>+X630/'VVP2'!X$341</f>
        <v>1.906263793732128E-2</v>
      </c>
      <c r="Y641" s="2863">
        <f>+Y630/'VVP2'!Y$341</f>
        <v>2.0661248038810451E-2</v>
      </c>
      <c r="Z641" s="2863">
        <f>+Z630/'VVP2'!Z$341</f>
        <v>2.7153861215238998E-2</v>
      </c>
      <c r="AA641" s="2863">
        <f>+AA630/'VVP2'!AA$341</f>
        <v>1.8470815283564285E-2</v>
      </c>
      <c r="AB641" s="2863">
        <f>+AB630/'VVP2'!AB$341</f>
        <v>8.108705007096248E-3</v>
      </c>
      <c r="AC641" s="2863">
        <f ca="1">+AC630/'VVP2'!AC$341</f>
        <v>7.3486638822307876E-3</v>
      </c>
      <c r="AD641" s="2863">
        <f ca="1">+AD630/'VVP2'!AD$341</f>
        <v>8.101647733804597E-3</v>
      </c>
      <c r="AE641" s="2863">
        <f ca="1">+AE630/'VVP2'!AE$341</f>
        <v>7.8327843875522947E-3</v>
      </c>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c r="BZ641"/>
      <c r="CA641"/>
      <c r="CB641"/>
      <c r="CC641"/>
      <c r="CD641"/>
      <c r="CE641"/>
      <c r="CF641"/>
      <c r="CG641"/>
      <c r="CH641"/>
      <c r="CI641"/>
      <c r="CJ641"/>
      <c r="CK641"/>
      <c r="CL641"/>
      <c r="CM641"/>
      <c r="CN641"/>
      <c r="CO641"/>
      <c r="CP641"/>
      <c r="CQ641"/>
      <c r="CR641"/>
      <c r="CS641"/>
      <c r="CT641"/>
      <c r="CU641"/>
      <c r="CV641"/>
      <c r="CW641"/>
      <c r="CX641"/>
      <c r="CY641"/>
      <c r="CZ641"/>
      <c r="DA641"/>
      <c r="DB641"/>
      <c r="DC641"/>
      <c r="DD641"/>
      <c r="DE641"/>
      <c r="DF641"/>
      <c r="DG641"/>
      <c r="DH641"/>
      <c r="DI641"/>
    </row>
    <row r="642" spans="1:113" ht="12.75" customHeight="1">
      <c r="B642" s="664"/>
      <c r="C642" s="774" t="s">
        <v>1769</v>
      </c>
      <c r="D642" s="806" t="s">
        <v>687</v>
      </c>
      <c r="E642" s="809" t="s">
        <v>1337</v>
      </c>
      <c r="F642" s="808"/>
      <c r="G642" s="841">
        <f>+G631/'VVP2'!G$341</f>
        <v>0.33031877009941357</v>
      </c>
      <c r="H642" s="841">
        <f>+H631/'VVP2'!H$341</f>
        <v>0.33307906507517387</v>
      </c>
      <c r="I642" s="841">
        <f>+I631/'VVP2'!I$341</f>
        <v>0.38516539097296737</v>
      </c>
      <c r="J642" s="841">
        <f>+J631/'VVP2'!J$341</f>
        <v>0.381472527945102</v>
      </c>
      <c r="K642" s="841">
        <f>+K631/'VVP2'!K$341</f>
        <v>0.38020449839837378</v>
      </c>
      <c r="L642" s="841">
        <f>+L631/'VVP2'!L$341</f>
        <v>0.3620994032097114</v>
      </c>
      <c r="M642" s="841">
        <f>+M631/'VVP2'!M$341</f>
        <v>0.33564643256693427</v>
      </c>
      <c r="N642" s="841">
        <f>+N631/'VVP2'!N$341</f>
        <v>0.33291957661307564</v>
      </c>
      <c r="O642" s="841">
        <f>+O631/'VVP2'!O$341</f>
        <v>0.32314464186296532</v>
      </c>
      <c r="P642" s="841">
        <f>+P631/'VVP2'!P$341</f>
        <v>0.32643718622722578</v>
      </c>
      <c r="Q642" s="841">
        <f>+Q631/'VVP2'!Q$341</f>
        <v>0.33735891459765216</v>
      </c>
      <c r="R642" s="841">
        <f>+R631/'VVP2'!R$341</f>
        <v>0.34038409945853637</v>
      </c>
      <c r="S642" s="841">
        <f>+S631/'VVP2'!S$341</f>
        <v>0.34440470705555593</v>
      </c>
      <c r="T642" s="2264">
        <f>+T631/'VVP2'!T$341</f>
        <v>0.35007896922830362</v>
      </c>
      <c r="U642" s="2264">
        <f>+U631/'VVP2'!U$341</f>
        <v>0.3578267833235938</v>
      </c>
      <c r="V642" s="2264">
        <f>+V631/'VVP2'!V$341</f>
        <v>0.35398174517601544</v>
      </c>
      <c r="W642" s="2264">
        <f>+W631/'VVP2'!W$341</f>
        <v>0.33533118126369293</v>
      </c>
      <c r="X642" s="2264">
        <f>+X631/'VVP2'!X$341</f>
        <v>0.32956794432609821</v>
      </c>
      <c r="Y642" s="2264">
        <f>+Y631/'VVP2'!Y$341</f>
        <v>0.32883023714482268</v>
      </c>
      <c r="Z642" s="2264">
        <f>+Z631/'VVP2'!Z$341</f>
        <v>0.34021233703089121</v>
      </c>
      <c r="AA642" s="2264">
        <f>+AA631/'VVP2'!AA$341</f>
        <v>0.34644040697247219</v>
      </c>
      <c r="AB642" s="2264">
        <f>+AB631/'VVP2'!AB$341</f>
        <v>0.34472612205547071</v>
      </c>
      <c r="AC642" s="2264">
        <f ca="1">+AC631/'VVP2'!AC$341</f>
        <v>0.34759318418913143</v>
      </c>
      <c r="AD642" s="2264">
        <f ca="1">+AD631/'VVP2'!AD$341</f>
        <v>0.34876460336655768</v>
      </c>
      <c r="AE642" s="2264">
        <f ca="1">+AE631/'VVP2'!AE$341</f>
        <v>0.34849440867035542</v>
      </c>
    </row>
    <row r="643" spans="1:113">
      <c r="F643" s="1023"/>
      <c r="Q643" s="699"/>
      <c r="R643" s="699"/>
      <c r="S643" s="699"/>
      <c r="AB643" s="2221"/>
      <c r="AC643" s="2221"/>
      <c r="AD643" s="2221"/>
      <c r="AE643" s="2221"/>
    </row>
    <row r="644" spans="1:113" ht="12.75" customHeight="1">
      <c r="A644" s="1131"/>
      <c r="B644" s="3171"/>
      <c r="C644" s="774"/>
      <c r="D644" s="775"/>
      <c r="E644" s="3270" t="s">
        <v>1224</v>
      </c>
      <c r="F644" s="777"/>
      <c r="G644" s="778">
        <f>+InputY!$G$3</f>
        <v>1995</v>
      </c>
      <c r="H644" s="778">
        <f>+G644+1</f>
        <v>1996</v>
      </c>
      <c r="I644" s="778">
        <f t="shared" ref="I644:W644" si="591">+H644+1</f>
        <v>1997</v>
      </c>
      <c r="J644" s="778">
        <f t="shared" si="591"/>
        <v>1998</v>
      </c>
      <c r="K644" s="778">
        <f>+J644+1</f>
        <v>1999</v>
      </c>
      <c r="L644" s="778">
        <f t="shared" si="591"/>
        <v>2000</v>
      </c>
      <c r="M644" s="778">
        <f t="shared" si="591"/>
        <v>2001</v>
      </c>
      <c r="N644" s="778">
        <f t="shared" si="591"/>
        <v>2002</v>
      </c>
      <c r="O644" s="778">
        <f t="shared" si="591"/>
        <v>2003</v>
      </c>
      <c r="P644" s="778">
        <f t="shared" si="591"/>
        <v>2004</v>
      </c>
      <c r="Q644" s="778">
        <f t="shared" si="591"/>
        <v>2005</v>
      </c>
      <c r="R644" s="778">
        <f t="shared" si="591"/>
        <v>2006</v>
      </c>
      <c r="S644" s="778">
        <f t="shared" si="591"/>
        <v>2007</v>
      </c>
      <c r="T644" s="2222">
        <f t="shared" si="591"/>
        <v>2008</v>
      </c>
      <c r="U644" s="2222">
        <f t="shared" si="591"/>
        <v>2009</v>
      </c>
      <c r="V644" s="2222">
        <f t="shared" si="591"/>
        <v>2010</v>
      </c>
      <c r="W644" s="2222">
        <f t="shared" si="591"/>
        <v>2011</v>
      </c>
      <c r="X644" s="2222">
        <f t="shared" ref="X644:AE644" si="592">+W644+1</f>
        <v>2012</v>
      </c>
      <c r="Y644" s="2222">
        <f t="shared" si="592"/>
        <v>2013</v>
      </c>
      <c r="Z644" s="2222">
        <f t="shared" si="592"/>
        <v>2014</v>
      </c>
      <c r="AA644" s="2222">
        <f t="shared" si="592"/>
        <v>2015</v>
      </c>
      <c r="AB644" s="2222">
        <f t="shared" si="592"/>
        <v>2016</v>
      </c>
      <c r="AC644" s="2222">
        <f t="shared" si="592"/>
        <v>2017</v>
      </c>
      <c r="AD644" s="2222">
        <f t="shared" si="592"/>
        <v>2018</v>
      </c>
      <c r="AE644" s="2222">
        <f t="shared" si="592"/>
        <v>2019</v>
      </c>
    </row>
    <row r="645" spans="1:113" ht="12.75" customHeight="1">
      <c r="A645" s="1131"/>
      <c r="B645" s="664"/>
      <c r="C645" s="779" t="s">
        <v>1767</v>
      </c>
      <c r="D645" s="668" t="s">
        <v>687</v>
      </c>
      <c r="E645" s="996" t="s">
        <v>1225</v>
      </c>
      <c r="F645" s="701"/>
      <c r="G645" s="780"/>
      <c r="H645" s="780"/>
      <c r="I645" s="780"/>
      <c r="J645" s="780"/>
      <c r="K645" s="780"/>
      <c r="L645" s="780"/>
      <c r="M645" s="780"/>
      <c r="N645" s="780"/>
      <c r="O645" s="780"/>
      <c r="P645" s="780"/>
      <c r="Q645" s="780"/>
      <c r="R645" s="780"/>
      <c r="S645" s="780"/>
      <c r="T645" s="780"/>
      <c r="U645"/>
      <c r="V645"/>
      <c r="W645"/>
      <c r="X645"/>
      <c r="Y645"/>
      <c r="Z645"/>
      <c r="AA645"/>
      <c r="AB645"/>
      <c r="AC645"/>
      <c r="AD645"/>
      <c r="AE645" s="3650"/>
    </row>
    <row r="646" spans="1:113" s="884" customFormat="1" ht="12.75" customHeight="1">
      <c r="A646" s="1131"/>
      <c r="B646" s="3368" t="s">
        <v>2423</v>
      </c>
      <c r="C646" s="842" t="s">
        <v>1767</v>
      </c>
      <c r="D646" s="890" t="s">
        <v>687</v>
      </c>
      <c r="E646" s="1438" t="s">
        <v>1226</v>
      </c>
      <c r="F646" s="1439"/>
      <c r="G646" s="1438"/>
      <c r="H646" s="1438"/>
      <c r="I646" s="1438"/>
      <c r="J646" s="1438"/>
      <c r="K646" s="1438"/>
      <c r="L646" s="1438"/>
      <c r="M646" s="1438"/>
      <c r="N646" s="1438"/>
      <c r="O646" s="1438"/>
      <c r="P646" s="1438"/>
      <c r="Q646" s="1438"/>
      <c r="R646" s="1438"/>
      <c r="S646" s="1438"/>
      <c r="T646" s="1438"/>
      <c r="U646"/>
      <c r="V646"/>
      <c r="W646"/>
      <c r="X646"/>
      <c r="Y646"/>
      <c r="Z646"/>
      <c r="AA646"/>
      <c r="AB646"/>
      <c r="AC646"/>
      <c r="AD646"/>
      <c r="AE646" s="3650"/>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c r="BZ646"/>
      <c r="CA646"/>
      <c r="CB646"/>
      <c r="CC646"/>
      <c r="CD646"/>
      <c r="CE646"/>
      <c r="CF646"/>
      <c r="CG646"/>
      <c r="CH646"/>
      <c r="CI646"/>
      <c r="CJ646"/>
      <c r="CK646"/>
      <c r="CL646"/>
      <c r="CM646"/>
      <c r="CN646"/>
      <c r="CO646"/>
      <c r="CP646"/>
      <c r="CQ646"/>
      <c r="CR646"/>
      <c r="CS646"/>
      <c r="CT646"/>
      <c r="CU646"/>
      <c r="CV646"/>
      <c r="CW646"/>
      <c r="CX646"/>
      <c r="CY646"/>
      <c r="CZ646"/>
      <c r="DA646"/>
      <c r="DB646"/>
      <c r="DC646"/>
      <c r="DD646"/>
      <c r="DE646"/>
      <c r="DF646"/>
      <c r="DG646"/>
      <c r="DH646"/>
      <c r="DI646"/>
    </row>
    <row r="647" spans="1:113">
      <c r="D647" s="837" t="s">
        <v>1793</v>
      </c>
      <c r="F647" s="1023"/>
      <c r="Q647" s="699"/>
      <c r="R647" s="699"/>
      <c r="S647" s="699"/>
      <c r="AB647" s="2221"/>
      <c r="AC647" s="2221"/>
      <c r="AD647" s="2221"/>
      <c r="AE647" s="2221"/>
    </row>
    <row r="648" spans="1:113">
      <c r="F648" s="1023"/>
      <c r="Q648" s="699"/>
      <c r="R648" s="699"/>
      <c r="S648" s="699"/>
      <c r="AB648" s="2221"/>
      <c r="AC648" s="2221"/>
      <c r="AD648" s="2221"/>
      <c r="AE648" s="2221"/>
    </row>
    <row r="649" spans="1:113" ht="12.75" customHeight="1">
      <c r="B649" s="664"/>
      <c r="C649" s="774"/>
      <c r="D649" s="858"/>
      <c r="E649" s="859" t="s">
        <v>1792</v>
      </c>
      <c r="F649" s="860"/>
      <c r="G649" s="861">
        <f>+InputY!$G$3</f>
        <v>1995</v>
      </c>
      <c r="H649" s="861">
        <f>+G649+1</f>
        <v>1996</v>
      </c>
      <c r="I649" s="861">
        <f t="shared" ref="I649:Q649" si="593">+H649+1</f>
        <v>1997</v>
      </c>
      <c r="J649" s="861">
        <f t="shared" si="593"/>
        <v>1998</v>
      </c>
      <c r="K649" s="861">
        <f>+J649+1</f>
        <v>1999</v>
      </c>
      <c r="L649" s="861">
        <f t="shared" si="593"/>
        <v>2000</v>
      </c>
      <c r="M649" s="861">
        <f t="shared" si="593"/>
        <v>2001</v>
      </c>
      <c r="N649" s="861">
        <f t="shared" si="593"/>
        <v>2002</v>
      </c>
      <c r="O649" s="861">
        <f t="shared" si="593"/>
        <v>2003</v>
      </c>
      <c r="P649" s="861">
        <f t="shared" si="593"/>
        <v>2004</v>
      </c>
      <c r="Q649" s="861">
        <f t="shared" si="593"/>
        <v>2005</v>
      </c>
      <c r="R649" s="861">
        <f t="shared" ref="R649:W649" si="594">+Q649+1</f>
        <v>2006</v>
      </c>
      <c r="S649" s="861">
        <f t="shared" si="594"/>
        <v>2007</v>
      </c>
      <c r="T649" s="2216">
        <f t="shared" si="594"/>
        <v>2008</v>
      </c>
      <c r="U649" s="2216">
        <f t="shared" si="594"/>
        <v>2009</v>
      </c>
      <c r="V649" s="2216">
        <f t="shared" si="594"/>
        <v>2010</v>
      </c>
      <c r="W649" s="2216">
        <f t="shared" si="594"/>
        <v>2011</v>
      </c>
      <c r="X649" s="2216">
        <f t="shared" ref="X649:AE649" si="595">+W649+1</f>
        <v>2012</v>
      </c>
      <c r="Y649" s="2216">
        <f t="shared" si="595"/>
        <v>2013</v>
      </c>
      <c r="Z649" s="2216">
        <f t="shared" si="595"/>
        <v>2014</v>
      </c>
      <c r="AA649" s="2216">
        <f t="shared" si="595"/>
        <v>2015</v>
      </c>
      <c r="AB649" s="2216">
        <f t="shared" si="595"/>
        <v>2016</v>
      </c>
      <c r="AC649" s="2216">
        <f t="shared" si="595"/>
        <v>2017</v>
      </c>
      <c r="AD649" s="2216">
        <f t="shared" si="595"/>
        <v>2018</v>
      </c>
      <c r="AE649" s="2216">
        <f t="shared" si="595"/>
        <v>2019</v>
      </c>
    </row>
    <row r="650" spans="1:113" ht="12.75" customHeight="1">
      <c r="B650" s="664"/>
      <c r="C650" s="1873" t="s">
        <v>1767</v>
      </c>
      <c r="D650" s="863" t="s">
        <v>687</v>
      </c>
      <c r="E650" s="1888" t="s">
        <v>1225</v>
      </c>
      <c r="F650" s="865"/>
      <c r="G650" s="1048"/>
      <c r="H650" s="1048"/>
      <c r="I650" s="1048"/>
      <c r="J650" s="1048"/>
      <c r="K650" s="1048"/>
      <c r="L650" s="1048"/>
      <c r="M650" s="1048"/>
      <c r="N650" s="1048"/>
      <c r="O650" s="1048"/>
      <c r="P650" s="1048"/>
      <c r="Q650" s="1048"/>
      <c r="R650" s="1048"/>
      <c r="S650" s="1048"/>
      <c r="T650" s="1048"/>
      <c r="U650" s="1048">
        <f>+U629-IF(Last_forecast_year-Sector1!U649=2,Sector1!U645,IF(Last_forecast_year-Sector1!U649=1,Sector1!U645+Sector1!T645,Sector1!U645+Sector1!T645+Sector1!S645))</f>
        <v>9.2435799999999997</v>
      </c>
      <c r="V650" s="1048">
        <f>+V629-IF(Last_forecast_year-Sector1!V649=2,Sector1!V645,IF(Last_forecast_year-Sector1!V649=1,Sector1!V645+Sector1!U645,Sector1!V645+Sector1!U645+Sector1!T645))</f>
        <v>9.2135800000000003</v>
      </c>
      <c r="W650" s="1048">
        <f>+W629-IF(Last_forecast_year-Sector1!W649=2,Sector1!W645,IF(Last_forecast_year-Sector1!W649=1,Sector1!W645+Sector1!V645,Sector1!W645+Sector1!V645+Sector1!U645))</f>
        <v>9.8002999999999982</v>
      </c>
      <c r="X650" s="1048">
        <f>+X629-IF(Last_forecast_year-Sector1!X649=2,Sector1!X645,IF(Last_forecast_year-Sector1!X649=1,Sector1!X645+Sector1!W645,Sector1!X645+Sector1!W645+Sector1!V645))</f>
        <v>10.354880000000001</v>
      </c>
      <c r="Y650" s="1048">
        <f>+Y629-IF(Last_forecast_year-Sector1!Y649=2,Sector1!Y645,IF(Last_forecast_year-Sector1!Y649=1,Sector1!Y645+Sector1!X645,Sector1!Y645+Sector1!X645+Sector1!W645))</f>
        <v>10.773479999999999</v>
      </c>
      <c r="Z650" s="1048">
        <f>+Z629-IF(Last_forecast_year-Sector1!Z649=2,Sector1!Z645,IF(Last_forecast_year-Sector1!Z649=1,Sector1!Z645+Sector1!Y645,Sector1!Z645+Sector1!Y645+Sector1!X645))</f>
        <v>11.44801</v>
      </c>
      <c r="AA650" s="1048">
        <f>+AA629-IF(Last_forecast_year-Sector1!AA649=2,Sector1!AA645,IF(Last_forecast_year-Sector1!AA649=1,Sector1!AA645+Sector1!Z645,Sector1!AA645+Sector1!Z645+Sector1!Y645))</f>
        <v>12.274770000000002</v>
      </c>
      <c r="AB650" s="1048">
        <f>+AB629-IF(Last_forecast_year-Sector1!AB649=2,Sector1!AB645,IF(Last_forecast_year-Sector1!AB649=1,Sector1!AB645+Sector1!AA645,Sector1!AB645+Sector1!AA645+Sector1!Z645))</f>
        <v>13.016420000000004</v>
      </c>
      <c r="AC650" s="1048">
        <f>+AC629-IF(Last_forecast_year-Sector1!AC649=2,Sector1!AC645,IF(Last_forecast_year-Sector1!AC649=1,Sector1!AC645+Sector1!AB645,Sector1!AC645+Sector1!AB645+Sector1!AA645))</f>
        <v>14.215278222780634</v>
      </c>
      <c r="AD650" s="1048">
        <f>+AD629-IF(Last_forecast_year-Sector1!AD649=2,Sector1!AD645,IF(Last_forecast_year-Sector1!AD649=1,Sector1!AD645+Sector1!AC645,Sector1!AD645+Sector1!AC645+Sector1!AB645))</f>
        <v>15.061240161066149</v>
      </c>
      <c r="AE650" s="1048">
        <f>+AE629-IF(Last_forecast_year-Sector1!AE649=2,Sector1!AE645,IF(Last_forecast_year-Sector1!AE649=1,Sector1!AE645+Sector1!AD645,Sector1!AE645+Sector1!AD645+Sector1!AC645))</f>
        <v>15.900807104354294</v>
      </c>
    </row>
    <row r="651" spans="1:113" s="884" customFormat="1" ht="12.75" customHeight="1">
      <c r="A651" s="663"/>
      <c r="B651" s="664"/>
      <c r="C651" s="1875" t="s">
        <v>1767</v>
      </c>
      <c r="D651" s="1889" t="s">
        <v>687</v>
      </c>
      <c r="E651" s="1890" t="s">
        <v>1226</v>
      </c>
      <c r="F651" s="1891"/>
      <c r="G651" s="1660"/>
      <c r="H651" s="1660"/>
      <c r="I651" s="1660"/>
      <c r="J651" s="1660"/>
      <c r="K651" s="1660"/>
      <c r="L651" s="1660"/>
      <c r="M651" s="1660"/>
      <c r="N651" s="1660"/>
      <c r="O651" s="1660"/>
      <c r="P651" s="1660"/>
      <c r="Q651" s="1660"/>
      <c r="R651" s="1660"/>
      <c r="S651" s="1660"/>
      <c r="T651" s="1660"/>
      <c r="U651" s="1660">
        <f>+U630-IF(Last_forecast_year-Sector1!U649=2,Sector1!U646,IF(Last_forecast_year-Sector1!U649=1,Sector1!U646+Sector1!T646,Sector1!U646+Sector1!T646+Sector1!S646))</f>
        <v>0.39441999999999999</v>
      </c>
      <c r="V651" s="1660">
        <f>+V630-IF(Last_forecast_year-Sector1!V649=2,Sector1!V646,IF(Last_forecast_year-Sector1!V649=1,Sector1!V646+Sector1!U646,Sector1!V646+Sector1!U646+Sector1!T646))</f>
        <v>0.7077</v>
      </c>
      <c r="W651" s="1660">
        <f>+W630-IF(Last_forecast_year-Sector1!W649=2,Sector1!W646,IF(Last_forecast_year-Sector1!W649=1,Sector1!W646+Sector1!V646,Sector1!W646+Sector1!V646+Sector1!U646))</f>
        <v>0.68730999999999998</v>
      </c>
      <c r="X651" s="1660">
        <f>+X630-IF(Last_forecast_year-Sector1!X649=2,Sector1!X646,IF(Last_forecast_year-Sector1!X649=1,Sector1!X646+Sector1!W646,Sector1!X646+Sector1!W646+Sector1!V646))</f>
        <v>0.63571</v>
      </c>
      <c r="Y651" s="1660">
        <f>+Y630-IF(Last_forecast_year-Sector1!Y649=2,Sector1!Y646,IF(Last_forecast_year-Sector1!Y649=1,Sector1!Y646+Sector1!X646,Sector1!Y646+Sector1!X646+Sector1!W646))</f>
        <v>0.7223099999999999</v>
      </c>
      <c r="Z651" s="1660">
        <f>+Z630-IF(Last_forecast_year-Sector1!Z649=2,Sector1!Z646,IF(Last_forecast_year-Sector1!Z649=1,Sector1!Z646+Sector1!Y646,Sector1!Z646+Sector1!Y646+Sector1!X646))</f>
        <v>0.99297000000000002</v>
      </c>
      <c r="AA651" s="1660">
        <f>+AA630-IF(Last_forecast_year-Sector1!AA649=2,Sector1!AA646,IF(Last_forecast_year-Sector1!AA649=1,Sector1!AA646+Sector1!Z646,Sector1!AA646+Sector1!Z646+Sector1!Y646))</f>
        <v>0.69129999999999991</v>
      </c>
      <c r="AB651" s="1660">
        <f>+AB630-IF(Last_forecast_year-Sector1!AB649=2,Sector1!AB646,IF(Last_forecast_year-Sector1!AB649=1,Sector1!AB646+Sector1!AA646,Sector1!AB646+Sector1!AA646+Sector1!Z646))</f>
        <v>0.31355</v>
      </c>
      <c r="AC651" s="1660">
        <f>+AC630-IF(Last_forecast_year-Sector1!AC649=2,Sector1!AC646,IF(Last_forecast_year-Sector1!AC649=1,Sector1!AC646+Sector1!AB646,Sector1!AC646+Sector1!AB646+Sector1!AA646))</f>
        <v>0.30702419999999997</v>
      </c>
      <c r="AD651" s="1660">
        <f>+AD630-IF(Last_forecast_year-Sector1!AD649=2,Sector1!AD646,IF(Last_forecast_year-Sector1!AD649=1,Sector1!AD646+Sector1!AC646,Sector1!AD646+Sector1!AC646+Sector1!AB646))</f>
        <v>0.35818647199999992</v>
      </c>
      <c r="AE651" s="1660">
        <f>+AE630-IF(Last_forecast_year-Sector1!AE649=2,Sector1!AE646,IF(Last_forecast_year-Sector1!AE649=1,Sector1!AE646+Sector1!AD646,Sector1!AE646+Sector1!AD646+Sector1!AC646))</f>
        <v>0.36560500143999991</v>
      </c>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c r="BZ651"/>
      <c r="CA651"/>
      <c r="CB651"/>
      <c r="CC651"/>
      <c r="CD651"/>
      <c r="CE651"/>
      <c r="CF651"/>
      <c r="CG651"/>
      <c r="CH651"/>
      <c r="CI651"/>
      <c r="CJ651"/>
      <c r="CK651"/>
      <c r="CL651"/>
      <c r="CM651"/>
      <c r="CN651"/>
      <c r="CO651"/>
      <c r="CP651"/>
      <c r="CQ651"/>
      <c r="CR651"/>
      <c r="CS651"/>
      <c r="CT651"/>
      <c r="CU651"/>
      <c r="CV651"/>
      <c r="CW651"/>
      <c r="CX651"/>
      <c r="CY651"/>
      <c r="CZ651"/>
      <c r="DA651"/>
      <c r="DB651"/>
      <c r="DC651"/>
      <c r="DD651"/>
      <c r="DE651"/>
      <c r="DF651"/>
      <c r="DG651"/>
      <c r="DH651"/>
      <c r="DI651"/>
    </row>
    <row r="652" spans="1:113" ht="30" customHeight="1">
      <c r="K652" s="849"/>
      <c r="L652" s="2307"/>
      <c r="M652" s="849"/>
      <c r="U652" s="2254"/>
      <c r="V652" s="2254"/>
      <c r="W652" s="2254"/>
      <c r="X652" s="2254"/>
      <c r="Y652" s="2254"/>
      <c r="Z652" s="2254"/>
      <c r="AA652" s="2254"/>
      <c r="AB652" s="2254"/>
      <c r="AC652" s="2254"/>
      <c r="AD652" s="2254"/>
      <c r="AE652" s="2254"/>
    </row>
    <row r="653" spans="1:113" ht="12.75" customHeight="1">
      <c r="B653" s="664"/>
      <c r="C653" s="774"/>
      <c r="D653" s="775"/>
      <c r="E653" s="776" t="s">
        <v>1128</v>
      </c>
      <c r="F653" s="777"/>
      <c r="G653" s="778">
        <f>+InputY!$G$3</f>
        <v>1995</v>
      </c>
      <c r="H653" s="778">
        <f>+G653+1</f>
        <v>1996</v>
      </c>
      <c r="I653" s="778">
        <f t="shared" ref="I653:O653" si="596">+H653+1</f>
        <v>1997</v>
      </c>
      <c r="J653" s="778">
        <f t="shared" si="596"/>
        <v>1998</v>
      </c>
      <c r="K653" s="778">
        <f>+J653+1</f>
        <v>1999</v>
      </c>
      <c r="L653" s="778">
        <f t="shared" si="596"/>
        <v>2000</v>
      </c>
      <c r="M653" s="778">
        <f t="shared" si="596"/>
        <v>2001</v>
      </c>
      <c r="N653" s="778">
        <f t="shared" si="596"/>
        <v>2002</v>
      </c>
      <c r="O653" s="778">
        <f t="shared" si="596"/>
        <v>2003</v>
      </c>
      <c r="P653" s="778">
        <f t="shared" ref="P653:W653" si="597">+O653+1</f>
        <v>2004</v>
      </c>
      <c r="Q653" s="778">
        <f t="shared" si="597"/>
        <v>2005</v>
      </c>
      <c r="R653" s="778">
        <f t="shared" si="597"/>
        <v>2006</v>
      </c>
      <c r="S653" s="778">
        <f t="shared" si="597"/>
        <v>2007</v>
      </c>
      <c r="T653" s="2222">
        <f t="shared" si="597"/>
        <v>2008</v>
      </c>
      <c r="U653" s="2222">
        <f>+T653+1</f>
        <v>2009</v>
      </c>
      <c r="V653" s="2222">
        <f t="shared" si="597"/>
        <v>2010</v>
      </c>
      <c r="W653" s="2222">
        <f t="shared" si="597"/>
        <v>2011</v>
      </c>
      <c r="X653" s="2222">
        <f t="shared" ref="X653:AE653" si="598">+W653+1</f>
        <v>2012</v>
      </c>
      <c r="Y653" s="2222">
        <f t="shared" si="598"/>
        <v>2013</v>
      </c>
      <c r="Z653" s="2222">
        <f t="shared" si="598"/>
        <v>2014</v>
      </c>
      <c r="AA653" s="2222">
        <f t="shared" si="598"/>
        <v>2015</v>
      </c>
      <c r="AB653" s="2222">
        <f t="shared" si="598"/>
        <v>2016</v>
      </c>
      <c r="AC653" s="2222">
        <f t="shared" si="598"/>
        <v>2017</v>
      </c>
      <c r="AD653" s="2222">
        <f t="shared" si="598"/>
        <v>2018</v>
      </c>
      <c r="AE653" s="2222">
        <f t="shared" si="598"/>
        <v>2019</v>
      </c>
    </row>
    <row r="654" spans="1:113" ht="12.75" customHeight="1">
      <c r="B654" s="664"/>
      <c r="C654" s="779" t="s">
        <v>1767</v>
      </c>
      <c r="D654" s="668" t="s">
        <v>687</v>
      </c>
      <c r="E654" s="780" t="s">
        <v>1376</v>
      </c>
      <c r="F654" s="701" t="str">
        <f t="shared" ref="F654:AC654" si="599">+F418</f>
        <v>$AComp</v>
      </c>
      <c r="G654" s="780">
        <f t="shared" si="599"/>
        <v>0.74821000000000004</v>
      </c>
      <c r="H654" s="780">
        <f t="shared" si="599"/>
        <v>1.01535</v>
      </c>
      <c r="I654" s="780">
        <f t="shared" si="599"/>
        <v>1.2984</v>
      </c>
      <c r="J654" s="780">
        <f t="shared" si="599"/>
        <v>1.647</v>
      </c>
      <c r="K654" s="780">
        <f t="shared" si="599"/>
        <v>1.6960299999999999</v>
      </c>
      <c r="L654" s="996">
        <f t="shared" si="599"/>
        <v>1.60758</v>
      </c>
      <c r="M654" s="780">
        <f t="shared" si="599"/>
        <v>1.64941</v>
      </c>
      <c r="N654" s="780">
        <f t="shared" si="599"/>
        <v>1.71401</v>
      </c>
      <c r="O654" s="780">
        <f t="shared" si="599"/>
        <v>1.78653</v>
      </c>
      <c r="P654" s="780">
        <f t="shared" si="599"/>
        <v>1.9686700000000001</v>
      </c>
      <c r="Q654" s="780">
        <f t="shared" si="599"/>
        <v>2.1530800000000001</v>
      </c>
      <c r="R654" s="780">
        <f t="shared" si="599"/>
        <v>2.50461</v>
      </c>
      <c r="S654" s="780">
        <f t="shared" si="599"/>
        <v>2.8344800000000001</v>
      </c>
      <c r="T654" s="780">
        <f t="shared" si="599"/>
        <v>3.4758</v>
      </c>
      <c r="U654" s="780">
        <f t="shared" si="599"/>
        <v>3.4102600000000001</v>
      </c>
      <c r="V654" s="2267">
        <f t="shared" si="599"/>
        <v>3.05884</v>
      </c>
      <c r="W654" s="2267">
        <f t="shared" si="599"/>
        <v>3.19733</v>
      </c>
      <c r="X654" s="2267">
        <f t="shared" si="599"/>
        <v>3.2416100000000001</v>
      </c>
      <c r="Y654" s="2267">
        <f t="shared" si="599"/>
        <v>3.3384499999999999</v>
      </c>
      <c r="Z654" s="2267">
        <f t="shared" si="599"/>
        <v>3.4621500000000003</v>
      </c>
      <c r="AA654" s="2267">
        <f t="shared" si="599"/>
        <v>3.6053099999999998</v>
      </c>
      <c r="AB654" s="2267">
        <f t="shared" si="599"/>
        <v>3.8023500000000001</v>
      </c>
      <c r="AC654" s="2267">
        <f t="shared" si="599"/>
        <v>4.0019753007261274</v>
      </c>
      <c r="AD654" s="2267">
        <f t="shared" ref="AD654:AE656" si="600">+AD418</f>
        <v>4.2038161866725012</v>
      </c>
      <c r="AE654" s="2267">
        <f t="shared" si="600"/>
        <v>4.435208860003871</v>
      </c>
    </row>
    <row r="655" spans="1:113" ht="12.75" customHeight="1">
      <c r="B655" s="664"/>
      <c r="C655" s="782" t="s">
        <v>1767</v>
      </c>
      <c r="D655" s="674" t="s">
        <v>687</v>
      </c>
      <c r="E655" s="706" t="s">
        <v>1623</v>
      </c>
      <c r="F655" s="706"/>
      <c r="G655" s="706">
        <f t="shared" ref="G655:AC655" si="601">+G419</f>
        <v>0.70490999999999993</v>
      </c>
      <c r="H655" s="706">
        <f t="shared" si="601"/>
        <v>0.83732000000000006</v>
      </c>
      <c r="I655" s="706">
        <f t="shared" si="601"/>
        <v>1.13032</v>
      </c>
      <c r="J655" s="706">
        <f t="shared" si="601"/>
        <v>1.2086300000000001</v>
      </c>
      <c r="K655" s="706">
        <f t="shared" si="601"/>
        <v>0.88361999999999996</v>
      </c>
      <c r="L655" s="1044">
        <f t="shared" si="601"/>
        <v>0.97050000000000003</v>
      </c>
      <c r="M655" s="706">
        <f t="shared" si="601"/>
        <v>0.85672999999999999</v>
      </c>
      <c r="N655" s="706">
        <f t="shared" si="601"/>
        <v>0.95311999999999997</v>
      </c>
      <c r="O655" s="706">
        <f t="shared" si="601"/>
        <v>0.98717999999999995</v>
      </c>
      <c r="P655" s="706">
        <f t="shared" si="601"/>
        <v>1.0180800000000001</v>
      </c>
      <c r="Q655" s="706">
        <f t="shared" si="601"/>
        <v>1.16645</v>
      </c>
      <c r="R655" s="706">
        <f t="shared" si="601"/>
        <v>1.39947</v>
      </c>
      <c r="S655" s="706">
        <f t="shared" si="601"/>
        <v>1.4840100000000001</v>
      </c>
      <c r="T655" s="706">
        <f t="shared" si="601"/>
        <v>1.81999</v>
      </c>
      <c r="U655" s="706">
        <f t="shared" si="601"/>
        <v>1.52319</v>
      </c>
      <c r="V655" s="2265">
        <f t="shared" si="601"/>
        <v>1.7582899999999999</v>
      </c>
      <c r="W655" s="2265">
        <f t="shared" si="601"/>
        <v>1.58467</v>
      </c>
      <c r="X655" s="2265">
        <f t="shared" si="601"/>
        <v>1.64154</v>
      </c>
      <c r="Y655" s="2265">
        <f t="shared" si="601"/>
        <v>1.6197699999999999</v>
      </c>
      <c r="Z655" s="2265">
        <f t="shared" si="601"/>
        <v>1.7096199999999999</v>
      </c>
      <c r="AA655" s="2265">
        <f t="shared" si="601"/>
        <v>1.8676900000000001</v>
      </c>
      <c r="AB655" s="2265">
        <f t="shared" si="601"/>
        <v>1.84643</v>
      </c>
      <c r="AC655" s="2265">
        <f t="shared" si="601"/>
        <v>1.8754002492738726</v>
      </c>
      <c r="AD655" s="2265">
        <f t="shared" ca="1" si="600"/>
        <v>2.0133065466654987</v>
      </c>
      <c r="AE655" s="2265">
        <f t="shared" ca="1" si="600"/>
        <v>2.1138316020828603</v>
      </c>
    </row>
    <row r="656" spans="1:113" ht="12.75" customHeight="1">
      <c r="B656" s="664"/>
      <c r="C656" s="782" t="s">
        <v>1767</v>
      </c>
      <c r="D656" s="674" t="s">
        <v>687</v>
      </c>
      <c r="E656" s="706" t="s">
        <v>1624</v>
      </c>
      <c r="F656" s="706"/>
      <c r="G656" s="706">
        <f t="shared" ref="G656:AC656" si="602">+G420</f>
        <v>0.12528</v>
      </c>
      <c r="H656" s="706">
        <f t="shared" si="602"/>
        <v>0.17881</v>
      </c>
      <c r="I656" s="706">
        <f t="shared" si="602"/>
        <v>0.14405000000000001</v>
      </c>
      <c r="J656" s="706">
        <f t="shared" si="602"/>
        <v>0.23977000000000001</v>
      </c>
      <c r="K656" s="706">
        <f t="shared" si="602"/>
        <v>0.22491999999999998</v>
      </c>
      <c r="L656" s="1044">
        <f t="shared" si="602"/>
        <v>0.18768000000000001</v>
      </c>
      <c r="M656" s="706">
        <f t="shared" si="602"/>
        <v>0.18218000000000001</v>
      </c>
      <c r="N656" s="706">
        <f t="shared" si="602"/>
        <v>0.21962999999999999</v>
      </c>
      <c r="O656" s="706">
        <f t="shared" si="602"/>
        <v>0.24327000000000001</v>
      </c>
      <c r="P656" s="706">
        <f t="shared" si="602"/>
        <v>0.26491000000000003</v>
      </c>
      <c r="Q656" s="706">
        <f t="shared" si="602"/>
        <v>0.38077</v>
      </c>
      <c r="R656" s="706">
        <f t="shared" si="602"/>
        <v>0.40255000000000002</v>
      </c>
      <c r="S656" s="706">
        <f t="shared" si="602"/>
        <v>0.45735999999999999</v>
      </c>
      <c r="T656" s="706">
        <f t="shared" si="602"/>
        <v>0.5645</v>
      </c>
      <c r="U656" s="706">
        <f t="shared" si="602"/>
        <v>0.53662999999999994</v>
      </c>
      <c r="V656" s="2265">
        <f t="shared" si="602"/>
        <v>0.53661999999999999</v>
      </c>
      <c r="W656" s="2265">
        <f t="shared" si="602"/>
        <v>0.61984000000000006</v>
      </c>
      <c r="X656" s="2265">
        <f t="shared" si="602"/>
        <v>0.58472999999999997</v>
      </c>
      <c r="Y656" s="2265">
        <f t="shared" si="602"/>
        <v>0.55325999999999997</v>
      </c>
      <c r="Z656" s="2265">
        <f t="shared" si="602"/>
        <v>0.57772999999999997</v>
      </c>
      <c r="AA656" s="2265">
        <f t="shared" si="602"/>
        <v>0.61829999999999996</v>
      </c>
      <c r="AB656" s="2265">
        <f t="shared" si="602"/>
        <v>0.64269000000000009</v>
      </c>
      <c r="AC656" s="2265">
        <f t="shared" si="602"/>
        <v>0.66518415000000009</v>
      </c>
      <c r="AD656" s="2265">
        <f t="shared" si="600"/>
        <v>0.68846559525000006</v>
      </c>
      <c r="AE656" s="2265">
        <f t="shared" si="600"/>
        <v>0.70911956310750013</v>
      </c>
    </row>
    <row r="657" spans="1:113" ht="12.75" customHeight="1">
      <c r="B657" s="664"/>
      <c r="C657" s="782" t="s">
        <v>1767</v>
      </c>
      <c r="D657" s="674" t="s">
        <v>687</v>
      </c>
      <c r="E657" s="706" t="s">
        <v>1340</v>
      </c>
      <c r="F657" s="704" t="s">
        <v>844</v>
      </c>
      <c r="G657" s="706">
        <f t="shared" ref="G657:AB657" si="603">+G300</f>
        <v>0.6345599999999999</v>
      </c>
      <c r="H657" s="706">
        <f t="shared" si="603"/>
        <v>0.83355999999999997</v>
      </c>
      <c r="I657" s="706">
        <f t="shared" si="603"/>
        <v>1.1307799999999999</v>
      </c>
      <c r="J657" s="706">
        <f t="shared" si="603"/>
        <v>1.4114899999999999</v>
      </c>
      <c r="K657" s="706">
        <f t="shared" si="603"/>
        <v>1.5512699999999999</v>
      </c>
      <c r="L657" s="1044">
        <f t="shared" si="603"/>
        <v>1.53494</v>
      </c>
      <c r="M657" s="706">
        <f t="shared" si="603"/>
        <v>1.6019600000000001</v>
      </c>
      <c r="N657" s="706">
        <f t="shared" si="603"/>
        <v>1.5185899999999999</v>
      </c>
      <c r="O657" s="706">
        <f t="shared" si="603"/>
        <v>1.6291600000000002</v>
      </c>
      <c r="P657" s="706">
        <f t="shared" si="603"/>
        <v>1.77817</v>
      </c>
      <c r="Q657" s="706">
        <f t="shared" si="603"/>
        <v>1.9577899999999999</v>
      </c>
      <c r="R657" s="706">
        <f t="shared" si="603"/>
        <v>2.2084899999999998</v>
      </c>
      <c r="S657" s="706">
        <f t="shared" si="603"/>
        <v>2.8051200000000001</v>
      </c>
      <c r="T657" s="706">
        <f t="shared" si="603"/>
        <v>3.7564499999999996</v>
      </c>
      <c r="U657" s="706">
        <f t="shared" si="603"/>
        <v>4.3547600000000006</v>
      </c>
      <c r="V657" s="2265">
        <f t="shared" si="603"/>
        <v>4.0089800000000002</v>
      </c>
      <c r="W657" s="2265">
        <f t="shared" si="603"/>
        <v>3.9032199999999997</v>
      </c>
      <c r="X657" s="2265">
        <f t="shared" si="603"/>
        <v>3.9884200000000001</v>
      </c>
      <c r="Y657" s="2265">
        <f t="shared" si="603"/>
        <v>3.9543499999999998</v>
      </c>
      <c r="Z657" s="2265">
        <f t="shared" si="603"/>
        <v>3.9676999999999998</v>
      </c>
      <c r="AA657" s="2265">
        <f t="shared" si="603"/>
        <v>4.0540500000000002</v>
      </c>
      <c r="AB657" s="2265">
        <f t="shared" si="603"/>
        <v>4.2601700000000005</v>
      </c>
      <c r="AC657" s="2265">
        <f>+AC300</f>
        <v>4.7713904000000014</v>
      </c>
      <c r="AD657" s="2265">
        <f>+AD300</f>
        <v>5.3439572480000024</v>
      </c>
      <c r="AE657" s="2265">
        <f>+AE300</f>
        <v>5.6645946828800025</v>
      </c>
    </row>
    <row r="658" spans="1:113" ht="12.75" customHeight="1">
      <c r="B658" s="664"/>
      <c r="C658" s="782" t="s">
        <v>1767</v>
      </c>
      <c r="D658" s="674" t="s">
        <v>687</v>
      </c>
      <c r="E658" s="706" t="s">
        <v>1205</v>
      </c>
      <c r="F658" s="704" t="s">
        <v>846</v>
      </c>
      <c r="G658" s="706">
        <f t="shared" ref="G658:AC658" si="604">+G139</f>
        <v>2.6940000000000002E-2</v>
      </c>
      <c r="H658" s="706">
        <f t="shared" si="604"/>
        <v>8.097E-2</v>
      </c>
      <c r="I658" s="706">
        <f t="shared" si="604"/>
        <v>8.584E-2</v>
      </c>
      <c r="J658" s="706">
        <f t="shared" si="604"/>
        <v>0.14752999999999999</v>
      </c>
      <c r="K658" s="706">
        <f t="shared" si="604"/>
        <v>0.18694</v>
      </c>
      <c r="L658" s="706">
        <f t="shared" si="604"/>
        <v>0.23169999999999999</v>
      </c>
      <c r="M658" s="706">
        <f t="shared" si="604"/>
        <v>0.21352000000000002</v>
      </c>
      <c r="N658" s="706">
        <f t="shared" si="604"/>
        <v>0.19841</v>
      </c>
      <c r="O658" s="706">
        <f t="shared" si="604"/>
        <v>0.20580999999999999</v>
      </c>
      <c r="P658" s="706">
        <f t="shared" si="604"/>
        <v>0.16370999999999999</v>
      </c>
      <c r="Q658" s="706">
        <f t="shared" si="604"/>
        <v>0.16072</v>
      </c>
      <c r="R658" s="706">
        <f t="shared" si="604"/>
        <v>0.16800999999999999</v>
      </c>
      <c r="S658" s="706">
        <f t="shared" si="604"/>
        <v>0.19231000000000001</v>
      </c>
      <c r="T658" s="706">
        <f t="shared" si="604"/>
        <v>0.21409999999999998</v>
      </c>
      <c r="U658" s="706">
        <f t="shared" si="604"/>
        <v>0.3332</v>
      </c>
      <c r="V658" s="2265">
        <f t="shared" si="604"/>
        <v>0.50985999999999998</v>
      </c>
      <c r="W658" s="2265">
        <f t="shared" si="604"/>
        <v>0.57565</v>
      </c>
      <c r="X658" s="2265">
        <f t="shared" si="604"/>
        <v>0.6585700000000001</v>
      </c>
      <c r="Y658" s="2265">
        <f t="shared" si="604"/>
        <v>0.61480999999999997</v>
      </c>
      <c r="Z658" s="2265">
        <f t="shared" si="604"/>
        <v>0.58675999999999995</v>
      </c>
      <c r="AA658" s="2265">
        <f t="shared" si="604"/>
        <v>0.56867999999999996</v>
      </c>
      <c r="AB658" s="2265">
        <f t="shared" si="604"/>
        <v>0.51676999999999995</v>
      </c>
      <c r="AC658" s="2265">
        <f t="shared" si="604"/>
        <v>0.49499999999999994</v>
      </c>
      <c r="AD658" s="2265">
        <f>+AD139</f>
        <v>0.38500000000000001</v>
      </c>
      <c r="AE658" s="2265">
        <f>+AE139</f>
        <v>0.40100000000000002</v>
      </c>
    </row>
    <row r="659" spans="1:113" ht="12.75" customHeight="1">
      <c r="B659" s="664"/>
      <c r="C659" s="782" t="s">
        <v>1767</v>
      </c>
      <c r="D659" s="674" t="s">
        <v>687</v>
      </c>
      <c r="E659" s="706" t="s">
        <v>1488</v>
      </c>
      <c r="F659" s="704" t="s">
        <v>2086</v>
      </c>
      <c r="G659" s="706">
        <f t="shared" ref="G659:AC659" si="605">+G50</f>
        <v>7.9650000000000012E-2</v>
      </c>
      <c r="H659" s="706">
        <f t="shared" si="605"/>
        <v>0.11481</v>
      </c>
      <c r="I659" s="706">
        <f t="shared" si="605"/>
        <v>0.10111000000000001</v>
      </c>
      <c r="J659" s="706">
        <f t="shared" si="605"/>
        <v>0.13661000000000001</v>
      </c>
      <c r="K659" s="706">
        <f t="shared" si="605"/>
        <v>0.13238999999999998</v>
      </c>
      <c r="L659" s="706">
        <f t="shared" si="605"/>
        <v>0.10464</v>
      </c>
      <c r="M659" s="706">
        <f t="shared" si="605"/>
        <v>0.11926</v>
      </c>
      <c r="N659" s="706">
        <f t="shared" si="605"/>
        <v>0.11982</v>
      </c>
      <c r="O659" s="706">
        <f t="shared" si="605"/>
        <v>0.1295</v>
      </c>
      <c r="P659" s="706">
        <f t="shared" si="605"/>
        <v>0.12561</v>
      </c>
      <c r="Q659" s="706">
        <f t="shared" si="605"/>
        <v>0.14176</v>
      </c>
      <c r="R659" s="706">
        <f t="shared" si="605"/>
        <v>0.16190000000000002</v>
      </c>
      <c r="S659" s="706">
        <f t="shared" si="605"/>
        <v>0.25557000000000002</v>
      </c>
      <c r="T659" s="706">
        <f t="shared" si="605"/>
        <v>0.22084000000000001</v>
      </c>
      <c r="U659" s="706">
        <f t="shared" si="605"/>
        <v>0.17044000000000001</v>
      </c>
      <c r="V659" s="2265">
        <f t="shared" si="605"/>
        <v>0.13799</v>
      </c>
      <c r="W659" s="2265">
        <f t="shared" si="605"/>
        <v>0.12257</v>
      </c>
      <c r="X659" s="2265">
        <f t="shared" si="605"/>
        <v>0.10482</v>
      </c>
      <c r="Y659" s="2265">
        <f t="shared" si="605"/>
        <v>0.11563</v>
      </c>
      <c r="Z659" s="2265">
        <f t="shared" si="605"/>
        <v>0.11874</v>
      </c>
      <c r="AA659" s="2265">
        <f t="shared" si="605"/>
        <v>0.14757000000000001</v>
      </c>
      <c r="AB659" s="2265">
        <f t="shared" si="605"/>
        <v>0.16243000000000002</v>
      </c>
      <c r="AC659" s="2265">
        <f t="shared" si="605"/>
        <v>0.15881500000000004</v>
      </c>
      <c r="AD659" s="2265">
        <f>+AD50</f>
        <v>0.16650412500000011</v>
      </c>
      <c r="AE659" s="2265">
        <f>+AE50</f>
        <v>0.17460169412500015</v>
      </c>
    </row>
    <row r="660" spans="1:113" ht="12.75" customHeight="1">
      <c r="B660" s="664"/>
      <c r="C660" s="782" t="s">
        <v>1767</v>
      </c>
      <c r="D660" s="674" t="s">
        <v>687</v>
      </c>
      <c r="E660" s="706" t="s">
        <v>1084</v>
      </c>
      <c r="F660" s="704" t="s">
        <v>161</v>
      </c>
      <c r="G660" s="706">
        <f>+G756</f>
        <v>8.5299999999999994E-3</v>
      </c>
      <c r="H660" s="706">
        <f t="shared" ref="H660:Q660" si="606">+H756</f>
        <v>9.9299999999999996E-3</v>
      </c>
      <c r="I660" s="706">
        <f t="shared" si="606"/>
        <v>0.23502000000000001</v>
      </c>
      <c r="J660" s="706">
        <f t="shared" si="606"/>
        <v>8.9029999999999998E-2</v>
      </c>
      <c r="K660" s="706">
        <f t="shared" si="606"/>
        <v>7.0460000000000009E-2</v>
      </c>
      <c r="L660" s="706">
        <f t="shared" si="606"/>
        <v>1.9439999999999999E-2</v>
      </c>
      <c r="M660" s="706">
        <f t="shared" si="606"/>
        <v>5.9319999999999998E-2</v>
      </c>
      <c r="N660" s="706">
        <f t="shared" si="606"/>
        <v>2.5739999999999999E-2</v>
      </c>
      <c r="O660" s="706">
        <f t="shared" si="606"/>
        <v>3.4869999999999998E-2</v>
      </c>
      <c r="P660" s="706">
        <f t="shared" si="606"/>
        <v>0.14143</v>
      </c>
      <c r="Q660" s="706">
        <f t="shared" si="606"/>
        <v>0.38067999999999996</v>
      </c>
      <c r="R660" s="706">
        <f t="shared" ref="R660:W660" si="607">+R756</f>
        <v>0.30585000000000001</v>
      </c>
      <c r="S660" s="706">
        <f t="shared" si="607"/>
        <v>0.38518999999999998</v>
      </c>
      <c r="T660" s="706">
        <f t="shared" si="607"/>
        <v>0.48382999999999998</v>
      </c>
      <c r="U660" s="706">
        <f>+U756</f>
        <v>0.45114000000000004</v>
      </c>
      <c r="V660" s="2265">
        <f t="shared" si="607"/>
        <v>0.34917999999999999</v>
      </c>
      <c r="W660" s="2265">
        <f t="shared" si="607"/>
        <v>0.50219999999999998</v>
      </c>
      <c r="X660" s="2265">
        <f t="shared" ref="X660:AC660" si="608">+X756</f>
        <v>0.47216000000000002</v>
      </c>
      <c r="Y660" s="2265">
        <f t="shared" si="608"/>
        <v>0.56008999999999998</v>
      </c>
      <c r="Z660" s="2265">
        <f t="shared" si="608"/>
        <v>0.52171000000000001</v>
      </c>
      <c r="AA660" s="2265">
        <f t="shared" si="608"/>
        <v>0.55794000000000021</v>
      </c>
      <c r="AB660" s="2265">
        <f t="shared" si="608"/>
        <v>0.64744000000000002</v>
      </c>
      <c r="AC660" s="2265">
        <f t="shared" si="608"/>
        <v>0.67974880000000004</v>
      </c>
      <c r="AD660" s="2265">
        <f>+AD756</f>
        <v>0.71029792600000008</v>
      </c>
      <c r="AE660" s="2265">
        <f>+AE756</f>
        <v>0.7457470892200001</v>
      </c>
    </row>
    <row r="661" spans="1:113" ht="12.75" customHeight="1">
      <c r="B661" s="664"/>
      <c r="C661" s="782" t="s">
        <v>1769</v>
      </c>
      <c r="D661" s="746" t="s">
        <v>687</v>
      </c>
      <c r="E661" s="799" t="s">
        <v>159</v>
      </c>
      <c r="F661" s="748" t="s">
        <v>1817</v>
      </c>
      <c r="G661" s="799">
        <f>+G654+G655+G656+G657+G658+G659+G660</f>
        <v>2.3280799999999999</v>
      </c>
      <c r="H661" s="799">
        <f t="shared" ref="H661:Y661" si="609">+H654+H655+H656+H657+H658+H659+H660</f>
        <v>3.0707500000000003</v>
      </c>
      <c r="I661" s="799">
        <f t="shared" si="609"/>
        <v>4.1255199999999999</v>
      </c>
      <c r="J661" s="799">
        <f t="shared" si="609"/>
        <v>4.8800600000000003</v>
      </c>
      <c r="K661" s="799">
        <f t="shared" si="609"/>
        <v>4.7456299999999993</v>
      </c>
      <c r="L661" s="799">
        <f t="shared" si="609"/>
        <v>4.6564800000000002</v>
      </c>
      <c r="M661" s="799">
        <f t="shared" si="609"/>
        <v>4.6823799999999993</v>
      </c>
      <c r="N661" s="799">
        <f t="shared" si="609"/>
        <v>4.74932</v>
      </c>
      <c r="O661" s="799">
        <f t="shared" si="609"/>
        <v>5.0163199999999994</v>
      </c>
      <c r="P661" s="799">
        <f t="shared" si="609"/>
        <v>5.4605800000000002</v>
      </c>
      <c r="Q661" s="799">
        <f t="shared" si="609"/>
        <v>6.3412500000000005</v>
      </c>
      <c r="R661" s="799">
        <f t="shared" si="609"/>
        <v>7.1508799999999999</v>
      </c>
      <c r="S661" s="799">
        <f t="shared" si="609"/>
        <v>8.41404</v>
      </c>
      <c r="T661" s="799">
        <f>+T654+T655+T656+T657+T658+T659+T660</f>
        <v>10.53551</v>
      </c>
      <c r="U661" s="799">
        <f>+U654+U655+U656+U657+U658+U659+U660</f>
        <v>10.779620000000001</v>
      </c>
      <c r="V661" s="2302">
        <f>+V654+V655+V656+V657+V658+V659+V660</f>
        <v>10.35976</v>
      </c>
      <c r="W661" s="2302">
        <f t="shared" si="609"/>
        <v>10.505479999999999</v>
      </c>
      <c r="X661" s="2302">
        <f t="shared" si="609"/>
        <v>10.691850000000001</v>
      </c>
      <c r="Y661" s="2302">
        <f t="shared" si="609"/>
        <v>10.756360000000001</v>
      </c>
      <c r="Z661" s="2302">
        <f t="shared" ref="Z661:AE661" si="610">+Z654+Z655+Z656+Z657+Z658+Z659+Z660</f>
        <v>10.944410000000001</v>
      </c>
      <c r="AA661" s="2302">
        <f t="shared" si="610"/>
        <v>11.419540000000001</v>
      </c>
      <c r="AB661" s="2302">
        <f t="shared" si="610"/>
        <v>11.87828</v>
      </c>
      <c r="AC661" s="2302">
        <f t="shared" si="610"/>
        <v>12.647513900000002</v>
      </c>
      <c r="AD661" s="2302">
        <f t="shared" ca="1" si="610"/>
        <v>13.511347627588002</v>
      </c>
      <c r="AE661" s="2302">
        <f t="shared" ca="1" si="610"/>
        <v>14.244103491419233</v>
      </c>
    </row>
    <row r="662" spans="1:113" ht="12.75" customHeight="1">
      <c r="B662" s="664"/>
      <c r="C662" s="782" t="s">
        <v>1767</v>
      </c>
      <c r="D662" s="674" t="s">
        <v>687</v>
      </c>
      <c r="E662" s="706" t="str">
        <f>+'VVP2'!E229</f>
        <v>Gross fixed capital formation (P.51)</v>
      </c>
      <c r="F662" s="704" t="str">
        <f>+'VVP2'!F229</f>
        <v>$AI</v>
      </c>
      <c r="G662" s="706">
        <f>+'VVP2'!G229</f>
        <v>0.25098999999999999</v>
      </c>
      <c r="H662" s="706">
        <f>+'VVP2'!H229</f>
        <v>0.23119000000000001</v>
      </c>
      <c r="I662" s="706">
        <f>+'VVP2'!I229</f>
        <v>0.26547000000000004</v>
      </c>
      <c r="J662" s="706">
        <f>+'VVP2'!J229</f>
        <v>0.32951999999999998</v>
      </c>
      <c r="K662" s="706">
        <f>+'VVP2'!K229</f>
        <v>0.32613999999999999</v>
      </c>
      <c r="L662" s="1044">
        <f>+'VVP2'!L229</f>
        <v>0.32395999999999997</v>
      </c>
      <c r="M662" s="706">
        <f>+'VVP2'!M229</f>
        <v>0.32343</v>
      </c>
      <c r="N662" s="706">
        <f>+'VVP2'!N229</f>
        <v>0.45168000000000003</v>
      </c>
      <c r="O662" s="706">
        <f>+'VVP2'!O229</f>
        <v>0.51299000000000006</v>
      </c>
      <c r="P662" s="706">
        <f>+'VVP2'!P229</f>
        <v>0.65776999999999997</v>
      </c>
      <c r="Q662" s="706">
        <f>+'VVP2'!Q229</f>
        <v>0.75748000000000004</v>
      </c>
      <c r="R662" s="706">
        <f>+'VVP2'!R229</f>
        <v>1.0293299999999999</v>
      </c>
      <c r="S662" s="706">
        <f>+'VVP2'!S229</f>
        <v>1.57236</v>
      </c>
      <c r="T662" s="706">
        <f>+'VVP2'!T229</f>
        <v>1.75915</v>
      </c>
      <c r="U662" s="706">
        <f>+'VVP2'!U229</f>
        <v>1.1892</v>
      </c>
      <c r="V662" s="2265">
        <f>+'VVP2'!V229</f>
        <v>1.39093</v>
      </c>
      <c r="W662" s="2265">
        <f>+'VVP2'!W229</f>
        <v>1.47923</v>
      </c>
      <c r="X662" s="2265">
        <f>+'VVP2'!X229</f>
        <v>1.32633</v>
      </c>
      <c r="Y662" s="2265">
        <f>+'VVP2'!Y229</f>
        <v>1.30948</v>
      </c>
      <c r="Z662" s="2265">
        <f>+'VVP2'!Z229</f>
        <v>1.28298</v>
      </c>
      <c r="AA662" s="2265">
        <f>+'VVP2'!AA229</f>
        <v>1.3745099999999999</v>
      </c>
      <c r="AB662" s="2265">
        <f>+'VVP2'!AB229</f>
        <v>1.1535899999999999</v>
      </c>
      <c r="AC662" s="2265">
        <f ca="1">+'VVP2'!AC229</f>
        <v>1.2369138056999998</v>
      </c>
      <c r="AD662" s="2265">
        <f ca="1">+'VVP2'!AD229</f>
        <v>1.3547941652108211</v>
      </c>
      <c r="AE662" s="2265">
        <f ca="1">+'VVP2'!AE229</f>
        <v>1.4582326997246671</v>
      </c>
    </row>
    <row r="663" spans="1:113" s="884" customFormat="1" ht="12.75" customHeight="1">
      <c r="A663" s="663"/>
      <c r="B663" s="664"/>
      <c r="C663" s="842" t="s">
        <v>1767</v>
      </c>
      <c r="D663" s="890" t="s">
        <v>687</v>
      </c>
      <c r="E663" s="1438" t="s">
        <v>1083</v>
      </c>
      <c r="F663" s="1439" t="s">
        <v>1818</v>
      </c>
      <c r="G663" s="1438">
        <f>+G762</f>
        <v>0.10581000000000002</v>
      </c>
      <c r="H663" s="1438">
        <f t="shared" ref="H663:O663" si="611">+H762</f>
        <v>0.24929000000000001</v>
      </c>
      <c r="I663" s="1438">
        <f t="shared" si="611"/>
        <v>1.50285</v>
      </c>
      <c r="J663" s="1438">
        <f t="shared" si="611"/>
        <v>0.15283000000000002</v>
      </c>
      <c r="K663" s="1438">
        <f t="shared" si="611"/>
        <v>0.12015000000000001</v>
      </c>
      <c r="L663" s="1438">
        <f t="shared" si="611"/>
        <v>0.28591000000000005</v>
      </c>
      <c r="M663" s="1438">
        <f t="shared" si="611"/>
        <v>0.25913000000000003</v>
      </c>
      <c r="N663" s="1438">
        <f t="shared" si="611"/>
        <v>0.14212</v>
      </c>
      <c r="O663" s="1438">
        <f t="shared" si="611"/>
        <v>6.7750000000000005E-2</v>
      </c>
      <c r="P663" s="1438">
        <f t="shared" ref="P663:W663" si="612">+P762</f>
        <v>8.9039999999999994E-2</v>
      </c>
      <c r="Q663" s="1438">
        <f t="shared" si="612"/>
        <v>5.8669999999999993E-2</v>
      </c>
      <c r="R663" s="1438">
        <f t="shared" si="612"/>
        <v>8.1490000000000007E-2</v>
      </c>
      <c r="S663" s="1438">
        <f t="shared" si="612"/>
        <v>0.25211</v>
      </c>
      <c r="T663" s="1438">
        <f t="shared" si="612"/>
        <v>0.15964</v>
      </c>
      <c r="U663" s="1438">
        <f>+U762</f>
        <v>0.12178000000000001</v>
      </c>
      <c r="V663" s="2303">
        <f t="shared" si="612"/>
        <v>0.10469999999999999</v>
      </c>
      <c r="W663" s="2303">
        <f t="shared" si="612"/>
        <v>1.2988300000000002</v>
      </c>
      <c r="X663" s="2303">
        <f t="shared" ref="X663:AC663" si="613">+X762</f>
        <v>2.138000000000001E-2</v>
      </c>
      <c r="Y663" s="2303">
        <f t="shared" si="613"/>
        <v>0.34236</v>
      </c>
      <c r="Z663" s="2303">
        <f t="shared" si="613"/>
        <v>0.43934999999999996</v>
      </c>
      <c r="AA663" s="2303">
        <f t="shared" si="613"/>
        <v>0.26362999999999998</v>
      </c>
      <c r="AB663" s="2303">
        <f t="shared" si="613"/>
        <v>0.19511999999999999</v>
      </c>
      <c r="AC663" s="2303">
        <f t="shared" ca="1" si="613"/>
        <v>0.30395159999999999</v>
      </c>
      <c r="AD663" s="2303">
        <f ca="1">+AD762</f>
        <v>0.22980715199999996</v>
      </c>
      <c r="AE663" s="2303">
        <f ca="1">+AE762</f>
        <v>0.22980715199999996</v>
      </c>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c r="BZ663"/>
      <c r="CA663"/>
      <c r="CB663"/>
      <c r="CC663"/>
      <c r="CD663"/>
      <c r="CE663"/>
      <c r="CF663"/>
      <c r="CG663"/>
      <c r="CH663"/>
      <c r="CI663"/>
      <c r="CJ663"/>
      <c r="CK663"/>
      <c r="CL663"/>
      <c r="CM663"/>
      <c r="CN663"/>
      <c r="CO663"/>
      <c r="CP663"/>
      <c r="CQ663"/>
      <c r="CR663"/>
      <c r="CS663"/>
      <c r="CT663"/>
      <c r="CU663"/>
      <c r="CV663"/>
      <c r="CW663"/>
      <c r="CX663"/>
      <c r="CY663"/>
      <c r="CZ663"/>
      <c r="DA663"/>
      <c r="DB663"/>
      <c r="DC663"/>
      <c r="DD663"/>
      <c r="DE663"/>
      <c r="DF663"/>
      <c r="DG663"/>
      <c r="DH663"/>
      <c r="DI663"/>
    </row>
    <row r="664" spans="1:113" s="1" customFormat="1">
      <c r="A664" s="664">
        <f>+ROW(InputY!A176)</f>
        <v>176</v>
      </c>
      <c r="B664" s="2206">
        <v>129</v>
      </c>
      <c r="C664" s="710"/>
      <c r="D664" s="2207" t="s">
        <v>687</v>
      </c>
      <c r="E664" s="1060" t="s">
        <v>794</v>
      </c>
      <c r="F664" s="2208" t="s">
        <v>1142</v>
      </c>
      <c r="G664" s="1061">
        <f>+InputY!G176/1000</f>
        <v>2.6848800000000002</v>
      </c>
      <c r="H664" s="1061">
        <f>+InputY!H176/1000</f>
        <v>3.5512299999999999</v>
      </c>
      <c r="I664" s="1061">
        <f>+InputY!I176/1000</f>
        <v>5.8938199999999998</v>
      </c>
      <c r="J664" s="1061">
        <f>+InputY!J176/1000</f>
        <v>5.3624000000000001</v>
      </c>
      <c r="K664" s="1061">
        <f>+InputY!K176/1000</f>
        <v>5.19191</v>
      </c>
      <c r="L664" s="1061">
        <f>+InputY!L176/1000</f>
        <v>5.2663500000000001</v>
      </c>
      <c r="M664" s="1061">
        <f>+InputY!M176/1000</f>
        <v>5.2649499999999998</v>
      </c>
      <c r="N664" s="1061">
        <f>+InputY!N176/1000</f>
        <v>5.3431099999999994</v>
      </c>
      <c r="O664" s="1061">
        <f>+InputY!O176/1000</f>
        <v>5.5970600000000008</v>
      </c>
      <c r="P664" s="1061">
        <f>+InputY!P176/1000</f>
        <v>6.2073799999999997</v>
      </c>
      <c r="Q664" s="1061">
        <f>+InputY!Q176/1000</f>
        <v>7.1573900000000004</v>
      </c>
      <c r="R664" s="1061">
        <f>+InputY!R176/1000</f>
        <v>8.2616899999999998</v>
      </c>
      <c r="S664" s="1061">
        <f>+InputY!S176/1000</f>
        <v>10.23851</v>
      </c>
      <c r="T664" s="1061">
        <f>+InputY!T176/1000</f>
        <v>12.454319999999999</v>
      </c>
      <c r="U664" s="1061">
        <f>+InputY!U176/1000</f>
        <v>12.090590000000001</v>
      </c>
      <c r="V664" s="1061">
        <f>+InputY!V176/1000</f>
        <v>11.85539</v>
      </c>
      <c r="W664" s="1061">
        <f>+InputY!W176/1000</f>
        <v>13.283530000000001</v>
      </c>
      <c r="X664" s="3306">
        <f>+InputY!X176/1000</f>
        <v>12.039569999999999</v>
      </c>
      <c r="Y664" s="3306">
        <f>+InputY!Y176/1000</f>
        <v>12.408200000000001</v>
      </c>
      <c r="Z664" s="3306">
        <f>+InputY!Z176/1000</f>
        <v>12.666739999999999</v>
      </c>
      <c r="AA664" s="3306">
        <f>+InputY!AA176/1000</f>
        <v>13.057700000000001</v>
      </c>
      <c r="AB664" s="3306">
        <f>+InputY!AB176/1000</f>
        <v>13.226979999999999</v>
      </c>
      <c r="AC664" s="3307">
        <f ca="1">+AC661+AC662+AC663</f>
        <v>14.188379305700002</v>
      </c>
      <c r="AD664" s="3307">
        <f ca="1">+AD661+AD662+AD663</f>
        <v>15.095948944798822</v>
      </c>
      <c r="AE664" s="3307">
        <f ca="1">+AE661+AE662+AE663</f>
        <v>15.932143343143899</v>
      </c>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c r="BZ664"/>
      <c r="CA664"/>
      <c r="CB664"/>
      <c r="CC664"/>
      <c r="CD664"/>
      <c r="CE664"/>
      <c r="CF664"/>
      <c r="CG664"/>
      <c r="CH664"/>
      <c r="CI664"/>
      <c r="CJ664"/>
      <c r="CK664"/>
      <c r="CL664"/>
      <c r="CM664"/>
      <c r="CN664"/>
      <c r="CO664"/>
      <c r="CP664"/>
      <c r="CQ664"/>
      <c r="CR664"/>
      <c r="CS664"/>
      <c r="CT664"/>
      <c r="CU664"/>
      <c r="CV664"/>
      <c r="CW664"/>
      <c r="CX664"/>
      <c r="CY664"/>
      <c r="CZ664"/>
      <c r="DA664"/>
      <c r="DB664"/>
      <c r="DC664"/>
      <c r="DD664"/>
      <c r="DE664"/>
      <c r="DF664"/>
      <c r="DG664"/>
      <c r="DH664"/>
      <c r="DI664"/>
    </row>
    <row r="665" spans="1:113" s="1976" customFormat="1" ht="12.75" customHeight="1">
      <c r="A665" s="998"/>
      <c r="B665" s="998"/>
      <c r="C665" s="1595"/>
      <c r="D665" s="1975"/>
      <c r="E665" s="1973" t="s">
        <v>737</v>
      </c>
      <c r="F665" s="1974"/>
      <c r="G665" s="2209">
        <f>ABS(G664-G661-G662-G663)</f>
        <v>2.2204460492503131E-16</v>
      </c>
      <c r="H665" s="2209">
        <f t="shared" ref="H665:P665" si="614">ABS(H664-H661-H662-H663)</f>
        <v>4.4408920985006262E-16</v>
      </c>
      <c r="I665" s="2209">
        <f t="shared" si="614"/>
        <v>2.0000000000131024E-5</v>
      </c>
      <c r="J665" s="2209">
        <f t="shared" si="614"/>
        <v>1.0000000000232045E-5</v>
      </c>
      <c r="K665" s="2209">
        <f t="shared" si="614"/>
        <v>9.9999999993161115E-6</v>
      </c>
      <c r="L665" s="2209">
        <f t="shared" si="614"/>
        <v>1.1102230246251565E-16</v>
      </c>
      <c r="M665" s="2209">
        <f t="shared" si="614"/>
        <v>1.000000000045409E-5</v>
      </c>
      <c r="N665" s="2209">
        <f t="shared" si="614"/>
        <v>1.0000000000648379E-5</v>
      </c>
      <c r="O665" s="2209">
        <f t="shared" si="614"/>
        <v>1.3045120539345589E-15</v>
      </c>
      <c r="P665" s="2209">
        <f t="shared" si="614"/>
        <v>1.0000000000495723E-5</v>
      </c>
      <c r="Q665" s="2209">
        <f t="shared" ref="Q665:Y665" si="615">ABS(Q664-Q661-Q662-Q663)</f>
        <v>1.0000000000169595E-5</v>
      </c>
      <c r="R665" s="2209">
        <f t="shared" si="615"/>
        <v>1.0000000000010001E-5</v>
      </c>
      <c r="S665" s="2209">
        <f t="shared" si="615"/>
        <v>1.6653345369377348E-16</v>
      </c>
      <c r="T665" s="2921">
        <f t="shared" si="615"/>
        <v>1.9999999998798756E-5</v>
      </c>
      <c r="U665" s="2921">
        <f t="shared" si="615"/>
        <v>1.0000000000745524E-5</v>
      </c>
      <c r="V665" s="2921">
        <f t="shared" si="615"/>
        <v>2.4980018054066022E-16</v>
      </c>
      <c r="W665" s="2921">
        <f t="shared" si="615"/>
        <v>9.9999999980671106E-6</v>
      </c>
      <c r="X665" s="2921">
        <f t="shared" si="615"/>
        <v>9.9999999988997779E-6</v>
      </c>
      <c r="Y665" s="2921">
        <f t="shared" si="615"/>
        <v>0</v>
      </c>
      <c r="Z665" s="2921">
        <f t="shared" ref="Z665:AE665" si="616">ABS(Z664-Z661-Z662-Z663)</f>
        <v>2.2759572004815709E-15</v>
      </c>
      <c r="AA665" s="2921">
        <f t="shared" si="616"/>
        <v>1.9999999999298357E-5</v>
      </c>
      <c r="AB665" s="2921">
        <f t="shared" si="616"/>
        <v>1.0000000000759401E-5</v>
      </c>
      <c r="AC665" s="2921">
        <f t="shared" ca="1" si="616"/>
        <v>2.2204460492503131E-16</v>
      </c>
      <c r="AD665" s="2921">
        <f t="shared" ca="1" si="616"/>
        <v>6.106226635438361E-16</v>
      </c>
      <c r="AE665" s="2921">
        <f t="shared" ca="1" si="616"/>
        <v>1.27675647831893E-15</v>
      </c>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c r="BZ665"/>
      <c r="CA665"/>
      <c r="CB665"/>
      <c r="CC665"/>
      <c r="CD665"/>
      <c r="CE665"/>
      <c r="CF665"/>
      <c r="CG665"/>
      <c r="CH665"/>
      <c r="CI665"/>
      <c r="CJ665"/>
      <c r="CK665"/>
      <c r="CL665"/>
      <c r="CM665"/>
      <c r="CN665"/>
      <c r="CO665"/>
      <c r="CP665"/>
      <c r="CQ665"/>
      <c r="CR665"/>
      <c r="CS665"/>
      <c r="CT665"/>
      <c r="CU665"/>
      <c r="CV665"/>
      <c r="CW665"/>
      <c r="CX665"/>
      <c r="CY665"/>
      <c r="CZ665"/>
      <c r="DA665"/>
      <c r="DB665"/>
      <c r="DC665"/>
      <c r="DD665"/>
      <c r="DE665"/>
      <c r="DF665"/>
      <c r="DG665"/>
      <c r="DH665"/>
      <c r="DI665"/>
    </row>
    <row r="666" spans="1:113">
      <c r="L666" s="849"/>
      <c r="Q666" s="699"/>
      <c r="R666" s="699"/>
      <c r="S666" s="699"/>
      <c r="AB666" s="2221"/>
      <c r="AC666" s="2221"/>
      <c r="AD666" s="2221"/>
      <c r="AE666" s="2221"/>
    </row>
    <row r="667" spans="1:113" ht="12.75" customHeight="1">
      <c r="B667" s="664"/>
      <c r="C667" s="774"/>
      <c r="D667" s="982"/>
      <c r="E667" s="3230" t="s">
        <v>163</v>
      </c>
      <c r="F667" s="1876"/>
      <c r="G667" s="984">
        <f>+InputY!$G$3</f>
        <v>1995</v>
      </c>
      <c r="H667" s="984">
        <f>+G667+1</f>
        <v>1996</v>
      </c>
      <c r="I667" s="984">
        <f t="shared" ref="I667:O667" si="617">+H667+1</f>
        <v>1997</v>
      </c>
      <c r="J667" s="984">
        <f t="shared" si="617"/>
        <v>1998</v>
      </c>
      <c r="K667" s="984">
        <f>+J667+1</f>
        <v>1999</v>
      </c>
      <c r="L667" s="984">
        <f t="shared" si="617"/>
        <v>2000</v>
      </c>
      <c r="M667" s="984">
        <f t="shared" si="617"/>
        <v>2001</v>
      </c>
      <c r="N667" s="984">
        <f t="shared" si="617"/>
        <v>2002</v>
      </c>
      <c r="O667" s="984">
        <f t="shared" si="617"/>
        <v>2003</v>
      </c>
      <c r="P667" s="984">
        <f t="shared" ref="P667:U667" si="618">+O667+1</f>
        <v>2004</v>
      </c>
      <c r="Q667" s="984">
        <f t="shared" si="618"/>
        <v>2005</v>
      </c>
      <c r="R667" s="984">
        <f>+Q667+1</f>
        <v>2006</v>
      </c>
      <c r="S667" s="984">
        <f>+R667+1</f>
        <v>2007</v>
      </c>
      <c r="T667" s="984">
        <f>+S667+1</f>
        <v>2008</v>
      </c>
      <c r="U667" s="2228">
        <f t="shared" si="618"/>
        <v>2009</v>
      </c>
      <c r="V667" s="2228">
        <f t="shared" ref="V667:AE667" si="619">+U667+1</f>
        <v>2010</v>
      </c>
      <c r="W667" s="2228">
        <f t="shared" si="619"/>
        <v>2011</v>
      </c>
      <c r="X667" s="2228">
        <f t="shared" si="619"/>
        <v>2012</v>
      </c>
      <c r="Y667" s="2228">
        <f t="shared" si="619"/>
        <v>2013</v>
      </c>
      <c r="Z667" s="2228">
        <f t="shared" si="619"/>
        <v>2014</v>
      </c>
      <c r="AA667" s="2228">
        <f t="shared" si="619"/>
        <v>2015</v>
      </c>
      <c r="AB667" s="2228">
        <f t="shared" si="619"/>
        <v>2016</v>
      </c>
      <c r="AC667" s="2228">
        <f t="shared" si="619"/>
        <v>2017</v>
      </c>
      <c r="AD667" s="2228">
        <f t="shared" si="619"/>
        <v>2018</v>
      </c>
      <c r="AE667" s="2228">
        <f t="shared" si="619"/>
        <v>2019</v>
      </c>
    </row>
    <row r="668" spans="1:113" ht="12.75" customHeight="1">
      <c r="B668" s="664"/>
      <c r="C668" s="1873" t="s">
        <v>1767</v>
      </c>
      <c r="D668" s="674" t="s">
        <v>687</v>
      </c>
      <c r="E668" s="706" t="s">
        <v>1376</v>
      </c>
      <c r="F668" s="704" t="s">
        <v>321</v>
      </c>
      <c r="G668" s="1893">
        <f>+G654/'VVP2'!G$341</f>
        <v>9.6362561545901698E-2</v>
      </c>
      <c r="H668" s="1893">
        <f>+H654/'VVP2'!H$341</f>
        <v>0.10452278377418507</v>
      </c>
      <c r="I668" s="1893">
        <f>+I654/'VVP2'!I$341</f>
        <v>0.11074397364798359</v>
      </c>
      <c r="J668" s="1893">
        <f>+J654/'VVP2'!J$341</f>
        <v>0.1264786560548489</v>
      </c>
      <c r="K668" s="1893">
        <f>+K654/'VVP2'!K$341</f>
        <v>0.13341876388443119</v>
      </c>
      <c r="L668" s="1893">
        <f>+L654/'VVP2'!L$341</f>
        <v>0.12025421560750976</v>
      </c>
      <c r="M668" s="1893">
        <f>+M654/'VVP2'!M$341</f>
        <v>0.11620047736732203</v>
      </c>
      <c r="N668" s="1893">
        <f>+N654/'VVP2'!N$341</f>
        <v>0.11274771956898258</v>
      </c>
      <c r="O668" s="1893">
        <f>+O654/'VVP2'!O$341</f>
        <v>0.10718013880089847</v>
      </c>
      <c r="P668" s="1893">
        <f>+P654/'VVP2'!P$341</f>
        <v>0.10794496241854794</v>
      </c>
      <c r="Q668" s="1893">
        <f>+Q654/'VVP2'!Q$341</f>
        <v>0.10251614700259734</v>
      </c>
      <c r="R668" s="1893">
        <f>+R654/'VVP2'!R$341</f>
        <v>0.10401558524833486</v>
      </c>
      <c r="S668" s="1893">
        <f>+S654/'VVP2'!S$341</f>
        <v>9.7603842336916588E-2</v>
      </c>
      <c r="T668" s="1893">
        <f>+T654/'VVP2'!T$341</f>
        <v>0.10630567147088292</v>
      </c>
      <c r="U668" s="2864">
        <f>+U654/'VVP2'!U$341</f>
        <v>0.12661157564817588</v>
      </c>
      <c r="V668" s="2864">
        <f>+V654/'VVP2'!V$341</f>
        <v>0.10913647446843582</v>
      </c>
      <c r="W668" s="2864">
        <f>+W654/'VVP2'!W$341</f>
        <v>0.10223172776489577</v>
      </c>
      <c r="X668" s="2864">
        <f>+X654/'VVP2'!X$341</f>
        <v>9.7204130443126646E-2</v>
      </c>
      <c r="Y668" s="2864">
        <f>+Y654/'VVP2'!Y$341</f>
        <v>9.5494377089015467E-2</v>
      </c>
      <c r="Z668" s="2864">
        <f>+Z654/'VVP2'!Z$341</f>
        <v>9.4676315101503275E-2</v>
      </c>
      <c r="AA668" s="2864">
        <f>+AA654/'VVP2'!AA$341</f>
        <v>9.6330124475607043E-2</v>
      </c>
      <c r="AB668" s="2864">
        <f>+AB654/'VVP2'!AB$341</f>
        <v>9.8332433371814451E-2</v>
      </c>
      <c r="AC668" s="2864">
        <f ca="1">+AC654/'VVP2'!AC$341</f>
        <v>9.5787795717815691E-2</v>
      </c>
      <c r="AD668" s="2864">
        <f ca="1">+AD654/'VVP2'!AD$341</f>
        <v>9.5084098771006514E-2</v>
      </c>
      <c r="AE668" s="2864">
        <f ca="1">+AE654/'VVP2'!AE$341</f>
        <v>9.5020676898133691E-2</v>
      </c>
    </row>
    <row r="669" spans="1:113" ht="12.75" customHeight="1">
      <c r="B669" s="664"/>
      <c r="C669" s="1874" t="s">
        <v>1767</v>
      </c>
      <c r="D669" s="674" t="s">
        <v>687</v>
      </c>
      <c r="E669" s="706" t="s">
        <v>1623</v>
      </c>
      <c r="F669" s="704"/>
      <c r="G669" s="1893">
        <f>+G655/'VVP2'!G$341</f>
        <v>9.0785920075007756E-2</v>
      </c>
      <c r="H669" s="1893">
        <f>+H655/'VVP2'!H$341</f>
        <v>8.6195910089920377E-2</v>
      </c>
      <c r="I669" s="1893">
        <f>+I655/'VVP2'!I$341</f>
        <v>9.6407985438839203E-2</v>
      </c>
      <c r="J669" s="1893">
        <f>+J655/'VVP2'!J$341</f>
        <v>9.2814752925058905E-2</v>
      </c>
      <c r="K669" s="1893">
        <f>+K655/'VVP2'!K$341</f>
        <v>6.9510261105971638E-2</v>
      </c>
      <c r="L669" s="1893">
        <f>+L655/'VVP2'!L$341</f>
        <v>7.2597765739240497E-2</v>
      </c>
      <c r="M669" s="1893">
        <f>+M655/'VVP2'!M$341</f>
        <v>6.0356391057957572E-2</v>
      </c>
      <c r="N669" s="1893">
        <f>+N655/'VVP2'!N$341</f>
        <v>6.2696312434343246E-2</v>
      </c>
      <c r="O669" s="1893">
        <f>+O655/'VVP2'!O$341</f>
        <v>5.9224356390024768E-2</v>
      </c>
      <c r="P669" s="1893">
        <f>+P655/'VVP2'!P$341</f>
        <v>5.5822767319599169E-2</v>
      </c>
      <c r="Q669" s="1893">
        <f>+Q655/'VVP2'!Q$341</f>
        <v>5.5539023014091277E-2</v>
      </c>
      <c r="R669" s="1893">
        <f>+R655/'VVP2'!R$341</f>
        <v>5.8119504069490735E-2</v>
      </c>
      <c r="S669" s="1893">
        <f>+S655/'VVP2'!S$341</f>
        <v>5.1101111338378677E-2</v>
      </c>
      <c r="T669" s="1893">
        <f>+T655/'VVP2'!T$341</f>
        <v>5.5663518907961396E-2</v>
      </c>
      <c r="U669" s="2864">
        <f>+U655/'VVP2'!U$341</f>
        <v>5.6550962657259271E-2</v>
      </c>
      <c r="V669" s="2864">
        <f>+V655/'VVP2'!V$341</f>
        <v>6.2734099100674109E-2</v>
      </c>
      <c r="W669" s="2864">
        <f>+W655/'VVP2'!W$341</f>
        <v>5.0668386446565537E-2</v>
      </c>
      <c r="X669" s="2864">
        <f>+X655/'VVP2'!X$341</f>
        <v>4.9223832690425469E-2</v>
      </c>
      <c r="Y669" s="2864">
        <f>+Y655/'VVP2'!Y$341</f>
        <v>4.6332557677207863E-2</v>
      </c>
      <c r="Z669" s="2864">
        <f>+Z655/'VVP2'!Z$341</f>
        <v>4.6751446882380025E-2</v>
      </c>
      <c r="AA669" s="2864">
        <f>+AA655/'VVP2'!AA$341</f>
        <v>4.9902729635411806E-2</v>
      </c>
      <c r="AB669" s="2864">
        <f>+AB655/'VVP2'!AB$341</f>
        <v>4.7750458256267662E-2</v>
      </c>
      <c r="AC669" s="2864">
        <f ca="1">+AC655/'VVP2'!AC$341</f>
        <v>4.4887947192975425E-2</v>
      </c>
      <c r="AD669" s="2864">
        <f ca="1">+AD655/'VVP2'!AD$341</f>
        <v>4.5538013566426651E-2</v>
      </c>
      <c r="AE669" s="2864">
        <f ca="1">+AE655/'VVP2'!AE$341</f>
        <v>4.5287091548244347E-2</v>
      </c>
    </row>
    <row r="670" spans="1:113" ht="12.75" customHeight="1">
      <c r="B670" s="664"/>
      <c r="C670" s="1874" t="s">
        <v>1767</v>
      </c>
      <c r="D670" s="674" t="s">
        <v>687</v>
      </c>
      <c r="E670" s="706" t="s">
        <v>1624</v>
      </c>
      <c r="F670" s="704"/>
      <c r="G670" s="1893">
        <f>+G656/'VVP2'!G$341</f>
        <v>1.6134910934724963E-2</v>
      </c>
      <c r="H670" s="1893">
        <f>+H656/'VVP2'!H$341</f>
        <v>1.8407168923683492E-2</v>
      </c>
      <c r="I670" s="1893">
        <f>+I656/'VVP2'!I$341</f>
        <v>1.2286405887239709E-2</v>
      </c>
      <c r="J670" s="1893">
        <f>+J656/'VVP2'!J$341</f>
        <v>1.8412742782192543E-2</v>
      </c>
      <c r="K670" s="1893">
        <f>+K656/'VVP2'!K$341</f>
        <v>1.7693406586490958E-2</v>
      </c>
      <c r="L670" s="1893">
        <f>+L656/'VVP2'!L$341</f>
        <v>1.4039308267841995E-2</v>
      </c>
      <c r="M670" s="1893">
        <f>+M656/'VVP2'!M$341</f>
        <v>1.2834530508956978E-2</v>
      </c>
      <c r="N670" s="1893">
        <f>+N656/'VVP2'!N$341</f>
        <v>1.4447279566009325E-2</v>
      </c>
      <c r="O670" s="1893">
        <f>+O656/'VVP2'!O$341</f>
        <v>1.4594612106202847E-2</v>
      </c>
      <c r="P670" s="1893">
        <f>+P656/'VVP2'!P$341</f>
        <v>1.4525390235182909E-2</v>
      </c>
      <c r="Q670" s="1893">
        <f>+Q656/'VVP2'!Q$341</f>
        <v>1.8129875942454059E-2</v>
      </c>
      <c r="R670" s="1893">
        <f>+R656/'VVP2'!R$341</f>
        <v>1.6717761983589142E-2</v>
      </c>
      <c r="S670" s="1893">
        <f>+S656/'VVP2'!S$341</f>
        <v>1.5748953364007567E-2</v>
      </c>
      <c r="T670" s="1893">
        <f>+T656/'VVP2'!T$341</f>
        <v>1.7264961029205769E-2</v>
      </c>
      <c r="U670" s="2864">
        <f>+U656/'VVP2'!U$341</f>
        <v>1.9923281462434127E-2</v>
      </c>
      <c r="V670" s="2864">
        <f>+V656/'VVP2'!V$341</f>
        <v>1.9146086401790229E-2</v>
      </c>
      <c r="W670" s="2864">
        <f>+W656/'VVP2'!W$341</f>
        <v>1.9818821997664614E-2</v>
      </c>
      <c r="X670" s="2864">
        <f>+X656/'VVP2'!X$341</f>
        <v>1.7533932581035177E-2</v>
      </c>
      <c r="Y670" s="2864">
        <f>+Y656/'VVP2'!Y$341</f>
        <v>1.5825673311946769E-2</v>
      </c>
      <c r="Z670" s="2864">
        <f>+Z656/'VVP2'!Z$341</f>
        <v>1.5798664853802255E-2</v>
      </c>
      <c r="AA670" s="2864">
        <f>+AA656/'VVP2'!AA$341</f>
        <v>1.6520331389885429E-2</v>
      </c>
      <c r="AB670" s="2864">
        <f>+AB656/'VVP2'!AB$341</f>
        <v>1.66205824302685E-2</v>
      </c>
      <c r="AC670" s="2864">
        <f ca="1">+AC656/'VVP2'!AC$341</f>
        <v>1.5921268545402569E-2</v>
      </c>
      <c r="AD670" s="2864">
        <f ca="1">+AD656/'VVP2'!AD$341</f>
        <v>1.5572072553202391E-2</v>
      </c>
      <c r="AE670" s="2864">
        <f ca="1">+AE656/'VVP2'!AE$341</f>
        <v>1.5192299396724392E-2</v>
      </c>
    </row>
    <row r="671" spans="1:113" ht="12.75" customHeight="1">
      <c r="B671" s="664"/>
      <c r="C671" s="1874" t="s">
        <v>1767</v>
      </c>
      <c r="D671" s="674" t="s">
        <v>687</v>
      </c>
      <c r="E671" s="706" t="s">
        <v>1340</v>
      </c>
      <c r="F671" s="704" t="s">
        <v>844</v>
      </c>
      <c r="G671" s="1893">
        <f>+G657/'VVP2'!G$341</f>
        <v>8.1725487569756311E-2</v>
      </c>
      <c r="H671" s="1893">
        <f>+H657/'VVP2'!H$341</f>
        <v>8.5808845858875965E-2</v>
      </c>
      <c r="I671" s="1893">
        <f>+I657/'VVP2'!I$341</f>
        <v>9.6447220056736657E-2</v>
      </c>
      <c r="J671" s="1893">
        <f>+J657/'VVP2'!J$341</f>
        <v>0.10839305296591296</v>
      </c>
      <c r="K671" s="1893">
        <f>+K657/'VVP2'!K$341</f>
        <v>0.12203117035135083</v>
      </c>
      <c r="L671" s="1893">
        <f>+L657/'VVP2'!L$341</f>
        <v>0.11482041684058712</v>
      </c>
      <c r="M671" s="1893">
        <f>+M657/'VVP2'!M$341</f>
        <v>0.11285763801805203</v>
      </c>
      <c r="N671" s="1893">
        <f>+N657/'VVP2'!N$341</f>
        <v>9.9892975805427761E-2</v>
      </c>
      <c r="O671" s="1893">
        <f>+O657/'VVP2'!O$341</f>
        <v>9.7738966000499167E-2</v>
      </c>
      <c r="P671" s="1893">
        <f>+P657/'VVP2'!P$341</f>
        <v>9.7499577798101963E-2</v>
      </c>
      <c r="Q671" s="1893">
        <f>+Q657/'VVP2'!Q$341</f>
        <v>9.3217663737629353E-2</v>
      </c>
      <c r="R671" s="1893">
        <f>+R657/'VVP2'!R$341</f>
        <v>9.1717824278069265E-2</v>
      </c>
      <c r="S671" s="1893">
        <f>+S657/'VVP2'!S$341</f>
        <v>9.6592846030358823E-2</v>
      </c>
      <c r="T671" s="1893">
        <f>+T657/'VVP2'!T$341</f>
        <v>0.11488921675493358</v>
      </c>
      <c r="U671" s="2864">
        <f>+U657/'VVP2'!U$341</f>
        <v>0.16167770937396281</v>
      </c>
      <c r="V671" s="2864">
        <f>+V657/'VVP2'!V$341</f>
        <v>0.14303655745788268</v>
      </c>
      <c r="W671" s="2864">
        <f>+W657/'VVP2'!W$341</f>
        <v>0.1248019204919406</v>
      </c>
      <c r="X671" s="2864">
        <f>+X657/'VVP2'!X$341</f>
        <v>0.11959825455313106</v>
      </c>
      <c r="Y671" s="2864">
        <f>+Y657/'VVP2'!Y$341</f>
        <v>0.11311183035299265</v>
      </c>
      <c r="Z671" s="2864">
        <f>+Z657/'VVP2'!Z$341</f>
        <v>0.10850113814486215</v>
      </c>
      <c r="AA671" s="2864">
        <f>+AA657/'VVP2'!AA$341</f>
        <v>0.10831998944066801</v>
      </c>
      <c r="AB671" s="2864">
        <f>+AB657/'VVP2'!AB$341</f>
        <v>0.11017209953781287</v>
      </c>
      <c r="AC671" s="2864">
        <f ca="1">+AC657/'VVP2'!AC$341</f>
        <v>0.1142038454965528</v>
      </c>
      <c r="AD671" s="2864">
        <f ca="1">+AD657/'VVP2'!AD$341</f>
        <v>0.12087240170200475</v>
      </c>
      <c r="AE671" s="2864">
        <f ca="1">+AE657/'VVP2'!AE$341</f>
        <v>0.12135925006254542</v>
      </c>
    </row>
    <row r="672" spans="1:113" ht="12.75" customHeight="1">
      <c r="B672" s="664"/>
      <c r="C672" s="1874" t="s">
        <v>1767</v>
      </c>
      <c r="D672" s="674" t="s">
        <v>687</v>
      </c>
      <c r="E672" s="706" t="s">
        <v>1205</v>
      </c>
      <c r="F672" s="704" t="s">
        <v>846</v>
      </c>
      <c r="G672" s="1893">
        <f>+G658/'VVP2'!G$341</f>
        <v>3.4696240467871208E-3</v>
      </c>
      <c r="H672" s="1893">
        <f>+H658/'VVP2'!H$341</f>
        <v>8.3352635073578232E-3</v>
      </c>
      <c r="I672" s="1893">
        <f>+I658/'VVP2'!I$341</f>
        <v>7.3215208702579419E-3</v>
      </c>
      <c r="J672" s="1893">
        <f>+J658/'VVP2'!J$341</f>
        <v>1.1329323696279208E-2</v>
      </c>
      <c r="K672" s="1893">
        <f>+K658/'VVP2'!K$341</f>
        <v>1.470569725804117E-2</v>
      </c>
      <c r="L672" s="1893">
        <f>+L658/'VVP2'!L$341</f>
        <v>1.733220228931687E-2</v>
      </c>
      <c r="M672" s="1893">
        <f>+M658/'VVP2'!M$341</f>
        <v>1.5042424823100746E-2</v>
      </c>
      <c r="N672" s="1893">
        <f>+N658/'VVP2'!N$341</f>
        <v>1.3051426210863318E-2</v>
      </c>
      <c r="O672" s="1893">
        <f>+O658/'VVP2'!O$341</f>
        <v>1.2347256618479911E-2</v>
      </c>
      <c r="P672" s="1893">
        <f>+P658/'VVP2'!P$341</f>
        <v>8.9764510037438888E-3</v>
      </c>
      <c r="Q672" s="1893">
        <f>+Q658/'VVP2'!Q$341</f>
        <v>7.6524769847183772E-3</v>
      </c>
      <c r="R672" s="1893">
        <f>+R658/'VVP2'!R$341</f>
        <v>6.9773970708304845E-3</v>
      </c>
      <c r="S672" s="1893">
        <f>+S658/'VVP2'!S$341</f>
        <v>6.6220946769116138E-3</v>
      </c>
      <c r="T672" s="1893">
        <f>+T658/'VVP2'!T$341</f>
        <v>6.5481455382691844E-3</v>
      </c>
      <c r="U672" s="2864">
        <f>+U658/'VVP2'!U$341</f>
        <v>1.2370604295851987E-2</v>
      </c>
      <c r="V672" s="2864">
        <f>+V658/'VVP2'!V$341</f>
        <v>1.8191315293535029E-2</v>
      </c>
      <c r="W672" s="2864">
        <f>+W658/'VVP2'!W$341</f>
        <v>1.8405886814267608E-2</v>
      </c>
      <c r="X672" s="2864">
        <f>+X658/'VVP2'!X$341</f>
        <v>1.9748126451340511E-2</v>
      </c>
      <c r="Y672" s="2864">
        <f>+Y658/'VVP2'!Y$341</f>
        <v>1.758627446212991E-2</v>
      </c>
      <c r="Z672" s="2864">
        <f>+Z658/'VVP2'!Z$341</f>
        <v>1.6045600175890139E-2</v>
      </c>
      <c r="AA672" s="2864">
        <f>+AA658/'VVP2'!AA$341</f>
        <v>1.5194536721332761E-2</v>
      </c>
      <c r="AB672" s="2864">
        <f>+AB658/'VVP2'!AB$341</f>
        <v>1.3364169945836796E-2</v>
      </c>
      <c r="AC672" s="2864">
        <f ca="1">+AC658/'VVP2'!AC$341</f>
        <v>1.1847888934176003E-2</v>
      </c>
      <c r="AD672" s="2864">
        <f ca="1">+AD658/'VVP2'!AD$341</f>
        <v>8.7081300421495821E-3</v>
      </c>
      <c r="AE672" s="2864">
        <f ca="1">+AE658/'VVP2'!AE$341</f>
        <v>8.5910929200566106E-3</v>
      </c>
    </row>
    <row r="673" spans="1:113" ht="12.75" customHeight="1">
      <c r="B673" s="664"/>
      <c r="C673" s="1874" t="s">
        <v>1767</v>
      </c>
      <c r="D673" s="674" t="s">
        <v>687</v>
      </c>
      <c r="E673" s="706" t="s">
        <v>1488</v>
      </c>
      <c r="F673" s="704" t="s">
        <v>2086</v>
      </c>
      <c r="G673" s="1893">
        <f>+G659/'VVP2'!G$341</f>
        <v>1.0258186908930742E-2</v>
      </c>
      <c r="H673" s="1893">
        <f>+H659/'VVP2'!H$341</f>
        <v>1.1818841586757462E-2</v>
      </c>
      <c r="I673" s="1893">
        <f>+I659/'VVP2'!I$341</f>
        <v>8.6239395991586747E-3</v>
      </c>
      <c r="J673" s="1893">
        <f>+J659/'VVP2'!J$341</f>
        <v>1.0490740257227023E-2</v>
      </c>
      <c r="K673" s="1893">
        <f>+K659/'VVP2'!K$341</f>
        <v>1.0414503370022843E-2</v>
      </c>
      <c r="L673" s="1893">
        <f>+L659/'VVP2'!L$341</f>
        <v>7.8275427171088357E-3</v>
      </c>
      <c r="M673" s="1893">
        <f>+M659/'VVP2'!M$341</f>
        <v>8.4018339471852513E-3</v>
      </c>
      <c r="N673" s="1893">
        <f>+N659/'VVP2'!N$341</f>
        <v>7.8817695105369828E-3</v>
      </c>
      <c r="O673" s="1893">
        <f>+O659/'VVP2'!O$341</f>
        <v>7.7691547159669033E-3</v>
      </c>
      <c r="P673" s="1893">
        <f>+P659/'VVP2'!P$341</f>
        <v>6.8873740796546942E-3</v>
      </c>
      <c r="Q673" s="1893">
        <f>+Q659/'VVP2'!Q$341</f>
        <v>6.7497208645699172E-3</v>
      </c>
      <c r="R673" s="1893">
        <f>+R659/'VVP2'!R$341</f>
        <v>6.723650888443876E-3</v>
      </c>
      <c r="S673" s="1893">
        <f>+S659/'VVP2'!S$341</f>
        <v>8.8004198251692631E-3</v>
      </c>
      <c r="T673" s="1893">
        <f>+T659/'VVP2'!T$341</f>
        <v>6.7542851969704196E-3</v>
      </c>
      <c r="U673" s="2864">
        <f>+U659/'VVP2'!U$341</f>
        <v>6.3278685359694263E-3</v>
      </c>
      <c r="V673" s="2864">
        <f>+V659/'VVP2'!V$341</f>
        <v>4.9233507185401848E-3</v>
      </c>
      <c r="W673" s="2864">
        <f>+W659/'VVP2'!W$341</f>
        <v>3.9190646170846532E-3</v>
      </c>
      <c r="X673" s="2864">
        <f>+X659/'VVP2'!X$341</f>
        <v>3.1431717427600897E-3</v>
      </c>
      <c r="Y673" s="2864">
        <f>+Y659/'VVP2'!Y$341</f>
        <v>3.3075273922936869E-3</v>
      </c>
      <c r="Z673" s="2864">
        <f>+Z659/'VVP2'!Z$341</f>
        <v>3.2470764279862218E-3</v>
      </c>
      <c r="AA673" s="2864">
        <f>+AA659/'VVP2'!AA$341</f>
        <v>3.9429165505505308E-3</v>
      </c>
      <c r="AB673" s="2864">
        <f>+AB659/'VVP2'!AB$341</f>
        <v>4.2005962503672261E-3</v>
      </c>
      <c r="AC673" s="2864">
        <f ca="1">+AC659/'VVP2'!AC$341</f>
        <v>3.801257537537702E-3</v>
      </c>
      <c r="AD673" s="2864">
        <f ca="1">+AD659/'VVP2'!AD$341</f>
        <v>3.7660768131281309E-3</v>
      </c>
      <c r="AE673" s="2864">
        <f ca="1">+AE659/'VVP2'!AE$341</f>
        <v>3.7406967038084256E-3</v>
      </c>
    </row>
    <row r="674" spans="1:113" ht="12.75" customHeight="1">
      <c r="B674" s="664"/>
      <c r="C674" s="1874" t="s">
        <v>1767</v>
      </c>
      <c r="D674" s="674" t="s">
        <v>687</v>
      </c>
      <c r="E674" s="706" t="s">
        <v>908</v>
      </c>
      <c r="F674" s="704" t="s">
        <v>161</v>
      </c>
      <c r="G674" s="1893">
        <f>+G660/'VVP2'!G$341</f>
        <v>1.0985854906864936E-3</v>
      </c>
      <c r="H674" s="1893">
        <f>+H660/'VVP2'!H$341</f>
        <v>1.0222201633699295E-3</v>
      </c>
      <c r="I674" s="1893">
        <f>+I660/'VVP2'!I$341</f>
        <v>2.0045478039702021E-2</v>
      </c>
      <c r="J674" s="1893">
        <f>+J660/'VVP2'!J$341</f>
        <v>6.8369124156424993E-3</v>
      </c>
      <c r="K674" s="1893">
        <f>+K660/'VVP2'!K$341</f>
        <v>5.5427593281351288E-3</v>
      </c>
      <c r="L674" s="1893">
        <f>+L660/'VVP2'!L$341</f>
        <v>1.4541994497381094E-3</v>
      </c>
      <c r="M674" s="1893">
        <f>+M660/'VVP2'!M$341</f>
        <v>4.1790775595088809E-3</v>
      </c>
      <c r="N674" s="1893">
        <f>+N660/'VVP2'!N$341</f>
        <v>1.6931793290036882E-3</v>
      </c>
      <c r="O674" s="1893">
        <f>+O660/'VVP2'!O$341</f>
        <v>2.0919723934035976E-3</v>
      </c>
      <c r="P674" s="1893">
        <f>+P660/'VVP2'!P$341</f>
        <v>7.7548070701820189E-3</v>
      </c>
      <c r="Q674" s="1893">
        <f>+Q660/'VVP2'!Q$341</f>
        <v>1.8125590707706515E-2</v>
      </c>
      <c r="R674" s="1893">
        <f>+R660/'VVP2'!R$341</f>
        <v>1.2701844498026926E-2</v>
      </c>
      <c r="S674" s="1893">
        <f>+S660/'VVP2'!S$341</f>
        <v>1.3263817006913755E-2</v>
      </c>
      <c r="T674" s="1893">
        <f>+T660/'VVP2'!T$341</f>
        <v>1.4797707873800933E-2</v>
      </c>
      <c r="U674" s="2864">
        <f>+U660/'VVP2'!U$341</f>
        <v>1.6749322995290115E-2</v>
      </c>
      <c r="V674" s="2864">
        <f>+V660/'VVP2'!V$341</f>
        <v>1.2458407159213434E-2</v>
      </c>
      <c r="W674" s="2864">
        <f>+W660/'VVP2'!W$341</f>
        <v>1.6057389660601395E-2</v>
      </c>
      <c r="X674" s="2864">
        <f>+X660/'VVP2'!X$341</f>
        <v>1.4158366438290441E-2</v>
      </c>
      <c r="Y674" s="2864">
        <f>+Y660/'VVP2'!Y$341</f>
        <v>1.6021041400586102E-2</v>
      </c>
      <c r="Z674" s="2864">
        <f>+Z660/'VVP2'!Z$341</f>
        <v>1.4266736089310188E-2</v>
      </c>
      <c r="AA674" s="2864">
        <f>+AA660/'VVP2'!AA$341</f>
        <v>1.4907575118344946E-2</v>
      </c>
      <c r="AB674" s="2864">
        <f>+AB660/'VVP2'!AB$341</f>
        <v>1.6743422005403907E-2</v>
      </c>
      <c r="AC674" s="2864">
        <f ca="1">+AC660/'VVP2'!AC$341</f>
        <v>1.6269875324322055E-2</v>
      </c>
      <c r="AD674" s="2864">
        <f ca="1">+AD660/'VVP2'!AD$341</f>
        <v>1.6065887553966603E-2</v>
      </c>
      <c r="AE674" s="2864">
        <f ca="1">+AE660/'VVP2'!AE$341</f>
        <v>1.5977013811348549E-2</v>
      </c>
    </row>
    <row r="675" spans="1:113" ht="12.75" customHeight="1">
      <c r="B675" s="664"/>
      <c r="C675" s="1874" t="s">
        <v>1769</v>
      </c>
      <c r="D675" s="806" t="s">
        <v>687</v>
      </c>
      <c r="E675" s="809" t="s">
        <v>159</v>
      </c>
      <c r="F675" s="808" t="s">
        <v>1817</v>
      </c>
      <c r="G675" s="1894">
        <f>+G661/'VVP2'!G$341</f>
        <v>0.2998352765717951</v>
      </c>
      <c r="H675" s="1894">
        <f>+H661/'VVP2'!H$341</f>
        <v>0.31611103390415018</v>
      </c>
      <c r="I675" s="1894">
        <f>+I661/'VVP2'!I$341</f>
        <v>0.35187652353991783</v>
      </c>
      <c r="J675" s="1894">
        <f>+J661/'VVP2'!J$341</f>
        <v>0.37475618109716202</v>
      </c>
      <c r="K675" s="1894">
        <f>+K661/'VVP2'!K$341</f>
        <v>0.37331656188444373</v>
      </c>
      <c r="L675" s="1894">
        <f>+L661/'VVP2'!L$341</f>
        <v>0.34832565091134321</v>
      </c>
      <c r="M675" s="1894">
        <f>+M661/'VVP2'!M$341</f>
        <v>0.32987237328208346</v>
      </c>
      <c r="N675" s="1894">
        <f>+N661/'VVP2'!N$341</f>
        <v>0.31241066242516691</v>
      </c>
      <c r="O675" s="1894">
        <f>+O661/'VVP2'!O$341</f>
        <v>0.30094645702547562</v>
      </c>
      <c r="P675" s="1894">
        <f>+P661/'VVP2'!P$341</f>
        <v>0.29941132992501257</v>
      </c>
      <c r="Q675" s="1894">
        <f>+Q661/'VVP2'!Q$341</f>
        <v>0.30193049825376689</v>
      </c>
      <c r="R675" s="1894">
        <f>+R661/'VVP2'!R$341</f>
        <v>0.29697356803678532</v>
      </c>
      <c r="S675" s="1894">
        <f>+S661/'VVP2'!S$341</f>
        <v>0.28973308457865626</v>
      </c>
      <c r="T675" s="1894">
        <f>+T661/'VVP2'!T$341</f>
        <v>0.32222350677202422</v>
      </c>
      <c r="U675" s="2264">
        <f>+U661/'VVP2'!U$341</f>
        <v>0.40021132496894363</v>
      </c>
      <c r="V675" s="2264">
        <f>+V661/'VVP2'!V$341</f>
        <v>0.36962629060007146</v>
      </c>
      <c r="W675" s="2264">
        <f>+W661/'VVP2'!W$341</f>
        <v>0.33590319779302014</v>
      </c>
      <c r="X675" s="2264">
        <f>+X661/'VVP2'!X$341</f>
        <v>0.32060981490010937</v>
      </c>
      <c r="Y675" s="2264">
        <f>+Y661/'VVP2'!Y$341</f>
        <v>0.30767928168617248</v>
      </c>
      <c r="Z675" s="2264">
        <f>+Z661/'VVP2'!Z$341</f>
        <v>0.29928697767573431</v>
      </c>
      <c r="AA675" s="2264">
        <f>+AA661/'VVP2'!AA$341</f>
        <v>0.30511820333180056</v>
      </c>
      <c r="AB675" s="2264">
        <f>+AB661/'VVP2'!AB$341</f>
        <v>0.3071837617977714</v>
      </c>
      <c r="AC675" s="2264">
        <f ca="1">+AC661/'VVP2'!AC$341</f>
        <v>0.30271987874878226</v>
      </c>
      <c r="AD675" s="2264">
        <f ca="1">+AD661/'VVP2'!AD$341</f>
        <v>0.30560668100188459</v>
      </c>
      <c r="AE675" s="2264">
        <f ca="1">+AE661/'VVP2'!AE$341</f>
        <v>0.30516812134086141</v>
      </c>
      <c r="AF675" s="3271"/>
      <c r="AG675" s="3271"/>
      <c r="AH675" s="3272"/>
      <c r="AI675" s="3272"/>
      <c r="AJ675" s="3272"/>
      <c r="AK675" s="3272"/>
      <c r="AL675" s="3272"/>
      <c r="AM675" s="3272"/>
    </row>
    <row r="676" spans="1:113" ht="12.75" customHeight="1">
      <c r="B676" s="664"/>
      <c r="C676" s="1874" t="s">
        <v>1767</v>
      </c>
      <c r="D676" s="674" t="s">
        <v>687</v>
      </c>
      <c r="E676" s="706" t="str">
        <f>+'VVP2'!E241</f>
        <v>Gross fixed capital formation (P.51)</v>
      </c>
      <c r="F676" s="704" t="s">
        <v>1176</v>
      </c>
      <c r="G676" s="1893">
        <f>+G662/'VVP2'!G$341</f>
        <v>3.232520191177058E-2</v>
      </c>
      <c r="H676" s="1893">
        <f>+H662/'VVP2'!H$341</f>
        <v>2.3799303078498892E-2</v>
      </c>
      <c r="I676" s="1893">
        <f>+I662/'VVP2'!I$341</f>
        <v>2.2642639159219199E-2</v>
      </c>
      <c r="J676" s="1893">
        <f>+J662/'VVP2'!J$341</f>
        <v>2.5304946413596721E-2</v>
      </c>
      <c r="K676" s="1893">
        <f>+K662/'VVP2'!K$341</f>
        <v>2.5655911542406904E-2</v>
      </c>
      <c r="L676" s="1893">
        <f>+L662/'VVP2'!L$341</f>
        <v>2.4233665315697421E-2</v>
      </c>
      <c r="M676" s="1893">
        <f>+M662/'VVP2'!M$341</f>
        <v>2.2785553861631107E-2</v>
      </c>
      <c r="N676" s="1893">
        <f>+N662/'VVP2'!N$341</f>
        <v>2.9711547759300152E-2</v>
      </c>
      <c r="O676" s="1893">
        <f>+O662/'VVP2'!O$341</f>
        <v>3.0776051565589671E-2</v>
      </c>
      <c r="P676" s="1893">
        <f>+P662/'VVP2'!P$341</f>
        <v>3.60664600618937E-2</v>
      </c>
      <c r="Q676" s="1893">
        <f>+Q662/'VVP2'!Q$341</f>
        <v>3.6066440184074643E-2</v>
      </c>
      <c r="R676" s="1893">
        <f>+R662/'VVP2'!R$341</f>
        <v>4.2747718153192914E-2</v>
      </c>
      <c r="S676" s="1893">
        <f>+S662/'VVP2'!S$341</f>
        <v>5.4143397567410656E-2</v>
      </c>
      <c r="T676" s="1893">
        <f>+T662/'VVP2'!T$341</f>
        <v>5.3802756766213156E-2</v>
      </c>
      <c r="U676" s="2262">
        <f>+U662/'VVP2'!U$341</f>
        <v>4.4151028297200433E-2</v>
      </c>
      <c r="V676" s="2262">
        <f>+V662/'VVP2'!V$341</f>
        <v>4.9627046995717801E-2</v>
      </c>
      <c r="W676" s="2262">
        <f>+W662/'VVP2'!W$341</f>
        <v>4.7297038047892079E-2</v>
      </c>
      <c r="X676" s="2262">
        <f>+X662/'VVP2'!X$341</f>
        <v>3.9771827681501525E-2</v>
      </c>
      <c r="Y676" s="2262">
        <f>+Y662/'VVP2'!Y$341</f>
        <v>3.7456896736666412E-2</v>
      </c>
      <c r="Z676" s="2262">
        <f>+Z662/'VVP2'!Z$341</f>
        <v>3.5084504931596455E-2</v>
      </c>
      <c r="AA676" s="2262">
        <f>+AA662/'VVP2'!AA$341</f>
        <v>3.6725474201377034E-2</v>
      </c>
      <c r="AB676" s="2262">
        <f>+AB662/'VVP2'!AB$341</f>
        <v>2.9832948522201117E-2</v>
      </c>
      <c r="AC676" s="2262">
        <f ca="1">+AC662/'VVP2'!AC$341</f>
        <v>2.9605691699156677E-2</v>
      </c>
      <c r="AD676" s="2262">
        <f ca="1">+AD662/'VVP2'!AD$341</f>
        <v>3.0643438366237185E-2</v>
      </c>
      <c r="AE676" s="2262">
        <f ca="1">+AE662/'VVP2'!AE$341</f>
        <v>3.1241427986033979E-2</v>
      </c>
      <c r="AF676" s="3271">
        <f>50/3.4528</f>
        <v>14.481000926784059</v>
      </c>
      <c r="AG676" s="3271"/>
      <c r="AH676" s="3273"/>
      <c r="AI676" s="3273"/>
      <c r="AJ676" s="3273"/>
      <c r="AK676" s="3273"/>
      <c r="AL676" s="3273"/>
      <c r="AM676" s="3273"/>
    </row>
    <row r="677" spans="1:113" s="884" customFormat="1" ht="12.75" customHeight="1">
      <c r="A677" s="663"/>
      <c r="B677" s="664"/>
      <c r="C677" s="1875" t="s">
        <v>1767</v>
      </c>
      <c r="D677" s="1889" t="s">
        <v>687</v>
      </c>
      <c r="E677" s="1890" t="s">
        <v>2118</v>
      </c>
      <c r="F677" s="1891" t="s">
        <v>1818</v>
      </c>
      <c r="G677" s="1895">
        <f>+G663/'VVP2'!G$341</f>
        <v>1.3627354134764116E-2</v>
      </c>
      <c r="H677" s="1895">
        <f>+H663/'VVP2'!H$341</f>
        <v>2.5662564403473285E-2</v>
      </c>
      <c r="I677" s="1895">
        <f>+I663/'VVP2'!I$341</f>
        <v>0.12818205545045605</v>
      </c>
      <c r="J677" s="1895">
        <f>+J663/'VVP2'!J$341</f>
        <v>1.1736328478969374E-2</v>
      </c>
      <c r="K677" s="1895">
        <f>+K663/'VVP2'!K$341</f>
        <v>9.4516397001906845E-3</v>
      </c>
      <c r="L677" s="1895">
        <f>+L663/'VVP2'!L$341</f>
        <v>2.1387354149929164E-2</v>
      </c>
      <c r="M677" s="1895">
        <f>+M663/'VVP2'!M$341</f>
        <v>1.8255636682325292E-2</v>
      </c>
      <c r="N677" s="1895">
        <f>+N663/'VVP2'!N$341</f>
        <v>9.3486653550118176E-3</v>
      </c>
      <c r="O677" s="1895">
        <f>+O663/'VVP2'!O$341</f>
        <v>4.0645577761139595E-3</v>
      </c>
      <c r="P677" s="1895">
        <f>+P663/'VVP2'!P$341</f>
        <v>4.8821892210210481E-3</v>
      </c>
      <c r="Q677" s="1895">
        <f>+Q663/'VVP2'!Q$341</f>
        <v>2.7934969182020104E-3</v>
      </c>
      <c r="R677" s="1895">
        <f>+R663/'VVP2'!R$341</f>
        <v>3.3842514570678905E-3</v>
      </c>
      <c r="S677" s="1895">
        <f>+S663/'VVP2'!S$341</f>
        <v>8.6812765274618415E-3</v>
      </c>
      <c r="T677" s="1895">
        <f>+T663/'VVP2'!T$341</f>
        <v>4.8825126283479339E-3</v>
      </c>
      <c r="U677" s="2863">
        <f>+U663/'VVP2'!U$341</f>
        <v>4.5212850874815583E-3</v>
      </c>
      <c r="V677" s="2863">
        <f>+V663/'VVP2'!V$341</f>
        <v>3.7355954796083578E-3</v>
      </c>
      <c r="W677" s="2863">
        <f>+W663/'VVP2'!W$341</f>
        <v>4.1528911614653344E-2</v>
      </c>
      <c r="X677" s="2863">
        <f>+X663/'VVP2'!X$341</f>
        <v>6.4110868021571019E-4</v>
      </c>
      <c r="Y677" s="2863">
        <f>+Y663/'VVP2'!Y$341</f>
        <v>9.7930042205800101E-3</v>
      </c>
      <c r="Z677" s="2863">
        <f>+Z663/'VVP2'!Z$341</f>
        <v>1.2014510936800964E-2</v>
      </c>
      <c r="AA677" s="2863">
        <f>+AA663/'VVP2'!AA$341</f>
        <v>7.043918751925434E-3</v>
      </c>
      <c r="AB677" s="2863">
        <f>+AB663/'VVP2'!AB$341</f>
        <v>5.0459911369306965E-3</v>
      </c>
      <c r="AC677" s="2863">
        <f ca="1">+AC663/'VVP2'!AC$341</f>
        <v>7.2751208043739211E-3</v>
      </c>
      <c r="AD677" s="2863">
        <f ca="1">+AD663/'VVP2'!AD$341</f>
        <v>5.1978975694338576E-3</v>
      </c>
      <c r="AE677" s="2863">
        <f ca="1">+AE663/'VVP2'!AE$341</f>
        <v>4.9234279215101574E-3</v>
      </c>
      <c r="AF677" s="3342"/>
      <c r="AG677" s="3342"/>
      <c r="AH677" s="3343"/>
      <c r="AI677" s="3343"/>
      <c r="AJ677" s="3343"/>
      <c r="AK677" s="3343"/>
      <c r="AL677" s="3343"/>
      <c r="AM677" s="3343"/>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c r="BZ677"/>
      <c r="CA677"/>
      <c r="CB677"/>
      <c r="CC677"/>
      <c r="CD677"/>
      <c r="CE677"/>
      <c r="CF677"/>
      <c r="CG677"/>
      <c r="CH677"/>
      <c r="CI677"/>
      <c r="CJ677"/>
      <c r="CK677"/>
      <c r="CL677"/>
      <c r="CM677"/>
      <c r="CN677"/>
      <c r="CO677"/>
      <c r="CP677"/>
      <c r="CQ677"/>
      <c r="CR677"/>
      <c r="CS677"/>
      <c r="CT677"/>
      <c r="CU677"/>
      <c r="CV677"/>
      <c r="CW677"/>
      <c r="CX677"/>
      <c r="CY677"/>
      <c r="CZ677"/>
      <c r="DA677"/>
      <c r="DB677"/>
      <c r="DC677"/>
      <c r="DD677"/>
      <c r="DE677"/>
      <c r="DF677"/>
      <c r="DG677"/>
      <c r="DH677"/>
      <c r="DI677"/>
    </row>
    <row r="678" spans="1:113" ht="12.75" customHeight="1">
      <c r="B678" s="664"/>
      <c r="C678" s="774" t="s">
        <v>1769</v>
      </c>
      <c r="D678" s="806" t="s">
        <v>687</v>
      </c>
      <c r="E678" s="809" t="s">
        <v>163</v>
      </c>
      <c r="F678" s="808" t="s">
        <v>1142</v>
      </c>
      <c r="G678" s="841">
        <f>G664/'VVP2'!G$341</f>
        <v>0.34578783261832979</v>
      </c>
      <c r="H678" s="841">
        <f>H664/'VVP2'!H$341</f>
        <v>0.36557290138612231</v>
      </c>
      <c r="I678" s="841">
        <f>I664/'VVP2'!I$341</f>
        <v>0.502699512296641</v>
      </c>
      <c r="J678" s="841">
        <f>J664/'VVP2'!J$341</f>
        <v>0.41179668805617586</v>
      </c>
      <c r="K678" s="841">
        <f>K664/'VVP2'!K$341</f>
        <v>0.40842332647371632</v>
      </c>
      <c r="L678" s="841">
        <f>L664/'VVP2'!L$341</f>
        <v>0.39394667037696979</v>
      </c>
      <c r="M678" s="841">
        <f>M664/'VVP2'!M$341</f>
        <v>0.3709142683232684</v>
      </c>
      <c r="N678" s="841">
        <f>N664/'VVP2'!N$341</f>
        <v>0.35147021773865172</v>
      </c>
      <c r="O678" s="841">
        <f>O664/'VVP2'!O$341</f>
        <v>0.33578706636717931</v>
      </c>
      <c r="P678" s="841">
        <f>P664/'VVP2'!P$341</f>
        <v>0.34035943089377402</v>
      </c>
      <c r="Q678" s="841">
        <f>Q664/'VVP2'!Q$341</f>
        <v>0.34078995921884936</v>
      </c>
      <c r="R678" s="841">
        <f>R664/'VVP2'!R$341</f>
        <v>0.34310512235051194</v>
      </c>
      <c r="S678" s="841">
        <f>S664/'VVP2'!S$341</f>
        <v>0.35255775867352879</v>
      </c>
      <c r="T678" s="841">
        <f>T664/'VVP2'!T$341</f>
        <v>0.38090938785696715</v>
      </c>
      <c r="U678" s="2264">
        <f>U664/'VVP2'!U$341</f>
        <v>0.44888326708699006</v>
      </c>
      <c r="V678" s="2264">
        <f>V664/'VVP2'!V$341</f>
        <v>0.42298893307539764</v>
      </c>
      <c r="W678" s="2264">
        <f>W664/'VVP2'!W$341</f>
        <v>0.4247288277146325</v>
      </c>
      <c r="X678" s="2264">
        <f>X664/'VVP2'!X$341</f>
        <v>0.36102305112556848</v>
      </c>
      <c r="Y678" s="2264">
        <f>Y664/'VVP2'!Y$341</f>
        <v>0.35492918264341888</v>
      </c>
      <c r="Z678" s="2264">
        <f>Z664/'VVP2'!Z$341</f>
        <v>0.34638599354413163</v>
      </c>
      <c r="AA678" s="2264">
        <f>AA664/'VVP2'!AA$341</f>
        <v>0.34888813066425195</v>
      </c>
      <c r="AB678" s="2264">
        <f>AB664/'VVP2'!AB$341</f>
        <v>0.34206244284727133</v>
      </c>
      <c r="AC678" s="2264">
        <f ca="1">AC664/'VVP2'!AC$341</f>
        <v>0.33960069125231285</v>
      </c>
      <c r="AD678" s="2264">
        <f ca="1">AD664/'VVP2'!AD$341</f>
        <v>0.34144801693755561</v>
      </c>
      <c r="AE678" s="2264">
        <f ca="1">AE664/'VVP2'!AE$341</f>
        <v>0.3413329772484055</v>
      </c>
      <c r="AF678" s="3342"/>
      <c r="AG678" s="3342"/>
      <c r="AH678" s="3343"/>
      <c r="AI678" s="3343"/>
      <c r="AJ678" s="3343"/>
      <c r="AK678" s="3343"/>
      <c r="AL678" s="3343"/>
      <c r="AM678" s="3343"/>
    </row>
    <row r="679" spans="1:113">
      <c r="F679" s="1023"/>
      <c r="Q679" s="699"/>
      <c r="R679" s="699"/>
      <c r="S679" s="699"/>
      <c r="AB679" s="2221"/>
      <c r="AC679" s="2221"/>
      <c r="AD679" s="2221"/>
      <c r="AE679" s="2221"/>
      <c r="AF679" s="3342"/>
      <c r="AG679" s="3342"/>
      <c r="AH679" s="3343"/>
      <c r="AI679" s="3343"/>
      <c r="AJ679" s="3343"/>
      <c r="AK679" s="3343"/>
      <c r="AL679" s="3343"/>
      <c r="AM679" s="3343"/>
    </row>
    <row r="680" spans="1:113" ht="12.75" customHeight="1">
      <c r="B680" s="664"/>
      <c r="C680" s="774"/>
      <c r="D680" s="775"/>
      <c r="E680" s="776" t="s">
        <v>1227</v>
      </c>
      <c r="F680" s="777"/>
      <c r="G680" s="778">
        <f>+InputY!$G$3</f>
        <v>1995</v>
      </c>
      <c r="H680" s="778">
        <f>+G680+1</f>
        <v>1996</v>
      </c>
      <c r="I680" s="778">
        <f t="shared" ref="I680:W680" si="620">+H680+1</f>
        <v>1997</v>
      </c>
      <c r="J680" s="778">
        <f t="shared" si="620"/>
        <v>1998</v>
      </c>
      <c r="K680" s="778">
        <f>+J680+1</f>
        <v>1999</v>
      </c>
      <c r="L680" s="778">
        <f t="shared" si="620"/>
        <v>2000</v>
      </c>
      <c r="M680" s="778">
        <f t="shared" si="620"/>
        <v>2001</v>
      </c>
      <c r="N680" s="778">
        <f t="shared" si="620"/>
        <v>2002</v>
      </c>
      <c r="O680" s="778">
        <f t="shared" si="620"/>
        <v>2003</v>
      </c>
      <c r="P680" s="778">
        <f t="shared" si="620"/>
        <v>2004</v>
      </c>
      <c r="Q680" s="778">
        <f t="shared" si="620"/>
        <v>2005</v>
      </c>
      <c r="R680" s="778">
        <f t="shared" si="620"/>
        <v>2006</v>
      </c>
      <c r="S680" s="778">
        <f t="shared" si="620"/>
        <v>2007</v>
      </c>
      <c r="T680" s="2222">
        <f t="shared" si="620"/>
        <v>2008</v>
      </c>
      <c r="U680" s="2222">
        <f t="shared" si="620"/>
        <v>2009</v>
      </c>
      <c r="V680" s="2222">
        <f t="shared" si="620"/>
        <v>2010</v>
      </c>
      <c r="W680" s="2222">
        <f t="shared" si="620"/>
        <v>2011</v>
      </c>
      <c r="X680" s="2222">
        <f t="shared" ref="X680:AE680" si="621">+W680+1</f>
        <v>2012</v>
      </c>
      <c r="Y680" s="2222">
        <f t="shared" si="621"/>
        <v>2013</v>
      </c>
      <c r="Z680" s="2222">
        <f t="shared" si="621"/>
        <v>2014</v>
      </c>
      <c r="AA680" s="2222">
        <f t="shared" si="621"/>
        <v>2015</v>
      </c>
      <c r="AB680" s="2222">
        <f t="shared" si="621"/>
        <v>2016</v>
      </c>
      <c r="AC680" s="2222">
        <f t="shared" si="621"/>
        <v>2017</v>
      </c>
      <c r="AD680" s="2222">
        <f t="shared" si="621"/>
        <v>2018</v>
      </c>
      <c r="AE680" s="2222">
        <f t="shared" si="621"/>
        <v>2019</v>
      </c>
      <c r="AF680" s="3342"/>
      <c r="AG680" s="3342"/>
      <c r="AH680" s="3343"/>
      <c r="AI680" s="3343"/>
      <c r="AJ680" s="3343"/>
      <c r="AK680" s="3343"/>
      <c r="AL680" s="3343"/>
      <c r="AM680" s="3343"/>
    </row>
    <row r="681" spans="1:113" ht="12.75" customHeight="1">
      <c r="A681" s="1131"/>
      <c r="B681" s="664" t="s">
        <v>2423</v>
      </c>
      <c r="C681" s="779" t="s">
        <v>1767</v>
      </c>
      <c r="D681" s="668" t="s">
        <v>687</v>
      </c>
      <c r="E681" s="780" t="s">
        <v>1228</v>
      </c>
      <c r="F681" s="701"/>
      <c r="G681" s="780"/>
      <c r="H681" s="780"/>
      <c r="I681" s="780"/>
      <c r="J681" s="780"/>
      <c r="K681" s="780"/>
      <c r="L681" s="780"/>
      <c r="M681" s="780"/>
      <c r="N681" s="780"/>
      <c r="O681" s="780"/>
      <c r="P681" s="780"/>
      <c r="Q681" s="780"/>
      <c r="R681" s="780"/>
      <c r="S681" s="780"/>
      <c r="T681" s="2267"/>
      <c r="U681" s="3369"/>
      <c r="V681" s="3370"/>
      <c r="W681" s="3282"/>
      <c r="X681" s="3282"/>
      <c r="Y681" s="3282"/>
      <c r="Z681" s="3358"/>
      <c r="AA681" s="3358"/>
      <c r="AB681" s="3358"/>
      <c r="AC681" s="3358"/>
      <c r="AD681" s="3358"/>
      <c r="AE681" s="3358"/>
      <c r="AF681" s="3342"/>
      <c r="AG681" s="3342"/>
      <c r="AH681" s="3343"/>
      <c r="AI681" s="3343"/>
      <c r="AJ681" s="3343"/>
      <c r="AK681" s="3343"/>
      <c r="AL681" s="3343"/>
      <c r="AM681" s="3343"/>
    </row>
    <row r="682" spans="1:113" s="884" customFormat="1" ht="12.75" customHeight="1">
      <c r="A682" s="1131"/>
      <c r="B682" s="664" t="s">
        <v>2423</v>
      </c>
      <c r="C682" s="842" t="s">
        <v>1767</v>
      </c>
      <c r="D682" s="890" t="s">
        <v>687</v>
      </c>
      <c r="E682" s="1438" t="s">
        <v>1229</v>
      </c>
      <c r="F682" s="1439"/>
      <c r="G682" s="1438"/>
      <c r="H682" s="1438"/>
      <c r="I682" s="1438"/>
      <c r="J682" s="1438"/>
      <c r="K682" s="1438"/>
      <c r="L682" s="1438"/>
      <c r="M682" s="1438"/>
      <c r="N682" s="1438"/>
      <c r="O682" s="1438"/>
      <c r="P682" s="1438"/>
      <c r="Q682" s="1438"/>
      <c r="R682" s="1438"/>
      <c r="S682" s="1438"/>
      <c r="T682" s="2303"/>
      <c r="U682" s="3371"/>
      <c r="V682" s="3372"/>
      <c r="W682" s="3366"/>
      <c r="X682" s="3366"/>
      <c r="Y682" s="3366"/>
      <c r="Z682" s="3367"/>
      <c r="AA682" s="3367"/>
      <c r="AB682" s="3367"/>
      <c r="AC682" s="3367"/>
      <c r="AD682" s="3367"/>
      <c r="AE682" s="3367"/>
      <c r="AF682" s="3344"/>
      <c r="AG682" s="3344"/>
      <c r="AH682" s="3344"/>
      <c r="AI682" s="3344"/>
      <c r="AJ682" s="3344"/>
      <c r="AK682" s="3344"/>
      <c r="AL682" s="3344"/>
      <c r="AM682" s="3344"/>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c r="BZ682"/>
      <c r="CA682"/>
      <c r="CB682"/>
      <c r="CC682"/>
      <c r="CD682"/>
      <c r="CE682"/>
      <c r="CF682"/>
      <c r="CG682"/>
      <c r="CH682"/>
      <c r="CI682"/>
      <c r="CJ682"/>
      <c r="CK682"/>
      <c r="CL682"/>
      <c r="CM682"/>
      <c r="CN682"/>
      <c r="CO682"/>
      <c r="CP682"/>
      <c r="CQ682"/>
      <c r="CR682"/>
      <c r="CS682"/>
      <c r="CT682"/>
      <c r="CU682"/>
      <c r="CV682"/>
      <c r="CW682"/>
      <c r="CX682"/>
      <c r="CY682"/>
      <c r="CZ682"/>
      <c r="DA682"/>
      <c r="DB682"/>
      <c r="DC682"/>
      <c r="DD682"/>
      <c r="DE682"/>
      <c r="DF682"/>
      <c r="DG682"/>
      <c r="DH682"/>
      <c r="DI682"/>
    </row>
    <row r="683" spans="1:113">
      <c r="D683" s="837" t="s">
        <v>1183</v>
      </c>
      <c r="F683" s="1023"/>
      <c r="Q683" s="699"/>
      <c r="R683" s="699"/>
      <c r="S683" s="699"/>
      <c r="AB683" s="2221"/>
      <c r="AC683" s="2221"/>
      <c r="AD683" s="2221"/>
      <c r="AE683" s="2221"/>
    </row>
    <row r="684" spans="1:113">
      <c r="F684" s="1023"/>
      <c r="Q684" s="699"/>
      <c r="R684" s="699"/>
      <c r="S684" s="699"/>
      <c r="AB684" s="2221"/>
      <c r="AC684" s="2221"/>
      <c r="AD684" s="2221"/>
      <c r="AE684" s="2221"/>
    </row>
    <row r="685" spans="1:113" ht="12.75" customHeight="1">
      <c r="B685" s="664"/>
      <c r="C685" s="774"/>
      <c r="D685" s="858"/>
      <c r="E685" s="859" t="s">
        <v>1792</v>
      </c>
      <c r="F685" s="860"/>
      <c r="G685" s="861">
        <f>+InputY!$G$3</f>
        <v>1995</v>
      </c>
      <c r="H685" s="861">
        <f>+G685+1</f>
        <v>1996</v>
      </c>
      <c r="I685" s="861">
        <f t="shared" ref="I685:Q685" si="622">+H685+1</f>
        <v>1997</v>
      </c>
      <c r="J685" s="861">
        <f t="shared" si="622"/>
        <v>1998</v>
      </c>
      <c r="K685" s="861">
        <f>+J685+1</f>
        <v>1999</v>
      </c>
      <c r="L685" s="861">
        <f t="shared" si="622"/>
        <v>2000</v>
      </c>
      <c r="M685" s="861">
        <f t="shared" si="622"/>
        <v>2001</v>
      </c>
      <c r="N685" s="861">
        <f t="shared" si="622"/>
        <v>2002</v>
      </c>
      <c r="O685" s="861">
        <f t="shared" si="622"/>
        <v>2003</v>
      </c>
      <c r="P685" s="861">
        <f t="shared" si="622"/>
        <v>2004</v>
      </c>
      <c r="Q685" s="861">
        <f t="shared" si="622"/>
        <v>2005</v>
      </c>
      <c r="R685" s="861">
        <f t="shared" ref="R685:W685" si="623">+Q685+1</f>
        <v>2006</v>
      </c>
      <c r="S685" s="861">
        <f t="shared" si="623"/>
        <v>2007</v>
      </c>
      <c r="T685" s="2216">
        <f t="shared" si="623"/>
        <v>2008</v>
      </c>
      <c r="U685" s="2216">
        <f t="shared" si="623"/>
        <v>2009</v>
      </c>
      <c r="V685" s="2216">
        <f t="shared" si="623"/>
        <v>2010</v>
      </c>
      <c r="W685" s="2216">
        <f t="shared" si="623"/>
        <v>2011</v>
      </c>
      <c r="X685" s="2216">
        <f t="shared" ref="X685:AE685" si="624">+W685+1</f>
        <v>2012</v>
      </c>
      <c r="Y685" s="2216">
        <f t="shared" si="624"/>
        <v>2013</v>
      </c>
      <c r="Z685" s="2216">
        <f t="shared" si="624"/>
        <v>2014</v>
      </c>
      <c r="AA685" s="2216">
        <f t="shared" si="624"/>
        <v>2015</v>
      </c>
      <c r="AB685" s="2216">
        <f t="shared" si="624"/>
        <v>2016</v>
      </c>
      <c r="AC685" s="2216">
        <f t="shared" si="624"/>
        <v>2017</v>
      </c>
      <c r="AD685" s="2216">
        <f t="shared" si="624"/>
        <v>2018</v>
      </c>
      <c r="AE685" s="2216">
        <f t="shared" si="624"/>
        <v>2019</v>
      </c>
    </row>
    <row r="686" spans="1:113" ht="12.75" customHeight="1">
      <c r="B686" s="664"/>
      <c r="C686" s="1873" t="s">
        <v>1767</v>
      </c>
      <c r="D686" s="863" t="s">
        <v>687</v>
      </c>
      <c r="E686" s="1888" t="s">
        <v>1228</v>
      </c>
      <c r="F686" s="865"/>
      <c r="G686" s="1048"/>
      <c r="H686" s="1048"/>
      <c r="I686" s="1048"/>
      <c r="J686" s="1048"/>
      <c r="K686" s="1048"/>
      <c r="L686" s="1048"/>
      <c r="M686" s="1048"/>
      <c r="N686" s="1048"/>
      <c r="O686" s="1048"/>
      <c r="P686" s="1048"/>
      <c r="Q686" s="1048"/>
      <c r="R686" s="1048"/>
      <c r="S686" s="1048"/>
      <c r="T686" s="1048"/>
      <c r="U686" s="1048">
        <f>+U661-IF(Last_forecast_year-Sector1!U685=2,Sector1!U681,IF(Last_forecast_year-Sector1!U685=1,Sector1!U681+Sector1!T681,Sector1!U681+Sector1!T681+Sector1!S681))</f>
        <v>10.779620000000001</v>
      </c>
      <c r="V686" s="1048">
        <f>+V661-IF(Last_forecast_year-Sector1!V685=2,Sector1!V681,IF(Last_forecast_year-Sector1!V685=1,Sector1!V681+Sector1!U681,Sector1!V681+Sector1!U681+Sector1!T681))</f>
        <v>10.35976</v>
      </c>
      <c r="W686" s="1048">
        <f>+W661-IF(Last_forecast_year-Sector1!W685=2,Sector1!W681,IF(Last_forecast_year-Sector1!W685=1,Sector1!W681+Sector1!V681,Sector1!W681+Sector1!V681+Sector1!U681))</f>
        <v>10.505479999999999</v>
      </c>
      <c r="X686" s="1048">
        <f>+X661-IF(Last_forecast_year-Sector1!X685=2,Sector1!X681,IF(Last_forecast_year-Sector1!X685=1,Sector1!X681+Sector1!W681,Sector1!X681+Sector1!W681+Sector1!V681))</f>
        <v>10.691850000000001</v>
      </c>
      <c r="Y686" s="1048">
        <f>+Y661-IF(Last_forecast_year-Sector1!Y685=2,Sector1!Y681,IF(Last_forecast_year-Sector1!Y685=1,Sector1!Y681+Sector1!X681,Sector1!Y681+Sector1!X681+Sector1!W681))</f>
        <v>10.756360000000001</v>
      </c>
      <c r="Z686" s="1048">
        <f>+Z661-IF(Last_forecast_year-Sector1!Z685=2,Sector1!Z681,IF(Last_forecast_year-Sector1!Z685=1,Sector1!Z681+Sector1!Y681,Sector1!Z681+Sector1!Y681+Sector1!X681))</f>
        <v>10.944410000000001</v>
      </c>
      <c r="AA686" s="1048">
        <f>+AA661-IF(Last_forecast_year-Sector1!AA685=2,Sector1!AA681,IF(Last_forecast_year-Sector1!AA685=1,Sector1!AA681+Sector1!Z681,Sector1!AA681+Sector1!Z681+Sector1!Y681))</f>
        <v>11.419540000000001</v>
      </c>
      <c r="AB686" s="1048">
        <f>+AB661-IF(Last_forecast_year-Sector1!AB685=2,Sector1!AB681,IF(Last_forecast_year-Sector1!AB685=1,Sector1!AB681+Sector1!AA681,Sector1!AB681+Sector1!AA681+Sector1!Z681))</f>
        <v>11.87828</v>
      </c>
      <c r="AC686" s="1048">
        <f>+AC661-IF(Last_forecast_year-Sector1!AC685=2,Sector1!AC681,IF(Last_forecast_year-Sector1!AC685=1,Sector1!AC681+Sector1!AB681,Sector1!AC681+Sector1!AB681+Sector1!AA681))</f>
        <v>12.647513900000002</v>
      </c>
      <c r="AD686" s="1048">
        <f ca="1">+AD661-IF(Last_forecast_year-Sector1!AD685=2,Sector1!AD681,IF(Last_forecast_year-Sector1!AD685=1,Sector1!AD681+Sector1!AC681,Sector1!AD681+Sector1!AC681+Sector1!AB681))</f>
        <v>13.511347627588002</v>
      </c>
      <c r="AE686" s="1048">
        <f ca="1">+AE661-IF(Last_forecast_year-Sector1!AE685=2,Sector1!AE681,IF(Last_forecast_year-Sector1!AE685=1,Sector1!AE681+Sector1!AD681,Sector1!AE681+Sector1!AD681+Sector1!AC681))</f>
        <v>14.244103491419233</v>
      </c>
    </row>
    <row r="687" spans="1:113" s="884" customFormat="1" ht="12.75" customHeight="1">
      <c r="A687" s="663"/>
      <c r="B687" s="664"/>
      <c r="C687" s="1875" t="s">
        <v>1767</v>
      </c>
      <c r="D687" s="1889" t="s">
        <v>687</v>
      </c>
      <c r="E687" s="1890" t="s">
        <v>1229</v>
      </c>
      <c r="F687" s="1891"/>
      <c r="G687" s="1660"/>
      <c r="H687" s="1660"/>
      <c r="I687" s="1660"/>
      <c r="J687" s="1660"/>
      <c r="K687" s="1660"/>
      <c r="L687" s="1660"/>
      <c r="M687" s="1660"/>
      <c r="N687" s="1660"/>
      <c r="O687" s="1660"/>
      <c r="P687" s="1660"/>
      <c r="Q687" s="1660"/>
      <c r="R687" s="1660"/>
      <c r="S687" s="1660"/>
      <c r="T687" s="1660"/>
      <c r="U687" s="1660">
        <f>+U664-IF(Last_forecast_year-Sector1!U685=2,Sector1!U682,IF(Last_forecast_year-Sector1!U685=1,Sector1!U682+Sector1!T682,Sector1!U682+Sector1!T682+Sector1!S682))</f>
        <v>12.090590000000001</v>
      </c>
      <c r="V687" s="1660">
        <f>+V664-IF(Last_forecast_year-Sector1!V685=2,Sector1!V682,IF(Last_forecast_year-Sector1!V685=1,Sector1!V682+Sector1!U682,Sector1!V682+Sector1!U682+Sector1!T682))</f>
        <v>11.85539</v>
      </c>
      <c r="W687" s="1660">
        <f>+W664-IF(Last_forecast_year-Sector1!W685=2,Sector1!W682,IF(Last_forecast_year-Sector1!W685=1,Sector1!W682+Sector1!V682,Sector1!W682+Sector1!V682+Sector1!U682))</f>
        <v>13.283530000000001</v>
      </c>
      <c r="X687" s="1660">
        <f>+X664-IF(Last_forecast_year-Sector1!X685=2,Sector1!X682,IF(Last_forecast_year-Sector1!X685=1,Sector1!X682+Sector1!W682,Sector1!X682+Sector1!W682+Sector1!V682))</f>
        <v>12.039569999999999</v>
      </c>
      <c r="Y687" s="1660">
        <f>+Y664-IF(Last_forecast_year-Sector1!Y685=2,Sector1!Y682,IF(Last_forecast_year-Sector1!Y685=1,Sector1!Y682+Sector1!X682,Sector1!Y682+Sector1!X682+Sector1!W682))</f>
        <v>12.408200000000001</v>
      </c>
      <c r="Z687" s="1660">
        <f>+Z664-IF(Last_forecast_year-Sector1!Z685=2,Sector1!Z682,IF(Last_forecast_year-Sector1!Z685=1,Sector1!Z682+Sector1!Y682,Sector1!Z682+Sector1!Y682+Sector1!X682))</f>
        <v>12.666739999999999</v>
      </c>
      <c r="AA687" s="1660">
        <f>+AA664-IF(Last_forecast_year-Sector1!AA685=2,Sector1!AA682,IF(Last_forecast_year-Sector1!AA685=1,Sector1!AA682+Sector1!Z682,Sector1!AA682+Sector1!Z682+Sector1!Y682))</f>
        <v>13.057700000000001</v>
      </c>
      <c r="AB687" s="1660">
        <f>+AB664-IF(Last_forecast_year-Sector1!AB685=2,Sector1!AB682,IF(Last_forecast_year-Sector1!AB685=1,Sector1!AB682+Sector1!AA682,Sector1!AB682+Sector1!AA682+Sector1!Z682))</f>
        <v>13.226979999999999</v>
      </c>
      <c r="AC687" s="1660">
        <f ca="1">+AC664-IF(Last_forecast_year-Sector1!AC685=2,Sector1!AC682,IF(Last_forecast_year-Sector1!AC685=1,Sector1!AC682+Sector1!AB682,Sector1!AC682+Sector1!AB682+Sector1!AA682))</f>
        <v>14.188379305700002</v>
      </c>
      <c r="AD687" s="1660">
        <f ca="1">+AD664-IF(Last_forecast_year-Sector1!AD685=2,Sector1!AD682,IF(Last_forecast_year-Sector1!AD685=1,Sector1!AD682+Sector1!AC682,Sector1!AD682+Sector1!AC682+Sector1!AB682))</f>
        <v>15.095948944798822</v>
      </c>
      <c r="AE687" s="1660">
        <f ca="1">+AE664-IF(Last_forecast_year-Sector1!AE685=2,Sector1!AE682,IF(Last_forecast_year-Sector1!AE685=1,Sector1!AE682+Sector1!AD682,Sector1!AE682+Sector1!AD682+Sector1!AC682))</f>
        <v>15.932143343143899</v>
      </c>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c r="BZ687"/>
      <c r="CA687"/>
      <c r="CB687"/>
      <c r="CC687"/>
      <c r="CD687"/>
      <c r="CE687"/>
      <c r="CF687"/>
      <c r="CG687"/>
      <c r="CH687"/>
      <c r="CI687"/>
      <c r="CJ687"/>
      <c r="CK687"/>
      <c r="CL687"/>
      <c r="CM687"/>
      <c r="CN687"/>
      <c r="CO687"/>
      <c r="CP687"/>
      <c r="CQ687"/>
      <c r="CR687"/>
      <c r="CS687"/>
      <c r="CT687"/>
      <c r="CU687"/>
      <c r="CV687"/>
      <c r="CW687"/>
      <c r="CX687"/>
      <c r="CY687"/>
      <c r="CZ687"/>
      <c r="DA687"/>
      <c r="DB687"/>
      <c r="DC687"/>
      <c r="DD687"/>
      <c r="DE687"/>
      <c r="DF687"/>
      <c r="DG687"/>
      <c r="DH687"/>
      <c r="DI687"/>
    </row>
    <row r="688" spans="1:113" ht="30" customHeight="1">
      <c r="Q688" s="1896"/>
      <c r="R688" s="2304"/>
      <c r="S688" s="2304"/>
      <c r="T688" s="2304"/>
      <c r="U688" s="2304"/>
      <c r="V688" s="2304"/>
      <c r="W688" s="2304"/>
      <c r="X688" s="2304"/>
      <c r="Y688" s="2304"/>
      <c r="Z688" s="2304"/>
      <c r="AA688" s="2304"/>
      <c r="AB688" s="2304"/>
      <c r="AC688" s="2304"/>
      <c r="AD688" s="2304"/>
      <c r="AE688" s="2304"/>
    </row>
    <row r="689" spans="1:31" ht="30" customHeight="1">
      <c r="F689" s="1023"/>
      <c r="AB689" s="2221"/>
      <c r="AC689" s="2221"/>
      <c r="AD689" s="2221"/>
      <c r="AE689" s="2221"/>
    </row>
    <row r="690" spans="1:31" ht="12.75" customHeight="1">
      <c r="A690" s="664"/>
      <c r="B690" s="664"/>
      <c r="C690" s="774"/>
      <c r="D690" s="775"/>
      <c r="E690" s="776" t="s">
        <v>1682</v>
      </c>
      <c r="F690" s="777"/>
      <c r="G690" s="778">
        <f>+InputY!$G$3</f>
        <v>1995</v>
      </c>
      <c r="H690" s="778">
        <f>+G690+1</f>
        <v>1996</v>
      </c>
      <c r="I690" s="778">
        <f t="shared" ref="I690:O690" si="625">+H690+1</f>
        <v>1997</v>
      </c>
      <c r="J690" s="778">
        <f t="shared" si="625"/>
        <v>1998</v>
      </c>
      <c r="K690" s="778">
        <f>+J690+1</f>
        <v>1999</v>
      </c>
      <c r="L690" s="778">
        <f t="shared" si="625"/>
        <v>2000</v>
      </c>
      <c r="M690" s="778">
        <f t="shared" si="625"/>
        <v>2001</v>
      </c>
      <c r="N690" s="778">
        <f t="shared" si="625"/>
        <v>2002</v>
      </c>
      <c r="O690" s="778">
        <f t="shared" si="625"/>
        <v>2003</v>
      </c>
      <c r="P690" s="778">
        <f t="shared" ref="P690:W690" si="626">+O690+1</f>
        <v>2004</v>
      </c>
      <c r="Q690" s="778">
        <f t="shared" si="626"/>
        <v>2005</v>
      </c>
      <c r="R690" s="778">
        <f t="shared" si="626"/>
        <v>2006</v>
      </c>
      <c r="S690" s="778">
        <f t="shared" si="626"/>
        <v>2007</v>
      </c>
      <c r="T690" s="2222">
        <f t="shared" si="626"/>
        <v>2008</v>
      </c>
      <c r="U690" s="2222">
        <f t="shared" si="626"/>
        <v>2009</v>
      </c>
      <c r="V690" s="2222">
        <f t="shared" si="626"/>
        <v>2010</v>
      </c>
      <c r="W690" s="2222">
        <f t="shared" si="626"/>
        <v>2011</v>
      </c>
      <c r="X690" s="2222">
        <f t="shared" ref="X690:AE690" si="627">+W690+1</f>
        <v>2012</v>
      </c>
      <c r="Y690" s="2222">
        <f t="shared" si="627"/>
        <v>2013</v>
      </c>
      <c r="Z690" s="2222">
        <f t="shared" si="627"/>
        <v>2014</v>
      </c>
      <c r="AA690" s="2222">
        <f t="shared" si="627"/>
        <v>2015</v>
      </c>
      <c r="AB690" s="2222">
        <f t="shared" si="627"/>
        <v>2016</v>
      </c>
      <c r="AC690" s="2222">
        <f t="shared" si="627"/>
        <v>2017</v>
      </c>
      <c r="AD690" s="2222">
        <f t="shared" si="627"/>
        <v>2018</v>
      </c>
      <c r="AE690" s="2222">
        <f t="shared" si="627"/>
        <v>2019</v>
      </c>
    </row>
    <row r="691" spans="1:31" ht="12.75" customHeight="1">
      <c r="A691" s="664"/>
      <c r="B691" s="664"/>
      <c r="C691" s="779" t="s">
        <v>1767</v>
      </c>
      <c r="D691" s="668"/>
      <c r="E691" s="780" t="str">
        <f t="shared" ref="E691:AC691" si="628">+E13</f>
        <v>Taxes on production and imports (D.2r = D.21r+D.29r)</v>
      </c>
      <c r="F691" s="701" t="str">
        <f t="shared" si="628"/>
        <v>YATaxIndir</v>
      </c>
      <c r="G691" s="780">
        <f t="shared" si="628"/>
        <v>0.93413999999999997</v>
      </c>
      <c r="H691" s="780">
        <f t="shared" si="628"/>
        <v>1.1237200000000001</v>
      </c>
      <c r="I691" s="780">
        <f t="shared" si="628"/>
        <v>1.58561</v>
      </c>
      <c r="J691" s="780">
        <f t="shared" si="628"/>
        <v>1.7950299999999999</v>
      </c>
      <c r="K691" s="780">
        <f t="shared" si="628"/>
        <v>1.74356</v>
      </c>
      <c r="L691" s="780">
        <f t="shared" si="628"/>
        <v>1.6726099999999999</v>
      </c>
      <c r="M691" s="780">
        <f t="shared" si="628"/>
        <v>1.72933</v>
      </c>
      <c r="N691" s="780">
        <f t="shared" si="628"/>
        <v>1.8834200000000001</v>
      </c>
      <c r="O691" s="780">
        <f t="shared" si="628"/>
        <v>1.94069</v>
      </c>
      <c r="P691" s="780">
        <f t="shared" si="628"/>
        <v>2.0387400000000002</v>
      </c>
      <c r="Q691" s="780">
        <f t="shared" si="628"/>
        <v>2.3545599999999998</v>
      </c>
      <c r="R691" s="780">
        <f t="shared" si="628"/>
        <v>2.7234699999999998</v>
      </c>
      <c r="S691" s="780">
        <f t="shared" si="628"/>
        <v>3.3773499999999999</v>
      </c>
      <c r="T691" s="780">
        <f t="shared" si="628"/>
        <v>3.79074</v>
      </c>
      <c r="U691" s="780">
        <f t="shared" si="628"/>
        <v>3.1144400000000001</v>
      </c>
      <c r="V691" s="2267">
        <f t="shared" si="628"/>
        <v>3.3192600000000003</v>
      </c>
      <c r="W691" s="2267">
        <f t="shared" si="628"/>
        <v>3.6286</v>
      </c>
      <c r="X691" s="2267">
        <f t="shared" si="628"/>
        <v>3.7240700000000002</v>
      </c>
      <c r="Y691" s="2267">
        <f t="shared" si="628"/>
        <v>3.8413400000000002</v>
      </c>
      <c r="Z691" s="2267">
        <f t="shared" si="628"/>
        <v>4.0795399999999997</v>
      </c>
      <c r="AA691" s="2267">
        <f t="shared" si="628"/>
        <v>4.3436300000000001</v>
      </c>
      <c r="AB691" s="2267">
        <f t="shared" si="628"/>
        <v>4.5327600000000006</v>
      </c>
      <c r="AC691" s="2267">
        <f t="shared" si="628"/>
        <v>4.9279856999999998</v>
      </c>
      <c r="AD691" s="2267">
        <f>+AD13</f>
        <v>5.2460899270192165</v>
      </c>
      <c r="AE691" s="2267">
        <f>+AE13</f>
        <v>5.5409120675982919</v>
      </c>
    </row>
    <row r="692" spans="1:31" ht="12.75" customHeight="1">
      <c r="A692" s="664"/>
      <c r="B692" s="664"/>
      <c r="C692" s="782" t="s">
        <v>1767</v>
      </c>
      <c r="D692" s="674"/>
      <c r="E692" s="706" t="str">
        <f t="shared" ref="E692:AC692" si="629">+E12</f>
        <v>Taxes on products (D.2r) (Taxes paid to RoW)</v>
      </c>
      <c r="F692" s="704" t="str">
        <f t="shared" si="629"/>
        <v>TaxToRow</v>
      </c>
      <c r="G692" s="706">
        <f t="shared" si="629"/>
        <v>0</v>
      </c>
      <c r="H692" s="706">
        <f t="shared" si="629"/>
        <v>0</v>
      </c>
      <c r="I692" s="706">
        <f t="shared" si="629"/>
        <v>0</v>
      </c>
      <c r="J692" s="706">
        <f t="shared" si="629"/>
        <v>0</v>
      </c>
      <c r="K692" s="706">
        <f t="shared" si="629"/>
        <v>0</v>
      </c>
      <c r="L692" s="706">
        <f t="shared" si="629"/>
        <v>0</v>
      </c>
      <c r="M692" s="706">
        <f t="shared" si="629"/>
        <v>0</v>
      </c>
      <c r="N692" s="706">
        <f t="shared" si="629"/>
        <v>0</v>
      </c>
      <c r="O692" s="706">
        <f t="shared" si="629"/>
        <v>0</v>
      </c>
      <c r="P692" s="706">
        <f t="shared" si="629"/>
        <v>3.4464782205746058E-2</v>
      </c>
      <c r="Q692" s="706" t="e">
        <f t="shared" si="629"/>
        <v>#VALUE!</v>
      </c>
      <c r="R692" s="706" t="e">
        <f t="shared" si="629"/>
        <v>#VALUE!</v>
      </c>
      <c r="S692" s="706" t="e">
        <f t="shared" si="629"/>
        <v>#VALUE!</v>
      </c>
      <c r="T692" s="706">
        <f t="shared" si="629"/>
        <v>0.11799999999999999</v>
      </c>
      <c r="U692" s="706">
        <f t="shared" si="629"/>
        <v>7.9000000000000001E-2</v>
      </c>
      <c r="V692" s="2265">
        <f t="shared" si="629"/>
        <v>8.7999999999999995E-2</v>
      </c>
      <c r="W692" s="2265">
        <f t="shared" si="629"/>
        <v>9.1999999999999998E-2</v>
      </c>
      <c r="X692" s="2265">
        <f t="shared" si="629"/>
        <v>8.6999999999999994E-2</v>
      </c>
      <c r="Y692" s="2265">
        <f t="shared" si="629"/>
        <v>0.1</v>
      </c>
      <c r="Z692" s="2265">
        <f t="shared" si="629"/>
        <v>0.10299999999999999</v>
      </c>
      <c r="AA692" s="2265">
        <f t="shared" si="629"/>
        <v>0.123</v>
      </c>
      <c r="AB692" s="2265">
        <f t="shared" si="629"/>
        <v>0.112</v>
      </c>
      <c r="AC692" s="2265">
        <f t="shared" si="629"/>
        <v>0.11648</v>
      </c>
      <c r="AD692" s="2265">
        <f>+AD12</f>
        <v>0.1211392</v>
      </c>
      <c r="AE692" s="2265">
        <f>+AE12</f>
        <v>0.125984768</v>
      </c>
    </row>
    <row r="693" spans="1:31" ht="12.75" customHeight="1">
      <c r="A693" s="664"/>
      <c r="B693" s="664"/>
      <c r="C693" s="782" t="s">
        <v>1767</v>
      </c>
      <c r="D693" s="674"/>
      <c r="E693" s="706" t="str">
        <f t="shared" ref="E693:AC693" si="630">+E205</f>
        <v xml:space="preserve">Current taxes on income and wealth (D.5r)  </v>
      </c>
      <c r="F693" s="704" t="str">
        <f t="shared" si="630"/>
        <v>YATaxDir</v>
      </c>
      <c r="G693" s="706">
        <f t="shared" si="630"/>
        <v>0.65282000000000007</v>
      </c>
      <c r="H693" s="706">
        <f t="shared" si="630"/>
        <v>0.77739000000000003</v>
      </c>
      <c r="I693" s="706">
        <f t="shared" si="630"/>
        <v>1.02521</v>
      </c>
      <c r="J693" s="706">
        <f t="shared" si="630"/>
        <v>1.17039</v>
      </c>
      <c r="K693" s="706">
        <f t="shared" si="630"/>
        <v>1.1596099999999998</v>
      </c>
      <c r="L693" s="706">
        <f t="shared" si="630"/>
        <v>1.1185</v>
      </c>
      <c r="M693" s="706">
        <f t="shared" si="630"/>
        <v>1.1014699999999999</v>
      </c>
      <c r="N693" s="706">
        <f t="shared" si="630"/>
        <v>1.12815</v>
      </c>
      <c r="O693" s="706">
        <f t="shared" si="630"/>
        <v>1.31376</v>
      </c>
      <c r="P693" s="706">
        <f t="shared" si="630"/>
        <v>1.57897</v>
      </c>
      <c r="Q693" s="706">
        <f t="shared" si="630"/>
        <v>1.8784799999999999</v>
      </c>
      <c r="R693" s="706">
        <f t="shared" si="630"/>
        <v>2.2994699999999999</v>
      </c>
      <c r="S693" s="706">
        <f t="shared" si="630"/>
        <v>2.6336900000000001</v>
      </c>
      <c r="T693" s="706">
        <f t="shared" si="630"/>
        <v>3.0165999999999999</v>
      </c>
      <c r="U693" s="706">
        <f t="shared" si="630"/>
        <v>1.5983099999999999</v>
      </c>
      <c r="V693" s="2265">
        <f t="shared" si="630"/>
        <v>1.2940499999999999</v>
      </c>
      <c r="W693" s="2265">
        <f t="shared" si="630"/>
        <v>1.3590799999999998</v>
      </c>
      <c r="X693" s="2265">
        <f t="shared" si="630"/>
        <v>1.60755</v>
      </c>
      <c r="Y693" s="2265">
        <f t="shared" si="630"/>
        <v>1.7361900000000001</v>
      </c>
      <c r="Z693" s="2265">
        <f t="shared" si="630"/>
        <v>1.83673</v>
      </c>
      <c r="AA693" s="2265">
        <f t="shared" si="630"/>
        <v>2.0321899999999999</v>
      </c>
      <c r="AB693" s="2265">
        <f t="shared" si="630"/>
        <v>2.1945000000000001</v>
      </c>
      <c r="AC693" s="2265">
        <f t="shared" si="630"/>
        <v>2.3153593839999997</v>
      </c>
      <c r="AD693" s="2265">
        <f>+AD205</f>
        <v>2.3945682130239994</v>
      </c>
      <c r="AE693" s="2265">
        <f>+AE205</f>
        <v>2.5256978838147841</v>
      </c>
    </row>
    <row r="694" spans="1:31" ht="12.75" customHeight="1">
      <c r="A694" s="664"/>
      <c r="B694" s="664"/>
      <c r="C694" s="782" t="s">
        <v>1767</v>
      </c>
      <c r="D694" s="674"/>
      <c r="E694" s="706" t="str">
        <f t="shared" ref="E694:AC694" si="631">+E253</f>
        <v>Actual social contributions (D.611r)</v>
      </c>
      <c r="F694" s="704" t="str">
        <f t="shared" si="631"/>
        <v>YATaxActSoc</v>
      </c>
      <c r="G694" s="706">
        <f t="shared" si="631"/>
        <v>0.55920000000000003</v>
      </c>
      <c r="H694" s="706">
        <f t="shared" si="631"/>
        <v>0.74658000000000002</v>
      </c>
      <c r="I694" s="706">
        <f t="shared" si="631"/>
        <v>1.05233</v>
      </c>
      <c r="J694" s="706">
        <f t="shared" si="631"/>
        <v>1.30036</v>
      </c>
      <c r="K694" s="706">
        <f t="shared" si="631"/>
        <v>1.28443</v>
      </c>
      <c r="L694" s="706">
        <f t="shared" si="631"/>
        <v>1.3622799999999999</v>
      </c>
      <c r="M694" s="706">
        <f t="shared" si="631"/>
        <v>1.37643</v>
      </c>
      <c r="N694" s="706">
        <f t="shared" si="631"/>
        <v>1.4224300000000001</v>
      </c>
      <c r="O694" s="706">
        <f t="shared" si="631"/>
        <v>1.53271</v>
      </c>
      <c r="P694" s="706">
        <f t="shared" si="631"/>
        <v>1.66425</v>
      </c>
      <c r="Q694" s="706">
        <f t="shared" si="631"/>
        <v>1.8654900000000001</v>
      </c>
      <c r="R694" s="706">
        <f t="shared" si="631"/>
        <v>2.1977500000000001</v>
      </c>
      <c r="S694" s="706">
        <f t="shared" si="631"/>
        <v>2.64581</v>
      </c>
      <c r="T694" s="706">
        <f t="shared" si="631"/>
        <v>3.1147900000000002</v>
      </c>
      <c r="U694" s="706">
        <f t="shared" si="631"/>
        <v>3.4030100000000001</v>
      </c>
      <c r="V694" s="2265">
        <f t="shared" si="631"/>
        <v>3.29555</v>
      </c>
      <c r="W694" s="2265">
        <f t="shared" si="631"/>
        <v>3.4756199999999997</v>
      </c>
      <c r="X694" s="2265">
        <f t="shared" si="631"/>
        <v>3.6120100000000002</v>
      </c>
      <c r="Y694" s="2265">
        <f t="shared" si="631"/>
        <v>3.7942399999999998</v>
      </c>
      <c r="Z694" s="2265">
        <f t="shared" si="631"/>
        <v>4.0646199999999997</v>
      </c>
      <c r="AA694" s="2265">
        <f t="shared" si="631"/>
        <v>4.3401000000000005</v>
      </c>
      <c r="AB694" s="2265">
        <f t="shared" si="631"/>
        <v>4.7157900000000001</v>
      </c>
      <c r="AC694" s="2265">
        <f t="shared" si="631"/>
        <v>5.3</v>
      </c>
      <c r="AD694" s="2265">
        <f>+AD253</f>
        <v>5.6550999999999991</v>
      </c>
      <c r="AE694" s="2265">
        <f>+AE253</f>
        <v>5.9793080106769914</v>
      </c>
    </row>
    <row r="695" spans="1:31" ht="12.75" customHeight="1">
      <c r="A695" s="664"/>
      <c r="B695" s="664"/>
      <c r="C695" s="782" t="s">
        <v>1767</v>
      </c>
      <c r="D695" s="674"/>
      <c r="E695" s="706" t="str">
        <f t="shared" ref="E695:AC695" si="632">+E482</f>
        <v>Capital taxes (D.91r)</v>
      </c>
      <c r="F695" s="704" t="str">
        <f t="shared" si="632"/>
        <v>YACapTax</v>
      </c>
      <c r="G695" s="706">
        <f t="shared" si="632"/>
        <v>0</v>
      </c>
      <c r="H695" s="706">
        <f t="shared" si="632"/>
        <v>0</v>
      </c>
      <c r="I695" s="706">
        <f t="shared" si="632"/>
        <v>3.0000000000000001E-5</v>
      </c>
      <c r="J695" s="706">
        <f t="shared" si="632"/>
        <v>2.0000000000000001E-4</v>
      </c>
      <c r="K695" s="706">
        <f t="shared" si="632"/>
        <v>6.2E-4</v>
      </c>
      <c r="L695" s="706">
        <f t="shared" si="632"/>
        <v>5.2999999999999998E-4</v>
      </c>
      <c r="M695" s="706">
        <f t="shared" si="632"/>
        <v>6.4999999999999997E-4</v>
      </c>
      <c r="N695" s="706">
        <f t="shared" si="632"/>
        <v>6.6E-4</v>
      </c>
      <c r="O695" s="706">
        <f t="shared" si="632"/>
        <v>3.2000000000000003E-4</v>
      </c>
      <c r="P695" s="706">
        <f t="shared" si="632"/>
        <v>5.0000000000000001E-4</v>
      </c>
      <c r="Q695" s="706">
        <f t="shared" si="632"/>
        <v>6.7000000000000002E-4</v>
      </c>
      <c r="R695" s="706">
        <f t="shared" si="632"/>
        <v>1.2099999999999999E-3</v>
      </c>
      <c r="S695" s="706">
        <f t="shared" si="632"/>
        <v>1.82E-3</v>
      </c>
      <c r="T695" s="706">
        <f t="shared" si="632"/>
        <v>1.7600000000000001E-3</v>
      </c>
      <c r="U695" s="706">
        <f t="shared" si="632"/>
        <v>1.7800000000000001E-3</v>
      </c>
      <c r="V695" s="2265">
        <f t="shared" si="632"/>
        <v>1.1000000000000001E-3</v>
      </c>
      <c r="W695" s="2265">
        <f t="shared" si="632"/>
        <v>1E-3</v>
      </c>
      <c r="X695" s="2265">
        <f t="shared" si="632"/>
        <v>1.1999999999999999E-3</v>
      </c>
      <c r="Y695" s="2265">
        <f t="shared" si="632"/>
        <v>1.2800000000000001E-3</v>
      </c>
      <c r="Z695" s="2265">
        <f t="shared" si="632"/>
        <v>1.33E-3</v>
      </c>
      <c r="AA695" s="2265">
        <f t="shared" si="632"/>
        <v>1.4300000000000001E-3</v>
      </c>
      <c r="AB695" s="2265">
        <f t="shared" si="632"/>
        <v>1.47E-3</v>
      </c>
      <c r="AC695" s="2265">
        <f t="shared" si="632"/>
        <v>1.47E-3</v>
      </c>
      <c r="AD695" s="2265">
        <f>+AD482</f>
        <v>1.47E-3</v>
      </c>
      <c r="AE695" s="2265">
        <f>+AE482</f>
        <v>1.47E-3</v>
      </c>
    </row>
    <row r="696" spans="1:31" ht="12.75" customHeight="1">
      <c r="A696" s="664"/>
      <c r="B696" s="664"/>
      <c r="C696" s="782" t="s">
        <v>401</v>
      </c>
      <c r="D696" s="674"/>
      <c r="E696" s="706" t="str">
        <f>+E483</f>
        <v>Unpaid taxes (D.995)</v>
      </c>
      <c r="F696" s="704"/>
      <c r="G696" s="706">
        <f t="shared" ref="G696:AC696" si="633">+G483</f>
        <v>0</v>
      </c>
      <c r="H696" s="706">
        <f t="shared" si="633"/>
        <v>0</v>
      </c>
      <c r="I696" s="706">
        <f t="shared" si="633"/>
        <v>0</v>
      </c>
      <c r="J696" s="706">
        <f t="shared" si="633"/>
        <v>0</v>
      </c>
      <c r="K696" s="706">
        <f t="shared" si="633"/>
        <v>0</v>
      </c>
      <c r="L696" s="706">
        <f t="shared" si="633"/>
        <v>3.8509999999999996E-2</v>
      </c>
      <c r="M696" s="706">
        <f t="shared" si="633"/>
        <v>4.5679999999999998E-2</v>
      </c>
      <c r="N696" s="706">
        <f t="shared" si="633"/>
        <v>2.674E-2</v>
      </c>
      <c r="O696" s="706">
        <f t="shared" si="633"/>
        <v>1.4320000000000001E-2</v>
      </c>
      <c r="P696" s="706">
        <f t="shared" si="633"/>
        <v>1.1990000000000001E-2</v>
      </c>
      <c r="Q696" s="706">
        <f t="shared" si="633"/>
        <v>9.8000000000000014E-3</v>
      </c>
      <c r="R696" s="706">
        <f t="shared" si="633"/>
        <v>1.498E-2</v>
      </c>
      <c r="S696" s="706">
        <f t="shared" si="633"/>
        <v>8.8999999999999999E-3</v>
      </c>
      <c r="T696" s="706">
        <f t="shared" si="633"/>
        <v>1.8670000000000003E-2</v>
      </c>
      <c r="U696" s="706">
        <f t="shared" si="633"/>
        <v>4.725E-2</v>
      </c>
      <c r="V696" s="2265">
        <f t="shared" si="633"/>
        <v>3.1949999999999999E-2</v>
      </c>
      <c r="W696" s="2265">
        <f t="shared" si="633"/>
        <v>1.5939999999999999E-2</v>
      </c>
      <c r="X696" s="2265">
        <f t="shared" si="633"/>
        <v>1.4119999999999999E-2</v>
      </c>
      <c r="Y696" s="2265">
        <f t="shared" si="633"/>
        <v>1.7410000000000002E-2</v>
      </c>
      <c r="Z696" s="2265">
        <f t="shared" si="633"/>
        <v>1.5140000000000001E-2</v>
      </c>
      <c r="AA696" s="2265">
        <f t="shared" si="633"/>
        <v>1.763E-2</v>
      </c>
      <c r="AB696" s="2265">
        <f t="shared" si="633"/>
        <v>1.421E-2</v>
      </c>
      <c r="AC696" s="2265">
        <f t="shared" si="633"/>
        <v>1.421E-2</v>
      </c>
      <c r="AD696" s="2265">
        <f>+AD483</f>
        <v>1.421E-2</v>
      </c>
      <c r="AE696" s="2265">
        <f>+AE483</f>
        <v>1.421E-2</v>
      </c>
    </row>
    <row r="697" spans="1:31" ht="12.75" customHeight="1">
      <c r="A697" s="664"/>
      <c r="B697" s="664"/>
      <c r="C697" s="782" t="s">
        <v>1769</v>
      </c>
      <c r="D697" s="746"/>
      <c r="E697" s="799" t="s">
        <v>1682</v>
      </c>
      <c r="F697" s="748"/>
      <c r="G697" s="799">
        <f>+G691+G692+G693+G694+G695-G696</f>
        <v>2.1461600000000001</v>
      </c>
      <c r="H697" s="799">
        <f t="shared" ref="H697:S697" si="634">+H691+H692+H693+H694+H695-H696</f>
        <v>2.6476899999999999</v>
      </c>
      <c r="I697" s="799">
        <f t="shared" si="634"/>
        <v>3.6631800000000001</v>
      </c>
      <c r="J697" s="799">
        <f t="shared" si="634"/>
        <v>4.2659799999999999</v>
      </c>
      <c r="K697" s="799">
        <f t="shared" si="634"/>
        <v>4.1882199999999994</v>
      </c>
      <c r="L697" s="799">
        <f t="shared" si="634"/>
        <v>4.1154100000000007</v>
      </c>
      <c r="M697" s="799">
        <f t="shared" si="634"/>
        <v>4.1622000000000003</v>
      </c>
      <c r="N697" s="799">
        <f t="shared" si="634"/>
        <v>4.4079199999999998</v>
      </c>
      <c r="O697" s="799">
        <f t="shared" si="634"/>
        <v>4.7731600000000007</v>
      </c>
      <c r="P697" s="799">
        <f t="shared" si="634"/>
        <v>5.3049347822057467</v>
      </c>
      <c r="Q697" s="799" t="e">
        <f t="shared" si="634"/>
        <v>#VALUE!</v>
      </c>
      <c r="R697" s="799" t="e">
        <f t="shared" si="634"/>
        <v>#VALUE!</v>
      </c>
      <c r="S697" s="799" t="e">
        <f t="shared" si="634"/>
        <v>#VALUE!</v>
      </c>
      <c r="T697" s="799">
        <f t="shared" ref="T697:Y697" si="635">+T691+T692+T693+T694+T695-T696</f>
        <v>10.023220000000002</v>
      </c>
      <c r="U697" s="799">
        <f t="shared" si="635"/>
        <v>8.1492900000000006</v>
      </c>
      <c r="V697" s="2302">
        <f t="shared" si="635"/>
        <v>7.9660099999999998</v>
      </c>
      <c r="W697" s="2302">
        <f t="shared" si="635"/>
        <v>8.540359999999998</v>
      </c>
      <c r="X697" s="2302">
        <f t="shared" si="635"/>
        <v>9.017710000000001</v>
      </c>
      <c r="Y697" s="2302">
        <f t="shared" si="635"/>
        <v>9.4556400000000007</v>
      </c>
      <c r="Z697" s="2302">
        <f t="shared" ref="Z697:AE697" si="636">+Z691+Z692+Z693+Z694+Z695-Z696</f>
        <v>10.070079999999999</v>
      </c>
      <c r="AA697" s="2302">
        <f t="shared" si="636"/>
        <v>10.82272</v>
      </c>
      <c r="AB697" s="2302">
        <f t="shared" si="636"/>
        <v>11.542310000000001</v>
      </c>
      <c r="AC697" s="2302">
        <f t="shared" si="636"/>
        <v>12.647085083999999</v>
      </c>
      <c r="AD697" s="2302">
        <f t="shared" si="636"/>
        <v>13.404157340043215</v>
      </c>
      <c r="AE697" s="2302">
        <f t="shared" si="636"/>
        <v>14.159162730090067</v>
      </c>
    </row>
    <row r="698" spans="1:31" ht="12.75" customHeight="1">
      <c r="A698" s="664"/>
      <c r="B698" s="664"/>
      <c r="C698" s="1024" t="s">
        <v>338</v>
      </c>
      <c r="D698" s="674"/>
      <c r="E698" s="706" t="str">
        <f>+'VVP2'!E341</f>
        <v>GDP</v>
      </c>
      <c r="F698" s="704" t="str">
        <f>+'VVP2'!F341</f>
        <v>$GDP</v>
      </c>
      <c r="G698" s="706">
        <f>+'VVP2'!G341</f>
        <v>7.7645299999999997</v>
      </c>
      <c r="H698" s="706">
        <f>+'VVP2'!H341</f>
        <v>9.7141500000000001</v>
      </c>
      <c r="I698" s="706">
        <f>+'VVP2'!I341</f>
        <v>11.72434</v>
      </c>
      <c r="J698" s="706">
        <f>+'VVP2'!J341</f>
        <v>13.02196</v>
      </c>
      <c r="K698" s="706">
        <f>+'VVP2'!K341</f>
        <v>12.71208</v>
      </c>
      <c r="L698" s="706">
        <f>+'VVP2'!L341</f>
        <v>13.368180000000001</v>
      </c>
      <c r="M698" s="706">
        <f>+'VVP2'!M341</f>
        <v>14.194520000000001</v>
      </c>
      <c r="N698" s="706">
        <f>+'VVP2'!N341</f>
        <v>15.202170000000001</v>
      </c>
      <c r="O698" s="706">
        <f>+'VVP2'!O341</f>
        <v>16.668479999999999</v>
      </c>
      <c r="P698" s="706">
        <f>+'VVP2'!P341</f>
        <v>18.237719999999999</v>
      </c>
      <c r="Q698" s="706">
        <f>+'VVP2'!Q341</f>
        <v>21.00235</v>
      </c>
      <c r="R698" s="706">
        <f>+'VVP2'!R341</f>
        <v>24.079180000000001</v>
      </c>
      <c r="S698" s="706">
        <f>+'VVP2'!S341</f>
        <v>29.040659999999999</v>
      </c>
      <c r="T698" s="706">
        <f>+'VVP2'!T341</f>
        <v>32.696280000000002</v>
      </c>
      <c r="U698" s="706">
        <f>+'VVP2'!U341</f>
        <v>26.934819999999998</v>
      </c>
      <c r="V698" s="2265">
        <f>+'VVP2'!V341</f>
        <v>28.027660000000001</v>
      </c>
      <c r="W698" s="2265">
        <f>+'VVP2'!W341</f>
        <v>31.275320000000001</v>
      </c>
      <c r="X698" s="2265">
        <f>+'VVP2'!X341</f>
        <v>33.348480000000002</v>
      </c>
      <c r="Y698" s="2265">
        <f>+'VVP2'!Y341</f>
        <v>34.959650000000003</v>
      </c>
      <c r="Z698" s="2265">
        <f>+'VVP2'!Z341</f>
        <v>36.568280000000001</v>
      </c>
      <c r="AA698" s="2265">
        <f>+'VVP2'!AA341</f>
        <v>37.426610000000004</v>
      </c>
      <c r="AB698" s="2265">
        <f>+'VVP2'!AB341</f>
        <v>38.668320000000001</v>
      </c>
      <c r="AC698" s="2265">
        <f ca="1">+'VVP2'!AC341</f>
        <v>41.779594892398123</v>
      </c>
      <c r="AD698" s="2265">
        <f ca="1">+'VVP2'!AD341</f>
        <v>44.211558409957277</v>
      </c>
      <c r="AE698" s="2265">
        <f ca="1">+'VVP2'!AE341</f>
        <v>46.676249894100508</v>
      </c>
    </row>
    <row r="699" spans="1:31" ht="12.75" customHeight="1">
      <c r="A699" s="664"/>
      <c r="B699" s="664"/>
      <c r="C699" s="784" t="s">
        <v>1769</v>
      </c>
      <c r="D699" s="1331"/>
      <c r="E699" s="1332" t="s">
        <v>1652</v>
      </c>
      <c r="F699" s="1528"/>
      <c r="G699" s="1332">
        <f t="shared" ref="G699:Y699" si="637">+G697/G698</f>
        <v>0.27640565494627495</v>
      </c>
      <c r="H699" s="1332">
        <f t="shared" si="637"/>
        <v>0.27256013135477625</v>
      </c>
      <c r="I699" s="1332">
        <f t="shared" si="637"/>
        <v>0.31244232084705836</v>
      </c>
      <c r="J699" s="1332">
        <f t="shared" si="637"/>
        <v>0.32759891752086473</v>
      </c>
      <c r="K699" s="1332">
        <f t="shared" si="637"/>
        <v>0.32946771889415416</v>
      </c>
      <c r="L699" s="1332">
        <f t="shared" si="637"/>
        <v>0.30785118093861696</v>
      </c>
      <c r="M699" s="1332">
        <f t="shared" si="637"/>
        <v>0.29322583644955941</v>
      </c>
      <c r="N699" s="1332">
        <f t="shared" si="637"/>
        <v>0.28995334218733243</v>
      </c>
      <c r="O699" s="1332">
        <f t="shared" si="637"/>
        <v>0.28635844420127099</v>
      </c>
      <c r="P699" s="1332">
        <f t="shared" si="637"/>
        <v>0.29087708234394138</v>
      </c>
      <c r="Q699" s="1332" t="e">
        <f t="shared" si="637"/>
        <v>#VALUE!</v>
      </c>
      <c r="R699" s="1332" t="e">
        <f t="shared" si="637"/>
        <v>#VALUE!</v>
      </c>
      <c r="S699" s="1332" t="e">
        <f t="shared" si="637"/>
        <v>#VALUE!</v>
      </c>
      <c r="T699" s="1332">
        <f>+T697/T698</f>
        <v>0.30655536348477569</v>
      </c>
      <c r="U699" s="1332">
        <f>+U697/U698</f>
        <v>0.30255594802564117</v>
      </c>
      <c r="V699" s="2305">
        <f t="shared" si="637"/>
        <v>0.2842195887919291</v>
      </c>
      <c r="W699" s="2305">
        <f t="shared" si="637"/>
        <v>0.27307026754642311</v>
      </c>
      <c r="X699" s="2305">
        <f t="shared" si="637"/>
        <v>0.27040842641103885</v>
      </c>
      <c r="Y699" s="2305">
        <f t="shared" si="637"/>
        <v>0.27047295954049883</v>
      </c>
      <c r="Z699" s="2305">
        <f t="shared" ref="Z699:AE699" si="638">+Z697/Z698</f>
        <v>0.2753774582780486</v>
      </c>
      <c r="AA699" s="2305">
        <f t="shared" si="638"/>
        <v>0.28917179514789076</v>
      </c>
      <c r="AB699" s="2305">
        <f t="shared" si="638"/>
        <v>0.29849525399603605</v>
      </c>
      <c r="AC699" s="2305">
        <f t="shared" ca="1" si="638"/>
        <v>0.30270961498243631</v>
      </c>
      <c r="AD699" s="2305">
        <f t="shared" ca="1" si="638"/>
        <v>0.30318219538319519</v>
      </c>
      <c r="AE699" s="2305">
        <f t="shared" ca="1" si="638"/>
        <v>0.30334833587133719</v>
      </c>
    </row>
    <row r="700" spans="1:31" ht="30" customHeight="1">
      <c r="AB700" s="2221"/>
      <c r="AC700" s="2221"/>
      <c r="AD700" s="2221"/>
      <c r="AE700" s="2221"/>
    </row>
    <row r="701" spans="1:31">
      <c r="A701" s="1435" t="s">
        <v>663</v>
      </c>
      <c r="AB701" s="2221"/>
      <c r="AC701" s="2221"/>
      <c r="AD701" s="2221"/>
      <c r="AE701" s="2221"/>
    </row>
    <row r="702" spans="1:31" ht="30" customHeight="1">
      <c r="AB702" s="2221"/>
      <c r="AC702" s="2221"/>
      <c r="AD702" s="2221"/>
      <c r="AE702" s="2221"/>
    </row>
    <row r="703" spans="1:31" ht="22.5" customHeight="1">
      <c r="A703" s="574"/>
      <c r="B703" s="574"/>
      <c r="C703" s="3752" t="s">
        <v>909</v>
      </c>
      <c r="D703" s="3752"/>
      <c r="E703" s="3752"/>
      <c r="F703" s="3752"/>
      <c r="AB703" s="2221"/>
      <c r="AC703" s="2221"/>
      <c r="AD703" s="2221"/>
      <c r="AE703" s="2221"/>
    </row>
    <row r="704" spans="1:31">
      <c r="AB704" s="2221"/>
      <c r="AC704" s="2221"/>
      <c r="AD704" s="2221"/>
      <c r="AE704" s="2221"/>
    </row>
    <row r="705" spans="1:31" ht="12.75" customHeight="1">
      <c r="A705" s="664"/>
      <c r="B705" s="664"/>
      <c r="C705" s="774"/>
      <c r="D705" s="775"/>
      <c r="E705" s="776" t="s">
        <v>1384</v>
      </c>
      <c r="F705" s="777"/>
      <c r="G705" s="778">
        <f>+InputY!$G$3</f>
        <v>1995</v>
      </c>
      <c r="H705" s="778">
        <f>+G705+1</f>
        <v>1996</v>
      </c>
      <c r="I705" s="778">
        <f t="shared" ref="I705:O705" si="639">+H705+1</f>
        <v>1997</v>
      </c>
      <c r="J705" s="778">
        <f t="shared" si="639"/>
        <v>1998</v>
      </c>
      <c r="K705" s="778">
        <f>+J705+1</f>
        <v>1999</v>
      </c>
      <c r="L705" s="778">
        <f t="shared" si="639"/>
        <v>2000</v>
      </c>
      <c r="M705" s="778">
        <f t="shared" si="639"/>
        <v>2001</v>
      </c>
      <c r="N705" s="778">
        <f t="shared" si="639"/>
        <v>2002</v>
      </c>
      <c r="O705" s="778">
        <f t="shared" si="639"/>
        <v>2003</v>
      </c>
      <c r="P705" s="778">
        <f>+O705+1</f>
        <v>2004</v>
      </c>
      <c r="Q705" s="778">
        <f>+P705+1</f>
        <v>2005</v>
      </c>
      <c r="R705" s="778">
        <f>+Q705+1</f>
        <v>2006</v>
      </c>
      <c r="S705" s="778">
        <f t="shared" ref="S705:X705" si="640">+R705+1</f>
        <v>2007</v>
      </c>
      <c r="T705" s="778">
        <f t="shared" si="640"/>
        <v>2008</v>
      </c>
      <c r="U705" s="778">
        <f t="shared" si="640"/>
        <v>2009</v>
      </c>
      <c r="V705" s="778">
        <f t="shared" si="640"/>
        <v>2010</v>
      </c>
      <c r="W705" s="778">
        <f t="shared" si="640"/>
        <v>2011</v>
      </c>
      <c r="X705" s="778">
        <f t="shared" si="640"/>
        <v>2012</v>
      </c>
      <c r="Y705" s="778">
        <f t="shared" ref="Y705:AE705" si="641">+X705+1</f>
        <v>2013</v>
      </c>
      <c r="Z705" s="778">
        <f t="shared" si="641"/>
        <v>2014</v>
      </c>
      <c r="AA705" s="778">
        <f t="shared" si="641"/>
        <v>2015</v>
      </c>
      <c r="AB705" s="778">
        <f t="shared" si="641"/>
        <v>2016</v>
      </c>
      <c r="AC705" s="778">
        <f t="shared" si="641"/>
        <v>2017</v>
      </c>
      <c r="AD705" s="778">
        <f t="shared" si="641"/>
        <v>2018</v>
      </c>
      <c r="AE705" s="778">
        <f t="shared" si="641"/>
        <v>2019</v>
      </c>
    </row>
    <row r="706" spans="1:31" ht="12.75" customHeight="1">
      <c r="A706" s="664"/>
      <c r="B706" s="664"/>
      <c r="C706" s="779" t="s">
        <v>1767</v>
      </c>
      <c r="D706" s="668" t="s">
        <v>685</v>
      </c>
      <c r="E706" s="700" t="str">
        <f t="shared" ref="E706:AC706" si="642">+E256</f>
        <v>Social contributions (D.61r)</v>
      </c>
      <c r="F706" s="1016" t="str">
        <f t="shared" si="642"/>
        <v>YHTSoc(1)</v>
      </c>
      <c r="G706" s="1018">
        <f t="shared" si="642"/>
        <v>2.8000000000000003E-4</v>
      </c>
      <c r="H706" s="1018">
        <f t="shared" si="642"/>
        <v>2.2000000000000003E-4</v>
      </c>
      <c r="I706" s="1018">
        <f t="shared" si="642"/>
        <v>3.3E-4</v>
      </c>
      <c r="J706" s="1018">
        <f t="shared" si="642"/>
        <v>4.9000000000000009E-4</v>
      </c>
      <c r="K706" s="1018">
        <f t="shared" si="642"/>
        <v>3.5000000000000005E-4</v>
      </c>
      <c r="L706" s="1018">
        <f t="shared" si="642"/>
        <v>4.6000000000000001E-4</v>
      </c>
      <c r="M706" s="1018">
        <f t="shared" si="642"/>
        <v>4.0000000000000002E-4</v>
      </c>
      <c r="N706" s="1018">
        <f t="shared" si="642"/>
        <v>3.7000000000000005E-4</v>
      </c>
      <c r="O706" s="1018">
        <f t="shared" si="642"/>
        <v>4.2000000000000002E-4</v>
      </c>
      <c r="P706" s="1018">
        <f t="shared" si="642"/>
        <v>4.4000000000000007E-4</v>
      </c>
      <c r="Q706" s="1018">
        <f t="shared" si="642"/>
        <v>5.6000000000000006E-4</v>
      </c>
      <c r="R706" s="1018">
        <f t="shared" si="642"/>
        <v>6.8000000000000005E-4</v>
      </c>
      <c r="S706" s="1018">
        <f t="shared" si="642"/>
        <v>8.5000000000000006E-4</v>
      </c>
      <c r="T706" s="1018">
        <f t="shared" si="642"/>
        <v>8.7000000000000011E-4</v>
      </c>
      <c r="U706" s="1018">
        <f t="shared" si="642"/>
        <v>8.1000000000000006E-4</v>
      </c>
      <c r="V706" s="3011">
        <f t="shared" si="642"/>
        <v>7.7999999999999999E-4</v>
      </c>
      <c r="W706" s="3011">
        <f t="shared" si="642"/>
        <v>8.7000000000000011E-4</v>
      </c>
      <c r="X706" s="3011">
        <f t="shared" si="642"/>
        <v>8.5000000000000006E-4</v>
      </c>
      <c r="Y706" s="3011">
        <f t="shared" si="642"/>
        <v>8.8000000000000014E-4</v>
      </c>
      <c r="Z706" s="3011">
        <f t="shared" si="642"/>
        <v>1E-3</v>
      </c>
      <c r="AA706" s="3011">
        <f t="shared" si="642"/>
        <v>8.9999999999999998E-4</v>
      </c>
      <c r="AB706" s="3011">
        <f t="shared" si="642"/>
        <v>9.4000000000000008E-4</v>
      </c>
      <c r="AC706" s="3011">
        <f t="shared" si="642"/>
        <v>9.7760000000000013E-4</v>
      </c>
      <c r="AD706" s="3011">
        <f>+AD256</f>
        <v>1.0167040000000002E-3</v>
      </c>
      <c r="AE706" s="3011">
        <f>+AE256</f>
        <v>1.0573721600000002E-3</v>
      </c>
    </row>
    <row r="707" spans="1:31" ht="12.75" customHeight="1">
      <c r="A707" s="664"/>
      <c r="B707" s="664"/>
      <c r="C707" s="782" t="s">
        <v>1767</v>
      </c>
      <c r="D707" s="674" t="s">
        <v>685</v>
      </c>
      <c r="E707" s="783" t="str">
        <f t="shared" ref="E707:AC707" si="643">+E302</f>
        <v>Social benefits (D.62r)</v>
      </c>
      <c r="F707" s="1017" t="str">
        <f t="shared" si="643"/>
        <v>YHTSoc(2)</v>
      </c>
      <c r="G707" s="1019">
        <f t="shared" si="643"/>
        <v>0.63928999999999991</v>
      </c>
      <c r="H707" s="1019">
        <f t="shared" si="643"/>
        <v>0.83790999999999993</v>
      </c>
      <c r="I707" s="1019">
        <f t="shared" si="643"/>
        <v>1.13683</v>
      </c>
      <c r="J707" s="1019">
        <f t="shared" si="643"/>
        <v>1.4190799999999999</v>
      </c>
      <c r="K707" s="1019">
        <f t="shared" si="643"/>
        <v>1.5840999999999998</v>
      </c>
      <c r="L707" s="1019">
        <f t="shared" si="643"/>
        <v>1.5676600000000001</v>
      </c>
      <c r="M707" s="1019">
        <f t="shared" si="643"/>
        <v>1.63063</v>
      </c>
      <c r="N707" s="1019">
        <f t="shared" si="643"/>
        <v>1.54847</v>
      </c>
      <c r="O707" s="1019">
        <f t="shared" si="643"/>
        <v>1.6601600000000001</v>
      </c>
      <c r="P707" s="1019">
        <f t="shared" si="643"/>
        <v>1.81019</v>
      </c>
      <c r="Q707" s="1019">
        <f t="shared" si="643"/>
        <v>2.0784899999999999</v>
      </c>
      <c r="R707" s="1019">
        <f t="shared" si="643"/>
        <v>2.3494000000000002</v>
      </c>
      <c r="S707" s="1019">
        <f t="shared" si="643"/>
        <v>2.9751099999999999</v>
      </c>
      <c r="T707" s="1019">
        <f t="shared" si="643"/>
        <v>3.9594299999999998</v>
      </c>
      <c r="U707" s="1019">
        <f t="shared" si="643"/>
        <v>4.5076000000000001</v>
      </c>
      <c r="V707" s="3012">
        <f t="shared" si="643"/>
        <v>4.1591899999999997</v>
      </c>
      <c r="W707" s="3012">
        <f t="shared" si="643"/>
        <v>4.0821500000000004</v>
      </c>
      <c r="X707" s="3012">
        <f t="shared" si="643"/>
        <v>4.1427500000000004</v>
      </c>
      <c r="Y707" s="3012">
        <f t="shared" si="643"/>
        <v>4.1100900000000005</v>
      </c>
      <c r="Z707" s="3012">
        <f t="shared" si="643"/>
        <v>4.13232</v>
      </c>
      <c r="AA707" s="3012">
        <f t="shared" si="643"/>
        <v>4.2368500000000004</v>
      </c>
      <c r="AB707" s="3012">
        <f t="shared" si="643"/>
        <v>4.4561299999999999</v>
      </c>
      <c r="AC707" s="3012">
        <f t="shared" si="643"/>
        <v>4.9755800200000007</v>
      </c>
      <c r="AD707" s="3012">
        <f>+AD302</f>
        <v>5.5570204009000017</v>
      </c>
      <c r="AE707" s="3012">
        <f>+AE302</f>
        <v>5.8869286285827016</v>
      </c>
    </row>
    <row r="708" spans="1:31" ht="12.75" customHeight="1">
      <c r="A708" s="664"/>
      <c r="B708" s="664"/>
      <c r="C708" s="782" t="s">
        <v>1767</v>
      </c>
      <c r="D708" s="674" t="s">
        <v>685</v>
      </c>
      <c r="E708" s="783" t="str">
        <f t="shared" ref="E708:AC708" si="644">+E324</f>
        <v>Other current transfers (D.7r)</v>
      </c>
      <c r="F708" s="1017" t="str">
        <f t="shared" si="644"/>
        <v>YHTO</v>
      </c>
      <c r="G708" s="1019">
        <f t="shared" si="644"/>
        <v>0.11465</v>
      </c>
      <c r="H708" s="1019">
        <f t="shared" si="644"/>
        <v>9.0450000000000003E-2</v>
      </c>
      <c r="I708" s="1019">
        <f t="shared" si="644"/>
        <v>0.14949000000000001</v>
      </c>
      <c r="J708" s="1019">
        <f t="shared" si="644"/>
        <v>0.18397999999999998</v>
      </c>
      <c r="K708" s="1019">
        <f t="shared" si="644"/>
        <v>0.17671000000000001</v>
      </c>
      <c r="L708" s="1019">
        <f t="shared" si="644"/>
        <v>0.12758</v>
      </c>
      <c r="M708" s="1019">
        <f t="shared" si="644"/>
        <v>0.25309999999999999</v>
      </c>
      <c r="N708" s="1019">
        <f t="shared" si="644"/>
        <v>0.19936000000000001</v>
      </c>
      <c r="O708" s="1019">
        <f t="shared" si="644"/>
        <v>0.21155000000000002</v>
      </c>
      <c r="P708" s="1019">
        <f t="shared" si="644"/>
        <v>0.35542000000000001</v>
      </c>
      <c r="Q708" s="1019">
        <f t="shared" si="644"/>
        <v>0.63315999999999995</v>
      </c>
      <c r="R708" s="1019">
        <f t="shared" si="644"/>
        <v>0.63112000000000001</v>
      </c>
      <c r="S708" s="1019">
        <f t="shared" si="644"/>
        <v>0.83086000000000004</v>
      </c>
      <c r="T708" s="1019">
        <f t="shared" si="644"/>
        <v>1.2227000000000001</v>
      </c>
      <c r="U708" s="1019">
        <f t="shared" si="644"/>
        <v>1.0826</v>
      </c>
      <c r="V708" s="3012">
        <f t="shared" si="644"/>
        <v>1.2823599999999999</v>
      </c>
      <c r="W708" s="3012">
        <f t="shared" si="644"/>
        <v>1.1806800000000002</v>
      </c>
      <c r="X708" s="3012">
        <f t="shared" si="644"/>
        <v>0.80870000000000009</v>
      </c>
      <c r="Y708" s="3012">
        <f t="shared" si="644"/>
        <v>1.4815</v>
      </c>
      <c r="Z708" s="3012">
        <f t="shared" si="644"/>
        <v>1.6157300000000001</v>
      </c>
      <c r="AA708" s="3012">
        <f t="shared" si="644"/>
        <v>1.3968</v>
      </c>
      <c r="AB708" s="3012">
        <f t="shared" si="644"/>
        <v>1.4626199999999998</v>
      </c>
      <c r="AC708" s="3012">
        <f t="shared" si="644"/>
        <v>1.5357509999999999</v>
      </c>
      <c r="AD708" s="3012">
        <f>+AD324</f>
        <v>1.61253855</v>
      </c>
      <c r="AE708" s="3012">
        <f>+AE324</f>
        <v>1.6931654775</v>
      </c>
    </row>
    <row r="709" spans="1:31" ht="12.75" customHeight="1">
      <c r="A709" s="664"/>
      <c r="B709" s="664">
        <v>91</v>
      </c>
      <c r="C709" s="784" t="s">
        <v>1769</v>
      </c>
      <c r="D709" s="752" t="s">
        <v>685</v>
      </c>
      <c r="E709" s="753" t="s">
        <v>2116</v>
      </c>
      <c r="F709" s="754" t="s">
        <v>1260</v>
      </c>
      <c r="G709" s="785">
        <f t="shared" ref="G709:Q709" si="645">+G706+G707+G708</f>
        <v>0.75421999999999989</v>
      </c>
      <c r="H709" s="785">
        <f t="shared" si="645"/>
        <v>0.92857999999999996</v>
      </c>
      <c r="I709" s="785">
        <f t="shared" si="645"/>
        <v>1.2866499999999998</v>
      </c>
      <c r="J709" s="785">
        <f t="shared" si="645"/>
        <v>1.60355</v>
      </c>
      <c r="K709" s="785">
        <f t="shared" si="645"/>
        <v>1.7611599999999998</v>
      </c>
      <c r="L709" s="785">
        <f t="shared" si="645"/>
        <v>1.6957</v>
      </c>
      <c r="M709" s="785">
        <f t="shared" si="645"/>
        <v>1.8841299999999999</v>
      </c>
      <c r="N709" s="785">
        <f t="shared" si="645"/>
        <v>1.7482</v>
      </c>
      <c r="O709" s="785">
        <f t="shared" si="645"/>
        <v>1.8721300000000003</v>
      </c>
      <c r="P709" s="785">
        <f t="shared" si="645"/>
        <v>2.1660499999999998</v>
      </c>
      <c r="Q709" s="785">
        <f t="shared" si="645"/>
        <v>2.7122099999999998</v>
      </c>
      <c r="R709" s="785">
        <f t="shared" ref="R709:Y709" si="646">+R706+R707+R708</f>
        <v>2.9812000000000003</v>
      </c>
      <c r="S709" s="785">
        <f t="shared" si="646"/>
        <v>3.8068199999999996</v>
      </c>
      <c r="T709" s="785">
        <f>+T706+T707+T708</f>
        <v>5.1829999999999998</v>
      </c>
      <c r="U709" s="785">
        <f>+U706+U707+U708</f>
        <v>5.5910100000000007</v>
      </c>
      <c r="V709" s="844">
        <f t="shared" si="646"/>
        <v>5.4423299999999992</v>
      </c>
      <c r="W709" s="844">
        <f t="shared" si="646"/>
        <v>5.2637</v>
      </c>
      <c r="X709" s="844">
        <f t="shared" si="646"/>
        <v>4.9523000000000001</v>
      </c>
      <c r="Y709" s="844">
        <f t="shared" si="646"/>
        <v>5.5924700000000005</v>
      </c>
      <c r="Z709" s="844">
        <f t="shared" ref="Z709:AE709" si="647">+Z706+Z707+Z708</f>
        <v>5.7490500000000004</v>
      </c>
      <c r="AA709" s="844">
        <f t="shared" si="647"/>
        <v>5.6345499999999999</v>
      </c>
      <c r="AB709" s="844">
        <f t="shared" si="647"/>
        <v>5.9196899999999992</v>
      </c>
      <c r="AC709" s="844">
        <f t="shared" si="647"/>
        <v>6.5123086200000007</v>
      </c>
      <c r="AD709" s="844">
        <f t="shared" si="647"/>
        <v>7.1705756549000021</v>
      </c>
      <c r="AE709" s="844">
        <f t="shared" si="647"/>
        <v>7.5811514782427016</v>
      </c>
    </row>
    <row r="710" spans="1:31">
      <c r="Q710" s="699"/>
      <c r="R710" s="699"/>
      <c r="S710" s="699"/>
      <c r="T710" s="699"/>
      <c r="U710" s="699"/>
      <c r="V710" s="843"/>
      <c r="W710" s="843"/>
      <c r="X710" s="843"/>
      <c r="Y710" s="843"/>
      <c r="Z710" s="843"/>
      <c r="AA710" s="843"/>
      <c r="AB710" s="843"/>
      <c r="AC710" s="843"/>
      <c r="AD710" s="843"/>
      <c r="AE710" s="843"/>
    </row>
    <row r="711" spans="1:31" ht="12.75" customHeight="1">
      <c r="A711" s="664"/>
      <c r="B711" s="664"/>
      <c r="C711" s="774"/>
      <c r="D711" s="775"/>
      <c r="E711" s="776" t="s">
        <v>1384</v>
      </c>
      <c r="F711" s="777"/>
      <c r="G711" s="778">
        <f>+InputY!$G$3</f>
        <v>1995</v>
      </c>
      <c r="H711" s="778">
        <f>+G711+1</f>
        <v>1996</v>
      </c>
      <c r="I711" s="778">
        <f t="shared" ref="I711:O711" si="648">+H711+1</f>
        <v>1997</v>
      </c>
      <c r="J711" s="778">
        <f t="shared" si="648"/>
        <v>1998</v>
      </c>
      <c r="K711" s="778">
        <f>+J711+1</f>
        <v>1999</v>
      </c>
      <c r="L711" s="778">
        <f t="shared" si="648"/>
        <v>2000</v>
      </c>
      <c r="M711" s="778">
        <f t="shared" si="648"/>
        <v>2001</v>
      </c>
      <c r="N711" s="778">
        <f t="shared" si="648"/>
        <v>2002</v>
      </c>
      <c r="O711" s="778">
        <f t="shared" si="648"/>
        <v>2003</v>
      </c>
      <c r="P711" s="778">
        <f>+O711+1</f>
        <v>2004</v>
      </c>
      <c r="Q711" s="778">
        <f>+P711+1</f>
        <v>2005</v>
      </c>
      <c r="R711" s="778">
        <f>+Q711+1</f>
        <v>2006</v>
      </c>
      <c r="S711" s="778">
        <f t="shared" ref="S711:X711" si="649">+R711+1</f>
        <v>2007</v>
      </c>
      <c r="T711" s="778">
        <f t="shared" si="649"/>
        <v>2008</v>
      </c>
      <c r="U711" s="778">
        <f t="shared" si="649"/>
        <v>2009</v>
      </c>
      <c r="V711" s="778">
        <f t="shared" si="649"/>
        <v>2010</v>
      </c>
      <c r="W711" s="778">
        <f t="shared" si="649"/>
        <v>2011</v>
      </c>
      <c r="X711" s="778">
        <f t="shared" si="649"/>
        <v>2012</v>
      </c>
      <c r="Y711" s="778">
        <f t="shared" ref="Y711:AE711" si="650">+X711+1</f>
        <v>2013</v>
      </c>
      <c r="Z711" s="778">
        <f t="shared" si="650"/>
        <v>2014</v>
      </c>
      <c r="AA711" s="778">
        <f t="shared" si="650"/>
        <v>2015</v>
      </c>
      <c r="AB711" s="778">
        <f t="shared" si="650"/>
        <v>2016</v>
      </c>
      <c r="AC711" s="778">
        <f t="shared" si="650"/>
        <v>2017</v>
      </c>
      <c r="AD711" s="778">
        <f t="shared" si="650"/>
        <v>2018</v>
      </c>
      <c r="AE711" s="778">
        <f t="shared" si="650"/>
        <v>2019</v>
      </c>
    </row>
    <row r="712" spans="1:31" ht="12.75" customHeight="1">
      <c r="A712" s="664"/>
      <c r="B712" s="664"/>
      <c r="C712" s="779" t="s">
        <v>1767</v>
      </c>
      <c r="D712" s="668" t="s">
        <v>685</v>
      </c>
      <c r="E712" s="700" t="str">
        <f t="shared" ref="E712:AC712" si="651">+E259</f>
        <v>Social contributions (D.61p)</v>
      </c>
      <c r="F712" s="1016" t="str">
        <f t="shared" si="651"/>
        <v>$HTaxSoc(1)</v>
      </c>
      <c r="G712" s="780">
        <f t="shared" si="651"/>
        <v>0.56516999999999995</v>
      </c>
      <c r="H712" s="780">
        <f t="shared" si="651"/>
        <v>0.75261999999999996</v>
      </c>
      <c r="I712" s="780">
        <f t="shared" si="651"/>
        <v>1.0605100000000001</v>
      </c>
      <c r="J712" s="780">
        <f t="shared" si="651"/>
        <v>1.3106500000000001</v>
      </c>
      <c r="K712" s="780">
        <f t="shared" si="651"/>
        <v>1.29495</v>
      </c>
      <c r="L712" s="780">
        <f t="shared" si="651"/>
        <v>1.37117</v>
      </c>
      <c r="M712" s="780">
        <f t="shared" si="651"/>
        <v>1.3836900000000001</v>
      </c>
      <c r="N712" s="780">
        <f t="shared" si="651"/>
        <v>1.4291700000000001</v>
      </c>
      <c r="O712" s="780">
        <f t="shared" si="651"/>
        <v>1.5403800000000001</v>
      </c>
      <c r="P712" s="780">
        <f t="shared" si="651"/>
        <v>1.7726900000000001</v>
      </c>
      <c r="Q712" s="780">
        <f t="shared" si="651"/>
        <v>2.1060300000000001</v>
      </c>
      <c r="R712" s="780">
        <f t="shared" si="651"/>
        <v>2.5360200000000002</v>
      </c>
      <c r="S712" s="780">
        <f t="shared" si="651"/>
        <v>3.1271399999999998</v>
      </c>
      <c r="T712" s="780">
        <f t="shared" si="651"/>
        <v>3.7217500000000001</v>
      </c>
      <c r="U712" s="780">
        <f t="shared" si="651"/>
        <v>3.7771500000000002</v>
      </c>
      <c r="V712" s="846">
        <f t="shared" si="651"/>
        <v>3.6449099999999999</v>
      </c>
      <c r="W712" s="846">
        <f t="shared" si="651"/>
        <v>3.8609299999999998</v>
      </c>
      <c r="X712" s="846">
        <f t="shared" si="651"/>
        <v>3.9392600000000004</v>
      </c>
      <c r="Y712" s="846">
        <f t="shared" si="651"/>
        <v>4.1875400000000003</v>
      </c>
      <c r="Z712" s="846">
        <f t="shared" si="651"/>
        <v>4.4502299999999995</v>
      </c>
      <c r="AA712" s="846">
        <f t="shared" si="651"/>
        <v>4.7600800000000003</v>
      </c>
      <c r="AB712" s="846">
        <f t="shared" si="651"/>
        <v>5.1583000000000006</v>
      </c>
      <c r="AC712" s="846">
        <f t="shared" si="651"/>
        <v>5.7781323307806325</v>
      </c>
      <c r="AD712" s="846">
        <f>+AD259</f>
        <v>6.1632101573429354</v>
      </c>
      <c r="AE712" s="846">
        <f>+AE259</f>
        <v>6.5177736483684185</v>
      </c>
    </row>
    <row r="713" spans="1:31" ht="12.75" customHeight="1">
      <c r="A713" s="664"/>
      <c r="B713" s="664"/>
      <c r="C713" s="782" t="s">
        <v>1767</v>
      </c>
      <c r="D713" s="674" t="s">
        <v>685</v>
      </c>
      <c r="E713" s="783" t="str">
        <f t="shared" ref="E713:AC713" si="652">+E298</f>
        <v>Social benefits (D.62p)</v>
      </c>
      <c r="F713" s="1017" t="str">
        <f t="shared" si="652"/>
        <v>$HTaxSoc(2)</v>
      </c>
      <c r="G713" s="706">
        <f t="shared" si="652"/>
        <v>2.8000000000000003E-4</v>
      </c>
      <c r="H713" s="706">
        <f t="shared" si="652"/>
        <v>2.2000000000000003E-4</v>
      </c>
      <c r="I713" s="706">
        <f t="shared" si="652"/>
        <v>3.3E-4</v>
      </c>
      <c r="J713" s="706">
        <f t="shared" si="652"/>
        <v>4.9000000000000009E-4</v>
      </c>
      <c r="K713" s="706">
        <f t="shared" si="652"/>
        <v>3.5000000000000005E-4</v>
      </c>
      <c r="L713" s="706">
        <f t="shared" si="652"/>
        <v>4.6000000000000001E-4</v>
      </c>
      <c r="M713" s="706">
        <f t="shared" si="652"/>
        <v>4.0000000000000002E-4</v>
      </c>
      <c r="N713" s="706">
        <f t="shared" si="652"/>
        <v>3.7000000000000005E-4</v>
      </c>
      <c r="O713" s="706">
        <f t="shared" si="652"/>
        <v>4.2000000000000002E-4</v>
      </c>
      <c r="P713" s="706">
        <f t="shared" si="652"/>
        <v>4.4000000000000007E-4</v>
      </c>
      <c r="Q713" s="706">
        <f t="shared" si="652"/>
        <v>5.6000000000000006E-4</v>
      </c>
      <c r="R713" s="706">
        <f t="shared" si="652"/>
        <v>6.8000000000000005E-4</v>
      </c>
      <c r="S713" s="706">
        <f t="shared" si="652"/>
        <v>8.5000000000000006E-4</v>
      </c>
      <c r="T713" s="706">
        <f t="shared" si="652"/>
        <v>8.7000000000000011E-4</v>
      </c>
      <c r="U713" s="706">
        <f t="shared" si="652"/>
        <v>8.1000000000000006E-4</v>
      </c>
      <c r="V713" s="792">
        <f t="shared" si="652"/>
        <v>7.7999999999999999E-4</v>
      </c>
      <c r="W713" s="792">
        <f t="shared" si="652"/>
        <v>8.7000000000000011E-4</v>
      </c>
      <c r="X713" s="792">
        <f t="shared" si="652"/>
        <v>8.5000000000000006E-4</v>
      </c>
      <c r="Y713" s="792">
        <f t="shared" si="652"/>
        <v>8.8000000000000014E-4</v>
      </c>
      <c r="Z713" s="792">
        <f t="shared" si="652"/>
        <v>1E-3</v>
      </c>
      <c r="AA713" s="792">
        <f t="shared" si="652"/>
        <v>8.9999999999999998E-4</v>
      </c>
      <c r="AB713" s="792">
        <f t="shared" si="652"/>
        <v>9.4000000000000008E-4</v>
      </c>
      <c r="AC713" s="792">
        <f t="shared" si="652"/>
        <v>9.8042000000000008E-4</v>
      </c>
      <c r="AD713" s="792">
        <f>+AD298</f>
        <v>1.0245389000000001E-3</v>
      </c>
      <c r="AE713" s="792">
        <f>+AE298</f>
        <v>1.0685940727000001E-3</v>
      </c>
    </row>
    <row r="714" spans="1:31" ht="12.75" customHeight="1">
      <c r="A714" s="664"/>
      <c r="B714" s="664"/>
      <c r="C714" s="782" t="s">
        <v>1767</v>
      </c>
      <c r="D714" s="674" t="s">
        <v>685</v>
      </c>
      <c r="E714" s="783" t="str">
        <f t="shared" ref="E714:AC714" si="653">+E323</f>
        <v>Other current transfers (D.7p)</v>
      </c>
      <c r="F714" s="1017" t="str">
        <f t="shared" si="653"/>
        <v>$HTO</v>
      </c>
      <c r="G714" s="706">
        <f t="shared" si="653"/>
        <v>3.585E-2</v>
      </c>
      <c r="H714" s="706">
        <f t="shared" si="653"/>
        <v>4.6530000000000002E-2</v>
      </c>
      <c r="I714" s="706">
        <f t="shared" si="653"/>
        <v>1.9690000000000003E-2</v>
      </c>
      <c r="J714" s="706">
        <f t="shared" si="653"/>
        <v>2.5559999999999999E-2</v>
      </c>
      <c r="K714" s="706">
        <f t="shared" si="653"/>
        <v>3.9259999999999996E-2</v>
      </c>
      <c r="L714" s="706">
        <f t="shared" si="653"/>
        <v>3.6819999999999999E-2</v>
      </c>
      <c r="M714" s="706">
        <f t="shared" si="653"/>
        <v>4.1790000000000001E-2</v>
      </c>
      <c r="N714" s="706">
        <f t="shared" si="653"/>
        <v>9.0469999999999995E-2</v>
      </c>
      <c r="O714" s="706">
        <f t="shared" si="653"/>
        <v>7.5569999999999998E-2</v>
      </c>
      <c r="P714" s="706">
        <f t="shared" si="653"/>
        <v>5.6060000000000006E-2</v>
      </c>
      <c r="Q714" s="706">
        <f t="shared" si="653"/>
        <v>8.0260000000000012E-2</v>
      </c>
      <c r="R714" s="706">
        <f t="shared" si="653"/>
        <v>0.11993999999999999</v>
      </c>
      <c r="S714" s="706">
        <f t="shared" si="653"/>
        <v>0.13761999999999999</v>
      </c>
      <c r="T714" s="706">
        <f t="shared" si="653"/>
        <v>0.11809</v>
      </c>
      <c r="U714" s="706">
        <f t="shared" si="653"/>
        <v>0.10909000000000001</v>
      </c>
      <c r="V714" s="792">
        <f t="shared" si="653"/>
        <v>0.11334999999999999</v>
      </c>
      <c r="W714" s="792">
        <f t="shared" si="653"/>
        <v>0.13771</v>
      </c>
      <c r="X714" s="792">
        <f t="shared" si="653"/>
        <v>0.13758999999999999</v>
      </c>
      <c r="Y714" s="792">
        <f t="shared" si="653"/>
        <v>0.13761000000000001</v>
      </c>
      <c r="Z714" s="792">
        <f t="shared" si="653"/>
        <v>0.14047999999999999</v>
      </c>
      <c r="AA714" s="792">
        <f t="shared" si="653"/>
        <v>0.15171999999999999</v>
      </c>
      <c r="AB714" s="792">
        <f t="shared" si="653"/>
        <v>0.17138</v>
      </c>
      <c r="AC714" s="792">
        <f t="shared" si="653"/>
        <v>0.17652140000000002</v>
      </c>
      <c r="AD714" s="792">
        <f>+AD323</f>
        <v>0.18181704200000004</v>
      </c>
      <c r="AE714" s="792">
        <f>+AE323</f>
        <v>0.18727155326000006</v>
      </c>
    </row>
    <row r="715" spans="1:31" ht="12.75" customHeight="1">
      <c r="A715" s="664"/>
      <c r="B715" s="664">
        <v>93</v>
      </c>
      <c r="C715" s="784" t="s">
        <v>1769</v>
      </c>
      <c r="D715" s="752" t="s">
        <v>685</v>
      </c>
      <c r="E715" s="753" t="s">
        <v>2117</v>
      </c>
      <c r="F715" s="754" t="s">
        <v>1440</v>
      </c>
      <c r="G715" s="785">
        <f t="shared" ref="G715:Q715" si="654">+G712+G713+G714</f>
        <v>0.60129999999999995</v>
      </c>
      <c r="H715" s="785">
        <f t="shared" si="654"/>
        <v>0.79936999999999991</v>
      </c>
      <c r="I715" s="785">
        <f t="shared" si="654"/>
        <v>1.08053</v>
      </c>
      <c r="J715" s="785">
        <f t="shared" si="654"/>
        <v>1.3367000000000002</v>
      </c>
      <c r="K715" s="785">
        <f t="shared" si="654"/>
        <v>1.3345600000000002</v>
      </c>
      <c r="L715" s="785">
        <f t="shared" si="654"/>
        <v>1.40845</v>
      </c>
      <c r="M715" s="785">
        <f t="shared" si="654"/>
        <v>1.42588</v>
      </c>
      <c r="N715" s="785">
        <f t="shared" si="654"/>
        <v>1.5200100000000001</v>
      </c>
      <c r="O715" s="785">
        <f t="shared" si="654"/>
        <v>1.6163700000000001</v>
      </c>
      <c r="P715" s="785">
        <f t="shared" si="654"/>
        <v>1.8291900000000001</v>
      </c>
      <c r="Q715" s="785">
        <f t="shared" si="654"/>
        <v>2.1868500000000002</v>
      </c>
      <c r="R715" s="785">
        <f t="shared" ref="R715:Y715" si="655">+R712+R713+R714</f>
        <v>2.6566400000000003</v>
      </c>
      <c r="S715" s="785">
        <f t="shared" si="655"/>
        <v>3.2656099999999997</v>
      </c>
      <c r="T715" s="785">
        <f>+T712+T713+T714</f>
        <v>3.8407100000000001</v>
      </c>
      <c r="U715" s="785">
        <f>+U712+U713+U714</f>
        <v>3.8870500000000003</v>
      </c>
      <c r="V715" s="844">
        <f t="shared" si="655"/>
        <v>3.7590399999999997</v>
      </c>
      <c r="W715" s="844">
        <f t="shared" si="655"/>
        <v>3.9995099999999999</v>
      </c>
      <c r="X715" s="844">
        <f t="shared" si="655"/>
        <v>4.0777000000000001</v>
      </c>
      <c r="Y715" s="844">
        <f t="shared" si="655"/>
        <v>4.3260300000000012</v>
      </c>
      <c r="Z715" s="844">
        <f t="shared" ref="Z715:AE715" si="656">+Z712+Z713+Z714</f>
        <v>4.59171</v>
      </c>
      <c r="AA715" s="844">
        <f t="shared" si="656"/>
        <v>4.9127000000000001</v>
      </c>
      <c r="AB715" s="844">
        <f t="shared" si="656"/>
        <v>5.3306200000000006</v>
      </c>
      <c r="AC715" s="844">
        <f t="shared" si="656"/>
        <v>5.9556341507806332</v>
      </c>
      <c r="AD715" s="844">
        <f t="shared" si="656"/>
        <v>6.3460517382429362</v>
      </c>
      <c r="AE715" s="844">
        <f t="shared" si="656"/>
        <v>6.7061137957011194</v>
      </c>
    </row>
    <row r="716" spans="1:31">
      <c r="Q716" s="699"/>
      <c r="R716" s="699"/>
      <c r="S716" s="699"/>
      <c r="T716" s="699"/>
      <c r="U716" s="699"/>
      <c r="V716" s="843"/>
      <c r="W716" s="843"/>
      <c r="X716" s="843"/>
      <c r="Y716" s="843"/>
      <c r="Z716" s="843"/>
      <c r="AA716" s="843"/>
      <c r="AB716" s="843"/>
      <c r="AC716" s="843"/>
      <c r="AD716" s="843"/>
      <c r="AE716" s="843"/>
    </row>
    <row r="717" spans="1:31" ht="12.75" customHeight="1">
      <c r="A717" s="664"/>
      <c r="B717" s="664"/>
      <c r="C717" s="774"/>
      <c r="D717" s="775"/>
      <c r="E717" s="776" t="s">
        <v>1384</v>
      </c>
      <c r="F717" s="777"/>
      <c r="G717" s="778">
        <f>+InputY!$G$3</f>
        <v>1995</v>
      </c>
      <c r="H717" s="778">
        <f>+G717+1</f>
        <v>1996</v>
      </c>
      <c r="I717" s="778">
        <f t="shared" ref="I717:O717" si="657">+H717+1</f>
        <v>1997</v>
      </c>
      <c r="J717" s="778">
        <f t="shared" si="657"/>
        <v>1998</v>
      </c>
      <c r="K717" s="778">
        <f>+J717+1</f>
        <v>1999</v>
      </c>
      <c r="L717" s="778">
        <f t="shared" si="657"/>
        <v>2000</v>
      </c>
      <c r="M717" s="778">
        <f t="shared" si="657"/>
        <v>2001</v>
      </c>
      <c r="N717" s="778">
        <f t="shared" si="657"/>
        <v>2002</v>
      </c>
      <c r="O717" s="778">
        <f t="shared" si="657"/>
        <v>2003</v>
      </c>
      <c r="P717" s="778">
        <f>+O717+1</f>
        <v>2004</v>
      </c>
      <c r="Q717" s="778">
        <f>+P717+1</f>
        <v>2005</v>
      </c>
      <c r="R717" s="778">
        <f>+Q717+1</f>
        <v>2006</v>
      </c>
      <c r="S717" s="778">
        <f t="shared" ref="S717:X717" si="658">+R717+1</f>
        <v>2007</v>
      </c>
      <c r="T717" s="778">
        <f t="shared" si="658"/>
        <v>2008</v>
      </c>
      <c r="U717" s="778">
        <f t="shared" si="658"/>
        <v>2009</v>
      </c>
      <c r="V717" s="778">
        <f t="shared" si="658"/>
        <v>2010</v>
      </c>
      <c r="W717" s="778">
        <f t="shared" si="658"/>
        <v>2011</v>
      </c>
      <c r="X717" s="778">
        <f t="shared" si="658"/>
        <v>2012</v>
      </c>
      <c r="Y717" s="778">
        <f t="shared" ref="Y717:AE717" si="659">+X717+1</f>
        <v>2013</v>
      </c>
      <c r="Z717" s="778">
        <f t="shared" si="659"/>
        <v>2014</v>
      </c>
      <c r="AA717" s="778">
        <f t="shared" si="659"/>
        <v>2015</v>
      </c>
      <c r="AB717" s="778">
        <f t="shared" si="659"/>
        <v>2016</v>
      </c>
      <c r="AC717" s="778">
        <f t="shared" si="659"/>
        <v>2017</v>
      </c>
      <c r="AD717" s="778">
        <f t="shared" si="659"/>
        <v>2018</v>
      </c>
      <c r="AE717" s="778">
        <f t="shared" si="659"/>
        <v>2019</v>
      </c>
    </row>
    <row r="718" spans="1:31" ht="12.75" customHeight="1">
      <c r="A718" s="664"/>
      <c r="B718" s="664"/>
      <c r="C718" s="779" t="s">
        <v>1767</v>
      </c>
      <c r="D718" s="668" t="s">
        <v>685</v>
      </c>
      <c r="E718" s="700" t="s">
        <v>376</v>
      </c>
      <c r="F718" s="1016" t="s">
        <v>428</v>
      </c>
      <c r="G718" s="780">
        <f>+'VVP2'!G228</f>
        <v>0.29872000000000004</v>
      </c>
      <c r="H718" s="780">
        <f>+'VVP2'!H228</f>
        <v>0.31448999999999999</v>
      </c>
      <c r="I718" s="780">
        <f>+'VVP2'!I228</f>
        <v>0.42637000000000003</v>
      </c>
      <c r="J718" s="780">
        <f>+'VVP2'!J228</f>
        <v>0.58422000000000007</v>
      </c>
      <c r="K718" s="780">
        <f>+'VVP2'!K228</f>
        <v>0.43416000000000005</v>
      </c>
      <c r="L718" s="780">
        <f>+'VVP2'!L228</f>
        <v>0.48319000000000001</v>
      </c>
      <c r="M718" s="780">
        <f>+'VVP2'!M228</f>
        <v>0.53537000000000001</v>
      </c>
      <c r="N718" s="780">
        <f>+'VVP2'!N228</f>
        <v>0.53712000000000004</v>
      </c>
      <c r="O718" s="780">
        <f>+'VVP2'!O228</f>
        <v>0.68988000000000005</v>
      </c>
      <c r="P718" s="780">
        <f>+'VVP2'!P228</f>
        <v>0.79324000000000006</v>
      </c>
      <c r="Q718" s="780">
        <f>+'VVP2'!Q228</f>
        <v>0.83965000000000001</v>
      </c>
      <c r="R718" s="780">
        <f>+'VVP2'!R228</f>
        <v>0.87766999999999995</v>
      </c>
      <c r="S718" s="780">
        <f>+'VVP2'!S228</f>
        <v>1.0825199999999999</v>
      </c>
      <c r="T718" s="780">
        <f>+'VVP2'!T228</f>
        <v>1.27919</v>
      </c>
      <c r="U718" s="780">
        <f>+'VVP2'!U228</f>
        <v>0.95716000000000001</v>
      </c>
      <c r="V718" s="846">
        <f>+'VVP2'!V228</f>
        <v>0.92220000000000002</v>
      </c>
      <c r="W718" s="846">
        <f>+'VVP2'!W228</f>
        <v>1.04375</v>
      </c>
      <c r="X718" s="846">
        <f>+'VVP2'!X228</f>
        <v>1.00299</v>
      </c>
      <c r="Y718" s="846">
        <f>+'VVP2'!Y228</f>
        <v>1.2413599999999998</v>
      </c>
      <c r="Z718" s="846">
        <f>+'VVP2'!Z228</f>
        <v>1.37171</v>
      </c>
      <c r="AA718" s="846">
        <f>+'VVP2'!AA228</f>
        <v>1.56351</v>
      </c>
      <c r="AB718" s="846">
        <f>+'VVP2'!AB228</f>
        <v>1.7422800000000001</v>
      </c>
      <c r="AC718" s="846">
        <f ca="1">+'VVP2'!AC228</f>
        <v>1.8032598</v>
      </c>
      <c r="AD718" s="846">
        <f ca="1">+'VVP2'!AD228</f>
        <v>1.8663738929999998</v>
      </c>
      <c r="AE718" s="846">
        <f ca="1">+'VVP2'!AE228</f>
        <v>1.9316969792549996</v>
      </c>
    </row>
    <row r="719" spans="1:31" ht="12.75" customHeight="1">
      <c r="A719" s="664"/>
      <c r="B719" s="664"/>
      <c r="C719" s="782" t="s">
        <v>1767</v>
      </c>
      <c r="D719" s="674" t="s">
        <v>685</v>
      </c>
      <c r="E719" s="783" t="s">
        <v>377</v>
      </c>
      <c r="F719" s="1017" t="s">
        <v>2076</v>
      </c>
      <c r="G719" s="706">
        <f t="shared" ref="G719:AC719" si="660">+G541</f>
        <v>1.3009999999999999E-2</v>
      </c>
      <c r="H719" s="706">
        <f t="shared" si="660"/>
        <v>2.0800000000000003E-3</v>
      </c>
      <c r="I719" s="706">
        <f t="shared" si="660"/>
        <v>5.6900000000000006E-2</v>
      </c>
      <c r="J719" s="706">
        <f t="shared" si="660"/>
        <v>2.6830000000000003E-2</v>
      </c>
      <c r="K719" s="706">
        <f t="shared" si="660"/>
        <v>-3.6469999999999995E-2</v>
      </c>
      <c r="L719" s="706">
        <f t="shared" si="660"/>
        <v>-1.7000000000000036E-4</v>
      </c>
      <c r="M719" s="706">
        <f t="shared" si="660"/>
        <v>-0.1043</v>
      </c>
      <c r="N719" s="706">
        <f t="shared" si="660"/>
        <v>-1.8500000000000001E-3</v>
      </c>
      <c r="O719" s="706">
        <f t="shared" si="660"/>
        <v>8.6599999999999993E-3</v>
      </c>
      <c r="P719" s="706">
        <f t="shared" si="660"/>
        <v>1.4449999999999999E-2</v>
      </c>
      <c r="Q719" s="706">
        <f t="shared" si="660"/>
        <v>-3.968E-2</v>
      </c>
      <c r="R719" s="706">
        <f t="shared" si="660"/>
        <v>4.8399999999999988E-3</v>
      </c>
      <c r="S719" s="706">
        <f t="shared" si="660"/>
        <v>4.6170000000000003E-2</v>
      </c>
      <c r="T719" s="706">
        <f t="shared" si="660"/>
        <v>0.13553000000000001</v>
      </c>
      <c r="U719" s="706">
        <f t="shared" si="660"/>
        <v>-5.6829999999999999E-2</v>
      </c>
      <c r="V719" s="792">
        <f t="shared" si="660"/>
        <v>-2.7140000000000001E-2</v>
      </c>
      <c r="W719" s="792">
        <f t="shared" si="660"/>
        <v>6.4819999999999989E-2</v>
      </c>
      <c r="X719" s="792">
        <f t="shared" si="660"/>
        <v>8.8359999999999994E-2</v>
      </c>
      <c r="Y719" s="792">
        <f t="shared" si="660"/>
        <v>0.10335999999999999</v>
      </c>
      <c r="Z719" s="792">
        <f t="shared" si="660"/>
        <v>1.2970000000000001E-2</v>
      </c>
      <c r="AA719" s="792">
        <f t="shared" si="660"/>
        <v>2.895E-2</v>
      </c>
      <c r="AB719" s="792">
        <f t="shared" si="660"/>
        <v>-4.3100000000000005E-3</v>
      </c>
      <c r="AC719" s="792">
        <f t="shared" ca="1" si="660"/>
        <v>-4.3100000000000005E-3</v>
      </c>
      <c r="AD719" s="792">
        <f ca="1">+AD541</f>
        <v>-4.3100000000000005E-3</v>
      </c>
      <c r="AE719" s="792">
        <f ca="1">+AE541</f>
        <v>-4.3100000000000005E-3</v>
      </c>
    </row>
    <row r="720" spans="1:31" ht="12.75" customHeight="1">
      <c r="A720" s="664"/>
      <c r="B720" s="664">
        <v>96</v>
      </c>
      <c r="C720" s="784" t="s">
        <v>1769</v>
      </c>
      <c r="D720" s="752" t="s">
        <v>685</v>
      </c>
      <c r="E720" s="753" t="s">
        <v>583</v>
      </c>
      <c r="F720" s="754"/>
      <c r="G720" s="785">
        <f t="shared" ref="G720:Q720" si="661">+G718+G719</f>
        <v>0.31173000000000006</v>
      </c>
      <c r="H720" s="785">
        <f t="shared" si="661"/>
        <v>0.31657000000000002</v>
      </c>
      <c r="I720" s="785">
        <f t="shared" si="661"/>
        <v>0.48327000000000003</v>
      </c>
      <c r="J720" s="785">
        <f t="shared" si="661"/>
        <v>0.61105000000000009</v>
      </c>
      <c r="K720" s="785">
        <f t="shared" si="661"/>
        <v>0.39769000000000004</v>
      </c>
      <c r="L720" s="785">
        <f t="shared" si="661"/>
        <v>0.48302</v>
      </c>
      <c r="M720" s="785">
        <f t="shared" si="661"/>
        <v>0.43107000000000001</v>
      </c>
      <c r="N720" s="785">
        <f t="shared" si="661"/>
        <v>0.53527000000000002</v>
      </c>
      <c r="O720" s="785">
        <f t="shared" si="661"/>
        <v>0.69854000000000005</v>
      </c>
      <c r="P720" s="785">
        <f t="shared" si="661"/>
        <v>0.80769000000000002</v>
      </c>
      <c r="Q720" s="785">
        <f t="shared" si="661"/>
        <v>0.79996999999999996</v>
      </c>
      <c r="R720" s="785">
        <f t="shared" ref="R720:Y720" si="662">+R718+R719</f>
        <v>0.88250999999999991</v>
      </c>
      <c r="S720" s="785">
        <f t="shared" si="662"/>
        <v>1.12869</v>
      </c>
      <c r="T720" s="785">
        <f>+T718+T719</f>
        <v>1.41472</v>
      </c>
      <c r="U720" s="785">
        <f>+U718+U719</f>
        <v>0.90032999999999996</v>
      </c>
      <c r="V720" s="844">
        <f t="shared" si="662"/>
        <v>0.89505999999999997</v>
      </c>
      <c r="W720" s="844">
        <f t="shared" si="662"/>
        <v>1.1085699999999998</v>
      </c>
      <c r="X720" s="844">
        <f t="shared" si="662"/>
        <v>1.09135</v>
      </c>
      <c r="Y720" s="844">
        <f t="shared" si="662"/>
        <v>1.3447199999999997</v>
      </c>
      <c r="Z720" s="844">
        <f t="shared" ref="Z720:AE720" si="663">+Z718+Z719</f>
        <v>1.3846799999999999</v>
      </c>
      <c r="AA720" s="844">
        <f t="shared" si="663"/>
        <v>1.59246</v>
      </c>
      <c r="AB720" s="844">
        <f t="shared" si="663"/>
        <v>1.73797</v>
      </c>
      <c r="AC720" s="844">
        <f t="shared" ca="1" si="663"/>
        <v>1.7989497999999999</v>
      </c>
      <c r="AD720" s="844">
        <f t="shared" ca="1" si="663"/>
        <v>1.8620638929999997</v>
      </c>
      <c r="AE720" s="844">
        <f t="shared" ca="1" si="663"/>
        <v>1.9273869792549996</v>
      </c>
    </row>
    <row r="721" spans="1:31">
      <c r="Q721" s="699"/>
      <c r="R721" s="699"/>
      <c r="S721" s="699"/>
      <c r="T721" s="699"/>
      <c r="U721" s="699"/>
      <c r="V721" s="843"/>
      <c r="W721" s="843"/>
      <c r="X721" s="843"/>
      <c r="Y721" s="843"/>
      <c r="Z721" s="843"/>
      <c r="AA721" s="843"/>
      <c r="AB721" s="843"/>
      <c r="AC721" s="843"/>
      <c r="AD721" s="843"/>
      <c r="AE721" s="843"/>
    </row>
    <row r="722" spans="1:31" ht="12.75" customHeight="1">
      <c r="A722" s="664"/>
      <c r="B722" s="664"/>
      <c r="C722" s="774"/>
      <c r="D722" s="775"/>
      <c r="E722" s="776" t="s">
        <v>1384</v>
      </c>
      <c r="F722" s="777"/>
      <c r="G722" s="778">
        <f>+InputY!$G$3</f>
        <v>1995</v>
      </c>
      <c r="H722" s="778">
        <f>+G722+1</f>
        <v>1996</v>
      </c>
      <c r="I722" s="778">
        <f t="shared" ref="I722:O722" si="664">+H722+1</f>
        <v>1997</v>
      </c>
      <c r="J722" s="778">
        <f t="shared" si="664"/>
        <v>1998</v>
      </c>
      <c r="K722" s="778">
        <f>+J722+1</f>
        <v>1999</v>
      </c>
      <c r="L722" s="778">
        <f t="shared" si="664"/>
        <v>2000</v>
      </c>
      <c r="M722" s="778">
        <f t="shared" si="664"/>
        <v>2001</v>
      </c>
      <c r="N722" s="778">
        <f t="shared" si="664"/>
        <v>2002</v>
      </c>
      <c r="O722" s="778">
        <f t="shared" si="664"/>
        <v>2003</v>
      </c>
      <c r="P722" s="778">
        <f>+O722+1</f>
        <v>2004</v>
      </c>
      <c r="Q722" s="778">
        <f>+P722+1</f>
        <v>2005</v>
      </c>
      <c r="R722" s="778">
        <f>+Q722+1</f>
        <v>2006</v>
      </c>
      <c r="S722" s="778">
        <f t="shared" ref="S722:X722" si="665">+R722+1</f>
        <v>2007</v>
      </c>
      <c r="T722" s="778">
        <f t="shared" si="665"/>
        <v>2008</v>
      </c>
      <c r="U722" s="778">
        <f t="shared" si="665"/>
        <v>2009</v>
      </c>
      <c r="V722" s="778">
        <f t="shared" si="665"/>
        <v>2010</v>
      </c>
      <c r="W722" s="778">
        <f t="shared" si="665"/>
        <v>2011</v>
      </c>
      <c r="X722" s="778">
        <f t="shared" si="665"/>
        <v>2012</v>
      </c>
      <c r="Y722" s="778">
        <f t="shared" ref="Y722:AE722" si="666">+X722+1</f>
        <v>2013</v>
      </c>
      <c r="Z722" s="778">
        <f t="shared" si="666"/>
        <v>2014</v>
      </c>
      <c r="AA722" s="778">
        <f t="shared" si="666"/>
        <v>2015</v>
      </c>
      <c r="AB722" s="778">
        <f t="shared" si="666"/>
        <v>2016</v>
      </c>
      <c r="AC722" s="778">
        <f t="shared" si="666"/>
        <v>2017</v>
      </c>
      <c r="AD722" s="778">
        <f t="shared" si="666"/>
        <v>2018</v>
      </c>
      <c r="AE722" s="778">
        <f t="shared" si="666"/>
        <v>2019</v>
      </c>
    </row>
    <row r="723" spans="1:31" ht="12.75" customHeight="1">
      <c r="A723" s="664"/>
      <c r="B723" s="664"/>
      <c r="C723" s="779" t="s">
        <v>1767</v>
      </c>
      <c r="D723" s="668" t="s">
        <v>685</v>
      </c>
      <c r="E723" s="700" t="s">
        <v>1324</v>
      </c>
      <c r="F723" s="1016" t="s">
        <v>1064</v>
      </c>
      <c r="G723" s="1018">
        <f t="shared" ref="G723:AC723" si="667">-G488</f>
        <v>-1.7899999999999999E-2</v>
      </c>
      <c r="H723" s="1018">
        <f t="shared" si="667"/>
        <v>-3.032E-2</v>
      </c>
      <c r="I723" s="1018">
        <f t="shared" si="667"/>
        <v>-1.4711000000000001</v>
      </c>
      <c r="J723" s="1018">
        <f t="shared" si="667"/>
        <v>-4.9669999999999992E-2</v>
      </c>
      <c r="K723" s="1018">
        <f t="shared" si="667"/>
        <v>-5.1540000000000002E-2</v>
      </c>
      <c r="L723" s="1018">
        <f t="shared" si="667"/>
        <v>-0.19487000000000002</v>
      </c>
      <c r="M723" s="1018">
        <f t="shared" si="667"/>
        <v>-2.8420000000000001E-2</v>
      </c>
      <c r="N723" s="1018">
        <f t="shared" si="667"/>
        <v>-2.4410000000000001E-2</v>
      </c>
      <c r="O723" s="1018">
        <f t="shared" si="667"/>
        <v>-3.4189999999999998E-2</v>
      </c>
      <c r="P723" s="1018">
        <f t="shared" si="667"/>
        <v>-8.5610000000000006E-2</v>
      </c>
      <c r="Q723" s="1018">
        <f t="shared" si="667"/>
        <v>-7.2179999999999994E-2</v>
      </c>
      <c r="R723" s="1018">
        <f t="shared" si="667"/>
        <v>-7.8410000000000007E-2</v>
      </c>
      <c r="S723" s="1018">
        <f t="shared" si="667"/>
        <v>-0.18384</v>
      </c>
      <c r="T723" s="1018">
        <f t="shared" si="667"/>
        <v>-4.446E-2</v>
      </c>
      <c r="U723" s="1018">
        <f t="shared" si="667"/>
        <v>-3.0710000000000001E-2</v>
      </c>
      <c r="V723" s="3011">
        <f t="shared" si="667"/>
        <v>-3.9329999999999997E-2</v>
      </c>
      <c r="W723" s="3011">
        <f t="shared" si="667"/>
        <v>-1.23645</v>
      </c>
      <c r="X723" s="3011">
        <f t="shared" si="667"/>
        <v>-3.8779999999999995E-2</v>
      </c>
      <c r="Y723" s="3011">
        <f t="shared" si="667"/>
        <v>-7.3069999999999996E-2</v>
      </c>
      <c r="Z723" s="3011">
        <f t="shared" si="667"/>
        <v>-0.39702000000000004</v>
      </c>
      <c r="AA723" s="3011">
        <f t="shared" si="667"/>
        <v>-0.12033000000000001</v>
      </c>
      <c r="AB723" s="3011">
        <f t="shared" si="667"/>
        <v>-5.5060000000000005E-2</v>
      </c>
      <c r="AC723" s="3011">
        <f t="shared" si="667"/>
        <v>-5.1205800000000003E-2</v>
      </c>
      <c r="AD723" s="3011">
        <f>-AD488</f>
        <v>-4.7621393999999997E-2</v>
      </c>
      <c r="AE723" s="3011">
        <f>-AE488</f>
        <v>-4.4287896419999993E-2</v>
      </c>
    </row>
    <row r="724" spans="1:31" ht="12.75" customHeight="1">
      <c r="A724" s="664"/>
      <c r="B724" s="664"/>
      <c r="C724" s="782" t="s">
        <v>1767</v>
      </c>
      <c r="D724" s="674" t="s">
        <v>685</v>
      </c>
      <c r="E724" s="783" t="s">
        <v>375</v>
      </c>
      <c r="F724" s="1017" t="s">
        <v>19</v>
      </c>
      <c r="G724" s="1019">
        <f t="shared" ref="G724:AC724" si="668">+G519</f>
        <v>0</v>
      </c>
      <c r="H724" s="1019">
        <f t="shared" si="668"/>
        <v>0</v>
      </c>
      <c r="I724" s="1019">
        <f t="shared" si="668"/>
        <v>-6.4200000000000004E-3</v>
      </c>
      <c r="J724" s="1019">
        <f t="shared" si="668"/>
        <v>-1.0400000000000001E-3</v>
      </c>
      <c r="K724" s="1019">
        <f t="shared" si="668"/>
        <v>-3.0099999999999997E-3</v>
      </c>
      <c r="L724" s="1019">
        <f t="shared" si="668"/>
        <v>-1.6600000000000002E-3</v>
      </c>
      <c r="M724" s="1019">
        <f t="shared" si="668"/>
        <v>-1.439E-2</v>
      </c>
      <c r="N724" s="1019">
        <f t="shared" si="668"/>
        <v>-1.6190000000000003E-2</v>
      </c>
      <c r="O724" s="1019">
        <f t="shared" si="668"/>
        <v>-1.6879999999999999E-2</v>
      </c>
      <c r="P724" s="1019">
        <f t="shared" si="668"/>
        <v>-4.5679999999999998E-2</v>
      </c>
      <c r="Q724" s="1019">
        <f t="shared" si="668"/>
        <v>-0.14876</v>
      </c>
      <c r="R724" s="1019">
        <f t="shared" si="668"/>
        <v>-0.22446000000000002</v>
      </c>
      <c r="S724" s="1019">
        <f t="shared" si="668"/>
        <v>-0.38224000000000002</v>
      </c>
      <c r="T724" s="1019">
        <f t="shared" si="668"/>
        <v>-0.16441999999999998</v>
      </c>
      <c r="U724" s="1019">
        <f t="shared" si="668"/>
        <v>2.172E-2</v>
      </c>
      <c r="V724" s="3012">
        <f t="shared" si="668"/>
        <v>3.7149999999999996E-2</v>
      </c>
      <c r="W724" s="3012">
        <f t="shared" si="668"/>
        <v>-2.291E-2</v>
      </c>
      <c r="X724" s="3012">
        <f t="shared" si="668"/>
        <v>-4.2200000000000001E-2</v>
      </c>
      <c r="Y724" s="3012">
        <f t="shared" si="668"/>
        <v>2.3190000000000002E-2</v>
      </c>
      <c r="Z724" s="3012">
        <f t="shared" si="668"/>
        <v>4.1369999999999997E-2</v>
      </c>
      <c r="AA724" s="3012">
        <f t="shared" si="668"/>
        <v>-3.4590000000000003E-2</v>
      </c>
      <c r="AB724" s="3012">
        <f t="shared" si="668"/>
        <v>-7.7609999999999998E-2</v>
      </c>
      <c r="AC724" s="3012">
        <f t="shared" si="668"/>
        <v>-7.7609999999999998E-2</v>
      </c>
      <c r="AD724" s="3012">
        <f>+AD519</f>
        <v>-7.7609999999999998E-2</v>
      </c>
      <c r="AE724" s="3012">
        <f>+AE519</f>
        <v>-7.7609999999999998E-2</v>
      </c>
    </row>
    <row r="725" spans="1:31" ht="12.75" customHeight="1">
      <c r="A725" s="664"/>
      <c r="B725" s="664">
        <v>97</v>
      </c>
      <c r="C725" s="784" t="s">
        <v>1769</v>
      </c>
      <c r="D725" s="752" t="s">
        <v>685</v>
      </c>
      <c r="E725" s="753" t="s">
        <v>2118</v>
      </c>
      <c r="F725" s="754" t="s">
        <v>2119</v>
      </c>
      <c r="G725" s="785">
        <f t="shared" ref="G725:Q725" si="669">+G723+G724</f>
        <v>-1.7899999999999999E-2</v>
      </c>
      <c r="H725" s="785">
        <f t="shared" si="669"/>
        <v>-3.032E-2</v>
      </c>
      <c r="I725" s="785">
        <f t="shared" si="669"/>
        <v>-1.4775200000000002</v>
      </c>
      <c r="J725" s="785">
        <f t="shared" si="669"/>
        <v>-5.0709999999999991E-2</v>
      </c>
      <c r="K725" s="785">
        <f t="shared" si="669"/>
        <v>-5.4550000000000001E-2</v>
      </c>
      <c r="L725" s="785">
        <f t="shared" si="669"/>
        <v>-0.19653000000000001</v>
      </c>
      <c r="M725" s="785">
        <f t="shared" si="669"/>
        <v>-4.2810000000000001E-2</v>
      </c>
      <c r="N725" s="785">
        <f t="shared" si="669"/>
        <v>-4.0600000000000004E-2</v>
      </c>
      <c r="O725" s="785">
        <f t="shared" si="669"/>
        <v>-5.1069999999999997E-2</v>
      </c>
      <c r="P725" s="785">
        <f t="shared" si="669"/>
        <v>-0.13129000000000002</v>
      </c>
      <c r="Q725" s="785">
        <f t="shared" si="669"/>
        <v>-0.22094</v>
      </c>
      <c r="R725" s="785">
        <f t="shared" ref="R725:Y725" si="670">+R723+R724</f>
        <v>-0.30287000000000003</v>
      </c>
      <c r="S725" s="785">
        <f t="shared" si="670"/>
        <v>-0.56608000000000003</v>
      </c>
      <c r="T725" s="785">
        <f>+T723+T724</f>
        <v>-0.20887999999999998</v>
      </c>
      <c r="U725" s="785">
        <f>+U723+U724</f>
        <v>-8.9900000000000015E-3</v>
      </c>
      <c r="V725" s="844">
        <f t="shared" si="670"/>
        <v>-2.1800000000000014E-3</v>
      </c>
      <c r="W725" s="844">
        <f t="shared" si="670"/>
        <v>-1.25936</v>
      </c>
      <c r="X725" s="844">
        <f t="shared" si="670"/>
        <v>-8.0979999999999996E-2</v>
      </c>
      <c r="Y725" s="844">
        <f t="shared" si="670"/>
        <v>-4.9879999999999994E-2</v>
      </c>
      <c r="Z725" s="844">
        <f t="shared" ref="Z725:AE725" si="671">+Z723+Z724</f>
        <v>-0.35565000000000002</v>
      </c>
      <c r="AA725" s="844">
        <f t="shared" si="671"/>
        <v>-0.15492</v>
      </c>
      <c r="AB725" s="844">
        <f t="shared" si="671"/>
        <v>-0.13267000000000001</v>
      </c>
      <c r="AC725" s="844">
        <f t="shared" si="671"/>
        <v>-0.12881580000000001</v>
      </c>
      <c r="AD725" s="844">
        <f t="shared" si="671"/>
        <v>-0.125231394</v>
      </c>
      <c r="AE725" s="844">
        <f t="shared" si="671"/>
        <v>-0.12189789641999998</v>
      </c>
    </row>
    <row r="726" spans="1:31">
      <c r="Q726" s="699"/>
      <c r="R726" s="699"/>
      <c r="S726" s="699"/>
      <c r="T726" s="699"/>
      <c r="U726" s="699"/>
      <c r="V726" s="843"/>
      <c r="W726" s="843"/>
      <c r="X726" s="843"/>
      <c r="Y726" s="843"/>
      <c r="Z726" s="843"/>
      <c r="AA726" s="843"/>
      <c r="AB726" s="843"/>
      <c r="AC726" s="843"/>
      <c r="AD726" s="843"/>
      <c r="AE726" s="843"/>
    </row>
    <row r="727" spans="1:31" ht="12.75" customHeight="1">
      <c r="A727" s="664"/>
      <c r="B727" s="664"/>
      <c r="C727" s="774"/>
      <c r="D727" s="775"/>
      <c r="E727" s="776" t="s">
        <v>1384</v>
      </c>
      <c r="F727" s="777"/>
      <c r="G727" s="778">
        <f>+InputY!$G$3</f>
        <v>1995</v>
      </c>
      <c r="H727" s="778">
        <f>+G727+1</f>
        <v>1996</v>
      </c>
      <c r="I727" s="778">
        <f t="shared" ref="I727:O727" si="672">+H727+1</f>
        <v>1997</v>
      </c>
      <c r="J727" s="778">
        <f t="shared" si="672"/>
        <v>1998</v>
      </c>
      <c r="K727" s="778">
        <f>+J727+1</f>
        <v>1999</v>
      </c>
      <c r="L727" s="778">
        <f t="shared" si="672"/>
        <v>2000</v>
      </c>
      <c r="M727" s="778">
        <f t="shared" si="672"/>
        <v>2001</v>
      </c>
      <c r="N727" s="778">
        <f t="shared" si="672"/>
        <v>2002</v>
      </c>
      <c r="O727" s="778">
        <f t="shared" si="672"/>
        <v>2003</v>
      </c>
      <c r="P727" s="778">
        <f>+O727+1</f>
        <v>2004</v>
      </c>
      <c r="Q727" s="778">
        <f>+P727+1</f>
        <v>2005</v>
      </c>
      <c r="R727" s="778">
        <f>+Q727+1</f>
        <v>2006</v>
      </c>
      <c r="S727" s="778">
        <f t="shared" ref="S727:X727" si="673">+R727+1</f>
        <v>2007</v>
      </c>
      <c r="T727" s="778">
        <f t="shared" si="673"/>
        <v>2008</v>
      </c>
      <c r="U727" s="778">
        <f t="shared" si="673"/>
        <v>2009</v>
      </c>
      <c r="V727" s="778">
        <f t="shared" si="673"/>
        <v>2010</v>
      </c>
      <c r="W727" s="778">
        <f t="shared" si="673"/>
        <v>2011</v>
      </c>
      <c r="X727" s="778">
        <f t="shared" si="673"/>
        <v>2012</v>
      </c>
      <c r="Y727" s="778">
        <f t="shared" ref="Y727:AE727" si="674">+X727+1</f>
        <v>2013</v>
      </c>
      <c r="Z727" s="778">
        <f t="shared" si="674"/>
        <v>2014</v>
      </c>
      <c r="AA727" s="778">
        <f t="shared" si="674"/>
        <v>2015</v>
      </c>
      <c r="AB727" s="778">
        <f t="shared" si="674"/>
        <v>2016</v>
      </c>
      <c r="AC727" s="778">
        <f t="shared" si="674"/>
        <v>2017</v>
      </c>
      <c r="AD727" s="778">
        <f t="shared" si="674"/>
        <v>2018</v>
      </c>
      <c r="AE727" s="778">
        <f t="shared" si="674"/>
        <v>2019</v>
      </c>
    </row>
    <row r="728" spans="1:31" ht="12.75" customHeight="1">
      <c r="A728" s="664"/>
      <c r="B728" s="664"/>
      <c r="C728" s="779" t="s">
        <v>1767</v>
      </c>
      <c r="D728" s="668" t="s">
        <v>686</v>
      </c>
      <c r="E728" s="700" t="str">
        <f t="shared" ref="E728:AC728" si="675">+E257</f>
        <v>Social contributions (D.61r)</v>
      </c>
      <c r="F728" s="1016" t="str">
        <f t="shared" si="675"/>
        <v>YESoc</v>
      </c>
      <c r="G728" s="1018">
        <f t="shared" si="675"/>
        <v>4.4400000000000004E-3</v>
      </c>
      <c r="H728" s="1018">
        <f t="shared" si="675"/>
        <v>4.1399999999999996E-3</v>
      </c>
      <c r="I728" s="1018">
        <f t="shared" si="675"/>
        <v>5.7199999999999994E-3</v>
      </c>
      <c r="J728" s="1018">
        <f t="shared" si="675"/>
        <v>7.0899999999999999E-3</v>
      </c>
      <c r="K728" s="1018">
        <f t="shared" si="675"/>
        <v>7.7400000000000004E-3</v>
      </c>
      <c r="L728" s="1018">
        <f t="shared" si="675"/>
        <v>6.1700000000000001E-3</v>
      </c>
      <c r="M728" s="1018">
        <f t="shared" si="675"/>
        <v>4.5999999999999999E-3</v>
      </c>
      <c r="N728" s="1018">
        <f t="shared" si="675"/>
        <v>4.3699999999999998E-3</v>
      </c>
      <c r="O728" s="1018">
        <f t="shared" si="675"/>
        <v>5.2900000000000004E-3</v>
      </c>
      <c r="P728" s="1018">
        <f t="shared" si="675"/>
        <v>5.6229999999999995E-2</v>
      </c>
      <c r="Q728" s="1018">
        <f t="shared" si="675"/>
        <v>0.17993000000000001</v>
      </c>
      <c r="R728" s="1018">
        <f t="shared" si="675"/>
        <v>0.26597999999999999</v>
      </c>
      <c r="S728" s="1018">
        <f t="shared" si="675"/>
        <v>0.39018000000000003</v>
      </c>
      <c r="T728" s="1018">
        <f t="shared" si="675"/>
        <v>0.47537999999999997</v>
      </c>
      <c r="U728" s="1018">
        <f t="shared" si="675"/>
        <v>0.24734999999999999</v>
      </c>
      <c r="V728" s="3011">
        <f t="shared" si="675"/>
        <v>0.21381999999999998</v>
      </c>
      <c r="W728" s="3011">
        <f t="shared" si="675"/>
        <v>0.25058000000000002</v>
      </c>
      <c r="X728" s="3011">
        <f t="shared" si="675"/>
        <v>0.21143000000000001</v>
      </c>
      <c r="Y728" s="3011">
        <f t="shared" si="675"/>
        <v>0.29031000000000001</v>
      </c>
      <c r="Z728" s="3011">
        <f t="shared" si="675"/>
        <v>0.27892</v>
      </c>
      <c r="AA728" s="3011">
        <f t="shared" si="675"/>
        <v>0.30210000000000004</v>
      </c>
      <c r="AB728" s="3011">
        <f t="shared" si="675"/>
        <v>0.31881999999999999</v>
      </c>
      <c r="AC728" s="3011">
        <f t="shared" si="675"/>
        <v>0.33794920000000001</v>
      </c>
      <c r="AD728" s="3011">
        <f>+AD257</f>
        <v>0.35822615200000002</v>
      </c>
      <c r="AE728" s="3011">
        <f>+AE257</f>
        <v>0.37971972112000002</v>
      </c>
    </row>
    <row r="729" spans="1:31" ht="12.75" customHeight="1">
      <c r="A729" s="664"/>
      <c r="B729" s="664"/>
      <c r="C729" s="782" t="s">
        <v>1767</v>
      </c>
      <c r="D729" s="674" t="s">
        <v>686</v>
      </c>
      <c r="E729" s="783" t="str">
        <f t="shared" ref="E729:AC729" si="676">+E326</f>
        <v>Other current transfers (D.7r)</v>
      </c>
      <c r="F729" s="1017" t="str">
        <f t="shared" si="676"/>
        <v>YETO</v>
      </c>
      <c r="G729" s="1019">
        <f t="shared" si="676"/>
        <v>2.1780000000000001E-2</v>
      </c>
      <c r="H729" s="1019">
        <f t="shared" si="676"/>
        <v>1.8239999999999999E-2</v>
      </c>
      <c r="I729" s="1019">
        <f t="shared" si="676"/>
        <v>0.11393</v>
      </c>
      <c r="J729" s="1019">
        <f t="shared" si="676"/>
        <v>0.13008</v>
      </c>
      <c r="K729" s="1019">
        <f t="shared" si="676"/>
        <v>0.15775999999999998</v>
      </c>
      <c r="L729" s="1019">
        <f t="shared" si="676"/>
        <v>0.11975</v>
      </c>
      <c r="M729" s="1019">
        <f t="shared" si="676"/>
        <v>0.12631999999999999</v>
      </c>
      <c r="N729" s="1019">
        <f t="shared" si="676"/>
        <v>0.19588</v>
      </c>
      <c r="O729" s="1019">
        <f t="shared" si="676"/>
        <v>0.14812999999999998</v>
      </c>
      <c r="P729" s="1019">
        <f t="shared" si="676"/>
        <v>0.18512999999999999</v>
      </c>
      <c r="Q729" s="1019">
        <f t="shared" si="676"/>
        <v>0.19778000000000001</v>
      </c>
      <c r="R729" s="1019">
        <f t="shared" si="676"/>
        <v>0.35533999999999999</v>
      </c>
      <c r="S729" s="1019">
        <f t="shared" si="676"/>
        <v>0.38927999999999996</v>
      </c>
      <c r="T729" s="1019">
        <f t="shared" si="676"/>
        <v>0.46614999999999995</v>
      </c>
      <c r="U729" s="1019">
        <f t="shared" si="676"/>
        <v>0.41881000000000002</v>
      </c>
      <c r="V729" s="3012">
        <f t="shared" si="676"/>
        <v>0.40181</v>
      </c>
      <c r="W729" s="3012">
        <f t="shared" si="676"/>
        <v>0.44327</v>
      </c>
      <c r="X729" s="3012">
        <f t="shared" si="676"/>
        <v>0.39974999999999999</v>
      </c>
      <c r="Y729" s="3012">
        <f t="shared" si="676"/>
        <v>0.43422000000000005</v>
      </c>
      <c r="Z729" s="3012">
        <f t="shared" si="676"/>
        <v>0.46385000000000004</v>
      </c>
      <c r="AA729" s="3012">
        <f t="shared" si="676"/>
        <v>0.49933</v>
      </c>
      <c r="AB729" s="3012">
        <f t="shared" si="676"/>
        <v>0.49392000000000003</v>
      </c>
      <c r="AC729" s="3012">
        <f t="shared" si="676"/>
        <v>0.51861600000000008</v>
      </c>
      <c r="AD729" s="3012">
        <f>+AD326</f>
        <v>0.54454680000000011</v>
      </c>
      <c r="AE729" s="3012">
        <f>+AE326</f>
        <v>0.57177414000000015</v>
      </c>
    </row>
    <row r="730" spans="1:31" ht="12.75" customHeight="1">
      <c r="A730" s="664"/>
      <c r="B730" s="664"/>
      <c r="C730" s="782" t="s">
        <v>401</v>
      </c>
      <c r="D730" s="674" t="s">
        <v>686</v>
      </c>
      <c r="E730" s="783" t="str">
        <f t="shared" ref="E730:AC730" si="677">+E299</f>
        <v>Social benefits (D.62p)</v>
      </c>
      <c r="F730" s="1017" t="str">
        <f t="shared" si="677"/>
        <v>$ETSoc</v>
      </c>
      <c r="G730" s="1019">
        <f t="shared" si="677"/>
        <v>4.4400000000000004E-3</v>
      </c>
      <c r="H730" s="1019">
        <f t="shared" si="677"/>
        <v>4.1399999999999996E-3</v>
      </c>
      <c r="I730" s="1019">
        <f t="shared" si="677"/>
        <v>5.7199999999999994E-3</v>
      </c>
      <c r="J730" s="1019">
        <f t="shared" si="677"/>
        <v>7.0899999999999999E-3</v>
      </c>
      <c r="K730" s="1019">
        <f t="shared" si="677"/>
        <v>7.7400000000000004E-3</v>
      </c>
      <c r="L730" s="1019">
        <f t="shared" si="677"/>
        <v>6.1700000000000001E-3</v>
      </c>
      <c r="M730" s="1019">
        <f t="shared" si="677"/>
        <v>4.5999999999999999E-3</v>
      </c>
      <c r="N730" s="1019">
        <f t="shared" si="677"/>
        <v>4.3699999999999998E-3</v>
      </c>
      <c r="O730" s="1019">
        <f t="shared" si="677"/>
        <v>5.2900000000000004E-3</v>
      </c>
      <c r="P730" s="1019">
        <f t="shared" si="677"/>
        <v>6.0899999999999999E-3</v>
      </c>
      <c r="Q730" s="1019">
        <f t="shared" si="677"/>
        <v>9.0659999999999991E-2</v>
      </c>
      <c r="R730" s="1019">
        <f t="shared" si="677"/>
        <v>0.11231999999999999</v>
      </c>
      <c r="S730" s="1019">
        <f t="shared" si="677"/>
        <v>0.14411000000000002</v>
      </c>
      <c r="T730" s="1019">
        <f t="shared" si="677"/>
        <v>0.16861999999999999</v>
      </c>
      <c r="U730" s="1019">
        <f t="shared" si="677"/>
        <v>0.12520999999999999</v>
      </c>
      <c r="V730" s="3012">
        <f t="shared" si="677"/>
        <v>0.11831</v>
      </c>
      <c r="W730" s="3012">
        <f t="shared" si="677"/>
        <v>0.15762999999999999</v>
      </c>
      <c r="X730" s="3012">
        <f t="shared" si="677"/>
        <v>0.13691999999999999</v>
      </c>
      <c r="Y730" s="3012">
        <f t="shared" si="677"/>
        <v>0.15028</v>
      </c>
      <c r="Z730" s="3012">
        <f t="shared" si="677"/>
        <v>0.15912000000000001</v>
      </c>
      <c r="AA730" s="3012">
        <f t="shared" si="677"/>
        <v>0.17338000000000001</v>
      </c>
      <c r="AB730" s="3012">
        <f t="shared" si="677"/>
        <v>0.18775999999999998</v>
      </c>
      <c r="AC730" s="3012">
        <f t="shared" si="677"/>
        <v>0.19620919999999997</v>
      </c>
      <c r="AD730" s="3012">
        <f>+AD299</f>
        <v>0.20503861399999995</v>
      </c>
      <c r="AE730" s="3012">
        <f>+AE299</f>
        <v>0.21426535162999993</v>
      </c>
    </row>
    <row r="731" spans="1:31" ht="12.75" customHeight="1">
      <c r="A731" s="664"/>
      <c r="B731" s="664"/>
      <c r="C731" s="782" t="s">
        <v>401</v>
      </c>
      <c r="D731" s="674" t="s">
        <v>686</v>
      </c>
      <c r="E731" s="783" t="str">
        <f t="shared" ref="E731:AC731" si="678">+E325</f>
        <v>Other current transfers (D.7p)</v>
      </c>
      <c r="F731" s="1017" t="str">
        <f t="shared" si="678"/>
        <v>$ETO</v>
      </c>
      <c r="G731" s="1019">
        <f t="shared" si="678"/>
        <v>0.29097000000000001</v>
      </c>
      <c r="H731" s="1019">
        <f t="shared" si="678"/>
        <v>0.36098000000000002</v>
      </c>
      <c r="I731" s="1019">
        <f t="shared" si="678"/>
        <v>0.36907999999999996</v>
      </c>
      <c r="J731" s="1019">
        <f t="shared" si="678"/>
        <v>0.30886000000000002</v>
      </c>
      <c r="K731" s="1019">
        <f t="shared" si="678"/>
        <v>0.27594000000000002</v>
      </c>
      <c r="L731" s="1019">
        <f t="shared" si="678"/>
        <v>0.25236999999999998</v>
      </c>
      <c r="M731" s="1019">
        <f t="shared" si="678"/>
        <v>0.24536000000000002</v>
      </c>
      <c r="N731" s="1019">
        <f t="shared" si="678"/>
        <v>0.27867000000000003</v>
      </c>
      <c r="O731" s="1019">
        <f t="shared" si="678"/>
        <v>0.18616999999999997</v>
      </c>
      <c r="P731" s="1019">
        <f t="shared" si="678"/>
        <v>0.23157</v>
      </c>
      <c r="Q731" s="1019">
        <f t="shared" si="678"/>
        <v>0.32592000000000004</v>
      </c>
      <c r="R731" s="1019">
        <f t="shared" si="678"/>
        <v>0.32991000000000004</v>
      </c>
      <c r="S731" s="1019">
        <f t="shared" si="678"/>
        <v>0.40314</v>
      </c>
      <c r="T731" s="1019">
        <f t="shared" si="678"/>
        <v>0.79137000000000002</v>
      </c>
      <c r="U731" s="1019">
        <f t="shared" si="678"/>
        <v>0.71341999999999994</v>
      </c>
      <c r="V731" s="3012">
        <f t="shared" si="678"/>
        <v>0.64309000000000005</v>
      </c>
      <c r="W731" s="3012">
        <f t="shared" si="678"/>
        <v>0.71772999999999998</v>
      </c>
      <c r="X731" s="3012">
        <f t="shared" si="678"/>
        <v>0.68996000000000002</v>
      </c>
      <c r="Y731" s="3012">
        <f t="shared" si="678"/>
        <v>0.71371000000000007</v>
      </c>
      <c r="Z731" s="3012">
        <f t="shared" si="678"/>
        <v>0.72487999999999997</v>
      </c>
      <c r="AA731" s="3012">
        <f t="shared" si="678"/>
        <v>0.77882000000000007</v>
      </c>
      <c r="AB731" s="3012">
        <f t="shared" si="678"/>
        <v>0.83196000000000003</v>
      </c>
      <c r="AC731" s="3012">
        <f t="shared" si="678"/>
        <v>0.89851680000000012</v>
      </c>
      <c r="AD731" s="3012">
        <f>+AD325</f>
        <v>0.97039814400000024</v>
      </c>
      <c r="AE731" s="3012">
        <f>+AE325</f>
        <v>1.0480299955200003</v>
      </c>
    </row>
    <row r="732" spans="1:31" ht="12.75" customHeight="1">
      <c r="A732" s="664"/>
      <c r="B732" s="664">
        <v>106</v>
      </c>
      <c r="C732" s="784" t="s">
        <v>1769</v>
      </c>
      <c r="D732" s="752" t="s">
        <v>686</v>
      </c>
      <c r="E732" s="753" t="s">
        <v>208</v>
      </c>
      <c r="F732" s="1022" t="s">
        <v>209</v>
      </c>
      <c r="G732" s="785">
        <f t="shared" ref="G732:Q732" si="679">+G728+G729-G730-G731</f>
        <v>-0.26918999999999998</v>
      </c>
      <c r="H732" s="785">
        <f t="shared" si="679"/>
        <v>-0.34274000000000004</v>
      </c>
      <c r="I732" s="785">
        <f t="shared" si="679"/>
        <v>-0.25514999999999999</v>
      </c>
      <c r="J732" s="785">
        <f t="shared" si="679"/>
        <v>-0.17878000000000002</v>
      </c>
      <c r="K732" s="785">
        <f t="shared" si="679"/>
        <v>-0.11818000000000004</v>
      </c>
      <c r="L732" s="785">
        <f t="shared" si="679"/>
        <v>-0.13261999999999996</v>
      </c>
      <c r="M732" s="785">
        <f t="shared" si="679"/>
        <v>-0.11904000000000003</v>
      </c>
      <c r="N732" s="785">
        <f t="shared" si="679"/>
        <v>-8.279000000000003E-2</v>
      </c>
      <c r="O732" s="785">
        <f t="shared" si="679"/>
        <v>-3.803999999999999E-2</v>
      </c>
      <c r="P732" s="785">
        <f t="shared" si="679"/>
        <v>3.6999999999999811E-3</v>
      </c>
      <c r="Q732" s="785">
        <f t="shared" si="679"/>
        <v>-3.8870000000000016E-2</v>
      </c>
      <c r="R732" s="785">
        <f t="shared" ref="R732:Y732" si="680">+R728+R729-R730-R731</f>
        <v>0.17908999999999997</v>
      </c>
      <c r="S732" s="785">
        <f t="shared" si="680"/>
        <v>0.23221000000000008</v>
      </c>
      <c r="T732" s="785">
        <f>+T728+T729-T730-T731</f>
        <v>-1.8460000000000032E-2</v>
      </c>
      <c r="U732" s="785">
        <f>+U728+U729-U730-U731</f>
        <v>-0.1724699999999999</v>
      </c>
      <c r="V732" s="844">
        <f t="shared" si="680"/>
        <v>-0.14577000000000007</v>
      </c>
      <c r="W732" s="844">
        <f t="shared" si="680"/>
        <v>-0.18150999999999984</v>
      </c>
      <c r="X732" s="844">
        <f t="shared" si="680"/>
        <v>-0.21569999999999995</v>
      </c>
      <c r="Y732" s="844">
        <f t="shared" si="680"/>
        <v>-0.13945999999999992</v>
      </c>
      <c r="Z732" s="844">
        <f t="shared" ref="Z732:AE732" si="681">+Z728+Z729-Z730-Z731</f>
        <v>-0.14122999999999997</v>
      </c>
      <c r="AA732" s="844">
        <f t="shared" si="681"/>
        <v>-0.15076999999999996</v>
      </c>
      <c r="AB732" s="844">
        <f t="shared" si="681"/>
        <v>-0.20697999999999994</v>
      </c>
      <c r="AC732" s="844">
        <f t="shared" si="681"/>
        <v>-0.23816079999999995</v>
      </c>
      <c r="AD732" s="844">
        <f t="shared" si="681"/>
        <v>-0.27266380600000018</v>
      </c>
      <c r="AE732" s="844">
        <f t="shared" si="681"/>
        <v>-0.31080148603000013</v>
      </c>
    </row>
    <row r="733" spans="1:31">
      <c r="Q733" s="699"/>
      <c r="AB733" s="2221"/>
      <c r="AC733" s="2221"/>
      <c r="AD733" s="2221"/>
      <c r="AE733" s="2221"/>
    </row>
    <row r="734" spans="1:31" ht="12.75" customHeight="1">
      <c r="A734" s="664"/>
      <c r="B734" s="664"/>
      <c r="C734" s="774"/>
      <c r="D734" s="775"/>
      <c r="E734" s="776" t="s">
        <v>1384</v>
      </c>
      <c r="F734" s="777"/>
      <c r="G734" s="778">
        <f>+InputY!$G$3</f>
        <v>1995</v>
      </c>
      <c r="H734" s="778">
        <f>+G734+1</f>
        <v>1996</v>
      </c>
      <c r="I734" s="778">
        <f t="shared" ref="I734:O734" si="682">+H734+1</f>
        <v>1997</v>
      </c>
      <c r="J734" s="778">
        <f t="shared" si="682"/>
        <v>1998</v>
      </c>
      <c r="K734" s="778">
        <f>+J734+1</f>
        <v>1999</v>
      </c>
      <c r="L734" s="778">
        <f t="shared" si="682"/>
        <v>2000</v>
      </c>
      <c r="M734" s="778">
        <f t="shared" si="682"/>
        <v>2001</v>
      </c>
      <c r="N734" s="778">
        <f t="shared" si="682"/>
        <v>2002</v>
      </c>
      <c r="O734" s="778">
        <f t="shared" si="682"/>
        <v>2003</v>
      </c>
      <c r="P734" s="778">
        <f>+O734+1</f>
        <v>2004</v>
      </c>
      <c r="Q734" s="778">
        <f>+P734+1</f>
        <v>2005</v>
      </c>
      <c r="R734" s="778">
        <f>+Q734+1</f>
        <v>2006</v>
      </c>
      <c r="S734" s="778">
        <f t="shared" ref="S734:X734" si="683">+R734+1</f>
        <v>2007</v>
      </c>
      <c r="T734" s="778">
        <f t="shared" si="683"/>
        <v>2008</v>
      </c>
      <c r="U734" s="778">
        <f t="shared" si="683"/>
        <v>2009</v>
      </c>
      <c r="V734" s="778">
        <f t="shared" si="683"/>
        <v>2010</v>
      </c>
      <c r="W734" s="778">
        <f t="shared" si="683"/>
        <v>2011</v>
      </c>
      <c r="X734" s="778">
        <f t="shared" si="683"/>
        <v>2012</v>
      </c>
      <c r="Y734" s="778">
        <f t="shared" ref="Y734:AE734" si="684">+X734+1</f>
        <v>2013</v>
      </c>
      <c r="Z734" s="778">
        <f t="shared" si="684"/>
        <v>2014</v>
      </c>
      <c r="AA734" s="778">
        <f t="shared" si="684"/>
        <v>2015</v>
      </c>
      <c r="AB734" s="778">
        <f t="shared" si="684"/>
        <v>2016</v>
      </c>
      <c r="AC734" s="778">
        <f t="shared" si="684"/>
        <v>2017</v>
      </c>
      <c r="AD734" s="778">
        <f t="shared" si="684"/>
        <v>2018</v>
      </c>
      <c r="AE734" s="778">
        <f t="shared" si="684"/>
        <v>2019</v>
      </c>
    </row>
    <row r="735" spans="1:31" ht="12.75" customHeight="1">
      <c r="A735" s="664"/>
      <c r="B735" s="664"/>
      <c r="C735" s="779" t="s">
        <v>1767</v>
      </c>
      <c r="D735" s="668" t="s">
        <v>686</v>
      </c>
      <c r="E735" s="700" t="s">
        <v>376</v>
      </c>
      <c r="F735" s="1016" t="s">
        <v>1558</v>
      </c>
      <c r="G735" s="780">
        <f>+'VVP2'!G230</f>
        <v>1.0315099999999999</v>
      </c>
      <c r="H735" s="780">
        <f>+'VVP2'!H230</f>
        <v>1.45316</v>
      </c>
      <c r="I735" s="780">
        <f>+'VVP2'!I230</f>
        <v>1.9308800000000002</v>
      </c>
      <c r="J735" s="780">
        <f>+'VVP2'!J230</f>
        <v>2.1963900000000001</v>
      </c>
      <c r="K735" s="780">
        <f>+'VVP2'!K230</f>
        <v>2.0300199999999999</v>
      </c>
      <c r="L735" s="780">
        <f>+'VVP2'!L230</f>
        <v>1.7495399999999999</v>
      </c>
      <c r="M735" s="780">
        <f>+'VVP2'!M230</f>
        <v>2.0532399999999997</v>
      </c>
      <c r="N735" s="780">
        <f>+'VVP2'!N230</f>
        <v>2.1570999999999998</v>
      </c>
      <c r="O735" s="780">
        <f>+'VVP2'!O230</f>
        <v>2.38741</v>
      </c>
      <c r="P735" s="780">
        <f>+'VVP2'!P230</f>
        <v>2.7249899999999996</v>
      </c>
      <c r="Q735" s="780">
        <f>+'VVP2'!Q230</f>
        <v>3.3142499999999999</v>
      </c>
      <c r="R735" s="780">
        <f>+'VVP2'!R230</f>
        <v>4.3358999999999996</v>
      </c>
      <c r="S735" s="780">
        <f>+'VVP2'!S230</f>
        <v>5.6438000000000006</v>
      </c>
      <c r="T735" s="780">
        <f>+'VVP2'!T230</f>
        <v>5.4749799999999995</v>
      </c>
      <c r="U735" s="780">
        <f>+'VVP2'!U230</f>
        <v>2.6641699999999999</v>
      </c>
      <c r="V735" s="846">
        <f>+'VVP2'!V230</f>
        <v>2.41317</v>
      </c>
      <c r="W735" s="846">
        <f>+'VVP2'!W230</f>
        <v>3.25813</v>
      </c>
      <c r="X735" s="846">
        <f>+'VVP2'!X230</f>
        <v>3.45871</v>
      </c>
      <c r="Y735" s="846">
        <f>+'VVP2'!Y230</f>
        <v>3.9040300000000001</v>
      </c>
      <c r="Z735" s="846">
        <f>+'VVP2'!Z230</f>
        <v>4.2507999999999999</v>
      </c>
      <c r="AA735" s="846">
        <f>+'VVP2'!AA230</f>
        <v>4.3872</v>
      </c>
      <c r="AB735" s="846">
        <f>+'VVP2'!AB230</f>
        <v>4.4183300000000001</v>
      </c>
      <c r="AC735" s="846">
        <f ca="1">+'VVP2'!AC230</f>
        <v>4.8402273491796706</v>
      </c>
      <c r="AD735" s="846">
        <f ca="1">+'VVP2'!AD230</f>
        <v>5.3913625170022881</v>
      </c>
      <c r="AE735" s="846">
        <f ca="1">+'VVP2'!AE230</f>
        <v>5.7944843096866441</v>
      </c>
    </row>
    <row r="736" spans="1:31" ht="12.75" customHeight="1">
      <c r="A736" s="664"/>
      <c r="B736" s="664"/>
      <c r="C736" s="782" t="s">
        <v>1767</v>
      </c>
      <c r="D736" s="674" t="s">
        <v>686</v>
      </c>
      <c r="E736" s="783" t="s">
        <v>377</v>
      </c>
      <c r="F736" s="1017" t="s">
        <v>382</v>
      </c>
      <c r="G736" s="706">
        <f t="shared" ref="G736:AC736" si="685">+G542</f>
        <v>0.16175</v>
      </c>
      <c r="H736" s="706">
        <f t="shared" si="685"/>
        <v>4.1340000000000002E-2</v>
      </c>
      <c r="I736" s="706">
        <f t="shared" si="685"/>
        <v>0.19895000000000002</v>
      </c>
      <c r="J736" s="706">
        <f t="shared" si="685"/>
        <v>3.1109999999999999E-2</v>
      </c>
      <c r="K736" s="706">
        <f t="shared" si="685"/>
        <v>-4.0870000000000004E-2</v>
      </c>
      <c r="L736" s="706">
        <f t="shared" si="685"/>
        <v>-4.922E-2</v>
      </c>
      <c r="M736" s="706">
        <f t="shared" si="685"/>
        <v>-0.11035</v>
      </c>
      <c r="N736" s="706">
        <f t="shared" si="685"/>
        <v>-2.018E-2</v>
      </c>
      <c r="O736" s="706">
        <f t="shared" si="685"/>
        <v>3.2250000000000001E-2</v>
      </c>
      <c r="P736" s="706">
        <f t="shared" si="685"/>
        <v>-6.1490000000000003E-2</v>
      </c>
      <c r="Q736" s="706">
        <f t="shared" si="685"/>
        <v>0.17057</v>
      </c>
      <c r="R736" s="706">
        <f t="shared" si="685"/>
        <v>0.16547000000000001</v>
      </c>
      <c r="S736" s="706">
        <f t="shared" si="685"/>
        <v>0.9591900000000001</v>
      </c>
      <c r="T736" s="706">
        <f t="shared" si="685"/>
        <v>0.43486000000000002</v>
      </c>
      <c r="U736" s="706">
        <f t="shared" si="685"/>
        <v>-1.4296800000000001</v>
      </c>
      <c r="V736" s="792">
        <f t="shared" si="685"/>
        <v>0.34223999999999999</v>
      </c>
      <c r="W736" s="792">
        <f t="shared" si="685"/>
        <v>0.94126000000000021</v>
      </c>
      <c r="X736" s="792">
        <f t="shared" si="685"/>
        <v>0.57815000000000005</v>
      </c>
      <c r="Y736" s="792">
        <f t="shared" si="685"/>
        <v>0.23589000000000004</v>
      </c>
      <c r="Z736" s="792">
        <f t="shared" si="685"/>
        <v>2.7549999999999998E-2</v>
      </c>
      <c r="AA736" s="792">
        <f t="shared" si="685"/>
        <v>0.30141000000000007</v>
      </c>
      <c r="AB736" s="792">
        <f t="shared" si="685"/>
        <v>-0.68081999999999998</v>
      </c>
      <c r="AC736" s="792">
        <f t="shared" ca="1" si="685"/>
        <v>-0.68081999999999998</v>
      </c>
      <c r="AD736" s="792">
        <f ca="1">+AD542</f>
        <v>-0.68081999999999998</v>
      </c>
      <c r="AE736" s="792">
        <f ca="1">+AE542</f>
        <v>-0.68081999999999998</v>
      </c>
    </row>
    <row r="737" spans="1:31" ht="12.75" customHeight="1">
      <c r="A737" s="664"/>
      <c r="B737" s="664">
        <v>109</v>
      </c>
      <c r="C737" s="784" t="s">
        <v>1769</v>
      </c>
      <c r="D737" s="752" t="s">
        <v>686</v>
      </c>
      <c r="E737" s="753" t="s">
        <v>583</v>
      </c>
      <c r="F737" s="754"/>
      <c r="G737" s="785">
        <f t="shared" ref="G737:Q737" si="686">+G735+G736</f>
        <v>1.19326</v>
      </c>
      <c r="H737" s="785">
        <f t="shared" si="686"/>
        <v>1.4944999999999999</v>
      </c>
      <c r="I737" s="785">
        <f t="shared" si="686"/>
        <v>2.1298300000000001</v>
      </c>
      <c r="J737" s="785">
        <f t="shared" si="686"/>
        <v>2.2275</v>
      </c>
      <c r="K737" s="785">
        <f t="shared" si="686"/>
        <v>1.98915</v>
      </c>
      <c r="L737" s="785">
        <f t="shared" si="686"/>
        <v>1.7003199999999998</v>
      </c>
      <c r="M737" s="785">
        <f t="shared" si="686"/>
        <v>1.9428899999999998</v>
      </c>
      <c r="N737" s="785">
        <f t="shared" si="686"/>
        <v>2.1369199999999999</v>
      </c>
      <c r="O737" s="785">
        <f t="shared" si="686"/>
        <v>2.4196599999999999</v>
      </c>
      <c r="P737" s="785">
        <f t="shared" si="686"/>
        <v>2.6634999999999995</v>
      </c>
      <c r="Q737" s="785">
        <f t="shared" si="686"/>
        <v>3.48482</v>
      </c>
      <c r="R737" s="785">
        <f t="shared" ref="R737:Y737" si="687">+R735+R736</f>
        <v>4.5013699999999996</v>
      </c>
      <c r="S737" s="785">
        <f t="shared" si="687"/>
        <v>6.602990000000001</v>
      </c>
      <c r="T737" s="785">
        <f>+T735+T736</f>
        <v>5.9098399999999991</v>
      </c>
      <c r="U737" s="785">
        <f>+U735+U736</f>
        <v>1.2344899999999999</v>
      </c>
      <c r="V737" s="844">
        <f t="shared" si="687"/>
        <v>2.7554099999999999</v>
      </c>
      <c r="W737" s="844">
        <f t="shared" si="687"/>
        <v>4.1993900000000002</v>
      </c>
      <c r="X737" s="844">
        <f t="shared" si="687"/>
        <v>4.0368599999999999</v>
      </c>
      <c r="Y737" s="844">
        <f t="shared" si="687"/>
        <v>4.13992</v>
      </c>
      <c r="Z737" s="844">
        <f t="shared" ref="Z737:AE737" si="688">+Z735+Z736</f>
        <v>4.2783499999999997</v>
      </c>
      <c r="AA737" s="844">
        <f t="shared" si="688"/>
        <v>4.6886099999999997</v>
      </c>
      <c r="AB737" s="844">
        <f t="shared" si="688"/>
        <v>3.7375100000000003</v>
      </c>
      <c r="AC737" s="844">
        <f t="shared" ca="1" si="688"/>
        <v>4.1594073491796708</v>
      </c>
      <c r="AD737" s="844">
        <f t="shared" ca="1" si="688"/>
        <v>4.7105425170022883</v>
      </c>
      <c r="AE737" s="844">
        <f t="shared" ca="1" si="688"/>
        <v>5.1136643096866443</v>
      </c>
    </row>
    <row r="738" spans="1:31">
      <c r="Q738" s="699"/>
      <c r="R738" s="699"/>
      <c r="S738" s="699"/>
      <c r="T738" s="699"/>
      <c r="U738" s="699"/>
      <c r="V738" s="843"/>
      <c r="W738" s="843"/>
      <c r="X738" s="843"/>
      <c r="Y738" s="843"/>
      <c r="Z738" s="843"/>
      <c r="AA738" s="843"/>
      <c r="AB738" s="843"/>
      <c r="AC738" s="843"/>
      <c r="AD738" s="843"/>
      <c r="AE738" s="843"/>
    </row>
    <row r="739" spans="1:31" ht="12.75" customHeight="1">
      <c r="A739" s="664"/>
      <c r="B739" s="664"/>
      <c r="C739" s="774"/>
      <c r="D739" s="775"/>
      <c r="E739" s="776" t="s">
        <v>1384</v>
      </c>
      <c r="F739" s="777"/>
      <c r="G739" s="778">
        <f>+InputY!$G$3</f>
        <v>1995</v>
      </c>
      <c r="H739" s="778">
        <f>+G739+1</f>
        <v>1996</v>
      </c>
      <c r="I739" s="778">
        <f t="shared" ref="I739:O739" si="689">+H739+1</f>
        <v>1997</v>
      </c>
      <c r="J739" s="778">
        <f t="shared" si="689"/>
        <v>1998</v>
      </c>
      <c r="K739" s="778">
        <f>+J739+1</f>
        <v>1999</v>
      </c>
      <c r="L739" s="778">
        <f t="shared" si="689"/>
        <v>2000</v>
      </c>
      <c r="M739" s="778">
        <f t="shared" si="689"/>
        <v>2001</v>
      </c>
      <c r="N739" s="778">
        <f t="shared" si="689"/>
        <v>2002</v>
      </c>
      <c r="O739" s="778">
        <f t="shared" si="689"/>
        <v>2003</v>
      </c>
      <c r="P739" s="778">
        <f>+O739+1</f>
        <v>2004</v>
      </c>
      <c r="Q739" s="778">
        <f>+P739+1</f>
        <v>2005</v>
      </c>
      <c r="R739" s="778">
        <f>+Q739+1</f>
        <v>2006</v>
      </c>
      <c r="S739" s="778">
        <f t="shared" ref="S739:X739" si="690">+R739+1</f>
        <v>2007</v>
      </c>
      <c r="T739" s="778">
        <f t="shared" si="690"/>
        <v>2008</v>
      </c>
      <c r="U739" s="778">
        <f t="shared" si="690"/>
        <v>2009</v>
      </c>
      <c r="V739" s="778">
        <f t="shared" si="690"/>
        <v>2010</v>
      </c>
      <c r="W739" s="778">
        <f t="shared" si="690"/>
        <v>2011</v>
      </c>
      <c r="X739" s="778">
        <f t="shared" si="690"/>
        <v>2012</v>
      </c>
      <c r="Y739" s="778">
        <f t="shared" ref="Y739:AE739" si="691">+X739+1</f>
        <v>2013</v>
      </c>
      <c r="Z739" s="778">
        <f t="shared" si="691"/>
        <v>2014</v>
      </c>
      <c r="AA739" s="778">
        <f t="shared" si="691"/>
        <v>2015</v>
      </c>
      <c r="AB739" s="778">
        <f t="shared" si="691"/>
        <v>2016</v>
      </c>
      <c r="AC739" s="778">
        <f t="shared" si="691"/>
        <v>2017</v>
      </c>
      <c r="AD739" s="778">
        <f t="shared" si="691"/>
        <v>2018</v>
      </c>
      <c r="AE739" s="778">
        <f t="shared" si="691"/>
        <v>2019</v>
      </c>
    </row>
    <row r="740" spans="1:31" ht="12.75" customHeight="1">
      <c r="A740" s="664"/>
      <c r="B740" s="664"/>
      <c r="C740" s="779" t="s">
        <v>1767</v>
      </c>
      <c r="D740" s="668" t="s">
        <v>686</v>
      </c>
      <c r="E740" s="700" t="s">
        <v>1324</v>
      </c>
      <c r="F740" s="1016" t="s">
        <v>114</v>
      </c>
      <c r="G740" s="1018">
        <f t="shared" ref="G740:AC740" si="692">-G489</f>
        <v>-3.3049999999999996E-2</v>
      </c>
      <c r="H740" s="1018">
        <f t="shared" si="692"/>
        <v>-0.22208</v>
      </c>
      <c r="I740" s="1018">
        <f t="shared" si="692"/>
        <v>-3.1609999999999999E-2</v>
      </c>
      <c r="J740" s="1018">
        <f t="shared" si="692"/>
        <v>-0.10012</v>
      </c>
      <c r="K740" s="1018">
        <f t="shared" si="692"/>
        <v>-5.3999999999999999E-2</v>
      </c>
      <c r="L740" s="1018">
        <f t="shared" si="692"/>
        <v>-0.12583</v>
      </c>
      <c r="M740" s="1018">
        <f t="shared" si="692"/>
        <v>-0.26213999999999998</v>
      </c>
      <c r="N740" s="1018">
        <f t="shared" si="692"/>
        <v>-0.12173</v>
      </c>
      <c r="O740" s="1018">
        <f t="shared" si="692"/>
        <v>-4.3559999999999995E-2</v>
      </c>
      <c r="P740" s="1018">
        <f t="shared" si="692"/>
        <v>-7.5829999999999995E-2</v>
      </c>
      <c r="Q740" s="1018">
        <f t="shared" si="692"/>
        <v>-5.5099999999999996E-2</v>
      </c>
      <c r="R740" s="1018">
        <f t="shared" si="692"/>
        <v>-0.14396</v>
      </c>
      <c r="S740" s="1018">
        <f t="shared" si="692"/>
        <v>-0.27153000000000005</v>
      </c>
      <c r="T740" s="1018">
        <f t="shared" si="692"/>
        <v>-0.36141000000000001</v>
      </c>
      <c r="U740" s="1018">
        <f t="shared" si="692"/>
        <v>-0.84387999999999996</v>
      </c>
      <c r="V740" s="3011">
        <f t="shared" si="692"/>
        <v>-0.43232999999999999</v>
      </c>
      <c r="W740" s="3011">
        <f t="shared" si="692"/>
        <v>-0.47370999999999996</v>
      </c>
      <c r="X740" s="3011">
        <f t="shared" si="692"/>
        <v>-0.38078000000000001</v>
      </c>
      <c r="Y740" s="3011">
        <f t="shared" si="692"/>
        <v>-0.74426999999999999</v>
      </c>
      <c r="Z740" s="3011">
        <f t="shared" si="692"/>
        <v>-9.0939999999999938E-2</v>
      </c>
      <c r="AA740" s="3011">
        <f t="shared" si="692"/>
        <v>-0.57279000000000013</v>
      </c>
      <c r="AB740" s="3011">
        <f t="shared" si="692"/>
        <v>-0.38400000000000001</v>
      </c>
      <c r="AC740" s="3011">
        <f t="shared" si="692"/>
        <v>-0.35711999999999999</v>
      </c>
      <c r="AD740" s="3011">
        <f>-AD489</f>
        <v>-0.33212159999999996</v>
      </c>
      <c r="AE740" s="3011">
        <f>-AE489</f>
        <v>-0.30887308799999996</v>
      </c>
    </row>
    <row r="741" spans="1:31" ht="12.75" customHeight="1">
      <c r="A741" s="664"/>
      <c r="B741" s="664"/>
      <c r="C741" s="782" t="s">
        <v>1767</v>
      </c>
      <c r="D741" s="674" t="s">
        <v>686</v>
      </c>
      <c r="E741" s="783" t="s">
        <v>375</v>
      </c>
      <c r="F741" s="1017" t="s">
        <v>1557</v>
      </c>
      <c r="G741" s="1019">
        <f t="shared" ref="G741:AC741" si="693">+G520</f>
        <v>0</v>
      </c>
      <c r="H741" s="1019">
        <f t="shared" si="693"/>
        <v>0</v>
      </c>
      <c r="I741" s="1019">
        <f t="shared" si="693"/>
        <v>6.4200000000000004E-3</v>
      </c>
      <c r="J741" s="1019">
        <f t="shared" si="693"/>
        <v>1.3600000000000001E-3</v>
      </c>
      <c r="K741" s="1019">
        <f t="shared" si="693"/>
        <v>4.2699999999999995E-3</v>
      </c>
      <c r="L741" s="1019">
        <f t="shared" si="693"/>
        <v>6.5300000000000002E-3</v>
      </c>
      <c r="M741" s="1019">
        <f t="shared" si="693"/>
        <v>1.7149999999999999E-2</v>
      </c>
      <c r="N741" s="1019">
        <f t="shared" si="693"/>
        <v>1.9890000000000001E-2</v>
      </c>
      <c r="O741" s="1019">
        <f t="shared" si="693"/>
        <v>2.3649999999999997E-2</v>
      </c>
      <c r="P741" s="1019">
        <f t="shared" si="693"/>
        <v>6.8229999999999999E-2</v>
      </c>
      <c r="Q741" s="1019">
        <f t="shared" si="693"/>
        <v>0.18268000000000001</v>
      </c>
      <c r="R741" s="1019">
        <f t="shared" si="693"/>
        <v>0.26053999999999999</v>
      </c>
      <c r="S741" s="1019">
        <f t="shared" si="693"/>
        <v>0.40805999999999998</v>
      </c>
      <c r="T741" s="1019">
        <f t="shared" si="693"/>
        <v>0.16866999999999999</v>
      </c>
      <c r="U741" s="1019">
        <f t="shared" si="693"/>
        <v>-2.4570000000000002E-2</v>
      </c>
      <c r="V741" s="3012">
        <f t="shared" si="693"/>
        <v>-1.6739999999999998E-2</v>
      </c>
      <c r="W741" s="3012">
        <f t="shared" si="693"/>
        <v>0.12236</v>
      </c>
      <c r="X741" s="3012">
        <f t="shared" si="693"/>
        <v>0.1183</v>
      </c>
      <c r="Y741" s="3012">
        <f t="shared" si="693"/>
        <v>9.484999999999999E-2</v>
      </c>
      <c r="Z741" s="3012">
        <f t="shared" si="693"/>
        <v>3.7079999999999995E-2</v>
      </c>
      <c r="AA741" s="3012">
        <f t="shared" si="693"/>
        <v>8.6230000000000001E-2</v>
      </c>
      <c r="AB741" s="3012">
        <f t="shared" si="693"/>
        <v>0.10553</v>
      </c>
      <c r="AC741" s="3012">
        <f t="shared" si="693"/>
        <v>0.10553</v>
      </c>
      <c r="AD741" s="3012">
        <f>+AD520</f>
        <v>0.10553</v>
      </c>
      <c r="AE741" s="3012">
        <f>+AE520</f>
        <v>0.10553</v>
      </c>
    </row>
    <row r="742" spans="1:31" ht="12.75" customHeight="1">
      <c r="A742" s="664"/>
      <c r="B742" s="664">
        <v>110</v>
      </c>
      <c r="C742" s="784" t="s">
        <v>1769</v>
      </c>
      <c r="D742" s="752" t="s">
        <v>686</v>
      </c>
      <c r="E742" s="753" t="s">
        <v>2118</v>
      </c>
      <c r="F742" s="754" t="s">
        <v>207</v>
      </c>
      <c r="G742" s="785">
        <f t="shared" ref="G742:Q742" si="694">+G740+G741</f>
        <v>-3.3049999999999996E-2</v>
      </c>
      <c r="H742" s="785">
        <f t="shared" si="694"/>
        <v>-0.22208</v>
      </c>
      <c r="I742" s="785">
        <f t="shared" si="694"/>
        <v>-2.5189999999999997E-2</v>
      </c>
      <c r="J742" s="785">
        <f t="shared" si="694"/>
        <v>-9.8760000000000001E-2</v>
      </c>
      <c r="K742" s="785">
        <f t="shared" si="694"/>
        <v>-4.9729999999999996E-2</v>
      </c>
      <c r="L742" s="785">
        <f t="shared" si="694"/>
        <v>-0.1193</v>
      </c>
      <c r="M742" s="785">
        <f t="shared" si="694"/>
        <v>-0.24498999999999999</v>
      </c>
      <c r="N742" s="785">
        <f t="shared" si="694"/>
        <v>-0.10184</v>
      </c>
      <c r="O742" s="785">
        <f t="shared" si="694"/>
        <v>-1.9909999999999997E-2</v>
      </c>
      <c r="P742" s="785">
        <f t="shared" si="694"/>
        <v>-7.5999999999999956E-3</v>
      </c>
      <c r="Q742" s="785">
        <f t="shared" si="694"/>
        <v>0.12758000000000003</v>
      </c>
      <c r="R742" s="785">
        <f t="shared" ref="R742:Y742" si="695">+R740+R741</f>
        <v>0.11657999999999999</v>
      </c>
      <c r="S742" s="785">
        <f t="shared" si="695"/>
        <v>0.13652999999999993</v>
      </c>
      <c r="T742" s="785">
        <f>+T740+T741</f>
        <v>-0.19274000000000002</v>
      </c>
      <c r="U742" s="785">
        <f>+U740+U741</f>
        <v>-0.86844999999999994</v>
      </c>
      <c r="V742" s="844">
        <f t="shared" si="695"/>
        <v>-0.44906999999999997</v>
      </c>
      <c r="W742" s="844">
        <f t="shared" si="695"/>
        <v>-0.35134999999999994</v>
      </c>
      <c r="X742" s="844">
        <f t="shared" si="695"/>
        <v>-0.26247999999999999</v>
      </c>
      <c r="Y742" s="844">
        <f t="shared" si="695"/>
        <v>-0.64942</v>
      </c>
      <c r="Z742" s="844">
        <f t="shared" ref="Z742:AE742" si="696">+Z740+Z741</f>
        <v>-5.3859999999999943E-2</v>
      </c>
      <c r="AA742" s="844">
        <f t="shared" si="696"/>
        <v>-0.4865600000000001</v>
      </c>
      <c r="AB742" s="844">
        <f t="shared" si="696"/>
        <v>-0.27847</v>
      </c>
      <c r="AC742" s="844">
        <f t="shared" si="696"/>
        <v>-0.25158999999999998</v>
      </c>
      <c r="AD742" s="844">
        <f t="shared" si="696"/>
        <v>-0.22659159999999995</v>
      </c>
      <c r="AE742" s="844">
        <f t="shared" si="696"/>
        <v>-0.20334308799999995</v>
      </c>
    </row>
    <row r="743" spans="1:31">
      <c r="Q743" s="699"/>
      <c r="R743" s="699"/>
      <c r="S743" s="699"/>
      <c r="T743" s="699"/>
      <c r="U743" s="699"/>
      <c r="V743" s="843"/>
      <c r="W743" s="843"/>
      <c r="X743" s="843"/>
      <c r="Y743" s="843"/>
      <c r="Z743" s="843"/>
      <c r="AA743" s="843"/>
      <c r="AB743" s="843"/>
      <c r="AC743" s="843"/>
      <c r="AD743" s="843"/>
      <c r="AE743" s="843"/>
    </row>
    <row r="744" spans="1:31" ht="12.75" customHeight="1">
      <c r="A744" s="664"/>
      <c r="B744" s="664"/>
      <c r="C744" s="774"/>
      <c r="D744" s="775"/>
      <c r="E744" s="776" t="s">
        <v>1384</v>
      </c>
      <c r="F744" s="777"/>
      <c r="G744" s="778">
        <f>+InputY!$G$3</f>
        <v>1995</v>
      </c>
      <c r="H744" s="778">
        <f>+G744+1</f>
        <v>1996</v>
      </c>
      <c r="I744" s="778">
        <f t="shared" ref="I744:O744" si="697">+H744+1</f>
        <v>1997</v>
      </c>
      <c r="J744" s="778">
        <f t="shared" si="697"/>
        <v>1998</v>
      </c>
      <c r="K744" s="778">
        <f>+J744+1</f>
        <v>1999</v>
      </c>
      <c r="L744" s="778">
        <f t="shared" si="697"/>
        <v>2000</v>
      </c>
      <c r="M744" s="778">
        <f t="shared" si="697"/>
        <v>2001</v>
      </c>
      <c r="N744" s="778">
        <f t="shared" si="697"/>
        <v>2002</v>
      </c>
      <c r="O744" s="778">
        <f t="shared" si="697"/>
        <v>2003</v>
      </c>
      <c r="P744" s="778">
        <f>+O744+1</f>
        <v>2004</v>
      </c>
      <c r="Q744" s="778">
        <f>+P744+1</f>
        <v>2005</v>
      </c>
      <c r="R744" s="778">
        <f>+Q744+1</f>
        <v>2006</v>
      </c>
      <c r="S744" s="778">
        <f t="shared" ref="S744:X744" si="698">+R744+1</f>
        <v>2007</v>
      </c>
      <c r="T744" s="778">
        <f t="shared" si="698"/>
        <v>2008</v>
      </c>
      <c r="U744" s="778">
        <f t="shared" si="698"/>
        <v>2009</v>
      </c>
      <c r="V744" s="778">
        <f t="shared" si="698"/>
        <v>2010</v>
      </c>
      <c r="W744" s="778">
        <f t="shared" si="698"/>
        <v>2011</v>
      </c>
      <c r="X744" s="778">
        <f t="shared" si="698"/>
        <v>2012</v>
      </c>
      <c r="Y744" s="778">
        <f t="shared" ref="Y744:AE744" si="699">+X744+1</f>
        <v>2013</v>
      </c>
      <c r="Z744" s="778">
        <f t="shared" si="699"/>
        <v>2014</v>
      </c>
      <c r="AA744" s="778">
        <f t="shared" si="699"/>
        <v>2015</v>
      </c>
      <c r="AB744" s="778">
        <f t="shared" si="699"/>
        <v>2016</v>
      </c>
      <c r="AC744" s="778">
        <f t="shared" si="699"/>
        <v>2017</v>
      </c>
      <c r="AD744" s="778">
        <f t="shared" si="699"/>
        <v>2018</v>
      </c>
      <c r="AE744" s="778">
        <f t="shared" si="699"/>
        <v>2019</v>
      </c>
    </row>
    <row r="745" spans="1:31" ht="12.75" customHeight="1">
      <c r="A745" s="664"/>
      <c r="B745" s="664"/>
      <c r="C745" s="779" t="s">
        <v>1767</v>
      </c>
      <c r="D745" s="668" t="s">
        <v>687</v>
      </c>
      <c r="E745" s="780" t="s">
        <v>1375</v>
      </c>
      <c r="F745" s="701" t="s">
        <v>218</v>
      </c>
      <c r="G745" s="780">
        <f t="shared" ref="G745:AC745" si="700">+G48</f>
        <v>0</v>
      </c>
      <c r="H745" s="780">
        <f t="shared" si="700"/>
        <v>0</v>
      </c>
      <c r="I745" s="780">
        <f t="shared" si="700"/>
        <v>0</v>
      </c>
      <c r="J745" s="780">
        <f t="shared" si="700"/>
        <v>0</v>
      </c>
      <c r="K745" s="780">
        <f t="shared" si="700"/>
        <v>0</v>
      </c>
      <c r="L745" s="780">
        <f t="shared" si="700"/>
        <v>0</v>
      </c>
      <c r="M745" s="780">
        <f t="shared" si="700"/>
        <v>0</v>
      </c>
      <c r="N745" s="780">
        <f t="shared" si="700"/>
        <v>0</v>
      </c>
      <c r="O745" s="780">
        <f t="shared" si="700"/>
        <v>0</v>
      </c>
      <c r="P745" s="780">
        <f t="shared" si="700"/>
        <v>0</v>
      </c>
      <c r="Q745" s="780">
        <f t="shared" si="700"/>
        <v>0</v>
      </c>
      <c r="R745" s="780">
        <f t="shared" si="700"/>
        <v>0</v>
      </c>
      <c r="S745" s="780">
        <f t="shared" si="700"/>
        <v>0</v>
      </c>
      <c r="T745" s="780">
        <f t="shared" si="700"/>
        <v>0</v>
      </c>
      <c r="U745" s="780">
        <f t="shared" si="700"/>
        <v>0</v>
      </c>
      <c r="V745" s="846">
        <f t="shared" si="700"/>
        <v>0</v>
      </c>
      <c r="W745" s="846">
        <f t="shared" si="700"/>
        <v>0</v>
      </c>
      <c r="X745" s="846">
        <f t="shared" si="700"/>
        <v>0</v>
      </c>
      <c r="Y745" s="846">
        <f t="shared" si="700"/>
        <v>0</v>
      </c>
      <c r="Z745" s="846">
        <f t="shared" si="700"/>
        <v>0</v>
      </c>
      <c r="AA745" s="846">
        <f t="shared" si="700"/>
        <v>0</v>
      </c>
      <c r="AB745" s="846">
        <f t="shared" si="700"/>
        <v>0</v>
      </c>
      <c r="AC745" s="846">
        <f t="shared" si="700"/>
        <v>0</v>
      </c>
      <c r="AD745" s="846">
        <f>+AD48</f>
        <v>0</v>
      </c>
      <c r="AE745" s="846">
        <f>+AE48</f>
        <v>0</v>
      </c>
    </row>
    <row r="746" spans="1:31" ht="12.75" customHeight="1">
      <c r="A746" s="664"/>
      <c r="B746" s="664"/>
      <c r="C746" s="782" t="s">
        <v>1767</v>
      </c>
      <c r="D746" s="1041" t="s">
        <v>687</v>
      </c>
      <c r="E746" s="1044" t="s">
        <v>852</v>
      </c>
      <c r="F746" s="704" t="s">
        <v>2094</v>
      </c>
      <c r="G746" s="706">
        <f t="shared" ref="G746:AC746" si="701">+G137</f>
        <v>2.7739999999999997E-2</v>
      </c>
      <c r="H746" s="706">
        <f t="shared" si="701"/>
        <v>3.005E-2</v>
      </c>
      <c r="I746" s="706">
        <f t="shared" si="701"/>
        <v>5.4469999999999998E-2</v>
      </c>
      <c r="J746" s="706">
        <f t="shared" si="701"/>
        <v>0.15242</v>
      </c>
      <c r="K746" s="706">
        <f t="shared" si="701"/>
        <v>0.15071999999999999</v>
      </c>
      <c r="L746" s="706">
        <f t="shared" si="701"/>
        <v>0.17279</v>
      </c>
      <c r="M746" s="706">
        <f t="shared" si="701"/>
        <v>0.21227000000000001</v>
      </c>
      <c r="N746" s="706">
        <f t="shared" si="701"/>
        <v>0.16736000000000001</v>
      </c>
      <c r="O746" s="706">
        <f t="shared" si="701"/>
        <v>0.15512999999999999</v>
      </c>
      <c r="P746" s="706">
        <f t="shared" si="701"/>
        <v>0.14368999999999998</v>
      </c>
      <c r="Q746" s="706">
        <f t="shared" si="701"/>
        <v>0.16131999999999999</v>
      </c>
      <c r="R746" s="706">
        <f t="shared" si="701"/>
        <v>0.14407</v>
      </c>
      <c r="S746" s="706">
        <f t="shared" si="701"/>
        <v>0.17216999999999999</v>
      </c>
      <c r="T746" s="706">
        <f t="shared" si="701"/>
        <v>0.19849</v>
      </c>
      <c r="U746" s="706">
        <f t="shared" si="701"/>
        <v>0.16755</v>
      </c>
      <c r="V746" s="792">
        <f t="shared" si="701"/>
        <v>0.1923</v>
      </c>
      <c r="W746" s="792">
        <f t="shared" si="701"/>
        <v>0.17241000000000001</v>
      </c>
      <c r="X746" s="792">
        <f t="shared" si="701"/>
        <v>0.20311999999999999</v>
      </c>
      <c r="Y746" s="792">
        <f t="shared" si="701"/>
        <v>0.12808</v>
      </c>
      <c r="Z746" s="792">
        <f t="shared" si="701"/>
        <v>0.13741</v>
      </c>
      <c r="AA746" s="1312">
        <f>+AA137</f>
        <v>0.14858000000000002</v>
      </c>
      <c r="AB746" s="792">
        <f t="shared" si="701"/>
        <v>0.18825999999999998</v>
      </c>
      <c r="AC746" s="792">
        <f t="shared" si="701"/>
        <v>0.21649899999999997</v>
      </c>
      <c r="AD746" s="792">
        <f>+AD137</f>
        <v>0.2381489</v>
      </c>
      <c r="AE746" s="792">
        <f>+AE137</f>
        <v>0.25243783400000003</v>
      </c>
    </row>
    <row r="747" spans="1:31" ht="12.75" customHeight="1">
      <c r="A747" s="664"/>
      <c r="B747" s="664"/>
      <c r="C747" s="782" t="s">
        <v>1767</v>
      </c>
      <c r="D747" s="674" t="s">
        <v>687</v>
      </c>
      <c r="E747" s="706" t="s">
        <v>1336</v>
      </c>
      <c r="F747" s="704" t="s">
        <v>317</v>
      </c>
      <c r="G747" s="706">
        <f t="shared" ref="G747:AC747" si="702">+G328</f>
        <v>0.32274000000000003</v>
      </c>
      <c r="H747" s="706">
        <f t="shared" si="702"/>
        <v>0.47088999999999998</v>
      </c>
      <c r="I747" s="706">
        <f t="shared" si="702"/>
        <v>0.621</v>
      </c>
      <c r="J747" s="706">
        <f t="shared" si="702"/>
        <v>0.37545999999999996</v>
      </c>
      <c r="K747" s="706">
        <f t="shared" si="702"/>
        <v>0.2334</v>
      </c>
      <c r="L747" s="706">
        <f t="shared" si="702"/>
        <v>0.31313000000000002</v>
      </c>
      <c r="M747" s="706">
        <f t="shared" si="702"/>
        <v>0.22991</v>
      </c>
      <c r="N747" s="706">
        <f t="shared" si="702"/>
        <v>0.19896</v>
      </c>
      <c r="O747" s="706">
        <f t="shared" si="702"/>
        <v>0.15042</v>
      </c>
      <c r="P747" s="706">
        <f t="shared" si="702"/>
        <v>0.14199000000000001</v>
      </c>
      <c r="Q747" s="706">
        <f t="shared" si="702"/>
        <v>0.24165999999999999</v>
      </c>
      <c r="R747" s="706">
        <f t="shared" si="702"/>
        <v>0.20996000000000001</v>
      </c>
      <c r="S747" s="706">
        <f t="shared" si="702"/>
        <v>0.24681</v>
      </c>
      <c r="T747" s="706">
        <f t="shared" si="702"/>
        <v>0.28988999999999998</v>
      </c>
      <c r="U747" s="706">
        <f t="shared" si="702"/>
        <v>0.27145999999999998</v>
      </c>
      <c r="V747" s="792">
        <f t="shared" si="702"/>
        <v>0.40132000000000001</v>
      </c>
      <c r="W747" s="792">
        <f t="shared" si="702"/>
        <v>0.50073999999999996</v>
      </c>
      <c r="X747" s="792">
        <f t="shared" si="702"/>
        <v>0.47694999999999999</v>
      </c>
      <c r="Y747" s="792">
        <f t="shared" si="702"/>
        <v>0.46564</v>
      </c>
      <c r="Z747" s="792">
        <f t="shared" si="702"/>
        <v>0.46029999999999999</v>
      </c>
      <c r="AA747" s="1312">
        <f>+AA328</f>
        <v>0.52540999999999993</v>
      </c>
      <c r="AB747" s="792">
        <f t="shared" si="702"/>
        <v>0.45651999999999998</v>
      </c>
      <c r="AC747" s="792">
        <f t="shared" si="702"/>
        <v>0.49094160799999992</v>
      </c>
      <c r="AD747" s="792">
        <f>+AD328</f>
        <v>0.53267164467999994</v>
      </c>
      <c r="AE747" s="792">
        <f>+AE328</f>
        <v>0.57794873447779993</v>
      </c>
    </row>
    <row r="748" spans="1:31" ht="12.75" customHeight="1">
      <c r="A748" s="664"/>
      <c r="B748" s="664">
        <v>117</v>
      </c>
      <c r="C748" s="784" t="s">
        <v>1769</v>
      </c>
      <c r="D748" s="752" t="s">
        <v>687</v>
      </c>
      <c r="E748" s="785" t="s">
        <v>1653</v>
      </c>
      <c r="F748" s="754" t="s">
        <v>2008</v>
      </c>
      <c r="G748" s="785">
        <f t="shared" ref="G748:Q748" si="703">+G745+G746+G747</f>
        <v>0.35048000000000001</v>
      </c>
      <c r="H748" s="785">
        <f t="shared" si="703"/>
        <v>0.50093999999999994</v>
      </c>
      <c r="I748" s="785">
        <f t="shared" si="703"/>
        <v>0.67547000000000001</v>
      </c>
      <c r="J748" s="785">
        <f t="shared" si="703"/>
        <v>0.5278799999999999</v>
      </c>
      <c r="K748" s="785">
        <f t="shared" si="703"/>
        <v>0.38412000000000002</v>
      </c>
      <c r="L748" s="785">
        <f t="shared" si="703"/>
        <v>0.48592000000000002</v>
      </c>
      <c r="M748" s="785">
        <f t="shared" si="703"/>
        <v>0.44218000000000002</v>
      </c>
      <c r="N748" s="785">
        <f t="shared" si="703"/>
        <v>0.36631999999999998</v>
      </c>
      <c r="O748" s="785">
        <f t="shared" si="703"/>
        <v>0.30554999999999999</v>
      </c>
      <c r="P748" s="785">
        <f t="shared" si="703"/>
        <v>0.28567999999999999</v>
      </c>
      <c r="Q748" s="785">
        <f t="shared" si="703"/>
        <v>0.40298</v>
      </c>
      <c r="R748" s="785">
        <f t="shared" ref="R748:Y748" si="704">+R745+R746+R747</f>
        <v>0.35403000000000001</v>
      </c>
      <c r="S748" s="785">
        <f t="shared" si="704"/>
        <v>0.41898000000000002</v>
      </c>
      <c r="T748" s="785">
        <f>+T745+T746+T747</f>
        <v>0.48837999999999998</v>
      </c>
      <c r="U748" s="785">
        <f>+U745+U746+U747</f>
        <v>0.43901000000000001</v>
      </c>
      <c r="V748" s="844">
        <f t="shared" si="704"/>
        <v>0.59362000000000004</v>
      </c>
      <c r="W748" s="844">
        <f t="shared" si="704"/>
        <v>0.67314999999999992</v>
      </c>
      <c r="X748" s="844">
        <f t="shared" si="704"/>
        <v>0.68006999999999995</v>
      </c>
      <c r="Y748" s="844">
        <f t="shared" si="704"/>
        <v>0.59372000000000003</v>
      </c>
      <c r="Z748" s="844">
        <f t="shared" ref="Z748:AE748" si="705">+Z745+Z746+Z747</f>
        <v>0.59770999999999996</v>
      </c>
      <c r="AA748" s="844">
        <f t="shared" si="705"/>
        <v>0.67398999999999998</v>
      </c>
      <c r="AB748" s="844">
        <f t="shared" si="705"/>
        <v>0.64477999999999991</v>
      </c>
      <c r="AC748" s="844">
        <f t="shared" si="705"/>
        <v>0.70744060799999986</v>
      </c>
      <c r="AD748" s="844">
        <f t="shared" si="705"/>
        <v>0.77082054467999994</v>
      </c>
      <c r="AE748" s="844">
        <f t="shared" si="705"/>
        <v>0.83038656847780001</v>
      </c>
    </row>
    <row r="749" spans="1:31">
      <c r="G749" s="703"/>
      <c r="Q749" s="699"/>
      <c r="R749" s="699"/>
      <c r="S749" s="699"/>
      <c r="T749" s="699"/>
      <c r="U749" s="699"/>
      <c r="V749" s="843"/>
      <c r="W749" s="843"/>
      <c r="X749" s="843"/>
      <c r="Y749" s="843"/>
      <c r="Z749" s="843"/>
      <c r="AA749" s="843"/>
      <c r="AB749" s="843"/>
      <c r="AC749" s="843"/>
      <c r="AD749" s="843"/>
      <c r="AE749" s="843"/>
    </row>
    <row r="750" spans="1:31" ht="12.75" customHeight="1">
      <c r="A750" s="664"/>
      <c r="B750" s="664"/>
      <c r="C750" s="774"/>
      <c r="D750" s="775"/>
      <c r="E750" s="776" t="s">
        <v>1384</v>
      </c>
      <c r="F750" s="777"/>
      <c r="G750" s="778">
        <f>+InputY!$G$3</f>
        <v>1995</v>
      </c>
      <c r="H750" s="778">
        <f>+G750+1</f>
        <v>1996</v>
      </c>
      <c r="I750" s="778">
        <f t="shared" ref="I750:O750" si="706">+H750+1</f>
        <v>1997</v>
      </c>
      <c r="J750" s="778">
        <f t="shared" si="706"/>
        <v>1998</v>
      </c>
      <c r="K750" s="778">
        <f>+J750+1</f>
        <v>1999</v>
      </c>
      <c r="L750" s="778">
        <f t="shared" si="706"/>
        <v>2000</v>
      </c>
      <c r="M750" s="778">
        <f t="shared" si="706"/>
        <v>2001</v>
      </c>
      <c r="N750" s="778">
        <f t="shared" si="706"/>
        <v>2002</v>
      </c>
      <c r="O750" s="778">
        <f t="shared" si="706"/>
        <v>2003</v>
      </c>
      <c r="P750" s="778">
        <f>+O750+1</f>
        <v>2004</v>
      </c>
      <c r="Q750" s="778">
        <f>+P750+1</f>
        <v>2005</v>
      </c>
      <c r="R750" s="778">
        <f>+Q750+1</f>
        <v>2006</v>
      </c>
      <c r="S750" s="778">
        <f t="shared" ref="S750:X750" si="707">+R750+1</f>
        <v>2007</v>
      </c>
      <c r="T750" s="778">
        <f t="shared" si="707"/>
        <v>2008</v>
      </c>
      <c r="U750" s="778">
        <f t="shared" si="707"/>
        <v>2009</v>
      </c>
      <c r="V750" s="778">
        <f t="shared" si="707"/>
        <v>2010</v>
      </c>
      <c r="W750" s="778">
        <f t="shared" si="707"/>
        <v>2011</v>
      </c>
      <c r="X750" s="778">
        <f t="shared" si="707"/>
        <v>2012</v>
      </c>
      <c r="Y750" s="778">
        <f t="shared" ref="Y750:AE750" si="708">+X750+1</f>
        <v>2013</v>
      </c>
      <c r="Z750" s="778">
        <f t="shared" si="708"/>
        <v>2014</v>
      </c>
      <c r="AA750" s="778">
        <f t="shared" si="708"/>
        <v>2015</v>
      </c>
      <c r="AB750" s="778">
        <f t="shared" si="708"/>
        <v>2016</v>
      </c>
      <c r="AC750" s="778">
        <f t="shared" si="708"/>
        <v>2017</v>
      </c>
      <c r="AD750" s="778">
        <f t="shared" si="708"/>
        <v>2018</v>
      </c>
      <c r="AE750" s="778">
        <f t="shared" si="708"/>
        <v>2019</v>
      </c>
    </row>
    <row r="751" spans="1:31" ht="12.75" customHeight="1">
      <c r="A751" s="664"/>
      <c r="B751" s="664"/>
      <c r="C751" s="779" t="s">
        <v>1767</v>
      </c>
      <c r="D751" s="668" t="s">
        <v>687</v>
      </c>
      <c r="E751" s="780" t="s">
        <v>1374</v>
      </c>
      <c r="F751" s="701" t="s">
        <v>215</v>
      </c>
      <c r="G751" s="780">
        <f t="shared" ref="G751:AC751" si="709">+G11</f>
        <v>2.8500000000000001E-3</v>
      </c>
      <c r="H751" s="780">
        <f t="shared" si="709"/>
        <v>4.4299999999999999E-3</v>
      </c>
      <c r="I751" s="780">
        <f t="shared" si="709"/>
        <v>5.8700000000000002E-3</v>
      </c>
      <c r="J751" s="780">
        <f t="shared" si="709"/>
        <v>6.1700000000000001E-3</v>
      </c>
      <c r="K751" s="780">
        <f t="shared" si="709"/>
        <v>6.43E-3</v>
      </c>
      <c r="L751" s="780">
        <f t="shared" si="709"/>
        <v>6.1900000000000002E-3</v>
      </c>
      <c r="M751" s="780">
        <f t="shared" si="709"/>
        <v>6.9500000000000004E-3</v>
      </c>
      <c r="N751" s="780">
        <f t="shared" si="709"/>
        <v>7.62E-3</v>
      </c>
      <c r="O751" s="780">
        <f t="shared" si="709"/>
        <v>7.6699999999999997E-3</v>
      </c>
      <c r="P751" s="780">
        <f t="shared" si="709"/>
        <v>9.5500000000000012E-3</v>
      </c>
      <c r="Q751" s="780">
        <f t="shared" si="709"/>
        <v>4.15E-3</v>
      </c>
      <c r="R751" s="780">
        <f t="shared" si="709"/>
        <v>3.5999999999999999E-3</v>
      </c>
      <c r="S751" s="780">
        <f t="shared" si="709"/>
        <v>3.64E-3</v>
      </c>
      <c r="T751" s="780">
        <f t="shared" si="709"/>
        <v>3.2699999999999999E-3</v>
      </c>
      <c r="U751" s="780">
        <f t="shared" si="709"/>
        <v>2.4599999999999999E-3</v>
      </c>
      <c r="V751" s="846">
        <f t="shared" si="709"/>
        <v>2.2200000000000002E-3</v>
      </c>
      <c r="W751" s="846">
        <f t="shared" si="709"/>
        <v>2.8200000000000005E-3</v>
      </c>
      <c r="X751" s="846">
        <f t="shared" si="709"/>
        <v>3.7200000000000002E-3</v>
      </c>
      <c r="Y751" s="846">
        <f t="shared" si="709"/>
        <v>4.3600000000000002E-3</v>
      </c>
      <c r="Z751" s="846">
        <f t="shared" si="709"/>
        <v>5.0499999999999998E-3</v>
      </c>
      <c r="AA751" s="846">
        <f t="shared" si="709"/>
        <v>2.6199999999999999E-3</v>
      </c>
      <c r="AB751" s="846">
        <f t="shared" si="709"/>
        <v>2.7000000000000001E-3</v>
      </c>
      <c r="AC751" s="846">
        <f t="shared" si="709"/>
        <v>2.8350000000000003E-3</v>
      </c>
      <c r="AD751" s="846">
        <f>+AD11</f>
        <v>2.9767500000000002E-3</v>
      </c>
      <c r="AE751" s="846">
        <f>+AE11</f>
        <v>3.1255875000000006E-3</v>
      </c>
    </row>
    <row r="752" spans="1:31" ht="12.75" customHeight="1">
      <c r="A752" s="664"/>
      <c r="B752" s="664"/>
      <c r="C752" s="782" t="s">
        <v>1767</v>
      </c>
      <c r="D752" s="674" t="s">
        <v>687</v>
      </c>
      <c r="E752" s="706" t="s">
        <v>851</v>
      </c>
      <c r="F752" s="981" t="str">
        <f t="shared" ref="F752:AC752" si="710">+F138</f>
        <v>$AProp - $AInt</v>
      </c>
      <c r="G752" s="706">
        <f t="shared" si="710"/>
        <v>0</v>
      </c>
      <c r="H752" s="706">
        <f t="shared" si="710"/>
        <v>0</v>
      </c>
      <c r="I752" s="706">
        <f t="shared" si="710"/>
        <v>0</v>
      </c>
      <c r="J752" s="706">
        <f t="shared" si="710"/>
        <v>0</v>
      </c>
      <c r="K752" s="706">
        <f t="shared" si="710"/>
        <v>0</v>
      </c>
      <c r="L752" s="706">
        <f t="shared" si="710"/>
        <v>0</v>
      </c>
      <c r="M752" s="706">
        <f t="shared" si="710"/>
        <v>0</v>
      </c>
      <c r="N752" s="706">
        <f t="shared" si="710"/>
        <v>0</v>
      </c>
      <c r="O752" s="706">
        <f t="shared" si="710"/>
        <v>0</v>
      </c>
      <c r="P752" s="706">
        <f t="shared" si="710"/>
        <v>9.9999999999909054E-6</v>
      </c>
      <c r="Q752" s="706">
        <f t="shared" si="710"/>
        <v>9.9999999999909054E-6</v>
      </c>
      <c r="R752" s="706">
        <f t="shared" si="710"/>
        <v>1.0000000000019327E-5</v>
      </c>
      <c r="S752" s="706">
        <f t="shared" si="710"/>
        <v>9.9999999999909054E-6</v>
      </c>
      <c r="T752" s="706">
        <f t="shared" si="710"/>
        <v>2.000000000001023E-5</v>
      </c>
      <c r="U752" s="706">
        <f t="shared" si="710"/>
        <v>2.0000000000038653E-5</v>
      </c>
      <c r="V752" s="792">
        <f t="shared" si="710"/>
        <v>1.9999999999981811E-5</v>
      </c>
      <c r="W752" s="792">
        <f t="shared" si="710"/>
        <v>1.9999999999981811E-5</v>
      </c>
      <c r="X752" s="792">
        <f t="shared" si="710"/>
        <v>9.9999999999909054E-6</v>
      </c>
      <c r="Y752" s="792">
        <f t="shared" si="710"/>
        <v>1.0000000000104592E-5</v>
      </c>
      <c r="Z752" s="792">
        <f t="shared" si="710"/>
        <v>9.9999999999909054E-6</v>
      </c>
      <c r="AA752" s="792">
        <f t="shared" si="710"/>
        <v>1.0000000000104592E-5</v>
      </c>
      <c r="AB752" s="792">
        <f t="shared" si="710"/>
        <v>9.9999999999909054E-6</v>
      </c>
      <c r="AC752" s="792">
        <f t="shared" si="710"/>
        <v>9.9999999999909054E-6</v>
      </c>
      <c r="AD752" s="792">
        <f>+AD138</f>
        <v>9.9999999999909054E-6</v>
      </c>
      <c r="AE752" s="792">
        <f>+AE138</f>
        <v>9.9999999999909054E-6</v>
      </c>
    </row>
    <row r="753" spans="1:31" ht="12.75" customHeight="1">
      <c r="A753" s="664"/>
      <c r="B753" s="664"/>
      <c r="C753" s="782" t="s">
        <v>1767</v>
      </c>
      <c r="D753" s="674" t="s">
        <v>687</v>
      </c>
      <c r="E753" s="706" t="s">
        <v>978</v>
      </c>
      <c r="F753" s="704" t="s">
        <v>384</v>
      </c>
      <c r="G753" s="706">
        <f t="shared" ref="G753:AC753" si="711">+G203</f>
        <v>0</v>
      </c>
      <c r="H753" s="706">
        <f t="shared" si="711"/>
        <v>0</v>
      </c>
      <c r="I753" s="706">
        <f t="shared" si="711"/>
        <v>0</v>
      </c>
      <c r="J753" s="706">
        <f t="shared" si="711"/>
        <v>0</v>
      </c>
      <c r="K753" s="706">
        <f t="shared" si="711"/>
        <v>0</v>
      </c>
      <c r="L753" s="706">
        <f t="shared" si="711"/>
        <v>0</v>
      </c>
      <c r="M753" s="706">
        <f t="shared" si="711"/>
        <v>0</v>
      </c>
      <c r="N753" s="706">
        <f t="shared" si="711"/>
        <v>3.0000000000000001E-5</v>
      </c>
      <c r="O753" s="706">
        <f t="shared" si="711"/>
        <v>1.5000000000000001E-4</v>
      </c>
      <c r="P753" s="706">
        <f t="shared" si="711"/>
        <v>3.2000000000000003E-4</v>
      </c>
      <c r="Q753" s="706">
        <f t="shared" si="711"/>
        <v>2.4000000000000001E-4</v>
      </c>
      <c r="R753" s="706">
        <f t="shared" si="711"/>
        <v>9.4000000000000008E-4</v>
      </c>
      <c r="S753" s="706">
        <f t="shared" si="711"/>
        <v>9.3000000000000005E-4</v>
      </c>
      <c r="T753" s="706">
        <f t="shared" si="711"/>
        <v>1.6899999999999999E-3</v>
      </c>
      <c r="U753" s="706">
        <f t="shared" si="711"/>
        <v>7.2000000000000005E-4</v>
      </c>
      <c r="V753" s="792">
        <f t="shared" si="711"/>
        <v>3.0000000000000003E-4</v>
      </c>
      <c r="W753" s="792">
        <f t="shared" si="711"/>
        <v>9.1E-4</v>
      </c>
      <c r="X753" s="792">
        <f t="shared" si="711"/>
        <v>2.7100000000000002E-3</v>
      </c>
      <c r="Y753" s="792">
        <f t="shared" si="711"/>
        <v>1.4199999999999998E-3</v>
      </c>
      <c r="Z753" s="792">
        <f t="shared" si="711"/>
        <v>1.25E-3</v>
      </c>
      <c r="AA753" s="792">
        <f t="shared" si="711"/>
        <v>1.2199999999999999E-3</v>
      </c>
      <c r="AB753" s="792">
        <f t="shared" si="711"/>
        <v>2.0899999999999998E-3</v>
      </c>
      <c r="AC753" s="792">
        <f t="shared" si="711"/>
        <v>2.1317999999999997E-3</v>
      </c>
      <c r="AD753" s="792">
        <f>+AD203</f>
        <v>2.1744359999999996E-3</v>
      </c>
      <c r="AE753" s="792">
        <f>+AE203</f>
        <v>2.2179247199999997E-3</v>
      </c>
    </row>
    <row r="754" spans="1:31" ht="12.75" customHeight="1">
      <c r="A754" s="664"/>
      <c r="B754" s="664"/>
      <c r="C754" s="782" t="s">
        <v>1767</v>
      </c>
      <c r="D754" s="674" t="s">
        <v>687</v>
      </c>
      <c r="E754" s="706" t="s">
        <v>1341</v>
      </c>
      <c r="F754" s="704" t="s">
        <v>318</v>
      </c>
      <c r="G754" s="706">
        <f t="shared" ref="G754:AA754" si="712">+G327</f>
        <v>5.6799999999999993E-3</v>
      </c>
      <c r="H754" s="706">
        <f t="shared" si="712"/>
        <v>5.4999999999999997E-3</v>
      </c>
      <c r="I754" s="706">
        <f t="shared" si="712"/>
        <v>0.22914999999999999</v>
      </c>
      <c r="J754" s="706">
        <f t="shared" si="712"/>
        <v>8.2860000000000003E-2</v>
      </c>
      <c r="K754" s="706">
        <f t="shared" si="712"/>
        <v>6.4030000000000004E-2</v>
      </c>
      <c r="L754" s="706">
        <f t="shared" si="712"/>
        <v>1.325E-2</v>
      </c>
      <c r="M754" s="706">
        <f t="shared" si="712"/>
        <v>5.237E-2</v>
      </c>
      <c r="N754" s="706">
        <f t="shared" si="712"/>
        <v>1.8089999999999998E-2</v>
      </c>
      <c r="O754" s="706">
        <f t="shared" si="712"/>
        <v>2.7050000000000001E-2</v>
      </c>
      <c r="P754" s="706">
        <f t="shared" si="712"/>
        <v>0.13155</v>
      </c>
      <c r="Q754" s="706">
        <f t="shared" si="712"/>
        <v>0.37627999999999995</v>
      </c>
      <c r="R754" s="706">
        <f t="shared" si="712"/>
        <v>0.30130000000000001</v>
      </c>
      <c r="S754" s="706">
        <f t="shared" si="712"/>
        <v>0.38061</v>
      </c>
      <c r="T754" s="706">
        <f t="shared" si="712"/>
        <v>0.47885</v>
      </c>
      <c r="U754" s="706">
        <f t="shared" si="712"/>
        <v>0.44794</v>
      </c>
      <c r="V754" s="792">
        <f t="shared" si="712"/>
        <v>0.34664</v>
      </c>
      <c r="W754" s="792">
        <f t="shared" si="712"/>
        <v>0.49845</v>
      </c>
      <c r="X754" s="792">
        <f t="shared" si="712"/>
        <v>0.46572000000000002</v>
      </c>
      <c r="Y754" s="792">
        <f t="shared" si="712"/>
        <v>0.5542999999999999</v>
      </c>
      <c r="Z754" s="792">
        <f t="shared" si="712"/>
        <v>0.51539999999999997</v>
      </c>
      <c r="AA754" s="792">
        <f t="shared" si="712"/>
        <v>0.55409000000000008</v>
      </c>
      <c r="AB754" s="792">
        <f>+AB327</f>
        <v>0.64263999999999999</v>
      </c>
      <c r="AC754" s="792">
        <f>+AC327</f>
        <v>0.67477200000000004</v>
      </c>
      <c r="AD754" s="792">
        <f>+AD327</f>
        <v>0.70513674000000004</v>
      </c>
      <c r="AE754" s="792">
        <f>+AE327</f>
        <v>0.74039357700000008</v>
      </c>
    </row>
    <row r="755" spans="1:31" ht="12.75" customHeight="1">
      <c r="A755" s="664"/>
      <c r="B755" s="664"/>
      <c r="C755" s="782" t="s">
        <v>1767</v>
      </c>
      <c r="D755" s="674" t="s">
        <v>687</v>
      </c>
      <c r="E755" s="706" t="s">
        <v>487</v>
      </c>
      <c r="F755" s="704" t="s">
        <v>386</v>
      </c>
      <c r="G755" s="1019">
        <f t="shared" ref="G755:AC755" si="713">+G398</f>
        <v>0</v>
      </c>
      <c r="H755" s="1019">
        <f t="shared" si="713"/>
        <v>0</v>
      </c>
      <c r="I755" s="1019">
        <f t="shared" si="713"/>
        <v>0</v>
      </c>
      <c r="J755" s="1019">
        <f t="shared" si="713"/>
        <v>0</v>
      </c>
      <c r="K755" s="1019">
        <f t="shared" si="713"/>
        <v>0</v>
      </c>
      <c r="L755" s="1019">
        <f t="shared" si="713"/>
        <v>0</v>
      </c>
      <c r="M755" s="1019">
        <f t="shared" si="713"/>
        <v>0</v>
      </c>
      <c r="N755" s="1019">
        <f t="shared" si="713"/>
        <v>0</v>
      </c>
      <c r="O755" s="1019">
        <f t="shared" si="713"/>
        <v>0</v>
      </c>
      <c r="P755" s="1019">
        <f t="shared" si="713"/>
        <v>0</v>
      </c>
      <c r="Q755" s="1019">
        <f t="shared" si="713"/>
        <v>0</v>
      </c>
      <c r="R755" s="1019">
        <f t="shared" si="713"/>
        <v>0</v>
      </c>
      <c r="S755" s="1019">
        <f t="shared" si="713"/>
        <v>0</v>
      </c>
      <c r="T755" s="1019">
        <f t="shared" si="713"/>
        <v>0</v>
      </c>
      <c r="U755" s="1019">
        <f t="shared" si="713"/>
        <v>0</v>
      </c>
      <c r="V755" s="3012">
        <f t="shared" si="713"/>
        <v>0</v>
      </c>
      <c r="W755" s="3012">
        <f t="shared" si="713"/>
        <v>0</v>
      </c>
      <c r="X755" s="3012">
        <f t="shared" si="713"/>
        <v>0</v>
      </c>
      <c r="Y755" s="3012">
        <f t="shared" si="713"/>
        <v>0</v>
      </c>
      <c r="Z755" s="3012">
        <f t="shared" si="713"/>
        <v>0</v>
      </c>
      <c r="AA755" s="3012">
        <f t="shared" si="713"/>
        <v>0</v>
      </c>
      <c r="AB755" s="3012">
        <f t="shared" si="713"/>
        <v>0</v>
      </c>
      <c r="AC755" s="3012">
        <f t="shared" si="713"/>
        <v>0</v>
      </c>
      <c r="AD755" s="3012">
        <f>+AD398</f>
        <v>0</v>
      </c>
      <c r="AE755" s="3012">
        <f>+AE398</f>
        <v>0</v>
      </c>
    </row>
    <row r="756" spans="1:31" ht="12.75" customHeight="1">
      <c r="A756" s="664"/>
      <c r="B756" s="664">
        <v>124</v>
      </c>
      <c r="C756" s="784" t="s">
        <v>1769</v>
      </c>
      <c r="D756" s="752" t="s">
        <v>687</v>
      </c>
      <c r="E756" s="785" t="s">
        <v>908</v>
      </c>
      <c r="F756" s="754" t="s">
        <v>161</v>
      </c>
      <c r="G756" s="785">
        <f>+G751+G752+G753+G754+G755</f>
        <v>8.5299999999999994E-3</v>
      </c>
      <c r="H756" s="785">
        <f t="shared" ref="H756:Q756" si="714">+H751+H752+H753+H754+H755</f>
        <v>9.9299999999999996E-3</v>
      </c>
      <c r="I756" s="785">
        <f t="shared" si="714"/>
        <v>0.23502000000000001</v>
      </c>
      <c r="J756" s="785">
        <f t="shared" si="714"/>
        <v>8.9029999999999998E-2</v>
      </c>
      <c r="K756" s="785">
        <f t="shared" si="714"/>
        <v>7.0460000000000009E-2</v>
      </c>
      <c r="L756" s="785">
        <f t="shared" si="714"/>
        <v>1.9439999999999999E-2</v>
      </c>
      <c r="M756" s="785">
        <f t="shared" si="714"/>
        <v>5.9319999999999998E-2</v>
      </c>
      <c r="N756" s="785">
        <f t="shared" si="714"/>
        <v>2.5739999999999999E-2</v>
      </c>
      <c r="O756" s="785">
        <f t="shared" si="714"/>
        <v>3.4869999999999998E-2</v>
      </c>
      <c r="P756" s="785">
        <f t="shared" si="714"/>
        <v>0.14143</v>
      </c>
      <c r="Q756" s="785">
        <f t="shared" si="714"/>
        <v>0.38067999999999996</v>
      </c>
      <c r="R756" s="785">
        <f t="shared" ref="R756:Y756" si="715">+R751+R752+R753+R754+R755</f>
        <v>0.30585000000000001</v>
      </c>
      <c r="S756" s="785">
        <f t="shared" si="715"/>
        <v>0.38518999999999998</v>
      </c>
      <c r="T756" s="785">
        <f>+T751+T752+T753+T754+T755</f>
        <v>0.48382999999999998</v>
      </c>
      <c r="U756" s="785">
        <f>+U751+U752+U753+U754+U755</f>
        <v>0.45114000000000004</v>
      </c>
      <c r="V756" s="844">
        <f t="shared" si="715"/>
        <v>0.34917999999999999</v>
      </c>
      <c r="W756" s="844">
        <f t="shared" si="715"/>
        <v>0.50219999999999998</v>
      </c>
      <c r="X756" s="844">
        <f t="shared" si="715"/>
        <v>0.47216000000000002</v>
      </c>
      <c r="Y756" s="844">
        <f t="shared" si="715"/>
        <v>0.56008999999999998</v>
      </c>
      <c r="Z756" s="844">
        <f t="shared" ref="Z756:AE756" si="716">+Z751+Z752+Z753+Z754+Z755</f>
        <v>0.52171000000000001</v>
      </c>
      <c r="AA756" s="844">
        <f t="shared" si="716"/>
        <v>0.55794000000000021</v>
      </c>
      <c r="AB756" s="844">
        <f t="shared" si="716"/>
        <v>0.64744000000000002</v>
      </c>
      <c r="AC756" s="844">
        <f t="shared" si="716"/>
        <v>0.67974880000000004</v>
      </c>
      <c r="AD756" s="844">
        <f t="shared" si="716"/>
        <v>0.71029792600000008</v>
      </c>
      <c r="AE756" s="844">
        <f t="shared" si="716"/>
        <v>0.7457470892200001</v>
      </c>
    </row>
    <row r="757" spans="1:31">
      <c r="Q757" s="699"/>
      <c r="AB757" s="2221"/>
      <c r="AC757" s="2221"/>
      <c r="AD757" s="2221"/>
      <c r="AE757" s="2221"/>
    </row>
    <row r="758" spans="1:31" ht="12.75" customHeight="1">
      <c r="A758" s="664"/>
      <c r="B758" s="664"/>
      <c r="C758" s="774"/>
      <c r="D758" s="775"/>
      <c r="E758" s="776" t="s">
        <v>1384</v>
      </c>
      <c r="F758" s="777"/>
      <c r="G758" s="778">
        <f>+InputY!$G$3</f>
        <v>1995</v>
      </c>
      <c r="H758" s="778">
        <f>+G758+1</f>
        <v>1996</v>
      </c>
      <c r="I758" s="778">
        <f t="shared" ref="I758:R758" si="717">+H758+1</f>
        <v>1997</v>
      </c>
      <c r="J758" s="778">
        <f t="shared" si="717"/>
        <v>1998</v>
      </c>
      <c r="K758" s="778">
        <f>+J758+1</f>
        <v>1999</v>
      </c>
      <c r="L758" s="778">
        <f t="shared" si="717"/>
        <v>2000</v>
      </c>
      <c r="M758" s="778">
        <f t="shared" si="717"/>
        <v>2001</v>
      </c>
      <c r="N758" s="778">
        <f t="shared" si="717"/>
        <v>2002</v>
      </c>
      <c r="O758" s="778">
        <f t="shared" si="717"/>
        <v>2003</v>
      </c>
      <c r="P758" s="778">
        <f>+O758+1</f>
        <v>2004</v>
      </c>
      <c r="Q758" s="778">
        <f>+P758+1</f>
        <v>2005</v>
      </c>
      <c r="R758" s="2222">
        <f t="shared" si="717"/>
        <v>2006</v>
      </c>
      <c r="S758" s="2222">
        <f t="shared" ref="S758:X758" si="718">+R758+1</f>
        <v>2007</v>
      </c>
      <c r="T758" s="2222">
        <f>+S758+1</f>
        <v>2008</v>
      </c>
      <c r="U758" s="2222">
        <f>+T758+1</f>
        <v>2009</v>
      </c>
      <c r="V758" s="2222">
        <f t="shared" si="718"/>
        <v>2010</v>
      </c>
      <c r="W758" s="2222">
        <f t="shared" si="718"/>
        <v>2011</v>
      </c>
      <c r="X758" s="2222">
        <f t="shared" si="718"/>
        <v>2012</v>
      </c>
      <c r="Y758" s="2222">
        <f t="shared" ref="Y758:AE758" si="719">+X758+1</f>
        <v>2013</v>
      </c>
      <c r="Z758" s="2222">
        <f t="shared" si="719"/>
        <v>2014</v>
      </c>
      <c r="AA758" s="2222">
        <f t="shared" si="719"/>
        <v>2015</v>
      </c>
      <c r="AB758" s="2222">
        <f t="shared" si="719"/>
        <v>2016</v>
      </c>
      <c r="AC758" s="2222">
        <f t="shared" si="719"/>
        <v>2017</v>
      </c>
      <c r="AD758" s="2222">
        <f t="shared" si="719"/>
        <v>2018</v>
      </c>
      <c r="AE758" s="2222">
        <f t="shared" si="719"/>
        <v>2019</v>
      </c>
    </row>
    <row r="759" spans="1:31" ht="12.75" customHeight="1">
      <c r="A759" s="664"/>
      <c r="B759" s="664"/>
      <c r="C759" s="779" t="s">
        <v>1767</v>
      </c>
      <c r="D759" s="668" t="s">
        <v>687</v>
      </c>
      <c r="E759" s="780" t="str">
        <f t="shared" ref="E759:AC759" si="720">+E486</f>
        <v>Capital transfers (D.9p)</v>
      </c>
      <c r="F759" s="701" t="str">
        <f t="shared" si="720"/>
        <v>$ACapT</v>
      </c>
      <c r="G759" s="780">
        <f t="shared" si="720"/>
        <v>9.6120000000000011E-2</v>
      </c>
      <c r="H759" s="780">
        <f t="shared" si="720"/>
        <v>0.24603</v>
      </c>
      <c r="I759" s="780">
        <f t="shared" si="720"/>
        <v>1.50024</v>
      </c>
      <c r="J759" s="780">
        <f t="shared" si="720"/>
        <v>0.15225</v>
      </c>
      <c r="K759" s="780">
        <f t="shared" si="720"/>
        <v>0.12124</v>
      </c>
      <c r="L759" s="780">
        <f t="shared" si="720"/>
        <v>0.29037000000000002</v>
      </c>
      <c r="M759" s="780">
        <f t="shared" si="720"/>
        <v>0.25951000000000002</v>
      </c>
      <c r="N759" s="780">
        <f t="shared" si="720"/>
        <v>0.13302</v>
      </c>
      <c r="O759" s="780">
        <f t="shared" si="720"/>
        <v>7.1790000000000007E-2</v>
      </c>
      <c r="P759" s="780">
        <f t="shared" si="720"/>
        <v>0.10396</v>
      </c>
      <c r="Q759" s="780">
        <f t="shared" si="720"/>
        <v>8.3019999999999997E-2</v>
      </c>
      <c r="R759" s="780">
        <f t="shared" si="720"/>
        <v>9.5530000000000004E-2</v>
      </c>
      <c r="S759" s="780">
        <f t="shared" si="720"/>
        <v>0.25720999999999999</v>
      </c>
      <c r="T759" s="780">
        <f t="shared" si="720"/>
        <v>0.12953000000000001</v>
      </c>
      <c r="U759" s="780">
        <f t="shared" si="720"/>
        <v>0.11079</v>
      </c>
      <c r="V759" s="846">
        <f t="shared" si="720"/>
        <v>0.12154999999999999</v>
      </c>
      <c r="W759" s="846">
        <f t="shared" si="720"/>
        <v>1.3936600000000001</v>
      </c>
      <c r="X759" s="846">
        <f t="shared" si="720"/>
        <v>9.1180000000000011E-2</v>
      </c>
      <c r="Y759" s="846">
        <f t="shared" si="720"/>
        <v>0.45080000000000003</v>
      </c>
      <c r="Z759" s="846">
        <f t="shared" si="720"/>
        <v>0.50519000000000003</v>
      </c>
      <c r="AA759" s="846">
        <f t="shared" si="720"/>
        <v>0.26716000000000001</v>
      </c>
      <c r="AB759" s="846">
        <f t="shared" si="720"/>
        <v>0.18389</v>
      </c>
      <c r="AC759" s="846">
        <f t="shared" si="720"/>
        <v>0.26480159999999997</v>
      </c>
      <c r="AD759" s="846">
        <f>+AD486</f>
        <v>0.19065715199999997</v>
      </c>
      <c r="AE759" s="846">
        <f>+AE486</f>
        <v>0.19065715199999997</v>
      </c>
    </row>
    <row r="760" spans="1:31" ht="12.75" customHeight="1">
      <c r="A760" s="664"/>
      <c r="B760" s="664"/>
      <c r="C760" s="782" t="s">
        <v>1767</v>
      </c>
      <c r="D760" s="674" t="s">
        <v>687</v>
      </c>
      <c r="E760" s="706" t="str">
        <f t="shared" ref="E760:AC760" si="721">+E543</f>
        <v>Changes in inventories / valuables (P.52 + P.53)</v>
      </c>
      <c r="F760" s="704" t="str">
        <f t="shared" si="721"/>
        <v>$AIny</v>
      </c>
      <c r="G760" s="706">
        <f t="shared" si="721"/>
        <v>9.689999999999999E-3</v>
      </c>
      <c r="H760" s="706">
        <f t="shared" si="721"/>
        <v>3.2599999999999999E-3</v>
      </c>
      <c r="I760" s="706">
        <f t="shared" si="721"/>
        <v>2.6100000000000003E-3</v>
      </c>
      <c r="J760" s="706">
        <f t="shared" si="721"/>
        <v>8.9999999999999998E-4</v>
      </c>
      <c r="K760" s="706">
        <f t="shared" si="721"/>
        <v>1.7000000000000001E-4</v>
      </c>
      <c r="L760" s="706">
        <f t="shared" si="721"/>
        <v>4.1000000000000005E-4</v>
      </c>
      <c r="M760" s="706">
        <f t="shared" si="721"/>
        <v>2.3799999999999997E-3</v>
      </c>
      <c r="N760" s="706">
        <f t="shared" si="721"/>
        <v>1.2800000000000001E-2</v>
      </c>
      <c r="O760" s="706">
        <f t="shared" si="721"/>
        <v>2.7299999999999998E-3</v>
      </c>
      <c r="P760" s="706">
        <f t="shared" si="721"/>
        <v>7.6299999999999996E-3</v>
      </c>
      <c r="Q760" s="706">
        <f t="shared" si="721"/>
        <v>9.5700000000000004E-3</v>
      </c>
      <c r="R760" s="706">
        <f t="shared" si="721"/>
        <v>2.2030000000000001E-2</v>
      </c>
      <c r="S760" s="706">
        <f t="shared" si="721"/>
        <v>2.0730000000000002E-2</v>
      </c>
      <c r="T760" s="706">
        <f t="shared" si="721"/>
        <v>3.4360000000000002E-2</v>
      </c>
      <c r="U760" s="706">
        <f t="shared" si="721"/>
        <v>8.1400000000000014E-3</v>
      </c>
      <c r="V760" s="792">
        <f t="shared" si="721"/>
        <v>3.5499999999999998E-3</v>
      </c>
      <c r="W760" s="792">
        <f t="shared" si="721"/>
        <v>4.62E-3</v>
      </c>
      <c r="X760" s="792">
        <f t="shared" si="721"/>
        <v>6.3099999999999996E-3</v>
      </c>
      <c r="Y760" s="792">
        <f t="shared" si="721"/>
        <v>9.5999999999999992E-3</v>
      </c>
      <c r="Z760" s="792">
        <f t="shared" si="721"/>
        <v>1.26E-2</v>
      </c>
      <c r="AA760" s="792">
        <f t="shared" si="721"/>
        <v>4.811E-2</v>
      </c>
      <c r="AB760" s="792">
        <f t="shared" si="721"/>
        <v>3.9149999999999997E-2</v>
      </c>
      <c r="AC760" s="792">
        <f t="shared" ca="1" si="721"/>
        <v>3.9149999999999997E-2</v>
      </c>
      <c r="AD760" s="792">
        <f ca="1">+AD543</f>
        <v>3.9149999999999997E-2</v>
      </c>
      <c r="AE760" s="792">
        <f ca="1">+AE543</f>
        <v>3.9149999999999997E-2</v>
      </c>
    </row>
    <row r="761" spans="1:31" ht="12.75" customHeight="1">
      <c r="A761" s="664"/>
      <c r="B761" s="664"/>
      <c r="C761" s="782" t="s">
        <v>1767</v>
      </c>
      <c r="D761" s="674" t="s">
        <v>687</v>
      </c>
      <c r="E761" s="706" t="str">
        <f t="shared" ref="E761:AC761" si="722">+E521</f>
        <v>Acq. less disp. of non-fin. non-prod. assets (K.2)</v>
      </c>
      <c r="F761" s="704" t="str">
        <f t="shared" si="722"/>
        <v>ANonFinN</v>
      </c>
      <c r="G761" s="706">
        <f t="shared" si="722"/>
        <v>0</v>
      </c>
      <c r="H761" s="706">
        <f t="shared" si="722"/>
        <v>0</v>
      </c>
      <c r="I761" s="706">
        <f t="shared" si="722"/>
        <v>0</v>
      </c>
      <c r="J761" s="706">
        <f t="shared" si="722"/>
        <v>-3.2000000000000003E-4</v>
      </c>
      <c r="K761" s="706">
        <f t="shared" si="722"/>
        <v>-1.2600000000000001E-3</v>
      </c>
      <c r="L761" s="706">
        <f t="shared" si="722"/>
        <v>-4.8700000000000002E-3</v>
      </c>
      <c r="M761" s="706">
        <f t="shared" si="722"/>
        <v>-2.7599999999999999E-3</v>
      </c>
      <c r="N761" s="706">
        <f t="shared" si="722"/>
        <v>-3.7000000000000002E-3</v>
      </c>
      <c r="O761" s="706">
        <f t="shared" si="722"/>
        <v>-6.77E-3</v>
      </c>
      <c r="P761" s="706">
        <f t="shared" si="722"/>
        <v>-2.2550000000000001E-2</v>
      </c>
      <c r="Q761" s="706">
        <f t="shared" si="722"/>
        <v>-3.3919999999999999E-2</v>
      </c>
      <c r="R761" s="706">
        <f t="shared" si="722"/>
        <v>-3.6069999999999998E-2</v>
      </c>
      <c r="S761" s="706">
        <f t="shared" si="722"/>
        <v>-2.5829999999999999E-2</v>
      </c>
      <c r="T761" s="706">
        <f t="shared" si="722"/>
        <v>-4.2500000000000003E-3</v>
      </c>
      <c r="U761" s="706">
        <f t="shared" si="722"/>
        <v>2.8500000000000001E-3</v>
      </c>
      <c r="V761" s="792">
        <f t="shared" si="722"/>
        <v>-2.0399999999999998E-2</v>
      </c>
      <c r="W761" s="792">
        <f t="shared" si="722"/>
        <v>-9.9449999999999997E-2</v>
      </c>
      <c r="X761" s="792">
        <f t="shared" si="722"/>
        <v>-7.6109999999999997E-2</v>
      </c>
      <c r="Y761" s="792">
        <f t="shared" si="722"/>
        <v>-0.11804000000000001</v>
      </c>
      <c r="Z761" s="792">
        <f t="shared" si="722"/>
        <v>-7.8439999999999996E-2</v>
      </c>
      <c r="AA761" s="792">
        <f t="shared" si="722"/>
        <v>-5.1639999999999998E-2</v>
      </c>
      <c r="AB761" s="792">
        <f t="shared" si="722"/>
        <v>-2.792E-2</v>
      </c>
      <c r="AC761" s="792">
        <f t="shared" si="722"/>
        <v>0</v>
      </c>
      <c r="AD761" s="792">
        <f>+AD521</f>
        <v>0</v>
      </c>
      <c r="AE761" s="792">
        <f>+AE521</f>
        <v>0</v>
      </c>
    </row>
    <row r="762" spans="1:31" ht="12.75" customHeight="1">
      <c r="A762" s="664"/>
      <c r="B762" s="664">
        <v>127</v>
      </c>
      <c r="C762" s="782" t="s">
        <v>1769</v>
      </c>
      <c r="D762" s="746" t="s">
        <v>687</v>
      </c>
      <c r="E762" s="799" t="s">
        <v>2118</v>
      </c>
      <c r="F762" s="748"/>
      <c r="G762" s="799">
        <f t="shared" ref="G762:Q762" si="723">+G759+G760+G761</f>
        <v>0.10581000000000002</v>
      </c>
      <c r="H762" s="799">
        <f t="shared" si="723"/>
        <v>0.24929000000000001</v>
      </c>
      <c r="I762" s="799">
        <f t="shared" si="723"/>
        <v>1.50285</v>
      </c>
      <c r="J762" s="799">
        <f t="shared" si="723"/>
        <v>0.15283000000000002</v>
      </c>
      <c r="K762" s="799">
        <f t="shared" si="723"/>
        <v>0.12015000000000001</v>
      </c>
      <c r="L762" s="799">
        <f t="shared" si="723"/>
        <v>0.28591000000000005</v>
      </c>
      <c r="M762" s="799">
        <f t="shared" si="723"/>
        <v>0.25913000000000003</v>
      </c>
      <c r="N762" s="799">
        <f t="shared" si="723"/>
        <v>0.14212</v>
      </c>
      <c r="O762" s="799">
        <f t="shared" si="723"/>
        <v>6.7750000000000005E-2</v>
      </c>
      <c r="P762" s="799">
        <f t="shared" si="723"/>
        <v>8.9039999999999994E-2</v>
      </c>
      <c r="Q762" s="799">
        <f t="shared" si="723"/>
        <v>5.8669999999999993E-2</v>
      </c>
      <c r="R762" s="799">
        <f t="shared" ref="R762:Y762" si="724">+R759+R760+R761</f>
        <v>8.1490000000000007E-2</v>
      </c>
      <c r="S762" s="799">
        <f t="shared" si="724"/>
        <v>0.25211</v>
      </c>
      <c r="T762" s="799">
        <f>+T759+T760+T761</f>
        <v>0.15964</v>
      </c>
      <c r="U762" s="799">
        <f>+U759+U760+U761</f>
        <v>0.12178000000000001</v>
      </c>
      <c r="V762" s="800">
        <f t="shared" si="724"/>
        <v>0.10469999999999999</v>
      </c>
      <c r="W762" s="800">
        <f t="shared" si="724"/>
        <v>1.2988300000000002</v>
      </c>
      <c r="X762" s="800">
        <f t="shared" si="724"/>
        <v>2.138000000000001E-2</v>
      </c>
      <c r="Y762" s="800">
        <f t="shared" si="724"/>
        <v>0.34236</v>
      </c>
      <c r="Z762" s="800">
        <f t="shared" ref="Z762:AE762" si="725">+Z759+Z760+Z761</f>
        <v>0.43934999999999996</v>
      </c>
      <c r="AA762" s="800">
        <f t="shared" si="725"/>
        <v>0.26362999999999998</v>
      </c>
      <c r="AB762" s="800">
        <f t="shared" si="725"/>
        <v>0.19511999999999999</v>
      </c>
      <c r="AC762" s="800">
        <f t="shared" ca="1" si="725"/>
        <v>0.30395159999999999</v>
      </c>
      <c r="AD762" s="800">
        <f t="shared" ca="1" si="725"/>
        <v>0.22980715199999996</v>
      </c>
      <c r="AE762" s="800">
        <f t="shared" ca="1" si="725"/>
        <v>0.22980715199999996</v>
      </c>
    </row>
    <row r="763" spans="1:31" ht="12.75" customHeight="1">
      <c r="A763" s="664"/>
      <c r="B763" s="664"/>
      <c r="C763" s="842"/>
      <c r="D763" s="676" t="s">
        <v>687</v>
      </c>
      <c r="E763" s="1133" t="s">
        <v>376</v>
      </c>
      <c r="F763" s="1226" t="str">
        <f>+'VVP2'!F229</f>
        <v>$AI</v>
      </c>
      <c r="G763" s="1529">
        <f>+'VVP2'!G229</f>
        <v>0.25098999999999999</v>
      </c>
      <c r="H763" s="1529">
        <f>+'VVP2'!H229</f>
        <v>0.23119000000000001</v>
      </c>
      <c r="I763" s="1529">
        <f>+'VVP2'!I229</f>
        <v>0.26547000000000004</v>
      </c>
      <c r="J763" s="1529">
        <f>+'VVP2'!J229</f>
        <v>0.32951999999999998</v>
      </c>
      <c r="K763" s="1529">
        <f>+'VVP2'!K229</f>
        <v>0.32613999999999999</v>
      </c>
      <c r="L763" s="1529">
        <f>+'VVP2'!L229</f>
        <v>0.32395999999999997</v>
      </c>
      <c r="M763" s="1529">
        <f>+'VVP2'!M229</f>
        <v>0.32343</v>
      </c>
      <c r="N763" s="1529">
        <f>+'VVP2'!N229</f>
        <v>0.45168000000000003</v>
      </c>
      <c r="O763" s="1529">
        <f>+'VVP2'!O229</f>
        <v>0.51299000000000006</v>
      </c>
      <c r="P763" s="1529">
        <f>+'VVP2'!P229</f>
        <v>0.65776999999999997</v>
      </c>
      <c r="Q763" s="1529">
        <f>+'VVP2'!Q229</f>
        <v>0.75748000000000004</v>
      </c>
      <c r="R763" s="1529">
        <f>+'VVP2'!R229</f>
        <v>1.0293299999999999</v>
      </c>
      <c r="S763" s="1529">
        <f>+'VVP2'!S229</f>
        <v>1.57236</v>
      </c>
      <c r="T763" s="1529">
        <f>+'VVP2'!T229</f>
        <v>1.75915</v>
      </c>
      <c r="U763" s="1529">
        <f>+'VVP2'!U229</f>
        <v>1.1892</v>
      </c>
      <c r="V763" s="3013">
        <f>+'VVP2'!V229</f>
        <v>1.39093</v>
      </c>
      <c r="W763" s="3013">
        <f>+'VVP2'!W229</f>
        <v>1.47923</v>
      </c>
      <c r="X763" s="3013">
        <f>+'VVP2'!X229</f>
        <v>1.32633</v>
      </c>
      <c r="Y763" s="3013">
        <f>+'VVP2'!Y229</f>
        <v>1.30948</v>
      </c>
      <c r="Z763" s="3013">
        <f>+'VVP2'!Z229</f>
        <v>1.28298</v>
      </c>
      <c r="AA763" s="3013">
        <f>+'VVP2'!AA229</f>
        <v>1.3745099999999999</v>
      </c>
      <c r="AB763" s="3013">
        <f>+'VVP2'!AB229</f>
        <v>1.1535899999999999</v>
      </c>
      <c r="AC763" s="3013">
        <f ca="1">+'VVP2'!AC229</f>
        <v>1.2369138056999998</v>
      </c>
      <c r="AD763" s="3013">
        <f ca="1">+'VVP2'!AD229</f>
        <v>1.3547941652108211</v>
      </c>
      <c r="AE763" s="3013">
        <f ca="1">+'VVP2'!AE229</f>
        <v>1.4582326997246671</v>
      </c>
    </row>
    <row r="764" spans="1:31" ht="12.75" customHeight="1">
      <c r="A764" s="664"/>
      <c r="B764" s="664"/>
      <c r="C764" s="784"/>
      <c r="D764" s="752" t="s">
        <v>687</v>
      </c>
      <c r="E764" s="785" t="s">
        <v>164</v>
      </c>
      <c r="F764" s="754"/>
      <c r="G764" s="785">
        <f>+G762+G763</f>
        <v>0.35680000000000001</v>
      </c>
      <c r="H764" s="785">
        <f t="shared" ref="H764:Q764" si="726">+H762+H763</f>
        <v>0.48048000000000002</v>
      </c>
      <c r="I764" s="785">
        <f t="shared" si="726"/>
        <v>1.7683200000000001</v>
      </c>
      <c r="J764" s="785">
        <f t="shared" si="726"/>
        <v>0.48235</v>
      </c>
      <c r="K764" s="785">
        <f t="shared" si="726"/>
        <v>0.44628999999999996</v>
      </c>
      <c r="L764" s="785">
        <f t="shared" si="726"/>
        <v>0.60987000000000002</v>
      </c>
      <c r="M764" s="785">
        <f t="shared" si="726"/>
        <v>0.58255999999999997</v>
      </c>
      <c r="N764" s="785">
        <f t="shared" si="726"/>
        <v>0.59379999999999999</v>
      </c>
      <c r="O764" s="785">
        <f t="shared" si="726"/>
        <v>0.58074000000000003</v>
      </c>
      <c r="P764" s="785">
        <f t="shared" si="726"/>
        <v>0.74680999999999997</v>
      </c>
      <c r="Q764" s="785">
        <f t="shared" si="726"/>
        <v>0.81615000000000004</v>
      </c>
      <c r="R764" s="785">
        <f t="shared" ref="R764:Y764" si="727">+R762+R763</f>
        <v>1.1108199999999999</v>
      </c>
      <c r="S764" s="785">
        <f t="shared" si="727"/>
        <v>1.82447</v>
      </c>
      <c r="T764" s="785">
        <f>+T762+T763</f>
        <v>1.91879</v>
      </c>
      <c r="U764" s="785">
        <f>+U762+U763</f>
        <v>1.31098</v>
      </c>
      <c r="V764" s="844">
        <f t="shared" si="727"/>
        <v>1.49563</v>
      </c>
      <c r="W764" s="844">
        <f t="shared" si="727"/>
        <v>2.77806</v>
      </c>
      <c r="X764" s="844">
        <f t="shared" si="727"/>
        <v>1.34771</v>
      </c>
      <c r="Y764" s="844">
        <f t="shared" si="727"/>
        <v>1.65184</v>
      </c>
      <c r="Z764" s="844">
        <f t="shared" ref="Z764:AE764" si="728">+Z762+Z763</f>
        <v>1.7223299999999999</v>
      </c>
      <c r="AA764" s="844">
        <f t="shared" si="728"/>
        <v>1.6381399999999999</v>
      </c>
      <c r="AB764" s="844">
        <f t="shared" si="728"/>
        <v>1.3487099999999999</v>
      </c>
      <c r="AC764" s="844">
        <f t="shared" ca="1" si="728"/>
        <v>1.5408654056999997</v>
      </c>
      <c r="AD764" s="844">
        <f t="shared" ca="1" si="728"/>
        <v>1.5846013172108211</v>
      </c>
      <c r="AE764" s="844">
        <f t="shared" ca="1" si="728"/>
        <v>1.6880398517246671</v>
      </c>
    </row>
    <row r="765" spans="1:31" ht="12.75" customHeight="1">
      <c r="A765" s="664"/>
      <c r="B765" s="664"/>
      <c r="C765" s="774"/>
      <c r="D765" s="806"/>
      <c r="E765" s="809" t="s">
        <v>379</v>
      </c>
      <c r="F765" s="808"/>
      <c r="G765" s="841">
        <f>+G764/'VVP2'!G$341</f>
        <v>4.5952556046534691E-2</v>
      </c>
      <c r="H765" s="841">
        <f>+H764/'VVP2'!H$341</f>
        <v>4.9461867481972177E-2</v>
      </c>
      <c r="I765" s="841">
        <f>+I764/'VVP2'!I$341</f>
        <v>0.15082469460967526</v>
      </c>
      <c r="J765" s="841">
        <f>+J764/'VVP2'!J$341</f>
        <v>3.7041274892566096E-2</v>
      </c>
      <c r="K765" s="841">
        <f>+K764/'VVP2'!K$341</f>
        <v>3.5107551242597589E-2</v>
      </c>
      <c r="L765" s="841">
        <f>+L764/'VVP2'!L$341</f>
        <v>4.5621019465626585E-2</v>
      </c>
      <c r="M765" s="841">
        <f>+M764/'VVP2'!M$341</f>
        <v>4.1041190543956399E-2</v>
      </c>
      <c r="N765" s="841">
        <f>+N764/'VVP2'!N$341</f>
        <v>3.9060213114311966E-2</v>
      </c>
      <c r="O765" s="841">
        <f>+O764/'VVP2'!O$341</f>
        <v>3.4840609341703625E-2</v>
      </c>
      <c r="P765" s="841">
        <f>+P764/'VVP2'!P$341</f>
        <v>4.0948649282914751E-2</v>
      </c>
      <c r="Q765" s="841">
        <f>+Q764/'VVP2'!Q$341</f>
        <v>3.885993710227665E-2</v>
      </c>
      <c r="R765" s="841">
        <f>+R764/'VVP2'!R$341</f>
        <v>4.6131969610260809E-2</v>
      </c>
      <c r="S765" s="841">
        <f>+S764/'VVP2'!S$341</f>
        <v>6.282467409487251E-2</v>
      </c>
      <c r="T765" s="841">
        <f>+T764/'VVP2'!T$341</f>
        <v>5.868526939456109E-2</v>
      </c>
      <c r="U765" s="841">
        <f>+U764/'VVP2'!U$341</f>
        <v>4.8672313384681989E-2</v>
      </c>
      <c r="V765" s="2912">
        <f>+V764/'VVP2'!V$341</f>
        <v>5.3362642475326162E-2</v>
      </c>
      <c r="W765" s="2912">
        <f>+W764/'VVP2'!W$341</f>
        <v>8.8825949662545423E-2</v>
      </c>
      <c r="X765" s="2912">
        <f>+X764/'VVP2'!X$341</f>
        <v>4.0412936361717229E-2</v>
      </c>
      <c r="Y765" s="2912">
        <f>+Y764/'VVP2'!Y$341</f>
        <v>4.7249900957246418E-2</v>
      </c>
      <c r="Z765" s="2912">
        <f>+Z764/'VVP2'!Z$341</f>
        <v>4.7099015868397417E-2</v>
      </c>
      <c r="AA765" s="2912">
        <f>+AA764/'VVP2'!AA$341</f>
        <v>4.3769392953302469E-2</v>
      </c>
      <c r="AB765" s="2912">
        <f>+AB764/'VVP2'!AB$341</f>
        <v>3.4878939659131809E-2</v>
      </c>
      <c r="AC765" s="2912">
        <f ca="1">+AC764/'VVP2'!AC$341</f>
        <v>3.6880812503530598E-2</v>
      </c>
      <c r="AD765" s="2912">
        <f ca="1">+AD764/'VVP2'!AD$341</f>
        <v>3.5841335935671043E-2</v>
      </c>
      <c r="AE765" s="2912">
        <f ca="1">+AE764/'VVP2'!AE$341</f>
        <v>3.6164855907544133E-2</v>
      </c>
    </row>
    <row r="766" spans="1:31">
      <c r="Q766" s="2307"/>
      <c r="R766" s="699"/>
      <c r="S766" s="699"/>
      <c r="T766" s="699"/>
      <c r="U766" s="699"/>
      <c r="V766" s="843"/>
      <c r="W766" s="843"/>
      <c r="X766" s="843"/>
      <c r="Y766" s="843"/>
      <c r="Z766" s="843"/>
      <c r="AA766" s="843"/>
      <c r="AB766" s="843"/>
      <c r="AC766" s="843"/>
      <c r="AD766" s="843"/>
      <c r="AE766" s="843"/>
    </row>
    <row r="767" spans="1:31" ht="12.75" customHeight="1">
      <c r="A767" s="664"/>
      <c r="B767" s="664"/>
      <c r="C767" s="774"/>
      <c r="D767" s="775"/>
      <c r="E767" s="776" t="s">
        <v>1384</v>
      </c>
      <c r="F767" s="777"/>
      <c r="G767" s="778">
        <f>+InputY!$G$3</f>
        <v>1995</v>
      </c>
      <c r="H767" s="778">
        <f>+G767+1</f>
        <v>1996</v>
      </c>
      <c r="I767" s="778">
        <f t="shared" ref="I767:O767" si="729">+H767+1</f>
        <v>1997</v>
      </c>
      <c r="J767" s="778">
        <f t="shared" si="729"/>
        <v>1998</v>
      </c>
      <c r="K767" s="778">
        <f>+J767+1</f>
        <v>1999</v>
      </c>
      <c r="L767" s="778">
        <f t="shared" si="729"/>
        <v>2000</v>
      </c>
      <c r="M767" s="778">
        <f t="shared" si="729"/>
        <v>2001</v>
      </c>
      <c r="N767" s="778">
        <f t="shared" si="729"/>
        <v>2002</v>
      </c>
      <c r="O767" s="778">
        <f t="shared" si="729"/>
        <v>2003</v>
      </c>
      <c r="P767" s="778">
        <f>+O767+1</f>
        <v>2004</v>
      </c>
      <c r="Q767" s="778">
        <f>+P767+1</f>
        <v>2005</v>
      </c>
      <c r="R767" s="778">
        <f>+Q767+1</f>
        <v>2006</v>
      </c>
      <c r="S767" s="778">
        <f t="shared" ref="S767:X767" si="730">+R767+1</f>
        <v>2007</v>
      </c>
      <c r="T767" s="778">
        <f t="shared" si="730"/>
        <v>2008</v>
      </c>
      <c r="U767" s="778">
        <f t="shared" si="730"/>
        <v>2009</v>
      </c>
      <c r="V767" s="778">
        <f t="shared" si="730"/>
        <v>2010</v>
      </c>
      <c r="W767" s="778">
        <f t="shared" si="730"/>
        <v>2011</v>
      </c>
      <c r="X767" s="778">
        <f t="shared" si="730"/>
        <v>2012</v>
      </c>
      <c r="Y767" s="778">
        <f t="shared" ref="Y767:AE767" si="731">+X767+1</f>
        <v>2013</v>
      </c>
      <c r="Z767" s="778">
        <f t="shared" si="731"/>
        <v>2014</v>
      </c>
      <c r="AA767" s="778">
        <f t="shared" si="731"/>
        <v>2015</v>
      </c>
      <c r="AB767" s="778">
        <f t="shared" si="731"/>
        <v>2016</v>
      </c>
      <c r="AC767" s="778">
        <f t="shared" si="731"/>
        <v>2017</v>
      </c>
      <c r="AD767" s="778">
        <f t="shared" si="731"/>
        <v>2018</v>
      </c>
      <c r="AE767" s="778">
        <f t="shared" si="731"/>
        <v>2019</v>
      </c>
    </row>
    <row r="768" spans="1:31" ht="12.75" customHeight="1">
      <c r="A768" s="664"/>
      <c r="B768" s="664"/>
      <c r="C768" s="779" t="s">
        <v>1767</v>
      </c>
      <c r="D768" s="668" t="s">
        <v>688</v>
      </c>
      <c r="E768" s="780" t="str">
        <f>+Labour1!E216</f>
        <v>Compensation of employees (Net) (D.1)</v>
      </c>
      <c r="F768" s="701" t="s">
        <v>1165</v>
      </c>
      <c r="G768" s="780">
        <f>+Labour1!G216</f>
        <v>-5.7924003707136244E-4</v>
      </c>
      <c r="H768" s="780">
        <f>+Labour1!H216</f>
        <v>-3.6492122335495827E-2</v>
      </c>
      <c r="I768" s="780">
        <f>+Labour1!I216</f>
        <v>-6.4874884151992593E-2</v>
      </c>
      <c r="J768" s="780">
        <f>+Labour1!J216</f>
        <v>-6.9798424467099163E-2</v>
      </c>
      <c r="K768" s="780">
        <f>+Labour1!K216</f>
        <v>-5.0393883225208526E-2</v>
      </c>
      <c r="L768" s="780">
        <f>+Labour1!L216</f>
        <v>1.2743280815569975E-2</v>
      </c>
      <c r="M768" s="780">
        <f>+Labour1!M216</f>
        <v>5.5317423540315103E-2</v>
      </c>
      <c r="N768" s="780">
        <f>+Labour1!N216</f>
        <v>6.7191844300278039E-2</v>
      </c>
      <c r="O768" s="780">
        <f>+Labour1!O216</f>
        <v>4.6918443002780356E-2</v>
      </c>
      <c r="P768" s="780">
        <f>+Labour1!P216</f>
        <v>0.14452038924930491</v>
      </c>
      <c r="Q768" s="780">
        <f>+Labour1!Q216</f>
        <v>0.185</v>
      </c>
      <c r="R768" s="780">
        <f>+Labour1!R216</f>
        <v>0.20200000000000001</v>
      </c>
      <c r="S768" s="780">
        <f>+Labour1!S216</f>
        <v>0.159</v>
      </c>
      <c r="T768" s="780">
        <f>+Labour1!T216</f>
        <v>9.5000000000000001E-2</v>
      </c>
      <c r="U768" s="780">
        <f>+Labour1!U216</f>
        <v>1.7000000000000001E-2</v>
      </c>
      <c r="V768" s="846">
        <f>+Labour1!V216</f>
        <v>0.17100000000000001</v>
      </c>
      <c r="W768" s="846">
        <f>+Labour1!W216</f>
        <v>0.13700000000000001</v>
      </c>
      <c r="X768" s="846">
        <f>+Labour1!X216</f>
        <v>2.1000000000000001E-2</v>
      </c>
      <c r="Y768" s="846">
        <f>+Labour1!Y216</f>
        <v>3.6999999999999998E-2</v>
      </c>
      <c r="Z768" s="846">
        <f>+Labour1!Z216</f>
        <v>-1.7999999999999999E-2</v>
      </c>
      <c r="AA768" s="846">
        <f>+Labour1!AA216</f>
        <v>-1E-3</v>
      </c>
      <c r="AB768" s="3275">
        <f>+Labour1!AB216</f>
        <v>-4.7E-2</v>
      </c>
      <c r="AC768" s="3275">
        <f>+Labour1!AC216</f>
        <v>0</v>
      </c>
      <c r="AD768" s="3275">
        <f>+Labour1!AD216</f>
        <v>0</v>
      </c>
      <c r="AE768" s="3275">
        <f>+Labour1!AE216</f>
        <v>0</v>
      </c>
    </row>
    <row r="769" spans="1:113" ht="12.75" customHeight="1">
      <c r="A769" s="664"/>
      <c r="B769" s="664"/>
      <c r="C769" s="782" t="s">
        <v>1767</v>
      </c>
      <c r="D769" s="674" t="s">
        <v>688</v>
      </c>
      <c r="E769" s="706" t="s">
        <v>1972</v>
      </c>
      <c r="F769" s="704" t="s">
        <v>2087</v>
      </c>
      <c r="G769" s="706">
        <f t="shared" ref="G769:AC769" si="732">+G49</f>
        <v>0</v>
      </c>
      <c r="H769" s="706">
        <f t="shared" si="732"/>
        <v>0</v>
      </c>
      <c r="I769" s="706">
        <f t="shared" si="732"/>
        <v>0</v>
      </c>
      <c r="J769" s="706">
        <f t="shared" si="732"/>
        <v>0</v>
      </c>
      <c r="K769" s="706">
        <f t="shared" si="732"/>
        <v>0</v>
      </c>
      <c r="L769" s="706">
        <f t="shared" si="732"/>
        <v>0</v>
      </c>
      <c r="M769" s="706">
        <f t="shared" si="732"/>
        <v>0</v>
      </c>
      <c r="N769" s="706">
        <f t="shared" si="732"/>
        <v>0</v>
      </c>
      <c r="O769" s="706">
        <f t="shared" si="732"/>
        <v>0</v>
      </c>
      <c r="P769" s="706">
        <f t="shared" si="732"/>
        <v>0.12193002780352179</v>
      </c>
      <c r="Q769" s="706">
        <f t="shared" si="732"/>
        <v>0.245</v>
      </c>
      <c r="R769" s="706">
        <f t="shared" si="732"/>
        <v>0.23499999999999999</v>
      </c>
      <c r="S769" s="706">
        <f t="shared" si="732"/>
        <v>0.189</v>
      </c>
      <c r="T769" s="706">
        <f t="shared" si="732"/>
        <v>0.20699999999999999</v>
      </c>
      <c r="U769" s="706">
        <f t="shared" si="732"/>
        <v>0.27300000000000002</v>
      </c>
      <c r="V769" s="792">
        <f t="shared" si="732"/>
        <v>0.30499999999999999</v>
      </c>
      <c r="W769" s="792">
        <f t="shared" si="732"/>
        <v>0.32300000000000001</v>
      </c>
      <c r="X769" s="792">
        <f t="shared" si="732"/>
        <v>0.36599999999999999</v>
      </c>
      <c r="Y769" s="792">
        <f t="shared" si="732"/>
        <v>0.38900000000000001</v>
      </c>
      <c r="Z769" s="792">
        <f t="shared" si="732"/>
        <v>0.38600000000000001</v>
      </c>
      <c r="AA769" s="792">
        <f t="shared" si="732"/>
        <v>0.441</v>
      </c>
      <c r="AB769" s="792">
        <f t="shared" si="732"/>
        <v>0.46700000000000003</v>
      </c>
      <c r="AC769" s="792">
        <f t="shared" si="732"/>
        <v>0.47867499999999996</v>
      </c>
      <c r="AD769" s="792">
        <f>+AD49</f>
        <v>0.49064187499999989</v>
      </c>
      <c r="AE769" s="792">
        <f>+AE49</f>
        <v>0.50290792187499989</v>
      </c>
    </row>
    <row r="770" spans="1:113" ht="12.75" customHeight="1">
      <c r="A770" s="664"/>
      <c r="B770" s="664"/>
      <c r="C770" s="782" t="s">
        <v>401</v>
      </c>
      <c r="D770" s="674" t="s">
        <v>688</v>
      </c>
      <c r="E770" s="706" t="s">
        <v>1952</v>
      </c>
      <c r="F770" s="704" t="s">
        <v>2084</v>
      </c>
      <c r="G770" s="706">
        <f t="shared" ref="G770:AC770" si="733">+G12</f>
        <v>0</v>
      </c>
      <c r="H770" s="706">
        <f t="shared" si="733"/>
        <v>0</v>
      </c>
      <c r="I770" s="706">
        <f t="shared" si="733"/>
        <v>0</v>
      </c>
      <c r="J770" s="706">
        <f t="shared" si="733"/>
        <v>0</v>
      </c>
      <c r="K770" s="706">
        <f t="shared" si="733"/>
        <v>0</v>
      </c>
      <c r="L770" s="706">
        <f t="shared" si="733"/>
        <v>0</v>
      </c>
      <c r="M770" s="706">
        <f t="shared" si="733"/>
        <v>0</v>
      </c>
      <c r="N770" s="706">
        <f t="shared" si="733"/>
        <v>0</v>
      </c>
      <c r="O770" s="706">
        <f t="shared" si="733"/>
        <v>0</v>
      </c>
      <c r="P770" s="706">
        <f t="shared" si="733"/>
        <v>3.4464782205746058E-2</v>
      </c>
      <c r="Q770" s="706" t="e">
        <f t="shared" si="733"/>
        <v>#VALUE!</v>
      </c>
      <c r="R770" s="706" t="e">
        <f t="shared" si="733"/>
        <v>#VALUE!</v>
      </c>
      <c r="S770" s="706" t="e">
        <f t="shared" si="733"/>
        <v>#VALUE!</v>
      </c>
      <c r="T770" s="706">
        <f t="shared" si="733"/>
        <v>0.11799999999999999</v>
      </c>
      <c r="U770" s="706">
        <f t="shared" si="733"/>
        <v>7.9000000000000001E-2</v>
      </c>
      <c r="V770" s="792">
        <f t="shared" si="733"/>
        <v>8.7999999999999995E-2</v>
      </c>
      <c r="W770" s="792">
        <f t="shared" si="733"/>
        <v>9.1999999999999998E-2</v>
      </c>
      <c r="X770" s="792">
        <f t="shared" si="733"/>
        <v>8.6999999999999994E-2</v>
      </c>
      <c r="Y770" s="792">
        <f t="shared" si="733"/>
        <v>0.1</v>
      </c>
      <c r="Z770" s="792">
        <f t="shared" si="733"/>
        <v>0.10299999999999999</v>
      </c>
      <c r="AA770" s="792">
        <f t="shared" si="733"/>
        <v>0.123</v>
      </c>
      <c r="AB770" s="792">
        <f t="shared" si="733"/>
        <v>0.112</v>
      </c>
      <c r="AC770" s="792">
        <f t="shared" si="733"/>
        <v>0.11648</v>
      </c>
      <c r="AD770" s="792">
        <f>+AD12</f>
        <v>0.1211392</v>
      </c>
      <c r="AE770" s="792">
        <f>+AE12</f>
        <v>0.125984768</v>
      </c>
    </row>
    <row r="771" spans="1:113" ht="12.75" customHeight="1">
      <c r="A771" s="664"/>
      <c r="B771" s="664"/>
      <c r="C771" s="782" t="s">
        <v>401</v>
      </c>
      <c r="D771" s="674" t="s">
        <v>688</v>
      </c>
      <c r="E771" s="706" t="str">
        <f>+E142</f>
        <v>Property income (net - negative means paid) (D.4)</v>
      </c>
      <c r="F771" s="704" t="s">
        <v>885</v>
      </c>
      <c r="G771" s="706">
        <f t="shared" ref="G771:AC771" si="734">+G142</f>
        <v>7.8197405004633899E-3</v>
      </c>
      <c r="H771" s="706">
        <f t="shared" si="734"/>
        <v>7.24050046339203E-2</v>
      </c>
      <c r="I771" s="706">
        <f t="shared" si="734"/>
        <v>0.15118164967562558</v>
      </c>
      <c r="J771" s="706">
        <f t="shared" si="734"/>
        <v>0.22329703429101019</v>
      </c>
      <c r="K771" s="706">
        <f t="shared" si="734"/>
        <v>0.24357043558850788</v>
      </c>
      <c r="L771" s="706">
        <f t="shared" si="734"/>
        <v>0.24414967562557924</v>
      </c>
      <c r="M771" s="706">
        <f t="shared" si="734"/>
        <v>0.24125347544022246</v>
      </c>
      <c r="N771" s="706">
        <f t="shared" si="734"/>
        <v>0.21431881371640407</v>
      </c>
      <c r="O771" s="706">
        <f t="shared" si="734"/>
        <v>0.45296570898980537</v>
      </c>
      <c r="P771" s="706">
        <f t="shared" si="734"/>
        <v>0.5847428174235404</v>
      </c>
      <c r="Q771" s="706">
        <f t="shared" si="734"/>
        <v>0.66600000000000004</v>
      </c>
      <c r="R771" s="706">
        <f t="shared" si="734"/>
        <v>0.84499999999999997</v>
      </c>
      <c r="S771" s="706">
        <f t="shared" si="734"/>
        <v>1.367</v>
      </c>
      <c r="T771" s="706">
        <f t="shared" si="734"/>
        <v>1.353</v>
      </c>
      <c r="U771" s="706">
        <f t="shared" si="734"/>
        <v>-0.24299999999999999</v>
      </c>
      <c r="V771" s="792">
        <f t="shared" si="734"/>
        <v>0.98599999999999999</v>
      </c>
      <c r="W771" s="792">
        <f t="shared" si="734"/>
        <v>1.583</v>
      </c>
      <c r="X771" s="792">
        <f t="shared" si="734"/>
        <v>1.347</v>
      </c>
      <c r="Y771" s="792">
        <f t="shared" si="734"/>
        <v>1.2809999999999999</v>
      </c>
      <c r="Z771" s="792">
        <f t="shared" si="734"/>
        <v>0.77200000000000002</v>
      </c>
      <c r="AA771" s="792">
        <f t="shared" si="734"/>
        <v>1.871</v>
      </c>
      <c r="AB771" s="792">
        <f t="shared" si="734"/>
        <v>1.851</v>
      </c>
      <c r="AC771" s="792">
        <f t="shared" si="734"/>
        <v>1.8787649999999998</v>
      </c>
      <c r="AD771" s="792">
        <f>+AD142</f>
        <v>1.9163402999999999</v>
      </c>
      <c r="AE771" s="792">
        <f>+AE142</f>
        <v>1.9546671059999998</v>
      </c>
    </row>
    <row r="772" spans="1:113" ht="12.75" customHeight="1">
      <c r="A772" s="664"/>
      <c r="B772" s="664">
        <v>140</v>
      </c>
      <c r="C772" s="784" t="s">
        <v>1769</v>
      </c>
      <c r="D772" s="752" t="s">
        <v>688</v>
      </c>
      <c r="E772" s="785" t="s">
        <v>1954</v>
      </c>
      <c r="F772" s="754" t="s">
        <v>1953</v>
      </c>
      <c r="G772" s="785">
        <f t="shared" ref="G772:Q772" si="735">+G768+G769-G770-G771</f>
        <v>-8.3989805375347532E-3</v>
      </c>
      <c r="H772" s="785">
        <f t="shared" si="735"/>
        <v>-0.10889712696941613</v>
      </c>
      <c r="I772" s="785">
        <f t="shared" si="735"/>
        <v>-0.21605653382761819</v>
      </c>
      <c r="J772" s="785">
        <f t="shared" si="735"/>
        <v>-0.29309545875810938</v>
      </c>
      <c r="K772" s="785">
        <f t="shared" si="735"/>
        <v>-0.29396431881371643</v>
      </c>
      <c r="L772" s="785">
        <f t="shared" si="735"/>
        <v>-0.23140639481000927</v>
      </c>
      <c r="M772" s="785">
        <f t="shared" si="735"/>
        <v>-0.18593605189990736</v>
      </c>
      <c r="N772" s="785">
        <f t="shared" si="735"/>
        <v>-0.14712696941612602</v>
      </c>
      <c r="O772" s="785">
        <f t="shared" si="735"/>
        <v>-0.40604726598702501</v>
      </c>
      <c r="P772" s="785">
        <f t="shared" si="735"/>
        <v>-0.35275718257645977</v>
      </c>
      <c r="Q772" s="785" t="e">
        <f t="shared" si="735"/>
        <v>#VALUE!</v>
      </c>
      <c r="R772" s="785" t="e">
        <f>+R768+R769-R770-R771</f>
        <v>#VALUE!</v>
      </c>
      <c r="S772" s="785" t="e">
        <f>+S768+S769-S770-S771</f>
        <v>#VALUE!</v>
      </c>
      <c r="T772" s="785">
        <f t="shared" ref="T772:Y772" si="736">+T768+T769-T770-T771</f>
        <v>-1.169</v>
      </c>
      <c r="U772" s="785">
        <f t="shared" si="736"/>
        <v>0.45400000000000001</v>
      </c>
      <c r="V772" s="3175">
        <f t="shared" si="736"/>
        <v>-0.59799999999999998</v>
      </c>
      <c r="W772" s="844">
        <f t="shared" si="736"/>
        <v>-1.2149999999999999</v>
      </c>
      <c r="X772" s="3227">
        <f t="shared" si="736"/>
        <v>-1.0469999999999999</v>
      </c>
      <c r="Y772" s="844">
        <f t="shared" si="736"/>
        <v>-0.95499999999999996</v>
      </c>
      <c r="Z772" s="844">
        <f t="shared" ref="Z772:AE772" si="737">+Z768+Z769-Z770-Z771</f>
        <v>-0.50700000000000001</v>
      </c>
      <c r="AA772" s="3264">
        <f t="shared" si="737"/>
        <v>-1.554</v>
      </c>
      <c r="AB772" s="3227">
        <f t="shared" si="737"/>
        <v>-1.5429999999999999</v>
      </c>
      <c r="AC772" s="844">
        <f t="shared" si="737"/>
        <v>-1.5165699999999998</v>
      </c>
      <c r="AD772" s="844">
        <f>+AD768+AD769-AD770-AD771</f>
        <v>-1.546837625</v>
      </c>
      <c r="AE772" s="844">
        <f t="shared" si="737"/>
        <v>-1.5777439521250001</v>
      </c>
    </row>
    <row r="773" spans="1:113" s="1976" customFormat="1" ht="12.75" customHeight="1">
      <c r="A773" s="664">
        <f>+ROW(InputY!A94)</f>
        <v>94</v>
      </c>
      <c r="B773" s="998"/>
      <c r="C773" s="1595"/>
      <c r="D773" s="1975" t="s">
        <v>688</v>
      </c>
      <c r="E773" s="1973" t="s">
        <v>1954</v>
      </c>
      <c r="F773" s="1974" t="s">
        <v>1953</v>
      </c>
      <c r="G773" s="1002">
        <f>IF(+InputY!G94=":",G772,+InputY!G94/1000)</f>
        <v>-1.32E-2</v>
      </c>
      <c r="H773" s="1002">
        <f>IF(+InputY!H94=":",H772,+InputY!H94/1000)</f>
        <v>-0.10087</v>
      </c>
      <c r="I773" s="1002">
        <f>IF(+InputY!I94=":",I772,+InputY!I94/1000)</f>
        <v>-0.22203999999999999</v>
      </c>
      <c r="J773" s="1002">
        <f>IF(+InputY!J94=":",J772,+InputY!J94/1000)</f>
        <v>-0.29128999999999999</v>
      </c>
      <c r="K773" s="1002">
        <f>IF(+InputY!K94=":",K772,+InputY!K94/1000)</f>
        <v>-0.30279</v>
      </c>
      <c r="L773" s="1002">
        <f>IF(+InputY!L94=":",L772,+InputY!L94/1000)</f>
        <v>-0.23988999999999999</v>
      </c>
      <c r="M773" s="1002">
        <f>IF(+InputY!M94=":",M772,+InputY!M94/1000)</f>
        <v>-0.19155</v>
      </c>
      <c r="N773" s="1002">
        <f>IF(+InputY!N94=":",N772,+InputY!N94/1000)</f>
        <v>-0.16068000000000002</v>
      </c>
      <c r="O773" s="1002">
        <f>IF(+InputY!O94=":",O772,+InputY!O94/1000)</f>
        <v>-0.41287999999999997</v>
      </c>
      <c r="P773" s="1002">
        <f>IF(+InputY!P94=":",P772,+InputY!P94/1000)</f>
        <v>-0.35507</v>
      </c>
      <c r="Q773" s="1002">
        <f>IF(+InputY!Q94=":",Q772,+InputY!Q94/1000)</f>
        <v>-0.28081</v>
      </c>
      <c r="R773" s="1002">
        <f>IF(+InputY!R94=":",R772,+InputY!R94/1000)</f>
        <v>-0.45949000000000001</v>
      </c>
      <c r="S773" s="1002">
        <f>IF(+InputY!S94=":",S772,+InputY!S94/1000)</f>
        <v>-1.0934000000000001</v>
      </c>
      <c r="T773" s="1002">
        <f>IF(+InputY!T94=":",T772,+InputY!T94/1000)</f>
        <v>-1.11477</v>
      </c>
      <c r="U773" s="1002">
        <f>IF(+InputY!U94=":",U772,+InputY!U94/1000)</f>
        <v>0.50280000000000002</v>
      </c>
      <c r="V773" s="2904">
        <f>IF(+InputY!V94=":",V772,+InputY!V94/1000)</f>
        <v>-0.52207000000000003</v>
      </c>
      <c r="W773" s="2904">
        <f>IF(+InputY!W94=":",W772,+InputY!W94/1000)</f>
        <v>-1.1480299999999999</v>
      </c>
      <c r="X773" s="2904">
        <f>IF(+InputY!X94=":",X772,+InputY!X94/1000)</f>
        <v>-1.00617</v>
      </c>
      <c r="Y773" s="2904">
        <f>IF(+InputY!Y94=":",Y772,+InputY!Y94/1000)</f>
        <v>-0.90969000000000011</v>
      </c>
      <c r="Z773" s="2904">
        <f>IF(+InputY!Z94=":",Z772,+InputY!Z94/1000)</f>
        <v>-0.4748</v>
      </c>
      <c r="AA773" s="2904">
        <f>IF(+InputY!AA94=":",AA772,+InputY!AA94/1000)</f>
        <v>-1.52396</v>
      </c>
      <c r="AB773" s="2904">
        <f>IF(+InputY!AB94=":",AB772,+InputY!AB94/1000)</f>
        <v>-1.5250299999999999</v>
      </c>
      <c r="AC773" s="2904">
        <f>IF(+InputY!AC94=":",AC772,+InputY!AC94/1000)</f>
        <v>-1.5165699999999998</v>
      </c>
      <c r="AD773" s="2904">
        <f>IF(+InputY!AD94=":",AD772,+InputY!AD94/1000)</f>
        <v>-1.546837625</v>
      </c>
      <c r="AE773" s="2904">
        <f>IF(+InputY!AE94=":",AE772,+InputY!AE94/1000)</f>
        <v>-1.5777439521250001</v>
      </c>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c r="BZ773"/>
      <c r="CA773"/>
      <c r="CB773"/>
      <c r="CC773"/>
      <c r="CD773"/>
      <c r="CE773"/>
      <c r="CF773"/>
      <c r="CG773"/>
      <c r="CH773"/>
      <c r="CI773"/>
      <c r="CJ773"/>
      <c r="CK773"/>
      <c r="CL773"/>
      <c r="CM773"/>
      <c r="CN773"/>
      <c r="CO773"/>
      <c r="CP773"/>
      <c r="CQ773"/>
      <c r="CR773"/>
      <c r="CS773"/>
      <c r="CT773"/>
      <c r="CU773"/>
      <c r="CV773"/>
      <c r="CW773"/>
      <c r="CX773"/>
      <c r="CY773"/>
      <c r="CZ773"/>
      <c r="DA773"/>
      <c r="DB773"/>
      <c r="DC773"/>
      <c r="DD773"/>
      <c r="DE773"/>
      <c r="DF773"/>
      <c r="DG773"/>
      <c r="DH773"/>
      <c r="DI773"/>
    </row>
    <row r="774" spans="1:113" s="1976" customFormat="1" ht="12.75" customHeight="1">
      <c r="A774" s="998"/>
      <c r="B774" s="998"/>
      <c r="C774" s="1595"/>
      <c r="D774" s="1975"/>
      <c r="E774" s="1973" t="s">
        <v>737</v>
      </c>
      <c r="F774" s="1974"/>
      <c r="G774" s="1002">
        <f>ABS(G772-G773)</f>
        <v>4.8010194624652468E-3</v>
      </c>
      <c r="H774" s="1002">
        <f t="shared" ref="H774:Q774" si="738">ABS(H772-H773)</f>
        <v>8.0271269694161262E-3</v>
      </c>
      <c r="I774" s="1002">
        <f t="shared" si="738"/>
        <v>5.9834661723817961E-3</v>
      </c>
      <c r="J774" s="1002">
        <f t="shared" si="738"/>
        <v>1.8054587581093906E-3</v>
      </c>
      <c r="K774" s="1002">
        <f t="shared" si="738"/>
        <v>8.8256811862835738E-3</v>
      </c>
      <c r="L774" s="1002">
        <f t="shared" si="738"/>
        <v>8.4836051899907228E-3</v>
      </c>
      <c r="M774" s="1002">
        <f t="shared" si="738"/>
        <v>5.6139481000926361E-3</v>
      </c>
      <c r="N774" s="1002">
        <f t="shared" si="738"/>
        <v>1.3553030583873998E-2</v>
      </c>
      <c r="O774" s="1002">
        <f t="shared" si="738"/>
        <v>6.8327340129749614E-3</v>
      </c>
      <c r="P774" s="1002">
        <f t="shared" si="738"/>
        <v>2.3128174235402255E-3</v>
      </c>
      <c r="Q774" s="1002" t="e">
        <f t="shared" si="738"/>
        <v>#VALUE!</v>
      </c>
      <c r="R774" s="1002" t="e">
        <f t="shared" ref="R774:Y774" si="739">ABS(R772-R773)</f>
        <v>#VALUE!</v>
      </c>
      <c r="S774" s="1002" t="e">
        <f t="shared" si="739"/>
        <v>#VALUE!</v>
      </c>
      <c r="T774" s="1002">
        <f>ABS(T772-T773)</f>
        <v>5.423E-2</v>
      </c>
      <c r="U774" s="1002">
        <f>ABS(U772-U773)</f>
        <v>4.880000000000001E-2</v>
      </c>
      <c r="V774" s="2904">
        <f t="shared" si="739"/>
        <v>7.5929999999999942E-2</v>
      </c>
      <c r="W774" s="2904">
        <f t="shared" si="739"/>
        <v>6.6969999999999974E-2</v>
      </c>
      <c r="X774" s="2904">
        <f t="shared" si="739"/>
        <v>4.0829999999999922E-2</v>
      </c>
      <c r="Y774" s="3130">
        <f t="shared" si="739"/>
        <v>4.530999999999985E-2</v>
      </c>
      <c r="Z774" s="3130">
        <f t="shared" ref="Z774:AE774" si="740">ABS(Z772-Z773)</f>
        <v>3.2200000000000006E-2</v>
      </c>
      <c r="AA774" s="3130">
        <f t="shared" si="740"/>
        <v>3.0040000000000067E-2</v>
      </c>
      <c r="AB774" s="3130">
        <f t="shared" si="740"/>
        <v>1.7970000000000041E-2</v>
      </c>
      <c r="AC774" s="2904">
        <f t="shared" si="740"/>
        <v>0</v>
      </c>
      <c r="AD774" s="2904">
        <f t="shared" si="740"/>
        <v>0</v>
      </c>
      <c r="AE774" s="2904">
        <f t="shared" si="740"/>
        <v>0</v>
      </c>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c r="BZ774"/>
      <c r="CA774"/>
      <c r="CB774"/>
      <c r="CC774"/>
      <c r="CD774"/>
      <c r="CE774"/>
      <c r="CF774"/>
      <c r="CG774"/>
      <c r="CH774"/>
      <c r="CI774"/>
      <c r="CJ774"/>
      <c r="CK774"/>
      <c r="CL774"/>
      <c r="CM774"/>
      <c r="CN774"/>
      <c r="CO774"/>
      <c r="CP774"/>
      <c r="CQ774"/>
      <c r="CR774"/>
      <c r="CS774"/>
      <c r="CT774"/>
      <c r="CU774"/>
      <c r="CV774"/>
      <c r="CW774"/>
      <c r="CX774"/>
      <c r="CY774"/>
      <c r="CZ774"/>
      <c r="DA774"/>
      <c r="DB774"/>
      <c r="DC774"/>
      <c r="DD774"/>
      <c r="DE774"/>
      <c r="DF774"/>
      <c r="DG774"/>
      <c r="DH774"/>
      <c r="DI774"/>
    </row>
    <row r="775" spans="1:113">
      <c r="Q775" s="699"/>
      <c r="AB775" s="2221"/>
      <c r="AC775" s="2221"/>
      <c r="AD775" s="2221"/>
      <c r="AE775" s="2221"/>
    </row>
    <row r="776" spans="1:113" ht="12.75" customHeight="1">
      <c r="A776" s="664"/>
      <c r="B776" s="664"/>
      <c r="C776" s="774"/>
      <c r="D776" s="775"/>
      <c r="E776" s="776" t="s">
        <v>1384</v>
      </c>
      <c r="F776" s="777"/>
      <c r="G776" s="778">
        <f>+InputY!$G$3</f>
        <v>1995</v>
      </c>
      <c r="H776" s="778">
        <f>+G776+1</f>
        <v>1996</v>
      </c>
      <c r="I776" s="778">
        <f t="shared" ref="I776:R776" si="741">+H776+1</f>
        <v>1997</v>
      </c>
      <c r="J776" s="778">
        <f t="shared" si="741"/>
        <v>1998</v>
      </c>
      <c r="K776" s="778">
        <f>+J776+1</f>
        <v>1999</v>
      </c>
      <c r="L776" s="778">
        <f t="shared" si="741"/>
        <v>2000</v>
      </c>
      <c r="M776" s="778">
        <f t="shared" si="741"/>
        <v>2001</v>
      </c>
      <c r="N776" s="778">
        <f t="shared" si="741"/>
        <v>2002</v>
      </c>
      <c r="O776" s="778">
        <f t="shared" si="741"/>
        <v>2003</v>
      </c>
      <c r="P776" s="778">
        <f>+O776+1</f>
        <v>2004</v>
      </c>
      <c r="Q776" s="778">
        <f>+P776+1</f>
        <v>2005</v>
      </c>
      <c r="R776" s="2222">
        <f t="shared" si="741"/>
        <v>2006</v>
      </c>
      <c r="S776" s="2222">
        <f t="shared" ref="S776:X776" si="742">+R776+1</f>
        <v>2007</v>
      </c>
      <c r="T776" s="2222">
        <f>+S776+1</f>
        <v>2008</v>
      </c>
      <c r="U776" s="2222">
        <f>+T776+1</f>
        <v>2009</v>
      </c>
      <c r="V776" s="2222">
        <f t="shared" si="742"/>
        <v>2010</v>
      </c>
      <c r="W776" s="2222">
        <f t="shared" si="742"/>
        <v>2011</v>
      </c>
      <c r="X776" s="2222">
        <f t="shared" si="742"/>
        <v>2012</v>
      </c>
      <c r="Y776" s="2222">
        <f t="shared" ref="Y776:AE776" si="743">+X776+1</f>
        <v>2013</v>
      </c>
      <c r="Z776" s="2222">
        <f t="shared" si="743"/>
        <v>2014</v>
      </c>
      <c r="AA776" s="2222">
        <f t="shared" si="743"/>
        <v>2015</v>
      </c>
      <c r="AB776" s="2222">
        <f t="shared" si="743"/>
        <v>2016</v>
      </c>
      <c r="AC776" s="2222">
        <f t="shared" si="743"/>
        <v>2017</v>
      </c>
      <c r="AD776" s="2222">
        <f t="shared" si="743"/>
        <v>2018</v>
      </c>
      <c r="AE776" s="2222">
        <f t="shared" si="743"/>
        <v>2019</v>
      </c>
    </row>
    <row r="777" spans="1:113" ht="12.75" customHeight="1">
      <c r="A777" s="664"/>
      <c r="B777" s="664"/>
      <c r="C777" s="779" t="s">
        <v>1767</v>
      </c>
      <c r="D777" s="668" t="s">
        <v>688</v>
      </c>
      <c r="E777" s="780" t="s">
        <v>979</v>
      </c>
      <c r="F777" s="701" t="s">
        <v>980</v>
      </c>
      <c r="G777" s="780">
        <f t="shared" ref="G777:AC777" si="744">+G204</f>
        <v>0</v>
      </c>
      <c r="H777" s="780">
        <f t="shared" si="744"/>
        <v>0</v>
      </c>
      <c r="I777" s="780">
        <f t="shared" si="744"/>
        <v>0</v>
      </c>
      <c r="J777" s="780">
        <f t="shared" si="744"/>
        <v>0</v>
      </c>
      <c r="K777" s="780">
        <f t="shared" si="744"/>
        <v>0</v>
      </c>
      <c r="L777" s="780">
        <f t="shared" si="744"/>
        <v>0</v>
      </c>
      <c r="M777" s="780">
        <f t="shared" si="744"/>
        <v>0</v>
      </c>
      <c r="N777" s="780">
        <f t="shared" si="744"/>
        <v>0</v>
      </c>
      <c r="O777" s="780">
        <f t="shared" si="744"/>
        <v>0</v>
      </c>
      <c r="P777" s="780">
        <f t="shared" si="744"/>
        <v>5.7924003707136244E-4</v>
      </c>
      <c r="Q777" s="780" t="e">
        <f t="shared" si="744"/>
        <v>#VALUE!</v>
      </c>
      <c r="R777" s="780" t="e">
        <f t="shared" si="744"/>
        <v>#VALUE!</v>
      </c>
      <c r="S777" s="780" t="e">
        <f t="shared" si="744"/>
        <v>#VALUE!</v>
      </c>
      <c r="T777" s="780">
        <f t="shared" si="744"/>
        <v>-8.9999999999999993E-3</v>
      </c>
      <c r="U777" s="780">
        <f t="shared" si="744"/>
        <v>3.0000000000000001E-3</v>
      </c>
      <c r="V777" s="846">
        <f t="shared" si="744"/>
        <v>-2.1999999999999999E-2</v>
      </c>
      <c r="W777" s="846">
        <f t="shared" si="744"/>
        <v>-1.7000000000000001E-2</v>
      </c>
      <c r="X777" s="846">
        <f t="shared" si="744"/>
        <v>-4.0000000000000001E-3</v>
      </c>
      <c r="Y777" s="846">
        <f t="shared" si="744"/>
        <v>-6.0000000000000001E-3</v>
      </c>
      <c r="Z777" s="846">
        <f t="shared" si="744"/>
        <v>3.0000000000000001E-3</v>
      </c>
      <c r="AA777" s="846">
        <f t="shared" si="744"/>
        <v>1E-3</v>
      </c>
      <c r="AB777" s="846">
        <f t="shared" si="744"/>
        <v>8.9999999999999993E-3</v>
      </c>
      <c r="AC777" s="846">
        <f t="shared" si="744"/>
        <v>8.9999999999999993E-3</v>
      </c>
      <c r="AD777" s="846">
        <f>+AD204</f>
        <v>8.9999999999999993E-3</v>
      </c>
      <c r="AE777" s="846">
        <f>+AE204</f>
        <v>8.9999999999999993E-3</v>
      </c>
    </row>
    <row r="778" spans="1:113" ht="12.75" customHeight="1">
      <c r="A778" s="664"/>
      <c r="B778" s="664"/>
      <c r="C778" s="782" t="s">
        <v>401</v>
      </c>
      <c r="D778" s="674" t="s">
        <v>688</v>
      </c>
      <c r="E778" s="706" t="s">
        <v>0</v>
      </c>
      <c r="F778" s="704" t="s">
        <v>1</v>
      </c>
      <c r="G778" s="706">
        <f t="shared" ref="G778:AC778" si="745">+G329</f>
        <v>-0.12656394810009269</v>
      </c>
      <c r="H778" s="706">
        <f t="shared" si="745"/>
        <v>-0.16653151065801669</v>
      </c>
      <c r="I778" s="706">
        <f t="shared" si="745"/>
        <v>-0.26645041705282663</v>
      </c>
      <c r="J778" s="706">
        <f t="shared" si="745"/>
        <v>-0.27224281742354034</v>
      </c>
      <c r="K778" s="706">
        <f t="shared" si="745"/>
        <v>-0.18883225208526414</v>
      </c>
      <c r="L778" s="706">
        <f t="shared" si="745"/>
        <v>-0.25457599629286376</v>
      </c>
      <c r="M778" s="706">
        <f t="shared" si="745"/>
        <v>-0.27427015755329004</v>
      </c>
      <c r="N778" s="706">
        <f t="shared" si="745"/>
        <v>-0.20939527340129752</v>
      </c>
      <c r="O778" s="706">
        <f t="shared" si="745"/>
        <v>-0.22474513438368859</v>
      </c>
      <c r="P778" s="706">
        <f t="shared" si="745"/>
        <v>-0.26152687673772013</v>
      </c>
      <c r="Q778" s="706">
        <f t="shared" si="745"/>
        <v>-0.28999999999999998</v>
      </c>
      <c r="R778" s="706">
        <f t="shared" si="745"/>
        <v>-0.44600000000000001</v>
      </c>
      <c r="S778" s="706">
        <f t="shared" si="745"/>
        <v>-0.54500000000000004</v>
      </c>
      <c r="T778" s="706">
        <f t="shared" si="745"/>
        <v>-0.59</v>
      </c>
      <c r="U778" s="706">
        <f t="shared" si="745"/>
        <v>-0.502</v>
      </c>
      <c r="V778" s="3188">
        <f t="shared" si="745"/>
        <v>-0.98199999999999998</v>
      </c>
      <c r="W778" s="792">
        <f t="shared" si="745"/>
        <v>-0.77100000000000002</v>
      </c>
      <c r="X778" s="792">
        <f t="shared" si="745"/>
        <v>-0.39200000000000002</v>
      </c>
      <c r="Y778" s="792">
        <f t="shared" si="745"/>
        <v>-0.97599999999999998</v>
      </c>
      <c r="Z778" s="792">
        <f t="shared" si="745"/>
        <v>-1.159</v>
      </c>
      <c r="AA778" s="792">
        <f t="shared" si="745"/>
        <v>-0.93700000000000006</v>
      </c>
      <c r="AB778" s="792">
        <f t="shared" si="745"/>
        <v>-0.76707999999999976</v>
      </c>
      <c r="AC778" s="792">
        <f t="shared" si="745"/>
        <v>-0.79549840799999982</v>
      </c>
      <c r="AD778" s="792">
        <f>+AD329</f>
        <v>-0.83240506867999964</v>
      </c>
      <c r="AE778" s="792">
        <f>+AE329</f>
        <v>-0.86719322619779959</v>
      </c>
    </row>
    <row r="779" spans="1:113" ht="12.75" customHeight="1">
      <c r="A779" s="664"/>
      <c r="B779" s="664"/>
      <c r="C779" s="782" t="s">
        <v>401</v>
      </c>
      <c r="D779" s="674" t="s">
        <v>688</v>
      </c>
      <c r="E779" s="706" t="s">
        <v>840</v>
      </c>
      <c r="F779" s="704" t="s">
        <v>841</v>
      </c>
      <c r="G779" s="706" t="e">
        <f t="shared" ref="G779:AC779" si="746">+G258</f>
        <v>#VALUE!</v>
      </c>
      <c r="H779" s="706" t="e">
        <f t="shared" si="746"/>
        <v>#VALUE!</v>
      </c>
      <c r="I779" s="706" t="e">
        <f t="shared" si="746"/>
        <v>#VALUE!</v>
      </c>
      <c r="J779" s="706" t="e">
        <f t="shared" si="746"/>
        <v>#VALUE!</v>
      </c>
      <c r="K779" s="706" t="e">
        <f t="shared" si="746"/>
        <v>#VALUE!</v>
      </c>
      <c r="L779" s="706" t="e">
        <f t="shared" si="746"/>
        <v>#VALUE!</v>
      </c>
      <c r="M779" s="706" t="e">
        <f t="shared" si="746"/>
        <v>#VALUE!</v>
      </c>
      <c r="N779" s="706" t="e">
        <f t="shared" si="746"/>
        <v>#VALUE!</v>
      </c>
      <c r="O779" s="706" t="e">
        <f t="shared" si="746"/>
        <v>#VALUE!</v>
      </c>
      <c r="P779" s="706" t="e">
        <f t="shared" si="746"/>
        <v>#VALUE!</v>
      </c>
      <c r="Q779" s="706" t="e">
        <f t="shared" si="746"/>
        <v>#VALUE!</v>
      </c>
      <c r="R779" s="706" t="e">
        <f t="shared" si="746"/>
        <v>#VALUE!</v>
      </c>
      <c r="S779" s="706" t="e">
        <f t="shared" si="746"/>
        <v>#VALUE!</v>
      </c>
      <c r="T779" s="706">
        <f t="shared" si="746"/>
        <v>1.9E-2</v>
      </c>
      <c r="U779" s="706">
        <f t="shared" si="746"/>
        <v>1.0999999999999999E-2</v>
      </c>
      <c r="V779" s="792">
        <f t="shared" si="746"/>
        <v>3.2000000000000001E-2</v>
      </c>
      <c r="W779" s="792">
        <f t="shared" si="746"/>
        <v>2.5999999999999999E-2</v>
      </c>
      <c r="X779" s="792">
        <f t="shared" si="746"/>
        <v>1E-3</v>
      </c>
      <c r="Y779" s="792">
        <f t="shared" si="746"/>
        <v>3.0000000000000001E-3</v>
      </c>
      <c r="Z779" s="792">
        <f t="shared" si="746"/>
        <v>-3.0000000000000001E-3</v>
      </c>
      <c r="AA779" s="792">
        <f t="shared" si="746"/>
        <v>1E-3</v>
      </c>
      <c r="AB779" s="792">
        <f t="shared" si="746"/>
        <v>-5.0000000000000001E-3</v>
      </c>
      <c r="AC779" s="792">
        <f t="shared" si="746"/>
        <v>-5.0000000000000001E-3</v>
      </c>
      <c r="AD779" s="792">
        <f>+AD258</f>
        <v>-5.0000000000000001E-3</v>
      </c>
      <c r="AE779" s="792">
        <f>+AE258</f>
        <v>-5.0000000000000001E-3</v>
      </c>
    </row>
    <row r="780" spans="1:113" ht="12.75" customHeight="1">
      <c r="A780" s="664"/>
      <c r="B780" s="664"/>
      <c r="C780" s="782" t="s">
        <v>401</v>
      </c>
      <c r="D780" s="674" t="s">
        <v>688</v>
      </c>
      <c r="E780" s="706" t="s">
        <v>1182</v>
      </c>
      <c r="F780" s="704" t="s">
        <v>842</v>
      </c>
      <c r="G780" s="706">
        <f t="shared" ref="G780:AC780" si="747">+G301</f>
        <v>0</v>
      </c>
      <c r="H780" s="706">
        <f t="shared" si="747"/>
        <v>0</v>
      </c>
      <c r="I780" s="706">
        <f t="shared" si="747"/>
        <v>0</v>
      </c>
      <c r="J780" s="706">
        <f t="shared" si="747"/>
        <v>0</v>
      </c>
      <c r="K780" s="706">
        <f t="shared" si="747"/>
        <v>0</v>
      </c>
      <c r="L780" s="706">
        <f t="shared" si="747"/>
        <v>-2.635542168674699E-2</v>
      </c>
      <c r="M780" s="706">
        <f t="shared" si="747"/>
        <v>-2.3459221501390175E-2</v>
      </c>
      <c r="N780" s="706">
        <f t="shared" si="747"/>
        <v>-2.7224281742354032E-2</v>
      </c>
      <c r="O780" s="706">
        <f t="shared" si="747"/>
        <v>-2.5486561631139947E-2</v>
      </c>
      <c r="P780" s="706">
        <f t="shared" si="747"/>
        <v>-2.5486561631139947E-2</v>
      </c>
      <c r="Q780" s="706">
        <f t="shared" si="747"/>
        <v>-2.9000000000000001E-2</v>
      </c>
      <c r="R780" s="706">
        <f t="shared" si="747"/>
        <v>-2.8000000000000001E-2</v>
      </c>
      <c r="S780" s="706">
        <f t="shared" si="747"/>
        <v>-2.5000000000000001E-2</v>
      </c>
      <c r="T780" s="706">
        <f t="shared" si="747"/>
        <v>-3.3000000000000002E-2</v>
      </c>
      <c r="U780" s="706">
        <f t="shared" si="747"/>
        <v>-2.7E-2</v>
      </c>
      <c r="V780" s="792">
        <f t="shared" si="747"/>
        <v>-3.1E-2</v>
      </c>
      <c r="W780" s="792">
        <f t="shared" si="747"/>
        <v>-0.02</v>
      </c>
      <c r="X780" s="792">
        <f t="shared" si="747"/>
        <v>-1.7000000000000001E-2</v>
      </c>
      <c r="Y780" s="792">
        <f t="shared" si="747"/>
        <v>-5.0000000000000001E-3</v>
      </c>
      <c r="Z780" s="792">
        <f t="shared" si="747"/>
        <v>-4.0000000000000001E-3</v>
      </c>
      <c r="AA780" s="792">
        <f t="shared" si="747"/>
        <v>-8.9999999999999993E-3</v>
      </c>
      <c r="AB780" s="792">
        <f t="shared" si="747"/>
        <v>-7.0000000000000001E-3</v>
      </c>
      <c r="AC780" s="792">
        <f t="shared" si="747"/>
        <v>-7.0000000000000001E-3</v>
      </c>
      <c r="AD780" s="792">
        <f>+AD301</f>
        <v>-7.0000000000000001E-3</v>
      </c>
      <c r="AE780" s="792">
        <f>+AE301</f>
        <v>-7.0000000000000001E-3</v>
      </c>
    </row>
    <row r="781" spans="1:113" s="1327" customFormat="1" ht="12.75" customHeight="1">
      <c r="A781" s="664"/>
      <c r="B781" s="664"/>
      <c r="C781" s="782" t="s">
        <v>1767</v>
      </c>
      <c r="D781" s="674" t="s">
        <v>688</v>
      </c>
      <c r="E781" s="1025" t="s">
        <v>487</v>
      </c>
      <c r="F781" s="704" t="s">
        <v>1366</v>
      </c>
      <c r="G781" s="1019">
        <f t="shared" ref="G781:AC781" si="748">+G399</f>
        <v>0</v>
      </c>
      <c r="H781" s="1019">
        <f t="shared" si="748"/>
        <v>0</v>
      </c>
      <c r="I781" s="1019">
        <f t="shared" si="748"/>
        <v>0</v>
      </c>
      <c r="J781" s="1019">
        <f t="shared" si="748"/>
        <v>0</v>
      </c>
      <c r="K781" s="1019">
        <f t="shared" si="748"/>
        <v>0</v>
      </c>
      <c r="L781" s="1019">
        <f t="shared" si="748"/>
        <v>0</v>
      </c>
      <c r="M781" s="1019">
        <f t="shared" si="748"/>
        <v>0</v>
      </c>
      <c r="N781" s="1019">
        <f t="shared" si="748"/>
        <v>0</v>
      </c>
      <c r="O781" s="1019">
        <f t="shared" si="748"/>
        <v>0</v>
      </c>
      <c r="P781" s="1019">
        <f t="shared" si="748"/>
        <v>0</v>
      </c>
      <c r="Q781" s="1019">
        <f t="shared" si="748"/>
        <v>0</v>
      </c>
      <c r="R781" s="1019">
        <f t="shared" si="748"/>
        <v>0</v>
      </c>
      <c r="S781" s="1019">
        <f t="shared" si="748"/>
        <v>0</v>
      </c>
      <c r="T781" s="1019">
        <f t="shared" si="748"/>
        <v>0</v>
      </c>
      <c r="U781" s="1019">
        <f t="shared" si="748"/>
        <v>0</v>
      </c>
      <c r="V781" s="3012">
        <f t="shared" si="748"/>
        <v>0</v>
      </c>
      <c r="W781" s="3012">
        <f t="shared" si="748"/>
        <v>0</v>
      </c>
      <c r="X781" s="3012">
        <f t="shared" si="748"/>
        <v>0</v>
      </c>
      <c r="Y781" s="3012">
        <f t="shared" si="748"/>
        <v>0</v>
      </c>
      <c r="Z781" s="3012">
        <f t="shared" si="748"/>
        <v>0</v>
      </c>
      <c r="AA781" s="3012">
        <f t="shared" si="748"/>
        <v>0</v>
      </c>
      <c r="AB781" s="3012">
        <f t="shared" si="748"/>
        <v>0</v>
      </c>
      <c r="AC781" s="3012">
        <f t="shared" si="748"/>
        <v>0</v>
      </c>
      <c r="AD781" s="3012">
        <f>+AD399</f>
        <v>0</v>
      </c>
      <c r="AE781" s="3012">
        <f>+AE399</f>
        <v>0</v>
      </c>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c r="BZ781"/>
      <c r="CA781"/>
      <c r="CB781"/>
      <c r="CC781"/>
      <c r="CD781"/>
      <c r="CE781"/>
      <c r="CF781"/>
      <c r="CG781"/>
      <c r="CH781"/>
      <c r="CI781"/>
      <c r="CJ781"/>
      <c r="CK781"/>
      <c r="CL781"/>
      <c r="CM781"/>
      <c r="CN781"/>
      <c r="CO781"/>
      <c r="CP781"/>
      <c r="CQ781"/>
      <c r="CR781"/>
      <c r="CS781"/>
      <c r="CT781"/>
      <c r="CU781"/>
      <c r="CV781"/>
      <c r="CW781"/>
      <c r="CX781"/>
      <c r="CY781"/>
      <c r="CZ781"/>
      <c r="DA781"/>
      <c r="DB781"/>
      <c r="DC781"/>
      <c r="DD781"/>
      <c r="DE781"/>
      <c r="DF781"/>
      <c r="DG781"/>
      <c r="DH781"/>
      <c r="DI781"/>
    </row>
    <row r="782" spans="1:113" ht="12.75" customHeight="1">
      <c r="A782" s="664"/>
      <c r="B782" s="664">
        <v>141</v>
      </c>
      <c r="C782" s="784" t="s">
        <v>1769</v>
      </c>
      <c r="D782" s="752" t="s">
        <v>688</v>
      </c>
      <c r="E782" s="785" t="s">
        <v>1004</v>
      </c>
      <c r="F782" s="754" t="s">
        <v>839</v>
      </c>
      <c r="G782" s="785" t="e">
        <f t="shared" ref="G782:Q782" si="749">+G777-G778-G779-G780+G781</f>
        <v>#VALUE!</v>
      </c>
      <c r="H782" s="785" t="e">
        <f t="shared" si="749"/>
        <v>#VALUE!</v>
      </c>
      <c r="I782" s="785" t="e">
        <f t="shared" si="749"/>
        <v>#VALUE!</v>
      </c>
      <c r="J782" s="785" t="e">
        <f t="shared" si="749"/>
        <v>#VALUE!</v>
      </c>
      <c r="K782" s="785" t="e">
        <f t="shared" si="749"/>
        <v>#VALUE!</v>
      </c>
      <c r="L782" s="785" t="e">
        <f t="shared" si="749"/>
        <v>#VALUE!</v>
      </c>
      <c r="M782" s="785" t="e">
        <f t="shared" si="749"/>
        <v>#VALUE!</v>
      </c>
      <c r="N782" s="785" t="e">
        <f t="shared" si="749"/>
        <v>#VALUE!</v>
      </c>
      <c r="O782" s="785" t="e">
        <f t="shared" si="749"/>
        <v>#VALUE!</v>
      </c>
      <c r="P782" s="785" t="e">
        <f t="shared" si="749"/>
        <v>#VALUE!</v>
      </c>
      <c r="Q782" s="785" t="e">
        <f t="shared" si="749"/>
        <v>#VALUE!</v>
      </c>
      <c r="R782" s="785" t="e">
        <f t="shared" ref="R782:Y782" si="750">+R777-R778-R779-R780+R781</f>
        <v>#VALUE!</v>
      </c>
      <c r="S782" s="785" t="e">
        <f t="shared" si="750"/>
        <v>#VALUE!</v>
      </c>
      <c r="T782" s="785">
        <f>+T777-T778-T779-T780+T781</f>
        <v>0.59499999999999997</v>
      </c>
      <c r="U782" s="785">
        <f>+U777-U778-U779-U780+U781</f>
        <v>0.52100000000000002</v>
      </c>
      <c r="V782" s="3174">
        <f>+V777-V778-V779-V780+V781</f>
        <v>0.95899999999999996</v>
      </c>
      <c r="W782" s="3227">
        <f t="shared" si="750"/>
        <v>0.748</v>
      </c>
      <c r="X782" s="3227">
        <f t="shared" si="750"/>
        <v>0.40400000000000003</v>
      </c>
      <c r="Y782" s="844">
        <f t="shared" si="750"/>
        <v>0.97199999999999998</v>
      </c>
      <c r="Z782" s="844">
        <f t="shared" ref="Z782:AE782" si="751">+Z777-Z778-Z779-Z780+Z781</f>
        <v>1.1689999999999998</v>
      </c>
      <c r="AA782" s="3264">
        <f t="shared" si="751"/>
        <v>0.94600000000000006</v>
      </c>
      <c r="AB782" s="3264">
        <f t="shared" si="751"/>
        <v>0.78807999999999978</v>
      </c>
      <c r="AC782" s="844">
        <f t="shared" si="751"/>
        <v>0.81649840799999984</v>
      </c>
      <c r="AD782" s="844">
        <f t="shared" si="751"/>
        <v>0.85340506867999966</v>
      </c>
      <c r="AE782" s="844">
        <f t="shared" si="751"/>
        <v>0.88819322619779961</v>
      </c>
    </row>
    <row r="783" spans="1:113" s="1976" customFormat="1" ht="12.75" customHeight="1">
      <c r="A783" s="664">
        <f>+ROW(InputY!A95)</f>
        <v>95</v>
      </c>
      <c r="B783" s="998"/>
      <c r="C783" s="1595"/>
      <c r="D783" s="1975" t="s">
        <v>688</v>
      </c>
      <c r="E783" s="1973" t="s">
        <v>1954</v>
      </c>
      <c r="F783" s="1974" t="s">
        <v>1953</v>
      </c>
      <c r="G783" s="1002">
        <f>IF(+InputY!G95=":",G782,+InputY!G95/1000)</f>
        <v>0.12668000000000001</v>
      </c>
      <c r="H783" s="1002">
        <f>IF(+InputY!H95=":",H782,+InputY!H95/1000)</f>
        <v>0.16656000000000001</v>
      </c>
      <c r="I783" s="1002">
        <f>IF(+InputY!I95=":",I782,+InputY!I95/1000)</f>
        <v>0.26649</v>
      </c>
      <c r="J783" s="1002">
        <f>IF(+InputY!J95=":",J782,+InputY!J95/1000)</f>
        <v>0.27223999999999998</v>
      </c>
      <c r="K783" s="1002">
        <f>IF(+InputY!K95=":",K782,+InputY!K95/1000)</f>
        <v>0.21375999999999998</v>
      </c>
      <c r="L783" s="1002">
        <f>IF(+InputY!L95=":",L782,+InputY!L95/1000)</f>
        <v>0.28448000000000001</v>
      </c>
      <c r="M783" s="1002">
        <f>IF(+InputY!M95=":",M782,+InputY!M95/1000)</f>
        <v>0.29388999999999998</v>
      </c>
      <c r="N783" s="1002">
        <f>IF(+InputY!N95=":",N782,+InputY!N95/1000)</f>
        <v>0.23288999999999999</v>
      </c>
      <c r="O783" s="1002">
        <f>IF(+InputY!O95=":",O782,+InputY!O95/1000)</f>
        <v>0.24753999999999998</v>
      </c>
      <c r="P783" s="1002">
        <f>IF(+InputY!P95=":",P782,+InputY!P95/1000)</f>
        <v>0.28942000000000001</v>
      </c>
      <c r="Q783" s="1002">
        <f>IF(+InputY!Q95=":",Q782,+InputY!Q95/1000)</f>
        <v>0.32069999999999999</v>
      </c>
      <c r="R783" s="1002">
        <f>IF(+InputY!R95=":",R782,+InputY!R95/1000)</f>
        <v>0.47420000000000001</v>
      </c>
      <c r="S783" s="1002">
        <f>IF(+InputY!S95=":",S782,+InputY!S95/1000)</f>
        <v>0.57191999999999998</v>
      </c>
      <c r="T783" s="1002">
        <f>IF(+InputY!T95=":",T782,+InputY!T95/1000)</f>
        <v>0.59599000000000002</v>
      </c>
      <c r="U783" s="1002">
        <f>IF(+InputY!U95=":",U782,+InputY!U95/1000)</f>
        <v>0.52457000000000009</v>
      </c>
      <c r="V783" s="2904">
        <f>IF(+InputY!V95=":",V782,+InputY!V95/1000)</f>
        <v>0.95971000000000006</v>
      </c>
      <c r="W783" s="2904">
        <f>IF(+InputY!W95=":",W782,+InputY!W95/1000)</f>
        <v>0.74812999999999996</v>
      </c>
      <c r="X783" s="3145">
        <f>IF(+InputY!X95=":",X782,+InputY!X95/1000)</f>
        <v>0.40350999999999998</v>
      </c>
      <c r="Y783" s="2904">
        <f>IF(+InputY!Y95=":",Y782,+InputY!Y95/1000)</f>
        <v>0.97036</v>
      </c>
      <c r="Z783" s="2904">
        <f>IF(+InputY!Z95=":",Z782,+InputY!Z95/1000)</f>
        <v>1.17018</v>
      </c>
      <c r="AA783" s="2904">
        <f>IF(+InputY!AA95=":",AA782,+InputY!AA95/1000)</f>
        <v>0.94603999999999999</v>
      </c>
      <c r="AB783" s="2904">
        <f>IF(+InputY!AB95=":",AB782,+InputY!AB95/1000)</f>
        <v>0.78937999999999997</v>
      </c>
      <c r="AC783" s="2904">
        <f>IF(+InputY!AC95=":",AC782,+InputY!AC95/1000)</f>
        <v>0.81649840799999984</v>
      </c>
      <c r="AD783" s="2904">
        <f>IF(+InputY!AD95=":",AD782,+InputY!AD95/1000)</f>
        <v>0.85340506867999966</v>
      </c>
      <c r="AE783" s="2904">
        <f>IF(+InputY!AE95=":",AE782,+InputY!AE95/1000)</f>
        <v>0.88819322619779961</v>
      </c>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c r="BZ783"/>
      <c r="CA783"/>
      <c r="CB783"/>
      <c r="CC783"/>
      <c r="CD783"/>
      <c r="CE783"/>
      <c r="CF783"/>
      <c r="CG783"/>
      <c r="CH783"/>
      <c r="CI783"/>
      <c r="CJ783"/>
      <c r="CK783"/>
      <c r="CL783"/>
      <c r="CM783"/>
      <c r="CN783"/>
      <c r="CO783"/>
      <c r="CP783"/>
      <c r="CQ783"/>
      <c r="CR783"/>
      <c r="CS783"/>
      <c r="CT783"/>
      <c r="CU783"/>
      <c r="CV783"/>
      <c r="CW783"/>
      <c r="CX783"/>
      <c r="CY783"/>
      <c r="CZ783"/>
      <c r="DA783"/>
      <c r="DB783"/>
      <c r="DC783"/>
      <c r="DD783"/>
      <c r="DE783"/>
      <c r="DF783"/>
      <c r="DG783"/>
      <c r="DH783"/>
      <c r="DI783"/>
    </row>
    <row r="784" spans="1:113" s="1976" customFormat="1" ht="12.75" customHeight="1">
      <c r="A784" s="998"/>
      <c r="B784" s="998"/>
      <c r="C784" s="1595"/>
      <c r="D784" s="1975"/>
      <c r="E784" s="1973" t="s">
        <v>737</v>
      </c>
      <c r="F784" s="1974"/>
      <c r="G784" s="1002" t="e">
        <f t="shared" ref="G784:Q784" si="752">ABS(G782-G783)</f>
        <v>#VALUE!</v>
      </c>
      <c r="H784" s="1002" t="e">
        <f t="shared" si="752"/>
        <v>#VALUE!</v>
      </c>
      <c r="I784" s="1002" t="e">
        <f t="shared" si="752"/>
        <v>#VALUE!</v>
      </c>
      <c r="J784" s="1002" t="e">
        <f t="shared" si="752"/>
        <v>#VALUE!</v>
      </c>
      <c r="K784" s="1002" t="e">
        <f t="shared" si="752"/>
        <v>#VALUE!</v>
      </c>
      <c r="L784" s="1002" t="e">
        <f t="shared" si="752"/>
        <v>#VALUE!</v>
      </c>
      <c r="M784" s="1002" t="e">
        <f t="shared" si="752"/>
        <v>#VALUE!</v>
      </c>
      <c r="N784" s="1002" t="e">
        <f t="shared" si="752"/>
        <v>#VALUE!</v>
      </c>
      <c r="O784" s="1002" t="e">
        <f t="shared" si="752"/>
        <v>#VALUE!</v>
      </c>
      <c r="P784" s="1002" t="e">
        <f t="shared" si="752"/>
        <v>#VALUE!</v>
      </c>
      <c r="Q784" s="1002" t="e">
        <f t="shared" si="752"/>
        <v>#VALUE!</v>
      </c>
      <c r="R784" s="1002" t="e">
        <f t="shared" ref="R784:Y784" si="753">ABS(R782-R783)</f>
        <v>#VALUE!</v>
      </c>
      <c r="S784" s="1002" t="e">
        <f t="shared" si="753"/>
        <v>#VALUE!</v>
      </c>
      <c r="T784" s="1002">
        <f>ABS(T782-T783)</f>
        <v>9.900000000000464E-4</v>
      </c>
      <c r="U784" s="1002">
        <f>ABS(U782-U783)</f>
        <v>3.5700000000000731E-3</v>
      </c>
      <c r="V784" s="2904">
        <f>ABS(V782-V783)</f>
        <v>7.1000000000009944E-4</v>
      </c>
      <c r="W784" s="3217">
        <f t="shared" si="753"/>
        <v>1.2999999999996348E-4</v>
      </c>
      <c r="X784" s="2904">
        <f t="shared" si="753"/>
        <v>4.9000000000004595E-4</v>
      </c>
      <c r="Y784" s="2904">
        <f t="shared" si="753"/>
        <v>1.6399999999999748E-3</v>
      </c>
      <c r="Z784" s="2904">
        <f t="shared" ref="Z784:AE784" si="754">ABS(Z782-Z783)</f>
        <v>1.1800000000001809E-3</v>
      </c>
      <c r="AA784" s="2904">
        <f t="shared" si="754"/>
        <v>3.9999999999928981E-5</v>
      </c>
      <c r="AB784" s="3130">
        <f t="shared" si="754"/>
        <v>1.3000000000001899E-3</v>
      </c>
      <c r="AC784" s="2904">
        <f t="shared" si="754"/>
        <v>0</v>
      </c>
      <c r="AD784" s="2904">
        <f t="shared" si="754"/>
        <v>0</v>
      </c>
      <c r="AE784" s="2904">
        <f t="shared" si="754"/>
        <v>0</v>
      </c>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c r="BZ784"/>
      <c r="CA784"/>
      <c r="CB784"/>
      <c r="CC784"/>
      <c r="CD784"/>
      <c r="CE784"/>
      <c r="CF784"/>
      <c r="CG784"/>
      <c r="CH784"/>
      <c r="CI784"/>
      <c r="CJ784"/>
      <c r="CK784"/>
      <c r="CL784"/>
      <c r="CM784"/>
      <c r="CN784"/>
      <c r="CO784"/>
      <c r="CP784"/>
      <c r="CQ784"/>
      <c r="CR784"/>
      <c r="CS784"/>
      <c r="CT784"/>
      <c r="CU784"/>
      <c r="CV784"/>
      <c r="CW784"/>
      <c r="CX784"/>
      <c r="CY784"/>
      <c r="CZ784"/>
      <c r="DA784"/>
      <c r="DB784"/>
      <c r="DC784"/>
      <c r="DD784"/>
      <c r="DE784"/>
      <c r="DF784"/>
      <c r="DG784"/>
      <c r="DH784"/>
      <c r="DI784"/>
    </row>
    <row r="785" spans="1:113">
      <c r="Q785" s="699"/>
      <c r="R785" s="699"/>
      <c r="S785" s="699"/>
      <c r="T785" s="699"/>
      <c r="U785" s="699"/>
      <c r="V785" s="843"/>
      <c r="W785" s="843"/>
      <c r="X785" s="843"/>
      <c r="Y785" s="843"/>
      <c r="Z785" s="843"/>
      <c r="AA785" s="843"/>
      <c r="AB785" s="843"/>
      <c r="AC785" s="843"/>
      <c r="AD785" s="843"/>
      <c r="AE785" s="843"/>
    </row>
    <row r="786" spans="1:113" ht="12.75" customHeight="1">
      <c r="A786" s="664"/>
      <c r="B786" s="664"/>
      <c r="C786" s="774"/>
      <c r="D786" s="775"/>
      <c r="E786" s="776" t="s">
        <v>1384</v>
      </c>
      <c r="F786" s="777"/>
      <c r="G786" s="778">
        <f>+InputY!$G$3</f>
        <v>1995</v>
      </c>
      <c r="H786" s="778">
        <f>+G786+1</f>
        <v>1996</v>
      </c>
      <c r="I786" s="778">
        <f t="shared" ref="I786:O786" si="755">+H786+1</f>
        <v>1997</v>
      </c>
      <c r="J786" s="778">
        <f t="shared" si="755"/>
        <v>1998</v>
      </c>
      <c r="K786" s="778">
        <f>+J786+1</f>
        <v>1999</v>
      </c>
      <c r="L786" s="778">
        <f t="shared" si="755"/>
        <v>2000</v>
      </c>
      <c r="M786" s="778">
        <f t="shared" si="755"/>
        <v>2001</v>
      </c>
      <c r="N786" s="778">
        <f t="shared" si="755"/>
        <v>2002</v>
      </c>
      <c r="O786" s="778">
        <f t="shared" si="755"/>
        <v>2003</v>
      </c>
      <c r="P786" s="778">
        <f>+O786+1</f>
        <v>2004</v>
      </c>
      <c r="Q786" s="778">
        <f>+P786+1</f>
        <v>2005</v>
      </c>
      <c r="R786" s="778">
        <f>+Q786+1</f>
        <v>2006</v>
      </c>
      <c r="S786" s="778">
        <f t="shared" ref="S786:X786" si="756">+R786+1</f>
        <v>2007</v>
      </c>
      <c r="T786" s="778">
        <f t="shared" si="756"/>
        <v>2008</v>
      </c>
      <c r="U786" s="778">
        <f t="shared" si="756"/>
        <v>2009</v>
      </c>
      <c r="V786" s="778">
        <f t="shared" si="756"/>
        <v>2010</v>
      </c>
      <c r="W786" s="778">
        <f t="shared" si="756"/>
        <v>2011</v>
      </c>
      <c r="X786" s="778">
        <f t="shared" si="756"/>
        <v>2012</v>
      </c>
      <c r="Y786" s="778">
        <f t="shared" ref="Y786:AE786" si="757">+X786+1</f>
        <v>2013</v>
      </c>
      <c r="Z786" s="778">
        <f t="shared" si="757"/>
        <v>2014</v>
      </c>
      <c r="AA786" s="778">
        <f t="shared" si="757"/>
        <v>2015</v>
      </c>
      <c r="AB786" s="778">
        <f t="shared" si="757"/>
        <v>2016</v>
      </c>
      <c r="AC786" s="778">
        <f t="shared" si="757"/>
        <v>2017</v>
      </c>
      <c r="AD786" s="778">
        <f t="shared" si="757"/>
        <v>2018</v>
      </c>
      <c r="AE786" s="778">
        <f t="shared" si="757"/>
        <v>2019</v>
      </c>
    </row>
    <row r="787" spans="1:113" ht="12.75" customHeight="1">
      <c r="A787" s="664"/>
      <c r="B787" s="664"/>
      <c r="C787" s="779" t="s">
        <v>1767</v>
      </c>
      <c r="D787" s="668" t="s">
        <v>688</v>
      </c>
      <c r="E787" s="780" t="s">
        <v>206</v>
      </c>
      <c r="F787" s="701" t="s">
        <v>1477</v>
      </c>
      <c r="G787" s="780">
        <f t="shared" ref="G787:AC787" si="758">+G490</f>
        <v>-4.5170000000000002E-2</v>
      </c>
      <c r="H787" s="780">
        <f t="shared" si="758"/>
        <v>6.3699999999999998E-3</v>
      </c>
      <c r="I787" s="780">
        <f t="shared" si="758"/>
        <v>4.7699999999999999E-3</v>
      </c>
      <c r="J787" s="780">
        <f t="shared" si="758"/>
        <v>-1.98E-3</v>
      </c>
      <c r="K787" s="780">
        <f t="shared" si="758"/>
        <v>-3.81E-3</v>
      </c>
      <c r="L787" s="780">
        <f t="shared" si="758"/>
        <v>2.49E-3</v>
      </c>
      <c r="M787" s="780">
        <f t="shared" si="758"/>
        <v>1.6100000000000001E-3</v>
      </c>
      <c r="N787" s="780">
        <f t="shared" si="758"/>
        <v>5.9020000000000003E-2</v>
      </c>
      <c r="O787" s="780">
        <f t="shared" si="758"/>
        <v>5.9359999999999996E-2</v>
      </c>
      <c r="P787" s="780">
        <f t="shared" si="758"/>
        <v>0.12966999999999998</v>
      </c>
      <c r="Q787" s="780">
        <f t="shared" si="758"/>
        <v>0.20397000000000001</v>
      </c>
      <c r="R787" s="780">
        <f t="shared" si="758"/>
        <v>0.35857</v>
      </c>
      <c r="S787" s="780">
        <f t="shared" si="758"/>
        <v>0.61141999999999996</v>
      </c>
      <c r="T787" s="780">
        <f t="shared" si="758"/>
        <v>0.61907000000000001</v>
      </c>
      <c r="U787" s="780">
        <f t="shared" si="758"/>
        <v>1.15822</v>
      </c>
      <c r="V787" s="846">
        <f t="shared" si="758"/>
        <v>1.0577999999999999</v>
      </c>
      <c r="W787" s="846">
        <f t="shared" si="758"/>
        <v>1.0038099999999999</v>
      </c>
      <c r="X787" s="846">
        <f t="shared" si="758"/>
        <v>0.96409</v>
      </c>
      <c r="Y787" s="846">
        <f t="shared" si="758"/>
        <v>1.0888499999999999</v>
      </c>
      <c r="Z787" s="846">
        <f t="shared" si="758"/>
        <v>0.97573999999999994</v>
      </c>
      <c r="AA787" s="846">
        <f t="shared" si="758"/>
        <v>1.1172599999999999</v>
      </c>
      <c r="AB787" s="3687">
        <f t="shared" si="758"/>
        <v>0.56872</v>
      </c>
      <c r="AC787" s="846">
        <f t="shared" si="758"/>
        <v>0.45054839999999996</v>
      </c>
      <c r="AD787" s="846">
        <f>+AD490</f>
        <v>0.54727231399999998</v>
      </c>
      <c r="AE787" s="846">
        <f>+AE490</f>
        <v>0.52810883385999996</v>
      </c>
    </row>
    <row r="788" spans="1:113" ht="12.75" customHeight="1">
      <c r="A788" s="664"/>
      <c r="B788" s="664"/>
      <c r="C788" s="782" t="s">
        <v>1767</v>
      </c>
      <c r="D788" s="674" t="s">
        <v>688</v>
      </c>
      <c r="E788" s="1025" t="s">
        <v>375</v>
      </c>
      <c r="F788" s="704" t="s">
        <v>887</v>
      </c>
      <c r="G788" s="1019" t="e">
        <f t="shared" ref="G788:AC788" si="759">+G522</f>
        <v>#VALUE!</v>
      </c>
      <c r="H788" s="1019" t="e">
        <f t="shared" si="759"/>
        <v>#VALUE!</v>
      </c>
      <c r="I788" s="1019" t="e">
        <f t="shared" si="759"/>
        <v>#VALUE!</v>
      </c>
      <c r="J788" s="1019" t="e">
        <f t="shared" si="759"/>
        <v>#VALUE!</v>
      </c>
      <c r="K788" s="1019" t="e">
        <f t="shared" si="759"/>
        <v>#VALUE!</v>
      </c>
      <c r="L788" s="1019" t="e">
        <f t="shared" si="759"/>
        <v>#VALUE!</v>
      </c>
      <c r="M788" s="1019" t="e">
        <f t="shared" si="759"/>
        <v>#VALUE!</v>
      </c>
      <c r="N788" s="1019" t="e">
        <f t="shared" si="759"/>
        <v>#VALUE!</v>
      </c>
      <c r="O788" s="1019" t="e">
        <f t="shared" si="759"/>
        <v>#VALUE!</v>
      </c>
      <c r="P788" s="1019" t="e">
        <f t="shared" si="759"/>
        <v>#VALUE!</v>
      </c>
      <c r="Q788" s="1019" t="e">
        <f t="shared" si="759"/>
        <v>#VALUE!</v>
      </c>
      <c r="R788" s="1019" t="e">
        <f t="shared" si="759"/>
        <v>#VALUE!</v>
      </c>
      <c r="S788" s="1019" t="e">
        <f t="shared" si="759"/>
        <v>#VALUE!</v>
      </c>
      <c r="T788" s="1019">
        <f t="shared" si="759"/>
        <v>0</v>
      </c>
      <c r="U788" s="1019">
        <f t="shared" si="759"/>
        <v>0</v>
      </c>
      <c r="V788" s="3012">
        <f t="shared" si="759"/>
        <v>-9.9999999999995925E-6</v>
      </c>
      <c r="W788" s="3012">
        <f t="shared" si="759"/>
        <v>0</v>
      </c>
      <c r="X788" s="3012">
        <f t="shared" si="759"/>
        <v>9.9999999999961231E-6</v>
      </c>
      <c r="Y788" s="3012">
        <f t="shared" si="759"/>
        <v>0</v>
      </c>
      <c r="Z788" s="3012">
        <f t="shared" si="759"/>
        <v>-9.9999999999961231E-6</v>
      </c>
      <c r="AA788" s="3012">
        <f t="shared" si="759"/>
        <v>0</v>
      </c>
      <c r="AB788" s="1519">
        <f>+AB522</f>
        <v>0</v>
      </c>
      <c r="AC788" s="3012">
        <f t="shared" si="759"/>
        <v>-2.792E-2</v>
      </c>
      <c r="AD788" s="3012">
        <f>+AD522</f>
        <v>-2.792E-2</v>
      </c>
      <c r="AE788" s="3012">
        <f>+AE522</f>
        <v>-2.792E-2</v>
      </c>
    </row>
    <row r="789" spans="1:113" ht="12.75" customHeight="1">
      <c r="A789" s="664"/>
      <c r="B789" s="664">
        <v>142</v>
      </c>
      <c r="C789" s="784" t="s">
        <v>1769</v>
      </c>
      <c r="D789" s="752" t="s">
        <v>688</v>
      </c>
      <c r="E789" s="1026" t="s">
        <v>2103</v>
      </c>
      <c r="F789" s="754" t="s">
        <v>886</v>
      </c>
      <c r="G789" s="785" t="e">
        <f>+G787+G788</f>
        <v>#VALUE!</v>
      </c>
      <c r="H789" s="785" t="e">
        <f t="shared" ref="H789:Q789" si="760">+H787+H788</f>
        <v>#VALUE!</v>
      </c>
      <c r="I789" s="785" t="e">
        <f t="shared" si="760"/>
        <v>#VALUE!</v>
      </c>
      <c r="J789" s="785" t="e">
        <f t="shared" si="760"/>
        <v>#VALUE!</v>
      </c>
      <c r="K789" s="785" t="e">
        <f t="shared" si="760"/>
        <v>#VALUE!</v>
      </c>
      <c r="L789" s="785" t="e">
        <f t="shared" si="760"/>
        <v>#VALUE!</v>
      </c>
      <c r="M789" s="785" t="e">
        <f t="shared" si="760"/>
        <v>#VALUE!</v>
      </c>
      <c r="N789" s="785" t="e">
        <f t="shared" si="760"/>
        <v>#VALUE!</v>
      </c>
      <c r="O789" s="785" t="e">
        <f t="shared" si="760"/>
        <v>#VALUE!</v>
      </c>
      <c r="P789" s="785" t="e">
        <f t="shared" si="760"/>
        <v>#VALUE!</v>
      </c>
      <c r="Q789" s="785" t="e">
        <f t="shared" si="760"/>
        <v>#VALUE!</v>
      </c>
      <c r="R789" s="785" t="e">
        <f t="shared" ref="R789:Y789" si="761">+R787+R788</f>
        <v>#VALUE!</v>
      </c>
      <c r="S789" s="785" t="e">
        <f t="shared" si="761"/>
        <v>#VALUE!</v>
      </c>
      <c r="T789" s="785">
        <f>+T787+T788</f>
        <v>0.61907000000000001</v>
      </c>
      <c r="U789" s="785">
        <f>+U787+U788</f>
        <v>1.15822</v>
      </c>
      <c r="V789" s="844">
        <f t="shared" si="761"/>
        <v>1.0577899999999998</v>
      </c>
      <c r="W789" s="844">
        <f t="shared" si="761"/>
        <v>1.0038099999999999</v>
      </c>
      <c r="X789" s="3264">
        <f t="shared" si="761"/>
        <v>0.96409999999999996</v>
      </c>
      <c r="Y789" s="844">
        <f t="shared" si="761"/>
        <v>1.0888499999999999</v>
      </c>
      <c r="Z789" s="844">
        <f t="shared" ref="Z789:AE789" si="762">+Z787+Z788</f>
        <v>0.97572999999999999</v>
      </c>
      <c r="AA789" s="3264">
        <f t="shared" si="762"/>
        <v>1.1172599999999999</v>
      </c>
      <c r="AB789" s="3686">
        <f t="shared" si="762"/>
        <v>0.56872</v>
      </c>
      <c r="AC789" s="844">
        <f t="shared" si="762"/>
        <v>0.42262839999999996</v>
      </c>
      <c r="AD789" s="844">
        <f t="shared" si="762"/>
        <v>0.51935231400000004</v>
      </c>
      <c r="AE789" s="844">
        <f t="shared" si="762"/>
        <v>0.50018883386000002</v>
      </c>
    </row>
    <row r="790" spans="1:113" s="1976" customFormat="1" ht="12.75" customHeight="1">
      <c r="A790" s="664">
        <f>+ROW(InputY!A96)</f>
        <v>96</v>
      </c>
      <c r="B790" s="998"/>
      <c r="C790" s="1595"/>
      <c r="D790" s="1975" t="s">
        <v>688</v>
      </c>
      <c r="E790" s="1973" t="s">
        <v>1954</v>
      </c>
      <c r="F790" s="1974" t="s">
        <v>1953</v>
      </c>
      <c r="G790" s="1002">
        <f>IF(+InputY!G96=":",G789,+InputY!G96/1000)</f>
        <v>-4.5170000000000002E-2</v>
      </c>
      <c r="H790" s="1002">
        <f>IF(+InputY!H96=":",H789,+InputY!H96/1000)</f>
        <v>6.3699999999999998E-3</v>
      </c>
      <c r="I790" s="1002">
        <f>IF(+InputY!I96=":",I789,+InputY!I96/1000)</f>
        <v>4.7699999999999999E-3</v>
      </c>
      <c r="J790" s="1002">
        <f>IF(+InputY!J96=":",J789,+InputY!J96/1000)</f>
        <v>-1.98E-3</v>
      </c>
      <c r="K790" s="1002">
        <f>IF(+InputY!K96=":",K789,+InputY!K96/1000)</f>
        <v>-3.81E-3</v>
      </c>
      <c r="L790" s="1002">
        <f>IF(+InputY!L96=":",L789,+InputY!L96/1000)</f>
        <v>2.49E-3</v>
      </c>
      <c r="M790" s="1002">
        <f>IF(+InputY!M96=":",M789,+InputY!M96/1000)</f>
        <v>1.6100000000000001E-3</v>
      </c>
      <c r="N790" s="1002">
        <f>IF(+InputY!N96=":",N789,+InputY!N96/1000)</f>
        <v>5.9020000000000003E-2</v>
      </c>
      <c r="O790" s="1002">
        <f>IF(+InputY!O96=":",O789,+InputY!O96/1000)</f>
        <v>5.9359999999999996E-2</v>
      </c>
      <c r="P790" s="1002">
        <f>IF(+InputY!P96=":",P789,+InputY!P96/1000)</f>
        <v>0.12966999999999998</v>
      </c>
      <c r="Q790" s="1002">
        <f>IF(+InputY!Q96=":",Q789,+InputY!Q96/1000)</f>
        <v>0.20397000000000001</v>
      </c>
      <c r="R790" s="1002">
        <f>IF(+InputY!R96=":",R789,+InputY!R96/1000)</f>
        <v>0.35857</v>
      </c>
      <c r="S790" s="1002">
        <f>IF(+InputY!S96=":",S789,+InputY!S96/1000)</f>
        <v>0.61141999999999996</v>
      </c>
      <c r="T790" s="1002">
        <f>IF(+InputY!T96=":",T789,+InputY!T96/1000)</f>
        <v>0.61907000000000001</v>
      </c>
      <c r="U790" s="1002">
        <f>IF(+InputY!U96=":",U789,+InputY!U96/1000)</f>
        <v>1.15822</v>
      </c>
      <c r="V790" s="2904">
        <f>IF(+InputY!V96=":",V789,+InputY!V96/1000)</f>
        <v>1.0577999999999999</v>
      </c>
      <c r="W790" s="2904">
        <f>IF(+InputY!W96=":",W789,+InputY!W96/1000)</f>
        <v>1.0038099999999999</v>
      </c>
      <c r="X790" s="2904">
        <f>IF(+InputY!X96=":",X789,+InputY!X96/1000)</f>
        <v>0.96409</v>
      </c>
      <c r="Y790" s="2904">
        <f>IF(+InputY!Y96=":",Y789,+InputY!Y96/1000)</f>
        <v>1.0888699999999998</v>
      </c>
      <c r="Z790" s="2904">
        <f>IF(+InputY!Z96=":",Z789,+InputY!Z96/1000)</f>
        <v>0.97572000000000003</v>
      </c>
      <c r="AA790" s="2904">
        <f>IF(+InputY!AA96=":",AA789,+InputY!AA96/1000)</f>
        <v>1.11727</v>
      </c>
      <c r="AB790" s="3217">
        <f>IF(+InputY!AB96=":",AB789,+InputY!AB96/1000)</f>
        <v>0.56872</v>
      </c>
      <c r="AC790" s="2904">
        <f>IF(+InputY!AC96=":",AC789,+InputY!AC96/1000)</f>
        <v>0.42262839999999996</v>
      </c>
      <c r="AD790" s="2904">
        <f>IF(+InputY!AD96=":",AD789,+InputY!AD96/1000)</f>
        <v>0.51935231400000004</v>
      </c>
      <c r="AE790" s="2904">
        <f>IF(+InputY!AE96=":",AE789,+InputY!AE96/1000)</f>
        <v>0.50018883386000002</v>
      </c>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c r="BZ790"/>
      <c r="CA790"/>
      <c r="CB790"/>
      <c r="CC790"/>
      <c r="CD790"/>
      <c r="CE790"/>
      <c r="CF790"/>
      <c r="CG790"/>
      <c r="CH790"/>
      <c r="CI790"/>
      <c r="CJ790"/>
      <c r="CK790"/>
      <c r="CL790"/>
      <c r="CM790"/>
      <c r="CN790"/>
      <c r="CO790"/>
      <c r="CP790"/>
      <c r="CQ790"/>
      <c r="CR790"/>
      <c r="CS790"/>
      <c r="CT790"/>
      <c r="CU790"/>
      <c r="CV790"/>
      <c r="CW790"/>
      <c r="CX790"/>
      <c r="CY790"/>
      <c r="CZ790"/>
      <c r="DA790"/>
      <c r="DB790"/>
      <c r="DC790"/>
      <c r="DD790"/>
      <c r="DE790"/>
      <c r="DF790"/>
      <c r="DG790"/>
      <c r="DH790"/>
      <c r="DI790"/>
    </row>
    <row r="791" spans="1:113" s="1976" customFormat="1" ht="12.75" customHeight="1">
      <c r="A791" s="998"/>
      <c r="B791" s="998"/>
      <c r="C791" s="1595"/>
      <c r="D791" s="1975"/>
      <c r="E791" s="1973" t="s">
        <v>737</v>
      </c>
      <c r="F791" s="1974"/>
      <c r="G791" s="1002" t="e">
        <f t="shared" ref="G791:Q791" si="763">ABS(G789-G790)</f>
        <v>#VALUE!</v>
      </c>
      <c r="H791" s="1002" t="e">
        <f t="shared" si="763"/>
        <v>#VALUE!</v>
      </c>
      <c r="I791" s="1002" t="e">
        <f t="shared" si="763"/>
        <v>#VALUE!</v>
      </c>
      <c r="J791" s="1002" t="e">
        <f t="shared" si="763"/>
        <v>#VALUE!</v>
      </c>
      <c r="K791" s="1002" t="e">
        <f t="shared" si="763"/>
        <v>#VALUE!</v>
      </c>
      <c r="L791" s="1002" t="e">
        <f t="shared" si="763"/>
        <v>#VALUE!</v>
      </c>
      <c r="M791" s="1002" t="e">
        <f t="shared" si="763"/>
        <v>#VALUE!</v>
      </c>
      <c r="N791" s="1002" t="e">
        <f t="shared" si="763"/>
        <v>#VALUE!</v>
      </c>
      <c r="O791" s="1002" t="e">
        <f t="shared" si="763"/>
        <v>#VALUE!</v>
      </c>
      <c r="P791" s="1002" t="e">
        <f t="shared" si="763"/>
        <v>#VALUE!</v>
      </c>
      <c r="Q791" s="1002" t="e">
        <f t="shared" si="763"/>
        <v>#VALUE!</v>
      </c>
      <c r="R791" s="1002" t="e">
        <f t="shared" ref="R791:Y791" si="764">ABS(R789-R790)</f>
        <v>#VALUE!</v>
      </c>
      <c r="S791" s="1002" t="e">
        <f t="shared" si="764"/>
        <v>#VALUE!</v>
      </c>
      <c r="T791" s="2209">
        <f>ABS(T789-T790)</f>
        <v>0</v>
      </c>
      <c r="U791" s="2209">
        <f>ABS(U789-U790)</f>
        <v>0</v>
      </c>
      <c r="V791" s="3217">
        <f t="shared" si="764"/>
        <v>1.0000000000065512E-5</v>
      </c>
      <c r="W791" s="3217">
        <f t="shared" si="764"/>
        <v>0</v>
      </c>
      <c r="X791" s="3217">
        <f t="shared" si="764"/>
        <v>9.9999999999544897E-6</v>
      </c>
      <c r="Y791" s="3217">
        <f t="shared" si="764"/>
        <v>1.9999999999908979E-5</v>
      </c>
      <c r="Z791" s="3217">
        <f t="shared" ref="Z791:AE791" si="765">ABS(Z789-Z790)</f>
        <v>9.9999999999544897E-6</v>
      </c>
      <c r="AA791" s="3217">
        <f t="shared" si="765"/>
        <v>1.0000000000065512E-5</v>
      </c>
      <c r="AB791" s="3217">
        <f t="shared" si="765"/>
        <v>0</v>
      </c>
      <c r="AC791" s="2904">
        <f t="shared" si="765"/>
        <v>0</v>
      </c>
      <c r="AD791" s="2904">
        <f t="shared" si="765"/>
        <v>0</v>
      </c>
      <c r="AE791" s="2904">
        <f t="shared" si="765"/>
        <v>0</v>
      </c>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c r="BZ791"/>
      <c r="CA791"/>
      <c r="CB791"/>
      <c r="CC791"/>
      <c r="CD791"/>
      <c r="CE791"/>
      <c r="CF791"/>
      <c r="CG791"/>
      <c r="CH791"/>
      <c r="CI791"/>
      <c r="CJ791"/>
      <c r="CK791"/>
      <c r="CL791"/>
      <c r="CM791"/>
      <c r="CN791"/>
      <c r="CO791"/>
      <c r="CP791"/>
      <c r="CQ791"/>
      <c r="CR791"/>
      <c r="CS791"/>
      <c r="CT791"/>
      <c r="CU791"/>
      <c r="CV791"/>
      <c r="CW791"/>
      <c r="CX791"/>
      <c r="CY791"/>
      <c r="CZ791"/>
      <c r="DA791"/>
      <c r="DB791"/>
      <c r="DC791"/>
      <c r="DD791"/>
      <c r="DE791"/>
      <c r="DF791"/>
      <c r="DG791"/>
      <c r="DH791"/>
      <c r="DI791"/>
    </row>
    <row r="792" spans="1:113">
      <c r="AB792" s="2221"/>
      <c r="AC792" s="2221"/>
      <c r="AD792" s="2221"/>
      <c r="AE792" s="2221"/>
    </row>
    <row r="793" spans="1:113" customFormat="1">
      <c r="B793" s="3702"/>
      <c r="C793" s="3702"/>
      <c r="D793" s="3702"/>
      <c r="E793" s="3702"/>
      <c r="F793" s="3702"/>
      <c r="G793" s="3702"/>
      <c r="H793" s="3702"/>
      <c r="I793" s="3702"/>
      <c r="J793" s="3702"/>
      <c r="K793" s="3702"/>
      <c r="AE793" s="3650"/>
    </row>
    <row r="794" spans="1:113" customFormat="1">
      <c r="B794" s="3702"/>
      <c r="C794" s="774"/>
      <c r="D794" s="775"/>
      <c r="E794" s="3270" t="s">
        <v>1384</v>
      </c>
      <c r="F794" s="3270"/>
      <c r="G794" s="3270">
        <f>+InputY!$G$3</f>
        <v>1995</v>
      </c>
      <c r="H794" s="3270">
        <f t="shared" ref="H794:AE794" si="766">+G794+1</f>
        <v>1996</v>
      </c>
      <c r="I794" s="3270">
        <f t="shared" si="766"/>
        <v>1997</v>
      </c>
      <c r="J794" s="3270">
        <f t="shared" si="766"/>
        <v>1998</v>
      </c>
      <c r="K794" s="3270">
        <f t="shared" si="766"/>
        <v>1999</v>
      </c>
      <c r="L794" s="3270">
        <f t="shared" si="766"/>
        <v>2000</v>
      </c>
      <c r="M794" s="3270">
        <f t="shared" si="766"/>
        <v>2001</v>
      </c>
      <c r="N794" s="3270">
        <f t="shared" si="766"/>
        <v>2002</v>
      </c>
      <c r="O794" s="3270">
        <f t="shared" si="766"/>
        <v>2003</v>
      </c>
      <c r="P794" s="3270">
        <f t="shared" si="766"/>
        <v>2004</v>
      </c>
      <c r="Q794" s="3270">
        <f t="shared" si="766"/>
        <v>2005</v>
      </c>
      <c r="R794" s="3270">
        <f t="shared" si="766"/>
        <v>2006</v>
      </c>
      <c r="S794" s="3270">
        <f t="shared" si="766"/>
        <v>2007</v>
      </c>
      <c r="T794" s="3270">
        <f t="shared" si="766"/>
        <v>2008</v>
      </c>
      <c r="U794" s="3270">
        <f t="shared" si="766"/>
        <v>2009</v>
      </c>
      <c r="V794" s="3270">
        <f t="shared" si="766"/>
        <v>2010</v>
      </c>
      <c r="W794" s="3270">
        <f t="shared" si="766"/>
        <v>2011</v>
      </c>
      <c r="X794" s="3270">
        <f t="shared" si="766"/>
        <v>2012</v>
      </c>
      <c r="Y794" s="3270">
        <f t="shared" si="766"/>
        <v>2013</v>
      </c>
      <c r="Z794" s="3270">
        <f t="shared" si="766"/>
        <v>2014</v>
      </c>
      <c r="AA794" s="3270">
        <f t="shared" si="766"/>
        <v>2015</v>
      </c>
      <c r="AB794" s="3270">
        <f t="shared" si="766"/>
        <v>2016</v>
      </c>
      <c r="AC794" s="3270">
        <f t="shared" si="766"/>
        <v>2017</v>
      </c>
      <c r="AD794" s="3270">
        <f t="shared" si="766"/>
        <v>2018</v>
      </c>
      <c r="AE794" s="3270">
        <f t="shared" si="766"/>
        <v>2019</v>
      </c>
    </row>
    <row r="795" spans="1:113" customFormat="1">
      <c r="B795" s="3702"/>
      <c r="C795" s="779"/>
      <c r="D795" s="668" t="s">
        <v>688</v>
      </c>
      <c r="E795" s="780" t="s">
        <v>2498</v>
      </c>
      <c r="F795" s="701"/>
      <c r="G795" s="780" t="e">
        <f>'VVP2'!G331+Sector1!G772+Sector1!G782</f>
        <v>#VALUE!</v>
      </c>
      <c r="H795" s="780" t="e">
        <f>'VVP2'!H331+Sector1!H772+Sector1!H782</f>
        <v>#VALUE!</v>
      </c>
      <c r="I795" s="780" t="e">
        <f>'VVP2'!I331+Sector1!I772+Sector1!I782</f>
        <v>#VALUE!</v>
      </c>
      <c r="J795" s="780" t="e">
        <f>'VVP2'!J331+Sector1!J772+Sector1!J782</f>
        <v>#VALUE!</v>
      </c>
      <c r="K795" s="780" t="e">
        <f>'VVP2'!K331+Sector1!K772+Sector1!K782</f>
        <v>#VALUE!</v>
      </c>
      <c r="L795" s="780" t="e">
        <f>'VVP2'!L331+Sector1!L772+Sector1!L782</f>
        <v>#VALUE!</v>
      </c>
      <c r="M795" s="780" t="e">
        <f>'VVP2'!M331+Sector1!M772+Sector1!M782</f>
        <v>#VALUE!</v>
      </c>
      <c r="N795" s="780" t="e">
        <f>'VVP2'!N331+Sector1!N772+Sector1!N782</f>
        <v>#VALUE!</v>
      </c>
      <c r="O795" s="780" t="e">
        <f>'VVP2'!O331+Sector1!O772+Sector1!O782</f>
        <v>#VALUE!</v>
      </c>
      <c r="P795" s="780" t="e">
        <f>'VVP2'!P331+Sector1!P772+Sector1!P782</f>
        <v>#VALUE!</v>
      </c>
      <c r="Q795" s="780" t="e">
        <f>'VVP2'!Q331+Sector1!Q772+Sector1!Q782</f>
        <v>#VALUE!</v>
      </c>
      <c r="R795" s="780" t="e">
        <f>'VVP2'!R331+Sector1!R772+Sector1!R782</f>
        <v>#VALUE!</v>
      </c>
      <c r="S795" s="780" t="e">
        <f>'VVP2'!S331+Sector1!S772+Sector1!S782</f>
        <v>#VALUE!</v>
      </c>
      <c r="T795" s="780">
        <f>'VVP2'!T331+Sector1!T772+Sector1!T782</f>
        <v>-4.3574200000000003</v>
      </c>
      <c r="U795" s="780">
        <f>'VVP2'!U331+Sector1!U772+Sector1!U782</f>
        <v>0.52244999999999964</v>
      </c>
      <c r="V795" s="780">
        <f>'VVP2'!V331+Sector1!V772+Sector1!V782</f>
        <v>-0.16520999999999886</v>
      </c>
      <c r="W795" s="780">
        <f>'VVP2'!W331+Sector1!W772+Sector1!W782</f>
        <v>-1.2646600000000003</v>
      </c>
      <c r="X795" s="780">
        <f>'VVP2'!X331+Sector1!X772+Sector1!X782</f>
        <v>-0.35613999999999912</v>
      </c>
      <c r="Y795" s="780">
        <f>'VVP2'!Y331+Sector1!Y772+Sector1!Y782</f>
        <v>0.45424999999999882</v>
      </c>
      <c r="Z795" s="780">
        <f>'VVP2'!Z331+Sector1!Z772+Sector1!Z782</f>
        <v>1.4215200000000019</v>
      </c>
      <c r="AA795" s="780">
        <f>'VVP2'!AA331+Sector1!AA772+Sector1!AA782</f>
        <v>-0.78749000000000124</v>
      </c>
      <c r="AB795" s="780">
        <f>'VVP2'!AB331+Sector1!AB772+Sector1!AB782</f>
        <v>-0.25501999999999991</v>
      </c>
      <c r="AC795" s="780">
        <f>'VVP2'!AC331+Sector1!AC772+Sector1!AC782</f>
        <v>0.14305840799999514</v>
      </c>
      <c r="AD795" s="780">
        <f ca="1">'VVP2'!AD331+Sector1!AD772+Sector1!AD782</f>
        <v>-0.19902025200000661</v>
      </c>
      <c r="AE795" s="780">
        <f ca="1">'VVP2'!AE331+Sector1!AE772+Sector1!AE782</f>
        <v>-0.2625227012653919</v>
      </c>
    </row>
    <row r="796" spans="1:113" customFormat="1">
      <c r="B796" s="3702"/>
      <c r="C796" s="774"/>
      <c r="D796" s="806" t="s">
        <v>688</v>
      </c>
      <c r="E796" s="809" t="s">
        <v>2499</v>
      </c>
      <c r="F796" s="808"/>
      <c r="G796" s="841" t="e">
        <f>+G795/'VVP2'!G$341</f>
        <v>#VALUE!</v>
      </c>
      <c r="H796" s="841" t="e">
        <f>+H795/'VVP2'!H$341</f>
        <v>#VALUE!</v>
      </c>
      <c r="I796" s="841" t="e">
        <f>+I795/'VVP2'!I$341</f>
        <v>#VALUE!</v>
      </c>
      <c r="J796" s="841" t="e">
        <f>+J795/'VVP2'!J$341</f>
        <v>#VALUE!</v>
      </c>
      <c r="K796" s="841" t="e">
        <f>+K795/'VVP2'!K$341</f>
        <v>#VALUE!</v>
      </c>
      <c r="L796" s="841" t="e">
        <f>+L795/'VVP2'!L$341</f>
        <v>#VALUE!</v>
      </c>
      <c r="M796" s="841" t="e">
        <f>+M795/'VVP2'!M$341</f>
        <v>#VALUE!</v>
      </c>
      <c r="N796" s="841" t="e">
        <f>+N795/'VVP2'!N$341</f>
        <v>#VALUE!</v>
      </c>
      <c r="O796" s="841" t="e">
        <f>+O795/'VVP2'!O$341</f>
        <v>#VALUE!</v>
      </c>
      <c r="P796" s="841" t="e">
        <f>+P795/'VVP2'!P$341</f>
        <v>#VALUE!</v>
      </c>
      <c r="Q796" s="841" t="e">
        <f>+Q795/'VVP2'!Q$341</f>
        <v>#VALUE!</v>
      </c>
      <c r="R796" s="841" t="e">
        <f>+R795/'VVP2'!R$341</f>
        <v>#VALUE!</v>
      </c>
      <c r="S796" s="841" t="e">
        <f>+S795/'VVP2'!S$341</f>
        <v>#VALUE!</v>
      </c>
      <c r="T796" s="841">
        <f>+T795/'VVP2'!T$341</f>
        <v>-0.13326959519553908</v>
      </c>
      <c r="U796" s="841">
        <f>+U795/'VVP2'!U$341</f>
        <v>1.93968253732529E-2</v>
      </c>
      <c r="V796" s="841">
        <f>+V795/'VVP2'!V$341</f>
        <v>-5.8945341851584778E-3</v>
      </c>
      <c r="W796" s="841">
        <f>+W795/'VVP2'!W$341</f>
        <v>-4.043635684622892E-2</v>
      </c>
      <c r="X796" s="841">
        <f>+X795/'VVP2'!X$341</f>
        <v>-1.0679347304584769E-2</v>
      </c>
      <c r="Y796" s="841">
        <f>+Y795/'VVP2'!Y$341</f>
        <v>1.2993551136810545E-2</v>
      </c>
      <c r="Z796" s="841">
        <f>+Z795/'VVP2'!Z$341</f>
        <v>3.8873034225290384E-2</v>
      </c>
      <c r="AA796" s="841">
        <f>+AA795/'VVP2'!AA$341</f>
        <v>-2.1040911800454306E-2</v>
      </c>
      <c r="AB796" s="841">
        <f>+AB795/'VVP2'!AB$341</f>
        <v>-6.595062831796155E-3</v>
      </c>
      <c r="AC796" s="841">
        <f ca="1">+AC795/'VVP2'!AC$341</f>
        <v>3.4241214728969261E-3</v>
      </c>
      <c r="AD796" s="841">
        <f ca="1">+AD795/'VVP2'!AD$341</f>
        <v>-4.5015434686686709E-3</v>
      </c>
      <c r="AE796" s="841">
        <f ca="1">+AE795/'VVP2'!AE$341</f>
        <v>-5.6243314718085911E-3</v>
      </c>
    </row>
    <row r="797" spans="1:113" customFormat="1">
      <c r="B797" s="3702"/>
      <c r="C797" s="779"/>
      <c r="D797" s="668" t="s">
        <v>688</v>
      </c>
      <c r="E797" s="780" t="s">
        <v>2500</v>
      </c>
      <c r="F797" s="701"/>
      <c r="G797" s="780" t="e">
        <f>InputY!G86/1000</f>
        <v>#VALUE!</v>
      </c>
      <c r="H797" s="780" t="e">
        <f>InputY!H86/1000</f>
        <v>#VALUE!</v>
      </c>
      <c r="I797" s="780" t="e">
        <f>InputY!I86/1000</f>
        <v>#VALUE!</v>
      </c>
      <c r="J797" s="780" t="e">
        <f>InputY!J86/1000</f>
        <v>#VALUE!</v>
      </c>
      <c r="K797" s="780" t="e">
        <f>InputY!K86/1000</f>
        <v>#VALUE!</v>
      </c>
      <c r="L797" s="780" t="e">
        <f>InputY!L86/1000</f>
        <v>#VALUE!</v>
      </c>
      <c r="M797" s="780" t="e">
        <f>InputY!M86/1000</f>
        <v>#VALUE!</v>
      </c>
      <c r="N797" s="780" t="e">
        <f>InputY!N86/1000</f>
        <v>#VALUE!</v>
      </c>
      <c r="O797" s="780" t="e">
        <f>InputY!O86/1000</f>
        <v>#VALUE!</v>
      </c>
      <c r="P797" s="780">
        <f>InputY!P86/1000</f>
        <v>-1.387</v>
      </c>
      <c r="Q797" s="780">
        <f>InputY!Q86/1000</f>
        <v>-1.5269000000000001</v>
      </c>
      <c r="R797" s="780">
        <f>InputY!R86/1000</f>
        <v>-2.6238000000000001</v>
      </c>
      <c r="S797" s="780">
        <f>InputY!S86/1000</f>
        <v>-4.4960000000000004</v>
      </c>
      <c r="T797" s="780">
        <f>InputY!T86/1000</f>
        <v>-4.4486000000000008</v>
      </c>
      <c r="U797" s="780">
        <f>InputY!U86/1000</f>
        <v>0.38530000000000003</v>
      </c>
      <c r="V797" s="780">
        <f>InputY!V86/1000</f>
        <v>-0.35749999999999998</v>
      </c>
      <c r="W797" s="780">
        <f>InputY!W86/1000</f>
        <v>-1.4234</v>
      </c>
      <c r="X797" s="780">
        <f>InputY!X86/1000</f>
        <v>-0.47020000000000001</v>
      </c>
      <c r="Y797" s="780">
        <f>InputY!Y86/1000</f>
        <v>0.29210000000000003</v>
      </c>
      <c r="Z797" s="780">
        <f>InputY!Z86/1000</f>
        <v>1.1577</v>
      </c>
      <c r="AA797" s="780">
        <f>InputY!AA86/1000</f>
        <v>-1.0497999999999998</v>
      </c>
      <c r="AB797" s="780">
        <f>InputY!AB86/1000</f>
        <v>-0.43330000000000002</v>
      </c>
      <c r="AC797" s="2213">
        <f t="shared" ref="AC797:AD797" si="767">AC795</f>
        <v>0.14305840799999514</v>
      </c>
      <c r="AD797" s="2213">
        <f t="shared" ca="1" si="767"/>
        <v>-0.19902025200000661</v>
      </c>
      <c r="AE797" s="2213">
        <f t="shared" ref="AE797" ca="1" si="768">AE795</f>
        <v>-0.2625227012653919</v>
      </c>
    </row>
    <row r="798" spans="1:113" customFormat="1">
      <c r="B798" s="3702"/>
      <c r="C798" s="774"/>
      <c r="D798" s="806" t="s">
        <v>688</v>
      </c>
      <c r="E798" s="809" t="s">
        <v>2501</v>
      </c>
      <c r="F798" s="808"/>
      <c r="G798" s="841" t="e">
        <f>+G797/'VVP2'!G$341</f>
        <v>#VALUE!</v>
      </c>
      <c r="H798" s="841" t="e">
        <f>+H797/'VVP2'!H$341</f>
        <v>#VALUE!</v>
      </c>
      <c r="I798" s="841" t="e">
        <f>+I797/'VVP2'!I$341</f>
        <v>#VALUE!</v>
      </c>
      <c r="J798" s="841" t="e">
        <f>+J797/'VVP2'!J$341</f>
        <v>#VALUE!</v>
      </c>
      <c r="K798" s="841" t="e">
        <f>+K797/'VVP2'!K$341</f>
        <v>#VALUE!</v>
      </c>
      <c r="L798" s="841" t="e">
        <f>+L797/'VVP2'!L$341</f>
        <v>#VALUE!</v>
      </c>
      <c r="M798" s="841" t="e">
        <f>+M797/'VVP2'!M$341</f>
        <v>#VALUE!</v>
      </c>
      <c r="N798" s="841" t="e">
        <f>+N797/'VVP2'!N$341</f>
        <v>#VALUE!</v>
      </c>
      <c r="O798" s="841" t="e">
        <f>+O797/'VVP2'!O$341</f>
        <v>#VALUE!</v>
      </c>
      <c r="P798" s="841">
        <f>+P797/'VVP2'!P$341</f>
        <v>-7.6051173063299587E-2</v>
      </c>
      <c r="Q798" s="841">
        <f>+Q797/'VVP2'!Q$341</f>
        <v>-7.2701388177989615E-2</v>
      </c>
      <c r="R798" s="841">
        <f>+R797/'VVP2'!R$341</f>
        <v>-0.10896550463927758</v>
      </c>
      <c r="S798" s="841">
        <f>+S797/'VVP2'!S$341</f>
        <v>-0.15481741806143526</v>
      </c>
      <c r="T798" s="841">
        <f>+T797/'VVP2'!T$341</f>
        <v>-0.13605829164663383</v>
      </c>
      <c r="U798" s="841">
        <f>+U797/'VVP2'!U$341</f>
        <v>1.4304903466962098E-2</v>
      </c>
      <c r="V798" s="841">
        <f>+V797/'VVP2'!V$341</f>
        <v>-1.275525677134659E-2</v>
      </c>
      <c r="W798" s="841">
        <f>+W797/'VVP2'!W$341</f>
        <v>-4.5511924418359266E-2</v>
      </c>
      <c r="X798" s="841">
        <f>+X797/'VVP2'!X$341</f>
        <v>-1.4099593144874968E-2</v>
      </c>
      <c r="Y798" s="841">
        <f>+Y797/'VVP2'!Y$341</f>
        <v>8.3553468069617401E-3</v>
      </c>
      <c r="Z798" s="841">
        <f>+Z797/'VVP2'!Z$341</f>
        <v>3.1658584981300732E-2</v>
      </c>
      <c r="AA798" s="841">
        <f>+AA797/'VVP2'!AA$341</f>
        <v>-2.8049561528548799E-2</v>
      </c>
      <c r="AB798" s="841">
        <f>+AB797/'VVP2'!AB$341</f>
        <v>-1.1205555348667851E-2</v>
      </c>
      <c r="AC798" s="841">
        <f ca="1">+AC797/'VVP2'!AC$341</f>
        <v>3.4241214728969261E-3</v>
      </c>
      <c r="AD798" s="841">
        <f ca="1">+AD797/'VVP2'!AD$341</f>
        <v>-4.5015434686686709E-3</v>
      </c>
      <c r="AE798" s="841">
        <f ca="1">+AE797/'VVP2'!AE$341</f>
        <v>-5.6243314718085911E-3</v>
      </c>
    </row>
    <row r="799" spans="1:113" customFormat="1">
      <c r="B799" s="3702"/>
      <c r="C799" s="3702"/>
      <c r="D799" s="670"/>
      <c r="E799" s="699"/>
      <c r="F799" s="3702"/>
      <c r="G799" s="3702"/>
      <c r="H799" s="3702"/>
      <c r="I799" s="3702"/>
      <c r="J799" s="3702"/>
      <c r="K799" s="3702"/>
      <c r="AE799" s="3650"/>
    </row>
    <row r="800" spans="1:113" customFormat="1">
      <c r="B800" s="3702"/>
      <c r="C800" s="3702"/>
      <c r="D800" s="668" t="s">
        <v>688</v>
      </c>
      <c r="E800" s="780" t="s">
        <v>2517</v>
      </c>
      <c r="F800" s="3702"/>
      <c r="G800" s="3702" t="e">
        <f>InputY!G170/1000</f>
        <v>#VALUE!</v>
      </c>
      <c r="H800" s="3702" t="e">
        <f>InputY!H170/1000</f>
        <v>#VALUE!</v>
      </c>
      <c r="I800" s="3702" t="e">
        <f>InputY!I170/1000</f>
        <v>#VALUE!</v>
      </c>
      <c r="J800" s="3702" t="e">
        <f>InputY!J170/1000</f>
        <v>#VALUE!</v>
      </c>
      <c r="K800" s="3702" t="e">
        <f>InputY!K170/1000</f>
        <v>#VALUE!</v>
      </c>
      <c r="L800" s="3603" t="e">
        <f>InputY!L170/1000</f>
        <v>#VALUE!</v>
      </c>
      <c r="M800" s="3603" t="e">
        <f>InputY!M170/1000</f>
        <v>#VALUE!</v>
      </c>
      <c r="N800" s="3603" t="e">
        <f>InputY!N170/1000</f>
        <v>#VALUE!</v>
      </c>
      <c r="O800" s="3603" t="e">
        <f>InputY!O170/1000</f>
        <v>#VALUE!</v>
      </c>
      <c r="P800" s="3603">
        <f>InputY!P170/1000</f>
        <v>8.8400000000000006E-2</v>
      </c>
      <c r="Q800" s="3603">
        <f>InputY!Q170/1000</f>
        <v>5.8939999999999999E-2</v>
      </c>
      <c r="R800" s="3603">
        <f>InputY!R170/1000</f>
        <v>7.8019999999999992E-2</v>
      </c>
      <c r="S800" s="3603">
        <f>InputY!S170/1000</f>
        <v>9.6560000000000007E-2</v>
      </c>
      <c r="T800" s="3603">
        <f>InputY!T170/1000</f>
        <v>0.11871999999999999</v>
      </c>
      <c r="U800" s="3603">
        <f>InputY!U170/1000</f>
        <v>0.12181</v>
      </c>
      <c r="V800" s="3603">
        <f>InputY!V170/1000</f>
        <v>0.22234000000000001</v>
      </c>
      <c r="W800" s="3603">
        <f>InputY!W170/1000</f>
        <v>0.27355000000000002</v>
      </c>
      <c r="X800" s="3603">
        <f>InputY!X170/1000</f>
        <v>0.26882999999999996</v>
      </c>
      <c r="Y800" s="3603">
        <f>InputY!Y170/1000</f>
        <v>0.25854000000000005</v>
      </c>
      <c r="Z800" s="3603">
        <f>InputY!Z170/1000</f>
        <v>0.25791000000000003</v>
      </c>
      <c r="AA800" s="3603">
        <f>InputY!AA170/1000</f>
        <v>0.25409999999999999</v>
      </c>
      <c r="AB800" s="3683">
        <f>InputY!AB170/1000</f>
        <v>0.19440000000000002</v>
      </c>
      <c r="AC800" s="3605">
        <v>0.27</v>
      </c>
      <c r="AD800" s="3605">
        <v>0.27</v>
      </c>
      <c r="AE800" s="3605">
        <v>0.27</v>
      </c>
    </row>
    <row r="801" spans="4:31" customFormat="1">
      <c r="D801" s="668" t="s">
        <v>688</v>
      </c>
      <c r="E801" s="780" t="s">
        <v>2516</v>
      </c>
      <c r="F801" s="3702"/>
      <c r="G801" s="3702" t="e">
        <f>InputY!G174/1000</f>
        <v>#VALUE!</v>
      </c>
      <c r="H801" s="3702" t="e">
        <f>InputY!H174/1000</f>
        <v>#VALUE!</v>
      </c>
      <c r="I801" s="3702" t="e">
        <f>InputY!I174/1000</f>
        <v>#VALUE!</v>
      </c>
      <c r="J801" s="3702" t="e">
        <f>InputY!J174/1000</f>
        <v>#VALUE!</v>
      </c>
      <c r="K801" s="3702" t="e">
        <f>InputY!K174/1000</f>
        <v>#VALUE!</v>
      </c>
      <c r="L801" s="3603" t="e">
        <f>InputY!L174/1000</f>
        <v>#VALUE!</v>
      </c>
      <c r="M801" s="3603" t="e">
        <f>InputY!M174/1000</f>
        <v>#VALUE!</v>
      </c>
      <c r="N801" s="3603" t="e">
        <f>InputY!N174/1000</f>
        <v>#VALUE!</v>
      </c>
      <c r="O801" s="3603" t="e">
        <f>InputY!O174/1000</f>
        <v>#VALUE!</v>
      </c>
      <c r="P801" s="3603">
        <f>InputY!P174/1000</f>
        <v>7.6079999999999995E-2</v>
      </c>
      <c r="Q801" s="3603">
        <f>InputY!Q174/1000</f>
        <v>0.14515999999999998</v>
      </c>
      <c r="R801" s="3603">
        <f>InputY!R174/1000</f>
        <v>0.23908000000000001</v>
      </c>
      <c r="S801" s="3603">
        <f>InputY!S174/1000</f>
        <v>0.41317000000000004</v>
      </c>
      <c r="T801" s="3603">
        <f>InputY!T174/1000</f>
        <v>0.35420999999999997</v>
      </c>
      <c r="U801" s="3603">
        <f>InputY!U174/1000</f>
        <v>0.43730000000000002</v>
      </c>
      <c r="V801" s="3603">
        <f>InputY!V174/1000</f>
        <v>0.73433000000000004</v>
      </c>
      <c r="W801" s="3603">
        <f>InputY!W174/1000</f>
        <v>0.70191999999999999</v>
      </c>
      <c r="X801" s="3603">
        <f>InputY!X174/1000</f>
        <v>0.64755999999999991</v>
      </c>
      <c r="Y801" s="3603">
        <f>InputY!Y174/1000</f>
        <v>0.61676999999999993</v>
      </c>
      <c r="Z801" s="3603">
        <f>InputY!Z174/1000</f>
        <v>0.50839999999999996</v>
      </c>
      <c r="AA801" s="3603">
        <f>InputY!AA174/1000</f>
        <v>0.45700999999999997</v>
      </c>
      <c r="AB801" s="3683">
        <f>InputY!AB174/1000</f>
        <v>0.21001</v>
      </c>
      <c r="AC801" s="3649">
        <v>0.47699999999999998</v>
      </c>
      <c r="AD801" s="3649">
        <v>0.53400000000000003</v>
      </c>
      <c r="AE801" s="3649">
        <v>0.62</v>
      </c>
    </row>
    <row r="802" spans="4:31" customFormat="1">
      <c r="D802" s="3702"/>
      <c r="E802" s="3702"/>
      <c r="F802" s="3702"/>
      <c r="G802" s="3702"/>
      <c r="H802" s="3702"/>
      <c r="I802" s="3702"/>
      <c r="J802" s="3702"/>
      <c r="K802" s="3702"/>
      <c r="AE802" s="3650"/>
    </row>
    <row r="803" spans="4:31" customFormat="1">
      <c r="D803" s="3702"/>
      <c r="E803" s="3702"/>
      <c r="F803" s="3702"/>
      <c r="G803" s="3702"/>
      <c r="H803" s="3702"/>
      <c r="I803" s="3702"/>
      <c r="J803" s="3702"/>
      <c r="K803" s="3702"/>
      <c r="AE803" s="3650"/>
    </row>
    <row r="804" spans="4:31" customFormat="1">
      <c r="D804" s="3702"/>
      <c r="E804" s="3702"/>
      <c r="F804" s="3702"/>
      <c r="G804" s="3702"/>
      <c r="H804" s="3702"/>
      <c r="I804" s="3702"/>
      <c r="J804" s="3702"/>
      <c r="K804" s="3702"/>
      <c r="AE804" s="3650"/>
    </row>
    <row r="805" spans="4:31" customFormat="1">
      <c r="D805" s="3702"/>
      <c r="E805" s="3702"/>
      <c r="F805" s="3702"/>
      <c r="G805" s="3702"/>
      <c r="H805" s="3702"/>
      <c r="I805" s="3702"/>
      <c r="J805" s="3702"/>
      <c r="K805" s="3702"/>
      <c r="AE805" s="3650"/>
    </row>
    <row r="806" spans="4:31" customFormat="1">
      <c r="D806" s="3702"/>
      <c r="E806" s="3702"/>
      <c r="F806" s="3702"/>
      <c r="G806" s="3702"/>
      <c r="H806" s="3702"/>
      <c r="I806" s="3702"/>
      <c r="J806" s="3702"/>
      <c r="K806" s="3702"/>
      <c r="AE806" s="3650"/>
    </row>
    <row r="807" spans="4:31" customFormat="1">
      <c r="D807" s="3702"/>
      <c r="E807" s="3702"/>
      <c r="F807" s="3702"/>
      <c r="G807" s="3702"/>
      <c r="H807" s="3702"/>
      <c r="I807" s="3702"/>
      <c r="J807" s="3702"/>
      <c r="K807" s="3702"/>
      <c r="AE807" s="3650"/>
    </row>
    <row r="808" spans="4:31" customFormat="1">
      <c r="D808" s="3702"/>
      <c r="E808" s="3702"/>
      <c r="F808" s="3702"/>
      <c r="G808" s="3702"/>
      <c r="H808" s="3702"/>
      <c r="I808" s="3702"/>
      <c r="J808" s="3702"/>
      <c r="K808" s="3702"/>
      <c r="AE808" s="3650"/>
    </row>
    <row r="809" spans="4:31" customFormat="1">
      <c r="D809" s="3702"/>
      <c r="E809" s="3702"/>
      <c r="F809" s="3702"/>
      <c r="G809" s="3702"/>
      <c r="H809" s="3702"/>
      <c r="I809" s="3702"/>
      <c r="J809" s="3702"/>
      <c r="K809" s="3702"/>
      <c r="AE809" s="3650"/>
    </row>
    <row r="810" spans="4:31" customFormat="1">
      <c r="D810" s="3702"/>
      <c r="E810" s="3702"/>
      <c r="F810" s="3702"/>
      <c r="G810" s="3702"/>
      <c r="H810" s="3702"/>
      <c r="I810" s="3702"/>
      <c r="J810" s="3702"/>
      <c r="K810" s="3702"/>
      <c r="AE810" s="3650"/>
    </row>
    <row r="811" spans="4:31" customFormat="1">
      <c r="D811" s="3702"/>
      <c r="E811" s="3702"/>
      <c r="F811" s="3702"/>
      <c r="G811" s="3702"/>
      <c r="H811" s="3702"/>
      <c r="I811" s="3702"/>
      <c r="J811" s="3702"/>
      <c r="K811" s="3702"/>
      <c r="AE811" s="3650"/>
    </row>
    <row r="812" spans="4:31" customFormat="1">
      <c r="D812" s="3702"/>
      <c r="E812" s="3702"/>
      <c r="F812" s="3702"/>
      <c r="G812" s="3702"/>
      <c r="H812" s="3702"/>
      <c r="I812" s="3702"/>
      <c r="J812" s="3702"/>
      <c r="K812" s="3702"/>
      <c r="AE812" s="3650"/>
    </row>
    <row r="813" spans="4:31" customFormat="1">
      <c r="D813" s="3702"/>
      <c r="E813" s="3702"/>
      <c r="F813" s="3702"/>
      <c r="G813" s="3702"/>
      <c r="H813" s="3702"/>
      <c r="I813" s="3702"/>
      <c r="J813" s="3702"/>
      <c r="K813" s="3702"/>
      <c r="AE813" s="3650"/>
    </row>
    <row r="814" spans="4:31" customFormat="1">
      <c r="D814" s="3702"/>
      <c r="E814" s="3702"/>
      <c r="F814" s="3702"/>
      <c r="G814" s="3702"/>
      <c r="H814" s="3702"/>
      <c r="I814" s="3702"/>
      <c r="J814" s="3702"/>
      <c r="K814" s="3702"/>
      <c r="AE814" s="3650"/>
    </row>
    <row r="815" spans="4:31" customFormat="1">
      <c r="D815" s="3702"/>
      <c r="E815" s="3702"/>
      <c r="F815" s="3702"/>
      <c r="G815" s="3702"/>
      <c r="H815" s="3702"/>
      <c r="I815" s="3702"/>
      <c r="J815" s="3702"/>
      <c r="K815" s="3702"/>
      <c r="AE815" s="3650"/>
    </row>
    <row r="816" spans="4:31" customFormat="1">
      <c r="D816" s="3702"/>
      <c r="E816" s="3702"/>
      <c r="F816" s="3702"/>
      <c r="G816" s="3702"/>
      <c r="H816" s="3702"/>
      <c r="I816" s="3702"/>
      <c r="J816" s="3702"/>
      <c r="K816" s="3702"/>
      <c r="AE816" s="3650"/>
    </row>
    <row r="817" spans="31:31" customFormat="1">
      <c r="AE817" s="3650"/>
    </row>
    <row r="818" spans="31:31" customFormat="1">
      <c r="AE818" s="3650"/>
    </row>
    <row r="819" spans="31:31" customFormat="1">
      <c r="AE819" s="3650"/>
    </row>
    <row r="820" spans="31:31" customFormat="1">
      <c r="AE820" s="3650"/>
    </row>
    <row r="821" spans="31:31" customFormat="1">
      <c r="AE821" s="3650"/>
    </row>
    <row r="822" spans="31:31" customFormat="1">
      <c r="AE822" s="3650"/>
    </row>
    <row r="823" spans="31:31" customFormat="1">
      <c r="AE823" s="3650"/>
    </row>
    <row r="824" spans="31:31" customFormat="1">
      <c r="AE824" s="3650"/>
    </row>
    <row r="825" spans="31:31" customFormat="1">
      <c r="AE825" s="3650"/>
    </row>
    <row r="826" spans="31:31" customFormat="1">
      <c r="AE826" s="3650"/>
    </row>
    <row r="827" spans="31:31" customFormat="1">
      <c r="AE827" s="3650"/>
    </row>
    <row r="828" spans="31:31" customFormat="1">
      <c r="AE828" s="3650"/>
    </row>
    <row r="829" spans="31:31" customFormat="1">
      <c r="AE829" s="3650"/>
    </row>
    <row r="830" spans="31:31" customFormat="1">
      <c r="AE830" s="3650"/>
    </row>
    <row r="831" spans="31:31" customFormat="1">
      <c r="AE831" s="3650"/>
    </row>
    <row r="832" spans="31:31" customFormat="1">
      <c r="AE832" s="3650"/>
    </row>
    <row r="833" spans="31:31" customFormat="1">
      <c r="AE833" s="3650"/>
    </row>
    <row r="834" spans="31:31" customFormat="1">
      <c r="AE834" s="3650"/>
    </row>
    <row r="835" spans="31:31" customFormat="1">
      <c r="AE835" s="3650"/>
    </row>
    <row r="836" spans="31:31" customFormat="1">
      <c r="AE836" s="3650"/>
    </row>
    <row r="837" spans="31:31" customFormat="1">
      <c r="AE837" s="3650"/>
    </row>
    <row r="838" spans="31:31" customFormat="1">
      <c r="AE838" s="3650"/>
    </row>
    <row r="839" spans="31:31" customFormat="1">
      <c r="AE839" s="3650"/>
    </row>
    <row r="840" spans="31:31" customFormat="1">
      <c r="AE840" s="3650"/>
    </row>
    <row r="841" spans="31:31" customFormat="1">
      <c r="AE841" s="3650"/>
    </row>
    <row r="842" spans="31:31" customFormat="1">
      <c r="AE842" s="3650"/>
    </row>
    <row r="843" spans="31:31" customFormat="1">
      <c r="AE843" s="3650"/>
    </row>
    <row r="844" spans="31:31" customFormat="1">
      <c r="AE844" s="3650"/>
    </row>
    <row r="845" spans="31:31" customFormat="1">
      <c r="AE845" s="3650"/>
    </row>
    <row r="846" spans="31:31" customFormat="1">
      <c r="AE846" s="3650"/>
    </row>
    <row r="847" spans="31:31" customFormat="1">
      <c r="AE847" s="3650"/>
    </row>
    <row r="848" spans="31:31" customFormat="1">
      <c r="AE848" s="3650"/>
    </row>
    <row r="849" spans="31:31" customFormat="1">
      <c r="AE849" s="3650"/>
    </row>
    <row r="850" spans="31:31" customFormat="1">
      <c r="AE850" s="3650"/>
    </row>
    <row r="851" spans="31:31" customFormat="1">
      <c r="AE851" s="3650"/>
    </row>
    <row r="852" spans="31:31" customFormat="1">
      <c r="AE852" s="3650"/>
    </row>
    <row r="853" spans="31:31" customFormat="1">
      <c r="AE853" s="3650"/>
    </row>
    <row r="854" spans="31:31" customFormat="1">
      <c r="AE854" s="3650"/>
    </row>
    <row r="855" spans="31:31" customFormat="1">
      <c r="AE855" s="3650"/>
    </row>
    <row r="856" spans="31:31" customFormat="1">
      <c r="AE856" s="3650"/>
    </row>
    <row r="857" spans="31:31" customFormat="1">
      <c r="AE857" s="3650"/>
    </row>
    <row r="858" spans="31:31" customFormat="1">
      <c r="AE858" s="3650"/>
    </row>
    <row r="859" spans="31:31" customFormat="1">
      <c r="AE859" s="3650"/>
    </row>
    <row r="860" spans="31:31" customFormat="1">
      <c r="AE860" s="3650"/>
    </row>
    <row r="861" spans="31:31" customFormat="1">
      <c r="AE861" s="3650"/>
    </row>
    <row r="862" spans="31:31" customFormat="1">
      <c r="AE862" s="3650"/>
    </row>
    <row r="863" spans="31:31" customFormat="1">
      <c r="AE863" s="3650"/>
    </row>
    <row r="864" spans="31:31" customFormat="1">
      <c r="AE864" s="3650"/>
    </row>
    <row r="865" spans="31:31" customFormat="1">
      <c r="AE865" s="3650"/>
    </row>
    <row r="866" spans="31:31" customFormat="1">
      <c r="AE866" s="3650"/>
    </row>
    <row r="867" spans="31:31" customFormat="1">
      <c r="AE867" s="3650"/>
    </row>
    <row r="868" spans="31:31" customFormat="1">
      <c r="AE868" s="3650"/>
    </row>
    <row r="869" spans="31:31" customFormat="1">
      <c r="AE869" s="3650"/>
    </row>
    <row r="870" spans="31:31" customFormat="1">
      <c r="AE870" s="3650"/>
    </row>
    <row r="871" spans="31:31" customFormat="1">
      <c r="AE871" s="3650"/>
    </row>
    <row r="872" spans="31:31" customFormat="1">
      <c r="AE872" s="3650"/>
    </row>
    <row r="873" spans="31:31" customFormat="1">
      <c r="AE873" s="3650"/>
    </row>
    <row r="874" spans="31:31" customFormat="1">
      <c r="AE874" s="3650"/>
    </row>
    <row r="875" spans="31:31" customFormat="1">
      <c r="AE875" s="3650"/>
    </row>
    <row r="876" spans="31:31" customFormat="1">
      <c r="AE876" s="3650"/>
    </row>
    <row r="877" spans="31:31" customFormat="1">
      <c r="AE877" s="3650"/>
    </row>
    <row r="878" spans="31:31" customFormat="1">
      <c r="AE878" s="3650"/>
    </row>
    <row r="879" spans="31:31" customFormat="1">
      <c r="AE879" s="3650"/>
    </row>
    <row r="880" spans="31:31" customFormat="1">
      <c r="AE880" s="3650"/>
    </row>
    <row r="881" spans="31:31" customFormat="1">
      <c r="AE881" s="3650"/>
    </row>
    <row r="882" spans="31:31" customFormat="1">
      <c r="AE882" s="3650"/>
    </row>
    <row r="883" spans="31:31" customFormat="1">
      <c r="AE883" s="3650"/>
    </row>
    <row r="884" spans="31:31" customFormat="1">
      <c r="AE884" s="3650"/>
    </row>
    <row r="885" spans="31:31" customFormat="1">
      <c r="AE885" s="3650"/>
    </row>
    <row r="886" spans="31:31" customFormat="1">
      <c r="AE886" s="3650"/>
    </row>
    <row r="887" spans="31:31" customFormat="1">
      <c r="AE887" s="3650"/>
    </row>
    <row r="888" spans="31:31" customFormat="1">
      <c r="AE888" s="3650"/>
    </row>
    <row r="889" spans="31:31" customFormat="1">
      <c r="AE889" s="3650"/>
    </row>
    <row r="890" spans="31:31" customFormat="1">
      <c r="AE890" s="3650"/>
    </row>
    <row r="891" spans="31:31" customFormat="1">
      <c r="AE891" s="3650"/>
    </row>
    <row r="892" spans="31:31" customFormat="1">
      <c r="AE892" s="3650"/>
    </row>
    <row r="893" spans="31:31" customFormat="1">
      <c r="AE893" s="3650"/>
    </row>
    <row r="894" spans="31:31" customFormat="1">
      <c r="AE894" s="3650"/>
    </row>
    <row r="895" spans="31:31" customFormat="1">
      <c r="AE895" s="3650"/>
    </row>
    <row r="896" spans="31:31" customFormat="1">
      <c r="AE896" s="3650"/>
    </row>
    <row r="897" spans="31:31" customFormat="1">
      <c r="AE897" s="3650"/>
    </row>
    <row r="898" spans="31:31" customFormat="1">
      <c r="AE898" s="3650"/>
    </row>
    <row r="899" spans="31:31" customFormat="1">
      <c r="AE899" s="3650"/>
    </row>
    <row r="900" spans="31:31" customFormat="1">
      <c r="AE900" s="3650"/>
    </row>
    <row r="901" spans="31:31" customFormat="1">
      <c r="AE901" s="3650"/>
    </row>
    <row r="902" spans="31:31" customFormat="1">
      <c r="AE902" s="3650"/>
    </row>
    <row r="903" spans="31:31" customFormat="1">
      <c r="AE903" s="3650"/>
    </row>
    <row r="904" spans="31:31" customFormat="1">
      <c r="AE904" s="3650"/>
    </row>
    <row r="905" spans="31:31" customFormat="1">
      <c r="AE905" s="3650"/>
    </row>
    <row r="906" spans="31:31" customFormat="1">
      <c r="AE906" s="3650"/>
    </row>
    <row r="907" spans="31:31" customFormat="1">
      <c r="AE907" s="3650"/>
    </row>
    <row r="908" spans="31:31" customFormat="1">
      <c r="AE908" s="3650"/>
    </row>
    <row r="909" spans="31:31" customFormat="1">
      <c r="AE909" s="3650"/>
    </row>
    <row r="910" spans="31:31" customFormat="1">
      <c r="AE910" s="3650"/>
    </row>
    <row r="911" spans="31:31" customFormat="1">
      <c r="AE911" s="3650"/>
    </row>
    <row r="912" spans="31:31" customFormat="1">
      <c r="AE912" s="3650"/>
    </row>
    <row r="913" spans="31:31" customFormat="1">
      <c r="AE913" s="3650"/>
    </row>
    <row r="914" spans="31:31" customFormat="1">
      <c r="AE914" s="3650"/>
    </row>
    <row r="915" spans="31:31" customFormat="1">
      <c r="AE915" s="3650"/>
    </row>
    <row r="916" spans="31:31" customFormat="1">
      <c r="AE916" s="3650"/>
    </row>
    <row r="917" spans="31:31" customFormat="1">
      <c r="AE917" s="3650"/>
    </row>
    <row r="918" spans="31:31" customFormat="1">
      <c r="AE918" s="3650"/>
    </row>
    <row r="919" spans="31:31" customFormat="1">
      <c r="AE919" s="3650"/>
    </row>
    <row r="920" spans="31:31" customFormat="1">
      <c r="AE920" s="3650"/>
    </row>
    <row r="921" spans="31:31" customFormat="1">
      <c r="AE921" s="3650"/>
    </row>
    <row r="922" spans="31:31" customFormat="1">
      <c r="AE922" s="3650"/>
    </row>
    <row r="923" spans="31:31" customFormat="1">
      <c r="AE923" s="3650"/>
    </row>
    <row r="924" spans="31:31" customFormat="1">
      <c r="AE924" s="3650"/>
    </row>
    <row r="925" spans="31:31" customFormat="1">
      <c r="AE925" s="3650"/>
    </row>
    <row r="926" spans="31:31" customFormat="1">
      <c r="AE926" s="3650"/>
    </row>
    <row r="927" spans="31:31" customFormat="1">
      <c r="AE927" s="3650"/>
    </row>
    <row r="928" spans="31:31" customFormat="1">
      <c r="AE928" s="3650"/>
    </row>
    <row r="929" spans="31:31" customFormat="1">
      <c r="AE929" s="3650"/>
    </row>
    <row r="930" spans="31:31" customFormat="1">
      <c r="AE930" s="3650"/>
    </row>
    <row r="931" spans="31:31" customFormat="1">
      <c r="AE931" s="3650"/>
    </row>
    <row r="932" spans="31:31" customFormat="1">
      <c r="AE932" s="3650"/>
    </row>
    <row r="933" spans="31:31" customFormat="1">
      <c r="AE933" s="3650"/>
    </row>
    <row r="934" spans="31:31" customFormat="1">
      <c r="AE934" s="3650"/>
    </row>
    <row r="935" spans="31:31" customFormat="1">
      <c r="AE935" s="3650"/>
    </row>
    <row r="936" spans="31:31" customFormat="1">
      <c r="AE936" s="3650"/>
    </row>
    <row r="937" spans="31:31" customFormat="1">
      <c r="AE937" s="3650"/>
    </row>
    <row r="938" spans="31:31" customFormat="1">
      <c r="AE938" s="3650"/>
    </row>
    <row r="939" spans="31:31" customFormat="1">
      <c r="AE939" s="3650"/>
    </row>
    <row r="940" spans="31:31" customFormat="1">
      <c r="AE940" s="3650"/>
    </row>
    <row r="941" spans="31:31" customFormat="1">
      <c r="AE941" s="3650"/>
    </row>
    <row r="942" spans="31:31" customFormat="1">
      <c r="AE942" s="3650"/>
    </row>
    <row r="943" spans="31:31" customFormat="1">
      <c r="AE943" s="3650"/>
    </row>
    <row r="944" spans="31:31" customFormat="1">
      <c r="AE944" s="3650"/>
    </row>
    <row r="945" spans="31:31" customFormat="1">
      <c r="AE945" s="3650"/>
    </row>
    <row r="946" spans="31:31" customFormat="1">
      <c r="AE946" s="3650"/>
    </row>
    <row r="947" spans="31:31" customFormat="1">
      <c r="AE947" s="3650"/>
    </row>
    <row r="948" spans="31:31" customFormat="1">
      <c r="AE948" s="3650"/>
    </row>
    <row r="949" spans="31:31" customFormat="1">
      <c r="AE949" s="3650"/>
    </row>
    <row r="950" spans="31:31" customFormat="1">
      <c r="AE950" s="3650"/>
    </row>
    <row r="951" spans="31:31" customFormat="1">
      <c r="AE951" s="3650"/>
    </row>
    <row r="952" spans="31:31" customFormat="1">
      <c r="AE952" s="3650"/>
    </row>
    <row r="953" spans="31:31" customFormat="1">
      <c r="AE953" s="3650"/>
    </row>
    <row r="954" spans="31:31" customFormat="1">
      <c r="AE954" s="3650"/>
    </row>
    <row r="955" spans="31:31" customFormat="1">
      <c r="AE955" s="3650"/>
    </row>
    <row r="956" spans="31:31" customFormat="1">
      <c r="AE956" s="3650"/>
    </row>
    <row r="957" spans="31:31" customFormat="1">
      <c r="AE957" s="3650"/>
    </row>
    <row r="958" spans="31:31" customFormat="1">
      <c r="AE958" s="3650"/>
    </row>
    <row r="959" spans="31:31" customFormat="1">
      <c r="AE959" s="3650"/>
    </row>
    <row r="960" spans="31:31" customFormat="1">
      <c r="AE960" s="3650"/>
    </row>
    <row r="961" spans="31:31" customFormat="1">
      <c r="AE961" s="3650"/>
    </row>
    <row r="962" spans="31:31" customFormat="1">
      <c r="AE962" s="3650"/>
    </row>
    <row r="963" spans="31:31" customFormat="1">
      <c r="AE963" s="3650"/>
    </row>
    <row r="964" spans="31:31" customFormat="1">
      <c r="AE964" s="3650"/>
    </row>
    <row r="965" spans="31:31" customFormat="1">
      <c r="AE965" s="3650"/>
    </row>
    <row r="966" spans="31:31" customFormat="1">
      <c r="AE966" s="3650"/>
    </row>
    <row r="967" spans="31:31" customFormat="1">
      <c r="AE967" s="3650"/>
    </row>
    <row r="968" spans="31:31" customFormat="1">
      <c r="AE968" s="3650"/>
    </row>
    <row r="969" spans="31:31" customFormat="1">
      <c r="AE969" s="3650"/>
    </row>
    <row r="970" spans="31:31" customFormat="1">
      <c r="AE970" s="3650"/>
    </row>
    <row r="971" spans="31:31" customFormat="1">
      <c r="AE971" s="3650"/>
    </row>
    <row r="972" spans="31:31" customFormat="1">
      <c r="AE972" s="3650"/>
    </row>
    <row r="973" spans="31:31" customFormat="1">
      <c r="AE973" s="3650"/>
    </row>
    <row r="974" spans="31:31" customFormat="1">
      <c r="AE974" s="3650"/>
    </row>
    <row r="975" spans="31:31" customFormat="1">
      <c r="AE975" s="3650"/>
    </row>
    <row r="976" spans="31:31" customFormat="1">
      <c r="AE976" s="3650"/>
    </row>
    <row r="977" spans="31:31" customFormat="1">
      <c r="AE977" s="3650"/>
    </row>
    <row r="978" spans="31:31" customFormat="1">
      <c r="AE978" s="3650"/>
    </row>
    <row r="979" spans="31:31" customFormat="1">
      <c r="AE979" s="3650"/>
    </row>
    <row r="980" spans="31:31" customFormat="1">
      <c r="AE980" s="3650"/>
    </row>
    <row r="981" spans="31:31" customFormat="1">
      <c r="AE981" s="3650"/>
    </row>
    <row r="982" spans="31:31" customFormat="1">
      <c r="AE982" s="3650"/>
    </row>
    <row r="983" spans="31:31" customFormat="1">
      <c r="AE983" s="3650"/>
    </row>
    <row r="984" spans="31:31" customFormat="1">
      <c r="AE984" s="3650"/>
    </row>
    <row r="985" spans="31:31" customFormat="1">
      <c r="AE985" s="3650"/>
    </row>
    <row r="986" spans="31:31" customFormat="1">
      <c r="AE986" s="3650"/>
    </row>
    <row r="987" spans="31:31" customFormat="1">
      <c r="AE987" s="3650"/>
    </row>
    <row r="988" spans="31:31" customFormat="1">
      <c r="AE988" s="3650"/>
    </row>
    <row r="989" spans="31:31" customFormat="1">
      <c r="AE989" s="3650"/>
    </row>
    <row r="990" spans="31:31" customFormat="1">
      <c r="AE990" s="3650"/>
    </row>
    <row r="991" spans="31:31" customFormat="1">
      <c r="AE991" s="3650"/>
    </row>
    <row r="992" spans="31:31" customFormat="1">
      <c r="AE992" s="3650"/>
    </row>
    <row r="993" spans="31:31" customFormat="1">
      <c r="AE993" s="3650"/>
    </row>
    <row r="994" spans="31:31" customFormat="1">
      <c r="AE994" s="3650"/>
    </row>
    <row r="995" spans="31:31" customFormat="1">
      <c r="AE995" s="3650"/>
    </row>
    <row r="996" spans="31:31" customFormat="1">
      <c r="AE996" s="3650"/>
    </row>
    <row r="997" spans="31:31" customFormat="1">
      <c r="AE997" s="3650"/>
    </row>
    <row r="998" spans="31:31" customFormat="1">
      <c r="AE998" s="3650"/>
    </row>
    <row r="999" spans="31:31" customFormat="1">
      <c r="AE999" s="3650"/>
    </row>
    <row r="1000" spans="31:31" customFormat="1">
      <c r="AE1000" s="3650"/>
    </row>
    <row r="1001" spans="31:31" customFormat="1">
      <c r="AE1001" s="3650"/>
    </row>
    <row r="1002" spans="31:31" customFormat="1">
      <c r="AE1002" s="3650"/>
    </row>
    <row r="1003" spans="31:31" customFormat="1">
      <c r="AE1003" s="3650"/>
    </row>
    <row r="1004" spans="31:31" customFormat="1">
      <c r="AE1004" s="3650"/>
    </row>
    <row r="1005" spans="31:31" customFormat="1">
      <c r="AE1005" s="3650"/>
    </row>
    <row r="1006" spans="31:31" customFormat="1">
      <c r="AE1006" s="3650"/>
    </row>
    <row r="1007" spans="31:31" customFormat="1">
      <c r="AE1007" s="3650"/>
    </row>
    <row r="1008" spans="31:31" customFormat="1">
      <c r="AE1008" s="3650"/>
    </row>
    <row r="1009" spans="31:31" customFormat="1">
      <c r="AE1009" s="3650"/>
    </row>
    <row r="1010" spans="31:31" customFormat="1">
      <c r="AE1010" s="3650"/>
    </row>
    <row r="1011" spans="31:31" customFormat="1">
      <c r="AE1011" s="3650"/>
    </row>
    <row r="1012" spans="31:31" customFormat="1">
      <c r="AE1012" s="3650"/>
    </row>
    <row r="1013" spans="31:31" customFormat="1">
      <c r="AE1013" s="3650"/>
    </row>
    <row r="1014" spans="31:31" customFormat="1">
      <c r="AE1014" s="3650"/>
    </row>
    <row r="1015" spans="31:31" customFormat="1">
      <c r="AE1015" s="3650"/>
    </row>
    <row r="1016" spans="31:31" customFormat="1">
      <c r="AE1016" s="3650"/>
    </row>
    <row r="1017" spans="31:31" customFormat="1">
      <c r="AE1017" s="3650"/>
    </row>
    <row r="1018" spans="31:31" customFormat="1">
      <c r="AE1018" s="3650"/>
    </row>
    <row r="1019" spans="31:31" customFormat="1">
      <c r="AE1019" s="3650"/>
    </row>
    <row r="1020" spans="31:31" customFormat="1">
      <c r="AE1020" s="3650"/>
    </row>
    <row r="1021" spans="31:31" customFormat="1">
      <c r="AE1021" s="3650"/>
    </row>
    <row r="1022" spans="31:31" customFormat="1">
      <c r="AE1022" s="3650"/>
    </row>
    <row r="1023" spans="31:31" customFormat="1">
      <c r="AE1023" s="3650"/>
    </row>
    <row r="1024" spans="31:31" customFormat="1">
      <c r="AE1024" s="3650"/>
    </row>
    <row r="1025" spans="31:31" customFormat="1">
      <c r="AE1025" s="3650"/>
    </row>
    <row r="1026" spans="31:31" customFormat="1">
      <c r="AE1026" s="3650"/>
    </row>
    <row r="1027" spans="31:31" customFormat="1">
      <c r="AE1027" s="3650"/>
    </row>
    <row r="1028" spans="31:31" customFormat="1">
      <c r="AE1028" s="3650"/>
    </row>
    <row r="1029" spans="31:31" customFormat="1">
      <c r="AE1029" s="3650"/>
    </row>
    <row r="1030" spans="31:31" customFormat="1">
      <c r="AE1030" s="3650"/>
    </row>
    <row r="1031" spans="31:31" customFormat="1">
      <c r="AE1031" s="3650"/>
    </row>
    <row r="1032" spans="31:31" customFormat="1">
      <c r="AE1032" s="3650"/>
    </row>
    <row r="1033" spans="31:31" customFormat="1">
      <c r="AE1033" s="3650"/>
    </row>
    <row r="1034" spans="31:31" customFormat="1">
      <c r="AE1034" s="3650"/>
    </row>
    <row r="1035" spans="31:31" customFormat="1">
      <c r="AE1035" s="3650"/>
    </row>
    <row r="1036" spans="31:31" customFormat="1">
      <c r="AE1036" s="3650"/>
    </row>
    <row r="1037" spans="31:31" customFormat="1">
      <c r="AE1037" s="3650"/>
    </row>
    <row r="1038" spans="31:31" customFormat="1">
      <c r="AE1038" s="3650"/>
    </row>
    <row r="1039" spans="31:31" customFormat="1">
      <c r="AE1039" s="3650"/>
    </row>
    <row r="1040" spans="31:31" customFormat="1">
      <c r="AE1040" s="3650"/>
    </row>
    <row r="1041" spans="31:31" customFormat="1">
      <c r="AE1041" s="3650"/>
    </row>
    <row r="1042" spans="31:31" customFormat="1">
      <c r="AE1042" s="3650"/>
    </row>
    <row r="1043" spans="31:31" customFormat="1">
      <c r="AE1043" s="3650"/>
    </row>
    <row r="1044" spans="31:31" customFormat="1">
      <c r="AE1044" s="3650"/>
    </row>
    <row r="1045" spans="31:31" customFormat="1">
      <c r="AE1045" s="3650"/>
    </row>
    <row r="1046" spans="31:31" customFormat="1">
      <c r="AE1046" s="3650"/>
    </row>
    <row r="1047" spans="31:31" customFormat="1">
      <c r="AE1047" s="3650"/>
    </row>
    <row r="1048" spans="31:31" customFormat="1">
      <c r="AE1048" s="3650"/>
    </row>
    <row r="1049" spans="31:31" customFormat="1">
      <c r="AE1049" s="3650"/>
    </row>
    <row r="1050" spans="31:31" customFormat="1">
      <c r="AE1050" s="3650"/>
    </row>
    <row r="1051" spans="31:31" customFormat="1">
      <c r="AE1051" s="3650"/>
    </row>
    <row r="1052" spans="31:31" customFormat="1">
      <c r="AE1052" s="3650"/>
    </row>
    <row r="1053" spans="31:31" customFormat="1">
      <c r="AE1053" s="3650"/>
    </row>
    <row r="1054" spans="31:31" customFormat="1">
      <c r="AE1054" s="3650"/>
    </row>
    <row r="1055" spans="31:31" customFormat="1">
      <c r="AE1055" s="3650"/>
    </row>
    <row r="1056" spans="31:31" customFormat="1">
      <c r="AE1056" s="3650"/>
    </row>
    <row r="1057" spans="31:31" customFormat="1">
      <c r="AE1057" s="3650"/>
    </row>
    <row r="1058" spans="31:31" customFormat="1">
      <c r="AE1058" s="3650"/>
    </row>
    <row r="1059" spans="31:31" customFormat="1">
      <c r="AE1059" s="3650"/>
    </row>
    <row r="1060" spans="31:31" customFormat="1">
      <c r="AE1060" s="3650"/>
    </row>
    <row r="1061" spans="31:31" customFormat="1">
      <c r="AE1061" s="3650"/>
    </row>
    <row r="1062" spans="31:31" customFormat="1">
      <c r="AE1062" s="3650"/>
    </row>
    <row r="1063" spans="31:31" customFormat="1">
      <c r="AE1063" s="3650"/>
    </row>
    <row r="1064" spans="31:31" customFormat="1">
      <c r="AE1064" s="3650"/>
    </row>
    <row r="1065" spans="31:31" customFormat="1">
      <c r="AE1065" s="3650"/>
    </row>
    <row r="1066" spans="31:31" customFormat="1">
      <c r="AE1066" s="3650"/>
    </row>
    <row r="1067" spans="31:31" customFormat="1">
      <c r="AE1067" s="3650"/>
    </row>
    <row r="1068" spans="31:31" customFormat="1">
      <c r="AE1068" s="3650"/>
    </row>
    <row r="1069" spans="31:31" customFormat="1">
      <c r="AE1069" s="3650"/>
    </row>
    <row r="1070" spans="31:31" customFormat="1">
      <c r="AE1070" s="3650"/>
    </row>
    <row r="1071" spans="31:31" customFormat="1">
      <c r="AE1071" s="3650"/>
    </row>
    <row r="1072" spans="31:31" customFormat="1">
      <c r="AE1072" s="3650"/>
    </row>
    <row r="1073" spans="31:31" customFormat="1">
      <c r="AE1073" s="3650"/>
    </row>
    <row r="1074" spans="31:31" customFormat="1">
      <c r="AE1074" s="3650"/>
    </row>
    <row r="1075" spans="31:31" customFormat="1">
      <c r="AE1075" s="3650"/>
    </row>
    <row r="1076" spans="31:31" customFormat="1">
      <c r="AE1076" s="3650"/>
    </row>
    <row r="1077" spans="31:31" customFormat="1">
      <c r="AE1077" s="3650"/>
    </row>
    <row r="1078" spans="31:31" customFormat="1">
      <c r="AE1078" s="3650"/>
    </row>
    <row r="1079" spans="31:31" customFormat="1">
      <c r="AE1079" s="3650"/>
    </row>
    <row r="1080" spans="31:31" customFormat="1">
      <c r="AE1080" s="3650"/>
    </row>
    <row r="1081" spans="31:31" customFormat="1">
      <c r="AE1081" s="3650"/>
    </row>
    <row r="1082" spans="31:31" customFormat="1">
      <c r="AE1082" s="3650"/>
    </row>
    <row r="1083" spans="31:31" customFormat="1">
      <c r="AE1083" s="3650"/>
    </row>
    <row r="1084" spans="31:31" customFormat="1">
      <c r="AE1084" s="3650"/>
    </row>
    <row r="1085" spans="31:31" customFormat="1">
      <c r="AE1085" s="3650"/>
    </row>
    <row r="1086" spans="31:31" customFormat="1">
      <c r="AE1086" s="3650"/>
    </row>
    <row r="1087" spans="31:31" customFormat="1">
      <c r="AE1087" s="3650"/>
    </row>
    <row r="1088" spans="31:31" customFormat="1">
      <c r="AE1088" s="3650"/>
    </row>
    <row r="1089" spans="31:31" customFormat="1">
      <c r="AE1089" s="3650"/>
    </row>
    <row r="1090" spans="31:31" customFormat="1">
      <c r="AE1090" s="3650"/>
    </row>
    <row r="1091" spans="31:31" customFormat="1">
      <c r="AE1091" s="3650"/>
    </row>
    <row r="1092" spans="31:31" customFormat="1">
      <c r="AE1092" s="3650"/>
    </row>
    <row r="1093" spans="31:31" customFormat="1">
      <c r="AE1093" s="3650"/>
    </row>
    <row r="1094" spans="31:31" customFormat="1">
      <c r="AE1094" s="3650"/>
    </row>
    <row r="1095" spans="31:31" customFormat="1">
      <c r="AE1095" s="3650"/>
    </row>
    <row r="1096" spans="31:31" customFormat="1">
      <c r="AE1096" s="3650"/>
    </row>
    <row r="1097" spans="31:31" customFormat="1">
      <c r="AE1097" s="3650"/>
    </row>
    <row r="1098" spans="31:31" customFormat="1">
      <c r="AE1098" s="3650"/>
    </row>
    <row r="1099" spans="31:31" customFormat="1">
      <c r="AE1099" s="3650"/>
    </row>
    <row r="1100" spans="31:31" customFormat="1">
      <c r="AE1100" s="3650"/>
    </row>
    <row r="1101" spans="31:31" customFormat="1">
      <c r="AE1101" s="3650"/>
    </row>
    <row r="1102" spans="31:31" customFormat="1">
      <c r="AE1102" s="3650"/>
    </row>
    <row r="1103" spans="31:31" customFormat="1">
      <c r="AE1103" s="3650"/>
    </row>
    <row r="1104" spans="31:31" customFormat="1">
      <c r="AE1104" s="3650"/>
    </row>
    <row r="1105" spans="31:31" customFormat="1">
      <c r="AE1105" s="3650"/>
    </row>
    <row r="1106" spans="31:31" customFormat="1">
      <c r="AE1106" s="3650"/>
    </row>
    <row r="1107" spans="31:31" customFormat="1">
      <c r="AE1107" s="3650"/>
    </row>
    <row r="1108" spans="31:31" customFormat="1">
      <c r="AE1108" s="3650"/>
    </row>
    <row r="1109" spans="31:31" customFormat="1">
      <c r="AE1109" s="3650"/>
    </row>
    <row r="1110" spans="31:31" customFormat="1">
      <c r="AE1110" s="3650"/>
    </row>
    <row r="1111" spans="31:31" customFormat="1">
      <c r="AE1111" s="3650"/>
    </row>
    <row r="1112" spans="31:31" customFormat="1">
      <c r="AE1112" s="3650"/>
    </row>
    <row r="1113" spans="31:31" customFormat="1">
      <c r="AE1113" s="3650"/>
    </row>
    <row r="1114" spans="31:31" customFormat="1">
      <c r="AE1114" s="3650"/>
    </row>
    <row r="1115" spans="31:31" customFormat="1">
      <c r="AE1115" s="3650"/>
    </row>
    <row r="1116" spans="31:31" customFormat="1">
      <c r="AE1116" s="3650"/>
    </row>
    <row r="1117" spans="31:31" customFormat="1">
      <c r="AE1117" s="3650"/>
    </row>
    <row r="1118" spans="31:31" customFormat="1">
      <c r="AE1118" s="3650"/>
    </row>
    <row r="1119" spans="31:31" customFormat="1">
      <c r="AE1119" s="3650"/>
    </row>
    <row r="1120" spans="31:31" customFormat="1">
      <c r="AE1120" s="3650"/>
    </row>
    <row r="1121" spans="31:31" customFormat="1">
      <c r="AE1121" s="3650"/>
    </row>
    <row r="1122" spans="31:31" customFormat="1">
      <c r="AE1122" s="3650"/>
    </row>
    <row r="1123" spans="31:31" customFormat="1">
      <c r="AE1123" s="3650"/>
    </row>
    <row r="1124" spans="31:31" customFormat="1">
      <c r="AE1124" s="3650"/>
    </row>
    <row r="1125" spans="31:31" customFormat="1">
      <c r="AE1125" s="3650"/>
    </row>
    <row r="1126" spans="31:31" customFormat="1">
      <c r="AE1126" s="3650"/>
    </row>
    <row r="1127" spans="31:31" customFormat="1">
      <c r="AE1127" s="3650"/>
    </row>
    <row r="1128" spans="31:31" customFormat="1">
      <c r="AE1128" s="3650"/>
    </row>
    <row r="1129" spans="31:31" customFormat="1">
      <c r="AE1129" s="3650"/>
    </row>
    <row r="1130" spans="31:31" customFormat="1">
      <c r="AE1130" s="3650"/>
    </row>
    <row r="1131" spans="31:31" customFormat="1">
      <c r="AE1131" s="3650"/>
    </row>
    <row r="1132" spans="31:31" customFormat="1">
      <c r="AE1132" s="3650"/>
    </row>
    <row r="1133" spans="31:31" customFormat="1">
      <c r="AE1133" s="3650"/>
    </row>
    <row r="1134" spans="31:31" customFormat="1">
      <c r="AE1134" s="3650"/>
    </row>
    <row r="1135" spans="31:31" customFormat="1">
      <c r="AE1135" s="3650"/>
    </row>
    <row r="1136" spans="31:31" customFormat="1">
      <c r="AE1136" s="3650"/>
    </row>
    <row r="1137" spans="31:31" customFormat="1">
      <c r="AE1137" s="3650"/>
    </row>
    <row r="1138" spans="31:31" customFormat="1">
      <c r="AE1138" s="3650"/>
    </row>
    <row r="1139" spans="31:31" customFormat="1">
      <c r="AE1139" s="3650"/>
    </row>
    <row r="1140" spans="31:31" customFormat="1">
      <c r="AE1140" s="3650"/>
    </row>
    <row r="1141" spans="31:31" customFormat="1">
      <c r="AE1141" s="3650"/>
    </row>
    <row r="1142" spans="31:31" customFormat="1">
      <c r="AE1142" s="3650"/>
    </row>
    <row r="1143" spans="31:31" customFormat="1">
      <c r="AE1143" s="3650"/>
    </row>
    <row r="1144" spans="31:31" customFormat="1">
      <c r="AE1144" s="3650"/>
    </row>
    <row r="1145" spans="31:31" customFormat="1">
      <c r="AE1145" s="3650"/>
    </row>
    <row r="1146" spans="31:31" customFormat="1">
      <c r="AE1146" s="3650"/>
    </row>
    <row r="1147" spans="31:31" customFormat="1">
      <c r="AE1147" s="3650"/>
    </row>
    <row r="1148" spans="31:31" customFormat="1">
      <c r="AE1148" s="3650"/>
    </row>
    <row r="1149" spans="31:31" customFormat="1">
      <c r="AE1149" s="3650"/>
    </row>
    <row r="1150" spans="31:31" customFormat="1">
      <c r="AE1150" s="3650"/>
    </row>
    <row r="1151" spans="31:31" customFormat="1">
      <c r="AE1151" s="3650"/>
    </row>
    <row r="1152" spans="31:31" customFormat="1">
      <c r="AE1152" s="3650"/>
    </row>
    <row r="1153" spans="31:31" customFormat="1">
      <c r="AE1153" s="3650"/>
    </row>
    <row r="1154" spans="31:31" customFormat="1">
      <c r="AE1154" s="3650"/>
    </row>
    <row r="1155" spans="31:31" customFormat="1">
      <c r="AE1155" s="3650"/>
    </row>
    <row r="1156" spans="31:31" customFormat="1">
      <c r="AE1156" s="3650"/>
    </row>
    <row r="1157" spans="31:31" customFormat="1">
      <c r="AE1157" s="3650"/>
    </row>
    <row r="1158" spans="31:31" customFormat="1">
      <c r="AE1158" s="3650"/>
    </row>
    <row r="1159" spans="31:31" customFormat="1">
      <c r="AE1159" s="3650"/>
    </row>
    <row r="1160" spans="31:31" customFormat="1">
      <c r="AE1160" s="3650"/>
    </row>
    <row r="1161" spans="31:31" customFormat="1">
      <c r="AE1161" s="3650"/>
    </row>
    <row r="1162" spans="31:31" customFormat="1">
      <c r="AE1162" s="3650"/>
    </row>
    <row r="1163" spans="31:31" customFormat="1">
      <c r="AE1163" s="3650"/>
    </row>
    <row r="1164" spans="31:31" customFormat="1">
      <c r="AE1164" s="3650"/>
    </row>
    <row r="1165" spans="31:31" customFormat="1">
      <c r="AE1165" s="3650"/>
    </row>
    <row r="1166" spans="31:31" customFormat="1">
      <c r="AE1166" s="3650"/>
    </row>
    <row r="1167" spans="31:31" customFormat="1">
      <c r="AE1167" s="3650"/>
    </row>
    <row r="1168" spans="31:31" customFormat="1">
      <c r="AE1168" s="3650"/>
    </row>
    <row r="1169" spans="31:31" customFormat="1">
      <c r="AE1169" s="3650"/>
    </row>
    <row r="1170" spans="31:31" customFormat="1">
      <c r="AE1170" s="3650"/>
    </row>
    <row r="1171" spans="31:31" customFormat="1">
      <c r="AE1171" s="3650"/>
    </row>
    <row r="1172" spans="31:31" customFormat="1">
      <c r="AE1172" s="3650"/>
    </row>
    <row r="1173" spans="31:31" customFormat="1">
      <c r="AE1173" s="3650"/>
    </row>
    <row r="1174" spans="31:31" customFormat="1">
      <c r="AE1174" s="3650"/>
    </row>
    <row r="1175" spans="31:31" customFormat="1">
      <c r="AE1175" s="3650"/>
    </row>
    <row r="1176" spans="31:31" customFormat="1">
      <c r="AE1176" s="3650"/>
    </row>
    <row r="1177" spans="31:31" customFormat="1">
      <c r="AE1177" s="3650"/>
    </row>
    <row r="1178" spans="31:31" customFormat="1">
      <c r="AE1178" s="3650"/>
    </row>
    <row r="1179" spans="31:31" customFormat="1">
      <c r="AE1179" s="3650"/>
    </row>
    <row r="1180" spans="31:31" customFormat="1">
      <c r="AE1180" s="3650"/>
    </row>
    <row r="1181" spans="31:31" customFormat="1">
      <c r="AE1181" s="3650"/>
    </row>
    <row r="1182" spans="31:31" customFormat="1">
      <c r="AE1182" s="3650"/>
    </row>
    <row r="1183" spans="31:31" customFormat="1">
      <c r="AE1183" s="3650"/>
    </row>
    <row r="1184" spans="31:31" customFormat="1">
      <c r="AE1184" s="3650"/>
    </row>
    <row r="1185" spans="31:31" customFormat="1">
      <c r="AE1185" s="3650"/>
    </row>
    <row r="1186" spans="31:31" customFormat="1">
      <c r="AE1186" s="3650"/>
    </row>
    <row r="1187" spans="31:31" customFormat="1">
      <c r="AE1187" s="3650"/>
    </row>
    <row r="1188" spans="31:31" customFormat="1">
      <c r="AE1188" s="3650"/>
    </row>
    <row r="1189" spans="31:31" customFormat="1">
      <c r="AE1189" s="3650"/>
    </row>
    <row r="1190" spans="31:31" customFormat="1">
      <c r="AE1190" s="3650"/>
    </row>
    <row r="1191" spans="31:31" customFormat="1">
      <c r="AE1191" s="3650"/>
    </row>
    <row r="1192" spans="31:31" customFormat="1">
      <c r="AE1192" s="3650"/>
    </row>
    <row r="1193" spans="31:31" customFormat="1">
      <c r="AE1193" s="3650"/>
    </row>
    <row r="1194" spans="31:31" customFormat="1">
      <c r="AE1194" s="3650"/>
    </row>
    <row r="1195" spans="31:31" customFormat="1">
      <c r="AE1195" s="3650"/>
    </row>
    <row r="1196" spans="31:31" customFormat="1">
      <c r="AE1196" s="3650"/>
    </row>
    <row r="1197" spans="31:31" customFormat="1">
      <c r="AE1197" s="3650"/>
    </row>
    <row r="1198" spans="31:31" customFormat="1">
      <c r="AE1198" s="3650"/>
    </row>
    <row r="1199" spans="31:31" customFormat="1">
      <c r="AE1199" s="3650"/>
    </row>
    <row r="1200" spans="31:31" customFormat="1">
      <c r="AE1200" s="3650"/>
    </row>
    <row r="1201" spans="31:31" customFormat="1">
      <c r="AE1201" s="3650"/>
    </row>
    <row r="1202" spans="31:31" customFormat="1">
      <c r="AE1202" s="3650"/>
    </row>
    <row r="1203" spans="31:31" customFormat="1">
      <c r="AE1203" s="3650"/>
    </row>
    <row r="1204" spans="31:31" customFormat="1">
      <c r="AE1204" s="3650"/>
    </row>
    <row r="1205" spans="31:31" customFormat="1">
      <c r="AE1205" s="3650"/>
    </row>
    <row r="1206" spans="31:31" customFormat="1">
      <c r="AE1206" s="3650"/>
    </row>
    <row r="1207" spans="31:31" customFormat="1">
      <c r="AE1207" s="3650"/>
    </row>
    <row r="1208" spans="31:31" customFormat="1">
      <c r="AE1208" s="3650"/>
    </row>
    <row r="1209" spans="31:31" customFormat="1">
      <c r="AE1209" s="3650"/>
    </row>
    <row r="1210" spans="31:31" customFormat="1">
      <c r="AE1210" s="3650"/>
    </row>
    <row r="1211" spans="31:31" customFormat="1">
      <c r="AE1211" s="3650"/>
    </row>
    <row r="1212" spans="31:31" customFormat="1">
      <c r="AE1212" s="3650"/>
    </row>
    <row r="1213" spans="31:31" customFormat="1">
      <c r="AE1213" s="3650"/>
    </row>
    <row r="1214" spans="31:31" customFormat="1">
      <c r="AE1214" s="3650"/>
    </row>
    <row r="1215" spans="31:31" customFormat="1">
      <c r="AE1215" s="3650"/>
    </row>
    <row r="1216" spans="31:31" customFormat="1">
      <c r="AE1216" s="3650"/>
    </row>
    <row r="1217" spans="31:31" customFormat="1">
      <c r="AE1217" s="3650"/>
    </row>
    <row r="1218" spans="31:31" customFormat="1">
      <c r="AE1218" s="3650"/>
    </row>
    <row r="1219" spans="31:31" customFormat="1">
      <c r="AE1219" s="3650"/>
    </row>
    <row r="1220" spans="31:31" customFormat="1">
      <c r="AE1220" s="3650"/>
    </row>
    <row r="1221" spans="31:31" customFormat="1">
      <c r="AE1221" s="3650"/>
    </row>
    <row r="1222" spans="31:31" customFormat="1">
      <c r="AE1222" s="3650"/>
    </row>
    <row r="1223" spans="31:31" customFormat="1">
      <c r="AE1223" s="3650"/>
    </row>
    <row r="1224" spans="31:31" customFormat="1">
      <c r="AE1224" s="3650"/>
    </row>
    <row r="1225" spans="31:31" customFormat="1">
      <c r="AE1225" s="3650"/>
    </row>
    <row r="1226" spans="31:31" customFormat="1">
      <c r="AE1226" s="3650"/>
    </row>
    <row r="1227" spans="31:31" customFormat="1">
      <c r="AE1227" s="3650"/>
    </row>
    <row r="1228" spans="31:31" customFormat="1">
      <c r="AE1228" s="3650"/>
    </row>
    <row r="1229" spans="31:31" customFormat="1">
      <c r="AE1229" s="3650"/>
    </row>
    <row r="1230" spans="31:31" customFormat="1">
      <c r="AE1230" s="3650"/>
    </row>
    <row r="1231" spans="31:31" customFormat="1">
      <c r="AE1231" s="3650"/>
    </row>
    <row r="1232" spans="31:31" customFormat="1">
      <c r="AE1232" s="3650"/>
    </row>
    <row r="1233" spans="31:31" customFormat="1">
      <c r="AE1233" s="3650"/>
    </row>
    <row r="1234" spans="31:31" customFormat="1">
      <c r="AE1234" s="3650"/>
    </row>
    <row r="1235" spans="31:31" customFormat="1">
      <c r="AE1235" s="3650"/>
    </row>
    <row r="1236" spans="31:31" customFormat="1">
      <c r="AE1236" s="3650"/>
    </row>
    <row r="1237" spans="31:31" customFormat="1">
      <c r="AE1237" s="3650"/>
    </row>
    <row r="1238" spans="31:31" customFormat="1">
      <c r="AE1238" s="3650"/>
    </row>
    <row r="1239" spans="31:31" customFormat="1">
      <c r="AE1239" s="3650"/>
    </row>
    <row r="1240" spans="31:31" customFormat="1">
      <c r="AE1240" s="3650"/>
    </row>
    <row r="1241" spans="31:31" customFormat="1">
      <c r="AE1241" s="3650"/>
    </row>
    <row r="1242" spans="31:31" customFormat="1">
      <c r="AE1242" s="3650"/>
    </row>
    <row r="1243" spans="31:31" customFormat="1">
      <c r="AE1243" s="3650"/>
    </row>
    <row r="1244" spans="31:31" customFormat="1">
      <c r="AE1244" s="3650"/>
    </row>
    <row r="1245" spans="31:31" customFormat="1">
      <c r="AE1245" s="3650"/>
    </row>
    <row r="1246" spans="31:31" customFormat="1">
      <c r="AE1246" s="3650"/>
    </row>
    <row r="1247" spans="31:31" customFormat="1">
      <c r="AE1247" s="3650"/>
    </row>
    <row r="1248" spans="31:31" customFormat="1">
      <c r="AE1248" s="3650"/>
    </row>
    <row r="1249" spans="31:31" customFormat="1">
      <c r="AE1249" s="3650"/>
    </row>
    <row r="1250" spans="31:31" customFormat="1">
      <c r="AE1250" s="3650"/>
    </row>
    <row r="1251" spans="31:31" customFormat="1">
      <c r="AE1251" s="3650"/>
    </row>
    <row r="1252" spans="31:31" customFormat="1">
      <c r="AE1252" s="3650"/>
    </row>
    <row r="1253" spans="31:31" customFormat="1">
      <c r="AE1253" s="3650"/>
    </row>
    <row r="1254" spans="31:31" customFormat="1">
      <c r="AE1254" s="3650"/>
    </row>
    <row r="1255" spans="31:31" customFormat="1">
      <c r="AE1255" s="3650"/>
    </row>
    <row r="1256" spans="31:31" customFormat="1">
      <c r="AE1256" s="3650"/>
    </row>
    <row r="1257" spans="31:31" customFormat="1">
      <c r="AE1257" s="3650"/>
    </row>
    <row r="1258" spans="31:31" customFormat="1">
      <c r="AE1258" s="3650"/>
    </row>
    <row r="1259" spans="31:31" customFormat="1">
      <c r="AE1259" s="3650"/>
    </row>
    <row r="1260" spans="31:31" customFormat="1">
      <c r="AE1260" s="3650"/>
    </row>
    <row r="1261" spans="31:31" customFormat="1">
      <c r="AE1261" s="3650"/>
    </row>
    <row r="1262" spans="31:31" customFormat="1">
      <c r="AE1262" s="3650"/>
    </row>
    <row r="1263" spans="31:31" customFormat="1">
      <c r="AE1263" s="3650"/>
    </row>
    <row r="1264" spans="31:31" customFormat="1">
      <c r="AE1264" s="3650"/>
    </row>
    <row r="1265" spans="31:31" customFormat="1">
      <c r="AE1265" s="3650"/>
    </row>
    <row r="1266" spans="31:31" customFormat="1">
      <c r="AE1266" s="3650"/>
    </row>
    <row r="1267" spans="31:31" customFormat="1">
      <c r="AE1267" s="3650"/>
    </row>
    <row r="1268" spans="31:31" customFormat="1">
      <c r="AE1268" s="3650"/>
    </row>
    <row r="1269" spans="31:31" customFormat="1">
      <c r="AE1269" s="3650"/>
    </row>
    <row r="1270" spans="31:31" customFormat="1">
      <c r="AE1270" s="3650"/>
    </row>
    <row r="1271" spans="31:31" customFormat="1">
      <c r="AE1271" s="3650"/>
    </row>
    <row r="1272" spans="31:31" customFormat="1">
      <c r="AE1272" s="3650"/>
    </row>
    <row r="1273" spans="31:31" customFormat="1">
      <c r="AE1273" s="3650"/>
    </row>
    <row r="1274" spans="31:31" customFormat="1">
      <c r="AE1274" s="3650"/>
    </row>
    <row r="1275" spans="31:31" customFormat="1">
      <c r="AE1275" s="3650"/>
    </row>
    <row r="1276" spans="31:31" customFormat="1">
      <c r="AE1276" s="3650"/>
    </row>
    <row r="1277" spans="31:31" customFormat="1">
      <c r="AE1277" s="3650"/>
    </row>
    <row r="1278" spans="31:31" customFormat="1">
      <c r="AE1278" s="3650"/>
    </row>
    <row r="1279" spans="31:31" customFormat="1">
      <c r="AE1279" s="3650"/>
    </row>
    <row r="1280" spans="31:31" customFormat="1">
      <c r="AE1280" s="3650"/>
    </row>
    <row r="1281" spans="31:31" customFormat="1">
      <c r="AE1281" s="3650"/>
    </row>
    <row r="1282" spans="31:31" customFormat="1">
      <c r="AE1282" s="3650"/>
    </row>
    <row r="1283" spans="31:31" customFormat="1">
      <c r="AE1283" s="3650"/>
    </row>
    <row r="1284" spans="31:31" customFormat="1">
      <c r="AE1284" s="3650"/>
    </row>
    <row r="1285" spans="31:31" customFormat="1">
      <c r="AE1285" s="3650"/>
    </row>
    <row r="1286" spans="31:31" customFormat="1">
      <c r="AE1286" s="3650"/>
    </row>
    <row r="1287" spans="31:31" customFormat="1">
      <c r="AE1287" s="3650"/>
    </row>
    <row r="1288" spans="31:31" customFormat="1">
      <c r="AE1288" s="3650"/>
    </row>
    <row r="1289" spans="31:31" customFormat="1">
      <c r="AE1289" s="3650"/>
    </row>
    <row r="1290" spans="31:31" customFormat="1">
      <c r="AE1290" s="3650"/>
    </row>
    <row r="1291" spans="31:31" customFormat="1">
      <c r="AE1291" s="3650"/>
    </row>
    <row r="1292" spans="31:31" customFormat="1">
      <c r="AE1292" s="3650"/>
    </row>
    <row r="1293" spans="31:31" customFormat="1">
      <c r="AE1293" s="3650"/>
    </row>
    <row r="1294" spans="31:31" customFormat="1">
      <c r="AE1294" s="3650"/>
    </row>
    <row r="1295" spans="31:31" customFormat="1">
      <c r="AE1295" s="3650"/>
    </row>
    <row r="1296" spans="31:31" customFormat="1">
      <c r="AE1296" s="3650"/>
    </row>
    <row r="1297" spans="31:31" customFormat="1">
      <c r="AE1297" s="3650"/>
    </row>
    <row r="1298" spans="31:31" customFormat="1">
      <c r="AE1298" s="3650"/>
    </row>
    <row r="1299" spans="31:31" customFormat="1">
      <c r="AE1299" s="3650"/>
    </row>
    <row r="1300" spans="31:31" customFormat="1">
      <c r="AE1300" s="3650"/>
    </row>
    <row r="1301" spans="31:31" customFormat="1">
      <c r="AE1301" s="3650"/>
    </row>
    <row r="1302" spans="31:31" customFormat="1">
      <c r="AE1302" s="3650"/>
    </row>
    <row r="1303" spans="31:31" customFormat="1">
      <c r="AE1303" s="3650"/>
    </row>
    <row r="1304" spans="31:31" customFormat="1">
      <c r="AE1304" s="3650"/>
    </row>
    <row r="1305" spans="31:31" customFormat="1">
      <c r="AE1305" s="3650"/>
    </row>
    <row r="1306" spans="31:31" customFormat="1">
      <c r="AE1306" s="3650"/>
    </row>
    <row r="1307" spans="31:31" customFormat="1">
      <c r="AE1307" s="3650"/>
    </row>
    <row r="1308" spans="31:31" customFormat="1">
      <c r="AE1308" s="3650"/>
    </row>
    <row r="1309" spans="31:31" customFormat="1">
      <c r="AE1309" s="3650"/>
    </row>
    <row r="1310" spans="31:31" customFormat="1">
      <c r="AE1310" s="3650"/>
    </row>
    <row r="1311" spans="31:31" customFormat="1">
      <c r="AE1311" s="3650"/>
    </row>
    <row r="1312" spans="31:31" customFormat="1">
      <c r="AE1312" s="3650"/>
    </row>
    <row r="1313" spans="31:31" customFormat="1">
      <c r="AE1313" s="3650"/>
    </row>
    <row r="1314" spans="31:31" customFormat="1">
      <c r="AE1314" s="3650"/>
    </row>
    <row r="1315" spans="31:31" customFormat="1">
      <c r="AE1315" s="3650"/>
    </row>
    <row r="1316" spans="31:31" customFormat="1">
      <c r="AE1316" s="3650"/>
    </row>
    <row r="1317" spans="31:31" customFormat="1">
      <c r="AE1317" s="3650"/>
    </row>
    <row r="1318" spans="31:31" customFormat="1">
      <c r="AE1318" s="3650"/>
    </row>
    <row r="1319" spans="31:31" customFormat="1">
      <c r="AE1319" s="3650"/>
    </row>
    <row r="1320" spans="31:31" customFormat="1">
      <c r="AE1320" s="3650"/>
    </row>
    <row r="1321" spans="31:31" customFormat="1">
      <c r="AE1321" s="3650"/>
    </row>
    <row r="1322" spans="31:31" customFormat="1">
      <c r="AE1322" s="3650"/>
    </row>
    <row r="1323" spans="31:31" customFormat="1">
      <c r="AE1323" s="3650"/>
    </row>
    <row r="1324" spans="31:31" customFormat="1">
      <c r="AE1324" s="3650"/>
    </row>
    <row r="1325" spans="31:31" customFormat="1">
      <c r="AE1325" s="3650"/>
    </row>
    <row r="1326" spans="31:31" customFormat="1">
      <c r="AE1326" s="3650"/>
    </row>
    <row r="1327" spans="31:31" customFormat="1">
      <c r="AE1327" s="3650"/>
    </row>
    <row r="1328" spans="31:31" customFormat="1">
      <c r="AE1328" s="3650"/>
    </row>
    <row r="1329" spans="31:31" customFormat="1">
      <c r="AE1329" s="3650"/>
    </row>
    <row r="1330" spans="31:31" customFormat="1">
      <c r="AE1330" s="3650"/>
    </row>
    <row r="1331" spans="31:31" customFormat="1">
      <c r="AE1331" s="3650"/>
    </row>
    <row r="1332" spans="31:31" customFormat="1">
      <c r="AE1332" s="3650"/>
    </row>
    <row r="1333" spans="31:31" customFormat="1">
      <c r="AE1333" s="3650"/>
    </row>
    <row r="1334" spans="31:31" customFormat="1">
      <c r="AE1334" s="3650"/>
    </row>
    <row r="1335" spans="31:31" customFormat="1">
      <c r="AE1335" s="3650"/>
    </row>
    <row r="1336" spans="31:31" customFormat="1">
      <c r="AE1336" s="3650"/>
    </row>
    <row r="1337" spans="31:31" customFormat="1">
      <c r="AE1337" s="3650"/>
    </row>
    <row r="1338" spans="31:31" customFormat="1">
      <c r="AE1338" s="3650"/>
    </row>
    <row r="1339" spans="31:31" customFormat="1">
      <c r="AE1339" s="3650"/>
    </row>
    <row r="1340" spans="31:31" customFormat="1">
      <c r="AE1340" s="3650"/>
    </row>
    <row r="1341" spans="31:31" customFormat="1">
      <c r="AE1341" s="3650"/>
    </row>
    <row r="1342" spans="31:31" customFormat="1">
      <c r="AE1342" s="3650"/>
    </row>
    <row r="1343" spans="31:31" customFormat="1">
      <c r="AE1343" s="3650"/>
    </row>
    <row r="1344" spans="31:31" customFormat="1">
      <c r="AE1344" s="3650"/>
    </row>
    <row r="1345" spans="31:31" customFormat="1">
      <c r="AE1345" s="3650"/>
    </row>
    <row r="1346" spans="31:31" customFormat="1">
      <c r="AE1346" s="3650"/>
    </row>
    <row r="1347" spans="31:31" customFormat="1">
      <c r="AE1347" s="3650"/>
    </row>
    <row r="1348" spans="31:31" customFormat="1">
      <c r="AE1348" s="3650"/>
    </row>
    <row r="1349" spans="31:31" customFormat="1">
      <c r="AE1349" s="3650"/>
    </row>
    <row r="1350" spans="31:31" customFormat="1">
      <c r="AE1350" s="3650"/>
    </row>
    <row r="1351" spans="31:31" customFormat="1">
      <c r="AE1351" s="3650"/>
    </row>
    <row r="1352" spans="31:31" customFormat="1">
      <c r="AE1352" s="3650"/>
    </row>
    <row r="1353" spans="31:31" customFormat="1">
      <c r="AE1353" s="3650"/>
    </row>
    <row r="1354" spans="31:31" customFormat="1">
      <c r="AE1354" s="3650"/>
    </row>
    <row r="1355" spans="31:31" customFormat="1">
      <c r="AE1355" s="3650"/>
    </row>
    <row r="1356" spans="31:31" customFormat="1">
      <c r="AE1356" s="3650"/>
    </row>
    <row r="1357" spans="31:31" customFormat="1">
      <c r="AE1357" s="3650"/>
    </row>
    <row r="1358" spans="31:31" customFormat="1">
      <c r="AE1358" s="3650"/>
    </row>
    <row r="1359" spans="31:31" customFormat="1">
      <c r="AE1359" s="3650"/>
    </row>
    <row r="1360" spans="31:31" customFormat="1">
      <c r="AE1360" s="3650"/>
    </row>
    <row r="1361" spans="31:31" customFormat="1">
      <c r="AE1361" s="3650"/>
    </row>
    <row r="1362" spans="31:31" customFormat="1">
      <c r="AE1362" s="3650"/>
    </row>
    <row r="1363" spans="31:31" customFormat="1">
      <c r="AE1363" s="3650"/>
    </row>
    <row r="1364" spans="31:31" customFormat="1">
      <c r="AE1364" s="3650"/>
    </row>
    <row r="1365" spans="31:31" customFormat="1">
      <c r="AE1365" s="3650"/>
    </row>
    <row r="1366" spans="31:31" customFormat="1">
      <c r="AE1366" s="3650"/>
    </row>
    <row r="1367" spans="31:31" customFormat="1">
      <c r="AE1367" s="3650"/>
    </row>
    <row r="1368" spans="31:31" customFormat="1">
      <c r="AE1368" s="3650"/>
    </row>
    <row r="1369" spans="31:31" customFormat="1">
      <c r="AE1369" s="3650"/>
    </row>
    <row r="1370" spans="31:31" customFormat="1">
      <c r="AE1370" s="3650"/>
    </row>
    <row r="1371" spans="31:31" customFormat="1">
      <c r="AE1371" s="3650"/>
    </row>
    <row r="1372" spans="31:31" customFormat="1">
      <c r="AE1372" s="3650"/>
    </row>
    <row r="1373" spans="31:31" customFormat="1">
      <c r="AE1373" s="3650"/>
    </row>
    <row r="1374" spans="31:31" customFormat="1">
      <c r="AE1374" s="3650"/>
    </row>
    <row r="1375" spans="31:31" customFormat="1">
      <c r="AE1375" s="3650"/>
    </row>
    <row r="1376" spans="31:31" customFormat="1">
      <c r="AE1376" s="3650"/>
    </row>
    <row r="1377" spans="31:31" customFormat="1">
      <c r="AE1377" s="3650"/>
    </row>
    <row r="1378" spans="31:31" customFormat="1">
      <c r="AE1378" s="3650"/>
    </row>
    <row r="1379" spans="31:31" customFormat="1">
      <c r="AE1379" s="3650"/>
    </row>
    <row r="1380" spans="31:31" customFormat="1">
      <c r="AE1380" s="3650"/>
    </row>
    <row r="1381" spans="31:31" customFormat="1">
      <c r="AE1381" s="3650"/>
    </row>
    <row r="1382" spans="31:31" customFormat="1">
      <c r="AE1382" s="3650"/>
    </row>
    <row r="1383" spans="31:31" customFormat="1">
      <c r="AE1383" s="3650"/>
    </row>
    <row r="1384" spans="31:31" customFormat="1">
      <c r="AE1384" s="3650"/>
    </row>
    <row r="1385" spans="31:31" customFormat="1">
      <c r="AE1385" s="3650"/>
    </row>
    <row r="1386" spans="31:31" customFormat="1">
      <c r="AE1386" s="3650"/>
    </row>
    <row r="1387" spans="31:31" customFormat="1">
      <c r="AE1387" s="3650"/>
    </row>
    <row r="1388" spans="31:31" customFormat="1">
      <c r="AE1388" s="3650"/>
    </row>
    <row r="1389" spans="31:31" customFormat="1">
      <c r="AE1389" s="3650"/>
    </row>
    <row r="1390" spans="31:31" customFormat="1">
      <c r="AE1390" s="3650"/>
    </row>
    <row r="1391" spans="31:31" customFormat="1">
      <c r="AE1391" s="3650"/>
    </row>
    <row r="1392" spans="31:31" customFormat="1">
      <c r="AE1392" s="3650"/>
    </row>
    <row r="1393" spans="31:31" customFormat="1">
      <c r="AE1393" s="3650"/>
    </row>
    <row r="1394" spans="31:31" customFormat="1">
      <c r="AE1394" s="3650"/>
    </row>
    <row r="1395" spans="31:31" customFormat="1">
      <c r="AE1395" s="3650"/>
    </row>
    <row r="1396" spans="31:31" customFormat="1">
      <c r="AE1396" s="3650"/>
    </row>
    <row r="1397" spans="31:31" customFormat="1">
      <c r="AE1397" s="3650"/>
    </row>
    <row r="1398" spans="31:31" customFormat="1">
      <c r="AE1398" s="3650"/>
    </row>
    <row r="1399" spans="31:31" customFormat="1">
      <c r="AE1399" s="3650"/>
    </row>
    <row r="1400" spans="31:31" customFormat="1">
      <c r="AE1400" s="3650"/>
    </row>
    <row r="1401" spans="31:31" customFormat="1">
      <c r="AE1401" s="3650"/>
    </row>
    <row r="1402" spans="31:31" customFormat="1">
      <c r="AE1402" s="3650"/>
    </row>
    <row r="1403" spans="31:31" customFormat="1">
      <c r="AE1403" s="3650"/>
    </row>
    <row r="1404" spans="31:31" customFormat="1">
      <c r="AE1404" s="3650"/>
    </row>
    <row r="1405" spans="31:31" customFormat="1">
      <c r="AE1405" s="3650"/>
    </row>
    <row r="1406" spans="31:31" customFormat="1">
      <c r="AE1406" s="3650"/>
    </row>
    <row r="1407" spans="31:31" customFormat="1">
      <c r="AE1407" s="3650"/>
    </row>
    <row r="1408" spans="31:31" customFormat="1">
      <c r="AE1408" s="3650"/>
    </row>
    <row r="1409" spans="31:31" customFormat="1">
      <c r="AE1409" s="3650"/>
    </row>
    <row r="1410" spans="31:31" customFormat="1">
      <c r="AE1410" s="3650"/>
    </row>
    <row r="1411" spans="31:31" customFormat="1">
      <c r="AE1411" s="3650"/>
    </row>
    <row r="1412" spans="31:31" customFormat="1">
      <c r="AE1412" s="3650"/>
    </row>
    <row r="1413" spans="31:31" customFormat="1">
      <c r="AE1413" s="3650"/>
    </row>
    <row r="1414" spans="31:31" customFormat="1">
      <c r="AE1414" s="3650"/>
    </row>
    <row r="1415" spans="31:31" customFormat="1">
      <c r="AE1415" s="3650"/>
    </row>
    <row r="1416" spans="31:31" customFormat="1">
      <c r="AE1416" s="3650"/>
    </row>
    <row r="1417" spans="31:31" customFormat="1">
      <c r="AE1417" s="3650"/>
    </row>
    <row r="1418" spans="31:31" customFormat="1">
      <c r="AE1418" s="3650"/>
    </row>
    <row r="1419" spans="31:31" customFormat="1">
      <c r="AE1419" s="3650"/>
    </row>
    <row r="1420" spans="31:31" customFormat="1">
      <c r="AE1420" s="3650"/>
    </row>
    <row r="1421" spans="31:31" customFormat="1">
      <c r="AE1421" s="3650"/>
    </row>
    <row r="1422" spans="31:31" customFormat="1">
      <c r="AE1422" s="3650"/>
    </row>
    <row r="1423" spans="31:31" customFormat="1">
      <c r="AE1423" s="3650"/>
    </row>
    <row r="1424" spans="31:31" customFormat="1">
      <c r="AE1424" s="3650"/>
    </row>
    <row r="1425" spans="31:31" customFormat="1">
      <c r="AE1425" s="3650"/>
    </row>
    <row r="1426" spans="31:31" customFormat="1">
      <c r="AE1426" s="3650"/>
    </row>
    <row r="1427" spans="31:31" customFormat="1">
      <c r="AE1427" s="3650"/>
    </row>
    <row r="1428" spans="31:31" customFormat="1">
      <c r="AE1428" s="3650"/>
    </row>
    <row r="1429" spans="31:31" customFormat="1">
      <c r="AE1429" s="3650"/>
    </row>
    <row r="1430" spans="31:31" customFormat="1">
      <c r="AE1430" s="3650"/>
    </row>
    <row r="1431" spans="31:31" customFormat="1">
      <c r="AE1431" s="3650"/>
    </row>
    <row r="1432" spans="31:31" customFormat="1">
      <c r="AE1432" s="3650"/>
    </row>
    <row r="1433" spans="31:31" customFormat="1">
      <c r="AE1433" s="3650"/>
    </row>
    <row r="1434" spans="31:31" customFormat="1">
      <c r="AE1434" s="3650"/>
    </row>
    <row r="1435" spans="31:31" customFormat="1">
      <c r="AE1435" s="3650"/>
    </row>
    <row r="1436" spans="31:31" customFormat="1">
      <c r="AE1436" s="3650"/>
    </row>
    <row r="1437" spans="31:31" customFormat="1">
      <c r="AE1437" s="3650"/>
    </row>
    <row r="1438" spans="31:31" customFormat="1">
      <c r="AE1438" s="3650"/>
    </row>
    <row r="1439" spans="31:31" customFormat="1">
      <c r="AE1439" s="3650"/>
    </row>
    <row r="1440" spans="31:31" customFormat="1">
      <c r="AE1440" s="3650"/>
    </row>
    <row r="1441" spans="31:31" customFormat="1">
      <c r="AE1441" s="3650"/>
    </row>
    <row r="1442" spans="31:31" customFormat="1">
      <c r="AE1442" s="3650"/>
    </row>
    <row r="1443" spans="31:31" customFormat="1">
      <c r="AE1443" s="3650"/>
    </row>
    <row r="1444" spans="31:31" customFormat="1">
      <c r="AE1444" s="3650"/>
    </row>
    <row r="1445" spans="31:31" customFormat="1">
      <c r="AE1445" s="3650"/>
    </row>
    <row r="1446" spans="31:31" customFormat="1">
      <c r="AE1446" s="3650"/>
    </row>
    <row r="1447" spans="31:31" customFormat="1">
      <c r="AE1447" s="3650"/>
    </row>
    <row r="1448" spans="31:31" customFormat="1">
      <c r="AE1448" s="3650"/>
    </row>
    <row r="1449" spans="31:31" customFormat="1">
      <c r="AE1449" s="3650"/>
    </row>
    <row r="1450" spans="31:31" customFormat="1">
      <c r="AE1450" s="3650"/>
    </row>
    <row r="1451" spans="31:31" customFormat="1">
      <c r="AE1451" s="3650"/>
    </row>
    <row r="1452" spans="31:31" customFormat="1">
      <c r="AE1452" s="3650"/>
    </row>
    <row r="1453" spans="31:31" customFormat="1">
      <c r="AE1453" s="3650"/>
    </row>
    <row r="1454" spans="31:31" customFormat="1">
      <c r="AE1454" s="3650"/>
    </row>
    <row r="1455" spans="31:31" customFormat="1">
      <c r="AE1455" s="3650"/>
    </row>
    <row r="1456" spans="31:31" customFormat="1">
      <c r="AE1456" s="3650"/>
    </row>
    <row r="1457" spans="31:31" customFormat="1">
      <c r="AE1457" s="3650"/>
    </row>
    <row r="1458" spans="31:31" customFormat="1">
      <c r="AE1458" s="3650"/>
    </row>
    <row r="1459" spans="31:31" customFormat="1">
      <c r="AE1459" s="3650"/>
    </row>
    <row r="1460" spans="31:31" customFormat="1">
      <c r="AE1460" s="3650"/>
    </row>
    <row r="1461" spans="31:31" customFormat="1">
      <c r="AE1461" s="3650"/>
    </row>
    <row r="1462" spans="31:31" customFormat="1">
      <c r="AE1462" s="3650"/>
    </row>
    <row r="1463" spans="31:31" customFormat="1">
      <c r="AE1463" s="3650"/>
    </row>
    <row r="1464" spans="31:31" customFormat="1">
      <c r="AE1464" s="3650"/>
    </row>
    <row r="1465" spans="31:31" customFormat="1">
      <c r="AE1465" s="3650"/>
    </row>
    <row r="1466" spans="31:31" customFormat="1">
      <c r="AE1466" s="3650"/>
    </row>
    <row r="1467" spans="31:31" customFormat="1">
      <c r="AE1467" s="3650"/>
    </row>
    <row r="1468" spans="31:31" customFormat="1">
      <c r="AE1468" s="3650"/>
    </row>
    <row r="1469" spans="31:31" customFormat="1">
      <c r="AE1469" s="3650"/>
    </row>
    <row r="1470" spans="31:31" customFormat="1">
      <c r="AE1470" s="3650"/>
    </row>
    <row r="1471" spans="31:31" customFormat="1">
      <c r="AE1471" s="3650"/>
    </row>
    <row r="1472" spans="31:31" customFormat="1">
      <c r="AE1472" s="3650"/>
    </row>
    <row r="1473" spans="31:31" customFormat="1">
      <c r="AE1473" s="3650"/>
    </row>
    <row r="1474" spans="31:31" customFormat="1">
      <c r="AE1474" s="3650"/>
    </row>
    <row r="1475" spans="31:31" customFormat="1">
      <c r="AE1475" s="3650"/>
    </row>
    <row r="1476" spans="31:31" customFormat="1">
      <c r="AE1476" s="3650"/>
    </row>
    <row r="1477" spans="31:31" customFormat="1">
      <c r="AE1477" s="3650"/>
    </row>
    <row r="1478" spans="31:31" customFormat="1">
      <c r="AE1478" s="3650"/>
    </row>
    <row r="1479" spans="31:31" customFormat="1">
      <c r="AE1479" s="3650"/>
    </row>
    <row r="1480" spans="31:31" customFormat="1">
      <c r="AE1480" s="3650"/>
    </row>
    <row r="1481" spans="31:31" customFormat="1">
      <c r="AE1481" s="3650"/>
    </row>
    <row r="1482" spans="31:31" customFormat="1">
      <c r="AE1482" s="3650"/>
    </row>
    <row r="1483" spans="31:31" customFormat="1">
      <c r="AE1483" s="3650"/>
    </row>
    <row r="1484" spans="31:31" customFormat="1">
      <c r="AE1484" s="3650"/>
    </row>
    <row r="1485" spans="31:31" customFormat="1">
      <c r="AE1485" s="3650"/>
    </row>
    <row r="1486" spans="31:31" customFormat="1">
      <c r="AE1486" s="3650"/>
    </row>
    <row r="1487" spans="31:31" customFormat="1">
      <c r="AE1487" s="3650"/>
    </row>
    <row r="1488" spans="31:31" customFormat="1">
      <c r="AE1488" s="3650"/>
    </row>
    <row r="1489" spans="31:31" customFormat="1">
      <c r="AE1489" s="3650"/>
    </row>
    <row r="1490" spans="31:31" customFormat="1">
      <c r="AE1490" s="3650"/>
    </row>
    <row r="1491" spans="31:31" customFormat="1">
      <c r="AE1491" s="3650"/>
    </row>
    <row r="1492" spans="31:31" customFormat="1">
      <c r="AE1492" s="3650"/>
    </row>
    <row r="1493" spans="31:31" customFormat="1">
      <c r="AE1493" s="3650"/>
    </row>
    <row r="1494" spans="31:31" customFormat="1">
      <c r="AE1494" s="3650"/>
    </row>
    <row r="1495" spans="31:31" customFormat="1">
      <c r="AE1495" s="3650"/>
    </row>
    <row r="1496" spans="31:31" customFormat="1">
      <c r="AE1496" s="3650"/>
    </row>
    <row r="1497" spans="31:31" customFormat="1">
      <c r="AE1497" s="3650"/>
    </row>
    <row r="1498" spans="31:31" customFormat="1">
      <c r="AE1498" s="3650"/>
    </row>
    <row r="1499" spans="31:31" customFormat="1">
      <c r="AE1499" s="3650"/>
    </row>
    <row r="1500" spans="31:31" customFormat="1">
      <c r="AE1500" s="3650"/>
    </row>
    <row r="1501" spans="31:31" customFormat="1">
      <c r="AE1501" s="3650"/>
    </row>
    <row r="1502" spans="31:31" customFormat="1">
      <c r="AE1502" s="3650"/>
    </row>
    <row r="1503" spans="31:31" customFormat="1">
      <c r="AE1503" s="3650"/>
    </row>
    <row r="1504" spans="31:31" customFormat="1">
      <c r="AE1504" s="3650"/>
    </row>
    <row r="1505" spans="31:31" customFormat="1">
      <c r="AE1505" s="3650"/>
    </row>
    <row r="1506" spans="31:31" customFormat="1">
      <c r="AE1506" s="3650"/>
    </row>
    <row r="1507" spans="31:31" customFormat="1">
      <c r="AE1507" s="3650"/>
    </row>
    <row r="1508" spans="31:31" customFormat="1">
      <c r="AE1508" s="3650"/>
    </row>
    <row r="1509" spans="31:31" customFormat="1">
      <c r="AE1509" s="3650"/>
    </row>
    <row r="1510" spans="31:31" customFormat="1">
      <c r="AE1510" s="3650"/>
    </row>
    <row r="1511" spans="31:31" customFormat="1">
      <c r="AE1511" s="3650"/>
    </row>
    <row r="1512" spans="31:31" customFormat="1">
      <c r="AE1512" s="3650"/>
    </row>
    <row r="1513" spans="31:31" customFormat="1">
      <c r="AE1513" s="3650"/>
    </row>
    <row r="1514" spans="31:31" customFormat="1">
      <c r="AE1514" s="3650"/>
    </row>
    <row r="1515" spans="31:31" customFormat="1">
      <c r="AE1515" s="3650"/>
    </row>
    <row r="1516" spans="31:31" customFormat="1">
      <c r="AE1516" s="3650"/>
    </row>
    <row r="1517" spans="31:31" customFormat="1">
      <c r="AE1517" s="3650"/>
    </row>
    <row r="1518" spans="31:31" customFormat="1">
      <c r="AE1518" s="3650"/>
    </row>
    <row r="1519" spans="31:31" customFormat="1">
      <c r="AE1519" s="3650"/>
    </row>
    <row r="1520" spans="31:31" customFormat="1">
      <c r="AE1520" s="3650"/>
    </row>
    <row r="1521" spans="31:31" customFormat="1">
      <c r="AE1521" s="3650"/>
    </row>
    <row r="1522" spans="31:31" customFormat="1">
      <c r="AE1522" s="3650"/>
    </row>
    <row r="1523" spans="31:31" customFormat="1">
      <c r="AE1523" s="3650"/>
    </row>
    <row r="1524" spans="31:31" customFormat="1">
      <c r="AE1524" s="3650"/>
    </row>
    <row r="1525" spans="31:31" customFormat="1">
      <c r="AE1525" s="3650"/>
    </row>
    <row r="1526" spans="31:31" customFormat="1">
      <c r="AE1526" s="3650"/>
    </row>
    <row r="1527" spans="31:31" customFormat="1">
      <c r="AE1527" s="3650"/>
    </row>
    <row r="1528" spans="31:31" customFormat="1">
      <c r="AE1528" s="3650"/>
    </row>
    <row r="1529" spans="31:31" customFormat="1">
      <c r="AE1529" s="3650"/>
    </row>
    <row r="1530" spans="31:31" customFormat="1">
      <c r="AE1530" s="3650"/>
    </row>
    <row r="1531" spans="31:31" customFormat="1">
      <c r="AE1531" s="3650"/>
    </row>
    <row r="1532" spans="31:31" customFormat="1">
      <c r="AE1532" s="3650"/>
    </row>
    <row r="1533" spans="31:31" customFormat="1">
      <c r="AE1533" s="3650"/>
    </row>
    <row r="1534" spans="31:31" customFormat="1">
      <c r="AE1534" s="3650"/>
    </row>
    <row r="1535" spans="31:31" customFormat="1">
      <c r="AE1535" s="3650"/>
    </row>
    <row r="1536" spans="31:31" customFormat="1">
      <c r="AE1536" s="3650"/>
    </row>
    <row r="1537" spans="31:31" customFormat="1">
      <c r="AE1537" s="3650"/>
    </row>
    <row r="1538" spans="31:31" customFormat="1">
      <c r="AE1538" s="3650"/>
    </row>
    <row r="1539" spans="31:31" customFormat="1">
      <c r="AE1539" s="3650"/>
    </row>
    <row r="1540" spans="31:31" customFormat="1">
      <c r="AE1540" s="3650"/>
    </row>
    <row r="1541" spans="31:31" customFormat="1">
      <c r="AE1541" s="3650"/>
    </row>
    <row r="1542" spans="31:31" customFormat="1">
      <c r="AE1542" s="3650"/>
    </row>
    <row r="1543" spans="31:31" customFormat="1">
      <c r="AE1543" s="3650"/>
    </row>
    <row r="1544" spans="31:31" customFormat="1">
      <c r="AE1544" s="3650"/>
    </row>
    <row r="1545" spans="31:31" customFormat="1">
      <c r="AE1545" s="3650"/>
    </row>
    <row r="1546" spans="31:31" customFormat="1">
      <c r="AE1546" s="3650"/>
    </row>
    <row r="1547" spans="31:31" customFormat="1">
      <c r="AE1547" s="3650"/>
    </row>
    <row r="1548" spans="31:31" customFormat="1">
      <c r="AE1548" s="3650"/>
    </row>
    <row r="1549" spans="31:31" customFormat="1">
      <c r="AE1549" s="3650"/>
    </row>
    <row r="1550" spans="31:31" customFormat="1">
      <c r="AE1550" s="3650"/>
    </row>
    <row r="1551" spans="31:31" customFormat="1">
      <c r="AE1551" s="3650"/>
    </row>
    <row r="1552" spans="31:31" customFormat="1">
      <c r="AE1552" s="3650"/>
    </row>
    <row r="1553" spans="31:31" customFormat="1">
      <c r="AE1553" s="3650"/>
    </row>
    <row r="1554" spans="31:31" customFormat="1">
      <c r="AE1554" s="3650"/>
    </row>
    <row r="1555" spans="31:31" customFormat="1">
      <c r="AE1555" s="3650"/>
    </row>
    <row r="1556" spans="31:31" customFormat="1">
      <c r="AE1556" s="3650"/>
    </row>
    <row r="1557" spans="31:31" customFormat="1">
      <c r="AE1557" s="3650"/>
    </row>
    <row r="1558" spans="31:31" customFormat="1">
      <c r="AE1558" s="3650"/>
    </row>
    <row r="1559" spans="31:31" customFormat="1">
      <c r="AE1559" s="3650"/>
    </row>
    <row r="1560" spans="31:31" customFormat="1">
      <c r="AE1560" s="3650"/>
    </row>
    <row r="1561" spans="31:31" customFormat="1">
      <c r="AE1561" s="3650"/>
    </row>
    <row r="1562" spans="31:31" customFormat="1">
      <c r="AE1562" s="3650"/>
    </row>
    <row r="1563" spans="31:31" customFormat="1">
      <c r="AE1563" s="3650"/>
    </row>
    <row r="1564" spans="31:31" customFormat="1">
      <c r="AE1564" s="3650"/>
    </row>
    <row r="1565" spans="31:31" customFormat="1">
      <c r="AE1565" s="3650"/>
    </row>
    <row r="1566" spans="31:31" customFormat="1">
      <c r="AE1566" s="3650"/>
    </row>
    <row r="1567" spans="31:31" customFormat="1">
      <c r="AE1567" s="3650"/>
    </row>
    <row r="1568" spans="31:31" customFormat="1">
      <c r="AE1568" s="3650"/>
    </row>
    <row r="1569" spans="31:31" customFormat="1">
      <c r="AE1569" s="3650"/>
    </row>
    <row r="1570" spans="31:31" customFormat="1">
      <c r="AE1570" s="3650"/>
    </row>
    <row r="1571" spans="31:31" customFormat="1">
      <c r="AE1571" s="3650"/>
    </row>
    <row r="1572" spans="31:31" customFormat="1">
      <c r="AE1572" s="3650"/>
    </row>
    <row r="1573" spans="31:31" customFormat="1">
      <c r="AE1573" s="3650"/>
    </row>
    <row r="1574" spans="31:31" customFormat="1">
      <c r="AE1574" s="3650"/>
    </row>
    <row r="1575" spans="31:31" customFormat="1">
      <c r="AE1575" s="3650"/>
    </row>
    <row r="1576" spans="31:31" customFormat="1">
      <c r="AE1576" s="3650"/>
    </row>
    <row r="1577" spans="31:31" customFormat="1">
      <c r="AE1577" s="3650"/>
    </row>
    <row r="1578" spans="31:31" customFormat="1">
      <c r="AE1578" s="3650"/>
    </row>
    <row r="1579" spans="31:31" customFormat="1">
      <c r="AE1579" s="3650"/>
    </row>
    <row r="1580" spans="31:31" customFormat="1">
      <c r="AE1580" s="3650"/>
    </row>
    <row r="1581" spans="31:31" customFormat="1">
      <c r="AE1581" s="3650"/>
    </row>
    <row r="1582" spans="31:31" customFormat="1">
      <c r="AE1582" s="3650"/>
    </row>
    <row r="1583" spans="31:31" customFormat="1">
      <c r="AE1583" s="3650"/>
    </row>
    <row r="1584" spans="31:31" customFormat="1">
      <c r="AE1584" s="3650"/>
    </row>
    <row r="1585" spans="31:31" customFormat="1">
      <c r="AE1585" s="3650"/>
    </row>
    <row r="1586" spans="31:31" customFormat="1">
      <c r="AE1586" s="3650"/>
    </row>
    <row r="1587" spans="31:31" customFormat="1">
      <c r="AE1587" s="3650"/>
    </row>
    <row r="1588" spans="31:31" customFormat="1">
      <c r="AE1588" s="3650"/>
    </row>
    <row r="1589" spans="31:31" customFormat="1">
      <c r="AE1589" s="3650"/>
    </row>
    <row r="1590" spans="31:31" customFormat="1">
      <c r="AE1590" s="3650"/>
    </row>
    <row r="1591" spans="31:31" customFormat="1">
      <c r="AE1591" s="3650"/>
    </row>
    <row r="1592" spans="31:31" customFormat="1">
      <c r="AE1592" s="3650"/>
    </row>
    <row r="1593" spans="31:31" customFormat="1">
      <c r="AE1593" s="3650"/>
    </row>
    <row r="1594" spans="31:31" customFormat="1">
      <c r="AE1594" s="3650"/>
    </row>
    <row r="1595" spans="31:31" customFormat="1">
      <c r="AE1595" s="3650"/>
    </row>
    <row r="1596" spans="31:31" customFormat="1">
      <c r="AE1596" s="3650"/>
    </row>
    <row r="1597" spans="31:31" customFormat="1">
      <c r="AE1597" s="3650"/>
    </row>
    <row r="1598" spans="31:31" customFormat="1">
      <c r="AE1598" s="3650"/>
    </row>
    <row r="1599" spans="31:31" customFormat="1">
      <c r="AE1599" s="3650"/>
    </row>
    <row r="1600" spans="31:31" customFormat="1">
      <c r="AE1600" s="3650"/>
    </row>
    <row r="1601" spans="31:31" customFormat="1">
      <c r="AE1601" s="3650"/>
    </row>
    <row r="1602" spans="31:31" customFormat="1">
      <c r="AE1602" s="3650"/>
    </row>
    <row r="1603" spans="31:31" customFormat="1">
      <c r="AE1603" s="3650"/>
    </row>
    <row r="1604" spans="31:31" customFormat="1">
      <c r="AE1604" s="3650"/>
    </row>
    <row r="1605" spans="31:31" customFormat="1">
      <c r="AE1605" s="3650"/>
    </row>
    <row r="1606" spans="31:31" customFormat="1">
      <c r="AE1606" s="3650"/>
    </row>
    <row r="1607" spans="31:31" customFormat="1">
      <c r="AE1607" s="3650"/>
    </row>
    <row r="1608" spans="31:31" customFormat="1">
      <c r="AE1608" s="3650"/>
    </row>
    <row r="1609" spans="31:31" customFormat="1">
      <c r="AE1609" s="3650"/>
    </row>
    <row r="1610" spans="31:31" customFormat="1">
      <c r="AE1610" s="3650"/>
    </row>
    <row r="1611" spans="31:31" customFormat="1">
      <c r="AE1611" s="3650"/>
    </row>
    <row r="1612" spans="31:31" customFormat="1">
      <c r="AE1612" s="3650"/>
    </row>
    <row r="1613" spans="31:31" customFormat="1">
      <c r="AE1613" s="3650"/>
    </row>
    <row r="1614" spans="31:31" customFormat="1">
      <c r="AE1614" s="3650"/>
    </row>
    <row r="1615" spans="31:31" customFormat="1">
      <c r="AE1615" s="3650"/>
    </row>
    <row r="1616" spans="31:31" customFormat="1">
      <c r="AE1616" s="3650"/>
    </row>
    <row r="1617" spans="31:31" customFormat="1">
      <c r="AE1617" s="3650"/>
    </row>
    <row r="1618" spans="31:31" customFormat="1">
      <c r="AE1618" s="3650"/>
    </row>
    <row r="1619" spans="31:31" customFormat="1">
      <c r="AE1619" s="3650"/>
    </row>
    <row r="1620" spans="31:31" customFormat="1">
      <c r="AE1620" s="3650"/>
    </row>
    <row r="1621" spans="31:31" customFormat="1">
      <c r="AE1621" s="3650"/>
    </row>
    <row r="1622" spans="31:31" customFormat="1">
      <c r="AE1622" s="3650"/>
    </row>
    <row r="1623" spans="31:31" customFormat="1">
      <c r="AE1623" s="3650"/>
    </row>
    <row r="1624" spans="31:31" customFormat="1">
      <c r="AE1624" s="3650"/>
    </row>
    <row r="1625" spans="31:31" customFormat="1">
      <c r="AE1625" s="3650"/>
    </row>
    <row r="1626" spans="31:31" customFormat="1">
      <c r="AE1626" s="3650"/>
    </row>
    <row r="1627" spans="31:31" customFormat="1">
      <c r="AE1627" s="3650"/>
    </row>
    <row r="1628" spans="31:31" customFormat="1">
      <c r="AE1628" s="3650"/>
    </row>
    <row r="1629" spans="31:31" customFormat="1">
      <c r="AE1629" s="3650"/>
    </row>
    <row r="1630" spans="31:31" customFormat="1">
      <c r="AE1630" s="3650"/>
    </row>
    <row r="1631" spans="31:31" customFormat="1">
      <c r="AE1631" s="3650"/>
    </row>
    <row r="1632" spans="31:31" customFormat="1">
      <c r="AE1632" s="3650"/>
    </row>
    <row r="1633" spans="31:31" customFormat="1">
      <c r="AE1633" s="3650"/>
    </row>
    <row r="1634" spans="31:31" customFormat="1">
      <c r="AE1634" s="3650"/>
    </row>
    <row r="1635" spans="31:31" customFormat="1">
      <c r="AE1635" s="3650"/>
    </row>
    <row r="1636" spans="31:31" customFormat="1">
      <c r="AE1636" s="3650"/>
    </row>
    <row r="1637" spans="31:31" customFormat="1">
      <c r="AE1637" s="3650"/>
    </row>
    <row r="1638" spans="31:31" customFormat="1">
      <c r="AE1638" s="3650"/>
    </row>
    <row r="1639" spans="31:31" customFormat="1">
      <c r="AE1639" s="3650"/>
    </row>
    <row r="1640" spans="31:31" customFormat="1">
      <c r="AE1640" s="3650"/>
    </row>
    <row r="1641" spans="31:31" customFormat="1">
      <c r="AE1641" s="3650"/>
    </row>
    <row r="1642" spans="31:31" customFormat="1">
      <c r="AE1642" s="3650"/>
    </row>
    <row r="1643" spans="31:31" customFormat="1">
      <c r="AE1643" s="3650"/>
    </row>
    <row r="1644" spans="31:31" customFormat="1">
      <c r="AE1644" s="3650"/>
    </row>
    <row r="1645" spans="31:31" customFormat="1">
      <c r="AE1645" s="3650"/>
    </row>
    <row r="1646" spans="31:31" customFormat="1">
      <c r="AE1646" s="3650"/>
    </row>
    <row r="1647" spans="31:31" customFormat="1">
      <c r="AE1647" s="3650"/>
    </row>
    <row r="1648" spans="31:31" customFormat="1">
      <c r="AE1648" s="3650"/>
    </row>
    <row r="1649" spans="31:31" customFormat="1">
      <c r="AE1649" s="3650"/>
    </row>
    <row r="1650" spans="31:31" customFormat="1">
      <c r="AE1650" s="3650"/>
    </row>
    <row r="1651" spans="31:31" customFormat="1">
      <c r="AE1651" s="3650"/>
    </row>
    <row r="1652" spans="31:31" customFormat="1">
      <c r="AE1652" s="3650"/>
    </row>
    <row r="1653" spans="31:31" customFormat="1">
      <c r="AE1653" s="3650"/>
    </row>
    <row r="1654" spans="31:31" customFormat="1">
      <c r="AE1654" s="3650"/>
    </row>
    <row r="1655" spans="31:31" customFormat="1">
      <c r="AE1655" s="3650"/>
    </row>
    <row r="1656" spans="31:31" customFormat="1">
      <c r="AE1656" s="3650"/>
    </row>
    <row r="1657" spans="31:31" customFormat="1">
      <c r="AE1657" s="3650"/>
    </row>
    <row r="1658" spans="31:31" customFormat="1">
      <c r="AE1658" s="3650"/>
    </row>
    <row r="1659" spans="31:31" customFormat="1">
      <c r="AE1659" s="3650"/>
    </row>
    <row r="1660" spans="31:31" customFormat="1">
      <c r="AE1660" s="3650"/>
    </row>
    <row r="1661" spans="31:31" customFormat="1">
      <c r="AE1661" s="3650"/>
    </row>
    <row r="1662" spans="31:31" customFormat="1">
      <c r="AE1662" s="3650"/>
    </row>
    <row r="1663" spans="31:31" customFormat="1">
      <c r="AE1663" s="3650"/>
    </row>
    <row r="1664" spans="31:31" customFormat="1">
      <c r="AE1664" s="3650"/>
    </row>
    <row r="1665" spans="31:31" customFormat="1">
      <c r="AE1665" s="3650"/>
    </row>
    <row r="1666" spans="31:31" customFormat="1">
      <c r="AE1666" s="3650"/>
    </row>
    <row r="1667" spans="31:31" customFormat="1">
      <c r="AE1667" s="3650"/>
    </row>
    <row r="1668" spans="31:31" customFormat="1">
      <c r="AE1668" s="3650"/>
    </row>
    <row r="1669" spans="31:31" customFormat="1">
      <c r="AE1669" s="3650"/>
    </row>
    <row r="1670" spans="31:31" customFormat="1">
      <c r="AE1670" s="3650"/>
    </row>
    <row r="1671" spans="31:31" customFormat="1">
      <c r="AE1671" s="3650"/>
    </row>
    <row r="1672" spans="31:31" customFormat="1">
      <c r="AE1672" s="3650"/>
    </row>
    <row r="1673" spans="31:31" customFormat="1">
      <c r="AE1673" s="3650"/>
    </row>
    <row r="1674" spans="31:31" customFormat="1">
      <c r="AE1674" s="3650"/>
    </row>
    <row r="1675" spans="31:31" customFormat="1">
      <c r="AE1675" s="3650"/>
    </row>
    <row r="1676" spans="31:31" customFormat="1">
      <c r="AE1676" s="3650"/>
    </row>
    <row r="1677" spans="31:31" customFormat="1">
      <c r="AE1677" s="3650"/>
    </row>
    <row r="1678" spans="31:31" customFormat="1">
      <c r="AE1678" s="3650"/>
    </row>
    <row r="1679" spans="31:31" customFormat="1">
      <c r="AE1679" s="3650"/>
    </row>
    <row r="1680" spans="31:31" customFormat="1">
      <c r="AE1680" s="3650"/>
    </row>
    <row r="1681" spans="31:31" customFormat="1">
      <c r="AE1681" s="3650"/>
    </row>
    <row r="1682" spans="31:31" customFormat="1">
      <c r="AE1682" s="3650"/>
    </row>
    <row r="1683" spans="31:31" customFormat="1">
      <c r="AE1683" s="3650"/>
    </row>
    <row r="1684" spans="31:31" customFormat="1">
      <c r="AE1684" s="3650"/>
    </row>
    <row r="1685" spans="31:31" customFormat="1">
      <c r="AE1685" s="3650"/>
    </row>
    <row r="1686" spans="31:31" customFormat="1">
      <c r="AE1686" s="3650"/>
    </row>
    <row r="1687" spans="31:31" customFormat="1">
      <c r="AE1687" s="3650"/>
    </row>
    <row r="1688" spans="31:31" customFormat="1">
      <c r="AE1688" s="3650"/>
    </row>
    <row r="1689" spans="31:31" customFormat="1">
      <c r="AE1689" s="3650"/>
    </row>
    <row r="1690" spans="31:31" customFormat="1">
      <c r="AE1690" s="3650"/>
    </row>
    <row r="1691" spans="31:31" customFormat="1">
      <c r="AE1691" s="3650"/>
    </row>
    <row r="1692" spans="31:31" customFormat="1">
      <c r="AE1692" s="3650"/>
    </row>
    <row r="1693" spans="31:31" customFormat="1">
      <c r="AE1693" s="3650"/>
    </row>
    <row r="1694" spans="31:31" customFormat="1">
      <c r="AE1694" s="3650"/>
    </row>
    <row r="1695" spans="31:31" customFormat="1">
      <c r="AE1695" s="3650"/>
    </row>
    <row r="1696" spans="31:31" customFormat="1">
      <c r="AE1696" s="3650"/>
    </row>
    <row r="1697" spans="31:31" customFormat="1">
      <c r="AE1697" s="3650"/>
    </row>
    <row r="1698" spans="31:31" customFormat="1">
      <c r="AE1698" s="3650"/>
    </row>
    <row r="1699" spans="31:31" customFormat="1">
      <c r="AE1699" s="3650"/>
    </row>
    <row r="1700" spans="31:31" customFormat="1">
      <c r="AE1700" s="3650"/>
    </row>
    <row r="1701" spans="31:31" customFormat="1">
      <c r="AE1701" s="3650"/>
    </row>
    <row r="1702" spans="31:31" customFormat="1">
      <c r="AE1702" s="3650"/>
    </row>
    <row r="1703" spans="31:31" customFormat="1">
      <c r="AE1703" s="3650"/>
    </row>
    <row r="1704" spans="31:31" customFormat="1">
      <c r="AE1704" s="3650"/>
    </row>
    <row r="1705" spans="31:31" customFormat="1">
      <c r="AE1705" s="3650"/>
    </row>
    <row r="1706" spans="31:31" customFormat="1">
      <c r="AE1706" s="3650"/>
    </row>
    <row r="1707" spans="31:31" customFormat="1">
      <c r="AE1707" s="3650"/>
    </row>
    <row r="1708" spans="31:31" customFormat="1">
      <c r="AE1708" s="3650"/>
    </row>
    <row r="1709" spans="31:31" customFormat="1">
      <c r="AE1709" s="3650"/>
    </row>
    <row r="1710" spans="31:31" customFormat="1">
      <c r="AE1710" s="3650"/>
    </row>
    <row r="1711" spans="31:31" customFormat="1">
      <c r="AE1711" s="3650"/>
    </row>
    <row r="1712" spans="31:31" customFormat="1">
      <c r="AE1712" s="3650"/>
    </row>
    <row r="1713" spans="31:31" customFormat="1">
      <c r="AE1713" s="3650"/>
    </row>
    <row r="1714" spans="31:31" customFormat="1">
      <c r="AE1714" s="3650"/>
    </row>
    <row r="1715" spans="31:31" customFormat="1">
      <c r="AE1715" s="3650"/>
    </row>
    <row r="1716" spans="31:31" customFormat="1">
      <c r="AE1716" s="3650"/>
    </row>
    <row r="1717" spans="31:31" customFormat="1">
      <c r="AE1717" s="3650"/>
    </row>
    <row r="1718" spans="31:31" customFormat="1">
      <c r="AE1718" s="3650"/>
    </row>
    <row r="1719" spans="31:31" customFormat="1">
      <c r="AE1719" s="3650"/>
    </row>
    <row r="1720" spans="31:31" customFormat="1">
      <c r="AE1720" s="3650"/>
    </row>
    <row r="1721" spans="31:31" customFormat="1">
      <c r="AE1721" s="3650"/>
    </row>
    <row r="1722" spans="31:31" customFormat="1">
      <c r="AE1722" s="3650"/>
    </row>
    <row r="1723" spans="31:31" customFormat="1">
      <c r="AE1723" s="3650"/>
    </row>
    <row r="1724" spans="31:31" customFormat="1">
      <c r="AE1724" s="3650"/>
    </row>
    <row r="1725" spans="31:31" customFormat="1">
      <c r="AE1725" s="3650"/>
    </row>
    <row r="1726" spans="31:31" customFormat="1">
      <c r="AE1726" s="3650"/>
    </row>
    <row r="1727" spans="31:31" customFormat="1">
      <c r="AE1727" s="3650"/>
    </row>
    <row r="1728" spans="31:31" customFormat="1">
      <c r="AE1728" s="3650"/>
    </row>
    <row r="1729" spans="31:31" customFormat="1">
      <c r="AE1729" s="3650"/>
    </row>
    <row r="1730" spans="31:31" customFormat="1">
      <c r="AE1730" s="3650"/>
    </row>
    <row r="1731" spans="31:31" customFormat="1">
      <c r="AE1731" s="3650"/>
    </row>
    <row r="1732" spans="31:31" customFormat="1">
      <c r="AE1732" s="3650"/>
    </row>
    <row r="1733" spans="31:31" customFormat="1">
      <c r="AE1733" s="3650"/>
    </row>
    <row r="1734" spans="31:31" customFormat="1">
      <c r="AE1734" s="3650"/>
    </row>
    <row r="1735" spans="31:31" customFormat="1">
      <c r="AE1735" s="3650"/>
    </row>
    <row r="1736" spans="31:31" customFormat="1">
      <c r="AE1736" s="3650"/>
    </row>
    <row r="1737" spans="31:31" customFormat="1">
      <c r="AE1737" s="3650"/>
    </row>
    <row r="1738" spans="31:31" customFormat="1">
      <c r="AE1738" s="3650"/>
    </row>
    <row r="1739" spans="31:31" customFormat="1">
      <c r="AE1739" s="3650"/>
    </row>
    <row r="1740" spans="31:31" customFormat="1">
      <c r="AE1740" s="3650"/>
    </row>
    <row r="1741" spans="31:31" customFormat="1">
      <c r="AE1741" s="3650"/>
    </row>
    <row r="1742" spans="31:31" customFormat="1">
      <c r="AE1742" s="3650"/>
    </row>
    <row r="1743" spans="31:31" customFormat="1">
      <c r="AE1743" s="3650"/>
    </row>
    <row r="1744" spans="31:31" customFormat="1">
      <c r="AE1744" s="3650"/>
    </row>
    <row r="1745" spans="31:31" customFormat="1">
      <c r="AE1745" s="3650"/>
    </row>
    <row r="1746" spans="31:31" customFormat="1">
      <c r="AE1746" s="3650"/>
    </row>
    <row r="1747" spans="31:31" customFormat="1">
      <c r="AE1747" s="3650"/>
    </row>
    <row r="1748" spans="31:31" customFormat="1">
      <c r="AE1748" s="3650"/>
    </row>
    <row r="1749" spans="31:31" customFormat="1">
      <c r="AE1749" s="3650"/>
    </row>
    <row r="1750" spans="31:31" customFormat="1">
      <c r="AE1750" s="3650"/>
    </row>
    <row r="1751" spans="31:31" customFormat="1">
      <c r="AE1751" s="3650"/>
    </row>
    <row r="1752" spans="31:31" customFormat="1">
      <c r="AE1752" s="3650"/>
    </row>
    <row r="1753" spans="31:31" customFormat="1">
      <c r="AE1753" s="3650"/>
    </row>
    <row r="1754" spans="31:31" customFormat="1">
      <c r="AE1754" s="3650"/>
    </row>
    <row r="1755" spans="31:31" customFormat="1">
      <c r="AE1755" s="3650"/>
    </row>
    <row r="1756" spans="31:31" customFormat="1">
      <c r="AE1756" s="3650"/>
    </row>
    <row r="1757" spans="31:31" customFormat="1">
      <c r="AE1757" s="3650"/>
    </row>
    <row r="1758" spans="31:31" customFormat="1">
      <c r="AE1758" s="3650"/>
    </row>
    <row r="1759" spans="31:31" customFormat="1">
      <c r="AE1759" s="3650"/>
    </row>
    <row r="1760" spans="31:31" customFormat="1">
      <c r="AE1760" s="3650"/>
    </row>
    <row r="1761" spans="31:31" customFormat="1">
      <c r="AE1761" s="3650"/>
    </row>
    <row r="1762" spans="31:31" customFormat="1">
      <c r="AE1762" s="3650"/>
    </row>
    <row r="1763" spans="31:31" customFormat="1">
      <c r="AE1763" s="3650"/>
    </row>
    <row r="1764" spans="31:31" customFormat="1">
      <c r="AE1764" s="3650"/>
    </row>
    <row r="1765" spans="31:31" customFormat="1">
      <c r="AE1765" s="3650"/>
    </row>
    <row r="1766" spans="31:31" customFormat="1">
      <c r="AE1766" s="3650"/>
    </row>
    <row r="1767" spans="31:31" customFormat="1">
      <c r="AE1767" s="3650"/>
    </row>
    <row r="1768" spans="31:31" customFormat="1">
      <c r="AE1768" s="3650"/>
    </row>
    <row r="1769" spans="31:31" customFormat="1">
      <c r="AE1769" s="3650"/>
    </row>
    <row r="1770" spans="31:31" customFormat="1">
      <c r="AE1770" s="3650"/>
    </row>
    <row r="1771" spans="31:31" customFormat="1">
      <c r="AE1771" s="3650"/>
    </row>
    <row r="1772" spans="31:31" customFormat="1">
      <c r="AE1772" s="3650"/>
    </row>
    <row r="1773" spans="31:31" customFormat="1">
      <c r="AE1773" s="3650"/>
    </row>
    <row r="1774" spans="31:31" customFormat="1">
      <c r="AE1774" s="3650"/>
    </row>
    <row r="1775" spans="31:31" customFormat="1">
      <c r="AE1775" s="3650"/>
    </row>
    <row r="1776" spans="31:31" customFormat="1">
      <c r="AE1776" s="3650"/>
    </row>
    <row r="1777" spans="31:31" customFormat="1">
      <c r="AE1777" s="3650"/>
    </row>
    <row r="1778" spans="31:31" customFormat="1">
      <c r="AE1778" s="3650"/>
    </row>
    <row r="1779" spans="31:31" customFormat="1">
      <c r="AE1779" s="3650"/>
    </row>
    <row r="1780" spans="31:31" customFormat="1">
      <c r="AE1780" s="3650"/>
    </row>
    <row r="1781" spans="31:31" customFormat="1">
      <c r="AE1781" s="3650"/>
    </row>
    <row r="1782" spans="31:31" customFormat="1">
      <c r="AE1782" s="3650"/>
    </row>
    <row r="1783" spans="31:31" customFormat="1">
      <c r="AE1783" s="3650"/>
    </row>
    <row r="1784" spans="31:31" customFormat="1">
      <c r="AE1784" s="3650"/>
    </row>
    <row r="1785" spans="31:31" customFormat="1">
      <c r="AE1785" s="3650"/>
    </row>
    <row r="1786" spans="31:31" customFormat="1">
      <c r="AE1786" s="3650"/>
    </row>
    <row r="1787" spans="31:31" customFormat="1">
      <c r="AE1787" s="3650"/>
    </row>
    <row r="1788" spans="31:31" customFormat="1">
      <c r="AE1788" s="3650"/>
    </row>
    <row r="1789" spans="31:31" customFormat="1">
      <c r="AE1789" s="3650"/>
    </row>
    <row r="1790" spans="31:31" customFormat="1">
      <c r="AE1790" s="3650"/>
    </row>
    <row r="1791" spans="31:31" customFormat="1">
      <c r="AE1791" s="3650"/>
    </row>
    <row r="1792" spans="31:31" customFormat="1">
      <c r="AE1792" s="3650"/>
    </row>
    <row r="1793" spans="31:31" customFormat="1">
      <c r="AE1793" s="3650"/>
    </row>
    <row r="1794" spans="31:31" customFormat="1">
      <c r="AE1794" s="3650"/>
    </row>
    <row r="1795" spans="31:31" customFormat="1">
      <c r="AE1795" s="3650"/>
    </row>
    <row r="1796" spans="31:31" customFormat="1">
      <c r="AE1796" s="3650"/>
    </row>
    <row r="1797" spans="31:31" customFormat="1">
      <c r="AE1797" s="3650"/>
    </row>
    <row r="1798" spans="31:31" customFormat="1">
      <c r="AE1798" s="3650"/>
    </row>
    <row r="1799" spans="31:31" customFormat="1">
      <c r="AE1799" s="3650"/>
    </row>
    <row r="1800" spans="31:31" customFormat="1">
      <c r="AE1800" s="3650"/>
    </row>
    <row r="1801" spans="31:31" customFormat="1">
      <c r="AE1801" s="3650"/>
    </row>
    <row r="1802" spans="31:31" customFormat="1">
      <c r="AE1802" s="3650"/>
    </row>
    <row r="1803" spans="31:31" customFormat="1">
      <c r="AE1803" s="3650"/>
    </row>
    <row r="1804" spans="31:31" customFormat="1">
      <c r="AE1804" s="3650"/>
    </row>
    <row r="1805" spans="31:31" customFormat="1">
      <c r="AE1805" s="3650"/>
    </row>
    <row r="1806" spans="31:31" customFormat="1">
      <c r="AE1806" s="3650"/>
    </row>
    <row r="1807" spans="31:31" customFormat="1">
      <c r="AE1807" s="3650"/>
    </row>
    <row r="1808" spans="31:31" customFormat="1">
      <c r="AE1808" s="3650"/>
    </row>
    <row r="1809" spans="31:31" customFormat="1">
      <c r="AE1809" s="3650"/>
    </row>
    <row r="1810" spans="31:31" customFormat="1">
      <c r="AE1810" s="3650"/>
    </row>
    <row r="1811" spans="31:31" customFormat="1">
      <c r="AE1811" s="3650"/>
    </row>
    <row r="1812" spans="31:31" customFormat="1">
      <c r="AE1812" s="3650"/>
    </row>
    <row r="1813" spans="31:31" customFormat="1">
      <c r="AE1813" s="3650"/>
    </row>
    <row r="1814" spans="31:31" customFormat="1">
      <c r="AE1814" s="3650"/>
    </row>
    <row r="1815" spans="31:31" customFormat="1">
      <c r="AE1815" s="3650"/>
    </row>
    <row r="1816" spans="31:31" customFormat="1">
      <c r="AE1816" s="3650"/>
    </row>
    <row r="1817" spans="31:31" customFormat="1">
      <c r="AE1817" s="3650"/>
    </row>
    <row r="1818" spans="31:31" customFormat="1">
      <c r="AE1818" s="3650"/>
    </row>
    <row r="1819" spans="31:31" customFormat="1">
      <c r="AE1819" s="3650"/>
    </row>
    <row r="1820" spans="31:31" customFormat="1">
      <c r="AE1820" s="3650"/>
    </row>
    <row r="1821" spans="31:31" customFormat="1">
      <c r="AE1821" s="3650"/>
    </row>
    <row r="1822" spans="31:31" customFormat="1">
      <c r="AE1822" s="3650"/>
    </row>
    <row r="1823" spans="31:31" customFormat="1">
      <c r="AE1823" s="3650"/>
    </row>
    <row r="1824" spans="31:31" customFormat="1">
      <c r="AE1824" s="3650"/>
    </row>
    <row r="1825" spans="31:31" customFormat="1">
      <c r="AE1825" s="3650"/>
    </row>
    <row r="1826" spans="31:31" customFormat="1">
      <c r="AE1826" s="3650"/>
    </row>
    <row r="1827" spans="31:31" customFormat="1">
      <c r="AE1827" s="3650"/>
    </row>
    <row r="1828" spans="31:31" customFormat="1">
      <c r="AE1828" s="3650"/>
    </row>
    <row r="1829" spans="31:31" customFormat="1">
      <c r="AE1829" s="3650"/>
    </row>
    <row r="1830" spans="31:31" customFormat="1">
      <c r="AE1830" s="3650"/>
    </row>
    <row r="1831" spans="31:31" customFormat="1">
      <c r="AE1831" s="3650"/>
    </row>
    <row r="1832" spans="31:31" customFormat="1">
      <c r="AE1832" s="3650"/>
    </row>
    <row r="1833" spans="31:31" customFormat="1">
      <c r="AE1833" s="3650"/>
    </row>
    <row r="1834" spans="31:31" customFormat="1">
      <c r="AE1834" s="3650"/>
    </row>
    <row r="1835" spans="31:31" customFormat="1">
      <c r="AE1835" s="3650"/>
    </row>
    <row r="1836" spans="31:31" customFormat="1">
      <c r="AE1836" s="3650"/>
    </row>
    <row r="1837" spans="31:31" customFormat="1">
      <c r="AE1837" s="3650"/>
    </row>
    <row r="1838" spans="31:31" customFormat="1">
      <c r="AE1838" s="3650"/>
    </row>
    <row r="1839" spans="31:31" customFormat="1">
      <c r="AE1839" s="3650"/>
    </row>
    <row r="1840" spans="31:31" customFormat="1">
      <c r="AE1840" s="3650"/>
    </row>
    <row r="1841" spans="31:31" customFormat="1">
      <c r="AE1841" s="3650"/>
    </row>
    <row r="1842" spans="31:31" customFormat="1">
      <c r="AE1842" s="3650"/>
    </row>
    <row r="1843" spans="31:31" customFormat="1">
      <c r="AE1843" s="3650"/>
    </row>
    <row r="1844" spans="31:31" customFormat="1">
      <c r="AE1844" s="3650"/>
    </row>
    <row r="1845" spans="31:31" customFormat="1">
      <c r="AE1845" s="3650"/>
    </row>
    <row r="1846" spans="31:31" customFormat="1">
      <c r="AE1846" s="3650"/>
    </row>
    <row r="1847" spans="31:31" customFormat="1">
      <c r="AE1847" s="3650"/>
    </row>
    <row r="1848" spans="31:31" customFormat="1">
      <c r="AE1848" s="3650"/>
    </row>
    <row r="1849" spans="31:31" customFormat="1">
      <c r="AE1849" s="3650"/>
    </row>
    <row r="1850" spans="31:31" customFormat="1">
      <c r="AE1850" s="3650"/>
    </row>
    <row r="1851" spans="31:31" customFormat="1">
      <c r="AE1851" s="3650"/>
    </row>
    <row r="1852" spans="31:31" customFormat="1">
      <c r="AE1852" s="3650"/>
    </row>
    <row r="1853" spans="31:31" customFormat="1">
      <c r="AE1853" s="3650"/>
    </row>
    <row r="1854" spans="31:31" customFormat="1">
      <c r="AE1854" s="3650"/>
    </row>
    <row r="1855" spans="31:31" customFormat="1">
      <c r="AE1855" s="3650"/>
    </row>
    <row r="1856" spans="31:31" customFormat="1">
      <c r="AE1856" s="3650"/>
    </row>
    <row r="1857" spans="31:31" customFormat="1">
      <c r="AE1857" s="3650"/>
    </row>
    <row r="1858" spans="31:31" customFormat="1">
      <c r="AE1858" s="3650"/>
    </row>
    <row r="1859" spans="31:31" customFormat="1">
      <c r="AE1859" s="3650"/>
    </row>
    <row r="1860" spans="31:31" customFormat="1">
      <c r="AE1860" s="3650"/>
    </row>
    <row r="1861" spans="31:31" customFormat="1">
      <c r="AE1861" s="3650"/>
    </row>
    <row r="1862" spans="31:31" customFormat="1">
      <c r="AE1862" s="3650"/>
    </row>
    <row r="1863" spans="31:31" customFormat="1">
      <c r="AE1863" s="3650"/>
    </row>
    <row r="1864" spans="31:31" customFormat="1">
      <c r="AE1864" s="3650"/>
    </row>
    <row r="1865" spans="31:31" customFormat="1">
      <c r="AE1865" s="3650"/>
    </row>
    <row r="1866" spans="31:31" customFormat="1">
      <c r="AE1866" s="3650"/>
    </row>
    <row r="1867" spans="31:31" customFormat="1">
      <c r="AE1867" s="3650"/>
    </row>
    <row r="1868" spans="31:31" customFormat="1">
      <c r="AE1868" s="3650"/>
    </row>
    <row r="1869" spans="31:31" customFormat="1">
      <c r="AE1869" s="3650"/>
    </row>
    <row r="1870" spans="31:31" customFormat="1">
      <c r="AE1870" s="3650"/>
    </row>
    <row r="1871" spans="31:31" customFormat="1">
      <c r="AE1871" s="3650"/>
    </row>
    <row r="1872" spans="31:31" customFormat="1">
      <c r="AE1872" s="3650"/>
    </row>
    <row r="1873" spans="31:31" customFormat="1">
      <c r="AE1873" s="3650"/>
    </row>
    <row r="1874" spans="31:31" customFormat="1">
      <c r="AE1874" s="3650"/>
    </row>
    <row r="1875" spans="31:31" customFormat="1">
      <c r="AE1875" s="3650"/>
    </row>
    <row r="1876" spans="31:31" customFormat="1">
      <c r="AE1876" s="3650"/>
    </row>
    <row r="1877" spans="31:31" customFormat="1">
      <c r="AE1877" s="3650"/>
    </row>
    <row r="1878" spans="31:31" customFormat="1">
      <c r="AE1878" s="3650"/>
    </row>
    <row r="1879" spans="31:31" customFormat="1">
      <c r="AE1879" s="3650"/>
    </row>
    <row r="1880" spans="31:31" customFormat="1">
      <c r="AE1880" s="3650"/>
    </row>
    <row r="1881" spans="31:31" customFormat="1">
      <c r="AE1881" s="3650"/>
    </row>
    <row r="1882" spans="31:31" customFormat="1">
      <c r="AE1882" s="3650"/>
    </row>
    <row r="1883" spans="31:31" customFormat="1">
      <c r="AE1883" s="3650"/>
    </row>
    <row r="1884" spans="31:31" customFormat="1">
      <c r="AE1884" s="3650"/>
    </row>
    <row r="1885" spans="31:31" customFormat="1">
      <c r="AE1885" s="3650"/>
    </row>
    <row r="1886" spans="31:31" customFormat="1">
      <c r="AE1886" s="3650"/>
    </row>
    <row r="1887" spans="31:31" customFormat="1">
      <c r="AE1887" s="3650"/>
    </row>
    <row r="1888" spans="31:31" customFormat="1">
      <c r="AE1888" s="3650"/>
    </row>
    <row r="1889" spans="31:31" customFormat="1">
      <c r="AE1889" s="3650"/>
    </row>
    <row r="1890" spans="31:31" customFormat="1">
      <c r="AE1890" s="3650"/>
    </row>
    <row r="1891" spans="31:31" customFormat="1">
      <c r="AE1891" s="3650"/>
    </row>
    <row r="1892" spans="31:31" customFormat="1">
      <c r="AE1892" s="3650"/>
    </row>
    <row r="1893" spans="31:31" customFormat="1">
      <c r="AE1893" s="3650"/>
    </row>
    <row r="1894" spans="31:31" customFormat="1">
      <c r="AE1894" s="3650"/>
    </row>
    <row r="1895" spans="31:31" customFormat="1">
      <c r="AE1895" s="3650"/>
    </row>
    <row r="1896" spans="31:31" customFormat="1">
      <c r="AE1896" s="3650"/>
    </row>
    <row r="1897" spans="31:31" customFormat="1">
      <c r="AE1897" s="3650"/>
    </row>
    <row r="1898" spans="31:31" customFormat="1">
      <c r="AE1898" s="3650"/>
    </row>
    <row r="1899" spans="31:31" customFormat="1">
      <c r="AE1899" s="3650"/>
    </row>
    <row r="1900" spans="31:31" customFormat="1">
      <c r="AE1900" s="3650"/>
    </row>
    <row r="1901" spans="31:31" customFormat="1">
      <c r="AE1901" s="3650"/>
    </row>
    <row r="1902" spans="31:31" customFormat="1">
      <c r="AE1902" s="3650"/>
    </row>
    <row r="1903" spans="31:31" customFormat="1">
      <c r="AE1903" s="3650"/>
    </row>
    <row r="1904" spans="31:31" customFormat="1">
      <c r="AE1904" s="3650"/>
    </row>
    <row r="1905" spans="31:31" customFormat="1">
      <c r="AE1905" s="3650"/>
    </row>
    <row r="1906" spans="31:31" customFormat="1">
      <c r="AE1906" s="3650"/>
    </row>
    <row r="1907" spans="31:31" customFormat="1">
      <c r="AE1907" s="3650"/>
    </row>
    <row r="1908" spans="31:31" customFormat="1">
      <c r="AE1908" s="3650"/>
    </row>
    <row r="1909" spans="31:31" customFormat="1">
      <c r="AE1909" s="3650"/>
    </row>
    <row r="1910" spans="31:31" customFormat="1">
      <c r="AE1910" s="3650"/>
    </row>
    <row r="1911" spans="31:31" customFormat="1">
      <c r="AE1911" s="3650"/>
    </row>
    <row r="1912" spans="31:31" customFormat="1">
      <c r="AE1912" s="3650"/>
    </row>
    <row r="1913" spans="31:31" customFormat="1">
      <c r="AE1913" s="3650"/>
    </row>
    <row r="1914" spans="31:31" customFormat="1">
      <c r="AE1914" s="3650"/>
    </row>
    <row r="1915" spans="31:31" customFormat="1">
      <c r="AE1915" s="3650"/>
    </row>
    <row r="1916" spans="31:31" customFormat="1">
      <c r="AE1916" s="3650"/>
    </row>
    <row r="1917" spans="31:31" customFormat="1">
      <c r="AE1917" s="3650"/>
    </row>
    <row r="1918" spans="31:31" customFormat="1">
      <c r="AE1918" s="3650"/>
    </row>
    <row r="1919" spans="31:31" customFormat="1">
      <c r="AE1919" s="3650"/>
    </row>
    <row r="1920" spans="31:31" customFormat="1">
      <c r="AE1920" s="3650"/>
    </row>
    <row r="1921" spans="31:31" customFormat="1">
      <c r="AE1921" s="3650"/>
    </row>
    <row r="1922" spans="31:31" customFormat="1">
      <c r="AE1922" s="3650"/>
    </row>
    <row r="1923" spans="31:31" customFormat="1">
      <c r="AE1923" s="3650"/>
    </row>
    <row r="1924" spans="31:31" customFormat="1">
      <c r="AE1924" s="3650"/>
    </row>
    <row r="1925" spans="31:31" customFormat="1">
      <c r="AE1925" s="3650"/>
    </row>
    <row r="1926" spans="31:31" customFormat="1">
      <c r="AE1926" s="3650"/>
    </row>
    <row r="1927" spans="31:31" customFormat="1">
      <c r="AE1927" s="3650"/>
    </row>
    <row r="1928" spans="31:31" customFormat="1">
      <c r="AE1928" s="3650"/>
    </row>
    <row r="1929" spans="31:31" customFormat="1">
      <c r="AE1929" s="3650"/>
    </row>
    <row r="1930" spans="31:31" customFormat="1">
      <c r="AE1930" s="3650"/>
    </row>
    <row r="1931" spans="31:31" customFormat="1">
      <c r="AE1931" s="3650"/>
    </row>
    <row r="1932" spans="31:31" customFormat="1">
      <c r="AE1932" s="3650"/>
    </row>
    <row r="1933" spans="31:31" customFormat="1">
      <c r="AE1933" s="3650"/>
    </row>
    <row r="1934" spans="31:31" customFormat="1">
      <c r="AE1934" s="3650"/>
    </row>
    <row r="1935" spans="31:31" customFormat="1">
      <c r="AE1935" s="3650"/>
    </row>
    <row r="1936" spans="31:31" customFormat="1">
      <c r="AE1936" s="3650"/>
    </row>
    <row r="1937" spans="31:31" customFormat="1">
      <c r="AE1937" s="3650"/>
    </row>
    <row r="1938" spans="31:31" customFormat="1">
      <c r="AE1938" s="3650"/>
    </row>
    <row r="1939" spans="31:31" customFormat="1">
      <c r="AE1939" s="3650"/>
    </row>
    <row r="1940" spans="31:31" customFormat="1">
      <c r="AE1940" s="3650"/>
    </row>
    <row r="1941" spans="31:31" customFormat="1">
      <c r="AE1941" s="3650"/>
    </row>
    <row r="1942" spans="31:31" customFormat="1">
      <c r="AE1942" s="3650"/>
    </row>
    <row r="1943" spans="31:31" customFormat="1">
      <c r="AE1943" s="3650"/>
    </row>
    <row r="1944" spans="31:31" customFormat="1">
      <c r="AE1944" s="3650"/>
    </row>
    <row r="1945" spans="31:31" customFormat="1">
      <c r="AE1945" s="3650"/>
    </row>
    <row r="1946" spans="31:31" customFormat="1">
      <c r="AE1946" s="3650"/>
    </row>
    <row r="1947" spans="31:31" customFormat="1">
      <c r="AE1947" s="3650"/>
    </row>
    <row r="1948" spans="31:31" customFormat="1">
      <c r="AE1948" s="3650"/>
    </row>
    <row r="1949" spans="31:31" customFormat="1">
      <c r="AE1949" s="3650"/>
    </row>
    <row r="1950" spans="31:31" customFormat="1">
      <c r="AE1950" s="3650"/>
    </row>
    <row r="1951" spans="31:31" customFormat="1">
      <c r="AE1951" s="3650"/>
    </row>
    <row r="1952" spans="31:31" customFormat="1">
      <c r="AE1952" s="3650"/>
    </row>
    <row r="1953" spans="31:31" customFormat="1">
      <c r="AE1953" s="3650"/>
    </row>
    <row r="1954" spans="31:31" customFormat="1">
      <c r="AE1954" s="3650"/>
    </row>
    <row r="1955" spans="31:31" customFormat="1">
      <c r="AE1955" s="3650"/>
    </row>
    <row r="1956" spans="31:31" customFormat="1">
      <c r="AE1956" s="3650"/>
    </row>
    <row r="1957" spans="31:31" customFormat="1">
      <c r="AE1957" s="3650"/>
    </row>
    <row r="1958" spans="31:31" customFormat="1">
      <c r="AE1958" s="3650"/>
    </row>
    <row r="1959" spans="31:31" customFormat="1">
      <c r="AE1959" s="3650"/>
    </row>
    <row r="1960" spans="31:31" customFormat="1">
      <c r="AE1960" s="3650"/>
    </row>
    <row r="1961" spans="31:31" customFormat="1">
      <c r="AE1961" s="3650"/>
    </row>
    <row r="1962" spans="31:31" customFormat="1">
      <c r="AE1962" s="3650"/>
    </row>
    <row r="1963" spans="31:31" customFormat="1">
      <c r="AE1963" s="3650"/>
    </row>
    <row r="1964" spans="31:31" customFormat="1">
      <c r="AE1964" s="3650"/>
    </row>
    <row r="1965" spans="31:31" customFormat="1">
      <c r="AE1965" s="3650"/>
    </row>
    <row r="1966" spans="31:31" customFormat="1">
      <c r="AE1966" s="3650"/>
    </row>
    <row r="1967" spans="31:31" customFormat="1">
      <c r="AE1967" s="3650"/>
    </row>
    <row r="1968" spans="31:31" customFormat="1">
      <c r="AE1968" s="3650"/>
    </row>
    <row r="1969" spans="31:31" customFormat="1">
      <c r="AE1969" s="3650"/>
    </row>
    <row r="1970" spans="31:31" customFormat="1">
      <c r="AE1970" s="3650"/>
    </row>
    <row r="1971" spans="31:31" customFormat="1">
      <c r="AE1971" s="3650"/>
    </row>
    <row r="1972" spans="31:31" customFormat="1">
      <c r="AE1972" s="3650"/>
    </row>
    <row r="1973" spans="31:31" customFormat="1">
      <c r="AE1973" s="3650"/>
    </row>
    <row r="1974" spans="31:31" customFormat="1">
      <c r="AE1974" s="3650"/>
    </row>
    <row r="1975" spans="31:31" customFormat="1">
      <c r="AE1975" s="3650"/>
    </row>
    <row r="1976" spans="31:31" customFormat="1">
      <c r="AE1976" s="3650"/>
    </row>
    <row r="1977" spans="31:31" customFormat="1">
      <c r="AE1977" s="3650"/>
    </row>
    <row r="1978" spans="31:31" customFormat="1">
      <c r="AE1978" s="3650"/>
    </row>
    <row r="1979" spans="31:31" customFormat="1">
      <c r="AE1979" s="3650"/>
    </row>
  </sheetData>
  <mergeCells count="22">
    <mergeCell ref="C703:F703"/>
    <mergeCell ref="C584:F584"/>
    <mergeCell ref="C560:F560"/>
    <mergeCell ref="C479:F479"/>
    <mergeCell ref="C516:F516"/>
    <mergeCell ref="C538:F538"/>
    <mergeCell ref="C455:F455"/>
    <mergeCell ref="C2:E2"/>
    <mergeCell ref="C104:F104"/>
    <mergeCell ref="C133:F133"/>
    <mergeCell ref="C177:F177"/>
    <mergeCell ref="C5:F5"/>
    <mergeCell ref="C351:F351"/>
    <mergeCell ref="C372:F372"/>
    <mergeCell ref="C414:F414"/>
    <mergeCell ref="C393:F393"/>
    <mergeCell ref="C42:F42"/>
    <mergeCell ref="C70:F70"/>
    <mergeCell ref="C320:F320"/>
    <mergeCell ref="C198:F198"/>
    <mergeCell ref="C250:F250"/>
    <mergeCell ref="C295:F295"/>
  </mergeCells>
  <phoneticPr fontId="60" type="noConversion"/>
  <conditionalFormatting sqref="G774:Y774 G784:Y784 G665:Y665 G89:Y89 G262:Y262 G206:Y206 G303:Y303 G491:Y491 G632:Y632 G51:Y51 G791:Y791 G428:Y428 G569:Y569 G567:Y567 G115:Z115 G330:Z330 G523:Z523 G545:Z545 G14:Z14 G144:Y144">
    <cfRule type="cellIs" dxfId="30" priority="11" stopIfTrue="1" operator="notBetween">
      <formula>-0.001</formula>
      <formula>0.001</formula>
    </cfRule>
  </conditionalFormatting>
  <conditionalFormatting sqref="G2:Y2">
    <cfRule type="cellIs" dxfId="29" priority="12" stopIfTrue="1" operator="notEqual">
      <formula>"ok"</formula>
    </cfRule>
  </conditionalFormatting>
  <conditionalFormatting sqref="Z569 Z774 Z784 Z665 Z89 Z262 Z206 Z144 Z303 Z428 Z567 Z491 Z632 Z51 Z791">
    <cfRule type="cellIs" dxfId="28" priority="9" stopIfTrue="1" operator="notBetween">
      <formula>-0.001</formula>
      <formula>0.001</formula>
    </cfRule>
  </conditionalFormatting>
  <conditionalFormatting sqref="Z2">
    <cfRule type="cellIs" dxfId="27" priority="10" stopIfTrue="1" operator="notEqual">
      <formula>"ok"</formula>
    </cfRule>
  </conditionalFormatting>
  <conditionalFormatting sqref="AA774:AC774 AA784:AC784 AA665:AC665 AA89:AC89 AA330:AC330 AA115:AC115 AA262:AC262 AA206:AC206 AA144:AC144 AA303:AC303 AA428:AC428 AA523:AC523 AA491:AC491 AA632:AC632 AA51:AC51 AA791:AC791 AA14:AC14 AA567:AC567 AA569:AC569 AA545:AC545">
    <cfRule type="cellIs" dxfId="26" priority="7" stopIfTrue="1" operator="notBetween">
      <formula>-0.001</formula>
      <formula>0.001</formula>
    </cfRule>
  </conditionalFormatting>
  <conditionalFormatting sqref="AA2:AC2">
    <cfRule type="cellIs" dxfId="25" priority="8" stopIfTrue="1" operator="notEqual">
      <formula>"ok"</formula>
    </cfRule>
  </conditionalFormatting>
  <conditionalFormatting sqref="AD569 AD774 AD784 AD665 AD89 AD330 AD115 AD262 AD206 AD144 AD303 AD428 AD567 AD545 AD523 AD491 AD632 AD51 AD791 AD14">
    <cfRule type="cellIs" dxfId="24" priority="3" stopIfTrue="1" operator="notBetween">
      <formula>-0.001</formula>
      <formula>0.001</formula>
    </cfRule>
  </conditionalFormatting>
  <conditionalFormatting sqref="AD2">
    <cfRule type="cellIs" dxfId="23" priority="4" stopIfTrue="1" operator="notEqual">
      <formula>"ok"</formula>
    </cfRule>
  </conditionalFormatting>
  <conditionalFormatting sqref="AE569 AE774 AE784 AE665 AE89 AE330 AE115 AE262 AE206 AE144 AE303 AE428 AE567 AE545 AE523 AE491 AE632 AE51 AE791 AE14">
    <cfRule type="cellIs" dxfId="22" priority="1" stopIfTrue="1" operator="notBetween">
      <formula>-0.001</formula>
      <formula>0.001</formula>
    </cfRule>
  </conditionalFormatting>
  <conditionalFormatting sqref="AE2">
    <cfRule type="cellIs" dxfId="21" priority="2" stopIfTrue="1" operator="notEqual">
      <formula>"ok"</formula>
    </cfRule>
  </conditionalFormatting>
  <hyperlinks>
    <hyperlink ref="E110" location="Sector1!E420" display="Follow this link to GVT final consumption expenditure (P.3)"/>
    <hyperlink ref="E429" location="VVP1!E47" display="Follow this link to the total consumption forecast in VVP1"/>
  </hyperlinks>
  <pageMargins left="0.15748031496062992" right="0.15748031496062992" top="0.98425196850393704" bottom="0.98425196850393704" header="0.51181102362204722" footer="0.51181102362204722"/>
  <pageSetup scale="56" fitToHeight="0" orientation="landscape" r:id="rId1"/>
  <headerFooter alignWithMargins="0"/>
  <rowBreaks count="13" manualBreakCount="13">
    <brk id="4" max="16383" man="1"/>
    <brk id="41" max="16383" man="1"/>
    <brk id="69" max="16383" man="1"/>
    <brk id="103" max="16383" man="1"/>
    <brk id="132" max="16383" man="1"/>
    <brk id="176" max="16383" man="1"/>
    <brk id="197" max="16383" man="1"/>
    <brk id="249" max="16383" man="1"/>
    <brk id="294" max="16383" man="1"/>
    <brk id="319" max="16383" man="1"/>
    <brk id="392" max="16383" man="1"/>
    <brk id="478" max="16383" man="1"/>
    <brk id="515" max="16383" man="1"/>
  </rowBreaks>
  <ignoredErrors>
    <ignoredError sqref="H92:H95 I92:N95" evalError="1"/>
  </ignoredError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tabColor indexed="44"/>
    <pageSetUpPr fitToPage="1"/>
  </sheetPr>
  <dimension ref="A1:EX147"/>
  <sheetViews>
    <sheetView showGridLines="0" workbookViewId="0">
      <pane xSplit="4" ySplit="4" topLeftCell="EA5" activePane="bottomRight" state="frozen"/>
      <selection pane="topRight" activeCell="E1" sqref="E1"/>
      <selection pane="bottomLeft" activeCell="A4" sqref="A4"/>
      <selection pane="bottomRight" activeCell="EQ48" sqref="EQ48"/>
    </sheetView>
  </sheetViews>
  <sheetFormatPr defaultRowHeight="12.75"/>
  <cols>
    <col min="1" max="1" width="2.140625" customWidth="1"/>
    <col min="2" max="2" width="2.140625" style="546" bestFit="1" customWidth="1"/>
    <col min="3" max="3" width="2.28515625" style="547" customWidth="1"/>
    <col min="4" max="4" width="45.5703125" style="548" customWidth="1"/>
    <col min="5" max="9" width="6.7109375" style="217" hidden="1" customWidth="1"/>
    <col min="10" max="10" width="6.7109375" style="546" hidden="1" customWidth="1"/>
    <col min="11" max="15" width="6.7109375" hidden="1" customWidth="1"/>
    <col min="16" max="16" width="8.7109375" hidden="1" customWidth="1"/>
    <col min="17" max="21" width="6.7109375" hidden="1" customWidth="1"/>
    <col min="22" max="22" width="7.7109375" hidden="1" customWidth="1"/>
    <col min="23" max="70" width="6.7109375" hidden="1" customWidth="1"/>
    <col min="71" max="106" width="6.5703125" hidden="1" customWidth="1"/>
    <col min="107" max="118" width="7.140625" hidden="1" customWidth="1"/>
    <col min="119" max="130" width="7.140625" customWidth="1"/>
    <col min="149" max="154" width="9.140625" style="3650"/>
  </cols>
  <sheetData>
    <row r="1" spans="1:154">
      <c r="A1" s="1187" t="s">
        <v>750</v>
      </c>
    </row>
    <row r="2" spans="1:154">
      <c r="C2"/>
      <c r="E2" s="3752">
        <f ca="1">OFFSET(InputY!$G$3,0,(COLUMN()-5)/6)</f>
        <v>1995</v>
      </c>
      <c r="F2" s="3752"/>
      <c r="G2" s="3752"/>
      <c r="H2" s="3752"/>
      <c r="I2" s="3752"/>
      <c r="J2" s="3752"/>
      <c r="K2" s="3752">
        <f ca="1">OFFSET(InputY!$G$3,0,(COLUMN()-5)/6)</f>
        <v>1996</v>
      </c>
      <c r="L2" s="3752"/>
      <c r="M2" s="3752"/>
      <c r="N2" s="3752"/>
      <c r="O2" s="3752"/>
      <c r="P2" s="3752"/>
      <c r="Q2" s="3752">
        <f ca="1">OFFSET(InputY!$G$3,0,(COLUMN()-5)/6)</f>
        <v>1997</v>
      </c>
      <c r="R2" s="3752"/>
      <c r="S2" s="3752"/>
      <c r="T2" s="3752"/>
      <c r="U2" s="3752"/>
      <c r="V2" s="3752"/>
      <c r="W2" s="3752">
        <f ca="1">OFFSET(InputY!$G$3,0,(COLUMN()-5)/6)</f>
        <v>1998</v>
      </c>
      <c r="X2" s="3752"/>
      <c r="Y2" s="3752"/>
      <c r="Z2" s="3752"/>
      <c r="AA2" s="3752"/>
      <c r="AB2" s="3752"/>
      <c r="AC2" s="3752">
        <f ca="1">OFFSET(InputY!$G$3,0,(COLUMN()-5)/6)</f>
        <v>1999</v>
      </c>
      <c r="AD2" s="3752"/>
      <c r="AE2" s="3752"/>
      <c r="AF2" s="3752"/>
      <c r="AG2" s="3752"/>
      <c r="AH2" s="3752"/>
      <c r="AI2" s="3752">
        <f ca="1">OFFSET(InputY!$G$3,0,(COLUMN()-5)/6)</f>
        <v>2000</v>
      </c>
      <c r="AJ2" s="3752"/>
      <c r="AK2" s="3752"/>
      <c r="AL2" s="3752"/>
      <c r="AM2" s="3752"/>
      <c r="AN2" s="3752"/>
      <c r="AO2" s="3752">
        <f ca="1">OFFSET(InputY!$G$3,0,(COLUMN()-5)/6)</f>
        <v>2001</v>
      </c>
      <c r="AP2" s="3752"/>
      <c r="AQ2" s="3752"/>
      <c r="AR2" s="3752"/>
      <c r="AS2" s="3752"/>
      <c r="AT2" s="3752"/>
      <c r="AU2" s="3752">
        <f ca="1">OFFSET(InputY!$G$3,0,(COLUMN()-5)/6)</f>
        <v>2002</v>
      </c>
      <c r="AV2" s="3752"/>
      <c r="AW2" s="3752"/>
      <c r="AX2" s="3752"/>
      <c r="AY2" s="3752"/>
      <c r="AZ2" s="3752"/>
      <c r="BA2" s="3752">
        <f ca="1">OFFSET(InputY!$G$3,0,(COLUMN()-5)/6)</f>
        <v>2003</v>
      </c>
      <c r="BB2" s="3752"/>
      <c r="BC2" s="3752"/>
      <c r="BD2" s="3752"/>
      <c r="BE2" s="3752"/>
      <c r="BF2" s="3752"/>
      <c r="BG2" s="3752">
        <f ca="1">OFFSET(InputY!$G$3,0,(COLUMN()-5)/6)</f>
        <v>2004</v>
      </c>
      <c r="BH2" s="3752"/>
      <c r="BI2" s="3752"/>
      <c r="BJ2" s="3752"/>
      <c r="BK2" s="3752"/>
      <c r="BL2" s="3752"/>
      <c r="BM2" s="3752">
        <f ca="1">OFFSET(InputY!$G$3,0,(COLUMN()-5)/6)</f>
        <v>2005</v>
      </c>
      <c r="BN2" s="3752"/>
      <c r="BO2" s="3752"/>
      <c r="BP2" s="3752"/>
      <c r="BQ2" s="3752"/>
      <c r="BR2" s="3752"/>
      <c r="BS2" s="3752">
        <f ca="1">OFFSET(InputY!$G$3,0,(COLUMN()-5)/6)</f>
        <v>2006</v>
      </c>
      <c r="BT2" s="3752"/>
      <c r="BU2" s="3752"/>
      <c r="BV2" s="3752"/>
      <c r="BW2" s="3752"/>
      <c r="BX2" s="3752"/>
      <c r="BY2" s="3752">
        <f ca="1">OFFSET(InputY!$G$3,0,(COLUMN()-5)/6)</f>
        <v>2007</v>
      </c>
      <c r="BZ2" s="3752"/>
      <c r="CA2" s="3752"/>
      <c r="CB2" s="3752"/>
      <c r="CC2" s="3752"/>
      <c r="CD2" s="3752"/>
      <c r="CE2" s="3752">
        <f ca="1">OFFSET(InputY!$G$3,0,(COLUMN()-5)/6)</f>
        <v>2008</v>
      </c>
      <c r="CF2" s="3752"/>
      <c r="CG2" s="3752"/>
      <c r="CH2" s="3752"/>
      <c r="CI2" s="3752"/>
      <c r="CJ2" s="3752"/>
      <c r="CK2" s="3752">
        <f ca="1">OFFSET(InputY!$G$3,0,(COLUMN()-5)/6)</f>
        <v>2009</v>
      </c>
      <c r="CL2" s="3752"/>
      <c r="CM2" s="3752"/>
      <c r="CN2" s="3752"/>
      <c r="CO2" s="3752"/>
      <c r="CP2" s="3752"/>
      <c r="CQ2" s="3752">
        <f ca="1">OFFSET(InputY!$G$3,0,(COLUMN()-5)/6)</f>
        <v>2010</v>
      </c>
      <c r="CR2" s="3752"/>
      <c r="CS2" s="3752"/>
      <c r="CT2" s="3752"/>
      <c r="CU2" s="3752"/>
      <c r="CV2" s="3752"/>
      <c r="CW2" s="3752">
        <f ca="1">OFFSET(InputY!$G$3,0,(COLUMN()-5)/6)</f>
        <v>2011</v>
      </c>
      <c r="CX2" s="3752"/>
      <c r="CY2" s="3752"/>
      <c r="CZ2" s="3752"/>
      <c r="DA2" s="3752"/>
      <c r="DB2" s="3752"/>
      <c r="DC2" s="3752">
        <f ca="1">OFFSET(InputY!$G$3,0,(COLUMN()-5)/6)</f>
        <v>2012</v>
      </c>
      <c r="DD2" s="3752"/>
      <c r="DE2" s="3752"/>
      <c r="DF2" s="3752"/>
      <c r="DG2" s="3752"/>
      <c r="DH2" s="3752"/>
      <c r="DI2" s="3752">
        <f ca="1">OFFSET(InputY!$G$3,0,(COLUMN()-5)/6)</f>
        <v>2013</v>
      </c>
      <c r="DJ2" s="3752"/>
      <c r="DK2" s="3752"/>
      <c r="DL2" s="3752"/>
      <c r="DM2" s="3752"/>
      <c r="DN2" s="3752"/>
      <c r="DO2" s="3771">
        <f ca="1">OFFSET(InputY!$G$3,0,(COLUMN()-5)/6)</f>
        <v>2014</v>
      </c>
      <c r="DP2" s="3772"/>
      <c r="DQ2" s="3772"/>
      <c r="DR2" s="3772"/>
      <c r="DS2" s="3772"/>
      <c r="DT2" s="3773"/>
      <c r="DU2" s="3771">
        <f ca="1">OFFSET(InputY!$G$3,0,(COLUMN()-5)/6)</f>
        <v>2015</v>
      </c>
      <c r="DV2" s="3772"/>
      <c r="DW2" s="3772"/>
      <c r="DX2" s="3772"/>
      <c r="DY2" s="3772"/>
      <c r="DZ2" s="3773"/>
      <c r="EA2" s="3771">
        <f ca="1">OFFSET(InputY!$G$3,0,(COLUMN()-5)/6)</f>
        <v>2016</v>
      </c>
      <c r="EB2" s="3772"/>
      <c r="EC2" s="3772"/>
      <c r="ED2" s="3772"/>
      <c r="EE2" s="3772"/>
      <c r="EF2" s="3773"/>
      <c r="EG2" s="3771">
        <f ca="1">OFFSET(InputY!$G$3,0,(COLUMN()-5)/6)</f>
        <v>2017</v>
      </c>
      <c r="EH2" s="3772"/>
      <c r="EI2" s="3772"/>
      <c r="EJ2" s="3772"/>
      <c r="EK2" s="3772"/>
      <c r="EL2" s="3773"/>
      <c r="EM2" s="3771">
        <f ca="1">OFFSET(InputY!$G$3,0,(COLUMN()-5)/6)</f>
        <v>2018</v>
      </c>
      <c r="EN2" s="3772"/>
      <c r="EO2" s="3772"/>
      <c r="EP2" s="3772"/>
      <c r="EQ2" s="3772"/>
      <c r="ER2" s="3773"/>
      <c r="ES2" s="3771">
        <f ca="1">OFFSET(InputY!$G$3,0,(COLUMN()-5)/6)</f>
        <v>2019</v>
      </c>
      <c r="ET2" s="3772"/>
      <c r="EU2" s="3772"/>
      <c r="EV2" s="3772"/>
      <c r="EW2" s="3772"/>
      <c r="EX2" s="3773"/>
    </row>
    <row r="3" spans="1:154">
      <c r="C3"/>
      <c r="D3" s="549"/>
      <c r="E3" s="3752"/>
      <c r="F3" s="3752"/>
      <c r="G3" s="3752"/>
      <c r="H3" s="3752"/>
      <c r="I3" s="3752"/>
      <c r="J3" s="3752"/>
      <c r="K3" s="3752"/>
      <c r="L3" s="3752"/>
      <c r="M3" s="3752"/>
      <c r="N3" s="3752"/>
      <c r="O3" s="3752"/>
      <c r="P3" s="3752"/>
      <c r="Q3" s="3752"/>
      <c r="R3" s="3752"/>
      <c r="S3" s="3752"/>
      <c r="T3" s="3752"/>
      <c r="U3" s="3752"/>
      <c r="V3" s="3752"/>
      <c r="W3" s="3752"/>
      <c r="X3" s="3752"/>
      <c r="Y3" s="3752"/>
      <c r="Z3" s="3752"/>
      <c r="AA3" s="3752"/>
      <c r="AB3" s="3752"/>
      <c r="AC3" s="3752"/>
      <c r="AD3" s="3752"/>
      <c r="AE3" s="3752"/>
      <c r="AF3" s="3752"/>
      <c r="AG3" s="3752"/>
      <c r="AH3" s="3752"/>
      <c r="AI3" s="3752"/>
      <c r="AJ3" s="3752"/>
      <c r="AK3" s="3752"/>
      <c r="AL3" s="3752"/>
      <c r="AM3" s="3752"/>
      <c r="AN3" s="3752"/>
      <c r="AO3" s="3752"/>
      <c r="AP3" s="3752"/>
      <c r="AQ3" s="3752"/>
      <c r="AR3" s="3752"/>
      <c r="AS3" s="3752"/>
      <c r="AT3" s="3752"/>
      <c r="AU3" s="3752"/>
      <c r="AV3" s="3752"/>
      <c r="AW3" s="3752"/>
      <c r="AX3" s="3752"/>
      <c r="AY3" s="3752"/>
      <c r="AZ3" s="3752"/>
      <c r="BA3" s="3752"/>
      <c r="BB3" s="3752"/>
      <c r="BC3" s="3752"/>
      <c r="BD3" s="3752"/>
      <c r="BE3" s="3752"/>
      <c r="BF3" s="3752"/>
      <c r="BG3" s="3752"/>
      <c r="BH3" s="3752"/>
      <c r="BI3" s="3752"/>
      <c r="BJ3" s="3752"/>
      <c r="BK3" s="3752"/>
      <c r="BL3" s="3752"/>
      <c r="BM3" s="3752"/>
      <c r="BN3" s="3752"/>
      <c r="BO3" s="3752"/>
      <c r="BP3" s="3752"/>
      <c r="BQ3" s="3752"/>
      <c r="BR3" s="3752"/>
      <c r="BS3" s="3752"/>
      <c r="BT3" s="3752"/>
      <c r="BU3" s="3752"/>
      <c r="BV3" s="3752"/>
      <c r="BW3" s="3752"/>
      <c r="BX3" s="3752"/>
      <c r="BY3" s="3752"/>
      <c r="BZ3" s="3752"/>
      <c r="CA3" s="3752"/>
      <c r="CB3" s="3752"/>
      <c r="CC3" s="3752"/>
      <c r="CD3" s="3752"/>
      <c r="CE3" s="3752"/>
      <c r="CF3" s="3752"/>
      <c r="CG3" s="3752"/>
      <c r="CH3" s="3752"/>
      <c r="CI3" s="3752"/>
      <c r="CJ3" s="3752"/>
      <c r="CK3" s="3752"/>
      <c r="CL3" s="3752"/>
      <c r="CM3" s="3752"/>
      <c r="CN3" s="3752"/>
      <c r="CO3" s="3752"/>
      <c r="CP3" s="3752"/>
      <c r="CQ3" s="3752"/>
      <c r="CR3" s="3752"/>
      <c r="CS3" s="3752"/>
      <c r="CT3" s="3752"/>
      <c r="CU3" s="3752"/>
      <c r="CV3" s="3752"/>
      <c r="CW3" s="3752"/>
      <c r="CX3" s="3752"/>
      <c r="CY3" s="3752"/>
      <c r="CZ3" s="3752"/>
      <c r="DA3" s="3752"/>
      <c r="DB3" s="3752"/>
      <c r="DC3" s="3752"/>
      <c r="DD3" s="3752"/>
      <c r="DE3" s="3752"/>
      <c r="DF3" s="3752"/>
      <c r="DG3" s="3752"/>
      <c r="DH3" s="3752"/>
      <c r="DI3" s="3752"/>
      <c r="DJ3" s="3752"/>
      <c r="DK3" s="3752"/>
      <c r="DL3" s="3752"/>
      <c r="DM3" s="3752"/>
      <c r="DN3" s="3752"/>
      <c r="DO3" s="3774"/>
      <c r="DP3" s="3775"/>
      <c r="DQ3" s="3775"/>
      <c r="DR3" s="3775"/>
      <c r="DS3" s="3775"/>
      <c r="DT3" s="3776"/>
      <c r="DU3" s="3774"/>
      <c r="DV3" s="3775"/>
      <c r="DW3" s="3775"/>
      <c r="DX3" s="3775"/>
      <c r="DY3" s="3775"/>
      <c r="DZ3" s="3776"/>
      <c r="EA3" s="3774"/>
      <c r="EB3" s="3775"/>
      <c r="EC3" s="3775"/>
      <c r="ED3" s="3775"/>
      <c r="EE3" s="3775"/>
      <c r="EF3" s="3776"/>
      <c r="EG3" s="3774"/>
      <c r="EH3" s="3775"/>
      <c r="EI3" s="3775"/>
      <c r="EJ3" s="3775"/>
      <c r="EK3" s="3775"/>
      <c r="EL3" s="3776"/>
      <c r="EM3" s="3774"/>
      <c r="EN3" s="3775"/>
      <c r="EO3" s="3775"/>
      <c r="EP3" s="3775"/>
      <c r="EQ3" s="3775"/>
      <c r="ER3" s="3776"/>
      <c r="ES3" s="3774"/>
      <c r="ET3" s="3775"/>
      <c r="EU3" s="3775"/>
      <c r="EV3" s="3775"/>
      <c r="EW3" s="3775"/>
      <c r="EX3" s="3776"/>
    </row>
    <row r="4" spans="1:154">
      <c r="C4"/>
      <c r="E4" s="550" t="s">
        <v>684</v>
      </c>
      <c r="F4" s="550" t="s">
        <v>685</v>
      </c>
      <c r="G4" s="550" t="s">
        <v>686</v>
      </c>
      <c r="H4" s="550" t="s">
        <v>687</v>
      </c>
      <c r="I4" s="550" t="s">
        <v>688</v>
      </c>
      <c r="J4" s="550" t="s">
        <v>689</v>
      </c>
      <c r="K4" s="550" t="s">
        <v>684</v>
      </c>
      <c r="L4" s="550" t="s">
        <v>685</v>
      </c>
      <c r="M4" s="550" t="s">
        <v>686</v>
      </c>
      <c r="N4" s="550" t="s">
        <v>687</v>
      </c>
      <c r="O4" s="550" t="s">
        <v>688</v>
      </c>
      <c r="P4" s="550" t="s">
        <v>689</v>
      </c>
      <c r="Q4" s="550" t="s">
        <v>684</v>
      </c>
      <c r="R4" s="550" t="s">
        <v>685</v>
      </c>
      <c r="S4" s="550" t="s">
        <v>686</v>
      </c>
      <c r="T4" s="550" t="s">
        <v>687</v>
      </c>
      <c r="U4" s="550" t="s">
        <v>688</v>
      </c>
      <c r="V4" s="550" t="s">
        <v>689</v>
      </c>
      <c r="W4" s="550" t="s">
        <v>684</v>
      </c>
      <c r="X4" s="550" t="s">
        <v>685</v>
      </c>
      <c r="Y4" s="550" t="s">
        <v>686</v>
      </c>
      <c r="Z4" s="550" t="s">
        <v>687</v>
      </c>
      <c r="AA4" s="550" t="s">
        <v>688</v>
      </c>
      <c r="AB4" s="550" t="s">
        <v>689</v>
      </c>
      <c r="AC4" s="550" t="s">
        <v>684</v>
      </c>
      <c r="AD4" s="550" t="s">
        <v>685</v>
      </c>
      <c r="AE4" s="550" t="s">
        <v>686</v>
      </c>
      <c r="AF4" s="550" t="s">
        <v>687</v>
      </c>
      <c r="AG4" s="550" t="s">
        <v>688</v>
      </c>
      <c r="AH4" s="550" t="s">
        <v>689</v>
      </c>
      <c r="AI4" s="550" t="s">
        <v>684</v>
      </c>
      <c r="AJ4" s="550" t="s">
        <v>685</v>
      </c>
      <c r="AK4" s="550" t="s">
        <v>686</v>
      </c>
      <c r="AL4" s="550" t="s">
        <v>687</v>
      </c>
      <c r="AM4" s="550" t="s">
        <v>688</v>
      </c>
      <c r="AN4" s="550" t="s">
        <v>689</v>
      </c>
      <c r="AO4" s="550" t="s">
        <v>684</v>
      </c>
      <c r="AP4" s="550" t="s">
        <v>685</v>
      </c>
      <c r="AQ4" s="550" t="s">
        <v>686</v>
      </c>
      <c r="AR4" s="550" t="s">
        <v>687</v>
      </c>
      <c r="AS4" s="550" t="s">
        <v>688</v>
      </c>
      <c r="AT4" s="550" t="s">
        <v>689</v>
      </c>
      <c r="AU4" s="550" t="s">
        <v>684</v>
      </c>
      <c r="AV4" s="550" t="s">
        <v>685</v>
      </c>
      <c r="AW4" s="550" t="s">
        <v>686</v>
      </c>
      <c r="AX4" s="550" t="s">
        <v>687</v>
      </c>
      <c r="AY4" s="550" t="s">
        <v>688</v>
      </c>
      <c r="AZ4" s="550" t="s">
        <v>689</v>
      </c>
      <c r="BA4" s="550" t="s">
        <v>684</v>
      </c>
      <c r="BB4" s="550" t="s">
        <v>685</v>
      </c>
      <c r="BC4" s="550" t="s">
        <v>686</v>
      </c>
      <c r="BD4" s="550" t="s">
        <v>687</v>
      </c>
      <c r="BE4" s="550" t="s">
        <v>688</v>
      </c>
      <c r="BF4" s="550" t="s">
        <v>689</v>
      </c>
      <c r="BG4" s="550" t="s">
        <v>684</v>
      </c>
      <c r="BH4" s="550" t="s">
        <v>685</v>
      </c>
      <c r="BI4" s="550" t="s">
        <v>686</v>
      </c>
      <c r="BJ4" s="550" t="s">
        <v>687</v>
      </c>
      <c r="BK4" s="550" t="s">
        <v>688</v>
      </c>
      <c r="BL4" s="550" t="s">
        <v>689</v>
      </c>
      <c r="BM4" s="550" t="s">
        <v>684</v>
      </c>
      <c r="BN4" s="550" t="s">
        <v>685</v>
      </c>
      <c r="BO4" s="550" t="s">
        <v>686</v>
      </c>
      <c r="BP4" s="550" t="s">
        <v>687</v>
      </c>
      <c r="BQ4" s="550" t="s">
        <v>688</v>
      </c>
      <c r="BR4" s="550" t="s">
        <v>689</v>
      </c>
      <c r="BS4" s="550" t="s">
        <v>684</v>
      </c>
      <c r="BT4" s="550" t="s">
        <v>685</v>
      </c>
      <c r="BU4" s="550" t="s">
        <v>686</v>
      </c>
      <c r="BV4" s="550" t="s">
        <v>687</v>
      </c>
      <c r="BW4" s="550" t="s">
        <v>688</v>
      </c>
      <c r="BX4" s="550" t="s">
        <v>689</v>
      </c>
      <c r="BY4" s="550" t="s">
        <v>684</v>
      </c>
      <c r="BZ4" s="550" t="s">
        <v>685</v>
      </c>
      <c r="CA4" s="550" t="s">
        <v>686</v>
      </c>
      <c r="CB4" s="550" t="s">
        <v>687</v>
      </c>
      <c r="CC4" s="550" t="s">
        <v>688</v>
      </c>
      <c r="CD4" s="550" t="s">
        <v>689</v>
      </c>
      <c r="CE4" s="550" t="s">
        <v>684</v>
      </c>
      <c r="CF4" s="550" t="s">
        <v>685</v>
      </c>
      <c r="CG4" s="550" t="s">
        <v>686</v>
      </c>
      <c r="CH4" s="550" t="s">
        <v>687</v>
      </c>
      <c r="CI4" s="550" t="s">
        <v>688</v>
      </c>
      <c r="CJ4" s="550" t="s">
        <v>689</v>
      </c>
      <c r="CK4" s="550" t="s">
        <v>684</v>
      </c>
      <c r="CL4" s="550" t="s">
        <v>685</v>
      </c>
      <c r="CM4" s="550" t="s">
        <v>686</v>
      </c>
      <c r="CN4" s="550" t="s">
        <v>687</v>
      </c>
      <c r="CO4" s="550" t="s">
        <v>688</v>
      </c>
      <c r="CP4" s="550" t="s">
        <v>689</v>
      </c>
      <c r="CQ4" s="550" t="s">
        <v>684</v>
      </c>
      <c r="CR4" s="550" t="s">
        <v>685</v>
      </c>
      <c r="CS4" s="550" t="s">
        <v>686</v>
      </c>
      <c r="CT4" s="550" t="s">
        <v>687</v>
      </c>
      <c r="CU4" s="550" t="s">
        <v>688</v>
      </c>
      <c r="CV4" s="550" t="s">
        <v>689</v>
      </c>
      <c r="CW4" s="550" t="s">
        <v>684</v>
      </c>
      <c r="CX4" s="550" t="s">
        <v>685</v>
      </c>
      <c r="CY4" s="550" t="s">
        <v>686</v>
      </c>
      <c r="CZ4" s="550" t="s">
        <v>687</v>
      </c>
      <c r="DA4" s="550" t="s">
        <v>688</v>
      </c>
      <c r="DB4" s="550" t="s">
        <v>689</v>
      </c>
      <c r="DC4" s="550" t="s">
        <v>684</v>
      </c>
      <c r="DD4" s="550" t="s">
        <v>685</v>
      </c>
      <c r="DE4" s="550" t="s">
        <v>686</v>
      </c>
      <c r="DF4" s="550" t="s">
        <v>687</v>
      </c>
      <c r="DG4" s="550" t="s">
        <v>688</v>
      </c>
      <c r="DH4" s="550" t="s">
        <v>689</v>
      </c>
      <c r="DI4" s="550" t="s">
        <v>684</v>
      </c>
      <c r="DJ4" s="550" t="s">
        <v>685</v>
      </c>
      <c r="DK4" s="550" t="s">
        <v>686</v>
      </c>
      <c r="DL4" s="550" t="s">
        <v>687</v>
      </c>
      <c r="DM4" s="550" t="s">
        <v>688</v>
      </c>
      <c r="DN4" s="550" t="s">
        <v>689</v>
      </c>
      <c r="DO4" s="550" t="s">
        <v>684</v>
      </c>
      <c r="DP4" s="550" t="s">
        <v>685</v>
      </c>
      <c r="DQ4" s="550" t="s">
        <v>686</v>
      </c>
      <c r="DR4" s="550" t="s">
        <v>687</v>
      </c>
      <c r="DS4" s="550" t="s">
        <v>688</v>
      </c>
      <c r="DT4" s="550" t="s">
        <v>689</v>
      </c>
      <c r="DU4" s="550" t="s">
        <v>684</v>
      </c>
      <c r="DV4" s="550" t="s">
        <v>685</v>
      </c>
      <c r="DW4" s="550" t="s">
        <v>686</v>
      </c>
      <c r="DX4" s="550" t="s">
        <v>687</v>
      </c>
      <c r="DY4" s="550" t="s">
        <v>688</v>
      </c>
      <c r="DZ4" s="550" t="s">
        <v>689</v>
      </c>
      <c r="EA4" s="550" t="s">
        <v>684</v>
      </c>
      <c r="EB4" s="550" t="s">
        <v>685</v>
      </c>
      <c r="EC4" s="550" t="s">
        <v>686</v>
      </c>
      <c r="ED4" s="550" t="s">
        <v>687</v>
      </c>
      <c r="EE4" s="550" t="s">
        <v>688</v>
      </c>
      <c r="EF4" s="550" t="s">
        <v>689</v>
      </c>
      <c r="EG4" s="550" t="s">
        <v>684</v>
      </c>
      <c r="EH4" s="550" t="s">
        <v>685</v>
      </c>
      <c r="EI4" s="550" t="s">
        <v>686</v>
      </c>
      <c r="EJ4" s="550" t="s">
        <v>687</v>
      </c>
      <c r="EK4" s="550" t="s">
        <v>688</v>
      </c>
      <c r="EL4" s="550" t="s">
        <v>689</v>
      </c>
      <c r="EM4" s="550" t="s">
        <v>684</v>
      </c>
      <c r="EN4" s="550" t="s">
        <v>685</v>
      </c>
      <c r="EO4" s="550" t="s">
        <v>686</v>
      </c>
      <c r="EP4" s="550" t="s">
        <v>687</v>
      </c>
      <c r="EQ4" s="550" t="s">
        <v>688</v>
      </c>
      <c r="ER4" s="550" t="s">
        <v>689</v>
      </c>
      <c r="ES4" s="550" t="s">
        <v>684</v>
      </c>
      <c r="ET4" s="550" t="s">
        <v>685</v>
      </c>
      <c r="EU4" s="550" t="s">
        <v>686</v>
      </c>
      <c r="EV4" s="550" t="s">
        <v>687</v>
      </c>
      <c r="EW4" s="550" t="s">
        <v>688</v>
      </c>
      <c r="EX4" s="550" t="s">
        <v>689</v>
      </c>
    </row>
    <row r="5" spans="1:154" ht="12.75" customHeight="1">
      <c r="A5" s="551"/>
      <c r="B5" s="3438"/>
      <c r="C5" s="3787" t="s">
        <v>1166</v>
      </c>
      <c r="D5" s="3788"/>
      <c r="E5" s="3439">
        <f ca="1">OFFSET('VVP2'!$G$341,0,(COLUMN()-5)/6)</f>
        <v>7.7645299999999997</v>
      </c>
      <c r="F5" s="3440"/>
      <c r="G5" s="3440"/>
      <c r="H5" s="3440"/>
      <c r="I5" s="3440"/>
      <c r="J5" s="3441"/>
      <c r="K5" s="3439">
        <f ca="1">OFFSET('VVP2'!$G$341,0,(COLUMN()-5)/6)</f>
        <v>9.7141500000000001</v>
      </c>
      <c r="L5" s="3440"/>
      <c r="M5" s="3440"/>
      <c r="N5" s="3440"/>
      <c r="O5" s="3440"/>
      <c r="P5" s="3441"/>
      <c r="Q5" s="3439">
        <f ca="1">OFFSET('VVP2'!$G$341,0,(COLUMN()-5)/6)</f>
        <v>11.72434</v>
      </c>
      <c r="R5" s="3440"/>
      <c r="S5" s="3440"/>
      <c r="T5" s="3440"/>
      <c r="U5" s="3440"/>
      <c r="V5" s="3441"/>
      <c r="W5" s="3439">
        <f ca="1">OFFSET('VVP2'!$G$341,0,(COLUMN()-5)/6)</f>
        <v>13.02196</v>
      </c>
      <c r="X5" s="3440"/>
      <c r="Y5" s="3440"/>
      <c r="Z5" s="3440"/>
      <c r="AA5" s="3440"/>
      <c r="AB5" s="3441"/>
      <c r="AC5" s="3439">
        <f ca="1">OFFSET('VVP2'!$G$341,0,(COLUMN()-5)/6)</f>
        <v>12.71208</v>
      </c>
      <c r="AD5" s="3440"/>
      <c r="AE5" s="3440"/>
      <c r="AF5" s="3440"/>
      <c r="AG5" s="3440"/>
      <c r="AH5" s="3441"/>
      <c r="AI5" s="3439">
        <f ca="1">OFFSET('VVP2'!$G$341,0,(COLUMN()-5)/6)</f>
        <v>13.368180000000001</v>
      </c>
      <c r="AJ5" s="3440"/>
      <c r="AK5" s="3440"/>
      <c r="AL5" s="3440"/>
      <c r="AM5" s="3440"/>
      <c r="AN5" s="3441"/>
      <c r="AO5" s="3439">
        <f ca="1">OFFSET('VVP2'!$G$341,0,(COLUMN()-5)/6)</f>
        <v>14.194520000000001</v>
      </c>
      <c r="AP5" s="3440"/>
      <c r="AQ5" s="3440"/>
      <c r="AR5" s="3440"/>
      <c r="AS5" s="3440"/>
      <c r="AT5" s="3441"/>
      <c r="AU5" s="3439">
        <f ca="1">OFFSET('VVP2'!$G$341,0,(COLUMN()-5)/6)</f>
        <v>15.202170000000001</v>
      </c>
      <c r="AV5" s="3440"/>
      <c r="AW5" s="3440"/>
      <c r="AX5" s="3440"/>
      <c r="AY5" s="3440"/>
      <c r="AZ5" s="3441"/>
      <c r="BA5" s="3439">
        <f ca="1">OFFSET('VVP2'!$G$341,0,(COLUMN()-5)/6)</f>
        <v>16.668479999999999</v>
      </c>
      <c r="BB5" s="3440"/>
      <c r="BC5" s="3440"/>
      <c r="BD5" s="3440"/>
      <c r="BE5" s="3440"/>
      <c r="BF5" s="3441"/>
      <c r="BG5" s="3439">
        <f ca="1">OFFSET('VVP2'!$G$341,0,(COLUMN()-5)/6)</f>
        <v>18.237719999999999</v>
      </c>
      <c r="BH5" s="3440"/>
      <c r="BI5" s="3440"/>
      <c r="BJ5" s="3440"/>
      <c r="BK5" s="3440"/>
      <c r="BL5" s="3441"/>
      <c r="BM5" s="3439">
        <f ca="1">OFFSET('VVP2'!$G$341,0,(COLUMN()-5)/6)</f>
        <v>21.00235</v>
      </c>
      <c r="BN5" s="3440"/>
      <c r="BO5" s="3440"/>
      <c r="BP5" s="3440"/>
      <c r="BQ5" s="3440"/>
      <c r="BR5" s="3441"/>
      <c r="BS5" s="3439">
        <f ca="1">OFFSET('VVP2'!$G$341,0,(COLUMN()-5)/6)</f>
        <v>24.079180000000001</v>
      </c>
      <c r="BT5" s="3440"/>
      <c r="BU5" s="3440"/>
      <c r="BV5" s="3440"/>
      <c r="BW5" s="3440"/>
      <c r="BX5" s="3441"/>
      <c r="BY5" s="3439">
        <f ca="1">OFFSET('VVP2'!$G$341,0,(COLUMN()-5)/6)</f>
        <v>29.040659999999999</v>
      </c>
      <c r="BZ5" s="3440"/>
      <c r="CA5" s="3440"/>
      <c r="CB5" s="3440"/>
      <c r="CC5" s="3440"/>
      <c r="CD5" s="3441"/>
      <c r="CE5" s="3439">
        <f ca="1">OFFSET('VVP2'!$G$341,0,(COLUMN()-5)/6)</f>
        <v>32.696280000000002</v>
      </c>
      <c r="CF5" s="3440"/>
      <c r="CG5" s="3440"/>
      <c r="CH5" s="3440"/>
      <c r="CI5" s="3440"/>
      <c r="CJ5" s="3441"/>
      <c r="CK5" s="3439">
        <f ca="1">OFFSET('VVP2'!$G$341,0,(COLUMN()-5)/6)</f>
        <v>26.934819999999998</v>
      </c>
      <c r="CL5" s="3440"/>
      <c r="CM5" s="3440"/>
      <c r="CN5" s="3440"/>
      <c r="CO5" s="3440"/>
      <c r="CP5" s="3441"/>
      <c r="CQ5" s="3439">
        <f ca="1">OFFSET('VVP2'!$G$341,0,(COLUMN()-5)/6)</f>
        <v>28.027660000000001</v>
      </c>
      <c r="CR5" s="3440"/>
      <c r="CS5" s="3440"/>
      <c r="CT5" s="3440"/>
      <c r="CU5" s="3440"/>
      <c r="CV5" s="3441"/>
      <c r="CW5" s="3439">
        <f ca="1">OFFSET('VVP2'!$G$341,0,(COLUMN()-5)/6)</f>
        <v>31.275320000000001</v>
      </c>
      <c r="CX5" s="3440"/>
      <c r="CY5" s="3440"/>
      <c r="CZ5" s="3440"/>
      <c r="DA5" s="3440"/>
      <c r="DB5" s="3441"/>
      <c r="DC5" s="3439">
        <f ca="1">OFFSET('VVP2'!$G$341,0,(COLUMN()-5)/6)</f>
        <v>33.348480000000002</v>
      </c>
      <c r="DD5" s="3440"/>
      <c r="DE5" s="3440"/>
      <c r="DF5" s="3440"/>
      <c r="DG5" s="3440"/>
      <c r="DH5" s="3441"/>
      <c r="DI5" s="3439">
        <f ca="1">OFFSET('VVP2'!$G$341,0,(COLUMN()-5)/6)</f>
        <v>34.959650000000003</v>
      </c>
      <c r="DJ5" s="3440"/>
      <c r="DK5" s="3440"/>
      <c r="DL5" s="3440"/>
      <c r="DM5" s="3440"/>
      <c r="DN5" s="3441"/>
      <c r="DO5" s="3439">
        <f ca="1">OFFSET('VVP2'!$G$341,0,(COLUMN()-5)/6)</f>
        <v>36.568280000000001</v>
      </c>
      <c r="DP5" s="3440"/>
      <c r="DQ5" s="3440"/>
      <c r="DR5" s="3440"/>
      <c r="DS5" s="3440"/>
      <c r="DT5" s="3441"/>
      <c r="DU5" s="3439">
        <f ca="1">OFFSET('VVP2'!$G$341,0,(COLUMN()-5)/6)</f>
        <v>37.426610000000004</v>
      </c>
      <c r="DV5" s="3440"/>
      <c r="DW5" s="3440"/>
      <c r="DX5" s="3440"/>
      <c r="DY5" s="3440"/>
      <c r="DZ5" s="3441"/>
      <c r="EA5" s="3439">
        <f ca="1">OFFSET('VVP2'!$G$341,0,(COLUMN()-5)/6)</f>
        <v>38.668320000000001</v>
      </c>
      <c r="EB5" s="3440"/>
      <c r="EC5" s="3440"/>
      <c r="ED5" s="3440"/>
      <c r="EE5" s="3440"/>
      <c r="EF5" s="3441"/>
      <c r="EG5" s="3439">
        <f ca="1">OFFSET('VVP2'!$G$341,0,(COLUMN()-5)/6)</f>
        <v>41.779594892398123</v>
      </c>
      <c r="EH5" s="3440"/>
      <c r="EI5" s="3440"/>
      <c r="EJ5" s="3440"/>
      <c r="EK5" s="3440"/>
      <c r="EL5" s="3441"/>
      <c r="EM5" s="3439">
        <f ca="1">OFFSET('VVP2'!$G$341,0,(COLUMN()-5)/6)</f>
        <v>44.211558409957277</v>
      </c>
      <c r="EN5" s="3440"/>
      <c r="EO5" s="3440"/>
      <c r="EP5" s="3440"/>
      <c r="EQ5" s="3440"/>
      <c r="ER5" s="3441"/>
      <c r="ES5" s="3439">
        <f ca="1">OFFSET('VVP2'!$G$341,0,(COLUMN()-5)/6)</f>
        <v>46.676249894100508</v>
      </c>
      <c r="ET5" s="3440"/>
      <c r="EU5" s="3440"/>
      <c r="EV5" s="3440"/>
      <c r="EW5" s="3440"/>
      <c r="EX5" s="3441"/>
    </row>
    <row r="6" spans="1:154" ht="12.75" customHeight="1">
      <c r="A6" s="553"/>
      <c r="B6" s="600" t="s">
        <v>401</v>
      </c>
      <c r="C6" s="3781" t="s">
        <v>1766</v>
      </c>
      <c r="D6" s="3782"/>
      <c r="E6" s="3442">
        <f ca="1">OFFSET(Sector1!$G$8,0,(COLUMN()-5)/6)</f>
        <v>0.89854000000000001</v>
      </c>
      <c r="F6" s="3443"/>
      <c r="G6" s="3443"/>
      <c r="H6" s="3443"/>
      <c r="I6" s="3444"/>
      <c r="J6" s="3441"/>
      <c r="K6" s="3442">
        <f ca="1">OFFSET(Sector1!$G$8,0,(COLUMN()-5)/6)</f>
        <v>1.06829</v>
      </c>
      <c r="L6" s="3443"/>
      <c r="M6" s="3443"/>
      <c r="N6" s="3443"/>
      <c r="O6" s="3444"/>
      <c r="P6" s="3441"/>
      <c r="Q6" s="3442">
        <f ca="1">OFFSET(Sector1!$G$8,0,(COLUMN()-5)/6)</f>
        <v>1.5122899999999999</v>
      </c>
      <c r="R6" s="3443"/>
      <c r="S6" s="3443"/>
      <c r="T6" s="3443"/>
      <c r="U6" s="3444"/>
      <c r="V6" s="3441"/>
      <c r="W6" s="3442">
        <f ca="1">OFFSET(Sector1!$G$8,0,(COLUMN()-5)/6)</f>
        <v>1.7178800000000001</v>
      </c>
      <c r="X6" s="3443"/>
      <c r="Y6" s="3443"/>
      <c r="Z6" s="3443"/>
      <c r="AA6" s="3444"/>
      <c r="AB6" s="3441"/>
      <c r="AC6" s="3442">
        <f ca="1">OFFSET(Sector1!$G$8,0,(COLUMN()-5)/6)</f>
        <v>1.65448</v>
      </c>
      <c r="AD6" s="3443"/>
      <c r="AE6" s="3443"/>
      <c r="AF6" s="3443"/>
      <c r="AG6" s="3444"/>
      <c r="AH6" s="3441"/>
      <c r="AI6" s="3442">
        <f ca="1">OFFSET(Sector1!$G$8,0,(COLUMN()-5)/6)</f>
        <v>1.58941</v>
      </c>
      <c r="AJ6" s="3443"/>
      <c r="AK6" s="3443"/>
      <c r="AL6" s="3443"/>
      <c r="AM6" s="3444"/>
      <c r="AN6" s="3441"/>
      <c r="AO6" s="3442">
        <f ca="1">OFFSET(Sector1!$G$8,0,(COLUMN()-5)/6)</f>
        <v>1.6358499999999998</v>
      </c>
      <c r="AP6" s="3443"/>
      <c r="AQ6" s="3443"/>
      <c r="AR6" s="3443"/>
      <c r="AS6" s="3444"/>
      <c r="AT6" s="3441"/>
      <c r="AU6" s="3442">
        <f ca="1">OFFSET(Sector1!$G$8,0,(COLUMN()-5)/6)</f>
        <v>1.7799700000000001</v>
      </c>
      <c r="AV6" s="3443"/>
      <c r="AW6" s="3443"/>
      <c r="AX6" s="3443"/>
      <c r="AY6" s="3444"/>
      <c r="AZ6" s="3441"/>
      <c r="BA6" s="3442">
        <f ca="1">OFFSET(Sector1!$G$8,0,(COLUMN()-5)/6)</f>
        <v>1.8392200000000001</v>
      </c>
      <c r="BB6" s="3443"/>
      <c r="BC6" s="3443"/>
      <c r="BD6" s="3443"/>
      <c r="BE6" s="3444"/>
      <c r="BF6" s="3441"/>
      <c r="BG6" s="3442">
        <f ca="1">OFFSET(Sector1!$G$8,0,(COLUMN()-5)/6)</f>
        <v>1.9280999999999999</v>
      </c>
      <c r="BH6" s="3443"/>
      <c r="BI6" s="3443"/>
      <c r="BJ6" s="3443"/>
      <c r="BK6" s="3444"/>
      <c r="BL6" s="3441"/>
      <c r="BM6" s="3442">
        <f ca="1">OFFSET(Sector1!$G$8,0,(COLUMN()-5)/6)</f>
        <v>2.2637700000000001</v>
      </c>
      <c r="BN6" s="3443"/>
      <c r="BO6" s="3443"/>
      <c r="BP6" s="3443"/>
      <c r="BQ6" s="3444"/>
      <c r="BR6" s="3441"/>
      <c r="BS6" s="3442">
        <f ca="1">OFFSET(Sector1!$G$8,0,(COLUMN()-5)/6)</f>
        <v>2.61253</v>
      </c>
      <c r="BT6" s="3443"/>
      <c r="BU6" s="3443"/>
      <c r="BV6" s="3443"/>
      <c r="BW6" s="3444"/>
      <c r="BX6" s="3441"/>
      <c r="BY6" s="3442">
        <f ca="1">OFFSET(Sector1!$G$8,0,(COLUMN()-5)/6)</f>
        <v>3.2654899999999998</v>
      </c>
      <c r="BZ6" s="3443"/>
      <c r="CA6" s="3443"/>
      <c r="CB6" s="3443"/>
      <c r="CC6" s="3444"/>
      <c r="CD6" s="3441"/>
      <c r="CE6" s="3442">
        <f ca="1">OFFSET(Sector1!$G$8,0,(COLUMN()-5)/6)</f>
        <v>3.7011799999999999</v>
      </c>
      <c r="CF6" s="3443"/>
      <c r="CG6" s="3443"/>
      <c r="CH6" s="3443"/>
      <c r="CI6" s="3444"/>
      <c r="CJ6" s="3441"/>
      <c r="CK6" s="3442">
        <f ca="1">OFFSET(Sector1!$G$8,0,(COLUMN()-5)/6)</f>
        <v>2.9961599999999997</v>
      </c>
      <c r="CL6" s="3443"/>
      <c r="CM6" s="3443"/>
      <c r="CN6" s="3443"/>
      <c r="CO6" s="3444"/>
      <c r="CP6" s="3441"/>
      <c r="CQ6" s="3442">
        <f ca="1">OFFSET(Sector1!$G$8,0,(COLUMN()-5)/6)</f>
        <v>3.1924800000000002</v>
      </c>
      <c r="CR6" s="3443"/>
      <c r="CS6" s="3443"/>
      <c r="CT6" s="3443"/>
      <c r="CU6" s="3444"/>
      <c r="CV6" s="3441"/>
      <c r="CW6" s="3442">
        <f ca="1">OFFSET(Sector1!$G$8,0,(COLUMN()-5)/6)</f>
        <v>3.5021399999999998</v>
      </c>
      <c r="CX6" s="3443"/>
      <c r="CY6" s="3443"/>
      <c r="CZ6" s="3443"/>
      <c r="DA6" s="3444"/>
      <c r="DB6" s="3441"/>
      <c r="DC6" s="3442">
        <f ca="1">OFFSET(Sector1!$G$8,0,(COLUMN()-5)/6)</f>
        <v>3.5937899999999998</v>
      </c>
      <c r="DD6" s="3443"/>
      <c r="DE6" s="3443"/>
      <c r="DF6" s="3443"/>
      <c r="DG6" s="3444"/>
      <c r="DH6" s="3441"/>
      <c r="DI6" s="3442">
        <f ca="1">OFFSET(Sector1!$G$8,0,(COLUMN()-5)/6)</f>
        <v>3.7091500000000002</v>
      </c>
      <c r="DJ6" s="3443"/>
      <c r="DK6" s="3443"/>
      <c r="DL6" s="3443"/>
      <c r="DM6" s="3444"/>
      <c r="DN6" s="3441"/>
      <c r="DO6" s="3442">
        <f ca="1">OFFSET(Sector1!$G$8,0,(COLUMN()-5)/6)</f>
        <v>3.9403299999999999</v>
      </c>
      <c r="DP6" s="3443"/>
      <c r="DQ6" s="3443"/>
      <c r="DR6" s="3443"/>
      <c r="DS6" s="3444"/>
      <c r="DT6" s="3441"/>
      <c r="DU6" s="3442">
        <f ca="1">OFFSET(Sector1!$G$8,0,(COLUMN()-5)/6)</f>
        <v>4.2110900000000004</v>
      </c>
      <c r="DV6" s="3443"/>
      <c r="DW6" s="3443"/>
      <c r="DX6" s="3443"/>
      <c r="DY6" s="3444"/>
      <c r="DZ6" s="3441"/>
      <c r="EA6" s="3442">
        <f ca="1">OFFSET(Sector1!$G$8,0,(COLUMN()-5)/6)</f>
        <v>4.4171499999999995</v>
      </c>
      <c r="EB6" s="3443"/>
      <c r="EC6" s="3443"/>
      <c r="ED6" s="3443"/>
      <c r="EE6" s="3444"/>
      <c r="EF6" s="3441"/>
      <c r="EG6" s="3442">
        <f ca="1">OFFSET(Sector1!$G$8,0,(COLUMN()-5)/6)</f>
        <v>4.8132999999999999</v>
      </c>
      <c r="EH6" s="3443"/>
      <c r="EI6" s="3443"/>
      <c r="EJ6" s="3443"/>
      <c r="EK6" s="3444"/>
      <c r="EL6" s="3441"/>
      <c r="EM6" s="3442">
        <f ca="1">OFFSET(Sector1!$G$8,0,(COLUMN()-5)/6)</f>
        <v>5.123979558019216</v>
      </c>
      <c r="EN6" s="3443"/>
      <c r="EO6" s="3443"/>
      <c r="EP6" s="3443"/>
      <c r="EQ6" s="3444"/>
      <c r="ER6" s="3441"/>
      <c r="ES6" s="3442">
        <f ca="1">OFFSET(Sector1!$G$8,0,(COLUMN()-5)/6)</f>
        <v>5.4109224132682927</v>
      </c>
      <c r="ET6" s="3443"/>
      <c r="EU6" s="3443"/>
      <c r="EV6" s="3443"/>
      <c r="EW6" s="3444"/>
      <c r="EX6" s="3441"/>
    </row>
    <row r="7" spans="1:154" ht="12.75" customHeight="1">
      <c r="A7" s="553"/>
      <c r="B7" s="600" t="s">
        <v>1767</v>
      </c>
      <c r="C7" s="3781" t="s">
        <v>1768</v>
      </c>
      <c r="D7" s="3782"/>
      <c r="E7" s="3442">
        <f ca="1">OFFSET(Sector1!$G$45,0,(COLUMN()-5)/6)</f>
        <v>6.9860000000000005E-2</v>
      </c>
      <c r="F7" s="3443"/>
      <c r="G7" s="3443"/>
      <c r="H7" s="3443"/>
      <c r="I7" s="3444"/>
      <c r="J7" s="3441"/>
      <c r="K7" s="3442">
        <f ca="1">OFFSET(Sector1!$G$45,0,(COLUMN()-5)/6)</f>
        <v>8.7959999999999997E-2</v>
      </c>
      <c r="L7" s="3443"/>
      <c r="M7" s="3443"/>
      <c r="N7" s="3443"/>
      <c r="O7" s="3444"/>
      <c r="P7" s="3441"/>
      <c r="Q7" s="3442">
        <f ca="1">OFFSET(Sector1!$G$45,0,(COLUMN()-5)/6)</f>
        <v>6.3109999999999999E-2</v>
      </c>
      <c r="R7" s="3443"/>
      <c r="S7" s="3443"/>
      <c r="T7" s="3443"/>
      <c r="U7" s="3444"/>
      <c r="V7" s="3441"/>
      <c r="W7" s="3442">
        <f ca="1">OFFSET(Sector1!$G$45,0,(COLUMN()-5)/6)</f>
        <v>0.10904999999999999</v>
      </c>
      <c r="X7" s="3443"/>
      <c r="Y7" s="3443"/>
      <c r="Z7" s="3443"/>
      <c r="AA7" s="3444"/>
      <c r="AB7" s="3441"/>
      <c r="AC7" s="3442">
        <f ca="1">OFFSET(Sector1!$G$45,0,(COLUMN()-5)/6)</f>
        <v>0.11612</v>
      </c>
      <c r="AD7" s="3443"/>
      <c r="AE7" s="3443"/>
      <c r="AF7" s="3443"/>
      <c r="AG7" s="3444"/>
      <c r="AH7" s="3441"/>
      <c r="AI7" s="3442">
        <f ca="1">OFFSET(Sector1!$G$45,0,(COLUMN()-5)/6)</f>
        <v>0.10212</v>
      </c>
      <c r="AJ7" s="3443"/>
      <c r="AK7" s="3443"/>
      <c r="AL7" s="3443"/>
      <c r="AM7" s="3444"/>
      <c r="AN7" s="3441"/>
      <c r="AO7" s="3442">
        <f ca="1">OFFSET(Sector1!$G$45,0,(COLUMN()-5)/6)</f>
        <v>7.5840000000000005E-2</v>
      </c>
      <c r="AP7" s="3443"/>
      <c r="AQ7" s="3443"/>
      <c r="AR7" s="3443"/>
      <c r="AS7" s="3444"/>
      <c r="AT7" s="3441"/>
      <c r="AU7" s="3442">
        <f ca="1">OFFSET(Sector1!$G$45,0,(COLUMN()-5)/6)</f>
        <v>0.10173</v>
      </c>
      <c r="AV7" s="3443"/>
      <c r="AW7" s="3443"/>
      <c r="AX7" s="3443"/>
      <c r="AY7" s="3444"/>
      <c r="AZ7" s="3441"/>
      <c r="BA7" s="3442">
        <f ca="1">OFFSET(Sector1!$G$45,0,(COLUMN()-5)/6)</f>
        <v>0.10779000000000001</v>
      </c>
      <c r="BB7" s="3443"/>
      <c r="BC7" s="3443"/>
      <c r="BD7" s="3443"/>
      <c r="BE7" s="3444"/>
      <c r="BF7" s="3441"/>
      <c r="BG7" s="3442">
        <f ca="1">OFFSET(Sector1!$G$45,0,(COLUMN()-5)/6)</f>
        <v>0.18997</v>
      </c>
      <c r="BH7" s="3443"/>
      <c r="BI7" s="3443"/>
      <c r="BJ7" s="3443"/>
      <c r="BK7" s="3444"/>
      <c r="BL7" s="3441"/>
      <c r="BM7" s="3442">
        <f ca="1">OFFSET(Sector1!$G$45,0,(COLUMN()-5)/6)</f>
        <v>0.27112999999999998</v>
      </c>
      <c r="BN7" s="3443"/>
      <c r="BO7" s="3443"/>
      <c r="BP7" s="3443"/>
      <c r="BQ7" s="3444"/>
      <c r="BR7" s="3441"/>
      <c r="BS7" s="3442">
        <f ca="1">OFFSET(Sector1!$G$45,0,(COLUMN()-5)/6)</f>
        <v>0.26702999999999999</v>
      </c>
      <c r="BT7" s="3443"/>
      <c r="BU7" s="3443"/>
      <c r="BV7" s="3443"/>
      <c r="BW7" s="3444"/>
      <c r="BX7" s="3441"/>
      <c r="BY7" s="3442">
        <f ca="1">OFFSET(Sector1!$G$45,0,(COLUMN()-5)/6)</f>
        <v>0.30131999999999998</v>
      </c>
      <c r="BZ7" s="3443"/>
      <c r="CA7" s="3443"/>
      <c r="CB7" s="3443"/>
      <c r="CC7" s="3444"/>
      <c r="CD7" s="3441"/>
      <c r="CE7" s="3442">
        <f ca="1">OFFSET(Sector1!$G$45,0,(COLUMN()-5)/6)</f>
        <v>0.35411000000000004</v>
      </c>
      <c r="CF7" s="3443"/>
      <c r="CG7" s="3443"/>
      <c r="CH7" s="3443"/>
      <c r="CI7" s="3444"/>
      <c r="CJ7" s="3441"/>
      <c r="CK7" s="3442">
        <f ca="1">OFFSET(Sector1!$G$45,0,(COLUMN()-5)/6)</f>
        <v>0.36169999999999997</v>
      </c>
      <c r="CL7" s="3443"/>
      <c r="CM7" s="3443"/>
      <c r="CN7" s="3443"/>
      <c r="CO7" s="3444"/>
      <c r="CP7" s="3441"/>
      <c r="CQ7" s="3442">
        <f ca="1">OFFSET(Sector1!$G$45,0,(COLUMN()-5)/6)</f>
        <v>0.37457000000000001</v>
      </c>
      <c r="CR7" s="3443"/>
      <c r="CS7" s="3443"/>
      <c r="CT7" s="3443"/>
      <c r="CU7" s="3444"/>
      <c r="CV7" s="3441"/>
      <c r="CW7" s="3442">
        <f ca="1">OFFSET(Sector1!$G$45,0,(COLUMN()-5)/6)</f>
        <v>0.38688</v>
      </c>
      <c r="CX7" s="3443"/>
      <c r="CY7" s="3443"/>
      <c r="CZ7" s="3443"/>
      <c r="DA7" s="3444"/>
      <c r="DB7" s="3441"/>
      <c r="DC7" s="3442">
        <f ca="1">OFFSET(Sector1!$G$45,0,(COLUMN()-5)/6)</f>
        <v>0.41048000000000001</v>
      </c>
      <c r="DD7" s="3443"/>
      <c r="DE7" s="3443"/>
      <c r="DF7" s="3443"/>
      <c r="DG7" s="3444"/>
      <c r="DH7" s="3441"/>
      <c r="DI7" s="3442">
        <f ca="1">OFFSET(Sector1!$G$45,0,(COLUMN()-5)/6)</f>
        <v>0.43957999999999997</v>
      </c>
      <c r="DJ7" s="3443"/>
      <c r="DK7" s="3443"/>
      <c r="DL7" s="3443"/>
      <c r="DM7" s="3444"/>
      <c r="DN7" s="3441"/>
      <c r="DO7" s="3442">
        <f ca="1">OFFSET(Sector1!$G$45,0,(COLUMN()-5)/6)</f>
        <v>0.43972</v>
      </c>
      <c r="DP7" s="3443"/>
      <c r="DQ7" s="3443"/>
      <c r="DR7" s="3443"/>
      <c r="DS7" s="3444"/>
      <c r="DT7" s="3441"/>
      <c r="DU7" s="3442">
        <f ca="1">OFFSET(Sector1!$G$45,0,(COLUMN()-5)/6)</f>
        <v>0.49363000000000001</v>
      </c>
      <c r="DV7" s="3443"/>
      <c r="DW7" s="3443"/>
      <c r="DX7" s="3443"/>
      <c r="DY7" s="3444"/>
      <c r="DZ7" s="3441"/>
      <c r="EA7" s="3442">
        <f ca="1">OFFSET(Sector1!$G$45,0,(COLUMN()-5)/6)</f>
        <v>0.53820000000000001</v>
      </c>
      <c r="EB7" s="3443"/>
      <c r="EC7" s="3443"/>
      <c r="ED7" s="3443"/>
      <c r="EE7" s="3444"/>
      <c r="EF7" s="3441"/>
      <c r="EG7" s="3442">
        <f ca="1">OFFSET(Sector1!$G$45,0,(COLUMN()-5)/6)</f>
        <v>0.54600000000000004</v>
      </c>
      <c r="EH7" s="3443"/>
      <c r="EI7" s="3443"/>
      <c r="EJ7" s="3443"/>
      <c r="EK7" s="3444"/>
      <c r="EL7" s="3441"/>
      <c r="EM7" s="3442">
        <f ca="1">OFFSET(Sector1!$G$45,0,(COLUMN()-5)/6)</f>
        <v>0.56565600000000005</v>
      </c>
      <c r="EN7" s="3443"/>
      <c r="EO7" s="3443"/>
      <c r="EP7" s="3443"/>
      <c r="EQ7" s="3444"/>
      <c r="ER7" s="3441"/>
      <c r="ES7" s="3442">
        <f ca="1">OFFSET(Sector1!$G$45,0,(COLUMN()-5)/6)</f>
        <v>0.58601961600000008</v>
      </c>
      <c r="ET7" s="3443"/>
      <c r="EU7" s="3443"/>
      <c r="EV7" s="3443"/>
      <c r="EW7" s="3444"/>
      <c r="EX7" s="3441"/>
    </row>
    <row r="8" spans="1:154" s="557" customFormat="1" ht="12.75" customHeight="1">
      <c r="A8" s="555"/>
      <c r="B8" s="3445" t="s">
        <v>1769</v>
      </c>
      <c r="C8" s="3785" t="s">
        <v>1373</v>
      </c>
      <c r="D8" s="3785"/>
      <c r="E8" s="3446">
        <f ca="1">+E5-E6+E7</f>
        <v>6.9358500000000003</v>
      </c>
      <c r="F8" s="3446">
        <f ca="1">OFFSET(Sector1!$G$73,0,(COLUMN()-6)/6)</f>
        <v>1.84365</v>
      </c>
      <c r="G8" s="3446">
        <f ca="1">OFFSET(Sector1!$G$78,0,(COLUMN()-7)/6)</f>
        <v>3.9930599999999998</v>
      </c>
      <c r="H8" s="3446">
        <f ca="1">OFFSET(Sector1!$G$83,0,(COLUMN()-8)/6)</f>
        <v>1.09914</v>
      </c>
      <c r="I8" s="3447"/>
      <c r="J8" s="556">
        <f ca="1">+E8-F8-G8-H8</f>
        <v>0</v>
      </c>
      <c r="K8" s="3446">
        <f ca="1">+K5-K6+K7</f>
        <v>8.7338200000000015</v>
      </c>
      <c r="L8" s="3446">
        <f ca="1">OFFSET(Sector1!$G$73,0,(COLUMN()-6)/6)</f>
        <v>2.30016</v>
      </c>
      <c r="M8" s="3446">
        <f ca="1">OFFSET(Sector1!$G$78,0,(COLUMN()-7)/6)</f>
        <v>5.0259799999999997</v>
      </c>
      <c r="N8" s="3446">
        <f ca="1">OFFSET(Sector1!$G$83,0,(COLUMN()-8)/6)</f>
        <v>1.40767</v>
      </c>
      <c r="O8" s="3447"/>
      <c r="P8" s="556">
        <f ca="1">+K8-L8-M8-N8</f>
        <v>1.0000000001841869E-5</v>
      </c>
      <c r="Q8" s="3446">
        <f ca="1">+Q5-Q6+Q7</f>
        <v>10.27516</v>
      </c>
      <c r="R8" s="3446">
        <f ca="1">OFFSET(Sector1!$G$73,0,(COLUMN()-6)/6)</f>
        <v>2.6009799999999998</v>
      </c>
      <c r="S8" s="3446">
        <f ca="1">OFFSET(Sector1!$G$78,0,(COLUMN()-7)/6)</f>
        <v>5.9436200000000001</v>
      </c>
      <c r="T8" s="3446">
        <f ca="1">OFFSET(Sector1!$G$83,0,(COLUMN()-8)/6)</f>
        <v>1.7305599999999999</v>
      </c>
      <c r="U8" s="3447"/>
      <c r="V8" s="556">
        <f ca="1">+Q8-R8-S8-T8</f>
        <v>0</v>
      </c>
      <c r="W8" s="3446">
        <f ca="1">+W5-W6+W7</f>
        <v>11.413129999999999</v>
      </c>
      <c r="X8" s="3446">
        <f ca="1">OFFSET(Sector1!$G$73,0,(COLUMN()-6)/6)</f>
        <v>2.8379499999999998</v>
      </c>
      <c r="Y8" s="3446">
        <f ca="1">OFFSET(Sector1!$G$78,0,(COLUMN()-7)/6)</f>
        <v>6.4824099999999998</v>
      </c>
      <c r="Z8" s="3446">
        <f ca="1">OFFSET(Sector1!$G$83,0,(COLUMN()-8)/6)</f>
        <v>2.0927699999999998</v>
      </c>
      <c r="AA8" s="3447"/>
      <c r="AB8" s="556">
        <f ca="1">+W8-X8-Y8-Z8</f>
        <v>0</v>
      </c>
      <c r="AC8" s="3446">
        <f ca="1">+AC5-AC6+AC7</f>
        <v>11.173720000000001</v>
      </c>
      <c r="AD8" s="3446">
        <f ca="1">OFFSET(Sector1!$G$73,0,(COLUMN()-6)/6)</f>
        <v>2.6959400000000002</v>
      </c>
      <c r="AE8" s="3446">
        <f ca="1">OFFSET(Sector1!$G$78,0,(COLUMN()-7)/6)</f>
        <v>6.3313900000000007</v>
      </c>
      <c r="AF8" s="3446">
        <f ca="1">OFFSET(Sector1!$G$83,0,(COLUMN()-8)/6)</f>
        <v>2.1463899999999998</v>
      </c>
      <c r="AG8" s="3447"/>
      <c r="AH8" s="556">
        <f ca="1">+AC8-AD8-AE8-AF8</f>
        <v>0</v>
      </c>
      <c r="AI8" s="3446">
        <f ca="1">+AI5-AI6+AI7</f>
        <v>11.880890000000001</v>
      </c>
      <c r="AJ8" s="3446">
        <f ca="1">OFFSET(Sector1!$G$73,0,(COLUMN()-6)/6)</f>
        <v>2.7768699999999997</v>
      </c>
      <c r="AK8" s="3446">
        <f ca="1">OFFSET(Sector1!$G$78,0,(COLUMN()-7)/6)</f>
        <v>7.04054</v>
      </c>
      <c r="AL8" s="3446">
        <f ca="1">OFFSET(Sector1!$G$83,0,(COLUMN()-8)/6)</f>
        <v>2.0634800000000002</v>
      </c>
      <c r="AM8" s="3447"/>
      <c r="AN8" s="556">
        <f ca="1">+AI8-AJ8-AK8-AL8</f>
        <v>0</v>
      </c>
      <c r="AO8" s="3446">
        <f ca="1">+AO5-AO6+AO7</f>
        <v>12.634510000000001</v>
      </c>
      <c r="AP8" s="3446">
        <f ca="1">OFFSET(Sector1!$G$73,0,(COLUMN()-6)/6)</f>
        <v>2.6924899999999998</v>
      </c>
      <c r="AQ8" s="3446">
        <f ca="1">OFFSET(Sector1!$G$78,0,(COLUMN()-7)/6)</f>
        <v>7.8377799999999995</v>
      </c>
      <c r="AR8" s="3446">
        <f ca="1">OFFSET(Sector1!$G$83,0,(COLUMN()-8)/6)</f>
        <v>2.1042299999999998</v>
      </c>
      <c r="AS8" s="3447"/>
      <c r="AT8" s="556">
        <f ca="1">+AO8-AP8-AQ8-AR8</f>
        <v>1.0000000001841869E-5</v>
      </c>
      <c r="AU8" s="3446">
        <f ca="1">+AU5-AU6+AU7</f>
        <v>13.52393</v>
      </c>
      <c r="AV8" s="3446">
        <f ca="1">OFFSET(Sector1!$G$73,0,(COLUMN()-6)/6)</f>
        <v>2.7059600000000001</v>
      </c>
      <c r="AW8" s="3446">
        <f ca="1">OFFSET(Sector1!$G$78,0,(COLUMN()-7)/6)</f>
        <v>8.6526899999999998</v>
      </c>
      <c r="AX8" s="3446">
        <f ca="1">OFFSET(Sector1!$G$83,0,(COLUMN()-8)/6)</f>
        <v>2.1652600000000004</v>
      </c>
      <c r="AY8" s="3447"/>
      <c r="AZ8" s="556">
        <f ca="1">+AU8-AV8-AW8-AX8</f>
        <v>1.9999999998798756E-5</v>
      </c>
      <c r="BA8" s="3446">
        <f ca="1">+BA5-BA6+BA7</f>
        <v>14.937049999999997</v>
      </c>
      <c r="BB8" s="3446">
        <f ca="1">OFFSET(Sector1!$G$73,0,(COLUMN()-6)/6)</f>
        <v>2.8033899999999998</v>
      </c>
      <c r="BC8" s="3446">
        <f ca="1">OFFSET(Sector1!$G$78,0,(COLUMN()-7)/6)</f>
        <v>9.867700000000001</v>
      </c>
      <c r="BD8" s="3446">
        <f ca="1">OFFSET(Sector1!$G$83,0,(COLUMN()-8)/6)</f>
        <v>2.2659699999999998</v>
      </c>
      <c r="BE8" s="3447"/>
      <c r="BF8" s="556">
        <f ca="1">+BA8-BB8-BC8-BD8</f>
        <v>-1.0000000003618226E-5</v>
      </c>
      <c r="BG8" s="3446">
        <f ca="1">+BG5-BG6+BG7</f>
        <v>16.499589999999998</v>
      </c>
      <c r="BH8" s="3446">
        <f ca="1">OFFSET(Sector1!$G$73,0,(COLUMN()-6)/6)</f>
        <v>2.92544</v>
      </c>
      <c r="BI8" s="3446">
        <f ca="1">OFFSET(Sector1!$G$78,0,(COLUMN()-7)/6)</f>
        <v>11.10008</v>
      </c>
      <c r="BJ8" s="3446">
        <f ca="1">OFFSET(Sector1!$G$83,0,(COLUMN()-8)/6)</f>
        <v>2.4740900000000003</v>
      </c>
      <c r="BK8" s="3447"/>
      <c r="BL8" s="556">
        <f ca="1">+BG8-BH8-BI8-BJ8</f>
        <v>-2.0000000002795559E-5</v>
      </c>
      <c r="BM8" s="3446">
        <f ca="1">+BM5-BM6+BM7</f>
        <v>19.009709999999998</v>
      </c>
      <c r="BN8" s="3446">
        <f ca="1">OFFSET(Sector1!$G$73,0,(COLUMN()-6)/6)</f>
        <v>3.2303899999999999</v>
      </c>
      <c r="BO8" s="3446">
        <f ca="1">OFFSET(Sector1!$G$78,0,(COLUMN()-7)/6)</f>
        <v>13.076600000000001</v>
      </c>
      <c r="BP8" s="3446">
        <f ca="1">OFFSET(Sector1!$G$83,0,(COLUMN()-8)/6)</f>
        <v>2.7027199999999998</v>
      </c>
      <c r="BQ8" s="3447"/>
      <c r="BR8" s="556">
        <f ca="1">+BM8-BN8-BO8-BP8</f>
        <v>0</v>
      </c>
      <c r="BS8" s="3446">
        <f ca="1">+BS5-BS6+BS7</f>
        <v>21.73368</v>
      </c>
      <c r="BT8" s="3446">
        <f ca="1">OFFSET(Sector1!$G$73,0,(COLUMN()-6)/6)</f>
        <v>3.4656799999999999</v>
      </c>
      <c r="BU8" s="3446">
        <f ca="1">OFFSET(Sector1!$G$78,0,(COLUMN()-7)/6)</f>
        <v>15.146889999999999</v>
      </c>
      <c r="BV8" s="3446">
        <f ca="1">OFFSET(Sector1!$G$83,0,(COLUMN()-8)/6)</f>
        <v>3.1210999999999998</v>
      </c>
      <c r="BW8" s="3447"/>
      <c r="BX8" s="556">
        <f ca="1">+BS8-BT8-BU8-BV8</f>
        <v>1.0000000001841869E-5</v>
      </c>
      <c r="BY8" s="3446">
        <f ca="1">+BY5-BY6+BY7</f>
        <v>26.07649</v>
      </c>
      <c r="BZ8" s="3446">
        <f ca="1">OFFSET(Sector1!$G$73,0,(COLUMN()-6)/6)</f>
        <v>3.8770199999999999</v>
      </c>
      <c r="CA8" s="3446">
        <f ca="1">OFFSET(Sector1!$G$78,0,(COLUMN()-7)/6)</f>
        <v>18.65231</v>
      </c>
      <c r="CB8" s="3446">
        <f ca="1">OFFSET(Sector1!$G$83,0,(COLUMN()-8)/6)</f>
        <v>3.5471599999999999</v>
      </c>
      <c r="CC8" s="3447"/>
      <c r="CD8" s="556">
        <f ca="1">+BY8-BZ8-CA8-CB8</f>
        <v>0</v>
      </c>
      <c r="CE8" s="3446">
        <f ca="1">+CE5-CE6+CE7</f>
        <v>29.349209999999999</v>
      </c>
      <c r="CF8" s="3446">
        <f ca="1">OFFSET(Sector1!$G$73,0,(COLUMN()-6)/6)</f>
        <v>4.1631099999999996</v>
      </c>
      <c r="CG8" s="3446">
        <f ca="1">OFFSET(Sector1!$G$78,0,(COLUMN()-7)/6)</f>
        <v>20.88843</v>
      </c>
      <c r="CH8" s="3446">
        <f ca="1">OFFSET(Sector1!$G$83,0,(COLUMN()-8)/6)</f>
        <v>4.2976700000000001</v>
      </c>
      <c r="CI8" s="3447"/>
      <c r="CJ8" s="556">
        <f ca="1">+CE8-CF8-CG8-CH8</f>
        <v>0</v>
      </c>
      <c r="CK8" s="3446">
        <f ca="1">+CK5-CK6+CK7</f>
        <v>24.300359999999998</v>
      </c>
      <c r="CL8" s="3446">
        <f ca="1">OFFSET(Sector1!$G$73,0,(COLUMN()-6)/6)</f>
        <v>3.3344800000000001</v>
      </c>
      <c r="CM8" s="3446">
        <f ca="1">OFFSET(Sector1!$G$78,0,(COLUMN()-7)/6)</f>
        <v>16.73537</v>
      </c>
      <c r="CN8" s="3446">
        <f ca="1">OFFSET(Sector1!$G$83,0,(COLUMN()-8)/6)</f>
        <v>4.2305000000000001</v>
      </c>
      <c r="CO8" s="3447"/>
      <c r="CP8" s="556">
        <f ca="1">+CK8-CL8-CM8-CN8</f>
        <v>9.9999999987332444E-6</v>
      </c>
      <c r="CQ8" s="3446">
        <f ca="1">+CQ5-CQ6+CQ7</f>
        <v>25.20975</v>
      </c>
      <c r="CR8" s="3446">
        <f ca="1">OFFSET(Sector1!$G$73,0,(COLUMN()-6)/6)</f>
        <v>3.0989499999999999</v>
      </c>
      <c r="CS8" s="3446">
        <f ca="1">OFFSET(Sector1!$G$78,0,(COLUMN()-7)/6)</f>
        <v>18.234159999999999</v>
      </c>
      <c r="CT8" s="3446">
        <f ca="1">OFFSET(Sector1!$G$83,0,(COLUMN()-8)/6)</f>
        <v>3.8766500000000002</v>
      </c>
      <c r="CU8" s="3447"/>
      <c r="CV8" s="556">
        <f ca="1">+CQ8-CR8-CS8-CT8</f>
        <v>-9.9999999982891552E-6</v>
      </c>
      <c r="CW8" s="3446">
        <f ca="1">+CW5-CW6+CW7</f>
        <v>28.160060000000001</v>
      </c>
      <c r="CX8" s="3446">
        <f ca="1">OFFSET(Sector1!$G$73,0,(COLUMN()-6)/6)</f>
        <v>3.3005</v>
      </c>
      <c r="CY8" s="3446">
        <f ca="1">OFFSET(Sector1!$G$78,0,(COLUMN()-7)/6)</f>
        <v>20.770669999999999</v>
      </c>
      <c r="CZ8" s="3446">
        <f ca="1">OFFSET(Sector1!$G$83,0,(COLUMN()-8)/6)</f>
        <v>4.0888900000000001</v>
      </c>
      <c r="DA8" s="3447"/>
      <c r="DB8" s="556">
        <f ca="1">+CW8-CX8-CY8-CZ8</f>
        <v>0</v>
      </c>
      <c r="DC8" s="3446">
        <f ca="1">+DC5-DC6+DC7</f>
        <v>30.165170000000003</v>
      </c>
      <c r="DD8" s="3446">
        <f ca="1">OFFSET(Sector1!$G$73,0,(COLUMN()-6)/6)</f>
        <v>3.7175500000000001</v>
      </c>
      <c r="DE8" s="3446">
        <f ca="1">OFFSET(Sector1!$G$78,0,(COLUMN()-7)/6)</f>
        <v>22.225490000000001</v>
      </c>
      <c r="DF8" s="3446">
        <f ca="1">OFFSET(Sector1!$G$83,0,(COLUMN()-8)/6)</f>
        <v>4.2221200000000003</v>
      </c>
      <c r="DG8" s="3447"/>
      <c r="DH8" s="556">
        <f ca="1">+DC8-DD8-DE8-DF8</f>
        <v>1.0000000003174137E-5</v>
      </c>
      <c r="DI8" s="3446">
        <f ca="1">+DI5-DI6+DI7</f>
        <v>31.690080000000002</v>
      </c>
      <c r="DJ8" s="3446">
        <f ca="1">OFFSET(Sector1!$G$73,0,(COLUMN()-6)/6)</f>
        <v>3.8779400000000002</v>
      </c>
      <c r="DK8" s="3446">
        <f ca="1">OFFSET(Sector1!$G$78,0,(COLUMN()-7)/6)</f>
        <v>23.43872</v>
      </c>
      <c r="DL8" s="3446">
        <f ca="1">OFFSET(Sector1!$G$83,0,(COLUMN()-8)/6)</f>
        <v>4.3734099999999998</v>
      </c>
      <c r="DM8" s="3447"/>
      <c r="DN8" s="556">
        <f ca="1">+DI8-DJ8-DK8-DL8</f>
        <v>1.0000000003174137E-5</v>
      </c>
      <c r="DO8" s="3446">
        <f ca="1">+DO5-DO6+DO7</f>
        <v>33.06767</v>
      </c>
      <c r="DP8" s="3446">
        <f ca="1">OFFSET(Sector1!$G$73,0,(COLUMN()-6)/6)</f>
        <v>4.0212899999999996</v>
      </c>
      <c r="DQ8" s="3446">
        <f ca="1">OFFSET(Sector1!$G$78,0,(COLUMN()-7)/6)</f>
        <v>24.500109999999999</v>
      </c>
      <c r="DR8" s="3446">
        <f ca="1">OFFSET(Sector1!$G$83,0,(COLUMN()-8)/6)</f>
        <v>4.5462799999999994</v>
      </c>
      <c r="DS8" s="3447"/>
      <c r="DT8" s="556">
        <f ca="1">+DO8-DP8-DQ8-DR8</f>
        <v>-9.9999999996214228E-6</v>
      </c>
      <c r="DU8" s="3446">
        <f ca="1">+DU5-DU6+DU7</f>
        <v>33.709150000000008</v>
      </c>
      <c r="DV8" s="3446">
        <f ca="1">OFFSET(Sector1!$G$73,0,(COLUMN()-6)/6)</f>
        <v>4.2696000000000005</v>
      </c>
      <c r="DW8" s="3446">
        <f ca="1">OFFSET(Sector1!$G$78,0,(COLUMN()-7)/6)</f>
        <v>24.728159999999999</v>
      </c>
      <c r="DX8" s="3446">
        <f ca="1">OFFSET(Sector1!$G$83,0,(COLUMN()-8)/6)</f>
        <v>4.7113900000000006</v>
      </c>
      <c r="DY8" s="3447"/>
      <c r="DZ8" s="556">
        <f ca="1">+DU8-DV8-DW8-DX8</f>
        <v>7.9936057773011271E-15</v>
      </c>
      <c r="EA8" s="3446">
        <f ca="1">+EA5-EA6+EA7</f>
        <v>34.789370000000005</v>
      </c>
      <c r="EB8" s="3446">
        <f ca="1">OFFSET(Sector1!$G$73,0,(COLUMN()-6)/6)</f>
        <v>4.2739500000000001</v>
      </c>
      <c r="EC8" s="3446">
        <f ca="1">OFFSET(Sector1!$G$78,0,(COLUMN()-7)/6)</f>
        <v>25.56738</v>
      </c>
      <c r="ED8" s="3446">
        <f ca="1">OFFSET(Sector1!$G$83,0,(COLUMN()-8)/6)</f>
        <v>4.9480300000000002</v>
      </c>
      <c r="EE8" s="3447"/>
      <c r="EF8" s="556">
        <f ca="1">+EA8-EB8-EC8-ED8</f>
        <v>1.0000000005838672E-5</v>
      </c>
      <c r="EG8" s="3446">
        <f ca="1">+EG5-EG6+EG7</f>
        <v>37.512294892398124</v>
      </c>
      <c r="EH8" s="3446">
        <f ca="1">OFFSET(Sector1!$G$73,0,(COLUMN()-6)/6)</f>
        <v>4.3074756499999998</v>
      </c>
      <c r="EI8" s="3446">
        <f ca="1">OFFSET(Sector1!$G$78,0,(COLUMN()-7)/6)</f>
        <v>28.093316769273876</v>
      </c>
      <c r="EJ8" s="3446">
        <f ca="1">OFFSET(Sector1!$G$83,0,(COLUMN()-8)/6)</f>
        <v>5.1889375807261278</v>
      </c>
      <c r="EK8" s="3447"/>
      <c r="EL8" s="556">
        <f ca="1">+EG8-EH8-EI8-EJ8</f>
        <v>-7.7435107601880659E-2</v>
      </c>
      <c r="EM8" s="3446">
        <f ca="1">+EM5-EM6+EM7</f>
        <v>39.653234851938059</v>
      </c>
      <c r="EN8" s="3446">
        <f ca="1">OFFSET(Sector1!$G$73,0,(COLUMN()-6)/6)</f>
        <v>4.3431890632499996</v>
      </c>
      <c r="EO8" s="3446">
        <f ca="1">OFFSET(Sector1!$G$78,0,(COLUMN()-7)/6)</f>
        <v>29.895443026415556</v>
      </c>
      <c r="EP8" s="3446">
        <f ca="1">OFFSET(Sector1!$G$83,0,(COLUMN()-8)/6)</f>
        <v>5.4146027622725015</v>
      </c>
      <c r="EQ8" s="3447"/>
      <c r="ER8" s="556">
        <f ca="1">+EM8-EN8-EO8-EP8</f>
        <v>0</v>
      </c>
      <c r="ES8" s="3446">
        <f ca="1">+ES5-ES6+ES7</f>
        <v>41.851347096832214</v>
      </c>
      <c r="ET8" s="3446">
        <f ca="1">OFFSET(Sector1!$G$73,0,(COLUMN()-6)/6)</f>
        <v>4.3784579944850002</v>
      </c>
      <c r="EU8" s="3446">
        <f ca="1">OFFSET(Sector1!$G$78,0,(COLUMN()-7)/6)</f>
        <v>31.814666730987341</v>
      </c>
      <c r="EV8" s="3446">
        <f ca="1">OFFSET(Sector1!$G$83,0,(COLUMN()-8)/6)</f>
        <v>5.6582223713598712</v>
      </c>
      <c r="EW8" s="3447"/>
      <c r="EX8" s="556">
        <f ca="1">+ES8-ET8-EU8-EV8</f>
        <v>0</v>
      </c>
    </row>
    <row r="9" spans="1:154" ht="12.75" customHeight="1">
      <c r="A9" s="553"/>
      <c r="B9" s="600" t="s">
        <v>401</v>
      </c>
      <c r="C9" s="3781" t="s">
        <v>1374</v>
      </c>
      <c r="D9" s="3781"/>
      <c r="E9" s="3442">
        <f ca="1">+F9+G9+H9</f>
        <v>3.56E-2</v>
      </c>
      <c r="F9" s="3448">
        <f ca="1">OFFSET(Sector1!$G$9,0,(COLUMN()-6)/6)</f>
        <v>8.3099999999999997E-3</v>
      </c>
      <c r="G9" s="3449">
        <f ca="1">OFFSET(Sector1!$G$10,0,(COLUMN()-7)/6)</f>
        <v>2.444E-2</v>
      </c>
      <c r="H9" s="3449">
        <f ca="1">OFFSET(Sector1!$G$11,0,(COLUMN()-7)/6)</f>
        <v>2.8500000000000001E-3</v>
      </c>
      <c r="I9" s="3448"/>
      <c r="J9" s="604"/>
      <c r="K9" s="3442">
        <f ca="1">+L9+M9+N9</f>
        <v>5.5430000000000007E-2</v>
      </c>
      <c r="L9" s="3448">
        <f ca="1">OFFSET(Sector1!$G$9,0,(COLUMN()-6)/6)</f>
        <v>3.058E-2</v>
      </c>
      <c r="M9" s="3449">
        <f ca="1">OFFSET(Sector1!$G$10,0,(COLUMN()-7)/6)</f>
        <v>2.0420000000000001E-2</v>
      </c>
      <c r="N9" s="3449">
        <f ca="1">OFFSET(Sector1!$G$11,0,(COLUMN()-7)/6)</f>
        <v>4.4299999999999999E-3</v>
      </c>
      <c r="O9" s="3448"/>
      <c r="P9" s="604"/>
      <c r="Q9" s="3442">
        <f ca="1">+R9+S9+T9</f>
        <v>7.3329999999999992E-2</v>
      </c>
      <c r="R9" s="3448">
        <f ca="1">OFFSET(Sector1!$G$9,0,(COLUMN()-6)/6)</f>
        <v>1.2670000000000001E-2</v>
      </c>
      <c r="S9" s="3449">
        <f ca="1">OFFSET(Sector1!$G$10,0,(COLUMN()-7)/6)</f>
        <v>5.4789999999999998E-2</v>
      </c>
      <c r="T9" s="3449">
        <f ca="1">OFFSET(Sector1!$G$11,0,(COLUMN()-7)/6)</f>
        <v>5.8700000000000002E-3</v>
      </c>
      <c r="U9" s="3448"/>
      <c r="V9" s="604"/>
      <c r="W9" s="3442">
        <f ca="1">+X9+Y9+Z9</f>
        <v>7.7149999999999996E-2</v>
      </c>
      <c r="X9" s="3448">
        <f ca="1">OFFSET(Sector1!$G$9,0,(COLUMN()-6)/6)</f>
        <v>1.191E-2</v>
      </c>
      <c r="Y9" s="3449">
        <f ca="1">OFFSET(Sector1!$G$10,0,(COLUMN()-7)/6)</f>
        <v>5.9069999999999998E-2</v>
      </c>
      <c r="Z9" s="3449">
        <f ca="1">OFFSET(Sector1!$G$11,0,(COLUMN()-7)/6)</f>
        <v>6.1700000000000001E-3</v>
      </c>
      <c r="AA9" s="3448"/>
      <c r="AB9" s="604"/>
      <c r="AC9" s="3442">
        <f ca="1">+AD9+AE9+AF9</f>
        <v>8.9080000000000006E-2</v>
      </c>
      <c r="AD9" s="3448">
        <f ca="1">OFFSET(Sector1!$G$9,0,(COLUMN()-6)/6)</f>
        <v>1.1630000000000001E-2</v>
      </c>
      <c r="AE9" s="3449">
        <f ca="1">OFFSET(Sector1!$G$10,0,(COLUMN()-7)/6)</f>
        <v>7.102E-2</v>
      </c>
      <c r="AF9" s="3449">
        <f ca="1">OFFSET(Sector1!$G$11,0,(COLUMN()-7)/6)</f>
        <v>6.43E-3</v>
      </c>
      <c r="AG9" s="3448"/>
      <c r="AH9" s="604"/>
      <c r="AI9" s="3442">
        <f ca="1">+AJ9+AK9+AL9</f>
        <v>8.319E-2</v>
      </c>
      <c r="AJ9" s="3448">
        <f ca="1">OFFSET(Sector1!$G$9,0,(COLUMN()-6)/6)</f>
        <v>1.585E-2</v>
      </c>
      <c r="AK9" s="3449">
        <f ca="1">OFFSET(Sector1!$G$10,0,(COLUMN()-7)/6)</f>
        <v>6.1149999999999996E-2</v>
      </c>
      <c r="AL9" s="3449">
        <f ca="1">OFFSET(Sector1!$G$11,0,(COLUMN()-7)/6)</f>
        <v>6.1900000000000002E-3</v>
      </c>
      <c r="AM9" s="3448"/>
      <c r="AN9" s="604"/>
      <c r="AO9" s="3442">
        <f ca="1">+AP9+AQ9+AR9</f>
        <v>9.3480000000000008E-2</v>
      </c>
      <c r="AP9" s="3448">
        <f ca="1">OFFSET(Sector1!$G$9,0,(COLUMN()-6)/6)</f>
        <v>2.0829999999999998E-2</v>
      </c>
      <c r="AQ9" s="3449">
        <f ca="1">OFFSET(Sector1!$G$10,0,(COLUMN()-7)/6)</f>
        <v>6.5700000000000008E-2</v>
      </c>
      <c r="AR9" s="3449">
        <f ca="1">OFFSET(Sector1!$G$11,0,(COLUMN()-7)/6)</f>
        <v>6.9500000000000004E-3</v>
      </c>
      <c r="AS9" s="3448"/>
      <c r="AT9" s="604"/>
      <c r="AU9" s="3442">
        <f ca="1">+AV9+AW9+AX9</f>
        <v>0.10346000000000001</v>
      </c>
      <c r="AV9" s="3448">
        <f ca="1">OFFSET(Sector1!$G$9,0,(COLUMN()-6)/6)</f>
        <v>3.5810000000000002E-2</v>
      </c>
      <c r="AW9" s="3449">
        <f ca="1">OFFSET(Sector1!$G$10,0,(COLUMN()-7)/6)</f>
        <v>6.003E-2</v>
      </c>
      <c r="AX9" s="3449">
        <f ca="1">OFFSET(Sector1!$G$11,0,(COLUMN()-7)/6)</f>
        <v>7.62E-3</v>
      </c>
      <c r="AY9" s="3448"/>
      <c r="AZ9" s="604"/>
      <c r="BA9" s="3442">
        <f ca="1">+BB9+BC9+BD9</f>
        <v>0.10147999999999999</v>
      </c>
      <c r="BB9" s="3448">
        <f ca="1">OFFSET(Sector1!$G$9,0,(COLUMN()-6)/6)</f>
        <v>1.5619999999999998E-2</v>
      </c>
      <c r="BC9" s="3449">
        <f ca="1">OFFSET(Sector1!$G$10,0,(COLUMN()-7)/6)</f>
        <v>7.8189999999999996E-2</v>
      </c>
      <c r="BD9" s="3449">
        <f ca="1">OFFSET(Sector1!$G$11,0,(COLUMN()-7)/6)</f>
        <v>7.6699999999999997E-3</v>
      </c>
      <c r="BE9" s="3448"/>
      <c r="BF9" s="604"/>
      <c r="BG9" s="3442">
        <f ca="1">+BH9+BI9+BJ9</f>
        <v>0.12978000000000001</v>
      </c>
      <c r="BH9" s="3448">
        <f ca="1">OFFSET(Sector1!$G$9,0,(COLUMN()-6)/6)</f>
        <v>1.992E-2</v>
      </c>
      <c r="BI9" s="3449">
        <f ca="1">OFFSET(Sector1!$G$10,0,(COLUMN()-7)/6)</f>
        <v>0.10031</v>
      </c>
      <c r="BJ9" s="3449">
        <f ca="1">OFFSET(Sector1!$G$11,0,(COLUMN()-7)/6)</f>
        <v>9.5500000000000012E-3</v>
      </c>
      <c r="BK9" s="3448"/>
      <c r="BL9" s="604"/>
      <c r="BM9" s="3442">
        <f ca="1">+BN9+BO9+BP9</f>
        <v>0.13630999999999999</v>
      </c>
      <c r="BN9" s="3448">
        <f ca="1">OFFSET(Sector1!$G$9,0,(COLUMN()-6)/6)</f>
        <v>2.2589999999999999E-2</v>
      </c>
      <c r="BO9" s="3449">
        <f ca="1">OFFSET(Sector1!$G$10,0,(COLUMN()-7)/6)</f>
        <v>0.10956999999999999</v>
      </c>
      <c r="BP9" s="3449">
        <f ca="1">OFFSET(Sector1!$G$11,0,(COLUMN()-7)/6)</f>
        <v>4.15E-3</v>
      </c>
      <c r="BQ9" s="3448"/>
      <c r="BR9" s="604"/>
      <c r="BS9" s="3442">
        <f ca="1">+BT9+BU9+BV9</f>
        <v>0.16164999999999999</v>
      </c>
      <c r="BT9" s="3448">
        <f ca="1">OFFSET(Sector1!$G$9,0,(COLUMN()-6)/6)</f>
        <v>2.104E-2</v>
      </c>
      <c r="BU9" s="3449">
        <f ca="1">OFFSET(Sector1!$G$10,0,(COLUMN()-7)/6)</f>
        <v>0.13700999999999999</v>
      </c>
      <c r="BV9" s="3449">
        <f ca="1">OFFSET(Sector1!$G$11,0,(COLUMN()-7)/6)</f>
        <v>3.5999999999999999E-3</v>
      </c>
      <c r="BW9" s="3448"/>
      <c r="BX9" s="604"/>
      <c r="BY9" s="3442">
        <f ca="1">+BZ9+CA9+CB9</f>
        <v>0.18547000000000002</v>
      </c>
      <c r="BZ9" s="3448">
        <f ca="1">OFFSET(Sector1!$G$9,0,(COLUMN()-6)/6)</f>
        <v>2.4559999999999998E-2</v>
      </c>
      <c r="CA9" s="3449">
        <f ca="1">OFFSET(Sector1!$G$10,0,(COLUMN()-7)/6)</f>
        <v>0.15727000000000002</v>
      </c>
      <c r="CB9" s="3449">
        <f ca="1">OFFSET(Sector1!$G$11,0,(COLUMN()-7)/6)</f>
        <v>3.64E-3</v>
      </c>
      <c r="CC9" s="3448"/>
      <c r="CD9" s="604"/>
      <c r="CE9" s="3442">
        <f ca="1">+CF9+CG9+CH9</f>
        <v>0.18488999999999997</v>
      </c>
      <c r="CF9" s="3448">
        <f ca="1">OFFSET(Sector1!$G$9,0,(COLUMN()-6)/6)</f>
        <v>2.8829999999999998E-2</v>
      </c>
      <c r="CG9" s="3449">
        <f ca="1">OFFSET(Sector1!$G$10,0,(COLUMN()-7)/6)</f>
        <v>0.15278999999999998</v>
      </c>
      <c r="CH9" s="3449">
        <f ca="1">OFFSET(Sector1!$G$11,0,(COLUMN()-7)/6)</f>
        <v>3.2699999999999999E-3</v>
      </c>
      <c r="CI9" s="3448"/>
      <c r="CJ9" s="604"/>
      <c r="CK9" s="3442">
        <f ca="1">+CL9+CM9+CN9</f>
        <v>0.17777999999999999</v>
      </c>
      <c r="CL9" s="3448">
        <f ca="1">OFFSET(Sector1!$G$9,0,(COLUMN()-6)/6)</f>
        <v>2.1950000000000001E-2</v>
      </c>
      <c r="CM9" s="3449">
        <f ca="1">OFFSET(Sector1!$G$10,0,(COLUMN()-7)/6)</f>
        <v>0.15337000000000001</v>
      </c>
      <c r="CN9" s="3449">
        <f ca="1">OFFSET(Sector1!$G$11,0,(COLUMN()-7)/6)</f>
        <v>2.4599999999999999E-3</v>
      </c>
      <c r="CO9" s="3448"/>
      <c r="CP9" s="604"/>
      <c r="CQ9" s="3442">
        <f ca="1">+CR9+CS9+CT9</f>
        <v>0.18064</v>
      </c>
      <c r="CR9" s="3448">
        <f ca="1">OFFSET(Sector1!$G$9,0,(COLUMN()-6)/6)</f>
        <v>2.9440000000000001E-2</v>
      </c>
      <c r="CS9" s="3449">
        <f ca="1">OFFSET(Sector1!$G$10,0,(COLUMN()-7)/6)</f>
        <v>0.14898</v>
      </c>
      <c r="CT9" s="3449">
        <f ca="1">OFFSET(Sector1!$G$11,0,(COLUMN()-7)/6)</f>
        <v>2.2200000000000002E-3</v>
      </c>
      <c r="CU9" s="3448"/>
      <c r="CV9" s="604"/>
      <c r="CW9" s="3442">
        <f ca="1">+CX9+CY9+CZ9</f>
        <v>0.18798999999999996</v>
      </c>
      <c r="CX9" s="3448">
        <f ca="1">OFFSET(Sector1!$G$9,0,(COLUMN()-6)/6)</f>
        <v>2.375E-2</v>
      </c>
      <c r="CY9" s="3449">
        <f ca="1">OFFSET(Sector1!$G$10,0,(COLUMN()-7)/6)</f>
        <v>0.16141999999999998</v>
      </c>
      <c r="CZ9" s="3449">
        <f ca="1">OFFSET(Sector1!$G$11,0,(COLUMN()-7)/6)</f>
        <v>2.8200000000000005E-3</v>
      </c>
      <c r="DA9" s="3448"/>
      <c r="DB9" s="604"/>
      <c r="DC9" s="3442">
        <f ca="1">+DD9+DE9+DF9</f>
        <v>0.19524999999999998</v>
      </c>
      <c r="DD9" s="3448">
        <f ca="1">OFFSET(Sector1!$G$9,0,(COLUMN()-6)/6)</f>
        <v>2.214E-2</v>
      </c>
      <c r="DE9" s="3449">
        <f ca="1">OFFSET(Sector1!$G$10,0,(COLUMN()-7)/6)</f>
        <v>0.16938999999999999</v>
      </c>
      <c r="DF9" s="3449">
        <f ca="1">OFFSET(Sector1!$G$11,0,(COLUMN()-7)/6)</f>
        <v>3.7200000000000002E-3</v>
      </c>
      <c r="DG9" s="3448"/>
      <c r="DH9" s="604"/>
      <c r="DI9" s="3442">
        <f ca="1">+DJ9+DK9+DL9</f>
        <v>0.20701999999999998</v>
      </c>
      <c r="DJ9" s="3448">
        <f ca="1">OFFSET(Sector1!$G$9,0,(COLUMN()-6)/6)</f>
        <v>2.2120000000000001E-2</v>
      </c>
      <c r="DK9" s="3449">
        <f ca="1">OFFSET(Sector1!$G$10,0,(COLUMN()-7)/6)</f>
        <v>0.18053999999999998</v>
      </c>
      <c r="DL9" s="3449">
        <f ca="1">OFFSET(Sector1!$G$11,0,(COLUMN()-7)/6)</f>
        <v>4.3600000000000002E-3</v>
      </c>
      <c r="DM9" s="3448"/>
      <c r="DN9" s="604"/>
      <c r="DO9" s="3442">
        <f ca="1">+DP9+DQ9+DR9</f>
        <v>0.22625999999999999</v>
      </c>
      <c r="DP9" s="3448">
        <f ca="1">OFFSET(Sector1!$G$9,0,(COLUMN()-6)/6)</f>
        <v>1.7780000000000001E-2</v>
      </c>
      <c r="DQ9" s="3449">
        <f ca="1">OFFSET(Sector1!$G$10,0,(COLUMN()-7)/6)</f>
        <v>0.20343</v>
      </c>
      <c r="DR9" s="3449">
        <f ca="1">OFFSET(Sector1!$G$11,0,(COLUMN()-7)/6)</f>
        <v>5.0499999999999998E-3</v>
      </c>
      <c r="DS9" s="3448"/>
      <c r="DT9" s="604"/>
      <c r="DU9" s="3442">
        <f ca="1">+DV9+DW9+DX9</f>
        <v>0.24263000000000001</v>
      </c>
      <c r="DV9" s="3448">
        <f ca="1">OFFSET(Sector1!$G$9,0,(COLUMN()-6)/6)</f>
        <v>2.4340000000000001E-2</v>
      </c>
      <c r="DW9" s="3449">
        <f ca="1">OFFSET(Sector1!$G$10,0,(COLUMN()-7)/6)</f>
        <v>0.21567</v>
      </c>
      <c r="DX9" s="3449">
        <f ca="1">OFFSET(Sector1!$G$11,0,(COLUMN()-7)/6)</f>
        <v>2.6199999999999999E-3</v>
      </c>
      <c r="DY9" s="3448"/>
      <c r="DZ9" s="604"/>
      <c r="EA9" s="3442">
        <f ca="1">+EB9+EC9+ED9</f>
        <v>0.21969000000000002</v>
      </c>
      <c r="EB9" s="3448">
        <f ca="1">OFFSET(Sector1!$G$9,0,(COLUMN()-6)/6)</f>
        <v>2.4559999999999998E-2</v>
      </c>
      <c r="EC9" s="3449">
        <f ca="1">OFFSET(Sector1!$G$10,0,(COLUMN()-7)/6)</f>
        <v>0.19243000000000002</v>
      </c>
      <c r="ED9" s="3449">
        <f ca="1">OFFSET(Sector1!$G$11,0,(COLUMN()-7)/6)</f>
        <v>2.7000000000000001E-3</v>
      </c>
      <c r="EE9" s="3448"/>
      <c r="EF9" s="604"/>
      <c r="EG9" s="3442">
        <f ca="1">+EH9+EI9+EJ9</f>
        <v>0.23116570000000003</v>
      </c>
      <c r="EH9" s="3448">
        <f ca="1">OFFSET(Sector1!$G$9,0,(COLUMN()-6)/6)</f>
        <v>2.6279199999999999E-2</v>
      </c>
      <c r="EI9" s="3449">
        <f ca="1">OFFSET(Sector1!$G$10,0,(COLUMN()-7)/6)</f>
        <v>0.20205150000000002</v>
      </c>
      <c r="EJ9" s="3449">
        <f ca="1">OFFSET(Sector1!$G$11,0,(COLUMN()-7)/6)</f>
        <v>2.8350000000000003E-3</v>
      </c>
      <c r="EK9" s="3448"/>
      <c r="EL9" s="604"/>
      <c r="EM9" s="3442">
        <f ca="1">+EN9+EO9+EP9</f>
        <v>0.24324956900000003</v>
      </c>
      <c r="EN9" s="3448">
        <f ca="1">OFFSET(Sector1!$G$9,0,(COLUMN()-6)/6)</f>
        <v>2.8118744000000001E-2</v>
      </c>
      <c r="EO9" s="3449">
        <f ca="1">OFFSET(Sector1!$G$10,0,(COLUMN()-7)/6)</f>
        <v>0.21215407500000003</v>
      </c>
      <c r="EP9" s="3449">
        <f ca="1">OFFSET(Sector1!$G$11,0,(COLUMN()-7)/6)</f>
        <v>2.9767500000000002E-3</v>
      </c>
      <c r="EQ9" s="3448"/>
      <c r="ER9" s="604"/>
      <c r="ES9" s="3442">
        <f ca="1">+ET9+EU9+EV9</f>
        <v>0.25597442233000006</v>
      </c>
      <c r="ET9" s="3448">
        <f ca="1">OFFSET(Sector1!$G$9,0,(COLUMN()-6)/6)</f>
        <v>3.0087056080000004E-2</v>
      </c>
      <c r="EU9" s="3449">
        <f ca="1">OFFSET(Sector1!$G$10,0,(COLUMN()-7)/6)</f>
        <v>0.22276177875000003</v>
      </c>
      <c r="EV9" s="3449">
        <f ca="1">OFFSET(Sector1!$G$11,0,(COLUMN()-7)/6)</f>
        <v>3.1255875000000006E-3</v>
      </c>
      <c r="EW9" s="3448"/>
      <c r="EX9" s="604"/>
    </row>
    <row r="10" spans="1:154" ht="12.75" customHeight="1">
      <c r="A10" s="553"/>
      <c r="B10" s="600" t="s">
        <v>1767</v>
      </c>
      <c r="C10" s="3781" t="s">
        <v>1375</v>
      </c>
      <c r="D10" s="3781"/>
      <c r="E10" s="3442">
        <f ca="1">+F10+G10+H10</f>
        <v>9.7899999999999984E-3</v>
      </c>
      <c r="F10" s="3449">
        <f ca="1">OFFSET(Sector1!$G$46,0,(COLUMN()-6)/6)</f>
        <v>0</v>
      </c>
      <c r="G10" s="3449">
        <f ca="1">OFFSET(Sector1!$G$47,0,(COLUMN()-7)/6)</f>
        <v>9.7899999999999984E-3</v>
      </c>
      <c r="H10" s="3449">
        <f ca="1">OFFSET(Sector1!$G$48,0,(COLUMN()-7)/6)</f>
        <v>0</v>
      </c>
      <c r="I10" s="3449"/>
      <c r="J10" s="604"/>
      <c r="K10" s="3442">
        <f ca="1">+L10+M10+N10</f>
        <v>2.6850000000000002E-2</v>
      </c>
      <c r="L10" s="3449">
        <f ca="1">OFFSET(Sector1!$G$46,0,(COLUMN()-6)/6)</f>
        <v>0</v>
      </c>
      <c r="M10" s="3449">
        <f ca="1">OFFSET(Sector1!$G$47,0,(COLUMN()-7)/6)</f>
        <v>2.6850000000000002E-2</v>
      </c>
      <c r="N10" s="3449">
        <f ca="1">OFFSET(Sector1!$G$48,0,(COLUMN()-7)/6)</f>
        <v>0</v>
      </c>
      <c r="O10" s="3449"/>
      <c r="P10" s="604"/>
      <c r="Q10" s="3442">
        <f ca="1">+R10+S10+T10</f>
        <v>3.7999999999999999E-2</v>
      </c>
      <c r="R10" s="3449">
        <f ca="1">OFFSET(Sector1!$G$46,0,(COLUMN()-6)/6)</f>
        <v>0</v>
      </c>
      <c r="S10" s="3449">
        <f ca="1">OFFSET(Sector1!$G$47,0,(COLUMN()-7)/6)</f>
        <v>3.7999999999999999E-2</v>
      </c>
      <c r="T10" s="3449">
        <f ca="1">OFFSET(Sector1!$G$48,0,(COLUMN()-7)/6)</f>
        <v>0</v>
      </c>
      <c r="U10" s="3449"/>
      <c r="V10" s="604"/>
      <c r="W10" s="3442">
        <f ca="1">+X10+Y10+Z10</f>
        <v>2.7570000000000001E-2</v>
      </c>
      <c r="X10" s="3449">
        <f ca="1">OFFSET(Sector1!$G$46,0,(COLUMN()-6)/6)</f>
        <v>0</v>
      </c>
      <c r="Y10" s="3449">
        <f ca="1">OFFSET(Sector1!$G$47,0,(COLUMN()-7)/6)</f>
        <v>2.7570000000000001E-2</v>
      </c>
      <c r="Z10" s="3449">
        <f ca="1">OFFSET(Sector1!$G$48,0,(COLUMN()-7)/6)</f>
        <v>0</v>
      </c>
      <c r="AA10" s="3449"/>
      <c r="AB10" s="604"/>
      <c r="AC10" s="3442">
        <f ca="1">+AD10+AE10+AF10</f>
        <v>1.627E-2</v>
      </c>
      <c r="AD10" s="3449">
        <f ca="1">OFFSET(Sector1!$G$46,0,(COLUMN()-6)/6)</f>
        <v>0</v>
      </c>
      <c r="AE10" s="3449">
        <f ca="1">OFFSET(Sector1!$G$47,0,(COLUMN()-7)/6)</f>
        <v>1.627E-2</v>
      </c>
      <c r="AF10" s="3449">
        <f ca="1">OFFSET(Sector1!$G$48,0,(COLUMN()-7)/6)</f>
        <v>0</v>
      </c>
      <c r="AG10" s="3449"/>
      <c r="AH10" s="604"/>
      <c r="AI10" s="3442">
        <f ca="1">+AJ10+AK10+AL10</f>
        <v>2.5300000000000001E-3</v>
      </c>
      <c r="AJ10" s="3449">
        <f ca="1">OFFSET(Sector1!$G$46,0,(COLUMN()-6)/6)</f>
        <v>0</v>
      </c>
      <c r="AK10" s="3449">
        <f ca="1">OFFSET(Sector1!$G$47,0,(COLUMN()-7)/6)</f>
        <v>2.5300000000000001E-3</v>
      </c>
      <c r="AL10" s="3449">
        <f ca="1">OFFSET(Sector1!$G$48,0,(COLUMN()-7)/6)</f>
        <v>0</v>
      </c>
      <c r="AM10" s="3449"/>
      <c r="AN10" s="604"/>
      <c r="AO10" s="3442">
        <f ca="1">+AP10+AQ10+AR10</f>
        <v>4.342E-2</v>
      </c>
      <c r="AP10" s="3449">
        <f ca="1">OFFSET(Sector1!$G$46,0,(COLUMN()-6)/6)</f>
        <v>1.184E-2</v>
      </c>
      <c r="AQ10" s="3449">
        <f ca="1">OFFSET(Sector1!$G$47,0,(COLUMN()-7)/6)</f>
        <v>3.1579999999999997E-2</v>
      </c>
      <c r="AR10" s="3449">
        <f ca="1">OFFSET(Sector1!$G$48,0,(COLUMN()-7)/6)</f>
        <v>0</v>
      </c>
      <c r="AS10" s="3449"/>
      <c r="AT10" s="604"/>
      <c r="AU10" s="3442">
        <f ca="1">+AV10+AW10+AX10</f>
        <v>1.8100000000000002E-2</v>
      </c>
      <c r="AV10" s="3449">
        <f ca="1">OFFSET(Sector1!$G$46,0,(COLUMN()-6)/6)</f>
        <v>0</v>
      </c>
      <c r="AW10" s="3449">
        <f ca="1">OFFSET(Sector1!$G$47,0,(COLUMN()-7)/6)</f>
        <v>1.8100000000000002E-2</v>
      </c>
      <c r="AX10" s="3449">
        <f ca="1">OFFSET(Sector1!$G$48,0,(COLUMN()-7)/6)</f>
        <v>0</v>
      </c>
      <c r="AY10" s="3449"/>
      <c r="AZ10" s="604"/>
      <c r="BA10" s="3442">
        <f ca="1">+BB10+BC10+BD10</f>
        <v>2.1700000000000001E-2</v>
      </c>
      <c r="BB10" s="3449">
        <f ca="1">OFFSET(Sector1!$G$46,0,(COLUMN()-6)/6)</f>
        <v>7.5499999999999994E-3</v>
      </c>
      <c r="BC10" s="3449">
        <f ca="1">OFFSET(Sector1!$G$47,0,(COLUMN()-7)/6)</f>
        <v>1.4150000000000001E-2</v>
      </c>
      <c r="BD10" s="3449">
        <f ca="1">OFFSET(Sector1!$G$48,0,(COLUMN()-7)/6)</f>
        <v>0</v>
      </c>
      <c r="BE10" s="3449"/>
      <c r="BF10" s="604"/>
      <c r="BG10" s="3442">
        <f ca="1">+BH10+BI10+BJ10</f>
        <v>5.7709999999999997E-2</v>
      </c>
      <c r="BH10" s="3449">
        <f ca="1">OFFSET(Sector1!$G$46,0,(COLUMN()-6)/6)</f>
        <v>3.5569999999999997E-2</v>
      </c>
      <c r="BI10" s="3449">
        <f ca="1">OFFSET(Sector1!$G$47,0,(COLUMN()-7)/6)</f>
        <v>2.214E-2</v>
      </c>
      <c r="BJ10" s="3449">
        <f ca="1">OFFSET(Sector1!$G$48,0,(COLUMN()-7)/6)</f>
        <v>0</v>
      </c>
      <c r="BK10" s="3449"/>
      <c r="BL10" s="604"/>
      <c r="BM10" s="3442">
        <f ca="1">+BN10+BO10+BP10</f>
        <v>0.11549000000000001</v>
      </c>
      <c r="BN10" s="3449">
        <f ca="1">OFFSET(Sector1!$G$46,0,(COLUMN()-6)/6)</f>
        <v>9.2980000000000007E-2</v>
      </c>
      <c r="BO10" s="3449">
        <f ca="1">OFFSET(Sector1!$G$47,0,(COLUMN()-7)/6)</f>
        <v>2.2510000000000002E-2</v>
      </c>
      <c r="BP10" s="3449">
        <f ca="1">OFFSET(Sector1!$G$48,0,(COLUMN()-7)/6)</f>
        <v>0</v>
      </c>
      <c r="BQ10" s="3449"/>
      <c r="BR10" s="604"/>
      <c r="BS10" s="3442">
        <f ca="1">+BT10+BU10+BV10</f>
        <v>0.12953999999999999</v>
      </c>
      <c r="BT10" s="3449">
        <f ca="1">OFFSET(Sector1!$G$46,0,(COLUMN()-6)/6)</f>
        <v>6.3270000000000007E-2</v>
      </c>
      <c r="BU10" s="3449">
        <f ca="1">OFFSET(Sector1!$G$47,0,(COLUMN()-7)/6)</f>
        <v>6.6269999999999996E-2</v>
      </c>
      <c r="BV10" s="3449">
        <f ca="1">OFFSET(Sector1!$G$48,0,(COLUMN()-7)/6)</f>
        <v>0</v>
      </c>
      <c r="BW10" s="3449"/>
      <c r="BX10" s="604"/>
      <c r="BY10" s="3442">
        <f ca="1">+BZ10+CA10+CB10</f>
        <v>0.14280000000000001</v>
      </c>
      <c r="BZ10" s="3449">
        <f ca="1">OFFSET(Sector1!$G$46,0,(COLUMN()-6)/6)</f>
        <v>7.1400000000000005E-2</v>
      </c>
      <c r="CA10" s="3449">
        <f ca="1">OFFSET(Sector1!$G$47,0,(COLUMN()-7)/6)</f>
        <v>7.1400000000000005E-2</v>
      </c>
      <c r="CB10" s="3449">
        <f ca="1">OFFSET(Sector1!$G$48,0,(COLUMN()-7)/6)</f>
        <v>0</v>
      </c>
      <c r="CC10" s="3449"/>
      <c r="CD10" s="604"/>
      <c r="CE10" s="3442">
        <f ca="1">+CF10+CG10+CH10</f>
        <v>7.3449999999999988E-2</v>
      </c>
      <c r="CF10" s="3449">
        <f ca="1">OFFSET(Sector1!$G$46,0,(COLUMN()-6)/6)</f>
        <v>3.7039999999999997E-2</v>
      </c>
      <c r="CG10" s="3449">
        <f ca="1">OFFSET(Sector1!$G$47,0,(COLUMN()-7)/6)</f>
        <v>3.6409999999999998E-2</v>
      </c>
      <c r="CH10" s="3449">
        <f ca="1">OFFSET(Sector1!$G$48,0,(COLUMN()-7)/6)</f>
        <v>0</v>
      </c>
      <c r="CI10" s="3449"/>
      <c r="CJ10" s="604"/>
      <c r="CK10" s="3442">
        <f ca="1">+CL10+CM10+CN10</f>
        <v>8.2229999999999998E-2</v>
      </c>
      <c r="CL10" s="3449">
        <f ca="1">OFFSET(Sector1!$G$46,0,(COLUMN()-6)/6)</f>
        <v>6.3250000000000001E-2</v>
      </c>
      <c r="CM10" s="3449">
        <f ca="1">OFFSET(Sector1!$G$47,0,(COLUMN()-7)/6)</f>
        <v>1.898E-2</v>
      </c>
      <c r="CN10" s="3449">
        <f ca="1">OFFSET(Sector1!$G$48,0,(COLUMN()-7)/6)</f>
        <v>0</v>
      </c>
      <c r="CO10" s="3449"/>
      <c r="CP10" s="604"/>
      <c r="CQ10" s="3442">
        <f ca="1">+CR10+CS10+CT10</f>
        <v>6.7989999999999995E-2</v>
      </c>
      <c r="CR10" s="3449">
        <f ca="1">OFFSET(Sector1!$G$46,0,(COLUMN()-6)/6)</f>
        <v>2.2339999999999999E-2</v>
      </c>
      <c r="CS10" s="3449">
        <f ca="1">OFFSET(Sector1!$G$47,0,(COLUMN()-7)/6)</f>
        <v>4.5649999999999996E-2</v>
      </c>
      <c r="CT10" s="3449">
        <f ca="1">OFFSET(Sector1!$G$48,0,(COLUMN()-7)/6)</f>
        <v>0</v>
      </c>
      <c r="CU10" s="3449"/>
      <c r="CV10" s="604"/>
      <c r="CW10" s="3442">
        <f ca="1">+CX10+CY10+CZ10</f>
        <v>5.8620000000000005E-2</v>
      </c>
      <c r="CX10" s="3449">
        <f ca="1">OFFSET(Sector1!$G$46,0,(COLUMN()-6)/6)</f>
        <v>3.1730000000000001E-2</v>
      </c>
      <c r="CY10" s="3449">
        <f ca="1">OFFSET(Sector1!$G$47,0,(COLUMN()-7)/6)</f>
        <v>2.6890000000000001E-2</v>
      </c>
      <c r="CZ10" s="3449">
        <f ca="1">OFFSET(Sector1!$G$48,0,(COLUMN()-7)/6)</f>
        <v>0</v>
      </c>
      <c r="DA10" s="3449"/>
      <c r="DB10" s="604"/>
      <c r="DC10" s="3442">
        <f ca="1">+DD10+DE10+DF10</f>
        <v>6.0769999999999998E-2</v>
      </c>
      <c r="DD10" s="3449">
        <f ca="1">OFFSET(Sector1!$G$46,0,(COLUMN()-6)/6)</f>
        <v>3.5049999999999998E-2</v>
      </c>
      <c r="DE10" s="3449">
        <f ca="1">OFFSET(Sector1!$G$47,0,(COLUMN()-7)/6)</f>
        <v>2.572E-2</v>
      </c>
      <c r="DF10" s="3449">
        <f ca="1">OFFSET(Sector1!$G$48,0,(COLUMN()-7)/6)</f>
        <v>0</v>
      </c>
      <c r="DG10" s="3449"/>
      <c r="DH10" s="604"/>
      <c r="DI10" s="3442">
        <f ca="1">+DJ10+DK10+DL10</f>
        <v>6.497E-2</v>
      </c>
      <c r="DJ10" s="3449">
        <f ca="1">OFFSET(Sector1!$G$46,0,(COLUMN()-6)/6)</f>
        <v>1.5939999999999999E-2</v>
      </c>
      <c r="DK10" s="3449">
        <f ca="1">OFFSET(Sector1!$G$47,0,(COLUMN()-7)/6)</f>
        <v>4.9030000000000004E-2</v>
      </c>
      <c r="DL10" s="3449">
        <f ca="1">OFFSET(Sector1!$G$48,0,(COLUMN()-7)/6)</f>
        <v>0</v>
      </c>
      <c r="DM10" s="3449"/>
      <c r="DN10" s="604"/>
      <c r="DO10" s="3442">
        <f ca="1">+DP10+DQ10+DR10</f>
        <v>6.4979999999999996E-2</v>
      </c>
      <c r="DP10" s="3449">
        <f ca="1">OFFSET(Sector1!$G$46,0,(COLUMN()-6)/6)</f>
        <v>1.7649999999999999E-2</v>
      </c>
      <c r="DQ10" s="3449">
        <f ca="1">OFFSET(Sector1!$G$47,0,(COLUMN()-7)/6)</f>
        <v>4.7329999999999997E-2</v>
      </c>
      <c r="DR10" s="3449">
        <f ca="1">OFFSET(Sector1!$G$48,0,(COLUMN()-7)/6)</f>
        <v>0</v>
      </c>
      <c r="DS10" s="3449"/>
      <c r="DT10" s="604"/>
      <c r="DU10" s="3442">
        <f ca="1">+DV10+DW10+DX10</f>
        <v>9.5339999999999994E-2</v>
      </c>
      <c r="DV10" s="3449">
        <f ca="1">OFFSET(Sector1!$G$46,0,(COLUMN()-6)/6)</f>
        <v>3.4369999999999998E-2</v>
      </c>
      <c r="DW10" s="3449">
        <f ca="1">OFFSET(Sector1!$G$47,0,(COLUMN()-7)/6)</f>
        <v>6.0969999999999996E-2</v>
      </c>
      <c r="DX10" s="3449">
        <f ca="1">OFFSET(Sector1!$G$48,0,(COLUMN()-7)/6)</f>
        <v>0</v>
      </c>
      <c r="DY10" s="3449"/>
      <c r="DZ10" s="604"/>
      <c r="EA10" s="3442">
        <f ca="1">+EB10+EC10+ED10</f>
        <v>9.1490000000000002E-2</v>
      </c>
      <c r="EB10" s="3449">
        <f ca="1">OFFSET(Sector1!$G$46,0,(COLUMN()-6)/6)</f>
        <v>1.8620000000000001E-2</v>
      </c>
      <c r="EC10" s="3449">
        <f ca="1">OFFSET(Sector1!$G$47,0,(COLUMN()-7)/6)</f>
        <v>7.2870000000000004E-2</v>
      </c>
      <c r="ED10" s="3449">
        <f ca="1">OFFSET(Sector1!$G$48,0,(COLUMN()-7)/6)</f>
        <v>0</v>
      </c>
      <c r="EE10" s="3449"/>
      <c r="EF10" s="604"/>
      <c r="EG10" s="3442">
        <f ca="1">+EH10+EI10+EJ10</f>
        <v>9.1490000000000002E-2</v>
      </c>
      <c r="EH10" s="3449">
        <f ca="1">OFFSET(Sector1!$G$46,0,(COLUMN()-6)/6)</f>
        <v>1.8620000000000001E-2</v>
      </c>
      <c r="EI10" s="3449">
        <f ca="1">OFFSET(Sector1!$G$47,0,(COLUMN()-7)/6)</f>
        <v>7.2870000000000004E-2</v>
      </c>
      <c r="EJ10" s="3449">
        <f ca="1">OFFSET(Sector1!$G$48,0,(COLUMN()-7)/6)</f>
        <v>0</v>
      </c>
      <c r="EK10" s="3449"/>
      <c r="EL10" s="604"/>
      <c r="EM10" s="3442">
        <f ca="1">+EN10+EO10+EP10</f>
        <v>9.1490000000000002E-2</v>
      </c>
      <c r="EN10" s="3449">
        <f ca="1">OFFSET(Sector1!$G$46,0,(COLUMN()-6)/6)</f>
        <v>1.8620000000000001E-2</v>
      </c>
      <c r="EO10" s="3449">
        <f ca="1">OFFSET(Sector1!$G$47,0,(COLUMN()-7)/6)</f>
        <v>7.2870000000000004E-2</v>
      </c>
      <c r="EP10" s="3449">
        <f ca="1">OFFSET(Sector1!$G$48,0,(COLUMN()-7)/6)</f>
        <v>0</v>
      </c>
      <c r="EQ10" s="3449"/>
      <c r="ER10" s="604"/>
      <c r="ES10" s="3442">
        <f ca="1">+ET10+EU10+EV10</f>
        <v>9.1490000000000002E-2</v>
      </c>
      <c r="ET10" s="3449">
        <f ca="1">OFFSET(Sector1!$G$46,0,(COLUMN()-6)/6)</f>
        <v>1.8620000000000001E-2</v>
      </c>
      <c r="EU10" s="3449">
        <f ca="1">OFFSET(Sector1!$G$47,0,(COLUMN()-7)/6)</f>
        <v>7.2870000000000004E-2</v>
      </c>
      <c r="EV10" s="3449">
        <f ca="1">OFFSET(Sector1!$G$48,0,(COLUMN()-7)/6)</f>
        <v>0</v>
      </c>
      <c r="EW10" s="3449"/>
      <c r="EX10" s="604"/>
    </row>
    <row r="11" spans="1:154" ht="12.75" customHeight="1">
      <c r="A11" s="553"/>
      <c r="B11" s="600" t="s">
        <v>401</v>
      </c>
      <c r="C11" s="3781" t="s">
        <v>1376</v>
      </c>
      <c r="D11" s="3782"/>
      <c r="E11" s="3450">
        <f ca="1">+F11+G11+H11</f>
        <v>2.9019599999999999</v>
      </c>
      <c r="F11" s="3451">
        <f ca="1">OFFSET(Labour1!$G$209,0,(COLUMN()-6)/6)</f>
        <v>0.13669000000000001</v>
      </c>
      <c r="G11" s="3452">
        <f ca="1">OFFSET(Labour1!$G$210,0,(COLUMN()-7)/6)</f>
        <v>2.0170599999999999</v>
      </c>
      <c r="H11" s="3452">
        <f ca="1">OFFSET(Labour1!$G$211,0,(COLUMN()-8)/6)</f>
        <v>0.74821000000000004</v>
      </c>
      <c r="I11" s="3452">
        <f ca="1">OFFSET(Labour1!$G$216,0,(COLUMN()-9)/6)</f>
        <v>-5.7924003707136244E-4</v>
      </c>
      <c r="J11" s="604"/>
      <c r="K11" s="3450">
        <f ca="1">+L11+M11+N11</f>
        <v>3.6906499999999998</v>
      </c>
      <c r="L11" s="3451">
        <f ca="1">OFFSET(Labour1!$G$209,0,(COLUMN()-6)/6)</f>
        <v>0.14573</v>
      </c>
      <c r="M11" s="3452">
        <f ca="1">OFFSET(Labour1!$G$210,0,(COLUMN()-7)/6)</f>
        <v>2.5295700000000001</v>
      </c>
      <c r="N11" s="3452">
        <f ca="1">OFFSET(Labour1!$G$211,0,(COLUMN()-8)/6)</f>
        <v>1.01535</v>
      </c>
      <c r="O11" s="3452">
        <f ca="1">OFFSET(Labour1!$G$216,0,(COLUMN()-9)/6)</f>
        <v>-3.6492122335495827E-2</v>
      </c>
      <c r="P11" s="604"/>
      <c r="Q11" s="3450">
        <f ca="1">+R11+S11+T11</f>
        <v>4.5364100000000001</v>
      </c>
      <c r="R11" s="3451">
        <f ca="1">OFFSET(Labour1!$G$209,0,(COLUMN()-6)/6)</f>
        <v>0.18937000000000001</v>
      </c>
      <c r="S11" s="3452">
        <f ca="1">OFFSET(Labour1!$G$210,0,(COLUMN()-7)/6)</f>
        <v>3.0486399999999998</v>
      </c>
      <c r="T11" s="3452">
        <f ca="1">OFFSET(Labour1!$G$211,0,(COLUMN()-8)/6)</f>
        <v>1.2984</v>
      </c>
      <c r="U11" s="3452">
        <f ca="1">OFFSET(Labour1!$G$216,0,(COLUMN()-9)/6)</f>
        <v>-6.4874884151992593E-2</v>
      </c>
      <c r="V11" s="604"/>
      <c r="W11" s="3450">
        <f ca="1">+X11+Y11+Z11</f>
        <v>5.4153899999999995</v>
      </c>
      <c r="X11" s="3451">
        <f ca="1">OFFSET(Labour1!$G$209,0,(COLUMN()-6)/6)</f>
        <v>0.25024999999999997</v>
      </c>
      <c r="Y11" s="3452">
        <f ca="1">OFFSET(Labour1!$G$210,0,(COLUMN()-7)/6)</f>
        <v>3.5181399999999998</v>
      </c>
      <c r="Z11" s="3452">
        <f ca="1">OFFSET(Labour1!$G$211,0,(COLUMN()-8)/6)</f>
        <v>1.647</v>
      </c>
      <c r="AA11" s="3452">
        <f ca="1">OFFSET(Labour1!$G$216,0,(COLUMN()-9)/6)</f>
        <v>-6.9798424467099163E-2</v>
      </c>
      <c r="AB11" s="604"/>
      <c r="AC11" s="3450">
        <f ca="1">+AD11+AE11+AF11</f>
        <v>5.4537800000000001</v>
      </c>
      <c r="AD11" s="3451">
        <f ca="1">OFFSET(Labour1!$G$209,0,(COLUMN()-6)/6)</f>
        <v>0.1721</v>
      </c>
      <c r="AE11" s="3452">
        <f ca="1">OFFSET(Labour1!$G$210,0,(COLUMN()-7)/6)</f>
        <v>3.5856500000000002</v>
      </c>
      <c r="AF11" s="3452">
        <f ca="1">OFFSET(Labour1!$G$211,0,(COLUMN()-8)/6)</f>
        <v>1.6960299999999999</v>
      </c>
      <c r="AG11" s="3452">
        <f ca="1">OFFSET(Labour1!$G$216,0,(COLUMN()-9)/6)</f>
        <v>-5.0393883225208526E-2</v>
      </c>
      <c r="AH11" s="604"/>
      <c r="AI11" s="3450">
        <f ca="1">+AJ11+AK11+AL11</f>
        <v>5.2228399999999997</v>
      </c>
      <c r="AJ11" s="3451">
        <f ca="1">OFFSET(Labour1!$G$209,0,(COLUMN()-6)/6)</f>
        <v>0.24402000000000001</v>
      </c>
      <c r="AK11" s="3452">
        <f ca="1">OFFSET(Labour1!$G$210,0,(COLUMN()-7)/6)</f>
        <v>3.3712399999999998</v>
      </c>
      <c r="AL11" s="3452">
        <f ca="1">OFFSET(Labour1!$G$211,0,(COLUMN()-8)/6)</f>
        <v>1.60758</v>
      </c>
      <c r="AM11" s="3452">
        <f ca="1">OFFSET(Labour1!$G$216,0,(COLUMN()-9)/6)</f>
        <v>1.2743280815569975E-2</v>
      </c>
      <c r="AN11" s="604"/>
      <c r="AO11" s="3450">
        <f ca="1">+AP11+AQ11+AR11</f>
        <v>5.3652800000000003</v>
      </c>
      <c r="AP11" s="3451">
        <f ca="1">OFFSET(Labour1!$G$209,0,(COLUMN()-6)/6)</f>
        <v>0.29619999999999996</v>
      </c>
      <c r="AQ11" s="3452">
        <f ca="1">OFFSET(Labour1!$G$210,0,(COLUMN()-7)/6)</f>
        <v>3.41967</v>
      </c>
      <c r="AR11" s="3452">
        <f ca="1">OFFSET(Labour1!$G$211,0,(COLUMN()-8)/6)</f>
        <v>1.64941</v>
      </c>
      <c r="AS11" s="3452">
        <f ca="1">OFFSET(Labour1!$G$216,0,(COLUMN()-9)/6)</f>
        <v>5.5317423540315103E-2</v>
      </c>
      <c r="AT11" s="604"/>
      <c r="AU11" s="3450">
        <f ca="1">+AV11+AW11+AX11</f>
        <v>5.8103099999999994</v>
      </c>
      <c r="AV11" s="3451">
        <f ca="1">OFFSET(Labour1!$G$209,0,(COLUMN()-6)/6)</f>
        <v>0.32375999999999999</v>
      </c>
      <c r="AW11" s="3452">
        <f ca="1">OFFSET(Labour1!$G$210,0,(COLUMN()-7)/6)</f>
        <v>3.7725399999999998</v>
      </c>
      <c r="AX11" s="3452">
        <f ca="1">OFFSET(Labour1!$G$211,0,(COLUMN()-8)/6)</f>
        <v>1.71401</v>
      </c>
      <c r="AY11" s="3452">
        <f ca="1">OFFSET(Labour1!$G$216,0,(COLUMN()-9)/6)</f>
        <v>6.7191844300278039E-2</v>
      </c>
      <c r="AZ11" s="604"/>
      <c r="BA11" s="3450">
        <f ca="1">+BB11+BC11+BD11</f>
        <v>6.4430399999999999</v>
      </c>
      <c r="BB11" s="3451">
        <f ca="1">OFFSET(Labour1!$G$209,0,(COLUMN()-6)/6)</f>
        <v>0.35852999999999996</v>
      </c>
      <c r="BC11" s="3452">
        <f ca="1">OFFSET(Labour1!$G$210,0,(COLUMN()-7)/6)</f>
        <v>4.2979799999999999</v>
      </c>
      <c r="BD11" s="3452">
        <f ca="1">OFFSET(Labour1!$G$211,0,(COLUMN()-8)/6)</f>
        <v>1.78653</v>
      </c>
      <c r="BE11" s="3452">
        <f ca="1">OFFSET(Labour1!$G$216,0,(COLUMN()-9)/6)</f>
        <v>4.6918443002780356E-2</v>
      </c>
      <c r="BF11" s="604"/>
      <c r="BG11" s="3450">
        <f ca="1">+BH11+BI11+BJ11</f>
        <v>7.3100900000000006</v>
      </c>
      <c r="BH11" s="3451">
        <f ca="1">OFFSET(Labour1!$G$209,0,(COLUMN()-6)/6)</f>
        <v>0.39130000000000004</v>
      </c>
      <c r="BI11" s="3452">
        <f ca="1">OFFSET(Labour1!$G$210,0,(COLUMN()-7)/6)</f>
        <v>4.9501200000000001</v>
      </c>
      <c r="BJ11" s="3452">
        <f ca="1">OFFSET(Labour1!$G$211,0,(COLUMN()-8)/6)</f>
        <v>1.9686700000000001</v>
      </c>
      <c r="BK11" s="3452">
        <f ca="1">OFFSET(Labour1!$G$216,0,(COLUMN()-9)/6)</f>
        <v>0.14452038924930491</v>
      </c>
      <c r="BL11" s="604"/>
      <c r="BM11" s="3450">
        <f ca="1">+BN11+BO11+BP11</f>
        <v>8.5200200000000006</v>
      </c>
      <c r="BN11" s="3451">
        <f ca="1">OFFSET(Labour1!$G$209,0,(COLUMN()-6)/6)</f>
        <v>0.44927</v>
      </c>
      <c r="BO11" s="3452">
        <f ca="1">OFFSET(Labour1!$G$210,0,(COLUMN()-7)/6)</f>
        <v>5.9176700000000002</v>
      </c>
      <c r="BP11" s="3452">
        <f ca="1">OFFSET(Labour1!$G$211,0,(COLUMN()-8)/6)</f>
        <v>2.1530800000000001</v>
      </c>
      <c r="BQ11" s="3452">
        <f ca="1">OFFSET(Labour1!$G$216,0,(COLUMN()-9)/6)</f>
        <v>0.185</v>
      </c>
      <c r="BR11" s="604"/>
      <c r="BS11" s="3450">
        <f ca="1">+BT11+BU11+BV11</f>
        <v>10.2773</v>
      </c>
      <c r="BT11" s="3451">
        <f ca="1">OFFSET(Labour1!$G$209,0,(COLUMN()-6)/6)</f>
        <v>0.54009000000000007</v>
      </c>
      <c r="BU11" s="3452">
        <f ca="1">OFFSET(Labour1!$G$210,0,(COLUMN()-7)/6)</f>
        <v>7.2326000000000006</v>
      </c>
      <c r="BV11" s="3452">
        <f ca="1">OFFSET(Labour1!$G$211,0,(COLUMN()-8)/6)</f>
        <v>2.50461</v>
      </c>
      <c r="BW11" s="3452">
        <f ca="1">OFFSET(Labour1!$G$216,0,(COLUMN()-9)/6)</f>
        <v>0.20200000000000001</v>
      </c>
      <c r="BX11" s="604"/>
      <c r="BY11" s="3450">
        <f ca="1">+BZ11+CA11+CB11</f>
        <v>12.325889999999998</v>
      </c>
      <c r="BZ11" s="3451">
        <f ca="1">OFFSET(Labour1!$G$209,0,(COLUMN()-6)/6)</f>
        <v>0.73077000000000003</v>
      </c>
      <c r="CA11" s="3452">
        <f ca="1">OFFSET(Labour1!$G$210,0,(COLUMN()-7)/6)</f>
        <v>8.7606399999999987</v>
      </c>
      <c r="CB11" s="3452">
        <f ca="1">OFFSET(Labour1!$G$211,0,(COLUMN()-8)/6)</f>
        <v>2.8344800000000001</v>
      </c>
      <c r="CC11" s="3452">
        <f ca="1">OFFSET(Labour1!$G$216,0,(COLUMN()-9)/6)</f>
        <v>0.159</v>
      </c>
      <c r="CD11" s="604"/>
      <c r="CE11" s="3450">
        <f ca="1">+CF11+CG11+CH11</f>
        <v>14.35507</v>
      </c>
      <c r="CF11" s="3451">
        <f ca="1">OFFSET(Labour1!$G$209,0,(COLUMN()-6)/6)</f>
        <v>0.76090000000000002</v>
      </c>
      <c r="CG11" s="3452">
        <f ca="1">OFFSET(Labour1!$G$210,0,(COLUMN()-7)/6)</f>
        <v>10.118370000000001</v>
      </c>
      <c r="CH11" s="3452">
        <f ca="1">OFFSET(Labour1!$G$211,0,(COLUMN()-8)/6)</f>
        <v>3.4758</v>
      </c>
      <c r="CI11" s="3452">
        <f ca="1">OFFSET(Labour1!$G$216,0,(COLUMN()-9)/6)</f>
        <v>9.5000000000000001E-2</v>
      </c>
      <c r="CJ11" s="604"/>
      <c r="CK11" s="3450">
        <f ca="1">+CL11+CM11+CN11</f>
        <v>11.978259999999999</v>
      </c>
      <c r="CL11" s="3451">
        <f ca="1">OFFSET(Labour1!$G$209,0,(COLUMN()-6)/6)</f>
        <v>0.55355999999999994</v>
      </c>
      <c r="CM11" s="3452">
        <f ca="1">OFFSET(Labour1!$G$210,0,(COLUMN()-7)/6)</f>
        <v>8.0144400000000005</v>
      </c>
      <c r="CN11" s="3452">
        <f ca="1">OFFSET(Labour1!$G$211,0,(COLUMN()-8)/6)</f>
        <v>3.4102600000000001</v>
      </c>
      <c r="CO11" s="3452">
        <f ca="1">OFFSET(Labour1!$G$216,0,(COLUMN()-9)/6)</f>
        <v>1.7000000000000001E-2</v>
      </c>
      <c r="CP11" s="604"/>
      <c r="CQ11" s="3450">
        <f ca="1">+CR11+CS11+CT11</f>
        <v>11.46996</v>
      </c>
      <c r="CR11" s="3451">
        <f ca="1">OFFSET(Labour1!$G$209,0,(COLUMN()-6)/6)</f>
        <v>0.46087</v>
      </c>
      <c r="CS11" s="3452">
        <f ca="1">OFFSET(Labour1!$G$210,0,(COLUMN()-7)/6)</f>
        <v>7.9502499999999996</v>
      </c>
      <c r="CT11" s="3452">
        <f ca="1">OFFSET(Labour1!$G$211,0,(COLUMN()-8)/6)</f>
        <v>3.05884</v>
      </c>
      <c r="CU11" s="3452">
        <f ca="1">OFFSET(Labour1!$G$216,0,(COLUMN()-9)/6)</f>
        <v>0.17100000000000001</v>
      </c>
      <c r="CV11" s="604"/>
      <c r="CW11" s="3450">
        <f ca="1">+CX11+CY11+CZ11</f>
        <v>12.29609</v>
      </c>
      <c r="CX11" s="3451">
        <f ca="1">OFFSET(Labour1!$G$209,0,(COLUMN()-6)/6)</f>
        <v>0.4718</v>
      </c>
      <c r="CY11" s="3452">
        <f ca="1">OFFSET(Labour1!$G$210,0,(COLUMN()-7)/6)</f>
        <v>8.6269599999999986</v>
      </c>
      <c r="CZ11" s="3452">
        <f ca="1">OFFSET(Labour1!$G$211,0,(COLUMN()-8)/6)</f>
        <v>3.19733</v>
      </c>
      <c r="DA11" s="3452">
        <f ca="1">OFFSET(Labour1!$G$216,0,(COLUMN()-9)/6)</f>
        <v>0.13700000000000001</v>
      </c>
      <c r="DB11" s="604"/>
      <c r="DC11" s="3450">
        <f ca="1">+DD11+DE11+DF11</f>
        <v>12.97705</v>
      </c>
      <c r="DD11" s="3451">
        <f ca="1">OFFSET(Labour1!$G$209,0,(COLUMN()-6)/6)</f>
        <v>0.45989999999999998</v>
      </c>
      <c r="DE11" s="3452">
        <f ca="1">OFFSET(Labour1!$G$210,0,(COLUMN()-7)/6)</f>
        <v>9.2755400000000012</v>
      </c>
      <c r="DF11" s="3452">
        <f ca="1">OFFSET(Labour1!$G$211,0,(COLUMN()-8)/6)</f>
        <v>3.2416100000000001</v>
      </c>
      <c r="DG11" s="3452">
        <f ca="1">OFFSET(Labour1!$G$216,0,(COLUMN()-9)/6)</f>
        <v>2.1000000000000001E-2</v>
      </c>
      <c r="DH11" s="604"/>
      <c r="DI11" s="3450">
        <f ca="1">+DJ11+DK11+DL11</f>
        <v>13.742620000000001</v>
      </c>
      <c r="DJ11" s="3451">
        <f ca="1">OFFSET(Labour1!$G$209,0,(COLUMN()-6)/6)</f>
        <v>0.48381999999999997</v>
      </c>
      <c r="DK11" s="3452">
        <f ca="1">OFFSET(Labour1!$G$210,0,(COLUMN()-7)/6)</f>
        <v>9.9203500000000009</v>
      </c>
      <c r="DL11" s="3452">
        <f ca="1">OFFSET(Labour1!$G$211,0,(COLUMN()-8)/6)</f>
        <v>3.3384499999999999</v>
      </c>
      <c r="DM11" s="3452">
        <f ca="1">OFFSET(Labour1!$G$216,0,(COLUMN()-9)/6)</f>
        <v>3.6999999999999998E-2</v>
      </c>
      <c r="DN11" s="604"/>
      <c r="DO11" s="3450">
        <f ca="1">+DP11+DQ11+DR11</f>
        <v>14.623929999999998</v>
      </c>
      <c r="DP11" s="3451">
        <f ca="1">OFFSET(Labour1!$G$209,0,(COLUMN()-6)/6)</f>
        <v>0.49345</v>
      </c>
      <c r="DQ11" s="3452">
        <f ca="1">OFFSET(Labour1!$G$210,0,(COLUMN()-7)/6)</f>
        <v>10.668329999999999</v>
      </c>
      <c r="DR11" s="3452">
        <f ca="1">OFFSET(Labour1!$G$211,0,(COLUMN()-8)/6)</f>
        <v>3.4621500000000003</v>
      </c>
      <c r="DS11" s="3453">
        <f ca="1">OFFSET(Labour1!$G$216,0,(COLUMN()-9)/6)</f>
        <v>-1.7999999999999999E-2</v>
      </c>
      <c r="DT11" s="604"/>
      <c r="DU11" s="3450">
        <f ca="1">+DV11+DW11+DX11</f>
        <v>15.637279999999999</v>
      </c>
      <c r="DV11" s="3451">
        <f ca="1">OFFSET(Labour1!$G$209,0,(COLUMN()-6)/6)</f>
        <v>0.50648000000000004</v>
      </c>
      <c r="DW11" s="3452">
        <f ca="1">OFFSET(Labour1!$G$210,0,(COLUMN()-7)/6)</f>
        <v>11.52549</v>
      </c>
      <c r="DX11" s="3452">
        <f ca="1">OFFSET(Labour1!$G$211,0,(COLUMN()-8)/6)</f>
        <v>3.6053099999999998</v>
      </c>
      <c r="DY11" s="3452">
        <f ca="1">OFFSET(Labour1!$G$216,0,(COLUMN()-9)/6)</f>
        <v>-1E-3</v>
      </c>
      <c r="DZ11" s="604"/>
      <c r="EA11" s="3450">
        <f ca="1">+EB11+EC11+ED11</f>
        <v>16.929069999999999</v>
      </c>
      <c r="EB11" s="3451">
        <f ca="1">OFFSET(Labour1!$G$209,0,(COLUMN()-6)/6)</f>
        <v>0.48932999999999999</v>
      </c>
      <c r="EC11" s="3452">
        <f ca="1">OFFSET(Labour1!$G$210,0,(COLUMN()-7)/6)</f>
        <v>12.63739</v>
      </c>
      <c r="ED11" s="3452">
        <f ca="1">OFFSET(Labour1!$G$211,0,(COLUMN()-8)/6)</f>
        <v>3.8023500000000001</v>
      </c>
      <c r="EE11" s="3452">
        <f ca="1">OFFSET(Labour1!$G$216,0,(COLUMN()-9)/6)</f>
        <v>-4.7E-2</v>
      </c>
      <c r="EF11" s="604"/>
      <c r="EG11" s="3450">
        <f ca="1">+EH11+EI11+EJ11</f>
        <v>18.449630000000003</v>
      </c>
      <c r="EH11" s="3451">
        <f ca="1">OFFSET(Labour1!$G$209,0,(COLUMN()-6)/6)</f>
        <v>0.52113644999999997</v>
      </c>
      <c r="EI11" s="3452">
        <f ca="1">OFFSET(Labour1!$G$210,0,(COLUMN()-7)/6)</f>
        <v>13.926518249273876</v>
      </c>
      <c r="EJ11" s="3452">
        <f ca="1">OFFSET(Labour1!$G$211,0,(COLUMN()-8)/6)</f>
        <v>4.0019753007261274</v>
      </c>
      <c r="EK11" s="3452">
        <f ca="1">OFFSET(Labour1!$G$216,0,(COLUMN()-9)/6)</f>
        <v>0</v>
      </c>
      <c r="EL11" s="604"/>
      <c r="EM11" s="3450">
        <f ca="1">+EN11+EO11+EP11</f>
        <v>19.549555182988733</v>
      </c>
      <c r="EN11" s="3451">
        <f ca="1">OFFSET(Labour1!$G$209,0,(COLUMN()-6)/6)</f>
        <v>0.55501031924999999</v>
      </c>
      <c r="EO11" s="3452">
        <f ca="1">OFFSET(Labour1!$G$210,0,(COLUMN()-7)/6)</f>
        <v>14.79072867706623</v>
      </c>
      <c r="EP11" s="3452">
        <f ca="1">OFFSET(Labour1!$G$211,0,(COLUMN()-8)/6)</f>
        <v>4.2038161866725012</v>
      </c>
      <c r="EQ11" s="3452">
        <f ca="1">OFFSET(Labour1!$G$216,0,(COLUMN()-9)/6)</f>
        <v>0</v>
      </c>
      <c r="ER11" s="604"/>
      <c r="ES11" s="3450">
        <f ca="1">+ET11+EU11+EV11</f>
        <v>20.686003495864497</v>
      </c>
      <c r="ET11" s="3451">
        <f ca="1">OFFSET(Labour1!$G$209,0,(COLUMN()-6)/6)</f>
        <v>0.58831093840500004</v>
      </c>
      <c r="EU11" s="3452">
        <f ca="1">OFFSET(Labour1!$G$210,0,(COLUMN()-7)/6)</f>
        <v>15.662483697455624</v>
      </c>
      <c r="EV11" s="3452">
        <f ca="1">OFFSET(Labour1!$G$211,0,(COLUMN()-8)/6)</f>
        <v>4.435208860003871</v>
      </c>
      <c r="EW11" s="3452">
        <f ca="1">OFFSET(Labour1!$G$216,0,(COLUMN()-9)/6)</f>
        <v>0</v>
      </c>
      <c r="EX11" s="604"/>
    </row>
    <row r="12" spans="1:154" s="557" customFormat="1" ht="13.5" customHeight="1" thickBot="1">
      <c r="A12" s="555"/>
      <c r="B12" s="3445" t="s">
        <v>1769</v>
      </c>
      <c r="C12" s="3785" t="s">
        <v>1377</v>
      </c>
      <c r="D12" s="3786"/>
      <c r="E12" s="3454">
        <f ca="1">+E8-E9+E10-E11</f>
        <v>4.0080800000000005</v>
      </c>
      <c r="F12" s="3454">
        <f ca="1">+F8-F9+F10-F11</f>
        <v>1.69865</v>
      </c>
      <c r="G12" s="3454">
        <f ca="1">+G8-G9+G10-G11</f>
        <v>1.9613500000000004</v>
      </c>
      <c r="H12" s="3454">
        <f ca="1">+H8-H9+H10-H11</f>
        <v>0.34807999999999995</v>
      </c>
      <c r="I12" s="3455"/>
      <c r="J12" s="604"/>
      <c r="K12" s="3454">
        <f ca="1">+K8-K9+K10-K11</f>
        <v>5.0145900000000019</v>
      </c>
      <c r="L12" s="3454">
        <f ca="1">+L8-L9+L10-L11</f>
        <v>2.12385</v>
      </c>
      <c r="M12" s="3454">
        <f ca="1">+M8-M9+M10-M11</f>
        <v>2.5028399999999995</v>
      </c>
      <c r="N12" s="3454">
        <f ca="1">+N8-N9+N10-N11</f>
        <v>0.38789000000000007</v>
      </c>
      <c r="O12" s="3455"/>
      <c r="P12" s="604"/>
      <c r="Q12" s="3454">
        <f ca="1">+Q8-Q9+Q10-Q11</f>
        <v>5.7034199999999995</v>
      </c>
      <c r="R12" s="3454">
        <f ca="1">+R8-R9+R10-R11</f>
        <v>2.3989400000000001</v>
      </c>
      <c r="S12" s="3454">
        <f ca="1">+S8-S9+S10-S11</f>
        <v>2.8781900000000009</v>
      </c>
      <c r="T12" s="3454">
        <f ca="1">+T8-T9+T10-T11</f>
        <v>0.42628999999999984</v>
      </c>
      <c r="U12" s="3455"/>
      <c r="V12" s="604"/>
      <c r="W12" s="3454">
        <f ca="1">+W8-W9+W10-W11</f>
        <v>5.9481600000000006</v>
      </c>
      <c r="X12" s="3454">
        <f ca="1">+X8-X9+X10-X11</f>
        <v>2.57579</v>
      </c>
      <c r="Y12" s="3454">
        <f ca="1">+Y8-Y9+Y10-Y11</f>
        <v>2.9327699999999997</v>
      </c>
      <c r="Z12" s="3454">
        <f ca="1">+Z8-Z9+Z10-Z11</f>
        <v>0.43959999999999977</v>
      </c>
      <c r="AA12" s="3455"/>
      <c r="AB12" s="604"/>
      <c r="AC12" s="3454">
        <f ca="1">+AC8-AC9+AC10-AC11</f>
        <v>5.6471300000000024</v>
      </c>
      <c r="AD12" s="3454">
        <f ca="1">+AD8-AD9+AD10-AD11</f>
        <v>2.5122100000000005</v>
      </c>
      <c r="AE12" s="3454">
        <f ca="1">+AE8-AE9+AE10-AE11</f>
        <v>2.6909900000000002</v>
      </c>
      <c r="AF12" s="3454">
        <f ca="1">+AF8-AF9+AF10-AF11</f>
        <v>0.44392999999999994</v>
      </c>
      <c r="AG12" s="3455"/>
      <c r="AH12" s="604"/>
      <c r="AI12" s="3454">
        <f ca="1">+AI8-AI9+AI10-AI11</f>
        <v>6.5773900000000012</v>
      </c>
      <c r="AJ12" s="3454">
        <f ca="1">+AJ8-AJ9+AJ10-AJ11</f>
        <v>2.5169999999999999</v>
      </c>
      <c r="AK12" s="3454">
        <f ca="1">+AK8-AK9+AK10-AK11</f>
        <v>3.6106800000000008</v>
      </c>
      <c r="AL12" s="3454">
        <f ca="1">+AL8-AL9+AL10-AL11</f>
        <v>0.44971000000000005</v>
      </c>
      <c r="AM12" s="3455"/>
      <c r="AN12" s="604"/>
      <c r="AO12" s="3454">
        <f ca="1">+AO8-AO9+AO10-AO11</f>
        <v>7.2191700000000001</v>
      </c>
      <c r="AP12" s="3454">
        <f ca="1">+AP8-AP9+AP10-AP11</f>
        <v>2.3872999999999998</v>
      </c>
      <c r="AQ12" s="3454">
        <f ca="1">+AQ8-AQ9+AQ10-AQ11</f>
        <v>4.3839899999999998</v>
      </c>
      <c r="AR12" s="3454">
        <f ca="1">+AR8-AR9+AR10-AR11</f>
        <v>0.44786999999999999</v>
      </c>
      <c r="AS12" s="3455"/>
      <c r="AT12" s="604"/>
      <c r="AU12" s="3454">
        <f ca="1">+AU8-AU9+AU10-AU11</f>
        <v>7.6282600000000009</v>
      </c>
      <c r="AV12" s="3454">
        <f ca="1">+AV8-AV9+AV10-AV11</f>
        <v>2.34639</v>
      </c>
      <c r="AW12" s="3454">
        <f ca="1">+AW8-AW9+AW10-AW11</f>
        <v>4.8382200000000015</v>
      </c>
      <c r="AX12" s="3454">
        <f ca="1">+AX8-AX9+AX10-AX11</f>
        <v>0.44363000000000019</v>
      </c>
      <c r="AY12" s="3455"/>
      <c r="AZ12" s="604"/>
      <c r="BA12" s="3454">
        <f ca="1">+BA8-BA9+BA10-BA11</f>
        <v>8.4142299999999963</v>
      </c>
      <c r="BB12" s="3454">
        <f ca="1">+BB8-BB9+BB10-BB11</f>
        <v>2.4367899999999998</v>
      </c>
      <c r="BC12" s="3454">
        <f ca="1">+BC8-BC9+BC10-BC11</f>
        <v>5.5056800000000026</v>
      </c>
      <c r="BD12" s="3454">
        <f ca="1">+BD8-BD9+BD10-BD11</f>
        <v>0.4717699999999998</v>
      </c>
      <c r="BE12" s="3455"/>
      <c r="BF12" s="604"/>
      <c r="BG12" s="3454">
        <f ca="1">+BG8-BG9+BG10-BG11</f>
        <v>9.117429999999997</v>
      </c>
      <c r="BH12" s="3454">
        <f ca="1">+BH8-BH9+BH10-BH11</f>
        <v>2.5497899999999998</v>
      </c>
      <c r="BI12" s="3454">
        <f ca="1">+BI8-BI9+BI10-BI11</f>
        <v>6.07179</v>
      </c>
      <c r="BJ12" s="3454">
        <f ca="1">+BJ8-BJ9+BJ10-BJ11</f>
        <v>0.49587000000000026</v>
      </c>
      <c r="BK12" s="3455"/>
      <c r="BL12" s="604"/>
      <c r="BM12" s="3454">
        <f ca="1">+BM8-BM9+BM10-BM11</f>
        <v>10.468869999999997</v>
      </c>
      <c r="BN12" s="3454">
        <f ca="1">+BN8-BN9+BN10-BN11</f>
        <v>2.8515099999999998</v>
      </c>
      <c r="BO12" s="3454">
        <f ca="1">+BO8-BO9+BO10-BO11</f>
        <v>7.0718700000000014</v>
      </c>
      <c r="BP12" s="3454">
        <f ca="1">+BP8-BP9+BP10-BP11</f>
        <v>0.54548999999999959</v>
      </c>
      <c r="BQ12" s="3455"/>
      <c r="BR12" s="604"/>
      <c r="BS12" s="3454">
        <f ca="1">+BS8-BS9+BS10-BS11</f>
        <v>11.424269999999996</v>
      </c>
      <c r="BT12" s="3454">
        <f ca="1">+BT8-BT9+BT10-BT11</f>
        <v>2.9678199999999997</v>
      </c>
      <c r="BU12" s="3454">
        <f ca="1">+BU8-BU9+BU10-BU11</f>
        <v>7.8435499999999978</v>
      </c>
      <c r="BV12" s="3454">
        <f ca="1">+BV8-BV9+BV10-BV11</f>
        <v>0.61288999999999971</v>
      </c>
      <c r="BW12" s="3455"/>
      <c r="BX12" s="604"/>
      <c r="BY12" s="3454">
        <f ca="1">+BY8-BY9+BY10-BY11</f>
        <v>13.707930000000005</v>
      </c>
      <c r="BZ12" s="3454">
        <f ca="1">+BZ8-BZ9+BZ10-BZ11</f>
        <v>3.1930899999999998</v>
      </c>
      <c r="CA12" s="3454">
        <f ca="1">+CA8-CA9+CA10-CA11</f>
        <v>9.8058000000000014</v>
      </c>
      <c r="CB12" s="3454">
        <f ca="1">+CB8-CB9+CB10-CB11</f>
        <v>0.70903999999999989</v>
      </c>
      <c r="CC12" s="3455"/>
      <c r="CD12" s="604"/>
      <c r="CE12" s="3454">
        <f ca="1">+CE8-CE9+CE10-CE11</f>
        <v>14.882700000000002</v>
      </c>
      <c r="CF12" s="3454">
        <f ca="1">+CF8-CF9+CF10-CF11</f>
        <v>3.4104199999999998</v>
      </c>
      <c r="CG12" s="3454">
        <f ca="1">+CG8-CG9+CG10-CG11</f>
        <v>10.65368</v>
      </c>
      <c r="CH12" s="3454">
        <f ca="1">+CH8-CH9+CH10-CH11</f>
        <v>0.81860000000000044</v>
      </c>
      <c r="CI12" s="3455"/>
      <c r="CJ12" s="604"/>
      <c r="CK12" s="3454">
        <f ca="1">+CK8-CK9+CK10-CK11</f>
        <v>12.22655</v>
      </c>
      <c r="CL12" s="3454">
        <f ca="1">+CL8-CL9+CL10-CL11</f>
        <v>2.8222200000000002</v>
      </c>
      <c r="CM12" s="3454">
        <f ca="1">+CM8-CM9+CM10-CM11</f>
        <v>8.5865399999999994</v>
      </c>
      <c r="CN12" s="3454">
        <f ca="1">+CN8-CN9+CN10-CN11</f>
        <v>0.81777999999999995</v>
      </c>
      <c r="CO12" s="3455"/>
      <c r="CP12" s="604"/>
      <c r="CQ12" s="3454">
        <f ca="1">+CQ8-CQ9+CQ10-CQ11</f>
        <v>13.627139999999997</v>
      </c>
      <c r="CR12" s="3454">
        <f ca="1">+CR8-CR9+CR10-CR11</f>
        <v>2.6309799999999997</v>
      </c>
      <c r="CS12" s="3454">
        <f ca="1">+CS8-CS9+CS10-CS11</f>
        <v>10.180579999999996</v>
      </c>
      <c r="CT12" s="3454">
        <f ca="1">+CT8-CT9+CT10-CT11</f>
        <v>0.81559000000000026</v>
      </c>
      <c r="CU12" s="3455"/>
      <c r="CV12" s="604"/>
      <c r="CW12" s="3454">
        <f ca="1">+CW8-CW9+CW10-CW11</f>
        <v>15.734600000000004</v>
      </c>
      <c r="CX12" s="3454">
        <f ca="1">+CX8-CX9+CX10-CX11</f>
        <v>2.8366799999999999</v>
      </c>
      <c r="CY12" s="3454">
        <f ca="1">+CY8-CY9+CY10-CY11</f>
        <v>12.009180000000002</v>
      </c>
      <c r="CZ12" s="3454">
        <f ca="1">+CZ8-CZ9+CZ10-CZ11</f>
        <v>0.88874000000000031</v>
      </c>
      <c r="DA12" s="3455"/>
      <c r="DB12" s="604"/>
      <c r="DC12" s="3454">
        <f ca="1">+DC8-DC9+DC10-DC11</f>
        <v>17.053640000000001</v>
      </c>
      <c r="DD12" s="3454">
        <f ca="1">+DD8-DD9+DD10-DD11</f>
        <v>3.2705600000000006</v>
      </c>
      <c r="DE12" s="3454">
        <f ca="1">+DE8-DE9+DE10-DE11</f>
        <v>12.806279999999999</v>
      </c>
      <c r="DF12" s="3454">
        <f ca="1">+DF8-DF9+DF10-DF11</f>
        <v>0.97678999999999983</v>
      </c>
      <c r="DG12" s="3455"/>
      <c r="DH12" s="604"/>
      <c r="DI12" s="3454">
        <f ca="1">+DI8-DI9+DI10-DI11</f>
        <v>17.805410000000002</v>
      </c>
      <c r="DJ12" s="3454">
        <f ca="1">+DJ8-DJ9+DJ10-DJ11</f>
        <v>3.38794</v>
      </c>
      <c r="DK12" s="3454">
        <f ca="1">+DK8-DK9+DK10-DK11</f>
        <v>13.386859999999997</v>
      </c>
      <c r="DL12" s="3454">
        <f ca="1">+DL8-DL9+DL10-DL11</f>
        <v>1.0305999999999997</v>
      </c>
      <c r="DM12" s="3455"/>
      <c r="DN12" s="604"/>
      <c r="DO12" s="3454">
        <f ca="1">+DO8-DO9+DO10-DO11</f>
        <v>18.282459999999997</v>
      </c>
      <c r="DP12" s="3454">
        <f ca="1">+DP8-DP9+DP10-DP11</f>
        <v>3.527709999999999</v>
      </c>
      <c r="DQ12" s="3454">
        <f ca="1">+DQ8-DQ9+DQ10-DQ11</f>
        <v>13.675679999999998</v>
      </c>
      <c r="DR12" s="3454">
        <f ca="1">+DR8-DR9+DR10-DR11</f>
        <v>1.0790799999999994</v>
      </c>
      <c r="DS12" s="3455">
        <f ca="1">+DS8-DS9+DS10-DS11</f>
        <v>1.7999999999999999E-2</v>
      </c>
      <c r="DT12" s="604"/>
      <c r="DU12" s="3454">
        <f ca="1">+DU8-DU9+DU10-DU11</f>
        <v>17.924580000000013</v>
      </c>
      <c r="DV12" s="3454">
        <f ca="1">+DV8-DV9+DV10-DV11</f>
        <v>3.7731500000000011</v>
      </c>
      <c r="DW12" s="3454">
        <f ca="1">+DW8-DW9+DW10-DW11</f>
        <v>13.047970000000001</v>
      </c>
      <c r="DX12" s="3454">
        <f ca="1">+DX8-DX9+DX10-DX11</f>
        <v>1.1034600000000006</v>
      </c>
      <c r="DY12" s="3455"/>
      <c r="DZ12" s="604"/>
      <c r="EA12" s="3454">
        <f ca="1">+EA8-EA9+EA10-EA11</f>
        <v>17.732100000000006</v>
      </c>
      <c r="EB12" s="3454">
        <f ca="1">+EB8-EB9+EB10-EB11</f>
        <v>3.7786800000000005</v>
      </c>
      <c r="EC12" s="3454">
        <f ca="1">+EC8-EC9+EC10-EC11</f>
        <v>12.81043</v>
      </c>
      <c r="ED12" s="3454">
        <f ca="1">+ED8-ED9+ED10-ED11</f>
        <v>1.1429800000000001</v>
      </c>
      <c r="EE12" s="3455"/>
      <c r="EF12" s="604"/>
      <c r="EG12" s="3454">
        <f ca="1">+EG8-EG9+EG10-EG11</f>
        <v>18.922989192398123</v>
      </c>
      <c r="EH12" s="3454">
        <f ca="1">+EH8-EH9+EH10-EH11</f>
        <v>3.7786799999999996</v>
      </c>
      <c r="EI12" s="3454">
        <f ca="1">+EI8-EI9+EI10-EI11</f>
        <v>14.037617020000003</v>
      </c>
      <c r="EJ12" s="3454">
        <f ca="1">+EJ8-EJ9+EJ10-EJ11</f>
        <v>1.1841272800000002</v>
      </c>
      <c r="EK12" s="3455"/>
      <c r="EL12" s="604"/>
      <c r="EM12" s="3454">
        <f ca="1">+EM8-EM9+EM10-EM11</f>
        <v>19.951920099949326</v>
      </c>
      <c r="EN12" s="3454">
        <f ca="1">+EN8-EN9+EN10-EN11</f>
        <v>3.7786799999999996</v>
      </c>
      <c r="EO12" s="3454">
        <f ca="1">+EO8-EO9+EO10-EO11</f>
        <v>14.965430274349327</v>
      </c>
      <c r="EP12" s="3454">
        <f ca="1">+EP8-EP9+EP10-EP11</f>
        <v>1.2078098256000001</v>
      </c>
      <c r="EQ12" s="3455"/>
      <c r="ER12" s="604"/>
      <c r="ES12" s="3454">
        <f ca="1">+ES8-ES9+ES10-ES11</f>
        <v>21.000859178637718</v>
      </c>
      <c r="ET12" s="3454">
        <f ca="1">+ET8-ET9+ET10-ET11</f>
        <v>3.7786800000000005</v>
      </c>
      <c r="EU12" s="3454">
        <f ca="1">+EU8-EU9+EU10-EU11</f>
        <v>16.002291254781717</v>
      </c>
      <c r="EV12" s="3454">
        <f ca="1">+EV8-EV9+EV10-EV11</f>
        <v>1.2198879238560005</v>
      </c>
      <c r="EW12" s="3455"/>
      <c r="EX12" s="604"/>
    </row>
    <row r="13" spans="1:154" ht="12.75" customHeight="1">
      <c r="A13" s="553"/>
      <c r="B13" s="600" t="s">
        <v>1767</v>
      </c>
      <c r="C13" s="3781" t="s">
        <v>1378</v>
      </c>
      <c r="D13" s="3782"/>
      <c r="E13" s="3450">
        <f ca="1">+F13</f>
        <v>2.9015</v>
      </c>
      <c r="F13" s="3456">
        <f ca="1">OFFSET(Labour1!$G$217,0,(COLUMN()-6)/6)</f>
        <v>2.9015</v>
      </c>
      <c r="G13" s="3457"/>
      <c r="H13" s="3448"/>
      <c r="I13" s="603" t="s">
        <v>235</v>
      </c>
      <c r="J13" s="556">
        <f ca="1">+E13-E11-I11</f>
        <v>1.1924003707145751E-4</v>
      </c>
      <c r="K13" s="3450">
        <f ca="1">+L13</f>
        <v>3.6541700000000001</v>
      </c>
      <c r="L13" s="3456">
        <f ca="1">OFFSET(Labour1!$G$217,0,(COLUMN()-6)/6)</f>
        <v>3.6541700000000001</v>
      </c>
      <c r="M13" s="3457"/>
      <c r="N13" s="3448"/>
      <c r="O13" s="603" t="s">
        <v>235</v>
      </c>
      <c r="P13" s="556">
        <f ca="1">+K13-K11-O11</f>
        <v>1.2122335496203562E-5</v>
      </c>
      <c r="Q13" s="3450">
        <f ca="1">+R13</f>
        <v>4.4716499999999995</v>
      </c>
      <c r="R13" s="3456">
        <f ca="1">OFFSET(Labour1!$G$217,0,(COLUMN()-6)/6)</f>
        <v>4.4716499999999995</v>
      </c>
      <c r="S13" s="3457"/>
      <c r="T13" s="3448"/>
      <c r="U13" s="603" t="s">
        <v>235</v>
      </c>
      <c r="V13" s="556">
        <f ca="1">+Q13-Q11-U11</f>
        <v>1.1488415199199797E-4</v>
      </c>
      <c r="W13" s="3450">
        <f ca="1">+X13</f>
        <v>5.3453200000000001</v>
      </c>
      <c r="X13" s="3456">
        <f ca="1">OFFSET(Labour1!$G$217,0,(COLUMN()-6)/6)</f>
        <v>5.3453200000000001</v>
      </c>
      <c r="Y13" s="3457"/>
      <c r="Z13" s="3448"/>
      <c r="AA13" s="603" t="s">
        <v>235</v>
      </c>
      <c r="AB13" s="556">
        <f ca="1">+W13-W11-AA11</f>
        <v>-2.7157553290024783E-4</v>
      </c>
      <c r="AC13" s="3450">
        <f ca="1">+AD13</f>
        <v>5.4032200000000001</v>
      </c>
      <c r="AD13" s="3456">
        <f ca="1">OFFSET(Labour1!$G$217,0,(COLUMN()-6)/6)</f>
        <v>5.4032200000000001</v>
      </c>
      <c r="AE13" s="3457"/>
      <c r="AF13" s="3448"/>
      <c r="AG13" s="603" t="s">
        <v>235</v>
      </c>
      <c r="AH13" s="556">
        <f ca="1">+AC13-AC11-AG11</f>
        <v>-1.6611677479141246E-4</v>
      </c>
      <c r="AI13" s="3450">
        <f ca="1">+AJ13</f>
        <v>5.2354099999999999</v>
      </c>
      <c r="AJ13" s="3456">
        <f ca="1">OFFSET(Labour1!$G$217,0,(COLUMN()-6)/6)</f>
        <v>5.2354099999999999</v>
      </c>
      <c r="AK13" s="3457"/>
      <c r="AL13" s="3448"/>
      <c r="AM13" s="603" t="s">
        <v>235</v>
      </c>
      <c r="AN13" s="556">
        <f ca="1">+AI13-AI11-AM11</f>
        <v>-1.732808155697832E-4</v>
      </c>
      <c r="AO13" s="3450">
        <f ca="1">+AP13</f>
        <v>5.4208299999999996</v>
      </c>
      <c r="AP13" s="3456">
        <f ca="1">OFFSET(Labour1!$G$217,0,(COLUMN()-6)/6)</f>
        <v>5.4208299999999996</v>
      </c>
      <c r="AQ13" s="3457"/>
      <c r="AR13" s="3448"/>
      <c r="AS13" s="603" t="s">
        <v>235</v>
      </c>
      <c r="AT13" s="556">
        <f ca="1">+AO13-AO11-AS11</f>
        <v>2.3257645968421947E-4</v>
      </c>
      <c r="AU13" s="3450">
        <f ca="1">+AV13</f>
        <v>5.8667299999999996</v>
      </c>
      <c r="AV13" s="3456">
        <f ca="1">OFFSET(Labour1!$G$217,0,(COLUMN()-6)/6)</f>
        <v>5.8667299999999996</v>
      </c>
      <c r="AW13" s="3457"/>
      <c r="AX13" s="3448"/>
      <c r="AY13" s="603" t="s">
        <v>235</v>
      </c>
      <c r="AZ13" s="556">
        <f ca="1">+AU13-AU11-AY11</f>
        <v>-1.0771844300277902E-2</v>
      </c>
      <c r="BA13" s="3450">
        <f ca="1">+BB13</f>
        <v>6.4834300000000002</v>
      </c>
      <c r="BB13" s="3456">
        <f ca="1">OFFSET(Labour1!$G$217,0,(COLUMN()-6)/6)</f>
        <v>6.4834300000000002</v>
      </c>
      <c r="BC13" s="3457"/>
      <c r="BD13" s="3448"/>
      <c r="BE13" s="603" t="s">
        <v>235</v>
      </c>
      <c r="BF13" s="556">
        <f ca="1">+BA13-BA11-BE11</f>
        <v>-6.5284430027799864E-3</v>
      </c>
      <c r="BG13" s="3450">
        <f ca="1">+BH13</f>
        <v>7.4544499999999996</v>
      </c>
      <c r="BH13" s="3456">
        <f ca="1">OFFSET(Labour1!$G$217,0,(COLUMN()-6)/6)</f>
        <v>7.4544499999999996</v>
      </c>
      <c r="BI13" s="3457"/>
      <c r="BJ13" s="3448"/>
      <c r="BK13" s="603" t="s">
        <v>235</v>
      </c>
      <c r="BL13" s="556">
        <f ca="1">+BG13-BG11-BK11</f>
        <v>-1.6038924930597553E-4</v>
      </c>
      <c r="BM13" s="3450">
        <f ca="1">+BN13</f>
        <v>8.7055799999999994</v>
      </c>
      <c r="BN13" s="3456">
        <f ca="1">OFFSET(Labour1!$G$217,0,(COLUMN()-6)/6)</f>
        <v>8.7055799999999994</v>
      </c>
      <c r="BO13" s="3457"/>
      <c r="BP13" s="3448"/>
      <c r="BQ13" s="603" t="s">
        <v>235</v>
      </c>
      <c r="BR13" s="556">
        <f ca="1">+BM13-BM11-BQ11</f>
        <v>5.599999999988392E-4</v>
      </c>
      <c r="BS13" s="3450">
        <f ca="1">+BT13</f>
        <v>10.479700000000001</v>
      </c>
      <c r="BT13" s="3456">
        <f ca="1">OFFSET(Labour1!$G$217,0,(COLUMN()-6)/6)</f>
        <v>10.479700000000001</v>
      </c>
      <c r="BU13" s="3457"/>
      <c r="BV13" s="3448"/>
      <c r="BW13" s="603" t="s">
        <v>235</v>
      </c>
      <c r="BX13" s="556">
        <f ca="1">+BS13-BS11-BW11</f>
        <v>4.0000000000078861E-4</v>
      </c>
      <c r="BY13" s="3450">
        <f ca="1">+BZ13</f>
        <v>12.48507</v>
      </c>
      <c r="BZ13" s="3456">
        <f ca="1">OFFSET(Labour1!$G$217,0,(COLUMN()-6)/6)</f>
        <v>12.48507</v>
      </c>
      <c r="CA13" s="3457"/>
      <c r="CB13" s="3448"/>
      <c r="CC13" s="603" t="s">
        <v>235</v>
      </c>
      <c r="CD13" s="556">
        <f ca="1">+BY13-BY11-CC11</f>
        <v>1.8000000000276128E-4</v>
      </c>
      <c r="CE13" s="3450">
        <f ca="1">+CF13</f>
        <v>14.48174</v>
      </c>
      <c r="CF13" s="3456">
        <f ca="1">OFFSET(Labour1!$G$217,0,(COLUMN()-6)/6)</f>
        <v>14.48174</v>
      </c>
      <c r="CG13" s="3457"/>
      <c r="CH13" s="3448"/>
      <c r="CI13" s="603" t="s">
        <v>235</v>
      </c>
      <c r="CJ13" s="556">
        <f ca="1">+CE13-CE11-CI11</f>
        <v>3.1670000000000725E-2</v>
      </c>
      <c r="CK13" s="3450">
        <f ca="1">+CL13</f>
        <v>12.023280000000002</v>
      </c>
      <c r="CL13" s="3456">
        <f ca="1">OFFSET(Labour1!$G$217,0,(COLUMN()-6)/6)</f>
        <v>12.023280000000002</v>
      </c>
      <c r="CM13" s="3457"/>
      <c r="CN13" s="3448"/>
      <c r="CO13" s="603" t="s">
        <v>235</v>
      </c>
      <c r="CP13" s="556">
        <f ca="1">+CK13-CK11-CO11</f>
        <v>2.8020000000002723E-2</v>
      </c>
      <c r="CQ13" s="3450">
        <f ca="1">+CR13</f>
        <v>11.682739999999999</v>
      </c>
      <c r="CR13" s="3456">
        <f ca="1">OFFSET(Labour1!$G$217,0,(COLUMN()-6)/6)</f>
        <v>11.682739999999999</v>
      </c>
      <c r="CS13" s="3457"/>
      <c r="CT13" s="3448"/>
      <c r="CU13" s="603" t="s">
        <v>235</v>
      </c>
      <c r="CV13" s="556">
        <f ca="1">+CQ13-CQ11-CU11</f>
        <v>4.1779999999998624E-2</v>
      </c>
      <c r="CW13" s="3450">
        <f ca="1">+CX13</f>
        <v>12.470510000000001</v>
      </c>
      <c r="CX13" s="3456">
        <f ca="1">OFFSET(Labour1!$G$217,0,(COLUMN()-6)/6)</f>
        <v>12.470510000000001</v>
      </c>
      <c r="CY13" s="3457"/>
      <c r="CZ13" s="3448"/>
      <c r="DA13" s="603" t="s">
        <v>235</v>
      </c>
      <c r="DB13" s="556">
        <f ca="1">+CW13-CW11-DA11</f>
        <v>3.7420000000001341E-2</v>
      </c>
      <c r="DC13" s="3450">
        <f ca="1">+DD13</f>
        <v>13.015799999999999</v>
      </c>
      <c r="DD13" s="3456">
        <f ca="1">OFFSET(Labour1!$G$217,0,(COLUMN()-6)/6)</f>
        <v>13.015799999999999</v>
      </c>
      <c r="DE13" s="3457"/>
      <c r="DF13" s="3448"/>
      <c r="DG13" s="603" t="s">
        <v>235</v>
      </c>
      <c r="DH13" s="556">
        <f ca="1">+DC13-DC11-DG11</f>
        <v>1.7749999999998507E-2</v>
      </c>
      <c r="DI13" s="3450">
        <f ca="1">+DJ13</f>
        <v>13.800240000000001</v>
      </c>
      <c r="DJ13" s="3456">
        <f ca="1">OFFSET(Labour1!$G$217,0,(COLUMN()-6)/6)</f>
        <v>13.800240000000001</v>
      </c>
      <c r="DK13" s="3457"/>
      <c r="DL13" s="3448"/>
      <c r="DM13" s="603" t="s">
        <v>235</v>
      </c>
      <c r="DN13" s="556">
        <f ca="1">+DI13-DI11-DM11</f>
        <v>2.0620000000000006E-2</v>
      </c>
      <c r="DO13" s="3450">
        <f ca="1">+DP13</f>
        <v>14.621930000000001</v>
      </c>
      <c r="DP13" s="3456">
        <f ca="1">OFFSET(Labour1!$G$217,0,(COLUMN()-6)/6)</f>
        <v>14.621930000000001</v>
      </c>
      <c r="DQ13" s="3457"/>
      <c r="DR13" s="3448"/>
      <c r="DS13" s="603" t="s">
        <v>235</v>
      </c>
      <c r="DT13" s="556">
        <f ca="1">+DO13-DO11-DS11</f>
        <v>1.6000000000002883E-2</v>
      </c>
      <c r="DU13" s="3450">
        <f ca="1">+DV13</f>
        <v>15.65227</v>
      </c>
      <c r="DV13" s="3456">
        <f ca="1">OFFSET(Labour1!$G$217,0,(COLUMN()-6)/6)</f>
        <v>15.65227</v>
      </c>
      <c r="DW13" s="3457"/>
      <c r="DX13" s="3448"/>
      <c r="DY13" s="603" t="s">
        <v>235</v>
      </c>
      <c r="DZ13" s="556">
        <f ca="1">+DU13-DU11-DY11</f>
        <v>1.5990000000000948E-2</v>
      </c>
      <c r="EA13" s="3450">
        <f ca="1">+EB13</f>
        <v>16.892139999999998</v>
      </c>
      <c r="EB13" s="3456">
        <f ca="1">OFFSET(Labour1!$G$217,0,(COLUMN()-6)/6)</f>
        <v>16.892139999999998</v>
      </c>
      <c r="EC13" s="3457"/>
      <c r="ED13" s="3448"/>
      <c r="EE13" s="603" t="s">
        <v>235</v>
      </c>
      <c r="EF13" s="556">
        <f ca="1">+EA13-EA11-EE11</f>
        <v>1.0069999999998316E-2</v>
      </c>
      <c r="EG13" s="3450">
        <f ca="1">+EH13</f>
        <v>18.449630000000003</v>
      </c>
      <c r="EH13" s="3456">
        <f ca="1">OFFSET(Labour1!$G$217,0,(COLUMN()-6)/6)</f>
        <v>18.449630000000003</v>
      </c>
      <c r="EI13" s="3457"/>
      <c r="EJ13" s="3448"/>
      <c r="EK13" s="603" t="s">
        <v>235</v>
      </c>
      <c r="EL13" s="556">
        <f ca="1">+EG13-EG11-EK11</f>
        <v>0</v>
      </c>
      <c r="EM13" s="3450">
        <f ca="1">+EN13</f>
        <v>19.549555182988733</v>
      </c>
      <c r="EN13" s="3456">
        <f ca="1">OFFSET(Labour1!$G$217,0,(COLUMN()-6)/6)</f>
        <v>19.549555182988733</v>
      </c>
      <c r="EO13" s="3457"/>
      <c r="EP13" s="3448"/>
      <c r="EQ13" s="603" t="s">
        <v>235</v>
      </c>
      <c r="ER13" s="556">
        <f ca="1">+EM13-EM11-EQ11</f>
        <v>0</v>
      </c>
      <c r="ES13" s="3450">
        <f ca="1">+ET13</f>
        <v>20.686003495864497</v>
      </c>
      <c r="ET13" s="3456">
        <f ca="1">OFFSET(Labour1!$G$217,0,(COLUMN()-6)/6)</f>
        <v>20.686003495864497</v>
      </c>
      <c r="EU13" s="3457"/>
      <c r="EV13" s="3448"/>
      <c r="EW13" s="603" t="s">
        <v>235</v>
      </c>
      <c r="EX13" s="556">
        <f ca="1">+ES13-ES11-EW11</f>
        <v>0</v>
      </c>
    </row>
    <row r="14" spans="1:154" s="558" customFormat="1">
      <c r="B14" s="564"/>
      <c r="C14" s="565"/>
      <c r="D14" s="566" t="s">
        <v>1379</v>
      </c>
      <c r="E14" s="1193"/>
      <c r="F14" s="1188">
        <f ca="1">OFFSET(Labour1!$G$137,0,(COLUMN()-6)/6)</f>
        <v>2.3582899999999998</v>
      </c>
      <c r="G14" s="1194"/>
      <c r="H14" s="1195"/>
      <c r="I14" s="1195"/>
      <c r="J14" s="3441"/>
      <c r="K14" s="1193"/>
      <c r="L14" s="1188">
        <f ca="1">OFFSET(Labour1!$G$137,0,(COLUMN()-6)/6)</f>
        <v>2.931</v>
      </c>
      <c r="M14" s="1194"/>
      <c r="N14" s="1195"/>
      <c r="O14" s="1195"/>
      <c r="P14" s="3441"/>
      <c r="Q14" s="1193"/>
      <c r="R14" s="1188">
        <f ca="1">OFFSET(Labour1!$G$137,0,(COLUMN()-6)/6)</f>
        <v>3.52176</v>
      </c>
      <c r="S14" s="1194"/>
      <c r="T14" s="1195"/>
      <c r="U14" s="1195"/>
      <c r="V14" s="3441"/>
      <c r="W14" s="1193"/>
      <c r="X14" s="1188">
        <f ca="1">OFFSET(Labour1!$G$137,0,(COLUMN()-6)/6)</f>
        <v>4.2111899999999993</v>
      </c>
      <c r="Y14" s="1194"/>
      <c r="Z14" s="1195"/>
      <c r="AA14" s="1195"/>
      <c r="AB14" s="3441"/>
      <c r="AC14" s="1193"/>
      <c r="AD14" s="1188">
        <f ca="1">OFFSET(Labour1!$G$137,0,(COLUMN()-6)/6)</f>
        <v>4.2784300000000002</v>
      </c>
      <c r="AE14" s="1194"/>
      <c r="AF14" s="1195"/>
      <c r="AG14" s="1195"/>
      <c r="AH14" s="3441"/>
      <c r="AI14" s="1193"/>
      <c r="AJ14" s="1188">
        <f ca="1">OFFSET(Labour1!$G$137,0,(COLUMN()-6)/6)</f>
        <v>4.1073300000000001</v>
      </c>
      <c r="AK14" s="1194"/>
      <c r="AL14" s="1195"/>
      <c r="AM14" s="1195"/>
      <c r="AN14" s="3441"/>
      <c r="AO14" s="1193"/>
      <c r="AP14" s="1188">
        <f ca="1">OFFSET(Labour1!$G$137,0,(COLUMN()-6)/6)</f>
        <v>4.2849700000000004</v>
      </c>
      <c r="AQ14" s="1194"/>
      <c r="AR14" s="1195"/>
      <c r="AS14" s="1195"/>
      <c r="AT14" s="3441"/>
      <c r="AU14" s="1193"/>
      <c r="AV14" s="1188">
        <f ca="1">OFFSET(Labour1!$G$137,0,(COLUMN()-6)/6)</f>
        <v>4.6896599999999999</v>
      </c>
      <c r="AW14" s="1194"/>
      <c r="AX14" s="1195"/>
      <c r="AY14" s="1195"/>
      <c r="AZ14" s="3441"/>
      <c r="BA14" s="1193"/>
      <c r="BB14" s="1188">
        <f ca="1">OFFSET(Labour1!$G$137,0,(COLUMN()-6)/6)</f>
        <v>5.2108100000000004</v>
      </c>
      <c r="BC14" s="1194"/>
      <c r="BD14" s="1195"/>
      <c r="BE14" s="1195"/>
      <c r="BF14" s="3441"/>
      <c r="BG14" s="1193"/>
      <c r="BH14" s="1188">
        <f ca="1">OFFSET(Labour1!$G$137,0,(COLUMN()-6)/6)</f>
        <v>5.9780600000000002</v>
      </c>
      <c r="BI14" s="1194"/>
      <c r="BJ14" s="1195"/>
      <c r="BK14" s="1195"/>
      <c r="BL14" s="3441"/>
      <c r="BM14" s="1193"/>
      <c r="BN14" s="1188">
        <f ca="1">OFFSET(Labour1!$G$137,0,(COLUMN()-6)/6)</f>
        <v>6.9432299999999998</v>
      </c>
      <c r="BO14" s="1194"/>
      <c r="BP14" s="1195"/>
      <c r="BQ14" s="1195"/>
      <c r="BR14" s="3441"/>
      <c r="BS14" s="1193"/>
      <c r="BT14" s="1188">
        <f ca="1">OFFSET(Labour1!$G$137,0,(COLUMN()-6)/6)</f>
        <v>8.337159999999999</v>
      </c>
      <c r="BU14" s="1194"/>
      <c r="BV14" s="1195"/>
      <c r="BW14" s="1195"/>
      <c r="BX14" s="3441"/>
      <c r="BY14" s="1193"/>
      <c r="BZ14" s="1188">
        <f ca="1">OFFSET(Labour1!$G$137,0,(COLUMN()-6)/6)</f>
        <v>9.8237199999999998</v>
      </c>
      <c r="CA14" s="1194"/>
      <c r="CB14" s="1195"/>
      <c r="CC14" s="1195"/>
      <c r="CD14" s="3441"/>
      <c r="CE14" s="1193"/>
      <c r="CF14" s="1188">
        <f ca="1">OFFSET(Labour1!$G$137,0,(COLUMN()-6)/6)</f>
        <v>11.29602</v>
      </c>
      <c r="CG14" s="1194"/>
      <c r="CH14" s="1195"/>
      <c r="CI14" s="1195"/>
      <c r="CJ14" s="3441"/>
      <c r="CK14" s="1193"/>
      <c r="CL14" s="1188">
        <f ca="1">OFFSET(Labour1!$G$137,0,(COLUMN()-6)/6)</f>
        <v>9.3578299999999999</v>
      </c>
      <c r="CM14" s="1194"/>
      <c r="CN14" s="1195"/>
      <c r="CO14" s="1195"/>
      <c r="CP14" s="3441"/>
      <c r="CQ14" s="1193"/>
      <c r="CR14" s="1188">
        <f ca="1">OFFSET(Labour1!$G$137,0,(COLUMN()-6)/6)</f>
        <v>9.2319500000000012</v>
      </c>
      <c r="CS14" s="1194"/>
      <c r="CT14" s="1195"/>
      <c r="CU14" s="1195"/>
      <c r="CV14" s="3441"/>
      <c r="CW14" s="1193"/>
      <c r="CX14" s="1188">
        <f ca="1">OFFSET(Labour1!$G$137,0,(COLUMN()-6)/6)</f>
        <v>9.8397999999999985</v>
      </c>
      <c r="CY14" s="1194"/>
      <c r="CZ14" s="1195"/>
      <c r="DA14" s="1195"/>
      <c r="DB14" s="3441"/>
      <c r="DC14" s="1193"/>
      <c r="DD14" s="1188">
        <f ca="1">OFFSET(Labour1!$G$137,0,(COLUMN()-6)/6)</f>
        <v>10.295219999999999</v>
      </c>
      <c r="DE14" s="1194"/>
      <c r="DF14" s="1195"/>
      <c r="DG14" s="1195"/>
      <c r="DH14" s="3441"/>
      <c r="DI14" s="1193"/>
      <c r="DJ14" s="1188">
        <f ca="1">OFFSET(Labour1!$G$137,0,(COLUMN()-6)/6)</f>
        <v>10.88761</v>
      </c>
      <c r="DK14" s="1194"/>
      <c r="DL14" s="1195"/>
      <c r="DM14" s="1195"/>
      <c r="DN14" s="3441"/>
      <c r="DO14" s="1193"/>
      <c r="DP14" s="1188">
        <f ca="1">OFFSET(Labour1!$G$137,0,(COLUMN()-6)/6)</f>
        <v>11.518120000000001</v>
      </c>
      <c r="DQ14" s="1194"/>
      <c r="DR14" s="1195"/>
      <c r="DS14" s="1195"/>
      <c r="DT14" s="3441"/>
      <c r="DU14" s="1193"/>
      <c r="DV14" s="1188">
        <f ca="1">OFFSET(Labour1!$G$137,0,(COLUMN()-6)/6)</f>
        <v>12.323559999999999</v>
      </c>
      <c r="DW14" s="1194"/>
      <c r="DX14" s="1195"/>
      <c r="DY14" s="1195"/>
      <c r="DZ14" s="3441"/>
      <c r="EA14" s="1193"/>
      <c r="EB14" s="1188">
        <f ca="1">OFFSET(Labour1!$G$137,0,(COLUMN()-6)/6)</f>
        <v>13.25775</v>
      </c>
      <c r="EC14" s="1194"/>
      <c r="ED14" s="1195"/>
      <c r="EE14" s="1195"/>
      <c r="EF14" s="3441"/>
      <c r="EG14" s="1193"/>
      <c r="EH14" s="1188">
        <f ca="1">OFFSET(Labour1!$G$137,0,(COLUMN()-6)/6)</f>
        <v>14.362240126594433</v>
      </c>
      <c r="EI14" s="1194"/>
      <c r="EJ14" s="1195"/>
      <c r="EK14" s="1195"/>
      <c r="EL14" s="3441"/>
      <c r="EM14" s="1193"/>
      <c r="EN14" s="1188">
        <f ca="1">OFFSET(Labour1!$G$137,0,(COLUMN()-6)/6)</f>
        <v>15.177575242380211</v>
      </c>
      <c r="EO14" s="1194"/>
      <c r="EP14" s="1195"/>
      <c r="EQ14" s="1195"/>
      <c r="ER14" s="3441"/>
      <c r="ES14" s="1193"/>
      <c r="ET14" s="1188">
        <f ca="1">OFFSET(Labour1!$G$137,0,(COLUMN()-6)/6)</f>
        <v>16.047371297764418</v>
      </c>
      <c r="EU14" s="1194"/>
      <c r="EV14" s="1195"/>
      <c r="EW14" s="1195"/>
      <c r="EX14" s="3441"/>
    </row>
    <row r="15" spans="1:154" s="558" customFormat="1" ht="13.5" thickBot="1">
      <c r="B15" s="564"/>
      <c r="C15" s="565"/>
      <c r="D15" s="566" t="s">
        <v>1380</v>
      </c>
      <c r="E15" s="1193"/>
      <c r="F15" s="1189">
        <f ca="1">+F13-F14</f>
        <v>0.54321000000000019</v>
      </c>
      <c r="G15" s="1194"/>
      <c r="H15" s="1195"/>
      <c r="I15" s="1195"/>
      <c r="J15" s="3441"/>
      <c r="K15" s="1193"/>
      <c r="L15" s="1189">
        <f ca="1">+L13-L14</f>
        <v>0.72317000000000009</v>
      </c>
      <c r="M15" s="1194"/>
      <c r="N15" s="1195"/>
      <c r="O15" s="1195"/>
      <c r="P15" s="3441"/>
      <c r="Q15" s="1193"/>
      <c r="R15" s="1189">
        <f ca="1">+R13-R14</f>
        <v>0.94988999999999946</v>
      </c>
      <c r="S15" s="1194"/>
      <c r="T15" s="1195"/>
      <c r="U15" s="1195"/>
      <c r="V15" s="3441"/>
      <c r="W15" s="1193"/>
      <c r="X15" s="1189">
        <f ca="1">+X13-X14</f>
        <v>1.1341300000000007</v>
      </c>
      <c r="Y15" s="1194"/>
      <c r="Z15" s="1195"/>
      <c r="AA15" s="1195"/>
      <c r="AB15" s="3441"/>
      <c r="AC15" s="1193"/>
      <c r="AD15" s="1189">
        <f ca="1">+AD13-AD14</f>
        <v>1.12479</v>
      </c>
      <c r="AE15" s="1194"/>
      <c r="AF15" s="1195"/>
      <c r="AG15" s="1195"/>
      <c r="AH15" s="3441"/>
      <c r="AI15" s="1193"/>
      <c r="AJ15" s="1189">
        <f ca="1">+AJ13-AJ14</f>
        <v>1.1280799999999997</v>
      </c>
      <c r="AK15" s="1194"/>
      <c r="AL15" s="1195"/>
      <c r="AM15" s="1195"/>
      <c r="AN15" s="3441"/>
      <c r="AO15" s="1193"/>
      <c r="AP15" s="1189">
        <f ca="1">+AP13-AP14</f>
        <v>1.1358599999999992</v>
      </c>
      <c r="AQ15" s="1194"/>
      <c r="AR15" s="1195"/>
      <c r="AS15" s="1195"/>
      <c r="AT15" s="3441"/>
      <c r="AU15" s="1193"/>
      <c r="AV15" s="1189">
        <f ca="1">+AV13-AV14</f>
        <v>1.1770699999999996</v>
      </c>
      <c r="AW15" s="1194"/>
      <c r="AX15" s="1195"/>
      <c r="AY15" s="1195"/>
      <c r="AZ15" s="3441"/>
      <c r="BA15" s="1193"/>
      <c r="BB15" s="1189">
        <f ca="1">+BB13-BB14</f>
        <v>1.2726199999999999</v>
      </c>
      <c r="BC15" s="1194"/>
      <c r="BD15" s="1195"/>
      <c r="BE15" s="1195"/>
      <c r="BF15" s="3441"/>
      <c r="BG15" s="1193"/>
      <c r="BH15" s="1189">
        <f ca="1">+BH13-BH14</f>
        <v>1.4763899999999994</v>
      </c>
      <c r="BI15" s="1194"/>
      <c r="BJ15" s="1195"/>
      <c r="BK15" s="1195"/>
      <c r="BL15" s="3441"/>
      <c r="BM15" s="1193"/>
      <c r="BN15" s="1189">
        <f ca="1">+BN13-BN14</f>
        <v>1.7623499999999996</v>
      </c>
      <c r="BO15" s="1194"/>
      <c r="BP15" s="1195"/>
      <c r="BQ15" s="1195"/>
      <c r="BR15" s="3441"/>
      <c r="BS15" s="1193"/>
      <c r="BT15" s="1189">
        <f ca="1">+BT13-BT14</f>
        <v>2.1425400000000021</v>
      </c>
      <c r="BU15" s="1194"/>
      <c r="BV15" s="1195"/>
      <c r="BW15" s="1195"/>
      <c r="BX15" s="3441"/>
      <c r="BY15" s="1193"/>
      <c r="BZ15" s="1189">
        <f ca="1">+BZ13-BZ14</f>
        <v>2.6613500000000005</v>
      </c>
      <c r="CA15" s="1194"/>
      <c r="CB15" s="1195"/>
      <c r="CC15" s="1195"/>
      <c r="CD15" s="3441"/>
      <c r="CE15" s="1193"/>
      <c r="CF15" s="1189">
        <f ca="1">+CF13-CF14</f>
        <v>3.1857199999999999</v>
      </c>
      <c r="CG15" s="1194"/>
      <c r="CH15" s="1195"/>
      <c r="CI15" s="1195"/>
      <c r="CJ15" s="3441"/>
      <c r="CK15" s="1193"/>
      <c r="CL15" s="1189">
        <f ca="1">+CL13-CL14</f>
        <v>2.6654500000000017</v>
      </c>
      <c r="CM15" s="1194"/>
      <c r="CN15" s="1195"/>
      <c r="CO15" s="1195"/>
      <c r="CP15" s="3441"/>
      <c r="CQ15" s="1193"/>
      <c r="CR15" s="1189">
        <f ca="1">+CR13-CR14</f>
        <v>2.4507899999999978</v>
      </c>
      <c r="CS15" s="1194"/>
      <c r="CT15" s="1195"/>
      <c r="CU15" s="1195"/>
      <c r="CV15" s="3441"/>
      <c r="CW15" s="1193"/>
      <c r="CX15" s="1189">
        <f ca="1">+CX13-CX14</f>
        <v>2.6307100000000023</v>
      </c>
      <c r="CY15" s="1194"/>
      <c r="CZ15" s="1195"/>
      <c r="DA15" s="1195"/>
      <c r="DB15" s="3441"/>
      <c r="DC15" s="1193"/>
      <c r="DD15" s="1189">
        <f ca="1">+DD13-DD14</f>
        <v>2.72058</v>
      </c>
      <c r="DE15" s="1194"/>
      <c r="DF15" s="1195"/>
      <c r="DG15" s="1195"/>
      <c r="DH15" s="3441"/>
      <c r="DI15" s="1193"/>
      <c r="DJ15" s="1189">
        <f ca="1">+DJ13-DJ14</f>
        <v>2.9126300000000001</v>
      </c>
      <c r="DK15" s="1194"/>
      <c r="DL15" s="1195"/>
      <c r="DM15" s="1195"/>
      <c r="DN15" s="3441"/>
      <c r="DO15" s="1193"/>
      <c r="DP15" s="1189">
        <f ca="1">+DP13-DP14</f>
        <v>3.1038099999999993</v>
      </c>
      <c r="DQ15" s="1194"/>
      <c r="DR15" s="1195"/>
      <c r="DS15" s="1195"/>
      <c r="DT15" s="3441"/>
      <c r="DU15" s="1193"/>
      <c r="DV15" s="1189">
        <f ca="1">+DV13-DV14</f>
        <v>3.3287100000000009</v>
      </c>
      <c r="DW15" s="1194"/>
      <c r="DX15" s="1195"/>
      <c r="DY15" s="1195"/>
      <c r="DZ15" s="3441"/>
      <c r="EA15" s="1193"/>
      <c r="EB15" s="1189">
        <f ca="1">+EB13-EB14</f>
        <v>3.634389999999998</v>
      </c>
      <c r="EC15" s="1194"/>
      <c r="ED15" s="1195"/>
      <c r="EE15" s="1195"/>
      <c r="EF15" s="3441"/>
      <c r="EG15" s="1193"/>
      <c r="EH15" s="1189">
        <f ca="1">+EH13-EH14</f>
        <v>4.08738987340557</v>
      </c>
      <c r="EI15" s="1194"/>
      <c r="EJ15" s="1195"/>
      <c r="EK15" s="1195"/>
      <c r="EL15" s="3441"/>
      <c r="EM15" s="1193"/>
      <c r="EN15" s="1189">
        <f ca="1">+EN13-EN14</f>
        <v>4.3719799406085222</v>
      </c>
      <c r="EO15" s="1194"/>
      <c r="EP15" s="1195"/>
      <c r="EQ15" s="1195"/>
      <c r="ER15" s="3441"/>
      <c r="ES15" s="1193"/>
      <c r="ET15" s="1189">
        <f ca="1">+ET13-ET14</f>
        <v>4.6386321981000798</v>
      </c>
      <c r="EU15" s="1194"/>
      <c r="EV15" s="1195"/>
      <c r="EW15" s="1195"/>
      <c r="EX15" s="3441"/>
    </row>
    <row r="16" spans="1:154" ht="12.75" customHeight="1">
      <c r="A16" s="553"/>
      <c r="B16" s="600" t="s">
        <v>1767</v>
      </c>
      <c r="C16" s="3781" t="s">
        <v>1381</v>
      </c>
      <c r="D16" s="3782"/>
      <c r="E16" s="3458">
        <f ca="1">+F16+G16+H16</f>
        <v>0.93413999999999997</v>
      </c>
      <c r="F16" s="3448"/>
      <c r="G16" s="3448"/>
      <c r="H16" s="3449">
        <f ca="1">OFFSET(Sector1!$G$13,0,(COLUMN()-8)/6)</f>
        <v>0.93413999999999997</v>
      </c>
      <c r="I16" s="3449">
        <f ca="1">OFFSET(Sector1!$G$12,0,(COLUMN()-9)/6)</f>
        <v>0</v>
      </c>
      <c r="J16" s="556">
        <f ca="1">+E16-E9-E6+I16</f>
        <v>0</v>
      </c>
      <c r="K16" s="3458">
        <f ca="1">+L16+M16+N16</f>
        <v>1.1237200000000001</v>
      </c>
      <c r="L16" s="3448"/>
      <c r="M16" s="3448"/>
      <c r="N16" s="3449">
        <f ca="1">OFFSET(Sector1!$G$13,0,(COLUMN()-8)/6)</f>
        <v>1.1237200000000001</v>
      </c>
      <c r="O16" s="3449">
        <f ca="1">OFFSET(Sector1!$G$12,0,(COLUMN()-9)/6)</f>
        <v>0</v>
      </c>
      <c r="P16" s="556">
        <f ca="1">+K16-K9-K6+O16</f>
        <v>0</v>
      </c>
      <c r="Q16" s="3458">
        <f ca="1">+R16+S16+T16</f>
        <v>1.58561</v>
      </c>
      <c r="R16" s="3448"/>
      <c r="S16" s="3448"/>
      <c r="T16" s="3449">
        <f ca="1">OFFSET(Sector1!$G$13,0,(COLUMN()-8)/6)</f>
        <v>1.58561</v>
      </c>
      <c r="U16" s="3449">
        <f ca="1">OFFSET(Sector1!$G$12,0,(COLUMN()-9)/6)</f>
        <v>0</v>
      </c>
      <c r="V16" s="556">
        <f ca="1">+Q16-Q9-Q6+U16</f>
        <v>-9.9999999998434674E-6</v>
      </c>
      <c r="W16" s="3458">
        <f ca="1">+X16+Y16+Z16</f>
        <v>1.7950299999999999</v>
      </c>
      <c r="X16" s="3448"/>
      <c r="Y16" s="3448"/>
      <c r="Z16" s="3449">
        <f ca="1">OFFSET(Sector1!$G$13,0,(COLUMN()-8)/6)</f>
        <v>1.7950299999999999</v>
      </c>
      <c r="AA16" s="3449">
        <f ca="1">OFFSET(Sector1!$G$12,0,(COLUMN()-9)/6)</f>
        <v>0</v>
      </c>
      <c r="AB16" s="556">
        <f ca="1">+W16-W9-W6+AA16</f>
        <v>-2.2204460492503131E-16</v>
      </c>
      <c r="AC16" s="3458">
        <f ca="1">+AD16+AE16+AF16</f>
        <v>1.74356</v>
      </c>
      <c r="AD16" s="3448"/>
      <c r="AE16" s="3448"/>
      <c r="AF16" s="3449">
        <f ca="1">OFFSET(Sector1!$G$13,0,(COLUMN()-8)/6)</f>
        <v>1.74356</v>
      </c>
      <c r="AG16" s="3449">
        <f ca="1">OFFSET(Sector1!$G$12,0,(COLUMN()-9)/6)</f>
        <v>0</v>
      </c>
      <c r="AH16" s="556">
        <f ca="1">+AC16-AC9-AC6+AG16</f>
        <v>0</v>
      </c>
      <c r="AI16" s="3458">
        <f ca="1">+AJ16+AK16+AL16</f>
        <v>1.6726099999999999</v>
      </c>
      <c r="AJ16" s="3448"/>
      <c r="AK16" s="3448"/>
      <c r="AL16" s="3449">
        <f ca="1">OFFSET(Sector1!$G$13,0,(COLUMN()-8)/6)</f>
        <v>1.6726099999999999</v>
      </c>
      <c r="AM16" s="3449">
        <f ca="1">OFFSET(Sector1!$G$12,0,(COLUMN()-9)/6)</f>
        <v>0</v>
      </c>
      <c r="AN16" s="556">
        <f ca="1">+AI16-AI9-AI6+AM16</f>
        <v>9.9999999998434674E-6</v>
      </c>
      <c r="AO16" s="3458">
        <f ca="1">+AP16+AQ16+AR16</f>
        <v>1.72933</v>
      </c>
      <c r="AP16" s="3448"/>
      <c r="AQ16" s="3448"/>
      <c r="AR16" s="3449">
        <f ca="1">OFFSET(Sector1!$G$13,0,(COLUMN()-8)/6)</f>
        <v>1.72933</v>
      </c>
      <c r="AS16" s="3449">
        <f ca="1">OFFSET(Sector1!$G$12,0,(COLUMN()-9)/6)</f>
        <v>0</v>
      </c>
      <c r="AT16" s="556">
        <f ca="1">+AO16-AO9-AO6+AS16</f>
        <v>2.2204460492503131E-16</v>
      </c>
      <c r="AU16" s="3458">
        <f ca="1">+AV16+AW16+AX16</f>
        <v>1.8834200000000001</v>
      </c>
      <c r="AV16" s="3448"/>
      <c r="AW16" s="3448"/>
      <c r="AX16" s="3449">
        <f ca="1">OFFSET(Sector1!$G$13,0,(COLUMN()-8)/6)</f>
        <v>1.8834200000000001</v>
      </c>
      <c r="AY16" s="3449">
        <f ca="1">OFFSET(Sector1!$G$12,0,(COLUMN()-9)/6)</f>
        <v>0</v>
      </c>
      <c r="AZ16" s="556">
        <f ca="1">+AU16-AU9-AU6+AY16</f>
        <v>-1.0000000000065512E-5</v>
      </c>
      <c r="BA16" s="3458">
        <f ca="1">+BB16+BC16+BD16</f>
        <v>1.94069</v>
      </c>
      <c r="BB16" s="3448"/>
      <c r="BC16" s="3448"/>
      <c r="BD16" s="3449">
        <f ca="1">OFFSET(Sector1!$G$13,0,(COLUMN()-8)/6)</f>
        <v>1.94069</v>
      </c>
      <c r="BE16" s="3449">
        <f ca="1">OFFSET(Sector1!$G$12,0,(COLUMN()-9)/6)</f>
        <v>0</v>
      </c>
      <c r="BF16" s="556">
        <f ca="1">+BA16-BA9-BA6+BE16</f>
        <v>-1.0000000000065512E-5</v>
      </c>
      <c r="BG16" s="3458">
        <f ca="1">+BH16+BI16+BJ16</f>
        <v>2.0387400000000002</v>
      </c>
      <c r="BH16" s="3448"/>
      <c r="BI16" s="3448"/>
      <c r="BJ16" s="3449">
        <f ca="1">OFFSET(Sector1!$G$13,0,(COLUMN()-8)/6)</f>
        <v>2.0387400000000002</v>
      </c>
      <c r="BK16" s="3449">
        <f ca="1">OFFSET(Sector1!$G$12,0,(COLUMN()-9)/6)</f>
        <v>3.4464782205746058E-2</v>
      </c>
      <c r="BL16" s="556">
        <f ca="1">+BG16-BG9-BG6+BK16</f>
        <v>1.5324782205746346E-2</v>
      </c>
      <c r="BM16" s="3458">
        <f ca="1">+BN16+BO16+BP16</f>
        <v>2.3545599999999998</v>
      </c>
      <c r="BN16" s="3448"/>
      <c r="BO16" s="3448"/>
      <c r="BP16" s="3449">
        <f ca="1">OFFSET(Sector1!$G$13,0,(COLUMN()-8)/6)</f>
        <v>2.3545599999999998</v>
      </c>
      <c r="BQ16" s="3449" t="e">
        <f ca="1">OFFSET(Sector1!$G$12,0,(COLUMN()-9)/6)</f>
        <v>#VALUE!</v>
      </c>
      <c r="BR16" s="556" t="e">
        <f ca="1">+BM16-BM9-BM6+BQ16</f>
        <v>#VALUE!</v>
      </c>
      <c r="BS16" s="3458">
        <f ca="1">+BT16+BU16+BV16</f>
        <v>2.7234699999999998</v>
      </c>
      <c r="BT16" s="3448"/>
      <c r="BU16" s="3448"/>
      <c r="BV16" s="3449">
        <f ca="1">OFFSET(Sector1!$G$13,0,(COLUMN()-8)/6)</f>
        <v>2.7234699999999998</v>
      </c>
      <c r="BW16" s="3449" t="e">
        <f ca="1">OFFSET(Sector1!$G$12,0,(COLUMN()-9)/6)</f>
        <v>#VALUE!</v>
      </c>
      <c r="BX16" s="556" t="e">
        <f ca="1">+BS16-BS9-BS6+BW16</f>
        <v>#VALUE!</v>
      </c>
      <c r="BY16" s="3458">
        <f ca="1">+BZ16+CA16+CB16</f>
        <v>3.3773499999999999</v>
      </c>
      <c r="BZ16" s="3448"/>
      <c r="CA16" s="3448"/>
      <c r="CB16" s="3449">
        <f ca="1">OFFSET(Sector1!$G$13,0,(COLUMN()-8)/6)</f>
        <v>3.3773499999999999</v>
      </c>
      <c r="CC16" s="3449" t="e">
        <f ca="1">OFFSET(Sector1!$G$12,0,(COLUMN()-9)/6)</f>
        <v>#VALUE!</v>
      </c>
      <c r="CD16" s="556" t="e">
        <f ca="1">+BY16-BY9-BY6+CC16</f>
        <v>#VALUE!</v>
      </c>
      <c r="CE16" s="3458">
        <f ca="1">+CF16+CG16+CH16</f>
        <v>3.79074</v>
      </c>
      <c r="CF16" s="3448"/>
      <c r="CG16" s="3448"/>
      <c r="CH16" s="3449">
        <f ca="1">OFFSET(Sector1!$G$13,0,(COLUMN()-8)/6)</f>
        <v>3.79074</v>
      </c>
      <c r="CI16" s="3449">
        <f ca="1">OFFSET(Sector1!$G$12,0,(COLUMN()-9)/6)</f>
        <v>0.11799999999999999</v>
      </c>
      <c r="CJ16" s="556">
        <f ca="1">+CE16-CE9-CE6+CI16</f>
        <v>2.2670000000000301E-2</v>
      </c>
      <c r="CK16" s="3458">
        <f ca="1">+CL16+CM16+CN16</f>
        <v>3.1144400000000001</v>
      </c>
      <c r="CL16" s="3448"/>
      <c r="CM16" s="3448"/>
      <c r="CN16" s="3449">
        <f ca="1">OFFSET(Sector1!$G$13,0,(COLUMN()-8)/6)</f>
        <v>3.1144400000000001</v>
      </c>
      <c r="CO16" s="3449">
        <f ca="1">OFFSET(Sector1!$G$12,0,(COLUMN()-9)/6)</f>
        <v>7.9000000000000001E-2</v>
      </c>
      <c r="CP16" s="556">
        <f ca="1">+CK16-CK9-CK6+CO16</f>
        <v>1.9500000000000559E-2</v>
      </c>
      <c r="CQ16" s="3458">
        <f ca="1">+CR16+CS16+CT16</f>
        <v>3.3192600000000003</v>
      </c>
      <c r="CR16" s="3448"/>
      <c r="CS16" s="3448"/>
      <c r="CT16" s="3449">
        <f ca="1">OFFSET(Sector1!$G$13,0,(COLUMN()-8)/6)</f>
        <v>3.3192600000000003</v>
      </c>
      <c r="CU16" s="3449">
        <f ca="1">OFFSET(Sector1!$G$12,0,(COLUMN()-9)/6)</f>
        <v>8.7999999999999995E-2</v>
      </c>
      <c r="CV16" s="556">
        <f ca="1">+CQ16-CQ9-CQ6+CU16</f>
        <v>3.4140000000000198E-2</v>
      </c>
      <c r="CW16" s="3458">
        <f ca="1">+CX16+CY16+CZ16</f>
        <v>3.6286</v>
      </c>
      <c r="CX16" s="3448"/>
      <c r="CY16" s="3448"/>
      <c r="CZ16" s="3449">
        <f ca="1">OFFSET(Sector1!$G$13,0,(COLUMN()-8)/6)</f>
        <v>3.6286</v>
      </c>
      <c r="DA16" s="3449">
        <f ca="1">OFFSET(Sector1!$G$12,0,(COLUMN()-9)/6)</f>
        <v>9.1999999999999998E-2</v>
      </c>
      <c r="DB16" s="556">
        <f ca="1">+CW16-CW9-CW6+DA16</f>
        <v>3.0470000000000136E-2</v>
      </c>
      <c r="DC16" s="3458">
        <f ca="1">+DD16+DE16+DF16</f>
        <v>3.7240700000000002</v>
      </c>
      <c r="DD16" s="3448"/>
      <c r="DE16" s="3448"/>
      <c r="DF16" s="3449">
        <f ca="1">OFFSET(Sector1!$G$13,0,(COLUMN()-8)/6)</f>
        <v>3.7240700000000002</v>
      </c>
      <c r="DG16" s="3449">
        <f ca="1">OFFSET(Sector1!$G$12,0,(COLUMN()-9)/6)</f>
        <v>8.6999999999999994E-2</v>
      </c>
      <c r="DH16" s="556">
        <f ca="1">+DC16-DC9-DC6+DG16</f>
        <v>2.2030000000000244E-2</v>
      </c>
      <c r="DI16" s="3458">
        <f ca="1">+DJ16+DK16+DL16</f>
        <v>3.8413400000000002</v>
      </c>
      <c r="DJ16" s="3448"/>
      <c r="DK16" s="3448"/>
      <c r="DL16" s="3449">
        <f ca="1">OFFSET(Sector1!$G$13,0,(COLUMN()-8)/6)</f>
        <v>3.8413400000000002</v>
      </c>
      <c r="DM16" s="3449">
        <f ca="1">OFFSET(Sector1!$G$12,0,(COLUMN()-9)/6)</f>
        <v>0.1</v>
      </c>
      <c r="DN16" s="556">
        <f ca="1">+DI16-DI9-DI6+DM16</f>
        <v>2.5170000000000053E-2</v>
      </c>
      <c r="DO16" s="3458">
        <f ca="1">+DP16+DQ16+DR16</f>
        <v>4.0795399999999997</v>
      </c>
      <c r="DP16" s="3448"/>
      <c r="DQ16" s="3448"/>
      <c r="DR16" s="3449">
        <f ca="1">OFFSET(Sector1!$G$13,0,(COLUMN()-8)/6)</f>
        <v>4.0795399999999997</v>
      </c>
      <c r="DS16" s="3449">
        <f ca="1">OFFSET(Sector1!$G$12,0,(COLUMN()-9)/6)</f>
        <v>0.10299999999999999</v>
      </c>
      <c r="DT16" s="556">
        <f ca="1">+DO16-DO9-DO6+DS16</f>
        <v>1.5949999999999923E-2</v>
      </c>
      <c r="DU16" s="3458">
        <f ca="1">+DV16+DW16+DX16</f>
        <v>4.3436300000000001</v>
      </c>
      <c r="DV16" s="3448"/>
      <c r="DW16" s="3448"/>
      <c r="DX16" s="3449">
        <f ca="1">OFFSET(Sector1!$G$13,0,(COLUMN()-8)/6)</f>
        <v>4.3436300000000001</v>
      </c>
      <c r="DY16" s="3449">
        <f ca="1">OFFSET(Sector1!$G$12,0,(COLUMN()-9)/6)</f>
        <v>0.123</v>
      </c>
      <c r="DZ16" s="556">
        <f ca="1">+DU16-DU9-DU6+DY16</f>
        <v>1.2909999999999533E-2</v>
      </c>
      <c r="EA16" s="3458">
        <f ca="1">+EB16+EC16+ED16</f>
        <v>4.5327600000000006</v>
      </c>
      <c r="EB16" s="3448"/>
      <c r="EC16" s="3448"/>
      <c r="ED16" s="3449">
        <f ca="1">OFFSET(Sector1!$G$13,0,(COLUMN()-8)/6)</f>
        <v>4.5327600000000006</v>
      </c>
      <c r="EE16" s="3449">
        <f ca="1">OFFSET(Sector1!$G$12,0,(COLUMN()-9)/6)</f>
        <v>0.112</v>
      </c>
      <c r="EF16" s="556">
        <f ca="1">+EA16-EA9-EA6+EE16</f>
        <v>7.9200000000011622E-3</v>
      </c>
      <c r="EG16" s="3458">
        <f ca="1">+EH16+EI16+EJ16</f>
        <v>4.9279856999999998</v>
      </c>
      <c r="EH16" s="3448"/>
      <c r="EI16" s="3448"/>
      <c r="EJ16" s="3449">
        <f ca="1">OFFSET(Sector1!$G$13,0,(COLUMN()-8)/6)</f>
        <v>4.9279856999999998</v>
      </c>
      <c r="EK16" s="3449">
        <f ca="1">OFFSET(Sector1!$G$12,0,(COLUMN()-9)/6)</f>
        <v>0.11648</v>
      </c>
      <c r="EL16" s="556">
        <f ca="1">+EG16-EG9-EG6+EK16</f>
        <v>-1.3877787807814457E-16</v>
      </c>
      <c r="EM16" s="3458">
        <f ca="1">+EN16+EO16+EP16</f>
        <v>5.2460899270192165</v>
      </c>
      <c r="EN16" s="3448"/>
      <c r="EO16" s="3448"/>
      <c r="EP16" s="3449">
        <f ca="1">OFFSET(Sector1!$G$13,0,(COLUMN()-8)/6)</f>
        <v>5.2460899270192165</v>
      </c>
      <c r="EQ16" s="3449">
        <f ca="1">OFFSET(Sector1!$G$12,0,(COLUMN()-9)/6)</f>
        <v>0.1211392</v>
      </c>
      <c r="ER16" s="556">
        <f ca="1">+EM16-EM9-EM6+EQ16</f>
        <v>8.8817841970012523E-16</v>
      </c>
      <c r="ES16" s="3458">
        <f ca="1">+ET16+EU16+EV16</f>
        <v>5.5409120675982919</v>
      </c>
      <c r="ET16" s="3448"/>
      <c r="EU16" s="3448"/>
      <c r="EV16" s="3449">
        <f ca="1">OFFSET(Sector1!$G$13,0,(COLUMN()-8)/6)</f>
        <v>5.5409120675982919</v>
      </c>
      <c r="EW16" s="3449">
        <f ca="1">OFFSET(Sector1!$G$12,0,(COLUMN()-9)/6)</f>
        <v>0.125984768</v>
      </c>
      <c r="EX16" s="556">
        <f ca="1">+ES16-ES9-ES6+EW16</f>
        <v>-1.2490009027033011E-15</v>
      </c>
    </row>
    <row r="17" spans="1:154" ht="13.5" customHeight="1" thickBot="1">
      <c r="A17" s="553"/>
      <c r="B17" s="600" t="s">
        <v>401</v>
      </c>
      <c r="C17" s="3781" t="s">
        <v>1488</v>
      </c>
      <c r="D17" s="3782"/>
      <c r="E17" s="3458">
        <f ca="1">+F17+G17+H17</f>
        <v>7.9650000000000012E-2</v>
      </c>
      <c r="F17" s="3448"/>
      <c r="G17" s="3448"/>
      <c r="H17" s="3449">
        <f ca="1">OFFSET(Sector1!$G$50,0,(COLUMN()-8)/6)</f>
        <v>7.9650000000000012E-2</v>
      </c>
      <c r="I17" s="3449">
        <f ca="1">OFFSET(Sector1!$G$49,0,(COLUMN()-9)/6)</f>
        <v>0</v>
      </c>
      <c r="J17" s="556">
        <f ca="1">+E17-E10-E7+I17</f>
        <v>1.3877787807814457E-17</v>
      </c>
      <c r="K17" s="3458">
        <f ca="1">+L17+M17+N17</f>
        <v>0.11481</v>
      </c>
      <c r="L17" s="3448"/>
      <c r="M17" s="3448"/>
      <c r="N17" s="3449">
        <f ca="1">OFFSET(Sector1!$G$50,0,(COLUMN()-8)/6)</f>
        <v>0.11481</v>
      </c>
      <c r="O17" s="3449">
        <f ca="1">OFFSET(Sector1!$G$49,0,(COLUMN()-9)/6)</f>
        <v>0</v>
      </c>
      <c r="P17" s="556">
        <f ca="1">+K17-K10-K7+O17</f>
        <v>0</v>
      </c>
      <c r="Q17" s="3458">
        <f ca="1">+R17+S17+T17</f>
        <v>0.10111000000000001</v>
      </c>
      <c r="R17" s="3448"/>
      <c r="S17" s="3448"/>
      <c r="T17" s="3449">
        <f ca="1">OFFSET(Sector1!$G$50,0,(COLUMN()-8)/6)</f>
        <v>0.10111000000000001</v>
      </c>
      <c r="U17" s="3449">
        <f ca="1">OFFSET(Sector1!$G$49,0,(COLUMN()-9)/6)</f>
        <v>0</v>
      </c>
      <c r="V17" s="556">
        <f ca="1">+Q17-Q10-Q7+U17</f>
        <v>0</v>
      </c>
      <c r="W17" s="3458">
        <f ca="1">+X17+Y17+Z17</f>
        <v>0.13661000000000001</v>
      </c>
      <c r="X17" s="3448"/>
      <c r="Y17" s="3448"/>
      <c r="Z17" s="3449">
        <f ca="1">OFFSET(Sector1!$G$50,0,(COLUMN()-8)/6)</f>
        <v>0.13661000000000001</v>
      </c>
      <c r="AA17" s="3449">
        <f ca="1">OFFSET(Sector1!$G$49,0,(COLUMN()-9)/6)</f>
        <v>0</v>
      </c>
      <c r="AB17" s="556">
        <f ca="1">+W17-W10-W7+AA17</f>
        <v>-9.9999999999822453E-6</v>
      </c>
      <c r="AC17" s="3458">
        <f ca="1">+AD17+AE17+AF17</f>
        <v>0.13238999999999998</v>
      </c>
      <c r="AD17" s="3448"/>
      <c r="AE17" s="3448"/>
      <c r="AF17" s="3449">
        <f ca="1">OFFSET(Sector1!$G$50,0,(COLUMN()-8)/6)</f>
        <v>0.13238999999999998</v>
      </c>
      <c r="AG17" s="3449">
        <f ca="1">OFFSET(Sector1!$G$49,0,(COLUMN()-9)/6)</f>
        <v>0</v>
      </c>
      <c r="AH17" s="556">
        <f ca="1">+AC17-AC10-AC7+AG17</f>
        <v>-2.7755575615628914E-17</v>
      </c>
      <c r="AI17" s="3458">
        <f ca="1">+AJ17+AK17+AL17</f>
        <v>0.10464</v>
      </c>
      <c r="AJ17" s="3448"/>
      <c r="AK17" s="3448"/>
      <c r="AL17" s="3449">
        <f ca="1">OFFSET(Sector1!$G$50,0,(COLUMN()-8)/6)</f>
        <v>0.10464</v>
      </c>
      <c r="AM17" s="3449">
        <f ca="1">OFFSET(Sector1!$G$49,0,(COLUMN()-9)/6)</f>
        <v>0</v>
      </c>
      <c r="AN17" s="556">
        <f ca="1">+AI17-AI10-AI7+AM17</f>
        <v>-1.0000000000010001E-5</v>
      </c>
      <c r="AO17" s="3458">
        <f ca="1">+AP17+AQ17+AR17</f>
        <v>0.11926</v>
      </c>
      <c r="AP17" s="3448"/>
      <c r="AQ17" s="3448"/>
      <c r="AR17" s="3449">
        <f ca="1">OFFSET(Sector1!$G$50,0,(COLUMN()-8)/6)</f>
        <v>0.11926</v>
      </c>
      <c r="AS17" s="3449">
        <f ca="1">OFFSET(Sector1!$G$49,0,(COLUMN()-9)/6)</f>
        <v>0</v>
      </c>
      <c r="AT17" s="556">
        <f ca="1">+AO17-AO10-AO7+AS17</f>
        <v>0</v>
      </c>
      <c r="AU17" s="3458">
        <f ca="1">+AV17+AW17+AX17</f>
        <v>0.11982</v>
      </c>
      <c r="AV17" s="3448"/>
      <c r="AW17" s="3448"/>
      <c r="AX17" s="3449">
        <f ca="1">OFFSET(Sector1!$G$50,0,(COLUMN()-8)/6)</f>
        <v>0.11982</v>
      </c>
      <c r="AY17" s="3449">
        <f ca="1">OFFSET(Sector1!$G$49,0,(COLUMN()-9)/6)</f>
        <v>0</v>
      </c>
      <c r="AZ17" s="556">
        <f ca="1">+AU17-AU10-AU7+AY17</f>
        <v>-1.0000000000010001E-5</v>
      </c>
      <c r="BA17" s="3458">
        <f ca="1">+BB17+BC17+BD17</f>
        <v>0.1295</v>
      </c>
      <c r="BB17" s="3448"/>
      <c r="BC17" s="3448"/>
      <c r="BD17" s="3449">
        <f ca="1">OFFSET(Sector1!$G$50,0,(COLUMN()-8)/6)</f>
        <v>0.1295</v>
      </c>
      <c r="BE17" s="3449">
        <f ca="1">OFFSET(Sector1!$G$49,0,(COLUMN()-9)/6)</f>
        <v>0</v>
      </c>
      <c r="BF17" s="556">
        <f ca="1">+BA17-BA10-BA7+BE17</f>
        <v>9.9999999999961231E-6</v>
      </c>
      <c r="BG17" s="3458">
        <f ca="1">+BH17+BI17+BJ17</f>
        <v>0.12561</v>
      </c>
      <c r="BH17" s="3448"/>
      <c r="BI17" s="3448"/>
      <c r="BJ17" s="3449">
        <f ca="1">OFFSET(Sector1!$G$50,0,(COLUMN()-8)/6)</f>
        <v>0.12561</v>
      </c>
      <c r="BK17" s="3449">
        <f ca="1">OFFSET(Sector1!$G$49,0,(COLUMN()-9)/6)</f>
        <v>0.12193002780352179</v>
      </c>
      <c r="BL17" s="556">
        <f ca="1">+BG17-BG10-BG7+BK17</f>
        <v>-1.399721964782108E-4</v>
      </c>
      <c r="BM17" s="3458">
        <f ca="1">+BN17+BO17+BP17</f>
        <v>0.14176</v>
      </c>
      <c r="BN17" s="3448"/>
      <c r="BO17" s="3448"/>
      <c r="BP17" s="3449">
        <f ca="1">OFFSET(Sector1!$G$50,0,(COLUMN()-8)/6)</f>
        <v>0.14176</v>
      </c>
      <c r="BQ17" s="3449">
        <f ca="1">OFFSET(Sector1!$G$49,0,(COLUMN()-9)/6)</f>
        <v>0.245</v>
      </c>
      <c r="BR17" s="556">
        <f ca="1">+BM17-BM10-BM7+BQ17</f>
        <v>1.4000000000000123E-4</v>
      </c>
      <c r="BS17" s="3458">
        <f ca="1">+BT17+BU17+BV17</f>
        <v>0.16190000000000002</v>
      </c>
      <c r="BT17" s="3448"/>
      <c r="BU17" s="3448"/>
      <c r="BV17" s="3449">
        <f ca="1">OFFSET(Sector1!$G$50,0,(COLUMN()-8)/6)</f>
        <v>0.16190000000000002</v>
      </c>
      <c r="BW17" s="3449">
        <f ca="1">OFFSET(Sector1!$G$49,0,(COLUMN()-9)/6)</f>
        <v>0.23499999999999999</v>
      </c>
      <c r="BX17" s="556">
        <f ca="1">+BS17-BS10-BS7+BW17</f>
        <v>3.3000000000002472E-4</v>
      </c>
      <c r="BY17" s="3458">
        <f ca="1">+BZ17+CA17+CB17</f>
        <v>0.25557000000000002</v>
      </c>
      <c r="BZ17" s="3448"/>
      <c r="CA17" s="3448"/>
      <c r="CB17" s="3449">
        <f ca="1">OFFSET(Sector1!$G$50,0,(COLUMN()-8)/6)</f>
        <v>0.25557000000000002</v>
      </c>
      <c r="CC17" s="3449">
        <f ca="1">OFFSET(Sector1!$G$49,0,(COLUMN()-9)/6)</f>
        <v>0.189</v>
      </c>
      <c r="CD17" s="556">
        <f ca="1">+BY17-BY10-BY7+CC17</f>
        <v>4.5000000000003371E-4</v>
      </c>
      <c r="CE17" s="3458">
        <f ca="1">+CF17+CG17+CH17</f>
        <v>0.22084000000000001</v>
      </c>
      <c r="CF17" s="3448"/>
      <c r="CG17" s="3448"/>
      <c r="CH17" s="3449">
        <f ca="1">OFFSET(Sector1!$G$50,0,(COLUMN()-8)/6)</f>
        <v>0.22084000000000001</v>
      </c>
      <c r="CI17" s="3449">
        <f ca="1">OFFSET(Sector1!$G$49,0,(COLUMN()-9)/6)</f>
        <v>0.20699999999999999</v>
      </c>
      <c r="CJ17" s="556">
        <f ca="1">+CE17-CE10-CE7+CI17</f>
        <v>2.7999999999997471E-4</v>
      </c>
      <c r="CK17" s="3458">
        <f ca="1">+CL17+CM17+CN17</f>
        <v>0.17044000000000001</v>
      </c>
      <c r="CL17" s="3448"/>
      <c r="CM17" s="3448"/>
      <c r="CN17" s="3449">
        <f ca="1">OFFSET(Sector1!$G$50,0,(COLUMN()-8)/6)</f>
        <v>0.17044000000000001</v>
      </c>
      <c r="CO17" s="3449">
        <f ca="1">OFFSET(Sector1!$G$49,0,(COLUMN()-9)/6)</f>
        <v>0.27300000000000002</v>
      </c>
      <c r="CP17" s="556">
        <f ca="1">+CK17-CK10-CK7+CO17</f>
        <v>-4.8999999999993493E-4</v>
      </c>
      <c r="CQ17" s="3458">
        <f ca="1">+CR17+CS17+CT17</f>
        <v>0.13799</v>
      </c>
      <c r="CR17" s="3448"/>
      <c r="CS17" s="3448"/>
      <c r="CT17" s="3449">
        <f ca="1">OFFSET(Sector1!$G$50,0,(COLUMN()-8)/6)</f>
        <v>0.13799</v>
      </c>
      <c r="CU17" s="3449">
        <f ca="1">OFFSET(Sector1!$G$49,0,(COLUMN()-9)/6)</f>
        <v>0.30499999999999999</v>
      </c>
      <c r="CV17" s="556">
        <f ca="1">+CQ17-CQ10-CQ7+CU17</f>
        <v>4.2999999999998595E-4</v>
      </c>
      <c r="CW17" s="3458">
        <f ca="1">+CX17+CY17+CZ17</f>
        <v>0.12257</v>
      </c>
      <c r="CX17" s="3448"/>
      <c r="CY17" s="3448"/>
      <c r="CZ17" s="3449">
        <f ca="1">OFFSET(Sector1!$G$50,0,(COLUMN()-8)/6)</f>
        <v>0.12257</v>
      </c>
      <c r="DA17" s="3449">
        <f ca="1">OFFSET(Sector1!$G$49,0,(COLUMN()-9)/6)</f>
        <v>0.32300000000000001</v>
      </c>
      <c r="DB17" s="556">
        <f ca="1">+CW17-CW10-CW7+DA17</f>
        <v>7.0000000000014495E-5</v>
      </c>
      <c r="DC17" s="3458">
        <f ca="1">+DD17+DE17+DF17</f>
        <v>0.10482</v>
      </c>
      <c r="DD17" s="3448"/>
      <c r="DE17" s="3448"/>
      <c r="DF17" s="3449">
        <f ca="1">OFFSET(Sector1!$G$50,0,(COLUMN()-8)/6)</f>
        <v>0.10482</v>
      </c>
      <c r="DG17" s="3449">
        <f ca="1">OFFSET(Sector1!$G$49,0,(COLUMN()-9)/6)</f>
        <v>0.36599999999999999</v>
      </c>
      <c r="DH17" s="556">
        <f ca="1">+DC17-DC10-DC7+DG17</f>
        <v>-4.3000000000004146E-4</v>
      </c>
      <c r="DI17" s="3458">
        <f ca="1">+DJ17+DK17+DL17</f>
        <v>0.11563</v>
      </c>
      <c r="DJ17" s="3448"/>
      <c r="DK17" s="3448"/>
      <c r="DL17" s="3449">
        <f ca="1">OFFSET(Sector1!$G$50,0,(COLUMN()-8)/6)</f>
        <v>0.11563</v>
      </c>
      <c r="DM17" s="3449">
        <f ca="1">OFFSET(Sector1!$G$49,0,(COLUMN()-9)/6)</f>
        <v>0.38900000000000001</v>
      </c>
      <c r="DN17" s="556">
        <f ca="1">+DI17-DI10-DI7+DM17</f>
        <v>8.0000000000024496E-5</v>
      </c>
      <c r="DO17" s="3458">
        <f ca="1">+DP17+DQ17+DR17</f>
        <v>0.11874</v>
      </c>
      <c r="DP17" s="3448"/>
      <c r="DQ17" s="3448"/>
      <c r="DR17" s="3449">
        <f ca="1">OFFSET(Sector1!$G$50,0,(COLUMN()-8)/6)</f>
        <v>0.11874</v>
      </c>
      <c r="DS17" s="3449">
        <f ca="1">OFFSET(Sector1!$G$49,0,(COLUMN()-9)/6)</f>
        <v>0.38600000000000001</v>
      </c>
      <c r="DT17" s="556">
        <f ca="1">+DO17-DO10-DO7+DS17</f>
        <v>4.0000000000040004E-5</v>
      </c>
      <c r="DU17" s="3458">
        <f ca="1">+DV17+DW17+DX17</f>
        <v>0.14757000000000001</v>
      </c>
      <c r="DV17" s="3448"/>
      <c r="DW17" s="3448"/>
      <c r="DX17" s="3449">
        <f ca="1">OFFSET(Sector1!$G$50,0,(COLUMN()-8)/6)</f>
        <v>0.14757000000000001</v>
      </c>
      <c r="DY17" s="3449">
        <f ca="1">OFFSET(Sector1!$G$49,0,(COLUMN()-9)/6)</f>
        <v>0.441</v>
      </c>
      <c r="DZ17" s="556">
        <f ca="1">+DU17-DU10-DU7+DY17</f>
        <v>-4.0000000000001146E-4</v>
      </c>
      <c r="EA17" s="3458">
        <f ca="1">+EB17+EC17+ED17</f>
        <v>0.16243000000000002</v>
      </c>
      <c r="EB17" s="3448"/>
      <c r="EC17" s="3448"/>
      <c r="ED17" s="3449">
        <f ca="1">OFFSET(Sector1!$G$50,0,(COLUMN()-8)/6)</f>
        <v>0.16243000000000002</v>
      </c>
      <c r="EE17" s="3449">
        <f ca="1">OFFSET(Sector1!$G$49,0,(COLUMN()-9)/6)</f>
        <v>0.46700000000000003</v>
      </c>
      <c r="EF17" s="556">
        <f ca="1">+EA17-EA10-EA7+EE17</f>
        <v>-2.5999999999998247E-4</v>
      </c>
      <c r="EG17" s="3458">
        <f ca="1">+EH17+EI17+EJ17</f>
        <v>0.15881500000000004</v>
      </c>
      <c r="EH17" s="3448"/>
      <c r="EI17" s="3448"/>
      <c r="EJ17" s="3449">
        <f ca="1">OFFSET(Sector1!$G$50,0,(COLUMN()-8)/6)</f>
        <v>0.15881500000000004</v>
      </c>
      <c r="EK17" s="3449">
        <f ca="1">OFFSET(Sector1!$G$49,0,(COLUMN()-9)/6)</f>
        <v>0.47867499999999996</v>
      </c>
      <c r="EL17" s="556">
        <f ca="1">+EG17-EG10-EG7+EK17</f>
        <v>0</v>
      </c>
      <c r="EM17" s="3458">
        <f ca="1">+EN17+EO17+EP17</f>
        <v>0.16650412500000011</v>
      </c>
      <c r="EN17" s="3448"/>
      <c r="EO17" s="3448"/>
      <c r="EP17" s="3449">
        <f ca="1">OFFSET(Sector1!$G$50,0,(COLUMN()-8)/6)</f>
        <v>0.16650412500000011</v>
      </c>
      <c r="EQ17" s="3449">
        <f ca="1">OFFSET(Sector1!$G$49,0,(COLUMN()-9)/6)</f>
        <v>0.49064187499999989</v>
      </c>
      <c r="ER17" s="556">
        <f ca="1">+EM17-EM10-EM7+EQ17</f>
        <v>0</v>
      </c>
      <c r="ES17" s="3458">
        <f ca="1">+ET17+EU17+EV17</f>
        <v>0.17460169412500015</v>
      </c>
      <c r="ET17" s="3448"/>
      <c r="EU17" s="3448"/>
      <c r="EV17" s="3449">
        <f ca="1">OFFSET(Sector1!$G$50,0,(COLUMN()-8)/6)</f>
        <v>0.17460169412500015</v>
      </c>
      <c r="EW17" s="3449">
        <f ca="1">OFFSET(Sector1!$G$49,0,(COLUMN()-9)/6)</f>
        <v>0.50290792187499989</v>
      </c>
      <c r="EX17" s="556">
        <f ca="1">+ES17-ES10-ES7+EW17</f>
        <v>0</v>
      </c>
    </row>
    <row r="18" spans="1:154" ht="12.75" customHeight="1">
      <c r="A18" s="553"/>
      <c r="B18" s="600" t="s">
        <v>1767</v>
      </c>
      <c r="C18" s="3781" t="s">
        <v>1489</v>
      </c>
      <c r="D18" s="3782"/>
      <c r="E18" s="3458">
        <f ca="1">+F18+G18+H18</f>
        <v>-1.2750000000000067E-2</v>
      </c>
      <c r="F18" s="3449">
        <f ca="1">OFFSET(Sector1!$G$143,0,(COLUMN()-6)/6)</f>
        <v>0.77046999999999999</v>
      </c>
      <c r="G18" s="3449">
        <f ca="1">OFFSET(Sector1!$G$136,0,(COLUMN()-7)/6)</f>
        <v>-0.78402000000000005</v>
      </c>
      <c r="H18" s="3459">
        <f ca="1">+H19-H20-H21</f>
        <v>7.9999999999999516E-4</v>
      </c>
      <c r="I18" s="3449">
        <f ca="1">OFFSET(Sector1!$G$142,0,(COLUMN()-9)/6)</f>
        <v>7.8197405004633899E-3</v>
      </c>
      <c r="J18" s="570">
        <f ca="1">+E18+I18</f>
        <v>-4.930259499536677E-3</v>
      </c>
      <c r="K18" s="3458">
        <f ca="1">+L18+M18+N18</f>
        <v>-6.4380000000000132E-2</v>
      </c>
      <c r="L18" s="3449">
        <f ca="1">OFFSET(Sector1!$G$143,0,(COLUMN()-6)/6)</f>
        <v>0.91266999999999998</v>
      </c>
      <c r="M18" s="3449">
        <f ca="1">OFFSET(Sector1!$G$136,0,(COLUMN()-7)/6)</f>
        <v>-0.92613000000000012</v>
      </c>
      <c r="N18" s="3459">
        <f ca="1">+N19-N20-N21</f>
        <v>-5.092E-2</v>
      </c>
      <c r="O18" s="3449">
        <f ca="1">OFFSET(Sector1!$G$142,0,(COLUMN()-9)/6)</f>
        <v>7.24050046339203E-2</v>
      </c>
      <c r="P18" s="570">
        <f ca="1">+K18+O18</f>
        <v>8.0250046339201686E-3</v>
      </c>
      <c r="Q18" s="3458">
        <f ca="1">+R18+S18+T18</f>
        <v>-0.15727999999999998</v>
      </c>
      <c r="R18" s="3449">
        <f ca="1">OFFSET(Sector1!$G$143,0,(COLUMN()-6)/6)</f>
        <v>1.17761</v>
      </c>
      <c r="S18" s="3449">
        <f ca="1">OFFSET(Sector1!$G$136,0,(COLUMN()-7)/6)</f>
        <v>-1.30352</v>
      </c>
      <c r="T18" s="3459">
        <f ca="1">+T19-T20-T21</f>
        <v>-3.1370000000000002E-2</v>
      </c>
      <c r="U18" s="3449">
        <f ca="1">OFFSET(Sector1!$G$142,0,(COLUMN()-9)/6)</f>
        <v>0.15118164967562558</v>
      </c>
      <c r="V18" s="570">
        <f ca="1">+Q18+U18</f>
        <v>-6.0983503243743908E-3</v>
      </c>
      <c r="W18" s="3458">
        <f ca="1">+X18+Y18+Z18</f>
        <v>-0.22121999999999981</v>
      </c>
      <c r="X18" s="3449">
        <f ca="1">OFFSET(Sector1!$G$143,0,(COLUMN()-6)/6)</f>
        <v>1.3924300000000001</v>
      </c>
      <c r="Y18" s="3449">
        <f ca="1">OFFSET(Sector1!$G$136,0,(COLUMN()-7)/6)</f>
        <v>-1.6185399999999999</v>
      </c>
      <c r="Z18" s="3459">
        <f ca="1">+Z19-Z20-Z21</f>
        <v>4.8900000000000055E-3</v>
      </c>
      <c r="AA18" s="3449">
        <f ca="1">OFFSET(Sector1!$G$142,0,(COLUMN()-9)/6)</f>
        <v>0.22329703429101019</v>
      </c>
      <c r="AB18" s="570">
        <f ca="1">+W18+AA18</f>
        <v>2.0770342910103878E-3</v>
      </c>
      <c r="AC18" s="3458">
        <f ca="1">+AD18+AE18+AF18</f>
        <v>-0.25223000000000029</v>
      </c>
      <c r="AD18" s="3449">
        <f ca="1">OFFSET(Sector1!$G$143,0,(COLUMN()-6)/6)</f>
        <v>1.3356299999999999</v>
      </c>
      <c r="AE18" s="3449">
        <f ca="1">OFFSET(Sector1!$G$136,0,(COLUMN()-7)/6)</f>
        <v>-1.5516400000000001</v>
      </c>
      <c r="AF18" s="3459">
        <f ca="1">+AF19-AF20-AF21</f>
        <v>-3.6220000000000002E-2</v>
      </c>
      <c r="AG18" s="3449">
        <f ca="1">OFFSET(Sector1!$G$142,0,(COLUMN()-9)/6)</f>
        <v>0.24357043558850788</v>
      </c>
      <c r="AH18" s="570">
        <f ca="1">+AC18+AG18</f>
        <v>-8.6595644114924042E-3</v>
      </c>
      <c r="AI18" s="3458">
        <f ca="1">+AJ18+AK18+AL18</f>
        <v>-0.25245000000000006</v>
      </c>
      <c r="AJ18" s="3449">
        <f ca="1">OFFSET(Sector1!$G$143,0,(COLUMN()-6)/6)</f>
        <v>2.2481900000000001</v>
      </c>
      <c r="AK18" s="3449">
        <f ca="1">OFFSET(Sector1!$G$136,0,(COLUMN()-7)/6)</f>
        <v>-2.4417300000000002</v>
      </c>
      <c r="AL18" s="3459">
        <f ca="1">+AL19-AL20-AL21</f>
        <v>-5.890999999999999E-2</v>
      </c>
      <c r="AM18" s="3449">
        <f ca="1">OFFSET(Sector1!$G$142,0,(COLUMN()-9)/6)</f>
        <v>0.24414967562557924</v>
      </c>
      <c r="AN18" s="570">
        <f ca="1">+AI18+AM18</f>
        <v>-8.3003243744208255E-3</v>
      </c>
      <c r="AO18" s="3458">
        <f ca="1">+AP18+AQ18+AR18</f>
        <v>-0.24708000000000022</v>
      </c>
      <c r="AP18" s="3449">
        <f ca="1">OFFSET(Sector1!$G$143,0,(COLUMN()-6)/6)</f>
        <v>2.4520399999999998</v>
      </c>
      <c r="AQ18" s="3449">
        <f ca="1">OFFSET(Sector1!$G$136,0,(COLUMN()-7)/6)</f>
        <v>-2.69787</v>
      </c>
      <c r="AR18" s="3459">
        <f ca="1">+AR19-AR20-AR21</f>
        <v>-1.2500000000000011E-3</v>
      </c>
      <c r="AS18" s="3449">
        <f ca="1">OFFSET(Sector1!$G$142,0,(COLUMN()-9)/6)</f>
        <v>0.24125347544022246</v>
      </c>
      <c r="AT18" s="570">
        <f ca="1">+AO18+AS18</f>
        <v>-5.8265245597777515E-3</v>
      </c>
      <c r="AU18" s="3458">
        <f ca="1">+AV18+AW18+AX18</f>
        <v>-0.21708999999999976</v>
      </c>
      <c r="AV18" s="3449">
        <f ca="1">OFFSET(Sector1!$G$143,0,(COLUMN()-6)/6)</f>
        <v>2.8442200000000004</v>
      </c>
      <c r="AW18" s="3449">
        <f ca="1">OFFSET(Sector1!$G$136,0,(COLUMN()-7)/6)</f>
        <v>-3.0302600000000002</v>
      </c>
      <c r="AX18" s="3459">
        <f ca="1">+AX19-AX20-AX21</f>
        <v>-3.1049999999999994E-2</v>
      </c>
      <c r="AY18" s="3449">
        <f ca="1">OFFSET(Sector1!$G$142,0,(COLUMN()-9)/6)</f>
        <v>0.21431881371640407</v>
      </c>
      <c r="AZ18" s="570">
        <f ca="1">+AU18+AY18</f>
        <v>-2.7711862835956835E-3</v>
      </c>
      <c r="BA18" s="3458">
        <f ca="1">+BB18+BC18+BD18</f>
        <v>-0.45327000000000001</v>
      </c>
      <c r="BB18" s="3449">
        <f ca="1">OFFSET(Sector1!$G$143,0,(COLUMN()-6)/6)</f>
        <v>2.8599800000000002</v>
      </c>
      <c r="BC18" s="3449">
        <f ca="1">OFFSET(Sector1!$G$136,0,(COLUMN()-7)/6)</f>
        <v>-3.2625700000000002</v>
      </c>
      <c r="BD18" s="3459">
        <f ca="1">+BD19-BD20-BD21</f>
        <v>-5.0680000000000003E-2</v>
      </c>
      <c r="BE18" s="3449">
        <f ca="1">OFFSET(Sector1!$G$142,0,(COLUMN()-9)/6)</f>
        <v>0.45296570898980537</v>
      </c>
      <c r="BF18" s="570">
        <f ca="1">+BA18+BE18</f>
        <v>-3.04291010194635E-4</v>
      </c>
      <c r="BG18" s="3458">
        <f ca="1">+BH18+BI18+BJ18</f>
        <v>-0.60237000000000118</v>
      </c>
      <c r="BH18" s="3460">
        <f ca="1">OFFSET(Sector1!$G$143,0,(COLUMN()-6)/6)</f>
        <v>3.7417699999999998</v>
      </c>
      <c r="BI18" s="3449">
        <f ca="1">OFFSET(Sector1!$G$136,0,(COLUMN()-7)/6)</f>
        <v>-4.324110000000001</v>
      </c>
      <c r="BJ18" s="3459">
        <f ca="1">+BJ19-BJ20-BJ21</f>
        <v>-2.0029999999999992E-2</v>
      </c>
      <c r="BK18" s="3449">
        <f ca="1">OFFSET(Sector1!$G$142,0,(COLUMN()-9)/6)</f>
        <v>0.5847428174235404</v>
      </c>
      <c r="BL18" s="570">
        <f ca="1">+BG18+BK18</f>
        <v>-1.7627182576460787E-2</v>
      </c>
      <c r="BM18" s="3458">
        <f ca="1">+BN18+BO18+BP18</f>
        <v>-0.66570999999999969</v>
      </c>
      <c r="BN18" s="3449">
        <f ca="1">OFFSET(Sector1!$G$143,0,(COLUMN()-6)/6)</f>
        <v>3.4261699999999999</v>
      </c>
      <c r="BO18" s="3449">
        <f ca="1">OFFSET(Sector1!$G$136,0,(COLUMN()-7)/6)</f>
        <v>-4.0924699999999996</v>
      </c>
      <c r="BP18" s="3459">
        <f ca="1">+BP19-BP20-BP21</f>
        <v>5.9000000000000719E-4</v>
      </c>
      <c r="BQ18" s="3449">
        <f ca="1">OFFSET(Sector1!$G$142,0,(COLUMN()-9)/6)</f>
        <v>0.66600000000000004</v>
      </c>
      <c r="BR18" s="570">
        <f ca="1">+BM18+BQ18</f>
        <v>2.9000000000034554E-4</v>
      </c>
      <c r="BS18" s="3458">
        <f ca="1">+BT18+BU18+BV18</f>
        <v>-0.84583999999999893</v>
      </c>
      <c r="BT18" s="3449">
        <f ca="1">OFFSET(Sector1!$G$143,0,(COLUMN()-6)/6)</f>
        <v>4.061090000000001</v>
      </c>
      <c r="BU18" s="3449">
        <f ca="1">OFFSET(Sector1!$G$136,0,(COLUMN()-7)/6)</f>
        <v>-4.8829799999999999</v>
      </c>
      <c r="BV18" s="3459">
        <f ca="1">+BV19-BV20-BV21</f>
        <v>-2.3949999999999999E-2</v>
      </c>
      <c r="BW18" s="3449">
        <f ca="1">OFFSET(Sector1!$G$142,0,(COLUMN()-9)/6)</f>
        <v>0.84499999999999997</v>
      </c>
      <c r="BX18" s="570">
        <f ca="1">+BS18+BW18</f>
        <v>-8.399999999989527E-4</v>
      </c>
      <c r="BY18" s="3458">
        <f ca="1">+BZ18+CA18+CB18</f>
        <v>-1.3675000000000002</v>
      </c>
      <c r="BZ18" s="3449">
        <f ca="1">OFFSET(Sector1!$G$143,0,(COLUMN()-6)/6)</f>
        <v>3.1740200000000001</v>
      </c>
      <c r="CA18" s="3449">
        <f ca="1">OFFSET(Sector1!$G$136,0,(COLUMN()-7)/6)</f>
        <v>-4.5213700000000001</v>
      </c>
      <c r="CB18" s="3459">
        <f ca="1">+CB19-CB20-CB21</f>
        <v>-2.0150000000000001E-2</v>
      </c>
      <c r="CC18" s="3449">
        <f ca="1">OFFSET(Sector1!$G$142,0,(COLUMN()-9)/6)</f>
        <v>1.367</v>
      </c>
      <c r="CD18" s="570">
        <f ca="1">+BY18+CC18</f>
        <v>-5.0000000000016698E-4</v>
      </c>
      <c r="CE18" s="3458">
        <f ca="1">+CF18+CG18+CH18</f>
        <v>-1.3528400000000003</v>
      </c>
      <c r="CF18" s="3449">
        <f ca="1">OFFSET(Sector1!$G$143,0,(COLUMN()-6)/6)</f>
        <v>3.7490299999999999</v>
      </c>
      <c r="CG18" s="3449">
        <f ca="1">OFFSET(Sector1!$G$136,0,(COLUMN()-7)/6)</f>
        <v>-5.0862400000000001</v>
      </c>
      <c r="CH18" s="3459">
        <f ca="1">+CH19-CH20-CH21</f>
        <v>-1.5630000000000005E-2</v>
      </c>
      <c r="CI18" s="3449">
        <f ca="1">OFFSET(Sector1!$G$142,0,(COLUMN()-9)/6)</f>
        <v>1.353</v>
      </c>
      <c r="CJ18" s="570">
        <f ca="1">+CE18+CI18</f>
        <v>1.5999999999971593E-4</v>
      </c>
      <c r="CK18" s="3458">
        <f ca="1">+CL18+CM18+CN18</f>
        <v>0.24377999999999961</v>
      </c>
      <c r="CL18" s="3449">
        <f ca="1">OFFSET(Sector1!$G$143,0,(COLUMN()-6)/6)</f>
        <v>3.7567799999999996</v>
      </c>
      <c r="CM18" s="3449">
        <f ca="1">OFFSET(Sector1!$G$136,0,(COLUMN()-7)/6)</f>
        <v>-3.3473299999999999</v>
      </c>
      <c r="CN18" s="3459">
        <f ca="1">+CN19-CN20-CN21</f>
        <v>-0.16567000000000004</v>
      </c>
      <c r="CO18" s="3449">
        <f ca="1">OFFSET(Sector1!$G$142,0,(COLUMN()-9)/6)</f>
        <v>-0.24299999999999999</v>
      </c>
      <c r="CP18" s="570">
        <f ca="1">+CK18+CO18</f>
        <v>7.7999999999961434E-4</v>
      </c>
      <c r="CQ18" s="3458">
        <f ca="1">+CR18+CS18+CT18</f>
        <v>-0.98557000000000139</v>
      </c>
      <c r="CR18" s="3449">
        <f ca="1">OFFSET(Sector1!$G$143,0,(COLUMN()-6)/6)</f>
        <v>4.4089599999999995</v>
      </c>
      <c r="CS18" s="3449">
        <f ca="1">OFFSET(Sector1!$G$136,0,(COLUMN()-7)/6)</f>
        <v>-5.076950000000001</v>
      </c>
      <c r="CT18" s="3459">
        <f ca="1">+CT19-CT20-CT21</f>
        <v>-0.31757999999999997</v>
      </c>
      <c r="CU18" s="3449">
        <f ca="1">OFFSET(Sector1!$G$142,0,(COLUMN()-9)/6)</f>
        <v>0.98599999999999999</v>
      </c>
      <c r="CV18" s="570">
        <f ca="1">+CQ18+CU18</f>
        <v>4.2999999999859817E-4</v>
      </c>
      <c r="CW18" s="3458">
        <f ca="1">+CX18+CY18+CZ18</f>
        <v>-1.583839999999999</v>
      </c>
      <c r="CX18" s="3449">
        <f ca="1">OFFSET(Sector1!$G$143,0,(COLUMN()-6)/6)</f>
        <v>4.9348000000000001</v>
      </c>
      <c r="CY18" s="3449">
        <f ca="1">OFFSET(Sector1!$G$136,0,(COLUMN()-7)/6)</f>
        <v>-6.1153799999999991</v>
      </c>
      <c r="CZ18" s="3459">
        <f ca="1">+CZ19-CZ20-CZ21</f>
        <v>-0.40325999999999995</v>
      </c>
      <c r="DA18" s="3449">
        <f ca="1">OFFSET(Sector1!$G$142,0,(COLUMN()-9)/6)</f>
        <v>1.583</v>
      </c>
      <c r="DB18" s="570">
        <f ca="1">+CW18+DA18</f>
        <v>-8.3999999999906372E-4</v>
      </c>
      <c r="DC18" s="3458">
        <f ca="1">+DD18+DE18+DF18</f>
        <v>-1.346369999999999</v>
      </c>
      <c r="DD18" s="3449">
        <f ca="1">OFFSET(Sector1!$G$143,0,(COLUMN()-6)/6)</f>
        <v>5.0896300000000005</v>
      </c>
      <c r="DE18" s="3449">
        <f ca="1">OFFSET(Sector1!$G$136,0,(COLUMN()-7)/6)</f>
        <v>-5.9805399999999995</v>
      </c>
      <c r="DF18" s="3459">
        <f ca="1">+DF19-DF20-DF21</f>
        <v>-0.45546000000000009</v>
      </c>
      <c r="DG18" s="3449">
        <f ca="1">OFFSET(Sector1!$G$142,0,(COLUMN()-9)/6)</f>
        <v>1.347</v>
      </c>
      <c r="DH18" s="570">
        <f ca="1">+DC18+DG18</f>
        <v>6.3000000000101863E-4</v>
      </c>
      <c r="DI18" s="3458">
        <f ca="1">+DJ18+DK18+DL18</f>
        <v>-1.28139</v>
      </c>
      <c r="DJ18" s="3449">
        <f ca="1">OFFSET(Sector1!$G$143,0,(COLUMN()-6)/6)</f>
        <v>5.0884999999999998</v>
      </c>
      <c r="DK18" s="3449">
        <f ca="1">OFFSET(Sector1!$G$136,0,(COLUMN()-7)/6)</f>
        <v>-5.8831499999999997</v>
      </c>
      <c r="DL18" s="3459">
        <f ca="1">+DL19-DL20-DL21</f>
        <v>-0.48674000000000006</v>
      </c>
      <c r="DM18" s="3449">
        <f ca="1">OFFSET(Sector1!$G$142,0,(COLUMN()-9)/6)</f>
        <v>1.2809999999999999</v>
      </c>
      <c r="DN18" s="570">
        <f ca="1">+DI18+DM18</f>
        <v>-3.9000000000011248E-4</v>
      </c>
      <c r="DO18" s="3458">
        <f ca="1">+DP18+DQ18+DR18</f>
        <v>-0.77171999999999885</v>
      </c>
      <c r="DP18" s="3449">
        <f ca="1">OFFSET(Sector1!$G$143,0,(COLUMN()-6)/6)</f>
        <v>4.7201900000000006</v>
      </c>
      <c r="DQ18" s="3449">
        <f ca="1">OFFSET(Sector1!$G$136,0,(COLUMN()-7)/6)</f>
        <v>-5.0425499999999994</v>
      </c>
      <c r="DR18" s="3459">
        <f ca="1">+DR19-DR20-DR21</f>
        <v>-0.44935999999999993</v>
      </c>
      <c r="DS18" s="3449">
        <f ca="1">OFFSET(Sector1!$G$142,0,(COLUMN()-9)/6)</f>
        <v>0.77200000000000002</v>
      </c>
      <c r="DT18" s="570">
        <f ca="1">+DO18+DS18</f>
        <v>2.800000000011682E-4</v>
      </c>
      <c r="DU18" s="3458">
        <f ca="1">+DV18+DW18+DX18</f>
        <v>-1.8702600000000007</v>
      </c>
      <c r="DV18" s="3449">
        <f ca="1">OFFSET(Sector1!$G$143,0,(COLUMN()-6)/6)</f>
        <v>4.6545599999999991</v>
      </c>
      <c r="DW18" s="3449">
        <f ca="1">OFFSET(Sector1!$G$136,0,(COLUMN()-7)/6)</f>
        <v>-6.1047099999999999</v>
      </c>
      <c r="DX18" s="3459">
        <f ca="1">+DX19-DX20-DX21</f>
        <v>-0.42011000000000004</v>
      </c>
      <c r="DY18" s="3449">
        <f ca="1">OFFSET(Sector1!$G$142,0,(COLUMN()-9)/6)</f>
        <v>1.871</v>
      </c>
      <c r="DZ18" s="570">
        <f ca="1">+DU18+DY18</f>
        <v>7.3999999999929678E-4</v>
      </c>
      <c r="EA18" s="3458">
        <f ca="1">+EB18+EC18+ED18</f>
        <v>-1.8512799999999989</v>
      </c>
      <c r="EB18" s="3449">
        <f ca="1">OFFSET(Sector1!$G$143,0,(COLUMN()-6)/6)</f>
        <v>4.9098900000000008</v>
      </c>
      <c r="EC18" s="3449">
        <f ca="1">OFFSET(Sector1!$G$136,0,(COLUMN()-7)/6)</f>
        <v>-6.4326499999999998</v>
      </c>
      <c r="ED18" s="3459">
        <f ca="1">+ED19-ED20-ED21</f>
        <v>-0.32851999999999992</v>
      </c>
      <c r="EE18" s="3449">
        <f ca="1">OFFSET(Sector1!$G$142,0,(COLUMN()-9)/6)</f>
        <v>1.851</v>
      </c>
      <c r="EF18" s="570">
        <f ca="1">+EA18+EE18</f>
        <v>-2.7999999999894776E-4</v>
      </c>
      <c r="EG18" s="3458">
        <f ca="1">+EH18+EI18+EJ18</f>
        <v>-1.8787649999999996</v>
      </c>
      <c r="EH18" s="3449">
        <f ca="1">OFFSET(Sector1!$G$143,0,(COLUMN()-6)/6)</f>
        <v>5.1861917499999999</v>
      </c>
      <c r="EI18" s="3449">
        <f ca="1">OFFSET(Sector1!$G$136,0,(COLUMN()-7)/6)</f>
        <v>-6.7864457499999995</v>
      </c>
      <c r="EJ18" s="3459">
        <f ca="1">+EJ19-EJ20-EJ21</f>
        <v>-0.27851099999999995</v>
      </c>
      <c r="EK18" s="3449">
        <f ca="1">OFFSET(Sector1!$G$142,0,(COLUMN()-9)/6)</f>
        <v>1.8787649999999998</v>
      </c>
      <c r="EL18" s="570">
        <f ca="1">+EG18+EK18</f>
        <v>0</v>
      </c>
      <c r="EM18" s="3458">
        <f ca="1">+EN18+EO18+EP18</f>
        <v>-1.9163403000000001</v>
      </c>
      <c r="EN18" s="3449">
        <f ca="1">OFFSET(Sector1!$G$143,0,(COLUMN()-6)/6)</f>
        <v>5.3902210662499987</v>
      </c>
      <c r="EO18" s="3449">
        <f ca="1">OFFSET(Sector1!$G$136,0,(COLUMN()-7)/6)</f>
        <v>-7.1597002662499989</v>
      </c>
      <c r="EP18" s="3459">
        <f ca="1">+EP19-EP20-EP21</f>
        <v>-0.14686109999999999</v>
      </c>
      <c r="EQ18" s="3449">
        <f ca="1">OFFSET(Sector1!$G$142,0,(COLUMN()-9)/6)</f>
        <v>1.9163402999999999</v>
      </c>
      <c r="ER18" s="570">
        <f ca="1">+EM18+EQ18</f>
        <v>0</v>
      </c>
      <c r="ES18" s="3458">
        <f ca="1">+ET18+EU18+EV18</f>
        <v>-1.9546671060000005</v>
      </c>
      <c r="ET18" s="3449">
        <f ca="1">OFFSET(Sector1!$G$143,0,(COLUMN()-6)/6)</f>
        <v>5.7473888408937484</v>
      </c>
      <c r="EU18" s="3449">
        <f ca="1">OFFSET(Sector1!$G$136,0,(COLUMN()-7)/6)</f>
        <v>-7.5534837808937487</v>
      </c>
      <c r="EV18" s="3459">
        <f ca="1">+EV19-EV20-EV21</f>
        <v>-0.14857216600000001</v>
      </c>
      <c r="EW18" s="3449">
        <f ca="1">OFFSET(Sector1!$G$142,0,(COLUMN()-9)/6)</f>
        <v>1.9546671059999998</v>
      </c>
      <c r="EX18" s="570">
        <f ca="1">+ES18+EW18</f>
        <v>0</v>
      </c>
    </row>
    <row r="19" spans="1:154" s="568" customFormat="1" ht="13.5" customHeight="1">
      <c r="A19" s="563"/>
      <c r="B19" s="564"/>
      <c r="C19" s="571"/>
      <c r="D19" s="572" t="s">
        <v>985</v>
      </c>
      <c r="E19" s="567"/>
      <c r="F19" s="3448"/>
      <c r="G19" s="3461"/>
      <c r="H19" s="562">
        <f ca="1">OFFSET(Sector1!$G$137,0,(COLUMN()-8)/6)</f>
        <v>2.7739999999999997E-2</v>
      </c>
      <c r="I19" s="3457"/>
      <c r="J19" s="604"/>
      <c r="K19" s="567"/>
      <c r="L19" s="3448"/>
      <c r="M19" s="3461"/>
      <c r="N19" s="562">
        <f ca="1">OFFSET(Sector1!$G$137,0,(COLUMN()-8)/6)</f>
        <v>3.005E-2</v>
      </c>
      <c r="O19" s="3457"/>
      <c r="P19" s="604"/>
      <c r="Q19" s="567"/>
      <c r="R19" s="3448"/>
      <c r="S19" s="3461"/>
      <c r="T19" s="562">
        <f ca="1">OFFSET(Sector1!$G$137,0,(COLUMN()-8)/6)</f>
        <v>5.4469999999999998E-2</v>
      </c>
      <c r="U19" s="3457"/>
      <c r="V19" s="604"/>
      <c r="W19" s="567"/>
      <c r="X19" s="3448"/>
      <c r="Y19" s="3461"/>
      <c r="Z19" s="562">
        <f ca="1">OFFSET(Sector1!$G$137,0,(COLUMN()-8)/6)</f>
        <v>0.15242</v>
      </c>
      <c r="AA19" s="3457"/>
      <c r="AB19" s="604"/>
      <c r="AC19" s="567"/>
      <c r="AD19" s="3448"/>
      <c r="AE19" s="3461"/>
      <c r="AF19" s="562">
        <f ca="1">OFFSET(Sector1!$G$137,0,(COLUMN()-8)/6)</f>
        <v>0.15071999999999999</v>
      </c>
      <c r="AG19" s="3457"/>
      <c r="AH19" s="604"/>
      <c r="AI19" s="567"/>
      <c r="AJ19" s="3448"/>
      <c r="AK19" s="3461"/>
      <c r="AL19" s="562">
        <f ca="1">OFFSET(Sector1!$G$137,0,(COLUMN()-8)/6)</f>
        <v>0.17279</v>
      </c>
      <c r="AM19" s="3457"/>
      <c r="AN19" s="604"/>
      <c r="AO19" s="567"/>
      <c r="AP19" s="3448"/>
      <c r="AQ19" s="3461"/>
      <c r="AR19" s="562">
        <f ca="1">OFFSET(Sector1!$G$137,0,(COLUMN()-8)/6)</f>
        <v>0.21227000000000001</v>
      </c>
      <c r="AS19" s="3457"/>
      <c r="AT19" s="604"/>
      <c r="AU19" s="567"/>
      <c r="AV19" s="3448"/>
      <c r="AW19" s="3461"/>
      <c r="AX19" s="562">
        <f ca="1">OFFSET(Sector1!$G$137,0,(COLUMN()-8)/6)</f>
        <v>0.16736000000000001</v>
      </c>
      <c r="AY19" s="3457"/>
      <c r="AZ19" s="604"/>
      <c r="BA19" s="567"/>
      <c r="BB19" s="3448"/>
      <c r="BC19" s="3461"/>
      <c r="BD19" s="562">
        <f ca="1">OFFSET(Sector1!$G$137,0,(COLUMN()-8)/6)</f>
        <v>0.15512999999999999</v>
      </c>
      <c r="BE19" s="3457"/>
      <c r="BF19" s="604"/>
      <c r="BG19" s="567"/>
      <c r="BH19" s="3448"/>
      <c r="BI19" s="3461"/>
      <c r="BJ19" s="562">
        <f ca="1">OFFSET(Sector1!$G$137,0,(COLUMN()-8)/6)</f>
        <v>0.14368999999999998</v>
      </c>
      <c r="BK19" s="3457"/>
      <c r="BL19" s="604"/>
      <c r="BM19" s="567"/>
      <c r="BN19" s="3448"/>
      <c r="BO19" s="3461"/>
      <c r="BP19" s="562">
        <f ca="1">OFFSET(Sector1!$G$137,0,(COLUMN()-8)/6)</f>
        <v>0.16131999999999999</v>
      </c>
      <c r="BQ19" s="3457"/>
      <c r="BR19" s="604"/>
      <c r="BS19" s="567"/>
      <c r="BT19" s="3448"/>
      <c r="BU19" s="3461"/>
      <c r="BV19" s="562">
        <f ca="1">OFFSET(Sector1!$G$137,0,(COLUMN()-8)/6)</f>
        <v>0.14407</v>
      </c>
      <c r="BW19" s="3457"/>
      <c r="BX19" s="604"/>
      <c r="BY19" s="567"/>
      <c r="BZ19" s="3448"/>
      <c r="CA19" s="3461"/>
      <c r="CB19" s="562">
        <f ca="1">OFFSET(Sector1!$G$137,0,(COLUMN()-8)/6)</f>
        <v>0.17216999999999999</v>
      </c>
      <c r="CC19" s="3457"/>
      <c r="CD19" s="604"/>
      <c r="CE19" s="567"/>
      <c r="CF19" s="3448"/>
      <c r="CG19" s="3461"/>
      <c r="CH19" s="562">
        <f ca="1">OFFSET(Sector1!$G$137,0,(COLUMN()-8)/6)</f>
        <v>0.19849</v>
      </c>
      <c r="CI19" s="3457"/>
      <c r="CJ19" s="604"/>
      <c r="CK19" s="567"/>
      <c r="CL19" s="3448"/>
      <c r="CM19" s="3461"/>
      <c r="CN19" s="562">
        <f ca="1">OFFSET(Sector1!$G$137,0,(COLUMN()-8)/6)</f>
        <v>0.16755</v>
      </c>
      <c r="CO19" s="3457"/>
      <c r="CP19" s="604"/>
      <c r="CQ19" s="567"/>
      <c r="CR19" s="3448"/>
      <c r="CS19" s="3461"/>
      <c r="CT19" s="562">
        <f ca="1">OFFSET(Sector1!$G$137,0,(COLUMN()-8)/6)</f>
        <v>0.1923</v>
      </c>
      <c r="CU19" s="3457"/>
      <c r="CV19" s="604"/>
      <c r="CW19" s="567"/>
      <c r="CX19" s="3448"/>
      <c r="CY19" s="3461"/>
      <c r="CZ19" s="562">
        <f ca="1">OFFSET(Sector1!$G$137,0,(COLUMN()-8)/6)</f>
        <v>0.17241000000000001</v>
      </c>
      <c r="DA19" s="3457"/>
      <c r="DB19" s="604"/>
      <c r="DC19" s="567"/>
      <c r="DD19" s="3448"/>
      <c r="DE19" s="3461"/>
      <c r="DF19" s="562">
        <f ca="1">OFFSET(Sector1!$G$137,0,(COLUMN()-8)/6)</f>
        <v>0.20311999999999999</v>
      </c>
      <c r="DG19" s="3457"/>
      <c r="DH19" s="604"/>
      <c r="DI19" s="567"/>
      <c r="DJ19" s="3448"/>
      <c r="DK19" s="3461"/>
      <c r="DL19" s="562">
        <f ca="1">OFFSET(Sector1!$G$137,0,(COLUMN()-8)/6)</f>
        <v>0.12808</v>
      </c>
      <c r="DM19" s="3457"/>
      <c r="DN19" s="604"/>
      <c r="DO19" s="567"/>
      <c r="DP19" s="3448"/>
      <c r="DQ19" s="3461"/>
      <c r="DR19" s="562">
        <f ca="1">OFFSET(Sector1!$G$137,0,(COLUMN()-8)/6)</f>
        <v>0.13741</v>
      </c>
      <c r="DS19" s="3457"/>
      <c r="DT19" s="604"/>
      <c r="DU19" s="567"/>
      <c r="DV19" s="3448"/>
      <c r="DW19" s="3461"/>
      <c r="DX19" s="562">
        <f ca="1">OFFSET(Sector1!$G$137,0,(COLUMN()-8)/6)</f>
        <v>0.14858000000000002</v>
      </c>
      <c r="DY19" s="3457"/>
      <c r="DZ19" s="604"/>
      <c r="EA19" s="567"/>
      <c r="EB19" s="3448"/>
      <c r="EC19" s="3461"/>
      <c r="ED19" s="562">
        <f ca="1">OFFSET(Sector1!$G$137,0,(COLUMN()-8)/6)</f>
        <v>0.18825999999999998</v>
      </c>
      <c r="EE19" s="3457"/>
      <c r="EF19" s="604"/>
      <c r="EG19" s="567"/>
      <c r="EH19" s="3448"/>
      <c r="EI19" s="3461"/>
      <c r="EJ19" s="562">
        <f ca="1">OFFSET(Sector1!$G$137,0,(COLUMN()-8)/6)</f>
        <v>0.21649899999999997</v>
      </c>
      <c r="EK19" s="3457"/>
      <c r="EL19" s="604"/>
      <c r="EM19" s="567"/>
      <c r="EN19" s="3448"/>
      <c r="EO19" s="3461"/>
      <c r="EP19" s="562">
        <f ca="1">OFFSET(Sector1!$G$137,0,(COLUMN()-8)/6)</f>
        <v>0.2381489</v>
      </c>
      <c r="EQ19" s="3457"/>
      <c r="ER19" s="604"/>
      <c r="ES19" s="567"/>
      <c r="ET19" s="3448"/>
      <c r="EU19" s="3461"/>
      <c r="EV19" s="562">
        <f ca="1">OFFSET(Sector1!$G$137,0,(COLUMN()-8)/6)</f>
        <v>0.25243783400000003</v>
      </c>
      <c r="EW19" s="3457"/>
      <c r="EX19" s="604"/>
    </row>
    <row r="20" spans="1:154" s="568" customFormat="1" ht="13.5" customHeight="1">
      <c r="A20" s="563"/>
      <c r="B20" s="564"/>
      <c r="C20" s="571"/>
      <c r="D20" s="572" t="s">
        <v>986</v>
      </c>
      <c r="E20" s="567"/>
      <c r="F20" s="3448"/>
      <c r="G20" s="3461"/>
      <c r="H20" s="562">
        <f ca="1">OFFSET(Sector1!$G$138,0,(COLUMN()-8)/6)</f>
        <v>0</v>
      </c>
      <c r="I20" s="3457"/>
      <c r="J20" s="604"/>
      <c r="K20" s="567"/>
      <c r="L20" s="3448"/>
      <c r="M20" s="3461"/>
      <c r="N20" s="562">
        <f ca="1">OFFSET(Sector1!$G$138,0,(COLUMN()-8)/6)</f>
        <v>0</v>
      </c>
      <c r="O20" s="3457"/>
      <c r="P20" s="604"/>
      <c r="Q20" s="567"/>
      <c r="R20" s="3448"/>
      <c r="S20" s="3461"/>
      <c r="T20" s="562">
        <f ca="1">OFFSET(Sector1!$G$138,0,(COLUMN()-8)/6)</f>
        <v>0</v>
      </c>
      <c r="U20" s="3457"/>
      <c r="V20" s="604"/>
      <c r="W20" s="567"/>
      <c r="X20" s="3448"/>
      <c r="Y20" s="3461"/>
      <c r="Z20" s="562">
        <f ca="1">OFFSET(Sector1!$G$138,0,(COLUMN()-8)/6)</f>
        <v>0</v>
      </c>
      <c r="AA20" s="3457"/>
      <c r="AB20" s="604"/>
      <c r="AC20" s="567"/>
      <c r="AD20" s="3448"/>
      <c r="AE20" s="3461"/>
      <c r="AF20" s="562">
        <f ca="1">OFFSET(Sector1!$G$138,0,(COLUMN()-8)/6)</f>
        <v>0</v>
      </c>
      <c r="AG20" s="3457"/>
      <c r="AH20" s="604"/>
      <c r="AI20" s="567"/>
      <c r="AJ20" s="3448"/>
      <c r="AK20" s="3461"/>
      <c r="AL20" s="562">
        <f ca="1">OFFSET(Sector1!$G$138,0,(COLUMN()-8)/6)</f>
        <v>0</v>
      </c>
      <c r="AM20" s="3457"/>
      <c r="AN20" s="604"/>
      <c r="AO20" s="567"/>
      <c r="AP20" s="3448"/>
      <c r="AQ20" s="3461"/>
      <c r="AR20" s="562">
        <f ca="1">OFFSET(Sector1!$G$138,0,(COLUMN()-8)/6)</f>
        <v>0</v>
      </c>
      <c r="AS20" s="3457"/>
      <c r="AT20" s="604"/>
      <c r="AU20" s="567"/>
      <c r="AV20" s="3448"/>
      <c r="AW20" s="3461"/>
      <c r="AX20" s="562">
        <f ca="1">OFFSET(Sector1!$G$138,0,(COLUMN()-8)/6)</f>
        <v>0</v>
      </c>
      <c r="AY20" s="3457"/>
      <c r="AZ20" s="604"/>
      <c r="BA20" s="567"/>
      <c r="BB20" s="3448"/>
      <c r="BC20" s="3461"/>
      <c r="BD20" s="562">
        <f ca="1">OFFSET(Sector1!$G$138,0,(COLUMN()-8)/6)</f>
        <v>0</v>
      </c>
      <c r="BE20" s="3457"/>
      <c r="BF20" s="604"/>
      <c r="BG20" s="567"/>
      <c r="BH20" s="3448"/>
      <c r="BI20" s="3461"/>
      <c r="BJ20" s="562">
        <f ca="1">OFFSET(Sector1!$G$138,0,(COLUMN()-8)/6)</f>
        <v>9.9999999999909054E-6</v>
      </c>
      <c r="BK20" s="3457"/>
      <c r="BL20" s="604"/>
      <c r="BM20" s="567"/>
      <c r="BN20" s="3448"/>
      <c r="BO20" s="3461"/>
      <c r="BP20" s="562">
        <f ca="1">OFFSET(Sector1!$G$138,0,(COLUMN()-8)/6)</f>
        <v>9.9999999999909054E-6</v>
      </c>
      <c r="BQ20" s="3457"/>
      <c r="BR20" s="604"/>
      <c r="BS20" s="567"/>
      <c r="BT20" s="3448"/>
      <c r="BU20" s="3461"/>
      <c r="BV20" s="562">
        <f ca="1">OFFSET(Sector1!$G$138,0,(COLUMN()-8)/6)</f>
        <v>1.0000000000019327E-5</v>
      </c>
      <c r="BW20" s="3457"/>
      <c r="BX20" s="604"/>
      <c r="BY20" s="567"/>
      <c r="BZ20" s="3448"/>
      <c r="CA20" s="3461"/>
      <c r="CB20" s="562">
        <f ca="1">OFFSET(Sector1!$G$138,0,(COLUMN()-8)/6)</f>
        <v>9.9999999999909054E-6</v>
      </c>
      <c r="CC20" s="3457"/>
      <c r="CD20" s="604"/>
      <c r="CE20" s="567"/>
      <c r="CF20" s="3448"/>
      <c r="CG20" s="3461"/>
      <c r="CH20" s="562">
        <f ca="1">OFFSET(Sector1!$G$138,0,(COLUMN()-8)/6)</f>
        <v>2.000000000001023E-5</v>
      </c>
      <c r="CI20" s="3457"/>
      <c r="CJ20" s="604"/>
      <c r="CK20" s="567"/>
      <c r="CL20" s="3448"/>
      <c r="CM20" s="3461"/>
      <c r="CN20" s="562">
        <f ca="1">OFFSET(Sector1!$G$138,0,(COLUMN()-8)/6)</f>
        <v>2.0000000000038653E-5</v>
      </c>
      <c r="CO20" s="3457"/>
      <c r="CP20" s="604"/>
      <c r="CQ20" s="567"/>
      <c r="CR20" s="3448"/>
      <c r="CS20" s="3461"/>
      <c r="CT20" s="562">
        <f ca="1">OFFSET(Sector1!$G$138,0,(COLUMN()-8)/6)</f>
        <v>1.9999999999981811E-5</v>
      </c>
      <c r="CU20" s="3457"/>
      <c r="CV20" s="604"/>
      <c r="CW20" s="567"/>
      <c r="CX20" s="3448"/>
      <c r="CY20" s="3461"/>
      <c r="CZ20" s="562">
        <f ca="1">OFFSET(Sector1!$G$138,0,(COLUMN()-8)/6)</f>
        <v>1.9999999999981811E-5</v>
      </c>
      <c r="DA20" s="3457"/>
      <c r="DB20" s="604"/>
      <c r="DC20" s="567"/>
      <c r="DD20" s="3448"/>
      <c r="DE20" s="3461"/>
      <c r="DF20" s="562">
        <f ca="1">OFFSET(Sector1!$G$138,0,(COLUMN()-8)/6)</f>
        <v>9.9999999999909054E-6</v>
      </c>
      <c r="DG20" s="3457"/>
      <c r="DH20" s="604"/>
      <c r="DI20" s="567"/>
      <c r="DJ20" s="3448"/>
      <c r="DK20" s="3461"/>
      <c r="DL20" s="562">
        <f ca="1">OFFSET(Sector1!$G$138,0,(COLUMN()-8)/6)</f>
        <v>1.0000000000104592E-5</v>
      </c>
      <c r="DM20" s="3457"/>
      <c r="DN20" s="604"/>
      <c r="DO20" s="567"/>
      <c r="DP20" s="3448"/>
      <c r="DQ20" s="3461"/>
      <c r="DR20" s="562">
        <f ca="1">OFFSET(Sector1!$G$138,0,(COLUMN()-8)/6)</f>
        <v>9.9999999999909054E-6</v>
      </c>
      <c r="DS20" s="3457"/>
      <c r="DT20" s="604"/>
      <c r="DU20" s="567"/>
      <c r="DV20" s="3448"/>
      <c r="DW20" s="3461"/>
      <c r="DX20" s="562">
        <f ca="1">OFFSET(Sector1!$G$138,0,(COLUMN()-8)/6)</f>
        <v>1.0000000000104592E-5</v>
      </c>
      <c r="DY20" s="3457"/>
      <c r="DZ20" s="604"/>
      <c r="EA20" s="567"/>
      <c r="EB20" s="3448"/>
      <c r="EC20" s="3461"/>
      <c r="ED20" s="562">
        <f ca="1">OFFSET(Sector1!$G$138,0,(COLUMN()-8)/6)</f>
        <v>9.9999999999909054E-6</v>
      </c>
      <c r="EE20" s="3457"/>
      <c r="EF20" s="604"/>
      <c r="EG20" s="567"/>
      <c r="EH20" s="3448"/>
      <c r="EI20" s="3461"/>
      <c r="EJ20" s="562">
        <f ca="1">OFFSET(Sector1!$G$138,0,(COLUMN()-8)/6)</f>
        <v>9.9999999999909054E-6</v>
      </c>
      <c r="EK20" s="3457"/>
      <c r="EL20" s="604"/>
      <c r="EM20" s="567"/>
      <c r="EN20" s="3448"/>
      <c r="EO20" s="3461"/>
      <c r="EP20" s="562">
        <f ca="1">OFFSET(Sector1!$G$138,0,(COLUMN()-8)/6)</f>
        <v>9.9999999999909054E-6</v>
      </c>
      <c r="EQ20" s="3457"/>
      <c r="ER20" s="604"/>
      <c r="ES20" s="567"/>
      <c r="ET20" s="3448"/>
      <c r="EU20" s="3461"/>
      <c r="EV20" s="562">
        <f ca="1">OFFSET(Sector1!$G$138,0,(COLUMN()-8)/6)</f>
        <v>9.9999999999909054E-6</v>
      </c>
      <c r="EW20" s="3457"/>
      <c r="EX20" s="604"/>
    </row>
    <row r="21" spans="1:154" s="574" customFormat="1" ht="13.5" thickBot="1">
      <c r="A21" s="573"/>
      <c r="B21" s="564"/>
      <c r="C21" s="571"/>
      <c r="D21" s="572" t="s">
        <v>1490</v>
      </c>
      <c r="E21" s="567"/>
      <c r="F21" s="3448"/>
      <c r="G21" s="3461"/>
      <c r="H21" s="569">
        <f ca="1">OFFSET(Sector1!$G$139,0,(COLUMN()-8)/6)</f>
        <v>2.6940000000000002E-2</v>
      </c>
      <c r="I21" s="3457"/>
      <c r="J21" s="604"/>
      <c r="K21" s="567"/>
      <c r="L21" s="3448"/>
      <c r="M21" s="3461"/>
      <c r="N21" s="569">
        <f ca="1">OFFSET(Sector1!$G$139,0,(COLUMN()-8)/6)</f>
        <v>8.097E-2</v>
      </c>
      <c r="O21" s="3457"/>
      <c r="P21" s="604"/>
      <c r="Q21" s="567"/>
      <c r="R21" s="3448"/>
      <c r="S21" s="3461"/>
      <c r="T21" s="569">
        <f ca="1">OFFSET(Sector1!$G$139,0,(COLUMN()-8)/6)</f>
        <v>8.584E-2</v>
      </c>
      <c r="U21" s="3457"/>
      <c r="V21" s="604"/>
      <c r="W21" s="567"/>
      <c r="X21" s="3448"/>
      <c r="Y21" s="3461"/>
      <c r="Z21" s="569">
        <f ca="1">OFFSET(Sector1!$G$139,0,(COLUMN()-8)/6)</f>
        <v>0.14752999999999999</v>
      </c>
      <c r="AA21" s="3457"/>
      <c r="AB21" s="604"/>
      <c r="AC21" s="567"/>
      <c r="AD21" s="3448"/>
      <c r="AE21" s="3461"/>
      <c r="AF21" s="569">
        <f ca="1">OFFSET(Sector1!$G$139,0,(COLUMN()-8)/6)</f>
        <v>0.18694</v>
      </c>
      <c r="AG21" s="3457"/>
      <c r="AH21" s="604"/>
      <c r="AI21" s="567"/>
      <c r="AJ21" s="3448"/>
      <c r="AK21" s="3461"/>
      <c r="AL21" s="569">
        <f ca="1">OFFSET(Sector1!$G$139,0,(COLUMN()-8)/6)</f>
        <v>0.23169999999999999</v>
      </c>
      <c r="AM21" s="3457"/>
      <c r="AN21" s="604"/>
      <c r="AO21" s="567"/>
      <c r="AP21" s="3448"/>
      <c r="AQ21" s="3461"/>
      <c r="AR21" s="569">
        <f ca="1">OFFSET(Sector1!$G$139,0,(COLUMN()-8)/6)</f>
        <v>0.21352000000000002</v>
      </c>
      <c r="AS21" s="3457"/>
      <c r="AT21" s="604"/>
      <c r="AU21" s="567"/>
      <c r="AV21" s="3448"/>
      <c r="AW21" s="3461"/>
      <c r="AX21" s="569">
        <f ca="1">OFFSET(Sector1!$G$139,0,(COLUMN()-8)/6)</f>
        <v>0.19841</v>
      </c>
      <c r="AY21" s="3457"/>
      <c r="AZ21" s="604"/>
      <c r="BA21" s="567"/>
      <c r="BB21" s="3448"/>
      <c r="BC21" s="3461"/>
      <c r="BD21" s="569">
        <f ca="1">OFFSET(Sector1!$G$139,0,(COLUMN()-8)/6)</f>
        <v>0.20580999999999999</v>
      </c>
      <c r="BE21" s="3457"/>
      <c r="BF21" s="604"/>
      <c r="BG21" s="567"/>
      <c r="BH21" s="3448"/>
      <c r="BI21" s="3461"/>
      <c r="BJ21" s="569">
        <f ca="1">OFFSET(Sector1!$G$139,0,(COLUMN()-8)/6)</f>
        <v>0.16370999999999999</v>
      </c>
      <c r="BK21" s="3457"/>
      <c r="BL21" s="604"/>
      <c r="BM21" s="567"/>
      <c r="BN21" s="3448"/>
      <c r="BO21" s="3461"/>
      <c r="BP21" s="569">
        <f ca="1">OFFSET(Sector1!$G$139,0,(COLUMN()-8)/6)</f>
        <v>0.16072</v>
      </c>
      <c r="BQ21" s="3457"/>
      <c r="BR21" s="604"/>
      <c r="BS21" s="567"/>
      <c r="BT21" s="3448"/>
      <c r="BU21" s="3461"/>
      <c r="BV21" s="569">
        <f ca="1">OFFSET(Sector1!$G$139,0,(COLUMN()-8)/6)</f>
        <v>0.16800999999999999</v>
      </c>
      <c r="BW21" s="3457"/>
      <c r="BX21" s="604"/>
      <c r="BY21" s="567"/>
      <c r="BZ21" s="3448"/>
      <c r="CA21" s="3461"/>
      <c r="CB21" s="569">
        <f ca="1">OFFSET(Sector1!$G$139,0,(COLUMN()-8)/6)</f>
        <v>0.19231000000000001</v>
      </c>
      <c r="CC21" s="3457"/>
      <c r="CD21" s="604"/>
      <c r="CE21" s="567"/>
      <c r="CF21" s="3448"/>
      <c r="CG21" s="3461"/>
      <c r="CH21" s="569">
        <f ca="1">OFFSET(Sector1!$G$139,0,(COLUMN()-8)/6)</f>
        <v>0.21409999999999998</v>
      </c>
      <c r="CI21" s="3457"/>
      <c r="CJ21" s="604"/>
      <c r="CK21" s="567"/>
      <c r="CL21" s="3448"/>
      <c r="CM21" s="3461"/>
      <c r="CN21" s="569">
        <f ca="1">OFFSET(Sector1!$G$139,0,(COLUMN()-8)/6)</f>
        <v>0.3332</v>
      </c>
      <c r="CO21" s="3457"/>
      <c r="CP21" s="604"/>
      <c r="CQ21" s="567"/>
      <c r="CR21" s="3448"/>
      <c r="CS21" s="3461"/>
      <c r="CT21" s="569">
        <f ca="1">OFFSET(Sector1!$G$139,0,(COLUMN()-8)/6)</f>
        <v>0.50985999999999998</v>
      </c>
      <c r="CU21" s="3457"/>
      <c r="CV21" s="604"/>
      <c r="CW21" s="567"/>
      <c r="CX21" s="3448"/>
      <c r="CY21" s="3461"/>
      <c r="CZ21" s="569">
        <f ca="1">OFFSET(Sector1!$G$139,0,(COLUMN()-8)/6)</f>
        <v>0.57565</v>
      </c>
      <c r="DA21" s="3457"/>
      <c r="DB21" s="604"/>
      <c r="DC21" s="567"/>
      <c r="DD21" s="3448"/>
      <c r="DE21" s="3461"/>
      <c r="DF21" s="569">
        <f ca="1">OFFSET(Sector1!$G$139,0,(COLUMN()-8)/6)</f>
        <v>0.6585700000000001</v>
      </c>
      <c r="DG21" s="3457"/>
      <c r="DH21" s="604"/>
      <c r="DI21" s="567"/>
      <c r="DJ21" s="3448"/>
      <c r="DK21" s="3461"/>
      <c r="DL21" s="569">
        <f ca="1">OFFSET(Sector1!$G$139,0,(COLUMN()-8)/6)</f>
        <v>0.61480999999999997</v>
      </c>
      <c r="DM21" s="3457"/>
      <c r="DN21" s="604"/>
      <c r="DO21" s="567"/>
      <c r="DP21" s="3448"/>
      <c r="DQ21" s="3461"/>
      <c r="DR21" s="569">
        <f ca="1">OFFSET(Sector1!$G$139,0,(COLUMN()-8)/6)</f>
        <v>0.58675999999999995</v>
      </c>
      <c r="DS21" s="3457"/>
      <c r="DT21" s="604"/>
      <c r="DU21" s="567"/>
      <c r="DV21" s="3448"/>
      <c r="DW21" s="3461"/>
      <c r="DX21" s="569">
        <f ca="1">OFFSET(Sector1!$G$139,0,(COLUMN()-8)/6)</f>
        <v>0.56867999999999996</v>
      </c>
      <c r="DY21" s="3457"/>
      <c r="DZ21" s="604"/>
      <c r="EA21" s="567"/>
      <c r="EB21" s="3448"/>
      <c r="EC21" s="3461"/>
      <c r="ED21" s="569">
        <f ca="1">OFFSET(Sector1!$G$139,0,(COLUMN()-8)/6)</f>
        <v>0.51676999999999995</v>
      </c>
      <c r="EE21" s="3457"/>
      <c r="EF21" s="604"/>
      <c r="EG21" s="567"/>
      <c r="EH21" s="3448"/>
      <c r="EI21" s="3461"/>
      <c r="EJ21" s="569">
        <f ca="1">OFFSET(Sector1!$G$139,0,(COLUMN()-8)/6)</f>
        <v>0.49499999999999994</v>
      </c>
      <c r="EK21" s="3457"/>
      <c r="EL21" s="604"/>
      <c r="EM21" s="567"/>
      <c r="EN21" s="3448"/>
      <c r="EO21" s="3461"/>
      <c r="EP21" s="569">
        <f ca="1">OFFSET(Sector1!$G$139,0,(COLUMN()-8)/6)</f>
        <v>0.38500000000000001</v>
      </c>
      <c r="EQ21" s="3457"/>
      <c r="ER21" s="604"/>
      <c r="ES21" s="567"/>
      <c r="ET21" s="3448"/>
      <c r="EU21" s="3461"/>
      <c r="EV21" s="569">
        <f ca="1">OFFSET(Sector1!$G$139,0,(COLUMN()-8)/6)</f>
        <v>0.40100000000000002</v>
      </c>
      <c r="EW21" s="3457"/>
      <c r="EX21" s="604"/>
    </row>
    <row r="22" spans="1:154" s="557" customFormat="1" ht="12.75" customHeight="1">
      <c r="A22" s="555"/>
      <c r="B22" s="3445" t="s">
        <v>1769</v>
      </c>
      <c r="C22" s="3785" t="s">
        <v>1491</v>
      </c>
      <c r="D22" s="3786"/>
      <c r="E22" s="3454">
        <f ca="1">+F22+G22+H22</f>
        <v>7.7513200000000007</v>
      </c>
      <c r="F22" s="3454">
        <f ca="1">+F12+F13+F16-F17+F18</f>
        <v>5.3706200000000006</v>
      </c>
      <c r="G22" s="3454">
        <f ca="1">+G12+G13+G16-G17+G18</f>
        <v>1.1773300000000004</v>
      </c>
      <c r="H22" s="3454">
        <f ca="1">+H12+H13+H16-H17+H18</f>
        <v>1.2033699999999998</v>
      </c>
      <c r="I22" s="3455"/>
      <c r="J22" s="604"/>
      <c r="K22" s="3454">
        <f ca="1">+L22+M22+N22</f>
        <v>9.6132799999999978</v>
      </c>
      <c r="L22" s="3454">
        <f ca="1">+L12+L13+L16-L17+L18</f>
        <v>6.69069</v>
      </c>
      <c r="M22" s="3454">
        <f ca="1">+M12+M13+M16-M17+M18</f>
        <v>1.5767099999999994</v>
      </c>
      <c r="N22" s="3454">
        <f ca="1">+N12+N13+N16-N17+N18</f>
        <v>1.34588</v>
      </c>
      <c r="O22" s="3455"/>
      <c r="P22" s="604"/>
      <c r="Q22" s="3454">
        <f ca="1">+R22+S22+T22</f>
        <v>11.50229</v>
      </c>
      <c r="R22" s="3454">
        <f ca="1">+R12+R13+R16-R17+R18</f>
        <v>8.0481999999999996</v>
      </c>
      <c r="S22" s="3454">
        <f ca="1">+S12+S13+S16-S17+S18</f>
        <v>1.5746700000000009</v>
      </c>
      <c r="T22" s="3454">
        <f ca="1">+T12+T13+T16-T17+T18</f>
        <v>1.8794199999999999</v>
      </c>
      <c r="U22" s="3455"/>
      <c r="V22" s="604"/>
      <c r="W22" s="3454">
        <f ca="1">+X22+Y22+Z22</f>
        <v>12.73068</v>
      </c>
      <c r="X22" s="3454">
        <f ca="1">+X12+X13+X16-X17+X18</f>
        <v>9.3135399999999997</v>
      </c>
      <c r="Y22" s="3454">
        <f ca="1">+Y12+Y13+Y16-Y17+Y18</f>
        <v>1.3142299999999998</v>
      </c>
      <c r="Z22" s="3454">
        <f ca="1">+Z12+Z13+Z16-Z17+Z18</f>
        <v>2.1029099999999996</v>
      </c>
      <c r="AA22" s="3455"/>
      <c r="AB22" s="604"/>
      <c r="AC22" s="3454">
        <f ca="1">+AD22+AE22+AF22</f>
        <v>12.40929</v>
      </c>
      <c r="AD22" s="3454">
        <f ca="1">+AD12+AD13+AD16-AD17+AD18</f>
        <v>9.2510600000000007</v>
      </c>
      <c r="AE22" s="3454">
        <f ca="1">+AE12+AE13+AE16-AE17+AE18</f>
        <v>1.1393500000000001</v>
      </c>
      <c r="AF22" s="3454">
        <f ca="1">+AF12+AF13+AF16-AF17+AF18</f>
        <v>2.0188799999999998</v>
      </c>
      <c r="AG22" s="3455"/>
      <c r="AH22" s="604"/>
      <c r="AI22" s="3454">
        <f ca="1">+AJ22+AK22+AL22</f>
        <v>13.128319999999999</v>
      </c>
      <c r="AJ22" s="3454">
        <f ca="1">+AJ12+AJ13+AJ16-AJ17+AJ18</f>
        <v>10.000599999999999</v>
      </c>
      <c r="AK22" s="3454">
        <f ca="1">+AK12+AK13+AK16-AK17+AK18</f>
        <v>1.1689500000000006</v>
      </c>
      <c r="AL22" s="3454">
        <f ca="1">+AL12+AL13+AL16-AL17+AL18</f>
        <v>1.9587700000000003</v>
      </c>
      <c r="AM22" s="3455"/>
      <c r="AN22" s="604"/>
      <c r="AO22" s="3454">
        <f ca="1">+AP22+AQ22+AR22</f>
        <v>14.002979999999997</v>
      </c>
      <c r="AP22" s="3454">
        <f ca="1">+AP12+AP13+AP16-AP17+AP18</f>
        <v>10.260169999999999</v>
      </c>
      <c r="AQ22" s="3454">
        <f ca="1">+AQ12+AQ13+AQ16-AQ17+AQ18</f>
        <v>1.6861199999999998</v>
      </c>
      <c r="AR22" s="3454">
        <f ca="1">+AR12+AR13+AR16-AR17+AR18</f>
        <v>2.0566899999999997</v>
      </c>
      <c r="AS22" s="3455"/>
      <c r="AT22" s="604"/>
      <c r="AU22" s="3454">
        <f ca="1">+AV22+AW22+AX22</f>
        <v>15.041480000000002</v>
      </c>
      <c r="AV22" s="3454">
        <f ca="1">+AV12+AV13+AV16-AV17+AV18</f>
        <v>11.05734</v>
      </c>
      <c r="AW22" s="3454">
        <f ca="1">+AW12+AW13+AW16-AW17+AW18</f>
        <v>1.8079600000000013</v>
      </c>
      <c r="AX22" s="3454">
        <f ca="1">+AX12+AX13+AX16-AX17+AX18</f>
        <v>2.1761800000000004</v>
      </c>
      <c r="AY22" s="3455"/>
      <c r="AZ22" s="604"/>
      <c r="BA22" s="3454">
        <f ca="1">+BB22+BC22+BD22</f>
        <v>16.255590000000002</v>
      </c>
      <c r="BB22" s="3454">
        <f ca="1">+BB12+BB13+BB16-BB17+BB18</f>
        <v>11.780200000000001</v>
      </c>
      <c r="BC22" s="3454">
        <f ca="1">+BC12+BC13+BC16-BC17+BC18</f>
        <v>2.2431100000000024</v>
      </c>
      <c r="BD22" s="3454">
        <f ca="1">+BD12+BD13+BD16-BD17+BD18</f>
        <v>2.2322799999999998</v>
      </c>
      <c r="BE22" s="3455"/>
      <c r="BF22" s="604"/>
      <c r="BG22" s="3454">
        <f ca="1">+BH22+BI22+BJ22</f>
        <v>17.882659999999998</v>
      </c>
      <c r="BH22" s="3454">
        <f ca="1">+BH12+BH13+BH16-BH17+BH18</f>
        <v>13.746009999999998</v>
      </c>
      <c r="BI22" s="3454">
        <f ca="1">+BI12+BI13+BI16-BI17+BI18</f>
        <v>1.747679999999999</v>
      </c>
      <c r="BJ22" s="3454">
        <f ca="1">+BJ12+BJ13+BJ16-BJ17+BJ18</f>
        <v>2.3889700000000005</v>
      </c>
      <c r="BK22" s="3455"/>
      <c r="BL22" s="604"/>
      <c r="BM22" s="3454">
        <f ca="1">+BN22+BO22+BP22</f>
        <v>20.721539999999997</v>
      </c>
      <c r="BN22" s="3454">
        <f ca="1">+BN12+BN13+BN16-BN17+BN18</f>
        <v>14.983259999999998</v>
      </c>
      <c r="BO22" s="3454">
        <f ca="1">+BO12+BO13+BO16-BO17+BO18</f>
        <v>2.9794000000000018</v>
      </c>
      <c r="BP22" s="3454">
        <f ca="1">+BP12+BP13+BP16-BP17+BP18</f>
        <v>2.7588799999999991</v>
      </c>
      <c r="BQ22" s="3455"/>
      <c r="BR22" s="604"/>
      <c r="BS22" s="3454">
        <f ca="1">+BT22+BU22+BV22</f>
        <v>23.619689999999999</v>
      </c>
      <c r="BT22" s="3454">
        <f ca="1">+BT12+BT13+BT16-BT17+BT18</f>
        <v>17.508610000000001</v>
      </c>
      <c r="BU22" s="3454">
        <f ca="1">+BU12+BU13+BU16-BU17+BU18</f>
        <v>2.9605699999999979</v>
      </c>
      <c r="BV22" s="3454">
        <f ca="1">+BV12+BV13+BV16-BV17+BV18</f>
        <v>3.1505099999999993</v>
      </c>
      <c r="BW22" s="3455"/>
      <c r="BX22" s="604"/>
      <c r="BY22" s="3454">
        <f ca="1">+BZ22+CA22+CB22</f>
        <v>27.947279999999999</v>
      </c>
      <c r="BZ22" s="3454">
        <f ca="1">+BZ12+BZ13+BZ16-BZ17+BZ18</f>
        <v>18.852180000000001</v>
      </c>
      <c r="CA22" s="3454">
        <f ca="1">+CA12+CA13+CA16-CA17+CA18</f>
        <v>5.2844300000000013</v>
      </c>
      <c r="CB22" s="3454">
        <f ca="1">+CB12+CB13+CB16-CB17+CB18</f>
        <v>3.8106699999999996</v>
      </c>
      <c r="CC22" s="3455"/>
      <c r="CD22" s="604"/>
      <c r="CE22" s="3454">
        <f ca="1">+CF22+CG22+CH22</f>
        <v>31.581499999999998</v>
      </c>
      <c r="CF22" s="3454">
        <f ca="1">+CF12+CF13+CF16-CF17+CF18</f>
        <v>21.641190000000002</v>
      </c>
      <c r="CG22" s="3454">
        <f ca="1">+CG12+CG13+CG16-CG17+CG18</f>
        <v>5.5674399999999995</v>
      </c>
      <c r="CH22" s="3454">
        <f ca="1">+CH12+CH13+CH16-CH17+CH18</f>
        <v>4.3728700000000007</v>
      </c>
      <c r="CI22" s="3455"/>
      <c r="CJ22" s="604"/>
      <c r="CK22" s="3454">
        <f ca="1">+CL22+CM22+CN22</f>
        <v>27.4376</v>
      </c>
      <c r="CL22" s="3454">
        <f ca="1">+CL12+CL13+CL16-CL17+CL18</f>
        <v>18.60228</v>
      </c>
      <c r="CM22" s="3454">
        <f ca="1">+CM12+CM13+CM16-CM17+CM18</f>
        <v>5.2392099999999999</v>
      </c>
      <c r="CN22" s="3454">
        <f ca="1">+CN12+CN13+CN16-CN17+CN18</f>
        <v>3.5961099999999999</v>
      </c>
      <c r="CO22" s="3455"/>
      <c r="CP22" s="604"/>
      <c r="CQ22" s="3454">
        <f ca="1">+CR22+CS22+CT22</f>
        <v>27.505589999999991</v>
      </c>
      <c r="CR22" s="3454">
        <f ca="1">+CR12+CR13+CR16-CR17+CR18</f>
        <v>18.722679999999997</v>
      </c>
      <c r="CS22" s="3454">
        <f ca="1">+CS12+CS13+CS16-CS17+CS18</f>
        <v>5.1036299999999946</v>
      </c>
      <c r="CT22" s="3454">
        <f ca="1">+CT12+CT13+CT16-CT17+CT18</f>
        <v>3.6792800000000003</v>
      </c>
      <c r="CU22" s="3455"/>
      <c r="CV22" s="604"/>
      <c r="CW22" s="3454">
        <f ca="1">+CX22+CY22+CZ22</f>
        <v>30.127300000000005</v>
      </c>
      <c r="CX22" s="3454">
        <f ca="1">+CX12+CX13+CX16-CX17+CX18</f>
        <v>20.241990000000001</v>
      </c>
      <c r="CY22" s="3454">
        <f ca="1">+CY12+CY13+CY16-CY17+CY18</f>
        <v>5.8938000000000033</v>
      </c>
      <c r="CZ22" s="3454">
        <f ca="1">+CZ12+CZ13+CZ16-CZ17+CZ18</f>
        <v>3.9915100000000012</v>
      </c>
      <c r="DA22" s="3455"/>
      <c r="DB22" s="604"/>
      <c r="DC22" s="3454">
        <f ca="1">+DD22+DE22+DF22</f>
        <v>32.342309999999998</v>
      </c>
      <c r="DD22" s="3454">
        <f ca="1">+DD12+DD13+DD16-DD17+DD18</f>
        <v>21.375989999999998</v>
      </c>
      <c r="DE22" s="3454">
        <f ca="1">+DE12+DE13+DE16-DE17+DE18</f>
        <v>6.8257399999999997</v>
      </c>
      <c r="DF22" s="3454">
        <f ca="1">+DF12+DF13+DF16-DF17+DF18</f>
        <v>4.1405799999999999</v>
      </c>
      <c r="DG22" s="3455"/>
      <c r="DH22" s="604"/>
      <c r="DI22" s="3454">
        <f ca="1">+DJ22+DK22+DL22</f>
        <v>34.049959999999999</v>
      </c>
      <c r="DJ22" s="3454">
        <f ca="1">+DJ12+DJ13+DJ16-DJ17+DJ18</f>
        <v>22.276679999999999</v>
      </c>
      <c r="DK22" s="3454">
        <f ca="1">+DK12+DK13+DK16-DK17+DK18</f>
        <v>7.5037099999999972</v>
      </c>
      <c r="DL22" s="3454">
        <f ca="1">+DL12+DL13+DL16-DL17+DL18</f>
        <v>4.2695699999999999</v>
      </c>
      <c r="DM22" s="3455"/>
      <c r="DN22" s="604"/>
      <c r="DO22" s="3454">
        <f ca="1">+DP22+DQ22+DR22</f>
        <v>36.09348</v>
      </c>
      <c r="DP22" s="3454">
        <f ca="1">+DP12+DP13+DP16-DP17+DP18</f>
        <v>22.86983</v>
      </c>
      <c r="DQ22" s="3454">
        <f ca="1">+DQ12+DQ13+DQ16-DQ17+DQ18</f>
        <v>8.6331299999999978</v>
      </c>
      <c r="DR22" s="3454">
        <f ca="1">+DR12+DR13+DR16-DR17+DR18</f>
        <v>4.5905199999999997</v>
      </c>
      <c r="DS22" s="3455"/>
      <c r="DT22" s="604"/>
      <c r="DU22" s="3454">
        <f ca="1">+DV22+DW22+DX22</f>
        <v>35.902650000000008</v>
      </c>
      <c r="DV22" s="3454">
        <f ca="1">+DV12+DV13+DV16-DV17+DV18</f>
        <v>24.079980000000003</v>
      </c>
      <c r="DW22" s="3454">
        <f ca="1">+DW12+DW13+DW16-DW17+DW18</f>
        <v>6.9432600000000013</v>
      </c>
      <c r="DX22" s="3454">
        <f ca="1">+DX12+DX13+DX16-DX17+DX18</f>
        <v>4.8794100000000009</v>
      </c>
      <c r="DY22" s="3455"/>
      <c r="DZ22" s="604"/>
      <c r="EA22" s="3454">
        <f ca="1">+EB22+EC22+ED22</f>
        <v>37.143280000000004</v>
      </c>
      <c r="EB22" s="3454">
        <f ca="1">+EB12+EB13+EB16-EB17+EB18</f>
        <v>25.58071</v>
      </c>
      <c r="EC22" s="3454">
        <f ca="1">+EC12+EC13+EC16-EC17+EC18</f>
        <v>6.3777800000000004</v>
      </c>
      <c r="ED22" s="3454">
        <f ca="1">+ED12+ED13+ED16-ED17+ED18</f>
        <v>5.1847900000000013</v>
      </c>
      <c r="EE22" s="3455"/>
      <c r="EF22" s="604"/>
      <c r="EG22" s="3454">
        <f ca="1">+EH22+EI22+EJ22</f>
        <v>40.34046</v>
      </c>
      <c r="EH22" s="3454">
        <f ca="1">+EH12+EH13+EH16-EH17+EH18</f>
        <v>27.414501749999999</v>
      </c>
      <c r="EI22" s="3454">
        <f ca="1">+EI12+EI13+EI16-EI17+EI18</f>
        <v>7.2511712700000031</v>
      </c>
      <c r="EJ22" s="3454">
        <f ca="1">+EJ12+EJ13+EJ16-EJ17+EJ18</f>
        <v>5.6747869800000004</v>
      </c>
      <c r="EK22" s="3455"/>
      <c r="EL22" s="604"/>
      <c r="EM22" s="3454">
        <f ca="1">+EN22+EO22+EP22</f>
        <v>42.664720784957275</v>
      </c>
      <c r="EN22" s="3454">
        <f ca="1">+EN12+EN13+EN16-EN17+EN18</f>
        <v>28.718456249238734</v>
      </c>
      <c r="EO22" s="3454">
        <f ca="1">+EO12+EO13+EO16-EO17+EO18</f>
        <v>7.8057300080993279</v>
      </c>
      <c r="EP22" s="3454">
        <f ca="1">+EP12+EP13+EP16-EP17+EP18</f>
        <v>6.1405345276192165</v>
      </c>
      <c r="EQ22" s="3455"/>
      <c r="ER22" s="604"/>
      <c r="ES22" s="3454">
        <f ca="1">+ET22+EU22+EV22</f>
        <v>45.098505941975503</v>
      </c>
      <c r="ET22" s="3454">
        <f ca="1">+ET12+ET13+ET16-ET17+ET18</f>
        <v>30.212072336758247</v>
      </c>
      <c r="EU22" s="3454">
        <f ca="1">+EU12+EU13+EU16-EU17+EU18</f>
        <v>8.4488074738879675</v>
      </c>
      <c r="EV22" s="3454">
        <f ca="1">+EV12+EV13+EV16-EV17+EV18</f>
        <v>6.4376261313292922</v>
      </c>
      <c r="EW22" s="3455"/>
      <c r="EX22" s="604"/>
    </row>
    <row r="23" spans="1:154" s="217" customFormat="1" ht="13.5" customHeight="1" thickBot="1">
      <c r="A23" s="553"/>
      <c r="B23" s="600" t="s">
        <v>1767</v>
      </c>
      <c r="C23" s="3781" t="s">
        <v>614</v>
      </c>
      <c r="D23" s="3782"/>
      <c r="E23" s="3458">
        <f ca="1">+F23+G23+H23+H27+I23</f>
        <v>0.65282000000000007</v>
      </c>
      <c r="F23" s="3448"/>
      <c r="G23" s="3448"/>
      <c r="H23" s="3449">
        <f ca="1">OFFSET(Sector1!$G$205,0,(COLUMN()-8)/6)</f>
        <v>0.65282000000000007</v>
      </c>
      <c r="I23" s="3449"/>
      <c r="J23" s="604"/>
      <c r="K23" s="3458">
        <f ca="1">+L23+M23+N23</f>
        <v>0.77739000000000003</v>
      </c>
      <c r="L23" s="3448"/>
      <c r="M23" s="3448"/>
      <c r="N23" s="3449">
        <f ca="1">OFFSET(Sector1!$G$205,0,(COLUMN()-8)/6)</f>
        <v>0.77739000000000003</v>
      </c>
      <c r="O23" s="3449"/>
      <c r="P23" s="604"/>
      <c r="Q23" s="3458">
        <f ca="1">+R23+S23+T23</f>
        <v>1.02521</v>
      </c>
      <c r="R23" s="3448"/>
      <c r="S23" s="3448"/>
      <c r="T23" s="3449">
        <f ca="1">OFFSET(Sector1!$G$205,0,(COLUMN()-8)/6)</f>
        <v>1.02521</v>
      </c>
      <c r="U23" s="3449"/>
      <c r="V23" s="604"/>
      <c r="W23" s="3458">
        <f ca="1">+X23+Y23+Z23</f>
        <v>1.17039</v>
      </c>
      <c r="X23" s="3448"/>
      <c r="Y23" s="3448"/>
      <c r="Z23" s="3449">
        <f ca="1">OFFSET(Sector1!$G$205,0,(COLUMN()-8)/6)</f>
        <v>1.17039</v>
      </c>
      <c r="AA23" s="3449"/>
      <c r="AB23" s="604"/>
      <c r="AC23" s="3458">
        <f ca="1">+AD23+AE23+AF23</f>
        <v>1.1596099999999998</v>
      </c>
      <c r="AD23" s="3448"/>
      <c r="AE23" s="3448"/>
      <c r="AF23" s="3449">
        <f ca="1">OFFSET(Sector1!$G$205,0,(COLUMN()-8)/6)</f>
        <v>1.1596099999999998</v>
      </c>
      <c r="AG23" s="3449"/>
      <c r="AH23" s="604"/>
      <c r="AI23" s="3458">
        <f ca="1">+AJ23+AK23+AL23</f>
        <v>1.1185</v>
      </c>
      <c r="AJ23" s="3448"/>
      <c r="AK23" s="3448"/>
      <c r="AL23" s="3449">
        <f ca="1">OFFSET(Sector1!$G$205,0,(COLUMN()-8)/6)</f>
        <v>1.1185</v>
      </c>
      <c r="AM23" s="3449"/>
      <c r="AN23" s="604"/>
      <c r="AO23" s="3458">
        <f ca="1">+AP23+AQ23+AR23</f>
        <v>1.1014699999999999</v>
      </c>
      <c r="AP23" s="3448"/>
      <c r="AQ23" s="3448"/>
      <c r="AR23" s="3449">
        <f ca="1">OFFSET(Sector1!$G$205,0,(COLUMN()-8)/6)</f>
        <v>1.1014699999999999</v>
      </c>
      <c r="AS23" s="3449"/>
      <c r="AT23" s="604"/>
      <c r="AU23" s="3458">
        <f ca="1">+AV23+AW23+AX23</f>
        <v>1.12815</v>
      </c>
      <c r="AV23" s="3448"/>
      <c r="AW23" s="3448"/>
      <c r="AX23" s="3449">
        <f ca="1">OFFSET(Sector1!$G$205,0,(COLUMN()-8)/6)</f>
        <v>1.12815</v>
      </c>
      <c r="AY23" s="3449"/>
      <c r="AZ23" s="604"/>
      <c r="BA23" s="3458">
        <f ca="1">+BB23+BC23+BD23</f>
        <v>1.31376</v>
      </c>
      <c r="BB23" s="3448"/>
      <c r="BC23" s="3448"/>
      <c r="BD23" s="3449">
        <f ca="1">OFFSET(Sector1!$G$205,0,(COLUMN()-8)/6)</f>
        <v>1.31376</v>
      </c>
      <c r="BE23" s="3449"/>
      <c r="BF23" s="604"/>
      <c r="BG23" s="3458">
        <f ca="1">+BH23+BI23+BJ23</f>
        <v>1.57897</v>
      </c>
      <c r="BH23" s="3448"/>
      <c r="BI23" s="3448"/>
      <c r="BJ23" s="3449">
        <f ca="1">OFFSET(Sector1!$G$205,0,(COLUMN()-8)/6)</f>
        <v>1.57897</v>
      </c>
      <c r="BK23" s="3449"/>
      <c r="BL23" s="604"/>
      <c r="BM23" s="3458">
        <f ca="1">+BN23+BO23+BP23</f>
        <v>1.8784799999999999</v>
      </c>
      <c r="BN23" s="3448"/>
      <c r="BO23" s="3448"/>
      <c r="BP23" s="3449">
        <f ca="1">OFFSET(Sector1!$G$205,0,(COLUMN()-8)/6)</f>
        <v>1.8784799999999999</v>
      </c>
      <c r="BQ23" s="3449"/>
      <c r="BR23" s="604"/>
      <c r="BS23" s="3458">
        <f ca="1">+BT23+BU23+BV23</f>
        <v>2.2994699999999999</v>
      </c>
      <c r="BT23" s="3448"/>
      <c r="BU23" s="3448"/>
      <c r="BV23" s="3449">
        <f ca="1">OFFSET(Sector1!$G$205,0,(COLUMN()-8)/6)</f>
        <v>2.2994699999999999</v>
      </c>
      <c r="BW23" s="3449"/>
      <c r="BX23" s="604"/>
      <c r="BY23" s="3458">
        <f ca="1">+BZ23+CA23+CB23</f>
        <v>2.6336900000000001</v>
      </c>
      <c r="BZ23" s="3448"/>
      <c r="CA23" s="3448"/>
      <c r="CB23" s="3449">
        <f ca="1">OFFSET(Sector1!$G$205,0,(COLUMN()-8)/6)</f>
        <v>2.6336900000000001</v>
      </c>
      <c r="CC23" s="3449"/>
      <c r="CD23" s="604"/>
      <c r="CE23" s="3458">
        <f ca="1">+CF23+CG23+CH23</f>
        <v>3.0165999999999999</v>
      </c>
      <c r="CF23" s="3448"/>
      <c r="CG23" s="3448"/>
      <c r="CH23" s="3449">
        <f ca="1">OFFSET(Sector1!$G$205,0,(COLUMN()-8)/6)</f>
        <v>3.0165999999999999</v>
      </c>
      <c r="CI23" s="3449"/>
      <c r="CJ23" s="604"/>
      <c r="CK23" s="3458">
        <f ca="1">+CL23+CM23+CN23</f>
        <v>1.5983099999999999</v>
      </c>
      <c r="CL23" s="3448"/>
      <c r="CM23" s="3448"/>
      <c r="CN23" s="3449">
        <f ca="1">OFFSET(Sector1!$G$205,0,(COLUMN()-8)/6)</f>
        <v>1.5983099999999999</v>
      </c>
      <c r="CO23" s="3449"/>
      <c r="CP23" s="604"/>
      <c r="CQ23" s="3458">
        <f ca="1">+CR23+CS23+CT23</f>
        <v>1.2940499999999999</v>
      </c>
      <c r="CR23" s="3448"/>
      <c r="CS23" s="3448"/>
      <c r="CT23" s="3449">
        <f ca="1">OFFSET(Sector1!$G$205,0,(COLUMN()-8)/6)</f>
        <v>1.2940499999999999</v>
      </c>
      <c r="CU23" s="3449"/>
      <c r="CV23" s="604"/>
      <c r="CW23" s="3458">
        <f ca="1">+CX23+CY23+CZ23</f>
        <v>1.3590799999999998</v>
      </c>
      <c r="CX23" s="3448"/>
      <c r="CY23" s="3448"/>
      <c r="CZ23" s="3449">
        <f ca="1">OFFSET(Sector1!$G$205,0,(COLUMN()-8)/6)</f>
        <v>1.3590799999999998</v>
      </c>
      <c r="DA23" s="3449"/>
      <c r="DB23" s="604"/>
      <c r="DC23" s="3458">
        <f ca="1">+DD23+DE23+DF23</f>
        <v>1.60755</v>
      </c>
      <c r="DD23" s="3448"/>
      <c r="DE23" s="3448"/>
      <c r="DF23" s="3449">
        <f ca="1">OFFSET(Sector1!$G$205,0,(COLUMN()-8)/6)</f>
        <v>1.60755</v>
      </c>
      <c r="DG23" s="3449"/>
      <c r="DH23" s="604"/>
      <c r="DI23" s="3458">
        <f ca="1">+DJ23+DK23+DL23</f>
        <v>1.7361900000000001</v>
      </c>
      <c r="DJ23" s="3448"/>
      <c r="DK23" s="3448"/>
      <c r="DL23" s="3449">
        <f ca="1">OFFSET(Sector1!$G$205,0,(COLUMN()-8)/6)</f>
        <v>1.7361900000000001</v>
      </c>
      <c r="DM23" s="3449"/>
      <c r="DN23" s="604"/>
      <c r="DO23" s="3458">
        <f ca="1">+DP23+DQ23+DR23</f>
        <v>1.83673</v>
      </c>
      <c r="DP23" s="3448"/>
      <c r="DQ23" s="3448"/>
      <c r="DR23" s="3449">
        <f ca="1">OFFSET(Sector1!$G$205,0,(COLUMN()-8)/6)</f>
        <v>1.83673</v>
      </c>
      <c r="DS23" s="3449"/>
      <c r="DT23" s="604"/>
      <c r="DU23" s="3458">
        <f ca="1">+DV23+DW23+DX23</f>
        <v>2.0321899999999999</v>
      </c>
      <c r="DV23" s="3448"/>
      <c r="DW23" s="3448"/>
      <c r="DX23" s="3449">
        <f ca="1">OFFSET(Sector1!$G$205,0,(COLUMN()-8)/6)</f>
        <v>2.0321899999999999</v>
      </c>
      <c r="DY23" s="3449"/>
      <c r="DZ23" s="604"/>
      <c r="EA23" s="3458">
        <f ca="1">+EB23+EC23+ED23</f>
        <v>2.1945000000000001</v>
      </c>
      <c r="EB23" s="3448"/>
      <c r="EC23" s="3448"/>
      <c r="ED23" s="3449">
        <f ca="1">OFFSET(Sector1!$G$205,0,(COLUMN()-8)/6)</f>
        <v>2.1945000000000001</v>
      </c>
      <c r="EE23" s="3449"/>
      <c r="EF23" s="604"/>
      <c r="EG23" s="3458">
        <f ca="1">+EH23+EI23+EJ23</f>
        <v>2.3153593839999997</v>
      </c>
      <c r="EH23" s="3462"/>
      <c r="EI23" s="3462"/>
      <c r="EJ23" s="3449">
        <f ca="1">OFFSET(Sector1!$G$205,0,(COLUMN()-8)/6)</f>
        <v>2.3153593839999997</v>
      </c>
      <c r="EK23" s="3449"/>
      <c r="EL23" s="604"/>
      <c r="EM23" s="3458">
        <f ca="1">+EN23+EO23+EP23</f>
        <v>2.3945682130239994</v>
      </c>
      <c r="EN23" s="3448"/>
      <c r="EO23" s="3448"/>
      <c r="EP23" s="3449">
        <f ca="1">OFFSET(Sector1!$G$205,0,(COLUMN()-8)/6)</f>
        <v>2.3945682130239994</v>
      </c>
      <c r="EQ23" s="3449"/>
      <c r="ER23" s="604"/>
      <c r="ES23" s="3458">
        <f ca="1">+ET23+EU23+EV23</f>
        <v>2.5256978838147841</v>
      </c>
      <c r="ET23" s="3448"/>
      <c r="EU23" s="3448"/>
      <c r="EV23" s="3449">
        <f ca="1">OFFSET(Sector1!$G$205,0,(COLUMN()-8)/6)</f>
        <v>2.5256978838147841</v>
      </c>
      <c r="EW23" s="3449"/>
      <c r="EX23" s="604"/>
    </row>
    <row r="24" spans="1:154" ht="12.75" customHeight="1">
      <c r="A24" s="553"/>
      <c r="B24" s="600" t="s">
        <v>1767</v>
      </c>
      <c r="C24" s="3781" t="s">
        <v>567</v>
      </c>
      <c r="D24" s="3782"/>
      <c r="E24" s="3458" t="e">
        <f ca="1">+F24+G24+H24+I24</f>
        <v>#VALUE!</v>
      </c>
      <c r="F24" s="3449">
        <f ca="1">OFFSET(Sector1!$G$256,0,(COLUMN()-6)/6)</f>
        <v>2.8000000000000003E-4</v>
      </c>
      <c r="G24" s="3449">
        <f ca="1">OFFSET(Sector1!$G$257,0,(COLUMN()-7)/6)</f>
        <v>4.4400000000000004E-3</v>
      </c>
      <c r="H24" s="3459">
        <f ca="1">+H25+H26</f>
        <v>0.56044000000000005</v>
      </c>
      <c r="I24" s="3449" t="e">
        <f ca="1">OFFSET(Sector1!$G$258,0,(COLUMN()-9)/6)</f>
        <v>#VALUE!</v>
      </c>
      <c r="J24" s="604"/>
      <c r="K24" s="3458">
        <f ca="1">+L24+M24+N24</f>
        <v>0.75263000000000002</v>
      </c>
      <c r="L24" s="3449">
        <f ca="1">OFFSET(Sector1!$G$256,0,(COLUMN()-6)/6)</f>
        <v>2.2000000000000003E-4</v>
      </c>
      <c r="M24" s="3449">
        <f ca="1">OFFSET(Sector1!$G$257,0,(COLUMN()-7)/6)</f>
        <v>4.1399999999999996E-3</v>
      </c>
      <c r="N24" s="3459">
        <f ca="1">+N25+N26</f>
        <v>0.74826999999999999</v>
      </c>
      <c r="O24" s="3449" t="e">
        <f ca="1">OFFSET(Sector1!$G$258,0,(COLUMN()-9)/6)</f>
        <v>#VALUE!</v>
      </c>
      <c r="P24" s="604"/>
      <c r="Q24" s="3458">
        <f ca="1">+R24+S24+T24</f>
        <v>1.0605099999999998</v>
      </c>
      <c r="R24" s="3449">
        <f ca="1">OFFSET(Sector1!$G$256,0,(COLUMN()-6)/6)</f>
        <v>3.3E-4</v>
      </c>
      <c r="S24" s="3449">
        <f ca="1">OFFSET(Sector1!$G$257,0,(COLUMN()-7)/6)</f>
        <v>5.7199999999999994E-3</v>
      </c>
      <c r="T24" s="3459">
        <f ca="1">+T25+T26</f>
        <v>1.05446</v>
      </c>
      <c r="U24" s="3449" t="e">
        <f ca="1">OFFSET(Sector1!$G$258,0,(COLUMN()-9)/6)</f>
        <v>#VALUE!</v>
      </c>
      <c r="V24" s="604"/>
      <c r="W24" s="3458">
        <f ca="1">+X24+Y24+Z24</f>
        <v>1.3106399999999998</v>
      </c>
      <c r="X24" s="3449">
        <f ca="1">OFFSET(Sector1!$G$256,0,(COLUMN()-6)/6)</f>
        <v>4.9000000000000009E-4</v>
      </c>
      <c r="Y24" s="3449">
        <f ca="1">OFFSET(Sector1!$G$257,0,(COLUMN()-7)/6)</f>
        <v>7.0899999999999999E-3</v>
      </c>
      <c r="Z24" s="3459">
        <f ca="1">+Z25+Z26</f>
        <v>1.3030599999999999</v>
      </c>
      <c r="AA24" s="3449" t="e">
        <f ca="1">OFFSET(Sector1!$G$258,0,(COLUMN()-9)/6)</f>
        <v>#VALUE!</v>
      </c>
      <c r="AB24" s="604"/>
      <c r="AC24" s="3458">
        <f ca="1">+AD24+AE24+AF24</f>
        <v>1.2953199999999998</v>
      </c>
      <c r="AD24" s="3449">
        <f ca="1">OFFSET(Sector1!$G$256,0,(COLUMN()-6)/6)</f>
        <v>3.5000000000000005E-4</v>
      </c>
      <c r="AE24" s="3449">
        <f ca="1">OFFSET(Sector1!$G$257,0,(COLUMN()-7)/6)</f>
        <v>7.7400000000000004E-3</v>
      </c>
      <c r="AF24" s="3459">
        <f ca="1">+AF25+AF26</f>
        <v>1.2872299999999999</v>
      </c>
      <c r="AG24" s="3449" t="e">
        <f ca="1">OFFSET(Sector1!$G$258,0,(COLUMN()-9)/6)</f>
        <v>#VALUE!</v>
      </c>
      <c r="AH24" s="604"/>
      <c r="AI24" s="3458">
        <f ca="1">+AJ24+AK24+AL24</f>
        <v>1.3715199999999999</v>
      </c>
      <c r="AJ24" s="3449">
        <f ca="1">OFFSET(Sector1!$G$256,0,(COLUMN()-6)/6)</f>
        <v>4.6000000000000001E-4</v>
      </c>
      <c r="AK24" s="3449">
        <f ca="1">OFFSET(Sector1!$G$257,0,(COLUMN()-7)/6)</f>
        <v>6.1700000000000001E-3</v>
      </c>
      <c r="AL24" s="3459">
        <f ca="1">+AL25+AL26</f>
        <v>1.3648899999999999</v>
      </c>
      <c r="AM24" s="3449" t="e">
        <f ca="1">OFFSET(Sector1!$G$258,0,(COLUMN()-9)/6)</f>
        <v>#VALUE!</v>
      </c>
      <c r="AN24" s="604"/>
      <c r="AO24" s="3458">
        <f ca="1">+AP24+AQ24+AR24</f>
        <v>1.38411</v>
      </c>
      <c r="AP24" s="3449">
        <f ca="1">OFFSET(Sector1!$G$256,0,(COLUMN()-6)/6)</f>
        <v>4.0000000000000002E-4</v>
      </c>
      <c r="AQ24" s="3449">
        <f ca="1">OFFSET(Sector1!$G$257,0,(COLUMN()-7)/6)</f>
        <v>4.5999999999999999E-3</v>
      </c>
      <c r="AR24" s="3459">
        <f ca="1">+AR25+AR26</f>
        <v>1.3791100000000001</v>
      </c>
      <c r="AS24" s="3449" t="e">
        <f ca="1">OFFSET(Sector1!$G$258,0,(COLUMN()-9)/6)</f>
        <v>#VALUE!</v>
      </c>
      <c r="AT24" s="604"/>
      <c r="AU24" s="3458">
        <f ca="1">+AV24+AW24+AX24</f>
        <v>1.4299500000000001</v>
      </c>
      <c r="AV24" s="3449">
        <f ca="1">OFFSET(Sector1!$G$256,0,(COLUMN()-6)/6)</f>
        <v>3.7000000000000005E-4</v>
      </c>
      <c r="AW24" s="3449">
        <f ca="1">OFFSET(Sector1!$G$257,0,(COLUMN()-7)/6)</f>
        <v>4.3699999999999998E-3</v>
      </c>
      <c r="AX24" s="3459">
        <f ca="1">+AX25+AX26</f>
        <v>1.4252100000000001</v>
      </c>
      <c r="AY24" s="3449" t="e">
        <f ca="1">OFFSET(Sector1!$G$258,0,(COLUMN()-9)/6)</f>
        <v>#VALUE!</v>
      </c>
      <c r="AZ24" s="604"/>
      <c r="BA24" s="3458">
        <f ca="1">+BB24+BC24+BD24</f>
        <v>1.5413100000000002</v>
      </c>
      <c r="BB24" s="3449">
        <f ca="1">OFFSET(Sector1!$G$256,0,(COLUMN()-6)/6)</f>
        <v>4.2000000000000002E-4</v>
      </c>
      <c r="BC24" s="3449">
        <f ca="1">OFFSET(Sector1!$G$257,0,(COLUMN()-7)/6)</f>
        <v>5.2900000000000004E-3</v>
      </c>
      <c r="BD24" s="3459">
        <f ca="1">+BD25+BD26</f>
        <v>1.5356000000000001</v>
      </c>
      <c r="BE24" s="3449" t="e">
        <f ca="1">OFFSET(Sector1!$G$258,0,(COLUMN()-9)/6)</f>
        <v>#VALUE!</v>
      </c>
      <c r="BF24" s="604"/>
      <c r="BG24" s="3458">
        <f ca="1">+BH24+BI24+BJ24</f>
        <v>1.7729699999999999</v>
      </c>
      <c r="BH24" s="3449">
        <f ca="1">OFFSET(Sector1!$G$256,0,(COLUMN()-6)/6)</f>
        <v>4.4000000000000007E-4</v>
      </c>
      <c r="BI24" s="3449">
        <f ca="1">OFFSET(Sector1!$G$257,0,(COLUMN()-7)/6)</f>
        <v>5.6229999999999995E-2</v>
      </c>
      <c r="BJ24" s="3459">
        <f ca="1">+BJ25+BJ26</f>
        <v>1.7162999999999999</v>
      </c>
      <c r="BK24" s="3449" t="e">
        <f ca="1">OFFSET(Sector1!$G$258,0,(COLUMN()-9)/6)</f>
        <v>#VALUE!</v>
      </c>
      <c r="BL24" s="604"/>
      <c r="BM24" s="3458">
        <f ca="1">+BN24+BO24+BP24</f>
        <v>2.10656</v>
      </c>
      <c r="BN24" s="3449">
        <f ca="1">OFFSET(Sector1!$G$256,0,(COLUMN()-6)/6)</f>
        <v>5.6000000000000006E-4</v>
      </c>
      <c r="BO24" s="3449">
        <f ca="1">OFFSET(Sector1!$G$257,0,(COLUMN()-7)/6)</f>
        <v>0.17993000000000001</v>
      </c>
      <c r="BP24" s="3459">
        <f ca="1">+BP25+BP26</f>
        <v>1.9260700000000002</v>
      </c>
      <c r="BQ24" s="3449" t="e">
        <f ca="1">OFFSET(Sector1!$G$258,0,(COLUMN()-9)/6)</f>
        <v>#VALUE!</v>
      </c>
      <c r="BR24" s="604"/>
      <c r="BS24" s="3458">
        <f ca="1">+BT24+BU24+BV24</f>
        <v>2.53653</v>
      </c>
      <c r="BT24" s="3449">
        <f ca="1">OFFSET(Sector1!$G$256,0,(COLUMN()-6)/6)</f>
        <v>6.8000000000000005E-4</v>
      </c>
      <c r="BU24" s="3449">
        <f ca="1">OFFSET(Sector1!$G$257,0,(COLUMN()-7)/6)</f>
        <v>0.26597999999999999</v>
      </c>
      <c r="BV24" s="3459">
        <f ca="1">+BV25+BV26</f>
        <v>2.2698700000000001</v>
      </c>
      <c r="BW24" s="3449" t="e">
        <f ca="1">OFFSET(Sector1!$G$258,0,(COLUMN()-9)/6)</f>
        <v>#VALUE!</v>
      </c>
      <c r="BX24" s="604"/>
      <c r="BY24" s="3458">
        <f ca="1">+BZ24+CA24+CB24</f>
        <v>3.1278100000000002</v>
      </c>
      <c r="BZ24" s="3449">
        <f ca="1">OFFSET(Sector1!$G$256,0,(COLUMN()-6)/6)</f>
        <v>8.5000000000000006E-4</v>
      </c>
      <c r="CA24" s="3449">
        <f ca="1">OFFSET(Sector1!$G$257,0,(COLUMN()-7)/6)</f>
        <v>0.39018000000000003</v>
      </c>
      <c r="CB24" s="3459">
        <f ca="1">+CB25+CB26</f>
        <v>2.73678</v>
      </c>
      <c r="CC24" s="3449" t="e">
        <f ca="1">OFFSET(Sector1!$G$258,0,(COLUMN()-9)/6)</f>
        <v>#VALUE!</v>
      </c>
      <c r="CD24" s="604"/>
      <c r="CE24" s="3458">
        <f ca="1">+CF24+CG24+CH24</f>
        <v>3.7027199999999998</v>
      </c>
      <c r="CF24" s="3449">
        <f ca="1">OFFSET(Sector1!$G$256,0,(COLUMN()-6)/6)</f>
        <v>8.7000000000000011E-4</v>
      </c>
      <c r="CG24" s="3449">
        <f ca="1">OFFSET(Sector1!$G$257,0,(COLUMN()-7)/6)</f>
        <v>0.47537999999999997</v>
      </c>
      <c r="CH24" s="3459">
        <f ca="1">+CH25+CH26</f>
        <v>3.2264699999999999</v>
      </c>
      <c r="CI24" s="3449">
        <f ca="1">OFFSET(Sector1!$G$258,0,(COLUMN()-9)/6)</f>
        <v>1.9E-2</v>
      </c>
      <c r="CJ24" s="604"/>
      <c r="CK24" s="3458">
        <f ca="1">+CL24+CM24+CN24</f>
        <v>3.7694900000000002</v>
      </c>
      <c r="CL24" s="3449">
        <f ca="1">OFFSET(Sector1!$G$256,0,(COLUMN()-6)/6)</f>
        <v>8.1000000000000006E-4</v>
      </c>
      <c r="CM24" s="3449">
        <f ca="1">OFFSET(Sector1!$G$257,0,(COLUMN()-7)/6)</f>
        <v>0.24734999999999999</v>
      </c>
      <c r="CN24" s="3459">
        <f ca="1">+CN25+CN26</f>
        <v>3.5213300000000003</v>
      </c>
      <c r="CO24" s="3449">
        <f ca="1">OFFSET(Sector1!$G$258,0,(COLUMN()-9)/6)</f>
        <v>1.0999999999999999E-2</v>
      </c>
      <c r="CP24" s="604"/>
      <c r="CQ24" s="3458">
        <f ca="1">+CR24+CS24+CT24</f>
        <v>3.6130800000000001</v>
      </c>
      <c r="CR24" s="3449">
        <f ca="1">OFFSET(Sector1!$G$256,0,(COLUMN()-6)/6)</f>
        <v>7.7999999999999999E-4</v>
      </c>
      <c r="CS24" s="3449">
        <f ca="1">OFFSET(Sector1!$G$257,0,(COLUMN()-7)/6)</f>
        <v>0.21381999999999998</v>
      </c>
      <c r="CT24" s="3459">
        <f ca="1">+CT25+CT26</f>
        <v>3.3984800000000002</v>
      </c>
      <c r="CU24" s="3449">
        <f ca="1">OFFSET(Sector1!$G$258,0,(COLUMN()-9)/6)</f>
        <v>3.2000000000000001E-2</v>
      </c>
      <c r="CV24" s="604"/>
      <c r="CW24" s="3458">
        <f ca="1">+CX24+CY24+CZ24</f>
        <v>3.8348399999999998</v>
      </c>
      <c r="CX24" s="3449">
        <f ca="1">OFFSET(Sector1!$G$256,0,(COLUMN()-6)/6)</f>
        <v>8.7000000000000011E-4</v>
      </c>
      <c r="CY24" s="3449">
        <f ca="1">OFFSET(Sector1!$G$257,0,(COLUMN()-7)/6)</f>
        <v>0.25058000000000002</v>
      </c>
      <c r="CZ24" s="3459">
        <f ca="1">+CZ25+CZ26</f>
        <v>3.5833899999999996</v>
      </c>
      <c r="DA24" s="3449">
        <f ca="1">OFFSET(Sector1!$G$258,0,(COLUMN()-9)/6)</f>
        <v>2.5999999999999999E-2</v>
      </c>
      <c r="DB24" s="604"/>
      <c r="DC24" s="3458">
        <f ca="1">+DD24+DE24+DF24</f>
        <v>3.9377599999999999</v>
      </c>
      <c r="DD24" s="3449">
        <f ca="1">OFFSET(Sector1!$G$256,0,(COLUMN()-6)/6)</f>
        <v>8.5000000000000006E-4</v>
      </c>
      <c r="DE24" s="3449">
        <f ca="1">OFFSET(Sector1!$G$257,0,(COLUMN()-7)/6)</f>
        <v>0.21143000000000001</v>
      </c>
      <c r="DF24" s="3459">
        <f ca="1">+DF25+DF26</f>
        <v>3.7254800000000001</v>
      </c>
      <c r="DG24" s="3449">
        <f ca="1">OFFSET(Sector1!$G$258,0,(COLUMN()-9)/6)</f>
        <v>1E-3</v>
      </c>
      <c r="DH24" s="604"/>
      <c r="DI24" s="3458">
        <f ca="1">+DJ24+DK24+DL24</f>
        <v>4.1839399999999998</v>
      </c>
      <c r="DJ24" s="3449">
        <f ca="1">OFFSET(Sector1!$G$256,0,(COLUMN()-6)/6)</f>
        <v>8.8000000000000014E-4</v>
      </c>
      <c r="DK24" s="3449">
        <f ca="1">OFFSET(Sector1!$G$257,0,(COLUMN()-7)/6)</f>
        <v>0.29031000000000001</v>
      </c>
      <c r="DL24" s="3459">
        <f ca="1">+DL25+DL26</f>
        <v>3.8927499999999999</v>
      </c>
      <c r="DM24" s="3449">
        <f ca="1">OFFSET(Sector1!$G$258,0,(COLUMN()-9)/6)</f>
        <v>3.0000000000000001E-3</v>
      </c>
      <c r="DN24" s="604"/>
      <c r="DO24" s="3458">
        <f ca="1">+DP24+DQ24+DR24</f>
        <v>4.4536499999999997</v>
      </c>
      <c r="DP24" s="3449">
        <f ca="1">OFFSET(Sector1!$G$256,0,(COLUMN()-6)/6)</f>
        <v>1E-3</v>
      </c>
      <c r="DQ24" s="3449">
        <f ca="1">OFFSET(Sector1!$G$257,0,(COLUMN()-7)/6)</f>
        <v>0.27892</v>
      </c>
      <c r="DR24" s="3459">
        <f ca="1">+DR25+DR26</f>
        <v>4.1737299999999999</v>
      </c>
      <c r="DS24" s="3449">
        <f ca="1">OFFSET(Sector1!$G$258,0,(COLUMN()-9)/6)</f>
        <v>-3.0000000000000001E-3</v>
      </c>
      <c r="DT24" s="604"/>
      <c r="DU24" s="3458">
        <f ca="1">+DV24+DW24+DX24</f>
        <v>4.7593400000000008</v>
      </c>
      <c r="DV24" s="3449">
        <f ca="1">OFFSET(Sector1!$G$256,0,(COLUMN()-6)/6)</f>
        <v>8.9999999999999998E-4</v>
      </c>
      <c r="DW24" s="3449">
        <f ca="1">OFFSET(Sector1!$G$257,0,(COLUMN()-7)/6)</f>
        <v>0.30210000000000004</v>
      </c>
      <c r="DX24" s="3459">
        <f ca="1">+DX25+DX26</f>
        <v>4.4563400000000009</v>
      </c>
      <c r="DY24" s="3449">
        <f ca="1">OFFSET(Sector1!$G$258,0,(COLUMN()-9)/6)</f>
        <v>1E-3</v>
      </c>
      <c r="DZ24" s="604"/>
      <c r="EA24" s="3458">
        <f ca="1">+EB24+EC24+ED24</f>
        <v>5.1638599999999997</v>
      </c>
      <c r="EB24" s="3449">
        <f ca="1">OFFSET(Sector1!$G$256,0,(COLUMN()-6)/6)</f>
        <v>9.4000000000000008E-4</v>
      </c>
      <c r="EC24" s="3449">
        <f ca="1">OFFSET(Sector1!$G$257,0,(COLUMN()-7)/6)</f>
        <v>0.31881999999999999</v>
      </c>
      <c r="ED24" s="3459">
        <f ca="1">+ED25+ED26</f>
        <v>4.8441000000000001</v>
      </c>
      <c r="EE24" s="3449">
        <f ca="1">OFFSET(Sector1!$G$258,0,(COLUMN()-9)/6)</f>
        <v>-5.0000000000000001E-3</v>
      </c>
      <c r="EF24" s="604"/>
      <c r="EG24" s="3458">
        <f ca="1">+EH24+EI24+EJ24</f>
        <v>5.7831323307806333</v>
      </c>
      <c r="EH24" s="3449">
        <f ca="1">OFFSET(Sector1!$G$256,0,(COLUMN()-6)/6)</f>
        <v>9.7760000000000013E-4</v>
      </c>
      <c r="EI24" s="3449">
        <f ca="1">OFFSET(Sector1!$G$257,0,(COLUMN()-7)/6)</f>
        <v>0.33794920000000001</v>
      </c>
      <c r="EJ24" s="3459">
        <f ca="1">+EJ25+EJ26</f>
        <v>5.444205530780633</v>
      </c>
      <c r="EK24" s="3449">
        <f ca="1">OFFSET(Sector1!$G$258,0,(COLUMN()-9)/6)</f>
        <v>-5.0000000000000001E-3</v>
      </c>
      <c r="EL24" s="604"/>
      <c r="EM24" s="3458">
        <f ca="1">+EN24+EO24+EP24</f>
        <v>6.1682101573429344</v>
      </c>
      <c r="EN24" s="3449">
        <f ca="1">OFFSET(Sector1!$G$256,0,(COLUMN()-6)/6)</f>
        <v>1.0167040000000002E-3</v>
      </c>
      <c r="EO24" s="3449">
        <f ca="1">OFFSET(Sector1!$G$257,0,(COLUMN()-7)/6)</f>
        <v>0.35822615200000002</v>
      </c>
      <c r="EP24" s="3459">
        <f ca="1">+EP25+EP26</f>
        <v>5.8089673013429346</v>
      </c>
      <c r="EQ24" s="3449">
        <f ca="1">OFFSET(Sector1!$G$258,0,(COLUMN()-9)/6)</f>
        <v>-5.0000000000000001E-3</v>
      </c>
      <c r="ER24" s="604"/>
      <c r="ES24" s="3458">
        <f ca="1">+ET24+EU24+EV24</f>
        <v>6.5227736483684184</v>
      </c>
      <c r="ET24" s="3449">
        <f ca="1">OFFSET(Sector1!$G$256,0,(COLUMN()-6)/6)</f>
        <v>1.0573721600000002E-3</v>
      </c>
      <c r="EU24" s="3449">
        <f ca="1">OFFSET(Sector1!$G$257,0,(COLUMN()-7)/6)</f>
        <v>0.37971972112000002</v>
      </c>
      <c r="EV24" s="3459">
        <f ca="1">+EV25+EV26</f>
        <v>6.1419965550884186</v>
      </c>
      <c r="EW24" s="3449">
        <f ca="1">OFFSET(Sector1!$G$258,0,(COLUMN()-9)/6)</f>
        <v>-5.0000000000000001E-3</v>
      </c>
      <c r="EX24" s="604"/>
    </row>
    <row r="25" spans="1:154" s="568" customFormat="1" ht="11.25">
      <c r="A25" s="563"/>
      <c r="B25" s="564"/>
      <c r="C25" s="565"/>
      <c r="D25" s="566" t="s">
        <v>1461</v>
      </c>
      <c r="E25" s="567"/>
      <c r="F25" s="575"/>
      <c r="G25" s="576"/>
      <c r="H25" s="577">
        <f ca="1">OFFSET(Sector1!$G$253,0,(COLUMN()-8)/6)</f>
        <v>0.55920000000000003</v>
      </c>
      <c r="I25" s="578"/>
      <c r="J25" s="579"/>
      <c r="K25" s="567"/>
      <c r="L25" s="575"/>
      <c r="M25" s="576"/>
      <c r="N25" s="577">
        <f ca="1">OFFSET(Sector1!$G$253,0,(COLUMN()-8)/6)</f>
        <v>0.74658000000000002</v>
      </c>
      <c r="O25" s="578"/>
      <c r="P25" s="579"/>
      <c r="Q25" s="567"/>
      <c r="R25" s="575"/>
      <c r="S25" s="576"/>
      <c r="T25" s="577">
        <f ca="1">OFFSET(Sector1!$G$253,0,(COLUMN()-8)/6)</f>
        <v>1.05233</v>
      </c>
      <c r="U25" s="578"/>
      <c r="V25" s="579"/>
      <c r="W25" s="567"/>
      <c r="X25" s="575"/>
      <c r="Y25" s="576"/>
      <c r="Z25" s="577">
        <f ca="1">OFFSET(Sector1!$G$253,0,(COLUMN()-8)/6)</f>
        <v>1.30036</v>
      </c>
      <c r="AA25" s="578"/>
      <c r="AB25" s="579"/>
      <c r="AC25" s="567"/>
      <c r="AD25" s="575"/>
      <c r="AE25" s="576"/>
      <c r="AF25" s="577">
        <f ca="1">OFFSET(Sector1!$G$253,0,(COLUMN()-8)/6)</f>
        <v>1.28443</v>
      </c>
      <c r="AG25" s="578"/>
      <c r="AH25" s="579"/>
      <c r="AI25" s="567"/>
      <c r="AJ25" s="575"/>
      <c r="AK25" s="576"/>
      <c r="AL25" s="577">
        <f ca="1">OFFSET(Sector1!$G$253,0,(COLUMN()-8)/6)</f>
        <v>1.3622799999999999</v>
      </c>
      <c r="AM25" s="578"/>
      <c r="AN25" s="579"/>
      <c r="AO25" s="567"/>
      <c r="AP25" s="575"/>
      <c r="AQ25" s="576"/>
      <c r="AR25" s="577">
        <f ca="1">OFFSET(Sector1!$G$253,0,(COLUMN()-8)/6)</f>
        <v>1.37643</v>
      </c>
      <c r="AS25" s="578"/>
      <c r="AT25" s="579"/>
      <c r="AU25" s="567"/>
      <c r="AV25" s="575"/>
      <c r="AW25" s="576"/>
      <c r="AX25" s="577">
        <f ca="1">OFFSET(Sector1!$G$253,0,(COLUMN()-8)/6)</f>
        <v>1.4224300000000001</v>
      </c>
      <c r="AY25" s="578"/>
      <c r="AZ25" s="579"/>
      <c r="BA25" s="567"/>
      <c r="BB25" s="575"/>
      <c r="BC25" s="576"/>
      <c r="BD25" s="577">
        <f ca="1">OFFSET(Sector1!$G$253,0,(COLUMN()-8)/6)</f>
        <v>1.53271</v>
      </c>
      <c r="BE25" s="578"/>
      <c r="BF25" s="579"/>
      <c r="BG25" s="567"/>
      <c r="BH25" s="575"/>
      <c r="BI25" s="576"/>
      <c r="BJ25" s="577">
        <f ca="1">OFFSET(Sector1!$G$253,0,(COLUMN()-8)/6)</f>
        <v>1.66425</v>
      </c>
      <c r="BK25" s="578"/>
      <c r="BL25" s="579"/>
      <c r="BM25" s="567"/>
      <c r="BN25" s="575"/>
      <c r="BO25" s="576"/>
      <c r="BP25" s="577">
        <f ca="1">OFFSET(Sector1!$G$253,0,(COLUMN()-8)/6)</f>
        <v>1.8654900000000001</v>
      </c>
      <c r="BQ25" s="578"/>
      <c r="BR25" s="579"/>
      <c r="BS25" s="567"/>
      <c r="BT25" s="575"/>
      <c r="BU25" s="576"/>
      <c r="BV25" s="577">
        <f ca="1">OFFSET(Sector1!$G$253,0,(COLUMN()-8)/6)</f>
        <v>2.1977500000000001</v>
      </c>
      <c r="BW25" s="578"/>
      <c r="BX25" s="579"/>
      <c r="BY25" s="567"/>
      <c r="BZ25" s="575"/>
      <c r="CA25" s="576"/>
      <c r="CB25" s="577">
        <f ca="1">OFFSET(Sector1!$G$253,0,(COLUMN()-8)/6)</f>
        <v>2.64581</v>
      </c>
      <c r="CC25" s="578"/>
      <c r="CD25" s="579"/>
      <c r="CE25" s="567"/>
      <c r="CF25" s="575"/>
      <c r="CG25" s="576"/>
      <c r="CH25" s="577">
        <f ca="1">OFFSET(Sector1!$G$253,0,(COLUMN()-8)/6)</f>
        <v>3.1147900000000002</v>
      </c>
      <c r="CI25" s="578"/>
      <c r="CJ25" s="579"/>
      <c r="CK25" s="567"/>
      <c r="CL25" s="575"/>
      <c r="CM25" s="576"/>
      <c r="CN25" s="577">
        <f ca="1">OFFSET(Sector1!$G$253,0,(COLUMN()-8)/6)</f>
        <v>3.4030100000000001</v>
      </c>
      <c r="CO25" s="578"/>
      <c r="CP25" s="579"/>
      <c r="CQ25" s="567"/>
      <c r="CR25" s="575"/>
      <c r="CS25" s="576"/>
      <c r="CT25" s="577">
        <f ca="1">OFFSET(Sector1!$G$253,0,(COLUMN()-8)/6)</f>
        <v>3.29555</v>
      </c>
      <c r="CU25" s="578"/>
      <c r="CV25" s="579"/>
      <c r="CW25" s="567"/>
      <c r="CX25" s="575"/>
      <c r="CY25" s="576"/>
      <c r="CZ25" s="577">
        <f ca="1">OFFSET(Sector1!$G$253,0,(COLUMN()-8)/6)</f>
        <v>3.4756199999999997</v>
      </c>
      <c r="DA25" s="578"/>
      <c r="DB25" s="579"/>
      <c r="DC25" s="567"/>
      <c r="DD25" s="575"/>
      <c r="DE25" s="576"/>
      <c r="DF25" s="577">
        <f ca="1">OFFSET(Sector1!$G$253,0,(COLUMN()-8)/6)</f>
        <v>3.6120100000000002</v>
      </c>
      <c r="DG25" s="578"/>
      <c r="DH25" s="579"/>
      <c r="DI25" s="567"/>
      <c r="DJ25" s="575"/>
      <c r="DK25" s="576"/>
      <c r="DL25" s="577">
        <f ca="1">OFFSET(Sector1!$G$253,0,(COLUMN()-8)/6)</f>
        <v>3.7942399999999998</v>
      </c>
      <c r="DM25" s="578"/>
      <c r="DN25" s="579"/>
      <c r="DO25" s="567"/>
      <c r="DP25" s="575"/>
      <c r="DQ25" s="576"/>
      <c r="DR25" s="577">
        <f ca="1">OFFSET(Sector1!$G$253,0,(COLUMN()-8)/6)</f>
        <v>4.0646199999999997</v>
      </c>
      <c r="DS25" s="578"/>
      <c r="DT25" s="579"/>
      <c r="DU25" s="567"/>
      <c r="DV25" s="575"/>
      <c r="DW25" s="576"/>
      <c r="DX25" s="577">
        <f ca="1">OFFSET(Sector1!$G$253,0,(COLUMN()-8)/6)</f>
        <v>4.3401000000000005</v>
      </c>
      <c r="DY25" s="578"/>
      <c r="DZ25" s="579"/>
      <c r="EA25" s="567"/>
      <c r="EB25" s="575"/>
      <c r="EC25" s="576"/>
      <c r="ED25" s="577">
        <f ca="1">OFFSET(Sector1!$G$253,0,(COLUMN()-8)/6)</f>
        <v>4.7157900000000001</v>
      </c>
      <c r="EE25" s="578"/>
      <c r="EF25" s="579"/>
      <c r="EG25" s="567"/>
      <c r="EH25" s="575"/>
      <c r="EI25" s="576"/>
      <c r="EJ25" s="577">
        <f ca="1">OFFSET(Sector1!$G$253,0,(COLUMN()-8)/6)</f>
        <v>5.3</v>
      </c>
      <c r="EK25" s="578"/>
      <c r="EL25" s="579"/>
      <c r="EM25" s="567"/>
      <c r="EN25" s="575"/>
      <c r="EO25" s="576"/>
      <c r="EP25" s="577">
        <f ca="1">OFFSET(Sector1!$G$253,0,(COLUMN()-8)/6)</f>
        <v>5.6550999999999991</v>
      </c>
      <c r="EQ25" s="578"/>
      <c r="ER25" s="579"/>
      <c r="ES25" s="567"/>
      <c r="ET25" s="575"/>
      <c r="EU25" s="576"/>
      <c r="EV25" s="577">
        <f ca="1">OFFSET(Sector1!$G$253,0,(COLUMN()-8)/6)</f>
        <v>5.9793080106769914</v>
      </c>
      <c r="EW25" s="578"/>
      <c r="EX25" s="579"/>
    </row>
    <row r="26" spans="1:154" s="568" customFormat="1" ht="12" thickBot="1">
      <c r="A26" s="563"/>
      <c r="B26" s="564"/>
      <c r="C26" s="565"/>
      <c r="D26" s="566" t="s">
        <v>1334</v>
      </c>
      <c r="E26" s="567"/>
      <c r="F26" s="575"/>
      <c r="G26" s="576"/>
      <c r="H26" s="580">
        <f ca="1">OFFSET(Sector1!$G$254,0,(COLUMN()-8)/6)</f>
        <v>1.24E-3</v>
      </c>
      <c r="I26" s="578"/>
      <c r="J26" s="579"/>
      <c r="K26" s="567"/>
      <c r="L26" s="575"/>
      <c r="M26" s="576"/>
      <c r="N26" s="580">
        <f ca="1">OFFSET(Sector1!$G$254,0,(COLUMN()-8)/6)</f>
        <v>1.6899999999999999E-3</v>
      </c>
      <c r="O26" s="578"/>
      <c r="P26" s="579"/>
      <c r="Q26" s="567"/>
      <c r="R26" s="575"/>
      <c r="S26" s="576"/>
      <c r="T26" s="580">
        <f ca="1">OFFSET(Sector1!$G$254,0,(COLUMN()-8)/6)</f>
        <v>2.1299999999999999E-3</v>
      </c>
      <c r="U26" s="578"/>
      <c r="V26" s="579"/>
      <c r="W26" s="567"/>
      <c r="X26" s="575"/>
      <c r="Y26" s="576"/>
      <c r="Z26" s="580">
        <f ca="1">OFFSET(Sector1!$G$254,0,(COLUMN()-8)/6)</f>
        <v>2.7000000000000001E-3</v>
      </c>
      <c r="AA26" s="578"/>
      <c r="AB26" s="579"/>
      <c r="AC26" s="567"/>
      <c r="AD26" s="575"/>
      <c r="AE26" s="576"/>
      <c r="AF26" s="580">
        <f ca="1">OFFSET(Sector1!$G$254,0,(COLUMN()-8)/6)</f>
        <v>2.8E-3</v>
      </c>
      <c r="AG26" s="578"/>
      <c r="AH26" s="579"/>
      <c r="AI26" s="567"/>
      <c r="AJ26" s="575"/>
      <c r="AK26" s="576"/>
      <c r="AL26" s="580">
        <f ca="1">OFFSET(Sector1!$G$254,0,(COLUMN()-8)/6)</f>
        <v>2.6100000000000003E-3</v>
      </c>
      <c r="AM26" s="578"/>
      <c r="AN26" s="579"/>
      <c r="AO26" s="567"/>
      <c r="AP26" s="575"/>
      <c r="AQ26" s="576"/>
      <c r="AR26" s="580">
        <f ca="1">OFFSET(Sector1!$G$254,0,(COLUMN()-8)/6)</f>
        <v>2.6800000000000001E-3</v>
      </c>
      <c r="AS26" s="578"/>
      <c r="AT26" s="579"/>
      <c r="AU26" s="567"/>
      <c r="AV26" s="575"/>
      <c r="AW26" s="576"/>
      <c r="AX26" s="580">
        <f ca="1">OFFSET(Sector1!$G$254,0,(COLUMN()-8)/6)</f>
        <v>2.7800000000000004E-3</v>
      </c>
      <c r="AY26" s="578"/>
      <c r="AZ26" s="579"/>
      <c r="BA26" s="567"/>
      <c r="BB26" s="575"/>
      <c r="BC26" s="576"/>
      <c r="BD26" s="580">
        <f ca="1">OFFSET(Sector1!$G$254,0,(COLUMN()-8)/6)</f>
        <v>2.8900000000000002E-3</v>
      </c>
      <c r="BE26" s="578"/>
      <c r="BF26" s="579"/>
      <c r="BG26" s="567"/>
      <c r="BH26" s="575"/>
      <c r="BI26" s="576"/>
      <c r="BJ26" s="580">
        <f ca="1">OFFSET(Sector1!$G$254,0,(COLUMN()-8)/6)</f>
        <v>5.2049999999999999E-2</v>
      </c>
      <c r="BK26" s="578"/>
      <c r="BL26" s="579"/>
      <c r="BM26" s="567"/>
      <c r="BN26" s="575"/>
      <c r="BO26" s="576"/>
      <c r="BP26" s="580">
        <f ca="1">OFFSET(Sector1!$G$254,0,(COLUMN()-8)/6)</f>
        <v>6.0579999999999995E-2</v>
      </c>
      <c r="BQ26" s="578"/>
      <c r="BR26" s="579"/>
      <c r="BS26" s="567"/>
      <c r="BT26" s="575"/>
      <c r="BU26" s="576"/>
      <c r="BV26" s="580">
        <f ca="1">OFFSET(Sector1!$G$254,0,(COLUMN()-8)/6)</f>
        <v>7.2120000000000004E-2</v>
      </c>
      <c r="BW26" s="578"/>
      <c r="BX26" s="579"/>
      <c r="BY26" s="567"/>
      <c r="BZ26" s="575"/>
      <c r="CA26" s="576"/>
      <c r="CB26" s="580">
        <f ca="1">OFFSET(Sector1!$G$254,0,(COLUMN()-8)/6)</f>
        <v>9.0969999999999995E-2</v>
      </c>
      <c r="CC26" s="578"/>
      <c r="CD26" s="579"/>
      <c r="CE26" s="567"/>
      <c r="CF26" s="575"/>
      <c r="CG26" s="576"/>
      <c r="CH26" s="580">
        <f ca="1">OFFSET(Sector1!$G$254,0,(COLUMN()-8)/6)</f>
        <v>0.11168</v>
      </c>
      <c r="CI26" s="578"/>
      <c r="CJ26" s="579"/>
      <c r="CK26" s="567"/>
      <c r="CL26" s="575"/>
      <c r="CM26" s="576"/>
      <c r="CN26" s="580">
        <f ca="1">OFFSET(Sector1!$G$254,0,(COLUMN()-8)/6)</f>
        <v>0.11831999999999999</v>
      </c>
      <c r="CO26" s="578"/>
      <c r="CP26" s="579"/>
      <c r="CQ26" s="567"/>
      <c r="CR26" s="575"/>
      <c r="CS26" s="576"/>
      <c r="CT26" s="580">
        <f ca="1">OFFSET(Sector1!$G$254,0,(COLUMN()-8)/6)</f>
        <v>0.10293000000000001</v>
      </c>
      <c r="CU26" s="578"/>
      <c r="CV26" s="579"/>
      <c r="CW26" s="567"/>
      <c r="CX26" s="575"/>
      <c r="CY26" s="576"/>
      <c r="CZ26" s="580">
        <f ca="1">OFFSET(Sector1!$G$254,0,(COLUMN()-8)/6)</f>
        <v>0.10776999999999999</v>
      </c>
      <c r="DA26" s="578"/>
      <c r="DB26" s="579"/>
      <c r="DC26" s="567"/>
      <c r="DD26" s="575"/>
      <c r="DE26" s="576"/>
      <c r="DF26" s="580">
        <f ca="1">OFFSET(Sector1!$G$254,0,(COLUMN()-8)/6)</f>
        <v>0.11347</v>
      </c>
      <c r="DG26" s="578"/>
      <c r="DH26" s="579"/>
      <c r="DI26" s="567"/>
      <c r="DJ26" s="575"/>
      <c r="DK26" s="576"/>
      <c r="DL26" s="580">
        <f ca="1">OFFSET(Sector1!$G$254,0,(COLUMN()-8)/6)</f>
        <v>9.851E-2</v>
      </c>
      <c r="DM26" s="578"/>
      <c r="DN26" s="579"/>
      <c r="DO26" s="567"/>
      <c r="DP26" s="575"/>
      <c r="DQ26" s="576"/>
      <c r="DR26" s="580">
        <f ca="1">OFFSET(Sector1!$G$254,0,(COLUMN()-8)/6)</f>
        <v>0.10911</v>
      </c>
      <c r="DS26" s="578"/>
      <c r="DT26" s="579"/>
      <c r="DU26" s="567"/>
      <c r="DV26" s="575"/>
      <c r="DW26" s="576"/>
      <c r="DX26" s="580">
        <f ca="1">OFFSET(Sector1!$G$254,0,(COLUMN()-8)/6)</f>
        <v>0.11624</v>
      </c>
      <c r="DY26" s="578"/>
      <c r="DZ26" s="579"/>
      <c r="EA26" s="567"/>
      <c r="EB26" s="575"/>
      <c r="EC26" s="576"/>
      <c r="ED26" s="580">
        <f ca="1">OFFSET(Sector1!$G$254,0,(COLUMN()-8)/6)</f>
        <v>0.12831000000000001</v>
      </c>
      <c r="EE26" s="578"/>
      <c r="EF26" s="579"/>
      <c r="EG26" s="567"/>
      <c r="EH26" s="575"/>
      <c r="EI26" s="576"/>
      <c r="EJ26" s="580">
        <f ca="1">OFFSET(Sector1!$G$254,0,(COLUMN()-8)/6)</f>
        <v>0.14420553078063272</v>
      </c>
      <c r="EK26" s="578"/>
      <c r="EL26" s="579"/>
      <c r="EM26" s="567"/>
      <c r="EN26" s="575"/>
      <c r="EO26" s="576"/>
      <c r="EP26" s="580">
        <f ca="1">OFFSET(Sector1!$G$254,0,(COLUMN()-8)/6)</f>
        <v>0.15386730134293511</v>
      </c>
      <c r="EQ26" s="578"/>
      <c r="ER26" s="579"/>
      <c r="ES26" s="567"/>
      <c r="ET26" s="575"/>
      <c r="EU26" s="576"/>
      <c r="EV26" s="580">
        <f ca="1">OFFSET(Sector1!$G$254,0,(COLUMN()-8)/6)</f>
        <v>0.16268854441142733</v>
      </c>
      <c r="EW26" s="578"/>
      <c r="EX26" s="579"/>
    </row>
    <row r="27" spans="1:154" ht="12.75" customHeight="1">
      <c r="A27" s="553"/>
      <c r="B27" s="600" t="s">
        <v>1767</v>
      </c>
      <c r="C27" s="3781" t="s">
        <v>1335</v>
      </c>
      <c r="D27" s="3782"/>
      <c r="E27" s="3458">
        <f ca="1">+F27+G27+H27+I27</f>
        <v>0.63928999999999991</v>
      </c>
      <c r="F27" s="3449">
        <f ca="1">OFFSET(Sector1!$G$302,0,(COLUMN()-6)/6)</f>
        <v>0.63928999999999991</v>
      </c>
      <c r="G27" s="3448"/>
      <c r="H27" s="3448"/>
      <c r="I27" s="3449"/>
      <c r="J27" s="604"/>
      <c r="K27" s="3458">
        <f t="shared" ref="K27:K34" ca="1" si="0">+L27+M27+N27</f>
        <v>0.83790999999999993</v>
      </c>
      <c r="L27" s="3449">
        <f ca="1">OFFSET(Sector1!$G$302,0,(COLUMN()-6)/6)</f>
        <v>0.83790999999999993</v>
      </c>
      <c r="M27" s="3448"/>
      <c r="N27" s="3448"/>
      <c r="O27" s="3449"/>
      <c r="P27" s="604"/>
      <c r="Q27" s="3458">
        <f t="shared" ref="Q27:Q34" ca="1" si="1">+R27+S27+T27</f>
        <v>1.13683</v>
      </c>
      <c r="R27" s="3449">
        <f ca="1">OFFSET(Sector1!$G$302,0,(COLUMN()-6)/6)</f>
        <v>1.13683</v>
      </c>
      <c r="S27" s="3448"/>
      <c r="T27" s="3448"/>
      <c r="U27" s="3449"/>
      <c r="V27" s="604"/>
      <c r="W27" s="3458">
        <f t="shared" ref="W27:W34" ca="1" si="2">+X27+Y27+Z27</f>
        <v>1.4190799999999999</v>
      </c>
      <c r="X27" s="3449">
        <f ca="1">OFFSET(Sector1!$G$302,0,(COLUMN()-6)/6)</f>
        <v>1.4190799999999999</v>
      </c>
      <c r="Y27" s="3448"/>
      <c r="Z27" s="3448"/>
      <c r="AA27" s="3449"/>
      <c r="AB27" s="604"/>
      <c r="AC27" s="3458">
        <f t="shared" ref="AC27:AC34" ca="1" si="3">+AD27+AE27+AF27</f>
        <v>1.5840999999999998</v>
      </c>
      <c r="AD27" s="3449">
        <f ca="1">OFFSET(Sector1!$G$302,0,(COLUMN()-6)/6)</f>
        <v>1.5840999999999998</v>
      </c>
      <c r="AE27" s="3448"/>
      <c r="AF27" s="3448"/>
      <c r="AG27" s="3449"/>
      <c r="AH27" s="604"/>
      <c r="AI27" s="3458">
        <f t="shared" ref="AI27:AI34" ca="1" si="4">+AJ27+AK27+AL27</f>
        <v>1.5676600000000001</v>
      </c>
      <c r="AJ27" s="3449">
        <f ca="1">OFFSET(Sector1!$G$302,0,(COLUMN()-6)/6)</f>
        <v>1.5676600000000001</v>
      </c>
      <c r="AK27" s="3448"/>
      <c r="AL27" s="3448"/>
      <c r="AM27" s="3449"/>
      <c r="AN27" s="604"/>
      <c r="AO27" s="3458">
        <f t="shared" ref="AO27:AO34" ca="1" si="5">+AP27+AQ27+AR27</f>
        <v>1.63063</v>
      </c>
      <c r="AP27" s="3449">
        <f ca="1">OFFSET(Sector1!$G$302,0,(COLUMN()-6)/6)</f>
        <v>1.63063</v>
      </c>
      <c r="AQ27" s="3448"/>
      <c r="AR27" s="3448"/>
      <c r="AS27" s="3449"/>
      <c r="AT27" s="604"/>
      <c r="AU27" s="3458">
        <f t="shared" ref="AU27:AU34" ca="1" si="6">+AV27+AW27+AX27</f>
        <v>1.54847</v>
      </c>
      <c r="AV27" s="3449">
        <f ca="1">OFFSET(Sector1!$G$302,0,(COLUMN()-6)/6)</f>
        <v>1.54847</v>
      </c>
      <c r="AW27" s="3448"/>
      <c r="AX27" s="3448"/>
      <c r="AY27" s="3449"/>
      <c r="AZ27" s="604"/>
      <c r="BA27" s="3458">
        <f t="shared" ref="BA27:BA34" ca="1" si="7">+BB27+BC27+BD27</f>
        <v>1.6601600000000001</v>
      </c>
      <c r="BB27" s="3449">
        <f ca="1">OFFSET(Sector1!$G$302,0,(COLUMN()-6)/6)</f>
        <v>1.6601600000000001</v>
      </c>
      <c r="BC27" s="3448"/>
      <c r="BD27" s="3448"/>
      <c r="BE27" s="3449"/>
      <c r="BF27" s="604"/>
      <c r="BG27" s="3458">
        <f t="shared" ref="BG27:BG34" ca="1" si="8">+BH27+BI27+BJ27</f>
        <v>1.81019</v>
      </c>
      <c r="BH27" s="3449">
        <f ca="1">OFFSET(Sector1!$G$302,0,(COLUMN()-6)/6)</f>
        <v>1.81019</v>
      </c>
      <c r="BI27" s="3448"/>
      <c r="BJ27" s="3448"/>
      <c r="BK27" s="3449"/>
      <c r="BL27" s="604"/>
      <c r="BM27" s="3458">
        <f t="shared" ref="BM27:BM34" ca="1" si="9">+BN27+BO27+BP27</f>
        <v>2.0784899999999999</v>
      </c>
      <c r="BN27" s="3449">
        <f ca="1">OFFSET(Sector1!$G$302,0,(COLUMN()-6)/6)</f>
        <v>2.0784899999999999</v>
      </c>
      <c r="BO27" s="3448"/>
      <c r="BP27" s="3448"/>
      <c r="BQ27" s="3449"/>
      <c r="BR27" s="604"/>
      <c r="BS27" s="3458">
        <f t="shared" ref="BS27:BS34" ca="1" si="10">+BT27+BU27+BV27</f>
        <v>2.3494000000000002</v>
      </c>
      <c r="BT27" s="3449">
        <f ca="1">OFFSET(Sector1!$G$302,0,(COLUMN()-6)/6)</f>
        <v>2.3494000000000002</v>
      </c>
      <c r="BU27" s="3448"/>
      <c r="BV27" s="3448"/>
      <c r="BW27" s="3449"/>
      <c r="BX27" s="604"/>
      <c r="BY27" s="3458">
        <f t="shared" ref="BY27:BY34" ca="1" si="11">+BZ27+CA27+CB27</f>
        <v>2.9751099999999999</v>
      </c>
      <c r="BZ27" s="3449">
        <f ca="1">OFFSET(Sector1!$G$302,0,(COLUMN()-6)/6)</f>
        <v>2.9751099999999999</v>
      </c>
      <c r="CA27" s="3448"/>
      <c r="CB27" s="3448"/>
      <c r="CC27" s="3449"/>
      <c r="CD27" s="604"/>
      <c r="CE27" s="3458">
        <f t="shared" ref="CE27:CE34" ca="1" si="12">+CF27+CG27+CH27</f>
        <v>3.9594299999999998</v>
      </c>
      <c r="CF27" s="3449">
        <f ca="1">OFFSET(Sector1!$G$302,0,(COLUMN()-6)/6)</f>
        <v>3.9594299999999998</v>
      </c>
      <c r="CG27" s="3448"/>
      <c r="CH27" s="3448"/>
      <c r="CI27" s="3449"/>
      <c r="CJ27" s="604"/>
      <c r="CK27" s="3458">
        <f ca="1">+CL27+CM27+CN27</f>
        <v>4.5076000000000001</v>
      </c>
      <c r="CL27" s="3449">
        <f ca="1">OFFSET(Sector1!$G$302,0,(COLUMN()-6)/6)</f>
        <v>4.5076000000000001</v>
      </c>
      <c r="CM27" s="3448"/>
      <c r="CN27" s="3448"/>
      <c r="CO27" s="3449"/>
      <c r="CP27" s="604"/>
      <c r="CQ27" s="3458">
        <f ca="1">+CR27+CS27+CT27</f>
        <v>4.1591899999999997</v>
      </c>
      <c r="CR27" s="3449">
        <f ca="1">OFFSET(Sector1!$G$302,0,(COLUMN()-6)/6)</f>
        <v>4.1591899999999997</v>
      </c>
      <c r="CS27" s="3448"/>
      <c r="CT27" s="3448"/>
      <c r="CU27" s="3449"/>
      <c r="CV27" s="604"/>
      <c r="CW27" s="3458">
        <f ca="1">+CX27+CY27+CZ27</f>
        <v>4.0821500000000004</v>
      </c>
      <c r="CX27" s="3449">
        <f ca="1">OFFSET(Sector1!$G$302,0,(COLUMN()-6)/6)</f>
        <v>4.0821500000000004</v>
      </c>
      <c r="CY27" s="3448"/>
      <c r="CZ27" s="3448"/>
      <c r="DA27" s="3449"/>
      <c r="DB27" s="604"/>
      <c r="DC27" s="3458">
        <f ca="1">+DD27+DE27+DF27</f>
        <v>4.1427500000000004</v>
      </c>
      <c r="DD27" s="3449">
        <f ca="1">OFFSET(Sector1!$G$302,0,(COLUMN()-6)/6)</f>
        <v>4.1427500000000004</v>
      </c>
      <c r="DE27" s="3448"/>
      <c r="DF27" s="3448"/>
      <c r="DG27" s="3449"/>
      <c r="DH27" s="604"/>
      <c r="DI27" s="3458">
        <f ca="1">+DJ27+DK27+DL27</f>
        <v>4.1100900000000005</v>
      </c>
      <c r="DJ27" s="3449">
        <f ca="1">OFFSET(Sector1!$G$302,0,(COLUMN()-6)/6)</f>
        <v>4.1100900000000005</v>
      </c>
      <c r="DK27" s="3448"/>
      <c r="DL27" s="3448"/>
      <c r="DM27" s="3449"/>
      <c r="DN27" s="604"/>
      <c r="DO27" s="3458">
        <f ca="1">+DP27+DQ27+DR27</f>
        <v>4.13232</v>
      </c>
      <c r="DP27" s="3449">
        <f ca="1">OFFSET(Sector1!$G$302,0,(COLUMN()-6)/6)</f>
        <v>4.13232</v>
      </c>
      <c r="DQ27" s="3448"/>
      <c r="DR27" s="3448"/>
      <c r="DS27" s="3449"/>
      <c r="DT27" s="604"/>
      <c r="DU27" s="3458">
        <f ca="1">+DV27+DW27+DX27</f>
        <v>4.2368500000000004</v>
      </c>
      <c r="DV27" s="3449">
        <f ca="1">OFFSET(Sector1!$G$302,0,(COLUMN()-6)/6)</f>
        <v>4.2368500000000004</v>
      </c>
      <c r="DW27" s="3448"/>
      <c r="DX27" s="3448"/>
      <c r="DY27" s="3449"/>
      <c r="DZ27" s="604"/>
      <c r="EA27" s="3458">
        <f ca="1">+EB27+EC27+ED27</f>
        <v>4.4561299999999999</v>
      </c>
      <c r="EB27" s="3449">
        <f ca="1">OFFSET(Sector1!$G$302,0,(COLUMN()-6)/6)</f>
        <v>4.4561299999999999</v>
      </c>
      <c r="EC27" s="3448"/>
      <c r="ED27" s="3448"/>
      <c r="EE27" s="3449"/>
      <c r="EF27" s="604"/>
      <c r="EG27" s="3458">
        <f ca="1">+EH27+EI27+EJ27</f>
        <v>4.9755800200000007</v>
      </c>
      <c r="EH27" s="3449">
        <f ca="1">OFFSET(Sector1!$G$302,0,(COLUMN()-6)/6)</f>
        <v>4.9755800200000007</v>
      </c>
      <c r="EI27" s="3448"/>
      <c r="EJ27" s="3448"/>
      <c r="EK27" s="3449"/>
      <c r="EL27" s="604"/>
      <c r="EM27" s="3458">
        <f ca="1">+EN27+EO27+EP27</f>
        <v>5.5570204009000017</v>
      </c>
      <c r="EN27" s="3449">
        <f ca="1">OFFSET(Sector1!$G$302,0,(COLUMN()-6)/6)</f>
        <v>5.5570204009000017</v>
      </c>
      <c r="EO27" s="3448"/>
      <c r="EP27" s="3448"/>
      <c r="EQ27" s="3449"/>
      <c r="ER27" s="604"/>
      <c r="ES27" s="3458">
        <f ca="1">+ET27+EU27+EV27</f>
        <v>5.8869286285827016</v>
      </c>
      <c r="ET27" s="3449">
        <f ca="1">OFFSET(Sector1!$G$302,0,(COLUMN()-6)/6)</f>
        <v>5.8869286285827016</v>
      </c>
      <c r="EU27" s="3448"/>
      <c r="EV27" s="3448"/>
      <c r="EW27" s="3449"/>
      <c r="EX27" s="604"/>
    </row>
    <row r="28" spans="1:154" ht="12.75" customHeight="1">
      <c r="A28" s="553"/>
      <c r="B28" s="600" t="s">
        <v>1767</v>
      </c>
      <c r="C28" s="3781" t="s">
        <v>1336</v>
      </c>
      <c r="D28" s="3782"/>
      <c r="E28" s="3458">
        <f ca="1">+F28+G28+H28+I28</f>
        <v>0.33260605189990733</v>
      </c>
      <c r="F28" s="3449">
        <f ca="1">OFFSET(Sector1!$G$324,0,(COLUMN()-6)/6)</f>
        <v>0.11465</v>
      </c>
      <c r="G28" s="3449">
        <f ca="1">OFFSET(Sector1!$G$326,0,(COLUMN()-7)/6)</f>
        <v>2.1780000000000001E-2</v>
      </c>
      <c r="H28" s="3449">
        <f ca="1">OFFSET(Sector1!$G$328,0,(COLUMN()-8)/6)</f>
        <v>0.32274000000000003</v>
      </c>
      <c r="I28" s="3449">
        <f ca="1">OFFSET(Sector1!$G$329,0,(COLUMN()-9)/6)</f>
        <v>-0.12656394810009269</v>
      </c>
      <c r="J28" s="604"/>
      <c r="K28" s="3458">
        <f t="shared" ca="1" si="0"/>
        <v>0.57957999999999998</v>
      </c>
      <c r="L28" s="3449">
        <f ca="1">OFFSET(Sector1!$G$324,0,(COLUMN()-6)/6)</f>
        <v>9.0450000000000003E-2</v>
      </c>
      <c r="M28" s="3449">
        <f ca="1">OFFSET(Sector1!$G$326,0,(COLUMN()-7)/6)</f>
        <v>1.8239999999999999E-2</v>
      </c>
      <c r="N28" s="3449">
        <f ca="1">OFFSET(Sector1!$G$328,0,(COLUMN()-8)/6)</f>
        <v>0.47088999999999998</v>
      </c>
      <c r="O28" s="3449">
        <f ca="1">OFFSET(Sector1!$G$329,0,(COLUMN()-9)/6)</f>
        <v>-0.16653151065801669</v>
      </c>
      <c r="P28" s="604"/>
      <c r="Q28" s="3458">
        <f t="shared" ca="1" si="1"/>
        <v>0.88441999999999998</v>
      </c>
      <c r="R28" s="3449">
        <f ca="1">OFFSET(Sector1!$G$324,0,(COLUMN()-6)/6)</f>
        <v>0.14949000000000001</v>
      </c>
      <c r="S28" s="3449">
        <f ca="1">OFFSET(Sector1!$G$326,0,(COLUMN()-7)/6)</f>
        <v>0.11393</v>
      </c>
      <c r="T28" s="3449">
        <f ca="1">OFFSET(Sector1!$G$328,0,(COLUMN()-8)/6)</f>
        <v>0.621</v>
      </c>
      <c r="U28" s="3449">
        <f ca="1">OFFSET(Sector1!$G$329,0,(COLUMN()-9)/6)</f>
        <v>-0.26645041705282663</v>
      </c>
      <c r="V28" s="604"/>
      <c r="W28" s="3458">
        <f t="shared" ca="1" si="2"/>
        <v>0.68951999999999991</v>
      </c>
      <c r="X28" s="3449">
        <f ca="1">OFFSET(Sector1!$G$324,0,(COLUMN()-6)/6)</f>
        <v>0.18397999999999998</v>
      </c>
      <c r="Y28" s="3449">
        <f ca="1">OFFSET(Sector1!$G$326,0,(COLUMN()-7)/6)</f>
        <v>0.13008</v>
      </c>
      <c r="Z28" s="3449">
        <f ca="1">OFFSET(Sector1!$G$328,0,(COLUMN()-8)/6)</f>
        <v>0.37545999999999996</v>
      </c>
      <c r="AA28" s="3449">
        <f ca="1">OFFSET(Sector1!$G$329,0,(COLUMN()-9)/6)</f>
        <v>-0.27224281742354034</v>
      </c>
      <c r="AB28" s="604"/>
      <c r="AC28" s="3458">
        <f t="shared" ca="1" si="3"/>
        <v>0.56786999999999999</v>
      </c>
      <c r="AD28" s="3449">
        <f ca="1">OFFSET(Sector1!$G$324,0,(COLUMN()-6)/6)</f>
        <v>0.17671000000000001</v>
      </c>
      <c r="AE28" s="3449">
        <f ca="1">OFFSET(Sector1!$G$326,0,(COLUMN()-7)/6)</f>
        <v>0.15775999999999998</v>
      </c>
      <c r="AF28" s="3449">
        <f ca="1">OFFSET(Sector1!$G$328,0,(COLUMN()-8)/6)</f>
        <v>0.2334</v>
      </c>
      <c r="AG28" s="3449">
        <f ca="1">OFFSET(Sector1!$G$329,0,(COLUMN()-9)/6)</f>
        <v>-0.18883225208526414</v>
      </c>
      <c r="AH28" s="604"/>
      <c r="AI28" s="3458">
        <f t="shared" ca="1" si="4"/>
        <v>0.56045999999999996</v>
      </c>
      <c r="AJ28" s="3449">
        <f ca="1">OFFSET(Sector1!$G$324,0,(COLUMN()-6)/6)</f>
        <v>0.12758</v>
      </c>
      <c r="AK28" s="3449">
        <f ca="1">OFFSET(Sector1!$G$326,0,(COLUMN()-7)/6)</f>
        <v>0.11975</v>
      </c>
      <c r="AL28" s="3449">
        <f ca="1">OFFSET(Sector1!$G$328,0,(COLUMN()-8)/6)</f>
        <v>0.31313000000000002</v>
      </c>
      <c r="AM28" s="3449">
        <f ca="1">OFFSET(Sector1!$G$329,0,(COLUMN()-9)/6)</f>
        <v>-0.25457599629286376</v>
      </c>
      <c r="AN28" s="604"/>
      <c r="AO28" s="3458">
        <f t="shared" ca="1" si="5"/>
        <v>0.60932999999999993</v>
      </c>
      <c r="AP28" s="3449">
        <f ca="1">OFFSET(Sector1!$G$324,0,(COLUMN()-6)/6)</f>
        <v>0.25309999999999999</v>
      </c>
      <c r="AQ28" s="3449">
        <f ca="1">OFFSET(Sector1!$G$326,0,(COLUMN()-7)/6)</f>
        <v>0.12631999999999999</v>
      </c>
      <c r="AR28" s="3449">
        <f ca="1">OFFSET(Sector1!$G$328,0,(COLUMN()-8)/6)</f>
        <v>0.22991</v>
      </c>
      <c r="AS28" s="3449">
        <f ca="1">OFFSET(Sector1!$G$329,0,(COLUMN()-9)/6)</f>
        <v>-0.27427015755329004</v>
      </c>
      <c r="AT28" s="604"/>
      <c r="AU28" s="3458">
        <f t="shared" ca="1" si="6"/>
        <v>0.59420000000000006</v>
      </c>
      <c r="AV28" s="3449">
        <f ca="1">OFFSET(Sector1!$G$324,0,(COLUMN()-6)/6)</f>
        <v>0.19936000000000001</v>
      </c>
      <c r="AW28" s="3449">
        <f ca="1">OFFSET(Sector1!$G$326,0,(COLUMN()-7)/6)</f>
        <v>0.19588</v>
      </c>
      <c r="AX28" s="3449">
        <f ca="1">OFFSET(Sector1!$G$328,0,(COLUMN()-8)/6)</f>
        <v>0.19896</v>
      </c>
      <c r="AY28" s="3449">
        <f ca="1">OFFSET(Sector1!$G$329,0,(COLUMN()-9)/6)</f>
        <v>-0.20939527340129752</v>
      </c>
      <c r="AZ28" s="604"/>
      <c r="BA28" s="3458">
        <f t="shared" ca="1" si="7"/>
        <v>0.5101</v>
      </c>
      <c r="BB28" s="3449">
        <f ca="1">OFFSET(Sector1!$G$324,0,(COLUMN()-6)/6)</f>
        <v>0.21155000000000002</v>
      </c>
      <c r="BC28" s="3449">
        <f ca="1">OFFSET(Sector1!$G$326,0,(COLUMN()-7)/6)</f>
        <v>0.14812999999999998</v>
      </c>
      <c r="BD28" s="3449">
        <f ca="1">OFFSET(Sector1!$G$328,0,(COLUMN()-8)/6)</f>
        <v>0.15042</v>
      </c>
      <c r="BE28" s="3449">
        <f ca="1">OFFSET(Sector1!$G$329,0,(COLUMN()-9)/6)</f>
        <v>-0.22474513438368859</v>
      </c>
      <c r="BF28" s="604"/>
      <c r="BG28" s="3458">
        <f t="shared" ca="1" si="8"/>
        <v>0.68253999999999992</v>
      </c>
      <c r="BH28" s="3449">
        <f ca="1">OFFSET(Sector1!$G$324,0,(COLUMN()-6)/6)</f>
        <v>0.35542000000000001</v>
      </c>
      <c r="BI28" s="3449">
        <f ca="1">OFFSET(Sector1!$G$326,0,(COLUMN()-7)/6)</f>
        <v>0.18512999999999999</v>
      </c>
      <c r="BJ28" s="3449">
        <f ca="1">OFFSET(Sector1!$G$328,0,(COLUMN()-8)/6)</f>
        <v>0.14199000000000001</v>
      </c>
      <c r="BK28" s="3449">
        <f ca="1">OFFSET(Sector1!$G$329,0,(COLUMN()-9)/6)</f>
        <v>-0.26152687673772013</v>
      </c>
      <c r="BL28" s="604"/>
      <c r="BM28" s="3458">
        <f t="shared" ca="1" si="9"/>
        <v>1.0726</v>
      </c>
      <c r="BN28" s="3449">
        <f ca="1">OFFSET(Sector1!$G$324,0,(COLUMN()-6)/6)</f>
        <v>0.63315999999999995</v>
      </c>
      <c r="BO28" s="3449">
        <f ca="1">OFFSET(Sector1!$G$326,0,(COLUMN()-7)/6)</f>
        <v>0.19778000000000001</v>
      </c>
      <c r="BP28" s="3449">
        <f ca="1">OFFSET(Sector1!$G$328,0,(COLUMN()-8)/6)</f>
        <v>0.24165999999999999</v>
      </c>
      <c r="BQ28" s="3449">
        <f ca="1">OFFSET(Sector1!$G$329,0,(COLUMN()-9)/6)</f>
        <v>-0.28999999999999998</v>
      </c>
      <c r="BR28" s="604"/>
      <c r="BS28" s="3458">
        <f t="shared" ca="1" si="10"/>
        <v>1.19642</v>
      </c>
      <c r="BT28" s="3449">
        <f ca="1">OFFSET(Sector1!$G$324,0,(COLUMN()-6)/6)</f>
        <v>0.63112000000000001</v>
      </c>
      <c r="BU28" s="3449">
        <f ca="1">OFFSET(Sector1!$G$326,0,(COLUMN()-7)/6)</f>
        <v>0.35533999999999999</v>
      </c>
      <c r="BV28" s="3449">
        <f ca="1">OFFSET(Sector1!$G$328,0,(COLUMN()-8)/6)</f>
        <v>0.20996000000000001</v>
      </c>
      <c r="BW28" s="3449">
        <f ca="1">OFFSET(Sector1!$G$329,0,(COLUMN()-9)/6)</f>
        <v>-0.44600000000000001</v>
      </c>
      <c r="BX28" s="604"/>
      <c r="BY28" s="3458">
        <f t="shared" ca="1" si="11"/>
        <v>1.46695</v>
      </c>
      <c r="BZ28" s="3449">
        <f ca="1">OFFSET(Sector1!$G$324,0,(COLUMN()-6)/6)</f>
        <v>0.83086000000000004</v>
      </c>
      <c r="CA28" s="3449">
        <f ca="1">OFFSET(Sector1!$G$326,0,(COLUMN()-7)/6)</f>
        <v>0.38927999999999996</v>
      </c>
      <c r="CB28" s="3449">
        <f ca="1">OFFSET(Sector1!$G$328,0,(COLUMN()-8)/6)</f>
        <v>0.24681</v>
      </c>
      <c r="CC28" s="3449">
        <f ca="1">OFFSET(Sector1!$G$329,0,(COLUMN()-9)/6)</f>
        <v>-0.54500000000000004</v>
      </c>
      <c r="CD28" s="604"/>
      <c r="CE28" s="3458">
        <f t="shared" ca="1" si="12"/>
        <v>1.9787399999999999</v>
      </c>
      <c r="CF28" s="3449">
        <f ca="1">OFFSET(Sector1!$G$324,0,(COLUMN()-6)/6)</f>
        <v>1.2227000000000001</v>
      </c>
      <c r="CG28" s="3449">
        <f ca="1">OFFSET(Sector1!$G$326,0,(COLUMN()-7)/6)</f>
        <v>0.46614999999999995</v>
      </c>
      <c r="CH28" s="3449">
        <f ca="1">OFFSET(Sector1!$G$328,0,(COLUMN()-8)/6)</f>
        <v>0.28988999999999998</v>
      </c>
      <c r="CI28" s="3449">
        <f ca="1">OFFSET(Sector1!$G$329,0,(COLUMN()-9)/6)</f>
        <v>-0.59</v>
      </c>
      <c r="CJ28" s="604"/>
      <c r="CK28" s="3458">
        <f ca="1">+CL28+CM28+CN28</f>
        <v>1.7728699999999999</v>
      </c>
      <c r="CL28" s="3449">
        <f ca="1">OFFSET(Sector1!$G$324,0,(COLUMN()-6)/6)</f>
        <v>1.0826</v>
      </c>
      <c r="CM28" s="3449">
        <f ca="1">OFFSET(Sector1!$G$326,0,(COLUMN()-7)/6)</f>
        <v>0.41881000000000002</v>
      </c>
      <c r="CN28" s="3449">
        <f ca="1">OFFSET(Sector1!$G$328,0,(COLUMN()-8)/6)</f>
        <v>0.27145999999999998</v>
      </c>
      <c r="CO28" s="3449">
        <f ca="1">OFFSET(Sector1!$G$329,0,(COLUMN()-9)/6)</f>
        <v>-0.502</v>
      </c>
      <c r="CP28" s="604"/>
      <c r="CQ28" s="3458">
        <f ca="1">+CR28+CS28+CT28</f>
        <v>2.0854900000000001</v>
      </c>
      <c r="CR28" s="3449">
        <f ca="1">OFFSET(Sector1!$G$324,0,(COLUMN()-6)/6)</f>
        <v>1.2823599999999999</v>
      </c>
      <c r="CS28" s="3449">
        <f ca="1">OFFSET(Sector1!$G$326,0,(COLUMN()-7)/6)</f>
        <v>0.40181</v>
      </c>
      <c r="CT28" s="3449">
        <f ca="1">OFFSET(Sector1!$G$328,0,(COLUMN()-8)/6)</f>
        <v>0.40132000000000001</v>
      </c>
      <c r="CU28" s="3449">
        <f ca="1">OFFSET(Sector1!$G$329,0,(COLUMN()-9)/6)</f>
        <v>-0.98199999999999998</v>
      </c>
      <c r="CV28" s="604"/>
      <c r="CW28" s="3458">
        <f ca="1">+CX28+CY28+CZ28</f>
        <v>2.1246900000000002</v>
      </c>
      <c r="CX28" s="3449">
        <f ca="1">OFFSET(Sector1!$G$324,0,(COLUMN()-6)/6)</f>
        <v>1.1806800000000002</v>
      </c>
      <c r="CY28" s="3449">
        <f ca="1">OFFSET(Sector1!$G$326,0,(COLUMN()-7)/6)</f>
        <v>0.44327</v>
      </c>
      <c r="CZ28" s="3449">
        <f ca="1">OFFSET(Sector1!$G$328,0,(COLUMN()-8)/6)</f>
        <v>0.50073999999999996</v>
      </c>
      <c r="DA28" s="3449">
        <f ca="1">OFFSET(Sector1!$G$329,0,(COLUMN()-9)/6)</f>
        <v>-0.77100000000000002</v>
      </c>
      <c r="DB28" s="604"/>
      <c r="DC28" s="3458">
        <f ca="1">+DD28+DE28+DF28</f>
        <v>1.6854</v>
      </c>
      <c r="DD28" s="3449">
        <f ca="1">OFFSET(Sector1!$G$324,0,(COLUMN()-6)/6)</f>
        <v>0.80870000000000009</v>
      </c>
      <c r="DE28" s="3449">
        <f ca="1">OFFSET(Sector1!$G$326,0,(COLUMN()-7)/6)</f>
        <v>0.39974999999999999</v>
      </c>
      <c r="DF28" s="3449">
        <f ca="1">OFFSET(Sector1!$G$328,0,(COLUMN()-8)/6)</f>
        <v>0.47694999999999999</v>
      </c>
      <c r="DG28" s="3449">
        <f ca="1">OFFSET(Sector1!$G$329,0,(COLUMN()-9)/6)</f>
        <v>-0.39200000000000002</v>
      </c>
      <c r="DH28" s="604"/>
      <c r="DI28" s="3458">
        <f ca="1">+DJ28+DK28+DL28</f>
        <v>2.3813599999999999</v>
      </c>
      <c r="DJ28" s="3449">
        <f ca="1">OFFSET(Sector1!$G$324,0,(COLUMN()-6)/6)</f>
        <v>1.4815</v>
      </c>
      <c r="DK28" s="3449">
        <f ca="1">OFFSET(Sector1!$G$326,0,(COLUMN()-7)/6)</f>
        <v>0.43422000000000005</v>
      </c>
      <c r="DL28" s="3449">
        <f ca="1">OFFSET(Sector1!$G$328,0,(COLUMN()-8)/6)</f>
        <v>0.46564</v>
      </c>
      <c r="DM28" s="3449">
        <f ca="1">OFFSET(Sector1!$G$329,0,(COLUMN()-9)/6)</f>
        <v>-0.97599999999999998</v>
      </c>
      <c r="DN28" s="604"/>
      <c r="DO28" s="3458">
        <f ca="1">+DP28+DQ28+DR28</f>
        <v>2.5398800000000001</v>
      </c>
      <c r="DP28" s="3449">
        <f ca="1">OFFSET(Sector1!$G$324,0,(COLUMN()-6)/6)</f>
        <v>1.6157300000000001</v>
      </c>
      <c r="DQ28" s="3449">
        <f ca="1">OFFSET(Sector1!$G$326,0,(COLUMN()-7)/6)</f>
        <v>0.46385000000000004</v>
      </c>
      <c r="DR28" s="3449">
        <f ca="1">OFFSET(Sector1!$G$328,0,(COLUMN()-8)/6)</f>
        <v>0.46029999999999999</v>
      </c>
      <c r="DS28" s="3449">
        <f ca="1">OFFSET(Sector1!$G$329,0,(COLUMN()-9)/6)</f>
        <v>-1.159</v>
      </c>
      <c r="DT28" s="604"/>
      <c r="DU28" s="3458">
        <f ca="1">+DV28+DW28+DX28</f>
        <v>2.4215400000000002</v>
      </c>
      <c r="DV28" s="3449">
        <f ca="1">OFFSET(Sector1!$G$324,0,(COLUMN()-6)/6)</f>
        <v>1.3968</v>
      </c>
      <c r="DW28" s="3449">
        <f ca="1">OFFSET(Sector1!$G$326,0,(COLUMN()-7)/6)</f>
        <v>0.49933</v>
      </c>
      <c r="DX28" s="3449">
        <f ca="1">OFFSET(Sector1!$G$328,0,(COLUMN()-8)/6)</f>
        <v>0.52540999999999993</v>
      </c>
      <c r="DY28" s="3449">
        <f ca="1">OFFSET(Sector1!$G$329,0,(COLUMN()-9)/6)</f>
        <v>-0.93700000000000006</v>
      </c>
      <c r="DZ28" s="604"/>
      <c r="EA28" s="3458">
        <f ca="1">+EB28+EC28+ED28</f>
        <v>2.4130599999999998</v>
      </c>
      <c r="EB28" s="3449">
        <f ca="1">OFFSET(Sector1!$G$324,0,(COLUMN()-6)/6)</f>
        <v>1.4626199999999998</v>
      </c>
      <c r="EC28" s="3449">
        <f ca="1">OFFSET(Sector1!$G$326,0,(COLUMN()-7)/6)</f>
        <v>0.49392000000000003</v>
      </c>
      <c r="ED28" s="3449">
        <f ca="1">OFFSET(Sector1!$G$328,0,(COLUMN()-8)/6)</f>
        <v>0.45651999999999998</v>
      </c>
      <c r="EE28" s="3449">
        <f ca="1">OFFSET(Sector1!$G$329,0,(COLUMN()-9)/6)</f>
        <v>-0.76707999999999976</v>
      </c>
      <c r="EF28" s="604"/>
      <c r="EG28" s="3458">
        <f ca="1">+EH28+EI28+EJ28</f>
        <v>2.545308608</v>
      </c>
      <c r="EH28" s="3449">
        <f ca="1">OFFSET(Sector1!$G$324,0,(COLUMN()-6)/6)</f>
        <v>1.5357509999999999</v>
      </c>
      <c r="EI28" s="3449">
        <f ca="1">OFFSET(Sector1!$G$326,0,(COLUMN()-7)/6)</f>
        <v>0.51861600000000008</v>
      </c>
      <c r="EJ28" s="3449">
        <f ca="1">OFFSET(Sector1!$G$328,0,(COLUMN()-8)/6)</f>
        <v>0.49094160799999992</v>
      </c>
      <c r="EK28" s="3449">
        <f ca="1">OFFSET(Sector1!$G$329,0,(COLUMN()-9)/6)</f>
        <v>-0.79549840799999982</v>
      </c>
      <c r="EL28" s="604"/>
      <c r="EM28" s="3458">
        <f ca="1">+EN28+EO28+EP28</f>
        <v>2.6897569946799997</v>
      </c>
      <c r="EN28" s="3449">
        <f ca="1">OFFSET(Sector1!$G$324,0,(COLUMN()-6)/6)</f>
        <v>1.61253855</v>
      </c>
      <c r="EO28" s="3449">
        <f ca="1">OFFSET(Sector1!$G$326,0,(COLUMN()-7)/6)</f>
        <v>0.54454680000000011</v>
      </c>
      <c r="EP28" s="3449">
        <f ca="1">OFFSET(Sector1!$G$328,0,(COLUMN()-8)/6)</f>
        <v>0.53267164467999994</v>
      </c>
      <c r="EQ28" s="3449">
        <f ca="1">OFFSET(Sector1!$G$329,0,(COLUMN()-9)/6)</f>
        <v>-0.83240506867999964</v>
      </c>
      <c r="ER28" s="604"/>
      <c r="ES28" s="3458">
        <f ca="1">+ET28+EU28+EV28</f>
        <v>2.8428883519778001</v>
      </c>
      <c r="ET28" s="3449">
        <f ca="1">OFFSET(Sector1!$G$324,0,(COLUMN()-6)/6)</f>
        <v>1.6931654775</v>
      </c>
      <c r="EU28" s="3449">
        <f ca="1">OFFSET(Sector1!$G$326,0,(COLUMN()-7)/6)</f>
        <v>0.57177414000000015</v>
      </c>
      <c r="EV28" s="3449">
        <f ca="1">OFFSET(Sector1!$G$328,0,(COLUMN()-8)/6)</f>
        <v>0.57794873447779993</v>
      </c>
      <c r="EW28" s="3449">
        <f ca="1">OFFSET(Sector1!$G$329,0,(COLUMN()-9)/6)</f>
        <v>-0.86719322619779959</v>
      </c>
      <c r="EX28" s="604"/>
    </row>
    <row r="29" spans="1:154" s="557" customFormat="1" ht="12.75" customHeight="1">
      <c r="A29" s="555"/>
      <c r="B29" s="3445" t="s">
        <v>1769</v>
      </c>
      <c r="C29" s="3785" t="s">
        <v>1337</v>
      </c>
      <c r="D29" s="3786"/>
      <c r="E29" s="3454">
        <f ca="1">+F29+G29+H29</f>
        <v>10.06776</v>
      </c>
      <c r="F29" s="3454">
        <f ca="1">+F22+F23+F24+F27+F28</f>
        <v>6.1248400000000007</v>
      </c>
      <c r="G29" s="3454">
        <f ca="1">+G22+G23+G24+G27+G28</f>
        <v>1.2035500000000003</v>
      </c>
      <c r="H29" s="3454">
        <f ca="1">+H22+H23+H24+H27+H28</f>
        <v>2.7393699999999996</v>
      </c>
      <c r="I29" s="3455"/>
      <c r="J29" s="604"/>
      <c r="K29" s="3454">
        <f t="shared" ca="1" si="0"/>
        <v>12.560789999999997</v>
      </c>
      <c r="L29" s="3454">
        <f ca="1">+L22+L23+L24+L27+L28</f>
        <v>7.6192699999999993</v>
      </c>
      <c r="M29" s="3454">
        <f ca="1">+M22+M23+M24+M27+M28</f>
        <v>1.5990899999999995</v>
      </c>
      <c r="N29" s="3454">
        <f ca="1">+N22+N23+N24+N27+N28</f>
        <v>3.3424299999999993</v>
      </c>
      <c r="O29" s="3455"/>
      <c r="P29" s="604"/>
      <c r="Q29" s="3454">
        <f t="shared" ca="1" si="1"/>
        <v>15.609260000000001</v>
      </c>
      <c r="R29" s="3454">
        <f ca="1">+R22+R23+R24+R27+R28</f>
        <v>9.3348499999999994</v>
      </c>
      <c r="S29" s="3454">
        <f ca="1">+S22+S23+S24+S27+S28</f>
        <v>1.6943200000000009</v>
      </c>
      <c r="T29" s="3454">
        <f ca="1">+T22+T23+T24+T27+T28</f>
        <v>4.5800900000000002</v>
      </c>
      <c r="U29" s="3455"/>
      <c r="V29" s="604"/>
      <c r="W29" s="3454">
        <f t="shared" ca="1" si="2"/>
        <v>17.320309999999999</v>
      </c>
      <c r="X29" s="3454">
        <f ca="1">+X22+X23+X24+X27+X28</f>
        <v>10.917089999999998</v>
      </c>
      <c r="Y29" s="3454">
        <f ca="1">+Y22+Y23+Y24+Y27+Y28</f>
        <v>1.4513999999999998</v>
      </c>
      <c r="Z29" s="3454">
        <f ca="1">+Z22+Z23+Z24+Z27+Z28</f>
        <v>4.9518199999999997</v>
      </c>
      <c r="AA29" s="3455"/>
      <c r="AB29" s="604"/>
      <c r="AC29" s="3454">
        <f t="shared" ca="1" si="3"/>
        <v>17.016189999999998</v>
      </c>
      <c r="AD29" s="3454">
        <f ca="1">+AD22+AD23+AD24+AD27+AD28</f>
        <v>11.012219999999999</v>
      </c>
      <c r="AE29" s="3454">
        <f ca="1">+AE22+AE23+AE24+AE27+AE28</f>
        <v>1.3048500000000001</v>
      </c>
      <c r="AF29" s="3454">
        <f ca="1">+AF22+AF23+AF24+AF27+AF28</f>
        <v>4.6991199999999989</v>
      </c>
      <c r="AG29" s="3455"/>
      <c r="AH29" s="604"/>
      <c r="AI29" s="3454">
        <f t="shared" ca="1" si="4"/>
        <v>17.746459999999999</v>
      </c>
      <c r="AJ29" s="3454">
        <f ca="1">+AJ22+AJ23+AJ24+AJ27+AJ28</f>
        <v>11.696299999999999</v>
      </c>
      <c r="AK29" s="3454">
        <f ca="1">+AK22+AK23+AK24+AK27+AK28</f>
        <v>1.2948700000000006</v>
      </c>
      <c r="AL29" s="3454">
        <f ca="1">+AL22+AL23+AL24+AL27+AL28</f>
        <v>4.7552900000000005</v>
      </c>
      <c r="AM29" s="3455"/>
      <c r="AN29" s="604"/>
      <c r="AO29" s="3454">
        <f t="shared" ca="1" si="5"/>
        <v>18.72852</v>
      </c>
      <c r="AP29" s="3454">
        <f ca="1">+AP22+AP23+AP24+AP27+AP28</f>
        <v>12.144299999999999</v>
      </c>
      <c r="AQ29" s="3454">
        <f ca="1">+AQ22+AQ23+AQ24+AQ27+AQ28</f>
        <v>1.8170399999999998</v>
      </c>
      <c r="AR29" s="3454">
        <f ca="1">+AR22+AR23+AR24+AR27+AR28</f>
        <v>4.7671799999999998</v>
      </c>
      <c r="AS29" s="3455"/>
      <c r="AT29" s="604"/>
      <c r="AU29" s="3454">
        <f t="shared" ca="1" si="6"/>
        <v>19.742250000000002</v>
      </c>
      <c r="AV29" s="3454">
        <f ca="1">+AV22+AV23+AV24+AV27+AV28</f>
        <v>12.805540000000001</v>
      </c>
      <c r="AW29" s="3454">
        <f ca="1">+AW22+AW23+AW24+AW27+AW28</f>
        <v>2.0082100000000014</v>
      </c>
      <c r="AX29" s="3454">
        <f ca="1">+AX22+AX23+AX24+AX27+AX28</f>
        <v>4.9284999999999997</v>
      </c>
      <c r="AY29" s="3455"/>
      <c r="AZ29" s="604"/>
      <c r="BA29" s="3454">
        <f t="shared" ca="1" si="7"/>
        <v>21.280920000000005</v>
      </c>
      <c r="BB29" s="3454">
        <f ca="1">+BB22+BB23+BB24+BB27+BB28</f>
        <v>13.652330000000001</v>
      </c>
      <c r="BC29" s="3454">
        <f ca="1">+BC22+BC23+BC24+BC27+BC28</f>
        <v>2.3965300000000025</v>
      </c>
      <c r="BD29" s="3454">
        <f ca="1">+BD22+BD23+BD24+BD27+BD28</f>
        <v>5.2320600000000006</v>
      </c>
      <c r="BE29" s="3455"/>
      <c r="BF29" s="604"/>
      <c r="BG29" s="3454">
        <f t="shared" ca="1" si="8"/>
        <v>23.727329999999995</v>
      </c>
      <c r="BH29" s="3454">
        <f ca="1">+BH22+BH23+BH24+BH27+BH28</f>
        <v>15.912059999999999</v>
      </c>
      <c r="BI29" s="3454">
        <f ca="1">+BI22+BI23+BI24+BI27+BI28</f>
        <v>1.989039999999999</v>
      </c>
      <c r="BJ29" s="3454">
        <f ca="1">+BJ22+BJ23+BJ24+BJ27+BJ28</f>
        <v>5.8262300000000007</v>
      </c>
      <c r="BK29" s="3455"/>
      <c r="BL29" s="604"/>
      <c r="BM29" s="3454">
        <f t="shared" ca="1" si="9"/>
        <v>27.857669999999999</v>
      </c>
      <c r="BN29" s="3454">
        <f ca="1">+BN22+BN23+BN24+BN27+BN28</f>
        <v>17.695469999999997</v>
      </c>
      <c r="BO29" s="3454">
        <f ca="1">+BO22+BO23+BO24+BO27+BO28</f>
        <v>3.3571100000000018</v>
      </c>
      <c r="BP29" s="3454">
        <f ca="1">+BP22+BP23+BP24+BP27+BP28</f>
        <v>6.8050899999999999</v>
      </c>
      <c r="BQ29" s="3455"/>
      <c r="BR29" s="3463"/>
      <c r="BS29" s="3454">
        <f t="shared" ca="1" si="10"/>
        <v>32.001509999999996</v>
      </c>
      <c r="BT29" s="3454">
        <f ca="1">+BT22+BT23+BT24+BT27+BT28</f>
        <v>20.489809999999999</v>
      </c>
      <c r="BU29" s="3454">
        <f ca="1">+BU22+BU23+BU24+BU27+BU28</f>
        <v>3.5818899999999978</v>
      </c>
      <c r="BV29" s="3454">
        <f ca="1">+BV22+BV23+BV24+BV27+BV28</f>
        <v>7.9298099999999989</v>
      </c>
      <c r="BW29" s="3455"/>
      <c r="BX29" s="604"/>
      <c r="BY29" s="3454">
        <f t="shared" ca="1" si="11"/>
        <v>38.150840000000002</v>
      </c>
      <c r="BZ29" s="3454">
        <f ca="1">+BZ22+BZ23+BZ24+BZ27+BZ28</f>
        <v>22.659000000000002</v>
      </c>
      <c r="CA29" s="3454">
        <f ca="1">+CA22+CA23+CA24+CA27+CA28</f>
        <v>6.0638900000000016</v>
      </c>
      <c r="CB29" s="3454">
        <f ca="1">+CB22+CB23+CB24+CB27+CB28</f>
        <v>9.4279499999999992</v>
      </c>
      <c r="CC29" s="3455"/>
      <c r="CD29" s="604"/>
      <c r="CE29" s="3454">
        <f t="shared" ca="1" si="12"/>
        <v>44.238990000000001</v>
      </c>
      <c r="CF29" s="3454">
        <f ca="1">+CF22+CF23+CF24+CF27+CF28</f>
        <v>26.824190000000002</v>
      </c>
      <c r="CG29" s="3454">
        <f ca="1">+CG22+CG23+CG24+CG27+CG28</f>
        <v>6.5089699999999997</v>
      </c>
      <c r="CH29" s="3454">
        <f ca="1">+CH22+CH23+CH24+CH27+CH28</f>
        <v>10.905830000000002</v>
      </c>
      <c r="CI29" s="3455"/>
      <c r="CJ29" s="604"/>
      <c r="CK29" s="3454">
        <f ca="1">+CL29+CM29+CN29</f>
        <v>39.08587</v>
      </c>
      <c r="CL29" s="3454">
        <f ca="1">+CL22+CL23+CL24+CL27+CL28</f>
        <v>24.193290000000001</v>
      </c>
      <c r="CM29" s="3454">
        <f ca="1">+CM22+CM23+CM24+CM27+CM28</f>
        <v>5.9053699999999996</v>
      </c>
      <c r="CN29" s="3454">
        <f ca="1">+CN22+CN23+CN24+CN27+CN28</f>
        <v>8.9872099999999993</v>
      </c>
      <c r="CO29" s="3455"/>
      <c r="CP29" s="604"/>
      <c r="CQ29" s="3454">
        <f ca="1">+CR29+CS29+CT29</f>
        <v>38.657399999999988</v>
      </c>
      <c r="CR29" s="3454">
        <f ca="1">+CR22+CR23+CR24+CR27+CR28</f>
        <v>24.165009999999995</v>
      </c>
      <c r="CS29" s="3454">
        <f ca="1">+CS22+CS23+CS24+CS27+CS28</f>
        <v>5.7192599999999949</v>
      </c>
      <c r="CT29" s="3454">
        <f ca="1">+CT22+CT23+CT24+CT27+CT28</f>
        <v>8.7731300000000001</v>
      </c>
      <c r="CU29" s="3455"/>
      <c r="CV29" s="604"/>
      <c r="CW29" s="3454">
        <f ca="1">+CX29+CY29+CZ29</f>
        <v>41.528059999999996</v>
      </c>
      <c r="CX29" s="3454">
        <f ca="1">+CX22+CX23+CX24+CX27+CX28</f>
        <v>25.505689999999998</v>
      </c>
      <c r="CY29" s="3454">
        <f ca="1">+CY22+CY23+CY24+CY27+CY28</f>
        <v>6.5876500000000036</v>
      </c>
      <c r="CZ29" s="3454">
        <f ca="1">+CZ22+CZ23+CZ24+CZ27+CZ28</f>
        <v>9.4347200000000022</v>
      </c>
      <c r="DA29" s="3455"/>
      <c r="DB29" s="604"/>
      <c r="DC29" s="3454">
        <f ca="1">+DD29+DE29+DF29</f>
        <v>43.715769999999999</v>
      </c>
      <c r="DD29" s="3454">
        <f ca="1">+DD22+DD23+DD24+DD27+DD28</f>
        <v>26.328289999999999</v>
      </c>
      <c r="DE29" s="3454">
        <f ca="1">+DE22+DE23+DE24+DE27+DE28</f>
        <v>7.4369199999999998</v>
      </c>
      <c r="DF29" s="3454">
        <f ca="1">+DF22+DF23+DF24+DF27+DF28</f>
        <v>9.9505600000000012</v>
      </c>
      <c r="DG29" s="3455"/>
      <c r="DH29" s="604"/>
      <c r="DI29" s="3454">
        <f ca="1">+DJ29+DK29+DL29</f>
        <v>46.461539999999999</v>
      </c>
      <c r="DJ29" s="3454">
        <f ca="1">+DJ22+DJ23+DJ24+DJ27+DJ28</f>
        <v>27.869149999999998</v>
      </c>
      <c r="DK29" s="3454">
        <f ca="1">+DK22+DK23+DK24+DK27+DK28</f>
        <v>8.2282399999999978</v>
      </c>
      <c r="DL29" s="3454">
        <f ca="1">+DL22+DL23+DL24+DL27+DL28</f>
        <v>10.36415</v>
      </c>
      <c r="DM29" s="3455"/>
      <c r="DN29" s="604"/>
      <c r="DO29" s="3454">
        <f ca="1">+DP29+DQ29+DR29</f>
        <v>49.056060000000002</v>
      </c>
      <c r="DP29" s="3454">
        <f ca="1">+DP22+DP23+DP24+DP27+DP28</f>
        <v>28.618880000000001</v>
      </c>
      <c r="DQ29" s="3454">
        <f ca="1">+DQ22+DQ23+DQ24+DQ27+DQ28</f>
        <v>9.3758999999999979</v>
      </c>
      <c r="DR29" s="3454">
        <f ca="1">+DR22+DR23+DR24+DR27+DR28</f>
        <v>11.06128</v>
      </c>
      <c r="DS29" s="3455"/>
      <c r="DT29" s="604"/>
      <c r="DU29" s="3454">
        <f ca="1">+DV29+DW29+DX29</f>
        <v>49.35257</v>
      </c>
      <c r="DV29" s="3454">
        <f ca="1">+DV22+DV23+DV24+DV27+DV28</f>
        <v>29.714530000000003</v>
      </c>
      <c r="DW29" s="3454">
        <f ca="1">+DW22+DW23+DW24+DW27+DW28</f>
        <v>7.7446900000000012</v>
      </c>
      <c r="DX29" s="3454">
        <f ca="1">+DX22+DX23+DX24+DX27+DX28</f>
        <v>11.893350000000002</v>
      </c>
      <c r="DY29" s="3455"/>
      <c r="DZ29" s="604"/>
      <c r="EA29" s="3454">
        <f ca="1">+EB29+EC29+ED29</f>
        <v>51.370829999999998</v>
      </c>
      <c r="EB29" s="3454">
        <f ca="1">+EB22+EB23+EB24+EB27+EB28</f>
        <v>31.500399999999999</v>
      </c>
      <c r="EC29" s="3454">
        <f ca="1">+EC22+EC23+EC24+EC27+EC28</f>
        <v>7.1905200000000002</v>
      </c>
      <c r="ED29" s="3454">
        <f ca="1">+ED22+ED23+ED24+ED27+ED28</f>
        <v>12.679910000000001</v>
      </c>
      <c r="EE29" s="3455"/>
      <c r="EF29" s="604"/>
      <c r="EG29" s="3454">
        <f ca="1">+EH29+EI29+EJ29</f>
        <v>55.959840342780637</v>
      </c>
      <c r="EH29" s="3454">
        <f ca="1">+EH22+EH23+EH24+EH27+EH28</f>
        <v>33.926810369999998</v>
      </c>
      <c r="EI29" s="3454">
        <f ca="1">+EI22+EI23+EI24+EI27+EI28</f>
        <v>8.1077364700000025</v>
      </c>
      <c r="EJ29" s="3454">
        <f ca="1">+EJ22+EJ23+EJ24+EJ27+EJ28</f>
        <v>13.925293502780633</v>
      </c>
      <c r="EK29" s="3455"/>
      <c r="EL29" s="604"/>
      <c r="EM29" s="3454">
        <f ca="1">+EN29+EO29+EP29</f>
        <v>59.474276550904214</v>
      </c>
      <c r="EN29" s="3454">
        <f ca="1">+EN22+EN23+EN24+EN27+EN28</f>
        <v>35.889031904138733</v>
      </c>
      <c r="EO29" s="3454">
        <f ca="1">+EO22+EO23+EO24+EO27+EO28</f>
        <v>8.7085029600993291</v>
      </c>
      <c r="EP29" s="3454">
        <f ca="1">+EP22+EP23+EP24+EP27+EP28</f>
        <v>14.876741686666151</v>
      </c>
      <c r="EQ29" s="3455"/>
      <c r="ER29" s="604"/>
      <c r="ES29" s="3454">
        <f ca="1">+ET29+EU29+EV29</f>
        <v>62.87679445471921</v>
      </c>
      <c r="ET29" s="3454">
        <f ca="1">+ET22+ET23+ET24+ET27+ET28</f>
        <v>37.79322381500095</v>
      </c>
      <c r="EU29" s="3454">
        <f ca="1">+EU22+EU23+EU24+EU27+EU28</f>
        <v>9.4003013350079687</v>
      </c>
      <c r="EV29" s="3454">
        <f ca="1">+EV22+EV23+EV24+EV27+EV28</f>
        <v>15.683269304710295</v>
      </c>
      <c r="EW29" s="3455"/>
      <c r="EX29" s="604"/>
    </row>
    <row r="30" spans="1:154" ht="12.75" customHeight="1">
      <c r="A30" s="553"/>
      <c r="B30" s="600" t="s">
        <v>401</v>
      </c>
      <c r="C30" s="3782" t="s">
        <v>1338</v>
      </c>
      <c r="D30" s="3782"/>
      <c r="E30" s="3458">
        <f ca="1">+F30+G30+H30+I30</f>
        <v>0.65283000000000002</v>
      </c>
      <c r="F30" s="3449">
        <f ca="1">OFFSET(Sector1!$G$201,0,(COLUMN()-6)/6)</f>
        <v>0.49329000000000001</v>
      </c>
      <c r="G30" s="3449">
        <f ca="1">OFFSET(Sector1!$G$202,0,(COLUMN()-7)/6)</f>
        <v>0.15953999999999999</v>
      </c>
      <c r="H30" s="3449">
        <f ca="1">OFFSET(Sector1!$G$203,0,(COLUMN()-8)/6)</f>
        <v>0</v>
      </c>
      <c r="I30" s="3449">
        <f ca="1">OFFSET(Sector1!$G$204,0,(COLUMN()-9)/6)</f>
        <v>0</v>
      </c>
      <c r="J30" s="556">
        <f ca="1">+E30-E23</f>
        <v>9.9999999999544897E-6</v>
      </c>
      <c r="K30" s="3458">
        <f t="shared" ca="1" si="0"/>
        <v>0.77738999999999991</v>
      </c>
      <c r="L30" s="3449">
        <f ca="1">OFFSET(Sector1!$G$201,0,(COLUMN()-6)/6)</f>
        <v>0.66565999999999992</v>
      </c>
      <c r="M30" s="3449">
        <f ca="1">OFFSET(Sector1!$G$202,0,(COLUMN()-7)/6)</f>
        <v>0.11173000000000001</v>
      </c>
      <c r="N30" s="3449">
        <f ca="1">OFFSET(Sector1!$G$203,0,(COLUMN()-8)/6)</f>
        <v>0</v>
      </c>
      <c r="O30" s="3449">
        <f ca="1">OFFSET(Sector1!$G$204,0,(COLUMN()-9)/6)</f>
        <v>0</v>
      </c>
      <c r="P30" s="556">
        <f ca="1">+K30-K23+O30</f>
        <v>-1.1102230246251565E-16</v>
      </c>
      <c r="Q30" s="3458">
        <f t="shared" ca="1" si="1"/>
        <v>1.02521</v>
      </c>
      <c r="R30" s="3449">
        <f ca="1">OFFSET(Sector1!$G$201,0,(COLUMN()-6)/6)</f>
        <v>0.84538000000000002</v>
      </c>
      <c r="S30" s="3449">
        <f ca="1">OFFSET(Sector1!$G$202,0,(COLUMN()-7)/6)</f>
        <v>0.17983000000000002</v>
      </c>
      <c r="T30" s="3449">
        <f ca="1">OFFSET(Sector1!$G$203,0,(COLUMN()-8)/6)</f>
        <v>0</v>
      </c>
      <c r="U30" s="3449">
        <f ca="1">OFFSET(Sector1!$G$204,0,(COLUMN()-9)/6)</f>
        <v>0</v>
      </c>
      <c r="V30" s="556">
        <f ca="1">+Q30-Q23+U30</f>
        <v>0</v>
      </c>
      <c r="W30" s="3458">
        <f t="shared" ca="1" si="2"/>
        <v>1.17039</v>
      </c>
      <c r="X30" s="3449">
        <f ca="1">OFFSET(Sector1!$G$201,0,(COLUMN()-6)/6)</f>
        <v>1.00234</v>
      </c>
      <c r="Y30" s="3449">
        <f ca="1">OFFSET(Sector1!$G$202,0,(COLUMN()-7)/6)</f>
        <v>0.16805</v>
      </c>
      <c r="Z30" s="3449">
        <f ca="1">OFFSET(Sector1!$G$203,0,(COLUMN()-8)/6)</f>
        <v>0</v>
      </c>
      <c r="AA30" s="3449">
        <f ca="1">OFFSET(Sector1!$G$204,0,(COLUMN()-9)/6)</f>
        <v>0</v>
      </c>
      <c r="AB30" s="556">
        <f ca="1">+W30-W23+AA30</f>
        <v>0</v>
      </c>
      <c r="AC30" s="3458">
        <f t="shared" ca="1" si="3"/>
        <v>1.1596</v>
      </c>
      <c r="AD30" s="3449">
        <f ca="1">OFFSET(Sector1!$G$201,0,(COLUMN()-6)/6)</f>
        <v>1.0550999999999999</v>
      </c>
      <c r="AE30" s="3449">
        <f ca="1">OFFSET(Sector1!$G$202,0,(COLUMN()-7)/6)</f>
        <v>0.1045</v>
      </c>
      <c r="AF30" s="3449">
        <f ca="1">OFFSET(Sector1!$G$203,0,(COLUMN()-8)/6)</f>
        <v>0</v>
      </c>
      <c r="AG30" s="3449">
        <f ca="1">OFFSET(Sector1!$G$204,0,(COLUMN()-9)/6)</f>
        <v>0</v>
      </c>
      <c r="AH30" s="556">
        <f ca="1">+AC30-AC23+AG30</f>
        <v>-9.9999999998434674E-6</v>
      </c>
      <c r="AI30" s="3458">
        <f t="shared" ca="1" si="4"/>
        <v>1.1185</v>
      </c>
      <c r="AJ30" s="3449">
        <f ca="1">OFFSET(Sector1!$G$201,0,(COLUMN()-6)/6)</f>
        <v>1.02823</v>
      </c>
      <c r="AK30" s="3449">
        <f ca="1">OFFSET(Sector1!$G$202,0,(COLUMN()-7)/6)</f>
        <v>9.0269999999999989E-2</v>
      </c>
      <c r="AL30" s="3449">
        <f ca="1">OFFSET(Sector1!$G$203,0,(COLUMN()-8)/6)</f>
        <v>0</v>
      </c>
      <c r="AM30" s="3449">
        <f ca="1">OFFSET(Sector1!$G$204,0,(COLUMN()-9)/6)</f>
        <v>0</v>
      </c>
      <c r="AN30" s="556">
        <f ca="1">+AI30-AI23+AM30</f>
        <v>0</v>
      </c>
      <c r="AO30" s="3458">
        <f t="shared" ca="1" si="5"/>
        <v>1.1014800000000002</v>
      </c>
      <c r="AP30" s="3449">
        <f ca="1">OFFSET(Sector1!$G$201,0,(COLUMN()-6)/6)</f>
        <v>1.0264000000000002</v>
      </c>
      <c r="AQ30" s="3449">
        <f ca="1">OFFSET(Sector1!$G$202,0,(COLUMN()-7)/6)</f>
        <v>7.5079999999999994E-2</v>
      </c>
      <c r="AR30" s="3449">
        <f ca="1">OFFSET(Sector1!$G$203,0,(COLUMN()-8)/6)</f>
        <v>0</v>
      </c>
      <c r="AS30" s="3449">
        <f ca="1">OFFSET(Sector1!$G$204,0,(COLUMN()-9)/6)</f>
        <v>0</v>
      </c>
      <c r="AT30" s="556">
        <f ca="1">+AO30-AO23+AS30</f>
        <v>1.0000000000287557E-5</v>
      </c>
      <c r="AU30" s="3458">
        <f t="shared" ca="1" si="6"/>
        <v>1.12815</v>
      </c>
      <c r="AV30" s="3449">
        <f ca="1">OFFSET(Sector1!$G$201,0,(COLUMN()-6)/6)</f>
        <v>1.0390299999999999</v>
      </c>
      <c r="AW30" s="3449">
        <f ca="1">OFFSET(Sector1!$G$202,0,(COLUMN()-7)/6)</f>
        <v>8.9090000000000003E-2</v>
      </c>
      <c r="AX30" s="3449">
        <f ca="1">OFFSET(Sector1!$G$203,0,(COLUMN()-8)/6)</f>
        <v>3.0000000000000001E-5</v>
      </c>
      <c r="AY30" s="3449">
        <f ca="1">OFFSET(Sector1!$G$204,0,(COLUMN()-9)/6)</f>
        <v>0</v>
      </c>
      <c r="AZ30" s="556">
        <f ca="1">+AU30-AU23+AY30</f>
        <v>0</v>
      </c>
      <c r="BA30" s="3458">
        <f t="shared" ca="1" si="7"/>
        <v>1.3137500000000002</v>
      </c>
      <c r="BB30" s="3449">
        <f ca="1">OFFSET(Sector1!$G$201,0,(COLUMN()-6)/6)</f>
        <v>1.0864400000000001</v>
      </c>
      <c r="BC30" s="3449">
        <f ca="1">OFFSET(Sector1!$G$202,0,(COLUMN()-7)/6)</f>
        <v>0.22716</v>
      </c>
      <c r="BD30" s="3449">
        <f ca="1">OFFSET(Sector1!$G$203,0,(COLUMN()-8)/6)</f>
        <v>1.5000000000000001E-4</v>
      </c>
      <c r="BE30" s="3449">
        <f ca="1">OFFSET(Sector1!$G$204,0,(COLUMN()-9)/6)</f>
        <v>0</v>
      </c>
      <c r="BF30" s="556">
        <f ca="1">+BA30-BA23+BE30</f>
        <v>-9.9999999998434674E-6</v>
      </c>
      <c r="BG30" s="3458">
        <f t="shared" ca="1" si="8"/>
        <v>1.5787000000000002</v>
      </c>
      <c r="BH30" s="3449">
        <f ca="1">OFFSET(Sector1!$G$201,0,(COLUMN()-6)/6)</f>
        <v>1.2406900000000001</v>
      </c>
      <c r="BI30" s="3449">
        <f ca="1">OFFSET(Sector1!$G$202,0,(COLUMN()-7)/6)</f>
        <v>0.33768999999999999</v>
      </c>
      <c r="BJ30" s="3449">
        <f ca="1">OFFSET(Sector1!$G$203,0,(COLUMN()-8)/6)</f>
        <v>3.2000000000000003E-4</v>
      </c>
      <c r="BK30" s="3449">
        <f ca="1">OFFSET(Sector1!$G$204,0,(COLUMN()-9)/6)</f>
        <v>5.7924003707136244E-4</v>
      </c>
      <c r="BL30" s="556">
        <f ca="1">+BG30-BG23+BK30</f>
        <v>3.0924003707159201E-4</v>
      </c>
      <c r="BM30" s="3458">
        <f t="shared" ca="1" si="9"/>
        <v>1.87795</v>
      </c>
      <c r="BN30" s="3449">
        <f ca="1">OFFSET(Sector1!$G$201,0,(COLUMN()-6)/6)</f>
        <v>1.44129</v>
      </c>
      <c r="BO30" s="3449">
        <f ca="1">OFFSET(Sector1!$G$202,0,(COLUMN()-7)/6)</f>
        <v>0.43642000000000003</v>
      </c>
      <c r="BP30" s="3449">
        <f ca="1">OFFSET(Sector1!$G$203,0,(COLUMN()-8)/6)</f>
        <v>2.4000000000000001E-4</v>
      </c>
      <c r="BQ30" s="3449" t="e">
        <f ca="1">OFFSET(Sector1!$G$204,0,(COLUMN()-9)/6)</f>
        <v>#VALUE!</v>
      </c>
      <c r="BR30" s="556" t="e">
        <f ca="1">+BM30-BM23+BQ30</f>
        <v>#VALUE!</v>
      </c>
      <c r="BS30" s="3458">
        <f t="shared" ca="1" si="10"/>
        <v>2.29894</v>
      </c>
      <c r="BT30" s="3449">
        <f ca="1">OFFSET(Sector1!$G$201,0,(COLUMN()-6)/6)</f>
        <v>1.63571</v>
      </c>
      <c r="BU30" s="3449">
        <f ca="1">OFFSET(Sector1!$G$202,0,(COLUMN()-7)/6)</f>
        <v>0.66228999999999993</v>
      </c>
      <c r="BV30" s="3449">
        <f ca="1">OFFSET(Sector1!$G$203,0,(COLUMN()-8)/6)</f>
        <v>9.4000000000000008E-4</v>
      </c>
      <c r="BW30" s="3449" t="e">
        <f ca="1">OFFSET(Sector1!$G$204,0,(COLUMN()-9)/6)</f>
        <v>#VALUE!</v>
      </c>
      <c r="BX30" s="556" t="e">
        <f ca="1">+BS30-BS23+BW30</f>
        <v>#VALUE!</v>
      </c>
      <c r="BY30" s="3458">
        <f t="shared" ca="1" si="11"/>
        <v>2.6330300000000002</v>
      </c>
      <c r="BZ30" s="3449">
        <f ca="1">OFFSET(Sector1!$G$201,0,(COLUMN()-6)/6)</f>
        <v>1.8986800000000001</v>
      </c>
      <c r="CA30" s="3449">
        <f ca="1">OFFSET(Sector1!$G$202,0,(COLUMN()-7)/6)</f>
        <v>0.73341999999999996</v>
      </c>
      <c r="CB30" s="3449">
        <f ca="1">OFFSET(Sector1!$G$203,0,(COLUMN()-8)/6)</f>
        <v>9.3000000000000005E-4</v>
      </c>
      <c r="CC30" s="3449" t="e">
        <f ca="1">OFFSET(Sector1!$G$204,0,(COLUMN()-9)/6)</f>
        <v>#VALUE!</v>
      </c>
      <c r="CD30" s="556" t="e">
        <f ca="1">+BY30-BY23+CC30</f>
        <v>#VALUE!</v>
      </c>
      <c r="CE30" s="3458">
        <f t="shared" ca="1" si="12"/>
        <v>3.0254900000000005</v>
      </c>
      <c r="CF30" s="3449">
        <f ca="1">OFFSET(Sector1!$G$201,0,(COLUMN()-6)/6)</f>
        <v>2.1377100000000002</v>
      </c>
      <c r="CG30" s="3449">
        <f ca="1">OFFSET(Sector1!$G$202,0,(COLUMN()-7)/6)</f>
        <v>0.88609000000000004</v>
      </c>
      <c r="CH30" s="3449">
        <f ca="1">OFFSET(Sector1!$G$203,0,(COLUMN()-8)/6)</f>
        <v>1.6899999999999999E-3</v>
      </c>
      <c r="CI30" s="3449">
        <f ca="1">OFFSET(Sector1!$G$204,0,(COLUMN()-9)/6)</f>
        <v>-8.9999999999999993E-3</v>
      </c>
      <c r="CJ30" s="556">
        <f ca="1">+CE30-CE23+CI30</f>
        <v>-1.0999999999949071E-4</v>
      </c>
      <c r="CK30" s="3458">
        <f ca="1">+CL30+CM30+CN30</f>
        <v>1.5953200000000001</v>
      </c>
      <c r="CL30" s="3449">
        <f ca="1">OFFSET(Sector1!$G$201,0,(COLUMN()-6)/6)</f>
        <v>1.10605</v>
      </c>
      <c r="CM30" s="3449">
        <f ca="1">OFFSET(Sector1!$G$202,0,(COLUMN()-7)/6)</f>
        <v>0.48854999999999998</v>
      </c>
      <c r="CN30" s="3449">
        <f ca="1">OFFSET(Sector1!$G$203,0,(COLUMN()-8)/6)</f>
        <v>7.2000000000000005E-4</v>
      </c>
      <c r="CO30" s="3449">
        <f ca="1">OFFSET(Sector1!$G$204,0,(COLUMN()-9)/6)</f>
        <v>3.0000000000000001E-3</v>
      </c>
      <c r="CP30" s="556">
        <f ca="1">+CK30-CK23+CO30</f>
        <v>1.0000000000173932E-5</v>
      </c>
      <c r="CQ30" s="3458">
        <f ca="1">+CR30+CS30+CT30</f>
        <v>1.31602</v>
      </c>
      <c r="CR30" s="3449">
        <f ca="1">OFFSET(Sector1!$G$201,0,(COLUMN()-6)/6)</f>
        <v>1.0397700000000001</v>
      </c>
      <c r="CS30" s="3449">
        <f ca="1">OFFSET(Sector1!$G$202,0,(COLUMN()-7)/6)</f>
        <v>0.27594999999999997</v>
      </c>
      <c r="CT30" s="3449">
        <f ca="1">OFFSET(Sector1!$G$203,0,(COLUMN()-8)/6)</f>
        <v>3.0000000000000003E-4</v>
      </c>
      <c r="CU30" s="3449">
        <f ca="1">OFFSET(Sector1!$G$204,0,(COLUMN()-9)/6)</f>
        <v>-2.1999999999999999E-2</v>
      </c>
      <c r="CV30" s="556">
        <f ca="1">+CQ30-CQ23+CU30</f>
        <v>-2.9999999999953675E-5</v>
      </c>
      <c r="CW30" s="3458">
        <f ca="1">+CX30+CY30+CZ30</f>
        <v>1.3760999999999999</v>
      </c>
      <c r="CX30" s="3449">
        <f ca="1">OFFSET(Sector1!$G$201,0,(COLUMN()-6)/6)</f>
        <v>1.12323</v>
      </c>
      <c r="CY30" s="3449">
        <f ca="1">OFFSET(Sector1!$G$202,0,(COLUMN()-7)/6)</f>
        <v>0.25196000000000002</v>
      </c>
      <c r="CZ30" s="3449">
        <f ca="1">OFFSET(Sector1!$G$203,0,(COLUMN()-8)/6)</f>
        <v>9.1E-4</v>
      </c>
      <c r="DA30" s="3449">
        <f ca="1">OFFSET(Sector1!$G$204,0,(COLUMN()-9)/6)</f>
        <v>-1.7000000000000001E-2</v>
      </c>
      <c r="DB30" s="556">
        <f ca="1">+CW30-CW23+DA30</f>
        <v>2.000000000003388E-5</v>
      </c>
      <c r="DC30" s="3458">
        <f ca="1">+DD30+DE30+DF30</f>
        <v>1.6112099999999998</v>
      </c>
      <c r="DD30" s="3449">
        <f ca="1">OFFSET(Sector1!$G$201,0,(COLUMN()-6)/6)</f>
        <v>1.1782999999999999</v>
      </c>
      <c r="DE30" s="3449">
        <f ca="1">OFFSET(Sector1!$G$202,0,(COLUMN()-7)/6)</f>
        <v>0.43019999999999997</v>
      </c>
      <c r="DF30" s="3449">
        <f ca="1">OFFSET(Sector1!$G$203,0,(COLUMN()-8)/6)</f>
        <v>2.7100000000000002E-3</v>
      </c>
      <c r="DG30" s="3449">
        <f ca="1">OFFSET(Sector1!$G$204,0,(COLUMN()-9)/6)</f>
        <v>-4.0000000000000001E-3</v>
      </c>
      <c r="DH30" s="556">
        <f ca="1">+DC30-DC23+DG30</f>
        <v>-3.4000000000022554E-4</v>
      </c>
      <c r="DI30" s="3458">
        <f ca="1">+DJ30+DK30+DL30</f>
        <v>1.7425600000000001</v>
      </c>
      <c r="DJ30" s="3449">
        <f ca="1">OFFSET(Sector1!$G$201,0,(COLUMN()-6)/6)</f>
        <v>1.2658900000000002</v>
      </c>
      <c r="DK30" s="3449">
        <f ca="1">OFFSET(Sector1!$G$202,0,(COLUMN()-7)/6)</f>
        <v>0.47525000000000001</v>
      </c>
      <c r="DL30" s="3449">
        <f ca="1">OFFSET(Sector1!$G$203,0,(COLUMN()-8)/6)</f>
        <v>1.4199999999999998E-3</v>
      </c>
      <c r="DM30" s="3449">
        <f ca="1">OFFSET(Sector1!$G$204,0,(COLUMN()-9)/6)</f>
        <v>-6.0000000000000001E-3</v>
      </c>
      <c r="DN30" s="556">
        <f ca="1">+DI30-DI23+DM30</f>
        <v>3.6999999999998666E-4</v>
      </c>
      <c r="DO30" s="3458">
        <f ca="1">+DP30+DQ30+DR30</f>
        <v>1.83361</v>
      </c>
      <c r="DP30" s="3449">
        <f ca="1">OFFSET(Sector1!$G$201,0,(COLUMN()-6)/6)</f>
        <v>1.3338399999999999</v>
      </c>
      <c r="DQ30" s="3449">
        <f ca="1">OFFSET(Sector1!$G$202,0,(COLUMN()-7)/6)</f>
        <v>0.49851999999999996</v>
      </c>
      <c r="DR30" s="3449">
        <f ca="1">OFFSET(Sector1!$G$203,0,(COLUMN()-8)/6)</f>
        <v>1.25E-3</v>
      </c>
      <c r="DS30" s="3449">
        <f ca="1">OFFSET(Sector1!$G$204,0,(COLUMN()-9)/6)</f>
        <v>3.0000000000000001E-3</v>
      </c>
      <c r="DT30" s="556">
        <f ca="1">+DO30-DO23+DS30</f>
        <v>-1.2000000000001159E-4</v>
      </c>
      <c r="DU30" s="3458">
        <f ca="1">+DV30+DW30+DX30</f>
        <v>2.03085</v>
      </c>
      <c r="DV30" s="3449">
        <f ca="1">OFFSET(Sector1!$G$201,0,(COLUMN()-6)/6)</f>
        <v>1.4569700000000001</v>
      </c>
      <c r="DW30" s="3449">
        <f ca="1">OFFSET(Sector1!$G$202,0,(COLUMN()-7)/6)</f>
        <v>0.57265999999999995</v>
      </c>
      <c r="DX30" s="3449">
        <f ca="1">OFFSET(Sector1!$G$203,0,(COLUMN()-8)/6)</f>
        <v>1.2199999999999999E-3</v>
      </c>
      <c r="DY30" s="3449">
        <f ca="1">OFFSET(Sector1!$G$204,0,(COLUMN()-9)/6)</f>
        <v>1E-3</v>
      </c>
      <c r="DZ30" s="556">
        <f ca="1">+DU30-DU23+DY30</f>
        <v>-3.3999999999989681E-4</v>
      </c>
      <c r="EA30" s="3458">
        <f ca="1">+EB30+EC30+ED30</f>
        <v>2.1850099999999997</v>
      </c>
      <c r="EB30" s="3449">
        <f ca="1">OFFSET(Sector1!$G$201,0,(COLUMN()-6)/6)</f>
        <v>1.5573599999999999</v>
      </c>
      <c r="EC30" s="3449">
        <f ca="1">OFFSET(Sector1!$G$202,0,(COLUMN()-7)/6)</f>
        <v>0.62555999999999989</v>
      </c>
      <c r="ED30" s="3449">
        <f ca="1">OFFSET(Sector1!$G$203,0,(COLUMN()-8)/6)</f>
        <v>2.0899999999999998E-3</v>
      </c>
      <c r="EE30" s="3449">
        <f ca="1">OFFSET(Sector1!$G$204,0,(COLUMN()-9)/6)</f>
        <v>8.9999999999999993E-3</v>
      </c>
      <c r="EF30" s="556">
        <f ca="1">+EA30-EA23+EE30</f>
        <v>-4.9000000000044321E-4</v>
      </c>
      <c r="EG30" s="3458">
        <f ca="1">+EH30+EI30+EJ30</f>
        <v>2.3063593839999998</v>
      </c>
      <c r="EH30" s="3449">
        <f ca="1">OFFSET(Sector1!$G$201,0,(COLUMN()-6)/6)</f>
        <v>1.6732275839999999</v>
      </c>
      <c r="EI30" s="3449">
        <f ca="1">OFFSET(Sector1!$G$202,0,(COLUMN()-7)/6)</f>
        <v>0.63099999999999989</v>
      </c>
      <c r="EJ30" s="3449">
        <f ca="1">OFFSET(Sector1!$G$203,0,(COLUMN()-8)/6)</f>
        <v>2.1317999999999997E-3</v>
      </c>
      <c r="EK30" s="3449">
        <f ca="1">OFFSET(Sector1!$G$204,0,(COLUMN()-9)/6)</f>
        <v>8.9999999999999993E-3</v>
      </c>
      <c r="EL30" s="556">
        <f ca="1">+EG30-EG23+EK30</f>
        <v>1.0234868508263162E-16</v>
      </c>
      <c r="EM30" s="3458">
        <f ca="1">+EN30+EO30+EP30</f>
        <v>2.3855682130239995</v>
      </c>
      <c r="EN30" s="3449">
        <f ca="1">OFFSET(Sector1!$G$201,0,(COLUMN()-6)/6)</f>
        <v>1.733463777024</v>
      </c>
      <c r="EO30" s="3449">
        <f ca="1">OFFSET(Sector1!$G$202,0,(COLUMN()-7)/6)</f>
        <v>0.6499299999999999</v>
      </c>
      <c r="EP30" s="3449">
        <f ca="1">OFFSET(Sector1!$G$203,0,(COLUMN()-8)/6)</f>
        <v>2.1744359999999996E-3</v>
      </c>
      <c r="EQ30" s="3449">
        <f ca="1">OFFSET(Sector1!$G$204,0,(COLUMN()-9)/6)</f>
        <v>8.9999999999999993E-3</v>
      </c>
      <c r="ER30" s="556">
        <f ca="1">+EM30-EM23+EQ30</f>
        <v>1.0234868508263162E-16</v>
      </c>
      <c r="ES30" s="3458">
        <f ca="1">+ET30+EU30+EV30</f>
        <v>2.5166978838147842</v>
      </c>
      <c r="ET30" s="3449">
        <f ca="1">OFFSET(Sector1!$G$201,0,(COLUMN()-6)/6)</f>
        <v>1.8262040890947842</v>
      </c>
      <c r="EU30" s="3449">
        <f ca="1">OFFSET(Sector1!$G$202,0,(COLUMN()-7)/6)</f>
        <v>0.6882758699999999</v>
      </c>
      <c r="EV30" s="3449">
        <f ca="1">OFFSET(Sector1!$G$203,0,(COLUMN()-8)/6)</f>
        <v>2.2179247199999997E-3</v>
      </c>
      <c r="EW30" s="3449">
        <f ca="1">OFFSET(Sector1!$G$204,0,(COLUMN()-9)/6)</f>
        <v>8.9999999999999993E-3</v>
      </c>
      <c r="EX30" s="556">
        <f ca="1">+ES30-ES23+EW30</f>
        <v>1.0234868508263162E-16</v>
      </c>
    </row>
    <row r="31" spans="1:154" ht="12.75" customHeight="1">
      <c r="A31" s="553"/>
      <c r="B31" s="600" t="s">
        <v>401</v>
      </c>
      <c r="C31" s="3782" t="s">
        <v>1339</v>
      </c>
      <c r="D31" s="3782"/>
      <c r="E31" s="3458">
        <f ca="1">+F31+G31+H31+I31</f>
        <v>0.56516999999999995</v>
      </c>
      <c r="F31" s="3449">
        <f ca="1">OFFSET(Sector1!$G$259,0,(COLUMN()-6)/6)</f>
        <v>0.56516999999999995</v>
      </c>
      <c r="G31" s="3448"/>
      <c r="H31" s="3448"/>
      <c r="I31" s="3449"/>
      <c r="J31" s="581" t="e">
        <f ca="1">-E31+E24</f>
        <v>#VALUE!</v>
      </c>
      <c r="K31" s="3458">
        <f t="shared" ca="1" si="0"/>
        <v>0.75261999999999996</v>
      </c>
      <c r="L31" s="3449">
        <f ca="1">OFFSET(Sector1!$G$259,0,(COLUMN()-6)/6)</f>
        <v>0.75261999999999996</v>
      </c>
      <c r="M31" s="3448"/>
      <c r="N31" s="3448"/>
      <c r="O31" s="3449"/>
      <c r="P31" s="581" t="e">
        <f ca="1">-K31+K24+O24</f>
        <v>#VALUE!</v>
      </c>
      <c r="Q31" s="3458">
        <f t="shared" ca="1" si="1"/>
        <v>1.0605100000000001</v>
      </c>
      <c r="R31" s="3449">
        <f ca="1">OFFSET(Sector1!$G$259,0,(COLUMN()-6)/6)</f>
        <v>1.0605100000000001</v>
      </c>
      <c r="S31" s="3448"/>
      <c r="T31" s="3448"/>
      <c r="U31" s="3449"/>
      <c r="V31" s="581" t="e">
        <f ca="1">-Q31+Q24+U24</f>
        <v>#VALUE!</v>
      </c>
      <c r="W31" s="3458">
        <f t="shared" ca="1" si="2"/>
        <v>1.3106500000000001</v>
      </c>
      <c r="X31" s="3449">
        <f ca="1">OFFSET(Sector1!$G$259,0,(COLUMN()-6)/6)</f>
        <v>1.3106500000000001</v>
      </c>
      <c r="Y31" s="3448"/>
      <c r="Z31" s="3448"/>
      <c r="AA31" s="3449"/>
      <c r="AB31" s="581" t="e">
        <f ca="1">-W31+W24+AA24</f>
        <v>#VALUE!</v>
      </c>
      <c r="AC31" s="3458">
        <f t="shared" ca="1" si="3"/>
        <v>1.29495</v>
      </c>
      <c r="AD31" s="3449">
        <f ca="1">OFFSET(Sector1!$G$259,0,(COLUMN()-6)/6)</f>
        <v>1.29495</v>
      </c>
      <c r="AE31" s="3448"/>
      <c r="AF31" s="3448"/>
      <c r="AG31" s="3449"/>
      <c r="AH31" s="581" t="e">
        <f ca="1">-AC31+AC24+AG24</f>
        <v>#VALUE!</v>
      </c>
      <c r="AI31" s="3458">
        <f t="shared" ca="1" si="4"/>
        <v>1.37117</v>
      </c>
      <c r="AJ31" s="3449">
        <f ca="1">OFFSET(Sector1!$G$259,0,(COLUMN()-6)/6)</f>
        <v>1.37117</v>
      </c>
      <c r="AK31" s="3448"/>
      <c r="AL31" s="3448"/>
      <c r="AM31" s="3449"/>
      <c r="AN31" s="581" t="e">
        <f ca="1">-AI31+AI24+AM24</f>
        <v>#VALUE!</v>
      </c>
      <c r="AO31" s="3458">
        <f t="shared" ca="1" si="5"/>
        <v>1.3836900000000001</v>
      </c>
      <c r="AP31" s="3449">
        <f ca="1">OFFSET(Sector1!$G$259,0,(COLUMN()-6)/6)</f>
        <v>1.3836900000000001</v>
      </c>
      <c r="AQ31" s="3448"/>
      <c r="AR31" s="3448"/>
      <c r="AS31" s="3449"/>
      <c r="AT31" s="581" t="e">
        <f ca="1">-AO31+AO24+AS24</f>
        <v>#VALUE!</v>
      </c>
      <c r="AU31" s="3458">
        <f t="shared" ca="1" si="6"/>
        <v>1.4291700000000001</v>
      </c>
      <c r="AV31" s="3449">
        <f ca="1">OFFSET(Sector1!$G$259,0,(COLUMN()-6)/6)</f>
        <v>1.4291700000000001</v>
      </c>
      <c r="AW31" s="3448"/>
      <c r="AX31" s="3448"/>
      <c r="AY31" s="3449"/>
      <c r="AZ31" s="581" t="e">
        <f ca="1">-AU31+AU24+AY24</f>
        <v>#VALUE!</v>
      </c>
      <c r="BA31" s="3458">
        <f t="shared" ca="1" si="7"/>
        <v>1.5403800000000001</v>
      </c>
      <c r="BB31" s="3449">
        <f ca="1">OFFSET(Sector1!$G$259,0,(COLUMN()-6)/6)</f>
        <v>1.5403800000000001</v>
      </c>
      <c r="BC31" s="3448"/>
      <c r="BD31" s="3448"/>
      <c r="BE31" s="3449"/>
      <c r="BF31" s="581" t="e">
        <f ca="1">-BA31+BA24+BE24</f>
        <v>#VALUE!</v>
      </c>
      <c r="BG31" s="3458">
        <f t="shared" ca="1" si="8"/>
        <v>1.7726900000000001</v>
      </c>
      <c r="BH31" s="3449">
        <f ca="1">OFFSET(Sector1!$G$259,0,(COLUMN()-6)/6)</f>
        <v>1.7726900000000001</v>
      </c>
      <c r="BI31" s="3448"/>
      <c r="BJ31" s="3448"/>
      <c r="BK31" s="3449"/>
      <c r="BL31" s="581" t="e">
        <f ca="1">-BG31+BG24+BK24</f>
        <v>#VALUE!</v>
      </c>
      <c r="BM31" s="3458">
        <f t="shared" ca="1" si="9"/>
        <v>2.1060300000000001</v>
      </c>
      <c r="BN31" s="3449">
        <f ca="1">OFFSET(Sector1!$G$259,0,(COLUMN()-6)/6)</f>
        <v>2.1060300000000001</v>
      </c>
      <c r="BO31" s="3448"/>
      <c r="BP31" s="3448"/>
      <c r="BQ31" s="3449"/>
      <c r="BR31" s="581" t="e">
        <f ca="1">-BM31+BM24+BQ24</f>
        <v>#VALUE!</v>
      </c>
      <c r="BS31" s="3458">
        <f t="shared" ca="1" si="10"/>
        <v>2.5360200000000002</v>
      </c>
      <c r="BT31" s="3449">
        <f ca="1">OFFSET(Sector1!$G$259,0,(COLUMN()-6)/6)</f>
        <v>2.5360200000000002</v>
      </c>
      <c r="BU31" s="3448"/>
      <c r="BV31" s="3448"/>
      <c r="BW31" s="3449"/>
      <c r="BX31" s="581" t="e">
        <f ca="1">-BS31+BS24+BW24</f>
        <v>#VALUE!</v>
      </c>
      <c r="BY31" s="3458">
        <f t="shared" ca="1" si="11"/>
        <v>3.1271399999999998</v>
      </c>
      <c r="BZ31" s="3449">
        <f ca="1">OFFSET(Sector1!$G$259,0,(COLUMN()-6)/6)</f>
        <v>3.1271399999999998</v>
      </c>
      <c r="CA31" s="3448"/>
      <c r="CB31" s="3448"/>
      <c r="CC31" s="3449"/>
      <c r="CD31" s="581" t="e">
        <f ca="1">-BY31+BY24+CC24</f>
        <v>#VALUE!</v>
      </c>
      <c r="CE31" s="3458">
        <f t="shared" ca="1" si="12"/>
        <v>3.7217500000000001</v>
      </c>
      <c r="CF31" s="3449">
        <f ca="1">OFFSET(Sector1!$G$259,0,(COLUMN()-6)/6)</f>
        <v>3.7217500000000001</v>
      </c>
      <c r="CG31" s="3448"/>
      <c r="CH31" s="3448"/>
      <c r="CI31" s="3449"/>
      <c r="CJ31" s="581">
        <f ca="1">-CE31+CE24+CI24</f>
        <v>-3.0000000000324906E-5</v>
      </c>
      <c r="CK31" s="3458">
        <f ca="1">+CL31+CM31+CN31</f>
        <v>3.7771500000000002</v>
      </c>
      <c r="CL31" s="3449">
        <f ca="1">OFFSET(Sector1!$G$259,0,(COLUMN()-6)/6)</f>
        <v>3.7771500000000002</v>
      </c>
      <c r="CM31" s="3448"/>
      <c r="CN31" s="3448"/>
      <c r="CO31" s="3449"/>
      <c r="CP31" s="581">
        <f ca="1">-CK31+CK24+CO24</f>
        <v>3.3399999999999992E-3</v>
      </c>
      <c r="CQ31" s="3458">
        <f ca="1">+CR31+CS31+CT31</f>
        <v>3.6449099999999999</v>
      </c>
      <c r="CR31" s="3449">
        <f ca="1">OFFSET(Sector1!$G$259,0,(COLUMN()-6)/6)</f>
        <v>3.6449099999999999</v>
      </c>
      <c r="CS31" s="3448"/>
      <c r="CT31" s="3448"/>
      <c r="CU31" s="3449"/>
      <c r="CV31" s="581">
        <f ca="1">-CQ31+CQ24+CU24</f>
        <v>1.7000000000019777E-4</v>
      </c>
      <c r="CW31" s="3458">
        <f ca="1">+CX31+CY31+CZ31</f>
        <v>3.8609299999999998</v>
      </c>
      <c r="CX31" s="3449">
        <f ca="1">OFFSET(Sector1!$G$259,0,(COLUMN()-6)/6)</f>
        <v>3.8609299999999998</v>
      </c>
      <c r="CY31" s="3448"/>
      <c r="CZ31" s="3448"/>
      <c r="DA31" s="3449"/>
      <c r="DB31" s="581">
        <f ca="1">-CW31+CW24+DA24</f>
        <v>-8.9999999999947761E-5</v>
      </c>
      <c r="DC31" s="3458">
        <f ca="1">+DD31+DE31+DF31</f>
        <v>3.9392600000000004</v>
      </c>
      <c r="DD31" s="3449">
        <f ca="1">OFFSET(Sector1!$G$259,0,(COLUMN()-6)/6)</f>
        <v>3.9392600000000004</v>
      </c>
      <c r="DE31" s="3448"/>
      <c r="DF31" s="3448"/>
      <c r="DG31" s="3449"/>
      <c r="DH31" s="581">
        <f ca="1">-DC31+DC24+DG24</f>
        <v>-5.0000000000050091E-4</v>
      </c>
      <c r="DI31" s="3458">
        <f ca="1">+DJ31+DK31+DL31</f>
        <v>4.1875400000000003</v>
      </c>
      <c r="DJ31" s="3449">
        <f ca="1">OFFSET(Sector1!$G$259,0,(COLUMN()-6)/6)</f>
        <v>4.1875400000000003</v>
      </c>
      <c r="DK31" s="3448"/>
      <c r="DL31" s="3448"/>
      <c r="DM31" s="3449"/>
      <c r="DN31" s="581">
        <f ca="1">-DI31+DI24+DM24</f>
        <v>-6.0000000000049163E-4</v>
      </c>
      <c r="DO31" s="3458">
        <f ca="1">+DP31+DQ31+DR31</f>
        <v>4.4502299999999995</v>
      </c>
      <c r="DP31" s="3449">
        <f ca="1">OFFSET(Sector1!$G$259,0,(COLUMN()-6)/6)</f>
        <v>4.4502299999999995</v>
      </c>
      <c r="DQ31" s="3448"/>
      <c r="DR31" s="3448"/>
      <c r="DS31" s="3449"/>
      <c r="DT31" s="581">
        <f ca="1">-DO31+DO24+DS24</f>
        <v>4.2000000000020059E-4</v>
      </c>
      <c r="DU31" s="3458">
        <f ca="1">+DV31+DW31+DX31</f>
        <v>4.7600800000000003</v>
      </c>
      <c r="DV31" s="3449">
        <f ca="1">OFFSET(Sector1!$G$259,0,(COLUMN()-6)/6)</f>
        <v>4.7600800000000003</v>
      </c>
      <c r="DW31" s="3448"/>
      <c r="DX31" s="3448"/>
      <c r="DY31" s="3449"/>
      <c r="DZ31" s="581">
        <f ca="1">-DU31+DU24+DY24</f>
        <v>2.600000000004812E-4</v>
      </c>
      <c r="EA31" s="3458">
        <f ca="1">+EB31+EC31+ED31</f>
        <v>5.1583000000000006</v>
      </c>
      <c r="EB31" s="3449">
        <f ca="1">OFFSET(Sector1!$G$259,0,(COLUMN()-6)/6)</f>
        <v>5.1583000000000006</v>
      </c>
      <c r="EC31" s="3448"/>
      <c r="ED31" s="3448"/>
      <c r="EE31" s="3449"/>
      <c r="EF31" s="581">
        <f ca="1">-EA31+EA24+EE24</f>
        <v>5.599999999991211E-4</v>
      </c>
      <c r="EG31" s="3458">
        <f ca="1">+EH31+EI31+EJ31</f>
        <v>5.7781323307806325</v>
      </c>
      <c r="EH31" s="3449">
        <f ca="1">OFFSET(Sector1!$G$259,0,(COLUMN()-6)/6)</f>
        <v>5.7781323307806325</v>
      </c>
      <c r="EI31" s="3448"/>
      <c r="EJ31" s="3448"/>
      <c r="EK31" s="3449"/>
      <c r="EL31" s="581">
        <f ca="1">-EG31+EG24+EK24</f>
        <v>7.814929259275516E-16</v>
      </c>
      <c r="EM31" s="3458">
        <f ca="1">+EN31+EO31+EP31</f>
        <v>6.1632101573429354</v>
      </c>
      <c r="EN31" s="3449">
        <f ca="1">OFFSET(Sector1!$G$259,0,(COLUMN()-6)/6)</f>
        <v>6.1632101573429354</v>
      </c>
      <c r="EO31" s="3448"/>
      <c r="EP31" s="3448"/>
      <c r="EQ31" s="3449"/>
      <c r="ER31" s="581">
        <f ca="1">-EM31+EM24+EQ24</f>
        <v>-9.9486391347269887E-16</v>
      </c>
      <c r="ES31" s="3458">
        <f ca="1">+ET31+EU31+EV31</f>
        <v>6.5177736483684185</v>
      </c>
      <c r="ET31" s="3449">
        <f ca="1">OFFSET(Sector1!$G$259,0,(COLUMN()-6)/6)</f>
        <v>6.5177736483684185</v>
      </c>
      <c r="EU31" s="3448"/>
      <c r="EV31" s="3448"/>
      <c r="EW31" s="3449"/>
      <c r="EX31" s="581">
        <f ca="1">-ES31+ES24+EW24</f>
        <v>-1.0668549377257364E-16</v>
      </c>
    </row>
    <row r="32" spans="1:154" ht="12.75" customHeight="1">
      <c r="A32" s="553"/>
      <c r="B32" s="600" t="s">
        <v>401</v>
      </c>
      <c r="C32" s="3782" t="s">
        <v>1340</v>
      </c>
      <c r="D32" s="3782"/>
      <c r="E32" s="3458">
        <f ca="1">+F32+G32+H32-I32</f>
        <v>0.63927999999999985</v>
      </c>
      <c r="F32" s="3449">
        <f ca="1">OFFSET(Sector1!$G$298,0,(COLUMN()-6)/6)</f>
        <v>2.8000000000000003E-4</v>
      </c>
      <c r="G32" s="3449">
        <f ca="1">OFFSET(Sector1!$G$299,0,(COLUMN()-7)/6)</f>
        <v>4.4400000000000004E-3</v>
      </c>
      <c r="H32" s="3449">
        <f ca="1">OFFSET(Sector1!$G$300,0,(COLUMN()-8)/6)</f>
        <v>0.6345599999999999</v>
      </c>
      <c r="I32" s="3449">
        <f ca="1">OFFSET(Sector1!$G$301,0,(COLUMN()-9)/6)</f>
        <v>0</v>
      </c>
      <c r="J32" s="581">
        <f ca="1">-E32+E27</f>
        <v>1.0000000000065512E-5</v>
      </c>
      <c r="K32" s="3458">
        <f ca="1">+L32+M32+N32-O32</f>
        <v>0.83792</v>
      </c>
      <c r="L32" s="3449">
        <f ca="1">OFFSET(Sector1!$G$298,0,(COLUMN()-6)/6)</f>
        <v>2.2000000000000003E-4</v>
      </c>
      <c r="M32" s="3449">
        <f ca="1">OFFSET(Sector1!$G$299,0,(COLUMN()-7)/6)</f>
        <v>4.1399999999999996E-3</v>
      </c>
      <c r="N32" s="3449">
        <f ca="1">OFFSET(Sector1!$G$300,0,(COLUMN()-8)/6)</f>
        <v>0.83355999999999997</v>
      </c>
      <c r="O32" s="3449">
        <f ca="1">OFFSET(Sector1!$G$301,0,(COLUMN()-9)/6)</f>
        <v>0</v>
      </c>
      <c r="P32" s="581">
        <f ca="1">-K32+K27</f>
        <v>-1.0000000000065512E-5</v>
      </c>
      <c r="Q32" s="3458">
        <f ca="1">+R32+S32+T32-U32</f>
        <v>1.1368299999999998</v>
      </c>
      <c r="R32" s="3449">
        <f ca="1">OFFSET(Sector1!$G$298,0,(COLUMN()-6)/6)</f>
        <v>3.3E-4</v>
      </c>
      <c r="S32" s="3449">
        <f ca="1">OFFSET(Sector1!$G$299,0,(COLUMN()-7)/6)</f>
        <v>5.7199999999999994E-3</v>
      </c>
      <c r="T32" s="3449">
        <f ca="1">OFFSET(Sector1!$G$300,0,(COLUMN()-8)/6)</f>
        <v>1.1307799999999999</v>
      </c>
      <c r="U32" s="3449">
        <f ca="1">OFFSET(Sector1!$G$301,0,(COLUMN()-9)/6)</f>
        <v>0</v>
      </c>
      <c r="V32" s="581">
        <f ca="1">-Q32+Q27</f>
        <v>0</v>
      </c>
      <c r="W32" s="3458">
        <f ca="1">+X32+Y32+Z32-AA32</f>
        <v>1.4190699999999998</v>
      </c>
      <c r="X32" s="3449">
        <f ca="1">OFFSET(Sector1!$G$298,0,(COLUMN()-6)/6)</f>
        <v>4.9000000000000009E-4</v>
      </c>
      <c r="Y32" s="3449">
        <f ca="1">OFFSET(Sector1!$G$299,0,(COLUMN()-7)/6)</f>
        <v>7.0899999999999999E-3</v>
      </c>
      <c r="Z32" s="3449">
        <f ca="1">OFFSET(Sector1!$G$300,0,(COLUMN()-8)/6)</f>
        <v>1.4114899999999999</v>
      </c>
      <c r="AA32" s="3449">
        <f ca="1">OFFSET(Sector1!$G$301,0,(COLUMN()-9)/6)</f>
        <v>0</v>
      </c>
      <c r="AB32" s="581">
        <f ca="1">-W32+W27</f>
        <v>1.0000000000065512E-5</v>
      </c>
      <c r="AC32" s="3458">
        <f ca="1">+AD32+AE32+AF32-AG32</f>
        <v>1.5593599999999999</v>
      </c>
      <c r="AD32" s="3449">
        <f ca="1">OFFSET(Sector1!$G$298,0,(COLUMN()-6)/6)</f>
        <v>3.5000000000000005E-4</v>
      </c>
      <c r="AE32" s="3449">
        <f ca="1">OFFSET(Sector1!$G$299,0,(COLUMN()-7)/6)</f>
        <v>7.7400000000000004E-3</v>
      </c>
      <c r="AF32" s="3449">
        <f ca="1">OFFSET(Sector1!$G$300,0,(COLUMN()-8)/6)</f>
        <v>1.5512699999999999</v>
      </c>
      <c r="AG32" s="3449">
        <f ca="1">OFFSET(Sector1!$G$301,0,(COLUMN()-9)/6)</f>
        <v>0</v>
      </c>
      <c r="AH32" s="581">
        <f ca="1">-AC32+AC27</f>
        <v>2.4739999999999984E-2</v>
      </c>
      <c r="AI32" s="3458">
        <f ca="1">+AJ32+AK32+AL32-AM32</f>
        <v>1.5679254216867469</v>
      </c>
      <c r="AJ32" s="3449">
        <f ca="1">OFFSET(Sector1!$G$298,0,(COLUMN()-6)/6)</f>
        <v>4.6000000000000001E-4</v>
      </c>
      <c r="AK32" s="3449">
        <f ca="1">OFFSET(Sector1!$G$299,0,(COLUMN()-7)/6)</f>
        <v>6.1700000000000001E-3</v>
      </c>
      <c r="AL32" s="3449">
        <f ca="1">OFFSET(Sector1!$G$300,0,(COLUMN()-8)/6)</f>
        <v>1.53494</v>
      </c>
      <c r="AM32" s="3449">
        <f ca="1">OFFSET(Sector1!$G$301,0,(COLUMN()-9)/6)</f>
        <v>-2.635542168674699E-2</v>
      </c>
      <c r="AN32" s="581">
        <f ca="1">-AI32+AI27</f>
        <v>-2.6542168674681399E-4</v>
      </c>
      <c r="AO32" s="3458">
        <f ca="1">+AP32+AQ32+AR32-AS32</f>
        <v>1.6304192215013902</v>
      </c>
      <c r="AP32" s="3449">
        <f ca="1">OFFSET(Sector1!$G$298,0,(COLUMN()-6)/6)</f>
        <v>4.0000000000000002E-4</v>
      </c>
      <c r="AQ32" s="3449">
        <f ca="1">OFFSET(Sector1!$G$299,0,(COLUMN()-7)/6)</f>
        <v>4.5999999999999999E-3</v>
      </c>
      <c r="AR32" s="3449">
        <f ca="1">OFFSET(Sector1!$G$300,0,(COLUMN()-8)/6)</f>
        <v>1.6019600000000001</v>
      </c>
      <c r="AS32" s="3449">
        <f ca="1">OFFSET(Sector1!$G$301,0,(COLUMN()-9)/6)</f>
        <v>-2.3459221501390175E-2</v>
      </c>
      <c r="AT32" s="581">
        <f ca="1">-AO32+AO27</f>
        <v>2.1077849860984266E-4</v>
      </c>
      <c r="AU32" s="3458">
        <f ca="1">+AV32+AW32+AX32-AY32</f>
        <v>1.5505542817423539</v>
      </c>
      <c r="AV32" s="3449">
        <f ca="1">OFFSET(Sector1!$G$298,0,(COLUMN()-6)/6)</f>
        <v>3.7000000000000005E-4</v>
      </c>
      <c r="AW32" s="3449">
        <f ca="1">OFFSET(Sector1!$G$299,0,(COLUMN()-7)/6)</f>
        <v>4.3699999999999998E-3</v>
      </c>
      <c r="AX32" s="3449">
        <f ca="1">OFFSET(Sector1!$G$300,0,(COLUMN()-8)/6)</f>
        <v>1.5185899999999999</v>
      </c>
      <c r="AY32" s="3449">
        <f ca="1">OFFSET(Sector1!$G$301,0,(COLUMN()-9)/6)</f>
        <v>-2.7224281742354032E-2</v>
      </c>
      <c r="AZ32" s="581">
        <f ca="1">-AU32+AU27</f>
        <v>-2.0842817423538662E-3</v>
      </c>
      <c r="BA32" s="3458">
        <f ca="1">+BB32+BC32+BD32-BE32</f>
        <v>1.6603565616311402</v>
      </c>
      <c r="BB32" s="3449">
        <f ca="1">OFFSET(Sector1!$G$298,0,(COLUMN()-6)/6)</f>
        <v>4.2000000000000002E-4</v>
      </c>
      <c r="BC32" s="3449">
        <f ca="1">OFFSET(Sector1!$G$299,0,(COLUMN()-7)/6)</f>
        <v>5.2900000000000004E-3</v>
      </c>
      <c r="BD32" s="3449">
        <f ca="1">OFFSET(Sector1!$G$300,0,(COLUMN()-8)/6)</f>
        <v>1.6291600000000002</v>
      </c>
      <c r="BE32" s="3449">
        <f ca="1">OFFSET(Sector1!$G$301,0,(COLUMN()-9)/6)</f>
        <v>-2.5486561631139947E-2</v>
      </c>
      <c r="BF32" s="581">
        <f ca="1">-BA32+BA27</f>
        <v>-1.9656163114012415E-4</v>
      </c>
      <c r="BG32" s="3458">
        <f ca="1">+BH32+BI32+BJ32-BK32</f>
        <v>1.8101865616311399</v>
      </c>
      <c r="BH32" s="3449">
        <f ca="1">OFFSET(Sector1!$G$298,0,(COLUMN()-6)/6)</f>
        <v>4.4000000000000007E-4</v>
      </c>
      <c r="BI32" s="3449">
        <f ca="1">OFFSET(Sector1!$G$299,0,(COLUMN()-7)/6)</f>
        <v>6.0899999999999999E-3</v>
      </c>
      <c r="BJ32" s="3449">
        <f ca="1">OFFSET(Sector1!$G$300,0,(COLUMN()-8)/6)</f>
        <v>1.77817</v>
      </c>
      <c r="BK32" s="3449">
        <f ca="1">OFFSET(Sector1!$G$301,0,(COLUMN()-9)/6)</f>
        <v>-2.5486561631139947E-2</v>
      </c>
      <c r="BL32" s="581">
        <f ca="1">-BG32+BG27</f>
        <v>3.4383688600758688E-6</v>
      </c>
      <c r="BM32" s="3458">
        <f ca="1">+BN32+BO32+BP32-BQ32</f>
        <v>2.0780099999999999</v>
      </c>
      <c r="BN32" s="3449">
        <f ca="1">OFFSET(Sector1!$G$298,0,(COLUMN()-6)/6)</f>
        <v>5.6000000000000006E-4</v>
      </c>
      <c r="BO32" s="3449">
        <f ca="1">OFFSET(Sector1!$G$299,0,(COLUMN()-7)/6)</f>
        <v>9.0659999999999991E-2</v>
      </c>
      <c r="BP32" s="3449">
        <f ca="1">OFFSET(Sector1!$G$300,0,(COLUMN()-8)/6)</f>
        <v>1.9577899999999999</v>
      </c>
      <c r="BQ32" s="3449">
        <f ca="1">OFFSET(Sector1!$G$301,0,(COLUMN()-9)/6)</f>
        <v>-2.9000000000000001E-2</v>
      </c>
      <c r="BR32" s="581">
        <f ca="1">-BM32+BM27</f>
        <v>4.8000000000003595E-4</v>
      </c>
      <c r="BS32" s="3458">
        <f ca="1">+BT32+BU32+BV32-BW32</f>
        <v>2.3494899999999999</v>
      </c>
      <c r="BT32" s="3449">
        <f ca="1">OFFSET(Sector1!$G$298,0,(COLUMN()-6)/6)</f>
        <v>6.8000000000000005E-4</v>
      </c>
      <c r="BU32" s="3449">
        <f ca="1">OFFSET(Sector1!$G$299,0,(COLUMN()-7)/6)</f>
        <v>0.11231999999999999</v>
      </c>
      <c r="BV32" s="3449">
        <f ca="1">OFFSET(Sector1!$G$300,0,(COLUMN()-8)/6)</f>
        <v>2.2084899999999998</v>
      </c>
      <c r="BW32" s="3449">
        <f ca="1">OFFSET(Sector1!$G$301,0,(COLUMN()-9)/6)</f>
        <v>-2.8000000000000001E-2</v>
      </c>
      <c r="BX32" s="581">
        <f ca="1">-BS32+BS27</f>
        <v>-8.999999999970143E-5</v>
      </c>
      <c r="BY32" s="3458">
        <f ca="1">+BZ32+CA32+CB32-CC32</f>
        <v>2.9750800000000002</v>
      </c>
      <c r="BZ32" s="3449">
        <f ca="1">OFFSET(Sector1!$G$298,0,(COLUMN()-6)/6)</f>
        <v>8.5000000000000006E-4</v>
      </c>
      <c r="CA32" s="3449">
        <f ca="1">OFFSET(Sector1!$G$299,0,(COLUMN()-7)/6)</f>
        <v>0.14411000000000002</v>
      </c>
      <c r="CB32" s="3449">
        <f ca="1">OFFSET(Sector1!$G$300,0,(COLUMN()-8)/6)</f>
        <v>2.8051200000000001</v>
      </c>
      <c r="CC32" s="3449">
        <f ca="1">OFFSET(Sector1!$G$301,0,(COLUMN()-9)/6)</f>
        <v>-2.5000000000000001E-2</v>
      </c>
      <c r="CD32" s="581">
        <f ca="1">-BY32+BY27</f>
        <v>2.9999999999752447E-5</v>
      </c>
      <c r="CE32" s="3458">
        <f ca="1">+CF32+CG32+CH32-CI32</f>
        <v>3.9589399999999997</v>
      </c>
      <c r="CF32" s="3449">
        <f ca="1">OFFSET(Sector1!$G$298,0,(COLUMN()-6)/6)</f>
        <v>8.7000000000000011E-4</v>
      </c>
      <c r="CG32" s="3449">
        <f ca="1">OFFSET(Sector1!$G$299,0,(COLUMN()-7)/6)</f>
        <v>0.16861999999999999</v>
      </c>
      <c r="CH32" s="3449">
        <f ca="1">OFFSET(Sector1!$G$300,0,(COLUMN()-8)/6)</f>
        <v>3.7564499999999996</v>
      </c>
      <c r="CI32" s="3449">
        <f ca="1">OFFSET(Sector1!$G$301,0,(COLUMN()-9)/6)</f>
        <v>-3.3000000000000002E-2</v>
      </c>
      <c r="CJ32" s="581">
        <f ca="1">-CE32+CE27</f>
        <v>4.9000000000010147E-4</v>
      </c>
      <c r="CK32" s="3458">
        <f ca="1">+CL32+CM32+CN32-CO32</f>
        <v>4.5077800000000003</v>
      </c>
      <c r="CL32" s="3449">
        <f ca="1">OFFSET(Sector1!$G$298,0,(COLUMN()-6)/6)</f>
        <v>8.1000000000000006E-4</v>
      </c>
      <c r="CM32" s="3449">
        <f ca="1">OFFSET(Sector1!$G$299,0,(COLUMN()-7)/6)</f>
        <v>0.12520999999999999</v>
      </c>
      <c r="CN32" s="3449">
        <f ca="1">OFFSET(Sector1!$G$300,0,(COLUMN()-8)/6)</f>
        <v>4.3547600000000006</v>
      </c>
      <c r="CO32" s="3449">
        <f ca="1">OFFSET(Sector1!$G$301,0,(COLUMN()-9)/6)</f>
        <v>-2.7E-2</v>
      </c>
      <c r="CP32" s="581">
        <f ca="1">-CK32+CK27</f>
        <v>-1.8000000000029104E-4</v>
      </c>
      <c r="CQ32" s="3458">
        <f ca="1">+CR32+CS32+CT32-CU32</f>
        <v>4.1590699999999998</v>
      </c>
      <c r="CR32" s="3449">
        <f ca="1">OFFSET(Sector1!$G$298,0,(COLUMN()-6)/6)</f>
        <v>7.7999999999999999E-4</v>
      </c>
      <c r="CS32" s="3449">
        <f ca="1">OFFSET(Sector1!$G$299,0,(COLUMN()-7)/6)</f>
        <v>0.11831</v>
      </c>
      <c r="CT32" s="3449">
        <f ca="1">OFFSET(Sector1!$G$300,0,(COLUMN()-8)/6)</f>
        <v>4.0089800000000002</v>
      </c>
      <c r="CU32" s="3449">
        <f ca="1">OFFSET(Sector1!$G$301,0,(COLUMN()-9)/6)</f>
        <v>-3.1E-2</v>
      </c>
      <c r="CV32" s="581">
        <f ca="1">-CQ32+CQ27</f>
        <v>1.1999999999989797E-4</v>
      </c>
      <c r="CW32" s="3458">
        <f ca="1">+CX32+CY32+CZ32-DA32</f>
        <v>4.0817199999999989</v>
      </c>
      <c r="CX32" s="3449">
        <f ca="1">OFFSET(Sector1!$G$298,0,(COLUMN()-6)/6)</f>
        <v>8.7000000000000011E-4</v>
      </c>
      <c r="CY32" s="3449">
        <f ca="1">OFFSET(Sector1!$G$299,0,(COLUMN()-7)/6)</f>
        <v>0.15762999999999999</v>
      </c>
      <c r="CZ32" s="3449">
        <f ca="1">OFFSET(Sector1!$G$300,0,(COLUMN()-8)/6)</f>
        <v>3.9032199999999997</v>
      </c>
      <c r="DA32" s="3449">
        <f ca="1">OFFSET(Sector1!$G$301,0,(COLUMN()-9)/6)</f>
        <v>-0.02</v>
      </c>
      <c r="DB32" s="581">
        <f ca="1">-CW32+CW27</f>
        <v>4.3000000000148475E-4</v>
      </c>
      <c r="DC32" s="3458">
        <f ca="1">+DD32+DE32+DF32-DG32</f>
        <v>4.1431900000000006</v>
      </c>
      <c r="DD32" s="3449">
        <f ca="1">OFFSET(Sector1!$G$298,0,(COLUMN()-6)/6)</f>
        <v>8.5000000000000006E-4</v>
      </c>
      <c r="DE32" s="3449">
        <f ca="1">OFFSET(Sector1!$G$299,0,(COLUMN()-7)/6)</f>
        <v>0.13691999999999999</v>
      </c>
      <c r="DF32" s="3449">
        <f ca="1">OFFSET(Sector1!$G$300,0,(COLUMN()-8)/6)</f>
        <v>3.9884200000000001</v>
      </c>
      <c r="DG32" s="3449">
        <f ca="1">OFFSET(Sector1!$G$301,0,(COLUMN()-9)/6)</f>
        <v>-1.7000000000000001E-2</v>
      </c>
      <c r="DH32" s="581">
        <f ca="1">-DC32+DC27</f>
        <v>-4.4000000000021799E-4</v>
      </c>
      <c r="DI32" s="3458">
        <f ca="1">+DJ32+DK32+DL32-DM32</f>
        <v>4.1105099999999997</v>
      </c>
      <c r="DJ32" s="3449">
        <f ca="1">OFFSET(Sector1!$G$298,0,(COLUMN()-6)/6)</f>
        <v>8.8000000000000014E-4</v>
      </c>
      <c r="DK32" s="3449">
        <f ca="1">OFFSET(Sector1!$G$299,0,(COLUMN()-7)/6)</f>
        <v>0.15028</v>
      </c>
      <c r="DL32" s="3449">
        <f ca="1">OFFSET(Sector1!$G$300,0,(COLUMN()-8)/6)</f>
        <v>3.9543499999999998</v>
      </c>
      <c r="DM32" s="3449">
        <f ca="1">OFFSET(Sector1!$G$301,0,(COLUMN()-9)/6)</f>
        <v>-5.0000000000000001E-3</v>
      </c>
      <c r="DN32" s="581">
        <f ca="1">-DI32+DI27</f>
        <v>-4.1999999999919879E-4</v>
      </c>
      <c r="DO32" s="3458">
        <f ca="1">+DP32+DQ32+DR32-DS32</f>
        <v>4.1318199999999994</v>
      </c>
      <c r="DP32" s="3449">
        <f ca="1">OFFSET(Sector1!$G$298,0,(COLUMN()-6)/6)</f>
        <v>1E-3</v>
      </c>
      <c r="DQ32" s="3449">
        <f ca="1">OFFSET(Sector1!$G$299,0,(COLUMN()-7)/6)</f>
        <v>0.15912000000000001</v>
      </c>
      <c r="DR32" s="3449">
        <f ca="1">OFFSET(Sector1!$G$300,0,(COLUMN()-8)/6)</f>
        <v>3.9676999999999998</v>
      </c>
      <c r="DS32" s="3449">
        <f ca="1">OFFSET(Sector1!$G$301,0,(COLUMN()-9)/6)</f>
        <v>-4.0000000000000001E-3</v>
      </c>
      <c r="DT32" s="581">
        <f ca="1">-DO32+DO27</f>
        <v>5.0000000000061107E-4</v>
      </c>
      <c r="DU32" s="3458">
        <f ca="1">+DV32+DW32+DX32-DY32</f>
        <v>4.2373300000000009</v>
      </c>
      <c r="DV32" s="3449">
        <f ca="1">OFFSET(Sector1!$G$298,0,(COLUMN()-6)/6)</f>
        <v>8.9999999999999998E-4</v>
      </c>
      <c r="DW32" s="3449">
        <f ca="1">OFFSET(Sector1!$G$299,0,(COLUMN()-7)/6)</f>
        <v>0.17338000000000001</v>
      </c>
      <c r="DX32" s="3449">
        <f ca="1">OFFSET(Sector1!$G$300,0,(COLUMN()-8)/6)</f>
        <v>4.0540500000000002</v>
      </c>
      <c r="DY32" s="3449">
        <f ca="1">OFFSET(Sector1!$G$301,0,(COLUMN()-9)/6)</f>
        <v>-8.9999999999999993E-3</v>
      </c>
      <c r="DZ32" s="581">
        <f ca="1">-DU32+DU27</f>
        <v>-4.8000000000048004E-4</v>
      </c>
      <c r="EA32" s="3458">
        <f ca="1">+EB32+EC32+ED32-EE32</f>
        <v>4.45587</v>
      </c>
      <c r="EB32" s="3449">
        <f ca="1">OFFSET(Sector1!$G$298,0,(COLUMN()-6)/6)</f>
        <v>9.4000000000000008E-4</v>
      </c>
      <c r="EC32" s="3449">
        <f ca="1">OFFSET(Sector1!$G$299,0,(COLUMN()-7)/6)</f>
        <v>0.18775999999999998</v>
      </c>
      <c r="ED32" s="3449">
        <f ca="1">OFFSET(Sector1!$G$300,0,(COLUMN()-8)/6)</f>
        <v>4.2601700000000005</v>
      </c>
      <c r="EE32" s="3449">
        <f ca="1">OFFSET(Sector1!$G$301,0,(COLUMN()-9)/6)</f>
        <v>-7.0000000000000001E-3</v>
      </c>
      <c r="EF32" s="581">
        <f ca="1">-EA32+EA27</f>
        <v>2.5999999999992696E-4</v>
      </c>
      <c r="EG32" s="3458">
        <f ca="1">+EH32+EI32+EJ32-EK32</f>
        <v>4.9755800200000007</v>
      </c>
      <c r="EH32" s="3449">
        <f ca="1">OFFSET(Sector1!$G$298,0,(COLUMN()-6)/6)</f>
        <v>9.8042000000000008E-4</v>
      </c>
      <c r="EI32" s="3449">
        <f ca="1">OFFSET(Sector1!$G$299,0,(COLUMN()-7)/6)</f>
        <v>0.19620919999999997</v>
      </c>
      <c r="EJ32" s="3449">
        <f ca="1">OFFSET(Sector1!$G$300,0,(COLUMN()-8)/6)</f>
        <v>4.7713904000000014</v>
      </c>
      <c r="EK32" s="3449">
        <f ca="1">OFFSET(Sector1!$G$301,0,(COLUMN()-9)/6)</f>
        <v>-7.0000000000000001E-3</v>
      </c>
      <c r="EL32" s="581">
        <f ca="1">-EG32+EG27</f>
        <v>0</v>
      </c>
      <c r="EM32" s="3458">
        <f ca="1">+EN32+EO32+EP32-EQ32</f>
        <v>5.5570204009000017</v>
      </c>
      <c r="EN32" s="3449">
        <f ca="1">OFFSET(Sector1!$G$298,0,(COLUMN()-6)/6)</f>
        <v>1.0245389000000001E-3</v>
      </c>
      <c r="EO32" s="3449">
        <f ca="1">OFFSET(Sector1!$G$299,0,(COLUMN()-7)/6)</f>
        <v>0.20503861399999995</v>
      </c>
      <c r="EP32" s="3449">
        <f ca="1">OFFSET(Sector1!$G$300,0,(COLUMN()-8)/6)</f>
        <v>5.3439572480000024</v>
      </c>
      <c r="EQ32" s="3449">
        <f ca="1">OFFSET(Sector1!$G$301,0,(COLUMN()-9)/6)</f>
        <v>-7.0000000000000001E-3</v>
      </c>
      <c r="ER32" s="581">
        <f ca="1">-EM32+EM27</f>
        <v>0</v>
      </c>
      <c r="ES32" s="3458">
        <f ca="1">+ET32+EU32+EV32-EW32</f>
        <v>5.8869286285827016</v>
      </c>
      <c r="ET32" s="3449">
        <f ca="1">OFFSET(Sector1!$G$298,0,(COLUMN()-6)/6)</f>
        <v>1.0685940727000001E-3</v>
      </c>
      <c r="EU32" s="3449">
        <f ca="1">OFFSET(Sector1!$G$299,0,(COLUMN()-7)/6)</f>
        <v>0.21426535162999993</v>
      </c>
      <c r="EV32" s="3449">
        <f ca="1">OFFSET(Sector1!$G$300,0,(COLUMN()-8)/6)</f>
        <v>5.6645946828800025</v>
      </c>
      <c r="EW32" s="3449">
        <f ca="1">OFFSET(Sector1!$G$301,0,(COLUMN()-9)/6)</f>
        <v>-7.0000000000000001E-3</v>
      </c>
      <c r="EX32" s="581">
        <f ca="1">-ES32+ES27</f>
        <v>0</v>
      </c>
    </row>
    <row r="33" spans="1:154" ht="12.75" customHeight="1">
      <c r="A33" s="553"/>
      <c r="B33" s="600" t="s">
        <v>401</v>
      </c>
      <c r="C33" s="3782" t="s">
        <v>1341</v>
      </c>
      <c r="D33" s="3782"/>
      <c r="E33" s="3458">
        <f ca="1">+F33+G33+H33+I33</f>
        <v>0.33250000000000002</v>
      </c>
      <c r="F33" s="3449">
        <f ca="1">OFFSET(Sector1!$G$323,0,(COLUMN()-6)/6)</f>
        <v>3.585E-2</v>
      </c>
      <c r="G33" s="3449">
        <f ca="1">OFFSET(Sector1!$G$325,0,(COLUMN()-7)/6)</f>
        <v>0.29097000000000001</v>
      </c>
      <c r="H33" s="3449">
        <f ca="1">OFFSET(Sector1!$G$327,0,(COLUMN()-8)/6)</f>
        <v>5.6799999999999993E-3</v>
      </c>
      <c r="I33" s="3449"/>
      <c r="J33" s="556">
        <f ca="1">+E33-E28</f>
        <v>-1.0605189990731123E-4</v>
      </c>
      <c r="K33" s="3458">
        <f t="shared" ca="1" si="0"/>
        <v>0.41301000000000004</v>
      </c>
      <c r="L33" s="3449">
        <f ca="1">OFFSET(Sector1!$G$323,0,(COLUMN()-6)/6)</f>
        <v>4.6530000000000002E-2</v>
      </c>
      <c r="M33" s="3449">
        <f ca="1">OFFSET(Sector1!$G$325,0,(COLUMN()-7)/6)</f>
        <v>0.36098000000000002</v>
      </c>
      <c r="N33" s="3449">
        <f ca="1">OFFSET(Sector1!$G$327,0,(COLUMN()-8)/6)</f>
        <v>5.4999999999999997E-3</v>
      </c>
      <c r="O33" s="3449"/>
      <c r="P33" s="556">
        <f ca="1">+K33-K28-O28</f>
        <v>-3.8489341983249936E-5</v>
      </c>
      <c r="Q33" s="3458">
        <f t="shared" ca="1" si="1"/>
        <v>0.61791999999999991</v>
      </c>
      <c r="R33" s="3449">
        <f ca="1">OFFSET(Sector1!$G$323,0,(COLUMN()-6)/6)</f>
        <v>1.9690000000000003E-2</v>
      </c>
      <c r="S33" s="3449">
        <f ca="1">OFFSET(Sector1!$G$325,0,(COLUMN()-7)/6)</f>
        <v>0.36907999999999996</v>
      </c>
      <c r="T33" s="3449">
        <f ca="1">OFFSET(Sector1!$G$327,0,(COLUMN()-8)/6)</f>
        <v>0.22914999999999999</v>
      </c>
      <c r="U33" s="3449"/>
      <c r="V33" s="556">
        <f ca="1">+Q33-Q28-U28</f>
        <v>-4.9582947173443248E-5</v>
      </c>
      <c r="W33" s="3458">
        <f t="shared" ca="1" si="2"/>
        <v>0.41728000000000004</v>
      </c>
      <c r="X33" s="3449">
        <f ca="1">OFFSET(Sector1!$G$323,0,(COLUMN()-6)/6)</f>
        <v>2.5559999999999999E-2</v>
      </c>
      <c r="Y33" s="3449">
        <f ca="1">OFFSET(Sector1!$G$325,0,(COLUMN()-7)/6)</f>
        <v>0.30886000000000002</v>
      </c>
      <c r="Z33" s="3449">
        <f ca="1">OFFSET(Sector1!$G$327,0,(COLUMN()-8)/6)</f>
        <v>8.2860000000000003E-2</v>
      </c>
      <c r="AA33" s="3449"/>
      <c r="AB33" s="556">
        <f ca="1">+W33-W28-AA28</f>
        <v>2.8174235404687664E-6</v>
      </c>
      <c r="AC33" s="3458">
        <f t="shared" ca="1" si="3"/>
        <v>0.37923000000000007</v>
      </c>
      <c r="AD33" s="3449">
        <f ca="1">OFFSET(Sector1!$G$323,0,(COLUMN()-6)/6)</f>
        <v>3.9259999999999996E-2</v>
      </c>
      <c r="AE33" s="3449">
        <f ca="1">OFFSET(Sector1!$G$325,0,(COLUMN()-7)/6)</f>
        <v>0.27594000000000002</v>
      </c>
      <c r="AF33" s="3449">
        <f ca="1">OFFSET(Sector1!$G$327,0,(COLUMN()-8)/6)</f>
        <v>6.4030000000000004E-2</v>
      </c>
      <c r="AG33" s="3449"/>
      <c r="AH33" s="556">
        <f ca="1">+AC33-AC28-AG28</f>
        <v>1.9225208526421622E-4</v>
      </c>
      <c r="AI33" s="3458">
        <f t="shared" ca="1" si="4"/>
        <v>0.30243999999999999</v>
      </c>
      <c r="AJ33" s="3449">
        <f ca="1">OFFSET(Sector1!$G$323,0,(COLUMN()-6)/6)</f>
        <v>3.6819999999999999E-2</v>
      </c>
      <c r="AK33" s="3449">
        <f ca="1">OFFSET(Sector1!$G$325,0,(COLUMN()-7)/6)</f>
        <v>0.25236999999999998</v>
      </c>
      <c r="AL33" s="3449">
        <f ca="1">OFFSET(Sector1!$G$327,0,(COLUMN()-8)/6)</f>
        <v>1.325E-2</v>
      </c>
      <c r="AM33" s="3449"/>
      <c r="AN33" s="556">
        <f ca="1">+AI33-AI28-AM28</f>
        <v>-3.4440037071362117E-3</v>
      </c>
      <c r="AO33" s="3458">
        <f t="shared" ca="1" si="5"/>
        <v>0.33952000000000004</v>
      </c>
      <c r="AP33" s="3449">
        <f ca="1">OFFSET(Sector1!$G$323,0,(COLUMN()-6)/6)</f>
        <v>4.1790000000000001E-2</v>
      </c>
      <c r="AQ33" s="3449">
        <f ca="1">OFFSET(Sector1!$G$325,0,(COLUMN()-7)/6)</f>
        <v>0.24536000000000002</v>
      </c>
      <c r="AR33" s="3449">
        <f ca="1">OFFSET(Sector1!$G$327,0,(COLUMN()-8)/6)</f>
        <v>5.237E-2</v>
      </c>
      <c r="AS33" s="3449"/>
      <c r="AT33" s="556">
        <f ca="1">+AO33-AO28-AS28</f>
        <v>4.4601575532901561E-3</v>
      </c>
      <c r="AU33" s="3458">
        <f t="shared" ca="1" si="6"/>
        <v>0.38723000000000002</v>
      </c>
      <c r="AV33" s="3449">
        <f ca="1">OFFSET(Sector1!$G$323,0,(COLUMN()-6)/6)</f>
        <v>9.0469999999999995E-2</v>
      </c>
      <c r="AW33" s="3449">
        <f ca="1">OFFSET(Sector1!$G$325,0,(COLUMN()-7)/6)</f>
        <v>0.27867000000000003</v>
      </c>
      <c r="AX33" s="3449">
        <f ca="1">OFFSET(Sector1!$G$327,0,(COLUMN()-8)/6)</f>
        <v>1.8089999999999998E-2</v>
      </c>
      <c r="AY33" s="3449"/>
      <c r="AZ33" s="556">
        <f ca="1">+AU33-AU28-AY28</f>
        <v>2.425273401297473E-3</v>
      </c>
      <c r="BA33" s="3458">
        <f t="shared" ca="1" si="7"/>
        <v>0.28878999999999999</v>
      </c>
      <c r="BB33" s="3449">
        <f ca="1">OFFSET(Sector1!$G$323,0,(COLUMN()-6)/6)</f>
        <v>7.5569999999999998E-2</v>
      </c>
      <c r="BC33" s="3449">
        <f ca="1">OFFSET(Sector1!$G$325,0,(COLUMN()-7)/6)</f>
        <v>0.18616999999999997</v>
      </c>
      <c r="BD33" s="3449">
        <f ca="1">OFFSET(Sector1!$G$327,0,(COLUMN()-8)/6)</f>
        <v>2.7050000000000001E-2</v>
      </c>
      <c r="BE33" s="3449"/>
      <c r="BF33" s="556">
        <f ca="1">+BA33-BA28-BE28</f>
        <v>3.4351343836885873E-3</v>
      </c>
      <c r="BG33" s="3458">
        <f t="shared" ca="1" si="8"/>
        <v>0.41918</v>
      </c>
      <c r="BH33" s="3449">
        <f ca="1">OFFSET(Sector1!$G$323,0,(COLUMN()-6)/6)</f>
        <v>5.6060000000000006E-2</v>
      </c>
      <c r="BI33" s="3449">
        <f ca="1">OFFSET(Sector1!$G$325,0,(COLUMN()-7)/6)</f>
        <v>0.23157</v>
      </c>
      <c r="BJ33" s="3449">
        <f ca="1">OFFSET(Sector1!$G$327,0,(COLUMN()-8)/6)</f>
        <v>0.13155</v>
      </c>
      <c r="BK33" s="3449"/>
      <c r="BL33" s="556">
        <f ca="1">+BG33-BG28-BK28</f>
        <v>-1.833123262279801E-3</v>
      </c>
      <c r="BM33" s="3458">
        <f t="shared" ca="1" si="9"/>
        <v>0.78245999999999993</v>
      </c>
      <c r="BN33" s="3449">
        <f ca="1">OFFSET(Sector1!$G$323,0,(COLUMN()-6)/6)</f>
        <v>8.0260000000000012E-2</v>
      </c>
      <c r="BO33" s="3449">
        <f ca="1">OFFSET(Sector1!$G$325,0,(COLUMN()-7)/6)</f>
        <v>0.32592000000000004</v>
      </c>
      <c r="BP33" s="3449">
        <f ca="1">OFFSET(Sector1!$G$327,0,(COLUMN()-8)/6)</f>
        <v>0.37627999999999995</v>
      </c>
      <c r="BQ33" s="3449"/>
      <c r="BR33" s="556">
        <f ca="1">+BM33-BM28-BQ28</f>
        <v>-1.400000000000845E-4</v>
      </c>
      <c r="BS33" s="3458">
        <f t="shared" ca="1" si="10"/>
        <v>0.75114999999999998</v>
      </c>
      <c r="BT33" s="3449">
        <f ca="1">OFFSET(Sector1!$G$323,0,(COLUMN()-6)/6)</f>
        <v>0.11993999999999999</v>
      </c>
      <c r="BU33" s="3449">
        <f ca="1">OFFSET(Sector1!$G$325,0,(COLUMN()-7)/6)</f>
        <v>0.32991000000000004</v>
      </c>
      <c r="BV33" s="3449">
        <f ca="1">OFFSET(Sector1!$G$327,0,(COLUMN()-8)/6)</f>
        <v>0.30130000000000001</v>
      </c>
      <c r="BW33" s="3449"/>
      <c r="BX33" s="556">
        <f ca="1">+BS33-BS28-BW28</f>
        <v>7.2999999999995291E-4</v>
      </c>
      <c r="BY33" s="3458">
        <f t="shared" ca="1" si="11"/>
        <v>0.92137000000000002</v>
      </c>
      <c r="BZ33" s="3449">
        <f ca="1">OFFSET(Sector1!$G$323,0,(COLUMN()-6)/6)</f>
        <v>0.13761999999999999</v>
      </c>
      <c r="CA33" s="3449">
        <f ca="1">OFFSET(Sector1!$G$325,0,(COLUMN()-7)/6)</f>
        <v>0.40314</v>
      </c>
      <c r="CB33" s="3449">
        <f ca="1">OFFSET(Sector1!$G$327,0,(COLUMN()-8)/6)</f>
        <v>0.38061</v>
      </c>
      <c r="CC33" s="3449"/>
      <c r="CD33" s="556">
        <f ca="1">+BY33-BY28-CC28</f>
        <v>-5.7999999999991392E-4</v>
      </c>
      <c r="CE33" s="3458">
        <f t="shared" ca="1" si="12"/>
        <v>1.3883100000000002</v>
      </c>
      <c r="CF33" s="3449">
        <f ca="1">OFFSET(Sector1!$G$323,0,(COLUMN()-6)/6)</f>
        <v>0.11809</v>
      </c>
      <c r="CG33" s="3449">
        <f ca="1">OFFSET(Sector1!$G$325,0,(COLUMN()-7)/6)</f>
        <v>0.79137000000000002</v>
      </c>
      <c r="CH33" s="3449">
        <f ca="1">OFFSET(Sector1!$G$327,0,(COLUMN()-8)/6)</f>
        <v>0.47885</v>
      </c>
      <c r="CI33" s="3449"/>
      <c r="CJ33" s="556">
        <f ca="1">+CE33-CE28-CI28</f>
        <v>-4.2999999999981942E-4</v>
      </c>
      <c r="CK33" s="3458">
        <f ca="1">+CL33+CM33+CN33</f>
        <v>1.2704499999999999</v>
      </c>
      <c r="CL33" s="3449">
        <f ca="1">OFFSET(Sector1!$G$323,0,(COLUMN()-6)/6)</f>
        <v>0.10909000000000001</v>
      </c>
      <c r="CM33" s="3449">
        <f ca="1">OFFSET(Sector1!$G$325,0,(COLUMN()-7)/6)</f>
        <v>0.71341999999999994</v>
      </c>
      <c r="CN33" s="3449">
        <f ca="1">OFFSET(Sector1!$G$327,0,(COLUMN()-8)/6)</f>
        <v>0.44794</v>
      </c>
      <c r="CO33" s="3449"/>
      <c r="CP33" s="556">
        <f ca="1">+CK33-CK28-CO28</f>
        <v>-4.2000000000008697E-4</v>
      </c>
      <c r="CQ33" s="3458">
        <f ca="1">+CR33+CS33+CT33</f>
        <v>1.1030800000000001</v>
      </c>
      <c r="CR33" s="3449">
        <f ca="1">OFFSET(Sector1!$G$323,0,(COLUMN()-6)/6)</f>
        <v>0.11334999999999999</v>
      </c>
      <c r="CS33" s="3449">
        <f ca="1">OFFSET(Sector1!$G$325,0,(COLUMN()-7)/6)</f>
        <v>0.64309000000000005</v>
      </c>
      <c r="CT33" s="3449">
        <f ca="1">OFFSET(Sector1!$G$327,0,(COLUMN()-8)/6)</f>
        <v>0.34664</v>
      </c>
      <c r="CU33" s="3449"/>
      <c r="CV33" s="556">
        <f ca="1">+CQ33-CQ28-CU28</f>
        <v>-4.1000000000002146E-4</v>
      </c>
      <c r="CW33" s="3458">
        <f ca="1">+CX33+CY33+CZ33</f>
        <v>1.35389</v>
      </c>
      <c r="CX33" s="3449">
        <f ca="1">OFFSET(Sector1!$G$323,0,(COLUMN()-6)/6)</f>
        <v>0.13771</v>
      </c>
      <c r="CY33" s="3449">
        <f ca="1">OFFSET(Sector1!$G$325,0,(COLUMN()-7)/6)</f>
        <v>0.71772999999999998</v>
      </c>
      <c r="CZ33" s="3449">
        <f ca="1">OFFSET(Sector1!$G$327,0,(COLUMN()-8)/6)</f>
        <v>0.49845</v>
      </c>
      <c r="DA33" s="3449"/>
      <c r="DB33" s="556">
        <f ca="1">+CW33-CW28-DA28</f>
        <v>1.9999999999986695E-4</v>
      </c>
      <c r="DC33" s="3458">
        <f ca="1">+DD33+DE33+DF33</f>
        <v>1.2932700000000001</v>
      </c>
      <c r="DD33" s="3449">
        <f ca="1">OFFSET(Sector1!$G$323,0,(COLUMN()-6)/6)</f>
        <v>0.13758999999999999</v>
      </c>
      <c r="DE33" s="3449">
        <f ca="1">OFFSET(Sector1!$G$325,0,(COLUMN()-7)/6)</f>
        <v>0.68996000000000002</v>
      </c>
      <c r="DF33" s="3449">
        <f ca="1">OFFSET(Sector1!$G$327,0,(COLUMN()-8)/6)</f>
        <v>0.46572000000000002</v>
      </c>
      <c r="DG33" s="3449"/>
      <c r="DH33" s="556">
        <f ca="1">+DC33-DC28-DG28</f>
        <v>-1.2999999999985246E-4</v>
      </c>
      <c r="DI33" s="3458">
        <f ca="1">+DJ33+DK33+DL33</f>
        <v>1.4056199999999999</v>
      </c>
      <c r="DJ33" s="3449">
        <f ca="1">OFFSET(Sector1!$G$323,0,(COLUMN()-6)/6)</f>
        <v>0.13761000000000001</v>
      </c>
      <c r="DK33" s="3449">
        <f ca="1">OFFSET(Sector1!$G$325,0,(COLUMN()-7)/6)</f>
        <v>0.71371000000000007</v>
      </c>
      <c r="DL33" s="3449">
        <f ca="1">OFFSET(Sector1!$G$327,0,(COLUMN()-8)/6)</f>
        <v>0.5542999999999999</v>
      </c>
      <c r="DM33" s="3449"/>
      <c r="DN33" s="556">
        <f ca="1">+DI33-DI28-DM28</f>
        <v>2.5999999999992696E-4</v>
      </c>
      <c r="DO33" s="3458">
        <f ca="1">+DP33+DQ33+DR33</f>
        <v>1.38076</v>
      </c>
      <c r="DP33" s="3449">
        <f ca="1">OFFSET(Sector1!$G$323,0,(COLUMN()-6)/6)</f>
        <v>0.14047999999999999</v>
      </c>
      <c r="DQ33" s="3449">
        <f ca="1">OFFSET(Sector1!$G$325,0,(COLUMN()-7)/6)</f>
        <v>0.72487999999999997</v>
      </c>
      <c r="DR33" s="3449">
        <f ca="1">OFFSET(Sector1!$G$327,0,(COLUMN()-8)/6)</f>
        <v>0.51539999999999997</v>
      </c>
      <c r="DS33" s="3449"/>
      <c r="DT33" s="556">
        <f ca="1">+DO33-DO28-DS28</f>
        <v>-1.2000000000012001E-4</v>
      </c>
      <c r="DU33" s="3458">
        <f ca="1">+DV33+DW33+DX33</f>
        <v>1.4846300000000001</v>
      </c>
      <c r="DV33" s="3449">
        <f ca="1">OFFSET(Sector1!$G$323,0,(COLUMN()-6)/6)</f>
        <v>0.15171999999999999</v>
      </c>
      <c r="DW33" s="3449">
        <f ca="1">OFFSET(Sector1!$G$325,0,(COLUMN()-7)/6)</f>
        <v>0.77882000000000007</v>
      </c>
      <c r="DX33" s="3449">
        <f ca="1">OFFSET(Sector1!$G$327,0,(COLUMN()-8)/6)</f>
        <v>0.55409000000000008</v>
      </c>
      <c r="DY33" s="3449"/>
      <c r="DZ33" s="556">
        <f ca="1">+DU33-DU28-DY28</f>
        <v>8.9999999999923475E-5</v>
      </c>
      <c r="EA33" s="3458">
        <f ca="1">+EB33+EC33+ED33</f>
        <v>1.6459800000000002</v>
      </c>
      <c r="EB33" s="3449">
        <f ca="1">OFFSET(Sector1!$G$323,0,(COLUMN()-6)/6)</f>
        <v>0.17138</v>
      </c>
      <c r="EC33" s="3449">
        <f ca="1">OFFSET(Sector1!$G$325,0,(COLUMN()-7)/6)</f>
        <v>0.83196000000000003</v>
      </c>
      <c r="ED33" s="3449">
        <f ca="1">OFFSET(Sector1!$G$327,0,(COLUMN()-8)/6)</f>
        <v>0.64263999999999999</v>
      </c>
      <c r="EE33" s="3449"/>
      <c r="EF33" s="556">
        <f ca="1">+EA33-EA28-EE28</f>
        <v>0</v>
      </c>
      <c r="EG33" s="3458">
        <f ca="1">+EH33+EI33+EJ33</f>
        <v>1.7498102000000002</v>
      </c>
      <c r="EH33" s="3449">
        <f ca="1">OFFSET(Sector1!$G$323,0,(COLUMN()-6)/6)</f>
        <v>0.17652140000000002</v>
      </c>
      <c r="EI33" s="3449">
        <f ca="1">OFFSET(Sector1!$G$325,0,(COLUMN()-7)/6)</f>
        <v>0.89851680000000012</v>
      </c>
      <c r="EJ33" s="3449">
        <f ca="1">OFFSET(Sector1!$G$327,0,(COLUMN()-8)/6)</f>
        <v>0.67477200000000004</v>
      </c>
      <c r="EK33" s="3449"/>
      <c r="EL33" s="556">
        <f ca="1">+EG33-EG28-EK28</f>
        <v>0</v>
      </c>
      <c r="EM33" s="3458">
        <f ca="1">+EN33+EO33+EP33</f>
        <v>1.8573519260000002</v>
      </c>
      <c r="EN33" s="3449">
        <f ca="1">OFFSET(Sector1!$G$323,0,(COLUMN()-6)/6)</f>
        <v>0.18181704200000004</v>
      </c>
      <c r="EO33" s="3449">
        <f ca="1">OFFSET(Sector1!$G$325,0,(COLUMN()-7)/6)</f>
        <v>0.97039814400000024</v>
      </c>
      <c r="EP33" s="3449">
        <f ca="1">OFFSET(Sector1!$G$327,0,(COLUMN()-8)/6)</f>
        <v>0.70513674000000004</v>
      </c>
      <c r="EQ33" s="3449"/>
      <c r="ER33" s="556">
        <f ca="1">+EM33-EM28-EQ28</f>
        <v>0</v>
      </c>
      <c r="ES33" s="3458">
        <f ca="1">+ET33+EU33+EV33</f>
        <v>1.9756951257800004</v>
      </c>
      <c r="ET33" s="3449">
        <f ca="1">OFFSET(Sector1!$G$323,0,(COLUMN()-6)/6)</f>
        <v>0.18727155326000006</v>
      </c>
      <c r="EU33" s="3449">
        <f ca="1">OFFSET(Sector1!$G$325,0,(COLUMN()-7)/6)</f>
        <v>1.0480299955200003</v>
      </c>
      <c r="EV33" s="3449">
        <f ca="1">OFFSET(Sector1!$G$327,0,(COLUMN()-8)/6)</f>
        <v>0.74039357700000008</v>
      </c>
      <c r="EW33" s="3449"/>
      <c r="EX33" s="556">
        <f ca="1">+ES33-ES28-EW28</f>
        <v>0</v>
      </c>
    </row>
    <row r="34" spans="1:154" s="557" customFormat="1" ht="12.75" customHeight="1">
      <c r="A34" s="555"/>
      <c r="B34" s="3445" t="s">
        <v>1769</v>
      </c>
      <c r="C34" s="3785" t="s">
        <v>500</v>
      </c>
      <c r="D34" s="3786"/>
      <c r="E34" s="3454">
        <f ca="1">+F34+G34+H34</f>
        <v>7.8779800000000009</v>
      </c>
      <c r="F34" s="3454">
        <f ca="1">+F29-F30-F31-F32-F33</f>
        <v>5.0302500000000006</v>
      </c>
      <c r="G34" s="3454">
        <f ca="1">+G29-G30-G31-G32-G33</f>
        <v>0.74860000000000038</v>
      </c>
      <c r="H34" s="3454">
        <f ca="1">+H29-H30-H31-H32-H33</f>
        <v>2.0991299999999997</v>
      </c>
      <c r="I34" s="3455"/>
      <c r="J34" s="604"/>
      <c r="K34" s="3454">
        <f t="shared" ca="1" si="0"/>
        <v>9.7798499999999997</v>
      </c>
      <c r="L34" s="3454">
        <f ca="1">+L29-L30-L31-L32-L33</f>
        <v>6.1542399999999997</v>
      </c>
      <c r="M34" s="3454">
        <f ca="1">+M29-M30-M31-M32-M33</f>
        <v>1.1222399999999992</v>
      </c>
      <c r="N34" s="3454">
        <f ca="1">+N29-N30-N31-N32-N33</f>
        <v>2.5033699999999994</v>
      </c>
      <c r="O34" s="3455"/>
      <c r="P34" s="604"/>
      <c r="Q34" s="3454">
        <f t="shared" ca="1" si="1"/>
        <v>11.768790000000001</v>
      </c>
      <c r="R34" s="3454">
        <f ca="1">+R29-R30-R31-R32-R33</f>
        <v>7.4089399999999994</v>
      </c>
      <c r="S34" s="3454">
        <f ca="1">+S29-S30-S31-S32-S33</f>
        <v>1.1396900000000012</v>
      </c>
      <c r="T34" s="3454">
        <f ca="1">+T29-T30-T31-T32-T33</f>
        <v>3.2201600000000004</v>
      </c>
      <c r="U34" s="3455"/>
      <c r="V34" s="604"/>
      <c r="W34" s="3454">
        <f t="shared" ca="1" si="2"/>
        <v>13.002919999999996</v>
      </c>
      <c r="X34" s="3454">
        <f ca="1">+X29-X30-X31-X32-X33</f>
        <v>8.5780499999999975</v>
      </c>
      <c r="Y34" s="3454">
        <f ca="1">+Y29-Y30-Y31-Y32-Y33</f>
        <v>0.9673999999999997</v>
      </c>
      <c r="Z34" s="3454">
        <f ca="1">+Z29-Z30-Z31-Z32-Z33</f>
        <v>3.4574699999999998</v>
      </c>
      <c r="AA34" s="3455"/>
      <c r="AB34" s="604"/>
      <c r="AC34" s="3454">
        <f t="shared" ca="1" si="3"/>
        <v>12.623049999999999</v>
      </c>
      <c r="AD34" s="3454">
        <f ca="1">+AD29-AD30-AD31-AD32-AD33</f>
        <v>8.62256</v>
      </c>
      <c r="AE34" s="3454">
        <f ca="1">+AE29-AE30-AE31-AE32-AE33</f>
        <v>0.91666999999999987</v>
      </c>
      <c r="AF34" s="3454">
        <f ca="1">+AF29-AF30-AF31-AF32-AF33</f>
        <v>3.0838199999999993</v>
      </c>
      <c r="AG34" s="3455"/>
      <c r="AH34" s="604"/>
      <c r="AI34" s="3454">
        <f t="shared" ca="1" si="4"/>
        <v>13.41278</v>
      </c>
      <c r="AJ34" s="3454">
        <f ca="1">+AJ29-AJ30-AJ31-AJ32-AJ33</f>
        <v>9.2596199999999982</v>
      </c>
      <c r="AK34" s="3454">
        <f ca="1">+AK29-AK30-AK31-AK32-AK33</f>
        <v>0.94606000000000057</v>
      </c>
      <c r="AL34" s="3454">
        <f ca="1">+AL29-AL30-AL31-AL32-AL33</f>
        <v>3.2071000000000005</v>
      </c>
      <c r="AM34" s="3455"/>
      <c r="AN34" s="604"/>
      <c r="AO34" s="3454">
        <f t="shared" ca="1" si="5"/>
        <v>14.296869999999997</v>
      </c>
      <c r="AP34" s="3454">
        <f ca="1">+AP29-AP30-AP31-AP32-AP33</f>
        <v>9.6920199999999976</v>
      </c>
      <c r="AQ34" s="3454">
        <f ca="1">+AQ29-AQ30-AQ31-AQ32-AQ33</f>
        <v>1.4919999999999998</v>
      </c>
      <c r="AR34" s="3454">
        <f ca="1">+AR29-AR30-AR31-AR32-AR33</f>
        <v>3.1128499999999999</v>
      </c>
      <c r="AS34" s="3455"/>
      <c r="AT34" s="604"/>
      <c r="AU34" s="3454">
        <f t="shared" ca="1" si="6"/>
        <v>15.274370000000003</v>
      </c>
      <c r="AV34" s="3454">
        <f ca="1">+AV29-AV30-AV31-AV32-AV33</f>
        <v>10.246500000000001</v>
      </c>
      <c r="AW34" s="3454">
        <f ca="1">+AW29-AW30-AW31-AW32-AW33</f>
        <v>1.6360800000000013</v>
      </c>
      <c r="AX34" s="3454">
        <f ca="1">+AX29-AX30-AX31-AX32-AX33</f>
        <v>3.3917900000000003</v>
      </c>
      <c r="AY34" s="3455"/>
      <c r="AZ34" s="604"/>
      <c r="BA34" s="3454">
        <f t="shared" ca="1" si="7"/>
        <v>16.503130000000002</v>
      </c>
      <c r="BB34" s="3454">
        <f ca="1">+BB29-BB30-BB31-BB32-BB33</f>
        <v>10.94952</v>
      </c>
      <c r="BC34" s="3454">
        <f ca="1">+BC29-BC30-BC31-BC32-BC33</f>
        <v>1.9779100000000025</v>
      </c>
      <c r="BD34" s="3454">
        <f ca="1">+BD29-BD30-BD31-BD32-BD33</f>
        <v>3.5757000000000008</v>
      </c>
      <c r="BE34" s="3455"/>
      <c r="BF34" s="604"/>
      <c r="BG34" s="3454">
        <f t="shared" ca="1" si="8"/>
        <v>18.172059999999995</v>
      </c>
      <c r="BH34" s="3454">
        <f ca="1">+BH29-BH30-BH31-BH32-BH33</f>
        <v>12.842179999999997</v>
      </c>
      <c r="BI34" s="3454">
        <f ca="1">+BI29-BI30-BI31-BI32-BI33</f>
        <v>1.413689999999999</v>
      </c>
      <c r="BJ34" s="3454">
        <f ca="1">+BJ29-BJ30-BJ31-BJ32-BJ33</f>
        <v>3.9161900000000003</v>
      </c>
      <c r="BK34" s="3455"/>
      <c r="BL34" s="604"/>
      <c r="BM34" s="3454">
        <f t="shared" ca="1" si="9"/>
        <v>21.04222</v>
      </c>
      <c r="BN34" s="3454">
        <f ca="1">+BN29-BN30-BN31-BN32-BN33</f>
        <v>14.067329999999997</v>
      </c>
      <c r="BO34" s="3454">
        <f ca="1">+BO29-BO30-BO31-BO32-BO33</f>
        <v>2.5041100000000016</v>
      </c>
      <c r="BP34" s="3454">
        <f ca="1">+BP29-BP30-BP31-BP32-BP33</f>
        <v>4.4707799999999995</v>
      </c>
      <c r="BQ34" s="3455"/>
      <c r="BR34" s="604"/>
      <c r="BS34" s="3454">
        <f t="shared" ca="1" si="10"/>
        <v>24.093909999999994</v>
      </c>
      <c r="BT34" s="3454">
        <f ca="1">+BT29-BT30-BT31-BT32-BT33</f>
        <v>16.19746</v>
      </c>
      <c r="BU34" s="3454">
        <f ca="1">+BU29-BU30-BU31-BU32-BU33</f>
        <v>2.4773699999999979</v>
      </c>
      <c r="BV34" s="3454">
        <f ca="1">+BV29-BV30-BV31-BV32-BV33</f>
        <v>5.4190799999999983</v>
      </c>
      <c r="BW34" s="3455"/>
      <c r="BX34" s="604"/>
      <c r="BY34" s="3454">
        <f t="shared" ca="1" si="11"/>
        <v>28.519220000000004</v>
      </c>
      <c r="BZ34" s="3454">
        <f ca="1">+BZ29-BZ30-BZ31-BZ32-BZ33</f>
        <v>17.494710000000005</v>
      </c>
      <c r="CA34" s="3454">
        <f ca="1">+CA29-CA30-CA31-CA32-CA33</f>
        <v>4.7832200000000018</v>
      </c>
      <c r="CB34" s="3454">
        <f ca="1">+CB29-CB30-CB31-CB32-CB33</f>
        <v>6.2412899999999985</v>
      </c>
      <c r="CC34" s="3455"/>
      <c r="CD34" s="604"/>
      <c r="CE34" s="3454">
        <f t="shared" ca="1" si="12"/>
        <v>32.177500000000009</v>
      </c>
      <c r="CF34" s="3454">
        <f ca="1">+CF29-CF30-CF31-CF32-CF33</f>
        <v>20.845770000000005</v>
      </c>
      <c r="CG34" s="3454">
        <f ca="1">+CG29-CG30-CG31-CG32-CG33</f>
        <v>4.66289</v>
      </c>
      <c r="CH34" s="3454">
        <f ca="1">+CH29-CH30-CH31-CH32-CH33</f>
        <v>6.668840000000003</v>
      </c>
      <c r="CI34" s="3455"/>
      <c r="CJ34" s="604"/>
      <c r="CK34" s="3454">
        <f ca="1">+CL34+CM34+CN34</f>
        <v>27.96217</v>
      </c>
      <c r="CL34" s="3454">
        <f ca="1">+CL29-CL30-CL31-CL32-CL33</f>
        <v>19.200190000000003</v>
      </c>
      <c r="CM34" s="3454">
        <f ca="1">+CM29-CM30-CM31-CM32-CM33</f>
        <v>4.5781899999999993</v>
      </c>
      <c r="CN34" s="3454">
        <f ca="1">+CN29-CN30-CN31-CN32-CN33</f>
        <v>4.1837899999999992</v>
      </c>
      <c r="CO34" s="3455"/>
      <c r="CP34" s="604"/>
      <c r="CQ34" s="3454">
        <f ca="1">+CR34+CS34+CT34</f>
        <v>28.465319999999991</v>
      </c>
      <c r="CR34" s="3454">
        <f ca="1">+CR29-CR30-CR31-CR32-CR33</f>
        <v>19.366199999999996</v>
      </c>
      <c r="CS34" s="3454">
        <f ca="1">+CS29-CS30-CS31-CS32-CS33</f>
        <v>4.6819099999999949</v>
      </c>
      <c r="CT34" s="3454">
        <f ca="1">+CT29-CT30-CT31-CT32-CT33</f>
        <v>4.4172100000000007</v>
      </c>
      <c r="CU34" s="3455"/>
      <c r="CV34" s="604"/>
      <c r="CW34" s="3454">
        <f ca="1">+CX34+CY34+CZ34</f>
        <v>30.875420000000005</v>
      </c>
      <c r="CX34" s="3454">
        <f ca="1">+CX29-CX30-CX31-CX32-CX33</f>
        <v>20.382950000000001</v>
      </c>
      <c r="CY34" s="3454">
        <f ca="1">+CY29-CY30-CY31-CY32-CY33</f>
        <v>5.4603300000000026</v>
      </c>
      <c r="CZ34" s="3454">
        <f ca="1">+CZ29-CZ30-CZ31-CZ32-CZ33</f>
        <v>5.0321400000000036</v>
      </c>
      <c r="DA34" s="3455"/>
      <c r="DB34" s="604"/>
      <c r="DC34" s="3454">
        <f ca="1">+DD34+DE34+DF34</f>
        <v>32.745840000000001</v>
      </c>
      <c r="DD34" s="3454">
        <f ca="1">+DD29-DD30-DD31-DD32-DD33</f>
        <v>21.072289999999999</v>
      </c>
      <c r="DE34" s="3454">
        <f ca="1">+DE29-DE30-DE31-DE32-DE33</f>
        <v>6.1798399999999996</v>
      </c>
      <c r="DF34" s="3454">
        <f ca="1">+DF29-DF30-DF31-DF32-DF33</f>
        <v>5.493710000000001</v>
      </c>
      <c r="DG34" s="3455"/>
      <c r="DH34" s="604"/>
      <c r="DI34" s="3454">
        <f ca="1">+DJ34+DK34+DL34</f>
        <v>35.020310000000002</v>
      </c>
      <c r="DJ34" s="3454">
        <f ca="1">+DJ29-DJ30-DJ31-DJ32-DJ33</f>
        <v>22.277230000000003</v>
      </c>
      <c r="DK34" s="3454">
        <f ca="1">+DK29-DK30-DK31-DK32-DK33</f>
        <v>6.8889999999999976</v>
      </c>
      <c r="DL34" s="3454">
        <f ca="1">+DL29-DL30-DL31-DL32-DL33</f>
        <v>5.8540800000000015</v>
      </c>
      <c r="DM34" s="3455"/>
      <c r="DN34" s="604"/>
      <c r="DO34" s="3454">
        <f ca="1">+DP34+DQ34+DR34</f>
        <v>37.263640000000002</v>
      </c>
      <c r="DP34" s="3454">
        <f ca="1">+DP29-DP30-DP31-DP32-DP33</f>
        <v>22.693330000000003</v>
      </c>
      <c r="DQ34" s="3454">
        <f ca="1">+DQ29-DQ30-DQ31-DQ32-DQ33</f>
        <v>7.9933799999999993</v>
      </c>
      <c r="DR34" s="3454">
        <f ca="1">+DR29-DR30-DR31-DR32-DR33</f>
        <v>6.5769299999999999</v>
      </c>
      <c r="DS34" s="3455"/>
      <c r="DT34" s="604"/>
      <c r="DU34" s="3454">
        <f ca="1">+DV34+DW34+DX34</f>
        <v>36.848680000000002</v>
      </c>
      <c r="DV34" s="3454">
        <f ca="1">+DV29-DV30-DV31-DV32-DV33</f>
        <v>23.344860000000001</v>
      </c>
      <c r="DW34" s="3454">
        <f ca="1">+DW29-DW30-DW31-DW32-DW33</f>
        <v>6.2198300000000017</v>
      </c>
      <c r="DX34" s="3454">
        <f ca="1">+DX29-DX30-DX31-DX32-DX33</f>
        <v>7.2839900000000011</v>
      </c>
      <c r="DY34" s="3455"/>
      <c r="DZ34" s="604"/>
      <c r="EA34" s="3454">
        <f ca="1">+EB34+EC34+ED34</f>
        <v>37.932670000000002</v>
      </c>
      <c r="EB34" s="3454">
        <f ca="1">+EB29-EB30-EB31-EB32-EB33</f>
        <v>24.61242</v>
      </c>
      <c r="EC34" s="3454">
        <f ca="1">+EC29-EC30-EC31-EC32-EC33</f>
        <v>5.5452399999999997</v>
      </c>
      <c r="ED34" s="3454">
        <f ca="1">+ED29-ED30-ED31-ED32-ED33</f>
        <v>7.77501</v>
      </c>
      <c r="EE34" s="3455"/>
      <c r="EF34" s="604"/>
      <c r="EG34" s="3454">
        <f ca="1">+EH34+EI34+EJ34</f>
        <v>41.156958407999994</v>
      </c>
      <c r="EH34" s="3454">
        <f ca="1">+EH29-EH30-EH31-EH32-EH33</f>
        <v>26.297948635219363</v>
      </c>
      <c r="EI34" s="3454">
        <f ca="1">+EI29-EI30-EI31-EI32-EI33</f>
        <v>6.3820104700000018</v>
      </c>
      <c r="EJ34" s="3454">
        <f ca="1">+EJ29-EJ30-EJ31-EJ32-EJ33</f>
        <v>8.4769993027806301</v>
      </c>
      <c r="EK34" s="3455"/>
      <c r="EL34" s="604"/>
      <c r="EM34" s="3454">
        <f ca="1">+EN34+EO34+EP34</f>
        <v>43.518125853637272</v>
      </c>
      <c r="EN34" s="3454">
        <f ca="1">+EN29-EN30-EN31-EN32-EN33</f>
        <v>27.809516388871799</v>
      </c>
      <c r="EO34" s="3454">
        <f ca="1">+EO29-EO30-EO31-EO32-EO33</f>
        <v>6.8831362020993296</v>
      </c>
      <c r="EP34" s="3454">
        <f ca="1">+EP29-EP30-EP31-EP32-EP33</f>
        <v>8.8254732626661472</v>
      </c>
      <c r="EQ34" s="3455"/>
      <c r="ER34" s="604"/>
      <c r="ES34" s="3454">
        <f ca="1">+ET34+EU34+EV34</f>
        <v>45.986699168173303</v>
      </c>
      <c r="ET34" s="3454">
        <f ca="1">+ET29-ET30-ET31-ET32-ET33</f>
        <v>29.260905930205045</v>
      </c>
      <c r="EU34" s="3454">
        <f ca="1">+EU29-EU30-EU31-EU32-EU33</f>
        <v>7.4497301178579676</v>
      </c>
      <c r="EV34" s="3454">
        <f ca="1">+EV29-EV30-EV31-EV32-EV33</f>
        <v>9.2760631201102921</v>
      </c>
      <c r="EW34" s="3455"/>
      <c r="EX34" s="604"/>
    </row>
    <row r="35" spans="1:154" ht="13.5" customHeight="1" thickBot="1">
      <c r="A35" s="553"/>
      <c r="B35" s="600" t="s">
        <v>1767</v>
      </c>
      <c r="C35" s="3781" t="s">
        <v>1295</v>
      </c>
      <c r="D35" s="3782"/>
      <c r="E35" s="3458">
        <f ca="1">+F35+G35+H35</f>
        <v>0</v>
      </c>
      <c r="F35" s="3449">
        <f ca="1">OFFSET(Sector1!$G$396,0,(COLUMN()-6)/6)</f>
        <v>0</v>
      </c>
      <c r="G35" s="3449">
        <f ca="1">-OFFSET(Sector1!$G$397,0,(COLUMN()-7)/6)</f>
        <v>0</v>
      </c>
      <c r="H35" s="3449">
        <f ca="1">-OFFSET(Sector1!$G$398,0,(COLUMN()-8)/6)</f>
        <v>0</v>
      </c>
      <c r="I35" s="3449">
        <f ca="1">-OFFSET(Sector1!$G$399,0,(COLUMN()-8)/6)</f>
        <v>0</v>
      </c>
      <c r="J35" s="556">
        <f ca="1">+E35+I35</f>
        <v>0</v>
      </c>
      <c r="K35" s="3458">
        <f ca="1">+L35+M35+N35</f>
        <v>0</v>
      </c>
      <c r="L35" s="3449">
        <f ca="1">OFFSET(Sector1!$G$396,0,(COLUMN()-6)/6)</f>
        <v>0</v>
      </c>
      <c r="M35" s="3449">
        <f ca="1">-OFFSET(Sector1!$G$397,0,(COLUMN()-7)/6)</f>
        <v>0</v>
      </c>
      <c r="N35" s="3449">
        <f ca="1">-OFFSET(Sector1!$G$398,0,(COLUMN()-8)/6)</f>
        <v>0</v>
      </c>
      <c r="O35" s="3449">
        <f ca="1">-OFFSET(Sector1!$G$399,0,(COLUMN()-8)/6)</f>
        <v>0</v>
      </c>
      <c r="P35" s="556">
        <f ca="1">+K35+O35</f>
        <v>0</v>
      </c>
      <c r="Q35" s="3458">
        <f ca="1">+R35+S35+T35</f>
        <v>0</v>
      </c>
      <c r="R35" s="3449">
        <f ca="1">OFFSET(Sector1!$G$396,0,(COLUMN()-6)/6)</f>
        <v>0</v>
      </c>
      <c r="S35" s="3449">
        <f ca="1">-OFFSET(Sector1!$G$397,0,(COLUMN()-7)/6)</f>
        <v>0</v>
      </c>
      <c r="T35" s="3449">
        <f ca="1">-OFFSET(Sector1!$G$398,0,(COLUMN()-8)/6)</f>
        <v>0</v>
      </c>
      <c r="U35" s="3449">
        <f ca="1">-OFFSET(Sector1!$G$399,0,(COLUMN()-8)/6)</f>
        <v>0</v>
      </c>
      <c r="V35" s="556">
        <f ca="1">+Q35+U35</f>
        <v>0</v>
      </c>
      <c r="W35" s="3458">
        <f ca="1">+X35+Y35+Z35</f>
        <v>0</v>
      </c>
      <c r="X35" s="3449">
        <f ca="1">OFFSET(Sector1!$G$396,0,(COLUMN()-6)/6)</f>
        <v>0</v>
      </c>
      <c r="Y35" s="3449">
        <f ca="1">-OFFSET(Sector1!$G$397,0,(COLUMN()-7)/6)</f>
        <v>0</v>
      </c>
      <c r="Z35" s="3449">
        <f ca="1">-OFFSET(Sector1!$G$398,0,(COLUMN()-8)/6)</f>
        <v>0</v>
      </c>
      <c r="AA35" s="3449">
        <f ca="1">-OFFSET(Sector1!$G$399,0,(COLUMN()-8)/6)</f>
        <v>0</v>
      </c>
      <c r="AB35" s="556">
        <f ca="1">+W35+AA35</f>
        <v>0</v>
      </c>
      <c r="AC35" s="3458">
        <f ca="1">+AD35+AE35+AF35</f>
        <v>0</v>
      </c>
      <c r="AD35" s="3449">
        <f ca="1">OFFSET(Sector1!$G$396,0,(COLUMN()-6)/6)</f>
        <v>0</v>
      </c>
      <c r="AE35" s="3449">
        <f ca="1">-OFFSET(Sector1!$G$397,0,(COLUMN()-7)/6)</f>
        <v>0</v>
      </c>
      <c r="AF35" s="3449">
        <f ca="1">-OFFSET(Sector1!$G$398,0,(COLUMN()-8)/6)</f>
        <v>0</v>
      </c>
      <c r="AG35" s="3449">
        <f ca="1">-OFFSET(Sector1!$G$399,0,(COLUMN()-8)/6)</f>
        <v>0</v>
      </c>
      <c r="AH35" s="556">
        <f ca="1">+AC35+AG35</f>
        <v>0</v>
      </c>
      <c r="AI35" s="3458">
        <f ca="1">+AJ35+AK35+AL35</f>
        <v>0</v>
      </c>
      <c r="AJ35" s="3449">
        <f ca="1">OFFSET(Sector1!$G$396,0,(COLUMN()-6)/6)</f>
        <v>0</v>
      </c>
      <c r="AK35" s="3449">
        <f ca="1">-OFFSET(Sector1!$G$397,0,(COLUMN()-7)/6)</f>
        <v>0</v>
      </c>
      <c r="AL35" s="3449">
        <f ca="1">-OFFSET(Sector1!$G$398,0,(COLUMN()-8)/6)</f>
        <v>0</v>
      </c>
      <c r="AM35" s="3449">
        <f ca="1">-OFFSET(Sector1!$G$399,0,(COLUMN()-8)/6)</f>
        <v>0</v>
      </c>
      <c r="AN35" s="556">
        <f ca="1">+AI35+AM35</f>
        <v>0</v>
      </c>
      <c r="AO35" s="3458">
        <f ca="1">+AP35+AQ35+AR35</f>
        <v>0</v>
      </c>
      <c r="AP35" s="3449">
        <f ca="1">OFFSET(Sector1!$G$396,0,(COLUMN()-6)/6)</f>
        <v>0</v>
      </c>
      <c r="AQ35" s="3449">
        <f ca="1">-OFFSET(Sector1!$G$397,0,(COLUMN()-7)/6)</f>
        <v>0</v>
      </c>
      <c r="AR35" s="3449">
        <f ca="1">-OFFSET(Sector1!$G$398,0,(COLUMN()-8)/6)</f>
        <v>0</v>
      </c>
      <c r="AS35" s="3449">
        <f ca="1">-OFFSET(Sector1!$G$399,0,(COLUMN()-8)/6)</f>
        <v>0</v>
      </c>
      <c r="AT35" s="556">
        <f ca="1">+AO35+AS35</f>
        <v>0</v>
      </c>
      <c r="AU35" s="3458">
        <f ca="1">+AV35+AW35+AX35</f>
        <v>0</v>
      </c>
      <c r="AV35" s="3449">
        <f ca="1">OFFSET(Sector1!$G$396,0,(COLUMN()-6)/6)</f>
        <v>0</v>
      </c>
      <c r="AW35" s="3449">
        <f ca="1">-OFFSET(Sector1!$G$397,0,(COLUMN()-7)/6)</f>
        <v>0</v>
      </c>
      <c r="AX35" s="3449">
        <f ca="1">-OFFSET(Sector1!$G$398,0,(COLUMN()-8)/6)</f>
        <v>0</v>
      </c>
      <c r="AY35" s="3449">
        <f ca="1">-OFFSET(Sector1!$G$399,0,(COLUMN()-8)/6)</f>
        <v>0</v>
      </c>
      <c r="AZ35" s="556">
        <f ca="1">+AU35+AY35</f>
        <v>0</v>
      </c>
      <c r="BA35" s="3458">
        <f ca="1">+BB35+BC35+BD35</f>
        <v>0</v>
      </c>
      <c r="BB35" s="3449">
        <f ca="1">OFFSET(Sector1!$G$396,0,(COLUMN()-6)/6)</f>
        <v>0</v>
      </c>
      <c r="BC35" s="3449">
        <f ca="1">-OFFSET(Sector1!$G$397,0,(COLUMN()-7)/6)</f>
        <v>0</v>
      </c>
      <c r="BD35" s="3449">
        <f ca="1">-OFFSET(Sector1!$G$398,0,(COLUMN()-8)/6)</f>
        <v>0</v>
      </c>
      <c r="BE35" s="3449">
        <f ca="1">-OFFSET(Sector1!$G$399,0,(COLUMN()-8)/6)</f>
        <v>0</v>
      </c>
      <c r="BF35" s="556">
        <f ca="1">+BA35+BE35</f>
        <v>0</v>
      </c>
      <c r="BG35" s="3458">
        <f ca="1">+BH35+BI35+BJ35</f>
        <v>0</v>
      </c>
      <c r="BH35" s="3449">
        <f ca="1">OFFSET(Sector1!$G$396,0,(COLUMN()-6)/6)</f>
        <v>5.0140000000000004E-2</v>
      </c>
      <c r="BI35" s="3449">
        <f ca="1">-OFFSET(Sector1!$G$397,0,(COLUMN()-7)/6)</f>
        <v>-5.0140000000000004E-2</v>
      </c>
      <c r="BJ35" s="3449">
        <f ca="1">-OFFSET(Sector1!$G$398,0,(COLUMN()-8)/6)</f>
        <v>0</v>
      </c>
      <c r="BK35" s="3449">
        <f ca="1">-OFFSET(Sector1!$G$399,0,(COLUMN()-8)/6)</f>
        <v>0</v>
      </c>
      <c r="BL35" s="556">
        <f ca="1">+BG35+BK35</f>
        <v>0</v>
      </c>
      <c r="BM35" s="3458">
        <f ca="1">+BN35+BO35+BP35</f>
        <v>0</v>
      </c>
      <c r="BN35" s="3449">
        <f ca="1">OFFSET(Sector1!$G$396,0,(COLUMN()-6)/6)</f>
        <v>8.9270000000000002E-2</v>
      </c>
      <c r="BO35" s="3449">
        <f ca="1">-OFFSET(Sector1!$G$397,0,(COLUMN()-7)/6)</f>
        <v>-8.9270000000000002E-2</v>
      </c>
      <c r="BP35" s="3449">
        <f ca="1">-OFFSET(Sector1!$G$398,0,(COLUMN()-8)/6)</f>
        <v>0</v>
      </c>
      <c r="BQ35" s="3449">
        <f ca="1">-OFFSET(Sector1!$G$399,0,(COLUMN()-8)/6)</f>
        <v>0</v>
      </c>
      <c r="BR35" s="556">
        <f ca="1">+BM35+BQ35</f>
        <v>0</v>
      </c>
      <c r="BS35" s="3458">
        <f ca="1">+BT35+BU35+BV35</f>
        <v>0</v>
      </c>
      <c r="BT35" s="3449">
        <f ca="1">OFFSET(Sector1!$G$396,0,(COLUMN()-6)/6)</f>
        <v>0.15365999999999999</v>
      </c>
      <c r="BU35" s="3449">
        <f ca="1">-OFFSET(Sector1!$G$397,0,(COLUMN()-7)/6)</f>
        <v>-0.15365999999999999</v>
      </c>
      <c r="BV35" s="3449">
        <f ca="1">-OFFSET(Sector1!$G$398,0,(COLUMN()-8)/6)</f>
        <v>0</v>
      </c>
      <c r="BW35" s="3449">
        <f ca="1">-OFFSET(Sector1!$G$399,0,(COLUMN()-8)/6)</f>
        <v>0</v>
      </c>
      <c r="BX35" s="556">
        <f ca="1">+BS35+BW35</f>
        <v>0</v>
      </c>
      <c r="BY35" s="3458">
        <f ca="1">+BZ35+CA35+CB35</f>
        <v>0</v>
      </c>
      <c r="BZ35" s="3449">
        <f ca="1">OFFSET(Sector1!$G$396,0,(COLUMN()-6)/6)</f>
        <v>0.24606999999999998</v>
      </c>
      <c r="CA35" s="3449">
        <f ca="1">-OFFSET(Sector1!$G$397,0,(COLUMN()-7)/6)</f>
        <v>-0.24606999999999998</v>
      </c>
      <c r="CB35" s="3449">
        <f ca="1">-OFFSET(Sector1!$G$398,0,(COLUMN()-8)/6)</f>
        <v>0</v>
      </c>
      <c r="CC35" s="3449">
        <f ca="1">-OFFSET(Sector1!$G$399,0,(COLUMN()-8)/6)</f>
        <v>0</v>
      </c>
      <c r="CD35" s="556">
        <f ca="1">+BY35+CC35</f>
        <v>0</v>
      </c>
      <c r="CE35" s="3458">
        <f ca="1">+CF35+CG35+CH35</f>
        <v>0</v>
      </c>
      <c r="CF35" s="3449">
        <f ca="1">OFFSET(Sector1!$G$396,0,(COLUMN()-6)/6)</f>
        <v>0.30675999999999998</v>
      </c>
      <c r="CG35" s="3449">
        <f ca="1">-OFFSET(Sector1!$G$397,0,(COLUMN()-7)/6)</f>
        <v>-0.30675999999999998</v>
      </c>
      <c r="CH35" s="3449">
        <f ca="1">-OFFSET(Sector1!$G$398,0,(COLUMN()-8)/6)</f>
        <v>0</v>
      </c>
      <c r="CI35" s="3449">
        <f ca="1">-OFFSET(Sector1!$G$399,0,(COLUMN()-8)/6)</f>
        <v>0</v>
      </c>
      <c r="CJ35" s="556">
        <f ca="1">+CE35+CI35</f>
        <v>0</v>
      </c>
      <c r="CK35" s="3458">
        <f ca="1">+CL35+CM35+CN35</f>
        <v>0</v>
      </c>
      <c r="CL35" s="3449">
        <f ca="1">OFFSET(Sector1!$G$396,0,(COLUMN()-6)/6)</f>
        <v>0.12214</v>
      </c>
      <c r="CM35" s="3449">
        <f ca="1">-OFFSET(Sector1!$G$397,0,(COLUMN()-7)/6)</f>
        <v>-0.12214</v>
      </c>
      <c r="CN35" s="3449">
        <f ca="1">-OFFSET(Sector1!$G$398,0,(COLUMN()-8)/6)</f>
        <v>0</v>
      </c>
      <c r="CO35" s="3449">
        <f ca="1">-OFFSET(Sector1!$G$399,0,(COLUMN()-8)/6)</f>
        <v>0</v>
      </c>
      <c r="CP35" s="556">
        <f ca="1">+CK35+CO35</f>
        <v>0</v>
      </c>
      <c r="CQ35" s="3458">
        <f ca="1">+CR35+CS35+CT35</f>
        <v>0</v>
      </c>
      <c r="CR35" s="3449">
        <f ca="1">OFFSET(Sector1!$G$396,0,(COLUMN()-6)/6)</f>
        <v>9.5510000000000012E-2</v>
      </c>
      <c r="CS35" s="3449">
        <f ca="1">-OFFSET(Sector1!$G$397,0,(COLUMN()-7)/6)</f>
        <v>-9.5510000000000012E-2</v>
      </c>
      <c r="CT35" s="3449">
        <f ca="1">-OFFSET(Sector1!$G$398,0,(COLUMN()-8)/6)</f>
        <v>0</v>
      </c>
      <c r="CU35" s="3449">
        <f ca="1">-OFFSET(Sector1!$G$399,0,(COLUMN()-8)/6)</f>
        <v>0</v>
      </c>
      <c r="CV35" s="556">
        <f ca="1">+CQ35+CU35</f>
        <v>0</v>
      </c>
      <c r="CW35" s="3458">
        <f ca="1">+CX35+CY35+CZ35</f>
        <v>0</v>
      </c>
      <c r="CX35" s="3449">
        <f ca="1">OFFSET(Sector1!$G$396,0,(COLUMN()-6)/6)</f>
        <v>9.2939999999999995E-2</v>
      </c>
      <c r="CY35" s="3449">
        <f ca="1">-OFFSET(Sector1!$G$397,0,(COLUMN()-7)/6)</f>
        <v>-9.2939999999999995E-2</v>
      </c>
      <c r="CZ35" s="3449">
        <f ca="1">-OFFSET(Sector1!$G$398,0,(COLUMN()-8)/6)</f>
        <v>0</v>
      </c>
      <c r="DA35" s="3449">
        <f ca="1">-OFFSET(Sector1!$G$399,0,(COLUMN()-8)/6)</f>
        <v>0</v>
      </c>
      <c r="DB35" s="556">
        <f ca="1">+CW35+DA35</f>
        <v>0</v>
      </c>
      <c r="DC35" s="3458">
        <f ca="1">+DD35+DE35+DF35</f>
        <v>0</v>
      </c>
      <c r="DD35" s="3449">
        <f ca="1">OFFSET(Sector1!$G$396,0,(COLUMN()-6)/6)</f>
        <v>7.4510000000000007E-2</v>
      </c>
      <c r="DE35" s="3449">
        <f ca="1">-OFFSET(Sector1!$G$397,0,(COLUMN()-7)/6)</f>
        <v>-7.4510000000000007E-2</v>
      </c>
      <c r="DF35" s="3449">
        <f ca="1">-OFFSET(Sector1!$G$398,0,(COLUMN()-8)/6)</f>
        <v>0</v>
      </c>
      <c r="DG35" s="3449">
        <f ca="1">-OFFSET(Sector1!$G$399,0,(COLUMN()-8)/6)</f>
        <v>0</v>
      </c>
      <c r="DH35" s="556">
        <f ca="1">+DC35+DG35</f>
        <v>0</v>
      </c>
      <c r="DI35" s="3458">
        <f ca="1">+DJ35+DK35+DL35</f>
        <v>0</v>
      </c>
      <c r="DJ35" s="3449">
        <f ca="1">OFFSET(Sector1!$G$396,0,(COLUMN()-6)/6)</f>
        <v>0.14002999999999999</v>
      </c>
      <c r="DK35" s="3449">
        <f ca="1">-OFFSET(Sector1!$G$397,0,(COLUMN()-7)/6)</f>
        <v>-0.14002999999999999</v>
      </c>
      <c r="DL35" s="3449">
        <f ca="1">-OFFSET(Sector1!$G$398,0,(COLUMN()-8)/6)</f>
        <v>0</v>
      </c>
      <c r="DM35" s="3449">
        <f ca="1">-OFFSET(Sector1!$G$399,0,(COLUMN()-8)/6)</f>
        <v>0</v>
      </c>
      <c r="DN35" s="556">
        <f ca="1">+DI35+DM35</f>
        <v>0</v>
      </c>
      <c r="DO35" s="3458">
        <f ca="1">+DP35+DQ35+DR35</f>
        <v>0</v>
      </c>
      <c r="DP35" s="3449">
        <f ca="1">OFFSET(Sector1!$G$396,0,(COLUMN()-6)/6)</f>
        <v>0.1198</v>
      </c>
      <c r="DQ35" s="3449">
        <f ca="1">-OFFSET(Sector1!$G$397,0,(COLUMN()-7)/6)</f>
        <v>-0.1198</v>
      </c>
      <c r="DR35" s="3449">
        <f ca="1">-OFFSET(Sector1!$G$398,0,(COLUMN()-8)/6)</f>
        <v>0</v>
      </c>
      <c r="DS35" s="3449">
        <f ca="1">-OFFSET(Sector1!$G$399,0,(COLUMN()-8)/6)</f>
        <v>0</v>
      </c>
      <c r="DT35" s="556">
        <f ca="1">+DO35+DS35</f>
        <v>0</v>
      </c>
      <c r="DU35" s="3458">
        <f ca="1">+DV35+DW35+DX35</f>
        <v>0</v>
      </c>
      <c r="DV35" s="3449">
        <f ca="1">OFFSET(Sector1!$G$396,0,(COLUMN()-6)/6)</f>
        <v>0.12872</v>
      </c>
      <c r="DW35" s="3449">
        <f ca="1">-OFFSET(Sector1!$G$397,0,(COLUMN()-7)/6)</f>
        <v>-0.12872</v>
      </c>
      <c r="DX35" s="3449">
        <f ca="1">-OFFSET(Sector1!$G$398,0,(COLUMN()-8)/6)</f>
        <v>0</v>
      </c>
      <c r="DY35" s="3449">
        <f ca="1">-OFFSET(Sector1!$G$399,0,(COLUMN()-8)/6)</f>
        <v>0</v>
      </c>
      <c r="DZ35" s="556">
        <f ca="1">+DU35+DY35</f>
        <v>0</v>
      </c>
      <c r="EA35" s="3458">
        <f ca="1">+EB35+EC35+ED35</f>
        <v>0</v>
      </c>
      <c r="EB35" s="3449">
        <f ca="1">OFFSET(Sector1!$G$396,0,(COLUMN()-6)/6)</f>
        <v>0.13106000000000001</v>
      </c>
      <c r="EC35" s="3449">
        <f ca="1">-OFFSET(Sector1!$G$397,0,(COLUMN()-7)/6)</f>
        <v>-0.13106000000000001</v>
      </c>
      <c r="ED35" s="3449">
        <f ca="1">-OFFSET(Sector1!$G$398,0,(COLUMN()-8)/6)</f>
        <v>0</v>
      </c>
      <c r="EE35" s="3449">
        <f ca="1">-OFFSET(Sector1!$G$399,0,(COLUMN()-8)/6)</f>
        <v>0</v>
      </c>
      <c r="EF35" s="556">
        <f ca="1">+EA35+EE35</f>
        <v>0</v>
      </c>
      <c r="EG35" s="3458">
        <f ca="1">+EH35+EI35+EJ35</f>
        <v>0</v>
      </c>
      <c r="EH35" s="3449">
        <f ca="1">OFFSET(Sector1!$G$396,0,(COLUMN()-6)/6)</f>
        <v>0.13106000000000001</v>
      </c>
      <c r="EI35" s="3449">
        <f ca="1">-OFFSET(Sector1!$G$397,0,(COLUMN()-7)/6)</f>
        <v>-0.13106000000000001</v>
      </c>
      <c r="EJ35" s="3449">
        <f ca="1">-OFFSET(Sector1!$G$398,0,(COLUMN()-8)/6)</f>
        <v>0</v>
      </c>
      <c r="EK35" s="3449">
        <f ca="1">-OFFSET(Sector1!$G$399,0,(COLUMN()-8)/6)</f>
        <v>0</v>
      </c>
      <c r="EL35" s="556">
        <f ca="1">+EG35+EK35</f>
        <v>0</v>
      </c>
      <c r="EM35" s="3458">
        <f ca="1">+EN35+EO35+EP35</f>
        <v>0</v>
      </c>
      <c r="EN35" s="3449">
        <f ca="1">OFFSET(Sector1!$G$396,0,(COLUMN()-6)/6)</f>
        <v>0.13106000000000001</v>
      </c>
      <c r="EO35" s="3449">
        <f ca="1">-OFFSET(Sector1!$G$397,0,(COLUMN()-7)/6)</f>
        <v>-0.13106000000000001</v>
      </c>
      <c r="EP35" s="3449">
        <f ca="1">-OFFSET(Sector1!$G$398,0,(COLUMN()-8)/6)</f>
        <v>0</v>
      </c>
      <c r="EQ35" s="3449">
        <f ca="1">-OFFSET(Sector1!$G$399,0,(COLUMN()-8)/6)</f>
        <v>0</v>
      </c>
      <c r="ER35" s="556">
        <f ca="1">+EM35+EQ35</f>
        <v>0</v>
      </c>
      <c r="ES35" s="3458">
        <f ca="1">+ET35+EU35+EV35</f>
        <v>0</v>
      </c>
      <c r="ET35" s="3449">
        <f ca="1">OFFSET(Sector1!$G$396,0,(COLUMN()-6)/6)</f>
        <v>0.13106000000000001</v>
      </c>
      <c r="EU35" s="3449">
        <f ca="1">-OFFSET(Sector1!$G$397,0,(COLUMN()-7)/6)</f>
        <v>-0.13106000000000001</v>
      </c>
      <c r="EV35" s="3449">
        <f ca="1">-OFFSET(Sector1!$G$398,0,(COLUMN()-8)/6)</f>
        <v>0</v>
      </c>
      <c r="EW35" s="3449">
        <f ca="1">-OFFSET(Sector1!$G$399,0,(COLUMN()-8)/6)</f>
        <v>0</v>
      </c>
      <c r="EX35" s="556">
        <f ca="1">+ES35+EW35</f>
        <v>0</v>
      </c>
    </row>
    <row r="36" spans="1:154" ht="12.75" customHeight="1">
      <c r="A36" s="553"/>
      <c r="B36" s="600" t="s">
        <v>401</v>
      </c>
      <c r="C36" s="3781" t="s">
        <v>821</v>
      </c>
      <c r="D36" s="3782"/>
      <c r="E36" s="3458">
        <f ca="1">+F36+G36+H36+I36</f>
        <v>6.8240300000000005</v>
      </c>
      <c r="F36" s="3452">
        <f ca="1">OFFSET('VVP2'!$G$185,0,(COLUMN()-6)/6)</f>
        <v>4.9615900000000002</v>
      </c>
      <c r="G36" s="3461"/>
      <c r="H36" s="3459">
        <f ca="1">+H37+H38</f>
        <v>1.8624400000000001</v>
      </c>
      <c r="I36" s="3457"/>
      <c r="J36" s="604"/>
      <c r="K36" s="3458">
        <f ca="1">+L36+M36+N36+O36</f>
        <v>8.5714000000000006</v>
      </c>
      <c r="L36" s="3452">
        <f ca="1">OFFSET('VVP2'!$G$185,0,(COLUMN()-6)/6)</f>
        <v>6.2328599999999996</v>
      </c>
      <c r="M36" s="3461"/>
      <c r="N36" s="3459">
        <f ca="1">+N37+N38</f>
        <v>2.3385400000000001</v>
      </c>
      <c r="O36" s="3457"/>
      <c r="P36" s="604"/>
      <c r="Q36" s="3458">
        <f ca="1">+R36+S36+T36+U36</f>
        <v>10.024470000000001</v>
      </c>
      <c r="R36" s="3452">
        <f ca="1">OFFSET('VVP2'!$G$185,0,(COLUMN()-6)/6)</f>
        <v>7.1923199999999996</v>
      </c>
      <c r="S36" s="3461"/>
      <c r="T36" s="3459">
        <f ca="1">+T37+T38</f>
        <v>2.8321500000000004</v>
      </c>
      <c r="U36" s="3457"/>
      <c r="V36" s="604"/>
      <c r="W36" s="3458">
        <f ca="1">+X36+Y36+Z36+AA36</f>
        <v>11.33778</v>
      </c>
      <c r="X36" s="3452">
        <f ca="1">OFFSET('VVP2'!$G$185,0,(COLUMN()-6)/6)</f>
        <v>7.9673100000000003</v>
      </c>
      <c r="Y36" s="3461"/>
      <c r="Z36" s="3459">
        <f ca="1">+Z37+Z38</f>
        <v>3.3704700000000001</v>
      </c>
      <c r="AA36" s="3457"/>
      <c r="AB36" s="604"/>
      <c r="AC36" s="3458">
        <f ca="1">+AD36+AE36+AF36+AG36</f>
        <v>11.2681</v>
      </c>
      <c r="AD36" s="3452">
        <f ca="1">OFFSET('VVP2'!$G$185,0,(COLUMN()-6)/6)</f>
        <v>8.2599499999999999</v>
      </c>
      <c r="AE36" s="3461"/>
      <c r="AF36" s="3459">
        <f ca="1">+AF37+AF38</f>
        <v>3.0081499999999997</v>
      </c>
      <c r="AG36" s="3457"/>
      <c r="AH36" s="604"/>
      <c r="AI36" s="3458">
        <f ca="1">+AJ36+AK36+AL36+AM36</f>
        <v>11.687019999999999</v>
      </c>
      <c r="AJ36" s="3452">
        <f ca="1">OFFSET('VVP2'!$G$185,0,(COLUMN()-6)/6)</f>
        <v>8.691889999999999</v>
      </c>
      <c r="AK36" s="3461"/>
      <c r="AL36" s="3459">
        <f ca="1">+AL37+AL38</f>
        <v>2.9951300000000001</v>
      </c>
      <c r="AM36" s="3457"/>
      <c r="AN36" s="604"/>
      <c r="AO36" s="3458">
        <f ca="1">+AP36+AQ36+AR36+AS36</f>
        <v>12.270470000000001</v>
      </c>
      <c r="AP36" s="3452">
        <f ca="1">OFFSET('VVP2'!$G$185,0,(COLUMN()-6)/6)</f>
        <v>9.2690300000000008</v>
      </c>
      <c r="AQ36" s="3461"/>
      <c r="AR36" s="3459">
        <f ca="1">+AR37+AR38</f>
        <v>3.0014400000000001</v>
      </c>
      <c r="AS36" s="3457"/>
      <c r="AT36" s="604"/>
      <c r="AU36" s="3458">
        <f ca="1">+AV36+AW36+AX36+AY36</f>
        <v>12.928339999999999</v>
      </c>
      <c r="AV36" s="3452">
        <f ca="1">OFFSET('VVP2'!$G$185,0,(COLUMN()-6)/6)</f>
        <v>9.8024199999999997</v>
      </c>
      <c r="AW36" s="3461"/>
      <c r="AX36" s="3459">
        <f ca="1">+AX37+AX38</f>
        <v>3.1259199999999998</v>
      </c>
      <c r="AY36" s="3457"/>
      <c r="AZ36" s="604"/>
      <c r="BA36" s="3458">
        <f ca="1">+BB36+BC36+BD36+BE36</f>
        <v>13.999089999999999</v>
      </c>
      <c r="BB36" s="3452">
        <f ca="1">OFFSET('VVP2'!$G$185,0,(COLUMN()-6)/6)</f>
        <v>10.739979999999999</v>
      </c>
      <c r="BC36" s="3461"/>
      <c r="BD36" s="3459">
        <f ca="1">+BD37+BD38</f>
        <v>3.2591100000000002</v>
      </c>
      <c r="BE36" s="3457"/>
      <c r="BF36" s="604"/>
      <c r="BG36" s="3458">
        <f ca="1">+BH36+BI36+BJ36+BK36</f>
        <v>15.38457</v>
      </c>
      <c r="BH36" s="3452">
        <f ca="1">OFFSET('VVP2'!$G$185,0,(COLUMN()-6)/6)</f>
        <v>11.88908</v>
      </c>
      <c r="BI36" s="3461"/>
      <c r="BJ36" s="3459">
        <f ca="1">+BJ37+BJ38</f>
        <v>3.4954900000000002</v>
      </c>
      <c r="BK36" s="3457"/>
      <c r="BL36" s="604"/>
      <c r="BM36" s="3458">
        <f ca="1">+BN36+BO36+BP36+BQ36</f>
        <v>17.46949</v>
      </c>
      <c r="BN36" s="3452">
        <f ca="1">OFFSET('VVP2'!$G$185,0,(COLUMN()-6)/6)</f>
        <v>13.583080000000001</v>
      </c>
      <c r="BO36" s="3461"/>
      <c r="BP36" s="3459">
        <f ca="1">+BP37+BP38</f>
        <v>3.8864100000000001</v>
      </c>
      <c r="BQ36" s="3457"/>
      <c r="BR36" s="604"/>
      <c r="BS36" s="3458">
        <f ca="1">+BT36+BU36+BV36+BW36</f>
        <v>20.115349999999999</v>
      </c>
      <c r="BT36" s="3452">
        <f ca="1">OFFSET('VVP2'!$G$185,0,(COLUMN()-6)/6)</f>
        <v>15.509840000000001</v>
      </c>
      <c r="BU36" s="3461"/>
      <c r="BV36" s="3459">
        <f ca="1">+BV37+BV38</f>
        <v>4.6055100000000007</v>
      </c>
      <c r="BW36" s="3457"/>
      <c r="BX36" s="604"/>
      <c r="BY36" s="3458">
        <f ca="1">+BZ36+CA36+CB36+CC36</f>
        <v>23.527439999999999</v>
      </c>
      <c r="BZ36" s="3452">
        <f ca="1">OFFSET('VVP2'!$G$185,0,(COLUMN()-6)/6)</f>
        <v>18.460609999999999</v>
      </c>
      <c r="CA36" s="3461"/>
      <c r="CB36" s="3459">
        <f ca="1">+CB37+CB38</f>
        <v>5.0668299999999995</v>
      </c>
      <c r="CC36" s="3457"/>
      <c r="CD36" s="604"/>
      <c r="CE36" s="3458">
        <f ca="1">+CF36+CG36+CH36+CI36</f>
        <v>27.361630000000002</v>
      </c>
      <c r="CF36" s="3452">
        <f ca="1">OFFSET('VVP2'!$G$185,0,(COLUMN()-6)/6)</f>
        <v>21.260830000000002</v>
      </c>
      <c r="CG36" s="3461"/>
      <c r="CH36" s="3459">
        <f ca="1">+CH37+CH38</f>
        <v>6.1007999999999996</v>
      </c>
      <c r="CI36" s="3457"/>
      <c r="CJ36" s="604"/>
      <c r="CK36" s="3458">
        <f ca="1">+CL36+CM36+CN36+CO36</f>
        <v>24.055219999999998</v>
      </c>
      <c r="CL36" s="3452">
        <f ca="1">OFFSET('VVP2'!$G$185,0,(COLUMN()-6)/6)</f>
        <v>18.33539</v>
      </c>
      <c r="CM36" s="3461"/>
      <c r="CN36" s="3459">
        <f ca="1">+CN37+CN38</f>
        <v>5.71983</v>
      </c>
      <c r="CO36" s="3457"/>
      <c r="CP36" s="604"/>
      <c r="CQ36" s="3458">
        <f ca="1">+CR36+CS36+CT36+CU36</f>
        <v>23.508920000000003</v>
      </c>
      <c r="CR36" s="3452">
        <f ca="1">OFFSET('VVP2'!$G$185,0,(COLUMN()-6)/6)</f>
        <v>17.945540000000001</v>
      </c>
      <c r="CS36" s="3461"/>
      <c r="CT36" s="3459">
        <f ca="1">+CT37+CT38</f>
        <v>5.5633800000000004</v>
      </c>
      <c r="CU36" s="3457"/>
      <c r="CV36" s="604"/>
      <c r="CW36" s="3458">
        <f ca="1">+CX36+CY36+CZ36+DA36</f>
        <v>25.281169999999999</v>
      </c>
      <c r="CX36" s="3452">
        <f ca="1">OFFSET('VVP2'!$G$185,0,(COLUMN()-6)/6)</f>
        <v>19.543849999999999</v>
      </c>
      <c r="CY36" s="3461"/>
      <c r="CZ36" s="3459">
        <f ca="1">+CZ37+CZ38</f>
        <v>5.7373200000000004</v>
      </c>
      <c r="DA36" s="3457"/>
      <c r="DB36" s="604"/>
      <c r="DC36" s="3458">
        <f ca="1">+DD36+DE36+DF36+DG36</f>
        <v>26.600760000000001</v>
      </c>
      <c r="DD36" s="3452">
        <f ca="1">OFFSET('VVP2'!$G$185,0,(COLUMN()-6)/6)</f>
        <v>20.77008</v>
      </c>
      <c r="DE36" s="3461"/>
      <c r="DF36" s="3459">
        <f ca="1">+DF37+DF38</f>
        <v>5.8306800000000001</v>
      </c>
      <c r="DG36" s="3457"/>
      <c r="DH36" s="604"/>
      <c r="DI36" s="3458">
        <f ca="1">+DJ36+DK36+DL36+DM36</f>
        <v>27.718669999999996</v>
      </c>
      <c r="DJ36" s="3452">
        <f ca="1">OFFSET('VVP2'!$G$185,0,(COLUMN()-6)/6)</f>
        <v>21.881709999999998</v>
      </c>
      <c r="DK36" s="3461"/>
      <c r="DL36" s="3459">
        <f ca="1">+DL37+DL38</f>
        <v>5.8369599999999995</v>
      </c>
      <c r="DM36" s="3457"/>
      <c r="DN36" s="604"/>
      <c r="DO36" s="3458">
        <f ca="1">+DP36+DQ36+DR36+DS36</f>
        <v>28.850149999999999</v>
      </c>
      <c r="DP36" s="3452">
        <f ca="1">OFFSET('VVP2'!$G$185,0,(COLUMN()-6)/6)</f>
        <v>22.776820000000001</v>
      </c>
      <c r="DQ36" s="3461"/>
      <c r="DR36" s="3459">
        <f ca="1">+DR37+DR38</f>
        <v>6.0733300000000003</v>
      </c>
      <c r="DS36" s="3457"/>
      <c r="DT36" s="604"/>
      <c r="DU36" s="3458">
        <f ca="1">+DV36+DW36+DX36+DY36</f>
        <v>29.9024</v>
      </c>
      <c r="DV36" s="3452">
        <f ca="1">OFFSET('VVP2'!$G$185,0,(COLUMN()-6)/6)</f>
        <v>23.47364</v>
      </c>
      <c r="DW36" s="3461"/>
      <c r="DX36" s="3459">
        <f ca="1">+DX37+DX38</f>
        <v>6.4287600000000005</v>
      </c>
      <c r="DY36" s="3457"/>
      <c r="DZ36" s="604"/>
      <c r="EA36" s="3458">
        <f ca="1">+EB36+EC36+ED36+EE36</f>
        <v>31.500210000000003</v>
      </c>
      <c r="EB36" s="3452">
        <f ca="1">OFFSET('VVP2'!$G$185,0,(COLUMN()-6)/6)</f>
        <v>24.863340000000001</v>
      </c>
      <c r="EC36" s="3461"/>
      <c r="ED36" s="3459">
        <f ca="1">+ED37+ED38</f>
        <v>6.63687</v>
      </c>
      <c r="EE36" s="3457"/>
      <c r="EF36" s="604"/>
      <c r="EG36" s="3458">
        <f ca="1">+EH36+EI36+EJ36+EK36</f>
        <v>33.708440000000003</v>
      </c>
      <c r="EH36" s="3452">
        <f ca="1">OFFSET('VVP2'!$G$185,0,(COLUMN()-6)/6)</f>
        <v>26.80039</v>
      </c>
      <c r="EI36" s="3461"/>
      <c r="EJ36" s="3459">
        <f ca="1">+EJ37+EJ38</f>
        <v>6.9080500000000002</v>
      </c>
      <c r="EK36" s="3457"/>
      <c r="EL36" s="604"/>
      <c r="EM36" s="3458">
        <f ca="1">+EN36+EO36+EP36+EQ36</f>
        <v>35.757585040487996</v>
      </c>
      <c r="EN36" s="3452">
        <f ca="1">OFFSET('VVP2'!$G$185,0,(COLUMN()-6)/6)</f>
        <v>28.459602144899996</v>
      </c>
      <c r="EO36" s="3461"/>
      <c r="EP36" s="3459">
        <f ca="1">+EP37+EP38</f>
        <v>7.2979828955880004</v>
      </c>
      <c r="EQ36" s="3457"/>
      <c r="ER36" s="604"/>
      <c r="ES36" s="3458">
        <f ca="1">+ET36+EU36+EV36+EW36</f>
        <v>37.718240929065921</v>
      </c>
      <c r="ET36" s="3452">
        <f ca="1">OFFSET('VVP2'!$G$185,0,(COLUMN()-6)/6)</f>
        <v>30.045541934026691</v>
      </c>
      <c r="EU36" s="3461"/>
      <c r="EV36" s="3459">
        <f ca="1">+EV37+EV38</f>
        <v>7.6726989950392319</v>
      </c>
      <c r="EW36" s="3457"/>
      <c r="EX36" s="604"/>
    </row>
    <row r="37" spans="1:154" s="568" customFormat="1">
      <c r="A37" s="563"/>
      <c r="B37" s="600"/>
      <c r="C37" s="582"/>
      <c r="D37" s="583" t="s">
        <v>1644</v>
      </c>
      <c r="E37" s="567"/>
      <c r="F37" s="3448"/>
      <c r="G37" s="3461"/>
      <c r="H37" s="1190">
        <f ca="1">OFFSET('VVP2'!$G$191,0,(COLUMN()-8)/6)</f>
        <v>0.79224000000000006</v>
      </c>
      <c r="I37" s="3457"/>
      <c r="J37" s="584"/>
      <c r="K37" s="567"/>
      <c r="L37" s="3448"/>
      <c r="M37" s="3461"/>
      <c r="N37" s="1190">
        <f ca="1">OFFSET('VVP2'!$G$191,0,(COLUMN()-8)/6)</f>
        <v>1.0240100000000001</v>
      </c>
      <c r="O37" s="3457"/>
      <c r="P37" s="584"/>
      <c r="Q37" s="567"/>
      <c r="R37" s="3448"/>
      <c r="S37" s="3461"/>
      <c r="T37" s="1190">
        <f ca="1">OFFSET('VVP2'!$G$191,0,(COLUMN()-8)/6)</f>
        <v>1.35297</v>
      </c>
      <c r="U37" s="3457"/>
      <c r="V37" s="584"/>
      <c r="W37" s="567"/>
      <c r="X37" s="3448"/>
      <c r="Y37" s="3461"/>
      <c r="Z37" s="1190">
        <f ca="1">OFFSET('VVP2'!$G$191,0,(COLUMN()-8)/6)</f>
        <v>1.66221</v>
      </c>
      <c r="AA37" s="3457"/>
      <c r="AB37" s="584"/>
      <c r="AC37" s="567"/>
      <c r="AD37" s="3448"/>
      <c r="AE37" s="3461"/>
      <c r="AF37" s="1190">
        <f ca="1">OFFSET('VVP2'!$G$191,0,(COLUMN()-8)/6)</f>
        <v>1.7330999999999999</v>
      </c>
      <c r="AG37" s="3457"/>
      <c r="AH37" s="584"/>
      <c r="AI37" s="567"/>
      <c r="AJ37" s="3448"/>
      <c r="AK37" s="3461"/>
      <c r="AL37" s="1190">
        <f ca="1">OFFSET('VVP2'!$G$191,0,(COLUMN()-8)/6)</f>
        <v>1.46346</v>
      </c>
      <c r="AM37" s="3457"/>
      <c r="AN37" s="584"/>
      <c r="AO37" s="567"/>
      <c r="AP37" s="3448"/>
      <c r="AQ37" s="3461"/>
      <c r="AR37" s="1190">
        <f ca="1">OFFSET('VVP2'!$G$191,0,(COLUMN()-8)/6)</f>
        <v>1.5200199999999999</v>
      </c>
      <c r="AS37" s="3457"/>
      <c r="AT37" s="584"/>
      <c r="AU37" s="567"/>
      <c r="AV37" s="3448"/>
      <c r="AW37" s="3461"/>
      <c r="AX37" s="1190">
        <f ca="1">OFFSET('VVP2'!$G$191,0,(COLUMN()-8)/6)</f>
        <v>1.6473100000000001</v>
      </c>
      <c r="AY37" s="3457"/>
      <c r="AZ37" s="584"/>
      <c r="BA37" s="567"/>
      <c r="BB37" s="3448"/>
      <c r="BC37" s="3461"/>
      <c r="BD37" s="1190">
        <f ca="1">OFFSET('VVP2'!$G$191,0,(COLUMN()-8)/6)</f>
        <v>1.7149700000000001</v>
      </c>
      <c r="BE37" s="3457"/>
      <c r="BF37" s="584"/>
      <c r="BG37" s="567"/>
      <c r="BH37" s="3448"/>
      <c r="BI37" s="3461"/>
      <c r="BJ37" s="1190">
        <f ca="1">OFFSET('VVP2'!$G$191,0,(COLUMN()-8)/6)</f>
        <v>1.8429800000000001</v>
      </c>
      <c r="BK37" s="3457"/>
      <c r="BL37" s="584"/>
      <c r="BM37" s="567"/>
      <c r="BN37" s="3448"/>
      <c r="BO37" s="3461"/>
      <c r="BP37" s="1190">
        <f ca="1">OFFSET('VVP2'!$G$191,0,(COLUMN()-8)/6)</f>
        <v>2.1234000000000002</v>
      </c>
      <c r="BQ37" s="3457"/>
      <c r="BR37" s="584"/>
      <c r="BS37" s="567"/>
      <c r="BT37" s="3448"/>
      <c r="BU37" s="3461"/>
      <c r="BV37" s="1190">
        <f ca="1">OFFSET('VVP2'!$G$191,0,(COLUMN()-8)/6)</f>
        <v>2.4421900000000001</v>
      </c>
      <c r="BW37" s="3457"/>
      <c r="BX37" s="584"/>
      <c r="BY37" s="567"/>
      <c r="BZ37" s="3448"/>
      <c r="CA37" s="3461"/>
      <c r="CB37" s="1190">
        <f ca="1">OFFSET('VVP2'!$G$191,0,(COLUMN()-8)/6)</f>
        <v>2.7316700000000003</v>
      </c>
      <c r="CC37" s="3457"/>
      <c r="CD37" s="584"/>
      <c r="CE37" s="567"/>
      <c r="CF37" s="3448"/>
      <c r="CG37" s="3461"/>
      <c r="CH37" s="1190">
        <f ca="1">OFFSET('VVP2'!$G$191,0,(COLUMN()-8)/6)</f>
        <v>3.3761199999999998</v>
      </c>
      <c r="CI37" s="3457"/>
      <c r="CJ37" s="584"/>
      <c r="CK37" s="567"/>
      <c r="CL37" s="3448"/>
      <c r="CM37" s="3461"/>
      <c r="CN37" s="1190">
        <f ca="1">OFFSET('VVP2'!$G$191,0,(COLUMN()-8)/6)</f>
        <v>3.3891499999999999</v>
      </c>
      <c r="CO37" s="3457"/>
      <c r="CP37" s="584"/>
      <c r="CQ37" s="567"/>
      <c r="CR37" s="3448"/>
      <c r="CS37" s="3461"/>
      <c r="CT37" s="1190">
        <f ca="1">OFFSET('VVP2'!$G$191,0,(COLUMN()-8)/6)</f>
        <v>3.1927500000000002</v>
      </c>
      <c r="CU37" s="3457"/>
      <c r="CV37" s="584"/>
      <c r="CW37" s="567"/>
      <c r="CX37" s="3448"/>
      <c r="CY37" s="3461"/>
      <c r="CZ37" s="1190">
        <f ca="1">OFFSET('VVP2'!$G$191,0,(COLUMN()-8)/6)</f>
        <v>3.33344</v>
      </c>
      <c r="DA37" s="3457"/>
      <c r="DB37" s="584"/>
      <c r="DC37" s="567"/>
      <c r="DD37" s="3448"/>
      <c r="DE37" s="3461"/>
      <c r="DF37" s="1190">
        <f ca="1">OFFSET('VVP2'!$G$191,0,(COLUMN()-8)/6)</f>
        <v>3.2970000000000002</v>
      </c>
      <c r="DG37" s="3457"/>
      <c r="DH37" s="584"/>
      <c r="DI37" s="567"/>
      <c r="DJ37" s="3448"/>
      <c r="DK37" s="3461"/>
      <c r="DL37" s="1190">
        <f ca="1">OFFSET('VVP2'!$G$191,0,(COLUMN()-8)/6)</f>
        <v>3.3099499999999997</v>
      </c>
      <c r="DM37" s="3457"/>
      <c r="DN37" s="584"/>
      <c r="DO37" s="567"/>
      <c r="DP37" s="3448"/>
      <c r="DQ37" s="3461"/>
      <c r="DR37" s="1190">
        <f ca="1">OFFSET('VVP2'!$G$191,0,(COLUMN()-8)/6)</f>
        <v>3.3924000000000003</v>
      </c>
      <c r="DS37" s="3457"/>
      <c r="DT37" s="584"/>
      <c r="DU37" s="567"/>
      <c r="DV37" s="3448"/>
      <c r="DW37" s="3461"/>
      <c r="DX37" s="1190">
        <f ca="1">OFFSET('VVP2'!$G$191,0,(COLUMN()-8)/6)</f>
        <v>3.6384699999999999</v>
      </c>
      <c r="DY37" s="3457"/>
      <c r="DZ37" s="584"/>
      <c r="EA37" s="567"/>
      <c r="EB37" s="3448"/>
      <c r="EC37" s="3461"/>
      <c r="ED37" s="1190">
        <f ca="1">OFFSET('VVP2'!$G$191,0,(COLUMN()-8)/6)</f>
        <v>3.7765200000000001</v>
      </c>
      <c r="EE37" s="3457"/>
      <c r="EF37" s="584"/>
      <c r="EG37" s="567"/>
      <c r="EH37" s="3448"/>
      <c r="EI37" s="3461"/>
      <c r="EJ37" s="1190">
        <f ca="1">OFFSET('VVP2'!$G$191,0,(COLUMN()-8)/6)</f>
        <v>3.9208400000000001</v>
      </c>
      <c r="EK37" s="3457"/>
      <c r="EL37" s="584"/>
      <c r="EM37" s="567"/>
      <c r="EN37" s="3448"/>
      <c r="EO37" s="3461"/>
      <c r="EP37" s="1190">
        <f ca="1">OFFSET('VVP2'!$G$191,0,(COLUMN()-8)/6)</f>
        <v>4.161412395588</v>
      </c>
      <c r="EQ37" s="3457"/>
      <c r="ER37" s="584"/>
      <c r="ES37" s="567"/>
      <c r="ET37" s="3448"/>
      <c r="EU37" s="3461"/>
      <c r="EV37" s="1190">
        <f ca="1">OFFSET('VVP2'!$G$191,0,(COLUMN()-8)/6)</f>
        <v>4.3792999700392308</v>
      </c>
      <c r="EW37" s="3457"/>
      <c r="EX37" s="584"/>
    </row>
    <row r="38" spans="1:154" s="568" customFormat="1" ht="13.5" thickBot="1">
      <c r="A38" s="563"/>
      <c r="B38" s="564"/>
      <c r="C38" s="582"/>
      <c r="D38" s="583" t="s">
        <v>1645</v>
      </c>
      <c r="E38" s="585"/>
      <c r="F38" s="3448"/>
      <c r="G38" s="3461"/>
      <c r="H38" s="1191">
        <f ca="1">OFFSET('VVP2'!$G$192,0,(COLUMN()-8)/6)</f>
        <v>1.0702</v>
      </c>
      <c r="I38" s="3457"/>
      <c r="J38" s="584"/>
      <c r="K38" s="585"/>
      <c r="L38" s="3448"/>
      <c r="M38" s="3461"/>
      <c r="N38" s="1191">
        <f ca="1">OFFSET('VVP2'!$G$192,0,(COLUMN()-8)/6)</f>
        <v>1.31453</v>
      </c>
      <c r="O38" s="3457"/>
      <c r="P38" s="584"/>
      <c r="Q38" s="585"/>
      <c r="R38" s="3448"/>
      <c r="S38" s="3461"/>
      <c r="T38" s="1191">
        <f ca="1">OFFSET('VVP2'!$G$192,0,(COLUMN()-8)/6)</f>
        <v>1.4791800000000002</v>
      </c>
      <c r="U38" s="3457"/>
      <c r="V38" s="584"/>
      <c r="W38" s="585"/>
      <c r="X38" s="3448"/>
      <c r="Y38" s="3461"/>
      <c r="Z38" s="1191">
        <f ca="1">OFFSET('VVP2'!$G$192,0,(COLUMN()-8)/6)</f>
        <v>1.7082599999999999</v>
      </c>
      <c r="AA38" s="3457"/>
      <c r="AB38" s="584"/>
      <c r="AC38" s="585"/>
      <c r="AD38" s="3448"/>
      <c r="AE38" s="3461"/>
      <c r="AF38" s="1191">
        <f ca="1">OFFSET('VVP2'!$G$192,0,(COLUMN()-8)/6)</f>
        <v>1.27505</v>
      </c>
      <c r="AG38" s="3457"/>
      <c r="AH38" s="584"/>
      <c r="AI38" s="585"/>
      <c r="AJ38" s="3448"/>
      <c r="AK38" s="3461"/>
      <c r="AL38" s="1191">
        <f ca="1">OFFSET('VVP2'!$G$192,0,(COLUMN()-8)/6)</f>
        <v>1.5316700000000001</v>
      </c>
      <c r="AM38" s="3457"/>
      <c r="AN38" s="584"/>
      <c r="AO38" s="585"/>
      <c r="AP38" s="3448"/>
      <c r="AQ38" s="3461"/>
      <c r="AR38" s="1191">
        <f ca="1">OFFSET('VVP2'!$G$192,0,(COLUMN()-8)/6)</f>
        <v>1.4814200000000002</v>
      </c>
      <c r="AS38" s="3457"/>
      <c r="AT38" s="584"/>
      <c r="AU38" s="585"/>
      <c r="AV38" s="3448"/>
      <c r="AW38" s="3461"/>
      <c r="AX38" s="1191">
        <f ca="1">OFFSET('VVP2'!$G$192,0,(COLUMN()-8)/6)</f>
        <v>1.47861</v>
      </c>
      <c r="AY38" s="3457"/>
      <c r="AZ38" s="584"/>
      <c r="BA38" s="585"/>
      <c r="BB38" s="3448"/>
      <c r="BC38" s="3461"/>
      <c r="BD38" s="1191">
        <f ca="1">OFFSET('VVP2'!$G$192,0,(COLUMN()-8)/6)</f>
        <v>1.5441400000000001</v>
      </c>
      <c r="BE38" s="3457"/>
      <c r="BF38" s="584"/>
      <c r="BG38" s="585"/>
      <c r="BH38" s="3448"/>
      <c r="BI38" s="3461"/>
      <c r="BJ38" s="1191">
        <f ca="1">OFFSET('VVP2'!$G$192,0,(COLUMN()-8)/6)</f>
        <v>1.6525099999999999</v>
      </c>
      <c r="BK38" s="3457"/>
      <c r="BL38" s="584"/>
      <c r="BM38" s="585"/>
      <c r="BN38" s="3448"/>
      <c r="BO38" s="3461"/>
      <c r="BP38" s="1191">
        <f ca="1">OFFSET('VVP2'!$G$192,0,(COLUMN()-8)/6)</f>
        <v>1.76301</v>
      </c>
      <c r="BQ38" s="3457"/>
      <c r="BR38" s="584"/>
      <c r="BS38" s="585"/>
      <c r="BT38" s="3448"/>
      <c r="BU38" s="3461"/>
      <c r="BV38" s="1191">
        <f ca="1">OFFSET('VVP2'!$G$192,0,(COLUMN()-8)/6)</f>
        <v>2.1633200000000001</v>
      </c>
      <c r="BW38" s="3457"/>
      <c r="BX38" s="584"/>
      <c r="BY38" s="585"/>
      <c r="BZ38" s="3448"/>
      <c r="CA38" s="3461"/>
      <c r="CB38" s="1191">
        <f ca="1">OFFSET('VVP2'!$G$192,0,(COLUMN()-8)/6)</f>
        <v>2.3351599999999997</v>
      </c>
      <c r="CC38" s="3457"/>
      <c r="CD38" s="584"/>
      <c r="CE38" s="585"/>
      <c r="CF38" s="3448"/>
      <c r="CG38" s="3461"/>
      <c r="CH38" s="1191">
        <f ca="1">OFFSET('VVP2'!$G$192,0,(COLUMN()-8)/6)</f>
        <v>2.7246799999999998</v>
      </c>
      <c r="CI38" s="3457"/>
      <c r="CJ38" s="584"/>
      <c r="CK38" s="585"/>
      <c r="CL38" s="3448"/>
      <c r="CM38" s="3461"/>
      <c r="CN38" s="1191">
        <f ca="1">OFFSET('VVP2'!$G$192,0,(COLUMN()-8)/6)</f>
        <v>2.3306799999999996</v>
      </c>
      <c r="CO38" s="3457"/>
      <c r="CP38" s="584"/>
      <c r="CQ38" s="585"/>
      <c r="CR38" s="3448"/>
      <c r="CS38" s="3461"/>
      <c r="CT38" s="1191">
        <f ca="1">OFFSET('VVP2'!$G$192,0,(COLUMN()-8)/6)</f>
        <v>2.3706300000000002</v>
      </c>
      <c r="CU38" s="3457"/>
      <c r="CV38" s="584"/>
      <c r="CW38" s="585"/>
      <c r="CX38" s="3448"/>
      <c r="CY38" s="3461"/>
      <c r="CZ38" s="1191">
        <f ca="1">OFFSET('VVP2'!$G$192,0,(COLUMN()-8)/6)</f>
        <v>2.40388</v>
      </c>
      <c r="DA38" s="3457"/>
      <c r="DB38" s="584"/>
      <c r="DC38" s="585"/>
      <c r="DD38" s="3448"/>
      <c r="DE38" s="3461"/>
      <c r="DF38" s="1191">
        <f ca="1">OFFSET('VVP2'!$G$192,0,(COLUMN()-8)/6)</f>
        <v>2.5336799999999999</v>
      </c>
      <c r="DG38" s="3457"/>
      <c r="DH38" s="584"/>
      <c r="DI38" s="585"/>
      <c r="DJ38" s="3448"/>
      <c r="DK38" s="3461"/>
      <c r="DL38" s="1191">
        <f ca="1">OFFSET('VVP2'!$G$192,0,(COLUMN()-8)/6)</f>
        <v>2.5270100000000002</v>
      </c>
      <c r="DM38" s="3457"/>
      <c r="DN38" s="584"/>
      <c r="DO38" s="585"/>
      <c r="DP38" s="3448"/>
      <c r="DQ38" s="3461"/>
      <c r="DR38" s="1191">
        <f ca="1">OFFSET('VVP2'!$G$192,0,(COLUMN()-8)/6)</f>
        <v>2.68093</v>
      </c>
      <c r="DS38" s="3457"/>
      <c r="DT38" s="584"/>
      <c r="DU38" s="585"/>
      <c r="DV38" s="3448"/>
      <c r="DW38" s="3461"/>
      <c r="DX38" s="1191">
        <f ca="1">OFFSET('VVP2'!$G$192,0,(COLUMN()-8)/6)</f>
        <v>2.7902900000000002</v>
      </c>
      <c r="DY38" s="3457"/>
      <c r="DZ38" s="584"/>
      <c r="EA38" s="585"/>
      <c r="EB38" s="3448"/>
      <c r="EC38" s="3461"/>
      <c r="ED38" s="1191">
        <f ca="1">OFFSET('VVP2'!$G$192,0,(COLUMN()-8)/6)</f>
        <v>2.8603499999999999</v>
      </c>
      <c r="EE38" s="3457"/>
      <c r="EF38" s="584"/>
      <c r="EG38" s="585"/>
      <c r="EH38" s="3448"/>
      <c r="EI38" s="3461"/>
      <c r="EJ38" s="1191">
        <f ca="1">OFFSET('VVP2'!$G$192,0,(COLUMN()-8)/6)</f>
        <v>2.9872100000000001</v>
      </c>
      <c r="EK38" s="3457"/>
      <c r="EL38" s="584"/>
      <c r="EM38" s="585"/>
      <c r="EN38" s="3448"/>
      <c r="EO38" s="3461"/>
      <c r="EP38" s="1191">
        <f ca="1">OFFSET('VVP2'!$G$192,0,(COLUMN()-8)/6)</f>
        <v>3.1365705000000004</v>
      </c>
      <c r="EQ38" s="3457"/>
      <c r="ER38" s="584"/>
      <c r="ES38" s="585"/>
      <c r="ET38" s="3448"/>
      <c r="EU38" s="3461"/>
      <c r="EV38" s="1191">
        <f ca="1">OFFSET('VVP2'!$G$192,0,(COLUMN()-8)/6)</f>
        <v>3.2933990250000007</v>
      </c>
      <c r="EW38" s="3457"/>
      <c r="EX38" s="584"/>
    </row>
    <row r="39" spans="1:154" s="557" customFormat="1" ht="13.5" customHeight="1" thickBot="1">
      <c r="A39" s="555"/>
      <c r="B39" s="3445" t="s">
        <v>1769</v>
      </c>
      <c r="C39" s="3785" t="s">
        <v>1323</v>
      </c>
      <c r="D39" s="3786"/>
      <c r="E39" s="3454">
        <f ca="1">+F39+G39+H39</f>
        <v>1.0539500000000004</v>
      </c>
      <c r="F39" s="3454">
        <f ca="1">+F34+F35-F36</f>
        <v>6.8660000000000387E-2</v>
      </c>
      <c r="G39" s="3454">
        <f ca="1">+G34+G35-G36</f>
        <v>0.74860000000000038</v>
      </c>
      <c r="H39" s="3454">
        <f ca="1">+H34+H35-H36</f>
        <v>0.23668999999999962</v>
      </c>
      <c r="I39" s="3454"/>
      <c r="J39" s="604"/>
      <c r="K39" s="3454">
        <f ca="1">+L39+M39+N39</f>
        <v>1.2084499999999987</v>
      </c>
      <c r="L39" s="3454">
        <f ca="1">+L34+L35-L36</f>
        <v>-7.8619999999999912E-2</v>
      </c>
      <c r="M39" s="3454">
        <f ca="1">+M34+M35-M36</f>
        <v>1.1222399999999992</v>
      </c>
      <c r="N39" s="3454">
        <f ca="1">+N34+N35-N36</f>
        <v>0.16482999999999937</v>
      </c>
      <c r="O39" s="3454"/>
      <c r="P39" s="604"/>
      <c r="Q39" s="3454">
        <f ca="1">+R39+S39+T39</f>
        <v>1.744320000000001</v>
      </c>
      <c r="R39" s="3454">
        <f ca="1">+R34+R35-R36</f>
        <v>0.21661999999999981</v>
      </c>
      <c r="S39" s="3454">
        <f ca="1">+S34+S35-S36</f>
        <v>1.1396900000000012</v>
      </c>
      <c r="T39" s="3454">
        <f ca="1">+T34+T35-T36</f>
        <v>0.38800999999999997</v>
      </c>
      <c r="U39" s="3454"/>
      <c r="V39" s="604"/>
      <c r="W39" s="3454">
        <f ca="1">+X39+Y39+Z39</f>
        <v>1.6651399999999965</v>
      </c>
      <c r="X39" s="3454">
        <f ca="1">+X34+X35-X36</f>
        <v>0.61073999999999717</v>
      </c>
      <c r="Y39" s="3454">
        <f ca="1">+Y34+Y35-Y36</f>
        <v>0.9673999999999997</v>
      </c>
      <c r="Z39" s="3454">
        <f ca="1">+Z34+Z35-Z36</f>
        <v>8.6999999999999744E-2</v>
      </c>
      <c r="AA39" s="3454"/>
      <c r="AB39" s="604"/>
      <c r="AC39" s="3454">
        <f ca="1">+AD39+AE39+AF39</f>
        <v>1.3549499999999997</v>
      </c>
      <c r="AD39" s="3454">
        <f ca="1">+AD34+AD35-AD36</f>
        <v>0.3626100000000001</v>
      </c>
      <c r="AE39" s="3454">
        <f ca="1">+AE34+AE35-AE36</f>
        <v>0.91666999999999987</v>
      </c>
      <c r="AF39" s="3454">
        <f ca="1">+AF34+AF35-AF36</f>
        <v>7.5669999999999682E-2</v>
      </c>
      <c r="AG39" s="3454"/>
      <c r="AH39" s="604"/>
      <c r="AI39" s="3454">
        <f ca="1">+AJ39+AK39+AL39</f>
        <v>1.7257600000000002</v>
      </c>
      <c r="AJ39" s="3454">
        <f ca="1">+AJ34+AJ35-AJ36</f>
        <v>0.56772999999999918</v>
      </c>
      <c r="AK39" s="3454">
        <f ca="1">+AK34+AK35-AK36</f>
        <v>0.94606000000000057</v>
      </c>
      <c r="AL39" s="3454">
        <f ca="1">+AL34+AL35-AL36</f>
        <v>0.21197000000000044</v>
      </c>
      <c r="AM39" s="3454"/>
      <c r="AN39" s="604"/>
      <c r="AO39" s="3454">
        <f ca="1">+AP39+AQ39+AR39</f>
        <v>2.0263999999999962</v>
      </c>
      <c r="AP39" s="3454">
        <f ca="1">+AP34+AP35-AP36</f>
        <v>0.42298999999999687</v>
      </c>
      <c r="AQ39" s="3454">
        <f ca="1">+AQ34+AQ35-AQ36</f>
        <v>1.4919999999999998</v>
      </c>
      <c r="AR39" s="3454">
        <f ca="1">+AR34+AR35-AR36</f>
        <v>0.11140999999999979</v>
      </c>
      <c r="AS39" s="3454"/>
      <c r="AT39" s="604"/>
      <c r="AU39" s="3454">
        <f ca="1">+AV39+AW39+AX39</f>
        <v>2.3460300000000034</v>
      </c>
      <c r="AV39" s="3454">
        <f ca="1">+AV34+AV35-AV36</f>
        <v>0.44408000000000136</v>
      </c>
      <c r="AW39" s="3454">
        <f ca="1">+AW34+AW35-AW36</f>
        <v>1.6360800000000013</v>
      </c>
      <c r="AX39" s="3454">
        <f ca="1">+AX34+AX35-AX36</f>
        <v>0.26587000000000049</v>
      </c>
      <c r="AY39" s="3454"/>
      <c r="AZ39" s="604"/>
      <c r="BA39" s="3454">
        <f ca="1">+BB39+BC39+BD39</f>
        <v>2.5040400000000034</v>
      </c>
      <c r="BB39" s="3454">
        <f ca="1">+BB34+BB35-BB36</f>
        <v>0.2095400000000005</v>
      </c>
      <c r="BC39" s="3454">
        <f ca="1">+BC34+BC35-BC36</f>
        <v>1.9779100000000025</v>
      </c>
      <c r="BD39" s="3454">
        <f ca="1">+BD34+BD35-BD36</f>
        <v>0.31659000000000059</v>
      </c>
      <c r="BE39" s="3454"/>
      <c r="BF39" s="604"/>
      <c r="BG39" s="3454">
        <f ca="1">+BH39+BI39+BJ39</f>
        <v>2.7874899999999974</v>
      </c>
      <c r="BH39" s="3454">
        <f ca="1">+BH34+BH35-BH36</f>
        <v>1.0032399999999981</v>
      </c>
      <c r="BI39" s="3454">
        <f ca="1">+BI34+BI35-BI36</f>
        <v>1.3635499999999989</v>
      </c>
      <c r="BJ39" s="3454">
        <f ca="1">+BJ34+BJ35-BJ36</f>
        <v>0.42070000000000007</v>
      </c>
      <c r="BK39" s="3454"/>
      <c r="BL39" s="604"/>
      <c r="BM39" s="3454">
        <f ca="1">+BN39+BO39+BP39</f>
        <v>3.5727299999999977</v>
      </c>
      <c r="BN39" s="3454">
        <f ca="1">+BN34+BN35-BN36</f>
        <v>0.5735199999999967</v>
      </c>
      <c r="BO39" s="3454">
        <f ca="1">+BO34+BO35-BO36</f>
        <v>2.4148400000000017</v>
      </c>
      <c r="BP39" s="3454">
        <f ca="1">+BP34+BP35-BP36</f>
        <v>0.58436999999999939</v>
      </c>
      <c r="BQ39" s="3454"/>
      <c r="BR39" s="604"/>
      <c r="BS39" s="3454">
        <f ca="1">+BT39+BU39+BV39</f>
        <v>3.9785599999999932</v>
      </c>
      <c r="BT39" s="3454">
        <f ca="1">+BT34+BT35-BT36</f>
        <v>0.84127999999999759</v>
      </c>
      <c r="BU39" s="3454">
        <f ca="1">+BU34+BU35-BU36</f>
        <v>2.3237099999999979</v>
      </c>
      <c r="BV39" s="3454">
        <f ca="1">+BV34+BV35-BV36</f>
        <v>0.81356999999999768</v>
      </c>
      <c r="BW39" s="3454"/>
      <c r="BX39" s="604"/>
      <c r="BY39" s="3454">
        <f ca="1">+BZ39+CA39+CB39</f>
        <v>4.9917800000000065</v>
      </c>
      <c r="BZ39" s="3454">
        <f ca="1">+BZ34+BZ35-BZ36</f>
        <v>-0.71982999999999464</v>
      </c>
      <c r="CA39" s="3454">
        <f ca="1">+CA34+CA35-CA36</f>
        <v>4.5371500000000022</v>
      </c>
      <c r="CB39" s="3454">
        <f ca="1">+CB34+CB35-CB36</f>
        <v>1.1744599999999989</v>
      </c>
      <c r="CC39" s="3454"/>
      <c r="CD39" s="604"/>
      <c r="CE39" s="3454">
        <f ca="1">+CF39+CG39+CH39</f>
        <v>4.8158700000000074</v>
      </c>
      <c r="CF39" s="3454">
        <f ca="1">+CF34+CF35-CF36</f>
        <v>-0.10829999999999629</v>
      </c>
      <c r="CG39" s="3454">
        <f ca="1">+CG34+CG35-CG36</f>
        <v>4.3561300000000003</v>
      </c>
      <c r="CH39" s="3454">
        <f ca="1">+CH34+CH35-CH36</f>
        <v>0.56804000000000343</v>
      </c>
      <c r="CI39" s="3454"/>
      <c r="CJ39" s="604"/>
      <c r="CK39" s="3454">
        <f ca="1">+CL39+CM39+CN39</f>
        <v>3.9069500000000028</v>
      </c>
      <c r="CL39" s="3454">
        <f ca="1">+CL34+CL35-CL36</f>
        <v>0.98694000000000415</v>
      </c>
      <c r="CM39" s="3454">
        <f ca="1">+CM34+CM35-CM36</f>
        <v>4.4560499999999994</v>
      </c>
      <c r="CN39" s="3454">
        <f ca="1">+CN34+CN35-CN36</f>
        <v>-1.5360400000000007</v>
      </c>
      <c r="CO39" s="3454"/>
      <c r="CP39" s="604"/>
      <c r="CQ39" s="3454">
        <f ca="1">+CR39+CS39+CT39</f>
        <v>4.9563999999999906</v>
      </c>
      <c r="CR39" s="3454">
        <f ca="1">+CR34+CR35-CR36</f>
        <v>1.5161699999999954</v>
      </c>
      <c r="CS39" s="3454">
        <f ca="1">+CS34+CS35-CS36</f>
        <v>4.5863999999999949</v>
      </c>
      <c r="CT39" s="3454">
        <f ca="1">+CT34+CT35-CT36</f>
        <v>-1.1461699999999997</v>
      </c>
      <c r="CU39" s="3454"/>
      <c r="CV39" s="604"/>
      <c r="CW39" s="3454">
        <f ca="1">+CX39+CY39+CZ39</f>
        <v>5.5942500000000068</v>
      </c>
      <c r="CX39" s="3454">
        <f ca="1">+CX34+CX35-CX36</f>
        <v>0.93204000000000065</v>
      </c>
      <c r="CY39" s="3454">
        <f ca="1">+CY34+CY35-CY36</f>
        <v>5.367390000000003</v>
      </c>
      <c r="CZ39" s="3454">
        <f ca="1">+CZ34+CZ35-CZ36</f>
        <v>-0.70517999999999681</v>
      </c>
      <c r="DA39" s="3454"/>
      <c r="DB39" s="604"/>
      <c r="DC39" s="3454">
        <f ca="1">+DD39+DE39+DF39</f>
        <v>6.1450799999999992</v>
      </c>
      <c r="DD39" s="3454">
        <f ca="1">+DD34+DD35-DD36</f>
        <v>0.37671999999999883</v>
      </c>
      <c r="DE39" s="3454">
        <f ca="1">+DE34+DE35-DE36</f>
        <v>6.1053299999999995</v>
      </c>
      <c r="DF39" s="3454">
        <f ca="1">+DF34+DF35-DF36</f>
        <v>-0.3369699999999991</v>
      </c>
      <c r="DG39" s="3454"/>
      <c r="DH39" s="604"/>
      <c r="DI39" s="3454">
        <f ca="1">+DJ39+DK39+DL39</f>
        <v>7.3016400000000035</v>
      </c>
      <c r="DJ39" s="3454">
        <f ca="1">+DJ34+DJ35-DJ36</f>
        <v>0.53555000000000419</v>
      </c>
      <c r="DK39" s="3454">
        <f ca="1">+DK34+DK35-DK36</f>
        <v>6.7489699999999972</v>
      </c>
      <c r="DL39" s="3454">
        <f ca="1">+DL34+DL35-DL36</f>
        <v>1.7120000000002022E-2</v>
      </c>
      <c r="DM39" s="3454"/>
      <c r="DN39" s="604"/>
      <c r="DO39" s="3454">
        <f ca="1">+DP39+DQ39+DR39</f>
        <v>8.413490000000003</v>
      </c>
      <c r="DP39" s="3454">
        <f ca="1">+DP34+DP35-DP36</f>
        <v>3.6310000000003839E-2</v>
      </c>
      <c r="DQ39" s="3454">
        <f ca="1">+DQ34+DQ35-DQ36</f>
        <v>7.8735799999999996</v>
      </c>
      <c r="DR39" s="3454">
        <f ca="1">+DR34+DR35-DR36</f>
        <v>0.5035999999999996</v>
      </c>
      <c r="DS39" s="3454"/>
      <c r="DT39" s="604"/>
      <c r="DU39" s="3454">
        <f ca="1">+DV39+DW39+DX39</f>
        <v>6.9462800000000042</v>
      </c>
      <c r="DV39" s="3454">
        <f ca="1">+DV34+DV35-DV36</f>
        <v>-5.9999999997728537E-5</v>
      </c>
      <c r="DW39" s="3454">
        <f ca="1">+DW34+DW35-DW36</f>
        <v>6.0911100000000014</v>
      </c>
      <c r="DX39" s="3454">
        <f ca="1">+DX34+DX35-DX36</f>
        <v>0.8552300000000006</v>
      </c>
      <c r="DY39" s="3454"/>
      <c r="DZ39" s="604"/>
      <c r="EA39" s="3454">
        <f ca="1">+EB39+EC39+ED39</f>
        <v>6.4324600000000007</v>
      </c>
      <c r="EB39" s="3454">
        <f ca="1">+EB34+EB35-EB36</f>
        <v>-0.11985999999999919</v>
      </c>
      <c r="EC39" s="3454">
        <f ca="1">+EC34+EC35-EC36</f>
        <v>5.41418</v>
      </c>
      <c r="ED39" s="3454">
        <f ca="1">+ED34+ED35-ED36</f>
        <v>1.1381399999999999</v>
      </c>
      <c r="EE39" s="3454"/>
      <c r="EF39" s="604"/>
      <c r="EG39" s="3454">
        <f ca="1">+EH39+EI39+EJ39</f>
        <v>7.4485184079999964</v>
      </c>
      <c r="EH39" s="3454">
        <f ca="1">+EH34+EH35-EH36</f>
        <v>-0.37138136478063544</v>
      </c>
      <c r="EI39" s="3454">
        <f ca="1">+EI34+EI35-EI36</f>
        <v>6.250950470000002</v>
      </c>
      <c r="EJ39" s="3454">
        <f ca="1">+EJ34+EJ35-EJ36</f>
        <v>1.5689493027806298</v>
      </c>
      <c r="EK39" s="3454"/>
      <c r="EL39" s="604"/>
      <c r="EM39" s="3454">
        <f ca="1">+EN39+EO39+EP39</f>
        <v>7.760540813149281</v>
      </c>
      <c r="EN39" s="3454">
        <f ca="1">+EN34+EN35-EN36</f>
        <v>-0.51902575602819567</v>
      </c>
      <c r="EO39" s="3454">
        <f ca="1">+EO34+EO35-EO36</f>
        <v>6.7520762020993299</v>
      </c>
      <c r="EP39" s="3454">
        <f ca="1">+EP34+EP35-EP36</f>
        <v>1.5274903670781468</v>
      </c>
      <c r="EQ39" s="3454"/>
      <c r="ER39" s="604"/>
      <c r="ES39" s="3454">
        <f ca="1">+ET39+EU39+EV39</f>
        <v>8.2684582391073835</v>
      </c>
      <c r="ET39" s="3454">
        <f ca="1">+ET34+ET35-ET36</f>
        <v>-0.65357600382164449</v>
      </c>
      <c r="EU39" s="3454">
        <f ca="1">+EU34+EU35-EU36</f>
        <v>7.3186701178579678</v>
      </c>
      <c r="EV39" s="3454">
        <f ca="1">+EV34+EV35-EV36</f>
        <v>1.6033641250710602</v>
      </c>
      <c r="EW39" s="3454"/>
      <c r="EX39" s="604"/>
    </row>
    <row r="40" spans="1:154" ht="12.75" customHeight="1">
      <c r="A40" s="553"/>
      <c r="B40" s="600" t="s">
        <v>1767</v>
      </c>
      <c r="C40" s="3781" t="s">
        <v>1324</v>
      </c>
      <c r="D40" s="3782"/>
      <c r="E40" s="3458">
        <f ca="1">+F40+G40+H40</f>
        <v>-4.5170000000000016E-2</v>
      </c>
      <c r="F40" s="3449">
        <f ca="1">OFFSET(Sector1!$G$488,0,(COLUMN()-6)/6)</f>
        <v>1.7899999999999999E-2</v>
      </c>
      <c r="G40" s="3449">
        <f ca="1">OFFSET(Sector1!$G$489,0,(COLUMN()-7)/6)</f>
        <v>3.3049999999999996E-2</v>
      </c>
      <c r="H40" s="3464">
        <f ca="1">+H41-H42+H43-H44</f>
        <v>-9.6120000000000011E-2</v>
      </c>
      <c r="I40" s="3449">
        <f ca="1">-OFFSET(Sector1!$G$490,0,(COLUMN()-9)/6)</f>
        <v>4.5170000000000002E-2</v>
      </c>
      <c r="J40" s="586">
        <f ca="1">+E40+I40</f>
        <v>0</v>
      </c>
      <c r="K40" s="3458">
        <f ca="1">+L40+M40+N40</f>
        <v>6.3700000000000145E-3</v>
      </c>
      <c r="L40" s="3449">
        <f ca="1">OFFSET(Sector1!$G$488,0,(COLUMN()-6)/6)</f>
        <v>3.032E-2</v>
      </c>
      <c r="M40" s="3449">
        <f ca="1">OFFSET(Sector1!$G$489,0,(COLUMN()-7)/6)</f>
        <v>0.22208</v>
      </c>
      <c r="N40" s="3464">
        <f ca="1">+N41-N42+N43-N44</f>
        <v>-0.24603</v>
      </c>
      <c r="O40" s="3449">
        <f ca="1">-OFFSET(Sector1!$G$490,0,(COLUMN()-9)/6)</f>
        <v>-6.3699999999999998E-3</v>
      </c>
      <c r="P40" s="586">
        <f ca="1">+K40+O40</f>
        <v>1.474514954580286E-17</v>
      </c>
      <c r="Q40" s="3458">
        <f ca="1">+R40+S40+T40</f>
        <v>4.769999999999941E-3</v>
      </c>
      <c r="R40" s="3449">
        <f ca="1">OFFSET(Sector1!$G$488,0,(COLUMN()-6)/6)</f>
        <v>1.4711000000000001</v>
      </c>
      <c r="S40" s="3449">
        <f ca="1">OFFSET(Sector1!$G$489,0,(COLUMN()-7)/6)</f>
        <v>3.1609999999999999E-2</v>
      </c>
      <c r="T40" s="3464">
        <f ca="1">+T41-T42+T43-T44</f>
        <v>-1.49794</v>
      </c>
      <c r="U40" s="3449">
        <f ca="1">-OFFSET(Sector1!$G$490,0,(COLUMN()-9)/6)</f>
        <v>-4.7699999999999999E-3</v>
      </c>
      <c r="V40" s="586">
        <f ca="1">+Q40+U40</f>
        <v>-5.8980598183211441E-17</v>
      </c>
      <c r="W40" s="3458">
        <f ca="1">+X40+Y40+Z40</f>
        <v>-1.9900000000000195E-3</v>
      </c>
      <c r="X40" s="3449">
        <f ca="1">OFFSET(Sector1!$G$488,0,(COLUMN()-6)/6)</f>
        <v>4.9669999999999992E-2</v>
      </c>
      <c r="Y40" s="3449">
        <f ca="1">OFFSET(Sector1!$G$489,0,(COLUMN()-7)/6)</f>
        <v>0.10012</v>
      </c>
      <c r="Z40" s="3464">
        <f ca="1">+Z41-Z42+Z43-Z44</f>
        <v>-0.15178</v>
      </c>
      <c r="AA40" s="3449">
        <f ca="1">-OFFSET(Sector1!$G$490,0,(COLUMN()-9)/6)</f>
        <v>1.98E-3</v>
      </c>
      <c r="AB40" s="586">
        <f ca="1">+W40+AA40</f>
        <v>-1.0000000000019542E-5</v>
      </c>
      <c r="AC40" s="3458">
        <f ca="1">+AD40+AE40+AF40</f>
        <v>-3.8100000000000078E-3</v>
      </c>
      <c r="AD40" s="3449">
        <f ca="1">OFFSET(Sector1!$G$488,0,(COLUMN()-6)/6)</f>
        <v>5.1540000000000002E-2</v>
      </c>
      <c r="AE40" s="3449">
        <f ca="1">OFFSET(Sector1!$G$489,0,(COLUMN()-7)/6)</f>
        <v>5.3999999999999999E-2</v>
      </c>
      <c r="AF40" s="3464">
        <f ca="1">+AF41-AF42+AF43-AF44</f>
        <v>-0.10935</v>
      </c>
      <c r="AG40" s="3449">
        <f ca="1">-OFFSET(Sector1!$G$490,0,(COLUMN()-9)/6)</f>
        <v>3.81E-3</v>
      </c>
      <c r="AH40" s="586">
        <f ca="1">+AC40+AG40</f>
        <v>-7.8062556418956319E-18</v>
      </c>
      <c r="AI40" s="3458">
        <f ca="1">+AJ40+AK40+AL40</f>
        <v>2.4799999999999822E-3</v>
      </c>
      <c r="AJ40" s="3449">
        <f ca="1">OFFSET(Sector1!$G$488,0,(COLUMN()-6)/6)</f>
        <v>0.19487000000000002</v>
      </c>
      <c r="AK40" s="3449">
        <f ca="1">OFFSET(Sector1!$G$489,0,(COLUMN()-7)/6)</f>
        <v>0.12583</v>
      </c>
      <c r="AL40" s="3464">
        <f ca="1">+AL41-AL42+AL43-AL44</f>
        <v>-0.31822</v>
      </c>
      <c r="AM40" s="3449">
        <f ca="1">-OFFSET(Sector1!$G$490,0,(COLUMN()-9)/6)</f>
        <v>-2.49E-3</v>
      </c>
      <c r="AN40" s="586">
        <f ca="1">+AI40+AM40</f>
        <v>-1.0000000000017807E-5</v>
      </c>
      <c r="AO40" s="3458">
        <f ca="1">+AP40+AQ40+AR40</f>
        <v>1.5999999999999903E-3</v>
      </c>
      <c r="AP40" s="3449">
        <f ca="1">OFFSET(Sector1!$G$488,0,(COLUMN()-6)/6)</f>
        <v>2.8420000000000001E-2</v>
      </c>
      <c r="AQ40" s="3449">
        <f ca="1">OFFSET(Sector1!$G$489,0,(COLUMN()-7)/6)</f>
        <v>0.26213999999999998</v>
      </c>
      <c r="AR40" s="3464">
        <f ca="1">+AR41-AR42+AR43-AR44</f>
        <v>-0.28895999999999999</v>
      </c>
      <c r="AS40" s="3449">
        <f ca="1">-OFFSET(Sector1!$G$490,0,(COLUMN()-9)/6)</f>
        <v>-1.6100000000000001E-3</v>
      </c>
      <c r="AT40" s="586">
        <f ca="1">+AO40+AS40</f>
        <v>-1.0000000000009784E-5</v>
      </c>
      <c r="AU40" s="3458">
        <f ca="1">+AV40+AW40+AX40</f>
        <v>5.9019999999999989E-2</v>
      </c>
      <c r="AV40" s="3449">
        <f ca="1">OFFSET(Sector1!$G$488,0,(COLUMN()-6)/6)</f>
        <v>2.4410000000000001E-2</v>
      </c>
      <c r="AW40" s="3449">
        <f ca="1">OFFSET(Sector1!$G$489,0,(COLUMN()-7)/6)</f>
        <v>0.12173</v>
      </c>
      <c r="AX40" s="3464">
        <f ca="1">+AX41-AX42+AX43-AX44</f>
        <v>-8.7120000000000003E-2</v>
      </c>
      <c r="AY40" s="3449">
        <f ca="1">-OFFSET(Sector1!$G$490,0,(COLUMN()-9)/6)</f>
        <v>-5.9020000000000003E-2</v>
      </c>
      <c r="AZ40" s="586">
        <f ca="1">+AU40+AY40</f>
        <v>0</v>
      </c>
      <c r="BA40" s="3458">
        <f ca="1">+BB40+BC40+BD40</f>
        <v>5.9359999999999982E-2</v>
      </c>
      <c r="BB40" s="3449">
        <f ca="1">OFFSET(Sector1!$G$488,0,(COLUMN()-6)/6)</f>
        <v>3.4189999999999998E-2</v>
      </c>
      <c r="BC40" s="3449">
        <f ca="1">OFFSET(Sector1!$G$489,0,(COLUMN()-7)/6)</f>
        <v>4.3559999999999995E-2</v>
      </c>
      <c r="BD40" s="3464">
        <f ca="1">+BD41-BD42+BD43-BD44</f>
        <v>-1.8390000000000004E-2</v>
      </c>
      <c r="BE40" s="3449">
        <f ca="1">-OFFSET(Sector1!$G$490,0,(COLUMN()-9)/6)</f>
        <v>-5.9359999999999996E-2</v>
      </c>
      <c r="BF40" s="586">
        <f ca="1">+BA40+BE40</f>
        <v>0</v>
      </c>
      <c r="BG40" s="3458">
        <f ca="1">+BH40+BI40+BJ40</f>
        <v>0.12967000000000001</v>
      </c>
      <c r="BH40" s="3449">
        <f ca="1">OFFSET(Sector1!$G$488,0,(COLUMN()-6)/6)</f>
        <v>8.5610000000000006E-2</v>
      </c>
      <c r="BI40" s="3449">
        <f ca="1">OFFSET(Sector1!$G$489,0,(COLUMN()-7)/6)</f>
        <v>7.5829999999999995E-2</v>
      </c>
      <c r="BJ40" s="3464">
        <f ca="1">+BJ41-BJ42+BJ43-BJ44</f>
        <v>-3.1769999999999993E-2</v>
      </c>
      <c r="BK40" s="3449">
        <f ca="1">-OFFSET(Sector1!$G$490,0,(COLUMN()-9)/6)</f>
        <v>-0.12966999999999998</v>
      </c>
      <c r="BL40" s="586">
        <f ca="1">+BG40+BK40</f>
        <v>0</v>
      </c>
      <c r="BM40" s="3458">
        <f ca="1">+BN40+BO40+BP40</f>
        <v>0.20397000000000004</v>
      </c>
      <c r="BN40" s="3449">
        <f ca="1">OFFSET(Sector1!$G$488,0,(COLUMN()-6)/6)</f>
        <v>7.2179999999999994E-2</v>
      </c>
      <c r="BO40" s="3449">
        <f ca="1">OFFSET(Sector1!$G$489,0,(COLUMN()-7)/6)</f>
        <v>5.5099999999999996E-2</v>
      </c>
      <c r="BP40" s="3464">
        <f ca="1">+BP41-BP42+BP43-BP44</f>
        <v>7.6690000000000022E-2</v>
      </c>
      <c r="BQ40" s="3449">
        <f ca="1">-OFFSET(Sector1!$G$490,0,(COLUMN()-9)/6)</f>
        <v>-0.20397000000000001</v>
      </c>
      <c r="BR40" s="586">
        <f ca="1">+BM40+BQ40</f>
        <v>0</v>
      </c>
      <c r="BS40" s="3458">
        <f ca="1">+BT40+BU40+BV40</f>
        <v>0.35857</v>
      </c>
      <c r="BT40" s="3449">
        <f ca="1">OFFSET(Sector1!$G$488,0,(COLUMN()-6)/6)</f>
        <v>7.8410000000000007E-2</v>
      </c>
      <c r="BU40" s="3449">
        <f ca="1">OFFSET(Sector1!$G$489,0,(COLUMN()-7)/6)</f>
        <v>0.14396</v>
      </c>
      <c r="BV40" s="3464">
        <f ca="1">+BV41-BV42+BV43-BV44</f>
        <v>0.13619999999999999</v>
      </c>
      <c r="BW40" s="3449">
        <f ca="1">-OFFSET(Sector1!$G$490,0,(COLUMN()-9)/6)</f>
        <v>-0.35857</v>
      </c>
      <c r="BX40" s="586">
        <f ca="1">+BS40+BW40</f>
        <v>0</v>
      </c>
      <c r="BY40" s="3458">
        <f ca="1">+BZ40+CA40+CB40</f>
        <v>0.61141000000000012</v>
      </c>
      <c r="BZ40" s="3449">
        <f ca="1">OFFSET(Sector1!$G$488,0,(COLUMN()-6)/6)</f>
        <v>0.18384</v>
      </c>
      <c r="CA40" s="3449">
        <f ca="1">OFFSET(Sector1!$G$489,0,(COLUMN()-7)/6)</f>
        <v>0.27153000000000005</v>
      </c>
      <c r="CB40" s="3464">
        <f ca="1">+CB41-CB42+CB43-CB44</f>
        <v>0.15604000000000007</v>
      </c>
      <c r="CC40" s="3449">
        <f ca="1">-OFFSET(Sector1!$G$490,0,(COLUMN()-9)/6)</f>
        <v>-0.61141999999999996</v>
      </c>
      <c r="CD40" s="586">
        <f ca="1">+BY40+CC40</f>
        <v>-9.9999999998434674E-6</v>
      </c>
      <c r="CE40" s="3458">
        <f ca="1">+CF40+CG40+CH40</f>
        <v>0.61907000000000012</v>
      </c>
      <c r="CF40" s="3449">
        <f ca="1">OFFSET(Sector1!$G$488,0,(COLUMN()-6)/6)</f>
        <v>4.446E-2</v>
      </c>
      <c r="CG40" s="3449">
        <f ca="1">OFFSET(Sector1!$G$489,0,(COLUMN()-7)/6)</f>
        <v>0.36141000000000001</v>
      </c>
      <c r="CH40" s="3464">
        <f ca="1">+CH41-CH42+CH43-CH44</f>
        <v>0.21320000000000008</v>
      </c>
      <c r="CI40" s="3449">
        <f ca="1">-OFFSET(Sector1!$G$490,0,(COLUMN()-9)/6)</f>
        <v>-0.61907000000000001</v>
      </c>
      <c r="CJ40" s="586">
        <f ca="1">+CE40+CI40</f>
        <v>0</v>
      </c>
      <c r="CK40" s="3458">
        <f ca="1">+CL40+CM40+CN40</f>
        <v>1.15822</v>
      </c>
      <c r="CL40" s="3449">
        <f ca="1">OFFSET(Sector1!$G$488,0,(COLUMN()-6)/6)</f>
        <v>3.0710000000000001E-2</v>
      </c>
      <c r="CM40" s="3449">
        <f ca="1">OFFSET(Sector1!$G$489,0,(COLUMN()-7)/6)</f>
        <v>0.84387999999999996</v>
      </c>
      <c r="CN40" s="3464">
        <f ca="1">+CN41-CN42+CN43-CN44</f>
        <v>0.28362999999999999</v>
      </c>
      <c r="CO40" s="3449">
        <f ca="1">-OFFSET(Sector1!$G$490,0,(COLUMN()-9)/6)</f>
        <v>-1.15822</v>
      </c>
      <c r="CP40" s="586">
        <f ca="1">+CK40+CO40</f>
        <v>0</v>
      </c>
      <c r="CQ40" s="3458">
        <f ca="1">+CR40+CS40+CT40</f>
        <v>1.0578099999999999</v>
      </c>
      <c r="CR40" s="3449">
        <f ca="1">OFFSET(Sector1!$G$488,0,(COLUMN()-6)/6)</f>
        <v>3.9329999999999997E-2</v>
      </c>
      <c r="CS40" s="3449">
        <f ca="1">OFFSET(Sector1!$G$489,0,(COLUMN()-7)/6)</f>
        <v>0.43232999999999999</v>
      </c>
      <c r="CT40" s="3464">
        <f ca="1">+CT41-CT42+CT43-CT44</f>
        <v>0.58614999999999995</v>
      </c>
      <c r="CU40" s="3449">
        <f ca="1">-OFFSET(Sector1!$G$490,0,(COLUMN()-9)/6)</f>
        <v>-1.0577999999999999</v>
      </c>
      <c r="CV40" s="586">
        <f ca="1">+CQ40+CU40</f>
        <v>1.0000000000065512E-5</v>
      </c>
      <c r="CW40" s="3458">
        <f ca="1">+CX40+CY40+CZ40</f>
        <v>1.0038100000000001</v>
      </c>
      <c r="CX40" s="3449">
        <f ca="1">OFFSET(Sector1!$G$488,0,(COLUMN()-6)/6)</f>
        <v>1.23645</v>
      </c>
      <c r="CY40" s="3449">
        <f ca="1">OFFSET(Sector1!$G$489,0,(COLUMN()-7)/6)</f>
        <v>0.47370999999999996</v>
      </c>
      <c r="CZ40" s="3464">
        <f ca="1">+CZ41-CZ42+CZ43-CZ44</f>
        <v>-0.70635000000000014</v>
      </c>
      <c r="DA40" s="3449">
        <f ca="1">-OFFSET(Sector1!$G$490,0,(COLUMN()-9)/6)</f>
        <v>-1.0038099999999999</v>
      </c>
      <c r="DB40" s="586">
        <f ca="1">+CW40+DA40</f>
        <v>0</v>
      </c>
      <c r="DC40" s="3458">
        <f ca="1">+DD40+DE40+DF40</f>
        <v>0.96408999999999989</v>
      </c>
      <c r="DD40" s="3449">
        <f ca="1">OFFSET(Sector1!$G$488,0,(COLUMN()-6)/6)</f>
        <v>3.8779999999999995E-2</v>
      </c>
      <c r="DE40" s="3449">
        <f ca="1">OFFSET(Sector1!$G$489,0,(COLUMN()-7)/6)</f>
        <v>0.38078000000000001</v>
      </c>
      <c r="DF40" s="3464">
        <f ca="1">+DF41-DF42+DF43-DF44</f>
        <v>0.54452999999999996</v>
      </c>
      <c r="DG40" s="3449">
        <f ca="1">-OFFSET(Sector1!$G$490,0,(COLUMN()-9)/6)</f>
        <v>-0.96409</v>
      </c>
      <c r="DH40" s="586">
        <f ca="1">+DC40+DG40</f>
        <v>0</v>
      </c>
      <c r="DI40" s="3458">
        <f ca="1">+DJ40+DK40+DL40</f>
        <v>1.0888499999999999</v>
      </c>
      <c r="DJ40" s="3449">
        <f ca="1">OFFSET(Sector1!$G$488,0,(COLUMN()-6)/6)</f>
        <v>7.3069999999999996E-2</v>
      </c>
      <c r="DK40" s="3449">
        <f ca="1">OFFSET(Sector1!$G$489,0,(COLUMN()-7)/6)</f>
        <v>0.74426999999999999</v>
      </c>
      <c r="DL40" s="3464">
        <f ca="1">+DL41-DL42+DL43-DL44</f>
        <v>0.27150999999999997</v>
      </c>
      <c r="DM40" s="3449">
        <f ca="1">-OFFSET(Sector1!$G$490,0,(COLUMN()-9)/6)</f>
        <v>-1.0888499999999999</v>
      </c>
      <c r="DN40" s="586">
        <f ca="1">+DI40+DM40</f>
        <v>0</v>
      </c>
      <c r="DO40" s="3458">
        <f ca="1">+DP40+DQ40+DR40</f>
        <v>0.97573999999999994</v>
      </c>
      <c r="DP40" s="3449">
        <f ca="1">OFFSET(Sector1!$G$488,0,(COLUMN()-6)/6)</f>
        <v>0.39702000000000004</v>
      </c>
      <c r="DQ40" s="3449">
        <f ca="1">OFFSET(Sector1!$G$489,0,(COLUMN()-7)/6)</f>
        <v>9.0939999999999938E-2</v>
      </c>
      <c r="DR40" s="3464">
        <f ca="1">+DR41-DR42+DR43-DR44</f>
        <v>0.48777999999999999</v>
      </c>
      <c r="DS40" s="3449">
        <f ca="1">-OFFSET(Sector1!$G$490,0,(COLUMN()-9)/6)</f>
        <v>-0.97573999999999994</v>
      </c>
      <c r="DT40" s="586">
        <f ca="1">+DO40+DS40</f>
        <v>0</v>
      </c>
      <c r="DU40" s="3458">
        <f ca="1">+DV40+DW40+DX40</f>
        <v>1.1172600000000001</v>
      </c>
      <c r="DV40" s="3449">
        <f ca="1">OFFSET(Sector1!$G$488,0,(COLUMN()-6)/6)</f>
        <v>0.12033000000000001</v>
      </c>
      <c r="DW40" s="3449">
        <f ca="1">OFFSET(Sector1!$G$489,0,(COLUMN()-7)/6)</f>
        <v>0.57279000000000013</v>
      </c>
      <c r="DX40" s="3464">
        <f ca="1">+DX41-DX42+DX43-DX44</f>
        <v>0.42413999999999991</v>
      </c>
      <c r="DY40" s="3449">
        <f ca="1">-OFFSET(Sector1!$G$490,0,(COLUMN()-9)/6)</f>
        <v>-1.1172599999999999</v>
      </c>
      <c r="DZ40" s="586">
        <f ca="1">+DU40+DY40</f>
        <v>0</v>
      </c>
      <c r="EA40" s="3458">
        <f ca="1">+EB40+EC40+ED40</f>
        <v>0.56872</v>
      </c>
      <c r="EB40" s="3449">
        <f ca="1">OFFSET(Sector1!$G$488,0,(COLUMN()-6)/6)</f>
        <v>5.5060000000000005E-2</v>
      </c>
      <c r="EC40" s="3449">
        <f ca="1">OFFSET(Sector1!$G$489,0,(COLUMN()-7)/6)</f>
        <v>0.38400000000000001</v>
      </c>
      <c r="ED40" s="3464">
        <f ca="1">+ED41-ED42+ED43-ED44</f>
        <v>0.12966</v>
      </c>
      <c r="EE40" s="3449">
        <f ca="1">-OFFSET(Sector1!$G$490,0,(COLUMN()-9)/6)</f>
        <v>-0.56872</v>
      </c>
      <c r="EF40" s="586">
        <f ca="1">+EA40+EE40</f>
        <v>0</v>
      </c>
      <c r="EG40" s="3458">
        <f ca="1">+EH40+EI40+EJ40</f>
        <v>0.45054840000000002</v>
      </c>
      <c r="EH40" s="3449">
        <f ca="1">OFFSET(Sector1!$G$488,0,(COLUMN()-6)/6)</f>
        <v>5.1205800000000003E-2</v>
      </c>
      <c r="EI40" s="3449">
        <f ca="1">OFFSET(Sector1!$G$489,0,(COLUMN()-7)/6)</f>
        <v>0.35711999999999999</v>
      </c>
      <c r="EJ40" s="3464">
        <f ca="1">+EJ41-EJ42+EJ43-EJ44</f>
        <v>4.2222599999999999E-2</v>
      </c>
      <c r="EK40" s="3449">
        <f ca="1">-OFFSET(Sector1!$G$490,0,(COLUMN()-9)/6)</f>
        <v>-0.45054839999999996</v>
      </c>
      <c r="EL40" s="586">
        <f ca="1">+EG40+EK40</f>
        <v>0</v>
      </c>
      <c r="EM40" s="3458">
        <f ca="1">+EN40+EO40+EP40</f>
        <v>0.54727231399999987</v>
      </c>
      <c r="EN40" s="3449">
        <f ca="1">OFFSET(Sector1!$G$488,0,(COLUMN()-6)/6)</f>
        <v>4.7621393999999997E-2</v>
      </c>
      <c r="EO40" s="3449">
        <f ca="1">OFFSET(Sector1!$G$489,0,(COLUMN()-7)/6)</f>
        <v>0.33212159999999996</v>
      </c>
      <c r="EP40" s="3464">
        <f ca="1">+EP41-EP42+EP43-EP44</f>
        <v>0.1675293199999999</v>
      </c>
      <c r="EQ40" s="3449">
        <f ca="1">-OFFSET(Sector1!$G$490,0,(COLUMN()-9)/6)</f>
        <v>-0.54727231399999998</v>
      </c>
      <c r="ER40" s="586">
        <f ca="1">+EM40+EQ40</f>
        <v>0</v>
      </c>
      <c r="ES40" s="3458">
        <f ca="1">+ET40+EU40+EV40</f>
        <v>0.52810883385999985</v>
      </c>
      <c r="ET40" s="3449">
        <f ca="1">OFFSET(Sector1!$G$488,0,(COLUMN()-6)/6)</f>
        <v>4.4287896419999993E-2</v>
      </c>
      <c r="EU40" s="3449">
        <f ca="1">OFFSET(Sector1!$G$489,0,(COLUMN()-7)/6)</f>
        <v>0.30887308799999996</v>
      </c>
      <c r="EV40" s="3464">
        <f ca="1">+EV41-EV42+EV43-EV44</f>
        <v>0.17494784943999989</v>
      </c>
      <c r="EW40" s="3449">
        <f ca="1">-OFFSET(Sector1!$G$490,0,(COLUMN()-9)/6)</f>
        <v>-0.52810883385999996</v>
      </c>
      <c r="EX40" s="586">
        <f ca="1">+ES40+EW40</f>
        <v>0</v>
      </c>
    </row>
    <row r="41" spans="1:154" s="568" customFormat="1">
      <c r="A41" s="563"/>
      <c r="B41" s="564"/>
      <c r="C41" s="582"/>
      <c r="D41" s="583" t="s">
        <v>1813</v>
      </c>
      <c r="E41" s="3458"/>
      <c r="F41" s="3448"/>
      <c r="G41" s="3461"/>
      <c r="H41" s="562">
        <f ca="1">OFFSET(Sector1!$G$482,0,(COLUMN()-8)/6)</f>
        <v>0</v>
      </c>
      <c r="I41" s="3457"/>
      <c r="J41" s="584"/>
      <c r="K41" s="3458"/>
      <c r="L41" s="3448"/>
      <c r="M41" s="3461"/>
      <c r="N41" s="562">
        <f ca="1">OFFSET(Sector1!$G$482,0,(COLUMN()-8)/6)</f>
        <v>0</v>
      </c>
      <c r="O41" s="3457"/>
      <c r="P41" s="584"/>
      <c r="Q41" s="3458"/>
      <c r="R41" s="3448"/>
      <c r="S41" s="3461"/>
      <c r="T41" s="562">
        <f ca="1">OFFSET(Sector1!$G$482,0,(COLUMN()-8)/6)</f>
        <v>3.0000000000000001E-5</v>
      </c>
      <c r="U41" s="3457"/>
      <c r="V41" s="584"/>
      <c r="W41" s="3458"/>
      <c r="X41" s="3448"/>
      <c r="Y41" s="3461"/>
      <c r="Z41" s="562">
        <f ca="1">OFFSET(Sector1!$G$482,0,(COLUMN()-8)/6)</f>
        <v>2.0000000000000001E-4</v>
      </c>
      <c r="AA41" s="3457"/>
      <c r="AB41" s="584"/>
      <c r="AC41" s="3458"/>
      <c r="AD41" s="3448"/>
      <c r="AE41" s="3461"/>
      <c r="AF41" s="562">
        <f ca="1">OFFSET(Sector1!$G$482,0,(COLUMN()-8)/6)</f>
        <v>6.2E-4</v>
      </c>
      <c r="AG41" s="3457"/>
      <c r="AH41" s="584"/>
      <c r="AI41" s="3458"/>
      <c r="AJ41" s="3448"/>
      <c r="AK41" s="3461"/>
      <c r="AL41" s="562">
        <f ca="1">OFFSET(Sector1!$G$482,0,(COLUMN()-8)/6)</f>
        <v>5.2999999999999998E-4</v>
      </c>
      <c r="AM41" s="3457"/>
      <c r="AN41" s="584"/>
      <c r="AO41" s="3458"/>
      <c r="AP41" s="3448"/>
      <c r="AQ41" s="3461"/>
      <c r="AR41" s="562">
        <f ca="1">OFFSET(Sector1!$G$482,0,(COLUMN()-8)/6)</f>
        <v>6.4999999999999997E-4</v>
      </c>
      <c r="AS41" s="3457"/>
      <c r="AT41" s="584"/>
      <c r="AU41" s="3458"/>
      <c r="AV41" s="3448"/>
      <c r="AW41" s="3461"/>
      <c r="AX41" s="562">
        <f ca="1">OFFSET(Sector1!$G$482,0,(COLUMN()-8)/6)</f>
        <v>6.6E-4</v>
      </c>
      <c r="AY41" s="3457"/>
      <c r="AZ41" s="584"/>
      <c r="BA41" s="3458"/>
      <c r="BB41" s="3448"/>
      <c r="BC41" s="3461"/>
      <c r="BD41" s="562">
        <f ca="1">OFFSET(Sector1!$G$482,0,(COLUMN()-8)/6)</f>
        <v>3.2000000000000003E-4</v>
      </c>
      <c r="BE41" s="3457"/>
      <c r="BF41" s="584"/>
      <c r="BG41" s="3458"/>
      <c r="BH41" s="3448"/>
      <c r="BI41" s="3461"/>
      <c r="BJ41" s="562">
        <f ca="1">OFFSET(Sector1!$G$482,0,(COLUMN()-8)/6)</f>
        <v>5.0000000000000001E-4</v>
      </c>
      <c r="BK41" s="3457"/>
      <c r="BL41" s="584"/>
      <c r="BM41" s="3458"/>
      <c r="BN41" s="3448"/>
      <c r="BO41" s="3461"/>
      <c r="BP41" s="562">
        <f ca="1">OFFSET(Sector1!$G$482,0,(COLUMN()-8)/6)</f>
        <v>6.7000000000000002E-4</v>
      </c>
      <c r="BQ41" s="3457"/>
      <c r="BR41" s="584"/>
      <c r="BS41" s="3458"/>
      <c r="BT41" s="3448"/>
      <c r="BU41" s="3461"/>
      <c r="BV41" s="562">
        <f ca="1">OFFSET(Sector1!$G$482,0,(COLUMN()-8)/6)</f>
        <v>1.2099999999999999E-3</v>
      </c>
      <c r="BW41" s="3457"/>
      <c r="BX41" s="584"/>
      <c r="BY41" s="3458"/>
      <c r="BZ41" s="3448"/>
      <c r="CA41" s="3461"/>
      <c r="CB41" s="562">
        <f ca="1">OFFSET(Sector1!$G$482,0,(COLUMN()-8)/6)</f>
        <v>1.82E-3</v>
      </c>
      <c r="CC41" s="3457"/>
      <c r="CD41" s="584"/>
      <c r="CE41" s="3458"/>
      <c r="CF41" s="3448"/>
      <c r="CG41" s="3461"/>
      <c r="CH41" s="562">
        <f ca="1">OFFSET(Sector1!$G$482,0,(COLUMN()-8)/6)</f>
        <v>1.7600000000000001E-3</v>
      </c>
      <c r="CI41" s="3457"/>
      <c r="CJ41" s="584"/>
      <c r="CK41" s="3458"/>
      <c r="CL41" s="3448"/>
      <c r="CM41" s="3461"/>
      <c r="CN41" s="562">
        <f ca="1">OFFSET(Sector1!$G$482,0,(COLUMN()-8)/6)</f>
        <v>1.7800000000000001E-3</v>
      </c>
      <c r="CO41" s="3457"/>
      <c r="CP41" s="584"/>
      <c r="CQ41" s="3458"/>
      <c r="CR41" s="3448"/>
      <c r="CS41" s="3461"/>
      <c r="CT41" s="562">
        <f ca="1">OFFSET(Sector1!$G$482,0,(COLUMN()-8)/6)</f>
        <v>1.1000000000000001E-3</v>
      </c>
      <c r="CU41" s="3457"/>
      <c r="CV41" s="584"/>
      <c r="CW41" s="3458"/>
      <c r="CX41" s="3448"/>
      <c r="CY41" s="3461"/>
      <c r="CZ41" s="562">
        <f ca="1">OFFSET(Sector1!$G$482,0,(COLUMN()-8)/6)</f>
        <v>1E-3</v>
      </c>
      <c r="DA41" s="3457"/>
      <c r="DB41" s="584"/>
      <c r="DC41" s="3458"/>
      <c r="DD41" s="3448"/>
      <c r="DE41" s="3461"/>
      <c r="DF41" s="562">
        <f ca="1">OFFSET(Sector1!$G$482,0,(COLUMN()-8)/6)</f>
        <v>1.1999999999999999E-3</v>
      </c>
      <c r="DG41" s="3457"/>
      <c r="DH41" s="584"/>
      <c r="DI41" s="3458"/>
      <c r="DJ41" s="3448"/>
      <c r="DK41" s="3461"/>
      <c r="DL41" s="562">
        <f ca="1">OFFSET(Sector1!$G$482,0,(COLUMN()-8)/6)</f>
        <v>1.2800000000000001E-3</v>
      </c>
      <c r="DM41" s="3457"/>
      <c r="DN41" s="584"/>
      <c r="DO41" s="3458"/>
      <c r="DP41" s="3448"/>
      <c r="DQ41" s="3461"/>
      <c r="DR41" s="562">
        <f ca="1">OFFSET(Sector1!$G$482,0,(COLUMN()-8)/6)</f>
        <v>1.33E-3</v>
      </c>
      <c r="DS41" s="3457"/>
      <c r="DT41" s="584"/>
      <c r="DU41" s="3458"/>
      <c r="DV41" s="3448"/>
      <c r="DW41" s="3461"/>
      <c r="DX41" s="562">
        <f ca="1">OFFSET(Sector1!$G$482,0,(COLUMN()-8)/6)</f>
        <v>1.4300000000000001E-3</v>
      </c>
      <c r="DY41" s="3457"/>
      <c r="DZ41" s="584"/>
      <c r="EA41" s="3458"/>
      <c r="EB41" s="3448"/>
      <c r="EC41" s="3461"/>
      <c r="ED41" s="562">
        <f ca="1">OFFSET(Sector1!$G$482,0,(COLUMN()-8)/6)</f>
        <v>1.47E-3</v>
      </c>
      <c r="EE41" s="3457"/>
      <c r="EF41" s="584"/>
      <c r="EG41" s="3458"/>
      <c r="EH41" s="3448"/>
      <c r="EI41" s="3461"/>
      <c r="EJ41" s="562">
        <f ca="1">OFFSET(Sector1!$G$482,0,(COLUMN()-8)/6)</f>
        <v>1.47E-3</v>
      </c>
      <c r="EK41" s="3457"/>
      <c r="EL41" s="584"/>
      <c r="EM41" s="3458"/>
      <c r="EN41" s="3448"/>
      <c r="EO41" s="3461"/>
      <c r="EP41" s="562">
        <f ca="1">OFFSET(Sector1!$G$482,0,(COLUMN()-8)/6)</f>
        <v>1.47E-3</v>
      </c>
      <c r="EQ41" s="3457"/>
      <c r="ER41" s="584"/>
      <c r="ES41" s="3458"/>
      <c r="ET41" s="3448"/>
      <c r="EU41" s="3461"/>
      <c r="EV41" s="562">
        <f ca="1">OFFSET(Sector1!$G$482,0,(COLUMN()-8)/6)</f>
        <v>1.47E-3</v>
      </c>
      <c r="EW41" s="3457"/>
      <c r="EX41" s="584"/>
    </row>
    <row r="42" spans="1:154" s="568" customFormat="1">
      <c r="A42" s="563"/>
      <c r="B42" s="564"/>
      <c r="C42" s="582"/>
      <c r="D42" s="583" t="s">
        <v>1156</v>
      </c>
      <c r="E42" s="3458"/>
      <c r="F42" s="3448"/>
      <c r="G42" s="3461"/>
      <c r="H42" s="562">
        <f ca="1">OFFSET(Sector1!$G$483,0,(COLUMN()-8)/6)</f>
        <v>0</v>
      </c>
      <c r="I42" s="3457"/>
      <c r="J42" s="584"/>
      <c r="K42" s="3458"/>
      <c r="L42" s="3448"/>
      <c r="M42" s="3461"/>
      <c r="N42" s="562">
        <f ca="1">OFFSET(Sector1!$G$483,0,(COLUMN()-8)/6)</f>
        <v>0</v>
      </c>
      <c r="O42" s="3457"/>
      <c r="P42" s="584"/>
      <c r="Q42" s="3458"/>
      <c r="R42" s="3448"/>
      <c r="S42" s="3461"/>
      <c r="T42" s="562">
        <f ca="1">OFFSET(Sector1!$G$483,0,(COLUMN()-8)/6)</f>
        <v>0</v>
      </c>
      <c r="U42" s="3457"/>
      <c r="V42" s="584"/>
      <c r="W42" s="3458"/>
      <c r="X42" s="3448"/>
      <c r="Y42" s="3461"/>
      <c r="Z42" s="562">
        <f ca="1">OFFSET(Sector1!$G$483,0,(COLUMN()-8)/6)</f>
        <v>0</v>
      </c>
      <c r="AA42" s="3457"/>
      <c r="AB42" s="584"/>
      <c r="AC42" s="3458"/>
      <c r="AD42" s="3448"/>
      <c r="AE42" s="3461"/>
      <c r="AF42" s="562">
        <f ca="1">OFFSET(Sector1!$G$483,0,(COLUMN()-8)/6)</f>
        <v>0</v>
      </c>
      <c r="AG42" s="3457"/>
      <c r="AH42" s="584"/>
      <c r="AI42" s="3458"/>
      <c r="AJ42" s="3448"/>
      <c r="AK42" s="3461"/>
      <c r="AL42" s="562">
        <f ca="1">OFFSET(Sector1!$G$483,0,(COLUMN()-8)/6)</f>
        <v>3.8509999999999996E-2</v>
      </c>
      <c r="AM42" s="3457"/>
      <c r="AN42" s="584"/>
      <c r="AO42" s="3458"/>
      <c r="AP42" s="3448"/>
      <c r="AQ42" s="3461"/>
      <c r="AR42" s="562">
        <f ca="1">OFFSET(Sector1!$G$483,0,(COLUMN()-8)/6)</f>
        <v>4.5679999999999998E-2</v>
      </c>
      <c r="AS42" s="3457"/>
      <c r="AT42" s="584"/>
      <c r="AU42" s="3458"/>
      <c r="AV42" s="3448"/>
      <c r="AW42" s="3461"/>
      <c r="AX42" s="562">
        <f ca="1">OFFSET(Sector1!$G$483,0,(COLUMN()-8)/6)</f>
        <v>2.674E-2</v>
      </c>
      <c r="AY42" s="3457"/>
      <c r="AZ42" s="584"/>
      <c r="BA42" s="3458"/>
      <c r="BB42" s="3448"/>
      <c r="BC42" s="3461"/>
      <c r="BD42" s="562">
        <f ca="1">OFFSET(Sector1!$G$483,0,(COLUMN()-8)/6)</f>
        <v>1.4320000000000001E-2</v>
      </c>
      <c r="BE42" s="3457"/>
      <c r="BF42" s="584"/>
      <c r="BG42" s="3458"/>
      <c r="BH42" s="3448"/>
      <c r="BI42" s="3461"/>
      <c r="BJ42" s="562">
        <f ca="1">OFFSET(Sector1!$G$483,0,(COLUMN()-8)/6)</f>
        <v>1.1990000000000001E-2</v>
      </c>
      <c r="BK42" s="3457"/>
      <c r="BL42" s="584"/>
      <c r="BM42" s="3458"/>
      <c r="BN42" s="3448"/>
      <c r="BO42" s="3461"/>
      <c r="BP42" s="562">
        <f ca="1">OFFSET(Sector1!$G$483,0,(COLUMN()-8)/6)</f>
        <v>9.8000000000000014E-3</v>
      </c>
      <c r="BQ42" s="3457"/>
      <c r="BR42" s="584"/>
      <c r="BS42" s="3458"/>
      <c r="BT42" s="3448"/>
      <c r="BU42" s="3461"/>
      <c r="BV42" s="562">
        <f ca="1">OFFSET(Sector1!$G$483,0,(COLUMN()-8)/6)</f>
        <v>1.498E-2</v>
      </c>
      <c r="BW42" s="3457"/>
      <c r="BX42" s="584"/>
      <c r="BY42" s="3458"/>
      <c r="BZ42" s="3448"/>
      <c r="CA42" s="3461"/>
      <c r="CB42" s="562">
        <f ca="1">OFFSET(Sector1!$G$483,0,(COLUMN()-8)/6)</f>
        <v>8.8999999999999999E-3</v>
      </c>
      <c r="CC42" s="3457"/>
      <c r="CD42" s="584"/>
      <c r="CE42" s="3458"/>
      <c r="CF42" s="3448"/>
      <c r="CG42" s="3461"/>
      <c r="CH42" s="562">
        <f ca="1">OFFSET(Sector1!$G$483,0,(COLUMN()-8)/6)</f>
        <v>1.8670000000000003E-2</v>
      </c>
      <c r="CI42" s="3457"/>
      <c r="CJ42" s="584"/>
      <c r="CK42" s="3458"/>
      <c r="CL42" s="3448"/>
      <c r="CM42" s="3461"/>
      <c r="CN42" s="562">
        <f ca="1">OFFSET(Sector1!$G$483,0,(COLUMN()-8)/6)</f>
        <v>4.725E-2</v>
      </c>
      <c r="CO42" s="3457"/>
      <c r="CP42" s="584"/>
      <c r="CQ42" s="3458"/>
      <c r="CR42" s="3448"/>
      <c r="CS42" s="3461"/>
      <c r="CT42" s="562">
        <f ca="1">OFFSET(Sector1!$G$483,0,(COLUMN()-8)/6)</f>
        <v>3.1949999999999999E-2</v>
      </c>
      <c r="CU42" s="3457"/>
      <c r="CV42" s="584"/>
      <c r="CW42" s="3458"/>
      <c r="CX42" s="3448"/>
      <c r="CY42" s="3461"/>
      <c r="CZ42" s="562">
        <f ca="1">OFFSET(Sector1!$G$483,0,(COLUMN()-8)/6)</f>
        <v>1.5939999999999999E-2</v>
      </c>
      <c r="DA42" s="3457"/>
      <c r="DB42" s="584"/>
      <c r="DC42" s="3458"/>
      <c r="DD42" s="3448"/>
      <c r="DE42" s="3461"/>
      <c r="DF42" s="562">
        <f ca="1">OFFSET(Sector1!$G$483,0,(COLUMN()-8)/6)</f>
        <v>1.4119999999999999E-2</v>
      </c>
      <c r="DG42" s="3457"/>
      <c r="DH42" s="584"/>
      <c r="DI42" s="3458"/>
      <c r="DJ42" s="3448"/>
      <c r="DK42" s="3461"/>
      <c r="DL42" s="562">
        <f ca="1">OFFSET(Sector1!$G$483,0,(COLUMN()-8)/6)</f>
        <v>1.7410000000000002E-2</v>
      </c>
      <c r="DM42" s="3457"/>
      <c r="DN42" s="584"/>
      <c r="DO42" s="3458"/>
      <c r="DP42" s="3448"/>
      <c r="DQ42" s="3461"/>
      <c r="DR42" s="562">
        <f ca="1">OFFSET(Sector1!$G$483,0,(COLUMN()-8)/6)</f>
        <v>1.5140000000000001E-2</v>
      </c>
      <c r="DS42" s="3457"/>
      <c r="DT42" s="584"/>
      <c r="DU42" s="3458"/>
      <c r="DV42" s="3448"/>
      <c r="DW42" s="3461"/>
      <c r="DX42" s="562">
        <f ca="1">OFFSET(Sector1!$G$483,0,(COLUMN()-8)/6)</f>
        <v>1.763E-2</v>
      </c>
      <c r="DY42" s="3457"/>
      <c r="DZ42" s="584"/>
      <c r="EA42" s="3458"/>
      <c r="EB42" s="3448"/>
      <c r="EC42" s="3461"/>
      <c r="ED42" s="562">
        <f ca="1">OFFSET(Sector1!$G$483,0,(COLUMN()-8)/6)</f>
        <v>1.421E-2</v>
      </c>
      <c r="EE42" s="3457"/>
      <c r="EF42" s="584"/>
      <c r="EG42" s="3458"/>
      <c r="EH42" s="3448"/>
      <c r="EI42" s="3461"/>
      <c r="EJ42" s="562">
        <f ca="1">OFFSET(Sector1!$G$483,0,(COLUMN()-8)/6)</f>
        <v>1.421E-2</v>
      </c>
      <c r="EK42" s="3457"/>
      <c r="EL42" s="584"/>
      <c r="EM42" s="3458"/>
      <c r="EN42" s="3448"/>
      <c r="EO42" s="3461"/>
      <c r="EP42" s="562">
        <f ca="1">OFFSET(Sector1!$G$483,0,(COLUMN()-8)/6)</f>
        <v>1.421E-2</v>
      </c>
      <c r="EQ42" s="3457"/>
      <c r="ER42" s="584"/>
      <c r="ES42" s="3458"/>
      <c r="ET42" s="3448"/>
      <c r="EU42" s="3461"/>
      <c r="EV42" s="562">
        <f ca="1">OFFSET(Sector1!$G$483,0,(COLUMN()-8)/6)</f>
        <v>1.421E-2</v>
      </c>
      <c r="EW42" s="3457"/>
      <c r="EX42" s="584"/>
    </row>
    <row r="43" spans="1:154" s="568" customFormat="1">
      <c r="A43" s="563"/>
      <c r="B43" s="564"/>
      <c r="C43" s="582"/>
      <c r="D43" s="583" t="s">
        <v>2083</v>
      </c>
      <c r="E43" s="3458"/>
      <c r="F43" s="3448"/>
      <c r="G43" s="3461"/>
      <c r="H43" s="562">
        <f ca="1">OFFSET(Sector1!$G$484,0,(COLUMN()-8)/6)</f>
        <v>0</v>
      </c>
      <c r="I43" s="3457"/>
      <c r="J43" s="584"/>
      <c r="K43" s="3458"/>
      <c r="L43" s="3448"/>
      <c r="M43" s="3461"/>
      <c r="N43" s="562">
        <f ca="1">OFFSET(Sector1!$G$484,0,(COLUMN()-8)/6)</f>
        <v>0</v>
      </c>
      <c r="O43" s="3457"/>
      <c r="P43" s="584"/>
      <c r="Q43" s="3458"/>
      <c r="R43" s="3448"/>
      <c r="S43" s="3461"/>
      <c r="T43" s="562">
        <f ca="1">OFFSET(Sector1!$G$484,0,(COLUMN()-8)/6)</f>
        <v>2.2699999999999999E-3</v>
      </c>
      <c r="U43" s="3457"/>
      <c r="V43" s="584"/>
      <c r="W43" s="3458"/>
      <c r="X43" s="3448"/>
      <c r="Y43" s="3461"/>
      <c r="Z43" s="562">
        <f ca="1">OFFSET(Sector1!$G$484,0,(COLUMN()-8)/6)</f>
        <v>2.7000000000000006E-4</v>
      </c>
      <c r="AA43" s="3457"/>
      <c r="AB43" s="584"/>
      <c r="AC43" s="3458"/>
      <c r="AD43" s="3448"/>
      <c r="AE43" s="3461"/>
      <c r="AF43" s="562">
        <f ca="1">OFFSET(Sector1!$G$484,0,(COLUMN()-8)/6)</f>
        <v>1.1270000000000001E-2</v>
      </c>
      <c r="AG43" s="3457"/>
      <c r="AH43" s="584"/>
      <c r="AI43" s="3458"/>
      <c r="AJ43" s="3448"/>
      <c r="AK43" s="3461"/>
      <c r="AL43" s="562">
        <f ca="1">OFFSET(Sector1!$G$484,0,(COLUMN()-8)/6)</f>
        <v>1.0129999999999997E-2</v>
      </c>
      <c r="AM43" s="3457"/>
      <c r="AN43" s="584"/>
      <c r="AO43" s="3458"/>
      <c r="AP43" s="3448"/>
      <c r="AQ43" s="3461"/>
      <c r="AR43" s="562">
        <f ca="1">OFFSET(Sector1!$G$484,0,(COLUMN()-8)/6)</f>
        <v>1.5579999999999997E-2</v>
      </c>
      <c r="AS43" s="3457"/>
      <c r="AT43" s="584"/>
      <c r="AU43" s="3458"/>
      <c r="AV43" s="3448"/>
      <c r="AW43" s="3461"/>
      <c r="AX43" s="562">
        <f ca="1">OFFSET(Sector1!$G$484,0,(COLUMN()-8)/6)</f>
        <v>7.1979999999999988E-2</v>
      </c>
      <c r="AY43" s="3457"/>
      <c r="AZ43" s="584"/>
      <c r="BA43" s="3458"/>
      <c r="BB43" s="3448"/>
      <c r="BC43" s="3461"/>
      <c r="BD43" s="562">
        <f ca="1">OFFSET(Sector1!$G$484,0,(COLUMN()-8)/6)</f>
        <v>6.7400000000000002E-2</v>
      </c>
      <c r="BE43" s="3457"/>
      <c r="BF43" s="584"/>
      <c r="BG43" s="3458"/>
      <c r="BH43" s="3448"/>
      <c r="BI43" s="3461"/>
      <c r="BJ43" s="562">
        <f ca="1">OFFSET(Sector1!$G$484,0,(COLUMN()-8)/6)</f>
        <v>8.3680000000000004E-2</v>
      </c>
      <c r="BK43" s="3457"/>
      <c r="BL43" s="584"/>
      <c r="BM43" s="3458"/>
      <c r="BN43" s="3448"/>
      <c r="BO43" s="3461"/>
      <c r="BP43" s="562">
        <f ca="1">OFFSET(Sector1!$G$484,0,(COLUMN()-8)/6)</f>
        <v>0.16884000000000002</v>
      </c>
      <c r="BQ43" s="3457"/>
      <c r="BR43" s="584"/>
      <c r="BS43" s="3458"/>
      <c r="BT43" s="3448"/>
      <c r="BU43" s="3461"/>
      <c r="BV43" s="562">
        <f ca="1">OFFSET(Sector1!$G$484,0,(COLUMN()-8)/6)</f>
        <v>0.2455</v>
      </c>
      <c r="BW43" s="3457"/>
      <c r="BX43" s="584"/>
      <c r="BY43" s="3458"/>
      <c r="BZ43" s="3448"/>
      <c r="CA43" s="3461"/>
      <c r="CB43" s="562">
        <f ca="1">OFFSET(Sector1!$G$484,0,(COLUMN()-8)/6)</f>
        <v>0.42033000000000004</v>
      </c>
      <c r="CC43" s="3457"/>
      <c r="CD43" s="584"/>
      <c r="CE43" s="3458"/>
      <c r="CF43" s="3448"/>
      <c r="CG43" s="3461"/>
      <c r="CH43" s="562">
        <f ca="1">OFFSET(Sector1!$G$484,0,(COLUMN()-8)/6)</f>
        <v>0.35964000000000007</v>
      </c>
      <c r="CI43" s="3457"/>
      <c r="CJ43" s="584"/>
      <c r="CK43" s="3458"/>
      <c r="CL43" s="3448"/>
      <c r="CM43" s="3461"/>
      <c r="CN43" s="562">
        <f ca="1">OFFSET(Sector1!$G$484,0,(COLUMN()-8)/6)</f>
        <v>0.43989</v>
      </c>
      <c r="CO43" s="3457"/>
      <c r="CP43" s="584"/>
      <c r="CQ43" s="3458"/>
      <c r="CR43" s="3448"/>
      <c r="CS43" s="3461"/>
      <c r="CT43" s="562">
        <f ca="1">OFFSET(Sector1!$G$484,0,(COLUMN()-8)/6)</f>
        <v>0.73855000000000004</v>
      </c>
      <c r="CU43" s="3457"/>
      <c r="CV43" s="584"/>
      <c r="CW43" s="3458"/>
      <c r="CX43" s="3448"/>
      <c r="CY43" s="3461"/>
      <c r="CZ43" s="562">
        <f ca="1">OFFSET(Sector1!$G$484,0,(COLUMN()-8)/6)</f>
        <v>0.70224999999999993</v>
      </c>
      <c r="DA43" s="3457"/>
      <c r="DB43" s="584"/>
      <c r="DC43" s="3458"/>
      <c r="DD43" s="3448"/>
      <c r="DE43" s="3461"/>
      <c r="DF43" s="562">
        <f ca="1">OFFSET(Sector1!$G$484,0,(COLUMN()-8)/6)</f>
        <v>0.64863000000000004</v>
      </c>
      <c r="DG43" s="3457"/>
      <c r="DH43" s="584"/>
      <c r="DI43" s="3458"/>
      <c r="DJ43" s="3448"/>
      <c r="DK43" s="3461"/>
      <c r="DL43" s="562">
        <f ca="1">OFFSET(Sector1!$G$484,0,(COLUMN()-8)/6)</f>
        <v>0.73843999999999999</v>
      </c>
      <c r="DM43" s="3457"/>
      <c r="DN43" s="584"/>
      <c r="DO43" s="3458"/>
      <c r="DP43" s="3448"/>
      <c r="DQ43" s="3461"/>
      <c r="DR43" s="562">
        <f ca="1">OFFSET(Sector1!$G$484,0,(COLUMN()-8)/6)</f>
        <v>1.00678</v>
      </c>
      <c r="DS43" s="3457"/>
      <c r="DT43" s="584"/>
      <c r="DU43" s="3458"/>
      <c r="DV43" s="3448"/>
      <c r="DW43" s="3461"/>
      <c r="DX43" s="562">
        <f ca="1">OFFSET(Sector1!$G$484,0,(COLUMN()-8)/6)</f>
        <v>0.70749999999999991</v>
      </c>
      <c r="DY43" s="3457"/>
      <c r="DZ43" s="584"/>
      <c r="EA43" s="3458"/>
      <c r="EB43" s="3448"/>
      <c r="EC43" s="3461"/>
      <c r="ED43" s="562">
        <f ca="1">OFFSET(Sector1!$G$484,0,(COLUMN()-8)/6)</f>
        <v>0.32628999999999997</v>
      </c>
      <c r="EE43" s="3457"/>
      <c r="EF43" s="584"/>
      <c r="EG43" s="3458"/>
      <c r="EH43" s="3448"/>
      <c r="EI43" s="3461"/>
      <c r="EJ43" s="562">
        <f ca="1">OFFSET(Sector1!$G$484,0,(COLUMN()-8)/6)</f>
        <v>0.31976419999999994</v>
      </c>
      <c r="EK43" s="3457"/>
      <c r="EL43" s="584"/>
      <c r="EM43" s="3458"/>
      <c r="EN43" s="3448"/>
      <c r="EO43" s="3461"/>
      <c r="EP43" s="562">
        <f ca="1">OFFSET(Sector1!$G$484,0,(COLUMN()-8)/6)</f>
        <v>0.3709264719999999</v>
      </c>
      <c r="EQ43" s="3457"/>
      <c r="ER43" s="584"/>
      <c r="ES43" s="3458"/>
      <c r="ET43" s="3448"/>
      <c r="EU43" s="3461"/>
      <c r="EV43" s="562">
        <f ca="1">OFFSET(Sector1!$G$484,0,(COLUMN()-8)/6)</f>
        <v>0.37834500143999988</v>
      </c>
      <c r="EW43" s="3457"/>
      <c r="EX43" s="584"/>
    </row>
    <row r="44" spans="1:154" s="568" customFormat="1" ht="13.5" thickBot="1">
      <c r="A44" s="563"/>
      <c r="B44" s="564"/>
      <c r="C44" s="582"/>
      <c r="D44" s="583" t="s">
        <v>374</v>
      </c>
      <c r="E44" s="3458"/>
      <c r="F44" s="3448"/>
      <c r="G44" s="3461"/>
      <c r="H44" s="569">
        <f ca="1">OFFSET(Sector1!$G$486,0,(COLUMN()-8)/6)</f>
        <v>9.6120000000000011E-2</v>
      </c>
      <c r="I44" s="3457"/>
      <c r="J44" s="584"/>
      <c r="K44" s="3458"/>
      <c r="L44" s="3448"/>
      <c r="M44" s="3461"/>
      <c r="N44" s="569">
        <f ca="1">OFFSET(Sector1!$G$486,0,(COLUMN()-8)/6)</f>
        <v>0.24603</v>
      </c>
      <c r="O44" s="3457"/>
      <c r="P44" s="584"/>
      <c r="Q44" s="3458"/>
      <c r="R44" s="3448"/>
      <c r="S44" s="3461"/>
      <c r="T44" s="569">
        <f ca="1">OFFSET(Sector1!$G$486,0,(COLUMN()-8)/6)</f>
        <v>1.50024</v>
      </c>
      <c r="U44" s="3457"/>
      <c r="V44" s="584"/>
      <c r="W44" s="3458"/>
      <c r="X44" s="3448"/>
      <c r="Y44" s="3461"/>
      <c r="Z44" s="569">
        <f ca="1">OFFSET(Sector1!$G$486,0,(COLUMN()-8)/6)</f>
        <v>0.15225</v>
      </c>
      <c r="AA44" s="3457"/>
      <c r="AB44" s="584"/>
      <c r="AC44" s="3458"/>
      <c r="AD44" s="3448"/>
      <c r="AE44" s="3461"/>
      <c r="AF44" s="569">
        <f ca="1">OFFSET(Sector1!$G$486,0,(COLUMN()-8)/6)</f>
        <v>0.12124</v>
      </c>
      <c r="AG44" s="3457"/>
      <c r="AH44" s="584"/>
      <c r="AI44" s="3458"/>
      <c r="AJ44" s="3448"/>
      <c r="AK44" s="3461"/>
      <c r="AL44" s="569">
        <f ca="1">OFFSET(Sector1!$G$486,0,(COLUMN()-8)/6)</f>
        <v>0.29037000000000002</v>
      </c>
      <c r="AM44" s="3457"/>
      <c r="AN44" s="584"/>
      <c r="AO44" s="3458"/>
      <c r="AP44" s="3448"/>
      <c r="AQ44" s="3461"/>
      <c r="AR44" s="569">
        <f ca="1">OFFSET(Sector1!$G$486,0,(COLUMN()-8)/6)</f>
        <v>0.25951000000000002</v>
      </c>
      <c r="AS44" s="3457"/>
      <c r="AT44" s="584"/>
      <c r="AU44" s="3458"/>
      <c r="AV44" s="3448"/>
      <c r="AW44" s="3461"/>
      <c r="AX44" s="569">
        <f ca="1">OFFSET(Sector1!$G$486,0,(COLUMN()-8)/6)</f>
        <v>0.13302</v>
      </c>
      <c r="AY44" s="3457"/>
      <c r="AZ44" s="584"/>
      <c r="BA44" s="3458"/>
      <c r="BB44" s="3448"/>
      <c r="BC44" s="3461"/>
      <c r="BD44" s="569">
        <f ca="1">OFFSET(Sector1!$G$486,0,(COLUMN()-8)/6)</f>
        <v>7.1790000000000007E-2</v>
      </c>
      <c r="BE44" s="3457"/>
      <c r="BF44" s="584"/>
      <c r="BG44" s="3458"/>
      <c r="BH44" s="3448"/>
      <c r="BI44" s="3461"/>
      <c r="BJ44" s="569">
        <f ca="1">OFFSET(Sector1!$G$486,0,(COLUMN()-8)/6)</f>
        <v>0.10396</v>
      </c>
      <c r="BK44" s="3457"/>
      <c r="BL44" s="584"/>
      <c r="BM44" s="3458"/>
      <c r="BN44" s="3448"/>
      <c r="BO44" s="3461"/>
      <c r="BP44" s="569">
        <f ca="1">OFFSET(Sector1!$G$486,0,(COLUMN()-8)/6)</f>
        <v>8.3019999999999997E-2</v>
      </c>
      <c r="BQ44" s="3457"/>
      <c r="BR44" s="584"/>
      <c r="BS44" s="3458"/>
      <c r="BT44" s="3448"/>
      <c r="BU44" s="3461"/>
      <c r="BV44" s="569">
        <f ca="1">OFFSET(Sector1!$G$486,0,(COLUMN()-8)/6)</f>
        <v>9.5530000000000004E-2</v>
      </c>
      <c r="BW44" s="3457"/>
      <c r="BX44" s="584"/>
      <c r="BY44" s="3458"/>
      <c r="BZ44" s="3448"/>
      <c r="CA44" s="3461"/>
      <c r="CB44" s="569">
        <f ca="1">OFFSET(Sector1!$G$486,0,(COLUMN()-8)/6)</f>
        <v>0.25720999999999999</v>
      </c>
      <c r="CC44" s="3457"/>
      <c r="CD44" s="584"/>
      <c r="CE44" s="3458"/>
      <c r="CF44" s="3448"/>
      <c r="CG44" s="3461"/>
      <c r="CH44" s="569">
        <f ca="1">OFFSET(Sector1!$G$486,0,(COLUMN()-8)/6)</f>
        <v>0.12953000000000001</v>
      </c>
      <c r="CI44" s="3457"/>
      <c r="CJ44" s="584"/>
      <c r="CK44" s="3458"/>
      <c r="CL44" s="3448"/>
      <c r="CM44" s="3461"/>
      <c r="CN44" s="569">
        <f ca="1">OFFSET(Sector1!$G$486,0,(COLUMN()-8)/6)</f>
        <v>0.11079</v>
      </c>
      <c r="CO44" s="3457"/>
      <c r="CP44" s="584"/>
      <c r="CQ44" s="3458"/>
      <c r="CR44" s="3448"/>
      <c r="CS44" s="3461"/>
      <c r="CT44" s="569">
        <f ca="1">OFFSET(Sector1!$G$486,0,(COLUMN()-8)/6)</f>
        <v>0.12154999999999999</v>
      </c>
      <c r="CU44" s="3457"/>
      <c r="CV44" s="584"/>
      <c r="CW44" s="3458"/>
      <c r="CX44" s="3448"/>
      <c r="CY44" s="3461"/>
      <c r="CZ44" s="569">
        <f ca="1">OFFSET(Sector1!$G$486,0,(COLUMN()-8)/6)</f>
        <v>1.3936600000000001</v>
      </c>
      <c r="DA44" s="3457"/>
      <c r="DB44" s="584"/>
      <c r="DC44" s="3458"/>
      <c r="DD44" s="3448"/>
      <c r="DE44" s="3461"/>
      <c r="DF44" s="569">
        <f ca="1">OFFSET(Sector1!$G$486,0,(COLUMN()-8)/6)</f>
        <v>9.1180000000000011E-2</v>
      </c>
      <c r="DG44" s="3457"/>
      <c r="DH44" s="584"/>
      <c r="DI44" s="3458"/>
      <c r="DJ44" s="3448"/>
      <c r="DK44" s="3461"/>
      <c r="DL44" s="569">
        <f ca="1">OFFSET(Sector1!$G$486,0,(COLUMN()-8)/6)</f>
        <v>0.45080000000000003</v>
      </c>
      <c r="DM44" s="3457"/>
      <c r="DN44" s="584"/>
      <c r="DO44" s="3458"/>
      <c r="DP44" s="3448"/>
      <c r="DQ44" s="3461"/>
      <c r="DR44" s="569">
        <f ca="1">OFFSET(Sector1!$G$486,0,(COLUMN()-8)/6)</f>
        <v>0.50519000000000003</v>
      </c>
      <c r="DS44" s="3457"/>
      <c r="DT44" s="584"/>
      <c r="DU44" s="3458"/>
      <c r="DV44" s="3448"/>
      <c r="DW44" s="3461"/>
      <c r="DX44" s="569">
        <f ca="1">OFFSET(Sector1!$G$486,0,(COLUMN()-8)/6)</f>
        <v>0.26716000000000001</v>
      </c>
      <c r="DY44" s="3457"/>
      <c r="DZ44" s="584"/>
      <c r="EA44" s="3458"/>
      <c r="EB44" s="3448"/>
      <c r="EC44" s="3461"/>
      <c r="ED44" s="569">
        <f ca="1">OFFSET(Sector1!$G$486,0,(COLUMN()-8)/6)</f>
        <v>0.18389</v>
      </c>
      <c r="EE44" s="3457"/>
      <c r="EF44" s="584"/>
      <c r="EG44" s="3458"/>
      <c r="EH44" s="3448"/>
      <c r="EI44" s="3461"/>
      <c r="EJ44" s="569">
        <f ca="1">OFFSET(Sector1!$G$486,0,(COLUMN()-8)/6)</f>
        <v>0.26480159999999997</v>
      </c>
      <c r="EK44" s="3457"/>
      <c r="EL44" s="584"/>
      <c r="EM44" s="3458"/>
      <c r="EN44" s="3448"/>
      <c r="EO44" s="3461"/>
      <c r="EP44" s="569">
        <f ca="1">OFFSET(Sector1!$G$486,0,(COLUMN()-8)/6)</f>
        <v>0.19065715199999997</v>
      </c>
      <c r="EQ44" s="3457"/>
      <c r="ER44" s="584"/>
      <c r="ES44" s="3458"/>
      <c r="ET44" s="3448"/>
      <c r="EU44" s="3461"/>
      <c r="EV44" s="569">
        <f ca="1">OFFSET(Sector1!$G$486,0,(COLUMN()-8)/6)</f>
        <v>0.19065715199999997</v>
      </c>
      <c r="EW44" s="3457"/>
      <c r="EX44" s="584"/>
    </row>
    <row r="45" spans="1:154" ht="12.75" customHeight="1">
      <c r="A45" s="553"/>
      <c r="B45" s="600" t="s">
        <v>401</v>
      </c>
      <c r="C45" s="3781" t="s">
        <v>375</v>
      </c>
      <c r="D45" s="3782"/>
      <c r="E45" s="3458">
        <f ca="1">+F45+G45+H45</f>
        <v>0</v>
      </c>
      <c r="F45" s="3449">
        <f ca="1">OFFSET(Sector1!$G$519,0,(COLUMN()-6)/6)</f>
        <v>0</v>
      </c>
      <c r="G45" s="3449">
        <f ca="1">OFFSET(Sector1!$G$520,0,(COLUMN()-7)/6)</f>
        <v>0</v>
      </c>
      <c r="H45" s="3449">
        <f ca="1">OFFSET(Sector1!$G$521,0,(COLUMN()-8)/6)</f>
        <v>0</v>
      </c>
      <c r="I45" s="3449" t="e">
        <f ca="1">OFFSET(Sector1!$G$522,0,(COLUMN()-9)/6)</f>
        <v>#VALUE!</v>
      </c>
      <c r="J45" s="586" t="e">
        <f ca="1">+E45+I45</f>
        <v>#VALUE!</v>
      </c>
      <c r="K45" s="3458">
        <f ca="1">+L45+M45+N45</f>
        <v>0</v>
      </c>
      <c r="L45" s="3449">
        <f ca="1">OFFSET(Sector1!$G$519,0,(COLUMN()-6)/6)</f>
        <v>0</v>
      </c>
      <c r="M45" s="3449">
        <f ca="1">OFFSET(Sector1!$G$520,0,(COLUMN()-7)/6)</f>
        <v>0</v>
      </c>
      <c r="N45" s="3449">
        <f ca="1">OFFSET(Sector1!$G$521,0,(COLUMN()-8)/6)</f>
        <v>0</v>
      </c>
      <c r="O45" s="3449" t="e">
        <f ca="1">OFFSET(Sector1!$G$522,0,(COLUMN()-9)/6)</f>
        <v>#VALUE!</v>
      </c>
      <c r="P45" s="586" t="e">
        <f ca="1">+K45+O45</f>
        <v>#VALUE!</v>
      </c>
      <c r="Q45" s="3458">
        <f ca="1">+R45+S45+T45</f>
        <v>0</v>
      </c>
      <c r="R45" s="3449">
        <f ca="1">OFFSET(Sector1!$G$519,0,(COLUMN()-6)/6)</f>
        <v>-6.4200000000000004E-3</v>
      </c>
      <c r="S45" s="3449">
        <f ca="1">OFFSET(Sector1!$G$520,0,(COLUMN()-7)/6)</f>
        <v>6.4200000000000004E-3</v>
      </c>
      <c r="T45" s="3449">
        <f ca="1">OFFSET(Sector1!$G$521,0,(COLUMN()-8)/6)</f>
        <v>0</v>
      </c>
      <c r="U45" s="3449" t="e">
        <f ca="1">OFFSET(Sector1!$G$522,0,(COLUMN()-9)/6)</f>
        <v>#VALUE!</v>
      </c>
      <c r="V45" s="586" t="e">
        <f ca="1">+Q45+U45</f>
        <v>#VALUE!</v>
      </c>
      <c r="W45" s="3458">
        <f ca="1">+X45+Y45+Z45</f>
        <v>0</v>
      </c>
      <c r="X45" s="3449">
        <f ca="1">OFFSET(Sector1!$G$519,0,(COLUMN()-6)/6)</f>
        <v>-1.0400000000000001E-3</v>
      </c>
      <c r="Y45" s="3449">
        <f ca="1">OFFSET(Sector1!$G$520,0,(COLUMN()-7)/6)</f>
        <v>1.3600000000000001E-3</v>
      </c>
      <c r="Z45" s="3449">
        <f ca="1">OFFSET(Sector1!$G$521,0,(COLUMN()-8)/6)</f>
        <v>-3.2000000000000003E-4</v>
      </c>
      <c r="AA45" s="3449" t="e">
        <f ca="1">OFFSET(Sector1!$G$522,0,(COLUMN()-9)/6)</f>
        <v>#VALUE!</v>
      </c>
      <c r="AB45" s="586" t="e">
        <f ca="1">+W45+AA45</f>
        <v>#VALUE!</v>
      </c>
      <c r="AC45" s="3458">
        <f ca="1">+AD45+AE45+AF45</f>
        <v>0</v>
      </c>
      <c r="AD45" s="3449">
        <f ca="1">OFFSET(Sector1!$G$519,0,(COLUMN()-6)/6)</f>
        <v>-3.0099999999999997E-3</v>
      </c>
      <c r="AE45" s="3449">
        <f ca="1">OFFSET(Sector1!$G$520,0,(COLUMN()-7)/6)</f>
        <v>4.2699999999999995E-3</v>
      </c>
      <c r="AF45" s="3449">
        <f ca="1">OFFSET(Sector1!$G$521,0,(COLUMN()-8)/6)</f>
        <v>-1.2600000000000001E-3</v>
      </c>
      <c r="AG45" s="3449" t="e">
        <f ca="1">OFFSET(Sector1!$G$522,0,(COLUMN()-9)/6)</f>
        <v>#VALUE!</v>
      </c>
      <c r="AH45" s="586" t="e">
        <f ca="1">+AC45+AG45</f>
        <v>#VALUE!</v>
      </c>
      <c r="AI45" s="3458">
        <f ca="1">+AJ45+AK45+AL45</f>
        <v>0</v>
      </c>
      <c r="AJ45" s="3449">
        <f ca="1">OFFSET(Sector1!$G$519,0,(COLUMN()-6)/6)</f>
        <v>-1.6600000000000002E-3</v>
      </c>
      <c r="AK45" s="3449">
        <f ca="1">OFFSET(Sector1!$G$520,0,(COLUMN()-7)/6)</f>
        <v>6.5300000000000002E-3</v>
      </c>
      <c r="AL45" s="3449">
        <f ca="1">OFFSET(Sector1!$G$521,0,(COLUMN()-8)/6)</f>
        <v>-4.8700000000000002E-3</v>
      </c>
      <c r="AM45" s="3449" t="e">
        <f ca="1">OFFSET(Sector1!$G$522,0,(COLUMN()-9)/6)</f>
        <v>#VALUE!</v>
      </c>
      <c r="AN45" s="586" t="e">
        <f ca="1">+AI45+AM45</f>
        <v>#VALUE!</v>
      </c>
      <c r="AO45" s="3458">
        <f ca="1">+AP45+AQ45+AR45</f>
        <v>0</v>
      </c>
      <c r="AP45" s="3449">
        <f ca="1">OFFSET(Sector1!$G$519,0,(COLUMN()-6)/6)</f>
        <v>-1.439E-2</v>
      </c>
      <c r="AQ45" s="3449">
        <f ca="1">OFFSET(Sector1!$G$520,0,(COLUMN()-7)/6)</f>
        <v>1.7149999999999999E-2</v>
      </c>
      <c r="AR45" s="3449">
        <f ca="1">OFFSET(Sector1!$G$521,0,(COLUMN()-8)/6)</f>
        <v>-2.7599999999999999E-3</v>
      </c>
      <c r="AS45" s="3449" t="e">
        <f ca="1">OFFSET(Sector1!$G$522,0,(COLUMN()-9)/6)</f>
        <v>#VALUE!</v>
      </c>
      <c r="AT45" s="586" t="e">
        <f ca="1">+AO45+AS45</f>
        <v>#VALUE!</v>
      </c>
      <c r="AU45" s="3458">
        <f ca="1">+AV45+AW45+AX45</f>
        <v>0</v>
      </c>
      <c r="AV45" s="3449">
        <f ca="1">OFFSET(Sector1!$G$519,0,(COLUMN()-6)/6)</f>
        <v>-1.6190000000000003E-2</v>
      </c>
      <c r="AW45" s="3449">
        <f ca="1">OFFSET(Sector1!$G$520,0,(COLUMN()-7)/6)</f>
        <v>1.9890000000000001E-2</v>
      </c>
      <c r="AX45" s="3449">
        <f ca="1">OFFSET(Sector1!$G$521,0,(COLUMN()-8)/6)</f>
        <v>-3.7000000000000002E-3</v>
      </c>
      <c r="AY45" s="3449" t="e">
        <f ca="1">OFFSET(Sector1!$G$522,0,(COLUMN()-9)/6)</f>
        <v>#VALUE!</v>
      </c>
      <c r="AZ45" s="586" t="e">
        <f ca="1">+AU45+AY45</f>
        <v>#VALUE!</v>
      </c>
      <c r="BA45" s="3458">
        <f ca="1">+BB45+BC45+BD45</f>
        <v>0</v>
      </c>
      <c r="BB45" s="3449">
        <f ca="1">OFFSET(Sector1!$G$519,0,(COLUMN()-6)/6)</f>
        <v>-1.6879999999999999E-2</v>
      </c>
      <c r="BC45" s="3449">
        <f ca="1">OFFSET(Sector1!$G$520,0,(COLUMN()-7)/6)</f>
        <v>2.3649999999999997E-2</v>
      </c>
      <c r="BD45" s="3449">
        <f ca="1">OFFSET(Sector1!$G$521,0,(COLUMN()-8)/6)</f>
        <v>-6.77E-3</v>
      </c>
      <c r="BE45" s="3449" t="e">
        <f ca="1">OFFSET(Sector1!$G$522,0,(COLUMN()-9)/6)</f>
        <v>#VALUE!</v>
      </c>
      <c r="BF45" s="586" t="e">
        <f ca="1">+BA45+BE45</f>
        <v>#VALUE!</v>
      </c>
      <c r="BG45" s="3458">
        <f ca="1">+BH45+BI45+BJ45</f>
        <v>0</v>
      </c>
      <c r="BH45" s="3449">
        <f ca="1">OFFSET(Sector1!$G$519,0,(COLUMN()-6)/6)</f>
        <v>-4.5679999999999998E-2</v>
      </c>
      <c r="BI45" s="3449">
        <f ca="1">OFFSET(Sector1!$G$520,0,(COLUMN()-7)/6)</f>
        <v>6.8229999999999999E-2</v>
      </c>
      <c r="BJ45" s="3449">
        <f ca="1">OFFSET(Sector1!$G$521,0,(COLUMN()-8)/6)</f>
        <v>-2.2550000000000001E-2</v>
      </c>
      <c r="BK45" s="3449" t="e">
        <f ca="1">OFFSET(Sector1!$G$522,0,(COLUMN()-9)/6)</f>
        <v>#VALUE!</v>
      </c>
      <c r="BL45" s="586" t="e">
        <f ca="1">+BG45+BK45</f>
        <v>#VALUE!</v>
      </c>
      <c r="BM45" s="3458">
        <f ca="1">+BN45+BO45+BP45</f>
        <v>0</v>
      </c>
      <c r="BN45" s="3449">
        <f ca="1">OFFSET(Sector1!$G$519,0,(COLUMN()-6)/6)</f>
        <v>-0.14876</v>
      </c>
      <c r="BO45" s="3449">
        <f ca="1">OFFSET(Sector1!$G$520,0,(COLUMN()-7)/6)</f>
        <v>0.18268000000000001</v>
      </c>
      <c r="BP45" s="3449">
        <f ca="1">OFFSET(Sector1!$G$521,0,(COLUMN()-8)/6)</f>
        <v>-3.3919999999999999E-2</v>
      </c>
      <c r="BQ45" s="3449" t="e">
        <f ca="1">OFFSET(Sector1!$G$522,0,(COLUMN()-9)/6)</f>
        <v>#VALUE!</v>
      </c>
      <c r="BR45" s="586" t="e">
        <f ca="1">+BM45+BQ45</f>
        <v>#VALUE!</v>
      </c>
      <c r="BS45" s="3458">
        <f ca="1">+BT45+BU45+BV45</f>
        <v>9.9999999999753064E-6</v>
      </c>
      <c r="BT45" s="3449">
        <f ca="1">OFFSET(Sector1!$G$519,0,(COLUMN()-6)/6)</f>
        <v>-0.22446000000000002</v>
      </c>
      <c r="BU45" s="3449">
        <f ca="1">OFFSET(Sector1!$G$520,0,(COLUMN()-7)/6)</f>
        <v>0.26053999999999999</v>
      </c>
      <c r="BV45" s="3449">
        <f ca="1">OFFSET(Sector1!$G$521,0,(COLUMN()-8)/6)</f>
        <v>-3.6069999999999998E-2</v>
      </c>
      <c r="BW45" s="3449" t="e">
        <f ca="1">OFFSET(Sector1!$G$522,0,(COLUMN()-9)/6)</f>
        <v>#VALUE!</v>
      </c>
      <c r="BX45" s="586" t="e">
        <f ca="1">+BS45+BW45</f>
        <v>#VALUE!</v>
      </c>
      <c r="BY45" s="3458">
        <f ca="1">+BZ45+CA45+CB45</f>
        <v>-1.0000000000044695E-5</v>
      </c>
      <c r="BZ45" s="3449">
        <f ca="1">OFFSET(Sector1!$G$519,0,(COLUMN()-6)/6)</f>
        <v>-0.38224000000000002</v>
      </c>
      <c r="CA45" s="3449">
        <f ca="1">OFFSET(Sector1!$G$520,0,(COLUMN()-7)/6)</f>
        <v>0.40805999999999998</v>
      </c>
      <c r="CB45" s="3449">
        <f ca="1">OFFSET(Sector1!$G$521,0,(COLUMN()-8)/6)</f>
        <v>-2.5829999999999999E-2</v>
      </c>
      <c r="CC45" s="3449" t="e">
        <f ca="1">OFFSET(Sector1!$G$522,0,(COLUMN()-9)/6)</f>
        <v>#VALUE!</v>
      </c>
      <c r="CD45" s="586" t="e">
        <f ca="1">+BY45+CC45</f>
        <v>#VALUE!</v>
      </c>
      <c r="CE45" s="3458">
        <f ca="1">+CF45+CG45+CH45</f>
        <v>0</v>
      </c>
      <c r="CF45" s="3449">
        <f ca="1">OFFSET(Sector1!$G$519,0,(COLUMN()-6)/6)</f>
        <v>-0.16441999999999998</v>
      </c>
      <c r="CG45" s="3449">
        <f ca="1">OFFSET(Sector1!$G$520,0,(COLUMN()-7)/6)</f>
        <v>0.16866999999999999</v>
      </c>
      <c r="CH45" s="3449">
        <f ca="1">OFFSET(Sector1!$G$521,0,(COLUMN()-8)/6)</f>
        <v>-4.2500000000000003E-3</v>
      </c>
      <c r="CI45" s="3449">
        <f ca="1">OFFSET(Sector1!$G$522,0,(COLUMN()-9)/6)</f>
        <v>0</v>
      </c>
      <c r="CJ45" s="586">
        <f ca="1">+CE45+CI45</f>
        <v>0</v>
      </c>
      <c r="CK45" s="3458">
        <f ca="1">+CL45+CM45+CN45</f>
        <v>0</v>
      </c>
      <c r="CL45" s="3449">
        <f ca="1">OFFSET(Sector1!$G$519,0,(COLUMN()-6)/6)</f>
        <v>2.172E-2</v>
      </c>
      <c r="CM45" s="3449">
        <f ca="1">OFFSET(Sector1!$G$520,0,(COLUMN()-7)/6)</f>
        <v>-2.4570000000000002E-2</v>
      </c>
      <c r="CN45" s="3449">
        <f ca="1">OFFSET(Sector1!$G$521,0,(COLUMN()-8)/6)</f>
        <v>2.8500000000000001E-3</v>
      </c>
      <c r="CO45" s="3449">
        <f ca="1">OFFSET(Sector1!$G$522,0,(COLUMN()-9)/6)</f>
        <v>0</v>
      </c>
      <c r="CP45" s="586">
        <f ca="1">+CK45+CO45</f>
        <v>0</v>
      </c>
      <c r="CQ45" s="3458">
        <f ca="1">+CR45+CS45+CT45</f>
        <v>9.9999999999995925E-6</v>
      </c>
      <c r="CR45" s="3449">
        <f ca="1">OFFSET(Sector1!$G$519,0,(COLUMN()-6)/6)</f>
        <v>3.7149999999999996E-2</v>
      </c>
      <c r="CS45" s="3449">
        <f ca="1">OFFSET(Sector1!$G$520,0,(COLUMN()-7)/6)</f>
        <v>-1.6739999999999998E-2</v>
      </c>
      <c r="CT45" s="3449">
        <f ca="1">OFFSET(Sector1!$G$521,0,(COLUMN()-8)/6)</f>
        <v>-2.0399999999999998E-2</v>
      </c>
      <c r="CU45" s="3449">
        <f ca="1">OFFSET(Sector1!$G$522,0,(COLUMN()-9)/6)</f>
        <v>-9.9999999999995925E-6</v>
      </c>
      <c r="CV45" s="586">
        <f ca="1">+CQ45+CU45</f>
        <v>0</v>
      </c>
      <c r="CW45" s="3458">
        <f ca="1">+CX45+CY45+CZ45</f>
        <v>0</v>
      </c>
      <c r="CX45" s="3449">
        <f ca="1">OFFSET(Sector1!$G$519,0,(COLUMN()-6)/6)</f>
        <v>-2.291E-2</v>
      </c>
      <c r="CY45" s="3449">
        <f ca="1">OFFSET(Sector1!$G$520,0,(COLUMN()-7)/6)</f>
        <v>0.12236</v>
      </c>
      <c r="CZ45" s="3449">
        <f ca="1">OFFSET(Sector1!$G$521,0,(COLUMN()-8)/6)</f>
        <v>-9.9449999999999997E-2</v>
      </c>
      <c r="DA45" s="3449">
        <f ca="1">OFFSET(Sector1!$G$522,0,(COLUMN()-9)/6)</f>
        <v>0</v>
      </c>
      <c r="DB45" s="586">
        <f ca="1">+CW45+DA45</f>
        <v>0</v>
      </c>
      <c r="DC45" s="3458">
        <f ca="1">+DD45+DE45+DF45</f>
        <v>-9.9999999999961231E-6</v>
      </c>
      <c r="DD45" s="3449">
        <f ca="1">OFFSET(Sector1!$G$519,0,(COLUMN()-6)/6)</f>
        <v>-4.2200000000000001E-2</v>
      </c>
      <c r="DE45" s="3449">
        <f ca="1">OFFSET(Sector1!$G$520,0,(COLUMN()-7)/6)</f>
        <v>0.1183</v>
      </c>
      <c r="DF45" s="3449">
        <f ca="1">OFFSET(Sector1!$G$521,0,(COLUMN()-8)/6)</f>
        <v>-7.6109999999999997E-2</v>
      </c>
      <c r="DG45" s="3449">
        <f ca="1">OFFSET(Sector1!$G$522,0,(COLUMN()-9)/6)</f>
        <v>9.9999999999961231E-6</v>
      </c>
      <c r="DH45" s="586">
        <f ca="1">+DC45+DG45</f>
        <v>0</v>
      </c>
      <c r="DI45" s="3458">
        <f ca="1">+DJ45+DK45+DL45</f>
        <v>0</v>
      </c>
      <c r="DJ45" s="3449">
        <f ca="1">OFFSET(Sector1!$G$519,0,(COLUMN()-6)/6)</f>
        <v>2.3190000000000002E-2</v>
      </c>
      <c r="DK45" s="3449">
        <f ca="1">OFFSET(Sector1!$G$520,0,(COLUMN()-7)/6)</f>
        <v>9.484999999999999E-2</v>
      </c>
      <c r="DL45" s="3449">
        <f ca="1">OFFSET(Sector1!$G$521,0,(COLUMN()-8)/6)</f>
        <v>-0.11804000000000001</v>
      </c>
      <c r="DM45" s="3449">
        <f ca="1">OFFSET(Sector1!$G$522,0,(COLUMN()-9)/6)</f>
        <v>0</v>
      </c>
      <c r="DN45" s="586">
        <f ca="1">+DI45+DM45</f>
        <v>0</v>
      </c>
      <c r="DO45" s="3458">
        <f ca="1">+DP45+DQ45+DR45</f>
        <v>9.9999999999961231E-6</v>
      </c>
      <c r="DP45" s="3449">
        <f ca="1">OFFSET(Sector1!$G$519,0,(COLUMN()-6)/6)</f>
        <v>4.1369999999999997E-2</v>
      </c>
      <c r="DQ45" s="3449">
        <f ca="1">OFFSET(Sector1!$G$520,0,(COLUMN()-7)/6)</f>
        <v>3.7079999999999995E-2</v>
      </c>
      <c r="DR45" s="3449">
        <f ca="1">OFFSET(Sector1!$G$521,0,(COLUMN()-8)/6)</f>
        <v>-7.8439999999999996E-2</v>
      </c>
      <c r="DS45" s="3449">
        <f ca="1">OFFSET(Sector1!$G$522,0,(COLUMN()-9)/6)</f>
        <v>-9.9999999999961231E-6</v>
      </c>
      <c r="DT45" s="586">
        <f ca="1">+DO45+DS45</f>
        <v>0</v>
      </c>
      <c r="DU45" s="3458">
        <f ca="1">+DV45+DW45+DX45</f>
        <v>0</v>
      </c>
      <c r="DV45" s="3449">
        <f ca="1">OFFSET(Sector1!$G$519,0,(COLUMN()-6)/6)</f>
        <v>-3.4590000000000003E-2</v>
      </c>
      <c r="DW45" s="3449">
        <f ca="1">OFFSET(Sector1!$G$520,0,(COLUMN()-7)/6)</f>
        <v>8.6230000000000001E-2</v>
      </c>
      <c r="DX45" s="3449">
        <f ca="1">OFFSET(Sector1!$G$521,0,(COLUMN()-8)/6)</f>
        <v>-5.1639999999999998E-2</v>
      </c>
      <c r="DY45" s="3449">
        <f ca="1">OFFSET(Sector1!$G$522,0,(COLUMN()-9)/6)</f>
        <v>0</v>
      </c>
      <c r="DZ45" s="586">
        <f ca="1">+DU45+DY45</f>
        <v>0</v>
      </c>
      <c r="EA45" s="3458">
        <f ca="1">+EB45+EC45+ED45</f>
        <v>0</v>
      </c>
      <c r="EB45" s="3449">
        <f ca="1">OFFSET(Sector1!$G$519,0,(COLUMN()-6)/6)</f>
        <v>-7.7609999999999998E-2</v>
      </c>
      <c r="EC45" s="3449">
        <f ca="1">OFFSET(Sector1!$G$520,0,(COLUMN()-7)/6)</f>
        <v>0.10553</v>
      </c>
      <c r="ED45" s="3449">
        <f ca="1">OFFSET(Sector1!$G$521,0,(COLUMN()-8)/6)</f>
        <v>-2.792E-2</v>
      </c>
      <c r="EE45" s="3449">
        <f ca="1">OFFSET(Sector1!$G$522,0,(COLUMN()-9)/6)</f>
        <v>0</v>
      </c>
      <c r="EF45" s="586">
        <f ca="1">+EA45+EE45</f>
        <v>0</v>
      </c>
      <c r="EG45" s="3458">
        <f ca="1">+EH45+EI45+EJ45</f>
        <v>2.792E-2</v>
      </c>
      <c r="EH45" s="3449">
        <f ca="1">OFFSET(Sector1!$G$519,0,(COLUMN()-6)/6)</f>
        <v>-7.7609999999999998E-2</v>
      </c>
      <c r="EI45" s="3449">
        <f ca="1">OFFSET(Sector1!$G$520,0,(COLUMN()-7)/6)</f>
        <v>0.10553</v>
      </c>
      <c r="EJ45" s="3449">
        <f ca="1">OFFSET(Sector1!$G$521,0,(COLUMN()-8)/6)</f>
        <v>0</v>
      </c>
      <c r="EK45" s="3449">
        <f ca="1">OFFSET(Sector1!$G$522,0,(COLUMN()-9)/6)</f>
        <v>-2.792E-2</v>
      </c>
      <c r="EL45" s="586">
        <f ca="1">+EG45+EK45</f>
        <v>0</v>
      </c>
      <c r="EM45" s="3458">
        <f ca="1">+EN45+EO45+EP45</f>
        <v>2.792E-2</v>
      </c>
      <c r="EN45" s="3449">
        <f ca="1">OFFSET(Sector1!$G$519,0,(COLUMN()-6)/6)</f>
        <v>-7.7609999999999998E-2</v>
      </c>
      <c r="EO45" s="3449">
        <f ca="1">OFFSET(Sector1!$G$520,0,(COLUMN()-7)/6)</f>
        <v>0.10553</v>
      </c>
      <c r="EP45" s="3449">
        <f ca="1">OFFSET(Sector1!$G$521,0,(COLUMN()-8)/6)</f>
        <v>0</v>
      </c>
      <c r="EQ45" s="3449">
        <f ca="1">OFFSET(Sector1!$G$522,0,(COLUMN()-9)/6)</f>
        <v>-2.792E-2</v>
      </c>
      <c r="ER45" s="586">
        <f ca="1">+EM45+EQ45</f>
        <v>0</v>
      </c>
      <c r="ES45" s="3458">
        <f ca="1">+ET45+EU45+EV45</f>
        <v>2.792E-2</v>
      </c>
      <c r="ET45" s="3449">
        <f ca="1">OFFSET(Sector1!$G$519,0,(COLUMN()-6)/6)</f>
        <v>-7.7609999999999998E-2</v>
      </c>
      <c r="EU45" s="3449">
        <f ca="1">OFFSET(Sector1!$G$520,0,(COLUMN()-7)/6)</f>
        <v>0.10553</v>
      </c>
      <c r="EV45" s="3449">
        <f ca="1">OFFSET(Sector1!$G$521,0,(COLUMN()-8)/6)</f>
        <v>0</v>
      </c>
      <c r="EW45" s="3449">
        <f ca="1">OFFSET(Sector1!$G$522,0,(COLUMN()-9)/6)</f>
        <v>-2.792E-2</v>
      </c>
      <c r="EX45" s="586">
        <f ca="1">+ES45+EW45</f>
        <v>0</v>
      </c>
    </row>
    <row r="46" spans="1:154" ht="12.75" customHeight="1">
      <c r="A46" s="553"/>
      <c r="B46" s="600" t="s">
        <v>401</v>
      </c>
      <c r="C46" s="3781" t="s">
        <v>376</v>
      </c>
      <c r="D46" s="3782"/>
      <c r="E46" s="3458">
        <f ca="1">OFFSET('VVP2'!$G$212,0,(COLUMN()-5)/6)</f>
        <v>1.5812299999999999</v>
      </c>
      <c r="F46" s="3452">
        <f ca="1">OFFSET('VVP2'!$G$228,0,(COLUMN()-6)/6)</f>
        <v>0.29872000000000004</v>
      </c>
      <c r="G46" s="3452">
        <f ca="1">OFFSET('VVP2'!$G$230,0,(COLUMN()-7)/6)</f>
        <v>1.0315099999999999</v>
      </c>
      <c r="H46" s="3452">
        <f ca="1">OFFSET('VVP2'!$G$229,0,(COLUMN()-8)/6)</f>
        <v>0.25098999999999999</v>
      </c>
      <c r="I46" s="3443"/>
      <c r="J46" s="586">
        <f ca="1">+E46-F46-G46-H46</f>
        <v>9.9999999998989786E-6</v>
      </c>
      <c r="K46" s="3458">
        <f ca="1">OFFSET('VVP2'!$G$212,0,(COLUMN()-5)/6)</f>
        <v>1.99884</v>
      </c>
      <c r="L46" s="3452">
        <f ca="1">OFFSET('VVP2'!$G$228,0,(COLUMN()-6)/6)</f>
        <v>0.31448999999999999</v>
      </c>
      <c r="M46" s="3452">
        <f ca="1">OFFSET('VVP2'!$G$230,0,(COLUMN()-7)/6)</f>
        <v>1.45316</v>
      </c>
      <c r="N46" s="3452">
        <f ca="1">OFFSET('VVP2'!$G$229,0,(COLUMN()-8)/6)</f>
        <v>0.23119000000000001</v>
      </c>
      <c r="O46" s="3443"/>
      <c r="P46" s="586">
        <f ca="1">+K46-L46-M46-N46</f>
        <v>0</v>
      </c>
      <c r="Q46" s="3458">
        <f ca="1">OFFSET('VVP2'!$G$212,0,(COLUMN()-5)/6)</f>
        <v>2.6227300000000002</v>
      </c>
      <c r="R46" s="3452">
        <f ca="1">OFFSET('VVP2'!$G$228,0,(COLUMN()-6)/6)</f>
        <v>0.42637000000000003</v>
      </c>
      <c r="S46" s="3452">
        <f ca="1">OFFSET('VVP2'!$G$230,0,(COLUMN()-7)/6)</f>
        <v>1.9308800000000002</v>
      </c>
      <c r="T46" s="3452">
        <f ca="1">OFFSET('VVP2'!$G$229,0,(COLUMN()-8)/6)</f>
        <v>0.26547000000000004</v>
      </c>
      <c r="U46" s="3443"/>
      <c r="V46" s="586">
        <f ca="1">+Q46-R46-S46-T46</f>
        <v>1.0000000000121023E-5</v>
      </c>
      <c r="W46" s="3458">
        <f ca="1">OFFSET('VVP2'!$G$212,0,(COLUMN()-5)/6)</f>
        <v>3.1101300000000003</v>
      </c>
      <c r="X46" s="3452">
        <f ca="1">OFFSET('VVP2'!$G$228,0,(COLUMN()-6)/6)</f>
        <v>0.58422000000000007</v>
      </c>
      <c r="Y46" s="3452">
        <f ca="1">OFFSET('VVP2'!$G$230,0,(COLUMN()-7)/6)</f>
        <v>2.1963900000000001</v>
      </c>
      <c r="Z46" s="3452">
        <f ca="1">OFFSET('VVP2'!$G$229,0,(COLUMN()-8)/6)</f>
        <v>0.32951999999999998</v>
      </c>
      <c r="AA46" s="3443"/>
      <c r="AB46" s="586">
        <f ca="1">+W46-X46-Y46-Z46</f>
        <v>0</v>
      </c>
      <c r="AC46" s="3458">
        <f ca="1">OFFSET('VVP2'!$G$212,0,(COLUMN()-5)/6)</f>
        <v>2.7903200000000004</v>
      </c>
      <c r="AD46" s="3452">
        <f ca="1">OFFSET('VVP2'!$G$228,0,(COLUMN()-6)/6)</f>
        <v>0.43416000000000005</v>
      </c>
      <c r="AE46" s="3452">
        <f ca="1">OFFSET('VVP2'!$G$230,0,(COLUMN()-7)/6)</f>
        <v>2.0300199999999999</v>
      </c>
      <c r="AF46" s="3452">
        <f ca="1">OFFSET('VVP2'!$G$229,0,(COLUMN()-8)/6)</f>
        <v>0.32613999999999999</v>
      </c>
      <c r="AG46" s="3443"/>
      <c r="AH46" s="586">
        <f ca="1">+AC46-AD46-AE46-AF46</f>
        <v>5.5511151231257827E-16</v>
      </c>
      <c r="AI46" s="3458">
        <f ca="1">OFFSET('VVP2'!$G$212,0,(COLUMN()-5)/6)</f>
        <v>2.5566900000000001</v>
      </c>
      <c r="AJ46" s="3452">
        <f ca="1">OFFSET('VVP2'!$G$228,0,(COLUMN()-6)/6)</f>
        <v>0.48319000000000001</v>
      </c>
      <c r="AK46" s="3452">
        <f ca="1">OFFSET('VVP2'!$G$230,0,(COLUMN()-7)/6)</f>
        <v>1.7495399999999999</v>
      </c>
      <c r="AL46" s="3452">
        <f ca="1">OFFSET('VVP2'!$G$229,0,(COLUMN()-8)/6)</f>
        <v>0.32395999999999997</v>
      </c>
      <c r="AM46" s="3443"/>
      <c r="AN46" s="586">
        <f ca="1">+AI46-AJ46-AK46-AL46</f>
        <v>0</v>
      </c>
      <c r="AO46" s="3458">
        <f ca="1">OFFSET('VVP2'!$G$212,0,(COLUMN()-5)/6)</f>
        <v>2.9120400000000002</v>
      </c>
      <c r="AP46" s="3452">
        <f ca="1">OFFSET('VVP2'!$G$228,0,(COLUMN()-6)/6)</f>
        <v>0.53537000000000001</v>
      </c>
      <c r="AQ46" s="3452">
        <f ca="1">OFFSET('VVP2'!$G$230,0,(COLUMN()-7)/6)</f>
        <v>2.0532399999999997</v>
      </c>
      <c r="AR46" s="3452">
        <f ca="1">OFFSET('VVP2'!$G$229,0,(COLUMN()-8)/6)</f>
        <v>0.32343</v>
      </c>
      <c r="AS46" s="3443"/>
      <c r="AT46" s="586">
        <f ca="1">+AO46-AP46-AQ46-AR46</f>
        <v>5.5511151231257827E-16</v>
      </c>
      <c r="AU46" s="3458">
        <f ca="1">OFFSET('VVP2'!$G$212,0,(COLUMN()-5)/6)</f>
        <v>3.1459000000000001</v>
      </c>
      <c r="AV46" s="3452">
        <f ca="1">OFFSET('VVP2'!$G$228,0,(COLUMN()-6)/6)</f>
        <v>0.53712000000000004</v>
      </c>
      <c r="AW46" s="3452">
        <f ca="1">OFFSET('VVP2'!$G$230,0,(COLUMN()-7)/6)</f>
        <v>2.1570999999999998</v>
      </c>
      <c r="AX46" s="3452">
        <f ca="1">OFFSET('VVP2'!$G$229,0,(COLUMN()-8)/6)</f>
        <v>0.45168000000000003</v>
      </c>
      <c r="AY46" s="3443"/>
      <c r="AZ46" s="586">
        <f ca="1">+AU46-AV46-AW46-AX46</f>
        <v>4.9960036108132044E-16</v>
      </c>
      <c r="BA46" s="3458">
        <f ca="1">OFFSET('VVP2'!$G$212,0,(COLUMN()-5)/6)</f>
        <v>3.5902800000000004</v>
      </c>
      <c r="BB46" s="3452">
        <f ca="1">OFFSET('VVP2'!$G$228,0,(COLUMN()-6)/6)</f>
        <v>0.68988000000000005</v>
      </c>
      <c r="BC46" s="3452">
        <f ca="1">OFFSET('VVP2'!$G$230,0,(COLUMN()-7)/6)</f>
        <v>2.38741</v>
      </c>
      <c r="BD46" s="3452">
        <f ca="1">OFFSET('VVP2'!$G$229,0,(COLUMN()-8)/6)</f>
        <v>0.51299000000000006</v>
      </c>
      <c r="BE46" s="3443"/>
      <c r="BF46" s="586">
        <f ca="1">+BA46-BB46-BC46-BD46</f>
        <v>0</v>
      </c>
      <c r="BG46" s="3458">
        <f ca="1">OFFSET('VVP2'!$G$212,0,(COLUMN()-5)/6)</f>
        <v>4.1760000000000002</v>
      </c>
      <c r="BH46" s="3452">
        <f ca="1">OFFSET('VVP2'!$G$228,0,(COLUMN()-6)/6)</f>
        <v>0.79324000000000006</v>
      </c>
      <c r="BI46" s="3452">
        <f ca="1">OFFSET('VVP2'!$G$230,0,(COLUMN()-7)/6)</f>
        <v>2.7249899999999996</v>
      </c>
      <c r="BJ46" s="3452">
        <f ca="1">OFFSET('VVP2'!$G$229,0,(COLUMN()-8)/6)</f>
        <v>0.65776999999999997</v>
      </c>
      <c r="BK46" s="3443"/>
      <c r="BL46" s="586">
        <f ca="1">+BG46-BH46-BI46-BJ46</f>
        <v>0</v>
      </c>
      <c r="BM46" s="3458">
        <f ca="1">OFFSET('VVP2'!$G$212,0,(COLUMN()-5)/6)</f>
        <v>4.9113800000000003</v>
      </c>
      <c r="BN46" s="3452">
        <f ca="1">OFFSET('VVP2'!$G$228,0,(COLUMN()-6)/6)</f>
        <v>0.83965000000000001</v>
      </c>
      <c r="BO46" s="3452">
        <f ca="1">OFFSET('VVP2'!$G$230,0,(COLUMN()-7)/6)</f>
        <v>3.3142499999999999</v>
      </c>
      <c r="BP46" s="3452">
        <f ca="1">OFFSET('VVP2'!$G$229,0,(COLUMN()-8)/6)</f>
        <v>0.75748000000000004</v>
      </c>
      <c r="BQ46" s="3443"/>
      <c r="BR46" s="586">
        <f ca="1">+BM46-BN46-BO46-BP46</f>
        <v>0</v>
      </c>
      <c r="BS46" s="3458">
        <f ca="1">OFFSET('VVP2'!$G$212,0,(COLUMN()-5)/6)</f>
        <v>6.2428999999999997</v>
      </c>
      <c r="BT46" s="3452">
        <f ca="1">OFFSET('VVP2'!$G$228,0,(COLUMN()-6)/6)</f>
        <v>0.87766999999999995</v>
      </c>
      <c r="BU46" s="3452">
        <f ca="1">OFFSET('VVP2'!$G$230,0,(COLUMN()-7)/6)</f>
        <v>4.3358999999999996</v>
      </c>
      <c r="BV46" s="3452">
        <f ca="1">OFFSET('VVP2'!$G$229,0,(COLUMN()-8)/6)</f>
        <v>1.0293299999999999</v>
      </c>
      <c r="BW46" s="3443"/>
      <c r="BX46" s="586">
        <f ca="1">+BS46-BT46-BU46-BV46</f>
        <v>0</v>
      </c>
      <c r="BY46" s="3458">
        <f ca="1">OFFSET('VVP2'!$G$212,0,(COLUMN()-5)/6)</f>
        <v>8.2986699999999995</v>
      </c>
      <c r="BZ46" s="3452">
        <f ca="1">OFFSET('VVP2'!$G$228,0,(COLUMN()-6)/6)</f>
        <v>1.0825199999999999</v>
      </c>
      <c r="CA46" s="3452">
        <f ca="1">OFFSET('VVP2'!$G$230,0,(COLUMN()-7)/6)</f>
        <v>5.6438000000000006</v>
      </c>
      <c r="CB46" s="3452">
        <f ca="1">OFFSET('VVP2'!$G$229,0,(COLUMN()-8)/6)</f>
        <v>1.57236</v>
      </c>
      <c r="CC46" s="3443"/>
      <c r="CD46" s="586">
        <f ca="1">+BY46-BZ46-CA46-CB46</f>
        <v>-1.0000000000731646E-5</v>
      </c>
      <c r="CE46" s="3458">
        <f ca="1">OFFSET('VVP2'!$G$212,0,(COLUMN()-5)/6)</f>
        <v>8.5133200000000002</v>
      </c>
      <c r="CF46" s="3452">
        <f ca="1">OFFSET('VVP2'!$G$228,0,(COLUMN()-6)/6)</f>
        <v>1.27919</v>
      </c>
      <c r="CG46" s="3452">
        <f ca="1">OFFSET('VVP2'!$G$230,0,(COLUMN()-7)/6)</f>
        <v>5.4749799999999995</v>
      </c>
      <c r="CH46" s="3452">
        <f ca="1">OFFSET('VVP2'!$G$229,0,(COLUMN()-8)/6)</f>
        <v>1.75915</v>
      </c>
      <c r="CI46" s="3443"/>
      <c r="CJ46" s="586">
        <f ca="1">+CE46-CF46-CG46-CH46</f>
        <v>0</v>
      </c>
      <c r="CK46" s="3458">
        <f ca="1">OFFSET('VVP2'!$G$212,0,(COLUMN()-5)/6)</f>
        <v>4.8105200000000004</v>
      </c>
      <c r="CL46" s="3452">
        <f ca="1">OFFSET('VVP2'!$G$228,0,(COLUMN()-6)/6)</f>
        <v>0.95716000000000001</v>
      </c>
      <c r="CM46" s="3452">
        <f ca="1">OFFSET('VVP2'!$G$230,0,(COLUMN()-7)/6)</f>
        <v>2.6641699999999999</v>
      </c>
      <c r="CN46" s="3452">
        <f ca="1">OFFSET('VVP2'!$G$229,0,(COLUMN()-8)/6)</f>
        <v>1.1892</v>
      </c>
      <c r="CO46" s="3443"/>
      <c r="CP46" s="586">
        <f ca="1">+CK46-CL46-CM46-CN46</f>
        <v>-9.9999999996214228E-6</v>
      </c>
      <c r="CQ46" s="3458">
        <f ca="1">OFFSET('VVP2'!$G$212,0,(COLUMN()-5)/6)</f>
        <v>4.7263000000000002</v>
      </c>
      <c r="CR46" s="3452">
        <f ca="1">OFFSET('VVP2'!$G$228,0,(COLUMN()-6)/6)</f>
        <v>0.92220000000000002</v>
      </c>
      <c r="CS46" s="3452">
        <f ca="1">OFFSET('VVP2'!$G$230,0,(COLUMN()-7)/6)</f>
        <v>2.41317</v>
      </c>
      <c r="CT46" s="3452">
        <f ca="1">OFFSET('VVP2'!$G$229,0,(COLUMN()-8)/6)</f>
        <v>1.39093</v>
      </c>
      <c r="CU46" s="3443"/>
      <c r="CV46" s="586">
        <f ca="1">+CQ46-CR46-CS46-CT46</f>
        <v>0</v>
      </c>
      <c r="CW46" s="3458">
        <f ca="1">OFFSET('VVP2'!$G$212,0,(COLUMN()-5)/6)</f>
        <v>5.78111</v>
      </c>
      <c r="CX46" s="3452">
        <f ca="1">OFFSET('VVP2'!$G$228,0,(COLUMN()-6)/6)</f>
        <v>1.04375</v>
      </c>
      <c r="CY46" s="3452">
        <f ca="1">OFFSET('VVP2'!$G$230,0,(COLUMN()-7)/6)</f>
        <v>3.25813</v>
      </c>
      <c r="CZ46" s="3452">
        <f ca="1">OFFSET('VVP2'!$G$229,0,(COLUMN()-8)/6)</f>
        <v>1.47923</v>
      </c>
      <c r="DA46" s="3443"/>
      <c r="DB46" s="586">
        <f ca="1">+CW46-CX46-CY46-CZ46</f>
        <v>0</v>
      </c>
      <c r="DC46" s="3458">
        <f ca="1">OFFSET('VVP2'!$G$212,0,(COLUMN()-5)/6)</f>
        <v>5.78803</v>
      </c>
      <c r="DD46" s="3452">
        <f ca="1">OFFSET('VVP2'!$G$228,0,(COLUMN()-6)/6)</f>
        <v>1.00299</v>
      </c>
      <c r="DE46" s="3452">
        <f ca="1">OFFSET('VVP2'!$G$230,0,(COLUMN()-7)/6)</f>
        <v>3.45871</v>
      </c>
      <c r="DF46" s="3452">
        <f ca="1">OFFSET('VVP2'!$G$229,0,(COLUMN()-8)/6)</f>
        <v>1.32633</v>
      </c>
      <c r="DG46" s="3443"/>
      <c r="DH46" s="586">
        <f ca="1">+DC46-DD46-DE46-DF46</f>
        <v>0</v>
      </c>
      <c r="DI46" s="3458">
        <f ca="1">OFFSET('VVP2'!$G$212,0,(COLUMN()-5)/6)</f>
        <v>6.4548800000000002</v>
      </c>
      <c r="DJ46" s="3452">
        <f ca="1">OFFSET('VVP2'!$G$228,0,(COLUMN()-6)/6)</f>
        <v>1.2413599999999998</v>
      </c>
      <c r="DK46" s="3452">
        <f ca="1">OFFSET('VVP2'!$G$230,0,(COLUMN()-7)/6)</f>
        <v>3.9040300000000001</v>
      </c>
      <c r="DL46" s="3452">
        <f ca="1">OFFSET('VVP2'!$G$229,0,(COLUMN()-8)/6)</f>
        <v>1.30948</v>
      </c>
      <c r="DM46" s="3443"/>
      <c r="DN46" s="586">
        <f ca="1">+DI46-DJ46-DK46-DL46</f>
        <v>1.0000000000731646E-5</v>
      </c>
      <c r="DO46" s="3458">
        <f ca="1">OFFSET('VVP2'!$G$212,0,(COLUMN()-5)/6)</f>
        <v>6.9054899999999995</v>
      </c>
      <c r="DP46" s="3452">
        <f ca="1">OFFSET('VVP2'!$G$228,0,(COLUMN()-6)/6)</f>
        <v>1.37171</v>
      </c>
      <c r="DQ46" s="3452">
        <f ca="1">OFFSET('VVP2'!$G$230,0,(COLUMN()-7)/6)</f>
        <v>4.2507999999999999</v>
      </c>
      <c r="DR46" s="3452">
        <f ca="1">OFFSET('VVP2'!$G$229,0,(COLUMN()-8)/6)</f>
        <v>1.28298</v>
      </c>
      <c r="DS46" s="3443"/>
      <c r="DT46" s="586">
        <f ca="1">+DO46-DP46-DQ46-DR46</f>
        <v>0</v>
      </c>
      <c r="DU46" s="3458">
        <f ca="1">OFFSET('VVP2'!$G$212,0,(COLUMN()-5)/6)</f>
        <v>7.3252199999999998</v>
      </c>
      <c r="DV46" s="3452">
        <f ca="1">OFFSET('VVP2'!$G$228,0,(COLUMN()-6)/6)</f>
        <v>1.56351</v>
      </c>
      <c r="DW46" s="3452">
        <f ca="1">OFFSET('VVP2'!$G$230,0,(COLUMN()-7)/6)</f>
        <v>4.3872</v>
      </c>
      <c r="DX46" s="3452">
        <f ca="1">OFFSET('VVP2'!$G$229,0,(COLUMN()-8)/6)</f>
        <v>1.3745099999999999</v>
      </c>
      <c r="DY46" s="3443"/>
      <c r="DZ46" s="586">
        <f ca="1">+DU46-DV46-DW46-DX46</f>
        <v>0</v>
      </c>
      <c r="EA46" s="3458">
        <f ca="1">OFFSET('VVP2'!$G$212,0,(COLUMN()-5)/6)</f>
        <v>7.3141999999999996</v>
      </c>
      <c r="EB46" s="3452">
        <f ca="1">OFFSET('VVP2'!$G$228,0,(COLUMN()-6)/6)</f>
        <v>1.7422800000000001</v>
      </c>
      <c r="EC46" s="3452">
        <f ca="1">OFFSET('VVP2'!$G$230,0,(COLUMN()-7)/6)</f>
        <v>4.4183300000000001</v>
      </c>
      <c r="ED46" s="3452">
        <f ca="1">OFFSET('VVP2'!$G$229,0,(COLUMN()-8)/6)</f>
        <v>1.1535899999999999</v>
      </c>
      <c r="EE46" s="3443"/>
      <c r="EF46" s="586">
        <f ca="1">+EA46-EB46-EC46-ED46</f>
        <v>0</v>
      </c>
      <c r="EG46" s="3458">
        <f ca="1">OFFSET('VVP2'!$G$212,0,(COLUMN()-5)/6)</f>
        <v>7.8803900000000002</v>
      </c>
      <c r="EH46" s="3452">
        <f ca="1">OFFSET('VVP2'!$G$228,0,(COLUMN()-6)/6)</f>
        <v>1.8032598</v>
      </c>
      <c r="EI46" s="3452">
        <f ca="1">OFFSET('VVP2'!$G$230,0,(COLUMN()-7)/6)</f>
        <v>4.8402273491796706</v>
      </c>
      <c r="EJ46" s="3452">
        <f ca="1">OFFSET('VVP2'!$G$229,0,(COLUMN()-8)/6)</f>
        <v>1.2369138056999998</v>
      </c>
      <c r="EK46" s="3443"/>
      <c r="EL46" s="586">
        <f ca="1">+EG46-EH46-EI46-EJ46</f>
        <v>-1.095487967028852E-5</v>
      </c>
      <c r="EM46" s="3458">
        <f ca="1">OFFSET('VVP2'!$G$212,0,(COLUMN()-5)/6)</f>
        <v>8.6125183729499977</v>
      </c>
      <c r="EN46" s="3452">
        <f ca="1">OFFSET('VVP2'!$G$228,0,(COLUMN()-6)/6)</f>
        <v>1.8663738929999998</v>
      </c>
      <c r="EO46" s="3452">
        <f ca="1">OFFSET('VVP2'!$G$230,0,(COLUMN()-7)/6)</f>
        <v>5.3913625170022881</v>
      </c>
      <c r="EP46" s="3452">
        <f ca="1">OFFSET('VVP2'!$G$229,0,(COLUMN()-8)/6)</f>
        <v>1.3547941652108211</v>
      </c>
      <c r="EQ46" s="3443"/>
      <c r="ER46" s="586">
        <f ca="1">+EM46-EN46-EO46-EP46</f>
        <v>-1.220226311104966E-5</v>
      </c>
      <c r="ES46" s="3458">
        <f ca="1">OFFSET('VVP2'!$G$212,0,(COLUMN()-5)/6)</f>
        <v>9.1844008740182197</v>
      </c>
      <c r="ET46" s="3452">
        <f ca="1">OFFSET('VVP2'!$G$228,0,(COLUMN()-6)/6)</f>
        <v>1.9316969792549996</v>
      </c>
      <c r="EU46" s="3452">
        <f ca="1">OFFSET('VVP2'!$G$230,0,(COLUMN()-7)/6)</f>
        <v>5.7944843096866441</v>
      </c>
      <c r="EV46" s="3452">
        <f ca="1">OFFSET('VVP2'!$G$229,0,(COLUMN()-8)/6)</f>
        <v>1.4582326997246671</v>
      </c>
      <c r="EW46" s="3443"/>
      <c r="EX46" s="586">
        <f ca="1">+ES46-ET46-EU46-EV46</f>
        <v>-1.3114648090839509E-5</v>
      </c>
    </row>
    <row r="47" spans="1:154" ht="12.75" customHeight="1">
      <c r="A47" s="553"/>
      <c r="B47" s="600" t="s">
        <v>401</v>
      </c>
      <c r="C47" s="3783" t="s">
        <v>377</v>
      </c>
      <c r="D47" s="3784"/>
      <c r="E47" s="3452">
        <f ca="1">OFFSET('VVP2'!$G$260,0,(COLUMN()-5)/6)</f>
        <v>0.18446000000000001</v>
      </c>
      <c r="F47" s="3449">
        <f ca="1">OFFSET(Sector1!$G$541,0,(COLUMN()-6)/6)</f>
        <v>1.3009999999999999E-2</v>
      </c>
      <c r="G47" s="3449">
        <f ca="1">OFFSET(Sector1!$G$542,0,(COLUMN()-7)/6)</f>
        <v>0.16175</v>
      </c>
      <c r="H47" s="3449">
        <f ca="1">OFFSET(Sector1!$G$543,0,(COLUMN()-8)/6)</f>
        <v>9.689999999999999E-3</v>
      </c>
      <c r="I47" s="3448"/>
      <c r="J47" s="586">
        <f ca="1">+E47-F47-G47-H47</f>
        <v>1.0000000000015205E-5</v>
      </c>
      <c r="K47" s="3452">
        <f ca="1">OFFSET('VVP2'!$G$260,0,(COLUMN()-5)/6)</f>
        <v>4.6679999999999999E-2</v>
      </c>
      <c r="L47" s="3449">
        <f ca="1">OFFSET(Sector1!$G$541,0,(COLUMN()-6)/6)</f>
        <v>2.0800000000000003E-3</v>
      </c>
      <c r="M47" s="3449">
        <f ca="1">OFFSET(Sector1!$G$542,0,(COLUMN()-7)/6)</f>
        <v>4.1340000000000002E-2</v>
      </c>
      <c r="N47" s="3449">
        <f ca="1">OFFSET(Sector1!$G$543,0,(COLUMN()-8)/6)</f>
        <v>3.2599999999999999E-3</v>
      </c>
      <c r="O47" s="3448"/>
      <c r="P47" s="586">
        <f ca="1">+K47-L47-M47-N47</f>
        <v>0</v>
      </c>
      <c r="Q47" s="3452">
        <f ca="1">OFFSET('VVP2'!$G$260,0,(COLUMN()-5)/6)</f>
        <v>0.25845999999999997</v>
      </c>
      <c r="R47" s="3449">
        <f ca="1">OFFSET(Sector1!$G$541,0,(COLUMN()-6)/6)</f>
        <v>5.6900000000000006E-2</v>
      </c>
      <c r="S47" s="3449">
        <f ca="1">OFFSET(Sector1!$G$542,0,(COLUMN()-7)/6)</f>
        <v>0.19895000000000002</v>
      </c>
      <c r="T47" s="3449">
        <f ca="1">OFFSET(Sector1!$G$543,0,(COLUMN()-8)/6)</f>
        <v>2.6100000000000003E-3</v>
      </c>
      <c r="U47" s="3448"/>
      <c r="V47" s="586">
        <f ca="1">+Q47-R47-S47-T47</f>
        <v>-5.4643789493269423E-17</v>
      </c>
      <c r="W47" s="3452">
        <f ca="1">OFFSET('VVP2'!$G$260,0,(COLUMN()-5)/6)</f>
        <v>5.8840000000000003E-2</v>
      </c>
      <c r="X47" s="3449">
        <f ca="1">OFFSET(Sector1!$G$541,0,(COLUMN()-6)/6)</f>
        <v>2.6830000000000003E-2</v>
      </c>
      <c r="Y47" s="3449">
        <f ca="1">OFFSET(Sector1!$G$542,0,(COLUMN()-7)/6)</f>
        <v>3.1109999999999999E-2</v>
      </c>
      <c r="Z47" s="3449">
        <f ca="1">OFFSET(Sector1!$G$543,0,(COLUMN()-8)/6)</f>
        <v>8.9999999999999998E-4</v>
      </c>
      <c r="AA47" s="3448"/>
      <c r="AB47" s="586">
        <f ca="1">+W47-X47-Y47-Z47</f>
        <v>-1.951563910473908E-18</v>
      </c>
      <c r="AC47" s="3452">
        <f ca="1">OFFSET('VVP2'!$G$260,0,(COLUMN()-5)/6)</f>
        <v>-7.7159999999999992E-2</v>
      </c>
      <c r="AD47" s="3449">
        <f ca="1">OFFSET(Sector1!$G$541,0,(COLUMN()-6)/6)</f>
        <v>-3.6469999999999995E-2</v>
      </c>
      <c r="AE47" s="3449">
        <f ca="1">OFFSET(Sector1!$G$542,0,(COLUMN()-7)/6)</f>
        <v>-4.0870000000000004E-2</v>
      </c>
      <c r="AF47" s="3449">
        <f ca="1">OFFSET(Sector1!$G$543,0,(COLUMN()-8)/6)</f>
        <v>1.7000000000000001E-4</v>
      </c>
      <c r="AG47" s="3448"/>
      <c r="AH47" s="586">
        <f ca="1">+AC47-AD47-AE47-AF47</f>
        <v>1.0000000000006531E-5</v>
      </c>
      <c r="AI47" s="3452">
        <f ca="1">OFFSET('VVP2'!$G$260,0,(COLUMN()-5)/6)</f>
        <v>-4.8979999999999996E-2</v>
      </c>
      <c r="AJ47" s="3449">
        <f ca="1">OFFSET(Sector1!$G$541,0,(COLUMN()-6)/6)</f>
        <v>-1.7000000000000036E-4</v>
      </c>
      <c r="AK47" s="3449">
        <f ca="1">OFFSET(Sector1!$G$542,0,(COLUMN()-7)/6)</f>
        <v>-4.922E-2</v>
      </c>
      <c r="AL47" s="3449">
        <f ca="1">OFFSET(Sector1!$G$543,0,(COLUMN()-8)/6)</f>
        <v>4.1000000000000005E-4</v>
      </c>
      <c r="AM47" s="3448"/>
      <c r="AN47" s="586">
        <f ca="1">+AI47-AJ47-AK47-AL47</f>
        <v>7.5352050987742558E-18</v>
      </c>
      <c r="AO47" s="3452">
        <f ca="1">OFFSET('VVP2'!$G$260,0,(COLUMN()-5)/6)</f>
        <v>-0.21227000000000001</v>
      </c>
      <c r="AP47" s="3449">
        <f ca="1">OFFSET(Sector1!$G$541,0,(COLUMN()-6)/6)</f>
        <v>-0.1043</v>
      </c>
      <c r="AQ47" s="3449">
        <f ca="1">OFFSET(Sector1!$G$542,0,(COLUMN()-7)/6)</f>
        <v>-0.11035</v>
      </c>
      <c r="AR47" s="3449">
        <f ca="1">OFFSET(Sector1!$G$543,0,(COLUMN()-8)/6)</f>
        <v>2.3799999999999997E-3</v>
      </c>
      <c r="AS47" s="3448"/>
      <c r="AT47" s="586">
        <f ca="1">+AO47-AP47-AQ47-AR47</f>
        <v>-6.5052130349130266E-18</v>
      </c>
      <c r="AU47" s="3452">
        <f ca="1">OFFSET('VVP2'!$G$260,0,(COLUMN()-5)/6)</f>
        <v>-9.2399999999999999E-3</v>
      </c>
      <c r="AV47" s="3449">
        <f ca="1">OFFSET(Sector1!$G$541,0,(COLUMN()-6)/6)</f>
        <v>-1.8500000000000001E-3</v>
      </c>
      <c r="AW47" s="3449">
        <f ca="1">OFFSET(Sector1!$G$542,0,(COLUMN()-7)/6)</f>
        <v>-2.018E-2</v>
      </c>
      <c r="AX47" s="3449">
        <f ca="1">OFFSET(Sector1!$G$543,0,(COLUMN()-8)/6)</f>
        <v>1.2800000000000001E-2</v>
      </c>
      <c r="AY47" s="3448"/>
      <c r="AZ47" s="586">
        <f ca="1">+AU47-AV47-AW47-AX47</f>
        <v>-1.0000000000001327E-5</v>
      </c>
      <c r="BA47" s="3452">
        <f ca="1">OFFSET('VVP2'!$G$260,0,(COLUMN()-5)/6)</f>
        <v>4.3630000000000002E-2</v>
      </c>
      <c r="BB47" s="3449">
        <f ca="1">OFFSET(Sector1!$G$541,0,(COLUMN()-6)/6)</f>
        <v>8.6599999999999993E-3</v>
      </c>
      <c r="BC47" s="3449">
        <f ca="1">OFFSET(Sector1!$G$542,0,(COLUMN()-7)/6)</f>
        <v>3.2250000000000001E-2</v>
      </c>
      <c r="BD47" s="3449">
        <f ca="1">OFFSET(Sector1!$G$543,0,(COLUMN()-8)/6)</f>
        <v>2.7299999999999998E-3</v>
      </c>
      <c r="BE47" s="3448"/>
      <c r="BF47" s="586">
        <f ca="1">+BA47-BB47-BC47-BD47</f>
        <v>-9.9999999999995925E-6</v>
      </c>
      <c r="BG47" s="3452">
        <f ca="1">OFFSET('VVP2'!$G$260,0,(COLUMN()-5)/6)</f>
        <v>-3.9409999999999994E-2</v>
      </c>
      <c r="BH47" s="3449">
        <f ca="1">OFFSET(Sector1!$G$541,0,(COLUMN()-6)/6)</f>
        <v>1.4449999999999999E-2</v>
      </c>
      <c r="BI47" s="3449">
        <f ca="1">OFFSET(Sector1!$G$542,0,(COLUMN()-7)/6)</f>
        <v>-6.1490000000000003E-2</v>
      </c>
      <c r="BJ47" s="3449">
        <f ca="1">OFFSET(Sector1!$G$543,0,(COLUMN()-8)/6)</f>
        <v>7.6299999999999996E-3</v>
      </c>
      <c r="BK47" s="3448"/>
      <c r="BL47" s="586">
        <f ca="1">+BG47-BH47-BI47-BJ47</f>
        <v>1.214306433183765E-17</v>
      </c>
      <c r="BM47" s="3452">
        <f ca="1">OFFSET('VVP2'!$G$260,0,(COLUMN()-5)/6)</f>
        <v>0.14046</v>
      </c>
      <c r="BN47" s="3449">
        <f ca="1">OFFSET(Sector1!$G$541,0,(COLUMN()-6)/6)</f>
        <v>-3.968E-2</v>
      </c>
      <c r="BO47" s="3449">
        <f ca="1">OFFSET(Sector1!$G$542,0,(COLUMN()-7)/6)</f>
        <v>0.17057</v>
      </c>
      <c r="BP47" s="3449">
        <f ca="1">OFFSET(Sector1!$G$543,0,(COLUMN()-8)/6)</f>
        <v>9.5700000000000004E-3</v>
      </c>
      <c r="BQ47" s="3448"/>
      <c r="BR47" s="586">
        <f ca="1">+BM47-BN47-BO47-BP47</f>
        <v>0</v>
      </c>
      <c r="BS47" s="3452">
        <f ca="1">OFFSET('VVP2'!$G$260,0,(COLUMN()-5)/6)</f>
        <v>0.19234000000000001</v>
      </c>
      <c r="BT47" s="3449">
        <f ca="1">OFFSET(Sector1!$G$541,0,(COLUMN()-6)/6)</f>
        <v>4.8399999999999988E-3</v>
      </c>
      <c r="BU47" s="3449">
        <f ca="1">OFFSET(Sector1!$G$542,0,(COLUMN()-7)/6)</f>
        <v>0.16547000000000001</v>
      </c>
      <c r="BV47" s="3449">
        <f ca="1">OFFSET(Sector1!$G$543,0,(COLUMN()-8)/6)</f>
        <v>2.2030000000000001E-2</v>
      </c>
      <c r="BW47" s="3448"/>
      <c r="BX47" s="586">
        <f ca="1">+BS47-BT47-BU47-BV47</f>
        <v>0</v>
      </c>
      <c r="BY47" s="3452">
        <f ca="1">OFFSET('VVP2'!$G$260,0,(COLUMN()-5)/6)</f>
        <v>1.0260799999999999</v>
      </c>
      <c r="BZ47" s="3449">
        <f ca="1">OFFSET(Sector1!$G$541,0,(COLUMN()-6)/6)</f>
        <v>4.6170000000000003E-2</v>
      </c>
      <c r="CA47" s="3449">
        <f ca="1">OFFSET(Sector1!$G$542,0,(COLUMN()-7)/6)</f>
        <v>0.9591900000000001</v>
      </c>
      <c r="CB47" s="3449">
        <f ca="1">OFFSET(Sector1!$G$543,0,(COLUMN()-8)/6)</f>
        <v>2.0730000000000002E-2</v>
      </c>
      <c r="CC47" s="3448"/>
      <c r="CD47" s="586">
        <f ca="1">+BY47-BZ47-CA47-CB47</f>
        <v>-1.0000000000263271E-5</v>
      </c>
      <c r="CE47" s="3452">
        <f ca="1">OFFSET('VVP2'!$G$260,0,(COLUMN()-5)/6)</f>
        <v>0.60474000000000006</v>
      </c>
      <c r="CF47" s="3449">
        <f ca="1">OFFSET(Sector1!$G$541,0,(COLUMN()-6)/6)</f>
        <v>0.13553000000000001</v>
      </c>
      <c r="CG47" s="3449">
        <f ca="1">OFFSET(Sector1!$G$542,0,(COLUMN()-7)/6)</f>
        <v>0.43486000000000002</v>
      </c>
      <c r="CH47" s="3449">
        <f ca="1">OFFSET(Sector1!$G$543,0,(COLUMN()-8)/6)</f>
        <v>3.4360000000000002E-2</v>
      </c>
      <c r="CI47" s="3448"/>
      <c r="CJ47" s="586">
        <f ca="1">+CE47-CF47-CG47-CH47</f>
        <v>-1.0000000000010001E-5</v>
      </c>
      <c r="CK47" s="3452">
        <f ca="1">OFFSET('VVP2'!$G$260,0,(COLUMN()-5)/6)</f>
        <v>-1.47837</v>
      </c>
      <c r="CL47" s="3449">
        <f ca="1">OFFSET(Sector1!$G$541,0,(COLUMN()-6)/6)</f>
        <v>-5.6829999999999999E-2</v>
      </c>
      <c r="CM47" s="3449">
        <f ca="1">OFFSET(Sector1!$G$542,0,(COLUMN()-7)/6)</f>
        <v>-1.4296800000000001</v>
      </c>
      <c r="CN47" s="3449">
        <f ca="1">OFFSET(Sector1!$G$543,0,(COLUMN()-8)/6)</f>
        <v>8.1400000000000014E-3</v>
      </c>
      <c r="CO47" s="3448"/>
      <c r="CP47" s="586">
        <f ca="1">+CK47-CL47-CM47-CN47</f>
        <v>3.4694469519536142E-17</v>
      </c>
      <c r="CQ47" s="3452">
        <f ca="1">OFFSET('VVP2'!$G$260,0,(COLUMN()-5)/6)</f>
        <v>0.31864999999999999</v>
      </c>
      <c r="CR47" s="3449">
        <f ca="1">OFFSET(Sector1!$G$541,0,(COLUMN()-6)/6)</f>
        <v>-2.7140000000000001E-2</v>
      </c>
      <c r="CS47" s="3449">
        <f ca="1">OFFSET(Sector1!$G$542,0,(COLUMN()-7)/6)</f>
        <v>0.34223999999999999</v>
      </c>
      <c r="CT47" s="3449">
        <f ca="1">OFFSET(Sector1!$G$543,0,(COLUMN()-8)/6)</f>
        <v>3.5499999999999998E-3</v>
      </c>
      <c r="CU47" s="3448"/>
      <c r="CV47" s="586">
        <f ca="1">+CQ47-CR47-CS47-CT47</f>
        <v>0</v>
      </c>
      <c r="CW47" s="3452">
        <f ca="1">OFFSET('VVP2'!$G$260,0,(COLUMN()-5)/6)</f>
        <v>1.0107000000000002</v>
      </c>
      <c r="CX47" s="3449">
        <f ca="1">OFFSET(Sector1!$G$541,0,(COLUMN()-6)/6)</f>
        <v>6.4819999999999989E-2</v>
      </c>
      <c r="CY47" s="3449">
        <f ca="1">OFFSET(Sector1!$G$542,0,(COLUMN()-7)/6)</f>
        <v>0.94126000000000021</v>
      </c>
      <c r="CZ47" s="3449">
        <f ca="1">OFFSET(Sector1!$G$543,0,(COLUMN()-8)/6)</f>
        <v>4.62E-3</v>
      </c>
      <c r="DA47" s="3448"/>
      <c r="DB47" s="586">
        <f ca="1">+CW47-CX47-CY47-CZ47</f>
        <v>-4.2500725161431774E-17</v>
      </c>
      <c r="DC47" s="3452">
        <f ca="1">OFFSET('VVP2'!$G$260,0,(COLUMN()-5)/6)</f>
        <v>0.67282000000000008</v>
      </c>
      <c r="DD47" s="3449">
        <f ca="1">OFFSET(Sector1!$G$541,0,(COLUMN()-6)/6)</f>
        <v>8.8359999999999994E-2</v>
      </c>
      <c r="DE47" s="3449">
        <f ca="1">OFFSET(Sector1!$G$542,0,(COLUMN()-7)/6)</f>
        <v>0.57815000000000005</v>
      </c>
      <c r="DF47" s="3449">
        <f ca="1">OFFSET(Sector1!$G$543,0,(COLUMN()-8)/6)</f>
        <v>6.3099999999999996E-3</v>
      </c>
      <c r="DG47" s="3448"/>
      <c r="DH47" s="586">
        <f ca="1">+DC47-DD47-DE47-DF47</f>
        <v>3.8163916471489756E-17</v>
      </c>
      <c r="DI47" s="3452">
        <f ca="1">OFFSET('VVP2'!$G$260,0,(COLUMN()-5)/6)</f>
        <v>0.34885000000000005</v>
      </c>
      <c r="DJ47" s="3449">
        <f ca="1">OFFSET(Sector1!$G$541,0,(COLUMN()-6)/6)</f>
        <v>0.10335999999999999</v>
      </c>
      <c r="DK47" s="3449">
        <f ca="1">OFFSET(Sector1!$G$542,0,(COLUMN()-7)/6)</f>
        <v>0.23589000000000004</v>
      </c>
      <c r="DL47" s="3449">
        <f ca="1">OFFSET(Sector1!$G$543,0,(COLUMN()-8)/6)</f>
        <v>9.5999999999999992E-3</v>
      </c>
      <c r="DM47" s="3448"/>
      <c r="DN47" s="586">
        <f ca="1">+DI47-DJ47-DK47-DL47</f>
        <v>0</v>
      </c>
      <c r="DO47" s="3452">
        <f ca="1">OFFSET('VVP2'!$G$260,0,(COLUMN()-5)/6)</f>
        <v>5.3120000000000001E-2</v>
      </c>
      <c r="DP47" s="3449">
        <f ca="1">OFFSET(Sector1!$G$541,0,(COLUMN()-6)/6)</f>
        <v>1.2970000000000001E-2</v>
      </c>
      <c r="DQ47" s="3449">
        <f ca="1">OFFSET(Sector1!$G$542,0,(COLUMN()-7)/6)</f>
        <v>2.7549999999999998E-2</v>
      </c>
      <c r="DR47" s="3449">
        <f ca="1">OFFSET(Sector1!$G$543,0,(COLUMN()-8)/6)</f>
        <v>1.26E-2</v>
      </c>
      <c r="DS47" s="3448"/>
      <c r="DT47" s="586">
        <f ca="1">+DO47-DP47-DQ47-DR47</f>
        <v>0</v>
      </c>
      <c r="DU47" s="3452">
        <f ca="1">OFFSET('VVP2'!$G$260,0,(COLUMN()-5)/6)</f>
        <v>0.37847000000000003</v>
      </c>
      <c r="DV47" s="3449">
        <f ca="1">OFFSET(Sector1!$G$541,0,(COLUMN()-6)/6)</f>
        <v>2.895E-2</v>
      </c>
      <c r="DW47" s="3449">
        <f ca="1">OFFSET(Sector1!$G$542,0,(COLUMN()-7)/6)</f>
        <v>0.30141000000000007</v>
      </c>
      <c r="DX47" s="3449">
        <f ca="1">OFFSET(Sector1!$G$543,0,(COLUMN()-8)/6)</f>
        <v>4.811E-2</v>
      </c>
      <c r="DY47" s="3448"/>
      <c r="DZ47" s="586">
        <f ca="1">+DU47-DV47-DW47-DX47</f>
        <v>0</v>
      </c>
      <c r="EA47" s="3452">
        <f ca="1">OFFSET('VVP2'!$G$260,0,(COLUMN()-5)/6)</f>
        <v>-0.64598</v>
      </c>
      <c r="EB47" s="3449">
        <f ca="1">OFFSET(Sector1!$G$541,0,(COLUMN()-6)/6)</f>
        <v>-4.3100000000000005E-3</v>
      </c>
      <c r="EC47" s="3449">
        <f ca="1">OFFSET(Sector1!$G$542,0,(COLUMN()-7)/6)</f>
        <v>-0.68081999999999998</v>
      </c>
      <c r="ED47" s="3449">
        <f ca="1">OFFSET(Sector1!$G$543,0,(COLUMN()-8)/6)</f>
        <v>3.9149999999999997E-2</v>
      </c>
      <c r="EE47" s="3448"/>
      <c r="EF47" s="586">
        <f ca="1">+EA47-EB47-EC47-ED47</f>
        <v>0</v>
      </c>
      <c r="EG47" s="3452">
        <f ca="1">OFFSET('VVP2'!$G$260,0,(COLUMN()-5)/6)</f>
        <v>-0.64598</v>
      </c>
      <c r="EH47" s="3449">
        <f ca="1">OFFSET(Sector1!$G$541,0,(COLUMN()-6)/6)</f>
        <v>-4.3100000000000005E-3</v>
      </c>
      <c r="EI47" s="3449">
        <f ca="1">OFFSET(Sector1!$G$542,0,(COLUMN()-7)/6)</f>
        <v>-0.68081999999999998</v>
      </c>
      <c r="EJ47" s="3449">
        <f ca="1">OFFSET(Sector1!$G$543,0,(COLUMN()-8)/6)</f>
        <v>3.9149999999999997E-2</v>
      </c>
      <c r="EK47" s="3448"/>
      <c r="EL47" s="586">
        <f ca="1">+EG47-EH47-EI47-EJ47</f>
        <v>0</v>
      </c>
      <c r="EM47" s="3452">
        <f ca="1">OFFSET('VVP2'!$G$260,0,(COLUMN()-5)/6)</f>
        <v>-0.64598</v>
      </c>
      <c r="EN47" s="3449">
        <f ca="1">OFFSET(Sector1!$G$541,0,(COLUMN()-6)/6)</f>
        <v>-4.3100000000000005E-3</v>
      </c>
      <c r="EO47" s="3449">
        <f ca="1">OFFSET(Sector1!$G$542,0,(COLUMN()-7)/6)</f>
        <v>-0.68081999999999998</v>
      </c>
      <c r="EP47" s="3449">
        <f ca="1">OFFSET(Sector1!$G$543,0,(COLUMN()-8)/6)</f>
        <v>3.9149999999999997E-2</v>
      </c>
      <c r="EQ47" s="3448"/>
      <c r="ER47" s="586">
        <f ca="1">+EM47-EN47-EO47-EP47</f>
        <v>0</v>
      </c>
      <c r="ES47" s="3452">
        <f ca="1">OFFSET('VVP2'!$G$260,0,(COLUMN()-5)/6)</f>
        <v>-0.64598</v>
      </c>
      <c r="ET47" s="3449">
        <f ca="1">OFFSET(Sector1!$G$541,0,(COLUMN()-6)/6)</f>
        <v>-4.3100000000000005E-3</v>
      </c>
      <c r="EU47" s="3449">
        <f ca="1">OFFSET(Sector1!$G$542,0,(COLUMN()-7)/6)</f>
        <v>-0.68081999999999998</v>
      </c>
      <c r="EV47" s="3449">
        <f ca="1">OFFSET(Sector1!$G$543,0,(COLUMN()-8)/6)</f>
        <v>3.9149999999999997E-2</v>
      </c>
      <c r="EW47" s="3448"/>
      <c r="EX47" s="586">
        <f ca="1">+ES47-ET47-EU47-EV47</f>
        <v>0</v>
      </c>
    </row>
    <row r="48" spans="1:154" s="557" customFormat="1" ht="12.75" customHeight="1">
      <c r="A48" s="555"/>
      <c r="B48" s="587" t="s">
        <v>1769</v>
      </c>
      <c r="C48" s="3778" t="s">
        <v>378</v>
      </c>
      <c r="D48" s="3778"/>
      <c r="E48" s="588">
        <f ca="1">+E39+E40-E45-E46-E47</f>
        <v>-0.75690999999999953</v>
      </c>
      <c r="F48" s="588">
        <f ca="1">+F39+F40-F45-F46-F47</f>
        <v>-0.22516999999999965</v>
      </c>
      <c r="G48" s="588">
        <f ca="1">+G39+G40-G45-G46-G47</f>
        <v>-0.41160999999999953</v>
      </c>
      <c r="H48" s="588">
        <f ca="1">+H39+H40-H45-H46-H47</f>
        <v>-0.12011000000000038</v>
      </c>
      <c r="I48" s="588" t="e">
        <f ca="1">-OFFSET('VVP2'!$G$331,0,(COLUMN()-9)/6)-I11-I17+I16+I18-I30+I28+I24+I32+I35+I40-I45</f>
        <v>#VALUE!</v>
      </c>
      <c r="J48" s="589" t="e">
        <f ca="1">+E48+I48</f>
        <v>#VALUE!</v>
      </c>
      <c r="K48" s="588">
        <f ca="1">+K39+K40-K45-K46-K47</f>
        <v>-0.83070000000000133</v>
      </c>
      <c r="L48" s="588">
        <f ca="1">+L39+L40-L45-L46-L47</f>
        <v>-0.36486999999999992</v>
      </c>
      <c r="M48" s="588">
        <f ca="1">+M39+M40-M45-M46-M47</f>
        <v>-0.1501800000000007</v>
      </c>
      <c r="N48" s="588">
        <f ca="1">+N39+N40-N45-N46-N47</f>
        <v>-0.3156500000000006</v>
      </c>
      <c r="O48" s="588" t="e">
        <f ca="1">-OFFSET('VVP2'!$G$331,0,(COLUMN()-9)/6)-O11-O17+O16+O18-O30+O28+O24+O32+O35+O40-O45</f>
        <v>#VALUE!</v>
      </c>
      <c r="P48" s="589" t="e">
        <f ca="1">+K48+O48</f>
        <v>#VALUE!</v>
      </c>
      <c r="Q48" s="588">
        <f ca="1">+Q39+Q40-Q45-Q46-Q47</f>
        <v>-1.1320999999999992</v>
      </c>
      <c r="R48" s="588">
        <f ca="1">+R39+R40-R45-R46-R47</f>
        <v>1.2108700000000001</v>
      </c>
      <c r="S48" s="588">
        <f ca="1">+S39+S40-S45-S46-S47</f>
        <v>-0.96494999999999909</v>
      </c>
      <c r="T48" s="588">
        <f ca="1">+T39+T40-T45-T46-T47</f>
        <v>-1.3780100000000002</v>
      </c>
      <c r="U48" s="588" t="e">
        <f ca="1">-OFFSET('VVP2'!$G$331,0,(COLUMN()-9)/6)-U11-U17+U16+U18-U30+U28+U24+U32+U35+U40-U45</f>
        <v>#VALUE!</v>
      </c>
      <c r="V48" s="589" t="e">
        <f ca="1">+Q48+U48</f>
        <v>#VALUE!</v>
      </c>
      <c r="W48" s="588">
        <f ca="1">+W39+W40-W45-W46-W47</f>
        <v>-1.5058200000000037</v>
      </c>
      <c r="X48" s="588">
        <f ca="1">+X39+X40-X45-X46-X47</f>
        <v>5.0399999999997128E-2</v>
      </c>
      <c r="Y48" s="588">
        <f ca="1">+Y39+Y40-Y45-Y46-Y47</f>
        <v>-1.1613400000000003</v>
      </c>
      <c r="Z48" s="588">
        <f ca="1">+Z39+Z40-Z45-Z46-Z47</f>
        <v>-0.39488000000000023</v>
      </c>
      <c r="AA48" s="588" t="e">
        <f ca="1">-OFFSET('VVP2'!$G$331,0,(COLUMN()-9)/6)-AA11-AA17+AA16+AA18-AA30+AA28+AA24+AA32+AA35+AA40-AA45</f>
        <v>#VALUE!</v>
      </c>
      <c r="AB48" s="589" t="e">
        <f ca="1">+W48+AA48</f>
        <v>#VALUE!</v>
      </c>
      <c r="AC48" s="588">
        <f ca="1">+AC39+AC40-AC45-AC46-AC47</f>
        <v>-1.3620200000000009</v>
      </c>
      <c r="AD48" s="588">
        <f ca="1">+AD39+AD40-AD45-AD46-AD47</f>
        <v>1.9470000000000091E-2</v>
      </c>
      <c r="AE48" s="588">
        <f ca="1">+AE39+AE40-AE45-AE46-AE47</f>
        <v>-1.02275</v>
      </c>
      <c r="AF48" s="588">
        <f ca="1">+AF39+AF40-AF45-AF46-AF47</f>
        <v>-0.35873000000000033</v>
      </c>
      <c r="AG48" s="588" t="e">
        <f ca="1">-OFFSET('VVP2'!$G$331,0,(COLUMN()-9)/6)-AG11-AG17+AG16+AG18-AG30+AG28+AG24+AG32+AG35+AG40-AG45</f>
        <v>#VALUE!</v>
      </c>
      <c r="AH48" s="589" t="e">
        <f ca="1">+AC48+AG48</f>
        <v>#VALUE!</v>
      </c>
      <c r="AI48" s="588">
        <f ca="1">+AI39+AI40-AI45-AI46-AI47</f>
        <v>-0.77946999999999989</v>
      </c>
      <c r="AJ48" s="588">
        <f ca="1">+AJ39+AJ40-AJ45-AJ46-AJ47</f>
        <v>0.28123999999999916</v>
      </c>
      <c r="AK48" s="588">
        <f ca="1">+AK39+AK40-AK45-AK46-AK47</f>
        <v>-0.63495999999999908</v>
      </c>
      <c r="AL48" s="588">
        <f ca="1">+AL39+AL40-AL45-AL46-AL47</f>
        <v>-0.42574999999999957</v>
      </c>
      <c r="AM48" s="588" t="e">
        <f ca="1">-OFFSET('VVP2'!$G$331,0,(COLUMN()-9)/6)-AM11-AM17+AM16+AM18-AM30+AM28+AM24+AM32+AM35+AM40-AM45</f>
        <v>#VALUE!</v>
      </c>
      <c r="AN48" s="589" t="e">
        <f ca="1">+AI48+AM48</f>
        <v>#VALUE!</v>
      </c>
      <c r="AO48" s="588">
        <f ca="1">+AO39+AO40-AO45-AO46-AO47</f>
        <v>-0.6717700000000042</v>
      </c>
      <c r="AP48" s="588">
        <f ca="1">+AP39+AP40-AP45-AP46-AP47</f>
        <v>3.4729999999996874E-2</v>
      </c>
      <c r="AQ48" s="588">
        <f ca="1">+AQ39+AQ40-AQ45-AQ46-AQ47</f>
        <v>-0.20589999999999992</v>
      </c>
      <c r="AR48" s="588">
        <f ca="1">+AR39+AR40-AR45-AR46-AR47</f>
        <v>-0.50060000000000027</v>
      </c>
      <c r="AS48" s="588" t="e">
        <f ca="1">-OFFSET('VVP2'!$G$331,0,(COLUMN()-9)/6)-AS11-AS17+AS16+AS18-AS30+AS28+AS24+AS32+AS35+AS40-AS45</f>
        <v>#VALUE!</v>
      </c>
      <c r="AT48" s="589" t="e">
        <f ca="1">+AO48+AS48</f>
        <v>#VALUE!</v>
      </c>
      <c r="AU48" s="588">
        <f ca="1">+AU39+AU40-AU45-AU46-AU47</f>
        <v>-0.73160999999999687</v>
      </c>
      <c r="AV48" s="588">
        <f ca="1">+AV39+AV40-AV45-AV46-AV47</f>
        <v>-5.0589999999998712E-2</v>
      </c>
      <c r="AW48" s="588">
        <f ca="1">+AW39+AW40-AW45-AW46-AW47</f>
        <v>-0.39899999999999836</v>
      </c>
      <c r="AX48" s="588">
        <f ca="1">+AX39+AX40-AX45-AX46-AX47</f>
        <v>-0.2820299999999995</v>
      </c>
      <c r="AY48" s="588" t="e">
        <f ca="1">-OFFSET('VVP2'!$G$331,0,(COLUMN()-9)/6)-AY11-AY17+AY16+AY18-AY30+AY28+AY24+AY32+AY35+AY40-AY45</f>
        <v>#VALUE!</v>
      </c>
      <c r="AZ48" s="589" t="e">
        <f ca="1">+AU48+AY48</f>
        <v>#VALUE!</v>
      </c>
      <c r="BA48" s="588">
        <f ca="1">+BA39+BA40-BA45-BA46-BA47</f>
        <v>-1.0705099999999972</v>
      </c>
      <c r="BB48" s="588">
        <f ca="1">+BB39+BB40-BB45-BB46-BB47</f>
        <v>-0.43792999999999954</v>
      </c>
      <c r="BC48" s="588">
        <f ca="1">+BC39+BC40-BC45-BC46-BC47</f>
        <v>-0.42183999999999744</v>
      </c>
      <c r="BD48" s="588">
        <f ca="1">+BD39+BD40-BD45-BD46-BD47</f>
        <v>-0.21074999999999949</v>
      </c>
      <c r="BE48" s="588" t="e">
        <f ca="1">-OFFSET('VVP2'!$G$331,0,(COLUMN()-9)/6)-BE11-BE17+BE16+BE18-BE30+BE28+BE24+BE32+BE35+BE40-BE45</f>
        <v>#VALUE!</v>
      </c>
      <c r="BF48" s="589" t="e">
        <f ca="1">+BA48+BE48</f>
        <v>#VALUE!</v>
      </c>
      <c r="BG48" s="588">
        <f ca="1">+BG39+BG40-BG45-BG46-BG47</f>
        <v>-1.2194300000000029</v>
      </c>
      <c r="BH48" s="588">
        <f ca="1">+BH39+BH40-BH45-BH46-BH47</f>
        <v>0.32683999999999797</v>
      </c>
      <c r="BI48" s="588">
        <f ca="1">+BI39+BI40-BI45-BI46-BI47</f>
        <v>-1.2923500000000006</v>
      </c>
      <c r="BJ48" s="588">
        <f ca="1">+BJ39+BJ40-BJ45-BJ46-BJ47</f>
        <v>-0.25391999999999987</v>
      </c>
      <c r="BK48" s="588" t="e">
        <f ca="1">-OFFSET('VVP2'!$G$331,0,(COLUMN()-9)/6)-BK11-BK17+BK16+BK18-BK30+BK28+BK24+BK32+BK35+BK40-BK45</f>
        <v>#VALUE!</v>
      </c>
      <c r="BL48" s="589" t="e">
        <f ca="1">+BG48+BK48</f>
        <v>#VALUE!</v>
      </c>
      <c r="BM48" s="588">
        <f ca="1">+BM39+BM40-BM45-BM46-BM47</f>
        <v>-1.2751400000000026</v>
      </c>
      <c r="BN48" s="588">
        <f ca="1">+BN39+BN40-BN45-BN46-BN47</f>
        <v>-5.5100000000032831E-3</v>
      </c>
      <c r="BO48" s="588">
        <f ca="1">+BO39+BO40-BO45-BO46-BO47</f>
        <v>-1.1975599999999984</v>
      </c>
      <c r="BP48" s="588">
        <f ca="1">+BP39+BP40-BP45-BP46-BP47</f>
        <v>-7.2070000000000661E-2</v>
      </c>
      <c r="BQ48" s="588" t="e">
        <f ca="1">-OFFSET('VVP2'!$G$331,0,(COLUMN()-9)/6)-BQ11-BQ17+BQ16+BQ18-BQ30+BQ28+BQ24+BQ32+BQ35+BQ40-BQ45</f>
        <v>#VALUE!</v>
      </c>
      <c r="BR48" s="589" t="e">
        <f ca="1">+BM48+BQ48</f>
        <v>#VALUE!</v>
      </c>
      <c r="BS48" s="588">
        <f ca="1">+BS39+BS40-BS45-BS46-BS47</f>
        <v>-2.0981200000000064</v>
      </c>
      <c r="BT48" s="588">
        <f ca="1">+BT39+BT40-BT45-BT46-BT47</f>
        <v>0.2616399999999976</v>
      </c>
      <c r="BU48" s="588">
        <f ca="1">+BU39+BU40-BU45-BU46-BU47</f>
        <v>-2.2942400000000021</v>
      </c>
      <c r="BV48" s="588">
        <f ca="1">+BV39+BV40-BV45-BV46-BV47</f>
        <v>-6.5520000000002132E-2</v>
      </c>
      <c r="BW48" s="588" t="e">
        <f ca="1">-OFFSET('VVP2'!$G$331,0,(COLUMN()-9)/6)-BW11-BW17+BW16+BW18-BW30+BW28+BW24+BW32+BW35+BW40-BW45</f>
        <v>#VALUE!</v>
      </c>
      <c r="BX48" s="589" t="e">
        <f ca="1">+BS48+BW48</f>
        <v>#VALUE!</v>
      </c>
      <c r="BY48" s="588">
        <f ca="1">+BY39+BY40-BY45-BY46-BY47</f>
        <v>-3.721549999999993</v>
      </c>
      <c r="BZ48" s="588">
        <f ca="1">+BZ39+BZ40-BZ45-BZ46-BZ47</f>
        <v>-1.2824399999999945</v>
      </c>
      <c r="CA48" s="588">
        <f ca="1">+CA39+CA40-CA45-CA46-CA47</f>
        <v>-2.2023699999999979</v>
      </c>
      <c r="CB48" s="588">
        <f ca="1">+CB39+CB40-CB45-CB46-CB47</f>
        <v>-0.23676000000000105</v>
      </c>
      <c r="CC48" s="588" t="e">
        <f ca="1">-OFFSET('VVP2'!$G$331,0,(COLUMN()-9)/6)-CC11-CC17+CC16+CC18-CC30+CC28+CC24+CC32+CC35+CC40-CC45</f>
        <v>#VALUE!</v>
      </c>
      <c r="CD48" s="589" t="e">
        <f ca="1">+BY48+CC48</f>
        <v>#VALUE!</v>
      </c>
      <c r="CE48" s="588">
        <f ca="1">+CE39+CE40-CE45-CE46-CE47</f>
        <v>-3.6831199999999931</v>
      </c>
      <c r="CF48" s="588">
        <f ca="1">+CF39+CF40-CF45-CF46-CF47</f>
        <v>-1.3141399999999963</v>
      </c>
      <c r="CG48" s="588">
        <f ca="1">+CG39+CG40-CG45-CG46-CG47</f>
        <v>-1.3609699999999987</v>
      </c>
      <c r="CH48" s="588">
        <f ca="1">+CH39+CH40-CH45-CH46-CH47</f>
        <v>-1.0080199999999966</v>
      </c>
      <c r="CI48" s="588">
        <f ca="1">-OFFSET('VVP2'!$G$331,0,(COLUMN()-9)/6)-CI11-CI17+CI16+CI18-CI30+CI28+CI24+CI32+CI35+CI40-CI45</f>
        <v>3.7383499999999996</v>
      </c>
      <c r="CJ48" s="589">
        <f ca="1">+CE48+CI48</f>
        <v>5.5230000000006552E-2</v>
      </c>
      <c r="CK48" s="588">
        <f ca="1">+CK39+CK40-CK45-CK46-CK47</f>
        <v>1.7330200000000024</v>
      </c>
      <c r="CL48" s="588">
        <f ca="1">+CL39+CL40-CL45-CL46-CL47</f>
        <v>9.5600000000004182E-2</v>
      </c>
      <c r="CM48" s="588">
        <f ca="1">+CM39+CM40-CM45-CM46-CM47</f>
        <v>4.0900099999999995</v>
      </c>
      <c r="CN48" s="588">
        <f ca="1">+CN39+CN40-CN45-CN46-CN47</f>
        <v>-2.4526000000000008</v>
      </c>
      <c r="CO48" s="588">
        <f ca="1">-OFFSET('VVP2'!$G$331,0,(COLUMN()-9)/6)-CO11-CO17+CO16+CO18-CO30+CO28+CO24+CO32+CO35+CO40-CO45</f>
        <v>-1.6806699999999997</v>
      </c>
      <c r="CP48" s="589">
        <f ca="1">+CK48+CO48</f>
        <v>5.2350000000002783E-2</v>
      </c>
      <c r="CQ48" s="588">
        <f ca="1">+CQ39+CQ40-CQ45-CQ46-CQ47</f>
        <v>0.96924999999999073</v>
      </c>
      <c r="CR48" s="588">
        <f ca="1">+CR39+CR40-CR45-CR46-CR47</f>
        <v>0.62328999999999546</v>
      </c>
      <c r="CS48" s="588">
        <f ca="1">+CS39+CS40-CS45-CS46-CS47</f>
        <v>2.2800599999999958</v>
      </c>
      <c r="CT48" s="588">
        <f ca="1">+CT39+CT40-CT45-CT46-CT47</f>
        <v>-1.9340999999999997</v>
      </c>
      <c r="CU48" s="588">
        <f ca="1">-OFFSET('VVP2'!$G$331,0,(COLUMN()-9)/6)-CU11-CU17+CU16+CU18-CU30+CU28+CU24+CU32+CU35+CU40-CU45</f>
        <v>-0.89258000000000104</v>
      </c>
      <c r="CV48" s="589">
        <f ca="1">+CQ48+CU48</f>
        <v>7.6669999999989691E-2</v>
      </c>
      <c r="CW48" s="588">
        <f ca="1">+CW39+CW40-CW45-CW46-CW47</f>
        <v>-0.19374999999999276</v>
      </c>
      <c r="CX48" s="588">
        <f ca="1">+CX39+CX40-CX45-CX46-CX47</f>
        <v>1.0828300000000008</v>
      </c>
      <c r="CY48" s="588">
        <f ca="1">+CY39+CY40-CY45-CY46-CY47</f>
        <v>1.5193500000000029</v>
      </c>
      <c r="CZ48" s="588">
        <f ca="1">+CZ39+CZ40-CZ45-CZ46-CZ47</f>
        <v>-2.7959299999999967</v>
      </c>
      <c r="DA48" s="588">
        <f ca="1">-OFFSET('VVP2'!$G$331,0,(COLUMN()-9)/6)-DA11-DA17+DA16+DA18-DA30+DA28+DA24+DA32+DA35+DA40-DA45</f>
        <v>0.26085000000000047</v>
      </c>
      <c r="DB48" s="589">
        <f ca="1">+CW48+DA48</f>
        <v>6.7100000000007709E-2</v>
      </c>
      <c r="DC48" s="588">
        <f ca="1">+DC39+DC40-DC45-DC46-DC47</f>
        <v>0.64832999999999841</v>
      </c>
      <c r="DD48" s="588">
        <f ca="1">+DD39+DD40-DD45-DD46-DD47</f>
        <v>-0.63365000000000116</v>
      </c>
      <c r="DE48" s="588">
        <f ca="1">+DE39+DE40-DE45-DE46-DE47</f>
        <v>2.3309499999999996</v>
      </c>
      <c r="DF48" s="588">
        <f ca="1">+DF39+DF40-DF45-DF46-DF47</f>
        <v>-1.0489699999999993</v>
      </c>
      <c r="DG48" s="588">
        <f ca="1">-OFFSET('VVP2'!$G$331,0,(COLUMN()-9)/6)-DG11-DG17+DG16+DG18-DG30+DG28+DG24+DG32+DG35+DG40-DG45</f>
        <v>-0.60796000000000083</v>
      </c>
      <c r="DH48" s="589">
        <f ca="1">+DC48+DG48</f>
        <v>4.0369999999997574E-2</v>
      </c>
      <c r="DI48" s="588">
        <f ca="1">+DI39+DI40-DI45-DI46-DI47</f>
        <v>1.5867600000000031</v>
      </c>
      <c r="DJ48" s="588">
        <f ca="1">+DJ39+DJ40-DJ45-DJ46-DJ47</f>
        <v>-0.75928999999999569</v>
      </c>
      <c r="DK48" s="588">
        <f ca="1">+DK39+DK40-DK45-DK46-DK47</f>
        <v>3.2584699999999973</v>
      </c>
      <c r="DL48" s="588">
        <f ca="1">+DL39+DL40-DL45-DL46-DL47</f>
        <v>-0.91240999999999806</v>
      </c>
      <c r="DM48" s="588">
        <f ca="1">-OFFSET('VVP2'!$G$331,0,(COLUMN()-9)/6)-DM11-DM17+DM16+DM18-DM30+DM28+DM24+DM32+DM35+DM40-DM45</f>
        <v>-1.5430999999999986</v>
      </c>
      <c r="DN48" s="589">
        <f ca="1">+DI48+DM48</f>
        <v>4.3660000000004473E-2</v>
      </c>
      <c r="DO48" s="588">
        <f ca="1">+DO39+DO40-DO45-DO46-DO47</f>
        <v>2.4306100000000042</v>
      </c>
      <c r="DP48" s="588">
        <f ca="1">+DP39+DP40-DP45-DP46-DP47</f>
        <v>-0.99271999999999616</v>
      </c>
      <c r="DQ48" s="588">
        <f ca="1">+DQ39+DQ40-DQ45-DQ46-DQ47</f>
        <v>3.6490899999999997</v>
      </c>
      <c r="DR48" s="588">
        <f ca="1">+DR39+DR40-DR45-DR46-DR47</f>
        <v>-0.22576000000000046</v>
      </c>
      <c r="DS48" s="588">
        <f ca="1">-OFFSET('VVP2'!$G$331,0,(COLUMN()-9)/6)-DS11-DS17+DS16+DS18-DS30+DS28+DS24+DS32+DS35+DS40-DS45</f>
        <v>-2.3972500000000014</v>
      </c>
      <c r="DT48" s="589">
        <f ca="1">+DO48+DS48</f>
        <v>3.3360000000002721E-2</v>
      </c>
      <c r="DU48" s="588">
        <f ca="1">+DU39+DU40-DU45-DU46-DU47</f>
        <v>0.35985000000000517</v>
      </c>
      <c r="DV48" s="588">
        <f ca="1">+DV39+DV40-DV45-DV46-DV47</f>
        <v>-1.4375999999999978</v>
      </c>
      <c r="DW48" s="588">
        <f ca="1">+DW39+DW40-DW45-DW46-DW47</f>
        <v>1.889060000000002</v>
      </c>
      <c r="DX48" s="588">
        <f ca="1">+DX39+DX40-DX45-DX46-DX47</f>
        <v>-9.1609999999999428E-2</v>
      </c>
      <c r="DY48" s="588">
        <f ca="1">-OFFSET('VVP2'!$G$331,0,(COLUMN()-9)/6)-DY11-DY17+DY16+DY18-DY30+DY28+DY24+DY32+DY35+DY40-DY45</f>
        <v>-0.32976999999999856</v>
      </c>
      <c r="DZ48" s="589">
        <f ca="1">+DU48+DY48</f>
        <v>3.0080000000006601E-2</v>
      </c>
      <c r="EA48" s="588">
        <f ca="1">+EA39+EA40-EA45-EA46-EA47</f>
        <v>0.33296000000000103</v>
      </c>
      <c r="EB48" s="588">
        <f ca="1">+EB39+EB40-EB45-EB46-EB47</f>
        <v>-1.7251599999999991</v>
      </c>
      <c r="EC48" s="588">
        <f ca="1">+EC39+EC40-EC45-EC46-EC47</f>
        <v>1.9551400000000003</v>
      </c>
      <c r="ED48" s="588">
        <f ca="1">+ED39+ED40-ED45-ED46-ED47</f>
        <v>0.10297999999999988</v>
      </c>
      <c r="EE48" s="588">
        <f ca="1">-OFFSET('VVP2'!$G$331,0,(COLUMN()-9)/6)-EE11-EE17+EE16+EE18-EE30+EE28+EE24+EE32+EE35+EE40-EE45</f>
        <v>-0.31369999999999998</v>
      </c>
      <c r="EF48" s="589">
        <f ca="1">+EA48+EE48</f>
        <v>1.9260000000001054E-2</v>
      </c>
      <c r="EG48" s="588">
        <f ca="1">+EG39+EG40-EG45-EG46-EG47</f>
        <v>0.63673680799999599</v>
      </c>
      <c r="EH48" s="588">
        <f ca="1">+EH39+EH40-EH45-EH46-EH47</f>
        <v>-2.0415153647806354</v>
      </c>
      <c r="EI48" s="588">
        <f ca="1">+EI39+EI40-EI45-EI46-EI47</f>
        <v>2.3431331208203314</v>
      </c>
      <c r="EJ48" s="588">
        <f ca="1">+EJ39+EJ40-EJ45-EJ46-EJ47</f>
        <v>0.33510809708063016</v>
      </c>
      <c r="EK48" s="588">
        <f ca="1">-OFFSET('VVP2'!$G$331,0,(COLUMN()-9)/6)-EK11-EK17+EK16+EK18-EK30+EK28+EK24+EK32+EK35+EK40-EK45</f>
        <v>-0.56568680799999504</v>
      </c>
      <c r="EL48" s="589">
        <f ca="1">+EG48+EK48</f>
        <v>7.1050000000000946E-2</v>
      </c>
      <c r="EM48" s="588">
        <f ca="1">+EM39+EM40-EM45-EM46-EM47</f>
        <v>0.31335475419928316</v>
      </c>
      <c r="EN48" s="588">
        <f ca="1">+EN39+EN40-EN45-EN46-EN47</f>
        <v>-2.2558582550281958</v>
      </c>
      <c r="EO48" s="588">
        <f ca="1">+EO39+EO40-EO45-EO46-EO47</f>
        <v>2.2681252850970415</v>
      </c>
      <c r="EP48" s="588">
        <f ca="1">+EP39+EP40-EP45-EP46-EP47</f>
        <v>0.30107552186732556</v>
      </c>
      <c r="EQ48" s="588">
        <f ca="1">-OFFSET('VVP2'!$G$331,0,(COLUMN()-9)/6)-EQ11-EQ17+EQ16+EQ18-EQ30+EQ28+EQ24+EQ32+EQ35+EQ40-EQ45</f>
        <v>-0.32033206199999326</v>
      </c>
      <c r="ER48" s="3733">
        <f ca="1">+EM48+EQ48</f>
        <v>-6.9773078007100975E-3</v>
      </c>
      <c r="ES48" s="588">
        <f ca="1">+ES39+ES40-ES45-ES46-ES47</f>
        <v>0.23022619894916319</v>
      </c>
      <c r="ET48" s="588">
        <f ca="1">+ET39+ET40-ET45-ET46-ET47</f>
        <v>-2.4590650866566444</v>
      </c>
      <c r="EU48" s="588">
        <f ca="1">+EU39+EU40-EU45-EU46-EU47</f>
        <v>2.408348896171324</v>
      </c>
      <c r="EV48" s="588">
        <f ca="1">+EV39+EV40-EV45-EV46-EV47</f>
        <v>0.28092927478639296</v>
      </c>
      <c r="EW48" s="588">
        <f ca="1">-OFFSET('VVP2'!$G$331,0,(COLUMN()-9)/6)-EW11-EW17+EW16+EW18-EW30+EW28+EW24+EW32+EW35+EW40-EW45</f>
        <v>-0.23766613259460795</v>
      </c>
      <c r="EX48" s="589">
        <f ca="1">+ES48+EW48</f>
        <v>-7.4399336454447629E-3</v>
      </c>
    </row>
    <row r="49" spans="1:154" ht="12.75" customHeight="1">
      <c r="A49" s="590"/>
      <c r="B49" s="3465"/>
      <c r="C49" s="3779" t="s">
        <v>379</v>
      </c>
      <c r="D49" s="3780"/>
      <c r="E49" s="3466"/>
      <c r="F49" s="3467">
        <f ca="1">+F48/E5</f>
        <v>-2.8999823556609305E-2</v>
      </c>
      <c r="G49" s="3467">
        <f ca="1">+G48/E5</f>
        <v>-5.3011579580476802E-2</v>
      </c>
      <c r="H49" s="3467">
        <f ca="1">+H48/E5</f>
        <v>-1.5469062518916199E-2</v>
      </c>
      <c r="I49" s="3467" t="e">
        <f ca="1">+I48/E5</f>
        <v>#VALUE!</v>
      </c>
      <c r="J49" s="592"/>
      <c r="K49" s="3466"/>
      <c r="L49" s="3467">
        <f ca="1">+L48/K5</f>
        <v>-3.7560671803503129E-2</v>
      </c>
      <c r="M49" s="3467">
        <f ca="1">+M48/K5</f>
        <v>-1.5459921866555561E-2</v>
      </c>
      <c r="N49" s="3467">
        <f ca="1">+N48/K5</f>
        <v>-3.2493836310948522E-2</v>
      </c>
      <c r="O49" s="3467" t="e">
        <f ca="1">+O48/K5</f>
        <v>#VALUE!</v>
      </c>
      <c r="P49" s="592"/>
      <c r="Q49" s="3466"/>
      <c r="R49" s="3467">
        <f ca="1">+R48/Q5</f>
        <v>0.10327830820327627</v>
      </c>
      <c r="S49" s="3467">
        <f ca="1">+S48/Q5</f>
        <v>-8.2303140304699374E-2</v>
      </c>
      <c r="T49" s="3467">
        <f ca="1">+T48/Q5</f>
        <v>-0.11753412132367368</v>
      </c>
      <c r="U49" s="3467" t="e">
        <f ca="1">+U48/Q5</f>
        <v>#VALUE!</v>
      </c>
      <c r="V49" s="592"/>
      <c r="W49" s="3466"/>
      <c r="X49" s="3467">
        <f ca="1">+X48/W5</f>
        <v>3.8703851033175594E-3</v>
      </c>
      <c r="Y49" s="3467">
        <f ca="1">+Y48/W5</f>
        <v>-8.9183195156489523E-2</v>
      </c>
      <c r="Z49" s="3467">
        <f ca="1">+Z48/W5</f>
        <v>-3.0324160111073927E-2</v>
      </c>
      <c r="AA49" s="3467" t="e">
        <f ca="1">+AA48/W5</f>
        <v>#VALUE!</v>
      </c>
      <c r="AB49" s="592"/>
      <c r="AC49" s="3466"/>
      <c r="AD49" s="3467">
        <f ca="1">+AD48/AC5</f>
        <v>1.531614023826163E-3</v>
      </c>
      <c r="AE49" s="3467">
        <f ca="1">+AE48/AC5</f>
        <v>-8.0454968817062197E-2</v>
      </c>
      <c r="AF49" s="3467">
        <f ca="1">+AF48/AC5</f>
        <v>-2.8219614728667561E-2</v>
      </c>
      <c r="AG49" s="3467" t="e">
        <f ca="1">+AG48/AC5</f>
        <v>#VALUE!</v>
      </c>
      <c r="AH49" s="592"/>
      <c r="AI49" s="3466"/>
      <c r="AJ49" s="3467">
        <f ca="1">+AJ48/AI5</f>
        <v>2.10380171421988E-2</v>
      </c>
      <c r="AK49" s="3467">
        <f ca="1">+AK48/AI5</f>
        <v>-4.749786433156937E-2</v>
      </c>
      <c r="AL49" s="3467">
        <f ca="1">+AL48/AI5</f>
        <v>-3.1848015212242772E-2</v>
      </c>
      <c r="AM49" s="3467" t="e">
        <f ca="1">+AM48/AI5</f>
        <v>#VALUE!</v>
      </c>
      <c r="AN49" s="592"/>
      <c r="AO49" s="3466"/>
      <c r="AP49" s="3467">
        <f ca="1">+AP48/AO5</f>
        <v>2.446718874607727E-3</v>
      </c>
      <c r="AQ49" s="3467">
        <f ca="1">+AQ48/AO5</f>
        <v>-1.4505597934977717E-2</v>
      </c>
      <c r="AR49" s="3467">
        <f ca="1">+AR48/AO5</f>
        <v>-3.5267131259105647E-2</v>
      </c>
      <c r="AS49" s="3467" t="e">
        <f ca="1">+AS48/AO5</f>
        <v>#VALUE!</v>
      </c>
      <c r="AT49" s="592"/>
      <c r="AU49" s="3466"/>
      <c r="AV49" s="3467">
        <f ca="1">+AV48/AU5</f>
        <v>-3.3278143843937223E-3</v>
      </c>
      <c r="AW49" s="3467">
        <f ca="1">+AW48/AU5</f>
        <v>-2.6246253002038415E-2</v>
      </c>
      <c r="AX49" s="3467">
        <f ca="1">+AX48/AU5</f>
        <v>-1.8551956727230354E-2</v>
      </c>
      <c r="AY49" s="3467" t="e">
        <f ca="1">+AY48/AU5</f>
        <v>#VALUE!</v>
      </c>
      <c r="AZ49" s="592"/>
      <c r="BA49" s="3466"/>
      <c r="BB49" s="3467">
        <f ca="1">+BB48/BA5</f>
        <v>-2.6272941503964344E-2</v>
      </c>
      <c r="BC49" s="3467">
        <f ca="1">+BC48/BA5</f>
        <v>-2.5307646528057594E-2</v>
      </c>
      <c r="BD49" s="3467">
        <f ca="1">+BD48/BA5</f>
        <v>-1.2643624373668115E-2</v>
      </c>
      <c r="BE49" s="3467" t="e">
        <f ca="1">+BE48/BA5</f>
        <v>#VALUE!</v>
      </c>
      <c r="BF49" s="592"/>
      <c r="BG49" s="3466"/>
      <c r="BH49" s="3467">
        <f ca="1">+BH48/BG5</f>
        <v>1.792109978659602E-2</v>
      </c>
      <c r="BI49" s="3467">
        <f ca="1">+BI48/BG5</f>
        <v>-7.0861379602274885E-2</v>
      </c>
      <c r="BJ49" s="3467">
        <f ca="1">+BJ48/BG5</f>
        <v>-1.3922792980701528E-2</v>
      </c>
      <c r="BK49" s="3467" t="e">
        <f ca="1">+BK48/BG5</f>
        <v>#VALUE!</v>
      </c>
      <c r="BL49" s="592"/>
      <c r="BM49" s="3466"/>
      <c r="BN49" s="3467">
        <f ca="1">+BN48/BM5</f>
        <v>-2.6235159398844813E-4</v>
      </c>
      <c r="BO49" s="3467">
        <f ca="1">+BO48/BM5</f>
        <v>-5.7020285825157585E-2</v>
      </c>
      <c r="BP49" s="3467">
        <f ca="1">+BP48/BM5</f>
        <v>-3.4315207583913545E-3</v>
      </c>
      <c r="BQ49" s="3467" t="e">
        <f ca="1">+BQ48/BM5</f>
        <v>#VALUE!</v>
      </c>
      <c r="BR49" s="592"/>
      <c r="BS49" s="3466"/>
      <c r="BT49" s="3467">
        <f ca="1">+BT48/BS5</f>
        <v>1.0865818520398019E-2</v>
      </c>
      <c r="BU49" s="3467">
        <f ca="1">+BU48/BS5</f>
        <v>-9.527899205869976E-2</v>
      </c>
      <c r="BV49" s="3467">
        <f ca="1">+BV48/BS5</f>
        <v>-2.7210228919756457E-3</v>
      </c>
      <c r="BW49" s="3467" t="e">
        <f ca="1">+BW48/BS5</f>
        <v>#VALUE!</v>
      </c>
      <c r="BX49" s="592"/>
      <c r="BY49" s="3466"/>
      <c r="BZ49" s="3467">
        <f ca="1">+BZ48/BY5</f>
        <v>-4.4160153384943543E-2</v>
      </c>
      <c r="CA49" s="3467">
        <f ca="1">+CA48/BY5</f>
        <v>-7.5837463749102052E-2</v>
      </c>
      <c r="CB49" s="3467">
        <f ca="1">+CB48/BY5</f>
        <v>-8.1527072731818438E-3</v>
      </c>
      <c r="CC49" s="3467" t="e">
        <f ca="1">+CC48/BY5</f>
        <v>#VALUE!</v>
      </c>
      <c r="CD49" s="592"/>
      <c r="CE49" s="3466"/>
      <c r="CF49" s="3467">
        <f ca="1">+CF48/CE5</f>
        <v>-4.0192339923685393E-2</v>
      </c>
      <c r="CG49" s="3467">
        <f ca="1">+CG48/CE5</f>
        <v>-4.1624612952910811E-2</v>
      </c>
      <c r="CH49" s="3467">
        <f ca="1">+CH48/CE5</f>
        <v>-3.0829806938281558E-2</v>
      </c>
      <c r="CI49" s="3467">
        <f ca="1">+CI48/CE5</f>
        <v>0.11433563695931157</v>
      </c>
      <c r="CJ49" s="592"/>
      <c r="CK49" s="3466"/>
      <c r="CL49" s="3467">
        <f ca="1">+CL48/CK5</f>
        <v>3.5493090356647711E-3</v>
      </c>
      <c r="CM49" s="3467">
        <f ca="1">+CM48/CK5</f>
        <v>0.15184842519831207</v>
      </c>
      <c r="CN49" s="3467">
        <f ca="1">+CN48/CK5</f>
        <v>-9.1056855030031789E-2</v>
      </c>
      <c r="CO49" s="3467">
        <f ca="1">+CO48/CK5</f>
        <v>-6.2397669633582099E-2</v>
      </c>
      <c r="CP49" s="592"/>
      <c r="CQ49" s="3466"/>
      <c r="CR49" s="3467">
        <f ca="1">+CR48/CQ5</f>
        <v>2.2238388791643519E-2</v>
      </c>
      <c r="CS49" s="3467">
        <f ca="1">+CS48/CQ5</f>
        <v>8.135035175965441E-2</v>
      </c>
      <c r="CT49" s="3467">
        <f ca="1">+CT48/CQ5</f>
        <v>-6.9006831108983036E-2</v>
      </c>
      <c r="CU49" s="3467">
        <f ca="1">+CU48/CQ5</f>
        <v>-3.1846397451660291E-2</v>
      </c>
      <c r="CV49" s="592"/>
      <c r="CW49" s="3466"/>
      <c r="CX49" s="3467">
        <f ca="1">+CX48/CW5</f>
        <v>3.4622507459555994E-2</v>
      </c>
      <c r="CY49" s="3467">
        <f ca="1">+CY48/CW5</f>
        <v>4.8579838671514886E-2</v>
      </c>
      <c r="CZ49" s="3467">
        <f ca="1">+CZ48/CW5</f>
        <v>-8.9397326710006372E-2</v>
      </c>
      <c r="DA49" s="3467">
        <f ca="1">+DA48/CW5</f>
        <v>8.3404422400794129E-3</v>
      </c>
      <c r="DB49" s="592"/>
      <c r="DC49" s="3466"/>
      <c r="DD49" s="3467">
        <f ca="1">+DD48/DC5</f>
        <v>-1.9000866006486684E-2</v>
      </c>
      <c r="DE49" s="3467">
        <f ca="1">+DE48/DC5</f>
        <v>6.9896738921833901E-2</v>
      </c>
      <c r="DF49" s="3467">
        <f ca="1">+DF48/DC5</f>
        <v>-3.1454806935728379E-2</v>
      </c>
      <c r="DG49" s="3467">
        <f ca="1">+DG48/DC5</f>
        <v>-1.823051605350531E-2</v>
      </c>
      <c r="DH49" s="592"/>
      <c r="DI49" s="3466"/>
      <c r="DJ49" s="3467">
        <f ca="1">+DJ48/DI5</f>
        <v>-2.1719038949188439E-2</v>
      </c>
      <c r="DK49" s="3467">
        <f ca="1">+DK48/DI5</f>
        <v>9.3206596747965068E-2</v>
      </c>
      <c r="DL49" s="3467">
        <f ca="1">+DL48/DI5</f>
        <v>-2.609894549859618E-2</v>
      </c>
      <c r="DM49" s="3467">
        <f ca="1">+DM48/DI5</f>
        <v>-4.4139457917913891E-2</v>
      </c>
      <c r="DN49" s="592"/>
      <c r="DO49" s="3466"/>
      <c r="DP49" s="3467">
        <f ca="1">+DP48/DO5</f>
        <v>-2.7147024689156727E-2</v>
      </c>
      <c r="DQ49" s="3467">
        <f ca="1">+DQ48/DO5</f>
        <v>9.9788395844704739E-2</v>
      </c>
      <c r="DR49" s="3467">
        <f ca="1">+DR48/DO5</f>
        <v>-6.1736565132404489E-3</v>
      </c>
      <c r="DS49" s="3467">
        <f ca="1">+DS48/DO5</f>
        <v>-6.5555448601903113E-2</v>
      </c>
      <c r="DT49" s="592"/>
      <c r="DU49" s="3466"/>
      <c r="DV49" s="3467">
        <f ca="1">+DV48/DU5</f>
        <v>-3.841117322674957E-2</v>
      </c>
      <c r="DW49" s="3467">
        <f ca="1">+DW48/DU5</f>
        <v>5.047371375606826E-2</v>
      </c>
      <c r="DX49" s="3468">
        <f ca="1">+DX48/DU5</f>
        <v>-2.4477236917797101E-3</v>
      </c>
      <c r="DY49" s="3467">
        <f ca="1">+DY48/DU5</f>
        <v>-8.8111105975133344E-3</v>
      </c>
      <c r="DZ49" s="592"/>
      <c r="EA49" s="3466"/>
      <c r="EB49" s="3467">
        <f ca="1">+EB48/EA5</f>
        <v>-4.461429925065271E-2</v>
      </c>
      <c r="EC49" s="3467">
        <f ca="1">+EC48/EA5</f>
        <v>5.0561803564261397E-2</v>
      </c>
      <c r="ED49" s="3469">
        <f ca="1">+ED48/EA5</f>
        <v>2.6631619889356424E-3</v>
      </c>
      <c r="EE49" s="3467">
        <f ca="1">+EE48/EA5</f>
        <v>-8.1125841515742071E-3</v>
      </c>
      <c r="EF49" s="592"/>
      <c r="EG49" s="3466"/>
      <c r="EH49" s="3467">
        <f ca="1">+EH48/EG5</f>
        <v>-4.886393393805006E-2</v>
      </c>
      <c r="EI49" s="3467">
        <f ca="1">+EI48/EG5</f>
        <v>5.6083193885794927E-2</v>
      </c>
      <c r="EJ49" s="3467">
        <f ca="1">+EJ48/EG5</f>
        <v>8.0208555861704563E-3</v>
      </c>
      <c r="EK49" s="3467">
        <f ca="1">+EK48/EG5</f>
        <v>-1.353978681356058E-2</v>
      </c>
      <c r="EL49" s="592"/>
      <c r="EM49" s="3466"/>
      <c r="EN49" s="3467">
        <f ca="1">+EN48/EM5</f>
        <v>-5.102417413361602E-2</v>
      </c>
      <c r="EO49" s="3467">
        <f ca="1">+EO48/EM5</f>
        <v>5.1301636193539307E-2</v>
      </c>
      <c r="EP49" s="3467">
        <f ca="1">+EP48/EM5</f>
        <v>6.8098825894252505E-3</v>
      </c>
      <c r="EQ49" s="3467">
        <f ca="1">+EQ48/EM5</f>
        <v>-7.245437019651595E-3</v>
      </c>
      <c r="ER49" s="592"/>
      <c r="ES49" s="3466"/>
      <c r="ET49" s="3467">
        <f ca="1">+ET48/ES5</f>
        <v>-5.2683433057192752E-2</v>
      </c>
      <c r="EU49" s="3467">
        <f ca="1">+EU48/ES5</f>
        <v>5.1596880675619988E-2</v>
      </c>
      <c r="EV49" s="3467">
        <f ca="1">+EV48/ES5</f>
        <v>6.0186770664688747E-3</v>
      </c>
      <c r="EW49" s="3467">
        <f ca="1">+EW48/ES5</f>
        <v>-5.0918000724956905E-3</v>
      </c>
      <c r="EX49" s="592"/>
    </row>
    <row r="50" spans="1:154" ht="60" customHeight="1">
      <c r="C50" s="593"/>
      <c r="E50" s="1053"/>
      <c r="F50" s="3436"/>
      <c r="G50" s="599"/>
      <c r="H50" s="1444"/>
      <c r="I50" s="1192"/>
      <c r="J50" s="3436"/>
      <c r="K50" s="3436"/>
      <c r="L50" s="3436"/>
      <c r="M50" s="3436"/>
      <c r="N50" s="3436"/>
      <c r="O50" s="3436"/>
      <c r="P50" s="3436"/>
      <c r="Q50" s="3436"/>
      <c r="R50" s="3436"/>
      <c r="S50" s="3436"/>
      <c r="T50" s="3436"/>
      <c r="U50" s="3436"/>
      <c r="V50" s="3436"/>
      <c r="W50" s="3436"/>
      <c r="X50" s="3436"/>
      <c r="Y50" s="3436"/>
      <c r="Z50" s="3436"/>
      <c r="AA50" s="3436"/>
      <c r="AB50" s="3436"/>
      <c r="AC50" s="3436"/>
      <c r="AD50" s="3436"/>
      <c r="AE50" s="3436"/>
      <c r="AF50" s="3436"/>
      <c r="AG50" s="3436"/>
      <c r="AH50" s="3436"/>
      <c r="AI50" s="3436"/>
      <c r="AJ50" s="3436"/>
      <c r="AK50" s="3436"/>
      <c r="AL50" s="3436"/>
      <c r="AM50" s="3436"/>
      <c r="AN50" s="3436"/>
      <c r="AO50" s="3436"/>
      <c r="AP50" s="3436"/>
      <c r="AQ50" s="3436"/>
      <c r="AR50" s="3436"/>
      <c r="AS50" s="3436"/>
      <c r="AT50" s="3436"/>
      <c r="AU50" s="3436"/>
      <c r="AV50" s="3436"/>
      <c r="AW50" s="3436"/>
      <c r="AX50" s="3436"/>
      <c r="AY50" s="3436"/>
      <c r="AZ50" s="3436"/>
      <c r="BA50" s="3436"/>
      <c r="BB50" s="3436"/>
      <c r="BC50" s="3436"/>
      <c r="BD50" s="3436"/>
      <c r="BE50" s="3436"/>
      <c r="BF50" s="3436"/>
      <c r="BG50" s="3436"/>
      <c r="BH50" s="3436"/>
      <c r="BI50" s="3436"/>
      <c r="BJ50" s="3436"/>
      <c r="BK50" s="3436"/>
      <c r="BL50" s="3436"/>
      <c r="BM50" s="3436"/>
      <c r="BN50" s="1053"/>
      <c r="BO50" s="3436"/>
      <c r="BP50" s="3436"/>
      <c r="BQ50" s="1444"/>
      <c r="BR50" s="3436"/>
      <c r="BS50" s="3436"/>
      <c r="BT50" s="3436"/>
      <c r="BU50" s="3436"/>
      <c r="BV50" s="3436"/>
      <c r="BW50" s="3436"/>
      <c r="BX50" s="1394"/>
      <c r="BY50" s="1053">
        <f ca="1">+BY5-BY36-BY46-BY47</f>
        <v>-3.811529999999999</v>
      </c>
      <c r="BZ50" s="3436"/>
      <c r="CA50" s="3436"/>
      <c r="CB50" s="3436"/>
      <c r="CC50" s="1053">
        <f ca="1">-OFFSET('VVP2'!$G$331,0,(COLUMN()-9)/6)</f>
        <v>3.8115299999999994</v>
      </c>
      <c r="CD50" s="1053">
        <f ca="1">+CC50+BY50</f>
        <v>0</v>
      </c>
      <c r="CE50" s="3436"/>
      <c r="CF50" s="3436"/>
      <c r="CG50" s="3436"/>
      <c r="CH50" s="3436"/>
      <c r="CI50" s="3436"/>
      <c r="CJ50" s="3436"/>
      <c r="CK50" s="3436"/>
      <c r="CL50" s="3436"/>
      <c r="CM50" s="3436"/>
      <c r="CN50" s="3436"/>
      <c r="CO50" s="3436"/>
      <c r="CP50" s="3436"/>
      <c r="CQ50" s="3436"/>
      <c r="CR50" s="3436"/>
      <c r="CS50" s="3436"/>
      <c r="CT50" s="3436"/>
      <c r="CU50" s="3436"/>
      <c r="CV50" s="3436"/>
      <c r="CW50" s="3436"/>
      <c r="CX50" s="3436"/>
      <c r="CY50" s="3436"/>
      <c r="CZ50" s="3436"/>
      <c r="DA50" s="3436"/>
      <c r="DB50" s="3436"/>
      <c r="DC50" s="3436"/>
      <c r="DD50" s="3436"/>
      <c r="DE50" s="3436"/>
      <c r="DF50" s="3436"/>
      <c r="DG50" s="3436"/>
      <c r="DH50" s="3436"/>
      <c r="DI50" s="3436"/>
      <c r="DJ50" s="3436"/>
      <c r="DK50" s="3436"/>
      <c r="DL50" s="3436"/>
      <c r="DM50" s="3436"/>
      <c r="DN50" s="3436"/>
      <c r="DO50" s="3436"/>
      <c r="DP50" s="3436"/>
      <c r="DQ50" s="3436"/>
      <c r="DR50" s="3436"/>
      <c r="DS50" s="3436"/>
      <c r="DT50" s="3436"/>
      <c r="DU50" s="3436"/>
      <c r="DV50" s="3436"/>
      <c r="DW50" s="3436"/>
      <c r="DX50" s="3436"/>
      <c r="DY50" s="3436"/>
      <c r="DZ50" s="3436"/>
      <c r="EA50" s="3436"/>
      <c r="EB50" s="3436"/>
      <c r="EC50" s="3436"/>
      <c r="ED50" s="3436"/>
      <c r="EE50" s="3436"/>
      <c r="EF50" s="3436"/>
      <c r="EG50" s="3436"/>
      <c r="EH50" s="3421"/>
      <c r="EI50" s="3436"/>
      <c r="EJ50" s="3436"/>
      <c r="EK50" s="3436"/>
      <c r="EL50" s="3436"/>
      <c r="EM50" s="3436"/>
      <c r="EN50" s="3436"/>
      <c r="EO50" s="3436"/>
      <c r="EP50" s="3436"/>
      <c r="EQ50" s="3436"/>
      <c r="ER50" s="3436"/>
    </row>
    <row r="51" spans="1:154">
      <c r="C51" s="593"/>
      <c r="E51" s="3777">
        <f ca="1">+E2</f>
        <v>1995</v>
      </c>
      <c r="F51" s="3772"/>
      <c r="G51" s="3772"/>
      <c r="H51" s="3772"/>
      <c r="I51" s="3772"/>
      <c r="J51" s="3773"/>
      <c r="K51" s="3777">
        <f ca="1">+E51+1</f>
        <v>1996</v>
      </c>
      <c r="L51" s="3772"/>
      <c r="M51" s="3772"/>
      <c r="N51" s="3772"/>
      <c r="O51" s="3772"/>
      <c r="P51" s="3773"/>
      <c r="Q51" s="3777">
        <f ca="1">+K51+1</f>
        <v>1997</v>
      </c>
      <c r="R51" s="3772"/>
      <c r="S51" s="3772"/>
      <c r="T51" s="3772"/>
      <c r="U51" s="3772"/>
      <c r="V51" s="3773"/>
      <c r="W51" s="3777">
        <f ca="1">+Q51+1</f>
        <v>1998</v>
      </c>
      <c r="X51" s="3772"/>
      <c r="Y51" s="3772"/>
      <c r="Z51" s="3772"/>
      <c r="AA51" s="3772"/>
      <c r="AB51" s="3773"/>
      <c r="AC51" s="3777">
        <f ca="1">+W51+1</f>
        <v>1999</v>
      </c>
      <c r="AD51" s="3772"/>
      <c r="AE51" s="3772"/>
      <c r="AF51" s="3772"/>
      <c r="AG51" s="3772"/>
      <c r="AH51" s="3773"/>
      <c r="AI51" s="3777">
        <f ca="1">+AC51+1</f>
        <v>2000</v>
      </c>
      <c r="AJ51" s="3772"/>
      <c r="AK51" s="3772"/>
      <c r="AL51" s="3772"/>
      <c r="AM51" s="3772"/>
      <c r="AN51" s="3773"/>
      <c r="AO51" s="3777">
        <f ca="1">+AI51+1</f>
        <v>2001</v>
      </c>
      <c r="AP51" s="3772"/>
      <c r="AQ51" s="3772"/>
      <c r="AR51" s="3772"/>
      <c r="AS51" s="3772"/>
      <c r="AT51" s="3773"/>
      <c r="AU51" s="3777">
        <f ca="1">+AO51+1</f>
        <v>2002</v>
      </c>
      <c r="AV51" s="3772"/>
      <c r="AW51" s="3772"/>
      <c r="AX51" s="3772"/>
      <c r="AY51" s="3772"/>
      <c r="AZ51" s="3773"/>
      <c r="BA51" s="3777">
        <f ca="1">+AU51+1</f>
        <v>2003</v>
      </c>
      <c r="BB51" s="3772"/>
      <c r="BC51" s="3772"/>
      <c r="BD51" s="3772"/>
      <c r="BE51" s="3772"/>
      <c r="BF51" s="3773"/>
      <c r="BG51" s="3777">
        <f ca="1">+BA51+1</f>
        <v>2004</v>
      </c>
      <c r="BH51" s="3772"/>
      <c r="BI51" s="3772"/>
      <c r="BJ51" s="3772"/>
      <c r="BK51" s="3772"/>
      <c r="BL51" s="3773"/>
      <c r="BM51" s="3777">
        <f ca="1">+BG51+1</f>
        <v>2005</v>
      </c>
      <c r="BN51" s="3772"/>
      <c r="BO51" s="3772"/>
      <c r="BP51" s="3772"/>
      <c r="BQ51" s="3772"/>
      <c r="BR51" s="3773"/>
      <c r="BS51" s="3777">
        <f ca="1">+BM51+1</f>
        <v>2006</v>
      </c>
      <c r="BT51" s="3772"/>
      <c r="BU51" s="3772"/>
      <c r="BV51" s="3772"/>
      <c r="BW51" s="3772"/>
      <c r="BX51" s="3773"/>
      <c r="BY51" s="3777">
        <f ca="1">+BS51+1</f>
        <v>2007</v>
      </c>
      <c r="BZ51" s="3772"/>
      <c r="CA51" s="3772"/>
      <c r="CB51" s="3772"/>
      <c r="CC51" s="3772"/>
      <c r="CD51" s="3773"/>
      <c r="CE51" s="3777">
        <f ca="1">+BY51+1</f>
        <v>2008</v>
      </c>
      <c r="CF51" s="3772"/>
      <c r="CG51" s="3772"/>
      <c r="CH51" s="3772"/>
      <c r="CI51" s="3772"/>
      <c r="CJ51" s="3773"/>
      <c r="CK51" s="3777">
        <f ca="1">+CE51+1</f>
        <v>2009</v>
      </c>
      <c r="CL51" s="3772"/>
      <c r="CM51" s="3772"/>
      <c r="CN51" s="3772"/>
      <c r="CO51" s="3772"/>
      <c r="CP51" s="3773"/>
      <c r="CQ51" s="3777">
        <f ca="1">+CK51+1</f>
        <v>2010</v>
      </c>
      <c r="CR51" s="3772"/>
      <c r="CS51" s="3772"/>
      <c r="CT51" s="3772"/>
      <c r="CU51" s="3772"/>
      <c r="CV51" s="3773"/>
      <c r="CW51" s="3777">
        <f ca="1">+CQ51+1</f>
        <v>2011</v>
      </c>
      <c r="CX51" s="3772"/>
      <c r="CY51" s="3772"/>
      <c r="CZ51" s="3772"/>
      <c r="DA51" s="3772"/>
      <c r="DB51" s="3773"/>
      <c r="DC51" s="3777">
        <f ca="1">+CW51+1</f>
        <v>2012</v>
      </c>
      <c r="DD51" s="3772"/>
      <c r="DE51" s="3772"/>
      <c r="DF51" s="3772"/>
      <c r="DG51" s="3772"/>
      <c r="DH51" s="3773"/>
      <c r="DI51" s="3777">
        <f ca="1">+DC51+1</f>
        <v>2013</v>
      </c>
      <c r="DJ51" s="3772"/>
      <c r="DK51" s="3772"/>
      <c r="DL51" s="3772"/>
      <c r="DM51" s="3772"/>
      <c r="DN51" s="3773"/>
      <c r="DO51" s="3777">
        <f ca="1">+DI51+1</f>
        <v>2014</v>
      </c>
      <c r="DP51" s="3772"/>
      <c r="DQ51" s="3772"/>
      <c r="DR51" s="3772"/>
      <c r="DS51" s="3772"/>
      <c r="DT51" s="3773"/>
      <c r="DU51" s="3777">
        <f ca="1">+DO51+1</f>
        <v>2015</v>
      </c>
      <c r="DV51" s="3772"/>
      <c r="DW51" s="3772"/>
      <c r="DX51" s="3772"/>
      <c r="DY51" s="3772"/>
      <c r="DZ51" s="3773"/>
      <c r="EA51" s="3777">
        <f ca="1">+DU51+1</f>
        <v>2016</v>
      </c>
      <c r="EB51" s="3772"/>
      <c r="EC51" s="3772"/>
      <c r="ED51" s="3772"/>
      <c r="EE51" s="3772"/>
      <c r="EF51" s="3773"/>
      <c r="EG51" s="3777">
        <f ca="1">+EA51+1</f>
        <v>2017</v>
      </c>
      <c r="EH51" s="3772"/>
      <c r="EI51" s="3772"/>
      <c r="EJ51" s="3772"/>
      <c r="EK51" s="3772"/>
      <c r="EL51" s="3773"/>
      <c r="EM51" s="3777">
        <f ca="1">+EG51+1</f>
        <v>2018</v>
      </c>
      <c r="EN51" s="3772"/>
      <c r="EO51" s="3772"/>
      <c r="EP51" s="3772"/>
      <c r="EQ51" s="3772"/>
      <c r="ER51" s="3773"/>
      <c r="ES51" s="3777">
        <f ca="1">+EM51+1</f>
        <v>2019</v>
      </c>
      <c r="ET51" s="3772"/>
      <c r="EU51" s="3772"/>
      <c r="EV51" s="3772"/>
      <c r="EW51" s="3772"/>
      <c r="EX51" s="3773"/>
    </row>
    <row r="52" spans="1:154">
      <c r="C52" s="593"/>
      <c r="D52" s="3470" t="s">
        <v>1189</v>
      </c>
      <c r="E52" s="3774"/>
      <c r="F52" s="3775"/>
      <c r="G52" s="3775"/>
      <c r="H52" s="3775"/>
      <c r="I52" s="3775"/>
      <c r="J52" s="3776"/>
      <c r="K52" s="3774"/>
      <c r="L52" s="3775"/>
      <c r="M52" s="3775"/>
      <c r="N52" s="3775"/>
      <c r="O52" s="3775"/>
      <c r="P52" s="3776"/>
      <c r="Q52" s="3774"/>
      <c r="R52" s="3775"/>
      <c r="S52" s="3775"/>
      <c r="T52" s="3775"/>
      <c r="U52" s="3775"/>
      <c r="V52" s="3776"/>
      <c r="W52" s="3774"/>
      <c r="X52" s="3775"/>
      <c r="Y52" s="3775"/>
      <c r="Z52" s="3775"/>
      <c r="AA52" s="3775"/>
      <c r="AB52" s="3776"/>
      <c r="AC52" s="3774"/>
      <c r="AD52" s="3775"/>
      <c r="AE52" s="3775"/>
      <c r="AF52" s="3775"/>
      <c r="AG52" s="3775"/>
      <c r="AH52" s="3776"/>
      <c r="AI52" s="3774"/>
      <c r="AJ52" s="3775"/>
      <c r="AK52" s="3775"/>
      <c r="AL52" s="3775"/>
      <c r="AM52" s="3775"/>
      <c r="AN52" s="3776"/>
      <c r="AO52" s="3774"/>
      <c r="AP52" s="3775"/>
      <c r="AQ52" s="3775"/>
      <c r="AR52" s="3775"/>
      <c r="AS52" s="3775"/>
      <c r="AT52" s="3776"/>
      <c r="AU52" s="3774"/>
      <c r="AV52" s="3775"/>
      <c r="AW52" s="3775"/>
      <c r="AX52" s="3775"/>
      <c r="AY52" s="3775"/>
      <c r="AZ52" s="3776"/>
      <c r="BA52" s="3774"/>
      <c r="BB52" s="3775"/>
      <c r="BC52" s="3775"/>
      <c r="BD52" s="3775"/>
      <c r="BE52" s="3775"/>
      <c r="BF52" s="3776"/>
      <c r="BG52" s="3774"/>
      <c r="BH52" s="3775"/>
      <c r="BI52" s="3775"/>
      <c r="BJ52" s="3775"/>
      <c r="BK52" s="3775"/>
      <c r="BL52" s="3776"/>
      <c r="BM52" s="3774"/>
      <c r="BN52" s="3775"/>
      <c r="BO52" s="3775"/>
      <c r="BP52" s="3775"/>
      <c r="BQ52" s="3775"/>
      <c r="BR52" s="3776"/>
      <c r="BS52" s="3774"/>
      <c r="BT52" s="3775"/>
      <c r="BU52" s="3775"/>
      <c r="BV52" s="3775"/>
      <c r="BW52" s="3775"/>
      <c r="BX52" s="3776"/>
      <c r="BY52" s="3774"/>
      <c r="BZ52" s="3775"/>
      <c r="CA52" s="3775"/>
      <c r="CB52" s="3775"/>
      <c r="CC52" s="3775"/>
      <c r="CD52" s="3776"/>
      <c r="CE52" s="3774"/>
      <c r="CF52" s="3775"/>
      <c r="CG52" s="3775"/>
      <c r="CH52" s="3775"/>
      <c r="CI52" s="3775"/>
      <c r="CJ52" s="3776"/>
      <c r="CK52" s="3774"/>
      <c r="CL52" s="3775"/>
      <c r="CM52" s="3775"/>
      <c r="CN52" s="3775"/>
      <c r="CO52" s="3775"/>
      <c r="CP52" s="3776"/>
      <c r="CQ52" s="3774"/>
      <c r="CR52" s="3775"/>
      <c r="CS52" s="3775"/>
      <c r="CT52" s="3775"/>
      <c r="CU52" s="3775"/>
      <c r="CV52" s="3776"/>
      <c r="CW52" s="3774"/>
      <c r="CX52" s="3775"/>
      <c r="CY52" s="3775"/>
      <c r="CZ52" s="3775"/>
      <c r="DA52" s="3775"/>
      <c r="DB52" s="3776"/>
      <c r="DC52" s="3774"/>
      <c r="DD52" s="3775"/>
      <c r="DE52" s="3775"/>
      <c r="DF52" s="3775"/>
      <c r="DG52" s="3775"/>
      <c r="DH52" s="3776"/>
      <c r="DI52" s="3774"/>
      <c r="DJ52" s="3775"/>
      <c r="DK52" s="3775"/>
      <c r="DL52" s="3775"/>
      <c r="DM52" s="3775"/>
      <c r="DN52" s="3776"/>
      <c r="DO52" s="3774"/>
      <c r="DP52" s="3775"/>
      <c r="DQ52" s="3775"/>
      <c r="DR52" s="3775"/>
      <c r="DS52" s="3775"/>
      <c r="DT52" s="3776"/>
      <c r="DU52" s="3774"/>
      <c r="DV52" s="3775"/>
      <c r="DW52" s="3775"/>
      <c r="DX52" s="3775"/>
      <c r="DY52" s="3775"/>
      <c r="DZ52" s="3776"/>
      <c r="EA52" s="3774"/>
      <c r="EB52" s="3775"/>
      <c r="EC52" s="3775"/>
      <c r="ED52" s="3775"/>
      <c r="EE52" s="3775"/>
      <c r="EF52" s="3776"/>
      <c r="EG52" s="3774"/>
      <c r="EH52" s="3775"/>
      <c r="EI52" s="3775"/>
      <c r="EJ52" s="3775"/>
      <c r="EK52" s="3775"/>
      <c r="EL52" s="3776"/>
      <c r="EM52" s="3774"/>
      <c r="EN52" s="3775"/>
      <c r="EO52" s="3775"/>
      <c r="EP52" s="3775"/>
      <c r="EQ52" s="3775"/>
      <c r="ER52" s="3776"/>
      <c r="ES52" s="3774"/>
      <c r="ET52" s="3775"/>
      <c r="EU52" s="3775"/>
      <c r="EV52" s="3775"/>
      <c r="EW52" s="3775"/>
      <c r="EX52" s="3776"/>
    </row>
    <row r="53" spans="1:154">
      <c r="C53" s="593"/>
      <c r="E53" s="550" t="s">
        <v>684</v>
      </c>
      <c r="F53" s="550" t="s">
        <v>685</v>
      </c>
      <c r="G53" s="550" t="s">
        <v>686</v>
      </c>
      <c r="H53" s="550" t="s">
        <v>687</v>
      </c>
      <c r="I53" s="550" t="s">
        <v>688</v>
      </c>
      <c r="J53" s="550" t="s">
        <v>689</v>
      </c>
      <c r="K53" s="550" t="s">
        <v>684</v>
      </c>
      <c r="L53" s="550" t="s">
        <v>685</v>
      </c>
      <c r="M53" s="550" t="s">
        <v>686</v>
      </c>
      <c r="N53" s="550" t="s">
        <v>687</v>
      </c>
      <c r="O53" s="550" t="s">
        <v>688</v>
      </c>
      <c r="P53" s="550" t="s">
        <v>689</v>
      </c>
      <c r="Q53" s="550" t="s">
        <v>684</v>
      </c>
      <c r="R53" s="550" t="s">
        <v>685</v>
      </c>
      <c r="S53" s="550" t="s">
        <v>686</v>
      </c>
      <c r="T53" s="550" t="s">
        <v>687</v>
      </c>
      <c r="U53" s="550" t="s">
        <v>688</v>
      </c>
      <c r="V53" s="550" t="s">
        <v>689</v>
      </c>
      <c r="W53" s="550" t="s">
        <v>684</v>
      </c>
      <c r="X53" s="550" t="s">
        <v>685</v>
      </c>
      <c r="Y53" s="550" t="s">
        <v>686</v>
      </c>
      <c r="Z53" s="550" t="s">
        <v>687</v>
      </c>
      <c r="AA53" s="550" t="s">
        <v>688</v>
      </c>
      <c r="AB53" s="550" t="s">
        <v>689</v>
      </c>
      <c r="AC53" s="550" t="s">
        <v>684</v>
      </c>
      <c r="AD53" s="550" t="s">
        <v>685</v>
      </c>
      <c r="AE53" s="550" t="s">
        <v>686</v>
      </c>
      <c r="AF53" s="550" t="s">
        <v>687</v>
      </c>
      <c r="AG53" s="550" t="s">
        <v>688</v>
      </c>
      <c r="AH53" s="550" t="s">
        <v>689</v>
      </c>
      <c r="AI53" s="550" t="s">
        <v>684</v>
      </c>
      <c r="AJ53" s="550" t="s">
        <v>685</v>
      </c>
      <c r="AK53" s="550" t="s">
        <v>686</v>
      </c>
      <c r="AL53" s="550" t="s">
        <v>687</v>
      </c>
      <c r="AM53" s="550" t="s">
        <v>688</v>
      </c>
      <c r="AN53" s="550" t="s">
        <v>689</v>
      </c>
      <c r="AO53" s="550" t="s">
        <v>684</v>
      </c>
      <c r="AP53" s="550" t="s">
        <v>685</v>
      </c>
      <c r="AQ53" s="550" t="s">
        <v>686</v>
      </c>
      <c r="AR53" s="550" t="s">
        <v>687</v>
      </c>
      <c r="AS53" s="550" t="s">
        <v>688</v>
      </c>
      <c r="AT53" s="550" t="s">
        <v>689</v>
      </c>
      <c r="AU53" s="550" t="s">
        <v>684</v>
      </c>
      <c r="AV53" s="550" t="s">
        <v>685</v>
      </c>
      <c r="AW53" s="550" t="s">
        <v>686</v>
      </c>
      <c r="AX53" s="550" t="s">
        <v>687</v>
      </c>
      <c r="AY53" s="550" t="s">
        <v>688</v>
      </c>
      <c r="AZ53" s="550" t="s">
        <v>689</v>
      </c>
      <c r="BA53" s="550" t="s">
        <v>684</v>
      </c>
      <c r="BB53" s="550" t="s">
        <v>685</v>
      </c>
      <c r="BC53" s="550" t="s">
        <v>686</v>
      </c>
      <c r="BD53" s="550" t="s">
        <v>687</v>
      </c>
      <c r="BE53" s="550" t="s">
        <v>688</v>
      </c>
      <c r="BF53" s="550" t="s">
        <v>689</v>
      </c>
      <c r="BG53" s="550" t="s">
        <v>684</v>
      </c>
      <c r="BH53" s="550" t="s">
        <v>685</v>
      </c>
      <c r="BI53" s="550" t="s">
        <v>686</v>
      </c>
      <c r="BJ53" s="550" t="s">
        <v>687</v>
      </c>
      <c r="BK53" s="550" t="s">
        <v>688</v>
      </c>
      <c r="BL53" s="550" t="s">
        <v>689</v>
      </c>
      <c r="BM53" s="550" t="s">
        <v>684</v>
      </c>
      <c r="BN53" s="550" t="s">
        <v>685</v>
      </c>
      <c r="BO53" s="550" t="s">
        <v>686</v>
      </c>
      <c r="BP53" s="550" t="s">
        <v>687</v>
      </c>
      <c r="BQ53" s="550" t="s">
        <v>688</v>
      </c>
      <c r="BR53" s="550" t="s">
        <v>689</v>
      </c>
      <c r="BS53" s="550" t="s">
        <v>684</v>
      </c>
      <c r="BT53" s="550" t="s">
        <v>685</v>
      </c>
      <c r="BU53" s="550" t="s">
        <v>686</v>
      </c>
      <c r="BV53" s="550" t="s">
        <v>687</v>
      </c>
      <c r="BW53" s="550" t="s">
        <v>688</v>
      </c>
      <c r="BX53" s="550" t="s">
        <v>689</v>
      </c>
      <c r="BY53" s="550" t="s">
        <v>684</v>
      </c>
      <c r="BZ53" s="550" t="s">
        <v>685</v>
      </c>
      <c r="CA53" s="550" t="s">
        <v>686</v>
      </c>
      <c r="CB53" s="550" t="s">
        <v>687</v>
      </c>
      <c r="CC53" s="550" t="s">
        <v>688</v>
      </c>
      <c r="CD53" s="550" t="s">
        <v>689</v>
      </c>
      <c r="CE53" s="550" t="s">
        <v>684</v>
      </c>
      <c r="CF53" s="550" t="s">
        <v>685</v>
      </c>
      <c r="CG53" s="550" t="s">
        <v>686</v>
      </c>
      <c r="CH53" s="550" t="s">
        <v>687</v>
      </c>
      <c r="CI53" s="550" t="s">
        <v>688</v>
      </c>
      <c r="CJ53" s="550" t="s">
        <v>689</v>
      </c>
      <c r="CK53" s="550" t="s">
        <v>684</v>
      </c>
      <c r="CL53" s="550" t="s">
        <v>685</v>
      </c>
      <c r="CM53" s="550" t="s">
        <v>686</v>
      </c>
      <c r="CN53" s="550" t="s">
        <v>687</v>
      </c>
      <c r="CO53" s="550" t="s">
        <v>688</v>
      </c>
      <c r="CP53" s="550" t="s">
        <v>689</v>
      </c>
      <c r="CQ53" s="550" t="s">
        <v>684</v>
      </c>
      <c r="CR53" s="550" t="s">
        <v>685</v>
      </c>
      <c r="CS53" s="550" t="s">
        <v>686</v>
      </c>
      <c r="CT53" s="550" t="s">
        <v>687</v>
      </c>
      <c r="CU53" s="550" t="s">
        <v>688</v>
      </c>
      <c r="CV53" s="550" t="s">
        <v>689</v>
      </c>
      <c r="CW53" s="550" t="s">
        <v>684</v>
      </c>
      <c r="CX53" s="550" t="s">
        <v>685</v>
      </c>
      <c r="CY53" s="550" t="s">
        <v>686</v>
      </c>
      <c r="CZ53" s="550" t="s">
        <v>687</v>
      </c>
      <c r="DA53" s="550" t="s">
        <v>688</v>
      </c>
      <c r="DB53" s="550" t="s">
        <v>689</v>
      </c>
      <c r="DC53" s="550" t="s">
        <v>684</v>
      </c>
      <c r="DD53" s="550" t="s">
        <v>685</v>
      </c>
      <c r="DE53" s="550" t="s">
        <v>686</v>
      </c>
      <c r="DF53" s="550" t="s">
        <v>687</v>
      </c>
      <c r="DG53" s="550" t="s">
        <v>688</v>
      </c>
      <c r="DH53" s="550" t="s">
        <v>689</v>
      </c>
      <c r="DI53" s="550" t="s">
        <v>684</v>
      </c>
      <c r="DJ53" s="550" t="s">
        <v>685</v>
      </c>
      <c r="DK53" s="550" t="s">
        <v>686</v>
      </c>
      <c r="DL53" s="550" t="s">
        <v>687</v>
      </c>
      <c r="DM53" s="550" t="s">
        <v>688</v>
      </c>
      <c r="DN53" s="550" t="s">
        <v>689</v>
      </c>
      <c r="DO53" s="550" t="s">
        <v>684</v>
      </c>
      <c r="DP53" s="550" t="s">
        <v>685</v>
      </c>
      <c r="DQ53" s="550" t="s">
        <v>686</v>
      </c>
      <c r="DR53" s="550" t="s">
        <v>687</v>
      </c>
      <c r="DS53" s="550" t="s">
        <v>688</v>
      </c>
      <c r="DT53" s="550" t="s">
        <v>689</v>
      </c>
      <c r="DU53" s="550" t="s">
        <v>684</v>
      </c>
      <c r="DV53" s="550" t="s">
        <v>685</v>
      </c>
      <c r="DW53" s="550" t="s">
        <v>686</v>
      </c>
      <c r="DX53" s="550" t="s">
        <v>687</v>
      </c>
      <c r="DY53" s="550" t="s">
        <v>688</v>
      </c>
      <c r="DZ53" s="550" t="s">
        <v>689</v>
      </c>
      <c r="EA53" s="550" t="s">
        <v>684</v>
      </c>
      <c r="EB53" s="550" t="s">
        <v>685</v>
      </c>
      <c r="EC53" s="550" t="s">
        <v>686</v>
      </c>
      <c r="ED53" s="550" t="s">
        <v>687</v>
      </c>
      <c r="EE53" s="550" t="s">
        <v>688</v>
      </c>
      <c r="EF53" s="550" t="s">
        <v>689</v>
      </c>
      <c r="EG53" s="550" t="s">
        <v>684</v>
      </c>
      <c r="EH53" s="550" t="s">
        <v>685</v>
      </c>
      <c r="EI53" s="550" t="s">
        <v>686</v>
      </c>
      <c r="EJ53" s="550" t="s">
        <v>687</v>
      </c>
      <c r="EK53" s="550" t="s">
        <v>688</v>
      </c>
      <c r="EL53" s="550" t="s">
        <v>689</v>
      </c>
      <c r="EM53" s="550" t="s">
        <v>684</v>
      </c>
      <c r="EN53" s="550" t="s">
        <v>685</v>
      </c>
      <c r="EO53" s="550" t="s">
        <v>686</v>
      </c>
      <c r="EP53" s="550" t="s">
        <v>687</v>
      </c>
      <c r="EQ53" s="550" t="s">
        <v>688</v>
      </c>
      <c r="ER53" s="550" t="s">
        <v>689</v>
      </c>
      <c r="ES53" s="550" t="s">
        <v>684</v>
      </c>
      <c r="ET53" s="550" t="s">
        <v>685</v>
      </c>
      <c r="EU53" s="550" t="s">
        <v>686</v>
      </c>
      <c r="EV53" s="550" t="s">
        <v>687</v>
      </c>
      <c r="EW53" s="550" t="s">
        <v>688</v>
      </c>
      <c r="EX53" s="550" t="s">
        <v>689</v>
      </c>
    </row>
    <row r="54" spans="1:154">
      <c r="B54" s="3438"/>
      <c r="C54" s="3787" t="s">
        <v>1765</v>
      </c>
      <c r="D54" s="3788"/>
      <c r="E54" s="3471"/>
      <c r="F54" s="3472"/>
      <c r="G54" s="3472"/>
      <c r="H54" s="3472"/>
      <c r="I54" s="3472"/>
      <c r="J54" s="3441"/>
      <c r="K54" s="3471">
        <f t="shared" ref="K54:O61" ca="1" si="13">IF(K5="","",IF(E5=0,"N",(K5/E5-1)*100))</f>
        <v>25.109311188185245</v>
      </c>
      <c r="L54" s="3472" t="str">
        <f t="shared" si="13"/>
        <v/>
      </c>
      <c r="M54" s="3472" t="str">
        <f t="shared" si="13"/>
        <v/>
      </c>
      <c r="N54" s="3472" t="str">
        <f t="shared" si="13"/>
        <v/>
      </c>
      <c r="O54" s="3472" t="str">
        <f t="shared" si="13"/>
        <v/>
      </c>
      <c r="P54" s="3441"/>
      <c r="Q54" s="3471">
        <f t="shared" ref="Q54:U61" ca="1" si="14">IF(Q5="","",IF(K5=0,"N",(Q5/K5-1)*100))</f>
        <v>20.693421452211467</v>
      </c>
      <c r="R54" s="3472" t="str">
        <f t="shared" si="14"/>
        <v/>
      </c>
      <c r="S54" s="3472" t="str">
        <f t="shared" si="14"/>
        <v/>
      </c>
      <c r="T54" s="3472" t="str">
        <f t="shared" si="14"/>
        <v/>
      </c>
      <c r="U54" s="3472" t="str">
        <f t="shared" si="14"/>
        <v/>
      </c>
      <c r="V54" s="3441"/>
      <c r="W54" s="3471">
        <f t="shared" ref="W54:AA61" ca="1" si="15">IF(W5="","",IF(Q5=0,"N",(W5/Q5-1)*100))</f>
        <v>11.067744538285318</v>
      </c>
      <c r="X54" s="3472" t="str">
        <f t="shared" si="15"/>
        <v/>
      </c>
      <c r="Y54" s="3472" t="str">
        <f t="shared" si="15"/>
        <v/>
      </c>
      <c r="Z54" s="3472" t="str">
        <f t="shared" si="15"/>
        <v/>
      </c>
      <c r="AA54" s="3472" t="str">
        <f t="shared" si="15"/>
        <v/>
      </c>
      <c r="AB54" s="3441"/>
      <c r="AC54" s="3471">
        <f t="shared" ref="AC54:AG61" ca="1" si="16">IF(AC5="","",IF(W5=0,"N",(AC5/W5-1)*100))</f>
        <v>-2.3796724916986367</v>
      </c>
      <c r="AD54" s="3472" t="str">
        <f t="shared" si="16"/>
        <v/>
      </c>
      <c r="AE54" s="3472" t="str">
        <f t="shared" si="16"/>
        <v/>
      </c>
      <c r="AF54" s="3472" t="str">
        <f t="shared" si="16"/>
        <v/>
      </c>
      <c r="AG54" s="3472" t="str">
        <f t="shared" si="16"/>
        <v/>
      </c>
      <c r="AH54" s="3441"/>
      <c r="AI54" s="3471">
        <f t="shared" ref="AI54:AM61" ca="1" si="17">IF(AI5="","",IF(AC5=0,"N",(AI5/AC5-1)*100))</f>
        <v>5.1612324654973785</v>
      </c>
      <c r="AJ54" s="3472" t="str">
        <f t="shared" si="17"/>
        <v/>
      </c>
      <c r="AK54" s="3472" t="str">
        <f t="shared" si="17"/>
        <v/>
      </c>
      <c r="AL54" s="3472" t="str">
        <f t="shared" si="17"/>
        <v/>
      </c>
      <c r="AM54" s="3472" t="str">
        <f t="shared" si="17"/>
        <v/>
      </c>
      <c r="AN54" s="3441"/>
      <c r="AO54" s="3471">
        <f t="shared" ref="AO54:AS61" ca="1" si="18">IF(AO5="","",IF(AI5=0,"N",(AO5/AI5-1)*100))</f>
        <v>6.18139492436518</v>
      </c>
      <c r="AP54" s="3472" t="str">
        <f t="shared" si="18"/>
        <v/>
      </c>
      <c r="AQ54" s="3472" t="str">
        <f t="shared" si="18"/>
        <v/>
      </c>
      <c r="AR54" s="3472" t="str">
        <f t="shared" si="18"/>
        <v/>
      </c>
      <c r="AS54" s="3472" t="str">
        <f t="shared" si="18"/>
        <v/>
      </c>
      <c r="AT54" s="3441"/>
      <c r="AU54" s="3471">
        <f t="shared" ref="AU54:AY61" ca="1" si="19">IF(AU5="","",IF(AO5=0,"N",(AU5/AO5-1)*100))</f>
        <v>7.0988663230598936</v>
      </c>
      <c r="AV54" s="3472" t="str">
        <f t="shared" si="19"/>
        <v/>
      </c>
      <c r="AW54" s="3472" t="str">
        <f t="shared" si="19"/>
        <v/>
      </c>
      <c r="AX54" s="3472" t="str">
        <f t="shared" si="19"/>
        <v/>
      </c>
      <c r="AY54" s="3472" t="str">
        <f t="shared" si="19"/>
        <v/>
      </c>
      <c r="AZ54" s="3441"/>
      <c r="BA54" s="3471">
        <f t="shared" ref="BA54:BE61" ca="1" si="20">IF(BA5="","",IF(AU5=0,"N",(BA5/AU5-1)*100))</f>
        <v>9.645399308125068</v>
      </c>
      <c r="BB54" s="3472" t="str">
        <f t="shared" si="20"/>
        <v/>
      </c>
      <c r="BC54" s="3472" t="str">
        <f t="shared" si="20"/>
        <v/>
      </c>
      <c r="BD54" s="3472" t="str">
        <f t="shared" si="20"/>
        <v/>
      </c>
      <c r="BE54" s="3472" t="str">
        <f t="shared" si="20"/>
        <v/>
      </c>
      <c r="BF54" s="3441"/>
      <c r="BG54" s="3471">
        <f t="shared" ref="BG54:BG66" ca="1" si="21">IF(BG5="","",IF(BA5=0,"N",(BG5/BA5-1)*100))</f>
        <v>9.4144157115705784</v>
      </c>
      <c r="BH54" s="3472" t="str">
        <f t="shared" ref="BH54:BH66" si="22">IF(BH5="","",IF(BB5=0,"N",(BH5/BB5-1)*100))</f>
        <v/>
      </c>
      <c r="BI54" s="3472" t="str">
        <f t="shared" ref="BI54:BI66" si="23">IF(BI5="","",IF(BC5=0,"N",(BI5/BC5-1)*100))</f>
        <v/>
      </c>
      <c r="BJ54" s="3472" t="str">
        <f t="shared" ref="BJ54:BJ66" si="24">IF(BJ5="","",IF(BD5=0,"N",(BJ5/BD5-1)*100))</f>
        <v/>
      </c>
      <c r="BK54" s="3472" t="str">
        <f t="shared" ref="BK54:BK61" si="25">IF(BK5="","",IF(BE5=0,"N",(BK5/BE5-1)*100))</f>
        <v/>
      </c>
      <c r="BL54" s="3441"/>
      <c r="BM54" s="3471">
        <f t="shared" ref="BM54:BQ61" ca="1" si="26">IF(BM5="","",IF(BG5=0,"N",(BM5/BG5-1)*100))</f>
        <v>15.158857576495311</v>
      </c>
      <c r="BN54" s="3472" t="str">
        <f t="shared" si="26"/>
        <v/>
      </c>
      <c r="BO54" s="3472" t="str">
        <f t="shared" si="26"/>
        <v/>
      </c>
      <c r="BP54" s="3472" t="str">
        <f t="shared" si="26"/>
        <v/>
      </c>
      <c r="BQ54" s="3472" t="str">
        <f t="shared" si="26"/>
        <v/>
      </c>
      <c r="BR54" s="3441"/>
      <c r="BS54" s="3471">
        <f t="shared" ref="BS54:BW61" ca="1" si="27">IF(BS5="","",IF(BM5=0,"N",(BS5/BM5-1)*100))</f>
        <v>14.649932031415535</v>
      </c>
      <c r="BT54" s="3472" t="str">
        <f t="shared" si="27"/>
        <v/>
      </c>
      <c r="BU54" s="3472" t="str">
        <f t="shared" si="27"/>
        <v/>
      </c>
      <c r="BV54" s="3472" t="str">
        <f t="shared" si="27"/>
        <v/>
      </c>
      <c r="BW54" s="3472" t="str">
        <f t="shared" si="27"/>
        <v/>
      </c>
      <c r="BX54" s="3441"/>
      <c r="BY54" s="3471">
        <f t="shared" ref="BY54:CC61" ca="1" si="28">IF(BY5="","",IF(BS5=0,"N",(BY5/BS5-1)*100))</f>
        <v>20.604854484247383</v>
      </c>
      <c r="BZ54" s="3472" t="str">
        <f t="shared" si="28"/>
        <v/>
      </c>
      <c r="CA54" s="3472" t="str">
        <f t="shared" si="28"/>
        <v/>
      </c>
      <c r="CB54" s="3472" t="str">
        <f t="shared" si="28"/>
        <v/>
      </c>
      <c r="CC54" s="3472" t="str">
        <f t="shared" si="28"/>
        <v/>
      </c>
      <c r="CD54" s="3441"/>
      <c r="CE54" s="3471">
        <f t="shared" ref="CE54:CE66" ca="1" si="29">IF(CE5="","",IF(BY5=0,"N",(CE5/BY5-1)*100))</f>
        <v>12.587937051017439</v>
      </c>
      <c r="CF54" s="3472" t="str">
        <f t="shared" ref="CF54:CF66" si="30">IF(CF5="","",IF(BZ5=0,"N",(CF5/BZ5-1)*100))</f>
        <v/>
      </c>
      <c r="CG54" s="3472" t="str">
        <f t="shared" ref="CG54:CG66" si="31">IF(CG5="","",IF(CA5=0,"N",(CG5/CA5-1)*100))</f>
        <v/>
      </c>
      <c r="CH54" s="3472" t="str">
        <f t="shared" ref="CH54:CH66" si="32">IF(CH5="","",IF(CB5=0,"N",(CH5/CB5-1)*100))</f>
        <v/>
      </c>
      <c r="CI54" s="3472" t="str">
        <f t="shared" ref="CI54:CI61" si="33">IF(CI5="","",IF(CC5=0,"N",(CI5/CC5-1)*100))</f>
        <v/>
      </c>
      <c r="CJ54" s="3441"/>
      <c r="CK54" s="3471">
        <f t="shared" ref="CK54:CK68" ca="1" si="34">IF(CK5="","",IF(CE5=0,"N",(CK5/CE5-1)*100))</f>
        <v>-17.621148338587766</v>
      </c>
      <c r="CL54" s="3472" t="str">
        <f t="shared" ref="CL54:CL68" si="35">IF(CL5="","",IF(CF5=0,"N",(CL5/CF5-1)*100))</f>
        <v/>
      </c>
      <c r="CM54" s="3472" t="str">
        <f t="shared" ref="CM54:CM68" si="36">IF(CM5="","",IF(CG5=0,"N",(CM5/CG5-1)*100))</f>
        <v/>
      </c>
      <c r="CN54" s="3472" t="str">
        <f t="shared" ref="CN54:CN68" si="37">IF(CN5="","",IF(CH5=0,"N",(CN5/CH5-1)*100))</f>
        <v/>
      </c>
      <c r="CO54" s="3472" t="str">
        <f t="shared" ref="CO54:CO61" si="38">IF(CO5="","",IF(CI5=0,"N",(CO5/CI5-1)*100))</f>
        <v/>
      </c>
      <c r="CP54" s="3441"/>
      <c r="CQ54" s="3471">
        <f t="shared" ref="CQ54:CQ68" ca="1" si="39">IF(CQ5="","",IF(CK5=0,"N",(CQ5/CK5-1)*100))</f>
        <v>4.0573502997235611</v>
      </c>
      <c r="CR54" s="3472" t="str">
        <f t="shared" ref="CR54:CR68" si="40">IF(CR5="","",IF(CL5=0,"N",(CR5/CL5-1)*100))</f>
        <v/>
      </c>
      <c r="CS54" s="3472" t="str">
        <f t="shared" ref="CS54:CS68" si="41">IF(CS5="","",IF(CM5=0,"N",(CS5/CM5-1)*100))</f>
        <v/>
      </c>
      <c r="CT54" s="3472" t="str">
        <f t="shared" ref="CT54:CT93" si="42">IF(CT5="","",IF(CN5=0,"N",(CT5/CN5-1)*100))</f>
        <v/>
      </c>
      <c r="CU54" s="3472" t="str">
        <f t="shared" ref="CU54:CU61" si="43">IF(CU5="","",IF(CO5=0,"N",(CU5/CO5-1)*100))</f>
        <v/>
      </c>
      <c r="CV54" s="3441"/>
      <c r="CW54" s="3471">
        <f t="shared" ref="CW54:CW68" ca="1" si="44">IF(CW5="","",IF(CQ5=0,"N",(CW5/CQ5-1)*100))</f>
        <v>11.587339078610203</v>
      </c>
      <c r="CX54" s="3472" t="str">
        <f t="shared" ref="CX54:CX68" si="45">IF(CX5="","",IF(CR5=0,"N",(CX5/CR5-1)*100))</f>
        <v/>
      </c>
      <c r="CY54" s="3472" t="str">
        <f t="shared" ref="CY54:CY68" si="46">IF(CY5="","",IF(CS5=0,"N",(CY5/CS5-1)*100))</f>
        <v/>
      </c>
      <c r="CZ54" s="3472" t="str">
        <f t="shared" ref="CZ54:CZ93" si="47">IF(CZ5="","",IF(CT5=0,"N",(CZ5/CT5-1)*100))</f>
        <v/>
      </c>
      <c r="DA54" s="3472" t="str">
        <f t="shared" ref="DA54:DA61" si="48">IF(DA5="","",IF(CU5=0,"N",(DA5/CU5-1)*100))</f>
        <v/>
      </c>
      <c r="DB54" s="3441"/>
      <c r="DC54" s="3471">
        <f t="shared" ref="DC54:DC68" ca="1" si="49">IF(DC5="","",IF(CW5=0,"N",(DC5/CW5-1)*100))</f>
        <v>6.6287411287878184</v>
      </c>
      <c r="DD54" s="3472" t="str">
        <f t="shared" ref="DD54:DD68" si="50">IF(DD5="","",IF(CX5=0,"N",(DD5/CX5-1)*100))</f>
        <v/>
      </c>
      <c r="DE54" s="3472" t="str">
        <f t="shared" ref="DE54:DE68" si="51">IF(DE5="","",IF(CY5=0,"N",(DE5/CY5-1)*100))</f>
        <v/>
      </c>
      <c r="DF54" s="3472" t="str">
        <f t="shared" ref="DF54:DF93" si="52">IF(DF5="","",IF(CZ5=0,"N",(DF5/CZ5-1)*100))</f>
        <v/>
      </c>
      <c r="DG54" s="3472" t="str">
        <f t="shared" ref="DG54:DG61" si="53">IF(DG5="","",IF(DA5=0,"N",(DG5/DA5-1)*100))</f>
        <v/>
      </c>
      <c r="DH54" s="3441"/>
      <c r="DI54" s="3471">
        <f t="shared" ref="DI54:DI68" ca="1" si="54">IF(DI5="","",IF(DC5=0,"N",(DI5/DC5-1)*100))</f>
        <v>4.8313146506227644</v>
      </c>
      <c r="DJ54" s="3472" t="str">
        <f t="shared" ref="DJ54:DJ68" si="55">IF(DJ5="","",IF(DD5=0,"N",(DJ5/DD5-1)*100))</f>
        <v/>
      </c>
      <c r="DK54" s="3472" t="str">
        <f t="shared" ref="DK54:DK68" si="56">IF(DK5="","",IF(DE5=0,"N",(DK5/DE5-1)*100))</f>
        <v/>
      </c>
      <c r="DL54" s="3472" t="str">
        <f t="shared" ref="DL54:DL93" si="57">IF(DL5="","",IF(DF5=0,"N",(DL5/DF5-1)*100))</f>
        <v/>
      </c>
      <c r="DM54" s="3472" t="str">
        <f t="shared" ref="DM54:DM61" si="58">IF(DM5="","",IF(DG5=0,"N",(DM5/DG5-1)*100))</f>
        <v/>
      </c>
      <c r="DN54" s="3441"/>
      <c r="DO54" s="3471">
        <f t="shared" ref="DO54:DO68" ca="1" si="59">IF(DO5="","",IF(DI5=0,"N",(DO5/DI5-1)*100))</f>
        <v>4.6013904601447608</v>
      </c>
      <c r="DP54" s="3472" t="str">
        <f t="shared" ref="DP54:DP68" si="60">IF(DP5="","",IF(DJ5=0,"N",(DP5/DJ5-1)*100))</f>
        <v/>
      </c>
      <c r="DQ54" s="3472" t="str">
        <f t="shared" ref="DQ54:DQ68" si="61">IF(DQ5="","",IF(DK5=0,"N",(DQ5/DK5-1)*100))</f>
        <v/>
      </c>
      <c r="DR54" s="3472" t="str">
        <f t="shared" ref="DR54:DR93" si="62">IF(DR5="","",IF(DL5=0,"N",(DR5/DL5-1)*100))</f>
        <v/>
      </c>
      <c r="DS54" s="3472" t="str">
        <f t="shared" ref="DS54:DS61" si="63">IF(DS5="","",IF(DM5=0,"N",(DS5/DM5-1)*100))</f>
        <v/>
      </c>
      <c r="DT54" s="3441"/>
      <c r="DU54" s="3471">
        <f t="shared" ref="DU54:DU68" ca="1" si="64">IF(DU5="","",IF(DO5=0,"N",(DU5/DO5-1)*100))</f>
        <v>2.3471981728427016</v>
      </c>
      <c r="DV54" s="3472" t="str">
        <f t="shared" ref="DV54:DV68" si="65">IF(DV5="","",IF(DP5=0,"N",(DV5/DP5-1)*100))</f>
        <v/>
      </c>
      <c r="DW54" s="3472" t="str">
        <f t="shared" ref="DW54:DW68" si="66">IF(DW5="","",IF(DQ5=0,"N",(DW5/DQ5-1)*100))</f>
        <v/>
      </c>
      <c r="DX54" s="3472" t="str">
        <f t="shared" ref="DX54:DX93" si="67">IF(DX5="","",IF(DR5=0,"N",(DX5/DR5-1)*100))</f>
        <v/>
      </c>
      <c r="DY54" s="3472" t="str">
        <f t="shared" ref="DY54:DY61" si="68">IF(DY5="","",IF(DS5=0,"N",(DY5/DS5-1)*100))</f>
        <v/>
      </c>
      <c r="DZ54" s="3441"/>
      <c r="EA54" s="3471">
        <f t="shared" ref="EA54:EA68" ca="1" si="69">IF(EA5="","",IF(DU5=0,"N",(EA5/DU5-1)*100))</f>
        <v>3.3177196652328211</v>
      </c>
      <c r="EB54" s="3472" t="str">
        <f t="shared" ref="EB54:EB68" si="70">IF(EB5="","",IF(DV5=0,"N",(EB5/DV5-1)*100))</f>
        <v/>
      </c>
      <c r="EC54" s="3472" t="str">
        <f t="shared" ref="EC54:EC68" si="71">IF(EC5="","",IF(DW5=0,"N",(EC5/DW5-1)*100))</f>
        <v/>
      </c>
      <c r="ED54" s="3472" t="str">
        <f t="shared" ref="ED54:ED93" si="72">IF(ED5="","",IF(DX5=0,"N",(ED5/DX5-1)*100))</f>
        <v/>
      </c>
      <c r="EE54" s="3472" t="str">
        <f t="shared" ref="EE54:EE61" si="73">IF(EE5="","",IF(DY5=0,"N",(EE5/DY5-1)*100))</f>
        <v/>
      </c>
      <c r="EF54" s="3441"/>
      <c r="EG54" s="3471">
        <f t="shared" ref="EG54:EG68" ca="1" si="74">IF(EG5="","",IF(EA5=0,"N",(EG5/EA5-1)*100))</f>
        <v>8.0460565455083621</v>
      </c>
      <c r="EH54" s="3472" t="str">
        <f t="shared" ref="EH54:EH68" si="75">IF(EH5="","",IF(EB5=0,"N",(EH5/EB5-1)*100))</f>
        <v/>
      </c>
      <c r="EI54" s="3472" t="str">
        <f t="shared" ref="EI54:EI68" si="76">IF(EI5="","",IF(EC5=0,"N",(EI5/EC5-1)*100))</f>
        <v/>
      </c>
      <c r="EJ54" s="3472" t="str">
        <f t="shared" ref="EJ54:EJ93" si="77">IF(EJ5="","",IF(ED5=0,"N",(EJ5/ED5-1)*100))</f>
        <v/>
      </c>
      <c r="EK54" s="3472" t="str">
        <f t="shared" ref="EK54:EK61" si="78">IF(EK5="","",IF(EE5=0,"N",(EK5/EE5-1)*100))</f>
        <v/>
      </c>
      <c r="EL54" s="3441"/>
      <c r="EM54" s="3471">
        <f t="shared" ref="EM54:EM68" ca="1" si="79">IF(EM5="","",IF(EG5=0,"N",(EM5/EG5-1)*100))</f>
        <v>5.8209360905068452</v>
      </c>
      <c r="EN54" s="3472" t="str">
        <f t="shared" ref="EN54:EN68" si="80">IF(EN5="","",IF(EH5=0,"N",(EN5/EH5-1)*100))</f>
        <v/>
      </c>
      <c r="EO54" s="3472" t="str">
        <f t="shared" ref="EO54:EO68" si="81">IF(EO5="","",IF(EI5=0,"N",(EO5/EI5-1)*100))</f>
        <v/>
      </c>
      <c r="EP54" s="3472" t="str">
        <f t="shared" ref="EP54:EP93" si="82">IF(EP5="","",IF(EJ5=0,"N",(EP5/EJ5-1)*100))</f>
        <v/>
      </c>
      <c r="EQ54" s="3472" t="str">
        <f t="shared" ref="EQ54:EQ61" si="83">IF(EQ5="","",IF(EK5=0,"N",(EQ5/EK5-1)*100))</f>
        <v/>
      </c>
      <c r="ER54" s="3441"/>
      <c r="ES54" s="3471">
        <f t="shared" ref="ES54:ES68" ca="1" si="84">IF(ES5="","",IF(EM5=0,"N",(ES5/EM5-1)*100))</f>
        <v>5.5747672617397104</v>
      </c>
      <c r="ET54" s="3472" t="str">
        <f t="shared" ref="ET54:ET68" si="85">IF(ET5="","",IF(EN5=0,"N",(ET5/EN5-1)*100))</f>
        <v/>
      </c>
      <c r="EU54" s="3472" t="str">
        <f t="shared" ref="EU54:EU68" si="86">IF(EU5="","",IF(EO5=0,"N",(EU5/EO5-1)*100))</f>
        <v/>
      </c>
      <c r="EV54" s="3472" t="str">
        <f t="shared" ref="EV54:EV93" si="87">IF(EV5="","",IF(EP5=0,"N",(EV5/EP5-1)*100))</f>
        <v/>
      </c>
      <c r="EW54" s="3472" t="str">
        <f t="shared" ref="EW54:EW61" si="88">IF(EW5="","",IF(EQ5=0,"N",(EW5/EQ5-1)*100))</f>
        <v/>
      </c>
      <c r="EX54" s="3441"/>
    </row>
    <row r="55" spans="1:154">
      <c r="B55" s="600" t="s">
        <v>401</v>
      </c>
      <c r="C55" s="3781" t="s">
        <v>1902</v>
      </c>
      <c r="D55" s="3782"/>
      <c r="E55" s="3473"/>
      <c r="F55" s="3474"/>
      <c r="G55" s="3474"/>
      <c r="H55" s="3474"/>
      <c r="I55" s="3475"/>
      <c r="J55" s="3441"/>
      <c r="K55" s="3473">
        <f t="shared" ca="1" si="13"/>
        <v>18.891757740334313</v>
      </c>
      <c r="L55" s="3474" t="str">
        <f t="shared" si="13"/>
        <v/>
      </c>
      <c r="M55" s="3474" t="str">
        <f t="shared" si="13"/>
        <v/>
      </c>
      <c r="N55" s="3474" t="str">
        <f t="shared" si="13"/>
        <v/>
      </c>
      <c r="O55" s="3475" t="str">
        <f t="shared" si="13"/>
        <v/>
      </c>
      <c r="P55" s="3441"/>
      <c r="Q55" s="3473">
        <f t="shared" ca="1" si="14"/>
        <v>41.561748214436143</v>
      </c>
      <c r="R55" s="3474" t="str">
        <f t="shared" si="14"/>
        <v/>
      </c>
      <c r="S55" s="3474" t="str">
        <f t="shared" si="14"/>
        <v/>
      </c>
      <c r="T55" s="3474" t="str">
        <f t="shared" si="14"/>
        <v/>
      </c>
      <c r="U55" s="3475" t="str">
        <f t="shared" si="14"/>
        <v/>
      </c>
      <c r="V55" s="3441"/>
      <c r="W55" s="3473">
        <f t="shared" ca="1" si="15"/>
        <v>13.594614789491445</v>
      </c>
      <c r="X55" s="3474" t="str">
        <f t="shared" si="15"/>
        <v/>
      </c>
      <c r="Y55" s="3474" t="str">
        <f t="shared" si="15"/>
        <v/>
      </c>
      <c r="Z55" s="3474" t="str">
        <f t="shared" si="15"/>
        <v/>
      </c>
      <c r="AA55" s="3475" t="str">
        <f t="shared" si="15"/>
        <v/>
      </c>
      <c r="AB55" s="3441"/>
      <c r="AC55" s="3473">
        <f t="shared" ca="1" si="16"/>
        <v>-3.690595385009432</v>
      </c>
      <c r="AD55" s="3474" t="str">
        <f t="shared" si="16"/>
        <v/>
      </c>
      <c r="AE55" s="3474" t="str">
        <f t="shared" si="16"/>
        <v/>
      </c>
      <c r="AF55" s="3474" t="str">
        <f t="shared" si="16"/>
        <v/>
      </c>
      <c r="AG55" s="3475" t="str">
        <f t="shared" si="16"/>
        <v/>
      </c>
      <c r="AH55" s="3441"/>
      <c r="AI55" s="3473">
        <f t="shared" ca="1" si="17"/>
        <v>-3.9329577873410404</v>
      </c>
      <c r="AJ55" s="3474" t="str">
        <f t="shared" si="17"/>
        <v/>
      </c>
      <c r="AK55" s="3474" t="str">
        <f t="shared" si="17"/>
        <v/>
      </c>
      <c r="AL55" s="3474" t="str">
        <f t="shared" si="17"/>
        <v/>
      </c>
      <c r="AM55" s="3475" t="str">
        <f t="shared" si="17"/>
        <v/>
      </c>
      <c r="AN55" s="3441"/>
      <c r="AO55" s="3473">
        <f t="shared" ca="1" si="18"/>
        <v>2.9218389213607532</v>
      </c>
      <c r="AP55" s="3474" t="str">
        <f t="shared" si="18"/>
        <v/>
      </c>
      <c r="AQ55" s="3474" t="str">
        <f t="shared" si="18"/>
        <v/>
      </c>
      <c r="AR55" s="3474" t="str">
        <f t="shared" si="18"/>
        <v/>
      </c>
      <c r="AS55" s="3475" t="str">
        <f t="shared" si="18"/>
        <v/>
      </c>
      <c r="AT55" s="3441"/>
      <c r="AU55" s="3473">
        <f t="shared" ca="1" si="19"/>
        <v>8.8100987254332797</v>
      </c>
      <c r="AV55" s="3474" t="str">
        <f t="shared" si="19"/>
        <v/>
      </c>
      <c r="AW55" s="3474" t="str">
        <f t="shared" si="19"/>
        <v/>
      </c>
      <c r="AX55" s="3474" t="str">
        <f t="shared" si="19"/>
        <v/>
      </c>
      <c r="AY55" s="3475" t="str">
        <f t="shared" si="19"/>
        <v/>
      </c>
      <c r="AZ55" s="3441"/>
      <c r="BA55" s="3473">
        <f t="shared" ca="1" si="20"/>
        <v>3.3287077872099058</v>
      </c>
      <c r="BB55" s="3474" t="str">
        <f t="shared" si="20"/>
        <v/>
      </c>
      <c r="BC55" s="3474" t="str">
        <f t="shared" si="20"/>
        <v/>
      </c>
      <c r="BD55" s="3474" t="str">
        <f t="shared" si="20"/>
        <v/>
      </c>
      <c r="BE55" s="3475" t="str">
        <f t="shared" si="20"/>
        <v/>
      </c>
      <c r="BF55" s="3441"/>
      <c r="BG55" s="3473">
        <f t="shared" ca="1" si="21"/>
        <v>4.8324833353269314</v>
      </c>
      <c r="BH55" s="3474" t="str">
        <f t="shared" si="22"/>
        <v/>
      </c>
      <c r="BI55" s="3474" t="str">
        <f t="shared" si="23"/>
        <v/>
      </c>
      <c r="BJ55" s="3474" t="str">
        <f t="shared" si="24"/>
        <v/>
      </c>
      <c r="BK55" s="3475" t="str">
        <f t="shared" si="25"/>
        <v/>
      </c>
      <c r="BL55" s="3441"/>
      <c r="BM55" s="3473">
        <f t="shared" ca="1" si="26"/>
        <v>17.409366734090568</v>
      </c>
      <c r="BN55" s="3474" t="str">
        <f t="shared" si="26"/>
        <v/>
      </c>
      <c r="BO55" s="3474" t="str">
        <f t="shared" si="26"/>
        <v/>
      </c>
      <c r="BP55" s="3474" t="str">
        <f t="shared" si="26"/>
        <v/>
      </c>
      <c r="BQ55" s="3475" t="str">
        <f t="shared" si="26"/>
        <v/>
      </c>
      <c r="BR55" s="3441"/>
      <c r="BS55" s="3473">
        <f t="shared" ca="1" si="27"/>
        <v>15.406158752876831</v>
      </c>
      <c r="BT55" s="3474" t="str">
        <f t="shared" si="27"/>
        <v/>
      </c>
      <c r="BU55" s="3474" t="str">
        <f t="shared" si="27"/>
        <v/>
      </c>
      <c r="BV55" s="3474" t="str">
        <f t="shared" si="27"/>
        <v/>
      </c>
      <c r="BW55" s="3475" t="str">
        <f t="shared" si="27"/>
        <v/>
      </c>
      <c r="BX55" s="3441"/>
      <c r="BY55" s="3473">
        <f t="shared" ca="1" si="28"/>
        <v>24.993397205008172</v>
      </c>
      <c r="BZ55" s="3474" t="str">
        <f t="shared" si="28"/>
        <v/>
      </c>
      <c r="CA55" s="3474" t="str">
        <f t="shared" si="28"/>
        <v/>
      </c>
      <c r="CB55" s="3474" t="str">
        <f t="shared" si="28"/>
        <v/>
      </c>
      <c r="CC55" s="3475" t="str">
        <f t="shared" si="28"/>
        <v/>
      </c>
      <c r="CD55" s="3441"/>
      <c r="CE55" s="3473">
        <f t="shared" ca="1" si="29"/>
        <v>13.342254914270146</v>
      </c>
      <c r="CF55" s="3474" t="str">
        <f t="shared" si="30"/>
        <v/>
      </c>
      <c r="CG55" s="3474" t="str">
        <f t="shared" si="31"/>
        <v/>
      </c>
      <c r="CH55" s="3474" t="str">
        <f t="shared" si="32"/>
        <v/>
      </c>
      <c r="CI55" s="3475" t="str">
        <f t="shared" si="33"/>
        <v/>
      </c>
      <c r="CJ55" s="3441"/>
      <c r="CK55" s="3473">
        <f t="shared" ca="1" si="34"/>
        <v>-19.048519661297213</v>
      </c>
      <c r="CL55" s="3474" t="str">
        <f t="shared" si="35"/>
        <v/>
      </c>
      <c r="CM55" s="3474" t="str">
        <f t="shared" si="36"/>
        <v/>
      </c>
      <c r="CN55" s="3474" t="str">
        <f t="shared" si="37"/>
        <v/>
      </c>
      <c r="CO55" s="3475" t="str">
        <f t="shared" si="38"/>
        <v/>
      </c>
      <c r="CP55" s="3441"/>
      <c r="CQ55" s="3473">
        <f t="shared" ca="1" si="39"/>
        <v>6.5523870554309749</v>
      </c>
      <c r="CR55" s="3474" t="str">
        <f t="shared" si="40"/>
        <v/>
      </c>
      <c r="CS55" s="3474" t="str">
        <f t="shared" si="41"/>
        <v/>
      </c>
      <c r="CT55" s="3474" t="str">
        <f t="shared" si="42"/>
        <v/>
      </c>
      <c r="CU55" s="3475" t="str">
        <f t="shared" si="43"/>
        <v/>
      </c>
      <c r="CV55" s="3441"/>
      <c r="CW55" s="3473">
        <f t="shared" ca="1" si="44"/>
        <v>9.6996692226732684</v>
      </c>
      <c r="CX55" s="3474" t="str">
        <f t="shared" si="45"/>
        <v/>
      </c>
      <c r="CY55" s="3474" t="str">
        <f t="shared" si="46"/>
        <v/>
      </c>
      <c r="CZ55" s="3474" t="str">
        <f t="shared" si="47"/>
        <v/>
      </c>
      <c r="DA55" s="3475" t="str">
        <f t="shared" si="48"/>
        <v/>
      </c>
      <c r="DB55" s="3441"/>
      <c r="DC55" s="3473">
        <f t="shared" ca="1" si="49"/>
        <v>2.6169713375250536</v>
      </c>
      <c r="DD55" s="3474" t="str">
        <f t="shared" si="50"/>
        <v/>
      </c>
      <c r="DE55" s="3474" t="str">
        <f t="shared" si="51"/>
        <v/>
      </c>
      <c r="DF55" s="3474" t="str">
        <f t="shared" si="52"/>
        <v/>
      </c>
      <c r="DG55" s="3475" t="str">
        <f t="shared" si="53"/>
        <v/>
      </c>
      <c r="DH55" s="3441"/>
      <c r="DI55" s="3473">
        <f t="shared" ca="1" si="54"/>
        <v>3.2099816628128108</v>
      </c>
      <c r="DJ55" s="3474" t="str">
        <f t="shared" si="55"/>
        <v/>
      </c>
      <c r="DK55" s="3474" t="str">
        <f t="shared" si="56"/>
        <v/>
      </c>
      <c r="DL55" s="3474" t="str">
        <f t="shared" si="57"/>
        <v/>
      </c>
      <c r="DM55" s="3475" t="str">
        <f t="shared" si="58"/>
        <v/>
      </c>
      <c r="DN55" s="3441"/>
      <c r="DO55" s="3473">
        <f t="shared" ca="1" si="59"/>
        <v>6.2326948222638512</v>
      </c>
      <c r="DP55" s="3474" t="str">
        <f t="shared" si="60"/>
        <v/>
      </c>
      <c r="DQ55" s="3474" t="str">
        <f t="shared" si="61"/>
        <v/>
      </c>
      <c r="DR55" s="3474" t="str">
        <f t="shared" si="62"/>
        <v/>
      </c>
      <c r="DS55" s="3475" t="str">
        <f t="shared" si="63"/>
        <v/>
      </c>
      <c r="DT55" s="3441"/>
      <c r="DU55" s="3473">
        <f t="shared" ca="1" si="64"/>
        <v>6.8715056860719992</v>
      </c>
      <c r="DV55" s="3474" t="str">
        <f t="shared" si="65"/>
        <v/>
      </c>
      <c r="DW55" s="3474" t="str">
        <f t="shared" si="66"/>
        <v/>
      </c>
      <c r="DX55" s="3474" t="str">
        <f t="shared" si="67"/>
        <v/>
      </c>
      <c r="DY55" s="3475" t="str">
        <f t="shared" si="68"/>
        <v/>
      </c>
      <c r="DZ55" s="3441"/>
      <c r="EA55" s="3473">
        <f t="shared" ca="1" si="69"/>
        <v>4.8932699134903057</v>
      </c>
      <c r="EB55" s="3474" t="str">
        <f t="shared" si="70"/>
        <v/>
      </c>
      <c r="EC55" s="3474" t="str">
        <f t="shared" si="71"/>
        <v/>
      </c>
      <c r="ED55" s="3474" t="str">
        <f t="shared" si="72"/>
        <v/>
      </c>
      <c r="EE55" s="3475" t="str">
        <f t="shared" si="73"/>
        <v/>
      </c>
      <c r="EF55" s="3441"/>
      <c r="EG55" s="3473">
        <f t="shared" ca="1" si="74"/>
        <v>8.9684525089707368</v>
      </c>
      <c r="EH55" s="3474" t="str">
        <f t="shared" si="75"/>
        <v/>
      </c>
      <c r="EI55" s="3474" t="str">
        <f t="shared" si="76"/>
        <v/>
      </c>
      <c r="EJ55" s="3474" t="str">
        <f t="shared" si="77"/>
        <v/>
      </c>
      <c r="EK55" s="3475" t="str">
        <f t="shared" si="78"/>
        <v/>
      </c>
      <c r="EL55" s="3441"/>
      <c r="EM55" s="3473">
        <f t="shared" ca="1" si="79"/>
        <v>6.4546061541814526</v>
      </c>
      <c r="EN55" s="3474" t="str">
        <f t="shared" si="80"/>
        <v/>
      </c>
      <c r="EO55" s="3474" t="str">
        <f t="shared" si="81"/>
        <v/>
      </c>
      <c r="EP55" s="3474" t="str">
        <f t="shared" si="82"/>
        <v/>
      </c>
      <c r="EQ55" s="3475" t="str">
        <f t="shared" si="83"/>
        <v/>
      </c>
      <c r="ER55" s="3441"/>
      <c r="ES55" s="3473">
        <f t="shared" ca="1" si="84"/>
        <v>5.600000000000005</v>
      </c>
      <c r="ET55" s="3474" t="str">
        <f t="shared" si="85"/>
        <v/>
      </c>
      <c r="EU55" s="3474" t="str">
        <f t="shared" si="86"/>
        <v/>
      </c>
      <c r="EV55" s="3474" t="str">
        <f t="shared" si="87"/>
        <v/>
      </c>
      <c r="EW55" s="3475" t="str">
        <f t="shared" si="88"/>
        <v/>
      </c>
      <c r="EX55" s="3441"/>
    </row>
    <row r="56" spans="1:154">
      <c r="B56" s="600" t="s">
        <v>1767</v>
      </c>
      <c r="C56" s="3781" t="s">
        <v>1903</v>
      </c>
      <c r="D56" s="3782"/>
      <c r="E56" s="3473"/>
      <c r="F56" s="3474"/>
      <c r="G56" s="3474"/>
      <c r="H56" s="3474"/>
      <c r="I56" s="3475"/>
      <c r="J56" s="3441"/>
      <c r="K56" s="3473">
        <f t="shared" ca="1" si="13"/>
        <v>25.908960778700241</v>
      </c>
      <c r="L56" s="3474" t="str">
        <f t="shared" si="13"/>
        <v/>
      </c>
      <c r="M56" s="3474" t="str">
        <f t="shared" si="13"/>
        <v/>
      </c>
      <c r="N56" s="3474" t="str">
        <f t="shared" si="13"/>
        <v/>
      </c>
      <c r="O56" s="3475" t="str">
        <f t="shared" si="13"/>
        <v/>
      </c>
      <c r="P56" s="3441"/>
      <c r="Q56" s="3473">
        <f t="shared" ca="1" si="14"/>
        <v>-28.251477944520232</v>
      </c>
      <c r="R56" s="3474" t="str">
        <f t="shared" si="14"/>
        <v/>
      </c>
      <c r="S56" s="3474" t="str">
        <f t="shared" si="14"/>
        <v/>
      </c>
      <c r="T56" s="3474" t="str">
        <f t="shared" si="14"/>
        <v/>
      </c>
      <c r="U56" s="3475" t="str">
        <f t="shared" si="14"/>
        <v/>
      </c>
      <c r="V56" s="3441"/>
      <c r="W56" s="3473">
        <f t="shared" ca="1" si="15"/>
        <v>72.793535097448881</v>
      </c>
      <c r="X56" s="3474" t="str">
        <f t="shared" si="15"/>
        <v/>
      </c>
      <c r="Y56" s="3474" t="str">
        <f t="shared" si="15"/>
        <v/>
      </c>
      <c r="Z56" s="3474" t="str">
        <f t="shared" si="15"/>
        <v/>
      </c>
      <c r="AA56" s="3475" t="str">
        <f t="shared" si="15"/>
        <v/>
      </c>
      <c r="AB56" s="3441"/>
      <c r="AC56" s="3473">
        <f t="shared" ca="1" si="16"/>
        <v>6.483264557542423</v>
      </c>
      <c r="AD56" s="3474" t="str">
        <f t="shared" si="16"/>
        <v/>
      </c>
      <c r="AE56" s="3474" t="str">
        <f t="shared" si="16"/>
        <v/>
      </c>
      <c r="AF56" s="3474" t="str">
        <f t="shared" si="16"/>
        <v/>
      </c>
      <c r="AG56" s="3475" t="str">
        <f t="shared" si="16"/>
        <v/>
      </c>
      <c r="AH56" s="3441"/>
      <c r="AI56" s="3473">
        <f t="shared" ca="1" si="17"/>
        <v>-12.056493282810887</v>
      </c>
      <c r="AJ56" s="3474" t="str">
        <f t="shared" si="17"/>
        <v/>
      </c>
      <c r="AK56" s="3474" t="str">
        <f t="shared" si="17"/>
        <v/>
      </c>
      <c r="AL56" s="3474" t="str">
        <f t="shared" si="17"/>
        <v/>
      </c>
      <c r="AM56" s="3475" t="str">
        <f t="shared" si="17"/>
        <v/>
      </c>
      <c r="AN56" s="3441"/>
      <c r="AO56" s="3473">
        <f t="shared" ca="1" si="18"/>
        <v>-25.734430082256164</v>
      </c>
      <c r="AP56" s="3474" t="str">
        <f t="shared" si="18"/>
        <v/>
      </c>
      <c r="AQ56" s="3474" t="str">
        <f t="shared" si="18"/>
        <v/>
      </c>
      <c r="AR56" s="3474" t="str">
        <f t="shared" si="18"/>
        <v/>
      </c>
      <c r="AS56" s="3475" t="str">
        <f t="shared" si="18"/>
        <v/>
      </c>
      <c r="AT56" s="3441"/>
      <c r="AU56" s="3473">
        <f t="shared" ca="1" si="19"/>
        <v>34.137658227848092</v>
      </c>
      <c r="AV56" s="3474" t="str">
        <f t="shared" si="19"/>
        <v/>
      </c>
      <c r="AW56" s="3474" t="str">
        <f t="shared" si="19"/>
        <v/>
      </c>
      <c r="AX56" s="3474" t="str">
        <f t="shared" si="19"/>
        <v/>
      </c>
      <c r="AY56" s="3475" t="str">
        <f t="shared" si="19"/>
        <v/>
      </c>
      <c r="AZ56" s="3441"/>
      <c r="BA56" s="3473">
        <f t="shared" ca="1" si="20"/>
        <v>5.9569448540253811</v>
      </c>
      <c r="BB56" s="3474" t="str">
        <f t="shared" si="20"/>
        <v/>
      </c>
      <c r="BC56" s="3474" t="str">
        <f t="shared" si="20"/>
        <v/>
      </c>
      <c r="BD56" s="3474" t="str">
        <f t="shared" si="20"/>
        <v/>
      </c>
      <c r="BE56" s="3475" t="str">
        <f t="shared" si="20"/>
        <v/>
      </c>
      <c r="BF56" s="3441"/>
      <c r="BG56" s="3473">
        <f t="shared" ca="1" si="21"/>
        <v>76.240838667779926</v>
      </c>
      <c r="BH56" s="3474" t="str">
        <f t="shared" si="22"/>
        <v/>
      </c>
      <c r="BI56" s="3474" t="str">
        <f t="shared" si="23"/>
        <v/>
      </c>
      <c r="BJ56" s="3474" t="str">
        <f t="shared" si="24"/>
        <v/>
      </c>
      <c r="BK56" s="3475" t="str">
        <f t="shared" si="25"/>
        <v/>
      </c>
      <c r="BL56" s="3441"/>
      <c r="BM56" s="3473">
        <f t="shared" ca="1" si="26"/>
        <v>42.722535137126918</v>
      </c>
      <c r="BN56" s="3474" t="str">
        <f t="shared" si="26"/>
        <v/>
      </c>
      <c r="BO56" s="3474" t="str">
        <f t="shared" si="26"/>
        <v/>
      </c>
      <c r="BP56" s="3474" t="str">
        <f t="shared" si="26"/>
        <v/>
      </c>
      <c r="BQ56" s="3475" t="str">
        <f t="shared" si="26"/>
        <v/>
      </c>
      <c r="BR56" s="3441"/>
      <c r="BS56" s="3473">
        <f t="shared" ca="1" si="27"/>
        <v>-1.5121897244864013</v>
      </c>
      <c r="BT56" s="3474" t="str">
        <f t="shared" si="27"/>
        <v/>
      </c>
      <c r="BU56" s="3474" t="str">
        <f t="shared" si="27"/>
        <v/>
      </c>
      <c r="BV56" s="3474" t="str">
        <f t="shared" si="27"/>
        <v/>
      </c>
      <c r="BW56" s="3475" t="str">
        <f t="shared" si="27"/>
        <v/>
      </c>
      <c r="BX56" s="3441"/>
      <c r="BY56" s="3473">
        <f t="shared" ca="1" si="28"/>
        <v>12.841253791708795</v>
      </c>
      <c r="BZ56" s="3474" t="str">
        <f t="shared" si="28"/>
        <v/>
      </c>
      <c r="CA56" s="3474" t="str">
        <f t="shared" si="28"/>
        <v/>
      </c>
      <c r="CB56" s="3474" t="str">
        <f t="shared" si="28"/>
        <v/>
      </c>
      <c r="CC56" s="3475" t="str">
        <f t="shared" si="28"/>
        <v/>
      </c>
      <c r="CD56" s="3441"/>
      <c r="CE56" s="3473">
        <f t="shared" ca="1" si="29"/>
        <v>17.51958051241207</v>
      </c>
      <c r="CF56" s="3474" t="str">
        <f t="shared" si="30"/>
        <v/>
      </c>
      <c r="CG56" s="3474" t="str">
        <f t="shared" si="31"/>
        <v/>
      </c>
      <c r="CH56" s="3474" t="str">
        <f t="shared" si="32"/>
        <v/>
      </c>
      <c r="CI56" s="3475" t="str">
        <f t="shared" si="33"/>
        <v/>
      </c>
      <c r="CJ56" s="3441"/>
      <c r="CK56" s="3473">
        <f t="shared" ca="1" si="34"/>
        <v>2.1434017678122474</v>
      </c>
      <c r="CL56" s="3474" t="str">
        <f t="shared" si="35"/>
        <v/>
      </c>
      <c r="CM56" s="3474" t="str">
        <f t="shared" si="36"/>
        <v/>
      </c>
      <c r="CN56" s="3474" t="str">
        <f t="shared" si="37"/>
        <v/>
      </c>
      <c r="CO56" s="3475" t="str">
        <f t="shared" si="38"/>
        <v/>
      </c>
      <c r="CP56" s="3441"/>
      <c r="CQ56" s="3473">
        <f t="shared" ca="1" si="39"/>
        <v>3.5581974011611894</v>
      </c>
      <c r="CR56" s="3474" t="str">
        <f t="shared" si="40"/>
        <v/>
      </c>
      <c r="CS56" s="3474" t="str">
        <f t="shared" si="41"/>
        <v/>
      </c>
      <c r="CT56" s="3474" t="str">
        <f t="shared" si="42"/>
        <v/>
      </c>
      <c r="CU56" s="3475" t="str">
        <f t="shared" si="43"/>
        <v/>
      </c>
      <c r="CV56" s="3441"/>
      <c r="CW56" s="3473">
        <f t="shared" ca="1" si="44"/>
        <v>3.2864351122620539</v>
      </c>
      <c r="CX56" s="3474" t="str">
        <f t="shared" si="45"/>
        <v/>
      </c>
      <c r="CY56" s="3474" t="str">
        <f t="shared" si="46"/>
        <v/>
      </c>
      <c r="CZ56" s="3474" t="str">
        <f t="shared" si="47"/>
        <v/>
      </c>
      <c r="DA56" s="3475" t="str">
        <f t="shared" si="48"/>
        <v/>
      </c>
      <c r="DB56" s="3441"/>
      <c r="DC56" s="3473">
        <f t="shared" ca="1" si="49"/>
        <v>6.1000827129859436</v>
      </c>
      <c r="DD56" s="3474" t="str">
        <f t="shared" si="50"/>
        <v/>
      </c>
      <c r="DE56" s="3474" t="str">
        <f t="shared" si="51"/>
        <v/>
      </c>
      <c r="DF56" s="3474" t="str">
        <f t="shared" si="52"/>
        <v/>
      </c>
      <c r="DG56" s="3475" t="str">
        <f t="shared" si="53"/>
        <v/>
      </c>
      <c r="DH56" s="3441"/>
      <c r="DI56" s="3473">
        <f t="shared" ca="1" si="54"/>
        <v>7.0892613525628478</v>
      </c>
      <c r="DJ56" s="3474" t="str">
        <f t="shared" si="55"/>
        <v/>
      </c>
      <c r="DK56" s="3474" t="str">
        <f t="shared" si="56"/>
        <v/>
      </c>
      <c r="DL56" s="3474" t="str">
        <f t="shared" si="57"/>
        <v/>
      </c>
      <c r="DM56" s="3475" t="str">
        <f t="shared" si="58"/>
        <v/>
      </c>
      <c r="DN56" s="3441"/>
      <c r="DO56" s="3473">
        <f t="shared" ca="1" si="59"/>
        <v>3.1848582738080999E-2</v>
      </c>
      <c r="DP56" s="3474" t="str">
        <f t="shared" si="60"/>
        <v/>
      </c>
      <c r="DQ56" s="3474" t="str">
        <f t="shared" si="61"/>
        <v/>
      </c>
      <c r="DR56" s="3474" t="str">
        <f t="shared" si="62"/>
        <v/>
      </c>
      <c r="DS56" s="3475" t="str">
        <f t="shared" si="63"/>
        <v/>
      </c>
      <c r="DT56" s="3441"/>
      <c r="DU56" s="3473">
        <f t="shared" ca="1" si="64"/>
        <v>12.260074592922777</v>
      </c>
      <c r="DV56" s="3474" t="str">
        <f t="shared" si="65"/>
        <v/>
      </c>
      <c r="DW56" s="3474" t="str">
        <f t="shared" si="66"/>
        <v/>
      </c>
      <c r="DX56" s="3474" t="str">
        <f t="shared" si="67"/>
        <v/>
      </c>
      <c r="DY56" s="3475" t="str">
        <f t="shared" si="68"/>
        <v/>
      </c>
      <c r="DZ56" s="3441"/>
      <c r="EA56" s="3473">
        <f t="shared" ca="1" si="69"/>
        <v>9.0290298401636946</v>
      </c>
      <c r="EB56" s="3474" t="str">
        <f t="shared" si="70"/>
        <v/>
      </c>
      <c r="EC56" s="3474" t="str">
        <f t="shared" si="71"/>
        <v/>
      </c>
      <c r="ED56" s="3474" t="str">
        <f t="shared" si="72"/>
        <v/>
      </c>
      <c r="EE56" s="3475" t="str">
        <f t="shared" si="73"/>
        <v/>
      </c>
      <c r="EF56" s="3441"/>
      <c r="EG56" s="3473">
        <f t="shared" ca="1" si="74"/>
        <v>1.449275362318847</v>
      </c>
      <c r="EH56" s="3474" t="str">
        <f t="shared" si="75"/>
        <v/>
      </c>
      <c r="EI56" s="3474" t="str">
        <f t="shared" si="76"/>
        <v/>
      </c>
      <c r="EJ56" s="3474" t="str">
        <f t="shared" si="77"/>
        <v/>
      </c>
      <c r="EK56" s="3475" t="str">
        <f t="shared" si="78"/>
        <v/>
      </c>
      <c r="EL56" s="3441"/>
      <c r="EM56" s="3473">
        <f t="shared" ca="1" si="79"/>
        <v>3.6000000000000032</v>
      </c>
      <c r="EN56" s="3474" t="str">
        <f t="shared" si="80"/>
        <v/>
      </c>
      <c r="EO56" s="3474" t="str">
        <f t="shared" si="81"/>
        <v/>
      </c>
      <c r="EP56" s="3474" t="str">
        <f t="shared" si="82"/>
        <v/>
      </c>
      <c r="EQ56" s="3475" t="str">
        <f t="shared" si="83"/>
        <v/>
      </c>
      <c r="ER56" s="3441"/>
      <c r="ES56" s="3473">
        <f t="shared" ca="1" si="84"/>
        <v>3.6000000000000032</v>
      </c>
      <c r="ET56" s="3474" t="str">
        <f t="shared" si="85"/>
        <v/>
      </c>
      <c r="EU56" s="3474" t="str">
        <f t="shared" si="86"/>
        <v/>
      </c>
      <c r="EV56" s="3474" t="str">
        <f t="shared" si="87"/>
        <v/>
      </c>
      <c r="EW56" s="3475" t="str">
        <f t="shared" si="88"/>
        <v/>
      </c>
      <c r="EX56" s="3441"/>
    </row>
    <row r="57" spans="1:154">
      <c r="B57" s="600" t="s">
        <v>1769</v>
      </c>
      <c r="C57" s="3785" t="s">
        <v>1373</v>
      </c>
      <c r="D57" s="3785"/>
      <c r="E57" s="3447"/>
      <c r="F57" s="3447"/>
      <c r="G57" s="3447"/>
      <c r="H57" s="3447"/>
      <c r="I57" s="3476"/>
      <c r="J57" s="556"/>
      <c r="K57" s="3447">
        <f t="shared" ca="1" si="13"/>
        <v>25.922850119307661</v>
      </c>
      <c r="L57" s="3447">
        <f t="shared" ca="1" si="13"/>
        <v>24.761207387519324</v>
      </c>
      <c r="M57" s="3447">
        <f t="shared" ca="1" si="13"/>
        <v>25.867880773141394</v>
      </c>
      <c r="N57" s="3447">
        <f t="shared" ca="1" si="13"/>
        <v>28.070127554269696</v>
      </c>
      <c r="O57" s="3476" t="str">
        <f t="shared" si="13"/>
        <v/>
      </c>
      <c r="P57" s="556" t="str">
        <f ca="1">IF(ROUND(P8,2)=0,"ok","!")</f>
        <v>ok</v>
      </c>
      <c r="Q57" s="3447">
        <f t="shared" ca="1" si="14"/>
        <v>17.647947862447346</v>
      </c>
      <c r="R57" s="3447">
        <f t="shared" ca="1" si="14"/>
        <v>13.078220645520311</v>
      </c>
      <c r="S57" s="3447">
        <f t="shared" ca="1" si="14"/>
        <v>18.257931786437688</v>
      </c>
      <c r="T57" s="3447">
        <f t="shared" ca="1" si="14"/>
        <v>22.937904480453518</v>
      </c>
      <c r="U57" s="3476" t="str">
        <f t="shared" si="14"/>
        <v/>
      </c>
      <c r="V57" s="556" t="str">
        <f ca="1">IF(ROUND(V8,2)=0,"ok","!")</f>
        <v>ok</v>
      </c>
      <c r="W57" s="3447">
        <f t="shared" ca="1" si="15"/>
        <v>11.07496136313204</v>
      </c>
      <c r="X57" s="3447">
        <f t="shared" ca="1" si="15"/>
        <v>9.1107966997054923</v>
      </c>
      <c r="Y57" s="3447">
        <f t="shared" ca="1" si="15"/>
        <v>9.0650142505745546</v>
      </c>
      <c r="Z57" s="3447">
        <f t="shared" ca="1" si="15"/>
        <v>20.930219119822489</v>
      </c>
      <c r="AA57" s="3476" t="str">
        <f t="shared" si="15"/>
        <v/>
      </c>
      <c r="AB57" s="556" t="str">
        <f ca="1">IF(ROUND(AB8,2)=0,"ok","!")</f>
        <v>ok</v>
      </c>
      <c r="AC57" s="3447">
        <f t="shared" ca="1" si="16"/>
        <v>-2.0976717166982017</v>
      </c>
      <c r="AD57" s="3447">
        <f t="shared" ca="1" si="16"/>
        <v>-5.0039641290367864</v>
      </c>
      <c r="AE57" s="3447">
        <f t="shared" ca="1" si="16"/>
        <v>-2.3296891125368369</v>
      </c>
      <c r="AF57" s="3447">
        <f t="shared" ca="1" si="16"/>
        <v>2.562154465134725</v>
      </c>
      <c r="AG57" s="3476" t="str">
        <f t="shared" si="16"/>
        <v/>
      </c>
      <c r="AH57" s="556" t="str">
        <f ca="1">IF(ROUND(AH8,2)=0,"ok","!")</f>
        <v>ok</v>
      </c>
      <c r="AI57" s="3447">
        <f t="shared" ca="1" si="17"/>
        <v>6.3288680940635667</v>
      </c>
      <c r="AJ57" s="3447">
        <f t="shared" ca="1" si="17"/>
        <v>3.001921407746444</v>
      </c>
      <c r="AK57" s="3447">
        <f t="shared" ca="1" si="17"/>
        <v>11.200542061063977</v>
      </c>
      <c r="AL57" s="3447">
        <f t="shared" ca="1" si="17"/>
        <v>-3.8627649215659643</v>
      </c>
      <c r="AM57" s="3476" t="str">
        <f t="shared" si="17"/>
        <v/>
      </c>
      <c r="AN57" s="556" t="str">
        <f ca="1">IF(ROUND(AN8,2)=0,"ok","!")</f>
        <v>ok</v>
      </c>
      <c r="AO57" s="3447">
        <f t="shared" ca="1" si="18"/>
        <v>6.34312749297401</v>
      </c>
      <c r="AP57" s="3447">
        <f t="shared" ca="1" si="18"/>
        <v>-3.0386730383489269</v>
      </c>
      <c r="AQ57" s="3447">
        <f t="shared" ca="1" si="18"/>
        <v>11.32356324940984</v>
      </c>
      <c r="AR57" s="3447">
        <f t="shared" ca="1" si="18"/>
        <v>1.9748192374047457</v>
      </c>
      <c r="AS57" s="3476" t="str">
        <f t="shared" si="18"/>
        <v/>
      </c>
      <c r="AT57" s="556" t="str">
        <f ca="1">IF(ROUND(AT8,2)=0,"ok","!")</f>
        <v>ok</v>
      </c>
      <c r="AU57" s="3447">
        <f t="shared" ca="1" si="19"/>
        <v>7.0396081842509117</v>
      </c>
      <c r="AV57" s="3447">
        <f t="shared" ca="1" si="19"/>
        <v>0.50028040958369768</v>
      </c>
      <c r="AW57" s="3447">
        <f t="shared" ca="1" si="19"/>
        <v>10.397204310404229</v>
      </c>
      <c r="AX57" s="3447">
        <f t="shared" ca="1" si="19"/>
        <v>2.9003483459508095</v>
      </c>
      <c r="AY57" s="3476" t="str">
        <f t="shared" si="19"/>
        <v/>
      </c>
      <c r="AZ57" s="556" t="str">
        <f ca="1">IF(ROUND(AZ8,2)=0,"ok","!")</f>
        <v>ok</v>
      </c>
      <c r="BA57" s="3447">
        <f t="shared" ca="1" si="20"/>
        <v>10.449033675861962</v>
      </c>
      <c r="BB57" s="3447">
        <f t="shared" ca="1" si="20"/>
        <v>3.6005705923221276</v>
      </c>
      <c r="BC57" s="3447">
        <f t="shared" ca="1" si="20"/>
        <v>14.041991565628731</v>
      </c>
      <c r="BD57" s="3447">
        <f t="shared" ca="1" si="20"/>
        <v>4.6511735311232538</v>
      </c>
      <c r="BE57" s="3476" t="str">
        <f t="shared" si="20"/>
        <v/>
      </c>
      <c r="BF57" s="556" t="str">
        <f ca="1">IF(ROUND(BF8,2)=0,"ok","!")</f>
        <v>ok</v>
      </c>
      <c r="BG57" s="3447">
        <f t="shared" ca="1" si="21"/>
        <v>10.460833966546268</v>
      </c>
      <c r="BH57" s="3447">
        <f t="shared" ca="1" si="22"/>
        <v>4.3536575360545671</v>
      </c>
      <c r="BI57" s="3447">
        <f t="shared" ca="1" si="23"/>
        <v>12.489029865115464</v>
      </c>
      <c r="BJ57" s="3447">
        <f t="shared" ca="1" si="24"/>
        <v>9.1845876158996198</v>
      </c>
      <c r="BK57" s="3476" t="str">
        <f t="shared" si="25"/>
        <v/>
      </c>
      <c r="BL57" s="556" t="str">
        <f ca="1">IF(ROUND(BL8,2)=0,"ok","!")</f>
        <v>ok</v>
      </c>
      <c r="BM57" s="3447">
        <f t="shared" ca="1" si="26"/>
        <v>15.21322651047694</v>
      </c>
      <c r="BN57" s="3447">
        <f t="shared" ca="1" si="26"/>
        <v>10.424072959964992</v>
      </c>
      <c r="BO57" s="3447">
        <f t="shared" ca="1" si="26"/>
        <v>17.806358152373679</v>
      </c>
      <c r="BP57" s="3447">
        <f t="shared" ca="1" si="26"/>
        <v>9.2409734488235742</v>
      </c>
      <c r="BQ57" s="3476" t="str">
        <f t="shared" si="26"/>
        <v/>
      </c>
      <c r="BR57" s="556" t="str">
        <f ca="1">IF(ROUND(BR8,2)=0,"ok","!")</f>
        <v>ok</v>
      </c>
      <c r="BS57" s="3447">
        <f t="shared" ca="1" si="27"/>
        <v>14.329361152800345</v>
      </c>
      <c r="BT57" s="3447">
        <f t="shared" ca="1" si="27"/>
        <v>7.2836406749649418</v>
      </c>
      <c r="BU57" s="3447">
        <f t="shared" ca="1" si="27"/>
        <v>15.83202055580195</v>
      </c>
      <c r="BV57" s="3447">
        <f t="shared" ca="1" si="27"/>
        <v>15.479960928250058</v>
      </c>
      <c r="BW57" s="3476" t="str">
        <f t="shared" si="27"/>
        <v/>
      </c>
      <c r="BX57" s="556" t="str">
        <f ca="1">IF(ROUND(BX8,2)=0,"ok","!")</f>
        <v>ok</v>
      </c>
      <c r="BY57" s="3447">
        <f t="shared" ca="1" si="28"/>
        <v>19.981935870961575</v>
      </c>
      <c r="BZ57" s="3447">
        <f t="shared" ca="1" si="28"/>
        <v>11.868955010272163</v>
      </c>
      <c r="CA57" s="3447">
        <f t="shared" ca="1" si="28"/>
        <v>23.142836582295125</v>
      </c>
      <c r="CB57" s="3447">
        <f t="shared" ca="1" si="28"/>
        <v>13.650956393579182</v>
      </c>
      <c r="CC57" s="3476" t="str">
        <f t="shared" si="28"/>
        <v/>
      </c>
      <c r="CD57" s="556" t="str">
        <f ca="1">IF(ROUND(CD8,2)=0,"ok","!")</f>
        <v>ok</v>
      </c>
      <c r="CE57" s="3447">
        <f t="shared" ca="1" si="29"/>
        <v>12.550462121244088</v>
      </c>
      <c r="CF57" s="3447">
        <f t="shared" ca="1" si="30"/>
        <v>7.3791210775286054</v>
      </c>
      <c r="CG57" s="3447">
        <f t="shared" ca="1" si="31"/>
        <v>11.988434676455629</v>
      </c>
      <c r="CH57" s="3447">
        <f t="shared" ca="1" si="32"/>
        <v>21.158053203125892</v>
      </c>
      <c r="CI57" s="3476" t="str">
        <f t="shared" si="33"/>
        <v/>
      </c>
      <c r="CJ57" s="556" t="str">
        <f ca="1">IF(ROUND(CJ8,2)=0,"ok","!")</f>
        <v>ok</v>
      </c>
      <c r="CK57" s="3447">
        <f t="shared" ca="1" si="34"/>
        <v>-17.202677687065517</v>
      </c>
      <c r="CL57" s="3447">
        <f t="shared" ca="1" si="35"/>
        <v>-19.904110148422681</v>
      </c>
      <c r="CM57" s="3447">
        <f t="shared" ca="1" si="36"/>
        <v>-19.88210698458429</v>
      </c>
      <c r="CN57" s="3447">
        <f t="shared" ca="1" si="37"/>
        <v>-1.5629399186070536</v>
      </c>
      <c r="CO57" s="3476" t="str">
        <f t="shared" si="38"/>
        <v/>
      </c>
      <c r="CP57" s="556" t="str">
        <f ca="1">IF(ROUND(CP8,2)=0,"ok","!")</f>
        <v>ok</v>
      </c>
      <c r="CQ57" s="3447">
        <f t="shared" ca="1" si="39"/>
        <v>3.7422902376754941</v>
      </c>
      <c r="CR57" s="3447">
        <f t="shared" ca="1" si="40"/>
        <v>-7.0634701662628085</v>
      </c>
      <c r="CS57" s="3447">
        <f t="shared" ca="1" si="41"/>
        <v>8.9558223092766944</v>
      </c>
      <c r="CT57" s="3447">
        <f t="shared" ca="1" si="42"/>
        <v>-8.3642595437891547</v>
      </c>
      <c r="CU57" s="3476" t="str">
        <f t="shared" si="43"/>
        <v/>
      </c>
      <c r="CV57" s="556" t="str">
        <f ca="1">IF(ROUND(CV8,2)=0,"ok","!")</f>
        <v>ok</v>
      </c>
      <c r="CW57" s="3447">
        <f t="shared" ca="1" si="44"/>
        <v>11.703051398764375</v>
      </c>
      <c r="CX57" s="3447">
        <f t="shared" ca="1" si="45"/>
        <v>6.5038158085803266</v>
      </c>
      <c r="CY57" s="3447">
        <f t="shared" ca="1" si="46"/>
        <v>13.910758707831894</v>
      </c>
      <c r="CZ57" s="3447">
        <f t="shared" ca="1" si="47"/>
        <v>5.4748300723562959</v>
      </c>
      <c r="DA57" s="3476" t="str">
        <f t="shared" si="48"/>
        <v/>
      </c>
      <c r="DB57" s="556" t="str">
        <f ca="1">IF(ROUND(DB8,2)=0,"ok","!")</f>
        <v>ok</v>
      </c>
      <c r="DC57" s="3447">
        <f t="shared" ca="1" si="49"/>
        <v>7.1204038627758592</v>
      </c>
      <c r="DD57" s="3447">
        <f t="shared" ca="1" si="50"/>
        <v>12.635964247841237</v>
      </c>
      <c r="DE57" s="3447">
        <f t="shared" ca="1" si="51"/>
        <v>7.0042035235262201</v>
      </c>
      <c r="DF57" s="3447">
        <f t="shared" ca="1" si="52"/>
        <v>3.2583415058854648</v>
      </c>
      <c r="DG57" s="3476" t="str">
        <f t="shared" si="53"/>
        <v/>
      </c>
      <c r="DH57" s="556" t="str">
        <f ca="1">IF(ROUND(DH8,2)=0,"ok","!")</f>
        <v>ok</v>
      </c>
      <c r="DI57" s="3447">
        <f t="shared" ca="1" si="54"/>
        <v>5.0552010812470183</v>
      </c>
      <c r="DJ57" s="3447">
        <f t="shared" ca="1" si="55"/>
        <v>4.3144006133071455</v>
      </c>
      <c r="DK57" s="3447">
        <f t="shared" ca="1" si="56"/>
        <v>5.4587322934162463</v>
      </c>
      <c r="DL57" s="3447">
        <f t="shared" ca="1" si="57"/>
        <v>3.5832709634022519</v>
      </c>
      <c r="DM57" s="3476" t="str">
        <f t="shared" si="58"/>
        <v/>
      </c>
      <c r="DN57" s="556" t="str">
        <f ca="1">IF(ROUND(DN8,2)=0,"ok","!")</f>
        <v>ok</v>
      </c>
      <c r="DO57" s="3447">
        <f t="shared" ca="1" si="59"/>
        <v>4.3470701241524079</v>
      </c>
      <c r="DP57" s="3447">
        <f t="shared" ca="1" si="60"/>
        <v>3.6965502302768849</v>
      </c>
      <c r="DQ57" s="3447">
        <f t="shared" ca="1" si="61"/>
        <v>4.5283616170166185</v>
      </c>
      <c r="DR57" s="3447">
        <f t="shared" ca="1" si="62"/>
        <v>3.9527508283010215</v>
      </c>
      <c r="DS57" s="3476" t="str">
        <f t="shared" si="63"/>
        <v/>
      </c>
      <c r="DT57" s="556" t="str">
        <f ca="1">IF(ROUND(DT8,2)=0,"ok","!")</f>
        <v>ok</v>
      </c>
      <c r="DU57" s="3447">
        <f t="shared" ca="1" si="64"/>
        <v>1.9399008155095654</v>
      </c>
      <c r="DV57" s="3447">
        <f t="shared" ca="1" si="65"/>
        <v>6.1748841789575293</v>
      </c>
      <c r="DW57" s="3447">
        <f t="shared" ca="1" si="66"/>
        <v>0.93081214737402718</v>
      </c>
      <c r="DX57" s="3447">
        <f t="shared" ca="1" si="67"/>
        <v>3.6317604722982511</v>
      </c>
      <c r="DY57" s="3476" t="str">
        <f t="shared" si="68"/>
        <v/>
      </c>
      <c r="DZ57" s="556" t="str">
        <f ca="1">IF(ROUND(DZ8,2)=0,"ok","!")</f>
        <v>ok</v>
      </c>
      <c r="EA57" s="3447">
        <f t="shared" ca="1" si="69"/>
        <v>3.204530520644977</v>
      </c>
      <c r="EB57" s="3447">
        <f t="shared" ca="1" si="70"/>
        <v>0.10188308038223681</v>
      </c>
      <c r="EC57" s="3447">
        <f t="shared" ca="1" si="71"/>
        <v>3.393782634858411</v>
      </c>
      <c r="ED57" s="3447">
        <f t="shared" ca="1" si="72"/>
        <v>5.0227215322866448</v>
      </c>
      <c r="EE57" s="3476" t="str">
        <f t="shared" si="73"/>
        <v/>
      </c>
      <c r="EF57" s="556" t="str">
        <f ca="1">IF(ROUND(EF8,2)=0,"ok","!")</f>
        <v>ok</v>
      </c>
      <c r="EG57" s="3447">
        <f t="shared" ca="1" si="74"/>
        <v>7.8268876165280332</v>
      </c>
      <c r="EH57" s="3447">
        <f t="shared" ca="1" si="75"/>
        <v>0.78441839516136813</v>
      </c>
      <c r="EI57" s="3447">
        <f t="shared" ca="1" si="76"/>
        <v>9.879529186306435</v>
      </c>
      <c r="EJ57" s="3447">
        <f t="shared" ca="1" si="77"/>
        <v>4.8687574797672495</v>
      </c>
      <c r="EK57" s="3476" t="str">
        <f t="shared" si="78"/>
        <v/>
      </c>
      <c r="EL57" s="556" t="str">
        <f ca="1">IF(ROUND(EL8,2)=0,"ok","!")</f>
        <v>!</v>
      </c>
      <c r="EM57" s="3447">
        <f t="shared" ca="1" si="79"/>
        <v>5.7073020077313297</v>
      </c>
      <c r="EN57" s="3447">
        <f t="shared" ca="1" si="80"/>
        <v>0.82910307920138759</v>
      </c>
      <c r="EO57" s="3447">
        <f t="shared" ca="1" si="81"/>
        <v>6.4147863776365943</v>
      </c>
      <c r="EP57" s="3447">
        <f t="shared" ca="1" si="82"/>
        <v>4.3489669712849954</v>
      </c>
      <c r="EQ57" s="3476" t="str">
        <f t="shared" si="83"/>
        <v/>
      </c>
      <c r="ER57" s="556" t="str">
        <f ca="1">IF(ROUND(ER8,2)=0,"ok","!")</f>
        <v>ok</v>
      </c>
      <c r="ES57" s="3447">
        <f t="shared" ca="1" si="84"/>
        <v>5.543336509875485</v>
      </c>
      <c r="ET57" s="3447">
        <f t="shared" ca="1" si="85"/>
        <v>0.81205148386076509</v>
      </c>
      <c r="EU57" s="3447">
        <f t="shared" ca="1" si="86"/>
        <v>6.4197867978606604</v>
      </c>
      <c r="EV57" s="3447">
        <f t="shared" ca="1" si="87"/>
        <v>4.4993071474207724</v>
      </c>
      <c r="EW57" s="3476" t="str">
        <f t="shared" si="88"/>
        <v/>
      </c>
      <c r="EX57" s="556" t="str">
        <f ca="1">IF(ROUND(EX8,2)=0,"ok","!")</f>
        <v>ok</v>
      </c>
    </row>
    <row r="58" spans="1:154">
      <c r="B58" s="600" t="s">
        <v>401</v>
      </c>
      <c r="C58" s="3781" t="s">
        <v>1374</v>
      </c>
      <c r="D58" s="3781"/>
      <c r="E58" s="3477"/>
      <c r="F58" s="603"/>
      <c r="G58" s="3478"/>
      <c r="H58" s="3478"/>
      <c r="I58" s="602"/>
      <c r="J58" s="604"/>
      <c r="K58" s="3477">
        <f t="shared" ca="1" si="13"/>
        <v>55.702247191011267</v>
      </c>
      <c r="L58" s="603">
        <f t="shared" ca="1" si="13"/>
        <v>267.99037304452469</v>
      </c>
      <c r="M58" s="3478">
        <f t="shared" ca="1" si="13"/>
        <v>-16.448445171849425</v>
      </c>
      <c r="N58" s="3478">
        <f t="shared" ca="1" si="13"/>
        <v>55.438596491228068</v>
      </c>
      <c r="O58" s="602" t="str">
        <f t="shared" si="13"/>
        <v/>
      </c>
      <c r="P58" s="604"/>
      <c r="Q58" s="3477">
        <f t="shared" ca="1" si="14"/>
        <v>32.292982139635541</v>
      </c>
      <c r="R58" s="603">
        <f t="shared" ca="1" si="14"/>
        <v>-58.567691301504254</v>
      </c>
      <c r="S58" s="3478">
        <f t="shared" ca="1" si="14"/>
        <v>168.31537708129284</v>
      </c>
      <c r="T58" s="3478">
        <f t="shared" ca="1" si="14"/>
        <v>32.505643340857794</v>
      </c>
      <c r="U58" s="602" t="str">
        <f t="shared" si="14"/>
        <v/>
      </c>
      <c r="V58" s="604"/>
      <c r="W58" s="3477">
        <f t="shared" ca="1" si="15"/>
        <v>5.2093276967134949</v>
      </c>
      <c r="X58" s="603">
        <f t="shared" ca="1" si="15"/>
        <v>-5.9984214680347314</v>
      </c>
      <c r="Y58" s="3478">
        <f t="shared" ca="1" si="15"/>
        <v>7.8116444606679991</v>
      </c>
      <c r="Z58" s="3478">
        <f t="shared" ca="1" si="15"/>
        <v>5.110732538330498</v>
      </c>
      <c r="AA58" s="602" t="str">
        <f t="shared" si="15"/>
        <v/>
      </c>
      <c r="AB58" s="604"/>
      <c r="AC58" s="3477">
        <f t="shared" ca="1" si="16"/>
        <v>15.463383020090738</v>
      </c>
      <c r="AD58" s="603">
        <f t="shared" ca="1" si="16"/>
        <v>-2.3509655751469238</v>
      </c>
      <c r="AE58" s="3478">
        <f t="shared" ca="1" si="16"/>
        <v>20.230235314034207</v>
      </c>
      <c r="AF58" s="3478">
        <f t="shared" ca="1" si="16"/>
        <v>4.2139384116693712</v>
      </c>
      <c r="AG58" s="602" t="str">
        <f t="shared" si="16"/>
        <v/>
      </c>
      <c r="AH58" s="604"/>
      <c r="AI58" s="3477">
        <f t="shared" ca="1" si="17"/>
        <v>-6.6120341266277531</v>
      </c>
      <c r="AJ58" s="603">
        <f t="shared" ca="1" si="17"/>
        <v>36.285468615649165</v>
      </c>
      <c r="AK58" s="3478">
        <f t="shared" ca="1" si="17"/>
        <v>-13.897493663756688</v>
      </c>
      <c r="AL58" s="3478">
        <f t="shared" ca="1" si="17"/>
        <v>-3.7325038880248851</v>
      </c>
      <c r="AM58" s="602" t="str">
        <f t="shared" si="17"/>
        <v/>
      </c>
      <c r="AN58" s="604"/>
      <c r="AO58" s="3477">
        <f t="shared" ca="1" si="18"/>
        <v>12.369275153263626</v>
      </c>
      <c r="AP58" s="603">
        <f t="shared" ca="1" si="18"/>
        <v>31.419558359621448</v>
      </c>
      <c r="AQ58" s="3478">
        <f t="shared" ca="1" si="18"/>
        <v>7.4407195421095862</v>
      </c>
      <c r="AR58" s="3478">
        <f t="shared" ca="1" si="18"/>
        <v>12.277867528271402</v>
      </c>
      <c r="AS58" s="602" t="str">
        <f t="shared" si="18"/>
        <v/>
      </c>
      <c r="AT58" s="604"/>
      <c r="AU58" s="3477">
        <f t="shared" ca="1" si="19"/>
        <v>10.676080445014978</v>
      </c>
      <c r="AV58" s="603">
        <f t="shared" ca="1" si="19"/>
        <v>71.915506481036999</v>
      </c>
      <c r="AW58" s="3478">
        <f t="shared" ca="1" si="19"/>
        <v>-8.6301369863013839</v>
      </c>
      <c r="AX58" s="3478">
        <f t="shared" ca="1" si="19"/>
        <v>9.6402877697841625</v>
      </c>
      <c r="AY58" s="602" t="str">
        <f t="shared" si="19"/>
        <v/>
      </c>
      <c r="AZ58" s="604"/>
      <c r="BA58" s="3477">
        <f t="shared" ca="1" si="20"/>
        <v>-1.9137831045815012</v>
      </c>
      <c r="BB58" s="603">
        <f t="shared" ca="1" si="20"/>
        <v>-56.380899190170354</v>
      </c>
      <c r="BC58" s="3478">
        <f t="shared" ca="1" si="20"/>
        <v>30.251540896218554</v>
      </c>
      <c r="BD58" s="3478">
        <f t="shared" ca="1" si="20"/>
        <v>0.65616797900263091</v>
      </c>
      <c r="BE58" s="602" t="str">
        <f t="shared" si="20"/>
        <v/>
      </c>
      <c r="BF58" s="604"/>
      <c r="BG58" s="3477">
        <f t="shared" ca="1" si="21"/>
        <v>27.887268427276336</v>
      </c>
      <c r="BH58" s="603">
        <f t="shared" ca="1" si="22"/>
        <v>27.528809218950066</v>
      </c>
      <c r="BI58" s="3478">
        <f t="shared" ca="1" si="23"/>
        <v>28.29006266786034</v>
      </c>
      <c r="BJ58" s="3478">
        <f t="shared" ca="1" si="24"/>
        <v>24.511082138200813</v>
      </c>
      <c r="BK58" s="602" t="str">
        <f t="shared" si="25"/>
        <v/>
      </c>
      <c r="BL58" s="604"/>
      <c r="BM58" s="3477">
        <f t="shared" ca="1" si="26"/>
        <v>5.0315919247957863</v>
      </c>
      <c r="BN58" s="603">
        <f t="shared" ca="1" si="26"/>
        <v>13.403614457831313</v>
      </c>
      <c r="BO58" s="3478">
        <f t="shared" ca="1" si="26"/>
        <v>9.2313827135878768</v>
      </c>
      <c r="BP58" s="3478">
        <f t="shared" ca="1" si="26"/>
        <v>-56.544502617801051</v>
      </c>
      <c r="BQ58" s="602" t="str">
        <f t="shared" si="26"/>
        <v/>
      </c>
      <c r="BR58" s="604"/>
      <c r="BS58" s="3477">
        <f t="shared" ca="1" si="27"/>
        <v>18.58997872496515</v>
      </c>
      <c r="BT58" s="603">
        <f t="shared" ca="1" si="27"/>
        <v>-6.8614431164231942</v>
      </c>
      <c r="BU58" s="3478">
        <f t="shared" ca="1" si="27"/>
        <v>25.043351282285297</v>
      </c>
      <c r="BV58" s="3478">
        <f t="shared" ca="1" si="27"/>
        <v>-13.253012048192769</v>
      </c>
      <c r="BW58" s="602" t="str">
        <f t="shared" si="27"/>
        <v/>
      </c>
      <c r="BX58" s="604"/>
      <c r="BY58" s="3477">
        <f t="shared" ca="1" si="28"/>
        <v>14.735539746365633</v>
      </c>
      <c r="BZ58" s="603">
        <f t="shared" ca="1" si="28"/>
        <v>16.730038022813677</v>
      </c>
      <c r="CA58" s="3478">
        <f t="shared" ca="1" si="28"/>
        <v>14.787241807167373</v>
      </c>
      <c r="CB58" s="3478">
        <f t="shared" ca="1" si="28"/>
        <v>1.1111111111111072</v>
      </c>
      <c r="CC58" s="602" t="str">
        <f t="shared" si="28"/>
        <v/>
      </c>
      <c r="CD58" s="604"/>
      <c r="CE58" s="3477">
        <f t="shared" ca="1" si="29"/>
        <v>-0.31271903811940227</v>
      </c>
      <c r="CF58" s="603">
        <f t="shared" ca="1" si="30"/>
        <v>17.38599348534202</v>
      </c>
      <c r="CG58" s="3478">
        <f t="shared" ca="1" si="31"/>
        <v>-2.8486043110574455</v>
      </c>
      <c r="CH58" s="3478">
        <f t="shared" ca="1" si="32"/>
        <v>-10.164835164835173</v>
      </c>
      <c r="CI58" s="602" t="str">
        <f t="shared" si="33"/>
        <v/>
      </c>
      <c r="CJ58" s="604"/>
      <c r="CK58" s="3477">
        <f t="shared" ca="1" si="34"/>
        <v>-3.8455297744604766</v>
      </c>
      <c r="CL58" s="603">
        <f t="shared" ca="1" si="35"/>
        <v>-23.864030523759961</v>
      </c>
      <c r="CM58" s="3478">
        <f t="shared" ca="1" si="36"/>
        <v>0.37960599515676208</v>
      </c>
      <c r="CN58" s="3478">
        <f t="shared" ca="1" si="37"/>
        <v>-24.770642201834857</v>
      </c>
      <c r="CO58" s="602" t="str">
        <f t="shared" si="38"/>
        <v/>
      </c>
      <c r="CP58" s="604"/>
      <c r="CQ58" s="3477">
        <f t="shared" ca="1" si="39"/>
        <v>1.6087298908763703</v>
      </c>
      <c r="CR58" s="603">
        <f t="shared" ca="1" si="40"/>
        <v>34.123006833712985</v>
      </c>
      <c r="CS58" s="3478">
        <f t="shared" ca="1" si="41"/>
        <v>-2.8623590011084388</v>
      </c>
      <c r="CT58" s="3478">
        <f t="shared" ca="1" si="42"/>
        <v>-9.7560975609755971</v>
      </c>
      <c r="CU58" s="602" t="str">
        <f t="shared" si="43"/>
        <v/>
      </c>
      <c r="CV58" s="604"/>
      <c r="CW58" s="3477">
        <f t="shared" ca="1" si="44"/>
        <v>4.0688662533215014</v>
      </c>
      <c r="CX58" s="603">
        <f t="shared" ca="1" si="45"/>
        <v>-19.327445652173914</v>
      </c>
      <c r="CY58" s="3478">
        <f t="shared" ca="1" si="46"/>
        <v>8.3501141092763973</v>
      </c>
      <c r="CZ58" s="3478">
        <f t="shared" ca="1" si="47"/>
        <v>27.027027027027039</v>
      </c>
      <c r="DA58" s="602" t="str">
        <f t="shared" si="48"/>
        <v/>
      </c>
      <c r="DB58" s="604"/>
      <c r="DC58" s="3477">
        <f t="shared" ca="1" si="49"/>
        <v>3.8619075482738463</v>
      </c>
      <c r="DD58" s="603">
        <f t="shared" ca="1" si="50"/>
        <v>-6.7789473684210506</v>
      </c>
      <c r="DE58" s="3478">
        <f t="shared" ca="1" si="51"/>
        <v>4.9374303060339519</v>
      </c>
      <c r="DF58" s="3478">
        <f t="shared" ca="1" si="52"/>
        <v>31.914893617021267</v>
      </c>
      <c r="DG58" s="602" t="str">
        <f t="shared" si="53"/>
        <v/>
      </c>
      <c r="DH58" s="604"/>
      <c r="DI58" s="3477">
        <f t="shared" ca="1" si="54"/>
        <v>6.0281690140845168</v>
      </c>
      <c r="DJ58" s="603">
        <f t="shared" ca="1" si="55"/>
        <v>-9.033423667569318E-2</v>
      </c>
      <c r="DK58" s="3478">
        <f t="shared" ca="1" si="56"/>
        <v>6.5824428832870874</v>
      </c>
      <c r="DL58" s="3478">
        <f t="shared" ca="1" si="57"/>
        <v>17.204301075268823</v>
      </c>
      <c r="DM58" s="602" t="str">
        <f t="shared" si="58"/>
        <v/>
      </c>
      <c r="DN58" s="604"/>
      <c r="DO58" s="3477">
        <f t="shared" ca="1" si="59"/>
        <v>9.2937880398029193</v>
      </c>
      <c r="DP58" s="603">
        <f t="shared" ca="1" si="60"/>
        <v>-19.620253164556967</v>
      </c>
      <c r="DQ58" s="3478">
        <f t="shared" ca="1" si="61"/>
        <v>12.678630774343658</v>
      </c>
      <c r="DR58" s="3478">
        <f t="shared" ca="1" si="62"/>
        <v>15.825688073394485</v>
      </c>
      <c r="DS58" s="602" t="str">
        <f t="shared" si="63"/>
        <v/>
      </c>
      <c r="DT58" s="604"/>
      <c r="DU58" s="3477">
        <f t="shared" ca="1" si="64"/>
        <v>7.235039335278004</v>
      </c>
      <c r="DV58" s="603">
        <f t="shared" ca="1" si="65"/>
        <v>36.895388076490441</v>
      </c>
      <c r="DW58" s="3478">
        <f t="shared" ca="1" si="66"/>
        <v>6.0168116796932569</v>
      </c>
      <c r="DX58" s="3478">
        <f t="shared" ca="1" si="67"/>
        <v>-48.118811881188115</v>
      </c>
      <c r="DY58" s="602" t="str">
        <f t="shared" si="68"/>
        <v/>
      </c>
      <c r="DZ58" s="604"/>
      <c r="EA58" s="3477">
        <f t="shared" ca="1" si="69"/>
        <v>-9.4547253019000017</v>
      </c>
      <c r="EB58" s="603">
        <f t="shared" ca="1" si="70"/>
        <v>0.90386195562859317</v>
      </c>
      <c r="EC58" s="3478">
        <f t="shared" ca="1" si="71"/>
        <v>-10.775722168127222</v>
      </c>
      <c r="ED58" s="3478">
        <f t="shared" ca="1" si="72"/>
        <v>3.0534351145038219</v>
      </c>
      <c r="EE58" s="602" t="str">
        <f t="shared" si="73"/>
        <v/>
      </c>
      <c r="EF58" s="604"/>
      <c r="EG58" s="3477">
        <f t="shared" ca="1" si="74"/>
        <v>5.2235877827848443</v>
      </c>
      <c r="EH58" s="603">
        <f t="shared" ca="1" si="75"/>
        <v>7.0000000000000062</v>
      </c>
      <c r="EI58" s="3478">
        <f t="shared" ca="1" si="76"/>
        <v>5.0000000000000044</v>
      </c>
      <c r="EJ58" s="3478">
        <f t="shared" ca="1" si="77"/>
        <v>5.0000000000000044</v>
      </c>
      <c r="EK58" s="602" t="str">
        <f t="shared" si="78"/>
        <v/>
      </c>
      <c r="EL58" s="604"/>
      <c r="EM58" s="3477">
        <f t="shared" ca="1" si="79"/>
        <v>5.2273624503981431</v>
      </c>
      <c r="EN58" s="603">
        <f t="shared" ca="1" si="80"/>
        <v>7.0000000000000062</v>
      </c>
      <c r="EO58" s="3478">
        <f t="shared" ca="1" si="81"/>
        <v>5.0000000000000044</v>
      </c>
      <c r="EP58" s="3478">
        <f t="shared" ca="1" si="82"/>
        <v>5.0000000000000044</v>
      </c>
      <c r="EQ58" s="602" t="str">
        <f t="shared" si="83"/>
        <v/>
      </c>
      <c r="ER58" s="604"/>
      <c r="ES58" s="3477">
        <f t="shared" ca="1" si="84"/>
        <v>5.2311925494100464</v>
      </c>
      <c r="ET58" s="603">
        <f t="shared" ca="1" si="85"/>
        <v>7.0000000000000062</v>
      </c>
      <c r="EU58" s="3478">
        <f t="shared" ca="1" si="86"/>
        <v>5.0000000000000044</v>
      </c>
      <c r="EV58" s="3478">
        <f t="shared" ca="1" si="87"/>
        <v>5.0000000000000044</v>
      </c>
      <c r="EW58" s="602" t="str">
        <f t="shared" si="88"/>
        <v/>
      </c>
      <c r="EX58" s="604"/>
    </row>
    <row r="59" spans="1:154">
      <c r="B59" s="600" t="s">
        <v>1767</v>
      </c>
      <c r="C59" s="3781" t="s">
        <v>1375</v>
      </c>
      <c r="D59" s="3781"/>
      <c r="E59" s="601"/>
      <c r="F59" s="603"/>
      <c r="G59" s="603"/>
      <c r="H59" s="603"/>
      <c r="I59" s="602"/>
      <c r="J59" s="604"/>
      <c r="K59" s="601">
        <f t="shared" ca="1" si="13"/>
        <v>174.25944841675184</v>
      </c>
      <c r="L59" s="603" t="str">
        <f t="shared" ca="1" si="13"/>
        <v>N</v>
      </c>
      <c r="M59" s="603">
        <f t="shared" ca="1" si="13"/>
        <v>174.25944841675184</v>
      </c>
      <c r="N59" s="603" t="str">
        <f t="shared" ca="1" si="13"/>
        <v>N</v>
      </c>
      <c r="O59" s="602" t="str">
        <f t="shared" si="13"/>
        <v/>
      </c>
      <c r="P59" s="604"/>
      <c r="Q59" s="601">
        <f t="shared" ca="1" si="14"/>
        <v>41.52700186219738</v>
      </c>
      <c r="R59" s="603" t="str">
        <f t="shared" ca="1" si="14"/>
        <v>N</v>
      </c>
      <c r="S59" s="603">
        <f t="shared" ca="1" si="14"/>
        <v>41.52700186219738</v>
      </c>
      <c r="T59" s="603" t="str">
        <f t="shared" ca="1" si="14"/>
        <v>N</v>
      </c>
      <c r="U59" s="602" t="str">
        <f t="shared" si="14"/>
        <v/>
      </c>
      <c r="V59" s="604"/>
      <c r="W59" s="601">
        <f t="shared" ca="1" si="15"/>
        <v>-27.44736842105263</v>
      </c>
      <c r="X59" s="603" t="str">
        <f t="shared" ca="1" si="15"/>
        <v>N</v>
      </c>
      <c r="Y59" s="603">
        <f t="shared" ca="1" si="15"/>
        <v>-27.44736842105263</v>
      </c>
      <c r="Z59" s="603" t="str">
        <f t="shared" ca="1" si="15"/>
        <v>N</v>
      </c>
      <c r="AA59" s="602" t="str">
        <f t="shared" si="15"/>
        <v/>
      </c>
      <c r="AB59" s="604"/>
      <c r="AC59" s="601">
        <f t="shared" ca="1" si="16"/>
        <v>-40.986579615524121</v>
      </c>
      <c r="AD59" s="603" t="str">
        <f t="shared" ca="1" si="16"/>
        <v>N</v>
      </c>
      <c r="AE59" s="603">
        <f t="shared" ca="1" si="16"/>
        <v>-40.986579615524121</v>
      </c>
      <c r="AF59" s="603" t="str">
        <f t="shared" ca="1" si="16"/>
        <v>N</v>
      </c>
      <c r="AG59" s="602" t="str">
        <f t="shared" si="16"/>
        <v/>
      </c>
      <c r="AH59" s="604"/>
      <c r="AI59" s="601">
        <f t="shared" ca="1" si="17"/>
        <v>-84.449907805777499</v>
      </c>
      <c r="AJ59" s="603" t="str">
        <f t="shared" ca="1" si="17"/>
        <v>N</v>
      </c>
      <c r="AK59" s="603">
        <f t="shared" ca="1" si="17"/>
        <v>-84.449907805777499</v>
      </c>
      <c r="AL59" s="603" t="str">
        <f t="shared" ca="1" si="17"/>
        <v>N</v>
      </c>
      <c r="AM59" s="602" t="str">
        <f t="shared" si="17"/>
        <v/>
      </c>
      <c r="AN59" s="604"/>
      <c r="AO59" s="601">
        <f t="shared" ca="1" si="18"/>
        <v>1616.205533596838</v>
      </c>
      <c r="AP59" s="603" t="str">
        <f t="shared" ca="1" si="18"/>
        <v>N</v>
      </c>
      <c r="AQ59" s="603">
        <f t="shared" ca="1" si="18"/>
        <v>1148.2213438735175</v>
      </c>
      <c r="AR59" s="603" t="str">
        <f t="shared" ca="1" si="18"/>
        <v>N</v>
      </c>
      <c r="AS59" s="602" t="str">
        <f t="shared" si="18"/>
        <v/>
      </c>
      <c r="AT59" s="604"/>
      <c r="AU59" s="601">
        <f t="shared" ca="1" si="19"/>
        <v>-58.314140948871483</v>
      </c>
      <c r="AV59" s="603">
        <f t="shared" ca="1" si="19"/>
        <v>-100</v>
      </c>
      <c r="AW59" s="603">
        <f t="shared" ca="1" si="19"/>
        <v>-42.685243825205823</v>
      </c>
      <c r="AX59" s="603" t="str">
        <f t="shared" ca="1" si="19"/>
        <v>N</v>
      </c>
      <c r="AY59" s="602" t="str">
        <f t="shared" si="19"/>
        <v/>
      </c>
      <c r="AZ59" s="604"/>
      <c r="BA59" s="601">
        <f t="shared" ca="1" si="20"/>
        <v>19.889502762430933</v>
      </c>
      <c r="BB59" s="603" t="str">
        <f t="shared" ca="1" si="20"/>
        <v>N</v>
      </c>
      <c r="BC59" s="603">
        <f t="shared" ca="1" si="20"/>
        <v>-21.823204419889507</v>
      </c>
      <c r="BD59" s="603" t="str">
        <f t="shared" ca="1" si="20"/>
        <v>N</v>
      </c>
      <c r="BE59" s="602" t="str">
        <f t="shared" si="20"/>
        <v/>
      </c>
      <c r="BF59" s="604"/>
      <c r="BG59" s="601">
        <f t="shared" ca="1" si="21"/>
        <v>165.94470046082947</v>
      </c>
      <c r="BH59" s="603">
        <f t="shared" ca="1" si="22"/>
        <v>371.12582781456956</v>
      </c>
      <c r="BI59" s="603">
        <f t="shared" ca="1" si="23"/>
        <v>56.466431095406342</v>
      </c>
      <c r="BJ59" s="603" t="str">
        <f t="shared" ca="1" si="24"/>
        <v>N</v>
      </c>
      <c r="BK59" s="602" t="str">
        <f t="shared" si="25"/>
        <v/>
      </c>
      <c r="BL59" s="604"/>
      <c r="BM59" s="601">
        <f t="shared" ca="1" si="26"/>
        <v>100.12129613585171</v>
      </c>
      <c r="BN59" s="603">
        <f t="shared" ca="1" si="26"/>
        <v>161.40005622715776</v>
      </c>
      <c r="BO59" s="603">
        <f t="shared" ca="1" si="26"/>
        <v>1.6711833785004515</v>
      </c>
      <c r="BP59" s="603" t="str">
        <f t="shared" ca="1" si="26"/>
        <v>N</v>
      </c>
      <c r="BQ59" s="602" t="str">
        <f t="shared" si="26"/>
        <v/>
      </c>
      <c r="BR59" s="604"/>
      <c r="BS59" s="601">
        <f t="shared" ca="1" si="27"/>
        <v>12.165555459347122</v>
      </c>
      <c r="BT59" s="603">
        <f t="shared" ca="1" si="27"/>
        <v>-31.953108195310818</v>
      </c>
      <c r="BU59" s="603">
        <f t="shared" ca="1" si="27"/>
        <v>194.40248778320745</v>
      </c>
      <c r="BV59" s="603" t="str">
        <f t="shared" ca="1" si="27"/>
        <v>N</v>
      </c>
      <c r="BW59" s="602" t="str">
        <f t="shared" si="27"/>
        <v/>
      </c>
      <c r="BX59" s="604"/>
      <c r="BY59" s="601">
        <f t="shared" ca="1" si="28"/>
        <v>10.236220472440971</v>
      </c>
      <c r="BZ59" s="603">
        <f t="shared" ca="1" si="28"/>
        <v>12.849691797060213</v>
      </c>
      <c r="CA59" s="603">
        <f t="shared" ca="1" si="28"/>
        <v>7.7410593028519825</v>
      </c>
      <c r="CB59" s="603" t="str">
        <f t="shared" ca="1" si="28"/>
        <v>N</v>
      </c>
      <c r="CC59" s="602" t="str">
        <f t="shared" si="28"/>
        <v/>
      </c>
      <c r="CD59" s="604"/>
      <c r="CE59" s="601">
        <f t="shared" ca="1" si="29"/>
        <v>-48.564425770308141</v>
      </c>
      <c r="CF59" s="603">
        <f t="shared" ca="1" si="30"/>
        <v>-48.123249299719895</v>
      </c>
      <c r="CG59" s="603">
        <f t="shared" ca="1" si="31"/>
        <v>-49.005602240896366</v>
      </c>
      <c r="CH59" s="603" t="str">
        <f t="shared" ca="1" si="32"/>
        <v>N</v>
      </c>
      <c r="CI59" s="602" t="str">
        <f t="shared" si="33"/>
        <v/>
      </c>
      <c r="CJ59" s="604"/>
      <c r="CK59" s="601">
        <f t="shared" ca="1" si="34"/>
        <v>11.953710006807361</v>
      </c>
      <c r="CL59" s="603">
        <f t="shared" ca="1" si="35"/>
        <v>70.761339092872589</v>
      </c>
      <c r="CM59" s="603">
        <f t="shared" ca="1" si="36"/>
        <v>-47.871463883548472</v>
      </c>
      <c r="CN59" s="603" t="str">
        <f t="shared" ca="1" si="37"/>
        <v>N</v>
      </c>
      <c r="CO59" s="602" t="str">
        <f t="shared" si="38"/>
        <v/>
      </c>
      <c r="CP59" s="604"/>
      <c r="CQ59" s="601">
        <f t="shared" ca="1" si="39"/>
        <v>-17.317280797762379</v>
      </c>
      <c r="CR59" s="603">
        <f t="shared" ca="1" si="40"/>
        <v>-64.679841897233203</v>
      </c>
      <c r="CS59" s="603">
        <f t="shared" ca="1" si="41"/>
        <v>140.5163329820864</v>
      </c>
      <c r="CT59" s="603" t="str">
        <f t="shared" ca="1" si="42"/>
        <v>N</v>
      </c>
      <c r="CU59" s="602" t="str">
        <f t="shared" si="43"/>
        <v/>
      </c>
      <c r="CV59" s="604"/>
      <c r="CW59" s="601">
        <f t="shared" ca="1" si="44"/>
        <v>-13.781438446830396</v>
      </c>
      <c r="CX59" s="603">
        <f t="shared" ca="1" si="45"/>
        <v>42.032229185317838</v>
      </c>
      <c r="CY59" s="603">
        <f t="shared" ca="1" si="46"/>
        <v>-41.095290251916751</v>
      </c>
      <c r="CZ59" s="603" t="str">
        <f t="shared" ca="1" si="47"/>
        <v>N</v>
      </c>
      <c r="DA59" s="602" t="str">
        <f t="shared" si="48"/>
        <v/>
      </c>
      <c r="DB59" s="604"/>
      <c r="DC59" s="601">
        <f t="shared" ca="1" si="49"/>
        <v>3.667690208120078</v>
      </c>
      <c r="DD59" s="603">
        <f t="shared" ca="1" si="50"/>
        <v>10.463283958398971</v>
      </c>
      <c r="DE59" s="603">
        <f t="shared" ca="1" si="51"/>
        <v>-4.351059873558949</v>
      </c>
      <c r="DF59" s="603" t="str">
        <f t="shared" ca="1" si="52"/>
        <v>N</v>
      </c>
      <c r="DG59" s="602" t="str">
        <f t="shared" si="53"/>
        <v/>
      </c>
      <c r="DH59" s="604"/>
      <c r="DI59" s="601">
        <f t="shared" ca="1" si="54"/>
        <v>6.9113049201908971</v>
      </c>
      <c r="DJ59" s="603">
        <f t="shared" ca="1" si="55"/>
        <v>-54.52211126961484</v>
      </c>
      <c r="DK59" s="603">
        <f t="shared" ca="1" si="56"/>
        <v>90.629860031104229</v>
      </c>
      <c r="DL59" s="603" t="str">
        <f t="shared" ca="1" si="57"/>
        <v>N</v>
      </c>
      <c r="DM59" s="602" t="str">
        <f t="shared" si="58"/>
        <v/>
      </c>
      <c r="DN59" s="604"/>
      <c r="DO59" s="601">
        <f t="shared" ca="1" si="59"/>
        <v>1.5391719255042347E-2</v>
      </c>
      <c r="DP59" s="603">
        <f t="shared" ca="1" si="60"/>
        <v>10.727728983688834</v>
      </c>
      <c r="DQ59" s="603">
        <f t="shared" ca="1" si="61"/>
        <v>-3.4672649398327704</v>
      </c>
      <c r="DR59" s="603" t="str">
        <f t="shared" ca="1" si="62"/>
        <v>N</v>
      </c>
      <c r="DS59" s="602" t="str">
        <f t="shared" si="63"/>
        <v/>
      </c>
      <c r="DT59" s="604"/>
      <c r="DU59" s="601">
        <f t="shared" ca="1" si="64"/>
        <v>46.722068328716524</v>
      </c>
      <c r="DV59" s="603">
        <f t="shared" ca="1" si="65"/>
        <v>94.730878186968837</v>
      </c>
      <c r="DW59" s="603">
        <f t="shared" ca="1" si="66"/>
        <v>28.818930910627504</v>
      </c>
      <c r="DX59" s="603" t="str">
        <f t="shared" ca="1" si="67"/>
        <v>N</v>
      </c>
      <c r="DY59" s="602" t="str">
        <f t="shared" si="68"/>
        <v/>
      </c>
      <c r="DZ59" s="604"/>
      <c r="EA59" s="601">
        <f t="shared" ca="1" si="69"/>
        <v>-4.0381791483112934</v>
      </c>
      <c r="EB59" s="603">
        <f t="shared" ca="1" si="70"/>
        <v>-45.824847250509158</v>
      </c>
      <c r="EC59" s="603">
        <f t="shared" ca="1" si="71"/>
        <v>19.517795637198642</v>
      </c>
      <c r="ED59" s="603" t="str">
        <f t="shared" ca="1" si="72"/>
        <v>N</v>
      </c>
      <c r="EE59" s="602" t="str">
        <f t="shared" si="73"/>
        <v/>
      </c>
      <c r="EF59" s="604"/>
      <c r="EG59" s="601">
        <f t="shared" ca="1" si="74"/>
        <v>0</v>
      </c>
      <c r="EH59" s="603">
        <f t="shared" ca="1" si="75"/>
        <v>0</v>
      </c>
      <c r="EI59" s="603">
        <f t="shared" ca="1" si="76"/>
        <v>0</v>
      </c>
      <c r="EJ59" s="603" t="str">
        <f t="shared" ca="1" si="77"/>
        <v>N</v>
      </c>
      <c r="EK59" s="602" t="str">
        <f t="shared" si="78"/>
        <v/>
      </c>
      <c r="EL59" s="604"/>
      <c r="EM59" s="601">
        <f t="shared" ca="1" si="79"/>
        <v>0</v>
      </c>
      <c r="EN59" s="603">
        <f t="shared" ca="1" si="80"/>
        <v>0</v>
      </c>
      <c r="EO59" s="603">
        <f t="shared" ca="1" si="81"/>
        <v>0</v>
      </c>
      <c r="EP59" s="603" t="str">
        <f t="shared" ca="1" si="82"/>
        <v>N</v>
      </c>
      <c r="EQ59" s="602" t="str">
        <f t="shared" si="83"/>
        <v/>
      </c>
      <c r="ER59" s="604"/>
      <c r="ES59" s="601">
        <f t="shared" ca="1" si="84"/>
        <v>0</v>
      </c>
      <c r="ET59" s="603">
        <f t="shared" ca="1" si="85"/>
        <v>0</v>
      </c>
      <c r="EU59" s="603">
        <f t="shared" ca="1" si="86"/>
        <v>0</v>
      </c>
      <c r="EV59" s="603" t="str">
        <f t="shared" ca="1" si="87"/>
        <v>N</v>
      </c>
      <c r="EW59" s="602" t="str">
        <f t="shared" si="88"/>
        <v/>
      </c>
      <c r="EX59" s="604"/>
    </row>
    <row r="60" spans="1:154">
      <c r="B60" s="600" t="s">
        <v>401</v>
      </c>
      <c r="C60" s="3781" t="s">
        <v>1376</v>
      </c>
      <c r="D60" s="3782"/>
      <c r="E60" s="601"/>
      <c r="F60" s="602"/>
      <c r="G60" s="603"/>
      <c r="H60" s="603"/>
      <c r="I60" s="603"/>
      <c r="J60" s="604"/>
      <c r="K60" s="601">
        <f t="shared" ca="1" si="13"/>
        <v>27.177838426442811</v>
      </c>
      <c r="L60" s="602">
        <f t="shared" ca="1" si="13"/>
        <v>6.6135050113395266</v>
      </c>
      <c r="M60" s="603">
        <f t="shared" ca="1" si="13"/>
        <v>25.408763249481936</v>
      </c>
      <c r="N60" s="603">
        <f t="shared" ca="1" si="13"/>
        <v>35.703879926758518</v>
      </c>
      <c r="O60" s="603">
        <f t="shared" ca="1" si="13"/>
        <v>6199.9999999999991</v>
      </c>
      <c r="P60" s="604"/>
      <c r="Q60" s="601">
        <f t="shared" ca="1" si="14"/>
        <v>22.916288458672597</v>
      </c>
      <c r="R60" s="602">
        <f t="shared" ca="1" si="14"/>
        <v>29.945790159884723</v>
      </c>
      <c r="S60" s="603">
        <f t="shared" ca="1" si="14"/>
        <v>20.520088394470193</v>
      </c>
      <c r="T60" s="603">
        <f t="shared" ca="1" si="14"/>
        <v>27.877086718865417</v>
      </c>
      <c r="U60" s="603">
        <f t="shared" ca="1" si="14"/>
        <v>77.777777777777814</v>
      </c>
      <c r="V60" s="604"/>
      <c r="W60" s="601">
        <f t="shared" ca="1" si="15"/>
        <v>19.376114592816783</v>
      </c>
      <c r="X60" s="602">
        <f t="shared" ca="1" si="15"/>
        <v>32.148703596134531</v>
      </c>
      <c r="Y60" s="603">
        <f t="shared" ca="1" si="15"/>
        <v>15.400309646268507</v>
      </c>
      <c r="Z60" s="603">
        <f t="shared" ca="1" si="15"/>
        <v>26.848428835489834</v>
      </c>
      <c r="AA60" s="603">
        <f t="shared" ca="1" si="15"/>
        <v>7.5892857142856984</v>
      </c>
      <c r="AB60" s="604"/>
      <c r="AC60" s="601">
        <f t="shared" ca="1" si="16"/>
        <v>0.70890554512232917</v>
      </c>
      <c r="AD60" s="602">
        <f t="shared" ca="1" si="16"/>
        <v>-31.228771228771222</v>
      </c>
      <c r="AE60" s="603">
        <f t="shared" ca="1" si="16"/>
        <v>1.9189116976584319</v>
      </c>
      <c r="AF60" s="603">
        <f t="shared" ca="1" si="16"/>
        <v>2.9769277474195555</v>
      </c>
      <c r="AG60" s="603">
        <f t="shared" ca="1" si="16"/>
        <v>-27.800829875518673</v>
      </c>
      <c r="AH60" s="604"/>
      <c r="AI60" s="601">
        <f t="shared" ca="1" si="17"/>
        <v>-4.234494240691788</v>
      </c>
      <c r="AJ60" s="602">
        <f t="shared" ca="1" si="17"/>
        <v>41.789657176060444</v>
      </c>
      <c r="AK60" s="603">
        <f t="shared" ca="1" si="17"/>
        <v>-5.9796689582084284</v>
      </c>
      <c r="AL60" s="603">
        <f t="shared" ca="1" si="17"/>
        <v>-5.2151200155657556</v>
      </c>
      <c r="AM60" s="603">
        <f t="shared" ca="1" si="17"/>
        <v>-125.2873563218391</v>
      </c>
      <c r="AN60" s="604"/>
      <c r="AO60" s="601">
        <f t="shared" ca="1" si="18"/>
        <v>2.7272518399951151</v>
      </c>
      <c r="AP60" s="602">
        <f t="shared" ca="1" si="18"/>
        <v>21.383493156298638</v>
      </c>
      <c r="AQ60" s="603">
        <f t="shared" ca="1" si="18"/>
        <v>1.4365634010037986</v>
      </c>
      <c r="AR60" s="603">
        <f t="shared" ca="1" si="18"/>
        <v>2.6020477985543522</v>
      </c>
      <c r="AS60" s="603">
        <f t="shared" ca="1" si="18"/>
        <v>334.09090909090901</v>
      </c>
      <c r="AT60" s="604"/>
      <c r="AU60" s="601">
        <f t="shared" ca="1" si="19"/>
        <v>8.2946276801956209</v>
      </c>
      <c r="AV60" s="602">
        <f t="shared" ca="1" si="19"/>
        <v>9.3045239702903579</v>
      </c>
      <c r="AW60" s="603">
        <f t="shared" ca="1" si="19"/>
        <v>10.318831934075501</v>
      </c>
      <c r="AX60" s="603">
        <f t="shared" ca="1" si="19"/>
        <v>3.9165519791925618</v>
      </c>
      <c r="AY60" s="603">
        <f t="shared" ca="1" si="19"/>
        <v>21.465968586387451</v>
      </c>
      <c r="AZ60" s="604"/>
      <c r="BA60" s="601">
        <f t="shared" ca="1" si="20"/>
        <v>10.889780407585835</v>
      </c>
      <c r="BB60" s="602">
        <f t="shared" ca="1" si="20"/>
        <v>10.739436619718301</v>
      </c>
      <c r="BC60" s="603">
        <f t="shared" ca="1" si="20"/>
        <v>13.928016667815314</v>
      </c>
      <c r="BD60" s="603">
        <f t="shared" ca="1" si="20"/>
        <v>4.2310138213895954</v>
      </c>
      <c r="BE60" s="603">
        <f t="shared" ca="1" si="20"/>
        <v>-30.172413793103448</v>
      </c>
      <c r="BF60" s="604"/>
      <c r="BG60" s="601">
        <f t="shared" ca="1" si="21"/>
        <v>13.457156870048937</v>
      </c>
      <c r="BH60" s="602">
        <f t="shared" ca="1" si="22"/>
        <v>9.1400998521741883</v>
      </c>
      <c r="BI60" s="603">
        <f t="shared" ca="1" si="23"/>
        <v>15.173174374938924</v>
      </c>
      <c r="BJ60" s="603">
        <f t="shared" ca="1" si="24"/>
        <v>10.195182840478489</v>
      </c>
      <c r="BK60" s="603">
        <f t="shared" ca="1" si="25"/>
        <v>208.02469135802463</v>
      </c>
      <c r="BL60" s="604"/>
      <c r="BM60" s="601">
        <f t="shared" ca="1" si="26"/>
        <v>16.551506205805943</v>
      </c>
      <c r="BN60" s="602">
        <f t="shared" ca="1" si="26"/>
        <v>14.814720163557361</v>
      </c>
      <c r="BO60" s="603">
        <f t="shared" ca="1" si="26"/>
        <v>19.545990804263337</v>
      </c>
      <c r="BP60" s="603">
        <f t="shared" ca="1" si="26"/>
        <v>9.3672377798208917</v>
      </c>
      <c r="BQ60" s="603">
        <f t="shared" ca="1" si="26"/>
        <v>28.009619238476958</v>
      </c>
      <c r="BR60" s="604"/>
      <c r="BS60" s="601">
        <f t="shared" ca="1" si="27"/>
        <v>20.625303696470198</v>
      </c>
      <c r="BT60" s="602">
        <f t="shared" ca="1" si="27"/>
        <v>20.215015469539498</v>
      </c>
      <c r="BU60" s="603">
        <f t="shared" ca="1" si="27"/>
        <v>22.220400934827399</v>
      </c>
      <c r="BV60" s="603">
        <f t="shared" ca="1" si="27"/>
        <v>16.326843405725743</v>
      </c>
      <c r="BW60" s="603">
        <f t="shared" ca="1" si="27"/>
        <v>9.1891891891892072</v>
      </c>
      <c r="BX60" s="604"/>
      <c r="BY60" s="601">
        <f t="shared" ca="1" si="28"/>
        <v>19.933153649304746</v>
      </c>
      <c r="BZ60" s="602">
        <f t="shared" ca="1" si="28"/>
        <v>35.30522690662665</v>
      </c>
      <c r="CA60" s="603">
        <f t="shared" ca="1" si="28"/>
        <v>21.127118878411611</v>
      </c>
      <c r="CB60" s="603">
        <f t="shared" ca="1" si="28"/>
        <v>13.170513572971455</v>
      </c>
      <c r="CC60" s="603">
        <f t="shared" ca="1" si="28"/>
        <v>-21.287128712871294</v>
      </c>
      <c r="CD60" s="604"/>
      <c r="CE60" s="601">
        <f t="shared" ca="1" si="29"/>
        <v>16.462746300672837</v>
      </c>
      <c r="CF60" s="602">
        <f t="shared" ca="1" si="30"/>
        <v>4.1230482915281197</v>
      </c>
      <c r="CG60" s="603">
        <f t="shared" ca="1" si="31"/>
        <v>15.498068634255047</v>
      </c>
      <c r="CH60" s="603">
        <f t="shared" ca="1" si="32"/>
        <v>22.625666788970111</v>
      </c>
      <c r="CI60" s="603">
        <f t="shared" ca="1" si="33"/>
        <v>-40.25157232704403</v>
      </c>
      <c r="CJ60" s="604"/>
      <c r="CK60" s="601">
        <f t="shared" ca="1" si="34"/>
        <v>-16.557286032043038</v>
      </c>
      <c r="CL60" s="602">
        <f t="shared" ca="1" si="35"/>
        <v>-27.249310027598906</v>
      </c>
      <c r="CM60" s="603">
        <f t="shared" ca="1" si="36"/>
        <v>-20.793171232125328</v>
      </c>
      <c r="CN60" s="603">
        <f t="shared" ca="1" si="37"/>
        <v>-1.8856090684159055</v>
      </c>
      <c r="CO60" s="603">
        <f t="shared" ca="1" si="38"/>
        <v>-82.10526315789474</v>
      </c>
      <c r="CP60" s="604"/>
      <c r="CQ60" s="601">
        <f t="shared" ca="1" si="39"/>
        <v>-4.2435211792029808</v>
      </c>
      <c r="CR60" s="602">
        <f t="shared" ca="1" si="40"/>
        <v>-16.744345689717456</v>
      </c>
      <c r="CS60" s="603">
        <f t="shared" ca="1" si="41"/>
        <v>-0.80092932257276317</v>
      </c>
      <c r="CT60" s="603">
        <f t="shared" ca="1" si="42"/>
        <v>-10.304786145337896</v>
      </c>
      <c r="CU60" s="603">
        <f t="shared" ca="1" si="43"/>
        <v>905.88235294117646</v>
      </c>
      <c r="CV60" s="604"/>
      <c r="CW60" s="601">
        <f t="shared" ca="1" si="44"/>
        <v>7.2025534526711343</v>
      </c>
      <c r="CX60" s="602">
        <f t="shared" ca="1" si="45"/>
        <v>2.3716015362249543</v>
      </c>
      <c r="CY60" s="603">
        <f t="shared" ca="1" si="46"/>
        <v>8.5118078047859989</v>
      </c>
      <c r="CZ60" s="603">
        <f t="shared" ca="1" si="47"/>
        <v>4.5275333132821505</v>
      </c>
      <c r="DA60" s="603">
        <f t="shared" ca="1" si="48"/>
        <v>-19.883040935672515</v>
      </c>
      <c r="DB60" s="604"/>
      <c r="DC60" s="601">
        <f t="shared" ca="1" si="49"/>
        <v>5.5380206228158757</v>
      </c>
      <c r="DD60" s="602">
        <f t="shared" ca="1" si="50"/>
        <v>-2.5222551928783421</v>
      </c>
      <c r="DE60" s="603">
        <f t="shared" ca="1" si="51"/>
        <v>7.5180596641227337</v>
      </c>
      <c r="DF60" s="603">
        <f t="shared" ca="1" si="52"/>
        <v>1.3849055305520608</v>
      </c>
      <c r="DG60" s="603">
        <f t="shared" ca="1" si="53"/>
        <v>-84.671532846715323</v>
      </c>
      <c r="DH60" s="604"/>
      <c r="DI60" s="601">
        <f t="shared" ca="1" si="54"/>
        <v>5.8994147360147409</v>
      </c>
      <c r="DJ60" s="602">
        <f t="shared" ca="1" si="55"/>
        <v>5.201130680582744</v>
      </c>
      <c r="DK60" s="603">
        <f t="shared" ca="1" si="56"/>
        <v>6.9517246435248037</v>
      </c>
      <c r="DL60" s="603">
        <f t="shared" ca="1" si="57"/>
        <v>2.9874044070693273</v>
      </c>
      <c r="DM60" s="603">
        <f t="shared" ca="1" si="58"/>
        <v>76.190476190476161</v>
      </c>
      <c r="DN60" s="604"/>
      <c r="DO60" s="601">
        <f t="shared" ca="1" si="59"/>
        <v>6.4129692882434197</v>
      </c>
      <c r="DP60" s="602">
        <f t="shared" ca="1" si="60"/>
        <v>1.990409656483827</v>
      </c>
      <c r="DQ60" s="603">
        <f t="shared" ca="1" si="61"/>
        <v>7.5398549446339835</v>
      </c>
      <c r="DR60" s="603">
        <f t="shared" ca="1" si="62"/>
        <v>3.7053123455495829</v>
      </c>
      <c r="DS60" s="603">
        <f t="shared" ca="1" si="63"/>
        <v>-148.64864864864865</v>
      </c>
      <c r="DT60" s="604"/>
      <c r="DU60" s="601">
        <f t="shared" ca="1" si="64"/>
        <v>6.9293958600731953</v>
      </c>
      <c r="DV60" s="602">
        <f t="shared" ca="1" si="65"/>
        <v>2.6405917519505717</v>
      </c>
      <c r="DW60" s="603">
        <f t="shared" ca="1" si="66"/>
        <v>8.034622101116117</v>
      </c>
      <c r="DX60" s="603">
        <f t="shared" ca="1" si="67"/>
        <v>4.1350028161691199</v>
      </c>
      <c r="DY60" s="603">
        <f t="shared" ca="1" si="68"/>
        <v>-94.444444444444443</v>
      </c>
      <c r="DZ60" s="604"/>
      <c r="EA60" s="601">
        <f t="shared" ca="1" si="69"/>
        <v>8.260963543531874</v>
      </c>
      <c r="EB60" s="602">
        <f t="shared" ca="1" si="70"/>
        <v>-3.3861159374506511</v>
      </c>
      <c r="EC60" s="603">
        <f t="shared" ca="1" si="71"/>
        <v>9.6473121750138233</v>
      </c>
      <c r="ED60" s="603">
        <f t="shared" ca="1" si="72"/>
        <v>5.4652720570491864</v>
      </c>
      <c r="EE60" s="603">
        <f t="shared" ca="1" si="73"/>
        <v>4600</v>
      </c>
      <c r="EF60" s="604"/>
      <c r="EG60" s="601">
        <f t="shared" ca="1" si="74"/>
        <v>8.981946438877042</v>
      </c>
      <c r="EH60" s="602">
        <f t="shared" ca="1" si="75"/>
        <v>6.4999999999999947</v>
      </c>
      <c r="EI60" s="603">
        <f t="shared" ca="1" si="76"/>
        <v>10.200905798379868</v>
      </c>
      <c r="EJ60" s="603">
        <f t="shared" ca="1" si="77"/>
        <v>5.2500506456830021</v>
      </c>
      <c r="EK60" s="603">
        <f t="shared" ca="1" si="78"/>
        <v>-100</v>
      </c>
      <c r="EL60" s="604"/>
      <c r="EM60" s="601">
        <f t="shared" ca="1" si="79"/>
        <v>5.961773666944703</v>
      </c>
      <c r="EN60" s="602">
        <f t="shared" ca="1" si="80"/>
        <v>6.4999999999999947</v>
      </c>
      <c r="EO60" s="603">
        <f t="shared" ca="1" si="81"/>
        <v>6.2055024258300451</v>
      </c>
      <c r="EP60" s="603">
        <f t="shared" ca="1" si="82"/>
        <v>5.0435315257880697</v>
      </c>
      <c r="EQ60" s="603" t="str">
        <f t="shared" ca="1" si="83"/>
        <v>N</v>
      </c>
      <c r="ER60" s="604"/>
      <c r="ES60" s="601">
        <f t="shared" ca="1" si="84"/>
        <v>5.8131671142300778</v>
      </c>
      <c r="ET60" s="602">
        <f t="shared" ca="1" si="85"/>
        <v>6.0000000000000053</v>
      </c>
      <c r="EU60" s="603">
        <f t="shared" ca="1" si="86"/>
        <v>5.8939288213777807</v>
      </c>
      <c r="EV60" s="603">
        <f t="shared" ca="1" si="87"/>
        <v>5.5043480270370093</v>
      </c>
      <c r="EW60" s="603" t="str">
        <f t="shared" ca="1" si="88"/>
        <v>N</v>
      </c>
      <c r="EX60" s="604"/>
    </row>
    <row r="61" spans="1:154" ht="13.5" thickBot="1">
      <c r="B61" s="600" t="s">
        <v>1769</v>
      </c>
      <c r="C61" s="3785" t="s">
        <v>1377</v>
      </c>
      <c r="D61" s="3786"/>
      <c r="E61" s="3455"/>
      <c r="F61" s="3455"/>
      <c r="G61" s="3455"/>
      <c r="H61" s="3455"/>
      <c r="I61" s="3455"/>
      <c r="J61" s="604"/>
      <c r="K61" s="3455">
        <f t="shared" ca="1" si="13"/>
        <v>25.112023712101596</v>
      </c>
      <c r="L61" s="3455">
        <f t="shared" ca="1" si="13"/>
        <v>25.031642775144981</v>
      </c>
      <c r="M61" s="3455">
        <f t="shared" ca="1" si="13"/>
        <v>27.608025084762989</v>
      </c>
      <c r="N61" s="3455">
        <f t="shared" ca="1" si="13"/>
        <v>11.437025971041169</v>
      </c>
      <c r="O61" s="3455" t="str">
        <f t="shared" si="13"/>
        <v/>
      </c>
      <c r="P61" s="604"/>
      <c r="Q61" s="3455">
        <f t="shared" ca="1" si="14"/>
        <v>13.7365168438496</v>
      </c>
      <c r="R61" s="3455">
        <f t="shared" ca="1" si="14"/>
        <v>12.952421310356188</v>
      </c>
      <c r="S61" s="3455">
        <f t="shared" ca="1" si="14"/>
        <v>14.996963449521395</v>
      </c>
      <c r="T61" s="3455">
        <f t="shared" ca="1" si="14"/>
        <v>9.8997138363968507</v>
      </c>
      <c r="U61" s="3455" t="str">
        <f t="shared" si="14"/>
        <v/>
      </c>
      <c r="V61" s="604"/>
      <c r="W61" s="3455">
        <f t="shared" ca="1" si="15"/>
        <v>4.2911095447994541</v>
      </c>
      <c r="X61" s="3455">
        <f t="shared" ca="1" si="15"/>
        <v>7.372005969303097</v>
      </c>
      <c r="Y61" s="3455">
        <f t="shared" ca="1" si="15"/>
        <v>1.8963306800453994</v>
      </c>
      <c r="Z61" s="3455">
        <f t="shared" ca="1" si="15"/>
        <v>3.1222876445611947</v>
      </c>
      <c r="AA61" s="3455" t="str">
        <f t="shared" si="15"/>
        <v/>
      </c>
      <c r="AB61" s="604"/>
      <c r="AC61" s="3455">
        <f t="shared" ca="1" si="16"/>
        <v>-5.060892780288329</v>
      </c>
      <c r="AD61" s="3455">
        <f t="shared" ca="1" si="16"/>
        <v>-2.4683689275911247</v>
      </c>
      <c r="AE61" s="3455">
        <f t="shared" ca="1" si="16"/>
        <v>-8.2440832387128733</v>
      </c>
      <c r="AF61" s="3455">
        <f t="shared" ca="1" si="16"/>
        <v>0.98498635122843403</v>
      </c>
      <c r="AG61" s="3455" t="str">
        <f t="shared" si="16"/>
        <v/>
      </c>
      <c r="AH61" s="604"/>
      <c r="AI61" s="3455">
        <f t="shared" ca="1" si="17"/>
        <v>16.473146536382167</v>
      </c>
      <c r="AJ61" s="3455">
        <f t="shared" ca="1" si="17"/>
        <v>0.19066877370919055</v>
      </c>
      <c r="AK61" s="3455">
        <f t="shared" ca="1" si="17"/>
        <v>34.17664131044711</v>
      </c>
      <c r="AL61" s="3455">
        <f t="shared" ca="1" si="17"/>
        <v>1.3020070731872391</v>
      </c>
      <c r="AM61" s="3455" t="str">
        <f t="shared" si="17"/>
        <v/>
      </c>
      <c r="AN61" s="604"/>
      <c r="AO61" s="3455">
        <f t="shared" ca="1" si="18"/>
        <v>9.7573657636235378</v>
      </c>
      <c r="AP61" s="3455">
        <f t="shared" ca="1" si="18"/>
        <v>-5.1529598728645265</v>
      </c>
      <c r="AQ61" s="3455">
        <f t="shared" ca="1" si="18"/>
        <v>21.417295357107214</v>
      </c>
      <c r="AR61" s="3455">
        <f t="shared" ca="1" si="18"/>
        <v>-0.40915256498633701</v>
      </c>
      <c r="AS61" s="3455" t="str">
        <f t="shared" si="18"/>
        <v/>
      </c>
      <c r="AT61" s="604"/>
      <c r="AU61" s="3455">
        <f t="shared" ca="1" si="19"/>
        <v>5.6667179190959649</v>
      </c>
      <c r="AV61" s="3455">
        <f t="shared" ca="1" si="19"/>
        <v>-1.7136514053533225</v>
      </c>
      <c r="AW61" s="3455">
        <f t="shared" ca="1" si="19"/>
        <v>10.36110940034083</v>
      </c>
      <c r="AX61" s="3455">
        <f t="shared" ca="1" si="19"/>
        <v>-0.9467032844351686</v>
      </c>
      <c r="AY61" s="3455" t="str">
        <f t="shared" si="19"/>
        <v/>
      </c>
      <c r="AZ61" s="604"/>
      <c r="BA61" s="3455">
        <f t="shared" ca="1" si="20"/>
        <v>10.303398153707333</v>
      </c>
      <c r="BB61" s="3455">
        <f t="shared" ca="1" si="20"/>
        <v>3.8527269550245213</v>
      </c>
      <c r="BC61" s="3455">
        <f t="shared" ca="1" si="20"/>
        <v>13.795569444961187</v>
      </c>
      <c r="BD61" s="3455">
        <f t="shared" ca="1" si="20"/>
        <v>6.3431237743163393</v>
      </c>
      <c r="BE61" s="3455" t="str">
        <f t="shared" si="20"/>
        <v/>
      </c>
      <c r="BF61" s="604"/>
      <c r="BG61" s="3455">
        <f t="shared" ca="1" si="21"/>
        <v>8.3572709564630578</v>
      </c>
      <c r="BH61" s="3455">
        <f t="shared" ca="1" si="22"/>
        <v>4.637248183060505</v>
      </c>
      <c r="BI61" s="3455">
        <f t="shared" ca="1" si="23"/>
        <v>10.282290289301187</v>
      </c>
      <c r="BJ61" s="3455">
        <f t="shared" ca="1" si="24"/>
        <v>5.108421476567071</v>
      </c>
      <c r="BK61" s="3455" t="str">
        <f t="shared" si="25"/>
        <v/>
      </c>
      <c r="BL61" s="604"/>
      <c r="BM61" s="3455">
        <f t="shared" ca="1" si="26"/>
        <v>14.822598034753231</v>
      </c>
      <c r="BN61" s="3455">
        <f t="shared" ca="1" si="26"/>
        <v>11.833131355915594</v>
      </c>
      <c r="BO61" s="3455">
        <f t="shared" ca="1" si="26"/>
        <v>16.470925377853995</v>
      </c>
      <c r="BP61" s="3455">
        <f t="shared" ca="1" si="26"/>
        <v>10.006654970052487</v>
      </c>
      <c r="BQ61" s="3455" t="str">
        <f t="shared" si="26"/>
        <v/>
      </c>
      <c r="BR61" s="604"/>
      <c r="BS61" s="3455">
        <f t="shared" ca="1" si="27"/>
        <v>9.1261043455501891</v>
      </c>
      <c r="BT61" s="3455">
        <f t="shared" ca="1" si="27"/>
        <v>4.0788915346605892</v>
      </c>
      <c r="BU61" s="3455">
        <f t="shared" ca="1" si="27"/>
        <v>10.911965293479597</v>
      </c>
      <c r="BV61" s="3455">
        <f t="shared" ca="1" si="27"/>
        <v>12.355863535536882</v>
      </c>
      <c r="BW61" s="3455" t="str">
        <f t="shared" si="27"/>
        <v/>
      </c>
      <c r="BX61" s="604"/>
      <c r="BY61" s="3455">
        <f t="shared" ca="1" si="28"/>
        <v>19.989548566341742</v>
      </c>
      <c r="BZ61" s="3455">
        <f t="shared" ca="1" si="28"/>
        <v>7.5904199041720855</v>
      </c>
      <c r="CA61" s="3455">
        <f t="shared" ca="1" si="28"/>
        <v>25.017370960853235</v>
      </c>
      <c r="CB61" s="3455">
        <f t="shared" ca="1" si="28"/>
        <v>15.687970108828697</v>
      </c>
      <c r="CC61" s="3455" t="str">
        <f t="shared" si="28"/>
        <v/>
      </c>
      <c r="CD61" s="604"/>
      <c r="CE61" s="3455">
        <f t="shared" ca="1" si="29"/>
        <v>8.5700029107239182</v>
      </c>
      <c r="CF61" s="3455">
        <f t="shared" ca="1" si="30"/>
        <v>6.8062597671847636</v>
      </c>
      <c r="CG61" s="3455">
        <f t="shared" ca="1" si="31"/>
        <v>8.6467192885842934</v>
      </c>
      <c r="CH61" s="3455">
        <f t="shared" ca="1" si="32"/>
        <v>15.451878596412127</v>
      </c>
      <c r="CI61" s="3455" t="str">
        <f t="shared" si="33"/>
        <v/>
      </c>
      <c r="CJ61" s="604"/>
      <c r="CK61" s="3455">
        <f t="shared" ca="1" si="34"/>
        <v>-17.847232021071456</v>
      </c>
      <c r="CL61" s="3455">
        <f t="shared" ca="1" si="35"/>
        <v>-17.247142580679199</v>
      </c>
      <c r="CM61" s="3455">
        <f t="shared" ca="1" si="36"/>
        <v>-19.40306072643444</v>
      </c>
      <c r="CN61" s="3455">
        <f t="shared" ca="1" si="37"/>
        <v>-0.10017102369905828</v>
      </c>
      <c r="CO61" s="3455" t="str">
        <f t="shared" si="38"/>
        <v/>
      </c>
      <c r="CP61" s="604"/>
      <c r="CQ61" s="3455">
        <f t="shared" ca="1" si="39"/>
        <v>11.455316503837931</v>
      </c>
      <c r="CR61" s="3455">
        <f t="shared" ca="1" si="40"/>
        <v>-6.7762258080518389</v>
      </c>
      <c r="CS61" s="3455">
        <f t="shared" ca="1" si="41"/>
        <v>18.564404288572533</v>
      </c>
      <c r="CT61" s="3455">
        <f t="shared" ca="1" si="42"/>
        <v>-0.26779818533098076</v>
      </c>
      <c r="CU61" s="3455" t="str">
        <f t="shared" si="43"/>
        <v/>
      </c>
      <c r="CV61" s="604"/>
      <c r="CW61" s="3455">
        <f t="shared" ca="1" si="44"/>
        <v>15.465167305832384</v>
      </c>
      <c r="CX61" s="3455">
        <f t="shared" ca="1" si="45"/>
        <v>7.8183794631658365</v>
      </c>
      <c r="CY61" s="3455">
        <f t="shared" ca="1" si="46"/>
        <v>17.961648550475594</v>
      </c>
      <c r="CZ61" s="3455">
        <f t="shared" ca="1" si="47"/>
        <v>8.9689672507019544</v>
      </c>
      <c r="DA61" s="3455" t="str">
        <f t="shared" si="48"/>
        <v/>
      </c>
      <c r="DB61" s="604"/>
      <c r="DC61" s="3455">
        <f t="shared" ca="1" si="49"/>
        <v>8.3830539066769951</v>
      </c>
      <c r="DD61" s="3455">
        <f t="shared" ca="1" si="50"/>
        <v>15.29534526277201</v>
      </c>
      <c r="DE61" s="3455">
        <f t="shared" ca="1" si="51"/>
        <v>6.6374223718854708</v>
      </c>
      <c r="DF61" s="3455">
        <f t="shared" ca="1" si="52"/>
        <v>9.9072844701487028</v>
      </c>
      <c r="DG61" s="3455" t="str">
        <f t="shared" si="53"/>
        <v/>
      </c>
      <c r="DH61" s="604"/>
      <c r="DI61" s="3455">
        <f t="shared" ca="1" si="54"/>
        <v>4.4082670913658362</v>
      </c>
      <c r="DJ61" s="3455">
        <f t="shared" ca="1" si="55"/>
        <v>3.5889878185998425</v>
      </c>
      <c r="DK61" s="3455">
        <f t="shared" ca="1" si="56"/>
        <v>4.533556973609798</v>
      </c>
      <c r="DL61" s="3455">
        <f t="shared" ca="1" si="57"/>
        <v>5.5088606558216124</v>
      </c>
      <c r="DM61" s="3455" t="str">
        <f t="shared" si="58"/>
        <v/>
      </c>
      <c r="DN61" s="604"/>
      <c r="DO61" s="3455">
        <f t="shared" ca="1" si="59"/>
        <v>2.6792418708695642</v>
      </c>
      <c r="DP61" s="3455">
        <f t="shared" ca="1" si="60"/>
        <v>4.1255158001617165</v>
      </c>
      <c r="DQ61" s="3455">
        <f t="shared" ca="1" si="61"/>
        <v>2.1574887613674987</v>
      </c>
      <c r="DR61" s="3455">
        <f t="shared" ca="1" si="62"/>
        <v>4.7040558897729179</v>
      </c>
      <c r="DS61" s="3455" t="str">
        <f t="shared" ca="1" si="63"/>
        <v>N</v>
      </c>
      <c r="DT61" s="604"/>
      <c r="DU61" s="3455">
        <f t="shared" ca="1" si="64"/>
        <v>-1.9575046246510852</v>
      </c>
      <c r="DV61" s="3455">
        <f t="shared" ca="1" si="65"/>
        <v>6.957488002131762</v>
      </c>
      <c r="DW61" s="3455">
        <f t="shared" ca="1" si="66"/>
        <v>-4.5899728569255611</v>
      </c>
      <c r="DX61" s="3455">
        <f t="shared" ca="1" si="67"/>
        <v>2.2593320235757552</v>
      </c>
      <c r="DY61" s="3455" t="str">
        <f t="shared" si="68"/>
        <v/>
      </c>
      <c r="DZ61" s="604"/>
      <c r="EA61" s="3455">
        <f t="shared" ca="1" si="69"/>
        <v>-1.0738326923141694</v>
      </c>
      <c r="EB61" s="3455">
        <f t="shared" ca="1" si="70"/>
        <v>0.14656189125794583</v>
      </c>
      <c r="EC61" s="3455">
        <f t="shared" ca="1" si="71"/>
        <v>-1.8205130759804122</v>
      </c>
      <c r="ED61" s="3455">
        <f t="shared" ca="1" si="72"/>
        <v>3.5814619469667797</v>
      </c>
      <c r="EE61" s="3455" t="str">
        <f t="shared" si="73"/>
        <v/>
      </c>
      <c r="EF61" s="604"/>
      <c r="EG61" s="3455">
        <f t="shared" ca="1" si="74"/>
        <v>6.7160076493935739</v>
      </c>
      <c r="EH61" s="3455">
        <f t="shared" ca="1" si="75"/>
        <v>-2.2204460492503131E-14</v>
      </c>
      <c r="EI61" s="3455">
        <f t="shared" ca="1" si="76"/>
        <v>9.5795927224925581</v>
      </c>
      <c r="EJ61" s="3455">
        <f t="shared" ca="1" si="77"/>
        <v>3.6000000000000032</v>
      </c>
      <c r="EK61" s="3455" t="str">
        <f t="shared" si="78"/>
        <v/>
      </c>
      <c r="EL61" s="604"/>
      <c r="EM61" s="3455">
        <f t="shared" ca="1" si="79"/>
        <v>5.4374649643860407</v>
      </c>
      <c r="EN61" s="3455">
        <f t="shared" ca="1" si="80"/>
        <v>0</v>
      </c>
      <c r="EO61" s="3455">
        <f t="shared" ca="1" si="81"/>
        <v>6.6094783254695422</v>
      </c>
      <c r="EP61" s="3455">
        <f t="shared" ca="1" si="82"/>
        <v>1.9999999999999796</v>
      </c>
      <c r="EQ61" s="3455" t="str">
        <f t="shared" si="83"/>
        <v/>
      </c>
      <c r="ER61" s="604"/>
      <c r="ES61" s="3455">
        <f t="shared" ca="1" si="84"/>
        <v>5.2573339981000444</v>
      </c>
      <c r="ET61" s="3455">
        <f t="shared" ca="1" si="85"/>
        <v>2.2204460492503131E-14</v>
      </c>
      <c r="EU61" s="3455">
        <f t="shared" ca="1" si="86"/>
        <v>6.9283740021131468</v>
      </c>
      <c r="EV61" s="3455">
        <f t="shared" ca="1" si="87"/>
        <v>1.0000000000000453</v>
      </c>
      <c r="EW61" s="3455" t="str">
        <f t="shared" si="88"/>
        <v/>
      </c>
      <c r="EX61" s="604"/>
    </row>
    <row r="62" spans="1:154">
      <c r="B62" s="600" t="s">
        <v>1767</v>
      </c>
      <c r="C62" s="3781" t="s">
        <v>1378</v>
      </c>
      <c r="D62" s="3782"/>
      <c r="E62" s="3477"/>
      <c r="F62" s="3479"/>
      <c r="G62" s="3480"/>
      <c r="H62" s="602"/>
      <c r="I62" s="603"/>
      <c r="J62" s="556"/>
      <c r="K62" s="3477">
        <f t="shared" ref="K62:N66" ca="1" si="89">IF(K13="","",IF(E13=0,"N",(K13/E13-1)*100))</f>
        <v>25.940720317077371</v>
      </c>
      <c r="L62" s="3479">
        <f t="shared" ca="1" si="89"/>
        <v>25.940720317077371</v>
      </c>
      <c r="M62" s="3480" t="str">
        <f t="shared" si="89"/>
        <v/>
      </c>
      <c r="N62" s="602" t="str">
        <f t="shared" si="89"/>
        <v/>
      </c>
      <c r="O62" s="603"/>
      <c r="P62" s="556" t="str">
        <f ca="1">IF(ROUND(P13,2)=0,"ok","!")</f>
        <v>ok</v>
      </c>
      <c r="Q62" s="3477">
        <f t="shared" ref="Q62:T66" ca="1" si="90">IF(Q13="","",IF(K13=0,"N",(Q13/K13-1)*100))</f>
        <v>22.371154051398801</v>
      </c>
      <c r="R62" s="3479">
        <f t="shared" ca="1" si="90"/>
        <v>22.371154051398801</v>
      </c>
      <c r="S62" s="3480" t="str">
        <f t="shared" si="90"/>
        <v/>
      </c>
      <c r="T62" s="602" t="str">
        <f t="shared" si="90"/>
        <v/>
      </c>
      <c r="U62" s="603"/>
      <c r="V62" s="556" t="str">
        <f ca="1">IF(ROUND(V13,2)=0,"ok","!")</f>
        <v>ok</v>
      </c>
      <c r="W62" s="3477">
        <f t="shared" ref="W62:Z66" ca="1" si="91">IF(W13="","",IF(Q13=0,"N",(W13/Q13-1)*100))</f>
        <v>19.53797815124172</v>
      </c>
      <c r="X62" s="3479">
        <f t="shared" ca="1" si="91"/>
        <v>19.53797815124172</v>
      </c>
      <c r="Y62" s="3480" t="str">
        <f t="shared" si="91"/>
        <v/>
      </c>
      <c r="Z62" s="602" t="str">
        <f t="shared" si="91"/>
        <v/>
      </c>
      <c r="AA62" s="603"/>
      <c r="AB62" s="556" t="str">
        <f ca="1">IF(ROUND(AB13,2)=0,"ok","!")</f>
        <v>ok</v>
      </c>
      <c r="AC62" s="3477">
        <f t="shared" ref="AC62:AF66" ca="1" si="92">IF(AC13="","",IF(W13=0,"N",(AC13/W13-1)*100))</f>
        <v>1.0831905292854271</v>
      </c>
      <c r="AD62" s="3479">
        <f t="shared" ca="1" si="92"/>
        <v>1.0831905292854271</v>
      </c>
      <c r="AE62" s="3480" t="str">
        <f t="shared" si="92"/>
        <v/>
      </c>
      <c r="AF62" s="602" t="str">
        <f t="shared" si="92"/>
        <v/>
      </c>
      <c r="AG62" s="603"/>
      <c r="AH62" s="556" t="str">
        <f ca="1">IF(ROUND(AH13,2)=0,"ok","!")</f>
        <v>ok</v>
      </c>
      <c r="AI62" s="3477">
        <f t="shared" ref="AI62:AL66" ca="1" si="93">IF(AI13="","",IF(AC13=0,"N",(AI13/AC13-1)*100))</f>
        <v>-3.1057406509451768</v>
      </c>
      <c r="AJ62" s="3479">
        <f t="shared" ca="1" si="93"/>
        <v>-3.1057406509451768</v>
      </c>
      <c r="AK62" s="3480" t="str">
        <f t="shared" si="93"/>
        <v/>
      </c>
      <c r="AL62" s="602" t="str">
        <f t="shared" si="93"/>
        <v/>
      </c>
      <c r="AM62" s="603"/>
      <c r="AN62" s="556" t="str">
        <f ca="1">IF(ROUND(AN13,2)=0,"ok","!")</f>
        <v>ok</v>
      </c>
      <c r="AO62" s="3477">
        <f t="shared" ref="AO62:AR66" ca="1" si="94">IF(AO13="","",IF(AI13=0,"N",(AO13/AI13-1)*100))</f>
        <v>3.5416519432097893</v>
      </c>
      <c r="AP62" s="3479">
        <f t="shared" ca="1" si="94"/>
        <v>3.5416519432097893</v>
      </c>
      <c r="AQ62" s="3480" t="str">
        <f t="shared" si="94"/>
        <v/>
      </c>
      <c r="AR62" s="602" t="str">
        <f t="shared" si="94"/>
        <v/>
      </c>
      <c r="AS62" s="603"/>
      <c r="AT62" s="556" t="str">
        <f ca="1">IF(ROUND(AT13,2)=0,"ok","!")</f>
        <v>ok</v>
      </c>
      <c r="AU62" s="3477">
        <f t="shared" ref="AU62:AX66" ca="1" si="95">IF(AU13="","",IF(AO13=0,"N",(AU13/AO13-1)*100))</f>
        <v>8.2256776176341972</v>
      </c>
      <c r="AV62" s="3479">
        <f t="shared" ca="1" si="95"/>
        <v>8.2256776176341972</v>
      </c>
      <c r="AW62" s="3480" t="str">
        <f t="shared" si="95"/>
        <v/>
      </c>
      <c r="AX62" s="602" t="str">
        <f t="shared" si="95"/>
        <v/>
      </c>
      <c r="AY62" s="603"/>
      <c r="AZ62" s="556" t="str">
        <f ca="1">IF(ROUND(AZ13,2)=0,"ok","!")</f>
        <v>!</v>
      </c>
      <c r="BA62" s="3477">
        <f t="shared" ref="BA62:BD66" ca="1" si="96">IF(BA13="","",IF(AU13=0,"N",(BA13/AU13-1)*100))</f>
        <v>10.511818338324774</v>
      </c>
      <c r="BB62" s="3479">
        <f t="shared" ca="1" si="96"/>
        <v>10.511818338324774</v>
      </c>
      <c r="BC62" s="3480" t="str">
        <f t="shared" si="96"/>
        <v/>
      </c>
      <c r="BD62" s="602" t="str">
        <f t="shared" si="96"/>
        <v/>
      </c>
      <c r="BE62" s="603"/>
      <c r="BF62" s="556" t="str">
        <f ca="1">IF(ROUND(BF13,2)=0,"ok","!")</f>
        <v>!</v>
      </c>
      <c r="BG62" s="3477">
        <f t="shared" ca="1" si="21"/>
        <v>14.976948929810296</v>
      </c>
      <c r="BH62" s="3479">
        <f t="shared" ca="1" si="22"/>
        <v>14.976948929810296</v>
      </c>
      <c r="BI62" s="3480" t="str">
        <f t="shared" si="23"/>
        <v/>
      </c>
      <c r="BJ62" s="602" t="str">
        <f t="shared" si="24"/>
        <v/>
      </c>
      <c r="BK62" s="603"/>
      <c r="BL62" s="556" t="str">
        <f ca="1">IF(ROUND(BL13,2)=0,"ok","!")</f>
        <v>ok</v>
      </c>
      <c r="BM62" s="3477">
        <f t="shared" ref="BM62:BP66" ca="1" si="97">IF(BM13="","",IF(BG13=0,"N",(BM13/BG13-1)*100))</f>
        <v>16.783666132310238</v>
      </c>
      <c r="BN62" s="3479">
        <f t="shared" ca="1" si="97"/>
        <v>16.783666132310238</v>
      </c>
      <c r="BO62" s="3480" t="str">
        <f t="shared" si="97"/>
        <v/>
      </c>
      <c r="BP62" s="602" t="str">
        <f t="shared" si="97"/>
        <v/>
      </c>
      <c r="BQ62" s="603"/>
      <c r="BR62" s="556" t="str">
        <f ca="1">IF(ROUND(BR13,2)=0,"ok","!")</f>
        <v>ok</v>
      </c>
      <c r="BS62" s="3477">
        <f t="shared" ref="BS62:BV66" ca="1" si="98">IF(BS13="","",IF(BM13=0,"N",(BS13/BM13-1)*100))</f>
        <v>20.379113166497831</v>
      </c>
      <c r="BT62" s="3479">
        <f t="shared" ca="1" si="98"/>
        <v>20.379113166497831</v>
      </c>
      <c r="BU62" s="3480" t="str">
        <f t="shared" si="98"/>
        <v/>
      </c>
      <c r="BV62" s="602" t="str">
        <f t="shared" si="98"/>
        <v/>
      </c>
      <c r="BW62" s="603"/>
      <c r="BX62" s="556" t="str">
        <f ca="1">IF(ROUND(BX13,2)=0,"ok","!")</f>
        <v>ok</v>
      </c>
      <c r="BY62" s="3477">
        <f t="shared" ref="BY62:CB66" ca="1" si="99">IF(BY13="","",IF(BS13=0,"N",(BY13/BS13-1)*100))</f>
        <v>19.135757702987675</v>
      </c>
      <c r="BZ62" s="3479">
        <f t="shared" ca="1" si="99"/>
        <v>19.135757702987675</v>
      </c>
      <c r="CA62" s="3480" t="str">
        <f t="shared" si="99"/>
        <v/>
      </c>
      <c r="CB62" s="602" t="str">
        <f t="shared" si="99"/>
        <v/>
      </c>
      <c r="CC62" s="603"/>
      <c r="CD62" s="556" t="str">
        <f ca="1">IF(ROUND(CD13,2)=0,"ok","!")</f>
        <v>ok</v>
      </c>
      <c r="CE62" s="3477">
        <f t="shared" ca="1" si="29"/>
        <v>15.992461395891254</v>
      </c>
      <c r="CF62" s="3479">
        <f t="shared" ca="1" si="30"/>
        <v>15.992461395891254</v>
      </c>
      <c r="CG62" s="3480" t="str">
        <f t="shared" si="31"/>
        <v/>
      </c>
      <c r="CH62" s="602" t="str">
        <f t="shared" si="32"/>
        <v/>
      </c>
      <c r="CI62" s="603"/>
      <c r="CJ62" s="556" t="str">
        <f ca="1">IF(ROUND(CJ13,2)=0,"ok","!")</f>
        <v>!</v>
      </c>
      <c r="CK62" s="3477">
        <f t="shared" ca="1" si="34"/>
        <v>-16.976274950385783</v>
      </c>
      <c r="CL62" s="3479">
        <f t="shared" ca="1" si="35"/>
        <v>-16.976274950385783</v>
      </c>
      <c r="CM62" s="3480" t="str">
        <f t="shared" si="36"/>
        <v/>
      </c>
      <c r="CN62" s="602" t="str">
        <f t="shared" si="37"/>
        <v/>
      </c>
      <c r="CO62" s="603"/>
      <c r="CP62" s="556" t="str">
        <f ca="1">IF(ROUND(CP13,2)=0,"ok","!")</f>
        <v>!</v>
      </c>
      <c r="CQ62" s="3477">
        <f t="shared" ca="1" si="39"/>
        <v>-2.8323385964562298</v>
      </c>
      <c r="CR62" s="3479">
        <f t="shared" ca="1" si="40"/>
        <v>-2.8323385964562298</v>
      </c>
      <c r="CS62" s="3480" t="str">
        <f t="shared" si="41"/>
        <v/>
      </c>
      <c r="CT62" s="602" t="str">
        <f t="shared" si="42"/>
        <v/>
      </c>
      <c r="CU62" s="603"/>
      <c r="CV62" s="556" t="str">
        <f ca="1">IF(ROUND(CV13,2)=0,"ok","!")</f>
        <v>!</v>
      </c>
      <c r="CW62" s="3477">
        <f t="shared" ca="1" si="44"/>
        <v>6.7430243247731392</v>
      </c>
      <c r="CX62" s="3479">
        <f t="shared" ca="1" si="45"/>
        <v>6.7430243247731392</v>
      </c>
      <c r="CY62" s="3480" t="str">
        <f t="shared" si="46"/>
        <v/>
      </c>
      <c r="CZ62" s="602" t="str">
        <f t="shared" si="47"/>
        <v/>
      </c>
      <c r="DA62" s="603"/>
      <c r="DB62" s="556" t="str">
        <f ca="1">IF(ROUND(DB13,2)=0,"ok","!")</f>
        <v>!</v>
      </c>
      <c r="DC62" s="3477">
        <f t="shared" ca="1" si="49"/>
        <v>4.3726359226687439</v>
      </c>
      <c r="DD62" s="3479">
        <f t="shared" ca="1" si="50"/>
        <v>4.3726359226687439</v>
      </c>
      <c r="DE62" s="3480" t="str">
        <f t="shared" si="51"/>
        <v/>
      </c>
      <c r="DF62" s="602" t="str">
        <f t="shared" si="52"/>
        <v/>
      </c>
      <c r="DG62" s="603"/>
      <c r="DH62" s="556" t="str">
        <f ca="1">IF(ROUND(DH13,2)=0,"ok","!")</f>
        <v>!</v>
      </c>
      <c r="DI62" s="3477">
        <f t="shared" ca="1" si="54"/>
        <v>6.026828930991579</v>
      </c>
      <c r="DJ62" s="3479">
        <f t="shared" ca="1" si="55"/>
        <v>6.026828930991579</v>
      </c>
      <c r="DK62" s="3480" t="str">
        <f t="shared" si="56"/>
        <v/>
      </c>
      <c r="DL62" s="602" t="str">
        <f t="shared" si="57"/>
        <v/>
      </c>
      <c r="DM62" s="603"/>
      <c r="DN62" s="556" t="str">
        <f ca="1">IF(ROUND(DN13,2)=0,"ok","!")</f>
        <v>!</v>
      </c>
      <c r="DO62" s="3477">
        <f t="shared" ca="1" si="59"/>
        <v>5.9541718115047271</v>
      </c>
      <c r="DP62" s="3479">
        <f t="shared" ca="1" si="60"/>
        <v>5.9541718115047271</v>
      </c>
      <c r="DQ62" s="3480" t="str">
        <f t="shared" si="61"/>
        <v/>
      </c>
      <c r="DR62" s="602" t="str">
        <f t="shared" si="62"/>
        <v/>
      </c>
      <c r="DS62" s="603"/>
      <c r="DT62" s="556" t="str">
        <f ca="1">IF(ROUND(DT13,2)=0,"ok","!")</f>
        <v>!</v>
      </c>
      <c r="DU62" s="3477">
        <f t="shared" ca="1" si="64"/>
        <v>7.0465389999815331</v>
      </c>
      <c r="DV62" s="3479">
        <f t="shared" ca="1" si="65"/>
        <v>7.0465389999815331</v>
      </c>
      <c r="DW62" s="3480" t="str">
        <f t="shared" si="66"/>
        <v/>
      </c>
      <c r="DX62" s="602" t="str">
        <f t="shared" si="67"/>
        <v/>
      </c>
      <c r="DY62" s="603"/>
      <c r="DZ62" s="556" t="str">
        <f ca="1">IF(ROUND(DZ13,2)=0,"ok","!")</f>
        <v>!</v>
      </c>
      <c r="EA62" s="3477">
        <f t="shared" ca="1" si="69"/>
        <v>7.9213430384218908</v>
      </c>
      <c r="EB62" s="3479">
        <f t="shared" ca="1" si="70"/>
        <v>7.9213430384218908</v>
      </c>
      <c r="EC62" s="3480" t="str">
        <f t="shared" si="71"/>
        <v/>
      </c>
      <c r="ED62" s="602" t="str">
        <f t="shared" si="72"/>
        <v/>
      </c>
      <c r="EE62" s="603"/>
      <c r="EF62" s="556" t="str">
        <f ca="1">IF(ROUND(EF13,2)=0,"ok","!")</f>
        <v>!</v>
      </c>
      <c r="EG62" s="3477">
        <f t="shared" ca="1" si="74"/>
        <v>9.2202053736235143</v>
      </c>
      <c r="EH62" s="3479">
        <f t="shared" ca="1" si="75"/>
        <v>9.2202053736235143</v>
      </c>
      <c r="EI62" s="3480" t="str">
        <f t="shared" si="76"/>
        <v/>
      </c>
      <c r="EJ62" s="602" t="str">
        <f t="shared" si="77"/>
        <v/>
      </c>
      <c r="EK62" s="603"/>
      <c r="EL62" s="556" t="str">
        <f ca="1">IF(ROUND(EL13,2)=0,"ok","!")</f>
        <v>ok</v>
      </c>
      <c r="EM62" s="3477">
        <f t="shared" ca="1" si="79"/>
        <v>5.961773666944703</v>
      </c>
      <c r="EN62" s="3479">
        <f t="shared" ca="1" si="80"/>
        <v>5.961773666944703</v>
      </c>
      <c r="EO62" s="3480" t="str">
        <f t="shared" si="81"/>
        <v/>
      </c>
      <c r="EP62" s="602" t="str">
        <f t="shared" si="82"/>
        <v/>
      </c>
      <c r="EQ62" s="603"/>
      <c r="ER62" s="556" t="str">
        <f ca="1">IF(ROUND(ER13,2)=0,"ok","!")</f>
        <v>ok</v>
      </c>
      <c r="ES62" s="3477">
        <f t="shared" ca="1" si="84"/>
        <v>5.8131671142300778</v>
      </c>
      <c r="ET62" s="3479">
        <f t="shared" ca="1" si="85"/>
        <v>5.8131671142300778</v>
      </c>
      <c r="EU62" s="3480" t="str">
        <f t="shared" si="86"/>
        <v/>
      </c>
      <c r="EV62" s="602" t="str">
        <f t="shared" si="87"/>
        <v/>
      </c>
      <c r="EW62" s="603"/>
      <c r="EX62" s="556" t="str">
        <f ca="1">IF(ROUND(EX13,2)=0,"ok","!")</f>
        <v>ok</v>
      </c>
    </row>
    <row r="63" spans="1:154" s="558" customFormat="1">
      <c r="B63" s="564"/>
      <c r="C63" s="565"/>
      <c r="D63" s="566" t="s">
        <v>1379</v>
      </c>
      <c r="E63" s="594"/>
      <c r="F63" s="577"/>
      <c r="G63" s="595"/>
      <c r="H63" s="596"/>
      <c r="I63" s="596"/>
      <c r="J63" s="3441"/>
      <c r="K63" s="594" t="str">
        <f t="shared" si="89"/>
        <v/>
      </c>
      <c r="L63" s="577">
        <f t="shared" ca="1" si="89"/>
        <v>24.284969193780249</v>
      </c>
      <c r="M63" s="595" t="str">
        <f t="shared" si="89"/>
        <v/>
      </c>
      <c r="N63" s="596" t="str">
        <f t="shared" si="89"/>
        <v/>
      </c>
      <c r="O63" s="596" t="str">
        <f>IF(O14="","",IF(I14=0,"N",(O14/I14-1)*100))</f>
        <v/>
      </c>
      <c r="P63" s="3441"/>
      <c r="Q63" s="594" t="str">
        <f t="shared" si="90"/>
        <v/>
      </c>
      <c r="R63" s="577">
        <f t="shared" ca="1" si="90"/>
        <v>20.155578300921185</v>
      </c>
      <c r="S63" s="595" t="str">
        <f t="shared" si="90"/>
        <v/>
      </c>
      <c r="T63" s="596" t="str">
        <f t="shared" si="90"/>
        <v/>
      </c>
      <c r="U63" s="596" t="str">
        <f>IF(U14="","",IF(O14=0,"N",(U14/O14-1)*100))</f>
        <v/>
      </c>
      <c r="V63" s="3441"/>
      <c r="W63" s="594" t="str">
        <f t="shared" si="91"/>
        <v/>
      </c>
      <c r="X63" s="577">
        <f t="shared" ca="1" si="91"/>
        <v>19.576291399754652</v>
      </c>
      <c r="Y63" s="595" t="str">
        <f t="shared" si="91"/>
        <v/>
      </c>
      <c r="Z63" s="596" t="str">
        <f t="shared" si="91"/>
        <v/>
      </c>
      <c r="AA63" s="596" t="str">
        <f>IF(AA14="","",IF(U14=0,"N",(AA14/U14-1)*100))</f>
        <v/>
      </c>
      <c r="AB63" s="3441"/>
      <c r="AC63" s="594" t="str">
        <f t="shared" si="92"/>
        <v/>
      </c>
      <c r="AD63" s="577">
        <f t="shared" ca="1" si="92"/>
        <v>1.5966983204272589</v>
      </c>
      <c r="AE63" s="595" t="str">
        <f t="shared" si="92"/>
        <v/>
      </c>
      <c r="AF63" s="596" t="str">
        <f t="shared" si="92"/>
        <v/>
      </c>
      <c r="AG63" s="596" t="str">
        <f>IF(AG14="","",IF(AA14=0,"N",(AG14/AA14-1)*100))</f>
        <v/>
      </c>
      <c r="AH63" s="3441"/>
      <c r="AI63" s="594" t="str">
        <f t="shared" si="93"/>
        <v/>
      </c>
      <c r="AJ63" s="577">
        <f t="shared" ca="1" si="93"/>
        <v>-3.9991305221775297</v>
      </c>
      <c r="AK63" s="595" t="str">
        <f t="shared" si="93"/>
        <v/>
      </c>
      <c r="AL63" s="596" t="str">
        <f t="shared" si="93"/>
        <v/>
      </c>
      <c r="AM63" s="596" t="str">
        <f>IF(AM14="","",IF(AG14=0,"N",(AM14/AG14-1)*100))</f>
        <v/>
      </c>
      <c r="AN63" s="3441"/>
      <c r="AO63" s="594" t="str">
        <f t="shared" si="94"/>
        <v/>
      </c>
      <c r="AP63" s="577">
        <f t="shared" ca="1" si="94"/>
        <v>4.3249507587654223</v>
      </c>
      <c r="AQ63" s="595" t="str">
        <f t="shared" si="94"/>
        <v/>
      </c>
      <c r="AR63" s="596" t="str">
        <f t="shared" si="94"/>
        <v/>
      </c>
      <c r="AS63" s="596" t="str">
        <f>IF(AS14="","",IF(AM14=0,"N",(AS14/AM14-1)*100))</f>
        <v/>
      </c>
      <c r="AT63" s="3441"/>
      <c r="AU63" s="594" t="str">
        <f t="shared" si="95"/>
        <v/>
      </c>
      <c r="AV63" s="577">
        <f t="shared" ca="1" si="95"/>
        <v>9.4444068453221277</v>
      </c>
      <c r="AW63" s="595" t="str">
        <f t="shared" si="95"/>
        <v/>
      </c>
      <c r="AX63" s="596" t="str">
        <f t="shared" si="95"/>
        <v/>
      </c>
      <c r="AY63" s="596" t="str">
        <f>IF(AY14="","",IF(AS14=0,"N",(AY14/AS14-1)*100))</f>
        <v/>
      </c>
      <c r="AZ63" s="3441"/>
      <c r="BA63" s="594" t="str">
        <f t="shared" si="96"/>
        <v/>
      </c>
      <c r="BB63" s="577">
        <f t="shared" ca="1" si="96"/>
        <v>11.112745913349809</v>
      </c>
      <c r="BC63" s="595" t="str">
        <f t="shared" si="96"/>
        <v/>
      </c>
      <c r="BD63" s="596" t="str">
        <f t="shared" si="96"/>
        <v/>
      </c>
      <c r="BE63" s="596" t="str">
        <f>IF(BE14="","",IF(AY14=0,"N",(BE14/AY14-1)*100))</f>
        <v/>
      </c>
      <c r="BF63" s="3441"/>
      <c r="BG63" s="594" t="str">
        <f t="shared" si="21"/>
        <v/>
      </c>
      <c r="BH63" s="577">
        <f t="shared" ca="1" si="22"/>
        <v>14.724198349200979</v>
      </c>
      <c r="BI63" s="595" t="str">
        <f t="shared" si="23"/>
        <v/>
      </c>
      <c r="BJ63" s="596" t="str">
        <f t="shared" si="24"/>
        <v/>
      </c>
      <c r="BK63" s="596" t="str">
        <f>IF(BK14="","",IF(BE14=0,"N",(BK14/BE14-1)*100))</f>
        <v/>
      </c>
      <c r="BL63" s="3441"/>
      <c r="BM63" s="594" t="str">
        <f t="shared" si="97"/>
        <v/>
      </c>
      <c r="BN63" s="577">
        <f t="shared" ca="1" si="97"/>
        <v>16.145204297046199</v>
      </c>
      <c r="BO63" s="595" t="str">
        <f t="shared" si="97"/>
        <v/>
      </c>
      <c r="BP63" s="596" t="str">
        <f t="shared" si="97"/>
        <v/>
      </c>
      <c r="BQ63" s="596" t="str">
        <f>IF(BQ14="","",IF(BK14=0,"N",(BQ14/BK14-1)*100))</f>
        <v/>
      </c>
      <c r="BR63" s="3441"/>
      <c r="BS63" s="594" t="str">
        <f t="shared" si="98"/>
        <v/>
      </c>
      <c r="BT63" s="577">
        <f t="shared" ca="1" si="98"/>
        <v>20.076102908876692</v>
      </c>
      <c r="BU63" s="595" t="str">
        <f t="shared" si="98"/>
        <v/>
      </c>
      <c r="BV63" s="596" t="str">
        <f t="shared" si="98"/>
        <v/>
      </c>
      <c r="BW63" s="596" t="str">
        <f>IF(BW14="","",IF(BQ14=0,"N",(BW14/BQ14-1)*100))</f>
        <v/>
      </c>
      <c r="BX63" s="3441"/>
      <c r="BY63" s="594" t="str">
        <f t="shared" si="99"/>
        <v/>
      </c>
      <c r="BZ63" s="577">
        <f t="shared" ca="1" si="99"/>
        <v>17.830532219604777</v>
      </c>
      <c r="CA63" s="595" t="str">
        <f t="shared" si="99"/>
        <v/>
      </c>
      <c r="CB63" s="596" t="str">
        <f t="shared" si="99"/>
        <v/>
      </c>
      <c r="CC63" s="596" t="str">
        <f>IF(CC14="","",IF(BW14=0,"N",(CC14/BW14-1)*100))</f>
        <v/>
      </c>
      <c r="CD63" s="3441"/>
      <c r="CE63" s="594" t="str">
        <f t="shared" si="29"/>
        <v/>
      </c>
      <c r="CF63" s="577">
        <f t="shared" ca="1" si="30"/>
        <v>14.987194260422743</v>
      </c>
      <c r="CG63" s="595" t="str">
        <f t="shared" si="31"/>
        <v/>
      </c>
      <c r="CH63" s="596" t="str">
        <f t="shared" si="32"/>
        <v/>
      </c>
      <c r="CI63" s="596" t="str">
        <f>IF(CI14="","",IF(CC14=0,"N",(CI14/CC14-1)*100))</f>
        <v/>
      </c>
      <c r="CJ63" s="3441"/>
      <c r="CK63" s="594" t="str">
        <f t="shared" si="34"/>
        <v/>
      </c>
      <c r="CL63" s="577">
        <f t="shared" ca="1" si="35"/>
        <v>-17.158167212876752</v>
      </c>
      <c r="CM63" s="595" t="str">
        <f t="shared" si="36"/>
        <v/>
      </c>
      <c r="CN63" s="596" t="str">
        <f t="shared" si="37"/>
        <v/>
      </c>
      <c r="CO63" s="596" t="str">
        <f t="shared" ref="CO63:CO68" si="100">IF(CO14="","",IF(CI14=0,"N",(CO14/CI14-1)*100))</f>
        <v/>
      </c>
      <c r="CP63" s="3441"/>
      <c r="CQ63" s="594" t="str">
        <f t="shared" si="39"/>
        <v/>
      </c>
      <c r="CR63" s="577">
        <f t="shared" ca="1" si="40"/>
        <v>-1.3451836590320454</v>
      </c>
      <c r="CS63" s="595" t="str">
        <f t="shared" si="41"/>
        <v/>
      </c>
      <c r="CT63" s="596" t="str">
        <f t="shared" si="42"/>
        <v/>
      </c>
      <c r="CU63" s="596" t="str">
        <f t="shared" ref="CU63:CU68" si="101">IF(CU14="","",IF(CO14=0,"N",(CU14/CO14-1)*100))</f>
        <v/>
      </c>
      <c r="CV63" s="3441"/>
      <c r="CW63" s="594" t="str">
        <f t="shared" si="44"/>
        <v/>
      </c>
      <c r="CX63" s="577">
        <f t="shared" ca="1" si="45"/>
        <v>6.5841994378218915</v>
      </c>
      <c r="CY63" s="595" t="str">
        <f t="shared" si="46"/>
        <v/>
      </c>
      <c r="CZ63" s="596" t="str">
        <f t="shared" si="47"/>
        <v/>
      </c>
      <c r="DA63" s="596" t="str">
        <f t="shared" ref="DA63:DA68" si="102">IF(DA14="","",IF(CU14=0,"N",(DA14/CU14-1)*100))</f>
        <v/>
      </c>
      <c r="DB63" s="3441"/>
      <c r="DC63" s="594" t="str">
        <f t="shared" si="49"/>
        <v/>
      </c>
      <c r="DD63" s="577">
        <f t="shared" ca="1" si="50"/>
        <v>4.6283461045956154</v>
      </c>
      <c r="DE63" s="595" t="str">
        <f t="shared" si="51"/>
        <v/>
      </c>
      <c r="DF63" s="596" t="str">
        <f t="shared" si="52"/>
        <v/>
      </c>
      <c r="DG63" s="596" t="str">
        <f t="shared" ref="DG63:DG68" si="103">IF(DG14="","",IF(DA14=0,"N",(DG14/DA14-1)*100))</f>
        <v/>
      </c>
      <c r="DH63" s="3441"/>
      <c r="DI63" s="594" t="str">
        <f t="shared" si="54"/>
        <v/>
      </c>
      <c r="DJ63" s="577">
        <f t="shared" ca="1" si="55"/>
        <v>5.7540295399224339</v>
      </c>
      <c r="DK63" s="595" t="str">
        <f t="shared" si="56"/>
        <v/>
      </c>
      <c r="DL63" s="596" t="str">
        <f t="shared" si="57"/>
        <v/>
      </c>
      <c r="DM63" s="596" t="str">
        <f t="shared" ref="DM63:DM68" si="104">IF(DM14="","",IF(DG14=0,"N",(DM14/DG14-1)*100))</f>
        <v/>
      </c>
      <c r="DN63" s="3441"/>
      <c r="DO63" s="594" t="str">
        <f t="shared" si="59"/>
        <v/>
      </c>
      <c r="DP63" s="577">
        <f t="shared" ca="1" si="60"/>
        <v>5.7910781153990731</v>
      </c>
      <c r="DQ63" s="595" t="str">
        <f t="shared" si="61"/>
        <v/>
      </c>
      <c r="DR63" s="596" t="str">
        <f t="shared" si="62"/>
        <v/>
      </c>
      <c r="DS63" s="596" t="str">
        <f t="shared" ref="DS63:DS68" si="105">IF(DS14="","",IF(DM14=0,"N",(DS14/DM14-1)*100))</f>
        <v/>
      </c>
      <c r="DT63" s="3441"/>
      <c r="DU63" s="594" t="str">
        <f t="shared" si="64"/>
        <v/>
      </c>
      <c r="DV63" s="577">
        <f t="shared" ca="1" si="65"/>
        <v>6.9928078540594907</v>
      </c>
      <c r="DW63" s="595" t="str">
        <f t="shared" si="66"/>
        <v/>
      </c>
      <c r="DX63" s="596" t="str">
        <f t="shared" si="67"/>
        <v/>
      </c>
      <c r="DY63" s="596" t="str">
        <f t="shared" ref="DY63:DY68" si="106">IF(DY14="","",IF(DS14=0,"N",(DY14/DS14-1)*100))</f>
        <v/>
      </c>
      <c r="DZ63" s="3441"/>
      <c r="EA63" s="594" t="str">
        <f t="shared" si="69"/>
        <v/>
      </c>
      <c r="EB63" s="577">
        <f t="shared" ca="1" si="70"/>
        <v>7.5805205638630468</v>
      </c>
      <c r="EC63" s="595" t="str">
        <f t="shared" si="71"/>
        <v/>
      </c>
      <c r="ED63" s="596" t="str">
        <f t="shared" si="72"/>
        <v/>
      </c>
      <c r="EE63" s="596" t="str">
        <f t="shared" ref="EE63:EE68" si="107">IF(EE14="","",IF(DY14=0,"N",(EE14/DY14-1)*100))</f>
        <v/>
      </c>
      <c r="EF63" s="3441"/>
      <c r="EG63" s="594" t="str">
        <f t="shared" si="74"/>
        <v/>
      </c>
      <c r="EH63" s="577">
        <f t="shared" ca="1" si="75"/>
        <v>8.3309017487464452</v>
      </c>
      <c r="EI63" s="595" t="str">
        <f t="shared" si="76"/>
        <v/>
      </c>
      <c r="EJ63" s="596" t="str">
        <f t="shared" si="77"/>
        <v/>
      </c>
      <c r="EK63" s="596" t="str">
        <f t="shared" ref="EK63:EK68" si="108">IF(EK14="","",IF(EE14=0,"N",(EK14/EE14-1)*100))</f>
        <v/>
      </c>
      <c r="EL63" s="3441"/>
      <c r="EM63" s="594" t="str">
        <f t="shared" si="79"/>
        <v/>
      </c>
      <c r="EN63" s="577">
        <f t="shared" ca="1" si="80"/>
        <v>5.6769355518296205</v>
      </c>
      <c r="EO63" s="595" t="str">
        <f t="shared" si="81"/>
        <v/>
      </c>
      <c r="EP63" s="596" t="str">
        <f t="shared" si="82"/>
        <v/>
      </c>
      <c r="EQ63" s="596" t="str">
        <f t="shared" ref="EQ63:EQ68" si="109">IF(EQ14="","",IF(EK14=0,"N",(EQ14/EK14-1)*100))</f>
        <v/>
      </c>
      <c r="ER63" s="3441"/>
      <c r="ES63" s="594" t="str">
        <f t="shared" si="84"/>
        <v/>
      </c>
      <c r="ET63" s="577">
        <f t="shared" ca="1" si="85"/>
        <v>5.7307971892340381</v>
      </c>
      <c r="EU63" s="595" t="str">
        <f t="shared" si="86"/>
        <v/>
      </c>
      <c r="EV63" s="596" t="str">
        <f t="shared" si="87"/>
        <v/>
      </c>
      <c r="EW63" s="596" t="str">
        <f t="shared" ref="EW63:EW68" si="110">IF(EW14="","",IF(EQ14=0,"N",(EW14/EQ14-1)*100))</f>
        <v/>
      </c>
      <c r="EX63" s="3441"/>
    </row>
    <row r="64" spans="1:154" s="558" customFormat="1" ht="13.5" thickBot="1">
      <c r="B64" s="564"/>
      <c r="C64" s="565"/>
      <c r="D64" s="566" t="s">
        <v>1380</v>
      </c>
      <c r="E64" s="594"/>
      <c r="F64" s="597"/>
      <c r="G64" s="595"/>
      <c r="H64" s="596"/>
      <c r="I64" s="596"/>
      <c r="J64" s="3441"/>
      <c r="K64" s="594" t="str">
        <f t="shared" si="89"/>
        <v/>
      </c>
      <c r="L64" s="597">
        <f t="shared" ca="1" si="89"/>
        <v>33.128992470683507</v>
      </c>
      <c r="M64" s="595" t="str">
        <f t="shared" si="89"/>
        <v/>
      </c>
      <c r="N64" s="596" t="str">
        <f t="shared" si="89"/>
        <v/>
      </c>
      <c r="O64" s="596" t="str">
        <f>IF(O15="","",IF(I15=0,"N",(O15/I15-1)*100))</f>
        <v/>
      </c>
      <c r="P64" s="3441"/>
      <c r="Q64" s="594" t="str">
        <f t="shared" si="90"/>
        <v/>
      </c>
      <c r="R64" s="597">
        <f t="shared" ca="1" si="90"/>
        <v>31.350858027849515</v>
      </c>
      <c r="S64" s="595" t="str">
        <f t="shared" si="90"/>
        <v/>
      </c>
      <c r="T64" s="596" t="str">
        <f t="shared" si="90"/>
        <v/>
      </c>
      <c r="U64" s="596" t="str">
        <f>IF(U15="","",IF(O15=0,"N",(U15/O15-1)*100))</f>
        <v/>
      </c>
      <c r="V64" s="3441"/>
      <c r="W64" s="594" t="str">
        <f t="shared" si="91"/>
        <v/>
      </c>
      <c r="X64" s="597">
        <f t="shared" ca="1" si="91"/>
        <v>19.395930055059154</v>
      </c>
      <c r="Y64" s="595" t="str">
        <f t="shared" si="91"/>
        <v/>
      </c>
      <c r="Z64" s="596" t="str">
        <f t="shared" si="91"/>
        <v/>
      </c>
      <c r="AA64" s="596" t="str">
        <f>IF(AA15="","",IF(U15=0,"N",(AA15/U15-1)*100))</f>
        <v/>
      </c>
      <c r="AB64" s="3441"/>
      <c r="AC64" s="594" t="str">
        <f t="shared" si="92"/>
        <v/>
      </c>
      <c r="AD64" s="597">
        <f t="shared" ca="1" si="92"/>
        <v>-0.82353874776267544</v>
      </c>
      <c r="AE64" s="595" t="str">
        <f t="shared" si="92"/>
        <v/>
      </c>
      <c r="AF64" s="596" t="str">
        <f t="shared" si="92"/>
        <v/>
      </c>
      <c r="AG64" s="596" t="str">
        <f>IF(AG15="","",IF(AA15=0,"N",(AG15/AA15-1)*100))</f>
        <v/>
      </c>
      <c r="AH64" s="3441"/>
      <c r="AI64" s="594" t="str">
        <f t="shared" si="93"/>
        <v/>
      </c>
      <c r="AJ64" s="597">
        <f t="shared" ca="1" si="93"/>
        <v>0.2924990442660258</v>
      </c>
      <c r="AK64" s="595" t="str">
        <f t="shared" si="93"/>
        <v/>
      </c>
      <c r="AL64" s="596" t="str">
        <f t="shared" si="93"/>
        <v/>
      </c>
      <c r="AM64" s="596" t="str">
        <f>IF(AM15="","",IF(AG15=0,"N",(AM15/AG15-1)*100))</f>
        <v/>
      </c>
      <c r="AN64" s="3441"/>
      <c r="AO64" s="594" t="str">
        <f t="shared" si="94"/>
        <v/>
      </c>
      <c r="AP64" s="597">
        <f t="shared" ca="1" si="94"/>
        <v>0.68966739947515787</v>
      </c>
      <c r="AQ64" s="595" t="str">
        <f t="shared" si="94"/>
        <v/>
      </c>
      <c r="AR64" s="596" t="str">
        <f t="shared" si="94"/>
        <v/>
      </c>
      <c r="AS64" s="596" t="str">
        <f>IF(AS15="","",IF(AM15=0,"N",(AS15/AM15-1)*100))</f>
        <v/>
      </c>
      <c r="AT64" s="3441"/>
      <c r="AU64" s="594" t="str">
        <f t="shared" si="95"/>
        <v/>
      </c>
      <c r="AV64" s="597">
        <f t="shared" ca="1" si="95"/>
        <v>3.6280879685877121</v>
      </c>
      <c r="AW64" s="595" t="str">
        <f t="shared" si="95"/>
        <v/>
      </c>
      <c r="AX64" s="596" t="str">
        <f t="shared" si="95"/>
        <v/>
      </c>
      <c r="AY64" s="596" t="str">
        <f>IF(AY15="","",IF(AS15=0,"N",(AY15/AS15-1)*100))</f>
        <v/>
      </c>
      <c r="AZ64" s="3441"/>
      <c r="BA64" s="594" t="str">
        <f t="shared" si="96"/>
        <v/>
      </c>
      <c r="BB64" s="597">
        <f t="shared" ca="1" si="96"/>
        <v>8.1176140756284987</v>
      </c>
      <c r="BC64" s="595" t="str">
        <f t="shared" si="96"/>
        <v/>
      </c>
      <c r="BD64" s="596" t="str">
        <f t="shared" si="96"/>
        <v/>
      </c>
      <c r="BE64" s="596" t="str">
        <f>IF(BE15="","",IF(AY15=0,"N",(BE15/AY15-1)*100))</f>
        <v/>
      </c>
      <c r="BF64" s="3441"/>
      <c r="BG64" s="594" t="str">
        <f t="shared" si="21"/>
        <v/>
      </c>
      <c r="BH64" s="597">
        <f t="shared" ca="1" si="22"/>
        <v>16.011849570178029</v>
      </c>
      <c r="BI64" s="595" t="str">
        <f t="shared" si="23"/>
        <v/>
      </c>
      <c r="BJ64" s="596" t="str">
        <f t="shared" si="24"/>
        <v/>
      </c>
      <c r="BK64" s="596" t="str">
        <f>IF(BK15="","",IF(BE15=0,"N",(BK15/BE15-1)*100))</f>
        <v/>
      </c>
      <c r="BL64" s="3441"/>
      <c r="BM64" s="594" t="str">
        <f t="shared" si="97"/>
        <v/>
      </c>
      <c r="BN64" s="597">
        <f t="shared" ca="1" si="97"/>
        <v>19.36886595005387</v>
      </c>
      <c r="BO64" s="595" t="str">
        <f t="shared" si="97"/>
        <v/>
      </c>
      <c r="BP64" s="596" t="str">
        <f t="shared" si="97"/>
        <v/>
      </c>
      <c r="BQ64" s="596" t="str">
        <f>IF(BQ15="","",IF(BK15=0,"N",(BQ15/BK15-1)*100))</f>
        <v/>
      </c>
      <c r="BR64" s="3441"/>
      <c r="BS64" s="594" t="str">
        <f t="shared" si="98"/>
        <v/>
      </c>
      <c r="BT64" s="597">
        <f t="shared" ca="1" si="98"/>
        <v>21.572899821261537</v>
      </c>
      <c r="BU64" s="595" t="str">
        <f t="shared" si="98"/>
        <v/>
      </c>
      <c r="BV64" s="596" t="str">
        <f t="shared" si="98"/>
        <v/>
      </c>
      <c r="BW64" s="596" t="str">
        <f>IF(BW15="","",IF(BQ15=0,"N",(BW15/BQ15-1)*100))</f>
        <v/>
      </c>
      <c r="BX64" s="3441"/>
      <c r="BY64" s="594" t="str">
        <f t="shared" si="99"/>
        <v/>
      </c>
      <c r="BZ64" s="597">
        <f t="shared" ca="1" si="99"/>
        <v>24.214717111465745</v>
      </c>
      <c r="CA64" s="595" t="str">
        <f t="shared" si="99"/>
        <v/>
      </c>
      <c r="CB64" s="596" t="str">
        <f t="shared" si="99"/>
        <v/>
      </c>
      <c r="CC64" s="596" t="str">
        <f>IF(CC15="","",IF(BW15=0,"N",(CC15/BW15-1)*100))</f>
        <v/>
      </c>
      <c r="CD64" s="3441"/>
      <c r="CE64" s="594" t="str">
        <f t="shared" si="29"/>
        <v/>
      </c>
      <c r="CF64" s="597">
        <f t="shared" ca="1" si="30"/>
        <v>19.703158171604617</v>
      </c>
      <c r="CG64" s="595" t="str">
        <f t="shared" si="31"/>
        <v/>
      </c>
      <c r="CH64" s="596" t="str">
        <f t="shared" si="32"/>
        <v/>
      </c>
      <c r="CI64" s="596" t="str">
        <f>IF(CI15="","",IF(CC15=0,"N",(CI15/CC15-1)*100))</f>
        <v/>
      </c>
      <c r="CJ64" s="3441"/>
      <c r="CK64" s="594" t="str">
        <f t="shared" si="34"/>
        <v/>
      </c>
      <c r="CL64" s="597">
        <f t="shared" ca="1" si="35"/>
        <v>-16.331315997639408</v>
      </c>
      <c r="CM64" s="595" t="str">
        <f t="shared" si="36"/>
        <v/>
      </c>
      <c r="CN64" s="596" t="str">
        <f t="shared" si="37"/>
        <v/>
      </c>
      <c r="CO64" s="596" t="str">
        <f t="shared" si="100"/>
        <v/>
      </c>
      <c r="CP64" s="3441"/>
      <c r="CQ64" s="594" t="str">
        <f t="shared" si="39"/>
        <v/>
      </c>
      <c r="CR64" s="597">
        <f t="shared" ca="1" si="40"/>
        <v>-8.0534243748711773</v>
      </c>
      <c r="CS64" s="595" t="str">
        <f t="shared" si="41"/>
        <v/>
      </c>
      <c r="CT64" s="596" t="str">
        <f t="shared" si="42"/>
        <v/>
      </c>
      <c r="CU64" s="596" t="str">
        <f t="shared" si="101"/>
        <v/>
      </c>
      <c r="CV64" s="3441"/>
      <c r="CW64" s="594" t="str">
        <f t="shared" si="44"/>
        <v/>
      </c>
      <c r="CX64" s="597">
        <f t="shared" ca="1" si="45"/>
        <v>7.341306272671444</v>
      </c>
      <c r="CY64" s="595" t="str">
        <f t="shared" si="46"/>
        <v/>
      </c>
      <c r="CZ64" s="596" t="str">
        <f t="shared" si="47"/>
        <v/>
      </c>
      <c r="DA64" s="596" t="str">
        <f t="shared" si="102"/>
        <v/>
      </c>
      <c r="DB64" s="3441"/>
      <c r="DC64" s="594" t="str">
        <f t="shared" si="49"/>
        <v/>
      </c>
      <c r="DD64" s="597">
        <f t="shared" ca="1" si="50"/>
        <v>3.416188025285849</v>
      </c>
      <c r="DE64" s="595" t="str">
        <f t="shared" si="51"/>
        <v/>
      </c>
      <c r="DF64" s="596" t="str">
        <f t="shared" si="52"/>
        <v/>
      </c>
      <c r="DG64" s="596" t="str">
        <f t="shared" si="103"/>
        <v/>
      </c>
      <c r="DH64" s="3441"/>
      <c r="DI64" s="594" t="str">
        <f t="shared" si="54"/>
        <v/>
      </c>
      <c r="DJ64" s="597">
        <f t="shared" ca="1" si="55"/>
        <v>7.0591565033926607</v>
      </c>
      <c r="DK64" s="595" t="str">
        <f t="shared" si="56"/>
        <v/>
      </c>
      <c r="DL64" s="596" t="str">
        <f t="shared" si="57"/>
        <v/>
      </c>
      <c r="DM64" s="596" t="str">
        <f t="shared" si="104"/>
        <v/>
      </c>
      <c r="DN64" s="3441"/>
      <c r="DO64" s="594" t="str">
        <f t="shared" si="59"/>
        <v/>
      </c>
      <c r="DP64" s="597">
        <f t="shared" ca="1" si="60"/>
        <v>6.5638271939792991</v>
      </c>
      <c r="DQ64" s="595" t="str">
        <f t="shared" si="61"/>
        <v/>
      </c>
      <c r="DR64" s="596" t="str">
        <f t="shared" si="62"/>
        <v/>
      </c>
      <c r="DS64" s="596" t="str">
        <f t="shared" si="105"/>
        <v/>
      </c>
      <c r="DT64" s="3441"/>
      <c r="DU64" s="594" t="str">
        <f t="shared" si="64"/>
        <v/>
      </c>
      <c r="DV64" s="597">
        <f t="shared" ca="1" si="65"/>
        <v>7.2459332240053964</v>
      </c>
      <c r="DW64" s="595" t="str">
        <f t="shared" si="66"/>
        <v/>
      </c>
      <c r="DX64" s="596" t="str">
        <f t="shared" si="67"/>
        <v/>
      </c>
      <c r="DY64" s="596" t="str">
        <f t="shared" si="106"/>
        <v/>
      </c>
      <c r="DZ64" s="3441"/>
      <c r="EA64" s="594" t="str">
        <f t="shared" si="69"/>
        <v/>
      </c>
      <c r="EB64" s="597">
        <f t="shared" ca="1" si="70"/>
        <v>9.1831370110342156</v>
      </c>
      <c r="EC64" s="595" t="str">
        <f t="shared" si="71"/>
        <v/>
      </c>
      <c r="ED64" s="596" t="str">
        <f t="shared" si="72"/>
        <v/>
      </c>
      <c r="EE64" s="596" t="str">
        <f t="shared" si="107"/>
        <v/>
      </c>
      <c r="EF64" s="3441"/>
      <c r="EG64" s="594" t="str">
        <f t="shared" si="74"/>
        <v/>
      </c>
      <c r="EH64" s="597">
        <f t="shared" ca="1" si="75"/>
        <v>12.464261496580509</v>
      </c>
      <c r="EI64" s="595" t="str">
        <f t="shared" si="76"/>
        <v/>
      </c>
      <c r="EJ64" s="596" t="str">
        <f t="shared" si="77"/>
        <v/>
      </c>
      <c r="EK64" s="596" t="str">
        <f t="shared" si="108"/>
        <v/>
      </c>
      <c r="EL64" s="3441"/>
      <c r="EM64" s="594" t="str">
        <f t="shared" si="79"/>
        <v/>
      </c>
      <c r="EN64" s="597">
        <f t="shared" ca="1" si="80"/>
        <v>6.9626357166128416</v>
      </c>
      <c r="EO64" s="595" t="str">
        <f t="shared" si="81"/>
        <v/>
      </c>
      <c r="EP64" s="596" t="str">
        <f t="shared" si="82"/>
        <v/>
      </c>
      <c r="EQ64" s="596" t="str">
        <f t="shared" si="109"/>
        <v/>
      </c>
      <c r="ER64" s="3441"/>
      <c r="ES64" s="594" t="str">
        <f t="shared" si="84"/>
        <v/>
      </c>
      <c r="ET64" s="597">
        <f t="shared" ca="1" si="85"/>
        <v>6.0991189601488305</v>
      </c>
      <c r="EU64" s="595" t="str">
        <f t="shared" si="86"/>
        <v/>
      </c>
      <c r="EV64" s="596" t="str">
        <f t="shared" si="87"/>
        <v/>
      </c>
      <c r="EW64" s="596" t="str">
        <f t="shared" si="110"/>
        <v/>
      </c>
      <c r="EX64" s="3441"/>
    </row>
    <row r="65" spans="2:154" ht="13.5" thickBot="1">
      <c r="B65" s="600" t="s">
        <v>1767</v>
      </c>
      <c r="C65" s="3781" t="s">
        <v>1381</v>
      </c>
      <c r="D65" s="3782"/>
      <c r="E65" s="601"/>
      <c r="F65" s="602"/>
      <c r="G65" s="602"/>
      <c r="H65" s="3481"/>
      <c r="I65" s="3479"/>
      <c r="J65" s="556"/>
      <c r="K65" s="601">
        <f t="shared" ca="1" si="89"/>
        <v>20.294602522105908</v>
      </c>
      <c r="L65" s="602" t="str">
        <f t="shared" si="89"/>
        <v/>
      </c>
      <c r="M65" s="602" t="str">
        <f t="shared" si="89"/>
        <v/>
      </c>
      <c r="N65" s="3481">
        <f t="shared" ca="1" si="89"/>
        <v>20.294602522105908</v>
      </c>
      <c r="O65" s="3479" t="str">
        <f ca="1">IF(O16="","",IF(I16=0,"N",(O16/I16-1)*100))</f>
        <v>N</v>
      </c>
      <c r="P65" s="556" t="str">
        <f ca="1">IF(ROUND(P16,2)=0,"ok","!")</f>
        <v>ok</v>
      </c>
      <c r="Q65" s="601">
        <f t="shared" ca="1" si="90"/>
        <v>41.103655714946782</v>
      </c>
      <c r="R65" s="602" t="str">
        <f t="shared" si="90"/>
        <v/>
      </c>
      <c r="S65" s="602" t="str">
        <f t="shared" si="90"/>
        <v/>
      </c>
      <c r="T65" s="3481">
        <f t="shared" ca="1" si="90"/>
        <v>41.103655714946782</v>
      </c>
      <c r="U65" s="3479" t="str">
        <f ca="1">IF(U16="","",IF(O16=0,"N",(U16/O16-1)*100))</f>
        <v>N</v>
      </c>
      <c r="V65" s="556" t="str">
        <f ca="1">IF(ROUND(V16,2)=0,"ok","!")</f>
        <v>ok</v>
      </c>
      <c r="W65" s="601">
        <f t="shared" ca="1" si="91"/>
        <v>13.207535270337601</v>
      </c>
      <c r="X65" s="602" t="str">
        <f t="shared" si="91"/>
        <v/>
      </c>
      <c r="Y65" s="602" t="str">
        <f t="shared" si="91"/>
        <v/>
      </c>
      <c r="Z65" s="3481">
        <f t="shared" ca="1" si="91"/>
        <v>13.207535270337601</v>
      </c>
      <c r="AA65" s="3479" t="str">
        <f ca="1">IF(AA16="","",IF(U16=0,"N",(AA16/U16-1)*100))</f>
        <v>N</v>
      </c>
      <c r="AB65" s="556" t="str">
        <f ca="1">IF(ROUND(AB16,2)=0,"ok","!")</f>
        <v>ok</v>
      </c>
      <c r="AC65" s="601">
        <f t="shared" ca="1" si="92"/>
        <v>-2.8673615482749493</v>
      </c>
      <c r="AD65" s="602" t="str">
        <f t="shared" si="92"/>
        <v/>
      </c>
      <c r="AE65" s="602" t="str">
        <f t="shared" si="92"/>
        <v/>
      </c>
      <c r="AF65" s="3481">
        <f t="shared" ca="1" si="92"/>
        <v>-2.8673615482749493</v>
      </c>
      <c r="AG65" s="3479" t="str">
        <f ca="1">IF(AG16="","",IF(AA16=0,"N",(AG16/AA16-1)*100))</f>
        <v>N</v>
      </c>
      <c r="AH65" s="556" t="str">
        <f ca="1">IF(ROUND(AH16,2)=0,"ok","!")</f>
        <v>ok</v>
      </c>
      <c r="AI65" s="601">
        <f t="shared" ca="1" si="93"/>
        <v>-4.069260593268953</v>
      </c>
      <c r="AJ65" s="602" t="str">
        <f t="shared" si="93"/>
        <v/>
      </c>
      <c r="AK65" s="602" t="str">
        <f t="shared" si="93"/>
        <v/>
      </c>
      <c r="AL65" s="3481">
        <f t="shared" ca="1" si="93"/>
        <v>-4.069260593268953</v>
      </c>
      <c r="AM65" s="3479" t="str">
        <f ca="1">IF(AM16="","",IF(AG16=0,"N",(AM16/AG16-1)*100))</f>
        <v>N</v>
      </c>
      <c r="AN65" s="556" t="str">
        <f ca="1">IF(ROUND(AN16,2)=0,"ok","!")</f>
        <v>ok</v>
      </c>
      <c r="AO65" s="601">
        <f t="shared" ca="1" si="94"/>
        <v>3.3911073113278123</v>
      </c>
      <c r="AP65" s="602" t="str">
        <f t="shared" si="94"/>
        <v/>
      </c>
      <c r="AQ65" s="602" t="str">
        <f t="shared" si="94"/>
        <v/>
      </c>
      <c r="AR65" s="3481">
        <f t="shared" ca="1" si="94"/>
        <v>3.3911073113278123</v>
      </c>
      <c r="AS65" s="3479" t="str">
        <f ca="1">IF(AS16="","",IF(AM16=0,"N",(AS16/AM16-1)*100))</f>
        <v>N</v>
      </c>
      <c r="AT65" s="556" t="str">
        <f ca="1">IF(ROUND(AT16,2)=0,"ok","!")</f>
        <v>ok</v>
      </c>
      <c r="AU65" s="601">
        <f t="shared" ca="1" si="95"/>
        <v>8.9103872598058196</v>
      </c>
      <c r="AV65" s="602" t="str">
        <f t="shared" si="95"/>
        <v/>
      </c>
      <c r="AW65" s="602" t="str">
        <f t="shared" si="95"/>
        <v/>
      </c>
      <c r="AX65" s="3481">
        <f t="shared" ca="1" si="95"/>
        <v>8.9103872598058196</v>
      </c>
      <c r="AY65" s="3479" t="str">
        <f ca="1">IF(AY16="","",IF(AS16=0,"N",(AY16/AS16-1)*100))</f>
        <v>N</v>
      </c>
      <c r="AZ65" s="556" t="str">
        <f ca="1">IF(ROUND(AZ16,2)=0,"ok","!")</f>
        <v>ok</v>
      </c>
      <c r="BA65" s="601">
        <f t="shared" ca="1" si="96"/>
        <v>3.0407450276624504</v>
      </c>
      <c r="BB65" s="602" t="str">
        <f t="shared" si="96"/>
        <v/>
      </c>
      <c r="BC65" s="602" t="str">
        <f t="shared" si="96"/>
        <v/>
      </c>
      <c r="BD65" s="3481">
        <f t="shared" ca="1" si="96"/>
        <v>3.0407450276624504</v>
      </c>
      <c r="BE65" s="3479" t="str">
        <f ca="1">IF(BE16="","",IF(AY16=0,"N",(BE16/AY16-1)*100))</f>
        <v>N</v>
      </c>
      <c r="BF65" s="556" t="str">
        <f ca="1">IF(ROUND(BF16,2)=0,"ok","!")</f>
        <v>ok</v>
      </c>
      <c r="BG65" s="601">
        <f t="shared" ca="1" si="21"/>
        <v>5.0523267497642799</v>
      </c>
      <c r="BH65" s="602" t="str">
        <f t="shared" si="22"/>
        <v/>
      </c>
      <c r="BI65" s="602" t="str">
        <f t="shared" si="23"/>
        <v/>
      </c>
      <c r="BJ65" s="3481">
        <f t="shared" ca="1" si="24"/>
        <v>5.0523267497642799</v>
      </c>
      <c r="BK65" s="3479" t="str">
        <f ca="1">IF(BK16="","",IF(BE16=0,"N",(BK16/BE16-1)*100))</f>
        <v>N</v>
      </c>
      <c r="BL65" s="556" t="str">
        <f ca="1">IF(ROUND(BL16,2)=0,"ok","!")</f>
        <v>!</v>
      </c>
      <c r="BM65" s="601">
        <f t="shared" ca="1" si="97"/>
        <v>15.490940482847225</v>
      </c>
      <c r="BN65" s="602" t="str">
        <f t="shared" si="97"/>
        <v/>
      </c>
      <c r="BO65" s="602" t="str">
        <f t="shared" si="97"/>
        <v/>
      </c>
      <c r="BP65" s="3481">
        <f t="shared" ca="1" si="97"/>
        <v>15.490940482847225</v>
      </c>
      <c r="BQ65" s="3479" t="e">
        <f ca="1">IF(BQ16="","",IF(BK16=0,"N",(BQ16/BK16-1)*100))</f>
        <v>#VALUE!</v>
      </c>
      <c r="BR65" s="556" t="e">
        <f ca="1">IF(ROUND(BR16,2)=0,"ok","!")</f>
        <v>#VALUE!</v>
      </c>
      <c r="BS65" s="601">
        <f t="shared" ca="1" si="98"/>
        <v>15.667895487904326</v>
      </c>
      <c r="BT65" s="602" t="str">
        <f t="shared" si="98"/>
        <v/>
      </c>
      <c r="BU65" s="602" t="str">
        <f t="shared" si="98"/>
        <v/>
      </c>
      <c r="BV65" s="3481">
        <f t="shared" ca="1" si="98"/>
        <v>15.667895487904326</v>
      </c>
      <c r="BW65" s="3479" t="e">
        <f ca="1">IF(BW16="","",IF(BQ16=0,"N",(BW16/BQ16-1)*100))</f>
        <v>#VALUE!</v>
      </c>
      <c r="BX65" s="556" t="e">
        <f ca="1">IF(ROUND(BX16,2)=0,"ok","!")</f>
        <v>#VALUE!</v>
      </c>
      <c r="BY65" s="601">
        <f t="shared" ca="1" si="99"/>
        <v>24.009076655883852</v>
      </c>
      <c r="BZ65" s="602" t="str">
        <f t="shared" si="99"/>
        <v/>
      </c>
      <c r="CA65" s="602" t="str">
        <f t="shared" si="99"/>
        <v/>
      </c>
      <c r="CB65" s="3481">
        <f t="shared" ca="1" si="99"/>
        <v>24.009076655883852</v>
      </c>
      <c r="CC65" s="3479" t="e">
        <f ca="1">IF(CC16="","",IF(BW16=0,"N",(CC16/BW16-1)*100))</f>
        <v>#VALUE!</v>
      </c>
      <c r="CD65" s="556" t="e">
        <f ca="1">IF(ROUND(CD16,2)=0,"ok","!")</f>
        <v>#VALUE!</v>
      </c>
      <c r="CE65" s="601">
        <f t="shared" ca="1" si="29"/>
        <v>12.240069877270642</v>
      </c>
      <c r="CF65" s="602" t="str">
        <f t="shared" si="30"/>
        <v/>
      </c>
      <c r="CG65" s="602" t="str">
        <f t="shared" si="31"/>
        <v/>
      </c>
      <c r="CH65" s="3481">
        <f t="shared" ca="1" si="32"/>
        <v>12.240069877270642</v>
      </c>
      <c r="CI65" s="3479" t="e">
        <f ca="1">IF(CI16="","",IF(CC16=0,"N",(CI16/CC16-1)*100))</f>
        <v>#VALUE!</v>
      </c>
      <c r="CJ65" s="556" t="str">
        <f ca="1">IF(ROUND(CJ16,2)=0,"ok","!")</f>
        <v>!</v>
      </c>
      <c r="CK65" s="601">
        <f t="shared" ca="1" si="34"/>
        <v>-17.840843740272348</v>
      </c>
      <c r="CL65" s="602" t="str">
        <f t="shared" si="35"/>
        <v/>
      </c>
      <c r="CM65" s="602" t="str">
        <f t="shared" si="36"/>
        <v/>
      </c>
      <c r="CN65" s="3481">
        <f t="shared" ca="1" si="37"/>
        <v>-17.840843740272348</v>
      </c>
      <c r="CO65" s="3479">
        <f t="shared" ca="1" si="100"/>
        <v>-33.050847457627121</v>
      </c>
      <c r="CP65" s="556" t="str">
        <f ca="1">IF(ROUND(CP16,2)=0,"ok","!")</f>
        <v>!</v>
      </c>
      <c r="CQ65" s="601">
        <f t="shared" ca="1" si="39"/>
        <v>6.5764631843927113</v>
      </c>
      <c r="CR65" s="602" t="str">
        <f t="shared" si="40"/>
        <v/>
      </c>
      <c r="CS65" s="602" t="str">
        <f t="shared" si="41"/>
        <v/>
      </c>
      <c r="CT65" s="3481">
        <f t="shared" ca="1" si="42"/>
        <v>6.5764631843927113</v>
      </c>
      <c r="CU65" s="3479">
        <f t="shared" ca="1" si="101"/>
        <v>11.392405063291132</v>
      </c>
      <c r="CV65" s="556" t="str">
        <f ca="1">IF(ROUND(CV16,2)=0,"ok","!")</f>
        <v>!</v>
      </c>
      <c r="CW65" s="601">
        <f t="shared" ca="1" si="44"/>
        <v>9.3195471279742925</v>
      </c>
      <c r="CX65" s="602" t="str">
        <f t="shared" si="45"/>
        <v/>
      </c>
      <c r="CY65" s="602" t="str">
        <f t="shared" si="46"/>
        <v/>
      </c>
      <c r="CZ65" s="3481">
        <f t="shared" ca="1" si="47"/>
        <v>9.3195471279742925</v>
      </c>
      <c r="DA65" s="3479">
        <f t="shared" ca="1" si="102"/>
        <v>4.5454545454545414</v>
      </c>
      <c r="DB65" s="556" t="str">
        <f ca="1">IF(ROUND(DB16,2)=0,"ok","!")</f>
        <v>!</v>
      </c>
      <c r="DC65" s="601">
        <f t="shared" ca="1" si="49"/>
        <v>2.6310422752576779</v>
      </c>
      <c r="DD65" s="602" t="str">
        <f t="shared" si="50"/>
        <v/>
      </c>
      <c r="DE65" s="602" t="str">
        <f t="shared" si="51"/>
        <v/>
      </c>
      <c r="DF65" s="3481">
        <f t="shared" ca="1" si="52"/>
        <v>2.6310422752576779</v>
      </c>
      <c r="DG65" s="3479">
        <f t="shared" ca="1" si="103"/>
        <v>-5.4347826086956541</v>
      </c>
      <c r="DH65" s="556" t="str">
        <f ca="1">IF(ROUND(DH16,2)=0,"ok","!")</f>
        <v>!</v>
      </c>
      <c r="DI65" s="601">
        <f t="shared" ca="1" si="54"/>
        <v>3.1489741062869392</v>
      </c>
      <c r="DJ65" s="602" t="str">
        <f t="shared" si="55"/>
        <v/>
      </c>
      <c r="DK65" s="602" t="str">
        <f t="shared" si="56"/>
        <v/>
      </c>
      <c r="DL65" s="3481">
        <f t="shared" ca="1" si="57"/>
        <v>3.1489741062869392</v>
      </c>
      <c r="DM65" s="3479">
        <f t="shared" ca="1" si="104"/>
        <v>14.942528735632198</v>
      </c>
      <c r="DN65" s="556" t="str">
        <f ca="1">IF(ROUND(DN16,2)=0,"ok","!")</f>
        <v>!</v>
      </c>
      <c r="DO65" s="601">
        <f t="shared" ca="1" si="59"/>
        <v>6.2009611229414618</v>
      </c>
      <c r="DP65" s="602" t="str">
        <f t="shared" si="60"/>
        <v/>
      </c>
      <c r="DQ65" s="602" t="str">
        <f t="shared" si="61"/>
        <v/>
      </c>
      <c r="DR65" s="3481">
        <f t="shared" ca="1" si="62"/>
        <v>6.2009611229414618</v>
      </c>
      <c r="DS65" s="3479">
        <f t="shared" ca="1" si="105"/>
        <v>2.9999999999999805</v>
      </c>
      <c r="DT65" s="556" t="str">
        <f ca="1">IF(ROUND(DT16,2)=0,"ok","!")</f>
        <v>!</v>
      </c>
      <c r="DU65" s="601">
        <f t="shared" ca="1" si="64"/>
        <v>6.4735239757423679</v>
      </c>
      <c r="DV65" s="602" t="str">
        <f t="shared" si="65"/>
        <v/>
      </c>
      <c r="DW65" s="602" t="str">
        <f t="shared" si="66"/>
        <v/>
      </c>
      <c r="DX65" s="3481">
        <f t="shared" ca="1" si="67"/>
        <v>6.4735239757423679</v>
      </c>
      <c r="DY65" s="3479">
        <f t="shared" ca="1" si="106"/>
        <v>19.417475728155352</v>
      </c>
      <c r="DZ65" s="556" t="str">
        <f ca="1">IF(ROUND(DZ16,2)=0,"ok","!")</f>
        <v>!</v>
      </c>
      <c r="EA65" s="601">
        <f t="shared" ca="1" si="69"/>
        <v>4.3541922309220826</v>
      </c>
      <c r="EB65" s="602" t="str">
        <f t="shared" si="70"/>
        <v/>
      </c>
      <c r="EC65" s="602" t="str">
        <f t="shared" si="71"/>
        <v/>
      </c>
      <c r="ED65" s="3481">
        <f t="shared" ca="1" si="72"/>
        <v>4.3541922309220826</v>
      </c>
      <c r="EE65" s="3479">
        <f t="shared" ca="1" si="107"/>
        <v>-8.9430894308943021</v>
      </c>
      <c r="EF65" s="556" t="str">
        <f ca="1">IF(ROUND(EF16,2)=0,"ok","!")</f>
        <v>!</v>
      </c>
      <c r="EG65" s="601">
        <f t="shared" ca="1" si="74"/>
        <v>8.7193167077012532</v>
      </c>
      <c r="EH65" s="602" t="str">
        <f t="shared" si="75"/>
        <v/>
      </c>
      <c r="EI65" s="602" t="str">
        <f t="shared" si="76"/>
        <v/>
      </c>
      <c r="EJ65" s="3481">
        <f t="shared" ca="1" si="77"/>
        <v>8.7193167077012532</v>
      </c>
      <c r="EK65" s="3479">
        <f t="shared" ca="1" si="108"/>
        <v>4.0000000000000036</v>
      </c>
      <c r="EL65" s="556" t="str">
        <f ca="1">IF(ROUND(EL16,2)=0,"ok","!")</f>
        <v>ok</v>
      </c>
      <c r="EM65" s="601">
        <f t="shared" ca="1" si="79"/>
        <v>6.4550558054423002</v>
      </c>
      <c r="EN65" s="602" t="str">
        <f t="shared" si="80"/>
        <v/>
      </c>
      <c r="EO65" s="602" t="str">
        <f t="shared" si="81"/>
        <v/>
      </c>
      <c r="EP65" s="3481">
        <f t="shared" ca="1" si="82"/>
        <v>6.4550558054423002</v>
      </c>
      <c r="EQ65" s="3479">
        <f t="shared" ca="1" si="109"/>
        <v>4.0000000000000036</v>
      </c>
      <c r="ER65" s="556" t="str">
        <f ca="1">IF(ROUND(ER16,2)=0,"ok","!")</f>
        <v>ok</v>
      </c>
      <c r="ES65" s="601">
        <f t="shared" ca="1" si="84"/>
        <v>5.6198453453997654</v>
      </c>
      <c r="ET65" s="602" t="str">
        <f t="shared" si="85"/>
        <v/>
      </c>
      <c r="EU65" s="602" t="str">
        <f t="shared" si="86"/>
        <v/>
      </c>
      <c r="EV65" s="3481">
        <f t="shared" ca="1" si="87"/>
        <v>5.6198453453997654</v>
      </c>
      <c r="EW65" s="3479">
        <f t="shared" ca="1" si="110"/>
        <v>4.0000000000000036</v>
      </c>
      <c r="EX65" s="556" t="str">
        <f ca="1">IF(ROUND(EX16,2)=0,"ok","!")</f>
        <v>ok</v>
      </c>
    </row>
    <row r="66" spans="2:154" ht="13.5" thickBot="1">
      <c r="B66" s="600" t="s">
        <v>401</v>
      </c>
      <c r="C66" s="3781" t="s">
        <v>1488</v>
      </c>
      <c r="D66" s="3782"/>
      <c r="E66" s="601"/>
      <c r="F66" s="602"/>
      <c r="G66" s="602"/>
      <c r="H66" s="3481"/>
      <c r="I66" s="3479"/>
      <c r="J66" s="556"/>
      <c r="K66" s="601">
        <f t="shared" ca="1" si="89"/>
        <v>44.143126177024449</v>
      </c>
      <c r="L66" s="602" t="str">
        <f t="shared" si="89"/>
        <v/>
      </c>
      <c r="M66" s="602" t="str">
        <f t="shared" si="89"/>
        <v/>
      </c>
      <c r="N66" s="3481">
        <f t="shared" ca="1" si="89"/>
        <v>44.143126177024449</v>
      </c>
      <c r="O66" s="3479" t="str">
        <f ca="1">IF(O17="","",IF(I17=0,"N",(O17/I17-1)*100))</f>
        <v>N</v>
      </c>
      <c r="P66" s="556" t="str">
        <f ca="1">IF(ROUND(P17,2)=0,"ok","!")</f>
        <v>ok</v>
      </c>
      <c r="Q66" s="601">
        <f t="shared" ca="1" si="90"/>
        <v>-11.932758470516502</v>
      </c>
      <c r="R66" s="602" t="str">
        <f t="shared" si="90"/>
        <v/>
      </c>
      <c r="S66" s="602" t="str">
        <f t="shared" si="90"/>
        <v/>
      </c>
      <c r="T66" s="3481">
        <f t="shared" ca="1" si="90"/>
        <v>-11.932758470516502</v>
      </c>
      <c r="U66" s="3479" t="str">
        <f ca="1">IF(U17="","",IF(O17=0,"N",(U17/O17-1)*100))</f>
        <v>N</v>
      </c>
      <c r="V66" s="556" t="str">
        <f ca="1">IF(ROUND(V17,2)=0,"ok","!")</f>
        <v>ok</v>
      </c>
      <c r="W66" s="601">
        <f t="shared" ca="1" si="91"/>
        <v>35.110275937098208</v>
      </c>
      <c r="X66" s="602" t="str">
        <f t="shared" si="91"/>
        <v/>
      </c>
      <c r="Y66" s="602" t="str">
        <f t="shared" si="91"/>
        <v/>
      </c>
      <c r="Z66" s="3481">
        <f t="shared" ca="1" si="91"/>
        <v>35.110275937098208</v>
      </c>
      <c r="AA66" s="3479" t="str">
        <f ca="1">IF(AA17="","",IF(U17=0,"N",(AA17/U17-1)*100))</f>
        <v>N</v>
      </c>
      <c r="AB66" s="556" t="str">
        <f ca="1">IF(ROUND(AB17,2)=0,"ok","!")</f>
        <v>ok</v>
      </c>
      <c r="AC66" s="601">
        <f t="shared" ca="1" si="92"/>
        <v>-3.0890857184686538</v>
      </c>
      <c r="AD66" s="602" t="str">
        <f t="shared" si="92"/>
        <v/>
      </c>
      <c r="AE66" s="602" t="str">
        <f t="shared" si="92"/>
        <v/>
      </c>
      <c r="AF66" s="3481">
        <f t="shared" ca="1" si="92"/>
        <v>-3.0890857184686538</v>
      </c>
      <c r="AG66" s="3479" t="str">
        <f ca="1">IF(AG17="","",IF(AA17=0,"N",(AG17/AA17-1)*100))</f>
        <v>N</v>
      </c>
      <c r="AH66" s="556" t="str">
        <f ca="1">IF(ROUND(AH17,2)=0,"ok","!")</f>
        <v>ok</v>
      </c>
      <c r="AI66" s="601">
        <f t="shared" ca="1" si="93"/>
        <v>-20.960797643326522</v>
      </c>
      <c r="AJ66" s="602" t="str">
        <f t="shared" si="93"/>
        <v/>
      </c>
      <c r="AK66" s="602" t="str">
        <f t="shared" si="93"/>
        <v/>
      </c>
      <c r="AL66" s="3481">
        <f t="shared" ca="1" si="93"/>
        <v>-20.960797643326522</v>
      </c>
      <c r="AM66" s="3479" t="str">
        <f ca="1">IF(AM17="","",IF(AG17=0,"N",(AM17/AG17-1)*100))</f>
        <v>N</v>
      </c>
      <c r="AN66" s="556" t="str">
        <f ca="1">IF(ROUND(AN17,2)=0,"ok","!")</f>
        <v>ok</v>
      </c>
      <c r="AO66" s="601">
        <f t="shared" ca="1" si="94"/>
        <v>13.97171253822631</v>
      </c>
      <c r="AP66" s="602" t="str">
        <f t="shared" si="94"/>
        <v/>
      </c>
      <c r="AQ66" s="602" t="str">
        <f t="shared" si="94"/>
        <v/>
      </c>
      <c r="AR66" s="3481">
        <f t="shared" ca="1" si="94"/>
        <v>13.97171253822631</v>
      </c>
      <c r="AS66" s="3479" t="str">
        <f ca="1">IF(AS17="","",IF(AM17=0,"N",(AS17/AM17-1)*100))</f>
        <v>N</v>
      </c>
      <c r="AT66" s="556" t="str">
        <f ca="1">IF(ROUND(AT17,2)=0,"ok","!")</f>
        <v>ok</v>
      </c>
      <c r="AU66" s="601">
        <f t="shared" ca="1" si="95"/>
        <v>0.46956230085526407</v>
      </c>
      <c r="AV66" s="602" t="str">
        <f t="shared" si="95"/>
        <v/>
      </c>
      <c r="AW66" s="602" t="str">
        <f t="shared" si="95"/>
        <v/>
      </c>
      <c r="AX66" s="3481">
        <f t="shared" ca="1" si="95"/>
        <v>0.46956230085526407</v>
      </c>
      <c r="AY66" s="3479" t="str">
        <f ca="1">IF(AY17="","",IF(AS17=0,"N",(AY17/AS17-1)*100))</f>
        <v>N</v>
      </c>
      <c r="AZ66" s="556" t="str">
        <f ca="1">IF(ROUND(AZ17,2)=0,"ok","!")</f>
        <v>ok</v>
      </c>
      <c r="BA66" s="601">
        <f t="shared" ca="1" si="96"/>
        <v>8.0787848439325636</v>
      </c>
      <c r="BB66" s="602" t="str">
        <f t="shared" si="96"/>
        <v/>
      </c>
      <c r="BC66" s="602" t="str">
        <f t="shared" si="96"/>
        <v/>
      </c>
      <c r="BD66" s="3481">
        <f t="shared" ca="1" si="96"/>
        <v>8.0787848439325636</v>
      </c>
      <c r="BE66" s="3479" t="str">
        <f ca="1">IF(BE17="","",IF(AY17=0,"N",(BE17/AY17-1)*100))</f>
        <v>N</v>
      </c>
      <c r="BF66" s="556" t="str">
        <f ca="1">IF(ROUND(BF17,2)=0,"ok","!")</f>
        <v>ok</v>
      </c>
      <c r="BG66" s="601">
        <f t="shared" ca="1" si="21"/>
        <v>-3.0038610038610081</v>
      </c>
      <c r="BH66" s="602" t="str">
        <f t="shared" si="22"/>
        <v/>
      </c>
      <c r="BI66" s="602" t="str">
        <f t="shared" si="23"/>
        <v/>
      </c>
      <c r="BJ66" s="3481">
        <f t="shared" ca="1" si="24"/>
        <v>-3.0038610038610081</v>
      </c>
      <c r="BK66" s="3479" t="str">
        <f ca="1">IF(BK17="","",IF(BE17=0,"N",(BK17/BE17-1)*100))</f>
        <v>N</v>
      </c>
      <c r="BL66" s="556" t="str">
        <f ca="1">IF(ROUND(BL17,2)=0,"ok","!")</f>
        <v>ok</v>
      </c>
      <c r="BM66" s="601">
        <f t="shared" ca="1" si="97"/>
        <v>12.857256587851285</v>
      </c>
      <c r="BN66" s="602" t="str">
        <f t="shared" si="97"/>
        <v/>
      </c>
      <c r="BO66" s="602" t="str">
        <f t="shared" si="97"/>
        <v/>
      </c>
      <c r="BP66" s="3481">
        <f t="shared" ca="1" si="97"/>
        <v>12.857256587851285</v>
      </c>
      <c r="BQ66" s="3479">
        <f ca="1">IF(BQ17="","",IF(BK17=0,"N",(BQ17/BK17-1)*100))</f>
        <v>100.93491686460806</v>
      </c>
      <c r="BR66" s="556" t="str">
        <f ca="1">IF(ROUND(BR17,2)=0,"ok","!")</f>
        <v>ok</v>
      </c>
      <c r="BS66" s="601">
        <f t="shared" ca="1" si="98"/>
        <v>14.207110609480832</v>
      </c>
      <c r="BT66" s="602" t="str">
        <f t="shared" si="98"/>
        <v/>
      </c>
      <c r="BU66" s="602" t="str">
        <f t="shared" si="98"/>
        <v/>
      </c>
      <c r="BV66" s="3481">
        <f t="shared" ca="1" si="98"/>
        <v>14.207110609480832</v>
      </c>
      <c r="BW66" s="3479">
        <f ca="1">IF(BW17="","",IF(BQ17=0,"N",(BW17/BQ17-1)*100))</f>
        <v>-4.081632653061229</v>
      </c>
      <c r="BX66" s="556" t="str">
        <f ca="1">IF(ROUND(BX17,2)=0,"ok","!")</f>
        <v>ok</v>
      </c>
      <c r="BY66" s="601">
        <f t="shared" ca="1" si="99"/>
        <v>57.8567016676961</v>
      </c>
      <c r="BZ66" s="602" t="str">
        <f t="shared" si="99"/>
        <v/>
      </c>
      <c r="CA66" s="602" t="str">
        <f t="shared" si="99"/>
        <v/>
      </c>
      <c r="CB66" s="3481">
        <f t="shared" ca="1" si="99"/>
        <v>57.8567016676961</v>
      </c>
      <c r="CC66" s="3479">
        <f ca="1">IF(CC17="","",IF(BW17=0,"N",(CC17/BW17-1)*100))</f>
        <v>-19.574468085106378</v>
      </c>
      <c r="CD66" s="556" t="str">
        <f ca="1">IF(ROUND(CD17,2)=0,"ok","!")</f>
        <v>ok</v>
      </c>
      <c r="CE66" s="601">
        <f t="shared" ca="1" si="29"/>
        <v>-13.589231912978839</v>
      </c>
      <c r="CF66" s="602" t="str">
        <f t="shared" si="30"/>
        <v/>
      </c>
      <c r="CG66" s="602" t="str">
        <f t="shared" si="31"/>
        <v/>
      </c>
      <c r="CH66" s="3481">
        <f t="shared" ca="1" si="32"/>
        <v>-13.589231912978839</v>
      </c>
      <c r="CI66" s="3479">
        <f ca="1">IF(CI17="","",IF(CC17=0,"N",(CI17/CC17-1)*100))</f>
        <v>9.5238095238095113</v>
      </c>
      <c r="CJ66" s="556" t="str">
        <f ca="1">IF(ROUND(CJ17,2)=0,"ok","!")</f>
        <v>ok</v>
      </c>
      <c r="CK66" s="601">
        <f t="shared" ca="1" si="34"/>
        <v>-22.821952544828839</v>
      </c>
      <c r="CL66" s="602" t="str">
        <f t="shared" si="35"/>
        <v/>
      </c>
      <c r="CM66" s="602" t="str">
        <f t="shared" si="36"/>
        <v/>
      </c>
      <c r="CN66" s="3481">
        <f t="shared" ca="1" si="37"/>
        <v>-22.821952544828839</v>
      </c>
      <c r="CO66" s="3479">
        <f t="shared" ca="1" si="100"/>
        <v>31.884057971014499</v>
      </c>
      <c r="CP66" s="556" t="str">
        <f ca="1">IF(ROUND(CP17,2)=0,"ok","!")</f>
        <v>ok</v>
      </c>
      <c r="CQ66" s="601">
        <f t="shared" ca="1" si="39"/>
        <v>-19.038957991081908</v>
      </c>
      <c r="CR66" s="602" t="str">
        <f t="shared" si="40"/>
        <v/>
      </c>
      <c r="CS66" s="602" t="str">
        <f t="shared" si="41"/>
        <v/>
      </c>
      <c r="CT66" s="3481">
        <f t="shared" ca="1" si="42"/>
        <v>-19.038957991081908</v>
      </c>
      <c r="CU66" s="3479">
        <f t="shared" ca="1" si="101"/>
        <v>11.721611721611701</v>
      </c>
      <c r="CV66" s="556" t="str">
        <f ca="1">IF(ROUND(CV17,2)=0,"ok","!")</f>
        <v>ok</v>
      </c>
      <c r="CW66" s="601">
        <f t="shared" ca="1" si="44"/>
        <v>-11.174722806000437</v>
      </c>
      <c r="CX66" s="602" t="str">
        <f t="shared" si="45"/>
        <v/>
      </c>
      <c r="CY66" s="602" t="str">
        <f t="shared" si="46"/>
        <v/>
      </c>
      <c r="CZ66" s="3481">
        <f t="shared" ca="1" si="47"/>
        <v>-11.174722806000437</v>
      </c>
      <c r="DA66" s="3479">
        <f t="shared" ca="1" si="102"/>
        <v>5.9016393442623105</v>
      </c>
      <c r="DB66" s="556" t="str">
        <f ca="1">IF(ROUND(DB17,2)=0,"ok","!")</f>
        <v>ok</v>
      </c>
      <c r="DC66" s="601">
        <f t="shared" ca="1" si="49"/>
        <v>-14.481520763645261</v>
      </c>
      <c r="DD66" s="602" t="str">
        <f t="shared" si="50"/>
        <v/>
      </c>
      <c r="DE66" s="602" t="str">
        <f t="shared" si="51"/>
        <v/>
      </c>
      <c r="DF66" s="3481">
        <f t="shared" ca="1" si="52"/>
        <v>-14.481520763645261</v>
      </c>
      <c r="DG66" s="3479">
        <f t="shared" ca="1" si="103"/>
        <v>13.31269349845201</v>
      </c>
      <c r="DH66" s="556" t="str">
        <f ca="1">IF(ROUND(DH17,2)=0,"ok","!")</f>
        <v>ok</v>
      </c>
      <c r="DI66" s="601">
        <f t="shared" ca="1" si="54"/>
        <v>10.312917382178966</v>
      </c>
      <c r="DJ66" s="602" t="str">
        <f t="shared" si="55"/>
        <v/>
      </c>
      <c r="DK66" s="602" t="str">
        <f t="shared" si="56"/>
        <v/>
      </c>
      <c r="DL66" s="3481">
        <f t="shared" ca="1" si="57"/>
        <v>10.312917382178966</v>
      </c>
      <c r="DM66" s="3479">
        <f t="shared" ca="1" si="104"/>
        <v>6.2841530054644767</v>
      </c>
      <c r="DN66" s="556" t="str">
        <f ca="1">IF(ROUND(DN17,2)=0,"ok","!")</f>
        <v>ok</v>
      </c>
      <c r="DO66" s="601">
        <f t="shared" ca="1" si="59"/>
        <v>2.6896134221222834</v>
      </c>
      <c r="DP66" s="602" t="str">
        <f t="shared" si="60"/>
        <v/>
      </c>
      <c r="DQ66" s="602" t="str">
        <f t="shared" si="61"/>
        <v/>
      </c>
      <c r="DR66" s="3481">
        <f t="shared" ca="1" si="62"/>
        <v>2.6896134221222834</v>
      </c>
      <c r="DS66" s="3479">
        <f t="shared" ca="1" si="105"/>
        <v>-0.77120822622107621</v>
      </c>
      <c r="DT66" s="556" t="str">
        <f ca="1">IF(ROUND(DT17,2)=0,"ok","!")</f>
        <v>ok</v>
      </c>
      <c r="DU66" s="601">
        <f t="shared" ca="1" si="64"/>
        <v>24.279939363314806</v>
      </c>
      <c r="DV66" s="602" t="str">
        <f t="shared" si="65"/>
        <v/>
      </c>
      <c r="DW66" s="602" t="str">
        <f t="shared" si="66"/>
        <v/>
      </c>
      <c r="DX66" s="3481">
        <f t="shared" ca="1" si="67"/>
        <v>24.279939363314806</v>
      </c>
      <c r="DY66" s="3479">
        <f t="shared" ca="1" si="106"/>
        <v>14.248704663212441</v>
      </c>
      <c r="DZ66" s="556" t="str">
        <f ca="1">IF(ROUND(DZ17,2)=0,"ok","!")</f>
        <v>ok</v>
      </c>
      <c r="EA66" s="601">
        <f t="shared" ca="1" si="69"/>
        <v>10.069797384292212</v>
      </c>
      <c r="EB66" s="602" t="str">
        <f t="shared" si="70"/>
        <v/>
      </c>
      <c r="EC66" s="602" t="str">
        <f t="shared" si="71"/>
        <v/>
      </c>
      <c r="ED66" s="3481">
        <f t="shared" ca="1" si="72"/>
        <v>10.069797384292212</v>
      </c>
      <c r="EE66" s="3479">
        <f t="shared" ca="1" si="107"/>
        <v>5.8956916099773382</v>
      </c>
      <c r="EF66" s="556" t="str">
        <f ca="1">IF(ROUND(EF17,2)=0,"ok","!")</f>
        <v>ok</v>
      </c>
      <c r="EG66" s="601">
        <f t="shared" ca="1" si="74"/>
        <v>-2.225574093455629</v>
      </c>
      <c r="EH66" s="602" t="str">
        <f t="shared" si="75"/>
        <v/>
      </c>
      <c r="EI66" s="602" t="str">
        <f t="shared" si="76"/>
        <v/>
      </c>
      <c r="EJ66" s="3481">
        <f t="shared" ca="1" si="77"/>
        <v>-2.225574093455629</v>
      </c>
      <c r="EK66" s="3479">
        <f t="shared" ca="1" si="108"/>
        <v>2.4999999999999911</v>
      </c>
      <c r="EL66" s="556" t="str">
        <f ca="1">IF(ROUND(EL17,2)=0,"ok","!")</f>
        <v>ok</v>
      </c>
      <c r="EM66" s="601">
        <f t="shared" ca="1" si="79"/>
        <v>4.8415609356799338</v>
      </c>
      <c r="EN66" s="602" t="str">
        <f t="shared" si="80"/>
        <v/>
      </c>
      <c r="EO66" s="602" t="str">
        <f t="shared" si="81"/>
        <v/>
      </c>
      <c r="EP66" s="3481">
        <f t="shared" ca="1" si="82"/>
        <v>4.8415609356799338</v>
      </c>
      <c r="EQ66" s="3479">
        <f t="shared" ca="1" si="109"/>
        <v>2.4999999999999911</v>
      </c>
      <c r="ER66" s="556" t="str">
        <f ca="1">IF(ROUND(ER17,2)=0,"ok","!")</f>
        <v>ok</v>
      </c>
      <c r="ES66" s="601">
        <f t="shared" ca="1" si="84"/>
        <v>4.8632843931043945</v>
      </c>
      <c r="ET66" s="602" t="str">
        <f t="shared" si="85"/>
        <v/>
      </c>
      <c r="EU66" s="602" t="str">
        <f t="shared" si="86"/>
        <v/>
      </c>
      <c r="EV66" s="3481">
        <f t="shared" ca="1" si="87"/>
        <v>4.8632843931043945</v>
      </c>
      <c r="EW66" s="3479">
        <f t="shared" ca="1" si="110"/>
        <v>2.4999999999999911</v>
      </c>
      <c r="EX66" s="556" t="str">
        <f ca="1">IF(ROUND(EX17,2)=0,"ok","!")</f>
        <v>ok</v>
      </c>
    </row>
    <row r="67" spans="2:154">
      <c r="B67" s="600" t="s">
        <v>1767</v>
      </c>
      <c r="C67" s="3781" t="s">
        <v>1489</v>
      </c>
      <c r="D67" s="3782"/>
      <c r="E67" s="601"/>
      <c r="F67" s="603"/>
      <c r="G67" s="3481"/>
      <c r="H67" s="3479"/>
      <c r="I67" s="3478"/>
      <c r="J67" s="556"/>
      <c r="K67" s="601">
        <f ca="1">IF(K18="","",IF(E18=0,"N",(K18/E18-1)*100))</f>
        <v>404.94117647058658</v>
      </c>
      <c r="L67" s="603">
        <f t="shared" ref="L67:O68" ca="1" si="111">IF(L18="","",IF(F18=0,"N",(L18/F18-1)*100))</f>
        <v>18.456266953937206</v>
      </c>
      <c r="M67" s="3481">
        <f t="shared" ca="1" si="111"/>
        <v>18.125813117012335</v>
      </c>
      <c r="N67" s="3479">
        <f t="shared" ca="1" si="111"/>
        <v>-6465.0000000000373</v>
      </c>
      <c r="O67" s="3478">
        <f t="shared" ca="1" si="111"/>
        <v>825.92592592592632</v>
      </c>
      <c r="P67" s="556" t="str">
        <f ca="1">IF(ROUND(P18,2)=0,"ok","!")</f>
        <v>!</v>
      </c>
      <c r="Q67" s="601">
        <f ca="1">IF(Q18="","",IF(K18=0,"N",(Q18/K18-1)*100))</f>
        <v>144.29947188567826</v>
      </c>
      <c r="R67" s="603">
        <f t="shared" ref="R67:U68" ca="1" si="112">IF(R18="","",IF(L18=0,"N",(R18/L18-1)*100))</f>
        <v>29.029112384542067</v>
      </c>
      <c r="S67" s="3481">
        <f t="shared" ca="1" si="112"/>
        <v>40.749138889788682</v>
      </c>
      <c r="T67" s="3479">
        <f t="shared" ca="1" si="112"/>
        <v>-38.393558523173596</v>
      </c>
      <c r="U67" s="3478">
        <f t="shared" ca="1" si="112"/>
        <v>108.80000000000001</v>
      </c>
      <c r="V67" s="556" t="str">
        <f ca="1">IF(ROUND(V18,2)=0,"ok","!")</f>
        <v>!</v>
      </c>
      <c r="W67" s="601">
        <f ca="1">IF(W18="","",IF(Q18=0,"N",(W18/Q18-1)*100))</f>
        <v>40.653611393692678</v>
      </c>
      <c r="X67" s="603">
        <f t="shared" ref="X67:AA68" ca="1" si="113">IF(X18="","",IF(R18=0,"N",(X18/R18-1)*100))</f>
        <v>18.242032591435198</v>
      </c>
      <c r="Y67" s="3481">
        <f t="shared" ca="1" si="113"/>
        <v>24.166871240947586</v>
      </c>
      <c r="Z67" s="3479">
        <f t="shared" ca="1" si="113"/>
        <v>-115.58814153649986</v>
      </c>
      <c r="AA67" s="3478">
        <f t="shared" ca="1" si="113"/>
        <v>47.701149425287362</v>
      </c>
      <c r="AB67" s="556" t="str">
        <f ca="1">IF(ROUND(AB18,2)=0,"ok","!")</f>
        <v>ok</v>
      </c>
      <c r="AC67" s="601">
        <f ca="1">IF(AC18="","",IF(W18=0,"N",(AC18/W18-1)*100))</f>
        <v>14.017719916825101</v>
      </c>
      <c r="AD67" s="603">
        <f t="shared" ref="AD67:AG68" ca="1" si="114">IF(AD18="","",IF(X18=0,"N",(AD18/X18-1)*100))</f>
        <v>-4.0791996725149655</v>
      </c>
      <c r="AE67" s="3481">
        <f t="shared" ca="1" si="114"/>
        <v>-4.1333547518133447</v>
      </c>
      <c r="AF67" s="3479">
        <f t="shared" ca="1" si="114"/>
        <v>-840.69529652351673</v>
      </c>
      <c r="AG67" s="3478">
        <f t="shared" ca="1" si="114"/>
        <v>9.0791180285343831</v>
      </c>
      <c r="AH67" s="556" t="str">
        <f ca="1">IF(ROUND(AH18,2)=0,"ok","!")</f>
        <v>!</v>
      </c>
      <c r="AI67" s="601">
        <f ca="1">IF(AI18="","",IF(AC18=0,"N",(AI18/AC18-1)*100))</f>
        <v>8.7221979938845173E-2</v>
      </c>
      <c r="AJ67" s="603">
        <f t="shared" ref="AJ67:AM68" ca="1" si="115">IF(AJ18="","",IF(AD18=0,"N",(AJ18/AD18-1)*100))</f>
        <v>68.324311373658901</v>
      </c>
      <c r="AK67" s="3481">
        <f t="shared" ca="1" si="115"/>
        <v>57.364465984377809</v>
      </c>
      <c r="AL67" s="3479">
        <f t="shared" ca="1" si="115"/>
        <v>62.644947542793993</v>
      </c>
      <c r="AM67" s="3478">
        <f t="shared" ca="1" si="115"/>
        <v>0.23781212841853527</v>
      </c>
      <c r="AN67" s="556" t="str">
        <f ca="1">IF(ROUND(AN18,2)=0,"ok","!")</f>
        <v>!</v>
      </c>
      <c r="AO67" s="601">
        <f ca="1">IF(AO18="","",IF(AI18=0,"N",(AO18/AI18-1)*100))</f>
        <v>-2.1271538918597122</v>
      </c>
      <c r="AP67" s="603">
        <f t="shared" ref="AP67:AS68" ca="1" si="116">IF(AP18="","",IF(AJ18=0,"N",(AP18/AJ18-1)*100))</f>
        <v>9.0672941343925331</v>
      </c>
      <c r="AQ67" s="3481">
        <f t="shared" ca="1" si="116"/>
        <v>10.490103328377831</v>
      </c>
      <c r="AR67" s="3479">
        <f t="shared" ca="1" si="116"/>
        <v>-97.878119164827709</v>
      </c>
      <c r="AS67" s="3478">
        <f t="shared" ca="1" si="116"/>
        <v>-1.1862396204033065</v>
      </c>
      <c r="AT67" s="556" t="str">
        <f ca="1">IF(ROUND(AT18,2)=0,"ok","!")</f>
        <v>!</v>
      </c>
      <c r="AU67" s="601">
        <f ca="1">IF(AU18="","",IF(AO18=0,"N",(AU18/AO18-1)*100))</f>
        <v>-12.137769143597389</v>
      </c>
      <c r="AV67" s="603">
        <f t="shared" ref="AV67:AY68" ca="1" si="117">IF(AV18="","",IF(AP18=0,"N",(AV18/AP18-1)*100))</f>
        <v>15.994029461183379</v>
      </c>
      <c r="AW67" s="3481">
        <f t="shared" ca="1" si="117"/>
        <v>12.320460214910289</v>
      </c>
      <c r="AX67" s="3479">
        <f t="shared" ca="1" si="117"/>
        <v>2383.9999999999973</v>
      </c>
      <c r="AY67" s="3478">
        <f t="shared" ca="1" si="117"/>
        <v>-11.164465786314537</v>
      </c>
      <c r="AZ67" s="556" t="str">
        <f ca="1">IF(ROUND(AZ18,2)=0,"ok","!")</f>
        <v>ok</v>
      </c>
      <c r="BA67" s="601">
        <f ca="1">IF(BA18="","",IF(AU18=0,"N",(BA18/AU18-1)*100))</f>
        <v>108.79358791284743</v>
      </c>
      <c r="BB67" s="603">
        <f t="shared" ref="BB67:BE68" ca="1" si="118">IF(BB18="","",IF(AV18=0,"N",(BB18/AV18-1)*100))</f>
        <v>0.55410622244411734</v>
      </c>
      <c r="BC67" s="3481">
        <f t="shared" ca="1" si="118"/>
        <v>7.6663388620118456</v>
      </c>
      <c r="BD67" s="3479">
        <f t="shared" ca="1" si="118"/>
        <v>63.220611916264133</v>
      </c>
      <c r="BE67" s="3478">
        <f t="shared" ca="1" si="118"/>
        <v>111.35135135135137</v>
      </c>
      <c r="BF67" s="556" t="str">
        <f ca="1">IF(ROUND(BF18,2)=0,"ok","!")</f>
        <v>ok</v>
      </c>
      <c r="BG67" s="601">
        <f ca="1">IF(BG18="","",IF(BA18=0,"N",(BG18/BA18-1)*100))</f>
        <v>32.894301409756046</v>
      </c>
      <c r="BH67" s="603">
        <f t="shared" ref="BH67:BK68" ca="1" si="119">IF(BH18="","",IF(BB18=0,"N",(BH18/BB18-1)*100))</f>
        <v>30.832033790446079</v>
      </c>
      <c r="BI67" s="3481">
        <f t="shared" ca="1" si="119"/>
        <v>32.536926410774349</v>
      </c>
      <c r="BJ67" s="3479">
        <f t="shared" ca="1" si="119"/>
        <v>-60.477505919494888</v>
      </c>
      <c r="BK67" s="3478">
        <f t="shared" ca="1" si="119"/>
        <v>29.092071611253225</v>
      </c>
      <c r="BL67" s="556" t="str">
        <f ca="1">IF(ROUND(BL18,2)=0,"ok","!")</f>
        <v>!</v>
      </c>
      <c r="BM67" s="601">
        <f ca="1">IF(BM18="","",IF(BG18=0,"N",(BM18/BG18-1)*100))</f>
        <v>10.515131895678476</v>
      </c>
      <c r="BN67" s="603">
        <f t="shared" ref="BN67:BQ68" ca="1" si="120">IF(BN18="","",IF(BH18=0,"N",(BN18/BH18-1)*100))</f>
        <v>-8.4345109400096767</v>
      </c>
      <c r="BO67" s="3481">
        <f t="shared" ca="1" si="120"/>
        <v>-5.3569405033637274</v>
      </c>
      <c r="BP67" s="3479">
        <f t="shared" ca="1" si="120"/>
        <v>-102.9455816275587</v>
      </c>
      <c r="BQ67" s="3478">
        <f t="shared" ca="1" si="120"/>
        <v>13.896225854383349</v>
      </c>
      <c r="BR67" s="556" t="str">
        <f ca="1">IF(ROUND(BR18,2)=0,"ok","!")</f>
        <v>ok</v>
      </c>
      <c r="BS67" s="601">
        <f ca="1">IF(BS18="","",IF(BM18=0,"N",(BS18/BM18-1)*100))</f>
        <v>27.058328701686829</v>
      </c>
      <c r="BT67" s="603">
        <f t="shared" ref="BT67:BW68" ca="1" si="121">IF(BT18="","",IF(BN18=0,"N",(BT18/BN18-1)*100))</f>
        <v>18.531479757280025</v>
      </c>
      <c r="BU67" s="3481">
        <f t="shared" ca="1" si="121"/>
        <v>19.316207571466638</v>
      </c>
      <c r="BV67" s="3479">
        <f t="shared" ca="1" si="121"/>
        <v>-4159.3220338982555</v>
      </c>
      <c r="BW67" s="3478">
        <f t="shared" ca="1" si="121"/>
        <v>26.876876876876878</v>
      </c>
      <c r="BX67" s="556" t="str">
        <f ca="1">IF(ROUND(BX18,2)=0,"ok","!")</f>
        <v>ok</v>
      </c>
      <c r="BY67" s="601">
        <f ca="1">IF(BY18="","",IF(BS18=0,"N",(BY18/BS18-1)*100))</f>
        <v>61.673602572590781</v>
      </c>
      <c r="BZ67" s="603">
        <f t="shared" ref="BZ67:CC68" ca="1" si="122">IF(BZ18="","",IF(BT18=0,"N",(BZ18/BT18-1)*100))</f>
        <v>-21.843150484229625</v>
      </c>
      <c r="CA67" s="3481">
        <f t="shared" ca="1" si="122"/>
        <v>-7.4055187610844175</v>
      </c>
      <c r="CB67" s="3479">
        <f t="shared" ca="1" si="122"/>
        <v>-15.866388308977031</v>
      </c>
      <c r="CC67" s="3478">
        <f t="shared" ca="1" si="122"/>
        <v>61.77514792899408</v>
      </c>
      <c r="CD67" s="556" t="str">
        <f ca="1">IF(ROUND(CD18,2)=0,"ok","!")</f>
        <v>ok</v>
      </c>
      <c r="CE67" s="601">
        <f ca="1">IF(CE18="","",IF(BY18=0,"N",(CE18/BY18-1)*100))</f>
        <v>-1.0720292504570295</v>
      </c>
      <c r="CF67" s="603">
        <f t="shared" ref="CF67:CI68" ca="1" si="123">IF(CF18="","",IF(BZ18=0,"N",(CF18/BZ18-1)*100))</f>
        <v>18.116142935457248</v>
      </c>
      <c r="CG67" s="3481">
        <f t="shared" ca="1" si="123"/>
        <v>12.493337196469213</v>
      </c>
      <c r="CH67" s="3479">
        <f t="shared" ca="1" si="123"/>
        <v>-22.431761786600479</v>
      </c>
      <c r="CI67" s="3478">
        <f t="shared" ca="1" si="123"/>
        <v>-1.0241404535479171</v>
      </c>
      <c r="CJ67" s="556" t="str">
        <f ca="1">IF(ROUND(CJ18,2)=0,"ok","!")</f>
        <v>ok</v>
      </c>
      <c r="CK67" s="601">
        <f t="shared" ca="1" si="34"/>
        <v>-118.01986931196591</v>
      </c>
      <c r="CL67" s="603">
        <f t="shared" ca="1" si="35"/>
        <v>0.20672013827576219</v>
      </c>
      <c r="CM67" s="3481">
        <f t="shared" ca="1" si="36"/>
        <v>-34.188516467960618</v>
      </c>
      <c r="CN67" s="3479">
        <f t="shared" ca="1" si="37"/>
        <v>959.94881637875869</v>
      </c>
      <c r="CO67" s="3478">
        <f t="shared" ca="1" si="100"/>
        <v>-117.96008869179602</v>
      </c>
      <c r="CP67" s="556" t="str">
        <f ca="1">IF(ROUND(CP18,2)=0,"ok","!")</f>
        <v>ok</v>
      </c>
      <c r="CQ67" s="601">
        <f t="shared" ca="1" si="39"/>
        <v>-504.28665189925471</v>
      </c>
      <c r="CR67" s="603">
        <f t="shared" ca="1" si="40"/>
        <v>17.360079642672723</v>
      </c>
      <c r="CS67" s="3481">
        <f t="shared" ca="1" si="41"/>
        <v>51.671630822177718</v>
      </c>
      <c r="CT67" s="3479">
        <f t="shared" ca="1" si="42"/>
        <v>91.69433210599378</v>
      </c>
      <c r="CU67" s="3478">
        <f t="shared" ca="1" si="101"/>
        <v>-505.76131687242798</v>
      </c>
      <c r="CV67" s="556" t="str">
        <f ca="1">IF(ROUND(CV18,2)=0,"ok","!")</f>
        <v>ok</v>
      </c>
      <c r="CW67" s="601">
        <f t="shared" ca="1" si="44"/>
        <v>60.702943474334312</v>
      </c>
      <c r="CX67" s="603">
        <f t="shared" ca="1" si="45"/>
        <v>11.926622151255639</v>
      </c>
      <c r="CY67" s="3481">
        <f t="shared" ca="1" si="46"/>
        <v>20.45381577521934</v>
      </c>
      <c r="CZ67" s="3479">
        <f t="shared" ca="1" si="47"/>
        <v>26.9790289061024</v>
      </c>
      <c r="DA67" s="3478">
        <f t="shared" ca="1" si="102"/>
        <v>60.547667342799194</v>
      </c>
      <c r="DB67" s="556" t="str">
        <f ca="1">IF(ROUND(DB18,2)=0,"ok","!")</f>
        <v>ok</v>
      </c>
      <c r="DC67" s="601">
        <f t="shared" ca="1" si="49"/>
        <v>-14.99330740478838</v>
      </c>
      <c r="DD67" s="603">
        <f t="shared" ca="1" si="50"/>
        <v>3.1375131717597649</v>
      </c>
      <c r="DE67" s="3481">
        <f t="shared" ca="1" si="51"/>
        <v>-2.2049324817100424</v>
      </c>
      <c r="DF67" s="3479">
        <f t="shared" ca="1" si="52"/>
        <v>12.944502306204475</v>
      </c>
      <c r="DG67" s="3478">
        <f t="shared" ca="1" si="103"/>
        <v>-14.908401768793434</v>
      </c>
      <c r="DH67" s="556" t="str">
        <f ca="1">IF(ROUND(DH18,2)=0,"ok","!")</f>
        <v>ok</v>
      </c>
      <c r="DI67" s="601">
        <f t="shared" ca="1" si="54"/>
        <v>-4.8263107466743111</v>
      </c>
      <c r="DJ67" s="603">
        <f t="shared" ca="1" si="55"/>
        <v>-2.2202006825655651E-2</v>
      </c>
      <c r="DK67" s="3481">
        <f t="shared" ca="1" si="56"/>
        <v>-1.6284482672133227</v>
      </c>
      <c r="DL67" s="3479">
        <f t="shared" ca="1" si="57"/>
        <v>6.8677820225705899</v>
      </c>
      <c r="DM67" s="3478">
        <f t="shared" ca="1" si="104"/>
        <v>-4.8997772828507813</v>
      </c>
      <c r="DN67" s="556" t="str">
        <f ca="1">IF(ROUND(DN18,2)=0,"ok","!")</f>
        <v>ok</v>
      </c>
      <c r="DO67" s="601">
        <f t="shared" ca="1" si="59"/>
        <v>-39.774775829372878</v>
      </c>
      <c r="DP67" s="603">
        <f t="shared" ca="1" si="60"/>
        <v>-7.2380858799253041</v>
      </c>
      <c r="DQ67" s="3481">
        <f t="shared" ca="1" si="61"/>
        <v>-14.288263940236101</v>
      </c>
      <c r="DR67" s="3479">
        <f t="shared" ca="1" si="62"/>
        <v>-7.6796647080577207</v>
      </c>
      <c r="DS67" s="3478">
        <f t="shared" ca="1" si="105"/>
        <v>-39.734582357533178</v>
      </c>
      <c r="DT67" s="556" t="str">
        <f ca="1">IF(ROUND(DT18,2)=0,"ok","!")</f>
        <v>ok</v>
      </c>
      <c r="DU67" s="601">
        <f t="shared" ca="1" si="64"/>
        <v>142.34955683408535</v>
      </c>
      <c r="DV67" s="603">
        <f t="shared" ca="1" si="65"/>
        <v>-1.3904101317955719</v>
      </c>
      <c r="DW67" s="3481">
        <f t="shared" ca="1" si="66"/>
        <v>21.063945821062767</v>
      </c>
      <c r="DX67" s="3479">
        <f t="shared" ca="1" si="67"/>
        <v>-6.5092576108242595</v>
      </c>
      <c r="DY67" s="3478">
        <f t="shared" ca="1" si="106"/>
        <v>142.35751295336786</v>
      </c>
      <c r="DZ67" s="556" t="str">
        <f ca="1">IF(ROUND(DZ18,2)=0,"ok","!")</f>
        <v>ok</v>
      </c>
      <c r="EA67" s="601">
        <f t="shared" ca="1" si="69"/>
        <v>-1.0148321623732359</v>
      </c>
      <c r="EB67" s="603">
        <f t="shared" ca="1" si="70"/>
        <v>5.4855883262865168</v>
      </c>
      <c r="EC67" s="3481">
        <f t="shared" ca="1" si="71"/>
        <v>5.371917748754651</v>
      </c>
      <c r="ED67" s="3479">
        <f t="shared" ca="1" si="72"/>
        <v>-21.801432958034827</v>
      </c>
      <c r="EE67" s="3478">
        <f t="shared" ca="1" si="107"/>
        <v>-1.0689470871191875</v>
      </c>
      <c r="EF67" s="556" t="str">
        <f ca="1">IF(ROUND(EF18,2)=0,"ok","!")</f>
        <v>ok</v>
      </c>
      <c r="EG67" s="601">
        <f t="shared" ca="1" si="74"/>
        <v>1.4846484594443154</v>
      </c>
      <c r="EH67" s="603">
        <f t="shared" ca="1" si="75"/>
        <v>5.6274529571945342</v>
      </c>
      <c r="EI67" s="3481">
        <f t="shared" ca="1" si="76"/>
        <v>5.4999999999999938</v>
      </c>
      <c r="EJ67" s="3479">
        <f t="shared" ca="1" si="77"/>
        <v>-15.222513089005229</v>
      </c>
      <c r="EK67" s="3478">
        <f t="shared" ca="1" si="108"/>
        <v>1.4999999999999902</v>
      </c>
      <c r="EL67" s="556" t="str">
        <f ca="1">IF(ROUND(EL18,2)=0,"ok","!")</f>
        <v>ok</v>
      </c>
      <c r="EM67" s="601">
        <f t="shared" ca="1" si="79"/>
        <v>2.000000000000024</v>
      </c>
      <c r="EN67" s="603">
        <f t="shared" ca="1" si="80"/>
        <v>3.9340874014154759</v>
      </c>
      <c r="EO67" s="3481">
        <f t="shared" ca="1" si="81"/>
        <v>5.4999999999999938</v>
      </c>
      <c r="EP67" s="3479">
        <f t="shared" ca="1" si="82"/>
        <v>-47.269192240162859</v>
      </c>
      <c r="EQ67" s="3478">
        <f t="shared" ca="1" si="109"/>
        <v>2.0000000000000018</v>
      </c>
      <c r="ER67" s="556" t="str">
        <f ca="1">IF(ROUND(ER18,2)=0,"ok","!")</f>
        <v>ok</v>
      </c>
      <c r="ES67" s="601">
        <f t="shared" ca="1" si="84"/>
        <v>2.000000000000024</v>
      </c>
      <c r="ET67" s="603">
        <f t="shared" ca="1" si="85"/>
        <v>6.6262175568289505</v>
      </c>
      <c r="EU67" s="3481">
        <f t="shared" ca="1" si="86"/>
        <v>5.4999999999999938</v>
      </c>
      <c r="EV67" s="3479">
        <f t="shared" ca="1" si="87"/>
        <v>1.1650913686469755</v>
      </c>
      <c r="EW67" s="3478">
        <f t="shared" ca="1" si="110"/>
        <v>2.0000000000000018</v>
      </c>
      <c r="EX67" s="556" t="str">
        <f ca="1">IF(ROUND(EX18,2)=0,"ok","!")</f>
        <v>ok</v>
      </c>
    </row>
    <row r="68" spans="2:154">
      <c r="B68" s="564"/>
      <c r="C68" s="571"/>
      <c r="D68" s="572" t="s">
        <v>985</v>
      </c>
      <c r="E68" s="598"/>
      <c r="F68" s="602"/>
      <c r="G68" s="3482"/>
      <c r="H68" s="577"/>
      <c r="I68" s="3480"/>
      <c r="J68" s="604"/>
      <c r="K68" s="598" t="str">
        <f>IF(K19="","",IF(E19=0,"N",(K19/E19-1)*100))</f>
        <v/>
      </c>
      <c r="L68" s="602" t="str">
        <f t="shared" si="111"/>
        <v/>
      </c>
      <c r="M68" s="3482" t="str">
        <f t="shared" si="111"/>
        <v/>
      </c>
      <c r="N68" s="577">
        <f t="shared" ca="1" si="111"/>
        <v>8.3273251622206335</v>
      </c>
      <c r="O68" s="3480" t="str">
        <f t="shared" si="111"/>
        <v/>
      </c>
      <c r="P68" s="604"/>
      <c r="Q68" s="598" t="str">
        <f>IF(Q19="","",IF(K19=0,"N",(Q19/K19-1)*100))</f>
        <v/>
      </c>
      <c r="R68" s="602" t="str">
        <f t="shared" si="112"/>
        <v/>
      </c>
      <c r="S68" s="3482" t="str">
        <f t="shared" si="112"/>
        <v/>
      </c>
      <c r="T68" s="577">
        <f t="shared" ca="1" si="112"/>
        <v>81.264559068219626</v>
      </c>
      <c r="U68" s="3480" t="str">
        <f t="shared" si="112"/>
        <v/>
      </c>
      <c r="V68" s="604"/>
      <c r="W68" s="598" t="str">
        <f>IF(W19="","",IF(Q19=0,"N",(W19/Q19-1)*100))</f>
        <v/>
      </c>
      <c r="X68" s="602" t="str">
        <f t="shared" si="113"/>
        <v/>
      </c>
      <c r="Y68" s="3482" t="str">
        <f t="shared" si="113"/>
        <v/>
      </c>
      <c r="Z68" s="577">
        <f t="shared" ca="1" si="113"/>
        <v>179.82375619607126</v>
      </c>
      <c r="AA68" s="3480" t="str">
        <f t="shared" si="113"/>
        <v/>
      </c>
      <c r="AB68" s="604"/>
      <c r="AC68" s="598" t="str">
        <f>IF(AC19="","",IF(W19=0,"N",(AC19/W19-1)*100))</f>
        <v/>
      </c>
      <c r="AD68" s="602" t="str">
        <f t="shared" si="114"/>
        <v/>
      </c>
      <c r="AE68" s="3482" t="str">
        <f t="shared" si="114"/>
        <v/>
      </c>
      <c r="AF68" s="577">
        <f t="shared" ca="1" si="114"/>
        <v>-1.115339194331455</v>
      </c>
      <c r="AG68" s="3480" t="str">
        <f t="shared" si="114"/>
        <v/>
      </c>
      <c r="AH68" s="604"/>
      <c r="AI68" s="598" t="str">
        <f>IF(AI19="","",IF(AC19=0,"N",(AI19/AC19-1)*100))</f>
        <v/>
      </c>
      <c r="AJ68" s="602" t="str">
        <f t="shared" si="115"/>
        <v/>
      </c>
      <c r="AK68" s="3482" t="str">
        <f t="shared" si="115"/>
        <v/>
      </c>
      <c r="AL68" s="577">
        <f t="shared" ca="1" si="115"/>
        <v>14.643046709129525</v>
      </c>
      <c r="AM68" s="3480" t="str">
        <f t="shared" si="115"/>
        <v/>
      </c>
      <c r="AN68" s="604"/>
      <c r="AO68" s="598" t="str">
        <f>IF(AO19="","",IF(AI19=0,"N",(AO19/AI19-1)*100))</f>
        <v/>
      </c>
      <c r="AP68" s="602" t="str">
        <f t="shared" si="116"/>
        <v/>
      </c>
      <c r="AQ68" s="3482" t="str">
        <f t="shared" si="116"/>
        <v/>
      </c>
      <c r="AR68" s="577">
        <f t="shared" ca="1" si="116"/>
        <v>22.848544475953481</v>
      </c>
      <c r="AS68" s="3480" t="str">
        <f t="shared" si="116"/>
        <v/>
      </c>
      <c r="AT68" s="604"/>
      <c r="AU68" s="598" t="str">
        <f>IF(AU19="","",IF(AO19=0,"N",(AU19/AO19-1)*100))</f>
        <v/>
      </c>
      <c r="AV68" s="602" t="str">
        <f t="shared" si="117"/>
        <v/>
      </c>
      <c r="AW68" s="3482" t="str">
        <f t="shared" si="117"/>
        <v/>
      </c>
      <c r="AX68" s="577">
        <f t="shared" ca="1" si="117"/>
        <v>-21.157017006642487</v>
      </c>
      <c r="AY68" s="3480" t="str">
        <f t="shared" si="117"/>
        <v/>
      </c>
      <c r="AZ68" s="604"/>
      <c r="BA68" s="598" t="str">
        <f>IF(BA19="","",IF(AU19=0,"N",(BA19/AU19-1)*100))</f>
        <v/>
      </c>
      <c r="BB68" s="602" t="str">
        <f t="shared" si="118"/>
        <v/>
      </c>
      <c r="BC68" s="3482" t="str">
        <f t="shared" si="118"/>
        <v/>
      </c>
      <c r="BD68" s="577">
        <f t="shared" ca="1" si="118"/>
        <v>-7.3076003824091851</v>
      </c>
      <c r="BE68" s="3480" t="str">
        <f t="shared" si="118"/>
        <v/>
      </c>
      <c r="BF68" s="604"/>
      <c r="BG68" s="598" t="str">
        <f>IF(BG19="","",IF(BA19=0,"N",(BG19/BA19-1)*100))</f>
        <v/>
      </c>
      <c r="BH68" s="602" t="str">
        <f t="shared" si="119"/>
        <v/>
      </c>
      <c r="BI68" s="3482" t="str">
        <f t="shared" si="119"/>
        <v/>
      </c>
      <c r="BJ68" s="577">
        <f t="shared" ca="1" si="119"/>
        <v>-7.3744601302133788</v>
      </c>
      <c r="BK68" s="3480" t="str">
        <f t="shared" si="119"/>
        <v/>
      </c>
      <c r="BL68" s="604"/>
      <c r="BM68" s="598" t="str">
        <f>IF(BM19="","",IF(BG19=0,"N",(BM19/BG19-1)*100))</f>
        <v/>
      </c>
      <c r="BN68" s="602" t="str">
        <f t="shared" si="120"/>
        <v/>
      </c>
      <c r="BO68" s="3482" t="str">
        <f t="shared" si="120"/>
        <v/>
      </c>
      <c r="BP68" s="577">
        <f t="shared" ca="1" si="120"/>
        <v>12.269468995754762</v>
      </c>
      <c r="BQ68" s="3480" t="str">
        <f t="shared" si="120"/>
        <v/>
      </c>
      <c r="BR68" s="604"/>
      <c r="BS68" s="598" t="str">
        <f>IF(BS19="","",IF(BM19=0,"N",(BS19/BM19-1)*100))</f>
        <v/>
      </c>
      <c r="BT68" s="602" t="str">
        <f t="shared" si="121"/>
        <v/>
      </c>
      <c r="BU68" s="3482" t="str">
        <f t="shared" si="121"/>
        <v/>
      </c>
      <c r="BV68" s="577">
        <f t="shared" ca="1" si="121"/>
        <v>-10.693032482023302</v>
      </c>
      <c r="BW68" s="3480" t="str">
        <f t="shared" si="121"/>
        <v/>
      </c>
      <c r="BX68" s="604"/>
      <c r="BY68" s="598" t="str">
        <f>IF(BY19="","",IF(BS19=0,"N",(BY19/BS19-1)*100))</f>
        <v/>
      </c>
      <c r="BZ68" s="602" t="str">
        <f t="shared" si="122"/>
        <v/>
      </c>
      <c r="CA68" s="3482" t="str">
        <f t="shared" si="122"/>
        <v/>
      </c>
      <c r="CB68" s="577">
        <f t="shared" ca="1" si="122"/>
        <v>19.504407579648774</v>
      </c>
      <c r="CC68" s="3480" t="str">
        <f t="shared" si="122"/>
        <v/>
      </c>
      <c r="CD68" s="604"/>
      <c r="CE68" s="598" t="str">
        <f>IF(CE19="","",IF(BY19=0,"N",(CE19/BY19-1)*100))</f>
        <v/>
      </c>
      <c r="CF68" s="602" t="str">
        <f t="shared" si="123"/>
        <v/>
      </c>
      <c r="CG68" s="3482" t="str">
        <f t="shared" si="123"/>
        <v/>
      </c>
      <c r="CH68" s="577">
        <f t="shared" ca="1" si="123"/>
        <v>15.287216123598778</v>
      </c>
      <c r="CI68" s="3480" t="str">
        <f t="shared" si="123"/>
        <v/>
      </c>
      <c r="CJ68" s="604"/>
      <c r="CK68" s="598" t="str">
        <f t="shared" si="34"/>
        <v/>
      </c>
      <c r="CL68" s="602" t="str">
        <f t="shared" si="35"/>
        <v/>
      </c>
      <c r="CM68" s="3482" t="str">
        <f t="shared" si="36"/>
        <v/>
      </c>
      <c r="CN68" s="577">
        <f t="shared" ca="1" si="37"/>
        <v>-15.587687037130326</v>
      </c>
      <c r="CO68" s="3480" t="str">
        <f t="shared" si="100"/>
        <v/>
      </c>
      <c r="CP68" s="604"/>
      <c r="CQ68" s="598" t="str">
        <f t="shared" si="39"/>
        <v/>
      </c>
      <c r="CR68" s="602" t="str">
        <f t="shared" si="40"/>
        <v/>
      </c>
      <c r="CS68" s="3482" t="str">
        <f t="shared" si="41"/>
        <v/>
      </c>
      <c r="CT68" s="577">
        <f t="shared" ca="1" si="42"/>
        <v>14.771709937332144</v>
      </c>
      <c r="CU68" s="3480" t="str">
        <f t="shared" si="101"/>
        <v/>
      </c>
      <c r="CV68" s="604"/>
      <c r="CW68" s="598" t="str">
        <f t="shared" si="44"/>
        <v/>
      </c>
      <c r="CX68" s="602" t="str">
        <f t="shared" si="45"/>
        <v/>
      </c>
      <c r="CY68" s="3482" t="str">
        <f t="shared" si="46"/>
        <v/>
      </c>
      <c r="CZ68" s="577">
        <f t="shared" ca="1" si="47"/>
        <v>-10.343213728549138</v>
      </c>
      <c r="DA68" s="3480" t="str">
        <f t="shared" si="102"/>
        <v/>
      </c>
      <c r="DB68" s="604"/>
      <c r="DC68" s="598" t="str">
        <f t="shared" si="49"/>
        <v/>
      </c>
      <c r="DD68" s="602" t="str">
        <f t="shared" si="50"/>
        <v/>
      </c>
      <c r="DE68" s="3482" t="str">
        <f t="shared" si="51"/>
        <v/>
      </c>
      <c r="DF68" s="577">
        <f t="shared" ca="1" si="52"/>
        <v>17.812191868221095</v>
      </c>
      <c r="DG68" s="3480" t="str">
        <f t="shared" si="103"/>
        <v/>
      </c>
      <c r="DH68" s="604"/>
      <c r="DI68" s="598" t="str">
        <f t="shared" si="54"/>
        <v/>
      </c>
      <c r="DJ68" s="602" t="str">
        <f t="shared" si="55"/>
        <v/>
      </c>
      <c r="DK68" s="3482" t="str">
        <f t="shared" si="56"/>
        <v/>
      </c>
      <c r="DL68" s="577">
        <f t="shared" ca="1" si="57"/>
        <v>-36.943678613627405</v>
      </c>
      <c r="DM68" s="3480" t="str">
        <f t="shared" si="104"/>
        <v/>
      </c>
      <c r="DN68" s="604"/>
      <c r="DO68" s="598" t="str">
        <f t="shared" si="59"/>
        <v/>
      </c>
      <c r="DP68" s="602" t="str">
        <f t="shared" si="60"/>
        <v/>
      </c>
      <c r="DQ68" s="3482" t="str">
        <f t="shared" si="61"/>
        <v/>
      </c>
      <c r="DR68" s="577">
        <f t="shared" ca="1" si="62"/>
        <v>7.2845096814490917</v>
      </c>
      <c r="DS68" s="3480" t="str">
        <f t="shared" si="105"/>
        <v/>
      </c>
      <c r="DT68" s="604"/>
      <c r="DU68" s="598" t="str">
        <f t="shared" si="64"/>
        <v/>
      </c>
      <c r="DV68" s="602" t="str">
        <f t="shared" si="65"/>
        <v/>
      </c>
      <c r="DW68" s="3482" t="str">
        <f t="shared" si="66"/>
        <v/>
      </c>
      <c r="DX68" s="577">
        <f t="shared" ca="1" si="67"/>
        <v>8.128957135579661</v>
      </c>
      <c r="DY68" s="3480" t="str">
        <f t="shared" si="106"/>
        <v/>
      </c>
      <c r="DZ68" s="604"/>
      <c r="EA68" s="598" t="str">
        <f t="shared" si="69"/>
        <v/>
      </c>
      <c r="EB68" s="602" t="str">
        <f t="shared" si="70"/>
        <v/>
      </c>
      <c r="EC68" s="3482" t="str">
        <f t="shared" si="71"/>
        <v/>
      </c>
      <c r="ED68" s="577">
        <f t="shared" ca="1" si="72"/>
        <v>26.706151568178726</v>
      </c>
      <c r="EE68" s="3480" t="str">
        <f t="shared" si="107"/>
        <v/>
      </c>
      <c r="EF68" s="604"/>
      <c r="EG68" s="598" t="str">
        <f t="shared" si="74"/>
        <v/>
      </c>
      <c r="EH68" s="602" t="str">
        <f t="shared" si="75"/>
        <v/>
      </c>
      <c r="EI68" s="3482" t="str">
        <f t="shared" si="76"/>
        <v/>
      </c>
      <c r="EJ68" s="577">
        <f t="shared" ca="1" si="77"/>
        <v>14.999999999999991</v>
      </c>
      <c r="EK68" s="3480" t="str">
        <f t="shared" si="108"/>
        <v/>
      </c>
      <c r="EL68" s="604"/>
      <c r="EM68" s="598" t="str">
        <f t="shared" si="79"/>
        <v/>
      </c>
      <c r="EN68" s="602" t="str">
        <f t="shared" si="80"/>
        <v/>
      </c>
      <c r="EO68" s="3482" t="str">
        <f t="shared" si="81"/>
        <v/>
      </c>
      <c r="EP68" s="577">
        <f t="shared" ca="1" si="82"/>
        <v>10.000000000000009</v>
      </c>
      <c r="EQ68" s="3480" t="str">
        <f t="shared" si="109"/>
        <v/>
      </c>
      <c r="ER68" s="604"/>
      <c r="ES68" s="598" t="str">
        <f t="shared" si="84"/>
        <v/>
      </c>
      <c r="ET68" s="602" t="str">
        <f t="shared" si="85"/>
        <v/>
      </c>
      <c r="EU68" s="3482" t="str">
        <f t="shared" si="86"/>
        <v/>
      </c>
      <c r="EV68" s="577">
        <f t="shared" ca="1" si="87"/>
        <v>6.0000000000000053</v>
      </c>
      <c r="EW68" s="3480" t="str">
        <f t="shared" si="110"/>
        <v/>
      </c>
      <c r="EX68" s="604"/>
    </row>
    <row r="69" spans="2:154">
      <c r="B69" s="564"/>
      <c r="C69" s="571"/>
      <c r="D69" s="572" t="s">
        <v>986</v>
      </c>
      <c r="E69" s="598"/>
      <c r="F69" s="602"/>
      <c r="G69" s="3482"/>
      <c r="H69" s="577"/>
      <c r="I69" s="3480"/>
      <c r="J69" s="604"/>
      <c r="K69" s="598"/>
      <c r="L69" s="602"/>
      <c r="M69" s="3482"/>
      <c r="N69" s="577" t="str">
        <f ca="1">IF(N20="","",IF(H20=0,"N",(N20/H20-1)*100))</f>
        <v>N</v>
      </c>
      <c r="O69" s="3480"/>
      <c r="P69" s="604"/>
      <c r="Q69" s="598"/>
      <c r="R69" s="602"/>
      <c r="S69" s="3482"/>
      <c r="T69" s="577" t="str">
        <f t="shared" ref="T69:T91" ca="1" si="124">IF(T20="","",IF(N20=0,"N",(T20/N20-1)*100))</f>
        <v>N</v>
      </c>
      <c r="U69" s="3480"/>
      <c r="V69" s="604"/>
      <c r="W69" s="598"/>
      <c r="X69" s="602"/>
      <c r="Y69" s="3482"/>
      <c r="Z69" s="577" t="str">
        <f t="shared" ref="Z69:Z91" ca="1" si="125">IF(Z20="","",IF(T20=0,"N",(Z20/T20-1)*100))</f>
        <v>N</v>
      </c>
      <c r="AA69" s="3480"/>
      <c r="AB69" s="604"/>
      <c r="AC69" s="598"/>
      <c r="AD69" s="602"/>
      <c r="AE69" s="3482"/>
      <c r="AF69" s="577" t="str">
        <f t="shared" ref="AF69:AF91" ca="1" si="126">IF(AF20="","",IF(Z20=0,"N",(AF20/Z20-1)*100))</f>
        <v>N</v>
      </c>
      <c r="AG69" s="3480"/>
      <c r="AH69" s="604"/>
      <c r="AI69" s="598"/>
      <c r="AJ69" s="602"/>
      <c r="AK69" s="3482"/>
      <c r="AL69" s="577" t="str">
        <f t="shared" ref="AL69:AL91" ca="1" si="127">IF(AL20="","",IF(AF20=0,"N",(AL20/AF20-1)*100))</f>
        <v>N</v>
      </c>
      <c r="AM69" s="3480"/>
      <c r="AN69" s="604"/>
      <c r="AO69" s="598"/>
      <c r="AP69" s="602"/>
      <c r="AQ69" s="3482"/>
      <c r="AR69" s="577" t="str">
        <f t="shared" ref="AR69:AR91" ca="1" si="128">IF(AR20="","",IF(AL20=0,"N",(AR20/AL20-1)*100))</f>
        <v>N</v>
      </c>
      <c r="AS69" s="3480"/>
      <c r="AT69" s="604"/>
      <c r="AU69" s="598"/>
      <c r="AV69" s="602"/>
      <c r="AW69" s="3482"/>
      <c r="AX69" s="577" t="str">
        <f t="shared" ref="AX69:AX91" ca="1" si="129">IF(AX20="","",IF(AR20=0,"N",(AX20/AR20-1)*100))</f>
        <v>N</v>
      </c>
      <c r="AY69" s="3480"/>
      <c r="AZ69" s="604"/>
      <c r="BA69" s="598"/>
      <c r="BB69" s="602"/>
      <c r="BC69" s="3482"/>
      <c r="BD69" s="577" t="str">
        <f t="shared" ref="BD69:BD91" ca="1" si="130">IF(BD20="","",IF(AX20=0,"N",(BD20/AX20-1)*100))</f>
        <v>N</v>
      </c>
      <c r="BE69" s="3480"/>
      <c r="BF69" s="604"/>
      <c r="BG69" s="598"/>
      <c r="BH69" s="602"/>
      <c r="BI69" s="3482"/>
      <c r="BJ69" s="577" t="str">
        <f t="shared" ref="BJ69:BJ91" ca="1" si="131">IF(BJ20="","",IF(BD20=0,"N",(BJ20/BD20-1)*100))</f>
        <v>N</v>
      </c>
      <c r="BK69" s="3480"/>
      <c r="BL69" s="604"/>
      <c r="BM69" s="598"/>
      <c r="BN69" s="602"/>
      <c r="BO69" s="3482"/>
      <c r="BP69" s="577">
        <f t="shared" ref="BP69:BP91" ca="1" si="132">IF(BP20="","",IF(BJ20=0,"N",(BP20/BJ20-1)*100))</f>
        <v>0</v>
      </c>
      <c r="BQ69" s="3480"/>
      <c r="BR69" s="604"/>
      <c r="BS69" s="598"/>
      <c r="BT69" s="602"/>
      <c r="BU69" s="3482"/>
      <c r="BV69" s="577">
        <f t="shared" ref="BV69:BV91" ca="1" si="133">IF(BV20="","",IF(BP20=0,"N",(BV20/BP20-1)*100))</f>
        <v>2.8421709430404007E-10</v>
      </c>
      <c r="BW69" s="3480"/>
      <c r="BX69" s="604"/>
      <c r="BY69" s="598"/>
      <c r="BZ69" s="602"/>
      <c r="CA69" s="3482"/>
      <c r="CB69" s="577">
        <f t="shared" ref="CB69:CB91" ca="1" si="134">IF(CB20="","",IF(BV20=0,"N",(CB20/BV20-1)*100))</f>
        <v>-2.8421709430404007E-10</v>
      </c>
      <c r="CC69" s="3480"/>
      <c r="CD69" s="604"/>
      <c r="CE69" s="598"/>
      <c r="CF69" s="602"/>
      <c r="CG69" s="3482"/>
      <c r="CH69" s="577">
        <f t="shared" ref="CH69:CH91" ca="1" si="135">IF(CH20="","",IF(CB20=0,"N",(CH20/CB20-1)*100))</f>
        <v>100.00000000028422</v>
      </c>
      <c r="CI69" s="3480"/>
      <c r="CJ69" s="604"/>
      <c r="CK69" s="598"/>
      <c r="CL69" s="602"/>
      <c r="CM69" s="3482"/>
      <c r="CN69" s="577">
        <f t="shared" ref="CN69:CN91" ca="1" si="136">IF(CN20="","",IF(CH20=0,"N",(CN20/CH20-1)*100))</f>
        <v>1.4210854715202004E-10</v>
      </c>
      <c r="CO69" s="3480"/>
      <c r="CP69" s="604"/>
      <c r="CQ69" s="598"/>
      <c r="CR69" s="602"/>
      <c r="CS69" s="3482"/>
      <c r="CT69" s="577">
        <f t="shared" ca="1" si="42"/>
        <v>-2.8421709430404007E-10</v>
      </c>
      <c r="CU69" s="3480"/>
      <c r="CV69" s="604"/>
      <c r="CW69" s="598"/>
      <c r="CX69" s="602"/>
      <c r="CY69" s="3482"/>
      <c r="CZ69" s="577">
        <f t="shared" ca="1" si="47"/>
        <v>0</v>
      </c>
      <c r="DA69" s="3480"/>
      <c r="DB69" s="604"/>
      <c r="DC69" s="598"/>
      <c r="DD69" s="602"/>
      <c r="DE69" s="3482"/>
      <c r="DF69" s="577">
        <f t="shared" ca="1" si="52"/>
        <v>-50</v>
      </c>
      <c r="DG69" s="3480"/>
      <c r="DH69" s="604"/>
      <c r="DI69" s="598"/>
      <c r="DJ69" s="602"/>
      <c r="DK69" s="3482"/>
      <c r="DL69" s="577">
        <f t="shared" ca="1" si="57"/>
        <v>1.1368683772161603E-9</v>
      </c>
      <c r="DM69" s="3480"/>
      <c r="DN69" s="604"/>
      <c r="DO69" s="598"/>
      <c r="DP69" s="602"/>
      <c r="DQ69" s="3482"/>
      <c r="DR69" s="577">
        <f t="shared" ca="1" si="62"/>
        <v>-1.1368683772161603E-9</v>
      </c>
      <c r="DS69" s="3480"/>
      <c r="DT69" s="604"/>
      <c r="DU69" s="598"/>
      <c r="DV69" s="602"/>
      <c r="DW69" s="3482"/>
      <c r="DX69" s="577">
        <f t="shared" ca="1" si="67"/>
        <v>1.1368683772161603E-9</v>
      </c>
      <c r="DY69" s="3480"/>
      <c r="DZ69" s="604"/>
      <c r="EA69" s="598"/>
      <c r="EB69" s="602"/>
      <c r="EC69" s="3482"/>
      <c r="ED69" s="577">
        <f t="shared" ca="1" si="72"/>
        <v>-1.1368683772161603E-9</v>
      </c>
      <c r="EE69" s="3480"/>
      <c r="EF69" s="604"/>
      <c r="EG69" s="598"/>
      <c r="EH69" s="602"/>
      <c r="EI69" s="3482"/>
      <c r="EJ69" s="577">
        <f t="shared" ca="1" si="77"/>
        <v>0</v>
      </c>
      <c r="EK69" s="3480"/>
      <c r="EL69" s="604"/>
      <c r="EM69" s="598"/>
      <c r="EN69" s="602"/>
      <c r="EO69" s="3482"/>
      <c r="EP69" s="577">
        <f t="shared" ca="1" si="82"/>
        <v>0</v>
      </c>
      <c r="EQ69" s="3480"/>
      <c r="ER69" s="604"/>
      <c r="ES69" s="598"/>
      <c r="ET69" s="602"/>
      <c r="EU69" s="3482"/>
      <c r="EV69" s="577">
        <f t="shared" ca="1" si="87"/>
        <v>0</v>
      </c>
      <c r="EW69" s="3480"/>
      <c r="EX69" s="604"/>
    </row>
    <row r="70" spans="2:154" ht="13.5" thickBot="1">
      <c r="B70" s="564"/>
      <c r="C70" s="571"/>
      <c r="D70" s="572" t="s">
        <v>1490</v>
      </c>
      <c r="E70" s="598"/>
      <c r="F70" s="602"/>
      <c r="G70" s="3482"/>
      <c r="H70" s="580"/>
      <c r="I70" s="3480"/>
      <c r="J70" s="604"/>
      <c r="K70" s="598" t="str">
        <f t="shared" ref="K70:O83" si="137">IF(K21="","",IF(E21=0,"N",(K21/E21-1)*100))</f>
        <v/>
      </c>
      <c r="L70" s="602" t="str">
        <f t="shared" si="137"/>
        <v/>
      </c>
      <c r="M70" s="3482" t="str">
        <f t="shared" si="137"/>
        <v/>
      </c>
      <c r="N70" s="580">
        <f t="shared" ca="1" si="137"/>
        <v>200.55679287305122</v>
      </c>
      <c r="O70" s="3480" t="str">
        <f t="shared" si="137"/>
        <v/>
      </c>
      <c r="P70" s="604"/>
      <c r="Q70" s="598" t="str">
        <f t="shared" ref="Q70:Q90" si="138">IF(Q21="","",IF(K21=0,"N",(Q21/K21-1)*100))</f>
        <v/>
      </c>
      <c r="R70" s="602" t="str">
        <f t="shared" ref="R70:R90" si="139">IF(R21="","",IF(L21=0,"N",(R21/L21-1)*100))</f>
        <v/>
      </c>
      <c r="S70" s="3482" t="str">
        <f t="shared" ref="S70:S90" si="140">IF(S21="","",IF(M21=0,"N",(S21/M21-1)*100))</f>
        <v/>
      </c>
      <c r="T70" s="580">
        <f t="shared" ca="1" si="124"/>
        <v>6.0145732987526346</v>
      </c>
      <c r="U70" s="3480" t="str">
        <f t="shared" ref="U70:U90" si="141">IF(U21="","",IF(O21=0,"N",(U21/O21-1)*100))</f>
        <v/>
      </c>
      <c r="V70" s="604"/>
      <c r="W70" s="598" t="str">
        <f t="shared" ref="W70:W90" si="142">IF(W21="","",IF(Q21=0,"N",(W21/Q21-1)*100))</f>
        <v/>
      </c>
      <c r="X70" s="602" t="str">
        <f t="shared" ref="X70:X90" si="143">IF(X21="","",IF(R21=0,"N",(X21/R21-1)*100))</f>
        <v/>
      </c>
      <c r="Y70" s="3482" t="str">
        <f t="shared" ref="Y70:Y90" si="144">IF(Y21="","",IF(S21=0,"N",(Y21/S21-1)*100))</f>
        <v/>
      </c>
      <c r="Z70" s="580">
        <f t="shared" ca="1" si="125"/>
        <v>71.866262814538672</v>
      </c>
      <c r="AA70" s="3480" t="str">
        <f t="shared" ref="AA70:AA90" si="145">IF(AA21="","",IF(U21=0,"N",(AA21/U21-1)*100))</f>
        <v/>
      </c>
      <c r="AB70" s="604"/>
      <c r="AC70" s="598" t="str">
        <f t="shared" ref="AC70:AC90" si="146">IF(AC21="","",IF(W21=0,"N",(AC21/W21-1)*100))</f>
        <v/>
      </c>
      <c r="AD70" s="602" t="str">
        <f t="shared" ref="AD70:AD90" si="147">IF(AD21="","",IF(X21=0,"N",(AD21/X21-1)*100))</f>
        <v/>
      </c>
      <c r="AE70" s="3482" t="str">
        <f t="shared" ref="AE70:AE90" si="148">IF(AE21="","",IF(Y21=0,"N",(AE21/Y21-1)*100))</f>
        <v/>
      </c>
      <c r="AF70" s="580">
        <f t="shared" ca="1" si="126"/>
        <v>26.713210872364932</v>
      </c>
      <c r="AG70" s="3480" t="str">
        <f t="shared" ref="AG70:AG90" si="149">IF(AG21="","",IF(AA21=0,"N",(AG21/AA21-1)*100))</f>
        <v/>
      </c>
      <c r="AH70" s="604"/>
      <c r="AI70" s="598" t="str">
        <f t="shared" ref="AI70:AI90" si="150">IF(AI21="","",IF(AC21=0,"N",(AI21/AC21-1)*100))</f>
        <v/>
      </c>
      <c r="AJ70" s="602" t="str">
        <f t="shared" ref="AJ70:AJ90" si="151">IF(AJ21="","",IF(AD21=0,"N",(AJ21/AD21-1)*100))</f>
        <v/>
      </c>
      <c r="AK70" s="3482" t="str">
        <f t="shared" ref="AK70:AK90" si="152">IF(AK21="","",IF(AE21=0,"N",(AK21/AE21-1)*100))</f>
        <v/>
      </c>
      <c r="AL70" s="580">
        <f t="shared" ca="1" si="127"/>
        <v>23.943511287043972</v>
      </c>
      <c r="AM70" s="3480" t="str">
        <f t="shared" ref="AM70:AM90" si="153">IF(AM21="","",IF(AG21=0,"N",(AM21/AG21-1)*100))</f>
        <v/>
      </c>
      <c r="AN70" s="604"/>
      <c r="AO70" s="598" t="str">
        <f t="shared" ref="AO70:AO90" si="154">IF(AO21="","",IF(AI21=0,"N",(AO21/AI21-1)*100))</f>
        <v/>
      </c>
      <c r="AP70" s="602" t="str">
        <f t="shared" ref="AP70:AP90" si="155">IF(AP21="","",IF(AJ21=0,"N",(AP21/AJ21-1)*100))</f>
        <v/>
      </c>
      <c r="AQ70" s="3482" t="str">
        <f t="shared" ref="AQ70:AQ90" si="156">IF(AQ21="","",IF(AK21=0,"N",(AQ21/AK21-1)*100))</f>
        <v/>
      </c>
      <c r="AR70" s="580">
        <f t="shared" ca="1" si="128"/>
        <v>-7.8463530427276496</v>
      </c>
      <c r="AS70" s="3480" t="str">
        <f t="shared" ref="AS70:AS90" si="157">IF(AS21="","",IF(AM21=0,"N",(AS21/AM21-1)*100))</f>
        <v/>
      </c>
      <c r="AT70" s="604"/>
      <c r="AU70" s="598" t="str">
        <f t="shared" ref="AU70:AU90" si="158">IF(AU21="","",IF(AO21=0,"N",(AU21/AO21-1)*100))</f>
        <v/>
      </c>
      <c r="AV70" s="602" t="str">
        <f t="shared" ref="AV70:AV90" si="159">IF(AV21="","",IF(AP21=0,"N",(AV21/AP21-1)*100))</f>
        <v/>
      </c>
      <c r="AW70" s="3482" t="str">
        <f t="shared" ref="AW70:AW90" si="160">IF(AW21="","",IF(AQ21=0,"N",(AW21/AQ21-1)*100))</f>
        <v/>
      </c>
      <c r="AX70" s="580">
        <f t="shared" ca="1" si="129"/>
        <v>-7.0766204571000468</v>
      </c>
      <c r="AY70" s="3480" t="str">
        <f t="shared" ref="AY70:AY90" si="161">IF(AY21="","",IF(AS21=0,"N",(AY21/AS21-1)*100))</f>
        <v/>
      </c>
      <c r="AZ70" s="604"/>
      <c r="BA70" s="598" t="str">
        <f t="shared" ref="BA70:BA90" si="162">IF(BA21="","",IF(AU21=0,"N",(BA21/AU21-1)*100))</f>
        <v/>
      </c>
      <c r="BB70" s="602" t="str">
        <f t="shared" ref="BB70:BB90" si="163">IF(BB21="","",IF(AV21=0,"N",(BB21/AV21-1)*100))</f>
        <v/>
      </c>
      <c r="BC70" s="3482" t="str">
        <f t="shared" ref="BC70:BC90" si="164">IF(BC21="","",IF(AW21=0,"N",(BC21/AW21-1)*100))</f>
        <v/>
      </c>
      <c r="BD70" s="580">
        <f t="shared" ca="1" si="130"/>
        <v>3.7296507232498222</v>
      </c>
      <c r="BE70" s="3480" t="str">
        <f t="shared" ref="BE70:BE90" si="165">IF(BE21="","",IF(AY21=0,"N",(BE21/AY21-1)*100))</f>
        <v/>
      </c>
      <c r="BF70" s="604"/>
      <c r="BG70" s="598" t="str">
        <f t="shared" ref="BG70:BG90" si="166">IF(BG21="","",IF(BA21=0,"N",(BG21/BA21-1)*100))</f>
        <v/>
      </c>
      <c r="BH70" s="602" t="str">
        <f t="shared" ref="BH70:BH90" si="167">IF(BH21="","",IF(BB21=0,"N",(BH21/BB21-1)*100))</f>
        <v/>
      </c>
      <c r="BI70" s="3482" t="str">
        <f t="shared" ref="BI70:BI90" si="168">IF(BI21="","",IF(BC21=0,"N",(BI21/BC21-1)*100))</f>
        <v/>
      </c>
      <c r="BJ70" s="580">
        <f t="shared" ca="1" si="131"/>
        <v>-20.455760167144454</v>
      </c>
      <c r="BK70" s="3480" t="str">
        <f t="shared" ref="BK70:BK90" si="169">IF(BK21="","",IF(BE21=0,"N",(BK21/BE21-1)*100))</f>
        <v/>
      </c>
      <c r="BL70" s="604"/>
      <c r="BM70" s="598" t="str">
        <f t="shared" ref="BM70:BM90" si="170">IF(BM21="","",IF(BG21=0,"N",(BM21/BG21-1)*100))</f>
        <v/>
      </c>
      <c r="BN70" s="602" t="str">
        <f t="shared" ref="BN70:BN90" si="171">IF(BN21="","",IF(BH21=0,"N",(BN21/BH21-1)*100))</f>
        <v/>
      </c>
      <c r="BO70" s="3482" t="str">
        <f t="shared" ref="BO70:BO90" si="172">IF(BO21="","",IF(BI21=0,"N",(BO21/BI21-1)*100))</f>
        <v/>
      </c>
      <c r="BP70" s="580">
        <f t="shared" ca="1" si="132"/>
        <v>-1.8264003420682906</v>
      </c>
      <c r="BQ70" s="3480" t="str">
        <f t="shared" ref="BQ70:BQ90" si="173">IF(BQ21="","",IF(BK21=0,"N",(BQ21/BK21-1)*100))</f>
        <v/>
      </c>
      <c r="BR70" s="604"/>
      <c r="BS70" s="598" t="str">
        <f t="shared" ref="BS70:BS90" si="174">IF(BS21="","",IF(BM21=0,"N",(BS21/BM21-1)*100))</f>
        <v/>
      </c>
      <c r="BT70" s="602" t="str">
        <f t="shared" ref="BT70:BT90" si="175">IF(BT21="","",IF(BN21=0,"N",(BT21/BN21-1)*100))</f>
        <v/>
      </c>
      <c r="BU70" s="3482" t="str">
        <f t="shared" ref="BU70:BU90" si="176">IF(BU21="","",IF(BO21=0,"N",(BU21/BO21-1)*100))</f>
        <v/>
      </c>
      <c r="BV70" s="580">
        <f t="shared" ca="1" si="133"/>
        <v>4.5358387257341981</v>
      </c>
      <c r="BW70" s="3480" t="str">
        <f t="shared" ref="BW70:BW90" si="177">IF(BW21="","",IF(BQ21=0,"N",(BW21/BQ21-1)*100))</f>
        <v/>
      </c>
      <c r="BX70" s="604"/>
      <c r="BY70" s="598" t="str">
        <f t="shared" ref="BY70:BY90" si="178">IF(BY21="","",IF(BS21=0,"N",(BY21/BS21-1)*100))</f>
        <v/>
      </c>
      <c r="BZ70" s="602" t="str">
        <f t="shared" ref="BZ70:BZ90" si="179">IF(BZ21="","",IF(BT21=0,"N",(BZ21/BT21-1)*100))</f>
        <v/>
      </c>
      <c r="CA70" s="3482" t="str">
        <f t="shared" ref="CA70:CA90" si="180">IF(CA21="","",IF(BU21=0,"N",(CA21/BU21-1)*100))</f>
        <v/>
      </c>
      <c r="CB70" s="580">
        <f t="shared" ca="1" si="134"/>
        <v>14.463424796143087</v>
      </c>
      <c r="CC70" s="3480" t="str">
        <f t="shared" ref="CC70:CC90" si="181">IF(CC21="","",IF(BW21=0,"N",(CC21/BW21-1)*100))</f>
        <v/>
      </c>
      <c r="CD70" s="604"/>
      <c r="CE70" s="598" t="str">
        <f t="shared" ref="CE70:CE90" si="182">IF(CE21="","",IF(BY21=0,"N",(CE21/BY21-1)*100))</f>
        <v/>
      </c>
      <c r="CF70" s="602" t="str">
        <f t="shared" ref="CF70:CF90" si="183">IF(CF21="","",IF(BZ21=0,"N",(CF21/BZ21-1)*100))</f>
        <v/>
      </c>
      <c r="CG70" s="3482" t="str">
        <f t="shared" ref="CG70:CG90" si="184">IF(CG21="","",IF(CA21=0,"N",(CG21/CA21-1)*100))</f>
        <v/>
      </c>
      <c r="CH70" s="580">
        <f t="shared" ca="1" si="135"/>
        <v>11.330664032031601</v>
      </c>
      <c r="CI70" s="3480" t="str">
        <f t="shared" ref="CI70:CI90" si="185">IF(CI21="","",IF(CC21=0,"N",(CI21/CC21-1)*100))</f>
        <v/>
      </c>
      <c r="CJ70" s="604"/>
      <c r="CK70" s="598" t="str">
        <f t="shared" ref="CK70:CK90" si="186">IF(CK21="","",IF(CE21=0,"N",(CK21/CE21-1)*100))</f>
        <v/>
      </c>
      <c r="CL70" s="602" t="str">
        <f t="shared" ref="CL70:CL90" si="187">IF(CL21="","",IF(CF21=0,"N",(CL21/CF21-1)*100))</f>
        <v/>
      </c>
      <c r="CM70" s="3482" t="str">
        <f t="shared" ref="CM70:CM90" si="188">IF(CM21="","",IF(CG21=0,"N",(CM21/CG21-1)*100))</f>
        <v/>
      </c>
      <c r="CN70" s="580">
        <f t="shared" ca="1" si="136"/>
        <v>55.628211116300804</v>
      </c>
      <c r="CO70" s="3480" t="str">
        <f t="shared" ref="CO70:CO90" si="189">IF(CO21="","",IF(CI21=0,"N",(CO21/CI21-1)*100))</f>
        <v/>
      </c>
      <c r="CP70" s="604"/>
      <c r="CQ70" s="598" t="str">
        <f t="shared" ref="CQ70:CQ90" si="190">IF(CQ21="","",IF(CK21=0,"N",(CQ21/CK21-1)*100))</f>
        <v/>
      </c>
      <c r="CR70" s="602" t="str">
        <f t="shared" ref="CR70:CR90" si="191">IF(CR21="","",IF(CL21=0,"N",(CR21/CL21-1)*100))</f>
        <v/>
      </c>
      <c r="CS70" s="3482" t="str">
        <f t="shared" ref="CS70:CS90" si="192">IF(CS21="","",IF(CM21=0,"N",(CS21/CM21-1)*100))</f>
        <v/>
      </c>
      <c r="CT70" s="580">
        <f t="shared" ca="1" si="42"/>
        <v>53.019207683073219</v>
      </c>
      <c r="CU70" s="3480" t="str">
        <f t="shared" ref="CU70:CU90" si="193">IF(CU21="","",IF(CO21=0,"N",(CU21/CO21-1)*100))</f>
        <v/>
      </c>
      <c r="CV70" s="604"/>
      <c r="CW70" s="598" t="str">
        <f t="shared" ref="CW70:CW90" si="194">IF(CW21="","",IF(CQ21=0,"N",(CW21/CQ21-1)*100))</f>
        <v/>
      </c>
      <c r="CX70" s="602" t="str">
        <f t="shared" ref="CX70:CX90" si="195">IF(CX21="","",IF(CR21=0,"N",(CX21/CR21-1)*100))</f>
        <v/>
      </c>
      <c r="CY70" s="3482" t="str">
        <f t="shared" ref="CY70:CY90" si="196">IF(CY21="","",IF(CS21=0,"N",(CY21/CS21-1)*100))</f>
        <v/>
      </c>
      <c r="CZ70" s="580">
        <f t="shared" ca="1" si="47"/>
        <v>12.903542148825164</v>
      </c>
      <c r="DA70" s="3480" t="str">
        <f t="shared" ref="DA70:DA90" si="197">IF(DA21="","",IF(CU21=0,"N",(DA21/CU21-1)*100))</f>
        <v/>
      </c>
      <c r="DB70" s="604"/>
      <c r="DC70" s="598" t="str">
        <f t="shared" ref="DC70:DC90" si="198">IF(DC21="","",IF(CW21=0,"N",(DC21/CW21-1)*100))</f>
        <v/>
      </c>
      <c r="DD70" s="602" t="str">
        <f t="shared" ref="DD70:DD90" si="199">IF(DD21="","",IF(CX21=0,"N",(DD21/CX21-1)*100))</f>
        <v/>
      </c>
      <c r="DE70" s="3482" t="str">
        <f t="shared" ref="DE70:DE90" si="200">IF(DE21="","",IF(CY21=0,"N",(DE21/CY21-1)*100))</f>
        <v/>
      </c>
      <c r="DF70" s="580">
        <f t="shared" ca="1" si="52"/>
        <v>14.404586120038232</v>
      </c>
      <c r="DG70" s="3480" t="str">
        <f t="shared" ref="DG70:DG90" si="201">IF(DG21="","",IF(DA21=0,"N",(DG21/DA21-1)*100))</f>
        <v/>
      </c>
      <c r="DH70" s="604"/>
      <c r="DI70" s="598" t="str">
        <f t="shared" ref="DI70:DI90" si="202">IF(DI21="","",IF(DC21=0,"N",(DI21/DC21-1)*100))</f>
        <v/>
      </c>
      <c r="DJ70" s="602" t="str">
        <f t="shared" ref="DJ70:DJ90" si="203">IF(DJ21="","",IF(DD21=0,"N",(DJ21/DD21-1)*100))</f>
        <v/>
      </c>
      <c r="DK70" s="3482" t="str">
        <f t="shared" ref="DK70:DK90" si="204">IF(DK21="","",IF(DE21=0,"N",(DK21/DE21-1)*100))</f>
        <v/>
      </c>
      <c r="DL70" s="580">
        <f t="shared" ca="1" si="57"/>
        <v>-6.6446998800431478</v>
      </c>
      <c r="DM70" s="3480" t="str">
        <f t="shared" ref="DM70:DM90" si="205">IF(DM21="","",IF(DG21=0,"N",(DM21/DG21-1)*100))</f>
        <v/>
      </c>
      <c r="DN70" s="604"/>
      <c r="DO70" s="598" t="str">
        <f t="shared" ref="DO70:DO90" si="206">IF(DO21="","",IF(DI21=0,"N",(DO21/DI21-1)*100))</f>
        <v/>
      </c>
      <c r="DP70" s="602" t="str">
        <f t="shared" ref="DP70:DP90" si="207">IF(DP21="","",IF(DJ21=0,"N",(DP21/DJ21-1)*100))</f>
        <v/>
      </c>
      <c r="DQ70" s="3482" t="str">
        <f t="shared" ref="DQ70:DQ90" si="208">IF(DQ21="","",IF(DK21=0,"N",(DQ21/DK21-1)*100))</f>
        <v/>
      </c>
      <c r="DR70" s="580">
        <f t="shared" ca="1" si="62"/>
        <v>-4.5623851271124449</v>
      </c>
      <c r="DS70" s="3480" t="str">
        <f t="shared" ref="DS70:DS90" si="209">IF(DS21="","",IF(DM21=0,"N",(DS21/DM21-1)*100))</f>
        <v/>
      </c>
      <c r="DT70" s="604"/>
      <c r="DU70" s="598" t="str">
        <f t="shared" ref="DU70:DU90" si="210">IF(DU21="","",IF(DO21=0,"N",(DU21/DO21-1)*100))</f>
        <v/>
      </c>
      <c r="DV70" s="602" t="str">
        <f t="shared" ref="DV70:DV90" si="211">IF(DV21="","",IF(DP21=0,"N",(DV21/DP21-1)*100))</f>
        <v/>
      </c>
      <c r="DW70" s="3482" t="str">
        <f t="shared" ref="DW70:DW90" si="212">IF(DW21="","",IF(DQ21=0,"N",(DW21/DQ21-1)*100))</f>
        <v/>
      </c>
      <c r="DX70" s="580">
        <f t="shared" ca="1" si="67"/>
        <v>-3.0813279705501406</v>
      </c>
      <c r="DY70" s="3480" t="str">
        <f t="shared" ref="DY70:DY90" si="213">IF(DY21="","",IF(DS21=0,"N",(DY21/DS21-1)*100))</f>
        <v/>
      </c>
      <c r="DZ70" s="604"/>
      <c r="EA70" s="598" t="str">
        <f t="shared" ref="EA70:EA90" si="214">IF(EA21="","",IF(DU21=0,"N",(EA21/DU21-1)*100))</f>
        <v/>
      </c>
      <c r="EB70" s="602" t="str">
        <f t="shared" ref="EB70:EB90" si="215">IF(EB21="","",IF(DV21=0,"N",(EB21/DV21-1)*100))</f>
        <v/>
      </c>
      <c r="EC70" s="3482" t="str">
        <f t="shared" ref="EC70:EC90" si="216">IF(EC21="","",IF(DW21=0,"N",(EC21/DW21-1)*100))</f>
        <v/>
      </c>
      <c r="ED70" s="580">
        <f t="shared" ca="1" si="72"/>
        <v>-9.1281564324400382</v>
      </c>
      <c r="EE70" s="3480" t="str">
        <f t="shared" ref="EE70:EE90" si="217">IF(EE21="","",IF(DY21=0,"N",(EE21/DY21-1)*100))</f>
        <v/>
      </c>
      <c r="EF70" s="604"/>
      <c r="EG70" s="598" t="str">
        <f t="shared" ref="EG70:EG90" si="218">IF(EG21="","",IF(EA21=0,"N",(EG21/EA21-1)*100))</f>
        <v/>
      </c>
      <c r="EH70" s="602" t="str">
        <f t="shared" ref="EH70:EH90" si="219">IF(EH21="","",IF(EB21=0,"N",(EH21/EB21-1)*100))</f>
        <v/>
      </c>
      <c r="EI70" s="3482" t="str">
        <f t="shared" ref="EI70:EI90" si="220">IF(EI21="","",IF(EC21=0,"N",(EI21/EC21-1)*100))</f>
        <v/>
      </c>
      <c r="EJ70" s="580">
        <f t="shared" ca="1" si="77"/>
        <v>-4.212705845927589</v>
      </c>
      <c r="EK70" s="3480" t="str">
        <f t="shared" ref="EK70:EK90" si="221">IF(EK21="","",IF(EE21=0,"N",(EK21/EE21-1)*100))</f>
        <v/>
      </c>
      <c r="EL70" s="604"/>
      <c r="EM70" s="598" t="str">
        <f t="shared" ref="EM70:EM90" si="222">IF(EM21="","",IF(EG21=0,"N",(EM21/EG21-1)*100))</f>
        <v/>
      </c>
      <c r="EN70" s="602" t="str">
        <f t="shared" ref="EN70:EN90" si="223">IF(EN21="","",IF(EH21=0,"N",(EN21/EH21-1)*100))</f>
        <v/>
      </c>
      <c r="EO70" s="3482" t="str">
        <f t="shared" ref="EO70:EO90" si="224">IF(EO21="","",IF(EI21=0,"N",(EO21/EI21-1)*100))</f>
        <v/>
      </c>
      <c r="EP70" s="580">
        <f t="shared" ca="1" si="82"/>
        <v>-22.222222222222211</v>
      </c>
      <c r="EQ70" s="3480" t="str">
        <f t="shared" ref="EQ70:EQ90" si="225">IF(EQ21="","",IF(EK21=0,"N",(EQ21/EK21-1)*100))</f>
        <v/>
      </c>
      <c r="ER70" s="604"/>
      <c r="ES70" s="598" t="str">
        <f t="shared" ref="ES70:ES90" si="226">IF(ES21="","",IF(EM21=0,"N",(ES21/EM21-1)*100))</f>
        <v/>
      </c>
      <c r="ET70" s="602" t="str">
        <f t="shared" ref="ET70:ET90" si="227">IF(ET21="","",IF(EN21=0,"N",(ET21/EN21-1)*100))</f>
        <v/>
      </c>
      <c r="EU70" s="3482" t="str">
        <f t="shared" ref="EU70:EU90" si="228">IF(EU21="","",IF(EO21=0,"N",(EU21/EO21-1)*100))</f>
        <v/>
      </c>
      <c r="EV70" s="580">
        <f t="shared" ca="1" si="87"/>
        <v>4.1558441558441572</v>
      </c>
      <c r="EW70" s="3480" t="str">
        <f t="shared" ref="EW70:EW90" si="229">IF(EW21="","",IF(EQ21=0,"N",(EW21/EQ21-1)*100))</f>
        <v/>
      </c>
      <c r="EX70" s="604"/>
    </row>
    <row r="71" spans="2:154">
      <c r="B71" s="600" t="s">
        <v>1769</v>
      </c>
      <c r="C71" s="3785" t="s">
        <v>1491</v>
      </c>
      <c r="D71" s="3786"/>
      <c r="E71" s="3455"/>
      <c r="F71" s="3455"/>
      <c r="G71" s="3455"/>
      <c r="H71" s="3455"/>
      <c r="I71" s="3455"/>
      <c r="J71" s="604"/>
      <c r="K71" s="3455">
        <f t="shared" ca="1" si="137"/>
        <v>24.02119896998185</v>
      </c>
      <c r="L71" s="3455">
        <f t="shared" ca="1" si="137"/>
        <v>24.579471271473309</v>
      </c>
      <c r="M71" s="3455">
        <f t="shared" ca="1" si="137"/>
        <v>33.922519599432512</v>
      </c>
      <c r="N71" s="3455">
        <f t="shared" ca="1" si="137"/>
        <v>11.842575433989566</v>
      </c>
      <c r="O71" s="3455" t="str">
        <f t="shared" si="137"/>
        <v/>
      </c>
      <c r="P71" s="604"/>
      <c r="Q71" s="3455">
        <f t="shared" ca="1" si="138"/>
        <v>19.650004993092928</v>
      </c>
      <c r="R71" s="3455">
        <f t="shared" ca="1" si="139"/>
        <v>20.289536654664907</v>
      </c>
      <c r="S71" s="3455">
        <f t="shared" ca="1" si="140"/>
        <v>-0.12938333618728315</v>
      </c>
      <c r="T71" s="3455">
        <f t="shared" ca="1" si="124"/>
        <v>39.6424644099028</v>
      </c>
      <c r="U71" s="3455" t="str">
        <f t="shared" si="141"/>
        <v/>
      </c>
      <c r="V71" s="604"/>
      <c r="W71" s="3455">
        <f t="shared" ca="1" si="142"/>
        <v>10.679525555345926</v>
      </c>
      <c r="X71" s="3455">
        <f t="shared" ca="1" si="143"/>
        <v>15.72202480057654</v>
      </c>
      <c r="Y71" s="3455">
        <f t="shared" ca="1" si="144"/>
        <v>-16.539338401061876</v>
      </c>
      <c r="Z71" s="3455">
        <f t="shared" ca="1" si="125"/>
        <v>11.891434591522909</v>
      </c>
      <c r="AA71" s="3455" t="str">
        <f t="shared" si="145"/>
        <v/>
      </c>
      <c r="AB71" s="604"/>
      <c r="AC71" s="3455">
        <f t="shared" ca="1" si="146"/>
        <v>-2.5245312897661298</v>
      </c>
      <c r="AD71" s="3455">
        <f t="shared" ca="1" si="147"/>
        <v>-0.67085125526920031</v>
      </c>
      <c r="AE71" s="3455">
        <f t="shared" ca="1" si="148"/>
        <v>-13.30665104281592</v>
      </c>
      <c r="AF71" s="3455">
        <f t="shared" ca="1" si="126"/>
        <v>-3.9958914076208663</v>
      </c>
      <c r="AG71" s="3455" t="str">
        <f t="shared" si="149"/>
        <v/>
      </c>
      <c r="AH71" s="604"/>
      <c r="AI71" s="3455">
        <f t="shared" ca="1" si="150"/>
        <v>5.7942879890791277</v>
      </c>
      <c r="AJ71" s="3455">
        <f t="shared" ca="1" si="151"/>
        <v>8.1022066660468859</v>
      </c>
      <c r="AK71" s="3455">
        <f t="shared" ca="1" si="152"/>
        <v>2.5979725281959354</v>
      </c>
      <c r="AL71" s="3455">
        <f t="shared" ca="1" si="127"/>
        <v>-2.9773934062450214</v>
      </c>
      <c r="AM71" s="3455" t="str">
        <f t="shared" si="153"/>
        <v/>
      </c>
      <c r="AN71" s="604"/>
      <c r="AO71" s="3455">
        <f t="shared" ca="1" si="154"/>
        <v>6.6623909228294087</v>
      </c>
      <c r="AP71" s="3455">
        <f t="shared" ca="1" si="155"/>
        <v>2.5955442673439633</v>
      </c>
      <c r="AQ71" s="3455">
        <f t="shared" ca="1" si="156"/>
        <v>44.242268702681798</v>
      </c>
      <c r="AR71" s="3455">
        <f t="shared" ca="1" si="128"/>
        <v>4.9990555297456662</v>
      </c>
      <c r="AS71" s="3455" t="str">
        <f t="shared" si="157"/>
        <v/>
      </c>
      <c r="AT71" s="604"/>
      <c r="AU71" s="3455">
        <f t="shared" ca="1" si="158"/>
        <v>7.4162785349975779</v>
      </c>
      <c r="AV71" s="3455">
        <f t="shared" ca="1" si="159"/>
        <v>7.7695593737725721</v>
      </c>
      <c r="AW71" s="3455">
        <f t="shared" ca="1" si="160"/>
        <v>7.226057457357804</v>
      </c>
      <c r="AX71" s="3455">
        <f t="shared" ca="1" si="129"/>
        <v>5.8098206341257397</v>
      </c>
      <c r="AY71" s="3455" t="str">
        <f t="shared" si="161"/>
        <v/>
      </c>
      <c r="AZ71" s="604"/>
      <c r="BA71" s="3455">
        <f t="shared" ca="1" si="162"/>
        <v>8.071745599502167</v>
      </c>
      <c r="BB71" s="3455">
        <f t="shared" ca="1" si="163"/>
        <v>6.5373769821674976</v>
      </c>
      <c r="BC71" s="3455">
        <f t="shared" ca="1" si="164"/>
        <v>24.068563463793492</v>
      </c>
      <c r="BD71" s="3455">
        <f t="shared" ca="1" si="130"/>
        <v>2.5779117536232965</v>
      </c>
      <c r="BE71" s="3455" t="str">
        <f t="shared" si="165"/>
        <v/>
      </c>
      <c r="BF71" s="604"/>
      <c r="BG71" s="3455">
        <f t="shared" ca="1" si="166"/>
        <v>10.009295263967633</v>
      </c>
      <c r="BH71" s="3455">
        <f t="shared" ca="1" si="167"/>
        <v>16.687407684080036</v>
      </c>
      <c r="BI71" s="3455">
        <f t="shared" ca="1" si="168"/>
        <v>-22.0867456344095</v>
      </c>
      <c r="BJ71" s="3455">
        <f t="shared" ca="1" si="131"/>
        <v>7.019280735391642</v>
      </c>
      <c r="BK71" s="3455" t="str">
        <f t="shared" si="169"/>
        <v/>
      </c>
      <c r="BL71" s="604"/>
      <c r="BM71" s="3455">
        <f t="shared" ca="1" si="170"/>
        <v>15.875043198271399</v>
      </c>
      <c r="BN71" s="3455">
        <f t="shared" ca="1" si="171"/>
        <v>9.0007936848583761</v>
      </c>
      <c r="BO71" s="3455">
        <f t="shared" ca="1" si="172"/>
        <v>70.477432939668788</v>
      </c>
      <c r="BP71" s="3455">
        <f t="shared" ca="1" si="132"/>
        <v>15.484078912669407</v>
      </c>
      <c r="BQ71" s="3455" t="str">
        <f t="shared" si="173"/>
        <v/>
      </c>
      <c r="BR71" s="604"/>
      <c r="BS71" s="3455">
        <f t="shared" ca="1" si="174"/>
        <v>13.986170912007513</v>
      </c>
      <c r="BT71" s="3455">
        <f t="shared" ca="1" si="175"/>
        <v>16.854476262175268</v>
      </c>
      <c r="BU71" s="3455">
        <f t="shared" ca="1" si="176"/>
        <v>-0.63200644425065455</v>
      </c>
      <c r="BV71" s="3455">
        <f t="shared" ca="1" si="133"/>
        <v>14.195253146204267</v>
      </c>
      <c r="BW71" s="3455" t="str">
        <f t="shared" si="177"/>
        <v/>
      </c>
      <c r="BX71" s="604"/>
      <c r="BY71" s="3455">
        <f t="shared" ca="1" si="178"/>
        <v>18.321959348323368</v>
      </c>
      <c r="BZ71" s="3455">
        <f t="shared" ca="1" si="179"/>
        <v>7.6737673635999704</v>
      </c>
      <c r="CA71" s="3455">
        <f t="shared" ca="1" si="180"/>
        <v>78.493668448981268</v>
      </c>
      <c r="CB71" s="3455">
        <f t="shared" ca="1" si="134"/>
        <v>20.954067754109662</v>
      </c>
      <c r="CC71" s="3455" t="str">
        <f t="shared" si="181"/>
        <v/>
      </c>
      <c r="CD71" s="604"/>
      <c r="CE71" s="3455">
        <f t="shared" ca="1" si="182"/>
        <v>13.003841518745297</v>
      </c>
      <c r="CF71" s="3455">
        <f t="shared" ca="1" si="183"/>
        <v>14.794098083086427</v>
      </c>
      <c r="CG71" s="3455">
        <f t="shared" ca="1" si="184"/>
        <v>5.3555444958112375</v>
      </c>
      <c r="CH71" s="3455">
        <f t="shared" ca="1" si="135"/>
        <v>14.753311097523557</v>
      </c>
      <c r="CI71" s="3455" t="str">
        <f t="shared" si="185"/>
        <v/>
      </c>
      <c r="CJ71" s="604"/>
      <c r="CK71" s="3455">
        <f t="shared" ca="1" si="186"/>
        <v>-13.1212893624432</v>
      </c>
      <c r="CL71" s="3455">
        <f t="shared" ca="1" si="187"/>
        <v>-14.042249987177236</v>
      </c>
      <c r="CM71" s="3455">
        <f t="shared" ca="1" si="188"/>
        <v>-5.8955282858908165</v>
      </c>
      <c r="CN71" s="3455">
        <f t="shared" ca="1" si="136"/>
        <v>-17.763162408212473</v>
      </c>
      <c r="CO71" s="3455" t="str">
        <f t="shared" si="189"/>
        <v/>
      </c>
      <c r="CP71" s="604"/>
      <c r="CQ71" s="3455">
        <f t="shared" ca="1" si="190"/>
        <v>0.24779864128054996</v>
      </c>
      <c r="CR71" s="3455">
        <f t="shared" ca="1" si="191"/>
        <v>0.64723248978080239</v>
      </c>
      <c r="CS71" s="3455">
        <f t="shared" ca="1" si="192"/>
        <v>-2.5877947247773148</v>
      </c>
      <c r="CT71" s="3455">
        <f t="shared" ca="1" si="42"/>
        <v>2.3127768616644229</v>
      </c>
      <c r="CU71" s="3455" t="str">
        <f t="shared" si="193"/>
        <v/>
      </c>
      <c r="CV71" s="604"/>
      <c r="CW71" s="3455">
        <f t="shared" ca="1" si="194"/>
        <v>9.5315534042353498</v>
      </c>
      <c r="CX71" s="3455">
        <f t="shared" ca="1" si="195"/>
        <v>8.1148104865329316</v>
      </c>
      <c r="CY71" s="3455">
        <f t="shared" ca="1" si="196"/>
        <v>15.482509507938659</v>
      </c>
      <c r="CZ71" s="3455">
        <f t="shared" ca="1" si="47"/>
        <v>8.4861712074101767</v>
      </c>
      <c r="DA71" s="3455" t="str">
        <f t="shared" si="197"/>
        <v/>
      </c>
      <c r="DB71" s="604"/>
      <c r="DC71" s="3455">
        <f t="shared" ca="1" si="198"/>
        <v>7.3521689630335008</v>
      </c>
      <c r="DD71" s="3455">
        <f t="shared" ca="1" si="199"/>
        <v>5.602215987657333</v>
      </c>
      <c r="DE71" s="3455">
        <f t="shared" ca="1" si="200"/>
        <v>15.812209440428848</v>
      </c>
      <c r="DF71" s="3455">
        <f t="shared" ca="1" si="52"/>
        <v>3.7346768516175244</v>
      </c>
      <c r="DG71" s="3455" t="str">
        <f t="shared" si="201"/>
        <v/>
      </c>
      <c r="DH71" s="604"/>
      <c r="DI71" s="3455">
        <f t="shared" ca="1" si="202"/>
        <v>5.2799258927392678</v>
      </c>
      <c r="DJ71" s="3455">
        <f t="shared" ca="1" si="203"/>
        <v>4.2135592316426163</v>
      </c>
      <c r="DK71" s="3455">
        <f t="shared" ca="1" si="204"/>
        <v>9.9325494378631021</v>
      </c>
      <c r="DL71" s="3455">
        <f t="shared" ca="1" si="57"/>
        <v>3.115264045133781</v>
      </c>
      <c r="DM71" s="3455" t="str">
        <f t="shared" si="205"/>
        <v/>
      </c>
      <c r="DN71" s="604"/>
      <c r="DO71" s="3455">
        <f t="shared" ca="1" si="206"/>
        <v>6.0015342161929164</v>
      </c>
      <c r="DP71" s="3455">
        <f t="shared" ca="1" si="207"/>
        <v>2.6626499101302326</v>
      </c>
      <c r="DQ71" s="3455">
        <f t="shared" ca="1" si="208"/>
        <v>15.051487864003278</v>
      </c>
      <c r="DR71" s="3455">
        <f t="shared" ca="1" si="62"/>
        <v>7.5171504390371791</v>
      </c>
      <c r="DS71" s="3455" t="str">
        <f t="shared" si="209"/>
        <v/>
      </c>
      <c r="DT71" s="604"/>
      <c r="DU71" s="3455">
        <f t="shared" ca="1" si="210"/>
        <v>-0.52871044853527449</v>
      </c>
      <c r="DV71" s="3455">
        <f t="shared" ca="1" si="211"/>
        <v>5.2914691539027725</v>
      </c>
      <c r="DW71" s="3455">
        <f t="shared" ca="1" si="212"/>
        <v>-19.574244798815688</v>
      </c>
      <c r="DX71" s="3455">
        <f t="shared" ca="1" si="67"/>
        <v>6.2931868285074799</v>
      </c>
      <c r="DY71" s="3455" t="str">
        <f t="shared" si="213"/>
        <v/>
      </c>
      <c r="DZ71" s="604"/>
      <c r="EA71" s="3455">
        <f t="shared" ca="1" si="214"/>
        <v>3.4555387972754037</v>
      </c>
      <c r="EB71" s="3455">
        <f t="shared" ca="1" si="215"/>
        <v>6.2322726181666122</v>
      </c>
      <c r="EC71" s="3455">
        <f t="shared" ca="1" si="216"/>
        <v>-8.1443010919942651</v>
      </c>
      <c r="ED71" s="3455">
        <f t="shared" ca="1" si="72"/>
        <v>6.2585435534214362</v>
      </c>
      <c r="EE71" s="3455" t="str">
        <f t="shared" si="217"/>
        <v/>
      </c>
      <c r="EF71" s="604"/>
      <c r="EG71" s="3455">
        <f t="shared" ca="1" si="218"/>
        <v>8.6076943124032024</v>
      </c>
      <c r="EH71" s="3455">
        <f t="shared" ca="1" si="219"/>
        <v>7.1686507137604938</v>
      </c>
      <c r="EI71" s="3455">
        <f t="shared" ca="1" si="220"/>
        <v>13.694283434047616</v>
      </c>
      <c r="EJ71" s="3455">
        <f t="shared" ca="1" si="77"/>
        <v>9.4506620325991886</v>
      </c>
      <c r="EK71" s="3455" t="str">
        <f t="shared" si="221"/>
        <v/>
      </c>
      <c r="EL71" s="604"/>
      <c r="EM71" s="3455">
        <f t="shared" ca="1" si="222"/>
        <v>5.7616120018395334</v>
      </c>
      <c r="EN71" s="3455">
        <f t="shared" ca="1" si="223"/>
        <v>4.7564406281384919</v>
      </c>
      <c r="EO71" s="3455">
        <f t="shared" ca="1" si="224"/>
        <v>7.6478504982178563</v>
      </c>
      <c r="EP71" s="3455">
        <f t="shared" ca="1" si="82"/>
        <v>8.2073133187321226</v>
      </c>
      <c r="EQ71" s="3455" t="str">
        <f t="shared" si="225"/>
        <v/>
      </c>
      <c r="ER71" s="604"/>
      <c r="ES71" s="3455">
        <f t="shared" ca="1" si="226"/>
        <v>5.7044441220774011</v>
      </c>
      <c r="ET71" s="3455">
        <f t="shared" ca="1" si="227"/>
        <v>5.2008926752777906</v>
      </c>
      <c r="EU71" s="3455">
        <f t="shared" ca="1" si="228"/>
        <v>8.238530734747096</v>
      </c>
      <c r="EV71" s="3455">
        <f t="shared" ca="1" si="87"/>
        <v>4.8382042699019356</v>
      </c>
      <c r="EW71" s="3455" t="str">
        <f t="shared" si="229"/>
        <v/>
      </c>
      <c r="EX71" s="604"/>
    </row>
    <row r="72" spans="2:154" s="599" customFormat="1" ht="13.5" thickBot="1">
      <c r="B72" s="600" t="s">
        <v>1767</v>
      </c>
      <c r="C72" s="3781" t="s">
        <v>614</v>
      </c>
      <c r="D72" s="3782"/>
      <c r="E72" s="601"/>
      <c r="F72" s="602"/>
      <c r="G72" s="602"/>
      <c r="H72" s="603"/>
      <c r="I72" s="603"/>
      <c r="J72" s="604"/>
      <c r="K72" s="601">
        <f t="shared" ca="1" si="137"/>
        <v>19.081829600808796</v>
      </c>
      <c r="L72" s="602" t="str">
        <f t="shared" si="137"/>
        <v/>
      </c>
      <c r="M72" s="602" t="str">
        <f t="shared" si="137"/>
        <v/>
      </c>
      <c r="N72" s="603">
        <f t="shared" ca="1" si="137"/>
        <v>19.081829600808796</v>
      </c>
      <c r="O72" s="603" t="str">
        <f t="shared" si="137"/>
        <v/>
      </c>
      <c r="P72" s="604"/>
      <c r="Q72" s="601">
        <f t="shared" ca="1" si="138"/>
        <v>31.87846512046719</v>
      </c>
      <c r="R72" s="602" t="str">
        <f t="shared" si="139"/>
        <v/>
      </c>
      <c r="S72" s="602" t="str">
        <f t="shared" si="140"/>
        <v/>
      </c>
      <c r="T72" s="603">
        <f t="shared" ca="1" si="124"/>
        <v>31.87846512046719</v>
      </c>
      <c r="U72" s="603" t="str">
        <f t="shared" si="141"/>
        <v/>
      </c>
      <c r="V72" s="604"/>
      <c r="W72" s="601">
        <f t="shared" ca="1" si="142"/>
        <v>14.161001160737818</v>
      </c>
      <c r="X72" s="602" t="str">
        <f t="shared" si="143"/>
        <v/>
      </c>
      <c r="Y72" s="602" t="str">
        <f t="shared" si="144"/>
        <v/>
      </c>
      <c r="Z72" s="603">
        <f t="shared" ca="1" si="125"/>
        <v>14.161001160737818</v>
      </c>
      <c r="AA72" s="603" t="str">
        <f t="shared" si="145"/>
        <v/>
      </c>
      <c r="AB72" s="604"/>
      <c r="AC72" s="601">
        <f t="shared" ca="1" si="146"/>
        <v>-0.92106050120047689</v>
      </c>
      <c r="AD72" s="602" t="str">
        <f t="shared" si="147"/>
        <v/>
      </c>
      <c r="AE72" s="602" t="str">
        <f t="shared" si="148"/>
        <v/>
      </c>
      <c r="AF72" s="603">
        <f t="shared" ca="1" si="126"/>
        <v>-0.92106050120047689</v>
      </c>
      <c r="AG72" s="603" t="str">
        <f t="shared" si="149"/>
        <v/>
      </c>
      <c r="AH72" s="604"/>
      <c r="AI72" s="601">
        <f t="shared" ca="1" si="150"/>
        <v>-3.5451574236165406</v>
      </c>
      <c r="AJ72" s="602" t="str">
        <f t="shared" si="151"/>
        <v/>
      </c>
      <c r="AK72" s="602" t="str">
        <f t="shared" si="152"/>
        <v/>
      </c>
      <c r="AL72" s="603">
        <f t="shared" ca="1" si="127"/>
        <v>-3.5451574236165406</v>
      </c>
      <c r="AM72" s="603" t="str">
        <f t="shared" si="153"/>
        <v/>
      </c>
      <c r="AN72" s="604"/>
      <c r="AO72" s="601">
        <f t="shared" ca="1" si="154"/>
        <v>-1.5225748770675063</v>
      </c>
      <c r="AP72" s="602" t="str">
        <f t="shared" si="155"/>
        <v/>
      </c>
      <c r="AQ72" s="602" t="str">
        <f t="shared" si="156"/>
        <v/>
      </c>
      <c r="AR72" s="603">
        <f t="shared" ca="1" si="128"/>
        <v>-1.5225748770675063</v>
      </c>
      <c r="AS72" s="603" t="str">
        <f t="shared" si="157"/>
        <v/>
      </c>
      <c r="AT72" s="604"/>
      <c r="AU72" s="601">
        <f t="shared" ca="1" si="158"/>
        <v>2.4222175819586633</v>
      </c>
      <c r="AV72" s="602" t="str">
        <f t="shared" si="159"/>
        <v/>
      </c>
      <c r="AW72" s="602" t="str">
        <f t="shared" si="160"/>
        <v/>
      </c>
      <c r="AX72" s="603">
        <f t="shared" ca="1" si="129"/>
        <v>2.4222175819586633</v>
      </c>
      <c r="AY72" s="603" t="str">
        <f t="shared" si="161"/>
        <v/>
      </c>
      <c r="AZ72" s="604"/>
      <c r="BA72" s="601">
        <f t="shared" ca="1" si="162"/>
        <v>16.45259938837922</v>
      </c>
      <c r="BB72" s="602" t="str">
        <f t="shared" si="163"/>
        <v/>
      </c>
      <c r="BC72" s="602" t="str">
        <f t="shared" si="164"/>
        <v/>
      </c>
      <c r="BD72" s="603">
        <f t="shared" ca="1" si="130"/>
        <v>16.45259938837922</v>
      </c>
      <c r="BE72" s="603" t="str">
        <f t="shared" si="165"/>
        <v/>
      </c>
      <c r="BF72" s="604"/>
      <c r="BG72" s="601">
        <f t="shared" ca="1" si="166"/>
        <v>20.187096577761544</v>
      </c>
      <c r="BH72" s="602" t="str">
        <f t="shared" si="167"/>
        <v/>
      </c>
      <c r="BI72" s="602" t="str">
        <f t="shared" si="168"/>
        <v/>
      </c>
      <c r="BJ72" s="603">
        <f t="shared" ca="1" si="131"/>
        <v>20.187096577761544</v>
      </c>
      <c r="BK72" s="603" t="str">
        <f t="shared" si="169"/>
        <v/>
      </c>
      <c r="BL72" s="604"/>
      <c r="BM72" s="601">
        <f t="shared" ca="1" si="170"/>
        <v>18.96869478204146</v>
      </c>
      <c r="BN72" s="602" t="str">
        <f t="shared" si="171"/>
        <v/>
      </c>
      <c r="BO72" s="602" t="str">
        <f t="shared" si="172"/>
        <v/>
      </c>
      <c r="BP72" s="603">
        <f t="shared" ca="1" si="132"/>
        <v>18.96869478204146</v>
      </c>
      <c r="BQ72" s="603" t="str">
        <f t="shared" si="173"/>
        <v/>
      </c>
      <c r="BR72" s="604"/>
      <c r="BS72" s="601">
        <f t="shared" ca="1" si="174"/>
        <v>22.41120480388399</v>
      </c>
      <c r="BT72" s="602" t="str">
        <f t="shared" si="175"/>
        <v/>
      </c>
      <c r="BU72" s="602" t="str">
        <f t="shared" si="176"/>
        <v/>
      </c>
      <c r="BV72" s="603">
        <f t="shared" ca="1" si="133"/>
        <v>22.41120480388399</v>
      </c>
      <c r="BW72" s="603" t="str">
        <f t="shared" si="177"/>
        <v/>
      </c>
      <c r="BX72" s="604"/>
      <c r="BY72" s="601">
        <f t="shared" ca="1" si="178"/>
        <v>14.534653637577355</v>
      </c>
      <c r="BZ72" s="602" t="str">
        <f t="shared" si="179"/>
        <v/>
      </c>
      <c r="CA72" s="602" t="str">
        <f t="shared" si="180"/>
        <v/>
      </c>
      <c r="CB72" s="603">
        <f t="shared" ca="1" si="134"/>
        <v>14.534653637577355</v>
      </c>
      <c r="CC72" s="603" t="str">
        <f t="shared" si="181"/>
        <v/>
      </c>
      <c r="CD72" s="604"/>
      <c r="CE72" s="601">
        <f t="shared" ca="1" si="182"/>
        <v>14.538916880878162</v>
      </c>
      <c r="CF72" s="602" t="str">
        <f t="shared" si="183"/>
        <v/>
      </c>
      <c r="CG72" s="602" t="str">
        <f t="shared" si="184"/>
        <v/>
      </c>
      <c r="CH72" s="603">
        <f t="shared" ca="1" si="135"/>
        <v>14.538916880878162</v>
      </c>
      <c r="CI72" s="603" t="str">
        <f t="shared" si="185"/>
        <v/>
      </c>
      <c r="CJ72" s="604"/>
      <c r="CK72" s="601">
        <f t="shared" ca="1" si="186"/>
        <v>-47.016177153086261</v>
      </c>
      <c r="CL72" s="602" t="str">
        <f t="shared" si="187"/>
        <v/>
      </c>
      <c r="CM72" s="602" t="str">
        <f t="shared" si="188"/>
        <v/>
      </c>
      <c r="CN72" s="603">
        <f t="shared" ca="1" si="136"/>
        <v>-47.016177153086261</v>
      </c>
      <c r="CO72" s="603" t="str">
        <f t="shared" si="189"/>
        <v/>
      </c>
      <c r="CP72" s="604"/>
      <c r="CQ72" s="601">
        <f t="shared" ca="1" si="190"/>
        <v>-19.036357152242054</v>
      </c>
      <c r="CR72" s="602" t="str">
        <f t="shared" si="191"/>
        <v/>
      </c>
      <c r="CS72" s="602" t="str">
        <f t="shared" si="192"/>
        <v/>
      </c>
      <c r="CT72" s="603">
        <f t="shared" ca="1" si="42"/>
        <v>-19.036357152242054</v>
      </c>
      <c r="CU72" s="603" t="str">
        <f t="shared" si="193"/>
        <v/>
      </c>
      <c r="CV72" s="604"/>
      <c r="CW72" s="601">
        <f t="shared" ca="1" si="194"/>
        <v>5.0253081411073763</v>
      </c>
      <c r="CX72" s="602" t="str">
        <f t="shared" si="195"/>
        <v/>
      </c>
      <c r="CY72" s="602" t="str">
        <f t="shared" si="196"/>
        <v/>
      </c>
      <c r="CZ72" s="603">
        <f t="shared" ca="1" si="47"/>
        <v>5.0253081411073763</v>
      </c>
      <c r="DA72" s="603" t="str">
        <f t="shared" si="197"/>
        <v/>
      </c>
      <c r="DB72" s="604"/>
      <c r="DC72" s="601">
        <f t="shared" ca="1" si="198"/>
        <v>18.282220325514341</v>
      </c>
      <c r="DD72" s="602" t="str">
        <f t="shared" si="199"/>
        <v/>
      </c>
      <c r="DE72" s="602" t="str">
        <f t="shared" si="200"/>
        <v/>
      </c>
      <c r="DF72" s="603">
        <f t="shared" ca="1" si="52"/>
        <v>18.282220325514341</v>
      </c>
      <c r="DG72" s="603" t="str">
        <f t="shared" si="201"/>
        <v/>
      </c>
      <c r="DH72" s="604"/>
      <c r="DI72" s="601">
        <f t="shared" ca="1" si="202"/>
        <v>8.0022394326770616</v>
      </c>
      <c r="DJ72" s="602" t="str">
        <f t="shared" si="203"/>
        <v/>
      </c>
      <c r="DK72" s="602" t="str">
        <f t="shared" si="204"/>
        <v/>
      </c>
      <c r="DL72" s="603">
        <f t="shared" ca="1" si="57"/>
        <v>8.0022394326770616</v>
      </c>
      <c r="DM72" s="603" t="str">
        <f t="shared" si="205"/>
        <v/>
      </c>
      <c r="DN72" s="604"/>
      <c r="DO72" s="601">
        <f t="shared" ca="1" si="206"/>
        <v>5.7908408641911269</v>
      </c>
      <c r="DP72" s="602" t="str">
        <f t="shared" si="207"/>
        <v/>
      </c>
      <c r="DQ72" s="602" t="str">
        <f t="shared" si="208"/>
        <v/>
      </c>
      <c r="DR72" s="603">
        <f t="shared" ca="1" si="62"/>
        <v>5.7908408641911269</v>
      </c>
      <c r="DS72" s="603" t="str">
        <f t="shared" si="209"/>
        <v/>
      </c>
      <c r="DT72" s="604"/>
      <c r="DU72" s="601">
        <f t="shared" ca="1" si="210"/>
        <v>10.64173830666455</v>
      </c>
      <c r="DV72" s="602" t="str">
        <f t="shared" si="211"/>
        <v/>
      </c>
      <c r="DW72" s="602" t="str">
        <f t="shared" si="212"/>
        <v/>
      </c>
      <c r="DX72" s="603">
        <f t="shared" ca="1" si="67"/>
        <v>10.64173830666455</v>
      </c>
      <c r="DY72" s="603" t="str">
        <f t="shared" si="213"/>
        <v/>
      </c>
      <c r="DZ72" s="604"/>
      <c r="EA72" s="601">
        <f t="shared" ca="1" si="214"/>
        <v>7.9869500391203774</v>
      </c>
      <c r="EB72" s="602" t="str">
        <f t="shared" si="215"/>
        <v/>
      </c>
      <c r="EC72" s="602" t="str">
        <f t="shared" si="216"/>
        <v/>
      </c>
      <c r="ED72" s="603">
        <f t="shared" ca="1" si="72"/>
        <v>7.9869500391203774</v>
      </c>
      <c r="EE72" s="603" t="str">
        <f t="shared" si="217"/>
        <v/>
      </c>
      <c r="EF72" s="604"/>
      <c r="EG72" s="601">
        <f t="shared" ca="1" si="218"/>
        <v>5.5073768056504768</v>
      </c>
      <c r="EH72" s="602" t="str">
        <f t="shared" si="219"/>
        <v/>
      </c>
      <c r="EI72" s="602" t="str">
        <f t="shared" si="220"/>
        <v/>
      </c>
      <c r="EJ72" s="603">
        <f t="shared" ca="1" si="77"/>
        <v>5.5073768056504768</v>
      </c>
      <c r="EK72" s="603" t="str">
        <f t="shared" si="221"/>
        <v/>
      </c>
      <c r="EL72" s="604"/>
      <c r="EM72" s="601">
        <f t="shared" ca="1" si="222"/>
        <v>3.4210166063792125</v>
      </c>
      <c r="EN72" s="602" t="str">
        <f t="shared" si="223"/>
        <v/>
      </c>
      <c r="EO72" s="602" t="str">
        <f t="shared" si="224"/>
        <v/>
      </c>
      <c r="EP72" s="603">
        <f t="shared" ca="1" si="82"/>
        <v>3.4210166063792125</v>
      </c>
      <c r="EQ72" s="603" t="str">
        <f t="shared" si="225"/>
        <v/>
      </c>
      <c r="ER72" s="604"/>
      <c r="ES72" s="601">
        <f t="shared" ca="1" si="226"/>
        <v>5.4761301046916788</v>
      </c>
      <c r="ET72" s="602" t="str">
        <f t="shared" si="227"/>
        <v/>
      </c>
      <c r="EU72" s="602" t="str">
        <f t="shared" si="228"/>
        <v/>
      </c>
      <c r="EV72" s="603">
        <f t="shared" ca="1" si="87"/>
        <v>5.4761301046916788</v>
      </c>
      <c r="EW72" s="603" t="str">
        <f t="shared" si="229"/>
        <v/>
      </c>
      <c r="EX72" s="604"/>
    </row>
    <row r="73" spans="2:154">
      <c r="B73" s="600" t="s">
        <v>1767</v>
      </c>
      <c r="C73" s="3781" t="s">
        <v>567</v>
      </c>
      <c r="D73" s="3782"/>
      <c r="E73" s="601"/>
      <c r="F73" s="603"/>
      <c r="G73" s="3481"/>
      <c r="H73" s="3479"/>
      <c r="I73" s="3478"/>
      <c r="J73" s="604"/>
      <c r="K73" s="601" t="e">
        <f t="shared" ca="1" si="137"/>
        <v>#VALUE!</v>
      </c>
      <c r="L73" s="603">
        <f t="shared" ca="1" si="137"/>
        <v>-21.42857142857142</v>
      </c>
      <c r="M73" s="3481">
        <f t="shared" ca="1" si="137"/>
        <v>-6.7567567567567766</v>
      </c>
      <c r="N73" s="3479">
        <f t="shared" ca="1" si="137"/>
        <v>33.514738419812986</v>
      </c>
      <c r="O73" s="3478" t="e">
        <f t="shared" ca="1" si="137"/>
        <v>#VALUE!</v>
      </c>
      <c r="P73" s="604"/>
      <c r="Q73" s="601">
        <f t="shared" ca="1" si="138"/>
        <v>40.907218686472731</v>
      </c>
      <c r="R73" s="603">
        <f t="shared" ca="1" si="139"/>
        <v>49.999999999999979</v>
      </c>
      <c r="S73" s="3481">
        <f t="shared" ca="1" si="140"/>
        <v>38.164251207729464</v>
      </c>
      <c r="T73" s="3479">
        <f t="shared" ca="1" si="124"/>
        <v>40.91972149090568</v>
      </c>
      <c r="U73" s="3478" t="e">
        <f t="shared" ca="1" si="141"/>
        <v>#VALUE!</v>
      </c>
      <c r="V73" s="604"/>
      <c r="W73" s="601">
        <f t="shared" ca="1" si="142"/>
        <v>23.585821915870664</v>
      </c>
      <c r="X73" s="603">
        <f t="shared" ca="1" si="143"/>
        <v>48.484848484848506</v>
      </c>
      <c r="Y73" s="3481">
        <f t="shared" ca="1" si="144"/>
        <v>23.951048951048961</v>
      </c>
      <c r="Z73" s="3479">
        <f t="shared" ca="1" si="125"/>
        <v>23.576048403922378</v>
      </c>
      <c r="AA73" s="3478" t="e">
        <f t="shared" ca="1" si="145"/>
        <v>#VALUE!</v>
      </c>
      <c r="AB73" s="604"/>
      <c r="AC73" s="601">
        <f t="shared" ca="1" si="146"/>
        <v>-1.1688945858511879</v>
      </c>
      <c r="AD73" s="603">
        <f t="shared" ca="1" si="147"/>
        <v>-28.571428571428569</v>
      </c>
      <c r="AE73" s="3481">
        <f t="shared" ca="1" si="148"/>
        <v>9.1678420310296271</v>
      </c>
      <c r="AF73" s="3479">
        <f t="shared" ca="1" si="126"/>
        <v>-1.2148327782297019</v>
      </c>
      <c r="AG73" s="3478" t="e">
        <f t="shared" ca="1" si="149"/>
        <v>#VALUE!</v>
      </c>
      <c r="AH73" s="604"/>
      <c r="AI73" s="601">
        <f t="shared" ca="1" si="150"/>
        <v>5.8827162400024724</v>
      </c>
      <c r="AJ73" s="603">
        <f t="shared" ca="1" si="151"/>
        <v>31.428571428571406</v>
      </c>
      <c r="AK73" s="3481">
        <f t="shared" ca="1" si="152"/>
        <v>-20.284237726098198</v>
      </c>
      <c r="AL73" s="3479">
        <f t="shared" ca="1" si="127"/>
        <v>6.0331098560474805</v>
      </c>
      <c r="AM73" s="3478" t="e">
        <f t="shared" ca="1" si="153"/>
        <v>#VALUE!</v>
      </c>
      <c r="AN73" s="604"/>
      <c r="AO73" s="601">
        <f t="shared" ca="1" si="154"/>
        <v>0.91795963602427921</v>
      </c>
      <c r="AP73" s="603">
        <f t="shared" ca="1" si="155"/>
        <v>-13.043478260869568</v>
      </c>
      <c r="AQ73" s="3481">
        <f t="shared" ca="1" si="156"/>
        <v>-25.445705024311181</v>
      </c>
      <c r="AR73" s="3479">
        <f t="shared" ca="1" si="128"/>
        <v>1.0418421997377081</v>
      </c>
      <c r="AS73" s="3478" t="e">
        <f t="shared" ca="1" si="157"/>
        <v>#VALUE!</v>
      </c>
      <c r="AT73" s="604"/>
      <c r="AU73" s="601">
        <f t="shared" ca="1" si="158"/>
        <v>3.3118755012246259</v>
      </c>
      <c r="AV73" s="603">
        <f t="shared" ca="1" si="159"/>
        <v>-7.4999999999999956</v>
      </c>
      <c r="AW73" s="3481">
        <f t="shared" ca="1" si="160"/>
        <v>-5.0000000000000044</v>
      </c>
      <c r="AX73" s="3479">
        <f t="shared" ca="1" si="129"/>
        <v>3.342735532336083</v>
      </c>
      <c r="AY73" s="3478" t="e">
        <f t="shared" ca="1" si="161"/>
        <v>#VALUE!</v>
      </c>
      <c r="AZ73" s="604"/>
      <c r="BA73" s="601">
        <f t="shared" ca="1" si="162"/>
        <v>7.787684884086854</v>
      </c>
      <c r="BB73" s="603">
        <f t="shared" ca="1" si="163"/>
        <v>13.513513513513509</v>
      </c>
      <c r="BC73" s="3481">
        <f t="shared" ca="1" si="164"/>
        <v>21.052631578947391</v>
      </c>
      <c r="BD73" s="3479">
        <f t="shared" ca="1" si="130"/>
        <v>7.7455252208446401</v>
      </c>
      <c r="BE73" s="3478" t="e">
        <f t="shared" ca="1" si="165"/>
        <v>#VALUE!</v>
      </c>
      <c r="BF73" s="604"/>
      <c r="BG73" s="601">
        <f t="shared" ca="1" si="166"/>
        <v>15.030071822021519</v>
      </c>
      <c r="BH73" s="603">
        <f t="shared" ca="1" si="167"/>
        <v>4.7619047619047672</v>
      </c>
      <c r="BI73" s="3481">
        <f t="shared" ca="1" si="168"/>
        <v>962.94896030245741</v>
      </c>
      <c r="BJ73" s="3479">
        <f t="shared" ca="1" si="131"/>
        <v>11.76738734045324</v>
      </c>
      <c r="BK73" s="3478" t="e">
        <f t="shared" ca="1" si="169"/>
        <v>#VALUE!</v>
      </c>
      <c r="BL73" s="604"/>
      <c r="BM73" s="601">
        <f t="shared" ca="1" si="170"/>
        <v>18.815321184227596</v>
      </c>
      <c r="BN73" s="603">
        <f t="shared" ca="1" si="171"/>
        <v>27.27272727272727</v>
      </c>
      <c r="BO73" s="3481">
        <f t="shared" ca="1" si="172"/>
        <v>219.9893295393918</v>
      </c>
      <c r="BP73" s="3479">
        <f t="shared" ca="1" si="132"/>
        <v>12.222222222222246</v>
      </c>
      <c r="BQ73" s="3478" t="e">
        <f t="shared" ca="1" si="173"/>
        <v>#VALUE!</v>
      </c>
      <c r="BR73" s="604"/>
      <c r="BS73" s="601">
        <f t="shared" ca="1" si="174"/>
        <v>20.411001822877097</v>
      </c>
      <c r="BT73" s="603">
        <f t="shared" ca="1" si="175"/>
        <v>21.42857142857142</v>
      </c>
      <c r="BU73" s="3481">
        <f t="shared" ca="1" si="176"/>
        <v>47.824153837603504</v>
      </c>
      <c r="BV73" s="3479">
        <f t="shared" ca="1" si="133"/>
        <v>17.849818542420557</v>
      </c>
      <c r="BW73" s="3478" t="e">
        <f t="shared" ca="1" si="177"/>
        <v>#VALUE!</v>
      </c>
      <c r="BX73" s="604"/>
      <c r="BY73" s="601">
        <f t="shared" ca="1" si="178"/>
        <v>23.310585721438358</v>
      </c>
      <c r="BZ73" s="603">
        <f t="shared" ca="1" si="179"/>
        <v>25</v>
      </c>
      <c r="CA73" s="3481">
        <f t="shared" ca="1" si="180"/>
        <v>46.695240243627346</v>
      </c>
      <c r="CB73" s="3479">
        <f t="shared" ca="1" si="134"/>
        <v>20.569900478882055</v>
      </c>
      <c r="CC73" s="3478" t="e">
        <f t="shared" ca="1" si="181"/>
        <v>#VALUE!</v>
      </c>
      <c r="CD73" s="604"/>
      <c r="CE73" s="601">
        <f t="shared" ca="1" si="182"/>
        <v>18.38059217151935</v>
      </c>
      <c r="CF73" s="603">
        <f t="shared" ca="1" si="183"/>
        <v>2.3529411764706021</v>
      </c>
      <c r="CG73" s="3481">
        <f t="shared" ca="1" si="184"/>
        <v>21.836075657388875</v>
      </c>
      <c r="CH73" s="3479">
        <f t="shared" ca="1" si="135"/>
        <v>17.89292526253481</v>
      </c>
      <c r="CI73" s="3478" t="e">
        <f t="shared" ca="1" si="185"/>
        <v>#VALUE!</v>
      </c>
      <c r="CJ73" s="604"/>
      <c r="CK73" s="601">
        <f t="shared" ca="1" si="186"/>
        <v>1.8032689482326614</v>
      </c>
      <c r="CL73" s="603">
        <f t="shared" ca="1" si="187"/>
        <v>-6.8965517241379342</v>
      </c>
      <c r="CM73" s="3481">
        <f t="shared" ca="1" si="188"/>
        <v>-47.967941436324622</v>
      </c>
      <c r="CN73" s="3479">
        <f t="shared" ca="1" si="136"/>
        <v>9.1387801529225534</v>
      </c>
      <c r="CO73" s="3478">
        <f t="shared" ca="1" si="189"/>
        <v>-42.105263157894733</v>
      </c>
      <c r="CP73" s="604"/>
      <c r="CQ73" s="601">
        <f t="shared" ca="1" si="190"/>
        <v>-4.1493676863448403</v>
      </c>
      <c r="CR73" s="603">
        <f t="shared" ca="1" si="191"/>
        <v>-3.703703703703709</v>
      </c>
      <c r="CS73" s="3481">
        <f t="shared" ca="1" si="192"/>
        <v>-13.555690317364066</v>
      </c>
      <c r="CT73" s="3479">
        <f t="shared" ca="1" si="42"/>
        <v>-3.4887386300062828</v>
      </c>
      <c r="CU73" s="3478">
        <f t="shared" ca="1" si="193"/>
        <v>190.90909090909091</v>
      </c>
      <c r="CV73" s="604"/>
      <c r="CW73" s="601">
        <f t="shared" ca="1" si="194"/>
        <v>6.1376996911222559</v>
      </c>
      <c r="CX73" s="603">
        <f t="shared" ca="1" si="195"/>
        <v>11.538461538461565</v>
      </c>
      <c r="CY73" s="3481">
        <f t="shared" ca="1" si="196"/>
        <v>17.19203068001125</v>
      </c>
      <c r="CZ73" s="3479">
        <f t="shared" ca="1" si="47"/>
        <v>5.4409618417645467</v>
      </c>
      <c r="DA73" s="3478">
        <f t="shared" ca="1" si="197"/>
        <v>-18.75</v>
      </c>
      <c r="DB73" s="604"/>
      <c r="DC73" s="601">
        <f t="shared" ca="1" si="198"/>
        <v>2.6838147093490194</v>
      </c>
      <c r="DD73" s="603">
        <f t="shared" ca="1" si="199"/>
        <v>-2.298850574712652</v>
      </c>
      <c r="DE73" s="3481">
        <f t="shared" ca="1" si="200"/>
        <v>-15.623752893287579</v>
      </c>
      <c r="DF73" s="3479">
        <f t="shared" ca="1" si="52"/>
        <v>3.9652396194664874</v>
      </c>
      <c r="DG73" s="3478">
        <f t="shared" ca="1" si="201"/>
        <v>-96.15384615384616</v>
      </c>
      <c r="DH73" s="604"/>
      <c r="DI73" s="601">
        <f t="shared" ca="1" si="202"/>
        <v>6.251777660395752</v>
      </c>
      <c r="DJ73" s="603">
        <f t="shared" ca="1" si="203"/>
        <v>3.529411764705892</v>
      </c>
      <c r="DK73" s="3481">
        <f t="shared" ca="1" si="204"/>
        <v>37.307856027999819</v>
      </c>
      <c r="DL73" s="3479">
        <f t="shared" ca="1" si="57"/>
        <v>4.4898912354917941</v>
      </c>
      <c r="DM73" s="3478">
        <f t="shared" ca="1" si="205"/>
        <v>200</v>
      </c>
      <c r="DN73" s="604"/>
      <c r="DO73" s="601">
        <f t="shared" ca="1" si="206"/>
        <v>6.4463161517612555</v>
      </c>
      <c r="DP73" s="603">
        <f t="shared" ca="1" si="207"/>
        <v>13.636363636363624</v>
      </c>
      <c r="DQ73" s="3481">
        <f t="shared" ca="1" si="208"/>
        <v>-3.9233922358857809</v>
      </c>
      <c r="DR73" s="3479">
        <f t="shared" ca="1" si="62"/>
        <v>7.2180335238584581</v>
      </c>
      <c r="DS73" s="3478">
        <f t="shared" ca="1" si="209"/>
        <v>-200</v>
      </c>
      <c r="DT73" s="604"/>
      <c r="DU73" s="601">
        <f t="shared" ca="1" si="210"/>
        <v>6.8638083369820579</v>
      </c>
      <c r="DV73" s="603">
        <f t="shared" ca="1" si="211"/>
        <v>-10.000000000000009</v>
      </c>
      <c r="DW73" s="3481">
        <f t="shared" ca="1" si="212"/>
        <v>8.3106267029972933</v>
      </c>
      <c r="DX73" s="3479">
        <f t="shared" ca="1" si="67"/>
        <v>6.7711615269794967</v>
      </c>
      <c r="DY73" s="3478">
        <f t="shared" ca="1" si="213"/>
        <v>-133.33333333333331</v>
      </c>
      <c r="DZ73" s="604"/>
      <c r="EA73" s="601">
        <f t="shared" ca="1" si="214"/>
        <v>8.4994978295309664</v>
      </c>
      <c r="EB73" s="603">
        <f t="shared" ca="1" si="215"/>
        <v>4.4444444444444509</v>
      </c>
      <c r="EC73" s="3481">
        <f t="shared" ca="1" si="216"/>
        <v>5.53459119496853</v>
      </c>
      <c r="ED73" s="3479">
        <f t="shared" ca="1" si="72"/>
        <v>8.7013109412656942</v>
      </c>
      <c r="EE73" s="3478">
        <f t="shared" ca="1" si="217"/>
        <v>-600</v>
      </c>
      <c r="EF73" s="604"/>
      <c r="EG73" s="601">
        <f t="shared" ca="1" si="218"/>
        <v>11.992430677451239</v>
      </c>
      <c r="EH73" s="603">
        <f t="shared" ca="1" si="219"/>
        <v>4.0000000000000036</v>
      </c>
      <c r="EI73" s="3481">
        <f t="shared" ca="1" si="220"/>
        <v>6.0000000000000053</v>
      </c>
      <c r="EJ73" s="3479">
        <f t="shared" ca="1" si="77"/>
        <v>12.388380313796855</v>
      </c>
      <c r="EK73" s="3478">
        <f t="shared" ca="1" si="221"/>
        <v>0</v>
      </c>
      <c r="EL73" s="604"/>
      <c r="EM73" s="601">
        <f t="shared" ca="1" si="222"/>
        <v>6.6586376471575948</v>
      </c>
      <c r="EN73" s="603">
        <f t="shared" ca="1" si="223"/>
        <v>4.0000000000000036</v>
      </c>
      <c r="EO73" s="3481">
        <f t="shared" ca="1" si="224"/>
        <v>6.0000000000000053</v>
      </c>
      <c r="EP73" s="3479">
        <f t="shared" ca="1" si="82"/>
        <v>6.6999999999999948</v>
      </c>
      <c r="EQ73" s="3478">
        <f t="shared" ca="1" si="225"/>
        <v>0</v>
      </c>
      <c r="ER73" s="604"/>
      <c r="ES73" s="601">
        <f t="shared" ca="1" si="226"/>
        <v>5.7482394727325303</v>
      </c>
      <c r="ET73" s="603">
        <f t="shared" ca="1" si="227"/>
        <v>4.0000000000000036</v>
      </c>
      <c r="EU73" s="3481">
        <f t="shared" ca="1" si="228"/>
        <v>6.0000000000000053</v>
      </c>
      <c r="EV73" s="3479">
        <f t="shared" ca="1" si="87"/>
        <v>5.7330199408850646</v>
      </c>
      <c r="EW73" s="3478">
        <f t="shared" ca="1" si="229"/>
        <v>0</v>
      </c>
      <c r="EX73" s="604"/>
    </row>
    <row r="74" spans="2:154">
      <c r="B74" s="564"/>
      <c r="C74" s="565"/>
      <c r="D74" s="566" t="s">
        <v>1461</v>
      </c>
      <c r="E74" s="598"/>
      <c r="F74" s="605"/>
      <c r="G74" s="606"/>
      <c r="H74" s="577"/>
      <c r="I74" s="607"/>
      <c r="J74" s="579"/>
      <c r="K74" s="598" t="str">
        <f t="shared" si="137"/>
        <v/>
      </c>
      <c r="L74" s="605" t="str">
        <f t="shared" si="137"/>
        <v/>
      </c>
      <c r="M74" s="606" t="str">
        <f t="shared" si="137"/>
        <v/>
      </c>
      <c r="N74" s="577">
        <f t="shared" ca="1" si="137"/>
        <v>33.508583690987123</v>
      </c>
      <c r="O74" s="607" t="str">
        <f t="shared" si="137"/>
        <v/>
      </c>
      <c r="P74" s="579"/>
      <c r="Q74" s="598" t="str">
        <f t="shared" si="138"/>
        <v/>
      </c>
      <c r="R74" s="605" t="str">
        <f t="shared" si="139"/>
        <v/>
      </c>
      <c r="S74" s="606" t="str">
        <f t="shared" si="140"/>
        <v/>
      </c>
      <c r="T74" s="577">
        <f t="shared" ca="1" si="124"/>
        <v>40.953414235580922</v>
      </c>
      <c r="U74" s="607" t="str">
        <f t="shared" si="141"/>
        <v/>
      </c>
      <c r="V74" s="579"/>
      <c r="W74" s="598" t="str">
        <f t="shared" si="142"/>
        <v/>
      </c>
      <c r="X74" s="605" t="str">
        <f t="shared" si="143"/>
        <v/>
      </c>
      <c r="Y74" s="606" t="str">
        <f t="shared" si="144"/>
        <v/>
      </c>
      <c r="Z74" s="577">
        <f t="shared" ca="1" si="125"/>
        <v>23.56960269117101</v>
      </c>
      <c r="AA74" s="607" t="str">
        <f t="shared" si="145"/>
        <v/>
      </c>
      <c r="AB74" s="579"/>
      <c r="AC74" s="598" t="str">
        <f t="shared" si="146"/>
        <v/>
      </c>
      <c r="AD74" s="605" t="str">
        <f t="shared" si="147"/>
        <v/>
      </c>
      <c r="AE74" s="606" t="str">
        <f t="shared" si="148"/>
        <v/>
      </c>
      <c r="AF74" s="577">
        <f t="shared" ca="1" si="126"/>
        <v>-1.2250453720508148</v>
      </c>
      <c r="AG74" s="607" t="str">
        <f t="shared" si="149"/>
        <v/>
      </c>
      <c r="AH74" s="579"/>
      <c r="AI74" s="598" t="str">
        <f t="shared" si="150"/>
        <v/>
      </c>
      <c r="AJ74" s="605" t="str">
        <f t="shared" si="151"/>
        <v/>
      </c>
      <c r="AK74" s="606" t="str">
        <f t="shared" si="152"/>
        <v/>
      </c>
      <c r="AL74" s="577">
        <f t="shared" ca="1" si="127"/>
        <v>6.0610543198150069</v>
      </c>
      <c r="AM74" s="607" t="str">
        <f t="shared" si="153"/>
        <v/>
      </c>
      <c r="AN74" s="579"/>
      <c r="AO74" s="598" t="str">
        <f t="shared" si="154"/>
        <v/>
      </c>
      <c r="AP74" s="605" t="str">
        <f t="shared" si="155"/>
        <v/>
      </c>
      <c r="AQ74" s="606" t="str">
        <f t="shared" si="156"/>
        <v/>
      </c>
      <c r="AR74" s="577">
        <f t="shared" ca="1" si="128"/>
        <v>1.0386998267610359</v>
      </c>
      <c r="AS74" s="607" t="str">
        <f t="shared" si="157"/>
        <v/>
      </c>
      <c r="AT74" s="579"/>
      <c r="AU74" s="598" t="str">
        <f t="shared" si="158"/>
        <v/>
      </c>
      <c r="AV74" s="605" t="str">
        <f t="shared" si="159"/>
        <v/>
      </c>
      <c r="AW74" s="606" t="str">
        <f t="shared" si="160"/>
        <v/>
      </c>
      <c r="AX74" s="577">
        <f t="shared" ca="1" si="129"/>
        <v>3.3419788874116341</v>
      </c>
      <c r="AY74" s="607" t="str">
        <f t="shared" si="161"/>
        <v/>
      </c>
      <c r="AZ74" s="579"/>
      <c r="BA74" s="598" t="str">
        <f t="shared" si="162"/>
        <v/>
      </c>
      <c r="BB74" s="605" t="str">
        <f t="shared" si="163"/>
        <v/>
      </c>
      <c r="BC74" s="606" t="str">
        <f t="shared" si="164"/>
        <v/>
      </c>
      <c r="BD74" s="577">
        <f t="shared" ca="1" si="130"/>
        <v>7.7529298454053874</v>
      </c>
      <c r="BE74" s="607" t="str">
        <f t="shared" si="165"/>
        <v/>
      </c>
      <c r="BF74" s="579"/>
      <c r="BG74" s="598" t="str">
        <f t="shared" si="166"/>
        <v/>
      </c>
      <c r="BH74" s="605" t="str">
        <f t="shared" si="167"/>
        <v/>
      </c>
      <c r="BI74" s="606" t="str">
        <f t="shared" si="168"/>
        <v/>
      </c>
      <c r="BJ74" s="577">
        <f t="shared" ca="1" si="131"/>
        <v>8.5821844967410641</v>
      </c>
      <c r="BK74" s="607" t="str">
        <f t="shared" si="169"/>
        <v/>
      </c>
      <c r="BL74" s="579"/>
      <c r="BM74" s="598" t="str">
        <f t="shared" si="170"/>
        <v/>
      </c>
      <c r="BN74" s="605" t="str">
        <f t="shared" si="171"/>
        <v/>
      </c>
      <c r="BO74" s="606" t="str">
        <f t="shared" si="172"/>
        <v/>
      </c>
      <c r="BP74" s="577">
        <f t="shared" ca="1" si="132"/>
        <v>12.091933303289771</v>
      </c>
      <c r="BQ74" s="607" t="str">
        <f t="shared" si="173"/>
        <v/>
      </c>
      <c r="BR74" s="579"/>
      <c r="BS74" s="598" t="str">
        <f t="shared" si="174"/>
        <v/>
      </c>
      <c r="BT74" s="605" t="str">
        <f t="shared" si="175"/>
        <v/>
      </c>
      <c r="BU74" s="606" t="str">
        <f t="shared" si="176"/>
        <v/>
      </c>
      <c r="BV74" s="577">
        <f t="shared" ca="1" si="133"/>
        <v>17.810870066309658</v>
      </c>
      <c r="BW74" s="607" t="str">
        <f t="shared" si="177"/>
        <v/>
      </c>
      <c r="BX74" s="579"/>
      <c r="BY74" s="598" t="str">
        <f t="shared" si="178"/>
        <v/>
      </c>
      <c r="BZ74" s="605" t="str">
        <f t="shared" si="179"/>
        <v/>
      </c>
      <c r="CA74" s="606" t="str">
        <f t="shared" si="180"/>
        <v/>
      </c>
      <c r="CB74" s="577">
        <f t="shared" ca="1" si="134"/>
        <v>20.387214196337155</v>
      </c>
      <c r="CC74" s="607" t="str">
        <f t="shared" si="181"/>
        <v/>
      </c>
      <c r="CD74" s="579"/>
      <c r="CE74" s="598" t="str">
        <f t="shared" si="182"/>
        <v/>
      </c>
      <c r="CF74" s="605" t="str">
        <f t="shared" si="183"/>
        <v/>
      </c>
      <c r="CG74" s="606" t="str">
        <f t="shared" si="184"/>
        <v/>
      </c>
      <c r="CH74" s="577">
        <f t="shared" ca="1" si="135"/>
        <v>17.725384664809638</v>
      </c>
      <c r="CI74" s="607" t="str">
        <f t="shared" si="185"/>
        <v/>
      </c>
      <c r="CJ74" s="579"/>
      <c r="CK74" s="598" t="str">
        <f t="shared" si="186"/>
        <v/>
      </c>
      <c r="CL74" s="605" t="str">
        <f t="shared" si="187"/>
        <v/>
      </c>
      <c r="CM74" s="606" t="str">
        <f t="shared" si="188"/>
        <v/>
      </c>
      <c r="CN74" s="577">
        <f t="shared" ca="1" si="136"/>
        <v>9.2532722912298979</v>
      </c>
      <c r="CO74" s="607" t="str">
        <f t="shared" si="189"/>
        <v/>
      </c>
      <c r="CP74" s="579"/>
      <c r="CQ74" s="598" t="str">
        <f t="shared" si="190"/>
        <v/>
      </c>
      <c r="CR74" s="605" t="str">
        <f t="shared" si="191"/>
        <v/>
      </c>
      <c r="CS74" s="606" t="str">
        <f t="shared" si="192"/>
        <v/>
      </c>
      <c r="CT74" s="577">
        <f t="shared" ca="1" si="42"/>
        <v>-3.1577926600274475</v>
      </c>
      <c r="CU74" s="607" t="str">
        <f t="shared" si="193"/>
        <v/>
      </c>
      <c r="CV74" s="579"/>
      <c r="CW74" s="598" t="str">
        <f t="shared" si="194"/>
        <v/>
      </c>
      <c r="CX74" s="605" t="str">
        <f t="shared" si="195"/>
        <v/>
      </c>
      <c r="CY74" s="606" t="str">
        <f t="shared" si="196"/>
        <v/>
      </c>
      <c r="CZ74" s="577">
        <f t="shared" ca="1" si="47"/>
        <v>5.4640348348530487</v>
      </c>
      <c r="DA74" s="607" t="str">
        <f t="shared" si="197"/>
        <v/>
      </c>
      <c r="DB74" s="579"/>
      <c r="DC74" s="598" t="str">
        <f t="shared" si="198"/>
        <v/>
      </c>
      <c r="DD74" s="605" t="str">
        <f t="shared" si="199"/>
        <v/>
      </c>
      <c r="DE74" s="606" t="str">
        <f t="shared" si="200"/>
        <v/>
      </c>
      <c r="DF74" s="577">
        <f t="shared" ca="1" si="52"/>
        <v>3.9241919427325245</v>
      </c>
      <c r="DG74" s="607" t="str">
        <f t="shared" si="201"/>
        <v/>
      </c>
      <c r="DH74" s="579"/>
      <c r="DI74" s="598" t="str">
        <f t="shared" si="202"/>
        <v/>
      </c>
      <c r="DJ74" s="605" t="str">
        <f t="shared" si="203"/>
        <v/>
      </c>
      <c r="DK74" s="606" t="str">
        <f t="shared" si="204"/>
        <v/>
      </c>
      <c r="DL74" s="577">
        <f t="shared" ca="1" si="57"/>
        <v>5.0451133856218355</v>
      </c>
      <c r="DM74" s="607" t="str">
        <f t="shared" si="205"/>
        <v/>
      </c>
      <c r="DN74" s="579"/>
      <c r="DO74" s="598" t="str">
        <f t="shared" si="206"/>
        <v/>
      </c>
      <c r="DP74" s="605" t="str">
        <f t="shared" si="207"/>
        <v/>
      </c>
      <c r="DQ74" s="606" t="str">
        <f t="shared" si="208"/>
        <v/>
      </c>
      <c r="DR74" s="577">
        <f t="shared" ca="1" si="62"/>
        <v>7.1260647718647263</v>
      </c>
      <c r="DS74" s="607" t="str">
        <f t="shared" si="209"/>
        <v/>
      </c>
      <c r="DT74" s="579"/>
      <c r="DU74" s="598" t="str">
        <f t="shared" si="210"/>
        <v/>
      </c>
      <c r="DV74" s="605" t="str">
        <f t="shared" si="211"/>
        <v/>
      </c>
      <c r="DW74" s="606" t="str">
        <f t="shared" si="212"/>
        <v/>
      </c>
      <c r="DX74" s="577">
        <f t="shared" ca="1" si="67"/>
        <v>6.7775093366661876</v>
      </c>
      <c r="DY74" s="607" t="str">
        <f t="shared" si="213"/>
        <v/>
      </c>
      <c r="DZ74" s="579"/>
      <c r="EA74" s="598" t="str">
        <f t="shared" si="214"/>
        <v/>
      </c>
      <c r="EB74" s="605" t="str">
        <f t="shared" si="215"/>
        <v/>
      </c>
      <c r="EC74" s="606" t="str">
        <f t="shared" si="216"/>
        <v/>
      </c>
      <c r="ED74" s="577">
        <f t="shared" ca="1" si="72"/>
        <v>8.6562521600884743</v>
      </c>
      <c r="EE74" s="607" t="str">
        <f t="shared" si="217"/>
        <v/>
      </c>
      <c r="EF74" s="579"/>
      <c r="EG74" s="598" t="str">
        <f t="shared" si="218"/>
        <v/>
      </c>
      <c r="EH74" s="605" t="str">
        <f t="shared" si="219"/>
        <v/>
      </c>
      <c r="EI74" s="606" t="str">
        <f t="shared" si="220"/>
        <v/>
      </c>
      <c r="EJ74" s="577">
        <f t="shared" ca="1" si="77"/>
        <v>12.388380313796832</v>
      </c>
      <c r="EK74" s="607" t="str">
        <f t="shared" si="221"/>
        <v/>
      </c>
      <c r="EL74" s="579"/>
      <c r="EM74" s="598" t="str">
        <f t="shared" si="222"/>
        <v/>
      </c>
      <c r="EN74" s="605" t="str">
        <f t="shared" si="223"/>
        <v/>
      </c>
      <c r="EO74" s="606" t="str">
        <f t="shared" si="224"/>
        <v/>
      </c>
      <c r="EP74" s="577">
        <f t="shared" ca="1" si="82"/>
        <v>6.6999999999999948</v>
      </c>
      <c r="EQ74" s="607" t="str">
        <f t="shared" si="225"/>
        <v/>
      </c>
      <c r="ER74" s="579"/>
      <c r="ES74" s="598" t="str">
        <f t="shared" si="226"/>
        <v/>
      </c>
      <c r="ET74" s="605" t="str">
        <f t="shared" si="227"/>
        <v/>
      </c>
      <c r="EU74" s="606" t="str">
        <f t="shared" si="228"/>
        <v/>
      </c>
      <c r="EV74" s="577">
        <f t="shared" ca="1" si="87"/>
        <v>5.7330199408850868</v>
      </c>
      <c r="EW74" s="607" t="str">
        <f t="shared" si="229"/>
        <v/>
      </c>
      <c r="EX74" s="579"/>
    </row>
    <row r="75" spans="2:154" ht="13.5" thickBot="1">
      <c r="B75" s="564"/>
      <c r="C75" s="565"/>
      <c r="D75" s="566" t="s">
        <v>1334</v>
      </c>
      <c r="E75" s="598"/>
      <c r="F75" s="605"/>
      <c r="G75" s="606"/>
      <c r="H75" s="580"/>
      <c r="I75" s="607"/>
      <c r="J75" s="579"/>
      <c r="K75" s="598" t="str">
        <f t="shared" si="137"/>
        <v/>
      </c>
      <c r="L75" s="605" t="str">
        <f t="shared" si="137"/>
        <v/>
      </c>
      <c r="M75" s="606" t="str">
        <f t="shared" si="137"/>
        <v/>
      </c>
      <c r="N75" s="580">
        <f t="shared" ca="1" si="137"/>
        <v>36.290322580645153</v>
      </c>
      <c r="O75" s="607" t="str">
        <f t="shared" si="137"/>
        <v/>
      </c>
      <c r="P75" s="579"/>
      <c r="Q75" s="598" t="str">
        <f t="shared" si="138"/>
        <v/>
      </c>
      <c r="R75" s="605" t="str">
        <f t="shared" si="139"/>
        <v/>
      </c>
      <c r="S75" s="606" t="str">
        <f t="shared" si="140"/>
        <v/>
      </c>
      <c r="T75" s="580">
        <f t="shared" ca="1" si="124"/>
        <v>26.035502958579883</v>
      </c>
      <c r="U75" s="607" t="str">
        <f t="shared" si="141"/>
        <v/>
      </c>
      <c r="V75" s="579"/>
      <c r="W75" s="598" t="str">
        <f t="shared" si="142"/>
        <v/>
      </c>
      <c r="X75" s="605" t="str">
        <f t="shared" si="143"/>
        <v/>
      </c>
      <c r="Y75" s="606" t="str">
        <f t="shared" si="144"/>
        <v/>
      </c>
      <c r="Z75" s="580">
        <f t="shared" ca="1" si="125"/>
        <v>26.760563380281699</v>
      </c>
      <c r="AA75" s="607" t="str">
        <f t="shared" si="145"/>
        <v/>
      </c>
      <c r="AB75" s="579"/>
      <c r="AC75" s="598" t="str">
        <f t="shared" si="146"/>
        <v/>
      </c>
      <c r="AD75" s="605" t="str">
        <f t="shared" si="147"/>
        <v/>
      </c>
      <c r="AE75" s="606" t="str">
        <f t="shared" si="148"/>
        <v/>
      </c>
      <c r="AF75" s="580">
        <f t="shared" ca="1" si="126"/>
        <v>3.7037037037036979</v>
      </c>
      <c r="AG75" s="607" t="str">
        <f t="shared" si="149"/>
        <v/>
      </c>
      <c r="AH75" s="579"/>
      <c r="AI75" s="598" t="str">
        <f t="shared" si="150"/>
        <v/>
      </c>
      <c r="AJ75" s="605" t="str">
        <f t="shared" si="151"/>
        <v/>
      </c>
      <c r="AK75" s="606" t="str">
        <f t="shared" si="152"/>
        <v/>
      </c>
      <c r="AL75" s="580">
        <f t="shared" ca="1" si="127"/>
        <v>-6.7857142857142723</v>
      </c>
      <c r="AM75" s="607" t="str">
        <f t="shared" si="153"/>
        <v/>
      </c>
      <c r="AN75" s="579"/>
      <c r="AO75" s="598" t="str">
        <f t="shared" si="154"/>
        <v/>
      </c>
      <c r="AP75" s="605" t="str">
        <f t="shared" si="155"/>
        <v/>
      </c>
      <c r="AQ75" s="606" t="str">
        <f t="shared" si="156"/>
        <v/>
      </c>
      <c r="AR75" s="580">
        <f t="shared" ca="1" si="128"/>
        <v>2.6819923371647514</v>
      </c>
      <c r="AS75" s="607" t="str">
        <f t="shared" si="157"/>
        <v/>
      </c>
      <c r="AT75" s="579"/>
      <c r="AU75" s="598" t="str">
        <f t="shared" si="158"/>
        <v/>
      </c>
      <c r="AV75" s="605" t="str">
        <f t="shared" si="159"/>
        <v/>
      </c>
      <c r="AW75" s="606" t="str">
        <f t="shared" si="160"/>
        <v/>
      </c>
      <c r="AX75" s="580">
        <f t="shared" ca="1" si="129"/>
        <v>3.7313432835820892</v>
      </c>
      <c r="AY75" s="607" t="str">
        <f t="shared" si="161"/>
        <v/>
      </c>
      <c r="AZ75" s="579"/>
      <c r="BA75" s="598" t="str">
        <f t="shared" si="162"/>
        <v/>
      </c>
      <c r="BB75" s="605" t="str">
        <f t="shared" si="163"/>
        <v/>
      </c>
      <c r="BC75" s="606" t="str">
        <f t="shared" si="164"/>
        <v/>
      </c>
      <c r="BD75" s="580">
        <f t="shared" ca="1" si="130"/>
        <v>3.9568345323740983</v>
      </c>
      <c r="BE75" s="607" t="str">
        <f t="shared" si="165"/>
        <v/>
      </c>
      <c r="BF75" s="579"/>
      <c r="BG75" s="598" t="str">
        <f t="shared" si="166"/>
        <v/>
      </c>
      <c r="BH75" s="605" t="str">
        <f t="shared" si="167"/>
        <v/>
      </c>
      <c r="BI75" s="606" t="str">
        <f t="shared" si="168"/>
        <v/>
      </c>
      <c r="BJ75" s="580">
        <f t="shared" ca="1" si="131"/>
        <v>1701.0380622837367</v>
      </c>
      <c r="BK75" s="607" t="str">
        <f t="shared" si="169"/>
        <v/>
      </c>
      <c r="BL75" s="579"/>
      <c r="BM75" s="598" t="str">
        <f t="shared" si="170"/>
        <v/>
      </c>
      <c r="BN75" s="605" t="str">
        <f t="shared" si="171"/>
        <v/>
      </c>
      <c r="BO75" s="606" t="str">
        <f t="shared" si="172"/>
        <v/>
      </c>
      <c r="BP75" s="580">
        <f t="shared" ca="1" si="132"/>
        <v>16.388088376560983</v>
      </c>
      <c r="BQ75" s="607" t="str">
        <f t="shared" si="173"/>
        <v/>
      </c>
      <c r="BR75" s="579"/>
      <c r="BS75" s="598" t="str">
        <f t="shared" si="174"/>
        <v/>
      </c>
      <c r="BT75" s="605" t="str">
        <f t="shared" si="175"/>
        <v/>
      </c>
      <c r="BU75" s="606" t="str">
        <f t="shared" si="176"/>
        <v/>
      </c>
      <c r="BV75" s="580">
        <f t="shared" ca="1" si="133"/>
        <v>19.049191152195455</v>
      </c>
      <c r="BW75" s="607" t="str">
        <f t="shared" si="177"/>
        <v/>
      </c>
      <c r="BX75" s="579"/>
      <c r="BY75" s="598" t="str">
        <f t="shared" si="178"/>
        <v/>
      </c>
      <c r="BZ75" s="605" t="str">
        <f t="shared" si="179"/>
        <v/>
      </c>
      <c r="CA75" s="606" t="str">
        <f t="shared" si="180"/>
        <v/>
      </c>
      <c r="CB75" s="580">
        <f t="shared" ca="1" si="134"/>
        <v>26.136993899057103</v>
      </c>
      <c r="CC75" s="607" t="str">
        <f t="shared" si="181"/>
        <v/>
      </c>
      <c r="CD75" s="579"/>
      <c r="CE75" s="598" t="str">
        <f t="shared" si="182"/>
        <v/>
      </c>
      <c r="CF75" s="605" t="str">
        <f t="shared" si="183"/>
        <v/>
      </c>
      <c r="CG75" s="606" t="str">
        <f t="shared" si="184"/>
        <v/>
      </c>
      <c r="CH75" s="580">
        <f t="shared" ca="1" si="135"/>
        <v>22.765746949543807</v>
      </c>
      <c r="CI75" s="607" t="str">
        <f t="shared" si="185"/>
        <v/>
      </c>
      <c r="CJ75" s="579"/>
      <c r="CK75" s="598" t="str">
        <f t="shared" si="186"/>
        <v/>
      </c>
      <c r="CL75" s="605" t="str">
        <f t="shared" si="187"/>
        <v/>
      </c>
      <c r="CM75" s="606" t="str">
        <f t="shared" si="188"/>
        <v/>
      </c>
      <c r="CN75" s="580">
        <f t="shared" ca="1" si="136"/>
        <v>5.9455587392550191</v>
      </c>
      <c r="CO75" s="607" t="str">
        <f t="shared" si="189"/>
        <v/>
      </c>
      <c r="CP75" s="579"/>
      <c r="CQ75" s="598" t="str">
        <f t="shared" si="190"/>
        <v/>
      </c>
      <c r="CR75" s="605" t="str">
        <f t="shared" si="191"/>
        <v/>
      </c>
      <c r="CS75" s="606" t="str">
        <f t="shared" si="192"/>
        <v/>
      </c>
      <c r="CT75" s="580">
        <f t="shared" ca="1" si="42"/>
        <v>-13.007099391480725</v>
      </c>
      <c r="CU75" s="607" t="str">
        <f t="shared" si="193"/>
        <v/>
      </c>
      <c r="CV75" s="579"/>
      <c r="CW75" s="598" t="str">
        <f t="shared" si="194"/>
        <v/>
      </c>
      <c r="CX75" s="605" t="str">
        <f t="shared" si="195"/>
        <v/>
      </c>
      <c r="CY75" s="606" t="str">
        <f t="shared" si="196"/>
        <v/>
      </c>
      <c r="CZ75" s="580">
        <f t="shared" ca="1" si="47"/>
        <v>4.7022248129796829</v>
      </c>
      <c r="DA75" s="607" t="str">
        <f t="shared" si="197"/>
        <v/>
      </c>
      <c r="DB75" s="579"/>
      <c r="DC75" s="598" t="str">
        <f t="shared" si="198"/>
        <v/>
      </c>
      <c r="DD75" s="605" t="str">
        <f t="shared" si="199"/>
        <v/>
      </c>
      <c r="DE75" s="606" t="str">
        <f t="shared" si="200"/>
        <v/>
      </c>
      <c r="DF75" s="580">
        <f t="shared" ca="1" si="52"/>
        <v>5.2890414772200245</v>
      </c>
      <c r="DG75" s="607" t="str">
        <f t="shared" si="201"/>
        <v/>
      </c>
      <c r="DH75" s="579"/>
      <c r="DI75" s="598" t="str">
        <f t="shared" si="202"/>
        <v/>
      </c>
      <c r="DJ75" s="605" t="str">
        <f t="shared" si="203"/>
        <v/>
      </c>
      <c r="DK75" s="606" t="str">
        <f t="shared" si="204"/>
        <v/>
      </c>
      <c r="DL75" s="580">
        <f t="shared" ca="1" si="57"/>
        <v>-13.184101524632064</v>
      </c>
      <c r="DM75" s="607" t="str">
        <f t="shared" si="205"/>
        <v/>
      </c>
      <c r="DN75" s="579"/>
      <c r="DO75" s="598" t="str">
        <f t="shared" si="206"/>
        <v/>
      </c>
      <c r="DP75" s="605" t="str">
        <f t="shared" si="207"/>
        <v/>
      </c>
      <c r="DQ75" s="606" t="str">
        <f t="shared" si="208"/>
        <v/>
      </c>
      <c r="DR75" s="580">
        <f t="shared" ca="1" si="62"/>
        <v>10.760328900619221</v>
      </c>
      <c r="DS75" s="607" t="str">
        <f t="shared" si="209"/>
        <v/>
      </c>
      <c r="DT75" s="579"/>
      <c r="DU75" s="598" t="str">
        <f t="shared" si="210"/>
        <v/>
      </c>
      <c r="DV75" s="605" t="str">
        <f t="shared" si="211"/>
        <v/>
      </c>
      <c r="DW75" s="606" t="str">
        <f t="shared" si="212"/>
        <v/>
      </c>
      <c r="DX75" s="580">
        <f t="shared" ca="1" si="67"/>
        <v>6.534689762624879</v>
      </c>
      <c r="DY75" s="607" t="str">
        <f t="shared" si="213"/>
        <v/>
      </c>
      <c r="DZ75" s="579"/>
      <c r="EA75" s="598" t="str">
        <f t="shared" si="214"/>
        <v/>
      </c>
      <c r="EB75" s="605" t="str">
        <f t="shared" si="215"/>
        <v/>
      </c>
      <c r="EC75" s="606" t="str">
        <f t="shared" si="216"/>
        <v/>
      </c>
      <c r="ED75" s="580">
        <f t="shared" ca="1" si="72"/>
        <v>10.383688919476963</v>
      </c>
      <c r="EE75" s="607" t="str">
        <f t="shared" si="217"/>
        <v/>
      </c>
      <c r="EF75" s="579"/>
      <c r="EG75" s="598" t="str">
        <f t="shared" si="218"/>
        <v/>
      </c>
      <c r="EH75" s="605" t="str">
        <f t="shared" si="219"/>
        <v/>
      </c>
      <c r="EI75" s="606" t="str">
        <f t="shared" si="220"/>
        <v/>
      </c>
      <c r="EJ75" s="580">
        <f t="shared" ca="1" si="77"/>
        <v>12.388380313796832</v>
      </c>
      <c r="EK75" s="607" t="str">
        <f t="shared" si="221"/>
        <v/>
      </c>
      <c r="EL75" s="579"/>
      <c r="EM75" s="598" t="str">
        <f t="shared" si="222"/>
        <v/>
      </c>
      <c r="EN75" s="605" t="str">
        <f t="shared" si="223"/>
        <v/>
      </c>
      <c r="EO75" s="606" t="str">
        <f t="shared" si="224"/>
        <v/>
      </c>
      <c r="EP75" s="580">
        <f t="shared" ca="1" si="82"/>
        <v>6.6999999999999948</v>
      </c>
      <c r="EQ75" s="607" t="str">
        <f t="shared" si="225"/>
        <v/>
      </c>
      <c r="ER75" s="579"/>
      <c r="ES75" s="598" t="str">
        <f t="shared" si="226"/>
        <v/>
      </c>
      <c r="ET75" s="605" t="str">
        <f t="shared" si="227"/>
        <v/>
      </c>
      <c r="EU75" s="606" t="str">
        <f t="shared" si="228"/>
        <v/>
      </c>
      <c r="EV75" s="580">
        <f t="shared" ca="1" si="87"/>
        <v>5.7330199408850868</v>
      </c>
      <c r="EW75" s="607" t="str">
        <f t="shared" si="229"/>
        <v/>
      </c>
      <c r="EX75" s="579"/>
    </row>
    <row r="76" spans="2:154">
      <c r="B76" s="600" t="s">
        <v>1767</v>
      </c>
      <c r="C76" s="3781" t="s">
        <v>1335</v>
      </c>
      <c r="D76" s="3782"/>
      <c r="E76" s="601"/>
      <c r="F76" s="603"/>
      <c r="G76" s="602"/>
      <c r="H76" s="602"/>
      <c r="I76" s="602"/>
      <c r="J76" s="604"/>
      <c r="K76" s="601">
        <f t="shared" ca="1" si="137"/>
        <v>31.068841996589967</v>
      </c>
      <c r="L76" s="603">
        <f t="shared" ca="1" si="137"/>
        <v>31.068841996589967</v>
      </c>
      <c r="M76" s="602" t="str">
        <f t="shared" si="137"/>
        <v/>
      </c>
      <c r="N76" s="602" t="str">
        <f t="shared" si="137"/>
        <v/>
      </c>
      <c r="O76" s="602" t="str">
        <f t="shared" si="137"/>
        <v/>
      </c>
      <c r="P76" s="604"/>
      <c r="Q76" s="601">
        <f t="shared" ca="1" si="138"/>
        <v>35.674475779021634</v>
      </c>
      <c r="R76" s="603">
        <f t="shared" ca="1" si="139"/>
        <v>35.674475779021634</v>
      </c>
      <c r="S76" s="602" t="str">
        <f t="shared" si="140"/>
        <v/>
      </c>
      <c r="T76" s="602" t="str">
        <f t="shared" si="124"/>
        <v/>
      </c>
      <c r="U76" s="602" t="str">
        <f t="shared" si="141"/>
        <v/>
      </c>
      <c r="V76" s="604"/>
      <c r="W76" s="601">
        <f t="shared" ca="1" si="142"/>
        <v>24.827810666502458</v>
      </c>
      <c r="X76" s="603">
        <f t="shared" ca="1" si="143"/>
        <v>24.827810666502458</v>
      </c>
      <c r="Y76" s="602" t="str">
        <f t="shared" si="144"/>
        <v/>
      </c>
      <c r="Z76" s="602" t="str">
        <f t="shared" si="125"/>
        <v/>
      </c>
      <c r="AA76" s="602" t="str">
        <f t="shared" si="145"/>
        <v/>
      </c>
      <c r="AB76" s="604"/>
      <c r="AC76" s="601">
        <f t="shared" ca="1" si="146"/>
        <v>11.62866082250471</v>
      </c>
      <c r="AD76" s="603">
        <f t="shared" ca="1" si="147"/>
        <v>11.62866082250471</v>
      </c>
      <c r="AE76" s="602" t="str">
        <f t="shared" si="148"/>
        <v/>
      </c>
      <c r="AF76" s="602" t="str">
        <f t="shared" si="126"/>
        <v/>
      </c>
      <c r="AG76" s="602" t="str">
        <f t="shared" si="149"/>
        <v/>
      </c>
      <c r="AH76" s="604"/>
      <c r="AI76" s="601">
        <f t="shared" ca="1" si="150"/>
        <v>-1.0378132693642961</v>
      </c>
      <c r="AJ76" s="603">
        <f t="shared" ca="1" si="151"/>
        <v>-1.0378132693642961</v>
      </c>
      <c r="AK76" s="602" t="str">
        <f t="shared" si="152"/>
        <v/>
      </c>
      <c r="AL76" s="602" t="str">
        <f t="shared" si="127"/>
        <v/>
      </c>
      <c r="AM76" s="602" t="str">
        <f t="shared" si="153"/>
        <v/>
      </c>
      <c r="AN76" s="604"/>
      <c r="AO76" s="601">
        <f t="shared" ca="1" si="154"/>
        <v>4.0168148705714168</v>
      </c>
      <c r="AP76" s="603">
        <f t="shared" ca="1" si="155"/>
        <v>4.0168148705714168</v>
      </c>
      <c r="AQ76" s="602" t="str">
        <f t="shared" si="156"/>
        <v/>
      </c>
      <c r="AR76" s="602" t="str">
        <f t="shared" si="128"/>
        <v/>
      </c>
      <c r="AS76" s="602" t="str">
        <f t="shared" si="157"/>
        <v/>
      </c>
      <c r="AT76" s="604"/>
      <c r="AU76" s="601">
        <f t="shared" ca="1" si="158"/>
        <v>-5.0385433850720247</v>
      </c>
      <c r="AV76" s="603">
        <f t="shared" ca="1" si="159"/>
        <v>-5.0385433850720247</v>
      </c>
      <c r="AW76" s="602" t="str">
        <f t="shared" si="160"/>
        <v/>
      </c>
      <c r="AX76" s="602" t="str">
        <f t="shared" si="129"/>
        <v/>
      </c>
      <c r="AY76" s="602" t="str">
        <f t="shared" si="161"/>
        <v/>
      </c>
      <c r="AZ76" s="604"/>
      <c r="BA76" s="601">
        <f t="shared" ca="1" si="162"/>
        <v>7.212926307903933</v>
      </c>
      <c r="BB76" s="603">
        <f t="shared" ca="1" si="163"/>
        <v>7.212926307903933</v>
      </c>
      <c r="BC76" s="602" t="str">
        <f t="shared" si="164"/>
        <v/>
      </c>
      <c r="BD76" s="602" t="str">
        <f t="shared" si="130"/>
        <v/>
      </c>
      <c r="BE76" s="602" t="str">
        <f t="shared" si="165"/>
        <v/>
      </c>
      <c r="BF76" s="604"/>
      <c r="BG76" s="601">
        <f t="shared" ca="1" si="166"/>
        <v>9.0370807632999206</v>
      </c>
      <c r="BH76" s="603">
        <f t="shared" ca="1" si="167"/>
        <v>9.0370807632999206</v>
      </c>
      <c r="BI76" s="602" t="str">
        <f t="shared" si="168"/>
        <v/>
      </c>
      <c r="BJ76" s="602" t="str">
        <f t="shared" si="131"/>
        <v/>
      </c>
      <c r="BK76" s="602" t="str">
        <f t="shared" si="169"/>
        <v/>
      </c>
      <c r="BL76" s="604"/>
      <c r="BM76" s="601">
        <f t="shared" ca="1" si="170"/>
        <v>14.821648556228894</v>
      </c>
      <c r="BN76" s="603">
        <f t="shared" ca="1" si="171"/>
        <v>14.821648556228894</v>
      </c>
      <c r="BO76" s="602" t="str">
        <f t="shared" si="172"/>
        <v/>
      </c>
      <c r="BP76" s="602" t="str">
        <f t="shared" si="132"/>
        <v/>
      </c>
      <c r="BQ76" s="602" t="str">
        <f t="shared" si="173"/>
        <v/>
      </c>
      <c r="BR76" s="604"/>
      <c r="BS76" s="601">
        <f t="shared" ca="1" si="174"/>
        <v>13.033981399958638</v>
      </c>
      <c r="BT76" s="603">
        <f t="shared" ca="1" si="175"/>
        <v>13.033981399958638</v>
      </c>
      <c r="BU76" s="602" t="str">
        <f t="shared" si="176"/>
        <v/>
      </c>
      <c r="BV76" s="602" t="str">
        <f t="shared" si="133"/>
        <v/>
      </c>
      <c r="BW76" s="602" t="str">
        <f t="shared" si="177"/>
        <v/>
      </c>
      <c r="BX76" s="604"/>
      <c r="BY76" s="601">
        <f t="shared" ca="1" si="178"/>
        <v>26.632757299736088</v>
      </c>
      <c r="BZ76" s="603">
        <f t="shared" ca="1" si="179"/>
        <v>26.632757299736088</v>
      </c>
      <c r="CA76" s="602" t="str">
        <f t="shared" si="180"/>
        <v/>
      </c>
      <c r="CB76" s="602" t="str">
        <f t="shared" si="134"/>
        <v/>
      </c>
      <c r="CC76" s="602" t="str">
        <f t="shared" si="181"/>
        <v/>
      </c>
      <c r="CD76" s="604"/>
      <c r="CE76" s="601">
        <f t="shared" ca="1" si="182"/>
        <v>33.085163237661796</v>
      </c>
      <c r="CF76" s="603">
        <f t="shared" ca="1" si="183"/>
        <v>33.085163237661796</v>
      </c>
      <c r="CG76" s="602" t="str">
        <f t="shared" si="184"/>
        <v/>
      </c>
      <c r="CH76" s="602" t="str">
        <f t="shared" si="135"/>
        <v/>
      </c>
      <c r="CI76" s="602" t="str">
        <f t="shared" si="185"/>
        <v/>
      </c>
      <c r="CJ76" s="604"/>
      <c r="CK76" s="601">
        <f t="shared" ca="1" si="186"/>
        <v>13.844669561022682</v>
      </c>
      <c r="CL76" s="603">
        <f t="shared" ca="1" si="187"/>
        <v>13.844669561022682</v>
      </c>
      <c r="CM76" s="602" t="str">
        <f t="shared" si="188"/>
        <v/>
      </c>
      <c r="CN76" s="602" t="str">
        <f t="shared" si="136"/>
        <v/>
      </c>
      <c r="CO76" s="602" t="str">
        <f t="shared" si="189"/>
        <v/>
      </c>
      <c r="CP76" s="604"/>
      <c r="CQ76" s="601">
        <f t="shared" ca="1" si="190"/>
        <v>-7.7293903629425902</v>
      </c>
      <c r="CR76" s="603">
        <f t="shared" ca="1" si="191"/>
        <v>-7.7293903629425902</v>
      </c>
      <c r="CS76" s="602" t="str">
        <f t="shared" si="192"/>
        <v/>
      </c>
      <c r="CT76" s="602" t="str">
        <f t="shared" si="42"/>
        <v/>
      </c>
      <c r="CU76" s="602" t="str">
        <f t="shared" si="193"/>
        <v/>
      </c>
      <c r="CV76" s="604"/>
      <c r="CW76" s="601">
        <f t="shared" ca="1" si="194"/>
        <v>-1.852283737939342</v>
      </c>
      <c r="CX76" s="603">
        <f t="shared" ca="1" si="195"/>
        <v>-1.852283737939342</v>
      </c>
      <c r="CY76" s="602" t="str">
        <f t="shared" si="196"/>
        <v/>
      </c>
      <c r="CZ76" s="602" t="str">
        <f t="shared" si="47"/>
        <v/>
      </c>
      <c r="DA76" s="602" t="str">
        <f t="shared" si="197"/>
        <v/>
      </c>
      <c r="DB76" s="604"/>
      <c r="DC76" s="601">
        <f t="shared" ca="1" si="198"/>
        <v>1.4845118381245248</v>
      </c>
      <c r="DD76" s="603">
        <f t="shared" ca="1" si="199"/>
        <v>1.4845118381245248</v>
      </c>
      <c r="DE76" s="602" t="str">
        <f t="shared" si="200"/>
        <v/>
      </c>
      <c r="DF76" s="602" t="str">
        <f t="shared" si="52"/>
        <v/>
      </c>
      <c r="DG76" s="602" t="str">
        <f t="shared" si="201"/>
        <v/>
      </c>
      <c r="DH76" s="604"/>
      <c r="DI76" s="601">
        <f t="shared" ca="1" si="202"/>
        <v>-0.78836521634180201</v>
      </c>
      <c r="DJ76" s="603">
        <f t="shared" ca="1" si="203"/>
        <v>-0.78836521634180201</v>
      </c>
      <c r="DK76" s="602" t="str">
        <f t="shared" si="204"/>
        <v/>
      </c>
      <c r="DL76" s="602" t="str">
        <f t="shared" si="57"/>
        <v/>
      </c>
      <c r="DM76" s="602" t="str">
        <f t="shared" si="205"/>
        <v/>
      </c>
      <c r="DN76" s="604"/>
      <c r="DO76" s="601">
        <f t="shared" ca="1" si="206"/>
        <v>0.54086406867002168</v>
      </c>
      <c r="DP76" s="603">
        <f t="shared" ca="1" si="207"/>
        <v>0.54086406867002168</v>
      </c>
      <c r="DQ76" s="602" t="str">
        <f t="shared" si="208"/>
        <v/>
      </c>
      <c r="DR76" s="602" t="str">
        <f t="shared" si="62"/>
        <v/>
      </c>
      <c r="DS76" s="602" t="str">
        <f t="shared" si="209"/>
        <v/>
      </c>
      <c r="DT76" s="604"/>
      <c r="DU76" s="601">
        <f t="shared" ca="1" si="210"/>
        <v>2.5295717659813421</v>
      </c>
      <c r="DV76" s="603">
        <f t="shared" ca="1" si="211"/>
        <v>2.5295717659813421</v>
      </c>
      <c r="DW76" s="602" t="str">
        <f t="shared" si="212"/>
        <v/>
      </c>
      <c r="DX76" s="602" t="str">
        <f t="shared" si="67"/>
        <v/>
      </c>
      <c r="DY76" s="602" t="str">
        <f t="shared" si="213"/>
        <v/>
      </c>
      <c r="DZ76" s="604"/>
      <c r="EA76" s="601">
        <f t="shared" ca="1" si="214"/>
        <v>5.1755431511618211</v>
      </c>
      <c r="EB76" s="603">
        <f t="shared" ca="1" si="215"/>
        <v>5.1755431511618211</v>
      </c>
      <c r="EC76" s="602" t="str">
        <f t="shared" si="216"/>
        <v/>
      </c>
      <c r="ED76" s="602" t="str">
        <f t="shared" si="72"/>
        <v/>
      </c>
      <c r="EE76" s="602" t="str">
        <f t="shared" si="217"/>
        <v/>
      </c>
      <c r="EF76" s="604"/>
      <c r="EG76" s="601">
        <f t="shared" ca="1" si="218"/>
        <v>11.656976344945068</v>
      </c>
      <c r="EH76" s="603">
        <f t="shared" ca="1" si="219"/>
        <v>11.656976344945068</v>
      </c>
      <c r="EI76" s="602" t="str">
        <f t="shared" si="220"/>
        <v/>
      </c>
      <c r="EJ76" s="602" t="str">
        <f t="shared" si="77"/>
        <v/>
      </c>
      <c r="EK76" s="602" t="str">
        <f t="shared" si="221"/>
        <v/>
      </c>
      <c r="EL76" s="604"/>
      <c r="EM76" s="601">
        <f t="shared" ca="1" si="222"/>
        <v>11.68588141609268</v>
      </c>
      <c r="EN76" s="603">
        <f t="shared" ca="1" si="223"/>
        <v>11.68588141609268</v>
      </c>
      <c r="EO76" s="602" t="str">
        <f t="shared" si="224"/>
        <v/>
      </c>
      <c r="EP76" s="602" t="str">
        <f t="shared" si="82"/>
        <v/>
      </c>
      <c r="EQ76" s="602" t="str">
        <f t="shared" si="225"/>
        <v/>
      </c>
      <c r="ER76" s="604"/>
      <c r="ES76" s="601">
        <f t="shared" ca="1" si="226"/>
        <v>5.9367827339498191</v>
      </c>
      <c r="ET76" s="603">
        <f t="shared" ca="1" si="227"/>
        <v>5.9367827339498191</v>
      </c>
      <c r="EU76" s="602" t="str">
        <f t="shared" si="228"/>
        <v/>
      </c>
      <c r="EV76" s="602" t="str">
        <f t="shared" si="87"/>
        <v/>
      </c>
      <c r="EW76" s="602" t="str">
        <f t="shared" si="229"/>
        <v/>
      </c>
      <c r="EX76" s="604"/>
    </row>
    <row r="77" spans="2:154">
      <c r="B77" s="600" t="s">
        <v>1767</v>
      </c>
      <c r="C77" s="3781" t="s">
        <v>1336</v>
      </c>
      <c r="D77" s="3782"/>
      <c r="E77" s="601"/>
      <c r="F77" s="603"/>
      <c r="G77" s="603"/>
      <c r="H77" s="603"/>
      <c r="I77" s="603"/>
      <c r="J77" s="604"/>
      <c r="K77" s="601">
        <f t="shared" ca="1" si="137"/>
        <v>74.25419552330203</v>
      </c>
      <c r="L77" s="603">
        <f t="shared" ca="1" si="137"/>
        <v>-21.107719145224589</v>
      </c>
      <c r="M77" s="603">
        <f t="shared" ca="1" si="137"/>
        <v>-16.253443526170809</v>
      </c>
      <c r="N77" s="603">
        <f t="shared" ca="1" si="137"/>
        <v>45.90382351118545</v>
      </c>
      <c r="O77" s="603">
        <f t="shared" ca="1" si="137"/>
        <v>31.578947368421041</v>
      </c>
      <c r="P77" s="604"/>
      <c r="Q77" s="601">
        <f t="shared" ca="1" si="138"/>
        <v>52.596707960937231</v>
      </c>
      <c r="R77" s="603">
        <f t="shared" ca="1" si="139"/>
        <v>65.273631840796014</v>
      </c>
      <c r="S77" s="603">
        <f t="shared" ca="1" si="140"/>
        <v>524.61622807017557</v>
      </c>
      <c r="T77" s="603">
        <f t="shared" ca="1" si="124"/>
        <v>31.87793327528723</v>
      </c>
      <c r="U77" s="603">
        <f t="shared" ca="1" si="141"/>
        <v>59.999999999999943</v>
      </c>
      <c r="V77" s="604"/>
      <c r="W77" s="601">
        <f t="shared" ca="1" si="142"/>
        <v>-22.037041224757481</v>
      </c>
      <c r="X77" s="603">
        <f t="shared" ca="1" si="143"/>
        <v>23.071777376413106</v>
      </c>
      <c r="Y77" s="603">
        <f t="shared" ca="1" si="144"/>
        <v>14.17537084174494</v>
      </c>
      <c r="Z77" s="603">
        <f t="shared" ca="1" si="125"/>
        <v>-39.539452495974238</v>
      </c>
      <c r="AA77" s="603">
        <f t="shared" ca="1" si="145"/>
        <v>2.1739130434782927</v>
      </c>
      <c r="AB77" s="604"/>
      <c r="AC77" s="601">
        <f t="shared" ca="1" si="146"/>
        <v>-17.64270797076226</v>
      </c>
      <c r="AD77" s="603">
        <f t="shared" ca="1" si="147"/>
        <v>-3.9515164691814153</v>
      </c>
      <c r="AE77" s="603">
        <f t="shared" ca="1" si="148"/>
        <v>21.2792127921279</v>
      </c>
      <c r="AF77" s="603">
        <f t="shared" ca="1" si="126"/>
        <v>-37.836254194854305</v>
      </c>
      <c r="AG77" s="603">
        <f t="shared" ca="1" si="149"/>
        <v>-30.638297872340438</v>
      </c>
      <c r="AH77" s="604"/>
      <c r="AI77" s="601">
        <f t="shared" ca="1" si="150"/>
        <v>-1.3048761160124767</v>
      </c>
      <c r="AJ77" s="603">
        <f t="shared" ca="1" si="151"/>
        <v>-27.802614453058684</v>
      </c>
      <c r="AK77" s="603">
        <f t="shared" ca="1" si="152"/>
        <v>-24.093559837728186</v>
      </c>
      <c r="AL77" s="603">
        <f t="shared" ca="1" si="127"/>
        <v>34.160239931448167</v>
      </c>
      <c r="AM77" s="603">
        <f t="shared" ca="1" si="153"/>
        <v>34.815950920245385</v>
      </c>
      <c r="AN77" s="604"/>
      <c r="AO77" s="601">
        <f t="shared" ca="1" si="154"/>
        <v>8.7196231666845101</v>
      </c>
      <c r="AP77" s="603">
        <f t="shared" ca="1" si="155"/>
        <v>98.385326853738817</v>
      </c>
      <c r="AQ77" s="603">
        <f t="shared" ca="1" si="156"/>
        <v>5.4864300626304763</v>
      </c>
      <c r="AR77" s="603">
        <f t="shared" ca="1" si="128"/>
        <v>-26.576821128604735</v>
      </c>
      <c r="AS77" s="603">
        <f t="shared" ca="1" si="157"/>
        <v>7.7360637087599438</v>
      </c>
      <c r="AT77" s="604"/>
      <c r="AU77" s="601">
        <f t="shared" ca="1" si="158"/>
        <v>-2.4830551589450467</v>
      </c>
      <c r="AV77" s="603">
        <f t="shared" ca="1" si="159"/>
        <v>-21.232714342157244</v>
      </c>
      <c r="AW77" s="603">
        <f t="shared" ca="1" si="160"/>
        <v>55.066497783407243</v>
      </c>
      <c r="AX77" s="603">
        <f t="shared" ca="1" si="129"/>
        <v>-13.461789395850554</v>
      </c>
      <c r="AY77" s="603">
        <f t="shared" ca="1" si="161"/>
        <v>-23.653643083421315</v>
      </c>
      <c r="AZ77" s="604"/>
      <c r="BA77" s="601">
        <f t="shared" ca="1" si="162"/>
        <v>-14.153483675530133</v>
      </c>
      <c r="BB77" s="603">
        <f t="shared" ca="1" si="163"/>
        <v>6.1145666131621201</v>
      </c>
      <c r="BC77" s="603">
        <f t="shared" ca="1" si="164"/>
        <v>-24.377169695732093</v>
      </c>
      <c r="BD77" s="603">
        <f t="shared" ca="1" si="130"/>
        <v>-24.396863691194216</v>
      </c>
      <c r="BE77" s="603">
        <f t="shared" ca="1" si="165"/>
        <v>7.3305670816044222</v>
      </c>
      <c r="BF77" s="604"/>
      <c r="BG77" s="601">
        <f t="shared" ca="1" si="166"/>
        <v>33.805136247794529</v>
      </c>
      <c r="BH77" s="603">
        <f t="shared" ca="1" si="167"/>
        <v>68.00756322382415</v>
      </c>
      <c r="BI77" s="603">
        <f t="shared" ca="1" si="168"/>
        <v>24.978059812327015</v>
      </c>
      <c r="BJ77" s="603">
        <f t="shared" ca="1" si="131"/>
        <v>-5.6043079377742222</v>
      </c>
      <c r="BK77" s="603">
        <f t="shared" ca="1" si="169"/>
        <v>16.365979381443307</v>
      </c>
      <c r="BL77" s="604"/>
      <c r="BM77" s="601">
        <f t="shared" ca="1" si="170"/>
        <v>57.14829900079117</v>
      </c>
      <c r="BN77" s="603">
        <f t="shared" ca="1" si="171"/>
        <v>78.144167463845562</v>
      </c>
      <c r="BO77" s="603">
        <f t="shared" ca="1" si="172"/>
        <v>6.8330362448009607</v>
      </c>
      <c r="BP77" s="603">
        <f t="shared" ca="1" si="132"/>
        <v>70.195084160856382</v>
      </c>
      <c r="BQ77" s="603">
        <f t="shared" ca="1" si="173"/>
        <v>10.887264673311181</v>
      </c>
      <c r="BR77" s="604"/>
      <c r="BS77" s="601">
        <f t="shared" ca="1" si="174"/>
        <v>11.543911989558087</v>
      </c>
      <c r="BT77" s="603">
        <f t="shared" ca="1" si="175"/>
        <v>-0.32219344241580794</v>
      </c>
      <c r="BU77" s="603">
        <f t="shared" ca="1" si="176"/>
        <v>79.664273435129914</v>
      </c>
      <c r="BV77" s="603">
        <f t="shared" ca="1" si="133"/>
        <v>-13.117603244227416</v>
      </c>
      <c r="BW77" s="603">
        <f t="shared" ca="1" si="177"/>
        <v>53.793103448275879</v>
      </c>
      <c r="BX77" s="604"/>
      <c r="BY77" s="601">
        <f t="shared" ca="1" si="178"/>
        <v>22.611624680296206</v>
      </c>
      <c r="BZ77" s="603">
        <f t="shared" ca="1" si="179"/>
        <v>31.648497908480167</v>
      </c>
      <c r="CA77" s="603">
        <f t="shared" ca="1" si="180"/>
        <v>9.5514155456745584</v>
      </c>
      <c r="CB77" s="603">
        <f t="shared" ca="1" si="134"/>
        <v>17.550962088016764</v>
      </c>
      <c r="CC77" s="603">
        <f t="shared" ca="1" si="181"/>
        <v>22.197309417040366</v>
      </c>
      <c r="CD77" s="604"/>
      <c r="CE77" s="601">
        <f t="shared" ca="1" si="182"/>
        <v>34.88803299362624</v>
      </c>
      <c r="CF77" s="603">
        <f t="shared" ca="1" si="183"/>
        <v>47.160773174782754</v>
      </c>
      <c r="CG77" s="603">
        <f t="shared" ca="1" si="184"/>
        <v>19.746711878339497</v>
      </c>
      <c r="CH77" s="603">
        <f t="shared" ca="1" si="135"/>
        <v>17.45472225598639</v>
      </c>
      <c r="CI77" s="603">
        <f t="shared" ca="1" si="185"/>
        <v>8.2568807339449499</v>
      </c>
      <c r="CJ77" s="604"/>
      <c r="CK77" s="601">
        <f t="shared" ca="1" si="186"/>
        <v>-10.404095535542822</v>
      </c>
      <c r="CL77" s="603">
        <f t="shared" ca="1" si="187"/>
        <v>-11.458248139363715</v>
      </c>
      <c r="CM77" s="603">
        <f t="shared" ca="1" si="188"/>
        <v>-10.155529336050616</v>
      </c>
      <c r="CN77" s="603">
        <f t="shared" ca="1" si="136"/>
        <v>-6.3575839111387094</v>
      </c>
      <c r="CO77" s="603">
        <f t="shared" ca="1" si="189"/>
        <v>-14.915254237288133</v>
      </c>
      <c r="CP77" s="604"/>
      <c r="CQ77" s="601">
        <f t="shared" ca="1" si="190"/>
        <v>17.633554631755288</v>
      </c>
      <c r="CR77" s="603">
        <f t="shared" ca="1" si="191"/>
        <v>18.45187511546278</v>
      </c>
      <c r="CS77" s="603">
        <f t="shared" ca="1" si="192"/>
        <v>-4.0591198872997332</v>
      </c>
      <c r="CT77" s="603">
        <f t="shared" ca="1" si="42"/>
        <v>47.837618802033454</v>
      </c>
      <c r="CU77" s="603">
        <f t="shared" ca="1" si="193"/>
        <v>95.617529880478088</v>
      </c>
      <c r="CV77" s="604"/>
      <c r="CW77" s="601">
        <f t="shared" ca="1" si="194"/>
        <v>1.8796541819908086</v>
      </c>
      <c r="CX77" s="603">
        <f t="shared" ca="1" si="195"/>
        <v>-7.9291306653357712</v>
      </c>
      <c r="CY77" s="603">
        <f t="shared" ca="1" si="196"/>
        <v>10.318309648838998</v>
      </c>
      <c r="CZ77" s="603">
        <f t="shared" ca="1" si="47"/>
        <v>24.773248280673755</v>
      </c>
      <c r="DA77" s="603">
        <f t="shared" ca="1" si="197"/>
        <v>-21.486761710794291</v>
      </c>
      <c r="DB77" s="604"/>
      <c r="DC77" s="601">
        <f t="shared" ca="1" si="198"/>
        <v>-20.675486776894513</v>
      </c>
      <c r="DD77" s="603">
        <f t="shared" ca="1" si="199"/>
        <v>-31.505573059592784</v>
      </c>
      <c r="DE77" s="603">
        <f t="shared" ca="1" si="200"/>
        <v>-9.817943916800143</v>
      </c>
      <c r="DF77" s="603">
        <f t="shared" ca="1" si="52"/>
        <v>-4.7509685665215411</v>
      </c>
      <c r="DG77" s="603">
        <f t="shared" ca="1" si="201"/>
        <v>-49.156939040207526</v>
      </c>
      <c r="DH77" s="604"/>
      <c r="DI77" s="601">
        <f t="shared" ca="1" si="202"/>
        <v>41.293461492820697</v>
      </c>
      <c r="DJ77" s="603">
        <f t="shared" ca="1" si="203"/>
        <v>83.19525163843204</v>
      </c>
      <c r="DK77" s="603">
        <f t="shared" ca="1" si="204"/>
        <v>8.6228893058161393</v>
      </c>
      <c r="DL77" s="603">
        <f t="shared" ca="1" si="57"/>
        <v>-2.371317748191637</v>
      </c>
      <c r="DM77" s="603">
        <f t="shared" ca="1" si="205"/>
        <v>148.97959183673467</v>
      </c>
      <c r="DN77" s="604"/>
      <c r="DO77" s="601">
        <f t="shared" ca="1" si="206"/>
        <v>6.6567003728961627</v>
      </c>
      <c r="DP77" s="603">
        <f t="shared" ca="1" si="207"/>
        <v>9.0604117448531909</v>
      </c>
      <c r="DQ77" s="603">
        <f t="shared" ca="1" si="208"/>
        <v>6.8237299064989987</v>
      </c>
      <c r="DR77" s="603">
        <f t="shared" ca="1" si="62"/>
        <v>-1.1468086934112165</v>
      </c>
      <c r="DS77" s="603">
        <f t="shared" ca="1" si="209"/>
        <v>18.75</v>
      </c>
      <c r="DT77" s="604"/>
      <c r="DU77" s="601">
        <f t="shared" ca="1" si="210"/>
        <v>-4.6592752413499809</v>
      </c>
      <c r="DV77" s="603">
        <f t="shared" ca="1" si="211"/>
        <v>-13.5499124234866</v>
      </c>
      <c r="DW77" s="603">
        <f t="shared" ca="1" si="212"/>
        <v>7.6490244691171716</v>
      </c>
      <c r="DX77" s="603">
        <f t="shared" ca="1" si="67"/>
        <v>14.145122746035188</v>
      </c>
      <c r="DY77" s="603">
        <f t="shared" ca="1" si="213"/>
        <v>-19.154443485763583</v>
      </c>
      <c r="DZ77" s="604"/>
      <c r="EA77" s="601">
        <f t="shared" ca="1" si="214"/>
        <v>-0.3501903747202384</v>
      </c>
      <c r="EB77" s="603">
        <f t="shared" ca="1" si="215"/>
        <v>4.7121993127147599</v>
      </c>
      <c r="EC77" s="603">
        <f t="shared" ca="1" si="216"/>
        <v>-1.0834518254460912</v>
      </c>
      <c r="ED77" s="603">
        <f t="shared" ca="1" si="72"/>
        <v>-13.111665175767484</v>
      </c>
      <c r="EE77" s="603">
        <f t="shared" ca="1" si="217"/>
        <v>-18.134471718249767</v>
      </c>
      <c r="EF77" s="604"/>
      <c r="EG77" s="601">
        <f t="shared" ca="1" si="218"/>
        <v>5.480535419757504</v>
      </c>
      <c r="EH77" s="603">
        <f t="shared" ca="1" si="219"/>
        <v>5.0000000000000044</v>
      </c>
      <c r="EI77" s="603">
        <f t="shared" ca="1" si="220"/>
        <v>5.0000000000000044</v>
      </c>
      <c r="EJ77" s="603">
        <f t="shared" ca="1" si="77"/>
        <v>7.5399999999999912</v>
      </c>
      <c r="EK77" s="603">
        <f t="shared" ca="1" si="221"/>
        <v>3.7047515252646601</v>
      </c>
      <c r="EL77" s="604"/>
      <c r="EM77" s="601">
        <f t="shared" ca="1" si="222"/>
        <v>5.6750834152681229</v>
      </c>
      <c r="EN77" s="603">
        <f t="shared" ca="1" si="223"/>
        <v>5.0000000000000044</v>
      </c>
      <c r="EO77" s="603">
        <f t="shared" ca="1" si="224"/>
        <v>5.0000000000000044</v>
      </c>
      <c r="EP77" s="603">
        <f t="shared" ca="1" si="82"/>
        <v>8.4999999999999964</v>
      </c>
      <c r="EQ77" s="603">
        <f t="shared" ca="1" si="225"/>
        <v>4.6394386599450943</v>
      </c>
      <c r="ER77" s="604"/>
      <c r="ES77" s="601">
        <f t="shared" ca="1" si="226"/>
        <v>5.6931298106362327</v>
      </c>
      <c r="ET77" s="603">
        <f t="shared" ca="1" si="227"/>
        <v>5.0000000000000044</v>
      </c>
      <c r="EU77" s="603">
        <f t="shared" ca="1" si="228"/>
        <v>5.0000000000000044</v>
      </c>
      <c r="EV77" s="603">
        <f t="shared" ca="1" si="87"/>
        <v>8.4999999999999964</v>
      </c>
      <c r="EW77" s="603">
        <f t="shared" ca="1" si="229"/>
        <v>4.1792342246264713</v>
      </c>
      <c r="EX77" s="604"/>
    </row>
    <row r="78" spans="2:154">
      <c r="B78" s="600" t="s">
        <v>1769</v>
      </c>
      <c r="C78" s="3785" t="s">
        <v>1337</v>
      </c>
      <c r="D78" s="3786"/>
      <c r="E78" s="3455"/>
      <c r="F78" s="3455"/>
      <c r="G78" s="3455"/>
      <c r="H78" s="3455"/>
      <c r="I78" s="3455"/>
      <c r="J78" s="604"/>
      <c r="K78" s="3455">
        <f t="shared" ca="1" si="137"/>
        <v>24.762509237407304</v>
      </c>
      <c r="L78" s="3455">
        <f t="shared" ca="1" si="137"/>
        <v>24.399494517407771</v>
      </c>
      <c r="M78" s="3455">
        <f t="shared" ca="1" si="137"/>
        <v>32.864442690374233</v>
      </c>
      <c r="N78" s="3455">
        <f t="shared" ca="1" si="137"/>
        <v>22.014550790875266</v>
      </c>
      <c r="O78" s="3455" t="str">
        <f t="shared" si="137"/>
        <v/>
      </c>
      <c r="P78" s="604"/>
      <c r="Q78" s="3455">
        <f t="shared" ca="1" si="138"/>
        <v>24.269731442051047</v>
      </c>
      <c r="R78" s="3455">
        <f t="shared" ca="1" si="139"/>
        <v>22.516330304609244</v>
      </c>
      <c r="S78" s="3455">
        <f t="shared" ca="1" si="140"/>
        <v>5.9552620552940416</v>
      </c>
      <c r="T78" s="3455">
        <f t="shared" ca="1" si="124"/>
        <v>37.028748545220139</v>
      </c>
      <c r="U78" s="3455" t="str">
        <f t="shared" si="141"/>
        <v/>
      </c>
      <c r="V78" s="604"/>
      <c r="W78" s="3455">
        <f t="shared" ca="1" si="142"/>
        <v>10.961762441012567</v>
      </c>
      <c r="X78" s="3455">
        <f t="shared" ca="1" si="143"/>
        <v>16.949817083295372</v>
      </c>
      <c r="Y78" s="3455">
        <f t="shared" ca="1" si="144"/>
        <v>-14.337315265121164</v>
      </c>
      <c r="Z78" s="3455">
        <f t="shared" ca="1" si="125"/>
        <v>8.1162160568897015</v>
      </c>
      <c r="AA78" s="3455" t="str">
        <f t="shared" si="145"/>
        <v/>
      </c>
      <c r="AB78" s="604"/>
      <c r="AC78" s="3455">
        <f t="shared" ca="1" si="146"/>
        <v>-1.7558577184819457</v>
      </c>
      <c r="AD78" s="3455">
        <f t="shared" ca="1" si="147"/>
        <v>0.87138605617431697</v>
      </c>
      <c r="AE78" s="3455">
        <f t="shared" ca="1" si="148"/>
        <v>-10.097147581645293</v>
      </c>
      <c r="AF78" s="3455">
        <f t="shared" ca="1" si="126"/>
        <v>-5.1031741864607572</v>
      </c>
      <c r="AG78" s="3455" t="str">
        <f t="shared" si="149"/>
        <v/>
      </c>
      <c r="AH78" s="604"/>
      <c r="AI78" s="3455">
        <f t="shared" ca="1" si="150"/>
        <v>4.2916187466171873</v>
      </c>
      <c r="AJ78" s="3455">
        <f t="shared" ca="1" si="151"/>
        <v>6.2120081146217476</v>
      </c>
      <c r="AK78" s="3455">
        <f t="shared" ca="1" si="152"/>
        <v>-0.76483887036820075</v>
      </c>
      <c r="AL78" s="3455">
        <f t="shared" ca="1" si="127"/>
        <v>1.1953301894823243</v>
      </c>
      <c r="AM78" s="3455" t="str">
        <f t="shared" si="153"/>
        <v/>
      </c>
      <c r="AN78" s="604"/>
      <c r="AO78" s="3455">
        <f t="shared" ca="1" si="154"/>
        <v>5.5338360439208811</v>
      </c>
      <c r="AP78" s="3455">
        <f t="shared" ca="1" si="155"/>
        <v>3.8302711113771037</v>
      </c>
      <c r="AQ78" s="3455">
        <f t="shared" ca="1" si="156"/>
        <v>40.326055897503132</v>
      </c>
      <c r="AR78" s="3455">
        <f t="shared" ca="1" si="128"/>
        <v>0.25003732685071611</v>
      </c>
      <c r="AS78" s="3455" t="str">
        <f t="shared" si="157"/>
        <v/>
      </c>
      <c r="AT78" s="604"/>
      <c r="AU78" s="3455">
        <f t="shared" ca="1" si="158"/>
        <v>5.4127608588399045</v>
      </c>
      <c r="AV78" s="3455">
        <f t="shared" ca="1" si="159"/>
        <v>5.4448589050007046</v>
      </c>
      <c r="AW78" s="3455">
        <f t="shared" ca="1" si="160"/>
        <v>10.520957161097266</v>
      </c>
      <c r="AX78" s="3455">
        <f t="shared" ca="1" si="129"/>
        <v>3.3839712366640295</v>
      </c>
      <c r="AY78" s="3455" t="str">
        <f t="shared" si="161"/>
        <v/>
      </c>
      <c r="AZ78" s="604"/>
      <c r="BA78" s="3455">
        <f t="shared" ca="1" si="162"/>
        <v>7.7937925008547904</v>
      </c>
      <c r="BB78" s="3455">
        <f t="shared" ca="1" si="163"/>
        <v>6.6126848223503343</v>
      </c>
      <c r="BC78" s="3455">
        <f t="shared" ca="1" si="164"/>
        <v>19.33662316192035</v>
      </c>
      <c r="BD78" s="3455">
        <f t="shared" ca="1" si="130"/>
        <v>6.1592776706908881</v>
      </c>
      <c r="BE78" s="3455" t="str">
        <f t="shared" si="165"/>
        <v/>
      </c>
      <c r="BF78" s="604"/>
      <c r="BG78" s="3455">
        <f t="shared" ca="1" si="166"/>
        <v>11.495790595519306</v>
      </c>
      <c r="BH78" s="3455">
        <f t="shared" ca="1" si="167"/>
        <v>16.551973179669677</v>
      </c>
      <c r="BI78" s="3455">
        <f t="shared" ca="1" si="168"/>
        <v>-17.003333987056411</v>
      </c>
      <c r="BJ78" s="3455">
        <f t="shared" ca="1" si="131"/>
        <v>11.356330011505978</v>
      </c>
      <c r="BK78" s="3455" t="str">
        <f t="shared" si="169"/>
        <v/>
      </c>
      <c r="BL78" s="604"/>
      <c r="BM78" s="3455">
        <f t="shared" ca="1" si="170"/>
        <v>17.407521200236211</v>
      </c>
      <c r="BN78" s="3455">
        <f t="shared" ca="1" si="171"/>
        <v>11.207913997307696</v>
      </c>
      <c r="BO78" s="3455">
        <f t="shared" ca="1" si="172"/>
        <v>68.780416683425344</v>
      </c>
      <c r="BP78" s="3455">
        <f t="shared" ca="1" si="132"/>
        <v>16.800915858110631</v>
      </c>
      <c r="BQ78" s="3455" t="str">
        <f t="shared" si="173"/>
        <v/>
      </c>
      <c r="BR78" s="604"/>
      <c r="BS78" s="3455">
        <f t="shared" ca="1" si="174"/>
        <v>14.875041595366723</v>
      </c>
      <c r="BT78" s="3455">
        <f t="shared" ca="1" si="175"/>
        <v>15.791273133745531</v>
      </c>
      <c r="BU78" s="3455">
        <f t="shared" ca="1" si="176"/>
        <v>6.6956399998807203</v>
      </c>
      <c r="BV78" s="3455">
        <f t="shared" ca="1" si="133"/>
        <v>16.527628583898224</v>
      </c>
      <c r="BW78" s="3455" t="str">
        <f t="shared" si="177"/>
        <v/>
      </c>
      <c r="BX78" s="604"/>
      <c r="BY78" s="3455">
        <f t="shared" ca="1" si="178"/>
        <v>19.215749506820167</v>
      </c>
      <c r="BZ78" s="3455">
        <f t="shared" ca="1" si="179"/>
        <v>10.586676987243916</v>
      </c>
      <c r="CA78" s="3455">
        <f t="shared" ca="1" si="180"/>
        <v>69.29302686570513</v>
      </c>
      <c r="CB78" s="3455">
        <f t="shared" ca="1" si="134"/>
        <v>18.892508143322484</v>
      </c>
      <c r="CC78" s="3455" t="str">
        <f t="shared" si="181"/>
        <v/>
      </c>
      <c r="CD78" s="604"/>
      <c r="CE78" s="3455">
        <f t="shared" ca="1" si="182"/>
        <v>15.958102102076911</v>
      </c>
      <c r="CF78" s="3455">
        <f t="shared" ca="1" si="183"/>
        <v>18.382055695308708</v>
      </c>
      <c r="CG78" s="3455">
        <f t="shared" ca="1" si="184"/>
        <v>7.3398429061212855</v>
      </c>
      <c r="CH78" s="3455">
        <f t="shared" ca="1" si="135"/>
        <v>15.675518007626298</v>
      </c>
      <c r="CI78" s="3455" t="str">
        <f t="shared" si="185"/>
        <v/>
      </c>
      <c r="CJ78" s="604"/>
      <c r="CK78" s="3455">
        <f t="shared" ca="1" si="186"/>
        <v>-11.64836719825656</v>
      </c>
      <c r="CL78" s="3455">
        <f t="shared" ca="1" si="187"/>
        <v>-9.8079382825725592</v>
      </c>
      <c r="CM78" s="3455">
        <f t="shared" ca="1" si="188"/>
        <v>-9.2733566140264951</v>
      </c>
      <c r="CN78" s="3455">
        <f t="shared" ca="1" si="136"/>
        <v>-17.59260872395776</v>
      </c>
      <c r="CO78" s="3455" t="str">
        <f t="shared" si="189"/>
        <v/>
      </c>
      <c r="CP78" s="604"/>
      <c r="CQ78" s="3455">
        <f t="shared" ca="1" si="190"/>
        <v>-1.0962273578661863</v>
      </c>
      <c r="CR78" s="3455">
        <f t="shared" ca="1" si="191"/>
        <v>-0.11689191507234797</v>
      </c>
      <c r="CS78" s="3455">
        <f t="shared" ca="1" si="192"/>
        <v>-3.1515383456075519</v>
      </c>
      <c r="CT78" s="3455">
        <f t="shared" ca="1" si="42"/>
        <v>-2.382051826985232</v>
      </c>
      <c r="CU78" s="3455" t="str">
        <f t="shared" si="193"/>
        <v/>
      </c>
      <c r="CV78" s="604"/>
      <c r="CW78" s="3455">
        <f t="shared" ca="1" si="194"/>
        <v>7.4259003450827255</v>
      </c>
      <c r="CX78" s="3455">
        <f t="shared" ca="1" si="195"/>
        <v>5.5480217057638503</v>
      </c>
      <c r="CY78" s="3455">
        <f t="shared" ca="1" si="196"/>
        <v>15.183607669523846</v>
      </c>
      <c r="CZ78" s="3455">
        <f t="shared" ca="1" si="47"/>
        <v>7.5410942274878101</v>
      </c>
      <c r="DA78" s="3455" t="str">
        <f t="shared" si="197"/>
        <v/>
      </c>
      <c r="DB78" s="604"/>
      <c r="DC78" s="3455">
        <f t="shared" ca="1" si="198"/>
        <v>5.2680284125962151</v>
      </c>
      <c r="DD78" s="3455">
        <f t="shared" ca="1" si="199"/>
        <v>3.225162698989914</v>
      </c>
      <c r="DE78" s="3455">
        <f t="shared" ca="1" si="200"/>
        <v>12.891850659946957</v>
      </c>
      <c r="DF78" s="3455">
        <f t="shared" ca="1" si="52"/>
        <v>5.4674648532229808</v>
      </c>
      <c r="DG78" s="3455" t="str">
        <f t="shared" si="201"/>
        <v/>
      </c>
      <c r="DH78" s="604"/>
      <c r="DI78" s="3455">
        <f t="shared" ca="1" si="202"/>
        <v>6.2809599373406799</v>
      </c>
      <c r="DJ78" s="3455">
        <f t="shared" ca="1" si="203"/>
        <v>5.8524879511734351</v>
      </c>
      <c r="DK78" s="3455">
        <f t="shared" ca="1" si="204"/>
        <v>10.640426413084958</v>
      </c>
      <c r="DL78" s="3455">
        <f t="shared" ca="1" si="57"/>
        <v>4.1564494862600609</v>
      </c>
      <c r="DM78" s="3455" t="str">
        <f t="shared" si="205"/>
        <v/>
      </c>
      <c r="DN78" s="604"/>
      <c r="DO78" s="3455">
        <f t="shared" ca="1" si="206"/>
        <v>5.5842316031711414</v>
      </c>
      <c r="DP78" s="3455">
        <f t="shared" ca="1" si="207"/>
        <v>2.6901789254426545</v>
      </c>
      <c r="DQ78" s="3455">
        <f t="shared" ca="1" si="208"/>
        <v>13.947818731587812</v>
      </c>
      <c r="DR78" s="3455">
        <f t="shared" ca="1" si="62"/>
        <v>6.7263596146331261</v>
      </c>
      <c r="DS78" s="3455" t="str">
        <f t="shared" si="209"/>
        <v/>
      </c>
      <c r="DT78" s="604"/>
      <c r="DU78" s="3455">
        <f t="shared" ca="1" si="210"/>
        <v>0.60443093065360998</v>
      </c>
      <c r="DV78" s="3455">
        <f t="shared" ca="1" si="211"/>
        <v>3.8284167654359713</v>
      </c>
      <c r="DW78" s="3455">
        <f t="shared" ca="1" si="212"/>
        <v>-17.397903134632376</v>
      </c>
      <c r="DX78" s="3455">
        <f t="shared" ca="1" si="67"/>
        <v>7.5223663084200254</v>
      </c>
      <c r="DY78" s="3455" t="str">
        <f t="shared" si="213"/>
        <v/>
      </c>
      <c r="DZ78" s="604"/>
      <c r="EA78" s="3455">
        <f t="shared" ca="1" si="214"/>
        <v>4.0894729494330262</v>
      </c>
      <c r="EB78" s="3455">
        <f t="shared" ca="1" si="215"/>
        <v>6.0100900132022739</v>
      </c>
      <c r="EC78" s="3455">
        <f t="shared" ca="1" si="216"/>
        <v>-7.1554833053356637</v>
      </c>
      <c r="ED78" s="3455">
        <f t="shared" ca="1" si="72"/>
        <v>6.6134436470800972</v>
      </c>
      <c r="EE78" s="3455" t="str">
        <f t="shared" si="217"/>
        <v/>
      </c>
      <c r="EF78" s="604"/>
      <c r="EG78" s="3455">
        <f t="shared" ca="1" si="218"/>
        <v>8.9331053105052849</v>
      </c>
      <c r="EH78" s="3455">
        <f t="shared" ca="1" si="219"/>
        <v>7.70279225025714</v>
      </c>
      <c r="EI78" s="3455">
        <f t="shared" ca="1" si="220"/>
        <v>12.755912924239166</v>
      </c>
      <c r="EJ78" s="3455">
        <f t="shared" ca="1" si="77"/>
        <v>9.8217061696860064</v>
      </c>
      <c r="EK78" s="3455" t="str">
        <f t="shared" si="221"/>
        <v/>
      </c>
      <c r="EL78" s="604"/>
      <c r="EM78" s="3455">
        <f t="shared" ca="1" si="222"/>
        <v>6.2802827645611181</v>
      </c>
      <c r="EN78" s="3455">
        <f t="shared" ca="1" si="223"/>
        <v>5.7836899865890246</v>
      </c>
      <c r="EO78" s="3455">
        <f t="shared" ca="1" si="224"/>
        <v>7.409793008471155</v>
      </c>
      <c r="EP78" s="3455">
        <f t="shared" ca="1" si="82"/>
        <v>6.8325179910608824</v>
      </c>
      <c r="EQ78" s="3455" t="str">
        <f t="shared" si="225"/>
        <v/>
      </c>
      <c r="ER78" s="604"/>
      <c r="ES78" s="3455">
        <f t="shared" ca="1" si="226"/>
        <v>5.7209908234911788</v>
      </c>
      <c r="ET78" s="3455">
        <f t="shared" ca="1" si="227"/>
        <v>5.3057767508145615</v>
      </c>
      <c r="EU78" s="3455">
        <f t="shared" ca="1" si="228"/>
        <v>7.94394143377255</v>
      </c>
      <c r="EV78" s="3455">
        <f t="shared" ca="1" si="87"/>
        <v>5.4213996252084229</v>
      </c>
      <c r="EW78" s="3455" t="str">
        <f t="shared" si="229"/>
        <v/>
      </c>
      <c r="EX78" s="604"/>
    </row>
    <row r="79" spans="2:154">
      <c r="B79" s="600" t="s">
        <v>401</v>
      </c>
      <c r="C79" s="3782" t="s">
        <v>1338</v>
      </c>
      <c r="D79" s="3782"/>
      <c r="E79" s="601"/>
      <c r="F79" s="603"/>
      <c r="G79" s="603"/>
      <c r="H79" s="603"/>
      <c r="I79" s="603"/>
      <c r="J79" s="556"/>
      <c r="K79" s="601">
        <f t="shared" ca="1" si="137"/>
        <v>19.080005514452438</v>
      </c>
      <c r="L79" s="603">
        <f t="shared" ca="1" si="137"/>
        <v>34.942934176650638</v>
      </c>
      <c r="M79" s="603">
        <f t="shared" ca="1" si="137"/>
        <v>-29.967406293092623</v>
      </c>
      <c r="N79" s="603" t="str">
        <f t="shared" ca="1" si="137"/>
        <v>N</v>
      </c>
      <c r="O79" s="603" t="str">
        <f t="shared" ca="1" si="137"/>
        <v>N</v>
      </c>
      <c r="P79" s="556" t="str">
        <f ca="1">IF(ROUND(P30,2)=0,"ok","!")</f>
        <v>ok</v>
      </c>
      <c r="Q79" s="601">
        <f t="shared" ca="1" si="138"/>
        <v>31.878465120467215</v>
      </c>
      <c r="R79" s="603">
        <f t="shared" ca="1" si="139"/>
        <v>26.998768139891261</v>
      </c>
      <c r="S79" s="603">
        <f t="shared" ca="1" si="140"/>
        <v>60.950505683343771</v>
      </c>
      <c r="T79" s="603" t="str">
        <f t="shared" ca="1" si="124"/>
        <v>N</v>
      </c>
      <c r="U79" s="603" t="str">
        <f t="shared" ca="1" si="141"/>
        <v>N</v>
      </c>
      <c r="V79" s="556" t="str">
        <f ca="1">IF(ROUND(V30,2)=0,"ok","!")</f>
        <v>ok</v>
      </c>
      <c r="W79" s="601">
        <f t="shared" ca="1" si="142"/>
        <v>14.161001160737818</v>
      </c>
      <c r="X79" s="603">
        <f t="shared" ca="1" si="143"/>
        <v>18.566798362866411</v>
      </c>
      <c r="Y79" s="603">
        <f t="shared" ca="1" si="144"/>
        <v>-6.550631151643227</v>
      </c>
      <c r="Z79" s="603" t="str">
        <f t="shared" ca="1" si="125"/>
        <v>N</v>
      </c>
      <c r="AA79" s="603" t="str">
        <f t="shared" ca="1" si="145"/>
        <v>N</v>
      </c>
      <c r="AB79" s="556" t="str">
        <f ca="1">IF(ROUND(AB30,2)=0,"ok","!")</f>
        <v>ok</v>
      </c>
      <c r="AC79" s="601">
        <f t="shared" ca="1" si="146"/>
        <v>-0.92191491724981089</v>
      </c>
      <c r="AD79" s="603">
        <f t="shared" ca="1" si="147"/>
        <v>5.2636829818225372</v>
      </c>
      <c r="AE79" s="603">
        <f t="shared" ca="1" si="148"/>
        <v>-37.816126152930686</v>
      </c>
      <c r="AF79" s="603" t="str">
        <f t="shared" ca="1" si="126"/>
        <v>N</v>
      </c>
      <c r="AG79" s="603" t="str">
        <f t="shared" ca="1" si="149"/>
        <v>N</v>
      </c>
      <c r="AH79" s="556" t="str">
        <f ca="1">IF(ROUND(AH30,2)=0,"ok","!")</f>
        <v>ok</v>
      </c>
      <c r="AI79" s="601">
        <f t="shared" ca="1" si="150"/>
        <v>-3.5443256295274117</v>
      </c>
      <c r="AJ79" s="603">
        <f t="shared" ca="1" si="151"/>
        <v>-2.5466780399962086</v>
      </c>
      <c r="AK79" s="603">
        <f t="shared" ca="1" si="152"/>
        <v>-13.617224880382784</v>
      </c>
      <c r="AL79" s="603" t="str">
        <f t="shared" ca="1" si="127"/>
        <v>N</v>
      </c>
      <c r="AM79" s="603" t="str">
        <f t="shared" ca="1" si="153"/>
        <v>N</v>
      </c>
      <c r="AN79" s="556" t="str">
        <f ca="1">IF(ROUND(AN30,2)=0,"ok","!")</f>
        <v>ok</v>
      </c>
      <c r="AO79" s="601">
        <f t="shared" ca="1" si="154"/>
        <v>-1.5216808225301581</v>
      </c>
      <c r="AP79" s="603">
        <f t="shared" ca="1" si="155"/>
        <v>-0.17797574472635525</v>
      </c>
      <c r="AQ79" s="603">
        <f t="shared" ca="1" si="156"/>
        <v>-16.82729589010745</v>
      </c>
      <c r="AR79" s="603" t="str">
        <f t="shared" ca="1" si="128"/>
        <v>N</v>
      </c>
      <c r="AS79" s="603" t="str">
        <f t="shared" ca="1" si="157"/>
        <v>N</v>
      </c>
      <c r="AT79" s="556" t="str">
        <f ca="1">IF(ROUND(AT30,2)=0,"ok","!")</f>
        <v>ok</v>
      </c>
      <c r="AU79" s="601">
        <f t="shared" ca="1" si="158"/>
        <v>2.4212877219740525</v>
      </c>
      <c r="AV79" s="603">
        <f t="shared" ca="1" si="159"/>
        <v>1.2305144193296647</v>
      </c>
      <c r="AW79" s="603">
        <f t="shared" ca="1" si="160"/>
        <v>18.660095897709116</v>
      </c>
      <c r="AX79" s="603" t="str">
        <f t="shared" ca="1" si="129"/>
        <v>N</v>
      </c>
      <c r="AY79" s="603" t="str">
        <f t="shared" ca="1" si="161"/>
        <v>N</v>
      </c>
      <c r="AZ79" s="556" t="str">
        <f ca="1">IF(ROUND(AZ30,2)=0,"ok","!")</f>
        <v>ok</v>
      </c>
      <c r="BA79" s="601">
        <f t="shared" ca="1" si="162"/>
        <v>16.4517129814298</v>
      </c>
      <c r="BB79" s="603">
        <f t="shared" ca="1" si="163"/>
        <v>4.5629096368728694</v>
      </c>
      <c r="BC79" s="603">
        <f t="shared" ca="1" si="164"/>
        <v>154.97811202155125</v>
      </c>
      <c r="BD79" s="603">
        <f t="shared" ca="1" si="130"/>
        <v>400</v>
      </c>
      <c r="BE79" s="603" t="str">
        <f t="shared" ca="1" si="165"/>
        <v>N</v>
      </c>
      <c r="BF79" s="556" t="str">
        <f ca="1">IF(ROUND(BF30,2)=0,"ok","!")</f>
        <v>ok</v>
      </c>
      <c r="BG79" s="601">
        <f t="shared" ca="1" si="166"/>
        <v>20.1674595623216</v>
      </c>
      <c r="BH79" s="603">
        <f t="shared" ca="1" si="167"/>
        <v>14.197746769264752</v>
      </c>
      <c r="BI79" s="603">
        <f t="shared" ca="1" si="168"/>
        <v>48.657334037682688</v>
      </c>
      <c r="BJ79" s="603">
        <f t="shared" ca="1" si="131"/>
        <v>113.33333333333333</v>
      </c>
      <c r="BK79" s="603" t="str">
        <f t="shared" ca="1" si="169"/>
        <v>N</v>
      </c>
      <c r="BL79" s="556" t="str">
        <f ca="1">IF(ROUND(BL30,2)=0,"ok","!")</f>
        <v>ok</v>
      </c>
      <c r="BM79" s="601">
        <f t="shared" ca="1" si="170"/>
        <v>18.955469690251459</v>
      </c>
      <c r="BN79" s="603">
        <f t="shared" ca="1" si="171"/>
        <v>16.168422410110495</v>
      </c>
      <c r="BO79" s="603">
        <f t="shared" ca="1" si="172"/>
        <v>29.236874056086947</v>
      </c>
      <c r="BP79" s="603">
        <f t="shared" ca="1" si="132"/>
        <v>-25</v>
      </c>
      <c r="BQ79" s="603" t="e">
        <f t="shared" ca="1" si="173"/>
        <v>#VALUE!</v>
      </c>
      <c r="BR79" s="556" t="e">
        <f ca="1">IF(ROUND(BR30,2)=0,"ok","!")</f>
        <v>#VALUE!</v>
      </c>
      <c r="BS79" s="601">
        <f t="shared" ca="1" si="174"/>
        <v>22.417529753188315</v>
      </c>
      <c r="BT79" s="603">
        <f t="shared" ca="1" si="175"/>
        <v>13.489304720077167</v>
      </c>
      <c r="BU79" s="603">
        <f t="shared" ca="1" si="176"/>
        <v>51.755189954630843</v>
      </c>
      <c r="BV79" s="603">
        <f t="shared" ca="1" si="133"/>
        <v>291.66666666666669</v>
      </c>
      <c r="BW79" s="603" t="e">
        <f t="shared" ca="1" si="177"/>
        <v>#VALUE!</v>
      </c>
      <c r="BX79" s="556" t="e">
        <f ca="1">IF(ROUND(BX30,2)=0,"ok","!")</f>
        <v>#VALUE!</v>
      </c>
      <c r="BY79" s="601">
        <f t="shared" ca="1" si="178"/>
        <v>14.532349691597002</v>
      </c>
      <c r="BZ79" s="603">
        <f t="shared" ca="1" si="179"/>
        <v>16.076810681600051</v>
      </c>
      <c r="CA79" s="603">
        <f t="shared" ca="1" si="180"/>
        <v>10.740008153527913</v>
      </c>
      <c r="CB79" s="603">
        <f t="shared" ca="1" si="134"/>
        <v>-1.0638297872340496</v>
      </c>
      <c r="CC79" s="603" t="e">
        <f t="shared" ca="1" si="181"/>
        <v>#VALUE!</v>
      </c>
      <c r="CD79" s="556" t="e">
        <f ca="1">IF(ROUND(CD30,2)=0,"ok","!")</f>
        <v>#VALUE!</v>
      </c>
      <c r="CE79" s="601">
        <f t="shared" ca="1" si="182"/>
        <v>14.90526123895286</v>
      </c>
      <c r="CF79" s="603">
        <f t="shared" ca="1" si="183"/>
        <v>12.589272547243358</v>
      </c>
      <c r="CG79" s="603">
        <f t="shared" ca="1" si="184"/>
        <v>20.816176270077193</v>
      </c>
      <c r="CH79" s="603">
        <f t="shared" ca="1" si="135"/>
        <v>81.720430107526852</v>
      </c>
      <c r="CI79" s="603" t="e">
        <f t="shared" ca="1" si="185"/>
        <v>#VALUE!</v>
      </c>
      <c r="CJ79" s="556" t="str">
        <f ca="1">IF(ROUND(CJ30,2)=0,"ok","!")</f>
        <v>ok</v>
      </c>
      <c r="CK79" s="601">
        <f t="shared" ca="1" si="186"/>
        <v>-47.270690036985755</v>
      </c>
      <c r="CL79" s="603">
        <f t="shared" ca="1" si="187"/>
        <v>-48.260053983000503</v>
      </c>
      <c r="CM79" s="603">
        <f t="shared" ca="1" si="188"/>
        <v>-44.864517148370943</v>
      </c>
      <c r="CN79" s="603">
        <f t="shared" ca="1" si="136"/>
        <v>-57.396449704142007</v>
      </c>
      <c r="CO79" s="603">
        <f t="shared" ca="1" si="189"/>
        <v>-133.33333333333334</v>
      </c>
      <c r="CP79" s="556" t="str">
        <f ca="1">IF(ROUND(CP30,2)=0,"ok","!")</f>
        <v>ok</v>
      </c>
      <c r="CQ79" s="601">
        <f t="shared" ca="1" si="190"/>
        <v>-17.507459318506633</v>
      </c>
      <c r="CR79" s="603">
        <f t="shared" ca="1" si="191"/>
        <v>-5.9924958184530475</v>
      </c>
      <c r="CS79" s="603">
        <f t="shared" ca="1" si="192"/>
        <v>-43.516528502712113</v>
      </c>
      <c r="CT79" s="603">
        <f t="shared" ca="1" si="42"/>
        <v>-58.333333333333329</v>
      </c>
      <c r="CU79" s="603">
        <f t="shared" ca="1" si="193"/>
        <v>-833.33333333333326</v>
      </c>
      <c r="CV79" s="556" t="str">
        <f ca="1">IF(ROUND(CV30,2)=0,"ok","!")</f>
        <v>ok</v>
      </c>
      <c r="CW79" s="601">
        <f t="shared" ca="1" si="194"/>
        <v>4.5652801629154416</v>
      </c>
      <c r="CX79" s="603">
        <f t="shared" ca="1" si="195"/>
        <v>8.0267751521970965</v>
      </c>
      <c r="CY79" s="603">
        <f t="shared" ca="1" si="196"/>
        <v>-8.6936039137524794</v>
      </c>
      <c r="CZ79" s="603">
        <f t="shared" ca="1" si="47"/>
        <v>203.33333333333331</v>
      </c>
      <c r="DA79" s="603">
        <f t="shared" ca="1" si="197"/>
        <v>-22.72727272727272</v>
      </c>
      <c r="DB79" s="556" t="str">
        <f ca="1">IF(ROUND(DB30,2)=0,"ok","!")</f>
        <v>ok</v>
      </c>
      <c r="DC79" s="601">
        <f t="shared" ca="1" si="198"/>
        <v>17.085240898190545</v>
      </c>
      <c r="DD79" s="603">
        <f t="shared" ca="1" si="199"/>
        <v>4.9028248889363635</v>
      </c>
      <c r="DE79" s="603">
        <f t="shared" ca="1" si="200"/>
        <v>70.741387521828841</v>
      </c>
      <c r="DF79" s="603">
        <f t="shared" ca="1" si="52"/>
        <v>197.80219780219781</v>
      </c>
      <c r="DG79" s="603">
        <f t="shared" ca="1" si="201"/>
        <v>-76.470588235294116</v>
      </c>
      <c r="DH79" s="556" t="str">
        <f ca="1">IF(ROUND(DH30,2)=0,"ok","!")</f>
        <v>ok</v>
      </c>
      <c r="DI79" s="601">
        <f t="shared" ca="1" si="202"/>
        <v>8.1522582407011157</v>
      </c>
      <c r="DJ79" s="603">
        <f t="shared" ca="1" si="203"/>
        <v>7.4335907663583445</v>
      </c>
      <c r="DK79" s="603">
        <f t="shared" ca="1" si="204"/>
        <v>10.471873547187371</v>
      </c>
      <c r="DL79" s="603">
        <f t="shared" ca="1" si="57"/>
        <v>-47.601476014760159</v>
      </c>
      <c r="DM79" s="603">
        <f t="shared" ca="1" si="205"/>
        <v>50</v>
      </c>
      <c r="DN79" s="556" t="str">
        <f ca="1">IF(ROUND(DN30,2)=0,"ok","!")</f>
        <v>ok</v>
      </c>
      <c r="DO79" s="601">
        <f t="shared" ca="1" si="206"/>
        <v>5.2250711596731225</v>
      </c>
      <c r="DP79" s="603">
        <f t="shared" ca="1" si="207"/>
        <v>5.3677649716799891</v>
      </c>
      <c r="DQ79" s="603">
        <f t="shared" ca="1" si="208"/>
        <v>4.8963703314045093</v>
      </c>
      <c r="DR79" s="603">
        <f t="shared" ca="1" si="62"/>
        <v>-11.971830985915478</v>
      </c>
      <c r="DS79" s="603">
        <f t="shared" ca="1" si="209"/>
        <v>-150</v>
      </c>
      <c r="DT79" s="556" t="str">
        <f ca="1">IF(ROUND(DT30,2)=0,"ok","!")</f>
        <v>ok</v>
      </c>
      <c r="DU79" s="601">
        <f t="shared" ca="1" si="210"/>
        <v>10.756922137204761</v>
      </c>
      <c r="DV79" s="603">
        <f t="shared" ca="1" si="211"/>
        <v>9.2312421279913792</v>
      </c>
      <c r="DW79" s="603">
        <f t="shared" ca="1" si="212"/>
        <v>14.87202118270079</v>
      </c>
      <c r="DX79" s="603">
        <f t="shared" ca="1" si="67"/>
        <v>-2.4000000000000021</v>
      </c>
      <c r="DY79" s="603">
        <f t="shared" ca="1" si="213"/>
        <v>-66.666666666666671</v>
      </c>
      <c r="DZ79" s="556" t="str">
        <f ca="1">IF(ROUND(DZ30,2)=0,"ok","!")</f>
        <v>ok</v>
      </c>
      <c r="EA79" s="601">
        <f t="shared" ca="1" si="214"/>
        <v>7.5909102100105708</v>
      </c>
      <c r="EB79" s="603">
        <f t="shared" ca="1" si="215"/>
        <v>6.8903271858720361</v>
      </c>
      <c r="EC79" s="603">
        <f t="shared" ca="1" si="216"/>
        <v>9.2375929871127518</v>
      </c>
      <c r="ED79" s="603">
        <f t="shared" ca="1" si="72"/>
        <v>71.311475409836063</v>
      </c>
      <c r="EE79" s="603">
        <f t="shared" ca="1" si="217"/>
        <v>800</v>
      </c>
      <c r="EF79" s="556" t="str">
        <f ca="1">IF(ROUND(EF30,2)=0,"ok","!")</f>
        <v>ok</v>
      </c>
      <c r="EG79" s="601">
        <f t="shared" ca="1" si="218"/>
        <v>5.5537221339948095</v>
      </c>
      <c r="EH79" s="603">
        <f t="shared" ca="1" si="219"/>
        <v>7.4400000000000022</v>
      </c>
      <c r="EI79" s="603">
        <f t="shared" ca="1" si="220"/>
        <v>0.86962081974550909</v>
      </c>
      <c r="EJ79" s="603">
        <f t="shared" ca="1" si="77"/>
        <v>2.0000000000000018</v>
      </c>
      <c r="EK79" s="603">
        <f t="shared" ca="1" si="221"/>
        <v>0</v>
      </c>
      <c r="EL79" s="556" t="str">
        <f ca="1">IF(ROUND(EL30,2)=0,"ok","!")</f>
        <v>ok</v>
      </c>
      <c r="EM79" s="601">
        <f t="shared" ca="1" si="222"/>
        <v>3.4343662819202425</v>
      </c>
      <c r="EN79" s="603">
        <f t="shared" ca="1" si="223"/>
        <v>3.6000000000000032</v>
      </c>
      <c r="EO79" s="603">
        <f t="shared" ca="1" si="224"/>
        <v>3.0000000000000027</v>
      </c>
      <c r="EP79" s="603">
        <f t="shared" ca="1" si="82"/>
        <v>2.0000000000000018</v>
      </c>
      <c r="EQ79" s="603">
        <f t="shared" ca="1" si="225"/>
        <v>0</v>
      </c>
      <c r="ER79" s="556" t="str">
        <f ca="1">IF(ROUND(ER30,2)=0,"ok","!")</f>
        <v>ok</v>
      </c>
      <c r="ES79" s="601">
        <f t="shared" ca="1" si="226"/>
        <v>5.4967898245324998</v>
      </c>
      <c r="ET79" s="603">
        <f t="shared" ca="1" si="227"/>
        <v>5.3500000000000103</v>
      </c>
      <c r="EU79" s="603">
        <f t="shared" ca="1" si="228"/>
        <v>5.8999999999999941</v>
      </c>
      <c r="EV79" s="603">
        <f t="shared" ca="1" si="87"/>
        <v>2.0000000000000018</v>
      </c>
      <c r="EW79" s="603">
        <f t="shared" ca="1" si="229"/>
        <v>0</v>
      </c>
      <c r="EX79" s="556" t="str">
        <f ca="1">IF(ROUND(EX30,2)=0,"ok","!")</f>
        <v>ok</v>
      </c>
    </row>
    <row r="80" spans="2:154">
      <c r="B80" s="600" t="s">
        <v>401</v>
      </c>
      <c r="C80" s="3782" t="s">
        <v>1339</v>
      </c>
      <c r="D80" s="3782"/>
      <c r="E80" s="601"/>
      <c r="F80" s="603"/>
      <c r="G80" s="602"/>
      <c r="H80" s="602"/>
      <c r="I80" s="602"/>
      <c r="J80" s="556"/>
      <c r="K80" s="601">
        <f t="shared" ca="1" si="137"/>
        <v>33.167011695596017</v>
      </c>
      <c r="L80" s="603">
        <f t="shared" ca="1" si="137"/>
        <v>33.167011695596017</v>
      </c>
      <c r="M80" s="602" t="str">
        <f t="shared" si="137"/>
        <v/>
      </c>
      <c r="N80" s="602" t="str">
        <f t="shared" si="137"/>
        <v/>
      </c>
      <c r="O80" s="602" t="str">
        <f t="shared" si="137"/>
        <v/>
      </c>
      <c r="P80" s="556" t="e">
        <f ca="1">IF(ROUND(P31,2)=0,"ok","!")</f>
        <v>#VALUE!</v>
      </c>
      <c r="Q80" s="601">
        <f t="shared" ca="1" si="138"/>
        <v>40.909090909090921</v>
      </c>
      <c r="R80" s="603">
        <f t="shared" ca="1" si="139"/>
        <v>40.909090909090921</v>
      </c>
      <c r="S80" s="602" t="str">
        <f t="shared" si="140"/>
        <v/>
      </c>
      <c r="T80" s="602" t="str">
        <f t="shared" si="124"/>
        <v/>
      </c>
      <c r="U80" s="602" t="str">
        <f t="shared" si="141"/>
        <v/>
      </c>
      <c r="V80" s="556" t="e">
        <f ca="1">IF(ROUND(V31,2)=0,"ok","!")</f>
        <v>#VALUE!</v>
      </c>
      <c r="W80" s="601">
        <f t="shared" ca="1" si="142"/>
        <v>23.586764858417176</v>
      </c>
      <c r="X80" s="603">
        <f t="shared" ca="1" si="143"/>
        <v>23.586764858417176</v>
      </c>
      <c r="Y80" s="602" t="str">
        <f t="shared" si="144"/>
        <v/>
      </c>
      <c r="Z80" s="602" t="str">
        <f t="shared" si="125"/>
        <v/>
      </c>
      <c r="AA80" s="602" t="str">
        <f t="shared" si="145"/>
        <v/>
      </c>
      <c r="AB80" s="556" t="e">
        <f ca="1">IF(ROUND(AB31,2)=0,"ok","!")</f>
        <v>#VALUE!</v>
      </c>
      <c r="AC80" s="601">
        <f t="shared" ca="1" si="146"/>
        <v>-1.1978789150421609</v>
      </c>
      <c r="AD80" s="603">
        <f t="shared" ca="1" si="147"/>
        <v>-1.1978789150421609</v>
      </c>
      <c r="AE80" s="602" t="str">
        <f t="shared" si="148"/>
        <v/>
      </c>
      <c r="AF80" s="602" t="str">
        <f t="shared" si="126"/>
        <v/>
      </c>
      <c r="AG80" s="602" t="str">
        <f t="shared" si="149"/>
        <v/>
      </c>
      <c r="AH80" s="556" t="e">
        <f ca="1">IF(ROUND(AH31,2)=0,"ok","!")</f>
        <v>#VALUE!</v>
      </c>
      <c r="AI80" s="601">
        <f t="shared" ca="1" si="150"/>
        <v>5.8859415421444794</v>
      </c>
      <c r="AJ80" s="603">
        <f t="shared" ca="1" si="151"/>
        <v>5.8859415421444794</v>
      </c>
      <c r="AK80" s="602" t="str">
        <f t="shared" si="152"/>
        <v/>
      </c>
      <c r="AL80" s="602" t="str">
        <f t="shared" si="127"/>
        <v/>
      </c>
      <c r="AM80" s="602" t="str">
        <f t="shared" si="153"/>
        <v/>
      </c>
      <c r="AN80" s="556" t="e">
        <f ca="1">IF(ROUND(AN31,2)=0,"ok","!")</f>
        <v>#VALUE!</v>
      </c>
      <c r="AO80" s="601">
        <f t="shared" ca="1" si="154"/>
        <v>0.91308882195497709</v>
      </c>
      <c r="AP80" s="603">
        <f t="shared" ca="1" si="155"/>
        <v>0.91308882195497709</v>
      </c>
      <c r="AQ80" s="602" t="str">
        <f t="shared" si="156"/>
        <v/>
      </c>
      <c r="AR80" s="602" t="str">
        <f t="shared" si="128"/>
        <v/>
      </c>
      <c r="AS80" s="602" t="str">
        <f t="shared" si="157"/>
        <v/>
      </c>
      <c r="AT80" s="556" t="e">
        <f ca="1">IF(ROUND(AT31,2)=0,"ok","!")</f>
        <v>#VALUE!</v>
      </c>
      <c r="AU80" s="601">
        <f t="shared" ca="1" si="158"/>
        <v>3.2868633870303254</v>
      </c>
      <c r="AV80" s="603">
        <f t="shared" ca="1" si="159"/>
        <v>3.2868633870303254</v>
      </c>
      <c r="AW80" s="602" t="str">
        <f t="shared" si="160"/>
        <v/>
      </c>
      <c r="AX80" s="602" t="str">
        <f t="shared" si="129"/>
        <v/>
      </c>
      <c r="AY80" s="602" t="str">
        <f t="shared" si="161"/>
        <v/>
      </c>
      <c r="AZ80" s="556" t="e">
        <f ca="1">IF(ROUND(AZ31,2)=0,"ok","!")</f>
        <v>#VALUE!</v>
      </c>
      <c r="BA80" s="601">
        <f t="shared" ca="1" si="162"/>
        <v>7.7814395768173172</v>
      </c>
      <c r="BB80" s="603">
        <f t="shared" ca="1" si="163"/>
        <v>7.7814395768173172</v>
      </c>
      <c r="BC80" s="602" t="str">
        <f t="shared" si="164"/>
        <v/>
      </c>
      <c r="BD80" s="602" t="str">
        <f t="shared" si="130"/>
        <v/>
      </c>
      <c r="BE80" s="602" t="str">
        <f t="shared" si="165"/>
        <v/>
      </c>
      <c r="BF80" s="556" t="e">
        <f ca="1">IF(ROUND(BF31,2)=0,"ok","!")</f>
        <v>#VALUE!</v>
      </c>
      <c r="BG80" s="601">
        <f t="shared" ca="1" si="166"/>
        <v>15.081343564574979</v>
      </c>
      <c r="BH80" s="603">
        <f t="shared" ca="1" si="167"/>
        <v>15.081343564574979</v>
      </c>
      <c r="BI80" s="602" t="str">
        <f t="shared" si="168"/>
        <v/>
      </c>
      <c r="BJ80" s="602" t="str">
        <f t="shared" si="131"/>
        <v/>
      </c>
      <c r="BK80" s="602" t="str">
        <f t="shared" si="169"/>
        <v/>
      </c>
      <c r="BL80" s="556" t="e">
        <f ca="1">IF(ROUND(BL31,2)=0,"ok","!")</f>
        <v>#VALUE!</v>
      </c>
      <c r="BM80" s="601">
        <f t="shared" ca="1" si="170"/>
        <v>18.804190241948682</v>
      </c>
      <c r="BN80" s="603">
        <f t="shared" ca="1" si="171"/>
        <v>18.804190241948682</v>
      </c>
      <c r="BO80" s="602" t="str">
        <f t="shared" si="172"/>
        <v/>
      </c>
      <c r="BP80" s="602" t="str">
        <f t="shared" si="132"/>
        <v/>
      </c>
      <c r="BQ80" s="602" t="str">
        <f t="shared" si="173"/>
        <v/>
      </c>
      <c r="BR80" s="556" t="e">
        <f ca="1">IF(ROUND(BR31,2)=0,"ok","!")</f>
        <v>#VALUE!</v>
      </c>
      <c r="BS80" s="601">
        <f t="shared" ca="1" si="174"/>
        <v>20.417088075668445</v>
      </c>
      <c r="BT80" s="603">
        <f t="shared" ca="1" si="175"/>
        <v>20.417088075668445</v>
      </c>
      <c r="BU80" s="602" t="str">
        <f t="shared" si="176"/>
        <v/>
      </c>
      <c r="BV80" s="602" t="str">
        <f t="shared" si="133"/>
        <v/>
      </c>
      <c r="BW80" s="602" t="str">
        <f t="shared" si="177"/>
        <v/>
      </c>
      <c r="BX80" s="556" t="e">
        <f ca="1">IF(ROUND(BX31,2)=0,"ok","!")</f>
        <v>#VALUE!</v>
      </c>
      <c r="BY80" s="601">
        <f t="shared" ca="1" si="178"/>
        <v>23.308964440343516</v>
      </c>
      <c r="BZ80" s="603">
        <f t="shared" ca="1" si="179"/>
        <v>23.308964440343516</v>
      </c>
      <c r="CA80" s="602" t="str">
        <f t="shared" si="180"/>
        <v/>
      </c>
      <c r="CB80" s="602" t="str">
        <f t="shared" si="134"/>
        <v/>
      </c>
      <c r="CC80" s="602" t="str">
        <f t="shared" si="181"/>
        <v/>
      </c>
      <c r="CD80" s="556" t="e">
        <f ca="1">IF(ROUND(CD31,2)=0,"ok","!")</f>
        <v>#VALUE!</v>
      </c>
      <c r="CE80" s="601">
        <f t="shared" ca="1" si="182"/>
        <v>19.014498871173036</v>
      </c>
      <c r="CF80" s="603">
        <f t="shared" ca="1" si="183"/>
        <v>19.014498871173036</v>
      </c>
      <c r="CG80" s="602" t="str">
        <f t="shared" si="184"/>
        <v/>
      </c>
      <c r="CH80" s="602" t="str">
        <f t="shared" si="135"/>
        <v/>
      </c>
      <c r="CI80" s="602" t="str">
        <f t="shared" si="185"/>
        <v/>
      </c>
      <c r="CJ80" s="556" t="str">
        <f ca="1">IF(ROUND(CJ31,2)=0,"ok","!")</f>
        <v>ok</v>
      </c>
      <c r="CK80" s="601">
        <f t="shared" ca="1" si="186"/>
        <v>1.488547054477074</v>
      </c>
      <c r="CL80" s="603">
        <f t="shared" ca="1" si="187"/>
        <v>1.488547054477074</v>
      </c>
      <c r="CM80" s="602" t="str">
        <f t="shared" si="188"/>
        <v/>
      </c>
      <c r="CN80" s="602" t="str">
        <f t="shared" si="136"/>
        <v/>
      </c>
      <c r="CO80" s="602" t="str">
        <f t="shared" si="189"/>
        <v/>
      </c>
      <c r="CP80" s="556" t="str">
        <f ca="1">IF(ROUND(CP31,2)=0,"ok","!")</f>
        <v>ok</v>
      </c>
      <c r="CQ80" s="601">
        <f t="shared" ca="1" si="190"/>
        <v>-3.501052380763281</v>
      </c>
      <c r="CR80" s="603">
        <f t="shared" ca="1" si="191"/>
        <v>-3.501052380763281</v>
      </c>
      <c r="CS80" s="602" t="str">
        <f t="shared" si="192"/>
        <v/>
      </c>
      <c r="CT80" s="602" t="str">
        <f t="shared" si="42"/>
        <v/>
      </c>
      <c r="CU80" s="602" t="str">
        <f t="shared" si="193"/>
        <v/>
      </c>
      <c r="CV80" s="556" t="str">
        <f ca="1">IF(ROUND(CV31,2)=0,"ok","!")</f>
        <v>ok</v>
      </c>
      <c r="CW80" s="601">
        <f t="shared" ca="1" si="194"/>
        <v>5.9266209590908892</v>
      </c>
      <c r="CX80" s="603">
        <f t="shared" ca="1" si="195"/>
        <v>5.9266209590908892</v>
      </c>
      <c r="CY80" s="602" t="str">
        <f t="shared" si="196"/>
        <v/>
      </c>
      <c r="CZ80" s="602" t="str">
        <f t="shared" si="47"/>
        <v/>
      </c>
      <c r="DA80" s="602" t="str">
        <f t="shared" si="197"/>
        <v/>
      </c>
      <c r="DB80" s="556" t="str">
        <f ca="1">IF(ROUND(DB31,2)=0,"ok","!")</f>
        <v>ok</v>
      </c>
      <c r="DC80" s="601">
        <f t="shared" ca="1" si="198"/>
        <v>2.0287858106725842</v>
      </c>
      <c r="DD80" s="603">
        <f t="shared" ca="1" si="199"/>
        <v>2.0287858106725842</v>
      </c>
      <c r="DE80" s="602" t="str">
        <f t="shared" si="200"/>
        <v/>
      </c>
      <c r="DF80" s="602" t="str">
        <f t="shared" si="52"/>
        <v/>
      </c>
      <c r="DG80" s="602" t="str">
        <f t="shared" si="201"/>
        <v/>
      </c>
      <c r="DH80" s="556" t="str">
        <f ca="1">IF(ROUND(DH31,2)=0,"ok","!")</f>
        <v>ok</v>
      </c>
      <c r="DI80" s="601">
        <f t="shared" ca="1" si="202"/>
        <v>6.3027065997167009</v>
      </c>
      <c r="DJ80" s="603">
        <f t="shared" ca="1" si="203"/>
        <v>6.3027065997167009</v>
      </c>
      <c r="DK80" s="602" t="str">
        <f t="shared" si="204"/>
        <v/>
      </c>
      <c r="DL80" s="602" t="str">
        <f t="shared" si="57"/>
        <v/>
      </c>
      <c r="DM80" s="602" t="str">
        <f t="shared" si="205"/>
        <v/>
      </c>
      <c r="DN80" s="556" t="str">
        <f ca="1">IF(ROUND(DN31,2)=0,"ok","!")</f>
        <v>ok</v>
      </c>
      <c r="DO80" s="601">
        <f t="shared" ca="1" si="206"/>
        <v>6.2731341073756663</v>
      </c>
      <c r="DP80" s="603">
        <f t="shared" ca="1" si="207"/>
        <v>6.2731341073756663</v>
      </c>
      <c r="DQ80" s="602" t="str">
        <f t="shared" si="208"/>
        <v/>
      </c>
      <c r="DR80" s="602" t="str">
        <f t="shared" si="62"/>
        <v/>
      </c>
      <c r="DS80" s="602" t="str">
        <f t="shared" si="209"/>
        <v/>
      </c>
      <c r="DT80" s="556" t="str">
        <f ca="1">IF(ROUND(DT31,2)=0,"ok","!")</f>
        <v>ok</v>
      </c>
      <c r="DU80" s="601">
        <f t="shared" ca="1" si="210"/>
        <v>6.9625614855861606</v>
      </c>
      <c r="DV80" s="603">
        <f t="shared" ca="1" si="211"/>
        <v>6.9625614855861606</v>
      </c>
      <c r="DW80" s="602" t="str">
        <f t="shared" si="212"/>
        <v/>
      </c>
      <c r="DX80" s="602" t="str">
        <f t="shared" si="67"/>
        <v/>
      </c>
      <c r="DY80" s="602" t="str">
        <f t="shared" si="213"/>
        <v/>
      </c>
      <c r="DZ80" s="556" t="str">
        <f ca="1">IF(ROUND(DZ31,2)=0,"ok","!")</f>
        <v>ok</v>
      </c>
      <c r="EA80" s="601">
        <f t="shared" ca="1" si="214"/>
        <v>8.3658257844406059</v>
      </c>
      <c r="EB80" s="603">
        <f t="shared" ca="1" si="215"/>
        <v>8.3658257844406059</v>
      </c>
      <c r="EC80" s="602" t="str">
        <f t="shared" si="216"/>
        <v/>
      </c>
      <c r="ED80" s="602" t="str">
        <f t="shared" si="72"/>
        <v/>
      </c>
      <c r="EE80" s="602" t="str">
        <f t="shared" si="217"/>
        <v/>
      </c>
      <c r="EF80" s="556" t="str">
        <f ca="1">IF(ROUND(EF31,2)=0,"ok","!")</f>
        <v>ok</v>
      </c>
      <c r="EG80" s="601">
        <f t="shared" ca="1" si="218"/>
        <v>12.016213302456858</v>
      </c>
      <c r="EH80" s="603">
        <f t="shared" ca="1" si="219"/>
        <v>12.016213302456858</v>
      </c>
      <c r="EI80" s="602" t="str">
        <f t="shared" si="220"/>
        <v/>
      </c>
      <c r="EJ80" s="602" t="str">
        <f t="shared" si="77"/>
        <v/>
      </c>
      <c r="EK80" s="602" t="str">
        <f t="shared" si="221"/>
        <v/>
      </c>
      <c r="EL80" s="556" t="str">
        <f ca="1">IF(ROUND(EL31,2)=0,"ok","!")</f>
        <v>ok</v>
      </c>
      <c r="EM80" s="601">
        <f t="shared" ca="1" si="222"/>
        <v>6.6643995761564545</v>
      </c>
      <c r="EN80" s="603">
        <f t="shared" ca="1" si="223"/>
        <v>6.6643995761564545</v>
      </c>
      <c r="EO80" s="602" t="str">
        <f t="shared" si="224"/>
        <v/>
      </c>
      <c r="EP80" s="602" t="str">
        <f t="shared" si="82"/>
        <v/>
      </c>
      <c r="EQ80" s="602" t="str">
        <f t="shared" si="225"/>
        <v/>
      </c>
      <c r="ER80" s="556" t="str">
        <f ca="1">IF(ROUND(ER31,2)=0,"ok","!")</f>
        <v>ok</v>
      </c>
      <c r="ES80" s="601">
        <f t="shared" ca="1" si="226"/>
        <v>5.7529028213170852</v>
      </c>
      <c r="ET80" s="603">
        <f t="shared" ca="1" si="227"/>
        <v>5.7529028213170852</v>
      </c>
      <c r="EU80" s="602" t="str">
        <f t="shared" si="228"/>
        <v/>
      </c>
      <c r="EV80" s="602" t="str">
        <f t="shared" si="87"/>
        <v/>
      </c>
      <c r="EW80" s="602" t="str">
        <f t="shared" si="229"/>
        <v/>
      </c>
      <c r="EX80" s="556" t="str">
        <f ca="1">IF(ROUND(EX31,2)=0,"ok","!")</f>
        <v>ok</v>
      </c>
    </row>
    <row r="81" spans="2:154">
      <c r="B81" s="600" t="s">
        <v>401</v>
      </c>
      <c r="C81" s="3782" t="s">
        <v>1340</v>
      </c>
      <c r="D81" s="3782"/>
      <c r="E81" s="601"/>
      <c r="F81" s="603"/>
      <c r="G81" s="603"/>
      <c r="H81" s="603"/>
      <c r="I81" s="602"/>
      <c r="J81" s="556"/>
      <c r="K81" s="601">
        <f t="shared" ca="1" si="137"/>
        <v>31.072456513577794</v>
      </c>
      <c r="L81" s="603">
        <f t="shared" ca="1" si="137"/>
        <v>-21.42857142857142</v>
      </c>
      <c r="M81" s="603">
        <f t="shared" ca="1" si="137"/>
        <v>-6.7567567567567766</v>
      </c>
      <c r="N81" s="603">
        <f t="shared" ca="1" si="137"/>
        <v>31.360312657589517</v>
      </c>
      <c r="O81" s="602" t="str">
        <f t="shared" ca="1" si="137"/>
        <v>N</v>
      </c>
      <c r="P81" s="556" t="str">
        <f ca="1">IF(ROUND(P32,2)=0,"ok","!")</f>
        <v>ok</v>
      </c>
      <c r="Q81" s="601">
        <f t="shared" ca="1" si="138"/>
        <v>35.672856597288494</v>
      </c>
      <c r="R81" s="603">
        <f t="shared" ca="1" si="139"/>
        <v>49.999999999999979</v>
      </c>
      <c r="S81" s="603">
        <f t="shared" ca="1" si="140"/>
        <v>38.164251207729464</v>
      </c>
      <c r="T81" s="603">
        <f t="shared" ca="1" si="124"/>
        <v>35.656701377225389</v>
      </c>
      <c r="U81" s="602" t="str">
        <f t="shared" ca="1" si="141"/>
        <v>N</v>
      </c>
      <c r="V81" s="556" t="str">
        <f ca="1">IF(ROUND(V32,2)=0,"ok","!")</f>
        <v>ok</v>
      </c>
      <c r="W81" s="601">
        <f t="shared" ca="1" si="142"/>
        <v>24.826931027506326</v>
      </c>
      <c r="X81" s="603">
        <f t="shared" ca="1" si="143"/>
        <v>48.484848484848506</v>
      </c>
      <c r="Y81" s="603">
        <f t="shared" ca="1" si="144"/>
        <v>23.951048951048961</v>
      </c>
      <c r="Z81" s="603">
        <f t="shared" ca="1" si="125"/>
        <v>24.824457454146696</v>
      </c>
      <c r="AA81" s="602" t="str">
        <f t="shared" ca="1" si="145"/>
        <v>N</v>
      </c>
      <c r="AB81" s="556" t="str">
        <f ca="1">IF(ROUND(AB32,2)=0,"ok","!")</f>
        <v>ok</v>
      </c>
      <c r="AC81" s="601">
        <f t="shared" ca="1" si="146"/>
        <v>9.8860521327348128</v>
      </c>
      <c r="AD81" s="603">
        <f t="shared" ca="1" si="147"/>
        <v>-28.571428571428569</v>
      </c>
      <c r="AE81" s="603">
        <f t="shared" ca="1" si="148"/>
        <v>9.1678420310296271</v>
      </c>
      <c r="AF81" s="603">
        <f t="shared" ca="1" si="126"/>
        <v>9.9030102940863998</v>
      </c>
      <c r="AG81" s="602" t="str">
        <f t="shared" ca="1" si="149"/>
        <v>N</v>
      </c>
      <c r="AH81" s="556" t="str">
        <f ca="1">IF(ROUND(AH32,2)=0,"ok","!")</f>
        <v>!</v>
      </c>
      <c r="AI81" s="601">
        <f t="shared" ca="1" si="150"/>
        <v>0.54929084282955287</v>
      </c>
      <c r="AJ81" s="603">
        <f t="shared" ca="1" si="151"/>
        <v>31.428571428571406</v>
      </c>
      <c r="AK81" s="603">
        <f t="shared" ca="1" si="152"/>
        <v>-20.284237726098198</v>
      </c>
      <c r="AL81" s="603">
        <f t="shared" ca="1" si="127"/>
        <v>-1.0526858638405967</v>
      </c>
      <c r="AM81" s="602" t="str">
        <f t="shared" ca="1" si="153"/>
        <v>N</v>
      </c>
      <c r="AN81" s="556" t="str">
        <f ca="1">IF(ROUND(AN32,2)=0,"ok","!")</f>
        <v>ok</v>
      </c>
      <c r="AO81" s="601">
        <f t="shared" ca="1" si="154"/>
        <v>3.9857635414453307</v>
      </c>
      <c r="AP81" s="603">
        <f t="shared" ca="1" si="155"/>
        <v>-13.043478260869568</v>
      </c>
      <c r="AQ81" s="603">
        <f t="shared" ca="1" si="156"/>
        <v>-25.445705024311181</v>
      </c>
      <c r="AR81" s="603">
        <f t="shared" ca="1" si="128"/>
        <v>4.3662944479914589</v>
      </c>
      <c r="AS81" s="602">
        <f t="shared" ca="1" si="157"/>
        <v>-10.989010989010994</v>
      </c>
      <c r="AT81" s="556" t="str">
        <f ca="1">IF(ROUND(AT32,2)=0,"ok","!")</f>
        <v>ok</v>
      </c>
      <c r="AU81" s="601">
        <f t="shared" ca="1" si="158"/>
        <v>-4.8984297232151031</v>
      </c>
      <c r="AV81" s="603">
        <f t="shared" ca="1" si="159"/>
        <v>-7.4999999999999956</v>
      </c>
      <c r="AW81" s="603">
        <f t="shared" ca="1" si="160"/>
        <v>-5.0000000000000044</v>
      </c>
      <c r="AX81" s="603">
        <f t="shared" ca="1" si="129"/>
        <v>-5.204249794002358</v>
      </c>
      <c r="AY81" s="602">
        <f t="shared" ca="1" si="161"/>
        <v>16.049382716049386</v>
      </c>
      <c r="AZ81" s="556" t="str">
        <f ca="1">IF(ROUND(AZ32,2)=0,"ok","!")</f>
        <v>ok</v>
      </c>
      <c r="BA81" s="601">
        <f t="shared" ca="1" si="162"/>
        <v>7.0814857100908402</v>
      </c>
      <c r="BB81" s="603">
        <f t="shared" ca="1" si="163"/>
        <v>13.513513513513509</v>
      </c>
      <c r="BC81" s="603">
        <f t="shared" ca="1" si="164"/>
        <v>21.052631578947391</v>
      </c>
      <c r="BD81" s="603">
        <f t="shared" ca="1" si="130"/>
        <v>7.2810962801019619</v>
      </c>
      <c r="BE81" s="602">
        <f t="shared" ca="1" si="165"/>
        <v>-6.3829787234042428</v>
      </c>
      <c r="BF81" s="556" t="str">
        <f ca="1">IF(ROUND(BF32,2)=0,"ok","!")</f>
        <v>ok</v>
      </c>
      <c r="BG81" s="601">
        <f t="shared" ca="1" si="166"/>
        <v>9.0239653013330035</v>
      </c>
      <c r="BH81" s="603">
        <f t="shared" ca="1" si="167"/>
        <v>4.7619047619047672</v>
      </c>
      <c r="BI81" s="603">
        <f t="shared" ca="1" si="168"/>
        <v>15.122873345935716</v>
      </c>
      <c r="BJ81" s="603">
        <f t="shared" ca="1" si="131"/>
        <v>9.1464312897443953</v>
      </c>
      <c r="BK81" s="602">
        <f t="shared" ca="1" si="169"/>
        <v>0</v>
      </c>
      <c r="BL81" s="556" t="str">
        <f ca="1">IF(ROUND(BL32,2)=0,"ok","!")</f>
        <v>ok</v>
      </c>
      <c r="BM81" s="601">
        <f t="shared" ca="1" si="170"/>
        <v>14.795350050965306</v>
      </c>
      <c r="BN81" s="603">
        <f t="shared" ca="1" si="171"/>
        <v>27.27272727272727</v>
      </c>
      <c r="BO81" s="603">
        <f t="shared" ca="1" si="172"/>
        <v>1388.6699507389162</v>
      </c>
      <c r="BP81" s="603">
        <f t="shared" ca="1" si="132"/>
        <v>10.101396379423777</v>
      </c>
      <c r="BQ81" s="602">
        <f t="shared" ca="1" si="173"/>
        <v>13.785454545454545</v>
      </c>
      <c r="BR81" s="556" t="str">
        <f ca="1">IF(ROUND(BR32,2)=0,"ok","!")</f>
        <v>ok</v>
      </c>
      <c r="BS81" s="601">
        <f t="shared" ca="1" si="174"/>
        <v>13.064422211635174</v>
      </c>
      <c r="BT81" s="603">
        <f t="shared" ca="1" si="175"/>
        <v>21.42857142857142</v>
      </c>
      <c r="BU81" s="603">
        <f t="shared" ca="1" si="176"/>
        <v>23.891462607544668</v>
      </c>
      <c r="BV81" s="603">
        <f t="shared" ca="1" si="133"/>
        <v>12.805254904765073</v>
      </c>
      <c r="BW81" s="602">
        <f t="shared" ca="1" si="177"/>
        <v>-3.4482758620689724</v>
      </c>
      <c r="BX81" s="556" t="str">
        <f ca="1">IF(ROUND(BX32,2)=0,"ok","!")</f>
        <v>ok</v>
      </c>
      <c r="BY81" s="601">
        <f t="shared" ca="1" si="178"/>
        <v>26.626629608978991</v>
      </c>
      <c r="BZ81" s="603">
        <f t="shared" ca="1" si="179"/>
        <v>25</v>
      </c>
      <c r="CA81" s="603">
        <f t="shared" ca="1" si="180"/>
        <v>28.303062678062709</v>
      </c>
      <c r="CB81" s="603">
        <f t="shared" ca="1" si="134"/>
        <v>27.015290990676899</v>
      </c>
      <c r="CC81" s="602">
        <f t="shared" ca="1" si="181"/>
        <v>-10.71428571428571</v>
      </c>
      <c r="CD81" s="556" t="str">
        <f ca="1">IF(ROUND(CD32,2)=0,"ok","!")</f>
        <v>ok</v>
      </c>
      <c r="CE81" s="601">
        <f t="shared" ca="1" si="182"/>
        <v>33.07003509149331</v>
      </c>
      <c r="CF81" s="603">
        <f t="shared" ca="1" si="183"/>
        <v>2.3529411764706021</v>
      </c>
      <c r="CG81" s="603">
        <f t="shared" ca="1" si="184"/>
        <v>17.007841232391897</v>
      </c>
      <c r="CH81" s="603">
        <f t="shared" ca="1" si="135"/>
        <v>33.914057152635159</v>
      </c>
      <c r="CI81" s="602">
        <f t="shared" ca="1" si="185"/>
        <v>32.000000000000007</v>
      </c>
      <c r="CJ81" s="556" t="str">
        <f ca="1">IF(ROUND(CJ32,2)=0,"ok","!")</f>
        <v>ok</v>
      </c>
      <c r="CK81" s="601">
        <f t="shared" ca="1" si="186"/>
        <v>13.863306844761492</v>
      </c>
      <c r="CL81" s="603">
        <f t="shared" ca="1" si="187"/>
        <v>-6.8965517241379342</v>
      </c>
      <c r="CM81" s="603">
        <f t="shared" ca="1" si="188"/>
        <v>-25.744277072707867</v>
      </c>
      <c r="CN81" s="603">
        <f t="shared" ca="1" si="136"/>
        <v>15.92753796802835</v>
      </c>
      <c r="CO81" s="602">
        <f t="shared" ca="1" si="189"/>
        <v>-18.181818181818187</v>
      </c>
      <c r="CP81" s="556" t="str">
        <f ca="1">IF(ROUND(CP32,2)=0,"ok","!")</f>
        <v>ok</v>
      </c>
      <c r="CQ81" s="601">
        <f t="shared" ca="1" si="190"/>
        <v>-7.7357368815692107</v>
      </c>
      <c r="CR81" s="603">
        <f t="shared" ca="1" si="191"/>
        <v>-3.703703703703709</v>
      </c>
      <c r="CS81" s="603">
        <f t="shared" ca="1" si="192"/>
        <v>-5.5107419535180835</v>
      </c>
      <c r="CT81" s="603">
        <f t="shared" ca="1" si="42"/>
        <v>-7.9402768464852391</v>
      </c>
      <c r="CU81" s="602">
        <f t="shared" ca="1" si="193"/>
        <v>14.814814814814813</v>
      </c>
      <c r="CV81" s="556" t="str">
        <f ca="1">IF(ROUND(CV32,2)=0,"ok","!")</f>
        <v>ok</v>
      </c>
      <c r="CW81" s="601">
        <f t="shared" ca="1" si="194"/>
        <v>-1.8597907705328542</v>
      </c>
      <c r="CX81" s="603">
        <f t="shared" ca="1" si="195"/>
        <v>11.538461538461565</v>
      </c>
      <c r="CY81" s="603">
        <f t="shared" ca="1" si="196"/>
        <v>33.234722339616262</v>
      </c>
      <c r="CZ81" s="603">
        <f t="shared" ca="1" si="47"/>
        <v>-2.6380775159766445</v>
      </c>
      <c r="DA81" s="602">
        <f t="shared" ca="1" si="197"/>
        <v>-35.483870967741936</v>
      </c>
      <c r="DB81" s="556" t="str">
        <f ca="1">IF(ROUND(DB32,2)=0,"ok","!")</f>
        <v>ok</v>
      </c>
      <c r="DC81" s="601">
        <f t="shared" ca="1" si="198"/>
        <v>1.5059827719687169</v>
      </c>
      <c r="DD81" s="603">
        <f t="shared" ca="1" si="199"/>
        <v>-2.298850574712652</v>
      </c>
      <c r="DE81" s="603">
        <f t="shared" ca="1" si="200"/>
        <v>-13.138361986931423</v>
      </c>
      <c r="DF81" s="603">
        <f t="shared" ca="1" si="52"/>
        <v>2.1828131645154514</v>
      </c>
      <c r="DG81" s="602">
        <f t="shared" ca="1" si="201"/>
        <v>-14.999999999999991</v>
      </c>
      <c r="DH81" s="556" t="str">
        <f ca="1">IF(ROUND(DH32,2)=0,"ok","!")</f>
        <v>ok</v>
      </c>
      <c r="DI81" s="601">
        <f t="shared" ca="1" si="202"/>
        <v>-0.78876421308221589</v>
      </c>
      <c r="DJ81" s="603">
        <f t="shared" ca="1" si="203"/>
        <v>3.529411764705892</v>
      </c>
      <c r="DK81" s="603">
        <f t="shared" ca="1" si="204"/>
        <v>9.7575226409582392</v>
      </c>
      <c r="DL81" s="603">
        <f t="shared" ca="1" si="57"/>
        <v>-0.85422297551411841</v>
      </c>
      <c r="DM81" s="602">
        <f t="shared" ca="1" si="205"/>
        <v>-70.588235294117638</v>
      </c>
      <c r="DN81" s="556" t="str">
        <f ca="1">IF(ROUND(DN32,2)=0,"ok","!")</f>
        <v>ok</v>
      </c>
      <c r="DO81" s="601">
        <f t="shared" ca="1" si="206"/>
        <v>0.51842715380816529</v>
      </c>
      <c r="DP81" s="603">
        <f t="shared" ca="1" si="207"/>
        <v>13.636363636363624</v>
      </c>
      <c r="DQ81" s="603">
        <f t="shared" ca="1" si="208"/>
        <v>5.8823529411764719</v>
      </c>
      <c r="DR81" s="603">
        <f t="shared" ca="1" si="62"/>
        <v>0.33760289301654201</v>
      </c>
      <c r="DS81" s="602">
        <f t="shared" ca="1" si="209"/>
        <v>-19.999999999999996</v>
      </c>
      <c r="DT81" s="556" t="str">
        <f ca="1">IF(ROUND(DT32,2)=0,"ok","!")</f>
        <v>ok</v>
      </c>
      <c r="DU81" s="601">
        <f t="shared" ca="1" si="210"/>
        <v>2.5535962360413</v>
      </c>
      <c r="DV81" s="603">
        <f t="shared" ca="1" si="211"/>
        <v>-10.000000000000009</v>
      </c>
      <c r="DW81" s="603">
        <f t="shared" ca="1" si="212"/>
        <v>8.9617898441427748</v>
      </c>
      <c r="DX81" s="603">
        <f t="shared" ca="1" si="67"/>
        <v>2.1763238148045483</v>
      </c>
      <c r="DY81" s="602">
        <f t="shared" ca="1" si="213"/>
        <v>125</v>
      </c>
      <c r="DZ81" s="556" t="str">
        <f ca="1">IF(ROUND(DZ32,2)=0,"ok","!")</f>
        <v>ok</v>
      </c>
      <c r="EA81" s="601">
        <f t="shared" ca="1" si="214"/>
        <v>5.1574930439687083</v>
      </c>
      <c r="EB81" s="603">
        <f t="shared" ca="1" si="215"/>
        <v>4.4444444444444509</v>
      </c>
      <c r="EC81" s="603">
        <f t="shared" ca="1" si="216"/>
        <v>8.2939208674587483</v>
      </c>
      <c r="ED81" s="603">
        <f t="shared" ca="1" si="72"/>
        <v>5.0842984176317607</v>
      </c>
      <c r="EE81" s="602">
        <f t="shared" ca="1" si="217"/>
        <v>-22.222222222222211</v>
      </c>
      <c r="EF81" s="556" t="str">
        <f ca="1">IF(ROUND(EF32,2)=0,"ok","!")</f>
        <v>ok</v>
      </c>
      <c r="EG81" s="601">
        <f t="shared" ca="1" si="218"/>
        <v>11.663491529151448</v>
      </c>
      <c r="EH81" s="603">
        <f t="shared" ca="1" si="219"/>
        <v>4.2999999999999927</v>
      </c>
      <c r="EI81" s="603">
        <f t="shared" ca="1" si="220"/>
        <v>4.4999999999999929</v>
      </c>
      <c r="EJ81" s="603">
        <f t="shared" ca="1" si="77"/>
        <v>12.000000000000011</v>
      </c>
      <c r="EK81" s="602">
        <f t="shared" ca="1" si="221"/>
        <v>0</v>
      </c>
      <c r="EL81" s="556" t="str">
        <f ca="1">IF(ROUND(EL32,2)=0,"ok","!")</f>
        <v>ok</v>
      </c>
      <c r="EM81" s="601">
        <f t="shared" ca="1" si="222"/>
        <v>11.68588141609268</v>
      </c>
      <c r="EN81" s="603">
        <f t="shared" ca="1" si="223"/>
        <v>4.4999999999999929</v>
      </c>
      <c r="EO81" s="603">
        <f t="shared" ca="1" si="224"/>
        <v>4.4999999999999929</v>
      </c>
      <c r="EP81" s="603">
        <f t="shared" ca="1" si="82"/>
        <v>12.000000000000011</v>
      </c>
      <c r="EQ81" s="602">
        <f t="shared" ca="1" si="225"/>
        <v>0</v>
      </c>
      <c r="ER81" s="556" t="str">
        <f ca="1">IF(ROUND(ER32,2)=0,"ok","!")</f>
        <v>ok</v>
      </c>
      <c r="ES81" s="601">
        <f t="shared" ca="1" si="226"/>
        <v>5.9367827339498191</v>
      </c>
      <c r="ET81" s="603">
        <f t="shared" ca="1" si="227"/>
        <v>4.2999999999999927</v>
      </c>
      <c r="EU81" s="603">
        <f t="shared" ca="1" si="228"/>
        <v>4.4999999999999929</v>
      </c>
      <c r="EV81" s="603">
        <f t="shared" ca="1" si="87"/>
        <v>6.0000000000000053</v>
      </c>
      <c r="EW81" s="602">
        <f t="shared" ca="1" si="229"/>
        <v>0</v>
      </c>
      <c r="EX81" s="556" t="str">
        <f ca="1">IF(ROUND(EX32,2)=0,"ok","!")</f>
        <v>ok</v>
      </c>
    </row>
    <row r="82" spans="2:154">
      <c r="B82" s="600" t="s">
        <v>401</v>
      </c>
      <c r="C82" s="3782" t="s">
        <v>1341</v>
      </c>
      <c r="D82" s="3782"/>
      <c r="E82" s="601"/>
      <c r="F82" s="603"/>
      <c r="G82" s="603"/>
      <c r="H82" s="603"/>
      <c r="I82" s="603"/>
      <c r="J82" s="556"/>
      <c r="K82" s="601">
        <f t="shared" ca="1" si="137"/>
        <v>24.213533834586464</v>
      </c>
      <c r="L82" s="603">
        <f t="shared" ca="1" si="137"/>
        <v>29.790794979079504</v>
      </c>
      <c r="M82" s="603">
        <f t="shared" ca="1" si="137"/>
        <v>24.060899749115027</v>
      </c>
      <c r="N82" s="603">
        <f t="shared" ca="1" si="137"/>
        <v>-3.169014084507038</v>
      </c>
      <c r="O82" s="603" t="str">
        <f t="shared" si="137"/>
        <v/>
      </c>
      <c r="P82" s="556" t="str">
        <f ca="1">IF(ROUND(P33,2)=0,"ok","!")</f>
        <v>ok</v>
      </c>
      <c r="Q82" s="601">
        <f t="shared" ca="1" si="138"/>
        <v>49.613810803612466</v>
      </c>
      <c r="R82" s="603">
        <f t="shared" ca="1" si="139"/>
        <v>-57.683215130023633</v>
      </c>
      <c r="S82" s="603">
        <f t="shared" ca="1" si="140"/>
        <v>2.2438916283450405</v>
      </c>
      <c r="T82" s="603">
        <f t="shared" ca="1" si="124"/>
        <v>4066.3636363636365</v>
      </c>
      <c r="U82" s="603" t="str">
        <f t="shared" si="141"/>
        <v/>
      </c>
      <c r="V82" s="556" t="str">
        <f ca="1">IF(ROUND(V33,2)=0,"ok","!")</f>
        <v>ok</v>
      </c>
      <c r="W82" s="601">
        <f t="shared" ca="1" si="142"/>
        <v>-32.470222682547892</v>
      </c>
      <c r="X82" s="603">
        <f t="shared" ca="1" si="143"/>
        <v>29.812087353986772</v>
      </c>
      <c r="Y82" s="603">
        <f t="shared" ca="1" si="144"/>
        <v>-16.316245800368467</v>
      </c>
      <c r="Z82" s="603">
        <f t="shared" ca="1" si="125"/>
        <v>-63.840279293039494</v>
      </c>
      <c r="AA82" s="603" t="str">
        <f t="shared" si="145"/>
        <v/>
      </c>
      <c r="AB82" s="556" t="str">
        <f ca="1">IF(ROUND(AB33,2)=0,"ok","!")</f>
        <v>ok</v>
      </c>
      <c r="AC82" s="601">
        <f t="shared" ca="1" si="146"/>
        <v>-9.1185774539877187</v>
      </c>
      <c r="AD82" s="603">
        <f t="shared" ca="1" si="147"/>
        <v>53.59937402190922</v>
      </c>
      <c r="AE82" s="603">
        <f t="shared" ca="1" si="148"/>
        <v>-10.658550799715083</v>
      </c>
      <c r="AF82" s="603">
        <f t="shared" ca="1" si="126"/>
        <v>-22.725078445570844</v>
      </c>
      <c r="AG82" s="603" t="str">
        <f t="shared" si="149"/>
        <v/>
      </c>
      <c r="AH82" s="556" t="str">
        <f ca="1">IF(ROUND(AH33,2)=0,"ok","!")</f>
        <v>ok</v>
      </c>
      <c r="AI82" s="601">
        <f t="shared" ca="1" si="150"/>
        <v>-20.248925454209864</v>
      </c>
      <c r="AJ82" s="603">
        <f t="shared" ca="1" si="151"/>
        <v>-6.2149770759042262</v>
      </c>
      <c r="AK82" s="603">
        <f t="shared" ca="1" si="152"/>
        <v>-8.5417119663695136</v>
      </c>
      <c r="AL82" s="603">
        <f t="shared" ca="1" si="127"/>
        <v>-79.306575042948623</v>
      </c>
      <c r="AM82" s="603" t="str">
        <f t="shared" si="153"/>
        <v/>
      </c>
      <c r="AN82" s="556" t="str">
        <f ca="1">IF(ROUND(AN33,2)=0,"ok","!")</f>
        <v>ok</v>
      </c>
      <c r="AO82" s="601">
        <f t="shared" ca="1" si="154"/>
        <v>12.260283031345075</v>
      </c>
      <c r="AP82" s="603">
        <f t="shared" ca="1" si="155"/>
        <v>13.498098859315588</v>
      </c>
      <c r="AQ82" s="603">
        <f t="shared" ca="1" si="156"/>
        <v>-2.7776677101081559</v>
      </c>
      <c r="AR82" s="603">
        <f t="shared" ca="1" si="128"/>
        <v>295.24528301886789</v>
      </c>
      <c r="AS82" s="603" t="str">
        <f t="shared" si="157"/>
        <v/>
      </c>
      <c r="AT82" s="556" t="str">
        <f ca="1">IF(ROUND(AT33,2)=0,"ok","!")</f>
        <v>ok</v>
      </c>
      <c r="AU82" s="601">
        <f t="shared" ca="1" si="158"/>
        <v>14.05219132893496</v>
      </c>
      <c r="AV82" s="603">
        <f t="shared" ca="1" si="159"/>
        <v>116.48719789423305</v>
      </c>
      <c r="AW82" s="603">
        <f t="shared" ca="1" si="160"/>
        <v>13.575970003260519</v>
      </c>
      <c r="AX82" s="603">
        <f t="shared" ca="1" si="129"/>
        <v>-65.457322894787097</v>
      </c>
      <c r="AY82" s="603" t="str">
        <f t="shared" si="161"/>
        <v/>
      </c>
      <c r="AZ82" s="556" t="str">
        <f ca="1">IF(ROUND(AZ33,2)=0,"ok","!")</f>
        <v>ok</v>
      </c>
      <c r="BA82" s="601">
        <f t="shared" ca="1" si="162"/>
        <v>-25.421584071482073</v>
      </c>
      <c r="BB82" s="603">
        <f t="shared" ca="1" si="163"/>
        <v>-16.46954791643639</v>
      </c>
      <c r="BC82" s="603">
        <f t="shared" ca="1" si="164"/>
        <v>-33.193382854272087</v>
      </c>
      <c r="BD82" s="603">
        <f t="shared" ca="1" si="130"/>
        <v>49.530127142067457</v>
      </c>
      <c r="BE82" s="603" t="str">
        <f t="shared" si="165"/>
        <v/>
      </c>
      <c r="BF82" s="556" t="str">
        <f ca="1">IF(ROUND(BF33,2)=0,"ok","!")</f>
        <v>ok</v>
      </c>
      <c r="BG82" s="601">
        <f t="shared" ca="1" si="166"/>
        <v>45.150455348176877</v>
      </c>
      <c r="BH82" s="603">
        <f t="shared" ca="1" si="167"/>
        <v>-25.817123197035851</v>
      </c>
      <c r="BI82" s="603">
        <f t="shared" ca="1" si="168"/>
        <v>24.386313584358387</v>
      </c>
      <c r="BJ82" s="603">
        <f t="shared" ca="1" si="131"/>
        <v>386.32162661737522</v>
      </c>
      <c r="BK82" s="603" t="str">
        <f t="shared" si="169"/>
        <v/>
      </c>
      <c r="BL82" s="556" t="str">
        <f ca="1">IF(ROUND(BL33,2)=0,"ok","!")</f>
        <v>ok</v>
      </c>
      <c r="BM82" s="601">
        <f t="shared" ca="1" si="170"/>
        <v>86.664440097332871</v>
      </c>
      <c r="BN82" s="603">
        <f t="shared" ca="1" si="171"/>
        <v>43.168034249018916</v>
      </c>
      <c r="BO82" s="603">
        <f t="shared" ca="1" si="172"/>
        <v>40.74361963984974</v>
      </c>
      <c r="BP82" s="603">
        <f t="shared" ca="1" si="132"/>
        <v>186.03572786012919</v>
      </c>
      <c r="BQ82" s="603" t="str">
        <f t="shared" si="173"/>
        <v/>
      </c>
      <c r="BR82" s="556" t="str">
        <f ca="1">IF(ROUND(BR33,2)=0,"ok","!")</f>
        <v>ok</v>
      </c>
      <c r="BS82" s="601">
        <f t="shared" ca="1" si="174"/>
        <v>-4.0014825038979573</v>
      </c>
      <c r="BT82" s="603">
        <f t="shared" ca="1" si="175"/>
        <v>49.439322202840728</v>
      </c>
      <c r="BU82" s="603">
        <f t="shared" ca="1" si="176"/>
        <v>1.224226804123707</v>
      </c>
      <c r="BV82" s="603">
        <f t="shared" ca="1" si="133"/>
        <v>-19.926650366748156</v>
      </c>
      <c r="BW82" s="603" t="str">
        <f t="shared" si="177"/>
        <v/>
      </c>
      <c r="BX82" s="556" t="str">
        <f ca="1">IF(ROUND(BX33,2)=0,"ok","!")</f>
        <v>ok</v>
      </c>
      <c r="BY82" s="601">
        <f t="shared" ca="1" si="178"/>
        <v>22.661252745789785</v>
      </c>
      <c r="BZ82" s="603">
        <f t="shared" ca="1" si="179"/>
        <v>14.740703685175927</v>
      </c>
      <c r="CA82" s="603">
        <f t="shared" ca="1" si="180"/>
        <v>22.196962808038535</v>
      </c>
      <c r="CB82" s="603">
        <f t="shared" ca="1" si="134"/>
        <v>26.322602057749744</v>
      </c>
      <c r="CC82" s="603" t="str">
        <f t="shared" si="181"/>
        <v/>
      </c>
      <c r="CD82" s="556" t="str">
        <f ca="1">IF(ROUND(CD33,2)=0,"ok","!")</f>
        <v>ok</v>
      </c>
      <c r="CE82" s="601">
        <f t="shared" ca="1" si="182"/>
        <v>50.678880362937818</v>
      </c>
      <c r="CF82" s="603">
        <f t="shared" ca="1" si="183"/>
        <v>-14.191251271617489</v>
      </c>
      <c r="CG82" s="603">
        <f t="shared" ca="1" si="184"/>
        <v>96.30153296621522</v>
      </c>
      <c r="CH82" s="603">
        <f t="shared" ca="1" si="135"/>
        <v>25.81119781403536</v>
      </c>
      <c r="CI82" s="603" t="str">
        <f t="shared" si="185"/>
        <v/>
      </c>
      <c r="CJ82" s="556" t="str">
        <f ca="1">IF(ROUND(CJ33,2)=0,"ok","!")</f>
        <v>ok</v>
      </c>
      <c r="CK82" s="601">
        <f t="shared" ca="1" si="186"/>
        <v>-8.4894584062637506</v>
      </c>
      <c r="CL82" s="603">
        <f t="shared" ca="1" si="187"/>
        <v>-7.6213057837242744</v>
      </c>
      <c r="CM82" s="603">
        <f t="shared" ca="1" si="188"/>
        <v>-9.850006949972844</v>
      </c>
      <c r="CN82" s="603">
        <f t="shared" ca="1" si="136"/>
        <v>-6.4550485538268809</v>
      </c>
      <c r="CO82" s="603" t="str">
        <f t="shared" si="189"/>
        <v/>
      </c>
      <c r="CP82" s="556" t="str">
        <f ca="1">IF(ROUND(CP33,2)=0,"ok","!")</f>
        <v>ok</v>
      </c>
      <c r="CQ82" s="601">
        <f t="shared" ca="1" si="190"/>
        <v>-13.17407217914911</v>
      </c>
      <c r="CR82" s="603">
        <f t="shared" ca="1" si="191"/>
        <v>3.9050325419378362</v>
      </c>
      <c r="CS82" s="603">
        <f t="shared" ca="1" si="192"/>
        <v>-9.8581480754674544</v>
      </c>
      <c r="CT82" s="603">
        <f t="shared" ca="1" si="42"/>
        <v>-22.614635888735101</v>
      </c>
      <c r="CU82" s="603" t="str">
        <f t="shared" si="193"/>
        <v/>
      </c>
      <c r="CV82" s="556" t="str">
        <f ca="1">IF(ROUND(CV33,2)=0,"ok","!")</f>
        <v>ok</v>
      </c>
      <c r="CW82" s="601">
        <f t="shared" ca="1" si="194"/>
        <v>22.737244805453827</v>
      </c>
      <c r="CX82" s="603">
        <f t="shared" ca="1" si="195"/>
        <v>21.490957212174688</v>
      </c>
      <c r="CY82" s="603">
        <f t="shared" ca="1" si="196"/>
        <v>11.606462548010366</v>
      </c>
      <c r="CZ82" s="603">
        <f t="shared" ca="1" si="47"/>
        <v>43.794714978075234</v>
      </c>
      <c r="DA82" s="603" t="str">
        <f t="shared" si="197"/>
        <v/>
      </c>
      <c r="DB82" s="556" t="str">
        <f ca="1">IF(ROUND(DB33,2)=0,"ok","!")</f>
        <v>ok</v>
      </c>
      <c r="DC82" s="601">
        <f t="shared" ca="1" si="198"/>
        <v>-4.4774686274364868</v>
      </c>
      <c r="DD82" s="603">
        <f t="shared" ca="1" si="199"/>
        <v>-8.713964127514684E-2</v>
      </c>
      <c r="DE82" s="603">
        <f t="shared" ca="1" si="200"/>
        <v>-3.8691429924902043</v>
      </c>
      <c r="DF82" s="603">
        <f t="shared" ca="1" si="52"/>
        <v>-6.5663557026782948</v>
      </c>
      <c r="DG82" s="603" t="str">
        <f t="shared" si="201"/>
        <v/>
      </c>
      <c r="DH82" s="556" t="str">
        <f ca="1">IF(ROUND(DH33,2)=0,"ok","!")</f>
        <v>ok</v>
      </c>
      <c r="DI82" s="601">
        <f t="shared" ca="1" si="202"/>
        <v>8.6872810781970955</v>
      </c>
      <c r="DJ82" s="603">
        <f t="shared" ca="1" si="203"/>
        <v>1.4535940111937151E-2</v>
      </c>
      <c r="DK82" s="603">
        <f t="shared" ca="1" si="204"/>
        <v>3.4422285349875459</v>
      </c>
      <c r="DL82" s="603">
        <f t="shared" ca="1" si="57"/>
        <v>19.020012024392319</v>
      </c>
      <c r="DM82" s="603" t="str">
        <f t="shared" si="205"/>
        <v/>
      </c>
      <c r="DN82" s="556" t="str">
        <f ca="1">IF(ROUND(DN33,2)=0,"ok","!")</f>
        <v>ok</v>
      </c>
      <c r="DO82" s="601">
        <f t="shared" ca="1" si="206"/>
        <v>-1.7686145615457893</v>
      </c>
      <c r="DP82" s="603">
        <f t="shared" ca="1" si="207"/>
        <v>2.0856042438776035</v>
      </c>
      <c r="DQ82" s="603">
        <f t="shared" ca="1" si="208"/>
        <v>1.5650614395202433</v>
      </c>
      <c r="DR82" s="603">
        <f t="shared" ca="1" si="62"/>
        <v>-7.0178603644235888</v>
      </c>
      <c r="DS82" s="603" t="str">
        <f t="shared" si="209"/>
        <v/>
      </c>
      <c r="DT82" s="556" t="str">
        <f ca="1">IF(ROUND(DT33,2)=0,"ok","!")</f>
        <v>ok</v>
      </c>
      <c r="DU82" s="601">
        <f t="shared" ca="1" si="210"/>
        <v>7.5226686752223548</v>
      </c>
      <c r="DV82" s="603">
        <f t="shared" ca="1" si="211"/>
        <v>8.0011389521640108</v>
      </c>
      <c r="DW82" s="603">
        <f t="shared" ca="1" si="212"/>
        <v>7.4412316521355493</v>
      </c>
      <c r="DX82" s="603">
        <f t="shared" ca="1" si="67"/>
        <v>7.506790842064448</v>
      </c>
      <c r="DY82" s="603" t="str">
        <f t="shared" si="213"/>
        <v/>
      </c>
      <c r="DZ82" s="556" t="str">
        <f ca="1">IF(ROUND(DZ33,2)=0,"ok","!")</f>
        <v>ok</v>
      </c>
      <c r="EA82" s="601">
        <f t="shared" ca="1" si="214"/>
        <v>10.868027724079399</v>
      </c>
      <c r="EB82" s="603">
        <f t="shared" ca="1" si="215"/>
        <v>12.958080674927498</v>
      </c>
      <c r="EC82" s="603">
        <f t="shared" ca="1" si="216"/>
        <v>6.8231427030636116</v>
      </c>
      <c r="ED82" s="603">
        <f t="shared" ca="1" si="72"/>
        <v>15.981158295583731</v>
      </c>
      <c r="EE82" s="603" t="str">
        <f t="shared" si="217"/>
        <v/>
      </c>
      <c r="EF82" s="556" t="str">
        <f ca="1">IF(ROUND(EF33,2)=0,"ok","!")</f>
        <v>ok</v>
      </c>
      <c r="EG82" s="601">
        <f t="shared" ca="1" si="218"/>
        <v>6.3081082394682797</v>
      </c>
      <c r="EH82" s="603">
        <f t="shared" ca="1" si="219"/>
        <v>3.0000000000000027</v>
      </c>
      <c r="EI82" s="603">
        <f t="shared" ca="1" si="220"/>
        <v>8.0000000000000071</v>
      </c>
      <c r="EJ82" s="603">
        <f t="shared" ca="1" si="77"/>
        <v>5.0000000000000044</v>
      </c>
      <c r="EK82" s="603" t="str">
        <f t="shared" si="221"/>
        <v/>
      </c>
      <c r="EL82" s="556" t="str">
        <f ca="1">IF(ROUND(EL33,2)=0,"ok","!")</f>
        <v>ok</v>
      </c>
      <c r="EM82" s="601">
        <f t="shared" ca="1" si="222"/>
        <v>6.1459080533420085</v>
      </c>
      <c r="EN82" s="603">
        <f t="shared" ca="1" si="223"/>
        <v>3.0000000000000027</v>
      </c>
      <c r="EO82" s="603">
        <f t="shared" ca="1" si="224"/>
        <v>8.0000000000000071</v>
      </c>
      <c r="EP82" s="603">
        <f t="shared" ca="1" si="82"/>
        <v>4.4999999999999929</v>
      </c>
      <c r="EQ82" s="603" t="str">
        <f t="shared" si="225"/>
        <v/>
      </c>
      <c r="ER82" s="556" t="str">
        <f ca="1">IF(ROUND(ER33,2)=0,"ok","!")</f>
        <v>ok</v>
      </c>
      <c r="ES82" s="601">
        <f t="shared" ca="1" si="226"/>
        <v>6.3716088547023153</v>
      </c>
      <c r="ET82" s="603">
        <f t="shared" ca="1" si="227"/>
        <v>3.0000000000000027</v>
      </c>
      <c r="EU82" s="603">
        <f t="shared" ca="1" si="228"/>
        <v>8.0000000000000071</v>
      </c>
      <c r="EV82" s="603">
        <f t="shared" ca="1" si="87"/>
        <v>5.0000000000000044</v>
      </c>
      <c r="EW82" s="603" t="str">
        <f t="shared" si="229"/>
        <v/>
      </c>
      <c r="EX82" s="556" t="str">
        <f ca="1">IF(ROUND(EX33,2)=0,"ok","!")</f>
        <v>ok</v>
      </c>
    </row>
    <row r="83" spans="2:154">
      <c r="B83" s="600" t="s">
        <v>1769</v>
      </c>
      <c r="C83" s="3785" t="s">
        <v>500</v>
      </c>
      <c r="D83" s="3786"/>
      <c r="E83" s="3455"/>
      <c r="F83" s="3455"/>
      <c r="G83" s="3455"/>
      <c r="H83" s="3455"/>
      <c r="I83" s="3455"/>
      <c r="J83" s="604"/>
      <c r="K83" s="3455">
        <f t="shared" ca="1" si="137"/>
        <v>24.141594672746038</v>
      </c>
      <c r="L83" s="3455">
        <f t="shared" ca="1" si="137"/>
        <v>22.344615078773412</v>
      </c>
      <c r="M83" s="3455">
        <f t="shared" ca="1" si="137"/>
        <v>49.911835426128604</v>
      </c>
      <c r="N83" s="3455">
        <f t="shared" ca="1" si="137"/>
        <v>19.257501917461028</v>
      </c>
      <c r="O83" s="3455" t="str">
        <f t="shared" si="137"/>
        <v/>
      </c>
      <c r="P83" s="604"/>
      <c r="Q83" s="3455">
        <f t="shared" ca="1" si="138"/>
        <v>20.337121734995954</v>
      </c>
      <c r="R83" s="3455">
        <f t="shared" ca="1" si="139"/>
        <v>20.387570195507475</v>
      </c>
      <c r="S83" s="3455">
        <f t="shared" ca="1" si="140"/>
        <v>1.5549258625607632</v>
      </c>
      <c r="T83" s="3455">
        <f t="shared" ca="1" si="124"/>
        <v>28.633002712343814</v>
      </c>
      <c r="U83" s="3455" t="str">
        <f t="shared" si="141"/>
        <v/>
      </c>
      <c r="V83" s="604"/>
      <c r="W83" s="3455">
        <f t="shared" ca="1" si="142"/>
        <v>10.486464623805801</v>
      </c>
      <c r="X83" s="3455">
        <f t="shared" ca="1" si="143"/>
        <v>15.779720175895573</v>
      </c>
      <c r="Y83" s="3455">
        <f t="shared" ca="1" si="144"/>
        <v>-15.117268730970823</v>
      </c>
      <c r="Z83" s="3455">
        <f t="shared" ca="1" si="125"/>
        <v>7.3695095895855989</v>
      </c>
      <c r="AA83" s="3455" t="str">
        <f t="shared" si="145"/>
        <v/>
      </c>
      <c r="AB83" s="604"/>
      <c r="AC83" s="3455">
        <f t="shared" ca="1" si="146"/>
        <v>-2.9214207270366721</v>
      </c>
      <c r="AD83" s="3455">
        <f t="shared" ca="1" si="147"/>
        <v>0.5188824966047445</v>
      </c>
      <c r="AE83" s="3455">
        <f t="shared" ca="1" si="148"/>
        <v>-5.2439528633450365</v>
      </c>
      <c r="AF83" s="3455">
        <f t="shared" ca="1" si="126"/>
        <v>-10.807035202040815</v>
      </c>
      <c r="AG83" s="3455" t="str">
        <f t="shared" si="149"/>
        <v/>
      </c>
      <c r="AH83" s="604"/>
      <c r="AI83" s="3455">
        <f t="shared" ca="1" si="150"/>
        <v>6.2562534411255699</v>
      </c>
      <c r="AJ83" s="3455">
        <f t="shared" ca="1" si="151"/>
        <v>7.3882930359429055</v>
      </c>
      <c r="AK83" s="3455">
        <f t="shared" ca="1" si="152"/>
        <v>3.2061701593813163</v>
      </c>
      <c r="AL83" s="3455">
        <f t="shared" ca="1" si="127"/>
        <v>3.9976392915280767</v>
      </c>
      <c r="AM83" s="3455" t="str">
        <f t="shared" si="153"/>
        <v/>
      </c>
      <c r="AN83" s="604"/>
      <c r="AO83" s="3455">
        <f t="shared" ca="1" si="154"/>
        <v>6.5914001422523683</v>
      </c>
      <c r="AP83" s="3455">
        <f t="shared" ca="1" si="155"/>
        <v>4.6697380670049027</v>
      </c>
      <c r="AQ83" s="3455">
        <f t="shared" ca="1" si="156"/>
        <v>57.706699363676606</v>
      </c>
      <c r="AR83" s="3455">
        <f t="shared" ca="1" si="128"/>
        <v>-2.9387920551277036</v>
      </c>
      <c r="AS83" s="3455" t="str">
        <f t="shared" si="157"/>
        <v/>
      </c>
      <c r="AT83" s="604"/>
      <c r="AU83" s="3455">
        <f t="shared" ca="1" si="158"/>
        <v>6.8371608610836354</v>
      </c>
      <c r="AV83" s="3455">
        <f t="shared" ca="1" si="159"/>
        <v>5.7209952104927853</v>
      </c>
      <c r="AW83" s="3455">
        <f t="shared" ca="1" si="160"/>
        <v>9.656836461126117</v>
      </c>
      <c r="AX83" s="3455">
        <f t="shared" ca="1" si="129"/>
        <v>8.9609200571823422</v>
      </c>
      <c r="AY83" s="3455" t="str">
        <f t="shared" si="161"/>
        <v/>
      </c>
      <c r="AZ83" s="604"/>
      <c r="BA83" s="3455">
        <f t="shared" ca="1" si="162"/>
        <v>8.0445871089936958</v>
      </c>
      <c r="BB83" s="3455">
        <f t="shared" ca="1" si="163"/>
        <v>6.8610745132484219</v>
      </c>
      <c r="BC83" s="3455">
        <f t="shared" ca="1" si="164"/>
        <v>20.893232604762659</v>
      </c>
      <c r="BD83" s="3455">
        <f t="shared" ca="1" si="130"/>
        <v>5.4222106911100187</v>
      </c>
      <c r="BE83" s="3455" t="str">
        <f t="shared" si="165"/>
        <v/>
      </c>
      <c r="BF83" s="604"/>
      <c r="BG83" s="3455">
        <f t="shared" ca="1" si="166"/>
        <v>10.112808903523106</v>
      </c>
      <c r="BH83" s="3455">
        <f t="shared" ca="1" si="167"/>
        <v>17.28532392287514</v>
      </c>
      <c r="BI83" s="3455">
        <f t="shared" ca="1" si="168"/>
        <v>-28.526070448099393</v>
      </c>
      <c r="BJ83" s="3455">
        <f t="shared" ca="1" si="131"/>
        <v>9.5223312917750214</v>
      </c>
      <c r="BK83" s="3455" t="str">
        <f t="shared" si="169"/>
        <v/>
      </c>
      <c r="BL83" s="604"/>
      <c r="BM83" s="3455">
        <f t="shared" ca="1" si="170"/>
        <v>15.794356831311408</v>
      </c>
      <c r="BN83" s="3455">
        <f t="shared" ca="1" si="171"/>
        <v>9.5400469390710896</v>
      </c>
      <c r="BO83" s="3455">
        <f t="shared" ca="1" si="172"/>
        <v>77.132893350027459</v>
      </c>
      <c r="BP83" s="3455">
        <f t="shared" ca="1" si="132"/>
        <v>14.161468161657108</v>
      </c>
      <c r="BQ83" s="3455" t="str">
        <f t="shared" si="173"/>
        <v/>
      </c>
      <c r="BR83" s="604"/>
      <c r="BS83" s="3455">
        <f t="shared" ca="1" si="174"/>
        <v>14.5026998101911</v>
      </c>
      <c r="BT83" s="3455">
        <f t="shared" ca="1" si="175"/>
        <v>15.14239020482211</v>
      </c>
      <c r="BU83" s="3455">
        <f t="shared" ca="1" si="176"/>
        <v>-1.0678444637018281</v>
      </c>
      <c r="BV83" s="3455">
        <f t="shared" ca="1" si="133"/>
        <v>21.211063841208897</v>
      </c>
      <c r="BW83" s="3455" t="str">
        <f t="shared" si="177"/>
        <v/>
      </c>
      <c r="BX83" s="604"/>
      <c r="BY83" s="3455">
        <f t="shared" ca="1" si="178"/>
        <v>18.366923425878202</v>
      </c>
      <c r="BZ83" s="3455">
        <f t="shared" ca="1" si="179"/>
        <v>8.0089717770564395</v>
      </c>
      <c r="CA83" s="3455">
        <f t="shared" ca="1" si="180"/>
        <v>93.076528738137853</v>
      </c>
      <c r="CB83" s="3455">
        <f t="shared" ca="1" si="134"/>
        <v>15.172501605438571</v>
      </c>
      <c r="CC83" s="3455" t="str">
        <f t="shared" si="181"/>
        <v/>
      </c>
      <c r="CD83" s="604"/>
      <c r="CE83" s="3455">
        <f t="shared" ca="1" si="182"/>
        <v>12.827419543732276</v>
      </c>
      <c r="CF83" s="3455">
        <f t="shared" ca="1" si="183"/>
        <v>19.154704479239726</v>
      </c>
      <c r="CG83" s="3455">
        <f t="shared" ca="1" si="184"/>
        <v>-2.5156693608071934</v>
      </c>
      <c r="CH83" s="3455">
        <f t="shared" ca="1" si="135"/>
        <v>6.8503466430818838</v>
      </c>
      <c r="CI83" s="3455" t="str">
        <f t="shared" si="185"/>
        <v/>
      </c>
      <c r="CJ83" s="604"/>
      <c r="CK83" s="3455">
        <f t="shared" ca="1" si="186"/>
        <v>-13.100240851526712</v>
      </c>
      <c r="CL83" s="3455">
        <f t="shared" ca="1" si="187"/>
        <v>-7.8940715550445129</v>
      </c>
      <c r="CM83" s="3455">
        <f t="shared" ca="1" si="188"/>
        <v>-1.8164700432564462</v>
      </c>
      <c r="CN83" s="3455">
        <f t="shared" ca="1" si="136"/>
        <v>-37.263602065726609</v>
      </c>
      <c r="CO83" s="3455" t="str">
        <f t="shared" si="189"/>
        <v/>
      </c>
      <c r="CP83" s="604"/>
      <c r="CQ83" s="3455">
        <f t="shared" ca="1" si="190"/>
        <v>1.7993953974244192</v>
      </c>
      <c r="CR83" s="3455">
        <f t="shared" ca="1" si="191"/>
        <v>0.86462686046331338</v>
      </c>
      <c r="CS83" s="3455">
        <f t="shared" ca="1" si="192"/>
        <v>2.2655241481894794</v>
      </c>
      <c r="CT83" s="3455">
        <f t="shared" ca="1" si="42"/>
        <v>5.579151917280778</v>
      </c>
      <c r="CU83" s="3455" t="str">
        <f t="shared" si="193"/>
        <v/>
      </c>
      <c r="CV83" s="604"/>
      <c r="CW83" s="3455">
        <f t="shared" ca="1" si="194"/>
        <v>8.4667939794810465</v>
      </c>
      <c r="CX83" s="3455">
        <f t="shared" ca="1" si="195"/>
        <v>5.250126509072528</v>
      </c>
      <c r="CY83" s="3455">
        <f t="shared" ca="1" si="196"/>
        <v>16.626120536277035</v>
      </c>
      <c r="CZ83" s="3455">
        <f t="shared" ca="1" si="47"/>
        <v>13.921230822170628</v>
      </c>
      <c r="DA83" s="3455" t="str">
        <f t="shared" si="197"/>
        <v/>
      </c>
      <c r="DB83" s="604"/>
      <c r="DC83" s="3455">
        <f t="shared" ca="1" si="198"/>
        <v>6.0579580779791753</v>
      </c>
      <c r="DD83" s="3455">
        <f t="shared" ca="1" si="199"/>
        <v>3.3819442229902741</v>
      </c>
      <c r="DE83" s="3455">
        <f t="shared" ca="1" si="200"/>
        <v>13.177042413187422</v>
      </c>
      <c r="DF83" s="3455">
        <f t="shared" ca="1" si="52"/>
        <v>9.1724395585177874</v>
      </c>
      <c r="DG83" s="3455" t="str">
        <f t="shared" si="201"/>
        <v/>
      </c>
      <c r="DH83" s="604"/>
      <c r="DI83" s="3455">
        <f t="shared" ca="1" si="202"/>
        <v>6.9458288442134863</v>
      </c>
      <c r="DJ83" s="3455">
        <f t="shared" ca="1" si="203"/>
        <v>5.7181255573077516</v>
      </c>
      <c r="DK83" s="3455">
        <f t="shared" ca="1" si="204"/>
        <v>11.475378003313974</v>
      </c>
      <c r="DL83" s="3455">
        <f t="shared" ca="1" si="57"/>
        <v>6.55968371100768</v>
      </c>
      <c r="DM83" s="3455" t="str">
        <f t="shared" si="205"/>
        <v/>
      </c>
      <c r="DN83" s="604"/>
      <c r="DO83" s="3455">
        <f t="shared" ca="1" si="206"/>
        <v>6.405797093172505</v>
      </c>
      <c r="DP83" s="3455">
        <f t="shared" ca="1" si="207"/>
        <v>1.8678264757332919</v>
      </c>
      <c r="DQ83" s="3455">
        <f t="shared" ca="1" si="208"/>
        <v>16.031064015096554</v>
      </c>
      <c r="DR83" s="3455">
        <f t="shared" ca="1" si="62"/>
        <v>12.347798458510951</v>
      </c>
      <c r="DS83" s="3455" t="str">
        <f t="shared" si="209"/>
        <v/>
      </c>
      <c r="DT83" s="604"/>
      <c r="DU83" s="3455">
        <f t="shared" ca="1" si="210"/>
        <v>-1.1135788130198776</v>
      </c>
      <c r="DV83" s="3455">
        <f t="shared" ca="1" si="211"/>
        <v>2.8710198106668194</v>
      </c>
      <c r="DW83" s="3455">
        <f t="shared" ca="1" si="212"/>
        <v>-22.187735351002924</v>
      </c>
      <c r="DX83" s="3455">
        <f t="shared" ca="1" si="67"/>
        <v>10.750608566610875</v>
      </c>
      <c r="DY83" s="3455" t="str">
        <f t="shared" si="213"/>
        <v/>
      </c>
      <c r="DZ83" s="604"/>
      <c r="EA83" s="3455">
        <f t="shared" ca="1" si="214"/>
        <v>2.941733598055607</v>
      </c>
      <c r="EB83" s="3455">
        <f t="shared" ca="1" si="215"/>
        <v>5.4297177194465807</v>
      </c>
      <c r="EC83" s="3455">
        <f t="shared" ca="1" si="216"/>
        <v>-10.845794820758792</v>
      </c>
      <c r="ED83" s="3455">
        <f t="shared" ca="1" si="72"/>
        <v>6.7410855863338393</v>
      </c>
      <c r="EE83" s="3455" t="str">
        <f t="shared" si="217"/>
        <v/>
      </c>
      <c r="EF83" s="604"/>
      <c r="EG83" s="3455">
        <f t="shared" ca="1" si="218"/>
        <v>8.5000302061520863</v>
      </c>
      <c r="EH83" s="3455">
        <f t="shared" ca="1" si="219"/>
        <v>6.8482848708877997</v>
      </c>
      <c r="EI83" s="3455">
        <f t="shared" ca="1" si="220"/>
        <v>15.089887362855393</v>
      </c>
      <c r="EJ83" s="3455">
        <f t="shared" ca="1" si="77"/>
        <v>9.0287897093461069</v>
      </c>
      <c r="EK83" s="3455" t="str">
        <f t="shared" si="221"/>
        <v/>
      </c>
      <c r="EL83" s="604"/>
      <c r="EM83" s="3455">
        <f t="shared" ca="1" si="222"/>
        <v>5.7369823645138984</v>
      </c>
      <c r="EN83" s="3455">
        <f t="shared" ca="1" si="223"/>
        <v>5.7478542323566639</v>
      </c>
      <c r="EO83" s="3455">
        <f t="shared" ca="1" si="224"/>
        <v>7.8521609209977861</v>
      </c>
      <c r="EP83" s="3455">
        <f t="shared" ca="1" si="82"/>
        <v>4.1108173710856732</v>
      </c>
      <c r="EQ83" s="3455" t="str">
        <f t="shared" si="225"/>
        <v/>
      </c>
      <c r="ER83" s="604"/>
      <c r="ES83" s="3455">
        <f t="shared" ca="1" si="226"/>
        <v>5.6725175225571078</v>
      </c>
      <c r="ET83" s="3455">
        <f t="shared" ca="1" si="227"/>
        <v>5.2190391268869041</v>
      </c>
      <c r="EU83" s="3455">
        <f t="shared" ca="1" si="228"/>
        <v>8.231624351495892</v>
      </c>
      <c r="EV83" s="3455">
        <f t="shared" ca="1" si="87"/>
        <v>5.1055602802656086</v>
      </c>
      <c r="EW83" s="3455" t="str">
        <f t="shared" si="229"/>
        <v/>
      </c>
      <c r="EX83" s="604"/>
    </row>
    <row r="84" spans="2:154" ht="13.5" thickBot="1">
      <c r="B84" s="600" t="s">
        <v>1767</v>
      </c>
      <c r="C84" s="3781" t="s">
        <v>1295</v>
      </c>
      <c r="D84" s="3782"/>
      <c r="E84" s="601"/>
      <c r="F84" s="603"/>
      <c r="G84" s="603"/>
      <c r="H84" s="603"/>
      <c r="I84" s="602"/>
      <c r="J84" s="556"/>
      <c r="K84" s="601" t="str">
        <f t="shared" ref="K84:O90" ca="1" si="230">IF(K35="","",IF(E35=0,"N",(K35/E35-1)*100))</f>
        <v>N</v>
      </c>
      <c r="L84" s="603" t="str">
        <f t="shared" ca="1" si="230"/>
        <v>N</v>
      </c>
      <c r="M84" s="603" t="str">
        <f t="shared" ca="1" si="230"/>
        <v>N</v>
      </c>
      <c r="N84" s="603" t="str">
        <f t="shared" ca="1" si="230"/>
        <v>N</v>
      </c>
      <c r="O84" s="602" t="str">
        <f t="shared" ca="1" si="230"/>
        <v>N</v>
      </c>
      <c r="P84" s="556" t="str">
        <f ca="1">IF(ROUND(P35,2)=0,"ok","!")</f>
        <v>ok</v>
      </c>
      <c r="Q84" s="601" t="str">
        <f t="shared" ca="1" si="138"/>
        <v>N</v>
      </c>
      <c r="R84" s="603" t="str">
        <f t="shared" ca="1" si="139"/>
        <v>N</v>
      </c>
      <c r="S84" s="603" t="str">
        <f t="shared" ca="1" si="140"/>
        <v>N</v>
      </c>
      <c r="T84" s="603" t="str">
        <f t="shared" ca="1" si="124"/>
        <v>N</v>
      </c>
      <c r="U84" s="602" t="str">
        <f t="shared" ca="1" si="141"/>
        <v>N</v>
      </c>
      <c r="V84" s="556" t="str">
        <f ca="1">IF(ROUND(V35,2)=0,"ok","!")</f>
        <v>ok</v>
      </c>
      <c r="W84" s="601" t="str">
        <f t="shared" ca="1" si="142"/>
        <v>N</v>
      </c>
      <c r="X84" s="603" t="str">
        <f t="shared" ca="1" si="143"/>
        <v>N</v>
      </c>
      <c r="Y84" s="603" t="str">
        <f t="shared" ca="1" si="144"/>
        <v>N</v>
      </c>
      <c r="Z84" s="603" t="str">
        <f t="shared" ca="1" si="125"/>
        <v>N</v>
      </c>
      <c r="AA84" s="602" t="str">
        <f t="shared" ca="1" si="145"/>
        <v>N</v>
      </c>
      <c r="AB84" s="556" t="str">
        <f ca="1">IF(ROUND(AB35,2)=0,"ok","!")</f>
        <v>ok</v>
      </c>
      <c r="AC84" s="601" t="str">
        <f t="shared" ca="1" si="146"/>
        <v>N</v>
      </c>
      <c r="AD84" s="603" t="str">
        <f t="shared" ca="1" si="147"/>
        <v>N</v>
      </c>
      <c r="AE84" s="603" t="str">
        <f t="shared" ca="1" si="148"/>
        <v>N</v>
      </c>
      <c r="AF84" s="603" t="str">
        <f t="shared" ca="1" si="126"/>
        <v>N</v>
      </c>
      <c r="AG84" s="602" t="str">
        <f t="shared" ca="1" si="149"/>
        <v>N</v>
      </c>
      <c r="AH84" s="556" t="str">
        <f ca="1">IF(ROUND(AH35,2)=0,"ok","!")</f>
        <v>ok</v>
      </c>
      <c r="AI84" s="601" t="str">
        <f t="shared" ca="1" si="150"/>
        <v>N</v>
      </c>
      <c r="AJ84" s="603" t="str">
        <f t="shared" ca="1" si="151"/>
        <v>N</v>
      </c>
      <c r="AK84" s="603" t="str">
        <f t="shared" ca="1" si="152"/>
        <v>N</v>
      </c>
      <c r="AL84" s="603" t="str">
        <f t="shared" ca="1" si="127"/>
        <v>N</v>
      </c>
      <c r="AM84" s="602" t="str">
        <f t="shared" ca="1" si="153"/>
        <v>N</v>
      </c>
      <c r="AN84" s="556" t="str">
        <f ca="1">IF(ROUND(AN35,2)=0,"ok","!")</f>
        <v>ok</v>
      </c>
      <c r="AO84" s="601" t="str">
        <f t="shared" ca="1" si="154"/>
        <v>N</v>
      </c>
      <c r="AP84" s="603" t="str">
        <f t="shared" ca="1" si="155"/>
        <v>N</v>
      </c>
      <c r="AQ84" s="603" t="str">
        <f t="shared" ca="1" si="156"/>
        <v>N</v>
      </c>
      <c r="AR84" s="603" t="str">
        <f t="shared" ca="1" si="128"/>
        <v>N</v>
      </c>
      <c r="AS84" s="602" t="str">
        <f t="shared" ca="1" si="157"/>
        <v>N</v>
      </c>
      <c r="AT84" s="556" t="str">
        <f ca="1">IF(ROUND(AT35,2)=0,"ok","!")</f>
        <v>ok</v>
      </c>
      <c r="AU84" s="601" t="str">
        <f t="shared" ca="1" si="158"/>
        <v>N</v>
      </c>
      <c r="AV84" s="603" t="str">
        <f t="shared" ca="1" si="159"/>
        <v>N</v>
      </c>
      <c r="AW84" s="603" t="str">
        <f t="shared" ca="1" si="160"/>
        <v>N</v>
      </c>
      <c r="AX84" s="603" t="str">
        <f t="shared" ca="1" si="129"/>
        <v>N</v>
      </c>
      <c r="AY84" s="602" t="str">
        <f t="shared" ca="1" si="161"/>
        <v>N</v>
      </c>
      <c r="AZ84" s="556" t="str">
        <f ca="1">IF(ROUND(AZ35,2)=0,"ok","!")</f>
        <v>ok</v>
      </c>
      <c r="BA84" s="601" t="str">
        <f t="shared" ca="1" si="162"/>
        <v>N</v>
      </c>
      <c r="BB84" s="603" t="str">
        <f t="shared" ca="1" si="163"/>
        <v>N</v>
      </c>
      <c r="BC84" s="603" t="str">
        <f t="shared" ca="1" si="164"/>
        <v>N</v>
      </c>
      <c r="BD84" s="603" t="str">
        <f t="shared" ca="1" si="130"/>
        <v>N</v>
      </c>
      <c r="BE84" s="602" t="str">
        <f t="shared" ca="1" si="165"/>
        <v>N</v>
      </c>
      <c r="BF84" s="556" t="str">
        <f ca="1">IF(ROUND(BF35,2)=0,"ok","!")</f>
        <v>ok</v>
      </c>
      <c r="BG84" s="601" t="str">
        <f t="shared" ca="1" si="166"/>
        <v>N</v>
      </c>
      <c r="BH84" s="603" t="str">
        <f t="shared" ca="1" si="167"/>
        <v>N</v>
      </c>
      <c r="BI84" s="603" t="str">
        <f t="shared" ca="1" si="168"/>
        <v>N</v>
      </c>
      <c r="BJ84" s="603" t="str">
        <f t="shared" ca="1" si="131"/>
        <v>N</v>
      </c>
      <c r="BK84" s="602" t="str">
        <f t="shared" ca="1" si="169"/>
        <v>N</v>
      </c>
      <c r="BL84" s="556" t="str">
        <f ca="1">IF(ROUND(BL35,2)=0,"ok","!")</f>
        <v>ok</v>
      </c>
      <c r="BM84" s="601" t="str">
        <f t="shared" ca="1" si="170"/>
        <v>N</v>
      </c>
      <c r="BN84" s="603">
        <f t="shared" ca="1" si="171"/>
        <v>78.04148384523333</v>
      </c>
      <c r="BO84" s="603">
        <f t="shared" ca="1" si="172"/>
        <v>78.04148384523333</v>
      </c>
      <c r="BP84" s="603" t="str">
        <f t="shared" ca="1" si="132"/>
        <v>N</v>
      </c>
      <c r="BQ84" s="602" t="str">
        <f t="shared" ca="1" si="173"/>
        <v>N</v>
      </c>
      <c r="BR84" s="556" t="str">
        <f ca="1">IF(ROUND(BR35,2)=0,"ok","!")</f>
        <v>ok</v>
      </c>
      <c r="BS84" s="601" t="str">
        <f t="shared" ca="1" si="174"/>
        <v>N</v>
      </c>
      <c r="BT84" s="603">
        <f t="shared" ca="1" si="175"/>
        <v>72.129494791083218</v>
      </c>
      <c r="BU84" s="603">
        <f t="shared" ca="1" si="176"/>
        <v>72.129494791083218</v>
      </c>
      <c r="BV84" s="603" t="str">
        <f t="shared" ca="1" si="133"/>
        <v>N</v>
      </c>
      <c r="BW84" s="602" t="str">
        <f t="shared" ca="1" si="177"/>
        <v>N</v>
      </c>
      <c r="BX84" s="556" t="str">
        <f ca="1">IF(ROUND(BX35,2)=0,"ok","!")</f>
        <v>ok</v>
      </c>
      <c r="BY84" s="601" t="str">
        <f t="shared" ca="1" si="178"/>
        <v>N</v>
      </c>
      <c r="BZ84" s="603">
        <f t="shared" ca="1" si="179"/>
        <v>60.13926851490303</v>
      </c>
      <c r="CA84" s="603">
        <f t="shared" ca="1" si="180"/>
        <v>60.13926851490303</v>
      </c>
      <c r="CB84" s="603" t="str">
        <f t="shared" ca="1" si="134"/>
        <v>N</v>
      </c>
      <c r="CC84" s="602" t="str">
        <f t="shared" ca="1" si="181"/>
        <v>N</v>
      </c>
      <c r="CD84" s="556" t="str">
        <f ca="1">IF(ROUND(CD35,2)=0,"ok","!")</f>
        <v>ok</v>
      </c>
      <c r="CE84" s="601" t="str">
        <f t="shared" ca="1" si="182"/>
        <v>N</v>
      </c>
      <c r="CF84" s="603">
        <f t="shared" ca="1" si="183"/>
        <v>24.663713577437306</v>
      </c>
      <c r="CG84" s="603">
        <f t="shared" ca="1" si="184"/>
        <v>24.663713577437306</v>
      </c>
      <c r="CH84" s="603" t="str">
        <f t="shared" ca="1" si="135"/>
        <v>N</v>
      </c>
      <c r="CI84" s="602" t="str">
        <f t="shared" ca="1" si="185"/>
        <v>N</v>
      </c>
      <c r="CJ84" s="556" t="str">
        <f ca="1">IF(ROUND(CJ35,2)=0,"ok","!")</f>
        <v>ok</v>
      </c>
      <c r="CK84" s="601" t="str">
        <f t="shared" ca="1" si="186"/>
        <v>N</v>
      </c>
      <c r="CL84" s="603">
        <f t="shared" ca="1" si="187"/>
        <v>-60.183857086973525</v>
      </c>
      <c r="CM84" s="603">
        <f t="shared" ca="1" si="188"/>
        <v>-60.183857086973525</v>
      </c>
      <c r="CN84" s="603" t="str">
        <f t="shared" ca="1" si="136"/>
        <v>N</v>
      </c>
      <c r="CO84" s="602" t="str">
        <f t="shared" ca="1" si="189"/>
        <v>N</v>
      </c>
      <c r="CP84" s="556" t="str">
        <f ca="1">IF(ROUND(CP35,2)=0,"ok","!")</f>
        <v>ok</v>
      </c>
      <c r="CQ84" s="601" t="str">
        <f t="shared" ca="1" si="190"/>
        <v>N</v>
      </c>
      <c r="CR84" s="603">
        <f t="shared" ca="1" si="191"/>
        <v>-21.802849189454708</v>
      </c>
      <c r="CS84" s="603">
        <f t="shared" ca="1" si="192"/>
        <v>-21.802849189454708</v>
      </c>
      <c r="CT84" s="603" t="str">
        <f t="shared" ca="1" si="42"/>
        <v>N</v>
      </c>
      <c r="CU84" s="602" t="str">
        <f t="shared" ca="1" si="193"/>
        <v>N</v>
      </c>
      <c r="CV84" s="556" t="str">
        <f ca="1">IF(ROUND(CV35,2)=0,"ok","!")</f>
        <v>ok</v>
      </c>
      <c r="CW84" s="601" t="str">
        <f t="shared" ca="1" si="194"/>
        <v>N</v>
      </c>
      <c r="CX84" s="603">
        <f t="shared" ca="1" si="195"/>
        <v>-2.6908177154224888</v>
      </c>
      <c r="CY84" s="603">
        <f t="shared" ca="1" si="196"/>
        <v>-2.6908177154224888</v>
      </c>
      <c r="CZ84" s="603" t="str">
        <f t="shared" ca="1" si="47"/>
        <v>N</v>
      </c>
      <c r="DA84" s="602" t="str">
        <f t="shared" ca="1" si="197"/>
        <v>N</v>
      </c>
      <c r="DB84" s="556" t="str">
        <f ca="1">IF(ROUND(DB35,2)=0,"ok","!")</f>
        <v>ok</v>
      </c>
      <c r="DC84" s="601" t="str">
        <f t="shared" ca="1" si="198"/>
        <v>N</v>
      </c>
      <c r="DD84" s="603">
        <f t="shared" ca="1" si="199"/>
        <v>-19.829997848074012</v>
      </c>
      <c r="DE84" s="603">
        <f t="shared" ca="1" si="200"/>
        <v>-19.829997848074012</v>
      </c>
      <c r="DF84" s="603" t="str">
        <f t="shared" ca="1" si="52"/>
        <v>N</v>
      </c>
      <c r="DG84" s="602" t="str">
        <f t="shared" ca="1" si="201"/>
        <v>N</v>
      </c>
      <c r="DH84" s="556" t="str">
        <f ca="1">IF(ROUND(DH35,2)=0,"ok","!")</f>
        <v>ok</v>
      </c>
      <c r="DI84" s="601" t="str">
        <f t="shared" ca="1" si="202"/>
        <v>N</v>
      </c>
      <c r="DJ84" s="603">
        <f t="shared" ca="1" si="203"/>
        <v>87.93450543551198</v>
      </c>
      <c r="DK84" s="603">
        <f t="shared" ca="1" si="204"/>
        <v>87.93450543551198</v>
      </c>
      <c r="DL84" s="603" t="str">
        <f t="shared" ca="1" si="57"/>
        <v>N</v>
      </c>
      <c r="DM84" s="602" t="str">
        <f t="shared" ca="1" si="205"/>
        <v>N</v>
      </c>
      <c r="DN84" s="556" t="str">
        <f ca="1">IF(ROUND(DN35,2)=0,"ok","!")</f>
        <v>ok</v>
      </c>
      <c r="DO84" s="601" t="str">
        <f t="shared" ca="1" si="206"/>
        <v>N</v>
      </c>
      <c r="DP84" s="603">
        <f t="shared" ca="1" si="207"/>
        <v>-14.446904234806812</v>
      </c>
      <c r="DQ84" s="603">
        <f t="shared" ca="1" si="208"/>
        <v>-14.446904234806812</v>
      </c>
      <c r="DR84" s="603" t="str">
        <f t="shared" ca="1" si="62"/>
        <v>N</v>
      </c>
      <c r="DS84" s="602" t="str">
        <f t="shared" ca="1" si="209"/>
        <v>N</v>
      </c>
      <c r="DT84" s="556" t="str">
        <f ca="1">IF(ROUND(DT35,2)=0,"ok","!")</f>
        <v>ok</v>
      </c>
      <c r="DU84" s="601" t="str">
        <f t="shared" ca="1" si="210"/>
        <v>N</v>
      </c>
      <c r="DV84" s="603">
        <f t="shared" ca="1" si="211"/>
        <v>7.4457429048413903</v>
      </c>
      <c r="DW84" s="603">
        <f t="shared" ca="1" si="212"/>
        <v>7.4457429048413903</v>
      </c>
      <c r="DX84" s="603" t="str">
        <f t="shared" ca="1" si="67"/>
        <v>N</v>
      </c>
      <c r="DY84" s="602" t="str">
        <f t="shared" ca="1" si="213"/>
        <v>N</v>
      </c>
      <c r="DZ84" s="556" t="str">
        <f ca="1">IF(ROUND(DZ35,2)=0,"ok","!")</f>
        <v>ok</v>
      </c>
      <c r="EA84" s="601" t="str">
        <f t="shared" ca="1" si="214"/>
        <v>N</v>
      </c>
      <c r="EB84" s="603">
        <f t="shared" ca="1" si="215"/>
        <v>1.8178993163455726</v>
      </c>
      <c r="EC84" s="603">
        <f t="shared" ca="1" si="216"/>
        <v>1.8178993163455726</v>
      </c>
      <c r="ED84" s="603" t="str">
        <f t="shared" ca="1" si="72"/>
        <v>N</v>
      </c>
      <c r="EE84" s="602" t="str">
        <f t="shared" ca="1" si="217"/>
        <v>N</v>
      </c>
      <c r="EF84" s="556" t="str">
        <f ca="1">IF(ROUND(EF35,2)=0,"ok","!")</f>
        <v>ok</v>
      </c>
      <c r="EG84" s="601" t="str">
        <f t="shared" ca="1" si="218"/>
        <v>N</v>
      </c>
      <c r="EH84" s="603">
        <f t="shared" ca="1" si="219"/>
        <v>0</v>
      </c>
      <c r="EI84" s="603">
        <f t="shared" ca="1" si="220"/>
        <v>0</v>
      </c>
      <c r="EJ84" s="603" t="str">
        <f t="shared" ca="1" si="77"/>
        <v>N</v>
      </c>
      <c r="EK84" s="602" t="str">
        <f t="shared" ca="1" si="221"/>
        <v>N</v>
      </c>
      <c r="EL84" s="556" t="str">
        <f ca="1">IF(ROUND(EL35,2)=0,"ok","!")</f>
        <v>ok</v>
      </c>
      <c r="EM84" s="601" t="str">
        <f t="shared" ca="1" si="222"/>
        <v>N</v>
      </c>
      <c r="EN84" s="603">
        <f t="shared" ca="1" si="223"/>
        <v>0</v>
      </c>
      <c r="EO84" s="603">
        <f t="shared" ca="1" si="224"/>
        <v>0</v>
      </c>
      <c r="EP84" s="603" t="str">
        <f t="shared" ca="1" si="82"/>
        <v>N</v>
      </c>
      <c r="EQ84" s="602" t="str">
        <f t="shared" ca="1" si="225"/>
        <v>N</v>
      </c>
      <c r="ER84" s="556" t="str">
        <f ca="1">IF(ROUND(ER35,2)=0,"ok","!")</f>
        <v>ok</v>
      </c>
      <c r="ES84" s="601" t="str">
        <f t="shared" ca="1" si="226"/>
        <v>N</v>
      </c>
      <c r="ET84" s="603">
        <f t="shared" ca="1" si="227"/>
        <v>0</v>
      </c>
      <c r="EU84" s="603">
        <f t="shared" ca="1" si="228"/>
        <v>0</v>
      </c>
      <c r="EV84" s="603" t="str">
        <f t="shared" ca="1" si="87"/>
        <v>N</v>
      </c>
      <c r="EW84" s="602" t="str">
        <f t="shared" ca="1" si="229"/>
        <v>N</v>
      </c>
      <c r="EX84" s="556" t="str">
        <f ca="1">IF(ROUND(EX35,2)=0,"ok","!")</f>
        <v>ok</v>
      </c>
    </row>
    <row r="85" spans="2:154">
      <c r="B85" s="600" t="s">
        <v>401</v>
      </c>
      <c r="C85" s="3781" t="s">
        <v>821</v>
      </c>
      <c r="D85" s="3782"/>
      <c r="E85" s="601"/>
      <c r="F85" s="603"/>
      <c r="G85" s="3482"/>
      <c r="H85" s="3479"/>
      <c r="I85" s="3480"/>
      <c r="J85" s="604"/>
      <c r="K85" s="601">
        <f t="shared" ca="1" si="230"/>
        <v>25.606130102007164</v>
      </c>
      <c r="L85" s="603">
        <f t="shared" ca="1" si="230"/>
        <v>25.622229970634393</v>
      </c>
      <c r="M85" s="3482" t="str">
        <f t="shared" si="230"/>
        <v/>
      </c>
      <c r="N85" s="3479">
        <f t="shared" ca="1" si="230"/>
        <v>25.563239621142152</v>
      </c>
      <c r="O85" s="3480" t="str">
        <f t="shared" si="230"/>
        <v/>
      </c>
      <c r="P85" s="604"/>
      <c r="Q85" s="601">
        <f t="shared" ca="1" si="138"/>
        <v>16.952539841799474</v>
      </c>
      <c r="R85" s="603">
        <f t="shared" ca="1" si="139"/>
        <v>15.393575341015197</v>
      </c>
      <c r="S85" s="3482" t="str">
        <f t="shared" si="140"/>
        <v/>
      </c>
      <c r="T85" s="3479">
        <f t="shared" ca="1" si="124"/>
        <v>21.107614152419906</v>
      </c>
      <c r="U85" s="3480" t="str">
        <f t="shared" si="141"/>
        <v/>
      </c>
      <c r="V85" s="604"/>
      <c r="W85" s="601">
        <f t="shared" ca="1" si="142"/>
        <v>13.101041750835707</v>
      </c>
      <c r="X85" s="603">
        <f t="shared" ca="1" si="143"/>
        <v>10.775243593166062</v>
      </c>
      <c r="Y85" s="3482" t="str">
        <f t="shared" si="144"/>
        <v/>
      </c>
      <c r="Z85" s="3479">
        <f t="shared" ca="1" si="125"/>
        <v>19.007467824797409</v>
      </c>
      <c r="AA85" s="3480" t="str">
        <f t="shared" si="145"/>
        <v/>
      </c>
      <c r="AB85" s="604"/>
      <c r="AC85" s="601">
        <f t="shared" ca="1" si="146"/>
        <v>-0.61458239620102439</v>
      </c>
      <c r="AD85" s="603">
        <f t="shared" ca="1" si="147"/>
        <v>3.6730088323411403</v>
      </c>
      <c r="AE85" s="3482" t="str">
        <f t="shared" si="148"/>
        <v/>
      </c>
      <c r="AF85" s="3479">
        <f t="shared" ca="1" si="126"/>
        <v>-10.749836076274244</v>
      </c>
      <c r="AG85" s="3480" t="str">
        <f t="shared" si="149"/>
        <v/>
      </c>
      <c r="AH85" s="604"/>
      <c r="AI85" s="601">
        <f t="shared" ca="1" si="150"/>
        <v>3.7177518836361001</v>
      </c>
      <c r="AJ85" s="603">
        <f t="shared" ca="1" si="151"/>
        <v>5.2293294753600117</v>
      </c>
      <c r="AK85" s="3482" t="str">
        <f t="shared" si="152"/>
        <v/>
      </c>
      <c r="AL85" s="3479">
        <f t="shared" ca="1" si="127"/>
        <v>-0.4328241610291883</v>
      </c>
      <c r="AM85" s="3480" t="str">
        <f t="shared" si="153"/>
        <v/>
      </c>
      <c r="AN85" s="604"/>
      <c r="AO85" s="601">
        <f t="shared" ca="1" si="154"/>
        <v>4.992290592469284</v>
      </c>
      <c r="AP85" s="603">
        <f t="shared" ca="1" si="155"/>
        <v>6.639982788553489</v>
      </c>
      <c r="AQ85" s="3482" t="str">
        <f t="shared" si="156"/>
        <v/>
      </c>
      <c r="AR85" s="3479">
        <f t="shared" ca="1" si="128"/>
        <v>0.21067532961842605</v>
      </c>
      <c r="AS85" s="3480" t="str">
        <f t="shared" si="157"/>
        <v/>
      </c>
      <c r="AT85" s="604"/>
      <c r="AU85" s="601">
        <f t="shared" ca="1" si="158"/>
        <v>5.3614083242125021</v>
      </c>
      <c r="AV85" s="603">
        <f t="shared" ca="1" si="159"/>
        <v>5.75453957965395</v>
      </c>
      <c r="AW85" s="3482" t="str">
        <f t="shared" si="160"/>
        <v/>
      </c>
      <c r="AX85" s="3479">
        <f t="shared" ca="1" si="129"/>
        <v>4.147342608881055</v>
      </c>
      <c r="AY85" s="3480" t="str">
        <f t="shared" si="161"/>
        <v/>
      </c>
      <c r="AZ85" s="604"/>
      <c r="BA85" s="601">
        <f t="shared" ca="1" si="162"/>
        <v>8.2821924547157764</v>
      </c>
      <c r="BB85" s="603">
        <f t="shared" ca="1" si="163"/>
        <v>9.5645769105996195</v>
      </c>
      <c r="BC85" s="3482" t="str">
        <f t="shared" si="164"/>
        <v/>
      </c>
      <c r="BD85" s="3479">
        <f t="shared" ca="1" si="130"/>
        <v>4.2608256129395672</v>
      </c>
      <c r="BE85" s="3480" t="str">
        <f t="shared" si="165"/>
        <v/>
      </c>
      <c r="BF85" s="604"/>
      <c r="BG85" s="601">
        <f t="shared" ca="1" si="166"/>
        <v>9.8969290146716737</v>
      </c>
      <c r="BH85" s="603">
        <f t="shared" ca="1" si="167"/>
        <v>10.699275045204937</v>
      </c>
      <c r="BI85" s="3482" t="str">
        <f t="shared" si="168"/>
        <v/>
      </c>
      <c r="BJ85" s="3479">
        <f t="shared" ca="1" si="131"/>
        <v>7.2529003316856411</v>
      </c>
      <c r="BK85" s="3480" t="str">
        <f t="shared" si="169"/>
        <v/>
      </c>
      <c r="BL85" s="604"/>
      <c r="BM85" s="601">
        <f t="shared" ca="1" si="170"/>
        <v>13.55201997845894</v>
      </c>
      <c r="BN85" s="603">
        <f t="shared" ca="1" si="171"/>
        <v>14.248369091637048</v>
      </c>
      <c r="BO85" s="3482" t="str">
        <f t="shared" si="172"/>
        <v/>
      </c>
      <c r="BP85" s="3479">
        <f t="shared" ca="1" si="132"/>
        <v>11.183553664865297</v>
      </c>
      <c r="BQ85" s="3480" t="str">
        <f t="shared" si="173"/>
        <v/>
      </c>
      <c r="BR85" s="604"/>
      <c r="BS85" s="601">
        <f t="shared" ca="1" si="174"/>
        <v>15.145605280978437</v>
      </c>
      <c r="BT85" s="603">
        <f t="shared" ca="1" si="175"/>
        <v>14.18500075093425</v>
      </c>
      <c r="BU85" s="3482" t="str">
        <f t="shared" si="176"/>
        <v/>
      </c>
      <c r="BV85" s="3479">
        <f t="shared" ca="1" si="133"/>
        <v>18.502937157942689</v>
      </c>
      <c r="BW85" s="3480" t="str">
        <f t="shared" si="177"/>
        <v/>
      </c>
      <c r="BX85" s="604"/>
      <c r="BY85" s="601">
        <f t="shared" ca="1" si="178"/>
        <v>16.962618100107619</v>
      </c>
      <c r="BZ85" s="603">
        <f t="shared" ca="1" si="179"/>
        <v>19.025147906103477</v>
      </c>
      <c r="CA85" s="3482" t="str">
        <f t="shared" si="180"/>
        <v/>
      </c>
      <c r="CB85" s="3479">
        <f t="shared" ca="1" si="134"/>
        <v>10.016697390734119</v>
      </c>
      <c r="CC85" s="3480" t="str">
        <f t="shared" si="181"/>
        <v/>
      </c>
      <c r="CD85" s="604"/>
      <c r="CE85" s="601">
        <f t="shared" ca="1" si="182"/>
        <v>16.296673161210929</v>
      </c>
      <c r="CF85" s="603">
        <f t="shared" ca="1" si="183"/>
        <v>15.168621188573962</v>
      </c>
      <c r="CG85" s="3482" t="str">
        <f t="shared" si="184"/>
        <v/>
      </c>
      <c r="CH85" s="3479">
        <f t="shared" ca="1" si="135"/>
        <v>20.406644785793084</v>
      </c>
      <c r="CI85" s="3480" t="str">
        <f t="shared" si="185"/>
        <v/>
      </c>
      <c r="CJ85" s="604"/>
      <c r="CK85" s="601">
        <f t="shared" ca="1" si="186"/>
        <v>-12.084111948008957</v>
      </c>
      <c r="CL85" s="603">
        <f t="shared" ca="1" si="187"/>
        <v>-13.759763847413298</v>
      </c>
      <c r="CM85" s="3482" t="str">
        <f t="shared" si="188"/>
        <v/>
      </c>
      <c r="CN85" s="3479">
        <f t="shared" ca="1" si="136"/>
        <v>-6.2445908733280824</v>
      </c>
      <c r="CO85" s="3480" t="str">
        <f t="shared" si="189"/>
        <v/>
      </c>
      <c r="CP85" s="604"/>
      <c r="CQ85" s="601">
        <f t="shared" ca="1" si="190"/>
        <v>-2.2710247505530856</v>
      </c>
      <c r="CR85" s="603">
        <f t="shared" ca="1" si="191"/>
        <v>-2.1262160226752647</v>
      </c>
      <c r="CS85" s="3482" t="str">
        <f t="shared" si="192"/>
        <v/>
      </c>
      <c r="CT85" s="3479">
        <f t="shared" ca="1" si="42"/>
        <v>-2.7352211516775804</v>
      </c>
      <c r="CU85" s="3480" t="str">
        <f t="shared" si="193"/>
        <v/>
      </c>
      <c r="CV85" s="604"/>
      <c r="CW85" s="601">
        <f t="shared" ca="1" si="194"/>
        <v>7.5386278910302806</v>
      </c>
      <c r="CX85" s="603">
        <f t="shared" ca="1" si="195"/>
        <v>8.9064469500499612</v>
      </c>
      <c r="CY85" s="3482" t="str">
        <f t="shared" si="196"/>
        <v/>
      </c>
      <c r="CZ85" s="3479">
        <f t="shared" ca="1" si="47"/>
        <v>3.1265166140008516</v>
      </c>
      <c r="DA85" s="3480" t="str">
        <f t="shared" si="197"/>
        <v/>
      </c>
      <c r="DB85" s="604"/>
      <c r="DC85" s="601">
        <f t="shared" ca="1" si="198"/>
        <v>5.2196555776492959</v>
      </c>
      <c r="DD85" s="603">
        <f t="shared" ca="1" si="199"/>
        <v>6.2742499558684717</v>
      </c>
      <c r="DE85" s="3482" t="str">
        <f t="shared" si="200"/>
        <v/>
      </c>
      <c r="DF85" s="3479">
        <f t="shared" ca="1" si="52"/>
        <v>1.6272405931689216</v>
      </c>
      <c r="DG85" s="3480" t="str">
        <f t="shared" si="201"/>
        <v/>
      </c>
      <c r="DH85" s="604"/>
      <c r="DI85" s="601">
        <f t="shared" ca="1" si="202"/>
        <v>4.2025491001008719</v>
      </c>
      <c r="DJ85" s="603">
        <f t="shared" ca="1" si="203"/>
        <v>5.3520737522436024</v>
      </c>
      <c r="DK85" s="3482" t="str">
        <f t="shared" si="204"/>
        <v/>
      </c>
      <c r="DL85" s="3479">
        <f t="shared" ca="1" si="57"/>
        <v>0.10770613376140936</v>
      </c>
      <c r="DM85" s="3480" t="str">
        <f t="shared" si="205"/>
        <v/>
      </c>
      <c r="DN85" s="604"/>
      <c r="DO85" s="601">
        <f t="shared" ca="1" si="206"/>
        <v>4.082014036026993</v>
      </c>
      <c r="DP85" s="603">
        <f t="shared" ca="1" si="207"/>
        <v>4.0906766427303953</v>
      </c>
      <c r="DQ85" s="3482" t="str">
        <f t="shared" si="208"/>
        <v/>
      </c>
      <c r="DR85" s="3479">
        <f t="shared" ca="1" si="62"/>
        <v>4.0495394863079515</v>
      </c>
      <c r="DS85" s="3480" t="str">
        <f t="shared" si="209"/>
        <v/>
      </c>
      <c r="DT85" s="604"/>
      <c r="DU85" s="601">
        <f t="shared" ca="1" si="210"/>
        <v>3.6472947281036783</v>
      </c>
      <c r="DV85" s="603">
        <f t="shared" ca="1" si="211"/>
        <v>3.0593383975462629</v>
      </c>
      <c r="DW85" s="3482" t="str">
        <f t="shared" si="212"/>
        <v/>
      </c>
      <c r="DX85" s="3479">
        <f t="shared" ca="1" si="67"/>
        <v>5.8523083711901069</v>
      </c>
      <c r="DY85" s="3480" t="str">
        <f t="shared" si="213"/>
        <v/>
      </c>
      <c r="DZ85" s="604"/>
      <c r="EA85" s="601">
        <f t="shared" ca="1" si="214"/>
        <v>5.3434172507892397</v>
      </c>
      <c r="EB85" s="603">
        <f t="shared" ca="1" si="215"/>
        <v>5.9202577870326012</v>
      </c>
      <c r="EC85" s="3482" t="str">
        <f t="shared" si="216"/>
        <v/>
      </c>
      <c r="ED85" s="3479">
        <f t="shared" ca="1" si="72"/>
        <v>3.2371717096298491</v>
      </c>
      <c r="EE85" s="3480" t="str">
        <f t="shared" si="217"/>
        <v/>
      </c>
      <c r="EF85" s="604"/>
      <c r="EG85" s="601">
        <f t="shared" ca="1" si="218"/>
        <v>7.0102072335390675</v>
      </c>
      <c r="EH85" s="603">
        <f t="shared" ca="1" si="219"/>
        <v>7.790787561124124</v>
      </c>
      <c r="EI85" s="3482" t="str">
        <f t="shared" si="220"/>
        <v/>
      </c>
      <c r="EJ85" s="3479">
        <f t="shared" ca="1" si="77"/>
        <v>4.0859622080890556</v>
      </c>
      <c r="EK85" s="3480" t="str">
        <f t="shared" si="221"/>
        <v/>
      </c>
      <c r="EL85" s="604"/>
      <c r="EM85" s="601">
        <f t="shared" ca="1" si="222"/>
        <v>6.0790266191137698</v>
      </c>
      <c r="EN85" s="603">
        <f t="shared" ca="1" si="223"/>
        <v>6.190999999999991</v>
      </c>
      <c r="EO85" s="3482" t="str">
        <f t="shared" si="224"/>
        <v/>
      </c>
      <c r="EP85" s="3479">
        <f t="shared" ca="1" si="82"/>
        <v>5.6446159999999912</v>
      </c>
      <c r="EQ85" s="3480" t="str">
        <f t="shared" si="225"/>
        <v/>
      </c>
      <c r="ER85" s="604"/>
      <c r="ES85" s="601">
        <f t="shared" ca="1" si="226"/>
        <v>5.4831887733969964</v>
      </c>
      <c r="ET85" s="603">
        <f t="shared" ca="1" si="227"/>
        <v>5.5725999999999942</v>
      </c>
      <c r="EU85" s="3482" t="str">
        <f t="shared" si="228"/>
        <v/>
      </c>
      <c r="EV85" s="3479">
        <f t="shared" ca="1" si="87"/>
        <v>5.1345160000000334</v>
      </c>
      <c r="EW85" s="3480" t="str">
        <f t="shared" si="229"/>
        <v/>
      </c>
      <c r="EX85" s="604"/>
    </row>
    <row r="86" spans="2:154">
      <c r="B86" s="600"/>
      <c r="C86" s="582"/>
      <c r="D86" s="583" t="s">
        <v>1644</v>
      </c>
      <c r="E86" s="598"/>
      <c r="F86" s="602"/>
      <c r="G86" s="3482"/>
      <c r="H86" s="577"/>
      <c r="I86" s="3480"/>
      <c r="J86" s="584"/>
      <c r="K86" s="598" t="str">
        <f t="shared" si="230"/>
        <v/>
      </c>
      <c r="L86" s="602" t="str">
        <f t="shared" si="230"/>
        <v/>
      </c>
      <c r="M86" s="3482" t="str">
        <f t="shared" si="230"/>
        <v/>
      </c>
      <c r="N86" s="577">
        <f t="shared" ca="1" si="230"/>
        <v>29.255023730182785</v>
      </c>
      <c r="O86" s="3480" t="str">
        <f t="shared" si="230"/>
        <v/>
      </c>
      <c r="P86" s="584"/>
      <c r="Q86" s="598" t="str">
        <f t="shared" si="138"/>
        <v/>
      </c>
      <c r="R86" s="602" t="str">
        <f t="shared" si="139"/>
        <v/>
      </c>
      <c r="S86" s="3482" t="str">
        <f t="shared" si="140"/>
        <v/>
      </c>
      <c r="T86" s="577">
        <f t="shared" ca="1" si="124"/>
        <v>32.124686282360514</v>
      </c>
      <c r="U86" s="3480" t="str">
        <f t="shared" si="141"/>
        <v/>
      </c>
      <c r="V86" s="584"/>
      <c r="W86" s="598" t="str">
        <f t="shared" si="142"/>
        <v/>
      </c>
      <c r="X86" s="602" t="str">
        <f t="shared" si="143"/>
        <v/>
      </c>
      <c r="Y86" s="3482" t="str">
        <f t="shared" si="144"/>
        <v/>
      </c>
      <c r="Z86" s="577">
        <f t="shared" ca="1" si="125"/>
        <v>22.856382624891893</v>
      </c>
      <c r="AA86" s="3480" t="str">
        <f t="shared" si="145"/>
        <v/>
      </c>
      <c r="AB86" s="584"/>
      <c r="AC86" s="598" t="str">
        <f t="shared" si="146"/>
        <v/>
      </c>
      <c r="AD86" s="602" t="str">
        <f t="shared" si="147"/>
        <v/>
      </c>
      <c r="AE86" s="3482" t="str">
        <f t="shared" si="148"/>
        <v/>
      </c>
      <c r="AF86" s="577">
        <f t="shared" ca="1" si="126"/>
        <v>4.2648040861263059</v>
      </c>
      <c r="AG86" s="3480" t="str">
        <f t="shared" si="149"/>
        <v/>
      </c>
      <c r="AH86" s="584"/>
      <c r="AI86" s="598" t="str">
        <f t="shared" si="150"/>
        <v/>
      </c>
      <c r="AJ86" s="602" t="str">
        <f t="shared" si="151"/>
        <v/>
      </c>
      <c r="AK86" s="3482" t="str">
        <f t="shared" si="152"/>
        <v/>
      </c>
      <c r="AL86" s="577">
        <f t="shared" ca="1" si="127"/>
        <v>-15.558248225722693</v>
      </c>
      <c r="AM86" s="3480" t="str">
        <f t="shared" si="153"/>
        <v/>
      </c>
      <c r="AN86" s="584"/>
      <c r="AO86" s="598" t="str">
        <f t="shared" si="154"/>
        <v/>
      </c>
      <c r="AP86" s="602" t="str">
        <f t="shared" si="155"/>
        <v/>
      </c>
      <c r="AQ86" s="3482" t="str">
        <f t="shared" si="156"/>
        <v/>
      </c>
      <c r="AR86" s="577">
        <f t="shared" ca="1" si="128"/>
        <v>3.8648135241140746</v>
      </c>
      <c r="AS86" s="3480" t="str">
        <f t="shared" si="157"/>
        <v/>
      </c>
      <c r="AT86" s="584"/>
      <c r="AU86" s="598" t="str">
        <f t="shared" si="158"/>
        <v/>
      </c>
      <c r="AV86" s="602" t="str">
        <f t="shared" si="159"/>
        <v/>
      </c>
      <c r="AW86" s="3482" t="str">
        <f t="shared" si="160"/>
        <v/>
      </c>
      <c r="AX86" s="577">
        <f t="shared" ca="1" si="129"/>
        <v>8.3742319180010849</v>
      </c>
      <c r="AY86" s="3480" t="str">
        <f t="shared" si="161"/>
        <v/>
      </c>
      <c r="AZ86" s="584"/>
      <c r="BA86" s="598" t="str">
        <f t="shared" si="162"/>
        <v/>
      </c>
      <c r="BB86" s="602" t="str">
        <f t="shared" si="163"/>
        <v/>
      </c>
      <c r="BC86" s="3482" t="str">
        <f t="shared" si="164"/>
        <v/>
      </c>
      <c r="BD86" s="577">
        <f t="shared" ca="1" si="130"/>
        <v>4.1073022078418786</v>
      </c>
      <c r="BE86" s="3480" t="str">
        <f t="shared" si="165"/>
        <v/>
      </c>
      <c r="BF86" s="584"/>
      <c r="BG86" s="598" t="str">
        <f t="shared" si="166"/>
        <v/>
      </c>
      <c r="BH86" s="602" t="str">
        <f t="shared" si="167"/>
        <v/>
      </c>
      <c r="BI86" s="3482" t="str">
        <f t="shared" si="168"/>
        <v/>
      </c>
      <c r="BJ86" s="577">
        <f t="shared" ca="1" si="131"/>
        <v>7.4642705120206099</v>
      </c>
      <c r="BK86" s="3480" t="str">
        <f t="shared" si="169"/>
        <v/>
      </c>
      <c r="BL86" s="584"/>
      <c r="BM86" s="598" t="str">
        <f t="shared" si="170"/>
        <v/>
      </c>
      <c r="BN86" s="602" t="str">
        <f t="shared" si="171"/>
        <v/>
      </c>
      <c r="BO86" s="3482" t="str">
        <f t="shared" si="172"/>
        <v/>
      </c>
      <c r="BP86" s="577">
        <f t="shared" ca="1" si="132"/>
        <v>15.21557477563511</v>
      </c>
      <c r="BQ86" s="3480" t="str">
        <f t="shared" si="173"/>
        <v/>
      </c>
      <c r="BR86" s="584"/>
      <c r="BS86" s="598" t="str">
        <f t="shared" si="174"/>
        <v/>
      </c>
      <c r="BT86" s="602" t="str">
        <f t="shared" si="175"/>
        <v/>
      </c>
      <c r="BU86" s="3482" t="str">
        <f t="shared" si="176"/>
        <v/>
      </c>
      <c r="BV86" s="577">
        <f t="shared" ca="1" si="133"/>
        <v>15.013186399171129</v>
      </c>
      <c r="BW86" s="3480" t="str">
        <f t="shared" si="177"/>
        <v/>
      </c>
      <c r="BX86" s="584"/>
      <c r="BY86" s="598" t="str">
        <f t="shared" si="178"/>
        <v/>
      </c>
      <c r="BZ86" s="602" t="str">
        <f t="shared" si="179"/>
        <v/>
      </c>
      <c r="CA86" s="3482" t="str">
        <f t="shared" si="180"/>
        <v/>
      </c>
      <c r="CB86" s="577">
        <f t="shared" ca="1" si="134"/>
        <v>11.853295607630866</v>
      </c>
      <c r="CC86" s="3480" t="str">
        <f t="shared" si="181"/>
        <v/>
      </c>
      <c r="CD86" s="584"/>
      <c r="CE86" s="598" t="str">
        <f t="shared" si="182"/>
        <v/>
      </c>
      <c r="CF86" s="602" t="str">
        <f t="shared" si="183"/>
        <v/>
      </c>
      <c r="CG86" s="3482" t="str">
        <f t="shared" si="184"/>
        <v/>
      </c>
      <c r="CH86" s="577">
        <f t="shared" ca="1" si="135"/>
        <v>23.591795495063451</v>
      </c>
      <c r="CI86" s="3480" t="str">
        <f t="shared" si="185"/>
        <v/>
      </c>
      <c r="CJ86" s="584"/>
      <c r="CK86" s="598" t="str">
        <f t="shared" si="186"/>
        <v/>
      </c>
      <c r="CL86" s="602" t="str">
        <f t="shared" si="187"/>
        <v/>
      </c>
      <c r="CM86" s="3482" t="str">
        <f t="shared" si="188"/>
        <v/>
      </c>
      <c r="CN86" s="577">
        <f t="shared" ca="1" si="136"/>
        <v>0.38594599718020373</v>
      </c>
      <c r="CO86" s="3480" t="str">
        <f t="shared" si="189"/>
        <v/>
      </c>
      <c r="CP86" s="584"/>
      <c r="CQ86" s="598" t="str">
        <f t="shared" si="190"/>
        <v/>
      </c>
      <c r="CR86" s="602" t="str">
        <f t="shared" si="191"/>
        <v/>
      </c>
      <c r="CS86" s="3482" t="str">
        <f t="shared" si="192"/>
        <v/>
      </c>
      <c r="CT86" s="577">
        <f t="shared" ca="1" si="42"/>
        <v>-5.7949633388902688</v>
      </c>
      <c r="CU86" s="3480" t="str">
        <f t="shared" si="193"/>
        <v/>
      </c>
      <c r="CV86" s="584"/>
      <c r="CW86" s="598" t="str">
        <f t="shared" si="194"/>
        <v/>
      </c>
      <c r="CX86" s="602" t="str">
        <f t="shared" si="195"/>
        <v/>
      </c>
      <c r="CY86" s="3482" t="str">
        <f t="shared" si="196"/>
        <v/>
      </c>
      <c r="CZ86" s="577">
        <f t="shared" ca="1" si="47"/>
        <v>4.4065460809646684</v>
      </c>
      <c r="DA86" s="3480" t="str">
        <f t="shared" si="197"/>
        <v/>
      </c>
      <c r="DB86" s="584"/>
      <c r="DC86" s="598" t="str">
        <f t="shared" si="198"/>
        <v/>
      </c>
      <c r="DD86" s="602" t="str">
        <f t="shared" si="199"/>
        <v/>
      </c>
      <c r="DE86" s="3482" t="str">
        <f t="shared" si="200"/>
        <v/>
      </c>
      <c r="DF86" s="577">
        <f t="shared" ca="1" si="52"/>
        <v>-1.0931650187193998</v>
      </c>
      <c r="DG86" s="3480" t="str">
        <f t="shared" si="201"/>
        <v/>
      </c>
      <c r="DH86" s="584"/>
      <c r="DI86" s="598" t="str">
        <f t="shared" si="202"/>
        <v/>
      </c>
      <c r="DJ86" s="602" t="str">
        <f t="shared" si="203"/>
        <v/>
      </c>
      <c r="DK86" s="3482" t="str">
        <f t="shared" si="204"/>
        <v/>
      </c>
      <c r="DL86" s="577">
        <f t="shared" ca="1" si="57"/>
        <v>0.39278131634818969</v>
      </c>
      <c r="DM86" s="3480" t="str">
        <f t="shared" si="205"/>
        <v/>
      </c>
      <c r="DN86" s="584"/>
      <c r="DO86" s="598" t="str">
        <f t="shared" si="206"/>
        <v/>
      </c>
      <c r="DP86" s="602" t="str">
        <f t="shared" si="207"/>
        <v/>
      </c>
      <c r="DQ86" s="3482" t="str">
        <f t="shared" si="208"/>
        <v/>
      </c>
      <c r="DR86" s="577">
        <f t="shared" ca="1" si="62"/>
        <v>2.4909741839000743</v>
      </c>
      <c r="DS86" s="3480" t="str">
        <f t="shared" si="209"/>
        <v/>
      </c>
      <c r="DT86" s="584"/>
      <c r="DU86" s="598" t="str">
        <f t="shared" si="210"/>
        <v/>
      </c>
      <c r="DV86" s="602" t="str">
        <f t="shared" si="211"/>
        <v/>
      </c>
      <c r="DW86" s="3482" t="str">
        <f t="shared" si="212"/>
        <v/>
      </c>
      <c r="DX86" s="577">
        <f t="shared" ca="1" si="67"/>
        <v>7.2535667963683492</v>
      </c>
      <c r="DY86" s="3480" t="str">
        <f t="shared" si="213"/>
        <v/>
      </c>
      <c r="DZ86" s="584"/>
      <c r="EA86" s="598" t="str">
        <f t="shared" si="214"/>
        <v/>
      </c>
      <c r="EB86" s="602" t="str">
        <f t="shared" si="215"/>
        <v/>
      </c>
      <c r="EC86" s="3482" t="str">
        <f t="shared" si="216"/>
        <v/>
      </c>
      <c r="ED86" s="577">
        <f t="shared" ca="1" si="72"/>
        <v>3.7941772228436754</v>
      </c>
      <c r="EE86" s="3480" t="str">
        <f t="shared" si="217"/>
        <v/>
      </c>
      <c r="EF86" s="584"/>
      <c r="EG86" s="598" t="str">
        <f t="shared" si="218"/>
        <v/>
      </c>
      <c r="EH86" s="602" t="str">
        <f t="shared" si="219"/>
        <v/>
      </c>
      <c r="EI86" s="3482" t="str">
        <f t="shared" si="220"/>
        <v/>
      </c>
      <c r="EJ86" s="577">
        <f t="shared" ca="1" si="77"/>
        <v>3.8215076313643292</v>
      </c>
      <c r="EK86" s="3480" t="str">
        <f t="shared" si="221"/>
        <v/>
      </c>
      <c r="EL86" s="584"/>
      <c r="EM86" s="598" t="str">
        <f t="shared" si="222"/>
        <v/>
      </c>
      <c r="EN86" s="602" t="str">
        <f t="shared" si="223"/>
        <v/>
      </c>
      <c r="EO86" s="3482" t="str">
        <f t="shared" si="224"/>
        <v/>
      </c>
      <c r="EP86" s="577">
        <f t="shared" ca="1" si="82"/>
        <v>6.1357361072627237</v>
      </c>
      <c r="EQ86" s="3480" t="str">
        <f t="shared" si="225"/>
        <v/>
      </c>
      <c r="ER86" s="584"/>
      <c r="ES86" s="598" t="str">
        <f t="shared" si="226"/>
        <v/>
      </c>
      <c r="ET86" s="602" t="str">
        <f t="shared" si="227"/>
        <v/>
      </c>
      <c r="EU86" s="3482" t="str">
        <f t="shared" si="228"/>
        <v/>
      </c>
      <c r="EV86" s="577">
        <f t="shared" ca="1" si="87"/>
        <v>5.23590439347561</v>
      </c>
      <c r="EW86" s="3480" t="str">
        <f t="shared" si="229"/>
        <v/>
      </c>
      <c r="EX86" s="584"/>
    </row>
    <row r="87" spans="2:154" ht="13.5" thickBot="1">
      <c r="B87" s="564"/>
      <c r="C87" s="582"/>
      <c r="D87" s="583" t="s">
        <v>1645</v>
      </c>
      <c r="E87" s="598"/>
      <c r="F87" s="602"/>
      <c r="G87" s="3482"/>
      <c r="H87" s="580"/>
      <c r="I87" s="3480"/>
      <c r="J87" s="584"/>
      <c r="K87" s="598" t="str">
        <f t="shared" si="230"/>
        <v/>
      </c>
      <c r="L87" s="602" t="str">
        <f t="shared" si="230"/>
        <v/>
      </c>
      <c r="M87" s="3482" t="str">
        <f t="shared" si="230"/>
        <v/>
      </c>
      <c r="N87" s="580">
        <f t="shared" ca="1" si="230"/>
        <v>22.830312091197904</v>
      </c>
      <c r="O87" s="3480" t="str">
        <f t="shared" si="230"/>
        <v/>
      </c>
      <c r="P87" s="584"/>
      <c r="Q87" s="598" t="str">
        <f t="shared" si="138"/>
        <v/>
      </c>
      <c r="R87" s="602" t="str">
        <f t="shared" si="139"/>
        <v/>
      </c>
      <c r="S87" s="3482" t="str">
        <f t="shared" si="140"/>
        <v/>
      </c>
      <c r="T87" s="580">
        <f t="shared" ca="1" si="124"/>
        <v>12.525389302640511</v>
      </c>
      <c r="U87" s="3480" t="str">
        <f t="shared" si="141"/>
        <v/>
      </c>
      <c r="V87" s="584"/>
      <c r="W87" s="598" t="str">
        <f t="shared" si="142"/>
        <v/>
      </c>
      <c r="X87" s="602" t="str">
        <f t="shared" si="143"/>
        <v/>
      </c>
      <c r="Y87" s="3482" t="str">
        <f t="shared" si="144"/>
        <v/>
      </c>
      <c r="Z87" s="580">
        <f t="shared" ca="1" si="125"/>
        <v>15.486958990792177</v>
      </c>
      <c r="AA87" s="3480" t="str">
        <f t="shared" si="145"/>
        <v/>
      </c>
      <c r="AB87" s="584"/>
      <c r="AC87" s="598" t="str">
        <f t="shared" si="146"/>
        <v/>
      </c>
      <c r="AD87" s="602" t="str">
        <f t="shared" si="147"/>
        <v/>
      </c>
      <c r="AE87" s="3482" t="str">
        <f t="shared" si="148"/>
        <v/>
      </c>
      <c r="AF87" s="580">
        <f t="shared" ca="1" si="126"/>
        <v>-25.359722758830618</v>
      </c>
      <c r="AG87" s="3480" t="str">
        <f t="shared" si="149"/>
        <v/>
      </c>
      <c r="AH87" s="584"/>
      <c r="AI87" s="598" t="str">
        <f t="shared" si="150"/>
        <v/>
      </c>
      <c r="AJ87" s="602" t="str">
        <f t="shared" si="151"/>
        <v/>
      </c>
      <c r="AK87" s="3482" t="str">
        <f t="shared" si="152"/>
        <v/>
      </c>
      <c r="AL87" s="580">
        <f t="shared" ca="1" si="127"/>
        <v>20.126269558056542</v>
      </c>
      <c r="AM87" s="3480" t="str">
        <f t="shared" si="153"/>
        <v/>
      </c>
      <c r="AN87" s="584"/>
      <c r="AO87" s="598" t="str">
        <f t="shared" si="154"/>
        <v/>
      </c>
      <c r="AP87" s="602" t="str">
        <f t="shared" si="155"/>
        <v/>
      </c>
      <c r="AQ87" s="3482" t="str">
        <f t="shared" si="156"/>
        <v/>
      </c>
      <c r="AR87" s="580">
        <f t="shared" ca="1" si="128"/>
        <v>-3.2807327949231802</v>
      </c>
      <c r="AS87" s="3480" t="str">
        <f t="shared" si="157"/>
        <v/>
      </c>
      <c r="AT87" s="584"/>
      <c r="AU87" s="598" t="str">
        <f t="shared" si="158"/>
        <v/>
      </c>
      <c r="AV87" s="602" t="str">
        <f t="shared" si="159"/>
        <v/>
      </c>
      <c r="AW87" s="3482" t="str">
        <f t="shared" si="160"/>
        <v/>
      </c>
      <c r="AX87" s="580">
        <f t="shared" ca="1" si="129"/>
        <v>-0.18968287183919186</v>
      </c>
      <c r="AY87" s="3480" t="str">
        <f t="shared" si="161"/>
        <v/>
      </c>
      <c r="AZ87" s="584"/>
      <c r="BA87" s="598" t="str">
        <f t="shared" si="162"/>
        <v/>
      </c>
      <c r="BB87" s="602" t="str">
        <f t="shared" si="163"/>
        <v/>
      </c>
      <c r="BC87" s="3482" t="str">
        <f t="shared" si="164"/>
        <v/>
      </c>
      <c r="BD87" s="580">
        <f t="shared" ca="1" si="130"/>
        <v>4.4318650624573186</v>
      </c>
      <c r="BE87" s="3480" t="str">
        <f t="shared" si="165"/>
        <v/>
      </c>
      <c r="BF87" s="584"/>
      <c r="BG87" s="598" t="str">
        <f t="shared" si="166"/>
        <v/>
      </c>
      <c r="BH87" s="602" t="str">
        <f t="shared" si="167"/>
        <v/>
      </c>
      <c r="BI87" s="3482" t="str">
        <f t="shared" si="168"/>
        <v/>
      </c>
      <c r="BJ87" s="580">
        <f t="shared" ca="1" si="131"/>
        <v>7.0181460230289927</v>
      </c>
      <c r="BK87" s="3480" t="str">
        <f t="shared" si="169"/>
        <v/>
      </c>
      <c r="BL87" s="584"/>
      <c r="BM87" s="598" t="str">
        <f t="shared" si="170"/>
        <v/>
      </c>
      <c r="BN87" s="602" t="str">
        <f t="shared" si="171"/>
        <v/>
      </c>
      <c r="BO87" s="3482" t="str">
        <f t="shared" si="172"/>
        <v/>
      </c>
      <c r="BP87" s="580">
        <f t="shared" ca="1" si="132"/>
        <v>6.6867976593182554</v>
      </c>
      <c r="BQ87" s="3480" t="str">
        <f t="shared" si="173"/>
        <v/>
      </c>
      <c r="BR87" s="584"/>
      <c r="BS87" s="598" t="str">
        <f t="shared" si="174"/>
        <v/>
      </c>
      <c r="BT87" s="602" t="str">
        <f t="shared" si="175"/>
        <v/>
      </c>
      <c r="BU87" s="3482" t="str">
        <f t="shared" si="176"/>
        <v/>
      </c>
      <c r="BV87" s="580">
        <f t="shared" ca="1" si="133"/>
        <v>22.706053851084242</v>
      </c>
      <c r="BW87" s="3480" t="str">
        <f t="shared" si="177"/>
        <v/>
      </c>
      <c r="BX87" s="584"/>
      <c r="BY87" s="598" t="str">
        <f t="shared" si="178"/>
        <v/>
      </c>
      <c r="BZ87" s="602" t="str">
        <f t="shared" si="179"/>
        <v/>
      </c>
      <c r="CA87" s="3482" t="str">
        <f t="shared" si="180"/>
        <v/>
      </c>
      <c r="CB87" s="580">
        <f t="shared" ca="1" si="134"/>
        <v>7.9433463380359504</v>
      </c>
      <c r="CC87" s="3480" t="str">
        <f t="shared" si="181"/>
        <v/>
      </c>
      <c r="CD87" s="584"/>
      <c r="CE87" s="598" t="str">
        <f t="shared" si="182"/>
        <v/>
      </c>
      <c r="CF87" s="602" t="str">
        <f t="shared" si="183"/>
        <v/>
      </c>
      <c r="CG87" s="3482" t="str">
        <f t="shared" si="184"/>
        <v/>
      </c>
      <c r="CH87" s="580">
        <f t="shared" ca="1" si="135"/>
        <v>16.680655715240068</v>
      </c>
      <c r="CI87" s="3480" t="str">
        <f t="shared" si="185"/>
        <v/>
      </c>
      <c r="CJ87" s="584"/>
      <c r="CK87" s="598" t="str">
        <f t="shared" si="186"/>
        <v/>
      </c>
      <c r="CL87" s="602" t="str">
        <f t="shared" si="187"/>
        <v/>
      </c>
      <c r="CM87" s="3482" t="str">
        <f t="shared" si="188"/>
        <v/>
      </c>
      <c r="CN87" s="580">
        <f t="shared" ca="1" si="136"/>
        <v>-14.460413699957432</v>
      </c>
      <c r="CO87" s="3480" t="str">
        <f t="shared" si="189"/>
        <v/>
      </c>
      <c r="CP87" s="584"/>
      <c r="CQ87" s="598" t="str">
        <f t="shared" si="190"/>
        <v/>
      </c>
      <c r="CR87" s="602" t="str">
        <f t="shared" si="191"/>
        <v/>
      </c>
      <c r="CS87" s="3482" t="str">
        <f t="shared" si="192"/>
        <v/>
      </c>
      <c r="CT87" s="580">
        <f t="shared" ca="1" si="42"/>
        <v>1.7140920246451863</v>
      </c>
      <c r="CU87" s="3480" t="str">
        <f t="shared" si="193"/>
        <v/>
      </c>
      <c r="CV87" s="584"/>
      <c r="CW87" s="598" t="str">
        <f t="shared" si="194"/>
        <v/>
      </c>
      <c r="CX87" s="602" t="str">
        <f t="shared" si="195"/>
        <v/>
      </c>
      <c r="CY87" s="3482" t="str">
        <f t="shared" si="196"/>
        <v/>
      </c>
      <c r="CZ87" s="580">
        <f t="shared" ca="1" si="47"/>
        <v>1.4025807485773756</v>
      </c>
      <c r="DA87" s="3480" t="str">
        <f t="shared" si="197"/>
        <v/>
      </c>
      <c r="DB87" s="584"/>
      <c r="DC87" s="598" t="str">
        <f t="shared" si="198"/>
        <v/>
      </c>
      <c r="DD87" s="602" t="str">
        <f t="shared" si="199"/>
        <v/>
      </c>
      <c r="DE87" s="3482" t="str">
        <f t="shared" si="200"/>
        <v/>
      </c>
      <c r="DF87" s="580">
        <f t="shared" ca="1" si="52"/>
        <v>5.3996039735760393</v>
      </c>
      <c r="DG87" s="3480" t="str">
        <f t="shared" si="201"/>
        <v/>
      </c>
      <c r="DH87" s="584"/>
      <c r="DI87" s="598" t="str">
        <f t="shared" si="202"/>
        <v/>
      </c>
      <c r="DJ87" s="602" t="str">
        <f t="shared" si="203"/>
        <v/>
      </c>
      <c r="DK87" s="3482" t="str">
        <f t="shared" si="204"/>
        <v/>
      </c>
      <c r="DL87" s="580">
        <f t="shared" ca="1" si="57"/>
        <v>-0.26325344952794483</v>
      </c>
      <c r="DM87" s="3480" t="str">
        <f t="shared" si="205"/>
        <v/>
      </c>
      <c r="DN87" s="584"/>
      <c r="DO87" s="598" t="str">
        <f t="shared" si="206"/>
        <v/>
      </c>
      <c r="DP87" s="602" t="str">
        <f t="shared" si="207"/>
        <v/>
      </c>
      <c r="DQ87" s="3482" t="str">
        <f t="shared" si="208"/>
        <v/>
      </c>
      <c r="DR87" s="580">
        <f t="shared" ca="1" si="62"/>
        <v>6.090992912572557</v>
      </c>
      <c r="DS87" s="3480" t="str">
        <f t="shared" si="209"/>
        <v/>
      </c>
      <c r="DT87" s="584"/>
      <c r="DU87" s="598" t="str">
        <f t="shared" si="210"/>
        <v/>
      </c>
      <c r="DV87" s="602" t="str">
        <f t="shared" si="211"/>
        <v/>
      </c>
      <c r="DW87" s="3482" t="str">
        <f t="shared" si="212"/>
        <v/>
      </c>
      <c r="DX87" s="580">
        <f t="shared" ca="1" si="67"/>
        <v>4.0791814780691826</v>
      </c>
      <c r="DY87" s="3480" t="str">
        <f t="shared" si="213"/>
        <v/>
      </c>
      <c r="DZ87" s="584"/>
      <c r="EA87" s="598" t="str">
        <f t="shared" si="214"/>
        <v/>
      </c>
      <c r="EB87" s="602" t="str">
        <f t="shared" si="215"/>
        <v/>
      </c>
      <c r="EC87" s="3482" t="str">
        <f t="shared" si="216"/>
        <v/>
      </c>
      <c r="ED87" s="580">
        <f t="shared" ca="1" si="72"/>
        <v>2.5108501266893235</v>
      </c>
      <c r="EE87" s="3480" t="str">
        <f t="shared" si="217"/>
        <v/>
      </c>
      <c r="EF87" s="584"/>
      <c r="EG87" s="598" t="str">
        <f t="shared" si="218"/>
        <v/>
      </c>
      <c r="EH87" s="602" t="str">
        <f t="shared" si="219"/>
        <v/>
      </c>
      <c r="EI87" s="3482" t="str">
        <f t="shared" si="220"/>
        <v/>
      </c>
      <c r="EJ87" s="580">
        <f t="shared" ca="1" si="77"/>
        <v>4.4351215760309204</v>
      </c>
      <c r="EK87" s="3480" t="str">
        <f t="shared" si="221"/>
        <v/>
      </c>
      <c r="EL87" s="584"/>
      <c r="EM87" s="598" t="str">
        <f t="shared" si="222"/>
        <v/>
      </c>
      <c r="EN87" s="602" t="str">
        <f t="shared" si="223"/>
        <v/>
      </c>
      <c r="EO87" s="3482" t="str">
        <f t="shared" si="224"/>
        <v/>
      </c>
      <c r="EP87" s="580">
        <f t="shared" ca="1" si="82"/>
        <v>5.0000000000000044</v>
      </c>
      <c r="EQ87" s="3480" t="str">
        <f t="shared" si="225"/>
        <v/>
      </c>
      <c r="ER87" s="584"/>
      <c r="ES87" s="598" t="str">
        <f t="shared" si="226"/>
        <v/>
      </c>
      <c r="ET87" s="602" t="str">
        <f t="shared" si="227"/>
        <v/>
      </c>
      <c r="EU87" s="3482" t="str">
        <f t="shared" si="228"/>
        <v/>
      </c>
      <c r="EV87" s="580">
        <f t="shared" ca="1" si="87"/>
        <v>5.0000000000000044</v>
      </c>
      <c r="EW87" s="3480" t="str">
        <f t="shared" si="229"/>
        <v/>
      </c>
      <c r="EX87" s="584"/>
    </row>
    <row r="88" spans="2:154" ht="13.5" thickBot="1">
      <c r="B88" s="600" t="s">
        <v>1769</v>
      </c>
      <c r="C88" s="3785" t="s">
        <v>1323</v>
      </c>
      <c r="D88" s="3786"/>
      <c r="E88" s="3455"/>
      <c r="F88" s="3455"/>
      <c r="G88" s="3455"/>
      <c r="H88" s="3455"/>
      <c r="I88" s="3455"/>
      <c r="J88" s="604"/>
      <c r="K88" s="3455">
        <f t="shared" ca="1" si="230"/>
        <v>14.65913942786643</v>
      </c>
      <c r="L88" s="3455">
        <f t="shared" ca="1" si="230"/>
        <v>-214.50626274395495</v>
      </c>
      <c r="M88" s="3455">
        <f t="shared" ca="1" si="230"/>
        <v>49.911835426128604</v>
      </c>
      <c r="N88" s="3455">
        <f t="shared" ca="1" si="230"/>
        <v>-30.360387004098342</v>
      </c>
      <c r="O88" s="3455" t="str">
        <f t="shared" si="230"/>
        <v/>
      </c>
      <c r="P88" s="604"/>
      <c r="Q88" s="3455">
        <f t="shared" ca="1" si="138"/>
        <v>44.343580619802459</v>
      </c>
      <c r="R88" s="3455">
        <f t="shared" ca="1" si="139"/>
        <v>-375.52785550750451</v>
      </c>
      <c r="S88" s="3455">
        <f t="shared" ca="1" si="140"/>
        <v>1.5549258625607632</v>
      </c>
      <c r="T88" s="3455">
        <f t="shared" ca="1" si="124"/>
        <v>135.40010920342257</v>
      </c>
      <c r="U88" s="3455" t="str">
        <f t="shared" si="141"/>
        <v/>
      </c>
      <c r="V88" s="604"/>
      <c r="W88" s="3455">
        <f t="shared" ca="1" si="142"/>
        <v>-4.5393047147314958</v>
      </c>
      <c r="X88" s="3455">
        <f t="shared" ca="1" si="143"/>
        <v>181.94072569476396</v>
      </c>
      <c r="Y88" s="3455">
        <f t="shared" ca="1" si="144"/>
        <v>-15.117268730970823</v>
      </c>
      <c r="Z88" s="3455">
        <f t="shared" ca="1" si="125"/>
        <v>-77.577897476869211</v>
      </c>
      <c r="AA88" s="3455" t="str">
        <f t="shared" si="145"/>
        <v/>
      </c>
      <c r="AB88" s="604"/>
      <c r="AC88" s="3455">
        <f t="shared" ca="1" si="146"/>
        <v>-18.62846367272406</v>
      </c>
      <c r="AD88" s="3455">
        <f t="shared" ca="1" si="147"/>
        <v>-40.627763041555852</v>
      </c>
      <c r="AE88" s="3455">
        <f t="shared" ca="1" si="148"/>
        <v>-5.2439528633450365</v>
      </c>
      <c r="AF88" s="3455">
        <f t="shared" ca="1" si="126"/>
        <v>-13.022988505747236</v>
      </c>
      <c r="AG88" s="3455" t="str">
        <f t="shared" si="149"/>
        <v/>
      </c>
      <c r="AH88" s="604"/>
      <c r="AI88" s="3455">
        <f t="shared" ca="1" si="150"/>
        <v>27.36706151518511</v>
      </c>
      <c r="AJ88" s="3455">
        <f t="shared" ca="1" si="151"/>
        <v>56.567662226634411</v>
      </c>
      <c r="AK88" s="3455">
        <f t="shared" ca="1" si="152"/>
        <v>3.2061701593813163</v>
      </c>
      <c r="AL88" s="3455">
        <f t="shared" ca="1" si="127"/>
        <v>180.12422360248621</v>
      </c>
      <c r="AM88" s="3455" t="str">
        <f t="shared" si="153"/>
        <v/>
      </c>
      <c r="AN88" s="604"/>
      <c r="AO88" s="3455">
        <f t="shared" ca="1" si="154"/>
        <v>17.420730576673236</v>
      </c>
      <c r="AP88" s="3455">
        <f t="shared" ca="1" si="155"/>
        <v>-25.494513236926451</v>
      </c>
      <c r="AQ88" s="3455">
        <f t="shared" ca="1" si="156"/>
        <v>57.706699363676606</v>
      </c>
      <c r="AR88" s="3455">
        <f t="shared" ca="1" si="128"/>
        <v>-47.440675567297461</v>
      </c>
      <c r="AS88" s="3455" t="str">
        <f t="shared" si="157"/>
        <v/>
      </c>
      <c r="AT88" s="604"/>
      <c r="AU88" s="3455">
        <f t="shared" ca="1" si="158"/>
        <v>15.773292538492289</v>
      </c>
      <c r="AV88" s="3455">
        <f t="shared" ca="1" si="159"/>
        <v>4.9859334736056748</v>
      </c>
      <c r="AW88" s="3455">
        <f t="shared" ca="1" si="160"/>
        <v>9.656836461126117</v>
      </c>
      <c r="AX88" s="3455">
        <f t="shared" ca="1" si="129"/>
        <v>138.64105556054304</v>
      </c>
      <c r="AY88" s="3455" t="str">
        <f t="shared" si="161"/>
        <v/>
      </c>
      <c r="AZ88" s="604"/>
      <c r="BA88" s="3455">
        <f t="shared" ca="1" si="162"/>
        <v>6.7352079896676464</v>
      </c>
      <c r="BB88" s="3455">
        <f t="shared" ca="1" si="163"/>
        <v>-52.81480814267703</v>
      </c>
      <c r="BC88" s="3455">
        <f t="shared" ca="1" si="164"/>
        <v>20.893232604762659</v>
      </c>
      <c r="BD88" s="3455">
        <f t="shared" ca="1" si="130"/>
        <v>19.076992515138969</v>
      </c>
      <c r="BE88" s="3455" t="str">
        <f t="shared" si="165"/>
        <v/>
      </c>
      <c r="BF88" s="604"/>
      <c r="BG88" s="3455">
        <f t="shared" ca="1" si="166"/>
        <v>11.31970735291743</v>
      </c>
      <c r="BH88" s="3455">
        <f t="shared" ca="1" si="167"/>
        <v>378.78209411090762</v>
      </c>
      <c r="BI88" s="3455">
        <f t="shared" ca="1" si="168"/>
        <v>-31.061069512768668</v>
      </c>
      <c r="BJ88" s="3455">
        <f t="shared" ca="1" si="131"/>
        <v>32.884803689314033</v>
      </c>
      <c r="BK88" s="3455" t="str">
        <f t="shared" si="169"/>
        <v/>
      </c>
      <c r="BL88" s="604"/>
      <c r="BM88" s="3455">
        <f t="shared" ca="1" si="170"/>
        <v>28.17014590186875</v>
      </c>
      <c r="BN88" s="3455">
        <f t="shared" ca="1" si="171"/>
        <v>-42.833220366014338</v>
      </c>
      <c r="BO88" s="3455">
        <f t="shared" ca="1" si="172"/>
        <v>77.099482967254858</v>
      </c>
      <c r="BP88" s="3455">
        <f t="shared" ca="1" si="132"/>
        <v>38.904207273591474</v>
      </c>
      <c r="BQ88" s="3455" t="str">
        <f t="shared" si="173"/>
        <v/>
      </c>
      <c r="BR88" s="604"/>
      <c r="BS88" s="3455">
        <f t="shared" ca="1" si="174"/>
        <v>11.359100743688888</v>
      </c>
      <c r="BT88" s="3455">
        <f t="shared" ca="1" si="175"/>
        <v>46.687125122053708</v>
      </c>
      <c r="BU88" s="3455">
        <f t="shared" ca="1" si="176"/>
        <v>-3.773748985440184</v>
      </c>
      <c r="BV88" s="3455">
        <f t="shared" ca="1" si="133"/>
        <v>39.221725961291384</v>
      </c>
      <c r="BW88" s="3455" t="str">
        <f t="shared" si="177"/>
        <v/>
      </c>
      <c r="BX88" s="604"/>
      <c r="BY88" s="3455">
        <f t="shared" ca="1" si="178"/>
        <v>25.467003136813695</v>
      </c>
      <c r="BZ88" s="3455">
        <f t="shared" ca="1" si="179"/>
        <v>-185.56366489159336</v>
      </c>
      <c r="CA88" s="3455">
        <f t="shared" ca="1" si="180"/>
        <v>95.254571353568494</v>
      </c>
      <c r="CB88" s="3455">
        <f t="shared" ca="1" si="134"/>
        <v>44.358813623904794</v>
      </c>
      <c r="CC88" s="3455" t="str">
        <f t="shared" si="181"/>
        <v/>
      </c>
      <c r="CD88" s="604"/>
      <c r="CE88" s="3455">
        <f t="shared" ca="1" si="182"/>
        <v>-3.5239934452239274</v>
      </c>
      <c r="CF88" s="3455">
        <f t="shared" ca="1" si="183"/>
        <v>-84.954780989956362</v>
      </c>
      <c r="CG88" s="3455">
        <f t="shared" ca="1" si="184"/>
        <v>-3.9897292353129554</v>
      </c>
      <c r="CH88" s="3455">
        <f t="shared" ca="1" si="135"/>
        <v>-51.63394240757421</v>
      </c>
      <c r="CI88" s="3455" t="str">
        <f t="shared" si="185"/>
        <v/>
      </c>
      <c r="CJ88" s="604"/>
      <c r="CK88" s="3455">
        <f t="shared" ca="1" si="186"/>
        <v>-18.873433045327282</v>
      </c>
      <c r="CL88" s="3455">
        <f t="shared" ca="1" si="187"/>
        <v>-1011.3019390582067</v>
      </c>
      <c r="CM88" s="3455">
        <f t="shared" ca="1" si="188"/>
        <v>2.2937791112753514</v>
      </c>
      <c r="CN88" s="3455">
        <f t="shared" ca="1" si="136"/>
        <v>-370.41053446940208</v>
      </c>
      <c r="CO88" s="3455" t="str">
        <f t="shared" si="189"/>
        <v/>
      </c>
      <c r="CP88" s="604"/>
      <c r="CQ88" s="3455">
        <f t="shared" ca="1" si="190"/>
        <v>26.861106489716711</v>
      </c>
      <c r="CR88" s="3455">
        <f t="shared" ca="1" si="191"/>
        <v>53.623320566598686</v>
      </c>
      <c r="CS88" s="3455">
        <f t="shared" ca="1" si="192"/>
        <v>2.9252364762512917</v>
      </c>
      <c r="CT88" s="3455">
        <f t="shared" ca="1" si="42"/>
        <v>-25.381500481758344</v>
      </c>
      <c r="CU88" s="3455" t="str">
        <f t="shared" si="193"/>
        <v/>
      </c>
      <c r="CV88" s="604"/>
      <c r="CW88" s="3455">
        <f t="shared" ca="1" si="194"/>
        <v>12.869219594867598</v>
      </c>
      <c r="CX88" s="3455">
        <f t="shared" ca="1" si="195"/>
        <v>-38.526682364114606</v>
      </c>
      <c r="CY88" s="3455">
        <f t="shared" ca="1" si="196"/>
        <v>17.028388278388462</v>
      </c>
      <c r="CZ88" s="3455">
        <f t="shared" ca="1" si="47"/>
        <v>-38.475095317448805</v>
      </c>
      <c r="DA88" s="3455" t="str">
        <f t="shared" si="197"/>
        <v/>
      </c>
      <c r="DB88" s="604"/>
      <c r="DC88" s="3455">
        <f t="shared" ca="1" si="198"/>
        <v>9.8463601018901947</v>
      </c>
      <c r="DD88" s="3455">
        <f t="shared" ca="1" si="199"/>
        <v>-59.581133856916168</v>
      </c>
      <c r="DE88" s="3455">
        <f t="shared" ca="1" si="200"/>
        <v>13.748581712899499</v>
      </c>
      <c r="DF88" s="3455">
        <f t="shared" ca="1" si="52"/>
        <v>-52.215037295442215</v>
      </c>
      <c r="DG88" s="3455" t="str">
        <f t="shared" si="201"/>
        <v/>
      </c>
      <c r="DH88" s="604"/>
      <c r="DI88" s="3455">
        <f t="shared" ca="1" si="202"/>
        <v>18.820910386846123</v>
      </c>
      <c r="DJ88" s="3455">
        <f t="shared" ca="1" si="203"/>
        <v>42.161286897432014</v>
      </c>
      <c r="DK88" s="3455">
        <f t="shared" ca="1" si="204"/>
        <v>10.542263890731496</v>
      </c>
      <c r="DL88" s="3455">
        <f t="shared" ca="1" si="57"/>
        <v>-105.08057097071017</v>
      </c>
      <c r="DM88" s="3455" t="str">
        <f t="shared" si="205"/>
        <v/>
      </c>
      <c r="DN88" s="604"/>
      <c r="DO88" s="3455">
        <f t="shared" ca="1" si="206"/>
        <v>15.227400967453875</v>
      </c>
      <c r="DP88" s="3455">
        <f t="shared" ca="1" si="207"/>
        <v>-93.220054149938647</v>
      </c>
      <c r="DQ88" s="3455">
        <f t="shared" ca="1" si="208"/>
        <v>16.663431605119051</v>
      </c>
      <c r="DR88" s="3455">
        <f t="shared" ca="1" si="62"/>
        <v>2841.5887850463791</v>
      </c>
      <c r="DS88" s="3455" t="str">
        <f t="shared" si="209"/>
        <v/>
      </c>
      <c r="DT88" s="604"/>
      <c r="DU88" s="3455">
        <f t="shared" ca="1" si="210"/>
        <v>-17.438779864241805</v>
      </c>
      <c r="DV88" s="3455">
        <f t="shared" ca="1" si="211"/>
        <v>-100.16524373450213</v>
      </c>
      <c r="DW88" s="3455">
        <f t="shared" ca="1" si="212"/>
        <v>-22.638621821331572</v>
      </c>
      <c r="DX88" s="3455">
        <f t="shared" ca="1" si="67"/>
        <v>69.823272438443468</v>
      </c>
      <c r="DY88" s="3455" t="str">
        <f t="shared" si="213"/>
        <v/>
      </c>
      <c r="DZ88" s="604"/>
      <c r="EA88" s="3455">
        <f t="shared" ca="1" si="214"/>
        <v>-7.3970528110010374</v>
      </c>
      <c r="EB88" s="3455">
        <f t="shared" ca="1" si="215"/>
        <v>199666.66667422804</v>
      </c>
      <c r="EC88" s="3455">
        <f t="shared" ca="1" si="216"/>
        <v>-11.113409542759879</v>
      </c>
      <c r="ED88" s="3455">
        <f t="shared" ca="1" si="72"/>
        <v>33.079990178080656</v>
      </c>
      <c r="EE88" s="3455" t="str">
        <f t="shared" si="217"/>
        <v/>
      </c>
      <c r="EF88" s="604"/>
      <c r="EG88" s="3455">
        <f t="shared" ca="1" si="218"/>
        <v>15.795798310444154</v>
      </c>
      <c r="EH88" s="3455">
        <f t="shared" ca="1" si="219"/>
        <v>209.8459576010662</v>
      </c>
      <c r="EI88" s="3455">
        <f t="shared" ca="1" si="220"/>
        <v>15.455165325127762</v>
      </c>
      <c r="EJ88" s="3455">
        <f t="shared" ca="1" si="77"/>
        <v>37.852048322757305</v>
      </c>
      <c r="EK88" s="3455" t="str">
        <f t="shared" si="221"/>
        <v/>
      </c>
      <c r="EL88" s="604"/>
      <c r="EM88" s="3455">
        <f t="shared" ca="1" si="222"/>
        <v>4.189053286277189</v>
      </c>
      <c r="EN88" s="3455">
        <f t="shared" ca="1" si="223"/>
        <v>39.755465742006102</v>
      </c>
      <c r="EO88" s="3455">
        <f t="shared" ca="1" si="224"/>
        <v>8.0167925582575794</v>
      </c>
      <c r="EP88" s="3455">
        <f t="shared" ca="1" si="82"/>
        <v>-2.6424649686899282</v>
      </c>
      <c r="EQ88" s="3455" t="str">
        <f t="shared" si="225"/>
        <v/>
      </c>
      <c r="ER88" s="604"/>
      <c r="ES88" s="3455">
        <f t="shared" ca="1" si="226"/>
        <v>6.5448715261892332</v>
      </c>
      <c r="ET88" s="3455">
        <f t="shared" ca="1" si="227"/>
        <v>25.923616743624468</v>
      </c>
      <c r="EU88" s="3455">
        <f t="shared" ca="1" si="228"/>
        <v>8.3914028633514945</v>
      </c>
      <c r="EV88" s="3455">
        <f t="shared" ca="1" si="87"/>
        <v>4.9672167909018183</v>
      </c>
      <c r="EW88" s="3455" t="str">
        <f t="shared" si="229"/>
        <v/>
      </c>
      <c r="EX88" s="604"/>
    </row>
    <row r="89" spans="2:154">
      <c r="B89" s="600" t="s">
        <v>1767</v>
      </c>
      <c r="C89" s="3781" t="s">
        <v>1324</v>
      </c>
      <c r="D89" s="3782"/>
      <c r="E89" s="601"/>
      <c r="F89" s="603"/>
      <c r="G89" s="3481"/>
      <c r="H89" s="3479"/>
      <c r="I89" s="3478"/>
      <c r="J89" s="556"/>
      <c r="K89" s="601">
        <f t="shared" ca="1" si="230"/>
        <v>-114.10228027451852</v>
      </c>
      <c r="L89" s="603">
        <f t="shared" ca="1" si="230"/>
        <v>69.385474860335194</v>
      </c>
      <c r="M89" s="3481">
        <f t="shared" ca="1" si="230"/>
        <v>571.95158850226937</v>
      </c>
      <c r="N89" s="3479">
        <f t="shared" ca="1" si="230"/>
        <v>155.9612983770287</v>
      </c>
      <c r="O89" s="3478">
        <f t="shared" ca="1" si="230"/>
        <v>-114.10228027451848</v>
      </c>
      <c r="P89" s="556" t="str">
        <f ca="1">IF(ROUND(P40,2)=0,"ok","!")</f>
        <v>ok</v>
      </c>
      <c r="Q89" s="601">
        <f t="shared" ca="1" si="138"/>
        <v>-25.117739403454785</v>
      </c>
      <c r="R89" s="603">
        <f t="shared" ca="1" si="139"/>
        <v>4751.9129287598953</v>
      </c>
      <c r="S89" s="3481">
        <f t="shared" ca="1" si="140"/>
        <v>-85.766390489913547</v>
      </c>
      <c r="T89" s="3479">
        <f t="shared" ca="1" si="124"/>
        <v>508.84444986383778</v>
      </c>
      <c r="U89" s="3478">
        <f t="shared" ca="1" si="141"/>
        <v>-25.117739403453687</v>
      </c>
      <c r="V89" s="556" t="str">
        <f ca="1">IF(ROUND(V40,2)=0,"ok","!")</f>
        <v>ok</v>
      </c>
      <c r="W89" s="601">
        <f t="shared" ca="1" si="142"/>
        <v>-141.71907756813508</v>
      </c>
      <c r="X89" s="603">
        <f t="shared" ca="1" si="143"/>
        <v>-96.623614981986279</v>
      </c>
      <c r="Y89" s="3481">
        <f t="shared" ca="1" si="144"/>
        <v>216.73521037646316</v>
      </c>
      <c r="Z89" s="3479">
        <f t="shared" ca="1" si="125"/>
        <v>-89.867417920610976</v>
      </c>
      <c r="AA89" s="3478">
        <f t="shared" ca="1" si="145"/>
        <v>-141.50943396226415</v>
      </c>
      <c r="AB89" s="556" t="str">
        <f ca="1">IF(ROUND(AB40,2)=0,"ok","!")</f>
        <v>ok</v>
      </c>
      <c r="AC89" s="601">
        <f t="shared" ca="1" si="146"/>
        <v>91.457286432159307</v>
      </c>
      <c r="AD89" s="603">
        <f t="shared" ca="1" si="147"/>
        <v>3.764847996778764</v>
      </c>
      <c r="AE89" s="3481">
        <f t="shared" ca="1" si="148"/>
        <v>-46.064722333200159</v>
      </c>
      <c r="AF89" s="3479">
        <f t="shared" ca="1" si="126"/>
        <v>-27.954934774015015</v>
      </c>
      <c r="AG89" s="3478">
        <f t="shared" ca="1" si="149"/>
        <v>92.424242424242436</v>
      </c>
      <c r="AH89" s="556" t="str">
        <f ca="1">IF(ROUND(AH40,2)=0,"ok","!")</f>
        <v>ok</v>
      </c>
      <c r="AI89" s="601">
        <f t="shared" ca="1" si="150"/>
        <v>-165.09186351705978</v>
      </c>
      <c r="AJ89" s="603">
        <f t="shared" ca="1" si="151"/>
        <v>278.09468374078386</v>
      </c>
      <c r="AK89" s="3481">
        <f t="shared" ca="1" si="152"/>
        <v>133.0185185185185</v>
      </c>
      <c r="AL89" s="3479">
        <f t="shared" ca="1" si="127"/>
        <v>191.01051668952903</v>
      </c>
      <c r="AM89" s="3478">
        <f t="shared" ca="1" si="153"/>
        <v>-165.35433070866142</v>
      </c>
      <c r="AN89" s="556" t="str">
        <f ca="1">IF(ROUND(AN40,2)=0,"ok","!")</f>
        <v>ok</v>
      </c>
      <c r="AO89" s="601">
        <f t="shared" ca="1" si="154"/>
        <v>-35.483870967741858</v>
      </c>
      <c r="AP89" s="603">
        <f t="shared" ca="1" si="155"/>
        <v>-85.415918304510697</v>
      </c>
      <c r="AQ89" s="3481">
        <f t="shared" ca="1" si="156"/>
        <v>108.32869744893902</v>
      </c>
      <c r="AR89" s="3479">
        <f t="shared" ca="1" si="128"/>
        <v>-9.1948966124065112</v>
      </c>
      <c r="AS89" s="3478">
        <f t="shared" ca="1" si="157"/>
        <v>-35.341365461847388</v>
      </c>
      <c r="AT89" s="556" t="str">
        <f ca="1">IF(ROUND(AT40,2)=0,"ok","!")</f>
        <v>ok</v>
      </c>
      <c r="AU89" s="601">
        <f t="shared" ca="1" si="158"/>
        <v>3588.7500000000218</v>
      </c>
      <c r="AV89" s="603">
        <f t="shared" ca="1" si="159"/>
        <v>-14.109781843771984</v>
      </c>
      <c r="AW89" s="3481">
        <f t="shared" ca="1" si="160"/>
        <v>-53.562981612878602</v>
      </c>
      <c r="AX89" s="3479">
        <f t="shared" ca="1" si="129"/>
        <v>-69.850498338870423</v>
      </c>
      <c r="AY89" s="3478">
        <f t="shared" ca="1" si="161"/>
        <v>3565.8385093167703</v>
      </c>
      <c r="AZ89" s="556" t="str">
        <f ca="1">IF(ROUND(AZ40,2)=0,"ok","!")</f>
        <v>ok</v>
      </c>
      <c r="BA89" s="601">
        <f t="shared" ca="1" si="162"/>
        <v>0.57607590647237306</v>
      </c>
      <c r="BB89" s="603">
        <f t="shared" ca="1" si="163"/>
        <v>40.06554690700532</v>
      </c>
      <c r="BC89" s="3481">
        <f t="shared" ca="1" si="164"/>
        <v>-64.215887620142936</v>
      </c>
      <c r="BD89" s="3479">
        <f t="shared" ca="1" si="130"/>
        <v>-78.891184573002747</v>
      </c>
      <c r="BE89" s="3478">
        <f t="shared" ca="1" si="165"/>
        <v>0.57607590647237306</v>
      </c>
      <c r="BF89" s="556" t="str">
        <f ca="1">IF(ROUND(BF40,2)=0,"ok","!")</f>
        <v>ok</v>
      </c>
      <c r="BG89" s="601">
        <f t="shared" ca="1" si="166"/>
        <v>118.44676549865238</v>
      </c>
      <c r="BH89" s="603">
        <f t="shared" ca="1" si="167"/>
        <v>150.39485229599302</v>
      </c>
      <c r="BI89" s="3481">
        <f t="shared" ca="1" si="168"/>
        <v>74.08172635445365</v>
      </c>
      <c r="BJ89" s="3479">
        <f t="shared" ca="1" si="131"/>
        <v>72.756933115823742</v>
      </c>
      <c r="BK89" s="3478">
        <f t="shared" ca="1" si="169"/>
        <v>118.44676549865225</v>
      </c>
      <c r="BL89" s="556" t="str">
        <f ca="1">IF(ROUND(BL40,2)=0,"ok","!")</f>
        <v>ok</v>
      </c>
      <c r="BM89" s="601">
        <f t="shared" ca="1" si="170"/>
        <v>57.299298218554817</v>
      </c>
      <c r="BN89" s="603">
        <f t="shared" ca="1" si="171"/>
        <v>-15.687419693961003</v>
      </c>
      <c r="BO89" s="3481">
        <f t="shared" ca="1" si="172"/>
        <v>-27.337465383093761</v>
      </c>
      <c r="BP89" s="3479">
        <f t="shared" ca="1" si="132"/>
        <v>-341.39124960654715</v>
      </c>
      <c r="BQ89" s="3478">
        <f t="shared" ca="1" si="173"/>
        <v>57.299298218554817</v>
      </c>
      <c r="BR89" s="556" t="str">
        <f ca="1">IF(ROUND(BR40,2)=0,"ok","!")</f>
        <v>ok</v>
      </c>
      <c r="BS89" s="601">
        <f t="shared" ca="1" si="174"/>
        <v>75.795460116683785</v>
      </c>
      <c r="BT89" s="603">
        <f t="shared" ca="1" si="175"/>
        <v>8.6311997783319772</v>
      </c>
      <c r="BU89" s="3481">
        <f t="shared" ca="1" si="176"/>
        <v>161.27041742286755</v>
      </c>
      <c r="BV89" s="3479">
        <f t="shared" ca="1" si="133"/>
        <v>77.598122310601056</v>
      </c>
      <c r="BW89" s="3478">
        <f t="shared" ca="1" si="177"/>
        <v>75.795460116683813</v>
      </c>
      <c r="BX89" s="556" t="str">
        <f ca="1">IF(ROUND(BX40,2)=0,"ok","!")</f>
        <v>ok</v>
      </c>
      <c r="BY89" s="601">
        <f t="shared" ca="1" si="178"/>
        <v>70.513428340351993</v>
      </c>
      <c r="BZ89" s="603">
        <f t="shared" ca="1" si="179"/>
        <v>134.45989032011224</v>
      </c>
      <c r="CA89" s="3481">
        <f t="shared" ca="1" si="180"/>
        <v>88.61489302584053</v>
      </c>
      <c r="CB89" s="3479">
        <f t="shared" ca="1" si="134"/>
        <v>14.566813509544851</v>
      </c>
      <c r="CC89" s="3478">
        <f t="shared" ca="1" si="181"/>
        <v>70.516217196084426</v>
      </c>
      <c r="CD89" s="556" t="str">
        <f ca="1">IF(ROUND(CD40,2)=0,"ok","!")</f>
        <v>ok</v>
      </c>
      <c r="CE89" s="601">
        <f t="shared" ca="1" si="182"/>
        <v>1.2528417919235757</v>
      </c>
      <c r="CF89" s="603">
        <f t="shared" ca="1" si="183"/>
        <v>-75.815926892950387</v>
      </c>
      <c r="CG89" s="3481">
        <f t="shared" ca="1" si="184"/>
        <v>33.101314771848386</v>
      </c>
      <c r="CH89" s="3479">
        <f t="shared" ca="1" si="135"/>
        <v>36.631632914637265</v>
      </c>
      <c r="CI89" s="3478">
        <f t="shared" ca="1" si="185"/>
        <v>1.2511857642864221</v>
      </c>
      <c r="CJ89" s="556" t="str">
        <f ca="1">IF(ROUND(CJ40,2)=0,"ok","!")</f>
        <v>ok</v>
      </c>
      <c r="CK89" s="601">
        <f t="shared" ca="1" si="186"/>
        <v>87.090312888687848</v>
      </c>
      <c r="CL89" s="603">
        <f t="shared" ca="1" si="187"/>
        <v>-30.926675663517766</v>
      </c>
      <c r="CM89" s="3481">
        <f t="shared" ca="1" si="188"/>
        <v>133.49658282836666</v>
      </c>
      <c r="CN89" s="3479">
        <f t="shared" ca="1" si="136"/>
        <v>33.034709193245718</v>
      </c>
      <c r="CO89" s="3478">
        <f t="shared" ca="1" si="189"/>
        <v>87.090312888687876</v>
      </c>
      <c r="CP89" s="556" t="str">
        <f ca="1">IF(ROUND(CP40,2)=0,"ok","!")</f>
        <v>ok</v>
      </c>
      <c r="CQ89" s="601">
        <f t="shared" ca="1" si="190"/>
        <v>-8.6693374315760519</v>
      </c>
      <c r="CR89" s="603">
        <f t="shared" ca="1" si="191"/>
        <v>28.069032888309977</v>
      </c>
      <c r="CS89" s="3481">
        <f t="shared" ca="1" si="192"/>
        <v>-48.768782291321045</v>
      </c>
      <c r="CT89" s="3479">
        <f t="shared" ca="1" si="42"/>
        <v>106.66008532242711</v>
      </c>
      <c r="CU89" s="3478">
        <f t="shared" ca="1" si="193"/>
        <v>-8.6702008254045175</v>
      </c>
      <c r="CV89" s="556" t="str">
        <f ca="1">IF(ROUND(CV40,2)=0,"ok","!")</f>
        <v>ok</v>
      </c>
      <c r="CW89" s="601">
        <f t="shared" ca="1" si="194"/>
        <v>-5.1048865108100578</v>
      </c>
      <c r="CX89" s="603">
        <f t="shared" ca="1" si="195"/>
        <v>3043.7833714721592</v>
      </c>
      <c r="CY89" s="3481">
        <f t="shared" ca="1" si="196"/>
        <v>9.5713922235329374</v>
      </c>
      <c r="CZ89" s="3479">
        <f t="shared" ca="1" si="47"/>
        <v>-220.50669623816432</v>
      </c>
      <c r="DA89" s="3478">
        <f t="shared" ca="1" si="197"/>
        <v>-5.1039894119871416</v>
      </c>
      <c r="DB89" s="556" t="str">
        <f ca="1">IF(ROUND(DB40,2)=0,"ok","!")</f>
        <v>ok</v>
      </c>
      <c r="DC89" s="601">
        <f t="shared" ca="1" si="198"/>
        <v>-3.9569241191062199</v>
      </c>
      <c r="DD89" s="603">
        <f t="shared" ca="1" si="199"/>
        <v>-96.863601439605318</v>
      </c>
      <c r="DE89" s="3481">
        <f t="shared" ca="1" si="200"/>
        <v>-19.617487492347628</v>
      </c>
      <c r="DF89" s="3479">
        <f t="shared" ca="1" si="52"/>
        <v>-177.0906774262051</v>
      </c>
      <c r="DG89" s="3478">
        <f t="shared" ca="1" si="201"/>
        <v>-3.9569241191061977</v>
      </c>
      <c r="DH89" s="556" t="str">
        <f ca="1">IF(ROUND(DH40,2)=0,"ok","!")</f>
        <v>ok</v>
      </c>
      <c r="DI89" s="601">
        <f t="shared" ca="1" si="202"/>
        <v>12.940700557001939</v>
      </c>
      <c r="DJ89" s="603">
        <f t="shared" ca="1" si="203"/>
        <v>88.421866941722556</v>
      </c>
      <c r="DK89" s="3481">
        <f t="shared" ca="1" si="204"/>
        <v>95.459320342454944</v>
      </c>
      <c r="DL89" s="3479">
        <f t="shared" ca="1" si="57"/>
        <v>-50.13865168126641</v>
      </c>
      <c r="DM89" s="3478">
        <f t="shared" ca="1" si="205"/>
        <v>12.940700557001916</v>
      </c>
      <c r="DN89" s="556" t="str">
        <f ca="1">IF(ROUND(DN40,2)=0,"ok","!")</f>
        <v>ok</v>
      </c>
      <c r="DO89" s="601">
        <f t="shared" ca="1" si="206"/>
        <v>-10.388024062083845</v>
      </c>
      <c r="DP89" s="603">
        <f t="shared" ca="1" si="207"/>
        <v>443.34200082113051</v>
      </c>
      <c r="DQ89" s="3481">
        <f t="shared" ca="1" si="208"/>
        <v>-87.781315920297757</v>
      </c>
      <c r="DR89" s="3479">
        <f t="shared" ca="1" si="62"/>
        <v>79.654524695223031</v>
      </c>
      <c r="DS89" s="3478">
        <f t="shared" ca="1" si="209"/>
        <v>-10.388024062083845</v>
      </c>
      <c r="DT89" s="556" t="str">
        <f ca="1">IF(ROUND(DT40,2)=0,"ok","!")</f>
        <v>ok</v>
      </c>
      <c r="DU89" s="601">
        <f t="shared" ca="1" si="210"/>
        <v>14.503863734191501</v>
      </c>
      <c r="DV89" s="603">
        <f t="shared" ca="1" si="211"/>
        <v>-69.691703188756236</v>
      </c>
      <c r="DW89" s="3481">
        <f t="shared" ca="1" si="212"/>
        <v>529.85484935122122</v>
      </c>
      <c r="DX89" s="3479">
        <f t="shared" ca="1" si="67"/>
        <v>-13.04686539013491</v>
      </c>
      <c r="DY89" s="3478">
        <f t="shared" ca="1" si="213"/>
        <v>14.50386373419148</v>
      </c>
      <c r="DZ89" s="556" t="str">
        <f ca="1">IF(ROUND(DZ40,2)=0,"ok","!")</f>
        <v>ok</v>
      </c>
      <c r="EA89" s="601">
        <f t="shared" ca="1" si="214"/>
        <v>-49.096897767753255</v>
      </c>
      <c r="EB89" s="603">
        <f t="shared" ca="1" si="215"/>
        <v>-54.242499792238007</v>
      </c>
      <c r="EC89" s="3481">
        <f t="shared" ca="1" si="216"/>
        <v>-32.95972345885928</v>
      </c>
      <c r="ED89" s="3479">
        <f t="shared" ca="1" si="72"/>
        <v>-69.429905219974529</v>
      </c>
      <c r="EE89" s="3478">
        <f t="shared" ca="1" si="217"/>
        <v>-49.096897767753248</v>
      </c>
      <c r="EF89" s="556" t="str">
        <f ca="1">IF(ROUND(EF40,2)=0,"ok","!")</f>
        <v>ok</v>
      </c>
      <c r="EG89" s="601">
        <f t="shared" ca="1" si="218"/>
        <v>-20.778520185680115</v>
      </c>
      <c r="EH89" s="603">
        <f t="shared" ca="1" si="219"/>
        <v>-7.0000000000000062</v>
      </c>
      <c r="EI89" s="3481">
        <f t="shared" ca="1" si="220"/>
        <v>-7.0000000000000062</v>
      </c>
      <c r="EJ89" s="3479">
        <f t="shared" ca="1" si="77"/>
        <v>-67.435909301249424</v>
      </c>
      <c r="EK89" s="3478">
        <f t="shared" ca="1" si="221"/>
        <v>-20.778520185680126</v>
      </c>
      <c r="EL89" s="556" t="str">
        <f ca="1">IF(ROUND(EL40,2)=0,"ok","!")</f>
        <v>ok</v>
      </c>
      <c r="EM89" s="601">
        <f t="shared" ca="1" si="222"/>
        <v>21.468040725480297</v>
      </c>
      <c r="EN89" s="603">
        <f t="shared" ca="1" si="223"/>
        <v>-7.0000000000000062</v>
      </c>
      <c r="EO89" s="3481">
        <f t="shared" ca="1" si="224"/>
        <v>-7.0000000000000062</v>
      </c>
      <c r="EP89" s="3479">
        <f t="shared" ca="1" si="82"/>
        <v>296.77641831625692</v>
      </c>
      <c r="EQ89" s="3478">
        <f t="shared" ca="1" si="225"/>
        <v>21.468040725480343</v>
      </c>
      <c r="ER89" s="556" t="str">
        <f ca="1">IF(ROUND(ER40,2)=0,"ok","!")</f>
        <v>ok</v>
      </c>
      <c r="ES89" s="601">
        <f t="shared" ca="1" si="226"/>
        <v>-3.5016352279790275</v>
      </c>
      <c r="ET89" s="603">
        <f t="shared" ca="1" si="227"/>
        <v>-7.0000000000000062</v>
      </c>
      <c r="EU89" s="3481">
        <f t="shared" ca="1" si="228"/>
        <v>-6.9999999999999947</v>
      </c>
      <c r="EV89" s="3479">
        <f t="shared" ca="1" si="87"/>
        <v>4.4281976671307399</v>
      </c>
      <c r="EW89" s="3478">
        <f t="shared" ca="1" si="229"/>
        <v>-3.5016352279790275</v>
      </c>
      <c r="EX89" s="556" t="str">
        <f ca="1">IF(ROUND(EX40,2)=0,"ok","!")</f>
        <v>ok</v>
      </c>
    </row>
    <row r="90" spans="2:154">
      <c r="B90" s="564"/>
      <c r="C90" s="582"/>
      <c r="D90" s="583" t="s">
        <v>1813</v>
      </c>
      <c r="E90" s="601"/>
      <c r="F90" s="602"/>
      <c r="G90" s="3482"/>
      <c r="H90" s="577"/>
      <c r="I90" s="3480"/>
      <c r="J90" s="584"/>
      <c r="K90" s="601" t="str">
        <f t="shared" si="230"/>
        <v/>
      </c>
      <c r="L90" s="602" t="str">
        <f t="shared" si="230"/>
        <v/>
      </c>
      <c r="M90" s="3482" t="str">
        <f t="shared" si="230"/>
        <v/>
      </c>
      <c r="N90" s="577" t="str">
        <f t="shared" ca="1" si="230"/>
        <v>N</v>
      </c>
      <c r="O90" s="3480" t="str">
        <f t="shared" si="230"/>
        <v/>
      </c>
      <c r="P90" s="584"/>
      <c r="Q90" s="601" t="str">
        <f t="shared" si="138"/>
        <v/>
      </c>
      <c r="R90" s="602" t="str">
        <f t="shared" si="139"/>
        <v/>
      </c>
      <c r="S90" s="3482" t="str">
        <f t="shared" si="140"/>
        <v/>
      </c>
      <c r="T90" s="577" t="str">
        <f t="shared" ca="1" si="124"/>
        <v>N</v>
      </c>
      <c r="U90" s="3480" t="str">
        <f t="shared" si="141"/>
        <v/>
      </c>
      <c r="V90" s="584"/>
      <c r="W90" s="601" t="str">
        <f t="shared" si="142"/>
        <v/>
      </c>
      <c r="X90" s="602" t="str">
        <f t="shared" si="143"/>
        <v/>
      </c>
      <c r="Y90" s="3482" t="str">
        <f t="shared" si="144"/>
        <v/>
      </c>
      <c r="Z90" s="577">
        <f t="shared" ca="1" si="125"/>
        <v>566.66666666666674</v>
      </c>
      <c r="AA90" s="3480" t="str">
        <f t="shared" si="145"/>
        <v/>
      </c>
      <c r="AB90" s="584"/>
      <c r="AC90" s="601" t="str">
        <f t="shared" si="146"/>
        <v/>
      </c>
      <c r="AD90" s="602" t="str">
        <f t="shared" si="147"/>
        <v/>
      </c>
      <c r="AE90" s="3482" t="str">
        <f t="shared" si="148"/>
        <v/>
      </c>
      <c r="AF90" s="577">
        <f t="shared" ca="1" si="126"/>
        <v>209.99999999999997</v>
      </c>
      <c r="AG90" s="3480" t="str">
        <f t="shared" si="149"/>
        <v/>
      </c>
      <c r="AH90" s="584"/>
      <c r="AI90" s="601" t="str">
        <f t="shared" si="150"/>
        <v/>
      </c>
      <c r="AJ90" s="602" t="str">
        <f t="shared" si="151"/>
        <v/>
      </c>
      <c r="AK90" s="3482" t="str">
        <f t="shared" si="152"/>
        <v/>
      </c>
      <c r="AL90" s="577">
        <f t="shared" ca="1" si="127"/>
        <v>-14.516129032258062</v>
      </c>
      <c r="AM90" s="3480" t="str">
        <f t="shared" si="153"/>
        <v/>
      </c>
      <c r="AN90" s="584"/>
      <c r="AO90" s="601" t="str">
        <f t="shared" si="154"/>
        <v/>
      </c>
      <c r="AP90" s="602" t="str">
        <f t="shared" si="155"/>
        <v/>
      </c>
      <c r="AQ90" s="3482" t="str">
        <f t="shared" si="156"/>
        <v/>
      </c>
      <c r="AR90" s="577">
        <f t="shared" ca="1" si="128"/>
        <v>22.641509433962259</v>
      </c>
      <c r="AS90" s="3480" t="str">
        <f t="shared" si="157"/>
        <v/>
      </c>
      <c r="AT90" s="584"/>
      <c r="AU90" s="601" t="str">
        <f t="shared" si="158"/>
        <v/>
      </c>
      <c r="AV90" s="602" t="str">
        <f t="shared" si="159"/>
        <v/>
      </c>
      <c r="AW90" s="3482" t="str">
        <f t="shared" si="160"/>
        <v/>
      </c>
      <c r="AX90" s="577">
        <f t="shared" ca="1" si="129"/>
        <v>1.538461538461533</v>
      </c>
      <c r="AY90" s="3480" t="str">
        <f t="shared" si="161"/>
        <v/>
      </c>
      <c r="AZ90" s="584"/>
      <c r="BA90" s="601" t="str">
        <f t="shared" si="162"/>
        <v/>
      </c>
      <c r="BB90" s="602" t="str">
        <f t="shared" si="163"/>
        <v/>
      </c>
      <c r="BC90" s="3482" t="str">
        <f t="shared" si="164"/>
        <v/>
      </c>
      <c r="BD90" s="577">
        <f t="shared" ca="1" si="130"/>
        <v>-51.515151515151516</v>
      </c>
      <c r="BE90" s="3480" t="str">
        <f t="shared" si="165"/>
        <v/>
      </c>
      <c r="BF90" s="584"/>
      <c r="BG90" s="601" t="str">
        <f t="shared" si="166"/>
        <v/>
      </c>
      <c r="BH90" s="602" t="str">
        <f t="shared" si="167"/>
        <v/>
      </c>
      <c r="BI90" s="3482" t="str">
        <f t="shared" si="168"/>
        <v/>
      </c>
      <c r="BJ90" s="577">
        <f t="shared" ca="1" si="131"/>
        <v>56.25</v>
      </c>
      <c r="BK90" s="3480" t="str">
        <f t="shared" si="169"/>
        <v/>
      </c>
      <c r="BL90" s="584"/>
      <c r="BM90" s="601" t="str">
        <f t="shared" si="170"/>
        <v/>
      </c>
      <c r="BN90" s="602" t="str">
        <f t="shared" si="171"/>
        <v/>
      </c>
      <c r="BO90" s="3482" t="str">
        <f t="shared" si="172"/>
        <v/>
      </c>
      <c r="BP90" s="577">
        <f t="shared" ca="1" si="132"/>
        <v>34.000000000000007</v>
      </c>
      <c r="BQ90" s="3480" t="str">
        <f t="shared" si="173"/>
        <v/>
      </c>
      <c r="BR90" s="584"/>
      <c r="BS90" s="601" t="str">
        <f t="shared" si="174"/>
        <v/>
      </c>
      <c r="BT90" s="602" t="str">
        <f t="shared" si="175"/>
        <v/>
      </c>
      <c r="BU90" s="3482" t="str">
        <f t="shared" si="176"/>
        <v/>
      </c>
      <c r="BV90" s="577">
        <f t="shared" ca="1" si="133"/>
        <v>80.597014925373117</v>
      </c>
      <c r="BW90" s="3480" t="str">
        <f t="shared" si="177"/>
        <v/>
      </c>
      <c r="BX90" s="584"/>
      <c r="BY90" s="601" t="str">
        <f t="shared" si="178"/>
        <v/>
      </c>
      <c r="BZ90" s="602" t="str">
        <f t="shared" si="179"/>
        <v/>
      </c>
      <c r="CA90" s="3482" t="str">
        <f t="shared" si="180"/>
        <v/>
      </c>
      <c r="CB90" s="577">
        <f t="shared" ca="1" si="134"/>
        <v>50.41322314049588</v>
      </c>
      <c r="CC90" s="3480" t="str">
        <f t="shared" si="181"/>
        <v/>
      </c>
      <c r="CD90" s="584"/>
      <c r="CE90" s="601" t="str">
        <f t="shared" si="182"/>
        <v/>
      </c>
      <c r="CF90" s="602" t="str">
        <f t="shared" si="183"/>
        <v/>
      </c>
      <c r="CG90" s="3482" t="str">
        <f t="shared" si="184"/>
        <v/>
      </c>
      <c r="CH90" s="577">
        <f t="shared" ca="1" si="135"/>
        <v>-3.2967032967032961</v>
      </c>
      <c r="CI90" s="3480" t="str">
        <f t="shared" si="185"/>
        <v/>
      </c>
      <c r="CJ90" s="584"/>
      <c r="CK90" s="601" t="str">
        <f t="shared" si="186"/>
        <v/>
      </c>
      <c r="CL90" s="602" t="str">
        <f t="shared" si="187"/>
        <v/>
      </c>
      <c r="CM90" s="3482" t="str">
        <f t="shared" si="188"/>
        <v/>
      </c>
      <c r="CN90" s="577">
        <f t="shared" ca="1" si="136"/>
        <v>1.1363636363636465</v>
      </c>
      <c r="CO90" s="3480" t="str">
        <f t="shared" si="189"/>
        <v/>
      </c>
      <c r="CP90" s="584"/>
      <c r="CQ90" s="601" t="str">
        <f t="shared" si="190"/>
        <v/>
      </c>
      <c r="CR90" s="602" t="str">
        <f t="shared" si="191"/>
        <v/>
      </c>
      <c r="CS90" s="3482" t="str">
        <f t="shared" si="192"/>
        <v/>
      </c>
      <c r="CT90" s="577">
        <f t="shared" ca="1" si="42"/>
        <v>-38.202247191011239</v>
      </c>
      <c r="CU90" s="3480" t="str">
        <f t="shared" si="193"/>
        <v/>
      </c>
      <c r="CV90" s="584"/>
      <c r="CW90" s="601" t="str">
        <f t="shared" si="194"/>
        <v/>
      </c>
      <c r="CX90" s="602" t="str">
        <f t="shared" si="195"/>
        <v/>
      </c>
      <c r="CY90" s="3482" t="str">
        <f t="shared" si="196"/>
        <v/>
      </c>
      <c r="CZ90" s="577">
        <f t="shared" ca="1" si="47"/>
        <v>-9.0909090909090935</v>
      </c>
      <c r="DA90" s="3480" t="str">
        <f t="shared" si="197"/>
        <v/>
      </c>
      <c r="DB90" s="584"/>
      <c r="DC90" s="601" t="str">
        <f t="shared" si="198"/>
        <v/>
      </c>
      <c r="DD90" s="602" t="str">
        <f t="shared" si="199"/>
        <v/>
      </c>
      <c r="DE90" s="3482" t="str">
        <f t="shared" si="200"/>
        <v/>
      </c>
      <c r="DF90" s="577">
        <f t="shared" ca="1" si="52"/>
        <v>19.999999999999996</v>
      </c>
      <c r="DG90" s="3480" t="str">
        <f t="shared" si="201"/>
        <v/>
      </c>
      <c r="DH90" s="584"/>
      <c r="DI90" s="601" t="str">
        <f t="shared" si="202"/>
        <v/>
      </c>
      <c r="DJ90" s="602" t="str">
        <f t="shared" si="203"/>
        <v/>
      </c>
      <c r="DK90" s="3482" t="str">
        <f t="shared" si="204"/>
        <v/>
      </c>
      <c r="DL90" s="577">
        <f t="shared" ca="1" si="57"/>
        <v>6.6666666666666874</v>
      </c>
      <c r="DM90" s="3480" t="str">
        <f t="shared" si="205"/>
        <v/>
      </c>
      <c r="DN90" s="584"/>
      <c r="DO90" s="601" t="str">
        <f t="shared" si="206"/>
        <v/>
      </c>
      <c r="DP90" s="602" t="str">
        <f t="shared" si="207"/>
        <v/>
      </c>
      <c r="DQ90" s="3482" t="str">
        <f t="shared" si="208"/>
        <v/>
      </c>
      <c r="DR90" s="577">
        <f t="shared" ca="1" si="62"/>
        <v>3.90625</v>
      </c>
      <c r="DS90" s="3480" t="str">
        <f t="shared" si="209"/>
        <v/>
      </c>
      <c r="DT90" s="584"/>
      <c r="DU90" s="601" t="str">
        <f t="shared" si="210"/>
        <v/>
      </c>
      <c r="DV90" s="602" t="str">
        <f t="shared" si="211"/>
        <v/>
      </c>
      <c r="DW90" s="3482" t="str">
        <f t="shared" si="212"/>
        <v/>
      </c>
      <c r="DX90" s="577">
        <f t="shared" ca="1" si="67"/>
        <v>7.5187969924812137</v>
      </c>
      <c r="DY90" s="3480" t="str">
        <f t="shared" si="213"/>
        <v/>
      </c>
      <c r="DZ90" s="584"/>
      <c r="EA90" s="601" t="str">
        <f t="shared" si="214"/>
        <v/>
      </c>
      <c r="EB90" s="602" t="str">
        <f t="shared" si="215"/>
        <v/>
      </c>
      <c r="EC90" s="3482" t="str">
        <f t="shared" si="216"/>
        <v/>
      </c>
      <c r="ED90" s="577">
        <f t="shared" ca="1" si="72"/>
        <v>2.7972027972027913</v>
      </c>
      <c r="EE90" s="3480" t="str">
        <f t="shared" si="217"/>
        <v/>
      </c>
      <c r="EF90" s="584"/>
      <c r="EG90" s="601" t="str">
        <f t="shared" si="218"/>
        <v/>
      </c>
      <c r="EH90" s="602" t="str">
        <f t="shared" si="219"/>
        <v/>
      </c>
      <c r="EI90" s="3482" t="str">
        <f t="shared" si="220"/>
        <v/>
      </c>
      <c r="EJ90" s="577">
        <f t="shared" ca="1" si="77"/>
        <v>0</v>
      </c>
      <c r="EK90" s="3480" t="str">
        <f t="shared" si="221"/>
        <v/>
      </c>
      <c r="EL90" s="584"/>
      <c r="EM90" s="601" t="str">
        <f t="shared" si="222"/>
        <v/>
      </c>
      <c r="EN90" s="602" t="str">
        <f t="shared" si="223"/>
        <v/>
      </c>
      <c r="EO90" s="3482" t="str">
        <f t="shared" si="224"/>
        <v/>
      </c>
      <c r="EP90" s="577">
        <f t="shared" ca="1" si="82"/>
        <v>0</v>
      </c>
      <c r="EQ90" s="3480" t="str">
        <f t="shared" si="225"/>
        <v/>
      </c>
      <c r="ER90" s="584"/>
      <c r="ES90" s="601" t="str">
        <f t="shared" si="226"/>
        <v/>
      </c>
      <c r="ET90" s="602" t="str">
        <f t="shared" si="227"/>
        <v/>
      </c>
      <c r="EU90" s="3482" t="str">
        <f t="shared" si="228"/>
        <v/>
      </c>
      <c r="EV90" s="577">
        <f t="shared" ca="1" si="87"/>
        <v>0</v>
      </c>
      <c r="EW90" s="3480" t="str">
        <f t="shared" si="229"/>
        <v/>
      </c>
      <c r="EX90" s="584"/>
    </row>
    <row r="91" spans="2:154">
      <c r="B91" s="564"/>
      <c r="C91" s="582"/>
      <c r="D91" s="583" t="s">
        <v>1156</v>
      </c>
      <c r="E91" s="601"/>
      <c r="F91" s="602"/>
      <c r="G91" s="3482"/>
      <c r="H91" s="577"/>
      <c r="I91" s="3480"/>
      <c r="J91" s="584"/>
      <c r="K91" s="601"/>
      <c r="L91" s="602"/>
      <c r="M91" s="3482"/>
      <c r="N91" s="577" t="str">
        <f ca="1">IF(N42="","",IF(H42=0,"N",(N42/H42-1)*100))</f>
        <v>N</v>
      </c>
      <c r="O91" s="3480"/>
      <c r="P91" s="584"/>
      <c r="Q91" s="601"/>
      <c r="R91" s="602"/>
      <c r="S91" s="3482"/>
      <c r="T91" s="577" t="str">
        <f t="shared" ca="1" si="124"/>
        <v>N</v>
      </c>
      <c r="U91" s="3480"/>
      <c r="V91" s="584"/>
      <c r="W91" s="601"/>
      <c r="X91" s="602"/>
      <c r="Y91" s="3482"/>
      <c r="Z91" s="577" t="str">
        <f t="shared" ca="1" si="125"/>
        <v>N</v>
      </c>
      <c r="AA91" s="3480"/>
      <c r="AB91" s="584"/>
      <c r="AC91" s="601"/>
      <c r="AD91" s="602"/>
      <c r="AE91" s="3482"/>
      <c r="AF91" s="577" t="str">
        <f t="shared" ca="1" si="126"/>
        <v>N</v>
      </c>
      <c r="AG91" s="3480"/>
      <c r="AH91" s="584"/>
      <c r="AI91" s="601"/>
      <c r="AJ91" s="602"/>
      <c r="AK91" s="3482"/>
      <c r="AL91" s="577" t="str">
        <f t="shared" ca="1" si="127"/>
        <v>N</v>
      </c>
      <c r="AM91" s="3480"/>
      <c r="AN91" s="584"/>
      <c r="AO91" s="601"/>
      <c r="AP91" s="602"/>
      <c r="AQ91" s="3482"/>
      <c r="AR91" s="577">
        <f t="shared" ca="1" si="128"/>
        <v>18.618540638795132</v>
      </c>
      <c r="AS91" s="3480"/>
      <c r="AT91" s="584"/>
      <c r="AU91" s="601"/>
      <c r="AV91" s="602"/>
      <c r="AW91" s="3482"/>
      <c r="AX91" s="577">
        <f t="shared" ca="1" si="129"/>
        <v>-41.462346760070048</v>
      </c>
      <c r="AY91" s="3480"/>
      <c r="AZ91" s="584"/>
      <c r="BA91" s="601"/>
      <c r="BB91" s="602"/>
      <c r="BC91" s="3482"/>
      <c r="BD91" s="577">
        <f t="shared" ca="1" si="130"/>
        <v>-46.447270007479425</v>
      </c>
      <c r="BE91" s="3480"/>
      <c r="BF91" s="584"/>
      <c r="BG91" s="601"/>
      <c r="BH91" s="602"/>
      <c r="BI91" s="3482"/>
      <c r="BJ91" s="577">
        <f t="shared" ca="1" si="131"/>
        <v>-16.270949720670391</v>
      </c>
      <c r="BK91" s="3480"/>
      <c r="BL91" s="584"/>
      <c r="BM91" s="601"/>
      <c r="BN91" s="602"/>
      <c r="BO91" s="3482"/>
      <c r="BP91" s="577">
        <f t="shared" ca="1" si="132"/>
        <v>-18.265221017514587</v>
      </c>
      <c r="BQ91" s="3480"/>
      <c r="BR91" s="584"/>
      <c r="BS91" s="601"/>
      <c r="BT91" s="602"/>
      <c r="BU91" s="3482"/>
      <c r="BV91" s="577">
        <f t="shared" ca="1" si="133"/>
        <v>52.857142857142847</v>
      </c>
      <c r="BW91" s="3480"/>
      <c r="BX91" s="584"/>
      <c r="BY91" s="601"/>
      <c r="BZ91" s="602"/>
      <c r="CA91" s="3482"/>
      <c r="CB91" s="577">
        <f t="shared" ca="1" si="134"/>
        <v>-40.587449933244322</v>
      </c>
      <c r="CC91" s="3480"/>
      <c r="CD91" s="584"/>
      <c r="CE91" s="601"/>
      <c r="CF91" s="602"/>
      <c r="CG91" s="3482"/>
      <c r="CH91" s="577">
        <f t="shared" ca="1" si="135"/>
        <v>109.77528089887643</v>
      </c>
      <c r="CI91" s="3480"/>
      <c r="CJ91" s="584"/>
      <c r="CK91" s="601"/>
      <c r="CL91" s="602"/>
      <c r="CM91" s="3482"/>
      <c r="CN91" s="577">
        <f t="shared" ca="1" si="136"/>
        <v>153.07980717728972</v>
      </c>
      <c r="CO91" s="3480"/>
      <c r="CP91" s="584"/>
      <c r="CQ91" s="601"/>
      <c r="CR91" s="602"/>
      <c r="CS91" s="3482"/>
      <c r="CT91" s="577">
        <f t="shared" ca="1" si="42"/>
        <v>-32.380952380952387</v>
      </c>
      <c r="CU91" s="3480"/>
      <c r="CV91" s="584"/>
      <c r="CW91" s="601"/>
      <c r="CX91" s="602"/>
      <c r="CY91" s="3482"/>
      <c r="CZ91" s="577">
        <f t="shared" ca="1" si="47"/>
        <v>-50.10954616588419</v>
      </c>
      <c r="DA91" s="3480"/>
      <c r="DB91" s="584"/>
      <c r="DC91" s="601"/>
      <c r="DD91" s="602"/>
      <c r="DE91" s="3482"/>
      <c r="DF91" s="577">
        <f t="shared" ca="1" si="52"/>
        <v>-11.417816813048942</v>
      </c>
      <c r="DG91" s="3480"/>
      <c r="DH91" s="584"/>
      <c r="DI91" s="601"/>
      <c r="DJ91" s="602"/>
      <c r="DK91" s="3482"/>
      <c r="DL91" s="577">
        <f t="shared" ca="1" si="57"/>
        <v>23.300283286118994</v>
      </c>
      <c r="DM91" s="3480"/>
      <c r="DN91" s="584"/>
      <c r="DO91" s="601"/>
      <c r="DP91" s="602"/>
      <c r="DQ91" s="3482"/>
      <c r="DR91" s="577">
        <f t="shared" ca="1" si="62"/>
        <v>-13.038483630097652</v>
      </c>
      <c r="DS91" s="3480"/>
      <c r="DT91" s="584"/>
      <c r="DU91" s="601"/>
      <c r="DV91" s="602"/>
      <c r="DW91" s="3482"/>
      <c r="DX91" s="577">
        <f t="shared" ca="1" si="67"/>
        <v>16.446499339498022</v>
      </c>
      <c r="DY91" s="3480"/>
      <c r="DZ91" s="584"/>
      <c r="EA91" s="601"/>
      <c r="EB91" s="602"/>
      <c r="EC91" s="3482"/>
      <c r="ED91" s="577">
        <f t="shared" ca="1" si="72"/>
        <v>-19.398752127056152</v>
      </c>
      <c r="EE91" s="3480"/>
      <c r="EF91" s="584"/>
      <c r="EG91" s="601"/>
      <c r="EH91" s="602"/>
      <c r="EI91" s="3482"/>
      <c r="EJ91" s="577">
        <f t="shared" ca="1" si="77"/>
        <v>0</v>
      </c>
      <c r="EK91" s="3480"/>
      <c r="EL91" s="584"/>
      <c r="EM91" s="601"/>
      <c r="EN91" s="602"/>
      <c r="EO91" s="3482"/>
      <c r="EP91" s="577">
        <f t="shared" ca="1" si="82"/>
        <v>0</v>
      </c>
      <c r="EQ91" s="3480"/>
      <c r="ER91" s="584"/>
      <c r="ES91" s="601"/>
      <c r="ET91" s="602"/>
      <c r="EU91" s="3482"/>
      <c r="EV91" s="577">
        <f t="shared" ca="1" si="87"/>
        <v>0</v>
      </c>
      <c r="EW91" s="3480"/>
      <c r="EX91" s="584"/>
    </row>
    <row r="92" spans="2:154">
      <c r="B92" s="564"/>
      <c r="C92" s="582"/>
      <c r="D92" s="583" t="s">
        <v>2083</v>
      </c>
      <c r="E92" s="601"/>
      <c r="F92" s="602"/>
      <c r="G92" s="3482"/>
      <c r="H92" s="577"/>
      <c r="I92" s="3480"/>
      <c r="J92" s="584"/>
      <c r="K92" s="601" t="str">
        <f t="shared" ref="K92:O97" si="231">IF(K43="","",IF(E43=0,"N",(K43/E43-1)*100))</f>
        <v/>
      </c>
      <c r="L92" s="602" t="str">
        <f t="shared" si="231"/>
        <v/>
      </c>
      <c r="M92" s="3482" t="str">
        <f t="shared" si="231"/>
        <v/>
      </c>
      <c r="N92" s="577" t="str">
        <f t="shared" ca="1" si="231"/>
        <v>N</v>
      </c>
      <c r="O92" s="3480" t="str">
        <f t="shared" si="231"/>
        <v/>
      </c>
      <c r="P92" s="584"/>
      <c r="Q92" s="601" t="str">
        <f t="shared" ref="Q92:Q97" si="232">IF(Q43="","",IF(K43=0,"N",(Q43/K43-1)*100))</f>
        <v/>
      </c>
      <c r="R92" s="602" t="str">
        <f t="shared" ref="R92:R97" si="233">IF(R43="","",IF(L43=0,"N",(R43/L43-1)*100))</f>
        <v/>
      </c>
      <c r="S92" s="3482" t="str">
        <f t="shared" ref="S92:T97" si="234">IF(S43="","",IF(M43=0,"N",(S43/M43-1)*100))</f>
        <v/>
      </c>
      <c r="T92" s="577" t="str">
        <f t="shared" ca="1" si="234"/>
        <v>N</v>
      </c>
      <c r="U92" s="3480" t="str">
        <f t="shared" ref="U92:U97" si="235">IF(U43="","",IF(O43=0,"N",(U43/O43-1)*100))</f>
        <v/>
      </c>
      <c r="V92" s="584"/>
      <c r="W92" s="601" t="str">
        <f t="shared" ref="W92:W97" si="236">IF(W43="","",IF(Q43=0,"N",(W43/Q43-1)*100))</f>
        <v/>
      </c>
      <c r="X92" s="602" t="str">
        <f t="shared" ref="X92:X97" si="237">IF(X43="","",IF(R43=0,"N",(X43/R43-1)*100))</f>
        <v/>
      </c>
      <c r="Y92" s="3482" t="str">
        <f t="shared" ref="Y92:Z97" si="238">IF(Y43="","",IF(S43=0,"N",(Y43/S43-1)*100))</f>
        <v/>
      </c>
      <c r="Z92" s="577">
        <f t="shared" ca="1" si="238"/>
        <v>-88.105726872246692</v>
      </c>
      <c r="AA92" s="3480" t="str">
        <f t="shared" ref="AA92:AA97" si="239">IF(AA43="","",IF(U43=0,"N",(AA43/U43-1)*100))</f>
        <v/>
      </c>
      <c r="AB92" s="584"/>
      <c r="AC92" s="601" t="str">
        <f t="shared" ref="AC92:AC97" si="240">IF(AC43="","",IF(W43=0,"N",(AC43/W43-1)*100))</f>
        <v/>
      </c>
      <c r="AD92" s="602" t="str">
        <f t="shared" ref="AD92:AD97" si="241">IF(AD43="","",IF(X43=0,"N",(AD43/X43-1)*100))</f>
        <v/>
      </c>
      <c r="AE92" s="3482" t="str">
        <f t="shared" ref="AE92:AF97" si="242">IF(AE43="","",IF(Y43=0,"N",(AE43/Y43-1)*100))</f>
        <v/>
      </c>
      <c r="AF92" s="577">
        <f t="shared" ca="1" si="242"/>
        <v>4074.0740740740735</v>
      </c>
      <c r="AG92" s="3480" t="str">
        <f t="shared" ref="AG92:AG97" si="243">IF(AG43="","",IF(AA43=0,"N",(AG43/AA43-1)*100))</f>
        <v/>
      </c>
      <c r="AH92" s="584"/>
      <c r="AI92" s="601" t="str">
        <f t="shared" ref="AI92:AI97" si="244">IF(AI43="","",IF(AC43=0,"N",(AI43/AC43-1)*100))</f>
        <v/>
      </c>
      <c r="AJ92" s="602" t="str">
        <f t="shared" ref="AJ92:AJ97" si="245">IF(AJ43="","",IF(AD43=0,"N",(AJ43/AD43-1)*100))</f>
        <v/>
      </c>
      <c r="AK92" s="3482" t="str">
        <f t="shared" ref="AK92:AL97" si="246">IF(AK43="","",IF(AE43=0,"N",(AK43/AE43-1)*100))</f>
        <v/>
      </c>
      <c r="AL92" s="577">
        <f t="shared" ca="1" si="246"/>
        <v>-10.115350488021324</v>
      </c>
      <c r="AM92" s="3480" t="str">
        <f t="shared" ref="AM92:AM97" si="247">IF(AM43="","",IF(AG43=0,"N",(AM43/AG43-1)*100))</f>
        <v/>
      </c>
      <c r="AN92" s="584"/>
      <c r="AO92" s="601" t="str">
        <f t="shared" ref="AO92:AO97" si="248">IF(AO43="","",IF(AI43=0,"N",(AO43/AI43-1)*100))</f>
        <v/>
      </c>
      <c r="AP92" s="602" t="str">
        <f t="shared" ref="AP92:AP97" si="249">IF(AP43="","",IF(AJ43=0,"N",(AP43/AJ43-1)*100))</f>
        <v/>
      </c>
      <c r="AQ92" s="3482" t="str">
        <f t="shared" ref="AQ92:AR97" si="250">IF(AQ43="","",IF(AK43=0,"N",(AQ43/AK43-1)*100))</f>
        <v/>
      </c>
      <c r="AR92" s="577">
        <f t="shared" ca="1" si="250"/>
        <v>53.800592300098728</v>
      </c>
      <c r="AS92" s="3480" t="str">
        <f t="shared" ref="AS92:AS97" si="251">IF(AS43="","",IF(AM43=0,"N",(AS43/AM43-1)*100))</f>
        <v/>
      </c>
      <c r="AT92" s="584"/>
      <c r="AU92" s="601" t="str">
        <f t="shared" ref="AU92:AU97" si="252">IF(AU43="","",IF(AO43=0,"N",(AU43/AO43-1)*100))</f>
        <v/>
      </c>
      <c r="AV92" s="602" t="str">
        <f t="shared" ref="AV92:AV97" si="253">IF(AV43="","",IF(AP43=0,"N",(AV43/AP43-1)*100))</f>
        <v/>
      </c>
      <c r="AW92" s="3482" t="str">
        <f t="shared" ref="AW92:AX97" si="254">IF(AW43="","",IF(AQ43=0,"N",(AW43/AQ43-1)*100))</f>
        <v/>
      </c>
      <c r="AX92" s="577">
        <f t="shared" ca="1" si="254"/>
        <v>362.00256739409502</v>
      </c>
      <c r="AY92" s="3480" t="str">
        <f t="shared" ref="AY92:AY97" si="255">IF(AY43="","",IF(AS43=0,"N",(AY43/AS43-1)*100))</f>
        <v/>
      </c>
      <c r="AZ92" s="584"/>
      <c r="BA92" s="601" t="str">
        <f t="shared" ref="BA92:BA97" si="256">IF(BA43="","",IF(AU43=0,"N",(BA43/AU43-1)*100))</f>
        <v/>
      </c>
      <c r="BB92" s="602" t="str">
        <f t="shared" ref="BB92:BB97" si="257">IF(BB43="","",IF(AV43=0,"N",(BB43/AV43-1)*100))</f>
        <v/>
      </c>
      <c r="BC92" s="3482" t="str">
        <f t="shared" ref="BC92:BD97" si="258">IF(BC43="","",IF(AW43=0,"N",(BC43/AW43-1)*100))</f>
        <v/>
      </c>
      <c r="BD92" s="577">
        <f t="shared" ca="1" si="258"/>
        <v>-6.3628785773825918</v>
      </c>
      <c r="BE92" s="3480" t="str">
        <f t="shared" ref="BE92:BE97" si="259">IF(BE43="","",IF(AY43=0,"N",(BE43/AY43-1)*100))</f>
        <v/>
      </c>
      <c r="BF92" s="584"/>
      <c r="BG92" s="601" t="str">
        <f t="shared" ref="BG92:BG97" si="260">IF(BG43="","",IF(BA43=0,"N",(BG43/BA43-1)*100))</f>
        <v/>
      </c>
      <c r="BH92" s="602" t="str">
        <f t="shared" ref="BH92:BH97" si="261">IF(BH43="","",IF(BB43=0,"N",(BH43/BB43-1)*100))</f>
        <v/>
      </c>
      <c r="BI92" s="3482" t="str">
        <f t="shared" ref="BI92:BJ97" si="262">IF(BI43="","",IF(BC43=0,"N",(BI43/BC43-1)*100))</f>
        <v/>
      </c>
      <c r="BJ92" s="577">
        <f t="shared" ca="1" si="262"/>
        <v>24.154302670623153</v>
      </c>
      <c r="BK92" s="3480" t="str">
        <f t="shared" ref="BK92:BK97" si="263">IF(BK43="","",IF(BE43=0,"N",(BK43/BE43-1)*100))</f>
        <v/>
      </c>
      <c r="BL92" s="584"/>
      <c r="BM92" s="601" t="str">
        <f t="shared" ref="BM92:BM97" si="264">IF(BM43="","",IF(BG43=0,"N",(BM43/BG43-1)*100))</f>
        <v/>
      </c>
      <c r="BN92" s="602" t="str">
        <f t="shared" ref="BN92:BN97" si="265">IF(BN43="","",IF(BH43=0,"N",(BN43/BH43-1)*100))</f>
        <v/>
      </c>
      <c r="BO92" s="3482" t="str">
        <f t="shared" ref="BO92:BP97" si="266">IF(BO43="","",IF(BI43=0,"N",(BO43/BI43-1)*100))</f>
        <v/>
      </c>
      <c r="BP92" s="577">
        <f t="shared" ca="1" si="266"/>
        <v>101.76864244741877</v>
      </c>
      <c r="BQ92" s="3480" t="str">
        <f t="shared" ref="BQ92:BQ97" si="267">IF(BQ43="","",IF(BK43=0,"N",(BQ43/BK43-1)*100))</f>
        <v/>
      </c>
      <c r="BR92" s="584"/>
      <c r="BS92" s="601" t="str">
        <f t="shared" ref="BS92:BS97" si="268">IF(BS43="","",IF(BM43=0,"N",(BS43/BM43-1)*100))</f>
        <v/>
      </c>
      <c r="BT92" s="602" t="str">
        <f t="shared" ref="BT92:BT97" si="269">IF(BT43="","",IF(BN43=0,"N",(BT43/BN43-1)*100))</f>
        <v/>
      </c>
      <c r="BU92" s="3482" t="str">
        <f t="shared" ref="BU92:BV97" si="270">IF(BU43="","",IF(BO43=0,"N",(BU43/BO43-1)*100))</f>
        <v/>
      </c>
      <c r="BV92" s="577">
        <f t="shared" ca="1" si="270"/>
        <v>45.403932717365535</v>
      </c>
      <c r="BW92" s="3480" t="str">
        <f t="shared" ref="BW92:BW97" si="271">IF(BW43="","",IF(BQ43=0,"N",(BW43/BQ43-1)*100))</f>
        <v/>
      </c>
      <c r="BX92" s="584"/>
      <c r="BY92" s="601" t="str">
        <f t="shared" ref="BY92:BY97" si="272">IF(BY43="","",IF(BS43=0,"N",(BY43/BS43-1)*100))</f>
        <v/>
      </c>
      <c r="BZ92" s="602" t="str">
        <f t="shared" ref="BZ92:BZ97" si="273">IF(BZ43="","",IF(BT43=0,"N",(BZ43/BT43-1)*100))</f>
        <v/>
      </c>
      <c r="CA92" s="3482" t="str">
        <f t="shared" ref="CA92:CB97" si="274">IF(CA43="","",IF(BU43=0,"N",(CA43/BU43-1)*100))</f>
        <v/>
      </c>
      <c r="CB92" s="577">
        <f t="shared" ca="1" si="274"/>
        <v>71.213849287169054</v>
      </c>
      <c r="CC92" s="3480" t="str">
        <f t="shared" ref="CC92:CC97" si="275">IF(CC43="","",IF(BW43=0,"N",(CC43/BW43-1)*100))</f>
        <v/>
      </c>
      <c r="CD92" s="584"/>
      <c r="CE92" s="601" t="str">
        <f t="shared" ref="CE92:CE97" si="276">IF(CE43="","",IF(BY43=0,"N",(CE43/BY43-1)*100))</f>
        <v/>
      </c>
      <c r="CF92" s="602" t="str">
        <f t="shared" ref="CF92:CF97" si="277">IF(CF43="","",IF(BZ43=0,"N",(CF43/BZ43-1)*100))</f>
        <v/>
      </c>
      <c r="CG92" s="3482" t="str">
        <f t="shared" ref="CG92:CH97" si="278">IF(CG43="","",IF(CA43=0,"N",(CG43/CA43-1)*100))</f>
        <v/>
      </c>
      <c r="CH92" s="577">
        <f t="shared" ca="1" si="278"/>
        <v>-14.438655342231099</v>
      </c>
      <c r="CI92" s="3480" t="str">
        <f t="shared" ref="CI92:CI97" si="279">IF(CI43="","",IF(CC43=0,"N",(CI43/CC43-1)*100))</f>
        <v/>
      </c>
      <c r="CJ92" s="584"/>
      <c r="CK92" s="601" t="str">
        <f t="shared" ref="CK92:CK97" si="280">IF(CK43="","",IF(CE43=0,"N",(CK43/CE43-1)*100))</f>
        <v/>
      </c>
      <c r="CL92" s="602" t="str">
        <f t="shared" ref="CL92:CL97" si="281">IF(CL43="","",IF(CF43=0,"N",(CL43/CF43-1)*100))</f>
        <v/>
      </c>
      <c r="CM92" s="3482" t="str">
        <f t="shared" ref="CM92:CN97" si="282">IF(CM43="","",IF(CG43=0,"N",(CM43/CG43-1)*100))</f>
        <v/>
      </c>
      <c r="CN92" s="577">
        <f t="shared" ca="1" si="282"/>
        <v>22.313980647313958</v>
      </c>
      <c r="CO92" s="3480" t="str">
        <f t="shared" ref="CO92:CO97" si="283">IF(CO43="","",IF(CI43=0,"N",(CO43/CI43-1)*100))</f>
        <v/>
      </c>
      <c r="CP92" s="584"/>
      <c r="CQ92" s="601" t="str">
        <f t="shared" ref="CQ92:CQ97" si="284">IF(CQ43="","",IF(CK43=0,"N",(CQ43/CK43-1)*100))</f>
        <v/>
      </c>
      <c r="CR92" s="602" t="str">
        <f t="shared" ref="CR92:CR97" si="285">IF(CR43="","",IF(CL43=0,"N",(CR43/CL43-1)*100))</f>
        <v/>
      </c>
      <c r="CS92" s="3482" t="str">
        <f t="shared" ref="CS92:CS97" si="286">IF(CS43="","",IF(CM43=0,"N",(CS43/CM43-1)*100))</f>
        <v/>
      </c>
      <c r="CT92" s="577">
        <f t="shared" ca="1" si="42"/>
        <v>67.894246288844954</v>
      </c>
      <c r="CU92" s="3480" t="str">
        <f t="shared" ref="CU92:CU97" si="287">IF(CU43="","",IF(CO43=0,"N",(CU43/CO43-1)*100))</f>
        <v/>
      </c>
      <c r="CV92" s="584"/>
      <c r="CW92" s="601" t="str">
        <f t="shared" ref="CW92:CW97" si="288">IF(CW43="","",IF(CQ43=0,"N",(CW43/CQ43-1)*100))</f>
        <v/>
      </c>
      <c r="CX92" s="602" t="str">
        <f t="shared" ref="CX92:CX97" si="289">IF(CX43="","",IF(CR43=0,"N",(CX43/CR43-1)*100))</f>
        <v/>
      </c>
      <c r="CY92" s="3482" t="str">
        <f t="shared" ref="CY92:CY97" si="290">IF(CY43="","",IF(CS43=0,"N",(CY43/CS43-1)*100))</f>
        <v/>
      </c>
      <c r="CZ92" s="577">
        <f t="shared" ca="1" si="47"/>
        <v>-4.9150362196195392</v>
      </c>
      <c r="DA92" s="3480" t="str">
        <f t="shared" ref="DA92:DA97" si="291">IF(DA43="","",IF(CU43=0,"N",(DA43/CU43-1)*100))</f>
        <v/>
      </c>
      <c r="DB92" s="584"/>
      <c r="DC92" s="601" t="str">
        <f t="shared" ref="DC92:DC97" si="292">IF(DC43="","",IF(CW43=0,"N",(DC43/CW43-1)*100))</f>
        <v/>
      </c>
      <c r="DD92" s="602" t="str">
        <f t="shared" ref="DD92:DD97" si="293">IF(DD43="","",IF(CX43=0,"N",(DD43/CX43-1)*100))</f>
        <v/>
      </c>
      <c r="DE92" s="3482" t="str">
        <f t="shared" ref="DE92:DE97" si="294">IF(DE43="","",IF(CY43=0,"N",(DE43/CY43-1)*100))</f>
        <v/>
      </c>
      <c r="DF92" s="577">
        <f t="shared" ca="1" si="52"/>
        <v>-7.6354574581701478</v>
      </c>
      <c r="DG92" s="3480" t="str">
        <f t="shared" ref="DG92:DG97" si="295">IF(DG43="","",IF(DA43=0,"N",(DG43/DA43-1)*100))</f>
        <v/>
      </c>
      <c r="DH92" s="584"/>
      <c r="DI92" s="601" t="str">
        <f t="shared" ref="DI92:DI97" si="296">IF(DI43="","",IF(DC43=0,"N",(DI43/DC43-1)*100))</f>
        <v/>
      </c>
      <c r="DJ92" s="602" t="str">
        <f t="shared" ref="DJ92:DJ97" si="297">IF(DJ43="","",IF(DD43=0,"N",(DJ43/DD43-1)*100))</f>
        <v/>
      </c>
      <c r="DK92" s="3482" t="str">
        <f t="shared" ref="DK92:DK97" si="298">IF(DK43="","",IF(DE43=0,"N",(DK43/DE43-1)*100))</f>
        <v/>
      </c>
      <c r="DL92" s="577">
        <f t="shared" ca="1" si="57"/>
        <v>13.846106408892588</v>
      </c>
      <c r="DM92" s="3480" t="str">
        <f t="shared" ref="DM92:DM97" si="299">IF(DM43="","",IF(DG43=0,"N",(DM43/DG43-1)*100))</f>
        <v/>
      </c>
      <c r="DN92" s="584"/>
      <c r="DO92" s="601" t="str">
        <f t="shared" ref="DO92:DO97" si="300">IF(DO43="","",IF(DI43=0,"N",(DO43/DI43-1)*100))</f>
        <v/>
      </c>
      <c r="DP92" s="602" t="str">
        <f t="shared" ref="DP92:DP97" si="301">IF(DP43="","",IF(DJ43=0,"N",(DP43/DJ43-1)*100))</f>
        <v/>
      </c>
      <c r="DQ92" s="3482" t="str">
        <f t="shared" ref="DQ92:DQ97" si="302">IF(DQ43="","",IF(DK43=0,"N",(DQ43/DK43-1)*100))</f>
        <v/>
      </c>
      <c r="DR92" s="577">
        <f t="shared" ca="1" si="62"/>
        <v>36.338768214072914</v>
      </c>
      <c r="DS92" s="3480" t="str">
        <f t="shared" ref="DS92:DS97" si="303">IF(DS43="","",IF(DM43=0,"N",(DS43/DM43-1)*100))</f>
        <v/>
      </c>
      <c r="DT92" s="584"/>
      <c r="DU92" s="601" t="str">
        <f t="shared" ref="DU92:DU97" si="304">IF(DU43="","",IF(DO43=0,"N",(DU43/DO43-1)*100))</f>
        <v/>
      </c>
      <c r="DV92" s="602" t="str">
        <f t="shared" ref="DV92:DV97" si="305">IF(DV43="","",IF(DP43=0,"N",(DV43/DP43-1)*100))</f>
        <v/>
      </c>
      <c r="DW92" s="3482" t="str">
        <f t="shared" ref="DW92:DW97" si="306">IF(DW43="","",IF(DQ43=0,"N",(DW43/DQ43-1)*100))</f>
        <v/>
      </c>
      <c r="DX92" s="577">
        <f t="shared" ca="1" si="67"/>
        <v>-29.726454637557374</v>
      </c>
      <c r="DY92" s="3480" t="str">
        <f t="shared" ref="DY92:DY97" si="307">IF(DY43="","",IF(DS43=0,"N",(DY43/DS43-1)*100))</f>
        <v/>
      </c>
      <c r="DZ92" s="584"/>
      <c r="EA92" s="601" t="str">
        <f t="shared" ref="EA92:EA97" si="308">IF(EA43="","",IF(DU43=0,"N",(EA43/DU43-1)*100))</f>
        <v/>
      </c>
      <c r="EB92" s="602" t="str">
        <f t="shared" ref="EB92:EB97" si="309">IF(EB43="","",IF(DV43=0,"N",(EB43/DV43-1)*100))</f>
        <v/>
      </c>
      <c r="EC92" s="3482" t="str">
        <f t="shared" ref="EC92:EC97" si="310">IF(EC43="","",IF(DW43=0,"N",(EC43/DW43-1)*100))</f>
        <v/>
      </c>
      <c r="ED92" s="577">
        <f t="shared" ca="1" si="72"/>
        <v>-53.881272084805651</v>
      </c>
      <c r="EE92" s="3480" t="str">
        <f t="shared" ref="EE92:EE97" si="311">IF(EE43="","",IF(DY43=0,"N",(EE43/DY43-1)*100))</f>
        <v/>
      </c>
      <c r="EF92" s="584"/>
      <c r="EG92" s="601" t="str">
        <f t="shared" ref="EG92:EG97" si="312">IF(EG43="","",IF(EA43=0,"N",(EG43/EA43-1)*100))</f>
        <v/>
      </c>
      <c r="EH92" s="602" t="str">
        <f t="shared" ref="EH92:EH97" si="313">IF(EH43="","",IF(EB43=0,"N",(EH43/EB43-1)*100))</f>
        <v/>
      </c>
      <c r="EI92" s="3482" t="str">
        <f t="shared" ref="EI92:EI97" si="314">IF(EI43="","",IF(EC43=0,"N",(EI43/EC43-1)*100))</f>
        <v/>
      </c>
      <c r="EJ92" s="577">
        <f t="shared" ca="1" si="77"/>
        <v>-2.0000000000000129</v>
      </c>
      <c r="EK92" s="3480" t="str">
        <f t="shared" ref="EK92:EK97" si="315">IF(EK43="","",IF(EE43=0,"N",(EK43/EE43-1)*100))</f>
        <v/>
      </c>
      <c r="EL92" s="584"/>
      <c r="EM92" s="601" t="str">
        <f t="shared" ref="EM92:EM97" si="316">IF(EM43="","",IF(EG43=0,"N",(EM43/EG43-1)*100))</f>
        <v/>
      </c>
      <c r="EN92" s="602" t="str">
        <f t="shared" ref="EN92:EN97" si="317">IF(EN43="","",IF(EH43=0,"N",(EN43/EH43-1)*100))</f>
        <v/>
      </c>
      <c r="EO92" s="3482" t="str">
        <f t="shared" ref="EO92:EO97" si="318">IF(EO43="","",IF(EI43=0,"N",(EO43/EI43-1)*100))</f>
        <v/>
      </c>
      <c r="EP92" s="577">
        <f t="shared" ca="1" si="82"/>
        <v>15.999999999999993</v>
      </c>
      <c r="EQ92" s="3480" t="str">
        <f t="shared" ref="EQ92:EQ97" si="319">IF(EQ43="","",IF(EK43=0,"N",(EQ43/EK43-1)*100))</f>
        <v/>
      </c>
      <c r="ER92" s="584"/>
      <c r="ES92" s="601" t="str">
        <f t="shared" ref="ES92:ES97" si="320">IF(ES43="","",IF(EM43=0,"N",(ES43/EM43-1)*100))</f>
        <v/>
      </c>
      <c r="ET92" s="602" t="str">
        <f t="shared" ref="ET92:ET97" si="321">IF(ET43="","",IF(EN43=0,"N",(ET43/EN43-1)*100))</f>
        <v/>
      </c>
      <c r="EU92" s="3482" t="str">
        <f t="shared" ref="EU92:EU97" si="322">IF(EU43="","",IF(EO43=0,"N",(EU43/EO43-1)*100))</f>
        <v/>
      </c>
      <c r="EV92" s="577">
        <f t="shared" ca="1" si="87"/>
        <v>2.0000000000000018</v>
      </c>
      <c r="EW92" s="3480" t="str">
        <f t="shared" ref="EW92:EW97" si="323">IF(EW43="","",IF(EQ43=0,"N",(EW43/EQ43-1)*100))</f>
        <v/>
      </c>
      <c r="EX92" s="584"/>
    </row>
    <row r="93" spans="2:154" ht="13.5" thickBot="1">
      <c r="B93" s="564"/>
      <c r="C93" s="582"/>
      <c r="D93" s="583" t="s">
        <v>374</v>
      </c>
      <c r="E93" s="601"/>
      <c r="F93" s="602"/>
      <c r="G93" s="3482"/>
      <c r="H93" s="580"/>
      <c r="I93" s="3480"/>
      <c r="J93" s="584"/>
      <c r="K93" s="601" t="str">
        <f t="shared" si="231"/>
        <v/>
      </c>
      <c r="L93" s="602" t="str">
        <f t="shared" si="231"/>
        <v/>
      </c>
      <c r="M93" s="3482" t="str">
        <f t="shared" si="231"/>
        <v/>
      </c>
      <c r="N93" s="580">
        <f t="shared" ca="1" si="231"/>
        <v>155.9612983770287</v>
      </c>
      <c r="O93" s="3480" t="str">
        <f t="shared" si="231"/>
        <v/>
      </c>
      <c r="P93" s="584"/>
      <c r="Q93" s="601" t="str">
        <f t="shared" si="232"/>
        <v/>
      </c>
      <c r="R93" s="602" t="str">
        <f t="shared" si="233"/>
        <v/>
      </c>
      <c r="S93" s="3482" t="str">
        <f t="shared" si="234"/>
        <v/>
      </c>
      <c r="T93" s="580">
        <f t="shared" ca="1" si="234"/>
        <v>509.7792952079015</v>
      </c>
      <c r="U93" s="3480" t="str">
        <f t="shared" si="235"/>
        <v/>
      </c>
      <c r="V93" s="584"/>
      <c r="W93" s="601" t="str">
        <f t="shared" si="236"/>
        <v/>
      </c>
      <c r="X93" s="602" t="str">
        <f t="shared" si="237"/>
        <v/>
      </c>
      <c r="Y93" s="3482" t="str">
        <f t="shared" si="238"/>
        <v/>
      </c>
      <c r="Z93" s="580">
        <f t="shared" ca="1" si="238"/>
        <v>-89.851623740201575</v>
      </c>
      <c r="AA93" s="3480" t="str">
        <f t="shared" si="239"/>
        <v/>
      </c>
      <c r="AB93" s="584"/>
      <c r="AC93" s="601" t="str">
        <f t="shared" si="240"/>
        <v/>
      </c>
      <c r="AD93" s="602" t="str">
        <f t="shared" si="241"/>
        <v/>
      </c>
      <c r="AE93" s="3482" t="str">
        <f t="shared" si="242"/>
        <v/>
      </c>
      <c r="AF93" s="580">
        <f t="shared" ca="1" si="242"/>
        <v>-20.367816091954015</v>
      </c>
      <c r="AG93" s="3480" t="str">
        <f t="shared" si="243"/>
        <v/>
      </c>
      <c r="AH93" s="584"/>
      <c r="AI93" s="601" t="str">
        <f t="shared" si="244"/>
        <v/>
      </c>
      <c r="AJ93" s="602" t="str">
        <f t="shared" si="245"/>
        <v/>
      </c>
      <c r="AK93" s="3482" t="str">
        <f t="shared" si="246"/>
        <v/>
      </c>
      <c r="AL93" s="580">
        <f t="shared" ca="1" si="246"/>
        <v>139.50016496205873</v>
      </c>
      <c r="AM93" s="3480" t="str">
        <f t="shared" si="247"/>
        <v/>
      </c>
      <c r="AN93" s="584"/>
      <c r="AO93" s="601" t="str">
        <f t="shared" si="248"/>
        <v/>
      </c>
      <c r="AP93" s="602" t="str">
        <f t="shared" si="249"/>
        <v/>
      </c>
      <c r="AQ93" s="3482" t="str">
        <f t="shared" si="250"/>
        <v/>
      </c>
      <c r="AR93" s="580">
        <f t="shared" ca="1" si="250"/>
        <v>-10.627819678341421</v>
      </c>
      <c r="AS93" s="3480" t="str">
        <f t="shared" si="251"/>
        <v/>
      </c>
      <c r="AT93" s="584"/>
      <c r="AU93" s="601" t="str">
        <f t="shared" si="252"/>
        <v/>
      </c>
      <c r="AV93" s="602" t="str">
        <f t="shared" si="253"/>
        <v/>
      </c>
      <c r="AW93" s="3482" t="str">
        <f t="shared" si="254"/>
        <v/>
      </c>
      <c r="AX93" s="580">
        <f t="shared" ca="1" si="254"/>
        <v>-48.741859658587337</v>
      </c>
      <c r="AY93" s="3480" t="str">
        <f t="shared" si="255"/>
        <v/>
      </c>
      <c r="AZ93" s="584"/>
      <c r="BA93" s="601" t="str">
        <f t="shared" si="256"/>
        <v/>
      </c>
      <c r="BB93" s="602" t="str">
        <f t="shared" si="257"/>
        <v/>
      </c>
      <c r="BC93" s="3482" t="str">
        <f t="shared" si="258"/>
        <v/>
      </c>
      <c r="BD93" s="580">
        <f t="shared" ca="1" si="258"/>
        <v>-46.030672079386562</v>
      </c>
      <c r="BE93" s="3480" t="str">
        <f t="shared" si="259"/>
        <v/>
      </c>
      <c r="BF93" s="584"/>
      <c r="BG93" s="601" t="str">
        <f t="shared" si="260"/>
        <v/>
      </c>
      <c r="BH93" s="602" t="str">
        <f t="shared" si="261"/>
        <v/>
      </c>
      <c r="BI93" s="3482" t="str">
        <f t="shared" si="262"/>
        <v/>
      </c>
      <c r="BJ93" s="580">
        <f t="shared" ca="1" si="262"/>
        <v>44.811255049449763</v>
      </c>
      <c r="BK93" s="3480" t="str">
        <f t="shared" si="263"/>
        <v/>
      </c>
      <c r="BL93" s="584"/>
      <c r="BM93" s="601" t="str">
        <f t="shared" si="264"/>
        <v/>
      </c>
      <c r="BN93" s="602" t="str">
        <f t="shared" si="265"/>
        <v/>
      </c>
      <c r="BO93" s="3482" t="str">
        <f t="shared" si="266"/>
        <v/>
      </c>
      <c r="BP93" s="580">
        <f t="shared" ca="1" si="266"/>
        <v>-20.142362447095042</v>
      </c>
      <c r="BQ93" s="3480" t="str">
        <f t="shared" si="267"/>
        <v/>
      </c>
      <c r="BR93" s="584"/>
      <c r="BS93" s="601" t="str">
        <f t="shared" si="268"/>
        <v/>
      </c>
      <c r="BT93" s="602" t="str">
        <f t="shared" si="269"/>
        <v/>
      </c>
      <c r="BU93" s="3482" t="str">
        <f t="shared" si="270"/>
        <v/>
      </c>
      <c r="BV93" s="580">
        <f t="shared" ca="1" si="270"/>
        <v>15.068658154661541</v>
      </c>
      <c r="BW93" s="3480" t="str">
        <f t="shared" si="271"/>
        <v/>
      </c>
      <c r="BX93" s="584"/>
      <c r="BY93" s="601" t="str">
        <f t="shared" si="272"/>
        <v/>
      </c>
      <c r="BZ93" s="602" t="str">
        <f t="shared" si="273"/>
        <v/>
      </c>
      <c r="CA93" s="3482" t="str">
        <f t="shared" si="274"/>
        <v/>
      </c>
      <c r="CB93" s="580">
        <f t="shared" ca="1" si="274"/>
        <v>169.24526326808328</v>
      </c>
      <c r="CC93" s="3480" t="str">
        <f t="shared" si="275"/>
        <v/>
      </c>
      <c r="CD93" s="584"/>
      <c r="CE93" s="601" t="str">
        <f t="shared" si="276"/>
        <v/>
      </c>
      <c r="CF93" s="602" t="str">
        <f t="shared" si="277"/>
        <v/>
      </c>
      <c r="CG93" s="3482" t="str">
        <f t="shared" si="278"/>
        <v/>
      </c>
      <c r="CH93" s="580">
        <f t="shared" ca="1" si="278"/>
        <v>-49.640371680727803</v>
      </c>
      <c r="CI93" s="3480" t="str">
        <f t="shared" si="279"/>
        <v/>
      </c>
      <c r="CJ93" s="584"/>
      <c r="CK93" s="601" t="str">
        <f t="shared" si="280"/>
        <v/>
      </c>
      <c r="CL93" s="602" t="str">
        <f t="shared" si="281"/>
        <v/>
      </c>
      <c r="CM93" s="3482" t="str">
        <f t="shared" si="282"/>
        <v/>
      </c>
      <c r="CN93" s="580">
        <f t="shared" ca="1" si="282"/>
        <v>-14.467690882421069</v>
      </c>
      <c r="CO93" s="3480" t="str">
        <f t="shared" si="283"/>
        <v/>
      </c>
      <c r="CP93" s="584"/>
      <c r="CQ93" s="601" t="str">
        <f t="shared" si="284"/>
        <v/>
      </c>
      <c r="CR93" s="602" t="str">
        <f t="shared" si="285"/>
        <v/>
      </c>
      <c r="CS93" s="3482" t="str">
        <f t="shared" si="286"/>
        <v/>
      </c>
      <c r="CT93" s="580">
        <f t="shared" ca="1" si="42"/>
        <v>9.7120678761621004</v>
      </c>
      <c r="CU93" s="3480" t="str">
        <f t="shared" si="287"/>
        <v/>
      </c>
      <c r="CV93" s="584"/>
      <c r="CW93" s="601" t="str">
        <f t="shared" si="288"/>
        <v/>
      </c>
      <c r="CX93" s="602" t="str">
        <f t="shared" si="289"/>
        <v/>
      </c>
      <c r="CY93" s="3482" t="str">
        <f t="shared" si="290"/>
        <v/>
      </c>
      <c r="CZ93" s="580">
        <f t="shared" ca="1" si="47"/>
        <v>1046.5734265734268</v>
      </c>
      <c r="DA93" s="3480" t="str">
        <f t="shared" si="291"/>
        <v/>
      </c>
      <c r="DB93" s="584"/>
      <c r="DC93" s="601" t="str">
        <f t="shared" si="292"/>
        <v/>
      </c>
      <c r="DD93" s="602" t="str">
        <f t="shared" si="293"/>
        <v/>
      </c>
      <c r="DE93" s="3482" t="str">
        <f t="shared" si="294"/>
        <v/>
      </c>
      <c r="DF93" s="580">
        <f t="shared" ca="1" si="52"/>
        <v>-93.457514745346785</v>
      </c>
      <c r="DG93" s="3480" t="str">
        <f t="shared" si="295"/>
        <v/>
      </c>
      <c r="DH93" s="584"/>
      <c r="DI93" s="601" t="str">
        <f t="shared" si="296"/>
        <v/>
      </c>
      <c r="DJ93" s="602" t="str">
        <f t="shared" si="297"/>
        <v/>
      </c>
      <c r="DK93" s="3482" t="str">
        <f t="shared" si="298"/>
        <v/>
      </c>
      <c r="DL93" s="580">
        <f t="shared" ca="1" si="57"/>
        <v>394.40666812897564</v>
      </c>
      <c r="DM93" s="3480" t="str">
        <f t="shared" si="299"/>
        <v/>
      </c>
      <c r="DN93" s="584"/>
      <c r="DO93" s="601" t="str">
        <f t="shared" si="300"/>
        <v/>
      </c>
      <c r="DP93" s="602" t="str">
        <f t="shared" si="301"/>
        <v/>
      </c>
      <c r="DQ93" s="3482" t="str">
        <f t="shared" si="302"/>
        <v/>
      </c>
      <c r="DR93" s="580">
        <f t="shared" ca="1" si="62"/>
        <v>12.065217391304351</v>
      </c>
      <c r="DS93" s="3480" t="str">
        <f t="shared" si="303"/>
        <v/>
      </c>
      <c r="DT93" s="584"/>
      <c r="DU93" s="601" t="str">
        <f t="shared" si="304"/>
        <v/>
      </c>
      <c r="DV93" s="602" t="str">
        <f t="shared" si="305"/>
        <v/>
      </c>
      <c r="DW93" s="3482" t="str">
        <f t="shared" si="306"/>
        <v/>
      </c>
      <c r="DX93" s="580">
        <f t="shared" ca="1" si="67"/>
        <v>-47.116926304954575</v>
      </c>
      <c r="DY93" s="3480" t="str">
        <f t="shared" si="307"/>
        <v/>
      </c>
      <c r="DZ93" s="584"/>
      <c r="EA93" s="601" t="str">
        <f t="shared" si="308"/>
        <v/>
      </c>
      <c r="EB93" s="602" t="str">
        <f t="shared" si="309"/>
        <v/>
      </c>
      <c r="EC93" s="3482" t="str">
        <f t="shared" si="310"/>
        <v/>
      </c>
      <c r="ED93" s="580">
        <f t="shared" ca="1" si="72"/>
        <v>-31.168588111992811</v>
      </c>
      <c r="EE93" s="3480" t="str">
        <f t="shared" si="311"/>
        <v/>
      </c>
      <c r="EF93" s="584"/>
      <c r="EG93" s="601" t="str">
        <f t="shared" si="312"/>
        <v/>
      </c>
      <c r="EH93" s="602" t="str">
        <f t="shared" si="313"/>
        <v/>
      </c>
      <c r="EI93" s="3482" t="str">
        <f t="shared" si="314"/>
        <v/>
      </c>
      <c r="EJ93" s="580">
        <f t="shared" ca="1" si="77"/>
        <v>43.999999999999993</v>
      </c>
      <c r="EK93" s="3480" t="str">
        <f t="shared" si="315"/>
        <v/>
      </c>
      <c r="EL93" s="584"/>
      <c r="EM93" s="601" t="str">
        <f t="shared" si="316"/>
        <v/>
      </c>
      <c r="EN93" s="602" t="str">
        <f t="shared" si="317"/>
        <v/>
      </c>
      <c r="EO93" s="3482" t="str">
        <f t="shared" si="318"/>
        <v/>
      </c>
      <c r="EP93" s="580">
        <f t="shared" ca="1" si="82"/>
        <v>-28.000000000000004</v>
      </c>
      <c r="EQ93" s="3480" t="str">
        <f t="shared" si="319"/>
        <v/>
      </c>
      <c r="ER93" s="584"/>
      <c r="ES93" s="601" t="str">
        <f t="shared" si="320"/>
        <v/>
      </c>
      <c r="ET93" s="602" t="str">
        <f t="shared" si="321"/>
        <v/>
      </c>
      <c r="EU93" s="3482" t="str">
        <f t="shared" si="322"/>
        <v/>
      </c>
      <c r="EV93" s="580">
        <f t="shared" ca="1" si="87"/>
        <v>0</v>
      </c>
      <c r="EW93" s="3480" t="str">
        <f t="shared" si="323"/>
        <v/>
      </c>
      <c r="EX93" s="584"/>
    </row>
    <row r="94" spans="2:154">
      <c r="B94" s="600" t="s">
        <v>401</v>
      </c>
      <c r="C94" s="3781" t="s">
        <v>375</v>
      </c>
      <c r="D94" s="3782"/>
      <c r="E94" s="601"/>
      <c r="F94" s="603"/>
      <c r="G94" s="603"/>
      <c r="H94" s="603"/>
      <c r="I94" s="603"/>
      <c r="J94" s="556"/>
      <c r="K94" s="601" t="str">
        <f t="shared" ca="1" si="231"/>
        <v>N</v>
      </c>
      <c r="L94" s="603" t="str">
        <f t="shared" ca="1" si="231"/>
        <v>N</v>
      </c>
      <c r="M94" s="603" t="str">
        <f t="shared" ca="1" si="231"/>
        <v>N</v>
      </c>
      <c r="N94" s="603" t="str">
        <f t="shared" ca="1" si="231"/>
        <v>N</v>
      </c>
      <c r="O94" s="603" t="e">
        <f t="shared" ca="1" si="231"/>
        <v>#VALUE!</v>
      </c>
      <c r="P94" s="556" t="e">
        <f ca="1">IF(ROUND(P45,2)=0,"ok","!")</f>
        <v>#VALUE!</v>
      </c>
      <c r="Q94" s="601" t="str">
        <f t="shared" ca="1" si="232"/>
        <v>N</v>
      </c>
      <c r="R94" s="603" t="str">
        <f t="shared" ca="1" si="233"/>
        <v>N</v>
      </c>
      <c r="S94" s="603" t="str">
        <f t="shared" ca="1" si="234"/>
        <v>N</v>
      </c>
      <c r="T94" s="603" t="str">
        <f ca="1">IF(T45="","",IF(N45=0,"N",(T45/N45-1)*100))</f>
        <v>N</v>
      </c>
      <c r="U94" s="603" t="e">
        <f t="shared" ca="1" si="235"/>
        <v>#VALUE!</v>
      </c>
      <c r="V94" s="556" t="e">
        <f ca="1">IF(ROUND(V45,2)=0,"ok","!")</f>
        <v>#VALUE!</v>
      </c>
      <c r="W94" s="601" t="str">
        <f t="shared" ca="1" si="236"/>
        <v>N</v>
      </c>
      <c r="X94" s="603">
        <f t="shared" ca="1" si="237"/>
        <v>-83.800623052959494</v>
      </c>
      <c r="Y94" s="603">
        <f t="shared" ca="1" si="238"/>
        <v>-78.81619937694704</v>
      </c>
      <c r="Z94" s="603" t="str">
        <f ca="1">IF(Z45="","",IF(T45=0,"N",(Z45/T45-1)*100))</f>
        <v>N</v>
      </c>
      <c r="AA94" s="603" t="e">
        <f t="shared" ca="1" si="239"/>
        <v>#VALUE!</v>
      </c>
      <c r="AB94" s="556" t="e">
        <f ca="1">IF(ROUND(AB45,2)=0,"ok","!")</f>
        <v>#VALUE!</v>
      </c>
      <c r="AC94" s="601" t="str">
        <f t="shared" ca="1" si="240"/>
        <v>N</v>
      </c>
      <c r="AD94" s="603">
        <f t="shared" ca="1" si="241"/>
        <v>189.42307692307688</v>
      </c>
      <c r="AE94" s="603">
        <f t="shared" ca="1" si="242"/>
        <v>213.97058823529406</v>
      </c>
      <c r="AF94" s="603">
        <f ca="1">IF(AF45="","",IF(Z45=0,"N",(AF45/Z45-1)*100))</f>
        <v>293.75</v>
      </c>
      <c r="AG94" s="603" t="e">
        <f t="shared" ca="1" si="243"/>
        <v>#VALUE!</v>
      </c>
      <c r="AH94" s="556" t="e">
        <f ca="1">IF(ROUND(AH45,2)=0,"ok","!")</f>
        <v>#VALUE!</v>
      </c>
      <c r="AI94" s="601" t="str">
        <f t="shared" ca="1" si="244"/>
        <v>N</v>
      </c>
      <c r="AJ94" s="603">
        <f t="shared" ca="1" si="245"/>
        <v>-44.850498338870416</v>
      </c>
      <c r="AK94" s="603">
        <f t="shared" ca="1" si="246"/>
        <v>52.927400468384093</v>
      </c>
      <c r="AL94" s="603">
        <f ca="1">IF(AL45="","",IF(AF45=0,"N",(AL45/AF45-1)*100))</f>
        <v>286.50793650793651</v>
      </c>
      <c r="AM94" s="603" t="e">
        <f t="shared" ca="1" si="247"/>
        <v>#VALUE!</v>
      </c>
      <c r="AN94" s="556" t="e">
        <f ca="1">IF(ROUND(AN45,2)=0,"ok","!")</f>
        <v>#VALUE!</v>
      </c>
      <c r="AO94" s="601" t="str">
        <f t="shared" ca="1" si="248"/>
        <v>N</v>
      </c>
      <c r="AP94" s="603">
        <f t="shared" ca="1" si="249"/>
        <v>766.8674698795179</v>
      </c>
      <c r="AQ94" s="603">
        <f t="shared" ca="1" si="250"/>
        <v>162.63399693721286</v>
      </c>
      <c r="AR94" s="603">
        <f ca="1">IF(AR45="","",IF(AL45=0,"N",(AR45/AL45-1)*100))</f>
        <v>-43.32648870636551</v>
      </c>
      <c r="AS94" s="603" t="e">
        <f t="shared" ca="1" si="251"/>
        <v>#VALUE!</v>
      </c>
      <c r="AT94" s="556" t="e">
        <f ca="1">IF(ROUND(AT45,2)=0,"ok","!")</f>
        <v>#VALUE!</v>
      </c>
      <c r="AU94" s="601" t="str">
        <f t="shared" ca="1" si="252"/>
        <v>N</v>
      </c>
      <c r="AV94" s="603">
        <f t="shared" ca="1" si="253"/>
        <v>12.50868658790829</v>
      </c>
      <c r="AW94" s="603">
        <f t="shared" ca="1" si="254"/>
        <v>15.97667638483966</v>
      </c>
      <c r="AX94" s="603">
        <f ca="1">IF(AX45="","",IF(AR45=0,"N",(AX45/AR45-1)*100))</f>
        <v>34.057971014492772</v>
      </c>
      <c r="AY94" s="603" t="e">
        <f t="shared" ca="1" si="255"/>
        <v>#VALUE!</v>
      </c>
      <c r="AZ94" s="556" t="e">
        <f ca="1">IF(ROUND(AZ45,2)=0,"ok","!")</f>
        <v>#VALUE!</v>
      </c>
      <c r="BA94" s="601" t="str">
        <f t="shared" ca="1" si="256"/>
        <v>N</v>
      </c>
      <c r="BB94" s="603">
        <f t="shared" ca="1" si="257"/>
        <v>4.2618900555898565</v>
      </c>
      <c r="BC94" s="603">
        <f t="shared" ca="1" si="258"/>
        <v>18.903971845148291</v>
      </c>
      <c r="BD94" s="603">
        <f ca="1">IF(BD45="","",IF(AX45=0,"N",(BD45/AX45-1)*100))</f>
        <v>82.972972972972968</v>
      </c>
      <c r="BE94" s="603" t="e">
        <f t="shared" ca="1" si="259"/>
        <v>#VALUE!</v>
      </c>
      <c r="BF94" s="556" t="e">
        <f ca="1">IF(ROUND(BF45,2)=0,"ok","!")</f>
        <v>#VALUE!</v>
      </c>
      <c r="BG94" s="601" t="str">
        <f t="shared" ca="1" si="260"/>
        <v>N</v>
      </c>
      <c r="BH94" s="603">
        <f t="shared" ca="1" si="261"/>
        <v>170.61611374407582</v>
      </c>
      <c r="BI94" s="603">
        <f t="shared" ca="1" si="262"/>
        <v>188.49894291754759</v>
      </c>
      <c r="BJ94" s="603">
        <f ca="1">IF(BJ45="","",IF(BD45=0,"N",(BJ45/BD45-1)*100))</f>
        <v>233.08714918759233</v>
      </c>
      <c r="BK94" s="603" t="e">
        <f t="shared" ca="1" si="263"/>
        <v>#VALUE!</v>
      </c>
      <c r="BL94" s="556" t="e">
        <f ca="1">IF(ROUND(BL45,2)=0,"ok","!")</f>
        <v>#VALUE!</v>
      </c>
      <c r="BM94" s="601" t="str">
        <f t="shared" ca="1" si="264"/>
        <v>N</v>
      </c>
      <c r="BN94" s="603">
        <f t="shared" ca="1" si="265"/>
        <v>225.65674255691772</v>
      </c>
      <c r="BO94" s="603">
        <f t="shared" ca="1" si="266"/>
        <v>167.74146269969225</v>
      </c>
      <c r="BP94" s="603">
        <f ca="1">IF(BP45="","",IF(BJ45=0,"N",(BP45/BJ45-1)*100))</f>
        <v>50.421286031042122</v>
      </c>
      <c r="BQ94" s="603" t="e">
        <f t="shared" ca="1" si="267"/>
        <v>#VALUE!</v>
      </c>
      <c r="BR94" s="556" t="e">
        <f ca="1">IF(ROUND(BR45,2)=0,"ok","!")</f>
        <v>#VALUE!</v>
      </c>
      <c r="BS94" s="601" t="str">
        <f t="shared" ca="1" si="268"/>
        <v>N</v>
      </c>
      <c r="BT94" s="603">
        <f t="shared" ca="1" si="269"/>
        <v>50.887335305189588</v>
      </c>
      <c r="BU94" s="603">
        <f t="shared" ca="1" si="270"/>
        <v>42.620976571053191</v>
      </c>
      <c r="BV94" s="603">
        <f ca="1">IF(BV45="","",IF(BP45=0,"N",(BV45/BP45-1)*100))</f>
        <v>6.3384433962264231</v>
      </c>
      <c r="BW94" s="603" t="e">
        <f t="shared" ca="1" si="271"/>
        <v>#VALUE!</v>
      </c>
      <c r="BX94" s="556" t="e">
        <f ca="1">IF(ROUND(BX45,2)=0,"ok","!")</f>
        <v>#VALUE!</v>
      </c>
      <c r="BY94" s="601">
        <f t="shared" ca="1" si="272"/>
        <v>-200.00000000069389</v>
      </c>
      <c r="BZ94" s="603">
        <f t="shared" ca="1" si="273"/>
        <v>70.293147999643594</v>
      </c>
      <c r="CA94" s="603">
        <f t="shared" ca="1" si="274"/>
        <v>56.620864358639736</v>
      </c>
      <c r="CB94" s="603">
        <f ca="1">IF(CB45="","",IF(BV45=0,"N",(CB45/BV45-1)*100))</f>
        <v>-28.389243138342113</v>
      </c>
      <c r="CC94" s="603" t="e">
        <f t="shared" ca="1" si="275"/>
        <v>#VALUE!</v>
      </c>
      <c r="CD94" s="556" t="e">
        <f ca="1">IF(ROUND(CD45,2)=0,"ok","!")</f>
        <v>#VALUE!</v>
      </c>
      <c r="CE94" s="601">
        <f t="shared" ca="1" si="276"/>
        <v>-100</v>
      </c>
      <c r="CF94" s="603">
        <f t="shared" ca="1" si="277"/>
        <v>-56.985140226036002</v>
      </c>
      <c r="CG94" s="603">
        <f t="shared" ca="1" si="278"/>
        <v>-58.665392344263104</v>
      </c>
      <c r="CH94" s="603">
        <f ca="1">IF(CH45="","",IF(CB45=0,"N",(CH45/CB45-1)*100))</f>
        <v>-83.546264034068912</v>
      </c>
      <c r="CI94" s="603" t="e">
        <f t="shared" ca="1" si="279"/>
        <v>#VALUE!</v>
      </c>
      <c r="CJ94" s="556" t="str">
        <f ca="1">IF(ROUND(CJ45,2)=0,"ok","!")</f>
        <v>ok</v>
      </c>
      <c r="CK94" s="601" t="str">
        <f t="shared" ca="1" si="280"/>
        <v>N</v>
      </c>
      <c r="CL94" s="603">
        <f t="shared" ca="1" si="281"/>
        <v>-113.21007176742488</v>
      </c>
      <c r="CM94" s="603">
        <f t="shared" ca="1" si="282"/>
        <v>-114.56690579237565</v>
      </c>
      <c r="CN94" s="603">
        <f ca="1">IF(CN45="","",IF(CH45=0,"N",(CN45/CH45-1)*100))</f>
        <v>-167.05882352941174</v>
      </c>
      <c r="CO94" s="603" t="str">
        <f t="shared" ca="1" si="283"/>
        <v>N</v>
      </c>
      <c r="CP94" s="556" t="str">
        <f ca="1">IF(ROUND(CP45,2)=0,"ok","!")</f>
        <v>ok</v>
      </c>
      <c r="CQ94" s="601" t="str">
        <f t="shared" ca="1" si="284"/>
        <v>N</v>
      </c>
      <c r="CR94" s="603">
        <f t="shared" ca="1" si="285"/>
        <v>71.040515653775287</v>
      </c>
      <c r="CS94" s="603">
        <f t="shared" ca="1" si="286"/>
        <v>-31.868131868131876</v>
      </c>
      <c r="CT94" s="603">
        <f ca="1">IF(CT45="","",IF(CN45=0,"N",(CT45/CN45-1)*100))</f>
        <v>-815.78947368421041</v>
      </c>
      <c r="CU94" s="603" t="str">
        <f t="shared" ca="1" si="287"/>
        <v>N</v>
      </c>
      <c r="CV94" s="556" t="str">
        <f ca="1">IF(ROUND(CV45,2)=0,"ok","!")</f>
        <v>ok</v>
      </c>
      <c r="CW94" s="601">
        <f t="shared" ca="1" si="288"/>
        <v>-100</v>
      </c>
      <c r="CX94" s="603">
        <f t="shared" ca="1" si="289"/>
        <v>-161.66890982503367</v>
      </c>
      <c r="CY94" s="603">
        <f t="shared" ca="1" si="290"/>
        <v>-830.94384707287929</v>
      </c>
      <c r="CZ94" s="603">
        <f ca="1">IF(CZ45="","",IF(CT45=0,"N",(CZ45/CT45-1)*100))</f>
        <v>387.5</v>
      </c>
      <c r="DA94" s="603">
        <f t="shared" ca="1" si="291"/>
        <v>-100</v>
      </c>
      <c r="DB94" s="556" t="str">
        <f ca="1">IF(ROUND(DB45,2)=0,"ok","!")</f>
        <v>ok</v>
      </c>
      <c r="DC94" s="601" t="str">
        <f t="shared" ca="1" si="292"/>
        <v>N</v>
      </c>
      <c r="DD94" s="603">
        <f t="shared" ca="1" si="293"/>
        <v>84.199039720646013</v>
      </c>
      <c r="DE94" s="603">
        <f t="shared" ca="1" si="294"/>
        <v>-3.3180778032036562</v>
      </c>
      <c r="DF94" s="603">
        <f ca="1">IF(DF45="","",IF(CZ45=0,"N",(DF45/CZ45-1)*100))</f>
        <v>-23.46907993966818</v>
      </c>
      <c r="DG94" s="603" t="str">
        <f t="shared" ca="1" si="295"/>
        <v>N</v>
      </c>
      <c r="DH94" s="556" t="str">
        <f ca="1">IF(ROUND(DH45,2)=0,"ok","!")</f>
        <v>ok</v>
      </c>
      <c r="DI94" s="601">
        <f t="shared" ca="1" si="296"/>
        <v>-100</v>
      </c>
      <c r="DJ94" s="603">
        <f t="shared" ca="1" si="297"/>
        <v>-154.95260663507108</v>
      </c>
      <c r="DK94" s="603">
        <f t="shared" ca="1" si="298"/>
        <v>-19.822485207100605</v>
      </c>
      <c r="DL94" s="603">
        <f ca="1">IF(DL45="","",IF(DF45=0,"N",(DL45/DF45-1)*100))</f>
        <v>55.091315201681802</v>
      </c>
      <c r="DM94" s="603">
        <f t="shared" ca="1" si="299"/>
        <v>-100</v>
      </c>
      <c r="DN94" s="556" t="str">
        <f ca="1">IF(ROUND(DN45,2)=0,"ok","!")</f>
        <v>ok</v>
      </c>
      <c r="DO94" s="601" t="str">
        <f t="shared" ca="1" si="300"/>
        <v>N</v>
      </c>
      <c r="DP94" s="603">
        <f t="shared" ca="1" si="301"/>
        <v>78.395860284605419</v>
      </c>
      <c r="DQ94" s="603">
        <f t="shared" ca="1" si="302"/>
        <v>-60.906694781233526</v>
      </c>
      <c r="DR94" s="603">
        <f ca="1">IF(DR45="","",IF(DL45=0,"N",(DR45/DL45-1)*100))</f>
        <v>-33.547949847509329</v>
      </c>
      <c r="DS94" s="603" t="str">
        <f t="shared" ca="1" si="303"/>
        <v>N</v>
      </c>
      <c r="DT94" s="556" t="str">
        <f ca="1">IF(ROUND(DT45,2)=0,"ok","!")</f>
        <v>ok</v>
      </c>
      <c r="DU94" s="601">
        <f t="shared" ca="1" si="304"/>
        <v>-100</v>
      </c>
      <c r="DV94" s="603">
        <f t="shared" ca="1" si="305"/>
        <v>-183.6113125453227</v>
      </c>
      <c r="DW94" s="603">
        <f t="shared" ca="1" si="306"/>
        <v>132.55124056094934</v>
      </c>
      <c r="DX94" s="603">
        <f ca="1">IF(DX45="","",IF(DR45=0,"N",(DX45/DR45-1)*100))</f>
        <v>-34.16624171341153</v>
      </c>
      <c r="DY94" s="603">
        <f t="shared" ca="1" si="307"/>
        <v>-100</v>
      </c>
      <c r="DZ94" s="556" t="str">
        <f ca="1">IF(ROUND(DZ45,2)=0,"ok","!")</f>
        <v>ok</v>
      </c>
      <c r="EA94" s="601" t="str">
        <f t="shared" ca="1" si="308"/>
        <v>N</v>
      </c>
      <c r="EB94" s="603">
        <f t="shared" ca="1" si="309"/>
        <v>124.3712055507372</v>
      </c>
      <c r="EC94" s="603">
        <f t="shared" ca="1" si="310"/>
        <v>22.382001623564875</v>
      </c>
      <c r="ED94" s="603">
        <f ca="1">IF(ED45="","",IF(DX45=0,"N",(ED45/DX45-1)*100))</f>
        <v>-45.933384972889236</v>
      </c>
      <c r="EE94" s="603" t="str">
        <f t="shared" ca="1" si="311"/>
        <v>N</v>
      </c>
      <c r="EF94" s="556" t="str">
        <f ca="1">IF(ROUND(EF45,2)=0,"ok","!")</f>
        <v>ok</v>
      </c>
      <c r="EG94" s="601" t="str">
        <f t="shared" ca="1" si="312"/>
        <v>N</v>
      </c>
      <c r="EH94" s="603">
        <f t="shared" ca="1" si="313"/>
        <v>0</v>
      </c>
      <c r="EI94" s="603">
        <f t="shared" ca="1" si="314"/>
        <v>0</v>
      </c>
      <c r="EJ94" s="603">
        <f ca="1">IF(EJ45="","",IF(ED45=0,"N",(EJ45/ED45-1)*100))</f>
        <v>-100</v>
      </c>
      <c r="EK94" s="603" t="str">
        <f t="shared" ca="1" si="315"/>
        <v>N</v>
      </c>
      <c r="EL94" s="556" t="str">
        <f ca="1">IF(ROUND(EL45,2)=0,"ok","!")</f>
        <v>ok</v>
      </c>
      <c r="EM94" s="601">
        <f t="shared" ca="1" si="316"/>
        <v>0</v>
      </c>
      <c r="EN94" s="603">
        <f t="shared" ca="1" si="317"/>
        <v>0</v>
      </c>
      <c r="EO94" s="603">
        <f t="shared" ca="1" si="318"/>
        <v>0</v>
      </c>
      <c r="EP94" s="603" t="str">
        <f ca="1">IF(EP45="","",IF(EJ45=0,"N",(EP45/EJ45-1)*100))</f>
        <v>N</v>
      </c>
      <c r="EQ94" s="603">
        <f t="shared" ca="1" si="319"/>
        <v>0</v>
      </c>
      <c r="ER94" s="556" t="str">
        <f ca="1">IF(ROUND(ER45,2)=0,"ok","!")</f>
        <v>ok</v>
      </c>
      <c r="ES94" s="601">
        <f t="shared" ca="1" si="320"/>
        <v>0</v>
      </c>
      <c r="ET94" s="603">
        <f t="shared" ca="1" si="321"/>
        <v>0</v>
      </c>
      <c r="EU94" s="603">
        <f t="shared" ca="1" si="322"/>
        <v>0</v>
      </c>
      <c r="EV94" s="603" t="str">
        <f ca="1">IF(EV45="","",IF(EP45=0,"N",(EV45/EP45-1)*100))</f>
        <v>N</v>
      </c>
      <c r="EW94" s="603">
        <f t="shared" ca="1" si="323"/>
        <v>0</v>
      </c>
      <c r="EX94" s="556" t="str">
        <f ca="1">IF(ROUND(EX45,2)=0,"ok","!")</f>
        <v>ok</v>
      </c>
    </row>
    <row r="95" spans="2:154">
      <c r="B95" s="600" t="s">
        <v>401</v>
      </c>
      <c r="C95" s="3781" t="s">
        <v>376</v>
      </c>
      <c r="D95" s="3782"/>
      <c r="E95" s="601"/>
      <c r="F95" s="603"/>
      <c r="G95" s="603"/>
      <c r="H95" s="603"/>
      <c r="I95" s="602"/>
      <c r="J95" s="604"/>
      <c r="K95" s="601">
        <f t="shared" ca="1" si="231"/>
        <v>26.410452622325664</v>
      </c>
      <c r="L95" s="603">
        <f t="shared" ca="1" si="231"/>
        <v>5.2791912158542953</v>
      </c>
      <c r="M95" s="603">
        <f t="shared" ca="1" si="231"/>
        <v>40.876966776861124</v>
      </c>
      <c r="N95" s="603">
        <f t="shared" ca="1" si="231"/>
        <v>-7.8887605083867829</v>
      </c>
      <c r="O95" s="602" t="str">
        <f t="shared" si="231"/>
        <v/>
      </c>
      <c r="P95" s="604"/>
      <c r="Q95" s="601">
        <f t="shared" ca="1" si="232"/>
        <v>31.212603309919771</v>
      </c>
      <c r="R95" s="603">
        <f t="shared" ca="1" si="233"/>
        <v>35.575058030462039</v>
      </c>
      <c r="S95" s="603">
        <f t="shared" ca="1" si="234"/>
        <v>32.87456302127778</v>
      </c>
      <c r="T95" s="603">
        <f ca="1">IF(T46="","",IF(N46=0,"N",(T46/N46-1)*100))</f>
        <v>14.827630952895898</v>
      </c>
      <c r="U95" s="602" t="str">
        <f t="shared" si="235"/>
        <v/>
      </c>
      <c r="V95" s="604"/>
      <c r="W95" s="601">
        <f t="shared" ca="1" si="236"/>
        <v>18.583689514361001</v>
      </c>
      <c r="X95" s="603">
        <f t="shared" ca="1" si="237"/>
        <v>37.021835494992629</v>
      </c>
      <c r="Y95" s="603">
        <f t="shared" ca="1" si="238"/>
        <v>13.750725058004631</v>
      </c>
      <c r="Z95" s="603">
        <f ca="1">IF(Z46="","",IF(T46=0,"N",(Z46/T46-1)*100))</f>
        <v>24.127020002260124</v>
      </c>
      <c r="AA95" s="602" t="str">
        <f t="shared" si="239"/>
        <v/>
      </c>
      <c r="AB95" s="604"/>
      <c r="AC95" s="601">
        <f t="shared" ca="1" si="240"/>
        <v>-10.282849913026137</v>
      </c>
      <c r="AD95" s="603">
        <f t="shared" ca="1" si="241"/>
        <v>-25.685529423847186</v>
      </c>
      <c r="AE95" s="603">
        <f t="shared" ca="1" si="242"/>
        <v>-7.5747021248503295</v>
      </c>
      <c r="AF95" s="603">
        <f ca="1">IF(AF46="","",IF(Z46=0,"N",(AF46/Z46-1)*100))</f>
        <v>-1.0257344015537684</v>
      </c>
      <c r="AG95" s="602" t="str">
        <f t="shared" si="243"/>
        <v/>
      </c>
      <c r="AH95" s="604"/>
      <c r="AI95" s="601">
        <f t="shared" ca="1" si="244"/>
        <v>-8.3728747957223622</v>
      </c>
      <c r="AJ95" s="603">
        <f t="shared" ca="1" si="245"/>
        <v>11.293071678643818</v>
      </c>
      <c r="AK95" s="603">
        <f t="shared" ca="1" si="246"/>
        <v>-13.816612644210402</v>
      </c>
      <c r="AL95" s="603">
        <f ca="1">IF(AL46="","",IF(AF46=0,"N",(AL46/AF46-1)*100))</f>
        <v>-0.66842460293126127</v>
      </c>
      <c r="AM95" s="602" t="str">
        <f t="shared" si="247"/>
        <v/>
      </c>
      <c r="AN95" s="604"/>
      <c r="AO95" s="601">
        <f t="shared" ca="1" si="248"/>
        <v>13.898830128017092</v>
      </c>
      <c r="AP95" s="603">
        <f t="shared" ca="1" si="249"/>
        <v>10.79906455017694</v>
      </c>
      <c r="AQ95" s="603">
        <f t="shared" ca="1" si="250"/>
        <v>17.358848611635057</v>
      </c>
      <c r="AR95" s="603">
        <f ca="1">IF(AR46="","",IF(AL46=0,"N",(AR46/AL46-1)*100))</f>
        <v>-0.16360044449931221</v>
      </c>
      <c r="AS95" s="602" t="str">
        <f t="shared" si="251"/>
        <v/>
      </c>
      <c r="AT95" s="604"/>
      <c r="AU95" s="601">
        <f t="shared" ca="1" si="252"/>
        <v>8.0307962802708808</v>
      </c>
      <c r="AV95" s="603">
        <f t="shared" ca="1" si="253"/>
        <v>0.32687673945122064</v>
      </c>
      <c r="AW95" s="603">
        <f t="shared" ca="1" si="254"/>
        <v>5.0583468079717919</v>
      </c>
      <c r="AX95" s="603">
        <f ca="1">IF(AX46="","",IF(AR46=0,"N",(AX46/AR46-1)*100))</f>
        <v>39.653093405064467</v>
      </c>
      <c r="AY95" s="602" t="str">
        <f t="shared" si="255"/>
        <v/>
      </c>
      <c r="AZ95" s="604"/>
      <c r="BA95" s="601">
        <f t="shared" ca="1" si="256"/>
        <v>14.125687402651078</v>
      </c>
      <c r="BB95" s="603">
        <f t="shared" ca="1" si="257"/>
        <v>28.440571939231461</v>
      </c>
      <c r="BC95" s="603">
        <f t="shared" ca="1" si="258"/>
        <v>10.676834639098809</v>
      </c>
      <c r="BD95" s="603">
        <f ca="1">IF(BD46="","",IF(AX46=0,"N",(BD46/AX46-1)*100))</f>
        <v>13.573769040028338</v>
      </c>
      <c r="BE95" s="602" t="str">
        <f t="shared" si="259"/>
        <v/>
      </c>
      <c r="BF95" s="604"/>
      <c r="BG95" s="601">
        <f t="shared" ca="1" si="260"/>
        <v>16.314047929409405</v>
      </c>
      <c r="BH95" s="603">
        <f t="shared" ca="1" si="261"/>
        <v>14.982315765060594</v>
      </c>
      <c r="BI95" s="603">
        <f t="shared" ca="1" si="262"/>
        <v>14.140009466325409</v>
      </c>
      <c r="BJ95" s="603">
        <f ca="1">IF(BJ46="","",IF(BD46=0,"N",(BJ46/BD46-1)*100))</f>
        <v>28.222772373730454</v>
      </c>
      <c r="BK95" s="602" t="str">
        <f t="shared" si="263"/>
        <v/>
      </c>
      <c r="BL95" s="604"/>
      <c r="BM95" s="601">
        <f t="shared" ca="1" si="264"/>
        <v>17.609674329501914</v>
      </c>
      <c r="BN95" s="603">
        <f t="shared" ca="1" si="265"/>
        <v>5.8506883162724899</v>
      </c>
      <c r="BO95" s="603">
        <f t="shared" ca="1" si="266"/>
        <v>21.62429953871392</v>
      </c>
      <c r="BP95" s="603">
        <f ca="1">IF(BP46="","",IF(BJ46=0,"N",(BP46/BJ46-1)*100))</f>
        <v>15.158794107362761</v>
      </c>
      <c r="BQ95" s="602" t="str">
        <f t="shared" si="267"/>
        <v/>
      </c>
      <c r="BR95" s="604"/>
      <c r="BS95" s="601">
        <f t="shared" ca="1" si="268"/>
        <v>27.110913836844208</v>
      </c>
      <c r="BT95" s="603">
        <f t="shared" ca="1" si="269"/>
        <v>4.5280771750134008</v>
      </c>
      <c r="BU95" s="603">
        <f t="shared" ca="1" si="270"/>
        <v>30.825978728219038</v>
      </c>
      <c r="BV95" s="603">
        <f ca="1">IF(BV46="","",IF(BP46=0,"N",(BV46/BP46-1)*100))</f>
        <v>35.888736336272878</v>
      </c>
      <c r="BW95" s="602" t="str">
        <f t="shared" si="271"/>
        <v/>
      </c>
      <c r="BX95" s="604"/>
      <c r="BY95" s="601">
        <f t="shared" ca="1" si="272"/>
        <v>32.929728171202477</v>
      </c>
      <c r="BZ95" s="603">
        <f t="shared" ca="1" si="273"/>
        <v>23.340207595109774</v>
      </c>
      <c r="CA95" s="603">
        <f t="shared" ca="1" si="274"/>
        <v>30.164441061832626</v>
      </c>
      <c r="CB95" s="603">
        <f ca="1">IF(CB46="","",IF(BV46=0,"N",(CB46/BV46-1)*100))</f>
        <v>52.75567602226694</v>
      </c>
      <c r="CC95" s="602" t="str">
        <f t="shared" si="275"/>
        <v/>
      </c>
      <c r="CD95" s="604"/>
      <c r="CE95" s="601">
        <f t="shared" ca="1" si="276"/>
        <v>2.5865590510286696</v>
      </c>
      <c r="CF95" s="603">
        <f t="shared" ca="1" si="277"/>
        <v>18.167793666629727</v>
      </c>
      <c r="CG95" s="603">
        <f t="shared" ca="1" si="278"/>
        <v>-2.9912470321414864</v>
      </c>
      <c r="CH95" s="603">
        <f ca="1">IF(CH46="","",IF(CB46=0,"N",(CH46/CB46-1)*100))</f>
        <v>11.879595003688713</v>
      </c>
      <c r="CI95" s="602" t="str">
        <f t="shared" si="279"/>
        <v/>
      </c>
      <c r="CJ95" s="604"/>
      <c r="CK95" s="601">
        <f t="shared" ca="1" si="280"/>
        <v>-43.49419497916206</v>
      </c>
      <c r="CL95" s="603">
        <f t="shared" ca="1" si="281"/>
        <v>-25.174524503787556</v>
      </c>
      <c r="CM95" s="603">
        <f t="shared" ca="1" si="282"/>
        <v>-51.339182974184382</v>
      </c>
      <c r="CN95" s="603">
        <f ca="1">IF(CN46="","",IF(CH46=0,"N",(CN46/CH46-1)*100))</f>
        <v>-32.399170053719132</v>
      </c>
      <c r="CO95" s="602" t="str">
        <f t="shared" si="283"/>
        <v/>
      </c>
      <c r="CP95" s="604"/>
      <c r="CQ95" s="601">
        <f t="shared" ca="1" si="284"/>
        <v>-1.750746281067328</v>
      </c>
      <c r="CR95" s="603">
        <f t="shared" ca="1" si="285"/>
        <v>-3.6524718960257441</v>
      </c>
      <c r="CS95" s="603">
        <f t="shared" ca="1" si="286"/>
        <v>-9.4213207115161559</v>
      </c>
      <c r="CT95" s="603">
        <f ca="1">IF(CT46="","",IF(CN46=0,"N",(CT46/CN46-1)*100))</f>
        <v>16.963504877228374</v>
      </c>
      <c r="CU95" s="602" t="str">
        <f t="shared" si="287"/>
        <v/>
      </c>
      <c r="CV95" s="604"/>
      <c r="CW95" s="601">
        <f t="shared" ca="1" si="288"/>
        <v>22.317880794701985</v>
      </c>
      <c r="CX95" s="603">
        <f t="shared" ca="1" si="289"/>
        <v>13.18043808284537</v>
      </c>
      <c r="CY95" s="603">
        <f t="shared" ca="1" si="290"/>
        <v>35.014524463672259</v>
      </c>
      <c r="CZ95" s="603">
        <f ca="1">IF(CZ46="","",IF(CT46=0,"N",(CZ46/CT46-1)*100))</f>
        <v>6.3482705815533613</v>
      </c>
      <c r="DA95" s="602" t="str">
        <f t="shared" si="291"/>
        <v/>
      </c>
      <c r="DB95" s="604"/>
      <c r="DC95" s="601">
        <f t="shared" ca="1" si="292"/>
        <v>0.11970019598313009</v>
      </c>
      <c r="DD95" s="603">
        <f t="shared" ca="1" si="293"/>
        <v>-3.9051497005987978</v>
      </c>
      <c r="DE95" s="603">
        <f t="shared" ca="1" si="294"/>
        <v>6.156292106208161</v>
      </c>
      <c r="DF95" s="603">
        <f ca="1">IF(DF46="","",IF(CZ46=0,"N",(DF46/CZ46-1)*100))</f>
        <v>-10.336458833311923</v>
      </c>
      <c r="DG95" s="602" t="str">
        <f t="shared" si="295"/>
        <v/>
      </c>
      <c r="DH95" s="604"/>
      <c r="DI95" s="601">
        <f t="shared" ca="1" si="296"/>
        <v>11.521191147938081</v>
      </c>
      <c r="DJ95" s="603">
        <f t="shared" ca="1" si="297"/>
        <v>23.765939839878737</v>
      </c>
      <c r="DK95" s="603">
        <f t="shared" ca="1" si="298"/>
        <v>12.87532056749483</v>
      </c>
      <c r="DL95" s="603">
        <f ca="1">IF(DL46="","",IF(DF46=0,"N",(DL46/DF46-1)*100))</f>
        <v>-1.2704228962626241</v>
      </c>
      <c r="DM95" s="602" t="str">
        <f t="shared" si="299"/>
        <v/>
      </c>
      <c r="DN95" s="604"/>
      <c r="DO95" s="601">
        <f t="shared" ca="1" si="300"/>
        <v>6.9809198621817892</v>
      </c>
      <c r="DP95" s="603">
        <f t="shared" ca="1" si="301"/>
        <v>10.500580009022386</v>
      </c>
      <c r="DQ95" s="603">
        <f t="shared" ca="1" si="302"/>
        <v>8.8823600228481894</v>
      </c>
      <c r="DR95" s="603">
        <f ca="1">IF(DR46="","",IF(DL46=0,"N",(DR46/DL46-1)*100))</f>
        <v>-2.0237040657360095</v>
      </c>
      <c r="DS95" s="602" t="str">
        <f t="shared" si="303"/>
        <v/>
      </c>
      <c r="DT95" s="604"/>
      <c r="DU95" s="601">
        <f t="shared" ca="1" si="304"/>
        <v>6.0782073393778058</v>
      </c>
      <c r="DV95" s="603">
        <f t="shared" ca="1" si="305"/>
        <v>13.982547331433025</v>
      </c>
      <c r="DW95" s="603">
        <f t="shared" ca="1" si="306"/>
        <v>3.2088077538345638</v>
      </c>
      <c r="DX95" s="603">
        <f ca="1">IF(DX46="","",IF(DR46=0,"N",(DX46/DR46-1)*100))</f>
        <v>7.1341720057989999</v>
      </c>
      <c r="DY95" s="602" t="str">
        <f t="shared" si="307"/>
        <v/>
      </c>
      <c r="DZ95" s="604"/>
      <c r="EA95" s="601">
        <f t="shared" ca="1" si="308"/>
        <v>-0.15043916769735821</v>
      </c>
      <c r="EB95" s="603">
        <f t="shared" ca="1" si="309"/>
        <v>11.433889134063758</v>
      </c>
      <c r="EC95" s="603">
        <f t="shared" ca="1" si="310"/>
        <v>0.7095641867250313</v>
      </c>
      <c r="ED95" s="603">
        <f ca="1">IF(ED46="","",IF(DX46=0,"N",(ED46/DX46-1)*100))</f>
        <v>-16.072636794203021</v>
      </c>
      <c r="EE95" s="602" t="str">
        <f t="shared" si="311"/>
        <v/>
      </c>
      <c r="EF95" s="604"/>
      <c r="EG95" s="601">
        <f t="shared" ca="1" si="312"/>
        <v>7.7409696207377587</v>
      </c>
      <c r="EH95" s="603">
        <f t="shared" ca="1" si="313"/>
        <v>3.499999999999992</v>
      </c>
      <c r="EI95" s="603">
        <f t="shared" ca="1" si="314"/>
        <v>9.5487966987452424</v>
      </c>
      <c r="EJ95" s="603">
        <f ca="1">IF(EJ46="","",IF(ED46=0,"N",(EJ46/ED46-1)*100))</f>
        <v>7.2229999999999794</v>
      </c>
      <c r="EK95" s="602" t="str">
        <f t="shared" si="315"/>
        <v/>
      </c>
      <c r="EL95" s="604"/>
      <c r="EM95" s="601">
        <f t="shared" ca="1" si="316"/>
        <v>9.2905093903981495</v>
      </c>
      <c r="EN95" s="603">
        <f t="shared" ca="1" si="317"/>
        <v>3.499999999999992</v>
      </c>
      <c r="EO95" s="603">
        <f t="shared" ca="1" si="318"/>
        <v>11.38655538393305</v>
      </c>
      <c r="EP95" s="603">
        <f ca="1">IF(EP46="","",IF(EJ46=0,"N",(EP46/EJ46-1)*100))</f>
        <v>9.5302000000000007</v>
      </c>
      <c r="EQ95" s="602" t="str">
        <f t="shared" si="319"/>
        <v/>
      </c>
      <c r="ER95" s="604"/>
      <c r="ES95" s="601">
        <f t="shared" ca="1" si="320"/>
        <v>6.6401309849669188</v>
      </c>
      <c r="ET95" s="603">
        <f t="shared" ca="1" si="321"/>
        <v>3.499999999999992</v>
      </c>
      <c r="EU95" s="603">
        <f t="shared" ca="1" si="322"/>
        <v>7.4771783832577432</v>
      </c>
      <c r="EV95" s="603">
        <f ca="1">IF(EV46="","",IF(EP46=0,"N",(EV46/EP46-1)*100))</f>
        <v>7.6349999999999918</v>
      </c>
      <c r="EW95" s="602" t="str">
        <f t="shared" si="323"/>
        <v/>
      </c>
      <c r="EX95" s="604"/>
    </row>
    <row r="96" spans="2:154">
      <c r="B96" s="600" t="s">
        <v>401</v>
      </c>
      <c r="C96" s="3783" t="s">
        <v>377</v>
      </c>
      <c r="D96" s="3784"/>
      <c r="E96" s="601"/>
      <c r="F96" s="3483"/>
      <c r="G96" s="3483"/>
      <c r="H96" s="3483"/>
      <c r="I96" s="602"/>
      <c r="J96" s="556"/>
      <c r="K96" s="601">
        <f t="shared" ca="1" si="231"/>
        <v>-74.693700531280498</v>
      </c>
      <c r="L96" s="3483">
        <f t="shared" ca="1" si="231"/>
        <v>-84.012298232129126</v>
      </c>
      <c r="M96" s="3483">
        <f t="shared" ca="1" si="231"/>
        <v>-74.442040185471399</v>
      </c>
      <c r="N96" s="3483">
        <f t="shared" ca="1" si="231"/>
        <v>-66.35706914344685</v>
      </c>
      <c r="O96" s="602" t="str">
        <f t="shared" si="231"/>
        <v/>
      </c>
      <c r="P96" s="556" t="str">
        <f ca="1">IF(ROUND(P47,2)=0,"ok","!")</f>
        <v>ok</v>
      </c>
      <c r="Q96" s="601">
        <f t="shared" ca="1" si="232"/>
        <v>453.68466152527844</v>
      </c>
      <c r="R96" s="3483">
        <f t="shared" ca="1" si="233"/>
        <v>2635.5769230769229</v>
      </c>
      <c r="S96" s="3483">
        <f t="shared" ca="1" si="234"/>
        <v>381.25302370585388</v>
      </c>
      <c r="T96" s="3483">
        <f ca="1">IF(T47="","",IF(N47=0,"N",(T47/N47-1)*100))</f>
        <v>-19.93865030674845</v>
      </c>
      <c r="U96" s="602" t="str">
        <f t="shared" si="235"/>
        <v/>
      </c>
      <c r="V96" s="556" t="str">
        <f ca="1">IF(ROUND(V47,2)=0,"ok","!")</f>
        <v>ok</v>
      </c>
      <c r="W96" s="601">
        <f t="shared" ca="1" si="236"/>
        <v>-77.234388299930359</v>
      </c>
      <c r="X96" s="3483">
        <f t="shared" ca="1" si="237"/>
        <v>-52.847100175746917</v>
      </c>
      <c r="Y96" s="3483">
        <f t="shared" ca="1" si="238"/>
        <v>-84.362905252576027</v>
      </c>
      <c r="Z96" s="3483">
        <f ca="1">IF(Z47="","",IF(T47=0,"N",(Z47/T47-1)*100))</f>
        <v>-65.517241379310349</v>
      </c>
      <c r="AA96" s="602" t="str">
        <f t="shared" si="239"/>
        <v/>
      </c>
      <c r="AB96" s="556" t="str">
        <f ca="1">IF(ROUND(AB47,2)=0,"ok","!")</f>
        <v>ok</v>
      </c>
      <c r="AC96" s="601">
        <f t="shared" ca="1" si="240"/>
        <v>-231.13528212100613</v>
      </c>
      <c r="AD96" s="3483">
        <f t="shared" ca="1" si="241"/>
        <v>-235.92992918374952</v>
      </c>
      <c r="AE96" s="3483">
        <f t="shared" ca="1" si="242"/>
        <v>-231.37254901960787</v>
      </c>
      <c r="AF96" s="3483">
        <f ca="1">IF(AF47="","",IF(Z47=0,"N",(AF47/Z47-1)*100))</f>
        <v>-81.111111111111114</v>
      </c>
      <c r="AG96" s="602" t="str">
        <f t="shared" si="243"/>
        <v/>
      </c>
      <c r="AH96" s="556" t="str">
        <f ca="1">IF(ROUND(AH47,2)=0,"ok","!")</f>
        <v>ok</v>
      </c>
      <c r="AI96" s="601">
        <f t="shared" ca="1" si="244"/>
        <v>-36.521513737687918</v>
      </c>
      <c r="AJ96" s="3483">
        <f t="shared" ca="1" si="245"/>
        <v>-99.533863449410475</v>
      </c>
      <c r="AK96" s="3483">
        <f t="shared" ca="1" si="246"/>
        <v>20.430633716662584</v>
      </c>
      <c r="AL96" s="3483">
        <f ca="1">IF(AL47="","",IF(AF47=0,"N",(AL47/AF47-1)*100))</f>
        <v>141.17647058823533</v>
      </c>
      <c r="AM96" s="602" t="str">
        <f t="shared" si="247"/>
        <v/>
      </c>
      <c r="AN96" s="556" t="str">
        <f ca="1">IF(ROUND(AN47,2)=0,"ok","!")</f>
        <v>ok</v>
      </c>
      <c r="AO96" s="601">
        <f t="shared" ca="1" si="248"/>
        <v>333.38097182523489</v>
      </c>
      <c r="AP96" s="3483">
        <f t="shared" ca="1" si="249"/>
        <v>61252.941176470464</v>
      </c>
      <c r="AQ96" s="3483">
        <f t="shared" ca="1" si="250"/>
        <v>124.19748069890288</v>
      </c>
      <c r="AR96" s="3483">
        <f ca="1">IF(AR47="","",IF(AL47=0,"N",(AR47/AL47-1)*100))</f>
        <v>480.48780487804868</v>
      </c>
      <c r="AS96" s="602" t="str">
        <f t="shared" si="251"/>
        <v/>
      </c>
      <c r="AT96" s="556" t="str">
        <f ca="1">IF(ROUND(AT47,2)=0,"ok","!")</f>
        <v>ok</v>
      </c>
      <c r="AU96" s="601">
        <f t="shared" ca="1" si="252"/>
        <v>-95.647053281198467</v>
      </c>
      <c r="AV96" s="3483">
        <f t="shared" ca="1" si="253"/>
        <v>-98.22627037392138</v>
      </c>
      <c r="AW96" s="3483">
        <f t="shared" ca="1" si="254"/>
        <v>-81.712732215677391</v>
      </c>
      <c r="AX96" s="3483">
        <f ca="1">IF(AX47="","",IF(AR47=0,"N",(AX47/AR47-1)*100))</f>
        <v>437.81512605042019</v>
      </c>
      <c r="AY96" s="602" t="str">
        <f t="shared" si="255"/>
        <v/>
      </c>
      <c r="AZ96" s="556" t="str">
        <f ca="1">IF(ROUND(AZ47,2)=0,"ok","!")</f>
        <v>ok</v>
      </c>
      <c r="BA96" s="601">
        <f t="shared" ca="1" si="256"/>
        <v>-572.1861471861472</v>
      </c>
      <c r="BB96" s="3483">
        <f t="shared" ca="1" si="257"/>
        <v>-568.10810810810801</v>
      </c>
      <c r="BC96" s="3483">
        <f t="shared" ca="1" si="258"/>
        <v>-259.81169474727454</v>
      </c>
      <c r="BD96" s="3483">
        <f ca="1">IF(BD47="","",IF(AX47=0,"N",(BD47/AX47-1)*100))</f>
        <v>-78.671875</v>
      </c>
      <c r="BE96" s="602" t="str">
        <f t="shared" si="259"/>
        <v/>
      </c>
      <c r="BF96" s="556" t="str">
        <f ca="1">IF(ROUND(BF47,2)=0,"ok","!")</f>
        <v>ok</v>
      </c>
      <c r="BG96" s="601">
        <f t="shared" ca="1" si="260"/>
        <v>-190.32775613110243</v>
      </c>
      <c r="BH96" s="3483">
        <f t="shared" ca="1" si="261"/>
        <v>66.859122401847571</v>
      </c>
      <c r="BI96" s="3483">
        <f t="shared" ca="1" si="262"/>
        <v>-290.66666666666669</v>
      </c>
      <c r="BJ96" s="3483">
        <f ca="1">IF(BJ47="","",IF(BD47=0,"N",(BJ47/BD47-1)*100))</f>
        <v>179.4871794871795</v>
      </c>
      <c r="BK96" s="602" t="str">
        <f t="shared" si="263"/>
        <v/>
      </c>
      <c r="BL96" s="556" t="str">
        <f ca="1">IF(ROUND(BL47,2)=0,"ok","!")</f>
        <v>ok</v>
      </c>
      <c r="BM96" s="601">
        <f t="shared" ca="1" si="264"/>
        <v>-456.40700329865524</v>
      </c>
      <c r="BN96" s="3483">
        <f t="shared" ca="1" si="265"/>
        <v>-374.60207612456753</v>
      </c>
      <c r="BO96" s="3483">
        <f t="shared" ca="1" si="266"/>
        <v>-377.39469832493086</v>
      </c>
      <c r="BP96" s="3483">
        <f ca="1">IF(BP47="","",IF(BJ47=0,"N",(BP47/BJ47-1)*100))</f>
        <v>25.425950196592417</v>
      </c>
      <c r="BQ96" s="602" t="str">
        <f t="shared" si="267"/>
        <v/>
      </c>
      <c r="BR96" s="556" t="str">
        <f ca="1">IF(ROUND(BR47,2)=0,"ok","!")</f>
        <v>ok</v>
      </c>
      <c r="BS96" s="601">
        <f t="shared" ca="1" si="268"/>
        <v>36.935782429161335</v>
      </c>
      <c r="BT96" s="3483">
        <f t="shared" ca="1" si="269"/>
        <v>-112.1975806451613</v>
      </c>
      <c r="BU96" s="3483">
        <f t="shared" ca="1" si="270"/>
        <v>-2.9899747904086227</v>
      </c>
      <c r="BV96" s="3483">
        <f ca="1">IF(BV47="","",IF(BP47=0,"N",(BV47/BP47-1)*100))</f>
        <v>130.19853709508885</v>
      </c>
      <c r="BW96" s="602" t="str">
        <f t="shared" si="271"/>
        <v/>
      </c>
      <c r="BX96" s="556" t="str">
        <f ca="1">IF(ROUND(BX47,2)=0,"ok","!")</f>
        <v>ok</v>
      </c>
      <c r="BY96" s="601">
        <f t="shared" ca="1" si="272"/>
        <v>433.47197670791297</v>
      </c>
      <c r="BZ96" s="3483">
        <f t="shared" ca="1" si="273"/>
        <v>853.92561983471114</v>
      </c>
      <c r="CA96" s="3483">
        <f t="shared" ca="1" si="274"/>
        <v>479.67607421284828</v>
      </c>
      <c r="CB96" s="3483">
        <f ca="1">IF(CB47="","",IF(BV47=0,"N",(CB47/BV47-1)*100))</f>
        <v>-5.9010440308669976</v>
      </c>
      <c r="CC96" s="602" t="str">
        <f t="shared" si="275"/>
        <v/>
      </c>
      <c r="CD96" s="556" t="str">
        <f ca="1">IF(ROUND(CD47,2)=0,"ok","!")</f>
        <v>ok</v>
      </c>
      <c r="CE96" s="601">
        <f t="shared" ca="1" si="276"/>
        <v>-41.063075003898319</v>
      </c>
      <c r="CF96" s="3483">
        <f t="shared" ca="1" si="277"/>
        <v>193.54559237600176</v>
      </c>
      <c r="CG96" s="3483">
        <f t="shared" ca="1" si="278"/>
        <v>-54.663830940689536</v>
      </c>
      <c r="CH96" s="3483">
        <f ca="1">IF(CH47="","",IF(CB47=0,"N",(CH47/CB47-1)*100))</f>
        <v>65.750120598166887</v>
      </c>
      <c r="CI96" s="602" t="str">
        <f t="shared" si="279"/>
        <v/>
      </c>
      <c r="CJ96" s="556" t="str">
        <f ca="1">IF(ROUND(CJ47,2)=0,"ok","!")</f>
        <v>ok</v>
      </c>
      <c r="CK96" s="601">
        <f t="shared" ca="1" si="280"/>
        <v>-344.46373648179377</v>
      </c>
      <c r="CL96" s="3483">
        <f t="shared" ca="1" si="281"/>
        <v>-141.9316756437689</v>
      </c>
      <c r="CM96" s="3483">
        <f t="shared" ca="1" si="282"/>
        <v>-428.76787931748146</v>
      </c>
      <c r="CN96" s="3483">
        <f ca="1">IF(CN47="","",IF(CH47=0,"N",(CN47/CH47-1)*100))</f>
        <v>-76.309662398137363</v>
      </c>
      <c r="CO96" s="602" t="str">
        <f t="shared" si="283"/>
        <v/>
      </c>
      <c r="CP96" s="556" t="str">
        <f ca="1">IF(ROUND(CP47,2)=0,"ok","!")</f>
        <v>ok</v>
      </c>
      <c r="CQ96" s="601">
        <f t="shared" ca="1" si="284"/>
        <v>-121.5541440911274</v>
      </c>
      <c r="CR96" s="3483">
        <f t="shared" ca="1" si="285"/>
        <v>-52.243533345064222</v>
      </c>
      <c r="CS96" s="3483">
        <f t="shared" ca="1" si="286"/>
        <v>-123.93822393822393</v>
      </c>
      <c r="CT96" s="3483">
        <f ca="1">IF(CT47="","",IF(CN47=0,"N",(CT47/CN47-1)*100))</f>
        <v>-56.388206388206399</v>
      </c>
      <c r="CU96" s="602" t="str">
        <f t="shared" si="287"/>
        <v/>
      </c>
      <c r="CV96" s="556" t="str">
        <f ca="1">IF(ROUND(CV47,2)=0,"ok","!")</f>
        <v>ok</v>
      </c>
      <c r="CW96" s="601">
        <f t="shared" ca="1" si="288"/>
        <v>217.18186097599252</v>
      </c>
      <c r="CX96" s="3483">
        <f t="shared" ca="1" si="289"/>
        <v>-338.83566691230646</v>
      </c>
      <c r="CY96" s="3483">
        <f t="shared" ca="1" si="290"/>
        <v>175.02921926133715</v>
      </c>
      <c r="CZ96" s="3483">
        <f ca="1">IF(CZ47="","",IF(CT47=0,"N",(CZ47/CT47-1)*100))</f>
        <v>30.140845070422539</v>
      </c>
      <c r="DA96" s="602" t="str">
        <f t="shared" si="291"/>
        <v/>
      </c>
      <c r="DB96" s="556" t="str">
        <f ca="1">IF(ROUND(DB47,2)=0,"ok","!")</f>
        <v>ok</v>
      </c>
      <c r="DC96" s="601">
        <f t="shared" ca="1" si="292"/>
        <v>-33.430295834570103</v>
      </c>
      <c r="DD96" s="3483">
        <f t="shared" ca="1" si="293"/>
        <v>36.31595186670782</v>
      </c>
      <c r="DE96" s="3483">
        <f t="shared" ca="1" si="294"/>
        <v>-38.577013790026136</v>
      </c>
      <c r="DF96" s="3483">
        <f ca="1">IF(DF47="","",IF(CZ47=0,"N",(DF47/CZ47-1)*100))</f>
        <v>36.580086580086579</v>
      </c>
      <c r="DG96" s="602" t="str">
        <f t="shared" si="295"/>
        <v/>
      </c>
      <c r="DH96" s="556" t="str">
        <f ca="1">IF(ROUND(DH47,2)=0,"ok","!")</f>
        <v>ok</v>
      </c>
      <c r="DI96" s="601">
        <f t="shared" ca="1" si="296"/>
        <v>-48.151065663921997</v>
      </c>
      <c r="DJ96" s="3483">
        <f t="shared" ca="1" si="297"/>
        <v>16.976007243096426</v>
      </c>
      <c r="DK96" s="3483">
        <f t="shared" ca="1" si="298"/>
        <v>-59.199169765631751</v>
      </c>
      <c r="DL96" s="3483">
        <f ca="1">IF(DL47="","",IF(DF47=0,"N",(DL47/DF47-1)*100))</f>
        <v>52.139461172741683</v>
      </c>
      <c r="DM96" s="602" t="str">
        <f t="shared" si="299"/>
        <v/>
      </c>
      <c r="DN96" s="556" t="str">
        <f ca="1">IF(ROUND(DN47,2)=0,"ok","!")</f>
        <v>ok</v>
      </c>
      <c r="DO96" s="601">
        <f t="shared" ca="1" si="300"/>
        <v>-84.772824996416801</v>
      </c>
      <c r="DP96" s="3483">
        <f t="shared" ca="1" si="301"/>
        <v>-87.451625386996895</v>
      </c>
      <c r="DQ96" s="3483">
        <f t="shared" ca="1" si="302"/>
        <v>-88.320827504345246</v>
      </c>
      <c r="DR96" s="3483">
        <f ca="1">IF(DR47="","",IF(DL47=0,"N",(DR47/DL47-1)*100))</f>
        <v>31.250000000000021</v>
      </c>
      <c r="DS96" s="602" t="str">
        <f t="shared" si="303"/>
        <v/>
      </c>
      <c r="DT96" s="556" t="str">
        <f ca="1">IF(ROUND(DT47,2)=0,"ok","!")</f>
        <v>ok</v>
      </c>
      <c r="DU96" s="601">
        <f t="shared" ca="1" si="304"/>
        <v>612.48117469879526</v>
      </c>
      <c r="DV96" s="3483">
        <f t="shared" ca="1" si="305"/>
        <v>123.20740169622204</v>
      </c>
      <c r="DW96" s="3483">
        <f t="shared" ca="1" si="306"/>
        <v>994.04718693284974</v>
      </c>
      <c r="DX96" s="3483">
        <f ca="1">IF(DX47="","",IF(DR47=0,"N",(DX47/DR47-1)*100))</f>
        <v>281.82539682539681</v>
      </c>
      <c r="DY96" s="602" t="str">
        <f t="shared" si="307"/>
        <v/>
      </c>
      <c r="DZ96" s="556" t="str">
        <f ca="1">IF(ROUND(DZ47,2)=0,"ok","!")</f>
        <v>ok</v>
      </c>
      <c r="EA96" s="601">
        <f t="shared" ca="1" si="308"/>
        <v>-270.68195629772504</v>
      </c>
      <c r="EB96" s="3483">
        <f t="shared" ca="1" si="309"/>
        <v>-114.88773747841105</v>
      </c>
      <c r="EC96" s="3483">
        <f t="shared" ca="1" si="310"/>
        <v>-325.87837165322975</v>
      </c>
      <c r="ED96" s="3483">
        <f ca="1">IF(ED47="","",IF(DX47=0,"N",(ED47/DX47-1)*100))</f>
        <v>-18.623986697152361</v>
      </c>
      <c r="EE96" s="602" t="str">
        <f t="shared" si="311"/>
        <v/>
      </c>
      <c r="EF96" s="556" t="str">
        <f ca="1">IF(ROUND(EF47,2)=0,"ok","!")</f>
        <v>ok</v>
      </c>
      <c r="EG96" s="601">
        <f t="shared" ca="1" si="312"/>
        <v>0</v>
      </c>
      <c r="EH96" s="3483">
        <f t="shared" ca="1" si="313"/>
        <v>0</v>
      </c>
      <c r="EI96" s="3483">
        <f t="shared" ca="1" si="314"/>
        <v>0</v>
      </c>
      <c r="EJ96" s="3483">
        <f ca="1">IF(EJ47="","",IF(ED47=0,"N",(EJ47/ED47-1)*100))</f>
        <v>0</v>
      </c>
      <c r="EK96" s="602" t="str">
        <f t="shared" si="315"/>
        <v/>
      </c>
      <c r="EL96" s="556" t="str">
        <f ca="1">IF(ROUND(EL47,2)=0,"ok","!")</f>
        <v>ok</v>
      </c>
      <c r="EM96" s="601">
        <f t="shared" ca="1" si="316"/>
        <v>0</v>
      </c>
      <c r="EN96" s="3483">
        <f t="shared" ca="1" si="317"/>
        <v>0</v>
      </c>
      <c r="EO96" s="3483">
        <f t="shared" ca="1" si="318"/>
        <v>0</v>
      </c>
      <c r="EP96" s="3483">
        <f ca="1">IF(EP47="","",IF(EJ47=0,"N",(EP47/EJ47-1)*100))</f>
        <v>0</v>
      </c>
      <c r="EQ96" s="602" t="str">
        <f t="shared" si="319"/>
        <v/>
      </c>
      <c r="ER96" s="556" t="str">
        <f ca="1">IF(ROUND(ER47,2)=0,"ok","!")</f>
        <v>ok</v>
      </c>
      <c r="ES96" s="601">
        <f t="shared" ca="1" si="320"/>
        <v>0</v>
      </c>
      <c r="ET96" s="3483">
        <f t="shared" ca="1" si="321"/>
        <v>0</v>
      </c>
      <c r="EU96" s="3483">
        <f t="shared" ca="1" si="322"/>
        <v>0</v>
      </c>
      <c r="EV96" s="3483">
        <f ca="1">IF(EV47="","",IF(EP47=0,"N",(EV47/EP47-1)*100))</f>
        <v>0</v>
      </c>
      <c r="EW96" s="602" t="str">
        <f t="shared" si="323"/>
        <v/>
      </c>
      <c r="EX96" s="556" t="str">
        <f ca="1">IF(ROUND(EX47,2)=0,"ok","!")</f>
        <v>ok</v>
      </c>
    </row>
    <row r="97" spans="2:154">
      <c r="B97" s="608" t="s">
        <v>1769</v>
      </c>
      <c r="C97" s="3778" t="s">
        <v>378</v>
      </c>
      <c r="D97" s="3778"/>
      <c r="E97" s="3484"/>
      <c r="F97" s="3484"/>
      <c r="G97" s="3484"/>
      <c r="H97" s="3484"/>
      <c r="I97" s="3484"/>
      <c r="J97" s="556"/>
      <c r="K97" s="3484">
        <f t="shared" ca="1" si="231"/>
        <v>9.7488472869960532</v>
      </c>
      <c r="L97" s="3484">
        <f t="shared" ca="1" si="231"/>
        <v>62.042012701514636</v>
      </c>
      <c r="M97" s="3484">
        <f t="shared" ca="1" si="231"/>
        <v>-63.51400597653096</v>
      </c>
      <c r="N97" s="3484">
        <f t="shared" ca="1" si="231"/>
        <v>162.80076596453216</v>
      </c>
      <c r="O97" s="3484" t="e">
        <f t="shared" ca="1" si="231"/>
        <v>#VALUE!</v>
      </c>
      <c r="P97" s="556" t="e">
        <f ca="1">IF(ROUND(P48,2)=0,"ok","!")</f>
        <v>#VALUE!</v>
      </c>
      <c r="Q97" s="3484">
        <f t="shared" ca="1" si="232"/>
        <v>36.282653184061317</v>
      </c>
      <c r="R97" s="3484">
        <f t="shared" ca="1" si="233"/>
        <v>-431.86340340395225</v>
      </c>
      <c r="S97" s="3484">
        <f t="shared" ca="1" si="234"/>
        <v>542.52896524170637</v>
      </c>
      <c r="T97" s="3484">
        <f ca="1">IF(T48="","",IF(N48=0,"N",(T48/N48-1)*100))</f>
        <v>336.5626485030881</v>
      </c>
      <c r="U97" s="3484" t="e">
        <f t="shared" ca="1" si="235"/>
        <v>#VALUE!</v>
      </c>
      <c r="V97" s="556" t="e">
        <f ca="1">IF(ROUND(V48,2)=0,"ok","!")</f>
        <v>#VALUE!</v>
      </c>
      <c r="W97" s="3484">
        <f t="shared" ca="1" si="236"/>
        <v>33.011218090275143</v>
      </c>
      <c r="X97" s="3484">
        <f t="shared" ca="1" si="237"/>
        <v>-95.837703469406534</v>
      </c>
      <c r="Y97" s="3484">
        <f t="shared" ca="1" si="238"/>
        <v>20.352349862687326</v>
      </c>
      <c r="Z97" s="3484">
        <f ca="1">IF(Z48="","",IF(T48=0,"N",(Z48/T48-1)*100))</f>
        <v>-71.344184730154339</v>
      </c>
      <c r="AA97" s="3484" t="e">
        <f t="shared" ca="1" si="239"/>
        <v>#VALUE!</v>
      </c>
      <c r="AB97" s="556" t="e">
        <f ca="1">IF(ROUND(AB48,2)=0,"ok","!")</f>
        <v>#VALUE!</v>
      </c>
      <c r="AC97" s="3484">
        <f t="shared" ca="1" si="240"/>
        <v>-9.5496141637116274</v>
      </c>
      <c r="AD97" s="3484">
        <f t="shared" ca="1" si="241"/>
        <v>-61.369047619045233</v>
      </c>
      <c r="AE97" s="3484">
        <f t="shared" ca="1" si="242"/>
        <v>-11.933628394785345</v>
      </c>
      <c r="AF97" s="3484">
        <f ca="1">IF(AF48="","",IF(Z48=0,"N",(AF48/Z48-1)*100))</f>
        <v>-9.1546799027552357</v>
      </c>
      <c r="AG97" s="3484" t="e">
        <f t="shared" ca="1" si="243"/>
        <v>#VALUE!</v>
      </c>
      <c r="AH97" s="556" t="e">
        <f ca="1">IF(ROUND(AH48,2)=0,"ok","!")</f>
        <v>#VALUE!</v>
      </c>
      <c r="AI97" s="3484">
        <f t="shared" ca="1" si="244"/>
        <v>-42.771031262389734</v>
      </c>
      <c r="AJ97" s="3484">
        <f t="shared" ca="1" si="245"/>
        <v>1344.4786851566403</v>
      </c>
      <c r="AK97" s="3484">
        <f t="shared" ca="1" si="246"/>
        <v>-37.916401857736595</v>
      </c>
      <c r="AL97" s="3484">
        <f ca="1">IF(AL48="","",IF(AF48=0,"N",(AL48/AF48-1)*100))</f>
        <v>18.682574638307138</v>
      </c>
      <c r="AM97" s="3484" t="e">
        <f t="shared" ca="1" si="247"/>
        <v>#VALUE!</v>
      </c>
      <c r="AN97" s="556" t="e">
        <f ca="1">IF(ROUND(AN48,2)=0,"ok","!")</f>
        <v>#VALUE!</v>
      </c>
      <c r="AO97" s="3484">
        <f t="shared" ca="1" si="248"/>
        <v>-13.817080836978423</v>
      </c>
      <c r="AP97" s="3484">
        <f t="shared" ca="1" si="249"/>
        <v>-87.651116484142733</v>
      </c>
      <c r="AQ97" s="3484">
        <f t="shared" ca="1" si="250"/>
        <v>-67.572760488849653</v>
      </c>
      <c r="AR97" s="3484">
        <f ca="1">IF(AR48="","",IF(AL48=0,"N",(AR48/AL48-1)*100))</f>
        <v>17.580739870816387</v>
      </c>
      <c r="AS97" s="3484" t="e">
        <f t="shared" ca="1" si="251"/>
        <v>#VALUE!</v>
      </c>
      <c r="AT97" s="556" t="e">
        <f ca="1">IF(ROUND(AT48,2)=0,"ok","!")</f>
        <v>#VALUE!</v>
      </c>
      <c r="AU97" s="3484">
        <f t="shared" ca="1" si="252"/>
        <v>8.907810709021291</v>
      </c>
      <c r="AV97" s="3484">
        <f t="shared" ca="1" si="253"/>
        <v>-245.66657068817523</v>
      </c>
      <c r="AW97" s="3484">
        <f t="shared" ca="1" si="254"/>
        <v>93.783389995142556</v>
      </c>
      <c r="AX97" s="3484">
        <f ca="1">IF(AX48="","",IF(AR48=0,"N",(AX48/AR48-1)*100))</f>
        <v>-43.661606072712878</v>
      </c>
      <c r="AY97" s="3484" t="e">
        <f t="shared" ca="1" si="255"/>
        <v>#VALUE!</v>
      </c>
      <c r="AZ97" s="556" t="e">
        <f ca="1">IF(ROUND(AZ48,2)=0,"ok","!")</f>
        <v>#VALUE!</v>
      </c>
      <c r="BA97" s="3484">
        <f t="shared" ca="1" si="256"/>
        <v>46.322494225065512</v>
      </c>
      <c r="BB97" s="3484">
        <f t="shared" ca="1" si="257"/>
        <v>765.64538446335371</v>
      </c>
      <c r="BC97" s="3484">
        <f t="shared" ca="1" si="258"/>
        <v>5.7243107769421542</v>
      </c>
      <c r="BD97" s="3484">
        <f ca="1">IF(BD48="","",IF(AX48=0,"N",(BD48/AX48-1)*100))</f>
        <v>-25.273907031166942</v>
      </c>
      <c r="BE97" s="3484" t="e">
        <f t="shared" ca="1" si="259"/>
        <v>#VALUE!</v>
      </c>
      <c r="BF97" s="556" t="e">
        <f ca="1">IF(ROUND(BF48,2)=0,"ok","!")</f>
        <v>#VALUE!</v>
      </c>
      <c r="BG97" s="3484">
        <f t="shared" ca="1" si="260"/>
        <v>13.911126472429602</v>
      </c>
      <c r="BH97" s="3484">
        <f t="shared" ca="1" si="261"/>
        <v>-174.63293220377648</v>
      </c>
      <c r="BI97" s="3484">
        <f t="shared" ca="1" si="262"/>
        <v>206.36023136734508</v>
      </c>
      <c r="BJ97" s="3484">
        <f ca="1">IF(BJ48="","",IF(BD48=0,"N",(BJ48/BD48-1)*100))</f>
        <v>20.483985765124778</v>
      </c>
      <c r="BK97" s="3484" t="e">
        <f t="shared" ca="1" si="263"/>
        <v>#VALUE!</v>
      </c>
      <c r="BL97" s="556" t="e">
        <f ca="1">IF(ROUND(BL48,2)=0,"ok","!")</f>
        <v>#VALUE!</v>
      </c>
      <c r="BM97" s="3484">
        <f t="shared" ca="1" si="264"/>
        <v>4.5685279187816841</v>
      </c>
      <c r="BN97" s="3484">
        <f t="shared" ca="1" si="265"/>
        <v>-101.68584016644331</v>
      </c>
      <c r="BO97" s="3484">
        <f t="shared" ca="1" si="266"/>
        <v>-7.334700352071966</v>
      </c>
      <c r="BP97" s="3484">
        <f ca="1">IF(BP48="","",IF(BJ48=0,"N",(BP48/BJ48-1)*100))</f>
        <v>-71.617044738500041</v>
      </c>
      <c r="BQ97" s="3484" t="e">
        <f t="shared" ca="1" si="267"/>
        <v>#VALUE!</v>
      </c>
      <c r="BR97" s="556" t="e">
        <f ca="1">IF(ROUND(BR48,2)=0,"ok","!")</f>
        <v>#VALUE!</v>
      </c>
      <c r="BS97" s="3484">
        <f t="shared" ca="1" si="268"/>
        <v>64.540364195304221</v>
      </c>
      <c r="BT97" s="3484">
        <f t="shared" ca="1" si="269"/>
        <v>-4848.4573502693593</v>
      </c>
      <c r="BU97" s="3484">
        <f t="shared" ca="1" si="270"/>
        <v>91.576204950065559</v>
      </c>
      <c r="BV97" s="3484">
        <f ca="1">IF(BV48="","",IF(BP48=0,"N",(BV48/BP48-1)*100))</f>
        <v>-9.0883862911037454</v>
      </c>
      <c r="BW97" s="3484" t="e">
        <f t="shared" ca="1" si="271"/>
        <v>#VALUE!</v>
      </c>
      <c r="BX97" s="556" t="e">
        <f ca="1">IF(ROUND(BX48,2)=0,"ok","!")</f>
        <v>#VALUE!</v>
      </c>
      <c r="BY97" s="3484">
        <f t="shared" ca="1" si="272"/>
        <v>77.375459935560471</v>
      </c>
      <c r="BZ97" s="3484">
        <f t="shared" ca="1" si="273"/>
        <v>-590.15441064057723</v>
      </c>
      <c r="CA97" s="3484">
        <f t="shared" ca="1" si="274"/>
        <v>-4.0043761768604913</v>
      </c>
      <c r="CB97" s="3484">
        <f ca="1">IF(CB48="","",IF(BV48=0,"N",(CB48/BV48-1)*100))</f>
        <v>261.35531135530118</v>
      </c>
      <c r="CC97" s="3484" t="e">
        <f t="shared" ca="1" si="275"/>
        <v>#VALUE!</v>
      </c>
      <c r="CD97" s="556" t="e">
        <f ca="1">IF(ROUND(CD48,2)=0,"ok","!")</f>
        <v>#VALUE!</v>
      </c>
      <c r="CE97" s="3484">
        <f t="shared" ca="1" si="276"/>
        <v>-1.0326342518574227</v>
      </c>
      <c r="CF97" s="3484">
        <f t="shared" ca="1" si="277"/>
        <v>2.4718505349179631</v>
      </c>
      <c r="CG97" s="3484">
        <f t="shared" ca="1" si="278"/>
        <v>-38.204298097049993</v>
      </c>
      <c r="CH97" s="3484">
        <f ca="1">IF(CH48="","",IF(CB48=0,"N",(CH48/CB48-1)*100))</f>
        <v>325.75603987159656</v>
      </c>
      <c r="CI97" s="3484" t="e">
        <f t="shared" ca="1" si="279"/>
        <v>#VALUE!</v>
      </c>
      <c r="CJ97" s="556" t="str">
        <f ca="1">IF(ROUND(CJ48,2)=0,"ok","!")</f>
        <v>!</v>
      </c>
      <c r="CK97" s="3484">
        <f t="shared" ca="1" si="280"/>
        <v>-147.05304198614235</v>
      </c>
      <c r="CL97" s="3484">
        <f t="shared" ca="1" si="281"/>
        <v>-107.27471958847646</v>
      </c>
      <c r="CM97" s="3484">
        <f t="shared" ca="1" si="282"/>
        <v>-400.52168673813549</v>
      </c>
      <c r="CN97" s="3484">
        <f ca="1">IF(CN48="","",IF(CH48=0,"N",(CN48/CH48-1)*100))</f>
        <v>143.30866451062568</v>
      </c>
      <c r="CO97" s="3484">
        <f t="shared" ca="1" si="283"/>
        <v>-144.95753474126286</v>
      </c>
      <c r="CP97" s="556" t="str">
        <f ca="1">IF(ROUND(CP48,2)=0,"ok","!")</f>
        <v>!</v>
      </c>
      <c r="CQ97" s="3484">
        <f t="shared" ca="1" si="284"/>
        <v>-44.071620639116148</v>
      </c>
      <c r="CR97" s="3484">
        <f t="shared" ca="1" si="285"/>
        <v>551.97698744766546</v>
      </c>
      <c r="CS97" s="3484">
        <f t="shared" ca="1" si="286"/>
        <v>-44.252948036801968</v>
      </c>
      <c r="CT97" s="3484">
        <f ca="1">IF(CT48="","",IF(CN48=0,"N",(CT48/CN48-1)*100))</f>
        <v>-21.140830139443889</v>
      </c>
      <c r="CU97" s="3484">
        <f t="shared" ca="1" si="287"/>
        <v>-46.891418303414632</v>
      </c>
      <c r="CV97" s="556" t="str">
        <f ca="1">IF(ROUND(CV48,2)=0,"ok","!")</f>
        <v>!</v>
      </c>
      <c r="CW97" s="3484">
        <f t="shared" ca="1" si="288"/>
        <v>-119.98968274438944</v>
      </c>
      <c r="CX97" s="3484">
        <f t="shared" ca="1" si="289"/>
        <v>73.728120136695409</v>
      </c>
      <c r="CY97" s="3484">
        <f t="shared" ca="1" si="290"/>
        <v>-33.363595694849892</v>
      </c>
      <c r="CZ97" s="3484">
        <f ca="1">IF(CZ48="","",IF(CT48=0,"N",(CZ48/CT48-1)*100))</f>
        <v>44.559743549971408</v>
      </c>
      <c r="DA97" s="3484">
        <f t="shared" ca="1" si="291"/>
        <v>-129.22427121378476</v>
      </c>
      <c r="DB97" s="556" t="str">
        <f ca="1">IF(ROUND(DB48,2)=0,"ok","!")</f>
        <v>!</v>
      </c>
      <c r="DC97" s="3484">
        <f t="shared" ca="1" si="292"/>
        <v>-434.62193548388262</v>
      </c>
      <c r="DD97" s="3484">
        <f t="shared" ca="1" si="293"/>
        <v>-158.5179575741345</v>
      </c>
      <c r="DE97" s="3484">
        <f t="shared" ca="1" si="294"/>
        <v>53.417579886135201</v>
      </c>
      <c r="DF97" s="3484">
        <f ca="1">IF(DF48="","",IF(CZ48=0,"N",(DF48/CZ48-1)*100))</f>
        <v>-62.482250986254996</v>
      </c>
      <c r="DG97" s="3484">
        <f t="shared" ca="1" si="295"/>
        <v>-333.06881349434531</v>
      </c>
      <c r="DH97" s="556" t="str">
        <f ca="1">IF(ROUND(DH48,2)=0,"ok","!")</f>
        <v>!</v>
      </c>
      <c r="DI97" s="3484">
        <f t="shared" ca="1" si="296"/>
        <v>144.7457313405221</v>
      </c>
      <c r="DJ97" s="3484">
        <f t="shared" ca="1" si="297"/>
        <v>19.827980746467965</v>
      </c>
      <c r="DK97" s="3484">
        <f t="shared" ca="1" si="298"/>
        <v>39.791501319204528</v>
      </c>
      <c r="DL97" s="3484">
        <f ca="1">IF(DL48="","",IF(DF48=0,"N",(DL48/DF48-1)*100))</f>
        <v>-13.018484799374752</v>
      </c>
      <c r="DM97" s="3484">
        <f t="shared" ca="1" si="299"/>
        <v>153.8160405289816</v>
      </c>
      <c r="DN97" s="556" t="str">
        <f ca="1">IF(ROUND(DN48,2)=0,"ok","!")</f>
        <v>!</v>
      </c>
      <c r="DO97" s="3484">
        <f t="shared" ca="1" si="300"/>
        <v>53.180695253220357</v>
      </c>
      <c r="DP97" s="3484">
        <f t="shared" ca="1" si="301"/>
        <v>30.743194299938324</v>
      </c>
      <c r="DQ97" s="3484">
        <f t="shared" ca="1" si="302"/>
        <v>11.987834781354522</v>
      </c>
      <c r="DR97" s="3484">
        <f ca="1">IF(DR48="","",IF(DL48=0,"N",(DR48/DL48-1)*100))</f>
        <v>-75.256737650836698</v>
      </c>
      <c r="DS97" s="3484">
        <f t="shared" ca="1" si="303"/>
        <v>55.352861123712252</v>
      </c>
      <c r="DT97" s="556" t="str">
        <f ca="1">IF(ROUND(DT48,2)=0,"ok","!")</f>
        <v>!</v>
      </c>
      <c r="DU97" s="3484">
        <f t="shared" ca="1" si="304"/>
        <v>-85.195074487474159</v>
      </c>
      <c r="DV97" s="3484">
        <f t="shared" ca="1" si="305"/>
        <v>44.814247723426881</v>
      </c>
      <c r="DW97" s="3484">
        <f t="shared" ca="1" si="306"/>
        <v>-48.232024970609054</v>
      </c>
      <c r="DX97" s="3484">
        <f ca="1">IF(DX48="","",IF(DR48=0,"N",(DX48/DR48-1)*100))</f>
        <v>-59.421509567682826</v>
      </c>
      <c r="DY97" s="3484">
        <f t="shared" ca="1" si="307"/>
        <v>-86.243821044947396</v>
      </c>
      <c r="DZ97" s="556" t="str">
        <f ca="1">IF(ROUND(DZ48,2)=0,"ok","!")</f>
        <v>!</v>
      </c>
      <c r="EA97" s="3484">
        <f t="shared" ca="1" si="308"/>
        <v>-7.4725580102831035</v>
      </c>
      <c r="EB97" s="3484">
        <f t="shared" ca="1" si="309"/>
        <v>20.002782415136465</v>
      </c>
      <c r="EC97" s="3484">
        <f t="shared" ca="1" si="310"/>
        <v>3.4980360602626881</v>
      </c>
      <c r="ED97" s="3484">
        <f ca="1">IF(ED48="","",IF(DX48=0,"N",(ED48/DX48-1)*100))</f>
        <v>-212.41130880908256</v>
      </c>
      <c r="EE97" s="3484">
        <f t="shared" ca="1" si="311"/>
        <v>-4.8730933681046302</v>
      </c>
      <c r="EF97" s="556" t="str">
        <f ca="1">IF(ROUND(EF48,2)=0,"ok","!")</f>
        <v>!</v>
      </c>
      <c r="EG97" s="3484">
        <f t="shared" ca="1" si="312"/>
        <v>91.235225852953519</v>
      </c>
      <c r="EH97" s="3484">
        <f t="shared" ca="1" si="313"/>
        <v>18.337740544682024</v>
      </c>
      <c r="EI97" s="3484">
        <f t="shared" ca="1" si="314"/>
        <v>19.844774329220982</v>
      </c>
      <c r="EJ97" s="3484">
        <f ca="1">IF(EJ48="","",IF(ED48=0,"N",(EJ48/ED48-1)*100))</f>
        <v>225.4108536420961</v>
      </c>
      <c r="EK97" s="3484">
        <f t="shared" ca="1" si="315"/>
        <v>80.327321644882076</v>
      </c>
      <c r="EL97" s="556" t="str">
        <f ca="1">IF(ROUND(EL48,2)=0,"ok","!")</f>
        <v>!</v>
      </c>
      <c r="EM97" s="3484">
        <f t="shared" ca="1" si="316"/>
        <v>-50.787397514596776</v>
      </c>
      <c r="EN97" s="3484">
        <f t="shared" ca="1" si="317"/>
        <v>10.499205342527107</v>
      </c>
      <c r="EO97" s="3484">
        <f t="shared" ca="1" si="318"/>
        <v>-3.2011768796571749</v>
      </c>
      <c r="EP97" s="3484">
        <f ca="1">IF(EP48="","",IF(EJ48=0,"N",(EP48/EJ48-1)*100))</f>
        <v>-10.15570065593373</v>
      </c>
      <c r="EQ97" s="3484">
        <f t="shared" ca="1" si="319"/>
        <v>-43.372895130339316</v>
      </c>
      <c r="ER97" s="556" t="str">
        <f ca="1">IF(ROUND(ER48,2)=0,"ok","!")</f>
        <v>!</v>
      </c>
      <c r="ES97" s="3484">
        <f t="shared" ca="1" si="320"/>
        <v>-26.528576361491229</v>
      </c>
      <c r="ET97" s="3484">
        <f t="shared" ca="1" si="321"/>
        <v>9.0079609911443157</v>
      </c>
      <c r="EU97" s="3484">
        <f t="shared" ca="1" si="322"/>
        <v>6.1823573854423497</v>
      </c>
      <c r="EV97" s="3484">
        <f ca="1">IF(EV48="","",IF(EP48=0,"N",(EV48/EP48-1)*100))</f>
        <v>-6.6914264421039205</v>
      </c>
      <c r="EW97" s="3484">
        <f t="shared" ca="1" si="323"/>
        <v>-25.806323878184589</v>
      </c>
      <c r="EX97" s="556" t="str">
        <f ca="1">IF(ROUND(EX48,2)=0,"ok","!")</f>
        <v>!</v>
      </c>
    </row>
    <row r="98" spans="2:154">
      <c r="B98" s="3465"/>
      <c r="C98" s="3779"/>
      <c r="D98" s="3780"/>
      <c r="E98" s="592"/>
      <c r="F98" s="3485"/>
      <c r="G98" s="3485"/>
      <c r="H98" s="3485"/>
      <c r="I98" s="3485"/>
      <c r="J98" s="592"/>
      <c r="K98" s="592"/>
      <c r="L98" s="3485"/>
      <c r="M98" s="3485"/>
      <c r="N98" s="3485"/>
      <c r="O98" s="3485"/>
      <c r="P98" s="592"/>
      <c r="Q98" s="592"/>
      <c r="R98" s="3485"/>
      <c r="S98" s="3485"/>
      <c r="T98" s="3485"/>
      <c r="U98" s="3485"/>
      <c r="V98" s="592"/>
      <c r="W98" s="592"/>
      <c r="X98" s="3485"/>
      <c r="Y98" s="3485"/>
      <c r="Z98" s="3485"/>
      <c r="AA98" s="3485"/>
      <c r="AB98" s="592"/>
      <c r="AC98" s="592"/>
      <c r="AD98" s="3485"/>
      <c r="AE98" s="3485"/>
      <c r="AF98" s="3485"/>
      <c r="AG98" s="3485"/>
      <c r="AH98" s="592"/>
      <c r="AI98" s="592"/>
      <c r="AJ98" s="3485"/>
      <c r="AK98" s="3485"/>
      <c r="AL98" s="3485"/>
      <c r="AM98" s="3485"/>
      <c r="AN98" s="592"/>
      <c r="AO98" s="592"/>
      <c r="AP98" s="3485"/>
      <c r="AQ98" s="3485"/>
      <c r="AR98" s="3485"/>
      <c r="AS98" s="3485"/>
      <c r="AT98" s="592"/>
      <c r="AU98" s="592"/>
      <c r="AV98" s="3485"/>
      <c r="AW98" s="3485"/>
      <c r="AX98" s="3485"/>
      <c r="AY98" s="3485"/>
      <c r="AZ98" s="592"/>
      <c r="BA98" s="592"/>
      <c r="BB98" s="3485"/>
      <c r="BC98" s="3485"/>
      <c r="BD98" s="3485"/>
      <c r="BE98" s="3485"/>
      <c r="BF98" s="592"/>
      <c r="BG98" s="592"/>
      <c r="BH98" s="3485"/>
      <c r="BI98" s="3485"/>
      <c r="BJ98" s="3485"/>
      <c r="BK98" s="3485"/>
      <c r="BL98" s="592"/>
      <c r="BM98" s="592"/>
      <c r="BN98" s="3485"/>
      <c r="BO98" s="3485"/>
      <c r="BP98" s="3485"/>
      <c r="BQ98" s="3485"/>
      <c r="BR98" s="592"/>
      <c r="BS98" s="592"/>
      <c r="BT98" s="3485"/>
      <c r="BU98" s="3485"/>
      <c r="BV98" s="3485"/>
      <c r="BW98" s="3485"/>
      <c r="BX98" s="592"/>
      <c r="BY98" s="592"/>
      <c r="BZ98" s="3485"/>
      <c r="CA98" s="3485"/>
      <c r="CB98" s="3485"/>
      <c r="CC98" s="3485"/>
      <c r="CD98" s="592"/>
      <c r="CE98" s="592"/>
      <c r="CF98" s="3485"/>
      <c r="CG98" s="3485"/>
      <c r="CH98" s="3485"/>
      <c r="CI98" s="3485"/>
      <c r="CJ98" s="592"/>
      <c r="CK98" s="592"/>
      <c r="CL98" s="3485"/>
      <c r="CM98" s="3485"/>
      <c r="CN98" s="3485"/>
      <c r="CO98" s="3485"/>
      <c r="CP98" s="592"/>
      <c r="CQ98" s="592"/>
      <c r="CR98" s="3485"/>
      <c r="CS98" s="3485"/>
      <c r="CT98" s="3485"/>
      <c r="CU98" s="3485"/>
      <c r="CV98" s="592"/>
      <c r="CW98" s="592"/>
      <c r="CX98" s="3485"/>
      <c r="CY98" s="3485"/>
      <c r="CZ98" s="3485"/>
      <c r="DA98" s="3485"/>
      <c r="DB98" s="592"/>
      <c r="DC98" s="592"/>
      <c r="DD98" s="3485"/>
      <c r="DE98" s="3485"/>
      <c r="DF98" s="3485"/>
      <c r="DG98" s="3485"/>
      <c r="DH98" s="592"/>
      <c r="DI98" s="592"/>
      <c r="DJ98" s="3485"/>
      <c r="DK98" s="3485"/>
      <c r="DL98" s="3485"/>
      <c r="DM98" s="3485"/>
      <c r="DN98" s="592"/>
      <c r="DO98" s="592"/>
      <c r="DP98" s="3485"/>
      <c r="DQ98" s="3485"/>
      <c r="DR98" s="3485"/>
      <c r="DS98" s="3485"/>
      <c r="DT98" s="592"/>
      <c r="DU98" s="592"/>
      <c r="DV98" s="3485"/>
      <c r="DW98" s="3485"/>
      <c r="DX98" s="3485"/>
      <c r="DY98" s="3485"/>
      <c r="DZ98" s="592"/>
      <c r="EA98" s="592"/>
      <c r="EB98" s="3485"/>
      <c r="EC98" s="3485"/>
      <c r="ED98" s="3485"/>
      <c r="EE98" s="3485"/>
      <c r="EF98" s="592"/>
      <c r="EG98" s="592"/>
      <c r="EH98" s="3485"/>
      <c r="EI98" s="3485"/>
      <c r="EJ98" s="3485"/>
      <c r="EK98" s="3485"/>
      <c r="EL98" s="592"/>
      <c r="EM98" s="592"/>
      <c r="EN98" s="3485"/>
      <c r="EO98" s="3485"/>
      <c r="EP98" s="3485"/>
      <c r="EQ98" s="3485"/>
      <c r="ER98" s="592"/>
      <c r="ES98" s="592"/>
      <c r="ET98" s="3485"/>
      <c r="EU98" s="3485"/>
      <c r="EV98" s="3485"/>
      <c r="EW98" s="3485"/>
      <c r="EX98" s="592"/>
    </row>
    <row r="99" spans="2:154" ht="60" customHeight="1">
      <c r="C99" s="593"/>
      <c r="J99"/>
    </row>
    <row r="100" spans="2:154">
      <c r="C100" s="3752" t="s">
        <v>1904</v>
      </c>
      <c r="D100" s="3752"/>
      <c r="E100" s="3752" t="s">
        <v>1905</v>
      </c>
      <c r="F100" s="3752"/>
      <c r="G100" s="3752"/>
      <c r="H100" s="3752"/>
      <c r="I100" s="3752"/>
      <c r="J100" s="3752"/>
      <c r="K100" s="3752" t="s">
        <v>1906</v>
      </c>
      <c r="L100" s="3752"/>
      <c r="M100" s="3752"/>
      <c r="N100" s="3752"/>
      <c r="O100" s="3752"/>
      <c r="P100" s="3752"/>
    </row>
    <row r="101" spans="2:154">
      <c r="C101" s="3752"/>
      <c r="D101" s="3752"/>
      <c r="E101" s="3752"/>
      <c r="F101" s="3752"/>
      <c r="G101" s="3752"/>
      <c r="H101" s="3752"/>
      <c r="I101" s="3752"/>
      <c r="J101" s="3752"/>
      <c r="K101" s="3752"/>
      <c r="L101" s="3752"/>
      <c r="M101" s="3752"/>
      <c r="N101" s="3752"/>
      <c r="O101" s="3752"/>
      <c r="P101" s="3752"/>
    </row>
    <row r="102" spans="2:154">
      <c r="C102" s="3752"/>
      <c r="D102" s="3752"/>
      <c r="E102" s="550" t="s">
        <v>684</v>
      </c>
      <c r="F102" s="550" t="s">
        <v>685</v>
      </c>
      <c r="G102" s="550" t="s">
        <v>686</v>
      </c>
      <c r="H102" s="550" t="s">
        <v>687</v>
      </c>
      <c r="I102" s="550" t="s">
        <v>688</v>
      </c>
      <c r="J102" s="550" t="s">
        <v>689</v>
      </c>
      <c r="K102" s="550" t="s">
        <v>684</v>
      </c>
      <c r="L102" s="550" t="s">
        <v>685</v>
      </c>
      <c r="M102" s="550" t="s">
        <v>686</v>
      </c>
      <c r="N102" s="550" t="s">
        <v>687</v>
      </c>
      <c r="O102" s="550" t="s">
        <v>688</v>
      </c>
      <c r="P102" s="550" t="s">
        <v>689</v>
      </c>
    </row>
    <row r="103" spans="2:154" ht="12.75" customHeight="1">
      <c r="B103" s="552"/>
      <c r="C103" s="3752" t="s">
        <v>1765</v>
      </c>
      <c r="D103" s="3752"/>
      <c r="E103" s="609">
        <v>47</v>
      </c>
      <c r="F103" s="610"/>
      <c r="G103" s="610"/>
      <c r="H103" s="610"/>
      <c r="I103" s="610"/>
      <c r="J103" s="611"/>
      <c r="K103" s="612" t="s">
        <v>1907</v>
      </c>
      <c r="L103" s="613"/>
      <c r="M103" s="613"/>
      <c r="N103" s="613"/>
      <c r="O103" s="613"/>
      <c r="P103" s="611"/>
    </row>
    <row r="104" spans="2:154" ht="12.75" customHeight="1">
      <c r="B104" s="554" t="s">
        <v>401</v>
      </c>
      <c r="C104" s="3752" t="s">
        <v>1902</v>
      </c>
      <c r="D104" s="3752"/>
      <c r="E104" s="614">
        <v>50</v>
      </c>
      <c r="F104" s="615"/>
      <c r="G104" s="615"/>
      <c r="H104" s="615"/>
      <c r="I104" s="615"/>
      <c r="J104" s="611"/>
      <c r="K104" s="616" t="s">
        <v>1494</v>
      </c>
      <c r="L104" s="617"/>
      <c r="M104" s="617"/>
      <c r="N104" s="617"/>
      <c r="O104" s="617"/>
      <c r="P104" s="611"/>
    </row>
    <row r="105" spans="2:154" ht="12.75" customHeight="1">
      <c r="B105" s="554" t="s">
        <v>1767</v>
      </c>
      <c r="C105" s="3752" t="s">
        <v>1903</v>
      </c>
      <c r="D105" s="3752"/>
      <c r="E105" s="618">
        <v>51</v>
      </c>
      <c r="F105" s="615"/>
      <c r="G105" s="615"/>
      <c r="H105" s="615"/>
      <c r="I105" s="615"/>
      <c r="J105" s="611"/>
      <c r="K105" s="619" t="s">
        <v>888</v>
      </c>
      <c r="L105" s="617"/>
      <c r="M105" s="617"/>
      <c r="N105" s="617"/>
      <c r="O105" s="617"/>
      <c r="P105" s="611"/>
    </row>
    <row r="106" spans="2:154" ht="12.75" customHeight="1">
      <c r="B106" s="554" t="s">
        <v>1769</v>
      </c>
      <c r="C106" s="3752" t="s">
        <v>1373</v>
      </c>
      <c r="D106" s="3752"/>
      <c r="E106" s="620">
        <v>57</v>
      </c>
      <c r="F106" s="621"/>
      <c r="G106" s="621">
        <v>100</v>
      </c>
      <c r="H106" s="621"/>
      <c r="I106" s="622"/>
      <c r="J106" s="611"/>
      <c r="K106" s="623" t="s">
        <v>1908</v>
      </c>
      <c r="L106" s="624" t="s">
        <v>1215</v>
      </c>
      <c r="M106" s="624" t="s">
        <v>1551</v>
      </c>
      <c r="N106" s="624" t="s">
        <v>1027</v>
      </c>
      <c r="O106" s="625"/>
      <c r="P106" s="611"/>
    </row>
    <row r="107" spans="2:154" ht="12.75" customHeight="1">
      <c r="B107" s="554" t="s">
        <v>401</v>
      </c>
      <c r="C107" s="3752" t="s">
        <v>1374</v>
      </c>
      <c r="D107" s="3752"/>
      <c r="E107" s="626"/>
      <c r="F107" s="627"/>
      <c r="G107" s="627">
        <v>102</v>
      </c>
      <c r="H107" s="615"/>
      <c r="I107" s="615"/>
      <c r="J107" s="611"/>
      <c r="K107" s="628"/>
      <c r="L107" s="629" t="s">
        <v>1217</v>
      </c>
      <c r="M107" s="629" t="s">
        <v>1059</v>
      </c>
      <c r="N107" s="617">
        <v>0</v>
      </c>
      <c r="O107" s="617"/>
      <c r="P107" s="611"/>
    </row>
    <row r="108" spans="2:154" ht="12.75" customHeight="1">
      <c r="B108" s="554" t="s">
        <v>1767</v>
      </c>
      <c r="C108" s="3752" t="s">
        <v>1375</v>
      </c>
      <c r="D108" s="3752"/>
      <c r="E108" s="626"/>
      <c r="F108" s="627"/>
      <c r="G108" s="627">
        <v>101</v>
      </c>
      <c r="H108" s="615"/>
      <c r="I108" s="615"/>
      <c r="J108" s="611"/>
      <c r="K108" s="628"/>
      <c r="L108" s="629" t="s">
        <v>394</v>
      </c>
      <c r="M108" s="629" t="s">
        <v>383</v>
      </c>
      <c r="N108" s="617">
        <v>0</v>
      </c>
      <c r="O108" s="617"/>
      <c r="P108" s="611"/>
    </row>
    <row r="109" spans="2:154" ht="12.75" customHeight="1">
      <c r="B109" s="554" t="s">
        <v>401</v>
      </c>
      <c r="C109" s="3752" t="s">
        <v>1376</v>
      </c>
      <c r="D109" s="3752"/>
      <c r="E109" s="626"/>
      <c r="F109" s="627"/>
      <c r="G109" s="627">
        <v>103</v>
      </c>
      <c r="H109" s="627">
        <v>120</v>
      </c>
      <c r="I109" s="630" t="s">
        <v>1909</v>
      </c>
      <c r="J109" s="611"/>
      <c r="K109" s="628"/>
      <c r="L109" s="629" t="s">
        <v>1910</v>
      </c>
      <c r="M109" s="629" t="s">
        <v>1911</v>
      </c>
      <c r="N109" s="629" t="s">
        <v>1912</v>
      </c>
      <c r="O109" s="631" t="s">
        <v>882</v>
      </c>
      <c r="P109" s="611"/>
    </row>
    <row r="110" spans="2:154" ht="12.75" customHeight="1">
      <c r="B110" s="554" t="s">
        <v>1769</v>
      </c>
      <c r="C110" s="3752" t="s">
        <v>1377</v>
      </c>
      <c r="D110" s="3752"/>
      <c r="E110" s="632"/>
      <c r="F110" s="632">
        <v>89</v>
      </c>
      <c r="G110" s="632">
        <v>104</v>
      </c>
      <c r="H110" s="632" t="s">
        <v>1913</v>
      </c>
      <c r="I110" s="632"/>
      <c r="J110" s="611"/>
      <c r="K110" s="633"/>
      <c r="L110" s="633" t="s">
        <v>124</v>
      </c>
      <c r="M110" s="633" t="s">
        <v>1160</v>
      </c>
      <c r="N110" s="633" t="s">
        <v>1914</v>
      </c>
      <c r="O110" s="633"/>
      <c r="P110" s="611"/>
    </row>
    <row r="111" spans="2:154" ht="12.75" customHeight="1">
      <c r="B111" s="554" t="s">
        <v>1767</v>
      </c>
      <c r="C111" s="3752" t="s">
        <v>1378</v>
      </c>
      <c r="D111" s="3752"/>
      <c r="E111" s="626"/>
      <c r="F111" s="626">
        <v>87</v>
      </c>
      <c r="G111" s="615"/>
      <c r="H111" s="615"/>
      <c r="I111" s="627" t="s">
        <v>1909</v>
      </c>
      <c r="J111" s="611"/>
      <c r="K111" s="628"/>
      <c r="L111" s="628" t="s">
        <v>343</v>
      </c>
      <c r="M111" s="617"/>
      <c r="N111" s="617"/>
      <c r="O111" s="629" t="s">
        <v>883</v>
      </c>
      <c r="P111" s="611"/>
    </row>
    <row r="112" spans="2:154">
      <c r="B112" s="559"/>
      <c r="C112" s="560"/>
      <c r="D112" s="561" t="s">
        <v>1379</v>
      </c>
      <c r="E112" s="634"/>
      <c r="F112" s="635">
        <v>88</v>
      </c>
      <c r="G112" s="636"/>
      <c r="H112" s="636"/>
      <c r="I112" s="636"/>
      <c r="J112" s="611"/>
      <c r="K112" s="628"/>
      <c r="L112" s="629" t="s">
        <v>334</v>
      </c>
      <c r="M112" s="617"/>
      <c r="N112" s="617"/>
      <c r="O112" s="617"/>
      <c r="P112" s="611"/>
    </row>
    <row r="113" spans="2:16">
      <c r="B113" s="559"/>
      <c r="C113" s="560"/>
      <c r="D113" s="561" t="s">
        <v>1380</v>
      </c>
      <c r="E113" s="634"/>
      <c r="F113" s="635"/>
      <c r="G113" s="636"/>
      <c r="H113" s="636"/>
      <c r="I113" s="636"/>
      <c r="J113" s="611"/>
      <c r="K113" s="628"/>
      <c r="L113" s="629" t="s">
        <v>1915</v>
      </c>
      <c r="M113" s="617"/>
      <c r="N113" s="617"/>
      <c r="O113" s="617"/>
      <c r="P113" s="611"/>
    </row>
    <row r="114" spans="2:16" ht="12.75" customHeight="1">
      <c r="B114" s="554" t="s">
        <v>1767</v>
      </c>
      <c r="C114" s="3752" t="s">
        <v>1381</v>
      </c>
      <c r="D114" s="3752"/>
      <c r="E114" s="626"/>
      <c r="F114" s="615"/>
      <c r="G114" s="615"/>
      <c r="H114" s="627">
        <v>113</v>
      </c>
      <c r="I114" s="627" t="s">
        <v>1916</v>
      </c>
      <c r="J114" s="611"/>
      <c r="K114" s="628"/>
      <c r="L114" s="617"/>
      <c r="M114" s="617"/>
      <c r="N114" s="629" t="s">
        <v>1801</v>
      </c>
      <c r="O114" s="629" t="s">
        <v>2084</v>
      </c>
      <c r="P114" s="611"/>
    </row>
    <row r="115" spans="2:16" ht="12.75" customHeight="1" thickBot="1">
      <c r="B115" s="554" t="s">
        <v>401</v>
      </c>
      <c r="C115" s="3752" t="s">
        <v>1488</v>
      </c>
      <c r="D115" s="3752"/>
      <c r="E115" s="626"/>
      <c r="F115" s="615"/>
      <c r="G115" s="615"/>
      <c r="H115" s="627">
        <v>123</v>
      </c>
      <c r="I115" s="627" t="s">
        <v>2085</v>
      </c>
      <c r="J115" s="611"/>
      <c r="K115" s="628"/>
      <c r="L115" s="617"/>
      <c r="M115" s="617"/>
      <c r="N115" s="629" t="s">
        <v>2086</v>
      </c>
      <c r="O115" s="629" t="s">
        <v>2087</v>
      </c>
      <c r="P115" s="611"/>
    </row>
    <row r="116" spans="2:16" ht="12.75" customHeight="1">
      <c r="B116" s="554" t="s">
        <v>1767</v>
      </c>
      <c r="C116" s="3752" t="s">
        <v>1489</v>
      </c>
      <c r="D116" s="3752"/>
      <c r="E116" s="626"/>
      <c r="F116" s="627">
        <v>90</v>
      </c>
      <c r="G116" s="627">
        <v>105</v>
      </c>
      <c r="H116" s="637"/>
      <c r="I116" s="627" t="s">
        <v>1909</v>
      </c>
      <c r="J116" s="611"/>
      <c r="K116" s="628"/>
      <c r="L116" s="629" t="s">
        <v>2088</v>
      </c>
      <c r="M116" s="629" t="s">
        <v>1162</v>
      </c>
      <c r="N116" s="638"/>
      <c r="O116" s="629" t="s">
        <v>885</v>
      </c>
      <c r="P116" s="611"/>
    </row>
    <row r="117" spans="2:16">
      <c r="B117" s="564"/>
      <c r="C117" s="571"/>
      <c r="D117" s="572" t="s">
        <v>985</v>
      </c>
      <c r="E117" s="643"/>
      <c r="F117" s="615"/>
      <c r="G117" s="615"/>
      <c r="H117" s="639" t="s">
        <v>1913</v>
      </c>
      <c r="I117" s="615"/>
      <c r="J117" s="611"/>
      <c r="K117" s="628"/>
      <c r="L117" s="617"/>
      <c r="M117" s="617"/>
      <c r="N117" s="640" t="s">
        <v>387</v>
      </c>
      <c r="O117" s="617"/>
      <c r="P117" s="611"/>
    </row>
    <row r="118" spans="2:16">
      <c r="B118" s="564"/>
      <c r="C118" s="571"/>
      <c r="D118" s="572" t="s">
        <v>986</v>
      </c>
      <c r="E118" s="643"/>
      <c r="F118" s="615"/>
      <c r="G118" s="615"/>
      <c r="H118" s="639" t="s">
        <v>1695</v>
      </c>
      <c r="I118" s="615"/>
      <c r="J118" s="611"/>
      <c r="K118" s="628"/>
      <c r="L118" s="617"/>
      <c r="M118" s="617"/>
      <c r="N118" s="640"/>
      <c r="O118" s="617"/>
      <c r="P118" s="611"/>
    </row>
    <row r="119" spans="2:16" ht="13.5" thickBot="1">
      <c r="B119" s="564"/>
      <c r="C119" s="571"/>
      <c r="D119" s="572" t="s">
        <v>1490</v>
      </c>
      <c r="E119" s="643"/>
      <c r="F119" s="615"/>
      <c r="G119" s="615"/>
      <c r="H119" s="641">
        <v>122</v>
      </c>
      <c r="I119" s="615"/>
      <c r="J119" s="611"/>
      <c r="K119" s="628"/>
      <c r="L119" s="617"/>
      <c r="M119" s="617"/>
      <c r="N119" s="642" t="s">
        <v>2069</v>
      </c>
      <c r="O119" s="617"/>
      <c r="P119" s="611"/>
    </row>
    <row r="120" spans="2:16" ht="12.75" customHeight="1">
      <c r="B120" s="554" t="s">
        <v>1769</v>
      </c>
      <c r="C120" s="3752" t="s">
        <v>1491</v>
      </c>
      <c r="D120" s="3752"/>
      <c r="E120" s="632"/>
      <c r="F120" s="632"/>
      <c r="G120" s="632"/>
      <c r="H120" s="632"/>
      <c r="I120" s="632"/>
      <c r="J120" s="611"/>
      <c r="K120" s="633"/>
      <c r="L120" s="633" t="s">
        <v>2070</v>
      </c>
      <c r="M120" s="633" t="s">
        <v>2071</v>
      </c>
      <c r="N120" s="633" t="s">
        <v>2072</v>
      </c>
      <c r="O120" s="633"/>
      <c r="P120" s="611"/>
    </row>
    <row r="121" spans="2:16" ht="13.5" customHeight="1" thickBot="1">
      <c r="B121" s="554" t="s">
        <v>1767</v>
      </c>
      <c r="C121" s="3752" t="s">
        <v>614</v>
      </c>
      <c r="D121" s="3752"/>
      <c r="E121" s="626"/>
      <c r="F121" s="615"/>
      <c r="G121" s="615"/>
      <c r="H121" s="627">
        <v>114</v>
      </c>
      <c r="I121" s="644" t="s">
        <v>988</v>
      </c>
      <c r="J121" s="611"/>
      <c r="K121" s="628"/>
      <c r="L121" s="617"/>
      <c r="M121" s="617"/>
      <c r="N121" s="629" t="s">
        <v>989</v>
      </c>
      <c r="O121" s="645" t="s">
        <v>990</v>
      </c>
      <c r="P121" s="611"/>
    </row>
    <row r="122" spans="2:16" ht="12.75" customHeight="1">
      <c r="B122" s="554" t="s">
        <v>1767</v>
      </c>
      <c r="C122" s="3752" t="s">
        <v>567</v>
      </c>
      <c r="D122" s="3752"/>
      <c r="E122" s="626"/>
      <c r="F122" s="627" t="s">
        <v>991</v>
      </c>
      <c r="G122" s="627" t="s">
        <v>992</v>
      </c>
      <c r="H122" s="637">
        <v>115</v>
      </c>
      <c r="I122" s="627" t="s">
        <v>988</v>
      </c>
      <c r="J122" s="611"/>
      <c r="K122" s="628"/>
      <c r="L122" s="629" t="s">
        <v>993</v>
      </c>
      <c r="M122" s="629" t="s">
        <v>994</v>
      </c>
      <c r="N122" s="638" t="s">
        <v>995</v>
      </c>
      <c r="O122" s="629" t="s">
        <v>996</v>
      </c>
      <c r="P122" s="611"/>
    </row>
    <row r="123" spans="2:16">
      <c r="B123" s="564"/>
      <c r="C123" s="565"/>
      <c r="D123" s="566" t="s">
        <v>1461</v>
      </c>
      <c r="E123" s="643"/>
      <c r="F123" s="646"/>
      <c r="G123" s="646"/>
      <c r="H123" s="639"/>
      <c r="I123" s="646"/>
      <c r="J123" s="611"/>
      <c r="K123" s="628"/>
      <c r="L123" s="647"/>
      <c r="M123" s="647"/>
      <c r="N123" s="640" t="s">
        <v>2006</v>
      </c>
      <c r="O123" s="647"/>
      <c r="P123" s="611"/>
    </row>
    <row r="124" spans="2:16" ht="13.5" thickBot="1">
      <c r="B124" s="564"/>
      <c r="C124" s="565"/>
      <c r="D124" s="566" t="s">
        <v>1334</v>
      </c>
      <c r="E124" s="643"/>
      <c r="F124" s="646"/>
      <c r="G124" s="646"/>
      <c r="H124" s="641">
        <v>116</v>
      </c>
      <c r="I124" s="646"/>
      <c r="J124" s="611"/>
      <c r="K124" s="628"/>
      <c r="L124" s="647"/>
      <c r="M124" s="647"/>
      <c r="N124" s="642" t="s">
        <v>385</v>
      </c>
      <c r="O124" s="647"/>
      <c r="P124" s="611"/>
    </row>
    <row r="125" spans="2:16" ht="12.75" customHeight="1">
      <c r="B125" s="554" t="s">
        <v>1767</v>
      </c>
      <c r="C125" s="3752" t="s">
        <v>1335</v>
      </c>
      <c r="D125" s="3752"/>
      <c r="E125" s="626"/>
      <c r="F125" s="627" t="s">
        <v>997</v>
      </c>
      <c r="G125" s="615"/>
      <c r="H125" s="615"/>
      <c r="I125" s="627" t="s">
        <v>988</v>
      </c>
      <c r="J125" s="611"/>
      <c r="K125" s="628"/>
      <c r="L125" s="629" t="s">
        <v>993</v>
      </c>
      <c r="M125" s="617"/>
      <c r="N125" s="617"/>
      <c r="O125" s="629" t="s">
        <v>996</v>
      </c>
      <c r="P125" s="611"/>
    </row>
    <row r="126" spans="2:16" ht="12.75" customHeight="1">
      <c r="B126" s="554" t="s">
        <v>1767</v>
      </c>
      <c r="C126" s="3752" t="s">
        <v>1336</v>
      </c>
      <c r="D126" s="3752"/>
      <c r="E126" s="626"/>
      <c r="F126" s="627" t="s">
        <v>997</v>
      </c>
      <c r="G126" s="627" t="s">
        <v>992</v>
      </c>
      <c r="H126" s="627" t="s">
        <v>1913</v>
      </c>
      <c r="I126" s="627" t="s">
        <v>988</v>
      </c>
      <c r="J126" s="611"/>
      <c r="K126" s="628"/>
      <c r="L126" s="629" t="s">
        <v>13</v>
      </c>
      <c r="M126" s="629" t="s">
        <v>1553</v>
      </c>
      <c r="N126" s="629" t="s">
        <v>317</v>
      </c>
      <c r="O126" s="629" t="s">
        <v>895</v>
      </c>
      <c r="P126" s="611"/>
    </row>
    <row r="127" spans="2:16" ht="12.75" customHeight="1">
      <c r="B127" s="554" t="s">
        <v>1769</v>
      </c>
      <c r="C127" s="3752" t="s">
        <v>1337</v>
      </c>
      <c r="D127" s="3752"/>
      <c r="E127" s="632"/>
      <c r="F127" s="632"/>
      <c r="G127" s="632"/>
      <c r="H127" s="632"/>
      <c r="I127" s="632"/>
      <c r="J127" s="611"/>
      <c r="K127" s="633"/>
      <c r="L127" s="633" t="s">
        <v>998</v>
      </c>
      <c r="M127" s="633" t="s">
        <v>999</v>
      </c>
      <c r="N127" s="633" t="s">
        <v>1000</v>
      </c>
      <c r="O127" s="633"/>
      <c r="P127" s="611"/>
    </row>
    <row r="128" spans="2:16" ht="12.75" customHeight="1">
      <c r="B128" s="554" t="s">
        <v>401</v>
      </c>
      <c r="C128" s="3752" t="s">
        <v>1338</v>
      </c>
      <c r="D128" s="3752"/>
      <c r="E128" s="626"/>
      <c r="F128" s="627">
        <v>92</v>
      </c>
      <c r="G128" s="627">
        <v>107</v>
      </c>
      <c r="H128" s="627" t="s">
        <v>1695</v>
      </c>
      <c r="I128" s="627" t="s">
        <v>988</v>
      </c>
      <c r="J128" s="611"/>
      <c r="K128" s="628"/>
      <c r="L128" s="629" t="s">
        <v>1438</v>
      </c>
      <c r="M128" s="629" t="s">
        <v>1966</v>
      </c>
      <c r="N128" s="629" t="s">
        <v>384</v>
      </c>
      <c r="O128" s="629" t="s">
        <v>893</v>
      </c>
      <c r="P128" s="611"/>
    </row>
    <row r="129" spans="2:16" ht="12.75" customHeight="1">
      <c r="B129" s="554" t="s">
        <v>401</v>
      </c>
      <c r="C129" s="3752" t="s">
        <v>1339</v>
      </c>
      <c r="D129" s="3752"/>
      <c r="E129" s="626"/>
      <c r="F129" s="627" t="s">
        <v>997</v>
      </c>
      <c r="G129" s="615"/>
      <c r="H129" s="615"/>
      <c r="I129" s="627" t="s">
        <v>988</v>
      </c>
      <c r="J129" s="611"/>
      <c r="K129" s="628"/>
      <c r="L129" s="629" t="s">
        <v>1696</v>
      </c>
      <c r="M129" s="617"/>
      <c r="N129" s="617"/>
      <c r="O129" s="629" t="s">
        <v>1697</v>
      </c>
      <c r="P129" s="611"/>
    </row>
    <row r="130" spans="2:16" ht="12.75" customHeight="1">
      <c r="B130" s="554" t="s">
        <v>401</v>
      </c>
      <c r="C130" s="3752" t="s">
        <v>1340</v>
      </c>
      <c r="D130" s="3752"/>
      <c r="E130" s="626"/>
      <c r="F130" s="627" t="s">
        <v>991</v>
      </c>
      <c r="G130" s="627" t="s">
        <v>992</v>
      </c>
      <c r="H130" s="627">
        <v>121</v>
      </c>
      <c r="I130" s="627" t="s">
        <v>988</v>
      </c>
      <c r="J130" s="611"/>
      <c r="K130" s="628"/>
      <c r="L130" s="629" t="s">
        <v>1696</v>
      </c>
      <c r="M130" s="629" t="s">
        <v>1556</v>
      </c>
      <c r="N130" s="629" t="s">
        <v>1698</v>
      </c>
      <c r="O130" s="629" t="s">
        <v>1697</v>
      </c>
      <c r="P130" s="611"/>
    </row>
    <row r="131" spans="2:16" ht="12.75" customHeight="1">
      <c r="B131" s="554" t="s">
        <v>401</v>
      </c>
      <c r="C131" s="3752" t="s">
        <v>1341</v>
      </c>
      <c r="D131" s="3752"/>
      <c r="E131" s="626"/>
      <c r="F131" s="627" t="s">
        <v>991</v>
      </c>
      <c r="G131" s="627" t="s">
        <v>992</v>
      </c>
      <c r="H131" s="627" t="s">
        <v>1695</v>
      </c>
      <c r="I131" s="627" t="s">
        <v>988</v>
      </c>
      <c r="J131" s="611"/>
      <c r="K131" s="628"/>
      <c r="L131" s="629" t="s">
        <v>15</v>
      </c>
      <c r="M131" s="629" t="s">
        <v>1554</v>
      </c>
      <c r="N131" s="629" t="s">
        <v>318</v>
      </c>
      <c r="O131" s="629" t="s">
        <v>894</v>
      </c>
      <c r="P131" s="611"/>
    </row>
    <row r="132" spans="2:16" ht="12.75" customHeight="1">
      <c r="B132" s="554" t="s">
        <v>1769</v>
      </c>
      <c r="C132" s="3752" t="s">
        <v>500</v>
      </c>
      <c r="D132" s="3752"/>
      <c r="E132" s="632"/>
      <c r="F132" s="632"/>
      <c r="G132" s="632"/>
      <c r="H132" s="632"/>
      <c r="I132" s="632"/>
      <c r="J132" s="611"/>
      <c r="K132" s="633"/>
      <c r="L132" s="633" t="s">
        <v>1699</v>
      </c>
      <c r="M132" s="633" t="s">
        <v>1462</v>
      </c>
      <c r="N132" s="633" t="s">
        <v>1463</v>
      </c>
      <c r="O132" s="633"/>
      <c r="P132" s="611"/>
    </row>
    <row r="133" spans="2:16" ht="13.5" customHeight="1" thickBot="1">
      <c r="B133" s="554" t="s">
        <v>1767</v>
      </c>
      <c r="C133" s="3752" t="s">
        <v>1295</v>
      </c>
      <c r="D133" s="3752"/>
      <c r="E133" s="626"/>
      <c r="F133" s="627">
        <v>94</v>
      </c>
      <c r="G133" s="627">
        <v>108</v>
      </c>
      <c r="H133" s="627" t="s">
        <v>1464</v>
      </c>
      <c r="I133" s="615"/>
      <c r="J133" s="611"/>
      <c r="K133" s="628"/>
      <c r="L133" s="629" t="s">
        <v>16</v>
      </c>
      <c r="M133" s="629" t="s">
        <v>1552</v>
      </c>
      <c r="N133" s="629" t="s">
        <v>1464</v>
      </c>
      <c r="O133" s="617"/>
      <c r="P133" s="611"/>
    </row>
    <row r="134" spans="2:16" ht="12.75" customHeight="1">
      <c r="B134" s="554" t="s">
        <v>401</v>
      </c>
      <c r="C134" s="3752" t="s">
        <v>821</v>
      </c>
      <c r="D134" s="3752"/>
      <c r="E134" s="626"/>
      <c r="F134" s="648">
        <v>95</v>
      </c>
      <c r="G134" s="649"/>
      <c r="H134" s="637"/>
      <c r="I134" s="650"/>
      <c r="J134" s="611"/>
      <c r="K134" s="628"/>
      <c r="L134" s="651" t="s">
        <v>1895</v>
      </c>
      <c r="M134" s="652"/>
      <c r="N134" s="638" t="s">
        <v>1897</v>
      </c>
      <c r="O134" s="653"/>
      <c r="P134" s="611"/>
    </row>
    <row r="135" spans="2:16">
      <c r="B135" s="554"/>
      <c r="C135" s="582"/>
      <c r="D135" s="583" t="s">
        <v>1644</v>
      </c>
      <c r="E135" s="643"/>
      <c r="F135" s="615"/>
      <c r="G135" s="649"/>
      <c r="H135" s="654">
        <v>119</v>
      </c>
      <c r="I135" s="650"/>
      <c r="J135" s="611"/>
      <c r="K135" s="628"/>
      <c r="L135" s="617"/>
      <c r="M135" s="652"/>
      <c r="N135" s="655" t="s">
        <v>744</v>
      </c>
      <c r="O135" s="653"/>
      <c r="P135" s="611"/>
    </row>
    <row r="136" spans="2:16" ht="13.5" thickBot="1">
      <c r="B136" s="564"/>
      <c r="C136" s="582"/>
      <c r="D136" s="583" t="s">
        <v>1645</v>
      </c>
      <c r="E136" s="643"/>
      <c r="F136" s="615"/>
      <c r="G136" s="649"/>
      <c r="H136" s="656">
        <v>118</v>
      </c>
      <c r="I136" s="650"/>
      <c r="J136" s="611"/>
      <c r="K136" s="628"/>
      <c r="L136" s="617"/>
      <c r="M136" s="652"/>
      <c r="N136" s="657" t="s">
        <v>745</v>
      </c>
      <c r="O136" s="653"/>
      <c r="P136" s="611"/>
    </row>
    <row r="137" spans="2:16" ht="12.75" customHeight="1">
      <c r="B137" s="554" t="s">
        <v>1769</v>
      </c>
      <c r="C137" s="3752" t="s">
        <v>1323</v>
      </c>
      <c r="D137" s="3752"/>
      <c r="E137" s="632"/>
      <c r="F137" s="632"/>
      <c r="G137" s="632"/>
      <c r="H137" s="632"/>
      <c r="I137" s="632"/>
      <c r="J137" s="611"/>
      <c r="K137" s="633"/>
      <c r="L137" s="633" t="s">
        <v>1465</v>
      </c>
      <c r="M137" s="633" t="s">
        <v>1466</v>
      </c>
      <c r="N137" s="633" t="s">
        <v>1467</v>
      </c>
      <c r="O137" s="633"/>
      <c r="P137" s="611"/>
    </row>
    <row r="138" spans="2:16" ht="12.75" customHeight="1">
      <c r="B138" s="554" t="s">
        <v>1767</v>
      </c>
      <c r="C138" s="3752" t="s">
        <v>1324</v>
      </c>
      <c r="D138" s="3752"/>
      <c r="E138" s="626"/>
      <c r="F138" s="627" t="s">
        <v>1468</v>
      </c>
      <c r="G138" s="627" t="s">
        <v>669</v>
      </c>
      <c r="H138" s="626"/>
      <c r="I138" s="627">
        <v>142</v>
      </c>
      <c r="J138" s="611"/>
      <c r="K138" s="628"/>
      <c r="L138" s="629" t="s">
        <v>1064</v>
      </c>
      <c r="M138" s="629" t="s">
        <v>114</v>
      </c>
      <c r="N138" s="628" t="s">
        <v>670</v>
      </c>
      <c r="O138" s="629" t="s">
        <v>886</v>
      </c>
      <c r="P138" s="611"/>
    </row>
    <row r="139" spans="2:16">
      <c r="B139" s="564"/>
      <c r="C139" s="582"/>
      <c r="D139" s="583" t="s">
        <v>1813</v>
      </c>
      <c r="E139" s="626"/>
      <c r="F139" s="615"/>
      <c r="G139" s="615"/>
      <c r="H139" s="658">
        <v>130</v>
      </c>
      <c r="I139" s="615"/>
      <c r="J139" s="611"/>
      <c r="K139" s="628"/>
      <c r="L139" s="617"/>
      <c r="M139" s="617"/>
      <c r="N139" s="629" t="s">
        <v>319</v>
      </c>
      <c r="O139" s="617"/>
      <c r="P139" s="611"/>
    </row>
    <row r="140" spans="2:16">
      <c r="B140" s="564"/>
      <c r="C140" s="582"/>
      <c r="D140" s="583" t="s">
        <v>1156</v>
      </c>
      <c r="E140" s="626"/>
      <c r="F140" s="615"/>
      <c r="G140" s="615"/>
      <c r="H140" s="658">
        <v>148</v>
      </c>
      <c r="I140" s="615"/>
      <c r="J140" s="611"/>
      <c r="K140" s="628"/>
      <c r="L140" s="617"/>
      <c r="M140" s="617"/>
      <c r="N140" s="629"/>
      <c r="O140" s="617"/>
      <c r="P140" s="611"/>
    </row>
    <row r="141" spans="2:16">
      <c r="B141" s="564"/>
      <c r="C141" s="582"/>
      <c r="D141" s="583" t="s">
        <v>2083</v>
      </c>
      <c r="E141" s="626"/>
      <c r="F141" s="615"/>
      <c r="G141" s="615"/>
      <c r="H141" s="658" t="s">
        <v>671</v>
      </c>
      <c r="I141" s="615"/>
      <c r="J141" s="611"/>
      <c r="K141" s="628"/>
      <c r="L141" s="617"/>
      <c r="M141" s="617"/>
      <c r="N141" s="629" t="s">
        <v>320</v>
      </c>
      <c r="O141" s="617"/>
      <c r="P141" s="611"/>
    </row>
    <row r="142" spans="2:16">
      <c r="B142" s="564"/>
      <c r="C142" s="582"/>
      <c r="D142" s="583" t="s">
        <v>374</v>
      </c>
      <c r="E142" s="626"/>
      <c r="F142" s="615"/>
      <c r="G142" s="615"/>
      <c r="H142" s="658" t="s">
        <v>672</v>
      </c>
      <c r="I142" s="615"/>
      <c r="J142" s="611"/>
      <c r="K142" s="628"/>
      <c r="L142" s="617"/>
      <c r="M142" s="617"/>
      <c r="N142" s="629" t="s">
        <v>1175</v>
      </c>
      <c r="O142" s="617"/>
      <c r="P142" s="611"/>
    </row>
    <row r="143" spans="2:16" ht="12.75" customHeight="1">
      <c r="B143" s="554" t="s">
        <v>401</v>
      </c>
      <c r="C143" s="3752" t="s">
        <v>375</v>
      </c>
      <c r="D143" s="3752"/>
      <c r="E143" s="626"/>
      <c r="F143" s="627" t="s">
        <v>1468</v>
      </c>
      <c r="G143" s="627" t="s">
        <v>669</v>
      </c>
      <c r="H143" s="627" t="s">
        <v>672</v>
      </c>
      <c r="I143" s="627"/>
      <c r="J143" s="611"/>
      <c r="K143" s="628"/>
      <c r="L143" s="629" t="s">
        <v>19</v>
      </c>
      <c r="M143" s="629" t="s">
        <v>1557</v>
      </c>
      <c r="N143" s="629" t="s">
        <v>673</v>
      </c>
      <c r="O143" s="629" t="s">
        <v>674</v>
      </c>
      <c r="P143" s="611"/>
    </row>
    <row r="144" spans="2:16" ht="12.75" customHeight="1">
      <c r="B144" s="554" t="s">
        <v>401</v>
      </c>
      <c r="C144" s="3752" t="s">
        <v>376</v>
      </c>
      <c r="D144" s="3752"/>
      <c r="E144" s="648"/>
      <c r="F144" s="648" t="s">
        <v>675</v>
      </c>
      <c r="G144" s="648" t="s">
        <v>676</v>
      </c>
      <c r="H144" s="648">
        <v>126</v>
      </c>
      <c r="I144" s="615"/>
      <c r="J144" s="611"/>
      <c r="K144" s="651"/>
      <c r="L144" s="651" t="s">
        <v>428</v>
      </c>
      <c r="M144" s="651" t="s">
        <v>1558</v>
      </c>
      <c r="N144" s="651" t="s">
        <v>1176</v>
      </c>
      <c r="O144" s="617"/>
      <c r="P144" s="611"/>
    </row>
    <row r="145" spans="2:16" ht="12.75" customHeight="1">
      <c r="B145" s="554" t="s">
        <v>401</v>
      </c>
      <c r="C145" s="3752" t="s">
        <v>377</v>
      </c>
      <c r="D145" s="3752"/>
      <c r="E145" s="648"/>
      <c r="F145" s="627" t="s">
        <v>675</v>
      </c>
      <c r="G145" s="627" t="s">
        <v>676</v>
      </c>
      <c r="H145" s="627" t="s">
        <v>672</v>
      </c>
      <c r="I145" s="615"/>
      <c r="J145" s="611"/>
      <c r="K145" s="651"/>
      <c r="L145" s="629" t="s">
        <v>677</v>
      </c>
      <c r="M145" s="629" t="s">
        <v>503</v>
      </c>
      <c r="N145" s="629" t="s">
        <v>504</v>
      </c>
      <c r="O145" s="617"/>
      <c r="P145" s="611"/>
    </row>
    <row r="146" spans="2:16" ht="12.75" customHeight="1">
      <c r="B146" s="608" t="s">
        <v>1769</v>
      </c>
      <c r="C146" s="3752" t="s">
        <v>378</v>
      </c>
      <c r="D146" s="3752"/>
      <c r="E146" s="659"/>
      <c r="F146" s="659"/>
      <c r="G146" s="659"/>
      <c r="H146" s="659"/>
      <c r="I146" s="659"/>
      <c r="J146" s="611"/>
      <c r="K146" s="660"/>
      <c r="L146" s="660" t="s">
        <v>505</v>
      </c>
      <c r="M146" s="660" t="s">
        <v>506</v>
      </c>
      <c r="N146" s="660" t="s">
        <v>507</v>
      </c>
      <c r="O146" s="660" t="s">
        <v>508</v>
      </c>
      <c r="P146" s="611"/>
    </row>
    <row r="147" spans="2:16" ht="12.75" customHeight="1">
      <c r="B147" s="591"/>
      <c r="C147" s="3752"/>
      <c r="D147" s="3752"/>
      <c r="E147" s="661"/>
      <c r="F147" s="662"/>
      <c r="G147" s="662"/>
      <c r="H147" s="662"/>
      <c r="I147" s="662"/>
      <c r="J147" s="662"/>
      <c r="K147" s="661"/>
      <c r="L147" s="662"/>
      <c r="M147" s="662"/>
      <c r="N147" s="662"/>
      <c r="O147" s="662"/>
      <c r="P147" s="662"/>
    </row>
  </sheetData>
  <mergeCells count="149">
    <mergeCell ref="DC51:DH52"/>
    <mergeCell ref="CW2:DB3"/>
    <mergeCell ref="CW51:DB52"/>
    <mergeCell ref="CK2:CP3"/>
    <mergeCell ref="DC2:DH3"/>
    <mergeCell ref="CQ2:CV3"/>
    <mergeCell ref="EM2:ER3"/>
    <mergeCell ref="EM51:ER52"/>
    <mergeCell ref="DO2:DT3"/>
    <mergeCell ref="DO51:DT52"/>
    <mergeCell ref="EG2:EL3"/>
    <mergeCell ref="EG51:EL52"/>
    <mergeCell ref="EA2:EF3"/>
    <mergeCell ref="EA51:EF52"/>
    <mergeCell ref="DU2:DZ3"/>
    <mergeCell ref="DU51:DZ52"/>
    <mergeCell ref="DI2:DN3"/>
    <mergeCell ref="DI51:DN52"/>
    <mergeCell ref="CQ51:CV52"/>
    <mergeCell ref="CK51:CP52"/>
    <mergeCell ref="BG2:BL3"/>
    <mergeCell ref="BM2:BR3"/>
    <mergeCell ref="BS2:BX3"/>
    <mergeCell ref="BY51:CD52"/>
    <mergeCell ref="Q2:V3"/>
    <mergeCell ref="W2:AB3"/>
    <mergeCell ref="C39:D39"/>
    <mergeCell ref="CE2:CJ3"/>
    <mergeCell ref="BY2:CD3"/>
    <mergeCell ref="C6:D6"/>
    <mergeCell ref="C7:D7"/>
    <mergeCell ref="C8:D8"/>
    <mergeCell ref="C12:D12"/>
    <mergeCell ref="C28:D28"/>
    <mergeCell ref="C33:D33"/>
    <mergeCell ref="C23:D23"/>
    <mergeCell ref="C29:D29"/>
    <mergeCell ref="C5:D5"/>
    <mergeCell ref="AU2:AZ3"/>
    <mergeCell ref="CE51:CJ52"/>
    <mergeCell ref="C13:D13"/>
    <mergeCell ref="C16:D16"/>
    <mergeCell ref="C27:D27"/>
    <mergeCell ref="C32:D32"/>
    <mergeCell ref="BS51:BX52"/>
    <mergeCell ref="C48:D48"/>
    <mergeCell ref="C49:D49"/>
    <mergeCell ref="C46:D46"/>
    <mergeCell ref="C47:D47"/>
    <mergeCell ref="C34:D34"/>
    <mergeCell ref="C35:D35"/>
    <mergeCell ref="K2:P3"/>
    <mergeCell ref="BM51:BR52"/>
    <mergeCell ref="BG51:BL52"/>
    <mergeCell ref="K51:P52"/>
    <mergeCell ref="W51:AB52"/>
    <mergeCell ref="BA51:BF52"/>
    <mergeCell ref="AI51:AN52"/>
    <mergeCell ref="AO51:AT52"/>
    <mergeCell ref="AU51:AZ52"/>
    <mergeCell ref="AC51:AH52"/>
    <mergeCell ref="Q51:V52"/>
    <mergeCell ref="BA2:BF3"/>
    <mergeCell ref="AO2:AT3"/>
    <mergeCell ref="C31:D31"/>
    <mergeCell ref="C18:D18"/>
    <mergeCell ref="C24:D24"/>
    <mergeCell ref="C11:D11"/>
    <mergeCell ref="AC2:AH3"/>
    <mergeCell ref="AI2:AN3"/>
    <mergeCell ref="C10:D10"/>
    <mergeCell ref="C55:D55"/>
    <mergeCell ref="C54:D54"/>
    <mergeCell ref="C77:D77"/>
    <mergeCell ref="C61:D61"/>
    <mergeCell ref="C62:D62"/>
    <mergeCell ref="C76:D76"/>
    <mergeCell ref="C60:D60"/>
    <mergeCell ref="C56:D56"/>
    <mergeCell ref="C57:D57"/>
    <mergeCell ref="C40:D40"/>
    <mergeCell ref="C45:D45"/>
    <mergeCell ref="E2:J3"/>
    <mergeCell ref="E51:J52"/>
    <mergeCell ref="C9:D9"/>
    <mergeCell ref="C17:D17"/>
    <mergeCell ref="C22:D22"/>
    <mergeCell ref="C36:D36"/>
    <mergeCell ref="C30:D30"/>
    <mergeCell ref="C78:D78"/>
    <mergeCell ref="C71:D71"/>
    <mergeCell ref="C72:D72"/>
    <mergeCell ref="C66:D66"/>
    <mergeCell ref="C67:D67"/>
    <mergeCell ref="C73:D73"/>
    <mergeCell ref="C65:D65"/>
    <mergeCell ref="C58:D58"/>
    <mergeCell ref="C94:D94"/>
    <mergeCell ref="C59:D59"/>
    <mergeCell ref="C97:D97"/>
    <mergeCell ref="C98:D98"/>
    <mergeCell ref="C95:D95"/>
    <mergeCell ref="C96:D96"/>
    <mergeCell ref="C104:D104"/>
    <mergeCell ref="C89:D89"/>
    <mergeCell ref="C79:D79"/>
    <mergeCell ref="C80:D80"/>
    <mergeCell ref="C81:D81"/>
    <mergeCell ref="C82:D82"/>
    <mergeCell ref="C83:D83"/>
    <mergeCell ref="C84:D84"/>
    <mergeCell ref="C85:D85"/>
    <mergeCell ref="C88:D88"/>
    <mergeCell ref="C109:D109"/>
    <mergeCell ref="C105:D105"/>
    <mergeCell ref="C106:D106"/>
    <mergeCell ref="C107:D107"/>
    <mergeCell ref="C108:D108"/>
    <mergeCell ref="C116:D116"/>
    <mergeCell ref="E100:J101"/>
    <mergeCell ref="K100:P101"/>
    <mergeCell ref="C103:D103"/>
    <mergeCell ref="C110:D110"/>
    <mergeCell ref="C111:D111"/>
    <mergeCell ref="C114:D114"/>
    <mergeCell ref="ES2:EX3"/>
    <mergeCell ref="ES51:EX52"/>
    <mergeCell ref="C120:D120"/>
    <mergeCell ref="C121:D121"/>
    <mergeCell ref="C122:D122"/>
    <mergeCell ref="C115:D115"/>
    <mergeCell ref="C100:D102"/>
    <mergeCell ref="C146:D146"/>
    <mergeCell ref="C147:D147"/>
    <mergeCell ref="C138:D138"/>
    <mergeCell ref="C143:D143"/>
    <mergeCell ref="C144:D144"/>
    <mergeCell ref="C145:D145"/>
    <mergeCell ref="C126:D126"/>
    <mergeCell ref="C127:D127"/>
    <mergeCell ref="C125:D125"/>
    <mergeCell ref="C134:D134"/>
    <mergeCell ref="C137:D137"/>
    <mergeCell ref="C132:D132"/>
    <mergeCell ref="C133:D133"/>
    <mergeCell ref="C128:D128"/>
    <mergeCell ref="C129:D129"/>
    <mergeCell ref="C130:D130"/>
    <mergeCell ref="C131:D131"/>
  </mergeCells>
  <phoneticPr fontId="60" type="noConversion"/>
  <conditionalFormatting sqref="J103:J146 P103:P146">
    <cfRule type="cellIs" dxfId="20" priority="28" stopIfTrue="1" operator="notBetween">
      <formula>-0.05</formula>
      <formula>0.05</formula>
    </cfRule>
  </conditionalFormatting>
  <conditionalFormatting sqref="CD89 CD94 CD79:CD82 CD84 V89 V94 V79:V82 V84 AB89 AB94 AB79:AB82 AB84 AB96:AB97 AH89 AH94 AH79:AH82 AH84 AH96:AH97 AN89 AN94 AN79:AN82 AN84 AN96:AN97 AT89 AT94 AT79:AT82 AT84 AT96:AT97 AZ89 AZ94 AZ79:AZ82 AZ84 AZ96:AZ97 BX89 BX94 BX79:BX82 BX84 BF89 J96:J97 BF94 BF79:BF82 BF84 BF96:BF97 BR89 CD96:CD97 BR94 BR79:BR82 BR84 BR96:BR97 J89 V96:V97 J94 J79:J82 J84 P89 BX96:BX97 P94 P79:P82 P84 P96:P97 BL89 BL94 BL79:BL82 BL84 BL96:BL97 CJ89 CJ94 CJ79:CJ82 CJ84 CJ96:CJ97 CP89 CP94 CP79:CP82 CP84 CP96:CP97 CD57 J57 CD62 CD65:CD67 V57 AB57 V62 V65:V67 AH57 AB62 AB65:AB67 AN57 AH62 AH65:AH67 AT57 AN62 AN65:AN67 AZ57 AT62 AT65:AT67 BF57 AZ62 AZ65:AZ67 BX57 BR57 BX62 BX65:BX67 BF62 BF65:BF67 BR62 BR65:BR67 P57 J62 J65:J67 P62 P65:P67 BL57 BL62 BL65:BL67 CJ57 CJ62 CJ65:CJ67 CP57 CP62 CP65:CP67 CV89 CV94 CV79:CV82 CV84 CV96:CV97 CV57 CV62 CV65:CV67 DB89 DB94 DB79:DB82 DB84 DB96:DB97 DB57 DB62 DB65:DB67 DH89 DH94 DH79:DH82 DH84 DH96:DH97 DH57 DH62 DH65:DH67 DN89 DN94 DN79:DN82 DN84 DN96:DN97 DN57 DN62 DN65:DN67">
    <cfRule type="cellIs" dxfId="19" priority="14" stopIfTrue="1" operator="equal">
      <formula>"!"</formula>
    </cfRule>
  </conditionalFormatting>
  <conditionalFormatting sqref="CD90:CD93 CD68:CD78 CD83 CD95 V90:V93 V68:V78 V83 V95 V85:V88 CD85:CD88 AB90:AB93 AB68:AB78 AB83 AB95 AB85:AB88 AH90:AH93 AH68:AH78 AH83 AH95 AH85:AH88 AN90:AN93 AN68:AN78 AN83 AN95 AN85:AN88 AT90:AT93 AT68:AT78 AT83 AT95 AZ90:AZ93 AZ68:AZ78 AZ83 AZ95 BX90:BX93 BX68:BX78 BX83 BX95 BX85:BX88 BF90:BF93 BF68:BF78 BF83 BF95 BR90:BR93 BR68:BR78 BR83 BR95 BR85:BR88 P90:P93 P68:P78 P83 P95 P85:P88 J90:J93 J68:J78 J83 J95 J85:J88 BF85:BF88 AZ85:AZ88 AT85:AT88 BL90:BL93 BL68:BL78 BL83 BL95 BL85:BL88 CJ90:CJ93 CJ68:CJ78 CJ83 CJ95 CJ85:CJ88 CP90:CP93 CP68:CP78 CP83 CP95 CP85:CP88 CD58:CD61 CD54:CD56 CD63:CD64 AN58:AN61 BR58:BR61 V58:V61 V54:V56 V63:V64 AH58:AH61 AB58:AB61 BX58:BX61 P58:P61 J58:J61 AB54:AB56 AB63:AB64 AH54:AH56 AH63:AH64 AN54:AN56 AN63:AN64 AT58:AT61 AT54:AT56 AT63:AT64 AZ58:AZ61 AZ54:AZ56 AZ63:AZ64 BX54:BX56 BX63:BX64 BF58:BF61 BF54:BF56 BF63:BF64 BR54:BR56 BR63:BR64 P54:P56 P63:P64 J54:J56 J63:J64 BL58:BL61 BL54:BL56 BL63:BL64 CJ58:CJ61 CJ54:CJ56 CJ63:CJ64 CP58:CP61 CP54:CP56 CP63:CP64 CV90:CV93 CV68:CV78 CV83 CV95 CV85:CV88 CV58:CV61 CV54:CV56 CV63:CV64 DB90:DB93 DB68:DB78 DB83 DB95 DB85:DB88 DB58:DB61 DB54:DB56 DB63:DB64 DH90:DH93 DH68:DH78 DH83 DH95 DH85:DH88 DH58:DH61 DH54:DH56 DH63:DH64 DN90:DN93 DN68:DN78 DN83 DN95 DN85:DN88 DN58:DN61 DN54:DN56 DN63:DN64">
    <cfRule type="cellIs" dxfId="18" priority="15" stopIfTrue="1" operator="notBetween">
      <formula>-0.0005</formula>
      <formula>0.0005</formula>
    </cfRule>
  </conditionalFormatting>
  <conditionalFormatting sqref="DT89 DT94 DT79:DT82 DT84 DT96:DT97 DT57 DT62 DT65:DT67">
    <cfRule type="cellIs" dxfId="17" priority="12" stopIfTrue="1" operator="equal">
      <formula>"!"</formula>
    </cfRule>
  </conditionalFormatting>
  <conditionalFormatting sqref="DT90:DT93 DT68:DT78 DT83 DT95 DT85:DT88 DT58:DT61 DT54:DT56 DT63:DT64">
    <cfRule type="cellIs" dxfId="16" priority="13" stopIfTrue="1" operator="notBetween">
      <formula>-0.0005</formula>
      <formula>0.0005</formula>
    </cfRule>
  </conditionalFormatting>
  <conditionalFormatting sqref="DZ89 DZ94 DZ79:DZ82 DZ84 DZ96:DZ97 DZ57 DZ62 DZ65:DZ67 EF89 EF94 EF79:EF82 EF84 EF96:EF97 EF57 EF62 EF65:EF67 EL89 EL94 EL79:EL82 EL84 EL96:EL97 EL57 EL62 EL65:EL67">
    <cfRule type="cellIs" dxfId="15" priority="10" stopIfTrue="1" operator="equal">
      <formula>"!"</formula>
    </cfRule>
  </conditionalFormatting>
  <conditionalFormatting sqref="DZ90:DZ93 DZ68:DZ78 DZ83 DZ95 DZ85:DZ88 DZ58:DZ61 DZ54:DZ56 DZ63:DZ64 EF90:EF93 EF68:EF78 EF83 EF95 EF85:EF88 EF58:EF61 EF54:EF56 EF63:EF64 EL90:EL93 EL68:EL78 EL83 EL95 EL85:EL88 EL58:EL61 EL54:EL56 EL63:EL64">
    <cfRule type="cellIs" dxfId="14" priority="11" stopIfTrue="1" operator="notBetween">
      <formula>-0.0005</formula>
      <formula>0.0005</formula>
    </cfRule>
  </conditionalFormatting>
  <conditionalFormatting sqref="CJ5:CJ48 CD5:CD48 J5:J48 BR5:BR48 P5:P48 V5:V48 AB5:AB48 AH5:AH48 AN5:AN48 AT5:AT48 AZ5:AZ48 BF5:BF48 BL5:BL48 BX5:BX48 CP5:CP48 CV5:CV48 DB5:DB48 DH5:DH48 DN5:DN48">
    <cfRule type="cellIs" dxfId="13" priority="9" stopIfTrue="1" operator="notBetween">
      <formula>-0.005</formula>
      <formula>0.005</formula>
    </cfRule>
  </conditionalFormatting>
  <conditionalFormatting sqref="DT5:DT48">
    <cfRule type="cellIs" dxfId="12" priority="8" stopIfTrue="1" operator="notBetween">
      <formula>-0.005</formula>
      <formula>0.005</formula>
    </cfRule>
  </conditionalFormatting>
  <conditionalFormatting sqref="DZ5:DZ48 EF5:EF48 EL5:EL48">
    <cfRule type="cellIs" dxfId="11" priority="7" stopIfTrue="1" operator="notBetween">
      <formula>-0.005</formula>
      <formula>0.005</formula>
    </cfRule>
  </conditionalFormatting>
  <conditionalFormatting sqref="ER89 ER94 ER79:ER82 ER84 ER96:ER97 ER57 ER62 ER65:ER67">
    <cfRule type="cellIs" dxfId="10" priority="5" stopIfTrue="1" operator="equal">
      <formula>"!"</formula>
    </cfRule>
  </conditionalFormatting>
  <conditionalFormatting sqref="ER90:ER93 ER68:ER78 ER83 ER95 ER85:ER88 ER58:ER61 ER54:ER56 ER63:ER64">
    <cfRule type="cellIs" dxfId="9" priority="6" stopIfTrue="1" operator="notBetween">
      <formula>-0.0005</formula>
      <formula>0.0005</formula>
    </cfRule>
  </conditionalFormatting>
  <conditionalFormatting sqref="ER5:ER48">
    <cfRule type="cellIs" dxfId="8" priority="4" stopIfTrue="1" operator="notBetween">
      <formula>-0.005</formula>
      <formula>0.005</formula>
    </cfRule>
  </conditionalFormatting>
  <conditionalFormatting sqref="EX89 EX94 EX79:EX82 EX84 EX96:EX97 EX57 EX62 EX65:EX67">
    <cfRule type="cellIs" dxfId="7" priority="2" stopIfTrue="1" operator="equal">
      <formula>"!"</formula>
    </cfRule>
  </conditionalFormatting>
  <conditionalFormatting sqref="EX90:EX93 EX68:EX78 EX83 EX95 EX85:EX88 EX58:EX61 EX54:EX56 EX63:EX64">
    <cfRule type="cellIs" dxfId="6" priority="3" stopIfTrue="1" operator="notBetween">
      <formula>-0.0005</formula>
      <formula>0.0005</formula>
    </cfRule>
  </conditionalFormatting>
  <conditionalFormatting sqref="EX5:EX48">
    <cfRule type="cellIs" dxfId="5" priority="1" stopIfTrue="1" operator="notBetween">
      <formula>-0.005</formula>
      <formula>0.005</formula>
    </cfRule>
  </conditionalFormatting>
  <pageMargins left="0.25" right="0.25" top="0.75" bottom="0.75" header="0.3" footer="0.3"/>
  <pageSetup paperSize="9" scale="54" fitToHeight="0" orientation="landscape"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tabColor indexed="42"/>
  </sheetPr>
  <dimension ref="A1:N423"/>
  <sheetViews>
    <sheetView showGridLines="0" topLeftCell="A377" zoomScale="110" zoomScaleNormal="108" zoomScaleSheetLayoutView="85" workbookViewId="0">
      <selection activeCell="A398" sqref="A398"/>
    </sheetView>
  </sheetViews>
  <sheetFormatPr defaultRowHeight="12.75"/>
  <sheetData>
    <row r="1" spans="1:14">
      <c r="A1" s="1503"/>
      <c r="B1" s="1503"/>
      <c r="C1" s="1503"/>
      <c r="D1" s="1503"/>
      <c r="E1" s="1503"/>
      <c r="F1" s="1503"/>
      <c r="G1" s="1503"/>
      <c r="H1" s="1503"/>
      <c r="I1" s="1503"/>
      <c r="J1" s="1503"/>
      <c r="K1" s="1503"/>
      <c r="L1" s="1503"/>
      <c r="M1" s="1503"/>
      <c r="N1" s="1503"/>
    </row>
    <row r="2" spans="1:14" ht="18">
      <c r="A2" s="1504" t="s">
        <v>1202</v>
      </c>
      <c r="B2" s="1503"/>
      <c r="C2" s="1503"/>
      <c r="D2" s="1503"/>
      <c r="E2" s="1503"/>
      <c r="F2" s="1503"/>
      <c r="G2" s="1503"/>
      <c r="H2" s="1503"/>
      <c r="I2" s="1503"/>
      <c r="J2" s="1503"/>
      <c r="K2" s="1503"/>
      <c r="L2" s="1503"/>
      <c r="M2" s="1503"/>
      <c r="N2" s="1503"/>
    </row>
    <row r="3" spans="1:14">
      <c r="A3" s="1503"/>
      <c r="B3" s="1503"/>
      <c r="C3" s="1503"/>
      <c r="D3" s="1503"/>
      <c r="E3" s="1503"/>
      <c r="F3" s="1503"/>
      <c r="G3" s="1503"/>
      <c r="H3" s="1503"/>
      <c r="I3" s="1503"/>
      <c r="J3" s="1503"/>
      <c r="K3" s="1503"/>
      <c r="L3" s="1503"/>
      <c r="M3" s="1503"/>
      <c r="N3" s="1503"/>
    </row>
    <row r="67" spans="1:14">
      <c r="A67" s="1503"/>
      <c r="B67" s="1503"/>
      <c r="C67" s="1503"/>
      <c r="D67" s="1503"/>
      <c r="E67" s="1503"/>
      <c r="F67" s="1503"/>
      <c r="G67" s="1503"/>
      <c r="H67" s="1503"/>
      <c r="I67" s="1503"/>
      <c r="J67" s="1503"/>
      <c r="K67" s="1503"/>
      <c r="L67" s="1503"/>
      <c r="M67" s="1503"/>
      <c r="N67" s="1503"/>
    </row>
    <row r="68" spans="1:14" ht="18">
      <c r="A68" s="1504" t="s">
        <v>2026</v>
      </c>
      <c r="B68" s="1503"/>
      <c r="C68" s="1503"/>
      <c r="D68" s="1503"/>
      <c r="E68" s="1503"/>
      <c r="F68" s="1503"/>
      <c r="G68" s="1503"/>
      <c r="H68" s="1503"/>
      <c r="I68" s="1503"/>
      <c r="J68" s="1503"/>
      <c r="K68" s="1503"/>
      <c r="L68" s="1503"/>
      <c r="M68" s="1503"/>
      <c r="N68" s="1503"/>
    </row>
    <row r="69" spans="1:14">
      <c r="A69" s="1503"/>
      <c r="B69" s="1503"/>
      <c r="C69" s="1503"/>
      <c r="D69" s="1503"/>
      <c r="E69" s="1503"/>
      <c r="F69" s="1503"/>
      <c r="G69" s="1503"/>
      <c r="H69" s="1503"/>
      <c r="I69" s="1503"/>
      <c r="J69" s="1503"/>
      <c r="K69" s="1503"/>
      <c r="L69" s="1503"/>
      <c r="M69" s="1503"/>
      <c r="N69" s="1503"/>
    </row>
    <row r="91" spans="1:14">
      <c r="A91" s="1503"/>
      <c r="B91" s="1503"/>
      <c r="C91" s="1503"/>
      <c r="D91" s="1503"/>
      <c r="E91" s="1503"/>
      <c r="F91" s="1503"/>
      <c r="G91" s="1503"/>
      <c r="H91" s="1503"/>
      <c r="I91" s="1503"/>
      <c r="J91" s="1503"/>
      <c r="K91" s="1503"/>
      <c r="L91" s="1503"/>
      <c r="M91" s="1503"/>
      <c r="N91" s="1503"/>
    </row>
    <row r="92" spans="1:14" ht="18">
      <c r="A92" s="1504" t="s">
        <v>2027</v>
      </c>
      <c r="B92" s="1503"/>
      <c r="C92" s="1503"/>
      <c r="D92" s="1503"/>
      <c r="E92" s="1503"/>
      <c r="F92" s="1503"/>
      <c r="G92" s="1503"/>
      <c r="H92" s="1503"/>
      <c r="I92" s="1503"/>
      <c r="J92" s="1503"/>
      <c r="K92" s="1503"/>
      <c r="L92" s="1503"/>
      <c r="M92" s="1503"/>
      <c r="N92" s="1503"/>
    </row>
    <row r="93" spans="1:14">
      <c r="A93" s="1503"/>
      <c r="B93" s="1503"/>
      <c r="C93" s="1503"/>
      <c r="D93" s="1503"/>
      <c r="E93" s="1503"/>
      <c r="F93" s="1503"/>
      <c r="G93" s="1503"/>
      <c r="H93" s="1503"/>
      <c r="I93" s="1503"/>
      <c r="J93" s="1503"/>
      <c r="K93" s="1503"/>
      <c r="L93" s="1503"/>
      <c r="M93" s="1503"/>
      <c r="N93" s="1503"/>
    </row>
    <row r="136" spans="1:14">
      <c r="A136" s="1503"/>
      <c r="B136" s="1503"/>
      <c r="C136" s="1503"/>
      <c r="D136" s="1503"/>
      <c r="E136" s="1503"/>
      <c r="F136" s="1503"/>
      <c r="G136" s="1503"/>
      <c r="H136" s="1503"/>
      <c r="I136" s="1503"/>
      <c r="J136" s="1503"/>
      <c r="K136" s="1503"/>
      <c r="L136" s="1503"/>
      <c r="M136" s="1503"/>
      <c r="N136" s="1503"/>
    </row>
    <row r="137" spans="1:14" ht="18">
      <c r="A137" s="1504" t="s">
        <v>1203</v>
      </c>
      <c r="B137" s="1503"/>
      <c r="C137" s="1503"/>
      <c r="D137" s="1503"/>
      <c r="E137" s="1503"/>
      <c r="F137" s="1503"/>
      <c r="G137" s="1503"/>
      <c r="H137" s="1503"/>
      <c r="I137" s="1503"/>
      <c r="J137" s="1503"/>
      <c r="K137" s="1503"/>
      <c r="L137" s="1503"/>
      <c r="M137" s="1503"/>
      <c r="N137" s="1503"/>
    </row>
    <row r="138" spans="1:14">
      <c r="A138" s="1503"/>
      <c r="B138" s="1503"/>
      <c r="C138" s="1503"/>
      <c r="D138" s="1503"/>
      <c r="E138" s="1503"/>
      <c r="F138" s="1503"/>
      <c r="G138" s="1503"/>
      <c r="H138" s="1503"/>
      <c r="I138" s="1503"/>
      <c r="J138" s="1503"/>
      <c r="K138" s="1503"/>
      <c r="L138" s="1503"/>
      <c r="M138" s="1503"/>
      <c r="N138" s="1503"/>
    </row>
    <row r="265" spans="1:14">
      <c r="A265" s="1503"/>
      <c r="B265" s="1503"/>
      <c r="C265" s="1503"/>
      <c r="D265" s="1503"/>
      <c r="E265" s="1503"/>
      <c r="F265" s="1503"/>
      <c r="G265" s="1503"/>
      <c r="H265" s="1503"/>
      <c r="I265" s="1503"/>
      <c r="J265" s="1503"/>
      <c r="K265" s="1503"/>
      <c r="L265" s="1503"/>
      <c r="M265" s="1503"/>
      <c r="N265" s="1503"/>
    </row>
    <row r="266" spans="1:14" ht="18">
      <c r="A266" s="1504" t="s">
        <v>831</v>
      </c>
      <c r="B266" s="1503"/>
      <c r="C266" s="1503"/>
      <c r="D266" s="1503"/>
      <c r="E266" s="1503"/>
      <c r="F266" s="1503"/>
      <c r="G266" s="1503"/>
      <c r="H266" s="1503"/>
      <c r="I266" s="1503"/>
      <c r="J266" s="1503"/>
      <c r="K266" s="1503"/>
      <c r="L266" s="1503"/>
      <c r="M266" s="1503"/>
      <c r="N266" s="1503"/>
    </row>
    <row r="267" spans="1:14">
      <c r="A267" s="1503"/>
      <c r="B267" s="1503"/>
      <c r="C267" s="1503"/>
      <c r="D267" s="1503"/>
      <c r="E267" s="1503"/>
      <c r="F267" s="1503"/>
      <c r="G267" s="1503"/>
      <c r="H267" s="1503"/>
      <c r="I267" s="1503"/>
      <c r="J267" s="1503"/>
      <c r="K267" s="1503"/>
      <c r="L267" s="1503"/>
      <c r="M267" s="1503"/>
      <c r="N267" s="1503"/>
    </row>
    <row r="331" spans="1:14">
      <c r="A331" s="1503"/>
      <c r="B331" s="1503"/>
      <c r="C331" s="1503"/>
      <c r="D331" s="1503"/>
      <c r="E331" s="1503"/>
      <c r="F331" s="1503"/>
      <c r="G331" s="1503"/>
      <c r="H331" s="1503"/>
      <c r="I331" s="1503"/>
      <c r="J331" s="1503"/>
      <c r="K331" s="1503"/>
      <c r="L331" s="1503"/>
      <c r="M331" s="1503"/>
      <c r="N331" s="1503"/>
    </row>
    <row r="332" spans="1:14" ht="18">
      <c r="A332" s="1504" t="s">
        <v>1194</v>
      </c>
      <c r="B332" s="1503"/>
      <c r="C332" s="1503"/>
      <c r="D332" s="1503"/>
      <c r="E332" s="1503"/>
      <c r="F332" s="1503"/>
      <c r="G332" s="1503"/>
      <c r="H332" s="1503"/>
      <c r="I332" s="1503"/>
      <c r="J332" s="1503"/>
      <c r="K332" s="1503"/>
      <c r="L332" s="1503"/>
      <c r="M332" s="1503"/>
      <c r="N332" s="1503"/>
    </row>
    <row r="333" spans="1:14">
      <c r="A333" s="1503"/>
      <c r="B333" s="1503"/>
      <c r="C333" s="1503"/>
      <c r="D333" s="1503"/>
      <c r="E333" s="1503"/>
      <c r="F333" s="1503"/>
      <c r="G333" s="1503"/>
      <c r="H333" s="1503"/>
      <c r="I333" s="1503"/>
      <c r="J333" s="1503"/>
      <c r="K333" s="1503"/>
      <c r="L333" s="1503"/>
      <c r="M333" s="1503"/>
      <c r="N333" s="1503"/>
    </row>
    <row r="397" spans="1:14">
      <c r="A397" s="1503"/>
      <c r="B397" s="1503"/>
      <c r="C397" s="1503"/>
      <c r="D397" s="1503"/>
      <c r="E397" s="1503"/>
      <c r="F397" s="1503"/>
      <c r="G397" s="1503"/>
      <c r="H397" s="1503"/>
      <c r="I397" s="1503"/>
      <c r="J397" s="1503"/>
      <c r="K397" s="1503"/>
      <c r="L397" s="1503"/>
      <c r="M397" s="1503"/>
      <c r="N397" s="1503"/>
    </row>
    <row r="398" spans="1:14" ht="18">
      <c r="A398" s="1504" t="s">
        <v>92</v>
      </c>
      <c r="B398" s="1503"/>
      <c r="C398" s="1503"/>
      <c r="D398" s="1503"/>
      <c r="E398" s="1503"/>
      <c r="F398" s="1503"/>
      <c r="G398" s="1503"/>
      <c r="H398" s="1503"/>
      <c r="I398" s="1503"/>
      <c r="J398" s="1503"/>
      <c r="K398" s="1503"/>
      <c r="L398" s="1503"/>
      <c r="M398" s="1503"/>
      <c r="N398" s="1503"/>
    </row>
    <row r="399" spans="1:14">
      <c r="A399" s="1503"/>
      <c r="B399" s="1503"/>
      <c r="C399" s="1503"/>
      <c r="D399" s="1503"/>
      <c r="E399" s="1503"/>
      <c r="F399" s="1503"/>
      <c r="G399" s="1503"/>
      <c r="H399" s="1503"/>
      <c r="I399" s="1503"/>
      <c r="J399" s="1503"/>
      <c r="K399" s="1503"/>
      <c r="L399" s="1503"/>
      <c r="M399" s="1503"/>
      <c r="N399" s="1503"/>
    </row>
    <row r="421" spans="1:14">
      <c r="A421" s="1503"/>
      <c r="B421" s="1503"/>
      <c r="C421" s="1503"/>
      <c r="D421" s="1503"/>
      <c r="E421" s="1503"/>
      <c r="F421" s="1503"/>
      <c r="G421" s="1503"/>
      <c r="H421" s="1503"/>
      <c r="I421" s="1503"/>
      <c r="J421" s="1503"/>
      <c r="K421" s="1503"/>
      <c r="L421" s="1503"/>
      <c r="M421" s="1503"/>
      <c r="N421" s="1503"/>
    </row>
    <row r="422" spans="1:14" ht="18">
      <c r="A422" s="1504" t="s">
        <v>832</v>
      </c>
      <c r="B422" s="1503"/>
      <c r="C422" s="1503"/>
      <c r="D422" s="1503"/>
      <c r="E422" s="1503"/>
      <c r="F422" s="1503"/>
      <c r="G422" s="1503"/>
      <c r="H422" s="1503"/>
      <c r="I422" s="1503"/>
      <c r="J422" s="1503"/>
      <c r="K422" s="1503"/>
      <c r="L422" s="1503"/>
      <c r="M422" s="1503"/>
      <c r="N422" s="1503"/>
    </row>
    <row r="423" spans="1:14">
      <c r="A423" s="1503"/>
      <c r="B423" s="1503"/>
      <c r="C423" s="1503"/>
      <c r="D423" s="1503"/>
      <c r="E423" s="1503"/>
      <c r="F423" s="1503"/>
      <c r="G423" s="1503"/>
      <c r="H423" s="1503"/>
      <c r="I423" s="1503"/>
      <c r="J423" s="1503"/>
      <c r="K423" s="1503"/>
      <c r="L423" s="1503"/>
      <c r="M423" s="1503"/>
      <c r="N423" s="1503"/>
    </row>
  </sheetData>
  <phoneticPr fontId="60" type="noConversion"/>
  <printOptions horizontalCentered="1"/>
  <pageMargins left="0.74803149606299213" right="0.55118110236220474" top="0.5" bottom="0.44" header="0.35433070866141736" footer="0.31496062992125984"/>
  <pageSetup paperSize="9" scale="65" fitToHeight="13" orientation="portrait" r:id="rId1"/>
  <headerFooter alignWithMargins="0"/>
  <rowBreaks count="6" manualBreakCount="6">
    <brk id="90" max="13" man="1"/>
    <brk id="180" max="13" man="1"/>
    <brk id="264" max="13" man="1"/>
    <brk id="330" max="13" man="1"/>
    <brk id="420" max="13" man="1"/>
    <brk id="489" max="14" man="1"/>
  </rowBreaks>
  <colBreaks count="1" manualBreakCount="1">
    <brk id="14" max="1048575" man="1"/>
  </colBreaks>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enableFormatConditionsCalculation="0">
    <tabColor indexed="44"/>
    <pageSetUpPr autoPageBreaks="0" fitToPage="1"/>
  </sheetPr>
  <dimension ref="A1:IV2316"/>
  <sheetViews>
    <sheetView showGridLines="0" topLeftCell="A91" workbookViewId="0">
      <selection activeCell="T112" sqref="T112"/>
    </sheetView>
  </sheetViews>
  <sheetFormatPr defaultRowHeight="12.75"/>
  <cols>
    <col min="1" max="1" width="5" style="15" bestFit="1" customWidth="1"/>
    <col min="2" max="2" width="63.42578125" style="16" bestFit="1" customWidth="1"/>
    <col min="3" max="7" width="10" style="16" customWidth="1"/>
    <col min="8" max="8" width="10.140625" style="16" customWidth="1"/>
    <col min="9" max="11" width="10.140625" style="17" customWidth="1"/>
    <col min="12" max="27" width="8.42578125" style="16" customWidth="1"/>
    <col min="28" max="28" width="41.140625" style="16" customWidth="1"/>
    <col min="29" max="44" width="8.42578125" style="16" customWidth="1"/>
    <col min="45" max="45" width="41.140625" style="16" customWidth="1"/>
    <col min="46" max="52" width="8.42578125" style="16" customWidth="1"/>
    <col min="53" max="59" width="9.140625" style="16"/>
    <col min="60" max="77" width="9.140625" style="16" hidden="1" customWidth="1"/>
    <col min="78" max="78" width="9.140625" style="16"/>
    <col min="79" max="143" width="9.140625" style="16" hidden="1" customWidth="1"/>
    <col min="144" max="149" width="9.140625" style="16"/>
  </cols>
  <sheetData>
    <row r="1" hidden="1"/>
    <row r="2" hidden="1"/>
    <row r="3" hidden="1"/>
    <row r="4" hidden="1"/>
    <row r="5" hidden="1"/>
    <row r="6" hidden="1"/>
    <row r="7" hidden="1"/>
    <row r="8" hidden="1"/>
    <row r="9" hidden="1"/>
    <row r="10" hidden="1"/>
    <row r="11" hidden="1"/>
    <row r="12" hidden="1"/>
    <row r="13" hidden="1"/>
    <row r="14" hidden="1"/>
    <row r="15" hidden="1"/>
    <row r="16" hidden="1"/>
    <row r="17" hidden="1"/>
    <row r="18" hidden="1"/>
    <row r="19" hidden="1"/>
    <row r="20" hidden="1"/>
    <row r="21" hidden="1"/>
    <row r="22" hidden="1"/>
    <row r="23" hidden="1"/>
    <row r="24" hidden="1"/>
    <row r="25" hidden="1"/>
    <row r="26" hidden="1"/>
    <row r="27" hidden="1"/>
    <row r="28" hidden="1"/>
    <row r="29" hidden="1"/>
    <row r="30" hidden="1"/>
    <row r="31" hidden="1"/>
    <row r="32" hidden="1"/>
    <row r="33" hidden="1"/>
    <row r="34" hidden="1"/>
    <row r="35" hidden="1"/>
    <row r="36" hidden="1"/>
    <row r="37" hidden="1"/>
    <row r="38" hidden="1"/>
    <row r="39" hidden="1"/>
    <row r="40" hidden="1"/>
    <row r="41" hidden="1"/>
    <row r="42" hidden="1"/>
    <row r="43" hidden="1"/>
    <row r="44" hidden="1"/>
    <row r="45" hidden="1"/>
    <row r="46" hidden="1"/>
    <row r="47" hidden="1"/>
    <row r="48"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spans="1:256" hidden="1"/>
    <row r="82" spans="1:256" hidden="1"/>
    <row r="83" spans="1:256" hidden="1"/>
    <row r="84" spans="1:256" hidden="1"/>
    <row r="85" spans="1:256" hidden="1"/>
    <row r="86" spans="1:256" hidden="1"/>
    <row r="87" spans="1:256" hidden="1"/>
    <row r="88" spans="1:256" hidden="1"/>
    <row r="89" spans="1:256" hidden="1"/>
    <row r="90" spans="1:256" hidden="1"/>
    <row r="91" spans="1:256" s="1028" customFormat="1" ht="15.75" customHeight="1">
      <c r="A91" s="1030"/>
      <c r="I91" s="1029"/>
      <c r="J91" s="1029"/>
      <c r="K91" s="1029"/>
      <c r="Z91" s="2066"/>
      <c r="AR91" s="1979"/>
      <c r="BZ91" s="2066"/>
      <c r="EN91" s="1979"/>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c r="HB91"/>
      <c r="HC91"/>
      <c r="HD91"/>
      <c r="HE91"/>
      <c r="HF91"/>
      <c r="HG91"/>
      <c r="HH91"/>
      <c r="HI91"/>
      <c r="HJ91"/>
      <c r="HK91"/>
      <c r="HL91"/>
      <c r="HM91"/>
      <c r="HN91"/>
      <c r="HO91"/>
      <c r="HP91"/>
      <c r="HQ91"/>
      <c r="HR91"/>
      <c r="HS91"/>
      <c r="HT91"/>
      <c r="HU91"/>
      <c r="HV91"/>
      <c r="HW91"/>
      <c r="HX91"/>
      <c r="HY91"/>
      <c r="HZ91"/>
      <c r="IA91"/>
      <c r="IB91"/>
      <c r="IC91"/>
      <c r="ID91"/>
      <c r="IE91"/>
      <c r="IF91"/>
      <c r="IG91"/>
      <c r="IH91"/>
      <c r="II91"/>
      <c r="IJ91"/>
      <c r="IK91"/>
      <c r="IL91"/>
      <c r="IM91"/>
      <c r="IN91"/>
      <c r="IO91"/>
      <c r="IP91"/>
      <c r="IQ91"/>
      <c r="IR91"/>
      <c r="IS91"/>
      <c r="IT91"/>
      <c r="IU91"/>
      <c r="IV91"/>
    </row>
    <row r="92" spans="1:256" s="1028" customFormat="1" ht="15.75">
      <c r="A92" s="1030"/>
      <c r="B92" s="2005" t="s">
        <v>1129</v>
      </c>
      <c r="I92" s="1029"/>
      <c r="J92" s="1029"/>
      <c r="K92" s="1029"/>
      <c r="Z92" s="2066" t="s">
        <v>1025</v>
      </c>
      <c r="AR92" s="1979" t="s">
        <v>179</v>
      </c>
      <c r="BZ92" s="2066" t="s">
        <v>1025</v>
      </c>
      <c r="EN92" s="1979" t="s">
        <v>179</v>
      </c>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c r="HB92"/>
      <c r="HC92"/>
      <c r="HD92"/>
      <c r="HE92"/>
      <c r="HF92"/>
      <c r="HG92"/>
      <c r="HH92"/>
      <c r="HI92"/>
      <c r="HJ92"/>
      <c r="HK92"/>
      <c r="HL92"/>
      <c r="HM92"/>
      <c r="HN92"/>
      <c r="HO92"/>
      <c r="HP92"/>
      <c r="HQ92"/>
      <c r="HR92"/>
      <c r="HS92"/>
      <c r="HT92"/>
      <c r="HU92"/>
      <c r="HV92"/>
      <c r="HW92"/>
      <c r="HX92"/>
      <c r="HY92"/>
      <c r="HZ92"/>
      <c r="IA92"/>
      <c r="IB92"/>
      <c r="IC92"/>
      <c r="ID92"/>
      <c r="IE92"/>
      <c r="IF92"/>
      <c r="IG92"/>
      <c r="IH92"/>
      <c r="II92"/>
      <c r="IJ92"/>
      <c r="IK92"/>
      <c r="IL92"/>
      <c r="IM92"/>
      <c r="IN92"/>
      <c r="IO92"/>
      <c r="IP92"/>
      <c r="IQ92"/>
      <c r="IR92"/>
      <c r="IS92"/>
      <c r="IT92"/>
      <c r="IU92"/>
      <c r="IV92"/>
    </row>
    <row r="93" spans="1:256" s="1629" customFormat="1" ht="15.75">
      <c r="B93" s="1980" t="s">
        <v>920</v>
      </c>
      <c r="C93" s="1631" t="s">
        <v>68</v>
      </c>
      <c r="D93" s="1632"/>
      <c r="E93" s="1633"/>
      <c r="F93" s="1632"/>
      <c r="G93" s="1632"/>
      <c r="H93" s="1634"/>
      <c r="I93" s="1630"/>
      <c r="J93" s="1630"/>
      <c r="K93" s="1630"/>
      <c r="Z93" s="2067" t="s">
        <v>1024</v>
      </c>
      <c r="AR93" s="1979" t="s">
        <v>180</v>
      </c>
      <c r="BZ93" s="2067" t="s">
        <v>1024</v>
      </c>
      <c r="EN93" s="1979" t="s">
        <v>919</v>
      </c>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c r="HB93"/>
      <c r="HC93"/>
      <c r="HD93"/>
      <c r="HE93"/>
      <c r="HF93"/>
      <c r="HG93"/>
      <c r="HH93"/>
      <c r="HI93"/>
      <c r="HJ93"/>
      <c r="HK93"/>
      <c r="HL93"/>
      <c r="HM93"/>
      <c r="HN93"/>
      <c r="HO93"/>
      <c r="HP93"/>
      <c r="HQ93"/>
      <c r="HR93"/>
      <c r="HS93"/>
      <c r="HT93"/>
      <c r="HU93"/>
      <c r="HV93"/>
      <c r="HW93"/>
      <c r="HX93"/>
      <c r="HY93"/>
      <c r="HZ93"/>
      <c r="IA93"/>
      <c r="IB93"/>
      <c r="IC93"/>
      <c r="ID93"/>
      <c r="IE93"/>
      <c r="IF93"/>
      <c r="IG93"/>
      <c r="IH93"/>
      <c r="II93"/>
      <c r="IJ93"/>
      <c r="IK93"/>
      <c r="IL93"/>
      <c r="IM93"/>
      <c r="IN93"/>
      <c r="IO93"/>
      <c r="IP93"/>
      <c r="IQ93"/>
      <c r="IR93"/>
      <c r="IS93"/>
      <c r="IT93"/>
      <c r="IU93"/>
      <c r="IV93"/>
    </row>
    <row r="94" spans="1:256" s="1629" customFormat="1" ht="15.75">
      <c r="B94" s="1980" t="s">
        <v>921</v>
      </c>
      <c r="C94" s="1638" t="s">
        <v>914</v>
      </c>
      <c r="D94" s="1639"/>
      <c r="E94" s="1640" t="s">
        <v>1950</v>
      </c>
      <c r="F94" s="1638" t="s">
        <v>652</v>
      </c>
      <c r="G94" s="1639"/>
      <c r="H94" s="1640" t="s">
        <v>2420</v>
      </c>
      <c r="I94" s="1630"/>
      <c r="J94" s="1630"/>
      <c r="K94" s="1630"/>
      <c r="AR94" s="1032" t="s">
        <v>1753</v>
      </c>
      <c r="EN94" s="1032" t="s">
        <v>918</v>
      </c>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c r="HB94"/>
      <c r="HC94"/>
      <c r="HD94"/>
      <c r="HE94"/>
      <c r="HF94"/>
      <c r="HG94"/>
      <c r="HH94"/>
      <c r="HI94"/>
      <c r="HJ94"/>
      <c r="HK94"/>
      <c r="HL94"/>
      <c r="HM94"/>
      <c r="HN94"/>
      <c r="HO94"/>
      <c r="HP94"/>
      <c r="HQ94"/>
      <c r="HR94"/>
      <c r="HS94"/>
      <c r="HT94"/>
      <c r="HU94"/>
      <c r="HV94"/>
      <c r="HW94"/>
      <c r="HX94"/>
      <c r="HY94"/>
      <c r="HZ94"/>
      <c r="IA94"/>
      <c r="IB94"/>
      <c r="IC94"/>
      <c r="ID94"/>
      <c r="IE94"/>
      <c r="IF94"/>
      <c r="IG94"/>
      <c r="IH94"/>
      <c r="II94"/>
      <c r="IJ94"/>
      <c r="IK94"/>
      <c r="IL94"/>
      <c r="IM94"/>
      <c r="IN94"/>
      <c r="IO94"/>
      <c r="IP94"/>
      <c r="IQ94"/>
      <c r="IR94"/>
      <c r="IS94"/>
      <c r="IT94"/>
      <c r="IU94"/>
      <c r="IV94"/>
    </row>
    <row r="95" spans="1:256" s="1629" customFormat="1" ht="15.75">
      <c r="B95" s="2071" t="s">
        <v>922</v>
      </c>
      <c r="C95" s="1635" t="s">
        <v>528</v>
      </c>
      <c r="D95" s="1636"/>
      <c r="E95" s="1637" t="s">
        <v>1236</v>
      </c>
      <c r="F95" s="1635" t="s">
        <v>521</v>
      </c>
      <c r="G95" s="1636"/>
      <c r="H95" s="1637">
        <v>2019</v>
      </c>
      <c r="I95" s="1630"/>
      <c r="J95" s="1630"/>
      <c r="K95" s="1630"/>
      <c r="AR95" s="1032" t="s">
        <v>1754</v>
      </c>
      <c r="EN95" s="1032" t="s">
        <v>923</v>
      </c>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c r="HB95"/>
      <c r="HC95"/>
      <c r="HD95"/>
      <c r="HE95"/>
      <c r="HF95"/>
      <c r="HG95"/>
      <c r="HH95"/>
      <c r="HI95"/>
      <c r="HJ95"/>
      <c r="HK95"/>
      <c r="HL95"/>
      <c r="HM95"/>
      <c r="HN95"/>
      <c r="HO95"/>
      <c r="HP95"/>
      <c r="HQ95"/>
      <c r="HR95"/>
      <c r="HS95"/>
      <c r="HT95"/>
      <c r="HU95"/>
      <c r="HV95"/>
      <c r="HW95"/>
      <c r="HX95"/>
      <c r="HY95"/>
      <c r="HZ95"/>
      <c r="IA95"/>
      <c r="IB95"/>
      <c r="IC95"/>
      <c r="ID95"/>
      <c r="IE95"/>
      <c r="IF95"/>
      <c r="IG95"/>
      <c r="IH95"/>
      <c r="II95"/>
      <c r="IJ95"/>
      <c r="IK95"/>
      <c r="IL95"/>
      <c r="IM95"/>
      <c r="IN95"/>
      <c r="IO95"/>
      <c r="IP95"/>
      <c r="IQ95"/>
      <c r="IR95"/>
      <c r="IS95"/>
      <c r="IT95"/>
      <c r="IU95"/>
      <c r="IV95"/>
    </row>
    <row r="96" spans="1:256" s="1028" customFormat="1">
      <c r="A96" s="1034"/>
      <c r="I96" s="1029"/>
      <c r="J96" s="1029"/>
      <c r="K96" s="1029"/>
      <c r="L96" s="1029"/>
      <c r="M96" s="1029"/>
      <c r="N96" s="1029"/>
      <c r="O96" s="1029"/>
      <c r="P96" s="1029"/>
      <c r="Q96" s="1029"/>
      <c r="R96" s="1029"/>
      <c r="S96" s="1029"/>
      <c r="T96" s="1029"/>
      <c r="U96" s="1029"/>
      <c r="V96" s="1029"/>
      <c r="W96" s="1029"/>
      <c r="X96" s="1029"/>
      <c r="Y96" s="1029"/>
      <c r="AA96" s="1029"/>
      <c r="AB96" s="1029"/>
      <c r="AC96" s="1029"/>
      <c r="AD96" s="1029"/>
      <c r="AE96" s="1029"/>
      <c r="AF96" s="1029"/>
      <c r="AG96" s="1029"/>
      <c r="AH96" s="1029"/>
      <c r="AI96" s="1029"/>
      <c r="AJ96" s="1029"/>
      <c r="AK96" s="1029"/>
      <c r="AL96" s="1029"/>
      <c r="AM96" s="1029"/>
      <c r="AN96" s="1029"/>
      <c r="AO96" s="1029"/>
      <c r="AP96" s="1029"/>
      <c r="AQ96" s="1029"/>
      <c r="AR96" s="1029"/>
      <c r="AS96" s="1029"/>
      <c r="AT96" s="1029"/>
      <c r="AU96" s="1029"/>
      <c r="AV96" s="1029"/>
      <c r="AW96" s="1029"/>
      <c r="AX96" s="1029"/>
      <c r="AY96" s="1029"/>
      <c r="AZ96" s="1029"/>
      <c r="EN96" s="1029"/>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c r="HB96"/>
      <c r="HC96"/>
      <c r="HD96"/>
      <c r="HE96"/>
      <c r="HF96"/>
      <c r="HG96"/>
      <c r="HH96"/>
      <c r="HI96"/>
      <c r="HJ96"/>
      <c r="HK96"/>
      <c r="HL96"/>
      <c r="HM96"/>
      <c r="HN96"/>
      <c r="HO96"/>
      <c r="HP96"/>
      <c r="HQ96"/>
      <c r="HR96"/>
      <c r="HS96"/>
      <c r="HT96"/>
      <c r="HU96"/>
      <c r="HV96"/>
      <c r="HW96"/>
      <c r="HX96"/>
      <c r="HY96"/>
      <c r="HZ96"/>
      <c r="IA96"/>
      <c r="IB96"/>
      <c r="IC96"/>
      <c r="ID96"/>
      <c r="IE96"/>
      <c r="IF96"/>
      <c r="IG96"/>
      <c r="IH96"/>
      <c r="II96"/>
      <c r="IJ96"/>
      <c r="IK96"/>
      <c r="IL96"/>
      <c r="IM96"/>
      <c r="IN96"/>
      <c r="IO96"/>
      <c r="IP96"/>
      <c r="IQ96"/>
      <c r="IR96"/>
      <c r="IS96"/>
      <c r="IT96"/>
      <c r="IU96"/>
      <c r="IV96"/>
    </row>
    <row r="97" spans="1:256" s="1028" customFormat="1" hidden="1">
      <c r="A97" s="1034"/>
      <c r="G97" s="1027"/>
      <c r="I97" s="1029"/>
      <c r="J97" s="1029"/>
      <c r="K97" s="1029"/>
      <c r="L97" s="1029"/>
      <c r="M97" s="1029"/>
      <c r="N97" s="1029"/>
      <c r="O97" s="1029"/>
      <c r="P97" s="1029"/>
      <c r="Q97" s="1029"/>
      <c r="R97" s="1029"/>
      <c r="S97" s="1029"/>
      <c r="T97" s="1029"/>
      <c r="U97" s="1029"/>
      <c r="V97" s="1029"/>
      <c r="W97" s="1029"/>
      <c r="X97" s="1029"/>
      <c r="Y97" s="1029"/>
      <c r="AA97" s="1029"/>
      <c r="AB97" s="1029"/>
      <c r="AC97" s="1029"/>
      <c r="AD97" s="1029"/>
      <c r="AE97" s="1029"/>
      <c r="AF97" s="1029"/>
      <c r="AG97" s="1029"/>
      <c r="AH97" s="1029"/>
      <c r="AI97" s="1029"/>
      <c r="AJ97" s="1029"/>
      <c r="AK97" s="1029"/>
      <c r="AL97" s="1029"/>
      <c r="AM97" s="1029"/>
      <c r="AN97" s="1029"/>
      <c r="AO97" s="1029"/>
      <c r="AP97" s="1029"/>
      <c r="AQ97" s="1029"/>
      <c r="AR97" s="1029"/>
      <c r="AS97" s="1029"/>
      <c r="AT97" s="1029"/>
      <c r="AU97" s="1029"/>
      <c r="AV97" s="1029"/>
      <c r="AW97" s="1029"/>
      <c r="AX97" s="1029"/>
      <c r="AY97" s="1029"/>
      <c r="AZ97" s="1029"/>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c r="HB97"/>
      <c r="HC97"/>
      <c r="HD97"/>
      <c r="HE97"/>
      <c r="HF97"/>
      <c r="HG97"/>
      <c r="HH97"/>
      <c r="HI97"/>
      <c r="HJ97"/>
      <c r="HK97"/>
      <c r="HL97"/>
      <c r="HM97"/>
      <c r="HN97"/>
      <c r="HO97"/>
      <c r="HP97"/>
      <c r="HQ97"/>
      <c r="HR97"/>
      <c r="HS97"/>
      <c r="HT97"/>
      <c r="HU97"/>
      <c r="HV97"/>
      <c r="HW97"/>
      <c r="HX97"/>
      <c r="HY97"/>
      <c r="HZ97"/>
      <c r="IA97"/>
      <c r="IB97"/>
      <c r="IC97"/>
      <c r="ID97"/>
      <c r="IE97"/>
      <c r="IF97"/>
      <c r="IG97"/>
      <c r="IH97"/>
      <c r="II97"/>
      <c r="IJ97"/>
      <c r="IK97"/>
      <c r="IL97"/>
      <c r="IM97"/>
      <c r="IN97"/>
      <c r="IO97"/>
      <c r="IP97"/>
      <c r="IQ97"/>
      <c r="IR97"/>
      <c r="IS97"/>
      <c r="IT97"/>
      <c r="IU97"/>
      <c r="IV97"/>
    </row>
    <row r="98" spans="1:256" s="1032" customFormat="1">
      <c r="B98" s="1031"/>
      <c r="C98" s="1033">
        <v>1</v>
      </c>
      <c r="D98" s="1033">
        <f t="shared" ref="D98:O98" si="0">C98+1</f>
        <v>2</v>
      </c>
      <c r="E98" s="1033">
        <f t="shared" si="0"/>
        <v>3</v>
      </c>
      <c r="F98" s="1033">
        <f t="shared" si="0"/>
        <v>4</v>
      </c>
      <c r="G98" s="1033">
        <f t="shared" si="0"/>
        <v>5</v>
      </c>
      <c r="H98" s="1033">
        <f t="shared" si="0"/>
        <v>6</v>
      </c>
      <c r="I98" s="1033">
        <f t="shared" si="0"/>
        <v>7</v>
      </c>
      <c r="J98" s="1033">
        <f t="shared" si="0"/>
        <v>8</v>
      </c>
      <c r="K98" s="1033">
        <f t="shared" si="0"/>
        <v>9</v>
      </c>
      <c r="L98" s="1033">
        <f t="shared" si="0"/>
        <v>10</v>
      </c>
      <c r="M98" s="1033">
        <f t="shared" si="0"/>
        <v>11</v>
      </c>
      <c r="N98" s="1033">
        <f t="shared" si="0"/>
        <v>12</v>
      </c>
      <c r="O98" s="1033">
        <f t="shared" si="0"/>
        <v>13</v>
      </c>
      <c r="P98" s="1033"/>
      <c r="Q98" s="1033"/>
      <c r="R98" s="1033"/>
      <c r="S98" s="1033"/>
      <c r="T98" s="1033"/>
      <c r="U98" s="1033"/>
      <c r="V98" s="1033"/>
      <c r="W98" s="1033"/>
      <c r="X98" s="1033"/>
      <c r="Y98" s="1033"/>
      <c r="AB98" s="1031"/>
      <c r="AC98" s="1033">
        <v>1</v>
      </c>
      <c r="AD98" s="1033">
        <f t="shared" ref="AD98:AO98" si="1">AC98+1</f>
        <v>2</v>
      </c>
      <c r="AE98" s="1033">
        <f t="shared" si="1"/>
        <v>3</v>
      </c>
      <c r="AF98" s="1033">
        <f t="shared" si="1"/>
        <v>4</v>
      </c>
      <c r="AG98" s="1033">
        <f t="shared" si="1"/>
        <v>5</v>
      </c>
      <c r="AH98" s="1033">
        <f t="shared" si="1"/>
        <v>6</v>
      </c>
      <c r="AI98" s="1033">
        <f t="shared" si="1"/>
        <v>7</v>
      </c>
      <c r="AJ98" s="1033">
        <f t="shared" si="1"/>
        <v>8</v>
      </c>
      <c r="AK98" s="1033">
        <f t="shared" si="1"/>
        <v>9</v>
      </c>
      <c r="AL98" s="1033">
        <f t="shared" si="1"/>
        <v>10</v>
      </c>
      <c r="AM98" s="1033">
        <f t="shared" si="1"/>
        <v>11</v>
      </c>
      <c r="AN98" s="1033">
        <f t="shared" si="1"/>
        <v>12</v>
      </c>
      <c r="AO98" s="1033">
        <f t="shared" si="1"/>
        <v>13</v>
      </c>
      <c r="AP98" s="1033"/>
      <c r="AQ98" s="1033"/>
      <c r="AR98" s="1033" t="s">
        <v>1755</v>
      </c>
      <c r="AS98" s="1033"/>
      <c r="AT98" s="1033"/>
      <c r="AU98" s="1033"/>
      <c r="AV98" s="1033"/>
      <c r="AW98" s="1033"/>
      <c r="AX98" s="1033"/>
      <c r="AY98" s="1033"/>
      <c r="AZ98" s="1033"/>
      <c r="BH98" s="2080"/>
      <c r="BI98" s="2080"/>
      <c r="BJ98" s="2080"/>
      <c r="BK98" s="2080"/>
      <c r="BL98" s="2080"/>
      <c r="BM98" s="2080"/>
      <c r="BN98" s="2080"/>
      <c r="BO98" s="2080"/>
      <c r="BP98" s="2080"/>
      <c r="BQ98" s="2080"/>
      <c r="BR98" s="2080"/>
      <c r="BS98" s="2080"/>
      <c r="BT98" s="2080"/>
      <c r="BU98" s="2080"/>
      <c r="BV98" s="2080"/>
      <c r="BW98" s="2080"/>
      <c r="BX98" s="2080"/>
      <c r="BY98" s="2080"/>
      <c r="CA98" s="2080" t="s">
        <v>2361</v>
      </c>
      <c r="CB98" s="2080"/>
      <c r="CC98" s="2080"/>
      <c r="CD98" s="2080"/>
      <c r="CE98" s="2080"/>
      <c r="CF98" s="2080"/>
      <c r="CG98" s="2080"/>
      <c r="CH98" s="2080"/>
      <c r="CI98" s="2080"/>
      <c r="CJ98" s="2080"/>
      <c r="CK98" s="2080"/>
      <c r="CL98" s="2080"/>
      <c r="CM98" s="2080"/>
      <c r="CN98" s="2080" t="s">
        <v>2357</v>
      </c>
      <c r="CO98" s="2080"/>
      <c r="CP98" s="2080"/>
      <c r="CQ98" s="2080"/>
      <c r="CR98" s="2080"/>
      <c r="CS98" s="2080"/>
      <c r="CT98" s="2080"/>
      <c r="CU98" s="2080"/>
      <c r="CV98" s="2080"/>
      <c r="CW98" s="2080"/>
      <c r="CX98" s="2080"/>
      <c r="CY98" s="2080"/>
      <c r="CZ98" s="2080"/>
      <c r="DA98" s="2080" t="s">
        <v>2358</v>
      </c>
      <c r="DB98" s="2080"/>
      <c r="DC98" s="2080"/>
      <c r="DD98" s="2080"/>
      <c r="DE98" s="2080"/>
      <c r="DF98" s="2080"/>
      <c r="DG98" s="2080"/>
      <c r="DH98" s="2080"/>
      <c r="DI98" s="2080"/>
      <c r="DJ98" s="2080"/>
      <c r="DK98" s="2080"/>
      <c r="DL98" s="2080"/>
      <c r="DM98" s="2080"/>
      <c r="DN98" s="2080" t="s">
        <v>2359</v>
      </c>
      <c r="DO98" s="2080"/>
      <c r="DP98" s="2080"/>
      <c r="DQ98" s="2080"/>
      <c r="DR98" s="2080"/>
      <c r="DS98" s="2080"/>
      <c r="DT98" s="2080"/>
      <c r="DU98" s="2080"/>
      <c r="DV98" s="2080"/>
      <c r="DW98" s="2080"/>
      <c r="DX98" s="2080"/>
      <c r="DY98" s="2080"/>
      <c r="DZ98" s="2080"/>
      <c r="EA98" s="2080" t="s">
        <v>2360</v>
      </c>
      <c r="EB98" s="2080"/>
      <c r="EC98" s="2080"/>
      <c r="ED98" s="2080"/>
      <c r="EE98" s="2080"/>
      <c r="EF98" s="2080"/>
      <c r="EG98" s="2080"/>
      <c r="EH98" s="2080"/>
      <c r="EI98" s="2080"/>
      <c r="EJ98" s="2080"/>
      <c r="EK98" s="2080"/>
      <c r="EL98" s="2080"/>
      <c r="EM98" s="2080"/>
      <c r="EN98" s="2080"/>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c r="HB98"/>
      <c r="HC98"/>
      <c r="HD98"/>
      <c r="HE98"/>
      <c r="HF98"/>
      <c r="HG98"/>
      <c r="HH98"/>
      <c r="HI98"/>
      <c r="HJ98"/>
      <c r="HK98"/>
      <c r="HL98"/>
      <c r="HM98"/>
      <c r="HN98"/>
      <c r="HO98"/>
      <c r="HP98"/>
      <c r="HQ98"/>
      <c r="HR98"/>
      <c r="HS98"/>
      <c r="HT98"/>
      <c r="HU98"/>
      <c r="HV98"/>
      <c r="HW98"/>
      <c r="HX98"/>
      <c r="HY98"/>
      <c r="HZ98"/>
      <c r="IA98"/>
      <c r="IB98"/>
      <c r="IC98"/>
      <c r="ID98"/>
      <c r="IE98"/>
      <c r="IF98"/>
      <c r="IG98"/>
      <c r="IH98"/>
      <c r="II98"/>
      <c r="IJ98"/>
      <c r="IK98"/>
      <c r="IL98"/>
      <c r="IM98"/>
      <c r="IN98"/>
      <c r="IO98"/>
      <c r="IP98"/>
      <c r="IQ98"/>
      <c r="IR98"/>
      <c r="IS98"/>
      <c r="IT98"/>
      <c r="IU98"/>
      <c r="IV98"/>
    </row>
    <row r="99" spans="1:256">
      <c r="D99" s="18" t="str">
        <f>Last_forecast_year-2 &amp; "Q1"</f>
        <v>2017Q1</v>
      </c>
      <c r="E99" s="18" t="str">
        <f>Last_forecast_year-2 &amp; "Q2"</f>
        <v>2017Q2</v>
      </c>
      <c r="F99" s="18" t="str">
        <f>Last_forecast_year-2 &amp; "Q3"</f>
        <v>2017Q3</v>
      </c>
      <c r="G99" s="18" t="str">
        <f>Last_forecast_year-2 &amp; "Q4"</f>
        <v>2017Q4</v>
      </c>
      <c r="H99" s="18" t="str">
        <f>Last_forecast_year-1 &amp; "Q1"</f>
        <v>2018Q1</v>
      </c>
      <c r="I99" s="18" t="str">
        <f>Last_forecast_year-1 &amp; "Q2"</f>
        <v>2018Q2</v>
      </c>
      <c r="J99" s="18" t="str">
        <f>Last_forecast_year-1 &amp; "Q3"</f>
        <v>2018Q3</v>
      </c>
      <c r="K99" s="18" t="str">
        <f>Last_forecast_year-1 &amp; "Q4"</f>
        <v>2018Q4</v>
      </c>
      <c r="L99" s="18" t="str">
        <f>Last_forecast_year &amp; "Q1"</f>
        <v>2019Q1</v>
      </c>
      <c r="M99" s="18" t="str">
        <f>Last_forecast_year &amp; "Q2"</f>
        <v>2019Q2</v>
      </c>
      <c r="N99" s="18" t="str">
        <f>Last_forecast_year &amp; "Q3"</f>
        <v>2019Q3</v>
      </c>
      <c r="O99" s="18" t="str">
        <f>Last_forecast_year &amp; "Q4"</f>
        <v>2019Q4</v>
      </c>
      <c r="P99" s="18"/>
      <c r="Q99" s="18"/>
      <c r="R99" s="18"/>
      <c r="S99" s="18"/>
      <c r="T99" s="18"/>
      <c r="U99" s="18"/>
      <c r="V99" s="18"/>
      <c r="W99" s="18"/>
      <c r="X99" s="18"/>
      <c r="Y99" s="18"/>
      <c r="Z99" s="18"/>
      <c r="AA99" s="15"/>
      <c r="AD99" s="18" t="str">
        <f>Last_forecast_year-2 &amp; "Q1"</f>
        <v>2017Q1</v>
      </c>
      <c r="AE99" s="18" t="str">
        <f>Last_forecast_year-2 &amp; "Q2"</f>
        <v>2017Q2</v>
      </c>
      <c r="AF99" s="18" t="str">
        <f>Last_forecast_year-2 &amp; "Q3"</f>
        <v>2017Q3</v>
      </c>
      <c r="AG99" s="18" t="str">
        <f>Last_forecast_year-2 &amp; "Q4"</f>
        <v>2017Q4</v>
      </c>
      <c r="AH99" s="18" t="str">
        <f>Last_forecast_year-1 &amp; "Q1"</f>
        <v>2018Q1</v>
      </c>
      <c r="AI99" s="18" t="str">
        <f>Last_forecast_year-1 &amp; "Q2"</f>
        <v>2018Q2</v>
      </c>
      <c r="AJ99" s="18" t="str">
        <f>Last_forecast_year-1 &amp; "Q3"</f>
        <v>2018Q3</v>
      </c>
      <c r="AK99" s="18" t="str">
        <f>Last_forecast_year-1 &amp; "Q4"</f>
        <v>2018Q4</v>
      </c>
      <c r="AL99" s="18" t="str">
        <f>Last_forecast_year &amp; "Q1"</f>
        <v>2019Q1</v>
      </c>
      <c r="AM99" s="18" t="str">
        <f>Last_forecast_year &amp; "Q2"</f>
        <v>2019Q2</v>
      </c>
      <c r="AN99" s="18" t="str">
        <f>Last_forecast_year &amp; "Q3"</f>
        <v>2019Q3</v>
      </c>
      <c r="AO99" s="18" t="str">
        <f>Last_forecast_year &amp; "Q4"</f>
        <v>2019Q4</v>
      </c>
      <c r="AP99" s="18"/>
      <c r="AQ99" s="18"/>
      <c r="AR99" s="15"/>
      <c r="AU99" s="18" t="s">
        <v>1756</v>
      </c>
      <c r="AV99" s="18" t="s">
        <v>1757</v>
      </c>
      <c r="AW99" s="18" t="s">
        <v>1758</v>
      </c>
      <c r="AX99" s="18" t="s">
        <v>1759</v>
      </c>
      <c r="AY99" s="18" t="s">
        <v>1760</v>
      </c>
      <c r="AZ99" s="18" t="s">
        <v>27</v>
      </c>
      <c r="BA99" s="18" t="s">
        <v>28</v>
      </c>
      <c r="BB99" s="18" t="s">
        <v>29</v>
      </c>
      <c r="BC99" s="18" t="s">
        <v>30</v>
      </c>
      <c r="BD99" s="18" t="s">
        <v>31</v>
      </c>
      <c r="BE99" s="18" t="s">
        <v>32</v>
      </c>
      <c r="BF99" s="18" t="s">
        <v>33</v>
      </c>
    </row>
    <row r="100" spans="1:256">
      <c r="C100" s="19">
        <f>Last_forecast_year-4</f>
        <v>2015</v>
      </c>
      <c r="D100" s="19">
        <f>C100+1</f>
        <v>2016</v>
      </c>
      <c r="E100" s="19">
        <f>D100+1</f>
        <v>2017</v>
      </c>
      <c r="F100" s="19">
        <f>E100+1</f>
        <v>2018</v>
      </c>
      <c r="G100" s="19">
        <f>F100+1</f>
        <v>2019</v>
      </c>
      <c r="H100" s="19"/>
      <c r="I100" s="19"/>
      <c r="J100" s="19"/>
      <c r="K100" s="19"/>
      <c r="L100" s="20"/>
      <c r="M100" s="20"/>
      <c r="N100" s="20"/>
      <c r="O100" s="20"/>
      <c r="P100"/>
      <c r="Q100"/>
      <c r="AA100" s="15"/>
      <c r="AC100" s="19">
        <f>Last_forecast_year-4</f>
        <v>2015</v>
      </c>
      <c r="AD100" s="19">
        <f>AC100+1</f>
        <v>2016</v>
      </c>
      <c r="AE100" s="19">
        <f>AD100+1</f>
        <v>2017</v>
      </c>
      <c r="AF100" s="19">
        <f>AE100+1</f>
        <v>2018</v>
      </c>
      <c r="AG100" s="19">
        <f>AF100+1</f>
        <v>2019</v>
      </c>
      <c r="AH100" s="19"/>
      <c r="AI100" s="19"/>
      <c r="AJ100" s="19"/>
      <c r="AK100" s="19"/>
      <c r="AL100" s="20"/>
      <c r="AM100" s="20"/>
      <c r="AN100" s="20"/>
      <c r="AO100" s="20"/>
      <c r="AR100" s="15"/>
      <c r="AT100" s="19">
        <v>2004</v>
      </c>
      <c r="AU100" s="19">
        <v>2005</v>
      </c>
      <c r="AV100" s="19">
        <v>2006</v>
      </c>
      <c r="AW100" s="19">
        <v>2007</v>
      </c>
      <c r="AX100" s="19">
        <v>2008</v>
      </c>
      <c r="AY100" s="19"/>
      <c r="AZ100" s="19"/>
      <c r="BA100" s="19"/>
      <c r="BB100" s="19"/>
      <c r="BC100" s="20"/>
      <c r="BD100" s="20"/>
      <c r="BE100" s="20"/>
      <c r="BF100" s="20"/>
    </row>
    <row r="101" spans="1:256">
      <c r="A101" s="22">
        <v>1</v>
      </c>
      <c r="B101" s="23" t="s">
        <v>1016</v>
      </c>
      <c r="C101" s="24">
        <f ca="1">OFFSET('VVP2'!F165,0,Last_forecast_year - 3-InputY!$G$3)</f>
        <v>23.682538042559482</v>
      </c>
      <c r="D101" s="24">
        <f ca="1">OFFSET('VVP2'!G165,0,Last_forecast_year - 3-InputY!$G$3)</f>
        <v>24.632151881878773</v>
      </c>
      <c r="E101" s="24">
        <f ca="1">OFFSET('VVP2'!H165,0,Last_forecast_year - 3-InputY!$G$3)</f>
        <v>25.830766377612981</v>
      </c>
      <c r="F101" s="24">
        <f ca="1">OFFSET('VVP2'!I165,0,Last_forecast_year - 3-InputY!$G$3)</f>
        <v>27.738403649999995</v>
      </c>
      <c r="G101" s="24">
        <f ca="1">OFFSET('VVP2'!J165,0,Last_forecast_year - 3-InputY!$G$3)</f>
        <v>29.398769015681694</v>
      </c>
      <c r="H101" s="25">
        <v>-9999</v>
      </c>
      <c r="I101" s="25">
        <v>-9999</v>
      </c>
      <c r="J101" s="25">
        <v>-9999</v>
      </c>
      <c r="K101" s="25">
        <v>-9999</v>
      </c>
      <c r="L101" s="25">
        <v>-9999</v>
      </c>
      <c r="M101" s="25">
        <v>-9999</v>
      </c>
      <c r="N101" s="25">
        <v>-9999</v>
      </c>
      <c r="O101" s="25">
        <v>-9999</v>
      </c>
      <c r="P101" s="26"/>
      <c r="Q101"/>
      <c r="AA101" s="22">
        <v>1</v>
      </c>
      <c r="AB101" s="1040" t="str">
        <f>+B101</f>
        <v>VOL. PRIVATE CONSUMPTION EXPEND.</v>
      </c>
      <c r="AC101" s="1040">
        <f>CHOOSE(Tables!$U$2,Transfer!CA101,Transfer!CN101,Transfer!DA101,Transfer!DN101,Transfer!EA101)</f>
        <v>64.48019539260666</v>
      </c>
      <c r="AD101" s="1040">
        <f>CHOOSE(Tables!$U$2,Transfer!CB101,Transfer!CO101,Transfer!DB101,Transfer!DO101,Transfer!EB101)</f>
        <v>69.787772268699513</v>
      </c>
      <c r="AE101" s="1040">
        <f>CHOOSE(Tables!$U$2,Transfer!CC101,Transfer!CP101,Transfer!DC101,Transfer!DP101,Transfer!EC101)</f>
        <v>75.001867919999995</v>
      </c>
      <c r="AF101" s="1040">
        <f>CHOOSE(Tables!$U$2,Transfer!CD101,Transfer!CQ101,Transfer!DD101,Transfer!DQ101,Transfer!ED101)</f>
        <v>79.000328832762378</v>
      </c>
      <c r="AG101" s="1040">
        <f>CHOOSE(Tables!$U$2,Transfer!CE101,Transfer!CR101,Transfer!DE101,Transfer!DR101,Transfer!EE101)</f>
        <v>84.103319799586345</v>
      </c>
      <c r="AH101" s="1040">
        <f>CHOOSE(Tables!$U$2,Transfer!CF101,Transfer!CS101,Transfer!DF101,Transfer!DS101,Transfer!EF101)</f>
        <v>-9999</v>
      </c>
      <c r="AI101" s="1040">
        <f>CHOOSE(Tables!$U$2,Transfer!CG101,Transfer!CT101,Transfer!DG101,Transfer!DT101,Transfer!EG101)</f>
        <v>-9999</v>
      </c>
      <c r="AJ101" s="1040">
        <f>CHOOSE(Tables!$U$2,Transfer!CH101,Transfer!CU101,Transfer!DH101,Transfer!DU101,Transfer!EH101)</f>
        <v>-9999</v>
      </c>
      <c r="AK101" s="1040">
        <f>CHOOSE(Tables!$U$2,Transfer!CI101,Transfer!CV101,Transfer!DI101,Transfer!DV101,Transfer!EI101)</f>
        <v>-9999</v>
      </c>
      <c r="AL101" s="1040">
        <f>CHOOSE(Tables!$U$2,Transfer!CJ101,Transfer!CW101,Transfer!DJ101,Transfer!DW101,Transfer!EJ101)</f>
        <v>-9999</v>
      </c>
      <c r="AM101" s="1040">
        <f>CHOOSE(Tables!$U$2,Transfer!CK101,Transfer!CX101,Transfer!DK101,Transfer!DX101,Transfer!EK101)</f>
        <v>-9999</v>
      </c>
      <c r="AN101" s="1040">
        <f>CHOOSE(Tables!$U$2,Transfer!CL101,Transfer!CY101,Transfer!DL101,Transfer!DY101,Transfer!EL101)</f>
        <v>-9999</v>
      </c>
      <c r="AO101" s="1040">
        <f>CHOOSE(Tables!$U$2,Transfer!CM101,Transfer!CZ101,Transfer!DM101,Transfer!DZ101,Transfer!EM101)</f>
        <v>-9999</v>
      </c>
      <c r="AR101" s="22">
        <v>1</v>
      </c>
      <c r="AS101" s="23" t="s">
        <v>1016</v>
      </c>
      <c r="AT101" s="24">
        <f t="shared" ref="AT101:BF120" ca="1" si="2">C101-AC101</f>
        <v>-40.797657350047174</v>
      </c>
      <c r="AU101" s="24">
        <f t="shared" ca="1" si="2"/>
        <v>-45.155620386820743</v>
      </c>
      <c r="AV101" s="24">
        <f t="shared" ca="1" si="2"/>
        <v>-49.171101542387014</v>
      </c>
      <c r="AW101" s="24">
        <f t="shared" ca="1" si="2"/>
        <v>-51.261925182762383</v>
      </c>
      <c r="AX101" s="24">
        <f t="shared" ca="1" si="2"/>
        <v>-54.704550783904651</v>
      </c>
      <c r="AY101" s="25">
        <f t="shared" si="2"/>
        <v>0</v>
      </c>
      <c r="AZ101" s="25">
        <f t="shared" si="2"/>
        <v>0</v>
      </c>
      <c r="BA101" s="25">
        <f t="shared" si="2"/>
        <v>0</v>
      </c>
      <c r="BB101" s="25">
        <f t="shared" si="2"/>
        <v>0</v>
      </c>
      <c r="BC101" s="25">
        <f t="shared" si="2"/>
        <v>0</v>
      </c>
      <c r="BD101" s="25">
        <f t="shared" si="2"/>
        <v>0</v>
      </c>
      <c r="BE101" s="25">
        <f t="shared" si="2"/>
        <v>0</v>
      </c>
      <c r="BF101" s="25">
        <f t="shared" si="2"/>
        <v>0</v>
      </c>
      <c r="CA101" s="16">
        <v>21.758690455530537</v>
      </c>
      <c r="CB101" s="16">
        <v>22.876526345462672</v>
      </c>
      <c r="CC101" s="16">
        <v>24.023379779999999</v>
      </c>
      <c r="CD101" s="16">
        <v>24.784440451430399</v>
      </c>
      <c r="CE101" s="16">
        <v>25.926913932255719</v>
      </c>
      <c r="CF101" s="16">
        <v>-9999</v>
      </c>
      <c r="CG101" s="16">
        <v>-9999</v>
      </c>
      <c r="CH101" s="16">
        <v>-9999</v>
      </c>
      <c r="CI101" s="16">
        <v>-9999</v>
      </c>
      <c r="CJ101" s="16">
        <v>-9999</v>
      </c>
      <c r="CK101" s="16">
        <v>-9999</v>
      </c>
      <c r="CL101" s="16">
        <v>-9999</v>
      </c>
      <c r="CM101" s="16">
        <v>-9999</v>
      </c>
      <c r="CN101" s="16">
        <v>20.239270003819197</v>
      </c>
      <c r="CO101" s="16">
        <v>21.74451999080506</v>
      </c>
      <c r="CP101" s="16">
        <v>23.181144127999996</v>
      </c>
      <c r="CQ101" s="16">
        <v>24.129566692161124</v>
      </c>
      <c r="CR101" s="16">
        <v>24.978397663517772</v>
      </c>
      <c r="CS101" s="16">
        <v>-9999</v>
      </c>
      <c r="CT101" s="16">
        <v>-9999</v>
      </c>
      <c r="CU101" s="16">
        <v>-9999</v>
      </c>
      <c r="CV101" s="16">
        <v>-9999</v>
      </c>
      <c r="CW101" s="16">
        <v>-9999</v>
      </c>
      <c r="CX101" s="16">
        <v>-9999</v>
      </c>
      <c r="CY101" s="16">
        <v>-9999</v>
      </c>
      <c r="CZ101" s="16">
        <v>-9999</v>
      </c>
      <c r="DA101" s="16">
        <v>21.74451999080506</v>
      </c>
      <c r="DB101" s="16">
        <v>23.18850000670248</v>
      </c>
      <c r="DC101" s="16">
        <v>24.420360040000002</v>
      </c>
      <c r="DD101" s="16">
        <v>25.191555010063205</v>
      </c>
      <c r="DE101" s="16">
        <v>26.56459552433169</v>
      </c>
      <c r="DF101" s="16">
        <v>-9999</v>
      </c>
      <c r="DG101" s="16">
        <v>-9999</v>
      </c>
      <c r="DH101" s="16">
        <v>-9999</v>
      </c>
      <c r="DI101" s="16">
        <v>-9999</v>
      </c>
      <c r="DJ101" s="16">
        <v>-9999</v>
      </c>
      <c r="DK101" s="16">
        <v>-9999</v>
      </c>
      <c r="DL101" s="16">
        <v>-9999</v>
      </c>
      <c r="DM101" s="16">
        <v>-9999</v>
      </c>
      <c r="DN101" s="16">
        <v>20.239270003819197</v>
      </c>
      <c r="DO101" s="16">
        <v>21.74451999080506</v>
      </c>
      <c r="DP101" s="16">
        <v>23.181144127999996</v>
      </c>
      <c r="DQ101" s="16">
        <v>24.129566692161124</v>
      </c>
      <c r="DR101" s="16">
        <v>25.064805081303842</v>
      </c>
      <c r="DS101" s="16">
        <v>-9999</v>
      </c>
      <c r="DT101" s="16">
        <v>-9999</v>
      </c>
      <c r="DU101" s="16">
        <v>-9999</v>
      </c>
      <c r="DV101" s="16">
        <v>-9999</v>
      </c>
      <c r="DW101" s="16">
        <v>-9999</v>
      </c>
      <c r="DX101" s="16">
        <v>-9999</v>
      </c>
      <c r="DY101" s="16">
        <v>-9999</v>
      </c>
      <c r="DZ101" s="16">
        <v>-9999</v>
      </c>
      <c r="EA101" s="2196">
        <v>64.48019539260666</v>
      </c>
      <c r="EB101" s="2196">
        <v>69.787772268699513</v>
      </c>
      <c r="EC101" s="2196">
        <v>75.001867919999995</v>
      </c>
      <c r="ED101" s="2196">
        <v>79.000328832762378</v>
      </c>
      <c r="EE101" s="2196">
        <v>84.103319799586345</v>
      </c>
      <c r="EF101" s="2197">
        <v>-9999</v>
      </c>
      <c r="EG101" s="2197">
        <v>-9999</v>
      </c>
      <c r="EH101" s="2197">
        <v>-9999</v>
      </c>
      <c r="EI101" s="2197">
        <v>-9999</v>
      </c>
      <c r="EJ101" s="2197">
        <v>-9999</v>
      </c>
      <c r="EK101" s="2197">
        <v>-9999</v>
      </c>
      <c r="EL101" s="2197">
        <v>-9999</v>
      </c>
      <c r="EM101" s="2197">
        <v>-9999</v>
      </c>
    </row>
    <row r="102" spans="1:256">
      <c r="A102" s="22">
        <v>2</v>
      </c>
      <c r="B102" s="1" t="s">
        <v>532</v>
      </c>
      <c r="C102" s="24">
        <f ca="1">OFFSET('VVP2'!F166,0,Last_forecast_year - 3-InputY!$G$3)</f>
        <v>6.0833100473935326</v>
      </c>
      <c r="D102" s="24">
        <f ca="1">OFFSET('VVP2'!G166,0,Last_forecast_year - 3-InputY!$G$3)</f>
        <v>6.5118543082355504</v>
      </c>
      <c r="E102" s="24">
        <f ca="1">OFFSET('VVP2'!H166,0,Last_forecast_year - 3-InputY!$G$3)</f>
        <v>6.7137872911684973</v>
      </c>
      <c r="F102" s="24">
        <f ca="1">OFFSET('VVP2'!I166,0,Last_forecast_year - 3-InputY!$G$3)</f>
        <v>7.0213420200000005</v>
      </c>
      <c r="G102" s="24">
        <f ca="1">OFFSET('VVP2'!J166,0,Last_forecast_year - 3-InputY!$G$3)</f>
        <v>7.4103718321800569</v>
      </c>
      <c r="H102" s="25">
        <v>-9999</v>
      </c>
      <c r="I102" s="25">
        <v>-9999</v>
      </c>
      <c r="J102" s="25">
        <v>-9999</v>
      </c>
      <c r="K102" s="25">
        <v>-9999</v>
      </c>
      <c r="L102" s="25">
        <v>-9999</v>
      </c>
      <c r="M102" s="25">
        <v>-9999</v>
      </c>
      <c r="N102" s="25">
        <v>-9999</v>
      </c>
      <c r="O102" s="25">
        <v>-9999</v>
      </c>
      <c r="P102" s="26"/>
      <c r="Q102"/>
      <c r="AA102" s="22">
        <v>2</v>
      </c>
      <c r="AB102" s="1040" t="str">
        <f t="shared" ref="AB102:AB165" si="3">+B102</f>
        <v xml:space="preserve">VOL. GOVERNMENT CONSUMPTION EXPEND. </v>
      </c>
      <c r="AC102" s="1040">
        <f>CHOOSE(Tables!$U$2,Transfer!CA102,Transfer!CN102,Transfer!DA102,Transfer!DN102,Transfer!EA102)</f>
        <v>19.532933501793412</v>
      </c>
      <c r="AD102" s="1040">
        <f>CHOOSE(Tables!$U$2,Transfer!CB102,Transfer!CO102,Transfer!DB102,Transfer!DO102,Transfer!EB102)</f>
        <v>20.056978444279622</v>
      </c>
      <c r="AE102" s="1040">
        <f>CHOOSE(Tables!$U$2,Transfer!CC102,Transfer!CP102,Transfer!DC102,Transfer!DP102,Transfer!EC102)</f>
        <v>20.276866739999999</v>
      </c>
      <c r="AF102" s="1040">
        <f>CHOOSE(Tables!$U$2,Transfer!CD102,Transfer!CQ102,Transfer!DD102,Transfer!DQ102,Transfer!ED102)</f>
        <v>20.910316056957598</v>
      </c>
      <c r="AG102" s="1040">
        <f>CHOOSE(Tables!$U$2,Transfer!CE102,Transfer!CR102,Transfer!DE102,Transfer!DR102,Transfer!EE102)</f>
        <v>21.648533855032429</v>
      </c>
      <c r="AH102" s="1040">
        <f>CHOOSE(Tables!$U$2,Transfer!CF102,Transfer!CS102,Transfer!DF102,Transfer!DS102,Transfer!EF102)</f>
        <v>-9999</v>
      </c>
      <c r="AI102" s="1040">
        <f>CHOOSE(Tables!$U$2,Transfer!CG102,Transfer!CT102,Transfer!DG102,Transfer!DT102,Transfer!EG102)</f>
        <v>-9999</v>
      </c>
      <c r="AJ102" s="1040">
        <f>CHOOSE(Tables!$U$2,Transfer!CH102,Transfer!CU102,Transfer!DH102,Transfer!DU102,Transfer!EH102)</f>
        <v>-9999</v>
      </c>
      <c r="AK102" s="1040">
        <f>CHOOSE(Tables!$U$2,Transfer!CI102,Transfer!CV102,Transfer!DI102,Transfer!DV102,Transfer!EI102)</f>
        <v>-9999</v>
      </c>
      <c r="AL102" s="1040">
        <f>CHOOSE(Tables!$U$2,Transfer!CJ102,Transfer!CW102,Transfer!DJ102,Transfer!DW102,Transfer!EJ102)</f>
        <v>-9999</v>
      </c>
      <c r="AM102" s="1040">
        <f>CHOOSE(Tables!$U$2,Transfer!CK102,Transfer!CX102,Transfer!DK102,Transfer!DX102,Transfer!EK102)</f>
        <v>-9999</v>
      </c>
      <c r="AN102" s="1040">
        <f>CHOOSE(Tables!$U$2,Transfer!CL102,Transfer!CY102,Transfer!DL102,Transfer!DY102,Transfer!EL102)</f>
        <v>-9999</v>
      </c>
      <c r="AO102" s="1040">
        <f>CHOOSE(Tables!$U$2,Transfer!CM102,Transfer!CZ102,Transfer!DM102,Transfer!DZ102,Transfer!EM102)</f>
        <v>-9999</v>
      </c>
      <c r="AR102" s="22">
        <v>2</v>
      </c>
      <c r="AS102" s="1" t="s">
        <v>532</v>
      </c>
      <c r="AT102" s="24">
        <f t="shared" ca="1" si="2"/>
        <v>-13.44962345439988</v>
      </c>
      <c r="AU102" s="24">
        <f t="shared" ca="1" si="2"/>
        <v>-13.545124136044072</v>
      </c>
      <c r="AV102" s="24">
        <f t="shared" ca="1" si="2"/>
        <v>-13.563079448831502</v>
      </c>
      <c r="AW102" s="24">
        <f t="shared" ca="1" si="2"/>
        <v>-13.888974036957597</v>
      </c>
      <c r="AX102" s="24">
        <f t="shared" ca="1" si="2"/>
        <v>-14.238162022852372</v>
      </c>
      <c r="AY102" s="25">
        <f t="shared" si="2"/>
        <v>0</v>
      </c>
      <c r="AZ102" s="25">
        <f t="shared" si="2"/>
        <v>0</v>
      </c>
      <c r="BA102" s="25">
        <f t="shared" si="2"/>
        <v>0</v>
      </c>
      <c r="BB102" s="25">
        <f t="shared" si="2"/>
        <v>0</v>
      </c>
      <c r="BC102" s="25">
        <f t="shared" si="2"/>
        <v>0</v>
      </c>
      <c r="BD102" s="25">
        <f t="shared" si="2"/>
        <v>0</v>
      </c>
      <c r="BE102" s="25">
        <f t="shared" si="2"/>
        <v>0</v>
      </c>
      <c r="BF102" s="25">
        <f t="shared" si="2"/>
        <v>0</v>
      </c>
      <c r="CA102" s="16">
        <v>5.8239671806804774</v>
      </c>
      <c r="CB102" s="16">
        <v>5.9363390825987317</v>
      </c>
      <c r="CC102" s="16">
        <v>6.2571961949999997</v>
      </c>
      <c r="CD102" s="16">
        <v>6.5161064591567088</v>
      </c>
      <c r="CE102" s="16">
        <v>6.8358518031075288</v>
      </c>
      <c r="CF102" s="16">
        <v>-9999</v>
      </c>
      <c r="CG102" s="16">
        <v>-9999</v>
      </c>
      <c r="CH102" s="16">
        <v>-9999</v>
      </c>
      <c r="CI102" s="16">
        <v>-9999</v>
      </c>
      <c r="CJ102" s="16">
        <v>-9999</v>
      </c>
      <c r="CK102" s="16">
        <v>-9999</v>
      </c>
      <c r="CL102" s="16">
        <v>-9999</v>
      </c>
      <c r="CM102" s="16">
        <v>-9999</v>
      </c>
      <c r="CN102" s="16">
        <v>5.7434300032177719</v>
      </c>
      <c r="CO102" s="16">
        <v>5.8748599933119268</v>
      </c>
      <c r="CP102" s="16">
        <v>5.9609510999999999</v>
      </c>
      <c r="CQ102" s="16">
        <v>6.274896511583699</v>
      </c>
      <c r="CR102" s="16">
        <v>6.5797043158062607</v>
      </c>
      <c r="CS102" s="16">
        <v>-9999</v>
      </c>
      <c r="CT102" s="16">
        <v>-9999</v>
      </c>
      <c r="CU102" s="16">
        <v>-9999</v>
      </c>
      <c r="CV102" s="16">
        <v>-9999</v>
      </c>
      <c r="CW102" s="16">
        <v>-9999</v>
      </c>
      <c r="CX102" s="16">
        <v>-9999</v>
      </c>
      <c r="CY102" s="16">
        <v>-9999</v>
      </c>
      <c r="CZ102" s="16">
        <v>-9999</v>
      </c>
      <c r="DA102" s="16">
        <v>5.8748599933119268</v>
      </c>
      <c r="DB102" s="16">
        <v>5.9692800070294796</v>
      </c>
      <c r="DC102" s="16">
        <v>6.2972461999999991</v>
      </c>
      <c r="DD102" s="16">
        <v>6.4429140990983989</v>
      </c>
      <c r="DE102" s="16">
        <v>6.6179680751709018</v>
      </c>
      <c r="DF102" s="16">
        <v>-9999</v>
      </c>
      <c r="DG102" s="16">
        <v>-9999</v>
      </c>
      <c r="DH102" s="16">
        <v>-9999</v>
      </c>
      <c r="DI102" s="16">
        <v>-9999</v>
      </c>
      <c r="DJ102" s="16">
        <v>-9999</v>
      </c>
      <c r="DK102" s="16">
        <v>-9999</v>
      </c>
      <c r="DL102" s="16">
        <v>-9999</v>
      </c>
      <c r="DM102" s="16">
        <v>-9999</v>
      </c>
      <c r="DN102" s="16">
        <v>5.7434300032177719</v>
      </c>
      <c r="DO102" s="16">
        <v>5.8748599933119268</v>
      </c>
      <c r="DP102" s="16">
        <v>5.9581470958041702</v>
      </c>
      <c r="DQ102" s="16">
        <v>6.2719448288988877</v>
      </c>
      <c r="DR102" s="16">
        <v>6.5766092529212727</v>
      </c>
      <c r="DS102" s="16">
        <v>-9999</v>
      </c>
      <c r="DT102" s="16">
        <v>-9999</v>
      </c>
      <c r="DU102" s="16">
        <v>-9999</v>
      </c>
      <c r="DV102" s="16">
        <v>-9999</v>
      </c>
      <c r="DW102" s="16">
        <v>-9999</v>
      </c>
      <c r="DX102" s="16">
        <v>-9999</v>
      </c>
      <c r="DY102" s="16">
        <v>-9999</v>
      </c>
      <c r="DZ102" s="16">
        <v>-9999</v>
      </c>
      <c r="EA102" s="2196">
        <v>19.532933501793412</v>
      </c>
      <c r="EB102" s="2196">
        <v>20.056978444279622</v>
      </c>
      <c r="EC102" s="2196">
        <v>20.276866739999999</v>
      </c>
      <c r="ED102" s="2196">
        <v>20.910316056957598</v>
      </c>
      <c r="EE102" s="2196">
        <v>21.648533855032429</v>
      </c>
      <c r="EF102" s="2197">
        <v>-9999</v>
      </c>
      <c r="EG102" s="2197">
        <v>-9999</v>
      </c>
      <c r="EH102" s="2197">
        <v>-9999</v>
      </c>
      <c r="EI102" s="2197">
        <v>-9999</v>
      </c>
      <c r="EJ102" s="2197">
        <v>-9999</v>
      </c>
      <c r="EK102" s="2197">
        <v>-9999</v>
      </c>
      <c r="EL102" s="2197">
        <v>-9999</v>
      </c>
      <c r="EM102" s="2197">
        <v>-9999</v>
      </c>
    </row>
    <row r="103" spans="1:256">
      <c r="A103" s="22">
        <v>3</v>
      </c>
      <c r="B103" s="27" t="s">
        <v>534</v>
      </c>
      <c r="C103" s="24">
        <f ca="1">OFFSET('VVP2'!F167,0,Last_forecast_year - 3-InputY!$G$3)</f>
        <v>7.238783406852999</v>
      </c>
      <c r="D103" s="24">
        <f ca="1">OFFSET('VVP2'!G167,0,Last_forecast_year - 3-InputY!$G$3)</f>
        <v>7.2907280162839356</v>
      </c>
      <c r="E103" s="24">
        <f ca="1">OFFSET('VVP2'!H167,0,Last_forecast_year - 3-InputY!$G$3)</f>
        <v>7.8484123706606796</v>
      </c>
      <c r="F103" s="24">
        <f ca="1">OFFSET('VVP2'!I167,0,Last_forecast_year - 3-InputY!$G$3)</f>
        <v>8.4064658956084077</v>
      </c>
      <c r="G103" s="24">
        <f ca="1">OFFSET('VVP2'!J167,0,Last_forecast_year - 3-InputY!$G$3)</f>
        <v>8.9639536658038441</v>
      </c>
      <c r="H103" s="25">
        <v>-9999</v>
      </c>
      <c r="I103" s="25">
        <v>-9999</v>
      </c>
      <c r="J103" s="25">
        <v>-9999</v>
      </c>
      <c r="K103" s="25">
        <v>-9999</v>
      </c>
      <c r="L103" s="25">
        <v>-9999</v>
      </c>
      <c r="M103" s="25">
        <v>-9999</v>
      </c>
      <c r="N103" s="25">
        <v>-9999</v>
      </c>
      <c r="O103" s="25">
        <v>-9999</v>
      </c>
      <c r="P103" s="26"/>
      <c r="Q103"/>
      <c r="AA103" s="22">
        <v>3</v>
      </c>
      <c r="AB103" s="1040" t="str">
        <f t="shared" si="3"/>
        <v>VOL. G.F.C.F. TOTAL</v>
      </c>
      <c r="AC103" s="1040">
        <f>CHOOSE(Tables!$U$2,Transfer!CA103,Transfer!CN103,Transfer!DA103,Transfer!DN103,Transfer!EA103)</f>
        <v>18.815569180762058</v>
      </c>
      <c r="AD103" s="1040">
        <f>CHOOSE(Tables!$U$2,Transfer!CB103,Transfer!CO103,Transfer!DB103,Transfer!DO103,Transfer!EB103)</f>
        <v>18.575091931641602</v>
      </c>
      <c r="AE103" s="1040">
        <f>CHOOSE(Tables!$U$2,Transfer!CC103,Transfer!CP103,Transfer!DC103,Transfer!DP103,Transfer!EC103)</f>
        <v>19.856651069999995</v>
      </c>
      <c r="AF103" s="1040">
        <f>CHOOSE(Tables!$U$2,Transfer!CD103,Transfer!CQ103,Transfer!DD103,Transfer!DQ103,Transfer!ED103)</f>
        <v>21.704633039194501</v>
      </c>
      <c r="AG103" s="1040">
        <f>CHOOSE(Tables!$U$2,Transfer!CE103,Transfer!CR103,Transfer!DE103,Transfer!DR103,Transfer!EE103)</f>
        <v>24.017499721665029</v>
      </c>
      <c r="AH103" s="1040">
        <f>CHOOSE(Tables!$U$2,Transfer!CF103,Transfer!CS103,Transfer!DF103,Transfer!DS103,Transfer!EF103)</f>
        <v>-9999</v>
      </c>
      <c r="AI103" s="1040">
        <f>CHOOSE(Tables!$U$2,Transfer!CG103,Transfer!CT103,Transfer!DG103,Transfer!DT103,Transfer!EG103)</f>
        <v>-9999</v>
      </c>
      <c r="AJ103" s="1040">
        <f>CHOOSE(Tables!$U$2,Transfer!CH103,Transfer!CU103,Transfer!DH103,Transfer!DU103,Transfer!EH103)</f>
        <v>-9999</v>
      </c>
      <c r="AK103" s="1040">
        <f>CHOOSE(Tables!$U$2,Transfer!CI103,Transfer!CV103,Transfer!DI103,Transfer!DV103,Transfer!EI103)</f>
        <v>-9999</v>
      </c>
      <c r="AL103" s="1040">
        <f>CHOOSE(Tables!$U$2,Transfer!CJ103,Transfer!CW103,Transfer!DJ103,Transfer!DW103,Transfer!EJ103)</f>
        <v>-9999</v>
      </c>
      <c r="AM103" s="1040">
        <f>CHOOSE(Tables!$U$2,Transfer!CK103,Transfer!CX103,Transfer!DK103,Transfer!DX103,Transfer!EK103)</f>
        <v>-9999</v>
      </c>
      <c r="AN103" s="1040">
        <f>CHOOSE(Tables!$U$2,Transfer!CL103,Transfer!CY103,Transfer!DL103,Transfer!DY103,Transfer!EL103)</f>
        <v>-9999</v>
      </c>
      <c r="AO103" s="1040">
        <f>CHOOSE(Tables!$U$2,Transfer!CM103,Transfer!CZ103,Transfer!DM103,Transfer!DZ103,Transfer!EM103)</f>
        <v>-9999</v>
      </c>
      <c r="AR103" s="22">
        <v>3</v>
      </c>
      <c r="AS103" s="27" t="s">
        <v>534</v>
      </c>
      <c r="AT103" s="24">
        <f t="shared" ca="1" si="2"/>
        <v>-11.576785773909059</v>
      </c>
      <c r="AU103" s="24">
        <f t="shared" ca="1" si="2"/>
        <v>-11.284363915357666</v>
      </c>
      <c r="AV103" s="24">
        <f t="shared" ca="1" si="2"/>
        <v>-12.008238699339316</v>
      </c>
      <c r="AW103" s="24">
        <f t="shared" ca="1" si="2"/>
        <v>-13.298167143586094</v>
      </c>
      <c r="AX103" s="24">
        <f t="shared" ca="1" si="2"/>
        <v>-15.053546055861185</v>
      </c>
      <c r="AY103" s="25">
        <f t="shared" si="2"/>
        <v>0</v>
      </c>
      <c r="AZ103" s="25">
        <f t="shared" si="2"/>
        <v>0</v>
      </c>
      <c r="BA103" s="25">
        <f t="shared" si="2"/>
        <v>0</v>
      </c>
      <c r="BB103" s="25">
        <f t="shared" si="2"/>
        <v>0</v>
      </c>
      <c r="BC103" s="25">
        <f t="shared" si="2"/>
        <v>0</v>
      </c>
      <c r="BD103" s="25">
        <f t="shared" si="2"/>
        <v>0</v>
      </c>
      <c r="BE103" s="25">
        <f t="shared" si="2"/>
        <v>0</v>
      </c>
      <c r="BF103" s="25">
        <f t="shared" si="2"/>
        <v>0</v>
      </c>
      <c r="CA103" s="16">
        <v>6.2707783367488359</v>
      </c>
      <c r="CB103" s="16">
        <v>6.8088743858871039</v>
      </c>
      <c r="CC103" s="16">
        <v>7.4167988820735697</v>
      </c>
      <c r="CD103" s="16">
        <v>7.7064919009955943</v>
      </c>
      <c r="CE103" s="16">
        <v>8.3274433139767083</v>
      </c>
      <c r="CF103" s="16">
        <v>-9999</v>
      </c>
      <c r="CG103" s="16">
        <v>-9999</v>
      </c>
      <c r="CH103" s="16">
        <v>-9999</v>
      </c>
      <c r="CI103" s="16">
        <v>-9999</v>
      </c>
      <c r="CJ103" s="16">
        <v>-9999</v>
      </c>
      <c r="CK103" s="16">
        <v>-9999</v>
      </c>
      <c r="CL103" s="16">
        <v>-9999</v>
      </c>
      <c r="CM103" s="16">
        <v>-9999</v>
      </c>
      <c r="CN103" s="16">
        <v>5.6703700014335752</v>
      </c>
      <c r="CO103" s="16">
        <v>6.178979994934223</v>
      </c>
      <c r="CP103" s="16">
        <v>6.8531803339492594</v>
      </c>
      <c r="CQ103" s="16">
        <v>7.3131251957945764</v>
      </c>
      <c r="CR103" s="16">
        <v>7.9409501449564086</v>
      </c>
      <c r="CS103" s="16">
        <v>-9999</v>
      </c>
      <c r="CT103" s="16">
        <v>-9999</v>
      </c>
      <c r="CU103" s="16">
        <v>-9999</v>
      </c>
      <c r="CV103" s="16">
        <v>-9999</v>
      </c>
      <c r="CW103" s="16">
        <v>-9999</v>
      </c>
      <c r="CX103" s="16">
        <v>-9999</v>
      </c>
      <c r="CY103" s="16">
        <v>-9999</v>
      </c>
      <c r="CZ103" s="16">
        <v>-9999</v>
      </c>
      <c r="DA103" s="16">
        <v>6.178979994934223</v>
      </c>
      <c r="DB103" s="16">
        <v>6.8671800007155115</v>
      </c>
      <c r="DC103" s="16">
        <v>7.5171449499999996</v>
      </c>
      <c r="DD103" s="16">
        <v>7.9595117869211505</v>
      </c>
      <c r="DE103" s="16">
        <v>8.4032928457593599</v>
      </c>
      <c r="DF103" s="16">
        <v>-9999</v>
      </c>
      <c r="DG103" s="16">
        <v>-9999</v>
      </c>
      <c r="DH103" s="16">
        <v>-9999</v>
      </c>
      <c r="DI103" s="16">
        <v>-9999</v>
      </c>
      <c r="DJ103" s="16">
        <v>-9999</v>
      </c>
      <c r="DK103" s="16">
        <v>-9999</v>
      </c>
      <c r="DL103" s="16">
        <v>-9999</v>
      </c>
      <c r="DM103" s="16">
        <v>-9999</v>
      </c>
      <c r="DN103" s="16">
        <v>5.6703700014335752</v>
      </c>
      <c r="DO103" s="16">
        <v>6.178979994934223</v>
      </c>
      <c r="DP103" s="16">
        <v>6.8531803339492594</v>
      </c>
      <c r="DQ103" s="16">
        <v>7.3062136463520062</v>
      </c>
      <c r="DR103" s="16">
        <v>7.9164187314002685</v>
      </c>
      <c r="DS103" s="16">
        <v>-9999</v>
      </c>
      <c r="DT103" s="16">
        <v>-9999</v>
      </c>
      <c r="DU103" s="16">
        <v>-9999</v>
      </c>
      <c r="DV103" s="16">
        <v>-9999</v>
      </c>
      <c r="DW103" s="16">
        <v>-9999</v>
      </c>
      <c r="DX103" s="16">
        <v>-9999</v>
      </c>
      <c r="DY103" s="16">
        <v>-9999</v>
      </c>
      <c r="DZ103" s="16">
        <v>-9999</v>
      </c>
      <c r="EA103" s="2196">
        <v>18.815569180762058</v>
      </c>
      <c r="EB103" s="2196">
        <v>18.575091931641602</v>
      </c>
      <c r="EC103" s="2196">
        <v>19.856651069999995</v>
      </c>
      <c r="ED103" s="2196">
        <v>21.704633039194501</v>
      </c>
      <c r="EE103" s="2196">
        <v>24.017499721665029</v>
      </c>
      <c r="EF103" s="2197">
        <v>-9999</v>
      </c>
      <c r="EG103" s="2197">
        <v>-9999</v>
      </c>
      <c r="EH103" s="2197">
        <v>-9999</v>
      </c>
      <c r="EI103" s="2197">
        <v>-9999</v>
      </c>
      <c r="EJ103" s="2197">
        <v>-9999</v>
      </c>
      <c r="EK103" s="2197">
        <v>-9999</v>
      </c>
      <c r="EL103" s="2197">
        <v>-9999</v>
      </c>
      <c r="EM103" s="2197">
        <v>-9999</v>
      </c>
    </row>
    <row r="104" spans="1:256">
      <c r="A104" s="22">
        <v>4</v>
      </c>
      <c r="B104" s="1" t="s">
        <v>1305</v>
      </c>
      <c r="C104" s="24">
        <f ca="1">OFFSET('VVP2'!F168,0,Last_forecast_year - 3-InputY!$G$3)</f>
        <v>4.0795361517932864</v>
      </c>
      <c r="D104" s="24">
        <f ca="1">OFFSET('VVP2'!G168,0,Last_forecast_year - 3-InputY!$G$3)</f>
        <v>3.8266968006577176</v>
      </c>
      <c r="E104" s="24">
        <f ca="1">OFFSET('VVP2'!H168,0,Last_forecast_year - 3-InputY!$G$3)</f>
        <v>3.9568473536919488</v>
      </c>
      <c r="F104" s="24">
        <f ca="1">OFFSET('VVP2'!I168,0,Last_forecast_year - 3-InputY!$G$3)</f>
        <v>4.3305056999999998</v>
      </c>
      <c r="G104" s="24">
        <f ca="1">OFFSET('VVP2'!J168,0,Last_forecast_year - 3-InputY!$G$3)</f>
        <v>4.6552906650010488</v>
      </c>
      <c r="H104" s="25">
        <v>-9999</v>
      </c>
      <c r="I104" s="25">
        <v>-9999</v>
      </c>
      <c r="J104" s="25">
        <v>-9999</v>
      </c>
      <c r="K104" s="25">
        <v>-9999</v>
      </c>
      <c r="L104" s="25">
        <v>-9999</v>
      </c>
      <c r="M104" s="25">
        <v>-9999</v>
      </c>
      <c r="N104" s="25">
        <v>-9999</v>
      </c>
      <c r="O104" s="25">
        <v>-9999</v>
      </c>
      <c r="P104" s="26"/>
      <c r="Q104"/>
      <c r="AA104" s="22">
        <v>4</v>
      </c>
      <c r="AB104" s="1040" t="str">
        <f t="shared" si="3"/>
        <v>VOL. G.F.C.F. CONSTRUCTION</v>
      </c>
      <c r="AC104" s="1040">
        <f>CHOOSE(Tables!$U$2,Transfer!CA104,Transfer!CN104,Transfer!DA104,Transfer!DN104,Transfer!EA104)</f>
        <v>10.903777646258522</v>
      </c>
      <c r="AD104" s="1040">
        <f>CHOOSE(Tables!$U$2,Transfer!CB104,Transfer!CO104,Transfer!DB104,Transfer!DO104,Transfer!EB104)</f>
        <v>10.86541847090302</v>
      </c>
      <c r="AE104" s="1040">
        <f>CHOOSE(Tables!$U$2,Transfer!CC104,Transfer!CP104,Transfer!DC104,Transfer!DP104,Transfer!EC104)</f>
        <v>11.463546899999999</v>
      </c>
      <c r="AF104" s="1040">
        <f>CHOOSE(Tables!$U$2,Transfer!CD104,Transfer!CQ104,Transfer!DD104,Transfer!DQ104,Transfer!ED104)</f>
        <v>12.316550049749999</v>
      </c>
      <c r="AG104" s="1040">
        <f>CHOOSE(Tables!$U$2,Transfer!CE104,Transfer!CR104,Transfer!DE104,Transfer!DR104,Transfer!EE104)</f>
        <v>13.350900296782161</v>
      </c>
      <c r="AH104" s="1040">
        <f>CHOOSE(Tables!$U$2,Transfer!CF104,Transfer!CS104,Transfer!DF104,Transfer!DS104,Transfer!EF104)</f>
        <v>-9999</v>
      </c>
      <c r="AI104" s="1040">
        <f>CHOOSE(Tables!$U$2,Transfer!CG104,Transfer!CT104,Transfer!DG104,Transfer!DT104,Transfer!EG104)</f>
        <v>-9999</v>
      </c>
      <c r="AJ104" s="1040">
        <f>CHOOSE(Tables!$U$2,Transfer!CH104,Transfer!CU104,Transfer!DH104,Transfer!DU104,Transfer!EH104)</f>
        <v>-9999</v>
      </c>
      <c r="AK104" s="1040">
        <f>CHOOSE(Tables!$U$2,Transfer!CI104,Transfer!CV104,Transfer!DI104,Transfer!DV104,Transfer!EI104)</f>
        <v>-9999</v>
      </c>
      <c r="AL104" s="1040">
        <f>CHOOSE(Tables!$U$2,Transfer!CJ104,Transfer!CW104,Transfer!DJ104,Transfer!DW104,Transfer!EJ104)</f>
        <v>-9999</v>
      </c>
      <c r="AM104" s="1040">
        <f>CHOOSE(Tables!$U$2,Transfer!CK104,Transfer!CX104,Transfer!DK104,Transfer!DX104,Transfer!EK104)</f>
        <v>-9999</v>
      </c>
      <c r="AN104" s="1040">
        <f>CHOOSE(Tables!$U$2,Transfer!CL104,Transfer!CY104,Transfer!DL104,Transfer!DY104,Transfer!EL104)</f>
        <v>-9999</v>
      </c>
      <c r="AO104" s="1040">
        <f>CHOOSE(Tables!$U$2,Transfer!CM104,Transfer!CZ104,Transfer!DM104,Transfer!DZ104,Transfer!EM104)</f>
        <v>-9999</v>
      </c>
      <c r="AR104" s="22">
        <v>4</v>
      </c>
      <c r="AS104" s="1" t="s">
        <v>1305</v>
      </c>
      <c r="AT104" s="24">
        <f t="shared" ca="1" si="2"/>
        <v>-6.8242414944652356</v>
      </c>
      <c r="AU104" s="24">
        <f t="shared" ca="1" si="2"/>
        <v>-7.0387216702453017</v>
      </c>
      <c r="AV104" s="24">
        <f t="shared" ca="1" si="2"/>
        <v>-7.5066995463080506</v>
      </c>
      <c r="AW104" s="24">
        <f t="shared" ca="1" si="2"/>
        <v>-7.9860443497499993</v>
      </c>
      <c r="AX104" s="24">
        <f t="shared" ca="1" si="2"/>
        <v>-8.695609631781112</v>
      </c>
      <c r="AY104" s="25">
        <f t="shared" si="2"/>
        <v>0</v>
      </c>
      <c r="AZ104" s="25">
        <f t="shared" si="2"/>
        <v>0</v>
      </c>
      <c r="BA104" s="25">
        <f t="shared" si="2"/>
        <v>0</v>
      </c>
      <c r="BB104" s="25">
        <f t="shared" si="2"/>
        <v>0</v>
      </c>
      <c r="BC104" s="25">
        <f t="shared" si="2"/>
        <v>0</v>
      </c>
      <c r="BD104" s="25">
        <f t="shared" si="2"/>
        <v>0</v>
      </c>
      <c r="BE104" s="25">
        <f t="shared" si="2"/>
        <v>0</v>
      </c>
      <c r="BF104" s="25">
        <f t="shared" si="2"/>
        <v>0</v>
      </c>
      <c r="CA104" s="16">
        <v>3.527430054263589</v>
      </c>
      <c r="CB104" s="16">
        <v>3.9638289439217069</v>
      </c>
      <c r="CC104" s="16">
        <v>4.389876000000001</v>
      </c>
      <c r="CD104" s="16">
        <v>4.8121820712000005</v>
      </c>
      <c r="CE104" s="16">
        <v>5.1043988351764815</v>
      </c>
      <c r="CF104" s="16">
        <v>-9999</v>
      </c>
      <c r="CG104" s="16">
        <v>-9999</v>
      </c>
      <c r="CH104" s="16">
        <v>-9999</v>
      </c>
      <c r="CI104" s="16">
        <v>-9999</v>
      </c>
      <c r="CJ104" s="16">
        <v>-9999</v>
      </c>
      <c r="CK104" s="16">
        <v>-9999</v>
      </c>
      <c r="CL104" s="16">
        <v>-9999</v>
      </c>
      <c r="CM104" s="16">
        <v>-9999</v>
      </c>
      <c r="CN104" s="16">
        <v>3.143359997165152</v>
      </c>
      <c r="CO104" s="16">
        <v>3.5304800095348714</v>
      </c>
      <c r="CP104" s="16">
        <v>4.0241466199999998</v>
      </c>
      <c r="CQ104" s="16">
        <v>4.3351248344459998</v>
      </c>
      <c r="CR104" s="16">
        <v>4.6664347437603126</v>
      </c>
      <c r="CS104" s="16">
        <v>-9999</v>
      </c>
      <c r="CT104" s="16">
        <v>-9999</v>
      </c>
      <c r="CU104" s="16">
        <v>-9999</v>
      </c>
      <c r="CV104" s="16">
        <v>-9999</v>
      </c>
      <c r="CW104" s="16">
        <v>-9999</v>
      </c>
      <c r="CX104" s="16">
        <v>-9999</v>
      </c>
      <c r="CY104" s="16">
        <v>-9999</v>
      </c>
      <c r="CZ104" s="16">
        <v>-9999</v>
      </c>
      <c r="DA104" s="16">
        <v>3.5304800095348714</v>
      </c>
      <c r="DB104" s="16">
        <v>4.0661799831156538</v>
      </c>
      <c r="DC104" s="16">
        <v>4.4941863999999994</v>
      </c>
      <c r="DD104" s="16">
        <v>4.7451408820452992</v>
      </c>
      <c r="DE104" s="16">
        <v>4.9857671742039473</v>
      </c>
      <c r="DF104" s="16">
        <v>-9999</v>
      </c>
      <c r="DG104" s="16">
        <v>-9999</v>
      </c>
      <c r="DH104" s="16">
        <v>-9999</v>
      </c>
      <c r="DI104" s="16">
        <v>-9999</v>
      </c>
      <c r="DJ104" s="16">
        <v>-9999</v>
      </c>
      <c r="DK104" s="16">
        <v>-9999</v>
      </c>
      <c r="DL104" s="16">
        <v>-9999</v>
      </c>
      <c r="DM104" s="16">
        <v>-9999</v>
      </c>
      <c r="DN104" s="16">
        <v>3.143359997165152</v>
      </c>
      <c r="DO104" s="16">
        <v>3.5304800095348714</v>
      </c>
      <c r="DP104" s="16">
        <v>4.0241466199999998</v>
      </c>
      <c r="DQ104" s="16">
        <v>4.3351248344459998</v>
      </c>
      <c r="DR104" s="16">
        <v>4.6664347437603126</v>
      </c>
      <c r="DS104" s="16">
        <v>-9999</v>
      </c>
      <c r="DT104" s="16">
        <v>-9999</v>
      </c>
      <c r="DU104" s="16">
        <v>-9999</v>
      </c>
      <c r="DV104" s="16">
        <v>-9999</v>
      </c>
      <c r="DW104" s="16">
        <v>-9999</v>
      </c>
      <c r="DX104" s="16">
        <v>-9999</v>
      </c>
      <c r="DY104" s="16">
        <v>-9999</v>
      </c>
      <c r="DZ104" s="16">
        <v>-9999</v>
      </c>
      <c r="EA104" s="2196">
        <v>10.903777646258522</v>
      </c>
      <c r="EB104" s="2196">
        <v>10.86541847090302</v>
      </c>
      <c r="EC104" s="2196">
        <v>11.463546899999999</v>
      </c>
      <c r="ED104" s="2196">
        <v>12.316550049749999</v>
      </c>
      <c r="EE104" s="2196">
        <v>13.350900296782161</v>
      </c>
      <c r="EF104" s="2197">
        <v>-9999</v>
      </c>
      <c r="EG104" s="2197">
        <v>-9999</v>
      </c>
      <c r="EH104" s="2197">
        <v>-9999</v>
      </c>
      <c r="EI104" s="2197">
        <v>-9999</v>
      </c>
      <c r="EJ104" s="2197">
        <v>-9999</v>
      </c>
      <c r="EK104" s="2197">
        <v>-9999</v>
      </c>
      <c r="EL104" s="2197">
        <v>-9999</v>
      </c>
      <c r="EM104" s="2197">
        <v>-9999</v>
      </c>
    </row>
    <row r="105" spans="1:256">
      <c r="A105" s="22">
        <v>5</v>
      </c>
      <c r="B105" s="1" t="s">
        <v>1307</v>
      </c>
      <c r="C105" s="24">
        <f ca="1">OFFSET('VVP2'!F169,0,Last_forecast_year - 3-InputY!$G$3)</f>
        <v>2.4625906209394719</v>
      </c>
      <c r="D105" s="24">
        <f ca="1">OFFSET('VVP2'!G169,0,Last_forecast_year - 3-InputY!$G$3)</f>
        <v>2.696198733506189</v>
      </c>
      <c r="E105" s="24">
        <f ca="1">OFFSET('VVP2'!H169,0,Last_forecast_year - 3-InputY!$G$3)</f>
        <v>2.9204492360154943</v>
      </c>
      <c r="F105" s="24">
        <f ca="1">OFFSET('VVP2'!I169,0,Last_forecast_year - 3-InputY!$G$3)</f>
        <v>3.1030891499999997</v>
      </c>
      <c r="G105" s="24">
        <f ca="1">OFFSET('VVP2'!J169,0,Last_forecast_year - 3-InputY!$G$3)</f>
        <v>3.2819201777144995</v>
      </c>
      <c r="H105" s="25">
        <v>-9999</v>
      </c>
      <c r="I105" s="25">
        <v>-9999</v>
      </c>
      <c r="J105" s="25">
        <v>-9999</v>
      </c>
      <c r="K105" s="25">
        <v>-9999</v>
      </c>
      <c r="L105" s="25">
        <v>-9999</v>
      </c>
      <c r="M105" s="25">
        <v>-9999</v>
      </c>
      <c r="N105" s="25">
        <v>-9999</v>
      </c>
      <c r="O105" s="25">
        <v>-9999</v>
      </c>
      <c r="P105" s="26"/>
      <c r="Q105"/>
      <c r="AA105" s="22">
        <v>5</v>
      </c>
      <c r="AB105" s="1040" t="str">
        <f t="shared" si="3"/>
        <v>VOL. G.F.C.F. EQUIPMENT</v>
      </c>
      <c r="AC105" s="1040">
        <f>CHOOSE(Tables!$U$2,Transfer!CA105,Transfer!CN105,Transfer!DA105,Transfer!DN105,Transfer!EA105)</f>
        <v>6.2574168427783858</v>
      </c>
      <c r="AD105" s="1040">
        <f>CHOOSE(Tables!$U$2,Transfer!CB105,Transfer!CO105,Transfer!DB105,Transfer!DO105,Transfer!EB105)</f>
        <v>6.0409486759651987</v>
      </c>
      <c r="AE105" s="1040">
        <f>CHOOSE(Tables!$U$2,Transfer!CC105,Transfer!CP105,Transfer!DC105,Transfer!DP105,Transfer!EC105)</f>
        <v>6.7210666900000007</v>
      </c>
      <c r="AF105" s="1040">
        <f>CHOOSE(Tables!$U$2,Transfer!CD105,Transfer!CQ105,Transfer!DD105,Transfer!DQ105,Transfer!ED105)</f>
        <v>7.5642245062605005</v>
      </c>
      <c r="AG105" s="1040">
        <f>CHOOSE(Tables!$U$2,Transfer!CE105,Transfer!CR105,Transfer!DE105,Transfer!DR105,Transfer!EE105)</f>
        <v>8.637739248188991</v>
      </c>
      <c r="AH105" s="1040">
        <f>CHOOSE(Tables!$U$2,Transfer!CF105,Transfer!CS105,Transfer!DF105,Transfer!DS105,Transfer!EF105)</f>
        <v>-9999</v>
      </c>
      <c r="AI105" s="1040">
        <f>CHOOSE(Tables!$U$2,Transfer!CG105,Transfer!CT105,Transfer!DG105,Transfer!DT105,Transfer!EG105)</f>
        <v>-9999</v>
      </c>
      <c r="AJ105" s="1040">
        <f>CHOOSE(Tables!$U$2,Transfer!CH105,Transfer!CU105,Transfer!DH105,Transfer!DU105,Transfer!EH105)</f>
        <v>-9999</v>
      </c>
      <c r="AK105" s="1040">
        <f>CHOOSE(Tables!$U$2,Transfer!CI105,Transfer!CV105,Transfer!DI105,Transfer!DV105,Transfer!EI105)</f>
        <v>-9999</v>
      </c>
      <c r="AL105" s="1040">
        <f>CHOOSE(Tables!$U$2,Transfer!CJ105,Transfer!CW105,Transfer!DJ105,Transfer!DW105,Transfer!EJ105)</f>
        <v>-9999</v>
      </c>
      <c r="AM105" s="1040">
        <f>CHOOSE(Tables!$U$2,Transfer!CK105,Transfer!CX105,Transfer!DK105,Transfer!DX105,Transfer!EK105)</f>
        <v>-9999</v>
      </c>
      <c r="AN105" s="1040">
        <f>CHOOSE(Tables!$U$2,Transfer!CL105,Transfer!CY105,Transfer!DL105,Transfer!DY105,Transfer!EL105)</f>
        <v>-9999</v>
      </c>
      <c r="AO105" s="1040">
        <f>CHOOSE(Tables!$U$2,Transfer!CM105,Transfer!CZ105,Transfer!DM105,Transfer!DZ105,Transfer!EM105)</f>
        <v>-9999</v>
      </c>
      <c r="AR105" s="22">
        <v>5</v>
      </c>
      <c r="AS105" s="1" t="s">
        <v>1307</v>
      </c>
      <c r="AT105" s="24">
        <f t="shared" ca="1" si="2"/>
        <v>-3.7948262218389139</v>
      </c>
      <c r="AU105" s="24">
        <f t="shared" ca="1" si="2"/>
        <v>-3.3447499424590097</v>
      </c>
      <c r="AV105" s="24">
        <f t="shared" ca="1" si="2"/>
        <v>-3.8006174539845063</v>
      </c>
      <c r="AW105" s="24">
        <f t="shared" ca="1" si="2"/>
        <v>-4.4611353562605007</v>
      </c>
      <c r="AX105" s="24">
        <f t="shared" ca="1" si="2"/>
        <v>-5.3558190704744915</v>
      </c>
      <c r="AY105" s="25">
        <f t="shared" si="2"/>
        <v>0</v>
      </c>
      <c r="AZ105" s="25">
        <f t="shared" si="2"/>
        <v>0</v>
      </c>
      <c r="BA105" s="25">
        <f t="shared" si="2"/>
        <v>0</v>
      </c>
      <c r="BB105" s="25">
        <f t="shared" si="2"/>
        <v>0</v>
      </c>
      <c r="BC105" s="25">
        <f t="shared" si="2"/>
        <v>0</v>
      </c>
      <c r="BD105" s="25">
        <f t="shared" si="2"/>
        <v>0</v>
      </c>
      <c r="BE105" s="25">
        <f t="shared" si="2"/>
        <v>0</v>
      </c>
      <c r="BF105" s="25">
        <f t="shared" si="2"/>
        <v>0</v>
      </c>
      <c r="CA105" s="16">
        <v>2.1862754348714613</v>
      </c>
      <c r="CB105" s="16">
        <v>2.2572558888143548</v>
      </c>
      <c r="CC105" s="16">
        <v>2.4102713000000002</v>
      </c>
      <c r="CD105" s="16">
        <v>2.2433720638315</v>
      </c>
      <c r="CE105" s="16">
        <v>2.5195760323304346</v>
      </c>
      <c r="CF105" s="16">
        <v>-9999</v>
      </c>
      <c r="CG105" s="16">
        <v>-9999</v>
      </c>
      <c r="CH105" s="16">
        <v>-9999</v>
      </c>
      <c r="CI105" s="16">
        <v>-9999</v>
      </c>
      <c r="CJ105" s="16">
        <v>-9999</v>
      </c>
      <c r="CK105" s="16">
        <v>-9999</v>
      </c>
      <c r="CL105" s="16">
        <v>-9999</v>
      </c>
      <c r="CM105" s="16">
        <v>-9999</v>
      </c>
      <c r="CN105" s="16">
        <v>1.9205200041694843</v>
      </c>
      <c r="CO105" s="16">
        <v>2.1401699989895153</v>
      </c>
      <c r="CP105" s="16">
        <v>2.2586798400000001</v>
      </c>
      <c r="CQ105" s="16">
        <v>2.3729690399040004</v>
      </c>
      <c r="CR105" s="16">
        <v>2.6166255009213431</v>
      </c>
      <c r="CS105" s="16">
        <v>-9999</v>
      </c>
      <c r="CT105" s="16">
        <v>-9999</v>
      </c>
      <c r="CU105" s="16">
        <v>-9999</v>
      </c>
      <c r="CV105" s="16">
        <v>-9999</v>
      </c>
      <c r="CW105" s="16">
        <v>-9999</v>
      </c>
      <c r="CX105" s="16">
        <v>-9999</v>
      </c>
      <c r="CY105" s="16">
        <v>-9999</v>
      </c>
      <c r="CZ105" s="16">
        <v>-9999</v>
      </c>
      <c r="DA105" s="16">
        <v>2.1401699989895153</v>
      </c>
      <c r="DB105" s="16">
        <v>2.1627700002348882</v>
      </c>
      <c r="DC105" s="16">
        <v>2.3440180499999999</v>
      </c>
      <c r="DD105" s="16">
        <v>2.4908403085978494</v>
      </c>
      <c r="DE105" s="16">
        <v>2.6465676446913871</v>
      </c>
      <c r="DF105" s="16">
        <v>-9999</v>
      </c>
      <c r="DG105" s="16">
        <v>-9999</v>
      </c>
      <c r="DH105" s="16">
        <v>-9999</v>
      </c>
      <c r="DI105" s="16">
        <v>-9999</v>
      </c>
      <c r="DJ105" s="16">
        <v>-9999</v>
      </c>
      <c r="DK105" s="16">
        <v>-9999</v>
      </c>
      <c r="DL105" s="16">
        <v>-9999</v>
      </c>
      <c r="DM105" s="16">
        <v>-9999</v>
      </c>
      <c r="DN105" s="16">
        <v>1.9205200041694843</v>
      </c>
      <c r="DO105" s="16">
        <v>2.1401699989895153</v>
      </c>
      <c r="DP105" s="16">
        <v>2.2586798400000001</v>
      </c>
      <c r="DQ105" s="16">
        <v>2.3660574795936</v>
      </c>
      <c r="DR105" s="16">
        <v>2.5920940487916151</v>
      </c>
      <c r="DS105" s="16">
        <v>-9999</v>
      </c>
      <c r="DT105" s="16">
        <v>-9999</v>
      </c>
      <c r="DU105" s="16">
        <v>-9999</v>
      </c>
      <c r="DV105" s="16">
        <v>-9999</v>
      </c>
      <c r="DW105" s="16">
        <v>-9999</v>
      </c>
      <c r="DX105" s="16">
        <v>-9999</v>
      </c>
      <c r="DY105" s="16">
        <v>-9999</v>
      </c>
      <c r="DZ105" s="16">
        <v>-9999</v>
      </c>
      <c r="EA105" s="2196">
        <v>6.2574168427783858</v>
      </c>
      <c r="EB105" s="2196">
        <v>6.0409486759651987</v>
      </c>
      <c r="EC105" s="2196">
        <v>6.7210666900000007</v>
      </c>
      <c r="ED105" s="2196">
        <v>7.5642245062605005</v>
      </c>
      <c r="EE105" s="2196">
        <v>8.637739248188991</v>
      </c>
      <c r="EF105" s="2197">
        <v>-9999</v>
      </c>
      <c r="EG105" s="2197">
        <v>-9999</v>
      </c>
      <c r="EH105" s="2197">
        <v>-9999</v>
      </c>
      <c r="EI105" s="2197">
        <v>-9999</v>
      </c>
      <c r="EJ105" s="2197">
        <v>-9999</v>
      </c>
      <c r="EK105" s="2197">
        <v>-9999</v>
      </c>
      <c r="EL105" s="2197">
        <v>-9999</v>
      </c>
      <c r="EM105" s="2197">
        <v>-9999</v>
      </c>
    </row>
    <row r="106" spans="1:256">
      <c r="A106" s="22">
        <v>6</v>
      </c>
      <c r="B106" s="1" t="s">
        <v>1308</v>
      </c>
      <c r="C106" s="24">
        <f ca="1">OFFSET('VVP2'!F170,0,Last_forecast_year - 3-InputY!$G$3)</f>
        <v>0.69705232509745307</v>
      </c>
      <c r="D106" s="24">
        <f ca="1">OFFSET('VVP2'!G170,0,Last_forecast_year - 3-InputY!$G$3)</f>
        <v>0.76834599745659626</v>
      </c>
      <c r="E106" s="24">
        <f ca="1">OFFSET('VVP2'!H170,0,Last_forecast_year - 3-InputY!$G$3)</f>
        <v>0.9774669050103677</v>
      </c>
      <c r="F106" s="24">
        <f ca="1">OFFSET('VVP2'!I170,0,Last_forecast_year - 3-InputY!$G$3)</f>
        <v>0.97967375999999995</v>
      </c>
      <c r="G106" s="24">
        <f ca="1">OFFSET('VVP2'!J170,0,Last_forecast_year - 3-InputY!$G$3)</f>
        <v>1.0339966699919998</v>
      </c>
      <c r="H106" s="25">
        <v>-9999</v>
      </c>
      <c r="I106" s="25">
        <v>-9999</v>
      </c>
      <c r="J106" s="25">
        <v>-9999</v>
      </c>
      <c r="K106" s="25">
        <v>-9999</v>
      </c>
      <c r="L106" s="25">
        <v>-9999</v>
      </c>
      <c r="M106" s="25">
        <v>-9999</v>
      </c>
      <c r="N106" s="25">
        <v>-9999</v>
      </c>
      <c r="O106" s="25">
        <v>-9999</v>
      </c>
      <c r="P106" s="26"/>
      <c r="Q106"/>
      <c r="AA106" s="22">
        <v>6</v>
      </c>
      <c r="AB106" s="1040" t="str">
        <f t="shared" si="3"/>
        <v>VOL. G.F.C.F. OTHER</v>
      </c>
      <c r="AC106" s="1040">
        <f>CHOOSE(Tables!$U$2,Transfer!CA106,Transfer!CN106,Transfer!DA106,Transfer!DN106,Transfer!EA106)</f>
        <v>1.6220086774140245</v>
      </c>
      <c r="AD106" s="1040">
        <f>CHOOSE(Tables!$U$2,Transfer!CB106,Transfer!CO106,Transfer!DB106,Transfer!DO106,Transfer!EB106)</f>
        <v>1.6592757072501798</v>
      </c>
      <c r="AE106" s="1040">
        <f>CHOOSE(Tables!$U$2,Transfer!CC106,Transfer!CP106,Transfer!DC106,Transfer!DP106,Transfer!EC106)</f>
        <v>1.6720374800000002</v>
      </c>
      <c r="AF106" s="1040">
        <f>CHOOSE(Tables!$U$2,Transfer!CD106,Transfer!CQ106,Transfer!DD106,Transfer!DQ106,Transfer!ED106)</f>
        <v>1.8238584831840003</v>
      </c>
      <c r="AG106" s="1040">
        <f>CHOOSE(Tables!$U$2,Transfer!CE106,Transfer!CR106,Transfer!DE106,Transfer!DR106,Transfer!EE106)</f>
        <v>2.0288601766938821</v>
      </c>
      <c r="AH106" s="1040">
        <f>CHOOSE(Tables!$U$2,Transfer!CF106,Transfer!CS106,Transfer!DF106,Transfer!DS106,Transfer!EF106)</f>
        <v>-9999</v>
      </c>
      <c r="AI106" s="1040">
        <f>CHOOSE(Tables!$U$2,Transfer!CG106,Transfer!CT106,Transfer!DG106,Transfer!DT106,Transfer!EG106)</f>
        <v>-9999</v>
      </c>
      <c r="AJ106" s="1040">
        <f>CHOOSE(Tables!$U$2,Transfer!CH106,Transfer!CU106,Transfer!DH106,Transfer!DU106,Transfer!EH106)</f>
        <v>-9999</v>
      </c>
      <c r="AK106" s="1040">
        <f>CHOOSE(Tables!$U$2,Transfer!CI106,Transfer!CV106,Transfer!DI106,Transfer!DV106,Transfer!EI106)</f>
        <v>-9999</v>
      </c>
      <c r="AL106" s="1040">
        <f>CHOOSE(Tables!$U$2,Transfer!CJ106,Transfer!CW106,Transfer!DJ106,Transfer!DW106,Transfer!EJ106)</f>
        <v>-9999</v>
      </c>
      <c r="AM106" s="1040">
        <f>CHOOSE(Tables!$U$2,Transfer!CK106,Transfer!CX106,Transfer!DK106,Transfer!DX106,Transfer!EK106)</f>
        <v>-9999</v>
      </c>
      <c r="AN106" s="1040">
        <f>CHOOSE(Tables!$U$2,Transfer!CL106,Transfer!CY106,Transfer!DL106,Transfer!DY106,Transfer!EL106)</f>
        <v>-9999</v>
      </c>
      <c r="AO106" s="1040">
        <f>CHOOSE(Tables!$U$2,Transfer!CM106,Transfer!CZ106,Transfer!DM106,Transfer!DZ106,Transfer!EM106)</f>
        <v>-9999</v>
      </c>
      <c r="AR106" s="22">
        <v>6</v>
      </c>
      <c r="AS106" s="1" t="s">
        <v>1308</v>
      </c>
      <c r="AT106" s="24">
        <f t="shared" ca="1" si="2"/>
        <v>-0.92495635231657147</v>
      </c>
      <c r="AU106" s="24">
        <f t="shared" ca="1" si="2"/>
        <v>-0.89092970979358355</v>
      </c>
      <c r="AV106" s="24">
        <f t="shared" ca="1" si="2"/>
        <v>-0.69457057498963248</v>
      </c>
      <c r="AW106" s="24">
        <f t="shared" ca="1" si="2"/>
        <v>-0.8441847231840004</v>
      </c>
      <c r="AX106" s="24">
        <f t="shared" ca="1" si="2"/>
        <v>-0.99486350670188228</v>
      </c>
      <c r="AY106" s="25">
        <f t="shared" si="2"/>
        <v>0</v>
      </c>
      <c r="AZ106" s="25">
        <f t="shared" si="2"/>
        <v>0</v>
      </c>
      <c r="BA106" s="25">
        <f t="shared" si="2"/>
        <v>0</v>
      </c>
      <c r="BB106" s="25">
        <f t="shared" si="2"/>
        <v>0</v>
      </c>
      <c r="BC106" s="25">
        <f t="shared" si="2"/>
        <v>0</v>
      </c>
      <c r="BD106" s="25">
        <f t="shared" si="2"/>
        <v>0</v>
      </c>
      <c r="BE106" s="25">
        <f t="shared" si="2"/>
        <v>0</v>
      </c>
      <c r="BF106" s="25">
        <f t="shared" si="2"/>
        <v>0</v>
      </c>
      <c r="CA106" s="16">
        <v>0.55486229443407609</v>
      </c>
      <c r="CB106" s="16">
        <v>0.58821841911824768</v>
      </c>
      <c r="CC106" s="16">
        <v>0.61667310000000009</v>
      </c>
      <c r="CD106" s="16">
        <v>0.65096012436000006</v>
      </c>
      <c r="CE106" s="16">
        <v>0.70349260639585209</v>
      </c>
      <c r="CF106" s="16">
        <v>-9999</v>
      </c>
      <c r="CG106" s="16">
        <v>-9999</v>
      </c>
      <c r="CH106" s="16">
        <v>-9999</v>
      </c>
      <c r="CI106" s="16">
        <v>-9999</v>
      </c>
      <c r="CJ106" s="16">
        <v>-9999</v>
      </c>
      <c r="CK106" s="16">
        <v>-9999</v>
      </c>
      <c r="CL106" s="16">
        <v>-9999</v>
      </c>
      <c r="CM106" s="16">
        <v>-9999</v>
      </c>
      <c r="CN106" s="16">
        <v>0.60660169277173215</v>
      </c>
      <c r="CO106" s="16">
        <v>0.51156529957654762</v>
      </c>
      <c r="CP106" s="16">
        <v>0.57036464999999992</v>
      </c>
      <c r="CQ106" s="16">
        <v>0.60504282071999993</v>
      </c>
      <c r="CR106" s="16">
        <v>0.65790238675220258</v>
      </c>
      <c r="CS106" s="16">
        <v>-9999</v>
      </c>
      <c r="CT106" s="16">
        <v>-9999</v>
      </c>
      <c r="CU106" s="16">
        <v>-9999</v>
      </c>
      <c r="CV106" s="16">
        <v>-9999</v>
      </c>
      <c r="CW106" s="16">
        <v>-9999</v>
      </c>
      <c r="CX106" s="16">
        <v>-9999</v>
      </c>
      <c r="CY106" s="16">
        <v>-9999</v>
      </c>
      <c r="CZ106" s="16">
        <v>-9999</v>
      </c>
      <c r="DA106" s="16">
        <v>0.51156529957654762</v>
      </c>
      <c r="DB106" s="16">
        <v>0.63827147841331233</v>
      </c>
      <c r="DC106" s="16">
        <v>0.67894049999999995</v>
      </c>
      <c r="DD106" s="16">
        <v>0.72353059627799998</v>
      </c>
      <c r="DE106" s="16">
        <v>0.77095802686402282</v>
      </c>
      <c r="DF106" s="16">
        <v>-9999</v>
      </c>
      <c r="DG106" s="16">
        <v>-9999</v>
      </c>
      <c r="DH106" s="16">
        <v>-9999</v>
      </c>
      <c r="DI106" s="16">
        <v>-9999</v>
      </c>
      <c r="DJ106" s="16">
        <v>-9999</v>
      </c>
      <c r="DK106" s="16">
        <v>-9999</v>
      </c>
      <c r="DL106" s="16">
        <v>-9999</v>
      </c>
      <c r="DM106" s="16">
        <v>-9999</v>
      </c>
      <c r="DN106" s="16">
        <v>0.60660169277173215</v>
      </c>
      <c r="DO106" s="16">
        <v>0.51156529957654762</v>
      </c>
      <c r="DP106" s="16">
        <v>0.57036464999999992</v>
      </c>
      <c r="DQ106" s="16">
        <v>0.60504282071999993</v>
      </c>
      <c r="DR106" s="16">
        <v>0.65790238675220258</v>
      </c>
      <c r="DS106" s="16">
        <v>-9999</v>
      </c>
      <c r="DT106" s="16">
        <v>-9999</v>
      </c>
      <c r="DU106" s="16">
        <v>-9999</v>
      </c>
      <c r="DV106" s="16">
        <v>-9999</v>
      </c>
      <c r="DW106" s="16">
        <v>-9999</v>
      </c>
      <c r="DX106" s="16">
        <v>-9999</v>
      </c>
      <c r="DY106" s="16">
        <v>-9999</v>
      </c>
      <c r="DZ106" s="16">
        <v>-9999</v>
      </c>
      <c r="EA106" s="2196">
        <v>1.6220086774140245</v>
      </c>
      <c r="EB106" s="2196">
        <v>1.6592757072501798</v>
      </c>
      <c r="EC106" s="2196">
        <v>1.6720374800000002</v>
      </c>
      <c r="ED106" s="2196">
        <v>1.8238584831840003</v>
      </c>
      <c r="EE106" s="2196">
        <v>2.0288601766938821</v>
      </c>
      <c r="EF106" s="2197">
        <v>-9999</v>
      </c>
      <c r="EG106" s="2197">
        <v>-9999</v>
      </c>
      <c r="EH106" s="2197">
        <v>-9999</v>
      </c>
      <c r="EI106" s="2197">
        <v>-9999</v>
      </c>
      <c r="EJ106" s="2197">
        <v>-9999</v>
      </c>
      <c r="EK106" s="2197">
        <v>-9999</v>
      </c>
      <c r="EL106" s="2197">
        <v>-9999</v>
      </c>
      <c r="EM106" s="2197">
        <v>-9999</v>
      </c>
    </row>
    <row r="107" spans="1:256">
      <c r="A107" s="22">
        <v>7</v>
      </c>
      <c r="B107" s="1" t="s">
        <v>984</v>
      </c>
      <c r="C107" s="24">
        <f ca="1">OFFSET('VVP2'!F171,0,Last_forecast_year - 3-InputY!$G$3)</f>
        <v>1.4475648188729195</v>
      </c>
      <c r="D107" s="24">
        <f ca="1">OFFSET('VVP2'!G171,0,Last_forecast_year - 3-InputY!$G$3)</f>
        <v>7.6073624423784736E-2</v>
      </c>
      <c r="E107" s="24">
        <f ca="1">OFFSET('VVP2'!H171,0,Last_forecast_year - 3-InputY!$G$3)</f>
        <v>-0.64598</v>
      </c>
      <c r="F107" s="24">
        <f ca="1">OFFSET('VVP2'!I171,0,Last_forecast_year - 3-InputY!$G$3)</f>
        <v>-0.64598</v>
      </c>
      <c r="G107" s="24">
        <f ca="1">OFFSET('VVP2'!J171,0,Last_forecast_year - 3-InputY!$G$3)</f>
        <v>-0.64598</v>
      </c>
      <c r="H107" s="25">
        <v>-9999</v>
      </c>
      <c r="I107" s="25">
        <v>-9999</v>
      </c>
      <c r="J107" s="25">
        <v>-9999</v>
      </c>
      <c r="K107" s="25">
        <v>-9999</v>
      </c>
      <c r="L107" s="25">
        <v>-9999</v>
      </c>
      <c r="M107" s="25">
        <v>-9999</v>
      </c>
      <c r="N107" s="25">
        <v>-9999</v>
      </c>
      <c r="O107" s="25">
        <v>-9999</v>
      </c>
      <c r="P107" s="26"/>
      <c r="Q107"/>
      <c r="AA107" s="22">
        <v>7</v>
      </c>
      <c r="AB107" s="1040" t="str">
        <f t="shared" si="3"/>
        <v>VOL. CHANGE IN INVENTORIES</v>
      </c>
      <c r="AC107" s="1040">
        <f>CHOOSE(Tables!$U$2,Transfer!CA107,Transfer!CN107,Transfer!DA107,Transfer!DN107,Transfer!EA107)</f>
        <v>0.48506247271525638</v>
      </c>
      <c r="AD107" s="1040">
        <f>CHOOSE(Tables!$U$2,Transfer!CB107,Transfer!CO107,Transfer!DB107,Transfer!DO107,Transfer!EB107)</f>
        <v>0.81334558316311245</v>
      </c>
      <c r="AE107" s="1040">
        <f>CHOOSE(Tables!$U$2,Transfer!CC107,Transfer!CP107,Transfer!DC107,Transfer!DP107,Transfer!EC107)</f>
        <v>1.89377</v>
      </c>
      <c r="AF107" s="1040">
        <f>CHOOSE(Tables!$U$2,Transfer!CD107,Transfer!CQ107,Transfer!DD107,Transfer!DQ107,Transfer!ED107)</f>
        <v>1.89377</v>
      </c>
      <c r="AG107" s="1040">
        <f>CHOOSE(Tables!$U$2,Transfer!CE107,Transfer!CR107,Transfer!DE107,Transfer!DR107,Transfer!EE107)</f>
        <v>1.89377</v>
      </c>
      <c r="AH107" s="1040">
        <f>CHOOSE(Tables!$U$2,Transfer!CF107,Transfer!CS107,Transfer!DF107,Transfer!DS107,Transfer!EF107)</f>
        <v>-9999</v>
      </c>
      <c r="AI107" s="1040">
        <f>CHOOSE(Tables!$U$2,Transfer!CG107,Transfer!CT107,Transfer!DG107,Transfer!DT107,Transfer!EG107)</f>
        <v>-9999</v>
      </c>
      <c r="AJ107" s="1040">
        <f>CHOOSE(Tables!$U$2,Transfer!CH107,Transfer!CU107,Transfer!DH107,Transfer!DU107,Transfer!EH107)</f>
        <v>-9999</v>
      </c>
      <c r="AK107" s="1040">
        <f>CHOOSE(Tables!$U$2,Transfer!CI107,Transfer!CV107,Transfer!DI107,Transfer!DV107,Transfer!EI107)</f>
        <v>-9999</v>
      </c>
      <c r="AL107" s="1040">
        <f>CHOOSE(Tables!$U$2,Transfer!CJ107,Transfer!CW107,Transfer!DJ107,Transfer!DW107,Transfer!EJ107)</f>
        <v>-9999</v>
      </c>
      <c r="AM107" s="1040">
        <f>CHOOSE(Tables!$U$2,Transfer!CK107,Transfer!CX107,Transfer!DK107,Transfer!DX107,Transfer!EK107)</f>
        <v>-9999</v>
      </c>
      <c r="AN107" s="1040">
        <f>CHOOSE(Tables!$U$2,Transfer!CL107,Transfer!CY107,Transfer!DL107,Transfer!DY107,Transfer!EL107)</f>
        <v>-9999</v>
      </c>
      <c r="AO107" s="1040">
        <f>CHOOSE(Tables!$U$2,Transfer!CM107,Transfer!CZ107,Transfer!DM107,Transfer!DZ107,Transfer!EM107)</f>
        <v>-9999</v>
      </c>
      <c r="AR107" s="22">
        <v>7</v>
      </c>
      <c r="AS107" s="1" t="s">
        <v>984</v>
      </c>
      <c r="AT107" s="24">
        <f t="shared" ca="1" si="2"/>
        <v>0.96250234615766317</v>
      </c>
      <c r="AU107" s="24">
        <f t="shared" ca="1" si="2"/>
        <v>-0.73727195873932772</v>
      </c>
      <c r="AV107" s="24">
        <f t="shared" ca="1" si="2"/>
        <v>-2.5397499999999997</v>
      </c>
      <c r="AW107" s="24">
        <f t="shared" ca="1" si="2"/>
        <v>-2.5397499999999997</v>
      </c>
      <c r="AX107" s="24">
        <f t="shared" ca="1" si="2"/>
        <v>-2.5397499999999997</v>
      </c>
      <c r="AY107" s="25">
        <f t="shared" si="2"/>
        <v>0</v>
      </c>
      <c r="AZ107" s="25">
        <f t="shared" si="2"/>
        <v>0</v>
      </c>
      <c r="BA107" s="25">
        <f t="shared" si="2"/>
        <v>0</v>
      </c>
      <c r="BB107" s="25">
        <f t="shared" si="2"/>
        <v>0</v>
      </c>
      <c r="BC107" s="25">
        <f t="shared" si="2"/>
        <v>0</v>
      </c>
      <c r="BD107" s="25">
        <f t="shared" si="2"/>
        <v>0</v>
      </c>
      <c r="BE107" s="25">
        <f t="shared" si="2"/>
        <v>0</v>
      </c>
      <c r="BF107" s="25">
        <f t="shared" si="2"/>
        <v>0</v>
      </c>
      <c r="CA107" s="16">
        <v>0.26022865332234346</v>
      </c>
      <c r="CB107" s="16">
        <v>-9.2459463725006685E-2</v>
      </c>
      <c r="CC107" s="16">
        <v>-0.21288084999999998</v>
      </c>
      <c r="CD107" s="16">
        <v>-1.2985731849999997</v>
      </c>
      <c r="CE107" s="16">
        <v>-1.7530737997499997</v>
      </c>
      <c r="CF107" s="16">
        <v>-9999</v>
      </c>
      <c r="CG107" s="16">
        <v>-9999</v>
      </c>
      <c r="CH107" s="16">
        <v>-9999</v>
      </c>
      <c r="CI107" s="16">
        <v>-9999</v>
      </c>
      <c r="CJ107" s="16">
        <v>-9999</v>
      </c>
      <c r="CK107" s="16">
        <v>-9999</v>
      </c>
      <c r="CL107" s="16">
        <v>-9999</v>
      </c>
      <c r="CM107" s="16">
        <v>-9999</v>
      </c>
      <c r="CN107" s="16">
        <v>0.32621000248973786</v>
      </c>
      <c r="CO107" s="16">
        <v>0.18032013692660342</v>
      </c>
      <c r="CP107" s="16">
        <v>0.16306999999999999</v>
      </c>
      <c r="CQ107" s="16">
        <v>0.16470070000000001</v>
      </c>
      <c r="CR107" s="16">
        <v>0.16470070000000001</v>
      </c>
      <c r="CS107" s="16">
        <v>-9999</v>
      </c>
      <c r="CT107" s="16">
        <v>-9999</v>
      </c>
      <c r="CU107" s="16">
        <v>-9999</v>
      </c>
      <c r="CV107" s="16">
        <v>-9999</v>
      </c>
      <c r="CW107" s="16">
        <v>-9999</v>
      </c>
      <c r="CX107" s="16">
        <v>-9999</v>
      </c>
      <c r="CY107" s="16">
        <v>-9999</v>
      </c>
      <c r="CZ107" s="16">
        <v>-9999</v>
      </c>
      <c r="DA107" s="16">
        <v>0.18032013692660342</v>
      </c>
      <c r="DB107" s="16">
        <v>0.1502000000876933</v>
      </c>
      <c r="DC107" s="16">
        <v>-0.10718000000000001</v>
      </c>
      <c r="DD107" s="16">
        <v>-0.10718000000000001</v>
      </c>
      <c r="DE107" s="16">
        <v>-0.10718000000000001</v>
      </c>
      <c r="DF107" s="16">
        <v>-9999</v>
      </c>
      <c r="DG107" s="16">
        <v>-9999</v>
      </c>
      <c r="DH107" s="16">
        <v>-9999</v>
      </c>
      <c r="DI107" s="16">
        <v>-9999</v>
      </c>
      <c r="DJ107" s="16">
        <v>-9999</v>
      </c>
      <c r="DK107" s="16">
        <v>-9999</v>
      </c>
      <c r="DL107" s="16">
        <v>-9999</v>
      </c>
      <c r="DM107" s="16">
        <v>-9999</v>
      </c>
      <c r="DN107" s="16">
        <v>0.32621000248973786</v>
      </c>
      <c r="DO107" s="16">
        <v>0.18032013692660342</v>
      </c>
      <c r="DP107" s="16">
        <v>0.14391063646373825</v>
      </c>
      <c r="DQ107" s="16">
        <v>0.14534974282837562</v>
      </c>
      <c r="DR107" s="16">
        <v>0.14534974282837562</v>
      </c>
      <c r="DS107" s="16">
        <v>-9999</v>
      </c>
      <c r="DT107" s="16">
        <v>-9999</v>
      </c>
      <c r="DU107" s="16">
        <v>-9999</v>
      </c>
      <c r="DV107" s="16">
        <v>-9999</v>
      </c>
      <c r="DW107" s="16">
        <v>-9999</v>
      </c>
      <c r="DX107" s="16">
        <v>-9999</v>
      </c>
      <c r="DY107" s="16">
        <v>-9999</v>
      </c>
      <c r="DZ107" s="16">
        <v>-9999</v>
      </c>
      <c r="EA107" s="2196">
        <v>0.48506247271525638</v>
      </c>
      <c r="EB107" s="2196">
        <v>0.81334558316311245</v>
      </c>
      <c r="EC107" s="2196">
        <v>1.89377</v>
      </c>
      <c r="ED107" s="2196">
        <v>1.89377</v>
      </c>
      <c r="EE107" s="2196">
        <v>1.89377</v>
      </c>
      <c r="EF107" s="2197">
        <v>-9999</v>
      </c>
      <c r="EG107" s="2197">
        <v>-9999</v>
      </c>
      <c r="EH107" s="2197">
        <v>-9999</v>
      </c>
      <c r="EI107" s="2197">
        <v>-9999</v>
      </c>
      <c r="EJ107" s="2197">
        <v>-9999</v>
      </c>
      <c r="EK107" s="2197">
        <v>-9999</v>
      </c>
      <c r="EL107" s="2197">
        <v>-9999</v>
      </c>
      <c r="EM107" s="2197">
        <v>-9999</v>
      </c>
    </row>
    <row r="108" spans="1:256">
      <c r="A108" s="22">
        <v>8</v>
      </c>
      <c r="B108" s="29" t="s">
        <v>1993</v>
      </c>
      <c r="C108" s="24">
        <f ca="1">OFFSET('VVP2'!F172,0,Last_forecast_year - 3-InputY!$G$3)</f>
        <v>23.563546467906711</v>
      </c>
      <c r="D108" s="24">
        <f ca="1">OFFSET('VVP2'!G172,0,Last_forecast_year - 3-InputY!$G$3)</f>
        <v>22.614434177780485</v>
      </c>
      <c r="E108" s="24">
        <f ca="1">OFFSET('VVP2'!H172,0,Last_forecast_year - 3-InputY!$G$3)</f>
        <v>24.59864798352611</v>
      </c>
      <c r="F108" s="24">
        <f ca="1">OFFSET('VVP2'!I172,0,Last_forecast_year - 3-InputY!$G$3)</f>
        <v>27.092071839999999</v>
      </c>
      <c r="G108" s="24">
        <f ca="1">OFFSET('VVP2'!J172,0,Last_forecast_year - 3-InputY!$G$3)</f>
        <v>28.934657829982079</v>
      </c>
      <c r="H108" s="25">
        <v>-9999</v>
      </c>
      <c r="I108" s="25">
        <v>-9999</v>
      </c>
      <c r="J108" s="25">
        <v>-9999</v>
      </c>
      <c r="K108" s="25">
        <v>-9999</v>
      </c>
      <c r="L108" s="25">
        <v>-9999</v>
      </c>
      <c r="M108" s="25">
        <v>-9999</v>
      </c>
      <c r="N108" s="25">
        <v>-9999</v>
      </c>
      <c r="O108" s="25">
        <v>-9999</v>
      </c>
      <c r="P108" s="26"/>
      <c r="Q108"/>
      <c r="AA108" s="22">
        <v>8</v>
      </c>
      <c r="AB108" s="1040" t="str">
        <f t="shared" si="3"/>
        <v>VOL. EXPORTS OF GOODS (FOB)</v>
      </c>
      <c r="AC108" s="1040">
        <f>CHOOSE(Tables!$U$2,Transfer!CA108,Transfer!CN108,Transfer!DA108,Transfer!DN108,Transfer!EA108)</f>
        <v>61.319722802671919</v>
      </c>
      <c r="AD108" s="1040">
        <f>CHOOSE(Tables!$U$2,Transfer!CB108,Transfer!CO108,Transfer!DB108,Transfer!DO108,Transfer!EB108)</f>
        <v>76.791236214334702</v>
      </c>
      <c r="AE108" s="1040">
        <f>CHOOSE(Tables!$U$2,Transfer!CC108,Transfer!CP108,Transfer!DC108,Transfer!DP108,Transfer!EC108)</f>
        <v>84.353210000000004</v>
      </c>
      <c r="AF108" s="1040">
        <f>CHOOSE(Tables!$U$2,Transfer!CD108,Transfer!CQ108,Transfer!DD108,Transfer!DQ108,Transfer!ED108)</f>
        <v>90.353928652980002</v>
      </c>
      <c r="AG108" s="1040">
        <f>CHOOSE(Tables!$U$2,Transfer!CE108,Transfer!CR108,Transfer!DE108,Transfer!DR108,Transfer!EE108)</f>
        <v>98.220593451151686</v>
      </c>
      <c r="AH108" s="1040">
        <f>CHOOSE(Tables!$U$2,Transfer!CF108,Transfer!CS108,Transfer!DF108,Transfer!DS108,Transfer!EF108)</f>
        <v>-9999</v>
      </c>
      <c r="AI108" s="1040">
        <f>CHOOSE(Tables!$U$2,Transfer!CG108,Transfer!CT108,Transfer!DG108,Transfer!DT108,Transfer!EG108)</f>
        <v>-9999</v>
      </c>
      <c r="AJ108" s="1040">
        <f>CHOOSE(Tables!$U$2,Transfer!CH108,Transfer!CU108,Transfer!DH108,Transfer!DU108,Transfer!EH108)</f>
        <v>-9999</v>
      </c>
      <c r="AK108" s="1040">
        <f>CHOOSE(Tables!$U$2,Transfer!CI108,Transfer!CV108,Transfer!DI108,Transfer!DV108,Transfer!EI108)</f>
        <v>-9999</v>
      </c>
      <c r="AL108" s="1040">
        <f>CHOOSE(Tables!$U$2,Transfer!CJ108,Transfer!CW108,Transfer!DJ108,Transfer!DW108,Transfer!EJ108)</f>
        <v>-9999</v>
      </c>
      <c r="AM108" s="1040">
        <f>CHOOSE(Tables!$U$2,Transfer!CK108,Transfer!CX108,Transfer!DK108,Transfer!DX108,Transfer!EK108)</f>
        <v>-9999</v>
      </c>
      <c r="AN108" s="1040">
        <f>CHOOSE(Tables!$U$2,Transfer!CL108,Transfer!CY108,Transfer!DL108,Transfer!DY108,Transfer!EL108)</f>
        <v>-9999</v>
      </c>
      <c r="AO108" s="1040">
        <f>CHOOSE(Tables!$U$2,Transfer!CM108,Transfer!CZ108,Transfer!DM108,Transfer!DZ108,Transfer!EM108)</f>
        <v>-9999</v>
      </c>
      <c r="AR108" s="22">
        <v>8</v>
      </c>
      <c r="AS108" s="29" t="s">
        <v>1993</v>
      </c>
      <c r="AT108" s="24">
        <f t="shared" ca="1" si="2"/>
        <v>-37.756176334765208</v>
      </c>
      <c r="AU108" s="24">
        <f t="shared" ca="1" si="2"/>
        <v>-54.176802036554221</v>
      </c>
      <c r="AV108" s="24">
        <f t="shared" ca="1" si="2"/>
        <v>-59.754562016473898</v>
      </c>
      <c r="AW108" s="24">
        <f t="shared" ca="1" si="2"/>
        <v>-63.26185681298</v>
      </c>
      <c r="AX108" s="24">
        <f t="shared" ca="1" si="2"/>
        <v>-69.285935621169614</v>
      </c>
      <c r="AY108" s="25">
        <f t="shared" si="2"/>
        <v>0</v>
      </c>
      <c r="AZ108" s="25">
        <f t="shared" si="2"/>
        <v>0</v>
      </c>
      <c r="BA108" s="25">
        <f t="shared" si="2"/>
        <v>0</v>
      </c>
      <c r="BB108" s="25">
        <f t="shared" si="2"/>
        <v>0</v>
      </c>
      <c r="BC108" s="25">
        <f t="shared" si="2"/>
        <v>0</v>
      </c>
      <c r="BD108" s="25">
        <f t="shared" si="2"/>
        <v>0</v>
      </c>
      <c r="BE108" s="25">
        <f t="shared" si="2"/>
        <v>0</v>
      </c>
      <c r="BF108" s="25">
        <f t="shared" si="2"/>
        <v>0</v>
      </c>
      <c r="CA108" s="16">
        <v>24.45499054729466</v>
      </c>
      <c r="CB108" s="16">
        <v>24.540706231930947</v>
      </c>
      <c r="CC108" s="16">
        <v>24.319590399999999</v>
      </c>
      <c r="CD108" s="16">
        <v>23.773615595519995</v>
      </c>
      <c r="CE108" s="16">
        <v>24.749284779560131</v>
      </c>
      <c r="CF108" s="16">
        <v>-9999</v>
      </c>
      <c r="CG108" s="16">
        <v>-9999</v>
      </c>
      <c r="CH108" s="16">
        <v>-9999</v>
      </c>
      <c r="CI108" s="16">
        <v>-9999</v>
      </c>
      <c r="CJ108" s="16">
        <v>-9999</v>
      </c>
      <c r="CK108" s="16">
        <v>-9999</v>
      </c>
      <c r="CL108" s="16">
        <v>-9999</v>
      </c>
      <c r="CM108" s="16">
        <v>-9999</v>
      </c>
      <c r="CN108" s="16">
        <v>21.645350004722463</v>
      </c>
      <c r="CO108" s="16">
        <v>24.469999992089058</v>
      </c>
      <c r="CP108" s="16">
        <v>24.501610859999996</v>
      </c>
      <c r="CQ108" s="16">
        <v>24.261166751986476</v>
      </c>
      <c r="CR108" s="16">
        <v>25.467250004144603</v>
      </c>
      <c r="CS108" s="16">
        <v>-9999</v>
      </c>
      <c r="CT108" s="16">
        <v>-9999</v>
      </c>
      <c r="CU108" s="16">
        <v>-9999</v>
      </c>
      <c r="CV108" s="16">
        <v>-9999</v>
      </c>
      <c r="CW108" s="16">
        <v>-9999</v>
      </c>
      <c r="CX108" s="16">
        <v>-9999</v>
      </c>
      <c r="CY108" s="16">
        <v>-9999</v>
      </c>
      <c r="CZ108" s="16">
        <v>-9999</v>
      </c>
      <c r="DA108" s="16">
        <v>24.469999992089058</v>
      </c>
      <c r="DB108" s="16">
        <v>24.612280004774561</v>
      </c>
      <c r="DC108" s="16">
        <v>24.051457469999999</v>
      </c>
      <c r="DD108" s="16">
        <v>23.635246998481644</v>
      </c>
      <c r="DE108" s="16">
        <v>24.874206646142053</v>
      </c>
      <c r="DF108" s="16">
        <v>-9999</v>
      </c>
      <c r="DG108" s="16">
        <v>-9999</v>
      </c>
      <c r="DH108" s="16">
        <v>-9999</v>
      </c>
      <c r="DI108" s="16">
        <v>-9999</v>
      </c>
      <c r="DJ108" s="16">
        <v>-9999</v>
      </c>
      <c r="DK108" s="16">
        <v>-9999</v>
      </c>
      <c r="DL108" s="16">
        <v>-9999</v>
      </c>
      <c r="DM108" s="16">
        <v>-9999</v>
      </c>
      <c r="DN108" s="16">
        <v>21.645350004722463</v>
      </c>
      <c r="DO108" s="16">
        <v>24.469999992089058</v>
      </c>
      <c r="DP108" s="16">
        <v>24.501610859999996</v>
      </c>
      <c r="DQ108" s="16">
        <v>24.22109681758603</v>
      </c>
      <c r="DR108" s="16">
        <v>25.425188093130274</v>
      </c>
      <c r="DS108" s="16">
        <v>-9999</v>
      </c>
      <c r="DT108" s="16">
        <v>-9999</v>
      </c>
      <c r="DU108" s="16">
        <v>-9999</v>
      </c>
      <c r="DV108" s="16">
        <v>-9999</v>
      </c>
      <c r="DW108" s="16">
        <v>-9999</v>
      </c>
      <c r="DX108" s="16">
        <v>-9999</v>
      </c>
      <c r="DY108" s="16">
        <v>-9999</v>
      </c>
      <c r="DZ108" s="16">
        <v>-9999</v>
      </c>
      <c r="EA108" s="2196">
        <v>61.319722802671919</v>
      </c>
      <c r="EB108" s="2196">
        <v>76.791236214334702</v>
      </c>
      <c r="EC108" s="2196">
        <v>84.353210000000004</v>
      </c>
      <c r="ED108" s="2196">
        <v>90.353928652980002</v>
      </c>
      <c r="EE108" s="2196">
        <v>98.220593451151686</v>
      </c>
      <c r="EF108" s="2197">
        <v>-9999</v>
      </c>
      <c r="EG108" s="2197">
        <v>-9999</v>
      </c>
      <c r="EH108" s="2197">
        <v>-9999</v>
      </c>
      <c r="EI108" s="2197">
        <v>-9999</v>
      </c>
      <c r="EJ108" s="2197">
        <v>-9999</v>
      </c>
      <c r="EK108" s="2197">
        <v>-9999</v>
      </c>
      <c r="EL108" s="2197">
        <v>-9999</v>
      </c>
      <c r="EM108" s="2197">
        <v>-9999</v>
      </c>
    </row>
    <row r="109" spans="1:256">
      <c r="A109" s="22">
        <v>9</v>
      </c>
      <c r="B109" s="29" t="s">
        <v>1994</v>
      </c>
      <c r="C109" s="24">
        <f ca="1">OFFSET('VVP2'!F173,0,Last_forecast_year - 3-InputY!$G$3)</f>
        <v>5.9869669199016124</v>
      </c>
      <c r="D109" s="24">
        <f ca="1">OFFSET('VVP2'!G173,0,Last_forecast_year - 3-InputY!$G$3)</f>
        <v>6.7492574056871453</v>
      </c>
      <c r="E109" s="24">
        <f ca="1">OFFSET('VVP2'!H173,0,Last_forecast_year - 3-InputY!$G$3)</f>
        <v>8.0017304798635713</v>
      </c>
      <c r="F109" s="24">
        <f ca="1">OFFSET('VVP2'!I173,0,Last_forecast_year - 3-InputY!$G$3)</f>
        <v>8.8183810499999993</v>
      </c>
      <c r="G109" s="24">
        <f ca="1">OFFSET('VVP2'!J173,0,Last_forecast_year - 3-InputY!$G$3)</f>
        <v>9.4455884021812491</v>
      </c>
      <c r="H109" s="25">
        <v>-9999</v>
      </c>
      <c r="I109" s="25">
        <v>-9999</v>
      </c>
      <c r="J109" s="25">
        <v>-9999</v>
      </c>
      <c r="K109" s="25">
        <v>-9999</v>
      </c>
      <c r="L109" s="25">
        <v>-9999</v>
      </c>
      <c r="M109" s="25">
        <v>-9999</v>
      </c>
      <c r="N109" s="25">
        <v>-9999</v>
      </c>
      <c r="O109" s="25">
        <v>-9999</v>
      </c>
      <c r="P109" s="26"/>
      <c r="Q109"/>
      <c r="AA109" s="22">
        <v>9</v>
      </c>
      <c r="AB109" s="1040" t="str">
        <f t="shared" si="3"/>
        <v>VOL. EXPORTS OF SERVICES</v>
      </c>
      <c r="AC109" s="1040">
        <f>CHOOSE(Tables!$U$2,Transfer!CA109,Transfer!CN109,Transfer!DA109,Transfer!DN109,Transfer!EA109)</f>
        <v>12.613894431165829</v>
      </c>
      <c r="AD109" s="1040">
        <f>CHOOSE(Tables!$U$2,Transfer!CB109,Transfer!CO109,Transfer!DB109,Transfer!DO109,Transfer!EB109)</f>
        <v>15.480490707952432</v>
      </c>
      <c r="AE109" s="1040">
        <f>CHOOSE(Tables!$U$2,Transfer!CC109,Transfer!CP109,Transfer!DC109,Transfer!DP109,Transfer!EC109)</f>
        <v>16.780072319999999</v>
      </c>
      <c r="AF109" s="1040">
        <f>CHOOSE(Tables!$U$2,Transfer!CD109,Transfer!CQ109,Transfer!DD109,Transfer!DQ109,Transfer!ED109)</f>
        <v>17.859836413647361</v>
      </c>
      <c r="AG109" s="1040">
        <f>CHOOSE(Tables!$U$2,Transfer!CE109,Transfer!CR109,Transfer!DE109,Transfer!DR109,Transfer!EE109)</f>
        <v>19.32966523081771</v>
      </c>
      <c r="AH109" s="1040">
        <f>CHOOSE(Tables!$U$2,Transfer!CF109,Transfer!CS109,Transfer!DF109,Transfer!DS109,Transfer!EF109)</f>
        <v>-9999</v>
      </c>
      <c r="AI109" s="1040">
        <f>CHOOSE(Tables!$U$2,Transfer!CG109,Transfer!CT109,Transfer!DG109,Transfer!DT109,Transfer!EG109)</f>
        <v>-9999</v>
      </c>
      <c r="AJ109" s="1040">
        <f>CHOOSE(Tables!$U$2,Transfer!CH109,Transfer!CU109,Transfer!DH109,Transfer!DU109,Transfer!EH109)</f>
        <v>-9999</v>
      </c>
      <c r="AK109" s="1040">
        <f>CHOOSE(Tables!$U$2,Transfer!CI109,Transfer!CV109,Transfer!DI109,Transfer!DV109,Transfer!EI109)</f>
        <v>-9999</v>
      </c>
      <c r="AL109" s="1040">
        <f>CHOOSE(Tables!$U$2,Transfer!CJ109,Transfer!CW109,Transfer!DJ109,Transfer!DW109,Transfer!EJ109)</f>
        <v>-9999</v>
      </c>
      <c r="AM109" s="1040">
        <f>CHOOSE(Tables!$U$2,Transfer!CK109,Transfer!CX109,Transfer!DK109,Transfer!DX109,Transfer!EK109)</f>
        <v>-9999</v>
      </c>
      <c r="AN109" s="1040">
        <f>CHOOSE(Tables!$U$2,Transfer!CL109,Transfer!CY109,Transfer!DL109,Transfer!DY109,Transfer!EL109)</f>
        <v>-9999</v>
      </c>
      <c r="AO109" s="1040">
        <f>CHOOSE(Tables!$U$2,Transfer!CM109,Transfer!CZ109,Transfer!DM109,Transfer!DZ109,Transfer!EM109)</f>
        <v>-9999</v>
      </c>
      <c r="AR109" s="22">
        <v>9</v>
      </c>
      <c r="AS109" s="29" t="s">
        <v>1994</v>
      </c>
      <c r="AT109" s="24">
        <f t="shared" ca="1" si="2"/>
        <v>-6.6269275112642161</v>
      </c>
      <c r="AU109" s="24">
        <f t="shared" ca="1" si="2"/>
        <v>-8.7312333022652879</v>
      </c>
      <c r="AV109" s="24">
        <f t="shared" ca="1" si="2"/>
        <v>-8.7783418401364273</v>
      </c>
      <c r="AW109" s="24">
        <f t="shared" ca="1" si="2"/>
        <v>-9.041455363647362</v>
      </c>
      <c r="AX109" s="24">
        <f t="shared" ca="1" si="2"/>
        <v>-9.8840768286364611</v>
      </c>
      <c r="AY109" s="25">
        <f t="shared" si="2"/>
        <v>0</v>
      </c>
      <c r="AZ109" s="25">
        <f t="shared" si="2"/>
        <v>0</v>
      </c>
      <c r="BA109" s="25">
        <f t="shared" si="2"/>
        <v>0</v>
      </c>
      <c r="BB109" s="25">
        <f t="shared" si="2"/>
        <v>0</v>
      </c>
      <c r="BC109" s="25">
        <f t="shared" si="2"/>
        <v>0</v>
      </c>
      <c r="BD109" s="25">
        <f t="shared" si="2"/>
        <v>0</v>
      </c>
      <c r="BE109" s="25">
        <f t="shared" si="2"/>
        <v>0</v>
      </c>
      <c r="BF109" s="25">
        <f t="shared" si="2"/>
        <v>0</v>
      </c>
      <c r="CA109" s="16">
        <v>5.391364322360368</v>
      </c>
      <c r="CB109" s="16">
        <v>5.7422267712220814</v>
      </c>
      <c r="CC109" s="16">
        <v>5.9844374699999996</v>
      </c>
      <c r="CD109" s="16">
        <v>6.1953888908174992</v>
      </c>
      <c r="CE109" s="16">
        <v>6.4958342750776925</v>
      </c>
      <c r="CF109" s="16">
        <v>-9999</v>
      </c>
      <c r="CG109" s="16">
        <v>-9999</v>
      </c>
      <c r="CH109" s="16">
        <v>-9999</v>
      </c>
      <c r="CI109" s="16">
        <v>-9999</v>
      </c>
      <c r="CJ109" s="16">
        <v>-9999</v>
      </c>
      <c r="CK109" s="16">
        <v>-9999</v>
      </c>
      <c r="CL109" s="16">
        <v>-9999</v>
      </c>
      <c r="CM109" s="16">
        <v>-9999</v>
      </c>
      <c r="CN109" s="16">
        <v>4.6695599988994596</v>
      </c>
      <c r="CO109" s="16">
        <v>5.3182300006065955</v>
      </c>
      <c r="CP109" s="16">
        <v>5.8489572393028562</v>
      </c>
      <c r="CQ109" s="16">
        <v>6.15371832604818</v>
      </c>
      <c r="CR109" s="16">
        <v>6.5976475660892966</v>
      </c>
      <c r="CS109" s="16">
        <v>-9999</v>
      </c>
      <c r="CT109" s="16">
        <v>-9999</v>
      </c>
      <c r="CU109" s="16">
        <v>-9999</v>
      </c>
      <c r="CV109" s="16">
        <v>-9999</v>
      </c>
      <c r="CW109" s="16">
        <v>-9999</v>
      </c>
      <c r="CX109" s="16">
        <v>-9999</v>
      </c>
      <c r="CY109" s="16">
        <v>-9999</v>
      </c>
      <c r="CZ109" s="16">
        <v>-9999</v>
      </c>
      <c r="DA109" s="16">
        <v>5.3182300006065955</v>
      </c>
      <c r="DB109" s="16">
        <v>5.7867900008464037</v>
      </c>
      <c r="DC109" s="16">
        <v>6.1207123200000009</v>
      </c>
      <c r="DD109" s="16">
        <v>6.3666119374559997</v>
      </c>
      <c r="DE109" s="16">
        <v>6.6622073631001433</v>
      </c>
      <c r="DF109" s="16">
        <v>-9999</v>
      </c>
      <c r="DG109" s="16">
        <v>-9999</v>
      </c>
      <c r="DH109" s="16">
        <v>-9999</v>
      </c>
      <c r="DI109" s="16">
        <v>-9999</v>
      </c>
      <c r="DJ109" s="16">
        <v>-9999</v>
      </c>
      <c r="DK109" s="16">
        <v>-9999</v>
      </c>
      <c r="DL109" s="16">
        <v>-9999</v>
      </c>
      <c r="DM109" s="16">
        <v>-9999</v>
      </c>
      <c r="DN109" s="16">
        <v>4.6695599988994596</v>
      </c>
      <c r="DO109" s="16">
        <v>5.3182300006065955</v>
      </c>
      <c r="DP109" s="16">
        <v>5.8489572393028562</v>
      </c>
      <c r="DQ109" s="16">
        <v>6.15371832604818</v>
      </c>
      <c r="DR109" s="16">
        <v>6.5976475660892966</v>
      </c>
      <c r="DS109" s="16">
        <v>-9999</v>
      </c>
      <c r="DT109" s="16">
        <v>-9999</v>
      </c>
      <c r="DU109" s="16">
        <v>-9999</v>
      </c>
      <c r="DV109" s="16">
        <v>-9999</v>
      </c>
      <c r="DW109" s="16">
        <v>-9999</v>
      </c>
      <c r="DX109" s="16">
        <v>-9999</v>
      </c>
      <c r="DY109" s="16">
        <v>-9999</v>
      </c>
      <c r="DZ109" s="16">
        <v>-9999</v>
      </c>
      <c r="EA109" s="2196">
        <v>12.613894431165829</v>
      </c>
      <c r="EB109" s="2196">
        <v>15.480490707952432</v>
      </c>
      <c r="EC109" s="2196">
        <v>16.780072319999999</v>
      </c>
      <c r="ED109" s="2196">
        <v>17.859836413647361</v>
      </c>
      <c r="EE109" s="2196">
        <v>19.32966523081771</v>
      </c>
      <c r="EF109" s="2197">
        <v>-9999</v>
      </c>
      <c r="EG109" s="2197">
        <v>-9999</v>
      </c>
      <c r="EH109" s="2197">
        <v>-9999</v>
      </c>
      <c r="EI109" s="2197">
        <v>-9999</v>
      </c>
      <c r="EJ109" s="2197">
        <v>-9999</v>
      </c>
      <c r="EK109" s="2197">
        <v>-9999</v>
      </c>
      <c r="EL109" s="2197">
        <v>-9999</v>
      </c>
      <c r="EM109" s="2197">
        <v>-9999</v>
      </c>
    </row>
    <row r="110" spans="1:256">
      <c r="A110" s="22">
        <v>10</v>
      </c>
      <c r="B110" s="29" t="s">
        <v>1701</v>
      </c>
      <c r="C110" s="24">
        <f ca="1">OFFSET('VVP2'!F174,0,Last_forecast_year - 3-InputY!$G$3)</f>
        <v>26.487065169064213</v>
      </c>
      <c r="D110" s="24">
        <f ca="1">OFFSET('VVP2'!G174,0,Last_forecast_year - 3-InputY!$G$3)</f>
        <v>25.022739903926134</v>
      </c>
      <c r="E110" s="24">
        <f ca="1">OFFSET('VVP2'!H174,0,Last_forecast_year - 3-InputY!$G$3)</f>
        <v>26.710417898364799</v>
      </c>
      <c r="F110" s="24">
        <f ca="1">OFFSET('VVP2'!I174,0,Last_forecast_year - 3-InputY!$G$3)</f>
        <v>29.621771549999995</v>
      </c>
      <c r="G110" s="24">
        <f ca="1">OFFSET('VVP2'!J174,0,Last_forecast_year - 3-InputY!$G$3)</f>
        <v>31.941156262364995</v>
      </c>
      <c r="H110" s="25">
        <v>-9999</v>
      </c>
      <c r="I110" s="25">
        <v>-9999</v>
      </c>
      <c r="J110" s="25">
        <v>-9999</v>
      </c>
      <c r="K110" s="25">
        <v>-9999</v>
      </c>
      <c r="L110" s="25">
        <v>-9999</v>
      </c>
      <c r="M110" s="25">
        <v>-9999</v>
      </c>
      <c r="N110" s="25">
        <v>-9999</v>
      </c>
      <c r="O110" s="25">
        <v>-9999</v>
      </c>
      <c r="P110" s="26"/>
      <c r="Q110"/>
      <c r="AA110" s="22">
        <v>10</v>
      </c>
      <c r="AB110" s="1040" t="str">
        <f t="shared" si="3"/>
        <v>VOL. IMPORTS OF GOODS (FOB)</v>
      </c>
      <c r="AC110" s="1040">
        <f>CHOOSE(Tables!$U$2,Transfer!CA110,Transfer!CN110,Transfer!DA110,Transfer!DN110,Transfer!EA110)</f>
        <v>66.393769181957367</v>
      </c>
      <c r="AD110" s="1040">
        <f>CHOOSE(Tables!$U$2,Transfer!CB110,Transfer!CO110,Transfer!DB110,Transfer!DO110,Transfer!EB110)</f>
        <v>79.068140453008553</v>
      </c>
      <c r="AE110" s="1040">
        <f>CHOOSE(Tables!$U$2,Transfer!CC110,Transfer!CP110,Transfer!DC110,Transfer!DP110,Transfer!EC110)</f>
        <v>87.857380259999999</v>
      </c>
      <c r="AF110" s="1040">
        <f>CHOOSE(Tables!$U$2,Transfer!CD110,Transfer!CQ110,Transfer!DD110,Transfer!DQ110,Transfer!ED110)</f>
        <v>94.08242708094204</v>
      </c>
      <c r="AG110" s="1040">
        <f>CHOOSE(Tables!$U$2,Transfer!CE110,Transfer!CR110,Transfer!DE110,Transfer!DR110,Transfer!EE110)</f>
        <v>102.44748383756277</v>
      </c>
      <c r="AH110" s="1040">
        <f>CHOOSE(Tables!$U$2,Transfer!CF110,Transfer!CS110,Transfer!DF110,Transfer!DS110,Transfer!EF110)</f>
        <v>-9999</v>
      </c>
      <c r="AI110" s="1040">
        <f>CHOOSE(Tables!$U$2,Transfer!CG110,Transfer!CT110,Transfer!DG110,Transfer!DT110,Transfer!EG110)</f>
        <v>-9999</v>
      </c>
      <c r="AJ110" s="1040">
        <f>CHOOSE(Tables!$U$2,Transfer!CH110,Transfer!CU110,Transfer!DH110,Transfer!DU110,Transfer!EH110)</f>
        <v>-9999</v>
      </c>
      <c r="AK110" s="1040">
        <f>CHOOSE(Tables!$U$2,Transfer!CI110,Transfer!CV110,Transfer!DI110,Transfer!DV110,Transfer!EI110)</f>
        <v>-9999</v>
      </c>
      <c r="AL110" s="1040">
        <f>CHOOSE(Tables!$U$2,Transfer!CJ110,Transfer!CW110,Transfer!DJ110,Transfer!DW110,Transfer!EJ110)</f>
        <v>-9999</v>
      </c>
      <c r="AM110" s="1040">
        <f>CHOOSE(Tables!$U$2,Transfer!CK110,Transfer!CX110,Transfer!DK110,Transfer!DX110,Transfer!EK110)</f>
        <v>-9999</v>
      </c>
      <c r="AN110" s="1040">
        <f>CHOOSE(Tables!$U$2,Transfer!CL110,Transfer!CY110,Transfer!DL110,Transfer!DY110,Transfer!EL110)</f>
        <v>-9999</v>
      </c>
      <c r="AO110" s="1040">
        <f>CHOOSE(Tables!$U$2,Transfer!CM110,Transfer!CZ110,Transfer!DM110,Transfer!DZ110,Transfer!EM110)</f>
        <v>-9999</v>
      </c>
      <c r="AR110" s="22">
        <v>10</v>
      </c>
      <c r="AS110" s="29" t="s">
        <v>1701</v>
      </c>
      <c r="AT110" s="24">
        <f t="shared" ca="1" si="2"/>
        <v>-39.906704012893158</v>
      </c>
      <c r="AU110" s="24">
        <f t="shared" ca="1" si="2"/>
        <v>-54.045400549082416</v>
      </c>
      <c r="AV110" s="24">
        <f t="shared" ca="1" si="2"/>
        <v>-61.146962361635204</v>
      </c>
      <c r="AW110" s="24">
        <f t="shared" ca="1" si="2"/>
        <v>-64.460655530942049</v>
      </c>
      <c r="AX110" s="24">
        <f t="shared" ca="1" si="2"/>
        <v>-70.506327575197773</v>
      </c>
      <c r="AY110" s="25">
        <f t="shared" si="2"/>
        <v>0</v>
      </c>
      <c r="AZ110" s="25">
        <f t="shared" si="2"/>
        <v>0</v>
      </c>
      <c r="BA110" s="25">
        <f t="shared" si="2"/>
        <v>0</v>
      </c>
      <c r="BB110" s="25">
        <f t="shared" si="2"/>
        <v>0</v>
      </c>
      <c r="BC110" s="25">
        <f t="shared" si="2"/>
        <v>0</v>
      </c>
      <c r="BD110" s="25">
        <f t="shared" si="2"/>
        <v>0</v>
      </c>
      <c r="BE110" s="25">
        <f t="shared" si="2"/>
        <v>0</v>
      </c>
      <c r="BF110" s="25">
        <f t="shared" si="2"/>
        <v>0</v>
      </c>
      <c r="CA110" s="16">
        <v>25.397042409428202</v>
      </c>
      <c r="CB110" s="16">
        <v>25.670766081224244</v>
      </c>
      <c r="CC110" s="16">
        <v>26.488485739999998</v>
      </c>
      <c r="CD110" s="16">
        <v>25.30158967096208</v>
      </c>
      <c r="CE110" s="16">
        <v>26.401196758062095</v>
      </c>
      <c r="CF110" s="16">
        <v>-9999</v>
      </c>
      <c r="CG110" s="16">
        <v>-9999</v>
      </c>
      <c r="CH110" s="16">
        <v>-9999</v>
      </c>
      <c r="CI110" s="16">
        <v>-9999</v>
      </c>
      <c r="CJ110" s="16">
        <v>-9999</v>
      </c>
      <c r="CK110" s="16">
        <v>-9999</v>
      </c>
      <c r="CL110" s="16">
        <v>-9999</v>
      </c>
      <c r="CM110" s="16">
        <v>-9999</v>
      </c>
      <c r="CN110" s="16">
        <v>22.494960002627856</v>
      </c>
      <c r="CO110" s="16">
        <v>25.408749996030078</v>
      </c>
      <c r="CP110" s="16">
        <v>26.163469500000001</v>
      </c>
      <c r="CQ110" s="16">
        <v>25.903927882560001</v>
      </c>
      <c r="CR110" s="16">
        <v>26.813388091415526</v>
      </c>
      <c r="CS110" s="16">
        <v>-9999</v>
      </c>
      <c r="CT110" s="16">
        <v>-9999</v>
      </c>
      <c r="CU110" s="16">
        <v>-9999</v>
      </c>
      <c r="CV110" s="16">
        <v>-9999</v>
      </c>
      <c r="CW110" s="16">
        <v>-9999</v>
      </c>
      <c r="CX110" s="16">
        <v>-9999</v>
      </c>
      <c r="CY110" s="16">
        <v>-9999</v>
      </c>
      <c r="CZ110" s="16">
        <v>-9999</v>
      </c>
      <c r="DA110" s="16">
        <v>25.408749996030078</v>
      </c>
      <c r="DB110" s="16">
        <v>26.340340005486475</v>
      </c>
      <c r="DC110" s="16">
        <v>26.919168080000002</v>
      </c>
      <c r="DD110" s="16">
        <v>26.273242641920397</v>
      </c>
      <c r="DE110" s="16">
        <v>27.757549484975687</v>
      </c>
      <c r="DF110" s="16">
        <v>-9999</v>
      </c>
      <c r="DG110" s="16">
        <v>-9999</v>
      </c>
      <c r="DH110" s="16">
        <v>-9999</v>
      </c>
      <c r="DI110" s="16">
        <v>-9999</v>
      </c>
      <c r="DJ110" s="16">
        <v>-9999</v>
      </c>
      <c r="DK110" s="16">
        <v>-9999</v>
      </c>
      <c r="DL110" s="16">
        <v>-9999</v>
      </c>
      <c r="DM110" s="16">
        <v>-9999</v>
      </c>
      <c r="DN110" s="16">
        <v>22.494960002627856</v>
      </c>
      <c r="DO110" s="16">
        <v>25.408749996030078</v>
      </c>
      <c r="DP110" s="16">
        <v>26.138518969519996</v>
      </c>
      <c r="DQ110" s="16">
        <v>25.879224861342358</v>
      </c>
      <c r="DR110" s="16">
        <v>26.808419582514414</v>
      </c>
      <c r="DS110" s="16">
        <v>-9999</v>
      </c>
      <c r="DT110" s="16">
        <v>-9999</v>
      </c>
      <c r="DU110" s="16">
        <v>-9999</v>
      </c>
      <c r="DV110" s="16">
        <v>-9999</v>
      </c>
      <c r="DW110" s="16">
        <v>-9999</v>
      </c>
      <c r="DX110" s="16">
        <v>-9999</v>
      </c>
      <c r="DY110" s="16">
        <v>-9999</v>
      </c>
      <c r="DZ110" s="16">
        <v>-9999</v>
      </c>
      <c r="EA110" s="2196">
        <v>66.393769181957367</v>
      </c>
      <c r="EB110" s="2196">
        <v>79.068140453008553</v>
      </c>
      <c r="EC110" s="2196">
        <v>87.857380259999999</v>
      </c>
      <c r="ED110" s="2196">
        <v>94.08242708094204</v>
      </c>
      <c r="EE110" s="2196">
        <v>102.44748383756277</v>
      </c>
      <c r="EF110" s="2197">
        <v>-9999</v>
      </c>
      <c r="EG110" s="2197">
        <v>-9999</v>
      </c>
      <c r="EH110" s="2197">
        <v>-9999</v>
      </c>
      <c r="EI110" s="2197">
        <v>-9999</v>
      </c>
      <c r="EJ110" s="2197">
        <v>-9999</v>
      </c>
      <c r="EK110" s="2197">
        <v>-9999</v>
      </c>
      <c r="EL110" s="2197">
        <v>-9999</v>
      </c>
      <c r="EM110" s="2197">
        <v>-9999</v>
      </c>
    </row>
    <row r="111" spans="1:256">
      <c r="A111" s="22">
        <v>11</v>
      </c>
      <c r="B111" s="29" t="s">
        <v>1702</v>
      </c>
      <c r="C111" s="24">
        <f ca="1">OFFSET('VVP2'!F175,0,Last_forecast_year - 3-InputY!$G$3)</f>
        <v>4.2033260633151137</v>
      </c>
      <c r="D111" s="24">
        <f ca="1">OFFSET('VVP2'!G175,0,Last_forecast_year - 3-InputY!$G$3)</f>
        <v>4.5475389925779508</v>
      </c>
      <c r="E111" s="24">
        <f ca="1">OFFSET('VVP2'!H175,0,Last_forecast_year - 3-InputY!$G$3)</f>
        <v>5.2033230788250053</v>
      </c>
      <c r="F111" s="24">
        <f ca="1">OFFSET('VVP2'!I175,0,Last_forecast_year - 3-InputY!$G$3)</f>
        <v>5.72553585</v>
      </c>
      <c r="G111" s="24">
        <f ca="1">OFFSET('VVP2'!J175,0,Last_forecast_year - 3-InputY!$G$3)</f>
        <v>6.1862697198494994</v>
      </c>
      <c r="H111" s="25">
        <v>-9999</v>
      </c>
      <c r="I111" s="25">
        <v>-9999</v>
      </c>
      <c r="J111" s="25">
        <v>-9999</v>
      </c>
      <c r="K111" s="25">
        <v>-9999</v>
      </c>
      <c r="L111" s="25">
        <v>-9999</v>
      </c>
      <c r="M111" s="25">
        <v>-9999</v>
      </c>
      <c r="N111" s="25">
        <v>-9999</v>
      </c>
      <c r="O111" s="25">
        <v>-9999</v>
      </c>
      <c r="P111" s="26"/>
      <c r="Q111"/>
      <c r="AA111" s="22">
        <v>11</v>
      </c>
      <c r="AB111" s="1040" t="str">
        <f t="shared" si="3"/>
        <v>VOL. IMPORTS OF SERVICES</v>
      </c>
      <c r="AC111" s="1040">
        <f>CHOOSE(Tables!$U$2,Transfer!CA111,Transfer!CN111,Transfer!DA111,Transfer!DN111,Transfer!EA111)</f>
        <v>9.3903058973018005</v>
      </c>
      <c r="AD111" s="1040">
        <f>CHOOSE(Tables!$U$2,Transfer!CB111,Transfer!CO111,Transfer!DB111,Transfer!DO111,Transfer!EB111)</f>
        <v>11.631825466660667</v>
      </c>
      <c r="AE111" s="1040">
        <f>CHOOSE(Tables!$U$2,Transfer!CC111,Transfer!CP111,Transfer!DC111,Transfer!DP111,Transfer!EC111)</f>
        <v>12.493985479999999</v>
      </c>
      <c r="AF111" s="1040">
        <f>CHOOSE(Tables!$U$2,Transfer!CD111,Transfer!CQ111,Transfer!DD111,Transfer!DQ111,Transfer!ED111)</f>
        <v>13.257592884566638</v>
      </c>
      <c r="AG111" s="1040">
        <f>CHOOSE(Tables!$U$2,Transfer!CE111,Transfer!CR111,Transfer!DE111,Transfer!DR111,Transfer!EE111)</f>
        <v>14.334109426793448</v>
      </c>
      <c r="AH111" s="1040">
        <f>CHOOSE(Tables!$U$2,Transfer!CF111,Transfer!CS111,Transfer!DF111,Transfer!DS111,Transfer!EF111)</f>
        <v>-9999</v>
      </c>
      <c r="AI111" s="1040">
        <f>CHOOSE(Tables!$U$2,Transfer!CG111,Transfer!CT111,Transfer!DG111,Transfer!DT111,Transfer!EG111)</f>
        <v>-9999</v>
      </c>
      <c r="AJ111" s="1040">
        <f>CHOOSE(Tables!$U$2,Transfer!CH111,Transfer!CU111,Transfer!DH111,Transfer!DU111,Transfer!EH111)</f>
        <v>-9999</v>
      </c>
      <c r="AK111" s="1040">
        <f>CHOOSE(Tables!$U$2,Transfer!CI111,Transfer!CV111,Transfer!DI111,Transfer!DV111,Transfer!EI111)</f>
        <v>-9999</v>
      </c>
      <c r="AL111" s="1040">
        <f>CHOOSE(Tables!$U$2,Transfer!CJ111,Transfer!CW111,Transfer!DJ111,Transfer!DW111,Transfer!EJ111)</f>
        <v>-9999</v>
      </c>
      <c r="AM111" s="1040">
        <f>CHOOSE(Tables!$U$2,Transfer!CK111,Transfer!CX111,Transfer!DK111,Transfer!DX111,Transfer!EK111)</f>
        <v>-9999</v>
      </c>
      <c r="AN111" s="1040">
        <f>CHOOSE(Tables!$U$2,Transfer!CL111,Transfer!CY111,Transfer!DL111,Transfer!DY111,Transfer!EL111)</f>
        <v>-9999</v>
      </c>
      <c r="AO111" s="1040">
        <f>CHOOSE(Tables!$U$2,Transfer!CM111,Transfer!CZ111,Transfer!DM111,Transfer!DZ111,Transfer!EM111)</f>
        <v>-9999</v>
      </c>
      <c r="AR111" s="22">
        <v>11</v>
      </c>
      <c r="AS111" s="29" t="s">
        <v>1702</v>
      </c>
      <c r="AT111" s="24">
        <f t="shared" ca="1" si="2"/>
        <v>-5.1869798339866868</v>
      </c>
      <c r="AU111" s="24">
        <f t="shared" ca="1" si="2"/>
        <v>-7.0842864740827158</v>
      </c>
      <c r="AV111" s="24">
        <f t="shared" ca="1" si="2"/>
        <v>-7.2906624011749939</v>
      </c>
      <c r="AW111" s="24">
        <f t="shared" ca="1" si="2"/>
        <v>-7.5320570345666376</v>
      </c>
      <c r="AX111" s="24">
        <f t="shared" ca="1" si="2"/>
        <v>-8.1478397069439481</v>
      </c>
      <c r="AY111" s="25">
        <f t="shared" si="2"/>
        <v>0</v>
      </c>
      <c r="AZ111" s="25">
        <f t="shared" si="2"/>
        <v>0</v>
      </c>
      <c r="BA111" s="25">
        <f t="shared" si="2"/>
        <v>0</v>
      </c>
      <c r="BB111" s="25">
        <f t="shared" si="2"/>
        <v>0</v>
      </c>
      <c r="BC111" s="25">
        <f t="shared" si="2"/>
        <v>0</v>
      </c>
      <c r="BD111" s="25">
        <f t="shared" si="2"/>
        <v>0</v>
      </c>
      <c r="BE111" s="25">
        <f t="shared" si="2"/>
        <v>0</v>
      </c>
      <c r="BF111" s="25">
        <f t="shared" si="2"/>
        <v>0</v>
      </c>
      <c r="CA111" s="16">
        <v>4.0467798034506419</v>
      </c>
      <c r="CB111" s="16">
        <v>4.1193293062676828</v>
      </c>
      <c r="CC111" s="16">
        <v>4.2288680800000007</v>
      </c>
      <c r="CD111" s="16">
        <v>4.3137626067059998</v>
      </c>
      <c r="CE111" s="16">
        <v>4.4529030195853014</v>
      </c>
      <c r="CF111" s="16">
        <v>-9999</v>
      </c>
      <c r="CG111" s="16">
        <v>-9999</v>
      </c>
      <c r="CH111" s="16">
        <v>-9999</v>
      </c>
      <c r="CI111" s="16">
        <v>-9999</v>
      </c>
      <c r="CJ111" s="16">
        <v>-9999</v>
      </c>
      <c r="CK111" s="16">
        <v>-9999</v>
      </c>
      <c r="CL111" s="16">
        <v>-9999</v>
      </c>
      <c r="CM111" s="16">
        <v>-9999</v>
      </c>
      <c r="CN111" s="16">
        <v>3.3525800014575053</v>
      </c>
      <c r="CO111" s="16">
        <v>3.9591299955177996</v>
      </c>
      <c r="CP111" s="16">
        <v>4.3637384600000004</v>
      </c>
      <c r="CQ111" s="16">
        <v>4.6502981826866643</v>
      </c>
      <c r="CR111" s="16">
        <v>5.0607102487996745</v>
      </c>
      <c r="CS111" s="16">
        <v>-9999</v>
      </c>
      <c r="CT111" s="16">
        <v>-9999</v>
      </c>
      <c r="CU111" s="16">
        <v>-9999</v>
      </c>
      <c r="CV111" s="16">
        <v>-9999</v>
      </c>
      <c r="CW111" s="16">
        <v>-9999</v>
      </c>
      <c r="CX111" s="16">
        <v>-9999</v>
      </c>
      <c r="CY111" s="16">
        <v>-9999</v>
      </c>
      <c r="CZ111" s="16">
        <v>-9999</v>
      </c>
      <c r="DA111" s="16">
        <v>3.9591299955177996</v>
      </c>
      <c r="DB111" s="16">
        <v>4.2471400023697941</v>
      </c>
      <c r="DC111" s="16">
        <v>4.4382904999999999</v>
      </c>
      <c r="DD111" s="16">
        <v>4.5318940466449993</v>
      </c>
      <c r="DE111" s="16">
        <v>4.6596707992901543</v>
      </c>
      <c r="DF111" s="16">
        <v>-9999</v>
      </c>
      <c r="DG111" s="16">
        <v>-9999</v>
      </c>
      <c r="DH111" s="16">
        <v>-9999</v>
      </c>
      <c r="DI111" s="16">
        <v>-9999</v>
      </c>
      <c r="DJ111" s="16">
        <v>-9999</v>
      </c>
      <c r="DK111" s="16">
        <v>-9999</v>
      </c>
      <c r="DL111" s="16">
        <v>-9999</v>
      </c>
      <c r="DM111" s="16">
        <v>-9999</v>
      </c>
      <c r="DN111" s="16">
        <v>3.3525800014575053</v>
      </c>
      <c r="DO111" s="16">
        <v>3.9591299955177996</v>
      </c>
      <c r="DP111" s="16">
        <v>4.3637384600000004</v>
      </c>
      <c r="DQ111" s="16">
        <v>4.6502981826866643</v>
      </c>
      <c r="DR111" s="16">
        <v>5.0607102487996745</v>
      </c>
      <c r="DS111" s="16">
        <v>-9999</v>
      </c>
      <c r="DT111" s="16">
        <v>-9999</v>
      </c>
      <c r="DU111" s="16">
        <v>-9999</v>
      </c>
      <c r="DV111" s="16">
        <v>-9999</v>
      </c>
      <c r="DW111" s="16">
        <v>-9999</v>
      </c>
      <c r="DX111" s="16">
        <v>-9999</v>
      </c>
      <c r="DY111" s="16">
        <v>-9999</v>
      </c>
      <c r="DZ111" s="16">
        <v>-9999</v>
      </c>
      <c r="EA111" s="2196">
        <v>9.3903058973018005</v>
      </c>
      <c r="EB111" s="2196">
        <v>11.631825466660667</v>
      </c>
      <c r="EC111" s="2196">
        <v>12.493985479999999</v>
      </c>
      <c r="ED111" s="2196">
        <v>13.257592884566638</v>
      </c>
      <c r="EE111" s="2196">
        <v>14.334109426793448</v>
      </c>
      <c r="EF111" s="2197">
        <v>-9999</v>
      </c>
      <c r="EG111" s="2197">
        <v>-9999</v>
      </c>
      <c r="EH111" s="2197">
        <v>-9999</v>
      </c>
      <c r="EI111" s="2197">
        <v>-9999</v>
      </c>
      <c r="EJ111" s="2197">
        <v>-9999</v>
      </c>
      <c r="EK111" s="2197">
        <v>-9999</v>
      </c>
      <c r="EL111" s="2197">
        <v>-9999</v>
      </c>
      <c r="EM111" s="2197">
        <v>-9999</v>
      </c>
    </row>
    <row r="112" spans="1:256">
      <c r="A112" s="22">
        <v>12</v>
      </c>
      <c r="B112" s="1" t="s">
        <v>1704</v>
      </c>
      <c r="C112" s="24">
        <f ca="1">OFFSET('VVP2'!F176,0,Last_forecast_year - 3-InputY!$G$3)</f>
        <v>37.312322960551342</v>
      </c>
      <c r="D112" s="24">
        <f ca="1">OFFSET('VVP2'!G176,0,Last_forecast_year - 3-InputY!$G$3)</f>
        <v>38.304220191653336</v>
      </c>
      <c r="E112" s="24">
        <f ca="1">OFFSET('VVP2'!H176,0,Last_forecast_year - 3-InputY!$G$3)</f>
        <v>40.433610411171614</v>
      </c>
      <c r="F112" s="24">
        <f ca="1">OFFSET('VVP2'!I176,0,Last_forecast_year - 3-InputY!$G$3)</f>
        <v>43.083363642323164</v>
      </c>
      <c r="G112" s="24">
        <f ca="1">OFFSET('VVP2'!J176,0,Last_forecast_year - 3-InputY!$G$3)</f>
        <v>45.379921147033215</v>
      </c>
      <c r="H112" s="25">
        <v>-9999</v>
      </c>
      <c r="I112" s="25">
        <v>-9999</v>
      </c>
      <c r="J112" s="25">
        <v>-9999</v>
      </c>
      <c r="K112" s="25">
        <v>-9999</v>
      </c>
      <c r="L112" s="25">
        <v>-9999</v>
      </c>
      <c r="M112" s="25">
        <v>-9999</v>
      </c>
      <c r="N112" s="25">
        <v>-9999</v>
      </c>
      <c r="O112" s="25">
        <v>-9999</v>
      </c>
      <c r="P112" s="26"/>
      <c r="Q112"/>
      <c r="AA112" s="22">
        <v>12</v>
      </c>
      <c r="AB112" s="1040" t="str">
        <f t="shared" si="3"/>
        <v>VOL. GROSS DOMESTIC PRODUCT</v>
      </c>
      <c r="AC112" s="1040">
        <f>CHOOSE(Tables!$U$2,Transfer!CA112,Transfer!CN112,Transfer!DA112,Transfer!DN112,Transfer!EA112)</f>
        <v>101.46330940455422</v>
      </c>
      <c r="AD112" s="1040">
        <f>CHOOSE(Tables!$U$2,Transfer!CB112,Transfer!CO112,Transfer!DB112,Transfer!DO112,Transfer!EB112)</f>
        <v>110.8049598330383</v>
      </c>
      <c r="AE112" s="1040">
        <f>CHOOSE(Tables!$U$2,Transfer!CC112,Transfer!CP112,Transfer!DC112,Transfer!DP112,Transfer!EC112)</f>
        <v>117.81106231000001</v>
      </c>
      <c r="AF112" s="1040">
        <f>CHOOSE(Tables!$U$2,Transfer!CD112,Transfer!CQ112,Transfer!DD112,Transfer!DQ112,Transfer!ED112)</f>
        <v>124.38278303003321</v>
      </c>
      <c r="AG112" s="1040">
        <f>CHOOSE(Tables!$U$2,Transfer!CE112,Transfer!CR112,Transfer!DE112,Transfer!DR112,Transfer!EE112)</f>
        <v>132.43177879389697</v>
      </c>
      <c r="AH112" s="1040">
        <f>CHOOSE(Tables!$U$2,Transfer!CF112,Transfer!CS112,Transfer!DF112,Transfer!DS112,Transfer!EF112)</f>
        <v>-9999</v>
      </c>
      <c r="AI112" s="1040">
        <f>CHOOSE(Tables!$U$2,Transfer!CG112,Transfer!CT112,Transfer!DG112,Transfer!DT112,Transfer!EG112)</f>
        <v>-9999</v>
      </c>
      <c r="AJ112" s="1040">
        <f>CHOOSE(Tables!$U$2,Transfer!CH112,Transfer!CU112,Transfer!DH112,Transfer!DU112,Transfer!EH112)</f>
        <v>-9999</v>
      </c>
      <c r="AK112" s="1040">
        <f>CHOOSE(Tables!$U$2,Transfer!CI112,Transfer!CV112,Transfer!DI112,Transfer!DV112,Transfer!EI112)</f>
        <v>-9999</v>
      </c>
      <c r="AL112" s="1040">
        <f>CHOOSE(Tables!$U$2,Transfer!CJ112,Transfer!CW112,Transfer!DJ112,Transfer!DW112,Transfer!EJ112)</f>
        <v>-9999</v>
      </c>
      <c r="AM112" s="1040">
        <f>CHOOSE(Tables!$U$2,Transfer!CK112,Transfer!CX112,Transfer!DK112,Transfer!DX112,Transfer!EK112)</f>
        <v>-9999</v>
      </c>
      <c r="AN112" s="1040">
        <f>CHOOSE(Tables!$U$2,Transfer!CL112,Transfer!CY112,Transfer!DL112,Transfer!DY112,Transfer!EL112)</f>
        <v>-9999</v>
      </c>
      <c r="AO112" s="1040">
        <f>CHOOSE(Tables!$U$2,Transfer!CM112,Transfer!CZ112,Transfer!DM112,Transfer!DZ112,Transfer!EM112)</f>
        <v>-9999</v>
      </c>
      <c r="AR112" s="22">
        <v>12</v>
      </c>
      <c r="AS112" s="1" t="s">
        <v>1704</v>
      </c>
      <c r="AT112" s="24">
        <f t="shared" ca="1" si="2"/>
        <v>-64.150986444002882</v>
      </c>
      <c r="AU112" s="24">
        <f t="shared" ca="1" si="2"/>
        <v>-72.500739641384968</v>
      </c>
      <c r="AV112" s="24">
        <f t="shared" ca="1" si="2"/>
        <v>-77.377451898828397</v>
      </c>
      <c r="AW112" s="24">
        <f t="shared" ca="1" si="2"/>
        <v>-81.299419387710046</v>
      </c>
      <c r="AX112" s="24">
        <f t="shared" ca="1" si="2"/>
        <v>-87.051857646863752</v>
      </c>
      <c r="AY112" s="25">
        <f t="shared" si="2"/>
        <v>0</v>
      </c>
      <c r="AZ112" s="25">
        <f t="shared" si="2"/>
        <v>0</v>
      </c>
      <c r="BA112" s="25">
        <f t="shared" si="2"/>
        <v>0</v>
      </c>
      <c r="BB112" s="25">
        <f t="shared" si="2"/>
        <v>0</v>
      </c>
      <c r="BC112" s="25">
        <f t="shared" si="2"/>
        <v>0</v>
      </c>
      <c r="BD112" s="25">
        <f t="shared" si="2"/>
        <v>0</v>
      </c>
      <c r="BE112" s="25">
        <f t="shared" si="2"/>
        <v>0</v>
      </c>
      <c r="BF112" s="25">
        <f t="shared" si="2"/>
        <v>0</v>
      </c>
      <c r="CA112" s="16">
        <v>34.516365100000264</v>
      </c>
      <c r="CB112" s="16">
        <v>36.022445765523742</v>
      </c>
      <c r="CC112" s="16">
        <v>37.071428057073582</v>
      </c>
      <c r="CD112" s="16">
        <v>38.062377835252114</v>
      </c>
      <c r="CE112" s="16">
        <v>39.728417126580389</v>
      </c>
      <c r="CF112" s="16">
        <v>-9999</v>
      </c>
      <c r="CG112" s="16">
        <v>-9999</v>
      </c>
      <c r="CH112" s="16">
        <v>-9999</v>
      </c>
      <c r="CI112" s="16">
        <v>-9999</v>
      </c>
      <c r="CJ112" s="16">
        <v>-9999</v>
      </c>
      <c r="CK112" s="16">
        <v>-9999</v>
      </c>
      <c r="CL112" s="16">
        <v>-9999</v>
      </c>
      <c r="CM112" s="16">
        <v>-9999</v>
      </c>
      <c r="CN112" s="16">
        <v>32.446640002298629</v>
      </c>
      <c r="CO112" s="16">
        <v>34.399029997037168</v>
      </c>
      <c r="CP112" s="16">
        <v>35.981705701252103</v>
      </c>
      <c r="CQ112" s="16">
        <v>37.742948112327383</v>
      </c>
      <c r="CR112" s="16">
        <v>39.854552054299134</v>
      </c>
      <c r="CS112" s="16">
        <v>-9999</v>
      </c>
      <c r="CT112" s="16">
        <v>-9999</v>
      </c>
      <c r="CU112" s="16">
        <v>-9999</v>
      </c>
      <c r="CV112" s="16">
        <v>-9999</v>
      </c>
      <c r="CW112" s="16">
        <v>-9999</v>
      </c>
      <c r="CX112" s="16">
        <v>-9999</v>
      </c>
      <c r="CY112" s="16">
        <v>-9999</v>
      </c>
      <c r="CZ112" s="16">
        <v>-9999</v>
      </c>
      <c r="DA112" s="16">
        <v>34.399029997037168</v>
      </c>
      <c r="DB112" s="16">
        <v>35.986750000237564</v>
      </c>
      <c r="DC112" s="16">
        <v>36.942292399999999</v>
      </c>
      <c r="DD112" s="16">
        <v>38.683533143454994</v>
      </c>
      <c r="DE112" s="16">
        <v>40.597880270238313</v>
      </c>
      <c r="DF112" s="16">
        <v>-9999</v>
      </c>
      <c r="DG112" s="16">
        <v>-9999</v>
      </c>
      <c r="DH112" s="16">
        <v>-9999</v>
      </c>
      <c r="DI112" s="16">
        <v>-9999</v>
      </c>
      <c r="DJ112" s="16">
        <v>-9999</v>
      </c>
      <c r="DK112" s="16">
        <v>-9999</v>
      </c>
      <c r="DL112" s="16">
        <v>-9999</v>
      </c>
      <c r="DM112" s="16">
        <v>-9999</v>
      </c>
      <c r="DN112" s="16">
        <v>32.446640002298629</v>
      </c>
      <c r="DO112" s="16">
        <v>34.399029997037168</v>
      </c>
      <c r="DP112" s="16">
        <v>35.984692864000017</v>
      </c>
      <c r="DQ112" s="16">
        <v>37.698367009845583</v>
      </c>
      <c r="DR112" s="16">
        <v>39.856888636359244</v>
      </c>
      <c r="DS112" s="16">
        <v>-9999</v>
      </c>
      <c r="DT112" s="16">
        <v>-9999</v>
      </c>
      <c r="DU112" s="16">
        <v>-9999</v>
      </c>
      <c r="DV112" s="16">
        <v>-9999</v>
      </c>
      <c r="DW112" s="16">
        <v>-9999</v>
      </c>
      <c r="DX112" s="16">
        <v>-9999</v>
      </c>
      <c r="DY112" s="16">
        <v>-9999</v>
      </c>
      <c r="DZ112" s="16">
        <v>-9999</v>
      </c>
      <c r="EA112" s="2196">
        <v>101.46330940455422</v>
      </c>
      <c r="EB112" s="2196">
        <v>110.8049598330383</v>
      </c>
      <c r="EC112" s="2196">
        <v>117.81106231000001</v>
      </c>
      <c r="ED112" s="2196">
        <v>124.38278303003321</v>
      </c>
      <c r="EE112" s="2196">
        <v>132.43177879389697</v>
      </c>
      <c r="EF112" s="2197">
        <v>-9999</v>
      </c>
      <c r="EG112" s="2197">
        <v>-9999</v>
      </c>
      <c r="EH112" s="2197">
        <v>-9999</v>
      </c>
      <c r="EI112" s="2197">
        <v>-9999</v>
      </c>
      <c r="EJ112" s="2197">
        <v>-9999</v>
      </c>
      <c r="EK112" s="2197">
        <v>-9999</v>
      </c>
      <c r="EL112" s="2197">
        <v>-9999</v>
      </c>
      <c r="EM112" s="2197">
        <v>-9999</v>
      </c>
    </row>
    <row r="113" spans="1:143">
      <c r="A113" s="22">
        <v>13</v>
      </c>
      <c r="B113" s="30" t="s">
        <v>1705</v>
      </c>
      <c r="C113" s="25">
        <v>-9999</v>
      </c>
      <c r="D113" s="25">
        <v>-9999</v>
      </c>
      <c r="E113" s="25">
        <v>-9999</v>
      </c>
      <c r="F113" s="25">
        <v>-9999</v>
      </c>
      <c r="G113" s="25">
        <v>-9999</v>
      </c>
      <c r="H113" s="25">
        <v>-9999</v>
      </c>
      <c r="I113" s="25">
        <v>-9999</v>
      </c>
      <c r="J113" s="25">
        <v>-9999</v>
      </c>
      <c r="K113" s="25">
        <v>-9999</v>
      </c>
      <c r="L113" s="25">
        <v>-9999</v>
      </c>
      <c r="M113" s="25">
        <v>-9999</v>
      </c>
      <c r="N113" s="25">
        <v>-9999</v>
      </c>
      <c r="O113" s="25">
        <v>-9999</v>
      </c>
      <c r="P113" s="26"/>
      <c r="Q113"/>
      <c r="AA113" s="22">
        <v>13</v>
      </c>
      <c r="AB113" s="1040" t="str">
        <f t="shared" si="3"/>
        <v>FOR FUTURE USE</v>
      </c>
      <c r="AC113" s="1040">
        <f>CHOOSE(Tables!$U$2,Transfer!CA113,Transfer!CN113,Transfer!DA113,Transfer!DN113,Transfer!EA113)</f>
        <v>-9999</v>
      </c>
      <c r="AD113" s="1040">
        <f>CHOOSE(Tables!$U$2,Transfer!CB113,Transfer!CO113,Transfer!DB113,Transfer!DO113,Transfer!EB113)</f>
        <v>-9999</v>
      </c>
      <c r="AE113" s="1040">
        <f>CHOOSE(Tables!$U$2,Transfer!CC113,Transfer!CP113,Transfer!DC113,Transfer!DP113,Transfer!EC113)</f>
        <v>-9999</v>
      </c>
      <c r="AF113" s="1040">
        <f>CHOOSE(Tables!$U$2,Transfer!CD113,Transfer!CQ113,Transfer!DD113,Transfer!DQ113,Transfer!ED113)</f>
        <v>-9999</v>
      </c>
      <c r="AG113" s="1040">
        <f>CHOOSE(Tables!$U$2,Transfer!CE113,Transfer!CR113,Transfer!DE113,Transfer!DR113,Transfer!EE113)</f>
        <v>-9999</v>
      </c>
      <c r="AH113" s="1040">
        <f>CHOOSE(Tables!$U$2,Transfer!CF113,Transfer!CS113,Transfer!DF113,Transfer!DS113,Transfer!EF113)</f>
        <v>-9999</v>
      </c>
      <c r="AI113" s="1040">
        <f>CHOOSE(Tables!$U$2,Transfer!CG113,Transfer!CT113,Transfer!DG113,Transfer!DT113,Transfer!EG113)</f>
        <v>-9999</v>
      </c>
      <c r="AJ113" s="1040">
        <f>CHOOSE(Tables!$U$2,Transfer!CH113,Transfer!CU113,Transfer!DH113,Transfer!DU113,Transfer!EH113)</f>
        <v>-9999</v>
      </c>
      <c r="AK113" s="1040">
        <f>CHOOSE(Tables!$U$2,Transfer!CI113,Transfer!CV113,Transfer!DI113,Transfer!DV113,Transfer!EI113)</f>
        <v>-9999</v>
      </c>
      <c r="AL113" s="1040">
        <f>CHOOSE(Tables!$U$2,Transfer!CJ113,Transfer!CW113,Transfer!DJ113,Transfer!DW113,Transfer!EJ113)</f>
        <v>-9999</v>
      </c>
      <c r="AM113" s="1040">
        <f>CHOOSE(Tables!$U$2,Transfer!CK113,Transfer!CX113,Transfer!DK113,Transfer!DX113,Transfer!EK113)</f>
        <v>-9999</v>
      </c>
      <c r="AN113" s="1040">
        <f>CHOOSE(Tables!$U$2,Transfer!CL113,Transfer!CY113,Transfer!DL113,Transfer!DY113,Transfer!EL113)</f>
        <v>-9999</v>
      </c>
      <c r="AO113" s="1040">
        <f>CHOOSE(Tables!$U$2,Transfer!CM113,Transfer!CZ113,Transfer!DM113,Transfer!DZ113,Transfer!EM113)</f>
        <v>-9999</v>
      </c>
      <c r="AR113" s="22">
        <v>13</v>
      </c>
      <c r="AS113" s="30" t="s">
        <v>1705</v>
      </c>
      <c r="AT113" s="25">
        <f t="shared" si="2"/>
        <v>0</v>
      </c>
      <c r="AU113" s="25">
        <f t="shared" si="2"/>
        <v>0</v>
      </c>
      <c r="AV113" s="25">
        <f t="shared" si="2"/>
        <v>0</v>
      </c>
      <c r="AW113" s="25">
        <f t="shared" si="2"/>
        <v>0</v>
      </c>
      <c r="AX113" s="25">
        <f t="shared" si="2"/>
        <v>0</v>
      </c>
      <c r="AY113" s="25">
        <f t="shared" si="2"/>
        <v>0</v>
      </c>
      <c r="AZ113" s="25">
        <f t="shared" si="2"/>
        <v>0</v>
      </c>
      <c r="BA113" s="25">
        <f t="shared" si="2"/>
        <v>0</v>
      </c>
      <c r="BB113" s="25">
        <f t="shared" si="2"/>
        <v>0</v>
      </c>
      <c r="BC113" s="25">
        <f t="shared" si="2"/>
        <v>0</v>
      </c>
      <c r="BD113" s="25">
        <f t="shared" si="2"/>
        <v>0</v>
      </c>
      <c r="BE113" s="25">
        <f t="shared" si="2"/>
        <v>0</v>
      </c>
      <c r="BF113" s="25">
        <f t="shared" si="2"/>
        <v>0</v>
      </c>
      <c r="CA113" s="16">
        <v>-9999</v>
      </c>
      <c r="CB113" s="16">
        <v>-9999</v>
      </c>
      <c r="CC113" s="16">
        <v>-9999</v>
      </c>
      <c r="CD113" s="16">
        <v>-9999</v>
      </c>
      <c r="CE113" s="16">
        <v>-9999</v>
      </c>
      <c r="CF113" s="16">
        <v>-9999</v>
      </c>
      <c r="CG113" s="16">
        <v>-9999</v>
      </c>
      <c r="CH113" s="16">
        <v>-9999</v>
      </c>
      <c r="CI113" s="16">
        <v>-9999</v>
      </c>
      <c r="CJ113" s="16">
        <v>-9999</v>
      </c>
      <c r="CK113" s="16">
        <v>-9999</v>
      </c>
      <c r="CL113" s="16">
        <v>-9999</v>
      </c>
      <c r="CM113" s="16">
        <v>-9999</v>
      </c>
      <c r="CN113" s="16">
        <v>-9999</v>
      </c>
      <c r="CO113" s="16">
        <v>-9999</v>
      </c>
      <c r="CP113" s="16">
        <v>-9999</v>
      </c>
      <c r="CQ113" s="16">
        <v>-9999</v>
      </c>
      <c r="CR113" s="16">
        <v>-9999</v>
      </c>
      <c r="CS113" s="16">
        <v>-9999</v>
      </c>
      <c r="CT113" s="16">
        <v>-9999</v>
      </c>
      <c r="CU113" s="16">
        <v>-9999</v>
      </c>
      <c r="CV113" s="16">
        <v>-9999</v>
      </c>
      <c r="CW113" s="16">
        <v>-9999</v>
      </c>
      <c r="CX113" s="16">
        <v>-9999</v>
      </c>
      <c r="CY113" s="16">
        <v>-9999</v>
      </c>
      <c r="CZ113" s="16">
        <v>-9999</v>
      </c>
      <c r="DA113" s="16">
        <v>-9999</v>
      </c>
      <c r="DB113" s="16">
        <v>-9999</v>
      </c>
      <c r="DC113" s="16">
        <v>-9999</v>
      </c>
      <c r="DD113" s="16">
        <v>-9999</v>
      </c>
      <c r="DE113" s="16">
        <v>-9999</v>
      </c>
      <c r="DF113" s="16">
        <v>-9999</v>
      </c>
      <c r="DG113" s="16">
        <v>-9999</v>
      </c>
      <c r="DH113" s="16">
        <v>-9999</v>
      </c>
      <c r="DI113" s="16">
        <v>-9999</v>
      </c>
      <c r="DJ113" s="16">
        <v>-9999</v>
      </c>
      <c r="DK113" s="16">
        <v>-9999</v>
      </c>
      <c r="DL113" s="16">
        <v>-9999</v>
      </c>
      <c r="DM113" s="16">
        <v>-9999</v>
      </c>
      <c r="DN113" s="16">
        <v>-9999</v>
      </c>
      <c r="DO113" s="16">
        <v>-9999</v>
      </c>
      <c r="DP113" s="16">
        <v>-9999</v>
      </c>
      <c r="DQ113" s="16">
        <v>-9999</v>
      </c>
      <c r="DR113" s="16">
        <v>-9999</v>
      </c>
      <c r="DS113" s="16">
        <v>-9999</v>
      </c>
      <c r="DT113" s="16">
        <v>-9999</v>
      </c>
      <c r="DU113" s="16">
        <v>-9999</v>
      </c>
      <c r="DV113" s="16">
        <v>-9999</v>
      </c>
      <c r="DW113" s="16">
        <v>-9999</v>
      </c>
      <c r="DX113" s="16">
        <v>-9999</v>
      </c>
      <c r="DY113" s="16">
        <v>-9999</v>
      </c>
      <c r="DZ113" s="16">
        <v>-9999</v>
      </c>
      <c r="EA113" s="2197">
        <v>-9999</v>
      </c>
      <c r="EB113" s="2197">
        <v>-9999</v>
      </c>
      <c r="EC113" s="2197">
        <v>-9999</v>
      </c>
      <c r="ED113" s="2197">
        <v>-9999</v>
      </c>
      <c r="EE113" s="2197">
        <v>-9999</v>
      </c>
      <c r="EF113" s="2197">
        <v>-9999</v>
      </c>
      <c r="EG113" s="2197">
        <v>-9999</v>
      </c>
      <c r="EH113" s="2197">
        <v>-9999</v>
      </c>
      <c r="EI113" s="2197">
        <v>-9999</v>
      </c>
      <c r="EJ113" s="2197">
        <v>-9999</v>
      </c>
      <c r="EK113" s="2197">
        <v>-9999</v>
      </c>
      <c r="EL113" s="2197">
        <v>-9999</v>
      </c>
      <c r="EM113" s="2197">
        <v>-9999</v>
      </c>
    </row>
    <row r="114" spans="1:143">
      <c r="A114" s="22">
        <v>14</v>
      </c>
      <c r="B114" s="30" t="s">
        <v>1705</v>
      </c>
      <c r="C114" s="25">
        <v>-9999</v>
      </c>
      <c r="D114" s="25">
        <v>-9999</v>
      </c>
      <c r="E114" s="25">
        <v>-9999</v>
      </c>
      <c r="F114" s="25">
        <v>-9999</v>
      </c>
      <c r="G114" s="25">
        <v>-9999</v>
      </c>
      <c r="H114" s="25">
        <v>-9999</v>
      </c>
      <c r="I114" s="25">
        <v>-9999</v>
      </c>
      <c r="J114" s="25">
        <v>-9999</v>
      </c>
      <c r="K114" s="25">
        <v>-9999</v>
      </c>
      <c r="L114" s="25">
        <v>-9999</v>
      </c>
      <c r="M114" s="25">
        <v>-9999</v>
      </c>
      <c r="N114" s="25">
        <v>-9999</v>
      </c>
      <c r="O114" s="25">
        <v>-9999</v>
      </c>
      <c r="P114" s="26"/>
      <c r="Q114"/>
      <c r="AA114" s="22">
        <v>14</v>
      </c>
      <c r="AB114" s="1040" t="str">
        <f t="shared" si="3"/>
        <v>FOR FUTURE USE</v>
      </c>
      <c r="AC114" s="1040">
        <f>CHOOSE(Tables!$U$2,Transfer!CA114,Transfer!CN114,Transfer!DA114,Transfer!DN114,Transfer!EA114)</f>
        <v>-9999</v>
      </c>
      <c r="AD114" s="1040">
        <f>CHOOSE(Tables!$U$2,Transfer!CB114,Transfer!CO114,Transfer!DB114,Transfer!DO114,Transfer!EB114)</f>
        <v>-9999</v>
      </c>
      <c r="AE114" s="1040">
        <f>CHOOSE(Tables!$U$2,Transfer!CC114,Transfer!CP114,Transfer!DC114,Transfer!DP114,Transfer!EC114)</f>
        <v>-9999</v>
      </c>
      <c r="AF114" s="1040">
        <f>CHOOSE(Tables!$U$2,Transfer!CD114,Transfer!CQ114,Transfer!DD114,Transfer!DQ114,Transfer!ED114)</f>
        <v>-9999</v>
      </c>
      <c r="AG114" s="1040">
        <f>CHOOSE(Tables!$U$2,Transfer!CE114,Transfer!CR114,Transfer!DE114,Transfer!DR114,Transfer!EE114)</f>
        <v>-9999</v>
      </c>
      <c r="AH114" s="1040">
        <f>CHOOSE(Tables!$U$2,Transfer!CF114,Transfer!CS114,Transfer!DF114,Transfer!DS114,Transfer!EF114)</f>
        <v>-9999</v>
      </c>
      <c r="AI114" s="1040">
        <f>CHOOSE(Tables!$U$2,Transfer!CG114,Transfer!CT114,Transfer!DG114,Transfer!DT114,Transfer!EG114)</f>
        <v>-9999</v>
      </c>
      <c r="AJ114" s="1040">
        <f>CHOOSE(Tables!$U$2,Transfer!CH114,Transfer!CU114,Transfer!DH114,Transfer!DU114,Transfer!EH114)</f>
        <v>-9999</v>
      </c>
      <c r="AK114" s="1040">
        <f>CHOOSE(Tables!$U$2,Transfer!CI114,Transfer!CV114,Transfer!DI114,Transfer!DV114,Transfer!EI114)</f>
        <v>-9999</v>
      </c>
      <c r="AL114" s="1040">
        <f>CHOOSE(Tables!$U$2,Transfer!CJ114,Transfer!CW114,Transfer!DJ114,Transfer!DW114,Transfer!EJ114)</f>
        <v>-9999</v>
      </c>
      <c r="AM114" s="1040">
        <f>CHOOSE(Tables!$U$2,Transfer!CK114,Transfer!CX114,Transfer!DK114,Transfer!DX114,Transfer!EK114)</f>
        <v>-9999</v>
      </c>
      <c r="AN114" s="1040">
        <f>CHOOSE(Tables!$U$2,Transfer!CL114,Transfer!CY114,Transfer!DL114,Transfer!DY114,Transfer!EL114)</f>
        <v>-9999</v>
      </c>
      <c r="AO114" s="1040">
        <f>CHOOSE(Tables!$U$2,Transfer!CM114,Transfer!CZ114,Transfer!DM114,Transfer!DZ114,Transfer!EM114)</f>
        <v>-9999</v>
      </c>
      <c r="AR114" s="22">
        <v>14</v>
      </c>
      <c r="AS114" s="30" t="s">
        <v>1705</v>
      </c>
      <c r="AT114" s="25">
        <f t="shared" si="2"/>
        <v>0</v>
      </c>
      <c r="AU114" s="25">
        <f t="shared" si="2"/>
        <v>0</v>
      </c>
      <c r="AV114" s="25">
        <f t="shared" si="2"/>
        <v>0</v>
      </c>
      <c r="AW114" s="25">
        <f t="shared" si="2"/>
        <v>0</v>
      </c>
      <c r="AX114" s="25">
        <f t="shared" si="2"/>
        <v>0</v>
      </c>
      <c r="AY114" s="25">
        <f t="shared" si="2"/>
        <v>0</v>
      </c>
      <c r="AZ114" s="25">
        <f t="shared" si="2"/>
        <v>0</v>
      </c>
      <c r="BA114" s="25">
        <f t="shared" si="2"/>
        <v>0</v>
      </c>
      <c r="BB114" s="25">
        <f t="shared" si="2"/>
        <v>0</v>
      </c>
      <c r="BC114" s="25">
        <f t="shared" si="2"/>
        <v>0</v>
      </c>
      <c r="BD114" s="25">
        <f t="shared" si="2"/>
        <v>0</v>
      </c>
      <c r="BE114" s="25">
        <f t="shared" si="2"/>
        <v>0</v>
      </c>
      <c r="BF114" s="25">
        <f t="shared" si="2"/>
        <v>0</v>
      </c>
      <c r="CA114" s="16">
        <v>-9999</v>
      </c>
      <c r="CB114" s="16">
        <v>-9999</v>
      </c>
      <c r="CC114" s="16">
        <v>-9999</v>
      </c>
      <c r="CD114" s="16">
        <v>-9999</v>
      </c>
      <c r="CE114" s="16">
        <v>-9999</v>
      </c>
      <c r="CF114" s="16">
        <v>-9999</v>
      </c>
      <c r="CG114" s="16">
        <v>-9999</v>
      </c>
      <c r="CH114" s="16">
        <v>-9999</v>
      </c>
      <c r="CI114" s="16">
        <v>-9999</v>
      </c>
      <c r="CJ114" s="16">
        <v>-9999</v>
      </c>
      <c r="CK114" s="16">
        <v>-9999</v>
      </c>
      <c r="CL114" s="16">
        <v>-9999</v>
      </c>
      <c r="CM114" s="16">
        <v>-9999</v>
      </c>
      <c r="CN114" s="16">
        <v>-9999</v>
      </c>
      <c r="CO114" s="16">
        <v>-9999</v>
      </c>
      <c r="CP114" s="16">
        <v>-9999</v>
      </c>
      <c r="CQ114" s="16">
        <v>-9999</v>
      </c>
      <c r="CR114" s="16">
        <v>-9999</v>
      </c>
      <c r="CS114" s="16">
        <v>-9999</v>
      </c>
      <c r="CT114" s="16">
        <v>-9999</v>
      </c>
      <c r="CU114" s="16">
        <v>-9999</v>
      </c>
      <c r="CV114" s="16">
        <v>-9999</v>
      </c>
      <c r="CW114" s="16">
        <v>-9999</v>
      </c>
      <c r="CX114" s="16">
        <v>-9999</v>
      </c>
      <c r="CY114" s="16">
        <v>-9999</v>
      </c>
      <c r="CZ114" s="16">
        <v>-9999</v>
      </c>
      <c r="DA114" s="16">
        <v>-9999</v>
      </c>
      <c r="DB114" s="16">
        <v>-9999</v>
      </c>
      <c r="DC114" s="16">
        <v>-9999</v>
      </c>
      <c r="DD114" s="16">
        <v>-9999</v>
      </c>
      <c r="DE114" s="16">
        <v>-9999</v>
      </c>
      <c r="DF114" s="16">
        <v>-9999</v>
      </c>
      <c r="DG114" s="16">
        <v>-9999</v>
      </c>
      <c r="DH114" s="16">
        <v>-9999</v>
      </c>
      <c r="DI114" s="16">
        <v>-9999</v>
      </c>
      <c r="DJ114" s="16">
        <v>-9999</v>
      </c>
      <c r="DK114" s="16">
        <v>-9999</v>
      </c>
      <c r="DL114" s="16">
        <v>-9999</v>
      </c>
      <c r="DM114" s="16">
        <v>-9999</v>
      </c>
      <c r="DN114" s="16">
        <v>-9999</v>
      </c>
      <c r="DO114" s="16">
        <v>-9999</v>
      </c>
      <c r="DP114" s="16">
        <v>-9999</v>
      </c>
      <c r="DQ114" s="16">
        <v>-9999</v>
      </c>
      <c r="DR114" s="16">
        <v>-9999</v>
      </c>
      <c r="DS114" s="16">
        <v>-9999</v>
      </c>
      <c r="DT114" s="16">
        <v>-9999</v>
      </c>
      <c r="DU114" s="16">
        <v>-9999</v>
      </c>
      <c r="DV114" s="16">
        <v>-9999</v>
      </c>
      <c r="DW114" s="16">
        <v>-9999</v>
      </c>
      <c r="DX114" s="16">
        <v>-9999</v>
      </c>
      <c r="DY114" s="16">
        <v>-9999</v>
      </c>
      <c r="DZ114" s="16">
        <v>-9999</v>
      </c>
      <c r="EA114" s="2197">
        <v>-9999</v>
      </c>
      <c r="EB114" s="2197">
        <v>-9999</v>
      </c>
      <c r="EC114" s="2197">
        <v>-9999</v>
      </c>
      <c r="ED114" s="2197">
        <v>-9999</v>
      </c>
      <c r="EE114" s="2197">
        <v>-9999</v>
      </c>
      <c r="EF114" s="2197">
        <v>-9999</v>
      </c>
      <c r="EG114" s="2197">
        <v>-9999</v>
      </c>
      <c r="EH114" s="2197">
        <v>-9999</v>
      </c>
      <c r="EI114" s="2197">
        <v>-9999</v>
      </c>
      <c r="EJ114" s="2197">
        <v>-9999</v>
      </c>
      <c r="EK114" s="2197">
        <v>-9999</v>
      </c>
      <c r="EL114" s="2197">
        <v>-9999</v>
      </c>
      <c r="EM114" s="2197">
        <v>-9999</v>
      </c>
    </row>
    <row r="115" spans="1:143">
      <c r="A115" s="22">
        <v>15</v>
      </c>
      <c r="B115" s="27" t="s">
        <v>441</v>
      </c>
      <c r="C115" s="25">
        <v>-9999</v>
      </c>
      <c r="D115" s="3126">
        <f ca="1">OFFSET('Q1'!G6,0,(Last_forecast_year - 3-InputY!$G$3)*4+4)</f>
        <v>0.71497153830328841</v>
      </c>
      <c r="E115" s="3126">
        <f ca="1">OFFSET('Q1'!H6,0,(Last_forecast_year - 3-InputY!$G$3)*4+4)</f>
        <v>1.1508145928738056</v>
      </c>
      <c r="F115" s="3126">
        <f ca="1">OFFSET('Q1'!I6,0,(Last_forecast_year - 3-InputY!$G$3)*4+4)</f>
        <v>-2.1879260144408441E-2</v>
      </c>
      <c r="G115" s="3126">
        <f ca="1">OFFSET('Q1'!J6,0,(Last_forecast_year - 3-InputY!$G$3)*4+4)</f>
        <v>1.7574574102754204</v>
      </c>
      <c r="H115" s="3126">
        <f ca="1">OFFSET('Q1'!K6,0,(Last_forecast_year - 3-InputY!$G$3)*4+4)</f>
        <v>0.75</v>
      </c>
      <c r="I115" s="3126">
        <f ca="1">OFFSET('Q1'!L6,0,(Last_forecast_year - 3-InputY!$G$3)*4+4)</f>
        <v>0.75</v>
      </c>
      <c r="J115" s="3126">
        <f ca="1">OFFSET('Q1'!M6,0,(Last_forecast_year - 3-InputY!$G$3)*4+4)</f>
        <v>0.75</v>
      </c>
      <c r="K115" s="3126">
        <f ca="1">OFFSET('Q1'!N6,0,(Last_forecast_year - 3-InputY!$G$3)*4+4)</f>
        <v>0.75</v>
      </c>
      <c r="L115" s="3126">
        <f ca="1">OFFSET('Q1'!O6,0,(Last_forecast_year - 3-InputY!$G$3)*4+4)</f>
        <v>0.84</v>
      </c>
      <c r="M115" s="3126">
        <f ca="1">OFFSET('Q1'!P6,0,(Last_forecast_year - 3-InputY!$G$3)*4+4)</f>
        <v>0.84</v>
      </c>
      <c r="N115" s="3126">
        <f ca="1">OFFSET('Q1'!Q6,0,(Last_forecast_year - 3-InputY!$G$3)*4+4)</f>
        <v>0.84</v>
      </c>
      <c r="O115" s="3126">
        <f ca="1">OFFSET('Q1'!R6,0,(Last_forecast_year - 3-InputY!$G$3)*4+4)</f>
        <v>0.84</v>
      </c>
      <c r="P115" s="26"/>
      <c r="Q115"/>
      <c r="AA115" s="22">
        <v>15</v>
      </c>
      <c r="AB115" s="1040" t="str">
        <f t="shared" si="3"/>
        <v>QUART. VOL. PRIV. CONS. EXP. (cols 2-13)</v>
      </c>
      <c r="AC115" s="1040">
        <f>CHOOSE(Tables!$U$2,Transfer!CA115,Transfer!CN115,Transfer!DA115,Transfer!DN115,Transfer!EA115)</f>
        <v>-9999</v>
      </c>
      <c r="AD115" s="1040">
        <f>CHOOSE(Tables!$U$2,Transfer!CB115,Transfer!CO115,Transfer!DB115,Transfer!DO115,Transfer!EB115)</f>
        <v>-9999</v>
      </c>
      <c r="AE115" s="1040">
        <f>CHOOSE(Tables!$U$2,Transfer!CC115,Transfer!CP115,Transfer!DC115,Transfer!DP115,Transfer!EC115)</f>
        <v>-9999</v>
      </c>
      <c r="AF115" s="1040">
        <f>CHOOSE(Tables!$U$2,Transfer!CD115,Transfer!CQ115,Transfer!DD115,Transfer!DQ115,Transfer!ED115)</f>
        <v>-9999</v>
      </c>
      <c r="AG115" s="1040">
        <f>CHOOSE(Tables!$U$2,Transfer!CE115,Transfer!CR115,Transfer!DE115,Transfer!DR115,Transfer!EE115)</f>
        <v>-9999</v>
      </c>
      <c r="AH115" s="1040">
        <f>CHOOSE(Tables!$U$2,Transfer!CF115,Transfer!CS115,Transfer!DF115,Transfer!DS115,Transfer!EF115)</f>
        <v>-9999</v>
      </c>
      <c r="AI115" s="1040">
        <f>CHOOSE(Tables!$U$2,Transfer!CG115,Transfer!CT115,Transfer!DG115,Transfer!DT115,Transfer!EG115)</f>
        <v>-9999</v>
      </c>
      <c r="AJ115" s="1040">
        <f>CHOOSE(Tables!$U$2,Transfer!CH115,Transfer!CU115,Transfer!DH115,Transfer!DU115,Transfer!EH115)</f>
        <v>-9999</v>
      </c>
      <c r="AK115" s="1040">
        <f>CHOOSE(Tables!$U$2,Transfer!CI115,Transfer!CV115,Transfer!DI115,Transfer!DV115,Transfer!EI115)</f>
        <v>-9999</v>
      </c>
      <c r="AL115" s="1040">
        <f>CHOOSE(Tables!$U$2,Transfer!CJ115,Transfer!CW115,Transfer!DJ115,Transfer!DW115,Transfer!EJ115)</f>
        <v>-9999</v>
      </c>
      <c r="AM115" s="1040">
        <f>CHOOSE(Tables!$U$2,Transfer!CK115,Transfer!CX115,Transfer!DK115,Transfer!DX115,Transfer!EK115)</f>
        <v>-9999</v>
      </c>
      <c r="AN115" s="1040">
        <f>CHOOSE(Tables!$U$2,Transfer!CL115,Transfer!CY115,Transfer!DL115,Transfer!DY115,Transfer!EL115)</f>
        <v>-9999</v>
      </c>
      <c r="AO115" s="1040">
        <f>CHOOSE(Tables!$U$2,Transfer!CM115,Transfer!CZ115,Transfer!DM115,Transfer!DZ115,Transfer!EM115)</f>
        <v>-9999</v>
      </c>
      <c r="AR115" s="22">
        <v>15</v>
      </c>
      <c r="AS115" s="27" t="s">
        <v>441</v>
      </c>
      <c r="AT115" s="25">
        <f t="shared" si="2"/>
        <v>0</v>
      </c>
      <c r="AU115" s="1040">
        <f t="shared" ca="1" si="2"/>
        <v>9999.7149715383039</v>
      </c>
      <c r="AV115" s="1040">
        <f t="shared" ca="1" si="2"/>
        <v>10000.150814592875</v>
      </c>
      <c r="AW115" s="1040">
        <f t="shared" ca="1" si="2"/>
        <v>9998.9781207398555</v>
      </c>
      <c r="AX115" s="1040">
        <f t="shared" ca="1" si="2"/>
        <v>10000.757457410275</v>
      </c>
      <c r="AY115" s="1040">
        <f t="shared" ca="1" si="2"/>
        <v>9999.75</v>
      </c>
      <c r="AZ115" s="1040">
        <f t="shared" ca="1" si="2"/>
        <v>9999.75</v>
      </c>
      <c r="BA115" s="1040">
        <f t="shared" ca="1" si="2"/>
        <v>9999.75</v>
      </c>
      <c r="BB115" s="1040">
        <f t="shared" ca="1" si="2"/>
        <v>9999.75</v>
      </c>
      <c r="BC115" s="1040">
        <f t="shared" ca="1" si="2"/>
        <v>9999.84</v>
      </c>
      <c r="BD115" s="1040">
        <f t="shared" ca="1" si="2"/>
        <v>9999.84</v>
      </c>
      <c r="BE115" s="1040">
        <f t="shared" ca="1" si="2"/>
        <v>9999.84</v>
      </c>
      <c r="BF115" s="1040">
        <f t="shared" ca="1" si="2"/>
        <v>9999.84</v>
      </c>
      <c r="CA115" s="16">
        <v>-9999</v>
      </c>
      <c r="CB115" s="16">
        <v>-9999</v>
      </c>
      <c r="CC115" s="16">
        <v>-9999</v>
      </c>
      <c r="CD115" s="16">
        <v>-9999</v>
      </c>
      <c r="CE115" s="16">
        <v>-9999</v>
      </c>
      <c r="CF115" s="16">
        <v>-9999</v>
      </c>
      <c r="CG115" s="16">
        <v>-9999</v>
      </c>
      <c r="CH115" s="16">
        <v>-9999</v>
      </c>
      <c r="CI115" s="16">
        <v>-9999</v>
      </c>
      <c r="CJ115" s="16">
        <v>-9999</v>
      </c>
      <c r="CK115" s="16">
        <v>-9999</v>
      </c>
      <c r="CL115" s="16">
        <v>-9999</v>
      </c>
      <c r="CM115" s="16">
        <v>-9999</v>
      </c>
      <c r="CN115" s="16">
        <v>-9999</v>
      </c>
      <c r="CO115" s="16">
        <v>-9999</v>
      </c>
      <c r="CP115" s="16">
        <v>-9999</v>
      </c>
      <c r="CQ115" s="16">
        <v>-9999</v>
      </c>
      <c r="CR115" s="16">
        <v>-9999</v>
      </c>
      <c r="CS115" s="16">
        <v>-9999</v>
      </c>
      <c r="CT115" s="16">
        <v>-9999</v>
      </c>
      <c r="CU115" s="16">
        <v>-9999</v>
      </c>
      <c r="CV115" s="16">
        <v>-9999</v>
      </c>
      <c r="CW115" s="16">
        <v>-9999</v>
      </c>
      <c r="CX115" s="16">
        <v>-9999</v>
      </c>
      <c r="CY115" s="16">
        <v>-9999</v>
      </c>
      <c r="CZ115" s="16">
        <v>-9999</v>
      </c>
      <c r="DA115" s="16">
        <v>-9999</v>
      </c>
      <c r="DB115" s="16">
        <v>-9999</v>
      </c>
      <c r="DC115" s="16">
        <v>-9999</v>
      </c>
      <c r="DD115" s="16">
        <v>-9999</v>
      </c>
      <c r="DE115" s="16">
        <v>-9999</v>
      </c>
      <c r="DF115" s="16">
        <v>-9999</v>
      </c>
      <c r="DG115" s="16">
        <v>-9999</v>
      </c>
      <c r="DH115" s="16">
        <v>-9999</v>
      </c>
      <c r="DI115" s="16">
        <v>-9999</v>
      </c>
      <c r="DJ115" s="16">
        <v>-9999</v>
      </c>
      <c r="DK115" s="16">
        <v>-9999</v>
      </c>
      <c r="DL115" s="16">
        <v>-9999</v>
      </c>
      <c r="DM115" s="16">
        <v>-9999</v>
      </c>
      <c r="DN115" s="16">
        <v>-9999</v>
      </c>
      <c r="DO115" s="16">
        <v>-9999</v>
      </c>
      <c r="DP115" s="16">
        <v>-9999</v>
      </c>
      <c r="DQ115" s="16">
        <v>-9999</v>
      </c>
      <c r="DR115" s="16">
        <v>-9999</v>
      </c>
      <c r="DS115" s="16">
        <v>-9999</v>
      </c>
      <c r="DT115" s="16">
        <v>-9999</v>
      </c>
      <c r="DU115" s="16">
        <v>-9999</v>
      </c>
      <c r="DV115" s="16">
        <v>-9999</v>
      </c>
      <c r="DW115" s="16">
        <v>-9999</v>
      </c>
      <c r="DX115" s="16">
        <v>-9999</v>
      </c>
      <c r="DY115" s="16">
        <v>-9999</v>
      </c>
      <c r="DZ115" s="16">
        <v>-9999</v>
      </c>
      <c r="EA115" s="2197">
        <v>-9999</v>
      </c>
      <c r="EB115" s="2196">
        <v>-9999</v>
      </c>
      <c r="EC115" s="2196">
        <v>-9999</v>
      </c>
      <c r="ED115" s="2196">
        <v>-9999</v>
      </c>
      <c r="EE115" s="2196">
        <v>-9999</v>
      </c>
      <c r="EF115" s="2196">
        <v>-9999</v>
      </c>
      <c r="EG115" s="2196">
        <v>-9999</v>
      </c>
      <c r="EH115" s="2196">
        <v>-9999</v>
      </c>
      <c r="EI115" s="2196">
        <v>-9999</v>
      </c>
      <c r="EJ115" s="2196">
        <v>-9999</v>
      </c>
      <c r="EK115" s="2196">
        <v>-9999</v>
      </c>
      <c r="EL115" s="2196">
        <v>-9999</v>
      </c>
      <c r="EM115" s="2196">
        <v>-9999</v>
      </c>
    </row>
    <row r="116" spans="1:143" ht="12" customHeight="1">
      <c r="A116" s="22">
        <v>16</v>
      </c>
      <c r="B116" s="27" t="s">
        <v>442</v>
      </c>
      <c r="C116" s="25">
        <v>-9999</v>
      </c>
      <c r="D116" s="3126">
        <f ca="1">OFFSET('Q1'!G7,0,(Last_forecast_year - 3-InputY!$G$3)*4+4)</f>
        <v>8.9630446773303341E-2</v>
      </c>
      <c r="E116" s="3126">
        <f ca="1">OFFSET('Q1'!H7,0,(Last_forecast_year - 3-InputY!$G$3)*4+4)</f>
        <v>0.22731969415168418</v>
      </c>
      <c r="F116" s="3126">
        <f ca="1">OFFSET('Q1'!I7,0,(Last_forecast_year - 3-InputY!$G$3)*4+4)</f>
        <v>9.6219931271490644E-2</v>
      </c>
      <c r="G116" s="3126">
        <f ca="1">OFFSET('Q1'!J7,0,(Last_forecast_year - 3-InputY!$G$3)*4+4)</f>
        <v>0.15105740181267091</v>
      </c>
      <c r="H116" s="3126">
        <f ca="1">OFFSET('Q1'!K7,0,(Last_forecast_year - 3-InputY!$G$3)*4+4)</f>
        <v>0.5</v>
      </c>
      <c r="I116" s="3126">
        <f ca="1">OFFSET('Q1'!L7,0,(Last_forecast_year - 3-InputY!$G$3)*4+4)</f>
        <v>0.6</v>
      </c>
      <c r="J116" s="3126">
        <f ca="1">OFFSET('Q1'!M7,0,(Last_forecast_year - 3-InputY!$G$3)*4+4)</f>
        <v>0.6</v>
      </c>
      <c r="K116" s="3126">
        <f ca="1">OFFSET('Q1'!N7,0,(Last_forecast_year - 3-InputY!$G$3)*4+4)</f>
        <v>0.6</v>
      </c>
      <c r="L116" s="3126">
        <f ca="1">OFFSET('Q1'!O7,0,(Last_forecast_year - 3-InputY!$G$3)*4+4)</f>
        <v>0.3</v>
      </c>
      <c r="M116" s="3126">
        <f ca="1">OFFSET('Q1'!P7,0,(Last_forecast_year - 3-InputY!$G$3)*4+4)</f>
        <v>0.25</v>
      </c>
      <c r="N116" s="3126">
        <f ca="1">OFFSET('Q1'!Q7,0,(Last_forecast_year - 3-InputY!$G$3)*4+4)</f>
        <v>0.2</v>
      </c>
      <c r="O116" s="3126">
        <f ca="1">OFFSET('Q1'!R7,0,(Last_forecast_year - 3-InputY!$G$3)*4+4)</f>
        <v>0.18</v>
      </c>
      <c r="P116" s="26"/>
      <c r="Q116"/>
      <c r="AA116" s="22">
        <v>16</v>
      </c>
      <c r="AB116" s="1040" t="str">
        <f t="shared" si="3"/>
        <v>QUART. VOL. GVMNT CONS. EXP. (cols 2-13)</v>
      </c>
      <c r="AC116" s="1040">
        <f>CHOOSE(Tables!$U$2,Transfer!CA116,Transfer!CN116,Transfer!DA116,Transfer!DN116,Transfer!EA116)</f>
        <v>-9999</v>
      </c>
      <c r="AD116" s="1040">
        <f>CHOOSE(Tables!$U$2,Transfer!CB116,Transfer!CO116,Transfer!DB116,Transfer!DO116,Transfer!EB116)</f>
        <v>-9999</v>
      </c>
      <c r="AE116" s="1040">
        <f>CHOOSE(Tables!$U$2,Transfer!CC116,Transfer!CP116,Transfer!DC116,Transfer!DP116,Transfer!EC116)</f>
        <v>-9999</v>
      </c>
      <c r="AF116" s="1040">
        <f>CHOOSE(Tables!$U$2,Transfer!CD116,Transfer!CQ116,Transfer!DD116,Transfer!DQ116,Transfer!ED116)</f>
        <v>-9999</v>
      </c>
      <c r="AG116" s="1040">
        <f>CHOOSE(Tables!$U$2,Transfer!CE116,Transfer!CR116,Transfer!DE116,Transfer!DR116,Transfer!EE116)</f>
        <v>-9999</v>
      </c>
      <c r="AH116" s="1040">
        <f>CHOOSE(Tables!$U$2,Transfer!CF116,Transfer!CS116,Transfer!DF116,Transfer!DS116,Transfer!EF116)</f>
        <v>-9999</v>
      </c>
      <c r="AI116" s="1040">
        <f>CHOOSE(Tables!$U$2,Transfer!CG116,Transfer!CT116,Transfer!DG116,Transfer!DT116,Transfer!EG116)</f>
        <v>-9999</v>
      </c>
      <c r="AJ116" s="1040">
        <f>CHOOSE(Tables!$U$2,Transfer!CH116,Transfer!CU116,Transfer!DH116,Transfer!DU116,Transfer!EH116)</f>
        <v>-9999</v>
      </c>
      <c r="AK116" s="1040">
        <f>CHOOSE(Tables!$U$2,Transfer!CI116,Transfer!CV116,Transfer!DI116,Transfer!DV116,Transfer!EI116)</f>
        <v>-9999</v>
      </c>
      <c r="AL116" s="1040">
        <f>CHOOSE(Tables!$U$2,Transfer!CJ116,Transfer!CW116,Transfer!DJ116,Transfer!DW116,Transfer!EJ116)</f>
        <v>-9999</v>
      </c>
      <c r="AM116" s="1040">
        <f>CHOOSE(Tables!$U$2,Transfer!CK116,Transfer!CX116,Transfer!DK116,Transfer!DX116,Transfer!EK116)</f>
        <v>-9999</v>
      </c>
      <c r="AN116" s="1040">
        <f>CHOOSE(Tables!$U$2,Transfer!CL116,Transfer!CY116,Transfer!DL116,Transfer!DY116,Transfer!EL116)</f>
        <v>-9999</v>
      </c>
      <c r="AO116" s="1040">
        <f>CHOOSE(Tables!$U$2,Transfer!CM116,Transfer!CZ116,Transfer!DM116,Transfer!DZ116,Transfer!EM116)</f>
        <v>-9999</v>
      </c>
      <c r="AR116" s="22">
        <v>16</v>
      </c>
      <c r="AS116" s="27" t="s">
        <v>442</v>
      </c>
      <c r="AT116" s="25">
        <f t="shared" si="2"/>
        <v>0</v>
      </c>
      <c r="AU116" s="1040">
        <f t="shared" ca="1" si="2"/>
        <v>9999.0896304467733</v>
      </c>
      <c r="AV116" s="1040">
        <f t="shared" ca="1" si="2"/>
        <v>9999.2273196941514</v>
      </c>
      <c r="AW116" s="1040">
        <f t="shared" ca="1" si="2"/>
        <v>9999.0962199312708</v>
      </c>
      <c r="AX116" s="1040">
        <f t="shared" ca="1" si="2"/>
        <v>9999.1510574018121</v>
      </c>
      <c r="AY116" s="1040">
        <f t="shared" ca="1" si="2"/>
        <v>9999.5</v>
      </c>
      <c r="AZ116" s="1040">
        <f t="shared" ca="1" si="2"/>
        <v>9999.6</v>
      </c>
      <c r="BA116" s="1040">
        <f t="shared" ca="1" si="2"/>
        <v>9999.6</v>
      </c>
      <c r="BB116" s="1040">
        <f t="shared" ca="1" si="2"/>
        <v>9999.6</v>
      </c>
      <c r="BC116" s="1040">
        <f t="shared" ca="1" si="2"/>
        <v>9999.2999999999993</v>
      </c>
      <c r="BD116" s="1040">
        <f t="shared" ca="1" si="2"/>
        <v>9999.25</v>
      </c>
      <c r="BE116" s="1040">
        <f t="shared" ca="1" si="2"/>
        <v>9999.2000000000007</v>
      </c>
      <c r="BF116" s="1040">
        <f t="shared" ca="1" si="2"/>
        <v>9999.18</v>
      </c>
      <c r="CA116" s="16">
        <v>-9999</v>
      </c>
      <c r="CB116" s="16">
        <v>-9999</v>
      </c>
      <c r="CC116" s="16">
        <v>-9999</v>
      </c>
      <c r="CD116" s="16">
        <v>-9999</v>
      </c>
      <c r="CE116" s="16">
        <v>-9999</v>
      </c>
      <c r="CF116" s="16">
        <v>-9999</v>
      </c>
      <c r="CG116" s="16">
        <v>-9999</v>
      </c>
      <c r="CH116" s="16">
        <v>-9999</v>
      </c>
      <c r="CI116" s="16">
        <v>-9999</v>
      </c>
      <c r="CJ116" s="16">
        <v>-9999</v>
      </c>
      <c r="CK116" s="16">
        <v>-9999</v>
      </c>
      <c r="CL116" s="16">
        <v>-9999</v>
      </c>
      <c r="CM116" s="16">
        <v>-9999</v>
      </c>
      <c r="CN116" s="16">
        <v>-9999</v>
      </c>
      <c r="CO116" s="16">
        <v>-9999</v>
      </c>
      <c r="CP116" s="16">
        <v>-9999</v>
      </c>
      <c r="CQ116" s="16">
        <v>-9999</v>
      </c>
      <c r="CR116" s="16">
        <v>-9999</v>
      </c>
      <c r="CS116" s="16">
        <v>-9999</v>
      </c>
      <c r="CT116" s="16">
        <v>-9999</v>
      </c>
      <c r="CU116" s="16">
        <v>-9999</v>
      </c>
      <c r="CV116" s="16">
        <v>-9999</v>
      </c>
      <c r="CW116" s="16">
        <v>-9999</v>
      </c>
      <c r="CX116" s="16">
        <v>-9999</v>
      </c>
      <c r="CY116" s="16">
        <v>-9999</v>
      </c>
      <c r="CZ116" s="16">
        <v>-9999</v>
      </c>
      <c r="DA116" s="16">
        <v>-9999</v>
      </c>
      <c r="DB116" s="16">
        <v>-9999</v>
      </c>
      <c r="DC116" s="16">
        <v>-9999</v>
      </c>
      <c r="DD116" s="16">
        <v>-9999</v>
      </c>
      <c r="DE116" s="16">
        <v>-9999</v>
      </c>
      <c r="DF116" s="16">
        <v>-9999</v>
      </c>
      <c r="DG116" s="16">
        <v>-9999</v>
      </c>
      <c r="DH116" s="16">
        <v>-9999</v>
      </c>
      <c r="DI116" s="16">
        <v>-9999</v>
      </c>
      <c r="DJ116" s="16">
        <v>-9999</v>
      </c>
      <c r="DK116" s="16">
        <v>-9999</v>
      </c>
      <c r="DL116" s="16">
        <v>-9999</v>
      </c>
      <c r="DM116" s="16">
        <v>-9999</v>
      </c>
      <c r="DN116" s="16">
        <v>-9999</v>
      </c>
      <c r="DO116" s="16">
        <v>-9999</v>
      </c>
      <c r="DP116" s="16">
        <v>-9999</v>
      </c>
      <c r="DQ116" s="16">
        <v>-9999</v>
      </c>
      <c r="DR116" s="16">
        <v>-9999</v>
      </c>
      <c r="DS116" s="16">
        <v>-9999</v>
      </c>
      <c r="DT116" s="16">
        <v>-9999</v>
      </c>
      <c r="DU116" s="16">
        <v>-9999</v>
      </c>
      <c r="DV116" s="16">
        <v>-9999</v>
      </c>
      <c r="DW116" s="16">
        <v>-9999</v>
      </c>
      <c r="DX116" s="16">
        <v>-9999</v>
      </c>
      <c r="DY116" s="16">
        <v>-9999</v>
      </c>
      <c r="DZ116" s="16">
        <v>-9999</v>
      </c>
      <c r="EA116" s="2197">
        <v>-9999</v>
      </c>
      <c r="EB116" s="2196">
        <v>-9999</v>
      </c>
      <c r="EC116" s="2196">
        <v>-9999</v>
      </c>
      <c r="ED116" s="2196">
        <v>-9999</v>
      </c>
      <c r="EE116" s="2196">
        <v>-9999</v>
      </c>
      <c r="EF116" s="2196">
        <v>-9999</v>
      </c>
      <c r="EG116" s="2196">
        <v>-9999</v>
      </c>
      <c r="EH116" s="2196">
        <v>-9999</v>
      </c>
      <c r="EI116" s="2196">
        <v>-9999</v>
      </c>
      <c r="EJ116" s="2196">
        <v>-9999</v>
      </c>
      <c r="EK116" s="2196">
        <v>-9999</v>
      </c>
      <c r="EL116" s="2196">
        <v>-9999</v>
      </c>
      <c r="EM116" s="2196">
        <v>-9999</v>
      </c>
    </row>
    <row r="117" spans="1:143">
      <c r="A117" s="22">
        <v>17</v>
      </c>
      <c r="B117" s="31" t="s">
        <v>397</v>
      </c>
      <c r="C117" s="25">
        <v>-9999</v>
      </c>
      <c r="D117" s="3126">
        <f ca="1">OFFSET('Q1'!G8,0,(Last_forecast_year - 3-InputY!$G$3)*4+4)</f>
        <v>-0.68142108328480555</v>
      </c>
      <c r="E117" s="3126">
        <f ca="1">OFFSET('Q1'!H8,0,(Last_forecast_year - 3-InputY!$G$3)*4+4)</f>
        <v>2.738521081334655</v>
      </c>
      <c r="F117" s="3126">
        <f ca="1">OFFSET('Q1'!I8,0,(Last_forecast_year - 3-InputY!$G$3)*4+4)</f>
        <v>1.2557077625570789</v>
      </c>
      <c r="G117" s="3126">
        <f ca="1">OFFSET('Q1'!J8,0,(Last_forecast_year - 3-InputY!$G$3)*4+4)</f>
        <v>7.5479143179256081</v>
      </c>
      <c r="H117" s="3126">
        <f ca="1">OFFSET('Q1'!K8,0,(Last_forecast_year - 3-InputY!$G$3)*4+4)</f>
        <v>-1.5</v>
      </c>
      <c r="I117" s="3126">
        <f ca="1">OFFSET('Q1'!L8,0,(Last_forecast_year - 3-InputY!$G$3)*4+4)</f>
        <v>0.8</v>
      </c>
      <c r="J117" s="3126">
        <f ca="1">OFFSET('Q1'!M8,0,(Last_forecast_year - 3-InputY!$G$3)*4+4)</f>
        <v>1</v>
      </c>
      <c r="K117" s="3126">
        <f ca="1">OFFSET('Q1'!N8,0,(Last_forecast_year - 3-InputY!$G$3)*4+4)</f>
        <v>1.1499999999999999</v>
      </c>
      <c r="L117" s="3126">
        <f ca="1">OFFSET('Q1'!O8,0,(Last_forecast_year - 3-InputY!$G$3)*4+4)</f>
        <v>1.03</v>
      </c>
      <c r="M117" s="3126">
        <f ca="1">OFFSET('Q1'!P8,0,(Last_forecast_year - 3-InputY!$G$3)*4+4)</f>
        <v>1</v>
      </c>
      <c r="N117" s="3126">
        <f ca="1">OFFSET('Q1'!Q8,0,(Last_forecast_year - 3-InputY!$G$3)*4+4)</f>
        <v>1</v>
      </c>
      <c r="O117" s="3126">
        <f ca="1">OFFSET('Q1'!R8,0,(Last_forecast_year - 3-InputY!$G$3)*4+4)</f>
        <v>1</v>
      </c>
      <c r="P117" s="26"/>
      <c r="Q117"/>
      <c r="AA117" s="22">
        <v>17</v>
      </c>
      <c r="AB117" s="1040" t="str">
        <f t="shared" si="3"/>
        <v>QUART. VOL. G.F.C.F. TOTAL (cols 2-13)</v>
      </c>
      <c r="AC117" s="1040">
        <f>CHOOSE(Tables!$U$2,Transfer!CA117,Transfer!CN117,Transfer!DA117,Transfer!DN117,Transfer!EA117)</f>
        <v>-9999</v>
      </c>
      <c r="AD117" s="1040">
        <f>CHOOSE(Tables!$U$2,Transfer!CB117,Transfer!CO117,Transfer!DB117,Transfer!DO117,Transfer!EB117)</f>
        <v>-9999</v>
      </c>
      <c r="AE117" s="1040">
        <f>CHOOSE(Tables!$U$2,Transfer!CC117,Transfer!CP117,Transfer!DC117,Transfer!DP117,Transfer!EC117)</f>
        <v>-9999</v>
      </c>
      <c r="AF117" s="1040">
        <f>CHOOSE(Tables!$U$2,Transfer!CD117,Transfer!CQ117,Transfer!DD117,Transfer!DQ117,Transfer!ED117)</f>
        <v>-9999</v>
      </c>
      <c r="AG117" s="1040">
        <f>CHOOSE(Tables!$U$2,Transfer!CE117,Transfer!CR117,Transfer!DE117,Transfer!DR117,Transfer!EE117)</f>
        <v>-9999</v>
      </c>
      <c r="AH117" s="1040">
        <f>CHOOSE(Tables!$U$2,Transfer!CF117,Transfer!CS117,Transfer!DF117,Transfer!DS117,Transfer!EF117)</f>
        <v>-9999</v>
      </c>
      <c r="AI117" s="1040">
        <f>CHOOSE(Tables!$U$2,Transfer!CG117,Transfer!CT117,Transfer!DG117,Transfer!DT117,Transfer!EG117)</f>
        <v>-9999</v>
      </c>
      <c r="AJ117" s="1040">
        <f>CHOOSE(Tables!$U$2,Transfer!CH117,Transfer!CU117,Transfer!DH117,Transfer!DU117,Transfer!EH117)</f>
        <v>-9999</v>
      </c>
      <c r="AK117" s="1040">
        <f>CHOOSE(Tables!$U$2,Transfer!CI117,Transfer!CV117,Transfer!DI117,Transfer!DV117,Transfer!EI117)</f>
        <v>-9999</v>
      </c>
      <c r="AL117" s="1040">
        <f>CHOOSE(Tables!$U$2,Transfer!CJ117,Transfer!CW117,Transfer!DJ117,Transfer!DW117,Transfer!EJ117)</f>
        <v>-9999</v>
      </c>
      <c r="AM117" s="1040">
        <f>CHOOSE(Tables!$U$2,Transfer!CK117,Transfer!CX117,Transfer!DK117,Transfer!DX117,Transfer!EK117)</f>
        <v>-9999</v>
      </c>
      <c r="AN117" s="1040">
        <f>CHOOSE(Tables!$U$2,Transfer!CL117,Transfer!CY117,Transfer!DL117,Transfer!DY117,Transfer!EL117)</f>
        <v>-9999</v>
      </c>
      <c r="AO117" s="1040">
        <f>CHOOSE(Tables!$U$2,Transfer!CM117,Transfer!CZ117,Transfer!DM117,Transfer!DZ117,Transfer!EM117)</f>
        <v>-9999</v>
      </c>
      <c r="AR117" s="22">
        <v>17</v>
      </c>
      <c r="AS117" s="31" t="s">
        <v>397</v>
      </c>
      <c r="AT117" s="25">
        <f t="shared" si="2"/>
        <v>0</v>
      </c>
      <c r="AU117" s="1040">
        <f t="shared" ca="1" si="2"/>
        <v>9998.3185789167146</v>
      </c>
      <c r="AV117" s="1040">
        <f t="shared" ca="1" si="2"/>
        <v>10001.738521081335</v>
      </c>
      <c r="AW117" s="1040">
        <f t="shared" ca="1" si="2"/>
        <v>10000.255707762557</v>
      </c>
      <c r="AX117" s="1040">
        <f t="shared" ca="1" si="2"/>
        <v>10006.547914317925</v>
      </c>
      <c r="AY117" s="1040">
        <f t="shared" ca="1" si="2"/>
        <v>9997.5</v>
      </c>
      <c r="AZ117" s="1040">
        <f t="shared" ca="1" si="2"/>
        <v>9999.7999999999993</v>
      </c>
      <c r="BA117" s="1040">
        <f t="shared" ca="1" si="2"/>
        <v>10000</v>
      </c>
      <c r="BB117" s="1040">
        <f t="shared" ca="1" si="2"/>
        <v>10000.15</v>
      </c>
      <c r="BC117" s="1040">
        <f t="shared" ca="1" si="2"/>
        <v>10000.030000000001</v>
      </c>
      <c r="BD117" s="1040">
        <f t="shared" ca="1" si="2"/>
        <v>10000</v>
      </c>
      <c r="BE117" s="1040">
        <f t="shared" ca="1" si="2"/>
        <v>10000</v>
      </c>
      <c r="BF117" s="1040">
        <f t="shared" ca="1" si="2"/>
        <v>10000</v>
      </c>
      <c r="CA117" s="16">
        <v>-9999</v>
      </c>
      <c r="CB117" s="16">
        <v>-9999</v>
      </c>
      <c r="CC117" s="16">
        <v>-9999</v>
      </c>
      <c r="CD117" s="16">
        <v>-9999</v>
      </c>
      <c r="CE117" s="16">
        <v>-9999</v>
      </c>
      <c r="CF117" s="16">
        <v>-9999</v>
      </c>
      <c r="CG117" s="16">
        <v>-9999</v>
      </c>
      <c r="CH117" s="16">
        <v>-9999</v>
      </c>
      <c r="CI117" s="16">
        <v>-9999</v>
      </c>
      <c r="CJ117" s="16">
        <v>-9999</v>
      </c>
      <c r="CK117" s="16">
        <v>-9999</v>
      </c>
      <c r="CL117" s="16">
        <v>-9999</v>
      </c>
      <c r="CM117" s="16">
        <v>-9999</v>
      </c>
      <c r="CN117" s="16">
        <v>-9999</v>
      </c>
      <c r="CO117" s="16">
        <v>-9999</v>
      </c>
      <c r="CP117" s="16">
        <v>-9999</v>
      </c>
      <c r="CQ117" s="16">
        <v>-9999</v>
      </c>
      <c r="CR117" s="16">
        <v>-9999</v>
      </c>
      <c r="CS117" s="16">
        <v>-9999</v>
      </c>
      <c r="CT117" s="16">
        <v>-9999</v>
      </c>
      <c r="CU117" s="16">
        <v>-9999</v>
      </c>
      <c r="CV117" s="16">
        <v>-9999</v>
      </c>
      <c r="CW117" s="16">
        <v>-9999</v>
      </c>
      <c r="CX117" s="16">
        <v>-9999</v>
      </c>
      <c r="CY117" s="16">
        <v>-9999</v>
      </c>
      <c r="CZ117" s="16">
        <v>-9999</v>
      </c>
      <c r="DA117" s="16">
        <v>-9999</v>
      </c>
      <c r="DB117" s="16">
        <v>-9999</v>
      </c>
      <c r="DC117" s="16">
        <v>-9999</v>
      </c>
      <c r="DD117" s="16">
        <v>-9999</v>
      </c>
      <c r="DE117" s="16">
        <v>-9999</v>
      </c>
      <c r="DF117" s="16">
        <v>-9999</v>
      </c>
      <c r="DG117" s="16">
        <v>-9999</v>
      </c>
      <c r="DH117" s="16">
        <v>-9999</v>
      </c>
      <c r="DI117" s="16">
        <v>-9999</v>
      </c>
      <c r="DJ117" s="16">
        <v>-9999</v>
      </c>
      <c r="DK117" s="16">
        <v>-9999</v>
      </c>
      <c r="DL117" s="16">
        <v>-9999</v>
      </c>
      <c r="DM117" s="16">
        <v>-9999</v>
      </c>
      <c r="DN117" s="16">
        <v>-9999</v>
      </c>
      <c r="DO117" s="16">
        <v>-9999</v>
      </c>
      <c r="DP117" s="16">
        <v>-9999</v>
      </c>
      <c r="DQ117" s="16">
        <v>-9999</v>
      </c>
      <c r="DR117" s="16">
        <v>-9999</v>
      </c>
      <c r="DS117" s="16">
        <v>-9999</v>
      </c>
      <c r="DT117" s="16">
        <v>-9999</v>
      </c>
      <c r="DU117" s="16">
        <v>-9999</v>
      </c>
      <c r="DV117" s="16">
        <v>-9999</v>
      </c>
      <c r="DW117" s="16">
        <v>-9999</v>
      </c>
      <c r="DX117" s="16">
        <v>-9999</v>
      </c>
      <c r="DY117" s="16">
        <v>-9999</v>
      </c>
      <c r="DZ117" s="16">
        <v>-9999</v>
      </c>
      <c r="EA117" s="2197">
        <v>-9999</v>
      </c>
      <c r="EB117" s="2196">
        <v>-9999</v>
      </c>
      <c r="EC117" s="2196">
        <v>-9999</v>
      </c>
      <c r="ED117" s="2196">
        <v>-9999</v>
      </c>
      <c r="EE117" s="2196">
        <v>-9999</v>
      </c>
      <c r="EF117" s="2196">
        <v>-9999</v>
      </c>
      <c r="EG117" s="2196">
        <v>-9999</v>
      </c>
      <c r="EH117" s="2196">
        <v>-9999</v>
      </c>
      <c r="EI117" s="2196">
        <v>-9999</v>
      </c>
      <c r="EJ117" s="2196">
        <v>-9999</v>
      </c>
      <c r="EK117" s="2196">
        <v>-9999</v>
      </c>
      <c r="EL117" s="2196">
        <v>-9999</v>
      </c>
      <c r="EM117" s="2196">
        <v>-9999</v>
      </c>
    </row>
    <row r="118" spans="1:143">
      <c r="A118" s="22">
        <v>18</v>
      </c>
      <c r="B118" s="31" t="s">
        <v>488</v>
      </c>
      <c r="C118" s="25">
        <v>-9999</v>
      </c>
      <c r="D118" s="3126">
        <f ca="1">OFFSET('Q1'!G9,0,(Last_forecast_year - 3-InputY!$G$3)*4+4)</f>
        <v>0.34778550634460004</v>
      </c>
      <c r="E118" s="3126">
        <f ca="1">OFFSET('Q1'!H9,0,(Last_forecast_year - 3-InputY!$G$3)*4+4)</f>
        <v>1.3021669564062144</v>
      </c>
      <c r="F118" s="3126">
        <f ca="1">OFFSET('Q1'!I9,0,(Last_forecast_year - 3-InputY!$G$3)*4+4)</f>
        <v>0.24156437526641206</v>
      </c>
      <c r="G118" s="3126">
        <f ca="1">OFFSET('Q1'!J9,0,(Last_forecast_year - 3-InputY!$G$3)*4+4)</f>
        <v>2.6224538753434778</v>
      </c>
      <c r="H118" s="3126">
        <f ca="1">OFFSET('Q1'!K9,0,(Last_forecast_year - 3-InputY!$G$3)*4+4)</f>
        <v>0.25512415925536319</v>
      </c>
      <c r="I118" s="3126">
        <f ca="1">OFFSET('Q1'!L9,0,(Last_forecast_year - 3-InputY!$G$3)*4+4)</f>
        <v>0.73665440050966002</v>
      </c>
      <c r="J118" s="3126">
        <f ca="1">OFFSET('Q1'!M9,0,(Last_forecast_year - 3-InputY!$G$3)*4+4)</f>
        <v>0.77655240047236962</v>
      </c>
      <c r="K118" s="3126">
        <f ca="1">OFFSET('Q1'!N9,0,(Last_forecast_year - 3-InputY!$G$3)*4+4)</f>
        <v>0.80666502587561029</v>
      </c>
      <c r="L118" s="3126">
        <f ca="1">OFFSET('Q1'!O9,0,(Last_forecast_year - 3-InputY!$G$3)*4+4)</f>
        <v>0.79461665962858952</v>
      </c>
      <c r="M118" s="3126">
        <f ca="1">OFFSET('Q1'!P9,0,(Last_forecast_year - 3-InputY!$G$3)*4+4)</f>
        <v>0.7813982376775449</v>
      </c>
      <c r="N118" s="3126">
        <f ca="1">OFFSET('Q1'!Q9,0,(Last_forecast_year - 3-InputY!$G$3)*4+4)</f>
        <v>0.77429678563838522</v>
      </c>
      <c r="O118" s="3126">
        <f ca="1">OFFSET('Q1'!R9,0,(Last_forecast_year - 3-InputY!$G$3)*4+4)</f>
        <v>0.77188451507112787</v>
      </c>
      <c r="P118" s="26"/>
      <c r="Q118"/>
      <c r="AA118" s="22">
        <v>18</v>
      </c>
      <c r="AB118" s="1040" t="str">
        <f t="shared" si="3"/>
        <v>QUART. VOL. FINAL DOM. DEMAND (cols 2-13)</v>
      </c>
      <c r="AC118" s="1040">
        <f>CHOOSE(Tables!$U$2,Transfer!CA118,Transfer!CN118,Transfer!DA118,Transfer!DN118,Transfer!EA118)</f>
        <v>-9999</v>
      </c>
      <c r="AD118" s="1040">
        <f>CHOOSE(Tables!$U$2,Transfer!CB118,Transfer!CO118,Transfer!DB118,Transfer!DO118,Transfer!EB118)</f>
        <v>-9999</v>
      </c>
      <c r="AE118" s="1040">
        <f>CHOOSE(Tables!$U$2,Transfer!CC118,Transfer!CP118,Transfer!DC118,Transfer!DP118,Transfer!EC118)</f>
        <v>-9999</v>
      </c>
      <c r="AF118" s="1040">
        <f>CHOOSE(Tables!$U$2,Transfer!CD118,Transfer!CQ118,Transfer!DD118,Transfer!DQ118,Transfer!ED118)</f>
        <v>-9999</v>
      </c>
      <c r="AG118" s="1040">
        <f>CHOOSE(Tables!$U$2,Transfer!CE118,Transfer!CR118,Transfer!DE118,Transfer!DR118,Transfer!EE118)</f>
        <v>-9999</v>
      </c>
      <c r="AH118" s="1040">
        <f>CHOOSE(Tables!$U$2,Transfer!CF118,Transfer!CS118,Transfer!DF118,Transfer!DS118,Transfer!EF118)</f>
        <v>-9999</v>
      </c>
      <c r="AI118" s="1040">
        <f>CHOOSE(Tables!$U$2,Transfer!CG118,Transfer!CT118,Transfer!DG118,Transfer!DT118,Transfer!EG118)</f>
        <v>-9999</v>
      </c>
      <c r="AJ118" s="1040">
        <f>CHOOSE(Tables!$U$2,Transfer!CH118,Transfer!CU118,Transfer!DH118,Transfer!DU118,Transfer!EH118)</f>
        <v>-9999</v>
      </c>
      <c r="AK118" s="1040">
        <f>CHOOSE(Tables!$U$2,Transfer!CI118,Transfer!CV118,Transfer!DI118,Transfer!DV118,Transfer!EI118)</f>
        <v>-9999</v>
      </c>
      <c r="AL118" s="1040">
        <f>CHOOSE(Tables!$U$2,Transfer!CJ118,Transfer!CW118,Transfer!DJ118,Transfer!DW118,Transfer!EJ118)</f>
        <v>-9999</v>
      </c>
      <c r="AM118" s="1040">
        <f>CHOOSE(Tables!$U$2,Transfer!CK118,Transfer!CX118,Transfer!DK118,Transfer!DX118,Transfer!EK118)</f>
        <v>-9999</v>
      </c>
      <c r="AN118" s="1040">
        <f>CHOOSE(Tables!$U$2,Transfer!CL118,Transfer!CY118,Transfer!DL118,Transfer!DY118,Transfer!EL118)</f>
        <v>-9999</v>
      </c>
      <c r="AO118" s="1040">
        <f>CHOOSE(Tables!$U$2,Transfer!CM118,Transfer!CZ118,Transfer!DM118,Transfer!DZ118,Transfer!EM118)</f>
        <v>-9999</v>
      </c>
      <c r="AR118" s="22">
        <v>18</v>
      </c>
      <c r="AS118" s="31" t="s">
        <v>488</v>
      </c>
      <c r="AT118" s="25">
        <f t="shared" si="2"/>
        <v>0</v>
      </c>
      <c r="AU118" s="1040">
        <f t="shared" ca="1" si="2"/>
        <v>9999.3477855063447</v>
      </c>
      <c r="AV118" s="1040">
        <f t="shared" ca="1" si="2"/>
        <v>10000.302166956406</v>
      </c>
      <c r="AW118" s="1040">
        <f t="shared" ca="1" si="2"/>
        <v>9999.2415643752665</v>
      </c>
      <c r="AX118" s="1040">
        <f t="shared" ca="1" si="2"/>
        <v>10001.622453875343</v>
      </c>
      <c r="AY118" s="1040">
        <f t="shared" ca="1" si="2"/>
        <v>9999.2551241592555</v>
      </c>
      <c r="AZ118" s="1040">
        <f t="shared" ca="1" si="2"/>
        <v>9999.736654400509</v>
      </c>
      <c r="BA118" s="1040">
        <f t="shared" ca="1" si="2"/>
        <v>9999.7765524004717</v>
      </c>
      <c r="BB118" s="1040">
        <f t="shared" ca="1" si="2"/>
        <v>9999.8066650258752</v>
      </c>
      <c r="BC118" s="1040">
        <f t="shared" ca="1" si="2"/>
        <v>9999.7946166596284</v>
      </c>
      <c r="BD118" s="1040">
        <f t="shared" ca="1" si="2"/>
        <v>9999.7813982376774</v>
      </c>
      <c r="BE118" s="1040">
        <f t="shared" ca="1" si="2"/>
        <v>9999.7742967856375</v>
      </c>
      <c r="BF118" s="1040">
        <f t="shared" ca="1" si="2"/>
        <v>9999.7718845150703</v>
      </c>
      <c r="CA118" s="16">
        <v>-9999</v>
      </c>
      <c r="CB118" s="16">
        <v>-9999</v>
      </c>
      <c r="CC118" s="16">
        <v>-9999</v>
      </c>
      <c r="CD118" s="16">
        <v>-9999</v>
      </c>
      <c r="CE118" s="16">
        <v>-9999</v>
      </c>
      <c r="CF118" s="16">
        <v>-9999</v>
      </c>
      <c r="CG118" s="16">
        <v>-9999</v>
      </c>
      <c r="CH118" s="16">
        <v>-9999</v>
      </c>
      <c r="CI118" s="16">
        <v>-9999</v>
      </c>
      <c r="CJ118" s="16">
        <v>-9999</v>
      </c>
      <c r="CK118" s="16">
        <v>-9999</v>
      </c>
      <c r="CL118" s="16">
        <v>-9999</v>
      </c>
      <c r="CM118" s="16">
        <v>-9999</v>
      </c>
      <c r="CN118" s="16">
        <v>-9999</v>
      </c>
      <c r="CO118" s="16">
        <v>-9999</v>
      </c>
      <c r="CP118" s="16">
        <v>-9999</v>
      </c>
      <c r="CQ118" s="16">
        <v>-9999</v>
      </c>
      <c r="CR118" s="16">
        <v>-9999</v>
      </c>
      <c r="CS118" s="16">
        <v>-9999</v>
      </c>
      <c r="CT118" s="16">
        <v>-9999</v>
      </c>
      <c r="CU118" s="16">
        <v>-9999</v>
      </c>
      <c r="CV118" s="16">
        <v>-9999</v>
      </c>
      <c r="CW118" s="16">
        <v>-9999</v>
      </c>
      <c r="CX118" s="16">
        <v>-9999</v>
      </c>
      <c r="CY118" s="16">
        <v>-9999</v>
      </c>
      <c r="CZ118" s="16">
        <v>-9999</v>
      </c>
      <c r="DA118" s="16">
        <v>-9999</v>
      </c>
      <c r="DB118" s="16">
        <v>-9999</v>
      </c>
      <c r="DC118" s="16">
        <v>-9999</v>
      </c>
      <c r="DD118" s="16">
        <v>-9999</v>
      </c>
      <c r="DE118" s="16">
        <v>-9999</v>
      </c>
      <c r="DF118" s="16">
        <v>-9999</v>
      </c>
      <c r="DG118" s="16">
        <v>-9999</v>
      </c>
      <c r="DH118" s="16">
        <v>-9999</v>
      </c>
      <c r="DI118" s="16">
        <v>-9999</v>
      </c>
      <c r="DJ118" s="16">
        <v>-9999</v>
      </c>
      <c r="DK118" s="16">
        <v>-9999</v>
      </c>
      <c r="DL118" s="16">
        <v>-9999</v>
      </c>
      <c r="DM118" s="16">
        <v>-9999</v>
      </c>
      <c r="DN118" s="16">
        <v>-9999</v>
      </c>
      <c r="DO118" s="16">
        <v>-9999</v>
      </c>
      <c r="DP118" s="16">
        <v>-9999</v>
      </c>
      <c r="DQ118" s="16">
        <v>-9999</v>
      </c>
      <c r="DR118" s="16">
        <v>-9999</v>
      </c>
      <c r="DS118" s="16">
        <v>-9999</v>
      </c>
      <c r="DT118" s="16">
        <v>-9999</v>
      </c>
      <c r="DU118" s="16">
        <v>-9999</v>
      </c>
      <c r="DV118" s="16">
        <v>-9999</v>
      </c>
      <c r="DW118" s="16">
        <v>-9999</v>
      </c>
      <c r="DX118" s="16">
        <v>-9999</v>
      </c>
      <c r="DY118" s="16">
        <v>-9999</v>
      </c>
      <c r="DZ118" s="16">
        <v>-9999</v>
      </c>
      <c r="EA118" s="2197">
        <v>-9999</v>
      </c>
      <c r="EB118" s="2196">
        <v>-9999</v>
      </c>
      <c r="EC118" s="2196">
        <v>-9999</v>
      </c>
      <c r="ED118" s="2196">
        <v>-9999</v>
      </c>
      <c r="EE118" s="2196">
        <v>-9999</v>
      </c>
      <c r="EF118" s="2196">
        <v>-9999</v>
      </c>
      <c r="EG118" s="2196">
        <v>-9999</v>
      </c>
      <c r="EH118" s="2196">
        <v>-9999</v>
      </c>
      <c r="EI118" s="2196">
        <v>-9999</v>
      </c>
      <c r="EJ118" s="2196">
        <v>-9999</v>
      </c>
      <c r="EK118" s="2196">
        <v>-9999</v>
      </c>
      <c r="EL118" s="2196">
        <v>-9999</v>
      </c>
      <c r="EM118" s="2196">
        <v>-9999</v>
      </c>
    </row>
    <row r="119" spans="1:143">
      <c r="A119" s="22">
        <v>19</v>
      </c>
      <c r="B119" s="31" t="s">
        <v>2080</v>
      </c>
      <c r="C119" s="25">
        <v>-9999</v>
      </c>
      <c r="D119" s="3126">
        <f ca="1">OFFSET('Q1'!G10,0,(Last_forecast_year - 3-InputY!$G$3)*4+4)</f>
        <v>-3.4982790723917051E-2</v>
      </c>
      <c r="E119" s="3126">
        <f ca="1">OFFSET('Q1'!H10,0,(Last_forecast_year - 3-InputY!$G$3)*4+4)</f>
        <v>-1.8397552968594193</v>
      </c>
      <c r="F119" s="3126">
        <f ca="1">OFFSET('Q1'!I10,0,(Last_forecast_year - 3-InputY!$G$3)*4+4)</f>
        <v>-9.1375083574772059E-2</v>
      </c>
      <c r="G119" s="3126">
        <f ca="1">OFFSET('Q1'!J10,0,(Last_forecast_year - 3-InputY!$G$3)*4+4)</f>
        <v>-1.8988037646230984</v>
      </c>
      <c r="H119" s="3126">
        <f ca="1">OFFSET('Q1'!K10,0,(Last_forecast_year - 3-InputY!$G$3)*4+4)</f>
        <v>-1.1408173679182696</v>
      </c>
      <c r="I119" s="3126">
        <f ca="1">OFFSET('Q1'!L10,0,(Last_forecast_year - 3-InputY!$G$3)*4+4)</f>
        <v>-0.87782655901667106</v>
      </c>
      <c r="J119" s="3126">
        <f ca="1">OFFSET('Q1'!M10,0,(Last_forecast_year - 3-InputY!$G$3)*4+4)</f>
        <v>-0.78985290792442342</v>
      </c>
      <c r="K119" s="3126">
        <f ca="1">OFFSET('Q1'!N10,0,(Last_forecast_year - 3-InputY!$G$3)*4+4)</f>
        <v>-1.0063826224170245</v>
      </c>
      <c r="L119" s="3126">
        <f ca="1">OFFSET('Q1'!O10,0,(Last_forecast_year - 3-InputY!$G$3)*4+4)</f>
        <v>-0.99440241878043356</v>
      </c>
      <c r="M119" s="3126">
        <f ca="1">OFFSET('Q1'!P10,0,(Last_forecast_year - 3-InputY!$G$3)*4+4)</f>
        <v>-0.83737945049919571</v>
      </c>
      <c r="N119" s="3126">
        <f ca="1">OFFSET('Q1'!Q10,0,(Last_forecast_year - 3-InputY!$G$3)*4+4)</f>
        <v>-0.66858942834525592</v>
      </c>
      <c r="O119" s="3126">
        <f ca="1">OFFSET('Q1'!R10,0,(Last_forecast_year - 3-InputY!$G$3)*4+4)</f>
        <v>-0.51741238415788593</v>
      </c>
      <c r="P119" s="26"/>
      <c r="Q119"/>
      <c r="AA119" s="22">
        <v>19</v>
      </c>
      <c r="AB119" s="1040" t="str">
        <f t="shared" si="3"/>
        <v>QUART. VOL. CHANGE IN INVENTORIES (cols 2-13)</v>
      </c>
      <c r="AC119" s="1040">
        <f>CHOOSE(Tables!$U$2,Transfer!CA119,Transfer!CN119,Transfer!DA119,Transfer!DN119,Transfer!EA119)</f>
        <v>-9999</v>
      </c>
      <c r="AD119" s="1040">
        <f>CHOOSE(Tables!$U$2,Transfer!CB119,Transfer!CO119,Transfer!DB119,Transfer!DO119,Transfer!EB119)</f>
        <v>-9999</v>
      </c>
      <c r="AE119" s="1040">
        <f>CHOOSE(Tables!$U$2,Transfer!CC119,Transfer!CP119,Transfer!DC119,Transfer!DP119,Transfer!EC119)</f>
        <v>-9999</v>
      </c>
      <c r="AF119" s="1040">
        <f>CHOOSE(Tables!$U$2,Transfer!CD119,Transfer!CQ119,Transfer!DD119,Transfer!DQ119,Transfer!ED119)</f>
        <v>-9999</v>
      </c>
      <c r="AG119" s="1040">
        <f>CHOOSE(Tables!$U$2,Transfer!CE119,Transfer!CR119,Transfer!DE119,Transfer!DR119,Transfer!EE119)</f>
        <v>-9999</v>
      </c>
      <c r="AH119" s="1040">
        <f>CHOOSE(Tables!$U$2,Transfer!CF119,Transfer!CS119,Transfer!DF119,Transfer!DS119,Transfer!EF119)</f>
        <v>-9999</v>
      </c>
      <c r="AI119" s="1040">
        <f>CHOOSE(Tables!$U$2,Transfer!CG119,Transfer!CT119,Transfer!DG119,Transfer!DT119,Transfer!EG119)</f>
        <v>-9999</v>
      </c>
      <c r="AJ119" s="1040">
        <f>CHOOSE(Tables!$U$2,Transfer!CH119,Transfer!CU119,Transfer!DH119,Transfer!DU119,Transfer!EH119)</f>
        <v>-9999</v>
      </c>
      <c r="AK119" s="1040">
        <f>CHOOSE(Tables!$U$2,Transfer!CI119,Transfer!CV119,Transfer!DI119,Transfer!DV119,Transfer!EI119)</f>
        <v>-9999</v>
      </c>
      <c r="AL119" s="1040">
        <f>CHOOSE(Tables!$U$2,Transfer!CJ119,Transfer!CW119,Transfer!DJ119,Transfer!DW119,Transfer!EJ119)</f>
        <v>-9999</v>
      </c>
      <c r="AM119" s="1040">
        <f>CHOOSE(Tables!$U$2,Transfer!CK119,Transfer!CX119,Transfer!DK119,Transfer!DX119,Transfer!EK119)</f>
        <v>-9999</v>
      </c>
      <c r="AN119" s="1040">
        <f>CHOOSE(Tables!$U$2,Transfer!CL119,Transfer!CY119,Transfer!DL119,Transfer!DY119,Transfer!EL119)</f>
        <v>-9999</v>
      </c>
      <c r="AO119" s="1040">
        <f>CHOOSE(Tables!$U$2,Transfer!CM119,Transfer!CZ119,Transfer!DM119,Transfer!DZ119,Transfer!EM119)</f>
        <v>-9999</v>
      </c>
      <c r="AR119" s="22">
        <v>19</v>
      </c>
      <c r="AS119" s="31" t="s">
        <v>2080</v>
      </c>
      <c r="AT119" s="25">
        <f t="shared" si="2"/>
        <v>0</v>
      </c>
      <c r="AU119" s="1040">
        <f t="shared" ca="1" si="2"/>
        <v>9998.9650172092752</v>
      </c>
      <c r="AV119" s="1040">
        <f t="shared" ca="1" si="2"/>
        <v>9997.1602447031401</v>
      </c>
      <c r="AW119" s="1040">
        <f t="shared" ca="1" si="2"/>
        <v>9998.9086249164247</v>
      </c>
      <c r="AX119" s="1040">
        <f t="shared" ca="1" si="2"/>
        <v>9997.1011962353768</v>
      </c>
      <c r="AY119" s="1040">
        <f t="shared" ca="1" si="2"/>
        <v>9997.8591826320826</v>
      </c>
      <c r="AZ119" s="1040">
        <f t="shared" ca="1" si="2"/>
        <v>9998.1221734409828</v>
      </c>
      <c r="BA119" s="1040">
        <f t="shared" ca="1" si="2"/>
        <v>9998.2101470920752</v>
      </c>
      <c r="BB119" s="1040">
        <f t="shared" ca="1" si="2"/>
        <v>9997.9936173775823</v>
      </c>
      <c r="BC119" s="1040">
        <f t="shared" ca="1" si="2"/>
        <v>9998.0055975812193</v>
      </c>
      <c r="BD119" s="1040">
        <f t="shared" ca="1" si="2"/>
        <v>9998.1626205495013</v>
      </c>
      <c r="BE119" s="1040">
        <f t="shared" ca="1" si="2"/>
        <v>9998.3314105716545</v>
      </c>
      <c r="BF119" s="1040">
        <f t="shared" ca="1" si="2"/>
        <v>9998.4825876158429</v>
      </c>
      <c r="CA119" s="16">
        <v>-9999</v>
      </c>
      <c r="CB119" s="16">
        <v>-9999</v>
      </c>
      <c r="CC119" s="16">
        <v>-9999</v>
      </c>
      <c r="CD119" s="16">
        <v>-9999</v>
      </c>
      <c r="CE119" s="16">
        <v>-9999</v>
      </c>
      <c r="CF119" s="16">
        <v>-9999</v>
      </c>
      <c r="CG119" s="16">
        <v>-9999</v>
      </c>
      <c r="CH119" s="16">
        <v>-9999</v>
      </c>
      <c r="CI119" s="16">
        <v>-9999</v>
      </c>
      <c r="CJ119" s="16">
        <v>-9999</v>
      </c>
      <c r="CK119" s="16">
        <v>-9999</v>
      </c>
      <c r="CL119" s="16">
        <v>-9999</v>
      </c>
      <c r="CM119" s="16">
        <v>-9999</v>
      </c>
      <c r="CN119" s="16">
        <v>-9999</v>
      </c>
      <c r="CO119" s="16">
        <v>-9999</v>
      </c>
      <c r="CP119" s="16">
        <v>-9999</v>
      </c>
      <c r="CQ119" s="16">
        <v>-9999</v>
      </c>
      <c r="CR119" s="16">
        <v>-9999</v>
      </c>
      <c r="CS119" s="16">
        <v>-9999</v>
      </c>
      <c r="CT119" s="16">
        <v>-9999</v>
      </c>
      <c r="CU119" s="16">
        <v>-9999</v>
      </c>
      <c r="CV119" s="16">
        <v>-9999</v>
      </c>
      <c r="CW119" s="16">
        <v>-9999</v>
      </c>
      <c r="CX119" s="16">
        <v>-9999</v>
      </c>
      <c r="CY119" s="16">
        <v>-9999</v>
      </c>
      <c r="CZ119" s="16">
        <v>-9999</v>
      </c>
      <c r="DA119" s="16">
        <v>-9999</v>
      </c>
      <c r="DB119" s="16">
        <v>-9999</v>
      </c>
      <c r="DC119" s="16">
        <v>-9999</v>
      </c>
      <c r="DD119" s="16">
        <v>-9999</v>
      </c>
      <c r="DE119" s="16">
        <v>-9999</v>
      </c>
      <c r="DF119" s="16">
        <v>-9999</v>
      </c>
      <c r="DG119" s="16">
        <v>-9999</v>
      </c>
      <c r="DH119" s="16">
        <v>-9999</v>
      </c>
      <c r="DI119" s="16">
        <v>-9999</v>
      </c>
      <c r="DJ119" s="16">
        <v>-9999</v>
      </c>
      <c r="DK119" s="16">
        <v>-9999</v>
      </c>
      <c r="DL119" s="16">
        <v>-9999</v>
      </c>
      <c r="DM119" s="16">
        <v>-9999</v>
      </c>
      <c r="DN119" s="16">
        <v>-9999</v>
      </c>
      <c r="DO119" s="16">
        <v>-9999</v>
      </c>
      <c r="DP119" s="16">
        <v>-9999</v>
      </c>
      <c r="DQ119" s="16">
        <v>-9999</v>
      </c>
      <c r="DR119" s="16">
        <v>-9999</v>
      </c>
      <c r="DS119" s="16">
        <v>-9999</v>
      </c>
      <c r="DT119" s="16">
        <v>-9999</v>
      </c>
      <c r="DU119" s="16">
        <v>-9999</v>
      </c>
      <c r="DV119" s="16">
        <v>-9999</v>
      </c>
      <c r="DW119" s="16">
        <v>-9999</v>
      </c>
      <c r="DX119" s="16">
        <v>-9999</v>
      </c>
      <c r="DY119" s="16">
        <v>-9999</v>
      </c>
      <c r="DZ119" s="16">
        <v>-9999</v>
      </c>
      <c r="EA119" s="2197">
        <v>-9999</v>
      </c>
      <c r="EB119" s="2196">
        <v>-9999</v>
      </c>
      <c r="EC119" s="2196">
        <v>-9999</v>
      </c>
      <c r="ED119" s="2196">
        <v>-9999</v>
      </c>
      <c r="EE119" s="2196">
        <v>-9999</v>
      </c>
      <c r="EF119" s="2196">
        <v>-9999</v>
      </c>
      <c r="EG119" s="2196">
        <v>-9999</v>
      </c>
      <c r="EH119" s="2196">
        <v>-9999</v>
      </c>
      <c r="EI119" s="2196">
        <v>-9999</v>
      </c>
      <c r="EJ119" s="2196">
        <v>-9999</v>
      </c>
      <c r="EK119" s="2196">
        <v>-9999</v>
      </c>
      <c r="EL119" s="2196">
        <v>-9999</v>
      </c>
      <c r="EM119" s="2196">
        <v>-9999</v>
      </c>
    </row>
    <row r="120" spans="1:143">
      <c r="A120" s="22">
        <v>20</v>
      </c>
      <c r="B120" s="31" t="s">
        <v>2081</v>
      </c>
      <c r="C120" s="25">
        <v>-9999</v>
      </c>
      <c r="D120" s="3126">
        <f ca="1">OFFSET('Q1'!G11,0,(Last_forecast_year - 3-InputY!$G$3)*4+4)</f>
        <v>0.96963227363200399</v>
      </c>
      <c r="E120" s="3126">
        <f ca="1">OFFSET('Q1'!H11,0,(Last_forecast_year - 3-InputY!$G$3)*4+4)</f>
        <v>-0.78411506227766825</v>
      </c>
      <c r="F120" s="3126">
        <f ca="1">OFFSET('Q1'!I11,0,(Last_forecast_year - 3-InputY!$G$3)*4+4)</f>
        <v>2.0301694952880922</v>
      </c>
      <c r="G120" s="3126">
        <f ca="1">OFFSET('Q1'!J11,0,(Last_forecast_year - 3-InputY!$G$3)*4+4)</f>
        <v>0.52436901653614143</v>
      </c>
      <c r="H120" s="3126">
        <f ca="1">OFFSET('Q1'!K11,0,(Last_forecast_year - 3-InputY!$G$3)*4+4)</f>
        <v>0.99892643016384974</v>
      </c>
      <c r="I120" s="3126">
        <f ca="1">OFFSET('Q1'!L11,0,(Last_forecast_year - 3-InputY!$G$3)*4+4)</f>
        <v>0.99737581391350105</v>
      </c>
      <c r="J120" s="3126">
        <f ca="1">OFFSET('Q1'!M11,0,(Last_forecast_year - 3-InputY!$G$3)*4+4)</f>
        <v>0.86426948405353454</v>
      </c>
      <c r="K120" s="3126">
        <f ca="1">OFFSET('Q1'!N11,0,(Last_forecast_year - 3-InputY!$G$3)*4+4)</f>
        <v>0.59457503831887559</v>
      </c>
      <c r="L120" s="3126">
        <f ca="1">OFFSET('Q1'!O11,0,(Last_forecast_year - 3-InputY!$G$3)*4+4)</f>
        <v>0.8079110092352495</v>
      </c>
      <c r="M120" s="3126">
        <f ca="1">OFFSET('Q1'!P11,0,(Last_forecast_year - 3-InputY!$G$3)*4+4)</f>
        <v>0.93684187936210372</v>
      </c>
      <c r="N120" s="3126">
        <f ca="1">OFFSET('Q1'!Q11,0,(Last_forecast_year - 3-InputY!$G$3)*4+4)</f>
        <v>0.94052166190287134</v>
      </c>
      <c r="O120" s="3126">
        <f ca="1">OFFSET('Q1'!R11,0,(Last_forecast_year - 3-InputY!$G$3)*4+4)</f>
        <v>0.92032399104302232</v>
      </c>
      <c r="P120" s="26"/>
      <c r="Q120"/>
      <c r="AA120" s="22">
        <v>20</v>
      </c>
      <c r="AB120" s="1040" t="str">
        <f t="shared" si="3"/>
        <v>QUART. VOL. DOMESTIC DEMAND (cols 2-13)</v>
      </c>
      <c r="AC120" s="1040">
        <f>CHOOSE(Tables!$U$2,Transfer!CA120,Transfer!CN120,Transfer!DA120,Transfer!DN120,Transfer!EA120)</f>
        <v>-9999</v>
      </c>
      <c r="AD120" s="1040">
        <f>CHOOSE(Tables!$U$2,Transfer!CB120,Transfer!CO120,Transfer!DB120,Transfer!DO120,Transfer!EB120)</f>
        <v>-9999</v>
      </c>
      <c r="AE120" s="1040">
        <f>CHOOSE(Tables!$U$2,Transfer!CC120,Transfer!CP120,Transfer!DC120,Transfer!DP120,Transfer!EC120)</f>
        <v>-9999</v>
      </c>
      <c r="AF120" s="1040">
        <f>CHOOSE(Tables!$U$2,Transfer!CD120,Transfer!CQ120,Transfer!DD120,Transfer!DQ120,Transfer!ED120)</f>
        <v>-9999</v>
      </c>
      <c r="AG120" s="1040">
        <f>CHOOSE(Tables!$U$2,Transfer!CE120,Transfer!CR120,Transfer!DE120,Transfer!DR120,Transfer!EE120)</f>
        <v>-9999</v>
      </c>
      <c r="AH120" s="1040">
        <f>CHOOSE(Tables!$U$2,Transfer!CF120,Transfer!CS120,Transfer!DF120,Transfer!DS120,Transfer!EF120)</f>
        <v>-9999</v>
      </c>
      <c r="AI120" s="1040">
        <f>CHOOSE(Tables!$U$2,Transfer!CG120,Transfer!CT120,Transfer!DG120,Transfer!DT120,Transfer!EG120)</f>
        <v>-9999</v>
      </c>
      <c r="AJ120" s="1040">
        <f>CHOOSE(Tables!$U$2,Transfer!CH120,Transfer!CU120,Transfer!DH120,Transfer!DU120,Transfer!EH120)</f>
        <v>-9999</v>
      </c>
      <c r="AK120" s="1040">
        <f>CHOOSE(Tables!$U$2,Transfer!CI120,Transfer!CV120,Transfer!DI120,Transfer!DV120,Transfer!EI120)</f>
        <v>-9999</v>
      </c>
      <c r="AL120" s="1040">
        <f>CHOOSE(Tables!$U$2,Transfer!CJ120,Transfer!CW120,Transfer!DJ120,Transfer!DW120,Transfer!EJ120)</f>
        <v>-9999</v>
      </c>
      <c r="AM120" s="1040">
        <f>CHOOSE(Tables!$U$2,Transfer!CK120,Transfer!CX120,Transfer!DK120,Transfer!DX120,Transfer!EK120)</f>
        <v>-9999</v>
      </c>
      <c r="AN120" s="1040">
        <f>CHOOSE(Tables!$U$2,Transfer!CL120,Transfer!CY120,Transfer!DL120,Transfer!DY120,Transfer!EL120)</f>
        <v>-9999</v>
      </c>
      <c r="AO120" s="1040">
        <f>CHOOSE(Tables!$U$2,Transfer!CM120,Transfer!CZ120,Transfer!DM120,Transfer!DZ120,Transfer!EM120)</f>
        <v>-9999</v>
      </c>
      <c r="AR120" s="22">
        <v>20</v>
      </c>
      <c r="AS120" s="31" t="s">
        <v>2081</v>
      </c>
      <c r="AT120" s="25">
        <f t="shared" si="2"/>
        <v>0</v>
      </c>
      <c r="AU120" s="1040">
        <f t="shared" ca="1" si="2"/>
        <v>9999.9696322736327</v>
      </c>
      <c r="AV120" s="1040">
        <f t="shared" ca="1" si="2"/>
        <v>9998.2158849377229</v>
      </c>
      <c r="AW120" s="1040">
        <f t="shared" ca="1" si="2"/>
        <v>10001.030169495289</v>
      </c>
      <c r="AX120" s="1040">
        <f t="shared" ca="1" si="2"/>
        <v>9999.5243690165353</v>
      </c>
      <c r="AY120" s="1040">
        <f t="shared" ca="1" si="2"/>
        <v>9999.9989264301639</v>
      </c>
      <c r="AZ120" s="1040">
        <f t="shared" ca="1" si="2"/>
        <v>9999.9973758139131</v>
      </c>
      <c r="BA120" s="1040">
        <f t="shared" ca="1" si="2"/>
        <v>9999.8642694840528</v>
      </c>
      <c r="BB120" s="1040">
        <f t="shared" ref="BB120:BF134" ca="1" si="4">K120-AK120</f>
        <v>9999.594575038318</v>
      </c>
      <c r="BC120" s="1040">
        <f t="shared" ca="1" si="4"/>
        <v>9999.8079110092349</v>
      </c>
      <c r="BD120" s="1040">
        <f t="shared" ca="1" si="4"/>
        <v>9999.936841879362</v>
      </c>
      <c r="BE120" s="1040">
        <f t="shared" ca="1" si="4"/>
        <v>9999.9405216619034</v>
      </c>
      <c r="BF120" s="1040">
        <f t="shared" ca="1" si="4"/>
        <v>9999.9203239910439</v>
      </c>
      <c r="CA120" s="16">
        <v>-9999</v>
      </c>
      <c r="CB120" s="16">
        <v>-9999</v>
      </c>
      <c r="CC120" s="16">
        <v>-9999</v>
      </c>
      <c r="CD120" s="16">
        <v>-9999</v>
      </c>
      <c r="CE120" s="16">
        <v>-9999</v>
      </c>
      <c r="CF120" s="16">
        <v>-9999</v>
      </c>
      <c r="CG120" s="16">
        <v>-9999</v>
      </c>
      <c r="CH120" s="16">
        <v>-9999</v>
      </c>
      <c r="CI120" s="16">
        <v>-9999</v>
      </c>
      <c r="CJ120" s="16">
        <v>-9999</v>
      </c>
      <c r="CK120" s="16">
        <v>-9999</v>
      </c>
      <c r="CL120" s="16">
        <v>-9999</v>
      </c>
      <c r="CM120" s="16">
        <v>-9999</v>
      </c>
      <c r="CN120" s="16">
        <v>-9999</v>
      </c>
      <c r="CO120" s="16">
        <v>-9999</v>
      </c>
      <c r="CP120" s="16">
        <v>-9999</v>
      </c>
      <c r="CQ120" s="16">
        <v>-9999</v>
      </c>
      <c r="CR120" s="16">
        <v>-9999</v>
      </c>
      <c r="CS120" s="16">
        <v>-9999</v>
      </c>
      <c r="CT120" s="16">
        <v>-9999</v>
      </c>
      <c r="CU120" s="16">
        <v>-9999</v>
      </c>
      <c r="CV120" s="16">
        <v>-9999</v>
      </c>
      <c r="CW120" s="16">
        <v>-9999</v>
      </c>
      <c r="CX120" s="16">
        <v>-9999</v>
      </c>
      <c r="CY120" s="16">
        <v>-9999</v>
      </c>
      <c r="CZ120" s="16">
        <v>-9999</v>
      </c>
      <c r="DA120" s="16">
        <v>-9999</v>
      </c>
      <c r="DB120" s="16">
        <v>-9999</v>
      </c>
      <c r="DC120" s="16">
        <v>-9999</v>
      </c>
      <c r="DD120" s="16">
        <v>-9999</v>
      </c>
      <c r="DE120" s="16">
        <v>-9999</v>
      </c>
      <c r="DF120" s="16">
        <v>-9999</v>
      </c>
      <c r="DG120" s="16">
        <v>-9999</v>
      </c>
      <c r="DH120" s="16">
        <v>-9999</v>
      </c>
      <c r="DI120" s="16">
        <v>-9999</v>
      </c>
      <c r="DJ120" s="16">
        <v>-9999</v>
      </c>
      <c r="DK120" s="16">
        <v>-9999</v>
      </c>
      <c r="DL120" s="16">
        <v>-9999</v>
      </c>
      <c r="DM120" s="16">
        <v>-9999</v>
      </c>
      <c r="DN120" s="16">
        <v>-9999</v>
      </c>
      <c r="DO120" s="16">
        <v>-9999</v>
      </c>
      <c r="DP120" s="16">
        <v>-9999</v>
      </c>
      <c r="DQ120" s="16">
        <v>-9999</v>
      </c>
      <c r="DR120" s="16">
        <v>-9999</v>
      </c>
      <c r="DS120" s="16">
        <v>-9999</v>
      </c>
      <c r="DT120" s="16">
        <v>-9999</v>
      </c>
      <c r="DU120" s="16">
        <v>-9999</v>
      </c>
      <c r="DV120" s="16">
        <v>-9999</v>
      </c>
      <c r="DW120" s="16">
        <v>-9999</v>
      </c>
      <c r="DX120" s="16">
        <v>-9999</v>
      </c>
      <c r="DY120" s="16">
        <v>-9999</v>
      </c>
      <c r="DZ120" s="16">
        <v>-9999</v>
      </c>
      <c r="EA120" s="2197">
        <v>-9999</v>
      </c>
      <c r="EB120" s="2196">
        <v>-9999</v>
      </c>
      <c r="EC120" s="2196">
        <v>-9999</v>
      </c>
      <c r="ED120" s="2196">
        <v>-9999</v>
      </c>
      <c r="EE120" s="2196">
        <v>-9999</v>
      </c>
      <c r="EF120" s="2196">
        <v>-9999</v>
      </c>
      <c r="EG120" s="2196">
        <v>-9999</v>
      </c>
      <c r="EH120" s="2196">
        <v>-9999</v>
      </c>
      <c r="EI120" s="2196">
        <v>-9999</v>
      </c>
      <c r="EJ120" s="2196">
        <v>-9999</v>
      </c>
      <c r="EK120" s="2196">
        <v>-9999</v>
      </c>
      <c r="EL120" s="2196">
        <v>-9999</v>
      </c>
      <c r="EM120" s="2196">
        <v>-9999</v>
      </c>
    </row>
    <row r="121" spans="1:143">
      <c r="A121" s="22">
        <v>21</v>
      </c>
      <c r="B121" s="31" t="s">
        <v>2082</v>
      </c>
      <c r="C121" s="25">
        <v>-9999</v>
      </c>
      <c r="D121" s="3126">
        <f ca="1">OFFSET('Q1'!G12,0,(Last_forecast_year - 3-InputY!$G$3)*4+4)</f>
        <v>4.7914073535376023</v>
      </c>
      <c r="E121" s="3126">
        <f ca="1">OFFSET('Q1'!H12,0,(Last_forecast_year - 3-InputY!$G$3)*4+4)</f>
        <v>3.7902547745198856</v>
      </c>
      <c r="F121" s="3126">
        <f ca="1">OFFSET('Q1'!I12,0,(Last_forecast_year - 3-InputY!$G$3)*4+4)</f>
        <v>2.7967442039887436</v>
      </c>
      <c r="G121" s="3126">
        <f ca="1">OFFSET('Q1'!J12,0,(Last_forecast_year - 3-InputY!$G$3)*4+4)</f>
        <v>2.593065145601936</v>
      </c>
      <c r="H121" s="3126">
        <f ca="1">OFFSET('Q1'!K12,0,(Last_forecast_year - 3-InputY!$G$3)*4+4)</f>
        <v>0.4</v>
      </c>
      <c r="I121" s="3126">
        <f ca="1">OFFSET('Q1'!L12,0,(Last_forecast_year - 3-InputY!$G$3)*4+4)</f>
        <v>0.4</v>
      </c>
      <c r="J121" s="3126">
        <f ca="1">OFFSET('Q1'!M12,0,(Last_forecast_year - 3-InputY!$G$3)*4+4)</f>
        <v>0.55000000000000004</v>
      </c>
      <c r="K121" s="3126">
        <f ca="1">OFFSET('Q1'!N12,0,(Last_forecast_year - 3-InputY!$G$3)*4+4)</f>
        <v>0.9</v>
      </c>
      <c r="L121" s="3126">
        <f ca="1">OFFSET('Q1'!O12,0,(Last_forecast_year - 3-InputY!$G$3)*4+4)</f>
        <v>1.34</v>
      </c>
      <c r="M121" s="3126">
        <f ca="1">OFFSET('Q1'!P12,0,(Last_forecast_year - 3-InputY!$G$3)*4+4)</f>
        <v>1.3</v>
      </c>
      <c r="N121" s="3126">
        <f ca="1">OFFSET('Q1'!Q12,0,(Last_forecast_year - 3-InputY!$G$3)*4+4)</f>
        <v>1.3</v>
      </c>
      <c r="O121" s="3126">
        <f ca="1">OFFSET('Q1'!R12,0,(Last_forecast_year - 3-InputY!$G$3)*4+4)</f>
        <v>1.3</v>
      </c>
      <c r="P121" s="26"/>
      <c r="Q121"/>
      <c r="AA121" s="22">
        <v>21</v>
      </c>
      <c r="AB121" s="1040" t="str">
        <f t="shared" si="3"/>
        <v>QUART. VOL. EXPORTS G AND S (cols 2-13)</v>
      </c>
      <c r="AC121" s="1040">
        <f>CHOOSE(Tables!$U$2,Transfer!CA121,Transfer!CN121,Transfer!DA121,Transfer!DN121,Transfer!EA121)</f>
        <v>-9999</v>
      </c>
      <c r="AD121" s="1040">
        <f>CHOOSE(Tables!$U$2,Transfer!CB121,Transfer!CO121,Transfer!DB121,Transfer!DO121,Transfer!EB121)</f>
        <v>-9999</v>
      </c>
      <c r="AE121" s="1040">
        <f>CHOOSE(Tables!$U$2,Transfer!CC121,Transfer!CP121,Transfer!DC121,Transfer!DP121,Transfer!EC121)</f>
        <v>-9999</v>
      </c>
      <c r="AF121" s="1040">
        <f>CHOOSE(Tables!$U$2,Transfer!CD121,Transfer!CQ121,Transfer!DD121,Transfer!DQ121,Transfer!ED121)</f>
        <v>-9999</v>
      </c>
      <c r="AG121" s="1040">
        <f>CHOOSE(Tables!$U$2,Transfer!CE121,Transfer!CR121,Transfer!DE121,Transfer!DR121,Transfer!EE121)</f>
        <v>-9999</v>
      </c>
      <c r="AH121" s="1040">
        <f>CHOOSE(Tables!$U$2,Transfer!CF121,Transfer!CS121,Transfer!DF121,Transfer!DS121,Transfer!EF121)</f>
        <v>-9999</v>
      </c>
      <c r="AI121" s="1040">
        <f>CHOOSE(Tables!$U$2,Transfer!CG121,Transfer!CT121,Transfer!DG121,Transfer!DT121,Transfer!EG121)</f>
        <v>-9999</v>
      </c>
      <c r="AJ121" s="1040">
        <f>CHOOSE(Tables!$U$2,Transfer!CH121,Transfer!CU121,Transfer!DH121,Transfer!DU121,Transfer!EH121)</f>
        <v>-9999</v>
      </c>
      <c r="AK121" s="1040">
        <f>CHOOSE(Tables!$U$2,Transfer!CI121,Transfer!CV121,Transfer!DI121,Transfer!DV121,Transfer!EI121)</f>
        <v>-9999</v>
      </c>
      <c r="AL121" s="1040">
        <f>CHOOSE(Tables!$U$2,Transfer!CJ121,Transfer!CW121,Transfer!DJ121,Transfer!DW121,Transfer!EJ121)</f>
        <v>-9999</v>
      </c>
      <c r="AM121" s="1040">
        <f>CHOOSE(Tables!$U$2,Transfer!CK121,Transfer!CX121,Transfer!DK121,Transfer!DX121,Transfer!EK121)</f>
        <v>-9999</v>
      </c>
      <c r="AN121" s="1040">
        <f>CHOOSE(Tables!$U$2,Transfer!CL121,Transfer!CY121,Transfer!DL121,Transfer!DY121,Transfer!EL121)</f>
        <v>-9999</v>
      </c>
      <c r="AO121" s="1040">
        <f>CHOOSE(Tables!$U$2,Transfer!CM121,Transfer!CZ121,Transfer!DM121,Transfer!DZ121,Transfer!EM121)</f>
        <v>-9999</v>
      </c>
      <c r="AR121" s="22">
        <v>21</v>
      </c>
      <c r="AS121" s="31" t="s">
        <v>2082</v>
      </c>
      <c r="AT121" s="25">
        <f t="shared" ref="AT121:BF145" si="5">C121-AC121</f>
        <v>0</v>
      </c>
      <c r="AU121" s="1040">
        <f t="shared" ca="1" si="5"/>
        <v>10003.791407353538</v>
      </c>
      <c r="AV121" s="1040">
        <f t="shared" ca="1" si="5"/>
        <v>10002.79025477452</v>
      </c>
      <c r="AW121" s="1040">
        <f t="shared" ca="1" si="5"/>
        <v>10001.796744203988</v>
      </c>
      <c r="AX121" s="1040">
        <f t="shared" ca="1" si="5"/>
        <v>10001.593065145602</v>
      </c>
      <c r="AY121" s="1040">
        <f t="shared" ca="1" si="5"/>
        <v>9999.4</v>
      </c>
      <c r="AZ121" s="1040">
        <f t="shared" ca="1" si="5"/>
        <v>9999.4</v>
      </c>
      <c r="BA121" s="1040">
        <f t="shared" ca="1" si="5"/>
        <v>9999.5499999999993</v>
      </c>
      <c r="BB121" s="1040">
        <f t="shared" ca="1" si="4"/>
        <v>9999.9</v>
      </c>
      <c r="BC121" s="1040">
        <f t="shared" ca="1" si="4"/>
        <v>10000.34</v>
      </c>
      <c r="BD121" s="1040">
        <f t="shared" ca="1" si="4"/>
        <v>10000.299999999999</v>
      </c>
      <c r="BE121" s="1040">
        <f t="shared" ca="1" si="4"/>
        <v>10000.299999999999</v>
      </c>
      <c r="BF121" s="1040">
        <f t="shared" ca="1" si="4"/>
        <v>10000.299999999999</v>
      </c>
      <c r="CA121" s="16">
        <v>-9999</v>
      </c>
      <c r="CB121" s="16">
        <v>-9999</v>
      </c>
      <c r="CC121" s="16">
        <v>-9999</v>
      </c>
      <c r="CD121" s="16">
        <v>-9999</v>
      </c>
      <c r="CE121" s="16">
        <v>-9999</v>
      </c>
      <c r="CF121" s="16">
        <v>-9999</v>
      </c>
      <c r="CG121" s="16">
        <v>-9999</v>
      </c>
      <c r="CH121" s="16">
        <v>-9999</v>
      </c>
      <c r="CI121" s="16">
        <v>-9999</v>
      </c>
      <c r="CJ121" s="16">
        <v>-9999</v>
      </c>
      <c r="CK121" s="16">
        <v>-9999</v>
      </c>
      <c r="CL121" s="16">
        <v>-9999</v>
      </c>
      <c r="CM121" s="16">
        <v>-9999</v>
      </c>
      <c r="CN121" s="16">
        <v>-9999</v>
      </c>
      <c r="CO121" s="16">
        <v>-9999</v>
      </c>
      <c r="CP121" s="16">
        <v>-9999</v>
      </c>
      <c r="CQ121" s="16">
        <v>-9999</v>
      </c>
      <c r="CR121" s="16">
        <v>-9999</v>
      </c>
      <c r="CS121" s="16">
        <v>-9999</v>
      </c>
      <c r="CT121" s="16">
        <v>-9999</v>
      </c>
      <c r="CU121" s="16">
        <v>-9999</v>
      </c>
      <c r="CV121" s="16">
        <v>-9999</v>
      </c>
      <c r="CW121" s="16">
        <v>-9999</v>
      </c>
      <c r="CX121" s="16">
        <v>-9999</v>
      </c>
      <c r="CY121" s="16">
        <v>-9999</v>
      </c>
      <c r="CZ121" s="16">
        <v>-9999</v>
      </c>
      <c r="DA121" s="16">
        <v>-9999</v>
      </c>
      <c r="DB121" s="16">
        <v>-9999</v>
      </c>
      <c r="DC121" s="16">
        <v>-9999</v>
      </c>
      <c r="DD121" s="16">
        <v>-9999</v>
      </c>
      <c r="DE121" s="16">
        <v>-9999</v>
      </c>
      <c r="DF121" s="16">
        <v>-9999</v>
      </c>
      <c r="DG121" s="16">
        <v>-9999</v>
      </c>
      <c r="DH121" s="16">
        <v>-9999</v>
      </c>
      <c r="DI121" s="16">
        <v>-9999</v>
      </c>
      <c r="DJ121" s="16">
        <v>-9999</v>
      </c>
      <c r="DK121" s="16">
        <v>-9999</v>
      </c>
      <c r="DL121" s="16">
        <v>-9999</v>
      </c>
      <c r="DM121" s="16">
        <v>-9999</v>
      </c>
      <c r="DN121" s="16">
        <v>-9999</v>
      </c>
      <c r="DO121" s="16">
        <v>-9999</v>
      </c>
      <c r="DP121" s="16">
        <v>-9999</v>
      </c>
      <c r="DQ121" s="16">
        <v>-9999</v>
      </c>
      <c r="DR121" s="16">
        <v>-9999</v>
      </c>
      <c r="DS121" s="16">
        <v>-9999</v>
      </c>
      <c r="DT121" s="16">
        <v>-9999</v>
      </c>
      <c r="DU121" s="16">
        <v>-9999</v>
      </c>
      <c r="DV121" s="16">
        <v>-9999</v>
      </c>
      <c r="DW121" s="16">
        <v>-9999</v>
      </c>
      <c r="DX121" s="16">
        <v>-9999</v>
      </c>
      <c r="DY121" s="16">
        <v>-9999</v>
      </c>
      <c r="DZ121" s="16">
        <v>-9999</v>
      </c>
      <c r="EA121" s="2197">
        <v>-9999</v>
      </c>
      <c r="EB121" s="2196">
        <v>-9999</v>
      </c>
      <c r="EC121" s="2196">
        <v>-9999</v>
      </c>
      <c r="ED121" s="2196">
        <v>-9999</v>
      </c>
      <c r="EE121" s="2196">
        <v>-9999</v>
      </c>
      <c r="EF121" s="2196">
        <v>-9999</v>
      </c>
      <c r="EG121" s="2196">
        <v>-9999</v>
      </c>
      <c r="EH121" s="2196">
        <v>-9999</v>
      </c>
      <c r="EI121" s="2196">
        <v>-9999</v>
      </c>
      <c r="EJ121" s="2196">
        <v>-9999</v>
      </c>
      <c r="EK121" s="2196">
        <v>-9999</v>
      </c>
      <c r="EL121" s="2196">
        <v>-9999</v>
      </c>
      <c r="EM121" s="2196">
        <v>-9999</v>
      </c>
    </row>
    <row r="122" spans="1:143">
      <c r="A122" s="22">
        <v>22</v>
      </c>
      <c r="B122" s="31" t="s">
        <v>722</v>
      </c>
      <c r="C122" s="25">
        <v>-9999</v>
      </c>
      <c r="D122" s="3126">
        <f ca="1">OFFSET('Q1'!G13,0,(Last_forecast_year - 3-InputY!$G$3)*4+4)</f>
        <v>2.6623883444627463</v>
      </c>
      <c r="E122" s="3126">
        <f ca="1">OFFSET('Q1'!H13,0,(Last_forecast_year - 3-InputY!$G$3)*4+4)</f>
        <v>1.2840006757898377</v>
      </c>
      <c r="F122" s="3126">
        <f ca="1">OFFSET('Q1'!I13,0,(Last_forecast_year - 3-InputY!$G$3)*4+4)</f>
        <v>2.385321100917432</v>
      </c>
      <c r="G122" s="3126">
        <f ca="1">OFFSET('Q1'!J13,0,(Last_forecast_year - 3-InputY!$G$3)*4+4)</f>
        <v>1.4866405995438448</v>
      </c>
      <c r="H122" s="3126">
        <f ca="1">OFFSET('Q1'!K13,0,(Last_forecast_year - 3-InputY!$G$3)*4+4)</f>
        <v>0.7172934141349282</v>
      </c>
      <c r="I122" s="3126">
        <f ca="1">OFFSET('Q1'!L13,0,(Last_forecast_year - 3-InputY!$G$3)*4+4)</f>
        <v>0.71735688560220434</v>
      </c>
      <c r="J122" s="3126">
        <f ca="1">OFFSET('Q1'!M13,0,(Last_forecast_year - 3-InputY!$G$3)*4+4)</f>
        <v>0.71742036040082702</v>
      </c>
      <c r="K122" s="3126">
        <f ca="1">OFFSET('Q1'!N13,0,(Last_forecast_year - 3-InputY!$G$3)*4+4)</f>
        <v>0.73705413590036328</v>
      </c>
      <c r="L122" s="3126">
        <f ca="1">OFFSET('Q1'!O13,0,(Last_forecast_year - 3-InputY!$G$3)*4+4)</f>
        <v>1.0565291535579697</v>
      </c>
      <c r="M122" s="3126">
        <f ca="1">OFFSET('Q1'!P13,0,(Last_forecast_year - 3-InputY!$G$3)*4+4)</f>
        <v>1.107003192825434</v>
      </c>
      <c r="N122" s="3126">
        <f ca="1">OFFSET('Q1'!Q13,0,(Last_forecast_year - 3-InputY!$G$3)*4+4)</f>
        <v>1.1092802960500661</v>
      </c>
      <c r="O122" s="3126">
        <f ca="1">OFFSET('Q1'!R13,0,(Last_forecast_year - 3-InputY!$G$3)*4+4)</f>
        <v>1.0989007179173624</v>
      </c>
      <c r="P122" s="26"/>
      <c r="Q122"/>
      <c r="AA122" s="22">
        <v>22</v>
      </c>
      <c r="AB122" s="1040" t="str">
        <f t="shared" si="3"/>
        <v>QUART. VOL. FINAL DEMAND (cols 2-13)</v>
      </c>
      <c r="AC122" s="1040">
        <f>CHOOSE(Tables!$U$2,Transfer!CA122,Transfer!CN122,Transfer!DA122,Transfer!DN122,Transfer!EA122)</f>
        <v>-9999</v>
      </c>
      <c r="AD122" s="1040">
        <f>CHOOSE(Tables!$U$2,Transfer!CB122,Transfer!CO122,Transfer!DB122,Transfer!DO122,Transfer!EB122)</f>
        <v>-9999</v>
      </c>
      <c r="AE122" s="1040">
        <f>CHOOSE(Tables!$U$2,Transfer!CC122,Transfer!CP122,Transfer!DC122,Transfer!DP122,Transfer!EC122)</f>
        <v>-9999</v>
      </c>
      <c r="AF122" s="1040">
        <f>CHOOSE(Tables!$U$2,Transfer!CD122,Transfer!CQ122,Transfer!DD122,Transfer!DQ122,Transfer!ED122)</f>
        <v>-9999</v>
      </c>
      <c r="AG122" s="1040">
        <f>CHOOSE(Tables!$U$2,Transfer!CE122,Transfer!CR122,Transfer!DE122,Transfer!DR122,Transfer!EE122)</f>
        <v>-9999</v>
      </c>
      <c r="AH122" s="1040">
        <f>CHOOSE(Tables!$U$2,Transfer!CF122,Transfer!CS122,Transfer!DF122,Transfer!DS122,Transfer!EF122)</f>
        <v>-9999</v>
      </c>
      <c r="AI122" s="1040">
        <f>CHOOSE(Tables!$U$2,Transfer!CG122,Transfer!CT122,Transfer!DG122,Transfer!DT122,Transfer!EG122)</f>
        <v>-9999</v>
      </c>
      <c r="AJ122" s="1040">
        <f>CHOOSE(Tables!$U$2,Transfer!CH122,Transfer!CU122,Transfer!DH122,Transfer!DU122,Transfer!EH122)</f>
        <v>-9999</v>
      </c>
      <c r="AK122" s="1040">
        <f>CHOOSE(Tables!$U$2,Transfer!CI122,Transfer!CV122,Transfer!DI122,Transfer!DV122,Transfer!EI122)</f>
        <v>-9999</v>
      </c>
      <c r="AL122" s="1040">
        <f>CHOOSE(Tables!$U$2,Transfer!CJ122,Transfer!CW122,Transfer!DJ122,Transfer!DW122,Transfer!EJ122)</f>
        <v>-9999</v>
      </c>
      <c r="AM122" s="1040">
        <f>CHOOSE(Tables!$U$2,Transfer!CK122,Transfer!CX122,Transfer!DK122,Transfer!DX122,Transfer!EK122)</f>
        <v>-9999</v>
      </c>
      <c r="AN122" s="1040">
        <f>CHOOSE(Tables!$U$2,Transfer!CL122,Transfer!CY122,Transfer!DL122,Transfer!DY122,Transfer!EL122)</f>
        <v>-9999</v>
      </c>
      <c r="AO122" s="1040">
        <f>CHOOSE(Tables!$U$2,Transfer!CM122,Transfer!CZ122,Transfer!DM122,Transfer!DZ122,Transfer!EM122)</f>
        <v>-9999</v>
      </c>
      <c r="AR122" s="22">
        <v>22</v>
      </c>
      <c r="AS122" s="31" t="s">
        <v>722</v>
      </c>
      <c r="AT122" s="25">
        <f t="shared" si="5"/>
        <v>0</v>
      </c>
      <c r="AU122" s="1040">
        <f t="shared" ca="1" si="5"/>
        <v>10001.662388344463</v>
      </c>
      <c r="AV122" s="1040">
        <f t="shared" ca="1" si="5"/>
        <v>10000.284000675791</v>
      </c>
      <c r="AW122" s="1040">
        <f t="shared" ca="1" si="5"/>
        <v>10001.385321100917</v>
      </c>
      <c r="AX122" s="1040">
        <f t="shared" ca="1" si="5"/>
        <v>10000.486640599544</v>
      </c>
      <c r="AY122" s="1040">
        <f t="shared" ca="1" si="5"/>
        <v>9999.7172934141345</v>
      </c>
      <c r="AZ122" s="1040">
        <f t="shared" ca="1" si="5"/>
        <v>9999.7173568856015</v>
      </c>
      <c r="BA122" s="1040">
        <f t="shared" ca="1" si="5"/>
        <v>9999.7174203604009</v>
      </c>
      <c r="BB122" s="1040">
        <f t="shared" ca="1" si="4"/>
        <v>9999.7370541358996</v>
      </c>
      <c r="BC122" s="1040">
        <f t="shared" ca="1" si="4"/>
        <v>10000.056529153559</v>
      </c>
      <c r="BD122" s="1040">
        <f t="shared" ca="1" si="4"/>
        <v>10000.107003192825</v>
      </c>
      <c r="BE122" s="1040">
        <f t="shared" ca="1" si="4"/>
        <v>10000.10928029605</v>
      </c>
      <c r="BF122" s="1040">
        <f t="shared" ca="1" si="4"/>
        <v>10000.098900717918</v>
      </c>
      <c r="CA122" s="16">
        <v>-9999</v>
      </c>
      <c r="CB122" s="16">
        <v>-9999</v>
      </c>
      <c r="CC122" s="16">
        <v>-9999</v>
      </c>
      <c r="CD122" s="16">
        <v>-9999</v>
      </c>
      <c r="CE122" s="16">
        <v>-9999</v>
      </c>
      <c r="CF122" s="16">
        <v>-9999</v>
      </c>
      <c r="CG122" s="16">
        <v>-9999</v>
      </c>
      <c r="CH122" s="16">
        <v>-9999</v>
      </c>
      <c r="CI122" s="16">
        <v>-9999</v>
      </c>
      <c r="CJ122" s="16">
        <v>-9999</v>
      </c>
      <c r="CK122" s="16">
        <v>-9999</v>
      </c>
      <c r="CL122" s="16">
        <v>-9999</v>
      </c>
      <c r="CM122" s="16">
        <v>-9999</v>
      </c>
      <c r="CN122" s="16">
        <v>-9999</v>
      </c>
      <c r="CO122" s="16">
        <v>-9999</v>
      </c>
      <c r="CP122" s="16">
        <v>-9999</v>
      </c>
      <c r="CQ122" s="16">
        <v>-9999</v>
      </c>
      <c r="CR122" s="16">
        <v>-9999</v>
      </c>
      <c r="CS122" s="16">
        <v>-9999</v>
      </c>
      <c r="CT122" s="16">
        <v>-9999</v>
      </c>
      <c r="CU122" s="16">
        <v>-9999</v>
      </c>
      <c r="CV122" s="16">
        <v>-9999</v>
      </c>
      <c r="CW122" s="16">
        <v>-9999</v>
      </c>
      <c r="CX122" s="16">
        <v>-9999</v>
      </c>
      <c r="CY122" s="16">
        <v>-9999</v>
      </c>
      <c r="CZ122" s="16">
        <v>-9999</v>
      </c>
      <c r="DA122" s="16">
        <v>-9999</v>
      </c>
      <c r="DB122" s="16">
        <v>-9999</v>
      </c>
      <c r="DC122" s="16">
        <v>-9999</v>
      </c>
      <c r="DD122" s="16">
        <v>-9999</v>
      </c>
      <c r="DE122" s="16">
        <v>-9999</v>
      </c>
      <c r="DF122" s="16">
        <v>-9999</v>
      </c>
      <c r="DG122" s="16">
        <v>-9999</v>
      </c>
      <c r="DH122" s="16">
        <v>-9999</v>
      </c>
      <c r="DI122" s="16">
        <v>-9999</v>
      </c>
      <c r="DJ122" s="16">
        <v>-9999</v>
      </c>
      <c r="DK122" s="16">
        <v>-9999</v>
      </c>
      <c r="DL122" s="16">
        <v>-9999</v>
      </c>
      <c r="DM122" s="16">
        <v>-9999</v>
      </c>
      <c r="DN122" s="16">
        <v>-9999</v>
      </c>
      <c r="DO122" s="16">
        <v>-9999</v>
      </c>
      <c r="DP122" s="16">
        <v>-9999</v>
      </c>
      <c r="DQ122" s="16">
        <v>-9999</v>
      </c>
      <c r="DR122" s="16">
        <v>-9999</v>
      </c>
      <c r="DS122" s="16">
        <v>-9999</v>
      </c>
      <c r="DT122" s="16">
        <v>-9999</v>
      </c>
      <c r="DU122" s="16">
        <v>-9999</v>
      </c>
      <c r="DV122" s="16">
        <v>-9999</v>
      </c>
      <c r="DW122" s="16">
        <v>-9999</v>
      </c>
      <c r="DX122" s="16">
        <v>-9999</v>
      </c>
      <c r="DY122" s="16">
        <v>-9999</v>
      </c>
      <c r="DZ122" s="16">
        <v>-9999</v>
      </c>
      <c r="EA122" s="2197">
        <v>-9999</v>
      </c>
      <c r="EB122" s="2196">
        <v>-9999</v>
      </c>
      <c r="EC122" s="2196">
        <v>-9999</v>
      </c>
      <c r="ED122" s="2196">
        <v>-9999</v>
      </c>
      <c r="EE122" s="2196">
        <v>-9999</v>
      </c>
      <c r="EF122" s="2196">
        <v>-9999</v>
      </c>
      <c r="EG122" s="2196">
        <v>-9999</v>
      </c>
      <c r="EH122" s="2196">
        <v>-9999</v>
      </c>
      <c r="EI122" s="2196">
        <v>-9999</v>
      </c>
      <c r="EJ122" s="2196">
        <v>-9999</v>
      </c>
      <c r="EK122" s="2196">
        <v>-9999</v>
      </c>
      <c r="EL122" s="2196">
        <v>-9999</v>
      </c>
      <c r="EM122" s="2196">
        <v>-9999</v>
      </c>
    </row>
    <row r="123" spans="1:143">
      <c r="A123" s="22">
        <v>23</v>
      </c>
      <c r="B123" s="31" t="s">
        <v>723</v>
      </c>
      <c r="C123" s="25">
        <v>-9999</v>
      </c>
      <c r="D123" s="3126">
        <f ca="1">OFFSET('Q1'!G14,0,(Last_forecast_year - 3-InputY!$G$3)*4+4)</f>
        <v>6.1610076670317593</v>
      </c>
      <c r="E123" s="3126">
        <f ca="1">OFFSET('Q1'!H14,0,(Last_forecast_year - 3-InputY!$G$3)*4+4)</f>
        <v>2.1382512251741037</v>
      </c>
      <c r="F123" s="3126">
        <f ca="1">OFFSET('Q1'!I14,0,(Last_forecast_year - 3-InputY!$G$3)*4+4)</f>
        <v>3.3043763731407383</v>
      </c>
      <c r="G123" s="3126">
        <f ca="1">OFFSET('Q1'!J14,0,(Last_forecast_year - 3-InputY!$G$3)*4+4)</f>
        <v>2.9872272810609335</v>
      </c>
      <c r="H123" s="3126">
        <f ca="1">OFFSET('Q1'!K14,0,(Last_forecast_year - 3-InputY!$G$3)*4+4)</f>
        <v>0.8</v>
      </c>
      <c r="I123" s="3126">
        <f ca="1">OFFSET('Q1'!L14,0,(Last_forecast_year - 3-InputY!$G$3)*4+4)</f>
        <v>0.8</v>
      </c>
      <c r="J123" s="3126">
        <f ca="1">OFFSET('Q1'!M14,0,(Last_forecast_year - 3-InputY!$G$3)*4+4)</f>
        <v>0.8</v>
      </c>
      <c r="K123" s="3126">
        <f ca="1">OFFSET('Q1'!N14,0,(Last_forecast_year - 3-InputY!$G$3)*4+4)</f>
        <v>0.75</v>
      </c>
      <c r="L123" s="3126">
        <f ca="1">OFFSET('Q1'!O14,0,(Last_forecast_year - 3-InputY!$G$3)*4+4)</f>
        <v>1.5</v>
      </c>
      <c r="M123" s="3126">
        <f ca="1">OFFSET('Q1'!P14,0,(Last_forecast_year - 3-InputY!$G$3)*4+4)</f>
        <v>1.6</v>
      </c>
      <c r="N123" s="3126">
        <f ca="1">OFFSET('Q1'!Q14,0,(Last_forecast_year - 3-InputY!$G$3)*4+4)</f>
        <v>1.6</v>
      </c>
      <c r="O123" s="3126">
        <f ca="1">OFFSET('Q1'!R14,0,(Last_forecast_year - 3-InputY!$G$3)*4+4)</f>
        <v>1.6</v>
      </c>
      <c r="P123" s="26"/>
      <c r="Q123"/>
      <c r="AA123" s="22">
        <v>23</v>
      </c>
      <c r="AB123" s="1040" t="str">
        <f t="shared" si="3"/>
        <v>QUART. VOL. IMPORTS G AND S (cols 2-13)</v>
      </c>
      <c r="AC123" s="1040">
        <f>CHOOSE(Tables!$U$2,Transfer!CA123,Transfer!CN123,Transfer!DA123,Transfer!DN123,Transfer!EA123)</f>
        <v>-9999</v>
      </c>
      <c r="AD123" s="1040">
        <f>CHOOSE(Tables!$U$2,Transfer!CB123,Transfer!CO123,Transfer!DB123,Transfer!DO123,Transfer!EB123)</f>
        <v>-9999</v>
      </c>
      <c r="AE123" s="1040">
        <f>CHOOSE(Tables!$U$2,Transfer!CC123,Transfer!CP123,Transfer!DC123,Transfer!DP123,Transfer!EC123)</f>
        <v>-9999</v>
      </c>
      <c r="AF123" s="1040">
        <f>CHOOSE(Tables!$U$2,Transfer!CD123,Transfer!CQ123,Transfer!DD123,Transfer!DQ123,Transfer!ED123)</f>
        <v>-9999</v>
      </c>
      <c r="AG123" s="1040">
        <f>CHOOSE(Tables!$U$2,Transfer!CE123,Transfer!CR123,Transfer!DE123,Transfer!DR123,Transfer!EE123)</f>
        <v>-9999</v>
      </c>
      <c r="AH123" s="1040">
        <f>CHOOSE(Tables!$U$2,Transfer!CF123,Transfer!CS123,Transfer!DF123,Transfer!DS123,Transfer!EF123)</f>
        <v>-9999</v>
      </c>
      <c r="AI123" s="1040">
        <f>CHOOSE(Tables!$U$2,Transfer!CG123,Transfer!CT123,Transfer!DG123,Transfer!DT123,Transfer!EG123)</f>
        <v>-9999</v>
      </c>
      <c r="AJ123" s="1040">
        <f>CHOOSE(Tables!$U$2,Transfer!CH123,Transfer!CU123,Transfer!DH123,Transfer!DU123,Transfer!EH123)</f>
        <v>-9999</v>
      </c>
      <c r="AK123" s="1040">
        <f>CHOOSE(Tables!$U$2,Transfer!CI123,Transfer!CV123,Transfer!DI123,Transfer!DV123,Transfer!EI123)</f>
        <v>-9999</v>
      </c>
      <c r="AL123" s="1040">
        <f>CHOOSE(Tables!$U$2,Transfer!CJ123,Transfer!CW123,Transfer!DJ123,Transfer!DW123,Transfer!EJ123)</f>
        <v>-9999</v>
      </c>
      <c r="AM123" s="1040">
        <f>CHOOSE(Tables!$U$2,Transfer!CK123,Transfer!CX123,Transfer!DK123,Transfer!DX123,Transfer!EK123)</f>
        <v>-9999</v>
      </c>
      <c r="AN123" s="1040">
        <f>CHOOSE(Tables!$U$2,Transfer!CL123,Transfer!CY123,Transfer!DL123,Transfer!DY123,Transfer!EL123)</f>
        <v>-9999</v>
      </c>
      <c r="AO123" s="1040">
        <f>CHOOSE(Tables!$U$2,Transfer!CM123,Transfer!CZ123,Transfer!DM123,Transfer!DZ123,Transfer!EM123)</f>
        <v>-9999</v>
      </c>
      <c r="AR123" s="22">
        <v>23</v>
      </c>
      <c r="AS123" s="31" t="s">
        <v>723</v>
      </c>
      <c r="AT123" s="25">
        <f t="shared" si="5"/>
        <v>0</v>
      </c>
      <c r="AU123" s="1040">
        <f t="shared" ca="1" si="5"/>
        <v>10005.161007667031</v>
      </c>
      <c r="AV123" s="1040">
        <f t="shared" ca="1" si="5"/>
        <v>10001.138251225175</v>
      </c>
      <c r="AW123" s="1040">
        <f t="shared" ca="1" si="5"/>
        <v>10002.30437637314</v>
      </c>
      <c r="AX123" s="1040">
        <f t="shared" ca="1" si="5"/>
        <v>10001.987227281061</v>
      </c>
      <c r="AY123" s="1040">
        <f t="shared" ca="1" si="5"/>
        <v>9999.7999999999993</v>
      </c>
      <c r="AZ123" s="1040">
        <f t="shared" ca="1" si="5"/>
        <v>9999.7999999999993</v>
      </c>
      <c r="BA123" s="1040">
        <f t="shared" ca="1" si="5"/>
        <v>9999.7999999999993</v>
      </c>
      <c r="BB123" s="1040">
        <f t="shared" ca="1" si="4"/>
        <v>9999.75</v>
      </c>
      <c r="BC123" s="1040">
        <f t="shared" ca="1" si="4"/>
        <v>10000.5</v>
      </c>
      <c r="BD123" s="1040">
        <f t="shared" ca="1" si="4"/>
        <v>10000.6</v>
      </c>
      <c r="BE123" s="1040">
        <f t="shared" ca="1" si="4"/>
        <v>10000.6</v>
      </c>
      <c r="BF123" s="1040">
        <f t="shared" ca="1" si="4"/>
        <v>10000.6</v>
      </c>
      <c r="CA123" s="16">
        <v>-9999</v>
      </c>
      <c r="CB123" s="16">
        <v>-9999</v>
      </c>
      <c r="CC123" s="16">
        <v>-9999</v>
      </c>
      <c r="CD123" s="16">
        <v>-9999</v>
      </c>
      <c r="CE123" s="16">
        <v>-9999</v>
      </c>
      <c r="CF123" s="16">
        <v>-9999</v>
      </c>
      <c r="CG123" s="16">
        <v>-9999</v>
      </c>
      <c r="CH123" s="16">
        <v>-9999</v>
      </c>
      <c r="CI123" s="16">
        <v>-9999</v>
      </c>
      <c r="CJ123" s="16">
        <v>-9999</v>
      </c>
      <c r="CK123" s="16">
        <v>-9999</v>
      </c>
      <c r="CL123" s="16">
        <v>-9999</v>
      </c>
      <c r="CM123" s="16">
        <v>-9999</v>
      </c>
      <c r="CN123" s="16">
        <v>-9999</v>
      </c>
      <c r="CO123" s="16">
        <v>-9999</v>
      </c>
      <c r="CP123" s="16">
        <v>-9999</v>
      </c>
      <c r="CQ123" s="16">
        <v>-9999</v>
      </c>
      <c r="CR123" s="16">
        <v>-9999</v>
      </c>
      <c r="CS123" s="16">
        <v>-9999</v>
      </c>
      <c r="CT123" s="16">
        <v>-9999</v>
      </c>
      <c r="CU123" s="16">
        <v>-9999</v>
      </c>
      <c r="CV123" s="16">
        <v>-9999</v>
      </c>
      <c r="CW123" s="16">
        <v>-9999</v>
      </c>
      <c r="CX123" s="16">
        <v>-9999</v>
      </c>
      <c r="CY123" s="16">
        <v>-9999</v>
      </c>
      <c r="CZ123" s="16">
        <v>-9999</v>
      </c>
      <c r="DA123" s="16">
        <v>-9999</v>
      </c>
      <c r="DB123" s="16">
        <v>-9999</v>
      </c>
      <c r="DC123" s="16">
        <v>-9999</v>
      </c>
      <c r="DD123" s="16">
        <v>-9999</v>
      </c>
      <c r="DE123" s="16">
        <v>-9999</v>
      </c>
      <c r="DF123" s="16">
        <v>-9999</v>
      </c>
      <c r="DG123" s="16">
        <v>-9999</v>
      </c>
      <c r="DH123" s="16">
        <v>-9999</v>
      </c>
      <c r="DI123" s="16">
        <v>-9999</v>
      </c>
      <c r="DJ123" s="16">
        <v>-9999</v>
      </c>
      <c r="DK123" s="16">
        <v>-9999</v>
      </c>
      <c r="DL123" s="16">
        <v>-9999</v>
      </c>
      <c r="DM123" s="16">
        <v>-9999</v>
      </c>
      <c r="DN123" s="16">
        <v>-9999</v>
      </c>
      <c r="DO123" s="16">
        <v>-9999</v>
      </c>
      <c r="DP123" s="16">
        <v>-9999</v>
      </c>
      <c r="DQ123" s="16">
        <v>-9999</v>
      </c>
      <c r="DR123" s="16">
        <v>-9999</v>
      </c>
      <c r="DS123" s="16">
        <v>-9999</v>
      </c>
      <c r="DT123" s="16">
        <v>-9999</v>
      </c>
      <c r="DU123" s="16">
        <v>-9999</v>
      </c>
      <c r="DV123" s="16">
        <v>-9999</v>
      </c>
      <c r="DW123" s="16">
        <v>-9999</v>
      </c>
      <c r="DX123" s="16">
        <v>-9999</v>
      </c>
      <c r="DY123" s="16">
        <v>-9999</v>
      </c>
      <c r="DZ123" s="16">
        <v>-9999</v>
      </c>
      <c r="EA123" s="2197">
        <v>-9999</v>
      </c>
      <c r="EB123" s="2196">
        <v>-9999</v>
      </c>
      <c r="EC123" s="2196">
        <v>-9999</v>
      </c>
      <c r="ED123" s="2196">
        <v>-9999</v>
      </c>
      <c r="EE123" s="2196">
        <v>-9999</v>
      </c>
      <c r="EF123" s="2196">
        <v>-9999</v>
      </c>
      <c r="EG123" s="2196">
        <v>-9999</v>
      </c>
      <c r="EH123" s="2196">
        <v>-9999</v>
      </c>
      <c r="EI123" s="2196">
        <v>-9999</v>
      </c>
      <c r="EJ123" s="2196">
        <v>-9999</v>
      </c>
      <c r="EK123" s="2196">
        <v>-9999</v>
      </c>
      <c r="EL123" s="2196">
        <v>-9999</v>
      </c>
      <c r="EM123" s="2196">
        <v>-9999</v>
      </c>
    </row>
    <row r="124" spans="1:143">
      <c r="A124" s="22">
        <v>24</v>
      </c>
      <c r="B124" s="31" t="s">
        <v>761</v>
      </c>
      <c r="C124" s="25">
        <v>-9999</v>
      </c>
      <c r="D124" s="3126">
        <f ca="1">OFFSET('Q1'!G15,0,(Last_forecast_year - 3-InputY!$G$3)*4+4)</f>
        <v>1.0859769800257935</v>
      </c>
      <c r="E124" s="3126">
        <f ca="1">OFFSET('Q1'!H15,0,(Last_forecast_year - 3-InputY!$G$3)*4+4)</f>
        <v>0.71771144840040435</v>
      </c>
      <c r="F124" s="3126">
        <f ca="1">OFFSET('Q1'!I15,0,(Last_forecast_year - 3-InputY!$G$3)*4+4)</f>
        <v>0.54789302080648916</v>
      </c>
      <c r="G124" s="3126">
        <f ca="1">OFFSET('Q1'!J15,0,(Last_forecast_year - 3-InputY!$G$3)*4+4)</f>
        <v>1.3505683084466202</v>
      </c>
      <c r="H124" s="3126">
        <f ca="1">OFFSET('Q1'!K15,0,(Last_forecast_year - 3-InputY!$G$3)*4+4)</f>
        <v>0.64000000000000046</v>
      </c>
      <c r="I124" s="3126">
        <f ca="1">OFFSET('Q1'!L15,0,(Last_forecast_year - 3-InputY!$G$3)*4+4)</f>
        <v>0.64000000000000268</v>
      </c>
      <c r="J124" s="3126">
        <f ca="1">OFFSET('Q1'!M15,0,(Last_forecast_year - 3-InputY!$G$3)*4+4)</f>
        <v>0.63999999999999979</v>
      </c>
      <c r="K124" s="3126">
        <f ca="1">OFFSET('Q1'!N15,0,(Last_forecast_year - 3-InputY!$G$3)*4+4)</f>
        <v>0.72489778708730856</v>
      </c>
      <c r="L124" s="3126">
        <f ca="1">OFFSET('Q1'!O15,0,(Last_forecast_year - 3-InputY!$G$3)*4+4)</f>
        <v>0.64000000000000046</v>
      </c>
      <c r="M124" s="3126">
        <f ca="1">OFFSET('Q1'!P15,0,(Last_forecast_year - 3-InputY!$G$3)*4+4)</f>
        <v>0.64000000000000123</v>
      </c>
      <c r="N124" s="3126">
        <f ca="1">OFFSET('Q1'!Q15,0,(Last_forecast_year - 3-InputY!$G$3)*4+4)</f>
        <v>0.64000000000000123</v>
      </c>
      <c r="O124" s="3126">
        <f ca="1">OFFSET('Q1'!R15,0,(Last_forecast_year - 3-InputY!$G$3)*4+4)</f>
        <v>0.61512319845919095</v>
      </c>
      <c r="P124" s="26"/>
      <c r="Q124"/>
      <c r="AA124" s="22">
        <v>24</v>
      </c>
      <c r="AB124" s="1040" t="str">
        <f t="shared" si="3"/>
        <v>QUART. VOL. GROSS DOM. PRODUCT (cols 2-13)</v>
      </c>
      <c r="AC124" s="1040">
        <f>CHOOSE(Tables!$U$2,Transfer!CA124,Transfer!CN124,Transfer!DA124,Transfer!DN124,Transfer!EA124)</f>
        <v>-9999</v>
      </c>
      <c r="AD124" s="1040">
        <f>CHOOSE(Tables!$U$2,Transfer!CB124,Transfer!CO124,Transfer!DB124,Transfer!DO124,Transfer!EB124)</f>
        <v>1.3274296767201044</v>
      </c>
      <c r="AE124" s="1040">
        <f>CHOOSE(Tables!$U$2,Transfer!CC124,Transfer!CP124,Transfer!DC124,Transfer!DP124,Transfer!EC124)</f>
        <v>0.65827731385639243</v>
      </c>
      <c r="AF124" s="1040">
        <f>CHOOSE(Tables!$U$2,Transfer!CD124,Transfer!CQ124,Transfer!DD124,Transfer!DQ124,Transfer!ED124)</f>
        <v>0.55097498174093107</v>
      </c>
      <c r="AG124" s="1040">
        <f>CHOOSE(Tables!$U$2,Transfer!CE124,Transfer!CR124,Transfer!DE124,Transfer!DR124,Transfer!EE124)</f>
        <v>0.65245996286750474</v>
      </c>
      <c r="AH124" s="1040">
        <f>CHOOSE(Tables!$U$2,Transfer!CF124,Transfer!CS124,Transfer!DF124,Transfer!DS124,Transfer!EF124)</f>
        <v>0.9048774582723097</v>
      </c>
      <c r="AI124" s="1040">
        <f>CHOOSE(Tables!$U$2,Transfer!CG124,Transfer!CT124,Transfer!DG124,Transfer!DT124,Transfer!EG124)</f>
        <v>1.0254289488434061</v>
      </c>
      <c r="AJ124" s="1040">
        <f>CHOOSE(Tables!$U$2,Transfer!CH124,Transfer!CU124,Transfer!DH124,Transfer!DU124,Transfer!EH124)</f>
        <v>1.0384112999085053</v>
      </c>
      <c r="AK124" s="1040">
        <f>CHOOSE(Tables!$U$2,Transfer!CI124,Transfer!CV124,Transfer!DI124,Transfer!DV124,Transfer!EI124)</f>
        <v>1.0282209125557213</v>
      </c>
      <c r="AL124" s="1040">
        <f>CHOOSE(Tables!$U$2,Transfer!CJ124,Transfer!CW124,Transfer!DJ124,Transfer!DW124,Transfer!EJ124)</f>
        <v>0.85916693003306777</v>
      </c>
      <c r="AM124" s="1040">
        <f>CHOOSE(Tables!$U$2,Transfer!CK124,Transfer!CX124,Transfer!DK124,Transfer!DX124,Transfer!EK124)</f>
        <v>0.85487385952160422</v>
      </c>
      <c r="AN124" s="1040">
        <f>CHOOSE(Tables!$U$2,Transfer!CL124,Transfer!CY124,Transfer!DL124,Transfer!DY124,Transfer!EL124)</f>
        <v>0.90795138538825038</v>
      </c>
      <c r="AO124" s="1040">
        <f>CHOOSE(Tables!$U$2,Transfer!CM124,Transfer!CZ124,Transfer!DM124,Transfer!DZ124,Transfer!EM124)</f>
        <v>0.86473203465440174</v>
      </c>
      <c r="AR124" s="22">
        <v>24</v>
      </c>
      <c r="AS124" s="31" t="s">
        <v>761</v>
      </c>
      <c r="AT124" s="25">
        <f t="shared" si="5"/>
        <v>0</v>
      </c>
      <c r="AU124" s="1040">
        <f t="shared" ca="1" si="5"/>
        <v>-0.24145269669431091</v>
      </c>
      <c r="AV124" s="1040">
        <f t="shared" ca="1" si="5"/>
        <v>5.9434134544011918E-2</v>
      </c>
      <c r="AW124" s="1040">
        <f t="shared" ca="1" si="5"/>
        <v>-3.0819609344419074E-3</v>
      </c>
      <c r="AX124" s="1040">
        <f t="shared" ca="1" si="5"/>
        <v>0.6981083455791155</v>
      </c>
      <c r="AY124" s="1040">
        <f t="shared" ca="1" si="5"/>
        <v>-0.26487745827230924</v>
      </c>
      <c r="AZ124" s="1040">
        <f t="shared" ca="1" si="5"/>
        <v>-0.3854289488434034</v>
      </c>
      <c r="BA124" s="1040">
        <f t="shared" ca="1" si="5"/>
        <v>-0.39841129990850555</v>
      </c>
      <c r="BB124" s="1040">
        <f t="shared" ca="1" si="4"/>
        <v>-0.30332312546841278</v>
      </c>
      <c r="BC124" s="1040">
        <f t="shared" ca="1" si="4"/>
        <v>-0.21916693003306731</v>
      </c>
      <c r="BD124" s="1040">
        <f t="shared" ca="1" si="4"/>
        <v>-0.21487385952160298</v>
      </c>
      <c r="BE124" s="1040">
        <f t="shared" ca="1" si="4"/>
        <v>-0.26795138538824914</v>
      </c>
      <c r="BF124" s="1040">
        <f t="shared" ca="1" si="4"/>
        <v>-0.24960883619521079</v>
      </c>
      <c r="CA124" s="16">
        <v>-9999</v>
      </c>
      <c r="CB124" s="16">
        <v>0.73809235244213234</v>
      </c>
      <c r="CC124" s="16">
        <v>0.40423970452001523</v>
      </c>
      <c r="CD124" s="16">
        <v>0.33949700346331568</v>
      </c>
      <c r="CE124" s="16">
        <v>0.59299820546671844</v>
      </c>
      <c r="CF124" s="16">
        <v>0.90209415980541363</v>
      </c>
      <c r="CG124" s="16">
        <v>0.97994940127625696</v>
      </c>
      <c r="CH124" s="16">
        <v>0.81905243830568286</v>
      </c>
      <c r="CI124" s="16">
        <v>0.89491973822490667</v>
      </c>
      <c r="CJ124" s="16">
        <v>0.84892698128252098</v>
      </c>
      <c r="CK124" s="16">
        <v>0.86680642263061569</v>
      </c>
      <c r="CL124" s="16">
        <v>0.77068560262208052</v>
      </c>
      <c r="CM124" s="16">
        <v>0.79007982869892779</v>
      </c>
      <c r="CN124" s="16">
        <v>-9999</v>
      </c>
      <c r="CO124" s="16">
        <v>0.52535715613268863</v>
      </c>
      <c r="CP124" s="16">
        <v>0.82582490046958501</v>
      </c>
      <c r="CQ124" s="16">
        <v>0.53055586117529696</v>
      </c>
      <c r="CR124" s="16">
        <v>-0.83064143977848215</v>
      </c>
      <c r="CS124" s="16">
        <v>4.2307897218544275</v>
      </c>
      <c r="CT124" s="16">
        <v>0.72706860187469691</v>
      </c>
      <c r="CU124" s="16">
        <v>0.85446119317478464</v>
      </c>
      <c r="CV124" s="16">
        <v>0.87466932282965937</v>
      </c>
      <c r="CW124" s="16">
        <v>0.82719223359040728</v>
      </c>
      <c r="CX124" s="16">
        <v>0.81966969196670647</v>
      </c>
      <c r="CY124" s="16">
        <v>0.86179906740096468</v>
      </c>
      <c r="CZ124" s="16">
        <v>0.42856241496656661</v>
      </c>
      <c r="DA124" s="16">
        <v>-9999</v>
      </c>
      <c r="DB124" s="16">
        <v>0.1727092761096769</v>
      </c>
      <c r="DC124" s="16">
        <v>2.089117813176312</v>
      </c>
      <c r="DD124" s="16">
        <v>2.0524122697649956</v>
      </c>
      <c r="DE124" s="16">
        <v>1.8264628861644636</v>
      </c>
      <c r="DF124" s="16">
        <v>0.82338739836205421</v>
      </c>
      <c r="DG124" s="16">
        <v>0.55613654818367153</v>
      </c>
      <c r="DH124" s="16">
        <v>0.42257009836839071</v>
      </c>
      <c r="DI124" s="16">
        <v>0.20034361780776333</v>
      </c>
      <c r="DJ124" s="16">
        <v>-0.10513573825334668</v>
      </c>
      <c r="DK124" s="16">
        <v>-0.25324136824279581</v>
      </c>
      <c r="DL124" s="16">
        <v>-0.52407959037063201</v>
      </c>
      <c r="DM124" s="16">
        <v>-0.747665711997617</v>
      </c>
      <c r="DN124" s="16">
        <v>-9999</v>
      </c>
      <c r="DO124" s="16">
        <v>0.52535715613268863</v>
      </c>
      <c r="DP124" s="16">
        <v>0.82582490046958501</v>
      </c>
      <c r="DQ124" s="16">
        <v>0.53055586117529696</v>
      </c>
      <c r="DR124" s="16">
        <v>0.63598224600229791</v>
      </c>
      <c r="DS124" s="16">
        <v>5.3499972469528742E-2</v>
      </c>
      <c r="DT124" s="16">
        <v>0.84682781953798336</v>
      </c>
      <c r="DU124" s="16">
        <v>1.7002150633546809</v>
      </c>
      <c r="DV124" s="16">
        <v>1.880200983655232</v>
      </c>
      <c r="DW124" s="16">
        <v>0.36635356848135592</v>
      </c>
      <c r="DX124" s="16">
        <v>0.38010552205704323</v>
      </c>
      <c r="DY124" s="16">
        <v>0.46808635777084828</v>
      </c>
      <c r="DZ124" s="16">
        <v>0.47703057190630277</v>
      </c>
      <c r="EA124" s="2197">
        <v>-9999</v>
      </c>
      <c r="EB124" s="2196">
        <v>1.3274296767201044</v>
      </c>
      <c r="EC124" s="2196">
        <v>0.65827731385639243</v>
      </c>
      <c r="ED124" s="2196">
        <v>0.55097498174093107</v>
      </c>
      <c r="EE124" s="2196">
        <v>0.65245996286750474</v>
      </c>
      <c r="EF124" s="2196">
        <v>0.9048774582723097</v>
      </c>
      <c r="EG124" s="2196">
        <v>1.0254289488434061</v>
      </c>
      <c r="EH124" s="2196">
        <v>1.0384112999085053</v>
      </c>
      <c r="EI124" s="2196">
        <v>1.0282209125557213</v>
      </c>
      <c r="EJ124" s="2196">
        <v>0.85916693003306777</v>
      </c>
      <c r="EK124" s="2196">
        <v>0.85487385952160422</v>
      </c>
      <c r="EL124" s="2196">
        <v>0.90795138538825038</v>
      </c>
      <c r="EM124" s="2196">
        <v>0.86473203465440174</v>
      </c>
    </row>
    <row r="125" spans="1:143">
      <c r="A125" s="22">
        <v>25</v>
      </c>
      <c r="B125" s="16" t="s">
        <v>1853</v>
      </c>
      <c r="C125" s="25">
        <v>-9999</v>
      </c>
      <c r="D125" s="3126">
        <f ca="1">OFFSET('Q1'!G317,0,(Last_forecast_year - 3-InputY!$G$3)*4+4)</f>
        <v>2.9554663441353313</v>
      </c>
      <c r="E125" s="3126">
        <f ca="1">OFFSET('Q1'!H317,0,(Last_forecast_year - 3-InputY!$G$3)*4+4)</f>
        <v>3.4071082454399431</v>
      </c>
      <c r="F125" s="3126">
        <f ca="1">OFFSET('Q1'!I317,0,(Last_forecast_year - 3-InputY!$G$3)*4+4)</f>
        <v>4.4491285396125306</v>
      </c>
      <c r="G125" s="3126">
        <f ca="1">OFFSET('Q1'!J317,0,(Last_forecast_year - 3-InputY!$G$3)*4+4)</f>
        <v>4.0591318491850217</v>
      </c>
      <c r="H125" s="3126">
        <f ca="1">OFFSET('Q1'!K317,0,(Last_forecast_year - 3-InputY!$G$3)*4+4)</f>
        <v>3.2003427940795461</v>
      </c>
      <c r="I125" s="3126">
        <f ca="1">OFFSET('Q1'!L317,0,(Last_forecast_year - 3-InputY!$G$3)*4+4)</f>
        <v>2.7000996405354982</v>
      </c>
      <c r="J125" s="3126">
        <f ca="1">OFFSET('Q1'!M317,0,(Last_forecast_year - 3-InputY!$G$3)*4+4)</f>
        <v>2.6728413706528471</v>
      </c>
      <c r="K125" s="3126">
        <f ca="1">OFFSET('Q1'!N317,0,(Last_forecast_year - 3-InputY!$G$3)*4+4)</f>
        <v>2.6731374763846674</v>
      </c>
      <c r="L125" s="3126">
        <f ca="1">OFFSET('Q1'!O317,0,(Last_forecast_year - 3-InputY!$G$3)*4+4)</f>
        <v>2.7085884536913909</v>
      </c>
      <c r="M125" s="3126">
        <f ca="1">OFFSET('Q1'!P317,0,(Last_forecast_year - 3-InputY!$G$3)*4+4)</f>
        <v>2.5208338919720461</v>
      </c>
      <c r="N125" s="3126">
        <f ca="1">OFFSET('Q1'!Q317,0,(Last_forecast_year - 3-InputY!$G$3)*4+4)</f>
        <v>2.2255013487630464</v>
      </c>
      <c r="O125" s="3126">
        <f ca="1">OFFSET('Q1'!R317,0,(Last_forecast_year - 3-InputY!$G$3)*4+4)</f>
        <v>1.939395359138814</v>
      </c>
      <c r="P125" s="26"/>
      <c r="Q125"/>
      <c r="AA125" s="22">
        <v>25</v>
      </c>
      <c r="AB125" s="1040" t="str">
        <f t="shared" si="3"/>
        <v>QUART. HICP (cols 2-13)</v>
      </c>
      <c r="AC125" s="1040">
        <f>CHOOSE(Tables!$U$2,Transfer!CA125,Transfer!CN125,Transfer!DA125,Transfer!DN125,Transfer!EA125)</f>
        <v>-9999</v>
      </c>
      <c r="AD125" s="1040">
        <f>CHOOSE(Tables!$U$2,Transfer!CB125,Transfer!CO125,Transfer!DB125,Transfer!DO125,Transfer!EB125)</f>
        <v>2.2134737160631772</v>
      </c>
      <c r="AE125" s="1040">
        <f>CHOOSE(Tables!$U$2,Transfer!CC125,Transfer!CP125,Transfer!DC125,Transfer!DP125,Transfer!EC125)</f>
        <v>1.39533830231791</v>
      </c>
      <c r="AF125" s="1040">
        <f>CHOOSE(Tables!$U$2,Transfer!CD125,Transfer!CQ125,Transfer!DD125,Transfer!DQ125,Transfer!ED125)</f>
        <v>0.49804025579864231</v>
      </c>
      <c r="AG125" s="1040">
        <f>CHOOSE(Tables!$U$2,Transfer!CE125,Transfer!CR125,Transfer!DE125,Transfer!DR125,Transfer!EE125)</f>
        <v>1.4179761867012246</v>
      </c>
      <c r="AH125" s="1040">
        <f>CHOOSE(Tables!$U$2,Transfer!CF125,Transfer!CS125,Transfer!DF125,Transfer!DS125,Transfer!EF125)</f>
        <v>1.9671138069317493</v>
      </c>
      <c r="AI125" s="1040">
        <f>CHOOSE(Tables!$U$2,Transfer!CG125,Transfer!CT125,Transfer!DG125,Transfer!DT125,Transfer!EG125)</f>
        <v>1.9129540310224797</v>
      </c>
      <c r="AJ125" s="1040">
        <f>CHOOSE(Tables!$U$2,Transfer!CH125,Transfer!CU125,Transfer!DH125,Transfer!DU125,Transfer!EH125)</f>
        <v>2.2710103148114484</v>
      </c>
      <c r="AK125" s="1040">
        <f>CHOOSE(Tables!$U$2,Transfer!CI125,Transfer!CV125,Transfer!DI125,Transfer!DV125,Transfer!EI125)</f>
        <v>1.5486865442106108</v>
      </c>
      <c r="AL125" s="1040">
        <f>CHOOSE(Tables!$U$2,Transfer!CJ125,Transfer!CW125,Transfer!DJ125,Transfer!DW125,Transfer!EJ125)</f>
        <v>2.0402918476092395</v>
      </c>
      <c r="AM125" s="1040">
        <f>CHOOSE(Tables!$U$2,Transfer!CK125,Transfer!CX125,Transfer!DK125,Transfer!DX125,Transfer!EK125)</f>
        <v>2.2687971222933783</v>
      </c>
      <c r="AN125" s="1040">
        <f>CHOOSE(Tables!$U$2,Transfer!CL125,Transfer!CY125,Transfer!DL125,Transfer!DY125,Transfer!EL125)</f>
        <v>2.5171582254108102</v>
      </c>
      <c r="AO125" s="1040">
        <f>CHOOSE(Tables!$U$2,Transfer!CM125,Transfer!CZ125,Transfer!DM125,Transfer!DZ125,Transfer!EM125)</f>
        <v>2.640625269942646</v>
      </c>
      <c r="AR125" s="22">
        <v>25</v>
      </c>
      <c r="AS125" s="16" t="s">
        <v>1853</v>
      </c>
      <c r="AT125" s="25">
        <f t="shared" si="5"/>
        <v>0</v>
      </c>
      <c r="AU125" s="1040">
        <f t="shared" ca="1" si="5"/>
        <v>0.74199262807215405</v>
      </c>
      <c r="AV125" s="1040">
        <f t="shared" ca="1" si="5"/>
        <v>2.0117699431220331</v>
      </c>
      <c r="AW125" s="1040">
        <f t="shared" ca="1" si="5"/>
        <v>3.9510882838138883</v>
      </c>
      <c r="AX125" s="1040">
        <f t="shared" ca="1" si="5"/>
        <v>2.6411556624837971</v>
      </c>
      <c r="AY125" s="1040">
        <f t="shared" ca="1" si="5"/>
        <v>1.2332289871477968</v>
      </c>
      <c r="AZ125" s="1040">
        <f t="shared" ca="1" si="5"/>
        <v>0.78714560951301848</v>
      </c>
      <c r="BA125" s="1040">
        <f t="shared" ca="1" si="5"/>
        <v>0.40183105584139867</v>
      </c>
      <c r="BB125" s="1040">
        <f t="shared" ca="1" si="4"/>
        <v>1.1244509321740566</v>
      </c>
      <c r="BC125" s="1040">
        <f t="shared" ca="1" si="4"/>
        <v>0.66829660608215136</v>
      </c>
      <c r="BD125" s="1040">
        <f t="shared" ca="1" si="4"/>
        <v>0.25203676967866784</v>
      </c>
      <c r="BE125" s="1040">
        <f t="shared" ca="1" si="4"/>
        <v>-0.29165687664776385</v>
      </c>
      <c r="BF125" s="1040">
        <f t="shared" ca="1" si="4"/>
        <v>-0.70122991080383201</v>
      </c>
      <c r="CA125" s="16">
        <v>-9999</v>
      </c>
      <c r="CB125" s="16">
        <v>-1.3311545375982519</v>
      </c>
      <c r="CC125" s="16">
        <v>-0.31460660266289153</v>
      </c>
      <c r="CD125" s="16">
        <v>-0.8800967408956808</v>
      </c>
      <c r="CE125" s="16">
        <v>-0.82293600000001277</v>
      </c>
      <c r="CF125" s="16">
        <v>0.11208240905527589</v>
      </c>
      <c r="CG125" s="16">
        <v>0.89217693440126311</v>
      </c>
      <c r="CH125" s="16">
        <v>0.99534203608790506</v>
      </c>
      <c r="CI125" s="16">
        <v>1.1230359999999848</v>
      </c>
      <c r="CJ125" s="16">
        <v>1.7332528915916043</v>
      </c>
      <c r="CK125" s="16">
        <v>2.047945948784033</v>
      </c>
      <c r="CL125" s="16">
        <v>2.3639903325679086</v>
      </c>
      <c r="CM125" s="16">
        <v>2.6466150000000113</v>
      </c>
      <c r="CN125" s="16">
        <v>-9999</v>
      </c>
      <c r="CO125" s="16">
        <v>0.30681302814632261</v>
      </c>
      <c r="CP125" s="16">
        <v>0.21254853824754605</v>
      </c>
      <c r="CQ125" s="16">
        <v>0.2396072687970161</v>
      </c>
      <c r="CR125" s="16">
        <v>0.17098698776030119</v>
      </c>
      <c r="CS125" s="16">
        <v>-1.6124507826172589</v>
      </c>
      <c r="CT125" s="16">
        <v>-1.4970452400515484</v>
      </c>
      <c r="CU125" s="16">
        <v>-0.29492794547681456</v>
      </c>
      <c r="CV125" s="16">
        <v>0.44352413674629076</v>
      </c>
      <c r="CW125" s="16">
        <v>2.4377844223446061</v>
      </c>
      <c r="CX125" s="16">
        <v>2.329253619191519</v>
      </c>
      <c r="CY125" s="16">
        <v>1.4163462955581849</v>
      </c>
      <c r="CZ125" s="16">
        <v>0.96514881286789489</v>
      </c>
      <c r="DA125" s="16">
        <v>-9999</v>
      </c>
      <c r="DB125" s="16">
        <v>-1.3311545375982519</v>
      </c>
      <c r="DC125" s="16">
        <v>-0.80942240873278593</v>
      </c>
      <c r="DD125" s="16">
        <v>0.14194454198536732</v>
      </c>
      <c r="DE125" s="16">
        <v>0.52555348437270766</v>
      </c>
      <c r="DF125" s="16">
        <v>1.8763925829364183</v>
      </c>
      <c r="DG125" s="16">
        <v>1.5345131918145682</v>
      </c>
      <c r="DH125" s="16">
        <v>1.7903664346300872</v>
      </c>
      <c r="DI125" s="16">
        <v>1.7617964446503294</v>
      </c>
      <c r="DJ125" s="16">
        <v>1.7130935427649234</v>
      </c>
      <c r="DK125" s="16">
        <v>1.7032199573662439</v>
      </c>
      <c r="DL125" s="16">
        <v>1.6961972955199371</v>
      </c>
      <c r="DM125" s="16">
        <v>1.6856473319554368</v>
      </c>
      <c r="DN125" s="16">
        <v>-9999</v>
      </c>
      <c r="DO125" s="16">
        <v>0.30681302814632261</v>
      </c>
      <c r="DP125" s="16">
        <v>0.21254853824754605</v>
      </c>
      <c r="DQ125" s="16">
        <v>0.2396072687970161</v>
      </c>
      <c r="DR125" s="16">
        <v>0.17098698776030119</v>
      </c>
      <c r="DS125" s="16">
        <v>-1.538646864503022</v>
      </c>
      <c r="DT125" s="16">
        <v>-1.2272264791177179</v>
      </c>
      <c r="DU125" s="16">
        <v>0.19980205711679844</v>
      </c>
      <c r="DV125" s="16">
        <v>0.97842638308993912</v>
      </c>
      <c r="DW125" s="16">
        <v>2.4773739090308595</v>
      </c>
      <c r="DX125" s="16">
        <v>1.9061773838810865</v>
      </c>
      <c r="DY125" s="16">
        <v>1.6396830367627331</v>
      </c>
      <c r="DZ125" s="16">
        <v>1.214623051697572</v>
      </c>
      <c r="EA125" s="2197">
        <v>-9999</v>
      </c>
      <c r="EB125" s="2196">
        <v>2.2134737160631772</v>
      </c>
      <c r="EC125" s="2196">
        <v>1.39533830231791</v>
      </c>
      <c r="ED125" s="2196">
        <v>0.49804025579864231</v>
      </c>
      <c r="EE125" s="2196">
        <v>1.4179761867012246</v>
      </c>
      <c r="EF125" s="2196">
        <v>1.9671138069317493</v>
      </c>
      <c r="EG125" s="2196">
        <v>1.9129540310224797</v>
      </c>
      <c r="EH125" s="2196">
        <v>2.2710103148114484</v>
      </c>
      <c r="EI125" s="2196">
        <v>1.5486865442106108</v>
      </c>
      <c r="EJ125" s="2196">
        <v>2.0402918476092395</v>
      </c>
      <c r="EK125" s="2196">
        <v>2.2687971222933783</v>
      </c>
      <c r="EL125" s="2196">
        <v>2.5171582254108102</v>
      </c>
      <c r="EM125" s="2196">
        <v>2.640625269942646</v>
      </c>
    </row>
    <row r="126" spans="1:143">
      <c r="A126" s="22">
        <v>26</v>
      </c>
      <c r="B126" s="30" t="s">
        <v>1705</v>
      </c>
      <c r="C126" s="25">
        <v>-9999</v>
      </c>
      <c r="D126" s="25">
        <v>-9999</v>
      </c>
      <c r="E126" s="25">
        <v>-9999</v>
      </c>
      <c r="F126" s="25">
        <v>-9999</v>
      </c>
      <c r="G126" s="25">
        <v>-9999</v>
      </c>
      <c r="H126" s="25">
        <v>-9999</v>
      </c>
      <c r="I126" s="25">
        <v>-9999</v>
      </c>
      <c r="J126" s="25">
        <v>-9999</v>
      </c>
      <c r="K126" s="25">
        <v>-9999</v>
      </c>
      <c r="L126" s="25">
        <v>-9999</v>
      </c>
      <c r="M126" s="25">
        <v>-9999</v>
      </c>
      <c r="N126" s="25">
        <v>-9999</v>
      </c>
      <c r="O126" s="25">
        <v>-9999</v>
      </c>
      <c r="P126" s="26"/>
      <c r="Q126"/>
      <c r="AA126" s="22">
        <v>26</v>
      </c>
      <c r="AB126" s="1040" t="str">
        <f t="shared" si="3"/>
        <v>FOR FUTURE USE</v>
      </c>
      <c r="AC126" s="1040">
        <f>CHOOSE(Tables!$U$2,Transfer!CA126,Transfer!CN126,Transfer!DA126,Transfer!DN126,Transfer!EA126)</f>
        <v>-9999</v>
      </c>
      <c r="AD126" s="1040">
        <f>CHOOSE(Tables!$U$2,Transfer!CB126,Transfer!CO126,Transfer!DB126,Transfer!DO126,Transfer!EB126)</f>
        <v>-9999</v>
      </c>
      <c r="AE126" s="1040">
        <f>CHOOSE(Tables!$U$2,Transfer!CC126,Transfer!CP126,Transfer!DC126,Transfer!DP126,Transfer!EC126)</f>
        <v>-9999</v>
      </c>
      <c r="AF126" s="1040">
        <f>CHOOSE(Tables!$U$2,Transfer!CD126,Transfer!CQ126,Transfer!DD126,Transfer!DQ126,Transfer!ED126)</f>
        <v>-9999</v>
      </c>
      <c r="AG126" s="1040">
        <f>CHOOSE(Tables!$U$2,Transfer!CE126,Transfer!CR126,Transfer!DE126,Transfer!DR126,Transfer!EE126)</f>
        <v>-9999</v>
      </c>
      <c r="AH126" s="1040">
        <f>CHOOSE(Tables!$U$2,Transfer!CF126,Transfer!CS126,Transfer!DF126,Transfer!DS126,Transfer!EF126)</f>
        <v>-9999</v>
      </c>
      <c r="AI126" s="1040">
        <f>CHOOSE(Tables!$U$2,Transfer!CG126,Transfer!CT126,Transfer!DG126,Transfer!DT126,Transfer!EG126)</f>
        <v>-9999</v>
      </c>
      <c r="AJ126" s="1040">
        <f>CHOOSE(Tables!$U$2,Transfer!CH126,Transfer!CU126,Transfer!DH126,Transfer!DU126,Transfer!EH126)</f>
        <v>-9999</v>
      </c>
      <c r="AK126" s="1040">
        <f>CHOOSE(Tables!$U$2,Transfer!CI126,Transfer!CV126,Transfer!DI126,Transfer!DV126,Transfer!EI126)</f>
        <v>-9999</v>
      </c>
      <c r="AL126" s="1040">
        <f>CHOOSE(Tables!$U$2,Transfer!CJ126,Transfer!CW126,Transfer!DJ126,Transfer!DW126,Transfer!EJ126)</f>
        <v>-9999</v>
      </c>
      <c r="AM126" s="1040">
        <f>CHOOSE(Tables!$U$2,Transfer!CK126,Transfer!CX126,Transfer!DK126,Transfer!DX126,Transfer!EK126)</f>
        <v>-9999</v>
      </c>
      <c r="AN126" s="1040">
        <f>CHOOSE(Tables!$U$2,Transfer!CL126,Transfer!CY126,Transfer!DL126,Transfer!DY126,Transfer!EL126)</f>
        <v>-9999</v>
      </c>
      <c r="AO126" s="1040">
        <f>CHOOSE(Tables!$U$2,Transfer!CM126,Transfer!CZ126,Transfer!DM126,Transfer!DZ126,Transfer!EM126)</f>
        <v>-9999</v>
      </c>
      <c r="AR126" s="22">
        <v>26</v>
      </c>
      <c r="AS126" s="30" t="s">
        <v>1705</v>
      </c>
      <c r="AT126" s="25">
        <f t="shared" si="5"/>
        <v>0</v>
      </c>
      <c r="AU126" s="25">
        <f t="shared" si="5"/>
        <v>0</v>
      </c>
      <c r="AV126" s="25">
        <f t="shared" si="5"/>
        <v>0</v>
      </c>
      <c r="AW126" s="25">
        <f t="shared" si="5"/>
        <v>0</v>
      </c>
      <c r="AX126" s="25">
        <f t="shared" si="5"/>
        <v>0</v>
      </c>
      <c r="AY126" s="25">
        <f t="shared" si="5"/>
        <v>0</v>
      </c>
      <c r="AZ126" s="25">
        <f t="shared" si="5"/>
        <v>0</v>
      </c>
      <c r="BA126" s="25">
        <f t="shared" si="5"/>
        <v>0</v>
      </c>
      <c r="BB126" s="25">
        <f t="shared" si="4"/>
        <v>0</v>
      </c>
      <c r="BC126" s="25">
        <f t="shared" si="4"/>
        <v>0</v>
      </c>
      <c r="BD126" s="25">
        <f t="shared" si="4"/>
        <v>0</v>
      </c>
      <c r="BE126" s="25">
        <f t="shared" si="4"/>
        <v>0</v>
      </c>
      <c r="BF126" s="25">
        <f t="shared" si="4"/>
        <v>0</v>
      </c>
      <c r="CA126" s="16">
        <v>-9999</v>
      </c>
      <c r="CB126" s="16">
        <v>-9999</v>
      </c>
      <c r="CC126" s="16">
        <v>-9999</v>
      </c>
      <c r="CD126" s="16">
        <v>-9999</v>
      </c>
      <c r="CE126" s="16">
        <v>-9999</v>
      </c>
      <c r="CF126" s="16">
        <v>-9999</v>
      </c>
      <c r="CG126" s="16">
        <v>-9999</v>
      </c>
      <c r="CH126" s="16">
        <v>-9999</v>
      </c>
      <c r="CI126" s="16">
        <v>-9999</v>
      </c>
      <c r="CJ126" s="16">
        <v>-9999</v>
      </c>
      <c r="CK126" s="16">
        <v>-9999</v>
      </c>
      <c r="CL126" s="16">
        <v>-9999</v>
      </c>
      <c r="CM126" s="16">
        <v>-9999</v>
      </c>
      <c r="CN126" s="16">
        <v>-9999</v>
      </c>
      <c r="CO126" s="16">
        <v>-9999</v>
      </c>
      <c r="CP126" s="16">
        <v>-9999</v>
      </c>
      <c r="CQ126" s="16">
        <v>-9999</v>
      </c>
      <c r="CR126" s="16">
        <v>-9999</v>
      </c>
      <c r="CS126" s="16">
        <v>-9999</v>
      </c>
      <c r="CT126" s="16">
        <v>-9999</v>
      </c>
      <c r="CU126" s="16">
        <v>-9999</v>
      </c>
      <c r="CV126" s="16">
        <v>-9999</v>
      </c>
      <c r="CW126" s="16">
        <v>-9999</v>
      </c>
      <c r="CX126" s="16">
        <v>-9999</v>
      </c>
      <c r="CY126" s="16">
        <v>-9999</v>
      </c>
      <c r="CZ126" s="16">
        <v>-9999</v>
      </c>
      <c r="DA126" s="16">
        <v>-9999</v>
      </c>
      <c r="DB126" s="16">
        <v>-9999</v>
      </c>
      <c r="DC126" s="16">
        <v>-9999</v>
      </c>
      <c r="DD126" s="16">
        <v>-9999</v>
      </c>
      <c r="DE126" s="16">
        <v>-9999</v>
      </c>
      <c r="DF126" s="16">
        <v>-9999</v>
      </c>
      <c r="DG126" s="16">
        <v>-9999</v>
      </c>
      <c r="DH126" s="16">
        <v>-9999</v>
      </c>
      <c r="DI126" s="16">
        <v>-9999</v>
      </c>
      <c r="DJ126" s="16">
        <v>-9999</v>
      </c>
      <c r="DK126" s="16">
        <v>-9999</v>
      </c>
      <c r="DL126" s="16">
        <v>-9999</v>
      </c>
      <c r="DM126" s="16">
        <v>-9999</v>
      </c>
      <c r="DN126" s="16">
        <v>-9999</v>
      </c>
      <c r="DO126" s="16">
        <v>-9999</v>
      </c>
      <c r="DP126" s="16">
        <v>-9999</v>
      </c>
      <c r="DQ126" s="16">
        <v>-9999</v>
      </c>
      <c r="DR126" s="16">
        <v>-9999</v>
      </c>
      <c r="DS126" s="16">
        <v>-9999</v>
      </c>
      <c r="DT126" s="16">
        <v>-9999</v>
      </c>
      <c r="DU126" s="16">
        <v>-9999</v>
      </c>
      <c r="DV126" s="16">
        <v>-9999</v>
      </c>
      <c r="DW126" s="16">
        <v>-9999</v>
      </c>
      <c r="DX126" s="16">
        <v>-9999</v>
      </c>
      <c r="DY126" s="16">
        <v>-9999</v>
      </c>
      <c r="DZ126" s="16">
        <v>-9999</v>
      </c>
      <c r="EA126" s="2197">
        <v>-9999</v>
      </c>
      <c r="EB126" s="2197">
        <v>-9999</v>
      </c>
      <c r="EC126" s="2197">
        <v>-9999</v>
      </c>
      <c r="ED126" s="2197">
        <v>-9999</v>
      </c>
      <c r="EE126" s="2197">
        <v>-9999</v>
      </c>
      <c r="EF126" s="2197">
        <v>-9999</v>
      </c>
      <c r="EG126" s="2197">
        <v>-9999</v>
      </c>
      <c r="EH126" s="2197">
        <v>-9999</v>
      </c>
      <c r="EI126" s="2197">
        <v>-9999</v>
      </c>
      <c r="EJ126" s="2197">
        <v>-9999</v>
      </c>
      <c r="EK126" s="2197">
        <v>-9999</v>
      </c>
      <c r="EL126" s="2197">
        <v>-9999</v>
      </c>
      <c r="EM126" s="2197">
        <v>-9999</v>
      </c>
    </row>
    <row r="127" spans="1:143">
      <c r="A127" s="22">
        <v>27</v>
      </c>
      <c r="B127" s="30" t="s">
        <v>1705</v>
      </c>
      <c r="C127" s="25">
        <v>-9999</v>
      </c>
      <c r="D127" s="25">
        <v>-9999</v>
      </c>
      <c r="E127" s="25">
        <v>-9999</v>
      </c>
      <c r="F127" s="25">
        <v>-9999</v>
      </c>
      <c r="G127" s="25">
        <v>-9999</v>
      </c>
      <c r="H127" s="25">
        <v>-9999</v>
      </c>
      <c r="I127" s="25">
        <v>-9999</v>
      </c>
      <c r="J127" s="25">
        <v>-9999</v>
      </c>
      <c r="K127" s="25">
        <v>-9999</v>
      </c>
      <c r="L127" s="25">
        <v>-9999</v>
      </c>
      <c r="M127" s="25">
        <v>-9999</v>
      </c>
      <c r="N127" s="25">
        <v>-9999</v>
      </c>
      <c r="O127" s="25">
        <v>-9999</v>
      </c>
      <c r="P127" s="26"/>
      <c r="Q127"/>
      <c r="AA127" s="22">
        <v>27</v>
      </c>
      <c r="AB127" s="1040" t="str">
        <f t="shared" si="3"/>
        <v>FOR FUTURE USE</v>
      </c>
      <c r="AC127" s="1040">
        <f>CHOOSE(Tables!$U$2,Transfer!CA127,Transfer!CN127,Transfer!DA127,Transfer!DN127,Transfer!EA127)</f>
        <v>-9999</v>
      </c>
      <c r="AD127" s="1040">
        <f>CHOOSE(Tables!$U$2,Transfer!CB127,Transfer!CO127,Transfer!DB127,Transfer!DO127,Transfer!EB127)</f>
        <v>-9999</v>
      </c>
      <c r="AE127" s="1040">
        <f>CHOOSE(Tables!$U$2,Transfer!CC127,Transfer!CP127,Transfer!DC127,Transfer!DP127,Transfer!EC127)</f>
        <v>-9999</v>
      </c>
      <c r="AF127" s="1040">
        <f>CHOOSE(Tables!$U$2,Transfer!CD127,Transfer!CQ127,Transfer!DD127,Transfer!DQ127,Transfer!ED127)</f>
        <v>-9999</v>
      </c>
      <c r="AG127" s="1040">
        <f>CHOOSE(Tables!$U$2,Transfer!CE127,Transfer!CR127,Transfer!DE127,Transfer!DR127,Transfer!EE127)</f>
        <v>-9999</v>
      </c>
      <c r="AH127" s="1040">
        <f>CHOOSE(Tables!$U$2,Transfer!CF127,Transfer!CS127,Transfer!DF127,Transfer!DS127,Transfer!EF127)</f>
        <v>-9999</v>
      </c>
      <c r="AI127" s="1040">
        <f>CHOOSE(Tables!$U$2,Transfer!CG127,Transfer!CT127,Transfer!DG127,Transfer!DT127,Transfer!EG127)</f>
        <v>-9999</v>
      </c>
      <c r="AJ127" s="1040">
        <f>CHOOSE(Tables!$U$2,Transfer!CH127,Transfer!CU127,Transfer!DH127,Transfer!DU127,Transfer!EH127)</f>
        <v>-9999</v>
      </c>
      <c r="AK127" s="1040">
        <f>CHOOSE(Tables!$U$2,Transfer!CI127,Transfer!CV127,Transfer!DI127,Transfer!DV127,Transfer!EI127)</f>
        <v>-9999</v>
      </c>
      <c r="AL127" s="1040">
        <f>CHOOSE(Tables!$U$2,Transfer!CJ127,Transfer!CW127,Transfer!DJ127,Transfer!DW127,Transfer!EJ127)</f>
        <v>-9999</v>
      </c>
      <c r="AM127" s="1040">
        <f>CHOOSE(Tables!$U$2,Transfer!CK127,Transfer!CX127,Transfer!DK127,Transfer!DX127,Transfer!EK127)</f>
        <v>-9999</v>
      </c>
      <c r="AN127" s="1040">
        <f>CHOOSE(Tables!$U$2,Transfer!CL127,Transfer!CY127,Transfer!DL127,Transfer!DY127,Transfer!EL127)</f>
        <v>-9999</v>
      </c>
      <c r="AO127" s="1040">
        <f>CHOOSE(Tables!$U$2,Transfer!CM127,Transfer!CZ127,Transfer!DM127,Transfer!DZ127,Transfer!EM127)</f>
        <v>-9999</v>
      </c>
      <c r="AR127" s="22">
        <v>27</v>
      </c>
      <c r="AS127" s="30" t="s">
        <v>1705</v>
      </c>
      <c r="AT127" s="25">
        <f t="shared" si="5"/>
        <v>0</v>
      </c>
      <c r="AU127" s="25">
        <f t="shared" si="5"/>
        <v>0</v>
      </c>
      <c r="AV127" s="25">
        <f t="shared" si="5"/>
        <v>0</v>
      </c>
      <c r="AW127" s="25">
        <f t="shared" si="5"/>
        <v>0</v>
      </c>
      <c r="AX127" s="25">
        <f t="shared" si="5"/>
        <v>0</v>
      </c>
      <c r="AY127" s="25">
        <f t="shared" si="5"/>
        <v>0</v>
      </c>
      <c r="AZ127" s="25">
        <f t="shared" si="5"/>
        <v>0</v>
      </c>
      <c r="BA127" s="25">
        <f t="shared" si="5"/>
        <v>0</v>
      </c>
      <c r="BB127" s="25">
        <f t="shared" si="4"/>
        <v>0</v>
      </c>
      <c r="BC127" s="25">
        <f t="shared" si="4"/>
        <v>0</v>
      </c>
      <c r="BD127" s="25">
        <f t="shared" si="4"/>
        <v>0</v>
      </c>
      <c r="BE127" s="25">
        <f t="shared" si="4"/>
        <v>0</v>
      </c>
      <c r="BF127" s="25">
        <f t="shared" si="4"/>
        <v>0</v>
      </c>
      <c r="CA127" s="16">
        <v>-9999</v>
      </c>
      <c r="CB127" s="16">
        <v>-9999</v>
      </c>
      <c r="CC127" s="16">
        <v>-9999</v>
      </c>
      <c r="CD127" s="16">
        <v>-9999</v>
      </c>
      <c r="CE127" s="16">
        <v>-9999</v>
      </c>
      <c r="CF127" s="16">
        <v>-9999</v>
      </c>
      <c r="CG127" s="16">
        <v>-9999</v>
      </c>
      <c r="CH127" s="16">
        <v>-9999</v>
      </c>
      <c r="CI127" s="16">
        <v>-9999</v>
      </c>
      <c r="CJ127" s="16">
        <v>-9999</v>
      </c>
      <c r="CK127" s="16">
        <v>-9999</v>
      </c>
      <c r="CL127" s="16">
        <v>-9999</v>
      </c>
      <c r="CM127" s="16">
        <v>-9999</v>
      </c>
      <c r="CN127" s="16">
        <v>-9999</v>
      </c>
      <c r="CO127" s="16">
        <v>-9999</v>
      </c>
      <c r="CP127" s="16">
        <v>-9999</v>
      </c>
      <c r="CQ127" s="16">
        <v>-9999</v>
      </c>
      <c r="CR127" s="16">
        <v>-9999</v>
      </c>
      <c r="CS127" s="16">
        <v>-9999</v>
      </c>
      <c r="CT127" s="16">
        <v>-9999</v>
      </c>
      <c r="CU127" s="16">
        <v>-9999</v>
      </c>
      <c r="CV127" s="16">
        <v>-9999</v>
      </c>
      <c r="CW127" s="16">
        <v>-9999</v>
      </c>
      <c r="CX127" s="16">
        <v>-9999</v>
      </c>
      <c r="CY127" s="16">
        <v>-9999</v>
      </c>
      <c r="CZ127" s="16">
        <v>-9999</v>
      </c>
      <c r="DA127" s="16">
        <v>-9999</v>
      </c>
      <c r="DB127" s="16">
        <v>-9999</v>
      </c>
      <c r="DC127" s="16">
        <v>-9999</v>
      </c>
      <c r="DD127" s="16">
        <v>-9999</v>
      </c>
      <c r="DE127" s="16">
        <v>-9999</v>
      </c>
      <c r="DF127" s="16">
        <v>-9999</v>
      </c>
      <c r="DG127" s="16">
        <v>-9999</v>
      </c>
      <c r="DH127" s="16">
        <v>-9999</v>
      </c>
      <c r="DI127" s="16">
        <v>-9999</v>
      </c>
      <c r="DJ127" s="16">
        <v>-9999</v>
      </c>
      <c r="DK127" s="16">
        <v>-9999</v>
      </c>
      <c r="DL127" s="16">
        <v>-9999</v>
      </c>
      <c r="DM127" s="16">
        <v>-9999</v>
      </c>
      <c r="DN127" s="16">
        <v>-9999</v>
      </c>
      <c r="DO127" s="16">
        <v>-9999</v>
      </c>
      <c r="DP127" s="16">
        <v>-9999</v>
      </c>
      <c r="DQ127" s="16">
        <v>-9999</v>
      </c>
      <c r="DR127" s="16">
        <v>-9999</v>
      </c>
      <c r="DS127" s="16">
        <v>-9999</v>
      </c>
      <c r="DT127" s="16">
        <v>-9999</v>
      </c>
      <c r="DU127" s="16">
        <v>-9999</v>
      </c>
      <c r="DV127" s="16">
        <v>-9999</v>
      </c>
      <c r="DW127" s="16">
        <v>-9999</v>
      </c>
      <c r="DX127" s="16">
        <v>-9999</v>
      </c>
      <c r="DY127" s="16">
        <v>-9999</v>
      </c>
      <c r="DZ127" s="16">
        <v>-9999</v>
      </c>
      <c r="EA127" s="2197">
        <v>-9999</v>
      </c>
      <c r="EB127" s="2197">
        <v>-9999</v>
      </c>
      <c r="EC127" s="2197">
        <v>-9999</v>
      </c>
      <c r="ED127" s="2197">
        <v>-9999</v>
      </c>
      <c r="EE127" s="2197">
        <v>-9999</v>
      </c>
      <c r="EF127" s="2197">
        <v>-9999</v>
      </c>
      <c r="EG127" s="2197">
        <v>-9999</v>
      </c>
      <c r="EH127" s="2197">
        <v>-9999</v>
      </c>
      <c r="EI127" s="2197">
        <v>-9999</v>
      </c>
      <c r="EJ127" s="2197">
        <v>-9999</v>
      </c>
      <c r="EK127" s="2197">
        <v>-9999</v>
      </c>
      <c r="EL127" s="2197">
        <v>-9999</v>
      </c>
      <c r="EM127" s="2197">
        <v>-9999</v>
      </c>
    </row>
    <row r="128" spans="1:143">
      <c r="A128" s="22">
        <v>28</v>
      </c>
      <c r="B128" s="220" t="s">
        <v>1854</v>
      </c>
      <c r="C128" s="3163">
        <f ca="1">OFFSET('VVP2'!F177,0,Last_forecast_year - 3-InputY!$G$3)</f>
        <v>1.3409853658536586</v>
      </c>
      <c r="D128" s="3163">
        <f ca="1">OFFSET('VVP2'!G177,0,Last_forecast_year - 3-InputY!$G$3)</f>
        <v>1.1652424242424242</v>
      </c>
      <c r="E128" s="3163">
        <f ca="1">OFFSET('VVP2'!H177,0,Last_forecast_year - 3-InputY!$G$3)</f>
        <v>1.1881976999999999</v>
      </c>
      <c r="F128" s="3163">
        <f ca="1">OFFSET('VVP2'!I177,0,Last_forecast_year - 3-InputY!$G$3)</f>
        <v>1.3153341409813797</v>
      </c>
      <c r="G128" s="3163">
        <f ca="1">OFFSET('VVP2'!J177,0,Last_forecast_year - 3-InputY!$G$3)</f>
        <v>1.4157599026453078</v>
      </c>
      <c r="H128" s="25">
        <v>-9999</v>
      </c>
      <c r="I128" s="25">
        <v>-9999</v>
      </c>
      <c r="J128" s="25">
        <v>-9999</v>
      </c>
      <c r="K128" s="25">
        <v>-9999</v>
      </c>
      <c r="L128" s="25">
        <v>-9999</v>
      </c>
      <c r="M128" s="25">
        <v>-9999</v>
      </c>
      <c r="N128" s="25">
        <v>-9999</v>
      </c>
      <c r="O128" s="25">
        <v>-9999</v>
      </c>
      <c r="P128" s="32"/>
      <c r="Q128"/>
      <c r="AA128" s="22">
        <v>28</v>
      </c>
      <c r="AB128" s="1040" t="str">
        <f t="shared" si="3"/>
        <v xml:space="preserve">VOL. FIXED INVESTMENT GOVERNMENT  </v>
      </c>
      <c r="AC128" s="1040">
        <f>CHOOSE(Tables!$U$2,Transfer!CA128,Transfer!CN128,Transfer!DA128,Transfer!DN128,Transfer!EA128)</f>
        <v>4.5438731707317075</v>
      </c>
      <c r="AD128" s="1040">
        <f>CHOOSE(Tables!$U$2,Transfer!CB128,Transfer!CO128,Transfer!DB128,Transfer!DO128,Transfer!EB128)</f>
        <v>4.250299334701805</v>
      </c>
      <c r="AE128" s="1040">
        <f>CHOOSE(Tables!$U$2,Transfer!CC128,Transfer!CP128,Transfer!DC128,Transfer!DP128,Transfer!EC128)</f>
        <v>4.3462156784253363</v>
      </c>
      <c r="AF128" s="1040">
        <f>CHOOSE(Tables!$U$2,Transfer!CD128,Transfer!CQ128,Transfer!DD128,Transfer!DQ128,Transfer!ED128)</f>
        <v>4.4950301032546198</v>
      </c>
      <c r="AG128" s="1040">
        <f>CHOOSE(Tables!$U$2,Transfer!CE128,Transfer!CR128,Transfer!DE128,Transfer!DR128,Transfer!EE128)</f>
        <v>4.6761798164157806</v>
      </c>
      <c r="AH128" s="1040">
        <f>CHOOSE(Tables!$U$2,Transfer!CF128,Transfer!CS128,Transfer!DF128,Transfer!DS128,Transfer!EF128)</f>
        <v>-9999</v>
      </c>
      <c r="AI128" s="1040">
        <f>CHOOSE(Tables!$U$2,Transfer!CG128,Transfer!CT128,Transfer!DG128,Transfer!DT128,Transfer!EG128)</f>
        <v>-9999</v>
      </c>
      <c r="AJ128" s="1040">
        <f>CHOOSE(Tables!$U$2,Transfer!CH128,Transfer!CU128,Transfer!DH128,Transfer!DU128,Transfer!EH128)</f>
        <v>-9999</v>
      </c>
      <c r="AK128" s="1040">
        <f>CHOOSE(Tables!$U$2,Transfer!CI128,Transfer!CV128,Transfer!DI128,Transfer!DV128,Transfer!EI128)</f>
        <v>-9999</v>
      </c>
      <c r="AL128" s="1040">
        <f>CHOOSE(Tables!$U$2,Transfer!CJ128,Transfer!CW128,Transfer!DJ128,Transfer!DW128,Transfer!EJ128)</f>
        <v>-9999</v>
      </c>
      <c r="AM128" s="1040">
        <f>CHOOSE(Tables!$U$2,Transfer!CK128,Transfer!CX128,Transfer!DK128,Transfer!DX128,Transfer!EK128)</f>
        <v>-9999</v>
      </c>
      <c r="AN128" s="1040">
        <f>CHOOSE(Tables!$U$2,Transfer!CL128,Transfer!CY128,Transfer!DL128,Transfer!DY128,Transfer!EL128)</f>
        <v>-9999</v>
      </c>
      <c r="AO128" s="1040">
        <f>CHOOSE(Tables!$U$2,Transfer!CM128,Transfer!CZ128,Transfer!DM128,Transfer!DZ128,Transfer!EM128)</f>
        <v>-9999</v>
      </c>
      <c r="AR128" s="22">
        <v>28</v>
      </c>
      <c r="AS128" s="1" t="s">
        <v>1854</v>
      </c>
      <c r="AT128" s="24">
        <f t="shared" ca="1" si="5"/>
        <v>-3.2028878048780491</v>
      </c>
      <c r="AU128" s="24">
        <f t="shared" ca="1" si="5"/>
        <v>-3.0850569104593806</v>
      </c>
      <c r="AV128" s="24">
        <f t="shared" ca="1" si="5"/>
        <v>-3.1580179784253364</v>
      </c>
      <c r="AW128" s="24">
        <f t="shared" ca="1" si="5"/>
        <v>-3.1796959622732404</v>
      </c>
      <c r="AX128" s="24">
        <f t="shared" ca="1" si="5"/>
        <v>-3.2604199137704728</v>
      </c>
      <c r="AY128" s="25">
        <f t="shared" si="5"/>
        <v>0</v>
      </c>
      <c r="AZ128" s="25">
        <f t="shared" si="5"/>
        <v>0</v>
      </c>
      <c r="BA128" s="25">
        <f t="shared" si="5"/>
        <v>0</v>
      </c>
      <c r="BB128" s="25">
        <f t="shared" si="4"/>
        <v>0</v>
      </c>
      <c r="BC128" s="25">
        <f t="shared" si="4"/>
        <v>0</v>
      </c>
      <c r="BD128" s="25">
        <f t="shared" si="4"/>
        <v>0</v>
      </c>
      <c r="BE128" s="25">
        <f t="shared" si="4"/>
        <v>0</v>
      </c>
      <c r="BF128" s="25">
        <f t="shared" si="4"/>
        <v>0</v>
      </c>
      <c r="CA128" s="16">
        <v>1.3329616499999999</v>
      </c>
      <c r="CB128" s="16">
        <v>1.3236656</v>
      </c>
      <c r="CC128" s="16">
        <v>1.3104756</v>
      </c>
      <c r="CD128" s="16">
        <v>1.2370234426199997</v>
      </c>
      <c r="CE128" s="16">
        <v>1.3368512344394339</v>
      </c>
      <c r="CF128" s="16">
        <v>-9999</v>
      </c>
      <c r="CG128" s="16">
        <v>-9999</v>
      </c>
      <c r="CH128" s="16">
        <v>-9999</v>
      </c>
      <c r="CI128" s="16">
        <v>-9999</v>
      </c>
      <c r="CJ128" s="16">
        <v>-9999</v>
      </c>
      <c r="CK128" s="16">
        <v>-9999</v>
      </c>
      <c r="CL128" s="16">
        <v>-9999</v>
      </c>
      <c r="CM128" s="16">
        <v>-9999</v>
      </c>
      <c r="CN128" s="16">
        <v>1.3383280000741564</v>
      </c>
      <c r="CO128" s="16">
        <v>1.3194816352499998</v>
      </c>
      <c r="CP128" s="16">
        <v>1.2901808074000001</v>
      </c>
      <c r="CQ128" s="16">
        <v>1.3403017514058753</v>
      </c>
      <c r="CR128" s="16">
        <v>1.3942790536893683</v>
      </c>
      <c r="CS128" s="16">
        <v>-9999</v>
      </c>
      <c r="CT128" s="16">
        <v>-9999</v>
      </c>
      <c r="CU128" s="16">
        <v>-9999</v>
      </c>
      <c r="CV128" s="16">
        <v>-9999</v>
      </c>
      <c r="CW128" s="16">
        <v>-9999</v>
      </c>
      <c r="CX128" s="16">
        <v>-9999</v>
      </c>
      <c r="CY128" s="16">
        <v>-9999</v>
      </c>
      <c r="CZ128" s="16">
        <v>-9999</v>
      </c>
      <c r="DA128" s="16">
        <v>1.3194846</v>
      </c>
      <c r="DB128" s="16">
        <v>1.2901841000000003</v>
      </c>
      <c r="DC128" s="16">
        <v>1.2935742000000001</v>
      </c>
      <c r="DD128" s="16">
        <v>1.3405296498857999</v>
      </c>
      <c r="DE128" s="16">
        <v>1.3877833200442742</v>
      </c>
      <c r="DF128" s="16">
        <v>-9999</v>
      </c>
      <c r="DG128" s="16">
        <v>-9999</v>
      </c>
      <c r="DH128" s="16">
        <v>-9999</v>
      </c>
      <c r="DI128" s="16">
        <v>-9999</v>
      </c>
      <c r="DJ128" s="16">
        <v>-9999</v>
      </c>
      <c r="DK128" s="16">
        <v>-9999</v>
      </c>
      <c r="DL128" s="16">
        <v>-9999</v>
      </c>
      <c r="DM128" s="16">
        <v>-9999</v>
      </c>
      <c r="DN128" s="16">
        <v>1.3383304640316707</v>
      </c>
      <c r="DO128" s="16">
        <v>1.3194846</v>
      </c>
      <c r="DP128" s="16">
        <v>1.2901841000000003</v>
      </c>
      <c r="DQ128" s="16">
        <v>1.3403051719168002</v>
      </c>
      <c r="DR128" s="16">
        <v>1.3942826119528193</v>
      </c>
      <c r="DS128" s="16">
        <v>-9999</v>
      </c>
      <c r="DT128" s="16">
        <v>-9999</v>
      </c>
      <c r="DU128" s="16">
        <v>-9999</v>
      </c>
      <c r="DV128" s="16">
        <v>-9999</v>
      </c>
      <c r="DW128" s="16">
        <v>-9999</v>
      </c>
      <c r="DX128" s="16">
        <v>-9999</v>
      </c>
      <c r="DY128" s="16">
        <v>-9999</v>
      </c>
      <c r="DZ128" s="16">
        <v>-9999</v>
      </c>
      <c r="EA128" s="2196">
        <v>4.5438731707317075</v>
      </c>
      <c r="EB128" s="2196">
        <v>4.250299334701805</v>
      </c>
      <c r="EC128" s="2196">
        <v>4.3462156784253363</v>
      </c>
      <c r="ED128" s="2196">
        <v>4.4950301032546198</v>
      </c>
      <c r="EE128" s="2196">
        <v>4.6761798164157806</v>
      </c>
      <c r="EF128" s="2197">
        <v>-9999</v>
      </c>
      <c r="EG128" s="2197">
        <v>-9999</v>
      </c>
      <c r="EH128" s="2197">
        <v>-9999</v>
      </c>
      <c r="EI128" s="2197">
        <v>-9999</v>
      </c>
      <c r="EJ128" s="2197">
        <v>-9999</v>
      </c>
      <c r="EK128" s="2197">
        <v>-9999</v>
      </c>
      <c r="EL128" s="2197">
        <v>-9999</v>
      </c>
      <c r="EM128" s="2197">
        <v>-9999</v>
      </c>
    </row>
    <row r="129" spans="1:143">
      <c r="A129" s="22">
        <v>29</v>
      </c>
      <c r="B129" s="30" t="s">
        <v>1705</v>
      </c>
      <c r="C129" s="25">
        <v>-9999</v>
      </c>
      <c r="D129" s="25">
        <v>-9999</v>
      </c>
      <c r="E129" s="25">
        <v>-9999</v>
      </c>
      <c r="F129" s="25">
        <v>-9999</v>
      </c>
      <c r="G129" s="25">
        <v>-9999</v>
      </c>
      <c r="H129" s="25">
        <v>-9999</v>
      </c>
      <c r="I129" s="25">
        <v>-9999</v>
      </c>
      <c r="J129" s="25">
        <v>-9999</v>
      </c>
      <c r="K129" s="25">
        <v>-9999</v>
      </c>
      <c r="L129" s="25">
        <v>-9999</v>
      </c>
      <c r="M129" s="25">
        <v>-9999</v>
      </c>
      <c r="N129" s="25">
        <v>-9999</v>
      </c>
      <c r="O129" s="25">
        <v>-9999</v>
      </c>
      <c r="P129" s="32"/>
      <c r="Q129"/>
      <c r="AA129" s="22">
        <v>29</v>
      </c>
      <c r="AB129" s="1040" t="str">
        <f t="shared" si="3"/>
        <v>FOR FUTURE USE</v>
      </c>
      <c r="AC129" s="1040">
        <f>CHOOSE(Tables!$U$2,Transfer!CA129,Transfer!CN129,Transfer!DA129,Transfer!DN129,Transfer!EA129)</f>
        <v>-9999</v>
      </c>
      <c r="AD129" s="1040">
        <f>CHOOSE(Tables!$U$2,Transfer!CB129,Transfer!CO129,Transfer!DB129,Transfer!DO129,Transfer!EB129)</f>
        <v>-9999</v>
      </c>
      <c r="AE129" s="1040">
        <f>CHOOSE(Tables!$U$2,Transfer!CC129,Transfer!CP129,Transfer!DC129,Transfer!DP129,Transfer!EC129)</f>
        <v>-9999</v>
      </c>
      <c r="AF129" s="1040">
        <f>CHOOSE(Tables!$U$2,Transfer!CD129,Transfer!CQ129,Transfer!DD129,Transfer!DQ129,Transfer!ED129)</f>
        <v>-9999</v>
      </c>
      <c r="AG129" s="1040">
        <f>CHOOSE(Tables!$U$2,Transfer!CE129,Transfer!CR129,Transfer!DE129,Transfer!DR129,Transfer!EE129)</f>
        <v>-9999</v>
      </c>
      <c r="AH129" s="1040">
        <f>CHOOSE(Tables!$U$2,Transfer!CF129,Transfer!CS129,Transfer!DF129,Transfer!DS129,Transfer!EF129)</f>
        <v>-9999</v>
      </c>
      <c r="AI129" s="1040">
        <f>CHOOSE(Tables!$U$2,Transfer!CG129,Transfer!CT129,Transfer!DG129,Transfer!DT129,Transfer!EG129)</f>
        <v>-9999</v>
      </c>
      <c r="AJ129" s="1040">
        <f>CHOOSE(Tables!$U$2,Transfer!CH129,Transfer!CU129,Transfer!DH129,Transfer!DU129,Transfer!EH129)</f>
        <v>-9999</v>
      </c>
      <c r="AK129" s="1040">
        <f>CHOOSE(Tables!$U$2,Transfer!CI129,Transfer!CV129,Transfer!DI129,Transfer!DV129,Transfer!EI129)</f>
        <v>-9999</v>
      </c>
      <c r="AL129" s="1040">
        <f>CHOOSE(Tables!$U$2,Transfer!CJ129,Transfer!CW129,Transfer!DJ129,Transfer!DW129,Transfer!EJ129)</f>
        <v>-9999</v>
      </c>
      <c r="AM129" s="1040">
        <f>CHOOSE(Tables!$U$2,Transfer!CK129,Transfer!CX129,Transfer!DK129,Transfer!DX129,Transfer!EK129)</f>
        <v>-9999</v>
      </c>
      <c r="AN129" s="1040">
        <f>CHOOSE(Tables!$U$2,Transfer!CL129,Transfer!CY129,Transfer!DL129,Transfer!DY129,Transfer!EL129)</f>
        <v>-9999</v>
      </c>
      <c r="AO129" s="1040">
        <f>CHOOSE(Tables!$U$2,Transfer!CM129,Transfer!CZ129,Transfer!DM129,Transfer!DZ129,Transfer!EM129)</f>
        <v>-9999</v>
      </c>
      <c r="AR129" s="22">
        <v>29</v>
      </c>
      <c r="AS129" s="31" t="s">
        <v>1856</v>
      </c>
      <c r="AT129" s="24">
        <f t="shared" si="5"/>
        <v>0</v>
      </c>
      <c r="AU129" s="24">
        <f t="shared" si="5"/>
        <v>0</v>
      </c>
      <c r="AV129" s="24">
        <f t="shared" si="5"/>
        <v>0</v>
      </c>
      <c r="AW129" s="24">
        <f t="shared" si="5"/>
        <v>0</v>
      </c>
      <c r="AX129" s="24">
        <f t="shared" si="5"/>
        <v>0</v>
      </c>
      <c r="AY129" s="25">
        <f t="shared" si="5"/>
        <v>0</v>
      </c>
      <c r="AZ129" s="25">
        <f t="shared" si="5"/>
        <v>0</v>
      </c>
      <c r="BA129" s="25">
        <f t="shared" si="5"/>
        <v>0</v>
      </c>
      <c r="BB129" s="25">
        <f t="shared" si="4"/>
        <v>0</v>
      </c>
      <c r="BC129" s="25">
        <f t="shared" si="4"/>
        <v>0</v>
      </c>
      <c r="BD129" s="25">
        <f t="shared" si="4"/>
        <v>0</v>
      </c>
      <c r="BE129" s="25">
        <f t="shared" si="4"/>
        <v>0</v>
      </c>
      <c r="BF129" s="25">
        <f t="shared" si="4"/>
        <v>0</v>
      </c>
      <c r="CA129" s="16">
        <v>-9999</v>
      </c>
      <c r="CB129" s="16">
        <v>-9999</v>
      </c>
      <c r="CC129" s="16">
        <v>-9999</v>
      </c>
      <c r="CD129" s="16">
        <v>-9999</v>
      </c>
      <c r="CE129" s="16">
        <v>-9999</v>
      </c>
      <c r="CF129" s="16">
        <v>-9999</v>
      </c>
      <c r="CG129" s="16">
        <v>-9999</v>
      </c>
      <c r="CH129" s="16">
        <v>-9999</v>
      </c>
      <c r="CI129" s="16">
        <v>-9999</v>
      </c>
      <c r="CJ129" s="16">
        <v>-9999</v>
      </c>
      <c r="CK129" s="16">
        <v>-9999</v>
      </c>
      <c r="CL129" s="16">
        <v>-9999</v>
      </c>
      <c r="CM129" s="16">
        <v>-9999</v>
      </c>
      <c r="CN129" s="16">
        <v>-9999</v>
      </c>
      <c r="CO129" s="16">
        <v>-9999</v>
      </c>
      <c r="CP129" s="16">
        <v>-9999</v>
      </c>
      <c r="CQ129" s="16">
        <v>-9999</v>
      </c>
      <c r="CR129" s="16">
        <v>-9999</v>
      </c>
      <c r="CS129" s="16">
        <v>-9999</v>
      </c>
      <c r="CT129" s="16">
        <v>-9999</v>
      </c>
      <c r="CU129" s="16">
        <v>-9999</v>
      </c>
      <c r="CV129" s="16">
        <v>-9999</v>
      </c>
      <c r="CW129" s="16">
        <v>-9999</v>
      </c>
      <c r="CX129" s="16">
        <v>-9999</v>
      </c>
      <c r="CY129" s="16">
        <v>-9999</v>
      </c>
      <c r="CZ129" s="16">
        <v>-9999</v>
      </c>
      <c r="DA129" s="16">
        <v>-9999</v>
      </c>
      <c r="DB129" s="16">
        <v>-9999</v>
      </c>
      <c r="DC129" s="16">
        <v>-9999</v>
      </c>
      <c r="DD129" s="16">
        <v>-9999</v>
      </c>
      <c r="DE129" s="16">
        <v>-9999</v>
      </c>
      <c r="DF129" s="16">
        <v>-9999</v>
      </c>
      <c r="DG129" s="16">
        <v>-9999</v>
      </c>
      <c r="DH129" s="16">
        <v>-9999</v>
      </c>
      <c r="DI129" s="16">
        <v>-9999</v>
      </c>
      <c r="DJ129" s="16">
        <v>-9999</v>
      </c>
      <c r="DK129" s="16">
        <v>-9999</v>
      </c>
      <c r="DL129" s="16">
        <v>-9999</v>
      </c>
      <c r="DM129" s="16">
        <v>-9999</v>
      </c>
      <c r="DN129" s="16">
        <v>-9999</v>
      </c>
      <c r="DO129" s="16">
        <v>-9999</v>
      </c>
      <c r="DP129" s="16">
        <v>-9999</v>
      </c>
      <c r="DQ129" s="16">
        <v>-9999</v>
      </c>
      <c r="DR129" s="16">
        <v>-9999</v>
      </c>
      <c r="DS129" s="16">
        <v>-9999</v>
      </c>
      <c r="DT129" s="16">
        <v>-9999</v>
      </c>
      <c r="DU129" s="16">
        <v>-9999</v>
      </c>
      <c r="DV129" s="16">
        <v>-9999</v>
      </c>
      <c r="DW129" s="16">
        <v>-9999</v>
      </c>
      <c r="DX129" s="16">
        <v>-9999</v>
      </c>
      <c r="DY129" s="16">
        <v>-9999</v>
      </c>
      <c r="DZ129" s="16">
        <v>-9999</v>
      </c>
      <c r="EA129" s="2197">
        <v>-9999</v>
      </c>
      <c r="EB129" s="2197">
        <v>-9999</v>
      </c>
      <c r="EC129" s="2197">
        <v>-9999</v>
      </c>
      <c r="ED129" s="2197">
        <v>-9999</v>
      </c>
      <c r="EE129" s="2197">
        <v>-9999</v>
      </c>
      <c r="EF129" s="2197">
        <v>-9999</v>
      </c>
      <c r="EG129" s="2197">
        <v>-9999</v>
      </c>
      <c r="EH129" s="2197">
        <v>-9999</v>
      </c>
      <c r="EI129" s="2197">
        <v>-9999</v>
      </c>
      <c r="EJ129" s="2197">
        <v>-9999</v>
      </c>
      <c r="EK129" s="2197">
        <v>-9999</v>
      </c>
      <c r="EL129" s="2197">
        <v>-9999</v>
      </c>
      <c r="EM129" s="2197">
        <v>-9999</v>
      </c>
    </row>
    <row r="130" spans="1:143">
      <c r="A130" s="22">
        <v>30</v>
      </c>
      <c r="B130" s="30" t="s">
        <v>1705</v>
      </c>
      <c r="C130" s="25">
        <v>-9999</v>
      </c>
      <c r="D130" s="25">
        <v>-9999</v>
      </c>
      <c r="E130" s="25">
        <v>-9999</v>
      </c>
      <c r="F130" s="25">
        <v>-9999</v>
      </c>
      <c r="G130" s="25">
        <v>-9999</v>
      </c>
      <c r="H130" s="25">
        <v>-9999</v>
      </c>
      <c r="I130" s="25">
        <v>-9999</v>
      </c>
      <c r="J130" s="25">
        <v>-9999</v>
      </c>
      <c r="K130" s="25">
        <v>-9999</v>
      </c>
      <c r="L130" s="25">
        <v>-9999</v>
      </c>
      <c r="M130" s="25">
        <v>-9999</v>
      </c>
      <c r="N130" s="25">
        <v>-9999</v>
      </c>
      <c r="O130" s="25">
        <v>-9999</v>
      </c>
      <c r="P130" s="32"/>
      <c r="Q130"/>
      <c r="AA130" s="22">
        <v>30</v>
      </c>
      <c r="AB130" s="1040" t="str">
        <f t="shared" si="3"/>
        <v>FOR FUTURE USE</v>
      </c>
      <c r="AC130" s="1040">
        <f>CHOOSE(Tables!$U$2,Transfer!CA130,Transfer!CN130,Transfer!DA130,Transfer!DN130,Transfer!EA130)</f>
        <v>-9999</v>
      </c>
      <c r="AD130" s="1040">
        <f>CHOOSE(Tables!$U$2,Transfer!CB130,Transfer!CO130,Transfer!DB130,Transfer!DO130,Transfer!EB130)</f>
        <v>-9999</v>
      </c>
      <c r="AE130" s="1040">
        <f>CHOOSE(Tables!$U$2,Transfer!CC130,Transfer!CP130,Transfer!DC130,Transfer!DP130,Transfer!EC130)</f>
        <v>-9999</v>
      </c>
      <c r="AF130" s="1040">
        <f>CHOOSE(Tables!$U$2,Transfer!CD130,Transfer!CQ130,Transfer!DD130,Transfer!DQ130,Transfer!ED130)</f>
        <v>-9999</v>
      </c>
      <c r="AG130" s="1040">
        <f>CHOOSE(Tables!$U$2,Transfer!CE130,Transfer!CR130,Transfer!DE130,Transfer!DR130,Transfer!EE130)</f>
        <v>-9999</v>
      </c>
      <c r="AH130" s="1040">
        <f>CHOOSE(Tables!$U$2,Transfer!CF130,Transfer!CS130,Transfer!DF130,Transfer!DS130,Transfer!EF130)</f>
        <v>-9999</v>
      </c>
      <c r="AI130" s="1040">
        <f>CHOOSE(Tables!$U$2,Transfer!CG130,Transfer!CT130,Transfer!DG130,Transfer!DT130,Transfer!EG130)</f>
        <v>-9999</v>
      </c>
      <c r="AJ130" s="1040">
        <f>CHOOSE(Tables!$U$2,Transfer!CH130,Transfer!CU130,Transfer!DH130,Transfer!DU130,Transfer!EH130)</f>
        <v>-9999</v>
      </c>
      <c r="AK130" s="1040">
        <f>CHOOSE(Tables!$U$2,Transfer!CI130,Transfer!CV130,Transfer!DI130,Transfer!DV130,Transfer!EI130)</f>
        <v>-9999</v>
      </c>
      <c r="AL130" s="1040">
        <f>CHOOSE(Tables!$U$2,Transfer!CJ130,Transfer!CW130,Transfer!DJ130,Transfer!DW130,Transfer!EJ130)</f>
        <v>-9999</v>
      </c>
      <c r="AM130" s="1040">
        <f>CHOOSE(Tables!$U$2,Transfer!CK130,Transfer!CX130,Transfer!DK130,Transfer!DX130,Transfer!EK130)</f>
        <v>-9999</v>
      </c>
      <c r="AN130" s="1040">
        <f>CHOOSE(Tables!$U$2,Transfer!CL130,Transfer!CY130,Transfer!DL130,Transfer!DY130,Transfer!EL130)</f>
        <v>-9999</v>
      </c>
      <c r="AO130" s="1040">
        <f>CHOOSE(Tables!$U$2,Transfer!CM130,Transfer!CZ130,Transfer!DM130,Transfer!DZ130,Transfer!EM130)</f>
        <v>-9999</v>
      </c>
      <c r="AR130" s="22">
        <v>30</v>
      </c>
      <c r="AS130" s="31" t="s">
        <v>1857</v>
      </c>
      <c r="AT130" s="24">
        <f t="shared" si="5"/>
        <v>0</v>
      </c>
      <c r="AU130" s="24">
        <f t="shared" si="5"/>
        <v>0</v>
      </c>
      <c r="AV130" s="24">
        <f t="shared" si="5"/>
        <v>0</v>
      </c>
      <c r="AW130" s="24">
        <f t="shared" si="5"/>
        <v>0</v>
      </c>
      <c r="AX130" s="24">
        <f t="shared" si="5"/>
        <v>0</v>
      </c>
      <c r="AY130" s="25">
        <f t="shared" si="5"/>
        <v>0</v>
      </c>
      <c r="AZ130" s="25">
        <f t="shared" si="5"/>
        <v>0</v>
      </c>
      <c r="BA130" s="25">
        <f t="shared" si="5"/>
        <v>0</v>
      </c>
      <c r="BB130" s="25">
        <f t="shared" si="4"/>
        <v>0</v>
      </c>
      <c r="BC130" s="25">
        <f t="shared" si="4"/>
        <v>0</v>
      </c>
      <c r="BD130" s="25">
        <f t="shared" si="4"/>
        <v>0</v>
      </c>
      <c r="BE130" s="25">
        <f t="shared" si="4"/>
        <v>0</v>
      </c>
      <c r="BF130" s="25">
        <f t="shared" si="4"/>
        <v>0</v>
      </c>
      <c r="CA130" s="16">
        <v>-9999</v>
      </c>
      <c r="CB130" s="16">
        <v>-9999</v>
      </c>
      <c r="CC130" s="16">
        <v>-9999</v>
      </c>
      <c r="CD130" s="16">
        <v>-9999</v>
      </c>
      <c r="CE130" s="16">
        <v>-9999</v>
      </c>
      <c r="CF130" s="16">
        <v>-9999</v>
      </c>
      <c r="CG130" s="16">
        <v>-9999</v>
      </c>
      <c r="CH130" s="16">
        <v>-9999</v>
      </c>
      <c r="CI130" s="16">
        <v>-9999</v>
      </c>
      <c r="CJ130" s="16">
        <v>-9999</v>
      </c>
      <c r="CK130" s="16">
        <v>-9999</v>
      </c>
      <c r="CL130" s="16">
        <v>-9999</v>
      </c>
      <c r="CM130" s="16">
        <v>-9999</v>
      </c>
      <c r="CN130" s="16">
        <v>-9999</v>
      </c>
      <c r="CO130" s="16">
        <v>-9999</v>
      </c>
      <c r="CP130" s="16">
        <v>-9999</v>
      </c>
      <c r="CQ130" s="16">
        <v>-9999</v>
      </c>
      <c r="CR130" s="16">
        <v>-9999</v>
      </c>
      <c r="CS130" s="16">
        <v>-9999</v>
      </c>
      <c r="CT130" s="16">
        <v>-9999</v>
      </c>
      <c r="CU130" s="16">
        <v>-9999</v>
      </c>
      <c r="CV130" s="16">
        <v>-9999</v>
      </c>
      <c r="CW130" s="16">
        <v>-9999</v>
      </c>
      <c r="CX130" s="16">
        <v>-9999</v>
      </c>
      <c r="CY130" s="16">
        <v>-9999</v>
      </c>
      <c r="CZ130" s="16">
        <v>-9999</v>
      </c>
      <c r="DA130" s="16">
        <v>-9999</v>
      </c>
      <c r="DB130" s="16">
        <v>-9999</v>
      </c>
      <c r="DC130" s="16">
        <v>-9999</v>
      </c>
      <c r="DD130" s="16">
        <v>-9999</v>
      </c>
      <c r="DE130" s="16">
        <v>-9999</v>
      </c>
      <c r="DF130" s="16">
        <v>-9999</v>
      </c>
      <c r="DG130" s="16">
        <v>-9999</v>
      </c>
      <c r="DH130" s="16">
        <v>-9999</v>
      </c>
      <c r="DI130" s="16">
        <v>-9999</v>
      </c>
      <c r="DJ130" s="16">
        <v>-9999</v>
      </c>
      <c r="DK130" s="16">
        <v>-9999</v>
      </c>
      <c r="DL130" s="16">
        <v>-9999</v>
      </c>
      <c r="DM130" s="16">
        <v>-9999</v>
      </c>
      <c r="DN130" s="16">
        <v>-9999</v>
      </c>
      <c r="DO130" s="16">
        <v>-9999</v>
      </c>
      <c r="DP130" s="16">
        <v>-9999</v>
      </c>
      <c r="DQ130" s="16">
        <v>-9999</v>
      </c>
      <c r="DR130" s="16">
        <v>-9999</v>
      </c>
      <c r="DS130" s="16">
        <v>-9999</v>
      </c>
      <c r="DT130" s="16">
        <v>-9999</v>
      </c>
      <c r="DU130" s="16">
        <v>-9999</v>
      </c>
      <c r="DV130" s="16">
        <v>-9999</v>
      </c>
      <c r="DW130" s="16">
        <v>-9999</v>
      </c>
      <c r="DX130" s="16">
        <v>-9999</v>
      </c>
      <c r="DY130" s="16">
        <v>-9999</v>
      </c>
      <c r="DZ130" s="16">
        <v>-9999</v>
      </c>
      <c r="EA130" s="2197">
        <v>-9999</v>
      </c>
      <c r="EB130" s="2197">
        <v>-9999</v>
      </c>
      <c r="EC130" s="2197">
        <v>-9999</v>
      </c>
      <c r="ED130" s="2197">
        <v>-9999</v>
      </c>
      <c r="EE130" s="2197">
        <v>-9999</v>
      </c>
      <c r="EF130" s="2197">
        <v>-9999</v>
      </c>
      <c r="EG130" s="2197">
        <v>-9999</v>
      </c>
      <c r="EH130" s="2197">
        <v>-9999</v>
      </c>
      <c r="EI130" s="2197">
        <v>-9999</v>
      </c>
      <c r="EJ130" s="2197">
        <v>-9999</v>
      </c>
      <c r="EK130" s="2197">
        <v>-9999</v>
      </c>
      <c r="EL130" s="2197">
        <v>-9999</v>
      </c>
      <c r="EM130" s="2197">
        <v>-9999</v>
      </c>
    </row>
    <row r="131" spans="1:143">
      <c r="A131" s="22">
        <v>31</v>
      </c>
      <c r="B131" s="1" t="s">
        <v>1858</v>
      </c>
      <c r="C131" s="24">
        <f ca="1">OFFSET('VVP2'!F178,0,Last_forecast_year - 3-InputY!$G$3)</f>
        <v>1.0493143864612278</v>
      </c>
      <c r="D131" s="24">
        <f ca="1">OFFSET('VVP2'!G178,0,Last_forecast_year - 3-InputY!$G$3)</f>
        <v>1.1247678027438224</v>
      </c>
      <c r="E131" s="24">
        <f ca="1">OFFSET('VVP2'!H178,0,Last_forecast_year - 3-InputY!$G$3)</f>
        <v>1.1071820347568258</v>
      </c>
      <c r="F131" s="24">
        <f ca="1">OFFSET('VVP2'!I178,0,Last_forecast_year - 3-InputY!$G$3)</f>
        <v>1.16537895</v>
      </c>
      <c r="G131" s="24">
        <f ca="1">OFFSET('VVP2'!J178,0,Last_forecast_year - 3-InputY!$G$3)</f>
        <v>1.2255055115462998</v>
      </c>
      <c r="H131" s="25">
        <v>-9999</v>
      </c>
      <c r="I131" s="25">
        <v>-9999</v>
      </c>
      <c r="J131" s="25">
        <v>-9999</v>
      </c>
      <c r="K131" s="25">
        <v>-9999</v>
      </c>
      <c r="L131" s="25">
        <v>-9999</v>
      </c>
      <c r="M131" s="25">
        <v>-9999</v>
      </c>
      <c r="N131" s="25">
        <v>-9999</v>
      </c>
      <c r="O131" s="25">
        <v>-9999</v>
      </c>
      <c r="P131" s="32"/>
      <c r="Q131"/>
      <c r="AA131" s="22">
        <v>31</v>
      </c>
      <c r="AB131" s="1040" t="str">
        <f t="shared" si="3"/>
        <v>VOL. FIXED INVESTMENT HOUSING</v>
      </c>
      <c r="AC131" s="1040">
        <f>CHOOSE(Tables!$U$2,Transfer!CA131,Transfer!CN131,Transfer!DA131,Transfer!DN131,Transfer!EA131)</f>
        <v>1.8246111196951238</v>
      </c>
      <c r="AD131" s="1040">
        <f>CHOOSE(Tables!$U$2,Transfer!CB131,Transfer!CO131,Transfer!DB131,Transfer!DO131,Transfer!EB131)</f>
        <v>1.9365422861736739</v>
      </c>
      <c r="AE131" s="1040">
        <f>CHOOSE(Tables!$U$2,Transfer!CC131,Transfer!CP131,Transfer!DC131,Transfer!DP131,Transfer!EC131)</f>
        <v>2.0577855</v>
      </c>
      <c r="AF131" s="1040">
        <f>CHOOSE(Tables!$U$2,Transfer!CD131,Transfer!CQ131,Transfer!DD131,Transfer!DQ131,Transfer!ED131)</f>
        <v>2.1935993430000003</v>
      </c>
      <c r="AG131" s="1040">
        <f>CHOOSE(Tables!$U$2,Transfer!CE131,Transfer!CR131,Transfer!DE131,Transfer!DR131,Transfer!EE131)</f>
        <v>2.3497836162216008</v>
      </c>
      <c r="AH131" s="1040">
        <f>CHOOSE(Tables!$U$2,Transfer!CF131,Transfer!CS131,Transfer!DF131,Transfer!DS131,Transfer!EF131)</f>
        <v>-9999</v>
      </c>
      <c r="AI131" s="1040">
        <f>CHOOSE(Tables!$U$2,Transfer!CG131,Transfer!CT131,Transfer!DG131,Transfer!DT131,Transfer!EG131)</f>
        <v>-9999</v>
      </c>
      <c r="AJ131" s="1040">
        <f>CHOOSE(Tables!$U$2,Transfer!CH131,Transfer!CU131,Transfer!DH131,Transfer!DU131,Transfer!EH131)</f>
        <v>-9999</v>
      </c>
      <c r="AK131" s="1040">
        <f>CHOOSE(Tables!$U$2,Transfer!CI131,Transfer!CV131,Transfer!DI131,Transfer!DV131,Transfer!EI131)</f>
        <v>-9999</v>
      </c>
      <c r="AL131" s="1040">
        <f>CHOOSE(Tables!$U$2,Transfer!CJ131,Transfer!CW131,Transfer!DJ131,Transfer!DW131,Transfer!EJ131)</f>
        <v>-9999</v>
      </c>
      <c r="AM131" s="1040">
        <f>CHOOSE(Tables!$U$2,Transfer!CK131,Transfer!CX131,Transfer!DK131,Transfer!DX131,Transfer!EK131)</f>
        <v>-9999</v>
      </c>
      <c r="AN131" s="1040">
        <f>CHOOSE(Tables!$U$2,Transfer!CL131,Transfer!CY131,Transfer!DL131,Transfer!DY131,Transfer!EL131)</f>
        <v>-9999</v>
      </c>
      <c r="AO131" s="1040">
        <f>CHOOSE(Tables!$U$2,Transfer!CM131,Transfer!CZ131,Transfer!DM131,Transfer!DZ131,Transfer!EM131)</f>
        <v>-9999</v>
      </c>
      <c r="AR131" s="22">
        <v>31</v>
      </c>
      <c r="AS131" s="1" t="s">
        <v>1858</v>
      </c>
      <c r="AT131" s="24">
        <f t="shared" ca="1" si="5"/>
        <v>-0.77529673323389603</v>
      </c>
      <c r="AU131" s="24">
        <f t="shared" ca="1" si="5"/>
        <v>-0.81177448342985148</v>
      </c>
      <c r="AV131" s="24">
        <f t="shared" ca="1" si="5"/>
        <v>-0.95060346524317429</v>
      </c>
      <c r="AW131" s="24">
        <f t="shared" ca="1" si="5"/>
        <v>-1.0282203930000002</v>
      </c>
      <c r="AX131" s="24">
        <f t="shared" ca="1" si="5"/>
        <v>-1.124278104675301</v>
      </c>
      <c r="AY131" s="25">
        <f t="shared" si="5"/>
        <v>0</v>
      </c>
      <c r="AZ131" s="25">
        <f t="shared" si="5"/>
        <v>0</v>
      </c>
      <c r="BA131" s="25">
        <f t="shared" si="5"/>
        <v>0</v>
      </c>
      <c r="BB131" s="25">
        <f t="shared" si="4"/>
        <v>0</v>
      </c>
      <c r="BC131" s="25">
        <f t="shared" si="4"/>
        <v>0</v>
      </c>
      <c r="BD131" s="25">
        <f t="shared" si="4"/>
        <v>0</v>
      </c>
      <c r="BE131" s="25">
        <f t="shared" si="4"/>
        <v>0</v>
      </c>
      <c r="BF131" s="25">
        <f t="shared" si="4"/>
        <v>0</v>
      </c>
      <c r="CA131" s="16">
        <v>0.72428201103334722</v>
      </c>
      <c r="CB131" s="16">
        <v>0.88492680359700548</v>
      </c>
      <c r="CC131" s="16">
        <v>0.98636400000000002</v>
      </c>
      <c r="CD131" s="16">
        <v>1.0812522168000001</v>
      </c>
      <c r="CE131" s="16">
        <v>1.2231125076441602</v>
      </c>
      <c r="CF131" s="16">
        <v>-9999</v>
      </c>
      <c r="CG131" s="16">
        <v>-9999</v>
      </c>
      <c r="CH131" s="16">
        <v>-9999</v>
      </c>
      <c r="CI131" s="16">
        <v>-9999</v>
      </c>
      <c r="CJ131" s="16">
        <v>-9999</v>
      </c>
      <c r="CK131" s="16">
        <v>-9999</v>
      </c>
      <c r="CL131" s="16">
        <v>-9999</v>
      </c>
      <c r="CM131" s="16">
        <v>-9999</v>
      </c>
      <c r="CN131" s="16">
        <v>0.63016999859529177</v>
      </c>
      <c r="CO131" s="16">
        <v>0.72113000395517823</v>
      </c>
      <c r="CP131" s="16">
        <v>0.83576457999999998</v>
      </c>
      <c r="CQ131" s="16">
        <v>0.90362866389599994</v>
      </c>
      <c r="CR131" s="16">
        <v>0.96968391922679753</v>
      </c>
      <c r="CS131" s="16">
        <v>-9999</v>
      </c>
      <c r="CT131" s="16">
        <v>-9999</v>
      </c>
      <c r="CU131" s="16">
        <v>-9999</v>
      </c>
      <c r="CV131" s="16">
        <v>-9999</v>
      </c>
      <c r="CW131" s="16">
        <v>-9999</v>
      </c>
      <c r="CX131" s="16">
        <v>-9999</v>
      </c>
      <c r="CY131" s="16">
        <v>-9999</v>
      </c>
      <c r="CZ131" s="16">
        <v>-9999</v>
      </c>
      <c r="DA131" s="16">
        <v>0.72113000395517823</v>
      </c>
      <c r="DB131" s="16">
        <v>0.87951999205472797</v>
      </c>
      <c r="DC131" s="16">
        <v>1.02918321</v>
      </c>
      <c r="DD131" s="16">
        <v>1.0946907213165</v>
      </c>
      <c r="DE131" s="16">
        <v>1.1587082346990889</v>
      </c>
      <c r="DF131" s="16">
        <v>-9999</v>
      </c>
      <c r="DG131" s="16">
        <v>-9999</v>
      </c>
      <c r="DH131" s="16">
        <v>-9999</v>
      </c>
      <c r="DI131" s="16">
        <v>-9999</v>
      </c>
      <c r="DJ131" s="16">
        <v>-9999</v>
      </c>
      <c r="DK131" s="16">
        <v>-9999</v>
      </c>
      <c r="DL131" s="16">
        <v>-9999</v>
      </c>
      <c r="DM131" s="16">
        <v>-9999</v>
      </c>
      <c r="DN131" s="16">
        <v>0.63016999859529177</v>
      </c>
      <c r="DO131" s="16">
        <v>0.72113000395517823</v>
      </c>
      <c r="DP131" s="16">
        <v>0.83576457999999998</v>
      </c>
      <c r="DQ131" s="16">
        <v>0.90362866389599994</v>
      </c>
      <c r="DR131" s="16">
        <v>0.96968391922679753</v>
      </c>
      <c r="DS131" s="16">
        <v>-9999</v>
      </c>
      <c r="DT131" s="16">
        <v>-9999</v>
      </c>
      <c r="DU131" s="16">
        <v>-9999</v>
      </c>
      <c r="DV131" s="16">
        <v>-9999</v>
      </c>
      <c r="DW131" s="16">
        <v>-9999</v>
      </c>
      <c r="DX131" s="16">
        <v>-9999</v>
      </c>
      <c r="DY131" s="16">
        <v>-9999</v>
      </c>
      <c r="DZ131" s="16">
        <v>-9999</v>
      </c>
      <c r="EA131" s="2196">
        <v>1.8246111196951238</v>
      </c>
      <c r="EB131" s="2196">
        <v>1.9365422861736739</v>
      </c>
      <c r="EC131" s="2196">
        <v>2.0577855</v>
      </c>
      <c r="ED131" s="2196">
        <v>2.1935993430000003</v>
      </c>
      <c r="EE131" s="2196">
        <v>2.3497836162216008</v>
      </c>
      <c r="EF131" s="2197">
        <v>-9999</v>
      </c>
      <c r="EG131" s="2197">
        <v>-9999</v>
      </c>
      <c r="EH131" s="2197">
        <v>-9999</v>
      </c>
      <c r="EI131" s="2197">
        <v>-9999</v>
      </c>
      <c r="EJ131" s="2197">
        <v>-9999</v>
      </c>
      <c r="EK131" s="2197">
        <v>-9999</v>
      </c>
      <c r="EL131" s="2197">
        <v>-9999</v>
      </c>
      <c r="EM131" s="2197">
        <v>-9999</v>
      </c>
    </row>
    <row r="132" spans="1:143">
      <c r="A132" s="22">
        <v>32</v>
      </c>
      <c r="B132" s="30" t="s">
        <v>1705</v>
      </c>
      <c r="C132" s="25">
        <v>-9999</v>
      </c>
      <c r="D132" s="25">
        <v>-9999</v>
      </c>
      <c r="E132" s="25">
        <v>-9999</v>
      </c>
      <c r="F132" s="25">
        <v>-9999</v>
      </c>
      <c r="G132" s="25">
        <v>-9999</v>
      </c>
      <c r="H132" s="25">
        <v>-9999</v>
      </c>
      <c r="I132" s="25">
        <v>-9999</v>
      </c>
      <c r="J132" s="25">
        <v>-9999</v>
      </c>
      <c r="K132" s="25">
        <v>-9999</v>
      </c>
      <c r="L132" s="25">
        <v>-9999</v>
      </c>
      <c r="M132" s="25">
        <v>-9999</v>
      </c>
      <c r="N132" s="25">
        <v>-9999</v>
      </c>
      <c r="O132" s="25">
        <v>-9999</v>
      </c>
      <c r="P132" s="32"/>
      <c r="Q132"/>
      <c r="AA132" s="22">
        <v>32</v>
      </c>
      <c r="AB132" s="1040" t="str">
        <f t="shared" si="3"/>
        <v>FOR FUTURE USE</v>
      </c>
      <c r="AC132" s="1040">
        <f>CHOOSE(Tables!$U$2,Transfer!CA132,Transfer!CN132,Transfer!DA132,Transfer!DN132,Transfer!EA132)</f>
        <v>-9999</v>
      </c>
      <c r="AD132" s="1040">
        <f>CHOOSE(Tables!$U$2,Transfer!CB132,Transfer!CO132,Transfer!DB132,Transfer!DO132,Transfer!EB132)</f>
        <v>-9999</v>
      </c>
      <c r="AE132" s="1040">
        <f>CHOOSE(Tables!$U$2,Transfer!CC132,Transfer!CP132,Transfer!DC132,Transfer!DP132,Transfer!EC132)</f>
        <v>-9999</v>
      </c>
      <c r="AF132" s="1040">
        <f>CHOOSE(Tables!$U$2,Transfer!CD132,Transfer!CQ132,Transfer!DD132,Transfer!DQ132,Transfer!ED132)</f>
        <v>-9999</v>
      </c>
      <c r="AG132" s="1040">
        <f>CHOOSE(Tables!$U$2,Transfer!CE132,Transfer!CR132,Transfer!DE132,Transfer!DR132,Transfer!EE132)</f>
        <v>-9999</v>
      </c>
      <c r="AH132" s="1040">
        <f>CHOOSE(Tables!$U$2,Transfer!CF132,Transfer!CS132,Transfer!DF132,Transfer!DS132,Transfer!EF132)</f>
        <v>-9999</v>
      </c>
      <c r="AI132" s="1040">
        <f>CHOOSE(Tables!$U$2,Transfer!CG132,Transfer!CT132,Transfer!DG132,Transfer!DT132,Transfer!EG132)</f>
        <v>-9999</v>
      </c>
      <c r="AJ132" s="1040">
        <f>CHOOSE(Tables!$U$2,Transfer!CH132,Transfer!CU132,Transfer!DH132,Transfer!DU132,Transfer!EH132)</f>
        <v>-9999</v>
      </c>
      <c r="AK132" s="1040">
        <f>CHOOSE(Tables!$U$2,Transfer!CI132,Transfer!CV132,Transfer!DI132,Transfer!DV132,Transfer!EI132)</f>
        <v>-9999</v>
      </c>
      <c r="AL132" s="1040">
        <f>CHOOSE(Tables!$U$2,Transfer!CJ132,Transfer!CW132,Transfer!DJ132,Transfer!DW132,Transfer!EJ132)</f>
        <v>-9999</v>
      </c>
      <c r="AM132" s="1040">
        <f>CHOOSE(Tables!$U$2,Transfer!CK132,Transfer!CX132,Transfer!DK132,Transfer!DX132,Transfer!EK132)</f>
        <v>-9999</v>
      </c>
      <c r="AN132" s="1040">
        <f>CHOOSE(Tables!$U$2,Transfer!CL132,Transfer!CY132,Transfer!DL132,Transfer!DY132,Transfer!EL132)</f>
        <v>-9999</v>
      </c>
      <c r="AO132" s="1040">
        <f>CHOOSE(Tables!$U$2,Transfer!CM132,Transfer!CZ132,Transfer!DM132,Transfer!DZ132,Transfer!EM132)</f>
        <v>-9999</v>
      </c>
      <c r="AR132" s="22">
        <v>32</v>
      </c>
      <c r="AS132" s="1" t="s">
        <v>400</v>
      </c>
      <c r="AT132" s="24">
        <f t="shared" si="5"/>
        <v>0</v>
      </c>
      <c r="AU132" s="24">
        <f t="shared" si="5"/>
        <v>0</v>
      </c>
      <c r="AV132" s="24">
        <f t="shared" si="5"/>
        <v>0</v>
      </c>
      <c r="AW132" s="24">
        <f t="shared" si="5"/>
        <v>0</v>
      </c>
      <c r="AX132" s="24">
        <f t="shared" si="5"/>
        <v>0</v>
      </c>
      <c r="AY132" s="25">
        <f t="shared" si="5"/>
        <v>0</v>
      </c>
      <c r="AZ132" s="25">
        <f t="shared" si="5"/>
        <v>0</v>
      </c>
      <c r="BA132" s="25">
        <f t="shared" si="5"/>
        <v>0</v>
      </c>
      <c r="BB132" s="25">
        <f t="shared" si="4"/>
        <v>0</v>
      </c>
      <c r="BC132" s="25">
        <f t="shared" si="4"/>
        <v>0</v>
      </c>
      <c r="BD132" s="25">
        <f t="shared" si="4"/>
        <v>0</v>
      </c>
      <c r="BE132" s="25">
        <f t="shared" si="4"/>
        <v>0</v>
      </c>
      <c r="BF132" s="25">
        <f t="shared" si="4"/>
        <v>0</v>
      </c>
      <c r="CA132" s="16">
        <v>-9999</v>
      </c>
      <c r="CB132" s="16">
        <v>-9999</v>
      </c>
      <c r="CC132" s="16">
        <v>-9999</v>
      </c>
      <c r="CD132" s="16">
        <v>-9999</v>
      </c>
      <c r="CE132" s="16">
        <v>-9999</v>
      </c>
      <c r="CF132" s="16">
        <v>-9999</v>
      </c>
      <c r="CG132" s="16">
        <v>-9999</v>
      </c>
      <c r="CH132" s="16">
        <v>-9999</v>
      </c>
      <c r="CI132" s="16">
        <v>-9999</v>
      </c>
      <c r="CJ132" s="16">
        <v>-9999</v>
      </c>
      <c r="CK132" s="16">
        <v>-9999</v>
      </c>
      <c r="CL132" s="16">
        <v>-9999</v>
      </c>
      <c r="CM132" s="16">
        <v>-9999</v>
      </c>
      <c r="CN132" s="16">
        <v>-9999</v>
      </c>
      <c r="CO132" s="16">
        <v>-9999</v>
      </c>
      <c r="CP132" s="16">
        <v>-9999</v>
      </c>
      <c r="CQ132" s="16">
        <v>-9999</v>
      </c>
      <c r="CR132" s="16">
        <v>-9999</v>
      </c>
      <c r="CS132" s="16">
        <v>-9999</v>
      </c>
      <c r="CT132" s="16">
        <v>-9999</v>
      </c>
      <c r="CU132" s="16">
        <v>-9999</v>
      </c>
      <c r="CV132" s="16">
        <v>-9999</v>
      </c>
      <c r="CW132" s="16">
        <v>-9999</v>
      </c>
      <c r="CX132" s="16">
        <v>-9999</v>
      </c>
      <c r="CY132" s="16">
        <v>-9999</v>
      </c>
      <c r="CZ132" s="16">
        <v>-9999</v>
      </c>
      <c r="DA132" s="16">
        <v>-9999</v>
      </c>
      <c r="DB132" s="16">
        <v>-9999</v>
      </c>
      <c r="DC132" s="16">
        <v>-9999</v>
      </c>
      <c r="DD132" s="16">
        <v>-9999</v>
      </c>
      <c r="DE132" s="16">
        <v>-9999</v>
      </c>
      <c r="DF132" s="16">
        <v>-9999</v>
      </c>
      <c r="DG132" s="16">
        <v>-9999</v>
      </c>
      <c r="DH132" s="16">
        <v>-9999</v>
      </c>
      <c r="DI132" s="16">
        <v>-9999</v>
      </c>
      <c r="DJ132" s="16">
        <v>-9999</v>
      </c>
      <c r="DK132" s="16">
        <v>-9999</v>
      </c>
      <c r="DL132" s="16">
        <v>-9999</v>
      </c>
      <c r="DM132" s="16">
        <v>-9999</v>
      </c>
      <c r="DN132" s="16">
        <v>-9999</v>
      </c>
      <c r="DO132" s="16">
        <v>-9999</v>
      </c>
      <c r="DP132" s="16">
        <v>-9999</v>
      </c>
      <c r="DQ132" s="16">
        <v>-9999</v>
      </c>
      <c r="DR132" s="16">
        <v>-9999</v>
      </c>
      <c r="DS132" s="16">
        <v>-9999</v>
      </c>
      <c r="DT132" s="16">
        <v>-9999</v>
      </c>
      <c r="DU132" s="16">
        <v>-9999</v>
      </c>
      <c r="DV132" s="16">
        <v>-9999</v>
      </c>
      <c r="DW132" s="16">
        <v>-9999</v>
      </c>
      <c r="DX132" s="16">
        <v>-9999</v>
      </c>
      <c r="DY132" s="16">
        <v>-9999</v>
      </c>
      <c r="DZ132" s="16">
        <v>-9999</v>
      </c>
      <c r="EA132" s="2196">
        <v>-9999</v>
      </c>
      <c r="EB132" s="2196">
        <v>-9999</v>
      </c>
      <c r="EC132" s="2196">
        <v>-9999</v>
      </c>
      <c r="ED132" s="2196">
        <v>-9999</v>
      </c>
      <c r="EE132" s="2196">
        <v>-9999</v>
      </c>
      <c r="EF132" s="2197">
        <v>-9999</v>
      </c>
      <c r="EG132" s="2197">
        <v>-9999</v>
      </c>
      <c r="EH132" s="2197">
        <v>-9999</v>
      </c>
      <c r="EI132" s="2197">
        <v>-9999</v>
      </c>
      <c r="EJ132" s="2197">
        <v>-9999</v>
      </c>
      <c r="EK132" s="2197">
        <v>-9999</v>
      </c>
      <c r="EL132" s="2197">
        <v>-9999</v>
      </c>
      <c r="EM132" s="2197">
        <v>-9999</v>
      </c>
    </row>
    <row r="133" spans="1:143">
      <c r="A133" s="22">
        <v>33</v>
      </c>
      <c r="B133" s="1" t="s">
        <v>1058</v>
      </c>
      <c r="C133" s="24">
        <f ca="1">OFFSET('VVP2'!F205,0,Last_forecast_year - 3-InputY!$G$3)</f>
        <v>1.05339</v>
      </c>
      <c r="D133" s="24">
        <f ca="1">OFFSET('VVP2'!G205,0,Last_forecast_year - 3-InputY!$G$3)</f>
        <v>1.1606800000000002</v>
      </c>
      <c r="E133" s="24">
        <f ca="1">OFFSET('VVP2'!H205,0,Last_forecast_year - 3-InputY!$G$3)</f>
        <v>1.1259700000000001</v>
      </c>
      <c r="F133" s="24">
        <f ca="1">OFFSET('VVP2'!I205,0,Last_forecast_year - 3-InputY!$G$3)</f>
        <v>1.2038364553499998</v>
      </c>
      <c r="G133" s="24">
        <f ca="1">OFFSET('VVP2'!J205,0,Last_forecast_year - 3-InputY!$G$3)</f>
        <v>1.2659471934273276</v>
      </c>
      <c r="H133" s="25">
        <v>-9999</v>
      </c>
      <c r="I133" s="25">
        <v>-9999</v>
      </c>
      <c r="J133" s="25">
        <v>-9999</v>
      </c>
      <c r="K133" s="25">
        <v>-9999</v>
      </c>
      <c r="L133" s="25">
        <v>-9999</v>
      </c>
      <c r="M133" s="25">
        <v>-9999</v>
      </c>
      <c r="N133" s="25">
        <v>-9999</v>
      </c>
      <c r="O133" s="25">
        <v>-9999</v>
      </c>
      <c r="P133" s="32"/>
      <c r="Q133"/>
      <c r="AA133" s="22">
        <v>33</v>
      </c>
      <c r="AB133" s="1040" t="str">
        <f t="shared" si="3"/>
        <v xml:space="preserve">VAL. FIXED INVESTMENT HOUSING </v>
      </c>
      <c r="AC133" s="1040">
        <f>CHOOSE(Tables!$U$2,Transfer!CA133,Transfer!CN133,Transfer!DA133,Transfer!DN133,Transfer!EA133)</f>
        <v>1.8934800000000001</v>
      </c>
      <c r="AD133" s="1040">
        <f>CHOOSE(Tables!$U$2,Transfer!CB133,Transfer!CO133,Transfer!DB133,Transfer!DO133,Transfer!EB133)</f>
        <v>1.9978499999999999</v>
      </c>
      <c r="AE133" s="1040">
        <f>CHOOSE(Tables!$U$2,Transfer!CC133,Transfer!CP133,Transfer!DC133,Transfer!DP133,Transfer!EC133)</f>
        <v>2.1092301375</v>
      </c>
      <c r="AF133" s="1040">
        <f>CHOOSE(Tables!$U$2,Transfer!CD133,Transfer!CQ133,Transfer!DD133,Transfer!DQ133,Transfer!ED133)</f>
        <v>2.2594073232900005</v>
      </c>
      <c r="AG133" s="1040">
        <f>CHOOSE(Tables!$U$2,Transfer!CE133,Transfer!CR133,Transfer!DE133,Transfer!DR133,Transfer!EE133)</f>
        <v>2.4437749608704649</v>
      </c>
      <c r="AH133" s="1040">
        <f>CHOOSE(Tables!$U$2,Transfer!CF133,Transfer!CS133,Transfer!DF133,Transfer!DS133,Transfer!EF133)</f>
        <v>-9999</v>
      </c>
      <c r="AI133" s="1040">
        <f>CHOOSE(Tables!$U$2,Transfer!CG133,Transfer!CT133,Transfer!DG133,Transfer!DT133,Transfer!EG133)</f>
        <v>-9999</v>
      </c>
      <c r="AJ133" s="1040">
        <f>CHOOSE(Tables!$U$2,Transfer!CH133,Transfer!CU133,Transfer!DH133,Transfer!DU133,Transfer!EH133)</f>
        <v>-9999</v>
      </c>
      <c r="AK133" s="1040">
        <f>CHOOSE(Tables!$U$2,Transfer!CI133,Transfer!CV133,Transfer!DI133,Transfer!DV133,Transfer!EI133)</f>
        <v>-9999</v>
      </c>
      <c r="AL133" s="1040">
        <f>CHOOSE(Tables!$U$2,Transfer!CJ133,Transfer!CW133,Transfer!DJ133,Transfer!DW133,Transfer!EJ133)</f>
        <v>-9999</v>
      </c>
      <c r="AM133" s="1040">
        <f>CHOOSE(Tables!$U$2,Transfer!CK133,Transfer!CX133,Transfer!DK133,Transfer!DX133,Transfer!EK133)</f>
        <v>-9999</v>
      </c>
      <c r="AN133" s="1040">
        <f>CHOOSE(Tables!$U$2,Transfer!CL133,Transfer!CY133,Transfer!DL133,Transfer!DY133,Transfer!EL133)</f>
        <v>-9999</v>
      </c>
      <c r="AO133" s="1040">
        <f>CHOOSE(Tables!$U$2,Transfer!CM133,Transfer!CZ133,Transfer!DM133,Transfer!DZ133,Transfer!EM133)</f>
        <v>-9999</v>
      </c>
      <c r="AR133" s="22">
        <v>33</v>
      </c>
      <c r="AS133" s="1" t="s">
        <v>1058</v>
      </c>
      <c r="AT133" s="24">
        <f t="shared" ca="1" si="5"/>
        <v>-0.84009</v>
      </c>
      <c r="AU133" s="24">
        <f t="shared" ca="1" si="5"/>
        <v>-0.83716999999999975</v>
      </c>
      <c r="AV133" s="24">
        <f t="shared" ca="1" si="5"/>
        <v>-0.98326013749999985</v>
      </c>
      <c r="AW133" s="24">
        <f t="shared" ca="1" si="5"/>
        <v>-1.0555708679400007</v>
      </c>
      <c r="AX133" s="24">
        <f t="shared" ca="1" si="5"/>
        <v>-1.1778277674431372</v>
      </c>
      <c r="AY133" s="25">
        <f t="shared" si="5"/>
        <v>0</v>
      </c>
      <c r="AZ133" s="25">
        <f t="shared" si="5"/>
        <v>0</v>
      </c>
      <c r="BA133" s="25">
        <f t="shared" si="5"/>
        <v>0</v>
      </c>
      <c r="BB133" s="25">
        <f t="shared" si="4"/>
        <v>0</v>
      </c>
      <c r="BC133" s="25">
        <f t="shared" si="4"/>
        <v>0</v>
      </c>
      <c r="BD133" s="25">
        <f t="shared" si="4"/>
        <v>0</v>
      </c>
      <c r="BE133" s="25">
        <f t="shared" si="4"/>
        <v>0</v>
      </c>
      <c r="BF133" s="25">
        <f t="shared" si="4"/>
        <v>0</v>
      </c>
      <c r="CA133" s="16">
        <v>0.75691999999999993</v>
      </c>
      <c r="CB133" s="16">
        <v>0.9133</v>
      </c>
      <c r="CC133" s="16">
        <v>1.00115946</v>
      </c>
      <c r="CD133" s="16">
        <v>1.092064738968</v>
      </c>
      <c r="CE133" s="16">
        <v>1.2414591952588225</v>
      </c>
      <c r="CF133" s="16">
        <v>-9999</v>
      </c>
      <c r="CG133" s="16">
        <v>-9999</v>
      </c>
      <c r="CH133" s="16">
        <v>-9999</v>
      </c>
      <c r="CI133" s="16">
        <v>-9999</v>
      </c>
      <c r="CJ133" s="16">
        <v>-9999</v>
      </c>
      <c r="CK133" s="16">
        <v>-9999</v>
      </c>
      <c r="CL133" s="16">
        <v>-9999</v>
      </c>
      <c r="CM133" s="16">
        <v>-9999</v>
      </c>
      <c r="CN133" s="16">
        <v>0.64944000000000002</v>
      </c>
      <c r="CO133" s="16">
        <v>0.75361999999999996</v>
      </c>
      <c r="CP133" s="16">
        <v>0.85247987160000005</v>
      </c>
      <c r="CQ133" s="16">
        <v>0.92350849450171213</v>
      </c>
      <c r="CR133" s="16">
        <v>0.99344117524785436</v>
      </c>
      <c r="CS133" s="16">
        <v>-9999</v>
      </c>
      <c r="CT133" s="16">
        <v>-9999</v>
      </c>
      <c r="CU133" s="16">
        <v>-9999</v>
      </c>
      <c r="CV133" s="16">
        <v>-9999</v>
      </c>
      <c r="CW133" s="16">
        <v>-9999</v>
      </c>
      <c r="CX133" s="16">
        <v>-9999</v>
      </c>
      <c r="CY133" s="16">
        <v>-9999</v>
      </c>
      <c r="CZ133" s="16">
        <v>-9999</v>
      </c>
      <c r="DA133" s="16">
        <v>0.75361999999999996</v>
      </c>
      <c r="DB133" s="16">
        <v>0.90837000000000001</v>
      </c>
      <c r="DC133" s="16">
        <v>1.0425625917299999</v>
      </c>
      <c r="DD133" s="16">
        <v>1.105637628529665</v>
      </c>
      <c r="DE133" s="16">
        <v>1.1760888582195752</v>
      </c>
      <c r="DF133" s="16">
        <v>-9999</v>
      </c>
      <c r="DG133" s="16">
        <v>-9999</v>
      </c>
      <c r="DH133" s="16">
        <v>-9999</v>
      </c>
      <c r="DI133" s="16">
        <v>-9999</v>
      </c>
      <c r="DJ133" s="16">
        <v>-9999</v>
      </c>
      <c r="DK133" s="16">
        <v>-9999</v>
      </c>
      <c r="DL133" s="16">
        <v>-9999</v>
      </c>
      <c r="DM133" s="16">
        <v>-9999</v>
      </c>
      <c r="DN133" s="16">
        <v>0.64944000000000002</v>
      </c>
      <c r="DO133" s="16">
        <v>0.75361999999999996</v>
      </c>
      <c r="DP133" s="16">
        <v>0.85247987160000005</v>
      </c>
      <c r="DQ133" s="16">
        <v>0.92350849450171213</v>
      </c>
      <c r="DR133" s="16">
        <v>0.99344117524785436</v>
      </c>
      <c r="DS133" s="16">
        <v>-9999</v>
      </c>
      <c r="DT133" s="16">
        <v>-9999</v>
      </c>
      <c r="DU133" s="16">
        <v>-9999</v>
      </c>
      <c r="DV133" s="16">
        <v>-9999</v>
      </c>
      <c r="DW133" s="16">
        <v>-9999</v>
      </c>
      <c r="DX133" s="16">
        <v>-9999</v>
      </c>
      <c r="DY133" s="16">
        <v>-9999</v>
      </c>
      <c r="DZ133" s="16">
        <v>-9999</v>
      </c>
      <c r="EA133" s="2196">
        <v>1.8934800000000001</v>
      </c>
      <c r="EB133" s="2196">
        <v>1.9978499999999999</v>
      </c>
      <c r="EC133" s="2196">
        <v>2.1092301375</v>
      </c>
      <c r="ED133" s="2196">
        <v>2.2594073232900005</v>
      </c>
      <c r="EE133" s="2196">
        <v>2.4437749608704649</v>
      </c>
      <c r="EF133" s="2197">
        <v>-9999</v>
      </c>
      <c r="EG133" s="2197">
        <v>-9999</v>
      </c>
      <c r="EH133" s="2197">
        <v>-9999</v>
      </c>
      <c r="EI133" s="2197">
        <v>-9999</v>
      </c>
      <c r="EJ133" s="2197">
        <v>-9999</v>
      </c>
      <c r="EK133" s="2197">
        <v>-9999</v>
      </c>
      <c r="EL133" s="2197">
        <v>-9999</v>
      </c>
      <c r="EM133" s="2197">
        <v>-9999</v>
      </c>
    </row>
    <row r="134" spans="1:143">
      <c r="A134" s="22">
        <v>34</v>
      </c>
      <c r="B134" s="30" t="s">
        <v>1705</v>
      </c>
      <c r="C134" s="25">
        <v>-9999</v>
      </c>
      <c r="D134" s="25">
        <v>-9999</v>
      </c>
      <c r="E134" s="25">
        <v>-9999</v>
      </c>
      <c r="F134" s="25">
        <v>-9999</v>
      </c>
      <c r="G134" s="25">
        <v>-9999</v>
      </c>
      <c r="H134" s="25">
        <v>-9999</v>
      </c>
      <c r="I134" s="25">
        <v>-9999</v>
      </c>
      <c r="J134" s="25">
        <v>-9999</v>
      </c>
      <c r="K134" s="25">
        <v>-9999</v>
      </c>
      <c r="L134" s="25">
        <v>-9999</v>
      </c>
      <c r="M134" s="25">
        <v>-9999</v>
      </c>
      <c r="N134" s="25">
        <v>-9999</v>
      </c>
      <c r="O134" s="25">
        <v>-9999</v>
      </c>
      <c r="P134" s="32"/>
      <c r="Q134"/>
      <c r="AA134" s="22">
        <v>34</v>
      </c>
      <c r="AB134" s="1040" t="str">
        <f t="shared" si="3"/>
        <v>FOR FUTURE USE</v>
      </c>
      <c r="AC134" s="1040">
        <f>CHOOSE(Tables!$U$2,Transfer!CA134,Transfer!CN134,Transfer!DA134,Transfer!DN134,Transfer!EA134)</f>
        <v>-9999</v>
      </c>
      <c r="AD134" s="1040">
        <f>CHOOSE(Tables!$U$2,Transfer!CB134,Transfer!CO134,Transfer!DB134,Transfer!DO134,Transfer!EB134)</f>
        <v>-9999</v>
      </c>
      <c r="AE134" s="1040">
        <f>CHOOSE(Tables!$U$2,Transfer!CC134,Transfer!CP134,Transfer!DC134,Transfer!DP134,Transfer!EC134)</f>
        <v>-9999</v>
      </c>
      <c r="AF134" s="1040">
        <f>CHOOSE(Tables!$U$2,Transfer!CD134,Transfer!CQ134,Transfer!DD134,Transfer!DQ134,Transfer!ED134)</f>
        <v>-9999</v>
      </c>
      <c r="AG134" s="1040">
        <f>CHOOSE(Tables!$U$2,Transfer!CE134,Transfer!CR134,Transfer!DE134,Transfer!DR134,Transfer!EE134)</f>
        <v>-9999</v>
      </c>
      <c r="AH134" s="1040">
        <f>CHOOSE(Tables!$U$2,Transfer!CF134,Transfer!CS134,Transfer!DF134,Transfer!DS134,Transfer!EF134)</f>
        <v>-9999</v>
      </c>
      <c r="AI134" s="1040">
        <f>CHOOSE(Tables!$U$2,Transfer!CG134,Transfer!CT134,Transfer!DG134,Transfer!DT134,Transfer!EG134)</f>
        <v>-9999</v>
      </c>
      <c r="AJ134" s="1040">
        <f>CHOOSE(Tables!$U$2,Transfer!CH134,Transfer!CU134,Transfer!DH134,Transfer!DU134,Transfer!EH134)</f>
        <v>-9999</v>
      </c>
      <c r="AK134" s="1040">
        <f>CHOOSE(Tables!$U$2,Transfer!CI134,Transfer!CV134,Transfer!DI134,Transfer!DV134,Transfer!EI134)</f>
        <v>-9999</v>
      </c>
      <c r="AL134" s="1040">
        <f>CHOOSE(Tables!$U$2,Transfer!CJ134,Transfer!CW134,Transfer!DJ134,Transfer!DW134,Transfer!EJ134)</f>
        <v>-9999</v>
      </c>
      <c r="AM134" s="1040">
        <f>CHOOSE(Tables!$U$2,Transfer!CK134,Transfer!CX134,Transfer!DK134,Transfer!DX134,Transfer!EK134)</f>
        <v>-9999</v>
      </c>
      <c r="AN134" s="1040">
        <f>CHOOSE(Tables!$U$2,Transfer!CL134,Transfer!CY134,Transfer!DL134,Transfer!DY134,Transfer!EL134)</f>
        <v>-9999</v>
      </c>
      <c r="AO134" s="1040">
        <f>CHOOSE(Tables!$U$2,Transfer!CM134,Transfer!CZ134,Transfer!DM134,Transfer!DZ134,Transfer!EM134)</f>
        <v>-9999</v>
      </c>
      <c r="AR134" s="22">
        <v>34</v>
      </c>
      <c r="AS134" s="33" t="s">
        <v>223</v>
      </c>
      <c r="AT134" s="24">
        <f t="shared" si="5"/>
        <v>0</v>
      </c>
      <c r="AU134" s="24">
        <f t="shared" si="5"/>
        <v>0</v>
      </c>
      <c r="AV134" s="24">
        <f t="shared" si="5"/>
        <v>0</v>
      </c>
      <c r="AW134" s="24">
        <f t="shared" si="5"/>
        <v>0</v>
      </c>
      <c r="AX134" s="24">
        <f t="shared" si="5"/>
        <v>0</v>
      </c>
      <c r="AY134" s="25">
        <f t="shared" si="5"/>
        <v>0</v>
      </c>
      <c r="AZ134" s="25">
        <f t="shared" si="5"/>
        <v>0</v>
      </c>
      <c r="BA134" s="25">
        <f t="shared" si="5"/>
        <v>0</v>
      </c>
      <c r="BB134" s="25">
        <f t="shared" si="4"/>
        <v>0</v>
      </c>
      <c r="BC134" s="25">
        <f t="shared" si="4"/>
        <v>0</v>
      </c>
      <c r="BD134" s="25">
        <f t="shared" si="4"/>
        <v>0</v>
      </c>
      <c r="BE134" s="25">
        <f t="shared" si="4"/>
        <v>0</v>
      </c>
      <c r="BF134" s="25">
        <f t="shared" si="4"/>
        <v>0</v>
      </c>
      <c r="CA134" s="16">
        <v>-9999</v>
      </c>
      <c r="CB134" s="16">
        <v>-9999</v>
      </c>
      <c r="CC134" s="16">
        <v>-9999</v>
      </c>
      <c r="CD134" s="16">
        <v>-9999</v>
      </c>
      <c r="CE134" s="16">
        <v>-9999</v>
      </c>
      <c r="CF134" s="16">
        <v>-9999</v>
      </c>
      <c r="CG134" s="16">
        <v>-9999</v>
      </c>
      <c r="CH134" s="16">
        <v>-9999</v>
      </c>
      <c r="CI134" s="16">
        <v>-9999</v>
      </c>
      <c r="CJ134" s="16">
        <v>-9999</v>
      </c>
      <c r="CK134" s="16">
        <v>-9999</v>
      </c>
      <c r="CL134" s="16">
        <v>-9999</v>
      </c>
      <c r="CM134" s="16">
        <v>-9999</v>
      </c>
      <c r="CN134" s="16">
        <v>-9999</v>
      </c>
      <c r="CO134" s="16">
        <v>-9999</v>
      </c>
      <c r="CP134" s="16">
        <v>-9999</v>
      </c>
      <c r="CQ134" s="16">
        <v>-9999</v>
      </c>
      <c r="CR134" s="16">
        <v>-9999</v>
      </c>
      <c r="CS134" s="16">
        <v>-9999</v>
      </c>
      <c r="CT134" s="16">
        <v>-9999</v>
      </c>
      <c r="CU134" s="16">
        <v>-9999</v>
      </c>
      <c r="CV134" s="16">
        <v>-9999</v>
      </c>
      <c r="CW134" s="16">
        <v>-9999</v>
      </c>
      <c r="CX134" s="16">
        <v>-9999</v>
      </c>
      <c r="CY134" s="16">
        <v>-9999</v>
      </c>
      <c r="CZ134" s="16">
        <v>-9999</v>
      </c>
      <c r="DA134" s="16">
        <v>-9999</v>
      </c>
      <c r="DB134" s="16">
        <v>-9999</v>
      </c>
      <c r="DC134" s="16">
        <v>-9999</v>
      </c>
      <c r="DD134" s="16">
        <v>-9999</v>
      </c>
      <c r="DE134" s="16">
        <v>-9999</v>
      </c>
      <c r="DF134" s="16">
        <v>-9999</v>
      </c>
      <c r="DG134" s="16">
        <v>-9999</v>
      </c>
      <c r="DH134" s="16">
        <v>-9999</v>
      </c>
      <c r="DI134" s="16">
        <v>-9999</v>
      </c>
      <c r="DJ134" s="16">
        <v>-9999</v>
      </c>
      <c r="DK134" s="16">
        <v>-9999</v>
      </c>
      <c r="DL134" s="16">
        <v>-9999</v>
      </c>
      <c r="DM134" s="16">
        <v>-9999</v>
      </c>
      <c r="DN134" s="16">
        <v>-9999</v>
      </c>
      <c r="DO134" s="16">
        <v>-9999</v>
      </c>
      <c r="DP134" s="16">
        <v>-9999</v>
      </c>
      <c r="DQ134" s="16">
        <v>-9999</v>
      </c>
      <c r="DR134" s="16">
        <v>-9999</v>
      </c>
      <c r="DS134" s="16">
        <v>-9999</v>
      </c>
      <c r="DT134" s="16">
        <v>-9999</v>
      </c>
      <c r="DU134" s="16">
        <v>-9999</v>
      </c>
      <c r="DV134" s="16">
        <v>-9999</v>
      </c>
      <c r="DW134" s="16">
        <v>-9999</v>
      </c>
      <c r="DX134" s="16">
        <v>-9999</v>
      </c>
      <c r="DY134" s="16">
        <v>-9999</v>
      </c>
      <c r="DZ134" s="16">
        <v>-9999</v>
      </c>
      <c r="EA134" s="2196">
        <v>-9999</v>
      </c>
      <c r="EB134" s="2196">
        <v>-9999</v>
      </c>
      <c r="EC134" s="2196">
        <v>-9999</v>
      </c>
      <c r="ED134" s="2196">
        <v>-9999</v>
      </c>
      <c r="EE134" s="2196">
        <v>-9999</v>
      </c>
      <c r="EF134" s="2197">
        <v>-9999</v>
      </c>
      <c r="EG134" s="2197">
        <v>-9999</v>
      </c>
      <c r="EH134" s="2197">
        <v>-9999</v>
      </c>
      <c r="EI134" s="2197">
        <v>-9999</v>
      </c>
      <c r="EJ134" s="2197">
        <v>-9999</v>
      </c>
      <c r="EK134" s="2197">
        <v>-9999</v>
      </c>
      <c r="EL134" s="2197">
        <v>-9999</v>
      </c>
      <c r="EM134" s="2197">
        <v>-9999</v>
      </c>
    </row>
    <row r="135" spans="1:143">
      <c r="A135" s="22">
        <v>35</v>
      </c>
      <c r="B135" s="30" t="s">
        <v>1705</v>
      </c>
      <c r="C135" s="25">
        <v>-9999</v>
      </c>
      <c r="D135" s="25">
        <v>-9999</v>
      </c>
      <c r="E135" s="25">
        <v>-9999</v>
      </c>
      <c r="F135" s="25">
        <v>-9999</v>
      </c>
      <c r="G135" s="25">
        <v>-9999</v>
      </c>
      <c r="H135" s="25">
        <v>-9999</v>
      </c>
      <c r="I135" s="25">
        <v>-9999</v>
      </c>
      <c r="J135" s="25">
        <v>-9999</v>
      </c>
      <c r="K135" s="25">
        <v>-9999</v>
      </c>
      <c r="L135" s="25">
        <v>-9999</v>
      </c>
      <c r="M135" s="25">
        <v>-9999</v>
      </c>
      <c r="N135" s="25">
        <v>-9999</v>
      </c>
      <c r="O135" s="25">
        <v>-9999</v>
      </c>
      <c r="P135" s="32"/>
      <c r="Q135"/>
      <c r="AA135" s="22">
        <v>35</v>
      </c>
      <c r="AB135" s="1040" t="str">
        <f t="shared" si="3"/>
        <v>FOR FUTURE USE</v>
      </c>
      <c r="AC135" s="1040">
        <f>CHOOSE(Tables!$U$2,Transfer!CA135,Transfer!CN135,Transfer!DA135,Transfer!DN135,Transfer!EA135)</f>
        <v>-9999</v>
      </c>
      <c r="AD135" s="1040">
        <f>CHOOSE(Tables!$U$2,Transfer!CB135,Transfer!CO135,Transfer!DB135,Transfer!DO135,Transfer!EB135)</f>
        <v>-9999</v>
      </c>
      <c r="AE135" s="1040">
        <f>CHOOSE(Tables!$U$2,Transfer!CC135,Transfer!CP135,Transfer!DC135,Transfer!DP135,Transfer!EC135)</f>
        <v>-9999</v>
      </c>
      <c r="AF135" s="1040">
        <f>CHOOSE(Tables!$U$2,Transfer!CD135,Transfer!CQ135,Transfer!DD135,Transfer!DQ135,Transfer!ED135)</f>
        <v>-9999</v>
      </c>
      <c r="AG135" s="1040">
        <f>CHOOSE(Tables!$U$2,Transfer!CE135,Transfer!CR135,Transfer!DE135,Transfer!DR135,Transfer!EE135)</f>
        <v>-9999</v>
      </c>
      <c r="AH135" s="1040">
        <f>CHOOSE(Tables!$U$2,Transfer!CF135,Transfer!CS135,Transfer!DF135,Transfer!DS135,Transfer!EF135)</f>
        <v>-9999</v>
      </c>
      <c r="AI135" s="1040">
        <f>CHOOSE(Tables!$U$2,Transfer!CG135,Transfer!CT135,Transfer!DG135,Transfer!DT135,Transfer!EG135)</f>
        <v>-9999</v>
      </c>
      <c r="AJ135" s="1040">
        <f>CHOOSE(Tables!$U$2,Transfer!CH135,Transfer!CU135,Transfer!DH135,Transfer!DU135,Transfer!EH135)</f>
        <v>-9999</v>
      </c>
      <c r="AK135" s="1040">
        <f>CHOOSE(Tables!$U$2,Transfer!CI135,Transfer!CV135,Transfer!DI135,Transfer!DV135,Transfer!EI135)</f>
        <v>-9999</v>
      </c>
      <c r="AL135" s="1040">
        <f>CHOOSE(Tables!$U$2,Transfer!CJ135,Transfer!CW135,Transfer!DJ135,Transfer!DW135,Transfer!EJ135)</f>
        <v>-9999</v>
      </c>
      <c r="AM135" s="1040">
        <f>CHOOSE(Tables!$U$2,Transfer!CK135,Transfer!CX135,Transfer!DK135,Transfer!DX135,Transfer!EK135)</f>
        <v>-9999</v>
      </c>
      <c r="AN135" s="1040">
        <f>CHOOSE(Tables!$U$2,Transfer!CL135,Transfer!CY135,Transfer!DL135,Transfer!DY135,Transfer!EL135)</f>
        <v>-9999</v>
      </c>
      <c r="AO135" s="1040">
        <f>CHOOSE(Tables!$U$2,Transfer!CM135,Transfer!CZ135,Transfer!DM135,Transfer!DZ135,Transfer!EM135)</f>
        <v>-9999</v>
      </c>
      <c r="AR135" s="22">
        <v>35</v>
      </c>
      <c r="AS135" s="30" t="s">
        <v>1705</v>
      </c>
      <c r="AT135" s="25">
        <f t="shared" si="5"/>
        <v>0</v>
      </c>
      <c r="AU135" s="25">
        <f t="shared" si="5"/>
        <v>0</v>
      </c>
      <c r="AV135" s="25">
        <f t="shared" si="5"/>
        <v>0</v>
      </c>
      <c r="AW135" s="25">
        <f t="shared" si="5"/>
        <v>0</v>
      </c>
      <c r="AX135" s="25">
        <f t="shared" si="5"/>
        <v>0</v>
      </c>
      <c r="AY135" s="25">
        <f t="shared" si="5"/>
        <v>0</v>
      </c>
      <c r="AZ135" s="25">
        <f t="shared" si="5"/>
        <v>0</v>
      </c>
      <c r="BA135" s="25">
        <f t="shared" si="5"/>
        <v>0</v>
      </c>
      <c r="BB135" s="25">
        <f t="shared" si="5"/>
        <v>0</v>
      </c>
      <c r="BC135" s="25">
        <f t="shared" si="5"/>
        <v>0</v>
      </c>
      <c r="BD135" s="25">
        <f t="shared" si="5"/>
        <v>0</v>
      </c>
      <c r="BE135" s="25">
        <f t="shared" si="5"/>
        <v>0</v>
      </c>
      <c r="BF135" s="25">
        <f t="shared" si="5"/>
        <v>0</v>
      </c>
      <c r="CA135" s="16">
        <v>-9999</v>
      </c>
      <c r="CB135" s="16">
        <v>-9999</v>
      </c>
      <c r="CC135" s="16">
        <v>-9999</v>
      </c>
      <c r="CD135" s="16">
        <v>-9999</v>
      </c>
      <c r="CE135" s="16">
        <v>-9999</v>
      </c>
      <c r="CF135" s="16">
        <v>-9999</v>
      </c>
      <c r="CG135" s="16">
        <v>-9999</v>
      </c>
      <c r="CH135" s="16">
        <v>-9999</v>
      </c>
      <c r="CI135" s="16">
        <v>-9999</v>
      </c>
      <c r="CJ135" s="16">
        <v>-9999</v>
      </c>
      <c r="CK135" s="16">
        <v>-9999</v>
      </c>
      <c r="CL135" s="16">
        <v>-9999</v>
      </c>
      <c r="CM135" s="16">
        <v>-9999</v>
      </c>
      <c r="CN135" s="16">
        <v>-9999</v>
      </c>
      <c r="CO135" s="16">
        <v>-9999</v>
      </c>
      <c r="CP135" s="16">
        <v>-9999</v>
      </c>
      <c r="CQ135" s="16">
        <v>-9999</v>
      </c>
      <c r="CR135" s="16">
        <v>-9999</v>
      </c>
      <c r="CS135" s="16">
        <v>-9999</v>
      </c>
      <c r="CT135" s="16">
        <v>-9999</v>
      </c>
      <c r="CU135" s="16">
        <v>-9999</v>
      </c>
      <c r="CV135" s="16">
        <v>-9999</v>
      </c>
      <c r="CW135" s="16">
        <v>-9999</v>
      </c>
      <c r="CX135" s="16">
        <v>-9999</v>
      </c>
      <c r="CY135" s="16">
        <v>-9999</v>
      </c>
      <c r="CZ135" s="16">
        <v>-9999</v>
      </c>
      <c r="DA135" s="16">
        <v>-9999</v>
      </c>
      <c r="DB135" s="16">
        <v>-9999</v>
      </c>
      <c r="DC135" s="16">
        <v>-9999</v>
      </c>
      <c r="DD135" s="16">
        <v>-9999</v>
      </c>
      <c r="DE135" s="16">
        <v>-9999</v>
      </c>
      <c r="DF135" s="16">
        <v>-9999</v>
      </c>
      <c r="DG135" s="16">
        <v>-9999</v>
      </c>
      <c r="DH135" s="16">
        <v>-9999</v>
      </c>
      <c r="DI135" s="16">
        <v>-9999</v>
      </c>
      <c r="DJ135" s="16">
        <v>-9999</v>
      </c>
      <c r="DK135" s="16">
        <v>-9999</v>
      </c>
      <c r="DL135" s="16">
        <v>-9999</v>
      </c>
      <c r="DM135" s="16">
        <v>-9999</v>
      </c>
      <c r="DN135" s="16">
        <v>-9999</v>
      </c>
      <c r="DO135" s="16">
        <v>-9999</v>
      </c>
      <c r="DP135" s="16">
        <v>-9999</v>
      </c>
      <c r="DQ135" s="16">
        <v>-9999</v>
      </c>
      <c r="DR135" s="16">
        <v>-9999</v>
      </c>
      <c r="DS135" s="16">
        <v>-9999</v>
      </c>
      <c r="DT135" s="16">
        <v>-9999</v>
      </c>
      <c r="DU135" s="16">
        <v>-9999</v>
      </c>
      <c r="DV135" s="16">
        <v>-9999</v>
      </c>
      <c r="DW135" s="16">
        <v>-9999</v>
      </c>
      <c r="DX135" s="16">
        <v>-9999</v>
      </c>
      <c r="DY135" s="16">
        <v>-9999</v>
      </c>
      <c r="DZ135" s="16">
        <v>-9999</v>
      </c>
      <c r="EA135" s="2197">
        <v>-9999</v>
      </c>
      <c r="EB135" s="2197">
        <v>-9999</v>
      </c>
      <c r="EC135" s="2197">
        <v>-9999</v>
      </c>
      <c r="ED135" s="2197">
        <v>-9999</v>
      </c>
      <c r="EE135" s="2197">
        <v>-9999</v>
      </c>
      <c r="EF135" s="2197">
        <v>-9999</v>
      </c>
      <c r="EG135" s="2197">
        <v>-9999</v>
      </c>
      <c r="EH135" s="2197">
        <v>-9999</v>
      </c>
      <c r="EI135" s="2197">
        <v>-9999</v>
      </c>
      <c r="EJ135" s="2197">
        <v>-9999</v>
      </c>
      <c r="EK135" s="2197">
        <v>-9999</v>
      </c>
      <c r="EL135" s="2197">
        <v>-9999</v>
      </c>
      <c r="EM135" s="2197">
        <v>-9999</v>
      </c>
    </row>
    <row r="136" spans="1:143">
      <c r="A136" s="22">
        <v>36</v>
      </c>
      <c r="B136" s="1" t="s">
        <v>1894</v>
      </c>
      <c r="C136" s="24">
        <f ca="1">OFFSET('VVP2'!F185,0,Last_forecast_year - 3-InputY!$G$3)</f>
        <v>23.47364</v>
      </c>
      <c r="D136" s="24">
        <f ca="1">OFFSET('VVP2'!G185,0,Last_forecast_year - 3-InputY!$G$3)</f>
        <v>24.863340000000001</v>
      </c>
      <c r="E136" s="24">
        <f ca="1">OFFSET('VVP2'!H185,0,Last_forecast_year - 3-InputY!$G$3)</f>
        <v>26.80039</v>
      </c>
      <c r="F136" s="24">
        <f ca="1">OFFSET('VVP2'!I185,0,Last_forecast_year - 3-InputY!$G$3)</f>
        <v>28.459602144899996</v>
      </c>
      <c r="G136" s="24">
        <f ca="1">OFFSET('VVP2'!J185,0,Last_forecast_year - 3-InputY!$G$3)</f>
        <v>30.045541934026691</v>
      </c>
      <c r="H136" s="25">
        <v>-9999</v>
      </c>
      <c r="I136" s="25">
        <v>-9999</v>
      </c>
      <c r="J136" s="25">
        <v>-9999</v>
      </c>
      <c r="K136" s="25">
        <v>-9999</v>
      </c>
      <c r="L136" s="25">
        <v>-9999</v>
      </c>
      <c r="M136" s="25">
        <v>-9999</v>
      </c>
      <c r="N136" s="25">
        <v>-9999</v>
      </c>
      <c r="O136" s="25">
        <v>-9999</v>
      </c>
      <c r="P136" s="32"/>
      <c r="Q136"/>
      <c r="AA136" s="22">
        <v>36</v>
      </c>
      <c r="AB136" s="1040" t="str">
        <f t="shared" si="3"/>
        <v xml:space="preserve">VAL. PRIVATE CONSUMPTION EXPEND. </v>
      </c>
      <c r="AC136" s="1040">
        <f>CHOOSE(Tables!$U$2,Transfer!CA136,Transfer!CN136,Transfer!DA136,Transfer!DN136,Transfer!EA136)</f>
        <v>67.143799999999999</v>
      </c>
      <c r="AD136" s="1040">
        <f>CHOOSE(Tables!$U$2,Transfer!CB136,Transfer!CO136,Transfer!DB136,Transfer!DO136,Transfer!EB136)</f>
        <v>71.978759999999994</v>
      </c>
      <c r="AE136" s="1040">
        <f>CHOOSE(Tables!$U$2,Transfer!CC136,Transfer!CP136,Transfer!DC136,Transfer!DP136,Transfer!EC136)</f>
        <v>76.03496519033915</v>
      </c>
      <c r="AF136" s="1040">
        <f>CHOOSE(Tables!$U$2,Transfer!CD136,Transfer!CQ136,Transfer!DD136,Transfer!DQ136,Transfer!ED136)</f>
        <v>80.520172139383774</v>
      </c>
      <c r="AG136" s="1040">
        <f>CHOOSE(Tables!$U$2,Transfer!CE136,Transfer!CR136,Transfer!DE136,Transfer!DR136,Transfer!EE136)</f>
        <v>86.094320925131726</v>
      </c>
      <c r="AH136" s="1040">
        <f>CHOOSE(Tables!$U$2,Transfer!CF136,Transfer!CS136,Transfer!DF136,Transfer!DS136,Transfer!EF136)</f>
        <v>-9999</v>
      </c>
      <c r="AI136" s="1040">
        <f>CHOOSE(Tables!$U$2,Transfer!CG136,Transfer!CT136,Transfer!DG136,Transfer!DT136,Transfer!EG136)</f>
        <v>-9999</v>
      </c>
      <c r="AJ136" s="1040">
        <f>CHOOSE(Tables!$U$2,Transfer!CH136,Transfer!CU136,Transfer!DH136,Transfer!DU136,Transfer!EH136)</f>
        <v>-9999</v>
      </c>
      <c r="AK136" s="1040">
        <f>CHOOSE(Tables!$U$2,Transfer!CI136,Transfer!CV136,Transfer!DI136,Transfer!DV136,Transfer!EI136)</f>
        <v>-9999</v>
      </c>
      <c r="AL136" s="1040">
        <f>CHOOSE(Tables!$U$2,Transfer!CJ136,Transfer!CW136,Transfer!DJ136,Transfer!DW136,Transfer!EJ136)</f>
        <v>-9999</v>
      </c>
      <c r="AM136" s="1040">
        <f>CHOOSE(Tables!$U$2,Transfer!CK136,Transfer!CX136,Transfer!DK136,Transfer!DX136,Transfer!EK136)</f>
        <v>-9999</v>
      </c>
      <c r="AN136" s="1040">
        <f>CHOOSE(Tables!$U$2,Transfer!CL136,Transfer!CY136,Transfer!DL136,Transfer!DY136,Transfer!EL136)</f>
        <v>-9999</v>
      </c>
      <c r="AO136" s="1040">
        <f>CHOOSE(Tables!$U$2,Transfer!CM136,Transfer!CZ136,Transfer!DM136,Transfer!DZ136,Transfer!EM136)</f>
        <v>-9999</v>
      </c>
      <c r="AR136" s="22">
        <v>36</v>
      </c>
      <c r="AS136" s="1" t="s">
        <v>1894</v>
      </c>
      <c r="AT136" s="24">
        <f t="shared" ca="1" si="5"/>
        <v>-43.670159999999996</v>
      </c>
      <c r="AU136" s="24">
        <f t="shared" ca="1" si="5"/>
        <v>-47.115419999999993</v>
      </c>
      <c r="AV136" s="24">
        <f t="shared" ca="1" si="5"/>
        <v>-49.23457519033915</v>
      </c>
      <c r="AW136" s="24">
        <f t="shared" ca="1" si="5"/>
        <v>-52.060569994483778</v>
      </c>
      <c r="AX136" s="24">
        <f t="shared" ca="1" si="5"/>
        <v>-56.048778991105038</v>
      </c>
      <c r="AY136" s="25">
        <f t="shared" si="5"/>
        <v>0</v>
      </c>
      <c r="AZ136" s="25">
        <f t="shared" si="5"/>
        <v>0</v>
      </c>
      <c r="BA136" s="25">
        <f t="shared" si="5"/>
        <v>0</v>
      </c>
      <c r="BB136" s="25">
        <f t="shared" si="5"/>
        <v>0</v>
      </c>
      <c r="BC136" s="25">
        <f t="shared" si="5"/>
        <v>0</v>
      </c>
      <c r="BD136" s="25">
        <f t="shared" si="5"/>
        <v>0</v>
      </c>
      <c r="BE136" s="25">
        <f t="shared" si="5"/>
        <v>0</v>
      </c>
      <c r="BF136" s="25">
        <f t="shared" si="5"/>
        <v>0</v>
      </c>
      <c r="CA136" s="16">
        <v>21.97467</v>
      </c>
      <c r="CB136" s="16">
        <v>22.901220000000002</v>
      </c>
      <c r="CC136" s="16">
        <v>23.831192741759995</v>
      </c>
      <c r="CD136" s="16">
        <v>24.977759086951554</v>
      </c>
      <c r="CE136" s="16">
        <v>26.497306038765341</v>
      </c>
      <c r="CF136" s="16">
        <v>-9999</v>
      </c>
      <c r="CG136" s="16">
        <v>-9999</v>
      </c>
      <c r="CH136" s="16">
        <v>-9999</v>
      </c>
      <c r="CI136" s="16">
        <v>-9999</v>
      </c>
      <c r="CJ136" s="16">
        <v>-9999</v>
      </c>
      <c r="CK136" s="16">
        <v>-9999</v>
      </c>
      <c r="CL136" s="16">
        <v>-9999</v>
      </c>
      <c r="CM136" s="16">
        <v>-9999</v>
      </c>
      <c r="CN136" s="16">
        <v>20.86422</v>
      </c>
      <c r="CO136" s="16">
        <v>21.953919999999997</v>
      </c>
      <c r="CP136" s="16">
        <v>23.235018480655871</v>
      </c>
      <c r="CQ136" s="16">
        <v>23.950903886775119</v>
      </c>
      <c r="CR136" s="16">
        <v>25.423500634665771</v>
      </c>
      <c r="CS136" s="16">
        <v>-9999</v>
      </c>
      <c r="CT136" s="16">
        <v>-9999</v>
      </c>
      <c r="CU136" s="16">
        <v>-9999</v>
      </c>
      <c r="CV136" s="16">
        <v>-9999</v>
      </c>
      <c r="CW136" s="16">
        <v>-9999</v>
      </c>
      <c r="CX136" s="16">
        <v>-9999</v>
      </c>
      <c r="CY136" s="16">
        <v>-9999</v>
      </c>
      <c r="CZ136" s="16">
        <v>-9999</v>
      </c>
      <c r="DA136" s="16">
        <v>21.953919999999997</v>
      </c>
      <c r="DB136" s="16">
        <v>23.213270000000001</v>
      </c>
      <c r="DC136" s="16">
        <v>24.176156439600007</v>
      </c>
      <c r="DD136" s="16">
        <v>25.493853670183967</v>
      </c>
      <c r="DE136" s="16">
        <v>27.042758243769665</v>
      </c>
      <c r="DF136" s="16">
        <v>-9999</v>
      </c>
      <c r="DG136" s="16">
        <v>-9999</v>
      </c>
      <c r="DH136" s="16">
        <v>-9999</v>
      </c>
      <c r="DI136" s="16">
        <v>-9999</v>
      </c>
      <c r="DJ136" s="16">
        <v>-9999</v>
      </c>
      <c r="DK136" s="16">
        <v>-9999</v>
      </c>
      <c r="DL136" s="16">
        <v>-9999</v>
      </c>
      <c r="DM136" s="16">
        <v>-9999</v>
      </c>
      <c r="DN136" s="16">
        <v>20.86422</v>
      </c>
      <c r="DO136" s="16">
        <v>21.953919999999997</v>
      </c>
      <c r="DP136" s="16">
        <v>23.235018480655871</v>
      </c>
      <c r="DQ136" s="16">
        <v>24.033756909870398</v>
      </c>
      <c r="DR136" s="16">
        <v>25.517172250572916</v>
      </c>
      <c r="DS136" s="16">
        <v>-9999</v>
      </c>
      <c r="DT136" s="16">
        <v>-9999</v>
      </c>
      <c r="DU136" s="16">
        <v>-9999</v>
      </c>
      <c r="DV136" s="16">
        <v>-9999</v>
      </c>
      <c r="DW136" s="16">
        <v>-9999</v>
      </c>
      <c r="DX136" s="16">
        <v>-9999</v>
      </c>
      <c r="DY136" s="16">
        <v>-9999</v>
      </c>
      <c r="DZ136" s="16">
        <v>-9999</v>
      </c>
      <c r="EA136" s="2196">
        <v>67.143799999999999</v>
      </c>
      <c r="EB136" s="2196">
        <v>71.978759999999994</v>
      </c>
      <c r="EC136" s="2196">
        <v>76.03496519033915</v>
      </c>
      <c r="ED136" s="2196">
        <v>80.520172139383774</v>
      </c>
      <c r="EE136" s="2196">
        <v>86.094320925131726</v>
      </c>
      <c r="EF136" s="2197">
        <v>-9999</v>
      </c>
      <c r="EG136" s="2197">
        <v>-9999</v>
      </c>
      <c r="EH136" s="2197">
        <v>-9999</v>
      </c>
      <c r="EI136" s="2197">
        <v>-9999</v>
      </c>
      <c r="EJ136" s="2197">
        <v>-9999</v>
      </c>
      <c r="EK136" s="2197">
        <v>-9999</v>
      </c>
      <c r="EL136" s="2197">
        <v>-9999</v>
      </c>
      <c r="EM136" s="2197">
        <v>-9999</v>
      </c>
    </row>
    <row r="137" spans="1:143">
      <c r="A137" s="22">
        <v>37</v>
      </c>
      <c r="B137" s="1" t="s">
        <v>1896</v>
      </c>
      <c r="C137" s="24">
        <f ca="1">OFFSET('VVP2'!F193,0,Last_forecast_year - 3-InputY!$G$3)</f>
        <v>6.4287700000000001</v>
      </c>
      <c r="D137" s="24">
        <f ca="1">OFFSET('VVP2'!G193,0,Last_forecast_year - 3-InputY!$G$3)</f>
        <v>6.63687</v>
      </c>
      <c r="E137" s="24">
        <f ca="1">OFFSET('VVP2'!H193,0,Last_forecast_year - 3-InputY!$G$3)</f>
        <v>6.9080500000000002</v>
      </c>
      <c r="F137" s="24">
        <f ca="1">OFFSET('VVP2'!I193,0,Last_forecast_year - 3-InputY!$G$3)</f>
        <v>7.2979828955879995</v>
      </c>
      <c r="G137" s="24">
        <f ca="1">OFFSET('VVP2'!J193,0,Last_forecast_year - 3-InputY!$G$3)</f>
        <v>7.6726989950392293</v>
      </c>
      <c r="H137" s="25">
        <v>-9999</v>
      </c>
      <c r="I137" s="25">
        <v>-9999</v>
      </c>
      <c r="J137" s="25">
        <v>-9999</v>
      </c>
      <c r="K137" s="25">
        <v>-9999</v>
      </c>
      <c r="L137" s="25">
        <v>-9999</v>
      </c>
      <c r="M137" s="25">
        <v>-9999</v>
      </c>
      <c r="N137" s="25">
        <v>-9999</v>
      </c>
      <c r="O137" s="25">
        <v>-9999</v>
      </c>
      <c r="P137" s="32"/>
      <c r="Q137"/>
      <c r="AA137" s="22">
        <v>37</v>
      </c>
      <c r="AB137" s="1040" t="str">
        <f t="shared" si="3"/>
        <v xml:space="preserve">VAL. GOVERNMENT CONSUMPTION EXPEND. </v>
      </c>
      <c r="AC137" s="1040">
        <f>CHOOSE(Tables!$U$2,Transfer!CA137,Transfer!CN137,Transfer!DA137,Transfer!DN137,Transfer!EA137)</f>
        <v>19.938669999999998</v>
      </c>
      <c r="AD137" s="1040">
        <f>CHOOSE(Tables!$U$2,Transfer!CB137,Transfer!CO137,Transfer!DB137,Transfer!DO137,Transfer!EB137)</f>
        <v>19.99691</v>
      </c>
      <c r="AE137" s="1040">
        <f>CHOOSE(Tables!$U$2,Transfer!CC137,Transfer!CP137,Transfer!DC137,Transfer!DP137,Transfer!EC137)</f>
        <v>20.5810197411</v>
      </c>
      <c r="AF137" s="1040">
        <f>CHOOSE(Tables!$U$2,Transfer!CD137,Transfer!CQ137,Transfer!DD137,Transfer!DQ137,Transfer!ED137)</f>
        <v>21.307612062039794</v>
      </c>
      <c r="AG137" s="1040">
        <f>CHOOSE(Tables!$U$2,Transfer!CE137,Transfer!CR137,Transfer!DE137,Transfer!DR137,Transfer!EE137)</f>
        <v>22.059855998278046</v>
      </c>
      <c r="AH137" s="1040">
        <f>CHOOSE(Tables!$U$2,Transfer!CF137,Transfer!CS137,Transfer!DF137,Transfer!DS137,Transfer!EF137)</f>
        <v>-9999</v>
      </c>
      <c r="AI137" s="1040">
        <f>CHOOSE(Tables!$U$2,Transfer!CG137,Transfer!CT137,Transfer!DG137,Transfer!DT137,Transfer!EG137)</f>
        <v>-9999</v>
      </c>
      <c r="AJ137" s="1040">
        <f>CHOOSE(Tables!$U$2,Transfer!CH137,Transfer!CU137,Transfer!DH137,Transfer!DU137,Transfer!EH137)</f>
        <v>-9999</v>
      </c>
      <c r="AK137" s="1040">
        <f>CHOOSE(Tables!$U$2,Transfer!CI137,Transfer!CV137,Transfer!DI137,Transfer!DV137,Transfer!EI137)</f>
        <v>-9999</v>
      </c>
      <c r="AL137" s="1040">
        <f>CHOOSE(Tables!$U$2,Transfer!CJ137,Transfer!CW137,Transfer!DJ137,Transfer!DW137,Transfer!EJ137)</f>
        <v>-9999</v>
      </c>
      <c r="AM137" s="1040">
        <f>CHOOSE(Tables!$U$2,Transfer!CK137,Transfer!CX137,Transfer!DK137,Transfer!DX137,Transfer!EK137)</f>
        <v>-9999</v>
      </c>
      <c r="AN137" s="1040">
        <f>CHOOSE(Tables!$U$2,Transfer!CL137,Transfer!CY137,Transfer!DL137,Transfer!DY137,Transfer!EL137)</f>
        <v>-9999</v>
      </c>
      <c r="AO137" s="1040">
        <f>CHOOSE(Tables!$U$2,Transfer!CM137,Transfer!CZ137,Transfer!DM137,Transfer!DZ137,Transfer!EM137)</f>
        <v>-9999</v>
      </c>
      <c r="AR137" s="22">
        <v>37</v>
      </c>
      <c r="AS137" s="1" t="s">
        <v>1896</v>
      </c>
      <c r="AT137" s="24">
        <f t="shared" ca="1" si="5"/>
        <v>-13.509899999999998</v>
      </c>
      <c r="AU137" s="24">
        <f t="shared" ca="1" si="5"/>
        <v>-13.36004</v>
      </c>
      <c r="AV137" s="24">
        <f t="shared" ca="1" si="5"/>
        <v>-13.672969741100001</v>
      </c>
      <c r="AW137" s="24">
        <f t="shared" ca="1" si="5"/>
        <v>-14.009629166451795</v>
      </c>
      <c r="AX137" s="24">
        <f t="shared" ca="1" si="5"/>
        <v>-14.387157003238816</v>
      </c>
      <c r="AY137" s="25">
        <f t="shared" si="5"/>
        <v>0</v>
      </c>
      <c r="AZ137" s="25">
        <f t="shared" si="5"/>
        <v>0</v>
      </c>
      <c r="BA137" s="25">
        <f t="shared" si="5"/>
        <v>0</v>
      </c>
      <c r="BB137" s="25">
        <f t="shared" si="5"/>
        <v>0</v>
      </c>
      <c r="BC137" s="25">
        <f t="shared" si="5"/>
        <v>0</v>
      </c>
      <c r="BD137" s="25">
        <f t="shared" si="5"/>
        <v>0</v>
      </c>
      <c r="BE137" s="25">
        <f t="shared" si="5"/>
        <v>0</v>
      </c>
      <c r="BF137" s="25">
        <f t="shared" si="5"/>
        <v>0</v>
      </c>
      <c r="CA137" s="16">
        <v>5.8615600000000008</v>
      </c>
      <c r="CB137" s="16">
        <v>6.1616899999999992</v>
      </c>
      <c r="CC137" s="16">
        <v>6.4261404922649987</v>
      </c>
      <c r="CD137" s="16">
        <v>6.701815493242675</v>
      </c>
      <c r="CE137" s="16">
        <v>7.0340915053976465</v>
      </c>
      <c r="CF137" s="16">
        <v>-9999</v>
      </c>
      <c r="CG137" s="16">
        <v>-9999</v>
      </c>
      <c r="CH137" s="16">
        <v>-9999</v>
      </c>
      <c r="CI137" s="16">
        <v>-9999</v>
      </c>
      <c r="CJ137" s="16">
        <v>-9999</v>
      </c>
      <c r="CK137" s="16">
        <v>-9999</v>
      </c>
      <c r="CL137" s="16">
        <v>-9999</v>
      </c>
      <c r="CM137" s="16">
        <v>-9999</v>
      </c>
      <c r="CN137" s="16">
        <v>5.7698700000000001</v>
      </c>
      <c r="CO137" s="16">
        <v>5.8786499999999995</v>
      </c>
      <c r="CP137" s="16">
        <v>6.1338186818999993</v>
      </c>
      <c r="CQ137" s="16">
        <v>6.4286314761174985</v>
      </c>
      <c r="CR137" s="16">
        <v>6.7310375150698043</v>
      </c>
      <c r="CS137" s="16">
        <v>-9999</v>
      </c>
      <c r="CT137" s="16">
        <v>-9999</v>
      </c>
      <c r="CU137" s="16">
        <v>-9999</v>
      </c>
      <c r="CV137" s="16">
        <v>-9999</v>
      </c>
      <c r="CW137" s="16">
        <v>-9999</v>
      </c>
      <c r="CX137" s="16">
        <v>-9999</v>
      </c>
      <c r="CY137" s="16">
        <v>-9999</v>
      </c>
      <c r="CZ137" s="16">
        <v>-9999</v>
      </c>
      <c r="DA137" s="16">
        <v>5.8786499999999995</v>
      </c>
      <c r="DB137" s="16">
        <v>6.1858999999999993</v>
      </c>
      <c r="DC137" s="16">
        <v>6.3665159081999985</v>
      </c>
      <c r="DD137" s="16">
        <v>6.5524436387830711</v>
      </c>
      <c r="DE137" s="16">
        <v>6.7304735324488068</v>
      </c>
      <c r="DF137" s="16">
        <v>-9999</v>
      </c>
      <c r="DG137" s="16">
        <v>-9999</v>
      </c>
      <c r="DH137" s="16">
        <v>-9999</v>
      </c>
      <c r="DI137" s="16">
        <v>-9999</v>
      </c>
      <c r="DJ137" s="16">
        <v>-9999</v>
      </c>
      <c r="DK137" s="16">
        <v>-9999</v>
      </c>
      <c r="DL137" s="16">
        <v>-9999</v>
      </c>
      <c r="DM137" s="16">
        <v>-9999</v>
      </c>
      <c r="DN137" s="16">
        <v>5.7698700000000001</v>
      </c>
      <c r="DO137" s="16">
        <v>5.8786499999999995</v>
      </c>
      <c r="DP137" s="16">
        <v>6.1309333615824908</v>
      </c>
      <c r="DQ137" s="16">
        <v>6.4256074772069098</v>
      </c>
      <c r="DR137" s="16">
        <v>6.7278712657384618</v>
      </c>
      <c r="DS137" s="16">
        <v>-9999</v>
      </c>
      <c r="DT137" s="16">
        <v>-9999</v>
      </c>
      <c r="DU137" s="16">
        <v>-9999</v>
      </c>
      <c r="DV137" s="16">
        <v>-9999</v>
      </c>
      <c r="DW137" s="16">
        <v>-9999</v>
      </c>
      <c r="DX137" s="16">
        <v>-9999</v>
      </c>
      <c r="DY137" s="16">
        <v>-9999</v>
      </c>
      <c r="DZ137" s="16">
        <v>-9999</v>
      </c>
      <c r="EA137" s="2196">
        <v>19.938669999999998</v>
      </c>
      <c r="EB137" s="2196">
        <v>19.99691</v>
      </c>
      <c r="EC137" s="2196">
        <v>20.5810197411</v>
      </c>
      <c r="ED137" s="2196">
        <v>21.307612062039794</v>
      </c>
      <c r="EE137" s="2196">
        <v>22.059855998278046</v>
      </c>
      <c r="EF137" s="2197">
        <v>-9999</v>
      </c>
      <c r="EG137" s="2197">
        <v>-9999</v>
      </c>
      <c r="EH137" s="2197">
        <v>-9999</v>
      </c>
      <c r="EI137" s="2197">
        <v>-9999</v>
      </c>
      <c r="EJ137" s="2197">
        <v>-9999</v>
      </c>
      <c r="EK137" s="2197">
        <v>-9999</v>
      </c>
      <c r="EL137" s="2197">
        <v>-9999</v>
      </c>
      <c r="EM137" s="2197">
        <v>-9999</v>
      </c>
    </row>
    <row r="138" spans="1:143">
      <c r="A138" s="22">
        <v>38</v>
      </c>
      <c r="B138" s="31" t="s">
        <v>1898</v>
      </c>
      <c r="C138" s="24">
        <f ca="1">OFFSET('VVP2'!F212,0,Last_forecast_year - 3-InputY!$G$3)</f>
        <v>7.3252199999999998</v>
      </c>
      <c r="D138" s="24">
        <f ca="1">OFFSET('VVP2'!G212,0,Last_forecast_year - 3-InputY!$G$3)</f>
        <v>7.3141999999999996</v>
      </c>
      <c r="E138" s="24">
        <f ca="1">OFFSET('VVP2'!H212,0,Last_forecast_year - 3-InputY!$G$3)</f>
        <v>7.8803900000000002</v>
      </c>
      <c r="F138" s="24">
        <f ca="1">OFFSET('VVP2'!I212,0,Last_forecast_year - 3-InputY!$G$3)</f>
        <v>8.6125183729499977</v>
      </c>
      <c r="G138" s="24">
        <f ca="1">OFFSET('VVP2'!J212,0,Last_forecast_year - 3-InputY!$G$3)</f>
        <v>9.1844008740182197</v>
      </c>
      <c r="H138" s="25">
        <v>-9999</v>
      </c>
      <c r="I138" s="25">
        <v>-9999</v>
      </c>
      <c r="J138" s="25">
        <v>-9999</v>
      </c>
      <c r="K138" s="25">
        <v>-9999</v>
      </c>
      <c r="L138" s="25">
        <v>-9999</v>
      </c>
      <c r="M138" s="25">
        <v>-9999</v>
      </c>
      <c r="N138" s="25">
        <v>-9999</v>
      </c>
      <c r="O138" s="25">
        <v>-9999</v>
      </c>
      <c r="P138" s="32"/>
      <c r="Q138"/>
      <c r="AA138" s="22">
        <v>38</v>
      </c>
      <c r="AB138" s="1040" t="str">
        <f t="shared" si="3"/>
        <v>VAL. G.F.C.F. TOTAL</v>
      </c>
      <c r="AC138" s="1040">
        <f>CHOOSE(Tables!$U$2,Transfer!CA138,Transfer!CN138,Transfer!DA138,Transfer!DN138,Transfer!EA138)</f>
        <v>19.270209999999999</v>
      </c>
      <c r="AD138" s="1040">
        <f>CHOOSE(Tables!$U$2,Transfer!CB138,Transfer!CO138,Transfer!DB138,Transfer!DO138,Transfer!EB138)</f>
        <v>18.93384</v>
      </c>
      <c r="AE138" s="1040">
        <f>CHOOSE(Tables!$U$2,Transfer!CC138,Transfer!CP138,Transfer!DC138,Transfer!DP138,Transfer!EC138)</f>
        <v>20.327986784549996</v>
      </c>
      <c r="AF138" s="1040">
        <f>CHOOSE(Tables!$U$2,Transfer!CD138,Transfer!CQ138,Transfer!DD138,Transfer!DQ138,Transfer!ED138)</f>
        <v>22.482029028966686</v>
      </c>
      <c r="AG138" s="1040">
        <f>CHOOSE(Tables!$U$2,Transfer!CE138,Transfer!CR138,Transfer!DE138,Transfer!DR138,Transfer!EE138)</f>
        <v>25.119582686416322</v>
      </c>
      <c r="AH138" s="1040">
        <f>CHOOSE(Tables!$U$2,Transfer!CF138,Transfer!CS138,Transfer!DF138,Transfer!DS138,Transfer!EF138)</f>
        <v>-9999</v>
      </c>
      <c r="AI138" s="1040">
        <f>CHOOSE(Tables!$U$2,Transfer!CG138,Transfer!CT138,Transfer!DG138,Transfer!DT138,Transfer!EG138)</f>
        <v>-9999</v>
      </c>
      <c r="AJ138" s="1040">
        <f>CHOOSE(Tables!$U$2,Transfer!CH138,Transfer!CU138,Transfer!DH138,Transfer!DU138,Transfer!EH138)</f>
        <v>-9999</v>
      </c>
      <c r="AK138" s="1040">
        <f>CHOOSE(Tables!$U$2,Transfer!CI138,Transfer!CV138,Transfer!DI138,Transfer!DV138,Transfer!EI138)</f>
        <v>-9999</v>
      </c>
      <c r="AL138" s="1040">
        <f>CHOOSE(Tables!$U$2,Transfer!CJ138,Transfer!CW138,Transfer!DJ138,Transfer!DW138,Transfer!EJ138)</f>
        <v>-9999</v>
      </c>
      <c r="AM138" s="1040">
        <f>CHOOSE(Tables!$U$2,Transfer!CK138,Transfer!CX138,Transfer!DK138,Transfer!DX138,Transfer!EK138)</f>
        <v>-9999</v>
      </c>
      <c r="AN138" s="1040">
        <f>CHOOSE(Tables!$U$2,Transfer!CL138,Transfer!CY138,Transfer!DL138,Transfer!DY138,Transfer!EL138)</f>
        <v>-9999</v>
      </c>
      <c r="AO138" s="1040">
        <f>CHOOSE(Tables!$U$2,Transfer!CM138,Transfer!CZ138,Transfer!DM138,Transfer!DZ138,Transfer!EM138)</f>
        <v>-9999</v>
      </c>
      <c r="AR138" s="22">
        <v>38</v>
      </c>
      <c r="AS138" s="31" t="s">
        <v>1898</v>
      </c>
      <c r="AT138" s="24">
        <f t="shared" ca="1" si="5"/>
        <v>-11.944989999999999</v>
      </c>
      <c r="AU138" s="24">
        <f t="shared" ca="1" si="5"/>
        <v>-11.61964</v>
      </c>
      <c r="AV138" s="24">
        <f t="shared" ca="1" si="5"/>
        <v>-12.447596784549996</v>
      </c>
      <c r="AW138" s="24">
        <f t="shared" ca="1" si="5"/>
        <v>-13.869510656016688</v>
      </c>
      <c r="AX138" s="24">
        <f t="shared" ca="1" si="5"/>
        <v>-15.935181812398103</v>
      </c>
      <c r="AY138" s="25">
        <f t="shared" si="5"/>
        <v>0</v>
      </c>
      <c r="AZ138" s="25">
        <f t="shared" si="5"/>
        <v>0</v>
      </c>
      <c r="BA138" s="25">
        <f t="shared" si="5"/>
        <v>0</v>
      </c>
      <c r="BB138" s="25">
        <f t="shared" si="5"/>
        <v>0</v>
      </c>
      <c r="BC138" s="25">
        <f t="shared" si="5"/>
        <v>0</v>
      </c>
      <c r="BD138" s="25">
        <f t="shared" si="5"/>
        <v>0</v>
      </c>
      <c r="BE138" s="25">
        <f t="shared" si="5"/>
        <v>0</v>
      </c>
      <c r="BF138" s="25">
        <f t="shared" si="5"/>
        <v>0</v>
      </c>
      <c r="CA138" s="16">
        <v>6.4572200000000004</v>
      </c>
      <c r="CB138" s="16">
        <v>6.8936000000000002</v>
      </c>
      <c r="CC138" s="16">
        <v>7.5280508653046727</v>
      </c>
      <c r="CD138" s="16">
        <v>7.7835568200055505</v>
      </c>
      <c r="CE138" s="16">
        <v>8.4523549636863589</v>
      </c>
      <c r="CF138" s="16">
        <v>-9999</v>
      </c>
      <c r="CG138" s="16">
        <v>-9999</v>
      </c>
      <c r="CH138" s="16">
        <v>-9999</v>
      </c>
      <c r="CI138" s="16">
        <v>-9999</v>
      </c>
      <c r="CJ138" s="16">
        <v>-9999</v>
      </c>
      <c r="CK138" s="16">
        <v>-9999</v>
      </c>
      <c r="CL138" s="16">
        <v>-9999</v>
      </c>
      <c r="CM138" s="16">
        <v>-9999</v>
      </c>
      <c r="CN138" s="16">
        <v>5.7769300000000001</v>
      </c>
      <c r="CO138" s="16">
        <v>6.3596400000000006</v>
      </c>
      <c r="CP138" s="16">
        <v>7.0061858257609675</v>
      </c>
      <c r="CQ138" s="16">
        <v>7.4847619060233752</v>
      </c>
      <c r="CR138" s="16">
        <v>8.1468047696794539</v>
      </c>
      <c r="CS138" s="16">
        <v>-9999</v>
      </c>
      <c r="CT138" s="16">
        <v>-9999</v>
      </c>
      <c r="CU138" s="16">
        <v>-9999</v>
      </c>
      <c r="CV138" s="16">
        <v>-9999</v>
      </c>
      <c r="CW138" s="16">
        <v>-9999</v>
      </c>
      <c r="CX138" s="16">
        <v>-9999</v>
      </c>
      <c r="CY138" s="16">
        <v>-9999</v>
      </c>
      <c r="CZ138" s="16">
        <v>-9999</v>
      </c>
      <c r="DA138" s="16">
        <v>6.3596400000000006</v>
      </c>
      <c r="DB138" s="16">
        <v>6.9732200000000004</v>
      </c>
      <c r="DC138" s="16">
        <v>7.6148678343499983</v>
      </c>
      <c r="DD138" s="16">
        <v>8.0391069047903621</v>
      </c>
      <c r="DE138" s="16">
        <v>8.52934223844575</v>
      </c>
      <c r="DF138" s="16">
        <v>-9999</v>
      </c>
      <c r="DG138" s="16">
        <v>-9999</v>
      </c>
      <c r="DH138" s="16">
        <v>-9999</v>
      </c>
      <c r="DI138" s="16">
        <v>-9999</v>
      </c>
      <c r="DJ138" s="16">
        <v>-9999</v>
      </c>
      <c r="DK138" s="16">
        <v>-9999</v>
      </c>
      <c r="DL138" s="16">
        <v>-9999</v>
      </c>
      <c r="DM138" s="16">
        <v>-9999</v>
      </c>
      <c r="DN138" s="16">
        <v>5.7769300000000001</v>
      </c>
      <c r="DO138" s="16">
        <v>6.3596400000000006</v>
      </c>
      <c r="DP138" s="16">
        <v>7.0061858257609675</v>
      </c>
      <c r="DQ138" s="16">
        <v>7.477705214042512</v>
      </c>
      <c r="DR138" s="16">
        <v>8.1216846021979681</v>
      </c>
      <c r="DS138" s="16">
        <v>-9999</v>
      </c>
      <c r="DT138" s="16">
        <v>-9999</v>
      </c>
      <c r="DU138" s="16">
        <v>-9999</v>
      </c>
      <c r="DV138" s="16">
        <v>-9999</v>
      </c>
      <c r="DW138" s="16">
        <v>-9999</v>
      </c>
      <c r="DX138" s="16">
        <v>-9999</v>
      </c>
      <c r="DY138" s="16">
        <v>-9999</v>
      </c>
      <c r="DZ138" s="16">
        <v>-9999</v>
      </c>
      <c r="EA138" s="2196">
        <v>19.270209999999999</v>
      </c>
      <c r="EB138" s="2196">
        <v>18.93384</v>
      </c>
      <c r="EC138" s="2196">
        <v>20.327986784549996</v>
      </c>
      <c r="ED138" s="2196">
        <v>22.482029028966686</v>
      </c>
      <c r="EE138" s="2196">
        <v>25.119582686416322</v>
      </c>
      <c r="EF138" s="2197">
        <v>-9999</v>
      </c>
      <c r="EG138" s="2197">
        <v>-9999</v>
      </c>
      <c r="EH138" s="2197">
        <v>-9999</v>
      </c>
      <c r="EI138" s="2197">
        <v>-9999</v>
      </c>
      <c r="EJ138" s="2197">
        <v>-9999</v>
      </c>
      <c r="EK138" s="2197">
        <v>-9999</v>
      </c>
      <c r="EL138" s="2197">
        <v>-9999</v>
      </c>
      <c r="EM138" s="2197">
        <v>-9999</v>
      </c>
    </row>
    <row r="139" spans="1:143">
      <c r="A139" s="22">
        <v>39</v>
      </c>
      <c r="B139" s="1" t="s">
        <v>1899</v>
      </c>
      <c r="C139" s="24">
        <f ca="1">OFFSET('VVP2'!F206,0,Last_forecast_year - 3-InputY!$G$3)</f>
        <v>4.0977600000000001</v>
      </c>
      <c r="D139" s="24">
        <f ca="1">OFFSET('VVP2'!G206,0,Last_forecast_year - 3-InputY!$G$3)</f>
        <v>3.7851399999999997</v>
      </c>
      <c r="E139" s="24">
        <f ca="1">OFFSET('VVP2'!H206,0,Last_forecast_year - 3-InputY!$G$3)</f>
        <v>4.0979200000000002</v>
      </c>
      <c r="F139" s="24">
        <f ca="1">OFFSET('VVP2'!I206,0,Last_forecast_year - 3-InputY!$G$3)</f>
        <v>4.473412388099999</v>
      </c>
      <c r="G139" s="24">
        <f ca="1">OFFSET('VVP2'!J206,0,Last_forecast_year - 3-InputY!$G$3)</f>
        <v>4.8089152569460829</v>
      </c>
      <c r="H139" s="25">
        <v>-9999</v>
      </c>
      <c r="I139" s="25">
        <v>-9999</v>
      </c>
      <c r="J139" s="25">
        <v>-9999</v>
      </c>
      <c r="K139" s="25">
        <v>-9999</v>
      </c>
      <c r="L139" s="25">
        <v>-9999</v>
      </c>
      <c r="M139" s="25">
        <v>-9999</v>
      </c>
      <c r="N139" s="25">
        <v>-9999</v>
      </c>
      <c r="O139" s="25">
        <v>-9999</v>
      </c>
      <c r="P139" s="32"/>
      <c r="Q139"/>
      <c r="AA139" s="22">
        <v>39</v>
      </c>
      <c r="AB139" s="1040" t="str">
        <f t="shared" si="3"/>
        <v>VAL. G.F.C.F. CONSTRUCTION</v>
      </c>
      <c r="AC139" s="1040">
        <f>CHOOSE(Tables!$U$2,Transfer!CA139,Transfer!CN139,Transfer!DA139,Transfer!DN139,Transfer!EA139)</f>
        <v>11.324629999999999</v>
      </c>
      <c r="AD139" s="1040">
        <f>CHOOSE(Tables!$U$2,Transfer!CB139,Transfer!CO139,Transfer!DB139,Transfer!DO139,Transfer!EB139)</f>
        <v>11.2646</v>
      </c>
      <c r="AE139" s="1040">
        <f>CHOOSE(Tables!$U$2,Transfer!CC139,Transfer!CP139,Transfer!DC139,Transfer!DP139,Transfer!EC139)</f>
        <v>11.750135572500001</v>
      </c>
      <c r="AF139" s="1040">
        <f>CHOOSE(Tables!$U$2,Transfer!CD139,Transfer!CQ139,Transfer!DD139,Transfer!DQ139,Transfer!ED139)</f>
        <v>12.73666130477625</v>
      </c>
      <c r="AG139" s="1040">
        <f>CHOOSE(Tables!$U$2,Transfer!CE139,Transfer!CR139,Transfer!DE139,Transfer!DR139,Transfer!EE139)</f>
        <v>13.93994189205625</v>
      </c>
      <c r="AH139" s="1040">
        <f>CHOOSE(Tables!$U$2,Transfer!CF139,Transfer!CS139,Transfer!DF139,Transfer!DS139,Transfer!EF139)</f>
        <v>-9999</v>
      </c>
      <c r="AI139" s="1040">
        <f>CHOOSE(Tables!$U$2,Transfer!CG139,Transfer!CT139,Transfer!DG139,Transfer!DT139,Transfer!EG139)</f>
        <v>-9999</v>
      </c>
      <c r="AJ139" s="1040">
        <f>CHOOSE(Tables!$U$2,Transfer!CH139,Transfer!CU139,Transfer!DH139,Transfer!DU139,Transfer!EH139)</f>
        <v>-9999</v>
      </c>
      <c r="AK139" s="1040">
        <f>CHOOSE(Tables!$U$2,Transfer!CI139,Transfer!CV139,Transfer!DI139,Transfer!DV139,Transfer!EI139)</f>
        <v>-9999</v>
      </c>
      <c r="AL139" s="1040">
        <f>CHOOSE(Tables!$U$2,Transfer!CJ139,Transfer!CW139,Transfer!DJ139,Transfer!DW139,Transfer!EJ139)</f>
        <v>-9999</v>
      </c>
      <c r="AM139" s="1040">
        <f>CHOOSE(Tables!$U$2,Transfer!CK139,Transfer!CX139,Transfer!DK139,Transfer!DX139,Transfer!EK139)</f>
        <v>-9999</v>
      </c>
      <c r="AN139" s="1040">
        <f>CHOOSE(Tables!$U$2,Transfer!CL139,Transfer!CY139,Transfer!DL139,Transfer!DY139,Transfer!EL139)</f>
        <v>-9999</v>
      </c>
      <c r="AO139" s="1040">
        <f>CHOOSE(Tables!$U$2,Transfer!CM139,Transfer!CZ139,Transfer!DM139,Transfer!DZ139,Transfer!EM139)</f>
        <v>-9999</v>
      </c>
      <c r="AR139" s="22">
        <v>39</v>
      </c>
      <c r="AS139" s="1" t="s">
        <v>1899</v>
      </c>
      <c r="AT139" s="24">
        <f t="shared" ca="1" si="5"/>
        <v>-7.226869999999999</v>
      </c>
      <c r="AU139" s="24">
        <f t="shared" ca="1" si="5"/>
        <v>-7.4794599999999996</v>
      </c>
      <c r="AV139" s="24">
        <f t="shared" ca="1" si="5"/>
        <v>-7.6522155725000012</v>
      </c>
      <c r="AW139" s="24">
        <f t="shared" ca="1" si="5"/>
        <v>-8.2632489166762504</v>
      </c>
      <c r="AX139" s="24">
        <f t="shared" ca="1" si="5"/>
        <v>-9.1310266351101674</v>
      </c>
      <c r="AY139" s="25">
        <f t="shared" si="5"/>
        <v>0</v>
      </c>
      <c r="AZ139" s="25">
        <f t="shared" si="5"/>
        <v>0</v>
      </c>
      <c r="BA139" s="25">
        <f t="shared" si="5"/>
        <v>0</v>
      </c>
      <c r="BB139" s="25">
        <f t="shared" si="5"/>
        <v>0</v>
      </c>
      <c r="BC139" s="25">
        <f t="shared" si="5"/>
        <v>0</v>
      </c>
      <c r="BD139" s="25">
        <f t="shared" si="5"/>
        <v>0</v>
      </c>
      <c r="BE139" s="25">
        <f t="shared" si="5"/>
        <v>0</v>
      </c>
      <c r="BF139" s="25">
        <f t="shared" si="5"/>
        <v>0</v>
      </c>
      <c r="CA139" s="16">
        <v>3.6736200000000001</v>
      </c>
      <c r="CB139" s="16">
        <v>4.0647000000000002</v>
      </c>
      <c r="CC139" s="16">
        <v>4.4557241400000001</v>
      </c>
      <c r="CD139" s="16">
        <v>4.8603038919120012</v>
      </c>
      <c r="CE139" s="16">
        <v>5.1809648177041279</v>
      </c>
      <c r="CF139" s="16">
        <v>-9999</v>
      </c>
      <c r="CG139" s="16">
        <v>-9999</v>
      </c>
      <c r="CH139" s="16">
        <v>-9999</v>
      </c>
      <c r="CI139" s="16">
        <v>-9999</v>
      </c>
      <c r="CJ139" s="16">
        <v>-9999</v>
      </c>
      <c r="CK139" s="16">
        <v>-9999</v>
      </c>
      <c r="CL139" s="16">
        <v>-9999</v>
      </c>
      <c r="CM139" s="16">
        <v>-9999</v>
      </c>
      <c r="CN139" s="16">
        <v>3.25562</v>
      </c>
      <c r="CO139" s="16">
        <v>3.6760600000000001</v>
      </c>
      <c r="CP139" s="16">
        <v>4.1205714625999992</v>
      </c>
      <c r="CQ139" s="16">
        <v>4.4442235654860118</v>
      </c>
      <c r="CR139" s="16">
        <v>4.7937010228683077</v>
      </c>
      <c r="CS139" s="16">
        <v>-9999</v>
      </c>
      <c r="CT139" s="16">
        <v>-9999</v>
      </c>
      <c r="CU139" s="16">
        <v>-9999</v>
      </c>
      <c r="CV139" s="16">
        <v>-9999</v>
      </c>
      <c r="CW139" s="16">
        <v>-9999</v>
      </c>
      <c r="CX139" s="16">
        <v>-9999</v>
      </c>
      <c r="CY139" s="16">
        <v>-9999</v>
      </c>
      <c r="CZ139" s="16">
        <v>-9999</v>
      </c>
      <c r="DA139" s="16">
        <v>3.6760600000000001</v>
      </c>
      <c r="DB139" s="16">
        <v>4.1741599999999996</v>
      </c>
      <c r="DC139" s="16">
        <v>4.5526108231999984</v>
      </c>
      <c r="DD139" s="16">
        <v>4.792592290865751</v>
      </c>
      <c r="DE139" s="16">
        <v>5.0605536818170052</v>
      </c>
      <c r="DF139" s="16">
        <v>-9999</v>
      </c>
      <c r="DG139" s="16">
        <v>-9999</v>
      </c>
      <c r="DH139" s="16">
        <v>-9999</v>
      </c>
      <c r="DI139" s="16">
        <v>-9999</v>
      </c>
      <c r="DJ139" s="16">
        <v>-9999</v>
      </c>
      <c r="DK139" s="16">
        <v>-9999</v>
      </c>
      <c r="DL139" s="16">
        <v>-9999</v>
      </c>
      <c r="DM139" s="16">
        <v>-9999</v>
      </c>
      <c r="DN139" s="16">
        <v>3.25562</v>
      </c>
      <c r="DO139" s="16">
        <v>3.6760600000000001</v>
      </c>
      <c r="DP139" s="16">
        <v>4.1205714625999992</v>
      </c>
      <c r="DQ139" s="16">
        <v>4.4442235654860118</v>
      </c>
      <c r="DR139" s="16">
        <v>4.7937010228683077</v>
      </c>
      <c r="DS139" s="16">
        <v>-9999</v>
      </c>
      <c r="DT139" s="16">
        <v>-9999</v>
      </c>
      <c r="DU139" s="16">
        <v>-9999</v>
      </c>
      <c r="DV139" s="16">
        <v>-9999</v>
      </c>
      <c r="DW139" s="16">
        <v>-9999</v>
      </c>
      <c r="DX139" s="16">
        <v>-9999</v>
      </c>
      <c r="DY139" s="16">
        <v>-9999</v>
      </c>
      <c r="DZ139" s="16">
        <v>-9999</v>
      </c>
      <c r="EA139" s="2196">
        <v>11.324629999999999</v>
      </c>
      <c r="EB139" s="2196">
        <v>11.2646</v>
      </c>
      <c r="EC139" s="2196">
        <v>11.750135572500001</v>
      </c>
      <c r="ED139" s="2196">
        <v>12.73666130477625</v>
      </c>
      <c r="EE139" s="2196">
        <v>13.93994189205625</v>
      </c>
      <c r="EF139" s="2197">
        <v>-9999</v>
      </c>
      <c r="EG139" s="2197">
        <v>-9999</v>
      </c>
      <c r="EH139" s="2197">
        <v>-9999</v>
      </c>
      <c r="EI139" s="2197">
        <v>-9999</v>
      </c>
      <c r="EJ139" s="2197">
        <v>-9999</v>
      </c>
      <c r="EK139" s="2197">
        <v>-9999</v>
      </c>
      <c r="EL139" s="2197">
        <v>-9999</v>
      </c>
      <c r="EM139" s="2197">
        <v>-9999</v>
      </c>
    </row>
    <row r="140" spans="1:143">
      <c r="A140" s="22">
        <v>40</v>
      </c>
      <c r="B140" s="1" t="s">
        <v>1718</v>
      </c>
      <c r="C140" s="24">
        <f ca="1">OFFSET('VVP2'!F210,0,Last_forecast_year - 3-InputY!$G$3)</f>
        <v>2.4741399999999998</v>
      </c>
      <c r="D140" s="24">
        <f ca="1">OFFSET('VVP2'!G210,0,Last_forecast_year - 3-InputY!$G$3)</f>
        <v>2.6825300000000003</v>
      </c>
      <c r="E140" s="24">
        <f ca="1">OFFSET('VVP2'!H210,0,Last_forecast_year - 3-InputY!$G$3)</f>
        <v>2.8599899999999998</v>
      </c>
      <c r="F140" s="24">
        <f ca="1">OFFSET('VVP2'!I210,0,Last_forecast_year - 3-InputY!$G$3)</f>
        <v>3.149635487249999</v>
      </c>
      <c r="G140" s="24">
        <f ca="1">OFFSET('VVP2'!J210,0,Last_forecast_year - 3-InputY!$G$3)</f>
        <v>3.3311489803802168</v>
      </c>
      <c r="H140" s="25">
        <v>-9999</v>
      </c>
      <c r="I140" s="25">
        <v>-9999</v>
      </c>
      <c r="J140" s="25">
        <v>-9999</v>
      </c>
      <c r="K140" s="25">
        <v>-9999</v>
      </c>
      <c r="L140" s="25">
        <v>-9999</v>
      </c>
      <c r="M140" s="25">
        <v>-9999</v>
      </c>
      <c r="N140" s="25">
        <v>-9999</v>
      </c>
      <c r="O140" s="25">
        <v>-9999</v>
      </c>
      <c r="P140" s="32"/>
      <c r="Q140"/>
      <c r="AA140" s="22">
        <v>40</v>
      </c>
      <c r="AB140" s="1040" t="str">
        <f t="shared" si="3"/>
        <v>VAL. G.F.C.F. EQUIPMENT</v>
      </c>
      <c r="AC140" s="1040">
        <f>CHOOSE(Tables!$U$2,Transfer!CA140,Transfer!CN140,Transfer!DA140,Transfer!DN140,Transfer!EA140)</f>
        <v>6.3425500000000001</v>
      </c>
      <c r="AD140" s="1040">
        <f>CHOOSE(Tables!$U$2,Transfer!CB140,Transfer!CO140,Transfer!DB140,Transfer!DO140,Transfer!EB140)</f>
        <v>6.1267700000000005</v>
      </c>
      <c r="AE140" s="1040">
        <f>CHOOSE(Tables!$U$2,Transfer!CC140,Transfer!CP140,Transfer!DC140,Transfer!DP140,Transfer!EC140)</f>
        <v>6.8890933572500002</v>
      </c>
      <c r="AF140" s="1040">
        <f>CHOOSE(Tables!$U$2,Transfer!CD140,Transfer!CQ140,Transfer!DD140,Transfer!DQ140,Transfer!ED140)</f>
        <v>7.8667934865109208</v>
      </c>
      <c r="AG140" s="1040">
        <f>CHOOSE(Tables!$U$2,Transfer!CE140,Transfer!CR140,Transfer!DE140,Transfer!DR140,Transfer!EE140)</f>
        <v>9.0696262105984413</v>
      </c>
      <c r="AH140" s="1040">
        <f>CHOOSE(Tables!$U$2,Transfer!CF140,Transfer!CS140,Transfer!DF140,Transfer!DS140,Transfer!EF140)</f>
        <v>-9999</v>
      </c>
      <c r="AI140" s="1040">
        <f>CHOOSE(Tables!$U$2,Transfer!CG140,Transfer!CT140,Transfer!DG140,Transfer!DT140,Transfer!EG140)</f>
        <v>-9999</v>
      </c>
      <c r="AJ140" s="1040">
        <f>CHOOSE(Tables!$U$2,Transfer!CH140,Transfer!CU140,Transfer!DH140,Transfer!DU140,Transfer!EH140)</f>
        <v>-9999</v>
      </c>
      <c r="AK140" s="1040">
        <f>CHOOSE(Tables!$U$2,Transfer!CI140,Transfer!CV140,Transfer!DI140,Transfer!DV140,Transfer!EI140)</f>
        <v>-9999</v>
      </c>
      <c r="AL140" s="1040">
        <f>CHOOSE(Tables!$U$2,Transfer!CJ140,Transfer!CW140,Transfer!DJ140,Transfer!DW140,Transfer!EJ140)</f>
        <v>-9999</v>
      </c>
      <c r="AM140" s="1040">
        <f>CHOOSE(Tables!$U$2,Transfer!CK140,Transfer!CX140,Transfer!DK140,Transfer!DX140,Transfer!EK140)</f>
        <v>-9999</v>
      </c>
      <c r="AN140" s="1040">
        <f>CHOOSE(Tables!$U$2,Transfer!CL140,Transfer!CY140,Transfer!DL140,Transfer!DY140,Transfer!EL140)</f>
        <v>-9999</v>
      </c>
      <c r="AO140" s="1040">
        <f>CHOOSE(Tables!$U$2,Transfer!CM140,Transfer!CZ140,Transfer!DM140,Transfer!DZ140,Transfer!EM140)</f>
        <v>-9999</v>
      </c>
      <c r="AR140" s="22">
        <v>40</v>
      </c>
      <c r="AS140" s="1" t="s">
        <v>1718</v>
      </c>
      <c r="AT140" s="24">
        <f t="shared" ca="1" si="5"/>
        <v>-3.8684100000000003</v>
      </c>
      <c r="AU140" s="24">
        <f t="shared" ca="1" si="5"/>
        <v>-3.4442400000000002</v>
      </c>
      <c r="AV140" s="24">
        <f t="shared" ca="1" si="5"/>
        <v>-4.0291033572500004</v>
      </c>
      <c r="AW140" s="24">
        <f t="shared" ca="1" si="5"/>
        <v>-4.7171579992609214</v>
      </c>
      <c r="AX140" s="24">
        <f t="shared" ca="1" si="5"/>
        <v>-5.7384772302182245</v>
      </c>
      <c r="AY140" s="25">
        <f t="shared" si="5"/>
        <v>0</v>
      </c>
      <c r="AZ140" s="25">
        <f t="shared" si="5"/>
        <v>0</v>
      </c>
      <c r="BA140" s="25">
        <f t="shared" si="5"/>
        <v>0</v>
      </c>
      <c r="BB140" s="25">
        <f t="shared" si="5"/>
        <v>0</v>
      </c>
      <c r="BC140" s="25">
        <f t="shared" si="5"/>
        <v>0</v>
      </c>
      <c r="BD140" s="25">
        <f t="shared" si="5"/>
        <v>0</v>
      </c>
      <c r="BE140" s="25">
        <f t="shared" si="5"/>
        <v>0</v>
      </c>
      <c r="BF140" s="25">
        <f t="shared" si="5"/>
        <v>0</v>
      </c>
      <c r="CA140" s="16">
        <v>2.1916199999999999</v>
      </c>
      <c r="CB140" s="16">
        <v>2.2525900000000001</v>
      </c>
      <c r="CC140" s="16">
        <v>2.4464253695</v>
      </c>
      <c r="CD140" s="16">
        <v>2.2658057844698152</v>
      </c>
      <c r="CE140" s="16">
        <v>2.557369672815391</v>
      </c>
      <c r="CF140" s="16">
        <v>-9999</v>
      </c>
      <c r="CG140" s="16">
        <v>-9999</v>
      </c>
      <c r="CH140" s="16">
        <v>-9999</v>
      </c>
      <c r="CI140" s="16">
        <v>-9999</v>
      </c>
      <c r="CJ140" s="16">
        <v>-9999</v>
      </c>
      <c r="CK140" s="16">
        <v>-9999</v>
      </c>
      <c r="CL140" s="16">
        <v>-9999</v>
      </c>
      <c r="CM140" s="16">
        <v>-9999</v>
      </c>
      <c r="CN140" s="16">
        <v>1.9435799999999999</v>
      </c>
      <c r="CO140" s="16">
        <v>2.14296</v>
      </c>
      <c r="CP140" s="16">
        <v>2.3038534368000003</v>
      </c>
      <c r="CQ140" s="16">
        <v>2.4228013897419838</v>
      </c>
      <c r="CR140" s="16">
        <v>2.6794245129434549</v>
      </c>
      <c r="CS140" s="16">
        <v>-9999</v>
      </c>
      <c r="CT140" s="16">
        <v>-9999</v>
      </c>
      <c r="CU140" s="16">
        <v>-9999</v>
      </c>
      <c r="CV140" s="16">
        <v>-9999</v>
      </c>
      <c r="CW140" s="16">
        <v>-9999</v>
      </c>
      <c r="CX140" s="16">
        <v>-9999</v>
      </c>
      <c r="CY140" s="16">
        <v>-9999</v>
      </c>
      <c r="CZ140" s="16">
        <v>-9999</v>
      </c>
      <c r="DA140" s="16">
        <v>2.14296</v>
      </c>
      <c r="DB140" s="16">
        <v>2.15245</v>
      </c>
      <c r="DC140" s="16">
        <v>2.3744902846499998</v>
      </c>
      <c r="DD140" s="16">
        <v>2.5157487116838277</v>
      </c>
      <c r="DE140" s="16">
        <v>2.6862661593617574</v>
      </c>
      <c r="DF140" s="16">
        <v>-9999</v>
      </c>
      <c r="DG140" s="16">
        <v>-9999</v>
      </c>
      <c r="DH140" s="16">
        <v>-9999</v>
      </c>
      <c r="DI140" s="16">
        <v>-9999</v>
      </c>
      <c r="DJ140" s="16">
        <v>-9999</v>
      </c>
      <c r="DK140" s="16">
        <v>-9999</v>
      </c>
      <c r="DL140" s="16">
        <v>-9999</v>
      </c>
      <c r="DM140" s="16">
        <v>-9999</v>
      </c>
      <c r="DN140" s="16">
        <v>1.9435799999999999</v>
      </c>
      <c r="DO140" s="16">
        <v>2.14296</v>
      </c>
      <c r="DP140" s="16">
        <v>2.3038534368000003</v>
      </c>
      <c r="DQ140" s="16">
        <v>2.4157446866650654</v>
      </c>
      <c r="DR140" s="16">
        <v>2.6543043059626141</v>
      </c>
      <c r="DS140" s="16">
        <v>-9999</v>
      </c>
      <c r="DT140" s="16">
        <v>-9999</v>
      </c>
      <c r="DU140" s="16">
        <v>-9999</v>
      </c>
      <c r="DV140" s="16">
        <v>-9999</v>
      </c>
      <c r="DW140" s="16">
        <v>-9999</v>
      </c>
      <c r="DX140" s="16">
        <v>-9999</v>
      </c>
      <c r="DY140" s="16">
        <v>-9999</v>
      </c>
      <c r="DZ140" s="16">
        <v>-9999</v>
      </c>
      <c r="EA140" s="2196">
        <v>6.3425500000000001</v>
      </c>
      <c r="EB140" s="2196">
        <v>6.1267700000000005</v>
      </c>
      <c r="EC140" s="2196">
        <v>6.8890933572500002</v>
      </c>
      <c r="ED140" s="2196">
        <v>7.8667934865109208</v>
      </c>
      <c r="EE140" s="2196">
        <v>9.0696262105984413</v>
      </c>
      <c r="EF140" s="2197">
        <v>-9999</v>
      </c>
      <c r="EG140" s="2197">
        <v>-9999</v>
      </c>
      <c r="EH140" s="2197">
        <v>-9999</v>
      </c>
      <c r="EI140" s="2197">
        <v>-9999</v>
      </c>
      <c r="EJ140" s="2197">
        <v>-9999</v>
      </c>
      <c r="EK140" s="2197">
        <v>-9999</v>
      </c>
      <c r="EL140" s="2197">
        <v>-9999</v>
      </c>
      <c r="EM140" s="2197">
        <v>-9999</v>
      </c>
    </row>
    <row r="141" spans="1:143">
      <c r="A141" s="22">
        <v>41</v>
      </c>
      <c r="B141" s="1" t="s">
        <v>1533</v>
      </c>
      <c r="C141" s="24">
        <f ca="1">OFFSET('VVP2'!F211,0,Last_forecast_year - 3-InputY!$G$3)</f>
        <v>0.75331999999999999</v>
      </c>
      <c r="D141" s="24">
        <f ca="1">OFFSET('VVP2'!G211,0,Last_forecast_year - 3-InputY!$G$3)</f>
        <v>0.84651999999999994</v>
      </c>
      <c r="E141" s="24">
        <f ca="1">OFFSET('VVP2'!H211,0,Last_forecast_year - 3-InputY!$G$3)</f>
        <v>0.92247999999999986</v>
      </c>
      <c r="F141" s="24">
        <f ca="1">OFFSET('VVP2'!I211,0,Last_forecast_year - 3-InputY!$G$3)</f>
        <v>0.98947049759999994</v>
      </c>
      <c r="G141" s="24">
        <f ca="1">OFFSET('VVP2'!J211,0,Last_forecast_year - 3-InputY!$G$3)</f>
        <v>1.0443366366919198</v>
      </c>
      <c r="H141" s="25">
        <v>-9999</v>
      </c>
      <c r="I141" s="25">
        <v>-9999</v>
      </c>
      <c r="J141" s="25">
        <v>-9999</v>
      </c>
      <c r="K141" s="25">
        <v>-9999</v>
      </c>
      <c r="L141" s="25">
        <v>-9999</v>
      </c>
      <c r="M141" s="25">
        <v>-9999</v>
      </c>
      <c r="N141" s="25">
        <v>-9999</v>
      </c>
      <c r="O141" s="25">
        <v>-9999</v>
      </c>
      <c r="P141" s="32"/>
      <c r="Q141"/>
      <c r="AA141" s="22">
        <v>41</v>
      </c>
      <c r="AB141" s="1040" t="str">
        <f t="shared" si="3"/>
        <v>VAL. G.F.C.F. OTHER</v>
      </c>
      <c r="AC141" s="1040">
        <f>CHOOSE(Tables!$U$2,Transfer!CA141,Transfer!CN141,Transfer!DA141,Transfer!DN141,Transfer!EA141)</f>
        <v>1.60304</v>
      </c>
      <c r="AD141" s="1040">
        <f>CHOOSE(Tables!$U$2,Transfer!CB141,Transfer!CO141,Transfer!DB141,Transfer!DO141,Transfer!EB141)</f>
        <v>1.54247</v>
      </c>
      <c r="AE141" s="1040">
        <f>CHOOSE(Tables!$U$2,Transfer!CC141,Transfer!CP141,Transfer!DC141,Transfer!DP141,Transfer!EC141)</f>
        <v>1.6887578548</v>
      </c>
      <c r="AF141" s="1040">
        <f>CHOOSE(Tables!$U$2,Transfer!CD141,Transfer!CQ141,Transfer!DD141,Transfer!DQ141,Transfer!ED141)</f>
        <v>1.87857423767952</v>
      </c>
      <c r="AG141" s="1040">
        <f>CHOOSE(Tables!$U$2,Transfer!CE141,Transfer!CR141,Transfer!DE141,Transfer!DR141,Transfer!EE141)</f>
        <v>2.1100145837616369</v>
      </c>
      <c r="AH141" s="1040">
        <f>CHOOSE(Tables!$U$2,Transfer!CF141,Transfer!CS141,Transfer!DF141,Transfer!DS141,Transfer!EF141)</f>
        <v>-9999</v>
      </c>
      <c r="AI141" s="1040">
        <f>CHOOSE(Tables!$U$2,Transfer!CG141,Transfer!CT141,Transfer!DG141,Transfer!DT141,Transfer!EG141)</f>
        <v>-9999</v>
      </c>
      <c r="AJ141" s="1040">
        <f>CHOOSE(Tables!$U$2,Transfer!CH141,Transfer!CU141,Transfer!DH141,Transfer!DU141,Transfer!EH141)</f>
        <v>-9999</v>
      </c>
      <c r="AK141" s="1040">
        <f>CHOOSE(Tables!$U$2,Transfer!CI141,Transfer!CV141,Transfer!DI141,Transfer!DV141,Transfer!EI141)</f>
        <v>-9999</v>
      </c>
      <c r="AL141" s="1040">
        <f>CHOOSE(Tables!$U$2,Transfer!CJ141,Transfer!CW141,Transfer!DJ141,Transfer!DW141,Transfer!EJ141)</f>
        <v>-9999</v>
      </c>
      <c r="AM141" s="1040">
        <f>CHOOSE(Tables!$U$2,Transfer!CK141,Transfer!CX141,Transfer!DK141,Transfer!DX141,Transfer!EK141)</f>
        <v>-9999</v>
      </c>
      <c r="AN141" s="1040">
        <f>CHOOSE(Tables!$U$2,Transfer!CL141,Transfer!CY141,Transfer!DL141,Transfer!DY141,Transfer!EL141)</f>
        <v>-9999</v>
      </c>
      <c r="AO141" s="1040">
        <f>CHOOSE(Tables!$U$2,Transfer!CM141,Transfer!CZ141,Transfer!DM141,Transfer!DZ141,Transfer!EM141)</f>
        <v>-9999</v>
      </c>
      <c r="AR141" s="22">
        <v>41</v>
      </c>
      <c r="AS141" s="1" t="s">
        <v>1533</v>
      </c>
      <c r="AT141" s="24">
        <f t="shared" ca="1" si="5"/>
        <v>-0.84972000000000003</v>
      </c>
      <c r="AU141" s="24">
        <f t="shared" ca="1" si="5"/>
        <v>-0.69595000000000007</v>
      </c>
      <c r="AV141" s="24">
        <f t="shared" ca="1" si="5"/>
        <v>-0.7662778548000001</v>
      </c>
      <c r="AW141" s="24">
        <f t="shared" ca="1" si="5"/>
        <v>-0.88910374007952009</v>
      </c>
      <c r="AX141" s="24">
        <f t="shared" ca="1" si="5"/>
        <v>-1.0656779470697171</v>
      </c>
      <c r="AY141" s="25">
        <f t="shared" si="5"/>
        <v>0</v>
      </c>
      <c r="AZ141" s="25">
        <f t="shared" si="5"/>
        <v>0</v>
      </c>
      <c r="BA141" s="25">
        <f t="shared" si="5"/>
        <v>0</v>
      </c>
      <c r="BB141" s="25">
        <f t="shared" si="5"/>
        <v>0</v>
      </c>
      <c r="BC141" s="25">
        <f t="shared" si="5"/>
        <v>0</v>
      </c>
      <c r="BD141" s="25">
        <f t="shared" si="5"/>
        <v>0</v>
      </c>
      <c r="BE141" s="25">
        <f t="shared" si="5"/>
        <v>0</v>
      </c>
      <c r="BF141" s="25">
        <f t="shared" si="5"/>
        <v>0</v>
      </c>
      <c r="CA141" s="16">
        <v>0.59198000000000006</v>
      </c>
      <c r="CB141" s="16">
        <v>0.57633000000000001</v>
      </c>
      <c r="CC141" s="16">
        <v>0.62592319650000017</v>
      </c>
      <c r="CD141" s="16">
        <v>0.65746972560360017</v>
      </c>
      <c r="CE141" s="16">
        <v>0.7140449954917899</v>
      </c>
      <c r="CF141" s="16">
        <v>-9999</v>
      </c>
      <c r="CG141" s="16">
        <v>-9999</v>
      </c>
      <c r="CH141" s="16">
        <v>-9999</v>
      </c>
      <c r="CI141" s="16">
        <v>-9999</v>
      </c>
      <c r="CJ141" s="16">
        <v>-9999</v>
      </c>
      <c r="CK141" s="16">
        <v>-9999</v>
      </c>
      <c r="CL141" s="16">
        <v>-9999</v>
      </c>
      <c r="CM141" s="16">
        <v>-9999</v>
      </c>
      <c r="CN141" s="16">
        <v>0.57774000000000003</v>
      </c>
      <c r="CO141" s="16">
        <v>0.54062999999999994</v>
      </c>
      <c r="CP141" s="16">
        <v>0.5817719429999999</v>
      </c>
      <c r="CQ141" s="16">
        <v>0.61774871995511982</v>
      </c>
      <c r="CR141" s="16">
        <v>0.67369204403425542</v>
      </c>
      <c r="CS141" s="16">
        <v>-9999</v>
      </c>
      <c r="CT141" s="16">
        <v>-9999</v>
      </c>
      <c r="CU141" s="16">
        <v>-9999</v>
      </c>
      <c r="CV141" s="16">
        <v>-9999</v>
      </c>
      <c r="CW141" s="16">
        <v>-9999</v>
      </c>
      <c r="CX141" s="16">
        <v>-9999</v>
      </c>
      <c r="CY141" s="16">
        <v>-9999</v>
      </c>
      <c r="CZ141" s="16">
        <v>-9999</v>
      </c>
      <c r="DA141" s="16">
        <v>0.54062999999999994</v>
      </c>
      <c r="DB141" s="16">
        <v>0.64660999999999991</v>
      </c>
      <c r="DC141" s="16">
        <v>0.68776672649999993</v>
      </c>
      <c r="DD141" s="16">
        <v>0.73076590224077997</v>
      </c>
      <c r="DE141" s="16">
        <v>0.78252239726698314</v>
      </c>
      <c r="DF141" s="16">
        <v>-9999</v>
      </c>
      <c r="DG141" s="16">
        <v>-9999</v>
      </c>
      <c r="DH141" s="16">
        <v>-9999</v>
      </c>
      <c r="DI141" s="16">
        <v>-9999</v>
      </c>
      <c r="DJ141" s="16">
        <v>-9999</v>
      </c>
      <c r="DK141" s="16">
        <v>-9999</v>
      </c>
      <c r="DL141" s="16">
        <v>-9999</v>
      </c>
      <c r="DM141" s="16">
        <v>-9999</v>
      </c>
      <c r="DN141" s="16">
        <v>0.57774000000000003</v>
      </c>
      <c r="DO141" s="16">
        <v>0.54062999999999994</v>
      </c>
      <c r="DP141" s="16">
        <v>0.5817719429999999</v>
      </c>
      <c r="DQ141" s="16">
        <v>0.61774871995511982</v>
      </c>
      <c r="DR141" s="16">
        <v>0.67369204403425542</v>
      </c>
      <c r="DS141" s="16">
        <v>-9999</v>
      </c>
      <c r="DT141" s="16">
        <v>-9999</v>
      </c>
      <c r="DU141" s="16">
        <v>-9999</v>
      </c>
      <c r="DV141" s="16">
        <v>-9999</v>
      </c>
      <c r="DW141" s="16">
        <v>-9999</v>
      </c>
      <c r="DX141" s="16">
        <v>-9999</v>
      </c>
      <c r="DY141" s="16">
        <v>-9999</v>
      </c>
      <c r="DZ141" s="16">
        <v>-9999</v>
      </c>
      <c r="EA141" s="2196">
        <v>1.60304</v>
      </c>
      <c r="EB141" s="2196">
        <v>1.54247</v>
      </c>
      <c r="EC141" s="2196">
        <v>1.6887578548</v>
      </c>
      <c r="ED141" s="2196">
        <v>1.87857423767952</v>
      </c>
      <c r="EE141" s="2196">
        <v>2.1100145837616369</v>
      </c>
      <c r="EF141" s="2197">
        <v>-9999</v>
      </c>
      <c r="EG141" s="2197">
        <v>-9999</v>
      </c>
      <c r="EH141" s="2197">
        <v>-9999</v>
      </c>
      <c r="EI141" s="2197">
        <v>-9999</v>
      </c>
      <c r="EJ141" s="2197">
        <v>-9999</v>
      </c>
      <c r="EK141" s="2197">
        <v>-9999</v>
      </c>
      <c r="EL141" s="2197">
        <v>-9999</v>
      </c>
      <c r="EM141" s="2197">
        <v>-9999</v>
      </c>
    </row>
    <row r="142" spans="1:143">
      <c r="A142" s="22">
        <v>42</v>
      </c>
      <c r="B142" s="1" t="s">
        <v>1535</v>
      </c>
      <c r="C142" s="24">
        <f ca="1">OFFSET('VVP2'!F260,0,Last_forecast_year - 3-InputY!$G$3)</f>
        <v>0.37847000000000003</v>
      </c>
      <c r="D142" s="24">
        <f ca="1">OFFSET('VVP2'!G260,0,Last_forecast_year - 3-InputY!$G$3)</f>
        <v>-0.64598</v>
      </c>
      <c r="E142" s="24">
        <f ca="1">OFFSET('VVP2'!H260,0,Last_forecast_year - 3-InputY!$G$3)</f>
        <v>-0.64598</v>
      </c>
      <c r="F142" s="24">
        <f ca="1">OFFSET('VVP2'!I260,0,Last_forecast_year - 3-InputY!$G$3)</f>
        <v>-0.64598</v>
      </c>
      <c r="G142" s="24">
        <f ca="1">OFFSET('VVP2'!J260,0,Last_forecast_year - 3-InputY!$G$3)</f>
        <v>-0.64598</v>
      </c>
      <c r="H142" s="25">
        <v>-9999</v>
      </c>
      <c r="I142" s="25">
        <v>-9999</v>
      </c>
      <c r="J142" s="25">
        <v>-9999</v>
      </c>
      <c r="K142" s="25">
        <v>-9999</v>
      </c>
      <c r="L142" s="25">
        <v>-9999</v>
      </c>
      <c r="M142" s="25">
        <v>-9999</v>
      </c>
      <c r="N142" s="25">
        <v>-9999</v>
      </c>
      <c r="O142" s="25">
        <v>-9999</v>
      </c>
      <c r="P142" s="32"/>
      <c r="Q142"/>
      <c r="AA142" s="22">
        <v>42</v>
      </c>
      <c r="AB142" s="1040" t="str">
        <f t="shared" si="3"/>
        <v>VAL. CHANGE IN INVENTORIES</v>
      </c>
      <c r="AC142" s="1040">
        <f>CHOOSE(Tables!$U$2,Transfer!CA142,Transfer!CN142,Transfer!DA142,Transfer!DN142,Transfer!EA142)</f>
        <v>3.4495300000000002</v>
      </c>
      <c r="AD142" s="1040">
        <f>CHOOSE(Tables!$U$2,Transfer!CB142,Transfer!CO142,Transfer!DB142,Transfer!DO142,Transfer!EB142)</f>
        <v>1.89377</v>
      </c>
      <c r="AE142" s="1040">
        <f>CHOOSE(Tables!$U$2,Transfer!CC142,Transfer!CP142,Transfer!DC142,Transfer!DP142,Transfer!EC142)</f>
        <v>1.89377</v>
      </c>
      <c r="AF142" s="1040">
        <f>CHOOSE(Tables!$U$2,Transfer!CD142,Transfer!CQ142,Transfer!DD142,Transfer!DQ142,Transfer!ED142)</f>
        <v>1.89377</v>
      </c>
      <c r="AG142" s="1040">
        <f>CHOOSE(Tables!$U$2,Transfer!CE142,Transfer!CR142,Transfer!DE142,Transfer!DR142,Transfer!EE142)</f>
        <v>1.89377</v>
      </c>
      <c r="AH142" s="1040">
        <f>CHOOSE(Tables!$U$2,Transfer!CF142,Transfer!CS142,Transfer!DF142,Transfer!DS142,Transfer!EF142)</f>
        <v>-9999</v>
      </c>
      <c r="AI142" s="1040">
        <f>CHOOSE(Tables!$U$2,Transfer!CG142,Transfer!CT142,Transfer!DG142,Transfer!DT142,Transfer!EG142)</f>
        <v>-9999</v>
      </c>
      <c r="AJ142" s="1040">
        <f>CHOOSE(Tables!$U$2,Transfer!CH142,Transfer!CU142,Transfer!DH142,Transfer!DU142,Transfer!EH142)</f>
        <v>-9999</v>
      </c>
      <c r="AK142" s="1040">
        <f>CHOOSE(Tables!$U$2,Transfer!CI142,Transfer!CV142,Transfer!DI142,Transfer!DV142,Transfer!EI142)</f>
        <v>-9999</v>
      </c>
      <c r="AL142" s="1040">
        <f>CHOOSE(Tables!$U$2,Transfer!CJ142,Transfer!CW142,Transfer!DJ142,Transfer!DW142,Transfer!EJ142)</f>
        <v>-9999</v>
      </c>
      <c r="AM142" s="1040">
        <f>CHOOSE(Tables!$U$2,Transfer!CK142,Transfer!CX142,Transfer!DK142,Transfer!DX142,Transfer!EK142)</f>
        <v>-9999</v>
      </c>
      <c r="AN142" s="1040">
        <f>CHOOSE(Tables!$U$2,Transfer!CL142,Transfer!CY142,Transfer!DL142,Transfer!DY142,Transfer!EL142)</f>
        <v>-9999</v>
      </c>
      <c r="AO142" s="1040">
        <f>CHOOSE(Tables!$U$2,Transfer!CM142,Transfer!CZ142,Transfer!DM142,Transfer!DZ142,Transfer!EM142)</f>
        <v>-9999</v>
      </c>
      <c r="AR142" s="22">
        <v>42</v>
      </c>
      <c r="AS142" s="1" t="s">
        <v>1535</v>
      </c>
      <c r="AT142" s="24">
        <f t="shared" ca="1" si="5"/>
        <v>-3.0710600000000001</v>
      </c>
      <c r="AU142" s="24">
        <f t="shared" ca="1" si="5"/>
        <v>-2.5397499999999997</v>
      </c>
      <c r="AV142" s="24">
        <f t="shared" ca="1" si="5"/>
        <v>-2.5397499999999997</v>
      </c>
      <c r="AW142" s="24">
        <f t="shared" ca="1" si="5"/>
        <v>-2.5397499999999997</v>
      </c>
      <c r="AX142" s="24">
        <f t="shared" ca="1" si="5"/>
        <v>-2.5397499999999997</v>
      </c>
      <c r="AY142" s="25">
        <f t="shared" si="5"/>
        <v>0</v>
      </c>
      <c r="AZ142" s="25">
        <f t="shared" si="5"/>
        <v>0</v>
      </c>
      <c r="BA142" s="25">
        <f t="shared" si="5"/>
        <v>0</v>
      </c>
      <c r="BB142" s="25">
        <f t="shared" si="5"/>
        <v>0</v>
      </c>
      <c r="BC142" s="25">
        <f t="shared" si="5"/>
        <v>0</v>
      </c>
      <c r="BD142" s="25">
        <f t="shared" si="5"/>
        <v>0</v>
      </c>
      <c r="BE142" s="25">
        <f t="shared" si="5"/>
        <v>0</v>
      </c>
      <c r="BF142" s="25">
        <f t="shared" si="5"/>
        <v>0</v>
      </c>
      <c r="CA142" s="16">
        <v>0.23125000000000001</v>
      </c>
      <c r="CB142" s="16">
        <v>-0.2135</v>
      </c>
      <c r="CC142" s="16">
        <v>-1.2985731849999997</v>
      </c>
      <c r="CD142" s="16">
        <v>-1.7530737997499997</v>
      </c>
      <c r="CE142" s="16">
        <v>-1.1394979698374998</v>
      </c>
      <c r="CF142" s="16">
        <v>-9999</v>
      </c>
      <c r="CG142" s="16">
        <v>-9999</v>
      </c>
      <c r="CH142" s="16">
        <v>-9999</v>
      </c>
      <c r="CI142" s="16">
        <v>-9999</v>
      </c>
      <c r="CJ142" s="16">
        <v>-9999</v>
      </c>
      <c r="CK142" s="16">
        <v>-9999</v>
      </c>
      <c r="CL142" s="16">
        <v>-9999</v>
      </c>
      <c r="CM142" s="16">
        <v>-9999</v>
      </c>
      <c r="CN142" s="16">
        <v>0.61608000000000007</v>
      </c>
      <c r="CO142" s="16">
        <v>0.32613999999999999</v>
      </c>
      <c r="CP142" s="16">
        <v>0.16470070000000001</v>
      </c>
      <c r="CQ142" s="16">
        <v>0.16470070000000001</v>
      </c>
      <c r="CR142" s="16">
        <v>0.16634770700000001</v>
      </c>
      <c r="CS142" s="16">
        <v>-9999</v>
      </c>
      <c r="CT142" s="16">
        <v>-9999</v>
      </c>
      <c r="CU142" s="16">
        <v>-9999</v>
      </c>
      <c r="CV142" s="16">
        <v>-9999</v>
      </c>
      <c r="CW142" s="16">
        <v>-9999</v>
      </c>
      <c r="CX142" s="16">
        <v>-9999</v>
      </c>
      <c r="CY142" s="16">
        <v>-9999</v>
      </c>
      <c r="CZ142" s="16">
        <v>-9999</v>
      </c>
      <c r="DA142" s="16">
        <v>0.32613999999999999</v>
      </c>
      <c r="DB142" s="16">
        <v>-0.10718000000000001</v>
      </c>
      <c r="DC142" s="16">
        <v>-0.10718000000000001</v>
      </c>
      <c r="DD142" s="16">
        <v>-0.10718000000000001</v>
      </c>
      <c r="DE142" s="16">
        <v>-0.10718000000000001</v>
      </c>
      <c r="DF142" s="16">
        <v>-9999</v>
      </c>
      <c r="DG142" s="16">
        <v>-9999</v>
      </c>
      <c r="DH142" s="16">
        <v>-9999</v>
      </c>
      <c r="DI142" s="16">
        <v>-9999</v>
      </c>
      <c r="DJ142" s="16">
        <v>-9999</v>
      </c>
      <c r="DK142" s="16">
        <v>-9999</v>
      </c>
      <c r="DL142" s="16">
        <v>-9999</v>
      </c>
      <c r="DM142" s="16">
        <v>-9999</v>
      </c>
      <c r="DN142" s="16">
        <v>0.61608000000000007</v>
      </c>
      <c r="DO142" s="16">
        <v>0.32613999999999999</v>
      </c>
      <c r="DP142" s="16">
        <v>0.14534974282837562</v>
      </c>
      <c r="DQ142" s="16">
        <v>0.14534974282837562</v>
      </c>
      <c r="DR142" s="16">
        <v>0.14680324025665939</v>
      </c>
      <c r="DS142" s="16">
        <v>-9999</v>
      </c>
      <c r="DT142" s="16">
        <v>-9999</v>
      </c>
      <c r="DU142" s="16">
        <v>-9999</v>
      </c>
      <c r="DV142" s="16">
        <v>-9999</v>
      </c>
      <c r="DW142" s="16">
        <v>-9999</v>
      </c>
      <c r="DX142" s="16">
        <v>-9999</v>
      </c>
      <c r="DY142" s="16">
        <v>-9999</v>
      </c>
      <c r="DZ142" s="16">
        <v>-9999</v>
      </c>
      <c r="EA142" s="2196">
        <v>3.4495300000000002</v>
      </c>
      <c r="EB142" s="2196">
        <v>1.89377</v>
      </c>
      <c r="EC142" s="2196">
        <v>1.89377</v>
      </c>
      <c r="ED142" s="2196">
        <v>1.89377</v>
      </c>
      <c r="EE142" s="2196">
        <v>1.89377</v>
      </c>
      <c r="EF142" s="2197">
        <v>-9999</v>
      </c>
      <c r="EG142" s="2197">
        <v>-9999</v>
      </c>
      <c r="EH142" s="2197">
        <v>-9999</v>
      </c>
      <c r="EI142" s="2197">
        <v>-9999</v>
      </c>
      <c r="EJ142" s="2197">
        <v>-9999</v>
      </c>
      <c r="EK142" s="2197">
        <v>-9999</v>
      </c>
      <c r="EL142" s="2197">
        <v>-9999</v>
      </c>
      <c r="EM142" s="2197">
        <v>-9999</v>
      </c>
    </row>
    <row r="143" spans="1:143">
      <c r="A143" s="22">
        <v>43</v>
      </c>
      <c r="B143" s="29" t="s">
        <v>1537</v>
      </c>
      <c r="C143" s="24">
        <f ca="1">OFFSET('VVP2'!F278,0,Last_forecast_year - 3-InputY!$G$3)</f>
        <v>22.30939</v>
      </c>
      <c r="D143" s="24">
        <f ca="1">OFFSET('VVP2'!G278,0,Last_forecast_year - 3-InputY!$G$3)</f>
        <v>21.92191</v>
      </c>
      <c r="E143" s="24">
        <f ca="1">OFFSET('VVP2'!H278,0,Last_forecast_year - 3-InputY!$G$3)</f>
        <v>25.75292</v>
      </c>
      <c r="F143" s="24">
        <f ca="1">OFFSET('VVP2'!I278,0,Last_forecast_year - 3-InputY!$G$3)</f>
        <v>27.715189492319997</v>
      </c>
      <c r="G143" s="24">
        <f ca="1">OFFSET('VVP2'!J278,0,Last_forecast_year - 3-InputY!$G$3)</f>
        <v>29.51335098658172</v>
      </c>
      <c r="H143" s="25">
        <v>-9999</v>
      </c>
      <c r="I143" s="25">
        <v>-9999</v>
      </c>
      <c r="J143" s="25">
        <v>-9999</v>
      </c>
      <c r="K143" s="25">
        <v>-9999</v>
      </c>
      <c r="L143" s="25">
        <v>-9999</v>
      </c>
      <c r="M143" s="25">
        <v>-9999</v>
      </c>
      <c r="N143" s="25">
        <v>-9999</v>
      </c>
      <c r="O143" s="25">
        <v>-9999</v>
      </c>
      <c r="P143" s="32"/>
      <c r="Q143"/>
      <c r="AA143" s="22">
        <v>43</v>
      </c>
      <c r="AB143" s="1040" t="str">
        <f t="shared" si="3"/>
        <v>VAL. EXPORTS OF GOODS (FOB)</v>
      </c>
      <c r="AC143" s="1040">
        <f>CHOOSE(Tables!$U$2,Transfer!CA143,Transfer!CN143,Transfer!DA143,Transfer!DN143,Transfer!EA143)</f>
        <v>69.57683999999999</v>
      </c>
      <c r="AD143" s="1040">
        <f>CHOOSE(Tables!$U$2,Transfer!CB143,Transfer!CO143,Transfer!DB143,Transfer!DO143,Transfer!EB143)</f>
        <v>79.578500000000005</v>
      </c>
      <c r="AE143" s="1040">
        <f>CHOOSE(Tables!$U$2,Transfer!CC143,Transfer!CP143,Transfer!DC143,Transfer!DP143,Transfer!EC143)</f>
        <v>84.521916420000025</v>
      </c>
      <c r="AF143" s="1040">
        <f>CHOOSE(Tables!$U$2,Transfer!CD143,Transfer!CQ143,Transfer!DD143,Transfer!DQ143,Transfer!ED143)</f>
        <v>91.709237582774705</v>
      </c>
      <c r="AG143" s="1040">
        <f>CHOOSE(Tables!$U$2,Transfer!CE143,Transfer!CR143,Transfer!DE143,Transfer!DR143,Transfer!EE143)</f>
        <v>100.38144650707704</v>
      </c>
      <c r="AH143" s="1040">
        <f>CHOOSE(Tables!$U$2,Transfer!CF143,Transfer!CS143,Transfer!DF143,Transfer!DS143,Transfer!EF143)</f>
        <v>-9999</v>
      </c>
      <c r="AI143" s="1040">
        <f>CHOOSE(Tables!$U$2,Transfer!CG143,Transfer!CT143,Transfer!DG143,Transfer!DT143,Transfer!EG143)</f>
        <v>-9999</v>
      </c>
      <c r="AJ143" s="1040">
        <f>CHOOSE(Tables!$U$2,Transfer!CH143,Transfer!CU143,Transfer!DH143,Transfer!DU143,Transfer!EH143)</f>
        <v>-9999</v>
      </c>
      <c r="AK143" s="1040">
        <f>CHOOSE(Tables!$U$2,Transfer!CI143,Transfer!CV143,Transfer!DI143,Transfer!DV143,Transfer!EI143)</f>
        <v>-9999</v>
      </c>
      <c r="AL143" s="1040">
        <f>CHOOSE(Tables!$U$2,Transfer!CJ143,Transfer!CW143,Transfer!DJ143,Transfer!DW143,Transfer!EJ143)</f>
        <v>-9999</v>
      </c>
      <c r="AM143" s="1040">
        <f>CHOOSE(Tables!$U$2,Transfer!CK143,Transfer!CX143,Transfer!DK143,Transfer!DX143,Transfer!EK143)</f>
        <v>-9999</v>
      </c>
      <c r="AN143" s="1040">
        <f>CHOOSE(Tables!$U$2,Transfer!CL143,Transfer!CY143,Transfer!DL143,Transfer!DY143,Transfer!EL143)</f>
        <v>-9999</v>
      </c>
      <c r="AO143" s="1040">
        <f>CHOOSE(Tables!$U$2,Transfer!CM143,Transfer!CZ143,Transfer!DM143,Transfer!DZ143,Transfer!EM143)</f>
        <v>-9999</v>
      </c>
      <c r="AR143" s="22">
        <v>43</v>
      </c>
      <c r="AS143" s="29" t="s">
        <v>1537</v>
      </c>
      <c r="AT143" s="24">
        <f t="shared" ca="1" si="5"/>
        <v>-47.26744999999999</v>
      </c>
      <c r="AU143" s="24">
        <f t="shared" ca="1" si="5"/>
        <v>-57.656590000000008</v>
      </c>
      <c r="AV143" s="24">
        <f t="shared" ca="1" si="5"/>
        <v>-58.768996420000022</v>
      </c>
      <c r="AW143" s="24">
        <f t="shared" ca="1" si="5"/>
        <v>-63.994048090454712</v>
      </c>
      <c r="AX143" s="24">
        <f t="shared" ca="1" si="5"/>
        <v>-70.868095520495331</v>
      </c>
      <c r="AY143" s="25">
        <f t="shared" si="5"/>
        <v>0</v>
      </c>
      <c r="AZ143" s="25">
        <f t="shared" si="5"/>
        <v>0</v>
      </c>
      <c r="BA143" s="25">
        <f t="shared" si="5"/>
        <v>0</v>
      </c>
      <c r="BB143" s="25">
        <f t="shared" si="5"/>
        <v>0</v>
      </c>
      <c r="BC143" s="25">
        <f t="shared" si="5"/>
        <v>0</v>
      </c>
      <c r="BD143" s="25">
        <f t="shared" si="5"/>
        <v>0</v>
      </c>
      <c r="BE143" s="25">
        <f t="shared" si="5"/>
        <v>0</v>
      </c>
      <c r="BF143" s="25">
        <f t="shared" si="5"/>
        <v>0</v>
      </c>
      <c r="CA143" s="16">
        <v>23.99766</v>
      </c>
      <c r="CB143" s="16">
        <v>23.749599999999997</v>
      </c>
      <c r="CC143" s="16">
        <v>23.103610879999998</v>
      </c>
      <c r="CD143" s="16">
        <v>23.797389211115508</v>
      </c>
      <c r="CE143" s="16">
        <v>25.244270475151332</v>
      </c>
      <c r="CF143" s="16">
        <v>-9999</v>
      </c>
      <c r="CG143" s="16">
        <v>-9999</v>
      </c>
      <c r="CH143" s="16">
        <v>-9999</v>
      </c>
      <c r="CI143" s="16">
        <v>-9999</v>
      </c>
      <c r="CJ143" s="16">
        <v>-9999</v>
      </c>
      <c r="CK143" s="16">
        <v>-9999</v>
      </c>
      <c r="CL143" s="16">
        <v>-9999</v>
      </c>
      <c r="CM143" s="16">
        <v>-9999</v>
      </c>
      <c r="CN143" s="16">
        <v>22.427160000000001</v>
      </c>
      <c r="CO143" s="16">
        <v>23.99766</v>
      </c>
      <c r="CP143" s="16">
        <v>23.570549647319996</v>
      </c>
      <c r="CQ143" s="16">
        <v>23.957902167586646</v>
      </c>
      <c r="CR143" s="16">
        <v>25.56911900416118</v>
      </c>
      <c r="CS143" s="16">
        <v>-9999</v>
      </c>
      <c r="CT143" s="16">
        <v>-9999</v>
      </c>
      <c r="CU143" s="16">
        <v>-9999</v>
      </c>
      <c r="CV143" s="16">
        <v>-9999</v>
      </c>
      <c r="CW143" s="16">
        <v>-9999</v>
      </c>
      <c r="CX143" s="16">
        <v>-9999</v>
      </c>
      <c r="CY143" s="16">
        <v>-9999</v>
      </c>
      <c r="CZ143" s="16">
        <v>-9999</v>
      </c>
      <c r="DA143" s="16">
        <v>23.99766</v>
      </c>
      <c r="DB143" s="16">
        <v>23.789770000000001</v>
      </c>
      <c r="DC143" s="16">
        <v>22.969141883849996</v>
      </c>
      <c r="DD143" s="16">
        <v>23.87159946846646</v>
      </c>
      <c r="DE143" s="16">
        <v>25.172697125895759</v>
      </c>
      <c r="DF143" s="16">
        <v>-9999</v>
      </c>
      <c r="DG143" s="16">
        <v>-9999</v>
      </c>
      <c r="DH143" s="16">
        <v>-9999</v>
      </c>
      <c r="DI143" s="16">
        <v>-9999</v>
      </c>
      <c r="DJ143" s="16">
        <v>-9999</v>
      </c>
      <c r="DK143" s="16">
        <v>-9999</v>
      </c>
      <c r="DL143" s="16">
        <v>-9999</v>
      </c>
      <c r="DM143" s="16">
        <v>-9999</v>
      </c>
      <c r="DN143" s="16">
        <v>22.427160000000001</v>
      </c>
      <c r="DO143" s="16">
        <v>23.99766</v>
      </c>
      <c r="DP143" s="16">
        <v>23.570549647319996</v>
      </c>
      <c r="DQ143" s="16">
        <v>23.918333107366205</v>
      </c>
      <c r="DR143" s="16">
        <v>25.526888845502793</v>
      </c>
      <c r="DS143" s="16">
        <v>-9999</v>
      </c>
      <c r="DT143" s="16">
        <v>-9999</v>
      </c>
      <c r="DU143" s="16">
        <v>-9999</v>
      </c>
      <c r="DV143" s="16">
        <v>-9999</v>
      </c>
      <c r="DW143" s="16">
        <v>-9999</v>
      </c>
      <c r="DX143" s="16">
        <v>-9999</v>
      </c>
      <c r="DY143" s="16">
        <v>-9999</v>
      </c>
      <c r="DZ143" s="16">
        <v>-9999</v>
      </c>
      <c r="EA143" s="2196">
        <v>69.57683999999999</v>
      </c>
      <c r="EB143" s="2196">
        <v>79.578500000000005</v>
      </c>
      <c r="EC143" s="2196">
        <v>84.521916420000025</v>
      </c>
      <c r="ED143" s="2196">
        <v>91.709237582774705</v>
      </c>
      <c r="EE143" s="2196">
        <v>100.38144650707704</v>
      </c>
      <c r="EF143" s="2197">
        <v>-9999</v>
      </c>
      <c r="EG143" s="2197">
        <v>-9999</v>
      </c>
      <c r="EH143" s="2197">
        <v>-9999</v>
      </c>
      <c r="EI143" s="2197">
        <v>-9999</v>
      </c>
      <c r="EJ143" s="2197">
        <v>-9999</v>
      </c>
      <c r="EK143" s="2197">
        <v>-9999</v>
      </c>
      <c r="EL143" s="2197">
        <v>-9999</v>
      </c>
      <c r="EM143" s="2197">
        <v>-9999</v>
      </c>
    </row>
    <row r="144" spans="1:143">
      <c r="A144" s="22">
        <v>44</v>
      </c>
      <c r="B144" s="29" t="s">
        <v>1538</v>
      </c>
      <c r="C144" s="24">
        <f ca="1">OFFSET('VVP2'!F277,0,Last_forecast_year - 3-InputY!$G$3)</f>
        <v>6.0737700000000006</v>
      </c>
      <c r="D144" s="24">
        <f ca="1">OFFSET('VVP2'!G277,0,Last_forecast_year - 3-InputY!$G$3)</f>
        <v>6.8672200000000005</v>
      </c>
      <c r="E144" s="24">
        <f ca="1">OFFSET('VVP2'!H277,0,Last_forecast_year - 3-InputY!$G$3)</f>
        <v>8.28017</v>
      </c>
      <c r="F144" s="24">
        <f ca="1">OFFSET('VVP2'!I277,0,Last_forecast_year - 3-InputY!$G$3)</f>
        <v>9.0388405762499993</v>
      </c>
      <c r="G144" s="24">
        <f ca="1">OFFSET('VVP2'!J277,0,Last_forecast_year - 3-InputY!$G$3)</f>
        <v>9.6439457586270549</v>
      </c>
      <c r="H144" s="25">
        <v>-9999</v>
      </c>
      <c r="I144" s="25">
        <v>-9999</v>
      </c>
      <c r="J144" s="25">
        <v>-9999</v>
      </c>
      <c r="K144" s="25">
        <v>-9999</v>
      </c>
      <c r="L144" s="25">
        <v>-9999</v>
      </c>
      <c r="M144" s="25">
        <v>-9999</v>
      </c>
      <c r="N144" s="25">
        <v>-9999</v>
      </c>
      <c r="O144" s="25">
        <v>-9999</v>
      </c>
      <c r="P144" s="32"/>
      <c r="Q144"/>
      <c r="AA144" s="22">
        <v>44</v>
      </c>
      <c r="AB144" s="1040" t="str">
        <f t="shared" si="3"/>
        <v>VAL. EXPORTS OF SERVICES</v>
      </c>
      <c r="AC144" s="1040">
        <f>CHOOSE(Tables!$U$2,Transfer!CA144,Transfer!CN144,Transfer!DA144,Transfer!DN144,Transfer!EA144)</f>
        <v>12.97217</v>
      </c>
      <c r="AD144" s="1040">
        <f>CHOOSE(Tables!$U$2,Transfer!CB144,Transfer!CO144,Transfer!DB144,Transfer!DO144,Transfer!EB144)</f>
        <v>15.890219999999999</v>
      </c>
      <c r="AE144" s="1040">
        <f>CHOOSE(Tables!$U$2,Transfer!CC144,Transfer!CP144,Transfer!DC144,Transfer!DP144,Transfer!EC144)</f>
        <v>16.88075275392</v>
      </c>
      <c r="AF144" s="1040">
        <f>CHOOSE(Tables!$U$2,Transfer!CD144,Transfer!CQ144,Transfer!DD144,Transfer!DQ144,Transfer!ED144)</f>
        <v>18.252752814747602</v>
      </c>
      <c r="AG144" s="1040">
        <f>CHOOSE(Tables!$U$2,Transfer!CE144,Transfer!CR144,Transfer!DE144,Transfer!DR144,Transfer!EE144)</f>
        <v>19.870895857280608</v>
      </c>
      <c r="AH144" s="1040">
        <f>CHOOSE(Tables!$U$2,Transfer!CF144,Transfer!CS144,Transfer!DF144,Transfer!DS144,Transfer!EF144)</f>
        <v>-9999</v>
      </c>
      <c r="AI144" s="1040">
        <f>CHOOSE(Tables!$U$2,Transfer!CG144,Transfer!CT144,Transfer!DG144,Transfer!DT144,Transfer!EG144)</f>
        <v>-9999</v>
      </c>
      <c r="AJ144" s="1040">
        <f>CHOOSE(Tables!$U$2,Transfer!CH144,Transfer!CU144,Transfer!DH144,Transfer!DU144,Transfer!EH144)</f>
        <v>-9999</v>
      </c>
      <c r="AK144" s="1040">
        <f>CHOOSE(Tables!$U$2,Transfer!CI144,Transfer!CV144,Transfer!DI144,Transfer!DV144,Transfer!EI144)</f>
        <v>-9999</v>
      </c>
      <c r="AL144" s="1040">
        <f>CHOOSE(Tables!$U$2,Transfer!CJ144,Transfer!CW144,Transfer!DJ144,Transfer!DW144,Transfer!EJ144)</f>
        <v>-9999</v>
      </c>
      <c r="AM144" s="1040">
        <f>CHOOSE(Tables!$U$2,Transfer!CK144,Transfer!CX144,Transfer!DK144,Transfer!DX144,Transfer!EK144)</f>
        <v>-9999</v>
      </c>
      <c r="AN144" s="1040">
        <f>CHOOSE(Tables!$U$2,Transfer!CL144,Transfer!CY144,Transfer!DL144,Transfer!DY144,Transfer!EL144)</f>
        <v>-9999</v>
      </c>
      <c r="AO144" s="1040">
        <f>CHOOSE(Tables!$U$2,Transfer!CM144,Transfer!CZ144,Transfer!DM144,Transfer!DZ144,Transfer!EM144)</f>
        <v>-9999</v>
      </c>
      <c r="AR144" s="22">
        <v>44</v>
      </c>
      <c r="AS144" s="29" t="s">
        <v>1538</v>
      </c>
      <c r="AT144" s="24">
        <f t="shared" ca="1" si="5"/>
        <v>-6.8983999999999996</v>
      </c>
      <c r="AU144" s="24">
        <f t="shared" ca="1" si="5"/>
        <v>-9.0229999999999997</v>
      </c>
      <c r="AV144" s="24">
        <f t="shared" ca="1" si="5"/>
        <v>-8.6005827539199995</v>
      </c>
      <c r="AW144" s="24">
        <f t="shared" ca="1" si="5"/>
        <v>-9.2139122384976027</v>
      </c>
      <c r="AX144" s="24">
        <f t="shared" ca="1" si="5"/>
        <v>-10.226950098653553</v>
      </c>
      <c r="AY144" s="25">
        <f t="shared" si="5"/>
        <v>0</v>
      </c>
      <c r="AZ144" s="25">
        <f t="shared" si="5"/>
        <v>0</v>
      </c>
      <c r="BA144" s="25">
        <f t="shared" si="5"/>
        <v>0</v>
      </c>
      <c r="BB144" s="25">
        <f t="shared" si="5"/>
        <v>0</v>
      </c>
      <c r="BC144" s="25">
        <f t="shared" si="5"/>
        <v>0</v>
      </c>
      <c r="BD144" s="25">
        <f t="shared" si="5"/>
        <v>0</v>
      </c>
      <c r="BE144" s="25">
        <f t="shared" si="5"/>
        <v>0</v>
      </c>
      <c r="BF144" s="25">
        <f t="shared" si="5"/>
        <v>0</v>
      </c>
      <c r="CA144" s="16">
        <v>5.3902099999999997</v>
      </c>
      <c r="CB144" s="16">
        <v>5.8498900000000003</v>
      </c>
      <c r="CC144" s="16">
        <v>6.0442818446999995</v>
      </c>
      <c r="CD144" s="16">
        <v>6.288319724179761</v>
      </c>
      <c r="CE144" s="16">
        <v>6.5932717892038566</v>
      </c>
      <c r="CF144" s="16">
        <v>-9999</v>
      </c>
      <c r="CG144" s="16">
        <v>-9999</v>
      </c>
      <c r="CH144" s="16">
        <v>-9999</v>
      </c>
      <c r="CI144" s="16">
        <v>-9999</v>
      </c>
      <c r="CJ144" s="16">
        <v>-9999</v>
      </c>
      <c r="CK144" s="16">
        <v>-9999</v>
      </c>
      <c r="CL144" s="16">
        <v>-9999</v>
      </c>
      <c r="CM144" s="16">
        <v>-9999</v>
      </c>
      <c r="CN144" s="16">
        <v>4.79291</v>
      </c>
      <c r="CO144" s="16">
        <v>5.3902099999999997</v>
      </c>
      <c r="CP144" s="16">
        <v>5.8495421350267867</v>
      </c>
      <c r="CQ144" s="16">
        <v>6.1660257627002766</v>
      </c>
      <c r="CR144" s="16">
        <v>6.7493934601093502</v>
      </c>
      <c r="CS144" s="16">
        <v>-9999</v>
      </c>
      <c r="CT144" s="16">
        <v>-9999</v>
      </c>
      <c r="CU144" s="16">
        <v>-9999</v>
      </c>
      <c r="CV144" s="16">
        <v>-9999</v>
      </c>
      <c r="CW144" s="16">
        <v>-9999</v>
      </c>
      <c r="CX144" s="16">
        <v>-9999</v>
      </c>
      <c r="CY144" s="16">
        <v>-9999</v>
      </c>
      <c r="CZ144" s="16">
        <v>-9999</v>
      </c>
      <c r="DA144" s="16">
        <v>5.3902099999999997</v>
      </c>
      <c r="DB144" s="16">
        <v>5.8966400000000005</v>
      </c>
      <c r="DC144" s="16">
        <v>6.1513158816000013</v>
      </c>
      <c r="DD144" s="16">
        <v>6.4493778926429277</v>
      </c>
      <c r="DE144" s="16">
        <v>6.7821270956359481</v>
      </c>
      <c r="DF144" s="16">
        <v>-9999</v>
      </c>
      <c r="DG144" s="16">
        <v>-9999</v>
      </c>
      <c r="DH144" s="16">
        <v>-9999</v>
      </c>
      <c r="DI144" s="16">
        <v>-9999</v>
      </c>
      <c r="DJ144" s="16">
        <v>-9999</v>
      </c>
      <c r="DK144" s="16">
        <v>-9999</v>
      </c>
      <c r="DL144" s="16">
        <v>-9999</v>
      </c>
      <c r="DM144" s="16">
        <v>-9999</v>
      </c>
      <c r="DN144" s="16">
        <v>4.79291</v>
      </c>
      <c r="DO144" s="16">
        <v>5.3902099999999997</v>
      </c>
      <c r="DP144" s="16">
        <v>5.8495421350267867</v>
      </c>
      <c r="DQ144" s="16">
        <v>6.1660257627002766</v>
      </c>
      <c r="DR144" s="16">
        <v>6.7493934601093502</v>
      </c>
      <c r="DS144" s="16">
        <v>-9999</v>
      </c>
      <c r="DT144" s="16">
        <v>-9999</v>
      </c>
      <c r="DU144" s="16">
        <v>-9999</v>
      </c>
      <c r="DV144" s="16">
        <v>-9999</v>
      </c>
      <c r="DW144" s="16">
        <v>-9999</v>
      </c>
      <c r="DX144" s="16">
        <v>-9999</v>
      </c>
      <c r="DY144" s="16">
        <v>-9999</v>
      </c>
      <c r="DZ144" s="16">
        <v>-9999</v>
      </c>
      <c r="EA144" s="2196">
        <v>12.97217</v>
      </c>
      <c r="EB144" s="2196">
        <v>15.890219999999999</v>
      </c>
      <c r="EC144" s="2196">
        <v>16.88075275392</v>
      </c>
      <c r="ED144" s="2196">
        <v>18.252752814747602</v>
      </c>
      <c r="EE144" s="2196">
        <v>19.870895857280608</v>
      </c>
      <c r="EF144" s="2197">
        <v>-9999</v>
      </c>
      <c r="EG144" s="2197">
        <v>-9999</v>
      </c>
      <c r="EH144" s="2197">
        <v>-9999</v>
      </c>
      <c r="EI144" s="2197">
        <v>-9999</v>
      </c>
      <c r="EJ144" s="2197">
        <v>-9999</v>
      </c>
      <c r="EK144" s="2197">
        <v>-9999</v>
      </c>
      <c r="EL144" s="2197">
        <v>-9999</v>
      </c>
      <c r="EM144" s="2197">
        <v>-9999</v>
      </c>
    </row>
    <row r="145" spans="1:143">
      <c r="A145" s="22">
        <v>45</v>
      </c>
      <c r="B145" s="29" t="s">
        <v>1540</v>
      </c>
      <c r="C145" s="24">
        <f ca="1">OFFSET('VVP2'!F310,0,Last_forecast_year - 3-InputY!$G$3)</f>
        <v>24.296279999999999</v>
      </c>
      <c r="D145" s="24">
        <f ca="1">OFFSET('VVP2'!G310,0,Last_forecast_year - 3-InputY!$G$3)</f>
        <v>23.690349999999999</v>
      </c>
      <c r="E145" s="24">
        <f ca="1">OFFSET('VVP2'!H310,0,Last_forecast_year - 3-InputY!$G$3)</f>
        <v>27.813869999999998</v>
      </c>
      <c r="F145" s="24">
        <f ca="1">OFFSET('VVP2'!I310,0,Last_forecast_year - 3-InputY!$G$3)</f>
        <v>30.362315838749993</v>
      </c>
      <c r="G145" s="24">
        <f ca="1">OFFSET('VVP2'!J310,0,Last_forecast_year - 3-InputY!$G$3)</f>
        <v>32.420273606300469</v>
      </c>
      <c r="H145" s="25">
        <v>-9999</v>
      </c>
      <c r="I145" s="25">
        <v>-9999</v>
      </c>
      <c r="J145" s="25">
        <v>-9999</v>
      </c>
      <c r="K145" s="25">
        <v>-9999</v>
      </c>
      <c r="L145" s="25">
        <v>-9999</v>
      </c>
      <c r="M145" s="25">
        <v>-9999</v>
      </c>
      <c r="N145" s="25">
        <v>-9999</v>
      </c>
      <c r="O145" s="25">
        <v>-9999</v>
      </c>
      <c r="P145"/>
      <c r="Q145"/>
      <c r="AA145" s="22">
        <v>45</v>
      </c>
      <c r="AB145" s="1040" t="str">
        <f t="shared" si="3"/>
        <v>VAL. IMPORTS OF GOODS (FOB)</v>
      </c>
      <c r="AC145" s="1040">
        <f>CHOOSE(Tables!$U$2,Transfer!CA145,Transfer!CN145,Transfer!DA145,Transfer!DN145,Transfer!EA145)</f>
        <v>75.818669999999997</v>
      </c>
      <c r="AD145" s="1040">
        <f>CHOOSE(Tables!$U$2,Transfer!CB145,Transfer!CO145,Transfer!DB145,Transfer!DO145,Transfer!EB145)</f>
        <v>82.728229999999996</v>
      </c>
      <c r="AE145" s="1040">
        <f>CHOOSE(Tables!$U$2,Transfer!CC145,Transfer!CP145,Transfer!DC145,Transfer!DP145,Transfer!EC145)</f>
        <v>87.681665499480005</v>
      </c>
      <c r="AF145" s="1040">
        <f>CHOOSE(Tables!$U$2,Transfer!CD145,Transfer!CQ145,Transfer!DD145,Transfer!DQ145,Transfer!ED145)</f>
        <v>95.211416205913352</v>
      </c>
      <c r="AG145" s="1040">
        <f>CHOOSE(Tables!$U$2,Transfer!CE145,Transfer!CR145,Transfer!DE145,Transfer!DR145,Transfer!EE145)</f>
        <v>104.59888099815157</v>
      </c>
      <c r="AH145" s="1040">
        <f>CHOOSE(Tables!$U$2,Transfer!CF145,Transfer!CS145,Transfer!DF145,Transfer!DS145,Transfer!EF145)</f>
        <v>-9999</v>
      </c>
      <c r="AI145" s="1040">
        <f>CHOOSE(Tables!$U$2,Transfer!CG145,Transfer!CT145,Transfer!DG145,Transfer!DT145,Transfer!EG145)</f>
        <v>-9999</v>
      </c>
      <c r="AJ145" s="1040">
        <f>CHOOSE(Tables!$U$2,Transfer!CH145,Transfer!CU145,Transfer!DH145,Transfer!DU145,Transfer!EH145)</f>
        <v>-9999</v>
      </c>
      <c r="AK145" s="1040">
        <f>CHOOSE(Tables!$U$2,Transfer!CI145,Transfer!CV145,Transfer!DI145,Transfer!DV145,Transfer!EI145)</f>
        <v>-9999</v>
      </c>
      <c r="AL145" s="1040">
        <f>CHOOSE(Tables!$U$2,Transfer!CJ145,Transfer!CW145,Transfer!DJ145,Transfer!DW145,Transfer!EJ145)</f>
        <v>-9999</v>
      </c>
      <c r="AM145" s="1040">
        <f>CHOOSE(Tables!$U$2,Transfer!CK145,Transfer!CX145,Transfer!DK145,Transfer!DX145,Transfer!EK145)</f>
        <v>-9999</v>
      </c>
      <c r="AN145" s="1040">
        <f>CHOOSE(Tables!$U$2,Transfer!CL145,Transfer!CY145,Transfer!DL145,Transfer!DY145,Transfer!EL145)</f>
        <v>-9999</v>
      </c>
      <c r="AO145" s="1040">
        <f>CHOOSE(Tables!$U$2,Transfer!CM145,Transfer!CZ145,Transfer!DM145,Transfer!DZ145,Transfer!EM145)</f>
        <v>-9999</v>
      </c>
      <c r="AR145" s="22">
        <v>45</v>
      </c>
      <c r="AS145" s="29" t="s">
        <v>1540</v>
      </c>
      <c r="AT145" s="24">
        <f t="shared" ca="1" si="5"/>
        <v>-51.522390000000001</v>
      </c>
      <c r="AU145" s="24">
        <f t="shared" ca="1" si="5"/>
        <v>-59.037880000000001</v>
      </c>
      <c r="AV145" s="24">
        <f t="shared" ca="1" si="5"/>
        <v>-59.86779549948001</v>
      </c>
      <c r="AW145" s="24">
        <f t="shared" ca="1" si="5"/>
        <v>-64.849100367163359</v>
      </c>
      <c r="AX145" s="24">
        <f t="shared" ca="1" si="5"/>
        <v>-72.178607391851102</v>
      </c>
      <c r="AY145" s="25">
        <f t="shared" si="5"/>
        <v>0</v>
      </c>
      <c r="AZ145" s="25">
        <f t="shared" si="5"/>
        <v>0</v>
      </c>
      <c r="BA145" s="25">
        <f t="shared" si="5"/>
        <v>0</v>
      </c>
      <c r="BB145" s="25">
        <f t="shared" si="5"/>
        <v>0</v>
      </c>
      <c r="BC145" s="25">
        <f t="shared" si="5"/>
        <v>0</v>
      </c>
      <c r="BD145" s="25">
        <f t="shared" si="5"/>
        <v>0</v>
      </c>
      <c r="BE145" s="25">
        <f t="shared" si="5"/>
        <v>0</v>
      </c>
      <c r="BF145" s="25">
        <f t="shared" si="5"/>
        <v>0</v>
      </c>
      <c r="CA145" s="16">
        <v>24.917590000000001</v>
      </c>
      <c r="CB145" s="16">
        <v>24.68638</v>
      </c>
      <c r="CC145" s="16">
        <v>24.422383852279999</v>
      </c>
      <c r="CD145" s="16">
        <v>25.048573774252461</v>
      </c>
      <c r="CE145" s="16">
        <v>27.325238644594272</v>
      </c>
      <c r="CF145" s="16">
        <v>-9999</v>
      </c>
      <c r="CG145" s="16">
        <v>-9999</v>
      </c>
      <c r="CH145" s="16">
        <v>-9999</v>
      </c>
      <c r="CI145" s="16">
        <v>-9999</v>
      </c>
      <c r="CJ145" s="16">
        <v>-9999</v>
      </c>
      <c r="CK145" s="16">
        <v>-9999</v>
      </c>
      <c r="CL145" s="16">
        <v>-9999</v>
      </c>
      <c r="CM145" s="16">
        <v>-9999</v>
      </c>
      <c r="CN145" s="16">
        <v>23.529599999999999</v>
      </c>
      <c r="CO145" s="16">
        <v>24.917590000000001</v>
      </c>
      <c r="CP145" s="16">
        <v>24.907622964000002</v>
      </c>
      <c r="CQ145" s="16">
        <v>24.942686596665606</v>
      </c>
      <c r="CR145" s="16">
        <v>27.054708584238263</v>
      </c>
      <c r="CS145" s="16">
        <v>-9999</v>
      </c>
      <c r="CT145" s="16">
        <v>-9999</v>
      </c>
      <c r="CU145" s="16">
        <v>-9999</v>
      </c>
      <c r="CV145" s="16">
        <v>-9999</v>
      </c>
      <c r="CW145" s="16">
        <v>-9999</v>
      </c>
      <c r="CX145" s="16">
        <v>-9999</v>
      </c>
      <c r="CY145" s="16">
        <v>-9999</v>
      </c>
      <c r="CZ145" s="16">
        <v>-9999</v>
      </c>
      <c r="DA145" s="16">
        <v>24.917590000000001</v>
      </c>
      <c r="DB145" s="16">
        <v>25.299970000000002</v>
      </c>
      <c r="DC145" s="16">
        <v>25.384775499440003</v>
      </c>
      <c r="DD145" s="16">
        <v>26.562248310981527</v>
      </c>
      <c r="DE145" s="16">
        <v>28.201670276735307</v>
      </c>
      <c r="DF145" s="16">
        <v>-9999</v>
      </c>
      <c r="DG145" s="16">
        <v>-9999</v>
      </c>
      <c r="DH145" s="16">
        <v>-9999</v>
      </c>
      <c r="DI145" s="16">
        <v>-9999</v>
      </c>
      <c r="DJ145" s="16">
        <v>-9999</v>
      </c>
      <c r="DK145" s="16">
        <v>-9999</v>
      </c>
      <c r="DL145" s="16">
        <v>-9999</v>
      </c>
      <c r="DM145" s="16">
        <v>-9999</v>
      </c>
      <c r="DN145" s="16">
        <v>23.529599999999999</v>
      </c>
      <c r="DO145" s="16">
        <v>24.917590000000001</v>
      </c>
      <c r="DP145" s="16">
        <v>24.883870058983035</v>
      </c>
      <c r="DQ145" s="16">
        <v>24.918900253566754</v>
      </c>
      <c r="DR145" s="16">
        <v>27.049695358757038</v>
      </c>
      <c r="DS145" s="16">
        <v>-9999</v>
      </c>
      <c r="DT145" s="16">
        <v>-9999</v>
      </c>
      <c r="DU145" s="16">
        <v>-9999</v>
      </c>
      <c r="DV145" s="16">
        <v>-9999</v>
      </c>
      <c r="DW145" s="16">
        <v>-9999</v>
      </c>
      <c r="DX145" s="16">
        <v>-9999</v>
      </c>
      <c r="DY145" s="16">
        <v>-9999</v>
      </c>
      <c r="DZ145" s="16">
        <v>-9999</v>
      </c>
      <c r="EA145" s="2196">
        <v>75.818669999999997</v>
      </c>
      <c r="EB145" s="2196">
        <v>82.728229999999996</v>
      </c>
      <c r="EC145" s="2196">
        <v>87.681665499480005</v>
      </c>
      <c r="ED145" s="2196">
        <v>95.211416205913352</v>
      </c>
      <c r="EE145" s="2196">
        <v>104.59888099815157</v>
      </c>
      <c r="EF145" s="2197">
        <v>-9999</v>
      </c>
      <c r="EG145" s="2197">
        <v>-9999</v>
      </c>
      <c r="EH145" s="2197">
        <v>-9999</v>
      </c>
      <c r="EI145" s="2197">
        <v>-9999</v>
      </c>
      <c r="EJ145" s="2197">
        <v>-9999</v>
      </c>
      <c r="EK145" s="2197">
        <v>-9999</v>
      </c>
      <c r="EL145" s="2197">
        <v>-9999</v>
      </c>
      <c r="EM145" s="2197">
        <v>-9999</v>
      </c>
    </row>
    <row r="146" spans="1:143" ht="12" customHeight="1">
      <c r="A146" s="22">
        <v>46</v>
      </c>
      <c r="B146" s="29" t="s">
        <v>1541</v>
      </c>
      <c r="C146" s="24">
        <f ca="1">OFFSET('VVP2'!F309,0,Last_forecast_year - 3-InputY!$G$3)</f>
        <v>4.2663700000000002</v>
      </c>
      <c r="D146" s="24">
        <f ca="1">OFFSET('VVP2'!G309,0,Last_forecast_year - 3-InputY!$G$3)</f>
        <v>4.5988800000000003</v>
      </c>
      <c r="E146" s="24">
        <f ca="1">OFFSET('VVP2'!H309,0,Last_forecast_year - 3-InputY!$G$3)</f>
        <v>5.3760900000000005</v>
      </c>
      <c r="F146" s="24">
        <f ca="1">OFFSET('VVP2'!I309,0,Last_forecast_year - 3-InputY!$G$3)</f>
        <v>5.8973019254999999</v>
      </c>
      <c r="G146" s="24">
        <f ca="1">OFFSET('VVP2'!J309,0,Last_forecast_year - 3-InputY!$G$3)</f>
        <v>6.3099951142464894</v>
      </c>
      <c r="H146" s="25">
        <v>-9999</v>
      </c>
      <c r="I146" s="25">
        <v>-9999</v>
      </c>
      <c r="J146" s="25">
        <v>-9999</v>
      </c>
      <c r="K146" s="25">
        <v>-9999</v>
      </c>
      <c r="L146" s="25">
        <v>-9999</v>
      </c>
      <c r="M146" s="25">
        <v>-9999</v>
      </c>
      <c r="N146" s="25">
        <v>-9999</v>
      </c>
      <c r="O146" s="25">
        <v>-9999</v>
      </c>
      <c r="P146" s="32"/>
      <c r="Q146"/>
      <c r="AA146" s="22">
        <v>46</v>
      </c>
      <c r="AB146" s="1040" t="str">
        <f t="shared" si="3"/>
        <v>VAL. IMPORTS OF SERVICES</v>
      </c>
      <c r="AC146" s="1040">
        <f>CHOOSE(Tables!$U$2,Transfer!CA146,Transfer!CN146,Transfer!DA146,Transfer!DN146,Transfer!EA146)</f>
        <v>9.6391399999999994</v>
      </c>
      <c r="AD146" s="1040">
        <f>CHOOSE(Tables!$U$2,Transfer!CB146,Transfer!CO146,Transfer!DB146,Transfer!DO146,Transfer!EB146)</f>
        <v>11.809059999999999</v>
      </c>
      <c r="AE146" s="1040">
        <f>CHOOSE(Tables!$U$2,Transfer!CC146,Transfer!CP146,Transfer!DC146,Transfer!DP146,Transfer!EC146)</f>
        <v>12.518973450959999</v>
      </c>
      <c r="AF146" s="1040">
        <f>CHOOSE(Tables!$U$2,Transfer!CD146,Transfer!CQ146,Transfer!DD146,Transfer!DQ146,Transfer!ED146)</f>
        <v>13.52274474225797</v>
      </c>
      <c r="AG146" s="1040">
        <f>CHOOSE(Tables!$U$2,Transfer!CE146,Transfer!CR146,Transfer!DE146,Transfer!DR146,Transfer!EE146)</f>
        <v>14.72113038131687</v>
      </c>
      <c r="AH146" s="1040">
        <f>CHOOSE(Tables!$U$2,Transfer!CF146,Transfer!CS146,Transfer!DF146,Transfer!DS146,Transfer!EF146)</f>
        <v>-9999</v>
      </c>
      <c r="AI146" s="1040">
        <f>CHOOSE(Tables!$U$2,Transfer!CG146,Transfer!CT146,Transfer!DG146,Transfer!DT146,Transfer!EG146)</f>
        <v>-9999</v>
      </c>
      <c r="AJ146" s="1040">
        <f>CHOOSE(Tables!$U$2,Transfer!CH146,Transfer!CU146,Transfer!DH146,Transfer!DU146,Transfer!EH146)</f>
        <v>-9999</v>
      </c>
      <c r="AK146" s="1040">
        <f>CHOOSE(Tables!$U$2,Transfer!CI146,Transfer!CV146,Transfer!DI146,Transfer!DV146,Transfer!EI146)</f>
        <v>-9999</v>
      </c>
      <c r="AL146" s="1040">
        <f>CHOOSE(Tables!$U$2,Transfer!CJ146,Transfer!CW146,Transfer!DJ146,Transfer!DW146,Transfer!EJ146)</f>
        <v>-9999</v>
      </c>
      <c r="AM146" s="1040">
        <f>CHOOSE(Tables!$U$2,Transfer!CK146,Transfer!CX146,Transfer!DK146,Transfer!DX146,Transfer!EK146)</f>
        <v>-9999</v>
      </c>
      <c r="AN146" s="1040">
        <f>CHOOSE(Tables!$U$2,Transfer!CL146,Transfer!CY146,Transfer!DL146,Transfer!DY146,Transfer!EL146)</f>
        <v>-9999</v>
      </c>
      <c r="AO146" s="1040">
        <f>CHOOSE(Tables!$U$2,Transfer!CM146,Transfer!CZ146,Transfer!DM146,Transfer!DZ146,Transfer!EM146)</f>
        <v>-9999</v>
      </c>
      <c r="AR146" s="22">
        <v>46</v>
      </c>
      <c r="AS146" s="29" t="s">
        <v>1541</v>
      </c>
      <c r="AT146" s="24">
        <f t="shared" ref="AT146:BF165" ca="1" si="6">C146-AC146</f>
        <v>-5.3727699999999992</v>
      </c>
      <c r="AU146" s="24">
        <f t="shared" ca="1" si="6"/>
        <v>-7.2101799999999985</v>
      </c>
      <c r="AV146" s="24">
        <f t="shared" ca="1" si="6"/>
        <v>-7.1428834509599985</v>
      </c>
      <c r="AW146" s="24">
        <f t="shared" ca="1" si="6"/>
        <v>-7.6254428167579702</v>
      </c>
      <c r="AX146" s="24">
        <f t="shared" ca="1" si="6"/>
        <v>-8.4111352670703816</v>
      </c>
      <c r="AY146" s="25">
        <f t="shared" si="6"/>
        <v>0</v>
      </c>
      <c r="AZ146" s="25">
        <f t="shared" si="6"/>
        <v>0</v>
      </c>
      <c r="BA146" s="25">
        <f t="shared" si="6"/>
        <v>0</v>
      </c>
      <c r="BB146" s="25">
        <f t="shared" si="6"/>
        <v>0</v>
      </c>
      <c r="BC146" s="25">
        <f t="shared" si="6"/>
        <v>0</v>
      </c>
      <c r="BD146" s="25">
        <f t="shared" si="6"/>
        <v>0</v>
      </c>
      <c r="BE146" s="25">
        <f t="shared" si="6"/>
        <v>0</v>
      </c>
      <c r="BF146" s="25">
        <f t="shared" si="6"/>
        <v>0</v>
      </c>
      <c r="CA146" s="16">
        <v>4.0330300000000001</v>
      </c>
      <c r="CB146" s="16">
        <v>4.2120200000000008</v>
      </c>
      <c r="CC146" s="16">
        <v>4.2500124204</v>
      </c>
      <c r="CD146" s="16">
        <v>4.3784690458065896</v>
      </c>
      <c r="CE146" s="16">
        <v>4.5330552739378369</v>
      </c>
      <c r="CF146" s="16">
        <v>-9999</v>
      </c>
      <c r="CG146" s="16">
        <v>-9999</v>
      </c>
      <c r="CH146" s="16">
        <v>-9999</v>
      </c>
      <c r="CI146" s="16">
        <v>-9999</v>
      </c>
      <c r="CJ146" s="16">
        <v>-9999</v>
      </c>
      <c r="CK146" s="16">
        <v>-9999</v>
      </c>
      <c r="CL146" s="16">
        <v>-9999</v>
      </c>
      <c r="CM146" s="16">
        <v>-9999</v>
      </c>
      <c r="CN146" s="16">
        <v>3.4036</v>
      </c>
      <c r="CO146" s="16">
        <v>4.0330300000000001</v>
      </c>
      <c r="CP146" s="16">
        <v>4.3829389092240003</v>
      </c>
      <c r="CQ146" s="16">
        <v>4.6642490772347234</v>
      </c>
      <c r="CR146" s="16">
        <v>5.1619244537756677</v>
      </c>
      <c r="CS146" s="16">
        <v>-9999</v>
      </c>
      <c r="CT146" s="16">
        <v>-9999</v>
      </c>
      <c r="CU146" s="16">
        <v>-9999</v>
      </c>
      <c r="CV146" s="16">
        <v>-9999</v>
      </c>
      <c r="CW146" s="16">
        <v>-9999</v>
      </c>
      <c r="CX146" s="16">
        <v>-9999</v>
      </c>
      <c r="CY146" s="16">
        <v>-9999</v>
      </c>
      <c r="CZ146" s="16">
        <v>-9999</v>
      </c>
      <c r="DA146" s="16">
        <v>4.0330300000000001</v>
      </c>
      <c r="DB146" s="16">
        <v>4.3427499999999997</v>
      </c>
      <c r="DC146" s="16">
        <v>4.4649202429999999</v>
      </c>
      <c r="DD146" s="16">
        <v>4.5908086692513841</v>
      </c>
      <c r="DE146" s="16">
        <v>4.7435448736773775</v>
      </c>
      <c r="DF146" s="16">
        <v>-9999</v>
      </c>
      <c r="DG146" s="16">
        <v>-9999</v>
      </c>
      <c r="DH146" s="16">
        <v>-9999</v>
      </c>
      <c r="DI146" s="16">
        <v>-9999</v>
      </c>
      <c r="DJ146" s="16">
        <v>-9999</v>
      </c>
      <c r="DK146" s="16">
        <v>-9999</v>
      </c>
      <c r="DL146" s="16">
        <v>-9999</v>
      </c>
      <c r="DM146" s="16">
        <v>-9999</v>
      </c>
      <c r="DN146" s="16">
        <v>3.4036</v>
      </c>
      <c r="DO146" s="16">
        <v>4.0330300000000001</v>
      </c>
      <c r="DP146" s="16">
        <v>4.3829389092240003</v>
      </c>
      <c r="DQ146" s="16">
        <v>4.6642490772347234</v>
      </c>
      <c r="DR146" s="16">
        <v>5.1619244537756677</v>
      </c>
      <c r="DS146" s="16">
        <v>-9999</v>
      </c>
      <c r="DT146" s="16">
        <v>-9999</v>
      </c>
      <c r="DU146" s="16">
        <v>-9999</v>
      </c>
      <c r="DV146" s="16">
        <v>-9999</v>
      </c>
      <c r="DW146" s="16">
        <v>-9999</v>
      </c>
      <c r="DX146" s="16">
        <v>-9999</v>
      </c>
      <c r="DY146" s="16">
        <v>-9999</v>
      </c>
      <c r="DZ146" s="16">
        <v>-9999</v>
      </c>
      <c r="EA146" s="2196">
        <v>9.6391399999999994</v>
      </c>
      <c r="EB146" s="2196">
        <v>11.809059999999999</v>
      </c>
      <c r="EC146" s="2196">
        <v>12.518973450959999</v>
      </c>
      <c r="ED146" s="2196">
        <v>13.52274474225797</v>
      </c>
      <c r="EE146" s="2196">
        <v>14.72113038131687</v>
      </c>
      <c r="EF146" s="2197">
        <v>-9999</v>
      </c>
      <c r="EG146" s="2197">
        <v>-9999</v>
      </c>
      <c r="EH146" s="2197">
        <v>-9999</v>
      </c>
      <c r="EI146" s="2197">
        <v>-9999</v>
      </c>
      <c r="EJ146" s="2197">
        <v>-9999</v>
      </c>
      <c r="EK146" s="2197">
        <v>-9999</v>
      </c>
      <c r="EL146" s="2197">
        <v>-9999</v>
      </c>
      <c r="EM146" s="2197">
        <v>-9999</v>
      </c>
    </row>
    <row r="147" spans="1:143">
      <c r="A147" s="22">
        <v>47</v>
      </c>
      <c r="B147" s="1" t="s">
        <v>1492</v>
      </c>
      <c r="C147" s="1344">
        <f ca="1">OFFSET('VVP2'!F341,0,Last_forecast_year - 3-InputY!$G$3)</f>
        <v>37.426610000000004</v>
      </c>
      <c r="D147" s="1344">
        <f ca="1">OFFSET('VVP2'!G341,0,Last_forecast_year - 3-InputY!$G$3)</f>
        <v>38.668320000000001</v>
      </c>
      <c r="E147" s="1344">
        <f ca="1">OFFSET('VVP2'!H341,0,Last_forecast_year - 3-InputY!$G$3)</f>
        <v>41.779594892398123</v>
      </c>
      <c r="F147" s="1344">
        <f ca="1">OFFSET('VVP2'!I341,0,Last_forecast_year - 3-InputY!$G$3)</f>
        <v>44.211558409957277</v>
      </c>
      <c r="G147" s="1344">
        <f ca="1">OFFSET('VVP2'!J341,0,Last_forecast_year - 3-InputY!$G$3)</f>
        <v>46.676249894100508</v>
      </c>
      <c r="H147" s="25">
        <v>-9999</v>
      </c>
      <c r="I147" s="25">
        <v>-9999</v>
      </c>
      <c r="J147" s="25">
        <v>-9999</v>
      </c>
      <c r="K147" s="25">
        <v>-9999</v>
      </c>
      <c r="L147" s="25">
        <v>-9999</v>
      </c>
      <c r="M147" s="25">
        <v>-9999</v>
      </c>
      <c r="N147" s="25">
        <v>-9999</v>
      </c>
      <c r="O147" s="25">
        <v>-9999</v>
      </c>
      <c r="P147" s="32"/>
      <c r="Q147"/>
      <c r="AA147" s="22">
        <v>47</v>
      </c>
      <c r="AB147" s="1040" t="str">
        <f t="shared" si="3"/>
        <v>VAL. GROSS DOMESTIC PRODUCT</v>
      </c>
      <c r="AC147" s="1040">
        <f>CHOOSE(Tables!$U$2,Transfer!CA147,Transfer!CN147,Transfer!DA147,Transfer!DN147,Transfer!EA147)</f>
        <v>106.89341</v>
      </c>
      <c r="AD147" s="1040">
        <f>CHOOSE(Tables!$U$2,Transfer!CB147,Transfer!CO147,Transfer!DB147,Transfer!DO147,Transfer!EB147)</f>
        <v>113.7347</v>
      </c>
      <c r="AE147" s="1040">
        <f>CHOOSE(Tables!$U$2,Transfer!CC147,Transfer!CP147,Transfer!DC147,Transfer!DP147,Transfer!EC147)</f>
        <v>120.03976193946914</v>
      </c>
      <c r="AF147" s="1040">
        <f>CHOOSE(Tables!$U$2,Transfer!CD147,Transfer!CQ147,Transfer!DD147,Transfer!DQ147,Transfer!ED147)</f>
        <v>127.43140267974128</v>
      </c>
      <c r="AG147" s="1040">
        <f>CHOOSE(Tables!$U$2,Transfer!CE147,Transfer!CR147,Transfer!DE147,Transfer!DR147,Transfer!EE147)</f>
        <v>136.09985059471535</v>
      </c>
      <c r="AH147" s="1040">
        <f>CHOOSE(Tables!$U$2,Transfer!CF147,Transfer!CS147,Transfer!DF147,Transfer!DS147,Transfer!EF147)</f>
        <v>-9999</v>
      </c>
      <c r="AI147" s="1040">
        <f>CHOOSE(Tables!$U$2,Transfer!CG147,Transfer!CT147,Transfer!DG147,Transfer!DT147,Transfer!EG147)</f>
        <v>-9999</v>
      </c>
      <c r="AJ147" s="1040">
        <f>CHOOSE(Tables!$U$2,Transfer!CH147,Transfer!CU147,Transfer!DH147,Transfer!DU147,Transfer!EH147)</f>
        <v>-9999</v>
      </c>
      <c r="AK147" s="1040">
        <f>CHOOSE(Tables!$U$2,Transfer!CI147,Transfer!CV147,Transfer!DI147,Transfer!DV147,Transfer!EI147)</f>
        <v>-9999</v>
      </c>
      <c r="AL147" s="1040">
        <f>CHOOSE(Tables!$U$2,Transfer!CJ147,Transfer!CW147,Transfer!DJ147,Transfer!DW147,Transfer!EJ147)</f>
        <v>-9999</v>
      </c>
      <c r="AM147" s="1040">
        <f>CHOOSE(Tables!$U$2,Transfer!CK147,Transfer!CX147,Transfer!DK147,Transfer!DX147,Transfer!EK147)</f>
        <v>-9999</v>
      </c>
      <c r="AN147" s="1040">
        <f>CHOOSE(Tables!$U$2,Transfer!CL147,Transfer!CY147,Transfer!DL147,Transfer!DY147,Transfer!EL147)</f>
        <v>-9999</v>
      </c>
      <c r="AO147" s="1040">
        <f>CHOOSE(Tables!$U$2,Transfer!CM147,Transfer!CZ147,Transfer!DM147,Transfer!DZ147,Transfer!EM147)</f>
        <v>-9999</v>
      </c>
      <c r="AR147" s="22">
        <v>47</v>
      </c>
      <c r="AS147" s="1" t="s">
        <v>1492</v>
      </c>
      <c r="AT147" s="1344">
        <f t="shared" ca="1" si="6"/>
        <v>-69.466800000000006</v>
      </c>
      <c r="AU147" s="1344">
        <f t="shared" ca="1" si="6"/>
        <v>-75.066380000000009</v>
      </c>
      <c r="AV147" s="1344">
        <f t="shared" ca="1" si="6"/>
        <v>-78.260167047071022</v>
      </c>
      <c r="AW147" s="1344">
        <f t="shared" ca="1" si="6"/>
        <v>-83.219844269784005</v>
      </c>
      <c r="AX147" s="1344">
        <f t="shared" ca="1" si="6"/>
        <v>-89.423600700614841</v>
      </c>
      <c r="AY147" s="25">
        <f t="shared" si="6"/>
        <v>0</v>
      </c>
      <c r="AZ147" s="25">
        <f t="shared" si="6"/>
        <v>0</v>
      </c>
      <c r="BA147" s="25">
        <f t="shared" si="6"/>
        <v>0</v>
      </c>
      <c r="BB147" s="25">
        <f t="shared" si="6"/>
        <v>0</v>
      </c>
      <c r="BC147" s="25">
        <f t="shared" si="6"/>
        <v>0</v>
      </c>
      <c r="BD147" s="25">
        <f t="shared" si="6"/>
        <v>0</v>
      </c>
      <c r="BE147" s="25">
        <f t="shared" si="6"/>
        <v>0</v>
      </c>
      <c r="BF147" s="25">
        <f t="shared" si="6"/>
        <v>0</v>
      </c>
      <c r="CA147" s="16">
        <v>34.962230000000005</v>
      </c>
      <c r="CB147" s="16">
        <v>36.444360000000003</v>
      </c>
      <c r="CC147" s="16">
        <v>36.962567366349667</v>
      </c>
      <c r="CD147" s="16">
        <v>38.368983715686007</v>
      </c>
      <c r="CE147" s="16">
        <v>40.823768109834958</v>
      </c>
      <c r="CF147" s="16">
        <v>-9999</v>
      </c>
      <c r="CG147" s="16">
        <v>-9999</v>
      </c>
      <c r="CH147" s="16">
        <v>-9999</v>
      </c>
      <c r="CI147" s="16">
        <v>-9999</v>
      </c>
      <c r="CJ147" s="16">
        <v>-9999</v>
      </c>
      <c r="CK147" s="16">
        <v>-9999</v>
      </c>
      <c r="CL147" s="16">
        <v>-9999</v>
      </c>
      <c r="CM147" s="16">
        <v>-9999</v>
      </c>
      <c r="CN147" s="16">
        <v>33.313969999999998</v>
      </c>
      <c r="CO147" s="16">
        <v>34.955599999999997</v>
      </c>
      <c r="CP147" s="16">
        <v>36.669253597439621</v>
      </c>
      <c r="CQ147" s="16">
        <v>38.545990225302575</v>
      </c>
      <c r="CR147" s="16">
        <v>40.569570052671622</v>
      </c>
      <c r="CS147" s="16">
        <v>-9999</v>
      </c>
      <c r="CT147" s="16">
        <v>-9999</v>
      </c>
      <c r="CU147" s="16">
        <v>-9999</v>
      </c>
      <c r="CV147" s="16">
        <v>-9999</v>
      </c>
      <c r="CW147" s="16">
        <v>-9999</v>
      </c>
      <c r="CX147" s="16">
        <v>-9999</v>
      </c>
      <c r="CY147" s="16">
        <v>-9999</v>
      </c>
      <c r="CZ147" s="16">
        <v>-9999</v>
      </c>
      <c r="DA147" s="16">
        <v>34.955599999999997</v>
      </c>
      <c r="DB147" s="16">
        <v>36.308920000000001</v>
      </c>
      <c r="DC147" s="16">
        <v>37.321132205159998</v>
      </c>
      <c r="DD147" s="16">
        <v>39.146154594633884</v>
      </c>
      <c r="DE147" s="16">
        <v>41.205013286783242</v>
      </c>
      <c r="DF147" s="16">
        <v>-9999</v>
      </c>
      <c r="DG147" s="16">
        <v>-9999</v>
      </c>
      <c r="DH147" s="16">
        <v>-9999</v>
      </c>
      <c r="DI147" s="16">
        <v>-9999</v>
      </c>
      <c r="DJ147" s="16">
        <v>-9999</v>
      </c>
      <c r="DK147" s="16">
        <v>-9999</v>
      </c>
      <c r="DL147" s="16">
        <v>-9999</v>
      </c>
      <c r="DM147" s="16">
        <v>-9999</v>
      </c>
      <c r="DN147" s="16">
        <v>33.313969999999998</v>
      </c>
      <c r="DO147" s="16">
        <v>34.955599999999997</v>
      </c>
      <c r="DP147" s="16">
        <v>36.670770224967455</v>
      </c>
      <c r="DQ147" s="16">
        <v>38.583628883213208</v>
      </c>
      <c r="DR147" s="16">
        <v>40.578193851845448</v>
      </c>
      <c r="DS147" s="16">
        <v>-9999</v>
      </c>
      <c r="DT147" s="16">
        <v>-9999</v>
      </c>
      <c r="DU147" s="16">
        <v>-9999</v>
      </c>
      <c r="DV147" s="16">
        <v>-9999</v>
      </c>
      <c r="DW147" s="16">
        <v>-9999</v>
      </c>
      <c r="DX147" s="16">
        <v>-9999</v>
      </c>
      <c r="DY147" s="16">
        <v>-9999</v>
      </c>
      <c r="DZ147" s="16">
        <v>-9999</v>
      </c>
      <c r="EA147" s="2196">
        <v>106.89341</v>
      </c>
      <c r="EB147" s="2196">
        <v>113.7347</v>
      </c>
      <c r="EC147" s="2196">
        <v>120.03976193946914</v>
      </c>
      <c r="ED147" s="2196">
        <v>127.43140267974128</v>
      </c>
      <c r="EE147" s="2196">
        <v>136.09985059471535</v>
      </c>
      <c r="EF147" s="2197">
        <v>-9999</v>
      </c>
      <c r="EG147" s="2197">
        <v>-9999</v>
      </c>
      <c r="EH147" s="2197">
        <v>-9999</v>
      </c>
      <c r="EI147" s="2197">
        <v>-9999</v>
      </c>
      <c r="EJ147" s="2197">
        <v>-9999</v>
      </c>
      <c r="EK147" s="2197">
        <v>-9999</v>
      </c>
      <c r="EL147" s="2197">
        <v>-9999</v>
      </c>
      <c r="EM147" s="2197">
        <v>-9999</v>
      </c>
    </row>
    <row r="148" spans="1:143">
      <c r="A148" s="22">
        <v>48</v>
      </c>
      <c r="B148" s="30" t="s">
        <v>1705</v>
      </c>
      <c r="C148" s="25">
        <v>-9999</v>
      </c>
      <c r="D148" s="25">
        <v>-9999</v>
      </c>
      <c r="E148" s="25">
        <v>-9999</v>
      </c>
      <c r="F148" s="25">
        <v>-9999</v>
      </c>
      <c r="G148" s="25">
        <v>-9999</v>
      </c>
      <c r="H148" s="25">
        <v>-9999</v>
      </c>
      <c r="I148" s="25">
        <v>-9999</v>
      </c>
      <c r="J148" s="25">
        <v>-9999</v>
      </c>
      <c r="K148" s="25">
        <v>-9999</v>
      </c>
      <c r="L148" s="25">
        <v>-9999</v>
      </c>
      <c r="M148" s="25">
        <v>-9999</v>
      </c>
      <c r="N148" s="25">
        <v>-9999</v>
      </c>
      <c r="O148" s="25">
        <v>-9999</v>
      </c>
      <c r="P148" s="32"/>
      <c r="Q148"/>
      <c r="AA148" s="22">
        <v>48</v>
      </c>
      <c r="AB148" s="1040" t="str">
        <f t="shared" si="3"/>
        <v>FOR FUTURE USE</v>
      </c>
      <c r="AC148" s="1040">
        <f>CHOOSE(Tables!$U$2,Transfer!CA148,Transfer!CN148,Transfer!DA148,Transfer!DN148,Transfer!EA148)</f>
        <v>-9999</v>
      </c>
      <c r="AD148" s="1040">
        <f>CHOOSE(Tables!$U$2,Transfer!CB148,Transfer!CO148,Transfer!DB148,Transfer!DO148,Transfer!EB148)</f>
        <v>-9999</v>
      </c>
      <c r="AE148" s="1040">
        <f>CHOOSE(Tables!$U$2,Transfer!CC148,Transfer!CP148,Transfer!DC148,Transfer!DP148,Transfer!EC148)</f>
        <v>-9999</v>
      </c>
      <c r="AF148" s="1040">
        <f>CHOOSE(Tables!$U$2,Transfer!CD148,Transfer!CQ148,Transfer!DD148,Transfer!DQ148,Transfer!ED148)</f>
        <v>-9999</v>
      </c>
      <c r="AG148" s="1040">
        <f>CHOOSE(Tables!$U$2,Transfer!CE148,Transfer!CR148,Transfer!DE148,Transfer!DR148,Transfer!EE148)</f>
        <v>-9999</v>
      </c>
      <c r="AH148" s="1040">
        <f>CHOOSE(Tables!$U$2,Transfer!CF148,Transfer!CS148,Transfer!DF148,Transfer!DS148,Transfer!EF148)</f>
        <v>-9999</v>
      </c>
      <c r="AI148" s="1040">
        <f>CHOOSE(Tables!$U$2,Transfer!CG148,Transfer!CT148,Transfer!DG148,Transfer!DT148,Transfer!EG148)</f>
        <v>-9999</v>
      </c>
      <c r="AJ148" s="1040">
        <f>CHOOSE(Tables!$U$2,Transfer!CH148,Transfer!CU148,Transfer!DH148,Transfer!DU148,Transfer!EH148)</f>
        <v>-9999</v>
      </c>
      <c r="AK148" s="1040">
        <f>CHOOSE(Tables!$U$2,Transfer!CI148,Transfer!CV148,Transfer!DI148,Transfer!DV148,Transfer!EI148)</f>
        <v>-9999</v>
      </c>
      <c r="AL148" s="1040">
        <f>CHOOSE(Tables!$U$2,Transfer!CJ148,Transfer!CW148,Transfer!DJ148,Transfer!DW148,Transfer!EJ148)</f>
        <v>-9999</v>
      </c>
      <c r="AM148" s="1040">
        <f>CHOOSE(Tables!$U$2,Transfer!CK148,Transfer!CX148,Transfer!DK148,Transfer!DX148,Transfer!EK148)</f>
        <v>-9999</v>
      </c>
      <c r="AN148" s="1040">
        <f>CHOOSE(Tables!$U$2,Transfer!CL148,Transfer!CY148,Transfer!DL148,Transfer!DY148,Transfer!EL148)</f>
        <v>-9999</v>
      </c>
      <c r="AO148" s="1040">
        <f>CHOOSE(Tables!$U$2,Transfer!CM148,Transfer!CZ148,Transfer!DM148,Transfer!DZ148,Transfer!EM148)</f>
        <v>-9999</v>
      </c>
      <c r="AR148" s="22">
        <v>48</v>
      </c>
      <c r="AS148" s="30" t="s">
        <v>1705</v>
      </c>
      <c r="AT148" s="25">
        <f t="shared" si="6"/>
        <v>0</v>
      </c>
      <c r="AU148" s="25">
        <f t="shared" si="6"/>
        <v>0</v>
      </c>
      <c r="AV148" s="25">
        <f t="shared" si="6"/>
        <v>0</v>
      </c>
      <c r="AW148" s="25">
        <f t="shared" si="6"/>
        <v>0</v>
      </c>
      <c r="AX148" s="25">
        <f t="shared" si="6"/>
        <v>0</v>
      </c>
      <c r="AY148" s="25">
        <f t="shared" si="6"/>
        <v>0</v>
      </c>
      <c r="AZ148" s="25">
        <f t="shared" si="6"/>
        <v>0</v>
      </c>
      <c r="BA148" s="25">
        <f t="shared" si="6"/>
        <v>0</v>
      </c>
      <c r="BB148" s="25">
        <f t="shared" si="6"/>
        <v>0</v>
      </c>
      <c r="BC148" s="25">
        <f t="shared" si="6"/>
        <v>0</v>
      </c>
      <c r="BD148" s="25">
        <f t="shared" si="6"/>
        <v>0</v>
      </c>
      <c r="BE148" s="25">
        <f t="shared" si="6"/>
        <v>0</v>
      </c>
      <c r="BF148" s="25">
        <f t="shared" si="6"/>
        <v>0</v>
      </c>
      <c r="CA148" s="16">
        <v>-9999</v>
      </c>
      <c r="CB148" s="16">
        <v>-9999</v>
      </c>
      <c r="CC148" s="16">
        <v>-9999</v>
      </c>
      <c r="CD148" s="16">
        <v>-9999</v>
      </c>
      <c r="CE148" s="16">
        <v>-9999</v>
      </c>
      <c r="CF148" s="16">
        <v>-9999</v>
      </c>
      <c r="CG148" s="16">
        <v>-9999</v>
      </c>
      <c r="CH148" s="16">
        <v>-9999</v>
      </c>
      <c r="CI148" s="16">
        <v>-9999</v>
      </c>
      <c r="CJ148" s="16">
        <v>-9999</v>
      </c>
      <c r="CK148" s="16">
        <v>-9999</v>
      </c>
      <c r="CL148" s="16">
        <v>-9999</v>
      </c>
      <c r="CM148" s="16">
        <v>-9999</v>
      </c>
      <c r="CN148" s="16">
        <v>-9999</v>
      </c>
      <c r="CO148" s="16">
        <v>-9999</v>
      </c>
      <c r="CP148" s="16">
        <v>-9999</v>
      </c>
      <c r="CQ148" s="16">
        <v>-9999</v>
      </c>
      <c r="CR148" s="16">
        <v>-9999</v>
      </c>
      <c r="CS148" s="16">
        <v>-9999</v>
      </c>
      <c r="CT148" s="16">
        <v>-9999</v>
      </c>
      <c r="CU148" s="16">
        <v>-9999</v>
      </c>
      <c r="CV148" s="16">
        <v>-9999</v>
      </c>
      <c r="CW148" s="16">
        <v>-9999</v>
      </c>
      <c r="CX148" s="16">
        <v>-9999</v>
      </c>
      <c r="CY148" s="16">
        <v>-9999</v>
      </c>
      <c r="CZ148" s="16">
        <v>-9999</v>
      </c>
      <c r="DA148" s="16">
        <v>-9999</v>
      </c>
      <c r="DB148" s="16">
        <v>-9999</v>
      </c>
      <c r="DC148" s="16">
        <v>-9999</v>
      </c>
      <c r="DD148" s="16">
        <v>-9999</v>
      </c>
      <c r="DE148" s="16">
        <v>-9999</v>
      </c>
      <c r="DF148" s="16">
        <v>-9999</v>
      </c>
      <c r="DG148" s="16">
        <v>-9999</v>
      </c>
      <c r="DH148" s="16">
        <v>-9999</v>
      </c>
      <c r="DI148" s="16">
        <v>-9999</v>
      </c>
      <c r="DJ148" s="16">
        <v>-9999</v>
      </c>
      <c r="DK148" s="16">
        <v>-9999</v>
      </c>
      <c r="DL148" s="16">
        <v>-9999</v>
      </c>
      <c r="DM148" s="16">
        <v>-9999</v>
      </c>
      <c r="DN148" s="16">
        <v>-9999</v>
      </c>
      <c r="DO148" s="16">
        <v>-9999</v>
      </c>
      <c r="DP148" s="16">
        <v>-9999</v>
      </c>
      <c r="DQ148" s="16">
        <v>-9999</v>
      </c>
      <c r="DR148" s="16">
        <v>-9999</v>
      </c>
      <c r="DS148" s="16">
        <v>-9999</v>
      </c>
      <c r="DT148" s="16">
        <v>-9999</v>
      </c>
      <c r="DU148" s="16">
        <v>-9999</v>
      </c>
      <c r="DV148" s="16">
        <v>-9999</v>
      </c>
      <c r="DW148" s="16">
        <v>-9999</v>
      </c>
      <c r="DX148" s="16">
        <v>-9999</v>
      </c>
      <c r="DY148" s="16">
        <v>-9999</v>
      </c>
      <c r="DZ148" s="16">
        <v>-9999</v>
      </c>
      <c r="EA148" s="2197">
        <v>-9999</v>
      </c>
      <c r="EB148" s="2197">
        <v>-9999</v>
      </c>
      <c r="EC148" s="2197">
        <v>-9999</v>
      </c>
      <c r="ED148" s="2197">
        <v>-9999</v>
      </c>
      <c r="EE148" s="2197">
        <v>-9999</v>
      </c>
      <c r="EF148" s="2197">
        <v>-9999</v>
      </c>
      <c r="EG148" s="2197">
        <v>-9999</v>
      </c>
      <c r="EH148" s="2197">
        <v>-9999</v>
      </c>
      <c r="EI148" s="2197">
        <v>-9999</v>
      </c>
      <c r="EJ148" s="2197">
        <v>-9999</v>
      </c>
      <c r="EK148" s="2197">
        <v>-9999</v>
      </c>
      <c r="EL148" s="2197">
        <v>-9999</v>
      </c>
      <c r="EM148" s="2197">
        <v>-9999</v>
      </c>
    </row>
    <row r="149" spans="1:143">
      <c r="A149" s="22">
        <v>49</v>
      </c>
      <c r="B149" s="30" t="s">
        <v>1705</v>
      </c>
      <c r="C149" s="25">
        <v>-9999</v>
      </c>
      <c r="D149" s="25">
        <v>-9999</v>
      </c>
      <c r="E149" s="25">
        <v>-9999</v>
      </c>
      <c r="F149" s="25">
        <v>-9999</v>
      </c>
      <c r="G149" s="25">
        <v>-9999</v>
      </c>
      <c r="H149" s="25">
        <v>-9999</v>
      </c>
      <c r="I149" s="25">
        <v>-9999</v>
      </c>
      <c r="J149" s="25">
        <v>-9999</v>
      </c>
      <c r="K149" s="25">
        <v>-9999</v>
      </c>
      <c r="L149" s="25">
        <v>-9999</v>
      </c>
      <c r="M149" s="25">
        <v>-9999</v>
      </c>
      <c r="N149" s="25">
        <v>-9999</v>
      </c>
      <c r="O149" s="25">
        <v>-9999</v>
      </c>
      <c r="P149" s="32"/>
      <c r="Q149"/>
      <c r="AA149" s="22">
        <v>49</v>
      </c>
      <c r="AB149" s="1040" t="str">
        <f t="shared" si="3"/>
        <v>FOR FUTURE USE</v>
      </c>
      <c r="AC149" s="1040">
        <f>CHOOSE(Tables!$U$2,Transfer!CA149,Transfer!CN149,Transfer!DA149,Transfer!DN149,Transfer!EA149)</f>
        <v>-9999</v>
      </c>
      <c r="AD149" s="1040">
        <f>CHOOSE(Tables!$U$2,Transfer!CB149,Transfer!CO149,Transfer!DB149,Transfer!DO149,Transfer!EB149)</f>
        <v>-9999</v>
      </c>
      <c r="AE149" s="1040">
        <f>CHOOSE(Tables!$U$2,Transfer!CC149,Transfer!CP149,Transfer!DC149,Transfer!DP149,Transfer!EC149)</f>
        <v>-9999</v>
      </c>
      <c r="AF149" s="1040">
        <f>CHOOSE(Tables!$U$2,Transfer!CD149,Transfer!CQ149,Transfer!DD149,Transfer!DQ149,Transfer!ED149)</f>
        <v>-9999</v>
      </c>
      <c r="AG149" s="1040">
        <f>CHOOSE(Tables!$U$2,Transfer!CE149,Transfer!CR149,Transfer!DE149,Transfer!DR149,Transfer!EE149)</f>
        <v>-9999</v>
      </c>
      <c r="AH149" s="1040">
        <f>CHOOSE(Tables!$U$2,Transfer!CF149,Transfer!CS149,Transfer!DF149,Transfer!DS149,Transfer!EF149)</f>
        <v>-9999</v>
      </c>
      <c r="AI149" s="1040">
        <f>CHOOSE(Tables!$U$2,Transfer!CG149,Transfer!CT149,Transfer!DG149,Transfer!DT149,Transfer!EG149)</f>
        <v>-9999</v>
      </c>
      <c r="AJ149" s="1040">
        <f>CHOOSE(Tables!$U$2,Transfer!CH149,Transfer!CU149,Transfer!DH149,Transfer!DU149,Transfer!EH149)</f>
        <v>-9999</v>
      </c>
      <c r="AK149" s="1040">
        <f>CHOOSE(Tables!$U$2,Transfer!CI149,Transfer!CV149,Transfer!DI149,Transfer!DV149,Transfer!EI149)</f>
        <v>-9999</v>
      </c>
      <c r="AL149" s="1040">
        <f>CHOOSE(Tables!$U$2,Transfer!CJ149,Transfer!CW149,Transfer!DJ149,Transfer!DW149,Transfer!EJ149)</f>
        <v>-9999</v>
      </c>
      <c r="AM149" s="1040">
        <f>CHOOSE(Tables!$U$2,Transfer!CK149,Transfer!CX149,Transfer!DK149,Transfer!DX149,Transfer!EK149)</f>
        <v>-9999</v>
      </c>
      <c r="AN149" s="1040">
        <f>CHOOSE(Tables!$U$2,Transfer!CL149,Transfer!CY149,Transfer!DL149,Transfer!DY149,Transfer!EL149)</f>
        <v>-9999</v>
      </c>
      <c r="AO149" s="1040">
        <f>CHOOSE(Tables!$U$2,Transfer!CM149,Transfer!CZ149,Transfer!DM149,Transfer!DZ149,Transfer!EM149)</f>
        <v>-9999</v>
      </c>
      <c r="AR149" s="22">
        <v>49</v>
      </c>
      <c r="AS149" s="30" t="s">
        <v>1705</v>
      </c>
      <c r="AT149" s="25">
        <f t="shared" si="6"/>
        <v>0</v>
      </c>
      <c r="AU149" s="25">
        <f t="shared" si="6"/>
        <v>0</v>
      </c>
      <c r="AV149" s="25">
        <f t="shared" si="6"/>
        <v>0</v>
      </c>
      <c r="AW149" s="25">
        <f t="shared" si="6"/>
        <v>0</v>
      </c>
      <c r="AX149" s="25">
        <f t="shared" si="6"/>
        <v>0</v>
      </c>
      <c r="AY149" s="25">
        <f t="shared" si="6"/>
        <v>0</v>
      </c>
      <c r="AZ149" s="25">
        <f t="shared" si="6"/>
        <v>0</v>
      </c>
      <c r="BA149" s="25">
        <f t="shared" si="6"/>
        <v>0</v>
      </c>
      <c r="BB149" s="25">
        <f t="shared" si="6"/>
        <v>0</v>
      </c>
      <c r="BC149" s="25">
        <f t="shared" si="6"/>
        <v>0</v>
      </c>
      <c r="BD149" s="25">
        <f t="shared" si="6"/>
        <v>0</v>
      </c>
      <c r="BE149" s="25">
        <f t="shared" si="6"/>
        <v>0</v>
      </c>
      <c r="BF149" s="25">
        <f t="shared" si="6"/>
        <v>0</v>
      </c>
      <c r="CA149" s="16">
        <v>-9999</v>
      </c>
      <c r="CB149" s="16">
        <v>-9999</v>
      </c>
      <c r="CC149" s="16">
        <v>-9999</v>
      </c>
      <c r="CD149" s="16">
        <v>-9999</v>
      </c>
      <c r="CE149" s="16">
        <v>-9999</v>
      </c>
      <c r="CF149" s="16">
        <v>-9999</v>
      </c>
      <c r="CG149" s="16">
        <v>-9999</v>
      </c>
      <c r="CH149" s="16">
        <v>-9999</v>
      </c>
      <c r="CI149" s="16">
        <v>-9999</v>
      </c>
      <c r="CJ149" s="16">
        <v>-9999</v>
      </c>
      <c r="CK149" s="16">
        <v>-9999</v>
      </c>
      <c r="CL149" s="16">
        <v>-9999</v>
      </c>
      <c r="CM149" s="16">
        <v>-9999</v>
      </c>
      <c r="CN149" s="16">
        <v>-9999</v>
      </c>
      <c r="CO149" s="16">
        <v>-9999</v>
      </c>
      <c r="CP149" s="16">
        <v>-9999</v>
      </c>
      <c r="CQ149" s="16">
        <v>-9999</v>
      </c>
      <c r="CR149" s="16">
        <v>-9999</v>
      </c>
      <c r="CS149" s="16">
        <v>-9999</v>
      </c>
      <c r="CT149" s="16">
        <v>-9999</v>
      </c>
      <c r="CU149" s="16">
        <v>-9999</v>
      </c>
      <c r="CV149" s="16">
        <v>-9999</v>
      </c>
      <c r="CW149" s="16">
        <v>-9999</v>
      </c>
      <c r="CX149" s="16">
        <v>-9999</v>
      </c>
      <c r="CY149" s="16">
        <v>-9999</v>
      </c>
      <c r="CZ149" s="16">
        <v>-9999</v>
      </c>
      <c r="DA149" s="16">
        <v>-9999</v>
      </c>
      <c r="DB149" s="16">
        <v>-9999</v>
      </c>
      <c r="DC149" s="16">
        <v>-9999</v>
      </c>
      <c r="DD149" s="16">
        <v>-9999</v>
      </c>
      <c r="DE149" s="16">
        <v>-9999</v>
      </c>
      <c r="DF149" s="16">
        <v>-9999</v>
      </c>
      <c r="DG149" s="16">
        <v>-9999</v>
      </c>
      <c r="DH149" s="16">
        <v>-9999</v>
      </c>
      <c r="DI149" s="16">
        <v>-9999</v>
      </c>
      <c r="DJ149" s="16">
        <v>-9999</v>
      </c>
      <c r="DK149" s="16">
        <v>-9999</v>
      </c>
      <c r="DL149" s="16">
        <v>-9999</v>
      </c>
      <c r="DM149" s="16">
        <v>-9999</v>
      </c>
      <c r="DN149" s="16">
        <v>-9999</v>
      </c>
      <c r="DO149" s="16">
        <v>-9999</v>
      </c>
      <c r="DP149" s="16">
        <v>-9999</v>
      </c>
      <c r="DQ149" s="16">
        <v>-9999</v>
      </c>
      <c r="DR149" s="16">
        <v>-9999</v>
      </c>
      <c r="DS149" s="16">
        <v>-9999</v>
      </c>
      <c r="DT149" s="16">
        <v>-9999</v>
      </c>
      <c r="DU149" s="16">
        <v>-9999</v>
      </c>
      <c r="DV149" s="16">
        <v>-9999</v>
      </c>
      <c r="DW149" s="16">
        <v>-9999</v>
      </c>
      <c r="DX149" s="16">
        <v>-9999</v>
      </c>
      <c r="DY149" s="16">
        <v>-9999</v>
      </c>
      <c r="DZ149" s="16">
        <v>-9999</v>
      </c>
      <c r="EA149" s="2197">
        <v>-9999</v>
      </c>
      <c r="EB149" s="2197">
        <v>-9999</v>
      </c>
      <c r="EC149" s="2197">
        <v>-9999</v>
      </c>
      <c r="ED149" s="2197">
        <v>-9999</v>
      </c>
      <c r="EE149" s="2197">
        <v>-9999</v>
      </c>
      <c r="EF149" s="2197">
        <v>-9999</v>
      </c>
      <c r="EG149" s="2197">
        <v>-9999</v>
      </c>
      <c r="EH149" s="2197">
        <v>-9999</v>
      </c>
      <c r="EI149" s="2197">
        <v>-9999</v>
      </c>
      <c r="EJ149" s="2197">
        <v>-9999</v>
      </c>
      <c r="EK149" s="2197">
        <v>-9999</v>
      </c>
      <c r="EL149" s="2197">
        <v>-9999</v>
      </c>
      <c r="EM149" s="2197">
        <v>-9999</v>
      </c>
    </row>
    <row r="150" spans="1:143">
      <c r="A150" s="22">
        <v>50</v>
      </c>
      <c r="B150" s="1" t="s">
        <v>1493</v>
      </c>
      <c r="C150" s="24">
        <f ca="1">OFFSET(Sector1!F8,0,Last_forecast_year - 3-InputY!$G$3)</f>
        <v>4.2110900000000004</v>
      </c>
      <c r="D150" s="24">
        <f ca="1">OFFSET(Sector1!G8,0,Last_forecast_year - 3-InputY!$G$3)</f>
        <v>4.4171499999999995</v>
      </c>
      <c r="E150" s="24">
        <f ca="1">OFFSET(Sector1!H8,0,Last_forecast_year - 3-InputY!$G$3)</f>
        <v>4.8132999999999999</v>
      </c>
      <c r="F150" s="24">
        <f ca="1">OFFSET(Sector1!I8,0,Last_forecast_year - 3-InputY!$G$3)</f>
        <v>5.123979558019216</v>
      </c>
      <c r="G150" s="24">
        <f ca="1">OFFSET(Sector1!J8,0,Last_forecast_year - 3-InputY!$G$3)</f>
        <v>5.4109224132682927</v>
      </c>
      <c r="H150" s="25">
        <v>-9999</v>
      </c>
      <c r="I150" s="25">
        <v>-9999</v>
      </c>
      <c r="J150" s="25">
        <v>-9999</v>
      </c>
      <c r="K150" s="25">
        <v>-9999</v>
      </c>
      <c r="L150" s="25">
        <v>-9999</v>
      </c>
      <c r="M150" s="25">
        <v>-9999</v>
      </c>
      <c r="N150" s="25">
        <v>-9999</v>
      </c>
      <c r="O150" s="25">
        <v>-9999</v>
      </c>
      <c r="P150" s="32"/>
      <c r="Q150"/>
      <c r="AA150" s="22">
        <v>50</v>
      </c>
      <c r="AB150" s="1040" t="str">
        <f t="shared" si="3"/>
        <v>TAXES ON PRODUCTS</v>
      </c>
      <c r="AC150" s="1040">
        <f>CHOOSE(Tables!$U$2,Transfer!CA150,Transfer!CN150,Transfer!DA150,Transfer!DN150,Transfer!EA150)</f>
        <v>12.163110000000001</v>
      </c>
      <c r="AD150" s="1040">
        <f>CHOOSE(Tables!$U$2,Transfer!CB150,Transfer!CO150,Transfer!DB150,Transfer!DO150,Transfer!EB150)</f>
        <v>12.47255</v>
      </c>
      <c r="AE150" s="1040">
        <f>CHOOSE(Tables!$U$2,Transfer!CC150,Transfer!CP150,Transfer!DC150,Transfer!DP150,Transfer!EC150)</f>
        <v>12.771891200000001</v>
      </c>
      <c r="AF150" s="1040">
        <f>CHOOSE(Tables!$U$2,Transfer!CD150,Transfer!CQ150,Transfer!DD150,Transfer!DQ150,Transfer!ED150)</f>
        <v>13.282766848000001</v>
      </c>
      <c r="AG150" s="1040">
        <f>CHOOSE(Tables!$U$2,Transfer!CE150,Transfer!CR150,Transfer!DE150,Transfer!DR150,Transfer!EE150)</f>
        <v>14.013319024640001</v>
      </c>
      <c r="AH150" s="1040">
        <f>CHOOSE(Tables!$U$2,Transfer!CF150,Transfer!CS150,Transfer!DF150,Transfer!DS150,Transfer!EF150)</f>
        <v>-9999</v>
      </c>
      <c r="AI150" s="1040">
        <f>CHOOSE(Tables!$U$2,Transfer!CG150,Transfer!CT150,Transfer!DG150,Transfer!DT150,Transfer!EG150)</f>
        <v>-9999</v>
      </c>
      <c r="AJ150" s="1040">
        <f>CHOOSE(Tables!$U$2,Transfer!CH150,Transfer!CU150,Transfer!DH150,Transfer!DU150,Transfer!EH150)</f>
        <v>-9999</v>
      </c>
      <c r="AK150" s="1040">
        <f>CHOOSE(Tables!$U$2,Transfer!CI150,Transfer!CV150,Transfer!DI150,Transfer!DV150,Transfer!EI150)</f>
        <v>-9999</v>
      </c>
      <c r="AL150" s="1040">
        <f>CHOOSE(Tables!$U$2,Transfer!CJ150,Transfer!CW150,Transfer!DJ150,Transfer!DW150,Transfer!EJ150)</f>
        <v>-9999</v>
      </c>
      <c r="AM150" s="1040">
        <f>CHOOSE(Tables!$U$2,Transfer!CK150,Transfer!CX150,Transfer!DK150,Transfer!DX150,Transfer!EK150)</f>
        <v>-9999</v>
      </c>
      <c r="AN150" s="1040">
        <f>CHOOSE(Tables!$U$2,Transfer!CL150,Transfer!CY150,Transfer!DL150,Transfer!DY150,Transfer!EL150)</f>
        <v>-9999</v>
      </c>
      <c r="AO150" s="1040">
        <f>CHOOSE(Tables!$U$2,Transfer!CM150,Transfer!CZ150,Transfer!DM150,Transfer!DZ150,Transfer!EM150)</f>
        <v>-9999</v>
      </c>
      <c r="AR150" s="22">
        <v>50</v>
      </c>
      <c r="AS150" s="1" t="s">
        <v>1493</v>
      </c>
      <c r="AT150" s="24">
        <f t="shared" ca="1" si="6"/>
        <v>-7.952020000000001</v>
      </c>
      <c r="AU150" s="24">
        <f t="shared" ca="1" si="6"/>
        <v>-8.0554000000000006</v>
      </c>
      <c r="AV150" s="24">
        <f t="shared" ca="1" si="6"/>
        <v>-7.9585912000000008</v>
      </c>
      <c r="AW150" s="24">
        <f t="shared" ca="1" si="6"/>
        <v>-8.1587872899807863</v>
      </c>
      <c r="AX150" s="24">
        <f t="shared" ca="1" si="6"/>
        <v>-8.6023966113717094</v>
      </c>
      <c r="AY150" s="25">
        <f t="shared" si="6"/>
        <v>0</v>
      </c>
      <c r="AZ150" s="25">
        <f t="shared" si="6"/>
        <v>0</v>
      </c>
      <c r="BA150" s="25">
        <f t="shared" si="6"/>
        <v>0</v>
      </c>
      <c r="BB150" s="25">
        <f t="shared" si="6"/>
        <v>0</v>
      </c>
      <c r="BC150" s="25">
        <f t="shared" si="6"/>
        <v>0</v>
      </c>
      <c r="BD150" s="25">
        <f t="shared" si="6"/>
        <v>0</v>
      </c>
      <c r="BE150" s="25">
        <f t="shared" si="6"/>
        <v>0</v>
      </c>
      <c r="BF150" s="25">
        <f t="shared" si="6"/>
        <v>0</v>
      </c>
      <c r="CA150" s="16">
        <v>3.7482099999999998</v>
      </c>
      <c r="CB150" s="16">
        <v>3.9839099999999998</v>
      </c>
      <c r="CC150" s="16">
        <v>4.2667676099999996</v>
      </c>
      <c r="CD150" s="16">
        <v>4.458772152449999</v>
      </c>
      <c r="CE150" s="16">
        <v>4.7891248146321947</v>
      </c>
      <c r="CF150" s="16">
        <v>-9999</v>
      </c>
      <c r="CG150" s="16">
        <v>-9999</v>
      </c>
      <c r="CH150" s="16">
        <v>-9999</v>
      </c>
      <c r="CI150" s="16">
        <v>-9999</v>
      </c>
      <c r="CJ150" s="16">
        <v>-9999</v>
      </c>
      <c r="CK150" s="16">
        <v>-9999</v>
      </c>
      <c r="CL150" s="16">
        <v>-9999</v>
      </c>
      <c r="CM150" s="16">
        <v>-9999</v>
      </c>
      <c r="CN150" s="16">
        <v>3.59206</v>
      </c>
      <c r="CO150" s="16">
        <v>3.7465999999999999</v>
      </c>
      <c r="CP150" s="16">
        <v>4.0179499999999999</v>
      </c>
      <c r="CQ150" s="16">
        <v>4.2188474999999999</v>
      </c>
      <c r="CR150" s="16">
        <v>4.4843591650859738</v>
      </c>
      <c r="CS150" s="16">
        <v>-9999</v>
      </c>
      <c r="CT150" s="16">
        <v>-9999</v>
      </c>
      <c r="CU150" s="16">
        <v>-9999</v>
      </c>
      <c r="CV150" s="16">
        <v>-9999</v>
      </c>
      <c r="CW150" s="16">
        <v>-9999</v>
      </c>
      <c r="CX150" s="16">
        <v>-9999</v>
      </c>
      <c r="CY150" s="16">
        <v>-9999</v>
      </c>
      <c r="CZ150" s="16">
        <v>-9999</v>
      </c>
      <c r="DA150" s="16">
        <v>3.7465999999999999</v>
      </c>
      <c r="DB150" s="16">
        <v>3.9838899999999997</v>
      </c>
      <c r="DC150" s="16">
        <v>4.1755407516700558</v>
      </c>
      <c r="DD150" s="16">
        <v>4.4346874741919757</v>
      </c>
      <c r="DE150" s="16">
        <v>4.7099176282471626</v>
      </c>
      <c r="DF150" s="16">
        <v>-9999</v>
      </c>
      <c r="DG150" s="16">
        <v>-9999</v>
      </c>
      <c r="DH150" s="16">
        <v>-9999</v>
      </c>
      <c r="DI150" s="16">
        <v>-9999</v>
      </c>
      <c r="DJ150" s="16">
        <v>-9999</v>
      </c>
      <c r="DK150" s="16">
        <v>-9999</v>
      </c>
      <c r="DL150" s="16">
        <v>-9999</v>
      </c>
      <c r="DM150" s="16">
        <v>-9999</v>
      </c>
      <c r="DN150" s="16">
        <v>3.59206</v>
      </c>
      <c r="DO150" s="16">
        <v>3.7465999999999999</v>
      </c>
      <c r="DP150" s="16">
        <v>4.0179499999999999</v>
      </c>
      <c r="DQ150" s="16">
        <v>4.1549240727084911</v>
      </c>
      <c r="DR150" s="16">
        <v>4.4164127396609301</v>
      </c>
      <c r="DS150" s="16">
        <v>-9999</v>
      </c>
      <c r="DT150" s="16">
        <v>-9999</v>
      </c>
      <c r="DU150" s="16">
        <v>-9999</v>
      </c>
      <c r="DV150" s="16">
        <v>-9999</v>
      </c>
      <c r="DW150" s="16">
        <v>-9999</v>
      </c>
      <c r="DX150" s="16">
        <v>-9999</v>
      </c>
      <c r="DY150" s="16">
        <v>-9999</v>
      </c>
      <c r="DZ150" s="16">
        <v>-9999</v>
      </c>
      <c r="EA150" s="2196">
        <v>12.163110000000001</v>
      </c>
      <c r="EB150" s="2196">
        <v>12.47255</v>
      </c>
      <c r="EC150" s="2196">
        <v>12.771891200000001</v>
      </c>
      <c r="ED150" s="2196">
        <v>13.282766848000001</v>
      </c>
      <c r="EE150" s="2196">
        <v>14.013319024640001</v>
      </c>
      <c r="EF150" s="2197">
        <v>-9999</v>
      </c>
      <c r="EG150" s="2197">
        <v>-9999</v>
      </c>
      <c r="EH150" s="2197">
        <v>-9999</v>
      </c>
      <c r="EI150" s="2197">
        <v>-9999</v>
      </c>
      <c r="EJ150" s="2197">
        <v>-9999</v>
      </c>
      <c r="EK150" s="2197">
        <v>-9999</v>
      </c>
      <c r="EL150" s="2197">
        <v>-9999</v>
      </c>
      <c r="EM150" s="2197">
        <v>-9999</v>
      </c>
    </row>
    <row r="151" spans="1:143">
      <c r="A151" s="22">
        <v>51</v>
      </c>
      <c r="B151" s="1" t="s">
        <v>1495</v>
      </c>
      <c r="C151" s="24">
        <f ca="1">OFFSET(Sector1!F45,0,Last_forecast_year - 3-InputY!$G$3)</f>
        <v>0.49363000000000001</v>
      </c>
      <c r="D151" s="24">
        <f ca="1">OFFSET(Sector1!G45,0,Last_forecast_year - 3-InputY!$G$3)</f>
        <v>0.53820000000000001</v>
      </c>
      <c r="E151" s="24">
        <f ca="1">OFFSET(Sector1!H45,0,Last_forecast_year - 3-InputY!$G$3)</f>
        <v>0.54600000000000004</v>
      </c>
      <c r="F151" s="24">
        <f ca="1">OFFSET(Sector1!I45,0,Last_forecast_year - 3-InputY!$G$3)</f>
        <v>0.56565600000000005</v>
      </c>
      <c r="G151" s="24">
        <f ca="1">OFFSET(Sector1!J45,0,Last_forecast_year - 3-InputY!$G$3)</f>
        <v>0.58601961600000008</v>
      </c>
      <c r="H151" s="25">
        <v>-9999</v>
      </c>
      <c r="I151" s="25">
        <v>-9999</v>
      </c>
      <c r="J151" s="25">
        <v>-9999</v>
      </c>
      <c r="K151" s="25">
        <v>-9999</v>
      </c>
      <c r="L151" s="25">
        <v>-9999</v>
      </c>
      <c r="M151" s="25">
        <v>-9999</v>
      </c>
      <c r="N151" s="25">
        <v>-9999</v>
      </c>
      <c r="O151" s="25">
        <v>-9999</v>
      </c>
      <c r="P151" s="32"/>
      <c r="Q151"/>
      <c r="AA151" s="22">
        <v>51</v>
      </c>
      <c r="AB151" s="1040" t="str">
        <f t="shared" si="3"/>
        <v>SUBSIDIES ON PRODUCTS</v>
      </c>
      <c r="AC151" s="1040">
        <f>CHOOSE(Tables!$U$2,Transfer!CA151,Transfer!CN151,Transfer!DA151,Transfer!DN151,Transfer!EA151)</f>
        <v>1.3358299999999999</v>
      </c>
      <c r="AD151" s="1040">
        <f>CHOOSE(Tables!$U$2,Transfer!CB151,Transfer!CO151,Transfer!DB151,Transfer!DO151,Transfer!EB151)</f>
        <v>1.41571</v>
      </c>
      <c r="AE151" s="1040">
        <f>CHOOSE(Tables!$U$2,Transfer!CC151,Transfer!CP151,Transfer!DC151,Transfer!DP151,Transfer!EC151)</f>
        <v>1.6705378</v>
      </c>
      <c r="AF151" s="1040">
        <f>CHOOSE(Tables!$U$2,Transfer!CD151,Transfer!CQ151,Transfer!DD151,Transfer!DQ151,Transfer!ED151)</f>
        <v>1.720653934</v>
      </c>
      <c r="AG151" s="1040">
        <f>CHOOSE(Tables!$U$2,Transfer!CE151,Transfer!CR151,Transfer!DE151,Transfer!DR151,Transfer!EE151)</f>
        <v>1.7722735520200001</v>
      </c>
      <c r="AH151" s="1040">
        <f>CHOOSE(Tables!$U$2,Transfer!CF151,Transfer!CS151,Transfer!DF151,Transfer!DS151,Transfer!EF151)</f>
        <v>-9999</v>
      </c>
      <c r="AI151" s="1040">
        <f>CHOOSE(Tables!$U$2,Transfer!CG151,Transfer!CT151,Transfer!DG151,Transfer!DT151,Transfer!EG151)</f>
        <v>-9999</v>
      </c>
      <c r="AJ151" s="1040">
        <f>CHOOSE(Tables!$U$2,Transfer!CH151,Transfer!CU151,Transfer!DH151,Transfer!DU151,Transfer!EH151)</f>
        <v>-9999</v>
      </c>
      <c r="AK151" s="1040">
        <f>CHOOSE(Tables!$U$2,Transfer!CI151,Transfer!CV151,Transfer!DI151,Transfer!DV151,Transfer!EI151)</f>
        <v>-9999</v>
      </c>
      <c r="AL151" s="1040">
        <f>CHOOSE(Tables!$U$2,Transfer!CJ151,Transfer!CW151,Transfer!DJ151,Transfer!DW151,Transfer!EJ151)</f>
        <v>-9999</v>
      </c>
      <c r="AM151" s="1040">
        <f>CHOOSE(Tables!$U$2,Transfer!CK151,Transfer!CX151,Transfer!DK151,Transfer!DX151,Transfer!EK151)</f>
        <v>-9999</v>
      </c>
      <c r="AN151" s="1040">
        <f>CHOOSE(Tables!$U$2,Transfer!CL151,Transfer!CY151,Transfer!DL151,Transfer!DY151,Transfer!EL151)</f>
        <v>-9999</v>
      </c>
      <c r="AO151" s="1040">
        <f>CHOOSE(Tables!$U$2,Transfer!CM151,Transfer!CZ151,Transfer!DM151,Transfer!DZ151,Transfer!EM151)</f>
        <v>-9999</v>
      </c>
      <c r="AR151" s="22">
        <v>51</v>
      </c>
      <c r="AS151" s="1" t="s">
        <v>1495</v>
      </c>
      <c r="AT151" s="24">
        <f t="shared" ca="1" si="6"/>
        <v>-0.84219999999999984</v>
      </c>
      <c r="AU151" s="24">
        <f t="shared" ca="1" si="6"/>
        <v>-0.87751000000000001</v>
      </c>
      <c r="AV151" s="24">
        <f t="shared" ca="1" si="6"/>
        <v>-1.1245377999999999</v>
      </c>
      <c r="AW151" s="24">
        <f t="shared" ca="1" si="6"/>
        <v>-1.1549979339999998</v>
      </c>
      <c r="AX151" s="24">
        <f t="shared" ca="1" si="6"/>
        <v>-1.18625393602</v>
      </c>
      <c r="AY151" s="25">
        <f t="shared" si="6"/>
        <v>0</v>
      </c>
      <c r="AZ151" s="25">
        <f t="shared" si="6"/>
        <v>0</v>
      </c>
      <c r="BA151" s="25">
        <f t="shared" si="6"/>
        <v>0</v>
      </c>
      <c r="BB151" s="25">
        <f t="shared" si="6"/>
        <v>0</v>
      </c>
      <c r="BC151" s="25">
        <f t="shared" si="6"/>
        <v>0</v>
      </c>
      <c r="BD151" s="25">
        <f t="shared" si="6"/>
        <v>0</v>
      </c>
      <c r="BE151" s="25">
        <f t="shared" si="6"/>
        <v>0</v>
      </c>
      <c r="BF151" s="25">
        <f t="shared" si="6"/>
        <v>0</v>
      </c>
      <c r="CA151" s="16">
        <v>0.43957999999999997</v>
      </c>
      <c r="CB151" s="16">
        <v>0.45130000000000003</v>
      </c>
      <c r="CC151" s="16">
        <v>0.47386500000000004</v>
      </c>
      <c r="CD151" s="16">
        <v>0.50703555000000011</v>
      </c>
      <c r="CE151" s="16">
        <v>0.53745768300000019</v>
      </c>
      <c r="CF151" s="16">
        <v>-9999</v>
      </c>
      <c r="CG151" s="16">
        <v>-9999</v>
      </c>
      <c r="CH151" s="16">
        <v>-9999</v>
      </c>
      <c r="CI151" s="16">
        <v>-9999</v>
      </c>
      <c r="CJ151" s="16">
        <v>-9999</v>
      </c>
      <c r="CK151" s="16">
        <v>-9999</v>
      </c>
      <c r="CL151" s="16">
        <v>-9999</v>
      </c>
      <c r="CM151" s="16">
        <v>-9999</v>
      </c>
      <c r="CN151" s="16">
        <v>0.41048000000000001</v>
      </c>
      <c r="CO151" s="16">
        <v>0.43957999999999997</v>
      </c>
      <c r="CP151" s="16">
        <v>0.42462</v>
      </c>
      <c r="CQ151" s="16">
        <v>0.45009720000000003</v>
      </c>
      <c r="CR151" s="16">
        <v>0.46810108800000005</v>
      </c>
      <c r="CS151" s="16">
        <v>-9999</v>
      </c>
      <c r="CT151" s="16">
        <v>-9999</v>
      </c>
      <c r="CU151" s="16">
        <v>-9999</v>
      </c>
      <c r="CV151" s="16">
        <v>-9999</v>
      </c>
      <c r="CW151" s="16">
        <v>-9999</v>
      </c>
      <c r="CX151" s="16">
        <v>-9999</v>
      </c>
      <c r="CY151" s="16">
        <v>-9999</v>
      </c>
      <c r="CZ151" s="16">
        <v>-9999</v>
      </c>
      <c r="DA151" s="16">
        <v>0.43957999999999997</v>
      </c>
      <c r="DB151" s="16">
        <v>0.45130000000000003</v>
      </c>
      <c r="DC151" s="16">
        <v>0.47386500000000004</v>
      </c>
      <c r="DD151" s="16">
        <v>0.49281960000000008</v>
      </c>
      <c r="DE151" s="16">
        <v>0.51253238400000012</v>
      </c>
      <c r="DF151" s="16">
        <v>-9999</v>
      </c>
      <c r="DG151" s="16">
        <v>-9999</v>
      </c>
      <c r="DH151" s="16">
        <v>-9999</v>
      </c>
      <c r="DI151" s="16">
        <v>-9999</v>
      </c>
      <c r="DJ151" s="16">
        <v>-9999</v>
      </c>
      <c r="DK151" s="16">
        <v>-9999</v>
      </c>
      <c r="DL151" s="16">
        <v>-9999</v>
      </c>
      <c r="DM151" s="16">
        <v>-9999</v>
      </c>
      <c r="DN151" s="16">
        <v>0.41048000000000001</v>
      </c>
      <c r="DO151" s="16">
        <v>0.43957999999999997</v>
      </c>
      <c r="DP151" s="16">
        <v>0.42462</v>
      </c>
      <c r="DQ151" s="16">
        <v>0.45009720000000003</v>
      </c>
      <c r="DR151" s="16">
        <v>0.46810108800000005</v>
      </c>
      <c r="DS151" s="16">
        <v>-9999</v>
      </c>
      <c r="DT151" s="16">
        <v>-9999</v>
      </c>
      <c r="DU151" s="16">
        <v>-9999</v>
      </c>
      <c r="DV151" s="16">
        <v>-9999</v>
      </c>
      <c r="DW151" s="16">
        <v>-9999</v>
      </c>
      <c r="DX151" s="16">
        <v>-9999</v>
      </c>
      <c r="DY151" s="16">
        <v>-9999</v>
      </c>
      <c r="DZ151" s="16">
        <v>-9999</v>
      </c>
      <c r="EA151" s="2196">
        <v>1.3358299999999999</v>
      </c>
      <c r="EB151" s="2196">
        <v>1.41571</v>
      </c>
      <c r="EC151" s="2196">
        <v>1.6705378</v>
      </c>
      <c r="ED151" s="2196">
        <v>1.720653934</v>
      </c>
      <c r="EE151" s="2196">
        <v>1.7722735520200001</v>
      </c>
      <c r="EF151" s="2197">
        <v>-9999</v>
      </c>
      <c r="EG151" s="2197">
        <v>-9999</v>
      </c>
      <c r="EH151" s="2197">
        <v>-9999</v>
      </c>
      <c r="EI151" s="2197">
        <v>-9999</v>
      </c>
      <c r="EJ151" s="2197">
        <v>-9999</v>
      </c>
      <c r="EK151" s="2197">
        <v>-9999</v>
      </c>
      <c r="EL151" s="2197">
        <v>-9999</v>
      </c>
      <c r="EM151" s="2197">
        <v>-9999</v>
      </c>
    </row>
    <row r="152" spans="1:143">
      <c r="A152" s="22">
        <v>52</v>
      </c>
      <c r="B152" s="30" t="s">
        <v>1705</v>
      </c>
      <c r="C152" s="25">
        <v>-9999</v>
      </c>
      <c r="D152" s="25">
        <v>-9999</v>
      </c>
      <c r="E152" s="25">
        <v>-9999</v>
      </c>
      <c r="F152" s="25">
        <v>-9999</v>
      </c>
      <c r="G152" s="25">
        <v>-9999</v>
      </c>
      <c r="H152" s="25">
        <v>-9999</v>
      </c>
      <c r="I152" s="25">
        <v>-9999</v>
      </c>
      <c r="J152" s="25">
        <v>-9999</v>
      </c>
      <c r="K152" s="25">
        <v>-9999</v>
      </c>
      <c r="L152" s="25">
        <v>-9999</v>
      </c>
      <c r="M152" s="25">
        <v>-9999</v>
      </c>
      <c r="N152" s="25">
        <v>-9999</v>
      </c>
      <c r="O152" s="25">
        <v>-9999</v>
      </c>
      <c r="P152" s="32"/>
      <c r="Q152"/>
      <c r="AA152" s="22">
        <v>52</v>
      </c>
      <c r="AB152" s="1040" t="str">
        <f t="shared" si="3"/>
        <v>FOR FUTURE USE</v>
      </c>
      <c r="AC152" s="1040">
        <f>CHOOSE(Tables!$U$2,Transfer!CA152,Transfer!CN152,Transfer!DA152,Transfer!DN152,Transfer!EA152)</f>
        <v>-9999</v>
      </c>
      <c r="AD152" s="1040">
        <f>CHOOSE(Tables!$U$2,Transfer!CB152,Transfer!CO152,Transfer!DB152,Transfer!DO152,Transfer!EB152)</f>
        <v>-9999</v>
      </c>
      <c r="AE152" s="1040">
        <f>CHOOSE(Tables!$U$2,Transfer!CC152,Transfer!CP152,Transfer!DC152,Transfer!DP152,Transfer!EC152)</f>
        <v>-9999</v>
      </c>
      <c r="AF152" s="1040">
        <f>CHOOSE(Tables!$U$2,Transfer!CD152,Transfer!CQ152,Transfer!DD152,Transfer!DQ152,Transfer!ED152)</f>
        <v>-9999</v>
      </c>
      <c r="AG152" s="1040">
        <f>CHOOSE(Tables!$U$2,Transfer!CE152,Transfer!CR152,Transfer!DE152,Transfer!DR152,Transfer!EE152)</f>
        <v>-9999</v>
      </c>
      <c r="AH152" s="1040">
        <f>CHOOSE(Tables!$U$2,Transfer!CF152,Transfer!CS152,Transfer!DF152,Transfer!DS152,Transfer!EF152)</f>
        <v>-9999</v>
      </c>
      <c r="AI152" s="1040">
        <f>CHOOSE(Tables!$U$2,Transfer!CG152,Transfer!CT152,Transfer!DG152,Transfer!DT152,Transfer!EG152)</f>
        <v>-9999</v>
      </c>
      <c r="AJ152" s="1040">
        <f>CHOOSE(Tables!$U$2,Transfer!CH152,Transfer!CU152,Transfer!DH152,Transfer!DU152,Transfer!EH152)</f>
        <v>-9999</v>
      </c>
      <c r="AK152" s="1040">
        <f>CHOOSE(Tables!$U$2,Transfer!CI152,Transfer!CV152,Transfer!DI152,Transfer!DV152,Transfer!EI152)</f>
        <v>-9999</v>
      </c>
      <c r="AL152" s="1040">
        <f>CHOOSE(Tables!$U$2,Transfer!CJ152,Transfer!CW152,Transfer!DJ152,Transfer!DW152,Transfer!EJ152)</f>
        <v>-9999</v>
      </c>
      <c r="AM152" s="1040">
        <f>CHOOSE(Tables!$U$2,Transfer!CK152,Transfer!CX152,Transfer!DK152,Transfer!DX152,Transfer!EK152)</f>
        <v>-9999</v>
      </c>
      <c r="AN152" s="1040">
        <f>CHOOSE(Tables!$U$2,Transfer!CL152,Transfer!CY152,Transfer!DL152,Transfer!DY152,Transfer!EL152)</f>
        <v>-9999</v>
      </c>
      <c r="AO152" s="1040">
        <f>CHOOSE(Tables!$U$2,Transfer!CM152,Transfer!CZ152,Transfer!DM152,Transfer!DZ152,Transfer!EM152)</f>
        <v>-9999</v>
      </c>
      <c r="AR152" s="22">
        <v>52</v>
      </c>
      <c r="AS152" s="30" t="s">
        <v>1705</v>
      </c>
      <c r="AT152" s="25">
        <f t="shared" si="6"/>
        <v>0</v>
      </c>
      <c r="AU152" s="25">
        <f t="shared" si="6"/>
        <v>0</v>
      </c>
      <c r="AV152" s="25">
        <f t="shared" si="6"/>
        <v>0</v>
      </c>
      <c r="AW152" s="25">
        <f t="shared" si="6"/>
        <v>0</v>
      </c>
      <c r="AX152" s="25">
        <f t="shared" si="6"/>
        <v>0</v>
      </c>
      <c r="AY152" s="25">
        <f t="shared" si="6"/>
        <v>0</v>
      </c>
      <c r="AZ152" s="25">
        <f t="shared" si="6"/>
        <v>0</v>
      </c>
      <c r="BA152" s="25">
        <f t="shared" si="6"/>
        <v>0</v>
      </c>
      <c r="BB152" s="25">
        <f t="shared" si="6"/>
        <v>0</v>
      </c>
      <c r="BC152" s="25">
        <f t="shared" si="6"/>
        <v>0</v>
      </c>
      <c r="BD152" s="25">
        <f t="shared" si="6"/>
        <v>0</v>
      </c>
      <c r="BE152" s="25">
        <f t="shared" si="6"/>
        <v>0</v>
      </c>
      <c r="BF152" s="25">
        <f t="shared" si="6"/>
        <v>0</v>
      </c>
      <c r="CA152" s="16">
        <v>-9999</v>
      </c>
      <c r="CB152" s="16">
        <v>-9999</v>
      </c>
      <c r="CC152" s="16">
        <v>-9999</v>
      </c>
      <c r="CD152" s="16">
        <v>-9999</v>
      </c>
      <c r="CE152" s="16">
        <v>-9999</v>
      </c>
      <c r="CF152" s="16">
        <v>-9999</v>
      </c>
      <c r="CG152" s="16">
        <v>-9999</v>
      </c>
      <c r="CH152" s="16">
        <v>-9999</v>
      </c>
      <c r="CI152" s="16">
        <v>-9999</v>
      </c>
      <c r="CJ152" s="16">
        <v>-9999</v>
      </c>
      <c r="CK152" s="16">
        <v>-9999</v>
      </c>
      <c r="CL152" s="16">
        <v>-9999</v>
      </c>
      <c r="CM152" s="16">
        <v>-9999</v>
      </c>
      <c r="CN152" s="16">
        <v>-9999</v>
      </c>
      <c r="CO152" s="16">
        <v>-9999</v>
      </c>
      <c r="CP152" s="16">
        <v>-9999</v>
      </c>
      <c r="CQ152" s="16">
        <v>-9999</v>
      </c>
      <c r="CR152" s="16">
        <v>-9999</v>
      </c>
      <c r="CS152" s="16">
        <v>-9999</v>
      </c>
      <c r="CT152" s="16">
        <v>-9999</v>
      </c>
      <c r="CU152" s="16">
        <v>-9999</v>
      </c>
      <c r="CV152" s="16">
        <v>-9999</v>
      </c>
      <c r="CW152" s="16">
        <v>-9999</v>
      </c>
      <c r="CX152" s="16">
        <v>-9999</v>
      </c>
      <c r="CY152" s="16">
        <v>-9999</v>
      </c>
      <c r="CZ152" s="16">
        <v>-9999</v>
      </c>
      <c r="DA152" s="16">
        <v>-9999</v>
      </c>
      <c r="DB152" s="16">
        <v>-9999</v>
      </c>
      <c r="DC152" s="16">
        <v>-9999</v>
      </c>
      <c r="DD152" s="16">
        <v>-9999</v>
      </c>
      <c r="DE152" s="16">
        <v>-9999</v>
      </c>
      <c r="DF152" s="16">
        <v>-9999</v>
      </c>
      <c r="DG152" s="16">
        <v>-9999</v>
      </c>
      <c r="DH152" s="16">
        <v>-9999</v>
      </c>
      <c r="DI152" s="16">
        <v>-9999</v>
      </c>
      <c r="DJ152" s="16">
        <v>-9999</v>
      </c>
      <c r="DK152" s="16">
        <v>-9999</v>
      </c>
      <c r="DL152" s="16">
        <v>-9999</v>
      </c>
      <c r="DM152" s="16">
        <v>-9999</v>
      </c>
      <c r="DN152" s="16">
        <v>-9999</v>
      </c>
      <c r="DO152" s="16">
        <v>-9999</v>
      </c>
      <c r="DP152" s="16">
        <v>-9999</v>
      </c>
      <c r="DQ152" s="16">
        <v>-9999</v>
      </c>
      <c r="DR152" s="16">
        <v>-9999</v>
      </c>
      <c r="DS152" s="16">
        <v>-9999</v>
      </c>
      <c r="DT152" s="16">
        <v>-9999</v>
      </c>
      <c r="DU152" s="16">
        <v>-9999</v>
      </c>
      <c r="DV152" s="16">
        <v>-9999</v>
      </c>
      <c r="DW152" s="16">
        <v>-9999</v>
      </c>
      <c r="DX152" s="16">
        <v>-9999</v>
      </c>
      <c r="DY152" s="16">
        <v>-9999</v>
      </c>
      <c r="DZ152" s="16">
        <v>-9999</v>
      </c>
      <c r="EA152" s="2197">
        <v>-9999</v>
      </c>
      <c r="EB152" s="2197">
        <v>-9999</v>
      </c>
      <c r="EC152" s="2197">
        <v>-9999</v>
      </c>
      <c r="ED152" s="2197">
        <v>-9999</v>
      </c>
      <c r="EE152" s="2197">
        <v>-9999</v>
      </c>
      <c r="EF152" s="2197">
        <v>-9999</v>
      </c>
      <c r="EG152" s="2197">
        <v>-9999</v>
      </c>
      <c r="EH152" s="2197">
        <v>-9999</v>
      </c>
      <c r="EI152" s="2197">
        <v>-9999</v>
      </c>
      <c r="EJ152" s="2197">
        <v>-9999</v>
      </c>
      <c r="EK152" s="2197">
        <v>-9999</v>
      </c>
      <c r="EL152" s="2197">
        <v>-9999</v>
      </c>
      <c r="EM152" s="2197">
        <v>-9999</v>
      </c>
    </row>
    <row r="153" spans="1:143">
      <c r="A153" s="22">
        <v>53</v>
      </c>
      <c r="B153" s="30" t="s">
        <v>1705</v>
      </c>
      <c r="C153" s="25">
        <v>-9999</v>
      </c>
      <c r="D153" s="25">
        <v>-9999</v>
      </c>
      <c r="E153" s="25">
        <v>-9999</v>
      </c>
      <c r="F153" s="25">
        <v>-9999</v>
      </c>
      <c r="G153" s="25">
        <v>-9999</v>
      </c>
      <c r="H153" s="25">
        <v>-9999</v>
      </c>
      <c r="I153" s="25">
        <v>-9999</v>
      </c>
      <c r="J153" s="25">
        <v>-9999</v>
      </c>
      <c r="K153" s="25">
        <v>-9999</v>
      </c>
      <c r="L153" s="25">
        <v>-9999</v>
      </c>
      <c r="M153" s="25">
        <v>-9999</v>
      </c>
      <c r="N153" s="25">
        <v>-9999</v>
      </c>
      <c r="O153" s="25">
        <v>-9999</v>
      </c>
      <c r="P153" s="32"/>
      <c r="Q153"/>
      <c r="AA153" s="22">
        <v>53</v>
      </c>
      <c r="AB153" s="1040" t="str">
        <f t="shared" si="3"/>
        <v>FOR FUTURE USE</v>
      </c>
      <c r="AC153" s="1040">
        <f>CHOOSE(Tables!$U$2,Transfer!CA153,Transfer!CN153,Transfer!DA153,Transfer!DN153,Transfer!EA153)</f>
        <v>-9999</v>
      </c>
      <c r="AD153" s="1040">
        <f>CHOOSE(Tables!$U$2,Transfer!CB153,Transfer!CO153,Transfer!DB153,Transfer!DO153,Transfer!EB153)</f>
        <v>-9999</v>
      </c>
      <c r="AE153" s="1040">
        <f>CHOOSE(Tables!$U$2,Transfer!CC153,Transfer!CP153,Transfer!DC153,Transfer!DP153,Transfer!EC153)</f>
        <v>-9999</v>
      </c>
      <c r="AF153" s="1040">
        <f>CHOOSE(Tables!$U$2,Transfer!CD153,Transfer!CQ153,Transfer!DD153,Transfer!DQ153,Transfer!ED153)</f>
        <v>-9999</v>
      </c>
      <c r="AG153" s="1040">
        <f>CHOOSE(Tables!$U$2,Transfer!CE153,Transfer!CR153,Transfer!DE153,Transfer!DR153,Transfer!EE153)</f>
        <v>-9999</v>
      </c>
      <c r="AH153" s="1040">
        <f>CHOOSE(Tables!$U$2,Transfer!CF153,Transfer!CS153,Transfer!DF153,Transfer!DS153,Transfer!EF153)</f>
        <v>-9999</v>
      </c>
      <c r="AI153" s="1040">
        <f>CHOOSE(Tables!$U$2,Transfer!CG153,Transfer!CT153,Transfer!DG153,Transfer!DT153,Transfer!EG153)</f>
        <v>-9999</v>
      </c>
      <c r="AJ153" s="1040">
        <f>CHOOSE(Tables!$U$2,Transfer!CH153,Transfer!CU153,Transfer!DH153,Transfer!DU153,Transfer!EH153)</f>
        <v>-9999</v>
      </c>
      <c r="AK153" s="1040">
        <f>CHOOSE(Tables!$U$2,Transfer!CI153,Transfer!CV153,Transfer!DI153,Transfer!DV153,Transfer!EI153)</f>
        <v>-9999</v>
      </c>
      <c r="AL153" s="1040">
        <f>CHOOSE(Tables!$U$2,Transfer!CJ153,Transfer!CW153,Transfer!DJ153,Transfer!DW153,Transfer!EJ153)</f>
        <v>-9999</v>
      </c>
      <c r="AM153" s="1040">
        <f>CHOOSE(Tables!$U$2,Transfer!CK153,Transfer!CX153,Transfer!DK153,Transfer!DX153,Transfer!EK153)</f>
        <v>-9999</v>
      </c>
      <c r="AN153" s="1040">
        <f>CHOOSE(Tables!$U$2,Transfer!CL153,Transfer!CY153,Transfer!DL153,Transfer!DY153,Transfer!EL153)</f>
        <v>-9999</v>
      </c>
      <c r="AO153" s="1040">
        <f>CHOOSE(Tables!$U$2,Transfer!CM153,Transfer!CZ153,Transfer!DM153,Transfer!DZ153,Transfer!EM153)</f>
        <v>-9999</v>
      </c>
      <c r="AR153" s="22">
        <v>53</v>
      </c>
      <c r="AS153" s="30" t="s">
        <v>1705</v>
      </c>
      <c r="AT153" s="25">
        <f t="shared" si="6"/>
        <v>0</v>
      </c>
      <c r="AU153" s="25">
        <f t="shared" si="6"/>
        <v>0</v>
      </c>
      <c r="AV153" s="25">
        <f t="shared" si="6"/>
        <v>0</v>
      </c>
      <c r="AW153" s="25">
        <f t="shared" si="6"/>
        <v>0</v>
      </c>
      <c r="AX153" s="25">
        <f t="shared" si="6"/>
        <v>0</v>
      </c>
      <c r="AY153" s="25">
        <f t="shared" si="6"/>
        <v>0</v>
      </c>
      <c r="AZ153" s="25">
        <f t="shared" si="6"/>
        <v>0</v>
      </c>
      <c r="BA153" s="25">
        <f t="shared" si="6"/>
        <v>0</v>
      </c>
      <c r="BB153" s="25">
        <f t="shared" si="6"/>
        <v>0</v>
      </c>
      <c r="BC153" s="25">
        <f t="shared" si="6"/>
        <v>0</v>
      </c>
      <c r="BD153" s="25">
        <f t="shared" si="6"/>
        <v>0</v>
      </c>
      <c r="BE153" s="25">
        <f t="shared" si="6"/>
        <v>0</v>
      </c>
      <c r="BF153" s="25">
        <f t="shared" si="6"/>
        <v>0</v>
      </c>
      <c r="CA153" s="16">
        <v>-9999</v>
      </c>
      <c r="CB153" s="16">
        <v>-9999</v>
      </c>
      <c r="CC153" s="16">
        <v>-9999</v>
      </c>
      <c r="CD153" s="16">
        <v>-9999</v>
      </c>
      <c r="CE153" s="16">
        <v>-9999</v>
      </c>
      <c r="CF153" s="16">
        <v>-9999</v>
      </c>
      <c r="CG153" s="16">
        <v>-9999</v>
      </c>
      <c r="CH153" s="16">
        <v>-9999</v>
      </c>
      <c r="CI153" s="16">
        <v>-9999</v>
      </c>
      <c r="CJ153" s="16">
        <v>-9999</v>
      </c>
      <c r="CK153" s="16">
        <v>-9999</v>
      </c>
      <c r="CL153" s="16">
        <v>-9999</v>
      </c>
      <c r="CM153" s="16">
        <v>-9999</v>
      </c>
      <c r="CN153" s="16">
        <v>-9999</v>
      </c>
      <c r="CO153" s="16">
        <v>-9999</v>
      </c>
      <c r="CP153" s="16">
        <v>-9999</v>
      </c>
      <c r="CQ153" s="16">
        <v>-9999</v>
      </c>
      <c r="CR153" s="16">
        <v>-9999</v>
      </c>
      <c r="CS153" s="16">
        <v>-9999</v>
      </c>
      <c r="CT153" s="16">
        <v>-9999</v>
      </c>
      <c r="CU153" s="16">
        <v>-9999</v>
      </c>
      <c r="CV153" s="16">
        <v>-9999</v>
      </c>
      <c r="CW153" s="16">
        <v>-9999</v>
      </c>
      <c r="CX153" s="16">
        <v>-9999</v>
      </c>
      <c r="CY153" s="16">
        <v>-9999</v>
      </c>
      <c r="CZ153" s="16">
        <v>-9999</v>
      </c>
      <c r="DA153" s="16">
        <v>-9999</v>
      </c>
      <c r="DB153" s="16">
        <v>-9999</v>
      </c>
      <c r="DC153" s="16">
        <v>-9999</v>
      </c>
      <c r="DD153" s="16">
        <v>-9999</v>
      </c>
      <c r="DE153" s="16">
        <v>-9999</v>
      </c>
      <c r="DF153" s="16">
        <v>-9999</v>
      </c>
      <c r="DG153" s="16">
        <v>-9999</v>
      </c>
      <c r="DH153" s="16">
        <v>-9999</v>
      </c>
      <c r="DI153" s="16">
        <v>-9999</v>
      </c>
      <c r="DJ153" s="16">
        <v>-9999</v>
      </c>
      <c r="DK153" s="16">
        <v>-9999</v>
      </c>
      <c r="DL153" s="16">
        <v>-9999</v>
      </c>
      <c r="DM153" s="16">
        <v>-9999</v>
      </c>
      <c r="DN153" s="16">
        <v>-9999</v>
      </c>
      <c r="DO153" s="16">
        <v>-9999</v>
      </c>
      <c r="DP153" s="16">
        <v>-9999</v>
      </c>
      <c r="DQ153" s="16">
        <v>-9999</v>
      </c>
      <c r="DR153" s="16">
        <v>-9999</v>
      </c>
      <c r="DS153" s="16">
        <v>-9999</v>
      </c>
      <c r="DT153" s="16">
        <v>-9999</v>
      </c>
      <c r="DU153" s="16">
        <v>-9999</v>
      </c>
      <c r="DV153" s="16">
        <v>-9999</v>
      </c>
      <c r="DW153" s="16">
        <v>-9999</v>
      </c>
      <c r="DX153" s="16">
        <v>-9999</v>
      </c>
      <c r="DY153" s="16">
        <v>-9999</v>
      </c>
      <c r="DZ153" s="16">
        <v>-9999</v>
      </c>
      <c r="EA153" s="2197">
        <v>-9999</v>
      </c>
      <c r="EB153" s="2197">
        <v>-9999</v>
      </c>
      <c r="EC153" s="2197">
        <v>-9999</v>
      </c>
      <c r="ED153" s="2197">
        <v>-9999</v>
      </c>
      <c r="EE153" s="2197">
        <v>-9999</v>
      </c>
      <c r="EF153" s="2197">
        <v>-9999</v>
      </c>
      <c r="EG153" s="2197">
        <v>-9999</v>
      </c>
      <c r="EH153" s="2197">
        <v>-9999</v>
      </c>
      <c r="EI153" s="2197">
        <v>-9999</v>
      </c>
      <c r="EJ153" s="2197">
        <v>-9999</v>
      </c>
      <c r="EK153" s="2197">
        <v>-9999</v>
      </c>
      <c r="EL153" s="2197">
        <v>-9999</v>
      </c>
      <c r="EM153" s="2197">
        <v>-9999</v>
      </c>
    </row>
    <row r="154" spans="1:143">
      <c r="A154" s="22">
        <v>54</v>
      </c>
      <c r="B154" s="1" t="s">
        <v>598</v>
      </c>
      <c r="C154" s="24">
        <f ca="1">OFFSET('VVP2'!F363,0,Last_forecast_year - 3-InputY!$G$3)</f>
        <v>100</v>
      </c>
      <c r="D154" s="24">
        <f ca="1">OFFSET('VVP2'!G363,0,Last_forecast_year - 3-InputY!$G$3)</f>
        <v>100.678333333333</v>
      </c>
      <c r="E154" s="24">
        <f ca="1">OFFSET('VVP2'!H363,0,Last_forecast_year - 3-InputY!$G$3)</f>
        <v>104.42166666666699</v>
      </c>
      <c r="F154" s="24">
        <f ca="1">OFFSET('VVP2'!I363,0,Last_forecast_year - 3-InputY!$G$3)</f>
        <v>107.35539356801183</v>
      </c>
      <c r="G154" s="24">
        <f ca="1">OFFSET('VVP2'!J363,0,Last_forecast_year - 3-InputY!$G$3)</f>
        <v>109.87436434740141</v>
      </c>
      <c r="H154" s="25">
        <v>-9999</v>
      </c>
      <c r="I154" s="25">
        <v>-9999</v>
      </c>
      <c r="J154" s="25">
        <v>-9999</v>
      </c>
      <c r="K154" s="25">
        <v>-9999</v>
      </c>
      <c r="L154" s="25">
        <v>-9999</v>
      </c>
      <c r="M154" s="25">
        <v>-9999</v>
      </c>
      <c r="N154" s="25">
        <v>-9999</v>
      </c>
      <c r="O154" s="25">
        <v>-9999</v>
      </c>
      <c r="P154" s="32"/>
      <c r="Q154"/>
      <c r="AA154" s="22">
        <v>54</v>
      </c>
      <c r="AB154" s="1040" t="str">
        <f t="shared" si="3"/>
        <v>CONSUMER PRICE HARMONIZED INDEX</v>
      </c>
      <c r="AC154" s="1040">
        <f>CHOOSE(Tables!$U$2,Transfer!CA154,Transfer!CN154,Transfer!DA154,Transfer!DN154,Transfer!EA154)</f>
        <v>133.90166669999999</v>
      </c>
      <c r="AD154" s="1040">
        <f>CHOOSE(Tables!$U$2,Transfer!CB154,Transfer!CO154,Transfer!DB154,Transfer!DO154,Transfer!EB154)</f>
        <v>138.1416667</v>
      </c>
      <c r="AE154" s="1040">
        <f>CHOOSE(Tables!$U$2,Transfer!CC154,Transfer!CP154,Transfer!DC154,Transfer!DP154,Transfer!EC154)</f>
        <v>140.04446969338807</v>
      </c>
      <c r="AF154" s="1040">
        <f>CHOOSE(Tables!$U$2,Transfer!CD154,Transfer!CQ154,Transfer!DD154,Transfer!DQ154,Transfer!ED154)</f>
        <v>142.73870721160674</v>
      </c>
      <c r="AG154" s="1040">
        <f>CHOOSE(Tables!$U$2,Transfer!CE154,Transfer!CR154,Transfer!DE154,Transfer!DR154,Transfer!EE154)</f>
        <v>146.11780006304733</v>
      </c>
      <c r="AH154" s="1040">
        <f>CHOOSE(Tables!$U$2,Transfer!CF154,Transfer!CS154,Transfer!DF154,Transfer!DS154,Transfer!EF154)</f>
        <v>-9999</v>
      </c>
      <c r="AI154" s="1040">
        <f>CHOOSE(Tables!$U$2,Transfer!CG154,Transfer!CT154,Transfer!DG154,Transfer!DT154,Transfer!EG154)</f>
        <v>-9999</v>
      </c>
      <c r="AJ154" s="1040">
        <f>CHOOSE(Tables!$U$2,Transfer!CH154,Transfer!CU154,Transfer!DH154,Transfer!DU154,Transfer!EH154)</f>
        <v>-9999</v>
      </c>
      <c r="AK154" s="1040">
        <f>CHOOSE(Tables!$U$2,Transfer!CI154,Transfer!CV154,Transfer!DI154,Transfer!DV154,Transfer!EI154)</f>
        <v>-9999</v>
      </c>
      <c r="AL154" s="1040">
        <f>CHOOSE(Tables!$U$2,Transfer!CJ154,Transfer!CW154,Transfer!DJ154,Transfer!DW154,Transfer!EJ154)</f>
        <v>-9999</v>
      </c>
      <c r="AM154" s="1040">
        <f>CHOOSE(Tables!$U$2,Transfer!CK154,Transfer!CX154,Transfer!DK154,Transfer!DX154,Transfer!EK154)</f>
        <v>-9999</v>
      </c>
      <c r="AN154" s="1040">
        <f>CHOOSE(Tables!$U$2,Transfer!CL154,Transfer!CY154,Transfer!DL154,Transfer!DY154,Transfer!EL154)</f>
        <v>-9999</v>
      </c>
      <c r="AO154" s="1040">
        <f>CHOOSE(Tables!$U$2,Transfer!CM154,Transfer!CZ154,Transfer!DM154,Transfer!DZ154,Transfer!EM154)</f>
        <v>-9999</v>
      </c>
      <c r="AR154" s="22">
        <v>54</v>
      </c>
      <c r="AS154" s="1" t="s">
        <v>598</v>
      </c>
      <c r="AT154" s="24">
        <f t="shared" ca="1" si="6"/>
        <v>-33.901666699999993</v>
      </c>
      <c r="AU154" s="24">
        <f t="shared" ca="1" si="6"/>
        <v>-37.463333366667001</v>
      </c>
      <c r="AV154" s="24">
        <f t="shared" ca="1" si="6"/>
        <v>-35.622803026721073</v>
      </c>
      <c r="AW154" s="24">
        <f t="shared" ca="1" si="6"/>
        <v>-35.383313643594903</v>
      </c>
      <c r="AX154" s="24">
        <f t="shared" ca="1" si="6"/>
        <v>-36.243435715645916</v>
      </c>
      <c r="AY154" s="25">
        <f t="shared" si="6"/>
        <v>0</v>
      </c>
      <c r="AZ154" s="25">
        <f t="shared" si="6"/>
        <v>0</v>
      </c>
      <c r="BA154" s="25">
        <f t="shared" si="6"/>
        <v>0</v>
      </c>
      <c r="BB154" s="25">
        <f t="shared" si="6"/>
        <v>0</v>
      </c>
      <c r="BC154" s="25">
        <f t="shared" si="6"/>
        <v>0</v>
      </c>
      <c r="BD154" s="25">
        <f t="shared" si="6"/>
        <v>0</v>
      </c>
      <c r="BE154" s="25">
        <f t="shared" si="6"/>
        <v>0</v>
      </c>
      <c r="BF154" s="25">
        <f t="shared" si="6"/>
        <v>0</v>
      </c>
      <c r="CA154" s="16">
        <v>139.74666669999999</v>
      </c>
      <c r="CB154" s="16">
        <v>140.07144623472476</v>
      </c>
      <c r="CC154" s="16">
        <v>138.89972760345043</v>
      </c>
      <c r="CD154" s="16">
        <v>139.98595956040705</v>
      </c>
      <c r="CE154" s="16">
        <v>143.06512203544156</v>
      </c>
      <c r="CF154" s="16">
        <v>-9999</v>
      </c>
      <c r="CG154" s="16">
        <v>-9999</v>
      </c>
      <c r="CH154" s="16">
        <v>-9999</v>
      </c>
      <c r="CI154" s="16">
        <v>-9999</v>
      </c>
      <c r="CJ154" s="16">
        <v>-9999</v>
      </c>
      <c r="CK154" s="16">
        <v>-9999</v>
      </c>
      <c r="CL154" s="16">
        <v>-9999</v>
      </c>
      <c r="CM154" s="16">
        <v>-9999</v>
      </c>
      <c r="CN154" s="16">
        <v>138.1416667</v>
      </c>
      <c r="CO154" s="16">
        <v>139.74666669999999</v>
      </c>
      <c r="CP154" s="16">
        <v>140.07144623472476</v>
      </c>
      <c r="CQ154" s="16">
        <v>139.03431374668466</v>
      </c>
      <c r="CR154" s="16">
        <v>141.51183800479819</v>
      </c>
      <c r="CS154" s="16">
        <v>-9999</v>
      </c>
      <c r="CT154" s="16">
        <v>-9999</v>
      </c>
      <c r="CU154" s="16">
        <v>-9999</v>
      </c>
      <c r="CV154" s="16">
        <v>-9999</v>
      </c>
      <c r="CW154" s="16">
        <v>-9999</v>
      </c>
      <c r="CX154" s="16">
        <v>-9999</v>
      </c>
      <c r="CY154" s="16">
        <v>-9999</v>
      </c>
      <c r="CZ154" s="16">
        <v>-9999</v>
      </c>
      <c r="DA154" s="16">
        <v>139.74666669999999</v>
      </c>
      <c r="DB154" s="16">
        <v>140.07144623472476</v>
      </c>
      <c r="DC154" s="16">
        <v>139.55569641280368</v>
      </c>
      <c r="DD154" s="16">
        <v>141.98471107222684</v>
      </c>
      <c r="DE154" s="16">
        <v>144.3976914100941</v>
      </c>
      <c r="DF154" s="16">
        <v>-9999</v>
      </c>
      <c r="DG154" s="16">
        <v>-9999</v>
      </c>
      <c r="DH154" s="16">
        <v>-9999</v>
      </c>
      <c r="DI154" s="16">
        <v>-9999</v>
      </c>
      <c r="DJ154" s="16">
        <v>-9999</v>
      </c>
      <c r="DK154" s="16">
        <v>-9999</v>
      </c>
      <c r="DL154" s="16">
        <v>-9999</v>
      </c>
      <c r="DM154" s="16">
        <v>-9999</v>
      </c>
      <c r="DN154" s="16">
        <v>138.1416667</v>
      </c>
      <c r="DO154" s="16">
        <v>139.74666669999999</v>
      </c>
      <c r="DP154" s="16">
        <v>140.07144623472476</v>
      </c>
      <c r="DQ154" s="16">
        <v>139.51527318196725</v>
      </c>
      <c r="DR154" s="16">
        <v>142.03323129073405</v>
      </c>
      <c r="DS154" s="16">
        <v>-9999</v>
      </c>
      <c r="DT154" s="16">
        <v>-9999</v>
      </c>
      <c r="DU154" s="16">
        <v>-9999</v>
      </c>
      <c r="DV154" s="16">
        <v>-9999</v>
      </c>
      <c r="DW154" s="16">
        <v>-9999</v>
      </c>
      <c r="DX154" s="16">
        <v>-9999</v>
      </c>
      <c r="DY154" s="16">
        <v>-9999</v>
      </c>
      <c r="DZ154" s="16">
        <v>-9999</v>
      </c>
      <c r="EA154" s="2196">
        <v>133.90166669999999</v>
      </c>
      <c r="EB154" s="2196">
        <v>138.1416667</v>
      </c>
      <c r="EC154" s="2196">
        <v>140.04446969338807</v>
      </c>
      <c r="ED154" s="2196">
        <v>142.73870721160674</v>
      </c>
      <c r="EE154" s="2196">
        <v>146.11780006304733</v>
      </c>
      <c r="EF154" s="2197">
        <v>-9999</v>
      </c>
      <c r="EG154" s="2197">
        <v>-9999</v>
      </c>
      <c r="EH154" s="2197">
        <v>-9999</v>
      </c>
      <c r="EI154" s="2197">
        <v>-9999</v>
      </c>
      <c r="EJ154" s="2197">
        <v>-9999</v>
      </c>
      <c r="EK154" s="2197">
        <v>-9999</v>
      </c>
      <c r="EL154" s="2197">
        <v>-9999</v>
      </c>
      <c r="EM154" s="2197">
        <v>-9999</v>
      </c>
    </row>
    <row r="155" spans="1:143">
      <c r="A155" s="22">
        <v>55</v>
      </c>
      <c r="B155" s="1" t="s">
        <v>600</v>
      </c>
      <c r="C155" s="24">
        <f ca="1">OFFSET('VVP2'!F362,0,Last_forecast_year - 3-InputY!$G$3)</f>
        <v>138.53735019739733</v>
      </c>
      <c r="D155" s="24">
        <f ca="1">OFFSET('VVP2'!G362,0,Last_forecast_year - 3-InputY!$G$3)</f>
        <v>139.79183576338338</v>
      </c>
      <c r="E155" s="24">
        <f ca="1">OFFSET('VVP2'!H362,0,Last_forecast_year - 3-InputY!$G$3)</f>
        <v>144.99068628199879</v>
      </c>
      <c r="F155" s="24">
        <f ca="1">OFFSET('VVP2'!I362,0,Last_forecast_year - 3-InputY!$G$3)</f>
        <v>149.06419985794838</v>
      </c>
      <c r="G155" s="24">
        <f ca="1">OFFSET('VVP2'!J362,0,Last_forecast_year - 3-InputY!$G$3)</f>
        <v>152.56181978383856</v>
      </c>
      <c r="H155" s="25">
        <v>-9999</v>
      </c>
      <c r="I155" s="25">
        <v>-9999</v>
      </c>
      <c r="J155" s="25">
        <v>-9999</v>
      </c>
      <c r="K155" s="25">
        <v>-9999</v>
      </c>
      <c r="L155" s="25">
        <v>-9999</v>
      </c>
      <c r="M155" s="25">
        <v>-9999</v>
      </c>
      <c r="N155" s="25">
        <v>-9999</v>
      </c>
      <c r="O155" s="25">
        <v>-9999</v>
      </c>
      <c r="P155" s="32"/>
      <c r="Q155"/>
      <c r="AA155" s="22">
        <v>55</v>
      </c>
      <c r="AB155" s="1040" t="str">
        <f t="shared" si="3"/>
        <v>CONSUMER PRICE GENERAL INDEX</v>
      </c>
      <c r="AC155" s="1040">
        <f>CHOOSE(Tables!$U$2,Transfer!CA155,Transfer!CN155,Transfer!DA155,Transfer!DN155,Transfer!EA155)</f>
        <v>134.08896099481768</v>
      </c>
      <c r="AD155" s="1040">
        <f>CHOOSE(Tables!$U$2,Transfer!CB155,Transfer!CO155,Transfer!DB155,Transfer!DO155,Transfer!EB155)</f>
        <v>138.24571878565703</v>
      </c>
      <c r="AE155" s="1040">
        <f>CHOOSE(Tables!$U$2,Transfer!CC155,Transfer!CP155,Transfer!DC155,Transfer!DP155,Transfer!EC155)</f>
        <v>140.1499550223582</v>
      </c>
      <c r="AF155" s="1040">
        <f>CHOOSE(Tables!$U$2,Transfer!CD155,Transfer!CQ155,Transfer!DD155,Transfer!DQ155,Transfer!ED155)</f>
        <v>142.84622191404341</v>
      </c>
      <c r="AG155" s="1040">
        <f>CHOOSE(Tables!$U$2,Transfer!CE155,Transfer!CR155,Transfer!DE155,Transfer!DR155,Transfer!EE155)</f>
        <v>146.22785999073878</v>
      </c>
      <c r="AH155" s="1040">
        <f>CHOOSE(Tables!$U$2,Transfer!CF155,Transfer!CS155,Transfer!DF155,Transfer!DS155,Transfer!EF155)</f>
        <v>-9999</v>
      </c>
      <c r="AI155" s="1040">
        <f>CHOOSE(Tables!$U$2,Transfer!CG155,Transfer!CT155,Transfer!DG155,Transfer!DT155,Transfer!EG155)</f>
        <v>-9999</v>
      </c>
      <c r="AJ155" s="1040">
        <f>CHOOSE(Tables!$U$2,Transfer!CH155,Transfer!CU155,Transfer!DH155,Transfer!DU155,Transfer!EH155)</f>
        <v>-9999</v>
      </c>
      <c r="AK155" s="1040">
        <f>CHOOSE(Tables!$U$2,Transfer!CI155,Transfer!CV155,Transfer!DI155,Transfer!DV155,Transfer!EI155)</f>
        <v>-9999</v>
      </c>
      <c r="AL155" s="1040">
        <f>CHOOSE(Tables!$U$2,Transfer!CJ155,Transfer!CW155,Transfer!DJ155,Transfer!DW155,Transfer!EJ155)</f>
        <v>-9999</v>
      </c>
      <c r="AM155" s="1040">
        <f>CHOOSE(Tables!$U$2,Transfer!CK155,Transfer!CX155,Transfer!DK155,Transfer!DX155,Transfer!EK155)</f>
        <v>-9999</v>
      </c>
      <c r="AN155" s="1040">
        <f>CHOOSE(Tables!$U$2,Transfer!CL155,Transfer!CY155,Transfer!DL155,Transfer!DY155,Transfer!EL155)</f>
        <v>-9999</v>
      </c>
      <c r="AO155" s="1040">
        <f>CHOOSE(Tables!$U$2,Transfer!CM155,Transfer!CZ155,Transfer!DM155,Transfer!DZ155,Transfer!EM155)</f>
        <v>-9999</v>
      </c>
      <c r="AR155" s="22">
        <v>55</v>
      </c>
      <c r="AS155" s="1" t="s">
        <v>600</v>
      </c>
      <c r="AT155" s="24">
        <f t="shared" ca="1" si="6"/>
        <v>4.4483892025796479</v>
      </c>
      <c r="AU155" s="24">
        <f t="shared" ca="1" si="6"/>
        <v>1.5461169777263422</v>
      </c>
      <c r="AV155" s="24">
        <f t="shared" ca="1" si="6"/>
        <v>4.8407312596405916</v>
      </c>
      <c r="AW155" s="24">
        <f t="shared" ca="1" si="6"/>
        <v>6.2179779439049696</v>
      </c>
      <c r="AX155" s="24">
        <f t="shared" ca="1" si="6"/>
        <v>6.3339597930997797</v>
      </c>
      <c r="AY155" s="25">
        <f t="shared" si="6"/>
        <v>0</v>
      </c>
      <c r="AZ155" s="25">
        <f t="shared" si="6"/>
        <v>0</v>
      </c>
      <c r="BA155" s="25">
        <f t="shared" si="6"/>
        <v>0</v>
      </c>
      <c r="BB155" s="25">
        <f t="shared" si="6"/>
        <v>0</v>
      </c>
      <c r="BC155" s="25">
        <f t="shared" si="6"/>
        <v>0</v>
      </c>
      <c r="BD155" s="25">
        <f t="shared" si="6"/>
        <v>0</v>
      </c>
      <c r="BE155" s="25">
        <f t="shared" si="6"/>
        <v>0</v>
      </c>
      <c r="BF155" s="25">
        <f t="shared" si="6"/>
        <v>0</v>
      </c>
      <c r="CA155" s="16">
        <v>139.6281759634702</v>
      </c>
      <c r="CB155" s="16">
        <v>139.95268011870155</v>
      </c>
      <c r="CC155" s="16">
        <v>138.7819549837796</v>
      </c>
      <c r="CD155" s="16">
        <v>139.86726592825227</v>
      </c>
      <c r="CE155" s="16">
        <v>142.94381759160748</v>
      </c>
      <c r="CF155" s="16">
        <v>-9999</v>
      </c>
      <c r="CG155" s="16">
        <v>-9999</v>
      </c>
      <c r="CH155" s="16">
        <v>-9999</v>
      </c>
      <c r="CI155" s="16">
        <v>-9999</v>
      </c>
      <c r="CJ155" s="16">
        <v>-9999</v>
      </c>
      <c r="CK155" s="16">
        <v>-9999</v>
      </c>
      <c r="CL155" s="16">
        <v>-9999</v>
      </c>
      <c r="CM155" s="16">
        <v>-9999</v>
      </c>
      <c r="CN155" s="16">
        <v>138.24571877571375</v>
      </c>
      <c r="CO155" s="16">
        <v>139.6281759634702</v>
      </c>
      <c r="CP155" s="16">
        <v>139.95268011870155</v>
      </c>
      <c r="CQ155" s="16">
        <v>138.91642701186808</v>
      </c>
      <c r="CR155" s="16">
        <v>141.39185058535674</v>
      </c>
      <c r="CS155" s="16">
        <v>-9999</v>
      </c>
      <c r="CT155" s="16">
        <v>-9999</v>
      </c>
      <c r="CU155" s="16">
        <v>-9999</v>
      </c>
      <c r="CV155" s="16">
        <v>-9999</v>
      </c>
      <c r="CW155" s="16">
        <v>-9999</v>
      </c>
      <c r="CX155" s="16">
        <v>-9999</v>
      </c>
      <c r="CY155" s="16">
        <v>-9999</v>
      </c>
      <c r="CZ155" s="16">
        <v>-9999</v>
      </c>
      <c r="DA155" s="16">
        <v>139.6281759634702</v>
      </c>
      <c r="DB155" s="16">
        <v>139.95268011870155</v>
      </c>
      <c r="DC155" s="16">
        <v>139.43736759934882</v>
      </c>
      <c r="DD155" s="16">
        <v>141.86432270527541</v>
      </c>
      <c r="DE155" s="16">
        <v>144.27525708509432</v>
      </c>
      <c r="DF155" s="16">
        <v>-9999</v>
      </c>
      <c r="DG155" s="16">
        <v>-9999</v>
      </c>
      <c r="DH155" s="16">
        <v>-9999</v>
      </c>
      <c r="DI155" s="16">
        <v>-9999</v>
      </c>
      <c r="DJ155" s="16">
        <v>-9999</v>
      </c>
      <c r="DK155" s="16">
        <v>-9999</v>
      </c>
      <c r="DL155" s="16">
        <v>-9999</v>
      </c>
      <c r="DM155" s="16">
        <v>-9999</v>
      </c>
      <c r="DN155" s="16">
        <v>138.24571877571375</v>
      </c>
      <c r="DO155" s="16">
        <v>139.6281759634702</v>
      </c>
      <c r="DP155" s="16">
        <v>139.95268011870155</v>
      </c>
      <c r="DQ155" s="16">
        <v>139.39697864323611</v>
      </c>
      <c r="DR155" s="16">
        <v>141.9128017836498</v>
      </c>
      <c r="DS155" s="16">
        <v>-9999</v>
      </c>
      <c r="DT155" s="16">
        <v>-9999</v>
      </c>
      <c r="DU155" s="16">
        <v>-9999</v>
      </c>
      <c r="DV155" s="16">
        <v>-9999</v>
      </c>
      <c r="DW155" s="16">
        <v>-9999</v>
      </c>
      <c r="DX155" s="16">
        <v>-9999</v>
      </c>
      <c r="DY155" s="16">
        <v>-9999</v>
      </c>
      <c r="DZ155" s="16">
        <v>-9999</v>
      </c>
      <c r="EA155" s="2196">
        <v>134.08896099481768</v>
      </c>
      <c r="EB155" s="2196">
        <v>138.24571878565703</v>
      </c>
      <c r="EC155" s="2196">
        <v>140.1499550223582</v>
      </c>
      <c r="ED155" s="2196">
        <v>142.84622191404341</v>
      </c>
      <c r="EE155" s="2196">
        <v>146.22785999073878</v>
      </c>
      <c r="EF155" s="2197">
        <v>-9999</v>
      </c>
      <c r="EG155" s="2197">
        <v>-9999</v>
      </c>
      <c r="EH155" s="2197">
        <v>-9999</v>
      </c>
      <c r="EI155" s="2197">
        <v>-9999</v>
      </c>
      <c r="EJ155" s="2197">
        <v>-9999</v>
      </c>
      <c r="EK155" s="2197">
        <v>-9999</v>
      </c>
      <c r="EL155" s="2197">
        <v>-9999</v>
      </c>
      <c r="EM155" s="2197">
        <v>-9999</v>
      </c>
    </row>
    <row r="156" spans="1:143">
      <c r="A156" s="22">
        <v>56</v>
      </c>
      <c r="B156" s="30" t="s">
        <v>1705</v>
      </c>
      <c r="C156" s="25">
        <v>-9999</v>
      </c>
      <c r="D156" s="25">
        <v>-9999</v>
      </c>
      <c r="E156" s="25">
        <v>-9999</v>
      </c>
      <c r="F156" s="25">
        <v>-9999</v>
      </c>
      <c r="G156" s="25">
        <v>-9999</v>
      </c>
      <c r="H156" s="25">
        <v>-9999</v>
      </c>
      <c r="I156" s="25">
        <v>-9999</v>
      </c>
      <c r="J156" s="25">
        <v>-9999</v>
      </c>
      <c r="K156" s="25">
        <v>-9999</v>
      </c>
      <c r="L156" s="25">
        <v>-9999</v>
      </c>
      <c r="M156" s="25">
        <v>-9999</v>
      </c>
      <c r="N156" s="25">
        <v>-9999</v>
      </c>
      <c r="O156" s="25">
        <v>-9999</v>
      </c>
      <c r="P156" s="32"/>
      <c r="Q156"/>
      <c r="AA156" s="22">
        <v>56</v>
      </c>
      <c r="AB156" s="1040" t="str">
        <f t="shared" si="3"/>
        <v>FOR FUTURE USE</v>
      </c>
      <c r="AC156" s="1040">
        <f>CHOOSE(Tables!$U$2,Transfer!CA156,Transfer!CN156,Transfer!DA156,Transfer!DN156,Transfer!EA156)</f>
        <v>-9999</v>
      </c>
      <c r="AD156" s="1040">
        <f>CHOOSE(Tables!$U$2,Transfer!CB156,Transfer!CO156,Transfer!DB156,Transfer!DO156,Transfer!EB156)</f>
        <v>-9999</v>
      </c>
      <c r="AE156" s="1040">
        <f>CHOOSE(Tables!$U$2,Transfer!CC156,Transfer!CP156,Transfer!DC156,Transfer!DP156,Transfer!EC156)</f>
        <v>-9999</v>
      </c>
      <c r="AF156" s="1040">
        <f>CHOOSE(Tables!$U$2,Transfer!CD156,Transfer!CQ156,Transfer!DD156,Transfer!DQ156,Transfer!ED156)</f>
        <v>-9999</v>
      </c>
      <c r="AG156" s="1040">
        <f>CHOOSE(Tables!$U$2,Transfer!CE156,Transfer!CR156,Transfer!DE156,Transfer!DR156,Transfer!EE156)</f>
        <v>-9999</v>
      </c>
      <c r="AH156" s="1040">
        <f>CHOOSE(Tables!$U$2,Transfer!CF156,Transfer!CS156,Transfer!DF156,Transfer!DS156,Transfer!EF156)</f>
        <v>-9999</v>
      </c>
      <c r="AI156" s="1040">
        <f>CHOOSE(Tables!$U$2,Transfer!CG156,Transfer!CT156,Transfer!DG156,Transfer!DT156,Transfer!EG156)</f>
        <v>-9999</v>
      </c>
      <c r="AJ156" s="1040">
        <f>CHOOSE(Tables!$U$2,Transfer!CH156,Transfer!CU156,Transfer!DH156,Transfer!DU156,Transfer!EH156)</f>
        <v>-9999</v>
      </c>
      <c r="AK156" s="1040">
        <f>CHOOSE(Tables!$U$2,Transfer!CI156,Transfer!CV156,Transfer!DI156,Transfer!DV156,Transfer!EI156)</f>
        <v>-9999</v>
      </c>
      <c r="AL156" s="1040">
        <f>CHOOSE(Tables!$U$2,Transfer!CJ156,Transfer!CW156,Transfer!DJ156,Transfer!DW156,Transfer!EJ156)</f>
        <v>-9999</v>
      </c>
      <c r="AM156" s="1040">
        <f>CHOOSE(Tables!$U$2,Transfer!CK156,Transfer!CX156,Transfer!DK156,Transfer!DX156,Transfer!EK156)</f>
        <v>-9999</v>
      </c>
      <c r="AN156" s="1040">
        <f>CHOOSE(Tables!$U$2,Transfer!CL156,Transfer!CY156,Transfer!DL156,Transfer!DY156,Transfer!EL156)</f>
        <v>-9999</v>
      </c>
      <c r="AO156" s="1040">
        <f>CHOOSE(Tables!$U$2,Transfer!CM156,Transfer!CZ156,Transfer!DM156,Transfer!DZ156,Transfer!EM156)</f>
        <v>-9999</v>
      </c>
      <c r="AR156" s="22">
        <v>56</v>
      </c>
      <c r="AS156" s="30" t="s">
        <v>1705</v>
      </c>
      <c r="AT156" s="25">
        <f t="shared" si="6"/>
        <v>0</v>
      </c>
      <c r="AU156" s="25">
        <f t="shared" si="6"/>
        <v>0</v>
      </c>
      <c r="AV156" s="25">
        <f t="shared" si="6"/>
        <v>0</v>
      </c>
      <c r="AW156" s="25">
        <f t="shared" si="6"/>
        <v>0</v>
      </c>
      <c r="AX156" s="25">
        <f t="shared" si="6"/>
        <v>0</v>
      </c>
      <c r="AY156" s="25">
        <f t="shared" si="6"/>
        <v>0</v>
      </c>
      <c r="AZ156" s="25">
        <f t="shared" si="6"/>
        <v>0</v>
      </c>
      <c r="BA156" s="25">
        <f t="shared" si="6"/>
        <v>0</v>
      </c>
      <c r="BB156" s="25">
        <f t="shared" si="6"/>
        <v>0</v>
      </c>
      <c r="BC156" s="25">
        <f t="shared" si="6"/>
        <v>0</v>
      </c>
      <c r="BD156" s="25">
        <f t="shared" si="6"/>
        <v>0</v>
      </c>
      <c r="BE156" s="25">
        <f t="shared" si="6"/>
        <v>0</v>
      </c>
      <c r="BF156" s="25">
        <f t="shared" si="6"/>
        <v>0</v>
      </c>
      <c r="CA156" s="16">
        <v>-9999</v>
      </c>
      <c r="CB156" s="16">
        <v>-9999</v>
      </c>
      <c r="CC156" s="16">
        <v>-9999</v>
      </c>
      <c r="CD156" s="16">
        <v>-9999</v>
      </c>
      <c r="CE156" s="16">
        <v>-9999</v>
      </c>
      <c r="CF156" s="16">
        <v>-9999</v>
      </c>
      <c r="CG156" s="16">
        <v>-9999</v>
      </c>
      <c r="CH156" s="16">
        <v>-9999</v>
      </c>
      <c r="CI156" s="16">
        <v>-9999</v>
      </c>
      <c r="CJ156" s="16">
        <v>-9999</v>
      </c>
      <c r="CK156" s="16">
        <v>-9999</v>
      </c>
      <c r="CL156" s="16">
        <v>-9999</v>
      </c>
      <c r="CM156" s="16">
        <v>-9999</v>
      </c>
      <c r="CN156" s="16">
        <v>-9999</v>
      </c>
      <c r="CO156" s="16">
        <v>-9999</v>
      </c>
      <c r="CP156" s="16">
        <v>-9999</v>
      </c>
      <c r="CQ156" s="16">
        <v>-9999</v>
      </c>
      <c r="CR156" s="16">
        <v>-9999</v>
      </c>
      <c r="CS156" s="16">
        <v>-9999</v>
      </c>
      <c r="CT156" s="16">
        <v>-9999</v>
      </c>
      <c r="CU156" s="16">
        <v>-9999</v>
      </c>
      <c r="CV156" s="16">
        <v>-9999</v>
      </c>
      <c r="CW156" s="16">
        <v>-9999</v>
      </c>
      <c r="CX156" s="16">
        <v>-9999</v>
      </c>
      <c r="CY156" s="16">
        <v>-9999</v>
      </c>
      <c r="CZ156" s="16">
        <v>-9999</v>
      </c>
      <c r="DA156" s="16">
        <v>-9999</v>
      </c>
      <c r="DB156" s="16">
        <v>-9999</v>
      </c>
      <c r="DC156" s="16">
        <v>-9999</v>
      </c>
      <c r="DD156" s="16">
        <v>-9999</v>
      </c>
      <c r="DE156" s="16">
        <v>-9999</v>
      </c>
      <c r="DF156" s="16">
        <v>-9999</v>
      </c>
      <c r="DG156" s="16">
        <v>-9999</v>
      </c>
      <c r="DH156" s="16">
        <v>-9999</v>
      </c>
      <c r="DI156" s="16">
        <v>-9999</v>
      </c>
      <c r="DJ156" s="16">
        <v>-9999</v>
      </c>
      <c r="DK156" s="16">
        <v>-9999</v>
      </c>
      <c r="DL156" s="16">
        <v>-9999</v>
      </c>
      <c r="DM156" s="16">
        <v>-9999</v>
      </c>
      <c r="DN156" s="16">
        <v>-9999</v>
      </c>
      <c r="DO156" s="16">
        <v>-9999</v>
      </c>
      <c r="DP156" s="16">
        <v>-9999</v>
      </c>
      <c r="DQ156" s="16">
        <v>-9999</v>
      </c>
      <c r="DR156" s="16">
        <v>-9999</v>
      </c>
      <c r="DS156" s="16">
        <v>-9999</v>
      </c>
      <c r="DT156" s="16">
        <v>-9999</v>
      </c>
      <c r="DU156" s="16">
        <v>-9999</v>
      </c>
      <c r="DV156" s="16">
        <v>-9999</v>
      </c>
      <c r="DW156" s="16">
        <v>-9999</v>
      </c>
      <c r="DX156" s="16">
        <v>-9999</v>
      </c>
      <c r="DY156" s="16">
        <v>-9999</v>
      </c>
      <c r="DZ156" s="16">
        <v>-9999</v>
      </c>
      <c r="EA156" s="2197">
        <v>-9999</v>
      </c>
      <c r="EB156" s="2197">
        <v>-9999</v>
      </c>
      <c r="EC156" s="2197">
        <v>-9999</v>
      </c>
      <c r="ED156" s="2197">
        <v>-9999</v>
      </c>
      <c r="EE156" s="2197">
        <v>-9999</v>
      </c>
      <c r="EF156" s="2197">
        <v>-9999</v>
      </c>
      <c r="EG156" s="2197">
        <v>-9999</v>
      </c>
      <c r="EH156" s="2197">
        <v>-9999</v>
      </c>
      <c r="EI156" s="2197">
        <v>-9999</v>
      </c>
      <c r="EJ156" s="2197">
        <v>-9999</v>
      </c>
      <c r="EK156" s="2197">
        <v>-9999</v>
      </c>
      <c r="EL156" s="2197">
        <v>-9999</v>
      </c>
      <c r="EM156" s="2197">
        <v>-9999</v>
      </c>
    </row>
    <row r="157" spans="1:143">
      <c r="A157" s="22">
        <v>57</v>
      </c>
      <c r="B157" s="1" t="s">
        <v>509</v>
      </c>
      <c r="C157" s="24">
        <f ca="1">OFFSET(Sector1!F88,0,Last_forecast_year - 3-InputY!$G$3)</f>
        <v>33.709150000000001</v>
      </c>
      <c r="D157" s="24">
        <f ca="1">OFFSET(Sector1!G88,0,Last_forecast_year - 3-InputY!$G$3)</f>
        <v>34.789370000000005</v>
      </c>
      <c r="E157" s="24">
        <f ca="1">OFFSET(Sector1!H88,0,Last_forecast_year - 3-InputY!$G$3)</f>
        <v>37.589730000000003</v>
      </c>
      <c r="F157" s="24">
        <f ca="1">OFFSET(Sector1!I88,0,Last_forecast_year - 3-InputY!$G$3)</f>
        <v>39.653234851938059</v>
      </c>
      <c r="G157" s="24">
        <f ca="1">OFFSET(Sector1!J88,0,Last_forecast_year - 3-InputY!$G$3)</f>
        <v>41.851347096832214</v>
      </c>
      <c r="H157" s="25">
        <v>-9999</v>
      </c>
      <c r="I157" s="25">
        <v>-9999</v>
      </c>
      <c r="J157" s="25">
        <v>-9999</v>
      </c>
      <c r="K157" s="25">
        <v>-9999</v>
      </c>
      <c r="L157" s="25">
        <v>-9999</v>
      </c>
      <c r="M157" s="25">
        <v>-9999</v>
      </c>
      <c r="N157" s="25">
        <v>-9999</v>
      </c>
      <c r="O157" s="25">
        <v>-9999</v>
      </c>
      <c r="P157" s="32"/>
      <c r="Q157"/>
      <c r="AA157" s="22">
        <v>57</v>
      </c>
      <c r="AB157" s="1040" t="str">
        <f t="shared" si="3"/>
        <v>VAL GROSS VALUE ADDED</v>
      </c>
      <c r="AC157" s="1040">
        <f>CHOOSE(Tables!$U$2,Transfer!CA157,Transfer!CN157,Transfer!DA157,Transfer!DN157,Transfer!EA157)</f>
        <v>96.066119999999998</v>
      </c>
      <c r="AD157" s="1040">
        <f>CHOOSE(Tables!$U$2,Transfer!CB157,Transfer!CO157,Transfer!DB157,Transfer!DO157,Transfer!EB157)</f>
        <v>102.67786</v>
      </c>
      <c r="AE157" s="1040">
        <f>CHOOSE(Tables!$U$2,Transfer!CC157,Transfer!CP157,Transfer!DC157,Transfer!DP157,Transfer!EC157)</f>
        <v>108.93840853946915</v>
      </c>
      <c r="AF157" s="1040">
        <f>CHOOSE(Tables!$U$2,Transfer!CD157,Transfer!CQ157,Transfer!DD157,Transfer!DQ157,Transfer!ED157)</f>
        <v>115.86928976574127</v>
      </c>
      <c r="AG157" s="1040">
        <f>CHOOSE(Tables!$U$2,Transfer!CE157,Transfer!CR157,Transfer!DE157,Transfer!DR157,Transfer!EE157)</f>
        <v>123.85880512209535</v>
      </c>
      <c r="AH157" s="1040">
        <f>CHOOSE(Tables!$U$2,Transfer!CF157,Transfer!CS157,Transfer!DF157,Transfer!DS157,Transfer!EF157)</f>
        <v>-9999</v>
      </c>
      <c r="AI157" s="1040">
        <f>CHOOSE(Tables!$U$2,Transfer!CG157,Transfer!CT157,Transfer!DG157,Transfer!DT157,Transfer!EG157)</f>
        <v>-9999</v>
      </c>
      <c r="AJ157" s="1040">
        <f>CHOOSE(Tables!$U$2,Transfer!CH157,Transfer!CU157,Transfer!DH157,Transfer!DU157,Transfer!EH157)</f>
        <v>-9999</v>
      </c>
      <c r="AK157" s="1040">
        <f>CHOOSE(Tables!$U$2,Transfer!CI157,Transfer!CV157,Transfer!DI157,Transfer!DV157,Transfer!EI157)</f>
        <v>-9999</v>
      </c>
      <c r="AL157" s="1040">
        <f>CHOOSE(Tables!$U$2,Transfer!CJ157,Transfer!CW157,Transfer!DJ157,Transfer!DW157,Transfer!EJ157)</f>
        <v>-9999</v>
      </c>
      <c r="AM157" s="1040">
        <f>CHOOSE(Tables!$U$2,Transfer!CK157,Transfer!CX157,Transfer!DK157,Transfer!DX157,Transfer!EK157)</f>
        <v>-9999</v>
      </c>
      <c r="AN157" s="1040">
        <f>CHOOSE(Tables!$U$2,Transfer!CL157,Transfer!CY157,Transfer!DL157,Transfer!DY157,Transfer!EL157)</f>
        <v>-9999</v>
      </c>
      <c r="AO157" s="1040">
        <f>CHOOSE(Tables!$U$2,Transfer!CM157,Transfer!CZ157,Transfer!DM157,Transfer!DZ157,Transfer!EM157)</f>
        <v>-9999</v>
      </c>
      <c r="AR157" s="22">
        <v>57</v>
      </c>
      <c r="AS157" s="1" t="s">
        <v>509</v>
      </c>
      <c r="AT157" s="24">
        <f t="shared" ca="1" si="6"/>
        <v>-62.356969999999997</v>
      </c>
      <c r="AU157" s="24">
        <f t="shared" ca="1" si="6"/>
        <v>-67.88848999999999</v>
      </c>
      <c r="AV157" s="24">
        <f t="shared" ca="1" si="6"/>
        <v>-71.348678539469148</v>
      </c>
      <c r="AW157" s="24">
        <f t="shared" ca="1" si="6"/>
        <v>-76.21605491380322</v>
      </c>
      <c r="AX157" s="24">
        <f t="shared" ca="1" si="6"/>
        <v>-82.007458025263134</v>
      </c>
      <c r="AY157" s="25">
        <f t="shared" si="6"/>
        <v>0</v>
      </c>
      <c r="AZ157" s="25">
        <f t="shared" si="6"/>
        <v>0</v>
      </c>
      <c r="BA157" s="25">
        <f t="shared" si="6"/>
        <v>0</v>
      </c>
      <c r="BB157" s="25">
        <f t="shared" si="6"/>
        <v>0</v>
      </c>
      <c r="BC157" s="25">
        <f t="shared" si="6"/>
        <v>0</v>
      </c>
      <c r="BD157" s="25">
        <f t="shared" si="6"/>
        <v>0</v>
      </c>
      <c r="BE157" s="25">
        <f t="shared" si="6"/>
        <v>0</v>
      </c>
      <c r="BF157" s="25">
        <f t="shared" si="6"/>
        <v>0</v>
      </c>
      <c r="CA157" s="16">
        <v>31.653599999999997</v>
      </c>
      <c r="CB157" s="16">
        <v>32.911749999999998</v>
      </c>
      <c r="CC157" s="16">
        <v>33.169664756349668</v>
      </c>
      <c r="CD157" s="16">
        <v>34.417247113236002</v>
      </c>
      <c r="CE157" s="16">
        <v>36.572100978202762</v>
      </c>
      <c r="CF157" s="16">
        <v>-9999</v>
      </c>
      <c r="CG157" s="16">
        <v>-9999</v>
      </c>
      <c r="CH157" s="16">
        <v>-9999</v>
      </c>
      <c r="CI157" s="16">
        <v>-9999</v>
      </c>
      <c r="CJ157" s="16">
        <v>-9999</v>
      </c>
      <c r="CK157" s="16">
        <v>-9999</v>
      </c>
      <c r="CL157" s="16">
        <v>-9999</v>
      </c>
      <c r="CM157" s="16">
        <v>-9999</v>
      </c>
      <c r="CN157" s="16">
        <v>30.132390000000001</v>
      </c>
      <c r="CO157" s="16">
        <v>31.648580000000003</v>
      </c>
      <c r="CP157" s="16">
        <v>33.075923597439619</v>
      </c>
      <c r="CQ157" s="16">
        <v>34.777239925302574</v>
      </c>
      <c r="CR157" s="16">
        <v>36.553311975585643</v>
      </c>
      <c r="CS157" s="16">
        <v>-9999</v>
      </c>
      <c r="CT157" s="16">
        <v>-9999</v>
      </c>
      <c r="CU157" s="16">
        <v>-9999</v>
      </c>
      <c r="CV157" s="16">
        <v>-9999</v>
      </c>
      <c r="CW157" s="16">
        <v>-9999</v>
      </c>
      <c r="CX157" s="16">
        <v>-9999</v>
      </c>
      <c r="CY157" s="16">
        <v>-9999</v>
      </c>
      <c r="CZ157" s="16">
        <v>-9999</v>
      </c>
      <c r="DA157" s="16">
        <v>31.648580000000003</v>
      </c>
      <c r="DB157" s="16">
        <v>32.776330000000002</v>
      </c>
      <c r="DC157" s="16">
        <v>33.619456453489946</v>
      </c>
      <c r="DD157" s="16">
        <v>35.204286720441907</v>
      </c>
      <c r="DE157" s="16">
        <v>37.007628042536084</v>
      </c>
      <c r="DF157" s="16">
        <v>-9999</v>
      </c>
      <c r="DG157" s="16">
        <v>-9999</v>
      </c>
      <c r="DH157" s="16">
        <v>-9999</v>
      </c>
      <c r="DI157" s="16">
        <v>-9999</v>
      </c>
      <c r="DJ157" s="16">
        <v>-9999</v>
      </c>
      <c r="DK157" s="16">
        <v>-9999</v>
      </c>
      <c r="DL157" s="16">
        <v>-9999</v>
      </c>
      <c r="DM157" s="16">
        <v>-9999</v>
      </c>
      <c r="DN157" s="16">
        <v>30.132390000000001</v>
      </c>
      <c r="DO157" s="16">
        <v>31.648580000000003</v>
      </c>
      <c r="DP157" s="16">
        <v>32.694540000000003</v>
      </c>
      <c r="DQ157" s="16">
        <v>34.878802010504721</v>
      </c>
      <c r="DR157" s="16">
        <v>36.629882200184518</v>
      </c>
      <c r="DS157" s="16">
        <v>-9999</v>
      </c>
      <c r="DT157" s="16">
        <v>-9999</v>
      </c>
      <c r="DU157" s="16">
        <v>-9999</v>
      </c>
      <c r="DV157" s="16">
        <v>-9999</v>
      </c>
      <c r="DW157" s="16">
        <v>-9999</v>
      </c>
      <c r="DX157" s="16">
        <v>-9999</v>
      </c>
      <c r="DY157" s="16">
        <v>-9999</v>
      </c>
      <c r="DZ157" s="16">
        <v>-9999</v>
      </c>
      <c r="EA157" s="2196">
        <v>96.066119999999998</v>
      </c>
      <c r="EB157" s="2196">
        <v>102.67786</v>
      </c>
      <c r="EC157" s="2196">
        <v>108.93840853946915</v>
      </c>
      <c r="ED157" s="2196">
        <v>115.86928976574127</v>
      </c>
      <c r="EE157" s="2196">
        <v>123.85880512209535</v>
      </c>
      <c r="EF157" s="2197">
        <v>-9999</v>
      </c>
      <c r="EG157" s="2197">
        <v>-9999</v>
      </c>
      <c r="EH157" s="2197">
        <v>-9999</v>
      </c>
      <c r="EI157" s="2197">
        <v>-9999</v>
      </c>
      <c r="EJ157" s="2197">
        <v>-9999</v>
      </c>
      <c r="EK157" s="2197">
        <v>-9999</v>
      </c>
      <c r="EL157" s="2197">
        <v>-9999</v>
      </c>
      <c r="EM157" s="2197">
        <v>-9999</v>
      </c>
    </row>
    <row r="158" spans="1:143">
      <c r="A158" s="22">
        <v>58</v>
      </c>
      <c r="B158" s="1" t="s">
        <v>510</v>
      </c>
      <c r="C158" s="1344">
        <f ca="1">OFFSET('VVP2'!F179,0,Last_forecast_year - 3-InputY!$G$3)</f>
        <v>33.74049337344055</v>
      </c>
      <c r="D158" s="1344">
        <f ca="1">OFFSET('VVP2'!G179,0,Last_forecast_year - 3-InputY!$G$3)</f>
        <v>34.499586109841616</v>
      </c>
      <c r="E158" s="1344">
        <f ca="1">OFFSET('VVP2'!H179,0,Last_forecast_year - 3-InputY!$G$3)</f>
        <v>36.121428247538752</v>
      </c>
      <c r="F158" s="1344">
        <f ca="1">OFFSET('VVP2'!I179,0,Last_forecast_year - 3-InputY!$G$3)</f>
        <v>38.641359819963441</v>
      </c>
      <c r="G158" s="1344">
        <f ca="1">OFFSET('VVP2'!J179,0,Last_forecast_year - 3-InputY!$G$3)</f>
        <v>40.689019264836176</v>
      </c>
      <c r="H158" s="25">
        <v>-9999</v>
      </c>
      <c r="I158" s="25">
        <v>-9999</v>
      </c>
      <c r="J158" s="25">
        <v>-9999</v>
      </c>
      <c r="K158" s="25">
        <v>-9999</v>
      </c>
      <c r="L158" s="25">
        <v>-9999</v>
      </c>
      <c r="M158" s="25">
        <v>-9999</v>
      </c>
      <c r="N158" s="25">
        <v>-9999</v>
      </c>
      <c r="O158" s="25">
        <v>-9999</v>
      </c>
      <c r="P158" s="32"/>
      <c r="Q158" s="3383"/>
      <c r="R158" s="3383"/>
      <c r="S158" s="3383"/>
      <c r="T158" s="3383"/>
      <c r="AA158" s="22">
        <v>58</v>
      </c>
      <c r="AB158" s="1040" t="str">
        <f t="shared" si="3"/>
        <v>VOL GROSS VALUE ADDED</v>
      </c>
      <c r="AC158" s="1040">
        <f>CHOOSE(Tables!$U$2,Transfer!CA158,Transfer!CN158,Transfer!DA158,Transfer!DN158,Transfer!EA158)</f>
        <v>91.111306459696792</v>
      </c>
      <c r="AD158" s="1040">
        <f>CHOOSE(Tables!$U$2,Transfer!CB158,Transfer!CO158,Transfer!DB158,Transfer!DO158,Transfer!EB158)</f>
        <v>99.581462897096031</v>
      </c>
      <c r="AE158" s="1040">
        <f>CHOOSE(Tables!$U$2,Transfer!CC158,Transfer!CP158,Transfer!DC158,Transfer!DP158,Transfer!EC158)</f>
        <v>106.91582046678285</v>
      </c>
      <c r="AF158" s="1040">
        <f>CHOOSE(Tables!$U$2,Transfer!CD158,Transfer!CQ158,Transfer!DD158,Transfer!DQ158,Transfer!ED158)</f>
        <v>113.09727763882999</v>
      </c>
      <c r="AG158" s="1040">
        <f>CHOOSE(Tables!$U$2,Transfer!CE158,Transfer!CR158,Transfer!DE158,Transfer!DR158,Transfer!EE158)</f>
        <v>120.52064576066944</v>
      </c>
      <c r="AH158" s="1040">
        <f>CHOOSE(Tables!$U$2,Transfer!CF158,Transfer!CS158,Transfer!DF158,Transfer!DS158,Transfer!EF158)</f>
        <v>-9999</v>
      </c>
      <c r="AI158" s="1040">
        <f>CHOOSE(Tables!$U$2,Transfer!CG158,Transfer!CT158,Transfer!DG158,Transfer!DT158,Transfer!EG158)</f>
        <v>-9999</v>
      </c>
      <c r="AJ158" s="1040">
        <f>CHOOSE(Tables!$U$2,Transfer!CH158,Transfer!CU158,Transfer!DH158,Transfer!DU158,Transfer!EH158)</f>
        <v>-9999</v>
      </c>
      <c r="AK158" s="1040">
        <f>CHOOSE(Tables!$U$2,Transfer!CI158,Transfer!CV158,Transfer!DI158,Transfer!DV158,Transfer!EI158)</f>
        <v>-9999</v>
      </c>
      <c r="AL158" s="1040">
        <f>CHOOSE(Tables!$U$2,Transfer!CJ158,Transfer!CW158,Transfer!DJ158,Transfer!DW158,Transfer!EJ158)</f>
        <v>-9999</v>
      </c>
      <c r="AM158" s="1040">
        <f>CHOOSE(Tables!$U$2,Transfer!CK158,Transfer!CX158,Transfer!DK158,Transfer!DX158,Transfer!EK158)</f>
        <v>-9999</v>
      </c>
      <c r="AN158" s="1040">
        <f>CHOOSE(Tables!$U$2,Transfer!CL158,Transfer!CY158,Transfer!DL158,Transfer!DY158,Transfer!EL158)</f>
        <v>-9999</v>
      </c>
      <c r="AO158" s="1040">
        <f>CHOOSE(Tables!$U$2,Transfer!CM158,Transfer!CZ158,Transfer!DM158,Transfer!DZ158,Transfer!EM158)</f>
        <v>-9999</v>
      </c>
      <c r="AR158" s="22">
        <v>58</v>
      </c>
      <c r="AS158" s="1" t="s">
        <v>510</v>
      </c>
      <c r="AT158" s="24">
        <f t="shared" ca="1" si="6"/>
        <v>-57.370813086256241</v>
      </c>
      <c r="AU158" s="24">
        <f t="shared" ca="1" si="6"/>
        <v>-65.081876787254416</v>
      </c>
      <c r="AV158" s="24">
        <f t="shared" ca="1" si="6"/>
        <v>-70.794392219244088</v>
      </c>
      <c r="AW158" s="24">
        <f t="shared" ca="1" si="6"/>
        <v>-74.455917818866553</v>
      </c>
      <c r="AX158" s="24">
        <f t="shared" ca="1" si="6"/>
        <v>-79.831626495833262</v>
      </c>
      <c r="AY158" s="25">
        <f t="shared" si="6"/>
        <v>0</v>
      </c>
      <c r="AZ158" s="25">
        <f t="shared" si="6"/>
        <v>0</v>
      </c>
      <c r="BA158" s="25">
        <f t="shared" si="6"/>
        <v>0</v>
      </c>
      <c r="BB158" s="25">
        <f t="shared" si="6"/>
        <v>0</v>
      </c>
      <c r="BC158" s="25">
        <f t="shared" si="6"/>
        <v>0</v>
      </c>
      <c r="BD158" s="25">
        <f t="shared" si="6"/>
        <v>0</v>
      </c>
      <c r="BE158" s="25">
        <f t="shared" si="6"/>
        <v>0</v>
      </c>
      <c r="BF158" s="25">
        <f t="shared" si="6"/>
        <v>0</v>
      </c>
      <c r="CA158" s="16">
        <v>31.220202381377462</v>
      </c>
      <c r="CB158" s="16">
        <v>32.613492459809393</v>
      </c>
      <c r="CC158" s="16">
        <v>33.267354740399426</v>
      </c>
      <c r="CD158" s="16">
        <v>34.142219491147841</v>
      </c>
      <c r="CE158" s="16">
        <v>35.590827356953945</v>
      </c>
      <c r="CF158" s="16">
        <v>-9999</v>
      </c>
      <c r="CG158" s="16">
        <v>-9999</v>
      </c>
      <c r="CH158" s="16">
        <v>-9999</v>
      </c>
      <c r="CI158" s="16">
        <v>-9999</v>
      </c>
      <c r="CJ158" s="16">
        <v>-9999</v>
      </c>
      <c r="CK158" s="16">
        <v>-9999</v>
      </c>
      <c r="CL158" s="16">
        <v>-9999</v>
      </c>
      <c r="CM158" s="16">
        <v>-9999</v>
      </c>
      <c r="CN158" s="16">
        <v>29.212630002249437</v>
      </c>
      <c r="CO158" s="16">
        <v>31.113819992190464</v>
      </c>
      <c r="CP158" s="16">
        <v>32.455750579097447</v>
      </c>
      <c r="CQ158" s="16">
        <v>34.052713507124636</v>
      </c>
      <c r="CR158" s="16">
        <v>35.909078479180934</v>
      </c>
      <c r="CS158" s="16">
        <v>-9999</v>
      </c>
      <c r="CT158" s="16">
        <v>-9999</v>
      </c>
      <c r="CU158" s="16">
        <v>-9999</v>
      </c>
      <c r="CV158" s="16">
        <v>-9999</v>
      </c>
      <c r="CW158" s="16">
        <v>-9999</v>
      </c>
      <c r="CX158" s="16">
        <v>-9999</v>
      </c>
      <c r="CY158" s="16">
        <v>-9999</v>
      </c>
      <c r="CZ158" s="16">
        <v>-9999</v>
      </c>
      <c r="DA158" s="16">
        <v>31.113819992190464</v>
      </c>
      <c r="DB158" s="16">
        <v>32.582170004727537</v>
      </c>
      <c r="DC158" s="16">
        <v>33.278191663814987</v>
      </c>
      <c r="DD158" s="16">
        <v>34.788249477985381</v>
      </c>
      <c r="DE158" s="16">
        <v>36.462341169498131</v>
      </c>
      <c r="DF158" s="16">
        <v>-9999</v>
      </c>
      <c r="DG158" s="16">
        <v>-9999</v>
      </c>
      <c r="DH158" s="16">
        <v>-9999</v>
      </c>
      <c r="DI158" s="16">
        <v>-9999</v>
      </c>
      <c r="DJ158" s="16">
        <v>-9999</v>
      </c>
      <c r="DK158" s="16">
        <v>-9999</v>
      </c>
      <c r="DL158" s="16">
        <v>-9999</v>
      </c>
      <c r="DM158" s="16">
        <v>-9999</v>
      </c>
      <c r="DN158" s="16">
        <v>29.212630002249437</v>
      </c>
      <c r="DO158" s="16">
        <v>31.113819992190464</v>
      </c>
      <c r="DP158" s="16">
        <v>32.458590859167856</v>
      </c>
      <c r="DQ158" s="16">
        <v>34.078543597743767</v>
      </c>
      <c r="DR158" s="16">
        <v>35.978760931206779</v>
      </c>
      <c r="DS158" s="16">
        <v>-9999</v>
      </c>
      <c r="DT158" s="16">
        <v>-9999</v>
      </c>
      <c r="DU158" s="16">
        <v>-9999</v>
      </c>
      <c r="DV158" s="16">
        <v>-9999</v>
      </c>
      <c r="DW158" s="16">
        <v>-9999</v>
      </c>
      <c r="DX158" s="16">
        <v>-9999</v>
      </c>
      <c r="DY158" s="16">
        <v>-9999</v>
      </c>
      <c r="DZ158" s="16">
        <v>-9999</v>
      </c>
      <c r="EA158" s="2196">
        <v>91.111306459696792</v>
      </c>
      <c r="EB158" s="2196">
        <v>99.581462897096031</v>
      </c>
      <c r="EC158" s="2196">
        <v>106.91582046678285</v>
      </c>
      <c r="ED158" s="2196">
        <v>113.09727763882999</v>
      </c>
      <c r="EE158" s="2196">
        <v>120.52064576066944</v>
      </c>
      <c r="EF158" s="2197">
        <v>-9999</v>
      </c>
      <c r="EG158" s="2197">
        <v>-9999</v>
      </c>
      <c r="EH158" s="2197">
        <v>-9999</v>
      </c>
      <c r="EI158" s="2197">
        <v>-9999</v>
      </c>
      <c r="EJ158" s="2197">
        <v>-9999</v>
      </c>
      <c r="EK158" s="2197">
        <v>-9999</v>
      </c>
      <c r="EL158" s="2197">
        <v>-9999</v>
      </c>
      <c r="EM158" s="2197">
        <v>-9999</v>
      </c>
    </row>
    <row r="159" spans="1:143">
      <c r="A159" s="22">
        <v>59</v>
      </c>
      <c r="B159" s="1" t="s">
        <v>552</v>
      </c>
      <c r="C159" s="20">
        <f ca="1">OFFSET(Labour1!F34,0,Last_forecast_year - 3-InputY!$G$3)</f>
        <v>1334.73</v>
      </c>
      <c r="D159" s="20">
        <f ca="1">OFFSET(Labour1!G34,0,Last_forecast_year - 3-InputY!$G$3)</f>
        <v>1361.21</v>
      </c>
      <c r="E159" s="20">
        <f ca="1">OFFSET(Labour1!H34,0,Last_forecast_year - 3-InputY!$G$3)</f>
        <v>1354.11</v>
      </c>
      <c r="F159" s="20">
        <f ca="1">OFFSET(Labour1!I34,0,Last_forecast_year - 3-InputY!$G$3)</f>
        <v>1346.7528000000002</v>
      </c>
      <c r="G159" s="20">
        <f ca="1">OFFSET(Labour1!J34,0,Last_forecast_year - 3-InputY!$G$3)</f>
        <v>1342.6692803150002</v>
      </c>
      <c r="H159" s="25">
        <v>-9999</v>
      </c>
      <c r="I159" s="25">
        <v>-9999</v>
      </c>
      <c r="J159" s="25">
        <v>-9999</v>
      </c>
      <c r="K159" s="25">
        <v>-9999</v>
      </c>
      <c r="L159" s="25">
        <v>-9999</v>
      </c>
      <c r="M159" s="25">
        <v>-9999</v>
      </c>
      <c r="N159" s="25">
        <v>-9999</v>
      </c>
      <c r="O159" s="25">
        <v>-9999</v>
      </c>
      <c r="P159"/>
      <c r="Q159"/>
      <c r="R159"/>
      <c r="S159"/>
      <c r="T159"/>
      <c r="U159"/>
      <c r="AA159" s="22">
        <v>59</v>
      </c>
      <c r="AB159" s="1040" t="str">
        <f t="shared" si="3"/>
        <v>TOT. EMPLOYMENT PERSONS</v>
      </c>
      <c r="AC159" s="1040">
        <f>CHOOSE(Tables!$U$2,Transfer!CA159,Transfer!CN159,Transfer!DA159,Transfer!DN159,Transfer!EA159)</f>
        <v>1252.7</v>
      </c>
      <c r="AD159" s="1040">
        <f>CHOOSE(Tables!$U$2,Transfer!CB159,Transfer!CO159,Transfer!DB159,Transfer!DO159,Transfer!EB159)</f>
        <v>1274.9000000000001</v>
      </c>
      <c r="AE159" s="1040">
        <f>CHOOSE(Tables!$U$2,Transfer!CC159,Transfer!CP159,Transfer!DC159,Transfer!DP159,Transfer!EC159)</f>
        <v>1294.033016885594</v>
      </c>
      <c r="AF159" s="1040">
        <f>CHOOSE(Tables!$U$2,Transfer!CD159,Transfer!CQ159,Transfer!DD159,Transfer!DQ159,Transfer!ED159)</f>
        <v>1312.7341838591722</v>
      </c>
      <c r="AG159" s="1040">
        <f>CHOOSE(Tables!$U$2,Transfer!CE159,Transfer!CR159,Transfer!DE159,Transfer!DR159,Transfer!EE159)</f>
        <v>1329.0638543846212</v>
      </c>
      <c r="AH159" s="1040">
        <f>CHOOSE(Tables!$U$2,Transfer!CF159,Transfer!CS159,Transfer!DF159,Transfer!DS159,Transfer!EF159)</f>
        <v>-9999</v>
      </c>
      <c r="AI159" s="1040">
        <f>CHOOSE(Tables!$U$2,Transfer!CG159,Transfer!CT159,Transfer!DG159,Transfer!DT159,Transfer!EG159)</f>
        <v>-9999</v>
      </c>
      <c r="AJ159" s="1040">
        <f>CHOOSE(Tables!$U$2,Transfer!CH159,Transfer!CU159,Transfer!DH159,Transfer!DU159,Transfer!EH159)</f>
        <v>-9999</v>
      </c>
      <c r="AK159" s="1040">
        <f>CHOOSE(Tables!$U$2,Transfer!CI159,Transfer!CV159,Transfer!DI159,Transfer!DV159,Transfer!EI159)</f>
        <v>-9999</v>
      </c>
      <c r="AL159" s="1040">
        <f>CHOOSE(Tables!$U$2,Transfer!CJ159,Transfer!CW159,Transfer!DJ159,Transfer!DW159,Transfer!EJ159)</f>
        <v>-9999</v>
      </c>
      <c r="AM159" s="1040">
        <f>CHOOSE(Tables!$U$2,Transfer!CK159,Transfer!CX159,Transfer!DK159,Transfer!DX159,Transfer!EK159)</f>
        <v>-9999</v>
      </c>
      <c r="AN159" s="1040">
        <f>CHOOSE(Tables!$U$2,Transfer!CL159,Transfer!CY159,Transfer!DL159,Transfer!DY159,Transfer!EL159)</f>
        <v>-9999</v>
      </c>
      <c r="AO159" s="1040">
        <f>CHOOSE(Tables!$U$2,Transfer!CM159,Transfer!CZ159,Transfer!DM159,Transfer!DZ159,Transfer!EM159)</f>
        <v>-9999</v>
      </c>
      <c r="AR159" s="22">
        <v>59</v>
      </c>
      <c r="AS159" s="1" t="s">
        <v>552</v>
      </c>
      <c r="AT159" s="20">
        <f t="shared" ca="1" si="6"/>
        <v>82.029999999999973</v>
      </c>
      <c r="AU159" s="20">
        <f t="shared" ca="1" si="6"/>
        <v>86.309999999999945</v>
      </c>
      <c r="AV159" s="20">
        <f t="shared" ca="1" si="6"/>
        <v>60.076983114405948</v>
      </c>
      <c r="AW159" s="20">
        <f t="shared" ca="1" si="6"/>
        <v>34.018616140828044</v>
      </c>
      <c r="AX159" s="20">
        <f t="shared" ca="1" si="6"/>
        <v>13.605425930378942</v>
      </c>
      <c r="AY159" s="25">
        <f t="shared" si="6"/>
        <v>0</v>
      </c>
      <c r="AZ159" s="25">
        <f t="shared" si="6"/>
        <v>0</v>
      </c>
      <c r="BA159" s="25">
        <f t="shared" si="6"/>
        <v>0</v>
      </c>
      <c r="BB159" s="25">
        <f t="shared" si="6"/>
        <v>0</v>
      </c>
      <c r="BC159" s="25">
        <f t="shared" si="6"/>
        <v>0</v>
      </c>
      <c r="BD159" s="25">
        <f t="shared" si="6"/>
        <v>0</v>
      </c>
      <c r="BE159" s="25">
        <f t="shared" si="6"/>
        <v>0</v>
      </c>
      <c r="BF159" s="25">
        <f t="shared" si="6"/>
        <v>0</v>
      </c>
      <c r="CA159" s="16">
        <v>1291.8900000000001</v>
      </c>
      <c r="CB159" s="16">
        <v>1317.81</v>
      </c>
      <c r="CC159" s="16">
        <v>1339.100943055</v>
      </c>
      <c r="CD159" s="16">
        <v>1342.3323826790122</v>
      </c>
      <c r="CE159" s="16">
        <v>1344.2361163439725</v>
      </c>
      <c r="CF159" s="16">
        <v>-9999</v>
      </c>
      <c r="CG159" s="16">
        <v>-9999</v>
      </c>
      <c r="CH159" s="16">
        <v>-9999</v>
      </c>
      <c r="CI159" s="16">
        <v>-9999</v>
      </c>
      <c r="CJ159" s="16">
        <v>-9999</v>
      </c>
      <c r="CK159" s="16">
        <v>-9999</v>
      </c>
      <c r="CL159" s="16">
        <v>-9999</v>
      </c>
      <c r="CM159" s="16">
        <v>-9999</v>
      </c>
      <c r="CN159" s="16">
        <v>1274.9000000000001</v>
      </c>
      <c r="CO159" s="16">
        <v>1291.8900000000001</v>
      </c>
      <c r="CP159" s="16">
        <v>1317.81</v>
      </c>
      <c r="CQ159" s="16">
        <v>1333.3779167949999</v>
      </c>
      <c r="CR159" s="16">
        <v>1349.1904758139124</v>
      </c>
      <c r="CS159" s="16">
        <v>-9999</v>
      </c>
      <c r="CT159" s="16">
        <v>-9999</v>
      </c>
      <c r="CU159" s="16">
        <v>-9999</v>
      </c>
      <c r="CV159" s="16">
        <v>-9999</v>
      </c>
      <c r="CW159" s="16">
        <v>-9999</v>
      </c>
      <c r="CX159" s="16">
        <v>-9999</v>
      </c>
      <c r="CY159" s="16">
        <v>-9999</v>
      </c>
      <c r="CZ159" s="16">
        <v>-9999</v>
      </c>
      <c r="DA159" s="16">
        <v>1291.8900000000001</v>
      </c>
      <c r="DB159" s="16">
        <v>1317.81</v>
      </c>
      <c r="DC159" s="16">
        <v>1333.3779167949999</v>
      </c>
      <c r="DD159" s="16">
        <v>1349.1904758139124</v>
      </c>
      <c r="DE159" s="16">
        <v>1366.8478846656528</v>
      </c>
      <c r="DF159" s="16">
        <v>-9999</v>
      </c>
      <c r="DG159" s="16">
        <v>-9999</v>
      </c>
      <c r="DH159" s="16">
        <v>-9999</v>
      </c>
      <c r="DI159" s="16">
        <v>-9999</v>
      </c>
      <c r="DJ159" s="16">
        <v>-9999</v>
      </c>
      <c r="DK159" s="16">
        <v>-9999</v>
      </c>
      <c r="DL159" s="16">
        <v>-9999</v>
      </c>
      <c r="DM159" s="16">
        <v>-9999</v>
      </c>
      <c r="DN159" s="16">
        <v>1274.9000000000001</v>
      </c>
      <c r="DO159" s="16">
        <v>1291.8900000000001</v>
      </c>
      <c r="DP159" s="16">
        <v>1317.81</v>
      </c>
      <c r="DQ159" s="16">
        <v>1333.3779167949999</v>
      </c>
      <c r="DR159" s="16">
        <v>1349.1904758139124</v>
      </c>
      <c r="DS159" s="16">
        <v>-9999</v>
      </c>
      <c r="DT159" s="16">
        <v>-9999</v>
      </c>
      <c r="DU159" s="16">
        <v>-9999</v>
      </c>
      <c r="DV159" s="16">
        <v>-9999</v>
      </c>
      <c r="DW159" s="16">
        <v>-9999</v>
      </c>
      <c r="DX159" s="16">
        <v>-9999</v>
      </c>
      <c r="DY159" s="16">
        <v>-9999</v>
      </c>
      <c r="DZ159" s="16">
        <v>-9999</v>
      </c>
      <c r="EA159" s="2196">
        <v>1252.7</v>
      </c>
      <c r="EB159" s="2196">
        <v>1274.9000000000001</v>
      </c>
      <c r="EC159" s="2196">
        <v>1294.033016885594</v>
      </c>
      <c r="ED159" s="2196">
        <v>1312.7341838591722</v>
      </c>
      <c r="EE159" s="2196">
        <v>1329.0638543846212</v>
      </c>
      <c r="EF159" s="2197">
        <v>-9999</v>
      </c>
      <c r="EG159" s="2197">
        <v>-9999</v>
      </c>
      <c r="EH159" s="2197">
        <v>-9999</v>
      </c>
      <c r="EI159" s="2197">
        <v>-9999</v>
      </c>
      <c r="EJ159" s="2197">
        <v>-9999</v>
      </c>
      <c r="EK159" s="2197">
        <v>-9999</v>
      </c>
      <c r="EL159" s="2197">
        <v>-9999</v>
      </c>
      <c r="EM159" s="2197">
        <v>-9999</v>
      </c>
    </row>
    <row r="160" spans="1:143">
      <c r="A160" s="22">
        <v>60</v>
      </c>
      <c r="B160" s="31" t="s">
        <v>1961</v>
      </c>
      <c r="C160" s="34">
        <v>-9999</v>
      </c>
      <c r="D160" s="34">
        <v>-9999</v>
      </c>
      <c r="E160" s="34">
        <v>-9999</v>
      </c>
      <c r="F160" s="34">
        <v>-9999</v>
      </c>
      <c r="G160" s="34">
        <v>-9999</v>
      </c>
      <c r="H160" s="25">
        <v>-9999</v>
      </c>
      <c r="I160" s="25">
        <v>-9999</v>
      </c>
      <c r="J160" s="25">
        <v>-9999</v>
      </c>
      <c r="K160" s="25">
        <v>-9999</v>
      </c>
      <c r="L160" s="25">
        <v>-9999</v>
      </c>
      <c r="M160" s="25">
        <v>-9999</v>
      </c>
      <c r="N160" s="25">
        <v>-9999</v>
      </c>
      <c r="O160" s="25">
        <v>-9999</v>
      </c>
      <c r="P160" s="32"/>
      <c r="Q160" s="32"/>
      <c r="R160" s="32"/>
      <c r="S160" s="32"/>
      <c r="T160" s="32"/>
      <c r="U160" s="32"/>
      <c r="AA160" s="22">
        <v>60</v>
      </c>
      <c r="AB160" s="1040" t="str">
        <f t="shared" si="3"/>
        <v>TOT. EMPLOYMENT F.T.E.</v>
      </c>
      <c r="AC160" s="1040">
        <f>CHOOSE(Tables!$U$2,Transfer!CA160,Transfer!CN160,Transfer!DA160,Transfer!DN160,Transfer!EA160)</f>
        <v>-9999</v>
      </c>
      <c r="AD160" s="1040">
        <f>CHOOSE(Tables!$U$2,Transfer!CB160,Transfer!CO160,Transfer!DB160,Transfer!DO160,Transfer!EB160)</f>
        <v>-9999</v>
      </c>
      <c r="AE160" s="1040">
        <f>CHOOSE(Tables!$U$2,Transfer!CC160,Transfer!CP160,Transfer!DC160,Transfer!DP160,Transfer!EC160)</f>
        <v>-9999</v>
      </c>
      <c r="AF160" s="1040">
        <f>CHOOSE(Tables!$U$2,Transfer!CD160,Transfer!CQ160,Transfer!DD160,Transfer!DQ160,Transfer!ED160)</f>
        <v>-9999</v>
      </c>
      <c r="AG160" s="1040">
        <f>CHOOSE(Tables!$U$2,Transfer!CE160,Transfer!CR160,Transfer!DE160,Transfer!DR160,Transfer!EE160)</f>
        <v>-9999</v>
      </c>
      <c r="AH160" s="1040">
        <f>CHOOSE(Tables!$U$2,Transfer!CF160,Transfer!CS160,Transfer!DF160,Transfer!DS160,Transfer!EF160)</f>
        <v>-9999</v>
      </c>
      <c r="AI160" s="1040">
        <f>CHOOSE(Tables!$U$2,Transfer!CG160,Transfer!CT160,Transfer!DG160,Transfer!DT160,Transfer!EG160)</f>
        <v>-9999</v>
      </c>
      <c r="AJ160" s="1040">
        <f>CHOOSE(Tables!$U$2,Transfer!CH160,Transfer!CU160,Transfer!DH160,Transfer!DU160,Transfer!EH160)</f>
        <v>-9999</v>
      </c>
      <c r="AK160" s="1040">
        <f>CHOOSE(Tables!$U$2,Transfer!CI160,Transfer!CV160,Transfer!DI160,Transfer!DV160,Transfer!EI160)</f>
        <v>-9999</v>
      </c>
      <c r="AL160" s="1040">
        <f>CHOOSE(Tables!$U$2,Transfer!CJ160,Transfer!CW160,Transfer!DJ160,Transfer!DW160,Transfer!EJ160)</f>
        <v>-9999</v>
      </c>
      <c r="AM160" s="1040">
        <f>CHOOSE(Tables!$U$2,Transfer!CK160,Transfer!CX160,Transfer!DK160,Transfer!DX160,Transfer!EK160)</f>
        <v>-9999</v>
      </c>
      <c r="AN160" s="1040">
        <f>CHOOSE(Tables!$U$2,Transfer!CL160,Transfer!CY160,Transfer!DL160,Transfer!DY160,Transfer!EL160)</f>
        <v>-9999</v>
      </c>
      <c r="AO160" s="1040">
        <f>CHOOSE(Tables!$U$2,Transfer!CM160,Transfer!CZ160,Transfer!DM160,Transfer!DZ160,Transfer!EM160)</f>
        <v>-9999</v>
      </c>
      <c r="AR160" s="22">
        <v>60</v>
      </c>
      <c r="AS160" s="31" t="s">
        <v>1961</v>
      </c>
      <c r="AT160" s="2068">
        <f t="shared" si="6"/>
        <v>0</v>
      </c>
      <c r="AU160" s="34">
        <f t="shared" si="6"/>
        <v>0</v>
      </c>
      <c r="AV160" s="2068">
        <f t="shared" si="6"/>
        <v>0</v>
      </c>
      <c r="AW160" s="2068">
        <f t="shared" si="6"/>
        <v>0</v>
      </c>
      <c r="AX160" s="2068">
        <f t="shared" si="6"/>
        <v>0</v>
      </c>
      <c r="AY160" s="25">
        <f t="shared" si="6"/>
        <v>0</v>
      </c>
      <c r="AZ160" s="25">
        <f t="shared" si="6"/>
        <v>0</v>
      </c>
      <c r="BA160" s="25">
        <f t="shared" si="6"/>
        <v>0</v>
      </c>
      <c r="BB160" s="25">
        <f t="shared" si="6"/>
        <v>0</v>
      </c>
      <c r="BC160" s="25">
        <f t="shared" si="6"/>
        <v>0</v>
      </c>
      <c r="BD160" s="25">
        <f t="shared" si="6"/>
        <v>0</v>
      </c>
      <c r="BE160" s="25">
        <f t="shared" si="6"/>
        <v>0</v>
      </c>
      <c r="BF160" s="25">
        <f t="shared" si="6"/>
        <v>0</v>
      </c>
      <c r="CA160" s="16">
        <v>-9999</v>
      </c>
      <c r="CB160" s="16">
        <v>-9999</v>
      </c>
      <c r="CC160" s="16">
        <v>-9999</v>
      </c>
      <c r="CD160" s="16">
        <v>-9999</v>
      </c>
      <c r="CE160" s="16">
        <v>-9999</v>
      </c>
      <c r="CF160" s="16">
        <v>-9999</v>
      </c>
      <c r="CG160" s="16">
        <v>-9999</v>
      </c>
      <c r="CH160" s="16">
        <v>-9999</v>
      </c>
      <c r="CI160" s="16">
        <v>-9999</v>
      </c>
      <c r="CJ160" s="16">
        <v>-9999</v>
      </c>
      <c r="CK160" s="16">
        <v>-9999</v>
      </c>
      <c r="CL160" s="16">
        <v>-9999</v>
      </c>
      <c r="CM160" s="16">
        <v>-9999</v>
      </c>
      <c r="CN160" s="16">
        <v>-9999</v>
      </c>
      <c r="CO160" s="16">
        <v>-9999</v>
      </c>
      <c r="CP160" s="16">
        <v>-9999</v>
      </c>
      <c r="CQ160" s="16">
        <v>-9999</v>
      </c>
      <c r="CR160" s="16">
        <v>-9999</v>
      </c>
      <c r="CS160" s="16">
        <v>-9999</v>
      </c>
      <c r="CT160" s="16">
        <v>-9999</v>
      </c>
      <c r="CU160" s="16">
        <v>-9999</v>
      </c>
      <c r="CV160" s="16">
        <v>-9999</v>
      </c>
      <c r="CW160" s="16">
        <v>-9999</v>
      </c>
      <c r="CX160" s="16">
        <v>-9999</v>
      </c>
      <c r="CY160" s="16">
        <v>-9999</v>
      </c>
      <c r="CZ160" s="16">
        <v>-9999</v>
      </c>
      <c r="DA160" s="16">
        <v>-9999</v>
      </c>
      <c r="DB160" s="16">
        <v>-9999</v>
      </c>
      <c r="DC160" s="16">
        <v>-9999</v>
      </c>
      <c r="DD160" s="16">
        <v>-9999</v>
      </c>
      <c r="DE160" s="16">
        <v>-9999</v>
      </c>
      <c r="DF160" s="16">
        <v>-9999</v>
      </c>
      <c r="DG160" s="16">
        <v>-9999</v>
      </c>
      <c r="DH160" s="16">
        <v>-9999</v>
      </c>
      <c r="DI160" s="16">
        <v>-9999</v>
      </c>
      <c r="DJ160" s="16">
        <v>-9999</v>
      </c>
      <c r="DK160" s="16">
        <v>-9999</v>
      </c>
      <c r="DL160" s="16">
        <v>-9999</v>
      </c>
      <c r="DM160" s="16">
        <v>-9999</v>
      </c>
      <c r="DN160" s="16">
        <v>-9999</v>
      </c>
      <c r="DO160" s="16">
        <v>-9999</v>
      </c>
      <c r="DP160" s="16">
        <v>-9999</v>
      </c>
      <c r="DQ160" s="16">
        <v>-9999</v>
      </c>
      <c r="DR160" s="16">
        <v>-9999</v>
      </c>
      <c r="DS160" s="16">
        <v>-9999</v>
      </c>
      <c r="DT160" s="16">
        <v>-9999</v>
      </c>
      <c r="DU160" s="16">
        <v>-9999</v>
      </c>
      <c r="DV160" s="16">
        <v>-9999</v>
      </c>
      <c r="DW160" s="16">
        <v>-9999</v>
      </c>
      <c r="DX160" s="16">
        <v>-9999</v>
      </c>
      <c r="DY160" s="16">
        <v>-9999</v>
      </c>
      <c r="DZ160" s="16">
        <v>-9999</v>
      </c>
      <c r="EA160" s="2197">
        <v>-9999</v>
      </c>
      <c r="EB160" s="2197">
        <v>-9999</v>
      </c>
      <c r="EC160" s="2197">
        <v>-9999</v>
      </c>
      <c r="ED160" s="2197">
        <v>-9999</v>
      </c>
      <c r="EE160" s="2197">
        <v>-9999</v>
      </c>
      <c r="EF160" s="2197">
        <v>-9999</v>
      </c>
      <c r="EG160" s="2197">
        <v>-9999</v>
      </c>
      <c r="EH160" s="2197">
        <v>-9999</v>
      </c>
      <c r="EI160" s="2197">
        <v>-9999</v>
      </c>
      <c r="EJ160" s="2197">
        <v>-9999</v>
      </c>
      <c r="EK160" s="2197">
        <v>-9999</v>
      </c>
      <c r="EL160" s="2197">
        <v>-9999</v>
      </c>
      <c r="EM160" s="2197">
        <v>-9999</v>
      </c>
    </row>
    <row r="161" spans="1:143">
      <c r="A161" s="22">
        <v>61</v>
      </c>
      <c r="B161" s="1" t="s">
        <v>554</v>
      </c>
      <c r="C161" s="24">
        <f ca="1">OFFSET(Labour1!F214,0,Last_forecast_year - 3-InputY!$G$3)</f>
        <v>15.637280000000001</v>
      </c>
      <c r="D161" s="24">
        <f ca="1">OFFSET(Labour1!G214,0,Last_forecast_year - 3-InputY!$G$3)</f>
        <v>16.92906</v>
      </c>
      <c r="E161" s="24">
        <f ca="1">OFFSET(Labour1!H214,0,Last_forecast_year - 3-InputY!$G$3)</f>
        <v>18.449630000000003</v>
      </c>
      <c r="F161" s="24">
        <f ca="1">OFFSET(Labour1!I214,0,Last_forecast_year - 3-InputY!$G$3)</f>
        <v>19.549555182988733</v>
      </c>
      <c r="G161" s="24">
        <f ca="1">OFFSET(Labour1!J214,0,Last_forecast_year - 3-InputY!$G$3)</f>
        <v>20.686003495864497</v>
      </c>
      <c r="H161" s="25">
        <v>-9999</v>
      </c>
      <c r="I161" s="25">
        <v>-9999</v>
      </c>
      <c r="J161" s="25">
        <v>-9999</v>
      </c>
      <c r="K161" s="25">
        <v>-9999</v>
      </c>
      <c r="L161" s="25">
        <v>-9999</v>
      </c>
      <c r="M161" s="25">
        <v>-9999</v>
      </c>
      <c r="N161" s="25">
        <v>-9999</v>
      </c>
      <c r="O161" s="25">
        <v>-9999</v>
      </c>
      <c r="P161"/>
      <c r="Q161"/>
      <c r="R161"/>
      <c r="S161"/>
      <c r="T161"/>
      <c r="U161"/>
      <c r="AA161" s="22">
        <v>61</v>
      </c>
      <c r="AB161" s="1040" t="str">
        <f t="shared" si="3"/>
        <v>TOT. COMPENSATION OF EMPLOYEES</v>
      </c>
      <c r="AC161" s="1040">
        <f>CHOOSE(Tables!$U$2,Transfer!CA161,Transfer!CN161,Transfer!DA161,Transfer!DN161,Transfer!EA161)</f>
        <v>42.421939999999999</v>
      </c>
      <c r="AD161" s="1040">
        <f>CHOOSE(Tables!$U$2,Transfer!CB161,Transfer!CO161,Transfer!DB161,Transfer!DO161,Transfer!EB161)</f>
        <v>44.567869999999999</v>
      </c>
      <c r="AE161" s="1040">
        <f>CHOOSE(Tables!$U$2,Transfer!CC161,Transfer!CP161,Transfer!DC161,Transfer!DP161,Transfer!EC161)</f>
        <v>47.343227412261797</v>
      </c>
      <c r="AF161" s="1040">
        <f>CHOOSE(Tables!$U$2,Transfer!CD161,Transfer!CQ161,Transfer!DD161,Transfer!DQ161,Transfer!ED161)</f>
        <v>49.983635120116261</v>
      </c>
      <c r="AG161" s="1040">
        <f>CHOOSE(Tables!$U$2,Transfer!CE161,Transfer!CR161,Transfer!DE161,Transfer!DR161,Transfer!EE161)</f>
        <v>52.994953639946218</v>
      </c>
      <c r="AH161" s="1040">
        <f>CHOOSE(Tables!$U$2,Transfer!CF161,Transfer!CS161,Transfer!DF161,Transfer!DS161,Transfer!EF161)</f>
        <v>-9999</v>
      </c>
      <c r="AI161" s="1040">
        <f>CHOOSE(Tables!$U$2,Transfer!CG161,Transfer!CT161,Transfer!DG161,Transfer!DT161,Transfer!EG161)</f>
        <v>-9999</v>
      </c>
      <c r="AJ161" s="1040">
        <f>CHOOSE(Tables!$U$2,Transfer!CH161,Transfer!CU161,Transfer!DH161,Transfer!DU161,Transfer!EH161)</f>
        <v>-9999</v>
      </c>
      <c r="AK161" s="1040">
        <f>CHOOSE(Tables!$U$2,Transfer!CI161,Transfer!CV161,Transfer!DI161,Transfer!DV161,Transfer!EI161)</f>
        <v>-9999</v>
      </c>
      <c r="AL161" s="1040">
        <f>CHOOSE(Tables!$U$2,Transfer!CJ161,Transfer!CW161,Transfer!DJ161,Transfer!DW161,Transfer!EJ161)</f>
        <v>-9999</v>
      </c>
      <c r="AM161" s="1040">
        <f>CHOOSE(Tables!$U$2,Transfer!CK161,Transfer!CX161,Transfer!DK161,Transfer!DX161,Transfer!EK161)</f>
        <v>-9999</v>
      </c>
      <c r="AN161" s="1040">
        <f>CHOOSE(Tables!$U$2,Transfer!CL161,Transfer!CY161,Transfer!DL161,Transfer!DY161,Transfer!EL161)</f>
        <v>-9999</v>
      </c>
      <c r="AO161" s="1040">
        <f>CHOOSE(Tables!$U$2,Transfer!CM161,Transfer!CZ161,Transfer!DM161,Transfer!DZ161,Transfer!EM161)</f>
        <v>-9999</v>
      </c>
      <c r="AR161" s="22">
        <v>61</v>
      </c>
      <c r="AS161" s="1" t="s">
        <v>554</v>
      </c>
      <c r="AT161" s="24">
        <f t="shared" ca="1" si="6"/>
        <v>-26.784659999999999</v>
      </c>
      <c r="AU161" s="24">
        <f t="shared" ca="1" si="6"/>
        <v>-27.638809999999999</v>
      </c>
      <c r="AV161" s="24">
        <f t="shared" ca="1" si="6"/>
        <v>-28.893597412261794</v>
      </c>
      <c r="AW161" s="24">
        <f t="shared" ca="1" si="6"/>
        <v>-30.434079937127528</v>
      </c>
      <c r="AX161" s="24">
        <f t="shared" ca="1" si="6"/>
        <v>-32.30895014408172</v>
      </c>
      <c r="AY161" s="25">
        <f t="shared" si="6"/>
        <v>0</v>
      </c>
      <c r="AZ161" s="25">
        <f t="shared" si="6"/>
        <v>0</v>
      </c>
      <c r="BA161" s="25">
        <f t="shared" si="6"/>
        <v>0</v>
      </c>
      <c r="BB161" s="25">
        <f t="shared" si="6"/>
        <v>0</v>
      </c>
      <c r="BC161" s="25">
        <f t="shared" si="6"/>
        <v>0</v>
      </c>
      <c r="BD161" s="25">
        <f t="shared" si="6"/>
        <v>0</v>
      </c>
      <c r="BE161" s="25">
        <f t="shared" si="6"/>
        <v>0</v>
      </c>
      <c r="BF161" s="25">
        <f t="shared" si="6"/>
        <v>0</v>
      </c>
      <c r="CA161" s="16">
        <v>13.742620000000001</v>
      </c>
      <c r="CB161" s="16">
        <v>14.502969999999999</v>
      </c>
      <c r="CC161" s="16">
        <v>15.617326810536685</v>
      </c>
      <c r="CD161" s="16">
        <v>16.441667228218417</v>
      </c>
      <c r="CE161" s="16">
        <v>17.281505186022194</v>
      </c>
      <c r="CF161" s="16">
        <v>-9999</v>
      </c>
      <c r="CG161" s="16">
        <v>-9999</v>
      </c>
      <c r="CH161" s="16">
        <v>-9999</v>
      </c>
      <c r="CI161" s="16">
        <v>-9999</v>
      </c>
      <c r="CJ161" s="16">
        <v>-9999</v>
      </c>
      <c r="CK161" s="16">
        <v>-9999</v>
      </c>
      <c r="CL161" s="16">
        <v>-9999</v>
      </c>
      <c r="CM161" s="16">
        <v>-9999</v>
      </c>
      <c r="CN161" s="16">
        <v>12.97753</v>
      </c>
      <c r="CO161" s="16">
        <v>13.695930000000001</v>
      </c>
      <c r="CP161" s="16">
        <v>14.52643</v>
      </c>
      <c r="CQ161" s="16">
        <v>15.446906093020178</v>
      </c>
      <c r="CR161" s="16">
        <v>16.510098428624598</v>
      </c>
      <c r="CS161" s="16">
        <v>-9999</v>
      </c>
      <c r="CT161" s="16">
        <v>-9999</v>
      </c>
      <c r="CU161" s="16">
        <v>-9999</v>
      </c>
      <c r="CV161" s="16">
        <v>-9999</v>
      </c>
      <c r="CW161" s="16">
        <v>-9999</v>
      </c>
      <c r="CX161" s="16">
        <v>-9999</v>
      </c>
      <c r="CY161" s="16">
        <v>-9999</v>
      </c>
      <c r="CZ161" s="16">
        <v>-9999</v>
      </c>
      <c r="DA161" s="16">
        <v>13.695930000000001</v>
      </c>
      <c r="DB161" s="16">
        <v>14.582930000000001</v>
      </c>
      <c r="DC161" s="16">
        <v>15.404430616551778</v>
      </c>
      <c r="DD161" s="16">
        <v>16.34963625187401</v>
      </c>
      <c r="DE161" s="16">
        <v>17.353571700293148</v>
      </c>
      <c r="DF161" s="16">
        <v>-9999</v>
      </c>
      <c r="DG161" s="16">
        <v>-9999</v>
      </c>
      <c r="DH161" s="16">
        <v>-9999</v>
      </c>
      <c r="DI161" s="16">
        <v>-9999</v>
      </c>
      <c r="DJ161" s="16">
        <v>-9999</v>
      </c>
      <c r="DK161" s="16">
        <v>-9999</v>
      </c>
      <c r="DL161" s="16">
        <v>-9999</v>
      </c>
      <c r="DM161" s="16">
        <v>-9999</v>
      </c>
      <c r="DN161" s="16">
        <v>12.97753</v>
      </c>
      <c r="DO161" s="16">
        <v>13.695930000000001</v>
      </c>
      <c r="DP161" s="16">
        <v>14.52643</v>
      </c>
      <c r="DQ161" s="16">
        <v>15.446815861287732</v>
      </c>
      <c r="DR161" s="16">
        <v>16.509966721334415</v>
      </c>
      <c r="DS161" s="16">
        <v>-9999</v>
      </c>
      <c r="DT161" s="16">
        <v>-9999</v>
      </c>
      <c r="DU161" s="16">
        <v>-9999</v>
      </c>
      <c r="DV161" s="16">
        <v>-9999</v>
      </c>
      <c r="DW161" s="16">
        <v>-9999</v>
      </c>
      <c r="DX161" s="16">
        <v>-9999</v>
      </c>
      <c r="DY161" s="16">
        <v>-9999</v>
      </c>
      <c r="DZ161" s="16">
        <v>-9999</v>
      </c>
      <c r="EA161" s="2196">
        <v>42.421939999999999</v>
      </c>
      <c r="EB161" s="2196">
        <v>44.567869999999999</v>
      </c>
      <c r="EC161" s="2196">
        <v>47.343227412261797</v>
      </c>
      <c r="ED161" s="2196">
        <v>49.983635120116261</v>
      </c>
      <c r="EE161" s="2196">
        <v>52.994953639946218</v>
      </c>
      <c r="EF161" s="2197">
        <v>-9999</v>
      </c>
      <c r="EG161" s="2197">
        <v>-9999</v>
      </c>
      <c r="EH161" s="2197">
        <v>-9999</v>
      </c>
      <c r="EI161" s="2197">
        <v>-9999</v>
      </c>
      <c r="EJ161" s="2197">
        <v>-9999</v>
      </c>
      <c r="EK161" s="2197">
        <v>-9999</v>
      </c>
      <c r="EL161" s="2197">
        <v>-9999</v>
      </c>
      <c r="EM161" s="2197">
        <v>-9999</v>
      </c>
    </row>
    <row r="162" spans="1:143">
      <c r="A162" s="22">
        <v>62</v>
      </c>
      <c r="B162" s="31" t="s">
        <v>555</v>
      </c>
      <c r="C162" s="24">
        <f ca="1">OFFSET(Labour1!F135,0,Last_forecast_year - 3-InputY!$G$3)</f>
        <v>12.308999999999999</v>
      </c>
      <c r="D162" s="24">
        <f ca="1">OFFSET(Labour1!G135,0,Last_forecast_year - 3-InputY!$G$3)</f>
        <v>13.289</v>
      </c>
      <c r="E162" s="24">
        <f ca="1">OFFSET(Labour1!H135,0,Last_forecast_year - 3-InputY!$G$3)</f>
        <v>14.362240126594433</v>
      </c>
      <c r="F162" s="24">
        <f ca="1">OFFSET(Labour1!I135,0,Last_forecast_year - 3-InputY!$G$3)</f>
        <v>15.177575242380211</v>
      </c>
      <c r="G162" s="24">
        <f ca="1">OFFSET(Labour1!J135,0,Last_forecast_year - 3-InputY!$G$3)</f>
        <v>16.047371297764418</v>
      </c>
      <c r="H162" s="25">
        <v>-9999</v>
      </c>
      <c r="I162" s="25">
        <v>-9999</v>
      </c>
      <c r="J162" s="25">
        <v>-9999</v>
      </c>
      <c r="K162" s="25">
        <v>-9999</v>
      </c>
      <c r="L162" s="25">
        <v>-9999</v>
      </c>
      <c r="M162" s="25">
        <v>-9999</v>
      </c>
      <c r="N162" s="25">
        <v>-9999</v>
      </c>
      <c r="O162" s="25">
        <v>-9999</v>
      </c>
      <c r="P162" s="32"/>
      <c r="Q162" s="32"/>
      <c r="R162" s="32"/>
      <c r="S162" s="32"/>
      <c r="T162" s="32"/>
      <c r="U162" s="32"/>
      <c r="AA162" s="22">
        <v>62</v>
      </c>
      <c r="AB162" s="1040" t="str">
        <f t="shared" si="3"/>
        <v>TOT. WAGES AND SALARIES</v>
      </c>
      <c r="AC162" s="1040">
        <f>CHOOSE(Tables!$U$2,Transfer!CA162,Transfer!CN162,Transfer!DA162,Transfer!DN162,Transfer!EA162)</f>
        <v>33.132302000000003</v>
      </c>
      <c r="AD162" s="1040">
        <f>CHOOSE(Tables!$U$2,Transfer!CB162,Transfer!CO162,Transfer!DB162,Transfer!DO162,Transfer!EB162)</f>
        <v>34.402511638439101</v>
      </c>
      <c r="AE162" s="1040">
        <f>CHOOSE(Tables!$U$2,Transfer!CC162,Transfer!CP162,Transfer!DC162,Transfer!DP162,Transfer!EC162)</f>
        <v>36.697653165366233</v>
      </c>
      <c r="AF162" s="1040">
        <f>CHOOSE(Tables!$U$2,Transfer!CD162,Transfer!CQ162,Transfer!DD162,Transfer!DQ162,Transfer!ED162)</f>
        <v>38.923022693005834</v>
      </c>
      <c r="AG162" s="1040">
        <f>CHOOSE(Tables!$U$2,Transfer!CE162,Transfer!CR162,Transfer!DE162,Transfer!DR162,Transfer!EE162)</f>
        <v>41.5280064779325</v>
      </c>
      <c r="AH162" s="1040">
        <f>CHOOSE(Tables!$U$2,Transfer!CF162,Transfer!CS162,Transfer!DF162,Transfer!DS162,Transfer!EF162)</f>
        <v>-9999</v>
      </c>
      <c r="AI162" s="1040">
        <f>CHOOSE(Tables!$U$2,Transfer!CG162,Transfer!CT162,Transfer!DG162,Transfer!DT162,Transfer!EG162)</f>
        <v>-9999</v>
      </c>
      <c r="AJ162" s="1040">
        <f>CHOOSE(Tables!$U$2,Transfer!CH162,Transfer!CU162,Transfer!DH162,Transfer!DU162,Transfer!EH162)</f>
        <v>-9999</v>
      </c>
      <c r="AK162" s="1040">
        <f>CHOOSE(Tables!$U$2,Transfer!CI162,Transfer!CV162,Transfer!DI162,Transfer!DV162,Transfer!EI162)</f>
        <v>-9999</v>
      </c>
      <c r="AL162" s="1040">
        <f>CHOOSE(Tables!$U$2,Transfer!CJ162,Transfer!CW162,Transfer!DJ162,Transfer!DW162,Transfer!EJ162)</f>
        <v>-9999</v>
      </c>
      <c r="AM162" s="1040">
        <f>CHOOSE(Tables!$U$2,Transfer!CK162,Transfer!CX162,Transfer!DK162,Transfer!DX162,Transfer!EK162)</f>
        <v>-9999</v>
      </c>
      <c r="AN162" s="1040">
        <f>CHOOSE(Tables!$U$2,Transfer!CL162,Transfer!CY162,Transfer!DL162,Transfer!DY162,Transfer!EL162)</f>
        <v>-9999</v>
      </c>
      <c r="AO162" s="1040">
        <f>CHOOSE(Tables!$U$2,Transfer!CM162,Transfer!CZ162,Transfer!DM162,Transfer!DZ162,Transfer!EM162)</f>
        <v>-9999</v>
      </c>
      <c r="AR162" s="22">
        <v>62</v>
      </c>
      <c r="AS162" s="31" t="s">
        <v>555</v>
      </c>
      <c r="AT162" s="24">
        <f t="shared" ca="1" si="6"/>
        <v>-20.823302000000005</v>
      </c>
      <c r="AU162" s="24">
        <f t="shared" ca="1" si="6"/>
        <v>-21.1135116384391</v>
      </c>
      <c r="AV162" s="24">
        <f t="shared" ca="1" si="6"/>
        <v>-22.335413038771801</v>
      </c>
      <c r="AW162" s="24">
        <f t="shared" ca="1" si="6"/>
        <v>-23.745447450625623</v>
      </c>
      <c r="AX162" s="24">
        <f t="shared" ca="1" si="6"/>
        <v>-25.480635180168083</v>
      </c>
      <c r="AY162" s="25">
        <f t="shared" si="6"/>
        <v>0</v>
      </c>
      <c r="AZ162" s="25">
        <f t="shared" si="6"/>
        <v>0</v>
      </c>
      <c r="BA162" s="25">
        <f t="shared" si="6"/>
        <v>0</v>
      </c>
      <c r="BB162" s="25">
        <f t="shared" si="6"/>
        <v>0</v>
      </c>
      <c r="BC162" s="25">
        <f t="shared" si="6"/>
        <v>0</v>
      </c>
      <c r="BD162" s="25">
        <f t="shared" si="6"/>
        <v>0</v>
      </c>
      <c r="BE162" s="25">
        <f t="shared" si="6"/>
        <v>0</v>
      </c>
      <c r="BF162" s="25">
        <f t="shared" si="6"/>
        <v>0</v>
      </c>
      <c r="CA162" s="16">
        <v>10.834</v>
      </c>
      <c r="CB162" s="16">
        <v>11.578239602027086</v>
      </c>
      <c r="CC162" s="16">
        <v>12.334108706681047</v>
      </c>
      <c r="CD162" s="16">
        <v>12.985627062735508</v>
      </c>
      <c r="CE162" s="16">
        <v>13.646227924185512</v>
      </c>
      <c r="CF162" s="16">
        <v>-9999</v>
      </c>
      <c r="CG162" s="16">
        <v>-9999</v>
      </c>
      <c r="CH162" s="16">
        <v>-9999</v>
      </c>
      <c r="CI162" s="16">
        <v>-9999</v>
      </c>
      <c r="CJ162" s="16">
        <v>-9999</v>
      </c>
      <c r="CK162" s="16">
        <v>-9999</v>
      </c>
      <c r="CL162" s="16">
        <v>-9999</v>
      </c>
      <c r="CM162" s="16">
        <v>-9999</v>
      </c>
      <c r="CN162" s="16">
        <v>10.258341056533828</v>
      </c>
      <c r="CO162" s="16">
        <v>10.79326923076923</v>
      </c>
      <c r="CP162" s="16">
        <v>11.452660914537013</v>
      </c>
      <c r="CQ162" s="16">
        <v>12.185789130858398</v>
      </c>
      <c r="CR162" s="16">
        <v>13.029462176293947</v>
      </c>
      <c r="CS162" s="16">
        <v>-9999</v>
      </c>
      <c r="CT162" s="16">
        <v>-9999</v>
      </c>
      <c r="CU162" s="16">
        <v>-9999</v>
      </c>
      <c r="CV162" s="16">
        <v>-9999</v>
      </c>
      <c r="CW162" s="16">
        <v>-9999</v>
      </c>
      <c r="CX162" s="16">
        <v>-9999</v>
      </c>
      <c r="CY162" s="16">
        <v>-9999</v>
      </c>
      <c r="CZ162" s="16">
        <v>-9999</v>
      </c>
      <c r="DA162" s="16">
        <v>10.792999999999999</v>
      </c>
      <c r="DB162" s="16">
        <v>11.452373557754067</v>
      </c>
      <c r="DC162" s="16">
        <v>12.151911148964832</v>
      </c>
      <c r="DD162" s="16">
        <v>12.903477844755805</v>
      </c>
      <c r="DE162" s="16">
        <v>13.702059428440391</v>
      </c>
      <c r="DF162" s="16">
        <v>-9999</v>
      </c>
      <c r="DG162" s="16">
        <v>-9999</v>
      </c>
      <c r="DH162" s="16">
        <v>-9999</v>
      </c>
      <c r="DI162" s="16">
        <v>-9999</v>
      </c>
      <c r="DJ162" s="16">
        <v>-9999</v>
      </c>
      <c r="DK162" s="16">
        <v>-9999</v>
      </c>
      <c r="DL162" s="16">
        <v>-9999</v>
      </c>
      <c r="DM162" s="16">
        <v>-9999</v>
      </c>
      <c r="DN162" s="16">
        <v>10.258341056533828</v>
      </c>
      <c r="DO162" s="16">
        <v>10.79326923076923</v>
      </c>
      <c r="DP162" s="16">
        <v>11.452660914537013</v>
      </c>
      <c r="DQ162" s="16">
        <v>12.185789130858398</v>
      </c>
      <c r="DR162" s="16">
        <v>13.029462176293947</v>
      </c>
      <c r="DS162" s="16">
        <v>-9999</v>
      </c>
      <c r="DT162" s="16">
        <v>-9999</v>
      </c>
      <c r="DU162" s="16">
        <v>-9999</v>
      </c>
      <c r="DV162" s="16">
        <v>-9999</v>
      </c>
      <c r="DW162" s="16">
        <v>-9999</v>
      </c>
      <c r="DX162" s="16">
        <v>-9999</v>
      </c>
      <c r="DY162" s="16">
        <v>-9999</v>
      </c>
      <c r="DZ162" s="16">
        <v>-9999</v>
      </c>
      <c r="EA162" s="2196">
        <v>33.132302000000003</v>
      </c>
      <c r="EB162" s="2196">
        <v>34.402511638439101</v>
      </c>
      <c r="EC162" s="2196">
        <v>36.697653165366233</v>
      </c>
      <c r="ED162" s="2196">
        <v>38.923022693005834</v>
      </c>
      <c r="EE162" s="2196">
        <v>41.5280064779325</v>
      </c>
      <c r="EF162" s="2197">
        <v>-9999</v>
      </c>
      <c r="EG162" s="2197">
        <v>-9999</v>
      </c>
      <c r="EH162" s="2197">
        <v>-9999</v>
      </c>
      <c r="EI162" s="2197">
        <v>-9999</v>
      </c>
      <c r="EJ162" s="2197">
        <v>-9999</v>
      </c>
      <c r="EK162" s="2197">
        <v>-9999</v>
      </c>
      <c r="EL162" s="2197">
        <v>-9999</v>
      </c>
      <c r="EM162" s="2197">
        <v>-9999</v>
      </c>
    </row>
    <row r="163" spans="1:143">
      <c r="A163" s="22">
        <v>63</v>
      </c>
      <c r="B163" s="1" t="s">
        <v>556</v>
      </c>
      <c r="C163" s="20">
        <f ca="1">OFFSET(Labour1!F32,0,Last_forecast_year - 3-InputY!$G$3)</f>
        <v>1171</v>
      </c>
      <c r="D163" s="20">
        <f ca="1">OFFSET(Labour1!G32,0,Last_forecast_year - 3-InputY!$G$3)</f>
        <v>1193.3</v>
      </c>
      <c r="E163" s="20">
        <f ca="1">OFFSET(Labour1!H32,0,Last_forecast_year - 3-InputY!$G$3)</f>
        <v>1191.7</v>
      </c>
      <c r="F163" s="20">
        <f ca="1">OFFSET(Labour1!I32,0,Last_forecast_year - 3-InputY!$G$3)</f>
        <v>1185.1548500000004</v>
      </c>
      <c r="G163" s="20">
        <f ca="1">OFFSET(Labour1!J32,0,Last_forecast_year - 3-InputY!$G$3)</f>
        <v>1182.6873098150004</v>
      </c>
      <c r="H163" s="25">
        <v>-9999</v>
      </c>
      <c r="I163" s="25">
        <v>-9999</v>
      </c>
      <c r="J163" s="25">
        <v>-9999</v>
      </c>
      <c r="K163" s="25">
        <v>-9999</v>
      </c>
      <c r="L163" s="25">
        <v>-9999</v>
      </c>
      <c r="M163" s="25">
        <v>-9999</v>
      </c>
      <c r="N163" s="25">
        <v>-9999</v>
      </c>
      <c r="O163" s="25">
        <v>-9999</v>
      </c>
      <c r="P163"/>
      <c r="Q163"/>
      <c r="R163"/>
      <c r="S163"/>
      <c r="T163"/>
      <c r="U163"/>
      <c r="AA163" s="22">
        <v>63</v>
      </c>
      <c r="AB163" s="1040" t="str">
        <f t="shared" si="3"/>
        <v>TOT. WAGE AND SALARY EARNERS PERSONS</v>
      </c>
      <c r="AC163" s="1040">
        <f>CHOOSE(Tables!$U$2,Transfer!CA163,Transfer!CN163,Transfer!DA163,Transfer!DN163,Transfer!EA163)</f>
        <v>1120.02</v>
      </c>
      <c r="AD163" s="1040">
        <f>CHOOSE(Tables!$U$2,Transfer!CB163,Transfer!CO163,Transfer!DB163,Transfer!DO163,Transfer!EB163)</f>
        <v>1133.93</v>
      </c>
      <c r="AE163" s="1040">
        <f>CHOOSE(Tables!$U$2,Transfer!CC163,Transfer!CP163,Transfer!DC163,Transfer!DP163,Transfer!EC163)</f>
        <v>1154.4727168855939</v>
      </c>
      <c r="AF163" s="1040">
        <f>CHOOSE(Tables!$U$2,Transfer!CD163,Transfer!CQ163,Transfer!DD163,Transfer!DQ163,Transfer!ED163)</f>
        <v>1174.5694868591722</v>
      </c>
      <c r="AG163" s="1040">
        <f>CHOOSE(Tables!$U$2,Transfer!CE163,Transfer!CR163,Transfer!DE163,Transfer!DR163,Transfer!EE163)</f>
        <v>1192.2808043546211</v>
      </c>
      <c r="AH163" s="1040">
        <f>CHOOSE(Tables!$U$2,Transfer!CF163,Transfer!CS163,Transfer!DF163,Transfer!DS163,Transfer!EF163)</f>
        <v>-9999</v>
      </c>
      <c r="AI163" s="1040">
        <f>CHOOSE(Tables!$U$2,Transfer!CG163,Transfer!CT163,Transfer!DG163,Transfer!DT163,Transfer!EG163)</f>
        <v>-9999</v>
      </c>
      <c r="AJ163" s="1040">
        <f>CHOOSE(Tables!$U$2,Transfer!CH163,Transfer!CU163,Transfer!DH163,Transfer!DU163,Transfer!EH163)</f>
        <v>-9999</v>
      </c>
      <c r="AK163" s="1040">
        <f>CHOOSE(Tables!$U$2,Transfer!CI163,Transfer!CV163,Transfer!DI163,Transfer!DV163,Transfer!EI163)</f>
        <v>-9999</v>
      </c>
      <c r="AL163" s="1040">
        <f>CHOOSE(Tables!$U$2,Transfer!CJ163,Transfer!CW163,Transfer!DJ163,Transfer!DW163,Transfer!EJ163)</f>
        <v>-9999</v>
      </c>
      <c r="AM163" s="1040">
        <f>CHOOSE(Tables!$U$2,Transfer!CK163,Transfer!CX163,Transfer!DK163,Transfer!DX163,Transfer!EK163)</f>
        <v>-9999</v>
      </c>
      <c r="AN163" s="1040">
        <f>CHOOSE(Tables!$U$2,Transfer!CL163,Transfer!CY163,Transfer!DL163,Transfer!DY163,Transfer!EL163)</f>
        <v>-9999</v>
      </c>
      <c r="AO163" s="1040">
        <f>CHOOSE(Tables!$U$2,Transfer!CM163,Transfer!CZ163,Transfer!DM163,Transfer!DZ163,Transfer!EM163)</f>
        <v>-9999</v>
      </c>
      <c r="AR163" s="22">
        <v>63</v>
      </c>
      <c r="AS163" s="1" t="s">
        <v>556</v>
      </c>
      <c r="AT163" s="20">
        <f t="shared" ca="1" si="6"/>
        <v>50.980000000000018</v>
      </c>
      <c r="AU163" s="20">
        <f t="shared" ca="1" si="6"/>
        <v>59.369999999999891</v>
      </c>
      <c r="AV163" s="20">
        <f t="shared" ca="1" si="6"/>
        <v>37.227283114406191</v>
      </c>
      <c r="AW163" s="20">
        <f t="shared" ca="1" si="6"/>
        <v>10.585363140828122</v>
      </c>
      <c r="AX163" s="20">
        <f t="shared" ca="1" si="6"/>
        <v>-9.5934945396206786</v>
      </c>
      <c r="AY163" s="25">
        <f t="shared" si="6"/>
        <v>0</v>
      </c>
      <c r="AZ163" s="25">
        <f t="shared" si="6"/>
        <v>0</v>
      </c>
      <c r="BA163" s="25">
        <f t="shared" si="6"/>
        <v>0</v>
      </c>
      <c r="BB163" s="25">
        <f t="shared" si="6"/>
        <v>0</v>
      </c>
      <c r="BC163" s="25">
        <f t="shared" si="6"/>
        <v>0</v>
      </c>
      <c r="BD163" s="25">
        <f t="shared" si="6"/>
        <v>0</v>
      </c>
      <c r="BE163" s="25">
        <f t="shared" si="6"/>
        <v>0</v>
      </c>
      <c r="BF163" s="25">
        <f t="shared" si="6"/>
        <v>0</v>
      </c>
      <c r="CA163" s="16">
        <v>1139.8399999999999</v>
      </c>
      <c r="CB163" s="16">
        <v>1158.18</v>
      </c>
      <c r="CC163" s="16">
        <v>1179.4709430550001</v>
      </c>
      <c r="CD163" s="16">
        <v>1182.7023826790123</v>
      </c>
      <c r="CE163" s="16">
        <v>1183.0098163439727</v>
      </c>
      <c r="CF163" s="16">
        <v>-9999</v>
      </c>
      <c r="CG163" s="16">
        <v>-9999</v>
      </c>
      <c r="CH163" s="16">
        <v>-9999</v>
      </c>
      <c r="CI163" s="16">
        <v>-9999</v>
      </c>
      <c r="CJ163" s="16">
        <v>-9999</v>
      </c>
      <c r="CK163" s="16">
        <v>-9999</v>
      </c>
      <c r="CL163" s="16">
        <v>-9999</v>
      </c>
      <c r="CM163" s="16">
        <v>-9999</v>
      </c>
      <c r="CN163" s="16">
        <v>1133.93</v>
      </c>
      <c r="CO163" s="16">
        <v>1139.8399999999999</v>
      </c>
      <c r="CP163" s="16">
        <v>1158.18</v>
      </c>
      <c r="CQ163" s="16">
        <v>1173.747916795</v>
      </c>
      <c r="CR163" s="16">
        <v>1189.5604758139125</v>
      </c>
      <c r="CS163" s="16">
        <v>-9999</v>
      </c>
      <c r="CT163" s="16">
        <v>-9999</v>
      </c>
      <c r="CU163" s="16">
        <v>-9999</v>
      </c>
      <c r="CV163" s="16">
        <v>-9999</v>
      </c>
      <c r="CW163" s="16">
        <v>-9999</v>
      </c>
      <c r="CX163" s="16">
        <v>-9999</v>
      </c>
      <c r="CY163" s="16">
        <v>-9999</v>
      </c>
      <c r="CZ163" s="16">
        <v>-9999</v>
      </c>
      <c r="DA163" s="16">
        <v>1139.8399999999999</v>
      </c>
      <c r="DB163" s="16">
        <v>1158.18</v>
      </c>
      <c r="DC163" s="16">
        <v>1173.747916795</v>
      </c>
      <c r="DD163" s="16">
        <v>1189.5604758139125</v>
      </c>
      <c r="DE163" s="16">
        <v>1205.621584665653</v>
      </c>
      <c r="DF163" s="16">
        <v>-9999</v>
      </c>
      <c r="DG163" s="16">
        <v>-9999</v>
      </c>
      <c r="DH163" s="16">
        <v>-9999</v>
      </c>
      <c r="DI163" s="16">
        <v>-9999</v>
      </c>
      <c r="DJ163" s="16">
        <v>-9999</v>
      </c>
      <c r="DK163" s="16">
        <v>-9999</v>
      </c>
      <c r="DL163" s="16">
        <v>-9999</v>
      </c>
      <c r="DM163" s="16">
        <v>-9999</v>
      </c>
      <c r="DN163" s="16">
        <v>1133.93</v>
      </c>
      <c r="DO163" s="16">
        <v>1139.8399999999999</v>
      </c>
      <c r="DP163" s="16">
        <v>1158.18</v>
      </c>
      <c r="DQ163" s="16">
        <v>1173.747916795</v>
      </c>
      <c r="DR163" s="16">
        <v>1189.5604758139125</v>
      </c>
      <c r="DS163" s="16">
        <v>-9999</v>
      </c>
      <c r="DT163" s="16">
        <v>-9999</v>
      </c>
      <c r="DU163" s="16">
        <v>-9999</v>
      </c>
      <c r="DV163" s="16">
        <v>-9999</v>
      </c>
      <c r="DW163" s="16">
        <v>-9999</v>
      </c>
      <c r="DX163" s="16">
        <v>-9999</v>
      </c>
      <c r="DY163" s="16">
        <v>-9999</v>
      </c>
      <c r="DZ163" s="16">
        <v>-9999</v>
      </c>
      <c r="EA163" s="2196">
        <v>1120.02</v>
      </c>
      <c r="EB163" s="2196">
        <v>1133.93</v>
      </c>
      <c r="EC163" s="2196">
        <v>1154.4727168855939</v>
      </c>
      <c r="ED163" s="2196">
        <v>1174.5694868591722</v>
      </c>
      <c r="EE163" s="2196">
        <v>1192.2808043546211</v>
      </c>
      <c r="EF163" s="2197">
        <v>-9999</v>
      </c>
      <c r="EG163" s="2197">
        <v>-9999</v>
      </c>
      <c r="EH163" s="2197">
        <v>-9999</v>
      </c>
      <c r="EI163" s="2197">
        <v>-9999</v>
      </c>
      <c r="EJ163" s="2197">
        <v>-9999</v>
      </c>
      <c r="EK163" s="2197">
        <v>-9999</v>
      </c>
      <c r="EL163" s="2197">
        <v>-9999</v>
      </c>
      <c r="EM163" s="2197">
        <v>-9999</v>
      </c>
    </row>
    <row r="164" spans="1:143">
      <c r="A164" s="22">
        <v>64</v>
      </c>
      <c r="B164" s="1" t="s">
        <v>558</v>
      </c>
      <c r="C164" s="34">
        <v>-9999</v>
      </c>
      <c r="D164" s="34">
        <v>-9999</v>
      </c>
      <c r="E164" s="34">
        <v>-9999</v>
      </c>
      <c r="F164" s="34">
        <v>-9999</v>
      </c>
      <c r="G164" s="34">
        <v>-9999</v>
      </c>
      <c r="H164" s="25">
        <v>-9999</v>
      </c>
      <c r="I164" s="25">
        <v>-9999</v>
      </c>
      <c r="J164" s="25">
        <v>-9999</v>
      </c>
      <c r="K164" s="25">
        <v>-9999</v>
      </c>
      <c r="L164" s="25">
        <v>-9999</v>
      </c>
      <c r="M164" s="25">
        <v>-9999</v>
      </c>
      <c r="N164" s="25">
        <v>-9999</v>
      </c>
      <c r="O164" s="25">
        <v>-9999</v>
      </c>
      <c r="P164" s="32"/>
      <c r="Q164" s="32"/>
      <c r="R164" s="32"/>
      <c r="S164" s="32"/>
      <c r="T164" s="32"/>
      <c r="U164" s="32"/>
      <c r="AA164" s="22">
        <v>64</v>
      </c>
      <c r="AB164" s="1040" t="str">
        <f t="shared" si="3"/>
        <v>TOT. WAGE AND SALARY EARNERS F.T.E.</v>
      </c>
      <c r="AC164" s="1040">
        <f>CHOOSE(Tables!$U$2,Transfer!CA164,Transfer!CN164,Transfer!DA164,Transfer!DN164,Transfer!EA164)</f>
        <v>-9999</v>
      </c>
      <c r="AD164" s="1040">
        <f>CHOOSE(Tables!$U$2,Transfer!CB164,Transfer!CO164,Transfer!DB164,Transfer!DO164,Transfer!EB164)</f>
        <v>-9999</v>
      </c>
      <c r="AE164" s="1040">
        <f>CHOOSE(Tables!$U$2,Transfer!CC164,Transfer!CP164,Transfer!DC164,Transfer!DP164,Transfer!EC164)</f>
        <v>-9999</v>
      </c>
      <c r="AF164" s="1040">
        <f>CHOOSE(Tables!$U$2,Transfer!CD164,Transfer!CQ164,Transfer!DD164,Transfer!DQ164,Transfer!ED164)</f>
        <v>-9999</v>
      </c>
      <c r="AG164" s="1040">
        <f>CHOOSE(Tables!$U$2,Transfer!CE164,Transfer!CR164,Transfer!DE164,Transfer!DR164,Transfer!EE164)</f>
        <v>-9999</v>
      </c>
      <c r="AH164" s="1040">
        <f>CHOOSE(Tables!$U$2,Transfer!CF164,Transfer!CS164,Transfer!DF164,Transfer!DS164,Transfer!EF164)</f>
        <v>-9999</v>
      </c>
      <c r="AI164" s="1040">
        <f>CHOOSE(Tables!$U$2,Transfer!CG164,Transfer!CT164,Transfer!DG164,Transfer!DT164,Transfer!EG164)</f>
        <v>-9999</v>
      </c>
      <c r="AJ164" s="1040">
        <f>CHOOSE(Tables!$U$2,Transfer!CH164,Transfer!CU164,Transfer!DH164,Transfer!DU164,Transfer!EH164)</f>
        <v>-9999</v>
      </c>
      <c r="AK164" s="1040">
        <f>CHOOSE(Tables!$U$2,Transfer!CI164,Transfer!CV164,Transfer!DI164,Transfer!DV164,Transfer!EI164)</f>
        <v>-9999</v>
      </c>
      <c r="AL164" s="1040">
        <f>CHOOSE(Tables!$U$2,Transfer!CJ164,Transfer!CW164,Transfer!DJ164,Transfer!DW164,Transfer!EJ164)</f>
        <v>-9999</v>
      </c>
      <c r="AM164" s="1040">
        <f>CHOOSE(Tables!$U$2,Transfer!CK164,Transfer!CX164,Transfer!DK164,Transfer!DX164,Transfer!EK164)</f>
        <v>-9999</v>
      </c>
      <c r="AN164" s="1040">
        <f>CHOOSE(Tables!$U$2,Transfer!CL164,Transfer!CY164,Transfer!DL164,Transfer!DY164,Transfer!EL164)</f>
        <v>-9999</v>
      </c>
      <c r="AO164" s="1040">
        <f>CHOOSE(Tables!$U$2,Transfer!CM164,Transfer!CZ164,Transfer!DM164,Transfer!DZ164,Transfer!EM164)</f>
        <v>-9999</v>
      </c>
      <c r="AR164" s="22">
        <v>64</v>
      </c>
      <c r="AS164" s="1" t="s">
        <v>558</v>
      </c>
      <c r="AT164" s="2068">
        <f t="shared" si="6"/>
        <v>0</v>
      </c>
      <c r="AU164" s="2068">
        <f t="shared" si="6"/>
        <v>0</v>
      </c>
      <c r="AV164" s="2068">
        <f t="shared" si="6"/>
        <v>0</v>
      </c>
      <c r="AW164" s="2068">
        <f t="shared" si="6"/>
        <v>0</v>
      </c>
      <c r="AX164" s="2068">
        <f t="shared" si="6"/>
        <v>0</v>
      </c>
      <c r="AY164" s="25">
        <f t="shared" si="6"/>
        <v>0</v>
      </c>
      <c r="AZ164" s="25">
        <f t="shared" si="6"/>
        <v>0</v>
      </c>
      <c r="BA164" s="25">
        <f t="shared" si="6"/>
        <v>0</v>
      </c>
      <c r="BB164" s="25">
        <f t="shared" si="6"/>
        <v>0</v>
      </c>
      <c r="BC164" s="25">
        <f t="shared" si="6"/>
        <v>0</v>
      </c>
      <c r="BD164" s="25">
        <f t="shared" si="6"/>
        <v>0</v>
      </c>
      <c r="BE164" s="25">
        <f t="shared" si="6"/>
        <v>0</v>
      </c>
      <c r="BF164" s="25">
        <f t="shared" si="6"/>
        <v>0</v>
      </c>
      <c r="CA164" s="16">
        <v>-9999</v>
      </c>
      <c r="CB164" s="16">
        <v>-9999</v>
      </c>
      <c r="CC164" s="16">
        <v>-9999</v>
      </c>
      <c r="CD164" s="16">
        <v>-9999</v>
      </c>
      <c r="CE164" s="16">
        <v>-9999</v>
      </c>
      <c r="CF164" s="16">
        <v>-9999</v>
      </c>
      <c r="CG164" s="16">
        <v>-9999</v>
      </c>
      <c r="CH164" s="16">
        <v>-9999</v>
      </c>
      <c r="CI164" s="16">
        <v>-9999</v>
      </c>
      <c r="CJ164" s="16">
        <v>-9999</v>
      </c>
      <c r="CK164" s="16">
        <v>-9999</v>
      </c>
      <c r="CL164" s="16">
        <v>-9999</v>
      </c>
      <c r="CM164" s="16">
        <v>-9999</v>
      </c>
      <c r="CN164" s="16">
        <v>-9999</v>
      </c>
      <c r="CO164" s="16">
        <v>-9999</v>
      </c>
      <c r="CP164" s="16">
        <v>-9999</v>
      </c>
      <c r="CQ164" s="16">
        <v>-9999</v>
      </c>
      <c r="CR164" s="16">
        <v>-9999</v>
      </c>
      <c r="CS164" s="16">
        <v>-9999</v>
      </c>
      <c r="CT164" s="16">
        <v>-9999</v>
      </c>
      <c r="CU164" s="16">
        <v>-9999</v>
      </c>
      <c r="CV164" s="16">
        <v>-9999</v>
      </c>
      <c r="CW164" s="16">
        <v>-9999</v>
      </c>
      <c r="CX164" s="16">
        <v>-9999</v>
      </c>
      <c r="CY164" s="16">
        <v>-9999</v>
      </c>
      <c r="CZ164" s="16">
        <v>-9999</v>
      </c>
      <c r="DA164" s="16">
        <v>-9999</v>
      </c>
      <c r="DB164" s="16">
        <v>-9999</v>
      </c>
      <c r="DC164" s="16">
        <v>-9999</v>
      </c>
      <c r="DD164" s="16">
        <v>-9999</v>
      </c>
      <c r="DE164" s="16">
        <v>-9999</v>
      </c>
      <c r="DF164" s="16">
        <v>-9999</v>
      </c>
      <c r="DG164" s="16">
        <v>-9999</v>
      </c>
      <c r="DH164" s="16">
        <v>-9999</v>
      </c>
      <c r="DI164" s="16">
        <v>-9999</v>
      </c>
      <c r="DJ164" s="16">
        <v>-9999</v>
      </c>
      <c r="DK164" s="16">
        <v>-9999</v>
      </c>
      <c r="DL164" s="16">
        <v>-9999</v>
      </c>
      <c r="DM164" s="16">
        <v>-9999</v>
      </c>
      <c r="DN164" s="16">
        <v>-9999</v>
      </c>
      <c r="DO164" s="16">
        <v>-9999</v>
      </c>
      <c r="DP164" s="16">
        <v>-9999</v>
      </c>
      <c r="DQ164" s="16">
        <v>-9999</v>
      </c>
      <c r="DR164" s="16">
        <v>-9999</v>
      </c>
      <c r="DS164" s="16">
        <v>-9999</v>
      </c>
      <c r="DT164" s="16">
        <v>-9999</v>
      </c>
      <c r="DU164" s="16">
        <v>-9999</v>
      </c>
      <c r="DV164" s="16">
        <v>-9999</v>
      </c>
      <c r="DW164" s="16">
        <v>-9999</v>
      </c>
      <c r="DX164" s="16">
        <v>-9999</v>
      </c>
      <c r="DY164" s="16">
        <v>-9999</v>
      </c>
      <c r="DZ164" s="16">
        <v>-9999</v>
      </c>
      <c r="EA164" s="2197">
        <v>-9999</v>
      </c>
      <c r="EB164" s="2197">
        <v>-9999</v>
      </c>
      <c r="EC164" s="2197">
        <v>-9999</v>
      </c>
      <c r="ED164" s="2197">
        <v>-9999</v>
      </c>
      <c r="EE164" s="2197">
        <v>-9999</v>
      </c>
      <c r="EF164" s="2197">
        <v>-9999</v>
      </c>
      <c r="EG164" s="2197">
        <v>-9999</v>
      </c>
      <c r="EH164" s="2197">
        <v>-9999</v>
      </c>
      <c r="EI164" s="2197">
        <v>-9999</v>
      </c>
      <c r="EJ164" s="2197">
        <v>-9999</v>
      </c>
      <c r="EK164" s="2197">
        <v>-9999</v>
      </c>
      <c r="EL164" s="2197">
        <v>-9999</v>
      </c>
      <c r="EM164" s="2197">
        <v>-9999</v>
      </c>
    </row>
    <row r="165" spans="1:143">
      <c r="A165" s="22">
        <v>65</v>
      </c>
      <c r="B165" s="36" t="s">
        <v>1705</v>
      </c>
      <c r="C165" s="25">
        <v>-9999</v>
      </c>
      <c r="D165" s="25">
        <v>-9999</v>
      </c>
      <c r="E165" s="25">
        <v>-9999</v>
      </c>
      <c r="F165" s="25">
        <v>-9999</v>
      </c>
      <c r="G165" s="25">
        <v>-9999</v>
      </c>
      <c r="H165" s="25">
        <v>-9999</v>
      </c>
      <c r="I165" s="25">
        <v>-9999</v>
      </c>
      <c r="J165" s="25">
        <v>-9999</v>
      </c>
      <c r="K165" s="25">
        <v>-9999</v>
      </c>
      <c r="L165" s="25">
        <v>-9999</v>
      </c>
      <c r="M165" s="25">
        <v>-9999</v>
      </c>
      <c r="N165" s="25">
        <v>-9999</v>
      </c>
      <c r="O165" s="25">
        <v>-9999</v>
      </c>
      <c r="P165" s="32"/>
      <c r="Q165"/>
      <c r="R165"/>
      <c r="S165"/>
      <c r="T165"/>
      <c r="AA165" s="22">
        <v>65</v>
      </c>
      <c r="AB165" s="1040" t="str">
        <f t="shared" si="3"/>
        <v>FOR FUTURE USE</v>
      </c>
      <c r="AC165" s="1040">
        <f>CHOOSE(Tables!$U$2,Transfer!CA165,Transfer!CN165,Transfer!DA165,Transfer!DN165,Transfer!EA165)</f>
        <v>-9999</v>
      </c>
      <c r="AD165" s="1040">
        <f>CHOOSE(Tables!$U$2,Transfer!CB165,Transfer!CO165,Transfer!DB165,Transfer!DO165,Transfer!EB165)</f>
        <v>-9999</v>
      </c>
      <c r="AE165" s="1040">
        <f>CHOOSE(Tables!$U$2,Transfer!CC165,Transfer!CP165,Transfer!DC165,Transfer!DP165,Transfer!EC165)</f>
        <v>-9999</v>
      </c>
      <c r="AF165" s="1040">
        <f>CHOOSE(Tables!$U$2,Transfer!CD165,Transfer!CQ165,Transfer!DD165,Transfer!DQ165,Transfer!ED165)</f>
        <v>-9999</v>
      </c>
      <c r="AG165" s="1040">
        <f>CHOOSE(Tables!$U$2,Transfer!CE165,Transfer!CR165,Transfer!DE165,Transfer!DR165,Transfer!EE165)</f>
        <v>-9999</v>
      </c>
      <c r="AH165" s="1040">
        <f>CHOOSE(Tables!$U$2,Transfer!CF165,Transfer!CS165,Transfer!DF165,Transfer!DS165,Transfer!EF165)</f>
        <v>-9999</v>
      </c>
      <c r="AI165" s="1040">
        <f>CHOOSE(Tables!$U$2,Transfer!CG165,Transfer!CT165,Transfer!DG165,Transfer!DT165,Transfer!EG165)</f>
        <v>-9999</v>
      </c>
      <c r="AJ165" s="1040">
        <f>CHOOSE(Tables!$U$2,Transfer!CH165,Transfer!CU165,Transfer!DH165,Transfer!DU165,Transfer!EH165)</f>
        <v>-9999</v>
      </c>
      <c r="AK165" s="1040">
        <f>CHOOSE(Tables!$U$2,Transfer!CI165,Transfer!CV165,Transfer!DI165,Transfer!DV165,Transfer!EI165)</f>
        <v>-9999</v>
      </c>
      <c r="AL165" s="1040">
        <f>CHOOSE(Tables!$U$2,Transfer!CJ165,Transfer!CW165,Transfer!DJ165,Transfer!DW165,Transfer!EJ165)</f>
        <v>-9999</v>
      </c>
      <c r="AM165" s="1040">
        <f>CHOOSE(Tables!$U$2,Transfer!CK165,Transfer!CX165,Transfer!DK165,Transfer!DX165,Transfer!EK165)</f>
        <v>-9999</v>
      </c>
      <c r="AN165" s="1040">
        <f>CHOOSE(Tables!$U$2,Transfer!CL165,Transfer!CY165,Transfer!DL165,Transfer!DY165,Transfer!EL165)</f>
        <v>-9999</v>
      </c>
      <c r="AO165" s="1040">
        <f>CHOOSE(Tables!$U$2,Transfer!CM165,Transfer!CZ165,Transfer!DM165,Transfer!DZ165,Transfer!EM165)</f>
        <v>-9999</v>
      </c>
      <c r="AR165" s="22">
        <v>65</v>
      </c>
      <c r="AS165" s="1" t="s">
        <v>581</v>
      </c>
      <c r="AT165" s="1344">
        <f t="shared" si="6"/>
        <v>0</v>
      </c>
      <c r="AU165" s="1344">
        <f t="shared" si="6"/>
        <v>0</v>
      </c>
      <c r="AV165" s="1344">
        <f t="shared" si="6"/>
        <v>0</v>
      </c>
      <c r="AW165" s="1344">
        <f t="shared" si="6"/>
        <v>0</v>
      </c>
      <c r="AX165" s="1344">
        <f t="shared" si="6"/>
        <v>0</v>
      </c>
      <c r="AY165" s="25">
        <f t="shared" si="6"/>
        <v>0</v>
      </c>
      <c r="AZ165" s="25">
        <f t="shared" si="6"/>
        <v>0</v>
      </c>
      <c r="BA165" s="25">
        <f t="shared" si="6"/>
        <v>0</v>
      </c>
      <c r="BB165" s="25">
        <f t="shared" ref="AZ165:BF201" si="7">K165-AK165</f>
        <v>0</v>
      </c>
      <c r="BC165" s="25">
        <f t="shared" si="7"/>
        <v>0</v>
      </c>
      <c r="BD165" s="25">
        <f t="shared" si="7"/>
        <v>0</v>
      </c>
      <c r="BE165" s="25">
        <f t="shared" si="7"/>
        <v>0</v>
      </c>
      <c r="BF165" s="25">
        <f t="shared" si="7"/>
        <v>0</v>
      </c>
      <c r="CA165" s="16">
        <v>-9999</v>
      </c>
      <c r="CB165" s="16">
        <v>-9999</v>
      </c>
      <c r="CC165" s="16">
        <v>-9999</v>
      </c>
      <c r="CD165" s="16">
        <v>-9999</v>
      </c>
      <c r="CE165" s="16">
        <v>-9999</v>
      </c>
      <c r="CF165" s="16">
        <v>-9999</v>
      </c>
      <c r="CG165" s="16">
        <v>-9999</v>
      </c>
      <c r="CH165" s="16">
        <v>-9999</v>
      </c>
      <c r="CI165" s="16">
        <v>-9999</v>
      </c>
      <c r="CJ165" s="16">
        <v>-9999</v>
      </c>
      <c r="CK165" s="16">
        <v>-9999</v>
      </c>
      <c r="CL165" s="16">
        <v>-9999</v>
      </c>
      <c r="CM165" s="16">
        <v>-9999</v>
      </c>
      <c r="CN165" s="16">
        <v>-9999</v>
      </c>
      <c r="CO165" s="16">
        <v>-9999</v>
      </c>
      <c r="CP165" s="16">
        <v>-9999</v>
      </c>
      <c r="CQ165" s="16">
        <v>-9999</v>
      </c>
      <c r="CR165" s="16">
        <v>-9999</v>
      </c>
      <c r="CS165" s="16">
        <v>-9999</v>
      </c>
      <c r="CT165" s="16">
        <v>-9999</v>
      </c>
      <c r="CU165" s="16">
        <v>-9999</v>
      </c>
      <c r="CV165" s="16">
        <v>-9999</v>
      </c>
      <c r="CW165" s="16">
        <v>-9999</v>
      </c>
      <c r="CX165" s="16">
        <v>-9999</v>
      </c>
      <c r="CY165" s="16">
        <v>-9999</v>
      </c>
      <c r="CZ165" s="16">
        <v>-9999</v>
      </c>
      <c r="DA165" s="16">
        <v>-9999</v>
      </c>
      <c r="DB165" s="16">
        <v>-9999</v>
      </c>
      <c r="DC165" s="16">
        <v>-9999</v>
      </c>
      <c r="DD165" s="16">
        <v>-9999</v>
      </c>
      <c r="DE165" s="16">
        <v>-9999</v>
      </c>
      <c r="DF165" s="16">
        <v>-9999</v>
      </c>
      <c r="DG165" s="16">
        <v>-9999</v>
      </c>
      <c r="DH165" s="16">
        <v>-9999</v>
      </c>
      <c r="DI165" s="16">
        <v>-9999</v>
      </c>
      <c r="DJ165" s="16">
        <v>-9999</v>
      </c>
      <c r="DK165" s="16">
        <v>-9999</v>
      </c>
      <c r="DL165" s="16">
        <v>-9999</v>
      </c>
      <c r="DM165" s="16">
        <v>-9999</v>
      </c>
      <c r="DN165" s="16">
        <v>-9999</v>
      </c>
      <c r="DO165" s="16">
        <v>-9999</v>
      </c>
      <c r="DP165" s="16">
        <v>-9999</v>
      </c>
      <c r="DQ165" s="16">
        <v>-9999</v>
      </c>
      <c r="DR165" s="16">
        <v>-9999</v>
      </c>
      <c r="DS165" s="16">
        <v>-9999</v>
      </c>
      <c r="DT165" s="16">
        <v>-9999</v>
      </c>
      <c r="DU165" s="16">
        <v>-9999</v>
      </c>
      <c r="DV165" s="16">
        <v>-9999</v>
      </c>
      <c r="DW165" s="16">
        <v>-9999</v>
      </c>
      <c r="DX165" s="16">
        <v>-9999</v>
      </c>
      <c r="DY165" s="16">
        <v>-9999</v>
      </c>
      <c r="DZ165" s="16">
        <v>-9999</v>
      </c>
      <c r="EA165" s="2196">
        <v>-9999</v>
      </c>
      <c r="EB165" s="2196">
        <v>-9999</v>
      </c>
      <c r="EC165" s="2196">
        <v>-9999</v>
      </c>
      <c r="ED165" s="2196">
        <v>-9999</v>
      </c>
      <c r="EE165" s="2196">
        <v>-9999</v>
      </c>
      <c r="EF165" s="2197">
        <v>-9999</v>
      </c>
      <c r="EG165" s="2197">
        <v>-9999</v>
      </c>
      <c r="EH165" s="2197">
        <v>-9999</v>
      </c>
      <c r="EI165" s="2197">
        <v>-9999</v>
      </c>
      <c r="EJ165" s="2197">
        <v>-9999</v>
      </c>
      <c r="EK165" s="2197">
        <v>-9999</v>
      </c>
      <c r="EL165" s="2197">
        <v>-9999</v>
      </c>
      <c r="EM165" s="2197">
        <v>-9999</v>
      </c>
    </row>
    <row r="166" spans="1:143">
      <c r="A166" s="22">
        <v>66</v>
      </c>
      <c r="B166" s="36" t="s">
        <v>1705</v>
      </c>
      <c r="C166" s="25">
        <v>-9999</v>
      </c>
      <c r="D166" s="25">
        <v>-9999</v>
      </c>
      <c r="E166" s="25">
        <v>-9999</v>
      </c>
      <c r="F166" s="25">
        <v>-9999</v>
      </c>
      <c r="G166" s="25">
        <v>-9999</v>
      </c>
      <c r="H166" s="25">
        <v>-9999</v>
      </c>
      <c r="I166" s="25">
        <v>-9999</v>
      </c>
      <c r="J166" s="25">
        <v>-9999</v>
      </c>
      <c r="K166" s="25">
        <v>-9999</v>
      </c>
      <c r="L166" s="25">
        <v>-9999</v>
      </c>
      <c r="M166" s="25">
        <v>-9999</v>
      </c>
      <c r="N166" s="25">
        <v>-9999</v>
      </c>
      <c r="O166" s="25">
        <v>-9999</v>
      </c>
      <c r="P166" s="32"/>
      <c r="Q166" s="32"/>
      <c r="R166" s="32"/>
      <c r="S166" s="32"/>
      <c r="T166" s="32"/>
      <c r="AA166" s="22">
        <v>66</v>
      </c>
      <c r="AB166" s="1040" t="str">
        <f t="shared" ref="AB166:AB229" si="8">+B166</f>
        <v>FOR FUTURE USE</v>
      </c>
      <c r="AC166" s="1040">
        <f>CHOOSE(Tables!$U$2,Transfer!CA166,Transfer!CN166,Transfer!DA166,Transfer!DN166,Transfer!EA166)</f>
        <v>-9999</v>
      </c>
      <c r="AD166" s="1040">
        <f>CHOOSE(Tables!$U$2,Transfer!CB166,Transfer!CO166,Transfer!DB166,Transfer!DO166,Transfer!EB166)</f>
        <v>-9999</v>
      </c>
      <c r="AE166" s="1040">
        <f>CHOOSE(Tables!$U$2,Transfer!CC166,Transfer!CP166,Transfer!DC166,Transfer!DP166,Transfer!EC166)</f>
        <v>-9999</v>
      </c>
      <c r="AF166" s="1040">
        <f>CHOOSE(Tables!$U$2,Transfer!CD166,Transfer!CQ166,Transfer!DD166,Transfer!DQ166,Transfer!ED166)</f>
        <v>-9999</v>
      </c>
      <c r="AG166" s="1040">
        <f>CHOOSE(Tables!$U$2,Transfer!CE166,Transfer!CR166,Transfer!DE166,Transfer!DR166,Transfer!EE166)</f>
        <v>-9999</v>
      </c>
      <c r="AH166" s="1040">
        <f>CHOOSE(Tables!$U$2,Transfer!CF166,Transfer!CS166,Transfer!DF166,Transfer!DS166,Transfer!EF166)</f>
        <v>-9999</v>
      </c>
      <c r="AI166" s="1040">
        <f>CHOOSE(Tables!$U$2,Transfer!CG166,Transfer!CT166,Transfer!DG166,Transfer!DT166,Transfer!EG166)</f>
        <v>-9999</v>
      </c>
      <c r="AJ166" s="1040">
        <f>CHOOSE(Tables!$U$2,Transfer!CH166,Transfer!CU166,Transfer!DH166,Transfer!DU166,Transfer!EH166)</f>
        <v>-9999</v>
      </c>
      <c r="AK166" s="1040">
        <f>CHOOSE(Tables!$U$2,Transfer!CI166,Transfer!CV166,Transfer!DI166,Transfer!DV166,Transfer!EI166)</f>
        <v>-9999</v>
      </c>
      <c r="AL166" s="1040">
        <f>CHOOSE(Tables!$U$2,Transfer!CJ166,Transfer!CW166,Transfer!DJ166,Transfer!DW166,Transfer!EJ166)</f>
        <v>-9999</v>
      </c>
      <c r="AM166" s="1040">
        <f>CHOOSE(Tables!$U$2,Transfer!CK166,Transfer!CX166,Transfer!DK166,Transfer!DX166,Transfer!EK166)</f>
        <v>-9999</v>
      </c>
      <c r="AN166" s="1040">
        <f>CHOOSE(Tables!$U$2,Transfer!CL166,Transfer!CY166,Transfer!DL166,Transfer!DY166,Transfer!EL166)</f>
        <v>-9999</v>
      </c>
      <c r="AO166" s="1040">
        <f>CHOOSE(Tables!$U$2,Transfer!CM166,Transfer!CZ166,Transfer!DM166,Transfer!DZ166,Transfer!EM166)</f>
        <v>-9999</v>
      </c>
      <c r="AR166" s="22">
        <v>66</v>
      </c>
      <c r="AS166" s="1" t="s">
        <v>582</v>
      </c>
      <c r="AT166" s="24">
        <f t="shared" ref="AT166:BB181" si="9">C166-AC166</f>
        <v>0</v>
      </c>
      <c r="AU166" s="24">
        <f t="shared" si="9"/>
        <v>0</v>
      </c>
      <c r="AV166" s="24">
        <f t="shared" si="9"/>
        <v>0</v>
      </c>
      <c r="AW166" s="24">
        <f t="shared" si="9"/>
        <v>0</v>
      </c>
      <c r="AX166" s="1344">
        <f t="shared" si="9"/>
        <v>0</v>
      </c>
      <c r="AY166" s="25">
        <f t="shared" si="9"/>
        <v>0</v>
      </c>
      <c r="AZ166" s="25">
        <f t="shared" si="7"/>
        <v>0</v>
      </c>
      <c r="BA166" s="25">
        <f t="shared" si="7"/>
        <v>0</v>
      </c>
      <c r="BB166" s="25">
        <f t="shared" si="7"/>
        <v>0</v>
      </c>
      <c r="BC166" s="25">
        <f t="shared" si="7"/>
        <v>0</v>
      </c>
      <c r="BD166" s="25">
        <f t="shared" si="7"/>
        <v>0</v>
      </c>
      <c r="BE166" s="25">
        <f t="shared" si="7"/>
        <v>0</v>
      </c>
      <c r="BF166" s="25">
        <f t="shared" si="7"/>
        <v>0</v>
      </c>
      <c r="CA166" s="16">
        <v>-9999</v>
      </c>
      <c r="CB166" s="16">
        <v>-9999</v>
      </c>
      <c r="CC166" s="16">
        <v>-9999</v>
      </c>
      <c r="CD166" s="16">
        <v>-9999</v>
      </c>
      <c r="CE166" s="16">
        <v>-9999</v>
      </c>
      <c r="CF166" s="16">
        <v>-9999</v>
      </c>
      <c r="CG166" s="16">
        <v>-9999</v>
      </c>
      <c r="CH166" s="16">
        <v>-9999</v>
      </c>
      <c r="CI166" s="16">
        <v>-9999</v>
      </c>
      <c r="CJ166" s="16">
        <v>-9999</v>
      </c>
      <c r="CK166" s="16">
        <v>-9999</v>
      </c>
      <c r="CL166" s="16">
        <v>-9999</v>
      </c>
      <c r="CM166" s="16">
        <v>-9999</v>
      </c>
      <c r="CN166" s="16">
        <v>-9999</v>
      </c>
      <c r="CO166" s="16">
        <v>-9999</v>
      </c>
      <c r="CP166" s="16">
        <v>-9999</v>
      </c>
      <c r="CQ166" s="16">
        <v>-9999</v>
      </c>
      <c r="CR166" s="16">
        <v>-9999</v>
      </c>
      <c r="CS166" s="16">
        <v>-9999</v>
      </c>
      <c r="CT166" s="16">
        <v>-9999</v>
      </c>
      <c r="CU166" s="16">
        <v>-9999</v>
      </c>
      <c r="CV166" s="16">
        <v>-9999</v>
      </c>
      <c r="CW166" s="16">
        <v>-9999</v>
      </c>
      <c r="CX166" s="16">
        <v>-9999</v>
      </c>
      <c r="CY166" s="16">
        <v>-9999</v>
      </c>
      <c r="CZ166" s="16">
        <v>-9999</v>
      </c>
      <c r="DA166" s="16">
        <v>-9999</v>
      </c>
      <c r="DB166" s="16">
        <v>-9999</v>
      </c>
      <c r="DC166" s="16">
        <v>-9999</v>
      </c>
      <c r="DD166" s="16">
        <v>-9999</v>
      </c>
      <c r="DE166" s="16">
        <v>-9999</v>
      </c>
      <c r="DF166" s="16">
        <v>-9999</v>
      </c>
      <c r="DG166" s="16">
        <v>-9999</v>
      </c>
      <c r="DH166" s="16">
        <v>-9999</v>
      </c>
      <c r="DI166" s="16">
        <v>-9999</v>
      </c>
      <c r="DJ166" s="16">
        <v>-9999</v>
      </c>
      <c r="DK166" s="16">
        <v>-9999</v>
      </c>
      <c r="DL166" s="16">
        <v>-9999</v>
      </c>
      <c r="DM166" s="16">
        <v>-9999</v>
      </c>
      <c r="DN166" s="16">
        <v>-9999</v>
      </c>
      <c r="DO166" s="16">
        <v>-9999</v>
      </c>
      <c r="DP166" s="16">
        <v>-9999</v>
      </c>
      <c r="DQ166" s="16">
        <v>-9999</v>
      </c>
      <c r="DR166" s="16">
        <v>-9999</v>
      </c>
      <c r="DS166" s="16">
        <v>-9999</v>
      </c>
      <c r="DT166" s="16">
        <v>-9999</v>
      </c>
      <c r="DU166" s="16">
        <v>-9999</v>
      </c>
      <c r="DV166" s="16">
        <v>-9999</v>
      </c>
      <c r="DW166" s="16">
        <v>-9999</v>
      </c>
      <c r="DX166" s="16">
        <v>-9999</v>
      </c>
      <c r="DY166" s="16">
        <v>-9999</v>
      </c>
      <c r="DZ166" s="16">
        <v>-9999</v>
      </c>
      <c r="EA166" s="2196">
        <v>-9999</v>
      </c>
      <c r="EB166" s="2196">
        <v>-9999</v>
      </c>
      <c r="EC166" s="2196">
        <v>-9999</v>
      </c>
      <c r="ED166" s="2196">
        <v>-9999</v>
      </c>
      <c r="EE166" s="2196">
        <v>-9999</v>
      </c>
      <c r="EF166" s="2197">
        <v>-9999</v>
      </c>
      <c r="EG166" s="2197">
        <v>-9999</v>
      </c>
      <c r="EH166" s="2197">
        <v>-9999</v>
      </c>
      <c r="EI166" s="2197">
        <v>-9999</v>
      </c>
      <c r="EJ166" s="2197">
        <v>-9999</v>
      </c>
      <c r="EK166" s="2197">
        <v>-9999</v>
      </c>
      <c r="EL166" s="2197">
        <v>-9999</v>
      </c>
      <c r="EM166" s="2197">
        <v>-9999</v>
      </c>
    </row>
    <row r="167" spans="1:143">
      <c r="A167" s="22">
        <v>67</v>
      </c>
      <c r="B167" s="36" t="s">
        <v>1705</v>
      </c>
      <c r="C167" s="25">
        <v>-9999</v>
      </c>
      <c r="D167" s="25">
        <v>-9999</v>
      </c>
      <c r="E167" s="25">
        <v>-9999</v>
      </c>
      <c r="F167" s="25">
        <v>-9999</v>
      </c>
      <c r="G167" s="25">
        <v>-9999</v>
      </c>
      <c r="H167" s="25">
        <v>-9999</v>
      </c>
      <c r="I167" s="25">
        <v>-9999</v>
      </c>
      <c r="J167" s="25">
        <v>-9999</v>
      </c>
      <c r="K167" s="25">
        <v>-9999</v>
      </c>
      <c r="L167" s="25">
        <v>-9999</v>
      </c>
      <c r="M167" s="25">
        <v>-9999</v>
      </c>
      <c r="N167" s="25">
        <v>-9999</v>
      </c>
      <c r="O167" s="25">
        <v>-9999</v>
      </c>
      <c r="P167"/>
      <c r="Q167"/>
      <c r="R167"/>
      <c r="S167"/>
      <c r="T167"/>
      <c r="U167"/>
      <c r="AA167" s="22">
        <v>67</v>
      </c>
      <c r="AB167" s="1040" t="str">
        <f t="shared" si="8"/>
        <v>FOR FUTURE USE</v>
      </c>
      <c r="AC167" s="1040">
        <f>CHOOSE(Tables!$U$2,Transfer!CA167,Transfer!CN167,Transfer!DA167,Transfer!DN167,Transfer!EA167)</f>
        <v>-9999</v>
      </c>
      <c r="AD167" s="1040">
        <f>CHOOSE(Tables!$U$2,Transfer!CB167,Transfer!CO167,Transfer!DB167,Transfer!DO167,Transfer!EB167)</f>
        <v>-9999</v>
      </c>
      <c r="AE167" s="1040">
        <f>CHOOSE(Tables!$U$2,Transfer!CC167,Transfer!CP167,Transfer!DC167,Transfer!DP167,Transfer!EC167)</f>
        <v>-9999</v>
      </c>
      <c r="AF167" s="1040">
        <f>CHOOSE(Tables!$U$2,Transfer!CD167,Transfer!CQ167,Transfer!DD167,Transfer!DQ167,Transfer!ED167)</f>
        <v>-9999</v>
      </c>
      <c r="AG167" s="1040">
        <f>CHOOSE(Tables!$U$2,Transfer!CE167,Transfer!CR167,Transfer!DE167,Transfer!DR167,Transfer!EE167)</f>
        <v>-9999</v>
      </c>
      <c r="AH167" s="1040">
        <f>CHOOSE(Tables!$U$2,Transfer!CF167,Transfer!CS167,Transfer!DF167,Transfer!DS167,Transfer!EF167)</f>
        <v>-9999</v>
      </c>
      <c r="AI167" s="1040">
        <f>CHOOSE(Tables!$U$2,Transfer!CG167,Transfer!CT167,Transfer!DG167,Transfer!DT167,Transfer!EG167)</f>
        <v>-9999</v>
      </c>
      <c r="AJ167" s="1040">
        <f>CHOOSE(Tables!$U$2,Transfer!CH167,Transfer!CU167,Transfer!DH167,Transfer!DU167,Transfer!EH167)</f>
        <v>-9999</v>
      </c>
      <c r="AK167" s="1040">
        <f>CHOOSE(Tables!$U$2,Transfer!CI167,Transfer!CV167,Transfer!DI167,Transfer!DV167,Transfer!EI167)</f>
        <v>-9999</v>
      </c>
      <c r="AL167" s="1040">
        <f>CHOOSE(Tables!$U$2,Transfer!CJ167,Transfer!CW167,Transfer!DJ167,Transfer!DW167,Transfer!EJ167)</f>
        <v>-9999</v>
      </c>
      <c r="AM167" s="1040">
        <f>CHOOSE(Tables!$U$2,Transfer!CK167,Transfer!CX167,Transfer!DK167,Transfer!DX167,Transfer!EK167)</f>
        <v>-9999</v>
      </c>
      <c r="AN167" s="1040">
        <f>CHOOSE(Tables!$U$2,Transfer!CL167,Transfer!CY167,Transfer!DL167,Transfer!DY167,Transfer!EL167)</f>
        <v>-9999</v>
      </c>
      <c r="AO167" s="1040">
        <f>CHOOSE(Tables!$U$2,Transfer!CM167,Transfer!CZ167,Transfer!DM167,Transfer!DZ167,Transfer!EM167)</f>
        <v>-9999</v>
      </c>
      <c r="AR167" s="22">
        <v>67</v>
      </c>
      <c r="AS167" s="1" t="s">
        <v>559</v>
      </c>
      <c r="AT167" s="20">
        <f t="shared" si="9"/>
        <v>0</v>
      </c>
      <c r="AU167" s="20">
        <f t="shared" si="9"/>
        <v>0</v>
      </c>
      <c r="AV167" s="20">
        <f t="shared" si="9"/>
        <v>0</v>
      </c>
      <c r="AW167" s="20">
        <f t="shared" si="9"/>
        <v>0</v>
      </c>
      <c r="AX167" s="20">
        <f t="shared" si="9"/>
        <v>0</v>
      </c>
      <c r="AY167" s="25">
        <f t="shared" si="9"/>
        <v>0</v>
      </c>
      <c r="AZ167" s="25">
        <f t="shared" si="7"/>
        <v>0</v>
      </c>
      <c r="BA167" s="25">
        <f t="shared" si="7"/>
        <v>0</v>
      </c>
      <c r="BB167" s="25">
        <f t="shared" si="7"/>
        <v>0</v>
      </c>
      <c r="BC167" s="25">
        <f t="shared" si="7"/>
        <v>0</v>
      </c>
      <c r="BD167" s="25">
        <f t="shared" si="7"/>
        <v>0</v>
      </c>
      <c r="BE167" s="25">
        <f t="shared" si="7"/>
        <v>0</v>
      </c>
      <c r="BF167" s="25">
        <f t="shared" si="7"/>
        <v>0</v>
      </c>
      <c r="CA167" s="16">
        <v>-9999</v>
      </c>
      <c r="CB167" s="16">
        <v>-9999</v>
      </c>
      <c r="CC167" s="16">
        <v>-9999</v>
      </c>
      <c r="CD167" s="16">
        <v>-9999</v>
      </c>
      <c r="CE167" s="16">
        <v>-9999</v>
      </c>
      <c r="CF167" s="16">
        <v>-9999</v>
      </c>
      <c r="CG167" s="16">
        <v>-9999</v>
      </c>
      <c r="CH167" s="16">
        <v>-9999</v>
      </c>
      <c r="CI167" s="16">
        <v>-9999</v>
      </c>
      <c r="CJ167" s="16">
        <v>-9999</v>
      </c>
      <c r="CK167" s="16">
        <v>-9999</v>
      </c>
      <c r="CL167" s="16">
        <v>-9999</v>
      </c>
      <c r="CM167" s="16">
        <v>-9999</v>
      </c>
      <c r="CN167" s="16">
        <v>-9999</v>
      </c>
      <c r="CO167" s="16">
        <v>-9999</v>
      </c>
      <c r="CP167" s="16">
        <v>-9999</v>
      </c>
      <c r="CQ167" s="16">
        <v>-9999</v>
      </c>
      <c r="CR167" s="16">
        <v>-9999</v>
      </c>
      <c r="CS167" s="16">
        <v>-9999</v>
      </c>
      <c r="CT167" s="16">
        <v>-9999</v>
      </c>
      <c r="CU167" s="16">
        <v>-9999</v>
      </c>
      <c r="CV167" s="16">
        <v>-9999</v>
      </c>
      <c r="CW167" s="16">
        <v>-9999</v>
      </c>
      <c r="CX167" s="16">
        <v>-9999</v>
      </c>
      <c r="CY167" s="16">
        <v>-9999</v>
      </c>
      <c r="CZ167" s="16">
        <v>-9999</v>
      </c>
      <c r="DA167" s="16">
        <v>-9999</v>
      </c>
      <c r="DB167" s="16">
        <v>-9999</v>
      </c>
      <c r="DC167" s="16">
        <v>-9999</v>
      </c>
      <c r="DD167" s="16">
        <v>-9999</v>
      </c>
      <c r="DE167" s="16">
        <v>-9999</v>
      </c>
      <c r="DF167" s="16">
        <v>-9999</v>
      </c>
      <c r="DG167" s="16">
        <v>-9999</v>
      </c>
      <c r="DH167" s="16">
        <v>-9999</v>
      </c>
      <c r="DI167" s="16">
        <v>-9999</v>
      </c>
      <c r="DJ167" s="16">
        <v>-9999</v>
      </c>
      <c r="DK167" s="16">
        <v>-9999</v>
      </c>
      <c r="DL167" s="16">
        <v>-9999</v>
      </c>
      <c r="DM167" s="16">
        <v>-9999</v>
      </c>
      <c r="DN167" s="16">
        <v>-9999</v>
      </c>
      <c r="DO167" s="16">
        <v>-9999</v>
      </c>
      <c r="DP167" s="16">
        <v>-9999</v>
      </c>
      <c r="DQ167" s="16">
        <v>-9999</v>
      </c>
      <c r="DR167" s="16">
        <v>-9999</v>
      </c>
      <c r="DS167" s="16">
        <v>-9999</v>
      </c>
      <c r="DT167" s="16">
        <v>-9999</v>
      </c>
      <c r="DU167" s="16">
        <v>-9999</v>
      </c>
      <c r="DV167" s="16">
        <v>-9999</v>
      </c>
      <c r="DW167" s="16">
        <v>-9999</v>
      </c>
      <c r="DX167" s="16">
        <v>-9999</v>
      </c>
      <c r="DY167" s="16">
        <v>-9999</v>
      </c>
      <c r="DZ167" s="16">
        <v>-9999</v>
      </c>
      <c r="EA167" s="2196">
        <v>-9999</v>
      </c>
      <c r="EB167" s="2196">
        <v>-9999</v>
      </c>
      <c r="EC167" s="2196">
        <v>-9999</v>
      </c>
      <c r="ED167" s="2196">
        <v>-9999</v>
      </c>
      <c r="EE167" s="2196">
        <v>-9999</v>
      </c>
      <c r="EF167" s="2197">
        <v>-9999</v>
      </c>
      <c r="EG167" s="2197">
        <v>-9999</v>
      </c>
      <c r="EH167" s="2197">
        <v>-9999</v>
      </c>
      <c r="EI167" s="2197">
        <v>-9999</v>
      </c>
      <c r="EJ167" s="2197">
        <v>-9999</v>
      </c>
      <c r="EK167" s="2197">
        <v>-9999</v>
      </c>
      <c r="EL167" s="2197">
        <v>-9999</v>
      </c>
      <c r="EM167" s="2197">
        <v>-9999</v>
      </c>
    </row>
    <row r="168" spans="1:143">
      <c r="A168" s="22">
        <v>68</v>
      </c>
      <c r="B168" s="36" t="s">
        <v>1705</v>
      </c>
      <c r="C168" s="25">
        <v>-9999</v>
      </c>
      <c r="D168" s="25">
        <v>-9999</v>
      </c>
      <c r="E168" s="25">
        <v>-9999</v>
      </c>
      <c r="F168" s="25">
        <v>-9999</v>
      </c>
      <c r="G168" s="25">
        <v>-9999</v>
      </c>
      <c r="H168" s="25">
        <v>-9999</v>
      </c>
      <c r="I168" s="25">
        <v>-9999</v>
      </c>
      <c r="J168" s="25">
        <v>-9999</v>
      </c>
      <c r="K168" s="25">
        <v>-9999</v>
      </c>
      <c r="L168" s="25">
        <v>-9999</v>
      </c>
      <c r="M168" s="25">
        <v>-9999</v>
      </c>
      <c r="N168" s="25">
        <v>-9999</v>
      </c>
      <c r="O168" s="25">
        <v>-9999</v>
      </c>
      <c r="P168" s="32"/>
      <c r="Q168"/>
      <c r="R168"/>
      <c r="S168"/>
      <c r="T168"/>
      <c r="AA168" s="22">
        <v>68</v>
      </c>
      <c r="AB168" s="1040" t="str">
        <f t="shared" si="8"/>
        <v>FOR FUTURE USE</v>
      </c>
      <c r="AC168" s="1040">
        <f>CHOOSE(Tables!$U$2,Transfer!CA168,Transfer!CN168,Transfer!DA168,Transfer!DN168,Transfer!EA168)</f>
        <v>-9999</v>
      </c>
      <c r="AD168" s="1040">
        <f>CHOOSE(Tables!$U$2,Transfer!CB168,Transfer!CO168,Transfer!DB168,Transfer!DO168,Transfer!EB168)</f>
        <v>-9999</v>
      </c>
      <c r="AE168" s="1040">
        <f>CHOOSE(Tables!$U$2,Transfer!CC168,Transfer!CP168,Transfer!DC168,Transfer!DP168,Transfer!EC168)</f>
        <v>-9999</v>
      </c>
      <c r="AF168" s="1040">
        <f>CHOOSE(Tables!$U$2,Transfer!CD168,Transfer!CQ168,Transfer!DD168,Transfer!DQ168,Transfer!ED168)</f>
        <v>-9999</v>
      </c>
      <c r="AG168" s="1040">
        <f>CHOOSE(Tables!$U$2,Transfer!CE168,Transfer!CR168,Transfer!DE168,Transfer!DR168,Transfer!EE168)</f>
        <v>-9999</v>
      </c>
      <c r="AH168" s="1040">
        <f>CHOOSE(Tables!$U$2,Transfer!CF168,Transfer!CS168,Transfer!DF168,Transfer!DS168,Transfer!EF168)</f>
        <v>-9999</v>
      </c>
      <c r="AI168" s="1040">
        <f>CHOOSE(Tables!$U$2,Transfer!CG168,Transfer!CT168,Transfer!DG168,Transfer!DT168,Transfer!EG168)</f>
        <v>-9999</v>
      </c>
      <c r="AJ168" s="1040">
        <f>CHOOSE(Tables!$U$2,Transfer!CH168,Transfer!CU168,Transfer!DH168,Transfer!DU168,Transfer!EH168)</f>
        <v>-9999</v>
      </c>
      <c r="AK168" s="1040">
        <f>CHOOSE(Tables!$U$2,Transfer!CI168,Transfer!CV168,Transfer!DI168,Transfer!DV168,Transfer!EI168)</f>
        <v>-9999</v>
      </c>
      <c r="AL168" s="1040">
        <f>CHOOSE(Tables!$U$2,Transfer!CJ168,Transfer!CW168,Transfer!DJ168,Transfer!DW168,Transfer!EJ168)</f>
        <v>-9999</v>
      </c>
      <c r="AM168" s="1040">
        <f>CHOOSE(Tables!$U$2,Transfer!CK168,Transfer!CX168,Transfer!DK168,Transfer!DX168,Transfer!EK168)</f>
        <v>-9999</v>
      </c>
      <c r="AN168" s="1040">
        <f>CHOOSE(Tables!$U$2,Transfer!CL168,Transfer!CY168,Transfer!DL168,Transfer!DY168,Transfer!EL168)</f>
        <v>-9999</v>
      </c>
      <c r="AO168" s="1040">
        <f>CHOOSE(Tables!$U$2,Transfer!CM168,Transfer!CZ168,Transfer!DM168,Transfer!DZ168,Transfer!EM168)</f>
        <v>-9999</v>
      </c>
      <c r="AR168" s="22">
        <v>68</v>
      </c>
      <c r="AS168" s="31" t="s">
        <v>1960</v>
      </c>
      <c r="AT168" s="2068">
        <f t="shared" si="9"/>
        <v>0</v>
      </c>
      <c r="AU168" s="2068">
        <f t="shared" si="9"/>
        <v>0</v>
      </c>
      <c r="AV168" s="2068">
        <f t="shared" si="9"/>
        <v>0</v>
      </c>
      <c r="AW168" s="2068">
        <f t="shared" si="9"/>
        <v>0</v>
      </c>
      <c r="AX168" s="2068">
        <f t="shared" si="9"/>
        <v>0</v>
      </c>
      <c r="AY168" s="25">
        <f t="shared" si="9"/>
        <v>0</v>
      </c>
      <c r="AZ168" s="25">
        <f t="shared" si="7"/>
        <v>0</v>
      </c>
      <c r="BA168" s="25">
        <f t="shared" si="7"/>
        <v>0</v>
      </c>
      <c r="BB168" s="25">
        <f t="shared" si="7"/>
        <v>0</v>
      </c>
      <c r="BC168" s="25">
        <f t="shared" si="7"/>
        <v>0</v>
      </c>
      <c r="BD168" s="25">
        <f t="shared" si="7"/>
        <v>0</v>
      </c>
      <c r="BE168" s="25">
        <f t="shared" si="7"/>
        <v>0</v>
      </c>
      <c r="BF168" s="25">
        <f t="shared" si="7"/>
        <v>0</v>
      </c>
      <c r="CA168" s="16">
        <v>-9999</v>
      </c>
      <c r="CB168" s="16">
        <v>-9999</v>
      </c>
      <c r="CC168" s="16">
        <v>-9999</v>
      </c>
      <c r="CD168" s="16">
        <v>-9999</v>
      </c>
      <c r="CE168" s="16">
        <v>-9999</v>
      </c>
      <c r="CF168" s="16">
        <v>-9999</v>
      </c>
      <c r="CG168" s="16">
        <v>-9999</v>
      </c>
      <c r="CH168" s="16">
        <v>-9999</v>
      </c>
      <c r="CI168" s="16">
        <v>-9999</v>
      </c>
      <c r="CJ168" s="16">
        <v>-9999</v>
      </c>
      <c r="CK168" s="16">
        <v>-9999</v>
      </c>
      <c r="CL168" s="16">
        <v>-9999</v>
      </c>
      <c r="CM168" s="16">
        <v>-9999</v>
      </c>
      <c r="CN168" s="16">
        <v>-9999</v>
      </c>
      <c r="CO168" s="16">
        <v>-9999</v>
      </c>
      <c r="CP168" s="16">
        <v>-9999</v>
      </c>
      <c r="CQ168" s="16">
        <v>-9999</v>
      </c>
      <c r="CR168" s="16">
        <v>-9999</v>
      </c>
      <c r="CS168" s="16">
        <v>-9999</v>
      </c>
      <c r="CT168" s="16">
        <v>-9999</v>
      </c>
      <c r="CU168" s="16">
        <v>-9999</v>
      </c>
      <c r="CV168" s="16">
        <v>-9999</v>
      </c>
      <c r="CW168" s="16">
        <v>-9999</v>
      </c>
      <c r="CX168" s="16">
        <v>-9999</v>
      </c>
      <c r="CY168" s="16">
        <v>-9999</v>
      </c>
      <c r="CZ168" s="16">
        <v>-9999</v>
      </c>
      <c r="DA168" s="16">
        <v>-9999</v>
      </c>
      <c r="DB168" s="16">
        <v>-9999</v>
      </c>
      <c r="DC168" s="16">
        <v>-9999</v>
      </c>
      <c r="DD168" s="16">
        <v>-9999</v>
      </c>
      <c r="DE168" s="16">
        <v>-9999</v>
      </c>
      <c r="DF168" s="16">
        <v>-9999</v>
      </c>
      <c r="DG168" s="16">
        <v>-9999</v>
      </c>
      <c r="DH168" s="16">
        <v>-9999</v>
      </c>
      <c r="DI168" s="16">
        <v>-9999</v>
      </c>
      <c r="DJ168" s="16">
        <v>-9999</v>
      </c>
      <c r="DK168" s="16">
        <v>-9999</v>
      </c>
      <c r="DL168" s="16">
        <v>-9999</v>
      </c>
      <c r="DM168" s="16">
        <v>-9999</v>
      </c>
      <c r="DN168" s="16">
        <v>-9999</v>
      </c>
      <c r="DO168" s="16">
        <v>-9999</v>
      </c>
      <c r="DP168" s="16">
        <v>-9999</v>
      </c>
      <c r="DQ168" s="16">
        <v>-9999</v>
      </c>
      <c r="DR168" s="16">
        <v>-9999</v>
      </c>
      <c r="DS168" s="16">
        <v>-9999</v>
      </c>
      <c r="DT168" s="16">
        <v>-9999</v>
      </c>
      <c r="DU168" s="16">
        <v>-9999</v>
      </c>
      <c r="DV168" s="16">
        <v>-9999</v>
      </c>
      <c r="DW168" s="16">
        <v>-9999</v>
      </c>
      <c r="DX168" s="16">
        <v>-9999</v>
      </c>
      <c r="DY168" s="16">
        <v>-9999</v>
      </c>
      <c r="DZ168" s="16">
        <v>-9999</v>
      </c>
      <c r="EA168" s="2197">
        <v>-9999</v>
      </c>
      <c r="EB168" s="2197">
        <v>-9999</v>
      </c>
      <c r="EC168" s="2197">
        <v>-9999</v>
      </c>
      <c r="ED168" s="2197">
        <v>-9999</v>
      </c>
      <c r="EE168" s="2197">
        <v>-9999</v>
      </c>
      <c r="EF168" s="2197">
        <v>-9999</v>
      </c>
      <c r="EG168" s="2197">
        <v>-9999</v>
      </c>
      <c r="EH168" s="2197">
        <v>-9999</v>
      </c>
      <c r="EI168" s="2197">
        <v>-9999</v>
      </c>
      <c r="EJ168" s="2197">
        <v>-9999</v>
      </c>
      <c r="EK168" s="2197">
        <v>-9999</v>
      </c>
      <c r="EL168" s="2197">
        <v>-9999</v>
      </c>
      <c r="EM168" s="2197">
        <v>-9999</v>
      </c>
    </row>
    <row r="169" spans="1:143">
      <c r="A169" s="22">
        <v>69</v>
      </c>
      <c r="B169" s="36" t="s">
        <v>1705</v>
      </c>
      <c r="C169" s="25">
        <v>-9999</v>
      </c>
      <c r="D169" s="25">
        <v>-9999</v>
      </c>
      <c r="E169" s="25">
        <v>-9999</v>
      </c>
      <c r="F169" s="25">
        <v>-9999</v>
      </c>
      <c r="G169" s="25">
        <v>-9999</v>
      </c>
      <c r="H169" s="25">
        <v>-9999</v>
      </c>
      <c r="I169" s="25">
        <v>-9999</v>
      </c>
      <c r="J169" s="25">
        <v>-9999</v>
      </c>
      <c r="K169" s="25">
        <v>-9999</v>
      </c>
      <c r="L169" s="25">
        <v>-9999</v>
      </c>
      <c r="M169" s="25">
        <v>-9999</v>
      </c>
      <c r="N169" s="25">
        <v>-9999</v>
      </c>
      <c r="O169" s="25">
        <v>-9999</v>
      </c>
      <c r="P169" s="32"/>
      <c r="Q169"/>
      <c r="AA169" s="22">
        <v>69</v>
      </c>
      <c r="AB169" s="1040" t="str">
        <f t="shared" si="8"/>
        <v>FOR FUTURE USE</v>
      </c>
      <c r="AC169" s="1040">
        <f>CHOOSE(Tables!$U$2,Transfer!CA169,Transfer!CN169,Transfer!DA169,Transfer!DN169,Transfer!EA169)</f>
        <v>-9999</v>
      </c>
      <c r="AD169" s="1040">
        <f>CHOOSE(Tables!$U$2,Transfer!CB169,Transfer!CO169,Transfer!DB169,Transfer!DO169,Transfer!EB169)</f>
        <v>-9999</v>
      </c>
      <c r="AE169" s="1040">
        <f>CHOOSE(Tables!$U$2,Transfer!CC169,Transfer!CP169,Transfer!DC169,Transfer!DP169,Transfer!EC169)</f>
        <v>-9999</v>
      </c>
      <c r="AF169" s="1040">
        <f>CHOOSE(Tables!$U$2,Transfer!CD169,Transfer!CQ169,Transfer!DD169,Transfer!DQ169,Transfer!ED169)</f>
        <v>-9999</v>
      </c>
      <c r="AG169" s="1040">
        <f>CHOOSE(Tables!$U$2,Transfer!CE169,Transfer!CR169,Transfer!DE169,Transfer!DR169,Transfer!EE169)</f>
        <v>-9999</v>
      </c>
      <c r="AH169" s="1040">
        <f>CHOOSE(Tables!$U$2,Transfer!CF169,Transfer!CS169,Transfer!DF169,Transfer!DS169,Transfer!EF169)</f>
        <v>-9999</v>
      </c>
      <c r="AI169" s="1040">
        <f>CHOOSE(Tables!$U$2,Transfer!CG169,Transfer!CT169,Transfer!DG169,Transfer!DT169,Transfer!EG169)</f>
        <v>-9999</v>
      </c>
      <c r="AJ169" s="1040">
        <f>CHOOSE(Tables!$U$2,Transfer!CH169,Transfer!CU169,Transfer!DH169,Transfer!DU169,Transfer!EH169)</f>
        <v>-9999</v>
      </c>
      <c r="AK169" s="1040">
        <f>CHOOSE(Tables!$U$2,Transfer!CI169,Transfer!CV169,Transfer!DI169,Transfer!DV169,Transfer!EI169)</f>
        <v>-9999</v>
      </c>
      <c r="AL169" s="1040">
        <f>CHOOSE(Tables!$U$2,Transfer!CJ169,Transfer!CW169,Transfer!DJ169,Transfer!DW169,Transfer!EJ169)</f>
        <v>-9999</v>
      </c>
      <c r="AM169" s="1040">
        <f>CHOOSE(Tables!$U$2,Transfer!CK169,Transfer!CX169,Transfer!DK169,Transfer!DX169,Transfer!EK169)</f>
        <v>-9999</v>
      </c>
      <c r="AN169" s="1040">
        <f>CHOOSE(Tables!$U$2,Transfer!CL169,Transfer!CY169,Transfer!DL169,Transfer!DY169,Transfer!EL169)</f>
        <v>-9999</v>
      </c>
      <c r="AO169" s="1040">
        <f>CHOOSE(Tables!$U$2,Transfer!CM169,Transfer!CZ169,Transfer!DM169,Transfer!DZ169,Transfer!EM169)</f>
        <v>-9999</v>
      </c>
      <c r="AR169" s="22">
        <v>69</v>
      </c>
      <c r="AS169" s="27" t="s">
        <v>560</v>
      </c>
      <c r="AT169" s="24">
        <f t="shared" si="9"/>
        <v>0</v>
      </c>
      <c r="AU169" s="24">
        <f t="shared" si="9"/>
        <v>0</v>
      </c>
      <c r="AV169" s="24">
        <f t="shared" si="9"/>
        <v>0</v>
      </c>
      <c r="AW169" s="24">
        <f t="shared" si="9"/>
        <v>0</v>
      </c>
      <c r="AX169" s="24">
        <f t="shared" si="9"/>
        <v>0</v>
      </c>
      <c r="AY169" s="25">
        <f t="shared" si="9"/>
        <v>0</v>
      </c>
      <c r="AZ169" s="25">
        <f t="shared" si="7"/>
        <v>0</v>
      </c>
      <c r="BA169" s="25">
        <f t="shared" si="7"/>
        <v>0</v>
      </c>
      <c r="BB169" s="25">
        <f t="shared" si="7"/>
        <v>0</v>
      </c>
      <c r="BC169" s="25">
        <f t="shared" si="7"/>
        <v>0</v>
      </c>
      <c r="BD169" s="25">
        <f t="shared" si="7"/>
        <v>0</v>
      </c>
      <c r="BE169" s="25">
        <f t="shared" si="7"/>
        <v>0</v>
      </c>
      <c r="BF169" s="25">
        <f t="shared" si="7"/>
        <v>0</v>
      </c>
      <c r="CA169" s="16">
        <v>-9999</v>
      </c>
      <c r="CB169" s="16">
        <v>-9999</v>
      </c>
      <c r="CC169" s="16">
        <v>-9999</v>
      </c>
      <c r="CD169" s="16">
        <v>-9999</v>
      </c>
      <c r="CE169" s="16">
        <v>-9999</v>
      </c>
      <c r="CF169" s="16">
        <v>-9999</v>
      </c>
      <c r="CG169" s="16">
        <v>-9999</v>
      </c>
      <c r="CH169" s="16">
        <v>-9999</v>
      </c>
      <c r="CI169" s="16">
        <v>-9999</v>
      </c>
      <c r="CJ169" s="16">
        <v>-9999</v>
      </c>
      <c r="CK169" s="16">
        <v>-9999</v>
      </c>
      <c r="CL169" s="16">
        <v>-9999</v>
      </c>
      <c r="CM169" s="16">
        <v>-9999</v>
      </c>
      <c r="CN169" s="16">
        <v>-9999</v>
      </c>
      <c r="CO169" s="16">
        <v>-9999</v>
      </c>
      <c r="CP169" s="16">
        <v>-9999</v>
      </c>
      <c r="CQ169" s="16">
        <v>-9999</v>
      </c>
      <c r="CR169" s="16">
        <v>-9999</v>
      </c>
      <c r="CS169" s="16">
        <v>-9999</v>
      </c>
      <c r="CT169" s="16">
        <v>-9999</v>
      </c>
      <c r="CU169" s="16">
        <v>-9999</v>
      </c>
      <c r="CV169" s="16">
        <v>-9999</v>
      </c>
      <c r="CW169" s="16">
        <v>-9999</v>
      </c>
      <c r="CX169" s="16">
        <v>-9999</v>
      </c>
      <c r="CY169" s="16">
        <v>-9999</v>
      </c>
      <c r="CZ169" s="16">
        <v>-9999</v>
      </c>
      <c r="DA169" s="16">
        <v>-9999</v>
      </c>
      <c r="DB169" s="16">
        <v>-9999</v>
      </c>
      <c r="DC169" s="16">
        <v>-9999</v>
      </c>
      <c r="DD169" s="16">
        <v>-9999</v>
      </c>
      <c r="DE169" s="16">
        <v>-9999</v>
      </c>
      <c r="DF169" s="16">
        <v>-9999</v>
      </c>
      <c r="DG169" s="16">
        <v>-9999</v>
      </c>
      <c r="DH169" s="16">
        <v>-9999</v>
      </c>
      <c r="DI169" s="16">
        <v>-9999</v>
      </c>
      <c r="DJ169" s="16">
        <v>-9999</v>
      </c>
      <c r="DK169" s="16">
        <v>-9999</v>
      </c>
      <c r="DL169" s="16">
        <v>-9999</v>
      </c>
      <c r="DM169" s="16">
        <v>-9999</v>
      </c>
      <c r="DN169" s="16">
        <v>-9999</v>
      </c>
      <c r="DO169" s="16">
        <v>-9999</v>
      </c>
      <c r="DP169" s="16">
        <v>-9999</v>
      </c>
      <c r="DQ169" s="16">
        <v>-9999</v>
      </c>
      <c r="DR169" s="16">
        <v>-9999</v>
      </c>
      <c r="DS169" s="16">
        <v>-9999</v>
      </c>
      <c r="DT169" s="16">
        <v>-9999</v>
      </c>
      <c r="DU169" s="16">
        <v>-9999</v>
      </c>
      <c r="DV169" s="16">
        <v>-9999</v>
      </c>
      <c r="DW169" s="16">
        <v>-9999</v>
      </c>
      <c r="DX169" s="16">
        <v>-9999</v>
      </c>
      <c r="DY169" s="16">
        <v>-9999</v>
      </c>
      <c r="DZ169" s="16">
        <v>-9999</v>
      </c>
      <c r="EA169" s="2196">
        <v>-9999</v>
      </c>
      <c r="EB169" s="2196">
        <v>-9999</v>
      </c>
      <c r="EC169" s="2196">
        <v>-9999</v>
      </c>
      <c r="ED169" s="2196">
        <v>-9999</v>
      </c>
      <c r="EE169" s="2196">
        <v>-9999</v>
      </c>
      <c r="EF169" s="2197">
        <v>-9999</v>
      </c>
      <c r="EG169" s="2197">
        <v>-9999</v>
      </c>
      <c r="EH169" s="2197">
        <v>-9999</v>
      </c>
      <c r="EI169" s="2197">
        <v>-9999</v>
      </c>
      <c r="EJ169" s="2197">
        <v>-9999</v>
      </c>
      <c r="EK169" s="2197">
        <v>-9999</v>
      </c>
      <c r="EL169" s="2197">
        <v>-9999</v>
      </c>
      <c r="EM169" s="2197">
        <v>-9999</v>
      </c>
    </row>
    <row r="170" spans="1:143">
      <c r="A170" s="22">
        <v>70</v>
      </c>
      <c r="B170" s="36" t="s">
        <v>1705</v>
      </c>
      <c r="C170" s="25">
        <v>-9999</v>
      </c>
      <c r="D170" s="25">
        <v>-9999</v>
      </c>
      <c r="E170" s="25">
        <v>-9999</v>
      </c>
      <c r="F170" s="25">
        <v>-9999</v>
      </c>
      <c r="G170" s="25">
        <v>-9999</v>
      </c>
      <c r="H170" s="25">
        <v>-9999</v>
      </c>
      <c r="I170" s="25">
        <v>-9999</v>
      </c>
      <c r="J170" s="25">
        <v>-9999</v>
      </c>
      <c r="K170" s="25">
        <v>-9999</v>
      </c>
      <c r="L170" s="25">
        <v>-9999</v>
      </c>
      <c r="M170" s="25">
        <v>-9999</v>
      </c>
      <c r="N170" s="25">
        <v>-9999</v>
      </c>
      <c r="O170" s="25">
        <v>-9999</v>
      </c>
      <c r="P170" s="32"/>
      <c r="Q170"/>
      <c r="AA170" s="22">
        <v>70</v>
      </c>
      <c r="AB170" s="1040" t="str">
        <f t="shared" si="8"/>
        <v>FOR FUTURE USE</v>
      </c>
      <c r="AC170" s="1040">
        <f>CHOOSE(Tables!$U$2,Transfer!CA170,Transfer!CN170,Transfer!DA170,Transfer!DN170,Transfer!EA170)</f>
        <v>-9999</v>
      </c>
      <c r="AD170" s="1040">
        <f>CHOOSE(Tables!$U$2,Transfer!CB170,Transfer!CO170,Transfer!DB170,Transfer!DO170,Transfer!EB170)</f>
        <v>-9999</v>
      </c>
      <c r="AE170" s="1040">
        <f>CHOOSE(Tables!$U$2,Transfer!CC170,Transfer!CP170,Transfer!DC170,Transfer!DP170,Transfer!EC170)</f>
        <v>-9999</v>
      </c>
      <c r="AF170" s="1040">
        <f>CHOOSE(Tables!$U$2,Transfer!CD170,Transfer!CQ170,Transfer!DD170,Transfer!DQ170,Transfer!ED170)</f>
        <v>-9999</v>
      </c>
      <c r="AG170" s="1040">
        <f>CHOOSE(Tables!$U$2,Transfer!CE170,Transfer!CR170,Transfer!DE170,Transfer!DR170,Transfer!EE170)</f>
        <v>-9999</v>
      </c>
      <c r="AH170" s="1040">
        <f>CHOOSE(Tables!$U$2,Transfer!CF170,Transfer!CS170,Transfer!DF170,Transfer!DS170,Transfer!EF170)</f>
        <v>-9999</v>
      </c>
      <c r="AI170" s="1040">
        <f>CHOOSE(Tables!$U$2,Transfer!CG170,Transfer!CT170,Transfer!DG170,Transfer!DT170,Transfer!EG170)</f>
        <v>-9999</v>
      </c>
      <c r="AJ170" s="1040">
        <f>CHOOSE(Tables!$U$2,Transfer!CH170,Transfer!CU170,Transfer!DH170,Transfer!DU170,Transfer!EH170)</f>
        <v>-9999</v>
      </c>
      <c r="AK170" s="1040">
        <f>CHOOSE(Tables!$U$2,Transfer!CI170,Transfer!CV170,Transfer!DI170,Transfer!DV170,Transfer!EI170)</f>
        <v>-9999</v>
      </c>
      <c r="AL170" s="1040">
        <f>CHOOSE(Tables!$U$2,Transfer!CJ170,Transfer!CW170,Transfer!DJ170,Transfer!DW170,Transfer!EJ170)</f>
        <v>-9999</v>
      </c>
      <c r="AM170" s="1040">
        <f>CHOOSE(Tables!$U$2,Transfer!CK170,Transfer!CX170,Transfer!DK170,Transfer!DX170,Transfer!EK170)</f>
        <v>-9999</v>
      </c>
      <c r="AN170" s="1040">
        <f>CHOOSE(Tables!$U$2,Transfer!CL170,Transfer!CY170,Transfer!DL170,Transfer!DY170,Transfer!EL170)</f>
        <v>-9999</v>
      </c>
      <c r="AO170" s="1040">
        <f>CHOOSE(Tables!$U$2,Transfer!CM170,Transfer!CZ170,Transfer!DM170,Transfer!DZ170,Transfer!EM170)</f>
        <v>-9999</v>
      </c>
      <c r="AR170" s="22">
        <v>70</v>
      </c>
      <c r="AS170" s="31" t="s">
        <v>561</v>
      </c>
      <c r="AT170" s="2069">
        <f t="shared" si="9"/>
        <v>0</v>
      </c>
      <c r="AU170" s="2069">
        <f t="shared" si="9"/>
        <v>0</v>
      </c>
      <c r="AV170" s="2069">
        <f t="shared" si="9"/>
        <v>0</v>
      </c>
      <c r="AW170" s="2069">
        <f t="shared" si="9"/>
        <v>0</v>
      </c>
      <c r="AX170" s="2069">
        <f t="shared" si="9"/>
        <v>0</v>
      </c>
      <c r="AY170" s="25">
        <f t="shared" si="9"/>
        <v>0</v>
      </c>
      <c r="AZ170" s="25">
        <f t="shared" si="7"/>
        <v>0</v>
      </c>
      <c r="BA170" s="25">
        <f t="shared" si="7"/>
        <v>0</v>
      </c>
      <c r="BB170" s="25">
        <f t="shared" si="7"/>
        <v>0</v>
      </c>
      <c r="BC170" s="25">
        <f t="shared" si="7"/>
        <v>0</v>
      </c>
      <c r="BD170" s="25">
        <f t="shared" si="7"/>
        <v>0</v>
      </c>
      <c r="BE170" s="25">
        <f t="shared" si="7"/>
        <v>0</v>
      </c>
      <c r="BF170" s="25">
        <f t="shared" si="7"/>
        <v>0</v>
      </c>
      <c r="CA170" s="16">
        <v>-9999</v>
      </c>
      <c r="CB170" s="16">
        <v>-9999</v>
      </c>
      <c r="CC170" s="16">
        <v>-9999</v>
      </c>
      <c r="CD170" s="16">
        <v>-9999</v>
      </c>
      <c r="CE170" s="16">
        <v>-9999</v>
      </c>
      <c r="CF170" s="16">
        <v>-9999</v>
      </c>
      <c r="CG170" s="16">
        <v>-9999</v>
      </c>
      <c r="CH170" s="16">
        <v>-9999</v>
      </c>
      <c r="CI170" s="16">
        <v>-9999</v>
      </c>
      <c r="CJ170" s="16">
        <v>-9999</v>
      </c>
      <c r="CK170" s="16">
        <v>-9999</v>
      </c>
      <c r="CL170" s="16">
        <v>-9999</v>
      </c>
      <c r="CM170" s="16">
        <v>-9999</v>
      </c>
      <c r="CN170" s="16">
        <v>-9999</v>
      </c>
      <c r="CO170" s="16">
        <v>-9999</v>
      </c>
      <c r="CP170" s="16">
        <v>-9999</v>
      </c>
      <c r="CQ170" s="16">
        <v>-9999</v>
      </c>
      <c r="CR170" s="16">
        <v>-9999</v>
      </c>
      <c r="CS170" s="16">
        <v>-9999</v>
      </c>
      <c r="CT170" s="16">
        <v>-9999</v>
      </c>
      <c r="CU170" s="16">
        <v>-9999</v>
      </c>
      <c r="CV170" s="16">
        <v>-9999</v>
      </c>
      <c r="CW170" s="16">
        <v>-9999</v>
      </c>
      <c r="CX170" s="16">
        <v>-9999</v>
      </c>
      <c r="CY170" s="16">
        <v>-9999</v>
      </c>
      <c r="CZ170" s="16">
        <v>-9999</v>
      </c>
      <c r="DA170" s="16">
        <v>-9999</v>
      </c>
      <c r="DB170" s="16">
        <v>-9999</v>
      </c>
      <c r="DC170" s="16">
        <v>-9999</v>
      </c>
      <c r="DD170" s="16">
        <v>-9999</v>
      </c>
      <c r="DE170" s="16">
        <v>-9999</v>
      </c>
      <c r="DF170" s="16">
        <v>-9999</v>
      </c>
      <c r="DG170" s="16">
        <v>-9999</v>
      </c>
      <c r="DH170" s="16">
        <v>-9999</v>
      </c>
      <c r="DI170" s="16">
        <v>-9999</v>
      </c>
      <c r="DJ170" s="16">
        <v>-9999</v>
      </c>
      <c r="DK170" s="16">
        <v>-9999</v>
      </c>
      <c r="DL170" s="16">
        <v>-9999</v>
      </c>
      <c r="DM170" s="16">
        <v>-9999</v>
      </c>
      <c r="DN170" s="16">
        <v>-9999</v>
      </c>
      <c r="DO170" s="16">
        <v>-9999</v>
      </c>
      <c r="DP170" s="16">
        <v>-9999</v>
      </c>
      <c r="DQ170" s="16">
        <v>-9999</v>
      </c>
      <c r="DR170" s="16">
        <v>-9999</v>
      </c>
      <c r="DS170" s="16">
        <v>-9999</v>
      </c>
      <c r="DT170" s="16">
        <v>-9999</v>
      </c>
      <c r="DU170" s="16">
        <v>-9999</v>
      </c>
      <c r="DV170" s="16">
        <v>-9999</v>
      </c>
      <c r="DW170" s="16">
        <v>-9999</v>
      </c>
      <c r="DX170" s="16">
        <v>-9999</v>
      </c>
      <c r="DY170" s="16">
        <v>-9999</v>
      </c>
      <c r="DZ170" s="16">
        <v>-9999</v>
      </c>
      <c r="EA170" s="2197">
        <v>-9999</v>
      </c>
      <c r="EB170" s="2197">
        <v>-9999</v>
      </c>
      <c r="EC170" s="2197">
        <v>-9999</v>
      </c>
      <c r="ED170" s="2197">
        <v>-9999</v>
      </c>
      <c r="EE170" s="2197">
        <v>-9999</v>
      </c>
      <c r="EF170" s="2197">
        <v>-9999</v>
      </c>
      <c r="EG170" s="2197">
        <v>-9999</v>
      </c>
      <c r="EH170" s="2197">
        <v>-9999</v>
      </c>
      <c r="EI170" s="2197">
        <v>-9999</v>
      </c>
      <c r="EJ170" s="2197">
        <v>-9999</v>
      </c>
      <c r="EK170" s="2197">
        <v>-9999</v>
      </c>
      <c r="EL170" s="2197">
        <v>-9999</v>
      </c>
      <c r="EM170" s="2197">
        <v>-9999</v>
      </c>
    </row>
    <row r="171" spans="1:143">
      <c r="A171" s="22">
        <v>71</v>
      </c>
      <c r="B171" s="36" t="s">
        <v>1705</v>
      </c>
      <c r="C171" s="25">
        <v>-9999</v>
      </c>
      <c r="D171" s="25">
        <v>-9999</v>
      </c>
      <c r="E171" s="25">
        <v>-9999</v>
      </c>
      <c r="F171" s="25">
        <v>-9999</v>
      </c>
      <c r="G171" s="25">
        <v>-9999</v>
      </c>
      <c r="H171" s="25">
        <v>-9999</v>
      </c>
      <c r="I171" s="25">
        <v>-9999</v>
      </c>
      <c r="J171" s="25">
        <v>-9999</v>
      </c>
      <c r="K171" s="25">
        <v>-9999</v>
      </c>
      <c r="L171" s="25">
        <v>-9999</v>
      </c>
      <c r="M171" s="25">
        <v>-9999</v>
      </c>
      <c r="N171" s="25">
        <v>-9999</v>
      </c>
      <c r="O171" s="25">
        <v>-9999</v>
      </c>
      <c r="P171" s="32"/>
      <c r="Q171"/>
      <c r="AA171" s="22">
        <v>71</v>
      </c>
      <c r="AB171" s="1040" t="str">
        <f t="shared" si="8"/>
        <v>FOR FUTURE USE</v>
      </c>
      <c r="AC171" s="1040">
        <f>CHOOSE(Tables!$U$2,Transfer!CA171,Transfer!CN171,Transfer!DA171,Transfer!DN171,Transfer!EA171)</f>
        <v>-9999</v>
      </c>
      <c r="AD171" s="1040">
        <f>CHOOSE(Tables!$U$2,Transfer!CB171,Transfer!CO171,Transfer!DB171,Transfer!DO171,Transfer!EB171)</f>
        <v>-9999</v>
      </c>
      <c r="AE171" s="1040">
        <f>CHOOSE(Tables!$U$2,Transfer!CC171,Transfer!CP171,Transfer!DC171,Transfer!DP171,Transfer!EC171)</f>
        <v>-9999</v>
      </c>
      <c r="AF171" s="1040">
        <f>CHOOSE(Tables!$U$2,Transfer!CD171,Transfer!CQ171,Transfer!DD171,Transfer!DQ171,Transfer!ED171)</f>
        <v>-9999</v>
      </c>
      <c r="AG171" s="1040">
        <f>CHOOSE(Tables!$U$2,Transfer!CE171,Transfer!CR171,Transfer!DE171,Transfer!DR171,Transfer!EE171)</f>
        <v>-9999</v>
      </c>
      <c r="AH171" s="1040">
        <f>CHOOSE(Tables!$U$2,Transfer!CF171,Transfer!CS171,Transfer!DF171,Transfer!DS171,Transfer!EF171)</f>
        <v>-9999</v>
      </c>
      <c r="AI171" s="1040">
        <f>CHOOSE(Tables!$U$2,Transfer!CG171,Transfer!CT171,Transfer!DG171,Transfer!DT171,Transfer!EG171)</f>
        <v>-9999</v>
      </c>
      <c r="AJ171" s="1040">
        <f>CHOOSE(Tables!$U$2,Transfer!CH171,Transfer!CU171,Transfer!DH171,Transfer!DU171,Transfer!EH171)</f>
        <v>-9999</v>
      </c>
      <c r="AK171" s="1040">
        <f>CHOOSE(Tables!$U$2,Transfer!CI171,Transfer!CV171,Transfer!DI171,Transfer!DV171,Transfer!EI171)</f>
        <v>-9999</v>
      </c>
      <c r="AL171" s="1040">
        <f>CHOOSE(Tables!$U$2,Transfer!CJ171,Transfer!CW171,Transfer!DJ171,Transfer!DW171,Transfer!EJ171)</f>
        <v>-9999</v>
      </c>
      <c r="AM171" s="1040">
        <f>CHOOSE(Tables!$U$2,Transfer!CK171,Transfer!CX171,Transfer!DK171,Transfer!DX171,Transfer!EK171)</f>
        <v>-9999</v>
      </c>
      <c r="AN171" s="1040">
        <f>CHOOSE(Tables!$U$2,Transfer!CL171,Transfer!CY171,Transfer!DL171,Transfer!DY171,Transfer!EL171)</f>
        <v>-9999</v>
      </c>
      <c r="AO171" s="1040">
        <f>CHOOSE(Tables!$U$2,Transfer!CM171,Transfer!CZ171,Transfer!DM171,Transfer!DZ171,Transfer!EM171)</f>
        <v>-9999</v>
      </c>
      <c r="AR171" s="22">
        <v>71</v>
      </c>
      <c r="AS171" s="27" t="s">
        <v>562</v>
      </c>
      <c r="AT171" s="20">
        <f t="shared" si="9"/>
        <v>0</v>
      </c>
      <c r="AU171" s="20">
        <f t="shared" si="9"/>
        <v>0</v>
      </c>
      <c r="AV171" s="20">
        <f t="shared" si="9"/>
        <v>0</v>
      </c>
      <c r="AW171" s="20">
        <f t="shared" si="9"/>
        <v>0</v>
      </c>
      <c r="AX171" s="20">
        <f t="shared" si="9"/>
        <v>0</v>
      </c>
      <c r="AY171" s="25">
        <f t="shared" si="9"/>
        <v>0</v>
      </c>
      <c r="AZ171" s="25">
        <f t="shared" si="7"/>
        <v>0</v>
      </c>
      <c r="BA171" s="25">
        <f t="shared" si="7"/>
        <v>0</v>
      </c>
      <c r="BB171" s="25">
        <f t="shared" si="7"/>
        <v>0</v>
      </c>
      <c r="BC171" s="25">
        <f t="shared" si="7"/>
        <v>0</v>
      </c>
      <c r="BD171" s="25">
        <f t="shared" si="7"/>
        <v>0</v>
      </c>
      <c r="BE171" s="25">
        <f t="shared" si="7"/>
        <v>0</v>
      </c>
      <c r="BF171" s="25">
        <f t="shared" si="7"/>
        <v>0</v>
      </c>
      <c r="CA171" s="16">
        <v>-9999</v>
      </c>
      <c r="CB171" s="16">
        <v>-9999</v>
      </c>
      <c r="CC171" s="16">
        <v>-9999</v>
      </c>
      <c r="CD171" s="16">
        <v>-9999</v>
      </c>
      <c r="CE171" s="16">
        <v>-9999</v>
      </c>
      <c r="CF171" s="16">
        <v>-9999</v>
      </c>
      <c r="CG171" s="16">
        <v>-9999</v>
      </c>
      <c r="CH171" s="16">
        <v>-9999</v>
      </c>
      <c r="CI171" s="16">
        <v>-9999</v>
      </c>
      <c r="CJ171" s="16">
        <v>-9999</v>
      </c>
      <c r="CK171" s="16">
        <v>-9999</v>
      </c>
      <c r="CL171" s="16">
        <v>-9999</v>
      </c>
      <c r="CM171" s="16">
        <v>-9999</v>
      </c>
      <c r="CN171" s="16">
        <v>-9999</v>
      </c>
      <c r="CO171" s="16">
        <v>-9999</v>
      </c>
      <c r="CP171" s="16">
        <v>-9999</v>
      </c>
      <c r="CQ171" s="16">
        <v>-9999</v>
      </c>
      <c r="CR171" s="16">
        <v>-9999</v>
      </c>
      <c r="CS171" s="16">
        <v>-9999</v>
      </c>
      <c r="CT171" s="16">
        <v>-9999</v>
      </c>
      <c r="CU171" s="16">
        <v>-9999</v>
      </c>
      <c r="CV171" s="16">
        <v>-9999</v>
      </c>
      <c r="CW171" s="16">
        <v>-9999</v>
      </c>
      <c r="CX171" s="16">
        <v>-9999</v>
      </c>
      <c r="CY171" s="16">
        <v>-9999</v>
      </c>
      <c r="CZ171" s="16">
        <v>-9999</v>
      </c>
      <c r="DA171" s="16">
        <v>-9999</v>
      </c>
      <c r="DB171" s="16">
        <v>-9999</v>
      </c>
      <c r="DC171" s="16">
        <v>-9999</v>
      </c>
      <c r="DD171" s="16">
        <v>-9999</v>
      </c>
      <c r="DE171" s="16">
        <v>-9999</v>
      </c>
      <c r="DF171" s="16">
        <v>-9999</v>
      </c>
      <c r="DG171" s="16">
        <v>-9999</v>
      </c>
      <c r="DH171" s="16">
        <v>-9999</v>
      </c>
      <c r="DI171" s="16">
        <v>-9999</v>
      </c>
      <c r="DJ171" s="16">
        <v>-9999</v>
      </c>
      <c r="DK171" s="16">
        <v>-9999</v>
      </c>
      <c r="DL171" s="16">
        <v>-9999</v>
      </c>
      <c r="DM171" s="16">
        <v>-9999</v>
      </c>
      <c r="DN171" s="16">
        <v>-9999</v>
      </c>
      <c r="DO171" s="16">
        <v>-9999</v>
      </c>
      <c r="DP171" s="16">
        <v>-9999</v>
      </c>
      <c r="DQ171" s="16">
        <v>-9999</v>
      </c>
      <c r="DR171" s="16">
        <v>-9999</v>
      </c>
      <c r="DS171" s="16">
        <v>-9999</v>
      </c>
      <c r="DT171" s="16">
        <v>-9999</v>
      </c>
      <c r="DU171" s="16">
        <v>-9999</v>
      </c>
      <c r="DV171" s="16">
        <v>-9999</v>
      </c>
      <c r="DW171" s="16">
        <v>-9999</v>
      </c>
      <c r="DX171" s="16">
        <v>-9999</v>
      </c>
      <c r="DY171" s="16">
        <v>-9999</v>
      </c>
      <c r="DZ171" s="16">
        <v>-9999</v>
      </c>
      <c r="EA171" s="2196">
        <v>-9999</v>
      </c>
      <c r="EB171" s="2196">
        <v>-9999</v>
      </c>
      <c r="EC171" s="2196">
        <v>-9999</v>
      </c>
      <c r="ED171" s="2196">
        <v>-9999</v>
      </c>
      <c r="EE171" s="2196">
        <v>-9999</v>
      </c>
      <c r="EF171" s="2197">
        <v>-9999</v>
      </c>
      <c r="EG171" s="2197">
        <v>-9999</v>
      </c>
      <c r="EH171" s="2197">
        <v>-9999</v>
      </c>
      <c r="EI171" s="2197">
        <v>-9999</v>
      </c>
      <c r="EJ171" s="2197">
        <v>-9999</v>
      </c>
      <c r="EK171" s="2197">
        <v>-9999</v>
      </c>
      <c r="EL171" s="2197">
        <v>-9999</v>
      </c>
      <c r="EM171" s="2197">
        <v>-9999</v>
      </c>
    </row>
    <row r="172" spans="1:143">
      <c r="A172" s="22">
        <v>72</v>
      </c>
      <c r="B172" s="36" t="s">
        <v>1705</v>
      </c>
      <c r="C172" s="25">
        <v>-9999</v>
      </c>
      <c r="D172" s="25">
        <v>-9999</v>
      </c>
      <c r="E172" s="25">
        <v>-9999</v>
      </c>
      <c r="F172" s="25">
        <v>-9999</v>
      </c>
      <c r="G172" s="25">
        <v>-9999</v>
      </c>
      <c r="H172" s="25">
        <v>-9999</v>
      </c>
      <c r="I172" s="25">
        <v>-9999</v>
      </c>
      <c r="J172" s="25">
        <v>-9999</v>
      </c>
      <c r="K172" s="25">
        <v>-9999</v>
      </c>
      <c r="L172" s="25">
        <v>-9999</v>
      </c>
      <c r="M172" s="25">
        <v>-9999</v>
      </c>
      <c r="N172" s="25">
        <v>-9999</v>
      </c>
      <c r="O172" s="25">
        <v>-9999</v>
      </c>
      <c r="P172" s="32"/>
      <c r="Q172"/>
      <c r="AA172" s="22">
        <v>72</v>
      </c>
      <c r="AB172" s="1040" t="str">
        <f t="shared" si="8"/>
        <v>FOR FUTURE USE</v>
      </c>
      <c r="AC172" s="1040">
        <f>CHOOSE(Tables!$U$2,Transfer!CA172,Transfer!CN172,Transfer!DA172,Transfer!DN172,Transfer!EA172)</f>
        <v>-9999</v>
      </c>
      <c r="AD172" s="1040">
        <f>CHOOSE(Tables!$U$2,Transfer!CB172,Transfer!CO172,Transfer!DB172,Transfer!DO172,Transfer!EB172)</f>
        <v>-9999</v>
      </c>
      <c r="AE172" s="1040">
        <f>CHOOSE(Tables!$U$2,Transfer!CC172,Transfer!CP172,Transfer!DC172,Transfer!DP172,Transfer!EC172)</f>
        <v>-9999</v>
      </c>
      <c r="AF172" s="1040">
        <f>CHOOSE(Tables!$U$2,Transfer!CD172,Transfer!CQ172,Transfer!DD172,Transfer!DQ172,Transfer!ED172)</f>
        <v>-9999</v>
      </c>
      <c r="AG172" s="1040">
        <f>CHOOSE(Tables!$U$2,Transfer!CE172,Transfer!CR172,Transfer!DE172,Transfer!DR172,Transfer!EE172)</f>
        <v>-9999</v>
      </c>
      <c r="AH172" s="1040">
        <f>CHOOSE(Tables!$U$2,Transfer!CF172,Transfer!CS172,Transfer!DF172,Transfer!DS172,Transfer!EF172)</f>
        <v>-9999</v>
      </c>
      <c r="AI172" s="1040">
        <f>CHOOSE(Tables!$U$2,Transfer!CG172,Transfer!CT172,Transfer!DG172,Transfer!DT172,Transfer!EG172)</f>
        <v>-9999</v>
      </c>
      <c r="AJ172" s="1040">
        <f>CHOOSE(Tables!$U$2,Transfer!CH172,Transfer!CU172,Transfer!DH172,Transfer!DU172,Transfer!EH172)</f>
        <v>-9999</v>
      </c>
      <c r="AK172" s="1040">
        <f>CHOOSE(Tables!$U$2,Transfer!CI172,Transfer!CV172,Transfer!DI172,Transfer!DV172,Transfer!EI172)</f>
        <v>-9999</v>
      </c>
      <c r="AL172" s="1040">
        <f>CHOOSE(Tables!$U$2,Transfer!CJ172,Transfer!CW172,Transfer!DJ172,Transfer!DW172,Transfer!EJ172)</f>
        <v>-9999</v>
      </c>
      <c r="AM172" s="1040">
        <f>CHOOSE(Tables!$U$2,Transfer!CK172,Transfer!CX172,Transfer!DK172,Transfer!DX172,Transfer!EK172)</f>
        <v>-9999</v>
      </c>
      <c r="AN172" s="1040">
        <f>CHOOSE(Tables!$U$2,Transfer!CL172,Transfer!CY172,Transfer!DL172,Transfer!DY172,Transfer!EL172)</f>
        <v>-9999</v>
      </c>
      <c r="AO172" s="1040">
        <f>CHOOSE(Tables!$U$2,Transfer!CM172,Transfer!CZ172,Transfer!DM172,Transfer!DZ172,Transfer!EM172)</f>
        <v>-9999</v>
      </c>
      <c r="AR172" s="22">
        <v>72</v>
      </c>
      <c r="AS172" s="31" t="s">
        <v>1734</v>
      </c>
      <c r="AT172" s="2070">
        <f t="shared" si="9"/>
        <v>0</v>
      </c>
      <c r="AU172" s="2070">
        <f t="shared" si="9"/>
        <v>0</v>
      </c>
      <c r="AV172" s="2070">
        <f t="shared" si="9"/>
        <v>0</v>
      </c>
      <c r="AW172" s="2070">
        <f t="shared" si="9"/>
        <v>0</v>
      </c>
      <c r="AX172" s="2070">
        <f t="shared" si="9"/>
        <v>0</v>
      </c>
      <c r="AY172" s="25">
        <f t="shared" si="9"/>
        <v>0</v>
      </c>
      <c r="AZ172" s="25">
        <f t="shared" si="7"/>
        <v>0</v>
      </c>
      <c r="BA172" s="25">
        <f t="shared" si="7"/>
        <v>0</v>
      </c>
      <c r="BB172" s="25">
        <f t="shared" si="7"/>
        <v>0</v>
      </c>
      <c r="BC172" s="25">
        <f t="shared" si="7"/>
        <v>0</v>
      </c>
      <c r="BD172" s="25">
        <f t="shared" si="7"/>
        <v>0</v>
      </c>
      <c r="BE172" s="25">
        <f t="shared" si="7"/>
        <v>0</v>
      </c>
      <c r="BF172" s="25">
        <f t="shared" si="7"/>
        <v>0</v>
      </c>
      <c r="CA172" s="16">
        <v>-9999</v>
      </c>
      <c r="CB172" s="16">
        <v>-9999</v>
      </c>
      <c r="CC172" s="16">
        <v>-9999</v>
      </c>
      <c r="CD172" s="16">
        <v>-9999</v>
      </c>
      <c r="CE172" s="16">
        <v>-9999</v>
      </c>
      <c r="CF172" s="16">
        <v>-9999</v>
      </c>
      <c r="CG172" s="16">
        <v>-9999</v>
      </c>
      <c r="CH172" s="16">
        <v>-9999</v>
      </c>
      <c r="CI172" s="16">
        <v>-9999</v>
      </c>
      <c r="CJ172" s="16">
        <v>-9999</v>
      </c>
      <c r="CK172" s="16">
        <v>-9999</v>
      </c>
      <c r="CL172" s="16">
        <v>-9999</v>
      </c>
      <c r="CM172" s="16">
        <v>-9999</v>
      </c>
      <c r="CN172" s="16">
        <v>-9999</v>
      </c>
      <c r="CO172" s="16">
        <v>-9999</v>
      </c>
      <c r="CP172" s="16">
        <v>-9999</v>
      </c>
      <c r="CQ172" s="16">
        <v>-9999</v>
      </c>
      <c r="CR172" s="16">
        <v>-9999</v>
      </c>
      <c r="CS172" s="16">
        <v>-9999</v>
      </c>
      <c r="CT172" s="16">
        <v>-9999</v>
      </c>
      <c r="CU172" s="16">
        <v>-9999</v>
      </c>
      <c r="CV172" s="16">
        <v>-9999</v>
      </c>
      <c r="CW172" s="16">
        <v>-9999</v>
      </c>
      <c r="CX172" s="16">
        <v>-9999</v>
      </c>
      <c r="CY172" s="16">
        <v>-9999</v>
      </c>
      <c r="CZ172" s="16">
        <v>-9999</v>
      </c>
      <c r="DA172" s="16">
        <v>-9999</v>
      </c>
      <c r="DB172" s="16">
        <v>-9999</v>
      </c>
      <c r="DC172" s="16">
        <v>-9999</v>
      </c>
      <c r="DD172" s="16">
        <v>-9999</v>
      </c>
      <c r="DE172" s="16">
        <v>-9999</v>
      </c>
      <c r="DF172" s="16">
        <v>-9999</v>
      </c>
      <c r="DG172" s="16">
        <v>-9999</v>
      </c>
      <c r="DH172" s="16">
        <v>-9999</v>
      </c>
      <c r="DI172" s="16">
        <v>-9999</v>
      </c>
      <c r="DJ172" s="16">
        <v>-9999</v>
      </c>
      <c r="DK172" s="16">
        <v>-9999</v>
      </c>
      <c r="DL172" s="16">
        <v>-9999</v>
      </c>
      <c r="DM172" s="16">
        <v>-9999</v>
      </c>
      <c r="DN172" s="16">
        <v>-9999</v>
      </c>
      <c r="DO172" s="16">
        <v>-9999</v>
      </c>
      <c r="DP172" s="16">
        <v>-9999</v>
      </c>
      <c r="DQ172" s="16">
        <v>-9999</v>
      </c>
      <c r="DR172" s="16">
        <v>-9999</v>
      </c>
      <c r="DS172" s="16">
        <v>-9999</v>
      </c>
      <c r="DT172" s="16">
        <v>-9999</v>
      </c>
      <c r="DU172" s="16">
        <v>-9999</v>
      </c>
      <c r="DV172" s="16">
        <v>-9999</v>
      </c>
      <c r="DW172" s="16">
        <v>-9999</v>
      </c>
      <c r="DX172" s="16">
        <v>-9999</v>
      </c>
      <c r="DY172" s="16">
        <v>-9999</v>
      </c>
      <c r="DZ172" s="16">
        <v>-9999</v>
      </c>
      <c r="EA172" s="2197">
        <v>-9999</v>
      </c>
      <c r="EB172" s="2197">
        <v>-9999</v>
      </c>
      <c r="EC172" s="2197">
        <v>-9999</v>
      </c>
      <c r="ED172" s="2197">
        <v>-9999</v>
      </c>
      <c r="EE172" s="2197">
        <v>-9999</v>
      </c>
      <c r="EF172" s="2197">
        <v>-9999</v>
      </c>
      <c r="EG172" s="2197">
        <v>-9999</v>
      </c>
      <c r="EH172" s="2197">
        <v>-9999</v>
      </c>
      <c r="EI172" s="2197">
        <v>-9999</v>
      </c>
      <c r="EJ172" s="2197">
        <v>-9999</v>
      </c>
      <c r="EK172" s="2197">
        <v>-9999</v>
      </c>
      <c r="EL172" s="2197">
        <v>-9999</v>
      </c>
      <c r="EM172" s="2197">
        <v>-9999</v>
      </c>
    </row>
    <row r="173" spans="1:143">
      <c r="A173" s="22">
        <v>73</v>
      </c>
      <c r="B173" s="36" t="s">
        <v>1705</v>
      </c>
      <c r="C173" s="25">
        <v>-9999</v>
      </c>
      <c r="D173" s="25">
        <v>-9999</v>
      </c>
      <c r="E173" s="25">
        <v>-9999</v>
      </c>
      <c r="F173" s="25">
        <v>-9999</v>
      </c>
      <c r="G173" s="25">
        <v>-9999</v>
      </c>
      <c r="H173" s="25">
        <v>-9999</v>
      </c>
      <c r="I173" s="25">
        <v>-9999</v>
      </c>
      <c r="J173" s="25">
        <v>-9999</v>
      </c>
      <c r="K173" s="25">
        <v>-9999</v>
      </c>
      <c r="L173" s="25">
        <v>-9999</v>
      </c>
      <c r="M173" s="25">
        <v>-9999</v>
      </c>
      <c r="N173" s="25">
        <v>-9999</v>
      </c>
      <c r="O173" s="25">
        <v>-9999</v>
      </c>
      <c r="P173" s="32"/>
      <c r="Q173"/>
      <c r="AA173" s="22">
        <v>73</v>
      </c>
      <c r="AB173" s="1040" t="str">
        <f t="shared" si="8"/>
        <v>FOR FUTURE USE</v>
      </c>
      <c r="AC173" s="1040">
        <f>CHOOSE(Tables!$U$2,Transfer!CA173,Transfer!CN173,Transfer!DA173,Transfer!DN173,Transfer!EA173)</f>
        <v>-9999</v>
      </c>
      <c r="AD173" s="1040">
        <f>CHOOSE(Tables!$U$2,Transfer!CB173,Transfer!CO173,Transfer!DB173,Transfer!DO173,Transfer!EB173)</f>
        <v>-9999</v>
      </c>
      <c r="AE173" s="1040">
        <f>CHOOSE(Tables!$U$2,Transfer!CC173,Transfer!CP173,Transfer!DC173,Transfer!DP173,Transfer!EC173)</f>
        <v>-9999</v>
      </c>
      <c r="AF173" s="1040">
        <f>CHOOSE(Tables!$U$2,Transfer!CD173,Transfer!CQ173,Transfer!DD173,Transfer!DQ173,Transfer!ED173)</f>
        <v>-9999</v>
      </c>
      <c r="AG173" s="1040">
        <f>CHOOSE(Tables!$U$2,Transfer!CE173,Transfer!CR173,Transfer!DE173,Transfer!DR173,Transfer!EE173)</f>
        <v>-9999</v>
      </c>
      <c r="AH173" s="1040">
        <f>CHOOSE(Tables!$U$2,Transfer!CF173,Transfer!CS173,Transfer!DF173,Transfer!DS173,Transfer!EF173)</f>
        <v>-9999</v>
      </c>
      <c r="AI173" s="1040">
        <f>CHOOSE(Tables!$U$2,Transfer!CG173,Transfer!CT173,Transfer!DG173,Transfer!DT173,Transfer!EG173)</f>
        <v>-9999</v>
      </c>
      <c r="AJ173" s="1040">
        <f>CHOOSE(Tables!$U$2,Transfer!CH173,Transfer!CU173,Transfer!DH173,Transfer!DU173,Transfer!EH173)</f>
        <v>-9999</v>
      </c>
      <c r="AK173" s="1040">
        <f>CHOOSE(Tables!$U$2,Transfer!CI173,Transfer!CV173,Transfer!DI173,Transfer!DV173,Transfer!EI173)</f>
        <v>-9999</v>
      </c>
      <c r="AL173" s="1040">
        <f>CHOOSE(Tables!$U$2,Transfer!CJ173,Transfer!CW173,Transfer!DJ173,Transfer!DW173,Transfer!EJ173)</f>
        <v>-9999</v>
      </c>
      <c r="AM173" s="1040">
        <f>CHOOSE(Tables!$U$2,Transfer!CK173,Transfer!CX173,Transfer!DK173,Transfer!DX173,Transfer!EK173)</f>
        <v>-9999</v>
      </c>
      <c r="AN173" s="1040">
        <f>CHOOSE(Tables!$U$2,Transfer!CL173,Transfer!CY173,Transfer!DL173,Transfer!DY173,Transfer!EL173)</f>
        <v>-9999</v>
      </c>
      <c r="AO173" s="1040">
        <f>CHOOSE(Tables!$U$2,Transfer!CM173,Transfer!CZ173,Transfer!DM173,Transfer!DZ173,Transfer!EM173)</f>
        <v>-9999</v>
      </c>
      <c r="AR173" s="22">
        <v>73</v>
      </c>
      <c r="AS173" s="36" t="s">
        <v>1705</v>
      </c>
      <c r="AT173" s="25">
        <f t="shared" si="9"/>
        <v>0</v>
      </c>
      <c r="AU173" s="25">
        <f t="shared" si="9"/>
        <v>0</v>
      </c>
      <c r="AV173" s="25">
        <f t="shared" si="9"/>
        <v>0</v>
      </c>
      <c r="AW173" s="25">
        <f t="shared" si="9"/>
        <v>0</v>
      </c>
      <c r="AX173" s="25">
        <f t="shared" si="9"/>
        <v>0</v>
      </c>
      <c r="AY173" s="25">
        <f t="shared" si="9"/>
        <v>0</v>
      </c>
      <c r="AZ173" s="25">
        <f t="shared" si="7"/>
        <v>0</v>
      </c>
      <c r="BA173" s="25">
        <f t="shared" si="7"/>
        <v>0</v>
      </c>
      <c r="BB173" s="25">
        <f t="shared" si="7"/>
        <v>0</v>
      </c>
      <c r="BC173" s="25">
        <f t="shared" si="7"/>
        <v>0</v>
      </c>
      <c r="BD173" s="25">
        <f t="shared" si="7"/>
        <v>0</v>
      </c>
      <c r="BE173" s="25">
        <f t="shared" si="7"/>
        <v>0</v>
      </c>
      <c r="BF173" s="25">
        <f t="shared" si="7"/>
        <v>0</v>
      </c>
      <c r="CA173" s="16">
        <v>-9999</v>
      </c>
      <c r="CB173" s="16">
        <v>-9999</v>
      </c>
      <c r="CC173" s="16">
        <v>-9999</v>
      </c>
      <c r="CD173" s="16">
        <v>-9999</v>
      </c>
      <c r="CE173" s="16">
        <v>-9999</v>
      </c>
      <c r="CF173" s="16">
        <v>-9999</v>
      </c>
      <c r="CG173" s="16">
        <v>-9999</v>
      </c>
      <c r="CH173" s="16">
        <v>-9999</v>
      </c>
      <c r="CI173" s="16">
        <v>-9999</v>
      </c>
      <c r="CJ173" s="16">
        <v>-9999</v>
      </c>
      <c r="CK173" s="16">
        <v>-9999</v>
      </c>
      <c r="CL173" s="16">
        <v>-9999</v>
      </c>
      <c r="CM173" s="16">
        <v>-9999</v>
      </c>
      <c r="CN173" s="16">
        <v>-9999</v>
      </c>
      <c r="CO173" s="16">
        <v>-9999</v>
      </c>
      <c r="CP173" s="16">
        <v>-9999</v>
      </c>
      <c r="CQ173" s="16">
        <v>-9999</v>
      </c>
      <c r="CR173" s="16">
        <v>-9999</v>
      </c>
      <c r="CS173" s="16">
        <v>-9999</v>
      </c>
      <c r="CT173" s="16">
        <v>-9999</v>
      </c>
      <c r="CU173" s="16">
        <v>-9999</v>
      </c>
      <c r="CV173" s="16">
        <v>-9999</v>
      </c>
      <c r="CW173" s="16">
        <v>-9999</v>
      </c>
      <c r="CX173" s="16">
        <v>-9999</v>
      </c>
      <c r="CY173" s="16">
        <v>-9999</v>
      </c>
      <c r="CZ173" s="16">
        <v>-9999</v>
      </c>
      <c r="DA173" s="16">
        <v>-9999</v>
      </c>
      <c r="DB173" s="16">
        <v>-9999</v>
      </c>
      <c r="DC173" s="16">
        <v>-9999</v>
      </c>
      <c r="DD173" s="16">
        <v>-9999</v>
      </c>
      <c r="DE173" s="16">
        <v>-9999</v>
      </c>
      <c r="DF173" s="16">
        <v>-9999</v>
      </c>
      <c r="DG173" s="16">
        <v>-9999</v>
      </c>
      <c r="DH173" s="16">
        <v>-9999</v>
      </c>
      <c r="DI173" s="16">
        <v>-9999</v>
      </c>
      <c r="DJ173" s="16">
        <v>-9999</v>
      </c>
      <c r="DK173" s="16">
        <v>-9999</v>
      </c>
      <c r="DL173" s="16">
        <v>-9999</v>
      </c>
      <c r="DM173" s="16">
        <v>-9999</v>
      </c>
      <c r="DN173" s="16">
        <v>-9999</v>
      </c>
      <c r="DO173" s="16">
        <v>-9999</v>
      </c>
      <c r="DP173" s="16">
        <v>-9999</v>
      </c>
      <c r="DQ173" s="16">
        <v>-9999</v>
      </c>
      <c r="DR173" s="16">
        <v>-9999</v>
      </c>
      <c r="DS173" s="16">
        <v>-9999</v>
      </c>
      <c r="DT173" s="16">
        <v>-9999</v>
      </c>
      <c r="DU173" s="16">
        <v>-9999</v>
      </c>
      <c r="DV173" s="16">
        <v>-9999</v>
      </c>
      <c r="DW173" s="16">
        <v>-9999</v>
      </c>
      <c r="DX173" s="16">
        <v>-9999</v>
      </c>
      <c r="DY173" s="16">
        <v>-9999</v>
      </c>
      <c r="DZ173" s="16">
        <v>-9999</v>
      </c>
      <c r="EA173" s="2197">
        <v>-9999</v>
      </c>
      <c r="EB173" s="2197">
        <v>-9999</v>
      </c>
      <c r="EC173" s="2197">
        <v>-9999</v>
      </c>
      <c r="ED173" s="2197">
        <v>-9999</v>
      </c>
      <c r="EE173" s="2197">
        <v>-9999</v>
      </c>
      <c r="EF173" s="2197">
        <v>-9999</v>
      </c>
      <c r="EG173" s="2197">
        <v>-9999</v>
      </c>
      <c r="EH173" s="2197">
        <v>-9999</v>
      </c>
      <c r="EI173" s="2197">
        <v>-9999</v>
      </c>
      <c r="EJ173" s="2197">
        <v>-9999</v>
      </c>
      <c r="EK173" s="2197">
        <v>-9999</v>
      </c>
      <c r="EL173" s="2197">
        <v>-9999</v>
      </c>
      <c r="EM173" s="2197">
        <v>-9999</v>
      </c>
    </row>
    <row r="174" spans="1:143">
      <c r="A174" s="22">
        <v>74</v>
      </c>
      <c r="B174" s="36" t="s">
        <v>1705</v>
      </c>
      <c r="C174" s="25">
        <v>-9999</v>
      </c>
      <c r="D174" s="25">
        <v>-9999</v>
      </c>
      <c r="E174" s="25">
        <v>-9999</v>
      </c>
      <c r="F174" s="25">
        <v>-9999</v>
      </c>
      <c r="G174" s="25">
        <v>-9999</v>
      </c>
      <c r="H174" s="25">
        <v>-9999</v>
      </c>
      <c r="I174" s="25">
        <v>-9999</v>
      </c>
      <c r="J174" s="25">
        <v>-9999</v>
      </c>
      <c r="K174" s="25">
        <v>-9999</v>
      </c>
      <c r="L174" s="25">
        <v>-9999</v>
      </c>
      <c r="M174" s="25">
        <v>-9999</v>
      </c>
      <c r="N174" s="25">
        <v>-9999</v>
      </c>
      <c r="O174" s="25">
        <v>-9999</v>
      </c>
      <c r="P174" s="32"/>
      <c r="Q174"/>
      <c r="AA174" s="22">
        <v>74</v>
      </c>
      <c r="AB174" s="1040" t="str">
        <f t="shared" si="8"/>
        <v>FOR FUTURE USE</v>
      </c>
      <c r="AC174" s="1040">
        <f>CHOOSE(Tables!$U$2,Transfer!CA174,Transfer!CN174,Transfer!DA174,Transfer!DN174,Transfer!EA174)</f>
        <v>-9999</v>
      </c>
      <c r="AD174" s="1040">
        <f>CHOOSE(Tables!$U$2,Transfer!CB174,Transfer!CO174,Transfer!DB174,Transfer!DO174,Transfer!EB174)</f>
        <v>-9999</v>
      </c>
      <c r="AE174" s="1040">
        <f>CHOOSE(Tables!$U$2,Transfer!CC174,Transfer!CP174,Transfer!DC174,Transfer!DP174,Transfer!EC174)</f>
        <v>-9999</v>
      </c>
      <c r="AF174" s="1040">
        <f>CHOOSE(Tables!$U$2,Transfer!CD174,Transfer!CQ174,Transfer!DD174,Transfer!DQ174,Transfer!ED174)</f>
        <v>-9999</v>
      </c>
      <c r="AG174" s="1040">
        <f>CHOOSE(Tables!$U$2,Transfer!CE174,Transfer!CR174,Transfer!DE174,Transfer!DR174,Transfer!EE174)</f>
        <v>-9999</v>
      </c>
      <c r="AH174" s="1040">
        <f>CHOOSE(Tables!$U$2,Transfer!CF174,Transfer!CS174,Transfer!DF174,Transfer!DS174,Transfer!EF174)</f>
        <v>-9999</v>
      </c>
      <c r="AI174" s="1040">
        <f>CHOOSE(Tables!$U$2,Transfer!CG174,Transfer!CT174,Transfer!DG174,Transfer!DT174,Transfer!EG174)</f>
        <v>-9999</v>
      </c>
      <c r="AJ174" s="1040">
        <f>CHOOSE(Tables!$U$2,Transfer!CH174,Transfer!CU174,Transfer!DH174,Transfer!DU174,Transfer!EH174)</f>
        <v>-9999</v>
      </c>
      <c r="AK174" s="1040">
        <f>CHOOSE(Tables!$U$2,Transfer!CI174,Transfer!CV174,Transfer!DI174,Transfer!DV174,Transfer!EI174)</f>
        <v>-9999</v>
      </c>
      <c r="AL174" s="1040">
        <f>CHOOSE(Tables!$U$2,Transfer!CJ174,Transfer!CW174,Transfer!DJ174,Transfer!DW174,Transfer!EJ174)</f>
        <v>-9999</v>
      </c>
      <c r="AM174" s="1040">
        <f>CHOOSE(Tables!$U$2,Transfer!CK174,Transfer!CX174,Transfer!DK174,Transfer!DX174,Transfer!EK174)</f>
        <v>-9999</v>
      </c>
      <c r="AN174" s="1040">
        <f>CHOOSE(Tables!$U$2,Transfer!CL174,Transfer!CY174,Transfer!DL174,Transfer!DY174,Transfer!EL174)</f>
        <v>-9999</v>
      </c>
      <c r="AO174" s="1040">
        <f>CHOOSE(Tables!$U$2,Transfer!CM174,Transfer!CZ174,Transfer!DM174,Transfer!DZ174,Transfer!EM174)</f>
        <v>-9999</v>
      </c>
      <c r="AR174" s="22">
        <v>74</v>
      </c>
      <c r="AS174" s="36" t="s">
        <v>1705</v>
      </c>
      <c r="AT174" s="25">
        <f t="shared" si="9"/>
        <v>0</v>
      </c>
      <c r="AU174" s="25">
        <f t="shared" si="9"/>
        <v>0</v>
      </c>
      <c r="AV174" s="25">
        <f t="shared" si="9"/>
        <v>0</v>
      </c>
      <c r="AW174" s="25">
        <f t="shared" si="9"/>
        <v>0</v>
      </c>
      <c r="AX174" s="25">
        <f t="shared" si="9"/>
        <v>0</v>
      </c>
      <c r="AY174" s="25">
        <f t="shared" si="9"/>
        <v>0</v>
      </c>
      <c r="AZ174" s="25">
        <f t="shared" si="7"/>
        <v>0</v>
      </c>
      <c r="BA174" s="25">
        <f t="shared" si="7"/>
        <v>0</v>
      </c>
      <c r="BB174" s="25">
        <f t="shared" si="7"/>
        <v>0</v>
      </c>
      <c r="BC174" s="25">
        <f t="shared" si="7"/>
        <v>0</v>
      </c>
      <c r="BD174" s="25">
        <f t="shared" si="7"/>
        <v>0</v>
      </c>
      <c r="BE174" s="25">
        <f t="shared" si="7"/>
        <v>0</v>
      </c>
      <c r="BF174" s="25">
        <f t="shared" si="7"/>
        <v>0</v>
      </c>
      <c r="CA174" s="16">
        <v>-9999</v>
      </c>
      <c r="CB174" s="16">
        <v>-9999</v>
      </c>
      <c r="CC174" s="16">
        <v>-9999</v>
      </c>
      <c r="CD174" s="16">
        <v>-9999</v>
      </c>
      <c r="CE174" s="16">
        <v>-9999</v>
      </c>
      <c r="CF174" s="16">
        <v>-9999</v>
      </c>
      <c r="CG174" s="16">
        <v>-9999</v>
      </c>
      <c r="CH174" s="16">
        <v>-9999</v>
      </c>
      <c r="CI174" s="16">
        <v>-9999</v>
      </c>
      <c r="CJ174" s="16">
        <v>-9999</v>
      </c>
      <c r="CK174" s="16">
        <v>-9999</v>
      </c>
      <c r="CL174" s="16">
        <v>-9999</v>
      </c>
      <c r="CM174" s="16">
        <v>-9999</v>
      </c>
      <c r="CN174" s="16">
        <v>-9999</v>
      </c>
      <c r="CO174" s="16">
        <v>-9999</v>
      </c>
      <c r="CP174" s="16">
        <v>-9999</v>
      </c>
      <c r="CQ174" s="16">
        <v>-9999</v>
      </c>
      <c r="CR174" s="16">
        <v>-9999</v>
      </c>
      <c r="CS174" s="16">
        <v>-9999</v>
      </c>
      <c r="CT174" s="16">
        <v>-9999</v>
      </c>
      <c r="CU174" s="16">
        <v>-9999</v>
      </c>
      <c r="CV174" s="16">
        <v>-9999</v>
      </c>
      <c r="CW174" s="16">
        <v>-9999</v>
      </c>
      <c r="CX174" s="16">
        <v>-9999</v>
      </c>
      <c r="CY174" s="16">
        <v>-9999</v>
      </c>
      <c r="CZ174" s="16">
        <v>-9999</v>
      </c>
      <c r="DA174" s="16">
        <v>-9999</v>
      </c>
      <c r="DB174" s="16">
        <v>-9999</v>
      </c>
      <c r="DC174" s="16">
        <v>-9999</v>
      </c>
      <c r="DD174" s="16">
        <v>-9999</v>
      </c>
      <c r="DE174" s="16">
        <v>-9999</v>
      </c>
      <c r="DF174" s="16">
        <v>-9999</v>
      </c>
      <c r="DG174" s="16">
        <v>-9999</v>
      </c>
      <c r="DH174" s="16">
        <v>-9999</v>
      </c>
      <c r="DI174" s="16">
        <v>-9999</v>
      </c>
      <c r="DJ174" s="16">
        <v>-9999</v>
      </c>
      <c r="DK174" s="16">
        <v>-9999</v>
      </c>
      <c r="DL174" s="16">
        <v>-9999</v>
      </c>
      <c r="DM174" s="16">
        <v>-9999</v>
      </c>
      <c r="DN174" s="16">
        <v>-9999</v>
      </c>
      <c r="DO174" s="16">
        <v>-9999</v>
      </c>
      <c r="DP174" s="16">
        <v>-9999</v>
      </c>
      <c r="DQ174" s="16">
        <v>-9999</v>
      </c>
      <c r="DR174" s="16">
        <v>-9999</v>
      </c>
      <c r="DS174" s="16">
        <v>-9999</v>
      </c>
      <c r="DT174" s="16">
        <v>-9999</v>
      </c>
      <c r="DU174" s="16">
        <v>-9999</v>
      </c>
      <c r="DV174" s="16">
        <v>-9999</v>
      </c>
      <c r="DW174" s="16">
        <v>-9999</v>
      </c>
      <c r="DX174" s="16">
        <v>-9999</v>
      </c>
      <c r="DY174" s="16">
        <v>-9999</v>
      </c>
      <c r="DZ174" s="16">
        <v>-9999</v>
      </c>
      <c r="EA174" s="2197">
        <v>-9999</v>
      </c>
      <c r="EB174" s="2197">
        <v>-9999</v>
      </c>
      <c r="EC174" s="2197">
        <v>-9999</v>
      </c>
      <c r="ED174" s="2197">
        <v>-9999</v>
      </c>
      <c r="EE174" s="2197">
        <v>-9999</v>
      </c>
      <c r="EF174" s="2197">
        <v>-9999</v>
      </c>
      <c r="EG174" s="2197">
        <v>-9999</v>
      </c>
      <c r="EH174" s="2197">
        <v>-9999</v>
      </c>
      <c r="EI174" s="2197">
        <v>-9999</v>
      </c>
      <c r="EJ174" s="2197">
        <v>-9999</v>
      </c>
      <c r="EK174" s="2197">
        <v>-9999</v>
      </c>
      <c r="EL174" s="2197">
        <v>-9999</v>
      </c>
      <c r="EM174" s="2197">
        <v>-9999</v>
      </c>
    </row>
    <row r="175" spans="1:143">
      <c r="A175" s="22">
        <v>75</v>
      </c>
      <c r="B175" s="27" t="s">
        <v>1735</v>
      </c>
      <c r="C175" s="20">
        <f ca="1">OFFSET(Labour1!F5,0,Last_forecast_year - 3-InputY!$G$3)</f>
        <v>2904.91</v>
      </c>
      <c r="D175" s="3173">
        <f ca="1">OFFSET(Labour1!G5,0,Last_forecast_year - 3-InputY!$G$3)</f>
        <v>2868.2310000000002</v>
      </c>
      <c r="E175" s="20">
        <f ca="1">OFFSET(Labour1!H5,0,Last_forecast_year - 3-InputY!$G$3)</f>
        <v>2828.9999999999986</v>
      </c>
      <c r="F175" s="20">
        <f ca="1">OFFSET(Labour1!I5,0,Last_forecast_year - 3-InputY!$G$3)</f>
        <v>2803.5389999999989</v>
      </c>
      <c r="G175" s="20">
        <f ca="1">OFFSET(Labour1!J5,0,Last_forecast_year - 3-InputY!$G$3)</f>
        <v>2783.9142269999988</v>
      </c>
      <c r="H175" s="25">
        <v>-9999</v>
      </c>
      <c r="I175" s="25">
        <v>-9999</v>
      </c>
      <c r="J175" s="25">
        <v>-9999</v>
      </c>
      <c r="K175" s="25">
        <v>-9999</v>
      </c>
      <c r="L175" s="25">
        <v>-9999</v>
      </c>
      <c r="M175" s="25">
        <v>-9999</v>
      </c>
      <c r="N175" s="25">
        <v>-9999</v>
      </c>
      <c r="O175" s="25">
        <v>-9999</v>
      </c>
      <c r="P175" s="32"/>
      <c r="Q175"/>
      <c r="AA175" s="22">
        <v>75</v>
      </c>
      <c r="AB175" s="1040" t="str">
        <f t="shared" si="8"/>
        <v>TOTAL POPULATION</v>
      </c>
      <c r="AC175" s="1040">
        <f>CHOOSE(Tables!$U$2,Transfer!CA175,Transfer!CN175,Transfer!DA175,Transfer!DN175,Transfer!EA175)</f>
        <v>3030.1729999999998</v>
      </c>
      <c r="AD175" s="1040">
        <f>CHOOSE(Tables!$U$2,Transfer!CB175,Transfer!CO175,Transfer!DB175,Transfer!DO175,Transfer!EB175)</f>
        <v>2989.8314999999998</v>
      </c>
      <c r="AE175" s="1040">
        <f>CHOOSE(Tables!$U$2,Transfer!CC175,Transfer!CP175,Transfer!DC175,Transfer!DP175,Transfer!EC175)</f>
        <v>2965.9128479999999</v>
      </c>
      <c r="AF175" s="1040">
        <f>CHOOSE(Tables!$U$2,Transfer!CD175,Transfer!CQ175,Transfer!DD175,Transfer!DQ175,Transfer!ED175)</f>
        <v>2945.1514580640001</v>
      </c>
      <c r="AG175" s="1040">
        <f>CHOOSE(Tables!$U$2,Transfer!CE175,Transfer!CR175,Transfer!DE175,Transfer!DR175,Transfer!EE175)</f>
        <v>2942.2063066059359</v>
      </c>
      <c r="AH175" s="1040">
        <f>CHOOSE(Tables!$U$2,Transfer!CF175,Transfer!CS175,Transfer!DF175,Transfer!DS175,Transfer!EF175)</f>
        <v>-9999</v>
      </c>
      <c r="AI175" s="1040">
        <f>CHOOSE(Tables!$U$2,Transfer!CG175,Transfer!CT175,Transfer!DG175,Transfer!DT175,Transfer!EG175)</f>
        <v>-9999</v>
      </c>
      <c r="AJ175" s="1040">
        <f>CHOOSE(Tables!$U$2,Transfer!CH175,Transfer!CU175,Transfer!DH175,Transfer!DU175,Transfer!EH175)</f>
        <v>-9999</v>
      </c>
      <c r="AK175" s="1040">
        <f>CHOOSE(Tables!$U$2,Transfer!CI175,Transfer!CV175,Transfer!DI175,Transfer!DV175,Transfer!EI175)</f>
        <v>-9999</v>
      </c>
      <c r="AL175" s="1040">
        <f>CHOOSE(Tables!$U$2,Transfer!CJ175,Transfer!CW175,Transfer!DJ175,Transfer!DW175,Transfer!EJ175)</f>
        <v>-9999</v>
      </c>
      <c r="AM175" s="1040">
        <f>CHOOSE(Tables!$U$2,Transfer!CK175,Transfer!CX175,Transfer!DK175,Transfer!DX175,Transfer!EK175)</f>
        <v>-9999</v>
      </c>
      <c r="AN175" s="1040">
        <f>CHOOSE(Tables!$U$2,Transfer!CL175,Transfer!CY175,Transfer!DL175,Transfer!DY175,Transfer!EL175)</f>
        <v>-9999</v>
      </c>
      <c r="AO175" s="1040">
        <f>CHOOSE(Tables!$U$2,Transfer!CM175,Transfer!CZ175,Transfer!DM175,Transfer!DZ175,Transfer!EM175)</f>
        <v>-9999</v>
      </c>
      <c r="AR175" s="22">
        <v>75</v>
      </c>
      <c r="AS175" s="27" t="s">
        <v>1735</v>
      </c>
      <c r="AT175" s="20">
        <f t="shared" ca="1" si="9"/>
        <v>-125.26299999999992</v>
      </c>
      <c r="AU175" s="20">
        <f t="shared" ca="1" si="9"/>
        <v>-121.60049999999956</v>
      </c>
      <c r="AV175" s="20">
        <f t="shared" ca="1" si="9"/>
        <v>-136.9128480000013</v>
      </c>
      <c r="AW175" s="20">
        <f t="shared" ca="1" si="9"/>
        <v>-141.6124580640012</v>
      </c>
      <c r="AX175" s="20">
        <f t="shared" ca="1" si="9"/>
        <v>-158.29207960593703</v>
      </c>
      <c r="AY175" s="25">
        <f t="shared" si="9"/>
        <v>0</v>
      </c>
      <c r="AZ175" s="25">
        <f t="shared" si="7"/>
        <v>0</v>
      </c>
      <c r="BA175" s="25">
        <f t="shared" si="7"/>
        <v>0</v>
      </c>
      <c r="BB175" s="25">
        <f t="shared" si="7"/>
        <v>0</v>
      </c>
      <c r="BC175" s="25">
        <f t="shared" si="7"/>
        <v>0</v>
      </c>
      <c r="BD175" s="25">
        <f t="shared" si="7"/>
        <v>0</v>
      </c>
      <c r="BE175" s="25">
        <f t="shared" si="7"/>
        <v>0</v>
      </c>
      <c r="BF175" s="25">
        <f t="shared" si="7"/>
        <v>0</v>
      </c>
      <c r="CA175" s="16">
        <v>2957.6885000000002</v>
      </c>
      <c r="CB175" s="16">
        <v>2932.3670000000002</v>
      </c>
      <c r="CC175" s="16">
        <v>2903.9999999999995</v>
      </c>
      <c r="CD175" s="16">
        <v>2875</v>
      </c>
      <c r="CE175" s="16">
        <v>2856</v>
      </c>
      <c r="CF175" s="16">
        <v>-9999</v>
      </c>
      <c r="CG175" s="16">
        <v>-9999</v>
      </c>
      <c r="CH175" s="16">
        <v>-9999</v>
      </c>
      <c r="CI175" s="16">
        <v>-9999</v>
      </c>
      <c r="CJ175" s="16">
        <v>-9999</v>
      </c>
      <c r="CK175" s="16">
        <v>-9999</v>
      </c>
      <c r="CL175" s="16">
        <v>-9999</v>
      </c>
      <c r="CM175" s="16">
        <v>-9999</v>
      </c>
      <c r="CN175" s="16">
        <v>2987.7730000000001</v>
      </c>
      <c r="CO175" s="16">
        <v>2957.6885000000002</v>
      </c>
      <c r="CP175" s="16">
        <v>2923.3589999999999</v>
      </c>
      <c r="CQ175" s="16">
        <v>2910.2038845000002</v>
      </c>
      <c r="CR175" s="16">
        <v>2898.5630689620002</v>
      </c>
      <c r="CS175" s="16">
        <v>-9999</v>
      </c>
      <c r="CT175" s="16">
        <v>-9999</v>
      </c>
      <c r="CU175" s="16">
        <v>-9999</v>
      </c>
      <c r="CV175" s="16">
        <v>-9999</v>
      </c>
      <c r="CW175" s="16">
        <v>-9999</v>
      </c>
      <c r="CX175" s="16">
        <v>-9999</v>
      </c>
      <c r="CY175" s="16">
        <v>-9999</v>
      </c>
      <c r="CZ175" s="16">
        <v>-9999</v>
      </c>
      <c r="DA175" s="16">
        <v>2957.6885000000002</v>
      </c>
      <c r="DB175" s="16">
        <v>2932.3670000000002</v>
      </c>
      <c r="DC175" s="16">
        <v>2903.9999999999995</v>
      </c>
      <c r="DD175" s="16">
        <v>2875</v>
      </c>
      <c r="DE175" s="16">
        <v>2856</v>
      </c>
      <c r="DF175" s="16">
        <v>-9999</v>
      </c>
      <c r="DG175" s="16">
        <v>-9999</v>
      </c>
      <c r="DH175" s="16">
        <v>-9999</v>
      </c>
      <c r="DI175" s="16">
        <v>-9999</v>
      </c>
      <c r="DJ175" s="16">
        <v>-9999</v>
      </c>
      <c r="DK175" s="16">
        <v>-9999</v>
      </c>
      <c r="DL175" s="16">
        <v>-9999</v>
      </c>
      <c r="DM175" s="16">
        <v>-9999</v>
      </c>
      <c r="DN175" s="16">
        <v>2987.7730000000001</v>
      </c>
      <c r="DO175" s="16">
        <v>2957.6885000000002</v>
      </c>
      <c r="DP175" s="16">
        <v>2932.6959999999999</v>
      </c>
      <c r="DQ175" s="16">
        <v>2919.4988680000001</v>
      </c>
      <c r="DR175" s="16">
        <v>2909.2806219620002</v>
      </c>
      <c r="DS175" s="16">
        <v>-9999</v>
      </c>
      <c r="DT175" s="16">
        <v>-9999</v>
      </c>
      <c r="DU175" s="16">
        <v>-9999</v>
      </c>
      <c r="DV175" s="16">
        <v>-9999</v>
      </c>
      <c r="DW175" s="16">
        <v>-9999</v>
      </c>
      <c r="DX175" s="16">
        <v>-9999</v>
      </c>
      <c r="DY175" s="16">
        <v>-9999</v>
      </c>
      <c r="DZ175" s="16">
        <v>-9999</v>
      </c>
      <c r="EA175" s="2196">
        <v>3030.1729999999998</v>
      </c>
      <c r="EB175" s="2196">
        <v>2989.8314999999998</v>
      </c>
      <c r="EC175" s="2196">
        <v>2965.9128479999999</v>
      </c>
      <c r="ED175" s="2196">
        <v>2945.1514580640001</v>
      </c>
      <c r="EE175" s="2196">
        <v>2942.2063066059359</v>
      </c>
      <c r="EF175" s="2197">
        <v>-9999</v>
      </c>
      <c r="EG175" s="2197">
        <v>-9999</v>
      </c>
      <c r="EH175" s="2197">
        <v>-9999</v>
      </c>
      <c r="EI175" s="2197">
        <v>-9999</v>
      </c>
      <c r="EJ175" s="2197">
        <v>-9999</v>
      </c>
      <c r="EK175" s="2197">
        <v>-9999</v>
      </c>
      <c r="EL175" s="2197">
        <v>-9999</v>
      </c>
      <c r="EM175" s="2197">
        <v>-9999</v>
      </c>
    </row>
    <row r="176" spans="1:143">
      <c r="A176" s="22">
        <v>76</v>
      </c>
      <c r="B176" s="27" t="s">
        <v>617</v>
      </c>
      <c r="C176" s="20">
        <f ca="1">OFFSET(Labour1!F7,0,Last_forecast_year - 3-InputY!$G$3)</f>
        <v>1932.4845</v>
      </c>
      <c r="D176" s="20">
        <f ca="1">OFFSET(Labour1!G7,0,Last_forecast_year - 3-InputY!$G$3)</f>
        <v>1895.9345000000001</v>
      </c>
      <c r="E176" s="20">
        <f ca="1">OFFSET(Labour1!H7,0,Last_forecast_year - 3-InputY!$G$3)</f>
        <v>1855.4</v>
      </c>
      <c r="F176" s="20">
        <f ca="1">OFFSET(Labour1!I7,0,Last_forecast_year - 3-InputY!$G$3)</f>
        <v>1820.1474000000001</v>
      </c>
      <c r="G176" s="20">
        <f ca="1">OFFSET(Labour1!J7,0,Last_forecast_year - 3-InputY!$G$3)</f>
        <v>1787.3847468000001</v>
      </c>
      <c r="H176" s="25">
        <v>-9999</v>
      </c>
      <c r="I176" s="25">
        <v>-9999</v>
      </c>
      <c r="J176" s="25">
        <v>-9999</v>
      </c>
      <c r="K176" s="25">
        <v>-9999</v>
      </c>
      <c r="L176" s="25">
        <v>-9999</v>
      </c>
      <c r="M176" s="25">
        <v>-9999</v>
      </c>
      <c r="N176" s="25">
        <v>-9999</v>
      </c>
      <c r="O176" s="25">
        <v>-9999</v>
      </c>
      <c r="P176" s="32"/>
      <c r="Q176"/>
      <c r="AA176" s="22">
        <v>76</v>
      </c>
      <c r="AB176" s="1040" t="str">
        <f t="shared" si="8"/>
        <v>POPULATION OF WORKING AGE (15-64)</v>
      </c>
      <c r="AC176" s="1040">
        <f>CHOOSE(Tables!$U$2,Transfer!CA176,Transfer!CN176,Transfer!DA176,Transfer!DN176,Transfer!EA176)</f>
        <v>2034.5550000000001</v>
      </c>
      <c r="AD176" s="1040">
        <f>CHOOSE(Tables!$U$2,Transfer!CB176,Transfer!CO176,Transfer!DB176,Transfer!DO176,Transfer!EB176)</f>
        <v>2004.0366750000001</v>
      </c>
      <c r="AE176" s="1040">
        <f>CHOOSE(Tables!$U$2,Transfer!CC176,Transfer!CP176,Transfer!DC176,Transfer!DP176,Transfer!EC176)</f>
        <v>1994.0164916250001</v>
      </c>
      <c r="AF176" s="1040">
        <f>CHOOSE(Tables!$U$2,Transfer!CD176,Transfer!CQ176,Transfer!DD176,Transfer!DQ176,Transfer!ED176)</f>
        <v>1984.046409166875</v>
      </c>
      <c r="AG176" s="1040">
        <f>CHOOSE(Tables!$U$2,Transfer!CE176,Transfer!CR176,Transfer!DE176,Transfer!DR176,Transfer!EE176)</f>
        <v>1976.1102235302076</v>
      </c>
      <c r="AH176" s="1040">
        <f>CHOOSE(Tables!$U$2,Transfer!CF176,Transfer!CS176,Transfer!DF176,Transfer!DS176,Transfer!EF176)</f>
        <v>-9999</v>
      </c>
      <c r="AI176" s="1040">
        <f>CHOOSE(Tables!$U$2,Transfer!CG176,Transfer!CT176,Transfer!DG176,Transfer!DT176,Transfer!EG176)</f>
        <v>-9999</v>
      </c>
      <c r="AJ176" s="1040">
        <f>CHOOSE(Tables!$U$2,Transfer!CH176,Transfer!CU176,Transfer!DH176,Transfer!DU176,Transfer!EH176)</f>
        <v>-9999</v>
      </c>
      <c r="AK176" s="1040">
        <f>CHOOSE(Tables!$U$2,Transfer!CI176,Transfer!CV176,Transfer!DI176,Transfer!DV176,Transfer!EI176)</f>
        <v>-9999</v>
      </c>
      <c r="AL176" s="1040">
        <f>CHOOSE(Tables!$U$2,Transfer!CJ176,Transfer!CW176,Transfer!DJ176,Transfer!DW176,Transfer!EJ176)</f>
        <v>-9999</v>
      </c>
      <c r="AM176" s="1040">
        <f>CHOOSE(Tables!$U$2,Transfer!CK176,Transfer!CX176,Transfer!DK176,Transfer!DX176,Transfer!EK176)</f>
        <v>-9999</v>
      </c>
      <c r="AN176" s="1040">
        <f>CHOOSE(Tables!$U$2,Transfer!CL176,Transfer!CY176,Transfer!DL176,Transfer!DY176,Transfer!EL176)</f>
        <v>-9999</v>
      </c>
      <c r="AO176" s="1040">
        <f>CHOOSE(Tables!$U$2,Transfer!CM176,Transfer!CZ176,Transfer!DM176,Transfer!DZ176,Transfer!EM176)</f>
        <v>-9999</v>
      </c>
      <c r="AR176" s="22">
        <v>76</v>
      </c>
      <c r="AS176" s="27" t="s">
        <v>617</v>
      </c>
      <c r="AT176" s="20">
        <f t="shared" ca="1" si="9"/>
        <v>-102.07050000000004</v>
      </c>
      <c r="AU176" s="20">
        <f ca="1">D176-AD176</f>
        <v>-108.10217499999999</v>
      </c>
      <c r="AV176" s="20">
        <f ca="1">E176-AE176</f>
        <v>-138.61649162499998</v>
      </c>
      <c r="AW176" s="20">
        <f t="shared" ca="1" si="9"/>
        <v>-163.89900916687498</v>
      </c>
      <c r="AX176" s="20">
        <f t="shared" ca="1" si="9"/>
        <v>-188.72547673020745</v>
      </c>
      <c r="AY176" s="25">
        <f t="shared" si="9"/>
        <v>0</v>
      </c>
      <c r="AZ176" s="25">
        <f t="shared" si="9"/>
        <v>0</v>
      </c>
      <c r="BA176" s="25">
        <f t="shared" si="9"/>
        <v>0</v>
      </c>
      <c r="BB176" s="25">
        <f t="shared" si="9"/>
        <v>0</v>
      </c>
      <c r="BC176" s="25">
        <f t="shared" si="7"/>
        <v>0</v>
      </c>
      <c r="BD176" s="25">
        <f t="shared" si="7"/>
        <v>0</v>
      </c>
      <c r="BE176" s="25">
        <f t="shared" si="7"/>
        <v>0</v>
      </c>
      <c r="BF176" s="25">
        <f t="shared" si="7"/>
        <v>0</v>
      </c>
      <c r="CA176" s="16">
        <v>1981.8879999999999</v>
      </c>
      <c r="CB176" s="16">
        <v>1960</v>
      </c>
      <c r="CC176" s="16">
        <v>1933.0000000000002</v>
      </c>
      <c r="CD176" s="16">
        <v>1906</v>
      </c>
      <c r="CE176" s="16">
        <v>1880.9474237644579</v>
      </c>
      <c r="CF176" s="16">
        <v>-9999</v>
      </c>
      <c r="CG176" s="16">
        <v>-9999</v>
      </c>
      <c r="CH176" s="16">
        <v>-9999</v>
      </c>
      <c r="CI176" s="16">
        <v>-9999</v>
      </c>
      <c r="CJ176" s="16">
        <v>-9999</v>
      </c>
      <c r="CK176" s="16">
        <v>-9999</v>
      </c>
      <c r="CL176" s="16">
        <v>-9999</v>
      </c>
      <c r="CM176" s="16">
        <v>-9999</v>
      </c>
      <c r="CN176" s="16">
        <v>2004.6890000000001</v>
      </c>
      <c r="CO176" s="16">
        <v>1981.8879999999999</v>
      </c>
      <c r="CP176" s="16">
        <v>1971.97856</v>
      </c>
      <c r="CQ176" s="16">
        <v>1964.0906457599999</v>
      </c>
      <c r="CR176" s="16">
        <v>1956.2342831769599</v>
      </c>
      <c r="CS176" s="16">
        <v>-9999</v>
      </c>
      <c r="CT176" s="16">
        <v>-9999</v>
      </c>
      <c r="CU176" s="16">
        <v>-9999</v>
      </c>
      <c r="CV176" s="16">
        <v>-9999</v>
      </c>
      <c r="CW176" s="16">
        <v>-9999</v>
      </c>
      <c r="CX176" s="16">
        <v>-9999</v>
      </c>
      <c r="CY176" s="16">
        <v>-9999</v>
      </c>
      <c r="CZ176" s="16">
        <v>-9999</v>
      </c>
      <c r="DA176" s="16">
        <v>1981.8879999999999</v>
      </c>
      <c r="DB176" s="16">
        <v>1960</v>
      </c>
      <c r="DC176" s="16">
        <v>1932</v>
      </c>
      <c r="DD176" s="16">
        <v>1902.0000000000005</v>
      </c>
      <c r="DE176" s="16">
        <v>1877</v>
      </c>
      <c r="DF176" s="16">
        <v>-9999</v>
      </c>
      <c r="DG176" s="16">
        <v>-9999</v>
      </c>
      <c r="DH176" s="16">
        <v>-9999</v>
      </c>
      <c r="DI176" s="16">
        <v>-9999</v>
      </c>
      <c r="DJ176" s="16">
        <v>-9999</v>
      </c>
      <c r="DK176" s="16">
        <v>-9999</v>
      </c>
      <c r="DL176" s="16">
        <v>-9999</v>
      </c>
      <c r="DM176" s="16">
        <v>-9999</v>
      </c>
      <c r="DN176" s="16">
        <v>2004.6890000000001</v>
      </c>
      <c r="DO176" s="16">
        <v>1981.8879999999999</v>
      </c>
      <c r="DP176" s="16">
        <v>1973.9604479999998</v>
      </c>
      <c r="DQ176" s="16">
        <v>1968.0385666559998</v>
      </c>
      <c r="DR176" s="16">
        <v>1962.1344509560317</v>
      </c>
      <c r="DS176" s="16">
        <v>-9999</v>
      </c>
      <c r="DT176" s="16">
        <v>-9999</v>
      </c>
      <c r="DU176" s="16">
        <v>-9999</v>
      </c>
      <c r="DV176" s="16">
        <v>-9999</v>
      </c>
      <c r="DW176" s="16">
        <v>-9999</v>
      </c>
      <c r="DX176" s="16">
        <v>-9999</v>
      </c>
      <c r="DY176" s="16">
        <v>-9999</v>
      </c>
      <c r="DZ176" s="16">
        <v>-9999</v>
      </c>
      <c r="EA176" s="2196">
        <v>2034.5550000000001</v>
      </c>
      <c r="EB176" s="2196">
        <v>2004.0366750000001</v>
      </c>
      <c r="EC176" s="2196">
        <v>1994.0164916250001</v>
      </c>
      <c r="ED176" s="2196">
        <v>1984.046409166875</v>
      </c>
      <c r="EE176" s="2196">
        <v>1976.1102235302076</v>
      </c>
      <c r="EF176" s="2197">
        <v>-9999</v>
      </c>
      <c r="EG176" s="2197">
        <v>-9999</v>
      </c>
      <c r="EH176" s="2197">
        <v>-9999</v>
      </c>
      <c r="EI176" s="2197">
        <v>-9999</v>
      </c>
      <c r="EJ176" s="2197">
        <v>-9999</v>
      </c>
      <c r="EK176" s="2197">
        <v>-9999</v>
      </c>
      <c r="EL176" s="2197">
        <v>-9999</v>
      </c>
      <c r="EM176" s="2197">
        <v>-9999</v>
      </c>
    </row>
    <row r="177" spans="1:143">
      <c r="A177" s="22">
        <v>77</v>
      </c>
      <c r="B177" s="27" t="s">
        <v>2132</v>
      </c>
      <c r="C177" s="20">
        <f ca="1">OFFSET(Labour1!F10,0,Last_forecast_year - 3-InputY!$G$3)</f>
        <v>2209.2745</v>
      </c>
      <c r="D177" s="20">
        <f ca="1">OFFSET(Labour1!G10,0,Last_forecast_year - 3-InputY!$G$3)</f>
        <v>2171.87</v>
      </c>
      <c r="E177" s="20">
        <f ca="1">OFFSET(Labour1!H10,0,Last_forecast_year - 3-InputY!$G$3)</f>
        <v>2130.5000000000005</v>
      </c>
      <c r="F177" s="20">
        <f ca="1">OFFSET(Labour1!I10,0,Last_forecast_year - 3-InputY!$G$3)</f>
        <v>2096.4120000000003</v>
      </c>
      <c r="G177" s="20">
        <f ca="1">OFFSET(Labour1!J10,0,Last_forecast_year - 3-InputY!$G$3)</f>
        <v>2062.869408</v>
      </c>
      <c r="H177" s="25">
        <v>-9999</v>
      </c>
      <c r="I177" s="25">
        <v>-9999</v>
      </c>
      <c r="J177" s="25">
        <v>-9999</v>
      </c>
      <c r="K177" s="25">
        <v>-9999</v>
      </c>
      <c r="L177" s="25">
        <v>-9999</v>
      </c>
      <c r="M177" s="25">
        <v>-9999</v>
      </c>
      <c r="N177" s="25">
        <v>-9999</v>
      </c>
      <c r="O177" s="25">
        <v>-9999</v>
      </c>
      <c r="P177" s="32"/>
      <c r="Q177"/>
      <c r="AA177" s="22">
        <v>77</v>
      </c>
      <c r="AB177" s="1040" t="str">
        <f t="shared" si="8"/>
        <v>POPULATION OF WORKING AGE (15-74)</v>
      </c>
      <c r="AC177" s="1040">
        <f>CHOOSE(Tables!$U$2,Transfer!CA177,Transfer!CN177,Transfer!DA177,Transfer!DN177,Transfer!EA177)</f>
        <v>2325.0210000000002</v>
      </c>
      <c r="AD177" s="1040">
        <f>CHOOSE(Tables!$U$2,Transfer!CB177,Transfer!CO177,Transfer!DB177,Transfer!DO177,Transfer!EB177)</f>
        <v>2294.7957270000002</v>
      </c>
      <c r="AE177" s="1040">
        <f>CHOOSE(Tables!$U$2,Transfer!CC177,Transfer!CP177,Transfer!DC177,Transfer!DP177,Transfer!EC177)</f>
        <v>2285.6165440920004</v>
      </c>
      <c r="AF177" s="1040">
        <f>CHOOSE(Tables!$U$2,Transfer!CD177,Transfer!CQ177,Transfer!DD177,Transfer!DQ177,Transfer!ED177)</f>
        <v>2276.4740779156323</v>
      </c>
      <c r="AG177" s="1040">
        <f>CHOOSE(Tables!$U$2,Transfer!CE177,Transfer!CR177,Transfer!DE177,Transfer!DR177,Transfer!EE177)</f>
        <v>2269.6446556818855</v>
      </c>
      <c r="AH177" s="1040">
        <f>CHOOSE(Tables!$U$2,Transfer!CF177,Transfer!CS177,Transfer!DF177,Transfer!DS177,Transfer!EF177)</f>
        <v>-9999</v>
      </c>
      <c r="AI177" s="1040">
        <f>CHOOSE(Tables!$U$2,Transfer!CG177,Transfer!CT177,Transfer!DG177,Transfer!DT177,Transfer!EG177)</f>
        <v>-9999</v>
      </c>
      <c r="AJ177" s="1040">
        <f>CHOOSE(Tables!$U$2,Transfer!CH177,Transfer!CU177,Transfer!DH177,Transfer!DU177,Transfer!EH177)</f>
        <v>-9999</v>
      </c>
      <c r="AK177" s="1040">
        <f>CHOOSE(Tables!$U$2,Transfer!CI177,Transfer!CV177,Transfer!DI177,Transfer!DV177,Transfer!EI177)</f>
        <v>-9999</v>
      </c>
      <c r="AL177" s="1040">
        <f>CHOOSE(Tables!$U$2,Transfer!CJ177,Transfer!CW177,Transfer!DJ177,Transfer!DW177,Transfer!EJ177)</f>
        <v>-9999</v>
      </c>
      <c r="AM177" s="1040">
        <f>CHOOSE(Tables!$U$2,Transfer!CK177,Transfer!CX177,Transfer!DK177,Transfer!DX177,Transfer!EK177)</f>
        <v>-9999</v>
      </c>
      <c r="AN177" s="1040">
        <f>CHOOSE(Tables!$U$2,Transfer!CL177,Transfer!CY177,Transfer!DL177,Transfer!DY177,Transfer!EL177)</f>
        <v>-9999</v>
      </c>
      <c r="AO177" s="1040">
        <f>CHOOSE(Tables!$U$2,Transfer!CM177,Transfer!CZ177,Transfer!DM177,Transfer!DZ177,Transfer!EM177)</f>
        <v>-9999</v>
      </c>
      <c r="AR177" s="22">
        <v>77</v>
      </c>
      <c r="AS177" s="27" t="s">
        <v>618</v>
      </c>
      <c r="AT177" s="20">
        <f t="shared" ca="1" si="9"/>
        <v>-115.7465000000002</v>
      </c>
      <c r="AU177" s="20">
        <f t="shared" ca="1" si="9"/>
        <v>-122.92572700000028</v>
      </c>
      <c r="AV177" s="20">
        <f t="shared" ca="1" si="9"/>
        <v>-155.11654409199991</v>
      </c>
      <c r="AW177" s="20">
        <f t="shared" ca="1" si="9"/>
        <v>-180.06207791563202</v>
      </c>
      <c r="AX177" s="20">
        <f t="shared" ca="1" si="9"/>
        <v>-206.7752476818855</v>
      </c>
      <c r="AY177" s="25">
        <f t="shared" si="9"/>
        <v>0</v>
      </c>
      <c r="AZ177" s="25">
        <f t="shared" si="9"/>
        <v>0</v>
      </c>
      <c r="BA177" s="25">
        <f t="shared" si="9"/>
        <v>0</v>
      </c>
      <c r="BB177" s="25">
        <f t="shared" si="9"/>
        <v>0</v>
      </c>
      <c r="BC177" s="25">
        <f t="shared" si="7"/>
        <v>0</v>
      </c>
      <c r="BD177" s="25">
        <f t="shared" si="7"/>
        <v>0</v>
      </c>
      <c r="BE177" s="25">
        <f t="shared" si="7"/>
        <v>0</v>
      </c>
      <c r="BF177" s="25">
        <f t="shared" si="7"/>
        <v>0</v>
      </c>
      <c r="CA177" s="16">
        <v>2260.1354999999999</v>
      </c>
      <c r="CB177" s="16">
        <v>2236</v>
      </c>
      <c r="CC177" s="16">
        <v>2210</v>
      </c>
      <c r="CD177" s="16">
        <v>2181.0000000000009</v>
      </c>
      <c r="CE177" s="16">
        <v>2153.9503904455678</v>
      </c>
      <c r="CF177" s="16">
        <v>-9999</v>
      </c>
      <c r="CG177" s="16">
        <v>-9999</v>
      </c>
      <c r="CH177" s="16">
        <v>-9999</v>
      </c>
      <c r="CI177" s="16">
        <v>-9999</v>
      </c>
      <c r="CJ177" s="16">
        <v>-9999</v>
      </c>
      <c r="CK177" s="16">
        <v>-9999</v>
      </c>
      <c r="CL177" s="16">
        <v>-9999</v>
      </c>
      <c r="CM177" s="16">
        <v>-9999</v>
      </c>
      <c r="CN177" s="16">
        <v>2287.8645000000001</v>
      </c>
      <c r="CO177" s="16">
        <v>2260.1354999999999</v>
      </c>
      <c r="CP177" s="16">
        <v>2251.0949579999997</v>
      </c>
      <c r="CQ177" s="16">
        <v>2244.3416731259995</v>
      </c>
      <c r="CR177" s="16">
        <v>2237.6086481066213</v>
      </c>
      <c r="CS177" s="16">
        <v>-9999</v>
      </c>
      <c r="CT177" s="16">
        <v>-9999</v>
      </c>
      <c r="CU177" s="16">
        <v>-9999</v>
      </c>
      <c r="CV177" s="16">
        <v>-9999</v>
      </c>
      <c r="CW177" s="16">
        <v>-9999</v>
      </c>
      <c r="CX177" s="16">
        <v>-9999</v>
      </c>
      <c r="CY177" s="16">
        <v>-9999</v>
      </c>
      <c r="CZ177" s="16">
        <v>-9999</v>
      </c>
      <c r="DA177" s="16">
        <v>2260.1354999999999</v>
      </c>
      <c r="DB177" s="16">
        <v>2236</v>
      </c>
      <c r="DC177" s="16">
        <v>2208.9999999999995</v>
      </c>
      <c r="DD177" s="16">
        <v>2177</v>
      </c>
      <c r="DE177" s="16">
        <v>2149.9999999999995</v>
      </c>
      <c r="DF177" s="16">
        <v>-9999</v>
      </c>
      <c r="DG177" s="16">
        <v>-9999</v>
      </c>
      <c r="DH177" s="16">
        <v>-9999</v>
      </c>
      <c r="DI177" s="16">
        <v>-9999</v>
      </c>
      <c r="DJ177" s="16">
        <v>-9999</v>
      </c>
      <c r="DK177" s="16">
        <v>-9999</v>
      </c>
      <c r="DL177" s="16">
        <v>-9999</v>
      </c>
      <c r="DM177" s="16">
        <v>-9999</v>
      </c>
      <c r="DN177" s="16">
        <v>2287.8645000000001</v>
      </c>
      <c r="DO177" s="16">
        <v>2260.1354999999999</v>
      </c>
      <c r="DP177" s="16">
        <v>2248.8348225</v>
      </c>
      <c r="DQ177" s="16">
        <v>2239.8394832099998</v>
      </c>
      <c r="DR177" s="16">
        <v>2230.88012527716</v>
      </c>
      <c r="DS177" s="16">
        <v>-9999</v>
      </c>
      <c r="DT177" s="16">
        <v>-9999</v>
      </c>
      <c r="DU177" s="16">
        <v>-9999</v>
      </c>
      <c r="DV177" s="16">
        <v>-9999</v>
      </c>
      <c r="DW177" s="16">
        <v>-9999</v>
      </c>
      <c r="DX177" s="16">
        <v>-9999</v>
      </c>
      <c r="DY177" s="16">
        <v>-9999</v>
      </c>
      <c r="DZ177" s="16">
        <v>-9999</v>
      </c>
      <c r="EA177" s="2196">
        <v>2325.0210000000002</v>
      </c>
      <c r="EB177" s="2196">
        <v>2294.7957270000002</v>
      </c>
      <c r="EC177" s="2196">
        <v>2285.6165440920004</v>
      </c>
      <c r="ED177" s="2196">
        <v>2276.4740779156323</v>
      </c>
      <c r="EE177" s="2196">
        <v>2269.6446556818855</v>
      </c>
      <c r="EF177" s="2197">
        <v>-9999</v>
      </c>
      <c r="EG177" s="2197">
        <v>-9999</v>
      </c>
      <c r="EH177" s="2197">
        <v>-9999</v>
      </c>
      <c r="EI177" s="2197">
        <v>-9999</v>
      </c>
      <c r="EJ177" s="2197">
        <v>-9999</v>
      </c>
      <c r="EK177" s="2197">
        <v>-9999</v>
      </c>
      <c r="EL177" s="2197">
        <v>-9999</v>
      </c>
      <c r="EM177" s="2197">
        <v>-9999</v>
      </c>
    </row>
    <row r="178" spans="1:143">
      <c r="A178" s="22">
        <v>78</v>
      </c>
      <c r="B178" s="27" t="s">
        <v>619</v>
      </c>
      <c r="C178" s="20">
        <f ca="1">OFFSET(Labour1!F38,0,Last_forecast_year - 3-InputY!$G$3)</f>
        <v>134</v>
      </c>
      <c r="D178" s="20">
        <f ca="1">OFFSET(Labour1!G38,0,Last_forecast_year - 3-InputY!$G$3)</f>
        <v>116</v>
      </c>
      <c r="E178" s="20">
        <f ca="1">OFFSET(Labour1!H38,0,Last_forecast_year - 3-InputY!$G$3)</f>
        <v>103</v>
      </c>
      <c r="F178" s="20">
        <f ca="1">OFFSET(Labour1!I38,0,Last_forecast_year - 3-InputY!$G$3)</f>
        <v>95.069140140910804</v>
      </c>
      <c r="G178" s="20">
        <f ca="1">OFFSET(Labour1!J38,0,Last_forecast_year - 3-InputY!$G$3)</f>
        <v>95.629153630878136</v>
      </c>
      <c r="H178" s="25">
        <v>-9999</v>
      </c>
      <c r="I178" s="25">
        <v>-9999</v>
      </c>
      <c r="J178" s="25">
        <v>-9999</v>
      </c>
      <c r="K178" s="25">
        <v>-9999</v>
      </c>
      <c r="L178" s="25">
        <v>-9999</v>
      </c>
      <c r="M178" s="25">
        <v>-9999</v>
      </c>
      <c r="N178" s="25">
        <v>-9999</v>
      </c>
      <c r="O178" s="25">
        <v>-9999</v>
      </c>
      <c r="P178" s="32"/>
      <c r="Q178"/>
      <c r="AA178" s="22">
        <v>78</v>
      </c>
      <c r="AB178" s="1040" t="str">
        <f t="shared" si="8"/>
        <v>REGISTERED UNEMPLOYED PERSONS</v>
      </c>
      <c r="AC178" s="1040">
        <f>CHOOSE(Tables!$U$2,Transfer!CA178,Transfer!CN178,Transfer!DA178,Transfer!DN178,Transfer!EA178)</f>
        <v>228.03</v>
      </c>
      <c r="AD178" s="1040">
        <f>CHOOSE(Tables!$U$2,Transfer!CB178,Transfer!CO178,Transfer!DB178,Transfer!DO178,Transfer!EB178)</f>
        <v>196.8</v>
      </c>
      <c r="AE178" s="1040">
        <f>CHOOSE(Tables!$U$2,Transfer!CC178,Transfer!CP178,Transfer!DC178,Transfer!DP178,Transfer!EC178)</f>
        <v>171.1866631144062</v>
      </c>
      <c r="AF178" s="1040">
        <f>CHOOSE(Tables!$U$2,Transfer!CD178,Transfer!CQ178,Transfer!DD178,Transfer!DQ178,Transfer!ED178)</f>
        <v>151.75233630082812</v>
      </c>
      <c r="AG178" s="1040">
        <f>CHOOSE(Tables!$U$2,Transfer!CE178,Transfer!CR178,Transfer!DE178,Transfer!DR178,Transfer!EE178)</f>
        <v>139.81942533585902</v>
      </c>
      <c r="AH178" s="1040">
        <f>CHOOSE(Tables!$U$2,Transfer!CF178,Transfer!CS178,Transfer!DF178,Transfer!DS178,Transfer!EF178)</f>
        <v>-9999</v>
      </c>
      <c r="AI178" s="1040">
        <f>CHOOSE(Tables!$U$2,Transfer!CG178,Transfer!CT178,Transfer!DG178,Transfer!DT178,Transfer!EG178)</f>
        <v>-9999</v>
      </c>
      <c r="AJ178" s="1040">
        <f>CHOOSE(Tables!$U$2,Transfer!CH178,Transfer!CU178,Transfer!DH178,Transfer!DU178,Transfer!EH178)</f>
        <v>-9999</v>
      </c>
      <c r="AK178" s="1040">
        <f>CHOOSE(Tables!$U$2,Transfer!CI178,Transfer!CV178,Transfer!DI178,Transfer!DV178,Transfer!EI178)</f>
        <v>-9999</v>
      </c>
      <c r="AL178" s="1040">
        <f>CHOOSE(Tables!$U$2,Transfer!CJ178,Transfer!CW178,Transfer!DJ178,Transfer!DW178,Transfer!EJ178)</f>
        <v>-9999</v>
      </c>
      <c r="AM178" s="1040">
        <f>CHOOSE(Tables!$U$2,Transfer!CK178,Transfer!CX178,Transfer!DK178,Transfer!DX178,Transfer!EK178)</f>
        <v>-9999</v>
      </c>
      <c r="AN178" s="1040">
        <f>CHOOSE(Tables!$U$2,Transfer!CL178,Transfer!CY178,Transfer!DL178,Transfer!DY178,Transfer!EL178)</f>
        <v>-9999</v>
      </c>
      <c r="AO178" s="1040">
        <f>CHOOSE(Tables!$U$2,Transfer!CM178,Transfer!CZ178,Transfer!DM178,Transfer!DZ178,Transfer!EM178)</f>
        <v>-9999</v>
      </c>
      <c r="AR178" s="22">
        <v>78</v>
      </c>
      <c r="AS178" s="27" t="s">
        <v>619</v>
      </c>
      <c r="AT178" s="20">
        <f t="shared" ca="1" si="9"/>
        <v>-94.03</v>
      </c>
      <c r="AU178" s="20">
        <f t="shared" ca="1" si="9"/>
        <v>-80.800000000000011</v>
      </c>
      <c r="AV178" s="20">
        <f t="shared" ca="1" si="9"/>
        <v>-68.186663114406201</v>
      </c>
      <c r="AW178" s="20">
        <f t="shared" ca="1" si="9"/>
        <v>-56.683196159917316</v>
      </c>
      <c r="AX178" s="20">
        <f t="shared" ca="1" si="9"/>
        <v>-44.190271704980887</v>
      </c>
      <c r="AY178" s="25">
        <f t="shared" si="9"/>
        <v>0</v>
      </c>
      <c r="AZ178" s="25">
        <f t="shared" si="9"/>
        <v>0</v>
      </c>
      <c r="BA178" s="25">
        <f t="shared" si="9"/>
        <v>0</v>
      </c>
      <c r="BB178" s="25">
        <f t="shared" si="9"/>
        <v>0</v>
      </c>
      <c r="BC178" s="25">
        <f t="shared" si="7"/>
        <v>0</v>
      </c>
      <c r="BD178" s="25">
        <f t="shared" si="7"/>
        <v>0</v>
      </c>
      <c r="BE178" s="25">
        <f t="shared" si="7"/>
        <v>0</v>
      </c>
      <c r="BF178" s="25">
        <f t="shared" si="7"/>
        <v>0</v>
      </c>
      <c r="CA178" s="16">
        <v>172.46</v>
      </c>
      <c r="CB178" s="16">
        <v>157.70000000000005</v>
      </c>
      <c r="CC178" s="16">
        <v>137.88590794499987</v>
      </c>
      <c r="CD178" s="16">
        <v>124.30527833588758</v>
      </c>
      <c r="CE178" s="16">
        <v>116.52888502692872</v>
      </c>
      <c r="CF178" s="16">
        <v>-9999</v>
      </c>
      <c r="CG178" s="16">
        <v>-9999</v>
      </c>
      <c r="CH178" s="16">
        <v>-9999</v>
      </c>
      <c r="CI178" s="16">
        <v>-9999</v>
      </c>
      <c r="CJ178" s="16">
        <v>-9999</v>
      </c>
      <c r="CK178" s="16">
        <v>-9999</v>
      </c>
      <c r="CL178" s="16">
        <v>-9999</v>
      </c>
      <c r="CM178" s="16">
        <v>-9999</v>
      </c>
      <c r="CN178" s="16">
        <v>196.8</v>
      </c>
      <c r="CO178" s="16">
        <v>172.46</v>
      </c>
      <c r="CP178" s="16">
        <v>145.59718500000031</v>
      </c>
      <c r="CQ178" s="16">
        <v>134.42395976000012</v>
      </c>
      <c r="CR178" s="16">
        <v>123.00437637075265</v>
      </c>
      <c r="CS178" s="16">
        <v>-9999</v>
      </c>
      <c r="CT178" s="16">
        <v>-9999</v>
      </c>
      <c r="CU178" s="16">
        <v>-9999</v>
      </c>
      <c r="CV178" s="16">
        <v>-9999</v>
      </c>
      <c r="CW178" s="16">
        <v>-9999</v>
      </c>
      <c r="CX178" s="16">
        <v>-9999</v>
      </c>
      <c r="CY178" s="16">
        <v>-9999</v>
      </c>
      <c r="CZ178" s="16">
        <v>-9999</v>
      </c>
      <c r="DA178" s="16">
        <v>172.46</v>
      </c>
      <c r="DB178" s="16">
        <v>157.70000000000005</v>
      </c>
      <c r="DC178" s="16">
        <v>143.60908320499993</v>
      </c>
      <c r="DD178" s="16">
        <v>117.43228518608748</v>
      </c>
      <c r="DE178" s="16">
        <v>93.872267690346916</v>
      </c>
      <c r="DF178" s="16">
        <v>-9999</v>
      </c>
      <c r="DG178" s="16">
        <v>-9999</v>
      </c>
      <c r="DH178" s="16">
        <v>-9999</v>
      </c>
      <c r="DI178" s="16">
        <v>-9999</v>
      </c>
      <c r="DJ178" s="16">
        <v>-9999</v>
      </c>
      <c r="DK178" s="16">
        <v>-9999</v>
      </c>
      <c r="DL178" s="16">
        <v>-9999</v>
      </c>
      <c r="DM178" s="16">
        <v>-9999</v>
      </c>
      <c r="DN178" s="16">
        <v>196.8</v>
      </c>
      <c r="DO178" s="16">
        <v>172.46</v>
      </c>
      <c r="DP178" s="16">
        <v>158.07958311858397</v>
      </c>
      <c r="DQ178" s="16">
        <v>146.94380507293954</v>
      </c>
      <c r="DR178" s="16">
        <v>135.5617812196308</v>
      </c>
      <c r="DS178" s="16">
        <v>-9999</v>
      </c>
      <c r="DT178" s="16">
        <v>-9999</v>
      </c>
      <c r="DU178" s="16">
        <v>-9999</v>
      </c>
      <c r="DV178" s="16">
        <v>-9999</v>
      </c>
      <c r="DW178" s="16">
        <v>-9999</v>
      </c>
      <c r="DX178" s="16">
        <v>-9999</v>
      </c>
      <c r="DY178" s="16">
        <v>-9999</v>
      </c>
      <c r="DZ178" s="16">
        <v>-9999</v>
      </c>
      <c r="EA178" s="2196">
        <v>228.03</v>
      </c>
      <c r="EB178" s="2196">
        <v>196.8</v>
      </c>
      <c r="EC178" s="2196">
        <v>171.1866631144062</v>
      </c>
      <c r="ED178" s="2196">
        <v>151.75233630082812</v>
      </c>
      <c r="EE178" s="2196">
        <v>139.81942533585902</v>
      </c>
      <c r="EF178" s="2197">
        <v>-9999</v>
      </c>
      <c r="EG178" s="2197">
        <v>-9999</v>
      </c>
      <c r="EH178" s="2197">
        <v>-9999</v>
      </c>
      <c r="EI178" s="2197">
        <v>-9999</v>
      </c>
      <c r="EJ178" s="2197">
        <v>-9999</v>
      </c>
      <c r="EK178" s="2197">
        <v>-9999</v>
      </c>
      <c r="EL178" s="2197">
        <v>-9999</v>
      </c>
      <c r="EM178" s="2197">
        <v>-9999</v>
      </c>
    </row>
    <row r="179" spans="1:143">
      <c r="A179" s="22">
        <v>79</v>
      </c>
      <c r="B179" s="27" t="s">
        <v>571</v>
      </c>
      <c r="C179" s="20">
        <f ca="1">OFFSET(Labour1!F36,0,Last_forecast_year - 3-InputY!$G$3)</f>
        <v>1335.67</v>
      </c>
      <c r="D179" s="20">
        <f ca="1">OFFSET(Labour1!G36,0,Last_forecast_year - 3-InputY!$G$3)</f>
        <v>1362.11</v>
      </c>
      <c r="E179" s="20">
        <f ca="1">OFFSET(Labour1!H36,0,Last_forecast_year - 3-InputY!$G$3)</f>
        <v>1355.72</v>
      </c>
      <c r="F179" s="20">
        <f ca="1">OFFSET(Labour1!I36,0,Last_forecast_year - 3-InputY!$G$3)</f>
        <v>1348.3540524890891</v>
      </c>
      <c r="G179" s="20">
        <f ca="1">OFFSET(Labour1!J36,0,Last_forecast_year - 3-InputY!$G$3)</f>
        <v>1344.2656776101294</v>
      </c>
      <c r="H179" s="25">
        <v>-9999</v>
      </c>
      <c r="I179" s="25">
        <v>-9999</v>
      </c>
      <c r="J179" s="25">
        <v>-9999</v>
      </c>
      <c r="K179" s="25">
        <v>-9999</v>
      </c>
      <c r="L179" s="25">
        <v>-9999</v>
      </c>
      <c r="M179" s="25">
        <v>-9999</v>
      </c>
      <c r="N179" s="25">
        <v>-9999</v>
      </c>
      <c r="O179" s="25">
        <v>-9999</v>
      </c>
      <c r="P179" s="32"/>
      <c r="Q179"/>
      <c r="AA179" s="22">
        <v>79</v>
      </c>
      <c r="AB179" s="1040" t="str">
        <f t="shared" si="8"/>
        <v>TOTAL EMPLOYMENT LAB. FORCE STATISTICS</v>
      </c>
      <c r="AC179" s="1040">
        <f>CHOOSE(Tables!$U$2,Transfer!CA179,Transfer!CN179,Transfer!DA179,Transfer!DN179,Transfer!EA179)</f>
        <v>1253.5999999999999</v>
      </c>
      <c r="AD179" s="1040">
        <f>CHOOSE(Tables!$U$2,Transfer!CB179,Transfer!CO179,Transfer!DB179,Transfer!DO179,Transfer!EB179)</f>
        <v>1276</v>
      </c>
      <c r="AE179" s="1040">
        <f>CHOOSE(Tables!$U$2,Transfer!CC179,Transfer!CP179,Transfer!DC179,Transfer!DP179,Transfer!EC179)</f>
        <v>1295.1330168855939</v>
      </c>
      <c r="AF179" s="1040">
        <f>CHOOSE(Tables!$U$2,Transfer!CD179,Transfer!CQ179,Transfer!DD179,Transfer!DQ179,Transfer!ED179)</f>
        <v>1313.8341838591721</v>
      </c>
      <c r="AG179" s="1040">
        <f>CHOOSE(Tables!$U$2,Transfer!CE179,Transfer!CR179,Transfer!DE179,Transfer!DR179,Transfer!EE179)</f>
        <v>1330.1638543846211</v>
      </c>
      <c r="AH179" s="1040">
        <f>CHOOSE(Tables!$U$2,Transfer!CF179,Transfer!CS179,Transfer!DF179,Transfer!DS179,Transfer!EF179)</f>
        <v>-9999</v>
      </c>
      <c r="AI179" s="1040">
        <f>CHOOSE(Tables!$U$2,Transfer!CG179,Transfer!CT179,Transfer!DG179,Transfer!DT179,Transfer!EG179)</f>
        <v>-9999</v>
      </c>
      <c r="AJ179" s="1040">
        <f>CHOOSE(Tables!$U$2,Transfer!CH179,Transfer!CU179,Transfer!DH179,Transfer!DU179,Transfer!EH179)</f>
        <v>-9999</v>
      </c>
      <c r="AK179" s="1040">
        <f>CHOOSE(Tables!$U$2,Transfer!CI179,Transfer!CV179,Transfer!DI179,Transfer!DV179,Transfer!EI179)</f>
        <v>-9999</v>
      </c>
      <c r="AL179" s="1040">
        <f>CHOOSE(Tables!$U$2,Transfer!CJ179,Transfer!CW179,Transfer!DJ179,Transfer!DW179,Transfer!EJ179)</f>
        <v>-9999</v>
      </c>
      <c r="AM179" s="1040">
        <f>CHOOSE(Tables!$U$2,Transfer!CK179,Transfer!CX179,Transfer!DK179,Transfer!DX179,Transfer!EK179)</f>
        <v>-9999</v>
      </c>
      <c r="AN179" s="1040">
        <f>CHOOSE(Tables!$U$2,Transfer!CL179,Transfer!CY179,Transfer!DL179,Transfer!DY179,Transfer!EL179)</f>
        <v>-9999</v>
      </c>
      <c r="AO179" s="1040">
        <f>CHOOSE(Tables!$U$2,Transfer!CM179,Transfer!CZ179,Transfer!DM179,Transfer!DZ179,Transfer!EM179)</f>
        <v>-9999</v>
      </c>
      <c r="AR179" s="22">
        <v>79</v>
      </c>
      <c r="AS179" s="27" t="s">
        <v>571</v>
      </c>
      <c r="AT179" s="20">
        <f t="shared" ca="1" si="9"/>
        <v>82.070000000000164</v>
      </c>
      <c r="AU179" s="20">
        <f t="shared" ca="1" si="9"/>
        <v>86.1099999999999</v>
      </c>
      <c r="AV179" s="20">
        <f t="shared" ca="1" si="9"/>
        <v>60.586983114406166</v>
      </c>
      <c r="AW179" s="20">
        <f t="shared" ca="1" si="9"/>
        <v>34.519868629917028</v>
      </c>
      <c r="AX179" s="20">
        <f t="shared" ca="1" si="9"/>
        <v>14.101823225508269</v>
      </c>
      <c r="AY179" s="25">
        <f t="shared" si="9"/>
        <v>0</v>
      </c>
      <c r="AZ179" s="25">
        <f t="shared" si="9"/>
        <v>0</v>
      </c>
      <c r="BA179" s="25">
        <f t="shared" si="9"/>
        <v>0</v>
      </c>
      <c r="BB179" s="25">
        <f t="shared" si="9"/>
        <v>0</v>
      </c>
      <c r="BC179" s="25">
        <f t="shared" si="7"/>
        <v>0</v>
      </c>
      <c r="BD179" s="25">
        <f t="shared" si="7"/>
        <v>0</v>
      </c>
      <c r="BE179" s="25">
        <f t="shared" si="7"/>
        <v>0</v>
      </c>
      <c r="BF179" s="25">
        <f t="shared" si="7"/>
        <v>0</v>
      </c>
      <c r="CA179" s="16">
        <v>1293.17</v>
      </c>
      <c r="CB179" s="16">
        <v>1319.3</v>
      </c>
      <c r="CC179" s="16">
        <v>1340.591092055</v>
      </c>
      <c r="CD179" s="16">
        <v>1343.8223826641122</v>
      </c>
      <c r="CE179" s="16">
        <v>1345.7262653290711</v>
      </c>
      <c r="CF179" s="16">
        <v>-9999</v>
      </c>
      <c r="CG179" s="16">
        <v>-9999</v>
      </c>
      <c r="CH179" s="16">
        <v>-9999</v>
      </c>
      <c r="CI179" s="16">
        <v>-9999</v>
      </c>
      <c r="CJ179" s="16">
        <v>-9999</v>
      </c>
      <c r="CK179" s="16">
        <v>-9999</v>
      </c>
      <c r="CL179" s="16">
        <v>-9999</v>
      </c>
      <c r="CM179" s="16">
        <v>-9999</v>
      </c>
      <c r="CN179" s="16">
        <v>1276</v>
      </c>
      <c r="CO179" s="16">
        <v>1293.17</v>
      </c>
      <c r="CP179" s="16">
        <v>1319.3</v>
      </c>
      <c r="CQ179" s="16">
        <v>1334.8679167949999</v>
      </c>
      <c r="CR179" s="16">
        <v>1350.6953758139123</v>
      </c>
      <c r="CS179" s="16">
        <v>-9999</v>
      </c>
      <c r="CT179" s="16">
        <v>-9999</v>
      </c>
      <c r="CU179" s="16">
        <v>-9999</v>
      </c>
      <c r="CV179" s="16">
        <v>-9999</v>
      </c>
      <c r="CW179" s="16">
        <v>-9999</v>
      </c>
      <c r="CX179" s="16">
        <v>-9999</v>
      </c>
      <c r="CY179" s="16">
        <v>-9999</v>
      </c>
      <c r="CZ179" s="16">
        <v>-9999</v>
      </c>
      <c r="DA179" s="16">
        <v>1293.17</v>
      </c>
      <c r="DB179" s="16">
        <v>1319.3</v>
      </c>
      <c r="DC179" s="16">
        <v>1334.8679167949999</v>
      </c>
      <c r="DD179" s="16">
        <v>1350.6953758139123</v>
      </c>
      <c r="DE179" s="16">
        <v>1368.3828826656529</v>
      </c>
      <c r="DF179" s="16">
        <v>-9999</v>
      </c>
      <c r="DG179" s="16">
        <v>-9999</v>
      </c>
      <c r="DH179" s="16">
        <v>-9999</v>
      </c>
      <c r="DI179" s="16">
        <v>-9999</v>
      </c>
      <c r="DJ179" s="16">
        <v>-9999</v>
      </c>
      <c r="DK179" s="16">
        <v>-9999</v>
      </c>
      <c r="DL179" s="16">
        <v>-9999</v>
      </c>
      <c r="DM179" s="16">
        <v>-9999</v>
      </c>
      <c r="DN179" s="16">
        <v>1276</v>
      </c>
      <c r="DO179" s="16">
        <v>1293.17</v>
      </c>
      <c r="DP179" s="16">
        <v>1319.3</v>
      </c>
      <c r="DQ179" s="16">
        <v>1334.8679167949999</v>
      </c>
      <c r="DR179" s="16">
        <v>1350.6953758139123</v>
      </c>
      <c r="DS179" s="16">
        <v>-9999</v>
      </c>
      <c r="DT179" s="16">
        <v>-9999</v>
      </c>
      <c r="DU179" s="16">
        <v>-9999</v>
      </c>
      <c r="DV179" s="16">
        <v>-9999</v>
      </c>
      <c r="DW179" s="16">
        <v>-9999</v>
      </c>
      <c r="DX179" s="16">
        <v>-9999</v>
      </c>
      <c r="DY179" s="16">
        <v>-9999</v>
      </c>
      <c r="DZ179" s="16">
        <v>-9999</v>
      </c>
      <c r="EA179" s="2196">
        <v>1253.5999999999999</v>
      </c>
      <c r="EB179" s="2196">
        <v>1276</v>
      </c>
      <c r="EC179" s="2196">
        <v>1295.1330168855939</v>
      </c>
      <c r="ED179" s="2196">
        <v>1313.8341838591721</v>
      </c>
      <c r="EE179" s="2196">
        <v>1330.1638543846211</v>
      </c>
      <c r="EF179" s="2197">
        <v>-9999</v>
      </c>
      <c r="EG179" s="2197">
        <v>-9999</v>
      </c>
      <c r="EH179" s="2197">
        <v>-9999</v>
      </c>
      <c r="EI179" s="2197">
        <v>-9999</v>
      </c>
      <c r="EJ179" s="2197">
        <v>-9999</v>
      </c>
      <c r="EK179" s="2197">
        <v>-9999</v>
      </c>
      <c r="EL179" s="2197">
        <v>-9999</v>
      </c>
      <c r="EM179" s="2197">
        <v>-9999</v>
      </c>
    </row>
    <row r="180" spans="1:143">
      <c r="A180" s="22">
        <v>80</v>
      </c>
      <c r="B180" s="36" t="s">
        <v>1087</v>
      </c>
      <c r="C180" s="25">
        <v>-9999</v>
      </c>
      <c r="D180" s="25">
        <v>-9999</v>
      </c>
      <c r="E180" s="25">
        <v>-9999</v>
      </c>
      <c r="F180" s="25">
        <v>-9999</v>
      </c>
      <c r="G180" s="25">
        <v>-9999</v>
      </c>
      <c r="H180" s="25">
        <v>-9999</v>
      </c>
      <c r="I180" s="25">
        <v>-9999</v>
      </c>
      <c r="J180" s="25">
        <v>-9999</v>
      </c>
      <c r="K180" s="25">
        <v>-9999</v>
      </c>
      <c r="L180" s="25">
        <v>-9999</v>
      </c>
      <c r="M180" s="25">
        <v>-9999</v>
      </c>
      <c r="N180" s="25">
        <v>-9999</v>
      </c>
      <c r="O180" s="25">
        <v>-9999</v>
      </c>
      <c r="P180" s="26"/>
      <c r="Q180"/>
      <c r="AA180" s="22">
        <v>80</v>
      </c>
      <c r="AB180" s="1040" t="str">
        <f t="shared" si="8"/>
        <v>FOR INTERNAL CALCULATIONS BY A4</v>
      </c>
      <c r="AC180" s="1040">
        <f>CHOOSE(Tables!$U$2,Transfer!CA180,Transfer!CN180,Transfer!DA180,Transfer!DN180,Transfer!EA180)</f>
        <v>-9999</v>
      </c>
      <c r="AD180" s="1040">
        <f>CHOOSE(Tables!$U$2,Transfer!CB180,Transfer!CO180,Transfer!DB180,Transfer!DO180,Transfer!EB180)</f>
        <v>-9999</v>
      </c>
      <c r="AE180" s="1040">
        <f>CHOOSE(Tables!$U$2,Transfer!CC180,Transfer!CP180,Transfer!DC180,Transfer!DP180,Transfer!EC180)</f>
        <v>-9999</v>
      </c>
      <c r="AF180" s="1040">
        <f>CHOOSE(Tables!$U$2,Transfer!CD180,Transfer!CQ180,Transfer!DD180,Transfer!DQ180,Transfer!ED180)</f>
        <v>-9999</v>
      </c>
      <c r="AG180" s="1040">
        <f>CHOOSE(Tables!$U$2,Transfer!CE180,Transfer!CR180,Transfer!DE180,Transfer!DR180,Transfer!EE180)</f>
        <v>-9999</v>
      </c>
      <c r="AH180" s="1040">
        <f>CHOOSE(Tables!$U$2,Transfer!CF180,Transfer!CS180,Transfer!DF180,Transfer!DS180,Transfer!EF180)</f>
        <v>-9999</v>
      </c>
      <c r="AI180" s="1040">
        <f>CHOOSE(Tables!$U$2,Transfer!CG180,Transfer!CT180,Transfer!DG180,Transfer!DT180,Transfer!EG180)</f>
        <v>-9999</v>
      </c>
      <c r="AJ180" s="1040">
        <f>CHOOSE(Tables!$U$2,Transfer!CH180,Transfer!CU180,Transfer!DH180,Transfer!DU180,Transfer!EH180)</f>
        <v>-9999</v>
      </c>
      <c r="AK180" s="1040">
        <f>CHOOSE(Tables!$U$2,Transfer!CI180,Transfer!CV180,Transfer!DI180,Transfer!DV180,Transfer!EI180)</f>
        <v>-9999</v>
      </c>
      <c r="AL180" s="1040">
        <f>CHOOSE(Tables!$U$2,Transfer!CJ180,Transfer!CW180,Transfer!DJ180,Transfer!DW180,Transfer!EJ180)</f>
        <v>-9999</v>
      </c>
      <c r="AM180" s="1040">
        <f>CHOOSE(Tables!$U$2,Transfer!CK180,Transfer!CX180,Transfer!DK180,Transfer!DX180,Transfer!EK180)</f>
        <v>-9999</v>
      </c>
      <c r="AN180" s="1040">
        <f>CHOOSE(Tables!$U$2,Transfer!CL180,Transfer!CY180,Transfer!DL180,Transfer!DY180,Transfer!EL180)</f>
        <v>-9999</v>
      </c>
      <c r="AO180" s="1040">
        <f>CHOOSE(Tables!$U$2,Transfer!CM180,Transfer!CZ180,Transfer!DM180,Transfer!DZ180,Transfer!EM180)</f>
        <v>-9999</v>
      </c>
      <c r="AR180" s="22">
        <v>80</v>
      </c>
      <c r="AS180" s="27" t="s">
        <v>1693</v>
      </c>
      <c r="AT180" s="2069">
        <f t="shared" si="9"/>
        <v>0</v>
      </c>
      <c r="AU180" s="2069">
        <f t="shared" si="9"/>
        <v>0</v>
      </c>
      <c r="AV180" s="2069">
        <f t="shared" si="9"/>
        <v>0</v>
      </c>
      <c r="AW180" s="2069">
        <f t="shared" si="9"/>
        <v>0</v>
      </c>
      <c r="AX180" s="2069">
        <f t="shared" si="9"/>
        <v>0</v>
      </c>
      <c r="AY180" s="25">
        <f t="shared" si="9"/>
        <v>0</v>
      </c>
      <c r="AZ180" s="25">
        <f t="shared" si="9"/>
        <v>0</v>
      </c>
      <c r="BA180" s="25">
        <f t="shared" si="9"/>
        <v>0</v>
      </c>
      <c r="BB180" s="25">
        <f t="shared" si="9"/>
        <v>0</v>
      </c>
      <c r="BC180" s="25">
        <f t="shared" si="7"/>
        <v>0</v>
      </c>
      <c r="BD180" s="25">
        <f t="shared" si="7"/>
        <v>0</v>
      </c>
      <c r="BE180" s="25">
        <f t="shared" si="7"/>
        <v>0</v>
      </c>
      <c r="BF180" s="25">
        <f t="shared" si="7"/>
        <v>0</v>
      </c>
      <c r="CA180" s="16">
        <v>-9999</v>
      </c>
      <c r="CB180" s="16">
        <v>-9999</v>
      </c>
      <c r="CC180" s="16">
        <v>-9999</v>
      </c>
      <c r="CD180" s="16">
        <v>-9999</v>
      </c>
      <c r="CE180" s="16">
        <v>-9999</v>
      </c>
      <c r="CF180" s="16">
        <v>-9999</v>
      </c>
      <c r="CG180" s="16">
        <v>-9999</v>
      </c>
      <c r="CH180" s="16">
        <v>-9999</v>
      </c>
      <c r="CI180" s="16">
        <v>-9999</v>
      </c>
      <c r="CJ180" s="16">
        <v>-9999</v>
      </c>
      <c r="CK180" s="16">
        <v>-9999</v>
      </c>
      <c r="CL180" s="16">
        <v>-9999</v>
      </c>
      <c r="CM180" s="16">
        <v>-9999</v>
      </c>
      <c r="CN180" s="16">
        <v>-9999</v>
      </c>
      <c r="CO180" s="16">
        <v>-9999</v>
      </c>
      <c r="CP180" s="16">
        <v>-9999</v>
      </c>
      <c r="CQ180" s="16">
        <v>-9999</v>
      </c>
      <c r="CR180" s="16">
        <v>-9999</v>
      </c>
      <c r="CS180" s="16">
        <v>-9999</v>
      </c>
      <c r="CT180" s="16">
        <v>-9999</v>
      </c>
      <c r="CU180" s="16">
        <v>-9999</v>
      </c>
      <c r="CV180" s="16">
        <v>-9999</v>
      </c>
      <c r="CW180" s="16">
        <v>-9999</v>
      </c>
      <c r="CX180" s="16">
        <v>-9999</v>
      </c>
      <c r="CY180" s="16">
        <v>-9999</v>
      </c>
      <c r="CZ180" s="16">
        <v>-9999</v>
      </c>
      <c r="DA180" s="16">
        <v>-9999</v>
      </c>
      <c r="DB180" s="16">
        <v>-9999</v>
      </c>
      <c r="DC180" s="16">
        <v>-9999</v>
      </c>
      <c r="DD180" s="16">
        <v>-9999</v>
      </c>
      <c r="DE180" s="16">
        <v>-9999</v>
      </c>
      <c r="DF180" s="16">
        <v>-9999</v>
      </c>
      <c r="DG180" s="16">
        <v>-9999</v>
      </c>
      <c r="DH180" s="16">
        <v>-9999</v>
      </c>
      <c r="DI180" s="16">
        <v>-9999</v>
      </c>
      <c r="DJ180" s="16">
        <v>-9999</v>
      </c>
      <c r="DK180" s="16">
        <v>-9999</v>
      </c>
      <c r="DL180" s="16">
        <v>-9999</v>
      </c>
      <c r="DM180" s="16">
        <v>-9999</v>
      </c>
      <c r="DN180" s="16">
        <v>-9999</v>
      </c>
      <c r="DO180" s="16">
        <v>-9999</v>
      </c>
      <c r="DP180" s="16">
        <v>-9999</v>
      </c>
      <c r="DQ180" s="16">
        <v>-9999</v>
      </c>
      <c r="DR180" s="16">
        <v>-9999</v>
      </c>
      <c r="DS180" s="16">
        <v>-9999</v>
      </c>
      <c r="DT180" s="16">
        <v>-9999</v>
      </c>
      <c r="DU180" s="16">
        <v>-9999</v>
      </c>
      <c r="DV180" s="16">
        <v>-9999</v>
      </c>
      <c r="DW180" s="16">
        <v>-9999</v>
      </c>
      <c r="DX180" s="16">
        <v>-9999</v>
      </c>
      <c r="DY180" s="16">
        <v>-9999</v>
      </c>
      <c r="DZ180" s="16">
        <v>-9999</v>
      </c>
      <c r="EA180" s="2197">
        <v>-9999</v>
      </c>
      <c r="EB180" s="2197">
        <v>-9999</v>
      </c>
      <c r="EC180" s="2197">
        <v>-9999</v>
      </c>
      <c r="ED180" s="2197">
        <v>-9999</v>
      </c>
      <c r="EE180" s="2197">
        <v>-9999</v>
      </c>
      <c r="EF180" s="2197">
        <v>-9999</v>
      </c>
      <c r="EG180" s="2197">
        <v>-9999</v>
      </c>
      <c r="EH180" s="2197">
        <v>-9999</v>
      </c>
      <c r="EI180" s="2197">
        <v>-9999</v>
      </c>
      <c r="EJ180" s="2197">
        <v>-9999</v>
      </c>
      <c r="EK180" s="2197">
        <v>-9999</v>
      </c>
      <c r="EL180" s="2197">
        <v>-9999</v>
      </c>
      <c r="EM180" s="2197">
        <v>-9999</v>
      </c>
    </row>
    <row r="181" spans="1:143">
      <c r="A181" s="22">
        <v>81</v>
      </c>
      <c r="B181" s="36" t="s">
        <v>1087</v>
      </c>
      <c r="C181" s="25">
        <v>-9999</v>
      </c>
      <c r="D181" s="25">
        <v>-9999</v>
      </c>
      <c r="E181" s="25">
        <v>-9999</v>
      </c>
      <c r="F181" s="25">
        <v>-9999</v>
      </c>
      <c r="G181" s="25">
        <v>-9999</v>
      </c>
      <c r="H181" s="25">
        <v>-9999</v>
      </c>
      <c r="I181" s="25">
        <v>-9999</v>
      </c>
      <c r="J181" s="25">
        <v>-9999</v>
      </c>
      <c r="K181" s="25">
        <v>-9999</v>
      </c>
      <c r="L181" s="25">
        <v>-9999</v>
      </c>
      <c r="M181" s="25">
        <v>-9999</v>
      </c>
      <c r="N181" s="25">
        <v>-9999</v>
      </c>
      <c r="O181" s="25">
        <v>-9999</v>
      </c>
      <c r="P181" s="26"/>
      <c r="Q181"/>
      <c r="AA181" s="22">
        <v>81</v>
      </c>
      <c r="AB181" s="1040" t="str">
        <f t="shared" si="8"/>
        <v>FOR INTERNAL CALCULATIONS BY A4</v>
      </c>
      <c r="AC181" s="1040">
        <f>CHOOSE(Tables!$U$2,Transfer!CA181,Transfer!CN181,Transfer!DA181,Transfer!DN181,Transfer!EA181)</f>
        <v>-9999</v>
      </c>
      <c r="AD181" s="1040">
        <f>CHOOSE(Tables!$U$2,Transfer!CB181,Transfer!CO181,Transfer!DB181,Transfer!DO181,Transfer!EB181)</f>
        <v>-9999</v>
      </c>
      <c r="AE181" s="1040">
        <f>CHOOSE(Tables!$U$2,Transfer!CC181,Transfer!CP181,Transfer!DC181,Transfer!DP181,Transfer!EC181)</f>
        <v>-9999</v>
      </c>
      <c r="AF181" s="1040">
        <f>CHOOSE(Tables!$U$2,Transfer!CD181,Transfer!CQ181,Transfer!DD181,Transfer!DQ181,Transfer!ED181)</f>
        <v>-9999</v>
      </c>
      <c r="AG181" s="1040">
        <f>CHOOSE(Tables!$U$2,Transfer!CE181,Transfer!CR181,Transfer!DE181,Transfer!DR181,Transfer!EE181)</f>
        <v>-9999</v>
      </c>
      <c r="AH181" s="1040">
        <f>CHOOSE(Tables!$U$2,Transfer!CF181,Transfer!CS181,Transfer!DF181,Transfer!DS181,Transfer!EF181)</f>
        <v>-9999</v>
      </c>
      <c r="AI181" s="1040">
        <f>CHOOSE(Tables!$U$2,Transfer!CG181,Transfer!CT181,Transfer!DG181,Transfer!DT181,Transfer!EG181)</f>
        <v>-9999</v>
      </c>
      <c r="AJ181" s="1040">
        <f>CHOOSE(Tables!$U$2,Transfer!CH181,Transfer!CU181,Transfer!DH181,Transfer!DU181,Transfer!EH181)</f>
        <v>-9999</v>
      </c>
      <c r="AK181" s="1040">
        <f>CHOOSE(Tables!$U$2,Transfer!CI181,Transfer!CV181,Transfer!DI181,Transfer!DV181,Transfer!EI181)</f>
        <v>-9999</v>
      </c>
      <c r="AL181" s="1040">
        <f>CHOOSE(Tables!$U$2,Transfer!CJ181,Transfer!CW181,Transfer!DJ181,Transfer!DW181,Transfer!EJ181)</f>
        <v>-9999</v>
      </c>
      <c r="AM181" s="1040">
        <f>CHOOSE(Tables!$U$2,Transfer!CK181,Transfer!CX181,Transfer!DK181,Transfer!DX181,Transfer!EK181)</f>
        <v>-9999</v>
      </c>
      <c r="AN181" s="1040">
        <f>CHOOSE(Tables!$U$2,Transfer!CL181,Transfer!CY181,Transfer!DL181,Transfer!DY181,Transfer!EL181)</f>
        <v>-9999</v>
      </c>
      <c r="AO181" s="1040">
        <f>CHOOSE(Tables!$U$2,Transfer!CM181,Transfer!CZ181,Transfer!DM181,Transfer!DZ181,Transfer!EM181)</f>
        <v>-9999</v>
      </c>
      <c r="AR181" s="22">
        <v>81</v>
      </c>
      <c r="AS181" s="31" t="s">
        <v>289</v>
      </c>
      <c r="AT181" s="2069">
        <f t="shared" si="9"/>
        <v>0</v>
      </c>
      <c r="AU181" s="2069">
        <f t="shared" si="9"/>
        <v>0</v>
      </c>
      <c r="AV181" s="2069">
        <f t="shared" si="9"/>
        <v>0</v>
      </c>
      <c r="AW181" s="2069">
        <f t="shared" si="9"/>
        <v>0</v>
      </c>
      <c r="AX181" s="2069">
        <f t="shared" si="9"/>
        <v>0</v>
      </c>
      <c r="AY181" s="25">
        <f t="shared" si="9"/>
        <v>0</v>
      </c>
      <c r="AZ181" s="25">
        <f t="shared" si="9"/>
        <v>0</v>
      </c>
      <c r="BA181" s="25">
        <f t="shared" si="9"/>
        <v>0</v>
      </c>
      <c r="BB181" s="25">
        <f t="shared" si="9"/>
        <v>0</v>
      </c>
      <c r="BC181" s="25">
        <f t="shared" si="7"/>
        <v>0</v>
      </c>
      <c r="BD181" s="25">
        <f t="shared" si="7"/>
        <v>0</v>
      </c>
      <c r="BE181" s="25">
        <f t="shared" si="7"/>
        <v>0</v>
      </c>
      <c r="BF181" s="25">
        <f t="shared" si="7"/>
        <v>0</v>
      </c>
      <c r="CA181" s="16">
        <v>-9999</v>
      </c>
      <c r="CB181" s="16">
        <v>-9999</v>
      </c>
      <c r="CC181" s="16">
        <v>-9999</v>
      </c>
      <c r="CD181" s="16">
        <v>-9999</v>
      </c>
      <c r="CE181" s="16">
        <v>-9999</v>
      </c>
      <c r="CF181" s="16">
        <v>-9999</v>
      </c>
      <c r="CG181" s="16">
        <v>-9999</v>
      </c>
      <c r="CH181" s="16">
        <v>-9999</v>
      </c>
      <c r="CI181" s="16">
        <v>-9999</v>
      </c>
      <c r="CJ181" s="16">
        <v>-9999</v>
      </c>
      <c r="CK181" s="16">
        <v>-9999</v>
      </c>
      <c r="CL181" s="16">
        <v>-9999</v>
      </c>
      <c r="CM181" s="16">
        <v>-9999</v>
      </c>
      <c r="CN181" s="16">
        <v>-9999</v>
      </c>
      <c r="CO181" s="16">
        <v>-9999</v>
      </c>
      <c r="CP181" s="16">
        <v>-9999</v>
      </c>
      <c r="CQ181" s="16">
        <v>-9999</v>
      </c>
      <c r="CR181" s="16">
        <v>-9999</v>
      </c>
      <c r="CS181" s="16">
        <v>-9999</v>
      </c>
      <c r="CT181" s="16">
        <v>-9999</v>
      </c>
      <c r="CU181" s="16">
        <v>-9999</v>
      </c>
      <c r="CV181" s="16">
        <v>-9999</v>
      </c>
      <c r="CW181" s="16">
        <v>-9999</v>
      </c>
      <c r="CX181" s="16">
        <v>-9999</v>
      </c>
      <c r="CY181" s="16">
        <v>-9999</v>
      </c>
      <c r="CZ181" s="16">
        <v>-9999</v>
      </c>
      <c r="DA181" s="16">
        <v>-9999</v>
      </c>
      <c r="DB181" s="16">
        <v>-9999</v>
      </c>
      <c r="DC181" s="16">
        <v>-9999</v>
      </c>
      <c r="DD181" s="16">
        <v>-9999</v>
      </c>
      <c r="DE181" s="16">
        <v>-9999</v>
      </c>
      <c r="DF181" s="16">
        <v>-9999</v>
      </c>
      <c r="DG181" s="16">
        <v>-9999</v>
      </c>
      <c r="DH181" s="16">
        <v>-9999</v>
      </c>
      <c r="DI181" s="16">
        <v>-9999</v>
      </c>
      <c r="DJ181" s="16">
        <v>-9999</v>
      </c>
      <c r="DK181" s="16">
        <v>-9999</v>
      </c>
      <c r="DL181" s="16">
        <v>-9999</v>
      </c>
      <c r="DM181" s="16">
        <v>-9999</v>
      </c>
      <c r="DN181" s="16">
        <v>-9999</v>
      </c>
      <c r="DO181" s="16">
        <v>-9999</v>
      </c>
      <c r="DP181" s="16">
        <v>-9999</v>
      </c>
      <c r="DQ181" s="16">
        <v>-9999</v>
      </c>
      <c r="DR181" s="16">
        <v>-9999</v>
      </c>
      <c r="DS181" s="16">
        <v>-9999</v>
      </c>
      <c r="DT181" s="16">
        <v>-9999</v>
      </c>
      <c r="DU181" s="16">
        <v>-9999</v>
      </c>
      <c r="DV181" s="16">
        <v>-9999</v>
      </c>
      <c r="DW181" s="16">
        <v>-9999</v>
      </c>
      <c r="DX181" s="16">
        <v>-9999</v>
      </c>
      <c r="DY181" s="16">
        <v>-9999</v>
      </c>
      <c r="DZ181" s="16">
        <v>-9999</v>
      </c>
      <c r="EA181" s="2197">
        <v>-9999</v>
      </c>
      <c r="EB181" s="2197">
        <v>-9999</v>
      </c>
      <c r="EC181" s="2197">
        <v>-9999</v>
      </c>
      <c r="ED181" s="2197">
        <v>-9999</v>
      </c>
      <c r="EE181" s="2197">
        <v>-9999</v>
      </c>
      <c r="EF181" s="2197">
        <v>-9999</v>
      </c>
      <c r="EG181" s="2197">
        <v>-9999</v>
      </c>
      <c r="EH181" s="2197">
        <v>-9999</v>
      </c>
      <c r="EI181" s="2197">
        <v>-9999</v>
      </c>
      <c r="EJ181" s="2197">
        <v>-9999</v>
      </c>
      <c r="EK181" s="2197">
        <v>-9999</v>
      </c>
      <c r="EL181" s="2197">
        <v>-9999</v>
      </c>
      <c r="EM181" s="2197">
        <v>-9999</v>
      </c>
    </row>
    <row r="182" spans="1:143">
      <c r="A182" s="22">
        <v>82</v>
      </c>
      <c r="B182" s="36" t="s">
        <v>1087</v>
      </c>
      <c r="C182" s="25">
        <v>-9999</v>
      </c>
      <c r="D182" s="25">
        <v>-9999</v>
      </c>
      <c r="E182" s="25">
        <v>-9999</v>
      </c>
      <c r="F182" s="25">
        <v>-9999</v>
      </c>
      <c r="G182" s="25">
        <v>-9999</v>
      </c>
      <c r="H182" s="25">
        <v>-9999</v>
      </c>
      <c r="I182" s="25">
        <v>-9999</v>
      </c>
      <c r="J182" s="25">
        <v>-9999</v>
      </c>
      <c r="K182" s="25">
        <v>-9999</v>
      </c>
      <c r="L182" s="25">
        <v>-9999</v>
      </c>
      <c r="M182" s="25">
        <v>-9999</v>
      </c>
      <c r="N182" s="25">
        <v>-9999</v>
      </c>
      <c r="O182" s="25">
        <v>-9999</v>
      </c>
      <c r="P182" s="26"/>
      <c r="Q182"/>
      <c r="AA182" s="22">
        <v>82</v>
      </c>
      <c r="AB182" s="1040" t="str">
        <f t="shared" si="8"/>
        <v>FOR INTERNAL CALCULATIONS BY A4</v>
      </c>
      <c r="AC182" s="1040">
        <f>CHOOSE(Tables!$U$2,Transfer!CA182,Transfer!CN182,Transfer!DA182,Transfer!DN182,Transfer!EA182)</f>
        <v>-9999</v>
      </c>
      <c r="AD182" s="1040">
        <f>CHOOSE(Tables!$U$2,Transfer!CB182,Transfer!CO182,Transfer!DB182,Transfer!DO182,Transfer!EB182)</f>
        <v>-9999</v>
      </c>
      <c r="AE182" s="1040">
        <f>CHOOSE(Tables!$U$2,Transfer!CC182,Transfer!CP182,Transfer!DC182,Transfer!DP182,Transfer!EC182)</f>
        <v>-9999</v>
      </c>
      <c r="AF182" s="1040">
        <f>CHOOSE(Tables!$U$2,Transfer!CD182,Transfer!CQ182,Transfer!DD182,Transfer!DQ182,Transfer!ED182)</f>
        <v>-9999</v>
      </c>
      <c r="AG182" s="1040">
        <f>CHOOSE(Tables!$U$2,Transfer!CE182,Transfer!CR182,Transfer!DE182,Transfer!DR182,Transfer!EE182)</f>
        <v>-9999</v>
      </c>
      <c r="AH182" s="1040">
        <f>CHOOSE(Tables!$U$2,Transfer!CF182,Transfer!CS182,Transfer!DF182,Transfer!DS182,Transfer!EF182)</f>
        <v>-9999</v>
      </c>
      <c r="AI182" s="1040">
        <f>CHOOSE(Tables!$U$2,Transfer!CG182,Transfer!CT182,Transfer!DG182,Transfer!DT182,Transfer!EG182)</f>
        <v>-9999</v>
      </c>
      <c r="AJ182" s="1040">
        <f>CHOOSE(Tables!$U$2,Transfer!CH182,Transfer!CU182,Transfer!DH182,Transfer!DU182,Transfer!EH182)</f>
        <v>-9999</v>
      </c>
      <c r="AK182" s="1040">
        <f>CHOOSE(Tables!$U$2,Transfer!CI182,Transfer!CV182,Transfer!DI182,Transfer!DV182,Transfer!EI182)</f>
        <v>-9999</v>
      </c>
      <c r="AL182" s="1040">
        <f>CHOOSE(Tables!$U$2,Transfer!CJ182,Transfer!CW182,Transfer!DJ182,Transfer!DW182,Transfer!EJ182)</f>
        <v>-9999</v>
      </c>
      <c r="AM182" s="1040">
        <f>CHOOSE(Tables!$U$2,Transfer!CK182,Transfer!CX182,Transfer!DK182,Transfer!DX182,Transfer!EK182)</f>
        <v>-9999</v>
      </c>
      <c r="AN182" s="1040">
        <f>CHOOSE(Tables!$U$2,Transfer!CL182,Transfer!CY182,Transfer!DL182,Transfer!DY182,Transfer!EL182)</f>
        <v>-9999</v>
      </c>
      <c r="AO182" s="1040">
        <f>CHOOSE(Tables!$U$2,Transfer!CM182,Transfer!CZ182,Transfer!DM182,Transfer!DZ182,Transfer!EM182)</f>
        <v>-9999</v>
      </c>
      <c r="AR182" s="22">
        <v>82</v>
      </c>
      <c r="AS182" s="31" t="s">
        <v>1110</v>
      </c>
      <c r="AT182" s="2069">
        <f t="shared" ref="AT182:AT213" si="10">C182-AC182</f>
        <v>0</v>
      </c>
      <c r="AU182" s="2069">
        <f t="shared" ref="AU182:AU213" si="11">D182-AD182</f>
        <v>0</v>
      </c>
      <c r="AV182" s="2069">
        <f t="shared" ref="AV182:AV213" si="12">E182-AE182</f>
        <v>0</v>
      </c>
      <c r="AW182" s="2069">
        <f t="shared" ref="AW182:AW213" si="13">F182-AF182</f>
        <v>0</v>
      </c>
      <c r="AX182" s="2069">
        <f t="shared" ref="AX182:AX213" si="14">G182-AG182</f>
        <v>0</v>
      </c>
      <c r="AY182" s="25">
        <f t="shared" ref="AY182:AY213" si="15">H182-AH182</f>
        <v>0</v>
      </c>
      <c r="AZ182" s="25">
        <f t="shared" ref="AZ182:AZ213" si="16">I182-AI182</f>
        <v>0</v>
      </c>
      <c r="BA182" s="25">
        <f t="shared" ref="BA182:BA213" si="17">J182-AJ182</f>
        <v>0</v>
      </c>
      <c r="BB182" s="25">
        <f t="shared" ref="BB182:BB213" si="18">K182-AK182</f>
        <v>0</v>
      </c>
      <c r="BC182" s="25">
        <f t="shared" si="7"/>
        <v>0</v>
      </c>
      <c r="BD182" s="25">
        <f t="shared" si="7"/>
        <v>0</v>
      </c>
      <c r="BE182" s="25">
        <f t="shared" si="7"/>
        <v>0</v>
      </c>
      <c r="BF182" s="25">
        <f t="shared" si="7"/>
        <v>0</v>
      </c>
      <c r="CA182" s="16">
        <v>-9999</v>
      </c>
      <c r="CB182" s="16">
        <v>-9999</v>
      </c>
      <c r="CC182" s="16">
        <v>-9999</v>
      </c>
      <c r="CD182" s="16">
        <v>-9999</v>
      </c>
      <c r="CE182" s="16">
        <v>-9999</v>
      </c>
      <c r="CF182" s="16">
        <v>-9999</v>
      </c>
      <c r="CG182" s="16">
        <v>-9999</v>
      </c>
      <c r="CH182" s="16">
        <v>-9999</v>
      </c>
      <c r="CI182" s="16">
        <v>-9999</v>
      </c>
      <c r="CJ182" s="16">
        <v>-9999</v>
      </c>
      <c r="CK182" s="16">
        <v>-9999</v>
      </c>
      <c r="CL182" s="16">
        <v>-9999</v>
      </c>
      <c r="CM182" s="16">
        <v>-9999</v>
      </c>
      <c r="CN182" s="16">
        <v>-9999</v>
      </c>
      <c r="CO182" s="16">
        <v>-9999</v>
      </c>
      <c r="CP182" s="16">
        <v>-9999</v>
      </c>
      <c r="CQ182" s="16">
        <v>-9999</v>
      </c>
      <c r="CR182" s="16">
        <v>-9999</v>
      </c>
      <c r="CS182" s="16">
        <v>-9999</v>
      </c>
      <c r="CT182" s="16">
        <v>-9999</v>
      </c>
      <c r="CU182" s="16">
        <v>-9999</v>
      </c>
      <c r="CV182" s="16">
        <v>-9999</v>
      </c>
      <c r="CW182" s="16">
        <v>-9999</v>
      </c>
      <c r="CX182" s="16">
        <v>-9999</v>
      </c>
      <c r="CY182" s="16">
        <v>-9999</v>
      </c>
      <c r="CZ182" s="16">
        <v>-9999</v>
      </c>
      <c r="DA182" s="16">
        <v>-9999</v>
      </c>
      <c r="DB182" s="16">
        <v>-9999</v>
      </c>
      <c r="DC182" s="16">
        <v>-9999</v>
      </c>
      <c r="DD182" s="16">
        <v>-9999</v>
      </c>
      <c r="DE182" s="16">
        <v>-9999</v>
      </c>
      <c r="DF182" s="16">
        <v>-9999</v>
      </c>
      <c r="DG182" s="16">
        <v>-9999</v>
      </c>
      <c r="DH182" s="16">
        <v>-9999</v>
      </c>
      <c r="DI182" s="16">
        <v>-9999</v>
      </c>
      <c r="DJ182" s="16">
        <v>-9999</v>
      </c>
      <c r="DK182" s="16">
        <v>-9999</v>
      </c>
      <c r="DL182" s="16">
        <v>-9999</v>
      </c>
      <c r="DM182" s="16">
        <v>-9999</v>
      </c>
      <c r="DN182" s="16">
        <v>-9999</v>
      </c>
      <c r="DO182" s="16">
        <v>-9999</v>
      </c>
      <c r="DP182" s="16">
        <v>-9999</v>
      </c>
      <c r="DQ182" s="16">
        <v>-9999</v>
      </c>
      <c r="DR182" s="16">
        <v>-9999</v>
      </c>
      <c r="DS182" s="16">
        <v>-9999</v>
      </c>
      <c r="DT182" s="16">
        <v>-9999</v>
      </c>
      <c r="DU182" s="16">
        <v>-9999</v>
      </c>
      <c r="DV182" s="16">
        <v>-9999</v>
      </c>
      <c r="DW182" s="16">
        <v>-9999</v>
      </c>
      <c r="DX182" s="16">
        <v>-9999</v>
      </c>
      <c r="DY182" s="16">
        <v>-9999</v>
      </c>
      <c r="DZ182" s="16">
        <v>-9999</v>
      </c>
      <c r="EA182" s="2197">
        <v>-9999</v>
      </c>
      <c r="EB182" s="2197">
        <v>-9999</v>
      </c>
      <c r="EC182" s="2197">
        <v>-9999</v>
      </c>
      <c r="ED182" s="2197">
        <v>-9999</v>
      </c>
      <c r="EE182" s="2197">
        <v>-9999</v>
      </c>
      <c r="EF182" s="2197">
        <v>-9999</v>
      </c>
      <c r="EG182" s="2197">
        <v>-9999</v>
      </c>
      <c r="EH182" s="2197">
        <v>-9999</v>
      </c>
      <c r="EI182" s="2197">
        <v>-9999</v>
      </c>
      <c r="EJ182" s="2197">
        <v>-9999</v>
      </c>
      <c r="EK182" s="2197">
        <v>-9999</v>
      </c>
      <c r="EL182" s="2197">
        <v>-9999</v>
      </c>
      <c r="EM182" s="2197">
        <v>-9999</v>
      </c>
    </row>
    <row r="183" spans="1:143">
      <c r="A183" s="22">
        <v>83</v>
      </c>
      <c r="B183" s="1035" t="s">
        <v>1893</v>
      </c>
      <c r="C183" s="20">
        <f ca="1">OFFSET(Labour1!F79,0,Last_forecast_year - 3-InputY!$G$3)</f>
        <v>1171.94</v>
      </c>
      <c r="D183" s="20">
        <f ca="1">OFFSET(Labour1!G79,0,Last_forecast_year - 3-InputY!$G$3)</f>
        <v>1194.1999999999998</v>
      </c>
      <c r="E183" s="20">
        <f ca="1">OFFSET(Labour1!H79,0,Last_forecast_year - 3-InputY!$G$3)</f>
        <v>1193.3100000000002</v>
      </c>
      <c r="F183" s="20">
        <f ca="1">OFFSET(Labour1!I79,0,Last_forecast_year - 3-InputY!$G$3)</f>
        <v>1186.7561024890892</v>
      </c>
      <c r="G183" s="20">
        <f ca="1">OFFSET(Labour1!J79,0,Last_forecast_year - 3-InputY!$G$3)</f>
        <v>1184.2837071101296</v>
      </c>
      <c r="H183" s="25">
        <v>-9999</v>
      </c>
      <c r="I183" s="25">
        <v>-9999</v>
      </c>
      <c r="J183" s="25">
        <v>-9999</v>
      </c>
      <c r="K183" s="25">
        <v>-9999</v>
      </c>
      <c r="L183" s="25">
        <v>-9999</v>
      </c>
      <c r="M183" s="25">
        <v>-9999</v>
      </c>
      <c r="N183" s="25">
        <v>-9999</v>
      </c>
      <c r="O183" s="25">
        <v>-9999</v>
      </c>
      <c r="P183" s="26"/>
      <c r="Q183"/>
      <c r="AA183" s="22">
        <v>83</v>
      </c>
      <c r="AB183" s="1040" t="str">
        <f t="shared" si="8"/>
        <v>EMPLOYEES LAB. FORCE STATISTICS</v>
      </c>
      <c r="AC183" s="1040">
        <f>CHOOSE(Tables!$U$2,Transfer!CA183,Transfer!CN183,Transfer!DA183,Transfer!DN183,Transfer!EA183)</f>
        <v>1120.9199999999998</v>
      </c>
      <c r="AD183" s="1040">
        <f>CHOOSE(Tables!$U$2,Transfer!CB183,Transfer!CO183,Transfer!DB183,Transfer!DO183,Transfer!EB183)</f>
        <v>1135.03</v>
      </c>
      <c r="AE183" s="1040">
        <f>CHOOSE(Tables!$U$2,Transfer!CC183,Transfer!CP183,Transfer!DC183,Transfer!DP183,Transfer!EC183)</f>
        <v>1155.5727168855938</v>
      </c>
      <c r="AF183" s="1040">
        <f>CHOOSE(Tables!$U$2,Transfer!CD183,Transfer!CQ183,Transfer!DD183,Transfer!DQ183,Transfer!ED183)</f>
        <v>1175.6694868591721</v>
      </c>
      <c r="AG183" s="1040">
        <f>CHOOSE(Tables!$U$2,Transfer!CE183,Transfer!CR183,Transfer!DE183,Transfer!DR183,Transfer!EE183)</f>
        <v>1193.380804354621</v>
      </c>
      <c r="AH183" s="1040">
        <f>CHOOSE(Tables!$U$2,Transfer!CF183,Transfer!CS183,Transfer!DF183,Transfer!DS183,Transfer!EF183)</f>
        <v>-9999</v>
      </c>
      <c r="AI183" s="1040">
        <f>CHOOSE(Tables!$U$2,Transfer!CG183,Transfer!CT183,Transfer!DG183,Transfer!DT183,Transfer!EG183)</f>
        <v>-9999</v>
      </c>
      <c r="AJ183" s="1040">
        <f>CHOOSE(Tables!$U$2,Transfer!CH183,Transfer!CU183,Transfer!DH183,Transfer!DU183,Transfer!EH183)</f>
        <v>-9999</v>
      </c>
      <c r="AK183" s="1040">
        <f>CHOOSE(Tables!$U$2,Transfer!CI183,Transfer!CV183,Transfer!DI183,Transfer!DV183,Transfer!EI183)</f>
        <v>-9999</v>
      </c>
      <c r="AL183" s="1040">
        <f>CHOOSE(Tables!$U$2,Transfer!CJ183,Transfer!CW183,Transfer!DJ183,Transfer!DW183,Transfer!EJ183)</f>
        <v>-9999</v>
      </c>
      <c r="AM183" s="1040">
        <f>CHOOSE(Tables!$U$2,Transfer!CK183,Transfer!CX183,Transfer!DK183,Transfer!DX183,Transfer!EK183)</f>
        <v>-9999</v>
      </c>
      <c r="AN183" s="1040">
        <f>CHOOSE(Tables!$U$2,Transfer!CL183,Transfer!CY183,Transfer!DL183,Transfer!DY183,Transfer!EL183)</f>
        <v>-9999</v>
      </c>
      <c r="AO183" s="1040">
        <f>CHOOSE(Tables!$U$2,Transfer!CM183,Transfer!CZ183,Transfer!DM183,Transfer!DZ183,Transfer!EM183)</f>
        <v>-9999</v>
      </c>
      <c r="AR183" s="22">
        <v>83</v>
      </c>
      <c r="AS183" s="1558" t="s">
        <v>1893</v>
      </c>
      <c r="AT183" s="20">
        <f t="shared" ca="1" si="10"/>
        <v>51.020000000000209</v>
      </c>
      <c r="AU183" s="20">
        <f t="shared" ca="1" si="11"/>
        <v>59.169999999999845</v>
      </c>
      <c r="AV183" s="20">
        <f t="shared" ca="1" si="12"/>
        <v>37.737283114406409</v>
      </c>
      <c r="AW183" s="20">
        <f t="shared" ca="1" si="13"/>
        <v>11.086615629917105</v>
      </c>
      <c r="AX183" s="20">
        <f t="shared" ca="1" si="14"/>
        <v>-9.0970972444913514</v>
      </c>
      <c r="AY183" s="25">
        <f t="shared" si="15"/>
        <v>0</v>
      </c>
      <c r="AZ183" s="25">
        <f t="shared" si="16"/>
        <v>0</v>
      </c>
      <c r="BA183" s="25">
        <f t="shared" si="17"/>
        <v>0</v>
      </c>
      <c r="BB183" s="25">
        <f t="shared" si="18"/>
        <v>0</v>
      </c>
      <c r="BC183" s="25">
        <f t="shared" si="7"/>
        <v>0</v>
      </c>
      <c r="BD183" s="25">
        <f t="shared" si="7"/>
        <v>0</v>
      </c>
      <c r="BE183" s="25">
        <f t="shared" si="7"/>
        <v>0</v>
      </c>
      <c r="BF183" s="25">
        <f t="shared" si="7"/>
        <v>0</v>
      </c>
      <c r="CA183" s="16">
        <v>1141.1199999999999</v>
      </c>
      <c r="CB183" s="16">
        <v>1159.67</v>
      </c>
      <c r="CC183" s="16">
        <v>1180.9610920550001</v>
      </c>
      <c r="CD183" s="16">
        <v>1184.1923826641123</v>
      </c>
      <c r="CE183" s="16">
        <v>1184.4999653290713</v>
      </c>
      <c r="CF183" s="16">
        <v>-9999</v>
      </c>
      <c r="CG183" s="16">
        <v>-9999</v>
      </c>
      <c r="CH183" s="16">
        <v>-9999</v>
      </c>
      <c r="CI183" s="16">
        <v>-9999</v>
      </c>
      <c r="CJ183" s="16">
        <v>-9999</v>
      </c>
      <c r="CK183" s="16">
        <v>-9999</v>
      </c>
      <c r="CL183" s="16">
        <v>-9999</v>
      </c>
      <c r="CM183" s="16">
        <v>-9999</v>
      </c>
      <c r="CN183" s="16">
        <v>1135.03</v>
      </c>
      <c r="CO183" s="16">
        <v>1141.1199999999999</v>
      </c>
      <c r="CP183" s="16">
        <v>1159.67</v>
      </c>
      <c r="CQ183" s="16">
        <v>1175.237916795</v>
      </c>
      <c r="CR183" s="16">
        <v>1191.0653758139124</v>
      </c>
      <c r="CS183" s="16">
        <v>-9999</v>
      </c>
      <c r="CT183" s="16">
        <v>-9999</v>
      </c>
      <c r="CU183" s="16">
        <v>-9999</v>
      </c>
      <c r="CV183" s="16">
        <v>-9999</v>
      </c>
      <c r="CW183" s="16">
        <v>-9999</v>
      </c>
      <c r="CX183" s="16">
        <v>-9999</v>
      </c>
      <c r="CY183" s="16">
        <v>-9999</v>
      </c>
      <c r="CZ183" s="16">
        <v>-9999</v>
      </c>
      <c r="DA183" s="16">
        <v>1141.1199999999999</v>
      </c>
      <c r="DB183" s="16">
        <v>1159.67</v>
      </c>
      <c r="DC183" s="16">
        <v>1175.237916795</v>
      </c>
      <c r="DD183" s="16">
        <v>1191.0653758139124</v>
      </c>
      <c r="DE183" s="16">
        <v>1207.1565826656531</v>
      </c>
      <c r="DF183" s="16">
        <v>-9999</v>
      </c>
      <c r="DG183" s="16">
        <v>-9999</v>
      </c>
      <c r="DH183" s="16">
        <v>-9999</v>
      </c>
      <c r="DI183" s="16">
        <v>-9999</v>
      </c>
      <c r="DJ183" s="16">
        <v>-9999</v>
      </c>
      <c r="DK183" s="16">
        <v>-9999</v>
      </c>
      <c r="DL183" s="16">
        <v>-9999</v>
      </c>
      <c r="DM183" s="16">
        <v>-9999</v>
      </c>
      <c r="DN183" s="16">
        <v>1135.03</v>
      </c>
      <c r="DO183" s="16">
        <v>1141.1199999999999</v>
      </c>
      <c r="DP183" s="16">
        <v>1159.67</v>
      </c>
      <c r="DQ183" s="16">
        <v>1175.237916795</v>
      </c>
      <c r="DR183" s="16">
        <v>1191.0653758139124</v>
      </c>
      <c r="DS183" s="16">
        <v>-9999</v>
      </c>
      <c r="DT183" s="16">
        <v>-9999</v>
      </c>
      <c r="DU183" s="16">
        <v>-9999</v>
      </c>
      <c r="DV183" s="16">
        <v>-9999</v>
      </c>
      <c r="DW183" s="16">
        <v>-9999</v>
      </c>
      <c r="DX183" s="16">
        <v>-9999</v>
      </c>
      <c r="DY183" s="16">
        <v>-9999</v>
      </c>
      <c r="DZ183" s="16">
        <v>-9999</v>
      </c>
      <c r="EA183" s="2196">
        <v>1120.9199999999998</v>
      </c>
      <c r="EB183" s="2196">
        <v>1135.03</v>
      </c>
      <c r="EC183" s="2196">
        <v>1155.5727168855938</v>
      </c>
      <c r="ED183" s="2196">
        <v>1175.6694868591721</v>
      </c>
      <c r="EE183" s="2196">
        <v>1193.380804354621</v>
      </c>
      <c r="EF183" s="2197">
        <v>-9999</v>
      </c>
      <c r="EG183" s="2197">
        <v>-9999</v>
      </c>
      <c r="EH183" s="2197">
        <v>-9999</v>
      </c>
      <c r="EI183" s="2197">
        <v>-9999</v>
      </c>
      <c r="EJ183" s="2197">
        <v>-9999</v>
      </c>
      <c r="EK183" s="2197">
        <v>-9999</v>
      </c>
      <c r="EL183" s="2197">
        <v>-9999</v>
      </c>
      <c r="EM183" s="2197">
        <v>-9999</v>
      </c>
    </row>
    <row r="184" spans="1:143">
      <c r="A184" s="22">
        <v>84</v>
      </c>
      <c r="B184" s="30" t="s">
        <v>1705</v>
      </c>
      <c r="C184" s="25">
        <v>-9999</v>
      </c>
      <c r="D184" s="25">
        <v>-9999</v>
      </c>
      <c r="E184" s="25">
        <v>-9999</v>
      </c>
      <c r="F184" s="25">
        <v>-9999</v>
      </c>
      <c r="G184" s="25">
        <v>-9999</v>
      </c>
      <c r="H184" s="25">
        <v>-9999</v>
      </c>
      <c r="I184" s="25">
        <v>-9999</v>
      </c>
      <c r="J184" s="25">
        <v>-9999</v>
      </c>
      <c r="K184" s="25">
        <v>-9999</v>
      </c>
      <c r="L184" s="25">
        <v>-9999</v>
      </c>
      <c r="M184" s="25">
        <v>-9999</v>
      </c>
      <c r="N184" s="25">
        <v>-9999</v>
      </c>
      <c r="O184" s="25">
        <v>-9999</v>
      </c>
      <c r="P184" s="26"/>
      <c r="Q184"/>
      <c r="AA184" s="22">
        <v>84</v>
      </c>
      <c r="AB184" s="1040" t="str">
        <f t="shared" si="8"/>
        <v>FOR FUTURE USE</v>
      </c>
      <c r="AC184" s="1040">
        <f>CHOOSE(Tables!$U$2,Transfer!CA184,Transfer!CN184,Transfer!DA184,Transfer!DN184,Transfer!EA184)</f>
        <v>-9999</v>
      </c>
      <c r="AD184" s="1040">
        <f>CHOOSE(Tables!$U$2,Transfer!CB184,Transfer!CO184,Transfer!DB184,Transfer!DO184,Transfer!EB184)</f>
        <v>-9999</v>
      </c>
      <c r="AE184" s="1040">
        <f>CHOOSE(Tables!$U$2,Transfer!CC184,Transfer!CP184,Transfer!DC184,Transfer!DP184,Transfer!EC184)</f>
        <v>-9999</v>
      </c>
      <c r="AF184" s="1040">
        <f>CHOOSE(Tables!$U$2,Transfer!CD184,Transfer!CQ184,Transfer!DD184,Transfer!DQ184,Transfer!ED184)</f>
        <v>-9999</v>
      </c>
      <c r="AG184" s="1040">
        <f>CHOOSE(Tables!$U$2,Transfer!CE184,Transfer!CR184,Transfer!DE184,Transfer!DR184,Transfer!EE184)</f>
        <v>-9999</v>
      </c>
      <c r="AH184" s="1040">
        <f>CHOOSE(Tables!$U$2,Transfer!CF184,Transfer!CS184,Transfer!DF184,Transfer!DS184,Transfer!EF184)</f>
        <v>-9999</v>
      </c>
      <c r="AI184" s="1040">
        <f>CHOOSE(Tables!$U$2,Transfer!CG184,Transfer!CT184,Transfer!DG184,Transfer!DT184,Transfer!EG184)</f>
        <v>-9999</v>
      </c>
      <c r="AJ184" s="1040">
        <f>CHOOSE(Tables!$U$2,Transfer!CH184,Transfer!CU184,Transfer!DH184,Transfer!DU184,Transfer!EH184)</f>
        <v>-9999</v>
      </c>
      <c r="AK184" s="1040">
        <f>CHOOSE(Tables!$U$2,Transfer!CI184,Transfer!CV184,Transfer!DI184,Transfer!DV184,Transfer!EI184)</f>
        <v>-9999</v>
      </c>
      <c r="AL184" s="1040">
        <f>CHOOSE(Tables!$U$2,Transfer!CJ184,Transfer!CW184,Transfer!DJ184,Transfer!DW184,Transfer!EJ184)</f>
        <v>-9999</v>
      </c>
      <c r="AM184" s="1040">
        <f>CHOOSE(Tables!$U$2,Transfer!CK184,Transfer!CX184,Transfer!DK184,Transfer!DX184,Transfer!EK184)</f>
        <v>-9999</v>
      </c>
      <c r="AN184" s="1040">
        <f>CHOOSE(Tables!$U$2,Transfer!CL184,Transfer!CY184,Transfer!DL184,Transfer!DY184,Transfer!EL184)</f>
        <v>-9999</v>
      </c>
      <c r="AO184" s="1040">
        <f>CHOOSE(Tables!$U$2,Transfer!CM184,Transfer!CZ184,Transfer!DM184,Transfer!DZ184,Transfer!EM184)</f>
        <v>-9999</v>
      </c>
      <c r="AR184" s="22">
        <v>84</v>
      </c>
      <c r="AS184" s="30" t="s">
        <v>1705</v>
      </c>
      <c r="AT184" s="25">
        <f t="shared" si="10"/>
        <v>0</v>
      </c>
      <c r="AU184" s="25">
        <f t="shared" si="11"/>
        <v>0</v>
      </c>
      <c r="AV184" s="25">
        <f t="shared" si="12"/>
        <v>0</v>
      </c>
      <c r="AW184" s="25">
        <f t="shared" si="13"/>
        <v>0</v>
      </c>
      <c r="AX184" s="25">
        <f t="shared" si="14"/>
        <v>0</v>
      </c>
      <c r="AY184" s="25">
        <f t="shared" si="15"/>
        <v>0</v>
      </c>
      <c r="AZ184" s="25">
        <f t="shared" si="16"/>
        <v>0</v>
      </c>
      <c r="BA184" s="25">
        <f t="shared" si="17"/>
        <v>0</v>
      </c>
      <c r="BB184" s="25">
        <f t="shared" si="18"/>
        <v>0</v>
      </c>
      <c r="BC184" s="25">
        <f t="shared" si="7"/>
        <v>0</v>
      </c>
      <c r="BD184" s="25">
        <f t="shared" si="7"/>
        <v>0</v>
      </c>
      <c r="BE184" s="25">
        <f t="shared" si="7"/>
        <v>0</v>
      </c>
      <c r="BF184" s="25">
        <f t="shared" si="7"/>
        <v>0</v>
      </c>
      <c r="CA184" s="16">
        <v>-9999</v>
      </c>
      <c r="CB184" s="16">
        <v>-9999</v>
      </c>
      <c r="CC184" s="16">
        <v>-9999</v>
      </c>
      <c r="CD184" s="16">
        <v>-9999</v>
      </c>
      <c r="CE184" s="16">
        <v>-9999</v>
      </c>
      <c r="CF184" s="16">
        <v>-9999</v>
      </c>
      <c r="CG184" s="16">
        <v>-9999</v>
      </c>
      <c r="CH184" s="16">
        <v>-9999</v>
      </c>
      <c r="CI184" s="16">
        <v>-9999</v>
      </c>
      <c r="CJ184" s="16">
        <v>-9999</v>
      </c>
      <c r="CK184" s="16">
        <v>-9999</v>
      </c>
      <c r="CL184" s="16">
        <v>-9999</v>
      </c>
      <c r="CM184" s="16">
        <v>-9999</v>
      </c>
      <c r="CN184" s="16">
        <v>-9999</v>
      </c>
      <c r="CO184" s="16">
        <v>-9999</v>
      </c>
      <c r="CP184" s="16">
        <v>-9999</v>
      </c>
      <c r="CQ184" s="16">
        <v>-9999</v>
      </c>
      <c r="CR184" s="16">
        <v>-9999</v>
      </c>
      <c r="CS184" s="16">
        <v>-9999</v>
      </c>
      <c r="CT184" s="16">
        <v>-9999</v>
      </c>
      <c r="CU184" s="16">
        <v>-9999</v>
      </c>
      <c r="CV184" s="16">
        <v>-9999</v>
      </c>
      <c r="CW184" s="16">
        <v>-9999</v>
      </c>
      <c r="CX184" s="16">
        <v>-9999</v>
      </c>
      <c r="CY184" s="16">
        <v>-9999</v>
      </c>
      <c r="CZ184" s="16">
        <v>-9999</v>
      </c>
      <c r="DA184" s="16">
        <v>-9999</v>
      </c>
      <c r="DB184" s="16">
        <v>-9999</v>
      </c>
      <c r="DC184" s="16">
        <v>-9999</v>
      </c>
      <c r="DD184" s="16">
        <v>-9999</v>
      </c>
      <c r="DE184" s="16">
        <v>-9999</v>
      </c>
      <c r="DF184" s="16">
        <v>-9999</v>
      </c>
      <c r="DG184" s="16">
        <v>-9999</v>
      </c>
      <c r="DH184" s="16">
        <v>-9999</v>
      </c>
      <c r="DI184" s="16">
        <v>-9999</v>
      </c>
      <c r="DJ184" s="16">
        <v>-9999</v>
      </c>
      <c r="DK184" s="16">
        <v>-9999</v>
      </c>
      <c r="DL184" s="16">
        <v>-9999</v>
      </c>
      <c r="DM184" s="16">
        <v>-9999</v>
      </c>
      <c r="DN184" s="16">
        <v>-9999</v>
      </c>
      <c r="DO184" s="16">
        <v>-9999</v>
      </c>
      <c r="DP184" s="16">
        <v>-9999</v>
      </c>
      <c r="DQ184" s="16">
        <v>-9999</v>
      </c>
      <c r="DR184" s="16">
        <v>-9999</v>
      </c>
      <c r="DS184" s="16">
        <v>-9999</v>
      </c>
      <c r="DT184" s="16">
        <v>-9999</v>
      </c>
      <c r="DU184" s="16">
        <v>-9999</v>
      </c>
      <c r="DV184" s="16">
        <v>-9999</v>
      </c>
      <c r="DW184" s="16">
        <v>-9999</v>
      </c>
      <c r="DX184" s="16">
        <v>-9999</v>
      </c>
      <c r="DY184" s="16">
        <v>-9999</v>
      </c>
      <c r="DZ184" s="16">
        <v>-9999</v>
      </c>
      <c r="EA184" s="2197">
        <v>-9999</v>
      </c>
      <c r="EB184" s="2197">
        <v>-9999</v>
      </c>
      <c r="EC184" s="2197">
        <v>-9999</v>
      </c>
      <c r="ED184" s="2197">
        <v>-9999</v>
      </c>
      <c r="EE184" s="2197">
        <v>-9999</v>
      </c>
      <c r="EF184" s="2197">
        <v>-9999</v>
      </c>
      <c r="EG184" s="2197">
        <v>-9999</v>
      </c>
      <c r="EH184" s="2197">
        <v>-9999</v>
      </c>
      <c r="EI184" s="2197">
        <v>-9999</v>
      </c>
      <c r="EJ184" s="2197">
        <v>-9999</v>
      </c>
      <c r="EK184" s="2197">
        <v>-9999</v>
      </c>
      <c r="EL184" s="2197">
        <v>-9999</v>
      </c>
      <c r="EM184" s="2197">
        <v>-9999</v>
      </c>
    </row>
    <row r="185" spans="1:143">
      <c r="A185" s="22">
        <v>85</v>
      </c>
      <c r="B185" s="33" t="s">
        <v>1111</v>
      </c>
      <c r="C185" s="20">
        <f ca="1">OFFSET(Labour1!F90,0,Last_forecast_year - 3-InputY!$G$3)</f>
        <v>1859.4973814928862</v>
      </c>
      <c r="D185" s="20">
        <f ca="1">OFFSET(Labour1!G90,0,Last_forecast_year - 3-InputY!$G$3)</f>
        <v>1885.0091242350554</v>
      </c>
      <c r="E185" s="20">
        <f ca="1">OFFSET(Labour1!H90,0,Last_forecast_year - 3-InputY!$G$3)</f>
        <v>1844.0169040919868</v>
      </c>
      <c r="F185" s="20">
        <f ca="1">OFFSET(Labour1!I90,0,Last_forecast_year - 3-InputY!$G$3)</f>
        <v>1845.8609209960787</v>
      </c>
      <c r="G185" s="20">
        <f ca="1">OFFSET(Labour1!J90,0,Last_forecast_year - 3-InputY!$G$3)</f>
        <v>1847.7067819170745</v>
      </c>
      <c r="H185" s="25">
        <v>-9999</v>
      </c>
      <c r="I185" s="25">
        <v>-9999</v>
      </c>
      <c r="J185" s="25">
        <v>-9999</v>
      </c>
      <c r="K185" s="25">
        <v>-9999</v>
      </c>
      <c r="L185" s="25">
        <v>-9999</v>
      </c>
      <c r="M185" s="25">
        <v>-9999</v>
      </c>
      <c r="N185" s="25">
        <v>-9999</v>
      </c>
      <c r="O185" s="25">
        <v>-9999</v>
      </c>
      <c r="P185" s="26"/>
      <c r="Q185"/>
      <c r="AA185" s="22">
        <v>85</v>
      </c>
      <c r="AB185" s="1040" t="str">
        <f t="shared" si="8"/>
        <v>AV. HOURS WORKED</v>
      </c>
      <c r="AC185" s="1040">
        <f>CHOOSE(Tables!$U$2,Transfer!CA185,Transfer!CN185,Transfer!DA185,Transfer!DN185,Transfer!EA185)</f>
        <v>1857.3990114695812</v>
      </c>
      <c r="AD185" s="1040">
        <f>CHOOSE(Tables!$U$2,Transfer!CB185,Transfer!CO185,Transfer!DB185,Transfer!DO185,Transfer!EB185)</f>
        <v>1703.1803144076969</v>
      </c>
      <c r="AE185" s="1040">
        <f>CHOOSE(Tables!$U$2,Transfer!CC185,Transfer!CP185,Transfer!DC185,Transfer!DP185,Transfer!EC185)</f>
        <v>1720.2121175517739</v>
      </c>
      <c r="AF185" s="1040">
        <f>CHOOSE(Tables!$U$2,Transfer!CD185,Transfer!CQ185,Transfer!DD185,Transfer!DQ185,Transfer!ED185)</f>
        <v>1737.4142387272916</v>
      </c>
      <c r="AG185" s="1040">
        <f>CHOOSE(Tables!$U$2,Transfer!CE185,Transfer!CR185,Transfer!DE185,Transfer!DR185,Transfer!EE185)</f>
        <v>1754.7883811145646</v>
      </c>
      <c r="AH185" s="1040">
        <f>CHOOSE(Tables!$U$2,Transfer!CF185,Transfer!CS185,Transfer!DF185,Transfer!DS185,Transfer!EF185)</f>
        <v>-9999</v>
      </c>
      <c r="AI185" s="1040">
        <f>CHOOSE(Tables!$U$2,Transfer!CG185,Transfer!CT185,Transfer!DG185,Transfer!DT185,Transfer!EG185)</f>
        <v>-9999</v>
      </c>
      <c r="AJ185" s="1040">
        <f>CHOOSE(Tables!$U$2,Transfer!CH185,Transfer!CU185,Transfer!DH185,Transfer!DU185,Transfer!EH185)</f>
        <v>-9999</v>
      </c>
      <c r="AK185" s="1040">
        <f>CHOOSE(Tables!$U$2,Transfer!CI185,Transfer!CV185,Transfer!DI185,Transfer!DV185,Transfer!EI185)</f>
        <v>-9999</v>
      </c>
      <c r="AL185" s="1040">
        <f>CHOOSE(Tables!$U$2,Transfer!CJ185,Transfer!CW185,Transfer!DJ185,Transfer!DW185,Transfer!EJ185)</f>
        <v>-9999</v>
      </c>
      <c r="AM185" s="1040">
        <f>CHOOSE(Tables!$U$2,Transfer!CK185,Transfer!CX185,Transfer!DK185,Transfer!DX185,Transfer!EK185)</f>
        <v>-9999</v>
      </c>
      <c r="AN185" s="1040">
        <f>CHOOSE(Tables!$U$2,Transfer!CL185,Transfer!CY185,Transfer!DL185,Transfer!DY185,Transfer!EL185)</f>
        <v>-9999</v>
      </c>
      <c r="AO185" s="1040">
        <f>CHOOSE(Tables!$U$2,Transfer!CM185,Transfer!CZ185,Transfer!DM185,Transfer!DZ185,Transfer!EM185)</f>
        <v>-9999</v>
      </c>
      <c r="AR185" s="22">
        <v>85</v>
      </c>
      <c r="AS185" s="33" t="s">
        <v>1111</v>
      </c>
      <c r="AT185" s="20">
        <f t="shared" ca="1" si="10"/>
        <v>2.0983700233050513</v>
      </c>
      <c r="AU185" s="20">
        <f t="shared" ca="1" si="11"/>
        <v>181.82880982735855</v>
      </c>
      <c r="AV185" s="20">
        <f t="shared" ca="1" si="12"/>
        <v>123.80478654021294</v>
      </c>
      <c r="AW185" s="20">
        <f t="shared" ca="1" si="13"/>
        <v>108.44668226878707</v>
      </c>
      <c r="AX185" s="20">
        <f t="shared" ca="1" si="14"/>
        <v>92.91840080250995</v>
      </c>
      <c r="AY185" s="25">
        <f t="shared" si="15"/>
        <v>0</v>
      </c>
      <c r="AZ185" s="25">
        <f t="shared" si="16"/>
        <v>0</v>
      </c>
      <c r="BA185" s="25">
        <f t="shared" si="17"/>
        <v>0</v>
      </c>
      <c r="BB185" s="25">
        <f t="shared" si="18"/>
        <v>0</v>
      </c>
      <c r="BC185" s="25">
        <f t="shared" si="7"/>
        <v>0</v>
      </c>
      <c r="BD185" s="25">
        <f t="shared" si="7"/>
        <v>0</v>
      </c>
      <c r="BE185" s="25">
        <f t="shared" si="7"/>
        <v>0</v>
      </c>
      <c r="BF185" s="25">
        <f t="shared" si="7"/>
        <v>0</v>
      </c>
      <c r="CA185" s="16">
        <v>1841.2473275588477</v>
      </c>
      <c r="CB185" s="16">
        <v>1835.7235855761712</v>
      </c>
      <c r="CC185" s="16">
        <v>1837.5593091617473</v>
      </c>
      <c r="CD185" s="16">
        <v>1839.3968684709089</v>
      </c>
      <c r="CE185" s="16">
        <v>1841.2362653393795</v>
      </c>
      <c r="CF185" s="16">
        <v>-9999</v>
      </c>
      <c r="CG185" s="16">
        <v>-9999</v>
      </c>
      <c r="CH185" s="16">
        <v>-9999</v>
      </c>
      <c r="CI185" s="16">
        <v>-9999</v>
      </c>
      <c r="CJ185" s="16">
        <v>-9999</v>
      </c>
      <c r="CK185" s="16">
        <v>-9999</v>
      </c>
      <c r="CL185" s="16">
        <v>-9999</v>
      </c>
      <c r="CM185" s="16">
        <v>-9999</v>
      </c>
      <c r="CN185" s="16">
        <v>1857.2941720919287</v>
      </c>
      <c r="CO185" s="16">
        <v>1841.2473275588477</v>
      </c>
      <c r="CP185" s="16">
        <v>1859.6598008344363</v>
      </c>
      <c r="CQ185" s="16">
        <v>1878.2563988427808</v>
      </c>
      <c r="CR185" s="16">
        <v>1915.8215268196363</v>
      </c>
      <c r="CS185" s="16">
        <v>-9999</v>
      </c>
      <c r="CT185" s="16">
        <v>-9999</v>
      </c>
      <c r="CU185" s="16">
        <v>-9999</v>
      </c>
      <c r="CV185" s="16">
        <v>-9999</v>
      </c>
      <c r="CW185" s="16">
        <v>-9999</v>
      </c>
      <c r="CX185" s="16">
        <v>-9999</v>
      </c>
      <c r="CY185" s="16">
        <v>-9999</v>
      </c>
      <c r="CZ185" s="16">
        <v>-9999</v>
      </c>
      <c r="DA185" s="16">
        <v>1841.2473275588477</v>
      </c>
      <c r="DB185" s="16">
        <v>1859.6598008344363</v>
      </c>
      <c r="DC185" s="16">
        <v>1878.2563988427808</v>
      </c>
      <c r="DD185" s="16">
        <v>1897.0389628312087</v>
      </c>
      <c r="DE185" s="16">
        <v>1916.0093524595209</v>
      </c>
      <c r="DF185" s="16">
        <v>-9999</v>
      </c>
      <c r="DG185" s="16">
        <v>-9999</v>
      </c>
      <c r="DH185" s="16">
        <v>-9999</v>
      </c>
      <c r="DI185" s="16">
        <v>-9999</v>
      </c>
      <c r="DJ185" s="16">
        <v>-9999</v>
      </c>
      <c r="DK185" s="16">
        <v>-9999</v>
      </c>
      <c r="DL185" s="16">
        <v>-9999</v>
      </c>
      <c r="DM185" s="16">
        <v>-9999</v>
      </c>
      <c r="DN185" s="16">
        <v>1857.2941720919287</v>
      </c>
      <c r="DO185" s="16">
        <v>1841.2473275588477</v>
      </c>
      <c r="DP185" s="16">
        <v>1859.6598008344363</v>
      </c>
      <c r="DQ185" s="16">
        <v>1878.2563988427808</v>
      </c>
      <c r="DR185" s="16">
        <v>1915.8215268196363</v>
      </c>
      <c r="DS185" s="16">
        <v>-9999</v>
      </c>
      <c r="DT185" s="16">
        <v>-9999</v>
      </c>
      <c r="DU185" s="16">
        <v>-9999</v>
      </c>
      <c r="DV185" s="16">
        <v>-9999</v>
      </c>
      <c r="DW185" s="16">
        <v>-9999</v>
      </c>
      <c r="DX185" s="16">
        <v>-9999</v>
      </c>
      <c r="DY185" s="16">
        <v>-9999</v>
      </c>
      <c r="DZ185" s="16">
        <v>-9999</v>
      </c>
      <c r="EA185" s="2196">
        <v>1857.3990114695812</v>
      </c>
      <c r="EB185" s="2196">
        <v>1703.1803144076969</v>
      </c>
      <c r="EC185" s="2196">
        <v>1720.2121175517739</v>
      </c>
      <c r="ED185" s="2196">
        <v>1737.4142387272916</v>
      </c>
      <c r="EE185" s="2196">
        <v>1754.7883811145646</v>
      </c>
      <c r="EF185" s="2197">
        <v>-9999</v>
      </c>
      <c r="EG185" s="2197">
        <v>-9999</v>
      </c>
      <c r="EH185" s="2197">
        <v>-9999</v>
      </c>
      <c r="EI185" s="2197">
        <v>-9999</v>
      </c>
      <c r="EJ185" s="2197">
        <v>-9999</v>
      </c>
      <c r="EK185" s="2197">
        <v>-9999</v>
      </c>
      <c r="EL185" s="2197">
        <v>-9999</v>
      </c>
      <c r="EM185" s="2197">
        <v>-9999</v>
      </c>
    </row>
    <row r="186" spans="1:143">
      <c r="A186" s="22">
        <v>86</v>
      </c>
      <c r="B186" s="30" t="s">
        <v>1705</v>
      </c>
      <c r="C186" s="25">
        <v>-9999</v>
      </c>
      <c r="D186" s="25">
        <v>-9999</v>
      </c>
      <c r="E186" s="25">
        <v>-9999</v>
      </c>
      <c r="F186" s="25">
        <v>-9999</v>
      </c>
      <c r="G186" s="25">
        <v>-9999</v>
      </c>
      <c r="H186" s="25">
        <v>-9999</v>
      </c>
      <c r="I186" s="25">
        <v>-9999</v>
      </c>
      <c r="J186" s="25">
        <v>-9999</v>
      </c>
      <c r="K186" s="25">
        <v>-9999</v>
      </c>
      <c r="L186" s="25">
        <v>-9999</v>
      </c>
      <c r="M186" s="25">
        <v>-9999</v>
      </c>
      <c r="N186" s="25">
        <v>-9999</v>
      </c>
      <c r="O186" s="25">
        <v>-9999</v>
      </c>
      <c r="P186" s="26"/>
      <c r="Q186"/>
      <c r="AA186" s="22">
        <v>86</v>
      </c>
      <c r="AB186" s="1040" t="str">
        <f t="shared" si="8"/>
        <v>FOR FUTURE USE</v>
      </c>
      <c r="AC186" s="1040">
        <f>CHOOSE(Tables!$U$2,Transfer!CA186,Transfer!CN186,Transfer!DA186,Transfer!DN186,Transfer!EA186)</f>
        <v>-9999</v>
      </c>
      <c r="AD186" s="1040">
        <f>CHOOSE(Tables!$U$2,Transfer!CB186,Transfer!CO186,Transfer!DB186,Transfer!DO186,Transfer!EB186)</f>
        <v>-9999</v>
      </c>
      <c r="AE186" s="1040">
        <f>CHOOSE(Tables!$U$2,Transfer!CC186,Transfer!CP186,Transfer!DC186,Transfer!DP186,Transfer!EC186)</f>
        <v>-9999</v>
      </c>
      <c r="AF186" s="1040">
        <f>CHOOSE(Tables!$U$2,Transfer!CD186,Transfer!CQ186,Transfer!DD186,Transfer!DQ186,Transfer!ED186)</f>
        <v>-9999</v>
      </c>
      <c r="AG186" s="1040">
        <f>CHOOSE(Tables!$U$2,Transfer!CE186,Transfer!CR186,Transfer!DE186,Transfer!DR186,Transfer!EE186)</f>
        <v>-9999</v>
      </c>
      <c r="AH186" s="1040">
        <f>CHOOSE(Tables!$U$2,Transfer!CF186,Transfer!CS186,Transfer!DF186,Transfer!DS186,Transfer!EF186)</f>
        <v>-9999</v>
      </c>
      <c r="AI186" s="1040">
        <f>CHOOSE(Tables!$U$2,Transfer!CG186,Transfer!CT186,Transfer!DG186,Transfer!DT186,Transfer!EG186)</f>
        <v>-9999</v>
      </c>
      <c r="AJ186" s="1040">
        <f>CHOOSE(Tables!$U$2,Transfer!CH186,Transfer!CU186,Transfer!DH186,Transfer!DU186,Transfer!EH186)</f>
        <v>-9999</v>
      </c>
      <c r="AK186" s="1040">
        <f>CHOOSE(Tables!$U$2,Transfer!CI186,Transfer!CV186,Transfer!DI186,Transfer!DV186,Transfer!EI186)</f>
        <v>-9999</v>
      </c>
      <c r="AL186" s="1040">
        <f>CHOOSE(Tables!$U$2,Transfer!CJ186,Transfer!CW186,Transfer!DJ186,Transfer!DW186,Transfer!EJ186)</f>
        <v>-9999</v>
      </c>
      <c r="AM186" s="1040">
        <f>CHOOSE(Tables!$U$2,Transfer!CK186,Transfer!CX186,Transfer!DK186,Transfer!DX186,Transfer!EK186)</f>
        <v>-9999</v>
      </c>
      <c r="AN186" s="1040">
        <f>CHOOSE(Tables!$U$2,Transfer!CL186,Transfer!CY186,Transfer!DL186,Transfer!DY186,Transfer!EL186)</f>
        <v>-9999</v>
      </c>
      <c r="AO186" s="1040">
        <f>CHOOSE(Tables!$U$2,Transfer!CM186,Transfer!CZ186,Transfer!DM186,Transfer!DZ186,Transfer!EM186)</f>
        <v>-9999</v>
      </c>
      <c r="AR186" s="22">
        <v>86</v>
      </c>
      <c r="AS186" s="30" t="s">
        <v>1705</v>
      </c>
      <c r="AT186" s="25">
        <f t="shared" si="10"/>
        <v>0</v>
      </c>
      <c r="AU186" s="25">
        <f t="shared" si="11"/>
        <v>0</v>
      </c>
      <c r="AV186" s="25">
        <f t="shared" si="12"/>
        <v>0</v>
      </c>
      <c r="AW186" s="25">
        <f t="shared" si="13"/>
        <v>0</v>
      </c>
      <c r="AX186" s="25">
        <f t="shared" si="14"/>
        <v>0</v>
      </c>
      <c r="AY186" s="25">
        <f t="shared" si="15"/>
        <v>0</v>
      </c>
      <c r="AZ186" s="25">
        <f t="shared" si="16"/>
        <v>0</v>
      </c>
      <c r="BA186" s="25">
        <f t="shared" si="17"/>
        <v>0</v>
      </c>
      <c r="BB186" s="25">
        <f t="shared" si="18"/>
        <v>0</v>
      </c>
      <c r="BC186" s="25">
        <f t="shared" si="7"/>
        <v>0</v>
      </c>
      <c r="BD186" s="25">
        <f t="shared" si="7"/>
        <v>0</v>
      </c>
      <c r="BE186" s="25">
        <f t="shared" si="7"/>
        <v>0</v>
      </c>
      <c r="BF186" s="25">
        <f t="shared" si="7"/>
        <v>0</v>
      </c>
      <c r="CA186" s="16">
        <v>-9999</v>
      </c>
      <c r="CB186" s="16">
        <v>-9999</v>
      </c>
      <c r="CC186" s="16">
        <v>-9999</v>
      </c>
      <c r="CD186" s="16">
        <v>-9999</v>
      </c>
      <c r="CE186" s="16">
        <v>-9999</v>
      </c>
      <c r="CF186" s="16">
        <v>-9999</v>
      </c>
      <c r="CG186" s="16">
        <v>-9999</v>
      </c>
      <c r="CH186" s="16">
        <v>-9999</v>
      </c>
      <c r="CI186" s="16">
        <v>-9999</v>
      </c>
      <c r="CJ186" s="16">
        <v>-9999</v>
      </c>
      <c r="CK186" s="16">
        <v>-9999</v>
      </c>
      <c r="CL186" s="16">
        <v>-9999</v>
      </c>
      <c r="CM186" s="16">
        <v>-9999</v>
      </c>
      <c r="CN186" s="16">
        <v>-9999</v>
      </c>
      <c r="CO186" s="16">
        <v>-9999</v>
      </c>
      <c r="CP186" s="16">
        <v>-9999</v>
      </c>
      <c r="CQ186" s="16">
        <v>-9999</v>
      </c>
      <c r="CR186" s="16">
        <v>-9999</v>
      </c>
      <c r="CS186" s="16">
        <v>-9999</v>
      </c>
      <c r="CT186" s="16">
        <v>-9999</v>
      </c>
      <c r="CU186" s="16">
        <v>-9999</v>
      </c>
      <c r="CV186" s="16">
        <v>-9999</v>
      </c>
      <c r="CW186" s="16">
        <v>-9999</v>
      </c>
      <c r="CX186" s="16">
        <v>-9999</v>
      </c>
      <c r="CY186" s="16">
        <v>-9999</v>
      </c>
      <c r="CZ186" s="16">
        <v>-9999</v>
      </c>
      <c r="DA186" s="16">
        <v>-9999</v>
      </c>
      <c r="DB186" s="16">
        <v>-9999</v>
      </c>
      <c r="DC186" s="16">
        <v>-9999</v>
      </c>
      <c r="DD186" s="16">
        <v>-9999</v>
      </c>
      <c r="DE186" s="16">
        <v>-9999</v>
      </c>
      <c r="DF186" s="16">
        <v>-9999</v>
      </c>
      <c r="DG186" s="16">
        <v>-9999</v>
      </c>
      <c r="DH186" s="16">
        <v>-9999</v>
      </c>
      <c r="DI186" s="16">
        <v>-9999</v>
      </c>
      <c r="DJ186" s="16">
        <v>-9999</v>
      </c>
      <c r="DK186" s="16">
        <v>-9999</v>
      </c>
      <c r="DL186" s="16">
        <v>-9999</v>
      </c>
      <c r="DM186" s="16">
        <v>-9999</v>
      </c>
      <c r="DN186" s="16">
        <v>-9999</v>
      </c>
      <c r="DO186" s="16">
        <v>-9999</v>
      </c>
      <c r="DP186" s="16">
        <v>-9999</v>
      </c>
      <c r="DQ186" s="16">
        <v>-9999</v>
      </c>
      <c r="DR186" s="16">
        <v>-9999</v>
      </c>
      <c r="DS186" s="16">
        <v>-9999</v>
      </c>
      <c r="DT186" s="16">
        <v>-9999</v>
      </c>
      <c r="DU186" s="16">
        <v>-9999</v>
      </c>
      <c r="DV186" s="16">
        <v>-9999</v>
      </c>
      <c r="DW186" s="16">
        <v>-9999</v>
      </c>
      <c r="DX186" s="16">
        <v>-9999</v>
      </c>
      <c r="DY186" s="16">
        <v>-9999</v>
      </c>
      <c r="DZ186" s="16">
        <v>-9999</v>
      </c>
      <c r="EA186" s="2197">
        <v>-9999</v>
      </c>
      <c r="EB186" s="2197">
        <v>-9999</v>
      </c>
      <c r="EC186" s="2197">
        <v>-9999</v>
      </c>
      <c r="ED186" s="2197">
        <v>-9999</v>
      </c>
      <c r="EE186" s="2197">
        <v>-9999</v>
      </c>
      <c r="EF186" s="2197">
        <v>-9999</v>
      </c>
      <c r="EG186" s="2197">
        <v>-9999</v>
      </c>
      <c r="EH186" s="2197">
        <v>-9999</v>
      </c>
      <c r="EI186" s="2197">
        <v>-9999</v>
      </c>
      <c r="EJ186" s="2197">
        <v>-9999</v>
      </c>
      <c r="EK186" s="2197">
        <v>-9999</v>
      </c>
      <c r="EL186" s="2197">
        <v>-9999</v>
      </c>
      <c r="EM186" s="2197">
        <v>-9999</v>
      </c>
    </row>
    <row r="187" spans="1:143">
      <c r="A187" s="22">
        <v>87</v>
      </c>
      <c r="B187" s="1" t="s">
        <v>1112</v>
      </c>
      <c r="C187">
        <f ca="1">OFFSET(Labour1!F217,0,Last_forecast_year - 3-InputY!$G$3)</f>
        <v>15.65227</v>
      </c>
      <c r="D187">
        <f ca="1">OFFSET(Labour1!G217,0,Last_forecast_year - 3-InputY!$G$3)</f>
        <v>16.892139999999998</v>
      </c>
      <c r="E187">
        <f ca="1">OFFSET(Labour1!H217,0,Last_forecast_year - 3-InputY!$G$3)</f>
        <v>18.449630000000003</v>
      </c>
      <c r="F187">
        <f ca="1">OFFSET(Labour1!I217,0,Last_forecast_year - 3-InputY!$G$3)</f>
        <v>19.549555182988733</v>
      </c>
      <c r="G187">
        <f ca="1">OFFSET(Labour1!J217,0,Last_forecast_year - 3-InputY!$G$3)</f>
        <v>20.686003495864497</v>
      </c>
      <c r="H187" s="25">
        <v>-9999</v>
      </c>
      <c r="I187" s="25">
        <v>-9999</v>
      </c>
      <c r="J187" s="25">
        <v>-9999</v>
      </c>
      <c r="K187" s="25">
        <v>-9999</v>
      </c>
      <c r="L187" s="25">
        <v>-9999</v>
      </c>
      <c r="M187" s="25">
        <v>-9999</v>
      </c>
      <c r="N187" s="25">
        <v>-9999</v>
      </c>
      <c r="O187" s="25">
        <v>-9999</v>
      </c>
      <c r="P187"/>
      <c r="Q187"/>
      <c r="AA187" s="22">
        <v>87</v>
      </c>
      <c r="AB187" s="1040" t="str">
        <f t="shared" si="8"/>
        <v>HH COMPENSATION OF EMPLOYEES</v>
      </c>
      <c r="AC187" s="1040">
        <f>CHOOSE(Tables!$U$2,Transfer!CA187,Transfer!CN187,Transfer!DA187,Transfer!DN187,Transfer!EA187)</f>
        <v>-9999</v>
      </c>
      <c r="AD187" s="1040">
        <f>CHOOSE(Tables!$U$2,Transfer!CB187,Transfer!CO187,Transfer!DB187,Transfer!DO187,Transfer!EB187)</f>
        <v>-9999</v>
      </c>
      <c r="AE187" s="1040">
        <f>CHOOSE(Tables!$U$2,Transfer!CC187,Transfer!CP187,Transfer!DC187,Transfer!DP187,Transfer!EC187)</f>
        <v>-9999</v>
      </c>
      <c r="AF187" s="1040">
        <f>CHOOSE(Tables!$U$2,Transfer!CD187,Transfer!CQ187,Transfer!DD187,Transfer!DQ187,Transfer!ED187)</f>
        <v>-9999</v>
      </c>
      <c r="AG187" s="1040">
        <f>CHOOSE(Tables!$U$2,Transfer!CE187,Transfer!CR187,Transfer!DE187,Transfer!DR187,Transfer!EE187)</f>
        <v>-9999</v>
      </c>
      <c r="AH187" s="1040">
        <f>CHOOSE(Tables!$U$2,Transfer!CF187,Transfer!CS187,Transfer!DF187,Transfer!DS187,Transfer!EF187)</f>
        <v>-9999</v>
      </c>
      <c r="AI187" s="1040">
        <f>CHOOSE(Tables!$U$2,Transfer!CG187,Transfer!CT187,Transfer!DG187,Transfer!DT187,Transfer!EG187)</f>
        <v>-9999</v>
      </c>
      <c r="AJ187" s="1040">
        <f>CHOOSE(Tables!$U$2,Transfer!CH187,Transfer!CU187,Transfer!DH187,Transfer!DU187,Transfer!EH187)</f>
        <v>-9999</v>
      </c>
      <c r="AK187" s="1040">
        <f>CHOOSE(Tables!$U$2,Transfer!CI187,Transfer!CV187,Transfer!DI187,Transfer!DV187,Transfer!EI187)</f>
        <v>-9999</v>
      </c>
      <c r="AL187" s="1040">
        <f>CHOOSE(Tables!$U$2,Transfer!CJ187,Transfer!CW187,Transfer!DJ187,Transfer!DW187,Transfer!EJ187)</f>
        <v>-9999</v>
      </c>
      <c r="AM187" s="1040">
        <f>CHOOSE(Tables!$U$2,Transfer!CK187,Transfer!CX187,Transfer!DK187,Transfer!DX187,Transfer!EK187)</f>
        <v>-9999</v>
      </c>
      <c r="AN187" s="1040">
        <f>CHOOSE(Tables!$U$2,Transfer!CL187,Transfer!CY187,Transfer!DL187,Transfer!DY187,Transfer!EL187)</f>
        <v>-9999</v>
      </c>
      <c r="AO187" s="1040">
        <f>CHOOSE(Tables!$U$2,Transfer!CM187,Transfer!CZ187,Transfer!DM187,Transfer!DZ187,Transfer!EM187)</f>
        <v>-9999</v>
      </c>
      <c r="AR187" s="22">
        <v>87</v>
      </c>
      <c r="AS187" s="1" t="s">
        <v>1112</v>
      </c>
      <c r="AT187" s="24">
        <f t="shared" ca="1" si="10"/>
        <v>10014.65227</v>
      </c>
      <c r="AU187" s="24">
        <f t="shared" ca="1" si="11"/>
        <v>10015.89214</v>
      </c>
      <c r="AV187" s="24">
        <f t="shared" ca="1" si="12"/>
        <v>10017.449629999999</v>
      </c>
      <c r="AW187" s="24">
        <f t="shared" ca="1" si="13"/>
        <v>10018.549555182988</v>
      </c>
      <c r="AX187" s="24">
        <f t="shared" ca="1" si="14"/>
        <v>10019.686003495864</v>
      </c>
      <c r="AY187" s="25">
        <f t="shared" si="15"/>
        <v>0</v>
      </c>
      <c r="AZ187" s="25">
        <f t="shared" si="16"/>
        <v>0</v>
      </c>
      <c r="BA187" s="25">
        <f t="shared" si="17"/>
        <v>0</v>
      </c>
      <c r="BB187" s="25">
        <f t="shared" si="18"/>
        <v>0</v>
      </c>
      <c r="BC187" s="25">
        <f t="shared" si="7"/>
        <v>0</v>
      </c>
      <c r="BD187" s="25">
        <f t="shared" si="7"/>
        <v>0</v>
      </c>
      <c r="BE187" s="25">
        <f t="shared" si="7"/>
        <v>0</v>
      </c>
      <c r="BF187" s="25">
        <f t="shared" si="7"/>
        <v>0</v>
      </c>
      <c r="CA187" s="16">
        <v>-9999</v>
      </c>
      <c r="CB187" s="16">
        <v>-9999</v>
      </c>
      <c r="CC187" s="16">
        <v>-9999</v>
      </c>
      <c r="CD187" s="16">
        <v>-9999</v>
      </c>
      <c r="CE187" s="16">
        <v>-9999</v>
      </c>
      <c r="CF187" s="16">
        <v>-9999</v>
      </c>
      <c r="CG187" s="16">
        <v>-9999</v>
      </c>
      <c r="CH187" s="16">
        <v>-9999</v>
      </c>
      <c r="CI187" s="16">
        <v>-9999</v>
      </c>
      <c r="CJ187" s="16">
        <v>-9999</v>
      </c>
      <c r="CK187" s="16">
        <v>-9999</v>
      </c>
      <c r="CL187" s="16">
        <v>-9999</v>
      </c>
      <c r="CM187" s="16">
        <v>-9999</v>
      </c>
      <c r="CN187" s="16">
        <v>-9999</v>
      </c>
      <c r="CO187" s="16">
        <v>-9999</v>
      </c>
      <c r="CP187" s="16">
        <v>-9999</v>
      </c>
      <c r="CQ187" s="16">
        <v>-9999</v>
      </c>
      <c r="CR187" s="16">
        <v>-9999</v>
      </c>
      <c r="CS187" s="16">
        <v>-9999</v>
      </c>
      <c r="CT187" s="16">
        <v>-9999</v>
      </c>
      <c r="CU187" s="16">
        <v>-9999</v>
      </c>
      <c r="CV187" s="16">
        <v>-9999</v>
      </c>
      <c r="CW187" s="16">
        <v>-9999</v>
      </c>
      <c r="CX187" s="16">
        <v>-9999</v>
      </c>
      <c r="CY187" s="16">
        <v>-9999</v>
      </c>
      <c r="CZ187" s="16">
        <v>-9999</v>
      </c>
      <c r="DA187" s="16">
        <v>-9999</v>
      </c>
      <c r="DB187" s="16">
        <v>-9999</v>
      </c>
      <c r="DC187" s="16">
        <v>-9999</v>
      </c>
      <c r="DD187" s="16">
        <v>-9999</v>
      </c>
      <c r="DE187" s="16">
        <v>-9999</v>
      </c>
      <c r="DF187" s="16">
        <v>-9999</v>
      </c>
      <c r="DG187" s="16">
        <v>-9999</v>
      </c>
      <c r="DH187" s="16">
        <v>-9999</v>
      </c>
      <c r="DI187" s="16">
        <v>-9999</v>
      </c>
      <c r="DJ187" s="16">
        <v>-9999</v>
      </c>
      <c r="DK187" s="16">
        <v>-9999</v>
      </c>
      <c r="DL187" s="16">
        <v>-9999</v>
      </c>
      <c r="DM187" s="16">
        <v>-9999</v>
      </c>
      <c r="DN187" s="16">
        <v>-9999</v>
      </c>
      <c r="DO187" s="16">
        <v>-9999</v>
      </c>
      <c r="DP187" s="16">
        <v>-9999</v>
      </c>
      <c r="DQ187" s="16">
        <v>-9999</v>
      </c>
      <c r="DR187" s="16">
        <v>-9999</v>
      </c>
      <c r="DS187" s="16">
        <v>-9999</v>
      </c>
      <c r="DT187" s="16">
        <v>-9999</v>
      </c>
      <c r="DU187" s="16">
        <v>-9999</v>
      </c>
      <c r="DV187" s="16">
        <v>-9999</v>
      </c>
      <c r="DW187" s="16">
        <v>-9999</v>
      </c>
      <c r="DX187" s="16">
        <v>-9999</v>
      </c>
      <c r="DY187" s="16">
        <v>-9999</v>
      </c>
      <c r="DZ187" s="16">
        <v>-9999</v>
      </c>
      <c r="EA187" s="2196">
        <v>-9999</v>
      </c>
      <c r="EB187" s="2196">
        <v>-9999</v>
      </c>
      <c r="EC187" s="2196">
        <v>-9999</v>
      </c>
      <c r="ED187" s="2196">
        <v>-9999</v>
      </c>
      <c r="EE187" s="2196">
        <v>-9999</v>
      </c>
      <c r="EF187" s="2197">
        <v>-9999</v>
      </c>
      <c r="EG187" s="2197">
        <v>-9999</v>
      </c>
      <c r="EH187" s="2197">
        <v>-9999</v>
      </c>
      <c r="EI187" s="2197">
        <v>-9999</v>
      </c>
      <c r="EJ187" s="2197">
        <v>-9999</v>
      </c>
      <c r="EK187" s="2197">
        <v>-9999</v>
      </c>
      <c r="EL187" s="2197">
        <v>-9999</v>
      </c>
      <c r="EM187" s="2197">
        <v>-9999</v>
      </c>
    </row>
    <row r="188" spans="1:143">
      <c r="A188" s="22">
        <v>88</v>
      </c>
      <c r="B188" s="1" t="s">
        <v>333</v>
      </c>
      <c r="C188">
        <f ca="1">OFFSET(Labour1!F137,0,Last_forecast_year - 3-InputY!$G$3)</f>
        <v>12.323559999999999</v>
      </c>
      <c r="D188">
        <f ca="1">OFFSET(Labour1!G137,0,Last_forecast_year - 3-InputY!$G$3)</f>
        <v>13.25775</v>
      </c>
      <c r="E188">
        <f ca="1">OFFSET(Labour1!H137,0,Last_forecast_year - 3-InputY!$G$3)</f>
        <v>14.362240126594433</v>
      </c>
      <c r="F188">
        <f ca="1">OFFSET(Labour1!I137,0,Last_forecast_year - 3-InputY!$G$3)</f>
        <v>15.177575242380211</v>
      </c>
      <c r="G188">
        <f ca="1">OFFSET(Labour1!J137,0,Last_forecast_year - 3-InputY!$G$3)</f>
        <v>16.047371297764418</v>
      </c>
      <c r="H188" s="25">
        <v>-9999</v>
      </c>
      <c r="I188" s="25">
        <v>-9999</v>
      </c>
      <c r="J188" s="25">
        <v>-9999</v>
      </c>
      <c r="K188" s="25">
        <v>-9999</v>
      </c>
      <c r="L188" s="25">
        <v>-9999</v>
      </c>
      <c r="M188" s="25">
        <v>-9999</v>
      </c>
      <c r="N188" s="25">
        <v>-9999</v>
      </c>
      <c r="O188" s="25">
        <v>-9999</v>
      </c>
      <c r="P188"/>
      <c r="Q188"/>
      <c r="AA188" s="22">
        <v>88</v>
      </c>
      <c r="AB188" s="1040" t="str">
        <f t="shared" si="8"/>
        <v>HH GROSS WAGES AND SALARIES</v>
      </c>
      <c r="AC188" s="1040">
        <f>CHOOSE(Tables!$U$2,Transfer!CA188,Transfer!CN188,Transfer!DA188,Transfer!DN188,Transfer!EA188)</f>
        <v>-9999</v>
      </c>
      <c r="AD188" s="1040">
        <f>CHOOSE(Tables!$U$2,Transfer!CB188,Transfer!CO188,Transfer!DB188,Transfer!DO188,Transfer!EB188)</f>
        <v>-9999</v>
      </c>
      <c r="AE188" s="1040">
        <f>CHOOSE(Tables!$U$2,Transfer!CC188,Transfer!CP188,Transfer!DC188,Transfer!DP188,Transfer!EC188)</f>
        <v>-9999</v>
      </c>
      <c r="AF188" s="1040">
        <f>CHOOSE(Tables!$U$2,Transfer!CD188,Transfer!CQ188,Transfer!DD188,Transfer!DQ188,Transfer!ED188)</f>
        <v>-9999</v>
      </c>
      <c r="AG188" s="1040">
        <f>CHOOSE(Tables!$U$2,Transfer!CE188,Transfer!CR188,Transfer!DE188,Transfer!DR188,Transfer!EE188)</f>
        <v>-9999</v>
      </c>
      <c r="AH188" s="1040">
        <f>CHOOSE(Tables!$U$2,Transfer!CF188,Transfer!CS188,Transfer!DF188,Transfer!DS188,Transfer!EF188)</f>
        <v>-9999</v>
      </c>
      <c r="AI188" s="1040">
        <f>CHOOSE(Tables!$U$2,Transfer!CG188,Transfer!CT188,Transfer!DG188,Transfer!DT188,Transfer!EG188)</f>
        <v>-9999</v>
      </c>
      <c r="AJ188" s="1040">
        <f>CHOOSE(Tables!$U$2,Transfer!CH188,Transfer!CU188,Transfer!DH188,Transfer!DU188,Transfer!EH188)</f>
        <v>-9999</v>
      </c>
      <c r="AK188" s="1040">
        <f>CHOOSE(Tables!$U$2,Transfer!CI188,Transfer!CV188,Transfer!DI188,Transfer!DV188,Transfer!EI188)</f>
        <v>-9999</v>
      </c>
      <c r="AL188" s="1040">
        <f>CHOOSE(Tables!$U$2,Transfer!CJ188,Transfer!CW188,Transfer!DJ188,Transfer!DW188,Transfer!EJ188)</f>
        <v>-9999</v>
      </c>
      <c r="AM188" s="1040">
        <f>CHOOSE(Tables!$U$2,Transfer!CK188,Transfer!CX188,Transfer!DK188,Transfer!DX188,Transfer!EK188)</f>
        <v>-9999</v>
      </c>
      <c r="AN188" s="1040">
        <f>CHOOSE(Tables!$U$2,Transfer!CL188,Transfer!CY188,Transfer!DL188,Transfer!DY188,Transfer!EL188)</f>
        <v>-9999</v>
      </c>
      <c r="AO188" s="1040">
        <f>CHOOSE(Tables!$U$2,Transfer!CM188,Transfer!CZ188,Transfer!DM188,Transfer!DZ188,Transfer!EM188)</f>
        <v>-9999</v>
      </c>
      <c r="AR188" s="22">
        <v>88</v>
      </c>
      <c r="AS188" s="1" t="s">
        <v>333</v>
      </c>
      <c r="AT188" s="24">
        <f t="shared" ca="1" si="10"/>
        <v>10011.323560000001</v>
      </c>
      <c r="AU188" s="24">
        <f t="shared" ca="1" si="11"/>
        <v>10012.257750000001</v>
      </c>
      <c r="AV188" s="24">
        <f t="shared" ca="1" si="12"/>
        <v>10013.362240126595</v>
      </c>
      <c r="AW188" s="24">
        <f t="shared" ca="1" si="13"/>
        <v>10014.17757524238</v>
      </c>
      <c r="AX188" s="24">
        <f t="shared" ca="1" si="14"/>
        <v>10015.047371297764</v>
      </c>
      <c r="AY188" s="25">
        <f t="shared" si="15"/>
        <v>0</v>
      </c>
      <c r="AZ188" s="25">
        <f t="shared" si="16"/>
        <v>0</v>
      </c>
      <c r="BA188" s="25">
        <f t="shared" si="17"/>
        <v>0</v>
      </c>
      <c r="BB188" s="25">
        <f t="shared" si="18"/>
        <v>0</v>
      </c>
      <c r="BC188" s="25">
        <f t="shared" si="7"/>
        <v>0</v>
      </c>
      <c r="BD188" s="25">
        <f t="shared" si="7"/>
        <v>0</v>
      </c>
      <c r="BE188" s="25">
        <f t="shared" si="7"/>
        <v>0</v>
      </c>
      <c r="BF188" s="25">
        <f t="shared" si="7"/>
        <v>0</v>
      </c>
      <c r="CA188" s="16">
        <v>-9999</v>
      </c>
      <c r="CB188" s="16">
        <v>-9999</v>
      </c>
      <c r="CC188" s="16">
        <v>-9999</v>
      </c>
      <c r="CD188" s="16">
        <v>-9999</v>
      </c>
      <c r="CE188" s="16">
        <v>-9999</v>
      </c>
      <c r="CF188" s="16">
        <v>-9999</v>
      </c>
      <c r="CG188" s="16">
        <v>-9999</v>
      </c>
      <c r="CH188" s="16">
        <v>-9999</v>
      </c>
      <c r="CI188" s="16">
        <v>-9999</v>
      </c>
      <c r="CJ188" s="16">
        <v>-9999</v>
      </c>
      <c r="CK188" s="16">
        <v>-9999</v>
      </c>
      <c r="CL188" s="16">
        <v>-9999</v>
      </c>
      <c r="CM188" s="16">
        <v>-9999</v>
      </c>
      <c r="CN188" s="16">
        <v>-9999</v>
      </c>
      <c r="CO188" s="16">
        <v>-9999</v>
      </c>
      <c r="CP188" s="16">
        <v>-9999</v>
      </c>
      <c r="CQ188" s="16">
        <v>-9999</v>
      </c>
      <c r="CR188" s="16">
        <v>-9999</v>
      </c>
      <c r="CS188" s="16">
        <v>-9999</v>
      </c>
      <c r="CT188" s="16">
        <v>-9999</v>
      </c>
      <c r="CU188" s="16">
        <v>-9999</v>
      </c>
      <c r="CV188" s="16">
        <v>-9999</v>
      </c>
      <c r="CW188" s="16">
        <v>-9999</v>
      </c>
      <c r="CX188" s="16">
        <v>-9999</v>
      </c>
      <c r="CY188" s="16">
        <v>-9999</v>
      </c>
      <c r="CZ188" s="16">
        <v>-9999</v>
      </c>
      <c r="DA188" s="16">
        <v>-9999</v>
      </c>
      <c r="DB188" s="16">
        <v>-9999</v>
      </c>
      <c r="DC188" s="16">
        <v>-9999</v>
      </c>
      <c r="DD188" s="16">
        <v>-9999</v>
      </c>
      <c r="DE188" s="16">
        <v>-9999</v>
      </c>
      <c r="DF188" s="16">
        <v>-9999</v>
      </c>
      <c r="DG188" s="16">
        <v>-9999</v>
      </c>
      <c r="DH188" s="16">
        <v>-9999</v>
      </c>
      <c r="DI188" s="16">
        <v>-9999</v>
      </c>
      <c r="DJ188" s="16">
        <v>-9999</v>
      </c>
      <c r="DK188" s="16">
        <v>-9999</v>
      </c>
      <c r="DL188" s="16">
        <v>-9999</v>
      </c>
      <c r="DM188" s="16">
        <v>-9999</v>
      </c>
      <c r="DN188" s="16">
        <v>-9999</v>
      </c>
      <c r="DO188" s="16">
        <v>-9999</v>
      </c>
      <c r="DP188" s="16">
        <v>-9999</v>
      </c>
      <c r="DQ188" s="16">
        <v>-9999</v>
      </c>
      <c r="DR188" s="16">
        <v>-9999</v>
      </c>
      <c r="DS188" s="16">
        <v>-9999</v>
      </c>
      <c r="DT188" s="16">
        <v>-9999</v>
      </c>
      <c r="DU188" s="16">
        <v>-9999</v>
      </c>
      <c r="DV188" s="16">
        <v>-9999</v>
      </c>
      <c r="DW188" s="16">
        <v>-9999</v>
      </c>
      <c r="DX188" s="16">
        <v>-9999</v>
      </c>
      <c r="DY188" s="16">
        <v>-9999</v>
      </c>
      <c r="DZ188" s="16">
        <v>-9999</v>
      </c>
      <c r="EA188" s="2196">
        <v>-9999</v>
      </c>
      <c r="EB188" s="2196">
        <v>-9999</v>
      </c>
      <c r="EC188" s="2196">
        <v>-9999</v>
      </c>
      <c r="ED188" s="2196">
        <v>-9999</v>
      </c>
      <c r="EE188" s="2196">
        <v>-9999</v>
      </c>
      <c r="EF188" s="2197">
        <v>-9999</v>
      </c>
      <c r="EG188" s="2197">
        <v>-9999</v>
      </c>
      <c r="EH188" s="2197">
        <v>-9999</v>
      </c>
      <c r="EI188" s="2197">
        <v>-9999</v>
      </c>
      <c r="EJ188" s="2197">
        <v>-9999</v>
      </c>
      <c r="EK188" s="2197">
        <v>-9999</v>
      </c>
      <c r="EL188" s="2197">
        <v>-9999</v>
      </c>
      <c r="EM188" s="2197">
        <v>-9999</v>
      </c>
    </row>
    <row r="189" spans="1:143">
      <c r="A189" s="22">
        <v>89</v>
      </c>
      <c r="B189" s="1" t="s">
        <v>123</v>
      </c>
      <c r="C189">
        <f ca="1">OFFSET(Sector1!F107,0,Last_forecast_year - 3-InputY!$G$3)</f>
        <v>3.7731500000000007</v>
      </c>
      <c r="D189">
        <f ca="1">OFFSET(Sector1!G107,0,Last_forecast_year - 3-InputY!$G$3)</f>
        <v>3.77868</v>
      </c>
      <c r="E189">
        <f ca="1">OFFSET(Sector1!H107,0,Last_forecast_year - 3-InputY!$G$3)</f>
        <v>3.77868</v>
      </c>
      <c r="F189">
        <f ca="1">OFFSET(Sector1!I107,0,Last_forecast_year - 3-InputY!$G$3)</f>
        <v>3.77868</v>
      </c>
      <c r="G189">
        <f ca="1">OFFSET(Sector1!J107,0,Last_forecast_year - 3-InputY!$G$3)</f>
        <v>3.77868</v>
      </c>
      <c r="H189" s="25">
        <v>-9999</v>
      </c>
      <c r="I189" s="25">
        <v>-9999</v>
      </c>
      <c r="J189" s="25">
        <v>-9999</v>
      </c>
      <c r="K189" s="25">
        <v>-9999</v>
      </c>
      <c r="L189" s="25">
        <v>-9999</v>
      </c>
      <c r="M189" s="25">
        <v>-9999</v>
      </c>
      <c r="N189" s="25">
        <v>-9999</v>
      </c>
      <c r="O189" s="25">
        <v>-9999</v>
      </c>
      <c r="P189"/>
      <c r="Q189"/>
      <c r="AA189" s="22">
        <v>89</v>
      </c>
      <c r="AB189" s="1040" t="str">
        <f t="shared" si="8"/>
        <v>HH GROSS OPERATION SURPLUS</v>
      </c>
      <c r="AC189" s="1040">
        <f>CHOOSE(Tables!$U$2,Transfer!CA189,Transfer!CN189,Transfer!DA189,Transfer!DN189,Transfer!EA189)</f>
        <v>-9999</v>
      </c>
      <c r="AD189" s="1040">
        <f>CHOOSE(Tables!$U$2,Transfer!CB189,Transfer!CO189,Transfer!DB189,Transfer!DO189,Transfer!EB189)</f>
        <v>-9999</v>
      </c>
      <c r="AE189" s="1040">
        <f>CHOOSE(Tables!$U$2,Transfer!CC189,Transfer!CP189,Transfer!DC189,Transfer!DP189,Transfer!EC189)</f>
        <v>-9999</v>
      </c>
      <c r="AF189" s="1040">
        <f>CHOOSE(Tables!$U$2,Transfer!CD189,Transfer!CQ189,Transfer!DD189,Transfer!DQ189,Transfer!ED189)</f>
        <v>-9999</v>
      </c>
      <c r="AG189" s="1040">
        <f>CHOOSE(Tables!$U$2,Transfer!CE189,Transfer!CR189,Transfer!DE189,Transfer!DR189,Transfer!EE189)</f>
        <v>-9999</v>
      </c>
      <c r="AH189" s="1040">
        <f>CHOOSE(Tables!$U$2,Transfer!CF189,Transfer!CS189,Transfer!DF189,Transfer!DS189,Transfer!EF189)</f>
        <v>-9999</v>
      </c>
      <c r="AI189" s="1040">
        <f>CHOOSE(Tables!$U$2,Transfer!CG189,Transfer!CT189,Transfer!DG189,Transfer!DT189,Transfer!EG189)</f>
        <v>-9999</v>
      </c>
      <c r="AJ189" s="1040">
        <f>CHOOSE(Tables!$U$2,Transfer!CH189,Transfer!CU189,Transfer!DH189,Transfer!DU189,Transfer!EH189)</f>
        <v>-9999</v>
      </c>
      <c r="AK189" s="1040">
        <f>CHOOSE(Tables!$U$2,Transfer!CI189,Transfer!CV189,Transfer!DI189,Transfer!DV189,Transfer!EI189)</f>
        <v>-9999</v>
      </c>
      <c r="AL189" s="1040">
        <f>CHOOSE(Tables!$U$2,Transfer!CJ189,Transfer!CW189,Transfer!DJ189,Transfer!DW189,Transfer!EJ189)</f>
        <v>-9999</v>
      </c>
      <c r="AM189" s="1040">
        <f>CHOOSE(Tables!$U$2,Transfer!CK189,Transfer!CX189,Transfer!DK189,Transfer!DX189,Transfer!EK189)</f>
        <v>-9999</v>
      </c>
      <c r="AN189" s="1040">
        <f>CHOOSE(Tables!$U$2,Transfer!CL189,Transfer!CY189,Transfer!DL189,Transfer!DY189,Transfer!EL189)</f>
        <v>-9999</v>
      </c>
      <c r="AO189" s="1040">
        <f>CHOOSE(Tables!$U$2,Transfer!CM189,Transfer!CZ189,Transfer!DM189,Transfer!DZ189,Transfer!EM189)</f>
        <v>-9999</v>
      </c>
      <c r="AR189" s="22">
        <v>89</v>
      </c>
      <c r="AS189" s="1" t="s">
        <v>123</v>
      </c>
      <c r="AT189" s="24">
        <f t="shared" ca="1" si="10"/>
        <v>10002.773150000001</v>
      </c>
      <c r="AU189" s="24">
        <f t="shared" ca="1" si="11"/>
        <v>10002.778679999999</v>
      </c>
      <c r="AV189" s="24">
        <f t="shared" ca="1" si="12"/>
        <v>10002.778679999999</v>
      </c>
      <c r="AW189" s="24">
        <f t="shared" ca="1" si="13"/>
        <v>10002.778679999999</v>
      </c>
      <c r="AX189" s="24">
        <f t="shared" ca="1" si="14"/>
        <v>10002.778679999999</v>
      </c>
      <c r="AY189" s="25">
        <f t="shared" si="15"/>
        <v>0</v>
      </c>
      <c r="AZ189" s="25">
        <f t="shared" si="16"/>
        <v>0</v>
      </c>
      <c r="BA189" s="25">
        <f t="shared" si="17"/>
        <v>0</v>
      </c>
      <c r="BB189" s="25">
        <f t="shared" si="18"/>
        <v>0</v>
      </c>
      <c r="BC189" s="25">
        <f t="shared" si="7"/>
        <v>0</v>
      </c>
      <c r="BD189" s="25">
        <f t="shared" si="7"/>
        <v>0</v>
      </c>
      <c r="BE189" s="25">
        <f t="shared" si="7"/>
        <v>0</v>
      </c>
      <c r="BF189" s="25">
        <f t="shared" si="7"/>
        <v>0</v>
      </c>
      <c r="CA189" s="16">
        <v>-9999</v>
      </c>
      <c r="CB189" s="16">
        <v>-9999</v>
      </c>
      <c r="CC189" s="16">
        <v>-9999</v>
      </c>
      <c r="CD189" s="16">
        <v>-9999</v>
      </c>
      <c r="CE189" s="16">
        <v>-9999</v>
      </c>
      <c r="CF189" s="16">
        <v>-9999</v>
      </c>
      <c r="CG189" s="16">
        <v>-9999</v>
      </c>
      <c r="CH189" s="16">
        <v>-9999</v>
      </c>
      <c r="CI189" s="16">
        <v>-9999</v>
      </c>
      <c r="CJ189" s="16">
        <v>-9999</v>
      </c>
      <c r="CK189" s="16">
        <v>-9999</v>
      </c>
      <c r="CL189" s="16">
        <v>-9999</v>
      </c>
      <c r="CM189" s="16">
        <v>-9999</v>
      </c>
      <c r="CN189" s="16">
        <v>-9999</v>
      </c>
      <c r="CO189" s="16">
        <v>-9999</v>
      </c>
      <c r="CP189" s="16">
        <v>-9999</v>
      </c>
      <c r="CQ189" s="16">
        <v>-9999</v>
      </c>
      <c r="CR189" s="16">
        <v>-9999</v>
      </c>
      <c r="CS189" s="16">
        <v>-9999</v>
      </c>
      <c r="CT189" s="16">
        <v>-9999</v>
      </c>
      <c r="CU189" s="16">
        <v>-9999</v>
      </c>
      <c r="CV189" s="16">
        <v>-9999</v>
      </c>
      <c r="CW189" s="16">
        <v>-9999</v>
      </c>
      <c r="CX189" s="16">
        <v>-9999</v>
      </c>
      <c r="CY189" s="16">
        <v>-9999</v>
      </c>
      <c r="CZ189" s="16">
        <v>-9999</v>
      </c>
      <c r="DA189" s="16">
        <v>-9999</v>
      </c>
      <c r="DB189" s="16">
        <v>-9999</v>
      </c>
      <c r="DC189" s="16">
        <v>-9999</v>
      </c>
      <c r="DD189" s="16">
        <v>-9999</v>
      </c>
      <c r="DE189" s="16">
        <v>-9999</v>
      </c>
      <c r="DF189" s="16">
        <v>-9999</v>
      </c>
      <c r="DG189" s="16">
        <v>-9999</v>
      </c>
      <c r="DH189" s="16">
        <v>-9999</v>
      </c>
      <c r="DI189" s="16">
        <v>-9999</v>
      </c>
      <c r="DJ189" s="16">
        <v>-9999</v>
      </c>
      <c r="DK189" s="16">
        <v>-9999</v>
      </c>
      <c r="DL189" s="16">
        <v>-9999</v>
      </c>
      <c r="DM189" s="16">
        <v>-9999</v>
      </c>
      <c r="DN189" s="16">
        <v>-9999</v>
      </c>
      <c r="DO189" s="16">
        <v>-9999</v>
      </c>
      <c r="DP189" s="16">
        <v>-9999</v>
      </c>
      <c r="DQ189" s="16">
        <v>-9999</v>
      </c>
      <c r="DR189" s="16">
        <v>-9999</v>
      </c>
      <c r="DS189" s="16">
        <v>-9999</v>
      </c>
      <c r="DT189" s="16">
        <v>-9999</v>
      </c>
      <c r="DU189" s="16">
        <v>-9999</v>
      </c>
      <c r="DV189" s="16">
        <v>-9999</v>
      </c>
      <c r="DW189" s="16">
        <v>-9999</v>
      </c>
      <c r="DX189" s="16">
        <v>-9999</v>
      </c>
      <c r="DY189" s="16">
        <v>-9999</v>
      </c>
      <c r="DZ189" s="16">
        <v>-9999</v>
      </c>
      <c r="EA189" s="2196">
        <v>-9999</v>
      </c>
      <c r="EB189" s="2196">
        <v>-9999</v>
      </c>
      <c r="EC189" s="2196">
        <v>-9999</v>
      </c>
      <c r="ED189" s="2196">
        <v>-9999</v>
      </c>
      <c r="EE189" s="2196">
        <v>-9999</v>
      </c>
      <c r="EF189" s="2197">
        <v>-9999</v>
      </c>
      <c r="EG189" s="2197">
        <v>-9999</v>
      </c>
      <c r="EH189" s="2197">
        <v>-9999</v>
      </c>
      <c r="EI189" s="2197">
        <v>-9999</v>
      </c>
      <c r="EJ189" s="2197">
        <v>-9999</v>
      </c>
      <c r="EK189" s="2197">
        <v>-9999</v>
      </c>
      <c r="EL189" s="2197">
        <v>-9999</v>
      </c>
      <c r="EM189" s="2197">
        <v>-9999</v>
      </c>
    </row>
    <row r="190" spans="1:143">
      <c r="A190" s="22">
        <v>90</v>
      </c>
      <c r="B190" s="1" t="s">
        <v>1257</v>
      </c>
      <c r="C190">
        <f ca="1">OFFSET(Sector1!F143,0,Last_forecast_year - 3-InputY!$G$3)</f>
        <v>4.6545599999999991</v>
      </c>
      <c r="D190">
        <f ca="1">OFFSET(Sector1!G143,0,Last_forecast_year - 3-InputY!$G$3)</f>
        <v>4.9098900000000008</v>
      </c>
      <c r="E190">
        <f ca="1">OFFSET(Sector1!H143,0,Last_forecast_year - 3-InputY!$G$3)</f>
        <v>5.1861917499999999</v>
      </c>
      <c r="F190">
        <f ca="1">OFFSET(Sector1!I143,0,Last_forecast_year - 3-InputY!$G$3)</f>
        <v>5.3902210662499987</v>
      </c>
      <c r="G190">
        <f ca="1">OFFSET(Sector1!J143,0,Last_forecast_year - 3-InputY!$G$3)</f>
        <v>5.7473888408937484</v>
      </c>
      <c r="H190" s="25">
        <v>-9999</v>
      </c>
      <c r="I190" s="25">
        <v>-9999</v>
      </c>
      <c r="J190" s="25">
        <v>-9999</v>
      </c>
      <c r="K190" s="25">
        <v>-9999</v>
      </c>
      <c r="L190" s="25">
        <v>-9999</v>
      </c>
      <c r="M190" s="25">
        <v>-9999</v>
      </c>
      <c r="N190" s="25">
        <v>-9999</v>
      </c>
      <c r="O190" s="25">
        <v>-9999</v>
      </c>
      <c r="P190"/>
      <c r="Q190"/>
      <c r="AA190" s="22">
        <v>90</v>
      </c>
      <c r="AB190" s="1040" t="str">
        <f t="shared" si="8"/>
        <v>HH OTHER NON-LABOUR INCOME (NET)</v>
      </c>
      <c r="AC190" s="1040">
        <f>CHOOSE(Tables!$U$2,Transfer!CA190,Transfer!CN190,Transfer!DA190,Transfer!DN190,Transfer!EA190)</f>
        <v>-9999</v>
      </c>
      <c r="AD190" s="1040">
        <f>CHOOSE(Tables!$U$2,Transfer!CB190,Transfer!CO190,Transfer!DB190,Transfer!DO190,Transfer!EB190)</f>
        <v>-9999</v>
      </c>
      <c r="AE190" s="1040">
        <f>CHOOSE(Tables!$U$2,Transfer!CC190,Transfer!CP190,Transfer!DC190,Transfer!DP190,Transfer!EC190)</f>
        <v>-9999</v>
      </c>
      <c r="AF190" s="1040">
        <f>CHOOSE(Tables!$U$2,Transfer!CD190,Transfer!CQ190,Transfer!DD190,Transfer!DQ190,Transfer!ED190)</f>
        <v>-9999</v>
      </c>
      <c r="AG190" s="1040">
        <f>CHOOSE(Tables!$U$2,Transfer!CE190,Transfer!CR190,Transfer!DE190,Transfer!DR190,Transfer!EE190)</f>
        <v>-9999</v>
      </c>
      <c r="AH190" s="1040">
        <f>CHOOSE(Tables!$U$2,Transfer!CF190,Transfer!CS190,Transfer!DF190,Transfer!DS190,Transfer!EF190)</f>
        <v>-9999</v>
      </c>
      <c r="AI190" s="1040">
        <f>CHOOSE(Tables!$U$2,Transfer!CG190,Transfer!CT190,Transfer!DG190,Transfer!DT190,Transfer!EG190)</f>
        <v>-9999</v>
      </c>
      <c r="AJ190" s="1040">
        <f>CHOOSE(Tables!$U$2,Transfer!CH190,Transfer!CU190,Transfer!DH190,Transfer!DU190,Transfer!EH190)</f>
        <v>-9999</v>
      </c>
      <c r="AK190" s="1040">
        <f>CHOOSE(Tables!$U$2,Transfer!CI190,Transfer!CV190,Transfer!DI190,Transfer!DV190,Transfer!EI190)</f>
        <v>-9999</v>
      </c>
      <c r="AL190" s="1040">
        <f>CHOOSE(Tables!$U$2,Transfer!CJ190,Transfer!CW190,Transfer!DJ190,Transfer!DW190,Transfer!EJ190)</f>
        <v>-9999</v>
      </c>
      <c r="AM190" s="1040">
        <f>CHOOSE(Tables!$U$2,Transfer!CK190,Transfer!CX190,Transfer!DK190,Transfer!DX190,Transfer!EK190)</f>
        <v>-9999</v>
      </c>
      <c r="AN190" s="1040">
        <f>CHOOSE(Tables!$U$2,Transfer!CL190,Transfer!CY190,Transfer!DL190,Transfer!DY190,Transfer!EL190)</f>
        <v>-9999</v>
      </c>
      <c r="AO190" s="1040">
        <f>CHOOSE(Tables!$U$2,Transfer!CM190,Transfer!CZ190,Transfer!DM190,Transfer!DZ190,Transfer!EM190)</f>
        <v>-9999</v>
      </c>
      <c r="AR190" s="22">
        <v>90</v>
      </c>
      <c r="AS190" s="1" t="s">
        <v>1257</v>
      </c>
      <c r="AT190" s="24">
        <f t="shared" ca="1" si="10"/>
        <v>10003.654560000001</v>
      </c>
      <c r="AU190" s="24">
        <f t="shared" ca="1" si="11"/>
        <v>10003.909890000001</v>
      </c>
      <c r="AV190" s="24">
        <f t="shared" ca="1" si="12"/>
        <v>10004.186191749999</v>
      </c>
      <c r="AW190" s="24">
        <f t="shared" ca="1" si="13"/>
        <v>10004.390221066251</v>
      </c>
      <c r="AX190" s="24">
        <f t="shared" ca="1" si="14"/>
        <v>10004.747388840893</v>
      </c>
      <c r="AY190" s="25">
        <f t="shared" si="15"/>
        <v>0</v>
      </c>
      <c r="AZ190" s="25">
        <f t="shared" si="16"/>
        <v>0</v>
      </c>
      <c r="BA190" s="25">
        <f t="shared" si="17"/>
        <v>0</v>
      </c>
      <c r="BB190" s="25">
        <f t="shared" si="18"/>
        <v>0</v>
      </c>
      <c r="BC190" s="25">
        <f t="shared" si="7"/>
        <v>0</v>
      </c>
      <c r="BD190" s="25">
        <f t="shared" si="7"/>
        <v>0</v>
      </c>
      <c r="BE190" s="25">
        <f t="shared" si="7"/>
        <v>0</v>
      </c>
      <c r="BF190" s="25">
        <f t="shared" si="7"/>
        <v>0</v>
      </c>
      <c r="CA190" s="16">
        <v>-9999</v>
      </c>
      <c r="CB190" s="16">
        <v>-9999</v>
      </c>
      <c r="CC190" s="16">
        <v>-9999</v>
      </c>
      <c r="CD190" s="16">
        <v>-9999</v>
      </c>
      <c r="CE190" s="16">
        <v>-9999</v>
      </c>
      <c r="CF190" s="16">
        <v>-9999</v>
      </c>
      <c r="CG190" s="16">
        <v>-9999</v>
      </c>
      <c r="CH190" s="16">
        <v>-9999</v>
      </c>
      <c r="CI190" s="16">
        <v>-9999</v>
      </c>
      <c r="CJ190" s="16">
        <v>-9999</v>
      </c>
      <c r="CK190" s="16">
        <v>-9999</v>
      </c>
      <c r="CL190" s="16">
        <v>-9999</v>
      </c>
      <c r="CM190" s="16">
        <v>-9999</v>
      </c>
      <c r="CN190" s="16">
        <v>-9999</v>
      </c>
      <c r="CO190" s="16">
        <v>-9999</v>
      </c>
      <c r="CP190" s="16">
        <v>-9999</v>
      </c>
      <c r="CQ190" s="16">
        <v>-9999</v>
      </c>
      <c r="CR190" s="16">
        <v>-9999</v>
      </c>
      <c r="CS190" s="16">
        <v>-9999</v>
      </c>
      <c r="CT190" s="16">
        <v>-9999</v>
      </c>
      <c r="CU190" s="16">
        <v>-9999</v>
      </c>
      <c r="CV190" s="16">
        <v>-9999</v>
      </c>
      <c r="CW190" s="16">
        <v>-9999</v>
      </c>
      <c r="CX190" s="16">
        <v>-9999</v>
      </c>
      <c r="CY190" s="16">
        <v>-9999</v>
      </c>
      <c r="CZ190" s="16">
        <v>-9999</v>
      </c>
      <c r="DA190" s="16">
        <v>-9999</v>
      </c>
      <c r="DB190" s="16">
        <v>-9999</v>
      </c>
      <c r="DC190" s="16">
        <v>-9999</v>
      </c>
      <c r="DD190" s="16">
        <v>-9999</v>
      </c>
      <c r="DE190" s="16">
        <v>-9999</v>
      </c>
      <c r="DF190" s="16">
        <v>-9999</v>
      </c>
      <c r="DG190" s="16">
        <v>-9999</v>
      </c>
      <c r="DH190" s="16">
        <v>-9999</v>
      </c>
      <c r="DI190" s="16">
        <v>-9999</v>
      </c>
      <c r="DJ190" s="16">
        <v>-9999</v>
      </c>
      <c r="DK190" s="16">
        <v>-9999</v>
      </c>
      <c r="DL190" s="16">
        <v>-9999</v>
      </c>
      <c r="DM190" s="16">
        <v>-9999</v>
      </c>
      <c r="DN190" s="16">
        <v>-9999</v>
      </c>
      <c r="DO190" s="16">
        <v>-9999</v>
      </c>
      <c r="DP190" s="16">
        <v>-9999</v>
      </c>
      <c r="DQ190" s="16">
        <v>-9999</v>
      </c>
      <c r="DR190" s="16">
        <v>-9999</v>
      </c>
      <c r="DS190" s="16">
        <v>-9999</v>
      </c>
      <c r="DT190" s="16">
        <v>-9999</v>
      </c>
      <c r="DU190" s="16">
        <v>-9999</v>
      </c>
      <c r="DV190" s="16">
        <v>-9999</v>
      </c>
      <c r="DW190" s="16">
        <v>-9999</v>
      </c>
      <c r="DX190" s="16">
        <v>-9999</v>
      </c>
      <c r="DY190" s="16">
        <v>-9999</v>
      </c>
      <c r="DZ190" s="16">
        <v>-9999</v>
      </c>
      <c r="EA190" s="2196">
        <v>-9999</v>
      </c>
      <c r="EB190" s="2196">
        <v>-9999</v>
      </c>
      <c r="EC190" s="2196">
        <v>-9999</v>
      </c>
      <c r="ED190" s="2196">
        <v>-9999</v>
      </c>
      <c r="EE190" s="2196">
        <v>-9999</v>
      </c>
      <c r="EF190" s="2197">
        <v>-9999</v>
      </c>
      <c r="EG190" s="2197">
        <v>-9999</v>
      </c>
      <c r="EH190" s="2197">
        <v>-9999</v>
      </c>
      <c r="EI190" s="2197">
        <v>-9999</v>
      </c>
      <c r="EJ190" s="2197">
        <v>-9999</v>
      </c>
      <c r="EK190" s="2197">
        <v>-9999</v>
      </c>
      <c r="EL190" s="2197">
        <v>-9999</v>
      </c>
      <c r="EM190" s="2197">
        <v>-9999</v>
      </c>
    </row>
    <row r="191" spans="1:143">
      <c r="A191" s="22">
        <v>91</v>
      </c>
      <c r="B191" s="1" t="s">
        <v>1259</v>
      </c>
      <c r="C191">
        <f ca="1">OFFSET(Sector1!F709,0,Last_forecast_year - 3-InputY!$G$3)</f>
        <v>5.6345499999999999</v>
      </c>
      <c r="D191">
        <f ca="1">OFFSET(Sector1!G709,0,Last_forecast_year - 3-InputY!$G$3)</f>
        <v>5.9196899999999992</v>
      </c>
      <c r="E191">
        <f ca="1">OFFSET(Sector1!H709,0,Last_forecast_year - 3-InputY!$G$3)</f>
        <v>6.5123086200000007</v>
      </c>
      <c r="F191">
        <f ca="1">OFFSET(Sector1!I709,0,Last_forecast_year - 3-InputY!$G$3)</f>
        <v>7.1705756549000021</v>
      </c>
      <c r="G191">
        <f ca="1">OFFSET(Sector1!J709,0,Last_forecast_year - 3-InputY!$G$3)</f>
        <v>7.5811514782427016</v>
      </c>
      <c r="H191" s="25">
        <v>-9999</v>
      </c>
      <c r="I191" s="25">
        <v>-9999</v>
      </c>
      <c r="J191" s="25">
        <v>-9999</v>
      </c>
      <c r="K191" s="25">
        <v>-9999</v>
      </c>
      <c r="L191" s="25">
        <v>-9999</v>
      </c>
      <c r="M191" s="25">
        <v>-9999</v>
      </c>
      <c r="N191" s="25">
        <v>-9999</v>
      </c>
      <c r="O191" s="25">
        <v>-9999</v>
      </c>
      <c r="P191"/>
      <c r="Q191"/>
      <c r="AA191" s="22">
        <v>91</v>
      </c>
      <c r="AB191" s="1040" t="str">
        <f t="shared" si="8"/>
        <v>HH CURRENT TRANSFERS RECEIVED</v>
      </c>
      <c r="AC191" s="1040">
        <f>CHOOSE(Tables!$U$2,Transfer!CA191,Transfer!CN191,Transfer!DA191,Transfer!DN191,Transfer!EA191)</f>
        <v>-9999</v>
      </c>
      <c r="AD191" s="1040">
        <f>CHOOSE(Tables!$U$2,Transfer!CB191,Transfer!CO191,Transfer!DB191,Transfer!DO191,Transfer!EB191)</f>
        <v>-9999</v>
      </c>
      <c r="AE191" s="1040">
        <f>CHOOSE(Tables!$U$2,Transfer!CC191,Transfer!CP191,Transfer!DC191,Transfer!DP191,Transfer!EC191)</f>
        <v>-9999</v>
      </c>
      <c r="AF191" s="1040">
        <f>CHOOSE(Tables!$U$2,Transfer!CD191,Transfer!CQ191,Transfer!DD191,Transfer!DQ191,Transfer!ED191)</f>
        <v>-9999</v>
      </c>
      <c r="AG191" s="1040">
        <f>CHOOSE(Tables!$U$2,Transfer!CE191,Transfer!CR191,Transfer!DE191,Transfer!DR191,Transfer!EE191)</f>
        <v>-9999</v>
      </c>
      <c r="AH191" s="1040">
        <f>CHOOSE(Tables!$U$2,Transfer!CF191,Transfer!CS191,Transfer!DF191,Transfer!DS191,Transfer!EF191)</f>
        <v>-9999</v>
      </c>
      <c r="AI191" s="1040">
        <f>CHOOSE(Tables!$U$2,Transfer!CG191,Transfer!CT191,Transfer!DG191,Transfer!DT191,Transfer!EG191)</f>
        <v>-9999</v>
      </c>
      <c r="AJ191" s="1040">
        <f>CHOOSE(Tables!$U$2,Transfer!CH191,Transfer!CU191,Transfer!DH191,Transfer!DU191,Transfer!EH191)</f>
        <v>-9999</v>
      </c>
      <c r="AK191" s="1040">
        <f>CHOOSE(Tables!$U$2,Transfer!CI191,Transfer!CV191,Transfer!DI191,Transfer!DV191,Transfer!EI191)</f>
        <v>-9999</v>
      </c>
      <c r="AL191" s="1040">
        <f>CHOOSE(Tables!$U$2,Transfer!CJ191,Transfer!CW191,Transfer!DJ191,Transfer!DW191,Transfer!EJ191)</f>
        <v>-9999</v>
      </c>
      <c r="AM191" s="1040">
        <f>CHOOSE(Tables!$U$2,Transfer!CK191,Transfer!CX191,Transfer!DK191,Transfer!DX191,Transfer!EK191)</f>
        <v>-9999</v>
      </c>
      <c r="AN191" s="1040">
        <f>CHOOSE(Tables!$U$2,Transfer!CL191,Transfer!CY191,Transfer!DL191,Transfer!DY191,Transfer!EL191)</f>
        <v>-9999</v>
      </c>
      <c r="AO191" s="1040">
        <f>CHOOSE(Tables!$U$2,Transfer!CM191,Transfer!CZ191,Transfer!DM191,Transfer!DZ191,Transfer!EM191)</f>
        <v>-9999</v>
      </c>
      <c r="AR191" s="22">
        <v>91</v>
      </c>
      <c r="AS191" s="1" t="s">
        <v>1259</v>
      </c>
      <c r="AT191" s="24">
        <f t="shared" ca="1" si="10"/>
        <v>10004.634550000001</v>
      </c>
      <c r="AU191" s="24">
        <f t="shared" ca="1" si="11"/>
        <v>10004.919690000001</v>
      </c>
      <c r="AV191" s="24">
        <f t="shared" ca="1" si="12"/>
        <v>10005.51230862</v>
      </c>
      <c r="AW191" s="24">
        <f t="shared" ca="1" si="13"/>
        <v>10006.1705756549</v>
      </c>
      <c r="AX191" s="24">
        <f t="shared" ca="1" si="14"/>
        <v>10006.581151478244</v>
      </c>
      <c r="AY191" s="25">
        <f t="shared" si="15"/>
        <v>0</v>
      </c>
      <c r="AZ191" s="25">
        <f t="shared" si="16"/>
        <v>0</v>
      </c>
      <c r="BA191" s="25">
        <f t="shared" si="17"/>
        <v>0</v>
      </c>
      <c r="BB191" s="25">
        <f t="shared" si="18"/>
        <v>0</v>
      </c>
      <c r="BC191" s="25">
        <f t="shared" si="7"/>
        <v>0</v>
      </c>
      <c r="BD191" s="25">
        <f t="shared" si="7"/>
        <v>0</v>
      </c>
      <c r="BE191" s="25">
        <f t="shared" si="7"/>
        <v>0</v>
      </c>
      <c r="BF191" s="25">
        <f t="shared" si="7"/>
        <v>0</v>
      </c>
      <c r="CA191" s="16">
        <v>-9999</v>
      </c>
      <c r="CB191" s="16">
        <v>-9999</v>
      </c>
      <c r="CC191" s="16">
        <v>-9999</v>
      </c>
      <c r="CD191" s="16">
        <v>-9999</v>
      </c>
      <c r="CE191" s="16">
        <v>-9999</v>
      </c>
      <c r="CF191" s="16">
        <v>-9999</v>
      </c>
      <c r="CG191" s="16">
        <v>-9999</v>
      </c>
      <c r="CH191" s="16">
        <v>-9999</v>
      </c>
      <c r="CI191" s="16">
        <v>-9999</v>
      </c>
      <c r="CJ191" s="16">
        <v>-9999</v>
      </c>
      <c r="CK191" s="16">
        <v>-9999</v>
      </c>
      <c r="CL191" s="16">
        <v>-9999</v>
      </c>
      <c r="CM191" s="16">
        <v>-9999</v>
      </c>
      <c r="CN191" s="16">
        <v>-9999</v>
      </c>
      <c r="CO191" s="16">
        <v>-9999</v>
      </c>
      <c r="CP191" s="16">
        <v>-9999</v>
      </c>
      <c r="CQ191" s="16">
        <v>-9999</v>
      </c>
      <c r="CR191" s="16">
        <v>-9999</v>
      </c>
      <c r="CS191" s="16">
        <v>-9999</v>
      </c>
      <c r="CT191" s="16">
        <v>-9999</v>
      </c>
      <c r="CU191" s="16">
        <v>-9999</v>
      </c>
      <c r="CV191" s="16">
        <v>-9999</v>
      </c>
      <c r="CW191" s="16">
        <v>-9999</v>
      </c>
      <c r="CX191" s="16">
        <v>-9999</v>
      </c>
      <c r="CY191" s="16">
        <v>-9999</v>
      </c>
      <c r="CZ191" s="16">
        <v>-9999</v>
      </c>
      <c r="DA191" s="16">
        <v>-9999</v>
      </c>
      <c r="DB191" s="16">
        <v>-9999</v>
      </c>
      <c r="DC191" s="16">
        <v>-9999</v>
      </c>
      <c r="DD191" s="16">
        <v>-9999</v>
      </c>
      <c r="DE191" s="16">
        <v>-9999</v>
      </c>
      <c r="DF191" s="16">
        <v>-9999</v>
      </c>
      <c r="DG191" s="16">
        <v>-9999</v>
      </c>
      <c r="DH191" s="16">
        <v>-9999</v>
      </c>
      <c r="DI191" s="16">
        <v>-9999</v>
      </c>
      <c r="DJ191" s="16">
        <v>-9999</v>
      </c>
      <c r="DK191" s="16">
        <v>-9999</v>
      </c>
      <c r="DL191" s="16">
        <v>-9999</v>
      </c>
      <c r="DM191" s="16">
        <v>-9999</v>
      </c>
      <c r="DN191" s="16">
        <v>-9999</v>
      </c>
      <c r="DO191" s="16">
        <v>-9999</v>
      </c>
      <c r="DP191" s="16">
        <v>-9999</v>
      </c>
      <c r="DQ191" s="16">
        <v>-9999</v>
      </c>
      <c r="DR191" s="16">
        <v>-9999</v>
      </c>
      <c r="DS191" s="16">
        <v>-9999</v>
      </c>
      <c r="DT191" s="16">
        <v>-9999</v>
      </c>
      <c r="DU191" s="16">
        <v>-9999</v>
      </c>
      <c r="DV191" s="16">
        <v>-9999</v>
      </c>
      <c r="DW191" s="16">
        <v>-9999</v>
      </c>
      <c r="DX191" s="16">
        <v>-9999</v>
      </c>
      <c r="DY191" s="16">
        <v>-9999</v>
      </c>
      <c r="DZ191" s="16">
        <v>-9999</v>
      </c>
      <c r="EA191" s="2196">
        <v>-9999</v>
      </c>
      <c r="EB191" s="2196">
        <v>-9999</v>
      </c>
      <c r="EC191" s="2196">
        <v>-9999</v>
      </c>
      <c r="ED191" s="2196">
        <v>-9999</v>
      </c>
      <c r="EE191" s="2196">
        <v>-9999</v>
      </c>
      <c r="EF191" s="2197">
        <v>-9999</v>
      </c>
      <c r="EG191" s="2197">
        <v>-9999</v>
      </c>
      <c r="EH191" s="2197">
        <v>-9999</v>
      </c>
      <c r="EI191" s="2197">
        <v>-9999</v>
      </c>
      <c r="EJ191" s="2197">
        <v>-9999</v>
      </c>
      <c r="EK191" s="2197">
        <v>-9999</v>
      </c>
      <c r="EL191" s="2197">
        <v>-9999</v>
      </c>
      <c r="EM191" s="2197">
        <v>-9999</v>
      </c>
    </row>
    <row r="192" spans="1:143">
      <c r="A192" s="22">
        <v>92</v>
      </c>
      <c r="B192" s="1" t="s">
        <v>1437</v>
      </c>
      <c r="C192" s="24">
        <f ca="1">OFFSET(Sector1!F201,0,Last_forecast_year - 3-InputY!$G$3)</f>
        <v>1.4569700000000001</v>
      </c>
      <c r="D192" s="24">
        <f ca="1">OFFSET(Sector1!G201,0,Last_forecast_year - 3-InputY!$G$3)</f>
        <v>1.5573599999999999</v>
      </c>
      <c r="E192" s="24">
        <f ca="1">OFFSET(Sector1!H201,0,Last_forecast_year - 3-InputY!$G$3)</f>
        <v>1.6732275839999999</v>
      </c>
      <c r="F192" s="24">
        <f ca="1">OFFSET(Sector1!I201,0,Last_forecast_year - 3-InputY!$G$3)</f>
        <v>1.733463777024</v>
      </c>
      <c r="G192" s="24">
        <f ca="1">OFFSET(Sector1!J201,0,Last_forecast_year - 3-InputY!$G$3)</f>
        <v>1.8262040890947842</v>
      </c>
      <c r="H192" s="25">
        <v>-9999</v>
      </c>
      <c r="I192" s="25">
        <v>-9999</v>
      </c>
      <c r="J192" s="25">
        <v>-9999</v>
      </c>
      <c r="K192" s="25">
        <v>-9999</v>
      </c>
      <c r="L192" s="25">
        <v>-9999</v>
      </c>
      <c r="M192" s="25">
        <v>-9999</v>
      </c>
      <c r="N192" s="25">
        <v>-9999</v>
      </c>
      <c r="O192" s="25">
        <v>-9999</v>
      </c>
      <c r="P192"/>
      <c r="Q192"/>
      <c r="AA192" s="22">
        <v>92</v>
      </c>
      <c r="AB192" s="1040" t="str">
        <f t="shared" si="8"/>
        <v>HH CURRENT TAXES ON INCOME AND WEALTH</v>
      </c>
      <c r="AC192" s="1040">
        <f>CHOOSE(Tables!$U$2,Transfer!CA192,Transfer!CN192,Transfer!DA192,Transfer!DN192,Transfer!EA192)</f>
        <v>-9999</v>
      </c>
      <c r="AD192" s="1040">
        <f>CHOOSE(Tables!$U$2,Transfer!CB192,Transfer!CO192,Transfer!DB192,Transfer!DO192,Transfer!EB192)</f>
        <v>-9999</v>
      </c>
      <c r="AE192" s="1040">
        <f>CHOOSE(Tables!$U$2,Transfer!CC192,Transfer!CP192,Transfer!DC192,Transfer!DP192,Transfer!EC192)</f>
        <v>-9999</v>
      </c>
      <c r="AF192" s="1040">
        <f>CHOOSE(Tables!$U$2,Transfer!CD192,Transfer!CQ192,Transfer!DD192,Transfer!DQ192,Transfer!ED192)</f>
        <v>-9999</v>
      </c>
      <c r="AG192" s="1040">
        <f>CHOOSE(Tables!$U$2,Transfer!CE192,Transfer!CR192,Transfer!DE192,Transfer!DR192,Transfer!EE192)</f>
        <v>-9999</v>
      </c>
      <c r="AH192" s="1040">
        <f>CHOOSE(Tables!$U$2,Transfer!CF192,Transfer!CS192,Transfer!DF192,Transfer!DS192,Transfer!EF192)</f>
        <v>-9999</v>
      </c>
      <c r="AI192" s="1040">
        <f>CHOOSE(Tables!$U$2,Transfer!CG192,Transfer!CT192,Transfer!DG192,Transfer!DT192,Transfer!EG192)</f>
        <v>-9999</v>
      </c>
      <c r="AJ192" s="1040">
        <f>CHOOSE(Tables!$U$2,Transfer!CH192,Transfer!CU192,Transfer!DH192,Transfer!DU192,Transfer!EH192)</f>
        <v>-9999</v>
      </c>
      <c r="AK192" s="1040">
        <f>CHOOSE(Tables!$U$2,Transfer!CI192,Transfer!CV192,Transfer!DI192,Transfer!DV192,Transfer!EI192)</f>
        <v>-9999</v>
      </c>
      <c r="AL192" s="1040">
        <f>CHOOSE(Tables!$U$2,Transfer!CJ192,Transfer!CW192,Transfer!DJ192,Transfer!DW192,Transfer!EJ192)</f>
        <v>-9999</v>
      </c>
      <c r="AM192" s="1040">
        <f>CHOOSE(Tables!$U$2,Transfer!CK192,Transfer!CX192,Transfer!DK192,Transfer!DX192,Transfer!EK192)</f>
        <v>-9999</v>
      </c>
      <c r="AN192" s="1040">
        <f>CHOOSE(Tables!$U$2,Transfer!CL192,Transfer!CY192,Transfer!DL192,Transfer!DY192,Transfer!EL192)</f>
        <v>-9999</v>
      </c>
      <c r="AO192" s="1040">
        <f>CHOOSE(Tables!$U$2,Transfer!CM192,Transfer!CZ192,Transfer!DM192,Transfer!DZ192,Transfer!EM192)</f>
        <v>-9999</v>
      </c>
      <c r="AR192" s="22">
        <v>92</v>
      </c>
      <c r="AS192" s="1" t="s">
        <v>1437</v>
      </c>
      <c r="AT192" s="24">
        <f t="shared" ca="1" si="10"/>
        <v>10000.456969999999</v>
      </c>
      <c r="AU192" s="24">
        <f t="shared" ca="1" si="11"/>
        <v>10000.557360000001</v>
      </c>
      <c r="AV192" s="24">
        <f t="shared" ca="1" si="12"/>
        <v>10000.673227584</v>
      </c>
      <c r="AW192" s="24">
        <f t="shared" ca="1" si="13"/>
        <v>10000.733463777024</v>
      </c>
      <c r="AX192" s="24">
        <f t="shared" ca="1" si="14"/>
        <v>10000.826204089095</v>
      </c>
      <c r="AY192" s="25">
        <f t="shared" si="15"/>
        <v>0</v>
      </c>
      <c r="AZ192" s="25">
        <f t="shared" si="16"/>
        <v>0</v>
      </c>
      <c r="BA192" s="25">
        <f t="shared" si="17"/>
        <v>0</v>
      </c>
      <c r="BB192" s="25">
        <f t="shared" si="18"/>
        <v>0</v>
      </c>
      <c r="BC192" s="25">
        <f t="shared" si="7"/>
        <v>0</v>
      </c>
      <c r="BD192" s="25">
        <f t="shared" si="7"/>
        <v>0</v>
      </c>
      <c r="BE192" s="25">
        <f t="shared" si="7"/>
        <v>0</v>
      </c>
      <c r="BF192" s="25">
        <f t="shared" si="7"/>
        <v>0</v>
      </c>
      <c r="CA192" s="16">
        <v>-9999</v>
      </c>
      <c r="CB192" s="16">
        <v>-9999</v>
      </c>
      <c r="CC192" s="16">
        <v>-9999</v>
      </c>
      <c r="CD192" s="16">
        <v>-9999</v>
      </c>
      <c r="CE192" s="16">
        <v>-9999</v>
      </c>
      <c r="CF192" s="16">
        <v>-9999</v>
      </c>
      <c r="CG192" s="16">
        <v>-9999</v>
      </c>
      <c r="CH192" s="16">
        <v>-9999</v>
      </c>
      <c r="CI192" s="16">
        <v>-9999</v>
      </c>
      <c r="CJ192" s="16">
        <v>-9999</v>
      </c>
      <c r="CK192" s="16">
        <v>-9999</v>
      </c>
      <c r="CL192" s="16">
        <v>-9999</v>
      </c>
      <c r="CM192" s="16">
        <v>-9999</v>
      </c>
      <c r="CN192" s="16">
        <v>-9999</v>
      </c>
      <c r="CO192" s="16">
        <v>-9999</v>
      </c>
      <c r="CP192" s="16">
        <v>-9999</v>
      </c>
      <c r="CQ192" s="16">
        <v>-9999</v>
      </c>
      <c r="CR192" s="16">
        <v>-9999</v>
      </c>
      <c r="CS192" s="16">
        <v>-9999</v>
      </c>
      <c r="CT192" s="16">
        <v>-9999</v>
      </c>
      <c r="CU192" s="16">
        <v>-9999</v>
      </c>
      <c r="CV192" s="16">
        <v>-9999</v>
      </c>
      <c r="CW192" s="16">
        <v>-9999</v>
      </c>
      <c r="CX192" s="16">
        <v>-9999</v>
      </c>
      <c r="CY192" s="16">
        <v>-9999</v>
      </c>
      <c r="CZ192" s="16">
        <v>-9999</v>
      </c>
      <c r="DA192" s="16">
        <v>-9999</v>
      </c>
      <c r="DB192" s="16">
        <v>-9999</v>
      </c>
      <c r="DC192" s="16">
        <v>-9999</v>
      </c>
      <c r="DD192" s="16">
        <v>-9999</v>
      </c>
      <c r="DE192" s="16">
        <v>-9999</v>
      </c>
      <c r="DF192" s="16">
        <v>-9999</v>
      </c>
      <c r="DG192" s="16">
        <v>-9999</v>
      </c>
      <c r="DH192" s="16">
        <v>-9999</v>
      </c>
      <c r="DI192" s="16">
        <v>-9999</v>
      </c>
      <c r="DJ192" s="16">
        <v>-9999</v>
      </c>
      <c r="DK192" s="16">
        <v>-9999</v>
      </c>
      <c r="DL192" s="16">
        <v>-9999</v>
      </c>
      <c r="DM192" s="16">
        <v>-9999</v>
      </c>
      <c r="DN192" s="16">
        <v>-9999</v>
      </c>
      <c r="DO192" s="16">
        <v>-9999</v>
      </c>
      <c r="DP192" s="16">
        <v>-9999</v>
      </c>
      <c r="DQ192" s="16">
        <v>-9999</v>
      </c>
      <c r="DR192" s="16">
        <v>-9999</v>
      </c>
      <c r="DS192" s="16">
        <v>-9999</v>
      </c>
      <c r="DT192" s="16">
        <v>-9999</v>
      </c>
      <c r="DU192" s="16">
        <v>-9999</v>
      </c>
      <c r="DV192" s="16">
        <v>-9999</v>
      </c>
      <c r="DW192" s="16">
        <v>-9999</v>
      </c>
      <c r="DX192" s="16">
        <v>-9999</v>
      </c>
      <c r="DY192" s="16">
        <v>-9999</v>
      </c>
      <c r="DZ192" s="16">
        <v>-9999</v>
      </c>
      <c r="EA192" s="2196">
        <v>-9999</v>
      </c>
      <c r="EB192" s="2196">
        <v>-9999</v>
      </c>
      <c r="EC192" s="2196">
        <v>-9999</v>
      </c>
      <c r="ED192" s="2196">
        <v>-9999</v>
      </c>
      <c r="EE192" s="2196">
        <v>-9999</v>
      </c>
      <c r="EF192" s="2197">
        <v>-9999</v>
      </c>
      <c r="EG192" s="2197">
        <v>-9999</v>
      </c>
      <c r="EH192" s="2197">
        <v>-9999</v>
      </c>
      <c r="EI192" s="2197">
        <v>-9999</v>
      </c>
      <c r="EJ192" s="2197">
        <v>-9999</v>
      </c>
      <c r="EK192" s="2197">
        <v>-9999</v>
      </c>
      <c r="EL192" s="2197">
        <v>-9999</v>
      </c>
      <c r="EM192" s="2197">
        <v>-9999</v>
      </c>
    </row>
    <row r="193" spans="1:143">
      <c r="A193" s="22">
        <v>93</v>
      </c>
      <c r="B193" s="1" t="s">
        <v>1439</v>
      </c>
      <c r="C193">
        <f ca="1">OFFSET(Sector1!F715,0,Last_forecast_year - 3-InputY!$G$3)</f>
        <v>4.9127000000000001</v>
      </c>
      <c r="D193">
        <f ca="1">OFFSET(Sector1!G715,0,Last_forecast_year - 3-InputY!$G$3)</f>
        <v>5.3306200000000006</v>
      </c>
      <c r="E193">
        <f ca="1">OFFSET(Sector1!H715,0,Last_forecast_year - 3-InputY!$G$3)</f>
        <v>5.9556341507806332</v>
      </c>
      <c r="F193">
        <f ca="1">OFFSET(Sector1!I715,0,Last_forecast_year - 3-InputY!$G$3)</f>
        <v>6.3460517382429362</v>
      </c>
      <c r="G193">
        <f ca="1">OFFSET(Sector1!J715,0,Last_forecast_year - 3-InputY!$G$3)</f>
        <v>6.7061137957011194</v>
      </c>
      <c r="H193" s="25">
        <v>-9999</v>
      </c>
      <c r="I193" s="25">
        <v>-9999</v>
      </c>
      <c r="J193" s="25">
        <v>-9999</v>
      </c>
      <c r="K193" s="25">
        <v>-9999</v>
      </c>
      <c r="L193" s="25">
        <v>-9999</v>
      </c>
      <c r="M193" s="25">
        <v>-9999</v>
      </c>
      <c r="N193" s="25">
        <v>-9999</v>
      </c>
      <c r="O193" s="25">
        <v>-9999</v>
      </c>
      <c r="P193"/>
      <c r="Q193"/>
      <c r="AA193" s="22">
        <v>93</v>
      </c>
      <c r="AB193" s="1040" t="str">
        <f t="shared" si="8"/>
        <v>HH CURRENT TRANSFERS PAID</v>
      </c>
      <c r="AC193" s="1040">
        <f>CHOOSE(Tables!$U$2,Transfer!CA193,Transfer!CN193,Transfer!DA193,Transfer!DN193,Transfer!EA193)</f>
        <v>-9999</v>
      </c>
      <c r="AD193" s="1040">
        <f>CHOOSE(Tables!$U$2,Transfer!CB193,Transfer!CO193,Transfer!DB193,Transfer!DO193,Transfer!EB193)</f>
        <v>-9999</v>
      </c>
      <c r="AE193" s="1040">
        <f>CHOOSE(Tables!$U$2,Transfer!CC193,Transfer!CP193,Transfer!DC193,Transfer!DP193,Transfer!EC193)</f>
        <v>-9999</v>
      </c>
      <c r="AF193" s="1040">
        <f>CHOOSE(Tables!$U$2,Transfer!CD193,Transfer!CQ193,Transfer!DD193,Transfer!DQ193,Transfer!ED193)</f>
        <v>-9999</v>
      </c>
      <c r="AG193" s="1040">
        <f>CHOOSE(Tables!$U$2,Transfer!CE193,Transfer!CR193,Transfer!DE193,Transfer!DR193,Transfer!EE193)</f>
        <v>-9999</v>
      </c>
      <c r="AH193" s="1040">
        <f>CHOOSE(Tables!$U$2,Transfer!CF193,Transfer!CS193,Transfer!DF193,Transfer!DS193,Transfer!EF193)</f>
        <v>-9999</v>
      </c>
      <c r="AI193" s="1040">
        <f>CHOOSE(Tables!$U$2,Transfer!CG193,Transfer!CT193,Transfer!DG193,Transfer!DT193,Transfer!EG193)</f>
        <v>-9999</v>
      </c>
      <c r="AJ193" s="1040">
        <f>CHOOSE(Tables!$U$2,Transfer!CH193,Transfer!CU193,Transfer!DH193,Transfer!DU193,Transfer!EH193)</f>
        <v>-9999</v>
      </c>
      <c r="AK193" s="1040">
        <f>CHOOSE(Tables!$U$2,Transfer!CI193,Transfer!CV193,Transfer!DI193,Transfer!DV193,Transfer!EI193)</f>
        <v>-9999</v>
      </c>
      <c r="AL193" s="1040">
        <f>CHOOSE(Tables!$U$2,Transfer!CJ193,Transfer!CW193,Transfer!DJ193,Transfer!DW193,Transfer!EJ193)</f>
        <v>-9999</v>
      </c>
      <c r="AM193" s="1040">
        <f>CHOOSE(Tables!$U$2,Transfer!CK193,Transfer!CX193,Transfer!DK193,Transfer!DX193,Transfer!EK193)</f>
        <v>-9999</v>
      </c>
      <c r="AN193" s="1040">
        <f>CHOOSE(Tables!$U$2,Transfer!CL193,Transfer!CY193,Transfer!DL193,Transfer!DY193,Transfer!EL193)</f>
        <v>-9999</v>
      </c>
      <c r="AO193" s="1040">
        <f>CHOOSE(Tables!$U$2,Transfer!CM193,Transfer!CZ193,Transfer!DM193,Transfer!DZ193,Transfer!EM193)</f>
        <v>-9999</v>
      </c>
      <c r="AR193" s="22">
        <v>93</v>
      </c>
      <c r="AS193" s="1" t="s">
        <v>1439</v>
      </c>
      <c r="AT193" s="24">
        <f t="shared" ca="1" si="10"/>
        <v>10003.912700000001</v>
      </c>
      <c r="AU193" s="24">
        <f t="shared" ca="1" si="11"/>
        <v>10004.330620000001</v>
      </c>
      <c r="AV193" s="24">
        <f t="shared" ca="1" si="12"/>
        <v>10004.955634150781</v>
      </c>
      <c r="AW193" s="24">
        <f t="shared" ca="1" si="13"/>
        <v>10005.346051738243</v>
      </c>
      <c r="AX193" s="24">
        <f t="shared" ca="1" si="14"/>
        <v>10005.706113795701</v>
      </c>
      <c r="AY193" s="25">
        <f t="shared" si="15"/>
        <v>0</v>
      </c>
      <c r="AZ193" s="25">
        <f t="shared" si="16"/>
        <v>0</v>
      </c>
      <c r="BA193" s="25">
        <f t="shared" si="17"/>
        <v>0</v>
      </c>
      <c r="BB193" s="25">
        <f t="shared" si="18"/>
        <v>0</v>
      </c>
      <c r="BC193" s="25">
        <f t="shared" si="7"/>
        <v>0</v>
      </c>
      <c r="BD193" s="25">
        <f t="shared" si="7"/>
        <v>0</v>
      </c>
      <c r="BE193" s="25">
        <f t="shared" si="7"/>
        <v>0</v>
      </c>
      <c r="BF193" s="25">
        <f t="shared" si="7"/>
        <v>0</v>
      </c>
      <c r="CA193" s="16">
        <v>-9999</v>
      </c>
      <c r="CB193" s="16">
        <v>-9999</v>
      </c>
      <c r="CC193" s="16">
        <v>-9999</v>
      </c>
      <c r="CD193" s="16">
        <v>-9999</v>
      </c>
      <c r="CE193" s="16">
        <v>-9999</v>
      </c>
      <c r="CF193" s="16">
        <v>-9999</v>
      </c>
      <c r="CG193" s="16">
        <v>-9999</v>
      </c>
      <c r="CH193" s="16">
        <v>-9999</v>
      </c>
      <c r="CI193" s="16">
        <v>-9999</v>
      </c>
      <c r="CJ193" s="16">
        <v>-9999</v>
      </c>
      <c r="CK193" s="16">
        <v>-9999</v>
      </c>
      <c r="CL193" s="16">
        <v>-9999</v>
      </c>
      <c r="CM193" s="16">
        <v>-9999</v>
      </c>
      <c r="CN193" s="16">
        <v>-9999</v>
      </c>
      <c r="CO193" s="16">
        <v>-9999</v>
      </c>
      <c r="CP193" s="16">
        <v>-9999</v>
      </c>
      <c r="CQ193" s="16">
        <v>-9999</v>
      </c>
      <c r="CR193" s="16">
        <v>-9999</v>
      </c>
      <c r="CS193" s="16">
        <v>-9999</v>
      </c>
      <c r="CT193" s="16">
        <v>-9999</v>
      </c>
      <c r="CU193" s="16">
        <v>-9999</v>
      </c>
      <c r="CV193" s="16">
        <v>-9999</v>
      </c>
      <c r="CW193" s="16">
        <v>-9999</v>
      </c>
      <c r="CX193" s="16">
        <v>-9999</v>
      </c>
      <c r="CY193" s="16">
        <v>-9999</v>
      </c>
      <c r="CZ193" s="16">
        <v>-9999</v>
      </c>
      <c r="DA193" s="16">
        <v>-9999</v>
      </c>
      <c r="DB193" s="16">
        <v>-9999</v>
      </c>
      <c r="DC193" s="16">
        <v>-9999</v>
      </c>
      <c r="DD193" s="16">
        <v>-9999</v>
      </c>
      <c r="DE193" s="16">
        <v>-9999</v>
      </c>
      <c r="DF193" s="16">
        <v>-9999</v>
      </c>
      <c r="DG193" s="16">
        <v>-9999</v>
      </c>
      <c r="DH193" s="16">
        <v>-9999</v>
      </c>
      <c r="DI193" s="16">
        <v>-9999</v>
      </c>
      <c r="DJ193" s="16">
        <v>-9999</v>
      </c>
      <c r="DK193" s="16">
        <v>-9999</v>
      </c>
      <c r="DL193" s="16">
        <v>-9999</v>
      </c>
      <c r="DM193" s="16">
        <v>-9999</v>
      </c>
      <c r="DN193" s="16">
        <v>-9999</v>
      </c>
      <c r="DO193" s="16">
        <v>-9999</v>
      </c>
      <c r="DP193" s="16">
        <v>-9999</v>
      </c>
      <c r="DQ193" s="16">
        <v>-9999</v>
      </c>
      <c r="DR193" s="16">
        <v>-9999</v>
      </c>
      <c r="DS193" s="16">
        <v>-9999</v>
      </c>
      <c r="DT193" s="16">
        <v>-9999</v>
      </c>
      <c r="DU193" s="16">
        <v>-9999</v>
      </c>
      <c r="DV193" s="16">
        <v>-9999</v>
      </c>
      <c r="DW193" s="16">
        <v>-9999</v>
      </c>
      <c r="DX193" s="16">
        <v>-9999</v>
      </c>
      <c r="DY193" s="16">
        <v>-9999</v>
      </c>
      <c r="DZ193" s="16">
        <v>-9999</v>
      </c>
      <c r="EA193" s="2196">
        <v>-9999</v>
      </c>
      <c r="EB193" s="2196">
        <v>-9999</v>
      </c>
      <c r="EC193" s="2196">
        <v>-9999</v>
      </c>
      <c r="ED193" s="2196">
        <v>-9999</v>
      </c>
      <c r="EE193" s="2196">
        <v>-9999</v>
      </c>
      <c r="EF193" s="2197">
        <v>-9999</v>
      </c>
      <c r="EG193" s="2197">
        <v>-9999</v>
      </c>
      <c r="EH193" s="2197">
        <v>-9999</v>
      </c>
      <c r="EI193" s="2197">
        <v>-9999</v>
      </c>
      <c r="EJ193" s="2197">
        <v>-9999</v>
      </c>
      <c r="EK193" s="2197">
        <v>-9999</v>
      </c>
      <c r="EL193" s="2197">
        <v>-9999</v>
      </c>
      <c r="EM193" s="2197">
        <v>-9999</v>
      </c>
    </row>
    <row r="194" spans="1:143">
      <c r="A194" s="22">
        <v>94</v>
      </c>
      <c r="B194" s="1" t="s">
        <v>1441</v>
      </c>
      <c r="C194">
        <f ca="1">OFFSET(Sector1!F396,0,Last_forecast_year - 3-InputY!$G$3)</f>
        <v>0.12872</v>
      </c>
      <c r="D194">
        <f ca="1">OFFSET(Sector1!G396,0,Last_forecast_year - 3-InputY!$G$3)</f>
        <v>0.13106000000000001</v>
      </c>
      <c r="E194">
        <f ca="1">OFFSET(Sector1!H396,0,Last_forecast_year - 3-InputY!$G$3)</f>
        <v>0.13106000000000001</v>
      </c>
      <c r="F194">
        <f ca="1">OFFSET(Sector1!I396,0,Last_forecast_year - 3-InputY!$G$3)</f>
        <v>0.13106000000000001</v>
      </c>
      <c r="G194">
        <f ca="1">OFFSET(Sector1!J396,0,Last_forecast_year - 3-InputY!$G$3)</f>
        <v>0.13106000000000001</v>
      </c>
      <c r="H194" s="25">
        <v>-9999</v>
      </c>
      <c r="I194" s="25">
        <v>-9999</v>
      </c>
      <c r="J194" s="25">
        <v>-9999</v>
      </c>
      <c r="K194" s="25">
        <v>-9999</v>
      </c>
      <c r="L194" s="25">
        <v>-9999</v>
      </c>
      <c r="M194" s="25">
        <v>-9999</v>
      </c>
      <c r="N194" s="25">
        <v>-9999</v>
      </c>
      <c r="O194" s="25">
        <v>-9999</v>
      </c>
      <c r="P194"/>
      <c r="Q194"/>
      <c r="AA194" s="22">
        <v>94</v>
      </c>
      <c r="AB194" s="1040" t="str">
        <f t="shared" si="8"/>
        <v>HH CHANGE IN NET EQUITY IN PENSION FUNDS</v>
      </c>
      <c r="AC194" s="1040">
        <f>CHOOSE(Tables!$U$2,Transfer!CA194,Transfer!CN194,Transfer!DA194,Transfer!DN194,Transfer!EA194)</f>
        <v>-9999</v>
      </c>
      <c r="AD194" s="1040">
        <f>CHOOSE(Tables!$U$2,Transfer!CB194,Transfer!CO194,Transfer!DB194,Transfer!DO194,Transfer!EB194)</f>
        <v>-9999</v>
      </c>
      <c r="AE194" s="1040">
        <f>CHOOSE(Tables!$U$2,Transfer!CC194,Transfer!CP194,Transfer!DC194,Transfer!DP194,Transfer!EC194)</f>
        <v>-9999</v>
      </c>
      <c r="AF194" s="1040">
        <f>CHOOSE(Tables!$U$2,Transfer!CD194,Transfer!CQ194,Transfer!DD194,Transfer!DQ194,Transfer!ED194)</f>
        <v>-9999</v>
      </c>
      <c r="AG194" s="1040">
        <f>CHOOSE(Tables!$U$2,Transfer!CE194,Transfer!CR194,Transfer!DE194,Transfer!DR194,Transfer!EE194)</f>
        <v>-9999</v>
      </c>
      <c r="AH194" s="1040">
        <f>CHOOSE(Tables!$U$2,Transfer!CF194,Transfer!CS194,Transfer!DF194,Transfer!DS194,Transfer!EF194)</f>
        <v>-9999</v>
      </c>
      <c r="AI194" s="1040">
        <f>CHOOSE(Tables!$U$2,Transfer!CG194,Transfer!CT194,Transfer!DG194,Transfer!DT194,Transfer!EG194)</f>
        <v>-9999</v>
      </c>
      <c r="AJ194" s="1040">
        <f>CHOOSE(Tables!$U$2,Transfer!CH194,Transfer!CU194,Transfer!DH194,Transfer!DU194,Transfer!EH194)</f>
        <v>-9999</v>
      </c>
      <c r="AK194" s="1040">
        <f>CHOOSE(Tables!$U$2,Transfer!CI194,Transfer!CV194,Transfer!DI194,Transfer!DV194,Transfer!EI194)</f>
        <v>-9999</v>
      </c>
      <c r="AL194" s="1040">
        <f>CHOOSE(Tables!$U$2,Transfer!CJ194,Transfer!CW194,Transfer!DJ194,Transfer!DW194,Transfer!EJ194)</f>
        <v>-9999</v>
      </c>
      <c r="AM194" s="1040">
        <f>CHOOSE(Tables!$U$2,Transfer!CK194,Transfer!CX194,Transfer!DK194,Transfer!DX194,Transfer!EK194)</f>
        <v>-9999</v>
      </c>
      <c r="AN194" s="1040">
        <f>CHOOSE(Tables!$U$2,Transfer!CL194,Transfer!CY194,Transfer!DL194,Transfer!DY194,Transfer!EL194)</f>
        <v>-9999</v>
      </c>
      <c r="AO194" s="1040">
        <f>CHOOSE(Tables!$U$2,Transfer!CM194,Transfer!CZ194,Transfer!DM194,Transfer!DZ194,Transfer!EM194)</f>
        <v>-9999</v>
      </c>
      <c r="AR194" s="22">
        <v>94</v>
      </c>
      <c r="AS194" s="1" t="s">
        <v>1441</v>
      </c>
      <c r="AT194" s="24">
        <f t="shared" ca="1" si="10"/>
        <v>9999.1287200000006</v>
      </c>
      <c r="AU194" s="24">
        <f t="shared" ca="1" si="11"/>
        <v>9999.1310599999997</v>
      </c>
      <c r="AV194" s="24">
        <f t="shared" ca="1" si="12"/>
        <v>9999.1310599999997</v>
      </c>
      <c r="AW194" s="24">
        <f t="shared" ca="1" si="13"/>
        <v>9999.1310599999997</v>
      </c>
      <c r="AX194" s="24">
        <f t="shared" ca="1" si="14"/>
        <v>9999.1310599999997</v>
      </c>
      <c r="AY194" s="25">
        <f t="shared" si="15"/>
        <v>0</v>
      </c>
      <c r="AZ194" s="25">
        <f t="shared" si="16"/>
        <v>0</v>
      </c>
      <c r="BA194" s="25">
        <f t="shared" si="17"/>
        <v>0</v>
      </c>
      <c r="BB194" s="25">
        <f t="shared" si="18"/>
        <v>0</v>
      </c>
      <c r="BC194" s="25">
        <f t="shared" si="7"/>
        <v>0</v>
      </c>
      <c r="BD194" s="25">
        <f t="shared" si="7"/>
        <v>0</v>
      </c>
      <c r="BE194" s="25">
        <f t="shared" si="7"/>
        <v>0</v>
      </c>
      <c r="BF194" s="25">
        <f t="shared" si="7"/>
        <v>0</v>
      </c>
      <c r="CA194" s="16">
        <v>-9999</v>
      </c>
      <c r="CB194" s="16">
        <v>-9999</v>
      </c>
      <c r="CC194" s="16">
        <v>-9999</v>
      </c>
      <c r="CD194" s="16">
        <v>-9999</v>
      </c>
      <c r="CE194" s="16">
        <v>-9999</v>
      </c>
      <c r="CF194" s="16">
        <v>-9999</v>
      </c>
      <c r="CG194" s="16">
        <v>-9999</v>
      </c>
      <c r="CH194" s="16">
        <v>-9999</v>
      </c>
      <c r="CI194" s="16">
        <v>-9999</v>
      </c>
      <c r="CJ194" s="16">
        <v>-9999</v>
      </c>
      <c r="CK194" s="16">
        <v>-9999</v>
      </c>
      <c r="CL194" s="16">
        <v>-9999</v>
      </c>
      <c r="CM194" s="16">
        <v>-9999</v>
      </c>
      <c r="CN194" s="16">
        <v>-9999</v>
      </c>
      <c r="CO194" s="16">
        <v>-9999</v>
      </c>
      <c r="CP194" s="16">
        <v>-9999</v>
      </c>
      <c r="CQ194" s="16">
        <v>-9999</v>
      </c>
      <c r="CR194" s="16">
        <v>-9999</v>
      </c>
      <c r="CS194" s="16">
        <v>-9999</v>
      </c>
      <c r="CT194" s="16">
        <v>-9999</v>
      </c>
      <c r="CU194" s="16">
        <v>-9999</v>
      </c>
      <c r="CV194" s="16">
        <v>-9999</v>
      </c>
      <c r="CW194" s="16">
        <v>-9999</v>
      </c>
      <c r="CX194" s="16">
        <v>-9999</v>
      </c>
      <c r="CY194" s="16">
        <v>-9999</v>
      </c>
      <c r="CZ194" s="16">
        <v>-9999</v>
      </c>
      <c r="DA194" s="16">
        <v>-9999</v>
      </c>
      <c r="DB194" s="16">
        <v>-9999</v>
      </c>
      <c r="DC194" s="16">
        <v>-9999</v>
      </c>
      <c r="DD194" s="16">
        <v>-9999</v>
      </c>
      <c r="DE194" s="16">
        <v>-9999</v>
      </c>
      <c r="DF194" s="16">
        <v>-9999</v>
      </c>
      <c r="DG194" s="16">
        <v>-9999</v>
      </c>
      <c r="DH194" s="16">
        <v>-9999</v>
      </c>
      <c r="DI194" s="16">
        <v>-9999</v>
      </c>
      <c r="DJ194" s="16">
        <v>-9999</v>
      </c>
      <c r="DK194" s="16">
        <v>-9999</v>
      </c>
      <c r="DL194" s="16">
        <v>-9999</v>
      </c>
      <c r="DM194" s="16">
        <v>-9999</v>
      </c>
      <c r="DN194" s="16">
        <v>-9999</v>
      </c>
      <c r="DO194" s="16">
        <v>-9999</v>
      </c>
      <c r="DP194" s="16">
        <v>-9999</v>
      </c>
      <c r="DQ194" s="16">
        <v>-9999</v>
      </c>
      <c r="DR194" s="16">
        <v>-9999</v>
      </c>
      <c r="DS194" s="16">
        <v>-9999</v>
      </c>
      <c r="DT194" s="16">
        <v>-9999</v>
      </c>
      <c r="DU194" s="16">
        <v>-9999</v>
      </c>
      <c r="DV194" s="16">
        <v>-9999</v>
      </c>
      <c r="DW194" s="16">
        <v>-9999</v>
      </c>
      <c r="DX194" s="16">
        <v>-9999</v>
      </c>
      <c r="DY194" s="16">
        <v>-9999</v>
      </c>
      <c r="DZ194" s="16">
        <v>-9999</v>
      </c>
      <c r="EA194" s="2196">
        <v>-9999</v>
      </c>
      <c r="EB194" s="2196">
        <v>-9999</v>
      </c>
      <c r="EC194" s="2196">
        <v>-9999</v>
      </c>
      <c r="ED194" s="2196">
        <v>-9999</v>
      </c>
      <c r="EE194" s="2196">
        <v>-9999</v>
      </c>
      <c r="EF194" s="2197">
        <v>-9999</v>
      </c>
      <c r="EG194" s="2197">
        <v>-9999</v>
      </c>
      <c r="EH194" s="2197">
        <v>-9999</v>
      </c>
      <c r="EI194" s="2197">
        <v>-9999</v>
      </c>
      <c r="EJ194" s="2197">
        <v>-9999</v>
      </c>
      <c r="EK194" s="2197">
        <v>-9999</v>
      </c>
      <c r="EL194" s="2197">
        <v>-9999</v>
      </c>
      <c r="EM194" s="2197">
        <v>-9999</v>
      </c>
    </row>
    <row r="195" spans="1:143">
      <c r="A195" s="22">
        <v>95</v>
      </c>
      <c r="B195" s="1" t="s">
        <v>1442</v>
      </c>
      <c r="C195">
        <f ca="1">OFFSET('VVP2'!F185,0,Last_forecast_year - 3-InputY!$G$3)</f>
        <v>23.47364</v>
      </c>
      <c r="D195">
        <f ca="1">OFFSET('VVP2'!G185,0,Last_forecast_year - 3-InputY!$G$3)</f>
        <v>24.863340000000001</v>
      </c>
      <c r="E195">
        <f ca="1">OFFSET('VVP2'!H185,0,Last_forecast_year - 3-InputY!$G$3)</f>
        <v>26.80039</v>
      </c>
      <c r="F195">
        <f ca="1">OFFSET('VVP2'!I185,0,Last_forecast_year - 3-InputY!$G$3)</f>
        <v>28.459602144899996</v>
      </c>
      <c r="G195">
        <f ca="1">OFFSET('VVP2'!J185,0,Last_forecast_year - 3-InputY!$G$3)</f>
        <v>30.045541934026691</v>
      </c>
      <c r="H195" s="25">
        <v>-9999</v>
      </c>
      <c r="I195" s="25">
        <v>-9999</v>
      </c>
      <c r="J195" s="25">
        <v>-9999</v>
      </c>
      <c r="K195" s="25">
        <v>-9999</v>
      </c>
      <c r="L195" s="25">
        <v>-9999</v>
      </c>
      <c r="M195" s="25">
        <v>-9999</v>
      </c>
      <c r="N195" s="25">
        <v>-9999</v>
      </c>
      <c r="O195" s="25">
        <v>-9999</v>
      </c>
      <c r="P195"/>
      <c r="Q195"/>
      <c r="AA195" s="22">
        <v>95</v>
      </c>
      <c r="AB195" s="1040" t="str">
        <f t="shared" si="8"/>
        <v>HH FINAL CONSUMPTION EXPENDITURE</v>
      </c>
      <c r="AC195" s="1040">
        <f>CHOOSE(Tables!$U$2,Transfer!CA195,Transfer!CN195,Transfer!DA195,Transfer!DN195,Transfer!EA195)</f>
        <v>-9999</v>
      </c>
      <c r="AD195" s="1040">
        <f>CHOOSE(Tables!$U$2,Transfer!CB195,Transfer!CO195,Transfer!DB195,Transfer!DO195,Transfer!EB195)</f>
        <v>-9999</v>
      </c>
      <c r="AE195" s="1040">
        <f>CHOOSE(Tables!$U$2,Transfer!CC195,Transfer!CP195,Transfer!DC195,Transfer!DP195,Transfer!EC195)</f>
        <v>-9999</v>
      </c>
      <c r="AF195" s="1040">
        <f>CHOOSE(Tables!$U$2,Transfer!CD195,Transfer!CQ195,Transfer!DD195,Transfer!DQ195,Transfer!ED195)</f>
        <v>-9999</v>
      </c>
      <c r="AG195" s="1040">
        <f>CHOOSE(Tables!$U$2,Transfer!CE195,Transfer!CR195,Transfer!DE195,Transfer!DR195,Transfer!EE195)</f>
        <v>-9999</v>
      </c>
      <c r="AH195" s="1040">
        <f>CHOOSE(Tables!$U$2,Transfer!CF195,Transfer!CS195,Transfer!DF195,Transfer!DS195,Transfer!EF195)</f>
        <v>-9999</v>
      </c>
      <c r="AI195" s="1040">
        <f>CHOOSE(Tables!$U$2,Transfer!CG195,Transfer!CT195,Transfer!DG195,Transfer!DT195,Transfer!EG195)</f>
        <v>-9999</v>
      </c>
      <c r="AJ195" s="1040">
        <f>CHOOSE(Tables!$U$2,Transfer!CH195,Transfer!CU195,Transfer!DH195,Transfer!DU195,Transfer!EH195)</f>
        <v>-9999</v>
      </c>
      <c r="AK195" s="1040">
        <f>CHOOSE(Tables!$U$2,Transfer!CI195,Transfer!CV195,Transfer!DI195,Transfer!DV195,Transfer!EI195)</f>
        <v>-9999</v>
      </c>
      <c r="AL195" s="1040">
        <f>CHOOSE(Tables!$U$2,Transfer!CJ195,Transfer!CW195,Transfer!DJ195,Transfer!DW195,Transfer!EJ195)</f>
        <v>-9999</v>
      </c>
      <c r="AM195" s="1040">
        <f>CHOOSE(Tables!$U$2,Transfer!CK195,Transfer!CX195,Transfer!DK195,Transfer!DX195,Transfer!EK195)</f>
        <v>-9999</v>
      </c>
      <c r="AN195" s="1040">
        <f>CHOOSE(Tables!$U$2,Transfer!CL195,Transfer!CY195,Transfer!DL195,Transfer!DY195,Transfer!EL195)</f>
        <v>-9999</v>
      </c>
      <c r="AO195" s="1040">
        <f>CHOOSE(Tables!$U$2,Transfer!CM195,Transfer!CZ195,Transfer!DM195,Transfer!DZ195,Transfer!EM195)</f>
        <v>-9999</v>
      </c>
      <c r="AR195" s="22">
        <v>95</v>
      </c>
      <c r="AS195" s="1" t="s">
        <v>1442</v>
      </c>
      <c r="AT195" s="24">
        <f t="shared" ca="1" si="10"/>
        <v>10022.47364</v>
      </c>
      <c r="AU195" s="24">
        <f t="shared" ca="1" si="11"/>
        <v>10023.86334</v>
      </c>
      <c r="AV195" s="24">
        <f t="shared" ca="1" si="12"/>
        <v>10025.80039</v>
      </c>
      <c r="AW195" s="24">
        <f t="shared" ca="1" si="13"/>
        <v>10027.4596021449</v>
      </c>
      <c r="AX195" s="24">
        <f t="shared" ca="1" si="14"/>
        <v>10029.045541934027</v>
      </c>
      <c r="AY195" s="25">
        <f t="shared" si="15"/>
        <v>0</v>
      </c>
      <c r="AZ195" s="25">
        <f t="shared" si="16"/>
        <v>0</v>
      </c>
      <c r="BA195" s="25">
        <f t="shared" si="17"/>
        <v>0</v>
      </c>
      <c r="BB195" s="25">
        <f t="shared" si="18"/>
        <v>0</v>
      </c>
      <c r="BC195" s="25">
        <f t="shared" si="7"/>
        <v>0</v>
      </c>
      <c r="BD195" s="25">
        <f t="shared" si="7"/>
        <v>0</v>
      </c>
      <c r="BE195" s="25">
        <f t="shared" si="7"/>
        <v>0</v>
      </c>
      <c r="BF195" s="25">
        <f t="shared" si="7"/>
        <v>0</v>
      </c>
      <c r="CA195" s="16">
        <v>-9999</v>
      </c>
      <c r="CB195" s="16">
        <v>-9999</v>
      </c>
      <c r="CC195" s="16">
        <v>-9999</v>
      </c>
      <c r="CD195" s="16">
        <v>-9999</v>
      </c>
      <c r="CE195" s="16">
        <v>-9999</v>
      </c>
      <c r="CF195" s="16">
        <v>-9999</v>
      </c>
      <c r="CG195" s="16">
        <v>-9999</v>
      </c>
      <c r="CH195" s="16">
        <v>-9999</v>
      </c>
      <c r="CI195" s="16">
        <v>-9999</v>
      </c>
      <c r="CJ195" s="16">
        <v>-9999</v>
      </c>
      <c r="CK195" s="16">
        <v>-9999</v>
      </c>
      <c r="CL195" s="16">
        <v>-9999</v>
      </c>
      <c r="CM195" s="16">
        <v>-9999</v>
      </c>
      <c r="CN195" s="16">
        <v>-9999</v>
      </c>
      <c r="CO195" s="16">
        <v>-9999</v>
      </c>
      <c r="CP195" s="16">
        <v>-9999</v>
      </c>
      <c r="CQ195" s="16">
        <v>-9999</v>
      </c>
      <c r="CR195" s="16">
        <v>-9999</v>
      </c>
      <c r="CS195" s="16">
        <v>-9999</v>
      </c>
      <c r="CT195" s="16">
        <v>-9999</v>
      </c>
      <c r="CU195" s="16">
        <v>-9999</v>
      </c>
      <c r="CV195" s="16">
        <v>-9999</v>
      </c>
      <c r="CW195" s="16">
        <v>-9999</v>
      </c>
      <c r="CX195" s="16">
        <v>-9999</v>
      </c>
      <c r="CY195" s="16">
        <v>-9999</v>
      </c>
      <c r="CZ195" s="16">
        <v>-9999</v>
      </c>
      <c r="DA195" s="16">
        <v>-9999</v>
      </c>
      <c r="DB195" s="16">
        <v>-9999</v>
      </c>
      <c r="DC195" s="16">
        <v>-9999</v>
      </c>
      <c r="DD195" s="16">
        <v>-9999</v>
      </c>
      <c r="DE195" s="16">
        <v>-9999</v>
      </c>
      <c r="DF195" s="16">
        <v>-9999</v>
      </c>
      <c r="DG195" s="16">
        <v>-9999</v>
      </c>
      <c r="DH195" s="16">
        <v>-9999</v>
      </c>
      <c r="DI195" s="16">
        <v>-9999</v>
      </c>
      <c r="DJ195" s="16">
        <v>-9999</v>
      </c>
      <c r="DK195" s="16">
        <v>-9999</v>
      </c>
      <c r="DL195" s="16">
        <v>-9999</v>
      </c>
      <c r="DM195" s="16">
        <v>-9999</v>
      </c>
      <c r="DN195" s="16">
        <v>-9999</v>
      </c>
      <c r="DO195" s="16">
        <v>-9999</v>
      </c>
      <c r="DP195" s="16">
        <v>-9999</v>
      </c>
      <c r="DQ195" s="16">
        <v>-9999</v>
      </c>
      <c r="DR195" s="16">
        <v>-9999</v>
      </c>
      <c r="DS195" s="16">
        <v>-9999</v>
      </c>
      <c r="DT195" s="16">
        <v>-9999</v>
      </c>
      <c r="DU195" s="16">
        <v>-9999</v>
      </c>
      <c r="DV195" s="16">
        <v>-9999</v>
      </c>
      <c r="DW195" s="16">
        <v>-9999</v>
      </c>
      <c r="DX195" s="16">
        <v>-9999</v>
      </c>
      <c r="DY195" s="16">
        <v>-9999</v>
      </c>
      <c r="DZ195" s="16">
        <v>-9999</v>
      </c>
      <c r="EA195" s="2196">
        <v>-9999</v>
      </c>
      <c r="EB195" s="2196">
        <v>-9999</v>
      </c>
      <c r="EC195" s="2196">
        <v>-9999</v>
      </c>
      <c r="ED195" s="2196">
        <v>-9999</v>
      </c>
      <c r="EE195" s="2196">
        <v>-9999</v>
      </c>
      <c r="EF195" s="2197">
        <v>-9999</v>
      </c>
      <c r="EG195" s="2197">
        <v>-9999</v>
      </c>
      <c r="EH195" s="2197">
        <v>-9999</v>
      </c>
      <c r="EI195" s="2197">
        <v>-9999</v>
      </c>
      <c r="EJ195" s="2197">
        <v>-9999</v>
      </c>
      <c r="EK195" s="2197">
        <v>-9999</v>
      </c>
      <c r="EL195" s="2197">
        <v>-9999</v>
      </c>
      <c r="EM195" s="2197">
        <v>-9999</v>
      </c>
    </row>
    <row r="196" spans="1:143">
      <c r="A196" s="22">
        <v>96</v>
      </c>
      <c r="B196" s="1" t="s">
        <v>427</v>
      </c>
      <c r="C196">
        <f ca="1">OFFSET(Sector1!F720,0,Last_forecast_year - 3-InputY!$G$3)</f>
        <v>1.59246</v>
      </c>
      <c r="D196">
        <f ca="1">OFFSET(Sector1!G720,0,Last_forecast_year - 3-InputY!$G$3)</f>
        <v>1.73797</v>
      </c>
      <c r="E196">
        <f ca="1">OFFSET(Sector1!H720,0,Last_forecast_year - 3-InputY!$G$3)</f>
        <v>1.7989497999999999</v>
      </c>
      <c r="F196">
        <f ca="1">OFFSET(Sector1!I720,0,Last_forecast_year - 3-InputY!$G$3)</f>
        <v>1.8620638929999997</v>
      </c>
      <c r="G196">
        <f ca="1">OFFSET(Sector1!J720,0,Last_forecast_year - 3-InputY!$G$3)</f>
        <v>1.9273869792549996</v>
      </c>
      <c r="H196" s="25">
        <v>-9999</v>
      </c>
      <c r="I196" s="25">
        <v>-9999</v>
      </c>
      <c r="J196" s="25">
        <v>-9999</v>
      </c>
      <c r="K196" s="25">
        <v>-9999</v>
      </c>
      <c r="L196" s="25">
        <v>-9999</v>
      </c>
      <c r="M196" s="25">
        <v>-9999</v>
      </c>
      <c r="N196" s="25">
        <v>-9999</v>
      </c>
      <c r="O196" s="25">
        <v>-9999</v>
      </c>
      <c r="P196"/>
      <c r="Q196"/>
      <c r="AA196" s="22">
        <v>96</v>
      </c>
      <c r="AB196" s="1040" t="str">
        <f t="shared" si="8"/>
        <v>HH GROSS CAPITAL FORMATION</v>
      </c>
      <c r="AC196" s="1040">
        <f>CHOOSE(Tables!$U$2,Transfer!CA196,Transfer!CN196,Transfer!DA196,Transfer!DN196,Transfer!EA196)</f>
        <v>-9999</v>
      </c>
      <c r="AD196" s="1040">
        <f>CHOOSE(Tables!$U$2,Transfer!CB196,Transfer!CO196,Transfer!DB196,Transfer!DO196,Transfer!EB196)</f>
        <v>-9999</v>
      </c>
      <c r="AE196" s="1040">
        <f>CHOOSE(Tables!$U$2,Transfer!CC196,Transfer!CP196,Transfer!DC196,Transfer!DP196,Transfer!EC196)</f>
        <v>-9999</v>
      </c>
      <c r="AF196" s="1040">
        <f>CHOOSE(Tables!$U$2,Transfer!CD196,Transfer!CQ196,Transfer!DD196,Transfer!DQ196,Transfer!ED196)</f>
        <v>-9999</v>
      </c>
      <c r="AG196" s="1040">
        <f>CHOOSE(Tables!$U$2,Transfer!CE196,Transfer!CR196,Transfer!DE196,Transfer!DR196,Transfer!EE196)</f>
        <v>-9999</v>
      </c>
      <c r="AH196" s="1040">
        <f>CHOOSE(Tables!$U$2,Transfer!CF196,Transfer!CS196,Transfer!DF196,Transfer!DS196,Transfer!EF196)</f>
        <v>-9999</v>
      </c>
      <c r="AI196" s="1040">
        <f>CHOOSE(Tables!$U$2,Transfer!CG196,Transfer!CT196,Transfer!DG196,Transfer!DT196,Transfer!EG196)</f>
        <v>-9999</v>
      </c>
      <c r="AJ196" s="1040">
        <f>CHOOSE(Tables!$U$2,Transfer!CH196,Transfer!CU196,Transfer!DH196,Transfer!DU196,Transfer!EH196)</f>
        <v>-9999</v>
      </c>
      <c r="AK196" s="1040">
        <f>CHOOSE(Tables!$U$2,Transfer!CI196,Transfer!CV196,Transfer!DI196,Transfer!DV196,Transfer!EI196)</f>
        <v>-9999</v>
      </c>
      <c r="AL196" s="1040">
        <f>CHOOSE(Tables!$U$2,Transfer!CJ196,Transfer!CW196,Transfer!DJ196,Transfer!DW196,Transfer!EJ196)</f>
        <v>-9999</v>
      </c>
      <c r="AM196" s="1040">
        <f>CHOOSE(Tables!$U$2,Transfer!CK196,Transfer!CX196,Transfer!DK196,Transfer!DX196,Transfer!EK196)</f>
        <v>-9999</v>
      </c>
      <c r="AN196" s="1040">
        <f>CHOOSE(Tables!$U$2,Transfer!CL196,Transfer!CY196,Transfer!DL196,Transfer!DY196,Transfer!EL196)</f>
        <v>-9999</v>
      </c>
      <c r="AO196" s="1040">
        <f>CHOOSE(Tables!$U$2,Transfer!CM196,Transfer!CZ196,Transfer!DM196,Transfer!DZ196,Transfer!EM196)</f>
        <v>-9999</v>
      </c>
      <c r="AR196" s="22">
        <v>96</v>
      </c>
      <c r="AS196" s="1" t="s">
        <v>427</v>
      </c>
      <c r="AT196" s="24">
        <f t="shared" ca="1" si="10"/>
        <v>10000.59246</v>
      </c>
      <c r="AU196" s="24">
        <f t="shared" ca="1" si="11"/>
        <v>10000.73797</v>
      </c>
      <c r="AV196" s="24">
        <f t="shared" ca="1" si="12"/>
        <v>10000.798949800001</v>
      </c>
      <c r="AW196" s="24">
        <f t="shared" ca="1" si="13"/>
        <v>10000.862063893001</v>
      </c>
      <c r="AX196" s="24">
        <f t="shared" ca="1" si="14"/>
        <v>10000.927386979254</v>
      </c>
      <c r="AY196" s="25">
        <f t="shared" si="15"/>
        <v>0</v>
      </c>
      <c r="AZ196" s="25">
        <f t="shared" si="16"/>
        <v>0</v>
      </c>
      <c r="BA196" s="25">
        <f t="shared" si="17"/>
        <v>0</v>
      </c>
      <c r="BB196" s="25">
        <f t="shared" si="18"/>
        <v>0</v>
      </c>
      <c r="BC196" s="25">
        <f t="shared" si="7"/>
        <v>0</v>
      </c>
      <c r="BD196" s="25">
        <f t="shared" si="7"/>
        <v>0</v>
      </c>
      <c r="BE196" s="25">
        <f t="shared" si="7"/>
        <v>0</v>
      </c>
      <c r="BF196" s="25">
        <f t="shared" si="7"/>
        <v>0</v>
      </c>
      <c r="CA196" s="16">
        <v>-9999</v>
      </c>
      <c r="CB196" s="16">
        <v>-9999</v>
      </c>
      <c r="CC196" s="16">
        <v>-9999</v>
      </c>
      <c r="CD196" s="16">
        <v>-9999</v>
      </c>
      <c r="CE196" s="16">
        <v>-9999</v>
      </c>
      <c r="CF196" s="16">
        <v>-9999</v>
      </c>
      <c r="CG196" s="16">
        <v>-9999</v>
      </c>
      <c r="CH196" s="16">
        <v>-9999</v>
      </c>
      <c r="CI196" s="16">
        <v>-9999</v>
      </c>
      <c r="CJ196" s="16">
        <v>-9999</v>
      </c>
      <c r="CK196" s="16">
        <v>-9999</v>
      </c>
      <c r="CL196" s="16">
        <v>-9999</v>
      </c>
      <c r="CM196" s="16">
        <v>-9999</v>
      </c>
      <c r="CN196" s="16">
        <v>-9999</v>
      </c>
      <c r="CO196" s="16">
        <v>-9999</v>
      </c>
      <c r="CP196" s="16">
        <v>-9999</v>
      </c>
      <c r="CQ196" s="16">
        <v>-9999</v>
      </c>
      <c r="CR196" s="16">
        <v>-9999</v>
      </c>
      <c r="CS196" s="16">
        <v>-9999</v>
      </c>
      <c r="CT196" s="16">
        <v>-9999</v>
      </c>
      <c r="CU196" s="16">
        <v>-9999</v>
      </c>
      <c r="CV196" s="16">
        <v>-9999</v>
      </c>
      <c r="CW196" s="16">
        <v>-9999</v>
      </c>
      <c r="CX196" s="16">
        <v>-9999</v>
      </c>
      <c r="CY196" s="16">
        <v>-9999</v>
      </c>
      <c r="CZ196" s="16">
        <v>-9999</v>
      </c>
      <c r="DA196" s="16">
        <v>-9999</v>
      </c>
      <c r="DB196" s="16">
        <v>-9999</v>
      </c>
      <c r="DC196" s="16">
        <v>-9999</v>
      </c>
      <c r="DD196" s="16">
        <v>-9999</v>
      </c>
      <c r="DE196" s="16">
        <v>-9999</v>
      </c>
      <c r="DF196" s="16">
        <v>-9999</v>
      </c>
      <c r="DG196" s="16">
        <v>-9999</v>
      </c>
      <c r="DH196" s="16">
        <v>-9999</v>
      </c>
      <c r="DI196" s="16">
        <v>-9999</v>
      </c>
      <c r="DJ196" s="16">
        <v>-9999</v>
      </c>
      <c r="DK196" s="16">
        <v>-9999</v>
      </c>
      <c r="DL196" s="16">
        <v>-9999</v>
      </c>
      <c r="DM196" s="16">
        <v>-9999</v>
      </c>
      <c r="DN196" s="16">
        <v>-9999</v>
      </c>
      <c r="DO196" s="16">
        <v>-9999</v>
      </c>
      <c r="DP196" s="16">
        <v>-9999</v>
      </c>
      <c r="DQ196" s="16">
        <v>-9999</v>
      </c>
      <c r="DR196" s="16">
        <v>-9999</v>
      </c>
      <c r="DS196" s="16">
        <v>-9999</v>
      </c>
      <c r="DT196" s="16">
        <v>-9999</v>
      </c>
      <c r="DU196" s="16">
        <v>-9999</v>
      </c>
      <c r="DV196" s="16">
        <v>-9999</v>
      </c>
      <c r="DW196" s="16">
        <v>-9999</v>
      </c>
      <c r="DX196" s="16">
        <v>-9999</v>
      </c>
      <c r="DY196" s="16">
        <v>-9999</v>
      </c>
      <c r="DZ196" s="16">
        <v>-9999</v>
      </c>
      <c r="EA196" s="2196">
        <v>-9999</v>
      </c>
      <c r="EB196" s="2196">
        <v>-9999</v>
      </c>
      <c r="EC196" s="2196">
        <v>-9999</v>
      </c>
      <c r="ED196" s="2196">
        <v>-9999</v>
      </c>
      <c r="EE196" s="2196">
        <v>-9999</v>
      </c>
      <c r="EF196" s="2197">
        <v>-9999</v>
      </c>
      <c r="EG196" s="2197">
        <v>-9999</v>
      </c>
      <c r="EH196" s="2197">
        <v>-9999</v>
      </c>
      <c r="EI196" s="2197">
        <v>-9999</v>
      </c>
      <c r="EJ196" s="2197">
        <v>-9999</v>
      </c>
      <c r="EK196" s="2197">
        <v>-9999</v>
      </c>
      <c r="EL196" s="2197">
        <v>-9999</v>
      </c>
      <c r="EM196" s="2197">
        <v>-9999</v>
      </c>
    </row>
    <row r="197" spans="1:143">
      <c r="A197" s="22">
        <v>97</v>
      </c>
      <c r="B197" s="1" t="s">
        <v>429</v>
      </c>
      <c r="C197">
        <f ca="1">OFFSET(Sector1!F725,0,Last_forecast_year - 3-InputY!$G$3)</f>
        <v>-0.15492</v>
      </c>
      <c r="D197">
        <f ca="1">OFFSET(Sector1!G725,0,Last_forecast_year - 3-InputY!$G$3)</f>
        <v>-0.13267000000000001</v>
      </c>
      <c r="E197">
        <f ca="1">OFFSET(Sector1!H725,0,Last_forecast_year - 3-InputY!$G$3)</f>
        <v>-0.12881580000000001</v>
      </c>
      <c r="F197">
        <f ca="1">OFFSET(Sector1!I725,0,Last_forecast_year - 3-InputY!$G$3)</f>
        <v>-0.125231394</v>
      </c>
      <c r="G197">
        <f ca="1">OFFSET(Sector1!J725,0,Last_forecast_year - 3-InputY!$G$3)</f>
        <v>-0.12189789641999998</v>
      </c>
      <c r="H197" s="25">
        <v>-9999</v>
      </c>
      <c r="I197" s="25">
        <v>-9999</v>
      </c>
      <c r="J197" s="25">
        <v>-9999</v>
      </c>
      <c r="K197" s="25">
        <v>-9999</v>
      </c>
      <c r="L197" s="25">
        <v>-9999</v>
      </c>
      <c r="M197" s="25">
        <v>-9999</v>
      </c>
      <c r="N197" s="25">
        <v>-9999</v>
      </c>
      <c r="O197" s="25">
        <v>-9999</v>
      </c>
      <c r="P197"/>
      <c r="Q197"/>
      <c r="AA197" s="22">
        <v>97</v>
      </c>
      <c r="AB197" s="1040" t="str">
        <f t="shared" si="8"/>
        <v>HH OTHER CAPITAL EXPENDITURE (PAID-REC.)</v>
      </c>
      <c r="AC197" s="1040">
        <f>CHOOSE(Tables!$U$2,Transfer!CA197,Transfer!CN197,Transfer!DA197,Transfer!DN197,Transfer!EA197)</f>
        <v>-9999</v>
      </c>
      <c r="AD197" s="1040">
        <f>CHOOSE(Tables!$U$2,Transfer!CB197,Transfer!CO197,Transfer!DB197,Transfer!DO197,Transfer!EB197)</f>
        <v>-9999</v>
      </c>
      <c r="AE197" s="1040">
        <f>CHOOSE(Tables!$U$2,Transfer!CC197,Transfer!CP197,Transfer!DC197,Transfer!DP197,Transfer!EC197)</f>
        <v>-9999</v>
      </c>
      <c r="AF197" s="1040">
        <f>CHOOSE(Tables!$U$2,Transfer!CD197,Transfer!CQ197,Transfer!DD197,Transfer!DQ197,Transfer!ED197)</f>
        <v>-9999</v>
      </c>
      <c r="AG197" s="1040">
        <f>CHOOSE(Tables!$U$2,Transfer!CE197,Transfer!CR197,Transfer!DE197,Transfer!DR197,Transfer!EE197)</f>
        <v>-9999</v>
      </c>
      <c r="AH197" s="1040">
        <f>CHOOSE(Tables!$U$2,Transfer!CF197,Transfer!CS197,Transfer!DF197,Transfer!DS197,Transfer!EF197)</f>
        <v>-9999</v>
      </c>
      <c r="AI197" s="1040">
        <f>CHOOSE(Tables!$U$2,Transfer!CG197,Transfer!CT197,Transfer!DG197,Transfer!DT197,Transfer!EG197)</f>
        <v>-9999</v>
      </c>
      <c r="AJ197" s="1040">
        <f>CHOOSE(Tables!$U$2,Transfer!CH197,Transfer!CU197,Transfer!DH197,Transfer!DU197,Transfer!EH197)</f>
        <v>-9999</v>
      </c>
      <c r="AK197" s="1040">
        <f>CHOOSE(Tables!$U$2,Transfer!CI197,Transfer!CV197,Transfer!DI197,Transfer!DV197,Transfer!EI197)</f>
        <v>-9999</v>
      </c>
      <c r="AL197" s="1040">
        <f>CHOOSE(Tables!$U$2,Transfer!CJ197,Transfer!CW197,Transfer!DJ197,Transfer!DW197,Transfer!EJ197)</f>
        <v>-9999</v>
      </c>
      <c r="AM197" s="1040">
        <f>CHOOSE(Tables!$U$2,Transfer!CK197,Transfer!CX197,Transfer!DK197,Transfer!DX197,Transfer!EK197)</f>
        <v>-9999</v>
      </c>
      <c r="AN197" s="1040">
        <f>CHOOSE(Tables!$U$2,Transfer!CL197,Transfer!CY197,Transfer!DL197,Transfer!DY197,Transfer!EL197)</f>
        <v>-9999</v>
      </c>
      <c r="AO197" s="1040">
        <f>CHOOSE(Tables!$U$2,Transfer!CM197,Transfer!CZ197,Transfer!DM197,Transfer!DZ197,Transfer!EM197)</f>
        <v>-9999</v>
      </c>
      <c r="AR197" s="22">
        <v>97</v>
      </c>
      <c r="AS197" s="1" t="s">
        <v>429</v>
      </c>
      <c r="AT197" s="24">
        <f t="shared" ca="1" si="10"/>
        <v>9998.8450799999991</v>
      </c>
      <c r="AU197" s="24">
        <f t="shared" ca="1" si="11"/>
        <v>9998.8673299999991</v>
      </c>
      <c r="AV197" s="24">
        <f t="shared" ca="1" si="12"/>
        <v>9998.8711841999993</v>
      </c>
      <c r="AW197" s="24">
        <f t="shared" ca="1" si="13"/>
        <v>9998.8747686059996</v>
      </c>
      <c r="AX197" s="24">
        <f t="shared" ca="1" si="14"/>
        <v>9998.8781021035793</v>
      </c>
      <c r="AY197" s="25">
        <f t="shared" si="15"/>
        <v>0</v>
      </c>
      <c r="AZ197" s="25">
        <f t="shared" si="16"/>
        <v>0</v>
      </c>
      <c r="BA197" s="25">
        <f t="shared" si="17"/>
        <v>0</v>
      </c>
      <c r="BB197" s="25">
        <f t="shared" si="18"/>
        <v>0</v>
      </c>
      <c r="BC197" s="25">
        <f t="shared" si="7"/>
        <v>0</v>
      </c>
      <c r="BD197" s="25">
        <f t="shared" si="7"/>
        <v>0</v>
      </c>
      <c r="BE197" s="25">
        <f t="shared" si="7"/>
        <v>0</v>
      </c>
      <c r="BF197" s="25">
        <f t="shared" si="7"/>
        <v>0</v>
      </c>
      <c r="CA197" s="16">
        <v>-9999</v>
      </c>
      <c r="CB197" s="16">
        <v>-9999</v>
      </c>
      <c r="CC197" s="16">
        <v>-9999</v>
      </c>
      <c r="CD197" s="16">
        <v>-9999</v>
      </c>
      <c r="CE197" s="16">
        <v>-9999</v>
      </c>
      <c r="CF197" s="16">
        <v>-9999</v>
      </c>
      <c r="CG197" s="16">
        <v>-9999</v>
      </c>
      <c r="CH197" s="16">
        <v>-9999</v>
      </c>
      <c r="CI197" s="16">
        <v>-9999</v>
      </c>
      <c r="CJ197" s="16">
        <v>-9999</v>
      </c>
      <c r="CK197" s="16">
        <v>-9999</v>
      </c>
      <c r="CL197" s="16">
        <v>-9999</v>
      </c>
      <c r="CM197" s="16">
        <v>-9999</v>
      </c>
      <c r="CN197" s="16">
        <v>-9999</v>
      </c>
      <c r="CO197" s="16">
        <v>-9999</v>
      </c>
      <c r="CP197" s="16">
        <v>-9999</v>
      </c>
      <c r="CQ197" s="16">
        <v>-9999</v>
      </c>
      <c r="CR197" s="16">
        <v>-9999</v>
      </c>
      <c r="CS197" s="16">
        <v>-9999</v>
      </c>
      <c r="CT197" s="16">
        <v>-9999</v>
      </c>
      <c r="CU197" s="16">
        <v>-9999</v>
      </c>
      <c r="CV197" s="16">
        <v>-9999</v>
      </c>
      <c r="CW197" s="16">
        <v>-9999</v>
      </c>
      <c r="CX197" s="16">
        <v>-9999</v>
      </c>
      <c r="CY197" s="16">
        <v>-9999</v>
      </c>
      <c r="CZ197" s="16">
        <v>-9999</v>
      </c>
      <c r="DA197" s="16">
        <v>-9999</v>
      </c>
      <c r="DB197" s="16">
        <v>-9999</v>
      </c>
      <c r="DC197" s="16">
        <v>-9999</v>
      </c>
      <c r="DD197" s="16">
        <v>-9999</v>
      </c>
      <c r="DE197" s="16">
        <v>-9999</v>
      </c>
      <c r="DF197" s="16">
        <v>-9999</v>
      </c>
      <c r="DG197" s="16">
        <v>-9999</v>
      </c>
      <c r="DH197" s="16">
        <v>-9999</v>
      </c>
      <c r="DI197" s="16">
        <v>-9999</v>
      </c>
      <c r="DJ197" s="16">
        <v>-9999</v>
      </c>
      <c r="DK197" s="16">
        <v>-9999</v>
      </c>
      <c r="DL197" s="16">
        <v>-9999</v>
      </c>
      <c r="DM197" s="16">
        <v>-9999</v>
      </c>
      <c r="DN197" s="16">
        <v>-9999</v>
      </c>
      <c r="DO197" s="16">
        <v>-9999</v>
      </c>
      <c r="DP197" s="16">
        <v>-9999</v>
      </c>
      <c r="DQ197" s="16">
        <v>-9999</v>
      </c>
      <c r="DR197" s="16">
        <v>-9999</v>
      </c>
      <c r="DS197" s="16">
        <v>-9999</v>
      </c>
      <c r="DT197" s="16">
        <v>-9999</v>
      </c>
      <c r="DU197" s="16">
        <v>-9999</v>
      </c>
      <c r="DV197" s="16">
        <v>-9999</v>
      </c>
      <c r="DW197" s="16">
        <v>-9999</v>
      </c>
      <c r="DX197" s="16">
        <v>-9999</v>
      </c>
      <c r="DY197" s="16">
        <v>-9999</v>
      </c>
      <c r="DZ197" s="16">
        <v>-9999</v>
      </c>
      <c r="EA197" s="2196">
        <v>-9999</v>
      </c>
      <c r="EB197" s="2196">
        <v>-9999</v>
      </c>
      <c r="EC197" s="2196">
        <v>-9999</v>
      </c>
      <c r="ED197" s="2196">
        <v>-9999</v>
      </c>
      <c r="EE197" s="2196">
        <v>-9999</v>
      </c>
      <c r="EF197" s="2197">
        <v>-9999</v>
      </c>
      <c r="EG197" s="2197">
        <v>-9999</v>
      </c>
      <c r="EH197" s="2197">
        <v>-9999</v>
      </c>
      <c r="EI197" s="2197">
        <v>-9999</v>
      </c>
      <c r="EJ197" s="2197">
        <v>-9999</v>
      </c>
      <c r="EK197" s="2197">
        <v>-9999</v>
      </c>
      <c r="EL197" s="2197">
        <v>-9999</v>
      </c>
      <c r="EM197" s="2197">
        <v>-9999</v>
      </c>
    </row>
    <row r="198" spans="1:143">
      <c r="A198" s="22">
        <v>98</v>
      </c>
      <c r="B198" s="30" t="s">
        <v>1705</v>
      </c>
      <c r="C198" s="3088">
        <v>-9999</v>
      </c>
      <c r="D198" s="3088">
        <v>-9999</v>
      </c>
      <c r="E198" s="3088">
        <v>-9999</v>
      </c>
      <c r="F198" s="3088">
        <v>-9999</v>
      </c>
      <c r="G198" s="3088">
        <v>-9999</v>
      </c>
      <c r="H198" s="25">
        <v>-9999</v>
      </c>
      <c r="I198" s="25">
        <v>-9999</v>
      </c>
      <c r="J198" s="25">
        <v>-9999</v>
      </c>
      <c r="K198" s="25">
        <v>-9999</v>
      </c>
      <c r="L198" s="25">
        <v>-9999</v>
      </c>
      <c r="M198" s="25">
        <v>-9999</v>
      </c>
      <c r="N198" s="25">
        <v>-9999</v>
      </c>
      <c r="O198" s="25">
        <v>-9999</v>
      </c>
      <c r="P198"/>
      <c r="Q198"/>
      <c r="AA198" s="22">
        <v>98</v>
      </c>
      <c r="AB198" s="1040" t="str">
        <f t="shared" si="8"/>
        <v>FOR FUTURE USE</v>
      </c>
      <c r="AC198" s="1040">
        <f>CHOOSE(Tables!$U$2,Transfer!CA198,Transfer!CN198,Transfer!DA198,Transfer!DN198,Transfer!EA198)</f>
        <v>-9999</v>
      </c>
      <c r="AD198" s="1040">
        <f>CHOOSE(Tables!$U$2,Transfer!CB198,Transfer!CO198,Transfer!DB198,Transfer!DO198,Transfer!EB198)</f>
        <v>-9999</v>
      </c>
      <c r="AE198" s="1040">
        <f>CHOOSE(Tables!$U$2,Transfer!CC198,Transfer!CP198,Transfer!DC198,Transfer!DP198,Transfer!EC198)</f>
        <v>-9999</v>
      </c>
      <c r="AF198" s="1040">
        <f>CHOOSE(Tables!$U$2,Transfer!CD198,Transfer!CQ198,Transfer!DD198,Transfer!DQ198,Transfer!ED198)</f>
        <v>-9999</v>
      </c>
      <c r="AG198" s="1040">
        <f>CHOOSE(Tables!$U$2,Transfer!CE198,Transfer!CR198,Transfer!DE198,Transfer!DR198,Transfer!EE198)</f>
        <v>-9999</v>
      </c>
      <c r="AH198" s="1040">
        <f>CHOOSE(Tables!$U$2,Transfer!CF198,Transfer!CS198,Transfer!DF198,Transfer!DS198,Transfer!EF198)</f>
        <v>-9999</v>
      </c>
      <c r="AI198" s="1040">
        <f>CHOOSE(Tables!$U$2,Transfer!CG198,Transfer!CT198,Transfer!DG198,Transfer!DT198,Transfer!EG198)</f>
        <v>-9999</v>
      </c>
      <c r="AJ198" s="1040">
        <f>CHOOSE(Tables!$U$2,Transfer!CH198,Transfer!CU198,Transfer!DH198,Transfer!DU198,Transfer!EH198)</f>
        <v>-9999</v>
      </c>
      <c r="AK198" s="1040">
        <f>CHOOSE(Tables!$U$2,Transfer!CI198,Transfer!CV198,Transfer!DI198,Transfer!DV198,Transfer!EI198)</f>
        <v>-9999</v>
      </c>
      <c r="AL198" s="1040">
        <f>CHOOSE(Tables!$U$2,Transfer!CJ198,Transfer!CW198,Transfer!DJ198,Transfer!DW198,Transfer!EJ198)</f>
        <v>-9999</v>
      </c>
      <c r="AM198" s="1040">
        <f>CHOOSE(Tables!$U$2,Transfer!CK198,Transfer!CX198,Transfer!DK198,Transfer!DX198,Transfer!EK198)</f>
        <v>-9999</v>
      </c>
      <c r="AN198" s="1040">
        <f>CHOOSE(Tables!$U$2,Transfer!CL198,Transfer!CY198,Transfer!DL198,Transfer!DY198,Transfer!EL198)</f>
        <v>-9999</v>
      </c>
      <c r="AO198" s="1040">
        <f>CHOOSE(Tables!$U$2,Transfer!CM198,Transfer!CZ198,Transfer!DM198,Transfer!DZ198,Transfer!EM198)</f>
        <v>-9999</v>
      </c>
      <c r="AR198" s="22">
        <v>98</v>
      </c>
      <c r="AS198" s="30" t="s">
        <v>1705</v>
      </c>
      <c r="AT198" s="25">
        <f t="shared" si="10"/>
        <v>0</v>
      </c>
      <c r="AU198" s="25">
        <f t="shared" si="11"/>
        <v>0</v>
      </c>
      <c r="AV198" s="25">
        <f t="shared" si="12"/>
        <v>0</v>
      </c>
      <c r="AW198" s="25">
        <f t="shared" si="13"/>
        <v>0</v>
      </c>
      <c r="AX198" s="25">
        <f t="shared" si="14"/>
        <v>0</v>
      </c>
      <c r="AY198" s="25">
        <f t="shared" ref="AY198:AY210" si="19">H198-AH198</f>
        <v>0</v>
      </c>
      <c r="AZ198" s="25">
        <f t="shared" si="16"/>
        <v>0</v>
      </c>
      <c r="BA198" s="25">
        <f t="shared" si="17"/>
        <v>0</v>
      </c>
      <c r="BB198" s="25">
        <f t="shared" si="18"/>
        <v>0</v>
      </c>
      <c r="BC198" s="25">
        <f t="shared" si="7"/>
        <v>0</v>
      </c>
      <c r="BD198" s="25">
        <f t="shared" si="7"/>
        <v>0</v>
      </c>
      <c r="BE198" s="25">
        <f t="shared" si="7"/>
        <v>0</v>
      </c>
      <c r="BF198" s="25">
        <f t="shared" si="7"/>
        <v>0</v>
      </c>
      <c r="CA198" s="16">
        <v>-9999</v>
      </c>
      <c r="CB198" s="16">
        <v>-9999</v>
      </c>
      <c r="CC198" s="16">
        <v>-9999</v>
      </c>
      <c r="CD198" s="16">
        <v>-9999</v>
      </c>
      <c r="CE198" s="16">
        <v>-9999</v>
      </c>
      <c r="CF198" s="16">
        <v>-9999</v>
      </c>
      <c r="CG198" s="16">
        <v>-9999</v>
      </c>
      <c r="CH198" s="16">
        <v>-9999</v>
      </c>
      <c r="CI198" s="16">
        <v>-9999</v>
      </c>
      <c r="CJ198" s="16">
        <v>-9999</v>
      </c>
      <c r="CK198" s="16">
        <v>-9999</v>
      </c>
      <c r="CL198" s="16">
        <v>-9999</v>
      </c>
      <c r="CM198" s="16">
        <v>-9999</v>
      </c>
      <c r="CN198" s="16">
        <v>-9999</v>
      </c>
      <c r="CO198" s="16">
        <v>-9999</v>
      </c>
      <c r="CP198" s="16">
        <v>-9999</v>
      </c>
      <c r="CQ198" s="16">
        <v>-9999</v>
      </c>
      <c r="CR198" s="16">
        <v>-9999</v>
      </c>
      <c r="CS198" s="16">
        <v>-9999</v>
      </c>
      <c r="CT198" s="16">
        <v>-9999</v>
      </c>
      <c r="CU198" s="16">
        <v>-9999</v>
      </c>
      <c r="CV198" s="16">
        <v>-9999</v>
      </c>
      <c r="CW198" s="16">
        <v>-9999</v>
      </c>
      <c r="CX198" s="16">
        <v>-9999</v>
      </c>
      <c r="CY198" s="16">
        <v>-9999</v>
      </c>
      <c r="CZ198" s="16">
        <v>-9999</v>
      </c>
      <c r="DA198" s="16">
        <v>-9999</v>
      </c>
      <c r="DB198" s="16">
        <v>-9999</v>
      </c>
      <c r="DC198" s="16">
        <v>-9999</v>
      </c>
      <c r="DD198" s="16">
        <v>-9999</v>
      </c>
      <c r="DE198" s="16">
        <v>-9999</v>
      </c>
      <c r="DF198" s="16">
        <v>-9999</v>
      </c>
      <c r="DG198" s="16">
        <v>-9999</v>
      </c>
      <c r="DH198" s="16">
        <v>-9999</v>
      </c>
      <c r="DI198" s="16">
        <v>-9999</v>
      </c>
      <c r="DJ198" s="16">
        <v>-9999</v>
      </c>
      <c r="DK198" s="16">
        <v>-9999</v>
      </c>
      <c r="DL198" s="16">
        <v>-9999</v>
      </c>
      <c r="DM198" s="16">
        <v>-9999</v>
      </c>
      <c r="DN198" s="16">
        <v>-9999</v>
      </c>
      <c r="DO198" s="16">
        <v>-9999</v>
      </c>
      <c r="DP198" s="16">
        <v>-9999</v>
      </c>
      <c r="DQ198" s="16">
        <v>-9999</v>
      </c>
      <c r="DR198" s="16">
        <v>-9999</v>
      </c>
      <c r="DS198" s="16">
        <v>-9999</v>
      </c>
      <c r="DT198" s="16">
        <v>-9999</v>
      </c>
      <c r="DU198" s="16">
        <v>-9999</v>
      </c>
      <c r="DV198" s="16">
        <v>-9999</v>
      </c>
      <c r="DW198" s="16">
        <v>-9999</v>
      </c>
      <c r="DX198" s="16">
        <v>-9999</v>
      </c>
      <c r="DY198" s="16">
        <v>-9999</v>
      </c>
      <c r="DZ198" s="16">
        <v>-9999</v>
      </c>
      <c r="EA198" s="2197">
        <v>-9999</v>
      </c>
      <c r="EB198" s="2197">
        <v>-9999</v>
      </c>
      <c r="EC198" s="2197">
        <v>-9999</v>
      </c>
      <c r="ED198" s="2197">
        <v>-9999</v>
      </c>
      <c r="EE198" s="2197">
        <v>-9999</v>
      </c>
      <c r="EF198" s="2197">
        <v>-9999</v>
      </c>
      <c r="EG198" s="2197">
        <v>-9999</v>
      </c>
      <c r="EH198" s="2197">
        <v>-9999</v>
      </c>
      <c r="EI198" s="2197">
        <v>-9999</v>
      </c>
      <c r="EJ198" s="2197">
        <v>-9999</v>
      </c>
      <c r="EK198" s="2197">
        <v>-9999</v>
      </c>
      <c r="EL198" s="2197">
        <v>-9999</v>
      </c>
      <c r="EM198" s="2197">
        <v>-9999</v>
      </c>
    </row>
    <row r="199" spans="1:143">
      <c r="A199" s="22">
        <v>99</v>
      </c>
      <c r="B199" s="30" t="s">
        <v>1705</v>
      </c>
      <c r="C199" s="3088">
        <v>-9999</v>
      </c>
      <c r="D199" s="3088">
        <v>-9999</v>
      </c>
      <c r="E199" s="3088">
        <v>-9999</v>
      </c>
      <c r="F199" s="3088">
        <v>-9999</v>
      </c>
      <c r="G199" s="3088">
        <v>-9999</v>
      </c>
      <c r="H199" s="25">
        <v>-9999</v>
      </c>
      <c r="I199" s="25">
        <v>-9999</v>
      </c>
      <c r="J199" s="25">
        <v>-9999</v>
      </c>
      <c r="K199" s="25">
        <v>-9999</v>
      </c>
      <c r="L199" s="25">
        <v>-9999</v>
      </c>
      <c r="M199" s="25">
        <v>-9999</v>
      </c>
      <c r="N199" s="25">
        <v>-9999</v>
      </c>
      <c r="O199" s="25">
        <v>-9999</v>
      </c>
      <c r="P199"/>
      <c r="Q199"/>
      <c r="AA199" s="22">
        <v>99</v>
      </c>
      <c r="AB199" s="1040" t="str">
        <f t="shared" si="8"/>
        <v>FOR FUTURE USE</v>
      </c>
      <c r="AC199" s="1040">
        <f>CHOOSE(Tables!$U$2,Transfer!CA199,Transfer!CN199,Transfer!DA199,Transfer!DN199,Transfer!EA199)</f>
        <v>-9999</v>
      </c>
      <c r="AD199" s="1040">
        <f>CHOOSE(Tables!$U$2,Transfer!CB199,Transfer!CO199,Transfer!DB199,Transfer!DO199,Transfer!EB199)</f>
        <v>-9999</v>
      </c>
      <c r="AE199" s="1040">
        <f>CHOOSE(Tables!$U$2,Transfer!CC199,Transfer!CP199,Transfer!DC199,Transfer!DP199,Transfer!EC199)</f>
        <v>-9999</v>
      </c>
      <c r="AF199" s="1040">
        <f>CHOOSE(Tables!$U$2,Transfer!CD199,Transfer!CQ199,Transfer!DD199,Transfer!DQ199,Transfer!ED199)</f>
        <v>-9999</v>
      </c>
      <c r="AG199" s="1040">
        <f>CHOOSE(Tables!$U$2,Transfer!CE199,Transfer!CR199,Transfer!DE199,Transfer!DR199,Transfer!EE199)</f>
        <v>-9999</v>
      </c>
      <c r="AH199" s="1040">
        <f>CHOOSE(Tables!$U$2,Transfer!CF199,Transfer!CS199,Transfer!DF199,Transfer!DS199,Transfer!EF199)</f>
        <v>-9999</v>
      </c>
      <c r="AI199" s="1040">
        <f>CHOOSE(Tables!$U$2,Transfer!CG199,Transfer!CT199,Transfer!DG199,Transfer!DT199,Transfer!EG199)</f>
        <v>-9999</v>
      </c>
      <c r="AJ199" s="1040">
        <f>CHOOSE(Tables!$U$2,Transfer!CH199,Transfer!CU199,Transfer!DH199,Transfer!DU199,Transfer!EH199)</f>
        <v>-9999</v>
      </c>
      <c r="AK199" s="1040">
        <f>CHOOSE(Tables!$U$2,Transfer!CI199,Transfer!CV199,Transfer!DI199,Transfer!DV199,Transfer!EI199)</f>
        <v>-9999</v>
      </c>
      <c r="AL199" s="1040">
        <f>CHOOSE(Tables!$U$2,Transfer!CJ199,Transfer!CW199,Transfer!DJ199,Transfer!DW199,Transfer!EJ199)</f>
        <v>-9999</v>
      </c>
      <c r="AM199" s="1040">
        <f>CHOOSE(Tables!$U$2,Transfer!CK199,Transfer!CX199,Transfer!DK199,Transfer!DX199,Transfer!EK199)</f>
        <v>-9999</v>
      </c>
      <c r="AN199" s="1040">
        <f>CHOOSE(Tables!$U$2,Transfer!CL199,Transfer!CY199,Transfer!DL199,Transfer!DY199,Transfer!EL199)</f>
        <v>-9999</v>
      </c>
      <c r="AO199" s="1040">
        <f>CHOOSE(Tables!$U$2,Transfer!CM199,Transfer!CZ199,Transfer!DM199,Transfer!DZ199,Transfer!EM199)</f>
        <v>-9999</v>
      </c>
      <c r="AR199" s="22">
        <v>99</v>
      </c>
      <c r="AS199" s="30" t="s">
        <v>1705</v>
      </c>
      <c r="AT199" s="25">
        <f t="shared" si="10"/>
        <v>0</v>
      </c>
      <c r="AU199" s="25">
        <f t="shared" si="11"/>
        <v>0</v>
      </c>
      <c r="AV199" s="25">
        <f t="shared" si="12"/>
        <v>0</v>
      </c>
      <c r="AW199" s="25">
        <f t="shared" si="13"/>
        <v>0</v>
      </c>
      <c r="AX199" s="25">
        <f t="shared" si="14"/>
        <v>0</v>
      </c>
      <c r="AY199" s="25">
        <f t="shared" si="19"/>
        <v>0</v>
      </c>
      <c r="AZ199" s="25">
        <f t="shared" si="16"/>
        <v>0</v>
      </c>
      <c r="BA199" s="25">
        <f t="shared" si="17"/>
        <v>0</v>
      </c>
      <c r="BB199" s="25">
        <f t="shared" si="18"/>
        <v>0</v>
      </c>
      <c r="BC199" s="25">
        <f t="shared" si="7"/>
        <v>0</v>
      </c>
      <c r="BD199" s="25">
        <f t="shared" si="7"/>
        <v>0</v>
      </c>
      <c r="BE199" s="25">
        <f t="shared" si="7"/>
        <v>0</v>
      </c>
      <c r="BF199" s="25">
        <f t="shared" si="7"/>
        <v>0</v>
      </c>
      <c r="CA199" s="16">
        <v>-9999</v>
      </c>
      <c r="CB199" s="16">
        <v>-9999</v>
      </c>
      <c r="CC199" s="16">
        <v>-9999</v>
      </c>
      <c r="CD199" s="16">
        <v>-9999</v>
      </c>
      <c r="CE199" s="16">
        <v>-9999</v>
      </c>
      <c r="CF199" s="16">
        <v>-9999</v>
      </c>
      <c r="CG199" s="16">
        <v>-9999</v>
      </c>
      <c r="CH199" s="16">
        <v>-9999</v>
      </c>
      <c r="CI199" s="16">
        <v>-9999</v>
      </c>
      <c r="CJ199" s="16">
        <v>-9999</v>
      </c>
      <c r="CK199" s="16">
        <v>-9999</v>
      </c>
      <c r="CL199" s="16">
        <v>-9999</v>
      </c>
      <c r="CM199" s="16">
        <v>-9999</v>
      </c>
      <c r="CN199" s="16">
        <v>-9999</v>
      </c>
      <c r="CO199" s="16">
        <v>-9999</v>
      </c>
      <c r="CP199" s="16">
        <v>-9999</v>
      </c>
      <c r="CQ199" s="16">
        <v>-9999</v>
      </c>
      <c r="CR199" s="16">
        <v>-9999</v>
      </c>
      <c r="CS199" s="16">
        <v>-9999</v>
      </c>
      <c r="CT199" s="16">
        <v>-9999</v>
      </c>
      <c r="CU199" s="16">
        <v>-9999</v>
      </c>
      <c r="CV199" s="16">
        <v>-9999</v>
      </c>
      <c r="CW199" s="16">
        <v>-9999</v>
      </c>
      <c r="CX199" s="16">
        <v>-9999</v>
      </c>
      <c r="CY199" s="16">
        <v>-9999</v>
      </c>
      <c r="CZ199" s="16">
        <v>-9999</v>
      </c>
      <c r="DA199" s="16">
        <v>-9999</v>
      </c>
      <c r="DB199" s="16">
        <v>-9999</v>
      </c>
      <c r="DC199" s="16">
        <v>-9999</v>
      </c>
      <c r="DD199" s="16">
        <v>-9999</v>
      </c>
      <c r="DE199" s="16">
        <v>-9999</v>
      </c>
      <c r="DF199" s="16">
        <v>-9999</v>
      </c>
      <c r="DG199" s="16">
        <v>-9999</v>
      </c>
      <c r="DH199" s="16">
        <v>-9999</v>
      </c>
      <c r="DI199" s="16">
        <v>-9999</v>
      </c>
      <c r="DJ199" s="16">
        <v>-9999</v>
      </c>
      <c r="DK199" s="16">
        <v>-9999</v>
      </c>
      <c r="DL199" s="16">
        <v>-9999</v>
      </c>
      <c r="DM199" s="16">
        <v>-9999</v>
      </c>
      <c r="DN199" s="16">
        <v>-9999</v>
      </c>
      <c r="DO199" s="16">
        <v>-9999</v>
      </c>
      <c r="DP199" s="16">
        <v>-9999</v>
      </c>
      <c r="DQ199" s="16">
        <v>-9999</v>
      </c>
      <c r="DR199" s="16">
        <v>-9999</v>
      </c>
      <c r="DS199" s="16">
        <v>-9999</v>
      </c>
      <c r="DT199" s="16">
        <v>-9999</v>
      </c>
      <c r="DU199" s="16">
        <v>-9999</v>
      </c>
      <c r="DV199" s="16">
        <v>-9999</v>
      </c>
      <c r="DW199" s="16">
        <v>-9999</v>
      </c>
      <c r="DX199" s="16">
        <v>-9999</v>
      </c>
      <c r="DY199" s="16">
        <v>-9999</v>
      </c>
      <c r="DZ199" s="16">
        <v>-9999</v>
      </c>
      <c r="EA199" s="2197">
        <v>-9999</v>
      </c>
      <c r="EB199" s="2197">
        <v>-9999</v>
      </c>
      <c r="EC199" s="2197">
        <v>-9999</v>
      </c>
      <c r="ED199" s="2197">
        <v>-9999</v>
      </c>
      <c r="EE199" s="2197">
        <v>-9999</v>
      </c>
      <c r="EF199" s="2197">
        <v>-9999</v>
      </c>
      <c r="EG199" s="2197">
        <v>-9999</v>
      </c>
      <c r="EH199" s="2197">
        <v>-9999</v>
      </c>
      <c r="EI199" s="2197">
        <v>-9999</v>
      </c>
      <c r="EJ199" s="2197">
        <v>-9999</v>
      </c>
      <c r="EK199" s="2197">
        <v>-9999</v>
      </c>
      <c r="EL199" s="2197">
        <v>-9999</v>
      </c>
      <c r="EM199" s="2197">
        <v>-9999</v>
      </c>
    </row>
    <row r="200" spans="1:143">
      <c r="A200" s="22">
        <v>100</v>
      </c>
      <c r="B200" s="1" t="s">
        <v>430</v>
      </c>
      <c r="C200">
        <f ca="1">OFFSET(Sector1!F78,0,Last_forecast_year - 3-InputY!$G$3)</f>
        <v>24.728159999999999</v>
      </c>
      <c r="D200">
        <f ca="1">OFFSET(Sector1!G78,0,Last_forecast_year - 3-InputY!$G$3)</f>
        <v>25.56738</v>
      </c>
      <c r="E200">
        <f ca="1">OFFSET(Sector1!H78,0,Last_forecast_year - 3-InputY!$G$3)</f>
        <v>28.093316769273876</v>
      </c>
      <c r="F200">
        <f ca="1">OFFSET(Sector1!I78,0,Last_forecast_year - 3-InputY!$G$3)</f>
        <v>29.895443026415556</v>
      </c>
      <c r="G200">
        <f ca="1">OFFSET(Sector1!J78,0,Last_forecast_year - 3-InputY!$G$3)</f>
        <v>31.814666730987341</v>
      </c>
      <c r="H200" s="25">
        <v>-9999</v>
      </c>
      <c r="I200" s="25">
        <v>-9999</v>
      </c>
      <c r="J200" s="25">
        <v>-9999</v>
      </c>
      <c r="K200" s="25">
        <v>-9999</v>
      </c>
      <c r="L200" s="25">
        <v>-9999</v>
      </c>
      <c r="M200" s="25">
        <v>-9999</v>
      </c>
      <c r="N200" s="25">
        <v>-9999</v>
      </c>
      <c r="O200" s="25">
        <v>-9999</v>
      </c>
      <c r="P200"/>
      <c r="Q200"/>
      <c r="AA200" s="22">
        <v>100</v>
      </c>
      <c r="AB200" s="1040" t="str">
        <f t="shared" si="8"/>
        <v xml:space="preserve">COR GROSS VALUE ADDED </v>
      </c>
      <c r="AC200" s="1040">
        <f>CHOOSE(Tables!$U$2,Transfer!CA200,Transfer!CN200,Transfer!DA200,Transfer!DN200,Transfer!EA200)</f>
        <v>-9999</v>
      </c>
      <c r="AD200" s="1040">
        <f>CHOOSE(Tables!$U$2,Transfer!CB200,Transfer!CO200,Transfer!DB200,Transfer!DO200,Transfer!EB200)</f>
        <v>-9999</v>
      </c>
      <c r="AE200" s="1040">
        <f>CHOOSE(Tables!$U$2,Transfer!CC200,Transfer!CP200,Transfer!DC200,Transfer!DP200,Transfer!EC200)</f>
        <v>-9999</v>
      </c>
      <c r="AF200" s="1040">
        <f>CHOOSE(Tables!$U$2,Transfer!CD200,Transfer!CQ200,Transfer!DD200,Transfer!DQ200,Transfer!ED200)</f>
        <v>-9999</v>
      </c>
      <c r="AG200" s="1040">
        <f>CHOOSE(Tables!$U$2,Transfer!CE200,Transfer!CR200,Transfer!DE200,Transfer!DR200,Transfer!EE200)</f>
        <v>-9999</v>
      </c>
      <c r="AH200" s="1040">
        <f>CHOOSE(Tables!$U$2,Transfer!CF200,Transfer!CS200,Transfer!DF200,Transfer!DS200,Transfer!EF200)</f>
        <v>-9999</v>
      </c>
      <c r="AI200" s="1040">
        <f>CHOOSE(Tables!$U$2,Transfer!CG200,Transfer!CT200,Transfer!DG200,Transfer!DT200,Transfer!EG200)</f>
        <v>-9999</v>
      </c>
      <c r="AJ200" s="1040">
        <f>CHOOSE(Tables!$U$2,Transfer!CH200,Transfer!CU200,Transfer!DH200,Transfer!DU200,Transfer!EH200)</f>
        <v>-9999</v>
      </c>
      <c r="AK200" s="1040">
        <f>CHOOSE(Tables!$U$2,Transfer!CI200,Transfer!CV200,Transfer!DI200,Transfer!DV200,Transfer!EI200)</f>
        <v>-9999</v>
      </c>
      <c r="AL200" s="1040">
        <f>CHOOSE(Tables!$U$2,Transfer!CJ200,Transfer!CW200,Transfer!DJ200,Transfer!DW200,Transfer!EJ200)</f>
        <v>-9999</v>
      </c>
      <c r="AM200" s="1040">
        <f>CHOOSE(Tables!$U$2,Transfer!CK200,Transfer!CX200,Transfer!DK200,Transfer!DX200,Transfer!EK200)</f>
        <v>-9999</v>
      </c>
      <c r="AN200" s="1040">
        <f>CHOOSE(Tables!$U$2,Transfer!CL200,Transfer!CY200,Transfer!DL200,Transfer!DY200,Transfer!EL200)</f>
        <v>-9999</v>
      </c>
      <c r="AO200" s="1040">
        <f>CHOOSE(Tables!$U$2,Transfer!CM200,Transfer!CZ200,Transfer!DM200,Transfer!DZ200,Transfer!EM200)</f>
        <v>-9999</v>
      </c>
      <c r="AR200" s="22">
        <v>100</v>
      </c>
      <c r="AS200" s="1" t="s">
        <v>430</v>
      </c>
      <c r="AT200" s="24">
        <f t="shared" ca="1" si="10"/>
        <v>10023.728160000001</v>
      </c>
      <c r="AU200" s="24">
        <f t="shared" ca="1" si="11"/>
        <v>10024.56738</v>
      </c>
      <c r="AV200" s="24">
        <f t="shared" ca="1" si="12"/>
        <v>10027.093316769275</v>
      </c>
      <c r="AW200" s="24">
        <f t="shared" ca="1" si="13"/>
        <v>10028.895443026415</v>
      </c>
      <c r="AX200" s="24">
        <f t="shared" ca="1" si="14"/>
        <v>10030.814666730987</v>
      </c>
      <c r="AY200" s="25">
        <f t="shared" si="19"/>
        <v>0</v>
      </c>
      <c r="AZ200" s="25">
        <f t="shared" si="16"/>
        <v>0</v>
      </c>
      <c r="BA200" s="25">
        <f t="shared" si="17"/>
        <v>0</v>
      </c>
      <c r="BB200" s="25">
        <f t="shared" si="18"/>
        <v>0</v>
      </c>
      <c r="BC200" s="25">
        <f t="shared" si="7"/>
        <v>0</v>
      </c>
      <c r="BD200" s="25">
        <f t="shared" si="7"/>
        <v>0</v>
      </c>
      <c r="BE200" s="25">
        <f t="shared" si="7"/>
        <v>0</v>
      </c>
      <c r="BF200" s="25">
        <f t="shared" si="7"/>
        <v>0</v>
      </c>
      <c r="CA200" s="16">
        <v>-9999</v>
      </c>
      <c r="CB200" s="16">
        <v>-9999</v>
      </c>
      <c r="CC200" s="16">
        <v>-9999</v>
      </c>
      <c r="CD200" s="16">
        <v>-9999</v>
      </c>
      <c r="CE200" s="16">
        <v>-9999</v>
      </c>
      <c r="CF200" s="16">
        <v>-9999</v>
      </c>
      <c r="CG200" s="16">
        <v>-9999</v>
      </c>
      <c r="CH200" s="16">
        <v>-9999</v>
      </c>
      <c r="CI200" s="16">
        <v>-9999</v>
      </c>
      <c r="CJ200" s="16">
        <v>-9999</v>
      </c>
      <c r="CK200" s="16">
        <v>-9999</v>
      </c>
      <c r="CL200" s="16">
        <v>-9999</v>
      </c>
      <c r="CM200" s="16">
        <v>-9999</v>
      </c>
      <c r="CN200" s="16">
        <v>-9999</v>
      </c>
      <c r="CO200" s="16">
        <v>-9999</v>
      </c>
      <c r="CP200" s="16">
        <v>-9999</v>
      </c>
      <c r="CQ200" s="16">
        <v>-9999</v>
      </c>
      <c r="CR200" s="16">
        <v>-9999</v>
      </c>
      <c r="CS200" s="16">
        <v>-9999</v>
      </c>
      <c r="CT200" s="16">
        <v>-9999</v>
      </c>
      <c r="CU200" s="16">
        <v>-9999</v>
      </c>
      <c r="CV200" s="16">
        <v>-9999</v>
      </c>
      <c r="CW200" s="16">
        <v>-9999</v>
      </c>
      <c r="CX200" s="16">
        <v>-9999</v>
      </c>
      <c r="CY200" s="16">
        <v>-9999</v>
      </c>
      <c r="CZ200" s="16">
        <v>-9999</v>
      </c>
      <c r="DA200" s="16">
        <v>-9999</v>
      </c>
      <c r="DB200" s="16">
        <v>-9999</v>
      </c>
      <c r="DC200" s="16">
        <v>-9999</v>
      </c>
      <c r="DD200" s="16">
        <v>-9999</v>
      </c>
      <c r="DE200" s="16">
        <v>-9999</v>
      </c>
      <c r="DF200" s="16">
        <v>-9999</v>
      </c>
      <c r="DG200" s="16">
        <v>-9999</v>
      </c>
      <c r="DH200" s="16">
        <v>-9999</v>
      </c>
      <c r="DI200" s="16">
        <v>-9999</v>
      </c>
      <c r="DJ200" s="16">
        <v>-9999</v>
      </c>
      <c r="DK200" s="16">
        <v>-9999</v>
      </c>
      <c r="DL200" s="16">
        <v>-9999</v>
      </c>
      <c r="DM200" s="16">
        <v>-9999</v>
      </c>
      <c r="DN200" s="16">
        <v>-9999</v>
      </c>
      <c r="DO200" s="16">
        <v>-9999</v>
      </c>
      <c r="DP200" s="16">
        <v>-9999</v>
      </c>
      <c r="DQ200" s="16">
        <v>-9999</v>
      </c>
      <c r="DR200" s="16">
        <v>-9999</v>
      </c>
      <c r="DS200" s="16">
        <v>-9999</v>
      </c>
      <c r="DT200" s="16">
        <v>-9999</v>
      </c>
      <c r="DU200" s="16">
        <v>-9999</v>
      </c>
      <c r="DV200" s="16">
        <v>-9999</v>
      </c>
      <c r="DW200" s="16">
        <v>-9999</v>
      </c>
      <c r="DX200" s="16">
        <v>-9999</v>
      </c>
      <c r="DY200" s="16">
        <v>-9999</v>
      </c>
      <c r="DZ200" s="16">
        <v>-9999</v>
      </c>
      <c r="EA200" s="2196">
        <v>-9999</v>
      </c>
      <c r="EB200" s="2196">
        <v>-9999</v>
      </c>
      <c r="EC200" s="2196">
        <v>-9999</v>
      </c>
      <c r="ED200" s="2196">
        <v>-9999</v>
      </c>
      <c r="EE200" s="2196">
        <v>-9999</v>
      </c>
      <c r="EF200" s="2197">
        <v>-9999</v>
      </c>
      <c r="EG200" s="2197">
        <v>-9999</v>
      </c>
      <c r="EH200" s="2197">
        <v>-9999</v>
      </c>
      <c r="EI200" s="2197">
        <v>-9999</v>
      </c>
      <c r="EJ200" s="2197">
        <v>-9999</v>
      </c>
      <c r="EK200" s="2197">
        <v>-9999</v>
      </c>
      <c r="EL200" s="2197">
        <v>-9999</v>
      </c>
      <c r="EM200" s="2197">
        <v>-9999</v>
      </c>
    </row>
    <row r="201" spans="1:143">
      <c r="A201" s="22">
        <v>101</v>
      </c>
      <c r="B201" s="1" t="s">
        <v>1794</v>
      </c>
      <c r="C201">
        <f ca="1">OFFSET(Sector1!F47,0,Last_forecast_year - 3-InputY!$G$3)</f>
        <v>6.0969999999999996E-2</v>
      </c>
      <c r="D201">
        <f ca="1">OFFSET(Sector1!G47,0,Last_forecast_year - 3-InputY!$G$3)</f>
        <v>7.2870000000000004E-2</v>
      </c>
      <c r="E201">
        <f ca="1">OFFSET(Sector1!H47,0,Last_forecast_year - 3-InputY!$G$3)</f>
        <v>7.2870000000000004E-2</v>
      </c>
      <c r="F201">
        <f ca="1">OFFSET(Sector1!I47,0,Last_forecast_year - 3-InputY!$G$3)</f>
        <v>7.2870000000000004E-2</v>
      </c>
      <c r="G201">
        <f ca="1">OFFSET(Sector1!J47,0,Last_forecast_year - 3-InputY!$G$3)</f>
        <v>7.2870000000000004E-2</v>
      </c>
      <c r="H201" s="25">
        <v>-9999</v>
      </c>
      <c r="I201" s="25">
        <v>-9999</v>
      </c>
      <c r="J201" s="25">
        <v>-9999</v>
      </c>
      <c r="K201" s="25">
        <v>-9999</v>
      </c>
      <c r="L201" s="25">
        <v>-9999</v>
      </c>
      <c r="M201" s="25">
        <v>-9999</v>
      </c>
      <c r="N201" s="25">
        <v>-9999</v>
      </c>
      <c r="O201" s="25">
        <v>-9999</v>
      </c>
      <c r="P201"/>
      <c r="Q201"/>
      <c r="AA201" s="22">
        <v>101</v>
      </c>
      <c r="AB201" s="1040" t="str">
        <f t="shared" si="8"/>
        <v xml:space="preserve">COR OTHER SUBSIDIES ON PRODUCTION </v>
      </c>
      <c r="AC201" s="1040">
        <f>CHOOSE(Tables!$U$2,Transfer!CA201,Transfer!CN201,Transfer!DA201,Transfer!DN201,Transfer!EA201)</f>
        <v>-9999</v>
      </c>
      <c r="AD201" s="1040">
        <f>CHOOSE(Tables!$U$2,Transfer!CB201,Transfer!CO201,Transfer!DB201,Transfer!DO201,Transfer!EB201)</f>
        <v>-9999</v>
      </c>
      <c r="AE201" s="1040">
        <f>CHOOSE(Tables!$U$2,Transfer!CC201,Transfer!CP201,Transfer!DC201,Transfer!DP201,Transfer!EC201)</f>
        <v>-9999</v>
      </c>
      <c r="AF201" s="1040">
        <f>CHOOSE(Tables!$U$2,Transfer!CD201,Transfer!CQ201,Transfer!DD201,Transfer!DQ201,Transfer!ED201)</f>
        <v>-9999</v>
      </c>
      <c r="AG201" s="1040">
        <f>CHOOSE(Tables!$U$2,Transfer!CE201,Transfer!CR201,Transfer!DE201,Transfer!DR201,Transfer!EE201)</f>
        <v>-9999</v>
      </c>
      <c r="AH201" s="1040">
        <f>CHOOSE(Tables!$U$2,Transfer!CF201,Transfer!CS201,Transfer!DF201,Transfer!DS201,Transfer!EF201)</f>
        <v>-9999</v>
      </c>
      <c r="AI201" s="1040">
        <f>CHOOSE(Tables!$U$2,Transfer!CG201,Transfer!CT201,Transfer!DG201,Transfer!DT201,Transfer!EG201)</f>
        <v>-9999</v>
      </c>
      <c r="AJ201" s="1040">
        <f>CHOOSE(Tables!$U$2,Transfer!CH201,Transfer!CU201,Transfer!DH201,Transfer!DU201,Transfer!EH201)</f>
        <v>-9999</v>
      </c>
      <c r="AK201" s="1040">
        <f>CHOOSE(Tables!$U$2,Transfer!CI201,Transfer!CV201,Transfer!DI201,Transfer!DV201,Transfer!EI201)</f>
        <v>-9999</v>
      </c>
      <c r="AL201" s="1040">
        <f>CHOOSE(Tables!$U$2,Transfer!CJ201,Transfer!CW201,Transfer!DJ201,Transfer!DW201,Transfer!EJ201)</f>
        <v>-9999</v>
      </c>
      <c r="AM201" s="1040">
        <f>CHOOSE(Tables!$U$2,Transfer!CK201,Transfer!CX201,Transfer!DK201,Transfer!DX201,Transfer!EK201)</f>
        <v>-9999</v>
      </c>
      <c r="AN201" s="1040">
        <f>CHOOSE(Tables!$U$2,Transfer!CL201,Transfer!CY201,Transfer!DL201,Transfer!DY201,Transfer!EL201)</f>
        <v>-9999</v>
      </c>
      <c r="AO201" s="1040">
        <f>CHOOSE(Tables!$U$2,Transfer!CM201,Transfer!CZ201,Transfer!DM201,Transfer!DZ201,Transfer!EM201)</f>
        <v>-9999</v>
      </c>
      <c r="AR201" s="22">
        <v>101</v>
      </c>
      <c r="AS201" s="1" t="s">
        <v>1794</v>
      </c>
      <c r="AT201" s="24">
        <f t="shared" ca="1" si="10"/>
        <v>9999.0609700000005</v>
      </c>
      <c r="AU201" s="24">
        <f t="shared" ca="1" si="11"/>
        <v>9999.07287</v>
      </c>
      <c r="AV201" s="24">
        <f t="shared" ca="1" si="12"/>
        <v>9999.07287</v>
      </c>
      <c r="AW201" s="24">
        <f t="shared" ca="1" si="13"/>
        <v>9999.07287</v>
      </c>
      <c r="AX201" s="24">
        <f t="shared" ca="1" si="14"/>
        <v>9999.07287</v>
      </c>
      <c r="AY201" s="25">
        <f t="shared" si="19"/>
        <v>0</v>
      </c>
      <c r="AZ201" s="25">
        <f t="shared" si="16"/>
        <v>0</v>
      </c>
      <c r="BA201" s="25">
        <f t="shared" si="17"/>
        <v>0</v>
      </c>
      <c r="BB201" s="25">
        <f t="shared" si="18"/>
        <v>0</v>
      </c>
      <c r="BC201" s="25">
        <f t="shared" si="7"/>
        <v>0</v>
      </c>
      <c r="BD201" s="25">
        <f t="shared" si="7"/>
        <v>0</v>
      </c>
      <c r="BE201" s="25">
        <f t="shared" si="7"/>
        <v>0</v>
      </c>
      <c r="BF201" s="25">
        <f t="shared" si="7"/>
        <v>0</v>
      </c>
      <c r="CA201" s="16">
        <v>-9999</v>
      </c>
      <c r="CB201" s="16">
        <v>-9999</v>
      </c>
      <c r="CC201" s="16">
        <v>-9999</v>
      </c>
      <c r="CD201" s="16">
        <v>-9999</v>
      </c>
      <c r="CE201" s="16">
        <v>-9999</v>
      </c>
      <c r="CF201" s="16">
        <v>-9999</v>
      </c>
      <c r="CG201" s="16">
        <v>-9999</v>
      </c>
      <c r="CH201" s="16">
        <v>-9999</v>
      </c>
      <c r="CI201" s="16">
        <v>-9999</v>
      </c>
      <c r="CJ201" s="16">
        <v>-9999</v>
      </c>
      <c r="CK201" s="16">
        <v>-9999</v>
      </c>
      <c r="CL201" s="16">
        <v>-9999</v>
      </c>
      <c r="CM201" s="16">
        <v>-9999</v>
      </c>
      <c r="CN201" s="16">
        <v>-9999</v>
      </c>
      <c r="CO201" s="16">
        <v>-9999</v>
      </c>
      <c r="CP201" s="16">
        <v>-9999</v>
      </c>
      <c r="CQ201" s="16">
        <v>-9999</v>
      </c>
      <c r="CR201" s="16">
        <v>-9999</v>
      </c>
      <c r="CS201" s="16">
        <v>-9999</v>
      </c>
      <c r="CT201" s="16">
        <v>-9999</v>
      </c>
      <c r="CU201" s="16">
        <v>-9999</v>
      </c>
      <c r="CV201" s="16">
        <v>-9999</v>
      </c>
      <c r="CW201" s="16">
        <v>-9999</v>
      </c>
      <c r="CX201" s="16">
        <v>-9999</v>
      </c>
      <c r="CY201" s="16">
        <v>-9999</v>
      </c>
      <c r="CZ201" s="16">
        <v>-9999</v>
      </c>
      <c r="DA201" s="16">
        <v>-9999</v>
      </c>
      <c r="DB201" s="16">
        <v>-9999</v>
      </c>
      <c r="DC201" s="16">
        <v>-9999</v>
      </c>
      <c r="DD201" s="16">
        <v>-9999</v>
      </c>
      <c r="DE201" s="16">
        <v>-9999</v>
      </c>
      <c r="DF201" s="16">
        <v>-9999</v>
      </c>
      <c r="DG201" s="16">
        <v>-9999</v>
      </c>
      <c r="DH201" s="16">
        <v>-9999</v>
      </c>
      <c r="DI201" s="16">
        <v>-9999</v>
      </c>
      <c r="DJ201" s="16">
        <v>-9999</v>
      </c>
      <c r="DK201" s="16">
        <v>-9999</v>
      </c>
      <c r="DL201" s="16">
        <v>-9999</v>
      </c>
      <c r="DM201" s="16">
        <v>-9999</v>
      </c>
      <c r="DN201" s="16">
        <v>-9999</v>
      </c>
      <c r="DO201" s="16">
        <v>-9999</v>
      </c>
      <c r="DP201" s="16">
        <v>-9999</v>
      </c>
      <c r="DQ201" s="16">
        <v>-9999</v>
      </c>
      <c r="DR201" s="16">
        <v>-9999</v>
      </c>
      <c r="DS201" s="16">
        <v>-9999</v>
      </c>
      <c r="DT201" s="16">
        <v>-9999</v>
      </c>
      <c r="DU201" s="16">
        <v>-9999</v>
      </c>
      <c r="DV201" s="16">
        <v>-9999</v>
      </c>
      <c r="DW201" s="16">
        <v>-9999</v>
      </c>
      <c r="DX201" s="16">
        <v>-9999</v>
      </c>
      <c r="DY201" s="16">
        <v>-9999</v>
      </c>
      <c r="DZ201" s="16">
        <v>-9999</v>
      </c>
      <c r="EA201" s="2196">
        <v>-9999</v>
      </c>
      <c r="EB201" s="2196">
        <v>-9999</v>
      </c>
      <c r="EC201" s="2196">
        <v>-9999</v>
      </c>
      <c r="ED201" s="2196">
        <v>-9999</v>
      </c>
      <c r="EE201" s="2196">
        <v>-9999</v>
      </c>
      <c r="EF201" s="2197">
        <v>-9999</v>
      </c>
      <c r="EG201" s="2197">
        <v>-9999</v>
      </c>
      <c r="EH201" s="2197">
        <v>-9999</v>
      </c>
      <c r="EI201" s="2197">
        <v>-9999</v>
      </c>
      <c r="EJ201" s="2197">
        <v>-9999</v>
      </c>
      <c r="EK201" s="2197">
        <v>-9999</v>
      </c>
      <c r="EL201" s="2197">
        <v>-9999</v>
      </c>
      <c r="EM201" s="2197">
        <v>-9999</v>
      </c>
    </row>
    <row r="202" spans="1:143">
      <c r="A202" s="22">
        <v>102</v>
      </c>
      <c r="B202" s="1" t="s">
        <v>1795</v>
      </c>
      <c r="C202">
        <f ca="1">OFFSET(Sector1!F10,0,Last_forecast_year - 3-InputY!$G$3)</f>
        <v>0.21567</v>
      </c>
      <c r="D202">
        <f ca="1">OFFSET(Sector1!G10,0,Last_forecast_year - 3-InputY!$G$3)</f>
        <v>0.19243000000000002</v>
      </c>
      <c r="E202">
        <f ca="1">OFFSET(Sector1!H10,0,Last_forecast_year - 3-InputY!$G$3)</f>
        <v>0.20205150000000002</v>
      </c>
      <c r="F202">
        <f ca="1">OFFSET(Sector1!I10,0,Last_forecast_year - 3-InputY!$G$3)</f>
        <v>0.21215407500000003</v>
      </c>
      <c r="G202">
        <f ca="1">OFFSET(Sector1!J10,0,Last_forecast_year - 3-InputY!$G$3)</f>
        <v>0.22276177875000003</v>
      </c>
      <c r="H202" s="25">
        <v>-9999</v>
      </c>
      <c r="I202" s="25">
        <v>-9999</v>
      </c>
      <c r="J202" s="25">
        <v>-9999</v>
      </c>
      <c r="K202" s="25">
        <v>-9999</v>
      </c>
      <c r="L202" s="25">
        <v>-9999</v>
      </c>
      <c r="M202" s="25">
        <v>-9999</v>
      </c>
      <c r="N202" s="25">
        <v>-9999</v>
      </c>
      <c r="O202" s="25">
        <v>-9999</v>
      </c>
      <c r="P202"/>
      <c r="Q202"/>
      <c r="AA202" s="22">
        <v>102</v>
      </c>
      <c r="AB202" s="1040" t="str">
        <f t="shared" si="8"/>
        <v>COR OTHER TAXES ON PRODUCTS</v>
      </c>
      <c r="AC202" s="1040">
        <f>CHOOSE(Tables!$U$2,Transfer!CA202,Transfer!CN202,Transfer!DA202,Transfer!DN202,Transfer!EA202)</f>
        <v>-9999</v>
      </c>
      <c r="AD202" s="1040">
        <f>CHOOSE(Tables!$U$2,Transfer!CB202,Transfer!CO202,Transfer!DB202,Transfer!DO202,Transfer!EB202)</f>
        <v>-9999</v>
      </c>
      <c r="AE202" s="1040">
        <f>CHOOSE(Tables!$U$2,Transfer!CC202,Transfer!CP202,Transfer!DC202,Transfer!DP202,Transfer!EC202)</f>
        <v>-9999</v>
      </c>
      <c r="AF202" s="1040">
        <f>CHOOSE(Tables!$U$2,Transfer!CD202,Transfer!CQ202,Transfer!DD202,Transfer!DQ202,Transfer!ED202)</f>
        <v>-9999</v>
      </c>
      <c r="AG202" s="1040">
        <f>CHOOSE(Tables!$U$2,Transfer!CE202,Transfer!CR202,Transfer!DE202,Transfer!DR202,Transfer!EE202)</f>
        <v>-9999</v>
      </c>
      <c r="AH202" s="1040">
        <f>CHOOSE(Tables!$U$2,Transfer!CF202,Transfer!CS202,Transfer!DF202,Transfer!DS202,Transfer!EF202)</f>
        <v>-9999</v>
      </c>
      <c r="AI202" s="1040">
        <f>CHOOSE(Tables!$U$2,Transfer!CG202,Transfer!CT202,Transfer!DG202,Transfer!DT202,Transfer!EG202)</f>
        <v>-9999</v>
      </c>
      <c r="AJ202" s="1040">
        <f>CHOOSE(Tables!$U$2,Transfer!CH202,Transfer!CU202,Transfer!DH202,Transfer!DU202,Transfer!EH202)</f>
        <v>-9999</v>
      </c>
      <c r="AK202" s="1040">
        <f>CHOOSE(Tables!$U$2,Transfer!CI202,Transfer!CV202,Transfer!DI202,Transfer!DV202,Transfer!EI202)</f>
        <v>-9999</v>
      </c>
      <c r="AL202" s="1040">
        <f>CHOOSE(Tables!$U$2,Transfer!CJ202,Transfer!CW202,Transfer!DJ202,Transfer!DW202,Transfer!EJ202)</f>
        <v>-9999</v>
      </c>
      <c r="AM202" s="1040">
        <f>CHOOSE(Tables!$U$2,Transfer!CK202,Transfer!CX202,Transfer!DK202,Transfer!DX202,Transfer!EK202)</f>
        <v>-9999</v>
      </c>
      <c r="AN202" s="1040">
        <f>CHOOSE(Tables!$U$2,Transfer!CL202,Transfer!CY202,Transfer!DL202,Transfer!DY202,Transfer!EL202)</f>
        <v>-9999</v>
      </c>
      <c r="AO202" s="1040">
        <f>CHOOSE(Tables!$U$2,Transfer!CM202,Transfer!CZ202,Transfer!DM202,Transfer!DZ202,Transfer!EM202)</f>
        <v>-9999</v>
      </c>
      <c r="AR202" s="22">
        <v>102</v>
      </c>
      <c r="AS202" s="1" t="s">
        <v>1795</v>
      </c>
      <c r="AT202" s="24">
        <f t="shared" ca="1" si="10"/>
        <v>9999.2156699999996</v>
      </c>
      <c r="AU202" s="24">
        <f t="shared" ca="1" si="11"/>
        <v>9999.1924299999991</v>
      </c>
      <c r="AV202" s="24">
        <f t="shared" ca="1" si="12"/>
        <v>9999.2020515000004</v>
      </c>
      <c r="AW202" s="24">
        <f t="shared" ca="1" si="13"/>
        <v>9999.2121540749995</v>
      </c>
      <c r="AX202" s="24">
        <f t="shared" ca="1" si="14"/>
        <v>9999.2227617787503</v>
      </c>
      <c r="AY202" s="25">
        <f t="shared" si="19"/>
        <v>0</v>
      </c>
      <c r="AZ202" s="25">
        <f t="shared" si="16"/>
        <v>0</v>
      </c>
      <c r="BA202" s="25">
        <f t="shared" si="17"/>
        <v>0</v>
      </c>
      <c r="BB202" s="25">
        <f t="shared" si="18"/>
        <v>0</v>
      </c>
      <c r="BC202" s="25">
        <f t="shared" ref="BC202:BF206" si="20">L202-AL202</f>
        <v>0</v>
      </c>
      <c r="BD202" s="25">
        <f t="shared" si="20"/>
        <v>0</v>
      </c>
      <c r="BE202" s="25">
        <f t="shared" si="20"/>
        <v>0</v>
      </c>
      <c r="BF202" s="25">
        <f t="shared" si="20"/>
        <v>0</v>
      </c>
      <c r="CA202" s="16">
        <v>-9999</v>
      </c>
      <c r="CB202" s="16">
        <v>-9999</v>
      </c>
      <c r="CC202" s="16">
        <v>-9999</v>
      </c>
      <c r="CD202" s="16">
        <v>-9999</v>
      </c>
      <c r="CE202" s="16">
        <v>-9999</v>
      </c>
      <c r="CF202" s="16">
        <v>-9999</v>
      </c>
      <c r="CG202" s="16">
        <v>-9999</v>
      </c>
      <c r="CH202" s="16">
        <v>-9999</v>
      </c>
      <c r="CI202" s="16">
        <v>-9999</v>
      </c>
      <c r="CJ202" s="16">
        <v>-9999</v>
      </c>
      <c r="CK202" s="16">
        <v>-9999</v>
      </c>
      <c r="CL202" s="16">
        <v>-9999</v>
      </c>
      <c r="CM202" s="16">
        <v>-9999</v>
      </c>
      <c r="CN202" s="16">
        <v>-9999</v>
      </c>
      <c r="CO202" s="16">
        <v>-9999</v>
      </c>
      <c r="CP202" s="16">
        <v>-9999</v>
      </c>
      <c r="CQ202" s="16">
        <v>-9999</v>
      </c>
      <c r="CR202" s="16">
        <v>-9999</v>
      </c>
      <c r="CS202" s="16">
        <v>-9999</v>
      </c>
      <c r="CT202" s="16">
        <v>-9999</v>
      </c>
      <c r="CU202" s="16">
        <v>-9999</v>
      </c>
      <c r="CV202" s="16">
        <v>-9999</v>
      </c>
      <c r="CW202" s="16">
        <v>-9999</v>
      </c>
      <c r="CX202" s="16">
        <v>-9999</v>
      </c>
      <c r="CY202" s="16">
        <v>-9999</v>
      </c>
      <c r="CZ202" s="16">
        <v>-9999</v>
      </c>
      <c r="DA202" s="16">
        <v>-9999</v>
      </c>
      <c r="DB202" s="16">
        <v>-9999</v>
      </c>
      <c r="DC202" s="16">
        <v>-9999</v>
      </c>
      <c r="DD202" s="16">
        <v>-9999</v>
      </c>
      <c r="DE202" s="16">
        <v>-9999</v>
      </c>
      <c r="DF202" s="16">
        <v>-9999</v>
      </c>
      <c r="DG202" s="16">
        <v>-9999</v>
      </c>
      <c r="DH202" s="16">
        <v>-9999</v>
      </c>
      <c r="DI202" s="16">
        <v>-9999</v>
      </c>
      <c r="DJ202" s="16">
        <v>-9999</v>
      </c>
      <c r="DK202" s="16">
        <v>-9999</v>
      </c>
      <c r="DL202" s="16">
        <v>-9999</v>
      </c>
      <c r="DM202" s="16">
        <v>-9999</v>
      </c>
      <c r="DN202" s="16">
        <v>-9999</v>
      </c>
      <c r="DO202" s="16">
        <v>-9999</v>
      </c>
      <c r="DP202" s="16">
        <v>-9999</v>
      </c>
      <c r="DQ202" s="16">
        <v>-9999</v>
      </c>
      <c r="DR202" s="16">
        <v>-9999</v>
      </c>
      <c r="DS202" s="16">
        <v>-9999</v>
      </c>
      <c r="DT202" s="16">
        <v>-9999</v>
      </c>
      <c r="DU202" s="16">
        <v>-9999</v>
      </c>
      <c r="DV202" s="16">
        <v>-9999</v>
      </c>
      <c r="DW202" s="16">
        <v>-9999</v>
      </c>
      <c r="DX202" s="16">
        <v>-9999</v>
      </c>
      <c r="DY202" s="16">
        <v>-9999</v>
      </c>
      <c r="DZ202" s="16">
        <v>-9999</v>
      </c>
      <c r="EA202" s="2196">
        <v>-9999</v>
      </c>
      <c r="EB202" s="2196">
        <v>-9999</v>
      </c>
      <c r="EC202" s="2196">
        <v>-9999</v>
      </c>
      <c r="ED202" s="2196">
        <v>-9999</v>
      </c>
      <c r="EE202" s="2196">
        <v>-9999</v>
      </c>
      <c r="EF202" s="2197">
        <v>-9999</v>
      </c>
      <c r="EG202" s="2197">
        <v>-9999</v>
      </c>
      <c r="EH202" s="2197">
        <v>-9999</v>
      </c>
      <c r="EI202" s="2197">
        <v>-9999</v>
      </c>
      <c r="EJ202" s="2197">
        <v>-9999</v>
      </c>
      <c r="EK202" s="2197">
        <v>-9999</v>
      </c>
      <c r="EL202" s="2197">
        <v>-9999</v>
      </c>
      <c r="EM202" s="2197">
        <v>-9999</v>
      </c>
    </row>
    <row r="203" spans="1:143">
      <c r="A203" s="22">
        <v>103</v>
      </c>
      <c r="B203" s="1" t="s">
        <v>1157</v>
      </c>
      <c r="C203">
        <f ca="1">OFFSET(Labour1!F210,0,Last_forecast_year - 3-InputY!$G$3)</f>
        <v>11.52549</v>
      </c>
      <c r="D203">
        <f ca="1">OFFSET(Labour1!G210,0,Last_forecast_year - 3-InputY!$G$3)</f>
        <v>12.63739</v>
      </c>
      <c r="E203">
        <f ca="1">OFFSET(Labour1!H210,0,Last_forecast_year - 3-InputY!$G$3)</f>
        <v>13.926518249273876</v>
      </c>
      <c r="F203">
        <f ca="1">OFFSET(Labour1!I210,0,Last_forecast_year - 3-InputY!$G$3)</f>
        <v>14.79072867706623</v>
      </c>
      <c r="G203">
        <f ca="1">OFFSET(Labour1!J210,0,Last_forecast_year - 3-InputY!$G$3)</f>
        <v>15.662483697455624</v>
      </c>
      <c r="H203" s="25">
        <v>-9999</v>
      </c>
      <c r="I203" s="25">
        <v>-9999</v>
      </c>
      <c r="J203" s="25">
        <v>-9999</v>
      </c>
      <c r="K203" s="25">
        <v>-9999</v>
      </c>
      <c r="L203" s="25">
        <v>-9999</v>
      </c>
      <c r="M203" s="25">
        <v>-9999</v>
      </c>
      <c r="N203" s="25">
        <v>-9999</v>
      </c>
      <c r="O203" s="25">
        <v>-9999</v>
      </c>
      <c r="P203"/>
      <c r="Q203"/>
      <c r="AA203" s="22">
        <v>103</v>
      </c>
      <c r="AB203" s="1040" t="str">
        <f t="shared" si="8"/>
        <v xml:space="preserve">COR COMPENSATION OF EMPLOYEES </v>
      </c>
      <c r="AC203" s="1040">
        <f>CHOOSE(Tables!$U$2,Transfer!CA203,Transfer!CN203,Transfer!DA203,Transfer!DN203,Transfer!EA203)</f>
        <v>-9999</v>
      </c>
      <c r="AD203" s="1040">
        <f>CHOOSE(Tables!$U$2,Transfer!CB203,Transfer!CO203,Transfer!DB203,Transfer!DO203,Transfer!EB203)</f>
        <v>-9999</v>
      </c>
      <c r="AE203" s="1040">
        <f>CHOOSE(Tables!$U$2,Transfer!CC203,Transfer!CP203,Transfer!DC203,Transfer!DP203,Transfer!EC203)</f>
        <v>-9999</v>
      </c>
      <c r="AF203" s="1040">
        <f>CHOOSE(Tables!$U$2,Transfer!CD203,Transfer!CQ203,Transfer!DD203,Transfer!DQ203,Transfer!ED203)</f>
        <v>-9999</v>
      </c>
      <c r="AG203" s="1040">
        <f>CHOOSE(Tables!$U$2,Transfer!CE203,Transfer!CR203,Transfer!DE203,Transfer!DR203,Transfer!EE203)</f>
        <v>-9999</v>
      </c>
      <c r="AH203" s="1040">
        <f>CHOOSE(Tables!$U$2,Transfer!CF203,Transfer!CS203,Transfer!DF203,Transfer!DS203,Transfer!EF203)</f>
        <v>-9999</v>
      </c>
      <c r="AI203" s="1040">
        <f>CHOOSE(Tables!$U$2,Transfer!CG203,Transfer!CT203,Transfer!DG203,Transfer!DT203,Transfer!EG203)</f>
        <v>-9999</v>
      </c>
      <c r="AJ203" s="1040">
        <f>CHOOSE(Tables!$U$2,Transfer!CH203,Transfer!CU203,Transfer!DH203,Transfer!DU203,Transfer!EH203)</f>
        <v>-9999</v>
      </c>
      <c r="AK203" s="1040">
        <f>CHOOSE(Tables!$U$2,Transfer!CI203,Transfer!CV203,Transfer!DI203,Transfer!DV203,Transfer!EI203)</f>
        <v>-9999</v>
      </c>
      <c r="AL203" s="1040">
        <f>CHOOSE(Tables!$U$2,Transfer!CJ203,Transfer!CW203,Transfer!DJ203,Transfer!DW203,Transfer!EJ203)</f>
        <v>-9999</v>
      </c>
      <c r="AM203" s="1040">
        <f>CHOOSE(Tables!$U$2,Transfer!CK203,Transfer!CX203,Transfer!DK203,Transfer!DX203,Transfer!EK203)</f>
        <v>-9999</v>
      </c>
      <c r="AN203" s="1040">
        <f>CHOOSE(Tables!$U$2,Transfer!CL203,Transfer!CY203,Transfer!DL203,Transfer!DY203,Transfer!EL203)</f>
        <v>-9999</v>
      </c>
      <c r="AO203" s="1040">
        <f>CHOOSE(Tables!$U$2,Transfer!CM203,Transfer!CZ203,Transfer!DM203,Transfer!DZ203,Transfer!EM203)</f>
        <v>-9999</v>
      </c>
      <c r="AR203" s="22">
        <v>103</v>
      </c>
      <c r="AS203" s="1" t="s">
        <v>1157</v>
      </c>
      <c r="AT203" s="24">
        <f t="shared" ca="1" si="10"/>
        <v>10010.52549</v>
      </c>
      <c r="AU203" s="24">
        <f t="shared" ca="1" si="11"/>
        <v>10011.63739</v>
      </c>
      <c r="AV203" s="24">
        <f t="shared" ca="1" si="12"/>
        <v>10012.926518249275</v>
      </c>
      <c r="AW203" s="24">
        <f t="shared" ca="1" si="13"/>
        <v>10013.790728677066</v>
      </c>
      <c r="AX203" s="24">
        <f t="shared" ca="1" si="14"/>
        <v>10014.662483697455</v>
      </c>
      <c r="AY203" s="25">
        <f t="shared" si="19"/>
        <v>0</v>
      </c>
      <c r="AZ203" s="25">
        <f t="shared" si="16"/>
        <v>0</v>
      </c>
      <c r="BA203" s="25">
        <f t="shared" si="17"/>
        <v>0</v>
      </c>
      <c r="BB203" s="25">
        <f t="shared" si="18"/>
        <v>0</v>
      </c>
      <c r="BC203" s="25">
        <f t="shared" si="20"/>
        <v>0</v>
      </c>
      <c r="BD203" s="25">
        <f t="shared" si="20"/>
        <v>0</v>
      </c>
      <c r="BE203" s="25">
        <f t="shared" si="20"/>
        <v>0</v>
      </c>
      <c r="BF203" s="25">
        <f t="shared" si="20"/>
        <v>0</v>
      </c>
      <c r="CA203" s="16">
        <v>-9999</v>
      </c>
      <c r="CB203" s="16">
        <v>-9999</v>
      </c>
      <c r="CC203" s="16">
        <v>-9999</v>
      </c>
      <c r="CD203" s="16">
        <v>-9999</v>
      </c>
      <c r="CE203" s="16">
        <v>-9999</v>
      </c>
      <c r="CF203" s="16">
        <v>-9999</v>
      </c>
      <c r="CG203" s="16">
        <v>-9999</v>
      </c>
      <c r="CH203" s="16">
        <v>-9999</v>
      </c>
      <c r="CI203" s="16">
        <v>-9999</v>
      </c>
      <c r="CJ203" s="16">
        <v>-9999</v>
      </c>
      <c r="CK203" s="16">
        <v>-9999</v>
      </c>
      <c r="CL203" s="16">
        <v>-9999</v>
      </c>
      <c r="CM203" s="16">
        <v>-9999</v>
      </c>
      <c r="CN203" s="16">
        <v>-9999</v>
      </c>
      <c r="CO203" s="16">
        <v>-9999</v>
      </c>
      <c r="CP203" s="16">
        <v>-9999</v>
      </c>
      <c r="CQ203" s="16">
        <v>-9999</v>
      </c>
      <c r="CR203" s="16">
        <v>-9999</v>
      </c>
      <c r="CS203" s="16">
        <v>-9999</v>
      </c>
      <c r="CT203" s="16">
        <v>-9999</v>
      </c>
      <c r="CU203" s="16">
        <v>-9999</v>
      </c>
      <c r="CV203" s="16">
        <v>-9999</v>
      </c>
      <c r="CW203" s="16">
        <v>-9999</v>
      </c>
      <c r="CX203" s="16">
        <v>-9999</v>
      </c>
      <c r="CY203" s="16">
        <v>-9999</v>
      </c>
      <c r="CZ203" s="16">
        <v>-9999</v>
      </c>
      <c r="DA203" s="16">
        <v>-9999</v>
      </c>
      <c r="DB203" s="16">
        <v>-9999</v>
      </c>
      <c r="DC203" s="16">
        <v>-9999</v>
      </c>
      <c r="DD203" s="16">
        <v>-9999</v>
      </c>
      <c r="DE203" s="16">
        <v>-9999</v>
      </c>
      <c r="DF203" s="16">
        <v>-9999</v>
      </c>
      <c r="DG203" s="16">
        <v>-9999</v>
      </c>
      <c r="DH203" s="16">
        <v>-9999</v>
      </c>
      <c r="DI203" s="16">
        <v>-9999</v>
      </c>
      <c r="DJ203" s="16">
        <v>-9999</v>
      </c>
      <c r="DK203" s="16">
        <v>-9999</v>
      </c>
      <c r="DL203" s="16">
        <v>-9999</v>
      </c>
      <c r="DM203" s="16">
        <v>-9999</v>
      </c>
      <c r="DN203" s="16">
        <v>-9999</v>
      </c>
      <c r="DO203" s="16">
        <v>-9999</v>
      </c>
      <c r="DP203" s="16">
        <v>-9999</v>
      </c>
      <c r="DQ203" s="16">
        <v>-9999</v>
      </c>
      <c r="DR203" s="16">
        <v>-9999</v>
      </c>
      <c r="DS203" s="16">
        <v>-9999</v>
      </c>
      <c r="DT203" s="16">
        <v>-9999</v>
      </c>
      <c r="DU203" s="16">
        <v>-9999</v>
      </c>
      <c r="DV203" s="16">
        <v>-9999</v>
      </c>
      <c r="DW203" s="16">
        <v>-9999</v>
      </c>
      <c r="DX203" s="16">
        <v>-9999</v>
      </c>
      <c r="DY203" s="16">
        <v>-9999</v>
      </c>
      <c r="DZ203" s="16">
        <v>-9999</v>
      </c>
      <c r="EA203" s="2196">
        <v>-9999</v>
      </c>
      <c r="EB203" s="2196">
        <v>-9999</v>
      </c>
      <c r="EC203" s="2196">
        <v>-9999</v>
      </c>
      <c r="ED203" s="2196">
        <v>-9999</v>
      </c>
      <c r="EE203" s="2196">
        <v>-9999</v>
      </c>
      <c r="EF203" s="2197">
        <v>-9999</v>
      </c>
      <c r="EG203" s="2197">
        <v>-9999</v>
      </c>
      <c r="EH203" s="2197">
        <v>-9999</v>
      </c>
      <c r="EI203" s="2197">
        <v>-9999</v>
      </c>
      <c r="EJ203" s="2197">
        <v>-9999</v>
      </c>
      <c r="EK203" s="2197">
        <v>-9999</v>
      </c>
      <c r="EL203" s="2197">
        <v>-9999</v>
      </c>
      <c r="EM203" s="2197">
        <v>-9999</v>
      </c>
    </row>
    <row r="204" spans="1:143">
      <c r="A204" s="22">
        <v>104</v>
      </c>
      <c r="B204" s="1" t="s">
        <v>1159</v>
      </c>
      <c r="C204">
        <f ca="1">OFFSET(Sector1!F108,0,Last_forecast_year - 3-InputY!$G$3)</f>
        <v>13.047969999999999</v>
      </c>
      <c r="D204">
        <f ca="1">OFFSET(Sector1!G108,0,Last_forecast_year - 3-InputY!$G$3)</f>
        <v>12.81043</v>
      </c>
      <c r="E204">
        <f ca="1">OFFSET(Sector1!H108,0,Last_forecast_year - 3-InputY!$G$3)</f>
        <v>14.037617020000001</v>
      </c>
      <c r="F204">
        <f ca="1">OFFSET(Sector1!I108,0,Last_forecast_year - 3-InputY!$G$3)</f>
        <v>14.965430274349325</v>
      </c>
      <c r="G204">
        <f ca="1">OFFSET(Sector1!J108,0,Last_forecast_year - 3-InputY!$G$3)</f>
        <v>16.002291254781717</v>
      </c>
      <c r="H204" s="25">
        <v>-9999</v>
      </c>
      <c r="I204" s="25">
        <v>-9999</v>
      </c>
      <c r="J204" s="25">
        <v>-9999</v>
      </c>
      <c r="K204" s="25">
        <v>-9999</v>
      </c>
      <c r="L204" s="25">
        <v>-9999</v>
      </c>
      <c r="M204" s="25">
        <v>-9999</v>
      </c>
      <c r="N204" s="25">
        <v>-9999</v>
      </c>
      <c r="O204" s="25">
        <v>-9999</v>
      </c>
      <c r="P204"/>
      <c r="Q204"/>
      <c r="AA204" s="22">
        <v>104</v>
      </c>
      <c r="AB204" s="1040" t="str">
        <f t="shared" si="8"/>
        <v>COR GROSS OPERATING SURPLUS</v>
      </c>
      <c r="AC204" s="1040">
        <f>CHOOSE(Tables!$U$2,Transfer!CA204,Transfer!CN204,Transfer!DA204,Transfer!DN204,Transfer!EA204)</f>
        <v>-9999</v>
      </c>
      <c r="AD204" s="1040">
        <f>CHOOSE(Tables!$U$2,Transfer!CB204,Transfer!CO204,Transfer!DB204,Transfer!DO204,Transfer!EB204)</f>
        <v>-9999</v>
      </c>
      <c r="AE204" s="1040">
        <f>CHOOSE(Tables!$U$2,Transfer!CC204,Transfer!CP204,Transfer!DC204,Transfer!DP204,Transfer!EC204)</f>
        <v>-9999</v>
      </c>
      <c r="AF204" s="1040">
        <f>CHOOSE(Tables!$U$2,Transfer!CD204,Transfer!CQ204,Transfer!DD204,Transfer!DQ204,Transfer!ED204)</f>
        <v>-9999</v>
      </c>
      <c r="AG204" s="1040">
        <f>CHOOSE(Tables!$U$2,Transfer!CE204,Transfer!CR204,Transfer!DE204,Transfer!DR204,Transfer!EE204)</f>
        <v>-9999</v>
      </c>
      <c r="AH204" s="1040">
        <f>CHOOSE(Tables!$U$2,Transfer!CF204,Transfer!CS204,Transfer!DF204,Transfer!DS204,Transfer!EF204)</f>
        <v>-9999</v>
      </c>
      <c r="AI204" s="1040">
        <f>CHOOSE(Tables!$U$2,Transfer!CG204,Transfer!CT204,Transfer!DG204,Transfer!DT204,Transfer!EG204)</f>
        <v>-9999</v>
      </c>
      <c r="AJ204" s="1040">
        <f>CHOOSE(Tables!$U$2,Transfer!CH204,Transfer!CU204,Transfer!DH204,Transfer!DU204,Transfer!EH204)</f>
        <v>-9999</v>
      </c>
      <c r="AK204" s="1040">
        <f>CHOOSE(Tables!$U$2,Transfer!CI204,Transfer!CV204,Transfer!DI204,Transfer!DV204,Transfer!EI204)</f>
        <v>-9999</v>
      </c>
      <c r="AL204" s="1040">
        <f>CHOOSE(Tables!$U$2,Transfer!CJ204,Transfer!CW204,Transfer!DJ204,Transfer!DW204,Transfer!EJ204)</f>
        <v>-9999</v>
      </c>
      <c r="AM204" s="1040">
        <f>CHOOSE(Tables!$U$2,Transfer!CK204,Transfer!CX204,Transfer!DK204,Transfer!DX204,Transfer!EK204)</f>
        <v>-9999</v>
      </c>
      <c r="AN204" s="1040">
        <f>CHOOSE(Tables!$U$2,Transfer!CL204,Transfer!CY204,Transfer!DL204,Transfer!DY204,Transfer!EL204)</f>
        <v>-9999</v>
      </c>
      <c r="AO204" s="1040">
        <f>CHOOSE(Tables!$U$2,Transfer!CM204,Transfer!CZ204,Transfer!DM204,Transfer!DZ204,Transfer!EM204)</f>
        <v>-9999</v>
      </c>
      <c r="AR204" s="22">
        <v>104</v>
      </c>
      <c r="AS204" s="1" t="s">
        <v>1159</v>
      </c>
      <c r="AT204" s="24">
        <f t="shared" ca="1" si="10"/>
        <v>10012.04797</v>
      </c>
      <c r="AU204" s="24">
        <f t="shared" ca="1" si="11"/>
        <v>10011.81043</v>
      </c>
      <c r="AV204" s="24">
        <f t="shared" ca="1" si="12"/>
        <v>10013.03761702</v>
      </c>
      <c r="AW204" s="24">
        <f t="shared" ca="1" si="13"/>
        <v>10013.965430274349</v>
      </c>
      <c r="AX204" s="24">
        <f t="shared" ca="1" si="14"/>
        <v>10015.002291254781</v>
      </c>
      <c r="AY204" s="25">
        <f t="shared" si="19"/>
        <v>0</v>
      </c>
      <c r="AZ204" s="25">
        <f t="shared" si="16"/>
        <v>0</v>
      </c>
      <c r="BA204" s="25">
        <f t="shared" si="17"/>
        <v>0</v>
      </c>
      <c r="BB204" s="25">
        <f t="shared" si="18"/>
        <v>0</v>
      </c>
      <c r="BC204" s="25">
        <f t="shared" si="20"/>
        <v>0</v>
      </c>
      <c r="BD204" s="25">
        <f t="shared" si="20"/>
        <v>0</v>
      </c>
      <c r="BE204" s="25">
        <f t="shared" si="20"/>
        <v>0</v>
      </c>
      <c r="BF204" s="25">
        <f t="shared" si="20"/>
        <v>0</v>
      </c>
      <c r="CA204" s="16">
        <v>-9999</v>
      </c>
      <c r="CB204" s="16">
        <v>-9999</v>
      </c>
      <c r="CC204" s="16">
        <v>-9999</v>
      </c>
      <c r="CD204" s="16">
        <v>-9999</v>
      </c>
      <c r="CE204" s="16">
        <v>-9999</v>
      </c>
      <c r="CF204" s="16">
        <v>-9999</v>
      </c>
      <c r="CG204" s="16">
        <v>-9999</v>
      </c>
      <c r="CH204" s="16">
        <v>-9999</v>
      </c>
      <c r="CI204" s="16">
        <v>-9999</v>
      </c>
      <c r="CJ204" s="16">
        <v>-9999</v>
      </c>
      <c r="CK204" s="16">
        <v>-9999</v>
      </c>
      <c r="CL204" s="16">
        <v>-9999</v>
      </c>
      <c r="CM204" s="16">
        <v>-9999</v>
      </c>
      <c r="CN204" s="16">
        <v>-9999</v>
      </c>
      <c r="CO204" s="16">
        <v>-9999</v>
      </c>
      <c r="CP204" s="16">
        <v>-9999</v>
      </c>
      <c r="CQ204" s="16">
        <v>-9999</v>
      </c>
      <c r="CR204" s="16">
        <v>-9999</v>
      </c>
      <c r="CS204" s="16">
        <v>-9999</v>
      </c>
      <c r="CT204" s="16">
        <v>-9999</v>
      </c>
      <c r="CU204" s="16">
        <v>-9999</v>
      </c>
      <c r="CV204" s="16">
        <v>-9999</v>
      </c>
      <c r="CW204" s="16">
        <v>-9999</v>
      </c>
      <c r="CX204" s="16">
        <v>-9999</v>
      </c>
      <c r="CY204" s="16">
        <v>-9999</v>
      </c>
      <c r="CZ204" s="16">
        <v>-9999</v>
      </c>
      <c r="DA204" s="16">
        <v>-9999</v>
      </c>
      <c r="DB204" s="16">
        <v>-9999</v>
      </c>
      <c r="DC204" s="16">
        <v>-9999</v>
      </c>
      <c r="DD204" s="16">
        <v>-9999</v>
      </c>
      <c r="DE204" s="16">
        <v>-9999</v>
      </c>
      <c r="DF204" s="16">
        <v>-9999</v>
      </c>
      <c r="DG204" s="16">
        <v>-9999</v>
      </c>
      <c r="DH204" s="16">
        <v>-9999</v>
      </c>
      <c r="DI204" s="16">
        <v>-9999</v>
      </c>
      <c r="DJ204" s="16">
        <v>-9999</v>
      </c>
      <c r="DK204" s="16">
        <v>-9999</v>
      </c>
      <c r="DL204" s="16">
        <v>-9999</v>
      </c>
      <c r="DM204" s="16">
        <v>-9999</v>
      </c>
      <c r="DN204" s="16">
        <v>-9999</v>
      </c>
      <c r="DO204" s="16">
        <v>-9999</v>
      </c>
      <c r="DP204" s="16">
        <v>-9999</v>
      </c>
      <c r="DQ204" s="16">
        <v>-9999</v>
      </c>
      <c r="DR204" s="16">
        <v>-9999</v>
      </c>
      <c r="DS204" s="16">
        <v>-9999</v>
      </c>
      <c r="DT204" s="16">
        <v>-9999</v>
      </c>
      <c r="DU204" s="16">
        <v>-9999</v>
      </c>
      <c r="DV204" s="16">
        <v>-9999</v>
      </c>
      <c r="DW204" s="16">
        <v>-9999</v>
      </c>
      <c r="DX204" s="16">
        <v>-9999</v>
      </c>
      <c r="DY204" s="16">
        <v>-9999</v>
      </c>
      <c r="DZ204" s="16">
        <v>-9999</v>
      </c>
      <c r="EA204" s="2196">
        <v>-9999</v>
      </c>
      <c r="EB204" s="2196">
        <v>-9999</v>
      </c>
      <c r="EC204" s="2196">
        <v>-9999</v>
      </c>
      <c r="ED204" s="2196">
        <v>-9999</v>
      </c>
      <c r="EE204" s="2196">
        <v>-9999</v>
      </c>
      <c r="EF204" s="2197">
        <v>-9999</v>
      </c>
      <c r="EG204" s="2197">
        <v>-9999</v>
      </c>
      <c r="EH204" s="2197">
        <v>-9999</v>
      </c>
      <c r="EI204" s="2197">
        <v>-9999</v>
      </c>
      <c r="EJ204" s="2197">
        <v>-9999</v>
      </c>
      <c r="EK204" s="2197">
        <v>-9999</v>
      </c>
      <c r="EL204" s="2197">
        <v>-9999</v>
      </c>
      <c r="EM204" s="2197">
        <v>-9999</v>
      </c>
    </row>
    <row r="205" spans="1:143">
      <c r="A205" s="22">
        <v>105</v>
      </c>
      <c r="B205" s="1" t="s">
        <v>1161</v>
      </c>
      <c r="C205">
        <f ca="1">OFFSET(Sector1!F136,0,Last_forecast_year - 3-InputY!$G$3)</f>
        <v>-6.1047099999999999</v>
      </c>
      <c r="D205">
        <f ca="1">OFFSET(Sector1!G136,0,Last_forecast_year - 3-InputY!$G$3)</f>
        <v>-6.4326499999999998</v>
      </c>
      <c r="E205">
        <f ca="1">OFFSET(Sector1!H136,0,Last_forecast_year - 3-InputY!$G$3)</f>
        <v>-6.7864457499999995</v>
      </c>
      <c r="F205">
        <f ca="1">OFFSET(Sector1!I136,0,Last_forecast_year - 3-InputY!$G$3)</f>
        <v>-7.1597002662499989</v>
      </c>
      <c r="G205">
        <f ca="1">OFFSET(Sector1!J136,0,Last_forecast_year - 3-InputY!$G$3)</f>
        <v>-7.5534837808937487</v>
      </c>
      <c r="H205" s="25">
        <v>-9999</v>
      </c>
      <c r="I205" s="25">
        <v>-9999</v>
      </c>
      <c r="J205" s="25">
        <v>-9999</v>
      </c>
      <c r="K205" s="25">
        <v>-9999</v>
      </c>
      <c r="L205" s="25">
        <v>-9999</v>
      </c>
      <c r="M205" s="25">
        <v>-9999</v>
      </c>
      <c r="N205" s="25">
        <v>-9999</v>
      </c>
      <c r="O205" s="25">
        <v>-9999</v>
      </c>
      <c r="P205"/>
      <c r="Q205"/>
      <c r="AA205" s="22">
        <v>105</v>
      </c>
      <c r="AB205" s="1040" t="str">
        <f t="shared" si="8"/>
        <v>COR PROPERTY INCOME (NET)</v>
      </c>
      <c r="AC205" s="1040">
        <f>CHOOSE(Tables!$U$2,Transfer!CA205,Transfer!CN205,Transfer!DA205,Transfer!DN205,Transfer!EA205)</f>
        <v>-9999</v>
      </c>
      <c r="AD205" s="1040">
        <f>CHOOSE(Tables!$U$2,Transfer!CB205,Transfer!CO205,Transfer!DB205,Transfer!DO205,Transfer!EB205)</f>
        <v>-9999</v>
      </c>
      <c r="AE205" s="1040">
        <f>CHOOSE(Tables!$U$2,Transfer!CC205,Transfer!CP205,Transfer!DC205,Transfer!DP205,Transfer!EC205)</f>
        <v>-9999</v>
      </c>
      <c r="AF205" s="1040">
        <f>CHOOSE(Tables!$U$2,Transfer!CD205,Transfer!CQ205,Transfer!DD205,Transfer!DQ205,Transfer!ED205)</f>
        <v>-9999</v>
      </c>
      <c r="AG205" s="1040">
        <f>CHOOSE(Tables!$U$2,Transfer!CE205,Transfer!CR205,Transfer!DE205,Transfer!DR205,Transfer!EE205)</f>
        <v>-9999</v>
      </c>
      <c r="AH205" s="1040">
        <f>CHOOSE(Tables!$U$2,Transfer!CF205,Transfer!CS205,Transfer!DF205,Transfer!DS205,Transfer!EF205)</f>
        <v>-9999</v>
      </c>
      <c r="AI205" s="1040">
        <f>CHOOSE(Tables!$U$2,Transfer!CG205,Transfer!CT205,Transfer!DG205,Transfer!DT205,Transfer!EG205)</f>
        <v>-9999</v>
      </c>
      <c r="AJ205" s="1040">
        <f>CHOOSE(Tables!$U$2,Transfer!CH205,Transfer!CU205,Transfer!DH205,Transfer!DU205,Transfer!EH205)</f>
        <v>-9999</v>
      </c>
      <c r="AK205" s="1040">
        <f>CHOOSE(Tables!$U$2,Transfer!CI205,Transfer!CV205,Transfer!DI205,Transfer!DV205,Transfer!EI205)</f>
        <v>-9999</v>
      </c>
      <c r="AL205" s="1040">
        <f>CHOOSE(Tables!$U$2,Transfer!CJ205,Transfer!CW205,Transfer!DJ205,Transfer!DW205,Transfer!EJ205)</f>
        <v>-9999</v>
      </c>
      <c r="AM205" s="1040">
        <f>CHOOSE(Tables!$U$2,Transfer!CK205,Transfer!CX205,Transfer!DK205,Transfer!DX205,Transfer!EK205)</f>
        <v>-9999</v>
      </c>
      <c r="AN205" s="1040">
        <f>CHOOSE(Tables!$U$2,Transfer!CL205,Transfer!CY205,Transfer!DL205,Transfer!DY205,Transfer!EL205)</f>
        <v>-9999</v>
      </c>
      <c r="AO205" s="1040">
        <f>CHOOSE(Tables!$U$2,Transfer!CM205,Transfer!CZ205,Transfer!DM205,Transfer!DZ205,Transfer!EM205)</f>
        <v>-9999</v>
      </c>
      <c r="AR205" s="22">
        <v>105</v>
      </c>
      <c r="AS205" s="1" t="s">
        <v>1161</v>
      </c>
      <c r="AT205" s="24">
        <f t="shared" ca="1" si="10"/>
        <v>9992.8952900000004</v>
      </c>
      <c r="AU205" s="24">
        <f t="shared" ca="1" si="11"/>
        <v>9992.5673499999994</v>
      </c>
      <c r="AV205" s="24">
        <f t="shared" ca="1" si="12"/>
        <v>9992.21355425</v>
      </c>
      <c r="AW205" s="24">
        <f t="shared" ca="1" si="13"/>
        <v>9991.8402997337507</v>
      </c>
      <c r="AX205" s="24">
        <f t="shared" ca="1" si="14"/>
        <v>9991.4465162191063</v>
      </c>
      <c r="AY205" s="25">
        <f t="shared" si="19"/>
        <v>0</v>
      </c>
      <c r="AZ205" s="25">
        <f t="shared" si="16"/>
        <v>0</v>
      </c>
      <c r="BA205" s="25">
        <f t="shared" si="17"/>
        <v>0</v>
      </c>
      <c r="BB205" s="25">
        <f t="shared" si="18"/>
        <v>0</v>
      </c>
      <c r="BC205" s="25">
        <f t="shared" si="20"/>
        <v>0</v>
      </c>
      <c r="BD205" s="25">
        <f t="shared" si="20"/>
        <v>0</v>
      </c>
      <c r="BE205" s="25">
        <f t="shared" si="20"/>
        <v>0</v>
      </c>
      <c r="BF205" s="25">
        <f t="shared" si="20"/>
        <v>0</v>
      </c>
      <c r="CA205" s="16">
        <v>-9999</v>
      </c>
      <c r="CB205" s="16">
        <v>-9999</v>
      </c>
      <c r="CC205" s="16">
        <v>-9999</v>
      </c>
      <c r="CD205" s="16">
        <v>-9999</v>
      </c>
      <c r="CE205" s="16">
        <v>-9999</v>
      </c>
      <c r="CF205" s="16">
        <v>-9999</v>
      </c>
      <c r="CG205" s="16">
        <v>-9999</v>
      </c>
      <c r="CH205" s="16">
        <v>-9999</v>
      </c>
      <c r="CI205" s="16">
        <v>-9999</v>
      </c>
      <c r="CJ205" s="16">
        <v>-9999</v>
      </c>
      <c r="CK205" s="16">
        <v>-9999</v>
      </c>
      <c r="CL205" s="16">
        <v>-9999</v>
      </c>
      <c r="CM205" s="16">
        <v>-9999</v>
      </c>
      <c r="CN205" s="16">
        <v>-9999</v>
      </c>
      <c r="CO205" s="16">
        <v>-9999</v>
      </c>
      <c r="CP205" s="16">
        <v>-9999</v>
      </c>
      <c r="CQ205" s="16">
        <v>-9999</v>
      </c>
      <c r="CR205" s="16">
        <v>-9999</v>
      </c>
      <c r="CS205" s="16">
        <v>-9999</v>
      </c>
      <c r="CT205" s="16">
        <v>-9999</v>
      </c>
      <c r="CU205" s="16">
        <v>-9999</v>
      </c>
      <c r="CV205" s="16">
        <v>-9999</v>
      </c>
      <c r="CW205" s="16">
        <v>-9999</v>
      </c>
      <c r="CX205" s="16">
        <v>-9999</v>
      </c>
      <c r="CY205" s="16">
        <v>-9999</v>
      </c>
      <c r="CZ205" s="16">
        <v>-9999</v>
      </c>
      <c r="DA205" s="16">
        <v>-9999</v>
      </c>
      <c r="DB205" s="16">
        <v>-9999</v>
      </c>
      <c r="DC205" s="16">
        <v>-9999</v>
      </c>
      <c r="DD205" s="16">
        <v>-9999</v>
      </c>
      <c r="DE205" s="16">
        <v>-9999</v>
      </c>
      <c r="DF205" s="16">
        <v>-9999</v>
      </c>
      <c r="DG205" s="16">
        <v>-9999</v>
      </c>
      <c r="DH205" s="16">
        <v>-9999</v>
      </c>
      <c r="DI205" s="16">
        <v>-9999</v>
      </c>
      <c r="DJ205" s="16">
        <v>-9999</v>
      </c>
      <c r="DK205" s="16">
        <v>-9999</v>
      </c>
      <c r="DL205" s="16">
        <v>-9999</v>
      </c>
      <c r="DM205" s="16">
        <v>-9999</v>
      </c>
      <c r="DN205" s="16">
        <v>-9999</v>
      </c>
      <c r="DO205" s="16">
        <v>-9999</v>
      </c>
      <c r="DP205" s="16">
        <v>-9999</v>
      </c>
      <c r="DQ205" s="16">
        <v>-9999</v>
      </c>
      <c r="DR205" s="16">
        <v>-9999</v>
      </c>
      <c r="DS205" s="16">
        <v>-9999</v>
      </c>
      <c r="DT205" s="16">
        <v>-9999</v>
      </c>
      <c r="DU205" s="16">
        <v>-9999</v>
      </c>
      <c r="DV205" s="16">
        <v>-9999</v>
      </c>
      <c r="DW205" s="16">
        <v>-9999</v>
      </c>
      <c r="DX205" s="16">
        <v>-9999</v>
      </c>
      <c r="DY205" s="16">
        <v>-9999</v>
      </c>
      <c r="DZ205" s="16">
        <v>-9999</v>
      </c>
      <c r="EA205" s="2196">
        <v>-9999</v>
      </c>
      <c r="EB205" s="2196">
        <v>-9999</v>
      </c>
      <c r="EC205" s="2196">
        <v>-9999</v>
      </c>
      <c r="ED205" s="2196">
        <v>-9999</v>
      </c>
      <c r="EE205" s="2196">
        <v>-9999</v>
      </c>
      <c r="EF205" s="2197">
        <v>-9999</v>
      </c>
      <c r="EG205" s="2197">
        <v>-9999</v>
      </c>
      <c r="EH205" s="2197">
        <v>-9999</v>
      </c>
      <c r="EI205" s="2197">
        <v>-9999</v>
      </c>
      <c r="EJ205" s="2197">
        <v>-9999</v>
      </c>
      <c r="EK205" s="2197">
        <v>-9999</v>
      </c>
      <c r="EL205" s="2197">
        <v>-9999</v>
      </c>
      <c r="EM205" s="2197">
        <v>-9999</v>
      </c>
    </row>
    <row r="206" spans="1:143">
      <c r="A206" s="22">
        <v>106</v>
      </c>
      <c r="B206" s="1" t="s">
        <v>1851</v>
      </c>
      <c r="C206">
        <f ca="1">OFFSET(Sector1!F732,0,Last_forecast_year - 3-InputY!$G$3)</f>
        <v>-0.15076999999999996</v>
      </c>
      <c r="D206">
        <f ca="1">OFFSET(Sector1!G732,0,Last_forecast_year - 3-InputY!$G$3)</f>
        <v>-0.20697999999999994</v>
      </c>
      <c r="E206">
        <f ca="1">OFFSET(Sector1!H732,0,Last_forecast_year - 3-InputY!$G$3)</f>
        <v>-0.23816079999999995</v>
      </c>
      <c r="F206">
        <f ca="1">OFFSET(Sector1!I732,0,Last_forecast_year - 3-InputY!$G$3)</f>
        <v>-0.27266380600000018</v>
      </c>
      <c r="G206">
        <f ca="1">OFFSET(Sector1!J732,0,Last_forecast_year - 3-InputY!$G$3)</f>
        <v>-0.31080148603000013</v>
      </c>
      <c r="H206" s="25">
        <v>-9999</v>
      </c>
      <c r="I206" s="25">
        <v>-9999</v>
      </c>
      <c r="J206" s="25">
        <v>-9999</v>
      </c>
      <c r="K206" s="25">
        <v>-9999</v>
      </c>
      <c r="L206" s="25">
        <v>-9999</v>
      </c>
      <c r="M206" s="25">
        <v>-9999</v>
      </c>
      <c r="N206" s="25">
        <v>-9999</v>
      </c>
      <c r="O206" s="25">
        <v>-9999</v>
      </c>
      <c r="P206"/>
      <c r="Q206"/>
      <c r="AA206" s="22">
        <v>106</v>
      </c>
      <c r="AB206" s="1040" t="str">
        <f t="shared" si="8"/>
        <v>COR CURRENT TRANSFERS (NET RECEIPTS)</v>
      </c>
      <c r="AC206" s="1040">
        <f>CHOOSE(Tables!$U$2,Transfer!CA206,Transfer!CN206,Transfer!DA206,Transfer!DN206,Transfer!EA206)</f>
        <v>-9999</v>
      </c>
      <c r="AD206" s="1040">
        <f>CHOOSE(Tables!$U$2,Transfer!CB206,Transfer!CO206,Transfer!DB206,Transfer!DO206,Transfer!EB206)</f>
        <v>-9999</v>
      </c>
      <c r="AE206" s="1040">
        <f>CHOOSE(Tables!$U$2,Transfer!CC206,Transfer!CP206,Transfer!DC206,Transfer!DP206,Transfer!EC206)</f>
        <v>-9999</v>
      </c>
      <c r="AF206" s="1040">
        <f>CHOOSE(Tables!$U$2,Transfer!CD206,Transfer!CQ206,Transfer!DD206,Transfer!DQ206,Transfer!ED206)</f>
        <v>-9999</v>
      </c>
      <c r="AG206" s="1040">
        <f>CHOOSE(Tables!$U$2,Transfer!CE206,Transfer!CR206,Transfer!DE206,Transfer!DR206,Transfer!EE206)</f>
        <v>-9999</v>
      </c>
      <c r="AH206" s="1040">
        <f>CHOOSE(Tables!$U$2,Transfer!CF206,Transfer!CS206,Transfer!DF206,Transfer!DS206,Transfer!EF206)</f>
        <v>-9999</v>
      </c>
      <c r="AI206" s="1040">
        <f>CHOOSE(Tables!$U$2,Transfer!CG206,Transfer!CT206,Transfer!DG206,Transfer!DT206,Transfer!EG206)</f>
        <v>-9999</v>
      </c>
      <c r="AJ206" s="1040">
        <f>CHOOSE(Tables!$U$2,Transfer!CH206,Transfer!CU206,Transfer!DH206,Transfer!DU206,Transfer!EH206)</f>
        <v>-9999</v>
      </c>
      <c r="AK206" s="1040">
        <f>CHOOSE(Tables!$U$2,Transfer!CI206,Transfer!CV206,Transfer!DI206,Transfer!DV206,Transfer!EI206)</f>
        <v>-9999</v>
      </c>
      <c r="AL206" s="1040">
        <f>CHOOSE(Tables!$U$2,Transfer!CJ206,Transfer!CW206,Transfer!DJ206,Transfer!DW206,Transfer!EJ206)</f>
        <v>-9999</v>
      </c>
      <c r="AM206" s="1040">
        <f>CHOOSE(Tables!$U$2,Transfer!CK206,Transfer!CX206,Transfer!DK206,Transfer!DX206,Transfer!EK206)</f>
        <v>-9999</v>
      </c>
      <c r="AN206" s="1040">
        <f>CHOOSE(Tables!$U$2,Transfer!CL206,Transfer!CY206,Transfer!DL206,Transfer!DY206,Transfer!EL206)</f>
        <v>-9999</v>
      </c>
      <c r="AO206" s="1040">
        <f>CHOOSE(Tables!$U$2,Transfer!CM206,Transfer!CZ206,Transfer!DM206,Transfer!DZ206,Transfer!EM206)</f>
        <v>-9999</v>
      </c>
      <c r="AR206" s="22">
        <v>106</v>
      </c>
      <c r="AS206" s="1" t="s">
        <v>1851</v>
      </c>
      <c r="AT206" s="24">
        <f t="shared" ca="1" si="10"/>
        <v>9998.8492299999998</v>
      </c>
      <c r="AU206" s="24">
        <f t="shared" ca="1" si="11"/>
        <v>9998.7930199999992</v>
      </c>
      <c r="AV206" s="24">
        <f t="shared" ca="1" si="12"/>
        <v>9998.7618392000004</v>
      </c>
      <c r="AW206" s="24">
        <f t="shared" ca="1" si="13"/>
        <v>9998.7273361940006</v>
      </c>
      <c r="AX206" s="24">
        <f t="shared" ca="1" si="14"/>
        <v>9998.68919851397</v>
      </c>
      <c r="AY206" s="25">
        <f t="shared" si="19"/>
        <v>0</v>
      </c>
      <c r="AZ206" s="25">
        <f t="shared" si="16"/>
        <v>0</v>
      </c>
      <c r="BA206" s="25">
        <f t="shared" si="17"/>
        <v>0</v>
      </c>
      <c r="BB206" s="25">
        <f t="shared" si="18"/>
        <v>0</v>
      </c>
      <c r="BC206" s="25">
        <f t="shared" si="20"/>
        <v>0</v>
      </c>
      <c r="BD206" s="25">
        <f t="shared" si="20"/>
        <v>0</v>
      </c>
      <c r="BE206" s="25">
        <f t="shared" si="20"/>
        <v>0</v>
      </c>
      <c r="BF206" s="25">
        <f t="shared" si="20"/>
        <v>0</v>
      </c>
      <c r="CA206" s="16">
        <v>-9999</v>
      </c>
      <c r="CB206" s="16">
        <v>-9999</v>
      </c>
      <c r="CC206" s="16">
        <v>-9999</v>
      </c>
      <c r="CD206" s="16">
        <v>-9999</v>
      </c>
      <c r="CE206" s="16">
        <v>-9999</v>
      </c>
      <c r="CF206" s="16">
        <v>-9999</v>
      </c>
      <c r="CG206" s="16">
        <v>-9999</v>
      </c>
      <c r="CH206" s="16">
        <v>-9999</v>
      </c>
      <c r="CI206" s="16">
        <v>-9999</v>
      </c>
      <c r="CJ206" s="16">
        <v>-9999</v>
      </c>
      <c r="CK206" s="16">
        <v>-9999</v>
      </c>
      <c r="CL206" s="16">
        <v>-9999</v>
      </c>
      <c r="CM206" s="16">
        <v>-9999</v>
      </c>
      <c r="CN206" s="16">
        <v>-9999</v>
      </c>
      <c r="CO206" s="16">
        <v>-9999</v>
      </c>
      <c r="CP206" s="16">
        <v>-9999</v>
      </c>
      <c r="CQ206" s="16">
        <v>-9999</v>
      </c>
      <c r="CR206" s="16">
        <v>-9999</v>
      </c>
      <c r="CS206" s="16">
        <v>-9999</v>
      </c>
      <c r="CT206" s="16">
        <v>-9999</v>
      </c>
      <c r="CU206" s="16">
        <v>-9999</v>
      </c>
      <c r="CV206" s="16">
        <v>-9999</v>
      </c>
      <c r="CW206" s="16">
        <v>-9999</v>
      </c>
      <c r="CX206" s="16">
        <v>-9999</v>
      </c>
      <c r="CY206" s="16">
        <v>-9999</v>
      </c>
      <c r="CZ206" s="16">
        <v>-9999</v>
      </c>
      <c r="DA206" s="16">
        <v>-9999</v>
      </c>
      <c r="DB206" s="16">
        <v>-9999</v>
      </c>
      <c r="DC206" s="16">
        <v>-9999</v>
      </c>
      <c r="DD206" s="16">
        <v>-9999</v>
      </c>
      <c r="DE206" s="16">
        <v>-9999</v>
      </c>
      <c r="DF206" s="16">
        <v>-9999</v>
      </c>
      <c r="DG206" s="16">
        <v>-9999</v>
      </c>
      <c r="DH206" s="16">
        <v>-9999</v>
      </c>
      <c r="DI206" s="16">
        <v>-9999</v>
      </c>
      <c r="DJ206" s="16">
        <v>-9999</v>
      </c>
      <c r="DK206" s="16">
        <v>-9999</v>
      </c>
      <c r="DL206" s="16">
        <v>-9999</v>
      </c>
      <c r="DM206" s="16">
        <v>-9999</v>
      </c>
      <c r="DN206" s="16">
        <v>-9999</v>
      </c>
      <c r="DO206" s="16">
        <v>-9999</v>
      </c>
      <c r="DP206" s="16">
        <v>-9999</v>
      </c>
      <c r="DQ206" s="16">
        <v>-9999</v>
      </c>
      <c r="DR206" s="16">
        <v>-9999</v>
      </c>
      <c r="DS206" s="16">
        <v>-9999</v>
      </c>
      <c r="DT206" s="16">
        <v>-9999</v>
      </c>
      <c r="DU206" s="16">
        <v>-9999</v>
      </c>
      <c r="DV206" s="16">
        <v>-9999</v>
      </c>
      <c r="DW206" s="16">
        <v>-9999</v>
      </c>
      <c r="DX206" s="16">
        <v>-9999</v>
      </c>
      <c r="DY206" s="16">
        <v>-9999</v>
      </c>
      <c r="DZ206" s="16">
        <v>-9999</v>
      </c>
      <c r="EA206" s="2196">
        <v>-9999</v>
      </c>
      <c r="EB206" s="2196">
        <v>-9999</v>
      </c>
      <c r="EC206" s="2196">
        <v>-9999</v>
      </c>
      <c r="ED206" s="2196">
        <v>-9999</v>
      </c>
      <c r="EE206" s="2196">
        <v>-9999</v>
      </c>
      <c r="EF206" s="2197">
        <v>-9999</v>
      </c>
      <c r="EG206" s="2197">
        <v>-9999</v>
      </c>
      <c r="EH206" s="2197">
        <v>-9999</v>
      </c>
      <c r="EI206" s="2197">
        <v>-9999</v>
      </c>
      <c r="EJ206" s="2197">
        <v>-9999</v>
      </c>
      <c r="EK206" s="2197">
        <v>-9999</v>
      </c>
      <c r="EL206" s="2197">
        <v>-9999</v>
      </c>
      <c r="EM206" s="2197">
        <v>-9999</v>
      </c>
    </row>
    <row r="207" spans="1:143">
      <c r="A207" s="22">
        <v>107</v>
      </c>
      <c r="B207" s="1" t="s">
        <v>1852</v>
      </c>
      <c r="C207" s="24">
        <f ca="1">OFFSET(Sector1!F202,0,Last_forecast_year - 3-InputY!$G$3)</f>
        <v>0.57265999999999995</v>
      </c>
      <c r="D207" s="24">
        <f ca="1">OFFSET(Sector1!G202,0,Last_forecast_year - 3-InputY!$G$3)</f>
        <v>0.62555999999999989</v>
      </c>
      <c r="E207" s="24">
        <f ca="1">OFFSET(Sector1!H202,0,Last_forecast_year - 3-InputY!$G$3)</f>
        <v>0.63099999999999989</v>
      </c>
      <c r="F207" s="24">
        <f ca="1">OFFSET(Sector1!I202,0,Last_forecast_year - 3-InputY!$G$3)</f>
        <v>0.6499299999999999</v>
      </c>
      <c r="G207" s="24">
        <f ca="1">OFFSET(Sector1!J202,0,Last_forecast_year - 3-InputY!$G$3)</f>
        <v>0.6882758699999999</v>
      </c>
      <c r="H207" s="25">
        <v>-9999</v>
      </c>
      <c r="I207" s="25">
        <v>-9999</v>
      </c>
      <c r="J207" s="25">
        <v>-9999</v>
      </c>
      <c r="K207" s="25">
        <v>-9999</v>
      </c>
      <c r="L207" s="25">
        <v>-9999</v>
      </c>
      <c r="M207" s="25">
        <v>-9999</v>
      </c>
      <c r="N207" s="25">
        <v>-9999</v>
      </c>
      <c r="O207" s="25">
        <v>-9999</v>
      </c>
      <c r="P207"/>
      <c r="Q207"/>
      <c r="AA207" s="22">
        <v>107</v>
      </c>
      <c r="AB207" s="1040" t="str">
        <f t="shared" si="8"/>
        <v>COR CURRENT TAXES ON INCOME AND WEALTH</v>
      </c>
      <c r="AC207" s="1040">
        <f>CHOOSE(Tables!$U$2,Transfer!CA207,Transfer!CN207,Transfer!DA207,Transfer!DN207,Transfer!EA207)</f>
        <v>-9999</v>
      </c>
      <c r="AD207" s="1040">
        <f>CHOOSE(Tables!$U$2,Transfer!CB207,Transfer!CO207,Transfer!DB207,Transfer!DO207,Transfer!EB207)</f>
        <v>-9999</v>
      </c>
      <c r="AE207" s="1040">
        <f>CHOOSE(Tables!$U$2,Transfer!CC207,Transfer!CP207,Transfer!DC207,Transfer!DP207,Transfer!EC207)</f>
        <v>-9999</v>
      </c>
      <c r="AF207" s="1040">
        <f>CHOOSE(Tables!$U$2,Transfer!CD207,Transfer!CQ207,Transfer!DD207,Transfer!DQ207,Transfer!ED207)</f>
        <v>-9999</v>
      </c>
      <c r="AG207" s="1040">
        <f>CHOOSE(Tables!$U$2,Transfer!CE207,Transfer!CR207,Transfer!DE207,Transfer!DR207,Transfer!EE207)</f>
        <v>-9999</v>
      </c>
      <c r="AH207" s="1040">
        <f>CHOOSE(Tables!$U$2,Transfer!CF207,Transfer!CS207,Transfer!DF207,Transfer!DS207,Transfer!EF207)</f>
        <v>-9999</v>
      </c>
      <c r="AI207" s="1040">
        <f>CHOOSE(Tables!$U$2,Transfer!CG207,Transfer!CT207,Transfer!DG207,Transfer!DT207,Transfer!EG207)</f>
        <v>-9999</v>
      </c>
      <c r="AJ207" s="1040">
        <f>CHOOSE(Tables!$U$2,Transfer!CH207,Transfer!CU207,Transfer!DH207,Transfer!DU207,Transfer!EH207)</f>
        <v>-9999</v>
      </c>
      <c r="AK207" s="1040">
        <f>CHOOSE(Tables!$U$2,Transfer!CI207,Transfer!CV207,Transfer!DI207,Transfer!DV207,Transfer!EI207)</f>
        <v>-9999</v>
      </c>
      <c r="AL207" s="1040">
        <f>CHOOSE(Tables!$U$2,Transfer!CJ207,Transfer!CW207,Transfer!DJ207,Transfer!DW207,Transfer!EJ207)</f>
        <v>-9999</v>
      </c>
      <c r="AM207" s="1040">
        <f>CHOOSE(Tables!$U$2,Transfer!CK207,Transfer!CX207,Transfer!DK207,Transfer!DX207,Transfer!EK207)</f>
        <v>-9999</v>
      </c>
      <c r="AN207" s="1040">
        <f>CHOOSE(Tables!$U$2,Transfer!CL207,Transfer!CY207,Transfer!DL207,Transfer!DY207,Transfer!EL207)</f>
        <v>-9999</v>
      </c>
      <c r="AO207" s="1040">
        <f>CHOOSE(Tables!$U$2,Transfer!CM207,Transfer!CZ207,Transfer!DM207,Transfer!DZ207,Transfer!EM207)</f>
        <v>-9999</v>
      </c>
      <c r="AR207" s="22">
        <v>107</v>
      </c>
      <c r="AS207" s="1" t="s">
        <v>1852</v>
      </c>
      <c r="AT207" s="24">
        <f t="shared" ca="1" si="10"/>
        <v>9999.5726599999998</v>
      </c>
      <c r="AU207" s="24">
        <f t="shared" ca="1" si="11"/>
        <v>9999.6255600000004</v>
      </c>
      <c r="AV207" s="24">
        <f t="shared" ca="1" si="12"/>
        <v>9999.6309999999994</v>
      </c>
      <c r="AW207" s="24">
        <f t="shared" ca="1" si="13"/>
        <v>9999.6499299999996</v>
      </c>
      <c r="AX207" s="24">
        <f t="shared" ca="1" si="14"/>
        <v>9999.6882758699994</v>
      </c>
      <c r="AY207" s="25">
        <f t="shared" si="19"/>
        <v>0</v>
      </c>
      <c r="AZ207" s="25">
        <f t="shared" si="16"/>
        <v>0</v>
      </c>
      <c r="BA207" s="25">
        <f t="shared" si="17"/>
        <v>0</v>
      </c>
      <c r="BB207" s="25">
        <f t="shared" si="18"/>
        <v>0</v>
      </c>
      <c r="BC207" s="25">
        <f>L207-AL207</f>
        <v>0</v>
      </c>
      <c r="BD207" s="25">
        <f t="shared" ref="BC207:BF270" si="21">M207-AM207</f>
        <v>0</v>
      </c>
      <c r="BE207" s="25">
        <f t="shared" si="21"/>
        <v>0</v>
      </c>
      <c r="BF207" s="25">
        <f t="shared" si="21"/>
        <v>0</v>
      </c>
      <c r="CA207" s="16">
        <v>-9999</v>
      </c>
      <c r="CB207" s="16">
        <v>-9999</v>
      </c>
      <c r="CC207" s="16">
        <v>-9999</v>
      </c>
      <c r="CD207" s="16">
        <v>-9999</v>
      </c>
      <c r="CE207" s="16">
        <v>-9999</v>
      </c>
      <c r="CF207" s="16">
        <v>-9999</v>
      </c>
      <c r="CG207" s="16">
        <v>-9999</v>
      </c>
      <c r="CH207" s="16">
        <v>-9999</v>
      </c>
      <c r="CI207" s="16">
        <v>-9999</v>
      </c>
      <c r="CJ207" s="16">
        <v>-9999</v>
      </c>
      <c r="CK207" s="16">
        <v>-9999</v>
      </c>
      <c r="CL207" s="16">
        <v>-9999</v>
      </c>
      <c r="CM207" s="16">
        <v>-9999</v>
      </c>
      <c r="CN207" s="16">
        <v>-9999</v>
      </c>
      <c r="CO207" s="16">
        <v>-9999</v>
      </c>
      <c r="CP207" s="16">
        <v>-9999</v>
      </c>
      <c r="CQ207" s="16">
        <v>-9999</v>
      </c>
      <c r="CR207" s="16">
        <v>-9999</v>
      </c>
      <c r="CS207" s="16">
        <v>-9999</v>
      </c>
      <c r="CT207" s="16">
        <v>-9999</v>
      </c>
      <c r="CU207" s="16">
        <v>-9999</v>
      </c>
      <c r="CV207" s="16">
        <v>-9999</v>
      </c>
      <c r="CW207" s="16">
        <v>-9999</v>
      </c>
      <c r="CX207" s="16">
        <v>-9999</v>
      </c>
      <c r="CY207" s="16">
        <v>-9999</v>
      </c>
      <c r="CZ207" s="16">
        <v>-9999</v>
      </c>
      <c r="DA207" s="16">
        <v>-9999</v>
      </c>
      <c r="DB207" s="16">
        <v>-9999</v>
      </c>
      <c r="DC207" s="16">
        <v>-9999</v>
      </c>
      <c r="DD207" s="16">
        <v>-9999</v>
      </c>
      <c r="DE207" s="16">
        <v>-9999</v>
      </c>
      <c r="DF207" s="16">
        <v>-9999</v>
      </c>
      <c r="DG207" s="16">
        <v>-9999</v>
      </c>
      <c r="DH207" s="16">
        <v>-9999</v>
      </c>
      <c r="DI207" s="16">
        <v>-9999</v>
      </c>
      <c r="DJ207" s="16">
        <v>-9999</v>
      </c>
      <c r="DK207" s="16">
        <v>-9999</v>
      </c>
      <c r="DL207" s="16">
        <v>-9999</v>
      </c>
      <c r="DM207" s="16">
        <v>-9999</v>
      </c>
      <c r="DN207" s="16">
        <v>-9999</v>
      </c>
      <c r="DO207" s="16">
        <v>-9999</v>
      </c>
      <c r="DP207" s="16">
        <v>-9999</v>
      </c>
      <c r="DQ207" s="16">
        <v>-9999</v>
      </c>
      <c r="DR207" s="16">
        <v>-9999</v>
      </c>
      <c r="DS207" s="16">
        <v>-9999</v>
      </c>
      <c r="DT207" s="16">
        <v>-9999</v>
      </c>
      <c r="DU207" s="16">
        <v>-9999</v>
      </c>
      <c r="DV207" s="16">
        <v>-9999</v>
      </c>
      <c r="DW207" s="16">
        <v>-9999</v>
      </c>
      <c r="DX207" s="16">
        <v>-9999</v>
      </c>
      <c r="DY207" s="16">
        <v>-9999</v>
      </c>
      <c r="DZ207" s="16">
        <v>-9999</v>
      </c>
      <c r="EA207" s="2196">
        <v>-9999</v>
      </c>
      <c r="EB207" s="2196">
        <v>-9999</v>
      </c>
      <c r="EC207" s="2196">
        <v>-9999</v>
      </c>
      <c r="ED207" s="2196">
        <v>-9999</v>
      </c>
      <c r="EE207" s="2196">
        <v>-9999</v>
      </c>
      <c r="EF207" s="2197">
        <v>-9999</v>
      </c>
      <c r="EG207" s="2197">
        <v>-9999</v>
      </c>
      <c r="EH207" s="2197">
        <v>-9999</v>
      </c>
      <c r="EI207" s="2197">
        <v>-9999</v>
      </c>
      <c r="EJ207" s="2197">
        <v>-9999</v>
      </c>
      <c r="EK207" s="2197">
        <v>-9999</v>
      </c>
      <c r="EL207" s="2197">
        <v>-9999</v>
      </c>
      <c r="EM207" s="2197">
        <v>-9999</v>
      </c>
    </row>
    <row r="208" spans="1:143">
      <c r="A208" s="22">
        <v>108</v>
      </c>
      <c r="B208" s="1" t="s">
        <v>1967</v>
      </c>
      <c r="C208">
        <f ca="1">OFFSET(Sector1!F397,0,Last_forecast_year - 3-InputY!$G$3)</f>
        <v>0.12872</v>
      </c>
      <c r="D208">
        <f ca="1">OFFSET(Sector1!G397,0,Last_forecast_year - 3-InputY!$G$3)</f>
        <v>0.13106000000000001</v>
      </c>
      <c r="E208">
        <f ca="1">OFFSET(Sector1!H397,0,Last_forecast_year - 3-InputY!$G$3)</f>
        <v>0.13106000000000001</v>
      </c>
      <c r="F208">
        <f ca="1">OFFSET(Sector1!I397,0,Last_forecast_year - 3-InputY!$G$3)</f>
        <v>0.13106000000000001</v>
      </c>
      <c r="G208">
        <f ca="1">OFFSET(Sector1!J397,0,Last_forecast_year - 3-InputY!$G$3)</f>
        <v>0.13106000000000001</v>
      </c>
      <c r="H208" s="25">
        <v>-9999</v>
      </c>
      <c r="I208" s="25">
        <v>-9999</v>
      </c>
      <c r="J208" s="25">
        <v>-9999</v>
      </c>
      <c r="K208" s="25">
        <v>-9999</v>
      </c>
      <c r="L208" s="25">
        <v>-9999</v>
      </c>
      <c r="M208" s="25">
        <v>-9999</v>
      </c>
      <c r="N208" s="25">
        <v>-9999</v>
      </c>
      <c r="O208" s="25">
        <v>-9999</v>
      </c>
      <c r="P208"/>
      <c r="Q208"/>
      <c r="AA208" s="22">
        <v>108</v>
      </c>
      <c r="AB208" s="1040" t="str">
        <f t="shared" si="8"/>
        <v>COR CHANGE IN NET EQUITY IN PENSION FUNDS</v>
      </c>
      <c r="AC208" s="1040">
        <f>CHOOSE(Tables!$U$2,Transfer!CA208,Transfer!CN208,Transfer!DA208,Transfer!DN208,Transfer!EA208)</f>
        <v>-9999</v>
      </c>
      <c r="AD208" s="1040">
        <f>CHOOSE(Tables!$U$2,Transfer!CB208,Transfer!CO208,Transfer!DB208,Transfer!DO208,Transfer!EB208)</f>
        <v>-9999</v>
      </c>
      <c r="AE208" s="1040">
        <f>CHOOSE(Tables!$U$2,Transfer!CC208,Transfer!CP208,Transfer!DC208,Transfer!DP208,Transfer!EC208)</f>
        <v>-9999</v>
      </c>
      <c r="AF208" s="1040">
        <f>CHOOSE(Tables!$U$2,Transfer!CD208,Transfer!CQ208,Transfer!DD208,Transfer!DQ208,Transfer!ED208)</f>
        <v>-9999</v>
      </c>
      <c r="AG208" s="1040">
        <f>CHOOSE(Tables!$U$2,Transfer!CE208,Transfer!CR208,Transfer!DE208,Transfer!DR208,Transfer!EE208)</f>
        <v>-9999</v>
      </c>
      <c r="AH208" s="1040">
        <f>CHOOSE(Tables!$U$2,Transfer!CF208,Transfer!CS208,Transfer!DF208,Transfer!DS208,Transfer!EF208)</f>
        <v>-9999</v>
      </c>
      <c r="AI208" s="1040">
        <f>CHOOSE(Tables!$U$2,Transfer!CG208,Transfer!CT208,Transfer!DG208,Transfer!DT208,Transfer!EG208)</f>
        <v>-9999</v>
      </c>
      <c r="AJ208" s="1040">
        <f>CHOOSE(Tables!$U$2,Transfer!CH208,Transfer!CU208,Transfer!DH208,Transfer!DU208,Transfer!EH208)</f>
        <v>-9999</v>
      </c>
      <c r="AK208" s="1040">
        <f>CHOOSE(Tables!$U$2,Transfer!CI208,Transfer!CV208,Transfer!DI208,Transfer!DV208,Transfer!EI208)</f>
        <v>-9999</v>
      </c>
      <c r="AL208" s="1040">
        <f>CHOOSE(Tables!$U$2,Transfer!CJ208,Transfer!CW208,Transfer!DJ208,Transfer!DW208,Transfer!EJ208)</f>
        <v>-9999</v>
      </c>
      <c r="AM208" s="1040">
        <f>CHOOSE(Tables!$U$2,Transfer!CK208,Transfer!CX208,Transfer!DK208,Transfer!DX208,Transfer!EK208)</f>
        <v>-9999</v>
      </c>
      <c r="AN208" s="1040">
        <f>CHOOSE(Tables!$U$2,Transfer!CL208,Transfer!CY208,Transfer!DL208,Transfer!DY208,Transfer!EL208)</f>
        <v>-9999</v>
      </c>
      <c r="AO208" s="1040">
        <f>CHOOSE(Tables!$U$2,Transfer!CM208,Transfer!CZ208,Transfer!DM208,Transfer!DZ208,Transfer!EM208)</f>
        <v>-9999</v>
      </c>
      <c r="AR208" s="22">
        <v>108</v>
      </c>
      <c r="AS208" s="1" t="s">
        <v>1967</v>
      </c>
      <c r="AT208" s="24">
        <f t="shared" ca="1" si="10"/>
        <v>9999.1287200000006</v>
      </c>
      <c r="AU208" s="24">
        <f t="shared" ca="1" si="11"/>
        <v>9999.1310599999997</v>
      </c>
      <c r="AV208" s="24">
        <f t="shared" ca="1" si="12"/>
        <v>9999.1310599999997</v>
      </c>
      <c r="AW208" s="24">
        <f t="shared" ca="1" si="13"/>
        <v>9999.1310599999997</v>
      </c>
      <c r="AX208" s="24">
        <f t="shared" ca="1" si="14"/>
        <v>9999.1310599999997</v>
      </c>
      <c r="AY208" s="25">
        <f t="shared" si="19"/>
        <v>0</v>
      </c>
      <c r="AZ208" s="25">
        <f t="shared" si="16"/>
        <v>0</v>
      </c>
      <c r="BA208" s="25">
        <f t="shared" si="17"/>
        <v>0</v>
      </c>
      <c r="BB208" s="25">
        <f t="shared" si="18"/>
        <v>0</v>
      </c>
      <c r="BC208" s="25">
        <f t="shared" si="21"/>
        <v>0</v>
      </c>
      <c r="BD208" s="25">
        <f t="shared" si="21"/>
        <v>0</v>
      </c>
      <c r="BE208" s="25">
        <f t="shared" si="21"/>
        <v>0</v>
      </c>
      <c r="BF208" s="25">
        <f t="shared" si="21"/>
        <v>0</v>
      </c>
      <c r="CA208" s="16">
        <v>-9999</v>
      </c>
      <c r="CB208" s="16">
        <v>-9999</v>
      </c>
      <c r="CC208" s="16">
        <v>-9999</v>
      </c>
      <c r="CD208" s="16">
        <v>-9999</v>
      </c>
      <c r="CE208" s="16">
        <v>-9999</v>
      </c>
      <c r="CF208" s="16">
        <v>-9999</v>
      </c>
      <c r="CG208" s="16">
        <v>-9999</v>
      </c>
      <c r="CH208" s="16">
        <v>-9999</v>
      </c>
      <c r="CI208" s="16">
        <v>-9999</v>
      </c>
      <c r="CJ208" s="16">
        <v>-9999</v>
      </c>
      <c r="CK208" s="16">
        <v>-9999</v>
      </c>
      <c r="CL208" s="16">
        <v>-9999</v>
      </c>
      <c r="CM208" s="16">
        <v>-9999</v>
      </c>
      <c r="CN208" s="16">
        <v>-9999</v>
      </c>
      <c r="CO208" s="16">
        <v>-9999</v>
      </c>
      <c r="CP208" s="16">
        <v>-9999</v>
      </c>
      <c r="CQ208" s="16">
        <v>-9999</v>
      </c>
      <c r="CR208" s="16">
        <v>-9999</v>
      </c>
      <c r="CS208" s="16">
        <v>-9999</v>
      </c>
      <c r="CT208" s="16">
        <v>-9999</v>
      </c>
      <c r="CU208" s="16">
        <v>-9999</v>
      </c>
      <c r="CV208" s="16">
        <v>-9999</v>
      </c>
      <c r="CW208" s="16">
        <v>-9999</v>
      </c>
      <c r="CX208" s="16">
        <v>-9999</v>
      </c>
      <c r="CY208" s="16">
        <v>-9999</v>
      </c>
      <c r="CZ208" s="16">
        <v>-9999</v>
      </c>
      <c r="DA208" s="16">
        <v>-9999</v>
      </c>
      <c r="DB208" s="16">
        <v>-9999</v>
      </c>
      <c r="DC208" s="16">
        <v>-9999</v>
      </c>
      <c r="DD208" s="16">
        <v>-9999</v>
      </c>
      <c r="DE208" s="16">
        <v>-9999</v>
      </c>
      <c r="DF208" s="16">
        <v>-9999</v>
      </c>
      <c r="DG208" s="16">
        <v>-9999</v>
      </c>
      <c r="DH208" s="16">
        <v>-9999</v>
      </c>
      <c r="DI208" s="16">
        <v>-9999</v>
      </c>
      <c r="DJ208" s="16">
        <v>-9999</v>
      </c>
      <c r="DK208" s="16">
        <v>-9999</v>
      </c>
      <c r="DL208" s="16">
        <v>-9999</v>
      </c>
      <c r="DM208" s="16">
        <v>-9999</v>
      </c>
      <c r="DN208" s="16">
        <v>-9999</v>
      </c>
      <c r="DO208" s="16">
        <v>-9999</v>
      </c>
      <c r="DP208" s="16">
        <v>-9999</v>
      </c>
      <c r="DQ208" s="16">
        <v>-9999</v>
      </c>
      <c r="DR208" s="16">
        <v>-9999</v>
      </c>
      <c r="DS208" s="16">
        <v>-9999</v>
      </c>
      <c r="DT208" s="16">
        <v>-9999</v>
      </c>
      <c r="DU208" s="16">
        <v>-9999</v>
      </c>
      <c r="DV208" s="16">
        <v>-9999</v>
      </c>
      <c r="DW208" s="16">
        <v>-9999</v>
      </c>
      <c r="DX208" s="16">
        <v>-9999</v>
      </c>
      <c r="DY208" s="16">
        <v>-9999</v>
      </c>
      <c r="DZ208" s="16">
        <v>-9999</v>
      </c>
      <c r="EA208" s="2196">
        <v>-9999</v>
      </c>
      <c r="EB208" s="2196">
        <v>-9999</v>
      </c>
      <c r="EC208" s="2196">
        <v>-9999</v>
      </c>
      <c r="ED208" s="2196">
        <v>-9999</v>
      </c>
      <c r="EE208" s="2196">
        <v>-9999</v>
      </c>
      <c r="EF208" s="2197">
        <v>-9999</v>
      </c>
      <c r="EG208" s="2197">
        <v>-9999</v>
      </c>
      <c r="EH208" s="2197">
        <v>-9999</v>
      </c>
      <c r="EI208" s="2197">
        <v>-9999</v>
      </c>
      <c r="EJ208" s="2197">
        <v>-9999</v>
      </c>
      <c r="EK208" s="2197">
        <v>-9999</v>
      </c>
      <c r="EL208" s="2197">
        <v>-9999</v>
      </c>
      <c r="EM208" s="2197">
        <v>-9999</v>
      </c>
    </row>
    <row r="209" spans="1:149">
      <c r="A209" s="22">
        <v>109</v>
      </c>
      <c r="B209" s="1" t="s">
        <v>1968</v>
      </c>
      <c r="C209">
        <f ca="1">OFFSET(Sector1!F737,0,Last_forecast_year - 3-InputY!$G$3)</f>
        <v>4.6886099999999997</v>
      </c>
      <c r="D209">
        <f ca="1">OFFSET(Sector1!G737,0,Last_forecast_year - 3-InputY!$G$3)</f>
        <v>3.7375100000000003</v>
      </c>
      <c r="E209">
        <f ca="1">OFFSET(Sector1!H737,0,Last_forecast_year - 3-InputY!$G$3)</f>
        <v>4.1594073491796708</v>
      </c>
      <c r="F209">
        <f ca="1">OFFSET(Sector1!I737,0,Last_forecast_year - 3-InputY!$G$3)</f>
        <v>4.7105425170022883</v>
      </c>
      <c r="G209">
        <f ca="1">OFFSET(Sector1!J737,0,Last_forecast_year - 3-InputY!$G$3)</f>
        <v>5.1136643096866443</v>
      </c>
      <c r="H209" s="25">
        <v>-9999</v>
      </c>
      <c r="I209" s="25">
        <v>-9999</v>
      </c>
      <c r="J209" s="25">
        <v>-9999</v>
      </c>
      <c r="K209" s="25">
        <v>-9999</v>
      </c>
      <c r="L209" s="25">
        <v>-9999</v>
      </c>
      <c r="M209" s="25">
        <v>-9999</v>
      </c>
      <c r="N209" s="25">
        <v>-9999</v>
      </c>
      <c r="O209" s="25">
        <v>-9999</v>
      </c>
      <c r="P209" s="26"/>
      <c r="Q209"/>
      <c r="AA209" s="22">
        <v>109</v>
      </c>
      <c r="AB209" s="1040" t="str">
        <f t="shared" si="8"/>
        <v>COR GROSS CAPITAL FORMATION</v>
      </c>
      <c r="AC209" s="1040">
        <f>CHOOSE(Tables!$U$2,Transfer!CA209,Transfer!CN209,Transfer!DA209,Transfer!DN209,Transfer!EA209)</f>
        <v>-9999</v>
      </c>
      <c r="AD209" s="1040">
        <f>CHOOSE(Tables!$U$2,Transfer!CB209,Transfer!CO209,Transfer!DB209,Transfer!DO209,Transfer!EB209)</f>
        <v>-9999</v>
      </c>
      <c r="AE209" s="1040">
        <f>CHOOSE(Tables!$U$2,Transfer!CC209,Transfer!CP209,Transfer!DC209,Transfer!DP209,Transfer!EC209)</f>
        <v>-9999</v>
      </c>
      <c r="AF209" s="1040">
        <f>CHOOSE(Tables!$U$2,Transfer!CD209,Transfer!CQ209,Transfer!DD209,Transfer!DQ209,Transfer!ED209)</f>
        <v>-9999</v>
      </c>
      <c r="AG209" s="1040">
        <f>CHOOSE(Tables!$U$2,Transfer!CE209,Transfer!CR209,Transfer!DE209,Transfer!DR209,Transfer!EE209)</f>
        <v>-9999</v>
      </c>
      <c r="AH209" s="1040">
        <f>CHOOSE(Tables!$U$2,Transfer!CF209,Transfer!CS209,Transfer!DF209,Transfer!DS209,Transfer!EF209)</f>
        <v>-9999</v>
      </c>
      <c r="AI209" s="1040">
        <f>CHOOSE(Tables!$U$2,Transfer!CG209,Transfer!CT209,Transfer!DG209,Transfer!DT209,Transfer!EG209)</f>
        <v>-9999</v>
      </c>
      <c r="AJ209" s="1040">
        <f>CHOOSE(Tables!$U$2,Transfer!CH209,Transfer!CU209,Transfer!DH209,Transfer!DU209,Transfer!EH209)</f>
        <v>-9999</v>
      </c>
      <c r="AK209" s="1040">
        <f>CHOOSE(Tables!$U$2,Transfer!CI209,Transfer!CV209,Transfer!DI209,Transfer!DV209,Transfer!EI209)</f>
        <v>-9999</v>
      </c>
      <c r="AL209" s="1040">
        <f>CHOOSE(Tables!$U$2,Transfer!CJ209,Transfer!CW209,Transfer!DJ209,Transfer!DW209,Transfer!EJ209)</f>
        <v>-9999</v>
      </c>
      <c r="AM209" s="1040">
        <f>CHOOSE(Tables!$U$2,Transfer!CK209,Transfer!CX209,Transfer!DK209,Transfer!DX209,Transfer!EK209)</f>
        <v>-9999</v>
      </c>
      <c r="AN209" s="1040">
        <f>CHOOSE(Tables!$U$2,Transfer!CL209,Transfer!CY209,Transfer!DL209,Transfer!DY209,Transfer!EL209)</f>
        <v>-9999</v>
      </c>
      <c r="AO209" s="1040">
        <f>CHOOSE(Tables!$U$2,Transfer!CM209,Transfer!CZ209,Transfer!DM209,Transfer!DZ209,Transfer!EM209)</f>
        <v>-9999</v>
      </c>
      <c r="AR209" s="22">
        <v>109</v>
      </c>
      <c r="AS209" s="1" t="s">
        <v>1968</v>
      </c>
      <c r="AT209" s="24">
        <f t="shared" ca="1" si="10"/>
        <v>10003.688609999999</v>
      </c>
      <c r="AU209" s="24">
        <f t="shared" ca="1" si="11"/>
        <v>10002.737510000001</v>
      </c>
      <c r="AV209" s="24">
        <f t="shared" ca="1" si="12"/>
        <v>10003.15940734918</v>
      </c>
      <c r="AW209" s="24">
        <f t="shared" ca="1" si="13"/>
        <v>10003.710542517003</v>
      </c>
      <c r="AX209" s="24">
        <f t="shared" ca="1" si="14"/>
        <v>10004.113664309687</v>
      </c>
      <c r="AY209" s="25">
        <f t="shared" si="19"/>
        <v>0</v>
      </c>
      <c r="AZ209" s="25">
        <f t="shared" si="16"/>
        <v>0</v>
      </c>
      <c r="BA209" s="25">
        <f t="shared" si="17"/>
        <v>0</v>
      </c>
      <c r="BB209" s="25">
        <f t="shared" si="18"/>
        <v>0</v>
      </c>
      <c r="BC209" s="25">
        <f t="shared" si="21"/>
        <v>0</v>
      </c>
      <c r="BD209" s="25">
        <f t="shared" si="21"/>
        <v>0</v>
      </c>
      <c r="BE209" s="25">
        <f t="shared" si="21"/>
        <v>0</v>
      </c>
      <c r="BF209" s="25">
        <f t="shared" si="21"/>
        <v>0</v>
      </c>
      <c r="CA209" s="16">
        <v>-9999</v>
      </c>
      <c r="CB209" s="16">
        <v>-9999</v>
      </c>
      <c r="CC209" s="16">
        <v>-9999</v>
      </c>
      <c r="CD209" s="16">
        <v>-9999</v>
      </c>
      <c r="CE209" s="16">
        <v>-9999</v>
      </c>
      <c r="CF209" s="16">
        <v>-9999</v>
      </c>
      <c r="CG209" s="16">
        <v>-9999</v>
      </c>
      <c r="CH209" s="16">
        <v>-9999</v>
      </c>
      <c r="CI209" s="16">
        <v>-9999</v>
      </c>
      <c r="CJ209" s="16">
        <v>-9999</v>
      </c>
      <c r="CK209" s="16">
        <v>-9999</v>
      </c>
      <c r="CL209" s="16">
        <v>-9999</v>
      </c>
      <c r="CM209" s="16">
        <v>-9999</v>
      </c>
      <c r="CN209" s="16">
        <v>-9999</v>
      </c>
      <c r="CO209" s="16">
        <v>-9999</v>
      </c>
      <c r="CP209" s="16">
        <v>-9999</v>
      </c>
      <c r="CQ209" s="16">
        <v>-9999</v>
      </c>
      <c r="CR209" s="16">
        <v>-9999</v>
      </c>
      <c r="CS209" s="16">
        <v>-9999</v>
      </c>
      <c r="CT209" s="16">
        <v>-9999</v>
      </c>
      <c r="CU209" s="16">
        <v>-9999</v>
      </c>
      <c r="CV209" s="16">
        <v>-9999</v>
      </c>
      <c r="CW209" s="16">
        <v>-9999</v>
      </c>
      <c r="CX209" s="16">
        <v>-9999</v>
      </c>
      <c r="CY209" s="16">
        <v>-9999</v>
      </c>
      <c r="CZ209" s="16">
        <v>-9999</v>
      </c>
      <c r="DA209" s="16">
        <v>-9999</v>
      </c>
      <c r="DB209" s="16">
        <v>-9999</v>
      </c>
      <c r="DC209" s="16">
        <v>-9999</v>
      </c>
      <c r="DD209" s="16">
        <v>-9999</v>
      </c>
      <c r="DE209" s="16">
        <v>-9999</v>
      </c>
      <c r="DF209" s="16">
        <v>-9999</v>
      </c>
      <c r="DG209" s="16">
        <v>-9999</v>
      </c>
      <c r="DH209" s="16">
        <v>-9999</v>
      </c>
      <c r="DI209" s="16">
        <v>-9999</v>
      </c>
      <c r="DJ209" s="16">
        <v>-9999</v>
      </c>
      <c r="DK209" s="16">
        <v>-9999</v>
      </c>
      <c r="DL209" s="16">
        <v>-9999</v>
      </c>
      <c r="DM209" s="16">
        <v>-9999</v>
      </c>
      <c r="DN209" s="16">
        <v>-9999</v>
      </c>
      <c r="DO209" s="16">
        <v>-9999</v>
      </c>
      <c r="DP209" s="16">
        <v>-9999</v>
      </c>
      <c r="DQ209" s="16">
        <v>-9999</v>
      </c>
      <c r="DR209" s="16">
        <v>-9999</v>
      </c>
      <c r="DS209" s="16">
        <v>-9999</v>
      </c>
      <c r="DT209" s="16">
        <v>-9999</v>
      </c>
      <c r="DU209" s="16">
        <v>-9999</v>
      </c>
      <c r="DV209" s="16">
        <v>-9999</v>
      </c>
      <c r="DW209" s="16">
        <v>-9999</v>
      </c>
      <c r="DX209" s="16">
        <v>-9999</v>
      </c>
      <c r="DY209" s="16">
        <v>-9999</v>
      </c>
      <c r="DZ209" s="16">
        <v>-9999</v>
      </c>
      <c r="EA209" s="2196">
        <v>-9999</v>
      </c>
      <c r="EB209" s="2196">
        <v>-9999</v>
      </c>
      <c r="EC209" s="2196">
        <v>-9999</v>
      </c>
      <c r="ED209" s="2196">
        <v>-9999</v>
      </c>
      <c r="EE209" s="2196">
        <v>-9999</v>
      </c>
      <c r="EF209" s="2197">
        <v>-9999</v>
      </c>
      <c r="EG209" s="2197">
        <v>-9999</v>
      </c>
      <c r="EH209" s="2197">
        <v>-9999</v>
      </c>
      <c r="EI209" s="2197">
        <v>-9999</v>
      </c>
      <c r="EJ209" s="2197">
        <v>-9999</v>
      </c>
      <c r="EK209" s="2197">
        <v>-9999</v>
      </c>
      <c r="EL209" s="2197">
        <v>-9999</v>
      </c>
      <c r="EM209" s="2197">
        <v>-9999</v>
      </c>
    </row>
    <row r="210" spans="1:149">
      <c r="A210" s="22">
        <v>110</v>
      </c>
      <c r="B210" s="1" t="s">
        <v>1969</v>
      </c>
      <c r="C210">
        <f ca="1">OFFSET(Sector1!F742,0,Last_forecast_year - 3-InputY!$G$3)</f>
        <v>-0.4865600000000001</v>
      </c>
      <c r="D210">
        <f ca="1">OFFSET(Sector1!G742,0,Last_forecast_year - 3-InputY!$G$3)</f>
        <v>-0.27847</v>
      </c>
      <c r="E210">
        <f ca="1">OFFSET(Sector1!H742,0,Last_forecast_year - 3-InputY!$G$3)</f>
        <v>-0.25158999999999998</v>
      </c>
      <c r="F210">
        <f ca="1">OFFSET(Sector1!I742,0,Last_forecast_year - 3-InputY!$G$3)</f>
        <v>-0.22659159999999995</v>
      </c>
      <c r="G210">
        <f ca="1">OFFSET(Sector1!J742,0,Last_forecast_year - 3-InputY!$G$3)</f>
        <v>-0.20334308799999995</v>
      </c>
      <c r="H210" s="25">
        <v>-9999</v>
      </c>
      <c r="I210" s="25">
        <v>-9999</v>
      </c>
      <c r="J210" s="25">
        <v>-9999</v>
      </c>
      <c r="K210" s="25">
        <v>-9999</v>
      </c>
      <c r="L210" s="25">
        <v>-9999</v>
      </c>
      <c r="M210" s="25">
        <v>-9999</v>
      </c>
      <c r="N210" s="25">
        <v>-9999</v>
      </c>
      <c r="O210" s="25">
        <v>-9999</v>
      </c>
      <c r="P210"/>
      <c r="Q210"/>
      <c r="AA210" s="22">
        <v>110</v>
      </c>
      <c r="AB210" s="1040" t="str">
        <f t="shared" si="8"/>
        <v>COR OTHER CAPITAL EXPENDITURE (PAID-REC.)</v>
      </c>
      <c r="AC210" s="1040">
        <f>CHOOSE(Tables!$U$2,Transfer!CA210,Transfer!CN210,Transfer!DA210,Transfer!DN210,Transfer!EA210)</f>
        <v>-9999</v>
      </c>
      <c r="AD210" s="1040">
        <f>CHOOSE(Tables!$U$2,Transfer!CB210,Transfer!CO210,Transfer!DB210,Transfer!DO210,Transfer!EB210)</f>
        <v>-9999</v>
      </c>
      <c r="AE210" s="1040">
        <f>CHOOSE(Tables!$U$2,Transfer!CC210,Transfer!CP210,Transfer!DC210,Transfer!DP210,Transfer!EC210)</f>
        <v>-9999</v>
      </c>
      <c r="AF210" s="1040">
        <f>CHOOSE(Tables!$U$2,Transfer!CD210,Transfer!CQ210,Transfer!DD210,Transfer!DQ210,Transfer!ED210)</f>
        <v>-9999</v>
      </c>
      <c r="AG210" s="1040">
        <f>CHOOSE(Tables!$U$2,Transfer!CE210,Transfer!CR210,Transfer!DE210,Transfer!DR210,Transfer!EE210)</f>
        <v>-9999</v>
      </c>
      <c r="AH210" s="1040">
        <f>CHOOSE(Tables!$U$2,Transfer!CF210,Transfer!CS210,Transfer!DF210,Transfer!DS210,Transfer!EF210)</f>
        <v>-9999</v>
      </c>
      <c r="AI210" s="1040">
        <f>CHOOSE(Tables!$U$2,Transfer!CG210,Transfer!CT210,Transfer!DG210,Transfer!DT210,Transfer!EG210)</f>
        <v>-9999</v>
      </c>
      <c r="AJ210" s="1040">
        <f>CHOOSE(Tables!$U$2,Transfer!CH210,Transfer!CU210,Transfer!DH210,Transfer!DU210,Transfer!EH210)</f>
        <v>-9999</v>
      </c>
      <c r="AK210" s="1040">
        <f>CHOOSE(Tables!$U$2,Transfer!CI210,Transfer!CV210,Transfer!DI210,Transfer!DV210,Transfer!EI210)</f>
        <v>-9999</v>
      </c>
      <c r="AL210" s="1040">
        <f>CHOOSE(Tables!$U$2,Transfer!CJ210,Transfer!CW210,Transfer!DJ210,Transfer!DW210,Transfer!EJ210)</f>
        <v>-9999</v>
      </c>
      <c r="AM210" s="1040">
        <f>CHOOSE(Tables!$U$2,Transfer!CK210,Transfer!CX210,Transfer!DK210,Transfer!DX210,Transfer!EK210)</f>
        <v>-9999</v>
      </c>
      <c r="AN210" s="1040">
        <f>CHOOSE(Tables!$U$2,Transfer!CL210,Transfer!CY210,Transfer!DL210,Transfer!DY210,Transfer!EL210)</f>
        <v>-9999</v>
      </c>
      <c r="AO210" s="1040">
        <f>CHOOSE(Tables!$U$2,Transfer!CM210,Transfer!CZ210,Transfer!DM210,Transfer!DZ210,Transfer!EM210)</f>
        <v>-9999</v>
      </c>
      <c r="AR210" s="22">
        <v>110</v>
      </c>
      <c r="AS210" s="1" t="s">
        <v>1969</v>
      </c>
      <c r="AT210" s="24">
        <f t="shared" ca="1" si="10"/>
        <v>9998.5134400000006</v>
      </c>
      <c r="AU210" s="24">
        <f t="shared" ca="1" si="11"/>
        <v>9998.7215300000007</v>
      </c>
      <c r="AV210" s="24">
        <f t="shared" ca="1" si="12"/>
        <v>9998.7484100000001</v>
      </c>
      <c r="AW210" s="24">
        <f t="shared" ca="1" si="13"/>
        <v>9998.7734084000003</v>
      </c>
      <c r="AX210" s="24">
        <f t="shared" ca="1" si="14"/>
        <v>9998.7966569119999</v>
      </c>
      <c r="AY210" s="25">
        <f t="shared" si="19"/>
        <v>0</v>
      </c>
      <c r="AZ210" s="25">
        <f t="shared" si="16"/>
        <v>0</v>
      </c>
      <c r="BA210" s="25">
        <f t="shared" si="17"/>
        <v>0</v>
      </c>
      <c r="BB210" s="25">
        <f t="shared" si="18"/>
        <v>0</v>
      </c>
      <c r="BC210" s="25">
        <f t="shared" si="21"/>
        <v>0</v>
      </c>
      <c r="BD210" s="25">
        <f t="shared" si="21"/>
        <v>0</v>
      </c>
      <c r="BE210" s="25">
        <f t="shared" si="21"/>
        <v>0</v>
      </c>
      <c r="BF210" s="25">
        <f t="shared" si="21"/>
        <v>0</v>
      </c>
      <c r="CA210" s="16">
        <v>-9999</v>
      </c>
      <c r="CB210" s="16">
        <v>-9999</v>
      </c>
      <c r="CC210" s="16">
        <v>-9999</v>
      </c>
      <c r="CD210" s="16">
        <v>-9999</v>
      </c>
      <c r="CE210" s="16">
        <v>-9999</v>
      </c>
      <c r="CF210" s="16">
        <v>-9999</v>
      </c>
      <c r="CG210" s="16">
        <v>-9999</v>
      </c>
      <c r="CH210" s="16">
        <v>-9999</v>
      </c>
      <c r="CI210" s="16">
        <v>-9999</v>
      </c>
      <c r="CJ210" s="16">
        <v>-9999</v>
      </c>
      <c r="CK210" s="16">
        <v>-9999</v>
      </c>
      <c r="CL210" s="16">
        <v>-9999</v>
      </c>
      <c r="CM210" s="16">
        <v>-9999</v>
      </c>
      <c r="CN210" s="16">
        <v>-9999</v>
      </c>
      <c r="CO210" s="16">
        <v>-9999</v>
      </c>
      <c r="CP210" s="16">
        <v>-9999</v>
      </c>
      <c r="CQ210" s="16">
        <v>-9999</v>
      </c>
      <c r="CR210" s="16">
        <v>-9999</v>
      </c>
      <c r="CS210" s="16">
        <v>-9999</v>
      </c>
      <c r="CT210" s="16">
        <v>-9999</v>
      </c>
      <c r="CU210" s="16">
        <v>-9999</v>
      </c>
      <c r="CV210" s="16">
        <v>-9999</v>
      </c>
      <c r="CW210" s="16">
        <v>-9999</v>
      </c>
      <c r="CX210" s="16">
        <v>-9999</v>
      </c>
      <c r="CY210" s="16">
        <v>-9999</v>
      </c>
      <c r="CZ210" s="16">
        <v>-9999</v>
      </c>
      <c r="DA210" s="16">
        <v>-9999</v>
      </c>
      <c r="DB210" s="16">
        <v>-9999</v>
      </c>
      <c r="DC210" s="16">
        <v>-9999</v>
      </c>
      <c r="DD210" s="16">
        <v>-9999</v>
      </c>
      <c r="DE210" s="16">
        <v>-9999</v>
      </c>
      <c r="DF210" s="16">
        <v>-9999</v>
      </c>
      <c r="DG210" s="16">
        <v>-9999</v>
      </c>
      <c r="DH210" s="16">
        <v>-9999</v>
      </c>
      <c r="DI210" s="16">
        <v>-9999</v>
      </c>
      <c r="DJ210" s="16">
        <v>-9999</v>
      </c>
      <c r="DK210" s="16">
        <v>-9999</v>
      </c>
      <c r="DL210" s="16">
        <v>-9999</v>
      </c>
      <c r="DM210" s="16">
        <v>-9999</v>
      </c>
      <c r="DN210" s="16">
        <v>-9999</v>
      </c>
      <c r="DO210" s="16">
        <v>-9999</v>
      </c>
      <c r="DP210" s="16">
        <v>-9999</v>
      </c>
      <c r="DQ210" s="16">
        <v>-9999</v>
      </c>
      <c r="DR210" s="16">
        <v>-9999</v>
      </c>
      <c r="DS210" s="16">
        <v>-9999</v>
      </c>
      <c r="DT210" s="16">
        <v>-9999</v>
      </c>
      <c r="DU210" s="16">
        <v>-9999</v>
      </c>
      <c r="DV210" s="16">
        <v>-9999</v>
      </c>
      <c r="DW210" s="16">
        <v>-9999</v>
      </c>
      <c r="DX210" s="16">
        <v>-9999</v>
      </c>
      <c r="DY210" s="16">
        <v>-9999</v>
      </c>
      <c r="DZ210" s="16">
        <v>-9999</v>
      </c>
      <c r="EA210" s="2196">
        <v>-9999</v>
      </c>
      <c r="EB210" s="2196">
        <v>-9999</v>
      </c>
      <c r="EC210" s="2196">
        <v>-9999</v>
      </c>
      <c r="ED210" s="2196">
        <v>-9999</v>
      </c>
      <c r="EE210" s="2196">
        <v>-9999</v>
      </c>
      <c r="EF210" s="2197">
        <v>-9999</v>
      </c>
      <c r="EG210" s="2197">
        <v>-9999</v>
      </c>
      <c r="EH210" s="2197">
        <v>-9999</v>
      </c>
      <c r="EI210" s="2197">
        <v>-9999</v>
      </c>
      <c r="EJ210" s="2197">
        <v>-9999</v>
      </c>
      <c r="EK210" s="2197">
        <v>-9999</v>
      </c>
      <c r="EL210" s="2197">
        <v>-9999</v>
      </c>
      <c r="EM210" s="2197">
        <v>-9999</v>
      </c>
    </row>
    <row r="211" spans="1:149">
      <c r="A211" s="22">
        <v>111</v>
      </c>
      <c r="B211" s="30" t="s">
        <v>1705</v>
      </c>
      <c r="C211" s="25">
        <v>-9999</v>
      </c>
      <c r="D211" s="25">
        <v>-9999</v>
      </c>
      <c r="E211" s="25">
        <v>-9999</v>
      </c>
      <c r="F211" s="25">
        <v>-9999</v>
      </c>
      <c r="G211" s="25">
        <v>-9999</v>
      </c>
      <c r="H211" s="25">
        <v>-9999</v>
      </c>
      <c r="I211" s="25">
        <v>-9999</v>
      </c>
      <c r="J211" s="25">
        <v>-9999</v>
      </c>
      <c r="K211" s="25">
        <v>-9999</v>
      </c>
      <c r="L211" s="25">
        <v>-9999</v>
      </c>
      <c r="M211" s="25">
        <v>-9999</v>
      </c>
      <c r="N211" s="25">
        <v>-9999</v>
      </c>
      <c r="O211" s="25">
        <v>-9999</v>
      </c>
      <c r="P211" s="26"/>
      <c r="Q211"/>
      <c r="AA211" s="22">
        <v>111</v>
      </c>
      <c r="AB211" s="1040" t="str">
        <f t="shared" si="8"/>
        <v>FOR FUTURE USE</v>
      </c>
      <c r="AC211" s="1040">
        <f>CHOOSE(Tables!$U$2,Transfer!CA211,Transfer!CN211,Transfer!DA211,Transfer!DN211,Transfer!EA211)</f>
        <v>-9999</v>
      </c>
      <c r="AD211" s="1040">
        <f>CHOOSE(Tables!$U$2,Transfer!CB211,Transfer!CO211,Transfer!DB211,Transfer!DO211,Transfer!EB211)</f>
        <v>-9999</v>
      </c>
      <c r="AE211" s="1040">
        <f>CHOOSE(Tables!$U$2,Transfer!CC211,Transfer!CP211,Transfer!DC211,Transfer!DP211,Transfer!EC211)</f>
        <v>-9999</v>
      </c>
      <c r="AF211" s="1040">
        <f>CHOOSE(Tables!$U$2,Transfer!CD211,Transfer!CQ211,Transfer!DD211,Transfer!DQ211,Transfer!ED211)</f>
        <v>-9999</v>
      </c>
      <c r="AG211" s="1040">
        <f>CHOOSE(Tables!$U$2,Transfer!CE211,Transfer!CR211,Transfer!DE211,Transfer!DR211,Transfer!EE211)</f>
        <v>-9999</v>
      </c>
      <c r="AH211" s="1040">
        <f>CHOOSE(Tables!$U$2,Transfer!CF211,Transfer!CS211,Transfer!DF211,Transfer!DS211,Transfer!EF211)</f>
        <v>-9999</v>
      </c>
      <c r="AI211" s="1040">
        <f>CHOOSE(Tables!$U$2,Transfer!CG211,Transfer!CT211,Transfer!DG211,Transfer!DT211,Transfer!EG211)</f>
        <v>-9999</v>
      </c>
      <c r="AJ211" s="1040">
        <f>CHOOSE(Tables!$U$2,Transfer!CH211,Transfer!CU211,Transfer!DH211,Transfer!DU211,Transfer!EH211)</f>
        <v>-9999</v>
      </c>
      <c r="AK211" s="1040">
        <f>CHOOSE(Tables!$U$2,Transfer!CI211,Transfer!CV211,Transfer!DI211,Transfer!DV211,Transfer!EI211)</f>
        <v>-9999</v>
      </c>
      <c r="AL211" s="1040">
        <f>CHOOSE(Tables!$U$2,Transfer!CJ211,Transfer!CW211,Transfer!DJ211,Transfer!DW211,Transfer!EJ211)</f>
        <v>-9999</v>
      </c>
      <c r="AM211" s="1040">
        <f>CHOOSE(Tables!$U$2,Transfer!CK211,Transfer!CX211,Transfer!DK211,Transfer!DX211,Transfer!EK211)</f>
        <v>-9999</v>
      </c>
      <c r="AN211" s="1040">
        <f>CHOOSE(Tables!$U$2,Transfer!CL211,Transfer!CY211,Transfer!DL211,Transfer!DY211,Transfer!EL211)</f>
        <v>-9999</v>
      </c>
      <c r="AO211" s="1040">
        <f>CHOOSE(Tables!$U$2,Transfer!CM211,Transfer!CZ211,Transfer!DM211,Transfer!DZ211,Transfer!EM211)</f>
        <v>-9999</v>
      </c>
      <c r="AR211" s="22">
        <v>111</v>
      </c>
      <c r="AS211" s="30" t="s">
        <v>1705</v>
      </c>
      <c r="AT211" s="25">
        <f t="shared" si="10"/>
        <v>0</v>
      </c>
      <c r="AU211" s="25">
        <f t="shared" si="11"/>
        <v>0</v>
      </c>
      <c r="AV211" s="25">
        <f t="shared" si="12"/>
        <v>0</v>
      </c>
      <c r="AW211" s="25">
        <f t="shared" si="13"/>
        <v>0</v>
      </c>
      <c r="AX211" s="25">
        <f t="shared" si="14"/>
        <v>0</v>
      </c>
      <c r="AY211" s="25">
        <f t="shared" si="15"/>
        <v>0</v>
      </c>
      <c r="AZ211" s="25">
        <f t="shared" si="16"/>
        <v>0</v>
      </c>
      <c r="BA211" s="25">
        <f t="shared" si="17"/>
        <v>0</v>
      </c>
      <c r="BB211" s="25">
        <f t="shared" si="18"/>
        <v>0</v>
      </c>
      <c r="BC211" s="25">
        <f t="shared" si="21"/>
        <v>0</v>
      </c>
      <c r="BD211" s="25">
        <f t="shared" si="21"/>
        <v>0</v>
      </c>
      <c r="BE211" s="25">
        <f t="shared" si="21"/>
        <v>0</v>
      </c>
      <c r="BF211" s="25">
        <f t="shared" si="21"/>
        <v>0</v>
      </c>
      <c r="CA211" s="16">
        <v>-9999</v>
      </c>
      <c r="CB211" s="16">
        <v>-9999</v>
      </c>
      <c r="CC211" s="16">
        <v>-9999</v>
      </c>
      <c r="CD211" s="16">
        <v>-9999</v>
      </c>
      <c r="CE211" s="16">
        <v>-9999</v>
      </c>
      <c r="CF211" s="16">
        <v>-9999</v>
      </c>
      <c r="CG211" s="16">
        <v>-9999</v>
      </c>
      <c r="CH211" s="16">
        <v>-9999</v>
      </c>
      <c r="CI211" s="16">
        <v>-9999</v>
      </c>
      <c r="CJ211" s="16">
        <v>-9999</v>
      </c>
      <c r="CK211" s="16">
        <v>-9999</v>
      </c>
      <c r="CL211" s="16">
        <v>-9999</v>
      </c>
      <c r="CM211" s="16">
        <v>-9999</v>
      </c>
      <c r="CN211" s="16">
        <v>-9999</v>
      </c>
      <c r="CO211" s="16">
        <v>-9999</v>
      </c>
      <c r="CP211" s="16">
        <v>-9999</v>
      </c>
      <c r="CQ211" s="16">
        <v>-9999</v>
      </c>
      <c r="CR211" s="16">
        <v>-9999</v>
      </c>
      <c r="CS211" s="16">
        <v>-9999</v>
      </c>
      <c r="CT211" s="16">
        <v>-9999</v>
      </c>
      <c r="CU211" s="16">
        <v>-9999</v>
      </c>
      <c r="CV211" s="16">
        <v>-9999</v>
      </c>
      <c r="CW211" s="16">
        <v>-9999</v>
      </c>
      <c r="CX211" s="16">
        <v>-9999</v>
      </c>
      <c r="CY211" s="16">
        <v>-9999</v>
      </c>
      <c r="CZ211" s="16">
        <v>-9999</v>
      </c>
      <c r="DA211" s="16">
        <v>-9999</v>
      </c>
      <c r="DB211" s="16">
        <v>-9999</v>
      </c>
      <c r="DC211" s="16">
        <v>-9999</v>
      </c>
      <c r="DD211" s="16">
        <v>-9999</v>
      </c>
      <c r="DE211" s="16">
        <v>-9999</v>
      </c>
      <c r="DF211" s="16">
        <v>-9999</v>
      </c>
      <c r="DG211" s="16">
        <v>-9999</v>
      </c>
      <c r="DH211" s="16">
        <v>-9999</v>
      </c>
      <c r="DI211" s="16">
        <v>-9999</v>
      </c>
      <c r="DJ211" s="16">
        <v>-9999</v>
      </c>
      <c r="DK211" s="16">
        <v>-9999</v>
      </c>
      <c r="DL211" s="16">
        <v>-9999</v>
      </c>
      <c r="DM211" s="16">
        <v>-9999</v>
      </c>
      <c r="DN211" s="16">
        <v>-9999</v>
      </c>
      <c r="DO211" s="16">
        <v>-9999</v>
      </c>
      <c r="DP211" s="16">
        <v>-9999</v>
      </c>
      <c r="DQ211" s="16">
        <v>-9999</v>
      </c>
      <c r="DR211" s="16">
        <v>-9999</v>
      </c>
      <c r="DS211" s="16">
        <v>-9999</v>
      </c>
      <c r="DT211" s="16">
        <v>-9999</v>
      </c>
      <c r="DU211" s="16">
        <v>-9999</v>
      </c>
      <c r="DV211" s="16">
        <v>-9999</v>
      </c>
      <c r="DW211" s="16">
        <v>-9999</v>
      </c>
      <c r="DX211" s="16">
        <v>-9999</v>
      </c>
      <c r="DY211" s="16">
        <v>-9999</v>
      </c>
      <c r="DZ211" s="16">
        <v>-9999</v>
      </c>
      <c r="EA211" s="2197">
        <v>-9999</v>
      </c>
      <c r="EB211" s="2197">
        <v>-9999</v>
      </c>
      <c r="EC211" s="2197">
        <v>-9999</v>
      </c>
      <c r="ED211" s="2197">
        <v>-9999</v>
      </c>
      <c r="EE211" s="2197">
        <v>-9999</v>
      </c>
      <c r="EF211" s="2197">
        <v>-9999</v>
      </c>
      <c r="EG211" s="2197">
        <v>-9999</v>
      </c>
      <c r="EH211" s="2197">
        <v>-9999</v>
      </c>
      <c r="EI211" s="2197">
        <v>-9999</v>
      </c>
      <c r="EJ211" s="2197">
        <v>-9999</v>
      </c>
      <c r="EK211" s="2197">
        <v>-9999</v>
      </c>
      <c r="EL211" s="2197">
        <v>-9999</v>
      </c>
      <c r="EM211" s="2197">
        <v>-9999</v>
      </c>
    </row>
    <row r="212" spans="1:149">
      <c r="A212" s="22">
        <v>112</v>
      </c>
      <c r="B212" s="30" t="s">
        <v>1705</v>
      </c>
      <c r="C212" s="25">
        <v>-9999</v>
      </c>
      <c r="D212" s="25">
        <v>-9999</v>
      </c>
      <c r="E212" s="25">
        <v>-9999</v>
      </c>
      <c r="F212" s="25">
        <v>-9999</v>
      </c>
      <c r="G212" s="25">
        <v>-9999</v>
      </c>
      <c r="H212" s="25">
        <v>-9999</v>
      </c>
      <c r="I212" s="25">
        <v>-9999</v>
      </c>
      <c r="J212" s="25">
        <v>-9999</v>
      </c>
      <c r="K212" s="25">
        <v>-9999</v>
      </c>
      <c r="L212" s="25">
        <v>-9999</v>
      </c>
      <c r="M212" s="25">
        <v>-9999</v>
      </c>
      <c r="N212" s="25">
        <v>-9999</v>
      </c>
      <c r="O212" s="25">
        <v>-9999</v>
      </c>
      <c r="P212" s="26"/>
      <c r="Q212"/>
      <c r="AA212" s="22">
        <v>112</v>
      </c>
      <c r="AB212" s="1040" t="str">
        <f t="shared" si="8"/>
        <v>FOR FUTURE USE</v>
      </c>
      <c r="AC212" s="1040">
        <f>CHOOSE(Tables!$U$2,Transfer!CA212,Transfer!CN212,Transfer!DA212,Transfer!DN212,Transfer!EA212)</f>
        <v>-9999</v>
      </c>
      <c r="AD212" s="1040">
        <f>CHOOSE(Tables!$U$2,Transfer!CB212,Transfer!CO212,Transfer!DB212,Transfer!DO212,Transfer!EB212)</f>
        <v>-9999</v>
      </c>
      <c r="AE212" s="1040">
        <f>CHOOSE(Tables!$U$2,Transfer!CC212,Transfer!CP212,Transfer!DC212,Transfer!DP212,Transfer!EC212)</f>
        <v>-9999</v>
      </c>
      <c r="AF212" s="1040">
        <f>CHOOSE(Tables!$U$2,Transfer!CD212,Transfer!CQ212,Transfer!DD212,Transfer!DQ212,Transfer!ED212)</f>
        <v>-9999</v>
      </c>
      <c r="AG212" s="1040">
        <f>CHOOSE(Tables!$U$2,Transfer!CE212,Transfer!CR212,Transfer!DE212,Transfer!DR212,Transfer!EE212)</f>
        <v>-9999</v>
      </c>
      <c r="AH212" s="1040">
        <f>CHOOSE(Tables!$U$2,Transfer!CF212,Transfer!CS212,Transfer!DF212,Transfer!DS212,Transfer!EF212)</f>
        <v>-9999</v>
      </c>
      <c r="AI212" s="1040">
        <f>CHOOSE(Tables!$U$2,Transfer!CG212,Transfer!CT212,Transfer!DG212,Transfer!DT212,Transfer!EG212)</f>
        <v>-9999</v>
      </c>
      <c r="AJ212" s="1040">
        <f>CHOOSE(Tables!$U$2,Transfer!CH212,Transfer!CU212,Transfer!DH212,Transfer!DU212,Transfer!EH212)</f>
        <v>-9999</v>
      </c>
      <c r="AK212" s="1040">
        <f>CHOOSE(Tables!$U$2,Transfer!CI212,Transfer!CV212,Transfer!DI212,Transfer!DV212,Transfer!EI212)</f>
        <v>-9999</v>
      </c>
      <c r="AL212" s="1040">
        <f>CHOOSE(Tables!$U$2,Transfer!CJ212,Transfer!CW212,Transfer!DJ212,Transfer!DW212,Transfer!EJ212)</f>
        <v>-9999</v>
      </c>
      <c r="AM212" s="1040">
        <f>CHOOSE(Tables!$U$2,Transfer!CK212,Transfer!CX212,Transfer!DK212,Transfer!DX212,Transfer!EK212)</f>
        <v>-9999</v>
      </c>
      <c r="AN212" s="1040">
        <f>CHOOSE(Tables!$U$2,Transfer!CL212,Transfer!CY212,Transfer!DL212,Transfer!DY212,Transfer!EL212)</f>
        <v>-9999</v>
      </c>
      <c r="AO212" s="1040">
        <f>CHOOSE(Tables!$U$2,Transfer!CM212,Transfer!CZ212,Transfer!DM212,Transfer!DZ212,Transfer!EM212)</f>
        <v>-9999</v>
      </c>
      <c r="AR212" s="22">
        <v>112</v>
      </c>
      <c r="AS212" s="30" t="s">
        <v>1705</v>
      </c>
      <c r="AT212" s="25">
        <f t="shared" si="10"/>
        <v>0</v>
      </c>
      <c r="AU212" s="25">
        <f t="shared" si="11"/>
        <v>0</v>
      </c>
      <c r="AV212" s="25">
        <f t="shared" si="12"/>
        <v>0</v>
      </c>
      <c r="AW212" s="25">
        <f t="shared" si="13"/>
        <v>0</v>
      </c>
      <c r="AX212" s="25">
        <f t="shared" si="14"/>
        <v>0</v>
      </c>
      <c r="AY212" s="25">
        <f t="shared" si="15"/>
        <v>0</v>
      </c>
      <c r="AZ212" s="25">
        <f t="shared" si="16"/>
        <v>0</v>
      </c>
      <c r="BA212" s="25">
        <f t="shared" si="17"/>
        <v>0</v>
      </c>
      <c r="BB212" s="25">
        <f t="shared" si="18"/>
        <v>0</v>
      </c>
      <c r="BC212" s="25">
        <f t="shared" si="21"/>
        <v>0</v>
      </c>
      <c r="BD212" s="25">
        <f t="shared" si="21"/>
        <v>0</v>
      </c>
      <c r="BE212" s="25">
        <f t="shared" si="21"/>
        <v>0</v>
      </c>
      <c r="BF212" s="25">
        <f t="shared" si="21"/>
        <v>0</v>
      </c>
      <c r="CA212" s="16">
        <v>-9999</v>
      </c>
      <c r="CB212" s="16">
        <v>-9999</v>
      </c>
      <c r="CC212" s="16">
        <v>-9999</v>
      </c>
      <c r="CD212" s="16">
        <v>-9999</v>
      </c>
      <c r="CE212" s="16">
        <v>-9999</v>
      </c>
      <c r="CF212" s="16">
        <v>-9999</v>
      </c>
      <c r="CG212" s="16">
        <v>-9999</v>
      </c>
      <c r="CH212" s="16">
        <v>-9999</v>
      </c>
      <c r="CI212" s="16">
        <v>-9999</v>
      </c>
      <c r="CJ212" s="16">
        <v>-9999</v>
      </c>
      <c r="CK212" s="16">
        <v>-9999</v>
      </c>
      <c r="CL212" s="16">
        <v>-9999</v>
      </c>
      <c r="CM212" s="16">
        <v>-9999</v>
      </c>
      <c r="CN212" s="16">
        <v>-9999</v>
      </c>
      <c r="CO212" s="16">
        <v>-9999</v>
      </c>
      <c r="CP212" s="16">
        <v>-9999</v>
      </c>
      <c r="CQ212" s="16">
        <v>-9999</v>
      </c>
      <c r="CR212" s="16">
        <v>-9999</v>
      </c>
      <c r="CS212" s="16">
        <v>-9999</v>
      </c>
      <c r="CT212" s="16">
        <v>-9999</v>
      </c>
      <c r="CU212" s="16">
        <v>-9999</v>
      </c>
      <c r="CV212" s="16">
        <v>-9999</v>
      </c>
      <c r="CW212" s="16">
        <v>-9999</v>
      </c>
      <c r="CX212" s="16">
        <v>-9999</v>
      </c>
      <c r="CY212" s="16">
        <v>-9999</v>
      </c>
      <c r="CZ212" s="16">
        <v>-9999</v>
      </c>
      <c r="DA212" s="16">
        <v>-9999</v>
      </c>
      <c r="DB212" s="16">
        <v>-9999</v>
      </c>
      <c r="DC212" s="16">
        <v>-9999</v>
      </c>
      <c r="DD212" s="16">
        <v>-9999</v>
      </c>
      <c r="DE212" s="16">
        <v>-9999</v>
      </c>
      <c r="DF212" s="16">
        <v>-9999</v>
      </c>
      <c r="DG212" s="16">
        <v>-9999</v>
      </c>
      <c r="DH212" s="16">
        <v>-9999</v>
      </c>
      <c r="DI212" s="16">
        <v>-9999</v>
      </c>
      <c r="DJ212" s="16">
        <v>-9999</v>
      </c>
      <c r="DK212" s="16">
        <v>-9999</v>
      </c>
      <c r="DL212" s="16">
        <v>-9999</v>
      </c>
      <c r="DM212" s="16">
        <v>-9999</v>
      </c>
      <c r="DN212" s="16">
        <v>-9999</v>
      </c>
      <c r="DO212" s="16">
        <v>-9999</v>
      </c>
      <c r="DP212" s="16">
        <v>-9999</v>
      </c>
      <c r="DQ212" s="16">
        <v>-9999</v>
      </c>
      <c r="DR212" s="16">
        <v>-9999</v>
      </c>
      <c r="DS212" s="16">
        <v>-9999</v>
      </c>
      <c r="DT212" s="16">
        <v>-9999</v>
      </c>
      <c r="DU212" s="16">
        <v>-9999</v>
      </c>
      <c r="DV212" s="16">
        <v>-9999</v>
      </c>
      <c r="DW212" s="16">
        <v>-9999</v>
      </c>
      <c r="DX212" s="16">
        <v>-9999</v>
      </c>
      <c r="DY212" s="16">
        <v>-9999</v>
      </c>
      <c r="DZ212" s="16">
        <v>-9999</v>
      </c>
      <c r="EA212" s="2197">
        <v>-9999</v>
      </c>
      <c r="EB212" s="2197">
        <v>-9999</v>
      </c>
      <c r="EC212" s="2197">
        <v>-9999</v>
      </c>
      <c r="ED212" s="2197">
        <v>-9999</v>
      </c>
      <c r="EE212" s="2197">
        <v>-9999</v>
      </c>
      <c r="EF212" s="2197">
        <v>-9999</v>
      </c>
      <c r="EG212" s="2197">
        <v>-9999</v>
      </c>
      <c r="EH212" s="2197">
        <v>-9999</v>
      </c>
      <c r="EI212" s="2197">
        <v>-9999</v>
      </c>
      <c r="EJ212" s="2197">
        <v>-9999</v>
      </c>
      <c r="EK212" s="2197">
        <v>-9999</v>
      </c>
      <c r="EL212" s="2197">
        <v>-9999</v>
      </c>
      <c r="EM212" s="2197">
        <v>-9999</v>
      </c>
    </row>
    <row r="213" spans="1:149">
      <c r="A213" s="22">
        <v>113</v>
      </c>
      <c r="B213" s="1" t="s">
        <v>1077</v>
      </c>
      <c r="C213" s="24">
        <f ca="1">OFFSET(Sector1!F13,0,Last_forecast_year - 3-InputY!$G$3)</f>
        <v>4.3436300000000001</v>
      </c>
      <c r="D213" s="3309">
        <f ca="1">OFFSET(Sector1!G13,0,Last_forecast_year - 3-InputY!$G$3)</f>
        <v>4.5327600000000006</v>
      </c>
      <c r="E213" s="24">
        <f ca="1">OFFSET(Sector1!H13,0,Last_forecast_year - 3-InputY!$G$3)</f>
        <v>4.9279856999999998</v>
      </c>
      <c r="F213" s="24">
        <f ca="1">OFFSET(Sector1!I13,0,Last_forecast_year - 3-InputY!$G$3)</f>
        <v>5.2460899270192165</v>
      </c>
      <c r="G213" s="24">
        <f ca="1">OFFSET(Sector1!J13,0,Last_forecast_year - 3-InputY!$G$3)</f>
        <v>5.5409120675982919</v>
      </c>
      <c r="H213" s="25">
        <v>-9999</v>
      </c>
      <c r="I213" s="25">
        <v>-9999</v>
      </c>
      <c r="J213" s="25">
        <v>-9999</v>
      </c>
      <c r="K213" s="25">
        <v>-9999</v>
      </c>
      <c r="L213" s="25">
        <v>-9999</v>
      </c>
      <c r="M213" s="25">
        <v>-9999</v>
      </c>
      <c r="N213" s="25">
        <v>-9999</v>
      </c>
      <c r="O213" s="25">
        <v>-9999</v>
      </c>
      <c r="P213" s="26"/>
      <c r="Q213"/>
      <c r="U213" s="3311"/>
      <c r="V213" s="3311"/>
      <c r="W213" s="3311"/>
      <c r="AA213" s="22">
        <v>113</v>
      </c>
      <c r="AB213" s="1040" t="str">
        <f t="shared" si="8"/>
        <v>GG TAXES ON PRODUCTION AND IMPORTS</v>
      </c>
      <c r="AC213" s="1040">
        <f>CHOOSE(Tables!$U$2,Transfer!CA213,Transfer!CN213,Transfer!DA213,Transfer!DN213,Transfer!EA213)</f>
        <v>12.311030000000001</v>
      </c>
      <c r="AD213" s="1040">
        <f>CHOOSE(Tables!$U$2,Transfer!CB213,Transfer!CO213,Transfer!DB213,Transfer!DO213,Transfer!EB213)</f>
        <v>12.620799999999999</v>
      </c>
      <c r="AE213" s="1040">
        <f>CHOOSE(Tables!$U$2,Transfer!CC213,Transfer!CP213,Transfer!DC213,Transfer!DP213,Transfer!EC213)</f>
        <v>12.956945699999997</v>
      </c>
      <c r="AF213" s="1040">
        <f>CHOOSE(Tables!$U$2,Transfer!CD213,Transfer!CQ213,Transfer!DD213,Transfer!DQ213,Transfer!ED213)</f>
        <v>13.474522965</v>
      </c>
      <c r="AG213" s="1040">
        <f>CHOOSE(Tables!$U$2,Transfer!CE213,Transfer!CR213,Transfer!DE213,Transfer!DR213,Transfer!EE213)</f>
        <v>14.211842835449998</v>
      </c>
      <c r="AH213" s="1040">
        <f>CHOOSE(Tables!$U$2,Transfer!CF213,Transfer!CS213,Transfer!DF213,Transfer!DS213,Transfer!EF213)</f>
        <v>-9999</v>
      </c>
      <c r="AI213" s="1040">
        <f>CHOOSE(Tables!$U$2,Transfer!CG213,Transfer!CT213,Transfer!DG213,Transfer!DT213,Transfer!EG213)</f>
        <v>-9999</v>
      </c>
      <c r="AJ213" s="1040">
        <f>CHOOSE(Tables!$U$2,Transfer!CH213,Transfer!CU213,Transfer!DH213,Transfer!DU213,Transfer!EH213)</f>
        <v>-9999</v>
      </c>
      <c r="AK213" s="1040">
        <f>CHOOSE(Tables!$U$2,Transfer!CI213,Transfer!CV213,Transfer!DI213,Transfer!DV213,Transfer!EI213)</f>
        <v>-9999</v>
      </c>
      <c r="AL213" s="1040">
        <f>CHOOSE(Tables!$U$2,Transfer!CJ213,Transfer!CW213,Transfer!DJ213,Transfer!DW213,Transfer!EJ213)</f>
        <v>-9999</v>
      </c>
      <c r="AM213" s="1040">
        <f>CHOOSE(Tables!$U$2,Transfer!CK213,Transfer!CX213,Transfer!DK213,Transfer!DX213,Transfer!EK213)</f>
        <v>-9999</v>
      </c>
      <c r="AN213" s="1040">
        <f>CHOOSE(Tables!$U$2,Transfer!CL213,Transfer!CY213,Transfer!DL213,Transfer!DY213,Transfer!EL213)</f>
        <v>-9999</v>
      </c>
      <c r="AO213" s="1040">
        <f>CHOOSE(Tables!$U$2,Transfer!CM213,Transfer!CZ213,Transfer!DM213,Transfer!DZ213,Transfer!EM213)</f>
        <v>-9999</v>
      </c>
      <c r="AR213" s="22">
        <v>113</v>
      </c>
      <c r="AS213" s="1" t="s">
        <v>1077</v>
      </c>
      <c r="AT213" s="24">
        <f t="shared" ca="1" si="10"/>
        <v>-7.9674000000000005</v>
      </c>
      <c r="AU213" s="24">
        <f t="shared" ca="1" si="11"/>
        <v>-8.0880399999999995</v>
      </c>
      <c r="AV213" s="24">
        <f t="shared" ca="1" si="12"/>
        <v>-8.0289599999999979</v>
      </c>
      <c r="AW213" s="24">
        <f t="shared" ca="1" si="13"/>
        <v>-8.2284330379807837</v>
      </c>
      <c r="AX213" s="24">
        <f t="shared" ca="1" si="14"/>
        <v>-8.670930767851706</v>
      </c>
      <c r="AY213" s="25">
        <f t="shared" si="15"/>
        <v>0</v>
      </c>
      <c r="AZ213" s="25">
        <f t="shared" si="16"/>
        <v>0</v>
      </c>
      <c r="BA213" s="25">
        <f t="shared" si="17"/>
        <v>0</v>
      </c>
      <c r="BB213" s="25">
        <f t="shared" si="18"/>
        <v>0</v>
      </c>
      <c r="BC213" s="25">
        <f t="shared" si="21"/>
        <v>0</v>
      </c>
      <c r="BD213" s="25">
        <f t="shared" si="21"/>
        <v>0</v>
      </c>
      <c r="BE213" s="25">
        <f t="shared" si="21"/>
        <v>0</v>
      </c>
      <c r="BF213" s="25">
        <f t="shared" si="21"/>
        <v>0</v>
      </c>
      <c r="CA213" s="16">
        <v>3.8767</v>
      </c>
      <c r="CB213" s="16">
        <v>4.1194600000000001</v>
      </c>
      <c r="CC213" s="16">
        <v>4.3837418044999996</v>
      </c>
      <c r="CD213" s="16">
        <v>4.5809818505550002</v>
      </c>
      <c r="CE213" s="16">
        <v>4.9156312420940447</v>
      </c>
      <c r="CF213" s="16">
        <v>-9999</v>
      </c>
      <c r="CG213" s="16">
        <v>-9999</v>
      </c>
      <c r="CH213" s="16">
        <v>-9999</v>
      </c>
      <c r="CI213" s="16">
        <v>-9999</v>
      </c>
      <c r="CJ213" s="16">
        <v>-9999</v>
      </c>
      <c r="CK213" s="16">
        <v>-9999</v>
      </c>
      <c r="CL213" s="16">
        <v>-9999</v>
      </c>
      <c r="CM213" s="16">
        <v>-9999</v>
      </c>
      <c r="CN213" s="16">
        <v>3.7240674199999999</v>
      </c>
      <c r="CO213" s="16">
        <v>3.8766971699999999</v>
      </c>
      <c r="CP213" s="16">
        <v>4.0717908251018535</v>
      </c>
      <c r="CQ213" s="16">
        <v>4.2740285921689454</v>
      </c>
      <c r="CR213" s="16">
        <v>4.541706564294687</v>
      </c>
      <c r="CS213" s="16">
        <v>-9999</v>
      </c>
      <c r="CT213" s="16">
        <v>-9999</v>
      </c>
      <c r="CU213" s="16">
        <v>-9999</v>
      </c>
      <c r="CV213" s="16">
        <v>-9999</v>
      </c>
      <c r="CW213" s="16">
        <v>-9999</v>
      </c>
      <c r="CX213" s="16">
        <v>-9999</v>
      </c>
      <c r="CY213" s="16">
        <v>-9999</v>
      </c>
      <c r="CZ213" s="16">
        <v>-9999</v>
      </c>
      <c r="DA213" s="16">
        <v>3.8767</v>
      </c>
      <c r="DB213" s="16">
        <v>4.1194600000000001</v>
      </c>
      <c r="DC213" s="16">
        <v>4.2333525263830554</v>
      </c>
      <c r="DD213" s="16">
        <v>4.4948043878597854</v>
      </c>
      <c r="DE213" s="16">
        <v>4.7712453063328644</v>
      </c>
      <c r="DF213" s="16">
        <v>-9999</v>
      </c>
      <c r="DG213" s="16">
        <v>-9999</v>
      </c>
      <c r="DH213" s="16">
        <v>-9999</v>
      </c>
      <c r="DI213" s="16">
        <v>-9999</v>
      </c>
      <c r="DJ213" s="16">
        <v>-9999</v>
      </c>
      <c r="DK213" s="16">
        <v>-9999</v>
      </c>
      <c r="DL213" s="16">
        <v>-9999</v>
      </c>
      <c r="DM213" s="16">
        <v>-9999</v>
      </c>
      <c r="DN213" s="16">
        <v>3.7240700000000002</v>
      </c>
      <c r="DO213" s="16">
        <v>3.8767</v>
      </c>
      <c r="DP213" s="16">
        <v>4.1194600000000001</v>
      </c>
      <c r="DQ213" s="16">
        <v>4.2102255159654369</v>
      </c>
      <c r="DR213" s="16">
        <v>4.4738865075120433</v>
      </c>
      <c r="DS213" s="16">
        <v>-9999</v>
      </c>
      <c r="DT213" s="16">
        <v>-9999</v>
      </c>
      <c r="DU213" s="16">
        <v>-9999</v>
      </c>
      <c r="DV213" s="16">
        <v>-9999</v>
      </c>
      <c r="DW213" s="16">
        <v>-9999</v>
      </c>
      <c r="DX213" s="16">
        <v>-9999</v>
      </c>
      <c r="DY213" s="16">
        <v>-9999</v>
      </c>
      <c r="DZ213" s="16">
        <v>-9999</v>
      </c>
      <c r="EA213" s="2196">
        <v>12.311030000000001</v>
      </c>
      <c r="EB213" s="2196">
        <v>12.620799999999999</v>
      </c>
      <c r="EC213" s="2196">
        <v>12.956945699999997</v>
      </c>
      <c r="ED213" s="2196">
        <v>13.474522965</v>
      </c>
      <c r="EE213" s="2196">
        <v>14.211842835449998</v>
      </c>
      <c r="EF213" s="2197">
        <v>-9999</v>
      </c>
      <c r="EG213" s="2197">
        <v>-9999</v>
      </c>
      <c r="EH213" s="2197">
        <v>-9999</v>
      </c>
      <c r="EI213" s="2197">
        <v>-9999</v>
      </c>
      <c r="EJ213" s="2197">
        <v>-9999</v>
      </c>
      <c r="EK213" s="2197">
        <v>-9999</v>
      </c>
      <c r="EL213" s="2197">
        <v>-9999</v>
      </c>
      <c r="EM213" s="2197">
        <v>-9999</v>
      </c>
    </row>
    <row r="214" spans="1:149">
      <c r="A214" s="22">
        <v>114</v>
      </c>
      <c r="B214" s="1" t="s">
        <v>1802</v>
      </c>
      <c r="C214" s="24">
        <f ca="1">OFFSET(Sector1!F205,0,Last_forecast_year - 3-InputY!$G$3)</f>
        <v>2.0321899999999999</v>
      </c>
      <c r="D214" s="3309">
        <f ca="1">OFFSET(Sector1!G205,0,Last_forecast_year - 3-InputY!$G$3)</f>
        <v>2.1945000000000001</v>
      </c>
      <c r="E214" s="24">
        <f ca="1">OFFSET(Sector1!H205,0,Last_forecast_year - 3-InputY!$G$3)</f>
        <v>2.3153593839999997</v>
      </c>
      <c r="F214" s="24">
        <f ca="1">OFFSET(Sector1!I205,0,Last_forecast_year - 3-InputY!$G$3)</f>
        <v>2.3945682130239994</v>
      </c>
      <c r="G214" s="24">
        <f ca="1">OFFSET(Sector1!J205,0,Last_forecast_year - 3-InputY!$G$3)</f>
        <v>2.5256978838147841</v>
      </c>
      <c r="H214" s="25">
        <v>-9999</v>
      </c>
      <c r="I214" s="25">
        <v>-9999</v>
      </c>
      <c r="J214" s="25">
        <v>-9999</v>
      </c>
      <c r="K214" s="25">
        <v>-9999</v>
      </c>
      <c r="L214" s="25">
        <v>-9999</v>
      </c>
      <c r="M214" s="25">
        <v>-9999</v>
      </c>
      <c r="N214" s="25">
        <v>-9999</v>
      </c>
      <c r="O214" s="25">
        <v>-9999</v>
      </c>
      <c r="P214" s="26"/>
      <c r="Q214"/>
      <c r="AA214" s="22">
        <v>114</v>
      </c>
      <c r="AB214" s="1040" t="str">
        <f t="shared" si="8"/>
        <v xml:space="preserve">GG CURRENT TAXES ON INCOME AND WEALTH </v>
      </c>
      <c r="AC214" s="1040">
        <f>CHOOSE(Tables!$U$2,Transfer!CA214,Transfer!CN214,Transfer!DA214,Transfer!DN214,Transfer!EA214)</f>
        <v>4.6926199999999998</v>
      </c>
      <c r="AD214" s="1040">
        <f>CHOOSE(Tables!$U$2,Transfer!CB214,Transfer!CO214,Transfer!DB214,Transfer!DO214,Transfer!EB214)</f>
        <v>5.5505600000000008</v>
      </c>
      <c r="AE214" s="1040">
        <f>CHOOSE(Tables!$U$2,Transfer!CC214,Transfer!CP214,Transfer!DC214,Transfer!DP214,Transfer!EC214)</f>
        <v>5.9595504000000012</v>
      </c>
      <c r="AF214" s="1040">
        <f>CHOOSE(Tables!$U$2,Transfer!CD214,Transfer!CQ214,Transfer!DD214,Transfer!DQ214,Transfer!ED214)</f>
        <v>6.3298336847000014</v>
      </c>
      <c r="AG214" s="1040">
        <f>CHOOSE(Tables!$U$2,Transfer!CE214,Transfer!CR214,Transfer!DE214,Transfer!DR214,Transfer!EE214)</f>
        <v>6.7459542501394507</v>
      </c>
      <c r="AH214" s="1040">
        <f>CHOOSE(Tables!$U$2,Transfer!CF214,Transfer!CS214,Transfer!DF214,Transfer!DS214,Transfer!EF214)</f>
        <v>-9999</v>
      </c>
      <c r="AI214" s="1040">
        <f>CHOOSE(Tables!$U$2,Transfer!CG214,Transfer!CT214,Transfer!DG214,Transfer!DT214,Transfer!EG214)</f>
        <v>-9999</v>
      </c>
      <c r="AJ214" s="1040">
        <f>CHOOSE(Tables!$U$2,Transfer!CH214,Transfer!CU214,Transfer!DH214,Transfer!DU214,Transfer!EH214)</f>
        <v>-9999</v>
      </c>
      <c r="AK214" s="1040">
        <f>CHOOSE(Tables!$U$2,Transfer!CI214,Transfer!CV214,Transfer!DI214,Transfer!DV214,Transfer!EI214)</f>
        <v>-9999</v>
      </c>
      <c r="AL214" s="1040">
        <f>CHOOSE(Tables!$U$2,Transfer!CJ214,Transfer!CW214,Transfer!DJ214,Transfer!DW214,Transfer!EJ214)</f>
        <v>-9999</v>
      </c>
      <c r="AM214" s="1040">
        <f>CHOOSE(Tables!$U$2,Transfer!CK214,Transfer!CX214,Transfer!DK214,Transfer!DX214,Transfer!EK214)</f>
        <v>-9999</v>
      </c>
      <c r="AN214" s="1040">
        <f>CHOOSE(Tables!$U$2,Transfer!CL214,Transfer!CY214,Transfer!DL214,Transfer!DY214,Transfer!EL214)</f>
        <v>-9999</v>
      </c>
      <c r="AO214" s="1040">
        <f>CHOOSE(Tables!$U$2,Transfer!CM214,Transfer!CZ214,Transfer!DM214,Transfer!DZ214,Transfer!EM214)</f>
        <v>-9999</v>
      </c>
      <c r="AR214" s="22">
        <v>114</v>
      </c>
      <c r="AS214" s="1" t="s">
        <v>1802</v>
      </c>
      <c r="AT214" s="24">
        <f t="shared" ref="AT214:AT245" ca="1" si="22">C214-AC214</f>
        <v>-2.6604299999999999</v>
      </c>
      <c r="AU214" s="24">
        <f t="shared" ref="AU214:AU245" ca="1" si="23">D214-AD214</f>
        <v>-3.3560600000000007</v>
      </c>
      <c r="AV214" s="24">
        <f t="shared" ref="AV214:AV245" ca="1" si="24">E214-AE214</f>
        <v>-3.6441910160000015</v>
      </c>
      <c r="AW214" s="24">
        <f t="shared" ref="AW214:AW245" ca="1" si="25">F214-AF214</f>
        <v>-3.935265471676002</v>
      </c>
      <c r="AX214" s="24">
        <f t="shared" ref="AX214:AX245" ca="1" si="26">G214-AG214</f>
        <v>-4.2202563663246666</v>
      </c>
      <c r="AY214" s="25">
        <f t="shared" ref="AY214:AY245" si="27">H214-AH214</f>
        <v>0</v>
      </c>
      <c r="AZ214" s="25">
        <f t="shared" ref="AZ214:AZ245" si="28">I214-AI214</f>
        <v>0</v>
      </c>
      <c r="BA214" s="25">
        <f t="shared" ref="BA214:BA245" si="29">J214-AJ214</f>
        <v>0</v>
      </c>
      <c r="BB214" s="25">
        <f t="shared" ref="BB214:BB245" si="30">K214-AK214</f>
        <v>0</v>
      </c>
      <c r="BC214" s="25">
        <f t="shared" si="21"/>
        <v>0</v>
      </c>
      <c r="BD214" s="25">
        <f t="shared" si="21"/>
        <v>0</v>
      </c>
      <c r="BE214" s="25">
        <f t="shared" si="21"/>
        <v>0</v>
      </c>
      <c r="BF214" s="25">
        <f t="shared" si="21"/>
        <v>0</v>
      </c>
      <c r="CA214" s="16">
        <v>1.7428399999999999</v>
      </c>
      <c r="CB214" s="16">
        <v>1.8440399999999999</v>
      </c>
      <c r="CC214" s="16">
        <v>1.9772275179426659</v>
      </c>
      <c r="CD214" s="16">
        <v>2.0205368246001543</v>
      </c>
      <c r="CE214" s="16">
        <v>2.1386346570550274</v>
      </c>
      <c r="CF214" s="16">
        <v>-9999</v>
      </c>
      <c r="CG214" s="16">
        <v>-9999</v>
      </c>
      <c r="CH214" s="16">
        <v>-9999</v>
      </c>
      <c r="CI214" s="16">
        <v>-9999</v>
      </c>
      <c r="CJ214" s="16">
        <v>-9999</v>
      </c>
      <c r="CK214" s="16">
        <v>-9999</v>
      </c>
      <c r="CL214" s="16">
        <v>-9999</v>
      </c>
      <c r="CM214" s="16">
        <v>-9999</v>
      </c>
      <c r="CN214" s="16">
        <v>1.60755329</v>
      </c>
      <c r="CO214" s="16">
        <v>1.7428434900000001</v>
      </c>
      <c r="CP214" s="16">
        <v>1.8050057223222149</v>
      </c>
      <c r="CQ214" s="16">
        <v>1.9087831116533702</v>
      </c>
      <c r="CR214" s="16">
        <v>2.0399422722027447</v>
      </c>
      <c r="CS214" s="16">
        <v>-9999</v>
      </c>
      <c r="CT214" s="16">
        <v>-9999</v>
      </c>
      <c r="CU214" s="16">
        <v>-9999</v>
      </c>
      <c r="CV214" s="16">
        <v>-9999</v>
      </c>
      <c r="CW214" s="16">
        <v>-9999</v>
      </c>
      <c r="CX214" s="16">
        <v>-9999</v>
      </c>
      <c r="CY214" s="16">
        <v>-9999</v>
      </c>
      <c r="CZ214" s="16">
        <v>-9999</v>
      </c>
      <c r="DA214" s="16">
        <v>1.7428399999999999</v>
      </c>
      <c r="DB214" s="16">
        <v>1.8440399999999999</v>
      </c>
      <c r="DC214" s="16">
        <v>1.9529591938260153</v>
      </c>
      <c r="DD214" s="16">
        <v>2.0763452122783588</v>
      </c>
      <c r="DE214" s="16">
        <v>2.2076814196606325</v>
      </c>
      <c r="DF214" s="16">
        <v>-9999</v>
      </c>
      <c r="DG214" s="16">
        <v>-9999</v>
      </c>
      <c r="DH214" s="16">
        <v>-9999</v>
      </c>
      <c r="DI214" s="16">
        <v>-9999</v>
      </c>
      <c r="DJ214" s="16">
        <v>-9999</v>
      </c>
      <c r="DK214" s="16">
        <v>-9999</v>
      </c>
      <c r="DL214" s="16">
        <v>-9999</v>
      </c>
      <c r="DM214" s="16">
        <v>-9999</v>
      </c>
      <c r="DN214" s="16">
        <v>1.60755</v>
      </c>
      <c r="DO214" s="16">
        <v>1.7428399999999999</v>
      </c>
      <c r="DP214" s="16">
        <v>1.8478711985464964</v>
      </c>
      <c r="DQ214" s="16">
        <v>1.9539987486367953</v>
      </c>
      <c r="DR214" s="16">
        <v>2.0885535705369835</v>
      </c>
      <c r="DS214" s="16">
        <v>-9999</v>
      </c>
      <c r="DT214" s="16">
        <v>-9999</v>
      </c>
      <c r="DU214" s="16">
        <v>-9999</v>
      </c>
      <c r="DV214" s="16">
        <v>-9999</v>
      </c>
      <c r="DW214" s="16">
        <v>-9999</v>
      </c>
      <c r="DX214" s="16">
        <v>-9999</v>
      </c>
      <c r="DY214" s="16">
        <v>-9999</v>
      </c>
      <c r="DZ214" s="16">
        <v>-9999</v>
      </c>
      <c r="EA214" s="2196">
        <v>4.6926199999999998</v>
      </c>
      <c r="EB214" s="2196">
        <v>5.5505600000000008</v>
      </c>
      <c r="EC214" s="2196">
        <v>5.9595504000000012</v>
      </c>
      <c r="ED214" s="2196">
        <v>6.3298336847000014</v>
      </c>
      <c r="EE214" s="2196">
        <v>6.7459542501394507</v>
      </c>
      <c r="EF214" s="2197">
        <v>-9999</v>
      </c>
      <c r="EG214" s="2197">
        <v>-9999</v>
      </c>
      <c r="EH214" s="2197">
        <v>-9999</v>
      </c>
      <c r="EI214" s="2197">
        <v>-9999</v>
      </c>
      <c r="EJ214" s="2197">
        <v>-9999</v>
      </c>
      <c r="EK214" s="2197">
        <v>-9999</v>
      </c>
      <c r="EL214" s="2197">
        <v>-9999</v>
      </c>
      <c r="EM214" s="2197">
        <v>-9999</v>
      </c>
    </row>
    <row r="215" spans="1:149">
      <c r="A215" s="22">
        <v>115</v>
      </c>
      <c r="B215" s="1" t="s">
        <v>1804</v>
      </c>
      <c r="C215" s="24">
        <f ca="1">OFFSET(Sector1!F255,0,Last_forecast_year - 3-InputY!$G$3)</f>
        <v>4.4563400000000009</v>
      </c>
      <c r="D215" s="3309">
        <f ca="1">OFFSET(Sector1!G255,0,Last_forecast_year - 3-InputY!$G$3)</f>
        <v>4.8441000000000001</v>
      </c>
      <c r="E215" s="24">
        <f ca="1">OFFSET(Sector1!H255,0,Last_forecast_year - 3-InputY!$G$3)</f>
        <v>5.444205530780633</v>
      </c>
      <c r="F215" s="24">
        <f ca="1">OFFSET(Sector1!I255,0,Last_forecast_year - 3-InputY!$G$3)</f>
        <v>5.8089673013429346</v>
      </c>
      <c r="G215" s="24">
        <f ca="1">OFFSET(Sector1!J255,0,Last_forecast_year - 3-InputY!$G$3)</f>
        <v>6.1419965550884186</v>
      </c>
      <c r="H215" s="25">
        <v>-9999</v>
      </c>
      <c r="I215" s="25">
        <v>-9999</v>
      </c>
      <c r="J215" s="25">
        <v>-9999</v>
      </c>
      <c r="K215" s="25">
        <v>-9999</v>
      </c>
      <c r="L215" s="25">
        <v>-9999</v>
      </c>
      <c r="M215" s="25">
        <v>-9999</v>
      </c>
      <c r="N215" s="25">
        <v>-9999</v>
      </c>
      <c r="O215" s="25">
        <v>-9999</v>
      </c>
      <c r="P215" s="26"/>
      <c r="Q215"/>
      <c r="AA215" s="22">
        <v>115</v>
      </c>
      <c r="AB215" s="1040" t="str">
        <f t="shared" si="8"/>
        <v>GG SOCIAL CONTRIBUTIONS</v>
      </c>
      <c r="AC215" s="1040">
        <f>CHOOSE(Tables!$U$2,Transfer!CA215,Transfer!CN215,Transfer!DA215,Transfer!DN215,Transfer!EA215)</f>
        <v>12.356940000000002</v>
      </c>
      <c r="AD215" s="1040">
        <f>CHOOSE(Tables!$U$2,Transfer!CB215,Transfer!CO215,Transfer!DB215,Transfer!DO215,Transfer!EB215)</f>
        <v>12.84684</v>
      </c>
      <c r="AE215" s="1040">
        <f>CHOOSE(Tables!$U$2,Transfer!CC215,Transfer!CP215,Transfer!DC215,Transfer!DP215,Transfer!EC215)</f>
        <v>13.874587200000001</v>
      </c>
      <c r="AF215" s="1040">
        <f>CHOOSE(Tables!$U$2,Transfer!CD215,Transfer!CQ215,Transfer!DD215,Transfer!DQ215,Transfer!ED215)</f>
        <v>14.5960657344</v>
      </c>
      <c r="AG215" s="1040">
        <f>CHOOSE(Tables!$U$2,Transfer!CE215,Transfer!CR215,Transfer!DE215,Transfer!DR215,Transfer!EE215)</f>
        <v>15.471829678464001</v>
      </c>
      <c r="AH215" s="1040">
        <f>CHOOSE(Tables!$U$2,Transfer!CF215,Transfer!CS215,Transfer!DF215,Transfer!DS215,Transfer!EF215)</f>
        <v>-9999</v>
      </c>
      <c r="AI215" s="1040">
        <f>CHOOSE(Tables!$U$2,Transfer!CG215,Transfer!CT215,Transfer!DG215,Transfer!DT215,Transfer!EG215)</f>
        <v>-9999</v>
      </c>
      <c r="AJ215" s="1040">
        <f>CHOOSE(Tables!$U$2,Transfer!CH215,Transfer!CU215,Transfer!DH215,Transfer!DU215,Transfer!EH215)</f>
        <v>-9999</v>
      </c>
      <c r="AK215" s="1040">
        <f>CHOOSE(Tables!$U$2,Transfer!CI215,Transfer!CV215,Transfer!DI215,Transfer!DV215,Transfer!EI215)</f>
        <v>-9999</v>
      </c>
      <c r="AL215" s="1040">
        <f>CHOOSE(Tables!$U$2,Transfer!CJ215,Transfer!CW215,Transfer!DJ215,Transfer!DW215,Transfer!EJ215)</f>
        <v>-9999</v>
      </c>
      <c r="AM215" s="1040">
        <f>CHOOSE(Tables!$U$2,Transfer!CK215,Transfer!CX215,Transfer!DK215,Transfer!DX215,Transfer!EK215)</f>
        <v>-9999</v>
      </c>
      <c r="AN215" s="1040">
        <f>CHOOSE(Tables!$U$2,Transfer!CL215,Transfer!CY215,Transfer!DL215,Transfer!DY215,Transfer!EL215)</f>
        <v>-9999</v>
      </c>
      <c r="AO215" s="1040">
        <f>CHOOSE(Tables!$U$2,Transfer!CM215,Transfer!CZ215,Transfer!DM215,Transfer!DZ215,Transfer!EM215)</f>
        <v>-9999</v>
      </c>
      <c r="AR215" s="22">
        <v>115</v>
      </c>
      <c r="AS215" s="1" t="s">
        <v>1804</v>
      </c>
      <c r="AT215" s="24">
        <f t="shared" ca="1" si="22"/>
        <v>-7.9006000000000007</v>
      </c>
      <c r="AU215" s="24">
        <f t="shared" ca="1" si="23"/>
        <v>-8.0027399999999993</v>
      </c>
      <c r="AV215" s="24">
        <f t="shared" ca="1" si="24"/>
        <v>-8.4303816692193685</v>
      </c>
      <c r="AW215" s="24">
        <f t="shared" ca="1" si="25"/>
        <v>-8.7870984330570643</v>
      </c>
      <c r="AX215" s="24">
        <f t="shared" ca="1" si="26"/>
        <v>-9.3298331233755825</v>
      </c>
      <c r="AY215" s="25">
        <f t="shared" si="27"/>
        <v>0</v>
      </c>
      <c r="AZ215" s="25">
        <f t="shared" si="28"/>
        <v>0</v>
      </c>
      <c r="BA215" s="25">
        <f t="shared" si="29"/>
        <v>0</v>
      </c>
      <c r="BB215" s="25">
        <f t="shared" si="30"/>
        <v>0</v>
      </c>
      <c r="BC215" s="25">
        <f t="shared" si="21"/>
        <v>0</v>
      </c>
      <c r="BD215" s="25">
        <f t="shared" si="21"/>
        <v>0</v>
      </c>
      <c r="BE215" s="25">
        <f t="shared" si="21"/>
        <v>0</v>
      </c>
      <c r="BF215" s="25">
        <f t="shared" si="21"/>
        <v>0</v>
      </c>
      <c r="CA215" s="16">
        <v>3.8420699999999997</v>
      </c>
      <c r="CB215" s="16">
        <v>4.1259499999999996</v>
      </c>
      <c r="CC215" s="16">
        <v>4.4395221999999999</v>
      </c>
      <c r="CD215" s="16">
        <v>4.6659378322</v>
      </c>
      <c r="CE215" s="16">
        <v>4.9053979495599336</v>
      </c>
      <c r="CF215" s="16">
        <v>-9999</v>
      </c>
      <c r="CG215" s="16">
        <v>-9999</v>
      </c>
      <c r="CH215" s="16">
        <v>-9999</v>
      </c>
      <c r="CI215" s="16">
        <v>-9999</v>
      </c>
      <c r="CJ215" s="16">
        <v>-9999</v>
      </c>
      <c r="CK215" s="16">
        <v>-9999</v>
      </c>
      <c r="CL215" s="16">
        <v>-9999</v>
      </c>
      <c r="CM215" s="16">
        <v>-9999</v>
      </c>
      <c r="CN215" s="16">
        <v>3.6740442600000001</v>
      </c>
      <c r="CO215" s="16">
        <v>3.84206731</v>
      </c>
      <c r="CP215" s="16">
        <v>4.0649072139799998</v>
      </c>
      <c r="CQ215" s="16">
        <v>4.3006718323908402</v>
      </c>
      <c r="CR215" s="16">
        <v>4.6053865841632904</v>
      </c>
      <c r="CS215" s="16">
        <v>-9999</v>
      </c>
      <c r="CT215" s="16">
        <v>-9999</v>
      </c>
      <c r="CU215" s="16">
        <v>-9999</v>
      </c>
      <c r="CV215" s="16">
        <v>-9999</v>
      </c>
      <c r="CW215" s="16">
        <v>-9999</v>
      </c>
      <c r="CX215" s="16">
        <v>-9999</v>
      </c>
      <c r="CY215" s="16">
        <v>-9999</v>
      </c>
      <c r="CZ215" s="16">
        <v>-9999</v>
      </c>
      <c r="DA215" s="16">
        <v>3.8420699999999997</v>
      </c>
      <c r="DB215" s="16">
        <v>4.1259499999999996</v>
      </c>
      <c r="DC215" s="16">
        <v>4.3652550999999997</v>
      </c>
      <c r="DD215" s="16">
        <v>4.6745457587760866</v>
      </c>
      <c r="DE215" s="16">
        <v>5.0524959922796508</v>
      </c>
      <c r="DF215" s="16">
        <v>-9999</v>
      </c>
      <c r="DG215" s="16">
        <v>-9999</v>
      </c>
      <c r="DH215" s="16">
        <v>-9999</v>
      </c>
      <c r="DI215" s="16">
        <v>-9999</v>
      </c>
      <c r="DJ215" s="16">
        <v>-9999</v>
      </c>
      <c r="DK215" s="16">
        <v>-9999</v>
      </c>
      <c r="DL215" s="16">
        <v>-9999</v>
      </c>
      <c r="DM215" s="16">
        <v>-9999</v>
      </c>
      <c r="DN215" s="16">
        <v>3.6740400000000002</v>
      </c>
      <c r="DO215" s="16">
        <v>3.8420699999999997</v>
      </c>
      <c r="DP215" s="16">
        <v>4.1259499999999996</v>
      </c>
      <c r="DQ215" s="16">
        <v>4.3652550999999997</v>
      </c>
      <c r="DR215" s="16">
        <v>4.6745457587760866</v>
      </c>
      <c r="DS215" s="16">
        <v>-9999</v>
      </c>
      <c r="DT215" s="16">
        <v>-9999</v>
      </c>
      <c r="DU215" s="16">
        <v>-9999</v>
      </c>
      <c r="DV215" s="16">
        <v>-9999</v>
      </c>
      <c r="DW215" s="16">
        <v>-9999</v>
      </c>
      <c r="DX215" s="16">
        <v>-9999</v>
      </c>
      <c r="DY215" s="16">
        <v>-9999</v>
      </c>
      <c r="DZ215" s="16">
        <v>-9999</v>
      </c>
      <c r="EA215" s="2196">
        <v>12.356940000000002</v>
      </c>
      <c r="EB215" s="2196">
        <v>12.84684</v>
      </c>
      <c r="EC215" s="2196">
        <v>13.874587200000001</v>
      </c>
      <c r="ED215" s="2196">
        <v>14.5960657344</v>
      </c>
      <c r="EE215" s="2196">
        <v>15.471829678464001</v>
      </c>
      <c r="EF215" s="2197">
        <v>-9999</v>
      </c>
      <c r="EG215" s="2197">
        <v>-9999</v>
      </c>
      <c r="EH215" s="2197">
        <v>-9999</v>
      </c>
      <c r="EI215" s="2197">
        <v>-9999</v>
      </c>
      <c r="EJ215" s="2197">
        <v>-9999</v>
      </c>
      <c r="EK215" s="2197">
        <v>-9999</v>
      </c>
      <c r="EL215" s="2197">
        <v>-9999</v>
      </c>
      <c r="EM215" s="2197">
        <v>-9999</v>
      </c>
    </row>
    <row r="216" spans="1:149">
      <c r="A216" s="22">
        <v>116</v>
      </c>
      <c r="B216" s="1" t="s">
        <v>1806</v>
      </c>
      <c r="C216" s="24">
        <f ca="1">OFFSET(Sector1!F253,0,Last_forecast_year - 3-InputY!$G$3)</f>
        <v>4.3401000000000005</v>
      </c>
      <c r="D216" s="3309">
        <f ca="1">OFFSET(Sector1!G253,0,Last_forecast_year - 3-InputY!$G$3)</f>
        <v>4.7157900000000001</v>
      </c>
      <c r="E216" s="24">
        <f ca="1">OFFSET(Sector1!H253,0,Last_forecast_year - 3-InputY!$G$3)</f>
        <v>5.3</v>
      </c>
      <c r="F216" s="24">
        <f ca="1">OFFSET(Sector1!I253,0,Last_forecast_year - 3-InputY!$G$3)</f>
        <v>5.6550999999999991</v>
      </c>
      <c r="G216" s="24">
        <f ca="1">OFFSET(Sector1!J253,0,Last_forecast_year - 3-InputY!$G$3)</f>
        <v>5.9793080106769914</v>
      </c>
      <c r="H216" s="25">
        <v>-9999</v>
      </c>
      <c r="I216" s="25">
        <v>-9999</v>
      </c>
      <c r="J216" s="25">
        <v>-9999</v>
      </c>
      <c r="K216" s="25">
        <v>-9999</v>
      </c>
      <c r="L216" s="25">
        <v>-9999</v>
      </c>
      <c r="M216" s="25">
        <v>-9999</v>
      </c>
      <c r="N216" s="25">
        <v>-9999</v>
      </c>
      <c r="O216" s="25">
        <v>-9999</v>
      </c>
      <c r="P216" s="26"/>
      <c r="Q216"/>
      <c r="AA216" s="22">
        <v>116</v>
      </c>
      <c r="AB216" s="1040" t="str">
        <f t="shared" si="8"/>
        <v>GG ACTUAL SOCIAL CONTRIBUTIONS</v>
      </c>
      <c r="AC216" s="1040">
        <f>CHOOSE(Tables!$U$2,Transfer!CA216,Transfer!CN216,Transfer!DA216,Transfer!DN216,Transfer!EA216)</f>
        <v>12.000590000000001</v>
      </c>
      <c r="AD216" s="1040">
        <f>CHOOSE(Tables!$U$2,Transfer!CB216,Transfer!CO216,Transfer!DB216,Transfer!DO216,Transfer!EB216)</f>
        <v>12.47156</v>
      </c>
      <c r="AE216" s="1040">
        <f>CHOOSE(Tables!$U$2,Transfer!CC216,Transfer!CP216,Transfer!DC216,Transfer!DP216,Transfer!EC216)</f>
        <v>13.469284800000001</v>
      </c>
      <c r="AF216" s="1040">
        <f>CHOOSE(Tables!$U$2,Transfer!CD216,Transfer!CQ216,Transfer!DD216,Transfer!DQ216,Transfer!ED216)</f>
        <v>14.1696876096</v>
      </c>
      <c r="AG216" s="1040">
        <f>CHOOSE(Tables!$U$2,Transfer!CE216,Transfer!CR216,Transfer!DE216,Transfer!DR216,Transfer!EE216)</f>
        <v>15.019868866176001</v>
      </c>
      <c r="AH216" s="1040">
        <f>CHOOSE(Tables!$U$2,Transfer!CF216,Transfer!CS216,Transfer!DF216,Transfer!DS216,Transfer!EF216)</f>
        <v>-9999</v>
      </c>
      <c r="AI216" s="1040">
        <f>CHOOSE(Tables!$U$2,Transfer!CG216,Transfer!CT216,Transfer!DG216,Transfer!DT216,Transfer!EG216)</f>
        <v>-9999</v>
      </c>
      <c r="AJ216" s="1040">
        <f>CHOOSE(Tables!$U$2,Transfer!CH216,Transfer!CU216,Transfer!DH216,Transfer!DU216,Transfer!EH216)</f>
        <v>-9999</v>
      </c>
      <c r="AK216" s="1040">
        <f>CHOOSE(Tables!$U$2,Transfer!CI216,Transfer!CV216,Transfer!DI216,Transfer!DV216,Transfer!EI216)</f>
        <v>-9999</v>
      </c>
      <c r="AL216" s="1040">
        <f>CHOOSE(Tables!$U$2,Transfer!CJ216,Transfer!CW216,Transfer!DJ216,Transfer!DW216,Transfer!EJ216)</f>
        <v>-9999</v>
      </c>
      <c r="AM216" s="1040">
        <f>CHOOSE(Tables!$U$2,Transfer!CK216,Transfer!CX216,Transfer!DK216,Transfer!DX216,Transfer!EK216)</f>
        <v>-9999</v>
      </c>
      <c r="AN216" s="1040">
        <f>CHOOSE(Tables!$U$2,Transfer!CL216,Transfer!CY216,Transfer!DL216,Transfer!DY216,Transfer!EL216)</f>
        <v>-9999</v>
      </c>
      <c r="AO216" s="1040">
        <f>CHOOSE(Tables!$U$2,Transfer!CM216,Transfer!CZ216,Transfer!DM216,Transfer!DZ216,Transfer!EM216)</f>
        <v>-9999</v>
      </c>
      <c r="AR216" s="22">
        <v>116</v>
      </c>
      <c r="AS216" s="1" t="s">
        <v>1806</v>
      </c>
      <c r="AT216" s="24">
        <f t="shared" ca="1" si="22"/>
        <v>-7.6604900000000002</v>
      </c>
      <c r="AU216" s="24">
        <f t="shared" ca="1" si="23"/>
        <v>-7.7557700000000001</v>
      </c>
      <c r="AV216" s="24">
        <f t="shared" ca="1" si="24"/>
        <v>-8.1692847999999998</v>
      </c>
      <c r="AW216" s="24">
        <f t="shared" ca="1" si="25"/>
        <v>-8.5145876096000013</v>
      </c>
      <c r="AX216" s="24">
        <f t="shared" ca="1" si="26"/>
        <v>-9.0405608554990096</v>
      </c>
      <c r="AY216" s="25">
        <f t="shared" si="27"/>
        <v>0</v>
      </c>
      <c r="AZ216" s="25">
        <f t="shared" si="28"/>
        <v>0</v>
      </c>
      <c r="BA216" s="25">
        <f t="shared" si="29"/>
        <v>0</v>
      </c>
      <c r="BB216" s="25">
        <f t="shared" si="30"/>
        <v>0</v>
      </c>
      <c r="BC216" s="25">
        <f t="shared" si="21"/>
        <v>0</v>
      </c>
      <c r="BD216" s="25">
        <f t="shared" si="21"/>
        <v>0</v>
      </c>
      <c r="BE216" s="25">
        <f t="shared" si="21"/>
        <v>0</v>
      </c>
      <c r="BF216" s="25">
        <f t="shared" si="21"/>
        <v>0</v>
      </c>
      <c r="CA216" s="16">
        <v>3.7942399999999998</v>
      </c>
      <c r="CB216" s="16">
        <v>4.0646199999999997</v>
      </c>
      <c r="CC216" s="16">
        <v>4.37353112</v>
      </c>
      <c r="CD216" s="16">
        <v>4.5965812071199998</v>
      </c>
      <c r="CE216" s="16">
        <v>4.8324818802312919</v>
      </c>
      <c r="CF216" s="16">
        <v>-9999</v>
      </c>
      <c r="CG216" s="16">
        <v>-9999</v>
      </c>
      <c r="CH216" s="16">
        <v>-9999</v>
      </c>
      <c r="CI216" s="16">
        <v>-9999</v>
      </c>
      <c r="CJ216" s="16">
        <v>-9999</v>
      </c>
      <c r="CK216" s="16">
        <v>-9999</v>
      </c>
      <c r="CL216" s="16">
        <v>-9999</v>
      </c>
      <c r="CM216" s="16">
        <v>-9999</v>
      </c>
      <c r="CN216" s="16">
        <v>3.6120134400000001</v>
      </c>
      <c r="CO216" s="16">
        <v>3.7942365599999999</v>
      </c>
      <c r="CP216" s="16">
        <v>4.0143022804799999</v>
      </c>
      <c r="CQ216" s="16">
        <v>4.2471318127478401</v>
      </c>
      <c r="CR216" s="16">
        <v>4.548053102840063</v>
      </c>
      <c r="CS216" s="16">
        <v>-9999</v>
      </c>
      <c r="CT216" s="16">
        <v>-9999</v>
      </c>
      <c r="CU216" s="16">
        <v>-9999</v>
      </c>
      <c r="CV216" s="16">
        <v>-9999</v>
      </c>
      <c r="CW216" s="16">
        <v>-9999</v>
      </c>
      <c r="CX216" s="16">
        <v>-9999</v>
      </c>
      <c r="CY216" s="16">
        <v>-9999</v>
      </c>
      <c r="CZ216" s="16">
        <v>-9999</v>
      </c>
      <c r="DA216" s="16">
        <v>3.7942399999999998</v>
      </c>
      <c r="DB216" s="16">
        <v>4.0646199999999997</v>
      </c>
      <c r="DC216" s="16">
        <v>4.30036796</v>
      </c>
      <c r="DD216" s="16">
        <v>4.6050611815549045</v>
      </c>
      <c r="DE216" s="16">
        <v>4.9773933906469336</v>
      </c>
      <c r="DF216" s="16">
        <v>-9999</v>
      </c>
      <c r="DG216" s="16">
        <v>-9999</v>
      </c>
      <c r="DH216" s="16">
        <v>-9999</v>
      </c>
      <c r="DI216" s="16">
        <v>-9999</v>
      </c>
      <c r="DJ216" s="16">
        <v>-9999</v>
      </c>
      <c r="DK216" s="16">
        <v>-9999</v>
      </c>
      <c r="DL216" s="16">
        <v>-9999</v>
      </c>
      <c r="DM216" s="16">
        <v>-9999</v>
      </c>
      <c r="DN216" s="16">
        <v>3.6120100000000002</v>
      </c>
      <c r="DO216" s="16">
        <v>3.7942399999999998</v>
      </c>
      <c r="DP216" s="16">
        <v>4.0646199999999997</v>
      </c>
      <c r="DQ216" s="16">
        <v>4.30036796</v>
      </c>
      <c r="DR216" s="16">
        <v>4.6050611815549045</v>
      </c>
      <c r="DS216" s="16">
        <v>-9999</v>
      </c>
      <c r="DT216" s="16">
        <v>-9999</v>
      </c>
      <c r="DU216" s="16">
        <v>-9999</v>
      </c>
      <c r="DV216" s="16">
        <v>-9999</v>
      </c>
      <c r="DW216" s="16">
        <v>-9999</v>
      </c>
      <c r="DX216" s="16">
        <v>-9999</v>
      </c>
      <c r="DY216" s="16">
        <v>-9999</v>
      </c>
      <c r="DZ216" s="16">
        <v>-9999</v>
      </c>
      <c r="EA216" s="2196">
        <v>12.000590000000001</v>
      </c>
      <c r="EB216" s="2196">
        <v>12.47156</v>
      </c>
      <c r="EC216" s="2196">
        <v>13.469284800000001</v>
      </c>
      <c r="ED216" s="2196">
        <v>14.1696876096</v>
      </c>
      <c r="EE216" s="2196">
        <v>15.019868866176001</v>
      </c>
      <c r="EF216" s="2197">
        <v>-9999</v>
      </c>
      <c r="EG216" s="2197">
        <v>-9999</v>
      </c>
      <c r="EH216" s="2197">
        <v>-9999</v>
      </c>
      <c r="EI216" s="2197">
        <v>-9999</v>
      </c>
      <c r="EJ216" s="2197">
        <v>-9999</v>
      </c>
      <c r="EK216" s="2197">
        <v>-9999</v>
      </c>
      <c r="EL216" s="2197">
        <v>-9999</v>
      </c>
      <c r="EM216" s="2197">
        <v>-9999</v>
      </c>
    </row>
    <row r="217" spans="1:149" s="3091" customFormat="1">
      <c r="A217" s="3149">
        <v>117</v>
      </c>
      <c r="B217" s="3158" t="s">
        <v>2007</v>
      </c>
      <c r="C217" s="3151">
        <f ca="1">OFFSET(Sector1!F748,0,Last_forecast_year - 3-InputY!$G$3)</f>
        <v>0.67398999999999998</v>
      </c>
      <c r="D217" s="3310">
        <f ca="1">OFFSET(Sector1!G748,0,Last_forecast_year - 3-InputY!$G$3)</f>
        <v>0.64477999999999991</v>
      </c>
      <c r="E217" s="3151">
        <f ca="1">OFFSET(Sector1!H748,0,Last_forecast_year - 3-InputY!$G$3)</f>
        <v>0.70744060799999986</v>
      </c>
      <c r="F217" s="3151">
        <f ca="1">OFFSET(Sector1!I748,0,Last_forecast_year - 3-InputY!$G$3)</f>
        <v>0.77082054467999994</v>
      </c>
      <c r="G217" s="3151">
        <f ca="1">OFFSET(Sector1!J748,0,Last_forecast_year - 3-InputY!$G$3)</f>
        <v>0.83038656847780001</v>
      </c>
      <c r="H217" s="3152">
        <v>-9999</v>
      </c>
      <c r="I217" s="3152">
        <v>-9999</v>
      </c>
      <c r="J217" s="3152">
        <v>-9999</v>
      </c>
      <c r="K217" s="3152">
        <v>-9999</v>
      </c>
      <c r="L217" s="3152">
        <v>-9999</v>
      </c>
      <c r="M217" s="3152">
        <v>-9999</v>
      </c>
      <c r="N217" s="3152">
        <v>-9999</v>
      </c>
      <c r="O217" s="3152">
        <v>-9999</v>
      </c>
      <c r="R217" s="3154"/>
      <c r="S217" s="3154"/>
      <c r="T217" s="3154"/>
      <c r="U217" s="3154"/>
      <c r="V217" s="3154"/>
      <c r="W217" s="3154"/>
      <c r="X217" s="3154"/>
      <c r="Y217" s="3154"/>
      <c r="Z217" s="3154"/>
      <c r="AA217" s="3149">
        <v>117</v>
      </c>
      <c r="AB217" s="3155" t="str">
        <f t="shared" si="8"/>
        <v>GG OTHER CURRENT RESOURCES</v>
      </c>
      <c r="AC217" s="3155">
        <f>CHOOSE(Tables!$U$2,Transfer!CA217,Transfer!CN217,Transfer!DA217,Transfer!DN217,Transfer!EA217)</f>
        <v>2.2395799999999997</v>
      </c>
      <c r="AD217" s="3155">
        <f>CHOOSE(Tables!$U$2,Transfer!CB217,Transfer!CO217,Transfer!DB217,Transfer!DO217,Transfer!EB217)</f>
        <v>2.2635899999999998</v>
      </c>
      <c r="AE217" s="3155">
        <f>CHOOSE(Tables!$U$2,Transfer!CC217,Transfer!CP217,Transfer!DC217,Transfer!DP217,Transfer!EC217)</f>
        <v>2.1892743000000001</v>
      </c>
      <c r="AF217" s="3155">
        <f>CHOOSE(Tables!$U$2,Transfer!CD217,Transfer!CQ217,Transfer!DD217,Transfer!DQ217,Transfer!ED217)</f>
        <v>2.2767195150000004</v>
      </c>
      <c r="AG217" s="3155">
        <f>CHOOSE(Tables!$U$2,Transfer!CE217,Transfer!CR217,Transfer!DE217,Transfer!DR217,Transfer!EE217)</f>
        <v>2.3685369907500005</v>
      </c>
      <c r="AH217" s="3155">
        <f>CHOOSE(Tables!$U$2,Transfer!CF217,Transfer!CS217,Transfer!DF217,Transfer!DS217,Transfer!EF217)</f>
        <v>-9999</v>
      </c>
      <c r="AI217" s="3155">
        <f>CHOOSE(Tables!$U$2,Transfer!CG217,Transfer!CT217,Transfer!DG217,Transfer!DT217,Transfer!EG217)</f>
        <v>-9999</v>
      </c>
      <c r="AJ217" s="3155">
        <f>CHOOSE(Tables!$U$2,Transfer!CH217,Transfer!CU217,Transfer!DH217,Transfer!DU217,Transfer!EH217)</f>
        <v>-9999</v>
      </c>
      <c r="AK217" s="3155">
        <f>CHOOSE(Tables!$U$2,Transfer!CI217,Transfer!CV217,Transfer!DI217,Transfer!DV217,Transfer!EI217)</f>
        <v>-9999</v>
      </c>
      <c r="AL217" s="3155">
        <f>CHOOSE(Tables!$U$2,Transfer!CJ217,Transfer!CW217,Transfer!DJ217,Transfer!DW217,Transfer!EJ217)</f>
        <v>-9999</v>
      </c>
      <c r="AM217" s="3155">
        <f>CHOOSE(Tables!$U$2,Transfer!CK217,Transfer!CX217,Transfer!DK217,Transfer!DX217,Transfer!EK217)</f>
        <v>-9999</v>
      </c>
      <c r="AN217" s="3155">
        <f>CHOOSE(Tables!$U$2,Transfer!CL217,Transfer!CY217,Transfer!DL217,Transfer!DY217,Transfer!EL217)</f>
        <v>-9999</v>
      </c>
      <c r="AO217" s="3155">
        <f>CHOOSE(Tables!$U$2,Transfer!CM217,Transfer!CZ217,Transfer!DM217,Transfer!DZ217,Transfer!EM217)</f>
        <v>-9999</v>
      </c>
      <c r="AP217" s="3154"/>
      <c r="AQ217" s="3154"/>
      <c r="AR217" s="3149">
        <v>117</v>
      </c>
      <c r="AS217" s="3158" t="s">
        <v>2007</v>
      </c>
      <c r="AT217" s="3151">
        <f t="shared" ca="1" si="22"/>
        <v>-1.5655899999999998</v>
      </c>
      <c r="AU217" s="3151">
        <f t="shared" ca="1" si="23"/>
        <v>-1.6188099999999999</v>
      </c>
      <c r="AV217" s="3151">
        <f t="shared" ca="1" si="24"/>
        <v>-1.4818336920000004</v>
      </c>
      <c r="AW217" s="3151">
        <f t="shared" ca="1" si="25"/>
        <v>-1.5058989703200005</v>
      </c>
      <c r="AX217" s="3151">
        <f t="shared" ca="1" si="26"/>
        <v>-1.5381504222722004</v>
      </c>
      <c r="AY217" s="3152">
        <f t="shared" si="27"/>
        <v>0</v>
      </c>
      <c r="AZ217" s="3152">
        <f t="shared" si="28"/>
        <v>0</v>
      </c>
      <c r="BA217" s="3152">
        <f t="shared" si="29"/>
        <v>0</v>
      </c>
      <c r="BB217" s="3152">
        <f t="shared" si="30"/>
        <v>0</v>
      </c>
      <c r="BC217" s="3152">
        <f t="shared" si="21"/>
        <v>0</v>
      </c>
      <c r="BD217" s="3152">
        <f t="shared" si="21"/>
        <v>0</v>
      </c>
      <c r="BE217" s="3152">
        <f t="shared" si="21"/>
        <v>0</v>
      </c>
      <c r="BF217" s="3152">
        <f t="shared" si="21"/>
        <v>0</v>
      </c>
      <c r="BG217" s="3154"/>
      <c r="BH217" s="3154"/>
      <c r="BI217" s="3154"/>
      <c r="BJ217" s="3154"/>
      <c r="BK217" s="3154"/>
      <c r="BL217" s="3154"/>
      <c r="BM217" s="3154"/>
      <c r="BN217" s="3154"/>
      <c r="BO217" s="3154"/>
      <c r="BP217" s="3154"/>
      <c r="BQ217" s="3154"/>
      <c r="BR217" s="3154"/>
      <c r="BS217" s="3154"/>
      <c r="BT217" s="3154"/>
      <c r="BU217" s="3154"/>
      <c r="BV217" s="3154"/>
      <c r="BW217" s="3154"/>
      <c r="BX217" s="3154"/>
      <c r="BY217" s="3154"/>
      <c r="BZ217" s="3154"/>
      <c r="CA217" s="3154">
        <v>0.60158</v>
      </c>
      <c r="CB217" s="3154">
        <v>0.60721000000000003</v>
      </c>
      <c r="CC217" s="3154">
        <v>0.63319860000000006</v>
      </c>
      <c r="CD217" s="3154">
        <v>0.66039919200000008</v>
      </c>
      <c r="CE217" s="3154">
        <v>0.68887062684000011</v>
      </c>
      <c r="CF217" s="3154">
        <v>-9999</v>
      </c>
      <c r="CG217" s="3154">
        <v>-9999</v>
      </c>
      <c r="CH217" s="3154">
        <v>-9999</v>
      </c>
      <c r="CI217" s="3154">
        <v>-9999</v>
      </c>
      <c r="CJ217" s="3154">
        <v>-9999</v>
      </c>
      <c r="CK217" s="3154">
        <v>-9999</v>
      </c>
      <c r="CL217" s="3154">
        <v>-9999</v>
      </c>
      <c r="CM217" s="3154">
        <v>-9999</v>
      </c>
      <c r="CN217" s="3154">
        <v>0.67690570000000005</v>
      </c>
      <c r="CO217" s="3154">
        <v>0.63570725000000006</v>
      </c>
      <c r="CP217" s="3154">
        <v>0.64056606049999998</v>
      </c>
      <c r="CQ217" s="3154">
        <v>0.66916122814500012</v>
      </c>
      <c r="CR217" s="3154">
        <v>0.69911749146465008</v>
      </c>
      <c r="CS217" s="3154">
        <v>-9999</v>
      </c>
      <c r="CT217" s="3154">
        <v>-9999</v>
      </c>
      <c r="CU217" s="3154">
        <v>-9999</v>
      </c>
      <c r="CV217" s="3154">
        <v>-9999</v>
      </c>
      <c r="CW217" s="3154">
        <v>-9999</v>
      </c>
      <c r="CX217" s="3154">
        <v>-9999</v>
      </c>
      <c r="CY217" s="3154">
        <v>-9999</v>
      </c>
      <c r="CZ217" s="3154">
        <v>-9999</v>
      </c>
      <c r="DA217" s="3154">
        <v>0.63488999999999995</v>
      </c>
      <c r="DB217" s="3154">
        <v>0.61070999999999998</v>
      </c>
      <c r="DC217" s="3154">
        <v>0.63688769999999995</v>
      </c>
      <c r="DD217" s="3154">
        <v>0.66428712899999998</v>
      </c>
      <c r="DE217" s="3154">
        <v>0.69296763033000008</v>
      </c>
      <c r="DF217" s="3154">
        <v>-9999</v>
      </c>
      <c r="DG217" s="3154">
        <v>-9999</v>
      </c>
      <c r="DH217" s="3154">
        <v>-9999</v>
      </c>
      <c r="DI217" s="3154">
        <v>-9999</v>
      </c>
      <c r="DJ217" s="3154">
        <v>-9999</v>
      </c>
      <c r="DK217" s="3154">
        <v>-9999</v>
      </c>
      <c r="DL217" s="3154">
        <v>-9999</v>
      </c>
      <c r="DM217" s="3154">
        <v>-9999</v>
      </c>
      <c r="DN217" s="3154">
        <v>0.67662</v>
      </c>
      <c r="DO217" s="3154">
        <v>0.63488999999999995</v>
      </c>
      <c r="DP217" s="3154">
        <v>0.61070999999999998</v>
      </c>
      <c r="DQ217" s="3154">
        <v>0.63688769999999995</v>
      </c>
      <c r="DR217" s="3154">
        <v>0.66428712899999998</v>
      </c>
      <c r="DS217" s="3154">
        <v>-9999</v>
      </c>
      <c r="DT217" s="3154">
        <v>-9999</v>
      </c>
      <c r="DU217" s="3154">
        <v>-9999</v>
      </c>
      <c r="DV217" s="3154">
        <v>-9999</v>
      </c>
      <c r="DW217" s="3154">
        <v>-9999</v>
      </c>
      <c r="DX217" s="3154">
        <v>-9999</v>
      </c>
      <c r="DY217" s="3154">
        <v>-9999</v>
      </c>
      <c r="DZ217" s="3154">
        <v>-9999</v>
      </c>
      <c r="EA217" s="3159">
        <v>2.2395799999999997</v>
      </c>
      <c r="EB217" s="3159">
        <v>2.2635899999999998</v>
      </c>
      <c r="EC217" s="3159">
        <v>2.1892743000000001</v>
      </c>
      <c r="ED217" s="3159">
        <v>2.2767195150000004</v>
      </c>
      <c r="EE217" s="3159">
        <v>2.3685369907500005</v>
      </c>
      <c r="EF217" s="3157">
        <v>-9999</v>
      </c>
      <c r="EG217" s="3157">
        <v>-9999</v>
      </c>
      <c r="EH217" s="3157">
        <v>-9999</v>
      </c>
      <c r="EI217" s="3157">
        <v>-9999</v>
      </c>
      <c r="EJ217" s="3157">
        <v>-9999</v>
      </c>
      <c r="EK217" s="3157">
        <v>-9999</v>
      </c>
      <c r="EL217" s="3157">
        <v>-9999</v>
      </c>
      <c r="EM217" s="3157">
        <v>-9999</v>
      </c>
      <c r="EN217" s="3154"/>
      <c r="EO217" s="3154"/>
      <c r="EP217" s="3154"/>
      <c r="EQ217" s="3154"/>
      <c r="ER217" s="3154"/>
      <c r="ES217" s="3154"/>
    </row>
    <row r="218" spans="1:149">
      <c r="A218" s="22">
        <v>118</v>
      </c>
      <c r="B218" s="1" t="s">
        <v>88</v>
      </c>
      <c r="C218" s="24">
        <f ca="1">OFFSET('VVP2'!F192,0,Last_forecast_year - 3-InputY!$G$3)</f>
        <v>2.7902900000000002</v>
      </c>
      <c r="D218" s="3309">
        <f ca="1">OFFSET('VVP2'!G192,0,Last_forecast_year - 3-InputY!$G$3)</f>
        <v>2.8603499999999999</v>
      </c>
      <c r="E218" s="24">
        <f ca="1">OFFSET('VVP2'!H192,0,Last_forecast_year - 3-InputY!$G$3)</f>
        <v>2.9872100000000001</v>
      </c>
      <c r="F218" s="24">
        <f ca="1">OFFSET('VVP2'!I192,0,Last_forecast_year - 3-InputY!$G$3)</f>
        <v>3.1365705000000004</v>
      </c>
      <c r="G218" s="24">
        <f ca="1">OFFSET('VVP2'!J192,0,Last_forecast_year - 3-InputY!$G$3)</f>
        <v>3.2933990250000007</v>
      </c>
      <c r="H218" s="25">
        <v>-9999</v>
      </c>
      <c r="I218" s="25">
        <v>-9999</v>
      </c>
      <c r="J218" s="25">
        <v>-9999</v>
      </c>
      <c r="K218" s="25">
        <v>-9999</v>
      </c>
      <c r="L218" s="25">
        <v>-9999</v>
      </c>
      <c r="M218" s="25">
        <v>-9999</v>
      </c>
      <c r="N218" s="25">
        <v>-9999</v>
      </c>
      <c r="O218" s="25">
        <v>-9999</v>
      </c>
      <c r="P218"/>
      <c r="Q218"/>
      <c r="AA218" s="22">
        <v>118</v>
      </c>
      <c r="AB218" s="1040" t="str">
        <f t="shared" si="8"/>
        <v>GG COLLECTIVE CONSUMPTION EXPENDITURE</v>
      </c>
      <c r="AC218" s="1040">
        <f>CHOOSE(Tables!$U$2,Transfer!CA218,Transfer!CN218,Transfer!DA218,Transfer!DN218,Transfer!EA218)</f>
        <v>8.3541399999999992</v>
      </c>
      <c r="AD218" s="1040">
        <f>CHOOSE(Tables!$U$2,Transfer!CB218,Transfer!CO218,Transfer!DB218,Transfer!DO218,Transfer!EB218)</f>
        <v>8.6681499999999989</v>
      </c>
      <c r="AE218" s="1040">
        <f>CHOOSE(Tables!$U$2,Transfer!CC218,Transfer!CP218,Transfer!DC218,Transfer!DP218,Transfer!EC218)</f>
        <v>8.9281944999999983</v>
      </c>
      <c r="AF218" s="1040">
        <f>CHOOSE(Tables!$U$2,Transfer!CD218,Transfer!CQ218,Transfer!DD218,Transfer!DQ218,Transfer!ED218)</f>
        <v>9.1960403349999993</v>
      </c>
      <c r="AG218" s="1040">
        <f>CHOOSE(Tables!$U$2,Transfer!CE218,Transfer!CR218,Transfer!DE218,Transfer!DR218,Transfer!EE218)</f>
        <v>9.4719215450499998</v>
      </c>
      <c r="AH218" s="1040">
        <f>CHOOSE(Tables!$U$2,Transfer!CF218,Transfer!CS218,Transfer!DF218,Transfer!DS218,Transfer!EF218)</f>
        <v>-9999</v>
      </c>
      <c r="AI218" s="1040">
        <f>CHOOSE(Tables!$U$2,Transfer!CG218,Transfer!CT218,Transfer!DG218,Transfer!DT218,Transfer!EG218)</f>
        <v>-9999</v>
      </c>
      <c r="AJ218" s="1040">
        <f>CHOOSE(Tables!$U$2,Transfer!CH218,Transfer!CU218,Transfer!DH218,Transfer!DU218,Transfer!EH218)</f>
        <v>-9999</v>
      </c>
      <c r="AK218" s="1040">
        <f>CHOOSE(Tables!$U$2,Transfer!CI218,Transfer!CV218,Transfer!DI218,Transfer!DV218,Transfer!EI218)</f>
        <v>-9999</v>
      </c>
      <c r="AL218" s="1040">
        <f>CHOOSE(Tables!$U$2,Transfer!CJ218,Transfer!CW218,Transfer!DJ218,Transfer!DW218,Transfer!EJ218)</f>
        <v>-9999</v>
      </c>
      <c r="AM218" s="1040">
        <f>CHOOSE(Tables!$U$2,Transfer!CK218,Transfer!CX218,Transfer!DK218,Transfer!DX218,Transfer!EK218)</f>
        <v>-9999</v>
      </c>
      <c r="AN218" s="1040">
        <f>CHOOSE(Tables!$U$2,Transfer!CL218,Transfer!CY218,Transfer!DL218,Transfer!DY218,Transfer!EL218)</f>
        <v>-9999</v>
      </c>
      <c r="AO218" s="1040">
        <f>CHOOSE(Tables!$U$2,Transfer!CM218,Transfer!CZ218,Transfer!DM218,Transfer!DZ218,Transfer!EM218)</f>
        <v>-9999</v>
      </c>
      <c r="AR218" s="22">
        <v>118</v>
      </c>
      <c r="AS218" s="1" t="s">
        <v>88</v>
      </c>
      <c r="AT218" s="24">
        <f t="shared" ca="1" si="22"/>
        <v>-5.5638499999999986</v>
      </c>
      <c r="AU218" s="24">
        <f t="shared" ca="1" si="23"/>
        <v>-5.8077999999999985</v>
      </c>
      <c r="AV218" s="24">
        <f t="shared" ca="1" si="24"/>
        <v>-5.9409844999999981</v>
      </c>
      <c r="AW218" s="24">
        <f t="shared" ca="1" si="25"/>
        <v>-6.0594698349999989</v>
      </c>
      <c r="AX218" s="24">
        <f t="shared" ca="1" si="26"/>
        <v>-6.1785225200499987</v>
      </c>
      <c r="AY218" s="25">
        <f t="shared" si="27"/>
        <v>0</v>
      </c>
      <c r="AZ218" s="25">
        <f t="shared" si="28"/>
        <v>0</v>
      </c>
      <c r="BA218" s="25">
        <f t="shared" si="29"/>
        <v>0</v>
      </c>
      <c r="BB218" s="25">
        <f t="shared" si="30"/>
        <v>0</v>
      </c>
      <c r="BC218" s="25">
        <f t="shared" si="21"/>
        <v>0</v>
      </c>
      <c r="BD218" s="25">
        <f t="shared" si="21"/>
        <v>0</v>
      </c>
      <c r="BE218" s="25">
        <f t="shared" si="21"/>
        <v>0</v>
      </c>
      <c r="BF218" s="25">
        <f t="shared" si="21"/>
        <v>0</v>
      </c>
      <c r="CA218" s="16">
        <v>2.5829899999999997</v>
      </c>
      <c r="CB218" s="16">
        <v>2.7555100000000001</v>
      </c>
      <c r="CC218" s="16">
        <v>2.8381753000000001</v>
      </c>
      <c r="CD218" s="16">
        <v>2.9517023120000001</v>
      </c>
      <c r="CE218" s="16">
        <v>3.0992874276000002</v>
      </c>
      <c r="CF218" s="16">
        <v>-9999</v>
      </c>
      <c r="CG218" s="16">
        <v>-9999</v>
      </c>
      <c r="CH218" s="16">
        <v>-9999</v>
      </c>
      <c r="CI218" s="16">
        <v>-9999</v>
      </c>
      <c r="CJ218" s="16">
        <v>-9999</v>
      </c>
      <c r="CK218" s="16">
        <v>-9999</v>
      </c>
      <c r="CL218" s="16">
        <v>-9999</v>
      </c>
      <c r="CM218" s="16">
        <v>-9999</v>
      </c>
      <c r="CN218" s="16">
        <v>2.4687899999999998</v>
      </c>
      <c r="CO218" s="16">
        <v>2.5361400000000001</v>
      </c>
      <c r="CP218" s="16">
        <v>2.6122242</v>
      </c>
      <c r="CQ218" s="16">
        <v>2.690590926</v>
      </c>
      <c r="CR218" s="16">
        <v>2.7982145630400002</v>
      </c>
      <c r="CS218" s="16">
        <v>-9999</v>
      </c>
      <c r="CT218" s="16">
        <v>-9999</v>
      </c>
      <c r="CU218" s="16">
        <v>-9999</v>
      </c>
      <c r="CV218" s="16">
        <v>-9999</v>
      </c>
      <c r="CW218" s="16">
        <v>-9999</v>
      </c>
      <c r="CX218" s="16">
        <v>-9999</v>
      </c>
      <c r="CY218" s="16">
        <v>-9999</v>
      </c>
      <c r="CZ218" s="16">
        <v>-9999</v>
      </c>
      <c r="DA218" s="16">
        <v>2.5361400000000001</v>
      </c>
      <c r="DB218" s="16">
        <v>2.7736700000000001</v>
      </c>
      <c r="DC218" s="16">
        <v>2.8568801000000001</v>
      </c>
      <c r="DD218" s="16">
        <v>2.9711553040000003</v>
      </c>
      <c r="DE218" s="16">
        <v>3.1197130692000004</v>
      </c>
      <c r="DF218" s="16">
        <v>-9999</v>
      </c>
      <c r="DG218" s="16">
        <v>-9999</v>
      </c>
      <c r="DH218" s="16">
        <v>-9999</v>
      </c>
      <c r="DI218" s="16">
        <v>-9999</v>
      </c>
      <c r="DJ218" s="16">
        <v>-9999</v>
      </c>
      <c r="DK218" s="16">
        <v>-9999</v>
      </c>
      <c r="DL218" s="16">
        <v>-9999</v>
      </c>
      <c r="DM218" s="16">
        <v>-9999</v>
      </c>
      <c r="DN218" s="16">
        <v>2.4687899999999998</v>
      </c>
      <c r="DO218" s="16">
        <v>2.5361400000000001</v>
      </c>
      <c r="DP218" s="16">
        <v>2.6122242</v>
      </c>
      <c r="DQ218" s="16">
        <v>2.690590926</v>
      </c>
      <c r="DR218" s="16">
        <v>2.7982145630400002</v>
      </c>
      <c r="DS218" s="16">
        <v>-9999</v>
      </c>
      <c r="DT218" s="16">
        <v>-9999</v>
      </c>
      <c r="DU218" s="16">
        <v>-9999</v>
      </c>
      <c r="DV218" s="16">
        <v>-9999</v>
      </c>
      <c r="DW218" s="16">
        <v>-9999</v>
      </c>
      <c r="DX218" s="16">
        <v>-9999</v>
      </c>
      <c r="DY218" s="16">
        <v>-9999</v>
      </c>
      <c r="DZ218" s="16">
        <v>-9999</v>
      </c>
      <c r="EA218" s="2196">
        <v>8.3541399999999992</v>
      </c>
      <c r="EB218" s="2196">
        <v>8.6681499999999989</v>
      </c>
      <c r="EC218" s="2196">
        <v>8.9281944999999983</v>
      </c>
      <c r="ED218" s="2196">
        <v>9.1960403349999993</v>
      </c>
      <c r="EE218" s="2196">
        <v>9.4719215450499998</v>
      </c>
      <c r="EF218" s="2197">
        <v>-9999</v>
      </c>
      <c r="EG218" s="2197">
        <v>-9999</v>
      </c>
      <c r="EH218" s="2197">
        <v>-9999</v>
      </c>
      <c r="EI218" s="2197">
        <v>-9999</v>
      </c>
      <c r="EJ218" s="2197">
        <v>-9999</v>
      </c>
      <c r="EK218" s="2197">
        <v>-9999</v>
      </c>
      <c r="EL218" s="2197">
        <v>-9999</v>
      </c>
      <c r="EM218" s="2197">
        <v>-9999</v>
      </c>
    </row>
    <row r="219" spans="1:149">
      <c r="A219" s="22">
        <v>119</v>
      </c>
      <c r="B219" s="1" t="s">
        <v>89</v>
      </c>
      <c r="C219" s="24">
        <f ca="1">OFFSET('VVP2'!F191,0,Last_forecast_year - 3-InputY!$G$3)</f>
        <v>3.6384699999999999</v>
      </c>
      <c r="D219" s="3309">
        <f ca="1">OFFSET('VVP2'!G191,0,Last_forecast_year - 3-InputY!$G$3)</f>
        <v>3.7765200000000001</v>
      </c>
      <c r="E219" s="24">
        <f ca="1">OFFSET('VVP2'!H191,0,Last_forecast_year - 3-InputY!$G$3)</f>
        <v>3.9208400000000001</v>
      </c>
      <c r="F219" s="24">
        <f ca="1">OFFSET('VVP2'!I191,0,Last_forecast_year - 3-InputY!$G$3)</f>
        <v>4.161412395588</v>
      </c>
      <c r="G219" s="24">
        <f ca="1">OFFSET('VVP2'!J191,0,Last_forecast_year - 3-InputY!$G$3)</f>
        <v>4.3792999700392308</v>
      </c>
      <c r="H219" s="25">
        <v>-9999</v>
      </c>
      <c r="I219" s="25">
        <v>-9999</v>
      </c>
      <c r="J219" s="25">
        <v>-9999</v>
      </c>
      <c r="K219" s="25">
        <v>-9999</v>
      </c>
      <c r="L219" s="25">
        <v>-9999</v>
      </c>
      <c r="M219" s="25">
        <v>-9999</v>
      </c>
      <c r="N219" s="25">
        <v>-9999</v>
      </c>
      <c r="O219" s="25">
        <v>-9999</v>
      </c>
      <c r="P219"/>
      <c r="Q219"/>
      <c r="AA219" s="22">
        <v>119</v>
      </c>
      <c r="AB219" s="1040" t="str">
        <f t="shared" si="8"/>
        <v>GG SOCIAL TRANSFERS IN KIND</v>
      </c>
      <c r="AC219" s="1040">
        <f>CHOOSE(Tables!$U$2,Transfer!CA219,Transfer!CN219,Transfer!DA219,Transfer!DN219,Transfer!EA219)</f>
        <v>11.584530000000001</v>
      </c>
      <c r="AD219" s="1040">
        <f>CHOOSE(Tables!$U$2,Transfer!CB219,Transfer!CO219,Transfer!DB219,Transfer!DO219,Transfer!EB219)</f>
        <v>11.328760000000001</v>
      </c>
      <c r="AE219" s="1040">
        <f>CHOOSE(Tables!$U$2,Transfer!CC219,Transfer!CP219,Transfer!DC219,Transfer!DP219,Transfer!EC219)</f>
        <v>11.6528252411</v>
      </c>
      <c r="AF219" s="1040">
        <f>CHOOSE(Tables!$U$2,Transfer!CD219,Transfer!CQ219,Transfer!DD219,Transfer!DQ219,Transfer!ED219)</f>
        <v>12.111571727039793</v>
      </c>
      <c r="AG219" s="1040">
        <f>CHOOSE(Tables!$U$2,Transfer!CE219,Transfer!CR219,Transfer!DE219,Transfer!DR219,Transfer!EE219)</f>
        <v>12.587934453228044</v>
      </c>
      <c r="AH219" s="1040">
        <f>CHOOSE(Tables!$U$2,Transfer!CF219,Transfer!CS219,Transfer!DF219,Transfer!DS219,Transfer!EF219)</f>
        <v>-9999</v>
      </c>
      <c r="AI219" s="1040">
        <f>CHOOSE(Tables!$U$2,Transfer!CG219,Transfer!CT219,Transfer!DG219,Transfer!DT219,Transfer!EG219)</f>
        <v>-9999</v>
      </c>
      <c r="AJ219" s="1040">
        <f>CHOOSE(Tables!$U$2,Transfer!CH219,Transfer!CU219,Transfer!DH219,Transfer!DU219,Transfer!EH219)</f>
        <v>-9999</v>
      </c>
      <c r="AK219" s="1040">
        <f>CHOOSE(Tables!$U$2,Transfer!CI219,Transfer!CV219,Transfer!DI219,Transfer!DV219,Transfer!EI219)</f>
        <v>-9999</v>
      </c>
      <c r="AL219" s="1040">
        <f>CHOOSE(Tables!$U$2,Transfer!CJ219,Transfer!CW219,Transfer!DJ219,Transfer!DW219,Transfer!EJ219)</f>
        <v>-9999</v>
      </c>
      <c r="AM219" s="1040">
        <f>CHOOSE(Tables!$U$2,Transfer!CK219,Transfer!CX219,Transfer!DK219,Transfer!DX219,Transfer!EK219)</f>
        <v>-9999</v>
      </c>
      <c r="AN219" s="1040">
        <f>CHOOSE(Tables!$U$2,Transfer!CL219,Transfer!CY219,Transfer!DL219,Transfer!DY219,Transfer!EL219)</f>
        <v>-9999</v>
      </c>
      <c r="AO219" s="1040">
        <f>CHOOSE(Tables!$U$2,Transfer!CM219,Transfer!CZ219,Transfer!DM219,Transfer!DZ219,Transfer!EM219)</f>
        <v>-9999</v>
      </c>
      <c r="AR219" s="22">
        <v>119</v>
      </c>
      <c r="AS219" s="1" t="s">
        <v>89</v>
      </c>
      <c r="AT219" s="24">
        <f t="shared" ca="1" si="22"/>
        <v>-7.946060000000001</v>
      </c>
      <c r="AU219" s="24">
        <f t="shared" ca="1" si="23"/>
        <v>-7.5522400000000012</v>
      </c>
      <c r="AV219" s="24">
        <f t="shared" ca="1" si="24"/>
        <v>-7.7319852411000003</v>
      </c>
      <c r="AW219" s="24">
        <f t="shared" ca="1" si="25"/>
        <v>-7.9501593314517933</v>
      </c>
      <c r="AX219" s="24">
        <f t="shared" ca="1" si="26"/>
        <v>-8.2086344831888134</v>
      </c>
      <c r="AY219" s="25">
        <f t="shared" si="27"/>
        <v>0</v>
      </c>
      <c r="AZ219" s="25">
        <f t="shared" si="28"/>
        <v>0</v>
      </c>
      <c r="BA219" s="25">
        <f t="shared" si="29"/>
        <v>0</v>
      </c>
      <c r="BB219" s="25">
        <f t="shared" si="30"/>
        <v>0</v>
      </c>
      <c r="BC219" s="25">
        <f t="shared" si="21"/>
        <v>0</v>
      </c>
      <c r="BD219" s="25">
        <f t="shared" si="21"/>
        <v>0</v>
      </c>
      <c r="BE219" s="25">
        <f t="shared" si="21"/>
        <v>0</v>
      </c>
      <c r="BF219" s="25">
        <f t="shared" si="21"/>
        <v>0</v>
      </c>
      <c r="CA219" s="16">
        <v>3.2785799999999998</v>
      </c>
      <c r="CB219" s="16">
        <v>3.40618</v>
      </c>
      <c r="CC219" s="16">
        <v>3.5879651922649995</v>
      </c>
      <c r="CD219" s="16">
        <v>3.7501131812426758</v>
      </c>
      <c r="CE219" s="16">
        <v>3.9348040777976472</v>
      </c>
      <c r="CF219" s="16">
        <v>-9999</v>
      </c>
      <c r="CG219" s="16">
        <v>-9999</v>
      </c>
      <c r="CH219" s="16">
        <v>-9999</v>
      </c>
      <c r="CI219" s="16">
        <v>-9999</v>
      </c>
      <c r="CJ219" s="16">
        <v>-9999</v>
      </c>
      <c r="CK219" s="16">
        <v>-9999</v>
      </c>
      <c r="CL219" s="16">
        <v>-9999</v>
      </c>
      <c r="CM219" s="16">
        <v>-9999</v>
      </c>
      <c r="CN219" s="16">
        <v>3.30108318</v>
      </c>
      <c r="CO219" s="16">
        <v>3.3425104299999999</v>
      </c>
      <c r="CP219" s="16">
        <v>3.5215949349384728</v>
      </c>
      <c r="CQ219" s="16">
        <v>3.7380410310008587</v>
      </c>
      <c r="CR219" s="16">
        <v>3.932823457971109</v>
      </c>
      <c r="CS219" s="16">
        <v>-9999</v>
      </c>
      <c r="CT219" s="16">
        <v>-9999</v>
      </c>
      <c r="CU219" s="16">
        <v>-9999</v>
      </c>
      <c r="CV219" s="16">
        <v>-9999</v>
      </c>
      <c r="CW219" s="16">
        <v>-9999</v>
      </c>
      <c r="CX219" s="16">
        <v>-9999</v>
      </c>
      <c r="CY219" s="16">
        <v>-9999</v>
      </c>
      <c r="CZ219" s="16">
        <v>-9999</v>
      </c>
      <c r="DA219" s="16">
        <v>3.2877299999999998</v>
      </c>
      <c r="DB219" s="16">
        <v>3.4122300000000001</v>
      </c>
      <c r="DC219" s="16">
        <v>3.5096358081999992</v>
      </c>
      <c r="DD219" s="16">
        <v>3.5812883347830717</v>
      </c>
      <c r="DE219" s="16">
        <v>3.6107604632488077</v>
      </c>
      <c r="DF219" s="16">
        <v>-9999</v>
      </c>
      <c r="DG219" s="16">
        <v>-9999</v>
      </c>
      <c r="DH219" s="16">
        <v>-9999</v>
      </c>
      <c r="DI219" s="16">
        <v>-9999</v>
      </c>
      <c r="DJ219" s="16">
        <v>-9999</v>
      </c>
      <c r="DK219" s="16">
        <v>-9999</v>
      </c>
      <c r="DL219" s="16">
        <v>-9999</v>
      </c>
      <c r="DM219" s="16">
        <v>-9999</v>
      </c>
      <c r="DN219" s="16">
        <v>3.2359800000000001</v>
      </c>
      <c r="DO219" s="16">
        <v>3.2877299999999998</v>
      </c>
      <c r="DP219" s="16">
        <v>3.4610414544188663</v>
      </c>
      <c r="DQ219" s="16">
        <v>3.6738038078867365</v>
      </c>
      <c r="DR219" s="16">
        <v>3.8652540250179701</v>
      </c>
      <c r="DS219" s="16">
        <v>-9999</v>
      </c>
      <c r="DT219" s="16">
        <v>-9999</v>
      </c>
      <c r="DU219" s="16">
        <v>-9999</v>
      </c>
      <c r="DV219" s="16">
        <v>-9999</v>
      </c>
      <c r="DW219" s="16">
        <v>-9999</v>
      </c>
      <c r="DX219" s="16">
        <v>-9999</v>
      </c>
      <c r="DY219" s="16">
        <v>-9999</v>
      </c>
      <c r="DZ219" s="16">
        <v>-9999</v>
      </c>
      <c r="EA219" s="2196">
        <v>11.584530000000001</v>
      </c>
      <c r="EB219" s="2196">
        <v>11.328760000000001</v>
      </c>
      <c r="EC219" s="2196">
        <v>11.6528252411</v>
      </c>
      <c r="ED219" s="2196">
        <v>12.111571727039793</v>
      </c>
      <c r="EE219" s="2196">
        <v>12.587934453228044</v>
      </c>
      <c r="EF219" s="2197">
        <v>-9999</v>
      </c>
      <c r="EG219" s="2197">
        <v>-9999</v>
      </c>
      <c r="EH219" s="2197">
        <v>-9999</v>
      </c>
      <c r="EI219" s="2197">
        <v>-9999</v>
      </c>
      <c r="EJ219" s="2197">
        <v>-9999</v>
      </c>
      <c r="EK219" s="2197">
        <v>-9999</v>
      </c>
      <c r="EL219" s="2197">
        <v>-9999</v>
      </c>
      <c r="EM219" s="2197">
        <v>-9999</v>
      </c>
    </row>
    <row r="220" spans="1:149">
      <c r="A220" s="22">
        <v>120</v>
      </c>
      <c r="B220" s="1" t="s">
        <v>90</v>
      </c>
      <c r="C220" s="24">
        <f ca="1">OFFSET(Labour1!F211,0,Last_forecast_year - 3-InputY!$G$3)</f>
        <v>3.6053099999999998</v>
      </c>
      <c r="D220" s="3309">
        <f ca="1">OFFSET(Labour1!G211,0,Last_forecast_year - 3-InputY!$G$3)</f>
        <v>3.8023500000000001</v>
      </c>
      <c r="E220" s="24">
        <f ca="1">OFFSET(Labour1!H211,0,Last_forecast_year - 3-InputY!$G$3)</f>
        <v>4.0019753007261274</v>
      </c>
      <c r="F220" s="24">
        <f ca="1">OFFSET(Labour1!I211,0,Last_forecast_year - 3-InputY!$G$3)</f>
        <v>4.2038161866725012</v>
      </c>
      <c r="G220" s="24">
        <f ca="1">OFFSET(Labour1!J211,0,Last_forecast_year - 3-InputY!$G$3)</f>
        <v>4.435208860003871</v>
      </c>
      <c r="H220" s="25">
        <v>-9999</v>
      </c>
      <c r="I220" s="25">
        <v>-9999</v>
      </c>
      <c r="J220" s="25">
        <v>-9999</v>
      </c>
      <c r="K220" s="25">
        <v>-9999</v>
      </c>
      <c r="L220" s="25">
        <v>-9999</v>
      </c>
      <c r="M220" s="25">
        <v>-9999</v>
      </c>
      <c r="N220" s="25">
        <v>-9999</v>
      </c>
      <c r="O220" s="25">
        <v>-9999</v>
      </c>
      <c r="P220"/>
      <c r="Q220"/>
      <c r="AA220" s="22">
        <v>120</v>
      </c>
      <c r="AB220" s="1040" t="str">
        <f t="shared" si="8"/>
        <v>GG COMPENSATION OF EMPLOYEES</v>
      </c>
      <c r="AC220" s="1040">
        <f>CHOOSE(Tables!$U$2,Transfer!CA220,Transfer!CN220,Transfer!DA220,Transfer!DN220,Transfer!EA220)</f>
        <v>11.006020000000001</v>
      </c>
      <c r="AD220" s="1040">
        <f>CHOOSE(Tables!$U$2,Transfer!CB220,Transfer!CO220,Transfer!DB220,Transfer!DO220,Transfer!EB220)</f>
        <v>11.15719</v>
      </c>
      <c r="AE220" s="1040">
        <f>CHOOSE(Tables!$U$2,Transfer!CC220,Transfer!CP220,Transfer!DC220,Transfer!DP220,Transfer!EC220)</f>
        <v>11.783108359</v>
      </c>
      <c r="AF220" s="1040">
        <f>CHOOSE(Tables!$U$2,Transfer!CD220,Transfer!CQ220,Transfer!DD220,Transfer!DQ220,Transfer!ED220)</f>
        <v>12.622065674160799</v>
      </c>
      <c r="AG220" s="1040">
        <f>CHOOSE(Tables!$U$2,Transfer!CE220,Transfer!CR220,Transfer!DE220,Transfer!DR220,Transfer!EE220)</f>
        <v>13.253168957868839</v>
      </c>
      <c r="AH220" s="1040">
        <f>CHOOSE(Tables!$U$2,Transfer!CF220,Transfer!CS220,Transfer!DF220,Transfer!DS220,Transfer!EF220)</f>
        <v>-9999</v>
      </c>
      <c r="AI220" s="1040">
        <f>CHOOSE(Tables!$U$2,Transfer!CG220,Transfer!CT220,Transfer!DG220,Transfer!DT220,Transfer!EG220)</f>
        <v>-9999</v>
      </c>
      <c r="AJ220" s="1040">
        <f>CHOOSE(Tables!$U$2,Transfer!CH220,Transfer!CU220,Transfer!DH220,Transfer!DU220,Transfer!EH220)</f>
        <v>-9999</v>
      </c>
      <c r="AK220" s="1040">
        <f>CHOOSE(Tables!$U$2,Transfer!CI220,Transfer!CV220,Transfer!DI220,Transfer!DV220,Transfer!EI220)</f>
        <v>-9999</v>
      </c>
      <c r="AL220" s="1040">
        <f>CHOOSE(Tables!$U$2,Transfer!CJ220,Transfer!CW220,Transfer!DJ220,Transfer!DW220,Transfer!EJ220)</f>
        <v>-9999</v>
      </c>
      <c r="AM220" s="1040">
        <f>CHOOSE(Tables!$U$2,Transfer!CK220,Transfer!CX220,Transfer!DK220,Transfer!DX220,Transfer!EK220)</f>
        <v>-9999</v>
      </c>
      <c r="AN220" s="1040">
        <f>CHOOSE(Tables!$U$2,Transfer!CL220,Transfer!CY220,Transfer!DL220,Transfer!DY220,Transfer!EL220)</f>
        <v>-9999</v>
      </c>
      <c r="AO220" s="1040">
        <f>CHOOSE(Tables!$U$2,Transfer!CM220,Transfer!CZ220,Transfer!DM220,Transfer!DZ220,Transfer!EM220)</f>
        <v>-9999</v>
      </c>
      <c r="AR220" s="22">
        <v>120</v>
      </c>
      <c r="AS220" s="1" t="s">
        <v>90</v>
      </c>
      <c r="AT220" s="24">
        <f t="shared" ca="1" si="22"/>
        <v>-7.4007100000000019</v>
      </c>
      <c r="AU220" s="24">
        <f t="shared" ca="1" si="23"/>
        <v>-7.3548399999999994</v>
      </c>
      <c r="AV220" s="24">
        <f t="shared" ca="1" si="24"/>
        <v>-7.7811330582738725</v>
      </c>
      <c r="AW220" s="24">
        <f t="shared" ca="1" si="25"/>
        <v>-8.418249487488298</v>
      </c>
      <c r="AX220" s="24">
        <f t="shared" ca="1" si="26"/>
        <v>-8.8179600978649688</v>
      </c>
      <c r="AY220" s="25">
        <f t="shared" si="27"/>
        <v>0</v>
      </c>
      <c r="AZ220" s="25">
        <f t="shared" si="28"/>
        <v>0</v>
      </c>
      <c r="BA220" s="25">
        <f t="shared" si="29"/>
        <v>0</v>
      </c>
      <c r="BB220" s="25">
        <f t="shared" si="30"/>
        <v>0</v>
      </c>
      <c r="BC220" s="25">
        <f t="shared" si="21"/>
        <v>0</v>
      </c>
      <c r="BD220" s="25">
        <f t="shared" si="21"/>
        <v>0</v>
      </c>
      <c r="BE220" s="25">
        <f t="shared" si="21"/>
        <v>0</v>
      </c>
      <c r="BF220" s="25">
        <f t="shared" si="21"/>
        <v>0</v>
      </c>
      <c r="CA220" s="16">
        <v>3.3279800000000002</v>
      </c>
      <c r="CB220" s="16">
        <v>3.4510399999999999</v>
      </c>
      <c r="CC220" s="16">
        <v>3.6201409599999996</v>
      </c>
      <c r="CD220" s="16">
        <v>3.8192487127999994</v>
      </c>
      <c r="CE220" s="16">
        <v>4.0560421329935998</v>
      </c>
      <c r="CF220" s="16">
        <v>-9999</v>
      </c>
      <c r="CG220" s="16">
        <v>-9999</v>
      </c>
      <c r="CH220" s="16">
        <v>-9999</v>
      </c>
      <c r="CI220" s="16">
        <v>-9999</v>
      </c>
      <c r="CJ220" s="16">
        <v>-9999</v>
      </c>
      <c r="CK220" s="16">
        <v>-9999</v>
      </c>
      <c r="CL220" s="16">
        <v>-9999</v>
      </c>
      <c r="CM220" s="16">
        <v>-9999</v>
      </c>
      <c r="CN220" s="16">
        <v>3.2398893699999998</v>
      </c>
      <c r="CO220" s="16">
        <v>3.32613241</v>
      </c>
      <c r="CP220" s="16">
        <v>3.4839388995583005</v>
      </c>
      <c r="CQ220" s="16">
        <v>3.6407161500384237</v>
      </c>
      <c r="CR220" s="16">
        <v>3.830033389840422</v>
      </c>
      <c r="CS220" s="16">
        <v>-9999</v>
      </c>
      <c r="CT220" s="16">
        <v>-9999</v>
      </c>
      <c r="CU220" s="16">
        <v>-9999</v>
      </c>
      <c r="CV220" s="16">
        <v>-9999</v>
      </c>
      <c r="CW220" s="16">
        <v>-9999</v>
      </c>
      <c r="CX220" s="16">
        <v>-9999</v>
      </c>
      <c r="CY220" s="16">
        <v>-9999</v>
      </c>
      <c r="CZ220" s="16">
        <v>-9999</v>
      </c>
      <c r="DA220" s="16">
        <v>3.3279800000000002</v>
      </c>
      <c r="DB220" s="16">
        <v>3.4505300000000001</v>
      </c>
      <c r="DC220" s="16">
        <v>3.60580385</v>
      </c>
      <c r="DD220" s="16">
        <v>3.7933056502000002</v>
      </c>
      <c r="DE220" s="16">
        <v>4.0284906005124004</v>
      </c>
      <c r="DF220" s="16">
        <v>-9999</v>
      </c>
      <c r="DG220" s="16">
        <v>-9999</v>
      </c>
      <c r="DH220" s="16">
        <v>-9999</v>
      </c>
      <c r="DI220" s="16">
        <v>-9999</v>
      </c>
      <c r="DJ220" s="16">
        <v>-9999</v>
      </c>
      <c r="DK220" s="16">
        <v>-9999</v>
      </c>
      <c r="DL220" s="16">
        <v>-9999</v>
      </c>
      <c r="DM220" s="16">
        <v>-9999</v>
      </c>
      <c r="DN220" s="16">
        <v>3.2416100000000001</v>
      </c>
      <c r="DO220" s="16">
        <v>3.3279800000000002</v>
      </c>
      <c r="DP220" s="16">
        <v>3.4858741474312001</v>
      </c>
      <c r="DQ220" s="16">
        <v>3.6427384840656036</v>
      </c>
      <c r="DR220" s="16">
        <v>3.8321608852370153</v>
      </c>
      <c r="DS220" s="16">
        <v>-9999</v>
      </c>
      <c r="DT220" s="16">
        <v>-9999</v>
      </c>
      <c r="DU220" s="16">
        <v>-9999</v>
      </c>
      <c r="DV220" s="16">
        <v>-9999</v>
      </c>
      <c r="DW220" s="16">
        <v>-9999</v>
      </c>
      <c r="DX220" s="16">
        <v>-9999</v>
      </c>
      <c r="DY220" s="16">
        <v>-9999</v>
      </c>
      <c r="DZ220" s="16">
        <v>-9999</v>
      </c>
      <c r="EA220" s="2196">
        <v>11.006020000000001</v>
      </c>
      <c r="EB220" s="2196">
        <v>11.15719</v>
      </c>
      <c r="EC220" s="2196">
        <v>11.783108359</v>
      </c>
      <c r="ED220" s="2196">
        <v>12.622065674160799</v>
      </c>
      <c r="EE220" s="2196">
        <v>13.253168957868839</v>
      </c>
      <c r="EF220" s="2197">
        <v>-9999</v>
      </c>
      <c r="EG220" s="2197">
        <v>-9999</v>
      </c>
      <c r="EH220" s="2197">
        <v>-9999</v>
      </c>
      <c r="EI220" s="2197">
        <v>-9999</v>
      </c>
      <c r="EJ220" s="2197">
        <v>-9999</v>
      </c>
      <c r="EK220" s="2197">
        <v>-9999</v>
      </c>
      <c r="EL220" s="2197">
        <v>-9999</v>
      </c>
      <c r="EM220" s="2197">
        <v>-9999</v>
      </c>
    </row>
    <row r="221" spans="1:149">
      <c r="A221" s="22">
        <v>121</v>
      </c>
      <c r="B221" s="1" t="s">
        <v>843</v>
      </c>
      <c r="C221" s="24">
        <f ca="1">OFFSET(Sector1!F300,0,Last_forecast_year - 3-InputY!$G$3)</f>
        <v>4.0540500000000002</v>
      </c>
      <c r="D221" s="3309">
        <f ca="1">OFFSET(Sector1!G300,0,Last_forecast_year - 3-InputY!$G$3)</f>
        <v>4.2601700000000005</v>
      </c>
      <c r="E221" s="24">
        <f ca="1">OFFSET(Sector1!H300,0,Last_forecast_year - 3-InputY!$G$3)</f>
        <v>4.7713904000000014</v>
      </c>
      <c r="F221" s="24">
        <f ca="1">OFFSET(Sector1!I300,0,Last_forecast_year - 3-InputY!$G$3)</f>
        <v>5.3439572480000024</v>
      </c>
      <c r="G221" s="24">
        <f ca="1">OFFSET(Sector1!J300,0,Last_forecast_year - 3-InputY!$G$3)</f>
        <v>5.6645946828800025</v>
      </c>
      <c r="H221" s="25">
        <v>-9999</v>
      </c>
      <c r="I221" s="25">
        <v>-9999</v>
      </c>
      <c r="J221" s="25">
        <v>-9999</v>
      </c>
      <c r="K221" s="25">
        <v>-9999</v>
      </c>
      <c r="L221" s="25">
        <v>-9999</v>
      </c>
      <c r="M221" s="25">
        <v>-9999</v>
      </c>
      <c r="N221" s="25">
        <v>-9999</v>
      </c>
      <c r="O221" s="25">
        <v>-9999</v>
      </c>
      <c r="P221"/>
      <c r="Q221"/>
      <c r="AA221" s="22">
        <v>121</v>
      </c>
      <c r="AB221" s="1040" t="str">
        <f t="shared" si="8"/>
        <v>GG SOCIAL TRANSFERS OTHER THAN IN KIND</v>
      </c>
      <c r="AC221" s="1040">
        <f>CHOOSE(Tables!$U$2,Transfer!CA221,Transfer!CN221,Transfer!DA221,Transfer!DN221,Transfer!EA221)</f>
        <v>13.47702</v>
      </c>
      <c r="AD221" s="1040">
        <f>CHOOSE(Tables!$U$2,Transfer!CB221,Transfer!CO221,Transfer!DB221,Transfer!DO221,Transfer!EB221)</f>
        <v>13.77122</v>
      </c>
      <c r="AE221" s="1040">
        <f>CHOOSE(Tables!$U$2,Transfer!CC221,Transfer!CP221,Transfer!DC221,Transfer!DP221,Transfer!EC221)</f>
        <v>14.184356599999999</v>
      </c>
      <c r="AF221" s="1040">
        <f>CHOOSE(Tables!$U$2,Transfer!CD221,Transfer!CQ221,Transfer!DD221,Transfer!DQ221,Transfer!ED221)</f>
        <v>14.964496212999999</v>
      </c>
      <c r="AG221" s="1040">
        <f>CHOOSE(Tables!$U$2,Transfer!CE221,Transfer!CR221,Transfer!DE221,Transfer!DR221,Transfer!EE221)</f>
        <v>15.787543504714998</v>
      </c>
      <c r="AH221" s="1040">
        <f>CHOOSE(Tables!$U$2,Transfer!CF221,Transfer!CS221,Transfer!DF221,Transfer!DS221,Transfer!EF221)</f>
        <v>-9999</v>
      </c>
      <c r="AI221" s="1040">
        <f>CHOOSE(Tables!$U$2,Transfer!CG221,Transfer!CT221,Transfer!DG221,Transfer!DT221,Transfer!EG221)</f>
        <v>-9999</v>
      </c>
      <c r="AJ221" s="1040">
        <f>CHOOSE(Tables!$U$2,Transfer!CH221,Transfer!CU221,Transfer!DH221,Transfer!DU221,Transfer!EH221)</f>
        <v>-9999</v>
      </c>
      <c r="AK221" s="1040">
        <f>CHOOSE(Tables!$U$2,Transfer!CI221,Transfer!CV221,Transfer!DI221,Transfer!DV221,Transfer!EI221)</f>
        <v>-9999</v>
      </c>
      <c r="AL221" s="1040">
        <f>CHOOSE(Tables!$U$2,Transfer!CJ221,Transfer!CW221,Transfer!DJ221,Transfer!DW221,Transfer!EJ221)</f>
        <v>-9999</v>
      </c>
      <c r="AM221" s="1040">
        <f>CHOOSE(Tables!$U$2,Transfer!CK221,Transfer!CX221,Transfer!DK221,Transfer!DX221,Transfer!EK221)</f>
        <v>-9999</v>
      </c>
      <c r="AN221" s="1040">
        <f>CHOOSE(Tables!$U$2,Transfer!CL221,Transfer!CY221,Transfer!DL221,Transfer!DY221,Transfer!EL221)</f>
        <v>-9999</v>
      </c>
      <c r="AO221" s="1040">
        <f>CHOOSE(Tables!$U$2,Transfer!CM221,Transfer!CZ221,Transfer!DM221,Transfer!DZ221,Transfer!EM221)</f>
        <v>-9999</v>
      </c>
      <c r="AR221" s="22">
        <v>121</v>
      </c>
      <c r="AS221" s="1" t="s">
        <v>843</v>
      </c>
      <c r="AT221" s="24">
        <f t="shared" ca="1" si="22"/>
        <v>-9.4229699999999994</v>
      </c>
      <c r="AU221" s="24">
        <f t="shared" ca="1" si="23"/>
        <v>-9.5110499999999991</v>
      </c>
      <c r="AV221" s="24">
        <f t="shared" ca="1" si="24"/>
        <v>-9.4129661999999978</v>
      </c>
      <c r="AW221" s="24">
        <f t="shared" ca="1" si="25"/>
        <v>-9.6205389649999962</v>
      </c>
      <c r="AX221" s="24">
        <f t="shared" ca="1" si="26"/>
        <v>-10.122948821834996</v>
      </c>
      <c r="AY221" s="25">
        <f t="shared" si="27"/>
        <v>0</v>
      </c>
      <c r="AZ221" s="25">
        <f t="shared" si="28"/>
        <v>0</v>
      </c>
      <c r="BA221" s="25">
        <f t="shared" si="29"/>
        <v>0</v>
      </c>
      <c r="BB221" s="25">
        <f t="shared" si="30"/>
        <v>0</v>
      </c>
      <c r="BC221" s="25">
        <f t="shared" si="21"/>
        <v>0</v>
      </c>
      <c r="BD221" s="25">
        <f t="shared" si="21"/>
        <v>0</v>
      </c>
      <c r="BE221" s="25">
        <f t="shared" si="21"/>
        <v>0</v>
      </c>
      <c r="BF221" s="25">
        <f t="shared" si="21"/>
        <v>0</v>
      </c>
      <c r="CA221" s="16">
        <v>3.91635</v>
      </c>
      <c r="CB221" s="16">
        <v>3.9025300000000001</v>
      </c>
      <c r="CC221" s="16">
        <v>4.0157033699999998</v>
      </c>
      <c r="CD221" s="16">
        <v>4.2566455722000001</v>
      </c>
      <c r="CE221" s="16">
        <v>4.3204952557829994</v>
      </c>
      <c r="CF221" s="16">
        <v>-9999</v>
      </c>
      <c r="CG221" s="16">
        <v>-9999</v>
      </c>
      <c r="CH221" s="16">
        <v>-9999</v>
      </c>
      <c r="CI221" s="16">
        <v>-9999</v>
      </c>
      <c r="CJ221" s="16">
        <v>-9999</v>
      </c>
      <c r="CK221" s="16">
        <v>-9999</v>
      </c>
      <c r="CL221" s="16">
        <v>-9999</v>
      </c>
      <c r="CM221" s="16">
        <v>-9999</v>
      </c>
      <c r="CN221" s="16">
        <v>3.9884209900000003</v>
      </c>
      <c r="CO221" s="16">
        <v>3.9163519500000001</v>
      </c>
      <c r="CP221" s="16">
        <v>4.2218274021000006</v>
      </c>
      <c r="CQ221" s="16">
        <v>4.2176055746979006</v>
      </c>
      <c r="CR221" s="16">
        <v>4.3378073335767908</v>
      </c>
      <c r="CS221" s="16">
        <v>-9999</v>
      </c>
      <c r="CT221" s="16">
        <v>-9999</v>
      </c>
      <c r="CU221" s="16">
        <v>-9999</v>
      </c>
      <c r="CV221" s="16">
        <v>-9999</v>
      </c>
      <c r="CW221" s="16">
        <v>-9999</v>
      </c>
      <c r="CX221" s="16">
        <v>-9999</v>
      </c>
      <c r="CY221" s="16">
        <v>-9999</v>
      </c>
      <c r="CZ221" s="16">
        <v>-9999</v>
      </c>
      <c r="DA221" s="16">
        <v>3.91635</v>
      </c>
      <c r="DB221" s="16">
        <v>3.9025300000000001</v>
      </c>
      <c r="DC221" s="16">
        <v>3.8986274700000001</v>
      </c>
      <c r="DD221" s="16">
        <v>4.0097383528949999</v>
      </c>
      <c r="DE221" s="16">
        <v>4.1240158959525077</v>
      </c>
      <c r="DF221" s="16">
        <v>-9999</v>
      </c>
      <c r="DG221" s="16">
        <v>-9999</v>
      </c>
      <c r="DH221" s="16">
        <v>-9999</v>
      </c>
      <c r="DI221" s="16">
        <v>-9999</v>
      </c>
      <c r="DJ221" s="16">
        <v>-9999</v>
      </c>
      <c r="DK221" s="16">
        <v>-9999</v>
      </c>
      <c r="DL221" s="16">
        <v>-9999</v>
      </c>
      <c r="DM221" s="16">
        <v>-9999</v>
      </c>
      <c r="DN221" s="16">
        <v>3.9884200000000001</v>
      </c>
      <c r="DO221" s="16">
        <v>3.91635</v>
      </c>
      <c r="DP221" s="16">
        <v>3.9025300000000001</v>
      </c>
      <c r="DQ221" s="16">
        <v>3.8986274700000001</v>
      </c>
      <c r="DR221" s="16">
        <v>4.0097383528949999</v>
      </c>
      <c r="DS221" s="16">
        <v>-9999</v>
      </c>
      <c r="DT221" s="16">
        <v>-9999</v>
      </c>
      <c r="DU221" s="16">
        <v>-9999</v>
      </c>
      <c r="DV221" s="16">
        <v>-9999</v>
      </c>
      <c r="DW221" s="16">
        <v>-9999</v>
      </c>
      <c r="DX221" s="16">
        <v>-9999</v>
      </c>
      <c r="DY221" s="16">
        <v>-9999</v>
      </c>
      <c r="DZ221" s="16">
        <v>-9999</v>
      </c>
      <c r="EA221" s="2196">
        <v>13.47702</v>
      </c>
      <c r="EB221" s="2196">
        <v>13.77122</v>
      </c>
      <c r="EC221" s="2196">
        <v>14.184356599999999</v>
      </c>
      <c r="ED221" s="2196">
        <v>14.964496212999999</v>
      </c>
      <c r="EE221" s="2196">
        <v>15.787543504714998</v>
      </c>
      <c r="EF221" s="2197">
        <v>-9999</v>
      </c>
      <c r="EG221" s="2197">
        <v>-9999</v>
      </c>
      <c r="EH221" s="2197">
        <v>-9999</v>
      </c>
      <c r="EI221" s="2197">
        <v>-9999</v>
      </c>
      <c r="EJ221" s="2197">
        <v>-9999</v>
      </c>
      <c r="EK221" s="2197">
        <v>-9999</v>
      </c>
      <c r="EL221" s="2197">
        <v>-9999</v>
      </c>
      <c r="EM221" s="2197">
        <v>-9999</v>
      </c>
    </row>
    <row r="222" spans="1:149">
      <c r="A222" s="22">
        <v>122</v>
      </c>
      <c r="B222" s="1" t="s">
        <v>845</v>
      </c>
      <c r="C222" s="24">
        <f ca="1">OFFSET(Sector1!F139,0,Last_forecast_year - 3-InputY!$G$3)</f>
        <v>0.56867999999999996</v>
      </c>
      <c r="D222" s="3309">
        <f ca="1">OFFSET(Sector1!G139,0,Last_forecast_year - 3-InputY!$G$3)</f>
        <v>0.51676999999999995</v>
      </c>
      <c r="E222" s="24">
        <f ca="1">OFFSET(Sector1!H139,0,Last_forecast_year - 3-InputY!$G$3)</f>
        <v>0.49499999999999994</v>
      </c>
      <c r="F222" s="24">
        <f ca="1">OFFSET(Sector1!I139,0,Last_forecast_year - 3-InputY!$G$3)</f>
        <v>0.38500000000000001</v>
      </c>
      <c r="G222" s="24">
        <f ca="1">OFFSET(Sector1!J139,0,Last_forecast_year - 3-InputY!$G$3)</f>
        <v>0.40100000000000002</v>
      </c>
      <c r="H222" s="25">
        <v>-9999</v>
      </c>
      <c r="I222" s="25">
        <v>-9999</v>
      </c>
      <c r="J222" s="25">
        <v>-9999</v>
      </c>
      <c r="K222" s="25">
        <v>-9999</v>
      </c>
      <c r="L222" s="25">
        <v>-9999</v>
      </c>
      <c r="M222" s="25">
        <v>-9999</v>
      </c>
      <c r="N222" s="25">
        <v>-9999</v>
      </c>
      <c r="O222" s="25">
        <v>-9999</v>
      </c>
      <c r="P222"/>
      <c r="Q222"/>
      <c r="AA222" s="22">
        <v>122</v>
      </c>
      <c r="AB222" s="1040" t="str">
        <f t="shared" si="8"/>
        <v>GG INTEREST excl SWAPS</v>
      </c>
      <c r="AC222" s="1040">
        <f>CHOOSE(Tables!$U$2,Transfer!CA222,Transfer!CN222,Transfer!DA222,Transfer!DN222,Transfer!EA222)</f>
        <v>1.9012100000000001</v>
      </c>
      <c r="AD222" s="1040">
        <f>CHOOSE(Tables!$U$2,Transfer!CB222,Transfer!CO222,Transfer!DB222,Transfer!DO222,Transfer!EB222)</f>
        <v>2.1890300000000003</v>
      </c>
      <c r="AE222" s="1040">
        <f>CHOOSE(Tables!$U$2,Transfer!CC222,Transfer!CP222,Transfer!DC222,Transfer!DP222,Transfer!EC222)</f>
        <v>2.2984815000000003</v>
      </c>
      <c r="AF222" s="1040">
        <f>CHOOSE(Tables!$U$2,Transfer!CD222,Transfer!CQ222,Transfer!DD222,Transfer!DQ222,Transfer!ED222)</f>
        <v>2.3904207600000005</v>
      </c>
      <c r="AG222" s="1040">
        <f>CHOOSE(Tables!$U$2,Transfer!CE222,Transfer!CR222,Transfer!DE222,Transfer!DR222,Transfer!EE222)</f>
        <v>2.4860375904000005</v>
      </c>
      <c r="AH222" s="1040">
        <f>CHOOSE(Tables!$U$2,Transfer!CF222,Transfer!CS222,Transfer!DF222,Transfer!DS222,Transfer!EF222)</f>
        <v>-9999</v>
      </c>
      <c r="AI222" s="1040">
        <f>CHOOSE(Tables!$U$2,Transfer!CG222,Transfer!CT222,Transfer!DG222,Transfer!DT222,Transfer!EG222)</f>
        <v>-9999</v>
      </c>
      <c r="AJ222" s="1040">
        <f>CHOOSE(Tables!$U$2,Transfer!CH222,Transfer!CU222,Transfer!DH222,Transfer!DU222,Transfer!EH222)</f>
        <v>-9999</v>
      </c>
      <c r="AK222" s="1040">
        <f>CHOOSE(Tables!$U$2,Transfer!CI222,Transfer!CV222,Transfer!DI222,Transfer!DV222,Transfer!EI222)</f>
        <v>-9999</v>
      </c>
      <c r="AL222" s="1040">
        <f>CHOOSE(Tables!$U$2,Transfer!CJ222,Transfer!CW222,Transfer!DJ222,Transfer!DW222,Transfer!EJ222)</f>
        <v>-9999</v>
      </c>
      <c r="AM222" s="1040">
        <f>CHOOSE(Tables!$U$2,Transfer!CK222,Transfer!CX222,Transfer!DK222,Transfer!DX222,Transfer!EK222)</f>
        <v>-9999</v>
      </c>
      <c r="AN222" s="1040">
        <f>CHOOSE(Tables!$U$2,Transfer!CL222,Transfer!CY222,Transfer!DL222,Transfer!DY222,Transfer!EL222)</f>
        <v>-9999</v>
      </c>
      <c r="AO222" s="1040">
        <f>CHOOSE(Tables!$U$2,Transfer!CM222,Transfer!CZ222,Transfer!DM222,Transfer!DZ222,Transfer!EM222)</f>
        <v>-9999</v>
      </c>
      <c r="AR222" s="22">
        <v>122</v>
      </c>
      <c r="AS222" s="1" t="s">
        <v>845</v>
      </c>
      <c r="AT222" s="24">
        <f t="shared" ca="1" si="22"/>
        <v>-1.3325300000000002</v>
      </c>
      <c r="AU222" s="24">
        <f t="shared" ca="1" si="23"/>
        <v>-1.6722600000000003</v>
      </c>
      <c r="AV222" s="24">
        <f t="shared" ca="1" si="24"/>
        <v>-1.8034815000000004</v>
      </c>
      <c r="AW222" s="24">
        <f t="shared" ca="1" si="25"/>
        <v>-2.0054207600000007</v>
      </c>
      <c r="AX222" s="24">
        <f t="shared" ca="1" si="26"/>
        <v>-2.0850375904000007</v>
      </c>
      <c r="AY222" s="25">
        <f t="shared" si="27"/>
        <v>0</v>
      </c>
      <c r="AZ222" s="25">
        <f t="shared" si="28"/>
        <v>0</v>
      </c>
      <c r="BA222" s="25">
        <f t="shared" si="29"/>
        <v>0</v>
      </c>
      <c r="BB222" s="25">
        <f t="shared" si="30"/>
        <v>0</v>
      </c>
      <c r="BC222" s="25">
        <f t="shared" si="21"/>
        <v>0</v>
      </c>
      <c r="BD222" s="25">
        <f t="shared" si="21"/>
        <v>0</v>
      </c>
      <c r="BE222" s="25">
        <f t="shared" si="21"/>
        <v>0</v>
      </c>
      <c r="BF222" s="25">
        <f t="shared" si="21"/>
        <v>0</v>
      </c>
      <c r="CA222" s="16">
        <v>0.61480999999999997</v>
      </c>
      <c r="CB222" s="16">
        <v>0.57269000000000003</v>
      </c>
      <c r="CC222" s="16">
        <v>0.59500000000000008</v>
      </c>
      <c r="CD222" s="16">
        <v>0.59500000000000008</v>
      </c>
      <c r="CE222" s="16">
        <v>0.59500000000000008</v>
      </c>
      <c r="CF222" s="16">
        <v>-9999</v>
      </c>
      <c r="CG222" s="16">
        <v>-9999</v>
      </c>
      <c r="CH222" s="16">
        <v>-9999</v>
      </c>
      <c r="CI222" s="16">
        <v>-9999</v>
      </c>
      <c r="CJ222" s="16">
        <v>-9999</v>
      </c>
      <c r="CK222" s="16">
        <v>-9999</v>
      </c>
      <c r="CL222" s="16">
        <v>-9999</v>
      </c>
      <c r="CM222" s="16">
        <v>-9999</v>
      </c>
      <c r="CN222" s="16">
        <v>0.66023227999999989</v>
      </c>
      <c r="CO222" s="16">
        <v>0.61606812</v>
      </c>
      <c r="CP222" s="16">
        <v>0.65549999999999986</v>
      </c>
      <c r="CQ222" s="16">
        <v>0.62098299999999995</v>
      </c>
      <c r="CR222" s="16">
        <v>0.62539197930000001</v>
      </c>
      <c r="CS222" s="16">
        <v>-9999</v>
      </c>
      <c r="CT222" s="16">
        <v>-9999</v>
      </c>
      <c r="CU222" s="16">
        <v>-9999</v>
      </c>
      <c r="CV222" s="16">
        <v>-9999</v>
      </c>
      <c r="CW222" s="16">
        <v>-9999</v>
      </c>
      <c r="CX222" s="16">
        <v>-9999</v>
      </c>
      <c r="CY222" s="16">
        <v>-9999</v>
      </c>
      <c r="CZ222" s="16">
        <v>-9999</v>
      </c>
      <c r="DA222" s="16">
        <v>0.61480999999999997</v>
      </c>
      <c r="DB222" s="16">
        <v>0.57216999999999996</v>
      </c>
      <c r="DC222" s="16">
        <v>0.54204095058733792</v>
      </c>
      <c r="DD222" s="16">
        <v>0.54588944133650807</v>
      </c>
      <c r="DE222" s="16">
        <v>0.54976525636999729</v>
      </c>
      <c r="DF222" s="16">
        <v>-9999</v>
      </c>
      <c r="DG222" s="16">
        <v>-9999</v>
      </c>
      <c r="DH222" s="16">
        <v>-9999</v>
      </c>
      <c r="DI222" s="16">
        <v>-9999</v>
      </c>
      <c r="DJ222" s="16">
        <v>-9999</v>
      </c>
      <c r="DK222" s="16">
        <v>-9999</v>
      </c>
      <c r="DL222" s="16">
        <v>-9999</v>
      </c>
      <c r="DM222" s="16">
        <v>-9999</v>
      </c>
      <c r="DN222" s="16">
        <v>0.6585700000000001</v>
      </c>
      <c r="DO222" s="16">
        <v>0.61480999999999997</v>
      </c>
      <c r="DP222" s="16">
        <v>0.57216999999999996</v>
      </c>
      <c r="DQ222" s="16">
        <v>0.54204095058733792</v>
      </c>
      <c r="DR222" s="16">
        <v>0.54588944133650807</v>
      </c>
      <c r="DS222" s="16">
        <v>-9999</v>
      </c>
      <c r="DT222" s="16">
        <v>-9999</v>
      </c>
      <c r="DU222" s="16">
        <v>-9999</v>
      </c>
      <c r="DV222" s="16">
        <v>-9999</v>
      </c>
      <c r="DW222" s="16">
        <v>-9999</v>
      </c>
      <c r="DX222" s="16">
        <v>-9999</v>
      </c>
      <c r="DY222" s="16">
        <v>-9999</v>
      </c>
      <c r="DZ222" s="16">
        <v>-9999</v>
      </c>
      <c r="EA222" s="2196">
        <v>1.9012100000000001</v>
      </c>
      <c r="EB222" s="2196">
        <v>2.1890300000000003</v>
      </c>
      <c r="EC222" s="2196">
        <v>2.2984815000000003</v>
      </c>
      <c r="ED222" s="2196">
        <v>2.3904207600000005</v>
      </c>
      <c r="EE222" s="2196">
        <v>2.4860375904000005</v>
      </c>
      <c r="EF222" s="2197">
        <v>-9999</v>
      </c>
      <c r="EG222" s="2197">
        <v>-9999</v>
      </c>
      <c r="EH222" s="2197">
        <v>-9999</v>
      </c>
      <c r="EI222" s="2197">
        <v>-9999</v>
      </c>
      <c r="EJ222" s="2197">
        <v>-9999</v>
      </c>
      <c r="EK222" s="2197">
        <v>-9999</v>
      </c>
      <c r="EL222" s="2197">
        <v>-9999</v>
      </c>
      <c r="EM222" s="2197">
        <v>-9999</v>
      </c>
    </row>
    <row r="223" spans="1:149">
      <c r="A223" s="22">
        <v>123</v>
      </c>
      <c r="B223" s="1" t="s">
        <v>1007</v>
      </c>
      <c r="C223" s="24">
        <f ca="1">OFFSET(Sector1!F50,0,Last_forecast_year - 3-InputY!$G$3)</f>
        <v>0.14757000000000001</v>
      </c>
      <c r="D223" s="3309">
        <f ca="1">OFFSET(Sector1!G50,0,Last_forecast_year - 3-InputY!$G$3)</f>
        <v>0.16243000000000002</v>
      </c>
      <c r="E223" s="24">
        <f ca="1">OFFSET(Sector1!H50,0,Last_forecast_year - 3-InputY!$G$3)</f>
        <v>0.15881500000000004</v>
      </c>
      <c r="F223" s="24">
        <f ca="1">OFFSET(Sector1!I50,0,Last_forecast_year - 3-InputY!$G$3)</f>
        <v>0.16650412500000011</v>
      </c>
      <c r="G223" s="24">
        <f ca="1">OFFSET(Sector1!J50,0,Last_forecast_year - 3-InputY!$G$3)</f>
        <v>0.17460169412500015</v>
      </c>
      <c r="H223" s="25">
        <v>-9999</v>
      </c>
      <c r="I223" s="25">
        <v>-9999</v>
      </c>
      <c r="J223" s="25">
        <v>-9999</v>
      </c>
      <c r="K223" s="25">
        <v>-9999</v>
      </c>
      <c r="L223" s="25">
        <v>-9999</v>
      </c>
      <c r="M223" s="25">
        <v>-9999</v>
      </c>
      <c r="N223" s="25">
        <v>-9999</v>
      </c>
      <c r="O223" s="25">
        <v>-9999</v>
      </c>
      <c r="P223"/>
      <c r="Q223"/>
      <c r="T223" s="15" t="s">
        <v>2424</v>
      </c>
      <c r="AA223" s="22">
        <v>123</v>
      </c>
      <c r="AB223" s="1040" t="str">
        <f t="shared" si="8"/>
        <v>GG SUBSIDIES</v>
      </c>
      <c r="AC223" s="1040">
        <f>CHOOSE(Tables!$U$2,Transfer!CA223,Transfer!CN223,Transfer!DA223,Transfer!DN223,Transfer!EA223)</f>
        <v>0.42320999999999998</v>
      </c>
      <c r="AD223" s="1040">
        <f>CHOOSE(Tables!$U$2,Transfer!CB223,Transfer!CO223,Transfer!DB223,Transfer!DO223,Transfer!EB223)</f>
        <v>0.36032999999999998</v>
      </c>
      <c r="AE223" s="1040">
        <f>CHOOSE(Tables!$U$2,Transfer!CC223,Transfer!CP223,Transfer!DC223,Transfer!DP223,Transfer!EC223)</f>
        <v>0.55765700000000029</v>
      </c>
      <c r="AF223" s="1040">
        <f>CHOOSE(Tables!$U$2,Transfer!CD223,Transfer!CQ223,Transfer!DD223,Transfer!DQ223,Transfer!ED223)</f>
        <v>0.55513790200000024</v>
      </c>
      <c r="AG223" s="1040">
        <f>CHOOSE(Tables!$U$2,Transfer!CE223,Transfer!CR223,Transfer!DE223,Transfer!DR223,Transfer!EE223)</f>
        <v>0.55201687874000038</v>
      </c>
      <c r="AH223" s="1040">
        <f>CHOOSE(Tables!$U$2,Transfer!CF223,Transfer!CS223,Transfer!DF223,Transfer!DS223,Transfer!EF223)</f>
        <v>-9999</v>
      </c>
      <c r="AI223" s="1040">
        <f>CHOOSE(Tables!$U$2,Transfer!CG223,Transfer!CT223,Transfer!DG223,Transfer!DT223,Transfer!EG223)</f>
        <v>-9999</v>
      </c>
      <c r="AJ223" s="1040">
        <f>CHOOSE(Tables!$U$2,Transfer!CH223,Transfer!CU223,Transfer!DH223,Transfer!DU223,Transfer!EH223)</f>
        <v>-9999</v>
      </c>
      <c r="AK223" s="1040">
        <f>CHOOSE(Tables!$U$2,Transfer!CI223,Transfer!CV223,Transfer!DI223,Transfer!DV223,Transfer!EI223)</f>
        <v>-9999</v>
      </c>
      <c r="AL223" s="1040">
        <f>CHOOSE(Tables!$U$2,Transfer!CJ223,Transfer!CW223,Transfer!DJ223,Transfer!DW223,Transfer!EJ223)</f>
        <v>-9999</v>
      </c>
      <c r="AM223" s="1040">
        <f>CHOOSE(Tables!$U$2,Transfer!CK223,Transfer!CX223,Transfer!DK223,Transfer!DX223,Transfer!EK223)</f>
        <v>-9999</v>
      </c>
      <c r="AN223" s="1040">
        <f>CHOOSE(Tables!$U$2,Transfer!CL223,Transfer!CY223,Transfer!DL223,Transfer!DY223,Transfer!EL223)</f>
        <v>-9999</v>
      </c>
      <c r="AO223" s="1040">
        <f>CHOOSE(Tables!$U$2,Transfer!CM223,Transfer!CZ223,Transfer!DM223,Transfer!DZ223,Transfer!EM223)</f>
        <v>-9999</v>
      </c>
      <c r="AR223" s="22">
        <v>123</v>
      </c>
      <c r="AS223" s="1" t="s">
        <v>1007</v>
      </c>
      <c r="AT223" s="24">
        <f t="shared" ca="1" si="22"/>
        <v>-0.27564</v>
      </c>
      <c r="AU223" s="24">
        <f t="shared" ca="1" si="23"/>
        <v>-0.19789999999999996</v>
      </c>
      <c r="AV223" s="24">
        <f t="shared" ca="1" si="24"/>
        <v>-0.39884200000000025</v>
      </c>
      <c r="AW223" s="24">
        <f t="shared" ca="1" si="25"/>
        <v>-0.38863377700000012</v>
      </c>
      <c r="AX223" s="24">
        <f t="shared" ca="1" si="26"/>
        <v>-0.37741518461500023</v>
      </c>
      <c r="AY223" s="25">
        <f t="shared" si="27"/>
        <v>0</v>
      </c>
      <c r="AZ223" s="25">
        <f t="shared" si="28"/>
        <v>0</v>
      </c>
      <c r="BA223" s="25">
        <f t="shared" si="29"/>
        <v>0</v>
      </c>
      <c r="BB223" s="25">
        <f t="shared" si="30"/>
        <v>0</v>
      </c>
      <c r="BC223" s="25">
        <f t="shared" si="21"/>
        <v>0</v>
      </c>
      <c r="BD223" s="25">
        <f t="shared" si="21"/>
        <v>0</v>
      </c>
      <c r="BE223" s="25">
        <f t="shared" si="21"/>
        <v>0</v>
      </c>
      <c r="BF223" s="25">
        <f t="shared" si="21"/>
        <v>0</v>
      </c>
      <c r="CA223" s="16">
        <v>0.11563</v>
      </c>
      <c r="CB223" s="16">
        <v>0.11885</v>
      </c>
      <c r="CC223" s="16">
        <v>0.12551772160000013</v>
      </c>
      <c r="CD223" s="16">
        <v>0.14215558046400012</v>
      </c>
      <c r="CE223" s="16">
        <v>0.15538371468256018</v>
      </c>
      <c r="CF223" s="16">
        <v>-9999</v>
      </c>
      <c r="CG223" s="16">
        <v>-9999</v>
      </c>
      <c r="CH223" s="16">
        <v>-9999</v>
      </c>
      <c r="CI223" s="16">
        <v>-9999</v>
      </c>
      <c r="CJ223" s="16">
        <v>-9999</v>
      </c>
      <c r="CK223" s="16">
        <v>-9999</v>
      </c>
      <c r="CL223" s="16">
        <v>-9999</v>
      </c>
      <c r="CM223" s="16">
        <v>-9999</v>
      </c>
      <c r="CN223" s="16">
        <v>0.10482217000000001</v>
      </c>
      <c r="CO223" s="16">
        <v>0.11563369</v>
      </c>
      <c r="CP223" s="16">
        <v>8.5072387710843356E-2</v>
      </c>
      <c r="CQ223" s="16">
        <v>9.4368864819277087E-2</v>
      </c>
      <c r="CR223" s="16">
        <v>9.5544801012048097E-2</v>
      </c>
      <c r="CS223" s="16">
        <v>-9999</v>
      </c>
      <c r="CT223" s="16">
        <v>-9999</v>
      </c>
      <c r="CU223" s="16">
        <v>-9999</v>
      </c>
      <c r="CV223" s="16">
        <v>-9999</v>
      </c>
      <c r="CW223" s="16">
        <v>-9999</v>
      </c>
      <c r="CX223" s="16">
        <v>-9999</v>
      </c>
      <c r="CY223" s="16">
        <v>-9999</v>
      </c>
      <c r="CZ223" s="16">
        <v>-9999</v>
      </c>
      <c r="DA223" s="16">
        <v>0.11563</v>
      </c>
      <c r="DB223" s="16">
        <v>0.11885</v>
      </c>
      <c r="DC223" s="16">
        <v>0.1532254178212113</v>
      </c>
      <c r="DD223" s="16">
        <v>0.15675561613405964</v>
      </c>
      <c r="DE223" s="16">
        <v>0.16042702237942208</v>
      </c>
      <c r="DF223" s="16">
        <v>-9999</v>
      </c>
      <c r="DG223" s="16">
        <v>-9999</v>
      </c>
      <c r="DH223" s="16">
        <v>-9999</v>
      </c>
      <c r="DI223" s="16">
        <v>-9999</v>
      </c>
      <c r="DJ223" s="16">
        <v>-9999</v>
      </c>
      <c r="DK223" s="16">
        <v>-9999</v>
      </c>
      <c r="DL223" s="16">
        <v>-9999</v>
      </c>
      <c r="DM223" s="16">
        <v>-9999</v>
      </c>
      <c r="DN223" s="16">
        <v>0.10482</v>
      </c>
      <c r="DO223" s="16">
        <v>0.11563</v>
      </c>
      <c r="DP223" s="16">
        <v>0.11885</v>
      </c>
      <c r="DQ223" s="16">
        <v>0.12949758159999997</v>
      </c>
      <c r="DR223" s="16">
        <v>0.13207866646399991</v>
      </c>
      <c r="DS223" s="16">
        <v>-9999</v>
      </c>
      <c r="DT223" s="16">
        <v>-9999</v>
      </c>
      <c r="DU223" s="16">
        <v>-9999</v>
      </c>
      <c r="DV223" s="16">
        <v>-9999</v>
      </c>
      <c r="DW223" s="16">
        <v>-9999</v>
      </c>
      <c r="DX223" s="16">
        <v>-9999</v>
      </c>
      <c r="DY223" s="16">
        <v>-9999</v>
      </c>
      <c r="DZ223" s="16">
        <v>-9999</v>
      </c>
      <c r="EA223" s="2196">
        <v>0.42320999999999998</v>
      </c>
      <c r="EB223" s="2196">
        <v>0.36032999999999998</v>
      </c>
      <c r="EC223" s="2196">
        <v>0.55765700000000029</v>
      </c>
      <c r="ED223" s="2196">
        <v>0.55513790200000024</v>
      </c>
      <c r="EE223" s="2196">
        <v>0.55201687874000038</v>
      </c>
      <c r="EF223" s="2197">
        <v>-9999</v>
      </c>
      <c r="EG223" s="2197">
        <v>-9999</v>
      </c>
      <c r="EH223" s="2197">
        <v>-9999</v>
      </c>
      <c r="EI223" s="2197">
        <v>-9999</v>
      </c>
      <c r="EJ223" s="2197">
        <v>-9999</v>
      </c>
      <c r="EK223" s="2197">
        <v>-9999</v>
      </c>
      <c r="EL223" s="2197">
        <v>-9999</v>
      </c>
      <c r="EM223" s="2197">
        <v>-9999</v>
      </c>
    </row>
    <row r="224" spans="1:149">
      <c r="A224" s="22">
        <v>124</v>
      </c>
      <c r="B224" s="1" t="s">
        <v>1736</v>
      </c>
      <c r="C224" s="24">
        <f ca="1">OFFSET(Sector1!F756,0,Last_forecast_year - 3-InputY!$G$3)</f>
        <v>0.55794000000000021</v>
      </c>
      <c r="D224" s="3309">
        <f ca="1">OFFSET(Sector1!G756,0,Last_forecast_year - 3-InputY!$G$3)</f>
        <v>0.64744000000000002</v>
      </c>
      <c r="E224" s="24">
        <f ca="1">OFFSET(Sector1!H756,0,Last_forecast_year - 3-InputY!$G$3)</f>
        <v>0.67974880000000004</v>
      </c>
      <c r="F224" s="24">
        <f ca="1">OFFSET(Sector1!I756,0,Last_forecast_year - 3-InputY!$G$3)</f>
        <v>0.71029792600000008</v>
      </c>
      <c r="G224" s="24">
        <f ca="1">OFFSET(Sector1!J756,0,Last_forecast_year - 3-InputY!$G$3)</f>
        <v>0.7457470892200001</v>
      </c>
      <c r="H224" s="25">
        <v>-9999</v>
      </c>
      <c r="I224" s="25">
        <v>-9999</v>
      </c>
      <c r="J224" s="25">
        <v>-9999</v>
      </c>
      <c r="K224" s="25">
        <v>-9999</v>
      </c>
      <c r="L224" s="25">
        <v>-9999</v>
      </c>
      <c r="M224" s="25">
        <v>-9999</v>
      </c>
      <c r="N224" s="25">
        <v>-9999</v>
      </c>
      <c r="O224" s="25">
        <v>-9999</v>
      </c>
      <c r="P224"/>
      <c r="Q224"/>
      <c r="AA224" s="22">
        <v>124</v>
      </c>
      <c r="AB224" s="1040" t="str">
        <f t="shared" si="8"/>
        <v>GG OTHER CURRENT EXPENDITURE</v>
      </c>
      <c r="AC224" s="1040">
        <f>CHOOSE(Tables!$U$2,Transfer!CA224,Transfer!CN224,Transfer!DA224,Transfer!DN224,Transfer!EA224)</f>
        <v>1.6287799999999999</v>
      </c>
      <c r="AD224" s="1040">
        <f>CHOOSE(Tables!$U$2,Transfer!CB224,Transfer!CO224,Transfer!DB224,Transfer!DO224,Transfer!EB224)</f>
        <v>1.5192899999999998</v>
      </c>
      <c r="AE224" s="1040">
        <f>CHOOSE(Tables!$U$2,Transfer!CC224,Transfer!CP224,Transfer!DC224,Transfer!DP224,Transfer!EC224)</f>
        <v>1.5803364</v>
      </c>
      <c r="AF224" s="1040">
        <f>CHOOSE(Tables!$U$2,Transfer!CD224,Transfer!CQ224,Transfer!DD224,Transfer!DQ224,Transfer!ED224)</f>
        <v>1.6438448147</v>
      </c>
      <c r="AG224" s="1040">
        <f>CHOOSE(Tables!$U$2,Transfer!CE224,Transfer!CR224,Transfer!DE224,Transfer!DR224,Transfer!EE224)</f>
        <v>1.7099114200794501</v>
      </c>
      <c r="AH224" s="1040">
        <f>CHOOSE(Tables!$U$2,Transfer!CF224,Transfer!CS224,Transfer!DF224,Transfer!DS224,Transfer!EF224)</f>
        <v>-9999</v>
      </c>
      <c r="AI224" s="1040">
        <f>CHOOSE(Tables!$U$2,Transfer!CG224,Transfer!CT224,Transfer!DG224,Transfer!DT224,Transfer!EG224)</f>
        <v>-9999</v>
      </c>
      <c r="AJ224" s="1040">
        <f>CHOOSE(Tables!$U$2,Transfer!CH224,Transfer!CU224,Transfer!DH224,Transfer!DU224,Transfer!EH224)</f>
        <v>-9999</v>
      </c>
      <c r="AK224" s="1040">
        <f>CHOOSE(Tables!$U$2,Transfer!CI224,Transfer!CV224,Transfer!DI224,Transfer!DV224,Transfer!EI224)</f>
        <v>-9999</v>
      </c>
      <c r="AL224" s="1040">
        <f>CHOOSE(Tables!$U$2,Transfer!CJ224,Transfer!CW224,Transfer!DJ224,Transfer!DW224,Transfer!EJ224)</f>
        <v>-9999</v>
      </c>
      <c r="AM224" s="1040">
        <f>CHOOSE(Tables!$U$2,Transfer!CK224,Transfer!CX224,Transfer!DK224,Transfer!DX224,Transfer!EK224)</f>
        <v>-9999</v>
      </c>
      <c r="AN224" s="1040">
        <f>CHOOSE(Tables!$U$2,Transfer!CL224,Transfer!CY224,Transfer!DL224,Transfer!DY224,Transfer!EL224)</f>
        <v>-9999</v>
      </c>
      <c r="AO224" s="1040">
        <f>CHOOSE(Tables!$U$2,Transfer!CM224,Transfer!CZ224,Transfer!DM224,Transfer!DZ224,Transfer!EM224)</f>
        <v>-9999</v>
      </c>
      <c r="AR224" s="22">
        <v>124</v>
      </c>
      <c r="AS224" s="1" t="s">
        <v>1736</v>
      </c>
      <c r="AT224" s="24">
        <f t="shared" ca="1" si="22"/>
        <v>-1.0708399999999996</v>
      </c>
      <c r="AU224" s="24">
        <f t="shared" ca="1" si="23"/>
        <v>-0.87184999999999979</v>
      </c>
      <c r="AV224" s="24">
        <f t="shared" ca="1" si="24"/>
        <v>-0.90058759999999993</v>
      </c>
      <c r="AW224" s="24">
        <f t="shared" ca="1" si="25"/>
        <v>-0.93354688869999991</v>
      </c>
      <c r="AX224" s="24">
        <f t="shared" ca="1" si="26"/>
        <v>-0.96416433085944997</v>
      </c>
      <c r="AY224" s="25">
        <f t="shared" si="27"/>
        <v>0</v>
      </c>
      <c r="AZ224" s="25">
        <f t="shared" si="28"/>
        <v>0</v>
      </c>
      <c r="BA224" s="25">
        <f t="shared" si="29"/>
        <v>0</v>
      </c>
      <c r="BB224" s="25">
        <f t="shared" si="30"/>
        <v>0</v>
      </c>
      <c r="BC224" s="25">
        <f t="shared" si="21"/>
        <v>0</v>
      </c>
      <c r="BD224" s="25">
        <f t="shared" si="21"/>
        <v>0</v>
      </c>
      <c r="BE224" s="25">
        <f t="shared" si="21"/>
        <v>0</v>
      </c>
      <c r="BF224" s="25">
        <f t="shared" si="21"/>
        <v>0</v>
      </c>
      <c r="CA224" s="16">
        <v>0.5588700000000002</v>
      </c>
      <c r="CB224" s="16">
        <v>0.52527999999999997</v>
      </c>
      <c r="CC224" s="16">
        <v>0.54638223499999994</v>
      </c>
      <c r="CD224" s="16">
        <v>0.56830840812249994</v>
      </c>
      <c r="CE224" s="16">
        <v>0.59111544564627871</v>
      </c>
      <c r="CF224" s="16">
        <v>-9999</v>
      </c>
      <c r="CG224" s="16">
        <v>-9999</v>
      </c>
      <c r="CH224" s="16">
        <v>-9999</v>
      </c>
      <c r="CI224" s="16">
        <v>-9999</v>
      </c>
      <c r="CJ224" s="16">
        <v>-9999</v>
      </c>
      <c r="CK224" s="16">
        <v>-9999</v>
      </c>
      <c r="CL224" s="16">
        <v>-9999</v>
      </c>
      <c r="CM224" s="16">
        <v>-9999</v>
      </c>
      <c r="CN224" s="16">
        <v>0.47881138000000006</v>
      </c>
      <c r="CO224" s="16">
        <v>0.56628243999999994</v>
      </c>
      <c r="CP224" s="16">
        <v>0.58923181292999993</v>
      </c>
      <c r="CQ224" s="16">
        <v>0.61281065427215509</v>
      </c>
      <c r="CR224" s="16">
        <v>0.63738095545010087</v>
      </c>
      <c r="CS224" s="16">
        <v>-9999</v>
      </c>
      <c r="CT224" s="16">
        <v>-9999</v>
      </c>
      <c r="CU224" s="16">
        <v>-9999</v>
      </c>
      <c r="CV224" s="16">
        <v>-9999</v>
      </c>
      <c r="CW224" s="16">
        <v>-9999</v>
      </c>
      <c r="CX224" s="16">
        <v>-9999</v>
      </c>
      <c r="CY224" s="16">
        <v>-9999</v>
      </c>
      <c r="CZ224" s="16">
        <v>-9999</v>
      </c>
      <c r="DA224" s="16">
        <v>0.56573000000000018</v>
      </c>
      <c r="DB224" s="16">
        <v>0.53230999999999995</v>
      </c>
      <c r="DC224" s="16">
        <v>0.5536915349999999</v>
      </c>
      <c r="DD224" s="16">
        <v>0.57590862512249996</v>
      </c>
      <c r="DE224" s="16">
        <v>0.59901816357627868</v>
      </c>
      <c r="DF224" s="16">
        <v>-9999</v>
      </c>
      <c r="DG224" s="16">
        <v>-9999</v>
      </c>
      <c r="DH224" s="16">
        <v>-9999</v>
      </c>
      <c r="DI224" s="16">
        <v>-9999</v>
      </c>
      <c r="DJ224" s="16">
        <v>-9999</v>
      </c>
      <c r="DK224" s="16">
        <v>-9999</v>
      </c>
      <c r="DL224" s="16">
        <v>-9999</v>
      </c>
      <c r="DM224" s="16">
        <v>-9999</v>
      </c>
      <c r="DN224" s="16">
        <v>0.47838999999999998</v>
      </c>
      <c r="DO224" s="16">
        <v>0.56573000000000018</v>
      </c>
      <c r="DP224" s="16">
        <v>0.53230999999999995</v>
      </c>
      <c r="DQ224" s="16">
        <v>0.55362103499999993</v>
      </c>
      <c r="DR224" s="16">
        <v>0.57583460012249987</v>
      </c>
      <c r="DS224" s="16">
        <v>-9999</v>
      </c>
      <c r="DT224" s="16">
        <v>-9999</v>
      </c>
      <c r="DU224" s="16">
        <v>-9999</v>
      </c>
      <c r="DV224" s="16">
        <v>-9999</v>
      </c>
      <c r="DW224" s="16">
        <v>-9999</v>
      </c>
      <c r="DX224" s="16">
        <v>-9999</v>
      </c>
      <c r="DY224" s="16">
        <v>-9999</v>
      </c>
      <c r="DZ224" s="16">
        <v>-9999</v>
      </c>
      <c r="EA224" s="2196">
        <v>1.6287799999999999</v>
      </c>
      <c r="EB224" s="2196">
        <v>1.5192899999999998</v>
      </c>
      <c r="EC224" s="2196">
        <v>1.5803364</v>
      </c>
      <c r="ED224" s="2196">
        <v>1.6438448147</v>
      </c>
      <c r="EE224" s="2196">
        <v>1.7099114200794501</v>
      </c>
      <c r="EF224" s="2197">
        <v>-9999</v>
      </c>
      <c r="EG224" s="2197">
        <v>-9999</v>
      </c>
      <c r="EH224" s="2197">
        <v>-9999</v>
      </c>
      <c r="EI224" s="2197">
        <v>-9999</v>
      </c>
      <c r="EJ224" s="2197">
        <v>-9999</v>
      </c>
      <c r="EK224" s="2197">
        <v>-9999</v>
      </c>
      <c r="EL224" s="2197">
        <v>-9999</v>
      </c>
      <c r="EM224" s="2197">
        <v>-9999</v>
      </c>
    </row>
    <row r="225" spans="1:143">
      <c r="A225" s="22">
        <v>125</v>
      </c>
      <c r="B225" s="1" t="s">
        <v>406</v>
      </c>
      <c r="C225" s="24">
        <f ca="1">OFFSET(Sector1!F485,0,Last_forecast_year - 3-InputY!$G$3)</f>
        <v>0.69129999999999991</v>
      </c>
      <c r="D225" s="3309">
        <f ca="1">OFFSET(Sector1!G485,0,Last_forecast_year - 3-InputY!$G$3)</f>
        <v>0.31355</v>
      </c>
      <c r="E225" s="24">
        <f ca="1">OFFSET(Sector1!H485,0,Last_forecast_year - 3-InputY!$G$3)</f>
        <v>0.30702419999999997</v>
      </c>
      <c r="F225" s="24">
        <f ca="1">OFFSET(Sector1!I485,0,Last_forecast_year - 3-InputY!$G$3)</f>
        <v>0.35818647199999992</v>
      </c>
      <c r="G225" s="24">
        <f ca="1">OFFSET(Sector1!J485,0,Last_forecast_year - 3-InputY!$G$3)</f>
        <v>0.36560500143999991</v>
      </c>
      <c r="H225" s="25">
        <v>-9999</v>
      </c>
      <c r="I225" s="25">
        <v>-9999</v>
      </c>
      <c r="J225" s="25">
        <v>-9999</v>
      </c>
      <c r="K225" s="25">
        <v>-9999</v>
      </c>
      <c r="L225" s="25">
        <v>-9999</v>
      </c>
      <c r="M225" s="25">
        <v>-9999</v>
      </c>
      <c r="N225" s="25">
        <v>-9999</v>
      </c>
      <c r="O225" s="25">
        <v>-9999</v>
      </c>
      <c r="P225"/>
      <c r="Q225"/>
      <c r="AA225" s="22">
        <v>125</v>
      </c>
      <c r="AB225" s="1040" t="str">
        <f t="shared" si="8"/>
        <v xml:space="preserve">GG CAPITAL TRANSFERS, RECEIVED </v>
      </c>
      <c r="AC225" s="1040">
        <f>CHOOSE(Tables!$U$2,Transfer!CA225,Transfer!CN225,Transfer!DA225,Transfer!DN225,Transfer!EA225)</f>
        <v>2.4101699999999999</v>
      </c>
      <c r="AD225" s="1040">
        <f>CHOOSE(Tables!$U$2,Transfer!CB225,Transfer!CO225,Transfer!DB225,Transfer!DO225,Transfer!EB225)</f>
        <v>2.2450199999999998</v>
      </c>
      <c r="AE225" s="1040">
        <f>CHOOSE(Tables!$U$2,Transfer!CC225,Transfer!CP225,Transfer!DC225,Transfer!DP225,Transfer!EC225)</f>
        <v>2.3366051999999997</v>
      </c>
      <c r="AF225" s="1040">
        <f>CHOOSE(Tables!$U$2,Transfer!CD225,Transfer!CQ225,Transfer!DD225,Transfer!DQ225,Transfer!ED225)</f>
        <v>2.3842295039999999</v>
      </c>
      <c r="AG225" s="1040">
        <f>CHOOSE(Tables!$U$2,Transfer!CE225,Transfer!CR225,Transfer!DE225,Transfer!DR225,Transfer!EE225)</f>
        <v>2.4328062940799997</v>
      </c>
      <c r="AH225" s="1040">
        <f>CHOOSE(Tables!$U$2,Transfer!CF225,Transfer!CS225,Transfer!DF225,Transfer!DS225,Transfer!EF225)</f>
        <v>-9999</v>
      </c>
      <c r="AI225" s="1040">
        <f>CHOOSE(Tables!$U$2,Transfer!CG225,Transfer!CT225,Transfer!DG225,Transfer!DT225,Transfer!EG225)</f>
        <v>-9999</v>
      </c>
      <c r="AJ225" s="1040">
        <f>CHOOSE(Tables!$U$2,Transfer!CH225,Transfer!CU225,Transfer!DH225,Transfer!DU225,Transfer!EH225)</f>
        <v>-9999</v>
      </c>
      <c r="AK225" s="1040">
        <f>CHOOSE(Tables!$U$2,Transfer!CI225,Transfer!CV225,Transfer!DI225,Transfer!DV225,Transfer!EI225)</f>
        <v>-9999</v>
      </c>
      <c r="AL225" s="1040">
        <f>CHOOSE(Tables!$U$2,Transfer!CJ225,Transfer!CW225,Transfer!DJ225,Transfer!DW225,Transfer!EJ225)</f>
        <v>-9999</v>
      </c>
      <c r="AM225" s="1040">
        <f>CHOOSE(Tables!$U$2,Transfer!CK225,Transfer!CX225,Transfer!DK225,Transfer!DX225,Transfer!EK225)</f>
        <v>-9999</v>
      </c>
      <c r="AN225" s="1040">
        <f>CHOOSE(Tables!$U$2,Transfer!CL225,Transfer!CY225,Transfer!DL225,Transfer!DY225,Transfer!EL225)</f>
        <v>-9999</v>
      </c>
      <c r="AO225" s="1040">
        <f>CHOOSE(Tables!$U$2,Transfer!CM225,Transfer!CZ225,Transfer!DM225,Transfer!DZ225,Transfer!EM225)</f>
        <v>-9999</v>
      </c>
      <c r="AR225" s="22">
        <v>125</v>
      </c>
      <c r="AS225" s="1" t="s">
        <v>406</v>
      </c>
      <c r="AT225" s="24">
        <f t="shared" ca="1" si="22"/>
        <v>-1.7188699999999999</v>
      </c>
      <c r="AU225" s="24">
        <f t="shared" ca="1" si="23"/>
        <v>-1.9314699999999998</v>
      </c>
      <c r="AV225" s="24">
        <f t="shared" ca="1" si="24"/>
        <v>-2.0295809999999999</v>
      </c>
      <c r="AW225" s="24">
        <f t="shared" ca="1" si="25"/>
        <v>-2.026043032</v>
      </c>
      <c r="AX225" s="24">
        <f t="shared" ca="1" si="26"/>
        <v>-2.0672012926399996</v>
      </c>
      <c r="AY225" s="25">
        <f t="shared" si="27"/>
        <v>0</v>
      </c>
      <c r="AZ225" s="25">
        <f t="shared" si="28"/>
        <v>0</v>
      </c>
      <c r="BA225" s="25">
        <f t="shared" si="29"/>
        <v>0</v>
      </c>
      <c r="BB225" s="25">
        <f t="shared" si="30"/>
        <v>0</v>
      </c>
      <c r="BC225" s="25">
        <f t="shared" si="21"/>
        <v>0</v>
      </c>
      <c r="BD225" s="25">
        <f t="shared" si="21"/>
        <v>0</v>
      </c>
      <c r="BE225" s="25">
        <f t="shared" si="21"/>
        <v>0</v>
      </c>
      <c r="BF225" s="25">
        <f t="shared" si="21"/>
        <v>0</v>
      </c>
      <c r="CA225" s="16">
        <v>0.7223099999999999</v>
      </c>
      <c r="CB225" s="16">
        <v>0.99297000000000002</v>
      </c>
      <c r="CC225" s="16">
        <v>0.44818999999999998</v>
      </c>
      <c r="CD225" s="16">
        <v>0.28929000000000016</v>
      </c>
      <c r="CE225" s="16">
        <v>0.28929000000000016</v>
      </c>
      <c r="CF225" s="16">
        <v>-9999</v>
      </c>
      <c r="CG225" s="16">
        <v>-9999</v>
      </c>
      <c r="CH225" s="16">
        <v>-9999</v>
      </c>
      <c r="CI225" s="16">
        <v>-9999</v>
      </c>
      <c r="CJ225" s="16">
        <v>-9999</v>
      </c>
      <c r="CK225" s="16">
        <v>-9999</v>
      </c>
      <c r="CL225" s="16">
        <v>-9999</v>
      </c>
      <c r="CM225" s="16">
        <v>-9999</v>
      </c>
      <c r="CN225" s="16">
        <v>0.63608376</v>
      </c>
      <c r="CO225" s="16">
        <v>0.68124420999999991</v>
      </c>
      <c r="CP225" s="16">
        <v>1.2564983200324396</v>
      </c>
      <c r="CQ225" s="16">
        <v>0.77628881302316999</v>
      </c>
      <c r="CR225" s="16">
        <v>0.72879112998331819</v>
      </c>
      <c r="CS225" s="16">
        <v>-9999</v>
      </c>
      <c r="CT225" s="16">
        <v>-9999</v>
      </c>
      <c r="CU225" s="16">
        <v>-9999</v>
      </c>
      <c r="CV225" s="16">
        <v>-9999</v>
      </c>
      <c r="CW225" s="16">
        <v>-9999</v>
      </c>
      <c r="CX225" s="16">
        <v>-9999</v>
      </c>
      <c r="CY225" s="16">
        <v>-9999</v>
      </c>
      <c r="CZ225" s="16">
        <v>-9999</v>
      </c>
      <c r="DA225" s="16">
        <v>0.68123999999999996</v>
      </c>
      <c r="DB225" s="16">
        <v>1.00542</v>
      </c>
      <c r="DC225" s="16">
        <v>0.34292049999999996</v>
      </c>
      <c r="DD225" s="16">
        <v>0.32115536882245266</v>
      </c>
      <c r="DE225" s="16">
        <v>0.30071818951662876</v>
      </c>
      <c r="DF225" s="16">
        <v>-9999</v>
      </c>
      <c r="DG225" s="16">
        <v>-9999</v>
      </c>
      <c r="DH225" s="16">
        <v>-9999</v>
      </c>
      <c r="DI225" s="16">
        <v>-9999</v>
      </c>
      <c r="DJ225" s="16">
        <v>-9999</v>
      </c>
      <c r="DK225" s="16">
        <v>-9999</v>
      </c>
      <c r="DL225" s="16">
        <v>-9999</v>
      </c>
      <c r="DM225" s="16">
        <v>-9999</v>
      </c>
      <c r="DN225" s="16">
        <v>0.63608000000000009</v>
      </c>
      <c r="DO225" s="16">
        <v>0.68123999999999996</v>
      </c>
      <c r="DP225" s="16">
        <v>1.00542</v>
      </c>
      <c r="DQ225" s="16">
        <v>0.34292049999999996</v>
      </c>
      <c r="DR225" s="16">
        <v>0.32115536882245266</v>
      </c>
      <c r="DS225" s="16">
        <v>-9999</v>
      </c>
      <c r="DT225" s="16">
        <v>-9999</v>
      </c>
      <c r="DU225" s="16">
        <v>-9999</v>
      </c>
      <c r="DV225" s="16">
        <v>-9999</v>
      </c>
      <c r="DW225" s="16">
        <v>-9999</v>
      </c>
      <c r="DX225" s="16">
        <v>-9999</v>
      </c>
      <c r="DY225" s="16">
        <v>-9999</v>
      </c>
      <c r="DZ225" s="16">
        <v>-9999</v>
      </c>
      <c r="EA225" s="2196">
        <v>2.4101699999999999</v>
      </c>
      <c r="EB225" s="2196">
        <v>2.2450199999999998</v>
      </c>
      <c r="EC225" s="2196">
        <v>2.3366051999999997</v>
      </c>
      <c r="ED225" s="2196">
        <v>2.3842295039999999</v>
      </c>
      <c r="EE225" s="2196">
        <v>2.4328062940799997</v>
      </c>
      <c r="EF225" s="2197">
        <v>-9999</v>
      </c>
      <c r="EG225" s="2197">
        <v>-9999</v>
      </c>
      <c r="EH225" s="2197">
        <v>-9999</v>
      </c>
      <c r="EI225" s="2197">
        <v>-9999</v>
      </c>
      <c r="EJ225" s="2197">
        <v>-9999</v>
      </c>
      <c r="EK225" s="2197">
        <v>-9999</v>
      </c>
      <c r="EL225" s="2197">
        <v>-9999</v>
      </c>
      <c r="EM225" s="2197">
        <v>-9999</v>
      </c>
    </row>
    <row r="226" spans="1:143">
      <c r="A226" s="22">
        <v>126</v>
      </c>
      <c r="B226" s="1" t="s">
        <v>407</v>
      </c>
      <c r="C226" s="24">
        <f ca="1">OFFSET('VVP2'!F229,0,Last_forecast_year - 3-InputY!$G$3)</f>
        <v>1.3745099999999999</v>
      </c>
      <c r="D226" s="3309">
        <f ca="1">OFFSET('VVP2'!G229,0,Last_forecast_year - 3-InputY!$G$3)</f>
        <v>1.1535899999999999</v>
      </c>
      <c r="E226" s="24">
        <f ca="1">OFFSET('VVP2'!H229,0,Last_forecast_year - 3-InputY!$G$3)</f>
        <v>1.2369138056999998</v>
      </c>
      <c r="F226" s="24">
        <f ca="1">OFFSET('VVP2'!I229,0,Last_forecast_year - 3-InputY!$G$3)</f>
        <v>1.3547941652108211</v>
      </c>
      <c r="G226" s="24">
        <f ca="1">OFFSET('VVP2'!J229,0,Last_forecast_year - 3-InputY!$G$3)</f>
        <v>1.4582326997246671</v>
      </c>
      <c r="H226" s="25">
        <v>-9999</v>
      </c>
      <c r="I226" s="25">
        <v>-9999</v>
      </c>
      <c r="J226" s="25">
        <v>-9999</v>
      </c>
      <c r="K226" s="25">
        <v>-9999</v>
      </c>
      <c r="L226" s="25">
        <v>-9999</v>
      </c>
      <c r="M226" s="25">
        <v>-9999</v>
      </c>
      <c r="N226" s="25">
        <v>-9999</v>
      </c>
      <c r="O226" s="25">
        <v>-9999</v>
      </c>
      <c r="P226"/>
      <c r="Q226"/>
      <c r="AA226" s="22">
        <v>126</v>
      </c>
      <c r="AB226" s="1040" t="str">
        <f t="shared" si="8"/>
        <v>GG GROSS FIXED CAPITAL FORMATION</v>
      </c>
      <c r="AC226" s="1040">
        <f>CHOOSE(Tables!$U$2,Transfer!CA226,Transfer!CN226,Transfer!DA226,Transfer!DN226,Transfer!EA226)</f>
        <v>4.65747</v>
      </c>
      <c r="AD226" s="1040">
        <f>CHOOSE(Tables!$U$2,Transfer!CB226,Transfer!CO226,Transfer!DB226,Transfer!DO226,Transfer!EB226)</f>
        <v>4.1732399999999998</v>
      </c>
      <c r="AE226" s="1040">
        <f>CHOOSE(Tables!$U$2,Transfer!CC226,Transfer!CP226,Transfer!DC226,Transfer!DP226,Transfer!EC226)</f>
        <v>4.2425586068061198</v>
      </c>
      <c r="AF226" s="1040">
        <f>CHOOSE(Tables!$U$2,Transfer!CD226,Transfer!CQ226,Transfer!DD226,Transfer!DQ226,Transfer!ED226)</f>
        <v>4.4135337186604069</v>
      </c>
      <c r="AG226" s="1040">
        <f>CHOOSE(Tables!$U$2,Transfer!CE226,Transfer!CR226,Transfer!DE226,Transfer!DR226,Transfer!EE226)</f>
        <v>4.5913991275224211</v>
      </c>
      <c r="AH226" s="1040">
        <f>CHOOSE(Tables!$U$2,Transfer!CF226,Transfer!CS226,Transfer!DF226,Transfer!DS226,Transfer!EF226)</f>
        <v>-9999</v>
      </c>
      <c r="AI226" s="1040">
        <f>CHOOSE(Tables!$U$2,Transfer!CG226,Transfer!CT226,Transfer!DG226,Transfer!DT226,Transfer!EG226)</f>
        <v>-9999</v>
      </c>
      <c r="AJ226" s="1040">
        <f>CHOOSE(Tables!$U$2,Transfer!CH226,Transfer!CU226,Transfer!DH226,Transfer!DU226,Transfer!EH226)</f>
        <v>-9999</v>
      </c>
      <c r="AK226" s="1040">
        <f>CHOOSE(Tables!$U$2,Transfer!CI226,Transfer!CV226,Transfer!DI226,Transfer!DV226,Transfer!EI226)</f>
        <v>-9999</v>
      </c>
      <c r="AL226" s="1040">
        <f>CHOOSE(Tables!$U$2,Transfer!CJ226,Transfer!CW226,Transfer!DJ226,Transfer!DW226,Transfer!EJ226)</f>
        <v>-9999</v>
      </c>
      <c r="AM226" s="1040">
        <f>CHOOSE(Tables!$U$2,Transfer!CK226,Transfer!CX226,Transfer!DK226,Transfer!DX226,Transfer!EK226)</f>
        <v>-9999</v>
      </c>
      <c r="AN226" s="1040">
        <f>CHOOSE(Tables!$U$2,Transfer!CL226,Transfer!CY226,Transfer!DL226,Transfer!DY226,Transfer!EL226)</f>
        <v>-9999</v>
      </c>
      <c r="AO226" s="1040">
        <f>CHOOSE(Tables!$U$2,Transfer!CM226,Transfer!CZ226,Transfer!DM226,Transfer!DZ226,Transfer!EM226)</f>
        <v>-9999</v>
      </c>
      <c r="AR226" s="22">
        <v>126</v>
      </c>
      <c r="AS226" s="1" t="s">
        <v>407</v>
      </c>
      <c r="AT226" s="24">
        <f t="shared" ca="1" si="22"/>
        <v>-3.2829600000000001</v>
      </c>
      <c r="AU226" s="24">
        <f t="shared" ca="1" si="23"/>
        <v>-3.0196499999999999</v>
      </c>
      <c r="AV226" s="24">
        <f t="shared" ca="1" si="24"/>
        <v>-3.0056448011061203</v>
      </c>
      <c r="AW226" s="24">
        <f t="shared" ca="1" si="25"/>
        <v>-3.0587395534495858</v>
      </c>
      <c r="AX226" s="24">
        <f t="shared" ca="1" si="26"/>
        <v>-3.1331664277977538</v>
      </c>
      <c r="AY226" s="25">
        <f t="shared" si="27"/>
        <v>0</v>
      </c>
      <c r="AZ226" s="25">
        <f t="shared" si="28"/>
        <v>0</v>
      </c>
      <c r="BA226" s="25">
        <f t="shared" si="29"/>
        <v>0</v>
      </c>
      <c r="BB226" s="25">
        <f t="shared" si="30"/>
        <v>0</v>
      </c>
      <c r="BC226" s="25">
        <f t="shared" si="21"/>
        <v>0</v>
      </c>
      <c r="BD226" s="25">
        <f t="shared" si="21"/>
        <v>0</v>
      </c>
      <c r="BE226" s="25">
        <f t="shared" si="21"/>
        <v>0</v>
      </c>
      <c r="BF226" s="25">
        <f t="shared" si="21"/>
        <v>0</v>
      </c>
      <c r="CA226" s="16">
        <v>1.3105599999999999</v>
      </c>
      <c r="CB226" s="16">
        <v>1.28478</v>
      </c>
      <c r="CC226" s="16">
        <v>1.330132734</v>
      </c>
      <c r="CD226" s="16">
        <v>1.2493936770462</v>
      </c>
      <c r="CE226" s="16">
        <v>1.3569040029560255</v>
      </c>
      <c r="CF226" s="16">
        <v>-9999</v>
      </c>
      <c r="CG226" s="16">
        <v>-9999</v>
      </c>
      <c r="CH226" s="16">
        <v>-9999</v>
      </c>
      <c r="CI226" s="16">
        <v>-9999</v>
      </c>
      <c r="CJ226" s="16">
        <v>-9999</v>
      </c>
      <c r="CK226" s="16">
        <v>-9999</v>
      </c>
      <c r="CL226" s="16">
        <v>-9999</v>
      </c>
      <c r="CM226" s="16">
        <v>-9999</v>
      </c>
      <c r="CN226" s="16">
        <v>1.31291705</v>
      </c>
      <c r="CO226" s="16">
        <v>1.27740674</v>
      </c>
      <c r="CP226" s="16">
        <v>1.3211451467776001</v>
      </c>
      <c r="CQ226" s="16">
        <v>1.3738092951910221</v>
      </c>
      <c r="CR226" s="16">
        <v>1.4430788205684961</v>
      </c>
      <c r="CS226" s="16">
        <v>-9999</v>
      </c>
      <c r="CT226" s="16">
        <v>-9999</v>
      </c>
      <c r="CU226" s="16">
        <v>-9999</v>
      </c>
      <c r="CV226" s="16">
        <v>-9999</v>
      </c>
      <c r="CW226" s="16">
        <v>-9999</v>
      </c>
      <c r="CX226" s="16">
        <v>-9999</v>
      </c>
      <c r="CY226" s="16">
        <v>-9999</v>
      </c>
      <c r="CZ226" s="16">
        <v>-9999</v>
      </c>
      <c r="DA226" s="16">
        <v>1.2774100000000002</v>
      </c>
      <c r="DB226" s="16">
        <v>1.2682100000000001</v>
      </c>
      <c r="DC226" s="16">
        <v>1.3103906646000001</v>
      </c>
      <c r="DD226" s="16">
        <v>1.3539349463846579</v>
      </c>
      <c r="DE226" s="16">
        <v>1.4086000698449384</v>
      </c>
      <c r="DF226" s="16">
        <v>-9999</v>
      </c>
      <c r="DG226" s="16">
        <v>-9999</v>
      </c>
      <c r="DH226" s="16">
        <v>-9999</v>
      </c>
      <c r="DI226" s="16">
        <v>-9999</v>
      </c>
      <c r="DJ226" s="16">
        <v>-9999</v>
      </c>
      <c r="DK226" s="16">
        <v>-9999</v>
      </c>
      <c r="DL226" s="16">
        <v>-9999</v>
      </c>
      <c r="DM226" s="16">
        <v>-9999</v>
      </c>
      <c r="DN226" s="16">
        <v>1.3129200000000001</v>
      </c>
      <c r="DO226" s="16">
        <v>1.2774100000000002</v>
      </c>
      <c r="DP226" s="16">
        <v>1.3211485184000002</v>
      </c>
      <c r="DQ226" s="16">
        <v>1.3738128012147202</v>
      </c>
      <c r="DR226" s="16">
        <v>1.4430825033711678</v>
      </c>
      <c r="DS226" s="16">
        <v>-9999</v>
      </c>
      <c r="DT226" s="16">
        <v>-9999</v>
      </c>
      <c r="DU226" s="16">
        <v>-9999</v>
      </c>
      <c r="DV226" s="16">
        <v>-9999</v>
      </c>
      <c r="DW226" s="16">
        <v>-9999</v>
      </c>
      <c r="DX226" s="16">
        <v>-9999</v>
      </c>
      <c r="DY226" s="16">
        <v>-9999</v>
      </c>
      <c r="DZ226" s="16">
        <v>-9999</v>
      </c>
      <c r="EA226" s="2196">
        <v>4.65747</v>
      </c>
      <c r="EB226" s="2196">
        <v>4.1732399999999998</v>
      </c>
      <c r="EC226" s="2196">
        <v>4.2425586068061198</v>
      </c>
      <c r="ED226" s="2196">
        <v>4.4135337186604069</v>
      </c>
      <c r="EE226" s="2196">
        <v>4.5913991275224211</v>
      </c>
      <c r="EF226" s="2197">
        <v>-9999</v>
      </c>
      <c r="EG226" s="2197">
        <v>-9999</v>
      </c>
      <c r="EH226" s="2197">
        <v>-9999</v>
      </c>
      <c r="EI226" s="2197">
        <v>-9999</v>
      </c>
      <c r="EJ226" s="2197">
        <v>-9999</v>
      </c>
      <c r="EK226" s="2197">
        <v>-9999</v>
      </c>
      <c r="EL226" s="2197">
        <v>-9999</v>
      </c>
      <c r="EM226" s="2197">
        <v>-9999</v>
      </c>
    </row>
    <row r="227" spans="1:143">
      <c r="A227" s="22">
        <v>127</v>
      </c>
      <c r="B227" s="1" t="s">
        <v>292</v>
      </c>
      <c r="C227" s="24">
        <f ca="1">OFFSET(Sector1!F762,0,Last_forecast_year - 3-InputY!$G$3)</f>
        <v>0.26362999999999998</v>
      </c>
      <c r="D227" s="3309">
        <f ca="1">OFFSET(Sector1!G762,0,Last_forecast_year - 3-InputY!$G$3)</f>
        <v>0.19511999999999999</v>
      </c>
      <c r="E227" s="24">
        <f ca="1">OFFSET(Sector1!H762,0,Last_forecast_year - 3-InputY!$G$3)</f>
        <v>0.30395159999999999</v>
      </c>
      <c r="F227" s="24">
        <f ca="1">OFFSET(Sector1!I762,0,Last_forecast_year - 3-InputY!$G$3)</f>
        <v>0.22980715199999996</v>
      </c>
      <c r="G227" s="24">
        <f ca="1">OFFSET(Sector1!J762,0,Last_forecast_year - 3-InputY!$G$3)</f>
        <v>0.22980715199999996</v>
      </c>
      <c r="H227" s="25">
        <v>-9999</v>
      </c>
      <c r="I227" s="25">
        <v>-9999</v>
      </c>
      <c r="J227" s="25">
        <v>-9999</v>
      </c>
      <c r="K227" s="25">
        <v>-9999</v>
      </c>
      <c r="L227" s="25">
        <v>-9999</v>
      </c>
      <c r="M227" s="25">
        <v>-9999</v>
      </c>
      <c r="N227" s="25">
        <v>-9999</v>
      </c>
      <c r="O227" s="25">
        <v>-9999</v>
      </c>
      <c r="P227"/>
      <c r="Q227"/>
      <c r="AA227" s="22">
        <v>127</v>
      </c>
      <c r="AB227" s="1040" t="str">
        <f t="shared" si="8"/>
        <v>GG OTHER CAPITAL EXPENDITURE, NET</v>
      </c>
      <c r="AC227" s="1040">
        <f>CHOOSE(Tables!$U$2,Transfer!CA227,Transfer!CN227,Transfer!DA227,Transfer!DN227,Transfer!EA227)</f>
        <v>0.52981999999999996</v>
      </c>
      <c r="AD227" s="1040">
        <f>CHOOSE(Tables!$U$2,Transfer!CB227,Transfer!CO227,Transfer!DB227,Transfer!DO227,Transfer!EB227)</f>
        <v>7.1149999999999936E-2</v>
      </c>
      <c r="AE227" s="1040">
        <f>CHOOSE(Tables!$U$2,Transfer!CC227,Transfer!CP227,Transfer!DC227,Transfer!DP227,Transfer!EC227)</f>
        <v>0.31798149999999997</v>
      </c>
      <c r="AF227" s="1040">
        <f>CHOOSE(Tables!$U$2,Transfer!CD227,Transfer!CQ227,Transfer!DD227,Transfer!DQ227,Transfer!ED227)</f>
        <v>0.30281142499999997</v>
      </c>
      <c r="AG227" s="1040">
        <f>CHOOSE(Tables!$U$2,Transfer!CE227,Transfer!CR227,Transfer!DE227,Transfer!DR227,Transfer!EE227)</f>
        <v>0.28839985374999993</v>
      </c>
      <c r="AH227" s="1040">
        <f>CHOOSE(Tables!$U$2,Transfer!CF227,Transfer!CS227,Transfer!DF227,Transfer!DS227,Transfer!EF227)</f>
        <v>-9999</v>
      </c>
      <c r="AI227" s="1040">
        <f>CHOOSE(Tables!$U$2,Transfer!CG227,Transfer!CT227,Transfer!DG227,Transfer!DT227,Transfer!EG227)</f>
        <v>-9999</v>
      </c>
      <c r="AJ227" s="1040">
        <f>CHOOSE(Tables!$U$2,Transfer!CH227,Transfer!CU227,Transfer!DH227,Transfer!DU227,Transfer!EH227)</f>
        <v>-9999</v>
      </c>
      <c r="AK227" s="1040">
        <f>CHOOSE(Tables!$U$2,Transfer!CI227,Transfer!CV227,Transfer!DI227,Transfer!DV227,Transfer!EI227)</f>
        <v>-9999</v>
      </c>
      <c r="AL227" s="1040">
        <f>CHOOSE(Tables!$U$2,Transfer!CJ227,Transfer!CW227,Transfer!DJ227,Transfer!DW227,Transfer!EJ227)</f>
        <v>-9999</v>
      </c>
      <c r="AM227" s="1040">
        <f>CHOOSE(Tables!$U$2,Transfer!CK227,Transfer!CX227,Transfer!DK227,Transfer!DX227,Transfer!EK227)</f>
        <v>-9999</v>
      </c>
      <c r="AN227" s="1040">
        <f>CHOOSE(Tables!$U$2,Transfer!CL227,Transfer!CY227,Transfer!DL227,Transfer!DY227,Transfer!EL227)</f>
        <v>-9999</v>
      </c>
      <c r="AO227" s="1040">
        <f>CHOOSE(Tables!$U$2,Transfer!CM227,Transfer!CZ227,Transfer!DM227,Transfer!DZ227,Transfer!EM227)</f>
        <v>-9999</v>
      </c>
      <c r="AR227" s="22">
        <v>127</v>
      </c>
      <c r="AS227" s="1" t="s">
        <v>292</v>
      </c>
      <c r="AT227" s="24">
        <f t="shared" ca="1" si="22"/>
        <v>-0.26618999999999998</v>
      </c>
      <c r="AU227" s="24">
        <f t="shared" ca="1" si="23"/>
        <v>0.12397000000000005</v>
      </c>
      <c r="AV227" s="24">
        <f t="shared" ca="1" si="24"/>
        <v>-1.4029899999999984E-2</v>
      </c>
      <c r="AW227" s="24">
        <f t="shared" ca="1" si="25"/>
        <v>-7.3004273000000008E-2</v>
      </c>
      <c r="AX227" s="24">
        <f t="shared" ca="1" si="26"/>
        <v>-5.8592701749999976E-2</v>
      </c>
      <c r="AY227" s="25">
        <f t="shared" si="27"/>
        <v>0</v>
      </c>
      <c r="AZ227" s="25">
        <f t="shared" si="28"/>
        <v>0</v>
      </c>
      <c r="BA227" s="25">
        <f t="shared" si="29"/>
        <v>0</v>
      </c>
      <c r="BB227" s="25">
        <f t="shared" si="30"/>
        <v>0</v>
      </c>
      <c r="BC227" s="25">
        <f t="shared" si="21"/>
        <v>0</v>
      </c>
      <c r="BD227" s="25">
        <f t="shared" si="21"/>
        <v>0</v>
      </c>
      <c r="BE227" s="25">
        <f t="shared" si="21"/>
        <v>0</v>
      </c>
      <c r="BF227" s="25">
        <f t="shared" si="21"/>
        <v>0</v>
      </c>
      <c r="CA227" s="16">
        <v>0.34211999999999998</v>
      </c>
      <c r="CB227" s="16">
        <v>0.45003999999999994</v>
      </c>
      <c r="CC227" s="16">
        <v>0.54416677749999998</v>
      </c>
      <c r="CD227" s="16">
        <v>0.58727514962500005</v>
      </c>
      <c r="CE227" s="16">
        <v>0.53328884725625003</v>
      </c>
      <c r="CF227" s="16">
        <v>-9999</v>
      </c>
      <c r="CG227" s="16">
        <v>-9999</v>
      </c>
      <c r="CH227" s="16">
        <v>-9999</v>
      </c>
      <c r="CI227" s="16">
        <v>-9999</v>
      </c>
      <c r="CJ227" s="16">
        <v>-9999</v>
      </c>
      <c r="CK227" s="16">
        <v>-9999</v>
      </c>
      <c r="CL227" s="16">
        <v>-9999</v>
      </c>
      <c r="CM227" s="16">
        <v>-9999</v>
      </c>
      <c r="CN227" s="16">
        <v>1.9902690000000001E-2</v>
      </c>
      <c r="CO227" s="16">
        <v>0.34052073999999993</v>
      </c>
      <c r="CP227" s="16">
        <v>0.16977199724453196</v>
      </c>
      <c r="CQ227" s="16">
        <v>0.10472413865000001</v>
      </c>
      <c r="CR227" s="16">
        <v>0.10477138003650001</v>
      </c>
      <c r="CS227" s="16">
        <v>-9999</v>
      </c>
      <c r="CT227" s="16">
        <v>-9999</v>
      </c>
      <c r="CU227" s="16">
        <v>-9999</v>
      </c>
      <c r="CV227" s="16">
        <v>-9999</v>
      </c>
      <c r="CW227" s="16">
        <v>-9999</v>
      </c>
      <c r="CX227" s="16">
        <v>-9999</v>
      </c>
      <c r="CY227" s="16">
        <v>-9999</v>
      </c>
      <c r="CZ227" s="16">
        <v>-9999</v>
      </c>
      <c r="DA227" s="16">
        <v>0.34211999999999998</v>
      </c>
      <c r="DB227" s="16">
        <v>0.45003999999999994</v>
      </c>
      <c r="DC227" s="16">
        <v>0.32676109581664098</v>
      </c>
      <c r="DD227" s="16">
        <v>0.32676109581664098</v>
      </c>
      <c r="DE227" s="16">
        <v>0.3298262067748074</v>
      </c>
      <c r="DF227" s="16">
        <v>-9999</v>
      </c>
      <c r="DG227" s="16">
        <v>-9999</v>
      </c>
      <c r="DH227" s="16">
        <v>-9999</v>
      </c>
      <c r="DI227" s="16">
        <v>-9999</v>
      </c>
      <c r="DJ227" s="16">
        <v>-9999</v>
      </c>
      <c r="DK227" s="16">
        <v>-9999</v>
      </c>
      <c r="DL227" s="16">
        <v>-9999</v>
      </c>
      <c r="DM227" s="16">
        <v>-9999</v>
      </c>
      <c r="DN227" s="16">
        <v>2.138000000000001E-2</v>
      </c>
      <c r="DO227" s="16">
        <v>0.34211999999999998</v>
      </c>
      <c r="DP227" s="16">
        <v>0.37914999999999999</v>
      </c>
      <c r="DQ227" s="16">
        <v>0.28380991753195128</v>
      </c>
      <c r="DR227" s="16">
        <v>0.28401241753195128</v>
      </c>
      <c r="DS227" s="16">
        <v>-9999</v>
      </c>
      <c r="DT227" s="16">
        <v>-9999</v>
      </c>
      <c r="DU227" s="16">
        <v>-9999</v>
      </c>
      <c r="DV227" s="16">
        <v>-9999</v>
      </c>
      <c r="DW227" s="16">
        <v>-9999</v>
      </c>
      <c r="DX227" s="16">
        <v>-9999</v>
      </c>
      <c r="DY227" s="16">
        <v>-9999</v>
      </c>
      <c r="DZ227" s="16">
        <v>-9999</v>
      </c>
      <c r="EA227" s="2196">
        <v>0.52981999999999996</v>
      </c>
      <c r="EB227" s="2196">
        <v>7.1149999999999936E-2</v>
      </c>
      <c r="EC227" s="2196">
        <v>0.31798149999999997</v>
      </c>
      <c r="ED227" s="2196">
        <v>0.30281142499999997</v>
      </c>
      <c r="EE227" s="2196">
        <v>0.28839985374999993</v>
      </c>
      <c r="EF227" s="2197">
        <v>-9999</v>
      </c>
      <c r="EG227" s="2197">
        <v>-9999</v>
      </c>
      <c r="EH227" s="2197">
        <v>-9999</v>
      </c>
      <c r="EI227" s="2197">
        <v>-9999</v>
      </c>
      <c r="EJ227" s="2197">
        <v>-9999</v>
      </c>
      <c r="EK227" s="2197">
        <v>-9999</v>
      </c>
      <c r="EL227" s="2197">
        <v>-9999</v>
      </c>
      <c r="EM227" s="2197">
        <v>-9999</v>
      </c>
    </row>
    <row r="228" spans="1:143">
      <c r="A228" s="22">
        <v>128</v>
      </c>
      <c r="B228" s="29" t="s">
        <v>1121</v>
      </c>
      <c r="C228" s="24">
        <f ca="1">OFFSET(Sector1!F605,0,Last_forecast_year - 3-InputY!$G$3)</f>
        <v>15.939500000000001</v>
      </c>
      <c r="D228" s="24">
        <f ca="1">OFFSET(Sector1!G605,0,Last_forecast_year - 3-InputY!$G$3)</f>
        <v>15.5137</v>
      </c>
      <c r="E228" s="24">
        <f ca="1">OFFSET(Sector1!H605,0,Last_forecast_year - 3-InputY!$G$3)</f>
        <v>16.968591902919371</v>
      </c>
      <c r="F228" s="24">
        <f ca="1">OFFSET(Sector1!I605,0,Last_forecast_year - 3-InputY!$G$3)</f>
        <v>16.367516381052045</v>
      </c>
      <c r="G228" s="24">
        <f ca="1">OFFSET(Sector1!J605,0,Last_forecast_year - 3-InputY!$G$3)</f>
        <v>17.58658710626565</v>
      </c>
      <c r="H228" s="25">
        <v>-9999</v>
      </c>
      <c r="I228" s="25">
        <v>-9999</v>
      </c>
      <c r="J228" s="25">
        <v>-9999</v>
      </c>
      <c r="K228" s="25">
        <v>-9999</v>
      </c>
      <c r="L228" s="25">
        <v>-9999</v>
      </c>
      <c r="M228" s="25">
        <v>-9999</v>
      </c>
      <c r="N228" s="25">
        <v>-9999</v>
      </c>
      <c r="O228" s="25">
        <v>-9999</v>
      </c>
      <c r="P228"/>
      <c r="Q228"/>
      <c r="AA228" s="22">
        <v>128</v>
      </c>
      <c r="AB228" s="1040" t="str">
        <f t="shared" si="8"/>
        <v>GG GEN. GVMNT CONSOLIDATED GROSS DEBT</v>
      </c>
      <c r="AC228" s="1040">
        <f>CHOOSE(Tables!$U$2,Transfer!CA228,Transfer!CN228,Transfer!DA228,Transfer!DN228,Transfer!EA228)</f>
        <v>40.961599999999997</v>
      </c>
      <c r="AD228" s="1040">
        <f>CHOOSE(Tables!$U$2,Transfer!CB228,Transfer!CO228,Transfer!DB228,Transfer!DO228,Transfer!EB228)</f>
        <v>46.036499999999997</v>
      </c>
      <c r="AE228" s="1040">
        <f>CHOOSE(Tables!$U$2,Transfer!CC228,Transfer!CP228,Transfer!DC228,Transfer!DP228,Transfer!EC228)</f>
        <v>47.997328027906114</v>
      </c>
      <c r="AF228" s="1040">
        <f>CHOOSE(Tables!$U$2,Transfer!CD228,Transfer!CQ228,Transfer!DD228,Transfer!DQ228,Transfer!ED228)</f>
        <v>50.692374002846307</v>
      </c>
      <c r="AG228" s="1040">
        <f>CHOOSE(Tables!$U$2,Transfer!CE228,Transfer!CR228,Transfer!DE228,Transfer!DR228,Transfer!EE228)</f>
        <v>53.077772554326096</v>
      </c>
      <c r="AH228" s="1040">
        <f>CHOOSE(Tables!$U$2,Transfer!CF228,Transfer!CS228,Transfer!DF228,Transfer!DS228,Transfer!EF228)</f>
        <v>-9999</v>
      </c>
      <c r="AI228" s="1040">
        <f>CHOOSE(Tables!$U$2,Transfer!CG228,Transfer!CT228,Transfer!DG228,Transfer!DT228,Transfer!EG228)</f>
        <v>-9999</v>
      </c>
      <c r="AJ228" s="1040">
        <f>CHOOSE(Tables!$U$2,Transfer!CH228,Transfer!CU228,Transfer!DH228,Transfer!DU228,Transfer!EH228)</f>
        <v>-9999</v>
      </c>
      <c r="AK228" s="1040">
        <f>CHOOSE(Tables!$U$2,Transfer!CI228,Transfer!CV228,Transfer!DI228,Transfer!DV228,Transfer!EI228)</f>
        <v>-9999</v>
      </c>
      <c r="AL228" s="1040">
        <f>CHOOSE(Tables!$U$2,Transfer!CJ228,Transfer!CW228,Transfer!DJ228,Transfer!DW228,Transfer!EJ228)</f>
        <v>-9999</v>
      </c>
      <c r="AM228" s="1040">
        <f>CHOOSE(Tables!$U$2,Transfer!CK228,Transfer!CX228,Transfer!DK228,Transfer!DX228,Transfer!EK228)</f>
        <v>-9999</v>
      </c>
      <c r="AN228" s="1040">
        <f>CHOOSE(Tables!$U$2,Transfer!CL228,Transfer!CY228,Transfer!DL228,Transfer!DY228,Transfer!EL228)</f>
        <v>-9999</v>
      </c>
      <c r="AO228" s="1040">
        <f>CHOOSE(Tables!$U$2,Transfer!CM228,Transfer!CZ228,Transfer!DM228,Transfer!DZ228,Transfer!EM228)</f>
        <v>-9999</v>
      </c>
      <c r="AR228" s="22">
        <v>128</v>
      </c>
      <c r="AS228" s="29" t="s">
        <v>1121</v>
      </c>
      <c r="AT228" s="24">
        <f t="shared" ca="1" si="22"/>
        <v>-25.022099999999995</v>
      </c>
      <c r="AU228" s="24">
        <f t="shared" ca="1" si="23"/>
        <v>-30.522799999999997</v>
      </c>
      <c r="AV228" s="24">
        <f t="shared" ca="1" si="24"/>
        <v>-31.028736124986743</v>
      </c>
      <c r="AW228" s="24">
        <f t="shared" ca="1" si="25"/>
        <v>-34.324857621794266</v>
      </c>
      <c r="AX228" s="24">
        <f t="shared" ca="1" si="26"/>
        <v>-35.491185448060449</v>
      </c>
      <c r="AY228" s="25">
        <f t="shared" si="27"/>
        <v>0</v>
      </c>
      <c r="AZ228" s="25">
        <f t="shared" si="28"/>
        <v>0</v>
      </c>
      <c r="BA228" s="25">
        <f t="shared" si="29"/>
        <v>0</v>
      </c>
      <c r="BB228" s="25">
        <f t="shared" si="30"/>
        <v>0</v>
      </c>
      <c r="BC228" s="25">
        <f t="shared" si="21"/>
        <v>0</v>
      </c>
      <c r="BD228" s="25">
        <f t="shared" si="21"/>
        <v>0</v>
      </c>
      <c r="BE228" s="25">
        <f t="shared" si="21"/>
        <v>0</v>
      </c>
      <c r="BF228" s="25">
        <f t="shared" si="21"/>
        <v>0</v>
      </c>
      <c r="CA228" s="16">
        <v>13.55</v>
      </c>
      <c r="CB228" s="16">
        <v>14.8263</v>
      </c>
      <c r="CC228" s="16">
        <v>16.192549965359508</v>
      </c>
      <c r="CD228" s="16">
        <v>15.463988465274728</v>
      </c>
      <c r="CE228" s="16">
        <v>16.97871329294459</v>
      </c>
      <c r="CF228" s="16">
        <v>-9999</v>
      </c>
      <c r="CG228" s="16">
        <v>-9999</v>
      </c>
      <c r="CH228" s="16">
        <v>-9999</v>
      </c>
      <c r="CI228" s="16">
        <v>-9999</v>
      </c>
      <c r="CJ228" s="16">
        <v>-9999</v>
      </c>
      <c r="CK228" s="16">
        <v>-9999</v>
      </c>
      <c r="CL228" s="16">
        <v>-9999</v>
      </c>
      <c r="CM228" s="16">
        <v>-9999</v>
      </c>
      <c r="CN228" s="16">
        <v>13.30245019</v>
      </c>
      <c r="CO228" s="16">
        <v>13.63652688</v>
      </c>
      <c r="CP228" s="16">
        <v>15.071063228547683</v>
      </c>
      <c r="CQ228" s="16">
        <v>15.996585943500564</v>
      </c>
      <c r="CR228" s="16">
        <v>15.056591879187003</v>
      </c>
      <c r="CS228" s="16">
        <v>-9999</v>
      </c>
      <c r="CT228" s="16">
        <v>-9999</v>
      </c>
      <c r="CU228" s="16">
        <v>-9999</v>
      </c>
      <c r="CV228" s="16">
        <v>-9999</v>
      </c>
      <c r="CW228" s="16">
        <v>-9999</v>
      </c>
      <c r="CX228" s="16">
        <v>-9999</v>
      </c>
      <c r="CY228" s="16">
        <v>-9999</v>
      </c>
      <c r="CZ228" s="16">
        <v>-9999</v>
      </c>
      <c r="DA228" s="16">
        <v>13.55</v>
      </c>
      <c r="DB228" s="16">
        <v>14.841738830000001</v>
      </c>
      <c r="DC228" s="16">
        <v>15.778119648797901</v>
      </c>
      <c r="DD228" s="16">
        <v>14.757325275613656</v>
      </c>
      <c r="DE228" s="16">
        <v>14.297559049088479</v>
      </c>
      <c r="DF228" s="16">
        <v>-9999</v>
      </c>
      <c r="DG228" s="16">
        <v>-9999</v>
      </c>
      <c r="DH228" s="16">
        <v>-9999</v>
      </c>
      <c r="DI228" s="16">
        <v>-9999</v>
      </c>
      <c r="DJ228" s="16">
        <v>-9999</v>
      </c>
      <c r="DK228" s="16">
        <v>-9999</v>
      </c>
      <c r="DL228" s="16">
        <v>-9999</v>
      </c>
      <c r="DM228" s="16">
        <v>-9999</v>
      </c>
      <c r="DN228" s="16">
        <v>13.30245019</v>
      </c>
      <c r="DO228" s="16">
        <v>13.63652688</v>
      </c>
      <c r="DP228" s="16">
        <v>15.181698873136526</v>
      </c>
      <c r="DQ228" s="16">
        <v>16.195377921611339</v>
      </c>
      <c r="DR228" s="16">
        <v>15.302309017248199</v>
      </c>
      <c r="DS228" s="16">
        <v>-9999</v>
      </c>
      <c r="DT228" s="16">
        <v>-9999</v>
      </c>
      <c r="DU228" s="16">
        <v>-9999</v>
      </c>
      <c r="DV228" s="16">
        <v>-9999</v>
      </c>
      <c r="DW228" s="16">
        <v>-9999</v>
      </c>
      <c r="DX228" s="16">
        <v>-9999</v>
      </c>
      <c r="DY228" s="16">
        <v>-9999</v>
      </c>
      <c r="DZ228" s="16">
        <v>-9999</v>
      </c>
      <c r="EA228" s="2196">
        <v>40.961599999999997</v>
      </c>
      <c r="EB228" s="2196">
        <v>46.036499999999997</v>
      </c>
      <c r="EC228" s="2196">
        <v>47.997328027906114</v>
      </c>
      <c r="ED228" s="2196">
        <v>50.692374002846307</v>
      </c>
      <c r="EE228" s="2196">
        <v>53.077772554326096</v>
      </c>
      <c r="EF228" s="2197">
        <v>-9999</v>
      </c>
      <c r="EG228" s="2197">
        <v>-9999</v>
      </c>
      <c r="EH228" s="2197">
        <v>-9999</v>
      </c>
      <c r="EI228" s="2197">
        <v>-9999</v>
      </c>
      <c r="EJ228" s="2197">
        <v>-9999</v>
      </c>
      <c r="EK228" s="2197">
        <v>-9999</v>
      </c>
      <c r="EL228" s="2197">
        <v>-9999</v>
      </c>
      <c r="EM228" s="2197">
        <v>-9999</v>
      </c>
    </row>
    <row r="229" spans="1:143">
      <c r="A229" s="22">
        <v>129</v>
      </c>
      <c r="B229" s="1" t="s">
        <v>1141</v>
      </c>
      <c r="C229" s="24">
        <f ca="1">OFFSET(Sector1!F664,0,Last_forecast_year - 3-InputY!$G$3)</f>
        <v>13.057700000000001</v>
      </c>
      <c r="D229" s="24">
        <f ca="1">OFFSET(Sector1!G664,0,Last_forecast_year - 3-InputY!$G$3)</f>
        <v>13.226979999999999</v>
      </c>
      <c r="E229" s="24">
        <f ca="1">OFFSET(Sector1!H664,0,Last_forecast_year - 3-InputY!$G$3)</f>
        <v>14.188379305700002</v>
      </c>
      <c r="F229" s="24">
        <f ca="1">OFFSET(Sector1!I664,0,Last_forecast_year - 3-InputY!$G$3)</f>
        <v>15.095948944798822</v>
      </c>
      <c r="G229" s="24">
        <f ca="1">OFFSET(Sector1!J664,0,Last_forecast_year - 3-InputY!$G$3)</f>
        <v>15.932143343143899</v>
      </c>
      <c r="H229" s="25">
        <v>-9999</v>
      </c>
      <c r="I229" s="25">
        <v>-9999</v>
      </c>
      <c r="J229" s="25">
        <v>-9999</v>
      </c>
      <c r="K229" s="25">
        <v>-9999</v>
      </c>
      <c r="L229" s="25">
        <v>-9999</v>
      </c>
      <c r="M229" s="25">
        <v>-9999</v>
      </c>
      <c r="N229" s="25">
        <v>-9999</v>
      </c>
      <c r="O229" s="25">
        <v>-9999</v>
      </c>
      <c r="P229"/>
      <c r="Q229"/>
      <c r="AA229" s="22">
        <v>129</v>
      </c>
      <c r="AB229" s="1040" t="str">
        <f t="shared" si="8"/>
        <v>GG TOTAL GOVERNMENT EXPENDITURE</v>
      </c>
      <c r="AC229" s="1040">
        <f>CHOOSE(Tables!$U$2,Transfer!CA229,Transfer!CN229,Transfer!DA229,Transfer!DN229,Transfer!EA229)</f>
        <v>41.344610000000003</v>
      </c>
      <c r="AD229" s="1040">
        <f>CHOOSE(Tables!$U$2,Transfer!CB229,Transfer!CO229,Transfer!DB229,Transfer!DO229,Transfer!EB229)</f>
        <v>41.019750000000002</v>
      </c>
      <c r="AE229" s="1040">
        <f>CHOOSE(Tables!$U$2,Transfer!CC229,Transfer!CP229,Transfer!DC229,Transfer!DP229,Transfer!EC229)</f>
        <v>42.633455997906125</v>
      </c>
      <c r="AF229" s="1040">
        <f>CHOOSE(Tables!$U$2,Transfer!CD229,Transfer!CQ229,Transfer!DD229,Transfer!DQ229,Transfer!ED229)</f>
        <v>44.378057616650196</v>
      </c>
      <c r="AG229" s="1040">
        <f>CHOOSE(Tables!$U$2,Transfer!CE229,Transfer!CR229,Transfer!DE229,Transfer!DR229,Transfer!EE229)</f>
        <v>46.201001906106164</v>
      </c>
      <c r="AH229" s="1040">
        <f>CHOOSE(Tables!$U$2,Transfer!CF229,Transfer!CS229,Transfer!DF229,Transfer!DS229,Transfer!EF229)</f>
        <v>-9999</v>
      </c>
      <c r="AI229" s="1040">
        <f>CHOOSE(Tables!$U$2,Transfer!CG229,Transfer!CT229,Transfer!DG229,Transfer!DT229,Transfer!EG229)</f>
        <v>-9999</v>
      </c>
      <c r="AJ229" s="1040">
        <f>CHOOSE(Tables!$U$2,Transfer!CH229,Transfer!CU229,Transfer!DH229,Transfer!DU229,Transfer!EH229)</f>
        <v>-9999</v>
      </c>
      <c r="AK229" s="1040">
        <f>CHOOSE(Tables!$U$2,Transfer!CI229,Transfer!CV229,Transfer!DI229,Transfer!DV229,Transfer!EI229)</f>
        <v>-9999</v>
      </c>
      <c r="AL229" s="1040">
        <f>CHOOSE(Tables!$U$2,Transfer!CJ229,Transfer!CW229,Transfer!DJ229,Transfer!DW229,Transfer!EJ229)</f>
        <v>-9999</v>
      </c>
      <c r="AM229" s="1040">
        <f>CHOOSE(Tables!$U$2,Transfer!CK229,Transfer!CX229,Transfer!DK229,Transfer!DX229,Transfer!EK229)</f>
        <v>-9999</v>
      </c>
      <c r="AN229" s="1040">
        <f>CHOOSE(Tables!$U$2,Transfer!CL229,Transfer!CY229,Transfer!DL229,Transfer!DY229,Transfer!EL229)</f>
        <v>-9999</v>
      </c>
      <c r="AO229" s="1040">
        <f>CHOOSE(Tables!$U$2,Transfer!CM229,Transfer!CZ229,Transfer!DM229,Transfer!DZ229,Transfer!EM229)</f>
        <v>-9999</v>
      </c>
      <c r="AR229" s="22">
        <v>129</v>
      </c>
      <c r="AS229" s="1" t="s">
        <v>1141</v>
      </c>
      <c r="AT229" s="24">
        <f t="shared" ca="1" si="22"/>
        <v>-28.286910000000002</v>
      </c>
      <c r="AU229" s="24">
        <f t="shared" ca="1" si="23"/>
        <v>-27.792770000000004</v>
      </c>
      <c r="AV229" s="24">
        <f t="shared" ca="1" si="24"/>
        <v>-28.445076692206122</v>
      </c>
      <c r="AW229" s="24">
        <f t="shared" ca="1" si="25"/>
        <v>-29.282108671851375</v>
      </c>
      <c r="AX229" s="24">
        <f t="shared" ca="1" si="26"/>
        <v>-30.268858562962265</v>
      </c>
      <c r="AY229" s="25">
        <f t="shared" si="27"/>
        <v>0</v>
      </c>
      <c r="AZ229" s="25">
        <f t="shared" si="28"/>
        <v>0</v>
      </c>
      <c r="BA229" s="25">
        <f t="shared" si="29"/>
        <v>0</v>
      </c>
      <c r="BB229" s="25">
        <f t="shared" si="30"/>
        <v>0</v>
      </c>
      <c r="BC229" s="25">
        <f t="shared" si="21"/>
        <v>0</v>
      </c>
      <c r="BD229" s="25">
        <f t="shared" si="21"/>
        <v>0</v>
      </c>
      <c r="BE229" s="25">
        <f t="shared" si="21"/>
        <v>0</v>
      </c>
      <c r="BF229" s="25">
        <f t="shared" si="21"/>
        <v>0</v>
      </c>
      <c r="CA229" s="16">
        <v>12.42919</v>
      </c>
      <c r="CB229" s="16">
        <v>12.682499999999999</v>
      </c>
      <c r="CC229" s="16">
        <v>13.225243730364998</v>
      </c>
      <c r="CD229" s="16">
        <v>13.717106836700374</v>
      </c>
      <c r="CE229" s="16">
        <v>14.175786003461761</v>
      </c>
      <c r="CF229" s="16">
        <v>-9999</v>
      </c>
      <c r="CG229" s="16">
        <v>-9999</v>
      </c>
      <c r="CH229" s="16">
        <v>-9999</v>
      </c>
      <c r="CI229" s="16">
        <v>-9999</v>
      </c>
      <c r="CJ229" s="16">
        <v>-9999</v>
      </c>
      <c r="CK229" s="16">
        <v>-9999</v>
      </c>
      <c r="CL229" s="16">
        <v>-9999</v>
      </c>
      <c r="CM229" s="16">
        <v>-9999</v>
      </c>
      <c r="CN229" s="16">
        <v>12.029234239999999</v>
      </c>
      <c r="CO229" s="16">
        <v>12.39830283</v>
      </c>
      <c r="CP229" s="16">
        <v>12.839264141351448</v>
      </c>
      <c r="CQ229" s="16">
        <v>13.091700839783464</v>
      </c>
      <c r="CR229" s="16">
        <v>13.588368466038423</v>
      </c>
      <c r="CS229" s="16">
        <v>-9999</v>
      </c>
      <c r="CT229" s="16">
        <v>-9999</v>
      </c>
      <c r="CU229" s="16">
        <v>-9999</v>
      </c>
      <c r="CV229" s="16">
        <v>-9999</v>
      </c>
      <c r="CW229" s="16">
        <v>-9999</v>
      </c>
      <c r="CX229" s="16">
        <v>-9999</v>
      </c>
      <c r="CY229" s="16">
        <v>-9999</v>
      </c>
      <c r="CZ229" s="16">
        <v>-9999</v>
      </c>
      <c r="DA229" s="16">
        <v>12.4034</v>
      </c>
      <c r="DB229" s="16">
        <v>12.675739999999999</v>
      </c>
      <c r="DC229" s="16">
        <v>12.771993692025191</v>
      </c>
      <c r="DD229" s="16">
        <v>13.115931316222438</v>
      </c>
      <c r="DE229" s="16">
        <v>13.46905270830551</v>
      </c>
      <c r="DF229" s="16">
        <v>-9999</v>
      </c>
      <c r="DG229" s="16">
        <v>-9999</v>
      </c>
      <c r="DH229" s="16">
        <v>-9999</v>
      </c>
      <c r="DI229" s="16">
        <v>-9999</v>
      </c>
      <c r="DJ229" s="16">
        <v>-9999</v>
      </c>
      <c r="DK229" s="16">
        <v>-9999</v>
      </c>
      <c r="DL229" s="16">
        <v>-9999</v>
      </c>
      <c r="DM229" s="16">
        <v>-9999</v>
      </c>
      <c r="DN229" s="16">
        <v>12.034000000000001</v>
      </c>
      <c r="DO229" s="16">
        <v>12.4034</v>
      </c>
      <c r="DP229" s="16">
        <v>12.6931326658312</v>
      </c>
      <c r="DQ229" s="16">
        <v>12.801959787251947</v>
      </c>
      <c r="DR229" s="16">
        <v>13.284022341960297</v>
      </c>
      <c r="DS229" s="16">
        <v>-9999</v>
      </c>
      <c r="DT229" s="16">
        <v>-9999</v>
      </c>
      <c r="DU229" s="16">
        <v>-9999</v>
      </c>
      <c r="DV229" s="16">
        <v>-9999</v>
      </c>
      <c r="DW229" s="16">
        <v>-9999</v>
      </c>
      <c r="DX229" s="16">
        <v>-9999</v>
      </c>
      <c r="DY229" s="16">
        <v>-9999</v>
      </c>
      <c r="DZ229" s="16">
        <v>-9999</v>
      </c>
      <c r="EA229" s="2196">
        <v>41.344610000000003</v>
      </c>
      <c r="EB229" s="2196">
        <v>41.019750000000002</v>
      </c>
      <c r="EC229" s="2196">
        <v>42.633455997906125</v>
      </c>
      <c r="ED229" s="2196">
        <v>44.378057616650196</v>
      </c>
      <c r="EE229" s="2196">
        <v>46.201001906106164</v>
      </c>
      <c r="EF229" s="2197">
        <v>-9999</v>
      </c>
      <c r="EG229" s="2197">
        <v>-9999</v>
      </c>
      <c r="EH229" s="2197">
        <v>-9999</v>
      </c>
      <c r="EI229" s="2197">
        <v>-9999</v>
      </c>
      <c r="EJ229" s="2197">
        <v>-9999</v>
      </c>
      <c r="EK229" s="2197">
        <v>-9999</v>
      </c>
      <c r="EL229" s="2197">
        <v>-9999</v>
      </c>
      <c r="EM229" s="2197">
        <v>-9999</v>
      </c>
    </row>
    <row r="230" spans="1:143">
      <c r="A230" s="22">
        <v>130</v>
      </c>
      <c r="B230" s="1" t="s">
        <v>1143</v>
      </c>
      <c r="C230" s="24">
        <f ca="1">OFFSET(Sector1!F482,0,Last_forecast_year - 3-InputY!$G$3)</f>
        <v>1.4300000000000001E-3</v>
      </c>
      <c r="D230" s="24">
        <f ca="1">OFFSET(Sector1!G482,0,Last_forecast_year - 3-InputY!$G$3)</f>
        <v>1.47E-3</v>
      </c>
      <c r="E230" s="24">
        <f ca="1">OFFSET(Sector1!H482,0,Last_forecast_year - 3-InputY!$G$3)</f>
        <v>1.47E-3</v>
      </c>
      <c r="F230" s="24">
        <f ca="1">OFFSET(Sector1!I482,0,Last_forecast_year - 3-InputY!$G$3)</f>
        <v>1.47E-3</v>
      </c>
      <c r="G230" s="24">
        <f ca="1">OFFSET(Sector1!J482,0,Last_forecast_year - 3-InputY!$G$3)</f>
        <v>1.47E-3</v>
      </c>
      <c r="H230" s="25">
        <v>-9999</v>
      </c>
      <c r="I230" s="25">
        <v>-9999</v>
      </c>
      <c r="J230" s="25">
        <v>-9999</v>
      </c>
      <c r="K230" s="25">
        <v>-9999</v>
      </c>
      <c r="L230" s="25">
        <v>-9999</v>
      </c>
      <c r="M230" s="25">
        <v>-9999</v>
      </c>
      <c r="N230" s="25">
        <v>-9999</v>
      </c>
      <c r="O230" s="25">
        <v>-9999</v>
      </c>
      <c r="P230"/>
      <c r="Q230"/>
      <c r="AA230" s="22">
        <v>130</v>
      </c>
      <c r="AB230" s="1040" t="str">
        <f t="shared" ref="AB230:AB280" si="31">+B230</f>
        <v>GG CAPITAL TAXES</v>
      </c>
      <c r="AC230" s="1040">
        <f>CHOOSE(Tables!$U$2,Transfer!CA230,Transfer!CN230,Transfer!DA230,Transfer!DN230,Transfer!EA230)</f>
        <v>3.47E-3</v>
      </c>
      <c r="AD230" s="1040">
        <f>CHOOSE(Tables!$U$2,Transfer!CB230,Transfer!CO230,Transfer!DB230,Transfer!DO230,Transfer!EB230)</f>
        <v>4.1399999999999996E-3</v>
      </c>
      <c r="AE230" s="1040">
        <f>CHOOSE(Tables!$U$2,Transfer!CC230,Transfer!CP230,Transfer!DC230,Transfer!DP230,Transfer!EC230)</f>
        <v>4.1399999999999996E-3</v>
      </c>
      <c r="AF230" s="1040">
        <f>CHOOSE(Tables!$U$2,Transfer!CD230,Transfer!CQ230,Transfer!DD230,Transfer!DQ230,Transfer!ED230)</f>
        <v>4.1399999999999996E-3</v>
      </c>
      <c r="AG230" s="1040">
        <f>CHOOSE(Tables!$U$2,Transfer!CE230,Transfer!CR230,Transfer!DE230,Transfer!DR230,Transfer!EE230)</f>
        <v>4.1399999999999996E-3</v>
      </c>
      <c r="AH230" s="1040">
        <f>CHOOSE(Tables!$U$2,Transfer!CF230,Transfer!CS230,Transfer!DF230,Transfer!DS230,Transfer!EF230)</f>
        <v>-9999</v>
      </c>
      <c r="AI230" s="1040">
        <f>CHOOSE(Tables!$U$2,Transfer!CG230,Transfer!CT230,Transfer!DG230,Transfer!DT230,Transfer!EG230)</f>
        <v>-9999</v>
      </c>
      <c r="AJ230" s="1040">
        <f>CHOOSE(Tables!$U$2,Transfer!CH230,Transfer!CU230,Transfer!DH230,Transfer!DU230,Transfer!EH230)</f>
        <v>-9999</v>
      </c>
      <c r="AK230" s="1040">
        <f>CHOOSE(Tables!$U$2,Transfer!CI230,Transfer!CV230,Transfer!DI230,Transfer!DV230,Transfer!EI230)</f>
        <v>-9999</v>
      </c>
      <c r="AL230" s="1040">
        <f>CHOOSE(Tables!$U$2,Transfer!CJ230,Transfer!CW230,Transfer!DJ230,Transfer!DW230,Transfer!EJ230)</f>
        <v>-9999</v>
      </c>
      <c r="AM230" s="1040">
        <f>CHOOSE(Tables!$U$2,Transfer!CK230,Transfer!CX230,Transfer!DK230,Transfer!DX230,Transfer!EK230)</f>
        <v>-9999</v>
      </c>
      <c r="AN230" s="1040">
        <f>CHOOSE(Tables!$U$2,Transfer!CL230,Transfer!CY230,Transfer!DL230,Transfer!DY230,Transfer!EL230)</f>
        <v>-9999</v>
      </c>
      <c r="AO230" s="1040">
        <f>CHOOSE(Tables!$U$2,Transfer!CM230,Transfer!CZ230,Transfer!DM230,Transfer!DZ230,Transfer!EM230)</f>
        <v>-9999</v>
      </c>
      <c r="AR230" s="22">
        <v>130</v>
      </c>
      <c r="AS230" s="1" t="s">
        <v>1143</v>
      </c>
      <c r="AT230" s="24">
        <f t="shared" ca="1" si="22"/>
        <v>-2.0400000000000001E-3</v>
      </c>
      <c r="AU230" s="24">
        <f t="shared" ca="1" si="23"/>
        <v>-2.6699999999999996E-3</v>
      </c>
      <c r="AV230" s="24">
        <f t="shared" ca="1" si="24"/>
        <v>-2.6699999999999996E-3</v>
      </c>
      <c r="AW230" s="24">
        <f t="shared" ca="1" si="25"/>
        <v>-2.6699999999999996E-3</v>
      </c>
      <c r="AX230" s="24">
        <f t="shared" ca="1" si="26"/>
        <v>-2.6699999999999996E-3</v>
      </c>
      <c r="AY230" s="25">
        <f t="shared" si="27"/>
        <v>0</v>
      </c>
      <c r="AZ230" s="25">
        <f t="shared" si="28"/>
        <v>0</v>
      </c>
      <c r="BA230" s="25">
        <f t="shared" si="29"/>
        <v>0</v>
      </c>
      <c r="BB230" s="25">
        <f t="shared" si="30"/>
        <v>0</v>
      </c>
      <c r="BC230" s="25">
        <f t="shared" si="21"/>
        <v>0</v>
      </c>
      <c r="BD230" s="25">
        <f t="shared" si="21"/>
        <v>0</v>
      </c>
      <c r="BE230" s="25">
        <f t="shared" si="21"/>
        <v>0</v>
      </c>
      <c r="BF230" s="25">
        <f t="shared" si="21"/>
        <v>0</v>
      </c>
      <c r="CA230" s="16">
        <v>1.2800000000000001E-3</v>
      </c>
      <c r="CB230" s="16">
        <v>1.33E-3</v>
      </c>
      <c r="CC230" s="16">
        <v>1.33E-3</v>
      </c>
      <c r="CD230" s="16">
        <v>1.33E-3</v>
      </c>
      <c r="CE230" s="16">
        <v>1.33E-3</v>
      </c>
      <c r="CF230" s="16">
        <v>-9999</v>
      </c>
      <c r="CG230" s="16">
        <v>-9999</v>
      </c>
      <c r="CH230" s="16">
        <v>-9999</v>
      </c>
      <c r="CI230" s="16">
        <v>-9999</v>
      </c>
      <c r="CJ230" s="16">
        <v>-9999</v>
      </c>
      <c r="CK230" s="16">
        <v>-9999</v>
      </c>
      <c r="CL230" s="16">
        <v>-9999</v>
      </c>
      <c r="CM230" s="16">
        <v>-9999</v>
      </c>
      <c r="CN230" s="16">
        <v>1.19903E-3</v>
      </c>
      <c r="CO230" s="16">
        <v>1.28302E-3</v>
      </c>
      <c r="CP230" s="16">
        <v>1.28302E-3</v>
      </c>
      <c r="CQ230" s="16">
        <v>1.28302E-3</v>
      </c>
      <c r="CR230" s="16">
        <v>1.28302E-3</v>
      </c>
      <c r="CS230" s="16">
        <v>-9999</v>
      </c>
      <c r="CT230" s="16">
        <v>-9999</v>
      </c>
      <c r="CU230" s="16">
        <v>-9999</v>
      </c>
      <c r="CV230" s="16">
        <v>-9999</v>
      </c>
      <c r="CW230" s="16">
        <v>-9999</v>
      </c>
      <c r="CX230" s="16">
        <v>-9999</v>
      </c>
      <c r="CY230" s="16">
        <v>-9999</v>
      </c>
      <c r="CZ230" s="16">
        <v>-9999</v>
      </c>
      <c r="DA230" s="16">
        <v>1.2800000000000001E-3</v>
      </c>
      <c r="DB230" s="16">
        <v>1.33E-3</v>
      </c>
      <c r="DC230" s="16">
        <v>1.33E-3</v>
      </c>
      <c r="DD230" s="16">
        <v>1.33E-3</v>
      </c>
      <c r="DE230" s="16">
        <v>1.33E-3</v>
      </c>
      <c r="DF230" s="16">
        <v>-9999</v>
      </c>
      <c r="DG230" s="16">
        <v>-9999</v>
      </c>
      <c r="DH230" s="16">
        <v>-9999</v>
      </c>
      <c r="DI230" s="16">
        <v>-9999</v>
      </c>
      <c r="DJ230" s="16">
        <v>-9999</v>
      </c>
      <c r="DK230" s="16">
        <v>-9999</v>
      </c>
      <c r="DL230" s="16">
        <v>-9999</v>
      </c>
      <c r="DM230" s="16">
        <v>-9999</v>
      </c>
      <c r="DN230" s="16">
        <v>1.1999999999999999E-3</v>
      </c>
      <c r="DO230" s="16">
        <v>1.2800000000000001E-3</v>
      </c>
      <c r="DP230" s="16">
        <v>1.33E-3</v>
      </c>
      <c r="DQ230" s="16">
        <v>1.33E-3</v>
      </c>
      <c r="DR230" s="16">
        <v>1.33E-3</v>
      </c>
      <c r="DS230" s="16">
        <v>-9999</v>
      </c>
      <c r="DT230" s="16">
        <v>-9999</v>
      </c>
      <c r="DU230" s="16">
        <v>-9999</v>
      </c>
      <c r="DV230" s="16">
        <v>-9999</v>
      </c>
      <c r="DW230" s="16">
        <v>-9999</v>
      </c>
      <c r="DX230" s="16">
        <v>-9999</v>
      </c>
      <c r="DY230" s="16">
        <v>-9999</v>
      </c>
      <c r="DZ230" s="16">
        <v>-9999</v>
      </c>
      <c r="EA230" s="2196">
        <v>3.47E-3</v>
      </c>
      <c r="EB230" s="2196">
        <v>4.1399999999999996E-3</v>
      </c>
      <c r="EC230" s="2196">
        <v>4.1399999999999996E-3</v>
      </c>
      <c r="ED230" s="2196">
        <v>4.1399999999999996E-3</v>
      </c>
      <c r="EE230" s="2196">
        <v>4.1399999999999996E-3</v>
      </c>
      <c r="EF230" s="2197">
        <v>-9999</v>
      </c>
      <c r="EG230" s="2197">
        <v>-9999</v>
      </c>
      <c r="EH230" s="2197">
        <v>-9999</v>
      </c>
      <c r="EI230" s="2197">
        <v>-9999</v>
      </c>
      <c r="EJ230" s="2197">
        <v>-9999</v>
      </c>
      <c r="EK230" s="2197">
        <v>-9999</v>
      </c>
      <c r="EL230" s="2197">
        <v>-9999</v>
      </c>
      <c r="EM230" s="2197">
        <v>-9999</v>
      </c>
    </row>
    <row r="231" spans="1:143">
      <c r="A231" s="22">
        <v>131</v>
      </c>
      <c r="B231" s="29" t="s">
        <v>1144</v>
      </c>
      <c r="C231" s="24">
        <f ca="1">OFFSET(Sector1!F12,0,Last_forecast_year - 3-InputY!$G$3)</f>
        <v>0.123</v>
      </c>
      <c r="D231" s="24">
        <f ca="1">OFFSET(Sector1!G12,0,Last_forecast_year - 3-InputY!$G$3)</f>
        <v>0.112</v>
      </c>
      <c r="E231" s="24">
        <f ca="1">OFFSET(Sector1!H12,0,Last_forecast_year - 3-InputY!$G$3)</f>
        <v>0.11648</v>
      </c>
      <c r="F231" s="24">
        <f ca="1">OFFSET(Sector1!I12,0,Last_forecast_year - 3-InputY!$G$3)</f>
        <v>0.1211392</v>
      </c>
      <c r="G231" s="24">
        <f ca="1">OFFSET(Sector1!J12,0,Last_forecast_year - 3-InputY!$G$3)</f>
        <v>0.125984768</v>
      </c>
      <c r="H231" s="25">
        <v>-9999</v>
      </c>
      <c r="I231" s="25">
        <v>-9999</v>
      </c>
      <c r="J231" s="25">
        <v>-9999</v>
      </c>
      <c r="K231" s="25">
        <v>-9999</v>
      </c>
      <c r="L231" s="25">
        <v>-9999</v>
      </c>
      <c r="M231" s="25">
        <v>-9999</v>
      </c>
      <c r="N231" s="25">
        <v>-9999</v>
      </c>
      <c r="O231" s="25">
        <v>-9999</v>
      </c>
      <c r="P231"/>
      <c r="Q231"/>
      <c r="AA231" s="22">
        <v>131</v>
      </c>
      <c r="AB231" s="1040" t="str">
        <f t="shared" si="31"/>
        <v>GG TAXES TO EU</v>
      </c>
      <c r="AC231" s="1040">
        <f>CHOOSE(Tables!$U$2,Transfer!CA231,Transfer!CN231,Transfer!DA231,Transfer!DN231,Transfer!EA231)</f>
        <v>0.33007389999999998</v>
      </c>
      <c r="AD231" s="1040">
        <f>CHOOSE(Tables!$U$2,Transfer!CB231,Transfer!CO231,Transfer!DB231,Transfer!DO231,Transfer!EB231)</f>
        <v>0.35100000000000214</v>
      </c>
      <c r="AE231" s="1040">
        <f>CHOOSE(Tables!$U$2,Transfer!CC231,Transfer!CP231,Transfer!DC231,Transfer!DP231,Transfer!EC231)</f>
        <v>0.37206000000000228</v>
      </c>
      <c r="AF231" s="1040">
        <f>CHOOSE(Tables!$U$2,Transfer!CD231,Transfer!CQ231,Transfer!DD231,Transfer!DQ231,Transfer!ED231)</f>
        <v>0.39996450000000244</v>
      </c>
      <c r="AG231" s="1040">
        <f>CHOOSE(Tables!$U$2,Transfer!CE231,Transfer!CR231,Transfer!DE231,Transfer!DR231,Transfer!EE231)</f>
        <v>0.42996183750000261</v>
      </c>
      <c r="AH231" s="1040">
        <f>CHOOSE(Tables!$U$2,Transfer!CF231,Transfer!CS231,Transfer!DF231,Transfer!DS231,Transfer!EF231)</f>
        <v>-9999</v>
      </c>
      <c r="AI231" s="1040">
        <f>CHOOSE(Tables!$U$2,Transfer!CG231,Transfer!CT231,Transfer!DG231,Transfer!DT231,Transfer!EG231)</f>
        <v>-9999</v>
      </c>
      <c r="AJ231" s="1040">
        <f>CHOOSE(Tables!$U$2,Transfer!CH231,Transfer!CU231,Transfer!DH231,Transfer!DU231,Transfer!EH231)</f>
        <v>-9999</v>
      </c>
      <c r="AK231" s="1040">
        <f>CHOOSE(Tables!$U$2,Transfer!CI231,Transfer!CV231,Transfer!DI231,Transfer!DV231,Transfer!EI231)</f>
        <v>-9999</v>
      </c>
      <c r="AL231" s="1040">
        <f>CHOOSE(Tables!$U$2,Transfer!CJ231,Transfer!CW231,Transfer!DJ231,Transfer!DW231,Transfer!EJ231)</f>
        <v>-9999</v>
      </c>
      <c r="AM231" s="1040">
        <f>CHOOSE(Tables!$U$2,Transfer!CK231,Transfer!CX231,Transfer!DK231,Transfer!DX231,Transfer!EK231)</f>
        <v>-9999</v>
      </c>
      <c r="AN231" s="1040">
        <f>CHOOSE(Tables!$U$2,Transfer!CL231,Transfer!CY231,Transfer!DL231,Transfer!DY231,Transfer!EL231)</f>
        <v>-9999</v>
      </c>
      <c r="AO231" s="1040">
        <f>CHOOSE(Tables!$U$2,Transfer!CM231,Transfer!CZ231,Transfer!DM231,Transfer!DZ231,Transfer!EM231)</f>
        <v>-9999</v>
      </c>
      <c r="AR231" s="22">
        <v>131</v>
      </c>
      <c r="AS231" s="29" t="s">
        <v>1144</v>
      </c>
      <c r="AT231" s="24">
        <f t="shared" ca="1" si="22"/>
        <v>-0.20707389999999998</v>
      </c>
      <c r="AU231" s="24">
        <f t="shared" ca="1" si="23"/>
        <v>-0.23900000000000216</v>
      </c>
      <c r="AV231" s="24">
        <f t="shared" ca="1" si="24"/>
        <v>-0.25558000000000225</v>
      </c>
      <c r="AW231" s="24">
        <f t="shared" ca="1" si="25"/>
        <v>-0.27882530000000244</v>
      </c>
      <c r="AX231" s="24">
        <f t="shared" ca="1" si="26"/>
        <v>-0.30397706950000258</v>
      </c>
      <c r="AY231" s="25">
        <f t="shared" si="27"/>
        <v>0</v>
      </c>
      <c r="AZ231" s="25">
        <f t="shared" si="28"/>
        <v>0</v>
      </c>
      <c r="BA231" s="25">
        <f t="shared" si="29"/>
        <v>0</v>
      </c>
      <c r="BB231" s="25">
        <f t="shared" si="30"/>
        <v>0</v>
      </c>
      <c r="BC231" s="25">
        <f t="shared" si="21"/>
        <v>0</v>
      </c>
      <c r="BD231" s="25">
        <f t="shared" si="21"/>
        <v>0</v>
      </c>
      <c r="BE231" s="25">
        <f t="shared" si="21"/>
        <v>0</v>
      </c>
      <c r="BF231" s="25">
        <f t="shared" si="21"/>
        <v>0</v>
      </c>
      <c r="CA231" s="16">
        <v>0.1</v>
      </c>
      <c r="CB231" s="16">
        <v>0.10500000000000001</v>
      </c>
      <c r="CC231" s="16">
        <v>0.11025000000000001</v>
      </c>
      <c r="CD231" s="16">
        <v>0.11686500000000002</v>
      </c>
      <c r="CE231" s="16">
        <v>0.12504555000000003</v>
      </c>
      <c r="CF231" s="16">
        <v>-9999</v>
      </c>
      <c r="CG231" s="16">
        <v>-9999</v>
      </c>
      <c r="CH231" s="16">
        <v>-9999</v>
      </c>
      <c r="CI231" s="16">
        <v>-9999</v>
      </c>
      <c r="CJ231" s="16">
        <v>-9999</v>
      </c>
      <c r="CK231" s="16">
        <v>-9999</v>
      </c>
      <c r="CL231" s="16">
        <v>-9999</v>
      </c>
      <c r="CM231" s="16">
        <v>-9999</v>
      </c>
      <c r="CN231" s="16">
        <v>8.6596385542168669E-2</v>
      </c>
      <c r="CO231" s="16">
        <v>0.1002085264133457</v>
      </c>
      <c r="CP231" s="16">
        <v>0.10622103799814644</v>
      </c>
      <c r="CQ231" s="16">
        <v>0.11153208989805377</v>
      </c>
      <c r="CR231" s="16">
        <v>0.118224015291937</v>
      </c>
      <c r="CS231" s="16">
        <v>-9999</v>
      </c>
      <c r="CT231" s="16">
        <v>-9999</v>
      </c>
      <c r="CU231" s="16">
        <v>-9999</v>
      </c>
      <c r="CV231" s="16">
        <v>-9999</v>
      </c>
      <c r="CW231" s="16">
        <v>-9999</v>
      </c>
      <c r="CX231" s="16">
        <v>-9999</v>
      </c>
      <c r="CY231" s="16">
        <v>-9999</v>
      </c>
      <c r="CZ231" s="16">
        <v>-9999</v>
      </c>
      <c r="DA231" s="16">
        <v>0.1</v>
      </c>
      <c r="DB231" s="16">
        <v>0.10600000000000001</v>
      </c>
      <c r="DC231" s="16">
        <v>0.11130000000000001</v>
      </c>
      <c r="DD231" s="16">
        <v>0.11797800000000001</v>
      </c>
      <c r="DE231" s="16">
        <v>0.12623646000000002</v>
      </c>
      <c r="DF231" s="16">
        <v>-9999</v>
      </c>
      <c r="DG231" s="16">
        <v>-9999</v>
      </c>
      <c r="DH231" s="16">
        <v>-9999</v>
      </c>
      <c r="DI231" s="16">
        <v>-9999</v>
      </c>
      <c r="DJ231" s="16">
        <v>-9999</v>
      </c>
      <c r="DK231" s="16">
        <v>-9999</v>
      </c>
      <c r="DL231" s="16">
        <v>-9999</v>
      </c>
      <c r="DM231" s="16">
        <v>-9999</v>
      </c>
      <c r="DN231" s="16">
        <v>8.6596385542168669E-2</v>
      </c>
      <c r="DO231" s="16">
        <v>0.1002085264133457</v>
      </c>
      <c r="DP231" s="16">
        <v>0.10622103799814644</v>
      </c>
      <c r="DQ231" s="16">
        <v>0.11153208989805377</v>
      </c>
      <c r="DR231" s="16">
        <v>0.118224015291937</v>
      </c>
      <c r="DS231" s="16">
        <v>-9999</v>
      </c>
      <c r="DT231" s="16">
        <v>-9999</v>
      </c>
      <c r="DU231" s="16">
        <v>-9999</v>
      </c>
      <c r="DV231" s="16">
        <v>-9999</v>
      </c>
      <c r="DW231" s="16">
        <v>-9999</v>
      </c>
      <c r="DX231" s="16">
        <v>-9999</v>
      </c>
      <c r="DY231" s="16">
        <v>-9999</v>
      </c>
      <c r="DZ231" s="16">
        <v>-9999</v>
      </c>
      <c r="EA231" s="2196">
        <v>0.33007389999999998</v>
      </c>
      <c r="EB231" s="2196">
        <v>0.35100000000000214</v>
      </c>
      <c r="EC231" s="2196">
        <v>0.37206000000000228</v>
      </c>
      <c r="ED231" s="2196">
        <v>0.39996450000000244</v>
      </c>
      <c r="EE231" s="2196">
        <v>0.42996183750000261</v>
      </c>
      <c r="EF231" s="2197">
        <v>-9999</v>
      </c>
      <c r="EG231" s="2197">
        <v>-9999</v>
      </c>
      <c r="EH231" s="2197">
        <v>-9999</v>
      </c>
      <c r="EI231" s="2197">
        <v>-9999</v>
      </c>
      <c r="EJ231" s="2197">
        <v>-9999</v>
      </c>
      <c r="EK231" s="2197">
        <v>-9999</v>
      </c>
      <c r="EL231" s="2197">
        <v>-9999</v>
      </c>
      <c r="EM231" s="2197">
        <v>-9999</v>
      </c>
    </row>
    <row r="232" spans="1:143">
      <c r="A232" s="22">
        <v>132</v>
      </c>
      <c r="B232" s="29" t="s">
        <v>1145</v>
      </c>
      <c r="C232" s="24">
        <f ca="1">OFFSET(Sector1!F165,0,Last_forecast_year - 3-InputY!$G$3)</f>
        <v>0.56867999999999996</v>
      </c>
      <c r="D232" s="24">
        <f ca="1">OFFSET(Sector1!G165,0,Last_forecast_year - 3-InputY!$G$3)</f>
        <v>0.51676999999999995</v>
      </c>
      <c r="E232" s="24">
        <f ca="1">OFFSET(Sector1!H165,0,Last_forecast_year - 3-InputY!$G$3)</f>
        <v>0.49499999999999994</v>
      </c>
      <c r="F232" s="24">
        <f ca="1">OFFSET(Sector1!I165,0,Last_forecast_year - 3-InputY!$G$3)</f>
        <v>0.38500000000000001</v>
      </c>
      <c r="G232" s="24">
        <f ca="1">OFFSET(Sector1!J165,0,Last_forecast_year - 3-InputY!$G$3)</f>
        <v>0.40100000000000002</v>
      </c>
      <c r="H232" s="25">
        <v>-9999</v>
      </c>
      <c r="I232" s="25">
        <v>-9999</v>
      </c>
      <c r="J232" s="25">
        <v>-9999</v>
      </c>
      <c r="K232" s="25">
        <v>-9999</v>
      </c>
      <c r="L232" s="25">
        <v>-9999</v>
      </c>
      <c r="M232" s="25">
        <v>-9999</v>
      </c>
      <c r="N232" s="25">
        <v>-9999</v>
      </c>
      <c r="O232" s="25">
        <v>-9999</v>
      </c>
      <c r="P232"/>
      <c r="Q232"/>
      <c r="AA232" s="22">
        <v>132</v>
      </c>
      <c r="AB232" s="1040" t="str">
        <f t="shared" si="31"/>
        <v>GG INTEREST incl. SWAPS</v>
      </c>
      <c r="AC232" s="1040">
        <f>CHOOSE(Tables!$U$2,Transfer!CA232,Transfer!CN232,Transfer!DA232,Transfer!DN232,Transfer!EA232)</f>
        <v>1.87381</v>
      </c>
      <c r="AD232" s="1040">
        <f>CHOOSE(Tables!$U$2,Transfer!CB232,Transfer!CO232,Transfer!DB232,Transfer!DO232,Transfer!EB232)</f>
        <v>2.0755300000000001</v>
      </c>
      <c r="AE232" s="1040">
        <f>CHOOSE(Tables!$U$2,Transfer!CC232,Transfer!CP232,Transfer!DC232,Transfer!DP232,Transfer!EC232)</f>
        <v>2.1849815000000001</v>
      </c>
      <c r="AF232" s="1040">
        <f>CHOOSE(Tables!$U$2,Transfer!CD232,Transfer!CQ232,Transfer!DD232,Transfer!DQ232,Transfer!ED232)</f>
        <v>2.2769207600000003</v>
      </c>
      <c r="AG232" s="1040">
        <f>CHOOSE(Tables!$U$2,Transfer!CE232,Transfer!CR232,Transfer!DE232,Transfer!DR232,Transfer!EE232)</f>
        <v>2.3725375904000003</v>
      </c>
      <c r="AH232" s="1040">
        <f>CHOOSE(Tables!$U$2,Transfer!CF232,Transfer!CS232,Transfer!DF232,Transfer!DS232,Transfer!EF232)</f>
        <v>-9999</v>
      </c>
      <c r="AI232" s="1040">
        <f>CHOOSE(Tables!$U$2,Transfer!CG232,Transfer!CT232,Transfer!DG232,Transfer!DT232,Transfer!EG232)</f>
        <v>-9999</v>
      </c>
      <c r="AJ232" s="1040">
        <f>CHOOSE(Tables!$U$2,Transfer!CH232,Transfer!CU232,Transfer!DH232,Transfer!DU232,Transfer!EH232)</f>
        <v>-9999</v>
      </c>
      <c r="AK232" s="1040">
        <f>CHOOSE(Tables!$U$2,Transfer!CI232,Transfer!CV232,Transfer!DI232,Transfer!DV232,Transfer!EI232)</f>
        <v>-9999</v>
      </c>
      <c r="AL232" s="1040">
        <f>CHOOSE(Tables!$U$2,Transfer!CJ232,Transfer!CW232,Transfer!DJ232,Transfer!DW232,Transfer!EJ232)</f>
        <v>-9999</v>
      </c>
      <c r="AM232" s="1040">
        <f>CHOOSE(Tables!$U$2,Transfer!CK232,Transfer!CX232,Transfer!DK232,Transfer!DX232,Transfer!EK232)</f>
        <v>-9999</v>
      </c>
      <c r="AN232" s="1040">
        <f>CHOOSE(Tables!$U$2,Transfer!CL232,Transfer!CY232,Transfer!DL232,Transfer!DY232,Transfer!EL232)</f>
        <v>-9999</v>
      </c>
      <c r="AO232" s="1040">
        <f>CHOOSE(Tables!$U$2,Transfer!CM232,Transfer!CZ232,Transfer!DM232,Transfer!DZ232,Transfer!EM232)</f>
        <v>-9999</v>
      </c>
      <c r="AR232" s="22">
        <v>132</v>
      </c>
      <c r="AS232" s="29" t="s">
        <v>1145</v>
      </c>
      <c r="AT232" s="24">
        <f t="shared" ca="1" si="22"/>
        <v>-1.3051300000000001</v>
      </c>
      <c r="AU232" s="24">
        <f t="shared" ca="1" si="23"/>
        <v>-1.5587600000000001</v>
      </c>
      <c r="AV232" s="24">
        <f t="shared" ca="1" si="24"/>
        <v>-1.6899815000000002</v>
      </c>
      <c r="AW232" s="24">
        <f t="shared" ca="1" si="25"/>
        <v>-1.8919207600000003</v>
      </c>
      <c r="AX232" s="24">
        <f t="shared" ca="1" si="26"/>
        <v>-1.9715375904000003</v>
      </c>
      <c r="AY232" s="25">
        <f t="shared" si="27"/>
        <v>0</v>
      </c>
      <c r="AZ232" s="25">
        <f t="shared" si="28"/>
        <v>0</v>
      </c>
      <c r="BA232" s="25">
        <f t="shared" si="29"/>
        <v>0</v>
      </c>
      <c r="BB232" s="25">
        <f t="shared" si="30"/>
        <v>0</v>
      </c>
      <c r="BC232" s="25">
        <f t="shared" si="21"/>
        <v>0</v>
      </c>
      <c r="BD232" s="25">
        <f t="shared" si="21"/>
        <v>0</v>
      </c>
      <c r="BE232" s="25">
        <f t="shared" si="21"/>
        <v>0</v>
      </c>
      <c r="BF232" s="25">
        <f t="shared" si="21"/>
        <v>0</v>
      </c>
      <c r="CA232" s="16">
        <v>0.61480999999999997</v>
      </c>
      <c r="CB232" s="16">
        <v>0.57269000000000003</v>
      </c>
      <c r="CC232" s="16">
        <v>0.59500000000000008</v>
      </c>
      <c r="CD232" s="16">
        <v>0.59500000000000008</v>
      </c>
      <c r="CE232" s="16">
        <v>0.59500000000000008</v>
      </c>
      <c r="CF232" s="16">
        <v>-9999</v>
      </c>
      <c r="CG232" s="16">
        <v>-9999</v>
      </c>
      <c r="CH232" s="16">
        <v>-9999</v>
      </c>
      <c r="CI232" s="16">
        <v>-9999</v>
      </c>
      <c r="CJ232" s="16">
        <v>-9999</v>
      </c>
      <c r="CK232" s="16">
        <v>-9999</v>
      </c>
      <c r="CL232" s="16">
        <v>-9999</v>
      </c>
      <c r="CM232" s="16">
        <v>-9999</v>
      </c>
      <c r="CN232" s="16">
        <v>0.66023227999999989</v>
      </c>
      <c r="CO232" s="16">
        <v>0.61606812</v>
      </c>
      <c r="CP232" s="16">
        <v>0.65549999999999986</v>
      </c>
      <c r="CQ232" s="16">
        <v>0.62098299999999995</v>
      </c>
      <c r="CR232" s="16">
        <v>0.62539197930000001</v>
      </c>
      <c r="CS232" s="16">
        <v>-9999</v>
      </c>
      <c r="CT232" s="16">
        <v>-9999</v>
      </c>
      <c r="CU232" s="16">
        <v>-9999</v>
      </c>
      <c r="CV232" s="16">
        <v>-9999</v>
      </c>
      <c r="CW232" s="16">
        <v>-9999</v>
      </c>
      <c r="CX232" s="16">
        <v>-9999</v>
      </c>
      <c r="CY232" s="16">
        <v>-9999</v>
      </c>
      <c r="CZ232" s="16">
        <v>-9999</v>
      </c>
      <c r="DA232" s="16">
        <v>0.61480999999999997</v>
      </c>
      <c r="DB232" s="16">
        <v>0.57216999999999996</v>
      </c>
      <c r="DC232" s="16">
        <v>0.54204095058733792</v>
      </c>
      <c r="DD232" s="16">
        <v>0.54588944133650807</v>
      </c>
      <c r="DE232" s="16">
        <v>0.54976525636999729</v>
      </c>
      <c r="DF232" s="16">
        <v>-9999</v>
      </c>
      <c r="DG232" s="16">
        <v>-9999</v>
      </c>
      <c r="DH232" s="16">
        <v>-9999</v>
      </c>
      <c r="DI232" s="16">
        <v>-9999</v>
      </c>
      <c r="DJ232" s="16">
        <v>-9999</v>
      </c>
      <c r="DK232" s="16">
        <v>-9999</v>
      </c>
      <c r="DL232" s="16">
        <v>-9999</v>
      </c>
      <c r="DM232" s="16">
        <v>-9999</v>
      </c>
      <c r="DN232" s="16">
        <v>0.6585700000000001</v>
      </c>
      <c r="DO232" s="16">
        <v>0.61480999999999997</v>
      </c>
      <c r="DP232" s="16">
        <v>0.57216999999999996</v>
      </c>
      <c r="DQ232" s="16">
        <v>0.54204095058733792</v>
      </c>
      <c r="DR232" s="16">
        <v>0.54588944133650807</v>
      </c>
      <c r="DS232" s="16">
        <v>-9999</v>
      </c>
      <c r="DT232" s="16">
        <v>-9999</v>
      </c>
      <c r="DU232" s="16">
        <v>-9999</v>
      </c>
      <c r="DV232" s="16">
        <v>-9999</v>
      </c>
      <c r="DW232" s="16">
        <v>-9999</v>
      </c>
      <c r="DX232" s="16">
        <v>-9999</v>
      </c>
      <c r="DY232" s="16">
        <v>-9999</v>
      </c>
      <c r="DZ232" s="16">
        <v>-9999</v>
      </c>
      <c r="EA232" s="2196">
        <v>1.87381</v>
      </c>
      <c r="EB232" s="2196">
        <v>2.0755300000000001</v>
      </c>
      <c r="EC232" s="2196">
        <v>2.1849815000000001</v>
      </c>
      <c r="ED232" s="2196">
        <v>2.2769207600000003</v>
      </c>
      <c r="EE232" s="2196">
        <v>2.3725375904000003</v>
      </c>
      <c r="EF232" s="2197">
        <v>-9999</v>
      </c>
      <c r="EG232" s="2197">
        <v>-9999</v>
      </c>
      <c r="EH232" s="2197">
        <v>-9999</v>
      </c>
      <c r="EI232" s="2197">
        <v>-9999</v>
      </c>
      <c r="EJ232" s="2197">
        <v>-9999</v>
      </c>
      <c r="EK232" s="2197">
        <v>-9999</v>
      </c>
      <c r="EL232" s="2197">
        <v>-9999</v>
      </c>
      <c r="EM232" s="2197">
        <v>-9999</v>
      </c>
    </row>
    <row r="233" spans="1:143">
      <c r="A233" s="22">
        <v>133</v>
      </c>
      <c r="B233" s="1" t="s">
        <v>1146</v>
      </c>
      <c r="C233" s="24">
        <f ca="1">OFFSET(Sector1!F49,0,Last_forecast_year - 3-InputY!$G$3)</f>
        <v>0.441</v>
      </c>
      <c r="D233" s="24">
        <f ca="1">OFFSET(Sector1!G49,0,Last_forecast_year - 3-InputY!$G$3)</f>
        <v>0.46700000000000003</v>
      </c>
      <c r="E233" s="24">
        <f ca="1">OFFSET(Sector1!H49,0,Last_forecast_year - 3-InputY!$G$3)</f>
        <v>0.47867499999999996</v>
      </c>
      <c r="F233" s="24">
        <f ca="1">OFFSET(Sector1!I49,0,Last_forecast_year - 3-InputY!$G$3)</f>
        <v>0.49064187499999989</v>
      </c>
      <c r="G233" s="24">
        <f ca="1">OFFSET(Sector1!J49,0,Last_forecast_year - 3-InputY!$G$3)</f>
        <v>0.50290792187499989</v>
      </c>
      <c r="H233" s="25">
        <v>-9999</v>
      </c>
      <c r="I233" s="25">
        <v>-9999</v>
      </c>
      <c r="J233" s="25">
        <v>-9999</v>
      </c>
      <c r="K233" s="25">
        <v>-9999</v>
      </c>
      <c r="L233" s="25">
        <v>-9999</v>
      </c>
      <c r="M233" s="25">
        <v>-9999</v>
      </c>
      <c r="N233" s="25">
        <v>-9999</v>
      </c>
      <c r="O233" s="25">
        <v>-9999</v>
      </c>
      <c r="P233"/>
      <c r="Q233"/>
      <c r="AA233" s="22">
        <v>133</v>
      </c>
      <c r="AB233" s="1040" t="str">
        <f t="shared" si="31"/>
        <v>GG SUBSIDIES FROM EU</v>
      </c>
      <c r="AC233" s="1040">
        <f>CHOOSE(Tables!$U$2,Transfer!CA233,Transfer!CN233,Transfer!DA233,Transfer!DN233,Transfer!EA233)</f>
        <v>1.1044315</v>
      </c>
      <c r="AD233" s="1040">
        <f>CHOOSE(Tables!$U$2,Transfer!CB233,Transfer!CO233,Transfer!DB233,Transfer!DO233,Transfer!EB233)</f>
        <v>1.2652699999999997</v>
      </c>
      <c r="AE233" s="1040">
        <f>CHOOSE(Tables!$U$2,Transfer!CC233,Transfer!CP233,Transfer!DC233,Transfer!DP233,Transfer!EC233)</f>
        <v>1.3158807999999997</v>
      </c>
      <c r="AF233" s="1040">
        <f>CHOOSE(Tables!$U$2,Transfer!CD233,Transfer!CQ233,Transfer!DD233,Transfer!DQ233,Transfer!ED233)</f>
        <v>1.3685160319999998</v>
      </c>
      <c r="AG233" s="1040">
        <f>CHOOSE(Tables!$U$2,Transfer!CE233,Transfer!CR233,Transfer!DE233,Transfer!DR233,Transfer!EE233)</f>
        <v>1.4232566732799998</v>
      </c>
      <c r="AH233" s="1040">
        <f>CHOOSE(Tables!$U$2,Transfer!CF233,Transfer!CS233,Transfer!DF233,Transfer!DS233,Transfer!EF233)</f>
        <v>-9999</v>
      </c>
      <c r="AI233" s="1040">
        <f>CHOOSE(Tables!$U$2,Transfer!CG233,Transfer!CT233,Transfer!DG233,Transfer!DT233,Transfer!EG233)</f>
        <v>-9999</v>
      </c>
      <c r="AJ233" s="1040">
        <f>CHOOSE(Tables!$U$2,Transfer!CH233,Transfer!CU233,Transfer!DH233,Transfer!DU233,Transfer!EH233)</f>
        <v>-9999</v>
      </c>
      <c r="AK233" s="1040">
        <f>CHOOSE(Tables!$U$2,Transfer!CI233,Transfer!CV233,Transfer!DI233,Transfer!DV233,Transfer!EI233)</f>
        <v>-9999</v>
      </c>
      <c r="AL233" s="1040">
        <f>CHOOSE(Tables!$U$2,Transfer!CJ233,Transfer!CW233,Transfer!DJ233,Transfer!DW233,Transfer!EJ233)</f>
        <v>-9999</v>
      </c>
      <c r="AM233" s="1040">
        <f>CHOOSE(Tables!$U$2,Transfer!CK233,Transfer!CX233,Transfer!DK233,Transfer!DX233,Transfer!EK233)</f>
        <v>-9999</v>
      </c>
      <c r="AN233" s="1040">
        <f>CHOOSE(Tables!$U$2,Transfer!CL233,Transfer!CY233,Transfer!DL233,Transfer!DY233,Transfer!EL233)</f>
        <v>-9999</v>
      </c>
      <c r="AO233" s="1040">
        <f>CHOOSE(Tables!$U$2,Transfer!CM233,Transfer!CZ233,Transfer!DM233,Transfer!DZ233,Transfer!EM233)</f>
        <v>-9999</v>
      </c>
      <c r="AR233" s="22">
        <v>133</v>
      </c>
      <c r="AS233" s="1" t="s">
        <v>1146</v>
      </c>
      <c r="AT233" s="24">
        <f t="shared" ca="1" si="22"/>
        <v>-0.66343149999999995</v>
      </c>
      <c r="AU233" s="24">
        <f t="shared" ca="1" si="23"/>
        <v>-0.79826999999999959</v>
      </c>
      <c r="AV233" s="24">
        <f t="shared" ca="1" si="24"/>
        <v>-0.83720579999999978</v>
      </c>
      <c r="AW233" s="24">
        <f t="shared" ca="1" si="25"/>
        <v>-0.87787415699999993</v>
      </c>
      <c r="AX233" s="24">
        <f t="shared" ca="1" si="26"/>
        <v>-0.92034875140499994</v>
      </c>
      <c r="AY233" s="25">
        <f t="shared" si="27"/>
        <v>0</v>
      </c>
      <c r="AZ233" s="25">
        <f t="shared" si="28"/>
        <v>0</v>
      </c>
      <c r="BA233" s="25">
        <f t="shared" si="29"/>
        <v>0</v>
      </c>
      <c r="BB233" s="25">
        <f t="shared" si="30"/>
        <v>0</v>
      </c>
      <c r="BC233" s="25">
        <f t="shared" si="21"/>
        <v>0</v>
      </c>
      <c r="BD233" s="25">
        <f t="shared" si="21"/>
        <v>0</v>
      </c>
      <c r="BE233" s="25">
        <f t="shared" si="21"/>
        <v>0</v>
      </c>
      <c r="BF233" s="25">
        <f t="shared" si="21"/>
        <v>0</v>
      </c>
      <c r="CA233" s="16">
        <v>0.38900000000000001</v>
      </c>
      <c r="CB233" s="16">
        <v>0.39742045999999992</v>
      </c>
      <c r="CC233" s="16">
        <v>0.41331727839999993</v>
      </c>
      <c r="CD233" s="16">
        <v>0.42984996953599997</v>
      </c>
      <c r="CE233" s="16">
        <v>0.44704396831743998</v>
      </c>
      <c r="CF233" s="16">
        <v>-9999</v>
      </c>
      <c r="CG233" s="16">
        <v>-9999</v>
      </c>
      <c r="CH233" s="16">
        <v>-9999</v>
      </c>
      <c r="CI233" s="16">
        <v>-9999</v>
      </c>
      <c r="CJ233" s="16">
        <v>-9999</v>
      </c>
      <c r="CK233" s="16">
        <v>-9999</v>
      </c>
      <c r="CL233" s="16">
        <v>-9999</v>
      </c>
      <c r="CM233" s="16">
        <v>-9999</v>
      </c>
      <c r="CN233" s="16">
        <v>0.36636932344763673</v>
      </c>
      <c r="CO233" s="16">
        <v>0.38895968489341987</v>
      </c>
      <c r="CP233" s="16">
        <v>0.40451807228915665</v>
      </c>
      <c r="CQ233" s="16">
        <v>0.42069879518072295</v>
      </c>
      <c r="CR233" s="16">
        <v>0.43752674698795191</v>
      </c>
      <c r="CS233" s="16">
        <v>-9999</v>
      </c>
      <c r="CT233" s="16">
        <v>-9999</v>
      </c>
      <c r="CU233" s="16">
        <v>-9999</v>
      </c>
      <c r="CV233" s="16">
        <v>-9999</v>
      </c>
      <c r="CW233" s="16">
        <v>-9999</v>
      </c>
      <c r="CX233" s="16">
        <v>-9999</v>
      </c>
      <c r="CY233" s="16">
        <v>-9999</v>
      </c>
      <c r="CZ233" s="16">
        <v>-9999</v>
      </c>
      <c r="DA233" s="16">
        <v>0.38900000000000001</v>
      </c>
      <c r="DB233" s="16">
        <v>0.37077888671037379</v>
      </c>
      <c r="DC233" s="16">
        <v>0.38561004217878875</v>
      </c>
      <c r="DD233" s="16">
        <v>0.40103444386594034</v>
      </c>
      <c r="DE233" s="16">
        <v>0.41707582162057799</v>
      </c>
      <c r="DF233" s="16">
        <v>-9999</v>
      </c>
      <c r="DG233" s="16">
        <v>-9999</v>
      </c>
      <c r="DH233" s="16">
        <v>-9999</v>
      </c>
      <c r="DI233" s="16">
        <v>-9999</v>
      </c>
      <c r="DJ233" s="16">
        <v>-9999</v>
      </c>
      <c r="DK233" s="16">
        <v>-9999</v>
      </c>
      <c r="DL233" s="16">
        <v>-9999</v>
      </c>
      <c r="DM233" s="16">
        <v>-9999</v>
      </c>
      <c r="DN233" s="16">
        <v>0.36636932344763673</v>
      </c>
      <c r="DO233" s="16">
        <v>0.38895968489341987</v>
      </c>
      <c r="DP233" s="16">
        <v>0.37074046000000005</v>
      </c>
      <c r="DQ233" s="16">
        <v>0.38557007840000007</v>
      </c>
      <c r="DR233" s="16">
        <v>0.4009928815360001</v>
      </c>
      <c r="DS233" s="16">
        <v>-9999</v>
      </c>
      <c r="DT233" s="16">
        <v>-9999</v>
      </c>
      <c r="DU233" s="16">
        <v>-9999</v>
      </c>
      <c r="DV233" s="16">
        <v>-9999</v>
      </c>
      <c r="DW233" s="16">
        <v>-9999</v>
      </c>
      <c r="DX233" s="16">
        <v>-9999</v>
      </c>
      <c r="DY233" s="16">
        <v>-9999</v>
      </c>
      <c r="DZ233" s="16">
        <v>-9999</v>
      </c>
      <c r="EA233" s="2196">
        <v>1.1044315</v>
      </c>
      <c r="EB233" s="2196">
        <v>1.2652699999999997</v>
      </c>
      <c r="EC233" s="2196">
        <v>1.3158807999999997</v>
      </c>
      <c r="ED233" s="2196">
        <v>1.3685160319999998</v>
      </c>
      <c r="EE233" s="2196">
        <v>1.4232566732799998</v>
      </c>
      <c r="EF233" s="2197">
        <v>-9999</v>
      </c>
      <c r="EG233" s="2197">
        <v>-9999</v>
      </c>
      <c r="EH233" s="2197">
        <v>-9999</v>
      </c>
      <c r="EI233" s="2197">
        <v>-9999</v>
      </c>
      <c r="EJ233" s="2197">
        <v>-9999</v>
      </c>
      <c r="EK233" s="2197">
        <v>-9999</v>
      </c>
      <c r="EL233" s="2197">
        <v>-9999</v>
      </c>
      <c r="EM233" s="2197">
        <v>-9999</v>
      </c>
    </row>
    <row r="234" spans="1:143">
      <c r="A234" s="22">
        <v>134</v>
      </c>
      <c r="B234" s="30" t="s">
        <v>1705</v>
      </c>
      <c r="C234" s="25">
        <v>-9999</v>
      </c>
      <c r="D234" s="25">
        <v>-9999</v>
      </c>
      <c r="E234" s="25">
        <v>-9999</v>
      </c>
      <c r="F234" s="25">
        <v>-9999</v>
      </c>
      <c r="G234" s="25">
        <v>-9999</v>
      </c>
      <c r="H234" s="25">
        <v>-9999</v>
      </c>
      <c r="I234" s="25">
        <v>-9999</v>
      </c>
      <c r="J234" s="25">
        <v>-9999</v>
      </c>
      <c r="K234" s="25">
        <v>-9999</v>
      </c>
      <c r="L234" s="25">
        <v>-9999</v>
      </c>
      <c r="M234" s="25">
        <v>-9999</v>
      </c>
      <c r="N234" s="25">
        <v>-9999</v>
      </c>
      <c r="O234" s="25">
        <v>-9999</v>
      </c>
      <c r="P234" s="26"/>
      <c r="Q234"/>
      <c r="AA234" s="22">
        <v>134</v>
      </c>
      <c r="AB234" s="1040" t="str">
        <f>+B238</f>
        <v>GG ONE-OFF MEASURES (REVENUE SIDE)</v>
      </c>
      <c r="AC234" s="1040">
        <f>CHOOSE(Tables!$U$2,Transfer!CA234,Transfer!CN234,Transfer!DA234,Transfer!DN234,Transfer!EA234)</f>
        <v>-9999</v>
      </c>
      <c r="AD234" s="1040">
        <f>CHOOSE(Tables!$U$2,Transfer!CB234,Transfer!CO234,Transfer!DB234,Transfer!DO234,Transfer!EB234)</f>
        <v>-9999</v>
      </c>
      <c r="AE234" s="1040">
        <f>CHOOSE(Tables!$U$2,Transfer!CC234,Transfer!CP234,Transfer!DC234,Transfer!DP234,Transfer!EC234)</f>
        <v>-9999</v>
      </c>
      <c r="AF234" s="1040">
        <f>CHOOSE(Tables!$U$2,Transfer!CD234,Transfer!CQ234,Transfer!DD234,Transfer!DQ234,Transfer!ED234)</f>
        <v>-9999</v>
      </c>
      <c r="AG234" s="1040">
        <f>CHOOSE(Tables!$U$2,Transfer!CE234,Transfer!CR234,Transfer!DE234,Transfer!DR234,Transfer!EE234)</f>
        <v>-9999</v>
      </c>
      <c r="AH234" s="1040">
        <f>CHOOSE(Tables!$U$2,Transfer!CF234,Transfer!CS234,Transfer!DF234,Transfer!DS234,Transfer!EF234)</f>
        <v>-9999</v>
      </c>
      <c r="AI234" s="1040">
        <f>CHOOSE(Tables!$U$2,Transfer!CG234,Transfer!CT234,Transfer!DG234,Transfer!DT234,Transfer!EG234)</f>
        <v>-9999</v>
      </c>
      <c r="AJ234" s="1040">
        <f>CHOOSE(Tables!$U$2,Transfer!CH234,Transfer!CU234,Transfer!DH234,Transfer!DU234,Transfer!EH234)</f>
        <v>-9999</v>
      </c>
      <c r="AK234" s="1040">
        <f>CHOOSE(Tables!$U$2,Transfer!CI234,Transfer!CV234,Transfer!DI234,Transfer!DV234,Transfer!EI234)</f>
        <v>-9999</v>
      </c>
      <c r="AL234" s="1040">
        <f>CHOOSE(Tables!$U$2,Transfer!CJ234,Transfer!CW234,Transfer!DJ234,Transfer!DW234,Transfer!EJ234)</f>
        <v>-9999</v>
      </c>
      <c r="AM234" s="1040">
        <f>CHOOSE(Tables!$U$2,Transfer!CK234,Transfer!CX234,Transfer!DK234,Transfer!DX234,Transfer!EK234)</f>
        <v>-9999</v>
      </c>
      <c r="AN234" s="1040">
        <f>CHOOSE(Tables!$U$2,Transfer!CL234,Transfer!CY234,Transfer!DL234,Transfer!DY234,Transfer!EL234)</f>
        <v>-9999</v>
      </c>
      <c r="AO234" s="1040">
        <f>CHOOSE(Tables!$U$2,Transfer!CM234,Transfer!CZ234,Transfer!DM234,Transfer!DZ234,Transfer!EM234)</f>
        <v>-9999</v>
      </c>
      <c r="AR234" s="22">
        <v>134</v>
      </c>
      <c r="AS234" s="1" t="s">
        <v>1147</v>
      </c>
      <c r="AT234" s="1859">
        <f t="shared" ref="AT234:AX235" si="32">C238-AC234</f>
        <v>0</v>
      </c>
      <c r="AU234" s="1859">
        <f t="shared" si="32"/>
        <v>0</v>
      </c>
      <c r="AV234" s="1859">
        <f t="shared" si="32"/>
        <v>0</v>
      </c>
      <c r="AW234" s="1859">
        <f t="shared" si="32"/>
        <v>0</v>
      </c>
      <c r="AX234" s="1859">
        <f t="shared" si="32"/>
        <v>0</v>
      </c>
      <c r="AY234" s="25">
        <f t="shared" si="27"/>
        <v>0</v>
      </c>
      <c r="AZ234" s="25">
        <f t="shared" si="28"/>
        <v>0</v>
      </c>
      <c r="BA234" s="25">
        <f t="shared" si="29"/>
        <v>0</v>
      </c>
      <c r="BB234" s="25">
        <f t="shared" si="30"/>
        <v>0</v>
      </c>
      <c r="BC234" s="25">
        <f t="shared" si="21"/>
        <v>0</v>
      </c>
      <c r="BD234" s="25">
        <f t="shared" si="21"/>
        <v>0</v>
      </c>
      <c r="BE234" s="25">
        <f t="shared" si="21"/>
        <v>0</v>
      </c>
      <c r="BF234" s="25">
        <f t="shared" si="21"/>
        <v>0</v>
      </c>
      <c r="CA234" s="16">
        <v>-9999</v>
      </c>
      <c r="CB234" s="16">
        <v>-9999</v>
      </c>
      <c r="CC234" s="16">
        <v>-9999</v>
      </c>
      <c r="CD234" s="16">
        <v>-9999</v>
      </c>
      <c r="CE234" s="16">
        <v>-9999</v>
      </c>
      <c r="CF234" s="16">
        <v>-9999</v>
      </c>
      <c r="CG234" s="16">
        <v>-9999</v>
      </c>
      <c r="CH234" s="16">
        <v>-9999</v>
      </c>
      <c r="CI234" s="16">
        <v>-9999</v>
      </c>
      <c r="CJ234" s="16">
        <v>-9999</v>
      </c>
      <c r="CK234" s="16">
        <v>-9999</v>
      </c>
      <c r="CL234" s="16">
        <v>-9999</v>
      </c>
      <c r="CM234" s="16">
        <v>-9999</v>
      </c>
      <c r="CN234" s="16">
        <v>-9999</v>
      </c>
      <c r="CO234" s="16">
        <v>-9999</v>
      </c>
      <c r="CP234" s="16">
        <v>-9999</v>
      </c>
      <c r="CQ234" s="16">
        <v>-9999</v>
      </c>
      <c r="CR234" s="16">
        <v>-9999</v>
      </c>
      <c r="CS234" s="16">
        <v>-9999</v>
      </c>
      <c r="CT234" s="16">
        <v>-9999</v>
      </c>
      <c r="CU234" s="16">
        <v>-9999</v>
      </c>
      <c r="CV234" s="16">
        <v>-9999</v>
      </c>
      <c r="CW234" s="16">
        <v>-9999</v>
      </c>
      <c r="CX234" s="16">
        <v>-9999</v>
      </c>
      <c r="CY234" s="16">
        <v>-9999</v>
      </c>
      <c r="CZ234" s="16">
        <v>-9999</v>
      </c>
      <c r="DA234" s="16">
        <v>-9999</v>
      </c>
      <c r="DB234" s="16">
        <v>-9999</v>
      </c>
      <c r="DC234" s="16">
        <v>-9999</v>
      </c>
      <c r="DD234" s="16">
        <v>-9999</v>
      </c>
      <c r="DE234" s="16">
        <v>-9999</v>
      </c>
      <c r="DF234" s="16">
        <v>-9999</v>
      </c>
      <c r="DG234" s="16">
        <v>-9999</v>
      </c>
      <c r="DH234" s="16">
        <v>-9999</v>
      </c>
      <c r="DI234" s="16">
        <v>-9999</v>
      </c>
      <c r="DJ234" s="16">
        <v>-9999</v>
      </c>
      <c r="DK234" s="16">
        <v>-9999</v>
      </c>
      <c r="DL234" s="16">
        <v>-9999</v>
      </c>
      <c r="DM234" s="16">
        <v>-9999</v>
      </c>
      <c r="DN234" s="16">
        <v>-9999</v>
      </c>
      <c r="DO234" s="16">
        <v>-9999</v>
      </c>
      <c r="DP234" s="16">
        <v>-9999</v>
      </c>
      <c r="DQ234" s="16">
        <v>-9999</v>
      </c>
      <c r="DR234" s="16">
        <v>-9999</v>
      </c>
      <c r="DS234" s="16">
        <v>-9999</v>
      </c>
      <c r="DT234" s="16">
        <v>-9999</v>
      </c>
      <c r="DU234" s="16">
        <v>-9999</v>
      </c>
      <c r="DV234" s="16">
        <v>-9999</v>
      </c>
      <c r="DW234" s="16">
        <v>-9999</v>
      </c>
      <c r="DX234" s="16">
        <v>-9999</v>
      </c>
      <c r="DY234" s="16">
        <v>-9999</v>
      </c>
      <c r="DZ234" s="16">
        <v>-9999</v>
      </c>
      <c r="EA234" s="2196">
        <v>-9999</v>
      </c>
      <c r="EB234" s="2196">
        <v>-9999</v>
      </c>
      <c r="EC234" s="2196">
        <v>-9999</v>
      </c>
      <c r="ED234" s="2196">
        <v>-9999</v>
      </c>
      <c r="EE234" s="2196">
        <v>-9999</v>
      </c>
      <c r="EF234" s="2197">
        <v>-9999</v>
      </c>
      <c r="EG234" s="2197">
        <v>-9999</v>
      </c>
      <c r="EH234" s="2197">
        <v>-9999</v>
      </c>
      <c r="EI234" s="2197">
        <v>-9999</v>
      </c>
      <c r="EJ234" s="2197">
        <v>-9999</v>
      </c>
      <c r="EK234" s="2197">
        <v>-9999</v>
      </c>
      <c r="EL234" s="2197">
        <v>-9999</v>
      </c>
      <c r="EM234" s="2197">
        <v>-9999</v>
      </c>
    </row>
    <row r="235" spans="1:143">
      <c r="A235" s="22">
        <v>135</v>
      </c>
      <c r="B235" s="30" t="s">
        <v>1705</v>
      </c>
      <c r="C235" s="25">
        <v>-9999</v>
      </c>
      <c r="D235" s="25">
        <v>-9999</v>
      </c>
      <c r="E235" s="25">
        <v>-9999</v>
      </c>
      <c r="F235" s="25">
        <v>-9999</v>
      </c>
      <c r="G235" s="25">
        <v>-9999</v>
      </c>
      <c r="H235" s="25">
        <v>-9999</v>
      </c>
      <c r="I235" s="25">
        <v>-9999</v>
      </c>
      <c r="J235" s="25">
        <v>-9999</v>
      </c>
      <c r="K235" s="25">
        <v>-9999</v>
      </c>
      <c r="L235" s="25">
        <v>-9999</v>
      </c>
      <c r="M235" s="25">
        <v>-9999</v>
      </c>
      <c r="N235" s="25">
        <v>-9999</v>
      </c>
      <c r="O235" s="25">
        <v>-9999</v>
      </c>
      <c r="P235" s="26"/>
      <c r="Q235"/>
      <c r="AA235" s="22">
        <v>135</v>
      </c>
      <c r="AB235" s="1040" t="str">
        <f>+B239</f>
        <v>GG ONE-OFF MEASURES (EXPENDITURE SIDE)</v>
      </c>
      <c r="AC235" s="1040">
        <f>CHOOSE(Tables!$U$2,Transfer!CA235,Transfer!CN235,Transfer!DA235,Transfer!DN235,Transfer!EA235)</f>
        <v>-9999</v>
      </c>
      <c r="AD235" s="1040">
        <f>CHOOSE(Tables!$U$2,Transfer!CB235,Transfer!CO235,Transfer!DB235,Transfer!DO235,Transfer!EB235)</f>
        <v>-9999</v>
      </c>
      <c r="AE235" s="1040">
        <f>CHOOSE(Tables!$U$2,Transfer!CC235,Transfer!CP235,Transfer!DC235,Transfer!DP235,Transfer!EC235)</f>
        <v>-9999</v>
      </c>
      <c r="AF235" s="1040">
        <f>CHOOSE(Tables!$U$2,Transfer!CD235,Transfer!CQ235,Transfer!DD235,Transfer!DQ235,Transfer!ED235)</f>
        <v>-9999</v>
      </c>
      <c r="AG235" s="1040">
        <f>CHOOSE(Tables!$U$2,Transfer!CE235,Transfer!CR235,Transfer!DE235,Transfer!DR235,Transfer!EE235)</f>
        <v>-9999</v>
      </c>
      <c r="AH235" s="1040">
        <f>CHOOSE(Tables!$U$2,Transfer!CF235,Transfer!CS235,Transfer!DF235,Transfer!DS235,Transfer!EF235)</f>
        <v>-9999</v>
      </c>
      <c r="AI235" s="1040">
        <f>CHOOSE(Tables!$U$2,Transfer!CG235,Transfer!CT235,Transfer!DG235,Transfer!DT235,Transfer!EG235)</f>
        <v>-9999</v>
      </c>
      <c r="AJ235" s="1040">
        <f>CHOOSE(Tables!$U$2,Transfer!CH235,Transfer!CU235,Transfer!DH235,Transfer!DU235,Transfer!EH235)</f>
        <v>-9999</v>
      </c>
      <c r="AK235" s="1040">
        <f>CHOOSE(Tables!$U$2,Transfer!CI235,Transfer!CV235,Transfer!DI235,Transfer!DV235,Transfer!EI235)</f>
        <v>-9999</v>
      </c>
      <c r="AL235" s="1040">
        <f>CHOOSE(Tables!$U$2,Transfer!CJ235,Transfer!CW235,Transfer!DJ235,Transfer!DW235,Transfer!EJ235)</f>
        <v>-9999</v>
      </c>
      <c r="AM235" s="1040">
        <f>CHOOSE(Tables!$U$2,Transfer!CK235,Transfer!CX235,Transfer!DK235,Transfer!DX235,Transfer!EK235)</f>
        <v>-9999</v>
      </c>
      <c r="AN235" s="1040">
        <f>CHOOSE(Tables!$U$2,Transfer!CL235,Transfer!CY235,Transfer!DL235,Transfer!DY235,Transfer!EL235)</f>
        <v>-9999</v>
      </c>
      <c r="AO235" s="1040">
        <f>CHOOSE(Tables!$U$2,Transfer!CM235,Transfer!CZ235,Transfer!DM235,Transfer!DZ235,Transfer!EM235)</f>
        <v>-9999</v>
      </c>
      <c r="AR235" s="22">
        <v>135</v>
      </c>
      <c r="AS235" s="1" t="s">
        <v>834</v>
      </c>
      <c r="AT235" s="1859">
        <f t="shared" si="32"/>
        <v>0</v>
      </c>
      <c r="AU235" s="1859">
        <f t="shared" si="32"/>
        <v>0</v>
      </c>
      <c r="AV235" s="1859">
        <f t="shared" si="32"/>
        <v>0</v>
      </c>
      <c r="AW235" s="1859">
        <f t="shared" si="32"/>
        <v>0</v>
      </c>
      <c r="AX235" s="1859">
        <f t="shared" si="32"/>
        <v>0</v>
      </c>
      <c r="AY235" s="25">
        <f t="shared" si="27"/>
        <v>0</v>
      </c>
      <c r="AZ235" s="25">
        <f t="shared" si="28"/>
        <v>0</v>
      </c>
      <c r="BA235" s="25">
        <f t="shared" si="29"/>
        <v>0</v>
      </c>
      <c r="BB235" s="25">
        <f t="shared" si="30"/>
        <v>0</v>
      </c>
      <c r="BC235" s="25">
        <f>L235-AL235</f>
        <v>0</v>
      </c>
      <c r="BD235" s="25">
        <f t="shared" si="21"/>
        <v>0</v>
      </c>
      <c r="BE235" s="25">
        <f t="shared" si="21"/>
        <v>0</v>
      </c>
      <c r="BF235" s="25">
        <f t="shared" si="21"/>
        <v>0</v>
      </c>
      <c r="CA235" s="16">
        <v>-9999</v>
      </c>
      <c r="CB235" s="16">
        <v>-9999</v>
      </c>
      <c r="CC235" s="16">
        <v>-9999</v>
      </c>
      <c r="CD235" s="16">
        <v>-9999</v>
      </c>
      <c r="CE235" s="16">
        <v>-9999</v>
      </c>
      <c r="CF235" s="16">
        <v>-9999</v>
      </c>
      <c r="CG235" s="16">
        <v>-9999</v>
      </c>
      <c r="CH235" s="16">
        <v>-9999</v>
      </c>
      <c r="CI235" s="16">
        <v>-9999</v>
      </c>
      <c r="CJ235" s="16">
        <v>-9999</v>
      </c>
      <c r="CK235" s="16">
        <v>-9999</v>
      </c>
      <c r="CL235" s="16">
        <v>-9999</v>
      </c>
      <c r="CM235" s="16">
        <v>-9999</v>
      </c>
      <c r="CN235" s="16">
        <v>-9999</v>
      </c>
      <c r="CO235" s="16">
        <v>-9999</v>
      </c>
      <c r="CP235" s="16">
        <v>-9999</v>
      </c>
      <c r="CQ235" s="16">
        <v>-9999</v>
      </c>
      <c r="CR235" s="16">
        <v>-9999</v>
      </c>
      <c r="CS235" s="16">
        <v>-9999</v>
      </c>
      <c r="CT235" s="16">
        <v>-9999</v>
      </c>
      <c r="CU235" s="16">
        <v>-9999</v>
      </c>
      <c r="CV235" s="16">
        <v>-9999</v>
      </c>
      <c r="CW235" s="16">
        <v>-9999</v>
      </c>
      <c r="CX235" s="16">
        <v>-9999</v>
      </c>
      <c r="CY235" s="16">
        <v>-9999</v>
      </c>
      <c r="CZ235" s="16">
        <v>-9999</v>
      </c>
      <c r="DA235" s="16">
        <v>-9999</v>
      </c>
      <c r="DB235" s="16">
        <v>-9999</v>
      </c>
      <c r="DC235" s="16">
        <v>-9999</v>
      </c>
      <c r="DD235" s="16">
        <v>-9999</v>
      </c>
      <c r="DE235" s="16">
        <v>-9999</v>
      </c>
      <c r="DF235" s="16">
        <v>-9999</v>
      </c>
      <c r="DG235" s="16">
        <v>-9999</v>
      </c>
      <c r="DH235" s="16">
        <v>-9999</v>
      </c>
      <c r="DI235" s="16">
        <v>-9999</v>
      </c>
      <c r="DJ235" s="16">
        <v>-9999</v>
      </c>
      <c r="DK235" s="16">
        <v>-9999</v>
      </c>
      <c r="DL235" s="16">
        <v>-9999</v>
      </c>
      <c r="DM235" s="16">
        <v>-9999</v>
      </c>
      <c r="DN235" s="16">
        <v>-9999</v>
      </c>
      <c r="DO235" s="16">
        <v>-9999</v>
      </c>
      <c r="DP235" s="16">
        <v>-9999</v>
      </c>
      <c r="DQ235" s="16">
        <v>-9999</v>
      </c>
      <c r="DR235" s="16">
        <v>-9999</v>
      </c>
      <c r="DS235" s="16">
        <v>-9999</v>
      </c>
      <c r="DT235" s="16">
        <v>-9999</v>
      </c>
      <c r="DU235" s="16">
        <v>-9999</v>
      </c>
      <c r="DV235" s="16">
        <v>-9999</v>
      </c>
      <c r="DW235" s="16">
        <v>-9999</v>
      </c>
      <c r="DX235" s="16">
        <v>-9999</v>
      </c>
      <c r="DY235" s="16">
        <v>-9999</v>
      </c>
      <c r="DZ235" s="16">
        <v>-9999</v>
      </c>
      <c r="EA235" s="2196">
        <v>-9999</v>
      </c>
      <c r="EB235" s="2196">
        <v>-9999</v>
      </c>
      <c r="EC235" s="2196">
        <v>-9999</v>
      </c>
      <c r="ED235" s="2196">
        <v>-9999</v>
      </c>
      <c r="EE235" s="2196">
        <v>-9999</v>
      </c>
      <c r="EF235" s="2197">
        <v>-9999</v>
      </c>
      <c r="EG235" s="2197">
        <v>-9999</v>
      </c>
      <c r="EH235" s="2197">
        <v>-9999</v>
      </c>
      <c r="EI235" s="2197">
        <v>-9999</v>
      </c>
      <c r="EJ235" s="2197">
        <v>-9999</v>
      </c>
      <c r="EK235" s="2197">
        <v>-9999</v>
      </c>
      <c r="EL235" s="2197">
        <v>-9999</v>
      </c>
      <c r="EM235" s="2197">
        <v>-9999</v>
      </c>
    </row>
    <row r="236" spans="1:143">
      <c r="A236" s="22">
        <v>136</v>
      </c>
      <c r="B236" s="33" t="s">
        <v>2029</v>
      </c>
      <c r="C236" s="1344">
        <f ca="1">OFFSET('VVP2'!F342,0,Last_forecast_year - 3-InputY!$G$3)</f>
        <v>37.426600000000001</v>
      </c>
      <c r="D236" s="1344">
        <f ca="1">OFFSET('VVP2'!G342,0,Last_forecast_year - 3-InputY!$G$3)</f>
        <v>38.668300000000002</v>
      </c>
      <c r="E236" s="3389">
        <f ca="1">OFFSET('VVP2'!H342,0,Last_forecast_year - 3-InputY!$G$3)</f>
        <v>41.779573283186814</v>
      </c>
      <c r="F236" s="1344">
        <f ca="1">OFFSET('VVP2'!I342,0,Last_forecast_year - 3-InputY!$G$3)</f>
        <v>44.211535542887589</v>
      </c>
      <c r="G236" s="1344">
        <f ca="1">OFFSET('VVP2'!J342,0,Last_forecast_year - 3-InputY!$G$3)</f>
        <v>46.676225752244903</v>
      </c>
      <c r="H236" s="25">
        <v>-9999</v>
      </c>
      <c r="I236" s="25">
        <v>-9999</v>
      </c>
      <c r="J236" s="25">
        <v>-9999</v>
      </c>
      <c r="K236" s="25">
        <v>-9999</v>
      </c>
      <c r="L236" s="25">
        <v>-9999</v>
      </c>
      <c r="M236" s="25">
        <v>-9999</v>
      </c>
      <c r="N236" s="25">
        <v>-9999</v>
      </c>
      <c r="O236" s="25">
        <v>-9999</v>
      </c>
      <c r="P236" s="26"/>
      <c r="Q236"/>
      <c r="AA236" s="22">
        <v>136</v>
      </c>
      <c r="AB236" s="1040" t="str">
        <f t="shared" si="31"/>
        <v>GG NOTIFIED GDP FOR PUBLIC FINANCE</v>
      </c>
      <c r="AC236" s="1040">
        <f>CHOOSE(Tables!$U$2,Transfer!CA236,Transfer!CN236,Transfer!DA236,Transfer!DN236,Transfer!EA236)</f>
        <v>106.0063</v>
      </c>
      <c r="AD236" s="1040">
        <f>CHOOSE(Tables!$U$2,Transfer!CB236,Transfer!CO236,Transfer!DB236,Transfer!DO236,Transfer!EB236)</f>
        <v>113.1888</v>
      </c>
      <c r="AE236" s="1040">
        <f>CHOOSE(Tables!$U$2,Transfer!CC236,Transfer!CP236,Transfer!DC236,Transfer!DP236,Transfer!EC236)</f>
        <v>119.46359911455505</v>
      </c>
      <c r="AF236" s="1040">
        <f>CHOOSE(Tables!$U$2,Transfer!CD236,Transfer!CQ236,Transfer!DD236,Transfer!DQ236,Transfer!ED236)</f>
        <v>126.81976170541355</v>
      </c>
      <c r="AG236" s="1040">
        <f>CHOOSE(Tables!$U$2,Transfer!CE236,Transfer!CR236,Transfer!DE236,Transfer!DR236,Transfer!EE236)</f>
        <v>135.44660309470299</v>
      </c>
      <c r="AH236" s="1040">
        <f>CHOOSE(Tables!$U$2,Transfer!CF236,Transfer!CS236,Transfer!DF236,Transfer!DS236,Transfer!EF236)</f>
        <v>-9999</v>
      </c>
      <c r="AI236" s="1040">
        <f>CHOOSE(Tables!$U$2,Transfer!CG236,Transfer!CT236,Transfer!DG236,Transfer!DT236,Transfer!EG236)</f>
        <v>-9999</v>
      </c>
      <c r="AJ236" s="1040">
        <f>CHOOSE(Tables!$U$2,Transfer!CH236,Transfer!CU236,Transfer!DH236,Transfer!DU236,Transfer!EH236)</f>
        <v>-9999</v>
      </c>
      <c r="AK236" s="1040">
        <f>CHOOSE(Tables!$U$2,Transfer!CI236,Transfer!CV236,Transfer!DI236,Transfer!DV236,Transfer!EI236)</f>
        <v>-9999</v>
      </c>
      <c r="AL236" s="1040">
        <f>CHOOSE(Tables!$U$2,Transfer!CJ236,Transfer!CW236,Transfer!DJ236,Transfer!DW236,Transfer!EJ236)</f>
        <v>-9999</v>
      </c>
      <c r="AM236" s="1040">
        <f>CHOOSE(Tables!$U$2,Transfer!CK236,Transfer!CX236,Transfer!DK236,Transfer!DX236,Transfer!EK236)</f>
        <v>-9999</v>
      </c>
      <c r="AN236" s="1040">
        <f>CHOOSE(Tables!$U$2,Transfer!CL236,Transfer!CY236,Transfer!DL236,Transfer!DY236,Transfer!EL236)</f>
        <v>-9999</v>
      </c>
      <c r="AO236" s="1040">
        <f>CHOOSE(Tables!$U$2,Transfer!CM236,Transfer!CZ236,Transfer!DM236,Transfer!DZ236,Transfer!EM236)</f>
        <v>-9999</v>
      </c>
      <c r="AR236" s="22">
        <v>136</v>
      </c>
      <c r="AS236" s="33" t="s">
        <v>2029</v>
      </c>
      <c r="AT236" s="1344">
        <f t="shared" ca="1" si="22"/>
        <v>-68.579700000000003</v>
      </c>
      <c r="AU236" s="1344">
        <f t="shared" ca="1" si="23"/>
        <v>-74.520499999999998</v>
      </c>
      <c r="AV236" s="1344">
        <f t="shared" ca="1" si="24"/>
        <v>-77.684025831368245</v>
      </c>
      <c r="AW236" s="1344">
        <f t="shared" ca="1" si="25"/>
        <v>-82.608226162525966</v>
      </c>
      <c r="AX236" s="1344">
        <f t="shared" ca="1" si="26"/>
        <v>-88.77037734245809</v>
      </c>
      <c r="AY236" s="25">
        <f t="shared" si="27"/>
        <v>0</v>
      </c>
      <c r="AZ236" s="25">
        <f t="shared" si="28"/>
        <v>0</v>
      </c>
      <c r="BA236" s="25">
        <f t="shared" si="29"/>
        <v>0</v>
      </c>
      <c r="BB236" s="25">
        <f t="shared" si="30"/>
        <v>0</v>
      </c>
      <c r="BC236" s="25">
        <f t="shared" si="21"/>
        <v>0</v>
      </c>
      <c r="BD236" s="25">
        <f t="shared" si="21"/>
        <v>0</v>
      </c>
      <c r="BE236" s="25">
        <f t="shared" si="21"/>
        <v>0</v>
      </c>
      <c r="BF236" s="25">
        <f t="shared" si="21"/>
        <v>0</v>
      </c>
      <c r="CA236" s="16">
        <v>34.955599999999997</v>
      </c>
      <c r="CB236" s="16">
        <v>36.437448938926373</v>
      </c>
      <c r="CC236" s="16">
        <v>36.955558035948286</v>
      </c>
      <c r="CD236" s="16">
        <v>38.361707682033831</v>
      </c>
      <c r="CE236" s="16">
        <v>40.816026567531495</v>
      </c>
      <c r="CF236" s="16">
        <v>-9999</v>
      </c>
      <c r="CG236" s="16">
        <v>-9999</v>
      </c>
      <c r="CH236" s="16">
        <v>-9999</v>
      </c>
      <c r="CI236" s="16">
        <v>-9999</v>
      </c>
      <c r="CJ236" s="16">
        <v>-9999</v>
      </c>
      <c r="CK236" s="16">
        <v>-9999</v>
      </c>
      <c r="CL236" s="16">
        <v>-9999</v>
      </c>
      <c r="CM236" s="16">
        <v>-9999</v>
      </c>
      <c r="CN236" s="16">
        <v>33.314</v>
      </c>
      <c r="CO236" s="16">
        <v>34.955599999999997</v>
      </c>
      <c r="CP236" s="16">
        <v>36.669253597439621</v>
      </c>
      <c r="CQ236" s="16">
        <v>38.545990225302575</v>
      </c>
      <c r="CR236" s="16">
        <v>40.569570052671622</v>
      </c>
      <c r="CS236" s="16">
        <v>-9999</v>
      </c>
      <c r="CT236" s="16">
        <v>-9999</v>
      </c>
      <c r="CU236" s="16">
        <v>-9999</v>
      </c>
      <c r="CV236" s="16">
        <v>-9999</v>
      </c>
      <c r="CW236" s="16">
        <v>-9999</v>
      </c>
      <c r="CX236" s="16">
        <v>-9999</v>
      </c>
      <c r="CY236" s="16">
        <v>-9999</v>
      </c>
      <c r="CZ236" s="16">
        <v>-9999</v>
      </c>
      <c r="DA236" s="16">
        <v>34.955599999999997</v>
      </c>
      <c r="DB236" s="16">
        <v>36.308920000000001</v>
      </c>
      <c r="DC236" s="16">
        <v>37.321132205159998</v>
      </c>
      <c r="DD236" s="16">
        <v>39.146154594633884</v>
      </c>
      <c r="DE236" s="16">
        <v>41.205013286783242</v>
      </c>
      <c r="DF236" s="16">
        <v>-9999</v>
      </c>
      <c r="DG236" s="16">
        <v>-9999</v>
      </c>
      <c r="DH236" s="16">
        <v>-9999</v>
      </c>
      <c r="DI236" s="16">
        <v>-9999</v>
      </c>
      <c r="DJ236" s="16">
        <v>-9999</v>
      </c>
      <c r="DK236" s="16">
        <v>-9999</v>
      </c>
      <c r="DL236" s="16">
        <v>-9999</v>
      </c>
      <c r="DM236" s="16">
        <v>-9999</v>
      </c>
      <c r="DN236" s="16">
        <v>33.314</v>
      </c>
      <c r="DO236" s="16">
        <v>34.955599999999997</v>
      </c>
      <c r="DP236" s="16">
        <v>36.670770224967455</v>
      </c>
      <c r="DQ236" s="16">
        <v>38.583628883213208</v>
      </c>
      <c r="DR236" s="16">
        <v>40.578193851845448</v>
      </c>
      <c r="DS236" s="16">
        <v>-9999</v>
      </c>
      <c r="DT236" s="16">
        <v>-9999</v>
      </c>
      <c r="DU236" s="16">
        <v>-9999</v>
      </c>
      <c r="DV236" s="16">
        <v>-9999</v>
      </c>
      <c r="DW236" s="16">
        <v>-9999</v>
      </c>
      <c r="DX236" s="16">
        <v>-9999</v>
      </c>
      <c r="DY236" s="16">
        <v>-9999</v>
      </c>
      <c r="DZ236" s="16">
        <v>-9999</v>
      </c>
      <c r="EA236" s="2196">
        <v>106.0063</v>
      </c>
      <c r="EB236" s="2196">
        <v>113.1888</v>
      </c>
      <c r="EC236" s="2196">
        <v>119.46359911455505</v>
      </c>
      <c r="ED236" s="2196">
        <v>126.81976170541355</v>
      </c>
      <c r="EE236" s="2196">
        <v>135.44660309470299</v>
      </c>
      <c r="EF236" s="2197">
        <v>-9999</v>
      </c>
      <c r="EG236" s="2197">
        <v>-9999</v>
      </c>
      <c r="EH236" s="2197">
        <v>-9999</v>
      </c>
      <c r="EI236" s="2197">
        <v>-9999</v>
      </c>
      <c r="EJ236" s="2197">
        <v>-9999</v>
      </c>
      <c r="EK236" s="2197">
        <v>-9999</v>
      </c>
      <c r="EL236" s="2197">
        <v>-9999</v>
      </c>
      <c r="EM236" s="2197">
        <v>-9999</v>
      </c>
    </row>
    <row r="237" spans="1:143">
      <c r="A237" s="22">
        <v>137</v>
      </c>
      <c r="B237" s="33" t="s">
        <v>2030</v>
      </c>
      <c r="C237" s="24">
        <f ca="1">OFFSET(Sector1!F589,0,Last_forecast_year - 3-InputY!$G$3)</f>
        <v>-9.1620000000000035E-2</v>
      </c>
      <c r="D237" s="24">
        <f ca="1">OFFSET(Sector1!G589,0,Last_forecast_year - 3-InputY!$G$3)</f>
        <v>0.10298000000000251</v>
      </c>
      <c r="E237" s="3302">
        <f ca="1">OFFSET(Sector1!H589,0,Last_forecast_year - 3-InputY!$G$3)</f>
        <v>0.33510809708063016</v>
      </c>
      <c r="F237" s="24">
        <f ca="1">OFFSET(Sector1!I589,0,Last_forecast_year - 3-InputY!$G$3)</f>
        <v>0.30107552186732556</v>
      </c>
      <c r="G237" s="24">
        <f ca="1">OFFSET(Sector1!J589,0,Last_forecast_year - 3-InputY!$G$3)</f>
        <v>0.28092927478639473</v>
      </c>
      <c r="H237" s="25">
        <v>-9999</v>
      </c>
      <c r="I237" s="25">
        <v>-9999</v>
      </c>
      <c r="J237" s="25">
        <v>-9999</v>
      </c>
      <c r="K237" s="25">
        <v>-9999</v>
      </c>
      <c r="L237" s="25">
        <v>-9999</v>
      </c>
      <c r="M237" s="25">
        <v>-9999</v>
      </c>
      <c r="N237" s="25">
        <v>-9999</v>
      </c>
      <c r="O237" s="25">
        <v>-9999</v>
      </c>
      <c r="P237"/>
      <c r="Q237"/>
      <c r="AA237" s="22">
        <v>137</v>
      </c>
      <c r="AB237" s="1040" t="str">
        <f t="shared" si="31"/>
        <v>GG EDP REPORTED DEFICIT / SURPLUS</v>
      </c>
      <c r="AC237" s="1040">
        <f>CHOOSE(Tables!$U$2,Transfer!CA237,Transfer!CN237,Transfer!DA237,Transfer!DN237,Transfer!EA237)</f>
        <v>-5.8488999999999969</v>
      </c>
      <c r="AD237" s="1040">
        <f>CHOOSE(Tables!$U$2,Transfer!CB237,Transfer!CO237,Transfer!DB237,Transfer!DO237,Transfer!EB237)</f>
        <v>-3.6925899999999983</v>
      </c>
      <c r="AE237" s="1040">
        <f>CHOOSE(Tables!$U$2,Transfer!CC237,Transfer!CP237,Transfer!DC237,Transfer!DP237,Transfer!EC237)</f>
        <v>-3.5473280279061226</v>
      </c>
      <c r="AF237" s="1040">
        <f>CHOOSE(Tables!$U$2,Transfer!CD237,Transfer!CQ237,Transfer!DD237,Transfer!DQ237,Transfer!ED237)</f>
        <v>-3.5815459749401914</v>
      </c>
      <c r="AG237" s="1040">
        <f>CHOOSE(Tables!$U$2,Transfer!CE237,Transfer!CR237,Transfer!DE237,Transfer!DR237,Transfer!EE237)</f>
        <v>-3.2718985514797896</v>
      </c>
      <c r="AH237" s="1040">
        <f>CHOOSE(Tables!$U$2,Transfer!CF237,Transfer!CS237,Transfer!DF237,Transfer!DS237,Transfer!EF237)</f>
        <v>-9999</v>
      </c>
      <c r="AI237" s="1040">
        <f>CHOOSE(Tables!$U$2,Transfer!CG237,Transfer!CT237,Transfer!DG237,Transfer!DT237,Transfer!EG237)</f>
        <v>-9999</v>
      </c>
      <c r="AJ237" s="1040">
        <f>CHOOSE(Tables!$U$2,Transfer!CH237,Transfer!CU237,Transfer!DH237,Transfer!DU237,Transfer!EH237)</f>
        <v>-9999</v>
      </c>
      <c r="AK237" s="1040">
        <f>CHOOSE(Tables!$U$2,Transfer!CI237,Transfer!CV237,Transfer!DI237,Transfer!DV237,Transfer!EI237)</f>
        <v>-9999</v>
      </c>
      <c r="AL237" s="1040">
        <f>CHOOSE(Tables!$U$2,Transfer!CJ237,Transfer!CW237,Transfer!DJ237,Transfer!DW237,Transfer!EJ237)</f>
        <v>-9999</v>
      </c>
      <c r="AM237" s="1040">
        <f>CHOOSE(Tables!$U$2,Transfer!CK237,Transfer!CX237,Transfer!DK237,Transfer!DX237,Transfer!EK237)</f>
        <v>-9999</v>
      </c>
      <c r="AN237" s="1040">
        <f>CHOOSE(Tables!$U$2,Transfer!CL237,Transfer!CY237,Transfer!DL237,Transfer!DY237,Transfer!EL237)</f>
        <v>-9999</v>
      </c>
      <c r="AO237" s="1040">
        <f>CHOOSE(Tables!$U$2,Transfer!CM237,Transfer!CZ237,Transfer!DM237,Transfer!DZ237,Transfer!EM237)</f>
        <v>-9999</v>
      </c>
      <c r="AR237" s="22">
        <v>137</v>
      </c>
      <c r="AS237" s="33" t="s">
        <v>2030</v>
      </c>
      <c r="AT237" s="24">
        <f t="shared" ca="1" si="22"/>
        <v>5.7572799999999971</v>
      </c>
      <c r="AU237" s="24">
        <f t="shared" ca="1" si="23"/>
        <v>3.7955700000000006</v>
      </c>
      <c r="AV237" s="24">
        <f t="shared" ca="1" si="24"/>
        <v>3.8824361249867527</v>
      </c>
      <c r="AW237" s="24">
        <f t="shared" ca="1" si="25"/>
        <v>3.8826214968075172</v>
      </c>
      <c r="AX237" s="24">
        <f t="shared" ca="1" si="26"/>
        <v>3.5528278262661841</v>
      </c>
      <c r="AY237" s="25">
        <f t="shared" si="27"/>
        <v>0</v>
      </c>
      <c r="AZ237" s="25">
        <f t="shared" si="28"/>
        <v>0</v>
      </c>
      <c r="BA237" s="25">
        <f t="shared" si="29"/>
        <v>0</v>
      </c>
      <c r="BB237" s="25">
        <f t="shared" si="30"/>
        <v>0</v>
      </c>
      <c r="BC237" s="25">
        <f t="shared" si="21"/>
        <v>0</v>
      </c>
      <c r="BD237" s="25">
        <f t="shared" si="21"/>
        <v>0</v>
      </c>
      <c r="BE237" s="25">
        <f t="shared" si="21"/>
        <v>0</v>
      </c>
      <c r="BF237" s="25">
        <f t="shared" si="21"/>
        <v>0</v>
      </c>
      <c r="CA237" s="16">
        <v>-0.91693000000000358</v>
      </c>
      <c r="CB237" s="16">
        <v>-0.24295999999999807</v>
      </c>
      <c r="CC237" s="16">
        <v>-0.60360909792233386</v>
      </c>
      <c r="CD237" s="16">
        <v>-0.77143849991522084</v>
      </c>
      <c r="CE237" s="16">
        <v>-0.51072482766986305</v>
      </c>
      <c r="CF237" s="16">
        <v>-9999</v>
      </c>
      <c r="CG237" s="16">
        <v>-9999</v>
      </c>
      <c r="CH237" s="16">
        <v>-9999</v>
      </c>
      <c r="CI237" s="16">
        <v>-9999</v>
      </c>
      <c r="CJ237" s="16">
        <v>-9999</v>
      </c>
      <c r="CK237" s="16">
        <v>-9999</v>
      </c>
      <c r="CL237" s="16">
        <v>-9999</v>
      </c>
      <c r="CM237" s="16">
        <v>-9999</v>
      </c>
      <c r="CN237" s="16">
        <v>-1.0494352199999999</v>
      </c>
      <c r="CO237" s="16">
        <v>-0.91615500999999933</v>
      </c>
      <c r="CP237" s="16">
        <v>-0.31460886246494058</v>
      </c>
      <c r="CQ237" s="16">
        <v>-0.48758637304438812</v>
      </c>
      <c r="CR237" s="16">
        <v>-0.31000593568643908</v>
      </c>
      <c r="CS237" s="16">
        <v>-9999</v>
      </c>
      <c r="CT237" s="16">
        <v>-9999</v>
      </c>
      <c r="CU237" s="16">
        <v>-9999</v>
      </c>
      <c r="CV237" s="16">
        <v>-9999</v>
      </c>
      <c r="CW237" s="16">
        <v>-9999</v>
      </c>
      <c r="CX237" s="16">
        <v>-9999</v>
      </c>
      <c r="CY237" s="16">
        <v>-9999</v>
      </c>
      <c r="CZ237" s="16">
        <v>-9999</v>
      </c>
      <c r="DA237" s="16">
        <v>-0.91693000000000335</v>
      </c>
      <c r="DB237" s="16">
        <v>-0.24205000000000054</v>
      </c>
      <c r="DC237" s="16">
        <v>-0.52322968181611806</v>
      </c>
      <c r="DD237" s="16">
        <v>-0.17920562681575403</v>
      </c>
      <c r="DE237" s="16">
        <v>0.25976622652517745</v>
      </c>
      <c r="DF237" s="16">
        <v>-9999</v>
      </c>
      <c r="DG237" s="16">
        <v>-9999</v>
      </c>
      <c r="DH237" s="16">
        <v>-9999</v>
      </c>
      <c r="DI237" s="16">
        <v>-9999</v>
      </c>
      <c r="DJ237" s="16">
        <v>-9999</v>
      </c>
      <c r="DK237" s="16">
        <v>-9999</v>
      </c>
      <c r="DL237" s="16">
        <v>-9999</v>
      </c>
      <c r="DM237" s="16">
        <v>-9999</v>
      </c>
      <c r="DN237" s="16">
        <v>-1.0489800000000002</v>
      </c>
      <c r="DO237" s="16">
        <v>-0.91693000000000335</v>
      </c>
      <c r="DP237" s="16">
        <v>-0.2556114672847043</v>
      </c>
      <c r="DQ237" s="16">
        <v>-0.57574270656632054</v>
      </c>
      <c r="DR237" s="16">
        <v>-0.35693109563685943</v>
      </c>
      <c r="DS237" s="16">
        <v>-9999</v>
      </c>
      <c r="DT237" s="16">
        <v>-9999</v>
      </c>
      <c r="DU237" s="16">
        <v>-9999</v>
      </c>
      <c r="DV237" s="16">
        <v>-9999</v>
      </c>
      <c r="DW237" s="16">
        <v>-9999</v>
      </c>
      <c r="DX237" s="16">
        <v>-9999</v>
      </c>
      <c r="DY237" s="16">
        <v>-9999</v>
      </c>
      <c r="DZ237" s="16">
        <v>-9999</v>
      </c>
      <c r="EA237" s="2196">
        <v>-5.8488999999999969</v>
      </c>
      <c r="EB237" s="2196">
        <v>-3.6925899999999983</v>
      </c>
      <c r="EC237" s="2196">
        <v>-3.5473280279061226</v>
      </c>
      <c r="ED237" s="2196">
        <v>-3.5815459749401914</v>
      </c>
      <c r="EE237" s="2196">
        <v>-3.2718985514797896</v>
      </c>
      <c r="EF237" s="2197">
        <v>-9999</v>
      </c>
      <c r="EG237" s="2197">
        <v>-9999</v>
      </c>
      <c r="EH237" s="2197">
        <v>-9999</v>
      </c>
      <c r="EI237" s="2197">
        <v>-9999</v>
      </c>
      <c r="EJ237" s="2197">
        <v>-9999</v>
      </c>
      <c r="EK237" s="2197">
        <v>-9999</v>
      </c>
      <c r="EL237" s="2197">
        <v>-9999</v>
      </c>
      <c r="EM237" s="2197">
        <v>-9999</v>
      </c>
    </row>
    <row r="238" spans="1:143">
      <c r="A238" s="22">
        <v>138</v>
      </c>
      <c r="B238" s="29" t="s">
        <v>799</v>
      </c>
      <c r="C238" s="20">
        <f>IF(ISNUMBER(HLOOKUP(C$100,InputDFM!$2:$8,MATCH(Transfer!$A238&amp;" "&amp;Transfer!$B238,InputDFM!$CB$3:$CB$8,0)+1,FALSE)),HLOOKUP(C$100,InputDFM!$2:$8,MATCH(
Transfer!$A238&amp;" "&amp;Transfer!$B238,InputDFM!$CB$3:$CB$8,0)+1,FALSE),-9999)</f>
        <v>-9999</v>
      </c>
      <c r="D238" s="24">
        <f>IF(ISNUMBER(HLOOKUP(D$100,InputDFM!$2:$8,MATCH(Transfer!$A238&amp;" "&amp;Transfer!$B238,InputDFM!$CB$3:$CB$8,0)+1,FALSE)),HLOOKUP(D$100,InputDFM!$2:$8,MATCH(
Transfer!$A238&amp;" "&amp;Transfer!$B238,InputDFM!$CB$3:$CB$8,0)+1,FALSE),-9999)</f>
        <v>-9999</v>
      </c>
      <c r="E238" s="24">
        <f>IF(ISNUMBER(HLOOKUP(E$100,InputDFM!$2:$8,MATCH(Transfer!$A238&amp;" "&amp;Transfer!$B238,InputDFM!$CB$3:$CB$8,0)+1,FALSE)),HLOOKUP(E$100,InputDFM!$2:$8,MATCH(
Transfer!$A238&amp;" "&amp;Transfer!$B238,InputDFM!$CB$3:$CB$8,0)+1,FALSE),-9999)</f>
        <v>-9999</v>
      </c>
      <c r="F238" s="24">
        <f>IF(ISNUMBER(HLOOKUP(F$100,InputDFM!$2:$8,MATCH(Transfer!$A238&amp;" "&amp;Transfer!$B238,InputDFM!$CB$3:$CB$8,0)+1,FALSE)),HLOOKUP(F$100,InputDFM!$2:$8,MATCH(
Transfer!$A238&amp;" "&amp;Transfer!$B238,InputDFM!$CB$3:$CB$8,0)+1,FALSE),-9999)</f>
        <v>-9999</v>
      </c>
      <c r="G238" s="24">
        <f>IF(ISNUMBER(HLOOKUP(G$100,InputDFM!$2:$8,MATCH(Transfer!$A238&amp;" "&amp;Transfer!$B238,InputDFM!$CB$3:$CB$8,0)+1,FALSE)),HLOOKUP(G$100,InputDFM!$2:$8,MATCH(
Transfer!$A238&amp;" "&amp;Transfer!$B238,InputDFM!$CB$3:$CB$8,0)+1,FALSE),-9999)</f>
        <v>-9999</v>
      </c>
      <c r="H238" s="25">
        <v>-9999</v>
      </c>
      <c r="I238" s="25">
        <v>-9999</v>
      </c>
      <c r="J238" s="25">
        <v>-9999</v>
      </c>
      <c r="K238" s="25">
        <v>-9999</v>
      </c>
      <c r="L238" s="25">
        <v>-9999</v>
      </c>
      <c r="M238" s="25">
        <v>-9999</v>
      </c>
      <c r="N238" s="25">
        <v>-9999</v>
      </c>
      <c r="O238" s="25">
        <v>-9999</v>
      </c>
      <c r="P238" s="26"/>
      <c r="Q238"/>
      <c r="AA238" s="22">
        <v>138</v>
      </c>
      <c r="AB238" s="1040" t="e">
        <f>+#REF!</f>
        <v>#REF!</v>
      </c>
      <c r="AC238" s="1040">
        <f>CHOOSE(Tables!$U$2,Transfer!CA238,Transfer!CN238,Transfer!DA238,Transfer!DN238,Transfer!EA238)</f>
        <v>0</v>
      </c>
      <c r="AD238" s="1040">
        <f>CHOOSE(Tables!$U$2,Transfer!CB238,Transfer!CO238,Transfer!DB238,Transfer!DO238,Transfer!EB238)</f>
        <v>8.6999999999999994E-2</v>
      </c>
      <c r="AE238" s="1040">
        <f>CHOOSE(Tables!$U$2,Transfer!CC238,Transfer!CP238,Transfer!DC238,Transfer!DP238,Transfer!EC238)</f>
        <v>0</v>
      </c>
      <c r="AF238" s="1040">
        <f>CHOOSE(Tables!$U$2,Transfer!CD238,Transfer!CQ238,Transfer!DD238,Transfer!DQ238,Transfer!ED238)</f>
        <v>0</v>
      </c>
      <c r="AG238" s="1040">
        <f>CHOOSE(Tables!$U$2,Transfer!CE238,Transfer!CR238,Transfer!DE238,Transfer!DR238,Transfer!EE238)</f>
        <v>0</v>
      </c>
      <c r="AH238" s="1040">
        <f>CHOOSE(Tables!$U$2,Transfer!CF238,Transfer!CS238,Transfer!DF238,Transfer!DS238,Transfer!EF238)</f>
        <v>-9999</v>
      </c>
      <c r="AI238" s="1040">
        <f>CHOOSE(Tables!$U$2,Transfer!CG238,Transfer!CT238,Transfer!DG238,Transfer!DT238,Transfer!EG238)</f>
        <v>-9999</v>
      </c>
      <c r="AJ238" s="1040">
        <f>CHOOSE(Tables!$U$2,Transfer!CH238,Transfer!CU238,Transfer!DH238,Transfer!DU238,Transfer!EH238)</f>
        <v>-9999</v>
      </c>
      <c r="AK238" s="1040">
        <f>CHOOSE(Tables!$U$2,Transfer!CI238,Transfer!CV238,Transfer!DI238,Transfer!DV238,Transfer!EI238)</f>
        <v>-9999</v>
      </c>
      <c r="AL238" s="1040">
        <f>CHOOSE(Tables!$U$2,Transfer!CJ238,Transfer!CW238,Transfer!DJ238,Transfer!DW238,Transfer!EJ238)</f>
        <v>-9999</v>
      </c>
      <c r="AM238" s="1040">
        <f>CHOOSE(Tables!$U$2,Transfer!CK238,Transfer!CX238,Transfer!DK238,Transfer!DX238,Transfer!EK238)</f>
        <v>-9999</v>
      </c>
      <c r="AN238" s="1040">
        <f>CHOOSE(Tables!$U$2,Transfer!CL238,Transfer!CY238,Transfer!DL238,Transfer!DY238,Transfer!EL238)</f>
        <v>-9999</v>
      </c>
      <c r="AO238" s="1040">
        <f>CHOOSE(Tables!$U$2,Transfer!CM238,Transfer!CZ238,Transfer!DM238,Transfer!DZ238,Transfer!EM238)</f>
        <v>-9999</v>
      </c>
      <c r="AR238" s="22">
        <v>138</v>
      </c>
      <c r="AS238" s="1" t="s">
        <v>835</v>
      </c>
      <c r="AT238" s="1344" t="e">
        <f>#REF!-AC238</f>
        <v>#REF!</v>
      </c>
      <c r="AU238" s="1344" t="e">
        <f>#REF!-AD238</f>
        <v>#REF!</v>
      </c>
      <c r="AV238" s="1344" t="e">
        <f>#REF!-AE238</f>
        <v>#REF!</v>
      </c>
      <c r="AW238" s="1344" t="e">
        <f>#REF!-AF238</f>
        <v>#REF!</v>
      </c>
      <c r="AX238" s="1344" t="e">
        <f>#REF!-AG238</f>
        <v>#REF!</v>
      </c>
      <c r="AY238" s="25">
        <f t="shared" si="27"/>
        <v>0</v>
      </c>
      <c r="AZ238" s="25">
        <f t="shared" si="28"/>
        <v>0</v>
      </c>
      <c r="BA238" s="25">
        <f t="shared" si="29"/>
        <v>0</v>
      </c>
      <c r="BB238" s="25">
        <f t="shared" si="30"/>
        <v>0</v>
      </c>
      <c r="BC238" s="25">
        <f t="shared" si="21"/>
        <v>0</v>
      </c>
      <c r="BD238" s="25">
        <f t="shared" si="21"/>
        <v>0</v>
      </c>
      <c r="BE238" s="25">
        <f t="shared" si="21"/>
        <v>0</v>
      </c>
      <c r="BF238" s="25">
        <f t="shared" si="21"/>
        <v>0</v>
      </c>
      <c r="CA238" s="16">
        <v>-9999</v>
      </c>
      <c r="CB238" s="16">
        <v>0.50970000000000004</v>
      </c>
      <c r="CC238" s="16">
        <v>0.17799999999999999</v>
      </c>
      <c r="CD238" s="16">
        <v>9.0999999999999998E-2</v>
      </c>
      <c r="CE238" s="16">
        <v>0</v>
      </c>
      <c r="CF238" s="16">
        <v>-9999</v>
      </c>
      <c r="CG238" s="16">
        <v>-9999</v>
      </c>
      <c r="CH238" s="16">
        <v>-9999</v>
      </c>
      <c r="CI238" s="16">
        <v>-9999</v>
      </c>
      <c r="CJ238" s="16">
        <v>-9999</v>
      </c>
      <c r="CK238" s="16">
        <v>-9999</v>
      </c>
      <c r="CL238" s="16">
        <v>-9999</v>
      </c>
      <c r="CM238" s="16">
        <v>-9999</v>
      </c>
      <c r="CN238" s="16">
        <v>2.8527571825764601E-2</v>
      </c>
      <c r="CO238" s="16">
        <v>0.18639365152919368</v>
      </c>
      <c r="CP238" s="16">
        <v>0.56620713623725683</v>
      </c>
      <c r="CQ238" s="16">
        <v>0.10310472659870251</v>
      </c>
      <c r="CR238" s="16">
        <v>5.8503243744207602E-2</v>
      </c>
      <c r="CS238" s="16">
        <v>-9999</v>
      </c>
      <c r="CT238" s="16">
        <v>-9999</v>
      </c>
      <c r="CU238" s="16">
        <v>-9999</v>
      </c>
      <c r="CV238" s="16">
        <v>-9999</v>
      </c>
      <c r="CW238" s="16">
        <v>-9999</v>
      </c>
      <c r="CX238" s="16">
        <v>-9999</v>
      </c>
      <c r="CY238" s="16">
        <v>-9999</v>
      </c>
      <c r="CZ238" s="16">
        <v>-9999</v>
      </c>
      <c r="DA238" s="16">
        <v>0.18639365152919368</v>
      </c>
      <c r="DB238" s="16">
        <v>0.50970000000000004</v>
      </c>
      <c r="DC238" s="16">
        <v>0.13100000000000001</v>
      </c>
      <c r="DD238" s="16">
        <v>7.85E-2</v>
      </c>
      <c r="DE238" s="16">
        <v>7.85E-2</v>
      </c>
      <c r="DF238" s="16">
        <v>-9999</v>
      </c>
      <c r="DG238" s="16">
        <v>-9999</v>
      </c>
      <c r="DH238" s="16">
        <v>-9999</v>
      </c>
      <c r="DI238" s="16">
        <v>-9999</v>
      </c>
      <c r="DJ238" s="16">
        <v>-9999</v>
      </c>
      <c r="DK238" s="16">
        <v>-9999</v>
      </c>
      <c r="DL238" s="16">
        <v>-9999</v>
      </c>
      <c r="DM238" s="16">
        <v>-9999</v>
      </c>
      <c r="DN238" s="16">
        <v>2.8527571825764601E-2</v>
      </c>
      <c r="DO238" s="16">
        <v>0.18639365152919368</v>
      </c>
      <c r="DP238" s="16">
        <v>0.56620713623725683</v>
      </c>
      <c r="DQ238" s="16">
        <v>0.10310472659870251</v>
      </c>
      <c r="DR238" s="16">
        <v>5.8503243744207602E-2</v>
      </c>
      <c r="DS238" s="16">
        <v>-9999</v>
      </c>
      <c r="DT238" s="16">
        <v>-9999</v>
      </c>
      <c r="DU238" s="16">
        <v>-9999</v>
      </c>
      <c r="DV238" s="16">
        <v>-9999</v>
      </c>
      <c r="DW238" s="16">
        <v>-9999</v>
      </c>
      <c r="DX238" s="16">
        <v>-9999</v>
      </c>
      <c r="DY238" s="16">
        <v>-9999</v>
      </c>
      <c r="DZ238" s="16">
        <v>-9999</v>
      </c>
      <c r="EA238" s="2196">
        <v>0</v>
      </c>
      <c r="EB238" s="2196">
        <v>8.6999999999999994E-2</v>
      </c>
      <c r="EC238" s="2196">
        <v>0</v>
      </c>
      <c r="ED238" s="2196">
        <v>0</v>
      </c>
      <c r="EE238" s="2196">
        <v>0</v>
      </c>
      <c r="EF238" s="2197">
        <v>-9999</v>
      </c>
      <c r="EG238" s="2197">
        <v>-9999</v>
      </c>
      <c r="EH238" s="2197">
        <v>-9999</v>
      </c>
      <c r="EI238" s="2197">
        <v>-9999</v>
      </c>
      <c r="EJ238" s="2197">
        <v>-9999</v>
      </c>
      <c r="EK238" s="2197">
        <v>-9999</v>
      </c>
      <c r="EL238" s="2197">
        <v>-9999</v>
      </c>
      <c r="EM238" s="2197">
        <v>-9999</v>
      </c>
    </row>
    <row r="239" spans="1:143">
      <c r="A239" s="22">
        <v>139</v>
      </c>
      <c r="B239" s="1" t="s">
        <v>800</v>
      </c>
      <c r="C239" s="20">
        <f>IF(ISNUMBER(HLOOKUP(C$100,InputDFM!$2:$8,MATCH(Transfer!$A239&amp;" "&amp;Transfer!$B239,InputDFM!$CB$3:$CB$8,0)+1,FALSE)),HLOOKUP(C$100,InputDFM!$2:$8,MATCH(
Transfer!$A239&amp;" "&amp;Transfer!$B239,InputDFM!$CB$3:$CB$8,0)+1,FALSE),-9999)</f>
        <v>-9999</v>
      </c>
      <c r="D239" s="24">
        <f>IF(ISNUMBER(HLOOKUP(D$100,InputDFM!$2:$8,MATCH(Transfer!$A239&amp;" "&amp;Transfer!$B239,InputDFM!$CB$3:$CB$8,0)+1,FALSE)),HLOOKUP(D$100,InputDFM!$2:$8,MATCH(
Transfer!$A239&amp;" "&amp;Transfer!$B239,InputDFM!$CB$3:$CB$8,0)+1,FALSE),-9999)</f>
        <v>-9999</v>
      </c>
      <c r="E239" s="24">
        <f>IF(ISNUMBER(HLOOKUP(E$100,InputDFM!$2:$8,MATCH(Transfer!$A239&amp;" "&amp;Transfer!$B239,InputDFM!$CB$3:$CB$8,0)+1,FALSE)),HLOOKUP(E$100,InputDFM!$2:$8,MATCH(
Transfer!$A239&amp;" "&amp;Transfer!$B239,InputDFM!$CB$3:$CB$8,0)+1,FALSE),-9999)</f>
        <v>-9999</v>
      </c>
      <c r="F239" s="24">
        <f>IF(ISNUMBER(HLOOKUP(F$100,InputDFM!$2:$8,MATCH(Transfer!$A239&amp;" "&amp;Transfer!$B239,InputDFM!$CB$3:$CB$8,0)+1,FALSE)),HLOOKUP(F$100,InputDFM!$2:$8,MATCH(
Transfer!$A239&amp;" "&amp;Transfer!$B239,InputDFM!$CB$3:$CB$8,0)+1,FALSE),-9999)</f>
        <v>-9999</v>
      </c>
      <c r="G239" s="24">
        <f>IF(ISNUMBER(HLOOKUP(G$100,InputDFM!$2:$8,MATCH(Transfer!$A239&amp;" "&amp;Transfer!$B239,InputDFM!$CB$3:$CB$8,0)+1,FALSE)),HLOOKUP(G$100,InputDFM!$2:$8,MATCH(
Transfer!$A239&amp;" "&amp;Transfer!$B239,InputDFM!$CB$3:$CB$8,0)+1,FALSE),-9999)</f>
        <v>-9999</v>
      </c>
      <c r="H239" s="25">
        <v>-9999</v>
      </c>
      <c r="I239" s="25">
        <v>-9999</v>
      </c>
      <c r="J239" s="25">
        <v>-9999</v>
      </c>
      <c r="K239" s="25">
        <v>-9999</v>
      </c>
      <c r="L239" s="25">
        <v>-9999</v>
      </c>
      <c r="M239" s="25">
        <v>-9999</v>
      </c>
      <c r="N239" s="25">
        <v>-9999</v>
      </c>
      <c r="O239" s="25">
        <v>-9999</v>
      </c>
      <c r="P239" s="26"/>
      <c r="Q239"/>
      <c r="AA239" s="22">
        <v>139</v>
      </c>
      <c r="AB239" s="1040" t="e">
        <f>+#REF!</f>
        <v>#REF!</v>
      </c>
      <c r="AC239" s="1040">
        <f>CHOOSE(Tables!$U$2,Transfer!CA239,Transfer!CN239,Transfer!DA239,Transfer!DN239,Transfer!EA239)</f>
        <v>0</v>
      </c>
      <c r="AD239" s="1040">
        <f>CHOOSE(Tables!$U$2,Transfer!CB239,Transfer!CO239,Transfer!DB239,Transfer!DO239,Transfer!EB239)</f>
        <v>0</v>
      </c>
      <c r="AE239" s="1040">
        <f>CHOOSE(Tables!$U$2,Transfer!CC239,Transfer!CP239,Transfer!DC239,Transfer!DP239,Transfer!EC239)</f>
        <v>-0.217</v>
      </c>
      <c r="AF239" s="1040">
        <f>CHOOSE(Tables!$U$2,Transfer!CD239,Transfer!CQ239,Transfer!DD239,Transfer!DQ239,Transfer!ED239)</f>
        <v>0</v>
      </c>
      <c r="AG239" s="1040">
        <f>CHOOSE(Tables!$U$2,Transfer!CE239,Transfer!CR239,Transfer!DE239,Transfer!DR239,Transfer!EE239)</f>
        <v>0</v>
      </c>
      <c r="AH239" s="1040">
        <f>CHOOSE(Tables!$U$2,Transfer!CF239,Transfer!CS239,Transfer!DF239,Transfer!DS239,Transfer!EF239)</f>
        <v>-9999</v>
      </c>
      <c r="AI239" s="1040">
        <f>CHOOSE(Tables!$U$2,Transfer!CG239,Transfer!CT239,Transfer!DG239,Transfer!DT239,Transfer!EG239)</f>
        <v>-9999</v>
      </c>
      <c r="AJ239" s="1040">
        <f>CHOOSE(Tables!$U$2,Transfer!CH239,Transfer!CU239,Transfer!DH239,Transfer!DU239,Transfer!EH239)</f>
        <v>-9999</v>
      </c>
      <c r="AK239" s="1040">
        <f>CHOOSE(Tables!$U$2,Transfer!CI239,Transfer!CV239,Transfer!DI239,Transfer!DV239,Transfer!EI239)</f>
        <v>-9999</v>
      </c>
      <c r="AL239" s="1040">
        <f>CHOOSE(Tables!$U$2,Transfer!CJ239,Transfer!CW239,Transfer!DJ239,Transfer!DW239,Transfer!EJ239)</f>
        <v>-9999</v>
      </c>
      <c r="AM239" s="1040">
        <f>CHOOSE(Tables!$U$2,Transfer!CK239,Transfer!CX239,Transfer!DK239,Transfer!DX239,Transfer!EK239)</f>
        <v>-9999</v>
      </c>
      <c r="AN239" s="1040">
        <f>CHOOSE(Tables!$U$2,Transfer!CL239,Transfer!CY239,Transfer!DL239,Transfer!DY239,Transfer!EL239)</f>
        <v>-9999</v>
      </c>
      <c r="AO239" s="1040">
        <f>CHOOSE(Tables!$U$2,Transfer!CM239,Transfer!CZ239,Transfer!DM239,Transfer!DZ239,Transfer!EM239)</f>
        <v>-9999</v>
      </c>
      <c r="AR239" s="22">
        <v>139</v>
      </c>
      <c r="AS239" s="1" t="s">
        <v>836</v>
      </c>
      <c r="AT239" s="1344" t="e">
        <f>#REF!-AC239</f>
        <v>#REF!</v>
      </c>
      <c r="AU239" s="1344" t="e">
        <f>#REF!-AD239</f>
        <v>#REF!</v>
      </c>
      <c r="AV239" s="1344" t="e">
        <f>#REF!-AE239</f>
        <v>#REF!</v>
      </c>
      <c r="AW239" s="1344" t="e">
        <f>#REF!-AF239</f>
        <v>#REF!</v>
      </c>
      <c r="AX239" s="1344" t="e">
        <f>#REF!-AG239</f>
        <v>#REF!</v>
      </c>
      <c r="AY239" s="25">
        <f t="shared" si="27"/>
        <v>0</v>
      </c>
      <c r="AZ239" s="25">
        <f t="shared" si="28"/>
        <v>0</v>
      </c>
      <c r="BA239" s="25">
        <f t="shared" si="29"/>
        <v>0</v>
      </c>
      <c r="BB239" s="25">
        <f t="shared" si="30"/>
        <v>0</v>
      </c>
      <c r="BC239" s="25">
        <f t="shared" si="21"/>
        <v>0</v>
      </c>
      <c r="BD239" s="25">
        <f t="shared" si="21"/>
        <v>0</v>
      </c>
      <c r="BE239" s="25">
        <f t="shared" si="21"/>
        <v>0</v>
      </c>
      <c r="BF239" s="25">
        <f t="shared" si="21"/>
        <v>0</v>
      </c>
      <c r="CA239" s="16">
        <v>-9999</v>
      </c>
      <c r="CB239" s="16">
        <v>-0.40949999999999998</v>
      </c>
      <c r="CC239" s="16">
        <v>-0.155</v>
      </c>
      <c r="CD239" s="16">
        <v>-0.14399999999999999</v>
      </c>
      <c r="CE239" s="16">
        <v>0</v>
      </c>
      <c r="CF239" s="16">
        <v>-9999</v>
      </c>
      <c r="CG239" s="16">
        <v>-9999</v>
      </c>
      <c r="CH239" s="16">
        <v>-9999</v>
      </c>
      <c r="CI239" s="16">
        <v>-9999</v>
      </c>
      <c r="CJ239" s="16">
        <v>-9999</v>
      </c>
      <c r="CK239" s="16">
        <v>-9999</v>
      </c>
      <c r="CL239" s="16">
        <v>-9999</v>
      </c>
      <c r="CM239" s="16">
        <v>-9999</v>
      </c>
      <c r="CN239" s="16">
        <v>-2.2590361445783132E-3</v>
      </c>
      <c r="CO239" s="16">
        <v>-0.32993512511584799</v>
      </c>
      <c r="CP239" s="16">
        <v>-0.37397474513438372</v>
      </c>
      <c r="CQ239" s="16">
        <v>-8.688600556070436E-2</v>
      </c>
      <c r="CR239" s="16">
        <v>-2.4617701575532905E-2</v>
      </c>
      <c r="CS239" s="16">
        <v>-9999</v>
      </c>
      <c r="CT239" s="16">
        <v>-9999</v>
      </c>
      <c r="CU239" s="16">
        <v>-9999</v>
      </c>
      <c r="CV239" s="16">
        <v>-9999</v>
      </c>
      <c r="CW239" s="16">
        <v>-9999</v>
      </c>
      <c r="CX239" s="16">
        <v>-9999</v>
      </c>
      <c r="CY239" s="16">
        <v>-9999</v>
      </c>
      <c r="CZ239" s="16">
        <v>-9999</v>
      </c>
      <c r="DA239" s="16">
        <v>-0.32993512511584799</v>
      </c>
      <c r="DB239" s="16">
        <v>-0.40949999999999998</v>
      </c>
      <c r="DC239" s="16">
        <v>-3.7999999999999999E-2</v>
      </c>
      <c r="DD239" s="16">
        <v>-2.4617701575532905E-2</v>
      </c>
      <c r="DE239" s="16">
        <v>-2.4617701575532905E-2</v>
      </c>
      <c r="DF239" s="16">
        <v>-9999</v>
      </c>
      <c r="DG239" s="16">
        <v>-9999</v>
      </c>
      <c r="DH239" s="16">
        <v>-9999</v>
      </c>
      <c r="DI239" s="16">
        <v>-9999</v>
      </c>
      <c r="DJ239" s="16">
        <v>-9999</v>
      </c>
      <c r="DK239" s="16">
        <v>-9999</v>
      </c>
      <c r="DL239" s="16">
        <v>-9999</v>
      </c>
      <c r="DM239" s="16">
        <v>-9999</v>
      </c>
      <c r="DN239" s="16">
        <v>-2.2590361445783132E-3</v>
      </c>
      <c r="DO239" s="16">
        <v>-0.32993512511584799</v>
      </c>
      <c r="DP239" s="16">
        <v>-0.37397474513438372</v>
      </c>
      <c r="DQ239" s="16">
        <v>-8.688600556070436E-2</v>
      </c>
      <c r="DR239" s="16">
        <v>-2.4617701575532905E-2</v>
      </c>
      <c r="DS239" s="16">
        <v>-9999</v>
      </c>
      <c r="DT239" s="16">
        <v>-9999</v>
      </c>
      <c r="DU239" s="16">
        <v>-9999</v>
      </c>
      <c r="DV239" s="16">
        <v>-9999</v>
      </c>
      <c r="DW239" s="16">
        <v>-9999</v>
      </c>
      <c r="DX239" s="16">
        <v>-9999</v>
      </c>
      <c r="DY239" s="16">
        <v>-9999</v>
      </c>
      <c r="DZ239" s="16">
        <v>-9999</v>
      </c>
      <c r="EA239" s="2196">
        <v>0</v>
      </c>
      <c r="EB239" s="2196">
        <v>0</v>
      </c>
      <c r="EC239" s="2196">
        <v>-0.217</v>
      </c>
      <c r="ED239" s="2196">
        <v>0</v>
      </c>
      <c r="EE239" s="2196">
        <v>0</v>
      </c>
      <c r="EF239" s="2197">
        <v>-9999</v>
      </c>
      <c r="EG239" s="2197">
        <v>-9999</v>
      </c>
      <c r="EH239" s="2197">
        <v>-9999</v>
      </c>
      <c r="EI239" s="2197">
        <v>-9999</v>
      </c>
      <c r="EJ239" s="2197">
        <v>-9999</v>
      </c>
      <c r="EK239" s="2197">
        <v>-9999</v>
      </c>
      <c r="EL239" s="2197">
        <v>-9999</v>
      </c>
      <c r="EM239" s="2197">
        <v>-9999</v>
      </c>
    </row>
    <row r="240" spans="1:143">
      <c r="A240" s="22">
        <v>140</v>
      </c>
      <c r="B240" s="1" t="s">
        <v>837</v>
      </c>
      <c r="C240" s="24">
        <f ca="1">OFFSET(Sector1!F772,0,Last_forecast_year - 3-InputY!$G$3)</f>
        <v>-1.554</v>
      </c>
      <c r="D240" s="24">
        <f ca="1">OFFSET(Sector1!G772,0,Last_forecast_year - 3-InputY!$G$3)</f>
        <v>-1.5429999999999999</v>
      </c>
      <c r="E240" s="24">
        <f ca="1">OFFSET(Sector1!H772,0,Last_forecast_year - 3-InputY!$G$3)</f>
        <v>-1.5165699999999998</v>
      </c>
      <c r="F240" s="24">
        <f ca="1">OFFSET(Sector1!I772,0,Last_forecast_year - 3-InputY!$G$3)</f>
        <v>-1.546837625</v>
      </c>
      <c r="G240" s="24">
        <f ca="1">OFFSET(Sector1!J772,0,Last_forecast_year - 3-InputY!$G$3)</f>
        <v>-1.5777439521250001</v>
      </c>
      <c r="H240" s="25">
        <v>-9999</v>
      </c>
      <c r="I240" s="25">
        <v>-9999</v>
      </c>
      <c r="J240" s="25">
        <v>-9999</v>
      </c>
      <c r="K240" s="25">
        <v>-9999</v>
      </c>
      <c r="L240" s="25">
        <v>-9999</v>
      </c>
      <c r="M240" s="25">
        <v>-9999</v>
      </c>
      <c r="N240" s="25">
        <v>-9999</v>
      </c>
      <c r="O240" s="25">
        <v>-9999</v>
      </c>
      <c r="P240"/>
      <c r="Q240"/>
      <c r="AA240" s="22">
        <v>140</v>
      </c>
      <c r="AB240" s="1040" t="str">
        <f t="shared" si="31"/>
        <v>BALANCE OF PRIMARY INCOME</v>
      </c>
      <c r="AC240" s="1040">
        <f>CHOOSE(Tables!$U$2,Transfer!CA240,Transfer!CN240,Transfer!DA240,Transfer!DN240,Transfer!EA240)</f>
        <v>-3.9380524332850007</v>
      </c>
      <c r="AD240" s="1040">
        <f>CHOOSE(Tables!$U$2,Transfer!CB240,Transfer!CO240,Transfer!DB240,Transfer!DO240,Transfer!EB240)</f>
        <v>-4.8091617689767387</v>
      </c>
      <c r="AE240" s="1040">
        <f>CHOOSE(Tables!$U$2,Transfer!CC240,Transfer!CP240,Transfer!DC240,Transfer!DP240,Transfer!EC240)</f>
        <v>-5.4019541458744129</v>
      </c>
      <c r="AF240" s="1040">
        <f>CHOOSE(Tables!$U$2,Transfer!CD240,Transfer!CQ240,Transfer!DD240,Transfer!DQ240,Transfer!ED240)</f>
        <v>-6.061800908461854</v>
      </c>
      <c r="AG240" s="1040">
        <f>CHOOSE(Tables!$U$2,Transfer!CE240,Transfer!CR240,Transfer!DE240,Transfer!DR240,Transfer!EE240)</f>
        <v>-6.7900928487280403</v>
      </c>
      <c r="AH240" s="1040">
        <f>CHOOSE(Tables!$U$2,Transfer!CF240,Transfer!CS240,Transfer!DF240,Transfer!DS240,Transfer!EF240)</f>
        <v>-9999</v>
      </c>
      <c r="AI240" s="1040">
        <f>CHOOSE(Tables!$U$2,Transfer!CG240,Transfer!CT240,Transfer!DG240,Transfer!DT240,Transfer!EG240)</f>
        <v>-9999</v>
      </c>
      <c r="AJ240" s="1040">
        <f>CHOOSE(Tables!$U$2,Transfer!CH240,Transfer!CU240,Transfer!DH240,Transfer!DU240,Transfer!EH240)</f>
        <v>-9999</v>
      </c>
      <c r="AK240" s="1040">
        <f>CHOOSE(Tables!$U$2,Transfer!CI240,Transfer!CV240,Transfer!DI240,Transfer!DV240,Transfer!EI240)</f>
        <v>-9999</v>
      </c>
      <c r="AL240" s="1040">
        <f>CHOOSE(Tables!$U$2,Transfer!CJ240,Transfer!CW240,Transfer!DJ240,Transfer!DW240,Transfer!EJ240)</f>
        <v>-9999</v>
      </c>
      <c r="AM240" s="1040">
        <f>CHOOSE(Tables!$U$2,Transfer!CK240,Transfer!CX240,Transfer!DK240,Transfer!DX240,Transfer!EK240)</f>
        <v>-9999</v>
      </c>
      <c r="AN240" s="1040">
        <f>CHOOSE(Tables!$U$2,Transfer!CL240,Transfer!CY240,Transfer!DL240,Transfer!DY240,Transfer!EL240)</f>
        <v>-9999</v>
      </c>
      <c r="AO240" s="1040">
        <f>CHOOSE(Tables!$U$2,Transfer!CM240,Transfer!CZ240,Transfer!DM240,Transfer!DZ240,Transfer!EM240)</f>
        <v>-9999</v>
      </c>
      <c r="AR240" s="22">
        <v>140</v>
      </c>
      <c r="AS240" s="1" t="s">
        <v>837</v>
      </c>
      <c r="AT240" s="24">
        <f t="shared" ca="1" si="22"/>
        <v>2.3840524332850004</v>
      </c>
      <c r="AU240" s="24">
        <f t="shared" ca="1" si="23"/>
        <v>3.2661617689767386</v>
      </c>
      <c r="AV240" s="24">
        <f t="shared" ca="1" si="24"/>
        <v>3.8853841458744132</v>
      </c>
      <c r="AW240" s="24">
        <f t="shared" ca="1" si="25"/>
        <v>4.5149632834618538</v>
      </c>
      <c r="AX240" s="24">
        <f t="shared" ca="1" si="26"/>
        <v>5.2123488966030402</v>
      </c>
      <c r="AY240" s="25">
        <f t="shared" si="27"/>
        <v>0</v>
      </c>
      <c r="AZ240" s="25">
        <f t="shared" si="28"/>
        <v>0</v>
      </c>
      <c r="BA240" s="25">
        <f t="shared" si="29"/>
        <v>0</v>
      </c>
      <c r="BB240" s="25">
        <f t="shared" si="30"/>
        <v>0</v>
      </c>
      <c r="BC240" s="25">
        <f t="shared" si="21"/>
        <v>0</v>
      </c>
      <c r="BD240" s="25">
        <f t="shared" si="21"/>
        <v>0</v>
      </c>
      <c r="BE240" s="25">
        <f t="shared" si="21"/>
        <v>0</v>
      </c>
      <c r="BF240" s="25">
        <f t="shared" si="21"/>
        <v>0</v>
      </c>
      <c r="CA240" s="16">
        <v>-0.95600000000000007</v>
      </c>
      <c r="CB240" s="16">
        <v>-0.83573954000000017</v>
      </c>
      <c r="CC240" s="16">
        <v>-1.0507247216000002</v>
      </c>
      <c r="CD240" s="16">
        <v>-1.1761862304640003</v>
      </c>
      <c r="CE240" s="16">
        <v>-1.3160899016825605</v>
      </c>
      <c r="CF240" s="16">
        <v>-9999</v>
      </c>
      <c r="CG240" s="16">
        <v>-9999</v>
      </c>
      <c r="CH240" s="16">
        <v>-9999</v>
      </c>
      <c r="CI240" s="16">
        <v>-9999</v>
      </c>
      <c r="CJ240" s="16">
        <v>-9999</v>
      </c>
      <c r="CK240" s="16">
        <v>-9999</v>
      </c>
      <c r="CL240" s="16">
        <v>-9999</v>
      </c>
      <c r="CM240" s="16">
        <v>-9999</v>
      </c>
      <c r="CN240" s="16">
        <v>-1.0284406858202033</v>
      </c>
      <c r="CO240" s="16">
        <v>-0.96704124189063911</v>
      </c>
      <c r="CP240" s="16">
        <v>-0.84751853568118596</v>
      </c>
      <c r="CQ240" s="16">
        <v>-0.8778119786839661</v>
      </c>
      <c r="CR240" s="16">
        <v>-1.0063738206672843</v>
      </c>
      <c r="CS240" s="16">
        <v>-9999</v>
      </c>
      <c r="CT240" s="16">
        <v>-9999</v>
      </c>
      <c r="CU240" s="16">
        <v>-9999</v>
      </c>
      <c r="CV240" s="16">
        <v>-9999</v>
      </c>
      <c r="CW240" s="16">
        <v>-9999</v>
      </c>
      <c r="CX240" s="16">
        <v>-9999</v>
      </c>
      <c r="CY240" s="16">
        <v>-9999</v>
      </c>
      <c r="CZ240" s="16">
        <v>-9999</v>
      </c>
      <c r="DA240" s="16">
        <v>-0.96699999999999997</v>
      </c>
      <c r="DB240" s="16">
        <v>-0.84408976137488656</v>
      </c>
      <c r="DC240" s="16">
        <v>-1.1022179578212112</v>
      </c>
      <c r="DD240" s="16">
        <v>-1.190901501530115</v>
      </c>
      <c r="DE240" s="16">
        <v>0.6643633362245176</v>
      </c>
      <c r="DF240" s="16">
        <v>-9999</v>
      </c>
      <c r="DG240" s="16">
        <v>-9999</v>
      </c>
      <c r="DH240" s="16">
        <v>-9999</v>
      </c>
      <c r="DI240" s="16">
        <v>-9999</v>
      </c>
      <c r="DJ240" s="16">
        <v>-9999</v>
      </c>
      <c r="DK240" s="16">
        <v>-9999</v>
      </c>
      <c r="DL240" s="16">
        <v>-9999</v>
      </c>
      <c r="DM240" s="16">
        <v>-9999</v>
      </c>
      <c r="DN240" s="16">
        <v>-1.0284406858202033</v>
      </c>
      <c r="DO240" s="16">
        <v>-0.96704124189063911</v>
      </c>
      <c r="DP240" s="16">
        <v>-0.8812961479703425</v>
      </c>
      <c r="DQ240" s="16">
        <v>-0.91294069546468903</v>
      </c>
      <c r="DR240" s="16">
        <v>-1.0429076861192359</v>
      </c>
      <c r="DS240" s="16">
        <v>-9999</v>
      </c>
      <c r="DT240" s="16">
        <v>-9999</v>
      </c>
      <c r="DU240" s="16">
        <v>-9999</v>
      </c>
      <c r="DV240" s="16">
        <v>-9999</v>
      </c>
      <c r="DW240" s="16">
        <v>-9999</v>
      </c>
      <c r="DX240" s="16">
        <v>-9999</v>
      </c>
      <c r="DY240" s="16">
        <v>-9999</v>
      </c>
      <c r="DZ240" s="16">
        <v>-9999</v>
      </c>
      <c r="EA240" s="2196">
        <v>-3.9380524332850007</v>
      </c>
      <c r="EB240" s="2196">
        <v>-4.8091617689767387</v>
      </c>
      <c r="EC240" s="2196">
        <v>-5.4019541458744129</v>
      </c>
      <c r="ED240" s="2196">
        <v>-6.061800908461854</v>
      </c>
      <c r="EE240" s="2196">
        <v>-6.7900928487280403</v>
      </c>
      <c r="EF240" s="2197">
        <v>-9999</v>
      </c>
      <c r="EG240" s="2197">
        <v>-9999</v>
      </c>
      <c r="EH240" s="2197">
        <v>-9999</v>
      </c>
      <c r="EI240" s="2197">
        <v>-9999</v>
      </c>
      <c r="EJ240" s="2197">
        <v>-9999</v>
      </c>
      <c r="EK240" s="2197">
        <v>-9999</v>
      </c>
      <c r="EL240" s="2197">
        <v>-9999</v>
      </c>
      <c r="EM240" s="2197">
        <v>-9999</v>
      </c>
    </row>
    <row r="241" spans="1:149">
      <c r="A241" s="22">
        <v>141</v>
      </c>
      <c r="B241" s="1" t="s">
        <v>838</v>
      </c>
      <c r="C241" s="24">
        <f ca="1">OFFSET(Sector1!F782,0,Last_forecast_year - 3-InputY!$G$3)</f>
        <v>0.94600000000000006</v>
      </c>
      <c r="D241" s="24">
        <f ca="1">OFFSET(Sector1!G782,0,Last_forecast_year - 3-InputY!$G$3)</f>
        <v>0.78807999999999978</v>
      </c>
      <c r="E241" s="24">
        <f ca="1">OFFSET(Sector1!H782,0,Last_forecast_year - 3-InputY!$G$3)</f>
        <v>0.81649840799999984</v>
      </c>
      <c r="F241" s="24">
        <f ca="1">OFFSET(Sector1!I782,0,Last_forecast_year - 3-InputY!$G$3)</f>
        <v>0.85340506867999966</v>
      </c>
      <c r="G241" s="24">
        <f ca="1">OFFSET(Sector1!J782,0,Last_forecast_year - 3-InputY!$G$3)</f>
        <v>0.88819322619779961</v>
      </c>
      <c r="H241" s="25">
        <v>-9999</v>
      </c>
      <c r="I241" s="25">
        <v>-9999</v>
      </c>
      <c r="J241" s="25">
        <v>-9999</v>
      </c>
      <c r="K241" s="25">
        <v>-9999</v>
      </c>
      <c r="L241" s="25">
        <v>-9999</v>
      </c>
      <c r="M241" s="25">
        <v>-9999</v>
      </c>
      <c r="N241" s="25">
        <v>-9999</v>
      </c>
      <c r="O241" s="25">
        <v>-9999</v>
      </c>
      <c r="P241"/>
      <c r="Q241"/>
      <c r="AA241" s="22">
        <v>141</v>
      </c>
      <c r="AB241" s="1040" t="str">
        <f t="shared" si="31"/>
        <v>NET CURRENT TRANSFERS</v>
      </c>
      <c r="AC241" s="1040">
        <f>CHOOSE(Tables!$U$2,Transfer!CA241,Transfer!CN241,Transfer!DA241,Transfer!DN241,Transfer!EA241)</f>
        <v>2.9871164050966996</v>
      </c>
      <c r="AD241" s="1040">
        <f>CHOOSE(Tables!$U$2,Transfer!CB241,Transfer!CO241,Transfer!DB241,Transfer!DO241,Transfer!EB241)</f>
        <v>3.3006100000000012</v>
      </c>
      <c r="AE241" s="1040">
        <f>CHOOSE(Tables!$U$2,Transfer!CC241,Transfer!CP241,Transfer!DC241,Transfer!DP241,Transfer!EC241)</f>
        <v>3.6311201000000008</v>
      </c>
      <c r="AF241" s="1040">
        <f>CHOOSE(Tables!$U$2,Transfer!CD241,Transfer!CQ241,Transfer!DD241,Transfer!DQ241,Transfer!ED241)</f>
        <v>3.8599688650000012</v>
      </c>
      <c r="AG241" s="1040">
        <f>CHOOSE(Tables!$U$2,Transfer!CE241,Transfer!CR241,Transfer!DE241,Transfer!DR241,Transfer!EE241)</f>
        <v>4.1017801472900022</v>
      </c>
      <c r="AH241" s="1040">
        <f>CHOOSE(Tables!$U$2,Transfer!CF241,Transfer!CS241,Transfer!DF241,Transfer!DS241,Transfer!EF241)</f>
        <v>-9999</v>
      </c>
      <c r="AI241" s="1040">
        <f>CHOOSE(Tables!$U$2,Transfer!CG241,Transfer!CT241,Transfer!DG241,Transfer!DT241,Transfer!EG241)</f>
        <v>-9999</v>
      </c>
      <c r="AJ241" s="1040">
        <f>CHOOSE(Tables!$U$2,Transfer!CH241,Transfer!CU241,Transfer!DH241,Transfer!DU241,Transfer!EH241)</f>
        <v>-9999</v>
      </c>
      <c r="AK241" s="1040">
        <f>CHOOSE(Tables!$U$2,Transfer!CI241,Transfer!CV241,Transfer!DI241,Transfer!DV241,Transfer!EI241)</f>
        <v>-9999</v>
      </c>
      <c r="AL241" s="1040">
        <f>CHOOSE(Tables!$U$2,Transfer!CJ241,Transfer!CW241,Transfer!DJ241,Transfer!DW241,Transfer!EJ241)</f>
        <v>-9999</v>
      </c>
      <c r="AM241" s="1040">
        <f>CHOOSE(Tables!$U$2,Transfer!CK241,Transfer!CX241,Transfer!DK241,Transfer!DX241,Transfer!EK241)</f>
        <v>-9999</v>
      </c>
      <c r="AN241" s="1040">
        <f>CHOOSE(Tables!$U$2,Transfer!CL241,Transfer!CY241,Transfer!DL241,Transfer!DY241,Transfer!EL241)</f>
        <v>-9999</v>
      </c>
      <c r="AO241" s="1040">
        <f>CHOOSE(Tables!$U$2,Transfer!CM241,Transfer!CZ241,Transfer!DM241,Transfer!DZ241,Transfer!EM241)</f>
        <v>-9999</v>
      </c>
      <c r="AR241" s="22">
        <v>141</v>
      </c>
      <c r="AS241" s="1" t="s">
        <v>838</v>
      </c>
      <c r="AT241" s="24">
        <f t="shared" ca="1" si="22"/>
        <v>-2.0411164050966994</v>
      </c>
      <c r="AU241" s="24">
        <f t="shared" ca="1" si="23"/>
        <v>-2.5125300000000013</v>
      </c>
      <c r="AV241" s="24">
        <f t="shared" ca="1" si="24"/>
        <v>-2.8146216920000011</v>
      </c>
      <c r="AW241" s="24">
        <f t="shared" ca="1" si="25"/>
        <v>-3.0065637963200018</v>
      </c>
      <c r="AX241" s="24">
        <f t="shared" ca="1" si="26"/>
        <v>-3.2135869210922028</v>
      </c>
      <c r="AY241" s="25">
        <f t="shared" si="27"/>
        <v>0</v>
      </c>
      <c r="AZ241" s="25">
        <f t="shared" si="28"/>
        <v>0</v>
      </c>
      <c r="BA241" s="25">
        <f t="shared" si="29"/>
        <v>0</v>
      </c>
      <c r="BB241" s="25">
        <f t="shared" si="30"/>
        <v>0</v>
      </c>
      <c r="BC241" s="25">
        <f t="shared" si="21"/>
        <v>0</v>
      </c>
      <c r="BD241" s="25">
        <f t="shared" si="21"/>
        <v>0</v>
      </c>
      <c r="BE241" s="25">
        <f t="shared" si="21"/>
        <v>0</v>
      </c>
      <c r="BF241" s="25">
        <f t="shared" si="21"/>
        <v>0</v>
      </c>
      <c r="CA241" s="16">
        <v>0.97499999999999998</v>
      </c>
      <c r="CB241" s="16">
        <v>1.0451809999999999</v>
      </c>
      <c r="CC241" s="16">
        <v>1.0913438434999996</v>
      </c>
      <c r="CD241" s="16">
        <v>1.1395367127974996</v>
      </c>
      <c r="CE241" s="16">
        <v>1.1898495902644619</v>
      </c>
      <c r="CF241" s="16">
        <v>-9999</v>
      </c>
      <c r="CG241" s="16">
        <v>-9999</v>
      </c>
      <c r="CH241" s="16">
        <v>-9999</v>
      </c>
      <c r="CI241" s="16">
        <v>-9999</v>
      </c>
      <c r="CJ241" s="16">
        <v>-9999</v>
      </c>
      <c r="CK241" s="16">
        <v>-9999</v>
      </c>
      <c r="CL241" s="16">
        <v>-9999</v>
      </c>
      <c r="CM241" s="16">
        <v>-9999</v>
      </c>
      <c r="CN241" s="16">
        <v>0.13727409878591282</v>
      </c>
      <c r="CO241" s="16">
        <v>0.70870886535681166</v>
      </c>
      <c r="CP241" s="16">
        <v>0.745156140955607</v>
      </c>
      <c r="CQ241" s="16">
        <v>0.78139961720610696</v>
      </c>
      <c r="CR241" s="16">
        <v>0.81936151511789435</v>
      </c>
      <c r="CS241" s="16">
        <v>-9999</v>
      </c>
      <c r="CT241" s="16">
        <v>-9999</v>
      </c>
      <c r="CU241" s="16">
        <v>-9999</v>
      </c>
      <c r="CV241" s="16">
        <v>-9999</v>
      </c>
      <c r="CW241" s="16">
        <v>-9999</v>
      </c>
      <c r="CX241" s="16">
        <v>-9999</v>
      </c>
      <c r="CY241" s="16">
        <v>-9999</v>
      </c>
      <c r="CZ241" s="16">
        <v>-9999</v>
      </c>
      <c r="DA241" s="16">
        <v>0.70900867999999995</v>
      </c>
      <c r="DB241" s="16">
        <v>0.74203593600000006</v>
      </c>
      <c r="DC241" s="16">
        <v>0.77754257630949997</v>
      </c>
      <c r="DD241" s="16">
        <v>0.81470782573539746</v>
      </c>
      <c r="DE241" s="16">
        <v>0.85360875885709642</v>
      </c>
      <c r="DF241" s="16">
        <v>-9999</v>
      </c>
      <c r="DG241" s="16">
        <v>-9999</v>
      </c>
      <c r="DH241" s="16">
        <v>-9999</v>
      </c>
      <c r="DI241" s="16">
        <v>-9999</v>
      </c>
      <c r="DJ241" s="16">
        <v>-9999</v>
      </c>
      <c r="DK241" s="16">
        <v>-9999</v>
      </c>
      <c r="DL241" s="16">
        <v>-9999</v>
      </c>
      <c r="DM241" s="16">
        <v>-9999</v>
      </c>
      <c r="DN241" s="16">
        <v>0.13727409878591282</v>
      </c>
      <c r="DO241" s="16">
        <v>0.70870886535681166</v>
      </c>
      <c r="DP241" s="16">
        <v>0.741904796055607</v>
      </c>
      <c r="DQ241" s="16">
        <v>0.7774114363651069</v>
      </c>
      <c r="DR241" s="16">
        <v>0.8145766857910044</v>
      </c>
      <c r="DS241" s="16">
        <v>-9999</v>
      </c>
      <c r="DT241" s="16">
        <v>-9999</v>
      </c>
      <c r="DU241" s="16">
        <v>-9999</v>
      </c>
      <c r="DV241" s="16">
        <v>-9999</v>
      </c>
      <c r="DW241" s="16">
        <v>-9999</v>
      </c>
      <c r="DX241" s="16">
        <v>-9999</v>
      </c>
      <c r="DY241" s="16">
        <v>-9999</v>
      </c>
      <c r="DZ241" s="16">
        <v>-9999</v>
      </c>
      <c r="EA241" s="2196">
        <v>2.9871164050966996</v>
      </c>
      <c r="EB241" s="2196">
        <v>3.3006100000000012</v>
      </c>
      <c r="EC241" s="2196">
        <v>3.6311201000000008</v>
      </c>
      <c r="ED241" s="2196">
        <v>3.8599688650000012</v>
      </c>
      <c r="EE241" s="2196">
        <v>4.1017801472900022</v>
      </c>
      <c r="EF241" s="2197">
        <v>-9999</v>
      </c>
      <c r="EG241" s="2197">
        <v>-9999</v>
      </c>
      <c r="EH241" s="2197">
        <v>-9999</v>
      </c>
      <c r="EI241" s="2197">
        <v>-9999</v>
      </c>
      <c r="EJ241" s="2197">
        <v>-9999</v>
      </c>
      <c r="EK241" s="2197">
        <v>-9999</v>
      </c>
      <c r="EL241" s="2197">
        <v>-9999</v>
      </c>
      <c r="EM241" s="2197">
        <v>-9999</v>
      </c>
    </row>
    <row r="242" spans="1:149">
      <c r="A242" s="22">
        <v>142</v>
      </c>
      <c r="B242" s="1" t="s">
        <v>1752</v>
      </c>
      <c r="C242" s="24">
        <f ca="1">OFFSET(Sector1!F789,0,Last_forecast_year - 3-InputY!$G$3)</f>
        <v>1.1172599999999999</v>
      </c>
      <c r="D242" s="24">
        <f ca="1">OFFSET(Sector1!G789,0,Last_forecast_year - 3-InputY!$G$3)</f>
        <v>0.56872</v>
      </c>
      <c r="E242" s="24">
        <f ca="1">OFFSET(Sector1!H789,0,Last_forecast_year - 3-InputY!$G$3)</f>
        <v>0.42262839999999996</v>
      </c>
      <c r="F242" s="24">
        <f ca="1">OFFSET(Sector1!I789,0,Last_forecast_year - 3-InputY!$G$3)</f>
        <v>0.51935231400000004</v>
      </c>
      <c r="G242" s="24">
        <f ca="1">OFFSET(Sector1!J789,0,Last_forecast_year - 3-InputY!$G$3)</f>
        <v>0.50018883386000002</v>
      </c>
      <c r="H242" s="25">
        <v>-9999</v>
      </c>
      <c r="I242" s="25">
        <v>-9999</v>
      </c>
      <c r="J242" s="25">
        <v>-9999</v>
      </c>
      <c r="K242" s="25">
        <v>-9999</v>
      </c>
      <c r="L242" s="25">
        <v>-9999</v>
      </c>
      <c r="M242" s="25">
        <v>-9999</v>
      </c>
      <c r="N242" s="25">
        <v>-9999</v>
      </c>
      <c r="O242" s="25">
        <v>-9999</v>
      </c>
      <c r="P242"/>
      <c r="Q242"/>
      <c r="AA242" s="22">
        <v>142</v>
      </c>
      <c r="AB242" s="1040" t="str">
        <f t="shared" si="31"/>
        <v>NET CAPITAL TRANSACTIONS (RECEIV - PAYED)</v>
      </c>
      <c r="AC242" s="1040">
        <f>CHOOSE(Tables!$U$2,Transfer!CA242,Transfer!CN242,Transfer!DA242,Transfer!DN242,Transfer!EA242)</f>
        <v>3.44868</v>
      </c>
      <c r="AD242" s="1040">
        <f>CHOOSE(Tables!$U$2,Transfer!CB242,Transfer!CO242,Transfer!DB242,Transfer!DO242,Transfer!EB242)</f>
        <v>2.60541</v>
      </c>
      <c r="AE242" s="1040">
        <f>CHOOSE(Tables!$U$2,Transfer!CC242,Transfer!CP242,Transfer!DC242,Transfer!DP242,Transfer!EC242)</f>
        <v>2.7931636999999996</v>
      </c>
      <c r="AF242" s="1040">
        <f>CHOOSE(Tables!$U$2,Transfer!CD242,Transfer!CQ242,Transfer!DD242,Transfer!DQ242,Transfer!ED242)</f>
        <v>2.8559580790000001</v>
      </c>
      <c r="AG242" s="1040">
        <f>CHOOSE(Tables!$U$2,Transfer!CE242,Transfer!CR242,Transfer!DE242,Transfer!DR242,Transfer!EE242)</f>
        <v>2.9189464403299996</v>
      </c>
      <c r="AH242" s="1040">
        <f>CHOOSE(Tables!$U$2,Transfer!CF242,Transfer!CS242,Transfer!DF242,Transfer!DS242,Transfer!EF242)</f>
        <v>-9999</v>
      </c>
      <c r="AI242" s="1040">
        <f>CHOOSE(Tables!$U$2,Transfer!CG242,Transfer!CT242,Transfer!DG242,Transfer!DT242,Transfer!EG242)</f>
        <v>-9999</v>
      </c>
      <c r="AJ242" s="1040">
        <f>CHOOSE(Tables!$U$2,Transfer!CH242,Transfer!CU242,Transfer!DH242,Transfer!DU242,Transfer!EH242)</f>
        <v>-9999</v>
      </c>
      <c r="AK242" s="1040">
        <f>CHOOSE(Tables!$U$2,Transfer!CI242,Transfer!CV242,Transfer!DI242,Transfer!DV242,Transfer!EI242)</f>
        <v>-9999</v>
      </c>
      <c r="AL242" s="1040">
        <f>CHOOSE(Tables!$U$2,Transfer!CJ242,Transfer!CW242,Transfer!DJ242,Transfer!DW242,Transfer!EJ242)</f>
        <v>-9999</v>
      </c>
      <c r="AM242" s="1040">
        <f>CHOOSE(Tables!$U$2,Transfer!CK242,Transfer!CX242,Transfer!DK242,Transfer!DX242,Transfer!EK242)</f>
        <v>-9999</v>
      </c>
      <c r="AN242" s="1040">
        <f>CHOOSE(Tables!$U$2,Transfer!CL242,Transfer!CY242,Transfer!DL242,Transfer!DY242,Transfer!EL242)</f>
        <v>-9999</v>
      </c>
      <c r="AO242" s="1040">
        <f>CHOOSE(Tables!$U$2,Transfer!CM242,Transfer!CZ242,Transfer!DM242,Transfer!DZ242,Transfer!EM242)</f>
        <v>-9999</v>
      </c>
      <c r="AR242" s="22">
        <v>142</v>
      </c>
      <c r="AS242" s="1" t="s">
        <v>1752</v>
      </c>
      <c r="AT242" s="24">
        <f t="shared" ca="1" si="22"/>
        <v>-2.33142</v>
      </c>
      <c r="AU242" s="24">
        <f t="shared" ca="1" si="23"/>
        <v>-2.0366900000000001</v>
      </c>
      <c r="AV242" s="24">
        <f t="shared" ca="1" si="24"/>
        <v>-2.3705352999999998</v>
      </c>
      <c r="AW242" s="24">
        <f t="shared" ca="1" si="25"/>
        <v>-2.3366057649999998</v>
      </c>
      <c r="AX242" s="24">
        <f t="shared" ca="1" si="26"/>
        <v>-2.4187576064699998</v>
      </c>
      <c r="AY242" s="25">
        <f t="shared" si="27"/>
        <v>0</v>
      </c>
      <c r="AZ242" s="25">
        <f t="shared" si="28"/>
        <v>0</v>
      </c>
      <c r="BA242" s="25">
        <f t="shared" si="29"/>
        <v>0</v>
      </c>
      <c r="BB242" s="25">
        <f t="shared" si="30"/>
        <v>0</v>
      </c>
      <c r="BC242" s="25">
        <f t="shared" si="21"/>
        <v>0</v>
      </c>
      <c r="BD242" s="25">
        <f t="shared" si="21"/>
        <v>0</v>
      </c>
      <c r="BE242" s="25">
        <f t="shared" si="21"/>
        <v>0</v>
      </c>
      <c r="BF242" s="25">
        <f t="shared" si="21"/>
        <v>0</v>
      </c>
      <c r="CA242" s="16">
        <v>1.0888499999999999</v>
      </c>
      <c r="CB242" s="16">
        <v>1.5601879999999999</v>
      </c>
      <c r="CC242" s="16">
        <v>1.0241979999999999</v>
      </c>
      <c r="CD242" s="16">
        <v>0.8652979999999999</v>
      </c>
      <c r="CE242" s="16">
        <v>0.86108799999999996</v>
      </c>
      <c r="CF242" s="16">
        <v>-9999</v>
      </c>
      <c r="CG242" s="16">
        <v>-9999</v>
      </c>
      <c r="CH242" s="16">
        <v>-9999</v>
      </c>
      <c r="CI242" s="16">
        <v>-9999</v>
      </c>
      <c r="CJ242" s="16">
        <v>-9999</v>
      </c>
      <c r="CK242" s="16">
        <v>-9999</v>
      </c>
      <c r="CL242" s="16">
        <v>-9999</v>
      </c>
      <c r="CM242" s="16">
        <v>-9999</v>
      </c>
      <c r="CN242" s="16">
        <v>0.95346096999999996</v>
      </c>
      <c r="CO242" s="16">
        <v>0.84632471999999992</v>
      </c>
      <c r="CP242" s="16">
        <v>1.5876969814379076</v>
      </c>
      <c r="CQ242" s="16">
        <v>1.17253533302317</v>
      </c>
      <c r="CR242" s="16">
        <v>1.1250376499833183</v>
      </c>
      <c r="CS242" s="16">
        <v>-9999</v>
      </c>
      <c r="CT242" s="16">
        <v>-9999</v>
      </c>
      <c r="CU242" s="16">
        <v>-9999</v>
      </c>
      <c r="CV242" s="16">
        <v>-9999</v>
      </c>
      <c r="CW242" s="16">
        <v>-9999</v>
      </c>
      <c r="CX242" s="16">
        <v>-9999</v>
      </c>
      <c r="CY242" s="16">
        <v>-9999</v>
      </c>
      <c r="CZ242" s="16">
        <v>-9999</v>
      </c>
      <c r="DA242" s="16">
        <v>0.84472651999999981</v>
      </c>
      <c r="DB242" s="16">
        <v>1.307431432</v>
      </c>
      <c r="DC242" s="16">
        <v>0.76821083618335906</v>
      </c>
      <c r="DD242" s="16">
        <v>0.74644570500581175</v>
      </c>
      <c r="DE242" s="16">
        <v>0.72294341474182144</v>
      </c>
      <c r="DF242" s="16">
        <v>-9999</v>
      </c>
      <c r="DG242" s="16">
        <v>-9999</v>
      </c>
      <c r="DH242" s="16">
        <v>-9999</v>
      </c>
      <c r="DI242" s="16">
        <v>-9999</v>
      </c>
      <c r="DJ242" s="16">
        <v>-9999</v>
      </c>
      <c r="DK242" s="16">
        <v>-9999</v>
      </c>
      <c r="DL242" s="16">
        <v>-9999</v>
      </c>
      <c r="DM242" s="16">
        <v>-9999</v>
      </c>
      <c r="DN242" s="16">
        <v>0.95197618000000006</v>
      </c>
      <c r="DO242" s="16">
        <v>0.84472651999999981</v>
      </c>
      <c r="DP242" s="16">
        <v>1.3783214319999999</v>
      </c>
      <c r="DQ242" s="16">
        <v>0.8111620144680487</v>
      </c>
      <c r="DR242" s="16">
        <v>0.78939688329050139</v>
      </c>
      <c r="DS242" s="16">
        <v>-9999</v>
      </c>
      <c r="DT242" s="16">
        <v>-9999</v>
      </c>
      <c r="DU242" s="16">
        <v>-9999</v>
      </c>
      <c r="DV242" s="16">
        <v>-9999</v>
      </c>
      <c r="DW242" s="16">
        <v>-9999</v>
      </c>
      <c r="DX242" s="16">
        <v>-9999</v>
      </c>
      <c r="DY242" s="16">
        <v>-9999</v>
      </c>
      <c r="DZ242" s="16">
        <v>-9999</v>
      </c>
      <c r="EA242" s="2196">
        <v>3.44868</v>
      </c>
      <c r="EB242" s="2196">
        <v>2.60541</v>
      </c>
      <c r="EC242" s="2196">
        <v>2.7931636999999996</v>
      </c>
      <c r="ED242" s="2196">
        <v>2.8559580790000001</v>
      </c>
      <c r="EE242" s="2196">
        <v>2.9189464403299996</v>
      </c>
      <c r="EF242" s="2197">
        <v>-9999</v>
      </c>
      <c r="EG242" s="2197">
        <v>-9999</v>
      </c>
      <c r="EH242" s="2197">
        <v>-9999</v>
      </c>
      <c r="EI242" s="2197">
        <v>-9999</v>
      </c>
      <c r="EJ242" s="2197">
        <v>-9999</v>
      </c>
      <c r="EK242" s="2197">
        <v>-9999</v>
      </c>
      <c r="EL242" s="2197">
        <v>-9999</v>
      </c>
      <c r="EM242" s="2197">
        <v>-9999</v>
      </c>
    </row>
    <row r="243" spans="1:149" s="3091" customFormat="1">
      <c r="A243" s="3149">
        <v>143</v>
      </c>
      <c r="B243" s="3150" t="s">
        <v>775</v>
      </c>
      <c r="C243" s="3151">
        <f ca="1">OFFSET(Sector1!F426,0,Last_forecast_year - 3-InputY!$G$3)</f>
        <v>0.76861999999999997</v>
      </c>
      <c r="D243" s="3151">
        <f ca="1">OFFSET(Sector1!G426,0,Last_forecast_year - 3-InputY!$G$3)</f>
        <v>0.80027999999999999</v>
      </c>
      <c r="E243" s="3151">
        <f ca="1">OFFSET(Sector1!H426,0,Last_forecast_year - 3-InputY!$G$3)</f>
        <v>0.82028699999999988</v>
      </c>
      <c r="F243" s="3151">
        <f ca="1">OFFSET(Sector1!I426,0,Last_forecast_year - 3-InputY!$G$3)</f>
        <v>0.84079417499999975</v>
      </c>
      <c r="G243" s="3151">
        <f ca="1">OFFSET(Sector1!J426,0,Last_forecast_year - 3-InputY!$G$3)</f>
        <v>0.86181402937499962</v>
      </c>
      <c r="H243" s="3152">
        <v>-9999</v>
      </c>
      <c r="I243" s="3152">
        <v>-9999</v>
      </c>
      <c r="J243" s="3152">
        <v>-9999</v>
      </c>
      <c r="K243" s="3152">
        <v>-9999</v>
      </c>
      <c r="L243" s="3152">
        <v>-9999</v>
      </c>
      <c r="M243" s="3152">
        <v>-9999</v>
      </c>
      <c r="N243" s="3152">
        <v>-9999</v>
      </c>
      <c r="O243" s="3152">
        <v>-9999</v>
      </c>
      <c r="P243" s="3153"/>
      <c r="R243" s="3154"/>
      <c r="S243" s="3154"/>
      <c r="T243" s="3154"/>
      <c r="U243" s="3154"/>
      <c r="V243" s="3154"/>
      <c r="W243" s="3154"/>
      <c r="X243" s="3154"/>
      <c r="Y243" s="3154"/>
      <c r="Z243" s="3154"/>
      <c r="AA243" s="3149">
        <v>143</v>
      </c>
      <c r="AB243" s="3155" t="str">
        <f t="shared" si="31"/>
        <v>GG SALES</v>
      </c>
      <c r="AC243" s="3155">
        <f>CHOOSE(Tables!$U$2,Transfer!CA243,Transfer!CN243,Transfer!DA243,Transfer!DN243,Transfer!EA243)</f>
        <v>1.45797</v>
      </c>
      <c r="AD243" s="3155">
        <f>CHOOSE(Tables!$U$2,Transfer!CB243,Transfer!CO243,Transfer!DB243,Transfer!DO243,Transfer!EB243)</f>
        <v>1.68685</v>
      </c>
      <c r="AE243" s="3155">
        <f>CHOOSE(Tables!$U$2,Transfer!CC243,Transfer!CP243,Transfer!DC243,Transfer!DP243,Transfer!EC243)</f>
        <v>1.7290212499999997</v>
      </c>
      <c r="AF243" s="3155">
        <f>CHOOSE(Tables!$U$2,Transfer!CD243,Transfer!CQ243,Transfer!DD243,Transfer!DQ243,Transfer!ED243)</f>
        <v>1.7722467812499996</v>
      </c>
      <c r="AG243" s="3155">
        <f>CHOOSE(Tables!$U$2,Transfer!CE243,Transfer!CR243,Transfer!DE243,Transfer!DR243,Transfer!EE243)</f>
        <v>1.8165529507812495</v>
      </c>
      <c r="AH243" s="3155">
        <f>CHOOSE(Tables!$U$2,Transfer!CF243,Transfer!CS243,Transfer!DF243,Transfer!DS243,Transfer!EF243)</f>
        <v>-9999</v>
      </c>
      <c r="AI243" s="3155">
        <f>CHOOSE(Tables!$U$2,Transfer!CG243,Transfer!CT243,Transfer!DG243,Transfer!DT243,Transfer!EG243)</f>
        <v>-9999</v>
      </c>
      <c r="AJ243" s="3155">
        <f>CHOOSE(Tables!$U$2,Transfer!CH243,Transfer!CU243,Transfer!DH243,Transfer!DU243,Transfer!EH243)</f>
        <v>-9999</v>
      </c>
      <c r="AK243" s="3155">
        <f>CHOOSE(Tables!$U$2,Transfer!CI243,Transfer!CV243,Transfer!DI243,Transfer!DV243,Transfer!EI243)</f>
        <v>-9999</v>
      </c>
      <c r="AL243" s="3155">
        <f>CHOOSE(Tables!$U$2,Transfer!CJ243,Transfer!CW243,Transfer!DJ243,Transfer!DW243,Transfer!EJ243)</f>
        <v>-9999</v>
      </c>
      <c r="AM243" s="3155">
        <f>CHOOSE(Tables!$U$2,Transfer!CK243,Transfer!CX243,Transfer!DK243,Transfer!DX243,Transfer!EK243)</f>
        <v>-9999</v>
      </c>
      <c r="AN243" s="3155">
        <f>CHOOSE(Tables!$U$2,Transfer!CL243,Transfer!CY243,Transfer!DL243,Transfer!DY243,Transfer!EL243)</f>
        <v>-9999</v>
      </c>
      <c r="AO243" s="3155">
        <f>CHOOSE(Tables!$U$2,Transfer!CM243,Transfer!CZ243,Transfer!DM243,Transfer!DZ243,Transfer!EM243)</f>
        <v>-9999</v>
      </c>
      <c r="AP243" s="3154"/>
      <c r="AQ243" s="3154"/>
      <c r="AR243" s="3149">
        <v>143</v>
      </c>
      <c r="AS243" s="3156" t="s">
        <v>1705</v>
      </c>
      <c r="AT243" s="3152">
        <f t="shared" ca="1" si="22"/>
        <v>-0.68935000000000002</v>
      </c>
      <c r="AU243" s="3152">
        <f t="shared" ca="1" si="23"/>
        <v>-0.88656999999999997</v>
      </c>
      <c r="AV243" s="3152">
        <f t="shared" ca="1" si="24"/>
        <v>-0.90873424999999985</v>
      </c>
      <c r="AW243" s="3152">
        <f t="shared" ca="1" si="25"/>
        <v>-0.93145260624999981</v>
      </c>
      <c r="AX243" s="3152">
        <f t="shared" ca="1" si="26"/>
        <v>-0.95473892140624983</v>
      </c>
      <c r="AY243" s="3152">
        <f t="shared" si="27"/>
        <v>0</v>
      </c>
      <c r="AZ243" s="3152">
        <f t="shared" si="28"/>
        <v>0</v>
      </c>
      <c r="BA243" s="3152">
        <f t="shared" si="29"/>
        <v>0</v>
      </c>
      <c r="BB243" s="3152">
        <f t="shared" si="30"/>
        <v>0</v>
      </c>
      <c r="BC243" s="3152">
        <f t="shared" si="21"/>
        <v>0</v>
      </c>
      <c r="BD243" s="3152">
        <f t="shared" si="21"/>
        <v>0</v>
      </c>
      <c r="BE243" s="3152">
        <f t="shared" si="21"/>
        <v>0</v>
      </c>
      <c r="BF243" s="3152">
        <f t="shared" si="21"/>
        <v>0</v>
      </c>
      <c r="BG243" s="3154"/>
      <c r="BH243" s="3154"/>
      <c r="BI243" s="3154"/>
      <c r="BJ243" s="3154"/>
      <c r="BK243" s="3154"/>
      <c r="BL243" s="3154"/>
      <c r="BM243" s="3154"/>
      <c r="BN243" s="3154"/>
      <c r="BO243" s="3154"/>
      <c r="BP243" s="3154"/>
      <c r="BQ243" s="3154"/>
      <c r="BR243" s="3154"/>
      <c r="BS243" s="3154"/>
      <c r="BT243" s="3154"/>
      <c r="BU243" s="3154"/>
      <c r="BV243" s="3154"/>
      <c r="BW243" s="3154"/>
      <c r="BX243" s="3154"/>
      <c r="BY243" s="3154"/>
      <c r="BZ243" s="3154"/>
      <c r="CA243" s="3154">
        <v>0.72675999999999996</v>
      </c>
      <c r="CB243" s="3154">
        <v>0.74991999999999992</v>
      </c>
      <c r="CC243" s="3154">
        <v>0.76866799999999991</v>
      </c>
      <c r="CD243" s="3154">
        <v>0.78788469999999988</v>
      </c>
      <c r="CE243" s="3154">
        <v>0.8075818174999998</v>
      </c>
      <c r="CF243" s="3154">
        <v>-9999</v>
      </c>
      <c r="CG243" s="3154">
        <v>-9999</v>
      </c>
      <c r="CH243" s="3154">
        <v>-9999</v>
      </c>
      <c r="CI243" s="3154">
        <v>-9999</v>
      </c>
      <c r="CJ243" s="3154">
        <v>-9999</v>
      </c>
      <c r="CK243" s="3154">
        <v>-9999</v>
      </c>
      <c r="CL243" s="3154">
        <v>-9999</v>
      </c>
      <c r="CM243" s="3154">
        <v>-9999</v>
      </c>
      <c r="CN243" s="3154">
        <v>0.66114456999999993</v>
      </c>
      <c r="CO243" s="3154">
        <v>0.70359129000000009</v>
      </c>
      <c r="CP243" s="3154">
        <v>0.72118107225000005</v>
      </c>
      <c r="CQ243" s="3154">
        <v>0.73921059905624997</v>
      </c>
      <c r="CR243" s="3154">
        <v>0.75769086403265618</v>
      </c>
      <c r="CS243" s="3154">
        <v>-9999</v>
      </c>
      <c r="CT243" s="3154">
        <v>-9999</v>
      </c>
      <c r="CU243" s="3154">
        <v>-9999</v>
      </c>
      <c r="CV243" s="3154">
        <v>-9999</v>
      </c>
      <c r="CW243" s="3154">
        <v>-9999</v>
      </c>
      <c r="CX243" s="3154">
        <v>-9999</v>
      </c>
      <c r="CY243" s="3154">
        <v>-9999</v>
      </c>
      <c r="CZ243" s="3154">
        <v>-9999</v>
      </c>
      <c r="DA243" s="3154">
        <v>0.70872000000000002</v>
      </c>
      <c r="DB243" s="3154">
        <v>0.72810999999999992</v>
      </c>
      <c r="DC243" s="3154">
        <v>0.74631274999999986</v>
      </c>
      <c r="DD243" s="3154">
        <v>0.7649705687499998</v>
      </c>
      <c r="DE243" s="3154">
        <v>0.78409483296874971</v>
      </c>
      <c r="DF243" s="3154">
        <v>-9999</v>
      </c>
      <c r="DG243" s="3154">
        <v>-9999</v>
      </c>
      <c r="DH243" s="3154">
        <v>-9999</v>
      </c>
      <c r="DI243" s="3154">
        <v>-9999</v>
      </c>
      <c r="DJ243" s="3154">
        <v>-9999</v>
      </c>
      <c r="DK243" s="3154">
        <v>-9999</v>
      </c>
      <c r="DL243" s="3154">
        <v>-9999</v>
      </c>
      <c r="DM243" s="3154">
        <v>-9999</v>
      </c>
      <c r="DN243" s="3154">
        <v>0.66665000000000008</v>
      </c>
      <c r="DO243" s="3154">
        <v>0.70872000000000002</v>
      </c>
      <c r="DP243" s="3154">
        <v>0.72810999999999992</v>
      </c>
      <c r="DQ243" s="3154">
        <v>0.74631274999999986</v>
      </c>
      <c r="DR243" s="3154">
        <v>0.7649705687499998</v>
      </c>
      <c r="DS243" s="3154">
        <v>-9999</v>
      </c>
      <c r="DT243" s="3154">
        <v>-9999</v>
      </c>
      <c r="DU243" s="3154">
        <v>-9999</v>
      </c>
      <c r="DV243" s="3154">
        <v>-9999</v>
      </c>
      <c r="DW243" s="3154">
        <v>-9999</v>
      </c>
      <c r="DX243" s="3154">
        <v>-9999</v>
      </c>
      <c r="DY243" s="3154">
        <v>-9999</v>
      </c>
      <c r="DZ243" s="3154">
        <v>-9999</v>
      </c>
      <c r="EA243" s="3157">
        <v>1.45797</v>
      </c>
      <c r="EB243" s="3157">
        <v>1.68685</v>
      </c>
      <c r="EC243" s="3157">
        <v>1.7290212499999997</v>
      </c>
      <c r="ED243" s="3157">
        <v>1.7722467812499996</v>
      </c>
      <c r="EE243" s="3157">
        <v>1.8165529507812495</v>
      </c>
      <c r="EF243" s="3157">
        <v>-9999</v>
      </c>
      <c r="EG243" s="3157">
        <v>-9999</v>
      </c>
      <c r="EH243" s="3157">
        <v>-9999</v>
      </c>
      <c r="EI243" s="3157">
        <v>-9999</v>
      </c>
      <c r="EJ243" s="3157">
        <v>-9999</v>
      </c>
      <c r="EK243" s="3157">
        <v>-9999</v>
      </c>
      <c r="EL243" s="3157">
        <v>-9999</v>
      </c>
      <c r="EM243" s="3157">
        <v>-9999</v>
      </c>
      <c r="EN243" s="3154"/>
      <c r="EO243" s="3154"/>
      <c r="EP243" s="3154"/>
      <c r="EQ243" s="3154"/>
      <c r="ER243" s="3154"/>
      <c r="ES243" s="3154"/>
    </row>
    <row r="244" spans="1:149">
      <c r="A244" s="22">
        <v>144</v>
      </c>
      <c r="B244" s="33" t="s">
        <v>1264</v>
      </c>
      <c r="C244" s="24">
        <f ca="1">OFFSET(Sector1!F422,0,Last_forecast_year - 3-InputY!$G$3)</f>
        <v>1.1040000000000001</v>
      </c>
      <c r="D244" s="24">
        <f ca="1">OFFSET(Sector1!G422,0,Last_forecast_year - 3-InputY!$G$3)</f>
        <v>1.14178</v>
      </c>
      <c r="E244" s="24">
        <f ca="1">OFFSET(Sector1!H422,0,Last_forecast_year - 3-InputY!$G$3)</f>
        <v>1.1817423</v>
      </c>
      <c r="F244" s="24">
        <f ca="1">OFFSET(Sector1!I422,0,Last_forecast_year - 3-InputY!$G$3)</f>
        <v>1.229011992</v>
      </c>
      <c r="G244" s="24">
        <f ca="1">OFFSET(Sector1!J422,0,Last_forecast_year - 3-InputY!$G$3)</f>
        <v>1.2720274117199999</v>
      </c>
      <c r="H244" s="25">
        <v>-9999</v>
      </c>
      <c r="I244" s="25">
        <v>-9999</v>
      </c>
      <c r="J244" s="25">
        <v>-9999</v>
      </c>
      <c r="K244" s="25">
        <v>-9999</v>
      </c>
      <c r="L244" s="25">
        <v>-9999</v>
      </c>
      <c r="M244" s="25">
        <v>-9999</v>
      </c>
      <c r="N244" s="25">
        <v>-9999</v>
      </c>
      <c r="O244" s="25">
        <v>-9999</v>
      </c>
      <c r="P244" s="26"/>
      <c r="Q244"/>
      <c r="AA244" s="22">
        <v>144</v>
      </c>
      <c r="AB244" s="1040" t="str">
        <f t="shared" si="31"/>
        <v>GG CONSUMPTION OF FIXED CAPITAL</v>
      </c>
      <c r="AC244" s="1040">
        <f>CHOOSE(Tables!$U$2,Transfer!CA244,Transfer!CN244,Transfer!DA244,Transfer!DN244,Transfer!EA244)</f>
        <v>2.6494599999999999</v>
      </c>
      <c r="AD244" s="1040">
        <f>CHOOSE(Tables!$U$2,Transfer!CB244,Transfer!CO244,Transfer!DB244,Transfer!DO244,Transfer!EB244)</f>
        <v>2.7229200000000002</v>
      </c>
      <c r="AE244" s="1040">
        <f>CHOOSE(Tables!$U$2,Transfer!CC244,Transfer!CP244,Transfer!DC244,Transfer!DP244,Transfer!EC244)</f>
        <v>2.8318368000000005</v>
      </c>
      <c r="AF244" s="1040">
        <f>CHOOSE(Tables!$U$2,Transfer!CD244,Transfer!CQ244,Transfer!DD244,Transfer!DQ244,Transfer!ED244)</f>
        <v>2.9451102720000004</v>
      </c>
      <c r="AG244" s="1040">
        <f>CHOOSE(Tables!$U$2,Transfer!CE244,Transfer!CR244,Transfer!DE244,Transfer!DR244,Transfer!EE244)</f>
        <v>3.0629146828800007</v>
      </c>
      <c r="AH244" s="1040">
        <f>CHOOSE(Tables!$U$2,Transfer!CF244,Transfer!CS244,Transfer!DF244,Transfer!DS244,Transfer!EF244)</f>
        <v>-9999</v>
      </c>
      <c r="AI244" s="1040">
        <f>CHOOSE(Tables!$U$2,Transfer!CG244,Transfer!CT244,Transfer!DG244,Transfer!DT244,Transfer!EG244)</f>
        <v>-9999</v>
      </c>
      <c r="AJ244" s="1040">
        <f>CHOOSE(Tables!$U$2,Transfer!CH244,Transfer!CU244,Transfer!DH244,Transfer!DU244,Transfer!EH244)</f>
        <v>-9999</v>
      </c>
      <c r="AK244" s="1040">
        <f>CHOOSE(Tables!$U$2,Transfer!CI244,Transfer!CV244,Transfer!DI244,Transfer!DV244,Transfer!EI244)</f>
        <v>-9999</v>
      </c>
      <c r="AL244" s="1040">
        <f>CHOOSE(Tables!$U$2,Transfer!CJ244,Transfer!CW244,Transfer!DJ244,Transfer!DW244,Transfer!EJ244)</f>
        <v>-9999</v>
      </c>
      <c r="AM244" s="1040">
        <f>CHOOSE(Tables!$U$2,Transfer!CK244,Transfer!CX244,Transfer!DK244,Transfer!DX244,Transfer!EK244)</f>
        <v>-9999</v>
      </c>
      <c r="AN244" s="1040">
        <f>CHOOSE(Tables!$U$2,Transfer!CL244,Transfer!CY244,Transfer!DL244,Transfer!DY244,Transfer!EL244)</f>
        <v>-9999</v>
      </c>
      <c r="AO244" s="1040">
        <f>CHOOSE(Tables!$U$2,Transfer!CM244,Transfer!CZ244,Transfer!DM244,Transfer!DZ244,Transfer!EM244)</f>
        <v>-9999</v>
      </c>
      <c r="AR244" s="22">
        <v>144</v>
      </c>
      <c r="AS244" s="30" t="s">
        <v>1705</v>
      </c>
      <c r="AT244" s="25">
        <f t="shared" ca="1" si="22"/>
        <v>-1.5454599999999998</v>
      </c>
      <c r="AU244" s="25">
        <f t="shared" ca="1" si="23"/>
        <v>-1.5811400000000002</v>
      </c>
      <c r="AV244" s="25">
        <f t="shared" ca="1" si="24"/>
        <v>-1.6500945000000005</v>
      </c>
      <c r="AW244" s="25">
        <f t="shared" ca="1" si="25"/>
        <v>-1.7160982800000004</v>
      </c>
      <c r="AX244" s="25">
        <f t="shared" ca="1" si="26"/>
        <v>-1.7908872711600008</v>
      </c>
      <c r="AY244" s="25">
        <f t="shared" si="27"/>
        <v>0</v>
      </c>
      <c r="AZ244" s="25">
        <f t="shared" si="28"/>
        <v>0</v>
      </c>
      <c r="BA244" s="25">
        <f t="shared" si="29"/>
        <v>0</v>
      </c>
      <c r="BB244" s="25">
        <f t="shared" si="30"/>
        <v>0</v>
      </c>
      <c r="BC244" s="25">
        <f t="shared" si="21"/>
        <v>0</v>
      </c>
      <c r="BD244" s="25">
        <f t="shared" si="21"/>
        <v>0</v>
      </c>
      <c r="BE244" s="25">
        <f t="shared" si="21"/>
        <v>0</v>
      </c>
      <c r="BF244" s="25">
        <f t="shared" si="21"/>
        <v>0</v>
      </c>
      <c r="CA244" s="16">
        <v>1.00902</v>
      </c>
      <c r="CB244" s="16">
        <v>1.07334</v>
      </c>
      <c r="CC244" s="16">
        <v>1.1162736</v>
      </c>
      <c r="CD244" s="16">
        <v>1.160924544</v>
      </c>
      <c r="CE244" s="16">
        <v>1.2073615257600001</v>
      </c>
      <c r="CF244" s="16">
        <v>-9999</v>
      </c>
      <c r="CG244" s="16">
        <v>-9999</v>
      </c>
      <c r="CH244" s="16">
        <v>-9999</v>
      </c>
      <c r="CI244" s="16">
        <v>-9999</v>
      </c>
      <c r="CJ244" s="16">
        <v>-9999</v>
      </c>
      <c r="CK244" s="16">
        <v>-9999</v>
      </c>
      <c r="CL244" s="16">
        <v>-9999</v>
      </c>
      <c r="CM244" s="16">
        <v>-9999</v>
      </c>
      <c r="CN244" s="16">
        <v>0.94776702999999995</v>
      </c>
      <c r="CO244" s="16">
        <v>1.00901587</v>
      </c>
      <c r="CP244" s="16">
        <v>1.0493765048000001</v>
      </c>
      <c r="CQ244" s="16">
        <v>1.0913515649920003</v>
      </c>
      <c r="CR244" s="16">
        <v>1.1350056275916802</v>
      </c>
      <c r="CS244" s="16">
        <v>-9999</v>
      </c>
      <c r="CT244" s="16">
        <v>-9999</v>
      </c>
      <c r="CU244" s="16">
        <v>-9999</v>
      </c>
      <c r="CV244" s="16">
        <v>-9999</v>
      </c>
      <c r="CW244" s="16">
        <v>-9999</v>
      </c>
      <c r="CX244" s="16">
        <v>-9999</v>
      </c>
      <c r="CY244" s="16">
        <v>-9999</v>
      </c>
      <c r="CZ244" s="16">
        <v>-9999</v>
      </c>
      <c r="DA244" s="16">
        <v>1.00902</v>
      </c>
      <c r="DB244" s="16">
        <v>1.07334</v>
      </c>
      <c r="DC244" s="16">
        <v>1.1162736</v>
      </c>
      <c r="DD244" s="16">
        <v>1.160924544</v>
      </c>
      <c r="DE244" s="16">
        <v>1.2073615257600001</v>
      </c>
      <c r="DF244" s="16">
        <v>-9999</v>
      </c>
      <c r="DG244" s="16">
        <v>-9999</v>
      </c>
      <c r="DH244" s="16">
        <v>-9999</v>
      </c>
      <c r="DI244" s="16">
        <v>-9999</v>
      </c>
      <c r="DJ244" s="16">
        <v>-9999</v>
      </c>
      <c r="DK244" s="16">
        <v>-9999</v>
      </c>
      <c r="DL244" s="16">
        <v>-9999</v>
      </c>
      <c r="DM244" s="16">
        <v>-9999</v>
      </c>
      <c r="DN244" s="16">
        <v>0.94777</v>
      </c>
      <c r="DO244" s="16">
        <v>1.00902</v>
      </c>
      <c r="DP244" s="16">
        <v>1.07334</v>
      </c>
      <c r="DQ244" s="16">
        <v>1.1162736</v>
      </c>
      <c r="DR244" s="16">
        <v>1.160924544</v>
      </c>
      <c r="DS244" s="16">
        <v>-9999</v>
      </c>
      <c r="DT244" s="16">
        <v>-9999</v>
      </c>
      <c r="DU244" s="16">
        <v>-9999</v>
      </c>
      <c r="DV244" s="16">
        <v>-9999</v>
      </c>
      <c r="DW244" s="16">
        <v>-9999</v>
      </c>
      <c r="DX244" s="16">
        <v>-9999</v>
      </c>
      <c r="DY244" s="16">
        <v>-9999</v>
      </c>
      <c r="DZ244" s="16">
        <v>-9999</v>
      </c>
      <c r="EA244" s="2197">
        <v>2.6494599999999999</v>
      </c>
      <c r="EB244" s="2197">
        <v>2.7229200000000002</v>
      </c>
      <c r="EC244" s="2197">
        <v>2.8318368000000005</v>
      </c>
      <c r="ED244" s="2197">
        <v>2.9451102720000004</v>
      </c>
      <c r="EE244" s="2197">
        <v>3.0629146828800007</v>
      </c>
      <c r="EF244" s="2197">
        <v>-9999</v>
      </c>
      <c r="EG244" s="2197">
        <v>-9999</v>
      </c>
      <c r="EH244" s="2197">
        <v>-9999</v>
      </c>
      <c r="EI244" s="2197">
        <v>-9999</v>
      </c>
      <c r="EJ244" s="2197">
        <v>-9999</v>
      </c>
      <c r="EK244" s="2197">
        <v>-9999</v>
      </c>
      <c r="EL244" s="2197">
        <v>-9999</v>
      </c>
      <c r="EM244" s="2197">
        <v>-9999</v>
      </c>
    </row>
    <row r="245" spans="1:149">
      <c r="A245" s="22">
        <v>145</v>
      </c>
      <c r="B245" s="33" t="s">
        <v>1584</v>
      </c>
      <c r="C245" s="24">
        <f ca="1">OFFSET(Sector1!F419,0,Last_forecast_year - 3-InputY!$G$3)</f>
        <v>1.8676900000000001</v>
      </c>
      <c r="D245" s="24">
        <f ca="1">OFFSET(Sector1!G419,0,Last_forecast_year - 3-InputY!$G$3)</f>
        <v>1.84643</v>
      </c>
      <c r="E245" s="24">
        <f ca="1">OFFSET(Sector1!H419,0,Last_forecast_year - 3-InputY!$G$3)</f>
        <v>1.8754002492738726</v>
      </c>
      <c r="F245" s="24">
        <f ca="1">OFFSET(Sector1!I419,0,Last_forecast_year - 3-InputY!$G$3)</f>
        <v>2.0133065466654987</v>
      </c>
      <c r="G245" s="24">
        <f ca="1">OFFSET(Sector1!J419,0,Last_forecast_year - 3-InputY!$G$3)</f>
        <v>2.1138316020828603</v>
      </c>
      <c r="H245" s="25">
        <v>-9999</v>
      </c>
      <c r="I245" s="25">
        <v>-9999</v>
      </c>
      <c r="J245" s="25">
        <v>-9999</v>
      </c>
      <c r="K245" s="25">
        <v>-9999</v>
      </c>
      <c r="L245" s="25">
        <v>-9999</v>
      </c>
      <c r="M245" s="25">
        <v>-9999</v>
      </c>
      <c r="N245" s="25">
        <v>-9999</v>
      </c>
      <c r="O245" s="25">
        <v>-9999</v>
      </c>
      <c r="P245" s="26"/>
      <c r="Q245"/>
      <c r="AA245" s="22">
        <v>145</v>
      </c>
      <c r="AB245" s="1040" t="str">
        <f t="shared" si="31"/>
        <v>GG INTERMEDIATE CONSUMPTION</v>
      </c>
      <c r="AC245" s="1040">
        <f>CHOOSE(Tables!$U$2,Transfer!CA245,Transfer!CN245,Transfer!DA245,Transfer!DN245,Transfer!EA245)</f>
        <v>5.5809199999999999</v>
      </c>
      <c r="AD245" s="1040">
        <f>CHOOSE(Tables!$U$2,Transfer!CB245,Transfer!CO245,Transfer!DB245,Transfer!DO245,Transfer!EB245)</f>
        <v>5.75936</v>
      </c>
      <c r="AE245" s="1040">
        <f>CHOOSE(Tables!$U$2,Transfer!CC245,Transfer!CP245,Transfer!DC245,Transfer!DP245,Transfer!EC245)</f>
        <v>5.6298466320999996</v>
      </c>
      <c r="AF245" s="1040">
        <f>CHOOSE(Tables!$U$2,Transfer!CD245,Transfer!CQ245,Transfer!DD245,Transfer!DQ245,Transfer!ED245)</f>
        <v>5.426226415128995</v>
      </c>
      <c r="AG245" s="1040">
        <f>CHOOSE(Tables!$U$2,Transfer!CE245,Transfer!CR245,Transfer!DE245,Transfer!DR245,Transfer!EE245)</f>
        <v>5.4524086720904563</v>
      </c>
      <c r="AH245" s="1040">
        <f>CHOOSE(Tables!$U$2,Transfer!CF245,Transfer!CS245,Transfer!DF245,Transfer!DS245,Transfer!EF245)</f>
        <v>-9999</v>
      </c>
      <c r="AI245" s="1040">
        <f>CHOOSE(Tables!$U$2,Transfer!CG245,Transfer!CT245,Transfer!DG245,Transfer!DT245,Transfer!EG245)</f>
        <v>-9999</v>
      </c>
      <c r="AJ245" s="1040">
        <f>CHOOSE(Tables!$U$2,Transfer!CH245,Transfer!CU245,Transfer!DH245,Transfer!DU245,Transfer!EH245)</f>
        <v>-9999</v>
      </c>
      <c r="AK245" s="1040">
        <f>CHOOSE(Tables!$U$2,Transfer!CI245,Transfer!CV245,Transfer!DI245,Transfer!DV245,Transfer!EI245)</f>
        <v>-9999</v>
      </c>
      <c r="AL245" s="1040">
        <f>CHOOSE(Tables!$U$2,Transfer!CJ245,Transfer!CW245,Transfer!DJ245,Transfer!DW245,Transfer!EJ245)</f>
        <v>-9999</v>
      </c>
      <c r="AM245" s="1040">
        <f>CHOOSE(Tables!$U$2,Transfer!CK245,Transfer!CX245,Transfer!DK245,Transfer!DX245,Transfer!EK245)</f>
        <v>-9999</v>
      </c>
      <c r="AN245" s="1040">
        <f>CHOOSE(Tables!$U$2,Transfer!CL245,Transfer!CY245,Transfer!DL245,Transfer!DY245,Transfer!EL245)</f>
        <v>-9999</v>
      </c>
      <c r="AO245" s="1040">
        <f>CHOOSE(Tables!$U$2,Transfer!CM245,Transfer!CZ245,Transfer!DM245,Transfer!DZ245,Transfer!EM245)</f>
        <v>-9999</v>
      </c>
      <c r="AR245" s="22">
        <v>145</v>
      </c>
      <c r="AS245" s="30" t="s">
        <v>1705</v>
      </c>
      <c r="AT245" s="25">
        <f t="shared" ca="1" si="22"/>
        <v>-3.7132299999999998</v>
      </c>
      <c r="AU245" s="25">
        <f t="shared" ca="1" si="23"/>
        <v>-3.9129300000000002</v>
      </c>
      <c r="AV245" s="25">
        <f t="shared" ca="1" si="24"/>
        <v>-3.754446382826127</v>
      </c>
      <c r="AW245" s="25">
        <f t="shared" ca="1" si="25"/>
        <v>-3.4129198684634963</v>
      </c>
      <c r="AX245" s="25">
        <f t="shared" ca="1" si="26"/>
        <v>-3.3385770700075961</v>
      </c>
      <c r="AY245" s="25">
        <f t="shared" si="27"/>
        <v>0</v>
      </c>
      <c r="AZ245" s="25">
        <f t="shared" si="28"/>
        <v>0</v>
      </c>
      <c r="BA245" s="25">
        <f t="shared" si="29"/>
        <v>0</v>
      </c>
      <c r="BB245" s="25">
        <f t="shared" si="30"/>
        <v>0</v>
      </c>
      <c r="BC245" s="25">
        <f t="shared" si="21"/>
        <v>0</v>
      </c>
      <c r="BD245" s="25">
        <f t="shared" si="21"/>
        <v>0</v>
      </c>
      <c r="BE245" s="25">
        <f t="shared" si="21"/>
        <v>0</v>
      </c>
      <c r="BF245" s="25">
        <f t="shared" si="21"/>
        <v>0</v>
      </c>
      <c r="CA245" s="16">
        <v>1.6516099999999998</v>
      </c>
      <c r="CB245" s="16">
        <v>1.7343900000000001</v>
      </c>
      <c r="CC245" s="16">
        <v>1.793406282264999</v>
      </c>
      <c r="CD245" s="16">
        <v>1.8311902134426759</v>
      </c>
      <c r="CE245" s="16">
        <v>1.8796303954540465</v>
      </c>
      <c r="CF245" s="16">
        <v>-9999</v>
      </c>
      <c r="CG245" s="16">
        <v>-9999</v>
      </c>
      <c r="CH245" s="16">
        <v>-9999</v>
      </c>
      <c r="CI245" s="16">
        <v>-9999</v>
      </c>
      <c r="CJ245" s="16">
        <v>-9999</v>
      </c>
      <c r="CK245" s="16">
        <v>-9999</v>
      </c>
      <c r="CL245" s="16">
        <v>-9999</v>
      </c>
      <c r="CM245" s="16">
        <v>-9999</v>
      </c>
      <c r="CN245" s="16">
        <v>1.63951286</v>
      </c>
      <c r="CO245" s="16">
        <v>1.6486532700000001</v>
      </c>
      <c r="CP245" s="16">
        <v>1.7108804523901726</v>
      </c>
      <c r="CQ245" s="16">
        <v>1.8136520426858445</v>
      </c>
      <c r="CR245" s="16">
        <v>1.8890680644366471</v>
      </c>
      <c r="CS245" s="16">
        <v>-9999</v>
      </c>
      <c r="CT245" s="16">
        <v>-9999</v>
      </c>
      <c r="CU245" s="16">
        <v>-9999</v>
      </c>
      <c r="CV245" s="16">
        <v>-9999</v>
      </c>
      <c r="CW245" s="16">
        <v>-9999</v>
      </c>
      <c r="CX245" s="16">
        <v>-9999</v>
      </c>
      <c r="CY245" s="16">
        <v>-9999</v>
      </c>
      <c r="CZ245" s="16">
        <v>-9999</v>
      </c>
      <c r="DA245" s="16">
        <v>1.65211</v>
      </c>
      <c r="DB245" s="16">
        <v>1.7382</v>
      </c>
      <c r="DC245" s="16">
        <v>1.7266590581999988</v>
      </c>
      <c r="DD245" s="16">
        <v>1.6857480653330714</v>
      </c>
      <c r="DE245" s="16">
        <v>1.5809832842051574</v>
      </c>
      <c r="DF245" s="16">
        <v>-9999</v>
      </c>
      <c r="DG245" s="16">
        <v>-9999</v>
      </c>
      <c r="DH245" s="16">
        <v>-9999</v>
      </c>
      <c r="DI245" s="16">
        <v>-9999</v>
      </c>
      <c r="DJ245" s="16">
        <v>-9999</v>
      </c>
      <c r="DK245" s="16">
        <v>-9999</v>
      </c>
      <c r="DL245" s="16">
        <v>-9999</v>
      </c>
      <c r="DM245" s="16">
        <v>-9999</v>
      </c>
      <c r="DN245" s="16">
        <v>1.6431500000000001</v>
      </c>
      <c r="DO245" s="16">
        <v>1.65211</v>
      </c>
      <c r="DP245" s="16">
        <v>1.7382</v>
      </c>
      <c r="DQ245" s="16">
        <v>1.7230178972523333</v>
      </c>
      <c r="DR245" s="16">
        <v>1.7933359520021548</v>
      </c>
      <c r="DS245" s="16">
        <v>-9999</v>
      </c>
      <c r="DT245" s="16">
        <v>-9999</v>
      </c>
      <c r="DU245" s="16">
        <v>-9999</v>
      </c>
      <c r="DV245" s="16">
        <v>-9999</v>
      </c>
      <c r="DW245" s="16">
        <v>-9999</v>
      </c>
      <c r="DX245" s="16">
        <v>-9999</v>
      </c>
      <c r="DY245" s="16">
        <v>-9999</v>
      </c>
      <c r="DZ245" s="16">
        <v>-9999</v>
      </c>
      <c r="EA245" s="2197">
        <v>5.5809199999999999</v>
      </c>
      <c r="EB245" s="2197">
        <v>5.75936</v>
      </c>
      <c r="EC245" s="2197">
        <v>5.6298466320999996</v>
      </c>
      <c r="ED245" s="2197">
        <v>5.426226415128995</v>
      </c>
      <c r="EE245" s="2197">
        <v>5.4524086720904563</v>
      </c>
      <c r="EF245" s="2197">
        <v>-9999</v>
      </c>
      <c r="EG245" s="2197">
        <v>-9999</v>
      </c>
      <c r="EH245" s="2197">
        <v>-9999</v>
      </c>
      <c r="EI245" s="2197">
        <v>-9999</v>
      </c>
      <c r="EJ245" s="2197">
        <v>-9999</v>
      </c>
      <c r="EK245" s="2197">
        <v>-9999</v>
      </c>
      <c r="EL245" s="2197">
        <v>-9999</v>
      </c>
      <c r="EM245" s="2197">
        <v>-9999</v>
      </c>
    </row>
    <row r="246" spans="1:149">
      <c r="A246" s="22">
        <v>146</v>
      </c>
      <c r="B246" s="33" t="s">
        <v>789</v>
      </c>
      <c r="C246" s="24">
        <f ca="1">OFFSET(Sector1!F420,0,Last_forecast_year - 3-InputY!$G$3)</f>
        <v>0.61829999999999996</v>
      </c>
      <c r="D246" s="24">
        <f ca="1">OFFSET(Sector1!G420,0,Last_forecast_year - 3-InputY!$G$3)</f>
        <v>0.64269000000000009</v>
      </c>
      <c r="E246" s="24">
        <f ca="1">OFFSET(Sector1!H420,0,Last_forecast_year - 3-InputY!$G$3)</f>
        <v>0.66518415000000009</v>
      </c>
      <c r="F246" s="24">
        <f ca="1">OFFSET(Sector1!I420,0,Last_forecast_year - 3-InputY!$G$3)</f>
        <v>0.68846559525000006</v>
      </c>
      <c r="G246" s="24">
        <f ca="1">OFFSET(Sector1!J420,0,Last_forecast_year - 3-InputY!$G$3)</f>
        <v>0.70911956310750013</v>
      </c>
      <c r="H246" s="25">
        <v>-9999</v>
      </c>
      <c r="I246" s="25">
        <v>-9999</v>
      </c>
      <c r="J246" s="25">
        <v>-9999</v>
      </c>
      <c r="K246" s="25">
        <v>-9999</v>
      </c>
      <c r="L246" s="25">
        <v>-9999</v>
      </c>
      <c r="M246" s="25">
        <v>-9999</v>
      </c>
      <c r="N246" s="25">
        <v>-9999</v>
      </c>
      <c r="O246" s="25">
        <v>-9999</v>
      </c>
      <c r="P246" s="26"/>
      <c r="Q246"/>
      <c r="AA246" s="22">
        <v>146</v>
      </c>
      <c r="AB246" s="1040" t="str">
        <f t="shared" si="31"/>
        <v>GG SOC TRANSF IN KIND VIA MARKET PRODUCERS</v>
      </c>
      <c r="AC246" s="1040">
        <f>CHOOSE(Tables!$U$2,Transfer!CA246,Transfer!CN246,Transfer!DA246,Transfer!DN246,Transfer!EA246)</f>
        <v>2.1401699999999999</v>
      </c>
      <c r="AD246" s="1040">
        <f>CHOOSE(Tables!$U$2,Transfer!CB246,Transfer!CO246,Transfer!DB246,Transfer!DO246,Transfer!EB246)</f>
        <v>2.0189400000000002</v>
      </c>
      <c r="AE246" s="1040">
        <f>CHOOSE(Tables!$U$2,Transfer!CC246,Transfer!CP246,Transfer!DC246,Transfer!DP246,Transfer!EC246)</f>
        <v>2.0391294000000002</v>
      </c>
      <c r="AF246" s="1040">
        <f>CHOOSE(Tables!$U$2,Transfer!CD246,Transfer!CQ246,Transfer!DD246,Transfer!DQ246,Transfer!ED246)</f>
        <v>2.0595206940000002</v>
      </c>
      <c r="AG246" s="1040">
        <f>CHOOSE(Tables!$U$2,Transfer!CE246,Transfer!CR246,Transfer!DE246,Transfer!DR246,Transfer!EE246)</f>
        <v>2.0801159009400001</v>
      </c>
      <c r="AH246" s="1040">
        <f>CHOOSE(Tables!$U$2,Transfer!CF246,Transfer!CS246,Transfer!DF246,Transfer!DS246,Transfer!EF246)</f>
        <v>-9999</v>
      </c>
      <c r="AI246" s="1040">
        <f>CHOOSE(Tables!$U$2,Transfer!CG246,Transfer!CT246,Transfer!DG246,Transfer!DT246,Transfer!EG246)</f>
        <v>-9999</v>
      </c>
      <c r="AJ246" s="1040">
        <f>CHOOSE(Tables!$U$2,Transfer!CH246,Transfer!CU246,Transfer!DH246,Transfer!DU246,Transfer!EH246)</f>
        <v>-9999</v>
      </c>
      <c r="AK246" s="1040">
        <f>CHOOSE(Tables!$U$2,Transfer!CI246,Transfer!CV246,Transfer!DI246,Transfer!DV246,Transfer!EI246)</f>
        <v>-9999</v>
      </c>
      <c r="AL246" s="1040">
        <f>CHOOSE(Tables!$U$2,Transfer!CJ246,Transfer!CW246,Transfer!DJ246,Transfer!DW246,Transfer!EJ246)</f>
        <v>-9999</v>
      </c>
      <c r="AM246" s="1040">
        <f>CHOOSE(Tables!$U$2,Transfer!CK246,Transfer!CX246,Transfer!DK246,Transfer!DX246,Transfer!EK246)</f>
        <v>-9999</v>
      </c>
      <c r="AN246" s="1040">
        <f>CHOOSE(Tables!$U$2,Transfer!CL246,Transfer!CY246,Transfer!DL246,Transfer!DY246,Transfer!EL246)</f>
        <v>-9999</v>
      </c>
      <c r="AO246" s="1040">
        <f>CHOOSE(Tables!$U$2,Transfer!CM246,Transfer!CZ246,Transfer!DM246,Transfer!DZ246,Transfer!EM246)</f>
        <v>-9999</v>
      </c>
      <c r="AR246" s="22">
        <v>146</v>
      </c>
      <c r="AS246" s="30" t="s">
        <v>1705</v>
      </c>
      <c r="AT246" s="25">
        <f t="shared" ref="AT246:AT256" ca="1" si="33">C246-AC246</f>
        <v>-1.5218699999999998</v>
      </c>
      <c r="AU246" s="25">
        <f t="shared" ref="AU246:AU256" ca="1" si="34">D246-AD246</f>
        <v>-1.3762500000000002</v>
      </c>
      <c r="AV246" s="25">
        <f t="shared" ref="AV246:AV256" ca="1" si="35">E246-AE246</f>
        <v>-1.3739452500000002</v>
      </c>
      <c r="AW246" s="25">
        <f t="shared" ref="AW246:AW256" ca="1" si="36">F246-AF246</f>
        <v>-1.3710550987500001</v>
      </c>
      <c r="AX246" s="25">
        <f t="shared" ref="AX246:AX256" ca="1" si="37">G246-AG246</f>
        <v>-1.3709963378325001</v>
      </c>
      <c r="AY246" s="25">
        <f t="shared" ref="AY246:AY256" si="38">H246-AH246</f>
        <v>0</v>
      </c>
      <c r="AZ246" s="25">
        <f t="shared" ref="AZ246:AZ256" si="39">I246-AI246</f>
        <v>0</v>
      </c>
      <c r="BA246" s="25">
        <f t="shared" ref="BA246:BA256" si="40">J246-AJ246</f>
        <v>0</v>
      </c>
      <c r="BB246" s="25">
        <f t="shared" ref="BB246:BB256" si="41">K246-AK246</f>
        <v>0</v>
      </c>
      <c r="BC246" s="25">
        <f t="shared" si="21"/>
        <v>0</v>
      </c>
      <c r="BD246" s="25">
        <f t="shared" si="21"/>
        <v>0</v>
      </c>
      <c r="BE246" s="25">
        <f t="shared" si="21"/>
        <v>0</v>
      </c>
      <c r="BF246" s="25">
        <f t="shared" si="21"/>
        <v>0</v>
      </c>
      <c r="CA246" s="16">
        <v>0.59125000000000005</v>
      </c>
      <c r="CB246" s="16">
        <v>0.64290000000000003</v>
      </c>
      <c r="CC246" s="16">
        <v>0.65479365</v>
      </c>
      <c r="CD246" s="16">
        <v>0.66788952300000004</v>
      </c>
      <c r="CE246" s="16">
        <v>0.6879262086900001</v>
      </c>
      <c r="CF246" s="16">
        <v>-9999</v>
      </c>
      <c r="CG246" s="16">
        <v>-9999</v>
      </c>
      <c r="CH246" s="16">
        <v>-9999</v>
      </c>
      <c r="CI246" s="16">
        <v>-9999</v>
      </c>
      <c r="CJ246" s="16">
        <v>-9999</v>
      </c>
      <c r="CK246" s="16">
        <v>-9999</v>
      </c>
      <c r="CL246" s="16">
        <v>-9999</v>
      </c>
      <c r="CM246" s="16">
        <v>-9999</v>
      </c>
      <c r="CN246" s="16">
        <v>0.58472544000000004</v>
      </c>
      <c r="CO246" s="16">
        <v>0.59125348</v>
      </c>
      <c r="CP246" s="16">
        <v>0.60189604263999996</v>
      </c>
      <c r="CQ246" s="16">
        <v>0.61303111942883992</v>
      </c>
      <c r="CR246" s="16">
        <v>0.62529174181741676</v>
      </c>
      <c r="CS246" s="16">
        <v>-9999</v>
      </c>
      <c r="CT246" s="16">
        <v>-9999</v>
      </c>
      <c r="CU246" s="16">
        <v>-9999</v>
      </c>
      <c r="CV246" s="16">
        <v>-9999</v>
      </c>
      <c r="CW246" s="16">
        <v>-9999</v>
      </c>
      <c r="CX246" s="16">
        <v>-9999</v>
      </c>
      <c r="CY246" s="16">
        <v>-9999</v>
      </c>
      <c r="CZ246" s="16">
        <v>-9999</v>
      </c>
      <c r="DA246" s="16">
        <v>0.59125000000000005</v>
      </c>
      <c r="DB246" s="16">
        <v>0.64290000000000003</v>
      </c>
      <c r="DC246" s="16">
        <v>0.65479365</v>
      </c>
      <c r="DD246" s="16">
        <v>0.66788952300000004</v>
      </c>
      <c r="DE246" s="16">
        <v>0.6879262086900001</v>
      </c>
      <c r="DF246" s="16">
        <v>-9999</v>
      </c>
      <c r="DG246" s="16">
        <v>-9999</v>
      </c>
      <c r="DH246" s="16">
        <v>-9999</v>
      </c>
      <c r="DI246" s="16">
        <v>-9999</v>
      </c>
      <c r="DJ246" s="16">
        <v>-9999</v>
      </c>
      <c r="DK246" s="16">
        <v>-9999</v>
      </c>
      <c r="DL246" s="16">
        <v>-9999</v>
      </c>
      <c r="DM246" s="16">
        <v>-9999</v>
      </c>
      <c r="DN246" s="16">
        <v>0.58472999999999997</v>
      </c>
      <c r="DO246" s="16">
        <v>0.59125000000000005</v>
      </c>
      <c r="DP246" s="16">
        <v>0.64290000000000003</v>
      </c>
      <c r="DQ246" s="16">
        <v>0.65479365</v>
      </c>
      <c r="DR246" s="16">
        <v>0.66788952300000004</v>
      </c>
      <c r="DS246" s="16">
        <v>-9999</v>
      </c>
      <c r="DT246" s="16">
        <v>-9999</v>
      </c>
      <c r="DU246" s="16">
        <v>-9999</v>
      </c>
      <c r="DV246" s="16">
        <v>-9999</v>
      </c>
      <c r="DW246" s="16">
        <v>-9999</v>
      </c>
      <c r="DX246" s="16">
        <v>-9999</v>
      </c>
      <c r="DY246" s="16">
        <v>-9999</v>
      </c>
      <c r="DZ246" s="16">
        <v>-9999</v>
      </c>
      <c r="EA246" s="2197">
        <v>2.1401699999999999</v>
      </c>
      <c r="EB246" s="2197">
        <v>2.0189400000000002</v>
      </c>
      <c r="EC246" s="2197">
        <v>2.0391294000000002</v>
      </c>
      <c r="ED246" s="2197">
        <v>2.0595206940000002</v>
      </c>
      <c r="EE246" s="2197">
        <v>2.0801159009400001</v>
      </c>
      <c r="EF246" s="2197">
        <v>-9999</v>
      </c>
      <c r="EG246" s="2197">
        <v>-9999</v>
      </c>
      <c r="EH246" s="2197">
        <v>-9999</v>
      </c>
      <c r="EI246" s="2197">
        <v>-9999</v>
      </c>
      <c r="EJ246" s="2197">
        <v>-9999</v>
      </c>
      <c r="EK246" s="2197">
        <v>-9999</v>
      </c>
      <c r="EL246" s="2197">
        <v>-9999</v>
      </c>
      <c r="EM246" s="2197">
        <v>-9999</v>
      </c>
    </row>
    <row r="247" spans="1:149">
      <c r="A247" s="22">
        <v>147</v>
      </c>
      <c r="B247" s="29" t="s">
        <v>78</v>
      </c>
      <c r="C247" s="1344">
        <f ca="1">OFFSET('VVP2'!F288,0,Last_forecast_year - 3-InputY!$G$3)</f>
        <v>14.048900000000001</v>
      </c>
      <c r="D247" s="1344">
        <f ca="1">OFFSET('VVP2'!G288,0,Last_forecast_year - 3-InputY!$G$3)</f>
        <v>13.721000000000002</v>
      </c>
      <c r="E247" s="1344">
        <f ca="1">OFFSET('VVP2'!H288,0,Last_forecast_year - 3-InputY!$G$3)</f>
        <v>15.371</v>
      </c>
      <c r="F247" s="1344">
        <f ca="1">OFFSET('VVP2'!I288,0,Last_forecast_year - 3-InputY!$G$3)</f>
        <v>17.659465447348634</v>
      </c>
      <c r="G247" s="1344">
        <f ca="1">OFFSET('VVP2'!J288,0,Last_forecast_year - 3-InputY!$G$3)</f>
        <v>18.927709970692618</v>
      </c>
      <c r="H247" s="25">
        <v>-9999</v>
      </c>
      <c r="I247" s="25">
        <v>-9999</v>
      </c>
      <c r="J247" s="25">
        <v>-9999</v>
      </c>
      <c r="K247" s="25">
        <v>-9999</v>
      </c>
      <c r="L247" s="25">
        <v>-9999</v>
      </c>
      <c r="M247" s="25">
        <v>-9999</v>
      </c>
      <c r="N247" s="25">
        <v>-9999</v>
      </c>
      <c r="O247" s="25">
        <v>-9999</v>
      </c>
      <c r="P247" s="26"/>
      <c r="Q247"/>
      <c r="AA247" s="22">
        <v>147</v>
      </c>
      <c r="AB247" s="1040" t="str">
        <f t="shared" si="31"/>
        <v>EXPORTS OF GOODS INTRA-EU (FOB)</v>
      </c>
      <c r="AC247" s="1040">
        <f>CHOOSE(Tables!$U$2,Transfer!CA247,Transfer!CN247,Transfer!DA247,Transfer!DN247,Transfer!EA247)</f>
        <v>42.716315199999997</v>
      </c>
      <c r="AD247" s="1040">
        <f>CHOOSE(Tables!$U$2,Transfer!CB247,Transfer!CO247,Transfer!DB247,Transfer!DO247,Transfer!EB247)</f>
        <v>48.184169279999999</v>
      </c>
      <c r="AE247" s="1040">
        <f>CHOOSE(Tables!$U$2,Transfer!CC247,Transfer!CP247,Transfer!DC247,Transfer!DP247,Transfer!EC247)</f>
        <v>50.616307519544961</v>
      </c>
      <c r="AF247" s="1040">
        <f>CHOOSE(Tables!$U$2,Transfer!CD247,Transfer!CQ247,Transfer!DD247,Transfer!DQ247,Transfer!ED247)</f>
        <v>54.650405709152267</v>
      </c>
      <c r="AG247" s="1040">
        <f>CHOOSE(Tables!$U$2,Transfer!CE247,Transfer!CR247,Transfer!DE247,Transfer!DR247,Transfer!EE247)</f>
        <v>59.876143555492668</v>
      </c>
      <c r="AH247" s="1040">
        <f>CHOOSE(Tables!$U$2,Transfer!CF247,Transfer!CS247,Transfer!DF247,Transfer!DS247,Transfer!EF247)</f>
        <v>-9999</v>
      </c>
      <c r="AI247" s="1040">
        <f>CHOOSE(Tables!$U$2,Transfer!CG247,Transfer!CT247,Transfer!DG247,Transfer!DT247,Transfer!EG247)</f>
        <v>-9999</v>
      </c>
      <c r="AJ247" s="1040">
        <f>CHOOSE(Tables!$U$2,Transfer!CH247,Transfer!CU247,Transfer!DH247,Transfer!DU247,Transfer!EH247)</f>
        <v>-9999</v>
      </c>
      <c r="AK247" s="1040">
        <f>CHOOSE(Tables!$U$2,Transfer!CI247,Transfer!CV247,Transfer!DI247,Transfer!DV247,Transfer!EI247)</f>
        <v>-9999</v>
      </c>
      <c r="AL247" s="1040">
        <f>CHOOSE(Tables!$U$2,Transfer!CJ247,Transfer!CW247,Transfer!DJ247,Transfer!DW247,Transfer!EJ247)</f>
        <v>-9999</v>
      </c>
      <c r="AM247" s="1040">
        <f>CHOOSE(Tables!$U$2,Transfer!CK247,Transfer!CX247,Transfer!DK247,Transfer!DX247,Transfer!EK247)</f>
        <v>-9999</v>
      </c>
      <c r="AN247" s="1040">
        <f>CHOOSE(Tables!$U$2,Transfer!CL247,Transfer!CY247,Transfer!DL247,Transfer!DY247,Transfer!EL247)</f>
        <v>-9999</v>
      </c>
      <c r="AO247" s="1040">
        <f>CHOOSE(Tables!$U$2,Transfer!CM247,Transfer!CZ247,Transfer!DM247,Transfer!DZ247,Transfer!EM247)</f>
        <v>-9999</v>
      </c>
      <c r="AR247" s="22">
        <v>147</v>
      </c>
      <c r="AS247" s="29" t="s">
        <v>78</v>
      </c>
      <c r="AT247" s="1344">
        <f t="shared" ca="1" si="33"/>
        <v>-28.667415199999994</v>
      </c>
      <c r="AU247" s="1344">
        <f t="shared" ca="1" si="34"/>
        <v>-34.463169279999995</v>
      </c>
      <c r="AV247" s="1344">
        <f t="shared" ca="1" si="35"/>
        <v>-35.245307519544959</v>
      </c>
      <c r="AW247" s="1344">
        <f t="shared" ca="1" si="36"/>
        <v>-36.99094026180363</v>
      </c>
      <c r="AX247" s="1344">
        <f t="shared" ca="1" si="37"/>
        <v>-40.94843358480005</v>
      </c>
      <c r="AY247" s="25">
        <f t="shared" si="38"/>
        <v>0</v>
      </c>
      <c r="AZ247" s="25">
        <f t="shared" si="39"/>
        <v>0</v>
      </c>
      <c r="BA247" s="25">
        <f t="shared" si="40"/>
        <v>0</v>
      </c>
      <c r="BB247" s="25">
        <f t="shared" si="41"/>
        <v>0</v>
      </c>
      <c r="BC247" s="25">
        <f t="shared" si="21"/>
        <v>0</v>
      </c>
      <c r="BD247" s="25">
        <f t="shared" si="21"/>
        <v>0</v>
      </c>
      <c r="BE247" s="25">
        <f t="shared" si="21"/>
        <v>0</v>
      </c>
      <c r="BF247" s="25">
        <f t="shared" si="21"/>
        <v>0</v>
      </c>
      <c r="CA247" s="16">
        <v>13.612299999999999</v>
      </c>
      <c r="CB247" s="16">
        <v>13.358299999999998</v>
      </c>
      <c r="CC247" s="16">
        <v>15.594263634166975</v>
      </c>
      <c r="CD247" s="16">
        <v>16.441314506669364</v>
      </c>
      <c r="CE247" s="16">
        <v>17.635796334210863</v>
      </c>
      <c r="CF247" s="16">
        <v>-9999</v>
      </c>
      <c r="CG247" s="16">
        <v>-9999</v>
      </c>
      <c r="CH247" s="16">
        <v>-9999</v>
      </c>
      <c r="CI247" s="16">
        <v>-9999</v>
      </c>
      <c r="CJ247" s="16">
        <v>-9999</v>
      </c>
      <c r="CK247" s="16">
        <v>-9999</v>
      </c>
      <c r="CL247" s="16">
        <v>-9999</v>
      </c>
      <c r="CM247" s="16">
        <v>-9999</v>
      </c>
      <c r="CN247" s="16">
        <v>13.9551</v>
      </c>
      <c r="CO247" s="16">
        <v>13.612299999999999</v>
      </c>
      <c r="CP247" s="16">
        <v>14.357680509720749</v>
      </c>
      <c r="CQ247" s="16">
        <v>14.654518397631756</v>
      </c>
      <c r="CR247" s="16">
        <v>15.495646286657514</v>
      </c>
      <c r="CS247" s="16">
        <v>-9999</v>
      </c>
      <c r="CT247" s="16">
        <v>-9999</v>
      </c>
      <c r="CU247" s="16">
        <v>-9999</v>
      </c>
      <c r="CV247" s="16">
        <v>-9999</v>
      </c>
      <c r="CW247" s="16">
        <v>-9999</v>
      </c>
      <c r="CX247" s="16">
        <v>-9999</v>
      </c>
      <c r="CY247" s="16">
        <v>-9999</v>
      </c>
      <c r="CZ247" s="16">
        <v>-9999</v>
      </c>
      <c r="DA247" s="16">
        <v>13.612299999999999</v>
      </c>
      <c r="DB247" s="16">
        <v>13.388900000000001</v>
      </c>
      <c r="DC247" s="16">
        <v>15.44051531883917</v>
      </c>
      <c r="DD247" s="16">
        <v>16.513965238516356</v>
      </c>
      <c r="DE247" s="16">
        <v>17.550026345943657</v>
      </c>
      <c r="DF247" s="16">
        <v>-9999</v>
      </c>
      <c r="DG247" s="16">
        <v>-9999</v>
      </c>
      <c r="DH247" s="16">
        <v>-9999</v>
      </c>
      <c r="DI247" s="16">
        <v>-9999</v>
      </c>
      <c r="DJ247" s="16">
        <v>-9999</v>
      </c>
      <c r="DK247" s="16">
        <v>-9999</v>
      </c>
      <c r="DL247" s="16">
        <v>-9999</v>
      </c>
      <c r="DM247" s="16">
        <v>-9999</v>
      </c>
      <c r="DN247" s="16">
        <v>13.9551</v>
      </c>
      <c r="DO247" s="16">
        <v>13.612299999999999</v>
      </c>
      <c r="DP247" s="16">
        <v>14.357680509720749</v>
      </c>
      <c r="DQ247" s="16">
        <v>14.611604372029182</v>
      </c>
      <c r="DR247" s="16">
        <v>15.449846207005114</v>
      </c>
      <c r="DS247" s="16">
        <v>-9999</v>
      </c>
      <c r="DT247" s="16">
        <v>-9999</v>
      </c>
      <c r="DU247" s="16">
        <v>-9999</v>
      </c>
      <c r="DV247" s="16">
        <v>-9999</v>
      </c>
      <c r="DW247" s="16">
        <v>-9999</v>
      </c>
      <c r="DX247" s="16">
        <v>-9999</v>
      </c>
      <c r="DY247" s="16">
        <v>-9999</v>
      </c>
      <c r="DZ247" s="16">
        <v>-9999</v>
      </c>
      <c r="EA247" s="2196">
        <v>42.716315199999997</v>
      </c>
      <c r="EB247" s="2196">
        <v>48.184169279999999</v>
      </c>
      <c r="EC247" s="2196">
        <v>50.616307519544961</v>
      </c>
      <c r="ED247" s="2196">
        <v>54.650405709152267</v>
      </c>
      <c r="EE247" s="2196">
        <v>59.876143555492668</v>
      </c>
      <c r="EF247" s="2197">
        <v>-9999</v>
      </c>
      <c r="EG247" s="2197">
        <v>-9999</v>
      </c>
      <c r="EH247" s="2197">
        <v>-9999</v>
      </c>
      <c r="EI247" s="2197">
        <v>-9999</v>
      </c>
      <c r="EJ247" s="2197">
        <v>-9999</v>
      </c>
      <c r="EK247" s="2197">
        <v>-9999</v>
      </c>
      <c r="EL247" s="2197">
        <v>-9999</v>
      </c>
      <c r="EM247" s="2197">
        <v>-9999</v>
      </c>
    </row>
    <row r="248" spans="1:149">
      <c r="A248" s="22">
        <v>148</v>
      </c>
      <c r="B248" s="33" t="s">
        <v>304</v>
      </c>
      <c r="C248" s="24">
        <f ca="1">OFFSET(Sector1!F483,0,Last_forecast_year - 3-InputY!$G$3)</f>
        <v>1.763E-2</v>
      </c>
      <c r="D248" s="24">
        <f ca="1">OFFSET(Sector1!G483,0,Last_forecast_year - 3-InputY!$G$3)</f>
        <v>1.421E-2</v>
      </c>
      <c r="E248" s="24">
        <f ca="1">OFFSET(Sector1!H483,0,Last_forecast_year - 3-InputY!$G$3)</f>
        <v>1.421E-2</v>
      </c>
      <c r="F248" s="24">
        <f ca="1">OFFSET(Sector1!I483,0,Last_forecast_year - 3-InputY!$G$3)</f>
        <v>1.421E-2</v>
      </c>
      <c r="G248" s="24">
        <f ca="1">OFFSET(Sector1!J483,0,Last_forecast_year - 3-InputY!$G$3)</f>
        <v>1.421E-2</v>
      </c>
      <c r="H248" s="25">
        <v>-9999</v>
      </c>
      <c r="I248" s="25">
        <v>-9999</v>
      </c>
      <c r="J248" s="25">
        <v>-9999</v>
      </c>
      <c r="K248" s="25">
        <v>-9999</v>
      </c>
      <c r="L248" s="25">
        <v>-9999</v>
      </c>
      <c r="M248" s="25">
        <v>-9999</v>
      </c>
      <c r="N248" s="25">
        <v>-9999</v>
      </c>
      <c r="O248" s="25">
        <v>-9999</v>
      </c>
      <c r="P248" s="26"/>
      <c r="Q248"/>
      <c r="AA248" s="22">
        <v>148</v>
      </c>
      <c r="AB248" s="1040" t="str">
        <f t="shared" si="31"/>
        <v>GG UNPAID TAXES</v>
      </c>
      <c r="AC248" s="1040">
        <f>CHOOSE(Tables!$U$2,Transfer!CA248,Transfer!CN248,Transfer!DA248,Transfer!DN248,Transfer!EA248)</f>
        <v>5.5039999999999999E-2</v>
      </c>
      <c r="AD248" s="1040">
        <f>CHOOSE(Tables!$U$2,Transfer!CB248,Transfer!CO248,Transfer!DB248,Transfer!DO248,Transfer!EB248)</f>
        <v>4.8750000000000002E-2</v>
      </c>
      <c r="AE248" s="1040">
        <f>CHOOSE(Tables!$U$2,Transfer!CC248,Transfer!CP248,Transfer!DC248,Transfer!DP248,Transfer!EC248)</f>
        <v>4.8750000000000002E-2</v>
      </c>
      <c r="AF248" s="1040">
        <f>CHOOSE(Tables!$U$2,Transfer!CD248,Transfer!CQ248,Transfer!DD248,Transfer!DQ248,Transfer!ED248)</f>
        <v>4.8750000000000002E-2</v>
      </c>
      <c r="AG248" s="1040">
        <f>CHOOSE(Tables!$U$2,Transfer!CE248,Transfer!CR248,Transfer!DE248,Transfer!DR248,Transfer!EE248)</f>
        <v>4.8750000000000002E-2</v>
      </c>
      <c r="AH248" s="1040">
        <f>CHOOSE(Tables!$U$2,Transfer!CF248,Transfer!CS248,Transfer!DF248,Transfer!DS248,Transfer!EF248)</f>
        <v>-9999</v>
      </c>
      <c r="AI248" s="1040">
        <f>CHOOSE(Tables!$U$2,Transfer!CG248,Transfer!CT248,Transfer!DG248,Transfer!DT248,Transfer!EG248)</f>
        <v>-9999</v>
      </c>
      <c r="AJ248" s="1040">
        <f>CHOOSE(Tables!$U$2,Transfer!CH248,Transfer!CU248,Transfer!DH248,Transfer!DU248,Transfer!EH248)</f>
        <v>-9999</v>
      </c>
      <c r="AK248" s="1040">
        <f>CHOOSE(Tables!$U$2,Transfer!CI248,Transfer!CV248,Transfer!DI248,Transfer!DV248,Transfer!EI248)</f>
        <v>-9999</v>
      </c>
      <c r="AL248" s="1040">
        <f>CHOOSE(Tables!$U$2,Transfer!CJ248,Transfer!CW248,Transfer!DJ248,Transfer!DW248,Transfer!EJ248)</f>
        <v>-9999</v>
      </c>
      <c r="AM248" s="1040">
        <f>CHOOSE(Tables!$U$2,Transfer!CK248,Transfer!CX248,Transfer!DK248,Transfer!DX248,Transfer!EK248)</f>
        <v>-9999</v>
      </c>
      <c r="AN248" s="1040">
        <f>CHOOSE(Tables!$U$2,Transfer!CL248,Transfer!CY248,Transfer!DL248,Transfer!DY248,Transfer!EL248)</f>
        <v>-9999</v>
      </c>
      <c r="AO248" s="1040">
        <f>CHOOSE(Tables!$U$2,Transfer!CM248,Transfer!CZ248,Transfer!DM248,Transfer!DZ248,Transfer!EM248)</f>
        <v>-9999</v>
      </c>
      <c r="AR248" s="22">
        <v>148</v>
      </c>
      <c r="AS248" s="30" t="s">
        <v>1705</v>
      </c>
      <c r="AT248" s="25">
        <f t="shared" ca="1" si="33"/>
        <v>-3.7409999999999999E-2</v>
      </c>
      <c r="AU248" s="25">
        <f t="shared" ca="1" si="34"/>
        <v>-3.4540000000000001E-2</v>
      </c>
      <c r="AV248" s="25">
        <f t="shared" ca="1" si="35"/>
        <v>-3.4540000000000001E-2</v>
      </c>
      <c r="AW248" s="25">
        <f t="shared" ca="1" si="36"/>
        <v>-3.4540000000000001E-2</v>
      </c>
      <c r="AX248" s="25">
        <f t="shared" ca="1" si="37"/>
        <v>-3.4540000000000001E-2</v>
      </c>
      <c r="AY248" s="25">
        <f t="shared" si="38"/>
        <v>0</v>
      </c>
      <c r="AZ248" s="25">
        <f t="shared" si="39"/>
        <v>0</v>
      </c>
      <c r="BA248" s="25">
        <f t="shared" si="40"/>
        <v>0</v>
      </c>
      <c r="BB248" s="25">
        <f t="shared" si="41"/>
        <v>0</v>
      </c>
      <c r="BC248" s="25">
        <f t="shared" si="21"/>
        <v>0</v>
      </c>
      <c r="BD248" s="25">
        <f t="shared" si="21"/>
        <v>0</v>
      </c>
      <c r="BE248" s="25">
        <f t="shared" si="21"/>
        <v>0</v>
      </c>
      <c r="BF248" s="25">
        <f t="shared" si="21"/>
        <v>0</v>
      </c>
      <c r="CA248" s="16">
        <v>1.7410000000000002E-2</v>
      </c>
      <c r="CB248" s="16">
        <v>1.5140000000000001E-2</v>
      </c>
      <c r="CC248" s="16">
        <v>1.5140000000000001E-2</v>
      </c>
      <c r="CD248" s="16">
        <v>1.5140000000000001E-2</v>
      </c>
      <c r="CE248" s="16">
        <v>1.5140000000000001E-2</v>
      </c>
      <c r="CF248" s="16">
        <v>-9999</v>
      </c>
      <c r="CG248" s="16">
        <v>-9999</v>
      </c>
      <c r="CH248" s="16">
        <v>-9999</v>
      </c>
      <c r="CI248" s="16">
        <v>-9999</v>
      </c>
      <c r="CJ248" s="16">
        <v>-9999</v>
      </c>
      <c r="CK248" s="16">
        <v>-9999</v>
      </c>
      <c r="CL248" s="16">
        <v>-9999</v>
      </c>
      <c r="CM248" s="16">
        <v>-9999</v>
      </c>
      <c r="CN248" s="16">
        <v>1.411898E-2</v>
      </c>
      <c r="CO248" s="16">
        <v>1.740616E-2</v>
      </c>
      <c r="CP248" s="16">
        <v>3.4812319999999995E-3</v>
      </c>
      <c r="CQ248" s="16">
        <v>3.4812319999999995E-3</v>
      </c>
      <c r="CR248" s="16">
        <v>3.4812319999999995E-3</v>
      </c>
      <c r="CS248" s="16">
        <v>-9999</v>
      </c>
      <c r="CT248" s="16">
        <v>-9999</v>
      </c>
      <c r="CU248" s="16">
        <v>-9999</v>
      </c>
      <c r="CV248" s="16">
        <v>-9999</v>
      </c>
      <c r="CW248" s="16">
        <v>-9999</v>
      </c>
      <c r="CX248" s="16">
        <v>-9999</v>
      </c>
      <c r="CY248" s="16">
        <v>-9999</v>
      </c>
      <c r="CZ248" s="16">
        <v>-9999</v>
      </c>
      <c r="DA248" s="16">
        <v>1.7410000000000002E-2</v>
      </c>
      <c r="DB248" s="16">
        <v>1.5140000000000001E-2</v>
      </c>
      <c r="DC248" s="16">
        <v>1.5140000000000001E-2</v>
      </c>
      <c r="DD248" s="16">
        <v>1.5140000000000001E-2</v>
      </c>
      <c r="DE248" s="16">
        <v>1.5140000000000001E-2</v>
      </c>
      <c r="DF248" s="16">
        <v>-9999</v>
      </c>
      <c r="DG248" s="16">
        <v>-9999</v>
      </c>
      <c r="DH248" s="16">
        <v>-9999</v>
      </c>
      <c r="DI248" s="16">
        <v>-9999</v>
      </c>
      <c r="DJ248" s="16">
        <v>-9999</v>
      </c>
      <c r="DK248" s="16">
        <v>-9999</v>
      </c>
      <c r="DL248" s="16">
        <v>-9999</v>
      </c>
      <c r="DM248" s="16">
        <v>-9999</v>
      </c>
      <c r="DN248" s="16">
        <v>1.4119999999999999E-2</v>
      </c>
      <c r="DO248" s="16">
        <v>1.7410000000000002E-2</v>
      </c>
      <c r="DP248" s="16">
        <v>1.5140000000000001E-2</v>
      </c>
      <c r="DQ248" s="16">
        <v>1.5140000000000001E-2</v>
      </c>
      <c r="DR248" s="16">
        <v>1.5140000000000001E-2</v>
      </c>
      <c r="DS248" s="16">
        <v>-9999</v>
      </c>
      <c r="DT248" s="16">
        <v>-9999</v>
      </c>
      <c r="DU248" s="16">
        <v>-9999</v>
      </c>
      <c r="DV248" s="16">
        <v>-9999</v>
      </c>
      <c r="DW248" s="16">
        <v>-9999</v>
      </c>
      <c r="DX248" s="16">
        <v>-9999</v>
      </c>
      <c r="DY248" s="16">
        <v>-9999</v>
      </c>
      <c r="DZ248" s="16">
        <v>-9999</v>
      </c>
      <c r="EA248" s="2197">
        <v>5.5039999999999999E-2</v>
      </c>
      <c r="EB248" s="2197">
        <v>4.8750000000000002E-2</v>
      </c>
      <c r="EC248" s="2197">
        <v>4.8750000000000002E-2</v>
      </c>
      <c r="ED248" s="2197">
        <v>4.8750000000000002E-2</v>
      </c>
      <c r="EE248" s="2197">
        <v>4.8750000000000002E-2</v>
      </c>
      <c r="EF248" s="2197">
        <v>-9999</v>
      </c>
      <c r="EG248" s="2197">
        <v>-9999</v>
      </c>
      <c r="EH248" s="2197">
        <v>-9999</v>
      </c>
      <c r="EI248" s="2197">
        <v>-9999</v>
      </c>
      <c r="EJ248" s="2197">
        <v>-9999</v>
      </c>
      <c r="EK248" s="2197">
        <v>-9999</v>
      </c>
      <c r="EL248" s="2197">
        <v>-9999</v>
      </c>
      <c r="EM248" s="2197">
        <v>-9999</v>
      </c>
    </row>
    <row r="249" spans="1:149">
      <c r="A249" s="22">
        <v>149</v>
      </c>
      <c r="B249" s="29" t="s">
        <v>80</v>
      </c>
      <c r="C249" s="1344">
        <f ca="1">OFFSET('VVP2'!F289,0,Last_forecast_year - 3-InputY!$G$3)</f>
        <v>8.8555000000000046</v>
      </c>
      <c r="D249" s="1344">
        <f ca="1">OFFSET('VVP2'!G289,0,Last_forecast_year - 3-InputY!$G$3)</f>
        <v>8.8862000000000005</v>
      </c>
      <c r="E249" s="1344">
        <f ca="1">OFFSET('VVP2'!H289,0,Last_forecast_year - 3-InputY!$G$3)</f>
        <v>11.070200000000003</v>
      </c>
      <c r="F249" s="1344">
        <f ca="1">OFFSET('VVP2'!I289,0,Last_forecast_year - 3-InputY!$G$3)</f>
        <v>12.398624000000005</v>
      </c>
      <c r="G249" s="1344">
        <f ca="1">OFFSET('VVP2'!J289,0,Last_forecast_year - 3-InputY!$G$3)</f>
        <v>13.080548320000005</v>
      </c>
      <c r="H249" s="25">
        <v>-9999</v>
      </c>
      <c r="I249" s="25">
        <v>-9999</v>
      </c>
      <c r="J249" s="25">
        <v>-9999</v>
      </c>
      <c r="K249" s="25">
        <v>-9999</v>
      </c>
      <c r="L249" s="25">
        <v>-9999</v>
      </c>
      <c r="M249" s="25">
        <v>-9999</v>
      </c>
      <c r="N249" s="25">
        <v>-9999</v>
      </c>
      <c r="O249" s="25">
        <v>-9999</v>
      </c>
      <c r="P249" s="26"/>
      <c r="Q249"/>
      <c r="AA249" s="22">
        <v>149</v>
      </c>
      <c r="AB249" s="1040" t="str">
        <f t="shared" si="31"/>
        <v>EXPORTS OF GOODS EXTRA-EU (FOB)</v>
      </c>
      <c r="AC249" s="1040">
        <f>CHOOSE(Tables!$U$2,Transfer!CA249,Transfer!CN249,Transfer!DA249,Transfer!DN249,Transfer!EA249)</f>
        <v>26.86140288</v>
      </c>
      <c r="AD249" s="1040">
        <f>CHOOSE(Tables!$U$2,Transfer!CB249,Transfer!CO249,Transfer!DB249,Transfer!DO249,Transfer!EB249)</f>
        <v>31.394238719999997</v>
      </c>
      <c r="AE249" s="1040">
        <f>CHOOSE(Tables!$U$2,Transfer!CC249,Transfer!CP249,Transfer!DC249,Transfer!DP249,Transfer!EC249)</f>
        <v>33.905777817599997</v>
      </c>
      <c r="AF249" s="1040">
        <f>CHOOSE(Tables!$U$2,Transfer!CD249,Transfer!CQ249,Transfer!DD249,Transfer!DQ249,Transfer!ED249)</f>
        <v>37.059015154636796</v>
      </c>
      <c r="AG249" s="1040">
        <f>CHOOSE(Tables!$U$2,Transfer!CE249,Transfer!CR249,Transfer!DE249,Transfer!DR249,Transfer!EE249)</f>
        <v>40.505503564018021</v>
      </c>
      <c r="AH249" s="1040">
        <f>CHOOSE(Tables!$U$2,Transfer!CF249,Transfer!CS249,Transfer!DF249,Transfer!DS249,Transfer!EF249)</f>
        <v>-9999</v>
      </c>
      <c r="AI249" s="1040">
        <f>CHOOSE(Tables!$U$2,Transfer!CG249,Transfer!CT249,Transfer!DG249,Transfer!DT249,Transfer!EG249)</f>
        <v>-9999</v>
      </c>
      <c r="AJ249" s="1040">
        <f>CHOOSE(Tables!$U$2,Transfer!CH249,Transfer!CU249,Transfer!DH249,Transfer!DU249,Transfer!EH249)</f>
        <v>-9999</v>
      </c>
      <c r="AK249" s="1040">
        <f>CHOOSE(Tables!$U$2,Transfer!CI249,Transfer!CV249,Transfer!DI249,Transfer!DV249,Transfer!EI249)</f>
        <v>-9999</v>
      </c>
      <c r="AL249" s="1040">
        <f>CHOOSE(Tables!$U$2,Transfer!CJ249,Transfer!CW249,Transfer!DJ249,Transfer!DW249,Transfer!EJ249)</f>
        <v>-9999</v>
      </c>
      <c r="AM249" s="1040">
        <f>CHOOSE(Tables!$U$2,Transfer!CK249,Transfer!CX249,Transfer!DK249,Transfer!DX249,Transfer!EK249)</f>
        <v>-9999</v>
      </c>
      <c r="AN249" s="1040">
        <f>CHOOSE(Tables!$U$2,Transfer!CL249,Transfer!CY249,Transfer!DL249,Transfer!DY249,Transfer!EL249)</f>
        <v>-9999</v>
      </c>
      <c r="AO249" s="1040">
        <f>CHOOSE(Tables!$U$2,Transfer!CM249,Transfer!CZ249,Transfer!DM249,Transfer!DZ249,Transfer!EM249)</f>
        <v>-9999</v>
      </c>
      <c r="AR249" s="22">
        <v>149</v>
      </c>
      <c r="AS249" s="29" t="s">
        <v>80</v>
      </c>
      <c r="AT249" s="1344">
        <f t="shared" ca="1" si="33"/>
        <v>-18.005902879999994</v>
      </c>
      <c r="AU249" s="1344">
        <f t="shared" ca="1" si="34"/>
        <v>-22.508038719999995</v>
      </c>
      <c r="AV249" s="1344">
        <f t="shared" ca="1" si="35"/>
        <v>-22.835577817599994</v>
      </c>
      <c r="AW249" s="1344">
        <f t="shared" ca="1" si="36"/>
        <v>-24.660391154636791</v>
      </c>
      <c r="AX249" s="1344">
        <f t="shared" ca="1" si="37"/>
        <v>-27.424955244018015</v>
      </c>
      <c r="AY249" s="25">
        <f t="shared" si="38"/>
        <v>0</v>
      </c>
      <c r="AZ249" s="25">
        <f t="shared" si="39"/>
        <v>0</v>
      </c>
      <c r="BA249" s="25">
        <f t="shared" si="40"/>
        <v>0</v>
      </c>
      <c r="BB249" s="25">
        <f t="shared" si="41"/>
        <v>0</v>
      </c>
      <c r="BC249" s="25">
        <f t="shared" si="21"/>
        <v>0</v>
      </c>
      <c r="BD249" s="25">
        <f t="shared" si="21"/>
        <v>0</v>
      </c>
      <c r="BE249" s="25">
        <f t="shared" si="21"/>
        <v>0</v>
      </c>
      <c r="BF249" s="25">
        <f t="shared" si="21"/>
        <v>0</v>
      </c>
      <c r="CA249" s="16">
        <v>10.932100000000004</v>
      </c>
      <c r="CB249" s="16">
        <v>11.002800000000004</v>
      </c>
      <c r="CC249" s="16">
        <v>9.4624080000000035</v>
      </c>
      <c r="CD249" s="16">
        <v>9.3677839200000026</v>
      </c>
      <c r="CE249" s="16">
        <v>9.7424952768000033</v>
      </c>
      <c r="CF249" s="16">
        <v>-9999</v>
      </c>
      <c r="CG249" s="16">
        <v>-9999</v>
      </c>
      <c r="CH249" s="16">
        <v>-9999</v>
      </c>
      <c r="CI249" s="16">
        <v>-9999</v>
      </c>
      <c r="CJ249" s="16">
        <v>-9999</v>
      </c>
      <c r="CK249" s="16">
        <v>-9999</v>
      </c>
      <c r="CL249" s="16">
        <v>-9999</v>
      </c>
      <c r="CM249" s="16">
        <v>-9999</v>
      </c>
      <c r="CN249" s="16">
        <v>9.0923999999999978</v>
      </c>
      <c r="CO249" s="16">
        <v>10.932100000000004</v>
      </c>
      <c r="CP249" s="16">
        <v>11.205402500000003</v>
      </c>
      <c r="CQ249" s="16">
        <v>11.328661927500002</v>
      </c>
      <c r="CR249" s="16">
        <v>12.234954881700004</v>
      </c>
      <c r="CS249" s="16">
        <v>-9999</v>
      </c>
      <c r="CT249" s="16">
        <v>-9999</v>
      </c>
      <c r="CU249" s="16">
        <v>-9999</v>
      </c>
      <c r="CV249" s="16">
        <v>-9999</v>
      </c>
      <c r="CW249" s="16">
        <v>-9999</v>
      </c>
      <c r="CX249" s="16">
        <v>-9999</v>
      </c>
      <c r="CY249" s="16">
        <v>-9999</v>
      </c>
      <c r="CZ249" s="16">
        <v>-9999</v>
      </c>
      <c r="DA249" s="16">
        <v>10.932100000000004</v>
      </c>
      <c r="DB249" s="16">
        <v>11.012000000000004</v>
      </c>
      <c r="DC249" s="16">
        <v>9.4703200000000027</v>
      </c>
      <c r="DD249" s="16">
        <v>9.3756168000000031</v>
      </c>
      <c r="DE249" s="16">
        <v>9.7506414720000034</v>
      </c>
      <c r="DF249" s="16">
        <v>-9999</v>
      </c>
      <c r="DG249" s="16">
        <v>-9999</v>
      </c>
      <c r="DH249" s="16">
        <v>-9999</v>
      </c>
      <c r="DI249" s="16">
        <v>-9999</v>
      </c>
      <c r="DJ249" s="16">
        <v>-9999</v>
      </c>
      <c r="DK249" s="16">
        <v>-9999</v>
      </c>
      <c r="DL249" s="16">
        <v>-9999</v>
      </c>
      <c r="DM249" s="16">
        <v>-9999</v>
      </c>
      <c r="DN249" s="16">
        <v>9.0923999999999978</v>
      </c>
      <c r="DO249" s="16">
        <v>10.932100000000004</v>
      </c>
      <c r="DP249" s="16">
        <v>11.205402500000003</v>
      </c>
      <c r="DQ249" s="16">
        <v>11.328661927500002</v>
      </c>
      <c r="DR249" s="16">
        <v>12.234954881700004</v>
      </c>
      <c r="DS249" s="16">
        <v>-9999</v>
      </c>
      <c r="DT249" s="16">
        <v>-9999</v>
      </c>
      <c r="DU249" s="16">
        <v>-9999</v>
      </c>
      <c r="DV249" s="16">
        <v>-9999</v>
      </c>
      <c r="DW249" s="16">
        <v>-9999</v>
      </c>
      <c r="DX249" s="16">
        <v>-9999</v>
      </c>
      <c r="DY249" s="16">
        <v>-9999</v>
      </c>
      <c r="DZ249" s="16">
        <v>-9999</v>
      </c>
      <c r="EA249" s="2196">
        <v>26.86140288</v>
      </c>
      <c r="EB249" s="2196">
        <v>31.394238719999997</v>
      </c>
      <c r="EC249" s="2196">
        <v>33.905777817599997</v>
      </c>
      <c r="ED249" s="2196">
        <v>37.059015154636796</v>
      </c>
      <c r="EE249" s="2196">
        <v>40.505503564018021</v>
      </c>
      <c r="EF249" s="2197">
        <v>-9999</v>
      </c>
      <c r="EG249" s="2197">
        <v>-9999</v>
      </c>
      <c r="EH249" s="2197">
        <v>-9999</v>
      </c>
      <c r="EI249" s="2197">
        <v>-9999</v>
      </c>
      <c r="EJ249" s="2197">
        <v>-9999</v>
      </c>
      <c r="EK249" s="2197">
        <v>-9999</v>
      </c>
      <c r="EL249" s="2197">
        <v>-9999</v>
      </c>
      <c r="EM249" s="2197">
        <v>-9999</v>
      </c>
    </row>
    <row r="250" spans="1:149">
      <c r="A250" s="22">
        <v>150</v>
      </c>
      <c r="B250" s="29" t="s">
        <v>82</v>
      </c>
      <c r="C250" s="1344">
        <f ca="1">OFFSET('VVP2'!F320,0,Last_forecast_year - 3-InputY!$G$3)</f>
        <v>17.198700000000002</v>
      </c>
      <c r="D250" s="1344">
        <f ca="1">OFFSET('VVP2'!G320,0,Last_forecast_year - 3-InputY!$G$3)</f>
        <v>17.5396</v>
      </c>
      <c r="E250" s="1344">
        <f ca="1">OFFSET('VVP2'!H320,0,Last_forecast_year - 3-InputY!$G$3)</f>
        <v>20.116099999999996</v>
      </c>
      <c r="F250" s="1344">
        <f ca="1">OFFSET('VVP2'!I320,0,Last_forecast_year - 3-InputY!$G$3)</f>
        <v>21.737308793711836</v>
      </c>
      <c r="G250" s="1344">
        <f ca="1">OFFSET('VVP2'!J320,0,Last_forecast_year - 3-InputY!$G$3)</f>
        <v>23.191216748882496</v>
      </c>
      <c r="H250" s="25">
        <v>-9999</v>
      </c>
      <c r="I250" s="25">
        <v>-9999</v>
      </c>
      <c r="J250" s="25">
        <v>-9999</v>
      </c>
      <c r="K250" s="25">
        <v>-9999</v>
      </c>
      <c r="L250" s="25">
        <v>-9999</v>
      </c>
      <c r="M250" s="25">
        <v>-9999</v>
      </c>
      <c r="N250" s="25">
        <v>-9999</v>
      </c>
      <c r="O250" s="25">
        <v>-9999</v>
      </c>
      <c r="P250" s="26"/>
      <c r="Q250"/>
      <c r="AA250" s="22">
        <v>150</v>
      </c>
      <c r="AB250" s="1040" t="str">
        <f t="shared" si="31"/>
        <v>IMPORTS OF GOODS INTRA-EU (CIF)</v>
      </c>
      <c r="AC250" s="1040">
        <f>CHOOSE(Tables!$U$2,Transfer!CA250,Transfer!CN250,Transfer!DA250,Transfer!DN250,Transfer!EA250)</f>
        <v>44.730333439999995</v>
      </c>
      <c r="AD250" s="1040">
        <f>CHOOSE(Tables!$U$2,Transfer!CB250,Transfer!CO250,Transfer!DB250,Transfer!DO250,Transfer!EB250)</f>
        <v>49.529725439999993</v>
      </c>
      <c r="AE250" s="1040">
        <f>CHOOSE(Tables!$U$2,Transfer!CC250,Transfer!CP250,Transfer!DC250,Transfer!DP250,Transfer!EC250)</f>
        <v>52.932671573256535</v>
      </c>
      <c r="AF250" s="1040">
        <f>CHOOSE(Tables!$U$2,Transfer!CD250,Transfer!CQ250,Transfer!DD250,Transfer!DQ250,Transfer!ED250)</f>
        <v>56.993083095257333</v>
      </c>
      <c r="AG250" s="1040">
        <f>CHOOSE(Tables!$U$2,Transfer!CE250,Transfer!CR250,Transfer!DE250,Transfer!DR250,Transfer!EE250)</f>
        <v>62.638564257024044</v>
      </c>
      <c r="AH250" s="1040">
        <f>CHOOSE(Tables!$U$2,Transfer!CF250,Transfer!CS250,Transfer!DF250,Transfer!DS250,Transfer!EF250)</f>
        <v>-9999</v>
      </c>
      <c r="AI250" s="1040">
        <f>CHOOSE(Tables!$U$2,Transfer!CG250,Transfer!CT250,Transfer!DG250,Transfer!DT250,Transfer!EG250)</f>
        <v>-9999</v>
      </c>
      <c r="AJ250" s="1040">
        <f>CHOOSE(Tables!$U$2,Transfer!CH250,Transfer!CU250,Transfer!DH250,Transfer!DU250,Transfer!EH250)</f>
        <v>-9999</v>
      </c>
      <c r="AK250" s="1040">
        <f>CHOOSE(Tables!$U$2,Transfer!CI250,Transfer!CV250,Transfer!DI250,Transfer!DV250,Transfer!EI250)</f>
        <v>-9999</v>
      </c>
      <c r="AL250" s="1040">
        <f>CHOOSE(Tables!$U$2,Transfer!CJ250,Transfer!CW250,Transfer!DJ250,Transfer!DW250,Transfer!EJ250)</f>
        <v>-9999</v>
      </c>
      <c r="AM250" s="1040">
        <f>CHOOSE(Tables!$U$2,Transfer!CK250,Transfer!CX250,Transfer!DK250,Transfer!DX250,Transfer!EK250)</f>
        <v>-9999</v>
      </c>
      <c r="AN250" s="1040">
        <f>CHOOSE(Tables!$U$2,Transfer!CL250,Transfer!CY250,Transfer!DL250,Transfer!DY250,Transfer!EL250)</f>
        <v>-9999</v>
      </c>
      <c r="AO250" s="1040">
        <f>CHOOSE(Tables!$U$2,Transfer!CM250,Transfer!CZ250,Transfer!DM250,Transfer!DZ250,Transfer!EM250)</f>
        <v>-9999</v>
      </c>
      <c r="AR250" s="22">
        <v>150</v>
      </c>
      <c r="AS250" s="29" t="s">
        <v>82</v>
      </c>
      <c r="AT250" s="1344">
        <f t="shared" ca="1" si="33"/>
        <v>-27.531633439999993</v>
      </c>
      <c r="AU250" s="1344">
        <f t="shared" ca="1" si="34"/>
        <v>-31.990125439999993</v>
      </c>
      <c r="AV250" s="1344">
        <f t="shared" ca="1" si="35"/>
        <v>-32.816571573256539</v>
      </c>
      <c r="AW250" s="1344">
        <f t="shared" ca="1" si="36"/>
        <v>-35.2557743015455</v>
      </c>
      <c r="AX250" s="1344">
        <f t="shared" ca="1" si="37"/>
        <v>-39.447347508141547</v>
      </c>
      <c r="AY250" s="25">
        <f t="shared" si="38"/>
        <v>0</v>
      </c>
      <c r="AZ250" s="25">
        <f t="shared" si="39"/>
        <v>0</v>
      </c>
      <c r="BA250" s="25">
        <f t="shared" si="40"/>
        <v>0</v>
      </c>
      <c r="BB250" s="25">
        <f t="shared" si="41"/>
        <v>0</v>
      </c>
      <c r="BC250" s="25">
        <f t="shared" si="21"/>
        <v>0</v>
      </c>
      <c r="BD250" s="25">
        <f t="shared" si="21"/>
        <v>0</v>
      </c>
      <c r="BE250" s="25">
        <f t="shared" si="21"/>
        <v>0</v>
      </c>
      <c r="BF250" s="25">
        <f t="shared" si="21"/>
        <v>0</v>
      </c>
      <c r="CA250" s="16">
        <v>15.8088</v>
      </c>
      <c r="CB250" s="16">
        <v>16.982300000000002</v>
      </c>
      <c r="CC250" s="16">
        <v>18.336180064469772</v>
      </c>
      <c r="CD250" s="16">
        <v>18.946324872362784</v>
      </c>
      <c r="CE250" s="16">
        <v>21.399703324302237</v>
      </c>
      <c r="CF250" s="16">
        <v>-9999</v>
      </c>
      <c r="CG250" s="16">
        <v>-9999</v>
      </c>
      <c r="CH250" s="16">
        <v>-9999</v>
      </c>
      <c r="CI250" s="16">
        <v>-9999</v>
      </c>
      <c r="CJ250" s="16">
        <v>-9999</v>
      </c>
      <c r="CK250" s="16">
        <v>-9999</v>
      </c>
      <c r="CL250" s="16">
        <v>-9999</v>
      </c>
      <c r="CM250" s="16">
        <v>-9999</v>
      </c>
      <c r="CN250" s="16">
        <v>14.344799999999998</v>
      </c>
      <c r="CO250" s="16">
        <v>15.8088</v>
      </c>
      <c r="CP250" s="16">
        <v>17.119222352380699</v>
      </c>
      <c r="CQ250" s="16">
        <v>17.104845743473362</v>
      </c>
      <c r="CR250" s="16">
        <v>18.495878013193085</v>
      </c>
      <c r="CS250" s="16">
        <v>-9999</v>
      </c>
      <c r="CT250" s="16">
        <v>-9999</v>
      </c>
      <c r="CU250" s="16">
        <v>-9999</v>
      </c>
      <c r="CV250" s="16">
        <v>-9999</v>
      </c>
      <c r="CW250" s="16">
        <v>-9999</v>
      </c>
      <c r="CX250" s="16">
        <v>-9999</v>
      </c>
      <c r="CY250" s="16">
        <v>-9999</v>
      </c>
      <c r="CZ250" s="16">
        <v>-9999</v>
      </c>
      <c r="DA250" s="16">
        <v>15.8088</v>
      </c>
      <c r="DB250" s="16">
        <v>16.935000000000002</v>
      </c>
      <c r="DC250" s="16">
        <v>18.719649248164778</v>
      </c>
      <c r="DD250" s="16">
        <v>19.938841764070901</v>
      </c>
      <c r="DE250" s="16">
        <v>21.673220590450953</v>
      </c>
      <c r="DF250" s="16">
        <v>-9999</v>
      </c>
      <c r="DG250" s="16">
        <v>-9999</v>
      </c>
      <c r="DH250" s="16">
        <v>-9999</v>
      </c>
      <c r="DI250" s="16">
        <v>-9999</v>
      </c>
      <c r="DJ250" s="16">
        <v>-9999</v>
      </c>
      <c r="DK250" s="16">
        <v>-9999</v>
      </c>
      <c r="DL250" s="16">
        <v>-9999</v>
      </c>
      <c r="DM250" s="16">
        <v>-9999</v>
      </c>
      <c r="DN250" s="16">
        <v>14.344799999999998</v>
      </c>
      <c r="DO250" s="16">
        <v>15.8088</v>
      </c>
      <c r="DP250" s="16">
        <v>17.09268246658123</v>
      </c>
      <c r="DQ250" s="16">
        <v>17.078268496228041</v>
      </c>
      <c r="DR250" s="16">
        <v>18.490276574898964</v>
      </c>
      <c r="DS250" s="16">
        <v>-9999</v>
      </c>
      <c r="DT250" s="16">
        <v>-9999</v>
      </c>
      <c r="DU250" s="16">
        <v>-9999</v>
      </c>
      <c r="DV250" s="16">
        <v>-9999</v>
      </c>
      <c r="DW250" s="16">
        <v>-9999</v>
      </c>
      <c r="DX250" s="16">
        <v>-9999</v>
      </c>
      <c r="DY250" s="16">
        <v>-9999</v>
      </c>
      <c r="DZ250" s="16">
        <v>-9999</v>
      </c>
      <c r="EA250" s="2196">
        <v>44.730333439999995</v>
      </c>
      <c r="EB250" s="2196">
        <v>49.529725439999993</v>
      </c>
      <c r="EC250" s="2196">
        <v>52.932671573256535</v>
      </c>
      <c r="ED250" s="2196">
        <v>56.993083095257333</v>
      </c>
      <c r="EE250" s="2196">
        <v>62.638564257024044</v>
      </c>
      <c r="EF250" s="2197">
        <v>-9999</v>
      </c>
      <c r="EG250" s="2197">
        <v>-9999</v>
      </c>
      <c r="EH250" s="2197">
        <v>-9999</v>
      </c>
      <c r="EI250" s="2197">
        <v>-9999</v>
      </c>
      <c r="EJ250" s="2197">
        <v>-9999</v>
      </c>
      <c r="EK250" s="2197">
        <v>-9999</v>
      </c>
      <c r="EL250" s="2197">
        <v>-9999</v>
      </c>
      <c r="EM250" s="2197">
        <v>-9999</v>
      </c>
    </row>
    <row r="251" spans="1:149">
      <c r="A251" s="22">
        <v>151</v>
      </c>
      <c r="B251" s="30" t="s">
        <v>1705</v>
      </c>
      <c r="C251" s="25">
        <v>-9999</v>
      </c>
      <c r="D251" s="25">
        <v>-9999</v>
      </c>
      <c r="E251" s="25">
        <v>-9999</v>
      </c>
      <c r="F251" s="25">
        <v>-9999</v>
      </c>
      <c r="G251" s="25">
        <v>-9999</v>
      </c>
      <c r="H251" s="25">
        <v>-9999</v>
      </c>
      <c r="I251" s="25">
        <v>-9999</v>
      </c>
      <c r="J251" s="25">
        <v>-9999</v>
      </c>
      <c r="K251" s="25">
        <v>-9999</v>
      </c>
      <c r="L251" s="25">
        <v>-9999</v>
      </c>
      <c r="M251" s="25">
        <v>-9999</v>
      </c>
      <c r="N251" s="25">
        <v>-9999</v>
      </c>
      <c r="O251" s="25">
        <v>-9999</v>
      </c>
      <c r="P251" s="26"/>
      <c r="Q251"/>
      <c r="AA251" s="22">
        <v>151</v>
      </c>
      <c r="AB251" s="1040" t="str">
        <f t="shared" si="31"/>
        <v>FOR FUTURE USE</v>
      </c>
      <c r="AC251" s="1040">
        <f>CHOOSE(Tables!$U$2,Transfer!CA251,Transfer!CN251,Transfer!DA251,Transfer!DN251,Transfer!EA251)</f>
        <v>-9999</v>
      </c>
      <c r="AD251" s="1040">
        <f>CHOOSE(Tables!$U$2,Transfer!CB251,Transfer!CO251,Transfer!DB251,Transfer!DO251,Transfer!EB251)</f>
        <v>-9999</v>
      </c>
      <c r="AE251" s="1040">
        <f>CHOOSE(Tables!$U$2,Transfer!CC251,Transfer!CP251,Transfer!DC251,Transfer!DP251,Transfer!EC251)</f>
        <v>-9999</v>
      </c>
      <c r="AF251" s="1040">
        <f>CHOOSE(Tables!$U$2,Transfer!CD251,Transfer!CQ251,Transfer!DD251,Transfer!DQ251,Transfer!ED251)</f>
        <v>-9999</v>
      </c>
      <c r="AG251" s="1040">
        <f>CHOOSE(Tables!$U$2,Transfer!CE251,Transfer!CR251,Transfer!DE251,Transfer!DR251,Transfer!EE251)</f>
        <v>-9999</v>
      </c>
      <c r="AH251" s="1040">
        <f>CHOOSE(Tables!$U$2,Transfer!CF251,Transfer!CS251,Transfer!DF251,Transfer!DS251,Transfer!EF251)</f>
        <v>-9999</v>
      </c>
      <c r="AI251" s="1040">
        <f>CHOOSE(Tables!$U$2,Transfer!CG251,Transfer!CT251,Transfer!DG251,Transfer!DT251,Transfer!EG251)</f>
        <v>-9999</v>
      </c>
      <c r="AJ251" s="1040">
        <f>CHOOSE(Tables!$U$2,Transfer!CH251,Transfer!CU251,Transfer!DH251,Transfer!DU251,Transfer!EH251)</f>
        <v>-9999</v>
      </c>
      <c r="AK251" s="1040">
        <f>CHOOSE(Tables!$U$2,Transfer!CI251,Transfer!CV251,Transfer!DI251,Transfer!DV251,Transfer!EI251)</f>
        <v>-9999</v>
      </c>
      <c r="AL251" s="1040">
        <f>CHOOSE(Tables!$U$2,Transfer!CJ251,Transfer!CW251,Transfer!DJ251,Transfer!DW251,Transfer!EJ251)</f>
        <v>-9999</v>
      </c>
      <c r="AM251" s="1040">
        <f>CHOOSE(Tables!$U$2,Transfer!CK251,Transfer!CX251,Transfer!DK251,Transfer!DX251,Transfer!EK251)</f>
        <v>-9999</v>
      </c>
      <c r="AN251" s="1040">
        <f>CHOOSE(Tables!$U$2,Transfer!CL251,Transfer!CY251,Transfer!DL251,Transfer!DY251,Transfer!EL251)</f>
        <v>-9999</v>
      </c>
      <c r="AO251" s="1040">
        <f>CHOOSE(Tables!$U$2,Transfer!CM251,Transfer!CZ251,Transfer!DM251,Transfer!DZ251,Transfer!EM251)</f>
        <v>-9999</v>
      </c>
      <c r="AR251" s="22">
        <v>151</v>
      </c>
      <c r="AS251" s="30" t="s">
        <v>1705</v>
      </c>
      <c r="AT251" s="25">
        <f t="shared" si="33"/>
        <v>0</v>
      </c>
      <c r="AU251" s="25">
        <f t="shared" si="34"/>
        <v>0</v>
      </c>
      <c r="AV251" s="25">
        <f t="shared" si="35"/>
        <v>0</v>
      </c>
      <c r="AW251" s="25">
        <f t="shared" si="36"/>
        <v>0</v>
      </c>
      <c r="AX251" s="25">
        <f t="shared" si="37"/>
        <v>0</v>
      </c>
      <c r="AY251" s="25">
        <f t="shared" si="38"/>
        <v>0</v>
      </c>
      <c r="AZ251" s="25">
        <f t="shared" si="39"/>
        <v>0</v>
      </c>
      <c r="BA251" s="25">
        <f t="shared" si="40"/>
        <v>0</v>
      </c>
      <c r="BB251" s="25">
        <f t="shared" si="41"/>
        <v>0</v>
      </c>
      <c r="BC251" s="25">
        <f t="shared" si="21"/>
        <v>0</v>
      </c>
      <c r="BD251" s="25">
        <f t="shared" si="21"/>
        <v>0</v>
      </c>
      <c r="BE251" s="25">
        <f t="shared" si="21"/>
        <v>0</v>
      </c>
      <c r="BF251" s="25">
        <f t="shared" si="21"/>
        <v>0</v>
      </c>
      <c r="CA251" s="16">
        <v>-9999</v>
      </c>
      <c r="CB251" s="16">
        <v>-9999</v>
      </c>
      <c r="CC251" s="16">
        <v>-9999</v>
      </c>
      <c r="CD251" s="16">
        <v>-9999</v>
      </c>
      <c r="CE251" s="16">
        <v>-9999</v>
      </c>
      <c r="CF251" s="16">
        <v>-9999</v>
      </c>
      <c r="CG251" s="16">
        <v>-9999</v>
      </c>
      <c r="CH251" s="16">
        <v>-9999</v>
      </c>
      <c r="CI251" s="16">
        <v>-9999</v>
      </c>
      <c r="CJ251" s="16">
        <v>-9999</v>
      </c>
      <c r="CK251" s="16">
        <v>-9999</v>
      </c>
      <c r="CL251" s="16">
        <v>-9999</v>
      </c>
      <c r="CM251" s="16">
        <v>-9999</v>
      </c>
      <c r="CN251" s="16">
        <v>-9999</v>
      </c>
      <c r="CO251" s="16">
        <v>-9999</v>
      </c>
      <c r="CP251" s="16">
        <v>-9999</v>
      </c>
      <c r="CQ251" s="16">
        <v>-9999</v>
      </c>
      <c r="CR251" s="16">
        <v>-9999</v>
      </c>
      <c r="CS251" s="16">
        <v>-9999</v>
      </c>
      <c r="CT251" s="16">
        <v>-9999</v>
      </c>
      <c r="CU251" s="16">
        <v>-9999</v>
      </c>
      <c r="CV251" s="16">
        <v>-9999</v>
      </c>
      <c r="CW251" s="16">
        <v>-9999</v>
      </c>
      <c r="CX251" s="16">
        <v>-9999</v>
      </c>
      <c r="CY251" s="16">
        <v>-9999</v>
      </c>
      <c r="CZ251" s="16">
        <v>-9999</v>
      </c>
      <c r="DA251" s="16">
        <v>-9999</v>
      </c>
      <c r="DB251" s="16">
        <v>-9999</v>
      </c>
      <c r="DC251" s="16">
        <v>-9999</v>
      </c>
      <c r="DD251" s="16">
        <v>-9999</v>
      </c>
      <c r="DE251" s="16">
        <v>-9999</v>
      </c>
      <c r="DF251" s="16">
        <v>-9999</v>
      </c>
      <c r="DG251" s="16">
        <v>-9999</v>
      </c>
      <c r="DH251" s="16">
        <v>-9999</v>
      </c>
      <c r="DI251" s="16">
        <v>-9999</v>
      </c>
      <c r="DJ251" s="16">
        <v>-9999</v>
      </c>
      <c r="DK251" s="16">
        <v>-9999</v>
      </c>
      <c r="DL251" s="16">
        <v>-9999</v>
      </c>
      <c r="DM251" s="16">
        <v>-9999</v>
      </c>
      <c r="DN251" s="16">
        <v>-9999</v>
      </c>
      <c r="DO251" s="16">
        <v>-9999</v>
      </c>
      <c r="DP251" s="16">
        <v>-9999</v>
      </c>
      <c r="DQ251" s="16">
        <v>-9999</v>
      </c>
      <c r="DR251" s="16">
        <v>-9999</v>
      </c>
      <c r="DS251" s="16">
        <v>-9999</v>
      </c>
      <c r="DT251" s="16">
        <v>-9999</v>
      </c>
      <c r="DU251" s="16">
        <v>-9999</v>
      </c>
      <c r="DV251" s="16">
        <v>-9999</v>
      </c>
      <c r="DW251" s="16">
        <v>-9999</v>
      </c>
      <c r="DX251" s="16">
        <v>-9999</v>
      </c>
      <c r="DY251" s="16">
        <v>-9999</v>
      </c>
      <c r="DZ251" s="16">
        <v>-9999</v>
      </c>
      <c r="EA251" s="2197">
        <v>-9999</v>
      </c>
      <c r="EB251" s="2197">
        <v>-9999</v>
      </c>
      <c r="EC251" s="2197">
        <v>-9999</v>
      </c>
      <c r="ED251" s="2197">
        <v>-9999</v>
      </c>
      <c r="EE251" s="2197">
        <v>-9999</v>
      </c>
      <c r="EF251" s="2197">
        <v>-9999</v>
      </c>
      <c r="EG251" s="2197">
        <v>-9999</v>
      </c>
      <c r="EH251" s="2197">
        <v>-9999</v>
      </c>
      <c r="EI251" s="2197">
        <v>-9999</v>
      </c>
      <c r="EJ251" s="2197">
        <v>-9999</v>
      </c>
      <c r="EK251" s="2197">
        <v>-9999</v>
      </c>
      <c r="EL251" s="2197">
        <v>-9999</v>
      </c>
      <c r="EM251" s="2197">
        <v>-9999</v>
      </c>
    </row>
    <row r="252" spans="1:149">
      <c r="A252" s="22">
        <v>152</v>
      </c>
      <c r="B252" s="29" t="s">
        <v>84</v>
      </c>
      <c r="C252" s="1344">
        <f ca="1">OFFSET('VVP2'!F321,0,Last_forecast_year - 3-InputY!$G$3)</f>
        <v>8.2009000000000007</v>
      </c>
      <c r="D252" s="1344">
        <f ca="1">OFFSET('VVP2'!G321,0,Last_forecast_year - 3-InputY!$G$3)</f>
        <v>7.1599000000000013</v>
      </c>
      <c r="E252" s="1344">
        <f ca="1">OFFSET('VVP2'!H321,0,Last_forecast_year - 3-InputY!$G$3)</f>
        <v>8.679700000000004</v>
      </c>
      <c r="F252" s="1344">
        <f ca="1">OFFSET('VVP2'!I321,0,Last_forecast_year - 3-InputY!$G$3)</f>
        <v>9.721264000000005</v>
      </c>
      <c r="G252" s="1344">
        <f ca="1">OFFSET('VVP2'!J321,0,Last_forecast_year - 3-InputY!$G$3)</f>
        <v>10.401752480000006</v>
      </c>
      <c r="H252" s="25">
        <v>-9999</v>
      </c>
      <c r="I252" s="25">
        <v>-9999</v>
      </c>
      <c r="J252" s="25">
        <v>-9999</v>
      </c>
      <c r="K252" s="25">
        <v>-9999</v>
      </c>
      <c r="L252" s="25">
        <v>-9999</v>
      </c>
      <c r="M252" s="25">
        <v>-9999</v>
      </c>
      <c r="N252" s="25">
        <v>-9999</v>
      </c>
      <c r="O252" s="25">
        <v>-9999</v>
      </c>
      <c r="P252" s="26"/>
      <c r="Q252"/>
      <c r="AA252" s="22">
        <v>152</v>
      </c>
      <c r="AB252" s="1040" t="str">
        <f t="shared" si="31"/>
        <v>IMPORTS OF GOODS EXTRA-EU (CIF)</v>
      </c>
      <c r="AC252" s="1040">
        <f>CHOOSE(Tables!$U$2,Transfer!CA252,Transfer!CN252,Transfer!DA252,Transfer!DN252,Transfer!EA252)</f>
        <v>34.082588800000003</v>
      </c>
      <c r="AD252" s="1040">
        <f>CHOOSE(Tables!$U$2,Transfer!CB252,Transfer!CO252,Transfer!DB252,Transfer!DO252,Transfer!EB252)</f>
        <v>36.384225280000003</v>
      </c>
      <c r="AE252" s="1040">
        <f>CHOOSE(Tables!$U$2,Transfer!CC252,Transfer!CP252,Transfer!DC252,Transfer!DP252,Transfer!EC252)</f>
        <v>40.022647808000009</v>
      </c>
      <c r="AF252" s="1040">
        <f>CHOOSE(Tables!$U$2,Transfer!CD252,Transfer!CQ252,Transfer!DD252,Transfer!DQ252,Transfer!ED252)</f>
        <v>43.944867293184011</v>
      </c>
      <c r="AG252" s="1040">
        <f>CHOOSE(Tables!$U$2,Transfer!CE252,Transfer!CR252,Transfer!DE252,Transfer!DR252,Transfer!EE252)</f>
        <v>48.25146428791605</v>
      </c>
      <c r="AH252" s="1040">
        <f>CHOOSE(Tables!$U$2,Transfer!CF252,Transfer!CS252,Transfer!DF252,Transfer!DS252,Transfer!EF252)</f>
        <v>-9999</v>
      </c>
      <c r="AI252" s="1040">
        <f>CHOOSE(Tables!$U$2,Transfer!CG252,Transfer!CT252,Transfer!DG252,Transfer!DT252,Transfer!EG252)</f>
        <v>-9999</v>
      </c>
      <c r="AJ252" s="1040">
        <f>CHOOSE(Tables!$U$2,Transfer!CH252,Transfer!CU252,Transfer!DH252,Transfer!DU252,Transfer!EH252)</f>
        <v>-9999</v>
      </c>
      <c r="AK252" s="1040">
        <f>CHOOSE(Tables!$U$2,Transfer!CI252,Transfer!CV252,Transfer!DI252,Transfer!DV252,Transfer!EI252)</f>
        <v>-9999</v>
      </c>
      <c r="AL252" s="1040">
        <f>CHOOSE(Tables!$U$2,Transfer!CJ252,Transfer!CW252,Transfer!DJ252,Transfer!DW252,Transfer!EJ252)</f>
        <v>-9999</v>
      </c>
      <c r="AM252" s="1040">
        <f>CHOOSE(Tables!$U$2,Transfer!CK252,Transfer!CX252,Transfer!DK252,Transfer!DX252,Transfer!EK252)</f>
        <v>-9999</v>
      </c>
      <c r="AN252" s="1040">
        <f>CHOOSE(Tables!$U$2,Transfer!CL252,Transfer!CY252,Transfer!DL252,Transfer!DY252,Transfer!EL252)</f>
        <v>-9999</v>
      </c>
      <c r="AO252" s="1040">
        <f>CHOOSE(Tables!$U$2,Transfer!CM252,Transfer!CZ252,Transfer!DM252,Transfer!DZ252,Transfer!EM252)</f>
        <v>-9999</v>
      </c>
      <c r="AR252" s="22">
        <v>152</v>
      </c>
      <c r="AS252" s="29" t="s">
        <v>84</v>
      </c>
      <c r="AT252" s="1344">
        <f t="shared" ca="1" si="33"/>
        <v>-25.881688800000003</v>
      </c>
      <c r="AU252" s="1344">
        <f t="shared" ca="1" si="34"/>
        <v>-29.224325280000002</v>
      </c>
      <c r="AV252" s="1344">
        <f t="shared" ca="1" si="35"/>
        <v>-31.342947808000005</v>
      </c>
      <c r="AW252" s="1344">
        <f t="shared" ca="1" si="36"/>
        <v>-34.223603293184006</v>
      </c>
      <c r="AX252" s="1344">
        <f t="shared" ca="1" si="37"/>
        <v>-37.849711807916044</v>
      </c>
      <c r="AY252" s="25">
        <f t="shared" si="38"/>
        <v>0</v>
      </c>
      <c r="AZ252" s="25">
        <f t="shared" si="39"/>
        <v>0</v>
      </c>
      <c r="BA252" s="25">
        <f t="shared" si="40"/>
        <v>0</v>
      </c>
      <c r="BB252" s="25">
        <f t="shared" si="41"/>
        <v>0</v>
      </c>
      <c r="BC252" s="25">
        <f t="shared" si="21"/>
        <v>0</v>
      </c>
      <c r="BD252" s="25">
        <f t="shared" si="21"/>
        <v>0</v>
      </c>
      <c r="BE252" s="25">
        <f t="shared" si="21"/>
        <v>0</v>
      </c>
      <c r="BF252" s="25">
        <f t="shared" si="21"/>
        <v>0</v>
      </c>
      <c r="CA252" s="16">
        <v>10.398899999999999</v>
      </c>
      <c r="CB252" s="16">
        <v>8.9072000000000031</v>
      </c>
      <c r="CC252" s="16">
        <v>8.9517360000000021</v>
      </c>
      <c r="CD252" s="16">
        <v>9.0412533600000025</v>
      </c>
      <c r="CE252" s="16">
        <v>9.1316658936000028</v>
      </c>
      <c r="CF252" s="16">
        <v>-9999</v>
      </c>
      <c r="CG252" s="16">
        <v>-9999</v>
      </c>
      <c r="CH252" s="16">
        <v>-9999</v>
      </c>
      <c r="CI252" s="16">
        <v>-9999</v>
      </c>
      <c r="CJ252" s="16">
        <v>-9999</v>
      </c>
      <c r="CK252" s="16">
        <v>-9999</v>
      </c>
      <c r="CL252" s="16">
        <v>-9999</v>
      </c>
      <c r="CM252" s="16">
        <v>-9999</v>
      </c>
      <c r="CN252" s="16">
        <v>10.537599999999999</v>
      </c>
      <c r="CO252" s="16">
        <v>10.398899999999999</v>
      </c>
      <c r="CP252" s="16">
        <v>10.710867</v>
      </c>
      <c r="CQ252" s="16">
        <v>10.764421335</v>
      </c>
      <c r="CR252" s="16">
        <v>11.733219255150001</v>
      </c>
      <c r="CS252" s="16">
        <v>-9999</v>
      </c>
      <c r="CT252" s="16">
        <v>-9999</v>
      </c>
      <c r="CU252" s="16">
        <v>-9999</v>
      </c>
      <c r="CV252" s="16">
        <v>-9999</v>
      </c>
      <c r="CW252" s="16">
        <v>-9999</v>
      </c>
      <c r="CX252" s="16">
        <v>-9999</v>
      </c>
      <c r="CY252" s="16">
        <v>-9999</v>
      </c>
      <c r="CZ252" s="16">
        <v>-9999</v>
      </c>
      <c r="DA252" s="16">
        <v>10.398899999999999</v>
      </c>
      <c r="DB252" s="16">
        <v>9.595600000000001</v>
      </c>
      <c r="DC252" s="16">
        <v>9.6435779999999998</v>
      </c>
      <c r="DD252" s="16">
        <v>9.74001378</v>
      </c>
      <c r="DE252" s="16">
        <v>9.8374139177999993</v>
      </c>
      <c r="DF252" s="16">
        <v>-9999</v>
      </c>
      <c r="DG252" s="16">
        <v>-9999</v>
      </c>
      <c r="DH252" s="16">
        <v>-9999</v>
      </c>
      <c r="DI252" s="16">
        <v>-9999</v>
      </c>
      <c r="DJ252" s="16">
        <v>-9999</v>
      </c>
      <c r="DK252" s="16">
        <v>-9999</v>
      </c>
      <c r="DL252" s="16">
        <v>-9999</v>
      </c>
      <c r="DM252" s="16">
        <v>-9999</v>
      </c>
      <c r="DN252" s="16">
        <v>10.537599999999999</v>
      </c>
      <c r="DO252" s="16">
        <v>10.398899999999999</v>
      </c>
      <c r="DP252" s="16">
        <v>10.710867</v>
      </c>
      <c r="DQ252" s="16">
        <v>10.764421335</v>
      </c>
      <c r="DR252" s="16">
        <v>11.733219255150001</v>
      </c>
      <c r="DS252" s="16">
        <v>-9999</v>
      </c>
      <c r="DT252" s="16">
        <v>-9999</v>
      </c>
      <c r="DU252" s="16">
        <v>-9999</v>
      </c>
      <c r="DV252" s="16">
        <v>-9999</v>
      </c>
      <c r="DW252" s="16">
        <v>-9999</v>
      </c>
      <c r="DX252" s="16">
        <v>-9999</v>
      </c>
      <c r="DY252" s="16">
        <v>-9999</v>
      </c>
      <c r="DZ252" s="16">
        <v>-9999</v>
      </c>
      <c r="EA252" s="2196">
        <v>34.082588800000003</v>
      </c>
      <c r="EB252" s="2196">
        <v>36.384225280000003</v>
      </c>
      <c r="EC252" s="2196">
        <v>40.022647808000009</v>
      </c>
      <c r="ED252" s="2196">
        <v>43.944867293184011</v>
      </c>
      <c r="EE252" s="2196">
        <v>48.25146428791605</v>
      </c>
      <c r="EF252" s="2197">
        <v>-9999</v>
      </c>
      <c r="EG252" s="2197">
        <v>-9999</v>
      </c>
      <c r="EH252" s="2197">
        <v>-9999</v>
      </c>
      <c r="EI252" s="2197">
        <v>-9999</v>
      </c>
      <c r="EJ252" s="2197">
        <v>-9999</v>
      </c>
      <c r="EK252" s="2197">
        <v>-9999</v>
      </c>
      <c r="EL252" s="2197">
        <v>-9999</v>
      </c>
      <c r="EM252" s="2197">
        <v>-9999</v>
      </c>
    </row>
    <row r="253" spans="1:149">
      <c r="A253" s="22">
        <v>153</v>
      </c>
      <c r="B253" s="29" t="s">
        <v>1230</v>
      </c>
      <c r="C253" s="20">
        <f>IF(ISNUMBER(HLOOKUP(C$100,InputDFM!$2:$8,MATCH(Transfer!$A253&amp;" "&amp;Transfer!$B253,InputDFM!$CB$3:$CB$8,0)+1,FALSE)),HLOOKUP(C$100,InputDFM!$2:$8,MATCH(
Transfer!$A253&amp;" "&amp;Transfer!$B253,InputDFM!$CB$3:$CB$8,0)+1,FALSE),-9999)</f>
        <v>-9999</v>
      </c>
      <c r="D253" s="24">
        <f>IF(ISNUMBER(HLOOKUP(D$100,InputDFM!$2:$8,MATCH(Transfer!$A253&amp;" "&amp;Transfer!$B253,InputDFM!$CB$3:$CB$8,0)+1,FALSE)),HLOOKUP(D$100,InputDFM!$2:$8,MATCH(
Transfer!$A253&amp;" "&amp;Transfer!$B253,InputDFM!$CB$3:$CB$8,0)+1,FALSE),-9999)</f>
        <v>-9999</v>
      </c>
      <c r="E253" s="24">
        <f>IF(ISNUMBER(HLOOKUP(E$100,InputDFM!$2:$8,MATCH(Transfer!$A253&amp;" "&amp;Transfer!$B253,InputDFM!$CB$3:$CB$8,0)+1,FALSE)),HLOOKUP(E$100,InputDFM!$2:$8,MATCH(
Transfer!$A253&amp;" "&amp;Transfer!$B253,InputDFM!$CB$3:$CB$8,0)+1,FALSE),-9999)</f>
        <v>-9999</v>
      </c>
      <c r="F253" s="24">
        <f>IF(ISNUMBER(HLOOKUP(F$100,InputDFM!$2:$8,MATCH(Transfer!$A253&amp;" "&amp;Transfer!$B253,InputDFM!$CB$3:$CB$8,0)+1,FALSE)),HLOOKUP(F$100,InputDFM!$2:$8,MATCH(
Transfer!$A253&amp;" "&amp;Transfer!$B253,InputDFM!$CB$3:$CB$8,0)+1,FALSE),-9999)</f>
        <v>-9999</v>
      </c>
      <c r="G253" s="24">
        <f>IF(ISNUMBER(HLOOKUP(G$100,InputDFM!$2:$8,MATCH(Transfer!$A253&amp;" "&amp;Transfer!$B253,InputDFM!$CB$3:$CB$8,0)+1,FALSE)),HLOOKUP(G$100,InputDFM!$2:$8,MATCH(
Transfer!$A253&amp;" "&amp;Transfer!$B253,InputDFM!$CB$3:$CB$8,0)+1,FALSE),-9999)</f>
        <v>-9999</v>
      </c>
      <c r="H253" s="25">
        <v>-9999</v>
      </c>
      <c r="I253" s="25">
        <v>-9999</v>
      </c>
      <c r="J253" s="25">
        <v>-9999</v>
      </c>
      <c r="K253" s="25">
        <v>-9999</v>
      </c>
      <c r="L253" s="25">
        <v>-9999</v>
      </c>
      <c r="M253" s="25">
        <v>-9999</v>
      </c>
      <c r="N253" s="25">
        <v>-9999</v>
      </c>
      <c r="O253" s="25">
        <v>-9999</v>
      </c>
      <c r="P253" s="26"/>
      <c r="Q253"/>
      <c r="AA253" s="22">
        <v>153</v>
      </c>
      <c r="AB253" s="1040" t="str">
        <f t="shared" si="31"/>
        <v>DISCRETIONARY MEASURES CURRENT EXPENDITURE</v>
      </c>
      <c r="AC253" s="1040">
        <f>CHOOSE(Tables!$U$2,Transfer!CA253,Transfer!CN253,Transfer!DA253,Transfer!DN253,Transfer!EA253)</f>
        <v>-1.79</v>
      </c>
      <c r="AD253" s="1040">
        <f>CHOOSE(Tables!$U$2,Transfer!CB253,Transfer!CO253,Transfer!DB253,Transfer!DO253,Transfer!EB253)</f>
        <v>-0.82899999999999996</v>
      </c>
      <c r="AE253" s="1040">
        <f>CHOOSE(Tables!$U$2,Transfer!CC253,Transfer!CP253,Transfer!DC253,Transfer!DP253,Transfer!EC253)</f>
        <v>0.33</v>
      </c>
      <c r="AF253" s="1040">
        <f>CHOOSE(Tables!$U$2,Transfer!CD253,Transfer!CQ253,Transfer!DD253,Transfer!DQ253,Transfer!ED253)</f>
        <v>0.57999999999999996</v>
      </c>
      <c r="AG253" s="1040">
        <f>CHOOSE(Tables!$U$2,Transfer!CE253,Transfer!CR253,Transfer!DE253,Transfer!DR253,Transfer!EE253)</f>
        <v>0.57999999999999996</v>
      </c>
      <c r="AH253" s="1040">
        <f>CHOOSE(Tables!$U$2,Transfer!CF253,Transfer!CS253,Transfer!DF253,Transfer!DS253,Transfer!EF253)</f>
        <v>-9999</v>
      </c>
      <c r="AI253" s="1040">
        <f>CHOOSE(Tables!$U$2,Transfer!CG253,Transfer!CT253,Transfer!DG253,Transfer!DT253,Transfer!EG253)</f>
        <v>-9999</v>
      </c>
      <c r="AJ253" s="1040">
        <f>CHOOSE(Tables!$U$2,Transfer!CH253,Transfer!CU253,Transfer!DH253,Transfer!DU253,Transfer!EH253)</f>
        <v>-9999</v>
      </c>
      <c r="AK253" s="1040">
        <f>CHOOSE(Tables!$U$2,Transfer!CI253,Transfer!CV253,Transfer!DI253,Transfer!DV253,Transfer!EI253)</f>
        <v>-9999</v>
      </c>
      <c r="AL253" s="1040">
        <f>CHOOSE(Tables!$U$2,Transfer!CJ253,Transfer!CW253,Transfer!DJ253,Transfer!DW253,Transfer!EJ253)</f>
        <v>-9999</v>
      </c>
      <c r="AM253" s="1040">
        <f>CHOOSE(Tables!$U$2,Transfer!CK253,Transfer!CX253,Transfer!DK253,Transfer!DX253,Transfer!EK253)</f>
        <v>-9999</v>
      </c>
      <c r="AN253" s="1040">
        <f>CHOOSE(Tables!$U$2,Transfer!CL253,Transfer!CY253,Transfer!DL253,Transfer!DY253,Transfer!EL253)</f>
        <v>-9999</v>
      </c>
      <c r="AO253" s="1040">
        <f>CHOOSE(Tables!$U$2,Transfer!CM253,Transfer!CZ253,Transfer!DM253,Transfer!DZ253,Transfer!EM253)</f>
        <v>-9999</v>
      </c>
      <c r="AR253" s="22">
        <v>153</v>
      </c>
      <c r="AS253" s="30" t="s">
        <v>1705</v>
      </c>
      <c r="AT253" s="25">
        <f t="shared" si="33"/>
        <v>-9997.2099999999991</v>
      </c>
      <c r="AU253" s="25">
        <f t="shared" si="34"/>
        <v>-9998.1710000000003</v>
      </c>
      <c r="AV253" s="25">
        <f t="shared" si="35"/>
        <v>-9999.33</v>
      </c>
      <c r="AW253" s="25">
        <f t="shared" si="36"/>
        <v>-9999.58</v>
      </c>
      <c r="AX253" s="25">
        <f t="shared" si="37"/>
        <v>-9999.58</v>
      </c>
      <c r="AY253" s="25">
        <f t="shared" si="38"/>
        <v>0</v>
      </c>
      <c r="AZ253" s="25">
        <f t="shared" si="39"/>
        <v>0</v>
      </c>
      <c r="BA253" s="25">
        <f t="shared" si="40"/>
        <v>0</v>
      </c>
      <c r="BB253" s="25">
        <f t="shared" si="41"/>
        <v>0</v>
      </c>
      <c r="BC253" s="25">
        <f t="shared" si="21"/>
        <v>0</v>
      </c>
      <c r="BD253" s="25">
        <f t="shared" si="21"/>
        <v>0</v>
      </c>
      <c r="BE253" s="25">
        <f t="shared" si="21"/>
        <v>0</v>
      </c>
      <c r="BF253" s="25">
        <f t="shared" si="21"/>
        <v>0</v>
      </c>
      <c r="CA253" s="16">
        <v>-9999</v>
      </c>
      <c r="CB253" s="16">
        <v>0.3841</v>
      </c>
      <c r="CC253" s="16">
        <v>-0.22270000000000001</v>
      </c>
      <c r="CD253" s="16">
        <v>0.1797</v>
      </c>
      <c r="CE253" s="16">
        <v>0</v>
      </c>
      <c r="CF253" s="16">
        <v>-9999</v>
      </c>
      <c r="CG253" s="16">
        <v>-9999</v>
      </c>
      <c r="CH253" s="16">
        <v>-9999</v>
      </c>
      <c r="CI253" s="16">
        <v>-9999</v>
      </c>
      <c r="CJ253" s="16">
        <v>-9999</v>
      </c>
      <c r="CK253" s="16">
        <v>-9999</v>
      </c>
      <c r="CL253" s="16">
        <v>-9999</v>
      </c>
      <c r="CM253" s="16">
        <v>-9999</v>
      </c>
      <c r="CN253" s="16">
        <v>-0.12135078776645042</v>
      </c>
      <c r="CO253" s="16">
        <v>0.11700648748841522</v>
      </c>
      <c r="CP253" s="16">
        <v>0.32979999999999998</v>
      </c>
      <c r="CQ253" s="16">
        <v>-0.16839999999999999</v>
      </c>
      <c r="CR253" s="16">
        <v>3.7699999999999997E-2</v>
      </c>
      <c r="CS253" s="16">
        <v>-9999</v>
      </c>
      <c r="CT253" s="16">
        <v>-9999</v>
      </c>
      <c r="CU253" s="16">
        <v>-9999</v>
      </c>
      <c r="CV253" s="16">
        <v>-9999</v>
      </c>
      <c r="CW253" s="16">
        <v>-9999</v>
      </c>
      <c r="CX253" s="16">
        <v>-9999</v>
      </c>
      <c r="CY253" s="16">
        <v>-9999</v>
      </c>
      <c r="CZ253" s="16">
        <v>-9999</v>
      </c>
      <c r="DA253" s="16">
        <v>0.11700648748841522</v>
      </c>
      <c r="DB253" s="16">
        <v>0.3841</v>
      </c>
      <c r="DC253" s="16">
        <v>-0.22270000000000001</v>
      </c>
      <c r="DD253" s="16">
        <v>3.7699999999999997E-2</v>
      </c>
      <c r="DE253" s="16">
        <v>3.7699999999999997E-2</v>
      </c>
      <c r="DF253" s="16">
        <v>-9999</v>
      </c>
      <c r="DG253" s="16">
        <v>-9999</v>
      </c>
      <c r="DH253" s="16">
        <v>-9999</v>
      </c>
      <c r="DI253" s="16">
        <v>-9999</v>
      </c>
      <c r="DJ253" s="16">
        <v>-9999</v>
      </c>
      <c r="DK253" s="16">
        <v>-9999</v>
      </c>
      <c r="DL253" s="16">
        <v>-9999</v>
      </c>
      <c r="DM253" s="16">
        <v>-9999</v>
      </c>
      <c r="DN253" s="16">
        <v>-0.12135078776645042</v>
      </c>
      <c r="DO253" s="16">
        <v>0.11700648748841522</v>
      </c>
      <c r="DP253" s="16">
        <v>0.32979999999999998</v>
      </c>
      <c r="DQ253" s="16">
        <v>-0.16839999999999999</v>
      </c>
      <c r="DR253" s="16">
        <v>3.7699999999999997E-2</v>
      </c>
      <c r="DS253" s="16">
        <v>-9999</v>
      </c>
      <c r="DT253" s="16">
        <v>-9999</v>
      </c>
      <c r="DU253" s="16">
        <v>-9999</v>
      </c>
      <c r="DV253" s="16">
        <v>-9999</v>
      </c>
      <c r="DW253" s="16">
        <v>-9999</v>
      </c>
      <c r="DX253" s="16">
        <v>-9999</v>
      </c>
      <c r="DY253" s="16">
        <v>-9999</v>
      </c>
      <c r="DZ253" s="16">
        <v>-9999</v>
      </c>
      <c r="EA253" s="2197">
        <v>-1.79</v>
      </c>
      <c r="EB253" s="2197">
        <v>-0.82899999999999996</v>
      </c>
      <c r="EC253" s="2197">
        <v>0.33</v>
      </c>
      <c r="ED253" s="2197">
        <v>0.57999999999999996</v>
      </c>
      <c r="EE253" s="2197">
        <v>0.57999999999999996</v>
      </c>
      <c r="EF253" s="2197">
        <v>-9999</v>
      </c>
      <c r="EG253" s="2197">
        <v>-9999</v>
      </c>
      <c r="EH253" s="2197">
        <v>-9999</v>
      </c>
      <c r="EI253" s="2197">
        <v>-9999</v>
      </c>
      <c r="EJ253" s="2197">
        <v>-9999</v>
      </c>
      <c r="EK253" s="2197">
        <v>-9999</v>
      </c>
      <c r="EL253" s="2197">
        <v>-9999</v>
      </c>
      <c r="EM253" s="2197">
        <v>-9999</v>
      </c>
    </row>
    <row r="254" spans="1:149">
      <c r="A254" s="22">
        <v>154</v>
      </c>
      <c r="B254" s="29" t="s">
        <v>1277</v>
      </c>
      <c r="C254" s="20">
        <f>IF(ISNUMBER(HLOOKUP(C$100,InputDFM!$2:$8,MATCH(Transfer!$A254&amp;" "&amp;Transfer!$B254,InputDFM!$CB$3:$CB$8,0)+1,FALSE)),HLOOKUP(C$100,InputDFM!$2:$8,MATCH(
Transfer!$A254&amp;" "&amp;Transfer!$B254,InputDFM!$CB$3:$CB$8,0)+1,FALSE),-9999)</f>
        <v>-9999</v>
      </c>
      <c r="D254" s="24">
        <f>IF(ISNUMBER(HLOOKUP(D$100,InputDFM!$2:$8,MATCH(Transfer!$A254&amp;" "&amp;Transfer!$B254,InputDFM!$CB$3:$CB$8,0)+1,FALSE)),HLOOKUP(D$100,InputDFM!$2:$8,MATCH(
Transfer!$A254&amp;" "&amp;Transfer!$B254,InputDFM!$CB$3:$CB$8,0)+1,FALSE),-9999)</f>
        <v>-9999</v>
      </c>
      <c r="E254" s="24">
        <f>IF(ISNUMBER(HLOOKUP(E$100,InputDFM!$2:$8,MATCH(Transfer!$A254&amp;" "&amp;Transfer!$B254,InputDFM!$CB$3:$CB$8,0)+1,FALSE)),HLOOKUP(E$100,InputDFM!$2:$8,MATCH(
Transfer!$A254&amp;" "&amp;Transfer!$B254,InputDFM!$CB$3:$CB$8,0)+1,FALSE),-9999)</f>
        <v>-9999</v>
      </c>
      <c r="F254" s="24">
        <f>IF(ISNUMBER(HLOOKUP(F$100,InputDFM!$2:$8,MATCH(Transfer!$A254&amp;" "&amp;Transfer!$B254,InputDFM!$CB$3:$CB$8,0)+1,FALSE)),HLOOKUP(F$100,InputDFM!$2:$8,MATCH(
Transfer!$A254&amp;" "&amp;Transfer!$B254,InputDFM!$CB$3:$CB$8,0)+1,FALSE),-9999)</f>
        <v>-9999</v>
      </c>
      <c r="G254" s="24">
        <f>IF(ISNUMBER(HLOOKUP(G$100,InputDFM!$2:$8,MATCH(Transfer!$A254&amp;" "&amp;Transfer!$B254,InputDFM!$CB$3:$CB$8,0)+1,FALSE)),HLOOKUP(G$100,InputDFM!$2:$8,MATCH(
Transfer!$A254&amp;" "&amp;Transfer!$B254,InputDFM!$CB$3:$CB$8,0)+1,FALSE),-9999)</f>
        <v>-9999</v>
      </c>
      <c r="H254" s="25">
        <v>-9999</v>
      </c>
      <c r="I254" s="25">
        <v>-9999</v>
      </c>
      <c r="J254" s="25">
        <v>-9999</v>
      </c>
      <c r="K254" s="25">
        <v>-9999</v>
      </c>
      <c r="L254" s="25">
        <v>-9999</v>
      </c>
      <c r="M254" s="25">
        <v>-9999</v>
      </c>
      <c r="N254" s="25">
        <v>-9999</v>
      </c>
      <c r="O254" s="25">
        <v>-9999</v>
      </c>
      <c r="P254" s="26"/>
      <c r="Q254"/>
      <c r="AA254" s="22">
        <v>154</v>
      </c>
      <c r="AB254" s="1040" t="str">
        <f t="shared" si="31"/>
        <v>DISCRETIONARY MEASURES CURRENT REVENUE</v>
      </c>
      <c r="AC254" s="1040">
        <f>CHOOSE(Tables!$U$2,Transfer!CA254,Transfer!CN254,Transfer!DA254,Transfer!DN254,Transfer!EA254)</f>
        <v>9.5000000000000001E-2</v>
      </c>
      <c r="AD254" s="1040">
        <f>CHOOSE(Tables!$U$2,Transfer!CB254,Transfer!CO254,Transfer!DB254,Transfer!DO254,Transfer!EB254)</f>
        <v>0.57999999999999996</v>
      </c>
      <c r="AE254" s="1040">
        <f>CHOOSE(Tables!$U$2,Transfer!CC254,Transfer!CP254,Transfer!DC254,Transfer!DP254,Transfer!EC254)</f>
        <v>0.05</v>
      </c>
      <c r="AF254" s="1040">
        <f>CHOOSE(Tables!$U$2,Transfer!CD254,Transfer!CQ254,Transfer!DD254,Transfer!DQ254,Transfer!ED254)</f>
        <v>0.1</v>
      </c>
      <c r="AG254" s="1040">
        <f>CHOOSE(Tables!$U$2,Transfer!CE254,Transfer!CR254,Transfer!DE254,Transfer!DR254,Transfer!EE254)</f>
        <v>0.1</v>
      </c>
      <c r="AH254" s="1040">
        <f>CHOOSE(Tables!$U$2,Transfer!CF254,Transfer!CS254,Transfer!DF254,Transfer!DS254,Transfer!EF254)</f>
        <v>-9999</v>
      </c>
      <c r="AI254" s="1040">
        <f>CHOOSE(Tables!$U$2,Transfer!CG254,Transfer!CT254,Transfer!DG254,Transfer!DT254,Transfer!EG254)</f>
        <v>-9999</v>
      </c>
      <c r="AJ254" s="1040">
        <f>CHOOSE(Tables!$U$2,Transfer!CH254,Transfer!CU254,Transfer!DH254,Transfer!DU254,Transfer!EH254)</f>
        <v>-9999</v>
      </c>
      <c r="AK254" s="1040">
        <f>CHOOSE(Tables!$U$2,Transfer!CI254,Transfer!CV254,Transfer!DI254,Transfer!DV254,Transfer!EI254)</f>
        <v>-9999</v>
      </c>
      <c r="AL254" s="1040">
        <f>CHOOSE(Tables!$U$2,Transfer!CJ254,Transfer!CW254,Transfer!DJ254,Transfer!DW254,Transfer!EJ254)</f>
        <v>-9999</v>
      </c>
      <c r="AM254" s="1040">
        <f>CHOOSE(Tables!$U$2,Transfer!CK254,Transfer!CX254,Transfer!DK254,Transfer!DX254,Transfer!EK254)</f>
        <v>-9999</v>
      </c>
      <c r="AN254" s="1040">
        <f>CHOOSE(Tables!$U$2,Transfer!CL254,Transfer!CY254,Transfer!DL254,Transfer!DY254,Transfer!EL254)</f>
        <v>-9999</v>
      </c>
      <c r="AO254" s="1040">
        <f>CHOOSE(Tables!$U$2,Transfer!CM254,Transfer!CZ254,Transfer!DM254,Transfer!DZ254,Transfer!EM254)</f>
        <v>-9999</v>
      </c>
      <c r="AR254" s="22">
        <v>154</v>
      </c>
      <c r="AS254" s="30" t="s">
        <v>1705</v>
      </c>
      <c r="AT254" s="25">
        <f t="shared" si="33"/>
        <v>-9999.0949999999993</v>
      </c>
      <c r="AU254" s="25">
        <f t="shared" si="34"/>
        <v>-9999.58</v>
      </c>
      <c r="AV254" s="25">
        <f t="shared" si="35"/>
        <v>-9999.0499999999993</v>
      </c>
      <c r="AW254" s="25">
        <f t="shared" si="36"/>
        <v>-9999.1</v>
      </c>
      <c r="AX254" s="25">
        <f t="shared" si="37"/>
        <v>-9999.1</v>
      </c>
      <c r="AY254" s="25">
        <f t="shared" si="38"/>
        <v>0</v>
      </c>
      <c r="AZ254" s="25">
        <f t="shared" si="39"/>
        <v>0</v>
      </c>
      <c r="BA254" s="25">
        <f t="shared" si="40"/>
        <v>0</v>
      </c>
      <c r="BB254" s="25">
        <f t="shared" si="41"/>
        <v>0</v>
      </c>
      <c r="BC254" s="25">
        <f t="shared" si="21"/>
        <v>0</v>
      </c>
      <c r="BD254" s="25">
        <f t="shared" si="21"/>
        <v>0</v>
      </c>
      <c r="BE254" s="25">
        <f t="shared" si="21"/>
        <v>0</v>
      </c>
      <c r="BF254" s="25">
        <f t="shared" si="21"/>
        <v>0</v>
      </c>
      <c r="CA254" s="16">
        <v>-9999</v>
      </c>
      <c r="CB254" s="16">
        <v>-4.5699999999999998E-2</v>
      </c>
      <c r="CC254" s="16">
        <v>4.2599999999999999E-2</v>
      </c>
      <c r="CD254" s="16">
        <v>1.67E-2</v>
      </c>
      <c r="CE254" s="16">
        <v>0</v>
      </c>
      <c r="CF254" s="16">
        <v>-9999</v>
      </c>
      <c r="CG254" s="16">
        <v>-9999</v>
      </c>
      <c r="CH254" s="16">
        <v>-9999</v>
      </c>
      <c r="CI254" s="16">
        <v>-9999</v>
      </c>
      <c r="CJ254" s="16">
        <v>-9999</v>
      </c>
      <c r="CK254" s="16">
        <v>-9999</v>
      </c>
      <c r="CL254" s="16">
        <v>-9999</v>
      </c>
      <c r="CM254" s="16">
        <v>-9999</v>
      </c>
      <c r="CN254" s="16">
        <v>8.9782205746061175E-2</v>
      </c>
      <c r="CO254" s="16">
        <v>-4.9235403151065811E-3</v>
      </c>
      <c r="CP254" s="16">
        <v>-4.5759962928637626E-2</v>
      </c>
      <c r="CQ254" s="16">
        <v>4.2601019462465244E-2</v>
      </c>
      <c r="CR254" s="16">
        <v>0</v>
      </c>
      <c r="CS254" s="16">
        <v>-9999</v>
      </c>
      <c r="CT254" s="16">
        <v>-9999</v>
      </c>
      <c r="CU254" s="16">
        <v>-9999</v>
      </c>
      <c r="CV254" s="16">
        <v>-9999</v>
      </c>
      <c r="CW254" s="16">
        <v>-9999</v>
      </c>
      <c r="CX254" s="16">
        <v>-9999</v>
      </c>
      <c r="CY254" s="16">
        <v>-9999</v>
      </c>
      <c r="CZ254" s="16">
        <v>-9999</v>
      </c>
      <c r="DA254" s="16">
        <v>-4.8999999999999998E-3</v>
      </c>
      <c r="DB254" s="16">
        <v>-4.5699999999999998E-2</v>
      </c>
      <c r="DC254" s="16">
        <v>4.2599999999999999E-2</v>
      </c>
      <c r="DD254" s="16">
        <v>5.8999999999999997E-2</v>
      </c>
      <c r="DE254" s="16">
        <v>5.8999999999999997E-2</v>
      </c>
      <c r="DF254" s="16">
        <v>-9999</v>
      </c>
      <c r="DG254" s="16">
        <v>-9999</v>
      </c>
      <c r="DH254" s="16">
        <v>-9999</v>
      </c>
      <c r="DI254" s="16">
        <v>-9999</v>
      </c>
      <c r="DJ254" s="16">
        <v>-9999</v>
      </c>
      <c r="DK254" s="16">
        <v>-9999</v>
      </c>
      <c r="DL254" s="16">
        <v>-9999</v>
      </c>
      <c r="DM254" s="16">
        <v>-9999</v>
      </c>
      <c r="DN254" s="16">
        <v>8.9782205746061175E-2</v>
      </c>
      <c r="DO254" s="16">
        <v>-4.9235403151065811E-3</v>
      </c>
      <c r="DP254" s="16">
        <v>-4.5759962928637626E-2</v>
      </c>
      <c r="DQ254" s="16">
        <v>4.2601019462465244E-2</v>
      </c>
      <c r="DR254" s="16">
        <v>0</v>
      </c>
      <c r="DS254" s="16">
        <v>-9999</v>
      </c>
      <c r="DT254" s="16">
        <v>-9999</v>
      </c>
      <c r="DU254" s="16">
        <v>-9999</v>
      </c>
      <c r="DV254" s="16">
        <v>-9999</v>
      </c>
      <c r="DW254" s="16">
        <v>-9999</v>
      </c>
      <c r="DX254" s="16">
        <v>-9999</v>
      </c>
      <c r="DY254" s="16">
        <v>-9999</v>
      </c>
      <c r="DZ254" s="16">
        <v>-9999</v>
      </c>
      <c r="EA254" s="2197">
        <v>9.5000000000000001E-2</v>
      </c>
      <c r="EB254" s="2197">
        <v>0.57999999999999996</v>
      </c>
      <c r="EC254" s="2197">
        <v>0.05</v>
      </c>
      <c r="ED254" s="2197">
        <v>0.1</v>
      </c>
      <c r="EE254" s="2197">
        <v>0.1</v>
      </c>
      <c r="EF254" s="2197">
        <v>-9999</v>
      </c>
      <c r="EG254" s="2197">
        <v>-9999</v>
      </c>
      <c r="EH254" s="2197">
        <v>-9999</v>
      </c>
      <c r="EI254" s="2197">
        <v>-9999</v>
      </c>
      <c r="EJ254" s="2197">
        <v>-9999</v>
      </c>
      <c r="EK254" s="2197">
        <v>-9999</v>
      </c>
      <c r="EL254" s="2197">
        <v>-9999</v>
      </c>
      <c r="EM254" s="2197">
        <v>-9999</v>
      </c>
    </row>
    <row r="255" spans="1:149">
      <c r="A255" s="22">
        <v>155</v>
      </c>
      <c r="B255" s="29" t="s">
        <v>1278</v>
      </c>
      <c r="C255" s="20">
        <f>IF(ISNUMBER(HLOOKUP(C$100,InputDFM!$2:$8,MATCH(Transfer!$A255&amp;" "&amp;Transfer!$B255,InputDFM!$CB$3:$CB$8,0)+1,FALSE)),HLOOKUP(C$100,InputDFM!$2:$8,MATCH(
Transfer!$A255&amp;" "&amp;Transfer!$B255,InputDFM!$CB$3:$CB$8,0)+1,FALSE),-9999)</f>
        <v>-9999</v>
      </c>
      <c r="D255" s="24">
        <f>IF(ISNUMBER(HLOOKUP(D$100,InputDFM!$2:$8,MATCH(Transfer!$A255&amp;" "&amp;Transfer!$B255,InputDFM!$CB$3:$CB$8,0)+1,FALSE)),HLOOKUP(D$100,InputDFM!$2:$8,MATCH(
Transfer!$A255&amp;" "&amp;Transfer!$B255,InputDFM!$CB$3:$CB$8,0)+1,FALSE),-9999)</f>
        <v>-9999</v>
      </c>
      <c r="E255" s="24">
        <f>IF(ISNUMBER(HLOOKUP(E$100,InputDFM!$2:$8,MATCH(Transfer!$A255&amp;" "&amp;Transfer!$B255,InputDFM!$CB$3:$CB$8,0)+1,FALSE)),HLOOKUP(E$100,InputDFM!$2:$8,MATCH(
Transfer!$A255&amp;" "&amp;Transfer!$B255,InputDFM!$CB$3:$CB$8,0)+1,FALSE),-9999)</f>
        <v>-9999</v>
      </c>
      <c r="F255" s="24">
        <f>IF(ISNUMBER(HLOOKUP(F$100,InputDFM!$2:$8,MATCH(Transfer!$A255&amp;" "&amp;Transfer!$B255,InputDFM!$CB$3:$CB$8,0)+1,FALSE)),HLOOKUP(F$100,InputDFM!$2:$8,MATCH(
Transfer!$A255&amp;" "&amp;Transfer!$B255,InputDFM!$CB$3:$CB$8,0)+1,FALSE),-9999)</f>
        <v>-9999</v>
      </c>
      <c r="G255" s="24">
        <f>IF(ISNUMBER(HLOOKUP(G$100,InputDFM!$2:$8,MATCH(Transfer!$A255&amp;" "&amp;Transfer!$B255,InputDFM!$CB$3:$CB$8,0)+1,FALSE)),HLOOKUP(G$100,InputDFM!$2:$8,MATCH(
Transfer!$A255&amp;" "&amp;Transfer!$B255,InputDFM!$CB$3:$CB$8,0)+1,FALSE),-9999)</f>
        <v>-9999</v>
      </c>
      <c r="H255" s="25">
        <v>-9999</v>
      </c>
      <c r="I255" s="25">
        <v>-9999</v>
      </c>
      <c r="J255" s="25">
        <v>-9999</v>
      </c>
      <c r="K255" s="25">
        <v>-9999</v>
      </c>
      <c r="L255" s="25">
        <v>-9999</v>
      </c>
      <c r="M255" s="25">
        <v>-9999</v>
      </c>
      <c r="N255" s="25">
        <v>-9999</v>
      </c>
      <c r="O255" s="25">
        <v>-9999</v>
      </c>
      <c r="P255" s="26"/>
      <c r="Q255"/>
      <c r="AA255" s="22">
        <v>155</v>
      </c>
      <c r="AB255" s="1040" t="str">
        <f t="shared" si="31"/>
        <v>DISCRETIONARY MEASURES CAPITAL EXPENDITURE</v>
      </c>
      <c r="AC255" s="1040">
        <f>CHOOSE(Tables!$U$2,Transfer!CA255,Transfer!CN255,Transfer!DA255,Transfer!DN255,Transfer!EA255)</f>
        <v>0</v>
      </c>
      <c r="AD255" s="1040">
        <f>CHOOSE(Tables!$U$2,Transfer!CB255,Transfer!CO255,Transfer!DB255,Transfer!DO255,Transfer!EB255)</f>
        <v>0</v>
      </c>
      <c r="AE255" s="1040">
        <f>CHOOSE(Tables!$U$2,Transfer!CC255,Transfer!CP255,Transfer!DC255,Transfer!DP255,Transfer!EC255)</f>
        <v>8.6999999999999994E-2</v>
      </c>
      <c r="AF255" s="1040">
        <f>CHOOSE(Tables!$U$2,Transfer!CD255,Transfer!CQ255,Transfer!DD255,Transfer!DQ255,Transfer!ED255)</f>
        <v>-8.6999999999999994E-2</v>
      </c>
      <c r="AG255" s="1040">
        <f>CHOOSE(Tables!$U$2,Transfer!CE255,Transfer!CR255,Transfer!DE255,Transfer!DR255,Transfer!EE255)</f>
        <v>-8.6999999999999994E-2</v>
      </c>
      <c r="AH255" s="1040">
        <f>CHOOSE(Tables!$U$2,Transfer!CF255,Transfer!CS255,Transfer!DF255,Transfer!DS255,Transfer!EF255)</f>
        <v>-9999</v>
      </c>
      <c r="AI255" s="1040">
        <f>CHOOSE(Tables!$U$2,Transfer!CG255,Transfer!CT255,Transfer!DG255,Transfer!DT255,Transfer!EG255)</f>
        <v>-9999</v>
      </c>
      <c r="AJ255" s="1040">
        <f>CHOOSE(Tables!$U$2,Transfer!CH255,Transfer!CU255,Transfer!DH255,Transfer!DU255,Transfer!EH255)</f>
        <v>-9999</v>
      </c>
      <c r="AK255" s="1040">
        <f>CHOOSE(Tables!$U$2,Transfer!CI255,Transfer!CV255,Transfer!DI255,Transfer!DV255,Transfer!EI255)</f>
        <v>-9999</v>
      </c>
      <c r="AL255" s="1040">
        <f>CHOOSE(Tables!$U$2,Transfer!CJ255,Transfer!CW255,Transfer!DJ255,Transfer!DW255,Transfer!EJ255)</f>
        <v>-9999</v>
      </c>
      <c r="AM255" s="1040">
        <f>CHOOSE(Tables!$U$2,Transfer!CK255,Transfer!CX255,Transfer!DK255,Transfer!DX255,Transfer!EK255)</f>
        <v>-9999</v>
      </c>
      <c r="AN255" s="1040">
        <f>CHOOSE(Tables!$U$2,Transfer!CL255,Transfer!CY255,Transfer!DL255,Transfer!DY255,Transfer!EL255)</f>
        <v>-9999</v>
      </c>
      <c r="AO255" s="1040">
        <f>CHOOSE(Tables!$U$2,Transfer!CM255,Transfer!CZ255,Transfer!DM255,Transfer!DZ255,Transfer!EM255)</f>
        <v>-9999</v>
      </c>
      <c r="AR255" s="22">
        <v>155</v>
      </c>
      <c r="AS255" s="1" t="s">
        <v>165</v>
      </c>
      <c r="AT255" s="1981">
        <f t="shared" si="33"/>
        <v>-9999</v>
      </c>
      <c r="AU255" s="1981">
        <f t="shared" si="34"/>
        <v>-9999</v>
      </c>
      <c r="AV255" s="1981">
        <f t="shared" si="35"/>
        <v>-9999.0869999999995</v>
      </c>
      <c r="AW255" s="1981">
        <f t="shared" si="36"/>
        <v>-9998.9130000000005</v>
      </c>
      <c r="AX255" s="1981">
        <f t="shared" si="37"/>
        <v>-9998.9130000000005</v>
      </c>
      <c r="AY255" s="25">
        <f t="shared" si="38"/>
        <v>0</v>
      </c>
      <c r="AZ255" s="25">
        <f t="shared" si="39"/>
        <v>0</v>
      </c>
      <c r="BA255" s="25">
        <f t="shared" si="40"/>
        <v>0</v>
      </c>
      <c r="BB255" s="25">
        <f t="shared" si="41"/>
        <v>0</v>
      </c>
      <c r="BC255" s="25">
        <f t="shared" si="21"/>
        <v>0</v>
      </c>
      <c r="BD255" s="25">
        <f t="shared" si="21"/>
        <v>0</v>
      </c>
      <c r="BE255" s="25">
        <f t="shared" si="21"/>
        <v>0</v>
      </c>
      <c r="BF255" s="25">
        <f t="shared" si="21"/>
        <v>0</v>
      </c>
      <c r="CA255" s="16">
        <v>-9999</v>
      </c>
      <c r="CB255" s="16">
        <v>-0.2225</v>
      </c>
      <c r="CC255" s="16">
        <v>4.7500000000000001E-2</v>
      </c>
      <c r="CD255" s="16">
        <v>-1.0999999999999999E-2</v>
      </c>
      <c r="CE255" s="16">
        <v>-0.14399999999999999</v>
      </c>
      <c r="CF255" s="16">
        <v>-9999</v>
      </c>
      <c r="CG255" s="16">
        <v>-9999</v>
      </c>
      <c r="CH255" s="16">
        <v>-9999</v>
      </c>
      <c r="CI255" s="16">
        <v>-9999</v>
      </c>
      <c r="CJ255" s="16">
        <v>-9999</v>
      </c>
      <c r="CK255" s="16">
        <v>-9999</v>
      </c>
      <c r="CL255" s="16">
        <v>-9999</v>
      </c>
      <c r="CM255" s="16">
        <v>-9999</v>
      </c>
      <c r="CN255" s="16">
        <v>-1.2111000000000001</v>
      </c>
      <c r="CO255" s="16">
        <v>0.32769999999999999</v>
      </c>
      <c r="CP255" s="16">
        <v>-0.20380000000000001</v>
      </c>
      <c r="CQ255" s="16">
        <v>-3.9300000000000002E-2</v>
      </c>
      <c r="CR255" s="16">
        <v>-6.2300000000000001E-2</v>
      </c>
      <c r="CS255" s="16">
        <v>-9999</v>
      </c>
      <c r="CT255" s="16">
        <v>-9999</v>
      </c>
      <c r="CU255" s="16">
        <v>-9999</v>
      </c>
      <c r="CV255" s="16">
        <v>-9999</v>
      </c>
      <c r="CW255" s="16">
        <v>-9999</v>
      </c>
      <c r="CX255" s="16">
        <v>-9999</v>
      </c>
      <c r="CY255" s="16">
        <v>-9999</v>
      </c>
      <c r="CZ255" s="16">
        <v>-9999</v>
      </c>
      <c r="DA255" s="16">
        <v>0.32769999999999999</v>
      </c>
      <c r="DB255" s="16">
        <v>-0.2225</v>
      </c>
      <c r="DC255" s="16">
        <v>-6.9500000000000006E-2</v>
      </c>
      <c r="DD255" s="16">
        <v>-1.34E-2</v>
      </c>
      <c r="DE255" s="16">
        <v>-1.34E-2</v>
      </c>
      <c r="DF255" s="16">
        <v>-9999</v>
      </c>
      <c r="DG255" s="16">
        <v>-9999</v>
      </c>
      <c r="DH255" s="16">
        <v>-9999</v>
      </c>
      <c r="DI255" s="16">
        <v>-9999</v>
      </c>
      <c r="DJ255" s="16">
        <v>-9999</v>
      </c>
      <c r="DK255" s="16">
        <v>-9999</v>
      </c>
      <c r="DL255" s="16">
        <v>-9999</v>
      </c>
      <c r="DM255" s="16">
        <v>-9999</v>
      </c>
      <c r="DN255" s="16">
        <v>-1.2111000000000001</v>
      </c>
      <c r="DO255" s="16">
        <v>0.32769999999999999</v>
      </c>
      <c r="DP255" s="16">
        <v>-0.20380000000000001</v>
      </c>
      <c r="DQ255" s="16">
        <v>-3.9300000000000002E-2</v>
      </c>
      <c r="DR255" s="16">
        <v>-6.2300000000000001E-2</v>
      </c>
      <c r="DS255" s="16">
        <v>-9999</v>
      </c>
      <c r="DT255" s="16">
        <v>-9999</v>
      </c>
      <c r="DU255" s="16">
        <v>-9999</v>
      </c>
      <c r="DV255" s="16">
        <v>-9999</v>
      </c>
      <c r="DW255" s="16">
        <v>-9999</v>
      </c>
      <c r="DX255" s="16">
        <v>-9999</v>
      </c>
      <c r="DY255" s="16">
        <v>-9999</v>
      </c>
      <c r="DZ255" s="16">
        <v>-9999</v>
      </c>
      <c r="EA255" s="2197">
        <v>0</v>
      </c>
      <c r="EB255" s="2197">
        <v>0</v>
      </c>
      <c r="EC255" s="2197">
        <v>8.6999999999999994E-2</v>
      </c>
      <c r="ED255" s="2197">
        <v>-8.6999999999999994E-2</v>
      </c>
      <c r="EE255" s="2197">
        <v>-8.6999999999999994E-2</v>
      </c>
      <c r="EF255" s="2197">
        <v>-9999</v>
      </c>
      <c r="EG255" s="2197">
        <v>-9999</v>
      </c>
      <c r="EH255" s="2197">
        <v>-9999</v>
      </c>
      <c r="EI255" s="2197">
        <v>-9999</v>
      </c>
      <c r="EJ255" s="2197">
        <v>-9999</v>
      </c>
      <c r="EK255" s="2197">
        <v>-9999</v>
      </c>
      <c r="EL255" s="2197">
        <v>-9999</v>
      </c>
      <c r="EM255" s="2197">
        <v>-9999</v>
      </c>
    </row>
    <row r="256" spans="1:149">
      <c r="A256" s="22">
        <v>156</v>
      </c>
      <c r="B256" s="29" t="s">
        <v>1279</v>
      </c>
      <c r="C256" s="20">
        <f>IF(ISNUMBER(HLOOKUP(C$100,InputDFM!$2:$8,MATCH(Transfer!$A256&amp;" "&amp;Transfer!$B256,InputDFM!$CB$3:$CB$8,0)+1,FALSE)),HLOOKUP(C$100,InputDFM!$2:$8,MATCH(
Transfer!$A256&amp;" "&amp;Transfer!$B256,InputDFM!$CB$3:$CB$8,0)+1,FALSE),-9999)</f>
        <v>-9999</v>
      </c>
      <c r="D256" s="24">
        <f>IF(ISNUMBER(HLOOKUP(D$100,InputDFM!$2:$8,MATCH(Transfer!$A256&amp;" "&amp;Transfer!$B256,InputDFM!$CB$3:$CB$8,0)+1,FALSE)),HLOOKUP(D$100,InputDFM!$2:$8,MATCH(
Transfer!$A256&amp;" "&amp;Transfer!$B256,InputDFM!$CB$3:$CB$8,0)+1,FALSE),-9999)</f>
        <v>-9999</v>
      </c>
      <c r="E256" s="24">
        <f>IF(ISNUMBER(HLOOKUP(E$100,InputDFM!$2:$8,MATCH(Transfer!$A256&amp;" "&amp;Transfer!$B256,InputDFM!$CB$3:$CB$8,0)+1,FALSE)),HLOOKUP(E$100,InputDFM!$2:$8,MATCH(
Transfer!$A256&amp;" "&amp;Transfer!$B256,InputDFM!$CB$3:$CB$8,0)+1,FALSE),-9999)</f>
        <v>-9999</v>
      </c>
      <c r="F256" s="24">
        <f>IF(ISNUMBER(HLOOKUP(F$100,InputDFM!$2:$8,MATCH(Transfer!$A256&amp;" "&amp;Transfer!$B256,InputDFM!$CB$3:$CB$8,0)+1,FALSE)),HLOOKUP(F$100,InputDFM!$2:$8,MATCH(
Transfer!$A256&amp;" "&amp;Transfer!$B256,InputDFM!$CB$3:$CB$8,0)+1,FALSE),-9999)</f>
        <v>-9999</v>
      </c>
      <c r="G256" s="24">
        <f>IF(ISNUMBER(HLOOKUP(G$100,InputDFM!$2:$8,MATCH(Transfer!$A256&amp;" "&amp;Transfer!$B256,InputDFM!$CB$3:$CB$8,0)+1,FALSE)),HLOOKUP(G$100,InputDFM!$2:$8,MATCH(
Transfer!$A256&amp;" "&amp;Transfer!$B256,InputDFM!$CB$3:$CB$8,0)+1,FALSE),-9999)</f>
        <v>-9999</v>
      </c>
      <c r="H256" s="25">
        <v>-9999</v>
      </c>
      <c r="I256" s="25">
        <v>-9999</v>
      </c>
      <c r="J256" s="25">
        <v>-9999</v>
      </c>
      <c r="K256" s="25">
        <v>-9999</v>
      </c>
      <c r="L256" s="25">
        <v>-9999</v>
      </c>
      <c r="M256" s="25">
        <v>-9999</v>
      </c>
      <c r="N256" s="25">
        <v>-9999</v>
      </c>
      <c r="O256" s="25">
        <v>-9999</v>
      </c>
      <c r="P256" s="26"/>
      <c r="Q256"/>
      <c r="AA256" s="22">
        <v>156</v>
      </c>
      <c r="AB256" s="1040" t="str">
        <f t="shared" si="31"/>
        <v>DISCRETIONARY MEASURES CAPITAL TRANSFERS RECEIVED</v>
      </c>
      <c r="AC256" s="1040">
        <f>CHOOSE(Tables!$U$2,Transfer!CA256,Transfer!CN256,Transfer!DA256,Transfer!DN256,Transfer!EA256)</f>
        <v>0</v>
      </c>
      <c r="AD256" s="1040">
        <f>CHOOSE(Tables!$U$2,Transfer!CB256,Transfer!CO256,Transfer!DB256,Transfer!DO256,Transfer!EB256)</f>
        <v>8.6999999999999994E-2</v>
      </c>
      <c r="AE256" s="1040">
        <f>CHOOSE(Tables!$U$2,Transfer!CC256,Transfer!CP256,Transfer!DC256,Transfer!DP256,Transfer!EC256)</f>
        <v>-8.6999999999999994E-2</v>
      </c>
      <c r="AF256" s="1040">
        <f>CHOOSE(Tables!$U$2,Transfer!CD256,Transfer!CQ256,Transfer!DD256,Transfer!DQ256,Transfer!ED256)</f>
        <v>0</v>
      </c>
      <c r="AG256" s="1040">
        <f>CHOOSE(Tables!$U$2,Transfer!CE256,Transfer!CR256,Transfer!DE256,Transfer!DR256,Transfer!EE256)</f>
        <v>0</v>
      </c>
      <c r="AH256" s="1040">
        <f>CHOOSE(Tables!$U$2,Transfer!CF256,Transfer!CS256,Transfer!DF256,Transfer!DS256,Transfer!EF256)</f>
        <v>-9999</v>
      </c>
      <c r="AI256" s="1040">
        <f>CHOOSE(Tables!$U$2,Transfer!CG256,Transfer!CT256,Transfer!DG256,Transfer!DT256,Transfer!EG256)</f>
        <v>-9999</v>
      </c>
      <c r="AJ256" s="1040">
        <f>CHOOSE(Tables!$U$2,Transfer!CH256,Transfer!CU256,Transfer!DH256,Transfer!DU256,Transfer!EH256)</f>
        <v>-9999</v>
      </c>
      <c r="AK256" s="1040">
        <f>CHOOSE(Tables!$U$2,Transfer!CI256,Transfer!CV256,Transfer!DI256,Transfer!DV256,Transfer!EI256)</f>
        <v>-9999</v>
      </c>
      <c r="AL256" s="1040">
        <f>CHOOSE(Tables!$U$2,Transfer!CJ256,Transfer!CW256,Transfer!DJ256,Transfer!DW256,Transfer!EJ256)</f>
        <v>-9999</v>
      </c>
      <c r="AM256" s="1040">
        <f>CHOOSE(Tables!$U$2,Transfer!CK256,Transfer!CX256,Transfer!DK256,Transfer!DX256,Transfer!EK256)</f>
        <v>-9999</v>
      </c>
      <c r="AN256" s="1040">
        <f>CHOOSE(Tables!$U$2,Transfer!CL256,Transfer!CY256,Transfer!DL256,Transfer!DY256,Transfer!EL256)</f>
        <v>-9999</v>
      </c>
      <c r="AO256" s="1040">
        <f>CHOOSE(Tables!$U$2,Transfer!CM256,Transfer!CZ256,Transfer!DM256,Transfer!DZ256,Transfer!EM256)</f>
        <v>-9999</v>
      </c>
      <c r="AR256" s="22">
        <v>156</v>
      </c>
      <c r="AS256" s="30" t="s">
        <v>1705</v>
      </c>
      <c r="AT256" s="25">
        <f t="shared" si="33"/>
        <v>-9999</v>
      </c>
      <c r="AU256" s="25">
        <f t="shared" si="34"/>
        <v>-9999.0869999999995</v>
      </c>
      <c r="AV256" s="25">
        <f t="shared" si="35"/>
        <v>-9998.9130000000005</v>
      </c>
      <c r="AW256" s="25">
        <f t="shared" si="36"/>
        <v>-9999</v>
      </c>
      <c r="AX256" s="25">
        <f t="shared" si="37"/>
        <v>-9999</v>
      </c>
      <c r="AY256" s="25">
        <f t="shared" si="38"/>
        <v>0</v>
      </c>
      <c r="AZ256" s="25">
        <f t="shared" si="39"/>
        <v>0</v>
      </c>
      <c r="BA256" s="25">
        <f t="shared" si="40"/>
        <v>0</v>
      </c>
      <c r="BB256" s="25">
        <f t="shared" si="41"/>
        <v>0</v>
      </c>
      <c r="BC256" s="25">
        <f t="shared" si="21"/>
        <v>0</v>
      </c>
      <c r="BD256" s="25">
        <f t="shared" si="21"/>
        <v>0</v>
      </c>
      <c r="BE256" s="25">
        <f t="shared" si="21"/>
        <v>0</v>
      </c>
      <c r="BF256" s="25">
        <f t="shared" si="21"/>
        <v>0</v>
      </c>
      <c r="CA256" s="16">
        <v>-9999</v>
      </c>
      <c r="CB256" s="16">
        <v>0.36470000000000002</v>
      </c>
      <c r="CC256" s="16">
        <v>-0.33169999999999999</v>
      </c>
      <c r="CD256" s="16">
        <v>-8.6999999999999994E-2</v>
      </c>
      <c r="CE256" s="16">
        <v>-9.0999999999999998E-2</v>
      </c>
      <c r="CF256" s="16">
        <v>-9999</v>
      </c>
      <c r="CG256" s="16">
        <v>-9999</v>
      </c>
      <c r="CH256" s="16">
        <v>-9999</v>
      </c>
      <c r="CI256" s="16">
        <v>-9999</v>
      </c>
      <c r="CJ256" s="16">
        <v>-9999</v>
      </c>
      <c r="CK256" s="16">
        <v>-9999</v>
      </c>
      <c r="CL256" s="16">
        <v>-9999</v>
      </c>
      <c r="CM256" s="16">
        <v>-9999</v>
      </c>
      <c r="CN256" s="16">
        <v>-3.4000000000000002E-2</v>
      </c>
      <c r="CO256" s="16">
        <v>0.11650000000000001</v>
      </c>
      <c r="CP256" s="16">
        <v>0.42120000000000002</v>
      </c>
      <c r="CQ256" s="16">
        <v>-0.46310000000000001</v>
      </c>
      <c r="CR256" s="16">
        <v>-4.4600000000000001E-2</v>
      </c>
      <c r="CS256" s="16">
        <v>-9999</v>
      </c>
      <c r="CT256" s="16">
        <v>-9999</v>
      </c>
      <c r="CU256" s="16">
        <v>-9999</v>
      </c>
      <c r="CV256" s="16">
        <v>-9999</v>
      </c>
      <c r="CW256" s="16">
        <v>-9999</v>
      </c>
      <c r="CX256" s="16">
        <v>-9999</v>
      </c>
      <c r="CY256" s="16">
        <v>-9999</v>
      </c>
      <c r="CZ256" s="16">
        <v>-9999</v>
      </c>
      <c r="DA256" s="16">
        <v>0.11650000000000001</v>
      </c>
      <c r="DB256" s="16">
        <v>0.36470000000000002</v>
      </c>
      <c r="DC256" s="16">
        <v>-0.37869999999999998</v>
      </c>
      <c r="DD256" s="16">
        <v>-5.2499999999999998E-2</v>
      </c>
      <c r="DE256" s="16">
        <v>-5.2499999999999998E-2</v>
      </c>
      <c r="DF256" s="16">
        <v>-9999</v>
      </c>
      <c r="DG256" s="16">
        <v>-9999</v>
      </c>
      <c r="DH256" s="16">
        <v>-9999</v>
      </c>
      <c r="DI256" s="16">
        <v>-9999</v>
      </c>
      <c r="DJ256" s="16">
        <v>-9999</v>
      </c>
      <c r="DK256" s="16">
        <v>-9999</v>
      </c>
      <c r="DL256" s="16">
        <v>-9999</v>
      </c>
      <c r="DM256" s="16">
        <v>-9999</v>
      </c>
      <c r="DN256" s="16">
        <v>-3.4000000000000002E-2</v>
      </c>
      <c r="DO256" s="16">
        <v>0.11650000000000001</v>
      </c>
      <c r="DP256" s="16">
        <v>0.42120000000000002</v>
      </c>
      <c r="DQ256" s="16">
        <v>-0.46310000000000001</v>
      </c>
      <c r="DR256" s="16">
        <v>-4.4600000000000001E-2</v>
      </c>
      <c r="DS256" s="16">
        <v>-9999</v>
      </c>
      <c r="DT256" s="16">
        <v>-9999</v>
      </c>
      <c r="DU256" s="16">
        <v>-9999</v>
      </c>
      <c r="DV256" s="16">
        <v>-9999</v>
      </c>
      <c r="DW256" s="16">
        <v>-9999</v>
      </c>
      <c r="DX256" s="16">
        <v>-9999</v>
      </c>
      <c r="DY256" s="16">
        <v>-9999</v>
      </c>
      <c r="DZ256" s="16">
        <v>-9999</v>
      </c>
      <c r="EA256" s="2197">
        <v>0</v>
      </c>
      <c r="EB256" s="2197">
        <v>8.6999999999999994E-2</v>
      </c>
      <c r="EC256" s="2197">
        <v>-8.6999999999999994E-2</v>
      </c>
      <c r="ED256" s="2197">
        <v>0</v>
      </c>
      <c r="EE256" s="2197">
        <v>0</v>
      </c>
      <c r="EF256" s="2197">
        <v>-9999</v>
      </c>
      <c r="EG256" s="2197">
        <v>-9999</v>
      </c>
      <c r="EH256" s="2197">
        <v>-9999</v>
      </c>
      <c r="EI256" s="2197">
        <v>-9999</v>
      </c>
      <c r="EJ256" s="2197">
        <v>-9999</v>
      </c>
      <c r="EK256" s="2197">
        <v>-9999</v>
      </c>
      <c r="EL256" s="2197">
        <v>-9999</v>
      </c>
      <c r="EM256" s="2197">
        <v>-9999</v>
      </c>
    </row>
    <row r="257" spans="1:143">
      <c r="A257" s="22">
        <v>157</v>
      </c>
      <c r="B257" s="30" t="s">
        <v>1705</v>
      </c>
      <c r="C257" s="25">
        <v>-9999</v>
      </c>
      <c r="D257" s="25">
        <v>-9999</v>
      </c>
      <c r="E257" s="25">
        <v>-9999</v>
      </c>
      <c r="F257" s="25">
        <v>-9999</v>
      </c>
      <c r="G257" s="25">
        <v>-9999</v>
      </c>
      <c r="H257" s="25">
        <v>-9999</v>
      </c>
      <c r="I257" s="25">
        <v>-9999</v>
      </c>
      <c r="J257" s="25">
        <v>-9999</v>
      </c>
      <c r="K257" s="25">
        <v>-9999</v>
      </c>
      <c r="L257" s="25">
        <v>-9999</v>
      </c>
      <c r="M257" s="25">
        <v>-9999</v>
      </c>
      <c r="N257" s="25">
        <v>-9999</v>
      </c>
      <c r="O257" s="25">
        <v>-9999</v>
      </c>
      <c r="P257" s="26"/>
      <c r="Q257"/>
      <c r="AA257" s="22">
        <v>157</v>
      </c>
      <c r="AB257" s="1040" t="str">
        <f t="shared" si="31"/>
        <v>FOR FUTURE USE</v>
      </c>
      <c r="AC257" s="1040">
        <f>CHOOSE(Tables!$U$2,Transfer!CA257,Transfer!CN257,Transfer!DA257,Transfer!DN257,Transfer!EA257)</f>
        <v>-9999</v>
      </c>
      <c r="AD257" s="1040">
        <f>CHOOSE(Tables!$U$2,Transfer!CB257,Transfer!CO257,Transfer!DB257,Transfer!DO257,Transfer!EB257)</f>
        <v>-9999</v>
      </c>
      <c r="AE257" s="1040">
        <f>CHOOSE(Tables!$U$2,Transfer!CC257,Transfer!CP257,Transfer!DC257,Transfer!DP257,Transfer!EC257)</f>
        <v>-9999</v>
      </c>
      <c r="AF257" s="1040">
        <f>CHOOSE(Tables!$U$2,Transfer!CD257,Transfer!CQ257,Transfer!DD257,Transfer!DQ257,Transfer!ED257)</f>
        <v>-9999</v>
      </c>
      <c r="AG257" s="1040">
        <f>CHOOSE(Tables!$U$2,Transfer!CE257,Transfer!CR257,Transfer!DE257,Transfer!DR257,Transfer!EE257)</f>
        <v>-9999</v>
      </c>
      <c r="AH257" s="1040">
        <f>CHOOSE(Tables!$U$2,Transfer!CF257,Transfer!CS257,Transfer!DF257,Transfer!DS257,Transfer!EF257)</f>
        <v>-9999</v>
      </c>
      <c r="AI257" s="1040">
        <f>CHOOSE(Tables!$U$2,Transfer!CG257,Transfer!CT257,Transfer!DG257,Transfer!DT257,Transfer!EG257)</f>
        <v>-9999</v>
      </c>
      <c r="AJ257" s="1040">
        <f>CHOOSE(Tables!$U$2,Transfer!CH257,Transfer!CU257,Transfer!DH257,Transfer!DU257,Transfer!EH257)</f>
        <v>-9999</v>
      </c>
      <c r="AK257" s="1040">
        <f>CHOOSE(Tables!$U$2,Transfer!CI257,Transfer!CV257,Transfer!DI257,Transfer!DV257,Transfer!EI257)</f>
        <v>-9999</v>
      </c>
      <c r="AL257" s="1040">
        <f>CHOOSE(Tables!$U$2,Transfer!CJ257,Transfer!CW257,Transfer!DJ257,Transfer!DW257,Transfer!EJ257)</f>
        <v>-9999</v>
      </c>
      <c r="AM257" s="1040">
        <f>CHOOSE(Tables!$U$2,Transfer!CK257,Transfer!CX257,Transfer!DK257,Transfer!DX257,Transfer!EK257)</f>
        <v>-9999</v>
      </c>
      <c r="AN257" s="1040">
        <f>CHOOSE(Tables!$U$2,Transfer!CL257,Transfer!CY257,Transfer!DL257,Transfer!DY257,Transfer!EL257)</f>
        <v>-9999</v>
      </c>
      <c r="AO257" s="1040">
        <f>CHOOSE(Tables!$U$2,Transfer!CM257,Transfer!CZ257,Transfer!DM257,Transfer!DZ257,Transfer!EM257)</f>
        <v>-9999</v>
      </c>
      <c r="AR257" s="22">
        <v>157</v>
      </c>
      <c r="AS257" s="30" t="s">
        <v>1705</v>
      </c>
      <c r="AT257" s="25">
        <f>C257-AC257</f>
        <v>0</v>
      </c>
      <c r="AU257" s="25">
        <f>D257-AD257</f>
        <v>0</v>
      </c>
      <c r="AV257" s="25">
        <f>E257-AE257</f>
        <v>0</v>
      </c>
      <c r="AW257" s="25">
        <f t="shared" ref="AW257:BF280" si="42">F257-AF257</f>
        <v>0</v>
      </c>
      <c r="AX257" s="25">
        <f t="shared" si="42"/>
        <v>0</v>
      </c>
      <c r="AY257" s="25">
        <f t="shared" si="42"/>
        <v>0</v>
      </c>
      <c r="AZ257" s="25">
        <f t="shared" si="42"/>
        <v>0</v>
      </c>
      <c r="BA257" s="25">
        <f t="shared" si="42"/>
        <v>0</v>
      </c>
      <c r="BB257" s="25">
        <f t="shared" si="42"/>
        <v>0</v>
      </c>
      <c r="BC257" s="25">
        <f t="shared" si="42"/>
        <v>0</v>
      </c>
      <c r="BD257" s="25">
        <f t="shared" si="42"/>
        <v>0</v>
      </c>
      <c r="BE257" s="25">
        <f t="shared" si="42"/>
        <v>0</v>
      </c>
      <c r="BF257" s="25">
        <f t="shared" si="21"/>
        <v>0</v>
      </c>
      <c r="CA257" s="16">
        <v>-9999</v>
      </c>
      <c r="CB257" s="16">
        <v>-9999</v>
      </c>
      <c r="CC257" s="16">
        <v>-9999</v>
      </c>
      <c r="CD257" s="16">
        <v>-9999</v>
      </c>
      <c r="CE257" s="16">
        <v>-9999</v>
      </c>
      <c r="CF257" s="16">
        <v>-9999</v>
      </c>
      <c r="CG257" s="16">
        <v>-9999</v>
      </c>
      <c r="CH257" s="16">
        <v>-9999</v>
      </c>
      <c r="CI257" s="16">
        <v>-9999</v>
      </c>
      <c r="CJ257" s="16">
        <v>-9999</v>
      </c>
      <c r="CK257" s="16">
        <v>-9999</v>
      </c>
      <c r="CL257" s="16">
        <v>-9999</v>
      </c>
      <c r="CM257" s="16">
        <v>-9999</v>
      </c>
      <c r="CN257" s="16">
        <v>-9999</v>
      </c>
      <c r="CO257" s="16">
        <v>-9999</v>
      </c>
      <c r="CP257" s="16">
        <v>-9999</v>
      </c>
      <c r="CQ257" s="16">
        <v>-9999</v>
      </c>
      <c r="CR257" s="16">
        <v>-9999</v>
      </c>
      <c r="CS257" s="16">
        <v>-9999</v>
      </c>
      <c r="CT257" s="16">
        <v>-9999</v>
      </c>
      <c r="CU257" s="16">
        <v>-9999</v>
      </c>
      <c r="CV257" s="16">
        <v>-9999</v>
      </c>
      <c r="CW257" s="16">
        <v>-9999</v>
      </c>
      <c r="CX257" s="16">
        <v>-9999</v>
      </c>
      <c r="CY257" s="16">
        <v>-9999</v>
      </c>
      <c r="CZ257" s="16">
        <v>-9999</v>
      </c>
      <c r="DA257" s="16">
        <v>-9999</v>
      </c>
      <c r="DB257" s="16">
        <v>-9999</v>
      </c>
      <c r="DC257" s="16">
        <v>-9999</v>
      </c>
      <c r="DD257" s="16">
        <v>-9999</v>
      </c>
      <c r="DE257" s="16">
        <v>-9999</v>
      </c>
      <c r="DF257" s="16">
        <v>-9999</v>
      </c>
      <c r="DG257" s="16">
        <v>-9999</v>
      </c>
      <c r="DH257" s="16">
        <v>-9999</v>
      </c>
      <c r="DI257" s="16">
        <v>-9999</v>
      </c>
      <c r="DJ257" s="16">
        <v>-9999</v>
      </c>
      <c r="DK257" s="16">
        <v>-9999</v>
      </c>
      <c r="DL257" s="16">
        <v>-9999</v>
      </c>
      <c r="DM257" s="16">
        <v>-9999</v>
      </c>
      <c r="DN257" s="16">
        <v>-9999</v>
      </c>
      <c r="DO257" s="16">
        <v>-9999</v>
      </c>
      <c r="DP257" s="16">
        <v>-9999</v>
      </c>
      <c r="DQ257" s="16">
        <v>-9999</v>
      </c>
      <c r="DR257" s="16">
        <v>-9999</v>
      </c>
      <c r="DS257" s="16">
        <v>-9999</v>
      </c>
      <c r="DT257" s="16">
        <v>-9999</v>
      </c>
      <c r="DU257" s="16">
        <v>-9999</v>
      </c>
      <c r="DV257" s="16">
        <v>-9999</v>
      </c>
      <c r="DW257" s="16">
        <v>-9999</v>
      </c>
      <c r="DX257" s="16">
        <v>-9999</v>
      </c>
      <c r="DY257" s="16">
        <v>-9999</v>
      </c>
      <c r="DZ257" s="16">
        <v>-9999</v>
      </c>
      <c r="EA257" s="2197">
        <v>-9999</v>
      </c>
      <c r="EB257" s="2197">
        <v>-9999</v>
      </c>
      <c r="EC257" s="2197">
        <v>-9999</v>
      </c>
      <c r="ED257" s="2197">
        <v>-9999</v>
      </c>
      <c r="EE257" s="2197">
        <v>-9999</v>
      </c>
      <c r="EF257" s="2197">
        <v>-9999</v>
      </c>
      <c r="EG257" s="2197">
        <v>-9999</v>
      </c>
      <c r="EH257" s="2197">
        <v>-9999</v>
      </c>
      <c r="EI257" s="2197">
        <v>-9999</v>
      </c>
      <c r="EJ257" s="2197">
        <v>-9999</v>
      </c>
      <c r="EK257" s="2197">
        <v>-9999</v>
      </c>
      <c r="EL257" s="2197">
        <v>-9999</v>
      </c>
      <c r="EM257" s="2197">
        <v>-9999</v>
      </c>
    </row>
    <row r="258" spans="1:143">
      <c r="A258" s="22">
        <v>158</v>
      </c>
      <c r="B258" s="33" t="s">
        <v>1647</v>
      </c>
      <c r="C258" s="1040">
        <f ca="1">+OFFSET(Sector1!G39,0,Last_forecast_year - 1998)*100</f>
        <v>18.521152755588517</v>
      </c>
      <c r="D258" s="25">
        <v>-9999</v>
      </c>
      <c r="E258" s="25">
        <v>-9999</v>
      </c>
      <c r="F258" s="25">
        <v>-9999</v>
      </c>
      <c r="G258" s="25">
        <v>-9999</v>
      </c>
      <c r="H258" s="25">
        <v>-9999</v>
      </c>
      <c r="I258" s="25">
        <v>-9999</v>
      </c>
      <c r="J258" s="25">
        <v>-9999</v>
      </c>
      <c r="K258" s="25">
        <v>-9999</v>
      </c>
      <c r="L258" s="25">
        <v>-9999</v>
      </c>
      <c r="M258" s="25">
        <v>-9999</v>
      </c>
      <c r="N258" s="25">
        <v>-9999</v>
      </c>
      <c r="O258" s="25">
        <v>-9999</v>
      </c>
      <c r="P258" s="26"/>
      <c r="Q258"/>
      <c r="AA258" s="22">
        <v>158</v>
      </c>
      <c r="AB258" s="1040" t="str">
        <f t="shared" si="31"/>
        <v>TAX RATE INDIRECT TAXES PAST 4-Y AVG (col 1)</v>
      </c>
      <c r="AC258" s="1040">
        <f>CHOOSE(Tables!$U$2,Transfer!CA258,Transfer!CN258,Transfer!DA258,Transfer!DN258,Transfer!EA258)</f>
        <v>18.190023875681963</v>
      </c>
      <c r="AD258" s="1040">
        <f>CHOOSE(Tables!$U$2,Transfer!CB258,Transfer!CO258,Transfer!DB258,Transfer!DO258,Transfer!EB258)</f>
        <v>-9999</v>
      </c>
      <c r="AE258" s="1040">
        <f>CHOOSE(Tables!$U$2,Transfer!CC258,Transfer!CP258,Transfer!DC258,Transfer!DP258,Transfer!EC258)</f>
        <v>-9999</v>
      </c>
      <c r="AF258" s="1040">
        <f>CHOOSE(Tables!$U$2,Transfer!CD258,Transfer!CQ258,Transfer!DD258,Transfer!DQ258,Transfer!ED258)</f>
        <v>-9999</v>
      </c>
      <c r="AG258" s="1040">
        <f>CHOOSE(Tables!$U$2,Transfer!CE258,Transfer!CR258,Transfer!DE258,Transfer!DR258,Transfer!EE258)</f>
        <v>-9999</v>
      </c>
      <c r="AH258" s="1040">
        <f>CHOOSE(Tables!$U$2,Transfer!CF258,Transfer!CS258,Transfer!DF258,Transfer!DS258,Transfer!EF258)</f>
        <v>-9999</v>
      </c>
      <c r="AI258" s="1040">
        <f>CHOOSE(Tables!$U$2,Transfer!CG258,Transfer!CT258,Transfer!DG258,Transfer!DT258,Transfer!EG258)</f>
        <v>-9999</v>
      </c>
      <c r="AJ258" s="1040">
        <f>CHOOSE(Tables!$U$2,Transfer!CH258,Transfer!CU258,Transfer!DH258,Transfer!DU258,Transfer!EH258)</f>
        <v>-9999</v>
      </c>
      <c r="AK258" s="1040">
        <f>CHOOSE(Tables!$U$2,Transfer!CI258,Transfer!CV258,Transfer!DI258,Transfer!DV258,Transfer!EI258)</f>
        <v>-9999</v>
      </c>
      <c r="AL258" s="1040">
        <f>CHOOSE(Tables!$U$2,Transfer!CJ258,Transfer!CW258,Transfer!DJ258,Transfer!DW258,Transfer!EJ258)</f>
        <v>-9999</v>
      </c>
      <c r="AM258" s="1040">
        <f>CHOOSE(Tables!$U$2,Transfer!CK258,Transfer!CX258,Transfer!DK258,Transfer!DX258,Transfer!EK258)</f>
        <v>-9999</v>
      </c>
      <c r="AN258" s="1040">
        <f>CHOOSE(Tables!$U$2,Transfer!CL258,Transfer!CY258,Transfer!DL258,Transfer!DY258,Transfer!EL258)</f>
        <v>-9999</v>
      </c>
      <c r="AO258" s="1040">
        <f>CHOOSE(Tables!$U$2,Transfer!CM258,Transfer!CZ258,Transfer!DM258,Transfer!DZ258,Transfer!EM258)</f>
        <v>-9999</v>
      </c>
      <c r="AR258" s="22">
        <v>158</v>
      </c>
      <c r="AS258" s="33" t="s">
        <v>1647</v>
      </c>
      <c r="AT258" s="1040">
        <f t="shared" ref="AT258:AV280" ca="1" si="43">C258-AC258</f>
        <v>0.33112887990655437</v>
      </c>
      <c r="AU258" s="25">
        <f t="shared" si="43"/>
        <v>0</v>
      </c>
      <c r="AV258" s="25">
        <f t="shared" si="43"/>
        <v>0</v>
      </c>
      <c r="AW258" s="25">
        <f t="shared" si="42"/>
        <v>0</v>
      </c>
      <c r="AX258" s="25">
        <f t="shared" si="42"/>
        <v>0</v>
      </c>
      <c r="AY258" s="25">
        <f t="shared" si="42"/>
        <v>0</v>
      </c>
      <c r="AZ258" s="25">
        <f t="shared" si="42"/>
        <v>0</v>
      </c>
      <c r="BA258" s="25">
        <f t="shared" si="42"/>
        <v>0</v>
      </c>
      <c r="BB258" s="25">
        <f t="shared" si="42"/>
        <v>0</v>
      </c>
      <c r="BC258" s="25">
        <f t="shared" si="42"/>
        <v>0</v>
      </c>
      <c r="BD258" s="25">
        <f t="shared" si="42"/>
        <v>0</v>
      </c>
      <c r="BE258" s="25">
        <f t="shared" si="42"/>
        <v>0</v>
      </c>
      <c r="BF258" s="25">
        <f t="shared" si="21"/>
        <v>0</v>
      </c>
      <c r="CA258" s="16">
        <v>18.461310377179245</v>
      </c>
      <c r="CB258" s="16">
        <v>-9999</v>
      </c>
      <c r="CC258" s="16">
        <v>-9999</v>
      </c>
      <c r="CD258" s="16">
        <v>-9999</v>
      </c>
      <c r="CE258" s="16">
        <v>-9999</v>
      </c>
      <c r="CF258" s="16">
        <v>-9999</v>
      </c>
      <c r="CG258" s="16">
        <v>-9999</v>
      </c>
      <c r="CH258" s="16">
        <v>-9999</v>
      </c>
      <c r="CI258" s="16">
        <v>-9999</v>
      </c>
      <c r="CJ258" s="16">
        <v>-9999</v>
      </c>
      <c r="CK258" s="16">
        <v>-9999</v>
      </c>
      <c r="CL258" s="16">
        <v>-9999</v>
      </c>
      <c r="CM258" s="16">
        <v>-9999</v>
      </c>
      <c r="CN258" s="16">
        <v>18.600502199841738</v>
      </c>
      <c r="CO258" s="16">
        <v>-9999</v>
      </c>
      <c r="CP258" s="16">
        <v>-9999</v>
      </c>
      <c r="CQ258" s="16">
        <v>-9999</v>
      </c>
      <c r="CR258" s="16">
        <v>-9999</v>
      </c>
      <c r="CS258" s="16">
        <v>-9999</v>
      </c>
      <c r="CT258" s="16">
        <v>-9999</v>
      </c>
      <c r="CU258" s="16">
        <v>-9999</v>
      </c>
      <c r="CV258" s="16">
        <v>-9999</v>
      </c>
      <c r="CW258" s="16">
        <v>-9999</v>
      </c>
      <c r="CX258" s="16">
        <v>-9999</v>
      </c>
      <c r="CY258" s="16">
        <v>-9999</v>
      </c>
      <c r="CZ258" s="16">
        <v>-9999</v>
      </c>
      <c r="DA258" s="16">
        <v>18.404968389023526</v>
      </c>
      <c r="DB258" s="16">
        <v>-9999</v>
      </c>
      <c r="DC258" s="16">
        <v>-9999</v>
      </c>
      <c r="DD258" s="16">
        <v>-9999</v>
      </c>
      <c r="DE258" s="16">
        <v>-9999</v>
      </c>
      <c r="DF258" s="16">
        <v>-9999</v>
      </c>
      <c r="DG258" s="16">
        <v>-9999</v>
      </c>
      <c r="DH258" s="16">
        <v>-9999</v>
      </c>
      <c r="DI258" s="16">
        <v>-9999</v>
      </c>
      <c r="DJ258" s="16">
        <v>-9999</v>
      </c>
      <c r="DK258" s="16">
        <v>-9999</v>
      </c>
      <c r="DL258" s="16">
        <v>-9999</v>
      </c>
      <c r="DM258" s="16">
        <v>-9999</v>
      </c>
      <c r="DN258" s="16">
        <v>18.600512941709134</v>
      </c>
      <c r="DO258" s="16">
        <v>-9999</v>
      </c>
      <c r="DP258" s="16">
        <v>-9999</v>
      </c>
      <c r="DQ258" s="16">
        <v>-9999</v>
      </c>
      <c r="DR258" s="16">
        <v>-9999</v>
      </c>
      <c r="DS258" s="16">
        <v>-9999</v>
      </c>
      <c r="DT258" s="16">
        <v>-9999</v>
      </c>
      <c r="DU258" s="16">
        <v>-9999</v>
      </c>
      <c r="DV258" s="16">
        <v>-9999</v>
      </c>
      <c r="DW258" s="16">
        <v>-9999</v>
      </c>
      <c r="DX258" s="16">
        <v>-9999</v>
      </c>
      <c r="DY258" s="16">
        <v>-9999</v>
      </c>
      <c r="DZ258" s="16">
        <v>-9999</v>
      </c>
      <c r="EA258" s="2196">
        <v>18.190023875681963</v>
      </c>
      <c r="EB258" s="2197">
        <v>-9999</v>
      </c>
      <c r="EC258" s="2197">
        <v>-9999</v>
      </c>
      <c r="ED258" s="2197">
        <v>-9999</v>
      </c>
      <c r="EE258" s="2197">
        <v>-9999</v>
      </c>
      <c r="EF258" s="2197">
        <v>-9999</v>
      </c>
      <c r="EG258" s="2197">
        <v>-9999</v>
      </c>
      <c r="EH258" s="2197">
        <v>-9999</v>
      </c>
      <c r="EI258" s="2197">
        <v>-9999</v>
      </c>
      <c r="EJ258" s="2197">
        <v>-9999</v>
      </c>
      <c r="EK258" s="2197">
        <v>-9999</v>
      </c>
      <c r="EL258" s="2197">
        <v>-9999</v>
      </c>
      <c r="EM258" s="2197">
        <v>-9999</v>
      </c>
    </row>
    <row r="259" spans="1:143">
      <c r="A259" s="22">
        <v>159</v>
      </c>
      <c r="B259" s="33" t="s">
        <v>1329</v>
      </c>
      <c r="C259" s="1040">
        <f ca="1">+OFFSET(Sector1!G247,0,Last_forecast_year - 1998)*100</f>
        <v>5.2734993650361588</v>
      </c>
      <c r="D259" s="25">
        <v>-9999</v>
      </c>
      <c r="E259" s="25">
        <v>-9999</v>
      </c>
      <c r="F259" s="25">
        <v>-9999</v>
      </c>
      <c r="G259" s="25">
        <v>-9999</v>
      </c>
      <c r="H259" s="25">
        <v>-9999</v>
      </c>
      <c r="I259" s="25">
        <v>-9999</v>
      </c>
      <c r="J259" s="25">
        <v>-9999</v>
      </c>
      <c r="K259" s="25">
        <v>-9999</v>
      </c>
      <c r="L259" s="25">
        <v>-9999</v>
      </c>
      <c r="M259" s="25">
        <v>-9999</v>
      </c>
      <c r="N259" s="25">
        <v>-9999</v>
      </c>
      <c r="O259" s="25">
        <v>-9999</v>
      </c>
      <c r="P259" s="26"/>
      <c r="Q259"/>
      <c r="AA259" s="22">
        <v>159</v>
      </c>
      <c r="AB259" s="1040" t="str">
        <f t="shared" si="31"/>
        <v xml:space="preserve">TAX RATE DIRECT TAXES PAST 4-Y AVG (col 1) </v>
      </c>
      <c r="AC259" s="1040">
        <f>CHOOSE(Tables!$U$2,Transfer!CA259,Transfer!CN259,Transfer!DA259,Transfer!DN259,Transfer!EA259)</f>
        <v>4.9841780210345368</v>
      </c>
      <c r="AD259" s="1040">
        <f>CHOOSE(Tables!$U$2,Transfer!CB259,Transfer!CO259,Transfer!DB259,Transfer!DO259,Transfer!EB259)</f>
        <v>-9999</v>
      </c>
      <c r="AE259" s="1040">
        <f>CHOOSE(Tables!$U$2,Transfer!CC259,Transfer!CP259,Transfer!DC259,Transfer!DP259,Transfer!EC259)</f>
        <v>-9999</v>
      </c>
      <c r="AF259" s="1040">
        <f>CHOOSE(Tables!$U$2,Transfer!CD259,Transfer!CQ259,Transfer!DD259,Transfer!DQ259,Transfer!ED259)</f>
        <v>-9999</v>
      </c>
      <c r="AG259" s="1040">
        <f>CHOOSE(Tables!$U$2,Transfer!CE259,Transfer!CR259,Transfer!DE259,Transfer!DR259,Transfer!EE259)</f>
        <v>-9999</v>
      </c>
      <c r="AH259" s="1040">
        <f>CHOOSE(Tables!$U$2,Transfer!CF259,Transfer!CS259,Transfer!DF259,Transfer!DS259,Transfer!EF259)</f>
        <v>-9999</v>
      </c>
      <c r="AI259" s="1040">
        <f>CHOOSE(Tables!$U$2,Transfer!CG259,Transfer!CT259,Transfer!DG259,Transfer!DT259,Transfer!EG259)</f>
        <v>-9999</v>
      </c>
      <c r="AJ259" s="1040">
        <f>CHOOSE(Tables!$U$2,Transfer!CH259,Transfer!CU259,Transfer!DH259,Transfer!DU259,Transfer!EH259)</f>
        <v>-9999</v>
      </c>
      <c r="AK259" s="1040">
        <f>CHOOSE(Tables!$U$2,Transfer!CI259,Transfer!CV259,Transfer!DI259,Transfer!DV259,Transfer!EI259)</f>
        <v>-9999</v>
      </c>
      <c r="AL259" s="1040">
        <f>CHOOSE(Tables!$U$2,Transfer!CJ259,Transfer!CW259,Transfer!DJ259,Transfer!DW259,Transfer!EJ259)</f>
        <v>-9999</v>
      </c>
      <c r="AM259" s="1040">
        <f>CHOOSE(Tables!$U$2,Transfer!CK259,Transfer!CX259,Transfer!DK259,Transfer!DX259,Transfer!EK259)</f>
        <v>-9999</v>
      </c>
      <c r="AN259" s="1040">
        <f>CHOOSE(Tables!$U$2,Transfer!CL259,Transfer!CY259,Transfer!DL259,Transfer!DY259,Transfer!EL259)</f>
        <v>-9999</v>
      </c>
      <c r="AO259" s="1040">
        <f>CHOOSE(Tables!$U$2,Transfer!CM259,Transfer!CZ259,Transfer!DM259,Transfer!DZ259,Transfer!EM259)</f>
        <v>-9999</v>
      </c>
      <c r="AR259" s="22">
        <v>159</v>
      </c>
      <c r="AS259" s="33" t="s">
        <v>1329</v>
      </c>
      <c r="AT259" s="1040">
        <f t="shared" ca="1" si="43"/>
        <v>0.28932134400162202</v>
      </c>
      <c r="AU259" s="25">
        <f t="shared" si="43"/>
        <v>0</v>
      </c>
      <c r="AV259" s="25">
        <f t="shared" si="43"/>
        <v>0</v>
      </c>
      <c r="AW259" s="25">
        <f t="shared" si="42"/>
        <v>0</v>
      </c>
      <c r="AX259" s="25">
        <f t="shared" si="42"/>
        <v>0</v>
      </c>
      <c r="AY259" s="25">
        <f t="shared" si="42"/>
        <v>0</v>
      </c>
      <c r="AZ259" s="25">
        <f t="shared" si="42"/>
        <v>0</v>
      </c>
      <c r="BA259" s="25">
        <f t="shared" si="42"/>
        <v>0</v>
      </c>
      <c r="BB259" s="25">
        <f t="shared" si="42"/>
        <v>0</v>
      </c>
      <c r="BC259" s="25">
        <f t="shared" si="42"/>
        <v>0</v>
      </c>
      <c r="BD259" s="25">
        <f t="shared" si="42"/>
        <v>0</v>
      </c>
      <c r="BE259" s="25">
        <f t="shared" si="42"/>
        <v>0</v>
      </c>
      <c r="BF259" s="25">
        <f t="shared" si="21"/>
        <v>0</v>
      </c>
      <c r="CA259" s="16">
        <v>4.8036203643228736</v>
      </c>
      <c r="CB259" s="16">
        <v>-9999</v>
      </c>
      <c r="CC259" s="16">
        <v>-9999</v>
      </c>
      <c r="CD259" s="16">
        <v>-9999</v>
      </c>
      <c r="CE259" s="16">
        <v>-9999</v>
      </c>
      <c r="CF259" s="16">
        <v>-9999</v>
      </c>
      <c r="CG259" s="16">
        <v>-9999</v>
      </c>
      <c r="CH259" s="16">
        <v>-9999</v>
      </c>
      <c r="CI259" s="16">
        <v>-9999</v>
      </c>
      <c r="CJ259" s="16">
        <v>-9999</v>
      </c>
      <c r="CK259" s="16">
        <v>-9999</v>
      </c>
      <c r="CL259" s="16">
        <v>-9999</v>
      </c>
      <c r="CM259" s="16">
        <v>-9999</v>
      </c>
      <c r="CN259" s="16">
        <v>4.6955415079955651</v>
      </c>
      <c r="CO259" s="16">
        <v>-9999</v>
      </c>
      <c r="CP259" s="16">
        <v>-9999</v>
      </c>
      <c r="CQ259" s="16">
        <v>-9999</v>
      </c>
      <c r="CR259" s="16">
        <v>-9999</v>
      </c>
      <c r="CS259" s="16">
        <v>-9999</v>
      </c>
      <c r="CT259" s="16">
        <v>-9999</v>
      </c>
      <c r="CU259" s="16">
        <v>-9999</v>
      </c>
      <c r="CV259" s="16">
        <v>-9999</v>
      </c>
      <c r="CW259" s="16">
        <v>-9999</v>
      </c>
      <c r="CX259" s="16">
        <v>-9999</v>
      </c>
      <c r="CY259" s="16">
        <v>-9999</v>
      </c>
      <c r="CZ259" s="16">
        <v>-9999</v>
      </c>
      <c r="DA259" s="16">
        <v>4.8098775622679577</v>
      </c>
      <c r="DB259" s="16">
        <v>-9999</v>
      </c>
      <c r="DC259" s="16">
        <v>-9999</v>
      </c>
      <c r="DD259" s="16">
        <v>-9999</v>
      </c>
      <c r="DE259" s="16">
        <v>-9999</v>
      </c>
      <c r="DF259" s="16">
        <v>-9999</v>
      </c>
      <c r="DG259" s="16">
        <v>-9999</v>
      </c>
      <c r="DH259" s="16">
        <v>-9999</v>
      </c>
      <c r="DI259" s="16">
        <v>-9999</v>
      </c>
      <c r="DJ259" s="16">
        <v>-9999</v>
      </c>
      <c r="DK259" s="16">
        <v>-9999</v>
      </c>
      <c r="DL259" s="16">
        <v>-9999</v>
      </c>
      <c r="DM259" s="16">
        <v>-9999</v>
      </c>
      <c r="DN259" s="16">
        <v>4.6955381198908199</v>
      </c>
      <c r="DO259" s="16">
        <v>-9999</v>
      </c>
      <c r="DP259" s="16">
        <v>-9999</v>
      </c>
      <c r="DQ259" s="16">
        <v>-9999</v>
      </c>
      <c r="DR259" s="16">
        <v>-9999</v>
      </c>
      <c r="DS259" s="16">
        <v>-9999</v>
      </c>
      <c r="DT259" s="16">
        <v>-9999</v>
      </c>
      <c r="DU259" s="16">
        <v>-9999</v>
      </c>
      <c r="DV259" s="16">
        <v>-9999</v>
      </c>
      <c r="DW259" s="16">
        <v>-9999</v>
      </c>
      <c r="DX259" s="16">
        <v>-9999</v>
      </c>
      <c r="DY259" s="16">
        <v>-9999</v>
      </c>
      <c r="DZ259" s="16">
        <v>-9999</v>
      </c>
      <c r="EA259" s="2196">
        <v>4.9841780210345368</v>
      </c>
      <c r="EB259" s="2197">
        <v>-9999</v>
      </c>
      <c r="EC259" s="2197">
        <v>-9999</v>
      </c>
      <c r="ED259" s="2197">
        <v>-9999</v>
      </c>
      <c r="EE259" s="2197">
        <v>-9999</v>
      </c>
      <c r="EF259" s="2197">
        <v>-9999</v>
      </c>
      <c r="EG259" s="2197">
        <v>-9999</v>
      </c>
      <c r="EH259" s="2197">
        <v>-9999</v>
      </c>
      <c r="EI259" s="2197">
        <v>-9999</v>
      </c>
      <c r="EJ259" s="2197">
        <v>-9999</v>
      </c>
      <c r="EK259" s="2197">
        <v>-9999</v>
      </c>
      <c r="EL259" s="2197">
        <v>-9999</v>
      </c>
      <c r="EM259" s="2197">
        <v>-9999</v>
      </c>
    </row>
    <row r="260" spans="1:143">
      <c r="A260" s="22">
        <v>160</v>
      </c>
      <c r="B260" s="33" t="s">
        <v>1330</v>
      </c>
      <c r="C260" s="1040">
        <f ca="1">+OFFSET(Sector1!G292,0,Last_forecast_year - 1998)*100</f>
        <v>28.494703738629902</v>
      </c>
      <c r="D260" s="25">
        <v>-9999</v>
      </c>
      <c r="E260" s="25">
        <v>-9999</v>
      </c>
      <c r="F260" s="25">
        <v>-9999</v>
      </c>
      <c r="G260" s="25">
        <v>-9999</v>
      </c>
      <c r="H260" s="25">
        <v>-9999</v>
      </c>
      <c r="I260" s="25">
        <v>-9999</v>
      </c>
      <c r="J260" s="25">
        <v>-9999</v>
      </c>
      <c r="K260" s="25">
        <v>-9999</v>
      </c>
      <c r="L260" s="25">
        <v>-9999</v>
      </c>
      <c r="M260" s="25">
        <v>-9999</v>
      </c>
      <c r="N260" s="25">
        <v>-9999</v>
      </c>
      <c r="O260" s="25">
        <v>-9999</v>
      </c>
      <c r="P260" s="26"/>
      <c r="Q260"/>
      <c r="AA260" s="22">
        <v>160</v>
      </c>
      <c r="AB260" s="1040" t="str">
        <f t="shared" si="31"/>
        <v>TAX RATE SOCIAL CONTR. PAST 4-Y AVG (col 1)</v>
      </c>
      <c r="AC260" s="1040">
        <f>CHOOSE(Tables!$U$2,Transfer!CA260,Transfer!CN260,Transfer!DA260,Transfer!DN260,Transfer!EA260)</f>
        <v>29.244220911408064</v>
      </c>
      <c r="AD260" s="1040">
        <f>CHOOSE(Tables!$U$2,Transfer!CB260,Transfer!CO260,Transfer!DB260,Transfer!DO260,Transfer!EB260)</f>
        <v>-9999</v>
      </c>
      <c r="AE260" s="1040">
        <f>CHOOSE(Tables!$U$2,Transfer!CC260,Transfer!CP260,Transfer!DC260,Transfer!DP260,Transfer!EC260)</f>
        <v>-9999</v>
      </c>
      <c r="AF260" s="1040">
        <f>CHOOSE(Tables!$U$2,Transfer!CD260,Transfer!CQ260,Transfer!DD260,Transfer!DQ260,Transfer!ED260)</f>
        <v>-9999</v>
      </c>
      <c r="AG260" s="1040">
        <f>CHOOSE(Tables!$U$2,Transfer!CE260,Transfer!CR260,Transfer!DE260,Transfer!DR260,Transfer!EE260)</f>
        <v>-9999</v>
      </c>
      <c r="AH260" s="1040">
        <f>CHOOSE(Tables!$U$2,Transfer!CF260,Transfer!CS260,Transfer!DF260,Transfer!DS260,Transfer!EF260)</f>
        <v>-9999</v>
      </c>
      <c r="AI260" s="1040">
        <f>CHOOSE(Tables!$U$2,Transfer!CG260,Transfer!CT260,Transfer!DG260,Transfer!DT260,Transfer!EG260)</f>
        <v>-9999</v>
      </c>
      <c r="AJ260" s="1040">
        <f>CHOOSE(Tables!$U$2,Transfer!CH260,Transfer!CU260,Transfer!DH260,Transfer!DU260,Transfer!EH260)</f>
        <v>-9999</v>
      </c>
      <c r="AK260" s="1040">
        <f>CHOOSE(Tables!$U$2,Transfer!CI260,Transfer!CV260,Transfer!DI260,Transfer!DV260,Transfer!EI260)</f>
        <v>-9999</v>
      </c>
      <c r="AL260" s="1040">
        <f>CHOOSE(Tables!$U$2,Transfer!CJ260,Transfer!CW260,Transfer!DJ260,Transfer!DW260,Transfer!EJ260)</f>
        <v>-9999</v>
      </c>
      <c r="AM260" s="1040">
        <f>CHOOSE(Tables!$U$2,Transfer!CK260,Transfer!CX260,Transfer!DK260,Transfer!DX260,Transfer!EK260)</f>
        <v>-9999</v>
      </c>
      <c r="AN260" s="1040">
        <f>CHOOSE(Tables!$U$2,Transfer!CL260,Transfer!CY260,Transfer!DL260,Transfer!DY260,Transfer!EL260)</f>
        <v>-9999</v>
      </c>
      <c r="AO260" s="1040">
        <f>CHOOSE(Tables!$U$2,Transfer!CM260,Transfer!CZ260,Transfer!DM260,Transfer!DZ260,Transfer!EM260)</f>
        <v>-9999</v>
      </c>
      <c r="AR260" s="22">
        <v>160</v>
      </c>
      <c r="AS260" s="33" t="s">
        <v>1330</v>
      </c>
      <c r="AT260" s="1040">
        <f t="shared" ca="1" si="43"/>
        <v>-0.74951717277816243</v>
      </c>
      <c r="AU260" s="25">
        <f t="shared" si="43"/>
        <v>0</v>
      </c>
      <c r="AV260" s="25">
        <f t="shared" si="43"/>
        <v>0</v>
      </c>
      <c r="AW260" s="25">
        <f t="shared" si="42"/>
        <v>0</v>
      </c>
      <c r="AX260" s="25">
        <f t="shared" si="42"/>
        <v>0</v>
      </c>
      <c r="AY260" s="25">
        <f t="shared" si="42"/>
        <v>0</v>
      </c>
      <c r="AZ260" s="25">
        <f t="shared" si="42"/>
        <v>0</v>
      </c>
      <c r="BA260" s="25">
        <f t="shared" si="42"/>
        <v>0</v>
      </c>
      <c r="BB260" s="25">
        <f t="shared" si="42"/>
        <v>0</v>
      </c>
      <c r="BC260" s="25">
        <f t="shared" si="42"/>
        <v>0</v>
      </c>
      <c r="BD260" s="25">
        <f t="shared" si="42"/>
        <v>0</v>
      </c>
      <c r="BE260" s="25">
        <f t="shared" si="42"/>
        <v>0</v>
      </c>
      <c r="BF260" s="25">
        <f t="shared" si="21"/>
        <v>0</v>
      </c>
      <c r="CA260" s="16">
        <v>28.344846357144792</v>
      </c>
      <c r="CB260" s="16">
        <v>-9999</v>
      </c>
      <c r="CC260" s="16">
        <v>-9999</v>
      </c>
      <c r="CD260" s="16">
        <v>-9999</v>
      </c>
      <c r="CE260" s="16">
        <v>-9999</v>
      </c>
      <c r="CF260" s="16">
        <v>-9999</v>
      </c>
      <c r="CG260" s="16">
        <v>-9999</v>
      </c>
      <c r="CH260" s="16">
        <v>-9999</v>
      </c>
      <c r="CI260" s="16">
        <v>-9999</v>
      </c>
      <c r="CJ260" s="16">
        <v>-9999</v>
      </c>
      <c r="CK260" s="16">
        <v>-9999</v>
      </c>
      <c r="CL260" s="16">
        <v>-9999</v>
      </c>
      <c r="CM260" s="16">
        <v>-9999</v>
      </c>
      <c r="CN260" s="16">
        <v>28.53508756540505</v>
      </c>
      <c r="CO260" s="16">
        <v>-9999</v>
      </c>
      <c r="CP260" s="16">
        <v>-9999</v>
      </c>
      <c r="CQ260" s="16">
        <v>-9999</v>
      </c>
      <c r="CR260" s="16">
        <v>-9999</v>
      </c>
      <c r="CS260" s="16">
        <v>-9999</v>
      </c>
      <c r="CT260" s="16">
        <v>-9999</v>
      </c>
      <c r="CU260" s="16">
        <v>-9999</v>
      </c>
      <c r="CV260" s="16">
        <v>-9999</v>
      </c>
      <c r="CW260" s="16">
        <v>-9999</v>
      </c>
      <c r="CX260" s="16">
        <v>-9999</v>
      </c>
      <c r="CY260" s="16">
        <v>-9999</v>
      </c>
      <c r="CZ260" s="16">
        <v>-9999</v>
      </c>
      <c r="DA260" s="16">
        <v>28.329414152062039</v>
      </c>
      <c r="DB260" s="16">
        <v>-9999</v>
      </c>
      <c r="DC260" s="16">
        <v>-9999</v>
      </c>
      <c r="DD260" s="16">
        <v>-9999</v>
      </c>
      <c r="DE260" s="16">
        <v>-9999</v>
      </c>
      <c r="DF260" s="16">
        <v>-9999</v>
      </c>
      <c r="DG260" s="16">
        <v>-9999</v>
      </c>
      <c r="DH260" s="16">
        <v>-9999</v>
      </c>
      <c r="DI260" s="16">
        <v>-9999</v>
      </c>
      <c r="DJ260" s="16">
        <v>-9999</v>
      </c>
      <c r="DK260" s="16">
        <v>-9999</v>
      </c>
      <c r="DL260" s="16">
        <v>-9999</v>
      </c>
      <c r="DM260" s="16">
        <v>-9999</v>
      </c>
      <c r="DN260" s="16">
        <v>28.535081903522951</v>
      </c>
      <c r="DO260" s="16">
        <v>-9999</v>
      </c>
      <c r="DP260" s="16">
        <v>-9999</v>
      </c>
      <c r="DQ260" s="16">
        <v>-9999</v>
      </c>
      <c r="DR260" s="16">
        <v>-9999</v>
      </c>
      <c r="DS260" s="16">
        <v>-9999</v>
      </c>
      <c r="DT260" s="16">
        <v>-9999</v>
      </c>
      <c r="DU260" s="16">
        <v>-9999</v>
      </c>
      <c r="DV260" s="16">
        <v>-9999</v>
      </c>
      <c r="DW260" s="16">
        <v>-9999</v>
      </c>
      <c r="DX260" s="16">
        <v>-9999</v>
      </c>
      <c r="DY260" s="16">
        <v>-9999</v>
      </c>
      <c r="DZ260" s="16">
        <v>-9999</v>
      </c>
      <c r="EA260" s="2196">
        <v>29.244220911408064</v>
      </c>
      <c r="EB260" s="2197">
        <v>-9999</v>
      </c>
      <c r="EC260" s="2197">
        <v>-9999</v>
      </c>
      <c r="ED260" s="2197">
        <v>-9999</v>
      </c>
      <c r="EE260" s="2197">
        <v>-9999</v>
      </c>
      <c r="EF260" s="2197">
        <v>-9999</v>
      </c>
      <c r="EG260" s="2197">
        <v>-9999</v>
      </c>
      <c r="EH260" s="2197">
        <v>-9999</v>
      </c>
      <c r="EI260" s="2197">
        <v>-9999</v>
      </c>
      <c r="EJ260" s="2197">
        <v>-9999</v>
      </c>
      <c r="EK260" s="2197">
        <v>-9999</v>
      </c>
      <c r="EL260" s="2197">
        <v>-9999</v>
      </c>
      <c r="EM260" s="2197">
        <v>-9999</v>
      </c>
    </row>
    <row r="261" spans="1:143">
      <c r="A261" s="22">
        <v>161</v>
      </c>
      <c r="B261" s="33" t="s">
        <v>808</v>
      </c>
      <c r="C261" s="24">
        <f ca="1">OFFSET('VVP2'!F371,0,Last_forecast_year - 3-InputY!$G$3)</f>
        <v>321.58999999999997</v>
      </c>
      <c r="D261" s="24">
        <f ca="1">OFFSET('VVP2'!G371,0,Last_forecast_year - 3-InputY!$G$3)</f>
        <v>336.99</v>
      </c>
      <c r="E261" s="24">
        <f ca="1">OFFSET('VVP2'!H371,0,Last_forecast_year - 3-InputY!$G$3)</f>
        <v>324.63</v>
      </c>
      <c r="F261" s="24">
        <f ca="1">OFFSET('VVP2'!I371,0,Last_forecast_year - 3-InputY!$G$3)</f>
        <v>324.63</v>
      </c>
      <c r="G261" s="24">
        <f ca="1">OFFSET('VVP2'!J371,0,Last_forecast_year - 3-InputY!$G$3)</f>
        <v>324.63</v>
      </c>
      <c r="H261" s="25">
        <v>-9999</v>
      </c>
      <c r="I261" s="25">
        <v>-9999</v>
      </c>
      <c r="J261" s="25">
        <v>-9999</v>
      </c>
      <c r="K261" s="25">
        <v>-9999</v>
      </c>
      <c r="L261" s="25">
        <v>-9999</v>
      </c>
      <c r="M261" s="25">
        <v>-9999</v>
      </c>
      <c r="N261" s="25">
        <v>-9999</v>
      </c>
      <c r="O261" s="25">
        <v>-9999</v>
      </c>
      <c r="P261" s="26"/>
      <c r="Q261"/>
      <c r="AA261" s="22">
        <v>161</v>
      </c>
      <c r="AB261" s="1040" t="str">
        <f t="shared" si="31"/>
        <v>HICP Y WEIGHT NON-ENERGY INDUSTRIAL GOODS</v>
      </c>
      <c r="AC261" s="1040">
        <f>CHOOSE(Tables!$U$2,Transfer!CA261,Transfer!CN261,Transfer!DA261,Transfer!DN261,Transfer!EA261)</f>
        <v>252.33</v>
      </c>
      <c r="AD261" s="1040">
        <f>CHOOSE(Tables!$U$2,Transfer!CB261,Transfer!CO261,Transfer!DB261,Transfer!DO261,Transfer!EB261)</f>
        <v>243.38</v>
      </c>
      <c r="AE261" s="1040">
        <f>CHOOSE(Tables!$U$2,Transfer!CC261,Transfer!CP261,Transfer!DC261,Transfer!DP261,Transfer!EC261)</f>
        <v>238.83</v>
      </c>
      <c r="AF261" s="1040">
        <f>CHOOSE(Tables!$U$2,Transfer!CD261,Transfer!CQ261,Transfer!DD261,Transfer!DQ261,Transfer!ED261)</f>
        <v>238.83</v>
      </c>
      <c r="AG261" s="1040">
        <f>CHOOSE(Tables!$U$2,Transfer!CE261,Transfer!CR261,Transfer!DE261,Transfer!DR261,Transfer!EE261)</f>
        <v>238.83</v>
      </c>
      <c r="AH261" s="1040">
        <f>CHOOSE(Tables!$U$2,Transfer!CF261,Transfer!CS261,Transfer!DF261,Transfer!DS261,Transfer!EF261)</f>
        <v>-9999</v>
      </c>
      <c r="AI261" s="1040">
        <f>CHOOSE(Tables!$U$2,Transfer!CG261,Transfer!CT261,Transfer!DG261,Transfer!DT261,Transfer!EG261)</f>
        <v>-9999</v>
      </c>
      <c r="AJ261" s="1040">
        <f>CHOOSE(Tables!$U$2,Transfer!CH261,Transfer!CU261,Transfer!DH261,Transfer!DU261,Transfer!EH261)</f>
        <v>-9999</v>
      </c>
      <c r="AK261" s="1040">
        <f>CHOOSE(Tables!$U$2,Transfer!CI261,Transfer!CV261,Transfer!DI261,Transfer!DV261,Transfer!EI261)</f>
        <v>-9999</v>
      </c>
      <c r="AL261" s="1040">
        <f>CHOOSE(Tables!$U$2,Transfer!CJ261,Transfer!CW261,Transfer!DJ261,Transfer!DW261,Transfer!EJ261)</f>
        <v>-9999</v>
      </c>
      <c r="AM261" s="1040">
        <f>CHOOSE(Tables!$U$2,Transfer!CK261,Transfer!CX261,Transfer!DK261,Transfer!DX261,Transfer!EK261)</f>
        <v>-9999</v>
      </c>
      <c r="AN261" s="1040">
        <f>CHOOSE(Tables!$U$2,Transfer!CL261,Transfer!CY261,Transfer!DL261,Transfer!DY261,Transfer!EL261)</f>
        <v>-9999</v>
      </c>
      <c r="AO261" s="1040">
        <f>CHOOSE(Tables!$U$2,Transfer!CM261,Transfer!CZ261,Transfer!DM261,Transfer!DZ261,Transfer!EM261)</f>
        <v>-9999</v>
      </c>
      <c r="AR261" s="22">
        <v>161</v>
      </c>
      <c r="AS261" s="37" t="s">
        <v>1705</v>
      </c>
      <c r="AT261" s="25">
        <f t="shared" ca="1" si="43"/>
        <v>69.259999999999962</v>
      </c>
      <c r="AU261" s="25">
        <f t="shared" ca="1" si="43"/>
        <v>93.610000000000014</v>
      </c>
      <c r="AV261" s="25">
        <f t="shared" ca="1" si="43"/>
        <v>85.799999999999983</v>
      </c>
      <c r="AW261" s="25">
        <f t="shared" ca="1" si="42"/>
        <v>85.799999999999983</v>
      </c>
      <c r="AX261" s="25">
        <f t="shared" ca="1" si="42"/>
        <v>85.799999999999983</v>
      </c>
      <c r="AY261" s="25">
        <f t="shared" si="42"/>
        <v>0</v>
      </c>
      <c r="AZ261" s="25">
        <f t="shared" si="42"/>
        <v>0</v>
      </c>
      <c r="BA261" s="25">
        <f t="shared" si="42"/>
        <v>0</v>
      </c>
      <c r="BB261" s="25">
        <f t="shared" si="42"/>
        <v>0</v>
      </c>
      <c r="BC261" s="25">
        <f t="shared" si="42"/>
        <v>0</v>
      </c>
      <c r="BD261" s="25">
        <f t="shared" si="42"/>
        <v>0</v>
      </c>
      <c r="BE261" s="25">
        <f t="shared" si="42"/>
        <v>0</v>
      </c>
      <c r="BF261" s="25">
        <f t="shared" si="21"/>
        <v>0</v>
      </c>
      <c r="CA261" s="16">
        <v>238.83</v>
      </c>
      <c r="CB261" s="16">
        <v>300.89999999999998</v>
      </c>
      <c r="CC261" s="16">
        <v>300.89999999999998</v>
      </c>
      <c r="CD261" s="16">
        <v>300.89999999999998</v>
      </c>
      <c r="CE261" s="16">
        <v>300.89999999999998</v>
      </c>
      <c r="CF261" s="16">
        <v>-9999</v>
      </c>
      <c r="CG261" s="16">
        <v>-9999</v>
      </c>
      <c r="CH261" s="16">
        <v>-9999</v>
      </c>
      <c r="CI261" s="16">
        <v>-9999</v>
      </c>
      <c r="CJ261" s="16">
        <v>-9999</v>
      </c>
      <c r="CK261" s="16">
        <v>-9999</v>
      </c>
      <c r="CL261" s="16">
        <v>-9999</v>
      </c>
      <c r="CM261" s="16">
        <v>-9999</v>
      </c>
      <c r="CN261" s="16">
        <v>243.38</v>
      </c>
      <c r="CO261" s="16">
        <v>238.83</v>
      </c>
      <c r="CP261" s="16">
        <v>300.89999999999998</v>
      </c>
      <c r="CQ261" s="16">
        <v>300.89999999999998</v>
      </c>
      <c r="CR261" s="16">
        <v>300.89999999999998</v>
      </c>
      <c r="CS261" s="16">
        <v>-9999</v>
      </c>
      <c r="CT261" s="16">
        <v>-9999</v>
      </c>
      <c r="CU261" s="16">
        <v>-9999</v>
      </c>
      <c r="CV261" s="16">
        <v>-9999</v>
      </c>
      <c r="CW261" s="16">
        <v>-9999</v>
      </c>
      <c r="CX261" s="16">
        <v>-9999</v>
      </c>
      <c r="CY261" s="16">
        <v>-9999</v>
      </c>
      <c r="CZ261" s="16">
        <v>-9999</v>
      </c>
      <c r="DA261" s="16">
        <v>238.83</v>
      </c>
      <c r="DB261" s="16">
        <v>300.89999999999998</v>
      </c>
      <c r="DC261" s="16">
        <v>300.89999999999998</v>
      </c>
      <c r="DD261" s="16">
        <v>300.89999999999998</v>
      </c>
      <c r="DE261" s="16">
        <v>300.89999999999998</v>
      </c>
      <c r="DF261" s="16">
        <v>-9999</v>
      </c>
      <c r="DG261" s="16">
        <v>-9999</v>
      </c>
      <c r="DH261" s="16">
        <v>-9999</v>
      </c>
      <c r="DI261" s="16">
        <v>-9999</v>
      </c>
      <c r="DJ261" s="16">
        <v>-9999</v>
      </c>
      <c r="DK261" s="16">
        <v>-9999</v>
      </c>
      <c r="DL261" s="16">
        <v>-9999</v>
      </c>
      <c r="DM261" s="16">
        <v>-9999</v>
      </c>
      <c r="DN261" s="16">
        <v>243.38</v>
      </c>
      <c r="DO261" s="16">
        <v>238.83</v>
      </c>
      <c r="DP261" s="16">
        <v>300.89999999999998</v>
      </c>
      <c r="DQ261" s="16">
        <v>300.89999999999998</v>
      </c>
      <c r="DR261" s="16">
        <v>300.89999999999998</v>
      </c>
      <c r="DS261" s="16">
        <v>-9999</v>
      </c>
      <c r="DT261" s="16">
        <v>-9999</v>
      </c>
      <c r="DU261" s="16">
        <v>-9999</v>
      </c>
      <c r="DV261" s="16">
        <v>-9999</v>
      </c>
      <c r="DW261" s="16">
        <v>-9999</v>
      </c>
      <c r="DX261" s="16">
        <v>-9999</v>
      </c>
      <c r="DY261" s="16">
        <v>-9999</v>
      </c>
      <c r="DZ261" s="16">
        <v>-9999</v>
      </c>
      <c r="EA261" s="2197">
        <v>252.33</v>
      </c>
      <c r="EB261" s="2197">
        <v>243.38</v>
      </c>
      <c r="EC261" s="2197">
        <v>238.83</v>
      </c>
      <c r="ED261" s="2197">
        <v>238.83</v>
      </c>
      <c r="EE261" s="2197">
        <v>238.83</v>
      </c>
      <c r="EF261" s="2197">
        <v>-9999</v>
      </c>
      <c r="EG261" s="2197">
        <v>-9999</v>
      </c>
      <c r="EH261" s="2197">
        <v>-9999</v>
      </c>
      <c r="EI261" s="2197">
        <v>-9999</v>
      </c>
      <c r="EJ261" s="2197">
        <v>-9999</v>
      </c>
      <c r="EK261" s="2197">
        <v>-9999</v>
      </c>
      <c r="EL261" s="2197">
        <v>-9999</v>
      </c>
      <c r="EM261" s="2197">
        <v>-9999</v>
      </c>
    </row>
    <row r="262" spans="1:143">
      <c r="A262" s="22">
        <v>162</v>
      </c>
      <c r="B262" s="33" t="s">
        <v>809</v>
      </c>
      <c r="C262" s="24">
        <f ca="1">OFFSET('VVP2'!F372,0,Last_forecast_year - 3-InputY!$G$3)</f>
        <v>136.01</v>
      </c>
      <c r="D262" s="24">
        <f ca="1">OFFSET('VVP2'!G372,0,Last_forecast_year - 3-InputY!$G$3)</f>
        <v>117.86</v>
      </c>
      <c r="E262" s="24">
        <f ca="1">OFFSET('VVP2'!H372,0,Last_forecast_year - 3-InputY!$G$3)</f>
        <v>120.19</v>
      </c>
      <c r="F262" s="24">
        <f ca="1">OFFSET('VVP2'!I372,0,Last_forecast_year - 3-InputY!$G$3)</f>
        <v>120.19</v>
      </c>
      <c r="G262" s="24">
        <f ca="1">OFFSET('VVP2'!J372,0,Last_forecast_year - 3-InputY!$G$3)</f>
        <v>120.19</v>
      </c>
      <c r="H262" s="25">
        <v>-9999</v>
      </c>
      <c r="I262" s="25">
        <v>-9999</v>
      </c>
      <c r="J262" s="25">
        <v>-9999</v>
      </c>
      <c r="K262" s="25">
        <v>-9999</v>
      </c>
      <c r="L262" s="25">
        <v>-9999</v>
      </c>
      <c r="M262" s="25">
        <v>-9999</v>
      </c>
      <c r="N262" s="25">
        <v>-9999</v>
      </c>
      <c r="O262" s="25">
        <v>-9999</v>
      </c>
      <c r="P262" s="26"/>
      <c r="Q262"/>
      <c r="AA262" s="22">
        <v>162</v>
      </c>
      <c r="AB262" s="1040" t="str">
        <f t="shared" si="31"/>
        <v>HICP Y WEIGHT ENERGY</v>
      </c>
      <c r="AC262" s="1040">
        <f>CHOOSE(Tables!$U$2,Transfer!CA262,Transfer!CN262,Transfer!DA262,Transfer!DN262,Transfer!EA262)</f>
        <v>153.46</v>
      </c>
      <c r="AD262" s="1040">
        <f>CHOOSE(Tables!$U$2,Transfer!CB262,Transfer!CO262,Transfer!DB262,Transfer!DO262,Transfer!EB262)</f>
        <v>163.93</v>
      </c>
      <c r="AE262" s="1040">
        <f>CHOOSE(Tables!$U$2,Transfer!CC262,Transfer!CP262,Transfer!DC262,Transfer!DP262,Transfer!EC262)</f>
        <v>168.38</v>
      </c>
      <c r="AF262" s="1040">
        <f>CHOOSE(Tables!$U$2,Transfer!CD262,Transfer!CQ262,Transfer!DD262,Transfer!DQ262,Transfer!ED262)</f>
        <v>168.38</v>
      </c>
      <c r="AG262" s="1040">
        <f>CHOOSE(Tables!$U$2,Transfer!CE262,Transfer!CR262,Transfer!DE262,Transfer!DR262,Transfer!EE262)</f>
        <v>168.38</v>
      </c>
      <c r="AH262" s="1040">
        <f>CHOOSE(Tables!$U$2,Transfer!CF262,Transfer!CS262,Transfer!DF262,Transfer!DS262,Transfer!EF262)</f>
        <v>-9999</v>
      </c>
      <c r="AI262" s="1040">
        <f>CHOOSE(Tables!$U$2,Transfer!CG262,Transfer!CT262,Transfer!DG262,Transfer!DT262,Transfer!EG262)</f>
        <v>-9999</v>
      </c>
      <c r="AJ262" s="1040">
        <f>CHOOSE(Tables!$U$2,Transfer!CH262,Transfer!CU262,Transfer!DH262,Transfer!DU262,Transfer!EH262)</f>
        <v>-9999</v>
      </c>
      <c r="AK262" s="1040">
        <f>CHOOSE(Tables!$U$2,Transfer!CI262,Transfer!CV262,Transfer!DI262,Transfer!DV262,Transfer!EI262)</f>
        <v>-9999</v>
      </c>
      <c r="AL262" s="1040">
        <f>CHOOSE(Tables!$U$2,Transfer!CJ262,Transfer!CW262,Transfer!DJ262,Transfer!DW262,Transfer!EJ262)</f>
        <v>-9999</v>
      </c>
      <c r="AM262" s="1040">
        <f>CHOOSE(Tables!$U$2,Transfer!CK262,Transfer!CX262,Transfer!DK262,Transfer!DX262,Transfer!EK262)</f>
        <v>-9999</v>
      </c>
      <c r="AN262" s="1040">
        <f>CHOOSE(Tables!$U$2,Transfer!CL262,Transfer!CY262,Transfer!DL262,Transfer!DY262,Transfer!EL262)</f>
        <v>-9999</v>
      </c>
      <c r="AO262" s="1040">
        <f>CHOOSE(Tables!$U$2,Transfer!CM262,Transfer!CZ262,Transfer!DM262,Transfer!DZ262,Transfer!EM262)</f>
        <v>-9999</v>
      </c>
      <c r="AR262" s="22">
        <v>162</v>
      </c>
      <c r="AS262" s="33" t="s">
        <v>1331</v>
      </c>
      <c r="AT262" s="35">
        <f t="shared" ca="1" si="43"/>
        <v>-17.450000000000017</v>
      </c>
      <c r="AU262" s="25">
        <f t="shared" ca="1" si="43"/>
        <v>-46.070000000000007</v>
      </c>
      <c r="AV262" s="25">
        <f t="shared" ca="1" si="43"/>
        <v>-48.19</v>
      </c>
      <c r="AW262" s="25">
        <f t="shared" ca="1" si="42"/>
        <v>-48.19</v>
      </c>
      <c r="AX262" s="25">
        <f t="shared" ca="1" si="42"/>
        <v>-48.19</v>
      </c>
      <c r="AY262" s="25">
        <f t="shared" si="42"/>
        <v>0</v>
      </c>
      <c r="AZ262" s="25">
        <f t="shared" si="42"/>
        <v>0</v>
      </c>
      <c r="BA262" s="25">
        <f t="shared" si="42"/>
        <v>0</v>
      </c>
      <c r="BB262" s="25">
        <f t="shared" si="42"/>
        <v>0</v>
      </c>
      <c r="BC262" s="25">
        <f t="shared" si="42"/>
        <v>0</v>
      </c>
      <c r="BD262" s="25">
        <f t="shared" si="42"/>
        <v>0</v>
      </c>
      <c r="BE262" s="25">
        <f t="shared" si="42"/>
        <v>0</v>
      </c>
      <c r="BF262" s="25">
        <f t="shared" si="21"/>
        <v>0</v>
      </c>
      <c r="CA262" s="16">
        <v>168.38</v>
      </c>
      <c r="CB262" s="16">
        <v>142.51</v>
      </c>
      <c r="CC262" s="16">
        <v>142.51</v>
      </c>
      <c r="CD262" s="16">
        <v>142.51</v>
      </c>
      <c r="CE262" s="16">
        <v>142.51</v>
      </c>
      <c r="CF262" s="16">
        <v>-9999</v>
      </c>
      <c r="CG262" s="16">
        <v>-9999</v>
      </c>
      <c r="CH262" s="16">
        <v>-9999</v>
      </c>
      <c r="CI262" s="16">
        <v>-9999</v>
      </c>
      <c r="CJ262" s="16">
        <v>-9999</v>
      </c>
      <c r="CK262" s="16">
        <v>-9999</v>
      </c>
      <c r="CL262" s="16">
        <v>-9999</v>
      </c>
      <c r="CM262" s="16">
        <v>-9999</v>
      </c>
      <c r="CN262" s="16">
        <v>163.93</v>
      </c>
      <c r="CO262" s="16">
        <v>168.38</v>
      </c>
      <c r="CP262" s="16">
        <v>142.51</v>
      </c>
      <c r="CQ262" s="16">
        <v>142.51</v>
      </c>
      <c r="CR262" s="16">
        <v>142.51</v>
      </c>
      <c r="CS262" s="16">
        <v>-9999</v>
      </c>
      <c r="CT262" s="16">
        <v>-9999</v>
      </c>
      <c r="CU262" s="16">
        <v>-9999</v>
      </c>
      <c r="CV262" s="16">
        <v>-9999</v>
      </c>
      <c r="CW262" s="16">
        <v>-9999</v>
      </c>
      <c r="CX262" s="16">
        <v>-9999</v>
      </c>
      <c r="CY262" s="16">
        <v>-9999</v>
      </c>
      <c r="CZ262" s="16">
        <v>-9999</v>
      </c>
      <c r="DA262" s="16">
        <v>168.38</v>
      </c>
      <c r="DB262" s="16">
        <v>142.51</v>
      </c>
      <c r="DC262" s="16">
        <v>142.51</v>
      </c>
      <c r="DD262" s="16">
        <v>142.51</v>
      </c>
      <c r="DE262" s="16">
        <v>142.51</v>
      </c>
      <c r="DF262" s="16">
        <v>-9999</v>
      </c>
      <c r="DG262" s="16">
        <v>-9999</v>
      </c>
      <c r="DH262" s="16">
        <v>-9999</v>
      </c>
      <c r="DI262" s="16">
        <v>-9999</v>
      </c>
      <c r="DJ262" s="16">
        <v>-9999</v>
      </c>
      <c r="DK262" s="16">
        <v>-9999</v>
      </c>
      <c r="DL262" s="16">
        <v>-9999</v>
      </c>
      <c r="DM262" s="16">
        <v>-9999</v>
      </c>
      <c r="DN262" s="16">
        <v>163.93</v>
      </c>
      <c r="DO262" s="16">
        <v>168.38</v>
      </c>
      <c r="DP262" s="16">
        <v>142.51</v>
      </c>
      <c r="DQ262" s="16">
        <v>142.51</v>
      </c>
      <c r="DR262" s="16">
        <v>142.51</v>
      </c>
      <c r="DS262" s="16">
        <v>-9999</v>
      </c>
      <c r="DT262" s="16">
        <v>-9999</v>
      </c>
      <c r="DU262" s="16">
        <v>-9999</v>
      </c>
      <c r="DV262" s="16">
        <v>-9999</v>
      </c>
      <c r="DW262" s="16">
        <v>-9999</v>
      </c>
      <c r="DX262" s="16">
        <v>-9999</v>
      </c>
      <c r="DY262" s="16">
        <v>-9999</v>
      </c>
      <c r="DZ262" s="16">
        <v>-9999</v>
      </c>
      <c r="EA262" s="2196">
        <v>153.46</v>
      </c>
      <c r="EB262" s="2197">
        <v>163.93</v>
      </c>
      <c r="EC262" s="2197">
        <v>168.38</v>
      </c>
      <c r="ED262" s="2197">
        <v>168.38</v>
      </c>
      <c r="EE262" s="2197">
        <v>168.38</v>
      </c>
      <c r="EF262" s="2197">
        <v>-9999</v>
      </c>
      <c r="EG262" s="2197">
        <v>-9999</v>
      </c>
      <c r="EH262" s="2197">
        <v>-9999</v>
      </c>
      <c r="EI262" s="2197">
        <v>-9999</v>
      </c>
      <c r="EJ262" s="2197">
        <v>-9999</v>
      </c>
      <c r="EK262" s="2197">
        <v>-9999</v>
      </c>
      <c r="EL262" s="2197">
        <v>-9999</v>
      </c>
      <c r="EM262" s="2197">
        <v>-9999</v>
      </c>
    </row>
    <row r="263" spans="1:143">
      <c r="A263" s="22">
        <v>163</v>
      </c>
      <c r="B263" s="33" t="s">
        <v>810</v>
      </c>
      <c r="C263" s="24">
        <f ca="1">OFFSET('VVP2'!F374,0,Last_forecast_year - 3-InputY!$G$3)</f>
        <v>206.54</v>
      </c>
      <c r="D263" s="24">
        <f ca="1">OFFSET('VVP2'!G374,0,Last_forecast_year - 3-InputY!$G$3)</f>
        <v>208.15</v>
      </c>
      <c r="E263" s="24">
        <f ca="1">OFFSET('VVP2'!H374,0,Last_forecast_year - 3-InputY!$G$3)</f>
        <v>209.09</v>
      </c>
      <c r="F263" s="24">
        <f ca="1">OFFSET('VVP2'!I374,0,Last_forecast_year - 3-InputY!$G$3)</f>
        <v>209.09</v>
      </c>
      <c r="G263" s="24">
        <f ca="1">OFFSET('VVP2'!J374,0,Last_forecast_year - 3-InputY!$G$3)</f>
        <v>209.09</v>
      </c>
      <c r="H263" s="25">
        <v>-9999</v>
      </c>
      <c r="I263" s="25">
        <v>-9999</v>
      </c>
      <c r="J263" s="25">
        <v>-9999</v>
      </c>
      <c r="K263" s="25">
        <v>-9999</v>
      </c>
      <c r="L263" s="25">
        <v>-9999</v>
      </c>
      <c r="M263" s="25">
        <v>-9999</v>
      </c>
      <c r="N263" s="25">
        <v>-9999</v>
      </c>
      <c r="O263" s="25">
        <v>-9999</v>
      </c>
      <c r="P263" s="26"/>
      <c r="Q263"/>
      <c r="AA263" s="22">
        <v>163</v>
      </c>
      <c r="AB263" s="1040" t="str">
        <f t="shared" si="31"/>
        <v>HICP Y WEIGHT PROCESSED FOOD INCL. ALCOHOL AND TOBACCO</v>
      </c>
      <c r="AC263" s="1040">
        <f>CHOOSE(Tables!$U$2,Transfer!CA263,Transfer!CN263,Transfer!DA263,Transfer!DN263,Transfer!EA263)</f>
        <v>230.78</v>
      </c>
      <c r="AD263" s="1040">
        <f>CHOOSE(Tables!$U$2,Transfer!CB263,Transfer!CO263,Transfer!DB263,Transfer!DO263,Transfer!EB263)</f>
        <v>231.7</v>
      </c>
      <c r="AE263" s="1040">
        <f>CHOOSE(Tables!$U$2,Transfer!CC263,Transfer!CP263,Transfer!DC263,Transfer!DP263,Transfer!EC263)</f>
        <v>229.1</v>
      </c>
      <c r="AF263" s="1040">
        <f>CHOOSE(Tables!$U$2,Transfer!CD263,Transfer!CQ263,Transfer!DD263,Transfer!DQ263,Transfer!ED263)</f>
        <v>229.1</v>
      </c>
      <c r="AG263" s="1040">
        <f>CHOOSE(Tables!$U$2,Transfer!CE263,Transfer!CR263,Transfer!DE263,Transfer!DR263,Transfer!EE263)</f>
        <v>229.1</v>
      </c>
      <c r="AH263" s="1040">
        <f>CHOOSE(Tables!$U$2,Transfer!CF263,Transfer!CS263,Transfer!DF263,Transfer!DS263,Transfer!EF263)</f>
        <v>-9999</v>
      </c>
      <c r="AI263" s="1040">
        <f>CHOOSE(Tables!$U$2,Transfer!CG263,Transfer!CT263,Transfer!DG263,Transfer!DT263,Transfer!EG263)</f>
        <v>-9999</v>
      </c>
      <c r="AJ263" s="1040">
        <f>CHOOSE(Tables!$U$2,Transfer!CH263,Transfer!CU263,Transfer!DH263,Transfer!DU263,Transfer!EH263)</f>
        <v>-9999</v>
      </c>
      <c r="AK263" s="1040">
        <f>CHOOSE(Tables!$U$2,Transfer!CI263,Transfer!CV263,Transfer!DI263,Transfer!DV263,Transfer!EI263)</f>
        <v>-9999</v>
      </c>
      <c r="AL263" s="1040">
        <f>CHOOSE(Tables!$U$2,Transfer!CJ263,Transfer!CW263,Transfer!DJ263,Transfer!DW263,Transfer!EJ263)</f>
        <v>-9999</v>
      </c>
      <c r="AM263" s="1040">
        <f>CHOOSE(Tables!$U$2,Transfer!CK263,Transfer!CX263,Transfer!DK263,Transfer!DX263,Transfer!EK263)</f>
        <v>-9999</v>
      </c>
      <c r="AN263" s="1040">
        <f>CHOOSE(Tables!$U$2,Transfer!CL263,Transfer!CY263,Transfer!DL263,Transfer!DY263,Transfer!EL263)</f>
        <v>-9999</v>
      </c>
      <c r="AO263" s="1040">
        <f>CHOOSE(Tables!$U$2,Transfer!CM263,Transfer!CZ263,Transfer!DM263,Transfer!DZ263,Transfer!EM263)</f>
        <v>-9999</v>
      </c>
      <c r="AR263" s="22">
        <v>163</v>
      </c>
      <c r="AS263" s="33" t="s">
        <v>1333</v>
      </c>
      <c r="AT263" s="35">
        <f ca="1">C264-AC263</f>
        <v>-135.42000000000002</v>
      </c>
      <c r="AU263" s="25">
        <f ca="1">D264-AD263</f>
        <v>-139.51</v>
      </c>
      <c r="AV263" s="25">
        <f ca="1">E264-AE263</f>
        <v>-148.13</v>
      </c>
      <c r="AW263" s="25">
        <f ca="1">F264-AF263</f>
        <v>-148.13</v>
      </c>
      <c r="AX263" s="25">
        <f ca="1">G264-AG263</f>
        <v>-148.13</v>
      </c>
      <c r="AY263" s="25">
        <f t="shared" si="42"/>
        <v>0</v>
      </c>
      <c r="AZ263" s="25">
        <f t="shared" si="42"/>
        <v>0</v>
      </c>
      <c r="BA263" s="25">
        <f t="shared" si="42"/>
        <v>0</v>
      </c>
      <c r="BB263" s="25">
        <f t="shared" si="42"/>
        <v>0</v>
      </c>
      <c r="BC263" s="25">
        <f t="shared" si="42"/>
        <v>0</v>
      </c>
      <c r="BD263" s="25">
        <f t="shared" si="42"/>
        <v>0</v>
      </c>
      <c r="BE263" s="25">
        <f t="shared" si="42"/>
        <v>0</v>
      </c>
      <c r="BF263" s="25">
        <f t="shared" si="21"/>
        <v>0</v>
      </c>
      <c r="CA263" s="16">
        <v>229.1</v>
      </c>
      <c r="CB263" s="16">
        <v>219.69</v>
      </c>
      <c r="CC263" s="16">
        <v>219.69</v>
      </c>
      <c r="CD263" s="16">
        <v>219.69</v>
      </c>
      <c r="CE263" s="16">
        <v>219.69</v>
      </c>
      <c r="CF263" s="16">
        <v>-9999</v>
      </c>
      <c r="CG263" s="16">
        <v>-9999</v>
      </c>
      <c r="CH263" s="16">
        <v>-9999</v>
      </c>
      <c r="CI263" s="16">
        <v>-9999</v>
      </c>
      <c r="CJ263" s="16">
        <v>-9999</v>
      </c>
      <c r="CK263" s="16">
        <v>-9999</v>
      </c>
      <c r="CL263" s="16">
        <v>-9999</v>
      </c>
      <c r="CM263" s="16">
        <v>-9999</v>
      </c>
      <c r="CN263" s="16">
        <v>231.70000000000002</v>
      </c>
      <c r="CO263" s="16">
        <v>229.1</v>
      </c>
      <c r="CP263" s="16">
        <v>219.69</v>
      </c>
      <c r="CQ263" s="16">
        <v>219.69</v>
      </c>
      <c r="CR263" s="16">
        <v>219.69</v>
      </c>
      <c r="CS263" s="16">
        <v>-9999</v>
      </c>
      <c r="CT263" s="16">
        <v>-9999</v>
      </c>
      <c r="CU263" s="16">
        <v>-9999</v>
      </c>
      <c r="CV263" s="16">
        <v>-9999</v>
      </c>
      <c r="CW263" s="16">
        <v>-9999</v>
      </c>
      <c r="CX263" s="16">
        <v>-9999</v>
      </c>
      <c r="CY263" s="16">
        <v>-9999</v>
      </c>
      <c r="CZ263" s="16">
        <v>-9999</v>
      </c>
      <c r="DA263" s="16">
        <v>229.1</v>
      </c>
      <c r="DB263" s="16">
        <v>219.69</v>
      </c>
      <c r="DC263" s="16">
        <v>219.69</v>
      </c>
      <c r="DD263" s="16">
        <v>219.69</v>
      </c>
      <c r="DE263" s="16">
        <v>219.69</v>
      </c>
      <c r="DF263" s="16">
        <v>-9999</v>
      </c>
      <c r="DG263" s="16">
        <v>-9999</v>
      </c>
      <c r="DH263" s="16">
        <v>-9999</v>
      </c>
      <c r="DI263" s="16">
        <v>-9999</v>
      </c>
      <c r="DJ263" s="16">
        <v>-9999</v>
      </c>
      <c r="DK263" s="16">
        <v>-9999</v>
      </c>
      <c r="DL263" s="16">
        <v>-9999</v>
      </c>
      <c r="DM263" s="16">
        <v>-9999</v>
      </c>
      <c r="DN263" s="16">
        <v>231.70000000000002</v>
      </c>
      <c r="DO263" s="16">
        <v>229.1</v>
      </c>
      <c r="DP263" s="16">
        <v>219.69</v>
      </c>
      <c r="DQ263" s="16">
        <v>219.69</v>
      </c>
      <c r="DR263" s="16">
        <v>219.69</v>
      </c>
      <c r="DS263" s="16">
        <v>-9999</v>
      </c>
      <c r="DT263" s="16">
        <v>-9999</v>
      </c>
      <c r="DU263" s="16">
        <v>-9999</v>
      </c>
      <c r="DV263" s="16">
        <v>-9999</v>
      </c>
      <c r="DW263" s="16">
        <v>-9999</v>
      </c>
      <c r="DX263" s="16">
        <v>-9999</v>
      </c>
      <c r="DY263" s="16">
        <v>-9999</v>
      </c>
      <c r="DZ263" s="16">
        <v>-9999</v>
      </c>
      <c r="EA263" s="2196">
        <v>230.78</v>
      </c>
      <c r="EB263" s="2197">
        <v>231.7</v>
      </c>
      <c r="EC263" s="2197">
        <v>229.1</v>
      </c>
      <c r="ED263" s="2197">
        <v>229.1</v>
      </c>
      <c r="EE263" s="2197">
        <v>229.1</v>
      </c>
      <c r="EF263" s="2197">
        <v>-9999</v>
      </c>
      <c r="EG263" s="2197">
        <v>-9999</v>
      </c>
      <c r="EH263" s="2197">
        <v>-9999</v>
      </c>
      <c r="EI263" s="2197">
        <v>-9999</v>
      </c>
      <c r="EJ263" s="2197">
        <v>-9999</v>
      </c>
      <c r="EK263" s="2197">
        <v>-9999</v>
      </c>
      <c r="EL263" s="2197">
        <v>-9999</v>
      </c>
      <c r="EM263" s="2197">
        <v>-9999</v>
      </c>
    </row>
    <row r="264" spans="1:143">
      <c r="A264" s="22">
        <v>164</v>
      </c>
      <c r="B264" s="33" t="s">
        <v>811</v>
      </c>
      <c r="C264" s="24">
        <f ca="1">OFFSET('VVP2'!F373,0,Last_forecast_year - 3-InputY!$G$3)</f>
        <v>95.36</v>
      </c>
      <c r="D264" s="24">
        <f ca="1">OFFSET('VVP2'!G373,0,Last_forecast_year - 3-InputY!$G$3)</f>
        <v>92.19</v>
      </c>
      <c r="E264" s="24">
        <f ca="1">OFFSET('VVP2'!H373,0,Last_forecast_year - 3-InputY!$G$3)</f>
        <v>80.97</v>
      </c>
      <c r="F264" s="24">
        <f ca="1">OFFSET('VVP2'!I373,0,Last_forecast_year - 3-InputY!$G$3)</f>
        <v>80.97</v>
      </c>
      <c r="G264" s="24">
        <f ca="1">OFFSET('VVP2'!J373,0,Last_forecast_year - 3-InputY!$G$3)</f>
        <v>80.97</v>
      </c>
      <c r="H264" s="25">
        <v>-9999</v>
      </c>
      <c r="I264" s="25">
        <v>-9999</v>
      </c>
      <c r="J264" s="25">
        <v>-9999</v>
      </c>
      <c r="K264" s="25">
        <v>-9999</v>
      </c>
      <c r="L264" s="25">
        <v>-9999</v>
      </c>
      <c r="M264" s="25">
        <v>-9999</v>
      </c>
      <c r="N264" s="25">
        <v>-9999</v>
      </c>
      <c r="O264" s="25">
        <v>-9999</v>
      </c>
      <c r="P264" s="26"/>
      <c r="Q264"/>
      <c r="AA264" s="22">
        <v>164</v>
      </c>
      <c r="AB264" s="1040" t="str">
        <f t="shared" si="31"/>
        <v>HICP Y WEIGHT UNPROCESSED FOOD</v>
      </c>
      <c r="AC264" s="1040">
        <f>CHOOSE(Tables!$U$2,Transfer!CA264,Transfer!CN264,Transfer!DA264,Transfer!DN264,Transfer!EA264)</f>
        <v>116.14</v>
      </c>
      <c r="AD264" s="1040">
        <f>CHOOSE(Tables!$U$2,Transfer!CB264,Transfer!CO264,Transfer!DB264,Transfer!DO264,Transfer!EB264)</f>
        <v>112.78</v>
      </c>
      <c r="AE264" s="1040">
        <f>CHOOSE(Tables!$U$2,Transfer!CC264,Transfer!CP264,Transfer!DC264,Transfer!DP264,Transfer!EC264)</f>
        <v>112.95</v>
      </c>
      <c r="AF264" s="1040">
        <f>CHOOSE(Tables!$U$2,Transfer!CD264,Transfer!CQ264,Transfer!DD264,Transfer!DQ264,Transfer!ED264)</f>
        <v>112.95</v>
      </c>
      <c r="AG264" s="1040">
        <f>CHOOSE(Tables!$U$2,Transfer!CE264,Transfer!CR264,Transfer!DE264,Transfer!DR264,Transfer!EE264)</f>
        <v>112.95</v>
      </c>
      <c r="AH264" s="1040">
        <f>CHOOSE(Tables!$U$2,Transfer!CF264,Transfer!CS264,Transfer!DF264,Transfer!DS264,Transfer!EF264)</f>
        <v>-9999</v>
      </c>
      <c r="AI264" s="1040">
        <f>CHOOSE(Tables!$U$2,Transfer!CG264,Transfer!CT264,Transfer!DG264,Transfer!DT264,Transfer!EG264)</f>
        <v>-9999</v>
      </c>
      <c r="AJ264" s="1040">
        <f>CHOOSE(Tables!$U$2,Transfer!CH264,Transfer!CU264,Transfer!DH264,Transfer!DU264,Transfer!EH264)</f>
        <v>-9999</v>
      </c>
      <c r="AK264" s="1040">
        <f>CHOOSE(Tables!$U$2,Transfer!CI264,Transfer!CV264,Transfer!DI264,Transfer!DV264,Transfer!EI264)</f>
        <v>-9999</v>
      </c>
      <c r="AL264" s="1040">
        <f>CHOOSE(Tables!$U$2,Transfer!CJ264,Transfer!CW264,Transfer!DJ264,Transfer!DW264,Transfer!EJ264)</f>
        <v>-9999</v>
      </c>
      <c r="AM264" s="1040">
        <f>CHOOSE(Tables!$U$2,Transfer!CK264,Transfer!CX264,Transfer!DK264,Transfer!DX264,Transfer!EK264)</f>
        <v>-9999</v>
      </c>
      <c r="AN264" s="1040">
        <f>CHOOSE(Tables!$U$2,Transfer!CL264,Transfer!CY264,Transfer!DL264,Transfer!DY264,Transfer!EL264)</f>
        <v>-9999</v>
      </c>
      <c r="AO264" s="1040">
        <f>CHOOSE(Tables!$U$2,Transfer!CM264,Transfer!CZ264,Transfer!DM264,Transfer!DZ264,Transfer!EM264)</f>
        <v>-9999</v>
      </c>
      <c r="AR264" s="22">
        <v>164</v>
      </c>
      <c r="AS264" s="33" t="s">
        <v>1520</v>
      </c>
      <c r="AT264" s="35">
        <f ca="1">C263-AC264</f>
        <v>90.399999999999991</v>
      </c>
      <c r="AU264" s="25">
        <f ca="1">D263-AD264</f>
        <v>95.37</v>
      </c>
      <c r="AV264" s="25">
        <f ca="1">E263-AE264</f>
        <v>96.14</v>
      </c>
      <c r="AW264" s="25">
        <f ca="1">F263-AF264</f>
        <v>96.14</v>
      </c>
      <c r="AX264" s="25">
        <f ca="1">G263-AG264</f>
        <v>96.14</v>
      </c>
      <c r="AY264" s="25">
        <f t="shared" si="42"/>
        <v>0</v>
      </c>
      <c r="AZ264" s="25">
        <f t="shared" si="42"/>
        <v>0</v>
      </c>
      <c r="BA264" s="25">
        <f t="shared" si="42"/>
        <v>0</v>
      </c>
      <c r="BB264" s="25">
        <f t="shared" si="42"/>
        <v>0</v>
      </c>
      <c r="BC264" s="25">
        <f t="shared" si="42"/>
        <v>0</v>
      </c>
      <c r="BD264" s="25">
        <f t="shared" si="42"/>
        <v>0</v>
      </c>
      <c r="BE264" s="25">
        <f t="shared" si="42"/>
        <v>0</v>
      </c>
      <c r="BF264" s="25">
        <f t="shared" si="21"/>
        <v>0</v>
      </c>
      <c r="CA264" s="16">
        <v>112.95</v>
      </c>
      <c r="CB264" s="16">
        <v>102.8</v>
      </c>
      <c r="CC264" s="16">
        <v>102.8</v>
      </c>
      <c r="CD264" s="16">
        <v>102.8</v>
      </c>
      <c r="CE264" s="16">
        <v>102.8</v>
      </c>
      <c r="CF264" s="16">
        <v>-9999</v>
      </c>
      <c r="CG264" s="16">
        <v>-9999</v>
      </c>
      <c r="CH264" s="16">
        <v>-9999</v>
      </c>
      <c r="CI264" s="16">
        <v>-9999</v>
      </c>
      <c r="CJ264" s="16">
        <v>-9999</v>
      </c>
      <c r="CK264" s="16">
        <v>-9999</v>
      </c>
      <c r="CL264" s="16">
        <v>-9999</v>
      </c>
      <c r="CM264" s="16">
        <v>-9999</v>
      </c>
      <c r="CN264" s="16">
        <v>112.78</v>
      </c>
      <c r="CO264" s="16">
        <v>112.95</v>
      </c>
      <c r="CP264" s="16">
        <v>102.8</v>
      </c>
      <c r="CQ264" s="16">
        <v>102.8</v>
      </c>
      <c r="CR264" s="16">
        <v>102.8</v>
      </c>
      <c r="CS264" s="16">
        <v>-9999</v>
      </c>
      <c r="CT264" s="16">
        <v>-9999</v>
      </c>
      <c r="CU264" s="16">
        <v>-9999</v>
      </c>
      <c r="CV264" s="16">
        <v>-9999</v>
      </c>
      <c r="CW264" s="16">
        <v>-9999</v>
      </c>
      <c r="CX264" s="16">
        <v>-9999</v>
      </c>
      <c r="CY264" s="16">
        <v>-9999</v>
      </c>
      <c r="CZ264" s="16">
        <v>-9999</v>
      </c>
      <c r="DA264" s="16">
        <v>112.95</v>
      </c>
      <c r="DB264" s="16">
        <v>102.8</v>
      </c>
      <c r="DC264" s="16">
        <v>102.8</v>
      </c>
      <c r="DD264" s="16">
        <v>102.8</v>
      </c>
      <c r="DE264" s="16">
        <v>102.8</v>
      </c>
      <c r="DF264" s="16">
        <v>-9999</v>
      </c>
      <c r="DG264" s="16">
        <v>-9999</v>
      </c>
      <c r="DH264" s="16">
        <v>-9999</v>
      </c>
      <c r="DI264" s="16">
        <v>-9999</v>
      </c>
      <c r="DJ264" s="16">
        <v>-9999</v>
      </c>
      <c r="DK264" s="16">
        <v>-9999</v>
      </c>
      <c r="DL264" s="16">
        <v>-9999</v>
      </c>
      <c r="DM264" s="16">
        <v>-9999</v>
      </c>
      <c r="DN264" s="16">
        <v>112.78</v>
      </c>
      <c r="DO264" s="16">
        <v>112.95</v>
      </c>
      <c r="DP264" s="16">
        <v>102.8</v>
      </c>
      <c r="DQ264" s="16">
        <v>102.8</v>
      </c>
      <c r="DR264" s="16">
        <v>102.8</v>
      </c>
      <c r="DS264" s="16">
        <v>-9999</v>
      </c>
      <c r="DT264" s="16">
        <v>-9999</v>
      </c>
      <c r="DU264" s="16">
        <v>-9999</v>
      </c>
      <c r="DV264" s="16">
        <v>-9999</v>
      </c>
      <c r="DW264" s="16">
        <v>-9999</v>
      </c>
      <c r="DX264" s="16">
        <v>-9999</v>
      </c>
      <c r="DY264" s="16">
        <v>-9999</v>
      </c>
      <c r="DZ264" s="16">
        <v>-9999</v>
      </c>
      <c r="EA264" s="2196">
        <v>116.14</v>
      </c>
      <c r="EB264" s="2197">
        <v>112.78</v>
      </c>
      <c r="EC264" s="2197">
        <v>112.95</v>
      </c>
      <c r="ED264" s="2197">
        <v>112.95</v>
      </c>
      <c r="EE264" s="2197">
        <v>112.95</v>
      </c>
      <c r="EF264" s="2197">
        <v>-9999</v>
      </c>
      <c r="EG264" s="2197">
        <v>-9999</v>
      </c>
      <c r="EH264" s="2197">
        <v>-9999</v>
      </c>
      <c r="EI264" s="2197">
        <v>-9999</v>
      </c>
      <c r="EJ264" s="2197">
        <v>-9999</v>
      </c>
      <c r="EK264" s="2197">
        <v>-9999</v>
      </c>
      <c r="EL264" s="2197">
        <v>-9999</v>
      </c>
      <c r="EM264" s="2197">
        <v>-9999</v>
      </c>
    </row>
    <row r="265" spans="1:143">
      <c r="A265" s="22">
        <v>165</v>
      </c>
      <c r="B265" s="33" t="s">
        <v>812</v>
      </c>
      <c r="C265" s="24">
        <f ca="1">OFFSET('VVP2'!F375,0,Last_forecast_year - 3-InputY!$G$3)</f>
        <v>240.50000000000009</v>
      </c>
      <c r="D265" s="24">
        <f ca="1">OFFSET('VVP2'!G375,0,Last_forecast_year - 3-InputY!$G$3)</f>
        <v>244.80999999999997</v>
      </c>
      <c r="E265" s="24">
        <f ca="1">OFFSET('VVP2'!H375,0,Last_forecast_year - 3-InputY!$G$3)</f>
        <v>265.12</v>
      </c>
      <c r="F265" s="24">
        <f ca="1">OFFSET('VVP2'!I375,0,Last_forecast_year - 3-InputY!$G$3)</f>
        <v>265.12</v>
      </c>
      <c r="G265" s="24">
        <f ca="1">OFFSET('VVP2'!J375,0,Last_forecast_year - 3-InputY!$G$3)</f>
        <v>265.12</v>
      </c>
      <c r="H265" s="25">
        <v>-9999</v>
      </c>
      <c r="I265" s="25">
        <v>-9999</v>
      </c>
      <c r="J265" s="25">
        <v>-9999</v>
      </c>
      <c r="K265" s="25">
        <v>-9999</v>
      </c>
      <c r="L265" s="25">
        <v>-9999</v>
      </c>
      <c r="M265" s="25">
        <v>-9999</v>
      </c>
      <c r="N265" s="25">
        <v>-9999</v>
      </c>
      <c r="O265" s="25">
        <v>-9999</v>
      </c>
      <c r="P265" s="26"/>
      <c r="Q265"/>
      <c r="AA265" s="22">
        <v>165</v>
      </c>
      <c r="AB265" s="1040" t="str">
        <f t="shared" si="31"/>
        <v>HICP Y WEIGHT SERVICES</v>
      </c>
      <c r="AC265" s="1040">
        <f>CHOOSE(Tables!$U$2,Transfer!CA265,Transfer!CN265,Transfer!DA265,Transfer!DN265,Transfer!EA265)</f>
        <v>247.3</v>
      </c>
      <c r="AD265" s="1040">
        <f>CHOOSE(Tables!$U$2,Transfer!CB265,Transfer!CO265,Transfer!DB265,Transfer!DO265,Transfer!EB265)</f>
        <v>248.21</v>
      </c>
      <c r="AE265" s="1040">
        <f>CHOOSE(Tables!$U$2,Transfer!CC265,Transfer!CP265,Transfer!DC265,Transfer!DP265,Transfer!EC265)</f>
        <v>250.74</v>
      </c>
      <c r="AF265" s="1040">
        <f>CHOOSE(Tables!$U$2,Transfer!CD265,Transfer!CQ265,Transfer!DD265,Transfer!DQ265,Transfer!ED265)</f>
        <v>250.73999999999998</v>
      </c>
      <c r="AG265" s="1040">
        <f>CHOOSE(Tables!$U$2,Transfer!CE265,Transfer!CR265,Transfer!DE265,Transfer!DR265,Transfer!EE265)</f>
        <v>250.73999999999998</v>
      </c>
      <c r="AH265" s="1040">
        <f>CHOOSE(Tables!$U$2,Transfer!CF265,Transfer!CS265,Transfer!DF265,Transfer!DS265,Transfer!EF265)</f>
        <v>-9999</v>
      </c>
      <c r="AI265" s="1040">
        <f>CHOOSE(Tables!$U$2,Transfer!CG265,Transfer!CT265,Transfer!DG265,Transfer!DT265,Transfer!EG265)</f>
        <v>-9999</v>
      </c>
      <c r="AJ265" s="1040">
        <f>CHOOSE(Tables!$U$2,Transfer!CH265,Transfer!CU265,Transfer!DH265,Transfer!DU265,Transfer!EH265)</f>
        <v>-9999</v>
      </c>
      <c r="AK265" s="1040">
        <f>CHOOSE(Tables!$U$2,Transfer!CI265,Transfer!CV265,Transfer!DI265,Transfer!DV265,Transfer!EI265)</f>
        <v>-9999</v>
      </c>
      <c r="AL265" s="1040">
        <f>CHOOSE(Tables!$U$2,Transfer!CJ265,Transfer!CW265,Transfer!DJ265,Transfer!DW265,Transfer!EJ265)</f>
        <v>-9999</v>
      </c>
      <c r="AM265" s="1040">
        <f>CHOOSE(Tables!$U$2,Transfer!CK265,Transfer!CX265,Transfer!DK265,Transfer!DX265,Transfer!EK265)</f>
        <v>-9999</v>
      </c>
      <c r="AN265" s="1040">
        <f>CHOOSE(Tables!$U$2,Transfer!CL265,Transfer!CY265,Transfer!DL265,Transfer!DY265,Transfer!EL265)</f>
        <v>-9999</v>
      </c>
      <c r="AO265" s="1040">
        <f>CHOOSE(Tables!$U$2,Transfer!CM265,Transfer!CZ265,Transfer!DM265,Transfer!DZ265,Transfer!EM265)</f>
        <v>-9999</v>
      </c>
      <c r="AR265" s="22">
        <v>165</v>
      </c>
      <c r="AS265" s="30" t="s">
        <v>1705</v>
      </c>
      <c r="AT265" s="25">
        <f t="shared" ca="1" si="43"/>
        <v>-6.7999999999999261</v>
      </c>
      <c r="AU265" s="25">
        <f t="shared" ca="1" si="43"/>
        <v>-3.4000000000000341</v>
      </c>
      <c r="AV265" s="25">
        <f t="shared" ca="1" si="43"/>
        <v>14.379999999999995</v>
      </c>
      <c r="AW265" s="25">
        <f t="shared" ca="1" si="42"/>
        <v>14.380000000000024</v>
      </c>
      <c r="AX265" s="25">
        <f t="shared" ca="1" si="42"/>
        <v>14.380000000000024</v>
      </c>
      <c r="AY265" s="25">
        <f t="shared" si="42"/>
        <v>0</v>
      </c>
      <c r="AZ265" s="25">
        <f t="shared" si="42"/>
        <v>0</v>
      </c>
      <c r="BA265" s="25">
        <f t="shared" si="42"/>
        <v>0</v>
      </c>
      <c r="BB265" s="25">
        <f t="shared" si="42"/>
        <v>0</v>
      </c>
      <c r="BC265" s="25">
        <f t="shared" si="42"/>
        <v>0</v>
      </c>
      <c r="BD265" s="25">
        <f t="shared" si="42"/>
        <v>0</v>
      </c>
      <c r="BE265" s="25">
        <f t="shared" si="42"/>
        <v>0</v>
      </c>
      <c r="BF265" s="25">
        <f t="shared" si="21"/>
        <v>0</v>
      </c>
      <c r="CA265" s="16">
        <v>250.74</v>
      </c>
      <c r="CB265" s="16">
        <v>234.10000000000002</v>
      </c>
      <c r="CC265" s="16">
        <v>234.10000000000002</v>
      </c>
      <c r="CD265" s="16">
        <v>234.10000000000002</v>
      </c>
      <c r="CE265" s="16">
        <v>234.10000000000002</v>
      </c>
      <c r="CF265" s="16">
        <v>-9999</v>
      </c>
      <c r="CG265" s="16">
        <v>-9999</v>
      </c>
      <c r="CH265" s="16">
        <v>-9999</v>
      </c>
      <c r="CI265" s="16">
        <v>-9999</v>
      </c>
      <c r="CJ265" s="16">
        <v>-9999</v>
      </c>
      <c r="CK265" s="16">
        <v>-9999</v>
      </c>
      <c r="CL265" s="16">
        <v>-9999</v>
      </c>
      <c r="CM265" s="16">
        <v>-9999</v>
      </c>
      <c r="CN265" s="16">
        <v>248.21</v>
      </c>
      <c r="CO265" s="16">
        <v>250.74</v>
      </c>
      <c r="CP265" s="16">
        <v>234.10000000000002</v>
      </c>
      <c r="CQ265" s="16">
        <v>234.10000000000002</v>
      </c>
      <c r="CR265" s="16">
        <v>234.10000000000002</v>
      </c>
      <c r="CS265" s="16">
        <v>-9999</v>
      </c>
      <c r="CT265" s="16">
        <v>-9999</v>
      </c>
      <c r="CU265" s="16">
        <v>-9999</v>
      </c>
      <c r="CV265" s="16">
        <v>-9999</v>
      </c>
      <c r="CW265" s="16">
        <v>-9999</v>
      </c>
      <c r="CX265" s="16">
        <v>-9999</v>
      </c>
      <c r="CY265" s="16">
        <v>-9999</v>
      </c>
      <c r="CZ265" s="16">
        <v>-9999</v>
      </c>
      <c r="DA265" s="16">
        <v>250.74</v>
      </c>
      <c r="DB265" s="16">
        <v>234.10000000000002</v>
      </c>
      <c r="DC265" s="16">
        <v>234.10000000000002</v>
      </c>
      <c r="DD265" s="16">
        <v>234.10000000000002</v>
      </c>
      <c r="DE265" s="16">
        <v>234.10000000000002</v>
      </c>
      <c r="DF265" s="16">
        <v>-9999</v>
      </c>
      <c r="DG265" s="16">
        <v>-9999</v>
      </c>
      <c r="DH265" s="16">
        <v>-9999</v>
      </c>
      <c r="DI265" s="16">
        <v>-9999</v>
      </c>
      <c r="DJ265" s="16">
        <v>-9999</v>
      </c>
      <c r="DK265" s="16">
        <v>-9999</v>
      </c>
      <c r="DL265" s="16">
        <v>-9999</v>
      </c>
      <c r="DM265" s="16">
        <v>-9999</v>
      </c>
      <c r="DN265" s="16">
        <v>248.21</v>
      </c>
      <c r="DO265" s="16">
        <v>250.74</v>
      </c>
      <c r="DP265" s="16">
        <v>234.10000000000002</v>
      </c>
      <c r="DQ265" s="16">
        <v>234.10000000000002</v>
      </c>
      <c r="DR265" s="16">
        <v>234.10000000000002</v>
      </c>
      <c r="DS265" s="16">
        <v>-9999</v>
      </c>
      <c r="DT265" s="16">
        <v>-9999</v>
      </c>
      <c r="DU265" s="16">
        <v>-9999</v>
      </c>
      <c r="DV265" s="16">
        <v>-9999</v>
      </c>
      <c r="DW265" s="16">
        <v>-9999</v>
      </c>
      <c r="DX265" s="16">
        <v>-9999</v>
      </c>
      <c r="DY265" s="16">
        <v>-9999</v>
      </c>
      <c r="DZ265" s="16">
        <v>-9999</v>
      </c>
      <c r="EA265" s="2197">
        <v>247.3</v>
      </c>
      <c r="EB265" s="2197">
        <v>248.21</v>
      </c>
      <c r="EC265" s="2197">
        <v>250.74</v>
      </c>
      <c r="ED265" s="2197">
        <v>250.73999999999998</v>
      </c>
      <c r="EE265" s="2197">
        <v>250.73999999999998</v>
      </c>
      <c r="EF265" s="2197">
        <v>-9999</v>
      </c>
      <c r="EG265" s="2197">
        <v>-9999</v>
      </c>
      <c r="EH265" s="2197">
        <v>-9999</v>
      </c>
      <c r="EI265" s="2197">
        <v>-9999</v>
      </c>
      <c r="EJ265" s="2197">
        <v>-9999</v>
      </c>
      <c r="EK265" s="2197">
        <v>-9999</v>
      </c>
      <c r="EL265" s="2197">
        <v>-9999</v>
      </c>
      <c r="EM265" s="2197">
        <v>-9999</v>
      </c>
    </row>
    <row r="266" spans="1:143">
      <c r="A266" s="22">
        <v>166</v>
      </c>
      <c r="B266" s="33" t="s">
        <v>1714</v>
      </c>
      <c r="C266" s="25">
        <v>-9999</v>
      </c>
      <c r="D266" s="1040">
        <f ca="1">OFFSET('Q1'!G320,0,(Last_forecast_year - 3-InputY!$G$3)*4+4)</f>
        <v>2.5798694213839894</v>
      </c>
      <c r="E266" s="1040">
        <f ca="1">OFFSET('Q1'!H320,0,(Last_forecast_year - 3-InputY!$G$3)*4+4)</f>
        <v>3.9280031204877304</v>
      </c>
      <c r="F266" s="1040">
        <f ca="1">OFFSET('Q1'!I320,0,(Last_forecast_year - 3-InputY!$G$3)*4+4)</f>
        <v>4.6690657980823573</v>
      </c>
      <c r="G266" s="1040">
        <f ca="1">OFFSET('Q1'!J320,0,(Last_forecast_year - 3-InputY!$G$3)*4+4)</f>
        <v>4.1447203044817655</v>
      </c>
      <c r="H266" s="1040">
        <f ca="1">OFFSET('Q1'!K320,0,(Last_forecast_year - 3-InputY!$G$3)*4+4)</f>
        <v>3.2439609580513888</v>
      </c>
      <c r="I266" s="1040">
        <f ca="1">OFFSET('Q1'!L320,0,(Last_forecast_year - 3-InputY!$G$3)*4+4)</f>
        <v>2.326162886456558</v>
      </c>
      <c r="J266" s="1040">
        <f ca="1">OFFSET('Q1'!M320,0,(Last_forecast_year - 3-InputY!$G$3)*4+4)</f>
        <v>2.242313401862873</v>
      </c>
      <c r="K266" s="1040">
        <f ca="1">OFFSET('Q1'!N320,0,(Last_forecast_year - 3-InputY!$G$3)*4+4)</f>
        <v>2.7157272103636387</v>
      </c>
      <c r="L266" s="1040">
        <f ca="1">OFFSET('Q1'!O320,0,(Last_forecast_year - 3-InputY!$G$3)*4+4)</f>
        <v>3.2296186870492534</v>
      </c>
      <c r="M266" s="1040">
        <f ca="1">OFFSET('Q1'!P320,0,(Last_forecast_year - 3-InputY!$G$3)*4+4)</f>
        <v>2.8796785292082916</v>
      </c>
      <c r="N266" s="1040">
        <f ca="1">OFFSET('Q1'!Q320,0,(Last_forecast_year - 3-InputY!$G$3)*4+4)</f>
        <v>2.4855516659156649</v>
      </c>
      <c r="O266" s="1040">
        <f ca="1">OFFSET('Q1'!R320,0,(Last_forecast_year - 3-InputY!$G$3)*4+4)</f>
        <v>2.0960435063473284</v>
      </c>
      <c r="P266" s="26"/>
      <c r="Q266"/>
      <c r="AA266" s="22">
        <v>166</v>
      </c>
      <c r="AB266" s="1040" t="str">
        <f t="shared" si="31"/>
        <v>HICP Q EXCL. ENERGY AND UNPROCESSED FOOD</v>
      </c>
      <c r="AC266" s="1040">
        <f>CHOOSE(Tables!$U$2,Transfer!CA266,Transfer!CN266,Transfer!DA266,Transfer!DN266,Transfer!EA266)</f>
        <v>-9999</v>
      </c>
      <c r="AD266" s="1040">
        <f>CHOOSE(Tables!$U$2,Transfer!CB266,Transfer!CO266,Transfer!DB266,Transfer!DO266,Transfer!EB266)</f>
        <v>1.9309154656732943</v>
      </c>
      <c r="AE266" s="1040">
        <f>CHOOSE(Tables!$U$2,Transfer!CC266,Transfer!CP266,Transfer!DC266,Transfer!DP266,Transfer!EC266)</f>
        <v>1.4257380737751078</v>
      </c>
      <c r="AF266" s="1040">
        <f>CHOOSE(Tables!$U$2,Transfer!CD266,Transfer!CQ266,Transfer!DD266,Transfer!DQ266,Transfer!ED266)</f>
        <v>1.2711152538744273</v>
      </c>
      <c r="AG266" s="1040">
        <f>CHOOSE(Tables!$U$2,Transfer!CE266,Transfer!CR266,Transfer!DE266,Transfer!DR266,Transfer!EE266)</f>
        <v>2.1014960795098006</v>
      </c>
      <c r="AH266" s="1040">
        <f>CHOOSE(Tables!$U$2,Transfer!CF266,Transfer!CS266,Transfer!DF266,Transfer!DS266,Transfer!EF266)</f>
        <v>2.7543994143757686</v>
      </c>
      <c r="AI266" s="1040">
        <f>CHOOSE(Tables!$U$2,Transfer!CG266,Transfer!CT266,Transfer!DG266,Transfer!DT266,Transfer!EG266)</f>
        <v>2.3440350913196681</v>
      </c>
      <c r="AJ266" s="1040">
        <f>CHOOSE(Tables!$U$2,Transfer!CH266,Transfer!CU266,Transfer!DH266,Transfer!DU266,Transfer!EH266)</f>
        <v>2.434953385395076</v>
      </c>
      <c r="AK266" s="1040">
        <f>CHOOSE(Tables!$U$2,Transfer!CI266,Transfer!CV266,Transfer!DI266,Transfer!DV266,Transfer!EI266)</f>
        <v>1.6224250817945745</v>
      </c>
      <c r="AL266" s="1040">
        <f>CHOOSE(Tables!$U$2,Transfer!CJ266,Transfer!CW266,Transfer!DJ266,Transfer!DW266,Transfer!EJ266)</f>
        <v>2.0073092919113122</v>
      </c>
      <c r="AM266" s="1040">
        <f>CHOOSE(Tables!$U$2,Transfer!CK266,Transfer!CX266,Transfer!DK266,Transfer!DX266,Transfer!EK266)</f>
        <v>2.2497004524319095</v>
      </c>
      <c r="AN266" s="1040">
        <f>CHOOSE(Tables!$U$2,Transfer!CL266,Transfer!CY266,Transfer!DL266,Transfer!DY266,Transfer!EL266)</f>
        <v>2.4283641781051415</v>
      </c>
      <c r="AO266" s="1040">
        <f>CHOOSE(Tables!$U$2,Transfer!CM266,Transfer!CZ266,Transfer!DM266,Transfer!DZ266,Transfer!EM266)</f>
        <v>2.6095353228604523</v>
      </c>
      <c r="AR266" s="22">
        <v>166</v>
      </c>
      <c r="AS266" s="33" t="s">
        <v>278</v>
      </c>
      <c r="AT266" s="24">
        <f t="shared" si="43"/>
        <v>0</v>
      </c>
      <c r="AU266" s="24">
        <f t="shared" ca="1" si="43"/>
        <v>0.64895395571069514</v>
      </c>
      <c r="AV266" s="24">
        <f t="shared" ca="1" si="43"/>
        <v>2.5022650467126226</v>
      </c>
      <c r="AW266" s="24">
        <f t="shared" ca="1" si="42"/>
        <v>3.3979505442079301</v>
      </c>
      <c r="AX266" s="24">
        <f t="shared" ca="1" si="42"/>
        <v>2.043224224971965</v>
      </c>
      <c r="AY266" s="25">
        <f t="shared" ca="1" si="42"/>
        <v>0.48956154367562021</v>
      </c>
      <c r="AZ266" s="25">
        <f t="shared" ca="1" si="42"/>
        <v>-1.7872204863110142E-2</v>
      </c>
      <c r="BA266" s="25">
        <f t="shared" ca="1" si="42"/>
        <v>-0.19263998353220302</v>
      </c>
      <c r="BB266" s="25">
        <f t="shared" ca="1" si="42"/>
        <v>1.0933021285690643</v>
      </c>
      <c r="BC266" s="25">
        <f t="shared" ca="1" si="42"/>
        <v>1.2223093951379411</v>
      </c>
      <c r="BD266" s="25">
        <f t="shared" ca="1" si="42"/>
        <v>0.62997807677638207</v>
      </c>
      <c r="BE266" s="25">
        <f t="shared" ca="1" si="42"/>
        <v>5.7187487810523407E-2</v>
      </c>
      <c r="BF266" s="25">
        <f t="shared" ca="1" si="21"/>
        <v>-0.51349181651312392</v>
      </c>
      <c r="CA266" s="16">
        <v>-9999</v>
      </c>
      <c r="CB266" s="16">
        <v>1.2158739086765422</v>
      </c>
      <c r="CC266" s="16">
        <v>1.154815738579984</v>
      </c>
      <c r="CD266" s="16">
        <v>0.87846868066357331</v>
      </c>
      <c r="CE266" s="16">
        <v>0.87418092196797659</v>
      </c>
      <c r="CF266" s="16">
        <v>1.5326251047833779</v>
      </c>
      <c r="CG266" s="16">
        <v>1.5638543879629196</v>
      </c>
      <c r="CH266" s="16">
        <v>1.6058634876933553</v>
      </c>
      <c r="CI266" s="16">
        <v>1.594245319270172</v>
      </c>
      <c r="CJ266" s="16">
        <v>1.5799914016226211</v>
      </c>
      <c r="CK266" s="16">
        <v>1.569120712515911</v>
      </c>
      <c r="CL266" s="16">
        <v>1.6079549382085077</v>
      </c>
      <c r="CM266" s="16">
        <v>1.6166969219149507</v>
      </c>
      <c r="CN266" s="16">
        <v>-9999</v>
      </c>
      <c r="CO266" s="16">
        <v>0.98125357057703866</v>
      </c>
      <c r="CP266" s="16">
        <v>0.97130290230427363</v>
      </c>
      <c r="CQ266" s="16">
        <v>1.1934230063657196</v>
      </c>
      <c r="CR266" s="16">
        <v>1.2763416410066242</v>
      </c>
      <c r="CS266" s="16">
        <v>1.313694749792532</v>
      </c>
      <c r="CT266" s="16">
        <v>1.3100716151434426</v>
      </c>
      <c r="CU266" s="16">
        <v>1.9272114797903157</v>
      </c>
      <c r="CV266" s="16">
        <v>2.2937996028421281</v>
      </c>
      <c r="CW266" s="16">
        <v>2.6082956766061614</v>
      </c>
      <c r="CX266" s="16">
        <v>2.1574938032171644</v>
      </c>
      <c r="CY266" s="16">
        <v>1.4456309556699836</v>
      </c>
      <c r="CZ266" s="16">
        <v>1.0923881542796039</v>
      </c>
      <c r="DA266" s="16">
        <v>-9999</v>
      </c>
      <c r="DB266" s="16">
        <v>1.2158739086765422</v>
      </c>
      <c r="DC266" s="16">
        <v>1.2988784913321041</v>
      </c>
      <c r="DD266" s="16">
        <v>1.6644161565566407</v>
      </c>
      <c r="DE266" s="16">
        <v>1.6125776442415685</v>
      </c>
      <c r="DF266" s="16">
        <v>1.7422156542647116</v>
      </c>
      <c r="DG266" s="16">
        <v>1.5874596177929163</v>
      </c>
      <c r="DH266" s="16">
        <v>1.9599459642243318</v>
      </c>
      <c r="DI266" s="16">
        <v>1.9179050241006479</v>
      </c>
      <c r="DJ266" s="16">
        <v>2.024608928667007</v>
      </c>
      <c r="DK266" s="16">
        <v>2.1147845352643202</v>
      </c>
      <c r="DL266" s="16">
        <v>2.2064027731808693</v>
      </c>
      <c r="DM266" s="16">
        <v>2.2966011395655102</v>
      </c>
      <c r="DN266" s="16">
        <v>-9999</v>
      </c>
      <c r="DO266" s="16">
        <v>0.98125357057703866</v>
      </c>
      <c r="DP266" s="16">
        <v>0.97130290230427363</v>
      </c>
      <c r="DQ266" s="16">
        <v>1.1934230063657196</v>
      </c>
      <c r="DR266" s="16">
        <v>1.2763416410066242</v>
      </c>
      <c r="DS266" s="16">
        <v>1.0960090552424049</v>
      </c>
      <c r="DT266" s="16">
        <v>1.0155022206714364</v>
      </c>
      <c r="DU266" s="16">
        <v>1.9050465335755291</v>
      </c>
      <c r="DV266" s="16">
        <v>2.3207967984483417</v>
      </c>
      <c r="DW266" s="16">
        <v>2.4661043206987614</v>
      </c>
      <c r="DX266" s="16">
        <v>1.8867578215405274</v>
      </c>
      <c r="DY266" s="16">
        <v>1.6896681273955778</v>
      </c>
      <c r="DZ266" s="16">
        <v>1.2776163941260279</v>
      </c>
      <c r="EA266" s="2196">
        <v>-9999</v>
      </c>
      <c r="EB266" s="2196">
        <v>1.9309154656732943</v>
      </c>
      <c r="EC266" s="2196">
        <v>1.4257380737751078</v>
      </c>
      <c r="ED266" s="2196">
        <v>1.2711152538744273</v>
      </c>
      <c r="EE266" s="2196">
        <v>2.1014960795098006</v>
      </c>
      <c r="EF266" s="2197">
        <v>2.7543994143757686</v>
      </c>
      <c r="EG266" s="2197">
        <v>2.3440350913196681</v>
      </c>
      <c r="EH266" s="2197">
        <v>2.434953385395076</v>
      </c>
      <c r="EI266" s="2197">
        <v>1.6224250817945745</v>
      </c>
      <c r="EJ266" s="2197">
        <v>2.0073092919113122</v>
      </c>
      <c r="EK266" s="2197">
        <v>2.2497004524319095</v>
      </c>
      <c r="EL266" s="2197">
        <v>2.4283641781051415</v>
      </c>
      <c r="EM266" s="2197">
        <v>2.6095353228604523</v>
      </c>
    </row>
    <row r="267" spans="1:143">
      <c r="A267" s="22">
        <v>167</v>
      </c>
      <c r="B267" s="33" t="s">
        <v>1715</v>
      </c>
      <c r="C267" s="25">
        <v>-9999</v>
      </c>
      <c r="D267" s="1040">
        <f ca="1">OFFSET('Q1'!G311,0,(Last_forecast_year - 3-InputY!$G$3)*4+4)</f>
        <v>0.30318174246211527</v>
      </c>
      <c r="E267" s="1040">
        <f ca="1">OFFSET('Q1'!H311,0,(Last_forecast_year - 3-InputY!$G$3)*4+4)</f>
        <v>0.75598211937943915</v>
      </c>
      <c r="F267" s="1040">
        <f ca="1">OFFSET('Q1'!I311,0,(Last_forecast_year - 3-InputY!$G$3)*4+4)</f>
        <v>0.95461396750964411</v>
      </c>
      <c r="G267" s="1040">
        <f ca="1">OFFSET('Q1'!J311,0,(Last_forecast_year - 3-InputY!$G$3)*4+4)</f>
        <v>0.86144775630528159</v>
      </c>
      <c r="H267" s="1040">
        <f ca="1">OFFSET('Q1'!K311,0,(Last_forecast_year - 3-InputY!$G$3)*4+4)</f>
        <v>0.50017933037722617</v>
      </c>
      <c r="I267" s="1040">
        <f ca="1">OFFSET('Q1'!L311,0,(Last_forecast_year - 3-InputY!$G$3)*4+4)</f>
        <v>0.26043123305408145</v>
      </c>
      <c r="J267" s="1040">
        <f ca="1">OFFSET('Q1'!M311,0,(Last_forecast_year - 3-InputY!$G$3)*4+4)</f>
        <v>1.1982917800306581</v>
      </c>
      <c r="K267" s="1040">
        <f ca="1">OFFSET('Q1'!N311,0,(Last_forecast_year - 3-InputY!$G$3)*4+4)</f>
        <v>1.1634348438419595</v>
      </c>
      <c r="L267" s="1040">
        <f ca="1">OFFSET('Q1'!O311,0,(Last_forecast_year - 3-InputY!$G$3)*4+4)</f>
        <v>1.7218447881152787</v>
      </c>
      <c r="M267" s="1040">
        <f ca="1">OFFSET('Q1'!P311,0,(Last_forecast_year - 3-InputY!$G$3)*4+4)</f>
        <v>1.2585629927081454</v>
      </c>
      <c r="N267" s="1040">
        <f ca="1">OFFSET('Q1'!Q311,0,(Last_forecast_year - 3-InputY!$G$3)*4+4)</f>
        <v>0.80168970103717818</v>
      </c>
      <c r="O267" s="1040">
        <f ca="1">OFFSET('Q1'!R311,0,(Last_forecast_year - 3-InputY!$G$3)*4+4)</f>
        <v>0.3529386997682904</v>
      </c>
      <c r="P267" s="26"/>
      <c r="Q267"/>
      <c r="AA267" s="22">
        <v>167</v>
      </c>
      <c r="AB267" s="1040" t="str">
        <f>+B268</f>
        <v>HICP Q ENERGY</v>
      </c>
      <c r="AC267" s="1040">
        <f>CHOOSE(Tables!$U$2,Transfer!CA267,Transfer!CN267,Transfer!DA267,Transfer!DN267,Transfer!EA267)</f>
        <v>-9999</v>
      </c>
      <c r="AD267" s="1040">
        <f>CHOOSE(Tables!$U$2,Transfer!CB267,Transfer!CO267,Transfer!DB267,Transfer!DO267,Transfer!EB267)</f>
        <v>1.6630198817839954</v>
      </c>
      <c r="AE267" s="1040">
        <f>CHOOSE(Tables!$U$2,Transfer!CC267,Transfer!CP267,Transfer!DC267,Transfer!DP267,Transfer!EC267)</f>
        <v>1.256323503915695</v>
      </c>
      <c r="AF267" s="1040">
        <f>CHOOSE(Tables!$U$2,Transfer!CD267,Transfer!CQ267,Transfer!DD267,Transfer!DQ267,Transfer!ED267)</f>
        <v>0.17985189298335147</v>
      </c>
      <c r="AG267" s="1040">
        <f>CHOOSE(Tables!$U$2,Transfer!CE267,Transfer!CR267,Transfer!DE267,Transfer!DR267,Transfer!EE267)</f>
        <v>0.48219844810535317</v>
      </c>
      <c r="AH267" s="1040">
        <f>CHOOSE(Tables!$U$2,Transfer!CF267,Transfer!CS267,Transfer!DF267,Transfer!DS267,Transfer!EF267)</f>
        <v>1.293250863781803</v>
      </c>
      <c r="AI267" s="1040">
        <f>CHOOSE(Tables!$U$2,Transfer!CG267,Transfer!CT267,Transfer!DG267,Transfer!DT267,Transfer!EG267)</f>
        <v>0.45767318152818426</v>
      </c>
      <c r="AJ267" s="1040">
        <f>CHOOSE(Tables!$U$2,Transfer!CH267,Transfer!CU267,Transfer!DH267,Transfer!DU267,Transfer!EH267)</f>
        <v>1.7547381290330621</v>
      </c>
      <c r="AK267" s="1040">
        <f>CHOOSE(Tables!$U$2,Transfer!CI267,Transfer!CV267,Transfer!DI267,Transfer!DV267,Transfer!EI267)</f>
        <v>0.90804538282844849</v>
      </c>
      <c r="AL267" s="1040">
        <f>CHOOSE(Tables!$U$2,Transfer!CJ267,Transfer!CW267,Transfer!DJ267,Transfer!DW267,Transfer!EJ267)</f>
        <v>0.98274810154332926</v>
      </c>
      <c r="AM267" s="1040">
        <f>CHOOSE(Tables!$U$2,Transfer!CK267,Transfer!CX267,Transfer!DK267,Transfer!DX267,Transfer!EK267)</f>
        <v>0.89309343757149051</v>
      </c>
      <c r="AN267" s="1040">
        <f>CHOOSE(Tables!$U$2,Transfer!CL267,Transfer!CY267,Transfer!DL267,Transfer!DY267,Transfer!EL267)</f>
        <v>0.81132197694764319</v>
      </c>
      <c r="AO267" s="1040">
        <f>CHOOSE(Tables!$U$2,Transfer!CM267,Transfer!CZ267,Transfer!DM267,Transfer!DZ267,Transfer!EM267)</f>
        <v>0.86369435144708628</v>
      </c>
      <c r="AR267" s="22">
        <v>167</v>
      </c>
      <c r="AS267" s="30" t="s">
        <v>1705</v>
      </c>
      <c r="AT267" s="25">
        <f t="shared" si="43"/>
        <v>0</v>
      </c>
      <c r="AU267" s="25">
        <f t="shared" ca="1" si="43"/>
        <v>-1.3598381393218801</v>
      </c>
      <c r="AV267" s="25">
        <f t="shared" ca="1" si="43"/>
        <v>-0.50034138453625587</v>
      </c>
      <c r="AW267" s="25">
        <f t="shared" ca="1" si="42"/>
        <v>0.77476207452629264</v>
      </c>
      <c r="AX267" s="25">
        <f t="shared" ca="1" si="42"/>
        <v>0.37924930819992841</v>
      </c>
      <c r="AY267" s="25">
        <f t="shared" ca="1" si="42"/>
        <v>-0.79307153340457681</v>
      </c>
      <c r="AZ267" s="25">
        <f t="shared" ca="1" si="42"/>
        <v>-0.19724194847410281</v>
      </c>
      <c r="BA267" s="25">
        <f t="shared" ca="1" si="42"/>
        <v>-0.55644634900240408</v>
      </c>
      <c r="BB267" s="25">
        <f t="shared" ca="1" si="42"/>
        <v>0.25538946101351101</v>
      </c>
      <c r="BC267" s="25">
        <f t="shared" ca="1" si="42"/>
        <v>0.73909668657194949</v>
      </c>
      <c r="BD267" s="25">
        <f t="shared" ca="1" si="42"/>
        <v>0.36546955513665491</v>
      </c>
      <c r="BE267" s="25">
        <f t="shared" ca="1" si="42"/>
        <v>-9.6322759104650046E-3</v>
      </c>
      <c r="BF267" s="25">
        <f t="shared" ca="1" si="21"/>
        <v>-0.51075565167879589</v>
      </c>
      <c r="CA267" s="16">
        <v>-9999</v>
      </c>
      <c r="CB267" s="16">
        <v>3.3458244111358226E-2</v>
      </c>
      <c r="CC267" s="16">
        <v>0.53889641947961309</v>
      </c>
      <c r="CD267" s="16">
        <v>0.36</v>
      </c>
      <c r="CE267" s="16">
        <v>-0.2</v>
      </c>
      <c r="CF267" s="16">
        <v>1.0094045398019835</v>
      </c>
      <c r="CG267" s="16">
        <v>0.53553979433893506</v>
      </c>
      <c r="CH267" s="16">
        <v>0.5</v>
      </c>
      <c r="CI267" s="16">
        <v>0.4</v>
      </c>
      <c r="CJ267" s="16">
        <v>0.4</v>
      </c>
      <c r="CK267" s="16">
        <v>0.3</v>
      </c>
      <c r="CL267" s="16">
        <v>0.4</v>
      </c>
      <c r="CM267" s="16">
        <v>0.5</v>
      </c>
      <c r="CN267" s="16">
        <v>-9999</v>
      </c>
      <c r="CO267" s="16">
        <v>0.39299989923078726</v>
      </c>
      <c r="CP267" s="16">
        <v>7.6098464796189091E-2</v>
      </c>
      <c r="CQ267" s="16">
        <v>4.6915317851301097E-2</v>
      </c>
      <c r="CR267" s="16">
        <v>-0.20398091791410877</v>
      </c>
      <c r="CS267" s="16">
        <v>-0.10204978759363881</v>
      </c>
      <c r="CT267" s="16">
        <v>-0.42970007785093634</v>
      </c>
      <c r="CU267" s="16">
        <v>1.0946251769597293</v>
      </c>
      <c r="CV267" s="16">
        <v>0.78172050680072047</v>
      </c>
      <c r="CW267" s="16">
        <v>1.3485949923227381</v>
      </c>
      <c r="CX267" s="16">
        <v>0.8413212626020794</v>
      </c>
      <c r="CY267" s="16">
        <v>-0.39944767063770925</v>
      </c>
      <c r="CZ267" s="16">
        <v>-1.0482805324754652</v>
      </c>
      <c r="DA267" s="16">
        <v>-9999</v>
      </c>
      <c r="DB267" s="16">
        <v>3.3458244111361779E-2</v>
      </c>
      <c r="DC267" s="16">
        <v>0.50216395698332583</v>
      </c>
      <c r="DD267" s="16">
        <v>1.7000136459420778</v>
      </c>
      <c r="DE267" s="16">
        <v>0.68150904079502528</v>
      </c>
      <c r="DF267" s="16">
        <v>1.0094045398019835</v>
      </c>
      <c r="DG267" s="16">
        <v>0.53553979433893506</v>
      </c>
      <c r="DH267" s="16">
        <v>1.8316393345293669</v>
      </c>
      <c r="DI267" s="16">
        <v>1.8495009281787267</v>
      </c>
      <c r="DJ267" s="16">
        <v>2.2606183255424099</v>
      </c>
      <c r="DK267" s="16">
        <v>2.6422571960744801</v>
      </c>
      <c r="DL267" s="16">
        <v>3.0238960666065502</v>
      </c>
      <c r="DM267" s="16">
        <v>3.4055349371386101</v>
      </c>
      <c r="DN267" s="16">
        <v>-9999</v>
      </c>
      <c r="DO267" s="16">
        <v>0.39299989923078726</v>
      </c>
      <c r="DP267" s="16">
        <v>7.6098464796189091E-2</v>
      </c>
      <c r="DQ267" s="16">
        <v>4.6915317851301097E-2</v>
      </c>
      <c r="DR267" s="16">
        <v>-0.20398091791410877</v>
      </c>
      <c r="DS267" s="16">
        <v>-0.27197537473232503</v>
      </c>
      <c r="DT267" s="16">
        <v>-0.41301225681271703</v>
      </c>
      <c r="DU267" s="16">
        <v>1.9741974926216432</v>
      </c>
      <c r="DV267" s="16">
        <v>1.7768763802648024</v>
      </c>
      <c r="DW267" s="16">
        <v>2.42106295484672</v>
      </c>
      <c r="DX267" s="16">
        <v>1.6154402647122312</v>
      </c>
      <c r="DY267" s="16">
        <v>1.4964785909724831</v>
      </c>
      <c r="DZ267" s="16">
        <v>0.69247783302490706</v>
      </c>
      <c r="EA267" s="2197">
        <v>-9999</v>
      </c>
      <c r="EB267" s="2197">
        <v>1.6630198817839954</v>
      </c>
      <c r="EC267" s="2197">
        <v>1.256323503915695</v>
      </c>
      <c r="ED267" s="2197">
        <v>0.17985189298335147</v>
      </c>
      <c r="EE267" s="2197">
        <v>0.48219844810535317</v>
      </c>
      <c r="EF267" s="2197">
        <v>1.293250863781803</v>
      </c>
      <c r="EG267" s="2197">
        <v>0.45767318152818426</v>
      </c>
      <c r="EH267" s="2197">
        <v>1.7547381290330621</v>
      </c>
      <c r="EI267" s="2197">
        <v>0.90804538282844849</v>
      </c>
      <c r="EJ267" s="2197">
        <v>0.98274810154332926</v>
      </c>
      <c r="EK267" s="2197">
        <v>0.89309343757149051</v>
      </c>
      <c r="EL267" s="2197">
        <v>0.81132197694764319</v>
      </c>
      <c r="EM267" s="2197">
        <v>0.86369435144708628</v>
      </c>
    </row>
    <row r="268" spans="1:143">
      <c r="A268" s="22">
        <v>168</v>
      </c>
      <c r="B268" s="33" t="s">
        <v>1716</v>
      </c>
      <c r="C268" s="25">
        <v>-9999</v>
      </c>
      <c r="D268" s="1040">
        <f ca="1">OFFSET('Q1'!G312,0,(Last_forecast_year - 3-InputY!$G$3)*4+4)</f>
        <v>5.9690174412306334</v>
      </c>
      <c r="E268" s="1040">
        <f ca="1">OFFSET('Q1'!H312,0,(Last_forecast_year - 3-InputY!$G$3)*4+4)</f>
        <v>3.989104333178048</v>
      </c>
      <c r="F268" s="1040">
        <f ca="1">OFFSET('Q1'!I312,0,(Last_forecast_year - 3-InputY!$G$3)*4+4)</f>
        <v>4.9638923335035372</v>
      </c>
      <c r="G268" s="1040">
        <f ca="1">OFFSET('Q1'!J312,0,(Last_forecast_year - 3-InputY!$G$3)*4+4)</f>
        <v>3.8391031516604528</v>
      </c>
      <c r="H268" s="1040">
        <f ca="1">OFFSET('Q1'!K312,0,(Last_forecast_year - 3-InputY!$G$3)*4+4)</f>
        <v>4.4749096980849057</v>
      </c>
      <c r="I268" s="1040">
        <f ca="1">OFFSET('Q1'!L312,0,(Last_forecast_year - 3-InputY!$G$3)*4+4)</f>
        <v>5.8556735405155713</v>
      </c>
      <c r="J268" s="1040">
        <f ca="1">OFFSET('Q1'!M312,0,(Last_forecast_year - 3-InputY!$G$3)*4+4)</f>
        <v>7.0405371486731649</v>
      </c>
      <c r="K268" s="1040">
        <f ca="1">OFFSET('Q1'!N312,0,(Last_forecast_year - 3-InputY!$G$3)*4+4)</f>
        <v>4.8979942996721926</v>
      </c>
      <c r="L268" s="1040">
        <f ca="1">OFFSET('Q1'!O312,0,(Last_forecast_year - 3-InputY!$G$3)*4+4)</f>
        <v>1.0805336799536436</v>
      </c>
      <c r="M268" s="1040">
        <f ca="1">OFFSET('Q1'!P312,0,(Last_forecast_year - 3-InputY!$G$3)*4+4)</f>
        <v>1.2066220495791535</v>
      </c>
      <c r="N268" s="1040">
        <f ca="1">OFFSET('Q1'!Q312,0,(Last_forecast_year - 3-InputY!$G$3)*4+4)</f>
        <v>1.2066220495791535</v>
      </c>
      <c r="O268" s="1040">
        <f ca="1">OFFSET('Q1'!R312,0,(Last_forecast_year - 3-InputY!$G$3)*4+4)</f>
        <v>1.2066220495791535</v>
      </c>
      <c r="P268" s="26"/>
      <c r="Q268"/>
      <c r="AA268" s="22">
        <v>168</v>
      </c>
      <c r="AB268" s="1040" t="e">
        <f>+#REF!</f>
        <v>#REF!</v>
      </c>
      <c r="AC268" s="1040">
        <f>CHOOSE(Tables!$U$2,Transfer!CA268,Transfer!CN268,Transfer!DA268,Transfer!DN268,Transfer!EA268)</f>
        <v>-9999</v>
      </c>
      <c r="AD268" s="1040">
        <f>CHOOSE(Tables!$U$2,Transfer!CB268,Transfer!CO268,Transfer!DB268,Transfer!DO268,Transfer!EB268)</f>
        <v>1.6519042749865633</v>
      </c>
      <c r="AE268" s="1040">
        <f>CHOOSE(Tables!$U$2,Transfer!CC268,Transfer!CP268,Transfer!DC268,Transfer!DP268,Transfer!EC268)</f>
        <v>-1.1213109249616764</v>
      </c>
      <c r="AF268" s="1040">
        <f>CHOOSE(Tables!$U$2,Transfer!CD268,Transfer!CQ268,Transfer!DD268,Transfer!DQ268,Transfer!ED268)</f>
        <v>-3.5050684393386988</v>
      </c>
      <c r="AG268" s="1040">
        <f>CHOOSE(Tables!$U$2,Transfer!CE268,Transfer!CR268,Transfer!DE268,Transfer!DR268,Transfer!EE268)</f>
        <v>-0.53371695964132826</v>
      </c>
      <c r="AH268" s="1040">
        <f>CHOOSE(Tables!$U$2,Transfer!CF268,Transfer!CS268,Transfer!DF268,Transfer!DS268,Transfer!EF268)</f>
        <v>-0.15544656656797384</v>
      </c>
      <c r="AI268" s="1040">
        <f>CHOOSE(Tables!$U$2,Transfer!CG268,Transfer!CT268,Transfer!DG268,Transfer!DT268,Transfer!EG268)</f>
        <v>1.1833414186617874</v>
      </c>
      <c r="AJ268" s="1040">
        <f>CHOOSE(Tables!$U$2,Transfer!CH268,Transfer!CU268,Transfer!DH268,Transfer!DU268,Transfer!EH268)</f>
        <v>1.5424490758541687</v>
      </c>
      <c r="AK268" s="1040">
        <f>CHOOSE(Tables!$U$2,Transfer!CI268,Transfer!CV268,Transfer!DI268,Transfer!DV268,Transfer!EI268)</f>
        <v>-3.5880231144402863E-2</v>
      </c>
      <c r="AL268" s="1040">
        <f>CHOOSE(Tables!$U$2,Transfer!CJ268,Transfer!CW268,Transfer!DJ268,Transfer!DW268,Transfer!EJ268)</f>
        <v>1.4084981431489618</v>
      </c>
      <c r="AM268" s="1040">
        <f>CHOOSE(Tables!$U$2,Transfer!CK268,Transfer!CX268,Transfer!DK268,Transfer!DX268,Transfer!EK268)</f>
        <v>2.2181686795003319</v>
      </c>
      <c r="AN268" s="1040">
        <f>CHOOSE(Tables!$U$2,Transfer!CL268,Transfer!CY268,Transfer!DL268,Transfer!DY268,Transfer!EL268)</f>
        <v>3.4272708009092989</v>
      </c>
      <c r="AO268" s="1040">
        <f>CHOOSE(Tables!$U$2,Transfer!CM268,Transfer!CZ268,Transfer!DM268,Transfer!DZ268,Transfer!EM268)</f>
        <v>3.8319251861760106</v>
      </c>
      <c r="AR268" s="22">
        <v>168</v>
      </c>
      <c r="AS268" s="30" t="s">
        <v>1705</v>
      </c>
      <c r="AT268" s="25">
        <f t="shared" si="43"/>
        <v>0</v>
      </c>
      <c r="AU268" s="25">
        <f t="shared" ca="1" si="43"/>
        <v>4.31711316624407</v>
      </c>
      <c r="AV268" s="25">
        <f t="shared" ca="1" si="43"/>
        <v>5.1104152581397244</v>
      </c>
      <c r="AW268" s="25">
        <f t="shared" ca="1" si="42"/>
        <v>8.4689607728422356</v>
      </c>
      <c r="AX268" s="25">
        <f t="shared" ca="1" si="42"/>
        <v>4.3728201113017811</v>
      </c>
      <c r="AY268" s="25">
        <f t="shared" ca="1" si="42"/>
        <v>4.63035626465288</v>
      </c>
      <c r="AZ268" s="25">
        <f t="shared" ca="1" si="42"/>
        <v>4.6723321218537839</v>
      </c>
      <c r="BA268" s="25">
        <f t="shared" ca="1" si="42"/>
        <v>5.4980880728189963</v>
      </c>
      <c r="BB268" s="25">
        <f t="shared" ca="1" si="42"/>
        <v>4.9338745308165954</v>
      </c>
      <c r="BC268" s="25">
        <f t="shared" ca="1" si="42"/>
        <v>-0.32796446319531825</v>
      </c>
      <c r="BD268" s="25">
        <f t="shared" ca="1" si="42"/>
        <v>-1.0115466299211784</v>
      </c>
      <c r="BE268" s="25">
        <f t="shared" ca="1" si="42"/>
        <v>-2.2206487513301454</v>
      </c>
      <c r="BF268" s="25">
        <f t="shared" ca="1" si="21"/>
        <v>-2.6253031365968571</v>
      </c>
      <c r="CA268" s="16">
        <v>-9999</v>
      </c>
      <c r="CB268" s="16">
        <v>-14.191820408450937</v>
      </c>
      <c r="CC268" s="16">
        <v>-9.552765084733565</v>
      </c>
      <c r="CD268" s="16">
        <v>-9.8000000000000007</v>
      </c>
      <c r="CE268" s="16">
        <v>-9.56</v>
      </c>
      <c r="CF268" s="16">
        <v>-7</v>
      </c>
      <c r="CG268" s="16">
        <v>-3</v>
      </c>
      <c r="CH268" s="16">
        <v>-2.5</v>
      </c>
      <c r="CI268" s="16">
        <v>-1.5</v>
      </c>
      <c r="CJ268" s="16">
        <v>3</v>
      </c>
      <c r="CK268" s="16">
        <v>5</v>
      </c>
      <c r="CL268" s="16">
        <v>7</v>
      </c>
      <c r="CM268" s="16">
        <v>9</v>
      </c>
      <c r="CN268" s="16">
        <v>-9999</v>
      </c>
      <c r="CO268" s="16">
        <v>-2.5114665109168328</v>
      </c>
      <c r="CP268" s="16">
        <v>-3.0217383718901658</v>
      </c>
      <c r="CQ268" s="16">
        <v>-4.5899740223267713</v>
      </c>
      <c r="CR268" s="16">
        <v>-5.7712320310433114</v>
      </c>
      <c r="CS268" s="16">
        <v>-15.955115790030117</v>
      </c>
      <c r="CT268" s="16">
        <v>-14.993586119784542</v>
      </c>
      <c r="CU268" s="16">
        <v>-12.665674368285051</v>
      </c>
      <c r="CV268" s="16">
        <v>-10.351553189221329</v>
      </c>
      <c r="CW268" s="16">
        <v>0.75263847045941024</v>
      </c>
      <c r="CX268" s="16">
        <v>1.7326110861881183</v>
      </c>
      <c r="CY268" s="16">
        <v>1.2529931069550804</v>
      </c>
      <c r="CZ268" s="16">
        <v>0.42392965314326236</v>
      </c>
      <c r="DA268" s="16">
        <v>-9999</v>
      </c>
      <c r="DB268" s="16">
        <v>-14.191820408450939</v>
      </c>
      <c r="DC268" s="16">
        <v>-10.946322866827952</v>
      </c>
      <c r="DD268" s="16">
        <v>-8.7820313517818498</v>
      </c>
      <c r="DE268" s="16">
        <v>-6.5048270032067368</v>
      </c>
      <c r="DF268" s="16">
        <v>2.8178225651441346</v>
      </c>
      <c r="DG268" s="16">
        <v>1.1403042990245638</v>
      </c>
      <c r="DH268" s="16">
        <v>0.96635330700247657</v>
      </c>
      <c r="DI268" s="16">
        <v>0.78471282924950092</v>
      </c>
      <c r="DJ268" s="16">
        <v>-0.141021799821333</v>
      </c>
      <c r="DK268" s="16">
        <v>-0.76834981979192296</v>
      </c>
      <c r="DL268" s="16">
        <v>-1.39567783976252</v>
      </c>
      <c r="DM268" s="16">
        <v>-2.0230058597331202</v>
      </c>
      <c r="DN268" s="16">
        <v>-9999</v>
      </c>
      <c r="DO268" s="16">
        <v>-2.5114665109168328</v>
      </c>
      <c r="DP268" s="16">
        <v>-3.0217383718901658</v>
      </c>
      <c r="DQ268" s="16">
        <v>-4.5899740223267713</v>
      </c>
      <c r="DR268" s="16">
        <v>-5.7712320310433114</v>
      </c>
      <c r="DS268" s="16">
        <v>-14.986157072122076</v>
      </c>
      <c r="DT268" s="16">
        <v>-12.656245582910852</v>
      </c>
      <c r="DU268" s="16">
        <v>-10.144557802466625</v>
      </c>
      <c r="DV268" s="16">
        <v>-7.7636339178498659</v>
      </c>
      <c r="DW268" s="16">
        <v>2.3812522984951734</v>
      </c>
      <c r="DX268" s="16">
        <v>1.7319224660736321</v>
      </c>
      <c r="DY268" s="16">
        <v>1.1173492828004283</v>
      </c>
      <c r="DZ268" s="16">
        <v>0.28939648590737832</v>
      </c>
      <c r="EA268" s="2197">
        <v>-9999</v>
      </c>
      <c r="EB268" s="2197">
        <v>1.6519042749865633</v>
      </c>
      <c r="EC268" s="2197">
        <v>-1.1213109249616764</v>
      </c>
      <c r="ED268" s="2197">
        <v>-3.5050684393386988</v>
      </c>
      <c r="EE268" s="2197">
        <v>-0.53371695964132826</v>
      </c>
      <c r="EF268" s="2197">
        <v>-0.15544656656797384</v>
      </c>
      <c r="EG268" s="2197">
        <v>1.1833414186617874</v>
      </c>
      <c r="EH268" s="2197">
        <v>1.5424490758541687</v>
      </c>
      <c r="EI268" s="2197">
        <v>-3.5880231144402863E-2</v>
      </c>
      <c r="EJ268" s="2197">
        <v>1.4084981431489618</v>
      </c>
      <c r="EK268" s="2197">
        <v>2.2181686795003319</v>
      </c>
      <c r="EL268" s="2197">
        <v>3.4272708009092989</v>
      </c>
      <c r="EM268" s="2197">
        <v>3.8319251861760106</v>
      </c>
    </row>
    <row r="269" spans="1:143">
      <c r="A269" s="22">
        <v>169</v>
      </c>
      <c r="B269" s="33" t="s">
        <v>1717</v>
      </c>
      <c r="C269" s="25">
        <v>-9999</v>
      </c>
      <c r="D269" s="1040">
        <f ca="1">OFFSET('Q1'!G314,0,(Last_forecast_year - 3-InputY!$G$3)*4+4)</f>
        <v>5.159778159249953</v>
      </c>
      <c r="E269" s="1040">
        <f ca="1">OFFSET('Q1'!H314,0,(Last_forecast_year - 3-InputY!$G$3)*4+4)</f>
        <v>7.270708126469799</v>
      </c>
      <c r="F269" s="1040">
        <f ca="1">OFFSET('Q1'!I314,0,(Last_forecast_year - 3-InputY!$G$3)*4+4)</f>
        <v>7.9678814082767104</v>
      </c>
      <c r="G269" s="1040">
        <f ca="1">OFFSET('Q1'!J314,0,(Last_forecast_year - 3-InputY!$G$3)*4+4)</f>
        <v>8.0436044636522013</v>
      </c>
      <c r="H269" s="1040">
        <f ca="1">OFFSET('Q1'!K314,0,(Last_forecast_year - 3-InputY!$G$3)*4+4)</f>
        <v>5.8525665620107192</v>
      </c>
      <c r="I269" s="1040">
        <f ca="1">OFFSET('Q1'!L314,0,(Last_forecast_year - 3-InputY!$G$3)*4+4)</f>
        <v>3.6582005931588002</v>
      </c>
      <c r="J269" s="1040">
        <f ca="1">OFFSET('Q1'!M314,0,(Last_forecast_year - 3-InputY!$G$3)*4+4)</f>
        <v>2.7083941013876567</v>
      </c>
      <c r="K269" s="1040">
        <f ca="1">OFFSET('Q1'!N314,0,(Last_forecast_year - 3-InputY!$G$3)*4+4)</f>
        <v>2.2995686980041175</v>
      </c>
      <c r="L269" s="1040">
        <f ca="1">OFFSET('Q1'!O314,0,(Last_forecast_year - 3-InputY!$G$3)*4+4)</f>
        <v>2.9087304281936177</v>
      </c>
      <c r="M269" s="1040">
        <f ca="1">OFFSET('Q1'!P314,0,(Last_forecast_year - 3-InputY!$G$3)*4+4)</f>
        <v>3.0843222015192628</v>
      </c>
      <c r="N269" s="1040">
        <f ca="1">OFFSET('Q1'!Q314,0,(Last_forecast_year - 3-InputY!$G$3)*4+4)</f>
        <v>3.0843222015192628</v>
      </c>
      <c r="O269" s="1040">
        <f ca="1">OFFSET('Q1'!R314,0,(Last_forecast_year - 3-InputY!$G$3)*4+4)</f>
        <v>3.0843222015192628</v>
      </c>
      <c r="P269" s="26"/>
      <c r="Q269"/>
      <c r="AA269" s="22">
        <v>169</v>
      </c>
      <c r="AB269" s="1040" t="str">
        <f t="shared" si="31"/>
        <v>HICP Q PROCESSED FOOD INCL. ALCOHOL AND TOBACCO</v>
      </c>
      <c r="AC269" s="1040">
        <f>CHOOSE(Tables!$U$2,Transfer!CA269,Transfer!CN269,Transfer!DA269,Transfer!DN269,Transfer!EA269)</f>
        <v>-9999</v>
      </c>
      <c r="AD269" s="1040">
        <f>CHOOSE(Tables!$U$2,Transfer!CB269,Transfer!CO269,Transfer!DB269,Transfer!DO269,Transfer!EB269)</f>
        <v>1.885263890651089</v>
      </c>
      <c r="AE269" s="1040">
        <f>CHOOSE(Tables!$U$2,Transfer!CC269,Transfer!CP269,Transfer!DC269,Transfer!DP269,Transfer!EC269)</f>
        <v>0.83297721330831109</v>
      </c>
      <c r="AF269" s="1040">
        <f>CHOOSE(Tables!$U$2,Transfer!CD269,Transfer!CQ269,Transfer!DD269,Transfer!DQ269,Transfer!ED269)</f>
        <v>1.241702971353531</v>
      </c>
      <c r="AG269" s="1040">
        <f>CHOOSE(Tables!$U$2,Transfer!CE269,Transfer!CR269,Transfer!DE269,Transfer!DR269,Transfer!EE269)</f>
        <v>2.4696192329283218</v>
      </c>
      <c r="AH269" s="1040">
        <f>CHOOSE(Tables!$U$2,Transfer!CF269,Transfer!CS269,Transfer!DF269,Transfer!DS269,Transfer!EF269)</f>
        <v>2.8637622597915025</v>
      </c>
      <c r="AI269" s="1040">
        <f>CHOOSE(Tables!$U$2,Transfer!CG269,Transfer!CT269,Transfer!DG269,Transfer!DT269,Transfer!EG269)</f>
        <v>3.0091700093565432</v>
      </c>
      <c r="AJ269" s="1040">
        <f>CHOOSE(Tables!$U$2,Transfer!CH269,Transfer!CU269,Transfer!DH269,Transfer!DU269,Transfer!EH269)</f>
        <v>2.6054812212739087</v>
      </c>
      <c r="AK269" s="1040">
        <f>CHOOSE(Tables!$U$2,Transfer!CI269,Transfer!CV269,Transfer!DI269,Transfer!DV269,Transfer!EI269)</f>
        <v>1.8238385825870784</v>
      </c>
      <c r="AL269" s="1040">
        <f>CHOOSE(Tables!$U$2,Transfer!CJ269,Transfer!CW269,Transfer!DJ269,Transfer!DW269,Transfer!EJ269)</f>
        <v>2.0181166145320173</v>
      </c>
      <c r="AM269" s="1040">
        <f>CHOOSE(Tables!$U$2,Transfer!CK269,Transfer!CX269,Transfer!DK269,Transfer!DX269,Transfer!EK269)</f>
        <v>1.8459264148334098</v>
      </c>
      <c r="AN269" s="1040">
        <f>CHOOSE(Tables!$U$2,Transfer!CL269,Transfer!CY269,Transfer!DL269,Transfer!DY269,Transfer!EL269)</f>
        <v>1.4126617856792922</v>
      </c>
      <c r="AO269" s="1040">
        <f>CHOOSE(Tables!$U$2,Transfer!CM269,Transfer!CZ269,Transfer!DM269,Transfer!DZ269,Transfer!EM269)</f>
        <v>1.5233018265618847</v>
      </c>
      <c r="AR269" s="22">
        <v>169</v>
      </c>
      <c r="AS269" s="30" t="s">
        <v>1705</v>
      </c>
      <c r="AT269" s="25">
        <f t="shared" si="43"/>
        <v>0</v>
      </c>
      <c r="AU269" s="25">
        <f t="shared" ca="1" si="43"/>
        <v>3.274514268598864</v>
      </c>
      <c r="AV269" s="25">
        <f t="shared" ca="1" si="43"/>
        <v>6.4377309131614879</v>
      </c>
      <c r="AW269" s="25">
        <f t="shared" ca="1" si="42"/>
        <v>6.7261784369231794</v>
      </c>
      <c r="AX269" s="25">
        <f t="shared" ca="1" si="42"/>
        <v>5.5739852307238795</v>
      </c>
      <c r="AY269" s="25">
        <f t="shared" ca="1" si="42"/>
        <v>2.9888043022192168</v>
      </c>
      <c r="AZ269" s="25">
        <f t="shared" ca="1" si="42"/>
        <v>0.64903058380225698</v>
      </c>
      <c r="BA269" s="25">
        <f t="shared" ca="1" si="42"/>
        <v>0.102912880113748</v>
      </c>
      <c r="BB269" s="25">
        <f t="shared" ca="1" si="42"/>
        <v>0.47573011541703902</v>
      </c>
      <c r="BC269" s="25">
        <f t="shared" ca="1" si="42"/>
        <v>0.89061381366160042</v>
      </c>
      <c r="BD269" s="25">
        <f t="shared" ca="1" si="42"/>
        <v>1.238395786685853</v>
      </c>
      <c r="BE269" s="25">
        <f t="shared" ca="1" si="42"/>
        <v>1.6716604158399706</v>
      </c>
      <c r="BF269" s="25">
        <f t="shared" ca="1" si="21"/>
        <v>1.5610203749573781</v>
      </c>
      <c r="CA269" s="16">
        <v>-9999</v>
      </c>
      <c r="CB269" s="16">
        <v>0.71971291674184101</v>
      </c>
      <c r="CC269" s="16">
        <v>-0.3448550811306319</v>
      </c>
      <c r="CD269" s="16">
        <v>-1.07</v>
      </c>
      <c r="CE269" s="16">
        <v>-1.06</v>
      </c>
      <c r="CF269" s="16">
        <v>-0.5</v>
      </c>
      <c r="CG269" s="16">
        <v>0.2</v>
      </c>
      <c r="CH269" s="16">
        <v>0.3</v>
      </c>
      <c r="CI269" s="16">
        <v>0.4</v>
      </c>
      <c r="CJ269" s="16">
        <v>0.3</v>
      </c>
      <c r="CK269" s="16">
        <v>0.4</v>
      </c>
      <c r="CL269" s="16">
        <v>0.5</v>
      </c>
      <c r="CM269" s="16">
        <v>0.5</v>
      </c>
      <c r="CN269" s="16">
        <v>-9999</v>
      </c>
      <c r="CO269" s="16">
        <v>1.8748851173334913</v>
      </c>
      <c r="CP269" s="16">
        <v>2.3252967812997412</v>
      </c>
      <c r="CQ269" s="16">
        <v>2.448474521259314</v>
      </c>
      <c r="CR269" s="16">
        <v>2.0016158351848077</v>
      </c>
      <c r="CS269" s="16">
        <v>1.2543086545979465</v>
      </c>
      <c r="CT269" s="16">
        <v>1.4185873333335985</v>
      </c>
      <c r="CU269" s="16">
        <v>1.4486653447333797</v>
      </c>
      <c r="CV269" s="16">
        <v>2.2155583696245706</v>
      </c>
      <c r="CW269" s="16">
        <v>2.6985407969112973</v>
      </c>
      <c r="CX269" s="16">
        <v>2.3034343245392108</v>
      </c>
      <c r="CY269" s="16">
        <v>1.8889871792423074</v>
      </c>
      <c r="CZ269" s="16">
        <v>1.5334679526298745</v>
      </c>
      <c r="DA269" s="16">
        <v>-9999</v>
      </c>
      <c r="DB269" s="16">
        <v>0.71971291674184368</v>
      </c>
      <c r="DC269" s="16">
        <v>0.45820042240012349</v>
      </c>
      <c r="DD269" s="16">
        <v>0.57135510282924074</v>
      </c>
      <c r="DE269" s="16">
        <v>1.3316161715197561</v>
      </c>
      <c r="DF269" s="16">
        <v>1.3990565571017743</v>
      </c>
      <c r="DG269" s="16">
        <v>1.2658929288341225</v>
      </c>
      <c r="DH269" s="16">
        <v>0.82233896393419936</v>
      </c>
      <c r="DI269" s="16">
        <v>0.62118880982378055</v>
      </c>
      <c r="DJ269" s="16">
        <v>0.332830013239995</v>
      </c>
      <c r="DK269" s="16">
        <v>5.51142925666048E-2</v>
      </c>
      <c r="DL269" s="16">
        <v>-0.22260142810678499</v>
      </c>
      <c r="DM269" s="16">
        <v>-0.50031714878017497</v>
      </c>
      <c r="DN269" s="16">
        <v>-9999</v>
      </c>
      <c r="DO269" s="16">
        <v>1.8748851173334913</v>
      </c>
      <c r="DP269" s="16">
        <v>2.3252967812997412</v>
      </c>
      <c r="DQ269" s="16">
        <v>2.448474521259314</v>
      </c>
      <c r="DR269" s="16">
        <v>2.0016158351848077</v>
      </c>
      <c r="DS269" s="16">
        <v>0.70225336300393515</v>
      </c>
      <c r="DT269" s="16">
        <v>0.50597033485269005</v>
      </c>
      <c r="DU269" s="16">
        <v>0.61917882262807478</v>
      </c>
      <c r="DV269" s="16">
        <v>1.3798014108813872</v>
      </c>
      <c r="DW269" s="16">
        <v>1.4648625896262146</v>
      </c>
      <c r="DX269" s="16">
        <v>1.0135372749408678</v>
      </c>
      <c r="DY269" s="16">
        <v>0.52092688930358566</v>
      </c>
      <c r="DZ269" s="16">
        <v>0.17018120838729889</v>
      </c>
      <c r="EA269" s="2197">
        <v>-9999</v>
      </c>
      <c r="EB269" s="2197">
        <v>1.885263890651089</v>
      </c>
      <c r="EC269" s="2197">
        <v>0.83297721330831109</v>
      </c>
      <c r="ED269" s="2197">
        <v>1.241702971353531</v>
      </c>
      <c r="EE269" s="2197">
        <v>2.4696192329283218</v>
      </c>
      <c r="EF269" s="2197">
        <v>2.8637622597915025</v>
      </c>
      <c r="EG269" s="2197">
        <v>3.0091700093565432</v>
      </c>
      <c r="EH269" s="2197">
        <v>2.6054812212739087</v>
      </c>
      <c r="EI269" s="2197">
        <v>1.8238385825870784</v>
      </c>
      <c r="EJ269" s="2197">
        <v>2.0181166145320173</v>
      </c>
      <c r="EK269" s="2197">
        <v>1.8459264148334098</v>
      </c>
      <c r="EL269" s="2197">
        <v>1.4126617856792922</v>
      </c>
      <c r="EM269" s="2197">
        <v>1.5233018265618847</v>
      </c>
    </row>
    <row r="270" spans="1:143">
      <c r="A270" s="22">
        <v>170</v>
      </c>
      <c r="B270" s="33" t="s">
        <v>26</v>
      </c>
      <c r="C270" s="25">
        <v>-9999</v>
      </c>
      <c r="D270" s="1040">
        <f ca="1">OFFSET('Q1'!G313,0,(Last_forecast_year - 3-InputY!$G$3)*4+4)</f>
        <v>2.6624876278455503</v>
      </c>
      <c r="E270" s="1040">
        <f ca="1">OFFSET('Q1'!H313,0,(Last_forecast_year - 3-InputY!$G$3)*4+4)</f>
        <v>-1.3645839914081819</v>
      </c>
      <c r="F270" s="1040">
        <f ca="1">OFFSET('Q1'!I313,0,(Last_forecast_year - 3-InputY!$G$3)*4+4)</f>
        <v>1.8733095134737994</v>
      </c>
      <c r="G270" s="1040">
        <f ca="1">OFFSET('Q1'!J313,0,(Last_forecast_year - 3-InputY!$G$3)*4+4)</f>
        <v>3.541332263242353</v>
      </c>
      <c r="H270" s="1040">
        <f ca="1">OFFSET('Q1'!K313,0,(Last_forecast_year - 3-InputY!$G$3)*4+4)</f>
        <v>0.88129809486945376</v>
      </c>
      <c r="I270" s="1040">
        <f ca="1">OFFSET('Q1'!L313,0,(Last_forecast_year - 3-InputY!$G$3)*4+4)</f>
        <v>1.7331686884269448</v>
      </c>
      <c r="J270" s="1040">
        <f ca="1">OFFSET('Q1'!M313,0,(Last_forecast_year - 3-InputY!$G$3)*4+4)</f>
        <v>0.53986218291028898</v>
      </c>
      <c r="K270" s="1040">
        <f ca="1">OFFSET('Q1'!N313,0,(Last_forecast_year - 3-InputY!$G$3)*4+4)</f>
        <v>-1.0495737090258195</v>
      </c>
      <c r="L270" s="1040">
        <f ca="1">OFFSET('Q1'!O313,0,(Last_forecast_year - 3-InputY!$G$3)*4+4)</f>
        <v>5.2763268782429762E-2</v>
      </c>
      <c r="M270" s="1040">
        <f ca="1">OFFSET('Q1'!P313,0,(Last_forecast_year - 3-InputY!$G$3)*4+4)</f>
        <v>0.87057816280209366</v>
      </c>
      <c r="N270" s="1040">
        <f ca="1">OFFSET('Q1'!Q313,0,(Last_forecast_year - 3-InputY!$G$3)*4+4)</f>
        <v>1.1772288664503527</v>
      </c>
      <c r="O270" s="1040">
        <f ca="1">OFFSET('Q1'!R313,0,(Last_forecast_year - 3-InputY!$G$3)*4+4)</f>
        <v>1.4816359193452033</v>
      </c>
      <c r="P270" s="26"/>
      <c r="Q270"/>
      <c r="AA270" s="22">
        <v>170</v>
      </c>
      <c r="AB270" s="1040" t="e">
        <f>+#REF!</f>
        <v>#REF!</v>
      </c>
      <c r="AC270" s="1040">
        <f>CHOOSE(Tables!$U$2,Transfer!CA270,Transfer!CN270,Transfer!DA270,Transfer!DN270,Transfer!EA270)</f>
        <v>-9999</v>
      </c>
      <c r="AD270" s="1040">
        <f>CHOOSE(Tables!$U$2,Transfer!CB270,Transfer!CO270,Transfer!DB270,Transfer!DO270,Transfer!EB270)</f>
        <v>4.8136091374777976</v>
      </c>
      <c r="AE270" s="1040">
        <f>CHOOSE(Tables!$U$2,Transfer!CC270,Transfer!CP270,Transfer!DC270,Transfer!DP270,Transfer!EC270)</f>
        <v>4.9528098310653803</v>
      </c>
      <c r="AF270" s="1040">
        <f>CHOOSE(Tables!$U$2,Transfer!CD270,Transfer!CQ270,Transfer!DD270,Transfer!DQ270,Transfer!ED270)</f>
        <v>1.6050865539179116</v>
      </c>
      <c r="AG270" s="1040">
        <f>CHOOSE(Tables!$U$2,Transfer!CE270,Transfer!CR270,Transfer!DE270,Transfer!DR270,Transfer!EE270)</f>
        <v>-2.1591315588098681E-2</v>
      </c>
      <c r="AH270" s="1040">
        <f>CHOOSE(Tables!$U$2,Transfer!CF270,Transfer!CS270,Transfer!DF270,Transfer!DS270,Transfer!EF270)</f>
        <v>0.15012170482944232</v>
      </c>
      <c r="AI270" s="1040">
        <f>CHOOSE(Tables!$U$2,Transfer!CG270,Transfer!CT270,Transfer!DG270,Transfer!DT270,Transfer!EG270)</f>
        <v>0.24255676002540305</v>
      </c>
      <c r="AJ270" s="1040">
        <f>CHOOSE(Tables!$U$2,Transfer!CH270,Transfer!CU270,Transfer!DH270,Transfer!DU270,Transfer!EH270)</f>
        <v>2.2875642083795888</v>
      </c>
      <c r="AK270" s="1040">
        <f>CHOOSE(Tables!$U$2,Transfer!CI270,Transfer!CV270,Transfer!DI270,Transfer!DV270,Transfer!EI270)</f>
        <v>3.4416983089633479</v>
      </c>
      <c r="AL270" s="1040">
        <f>CHOOSE(Tables!$U$2,Transfer!CJ270,Transfer!CW270,Transfer!DJ270,Transfer!DW270,Transfer!EJ270)</f>
        <v>3.165436980964631</v>
      </c>
      <c r="AM270" s="1040">
        <f>CHOOSE(Tables!$U$2,Transfer!CK270,Transfer!CX270,Transfer!DK270,Transfer!DX270,Transfer!EK270)</f>
        <v>2.4691251642328993</v>
      </c>
      <c r="AN270" s="1040">
        <f>CHOOSE(Tables!$U$2,Transfer!CL270,Transfer!CY270,Transfer!DL270,Transfer!DY270,Transfer!EL270)</f>
        <v>1.6878979124821614</v>
      </c>
      <c r="AO270" s="1040">
        <f>CHOOSE(Tables!$U$2,Transfer!CM270,Transfer!CZ270,Transfer!DM270,Transfer!DZ270,Transfer!EM270)</f>
        <v>1.0625140027820335</v>
      </c>
      <c r="AR270" s="22">
        <v>170</v>
      </c>
      <c r="AS270" s="30" t="s">
        <v>1705</v>
      </c>
      <c r="AT270" s="25">
        <f t="shared" si="43"/>
        <v>0</v>
      </c>
      <c r="AU270" s="25">
        <f t="shared" ca="1" si="43"/>
        <v>-2.1511215096322474</v>
      </c>
      <c r="AV270" s="25">
        <f t="shared" ca="1" si="43"/>
        <v>-6.3173938224735622</v>
      </c>
      <c r="AW270" s="25">
        <f t="shared" ca="1" si="42"/>
        <v>0.26822295955588782</v>
      </c>
      <c r="AX270" s="25">
        <f t="shared" ca="1" si="42"/>
        <v>3.5629235788304516</v>
      </c>
      <c r="AY270" s="25">
        <f t="shared" ca="1" si="42"/>
        <v>0.73117639004001145</v>
      </c>
      <c r="AZ270" s="25">
        <f t="shared" ca="1" si="42"/>
        <v>1.4906119284015418</v>
      </c>
      <c r="BA270" s="25">
        <f t="shared" ca="1" si="42"/>
        <v>-1.7477020254692999</v>
      </c>
      <c r="BB270" s="25">
        <f t="shared" ca="1" si="42"/>
        <v>-4.4912720179891679</v>
      </c>
      <c r="BC270" s="25">
        <f t="shared" ca="1" si="42"/>
        <v>-3.1126737121822012</v>
      </c>
      <c r="BD270" s="25">
        <f t="shared" ca="1" si="42"/>
        <v>-1.5985470014308056</v>
      </c>
      <c r="BE270" s="25">
        <f t="shared" ca="1" si="42"/>
        <v>-0.51066904603180863</v>
      </c>
      <c r="BF270" s="25">
        <f t="shared" ca="1" si="21"/>
        <v>0.41912191656316988</v>
      </c>
      <c r="CA270" s="16">
        <v>-9999</v>
      </c>
      <c r="CB270" s="16">
        <v>-1.3947152186135128</v>
      </c>
      <c r="CC270" s="16">
        <v>1.8348819822706446</v>
      </c>
      <c r="CD270" s="16">
        <v>-1.32</v>
      </c>
      <c r="CE270" s="16">
        <v>-1.17</v>
      </c>
      <c r="CF270" s="16">
        <v>-0.5</v>
      </c>
      <c r="CG270" s="16">
        <v>1</v>
      </c>
      <c r="CH270" s="16">
        <v>1.2</v>
      </c>
      <c r="CI270" s="16">
        <v>1.3</v>
      </c>
      <c r="CJ270" s="16">
        <v>1.3</v>
      </c>
      <c r="CK270" s="16">
        <v>1.3</v>
      </c>
      <c r="CL270" s="16">
        <v>1.4</v>
      </c>
      <c r="CM270" s="16">
        <v>1.4</v>
      </c>
      <c r="CN270" s="16">
        <v>-9999</v>
      </c>
      <c r="CO270" s="16">
        <v>0.65732195716523734</v>
      </c>
      <c r="CP270" s="16">
        <v>1.0681478316598714E-2</v>
      </c>
      <c r="CQ270" s="16">
        <v>0.31811253230830516</v>
      </c>
      <c r="CR270" s="16">
        <v>0.29380341880343508</v>
      </c>
      <c r="CS270" s="16">
        <v>-2.2122624035808558</v>
      </c>
      <c r="CT270" s="16">
        <v>-2.8043348760954823</v>
      </c>
      <c r="CU270" s="16">
        <v>0.73550591872859616</v>
      </c>
      <c r="CV270" s="16">
        <v>1.8250618625807125</v>
      </c>
      <c r="CW270" s="16">
        <v>3.2275567821270723</v>
      </c>
      <c r="CX270" s="16">
        <v>4.3452805181250831</v>
      </c>
      <c r="CY270" s="16">
        <v>1.432261754648767</v>
      </c>
      <c r="CZ270" s="16">
        <v>0.78132472612018056</v>
      </c>
      <c r="DA270" s="16">
        <v>-9999</v>
      </c>
      <c r="DB270" s="16">
        <v>-1.394715218613507</v>
      </c>
      <c r="DC270" s="16">
        <v>-1.8869772092021675</v>
      </c>
      <c r="DD270" s="16">
        <v>1.4162632144769649</v>
      </c>
      <c r="DE270" s="16">
        <v>2.2914412282786456</v>
      </c>
      <c r="DF270" s="16">
        <v>1.6213530316316227</v>
      </c>
      <c r="DG270" s="16">
        <v>1.6821391305010591</v>
      </c>
      <c r="DH270" s="16">
        <v>1.7158810353231413</v>
      </c>
      <c r="DI270" s="16">
        <v>1.9702653376992396</v>
      </c>
      <c r="DJ270" s="16">
        <v>2.0175293395449998</v>
      </c>
      <c r="DK270" s="16">
        <v>2.12557722184749</v>
      </c>
      <c r="DL270" s="16">
        <v>2.2336251041499899</v>
      </c>
      <c r="DM270" s="16">
        <v>2.3416729864524801</v>
      </c>
      <c r="DN270" s="16">
        <v>-9999</v>
      </c>
      <c r="DO270" s="16">
        <v>0.65732195716523734</v>
      </c>
      <c r="DP270" s="16">
        <v>1.0681478316598714E-2</v>
      </c>
      <c r="DQ270" s="16">
        <v>0.31811253230830516</v>
      </c>
      <c r="DR270" s="16">
        <v>0.29380341880343508</v>
      </c>
      <c r="DS270" s="16">
        <v>-1.3747221381308683</v>
      </c>
      <c r="DT270" s="16">
        <v>-1.4512399437876522</v>
      </c>
      <c r="DU270" s="16">
        <v>2.1378802158573018</v>
      </c>
      <c r="DV270" s="16">
        <v>3.2426042500168561</v>
      </c>
      <c r="DW270" s="16">
        <v>2.6103860676207846</v>
      </c>
      <c r="DX270" s="16">
        <v>2.2385220273703377</v>
      </c>
      <c r="DY270" s="16">
        <v>2.0008817759824993</v>
      </c>
      <c r="DZ270" s="16">
        <v>2.0347941829567118</v>
      </c>
      <c r="EA270" s="2197">
        <v>-9999</v>
      </c>
      <c r="EB270" s="2197">
        <v>4.8136091374777976</v>
      </c>
      <c r="EC270" s="2197">
        <v>4.9528098310653803</v>
      </c>
      <c r="ED270" s="2197">
        <v>1.6050865539179116</v>
      </c>
      <c r="EE270" s="2197">
        <v>-2.1591315588098681E-2</v>
      </c>
      <c r="EF270" s="2197">
        <v>0.15012170482944232</v>
      </c>
      <c r="EG270" s="2197">
        <v>0.24255676002540305</v>
      </c>
      <c r="EH270" s="2197">
        <v>2.2875642083795888</v>
      </c>
      <c r="EI270" s="2197">
        <v>3.4416983089633479</v>
      </c>
      <c r="EJ270" s="2197">
        <v>3.165436980964631</v>
      </c>
      <c r="EK270" s="2197">
        <v>2.4691251642328993</v>
      </c>
      <c r="EL270" s="2197">
        <v>1.6878979124821614</v>
      </c>
      <c r="EM270" s="2197">
        <v>1.0625140027820335</v>
      </c>
    </row>
    <row r="271" spans="1:143">
      <c r="A271" s="22">
        <v>171</v>
      </c>
      <c r="B271" s="33" t="s">
        <v>795</v>
      </c>
      <c r="C271" s="25">
        <v>-9999</v>
      </c>
      <c r="D271" s="1040">
        <f ca="1">OFFSET('Q1'!G315,0,(Last_forecast_year - 3-InputY!$G$3)*4+4)</f>
        <v>3.3563413916058806</v>
      </c>
      <c r="E271" s="1040">
        <f ca="1">OFFSET('Q1'!H315,0,(Last_forecast_year - 3-InputY!$G$3)*4+4)</f>
        <v>5.2597360379689206</v>
      </c>
      <c r="F271" s="1040">
        <f ca="1">OFFSET('Q1'!I315,0,(Last_forecast_year - 3-InputY!$G$3)*4+4)</f>
        <v>6.4145631378571295</v>
      </c>
      <c r="G271" s="1040">
        <f ca="1">OFFSET('Q1'!J315,0,(Last_forecast_year - 3-InputY!$G$3)*4+4)</f>
        <v>5.0900698762741143</v>
      </c>
      <c r="H271" s="1040">
        <f ca="1">OFFSET('Q1'!K315,0,(Last_forecast_year - 3-InputY!$G$3)*4+4)</f>
        <v>4.5240739011595199</v>
      </c>
      <c r="I271" s="1040">
        <f ca="1">OFFSET('Q1'!L315,0,(Last_forecast_year - 3-InputY!$G$3)*4+4)</f>
        <v>3.7792475150509652</v>
      </c>
      <c r="J271" s="1040">
        <f ca="1">OFFSET('Q1'!M315,0,(Last_forecast_year - 3-InputY!$G$3)*4+4)</f>
        <v>3.1866599149859898</v>
      </c>
      <c r="K271" s="1040">
        <f ca="1">OFFSET('Q1'!N315,0,(Last_forecast_year - 3-InputY!$G$3)*4+4)</f>
        <v>4.9446622371182691</v>
      </c>
      <c r="L271" s="1040">
        <f ca="1">OFFSET('Q1'!O315,0,(Last_forecast_year - 3-InputY!$G$3)*4+4)</f>
        <v>5.326212852339629</v>
      </c>
      <c r="M271" s="1040">
        <f ca="1">OFFSET('Q1'!P315,0,(Last_forecast_year - 3-InputY!$G$3)*4+4)</f>
        <v>4.695714436014331</v>
      </c>
      <c r="N271" s="1040">
        <f ca="1">OFFSET('Q1'!Q315,0,(Last_forecast_year - 3-InputY!$G$3)*4+4)</f>
        <v>4.0738347686796184</v>
      </c>
      <c r="O271" s="1040">
        <f ca="1">OFFSET('Q1'!R315,0,(Last_forecast_year - 3-InputY!$G$3)*4+4)</f>
        <v>3.4509956826684673</v>
      </c>
      <c r="P271" s="26"/>
      <c r="Q271"/>
      <c r="AA271" s="22">
        <v>171</v>
      </c>
      <c r="AB271" s="1040" t="str">
        <f t="shared" si="31"/>
        <v>HICP Q SERVICES</v>
      </c>
      <c r="AC271" s="1040">
        <f>CHOOSE(Tables!$U$2,Transfer!CA271,Transfer!CN271,Transfer!DA271,Transfer!DN271,Transfer!EA271)</f>
        <v>-9999</v>
      </c>
      <c r="AD271" s="1040">
        <f>CHOOSE(Tables!$U$2,Transfer!CB271,Transfer!CO271,Transfer!DB271,Transfer!DO271,Transfer!EB271)</f>
        <v>2.2207801825738755</v>
      </c>
      <c r="AE271" s="1040">
        <f>CHOOSE(Tables!$U$2,Transfer!CC271,Transfer!CP271,Transfer!DC271,Transfer!DP271,Transfer!EC271)</f>
        <v>2.1305290801911383</v>
      </c>
      <c r="AF271" s="1040">
        <f>CHOOSE(Tables!$U$2,Transfer!CD271,Transfer!CQ271,Transfer!DD271,Transfer!DQ271,Transfer!ED271)</f>
        <v>2.3023260974900595</v>
      </c>
      <c r="AG271" s="1040">
        <f>CHOOSE(Tables!$U$2,Transfer!CE271,Transfer!CR271,Transfer!DE271,Transfer!DR271,Transfer!EE271)</f>
        <v>3.3075255876064524</v>
      </c>
      <c r="AH271" s="1040">
        <f>CHOOSE(Tables!$U$2,Transfer!CF271,Transfer!CS271,Transfer!DF271,Transfer!DS271,Transfer!EF271)</f>
        <v>4.0474842375427533</v>
      </c>
      <c r="AI271" s="1040">
        <f>CHOOSE(Tables!$U$2,Transfer!CG271,Transfer!CT271,Transfer!DG271,Transfer!DT271,Transfer!EG271)</f>
        <v>3.5489918827460221</v>
      </c>
      <c r="AJ271" s="1040">
        <f>CHOOSE(Tables!$U$2,Transfer!CH271,Transfer!CU271,Transfer!DH271,Transfer!DU271,Transfer!EH271)</f>
        <v>2.937685111895183</v>
      </c>
      <c r="AK271" s="1040">
        <f>CHOOSE(Tables!$U$2,Transfer!CI271,Transfer!CV271,Transfer!DI271,Transfer!DV271,Transfer!EI271)</f>
        <v>2.118841570876917</v>
      </c>
      <c r="AL271" s="1040">
        <f>CHOOSE(Tables!$U$2,Transfer!CJ271,Transfer!CW271,Transfer!DJ271,Transfer!DW271,Transfer!EJ271)</f>
        <v>2.9733795658627438</v>
      </c>
      <c r="AM271" s="1040">
        <f>CHOOSE(Tables!$U$2,Transfer!CK271,Transfer!CX271,Transfer!DK271,Transfer!DX271,Transfer!EK271)</f>
        <v>3.9101176484675593</v>
      </c>
      <c r="AN271" s="1040">
        <f>CHOOSE(Tables!$U$2,Transfer!CL271,Transfer!CY271,Transfer!DL271,Transfer!DY271,Transfer!EL271)</f>
        <v>4.8817717631724822</v>
      </c>
      <c r="AO271" s="1040">
        <f>CHOOSE(Tables!$U$2,Transfer!CM271,Transfer!CZ271,Transfer!DM271,Transfer!DZ271,Transfer!EM271)</f>
        <v>5.2649365081705035</v>
      </c>
      <c r="AR271" s="22">
        <v>171</v>
      </c>
      <c r="AS271" s="30" t="s">
        <v>1705</v>
      </c>
      <c r="AT271" s="25">
        <f t="shared" si="43"/>
        <v>0</v>
      </c>
      <c r="AU271" s="25">
        <f t="shared" ca="1" si="43"/>
        <v>1.1355612090320051</v>
      </c>
      <c r="AV271" s="25">
        <f t="shared" ca="1" si="43"/>
        <v>3.1292069577777823</v>
      </c>
      <c r="AW271" s="25">
        <f t="shared" ca="1" si="42"/>
        <v>4.1122370403670701</v>
      </c>
      <c r="AX271" s="25">
        <f t="shared" ca="1" si="42"/>
        <v>1.7825442886676619</v>
      </c>
      <c r="AY271" s="25">
        <f t="shared" ca="1" si="42"/>
        <v>0.47658966361676658</v>
      </c>
      <c r="AZ271" s="25">
        <f t="shared" ca="1" si="42"/>
        <v>0.23025563230494317</v>
      </c>
      <c r="BA271" s="25">
        <f t="shared" ca="1" si="42"/>
        <v>0.24897480309080677</v>
      </c>
      <c r="BB271" s="25">
        <f t="shared" ca="1" si="42"/>
        <v>2.8258206662413521</v>
      </c>
      <c r="BC271" s="25">
        <f t="shared" ca="1" si="42"/>
        <v>2.3528332864768853</v>
      </c>
      <c r="BD271" s="25">
        <f t="shared" ca="1" si="42"/>
        <v>0.78559678754677176</v>
      </c>
      <c r="BE271" s="25">
        <f t="shared" ca="1" si="42"/>
        <v>-0.80793699449286382</v>
      </c>
      <c r="BF271" s="25">
        <f t="shared" ca="1" si="42"/>
        <v>-1.8139408255020362</v>
      </c>
      <c r="CA271" s="16">
        <v>-9999</v>
      </c>
      <c r="CB271" s="16">
        <v>3.2128706927602337</v>
      </c>
      <c r="CC271" s="16">
        <v>3.3597449258809604</v>
      </c>
      <c r="CD271" s="16">
        <v>3.39</v>
      </c>
      <c r="CE271" s="16">
        <v>4.07</v>
      </c>
      <c r="CF271" s="16">
        <v>4.0999999999999996</v>
      </c>
      <c r="CG271" s="16">
        <v>4.1500000000000004</v>
      </c>
      <c r="CH271" s="16">
        <v>4.25</v>
      </c>
      <c r="CI271" s="16">
        <v>4.25</v>
      </c>
      <c r="CJ271" s="16">
        <v>4.3</v>
      </c>
      <c r="CK271" s="16">
        <v>4.3</v>
      </c>
      <c r="CL271" s="16">
        <v>4.2</v>
      </c>
      <c r="CM271" s="16">
        <v>4.0999999999999996</v>
      </c>
      <c r="CN271" s="16">
        <v>-9999</v>
      </c>
      <c r="CO271" s="16">
        <v>1.0899116419069657</v>
      </c>
      <c r="CP271" s="16">
        <v>0.88820606380679124</v>
      </c>
      <c r="CQ271" s="16">
        <v>1.9270573121119412</v>
      </c>
      <c r="CR271" s="16">
        <v>2.4984414712511409</v>
      </c>
      <c r="CS271" s="16">
        <v>3.198435470284533</v>
      </c>
      <c r="CT271" s="16">
        <v>3.4552248574793554</v>
      </c>
      <c r="CU271" s="16">
        <v>3.4591504483856728</v>
      </c>
      <c r="CV271" s="16">
        <v>4.310772761852899</v>
      </c>
      <c r="CW271" s="16">
        <v>4.135941876210425</v>
      </c>
      <c r="CX271" s="16">
        <v>3.7074174726173137</v>
      </c>
      <c r="CY271" s="16">
        <v>3.3988606799794541</v>
      </c>
      <c r="CZ271" s="16">
        <v>3.4299634936432621</v>
      </c>
      <c r="DA271" s="16">
        <v>-9999</v>
      </c>
      <c r="DB271" s="16">
        <v>3.2128706927602391</v>
      </c>
      <c r="DC271" s="16">
        <v>3.114615156192424</v>
      </c>
      <c r="DD271" s="16">
        <v>2.6758050763209251</v>
      </c>
      <c r="DE271" s="16">
        <v>3.0729918634611497</v>
      </c>
      <c r="DF271" s="16">
        <v>3.0056289257356816</v>
      </c>
      <c r="DG271" s="16">
        <v>3.2432412754812567</v>
      </c>
      <c r="DH271" s="16">
        <v>3.1920807970957199</v>
      </c>
      <c r="DI271" s="16">
        <v>3.2227250906422533</v>
      </c>
      <c r="DJ271" s="16">
        <v>3.3159510263222698</v>
      </c>
      <c r="DK271" s="16">
        <v>3.3759638279556898</v>
      </c>
      <c r="DL271" s="16">
        <v>3.4359766295891099</v>
      </c>
      <c r="DM271" s="16">
        <v>3.4959894312225299</v>
      </c>
      <c r="DN271" s="16">
        <v>-9999</v>
      </c>
      <c r="DO271" s="16">
        <v>1.0899116419069657</v>
      </c>
      <c r="DP271" s="16">
        <v>0.88820606380679124</v>
      </c>
      <c r="DQ271" s="16">
        <v>1.9270573121119412</v>
      </c>
      <c r="DR271" s="16">
        <v>2.4984414712511409</v>
      </c>
      <c r="DS271" s="16">
        <v>3.2368303517829267</v>
      </c>
      <c r="DT271" s="16">
        <v>3.3409707886094875</v>
      </c>
      <c r="DU271" s="16">
        <v>3.0547033028742732</v>
      </c>
      <c r="DV271" s="16">
        <v>3.9029964162442088</v>
      </c>
      <c r="DW271" s="16">
        <v>3.4659913655430863</v>
      </c>
      <c r="DX271" s="16">
        <v>3.0552855665150425</v>
      </c>
      <c r="DY271" s="16">
        <v>3.0379960258025474</v>
      </c>
      <c r="DZ271" s="16">
        <v>3.0689902898554777</v>
      </c>
      <c r="EA271" s="2197">
        <v>-9999</v>
      </c>
      <c r="EB271" s="2197">
        <v>2.2207801825738755</v>
      </c>
      <c r="EC271" s="2197">
        <v>2.1305290801911383</v>
      </c>
      <c r="ED271" s="2197">
        <v>2.3023260974900595</v>
      </c>
      <c r="EE271" s="2197">
        <v>3.3075255876064524</v>
      </c>
      <c r="EF271" s="2197">
        <v>4.0474842375427533</v>
      </c>
      <c r="EG271" s="2197">
        <v>3.5489918827460221</v>
      </c>
      <c r="EH271" s="2197">
        <v>2.937685111895183</v>
      </c>
      <c r="EI271" s="2197">
        <v>2.118841570876917</v>
      </c>
      <c r="EJ271" s="2197">
        <v>2.9733795658627438</v>
      </c>
      <c r="EK271" s="2197">
        <v>3.9101176484675593</v>
      </c>
      <c r="EL271" s="2197">
        <v>4.8817717631724822</v>
      </c>
      <c r="EM271" s="2197">
        <v>5.2649365081705035</v>
      </c>
    </row>
    <row r="272" spans="1:143">
      <c r="A272" s="22">
        <v>172</v>
      </c>
      <c r="B272" s="33" t="s">
        <v>353</v>
      </c>
      <c r="C272" s="24">
        <f ca="1">OFFSET('VVP2'!F378,0,Last_forecast_year - 3-InputY!$G$3)</f>
        <v>100</v>
      </c>
      <c r="D272" s="24">
        <f ca="1">OFFSET('VVP2'!G378,0,Last_forecast_year - 3-InputY!$G$3)</f>
        <v>100.68666666666667</v>
      </c>
      <c r="E272" s="24">
        <f ca="1">OFFSET('VVP2'!H378,0,Last_forecast_year - 3-InputY!$G$3)</f>
        <v>101.41083333333333</v>
      </c>
      <c r="F272" s="24">
        <f ca="1">OFFSET('VVP2'!I378,0,Last_forecast_year - 3-InputY!$G$3)</f>
        <v>102.20236517779105</v>
      </c>
      <c r="G272" s="24">
        <f ca="1">OFFSET('VVP2'!J378,0,Last_forecast_year - 3-InputY!$G$3)</f>
        <v>103.25423650859683</v>
      </c>
      <c r="H272" s="25">
        <v>-9999</v>
      </c>
      <c r="I272" s="25">
        <v>-9999</v>
      </c>
      <c r="J272" s="25">
        <v>-9999</v>
      </c>
      <c r="K272" s="25">
        <v>-9999</v>
      </c>
      <c r="L272" s="25">
        <v>-9999</v>
      </c>
      <c r="M272" s="25">
        <v>-9999</v>
      </c>
      <c r="N272" s="25">
        <v>-9999</v>
      </c>
      <c r="O272" s="25">
        <v>-9999</v>
      </c>
      <c r="P272" s="26"/>
      <c r="Q272"/>
      <c r="AA272" s="22">
        <v>172</v>
      </c>
      <c r="AB272" s="1040" t="str">
        <f t="shared" si="31"/>
        <v>HICP Y INDEX NON-ENERGY INDUSTRIAL GOODS</v>
      </c>
      <c r="AC272" s="1040">
        <f>CHOOSE(Tables!$U$2,Transfer!CA272,Transfer!CN272,Transfer!DA272,Transfer!DN272,Transfer!EA272)</f>
        <v>98.144166946411133</v>
      </c>
      <c r="AD272" s="1040">
        <f>CHOOSE(Tables!$U$2,Transfer!CB272,Transfer!CO272,Transfer!DB272,Transfer!DO272,Transfer!EB272)</f>
        <v>99.242502212524414</v>
      </c>
      <c r="AE272" s="1040">
        <f>CHOOSE(Tables!$U$2,Transfer!CC272,Transfer!CP272,Transfer!DC272,Transfer!DP272,Transfer!EC272)</f>
        <v>100.12689639391704</v>
      </c>
      <c r="AF272" s="1040">
        <f>CHOOSE(Tables!$U$2,Transfer!CD272,Transfer!CQ272,Transfer!DD272,Transfer!DQ272,Transfer!ED272)</f>
        <v>101.2282659718567</v>
      </c>
      <c r="AG272" s="1040">
        <f>CHOOSE(Tables!$U$2,Transfer!CE272,Transfer!CR272,Transfer!DE272,Transfer!DR272,Transfer!EE272)</f>
        <v>102.12670553484028</v>
      </c>
      <c r="AH272" s="1040">
        <f>CHOOSE(Tables!$U$2,Transfer!CF272,Transfer!CS272,Transfer!DF272,Transfer!DS272,Transfer!EF272)</f>
        <v>-9999</v>
      </c>
      <c r="AI272" s="1040">
        <f>CHOOSE(Tables!$U$2,Transfer!CG272,Transfer!CT272,Transfer!DG272,Transfer!DT272,Transfer!EG272)</f>
        <v>-9999</v>
      </c>
      <c r="AJ272" s="1040">
        <f>CHOOSE(Tables!$U$2,Transfer!CH272,Transfer!CU272,Transfer!DH272,Transfer!DU272,Transfer!EH272)</f>
        <v>-9999</v>
      </c>
      <c r="AK272" s="1040">
        <f>CHOOSE(Tables!$U$2,Transfer!CI272,Transfer!CV272,Transfer!DI272,Transfer!DV272,Transfer!EI272)</f>
        <v>-9999</v>
      </c>
      <c r="AL272" s="1040">
        <f>CHOOSE(Tables!$U$2,Transfer!CJ272,Transfer!CW272,Transfer!DJ272,Transfer!DW272,Transfer!EJ272)</f>
        <v>-9999</v>
      </c>
      <c r="AM272" s="1040">
        <f>CHOOSE(Tables!$U$2,Transfer!CK272,Transfer!CX272,Transfer!DK272,Transfer!DX272,Transfer!EK272)</f>
        <v>-9999</v>
      </c>
      <c r="AN272" s="1040">
        <f>CHOOSE(Tables!$U$2,Transfer!CL272,Transfer!CY272,Transfer!DL272,Transfer!DY272,Transfer!EL272)</f>
        <v>-9999</v>
      </c>
      <c r="AO272" s="1040">
        <f>CHOOSE(Tables!$U$2,Transfer!CM272,Transfer!CZ272,Transfer!DM272,Transfer!DZ272,Transfer!EM272)</f>
        <v>-9999</v>
      </c>
      <c r="AR272" s="22">
        <v>172</v>
      </c>
      <c r="AS272" s="30" t="s">
        <v>1705</v>
      </c>
      <c r="AT272" s="25">
        <f t="shared" ca="1" si="43"/>
        <v>1.8558330535888672</v>
      </c>
      <c r="AU272" s="25">
        <f t="shared" ca="1" si="43"/>
        <v>1.4441644541422534</v>
      </c>
      <c r="AV272" s="25">
        <f t="shared" ca="1" si="43"/>
        <v>1.2839369394162929</v>
      </c>
      <c r="AW272" s="25">
        <f t="shared" ca="1" si="42"/>
        <v>0.97409920593435118</v>
      </c>
      <c r="AX272" s="25">
        <f t="shared" ca="1" si="42"/>
        <v>1.1275309737565493</v>
      </c>
      <c r="AY272" s="25">
        <f t="shared" si="42"/>
        <v>0</v>
      </c>
      <c r="AZ272" s="25">
        <f t="shared" si="42"/>
        <v>0</v>
      </c>
      <c r="BA272" s="25">
        <f t="shared" si="42"/>
        <v>0</v>
      </c>
      <c r="BB272" s="25">
        <f t="shared" si="42"/>
        <v>0</v>
      </c>
      <c r="BC272" s="25">
        <f t="shared" si="42"/>
        <v>0</v>
      </c>
      <c r="BD272" s="25">
        <f t="shared" si="42"/>
        <v>0</v>
      </c>
      <c r="BE272" s="25">
        <f t="shared" si="42"/>
        <v>0</v>
      </c>
      <c r="BF272" s="25">
        <f t="shared" si="42"/>
        <v>0</v>
      </c>
      <c r="CA272" s="16">
        <v>100.1925</v>
      </c>
      <c r="CB272" s="16">
        <v>100.26916666666666</v>
      </c>
      <c r="CC272" s="16">
        <v>100.45234333333335</v>
      </c>
      <c r="CD272" s="16">
        <v>101.06530262230706</v>
      </c>
      <c r="CE272" s="16">
        <v>101.46941430420007</v>
      </c>
      <c r="CF272" s="16">
        <v>-9999</v>
      </c>
      <c r="CG272" s="16">
        <v>-9999</v>
      </c>
      <c r="CH272" s="16">
        <v>-9999</v>
      </c>
      <c r="CI272" s="16">
        <v>-9999</v>
      </c>
      <c r="CJ272" s="16">
        <v>-9999</v>
      </c>
      <c r="CK272" s="16">
        <v>-9999</v>
      </c>
      <c r="CL272" s="16">
        <v>-9999</v>
      </c>
      <c r="CM272" s="16">
        <v>-9999</v>
      </c>
      <c r="CN272" s="16">
        <v>99.242500000000007</v>
      </c>
      <c r="CO272" s="16">
        <v>100.1925</v>
      </c>
      <c r="CP272" s="16">
        <v>100.26916666666666</v>
      </c>
      <c r="CQ272" s="16">
        <v>100.60537300403803</v>
      </c>
      <c r="CR272" s="16">
        <v>100.78455350320115</v>
      </c>
      <c r="CS272" s="16">
        <v>-9999</v>
      </c>
      <c r="CT272" s="16">
        <v>-9999</v>
      </c>
      <c r="CU272" s="16">
        <v>-9999</v>
      </c>
      <c r="CV272" s="16">
        <v>-9999</v>
      </c>
      <c r="CW272" s="16">
        <v>-9999</v>
      </c>
      <c r="CX272" s="16">
        <v>-9999</v>
      </c>
      <c r="CY272" s="16">
        <v>-9999</v>
      </c>
      <c r="CZ272" s="16">
        <v>-9999</v>
      </c>
      <c r="DA272" s="16">
        <v>100.1925</v>
      </c>
      <c r="DB272" s="16">
        <v>100.26916666666666</v>
      </c>
      <c r="DC272" s="16">
        <v>100.99929228617427</v>
      </c>
      <c r="DD272" s="16">
        <v>102.32058776352919</v>
      </c>
      <c r="DE272" s="16">
        <v>105.22429224447231</v>
      </c>
      <c r="DF272" s="16">
        <v>-9999</v>
      </c>
      <c r="DG272" s="16">
        <v>-9999</v>
      </c>
      <c r="DH272" s="16">
        <v>-9999</v>
      </c>
      <c r="DI272" s="16">
        <v>-9999</v>
      </c>
      <c r="DJ272" s="16">
        <v>-9999</v>
      </c>
      <c r="DK272" s="16">
        <v>-9999</v>
      </c>
      <c r="DL272" s="16">
        <v>-9999</v>
      </c>
      <c r="DM272" s="16">
        <v>-9999</v>
      </c>
      <c r="DN272" s="16">
        <v>99.242500000000007</v>
      </c>
      <c r="DO272" s="16">
        <v>100.1925</v>
      </c>
      <c r="DP272" s="16">
        <v>100.26916666666666</v>
      </c>
      <c r="DQ272" s="16">
        <v>101.03763729710815</v>
      </c>
      <c r="DR272" s="16">
        <v>102.60231971811696</v>
      </c>
      <c r="DS272" s="16">
        <v>-9999</v>
      </c>
      <c r="DT272" s="16">
        <v>-9999</v>
      </c>
      <c r="DU272" s="16">
        <v>-9999</v>
      </c>
      <c r="DV272" s="16">
        <v>-9999</v>
      </c>
      <c r="DW272" s="16">
        <v>-9999</v>
      </c>
      <c r="DX272" s="16">
        <v>-9999</v>
      </c>
      <c r="DY272" s="16">
        <v>-9999</v>
      </c>
      <c r="DZ272" s="16">
        <v>-9999</v>
      </c>
      <c r="EA272" s="2197">
        <v>98.144166946411133</v>
      </c>
      <c r="EB272" s="2197">
        <v>99.242502212524414</v>
      </c>
      <c r="EC272" s="2197">
        <v>100.12689639391704</v>
      </c>
      <c r="ED272" s="2197">
        <v>101.2282659718567</v>
      </c>
      <c r="EE272" s="2197">
        <v>102.12670553484028</v>
      </c>
      <c r="EF272" s="2197">
        <v>-9999</v>
      </c>
      <c r="EG272" s="2197">
        <v>-9999</v>
      </c>
      <c r="EH272" s="2197">
        <v>-9999</v>
      </c>
      <c r="EI272" s="2197">
        <v>-9999</v>
      </c>
      <c r="EJ272" s="2197">
        <v>-9999</v>
      </c>
      <c r="EK272" s="2197">
        <v>-9999</v>
      </c>
      <c r="EL272" s="2197">
        <v>-9999</v>
      </c>
      <c r="EM272" s="2197">
        <v>-9999</v>
      </c>
    </row>
    <row r="273" spans="1:144">
      <c r="A273" s="22">
        <v>173</v>
      </c>
      <c r="B273" s="33" t="s">
        <v>354</v>
      </c>
      <c r="C273" s="24">
        <f ca="1">OFFSET('VVP2'!F379,0,Last_forecast_year - 3-InputY!$G$3)</f>
        <v>99.999166666666667</v>
      </c>
      <c r="D273" s="24">
        <f ca="1">OFFSET('VVP2'!G379,0,Last_forecast_year - 3-InputY!$G$3)</f>
        <v>92.814999999999998</v>
      </c>
      <c r="E273" s="24">
        <f ca="1">OFFSET('VVP2'!H379,0,Last_forecast_year - 3-InputY!$G$3)</f>
        <v>97.161666666666676</v>
      </c>
      <c r="F273" s="24">
        <f ca="1">OFFSET('VVP2'!I379,0,Last_forecast_year - 3-InputY!$G$3)</f>
        <v>102.56256044002525</v>
      </c>
      <c r="G273" s="24">
        <f ca="1">OFFSET('VVP2'!J379,0,Last_forecast_year - 3-InputY!$G$3)</f>
        <v>103.7678881637022</v>
      </c>
      <c r="H273" s="25">
        <v>-9999</v>
      </c>
      <c r="I273" s="25">
        <v>-9999</v>
      </c>
      <c r="J273" s="25">
        <v>-9999</v>
      </c>
      <c r="K273" s="25">
        <v>-9999</v>
      </c>
      <c r="L273" s="25">
        <v>-9999</v>
      </c>
      <c r="M273" s="25">
        <v>-9999</v>
      </c>
      <c r="N273" s="25">
        <v>-9999</v>
      </c>
      <c r="O273" s="25">
        <v>-9999</v>
      </c>
      <c r="P273" s="26"/>
      <c r="Q273"/>
      <c r="AA273" s="22">
        <v>173</v>
      </c>
      <c r="AB273" s="1040" t="str">
        <f t="shared" si="31"/>
        <v>HICP Y INDEX ENERGY</v>
      </c>
      <c r="AC273" s="1040">
        <f>CHOOSE(Tables!$U$2,Transfer!CA273,Transfer!CN273,Transfer!DA273,Transfer!DN273,Transfer!EA273)</f>
        <v>181.33083343505859</v>
      </c>
      <c r="AD273" s="1040">
        <f>CHOOSE(Tables!$U$2,Transfer!CB273,Transfer!CO273,Transfer!DB273,Transfer!DO273,Transfer!EB273)</f>
        <v>193.40417098999023</v>
      </c>
      <c r="AE273" s="1040">
        <f>CHOOSE(Tables!$U$2,Transfer!CC273,Transfer!CP273,Transfer!DC273,Transfer!DP273,Transfer!EC273)</f>
        <v>191.67162313522007</v>
      </c>
      <c r="AF273" s="1040">
        <f>CHOOSE(Tables!$U$2,Transfer!CD273,Transfer!CQ273,Transfer!DD273,Transfer!DQ273,Transfer!ED273)</f>
        <v>192.87529824333214</v>
      </c>
      <c r="AG273" s="1040">
        <f>CHOOSE(Tables!$U$2,Transfer!CE273,Transfer!CR273,Transfer!DE273,Transfer!DR273,Transfer!EE273)</f>
        <v>198.11765162311519</v>
      </c>
      <c r="AH273" s="1040">
        <f>CHOOSE(Tables!$U$2,Transfer!CF273,Transfer!CS273,Transfer!DF273,Transfer!DS273,Transfer!EF273)</f>
        <v>-9999</v>
      </c>
      <c r="AI273" s="1040">
        <f>CHOOSE(Tables!$U$2,Transfer!CG273,Transfer!CT273,Transfer!DG273,Transfer!DT273,Transfer!EG273)</f>
        <v>-9999</v>
      </c>
      <c r="AJ273" s="1040">
        <f>CHOOSE(Tables!$U$2,Transfer!CH273,Transfer!CU273,Transfer!DH273,Transfer!DU273,Transfer!EH273)</f>
        <v>-9999</v>
      </c>
      <c r="AK273" s="1040">
        <f>CHOOSE(Tables!$U$2,Transfer!CI273,Transfer!CV273,Transfer!DI273,Transfer!DV273,Transfer!EI273)</f>
        <v>-9999</v>
      </c>
      <c r="AL273" s="1040">
        <f>CHOOSE(Tables!$U$2,Transfer!CJ273,Transfer!CW273,Transfer!DJ273,Transfer!DW273,Transfer!EJ273)</f>
        <v>-9999</v>
      </c>
      <c r="AM273" s="1040">
        <f>CHOOSE(Tables!$U$2,Transfer!CK273,Transfer!CX273,Transfer!DK273,Transfer!DX273,Transfer!EK273)</f>
        <v>-9999</v>
      </c>
      <c r="AN273" s="1040">
        <f>CHOOSE(Tables!$U$2,Transfer!CL273,Transfer!CY273,Transfer!DL273,Transfer!DY273,Transfer!EL273)</f>
        <v>-9999</v>
      </c>
      <c r="AO273" s="1040">
        <f>CHOOSE(Tables!$U$2,Transfer!CM273,Transfer!CZ273,Transfer!DM273,Transfer!DZ273,Transfer!EM273)</f>
        <v>-9999</v>
      </c>
      <c r="AR273" s="22">
        <v>173</v>
      </c>
      <c r="AS273" s="30" t="s">
        <v>1705</v>
      </c>
      <c r="AT273" s="25">
        <f t="shared" ca="1" si="43"/>
        <v>-81.331666768391926</v>
      </c>
      <c r="AU273" s="25">
        <f t="shared" ca="1" si="43"/>
        <v>-100.58917098999024</v>
      </c>
      <c r="AV273" s="25">
        <f t="shared" ca="1" si="43"/>
        <v>-94.509956468553398</v>
      </c>
      <c r="AW273" s="25">
        <f t="shared" ca="1" si="42"/>
        <v>-90.312737803306888</v>
      </c>
      <c r="AX273" s="25">
        <f t="shared" ca="1" si="42"/>
        <v>-94.349763459412998</v>
      </c>
      <c r="AY273" s="25">
        <f t="shared" si="42"/>
        <v>0</v>
      </c>
      <c r="AZ273" s="25">
        <f t="shared" si="42"/>
        <v>0</v>
      </c>
      <c r="BA273" s="25">
        <f t="shared" si="42"/>
        <v>0</v>
      </c>
      <c r="BB273" s="25">
        <f t="shared" si="42"/>
        <v>0</v>
      </c>
      <c r="BC273" s="25">
        <f t="shared" si="42"/>
        <v>0</v>
      </c>
      <c r="BD273" s="25">
        <f t="shared" si="42"/>
        <v>0</v>
      </c>
      <c r="BE273" s="25">
        <f t="shared" si="42"/>
        <v>0</v>
      </c>
      <c r="BF273" s="25">
        <f t="shared" si="42"/>
        <v>0</v>
      </c>
      <c r="CA273" s="16">
        <v>190.99833333333336</v>
      </c>
      <c r="CB273" s="16">
        <v>183.43083333333334</v>
      </c>
      <c r="CC273" s="16">
        <v>163.59897933333335</v>
      </c>
      <c r="CD273" s="16">
        <v>157.87601536</v>
      </c>
      <c r="CE273" s="16">
        <v>167.39811784823334</v>
      </c>
      <c r="CF273" s="16">
        <v>-9999</v>
      </c>
      <c r="CG273" s="16">
        <v>-9999</v>
      </c>
      <c r="CH273" s="16">
        <v>-9999</v>
      </c>
      <c r="CI273" s="16">
        <v>-9999</v>
      </c>
      <c r="CJ273" s="16">
        <v>-9999</v>
      </c>
      <c r="CK273" s="16">
        <v>-9999</v>
      </c>
      <c r="CL273" s="16">
        <v>-9999</v>
      </c>
      <c r="CM273" s="16">
        <v>-9999</v>
      </c>
      <c r="CN273" s="16">
        <v>193.40416666666667</v>
      </c>
      <c r="CO273" s="16">
        <v>190.99833333333336</v>
      </c>
      <c r="CP273" s="16">
        <v>183.43083333333334</v>
      </c>
      <c r="CQ273" s="16">
        <v>158.59432215067514</v>
      </c>
      <c r="CR273" s="16">
        <v>160.2405933472059</v>
      </c>
      <c r="CS273" s="16">
        <v>-9999</v>
      </c>
      <c r="CT273" s="16">
        <v>-9999</v>
      </c>
      <c r="CU273" s="16">
        <v>-9999</v>
      </c>
      <c r="CV273" s="16">
        <v>-9999</v>
      </c>
      <c r="CW273" s="16">
        <v>-9999</v>
      </c>
      <c r="CX273" s="16">
        <v>-9999</v>
      </c>
      <c r="CY273" s="16">
        <v>-9999</v>
      </c>
      <c r="CZ273" s="16">
        <v>-9999</v>
      </c>
      <c r="DA273" s="16">
        <v>190.99833333333336</v>
      </c>
      <c r="DB273" s="16">
        <v>183.43083333333334</v>
      </c>
      <c r="DC273" s="16">
        <v>164.77471204952818</v>
      </c>
      <c r="DD273" s="16">
        <v>167.11451165272146</v>
      </c>
      <c r="DE273" s="16">
        <v>165.30419570338648</v>
      </c>
      <c r="DF273" s="16">
        <v>-9999</v>
      </c>
      <c r="DG273" s="16">
        <v>-9999</v>
      </c>
      <c r="DH273" s="16">
        <v>-9999</v>
      </c>
      <c r="DI273" s="16">
        <v>-9999</v>
      </c>
      <c r="DJ273" s="16">
        <v>-9999</v>
      </c>
      <c r="DK273" s="16">
        <v>-9999</v>
      </c>
      <c r="DL273" s="16">
        <v>-9999</v>
      </c>
      <c r="DM273" s="16">
        <v>-9999</v>
      </c>
      <c r="DN273" s="16">
        <v>193.40416666666667</v>
      </c>
      <c r="DO273" s="16">
        <v>190.99833333333336</v>
      </c>
      <c r="DP273" s="16">
        <v>183.43083333333334</v>
      </c>
      <c r="DQ273" s="16">
        <v>162.42938491471955</v>
      </c>
      <c r="DR273" s="16">
        <v>164.66111242158365</v>
      </c>
      <c r="DS273" s="16">
        <v>-9999</v>
      </c>
      <c r="DT273" s="16">
        <v>-9999</v>
      </c>
      <c r="DU273" s="16">
        <v>-9999</v>
      </c>
      <c r="DV273" s="16">
        <v>-9999</v>
      </c>
      <c r="DW273" s="16">
        <v>-9999</v>
      </c>
      <c r="DX273" s="16">
        <v>-9999</v>
      </c>
      <c r="DY273" s="16">
        <v>-9999</v>
      </c>
      <c r="DZ273" s="16">
        <v>-9999</v>
      </c>
      <c r="EA273" s="2197">
        <v>181.33083343505859</v>
      </c>
      <c r="EB273" s="2197">
        <v>193.40417098999023</v>
      </c>
      <c r="EC273" s="2197">
        <v>191.67162313522007</v>
      </c>
      <c r="ED273" s="2197">
        <v>192.87529824333214</v>
      </c>
      <c r="EE273" s="2197">
        <v>198.11765162311519</v>
      </c>
      <c r="EF273" s="2197">
        <v>-9999</v>
      </c>
      <c r="EG273" s="2197">
        <v>-9999</v>
      </c>
      <c r="EH273" s="2197">
        <v>-9999</v>
      </c>
      <c r="EI273" s="2197">
        <v>-9999</v>
      </c>
      <c r="EJ273" s="2197">
        <v>-9999</v>
      </c>
      <c r="EK273" s="2197">
        <v>-9999</v>
      </c>
      <c r="EL273" s="2197">
        <v>-9999</v>
      </c>
      <c r="EM273" s="2197">
        <v>-9999</v>
      </c>
    </row>
    <row r="274" spans="1:144">
      <c r="A274" s="22">
        <v>174</v>
      </c>
      <c r="B274" s="33" t="s">
        <v>355</v>
      </c>
      <c r="C274" s="24">
        <f ca="1">OFFSET('VVP2'!F381,0,Last_forecast_year - 3-InputY!$G$3)</f>
        <v>100</v>
      </c>
      <c r="D274" s="24">
        <f ca="1">OFFSET('VVP2'!G381,0,Last_forecast_year - 3-InputY!$G$3)</f>
        <v>102.22916666666669</v>
      </c>
      <c r="E274" s="24">
        <f ca="1">OFFSET('VVP2'!H381,0,Last_forecast_year - 3-InputY!$G$3)</f>
        <v>109.50749999999999</v>
      </c>
      <c r="F274" s="24">
        <f ca="1">OFFSET('VVP2'!I381,0,Last_forecast_year - 3-InputY!$G$3)</f>
        <v>113.45385723326497</v>
      </c>
      <c r="G274" s="24">
        <f ca="1">OFFSET('VVP2'!J381,0,Last_forecast_year - 3-InputY!$G$3)</f>
        <v>116.90379942504249</v>
      </c>
      <c r="H274" s="25">
        <v>-9999</v>
      </c>
      <c r="I274" s="25">
        <v>-9999</v>
      </c>
      <c r="J274" s="25">
        <v>-9999</v>
      </c>
      <c r="K274" s="25">
        <v>-9999</v>
      </c>
      <c r="L274" s="25">
        <v>-9999</v>
      </c>
      <c r="M274" s="25">
        <v>-9999</v>
      </c>
      <c r="N274" s="25">
        <v>-9999</v>
      </c>
      <c r="O274" s="25">
        <v>-9999</v>
      </c>
      <c r="P274" s="26"/>
      <c r="Q274"/>
      <c r="AA274" s="22">
        <v>174</v>
      </c>
      <c r="AB274" s="1040" t="str">
        <f t="shared" si="31"/>
        <v>HICP Y INDEX PROCESSED FOOD INCL. ALCOHOL AND TOBACCO</v>
      </c>
      <c r="AC274" s="1040">
        <f>CHOOSE(Tables!$U$2,Transfer!CA274,Transfer!CN274,Transfer!DA274,Transfer!DN274,Transfer!EA274)</f>
        <v>156.78166580200195</v>
      </c>
      <c r="AD274" s="1040">
        <f>CHOOSE(Tables!$U$2,Transfer!CB274,Transfer!CO274,Transfer!DB274,Transfer!DO274,Transfer!EB274)</f>
        <v>161.76833343505859</v>
      </c>
      <c r="AE274" s="1040">
        <f>CHOOSE(Tables!$U$2,Transfer!CC274,Transfer!CP274,Transfer!DC274,Transfer!DP274,Transfer!EC274)</f>
        <v>164.36759240193879</v>
      </c>
      <c r="AF274" s="1040">
        <f>CHOOSE(Tables!$U$2,Transfer!CD274,Transfer!CQ274,Transfer!DD274,Transfer!DQ274,Transfer!ED274)</f>
        <v>168.59534055125749</v>
      </c>
      <c r="AG274" s="1040">
        <f>CHOOSE(Tables!$U$2,Transfer!CE274,Transfer!CR274,Transfer!DE274,Transfer!DR274,Transfer!EE274)</f>
        <v>171.46033568658265</v>
      </c>
      <c r="AH274" s="1040">
        <f>CHOOSE(Tables!$U$2,Transfer!CF274,Transfer!CS274,Transfer!DF274,Transfer!DS274,Transfer!EF274)</f>
        <v>-9999</v>
      </c>
      <c r="AI274" s="1040">
        <f>CHOOSE(Tables!$U$2,Transfer!CG274,Transfer!CT274,Transfer!DG274,Transfer!DT274,Transfer!EG274)</f>
        <v>-9999</v>
      </c>
      <c r="AJ274" s="1040">
        <f>CHOOSE(Tables!$U$2,Transfer!CH274,Transfer!CU274,Transfer!DH274,Transfer!DU274,Transfer!EH274)</f>
        <v>-9999</v>
      </c>
      <c r="AK274" s="1040">
        <f>CHOOSE(Tables!$U$2,Transfer!CI274,Transfer!CV274,Transfer!DI274,Transfer!DV274,Transfer!EI274)</f>
        <v>-9999</v>
      </c>
      <c r="AL274" s="1040">
        <f>CHOOSE(Tables!$U$2,Transfer!CJ274,Transfer!CW274,Transfer!DJ274,Transfer!DW274,Transfer!EJ274)</f>
        <v>-9999</v>
      </c>
      <c r="AM274" s="1040">
        <f>CHOOSE(Tables!$U$2,Transfer!CK274,Transfer!CX274,Transfer!DK274,Transfer!DX274,Transfer!EK274)</f>
        <v>-9999</v>
      </c>
      <c r="AN274" s="1040">
        <f>CHOOSE(Tables!$U$2,Transfer!CL274,Transfer!CY274,Transfer!DL274,Transfer!DY274,Transfer!EL274)</f>
        <v>-9999</v>
      </c>
      <c r="AO274" s="1040">
        <f>CHOOSE(Tables!$U$2,Transfer!CM274,Transfer!CZ274,Transfer!DM274,Transfer!DZ274,Transfer!EM274)</f>
        <v>-9999</v>
      </c>
      <c r="AR274" s="22">
        <v>174</v>
      </c>
      <c r="AS274" s="30" t="s">
        <v>1705</v>
      </c>
      <c r="AT274" s="25">
        <f t="shared" ca="1" si="43"/>
        <v>-56.781665802001953</v>
      </c>
      <c r="AU274" s="25">
        <f t="shared" ca="1" si="43"/>
        <v>-59.539166768391908</v>
      </c>
      <c r="AV274" s="25">
        <f t="shared" ca="1" si="43"/>
        <v>-54.8600924019388</v>
      </c>
      <c r="AW274" s="25">
        <f t="shared" ca="1" si="42"/>
        <v>-55.141483317992524</v>
      </c>
      <c r="AX274" s="25">
        <f t="shared" ca="1" si="42"/>
        <v>-54.55653626154016</v>
      </c>
      <c r="AY274" s="25">
        <f t="shared" si="42"/>
        <v>0</v>
      </c>
      <c r="AZ274" s="25">
        <f t="shared" si="42"/>
        <v>0</v>
      </c>
      <c r="BA274" s="25">
        <f t="shared" si="42"/>
        <v>0</v>
      </c>
      <c r="BB274" s="25">
        <f t="shared" si="42"/>
        <v>0</v>
      </c>
      <c r="BC274" s="25">
        <f t="shared" si="42"/>
        <v>0</v>
      </c>
      <c r="BD274" s="25">
        <f t="shared" si="42"/>
        <v>0</v>
      </c>
      <c r="BE274" s="25">
        <f t="shared" si="42"/>
        <v>0</v>
      </c>
      <c r="BF274" s="25">
        <f t="shared" si="42"/>
        <v>0</v>
      </c>
      <c r="CA274" s="16">
        <v>163.99583333333334</v>
      </c>
      <c r="CB274" s="16">
        <v>167.54250000000002</v>
      </c>
      <c r="CC274" s="16">
        <v>166.80108941666668</v>
      </c>
      <c r="CD274" s="16">
        <v>166.96653659275</v>
      </c>
      <c r="CE274" s="16">
        <v>167.67631045404707</v>
      </c>
      <c r="CF274" s="16">
        <v>-9999</v>
      </c>
      <c r="CG274" s="16">
        <v>-9999</v>
      </c>
      <c r="CH274" s="16">
        <v>-9999</v>
      </c>
      <c r="CI274" s="16">
        <v>-9999</v>
      </c>
      <c r="CJ274" s="16">
        <v>-9999</v>
      </c>
      <c r="CK274" s="16">
        <v>-9999</v>
      </c>
      <c r="CL274" s="16">
        <v>-9999</v>
      </c>
      <c r="CM274" s="16">
        <v>-9999</v>
      </c>
      <c r="CN274" s="16">
        <v>161.76833333333332</v>
      </c>
      <c r="CO274" s="16">
        <v>163.99583333333334</v>
      </c>
      <c r="CP274" s="16">
        <v>167.54250000000002</v>
      </c>
      <c r="CQ274" s="16">
        <v>170.19900734411246</v>
      </c>
      <c r="CR274" s="16">
        <v>173.77756216685631</v>
      </c>
      <c r="CS274" s="16">
        <v>-9999</v>
      </c>
      <c r="CT274" s="16">
        <v>-9999</v>
      </c>
      <c r="CU274" s="16">
        <v>-9999</v>
      </c>
      <c r="CV274" s="16">
        <v>-9999</v>
      </c>
      <c r="CW274" s="16">
        <v>-9999</v>
      </c>
      <c r="CX274" s="16">
        <v>-9999</v>
      </c>
      <c r="CY274" s="16">
        <v>-9999</v>
      </c>
      <c r="CZ274" s="16">
        <v>-9999</v>
      </c>
      <c r="DA274" s="16">
        <v>163.99583333333334</v>
      </c>
      <c r="DB274" s="16">
        <v>167.54250000000002</v>
      </c>
      <c r="DC274" s="16">
        <v>168.83407647855191</v>
      </c>
      <c r="DD274" s="16">
        <v>170.56441506116181</v>
      </c>
      <c r="DE274" s="16">
        <v>170.41947134722861</v>
      </c>
      <c r="DF274" s="16">
        <v>-9999</v>
      </c>
      <c r="DG274" s="16">
        <v>-9999</v>
      </c>
      <c r="DH274" s="16">
        <v>-9999</v>
      </c>
      <c r="DI274" s="16">
        <v>-9999</v>
      </c>
      <c r="DJ274" s="16">
        <v>-9999</v>
      </c>
      <c r="DK274" s="16">
        <v>-9999</v>
      </c>
      <c r="DL274" s="16">
        <v>-9999</v>
      </c>
      <c r="DM274" s="16">
        <v>-9999</v>
      </c>
      <c r="DN274" s="16">
        <v>161.76833333333332</v>
      </c>
      <c r="DO274" s="16">
        <v>163.99583333333334</v>
      </c>
      <c r="DP274" s="16">
        <v>167.54250000000002</v>
      </c>
      <c r="DQ274" s="16">
        <v>168.88719455790272</v>
      </c>
      <c r="DR274" s="16">
        <v>170.21943191996658</v>
      </c>
      <c r="DS274" s="16">
        <v>-9999</v>
      </c>
      <c r="DT274" s="16">
        <v>-9999</v>
      </c>
      <c r="DU274" s="16">
        <v>-9999</v>
      </c>
      <c r="DV274" s="16">
        <v>-9999</v>
      </c>
      <c r="DW274" s="16">
        <v>-9999</v>
      </c>
      <c r="DX274" s="16">
        <v>-9999</v>
      </c>
      <c r="DY274" s="16">
        <v>-9999</v>
      </c>
      <c r="DZ274" s="16">
        <v>-9999</v>
      </c>
      <c r="EA274" s="2197">
        <v>156.78166580200195</v>
      </c>
      <c r="EB274" s="2197">
        <v>161.76833343505859</v>
      </c>
      <c r="EC274" s="2197">
        <v>164.36759240193879</v>
      </c>
      <c r="ED274" s="2197">
        <v>168.59534055125749</v>
      </c>
      <c r="EE274" s="2197">
        <v>171.46033568658265</v>
      </c>
      <c r="EF274" s="2197">
        <v>-9999</v>
      </c>
      <c r="EG274" s="2197">
        <v>-9999</v>
      </c>
      <c r="EH274" s="2197">
        <v>-9999</v>
      </c>
      <c r="EI274" s="2197">
        <v>-9999</v>
      </c>
      <c r="EJ274" s="2197">
        <v>-9999</v>
      </c>
      <c r="EK274" s="2197">
        <v>-9999</v>
      </c>
      <c r="EL274" s="2197">
        <v>-9999</v>
      </c>
      <c r="EM274" s="2197">
        <v>-9999</v>
      </c>
    </row>
    <row r="275" spans="1:144">
      <c r="A275" s="22">
        <v>175</v>
      </c>
      <c r="B275" s="33" t="s">
        <v>356</v>
      </c>
      <c r="C275" s="24">
        <f ca="1">OFFSET('VVP2'!F380,0,Last_forecast_year - 3-InputY!$G$3)</f>
        <v>100.00083333333333</v>
      </c>
      <c r="D275" s="24">
        <f ca="1">OFFSET('VVP2'!G380,0,Last_forecast_year - 3-InputY!$G$3)</f>
        <v>101.51583333333333</v>
      </c>
      <c r="E275" s="24">
        <f ca="1">OFFSET('VVP2'!H380,0,Last_forecast_year - 3-InputY!$G$3)</f>
        <v>103.17833333333333</v>
      </c>
      <c r="F275" s="24">
        <f ca="1">OFFSET('VVP2'!I380,0,Last_forecast_year - 3-InputY!$G$3)</f>
        <v>103.72429535838776</v>
      </c>
      <c r="G275" s="24">
        <f ca="1">OFFSET('VVP2'!J380,0,Last_forecast_year - 3-InputY!$G$3)</f>
        <v>104.64775631611455</v>
      </c>
      <c r="H275" s="25">
        <v>-9999</v>
      </c>
      <c r="I275" s="25">
        <v>-9999</v>
      </c>
      <c r="J275" s="25">
        <v>-9999</v>
      </c>
      <c r="K275" s="25">
        <v>-9999</v>
      </c>
      <c r="L275" s="25">
        <v>-9999</v>
      </c>
      <c r="M275" s="25">
        <v>-9999</v>
      </c>
      <c r="N275" s="25">
        <v>-9999</v>
      </c>
      <c r="O275" s="25">
        <v>-9999</v>
      </c>
      <c r="P275" s="26"/>
      <c r="Q275"/>
      <c r="AA275" s="22">
        <v>175</v>
      </c>
      <c r="AB275" s="1040" t="str">
        <f t="shared" si="31"/>
        <v>HICP Y INDEX UNPROCESSED FOOD</v>
      </c>
      <c r="AC275" s="1040">
        <f>CHOOSE(Tables!$U$2,Transfer!CA275,Transfer!CN275,Transfer!DA275,Transfer!DN275,Transfer!EA275)</f>
        <v>143.10916137695312</v>
      </c>
      <c r="AD275" s="1040">
        <f>CHOOSE(Tables!$U$2,Transfer!CB275,Transfer!CO275,Transfer!DB275,Transfer!DO275,Transfer!EB275)</f>
        <v>147.77083587646484</v>
      </c>
      <c r="AE275" s="1040">
        <f>CHOOSE(Tables!$U$2,Transfer!CC275,Transfer!CP275,Transfer!DC275,Transfer!DP275,Transfer!EC275)</f>
        <v>151.95274841883904</v>
      </c>
      <c r="AF275" s="1040">
        <f>CHOOSE(Tables!$U$2,Transfer!CD275,Transfer!CQ275,Transfer!DD275,Transfer!DQ275,Transfer!ED275)</f>
        <v>154.24271033505283</v>
      </c>
      <c r="AG275" s="1040">
        <f>CHOOSE(Tables!$U$2,Transfer!CE275,Transfer!CR275,Transfer!DE275,Transfer!DR275,Transfer!EE275)</f>
        <v>157.47716814499955</v>
      </c>
      <c r="AH275" s="1040">
        <f>CHOOSE(Tables!$U$2,Transfer!CF275,Transfer!CS275,Transfer!DF275,Transfer!DS275,Transfer!EF275)</f>
        <v>-9999</v>
      </c>
      <c r="AI275" s="1040">
        <f>CHOOSE(Tables!$U$2,Transfer!CG275,Transfer!CT275,Transfer!DG275,Transfer!DT275,Transfer!EG275)</f>
        <v>-9999</v>
      </c>
      <c r="AJ275" s="1040">
        <f>CHOOSE(Tables!$U$2,Transfer!CH275,Transfer!CU275,Transfer!DH275,Transfer!DU275,Transfer!EH275)</f>
        <v>-9999</v>
      </c>
      <c r="AK275" s="1040">
        <f>CHOOSE(Tables!$U$2,Transfer!CI275,Transfer!CV275,Transfer!DI275,Transfer!DV275,Transfer!EI275)</f>
        <v>-9999</v>
      </c>
      <c r="AL275" s="1040">
        <f>CHOOSE(Tables!$U$2,Transfer!CJ275,Transfer!CW275,Transfer!DJ275,Transfer!DW275,Transfer!EJ275)</f>
        <v>-9999</v>
      </c>
      <c r="AM275" s="1040">
        <f>CHOOSE(Tables!$U$2,Transfer!CK275,Transfer!CX275,Transfer!DK275,Transfer!DX275,Transfer!EK275)</f>
        <v>-9999</v>
      </c>
      <c r="AN275" s="1040">
        <f>CHOOSE(Tables!$U$2,Transfer!CL275,Transfer!CY275,Transfer!DL275,Transfer!DY275,Transfer!EL275)</f>
        <v>-9999</v>
      </c>
      <c r="AO275" s="1040">
        <f>CHOOSE(Tables!$U$2,Transfer!CM275,Transfer!CZ275,Transfer!DM275,Transfer!DZ275,Transfer!EM275)</f>
        <v>-9999</v>
      </c>
      <c r="AR275" s="22">
        <v>175</v>
      </c>
      <c r="AS275" s="30" t="s">
        <v>1705</v>
      </c>
      <c r="AT275" s="25">
        <f t="shared" ca="1" si="43"/>
        <v>-43.108328043619792</v>
      </c>
      <c r="AU275" s="25">
        <f t="shared" ca="1" si="43"/>
        <v>-46.255002543131511</v>
      </c>
      <c r="AV275" s="25">
        <f t="shared" ca="1" si="43"/>
        <v>-48.774415085505709</v>
      </c>
      <c r="AW275" s="25">
        <f t="shared" ca="1" si="42"/>
        <v>-50.518414976665071</v>
      </c>
      <c r="AX275" s="25">
        <f t="shared" ca="1" si="42"/>
        <v>-52.829411828885</v>
      </c>
      <c r="AY275" s="25">
        <f t="shared" si="42"/>
        <v>0</v>
      </c>
      <c r="AZ275" s="25">
        <f t="shared" si="42"/>
        <v>0</v>
      </c>
      <c r="BA275" s="25">
        <f t="shared" si="42"/>
        <v>0</v>
      </c>
      <c r="BB275" s="25">
        <f t="shared" si="42"/>
        <v>0</v>
      </c>
      <c r="BC275" s="25">
        <f t="shared" si="42"/>
        <v>0</v>
      </c>
      <c r="BD275" s="25">
        <f t="shared" si="42"/>
        <v>0</v>
      </c>
      <c r="BE275" s="25">
        <f t="shared" si="42"/>
        <v>0</v>
      </c>
      <c r="BF275" s="25">
        <f t="shared" si="42"/>
        <v>0</v>
      </c>
      <c r="CA275" s="16">
        <v>152.45749999999998</v>
      </c>
      <c r="CB275" s="16">
        <v>152.94333333333333</v>
      </c>
      <c r="CC275" s="16">
        <v>152.18281066666665</v>
      </c>
      <c r="CD275" s="16">
        <v>153.32064422633334</v>
      </c>
      <c r="CE275" s="16">
        <v>155.38919679966864</v>
      </c>
      <c r="CF275" s="16">
        <v>-9999</v>
      </c>
      <c r="CG275" s="16">
        <v>-9999</v>
      </c>
      <c r="CH275" s="16">
        <v>-9999</v>
      </c>
      <c r="CI275" s="16">
        <v>-9999</v>
      </c>
      <c r="CJ275" s="16">
        <v>-9999</v>
      </c>
      <c r="CK275" s="16">
        <v>-9999</v>
      </c>
      <c r="CL275" s="16">
        <v>-9999</v>
      </c>
      <c r="CM275" s="16">
        <v>-9999</v>
      </c>
      <c r="CN275" s="16">
        <v>147.77083333333334</v>
      </c>
      <c r="CO275" s="16">
        <v>152.45749999999998</v>
      </c>
      <c r="CP275" s="16">
        <v>152.94333333333333</v>
      </c>
      <c r="CQ275" s="16">
        <v>151.96036768719051</v>
      </c>
      <c r="CR275" s="16">
        <v>155.66909259367588</v>
      </c>
      <c r="CS275" s="16">
        <v>-9999</v>
      </c>
      <c r="CT275" s="16">
        <v>-9999</v>
      </c>
      <c r="CU275" s="16">
        <v>-9999</v>
      </c>
      <c r="CV275" s="16">
        <v>-9999</v>
      </c>
      <c r="CW275" s="16">
        <v>-9999</v>
      </c>
      <c r="CX275" s="16">
        <v>-9999</v>
      </c>
      <c r="CY275" s="16">
        <v>-9999</v>
      </c>
      <c r="CZ275" s="16">
        <v>-9999</v>
      </c>
      <c r="DA275" s="16">
        <v>152.45749999999998</v>
      </c>
      <c r="DB275" s="16">
        <v>152.94333333333333</v>
      </c>
      <c r="DC275" s="16">
        <v>153.06606193775042</v>
      </c>
      <c r="DD275" s="16">
        <v>155.74136698980939</v>
      </c>
      <c r="DE275" s="16">
        <v>159.1368625424638</v>
      </c>
      <c r="DF275" s="16">
        <v>-9999</v>
      </c>
      <c r="DG275" s="16">
        <v>-9999</v>
      </c>
      <c r="DH275" s="16">
        <v>-9999</v>
      </c>
      <c r="DI275" s="16">
        <v>-9999</v>
      </c>
      <c r="DJ275" s="16">
        <v>-9999</v>
      </c>
      <c r="DK275" s="16">
        <v>-9999</v>
      </c>
      <c r="DL275" s="16">
        <v>-9999</v>
      </c>
      <c r="DM275" s="16">
        <v>-9999</v>
      </c>
      <c r="DN275" s="16">
        <v>147.77083333333334</v>
      </c>
      <c r="DO275" s="16">
        <v>152.45749999999998</v>
      </c>
      <c r="DP275" s="16">
        <v>152.94333333333333</v>
      </c>
      <c r="DQ275" s="16">
        <v>153.87399856683032</v>
      </c>
      <c r="DR275" s="16">
        <v>157.28901002721648</v>
      </c>
      <c r="DS275" s="16">
        <v>-9999</v>
      </c>
      <c r="DT275" s="16">
        <v>-9999</v>
      </c>
      <c r="DU275" s="16">
        <v>-9999</v>
      </c>
      <c r="DV275" s="16">
        <v>-9999</v>
      </c>
      <c r="DW275" s="16">
        <v>-9999</v>
      </c>
      <c r="DX275" s="16">
        <v>-9999</v>
      </c>
      <c r="DY275" s="16">
        <v>-9999</v>
      </c>
      <c r="DZ275" s="16">
        <v>-9999</v>
      </c>
      <c r="EA275" s="2197">
        <v>143.10916137695312</v>
      </c>
      <c r="EB275" s="2197">
        <v>147.77083587646484</v>
      </c>
      <c r="EC275" s="2197">
        <v>151.95274841883904</v>
      </c>
      <c r="ED275" s="2197">
        <v>154.24271033505283</v>
      </c>
      <c r="EE275" s="2197">
        <v>157.47716814499955</v>
      </c>
      <c r="EF275" s="2197">
        <v>-9999</v>
      </c>
      <c r="EG275" s="2197">
        <v>-9999</v>
      </c>
      <c r="EH275" s="2197">
        <v>-9999</v>
      </c>
      <c r="EI275" s="2197">
        <v>-9999</v>
      </c>
      <c r="EJ275" s="2197">
        <v>-9999</v>
      </c>
      <c r="EK275" s="2197">
        <v>-9999</v>
      </c>
      <c r="EL275" s="2197">
        <v>-9999</v>
      </c>
      <c r="EM275" s="2197">
        <v>-9999</v>
      </c>
    </row>
    <row r="276" spans="1:144">
      <c r="A276" s="22">
        <v>176</v>
      </c>
      <c r="B276" s="33" t="s">
        <v>357</v>
      </c>
      <c r="C276" s="24">
        <f ca="1">OFFSET('VVP2'!F382,0,Last_forecast_year - 3-InputY!$G$3)</f>
        <v>100.00166666666665</v>
      </c>
      <c r="D276" s="24">
        <f ca="1">OFFSET('VVP2'!G382,0,Last_forecast_year - 3-InputY!$G$3)</f>
        <v>103.155</v>
      </c>
      <c r="E276" s="24">
        <f ca="1">OFFSET('VVP2'!H382,0,Last_forecast_year - 3-InputY!$G$3)</f>
        <v>108.35250000000001</v>
      </c>
      <c r="F276" s="24">
        <f ca="1">OFFSET('VVP2'!I382,0,Last_forecast_year - 3-InputY!$G$3)</f>
        <v>112.7976710636909</v>
      </c>
      <c r="G276" s="24">
        <f ca="1">OFFSET('VVP2'!J382,0,Last_forecast_year - 3-InputY!$G$3)</f>
        <v>117.73308146752153</v>
      </c>
      <c r="H276" s="25">
        <v>-9999</v>
      </c>
      <c r="I276" s="25">
        <v>-9999</v>
      </c>
      <c r="J276" s="25">
        <v>-9999</v>
      </c>
      <c r="K276" s="25">
        <v>-9999</v>
      </c>
      <c r="L276" s="25">
        <v>-9999</v>
      </c>
      <c r="M276" s="25">
        <v>-9999</v>
      </c>
      <c r="N276" s="25">
        <v>-9999</v>
      </c>
      <c r="O276" s="25">
        <v>-9999</v>
      </c>
      <c r="P276" s="26"/>
      <c r="Q276"/>
      <c r="AA276" s="22">
        <v>176</v>
      </c>
      <c r="AB276" s="1040" t="str">
        <f t="shared" si="31"/>
        <v>HICP Y INDEX SERVICES</v>
      </c>
      <c r="AC276" s="1040">
        <f>CHOOSE(Tables!$U$2,Transfer!CA276,Transfer!CN276,Transfer!DA276,Transfer!DN276,Transfer!EA276)</f>
        <v>132.47583770751953</v>
      </c>
      <c r="AD276" s="1040">
        <f>CHOOSE(Tables!$U$2,Transfer!CB276,Transfer!CO276,Transfer!DB276,Transfer!DO276,Transfer!EB276)</f>
        <v>136.30583190917969</v>
      </c>
      <c r="AE276" s="1040">
        <f>CHOOSE(Tables!$U$2,Transfer!CC276,Transfer!CP276,Transfer!DC276,Transfer!DP276,Transfer!EC276)</f>
        <v>139.70339155965186</v>
      </c>
      <c r="AF276" s="1040">
        <f>CHOOSE(Tables!$U$2,Transfer!CD276,Transfer!CQ276,Transfer!DD276,Transfer!DQ276,Transfer!ED276)</f>
        <v>144.1101923469829</v>
      </c>
      <c r="AG276" s="1040">
        <f>CHOOSE(Tables!$U$2,Transfer!CE276,Transfer!CR276,Transfer!DE276,Transfer!DR276,Transfer!EE276)</f>
        <v>150.25317315042909</v>
      </c>
      <c r="AH276" s="1040">
        <f>CHOOSE(Tables!$U$2,Transfer!CF276,Transfer!CS276,Transfer!DF276,Transfer!DS276,Transfer!EF276)</f>
        <v>-9999</v>
      </c>
      <c r="AI276" s="1040">
        <f>CHOOSE(Tables!$U$2,Transfer!CG276,Transfer!CT276,Transfer!DG276,Transfer!DT276,Transfer!EG276)</f>
        <v>-9999</v>
      </c>
      <c r="AJ276" s="1040">
        <f>CHOOSE(Tables!$U$2,Transfer!CH276,Transfer!CU276,Transfer!DH276,Transfer!DU276,Transfer!EH276)</f>
        <v>-9999</v>
      </c>
      <c r="AK276" s="1040">
        <f>CHOOSE(Tables!$U$2,Transfer!CI276,Transfer!CV276,Transfer!DI276,Transfer!DV276,Transfer!EI276)</f>
        <v>-9999</v>
      </c>
      <c r="AL276" s="1040">
        <f>CHOOSE(Tables!$U$2,Transfer!CJ276,Transfer!CW276,Transfer!DJ276,Transfer!DW276,Transfer!EJ276)</f>
        <v>-9999</v>
      </c>
      <c r="AM276" s="1040">
        <f>CHOOSE(Tables!$U$2,Transfer!CK276,Transfer!CX276,Transfer!DK276,Transfer!DX276,Transfer!EK276)</f>
        <v>-9999</v>
      </c>
      <c r="AN276" s="1040">
        <f>CHOOSE(Tables!$U$2,Transfer!CL276,Transfer!CY276,Transfer!DL276,Transfer!DY276,Transfer!EL276)</f>
        <v>-9999</v>
      </c>
      <c r="AO276" s="1040">
        <f>CHOOSE(Tables!$U$2,Transfer!CM276,Transfer!CZ276,Transfer!DM276,Transfer!DZ276,Transfer!EM276)</f>
        <v>-9999</v>
      </c>
      <c r="AR276" s="22">
        <v>176</v>
      </c>
      <c r="AS276" s="30" t="s">
        <v>1705</v>
      </c>
      <c r="AT276" s="25">
        <f t="shared" ca="1" si="43"/>
        <v>-32.47417104085288</v>
      </c>
      <c r="AU276" s="25">
        <f t="shared" ca="1" si="43"/>
        <v>-33.150831909179686</v>
      </c>
      <c r="AV276" s="25">
        <f t="shared" ca="1" si="43"/>
        <v>-31.350891559651856</v>
      </c>
      <c r="AW276" s="25">
        <f t="shared" ca="1" si="42"/>
        <v>-31.312521283292</v>
      </c>
      <c r="AX276" s="25">
        <f t="shared" ca="1" si="42"/>
        <v>-32.520091682907562</v>
      </c>
      <c r="AY276" s="25">
        <f t="shared" si="42"/>
        <v>0</v>
      </c>
      <c r="AZ276" s="25">
        <f t="shared" si="42"/>
        <v>0</v>
      </c>
      <c r="BA276" s="25">
        <f t="shared" si="42"/>
        <v>0</v>
      </c>
      <c r="BB276" s="25">
        <f t="shared" si="42"/>
        <v>0</v>
      </c>
      <c r="BC276" s="25">
        <f t="shared" si="42"/>
        <v>0</v>
      </c>
      <c r="BD276" s="25">
        <f t="shared" si="42"/>
        <v>0</v>
      </c>
      <c r="BE276" s="25">
        <f t="shared" si="42"/>
        <v>0</v>
      </c>
      <c r="BF276" s="25">
        <f t="shared" si="42"/>
        <v>0</v>
      </c>
      <c r="CA276" s="16">
        <v>138.82666666666668</v>
      </c>
      <c r="CB276" s="16">
        <v>141.05250000000001</v>
      </c>
      <c r="CC276" s="16">
        <v>146.00435108333335</v>
      </c>
      <c r="CD276" s="16">
        <v>152.11960808770834</v>
      </c>
      <c r="CE276" s="16">
        <v>158.54497199784788</v>
      </c>
      <c r="CF276" s="16">
        <v>-9999</v>
      </c>
      <c r="CG276" s="16">
        <v>-9999</v>
      </c>
      <c r="CH276" s="16">
        <v>-9999</v>
      </c>
      <c r="CI276" s="16">
        <v>-9999</v>
      </c>
      <c r="CJ276" s="16">
        <v>-9999</v>
      </c>
      <c r="CK276" s="16">
        <v>-9999</v>
      </c>
      <c r="CL276" s="16">
        <v>-9999</v>
      </c>
      <c r="CM276" s="16">
        <v>-9999</v>
      </c>
      <c r="CN276" s="16">
        <v>136.30583333333334</v>
      </c>
      <c r="CO276" s="16">
        <v>138.82666666666668</v>
      </c>
      <c r="CP276" s="16">
        <v>141.05250000000001</v>
      </c>
      <c r="CQ276" s="16">
        <v>146.14324064107635</v>
      </c>
      <c r="CR276" s="16">
        <v>151.4977808547076</v>
      </c>
      <c r="CS276" s="16">
        <v>-9999</v>
      </c>
      <c r="CT276" s="16">
        <v>-9999</v>
      </c>
      <c r="CU276" s="16">
        <v>-9999</v>
      </c>
      <c r="CV276" s="16">
        <v>-9999</v>
      </c>
      <c r="CW276" s="16">
        <v>-9999</v>
      </c>
      <c r="CX276" s="16">
        <v>-9999</v>
      </c>
      <c r="CY276" s="16">
        <v>-9999</v>
      </c>
      <c r="CZ276" s="16">
        <v>-9999</v>
      </c>
      <c r="DA276" s="16">
        <v>138.82666666666668</v>
      </c>
      <c r="DB276" s="16">
        <v>141.05250000000001</v>
      </c>
      <c r="DC276" s="16">
        <v>145.30834753527796</v>
      </c>
      <c r="DD276" s="16">
        <v>149.90964961482058</v>
      </c>
      <c r="DE276" s="16">
        <v>155.01659594329061</v>
      </c>
      <c r="DF276" s="16">
        <v>-9999</v>
      </c>
      <c r="DG276" s="16">
        <v>-9999</v>
      </c>
      <c r="DH276" s="16">
        <v>-9999</v>
      </c>
      <c r="DI276" s="16">
        <v>-9999</v>
      </c>
      <c r="DJ276" s="16">
        <v>-9999</v>
      </c>
      <c r="DK276" s="16">
        <v>-9999</v>
      </c>
      <c r="DL276" s="16">
        <v>-9999</v>
      </c>
      <c r="DM276" s="16">
        <v>-9999</v>
      </c>
      <c r="DN276" s="16">
        <v>136.30583333333334</v>
      </c>
      <c r="DO276" s="16">
        <v>138.82666666666668</v>
      </c>
      <c r="DP276" s="16">
        <v>141.05250000000001</v>
      </c>
      <c r="DQ276" s="16">
        <v>145.82688936449617</v>
      </c>
      <c r="DR276" s="16">
        <v>150.42817407990984</v>
      </c>
      <c r="DS276" s="16">
        <v>-9999</v>
      </c>
      <c r="DT276" s="16">
        <v>-9999</v>
      </c>
      <c r="DU276" s="16">
        <v>-9999</v>
      </c>
      <c r="DV276" s="16">
        <v>-9999</v>
      </c>
      <c r="DW276" s="16">
        <v>-9999</v>
      </c>
      <c r="DX276" s="16">
        <v>-9999</v>
      </c>
      <c r="DY276" s="16">
        <v>-9999</v>
      </c>
      <c r="DZ276" s="16">
        <v>-9999</v>
      </c>
      <c r="EA276" s="2197">
        <v>132.47583770751953</v>
      </c>
      <c r="EB276" s="2197">
        <v>136.30583190917969</v>
      </c>
      <c r="EC276" s="2197">
        <v>139.70339155965186</v>
      </c>
      <c r="ED276" s="2197">
        <v>144.1101923469829</v>
      </c>
      <c r="EE276" s="2197">
        <v>150.25317315042909</v>
      </c>
      <c r="EF276" s="2197">
        <v>-9999</v>
      </c>
      <c r="EG276" s="2197">
        <v>-9999</v>
      </c>
      <c r="EH276" s="2197">
        <v>-9999</v>
      </c>
      <c r="EI276" s="2197">
        <v>-9999</v>
      </c>
      <c r="EJ276" s="2197">
        <v>-9999</v>
      </c>
      <c r="EK276" s="2197">
        <v>-9999</v>
      </c>
      <c r="EL276" s="2197">
        <v>-9999</v>
      </c>
      <c r="EM276" s="2197">
        <v>-9999</v>
      </c>
    </row>
    <row r="277" spans="1:144">
      <c r="A277" s="22">
        <v>177</v>
      </c>
      <c r="B277" s="33" t="s">
        <v>813</v>
      </c>
      <c r="C277" s="24">
        <f ca="1">OFFSET('VVP2'!F384,0,Last_forecast_year - 3-InputY!$G$3)</f>
        <v>100.01690956701754</v>
      </c>
      <c r="D277" s="24">
        <f ca="1">OFFSET('VVP2'!G384,0,Last_forecast_year - 3-InputY!$G$3)</f>
        <v>101.87689292992803</v>
      </c>
      <c r="E277" s="24">
        <f ca="1">OFFSET('VVP2'!H384,0,Last_forecast_year - 3-InputY!$G$3)</f>
        <v>105.78290553732657</v>
      </c>
      <c r="F277" s="24">
        <f ca="1">OFFSET('VVP2'!I384,0,Last_forecast_year - 3-InputY!$G$3)</f>
        <v>108.56307228509658</v>
      </c>
      <c r="G277" s="24">
        <f ca="1">OFFSET('VVP2'!J384,0,Last_forecast_year - 3-InputY!$G$3)</f>
        <v>111.45986830707687</v>
      </c>
      <c r="H277" s="25">
        <v>-9999</v>
      </c>
      <c r="I277" s="25">
        <v>-9999</v>
      </c>
      <c r="J277" s="25">
        <v>-9999</v>
      </c>
      <c r="K277" s="25">
        <v>-9999</v>
      </c>
      <c r="L277" s="25">
        <v>-9999</v>
      </c>
      <c r="M277" s="25">
        <v>-9999</v>
      </c>
      <c r="N277" s="25">
        <v>-9999</v>
      </c>
      <c r="O277" s="25">
        <v>-9999</v>
      </c>
      <c r="P277" s="26"/>
      <c r="Q277"/>
      <c r="AA277" s="22">
        <v>177</v>
      </c>
      <c r="AB277" s="1040" t="str">
        <f t="shared" si="31"/>
        <v>HICP Y INDEX EXCL. ENERGY AND UNPROCESSED FOOD</v>
      </c>
      <c r="AC277" s="1040">
        <f>CHOOSE(Tables!$U$2,Transfer!CA277,Transfer!CN277,Transfer!DA277,Transfer!DN277,Transfer!EA277)</f>
        <v>124.89373823938112</v>
      </c>
      <c r="AD277" s="1040">
        <f>CHOOSE(Tables!$U$2,Transfer!CB277,Transfer!CO277,Transfer!DB277,Transfer!DO277,Transfer!EB277)</f>
        <v>127.8796032198677</v>
      </c>
      <c r="AE277" s="1040">
        <f>CHOOSE(Tables!$U$2,Transfer!CC277,Transfer!CP277,Transfer!DC277,Transfer!DP277,Transfer!EC277)</f>
        <v>130.03050969763473</v>
      </c>
      <c r="AF277" s="1040">
        <f>CHOOSE(Tables!$U$2,Transfer!CD277,Transfer!CQ277,Transfer!DD277,Transfer!DQ277,Transfer!ED277)</f>
        <v>133.00227072781078</v>
      </c>
      <c r="AG277" s="1040">
        <f>CHOOSE(Tables!$U$2,Transfer!CE277,Transfer!CR277,Transfer!DE277,Transfer!DR277,Transfer!EE277)</f>
        <v>136.09427969328706</v>
      </c>
      <c r="AH277" s="1040">
        <f>CHOOSE(Tables!$U$2,Transfer!CF277,Transfer!CS277,Transfer!DF277,Transfer!DS277,Transfer!EF277)</f>
        <v>-9999</v>
      </c>
      <c r="AI277" s="1040">
        <f>CHOOSE(Tables!$U$2,Transfer!CG277,Transfer!CT277,Transfer!DG277,Transfer!DT277,Transfer!EG277)</f>
        <v>-9999</v>
      </c>
      <c r="AJ277" s="1040">
        <f>CHOOSE(Tables!$U$2,Transfer!CH277,Transfer!CU277,Transfer!DH277,Transfer!DU277,Transfer!EH277)</f>
        <v>-9999</v>
      </c>
      <c r="AK277" s="1040">
        <f>CHOOSE(Tables!$U$2,Transfer!CI277,Transfer!CV277,Transfer!DI277,Transfer!DV277,Transfer!EI277)</f>
        <v>-9999</v>
      </c>
      <c r="AL277" s="1040">
        <f>CHOOSE(Tables!$U$2,Transfer!CJ277,Transfer!CW277,Transfer!DJ277,Transfer!DW277,Transfer!EJ277)</f>
        <v>-9999</v>
      </c>
      <c r="AM277" s="1040">
        <f>CHOOSE(Tables!$U$2,Transfer!CK277,Transfer!CX277,Transfer!DK277,Transfer!DX277,Transfer!EK277)</f>
        <v>-9999</v>
      </c>
      <c r="AN277" s="1040">
        <f>CHOOSE(Tables!$U$2,Transfer!CL277,Transfer!CY277,Transfer!DL277,Transfer!DY277,Transfer!EL277)</f>
        <v>-9999</v>
      </c>
      <c r="AO277" s="1040">
        <f>CHOOSE(Tables!$U$2,Transfer!CM277,Transfer!CZ277,Transfer!DM277,Transfer!DZ277,Transfer!EM277)</f>
        <v>-9999</v>
      </c>
      <c r="AR277" s="22">
        <v>177</v>
      </c>
      <c r="AS277" s="30" t="s">
        <v>1705</v>
      </c>
      <c r="AT277" s="25">
        <f t="shared" ca="1" si="43"/>
        <v>-24.876828672363587</v>
      </c>
      <c r="AU277" s="25">
        <f t="shared" ca="1" si="43"/>
        <v>-26.002710289939671</v>
      </c>
      <c r="AV277" s="25">
        <f t="shared" ca="1" si="43"/>
        <v>-24.247604160308157</v>
      </c>
      <c r="AW277" s="25">
        <f t="shared" ca="1" si="42"/>
        <v>-24.439198442714201</v>
      </c>
      <c r="AX277" s="25">
        <f t="shared" ca="1" si="42"/>
        <v>-24.634411386210189</v>
      </c>
      <c r="AY277" s="25">
        <f t="shared" si="42"/>
        <v>0</v>
      </c>
      <c r="AZ277" s="25">
        <f t="shared" si="42"/>
        <v>0</v>
      </c>
      <c r="BA277" s="25">
        <f t="shared" si="42"/>
        <v>0</v>
      </c>
      <c r="BB277" s="25">
        <f t="shared" si="42"/>
        <v>0</v>
      </c>
      <c r="BC277" s="25">
        <f t="shared" si="42"/>
        <v>0</v>
      </c>
      <c r="BD277" s="25">
        <f t="shared" si="42"/>
        <v>0</v>
      </c>
      <c r="BE277" s="25">
        <f t="shared" si="42"/>
        <v>0</v>
      </c>
      <c r="BF277" s="25">
        <f t="shared" si="42"/>
        <v>0</v>
      </c>
      <c r="CA277" s="16">
        <v>129.67685676610421</v>
      </c>
      <c r="CB277" s="16">
        <v>131.1112240244295</v>
      </c>
      <c r="CC277" s="16">
        <v>132.46163914741186</v>
      </c>
      <c r="CD277" s="16">
        <v>134.54693585547386</v>
      </c>
      <c r="CE277" s="16">
        <v>136.69095035125571</v>
      </c>
      <c r="CF277" s="16">
        <v>-9999</v>
      </c>
      <c r="CG277" s="16">
        <v>-9999</v>
      </c>
      <c r="CH277" s="16">
        <v>-9999</v>
      </c>
      <c r="CI277" s="16">
        <v>-9999</v>
      </c>
      <c r="CJ277" s="16">
        <v>-9999</v>
      </c>
      <c r="CK277" s="16">
        <v>-9999</v>
      </c>
      <c r="CL277" s="16">
        <v>-9999</v>
      </c>
      <c r="CM277" s="16">
        <v>-9999</v>
      </c>
      <c r="CN277" s="16">
        <v>127.87960195353463</v>
      </c>
      <c r="CO277" s="16">
        <v>129.67685676610421</v>
      </c>
      <c r="CP277" s="16">
        <v>131.1112240244295</v>
      </c>
      <c r="CQ277" s="16">
        <v>133.35777717474434</v>
      </c>
      <c r="CR277" s="16">
        <v>135.78491582504188</v>
      </c>
      <c r="CS277" s="16">
        <v>-9999</v>
      </c>
      <c r="CT277" s="16">
        <v>-9999</v>
      </c>
      <c r="CU277" s="16">
        <v>-9999</v>
      </c>
      <c r="CV277" s="16">
        <v>-9999</v>
      </c>
      <c r="CW277" s="16">
        <v>-9999</v>
      </c>
      <c r="CX277" s="16">
        <v>-9999</v>
      </c>
      <c r="CY277" s="16">
        <v>-9999</v>
      </c>
      <c r="CZ277" s="16">
        <v>-9999</v>
      </c>
      <c r="DA277" s="16">
        <v>129.67685676610421</v>
      </c>
      <c r="DB277" s="16">
        <v>131.1112240244295</v>
      </c>
      <c r="DC277" s="16">
        <v>133.01097910408498</v>
      </c>
      <c r="DD277" s="16">
        <v>135.40865840992927</v>
      </c>
      <c r="DE277" s="16">
        <v>138.335517498397</v>
      </c>
      <c r="DF277" s="16">
        <v>-9999</v>
      </c>
      <c r="DG277" s="16">
        <v>-9999</v>
      </c>
      <c r="DH277" s="16">
        <v>-9999</v>
      </c>
      <c r="DI277" s="16">
        <v>-9999</v>
      </c>
      <c r="DJ277" s="16">
        <v>-9999</v>
      </c>
      <c r="DK277" s="16">
        <v>-9999</v>
      </c>
      <c r="DL277" s="16">
        <v>-9999</v>
      </c>
      <c r="DM277" s="16">
        <v>-9999</v>
      </c>
      <c r="DN277" s="16">
        <v>127.87960195353463</v>
      </c>
      <c r="DO277" s="16">
        <v>129.67685676610421</v>
      </c>
      <c r="DP277" s="16">
        <v>131.1112240244295</v>
      </c>
      <c r="DQ277" s="16">
        <v>133.19224600865513</v>
      </c>
      <c r="DR277" s="16">
        <v>135.62350635133413</v>
      </c>
      <c r="DS277" s="16">
        <v>-9999</v>
      </c>
      <c r="DT277" s="16">
        <v>-9999</v>
      </c>
      <c r="DU277" s="16">
        <v>-9999</v>
      </c>
      <c r="DV277" s="16">
        <v>-9999</v>
      </c>
      <c r="DW277" s="16">
        <v>-9999</v>
      </c>
      <c r="DX277" s="16">
        <v>-9999</v>
      </c>
      <c r="DY277" s="16">
        <v>-9999</v>
      </c>
      <c r="DZ277" s="16">
        <v>-9999</v>
      </c>
      <c r="EA277" s="2197">
        <v>124.89373823938112</v>
      </c>
      <c r="EB277" s="2197">
        <v>127.8796032198677</v>
      </c>
      <c r="EC277" s="2197">
        <v>130.03050969763473</v>
      </c>
      <c r="ED277" s="2197">
        <v>133.00227072781078</v>
      </c>
      <c r="EE277" s="2197">
        <v>136.09427969328706</v>
      </c>
      <c r="EF277" s="2197">
        <v>-9999</v>
      </c>
      <c r="EG277" s="2197">
        <v>-9999</v>
      </c>
      <c r="EH277" s="2197">
        <v>-9999</v>
      </c>
      <c r="EI277" s="2197">
        <v>-9999</v>
      </c>
      <c r="EJ277" s="2197">
        <v>-9999</v>
      </c>
      <c r="EK277" s="2197">
        <v>-9999</v>
      </c>
      <c r="EL277" s="2197">
        <v>-9999</v>
      </c>
      <c r="EM277" s="2197">
        <v>-9999</v>
      </c>
    </row>
    <row r="278" spans="1:144">
      <c r="A278" s="22">
        <v>178</v>
      </c>
      <c r="B278" s="30" t="s">
        <v>1705</v>
      </c>
      <c r="C278" s="25">
        <v>-9999</v>
      </c>
      <c r="D278" s="25">
        <v>-9999</v>
      </c>
      <c r="E278" s="25">
        <v>-9999</v>
      </c>
      <c r="F278" s="25">
        <v>-9999</v>
      </c>
      <c r="G278" s="25">
        <v>-9999</v>
      </c>
      <c r="H278" s="25">
        <v>-9999</v>
      </c>
      <c r="I278" s="25">
        <v>-9999</v>
      </c>
      <c r="J278" s="25">
        <v>-9999</v>
      </c>
      <c r="K278" s="25">
        <v>-9999</v>
      </c>
      <c r="L278" s="25">
        <v>-9999</v>
      </c>
      <c r="M278" s="25">
        <v>-9999</v>
      </c>
      <c r="N278" s="25">
        <v>-9999</v>
      </c>
      <c r="O278" s="25">
        <v>-9999</v>
      </c>
      <c r="P278" s="26"/>
      <c r="Q278"/>
      <c r="AA278" s="22">
        <v>178</v>
      </c>
      <c r="AB278" s="1040" t="str">
        <f t="shared" si="31"/>
        <v>FOR FUTURE USE</v>
      </c>
      <c r="AC278" s="1040">
        <f>CHOOSE(Tables!$U$2,Transfer!CA278,Transfer!CN278,Transfer!DA278,Transfer!DN278,Transfer!EA278)</f>
        <v>-9999</v>
      </c>
      <c r="AD278" s="1040">
        <f>CHOOSE(Tables!$U$2,Transfer!CB278,Transfer!CO278,Transfer!DB278,Transfer!DO278,Transfer!EB278)</f>
        <v>-9999</v>
      </c>
      <c r="AE278" s="1040">
        <f>CHOOSE(Tables!$U$2,Transfer!CC278,Transfer!CP278,Transfer!DC278,Transfer!DP278,Transfer!EC278)</f>
        <v>-9999</v>
      </c>
      <c r="AF278" s="1040">
        <f>CHOOSE(Tables!$U$2,Transfer!CD278,Transfer!CQ278,Transfer!DD278,Transfer!DQ278,Transfer!ED278)</f>
        <v>-9999</v>
      </c>
      <c r="AG278" s="1040">
        <f>CHOOSE(Tables!$U$2,Transfer!CE278,Transfer!CR278,Transfer!DE278,Transfer!DR278,Transfer!EE278)</f>
        <v>-9999</v>
      </c>
      <c r="AH278" s="1040">
        <f>CHOOSE(Tables!$U$2,Transfer!CF278,Transfer!CS278,Transfer!DF278,Transfer!DS278,Transfer!EF278)</f>
        <v>-9999</v>
      </c>
      <c r="AI278" s="1040">
        <f>CHOOSE(Tables!$U$2,Transfer!CG278,Transfer!CT278,Transfer!DG278,Transfer!DT278,Transfer!EG278)</f>
        <v>-9999</v>
      </c>
      <c r="AJ278" s="1040">
        <f>CHOOSE(Tables!$U$2,Transfer!CH278,Transfer!CU278,Transfer!DH278,Transfer!DU278,Transfer!EH278)</f>
        <v>-9999</v>
      </c>
      <c r="AK278" s="1040">
        <f>CHOOSE(Tables!$U$2,Transfer!CI278,Transfer!CV278,Transfer!DI278,Transfer!DV278,Transfer!EI278)</f>
        <v>-9999</v>
      </c>
      <c r="AL278" s="1040">
        <f>CHOOSE(Tables!$U$2,Transfer!CJ278,Transfer!CW278,Transfer!DJ278,Transfer!DW278,Transfer!EJ278)</f>
        <v>-9999</v>
      </c>
      <c r="AM278" s="1040">
        <f>CHOOSE(Tables!$U$2,Transfer!CK278,Transfer!CX278,Transfer!DK278,Transfer!DX278,Transfer!EK278)</f>
        <v>-9999</v>
      </c>
      <c r="AN278" s="1040">
        <f>CHOOSE(Tables!$U$2,Transfer!CL278,Transfer!CY278,Transfer!DL278,Transfer!DY278,Transfer!EL278)</f>
        <v>-9999</v>
      </c>
      <c r="AO278" s="1040">
        <f>CHOOSE(Tables!$U$2,Transfer!CM278,Transfer!CZ278,Transfer!DM278,Transfer!DZ278,Transfer!EM278)</f>
        <v>-9999</v>
      </c>
      <c r="AR278" s="22">
        <v>178</v>
      </c>
      <c r="AS278" s="30" t="s">
        <v>1705</v>
      </c>
      <c r="AT278" s="25">
        <f t="shared" si="43"/>
        <v>0</v>
      </c>
      <c r="AU278" s="25">
        <f t="shared" si="43"/>
        <v>0</v>
      </c>
      <c r="AV278" s="25">
        <f t="shared" si="43"/>
        <v>0</v>
      </c>
      <c r="AW278" s="25">
        <f t="shared" si="42"/>
        <v>0</v>
      </c>
      <c r="AX278" s="25">
        <f t="shared" si="42"/>
        <v>0</v>
      </c>
      <c r="AY278" s="25">
        <f t="shared" si="42"/>
        <v>0</v>
      </c>
      <c r="AZ278" s="25">
        <f t="shared" si="42"/>
        <v>0</v>
      </c>
      <c r="BA278" s="25">
        <f t="shared" si="42"/>
        <v>0</v>
      </c>
      <c r="BB278" s="25">
        <f t="shared" si="42"/>
        <v>0</v>
      </c>
      <c r="BC278" s="25">
        <f t="shared" si="42"/>
        <v>0</v>
      </c>
      <c r="BD278" s="25">
        <f t="shared" si="42"/>
        <v>0</v>
      </c>
      <c r="BE278" s="25">
        <f t="shared" si="42"/>
        <v>0</v>
      </c>
      <c r="BF278" s="25">
        <f t="shared" si="42"/>
        <v>0</v>
      </c>
      <c r="CA278" s="16">
        <v>-9999</v>
      </c>
      <c r="CB278" s="16">
        <v>-9999</v>
      </c>
      <c r="CC278" s="16">
        <v>-9999</v>
      </c>
      <c r="CD278" s="16">
        <v>-9999</v>
      </c>
      <c r="CE278" s="16">
        <v>-9999</v>
      </c>
      <c r="CF278" s="16">
        <v>-9999</v>
      </c>
      <c r="CG278" s="16">
        <v>-9999</v>
      </c>
      <c r="CH278" s="16">
        <v>-9999</v>
      </c>
      <c r="CI278" s="16">
        <v>-9999</v>
      </c>
      <c r="CJ278" s="16">
        <v>-9999</v>
      </c>
      <c r="CK278" s="16">
        <v>-9999</v>
      </c>
      <c r="CL278" s="16">
        <v>-9999</v>
      </c>
      <c r="CM278" s="16">
        <v>-9999</v>
      </c>
      <c r="CN278" s="16">
        <v>-9999</v>
      </c>
      <c r="CO278" s="16">
        <v>-9999</v>
      </c>
      <c r="CP278" s="16">
        <v>-9999</v>
      </c>
      <c r="CQ278" s="16">
        <v>-9999</v>
      </c>
      <c r="CR278" s="16">
        <v>-9999</v>
      </c>
      <c r="CS278" s="16">
        <v>-9999</v>
      </c>
      <c r="CT278" s="16">
        <v>-9999</v>
      </c>
      <c r="CU278" s="16">
        <v>-9999</v>
      </c>
      <c r="CV278" s="16">
        <v>-9999</v>
      </c>
      <c r="CW278" s="16">
        <v>-9999</v>
      </c>
      <c r="CX278" s="16">
        <v>-9999</v>
      </c>
      <c r="CY278" s="16">
        <v>-9999</v>
      </c>
      <c r="CZ278" s="16">
        <v>-9999</v>
      </c>
      <c r="DA278" s="16">
        <v>-9999</v>
      </c>
      <c r="DB278" s="16">
        <v>-9999</v>
      </c>
      <c r="DC278" s="16">
        <v>-9999</v>
      </c>
      <c r="DD278" s="16">
        <v>-9999</v>
      </c>
      <c r="DE278" s="16">
        <v>-9999</v>
      </c>
      <c r="DF278" s="16">
        <v>-9999</v>
      </c>
      <c r="DG278" s="16">
        <v>-9999</v>
      </c>
      <c r="DH278" s="16">
        <v>-9999</v>
      </c>
      <c r="DI278" s="16">
        <v>-9999</v>
      </c>
      <c r="DJ278" s="16">
        <v>-9999</v>
      </c>
      <c r="DK278" s="16">
        <v>-9999</v>
      </c>
      <c r="DL278" s="16">
        <v>-9999</v>
      </c>
      <c r="DM278" s="16">
        <v>-9999</v>
      </c>
      <c r="DN278" s="16">
        <v>-9999</v>
      </c>
      <c r="DO278" s="16">
        <v>-9999</v>
      </c>
      <c r="DP278" s="16">
        <v>-9999</v>
      </c>
      <c r="DQ278" s="16">
        <v>-9999</v>
      </c>
      <c r="DR278" s="16">
        <v>-9999</v>
      </c>
      <c r="DS278" s="16">
        <v>-9999</v>
      </c>
      <c r="DT278" s="16">
        <v>-9999</v>
      </c>
      <c r="DU278" s="16">
        <v>-9999</v>
      </c>
      <c r="DV278" s="16">
        <v>-9999</v>
      </c>
      <c r="DW278" s="16">
        <v>-9999</v>
      </c>
      <c r="DX278" s="16">
        <v>-9999</v>
      </c>
      <c r="DY278" s="16">
        <v>-9999</v>
      </c>
      <c r="DZ278" s="16">
        <v>-9999</v>
      </c>
      <c r="EA278" s="2197">
        <v>-9999</v>
      </c>
      <c r="EB278" s="2197">
        <v>-9999</v>
      </c>
      <c r="EC278" s="2197">
        <v>-9999</v>
      </c>
      <c r="ED278" s="2197">
        <v>-9999</v>
      </c>
      <c r="EE278" s="2197">
        <v>-9999</v>
      </c>
      <c r="EF278" s="2197">
        <v>-9999</v>
      </c>
      <c r="EG278" s="2197">
        <v>-9999</v>
      </c>
      <c r="EH278" s="2197">
        <v>-9999</v>
      </c>
      <c r="EI278" s="2197">
        <v>-9999</v>
      </c>
      <c r="EJ278" s="2197">
        <v>-9999</v>
      </c>
      <c r="EK278" s="2197">
        <v>-9999</v>
      </c>
      <c r="EL278" s="2197">
        <v>-9999</v>
      </c>
      <c r="EM278" s="2197">
        <v>-9999</v>
      </c>
    </row>
    <row r="279" spans="1:144">
      <c r="A279" s="22">
        <v>179</v>
      </c>
      <c r="B279" s="30" t="s">
        <v>1705</v>
      </c>
      <c r="C279" s="25">
        <v>-9999</v>
      </c>
      <c r="D279" s="25">
        <v>-9999</v>
      </c>
      <c r="E279" s="25">
        <v>-9999</v>
      </c>
      <c r="F279" s="25">
        <v>-9999</v>
      </c>
      <c r="G279" s="25">
        <v>-9999</v>
      </c>
      <c r="H279" s="25">
        <v>-9999</v>
      </c>
      <c r="I279" s="25">
        <v>-9999</v>
      </c>
      <c r="J279" s="25">
        <v>-9999</v>
      </c>
      <c r="K279" s="25">
        <v>-9999</v>
      </c>
      <c r="L279" s="25">
        <v>-9999</v>
      </c>
      <c r="M279" s="25">
        <v>-9999</v>
      </c>
      <c r="N279" s="25">
        <v>-9999</v>
      </c>
      <c r="O279" s="25">
        <v>-9999</v>
      </c>
      <c r="P279" s="26"/>
      <c r="Q279"/>
      <c r="AA279" s="22">
        <v>179</v>
      </c>
      <c r="AB279" s="1040" t="str">
        <f t="shared" si="31"/>
        <v>FOR FUTURE USE</v>
      </c>
      <c r="AC279" s="1040">
        <f>CHOOSE(Tables!$U$2,Transfer!CA279,Transfer!CN279,Transfer!DA279,Transfer!DN279,Transfer!EA279)</f>
        <v>-9999</v>
      </c>
      <c r="AD279" s="1040">
        <f>CHOOSE(Tables!$U$2,Transfer!CB279,Transfer!CO279,Transfer!DB279,Transfer!DO279,Transfer!EB279)</f>
        <v>-9999</v>
      </c>
      <c r="AE279" s="1040">
        <f>CHOOSE(Tables!$U$2,Transfer!CC279,Transfer!CP279,Transfer!DC279,Transfer!DP279,Transfer!EC279)</f>
        <v>-9999</v>
      </c>
      <c r="AF279" s="1040">
        <f>CHOOSE(Tables!$U$2,Transfer!CD279,Transfer!CQ279,Transfer!DD279,Transfer!DQ279,Transfer!ED279)</f>
        <v>-9999</v>
      </c>
      <c r="AG279" s="1040">
        <f>CHOOSE(Tables!$U$2,Transfer!CE279,Transfer!CR279,Transfer!DE279,Transfer!DR279,Transfer!EE279)</f>
        <v>-9999</v>
      </c>
      <c r="AH279" s="1040">
        <f>CHOOSE(Tables!$U$2,Transfer!CF279,Transfer!CS279,Transfer!DF279,Transfer!DS279,Transfer!EF279)</f>
        <v>-9999</v>
      </c>
      <c r="AI279" s="1040">
        <f>CHOOSE(Tables!$U$2,Transfer!CG279,Transfer!CT279,Transfer!DG279,Transfer!DT279,Transfer!EG279)</f>
        <v>-9999</v>
      </c>
      <c r="AJ279" s="1040">
        <f>CHOOSE(Tables!$U$2,Transfer!CH279,Transfer!CU279,Transfer!DH279,Transfer!DU279,Transfer!EH279)</f>
        <v>-9999</v>
      </c>
      <c r="AK279" s="1040">
        <f>CHOOSE(Tables!$U$2,Transfer!CI279,Transfer!CV279,Transfer!DI279,Transfer!DV279,Transfer!EI279)</f>
        <v>-9999</v>
      </c>
      <c r="AL279" s="1040">
        <f>CHOOSE(Tables!$U$2,Transfer!CJ279,Transfer!CW279,Transfer!DJ279,Transfer!DW279,Transfer!EJ279)</f>
        <v>-9999</v>
      </c>
      <c r="AM279" s="1040">
        <f>CHOOSE(Tables!$U$2,Transfer!CK279,Transfer!CX279,Transfer!DK279,Transfer!DX279,Transfer!EK279)</f>
        <v>-9999</v>
      </c>
      <c r="AN279" s="1040">
        <f>CHOOSE(Tables!$U$2,Transfer!CL279,Transfer!CY279,Transfer!DL279,Transfer!DY279,Transfer!EL279)</f>
        <v>-9999</v>
      </c>
      <c r="AO279" s="1040">
        <f>CHOOSE(Tables!$U$2,Transfer!CM279,Transfer!CZ279,Transfer!DM279,Transfer!DZ279,Transfer!EM279)</f>
        <v>-9999</v>
      </c>
      <c r="AR279" s="22">
        <v>179</v>
      </c>
      <c r="AS279" s="30" t="s">
        <v>1705</v>
      </c>
      <c r="AT279" s="25">
        <f t="shared" si="43"/>
        <v>0</v>
      </c>
      <c r="AU279" s="25">
        <f t="shared" si="43"/>
        <v>0</v>
      </c>
      <c r="AV279" s="25">
        <f t="shared" si="43"/>
        <v>0</v>
      </c>
      <c r="AW279" s="25">
        <f t="shared" si="42"/>
        <v>0</v>
      </c>
      <c r="AX279" s="25">
        <f t="shared" si="42"/>
        <v>0</v>
      </c>
      <c r="AY279" s="25">
        <f t="shared" si="42"/>
        <v>0</v>
      </c>
      <c r="AZ279" s="25">
        <f t="shared" si="42"/>
        <v>0</v>
      </c>
      <c r="BA279" s="25">
        <f t="shared" si="42"/>
        <v>0</v>
      </c>
      <c r="BB279" s="25">
        <f t="shared" si="42"/>
        <v>0</v>
      </c>
      <c r="BC279" s="25">
        <f t="shared" si="42"/>
        <v>0</v>
      </c>
      <c r="BD279" s="25">
        <f t="shared" si="42"/>
        <v>0</v>
      </c>
      <c r="BE279" s="25">
        <f t="shared" si="42"/>
        <v>0</v>
      </c>
      <c r="BF279" s="25">
        <f t="shared" si="42"/>
        <v>0</v>
      </c>
      <c r="CA279" s="16">
        <v>-9999</v>
      </c>
      <c r="CB279" s="16">
        <v>-9999</v>
      </c>
      <c r="CC279" s="16">
        <v>-9999</v>
      </c>
      <c r="CD279" s="16">
        <v>-9999</v>
      </c>
      <c r="CE279" s="16">
        <v>-9999</v>
      </c>
      <c r="CF279" s="16">
        <v>-9999</v>
      </c>
      <c r="CG279" s="16">
        <v>-9999</v>
      </c>
      <c r="CH279" s="16">
        <v>-9999</v>
      </c>
      <c r="CI279" s="16">
        <v>-9999</v>
      </c>
      <c r="CJ279" s="16">
        <v>-9999</v>
      </c>
      <c r="CK279" s="16">
        <v>-9999</v>
      </c>
      <c r="CL279" s="16">
        <v>-9999</v>
      </c>
      <c r="CM279" s="16">
        <v>-9999</v>
      </c>
      <c r="CN279" s="16">
        <v>-9999</v>
      </c>
      <c r="CO279" s="16">
        <v>-9999</v>
      </c>
      <c r="CP279" s="16">
        <v>-9999</v>
      </c>
      <c r="CQ279" s="16">
        <v>-9999</v>
      </c>
      <c r="CR279" s="16">
        <v>-9999</v>
      </c>
      <c r="CS279" s="16">
        <v>-9999</v>
      </c>
      <c r="CT279" s="16">
        <v>-9999</v>
      </c>
      <c r="CU279" s="16">
        <v>-9999</v>
      </c>
      <c r="CV279" s="16">
        <v>-9999</v>
      </c>
      <c r="CW279" s="16">
        <v>-9999</v>
      </c>
      <c r="CX279" s="16">
        <v>-9999</v>
      </c>
      <c r="CY279" s="16">
        <v>-9999</v>
      </c>
      <c r="CZ279" s="16">
        <v>-9999</v>
      </c>
      <c r="DA279" s="16">
        <v>-9999</v>
      </c>
      <c r="DB279" s="16">
        <v>-9999</v>
      </c>
      <c r="DC279" s="16">
        <v>-9999</v>
      </c>
      <c r="DD279" s="16">
        <v>-9999</v>
      </c>
      <c r="DE279" s="16">
        <v>-9999</v>
      </c>
      <c r="DF279" s="16">
        <v>-9999</v>
      </c>
      <c r="DG279" s="16">
        <v>-9999</v>
      </c>
      <c r="DH279" s="16">
        <v>-9999</v>
      </c>
      <c r="DI279" s="16">
        <v>-9999</v>
      </c>
      <c r="DJ279" s="16">
        <v>-9999</v>
      </c>
      <c r="DK279" s="16">
        <v>-9999</v>
      </c>
      <c r="DL279" s="16">
        <v>-9999</v>
      </c>
      <c r="DM279" s="16">
        <v>-9999</v>
      </c>
      <c r="DN279" s="16">
        <v>-9999</v>
      </c>
      <c r="DO279" s="16">
        <v>-9999</v>
      </c>
      <c r="DP279" s="16">
        <v>-9999</v>
      </c>
      <c r="DQ279" s="16">
        <v>-9999</v>
      </c>
      <c r="DR279" s="16">
        <v>-9999</v>
      </c>
      <c r="DS279" s="16">
        <v>-9999</v>
      </c>
      <c r="DT279" s="16">
        <v>-9999</v>
      </c>
      <c r="DU279" s="16">
        <v>-9999</v>
      </c>
      <c r="DV279" s="16">
        <v>-9999</v>
      </c>
      <c r="DW279" s="16">
        <v>-9999</v>
      </c>
      <c r="DX279" s="16">
        <v>-9999</v>
      </c>
      <c r="DY279" s="16">
        <v>-9999</v>
      </c>
      <c r="DZ279" s="16">
        <v>-9999</v>
      </c>
      <c r="EA279" s="2197">
        <v>-9999</v>
      </c>
      <c r="EB279" s="2197">
        <v>-9999</v>
      </c>
      <c r="EC279" s="2197">
        <v>-9999</v>
      </c>
      <c r="ED279" s="2197">
        <v>-9999</v>
      </c>
      <c r="EE279" s="2197">
        <v>-9999</v>
      </c>
      <c r="EF279" s="2197">
        <v>-9999</v>
      </c>
      <c r="EG279" s="2197">
        <v>-9999</v>
      </c>
      <c r="EH279" s="2197">
        <v>-9999</v>
      </c>
      <c r="EI279" s="2197">
        <v>-9999</v>
      </c>
      <c r="EJ279" s="2197">
        <v>-9999</v>
      </c>
      <c r="EK279" s="2197">
        <v>-9999</v>
      </c>
      <c r="EL279" s="2197">
        <v>-9999</v>
      </c>
      <c r="EM279" s="2197">
        <v>-9999</v>
      </c>
    </row>
    <row r="280" spans="1:144">
      <c r="A280" s="22">
        <v>180</v>
      </c>
      <c r="B280" s="33" t="s">
        <v>466</v>
      </c>
      <c r="C280" s="35">
        <f>IF('VVP1'!F3="N",0,1)</f>
        <v>1</v>
      </c>
      <c r="D280" s="25">
        <v>-9999</v>
      </c>
      <c r="E280" s="25">
        <v>-9999</v>
      </c>
      <c r="F280" s="25">
        <v>-9999</v>
      </c>
      <c r="G280" s="25">
        <v>-9999</v>
      </c>
      <c r="H280" s="25">
        <v>-9999</v>
      </c>
      <c r="I280" s="25">
        <v>-9999</v>
      </c>
      <c r="J280" s="25">
        <v>-9999</v>
      </c>
      <c r="K280" s="25">
        <v>-9999</v>
      </c>
      <c r="L280" s="25">
        <v>-9999</v>
      </c>
      <c r="M280" s="25">
        <v>-9999</v>
      </c>
      <c r="N280" s="25">
        <v>-9999</v>
      </c>
      <c r="O280" s="25">
        <v>-9999</v>
      </c>
      <c r="P280" s="26"/>
      <c r="Q280"/>
      <c r="AA280" s="22">
        <v>180</v>
      </c>
      <c r="AB280" s="1040" t="str">
        <f t="shared" si="31"/>
        <v>INDICATOR CHAINED INDEX (col 1)</v>
      </c>
      <c r="AC280" s="1040">
        <f>CHOOSE(Tables!$U$2,Transfer!CA280,Transfer!CN280,Transfer!DA280,Transfer!DN280,Transfer!EA280)</f>
        <v>1</v>
      </c>
      <c r="AD280" s="1040">
        <f>CHOOSE(Tables!$U$2,Transfer!CB280,Transfer!CO280,Transfer!DB280,Transfer!DO280,Transfer!EB280)</f>
        <v>-9999</v>
      </c>
      <c r="AE280" s="1040">
        <f>CHOOSE(Tables!$U$2,Transfer!CC280,Transfer!CP280,Transfer!DC280,Transfer!DP280,Transfer!EC280)</f>
        <v>-9999</v>
      </c>
      <c r="AF280" s="1040">
        <f>CHOOSE(Tables!$U$2,Transfer!CD280,Transfer!CQ280,Transfer!DD280,Transfer!DQ280,Transfer!ED280)</f>
        <v>-9999</v>
      </c>
      <c r="AG280" s="1040">
        <f>CHOOSE(Tables!$U$2,Transfer!CE280,Transfer!CR280,Transfer!DE280,Transfer!DR280,Transfer!EE280)</f>
        <v>-9999</v>
      </c>
      <c r="AH280" s="1040">
        <f>CHOOSE(Tables!$U$2,Transfer!CF280,Transfer!CS280,Transfer!DF280,Transfer!DS280,Transfer!EF280)</f>
        <v>-9999</v>
      </c>
      <c r="AI280" s="1040">
        <f>CHOOSE(Tables!$U$2,Transfer!CG280,Transfer!CT280,Transfer!DG280,Transfer!DT280,Transfer!EG280)</f>
        <v>-9999</v>
      </c>
      <c r="AJ280" s="1040">
        <f>CHOOSE(Tables!$U$2,Transfer!CH280,Transfer!CU280,Transfer!DH280,Transfer!DU280,Transfer!EH280)</f>
        <v>-9999</v>
      </c>
      <c r="AK280" s="1040">
        <f>CHOOSE(Tables!$U$2,Transfer!CI280,Transfer!CV280,Transfer!DI280,Transfer!DV280,Transfer!EI280)</f>
        <v>-9999</v>
      </c>
      <c r="AL280" s="1040">
        <f>CHOOSE(Tables!$U$2,Transfer!CJ280,Transfer!CW280,Transfer!DJ280,Transfer!DW280,Transfer!EJ280)</f>
        <v>-9999</v>
      </c>
      <c r="AM280" s="1040">
        <f>CHOOSE(Tables!$U$2,Transfer!CK280,Transfer!CX280,Transfer!DK280,Transfer!DX280,Transfer!EK280)</f>
        <v>-9999</v>
      </c>
      <c r="AN280" s="1040">
        <f>CHOOSE(Tables!$U$2,Transfer!CL280,Transfer!CY280,Transfer!DL280,Transfer!DY280,Transfer!EL280)</f>
        <v>-9999</v>
      </c>
      <c r="AO280" s="1040">
        <f>CHOOSE(Tables!$U$2,Transfer!CM280,Transfer!CZ280,Transfer!DM280,Transfer!DZ280,Transfer!EM280)</f>
        <v>-9999</v>
      </c>
      <c r="AR280" s="22">
        <v>180</v>
      </c>
      <c r="AS280" s="33" t="s">
        <v>466</v>
      </c>
      <c r="AT280" s="34">
        <f t="shared" si="43"/>
        <v>0</v>
      </c>
      <c r="AU280" s="25">
        <f t="shared" si="43"/>
        <v>0</v>
      </c>
      <c r="AV280" s="25">
        <f t="shared" si="43"/>
        <v>0</v>
      </c>
      <c r="AW280" s="25">
        <f t="shared" si="42"/>
        <v>0</v>
      </c>
      <c r="AX280" s="25">
        <f t="shared" si="42"/>
        <v>0</v>
      </c>
      <c r="AY280" s="25">
        <f t="shared" si="42"/>
        <v>0</v>
      </c>
      <c r="AZ280" s="25">
        <f t="shared" si="42"/>
        <v>0</v>
      </c>
      <c r="BA280" s="25">
        <f t="shared" si="42"/>
        <v>0</v>
      </c>
      <c r="BB280" s="25">
        <f t="shared" si="42"/>
        <v>0</v>
      </c>
      <c r="BC280" s="25">
        <f t="shared" si="42"/>
        <v>0</v>
      </c>
      <c r="BD280" s="25">
        <f t="shared" si="42"/>
        <v>0</v>
      </c>
      <c r="BE280" s="25">
        <f t="shared" si="42"/>
        <v>0</v>
      </c>
      <c r="BF280" s="25">
        <f t="shared" si="42"/>
        <v>0</v>
      </c>
      <c r="CA280" s="16">
        <v>1</v>
      </c>
      <c r="CB280" s="16">
        <v>-9999</v>
      </c>
      <c r="CC280" s="16">
        <v>-9999</v>
      </c>
      <c r="CD280" s="16">
        <v>-9999</v>
      </c>
      <c r="CE280" s="16">
        <v>-9999</v>
      </c>
      <c r="CF280" s="16">
        <v>-9999</v>
      </c>
      <c r="CG280" s="16">
        <v>-9999</v>
      </c>
      <c r="CH280" s="16">
        <v>-9999</v>
      </c>
      <c r="CI280" s="16">
        <v>-9999</v>
      </c>
      <c r="CJ280" s="16">
        <v>-9999</v>
      </c>
      <c r="CK280" s="16">
        <v>-9999</v>
      </c>
      <c r="CL280" s="16">
        <v>-9999</v>
      </c>
      <c r="CM280" s="16">
        <v>-9999</v>
      </c>
      <c r="CN280" s="16">
        <v>1</v>
      </c>
      <c r="CO280" s="16">
        <v>-9999</v>
      </c>
      <c r="CP280" s="16">
        <v>-9999</v>
      </c>
      <c r="CQ280" s="16">
        <v>-9999</v>
      </c>
      <c r="CR280" s="16">
        <v>-9999</v>
      </c>
      <c r="CS280" s="16">
        <v>-9999</v>
      </c>
      <c r="CT280" s="16">
        <v>-9999</v>
      </c>
      <c r="CU280" s="16">
        <v>-9999</v>
      </c>
      <c r="CV280" s="16">
        <v>-9999</v>
      </c>
      <c r="CW280" s="16">
        <v>-9999</v>
      </c>
      <c r="CX280" s="16">
        <v>-9999</v>
      </c>
      <c r="CY280" s="16">
        <v>-9999</v>
      </c>
      <c r="CZ280" s="16">
        <v>-9999</v>
      </c>
      <c r="DA280" s="16">
        <v>1</v>
      </c>
      <c r="DB280" s="16">
        <v>-9999</v>
      </c>
      <c r="DC280" s="16">
        <v>-9999</v>
      </c>
      <c r="DD280" s="16">
        <v>-9999</v>
      </c>
      <c r="DE280" s="16">
        <v>-9999</v>
      </c>
      <c r="DF280" s="16">
        <v>-9999</v>
      </c>
      <c r="DG280" s="16">
        <v>-9999</v>
      </c>
      <c r="DH280" s="16">
        <v>-9999</v>
      </c>
      <c r="DI280" s="16">
        <v>-9999</v>
      </c>
      <c r="DJ280" s="16">
        <v>-9999</v>
      </c>
      <c r="DK280" s="16">
        <v>-9999</v>
      </c>
      <c r="DL280" s="16">
        <v>-9999</v>
      </c>
      <c r="DM280" s="16">
        <v>-9999</v>
      </c>
      <c r="DN280" s="16">
        <v>1</v>
      </c>
      <c r="DO280" s="16">
        <v>-9999</v>
      </c>
      <c r="DP280" s="16">
        <v>-9999</v>
      </c>
      <c r="DQ280" s="16">
        <v>-9999</v>
      </c>
      <c r="DR280" s="16">
        <v>-9999</v>
      </c>
      <c r="DS280" s="16">
        <v>-9999</v>
      </c>
      <c r="DT280" s="16">
        <v>-9999</v>
      </c>
      <c r="DU280" s="16">
        <v>-9999</v>
      </c>
      <c r="DV280" s="16">
        <v>-9999</v>
      </c>
      <c r="DW280" s="16">
        <v>-9999</v>
      </c>
      <c r="DX280" s="16">
        <v>-9999</v>
      </c>
      <c r="DY280" s="16">
        <v>-9999</v>
      </c>
      <c r="DZ280" s="16">
        <v>-9999</v>
      </c>
      <c r="EA280" s="2196">
        <v>1</v>
      </c>
      <c r="EB280" s="2197">
        <v>-9999</v>
      </c>
      <c r="EC280" s="2197">
        <v>-9999</v>
      </c>
      <c r="ED280" s="2197">
        <v>-9999</v>
      </c>
      <c r="EE280" s="2197">
        <v>-9999</v>
      </c>
      <c r="EF280" s="2197">
        <v>-9999</v>
      </c>
      <c r="EG280" s="2197">
        <v>-9999</v>
      </c>
      <c r="EH280" s="2197">
        <v>-9999</v>
      </c>
      <c r="EI280" s="2197">
        <v>-9999</v>
      </c>
      <c r="EJ280" s="2197">
        <v>-9999</v>
      </c>
      <c r="EK280" s="2197">
        <v>-9999</v>
      </c>
      <c r="EL280" s="2197">
        <v>-9999</v>
      </c>
      <c r="EM280" s="2197">
        <v>-9999</v>
      </c>
    </row>
    <row r="281" spans="1:144" customFormat="1">
      <c r="A281" s="16"/>
      <c r="B281" s="21"/>
      <c r="C281" s="16"/>
      <c r="D281" s="16"/>
      <c r="E281" s="16"/>
      <c r="F281" s="16"/>
      <c r="G281" s="16"/>
      <c r="H281" s="38"/>
      <c r="I281" s="38"/>
      <c r="J281" s="38"/>
      <c r="K281" s="38"/>
      <c r="L281" s="38"/>
      <c r="M281" s="38"/>
      <c r="N281" s="38"/>
      <c r="O281" s="38"/>
      <c r="R281" s="16"/>
      <c r="S281" s="16"/>
      <c r="T281" s="16"/>
      <c r="U281" s="16"/>
      <c r="V281" s="16"/>
      <c r="W281" s="16"/>
      <c r="X281" s="16"/>
      <c r="Y281" s="16"/>
      <c r="Z281" s="16"/>
      <c r="AA281" s="16"/>
      <c r="AB281" s="16"/>
      <c r="AC281" s="16"/>
      <c r="AD281" s="16"/>
      <c r="AE281" s="16"/>
      <c r="AF281" s="16"/>
      <c r="AG281" s="16"/>
      <c r="AH281" s="16"/>
      <c r="AI281" s="16"/>
      <c r="AJ281" s="16"/>
      <c r="AK281" s="16"/>
      <c r="AL281" s="16"/>
      <c r="AM281" s="16"/>
      <c r="AN281" s="16"/>
      <c r="AO281" s="16"/>
      <c r="AP281" s="16"/>
      <c r="AQ281" s="16"/>
      <c r="AR281" s="16"/>
      <c r="AS281" s="16"/>
      <c r="AT281" s="16"/>
      <c r="AU281" s="16"/>
      <c r="AV281" s="16"/>
      <c r="AW281" s="16"/>
      <c r="AX281" s="16"/>
      <c r="AY281" s="16"/>
      <c r="AZ281" s="16"/>
    </row>
    <row r="282" spans="1:144" customFormat="1">
      <c r="A282" s="16"/>
      <c r="B282" s="2107" t="s">
        <v>1185</v>
      </c>
      <c r="C282" s="25"/>
      <c r="D282" s="25"/>
      <c r="E282" s="25"/>
      <c r="F282" s="25"/>
      <c r="G282" s="25"/>
      <c r="H282" s="38"/>
      <c r="I282" s="38"/>
      <c r="J282" s="38"/>
      <c r="K282" s="38"/>
      <c r="L282" s="38"/>
      <c r="M282" s="38"/>
      <c r="N282" s="38"/>
      <c r="O282" s="38"/>
      <c r="R282" s="16"/>
      <c r="S282" s="16"/>
      <c r="T282" s="16"/>
      <c r="U282" s="16"/>
      <c r="V282" s="16"/>
      <c r="W282" s="16"/>
      <c r="X282" s="16"/>
      <c r="Y282" s="16"/>
      <c r="Z282" s="16"/>
      <c r="AA282" s="16"/>
      <c r="AB282" s="2107" t="s">
        <v>1185</v>
      </c>
      <c r="AC282" s="25"/>
      <c r="AD282" s="25"/>
      <c r="AE282" s="25"/>
      <c r="AF282" s="25"/>
      <c r="AG282" s="25"/>
      <c r="AH282" s="16"/>
      <c r="AI282" s="16"/>
      <c r="AJ282" s="16"/>
      <c r="AK282" s="16"/>
      <c r="AL282" s="16"/>
      <c r="AM282" s="16"/>
      <c r="AN282" s="16"/>
      <c r="AO282" s="16"/>
      <c r="AP282" s="16"/>
      <c r="AQ282" s="16"/>
      <c r="AR282" s="16"/>
      <c r="AS282" s="16"/>
      <c r="AT282" s="16"/>
      <c r="AU282" s="16"/>
      <c r="AV282" s="16"/>
      <c r="AW282" s="16"/>
      <c r="AX282" s="16"/>
      <c r="AY282" s="16"/>
      <c r="AZ282" s="16"/>
      <c r="BA282" s="16"/>
      <c r="BB282" s="16"/>
      <c r="BC282" s="16"/>
      <c r="BD282" s="16"/>
      <c r="BE282" s="16"/>
      <c r="BF282" s="16"/>
      <c r="BG282" s="16"/>
      <c r="BH282" s="16"/>
      <c r="BI282" s="16"/>
      <c r="BJ282" s="16"/>
      <c r="BK282" s="16"/>
      <c r="BL282" s="16"/>
      <c r="BM282" s="16"/>
      <c r="BN282" s="16"/>
      <c r="BO282" s="16"/>
      <c r="BP282" s="16"/>
      <c r="BQ282" s="16"/>
      <c r="BR282" s="16"/>
      <c r="BS282" s="16"/>
      <c r="BT282" s="16"/>
      <c r="BU282" s="16"/>
      <c r="BV282" s="16"/>
      <c r="BW282" s="16"/>
      <c r="BX282" s="16"/>
      <c r="BY282" s="16"/>
      <c r="BZ282" s="16"/>
      <c r="CA282" s="16"/>
      <c r="CB282" s="16"/>
      <c r="CC282" s="16"/>
      <c r="CD282" s="16"/>
      <c r="CE282" s="16"/>
      <c r="CF282" s="16"/>
      <c r="CG282" s="16"/>
      <c r="CH282" s="16"/>
      <c r="CI282" s="16"/>
      <c r="CJ282" s="16"/>
      <c r="CK282" s="16"/>
      <c r="CL282" s="16"/>
      <c r="CM282" s="16"/>
      <c r="CN282" s="16"/>
      <c r="CO282" s="16"/>
      <c r="CP282" s="16"/>
      <c r="CQ282" s="16"/>
      <c r="CR282" s="16"/>
      <c r="CS282" s="16"/>
      <c r="CT282" s="16"/>
      <c r="CU282" s="16"/>
      <c r="CV282" s="16"/>
      <c r="CW282" s="16"/>
      <c r="CX282" s="16"/>
      <c r="CY282" s="16"/>
      <c r="CZ282" s="16"/>
      <c r="DA282" s="16"/>
      <c r="DB282" s="16"/>
      <c r="DC282" s="16"/>
      <c r="DD282" s="16"/>
      <c r="DE282" s="16"/>
      <c r="DF282" s="16"/>
      <c r="DG282" s="16"/>
      <c r="DH282" s="16"/>
      <c r="DI282" s="16"/>
      <c r="DJ282" s="16"/>
      <c r="DK282" s="16"/>
      <c r="DL282" s="16"/>
      <c r="DM282" s="16"/>
      <c r="DN282" s="16"/>
      <c r="DO282" s="16"/>
      <c r="DP282" s="16"/>
      <c r="DQ282" s="16"/>
      <c r="DR282" s="16"/>
      <c r="DS282" s="16"/>
      <c r="DT282" s="16"/>
      <c r="DU282" s="16"/>
      <c r="DV282" s="16"/>
      <c r="DW282" s="16"/>
      <c r="DX282" s="16"/>
      <c r="DY282" s="16"/>
      <c r="DZ282" s="16"/>
      <c r="EA282" s="16"/>
      <c r="EB282" s="16"/>
      <c r="EC282" s="16"/>
      <c r="ED282" s="16"/>
      <c r="EE282" s="16"/>
      <c r="EF282" s="16"/>
      <c r="EG282" s="16"/>
      <c r="EH282" s="16"/>
      <c r="EI282" s="16"/>
      <c r="EJ282" s="16"/>
      <c r="EK282" s="16"/>
      <c r="EL282" s="16"/>
      <c r="EM282" s="16"/>
      <c r="EN282" s="16"/>
    </row>
    <row r="283" spans="1:144">
      <c r="B283" s="2108" t="s">
        <v>66</v>
      </c>
      <c r="C283" s="2108"/>
      <c r="D283" s="2108"/>
      <c r="E283" s="2108"/>
      <c r="F283" s="2108"/>
      <c r="G283" s="2108"/>
      <c r="P283"/>
      <c r="Q283"/>
      <c r="AA283" s="15"/>
      <c r="AB283" s="2108" t="s">
        <v>66</v>
      </c>
      <c r="AC283" s="2108"/>
      <c r="AD283" s="2108"/>
      <c r="AE283" s="2108"/>
      <c r="AF283" s="2108"/>
      <c r="AG283" s="2108"/>
    </row>
    <row r="284" spans="1:144">
      <c r="A284" s="2106">
        <v>1</v>
      </c>
      <c r="B284" s="2109" t="str">
        <f t="shared" ref="B284:B295" si="44">+B101</f>
        <v>VOL. PRIVATE CONSUMPTION EXPEND.</v>
      </c>
      <c r="C284" s="2110">
        <f t="shared" ref="C284:C295" ca="1" si="45">IF($C$280=1,D284/(D101/C136),C101)</f>
        <v>23.47364</v>
      </c>
      <c r="D284" s="2110">
        <f t="shared" ref="D284:D295" ca="1" si="46">+D101</f>
        <v>24.632151881878773</v>
      </c>
      <c r="E284" s="2110">
        <f ca="1">IF($C$280=1,D284*E101/D136,E101)</f>
        <v>25.590582787296096</v>
      </c>
      <c r="F284" s="2110">
        <f t="shared" ref="E284:G295" ca="1" si="47">IF($C$280=1,E284*F101/E136,F101)</f>
        <v>26.486253184851453</v>
      </c>
      <c r="G284" s="2110">
        <f t="shared" ca="1" si="47"/>
        <v>27.360299539951548</v>
      </c>
      <c r="I284" s="16"/>
      <c r="P284"/>
      <c r="Q284"/>
      <c r="AA284" s="2106">
        <v>1</v>
      </c>
      <c r="AB284" s="2109" t="str">
        <f t="shared" ref="AB284:AB295" si="48">+AB101</f>
        <v>VOL. PRIVATE CONSUMPTION EXPEND.</v>
      </c>
      <c r="AC284" s="2110">
        <f t="shared" ref="AC284:AC295" si="49">IF($C$280=1,AD284/(AD101/AC136),AC101)</f>
        <v>67.143799999999999</v>
      </c>
      <c r="AD284" s="2110">
        <f t="shared" ref="AD284:AD295" si="50">+AD101</f>
        <v>69.787772268699513</v>
      </c>
      <c r="AE284" s="2110">
        <f t="shared" ref="AE284:AG295" si="51">IF($C$280=1,AD284*AE101/AD136,AE101)</f>
        <v>72.718858703984893</v>
      </c>
      <c r="AF284" s="2110">
        <f t="shared" si="51"/>
        <v>75.554894193440305</v>
      </c>
      <c r="AG284" s="2110">
        <f t="shared" si="51"/>
        <v>78.917086985048385</v>
      </c>
    </row>
    <row r="285" spans="1:144">
      <c r="A285" s="2106">
        <v>2</v>
      </c>
      <c r="B285" s="2109" t="str">
        <f t="shared" si="44"/>
        <v xml:space="preserve">VOL. GOVERNMENT CONSUMPTION EXPEND. </v>
      </c>
      <c r="C285" s="2110">
        <f t="shared" ca="1" si="45"/>
        <v>6.4287700000000001</v>
      </c>
      <c r="D285" s="2110">
        <f t="shared" ca="1" si="46"/>
        <v>6.5118543082355504</v>
      </c>
      <c r="E285" s="2110">
        <f t="shared" ca="1" si="47"/>
        <v>6.5873227434879196</v>
      </c>
      <c r="F285" s="2110">
        <f ca="1">IF($C$280=1,E285*F102/E137,F102)</f>
        <v>6.6953548364811217</v>
      </c>
      <c r="G285" s="2110">
        <f t="shared" ca="1" si="47"/>
        <v>6.7984633009629327</v>
      </c>
      <c r="I285" s="16"/>
      <c r="P285"/>
      <c r="Q285"/>
      <c r="AA285" s="2106">
        <v>2</v>
      </c>
      <c r="AB285" s="2109" t="str">
        <f t="shared" si="48"/>
        <v xml:space="preserve">VOL. GOVERNMENT CONSUMPTION EXPEND. </v>
      </c>
      <c r="AC285" s="2110">
        <f t="shared" si="49"/>
        <v>19.938669999999998</v>
      </c>
      <c r="AD285" s="2110">
        <f t="shared" si="50"/>
        <v>20.056978444279622</v>
      </c>
      <c r="AE285" s="2110">
        <f t="shared" si="51"/>
        <v>20.337776142499536</v>
      </c>
      <c r="AF285" s="2110">
        <f t="shared" si="51"/>
        <v>20.663180560779526</v>
      </c>
      <c r="AG285" s="2110">
        <f t="shared" si="51"/>
        <v>20.993791449751999</v>
      </c>
    </row>
    <row r="286" spans="1:144">
      <c r="A286" s="2106">
        <v>3</v>
      </c>
      <c r="B286" s="2109" t="str">
        <f t="shared" si="44"/>
        <v>VOL. G.F.C.F. TOTAL</v>
      </c>
      <c r="C286" s="2110">
        <f t="shared" ca="1" si="45"/>
        <v>7.3252199999999998</v>
      </c>
      <c r="D286" s="2110">
        <f t="shared" ca="1" si="46"/>
        <v>7.2907280162839356</v>
      </c>
      <c r="E286" s="2110">
        <f t="shared" ca="1" si="47"/>
        <v>7.8232260471583004</v>
      </c>
      <c r="F286" s="2110">
        <f t="shared" ca="1" si="47"/>
        <v>8.3454858146705462</v>
      </c>
      <c r="G286" s="2110">
        <f t="shared" ca="1" si="47"/>
        <v>8.6860247980761365</v>
      </c>
      <c r="I286" s="16"/>
      <c r="P286"/>
      <c r="Q286"/>
      <c r="AA286" s="2106">
        <v>3</v>
      </c>
      <c r="AB286" s="2109" t="str">
        <f t="shared" si="48"/>
        <v>VOL. G.F.C.F. TOTAL</v>
      </c>
      <c r="AC286" s="2110">
        <f t="shared" si="49"/>
        <v>19.270209999999999</v>
      </c>
      <c r="AD286" s="2110">
        <f t="shared" si="50"/>
        <v>18.575091931641602</v>
      </c>
      <c r="AE286" s="2110">
        <f t="shared" si="51"/>
        <v>19.480418081053791</v>
      </c>
      <c r="AF286" s="2110">
        <f t="shared" si="51"/>
        <v>20.799665524217922</v>
      </c>
      <c r="AG286" s="2110">
        <f t="shared" si="51"/>
        <v>22.220234672545931</v>
      </c>
    </row>
    <row r="287" spans="1:144">
      <c r="A287" s="2106">
        <v>4</v>
      </c>
      <c r="B287" s="2109" t="str">
        <f t="shared" si="44"/>
        <v>VOL. G.F.C.F. CONSTRUCTION</v>
      </c>
      <c r="C287" s="2110">
        <f t="shared" ca="1" si="45"/>
        <v>4.0977600000000001</v>
      </c>
      <c r="D287" s="2110">
        <f t="shared" ca="1" si="46"/>
        <v>3.8266968006577176</v>
      </c>
      <c r="E287" s="2110">
        <f t="shared" ca="1" si="47"/>
        <v>4.0002893179813528</v>
      </c>
      <c r="F287" s="2110">
        <f t="shared" ca="1" si="47"/>
        <v>4.2273337920621579</v>
      </c>
      <c r="G287" s="2110">
        <f t="shared" ca="1" si="47"/>
        <v>4.3992071002398561</v>
      </c>
      <c r="I287" s="16"/>
      <c r="P287"/>
      <c r="Q287"/>
      <c r="AA287" s="2106">
        <v>4</v>
      </c>
      <c r="AB287" s="2109" t="str">
        <f t="shared" si="48"/>
        <v>VOL. G.F.C.F. CONSTRUCTION</v>
      </c>
      <c r="AC287" s="2110">
        <f t="shared" si="49"/>
        <v>11.324629999999999</v>
      </c>
      <c r="AD287" s="2110">
        <f t="shared" si="50"/>
        <v>10.86541847090302</v>
      </c>
      <c r="AE287" s="2110">
        <f t="shared" si="51"/>
        <v>11.057315326715822</v>
      </c>
      <c r="AF287" s="2110">
        <f t="shared" si="51"/>
        <v>11.590332451661011</v>
      </c>
      <c r="AG287" s="2110">
        <f t="shared" si="51"/>
        <v>12.149288519641868</v>
      </c>
    </row>
    <row r="288" spans="1:144">
      <c r="A288" s="2106">
        <v>5</v>
      </c>
      <c r="B288" s="2109" t="str">
        <f t="shared" si="44"/>
        <v>VOL. G.F.C.F. EQUIPMENT</v>
      </c>
      <c r="C288" s="2110">
        <f t="shared" ca="1" si="45"/>
        <v>2.4741399999999998</v>
      </c>
      <c r="D288" s="2110">
        <f t="shared" ca="1" si="46"/>
        <v>2.696198733506189</v>
      </c>
      <c r="E288" s="2110">
        <f t="shared" ca="1" si="47"/>
        <v>2.935330278287323</v>
      </c>
      <c r="F288" s="2110">
        <f t="shared" ca="1" si="47"/>
        <v>3.1848333519417453</v>
      </c>
      <c r="G288" s="2110">
        <f t="shared" ca="1" si="47"/>
        <v>3.3185963527232989</v>
      </c>
      <c r="I288" s="16"/>
      <c r="P288"/>
      <c r="Q288"/>
      <c r="AA288" s="2106">
        <v>5</v>
      </c>
      <c r="AB288" s="2109" t="str">
        <f t="shared" si="48"/>
        <v>VOL. G.F.C.F. EQUIPMENT</v>
      </c>
      <c r="AC288" s="2110">
        <f t="shared" si="49"/>
        <v>6.3425500000000001</v>
      </c>
      <c r="AD288" s="2110">
        <f t="shared" si="50"/>
        <v>6.0409486759651987</v>
      </c>
      <c r="AE288" s="2110">
        <f t="shared" si="51"/>
        <v>6.6269206975338228</v>
      </c>
      <c r="AF288" s="2110">
        <f t="shared" si="51"/>
        <v>7.2763589258921382</v>
      </c>
      <c r="AG288" s="2110">
        <f t="shared" si="51"/>
        <v>7.9894421006295682</v>
      </c>
    </row>
    <row r="289" spans="1:33">
      <c r="A289" s="2106">
        <v>6</v>
      </c>
      <c r="B289" s="2109" t="str">
        <f t="shared" si="44"/>
        <v>VOL. G.F.C.F. OTHER</v>
      </c>
      <c r="C289" s="2110">
        <f t="shared" ca="1" si="45"/>
        <v>0.75331999999999999</v>
      </c>
      <c r="D289" s="2110">
        <f t="shared" ca="1" si="46"/>
        <v>0.76834599745659626</v>
      </c>
      <c r="E289" s="2110">
        <f t="shared" ca="1" si="47"/>
        <v>0.8872002836448083</v>
      </c>
      <c r="F289" s="2110">
        <f t="shared" ca="1" si="47"/>
        <v>0.94220670123078654</v>
      </c>
      <c r="G289" s="2110">
        <f t="shared" ca="1" si="47"/>
        <v>0.98460600278617183</v>
      </c>
      <c r="I289" s="16"/>
      <c r="P289"/>
      <c r="Q289"/>
      <c r="AA289" s="2106">
        <v>6</v>
      </c>
      <c r="AB289" s="2109" t="str">
        <f t="shared" si="48"/>
        <v>VOL. G.F.C.F. OTHER</v>
      </c>
      <c r="AC289" s="2110">
        <f t="shared" si="49"/>
        <v>1.60304</v>
      </c>
      <c r="AD289" s="2110">
        <f t="shared" si="50"/>
        <v>1.6592757072501798</v>
      </c>
      <c r="AE289" s="2110">
        <f t="shared" si="51"/>
        <v>1.7986548666591951</v>
      </c>
      <c r="AF289" s="2110">
        <f t="shared" si="51"/>
        <v>1.942547255991931</v>
      </c>
      <c r="AG289" s="2110">
        <f t="shared" si="51"/>
        <v>2.0979510364712857</v>
      </c>
    </row>
    <row r="290" spans="1:33">
      <c r="A290" s="2106">
        <v>7</v>
      </c>
      <c r="B290" s="2109" t="str">
        <f t="shared" si="44"/>
        <v>VOL. CHANGE IN INVENTORIES</v>
      </c>
      <c r="C290" s="2110">
        <f t="shared" ca="1" si="45"/>
        <v>0.37847000000000003</v>
      </c>
      <c r="D290" s="2110">
        <f t="shared" ca="1" si="46"/>
        <v>7.6073624423784736E-2</v>
      </c>
      <c r="E290" s="2110">
        <f t="shared" ca="1" si="47"/>
        <v>7.6073624423784736E-2</v>
      </c>
      <c r="F290" s="2110">
        <f t="shared" ca="1" si="47"/>
        <v>7.6073624423784736E-2</v>
      </c>
      <c r="G290" s="2110">
        <f t="shared" ca="1" si="47"/>
        <v>7.6073624423784736E-2</v>
      </c>
      <c r="I290" s="16"/>
      <c r="P290"/>
      <c r="Q290"/>
      <c r="AA290" s="2106">
        <v>7</v>
      </c>
      <c r="AB290" s="2109" t="str">
        <f t="shared" si="48"/>
        <v>VOL. CHANGE IN INVENTORIES</v>
      </c>
      <c r="AC290" s="2110">
        <f t="shared" si="49"/>
        <v>3.4495300000000002</v>
      </c>
      <c r="AD290" s="2110">
        <f t="shared" si="50"/>
        <v>0.81334558316311245</v>
      </c>
      <c r="AE290" s="2110">
        <f t="shared" si="51"/>
        <v>0.81334558316311245</v>
      </c>
      <c r="AF290" s="2110">
        <f t="shared" si="51"/>
        <v>0.81334558316311245</v>
      </c>
      <c r="AG290" s="2110">
        <f t="shared" si="51"/>
        <v>0.81334558316311245</v>
      </c>
    </row>
    <row r="291" spans="1:33">
      <c r="A291" s="2106">
        <v>8</v>
      </c>
      <c r="B291" s="2109" t="str">
        <f t="shared" si="44"/>
        <v>VOL. EXPORTS OF GOODS (FOB)</v>
      </c>
      <c r="C291" s="2110">
        <f t="shared" ca="1" si="45"/>
        <v>22.30939</v>
      </c>
      <c r="D291" s="2110">
        <f t="shared" ca="1" si="46"/>
        <v>22.614434177780485</v>
      </c>
      <c r="E291" s="2110">
        <f t="shared" ca="1" si="47"/>
        <v>25.375731662334346</v>
      </c>
      <c r="F291" s="2110">
        <f t="shared" ca="1" si="47"/>
        <v>26.695269708775733</v>
      </c>
      <c r="G291" s="2110">
        <f t="shared" ca="1" si="47"/>
        <v>27.86986157596187</v>
      </c>
      <c r="I291" s="16"/>
      <c r="P291"/>
      <c r="Q291"/>
      <c r="AA291" s="2106">
        <v>8</v>
      </c>
      <c r="AB291" s="2109" t="str">
        <f t="shared" si="48"/>
        <v>VOL. EXPORTS OF GOODS (FOB)</v>
      </c>
      <c r="AC291" s="2110">
        <f t="shared" si="49"/>
        <v>69.57683999999999</v>
      </c>
      <c r="AD291" s="2110">
        <f t="shared" si="50"/>
        <v>76.791236214334702</v>
      </c>
      <c r="AE291" s="2110">
        <f t="shared" si="51"/>
        <v>81.398710387194782</v>
      </c>
      <c r="AF291" s="2110">
        <f t="shared" si="51"/>
        <v>87.015221403911198</v>
      </c>
      <c r="AG291" s="2110">
        <f t="shared" si="51"/>
        <v>93.193302123588879</v>
      </c>
    </row>
    <row r="292" spans="1:33">
      <c r="A292" s="2106">
        <v>9</v>
      </c>
      <c r="B292" s="2109" t="str">
        <f t="shared" si="44"/>
        <v>VOL. EXPORTS OF SERVICES</v>
      </c>
      <c r="C292" s="2110">
        <f t="shared" ca="1" si="45"/>
        <v>6.0737700000000006</v>
      </c>
      <c r="D292" s="2110">
        <f t="shared" ca="1" si="46"/>
        <v>6.7492574056871453</v>
      </c>
      <c r="E292" s="2110">
        <f t="shared" ca="1" si="47"/>
        <v>7.8642796793362901</v>
      </c>
      <c r="F292" s="2110">
        <f t="shared" ca="1" si="47"/>
        <v>8.3754578584931494</v>
      </c>
      <c r="G292" s="2110">
        <f t="shared" ca="1" si="47"/>
        <v>8.75235346212534</v>
      </c>
      <c r="I292" s="16"/>
      <c r="P292"/>
      <c r="Q292"/>
      <c r="AA292" s="2106">
        <v>9</v>
      </c>
      <c r="AB292" s="2109" t="str">
        <f t="shared" si="48"/>
        <v>VOL. EXPORTS OF SERVICES</v>
      </c>
      <c r="AC292" s="2110">
        <f t="shared" si="49"/>
        <v>12.97217</v>
      </c>
      <c r="AD292" s="2110">
        <f t="shared" si="50"/>
        <v>15.480490707952432</v>
      </c>
      <c r="AE292" s="2110">
        <f t="shared" si="51"/>
        <v>16.347398187597769</v>
      </c>
      <c r="AF292" s="2110">
        <f t="shared" si="51"/>
        <v>17.295547282478442</v>
      </c>
      <c r="AG292" s="2110">
        <f t="shared" si="51"/>
        <v>18.315984572144671</v>
      </c>
    </row>
    <row r="293" spans="1:33">
      <c r="A293" s="2106">
        <v>10</v>
      </c>
      <c r="B293" s="2109" t="str">
        <f t="shared" si="44"/>
        <v>VOL. IMPORTS OF GOODS (FOB)</v>
      </c>
      <c r="C293" s="2110">
        <f t="shared" ca="1" si="45"/>
        <v>24.296279999999999</v>
      </c>
      <c r="D293" s="2110">
        <f t="shared" ca="1" si="46"/>
        <v>25.022739903926134</v>
      </c>
      <c r="E293" s="2110">
        <f t="shared" ca="1" si="47"/>
        <v>28.212662109084743</v>
      </c>
      <c r="F293" s="2110">
        <f t="shared" ca="1" si="47"/>
        <v>30.04648514617525</v>
      </c>
      <c r="G293" s="2110">
        <f t="shared" ca="1" si="47"/>
        <v>31.608902373776367</v>
      </c>
      <c r="I293" s="16"/>
      <c r="P293"/>
      <c r="Q293"/>
      <c r="AA293" s="2106">
        <v>10</v>
      </c>
      <c r="AB293" s="2109" t="str">
        <f t="shared" si="48"/>
        <v>VOL. IMPORTS OF GOODS (FOB)</v>
      </c>
      <c r="AC293" s="2110">
        <f t="shared" si="49"/>
        <v>75.818669999999997</v>
      </c>
      <c r="AD293" s="2110">
        <f t="shared" si="50"/>
        <v>79.068140453008553</v>
      </c>
      <c r="AE293" s="2110">
        <f t="shared" si="51"/>
        <v>83.970365161095089</v>
      </c>
      <c r="AF293" s="2110">
        <f t="shared" si="51"/>
        <v>90.100201817855023</v>
      </c>
      <c r="AG293" s="2110">
        <f t="shared" si="51"/>
        <v>96.947817156012007</v>
      </c>
    </row>
    <row r="294" spans="1:33">
      <c r="A294" s="2106">
        <v>11</v>
      </c>
      <c r="B294" s="2109" t="str">
        <f t="shared" si="44"/>
        <v>VOL. IMPORTS OF SERVICES</v>
      </c>
      <c r="C294" s="2110">
        <f t="shared" ca="1" si="45"/>
        <v>4.2663700000000002</v>
      </c>
      <c r="D294" s="2110">
        <f t="shared" ca="1" si="46"/>
        <v>4.5475389925779508</v>
      </c>
      <c r="E294" s="2110">
        <f t="shared" ca="1" si="47"/>
        <v>5.1452341857011845</v>
      </c>
      <c r="F294" s="2110">
        <f t="shared" ca="1" si="47"/>
        <v>5.4796744077717605</v>
      </c>
      <c r="G294" s="2110">
        <f t="shared" ca="1" si="47"/>
        <v>5.7481784537525762</v>
      </c>
      <c r="I294" s="16"/>
      <c r="P294"/>
      <c r="Q294"/>
      <c r="AA294" s="2106">
        <v>11</v>
      </c>
      <c r="AB294" s="2109" t="str">
        <f t="shared" si="48"/>
        <v>VOL. IMPORTS OF SERVICES</v>
      </c>
      <c r="AC294" s="2110">
        <f t="shared" si="49"/>
        <v>9.6391399999999994</v>
      </c>
      <c r="AD294" s="2110">
        <f t="shared" si="50"/>
        <v>11.631825466660667</v>
      </c>
      <c r="AE294" s="2110">
        <f t="shared" si="51"/>
        <v>12.306471343726987</v>
      </c>
      <c r="AF294" s="2110">
        <f t="shared" si="51"/>
        <v>13.032553153006878</v>
      </c>
      <c r="AG294" s="2110">
        <f t="shared" si="51"/>
        <v>13.814506342187292</v>
      </c>
    </row>
    <row r="295" spans="1:33">
      <c r="A295" s="2106">
        <v>12</v>
      </c>
      <c r="B295" s="2109" t="str">
        <f t="shared" si="44"/>
        <v>VOL. GROSS DOMESTIC PRODUCT</v>
      </c>
      <c r="C295" s="2110">
        <f t="shared" ca="1" si="45"/>
        <v>37.426610000000004</v>
      </c>
      <c r="D295" s="2110">
        <f t="shared" ca="1" si="46"/>
        <v>38.304220191653336</v>
      </c>
      <c r="E295" s="2110">
        <f ca="1">IF($C$280=1,D295*E112/D147,E112)</f>
        <v>40.052888678200766</v>
      </c>
      <c r="F295" s="2110">
        <f t="shared" ca="1" si="47"/>
        <v>41.302774052564843</v>
      </c>
      <c r="G295" s="2110">
        <f t="shared" ca="1" si="47"/>
        <v>42.3942674058056</v>
      </c>
      <c r="I295" s="16"/>
      <c r="P295"/>
      <c r="Q295"/>
      <c r="AA295" s="2106">
        <v>12</v>
      </c>
      <c r="AB295" s="2109" t="str">
        <f t="shared" si="48"/>
        <v>VOL. GROSS DOMESTIC PRODUCT</v>
      </c>
      <c r="AC295" s="2110">
        <f t="shared" si="49"/>
        <v>106.89341</v>
      </c>
      <c r="AD295" s="2110">
        <f t="shared" si="50"/>
        <v>110.8049598330383</v>
      </c>
      <c r="AE295" s="2110">
        <f t="shared" si="51"/>
        <v>114.7763174048652</v>
      </c>
      <c r="AF295" s="2110">
        <f t="shared" si="51"/>
        <v>118.92890783934111</v>
      </c>
      <c r="AG295" s="2110">
        <f t="shared" si="51"/>
        <v>123.59564819954124</v>
      </c>
    </row>
    <row r="296" spans="1:33">
      <c r="A296" s="2106">
        <v>28</v>
      </c>
      <c r="B296" s="2158" t="str">
        <f>+B128</f>
        <v xml:space="preserve">VOL. FIXED INVESTMENT GOVERNMENT  </v>
      </c>
      <c r="C296" s="2159">
        <f ca="1">IF($C$280=1,D296/(D128/C226),C128)</f>
        <v>1.3745099999999999</v>
      </c>
      <c r="D296" s="2159">
        <f ca="1">+D128</f>
        <v>1.1652424242424242</v>
      </c>
      <c r="E296" s="2159">
        <f ca="1">IF($C$280=1,D296*E128/D226,E128)</f>
        <v>1.2001996969696969</v>
      </c>
      <c r="F296" s="2159">
        <f ca="1">IF($C$280=1,E296*F128/E226,F128)</f>
        <v>1.2762923577575755</v>
      </c>
      <c r="G296" s="2159">
        <f ca="1">IF($C$280=1,F296*G128/F226,G128)</f>
        <v>1.3337255138566664</v>
      </c>
      <c r="I296" s="16"/>
      <c r="P296"/>
      <c r="Q296"/>
      <c r="AA296" s="2106">
        <v>28</v>
      </c>
      <c r="AB296" s="2158" t="str">
        <f>+AB128</f>
        <v xml:space="preserve">VOL. FIXED INVESTMENT GOVERNMENT  </v>
      </c>
      <c r="AC296" s="2159">
        <f>IF($C$280=1,AD296/(AD128/AC226),AC128)</f>
        <v>4.65747</v>
      </c>
      <c r="AD296" s="2159">
        <f>+AD128</f>
        <v>4.250299334701805</v>
      </c>
      <c r="AE296" s="2159">
        <f>IF($C$280=1,AD296*AE128/AD226,AE128)</f>
        <v>4.4264690280170234</v>
      </c>
      <c r="AF296" s="2159">
        <f>IF($C$280=1,AE296*AF128/AE226,AF128)</f>
        <v>4.6898848963785245</v>
      </c>
      <c r="AG296" s="2159">
        <f>IF($C$280=1,AF296*AG128/AF226,AG128)</f>
        <v>4.9689764464776491</v>
      </c>
    </row>
    <row r="297" spans="1:33">
      <c r="A297" s="2106">
        <v>29</v>
      </c>
      <c r="B297" s="2158" t="str">
        <f>+B129</f>
        <v>FOR FUTURE USE</v>
      </c>
      <c r="C297" s="2160">
        <f>IF(C129=-9999,-9999,IF($C$280=1,D297/(D129/C209),C129))</f>
        <v>-9999</v>
      </c>
      <c r="D297" s="2160">
        <f>+D129</f>
        <v>-9999</v>
      </c>
      <c r="E297" s="2160">
        <f>IF(E129=-9999,-9999,IF($C$280=1,D297*E129/D209,E129))</f>
        <v>-9999</v>
      </c>
      <c r="F297" s="2160">
        <f>IF(F129=-9999,-9999,IF($C$280=1,E297*F129/E209,F129))</f>
        <v>-9999</v>
      </c>
      <c r="G297" s="2160">
        <f>IF(G129=-9999,-9999,IF($C$280=1,F297*G129/F209,G129))</f>
        <v>-9999</v>
      </c>
      <c r="I297" s="16"/>
      <c r="P297"/>
      <c r="Q297"/>
      <c r="AA297" s="2106">
        <v>29</v>
      </c>
      <c r="AB297" s="2158" t="str">
        <f>+AB129</f>
        <v>FOR FUTURE USE</v>
      </c>
      <c r="AC297" s="2160">
        <f>IF(AC129=-9999,-9999,IF($C$280=1,AD297/(AD129/AC209),AC129))</f>
        <v>-9999</v>
      </c>
      <c r="AD297" s="2160">
        <f>+AD129</f>
        <v>-9999</v>
      </c>
      <c r="AE297" s="2160">
        <f>IF(AE129=-9999,-9999,IF($C$280=1,AD297*AE129/AD209,AE129))</f>
        <v>-9999</v>
      </c>
      <c r="AF297" s="2160">
        <f>IF(AF129=-9999,-9999,IF($C$280=1,AE297*AF129/AE209,AF129))</f>
        <v>-9999</v>
      </c>
      <c r="AG297" s="2160">
        <f>IF(AG129=-9999,-9999,IF($C$280=1,AF297*AG129/AF209,AG129))</f>
        <v>-9999</v>
      </c>
    </row>
    <row r="298" spans="1:33">
      <c r="A298" s="2106">
        <v>30</v>
      </c>
      <c r="B298" s="2158" t="str">
        <f>+B130</f>
        <v>FOR FUTURE USE</v>
      </c>
      <c r="C298" s="2160">
        <f>IF(C130=-9999,-9999,IF($C$280=1,D298/(D130/C196),C130))</f>
        <v>-9999</v>
      </c>
      <c r="D298" s="2160">
        <f>+D130</f>
        <v>-9999</v>
      </c>
      <c r="E298" s="2160">
        <f>IF(E130=-9999,-9999,IF($C$280=1,D298*E130/D196,E130))</f>
        <v>-9999</v>
      </c>
      <c r="F298" s="2160">
        <f>IF(F130=-9999,-9999,IF($C$280=1,E298*F130/E196,F130))</f>
        <v>-9999</v>
      </c>
      <c r="G298" s="2160">
        <f>IF(G130=-9999,-9999,IF($C$280=1,F298*G130/F196,G130))</f>
        <v>-9999</v>
      </c>
      <c r="I298" s="16"/>
      <c r="P298"/>
      <c r="Q298"/>
      <c r="AA298" s="2106">
        <v>30</v>
      </c>
      <c r="AB298" s="2158" t="str">
        <f>+AB130</f>
        <v>FOR FUTURE USE</v>
      </c>
      <c r="AC298" s="2160">
        <f>IF(AC130=-9999,-9999,IF($C$280=1,AD298/(AD130/AC196),AC130))</f>
        <v>-9999</v>
      </c>
      <c r="AD298" s="2160">
        <f>+AD130</f>
        <v>-9999</v>
      </c>
      <c r="AE298" s="2160">
        <f>IF(AE130=-9999,-9999,IF($C$280=1,AD298*AE130/AD196,AE130))</f>
        <v>-9999</v>
      </c>
      <c r="AF298" s="2160">
        <f>IF(AF130=-9999,-9999,IF($C$280=1,AE298*AF130/AE196,AF130))</f>
        <v>-9999</v>
      </c>
      <c r="AG298" s="2160">
        <f>IF(AG130=-9999,-9999,IF($C$280=1,AF298*AG130/AF196,AG130))</f>
        <v>-9999</v>
      </c>
    </row>
    <row r="299" spans="1:33">
      <c r="A299" s="2106">
        <v>31</v>
      </c>
      <c r="B299" s="2158" t="str">
        <f>+B131</f>
        <v>VOL. FIXED INVESTMENT HOUSING</v>
      </c>
      <c r="C299" s="2159">
        <f ca="1">IF($C$280=1,D299/(D131/C133),C131)</f>
        <v>1.05339</v>
      </c>
      <c r="D299" s="2159">
        <f ca="1">+D131</f>
        <v>1.1247678027438224</v>
      </c>
      <c r="E299" s="2159">
        <f t="shared" ref="E299:G300" ca="1" si="52">IF($C$280=1,D299*E131/D133,E131)</f>
        <v>1.0729250994855335</v>
      </c>
      <c r="F299" s="2159">
        <f t="shared" ca="1" si="52"/>
        <v>1.110477477967527</v>
      </c>
      <c r="G299" s="2159">
        <f t="shared" ca="1" si="52"/>
        <v>1.1304660725709426</v>
      </c>
      <c r="I299" s="16"/>
      <c r="P299"/>
      <c r="Q299"/>
      <c r="AA299" s="2106">
        <v>31</v>
      </c>
      <c r="AB299" s="2158" t="str">
        <f>+AB131</f>
        <v>VOL. FIXED INVESTMENT HOUSING</v>
      </c>
      <c r="AC299" s="2159">
        <f>IF($C$280=1,AD299/(AD131/AC133),AC131)</f>
        <v>1.8934800000000001</v>
      </c>
      <c r="AD299" s="2159">
        <f>+AD131</f>
        <v>1.9365422861736739</v>
      </c>
      <c r="AE299" s="2159">
        <f t="shared" ref="AE299:AG300" si="53">IF($C$280=1,AD299*AE131/AD133,AE131)</f>
        <v>1.9946385547588843</v>
      </c>
      <c r="AF299" s="2159">
        <f t="shared" si="53"/>
        <v>2.0744240969492398</v>
      </c>
      <c r="AG299" s="2159">
        <f t="shared" si="53"/>
        <v>2.1574010608272101</v>
      </c>
    </row>
    <row r="300" spans="1:33">
      <c r="A300" s="2106">
        <v>32</v>
      </c>
      <c r="B300" s="2158" t="str">
        <f>+B132</f>
        <v>FOR FUTURE USE</v>
      </c>
      <c r="C300" s="2159">
        <f>IF($C$280=1,D300/(D132/C134),C132)</f>
        <v>-9999</v>
      </c>
      <c r="D300" s="2159">
        <f>+D132</f>
        <v>-9999</v>
      </c>
      <c r="E300" s="2159">
        <f t="shared" si="52"/>
        <v>-9999</v>
      </c>
      <c r="F300" s="2159">
        <f t="shared" si="52"/>
        <v>-9999</v>
      </c>
      <c r="G300" s="2159">
        <f t="shared" si="52"/>
        <v>-9999</v>
      </c>
      <c r="I300" s="16"/>
      <c r="P300"/>
      <c r="Q300"/>
      <c r="AA300" s="2106">
        <v>32</v>
      </c>
      <c r="AB300" s="2158" t="str">
        <f>+AB132</f>
        <v>FOR FUTURE USE</v>
      </c>
      <c r="AC300" s="2159">
        <f>IF($C$280=1,AD300/(AD132/AC134),AC132)</f>
        <v>-9999</v>
      </c>
      <c r="AD300" s="2159">
        <f>+AD132</f>
        <v>-9999</v>
      </c>
      <c r="AE300" s="2159">
        <f t="shared" si="53"/>
        <v>-9999</v>
      </c>
      <c r="AF300" s="2159">
        <f t="shared" si="53"/>
        <v>-9999</v>
      </c>
      <c r="AG300" s="2159">
        <f t="shared" si="53"/>
        <v>-9999</v>
      </c>
    </row>
    <row r="301" spans="1:33">
      <c r="A301" s="2106">
        <v>58</v>
      </c>
      <c r="B301" s="2109" t="str">
        <f>+B158</f>
        <v>VOL GROSS VALUE ADDED</v>
      </c>
      <c r="C301" s="2110">
        <f ca="1">IF($C$280=1,D301/(D158/C157),C158)</f>
        <v>33.709150000000001</v>
      </c>
      <c r="D301" s="2110">
        <f ca="1">+D158</f>
        <v>34.499586109841616</v>
      </c>
      <c r="E301" s="2110">
        <f ca="1">IF($C$280=1,D301*E158/D157,E158)</f>
        <v>35.820548754876221</v>
      </c>
      <c r="F301" s="2110">
        <f ca="1">IF($C$280=1,E301*F158/E157,F158)</f>
        <v>36.822683040971974</v>
      </c>
      <c r="G301" s="2110">
        <f ca="1">IF($C$280=1,F301*G158/F157,G158)</f>
        <v>37.784530448310605</v>
      </c>
      <c r="I301" s="16"/>
      <c r="P301"/>
      <c r="Q301"/>
      <c r="AA301" s="2106">
        <v>58</v>
      </c>
      <c r="AB301" s="2109" t="str">
        <f>+AB158</f>
        <v>VOL GROSS VALUE ADDED</v>
      </c>
      <c r="AC301" s="2110">
        <f>IF($C$280=1,AD301/(AD158/AC157),AC158)</f>
        <v>96.066119999999998</v>
      </c>
      <c r="AD301" s="2110">
        <f>+AD158</f>
        <v>99.581462897096031</v>
      </c>
      <c r="AE301" s="2110">
        <f>IF($C$280=1,AD301*AE158/AD157,AE158)</f>
        <v>103.69162163026689</v>
      </c>
      <c r="AF301" s="2110">
        <f>IF($C$280=1,AE301*AF158/AE157,AF158)</f>
        <v>107.65018763873299</v>
      </c>
      <c r="AG301" s="2110">
        <f>IF($C$280=1,AF301*AG158/AF157,AG158)</f>
        <v>111.97160314616288</v>
      </c>
    </row>
    <row r="302" spans="1:33">
      <c r="A302" s="2106">
        <v>66</v>
      </c>
      <c r="B302" s="2109" t="str">
        <f>+B166</f>
        <v>FOR FUTURE USE</v>
      </c>
      <c r="C302" s="2110">
        <f>IF($C$280=1,D302/(D166/C165),C166)</f>
        <v>-9999</v>
      </c>
      <c r="D302" s="2110">
        <f>+D166</f>
        <v>-9999</v>
      </c>
      <c r="E302" s="2110">
        <f>IF($C$280=1,D302*E166/D165,E166)</f>
        <v>-9999</v>
      </c>
      <c r="F302" s="2110">
        <f>IF($C$280=1,E302*F166/E165,F166)</f>
        <v>-9999</v>
      </c>
      <c r="G302" s="2110">
        <f>IF($C$280=1,F302*G166/F165,G166)</f>
        <v>-9999</v>
      </c>
      <c r="I302" s="16"/>
      <c r="P302"/>
      <c r="Q302"/>
      <c r="AA302" s="2106">
        <v>66</v>
      </c>
      <c r="AB302" s="2109" t="str">
        <f>+AB166</f>
        <v>FOR FUTURE USE</v>
      </c>
      <c r="AC302" s="2110">
        <f>IF($C$280=1,AD302/(AD166/AC165),AC166)</f>
        <v>-9999</v>
      </c>
      <c r="AD302" s="2110">
        <f>+AD166</f>
        <v>-9999</v>
      </c>
      <c r="AE302" s="2110">
        <f>IF($C$280=1,AD302*AE166/AD165,AE166)</f>
        <v>-9999</v>
      </c>
      <c r="AF302" s="2110">
        <f>IF($C$280=1,AE302*AF166/AE165,AF166)</f>
        <v>-9999</v>
      </c>
      <c r="AG302" s="2110">
        <f>IF($C$280=1,AF302*AG166/AF165,AG166)</f>
        <v>-9999</v>
      </c>
    </row>
    <row r="303" spans="1:33">
      <c r="B303" s="2107" t="s">
        <v>2114</v>
      </c>
      <c r="C303" s="25"/>
      <c r="D303" s="25"/>
      <c r="E303" s="25"/>
      <c r="F303" s="25"/>
      <c r="G303" s="25"/>
      <c r="P303"/>
      <c r="Q303"/>
      <c r="AA303" s="15"/>
      <c r="AB303" s="2107" t="s">
        <v>2114</v>
      </c>
      <c r="AC303" s="25"/>
      <c r="AD303" s="25"/>
      <c r="AE303" s="25"/>
      <c r="AF303" s="25"/>
      <c r="AG303" s="25"/>
    </row>
    <row r="304" spans="1:33">
      <c r="B304" s="2108" t="s">
        <v>66</v>
      </c>
      <c r="C304" s="2108"/>
      <c r="D304" s="2108"/>
      <c r="E304" s="2108"/>
      <c r="F304" s="2108"/>
      <c r="G304" s="2108"/>
      <c r="P304"/>
      <c r="Q304"/>
      <c r="AA304" s="15"/>
      <c r="AB304" s="2108" t="s">
        <v>66</v>
      </c>
      <c r="AC304" s="2108"/>
      <c r="AD304" s="2108"/>
      <c r="AE304" s="2108"/>
      <c r="AF304" s="2108"/>
      <c r="AG304" s="2108"/>
    </row>
    <row r="305" spans="2:33">
      <c r="B305" s="2109" t="s">
        <v>1973</v>
      </c>
      <c r="C305" s="2110">
        <f ca="1">+C136+C137+C138</f>
        <v>37.227629999999998</v>
      </c>
      <c r="D305" s="2110">
        <f ca="1">+D136+D137+D138</f>
        <v>38.814410000000002</v>
      </c>
      <c r="E305" s="2110">
        <f ca="1">+E136+E137+E138</f>
        <v>41.588830000000002</v>
      </c>
      <c r="F305" s="2110">
        <f ca="1">+F136+F137+F138</f>
        <v>44.370103413437995</v>
      </c>
      <c r="G305" s="2110">
        <f ca="1">+G136+G137+G138</f>
        <v>46.902641803084137</v>
      </c>
      <c r="P305"/>
      <c r="Q305"/>
      <c r="AA305" s="15"/>
      <c r="AB305" s="2109" t="s">
        <v>1973</v>
      </c>
      <c r="AC305" s="2110">
        <f>+AC136+AC137+AC138</f>
        <v>106.35267999999999</v>
      </c>
      <c r="AD305" s="2110">
        <f>+AD136+AD137+AD138</f>
        <v>110.90951</v>
      </c>
      <c r="AE305" s="2110">
        <f>+AE136+AE137+AE138</f>
        <v>116.94397171598915</v>
      </c>
      <c r="AF305" s="2110">
        <f>+AF136+AF137+AF138</f>
        <v>124.30981323039026</v>
      </c>
      <c r="AG305" s="2110">
        <f>+AG136+AG137+AG138</f>
        <v>133.2737596098261</v>
      </c>
    </row>
    <row r="306" spans="2:33">
      <c r="B306" s="2109" t="s">
        <v>1974</v>
      </c>
      <c r="C306" s="2110">
        <f ca="1">+C101+C102+C103</f>
        <v>37.004631496806013</v>
      </c>
      <c r="D306" s="2110">
        <f ca="1">+D101+D102+D103</f>
        <v>38.434734206398261</v>
      </c>
      <c r="E306" s="2110">
        <f ca="1">+E101+E102+E103</f>
        <v>40.392966039442157</v>
      </c>
      <c r="F306" s="2110">
        <f ca="1">+F101+F102+F103</f>
        <v>43.1662115656084</v>
      </c>
      <c r="G306" s="2110">
        <f ca="1">+G101+G102+G103</f>
        <v>45.77309451366559</v>
      </c>
      <c r="P306"/>
      <c r="Q306"/>
      <c r="AA306" s="15"/>
      <c r="AB306" s="2109" t="s">
        <v>1974</v>
      </c>
      <c r="AC306" s="2110">
        <f>+AC101+AC102+AC103</f>
        <v>102.82869807516212</v>
      </c>
      <c r="AD306" s="2110">
        <f>+AD101+AD102+AD103</f>
        <v>108.41984264462073</v>
      </c>
      <c r="AE306" s="2110">
        <f>+AE101+AE102+AE103</f>
        <v>115.13538573</v>
      </c>
      <c r="AF306" s="2110">
        <f>+AF101+AF102+AF103</f>
        <v>121.61527792891448</v>
      </c>
      <c r="AG306" s="2110">
        <f>+AG101+AG102+AG103</f>
        <v>129.76935337628379</v>
      </c>
    </row>
    <row r="307" spans="2:33">
      <c r="B307" s="2109" t="s">
        <v>1975</v>
      </c>
      <c r="C307" s="2110">
        <f ca="1">IF($C$280=1,D307/(D306/C305),C306)</f>
        <v>37.227629999999998</v>
      </c>
      <c r="D307" s="2110">
        <f ca="1">+D306</f>
        <v>38.434734206398261</v>
      </c>
      <c r="E307" s="2110">
        <f ca="1">IF($C$280=1,D307*E306/D305,E306)</f>
        <v>39.997849085791351</v>
      </c>
      <c r="F307" s="2110">
        <f ca="1">IF($C$280=1,E307*F306/E305,F306)</f>
        <v>41.514887911166191</v>
      </c>
      <c r="G307" s="2110">
        <f ca="1">IF($C$280=1,F307*G306/F305,G306)</f>
        <v>42.827596554722611</v>
      </c>
      <c r="P307"/>
      <c r="Q307"/>
      <c r="AA307" s="15"/>
      <c r="AB307" s="2109" t="s">
        <v>1975</v>
      </c>
      <c r="AC307" s="2110">
        <f>IF($C$280=1,AD307/(AD306/AC305),AC306)</f>
        <v>106.35267999999999</v>
      </c>
      <c r="AD307" s="2110">
        <f>+AD306</f>
        <v>108.41984264462073</v>
      </c>
      <c r="AE307" s="2110">
        <f>IF($C$280=1,AD307*AE306/AD305,AE306)</f>
        <v>112.55085703357911</v>
      </c>
      <c r="AF307" s="2110">
        <f>IF($C$280=1,AE307*AF306/AE305,AF306)</f>
        <v>117.04668105953139</v>
      </c>
      <c r="AG307" s="2110">
        <f>IF($C$280=1,AF307*AG306/AF305,AG306)</f>
        <v>122.18723302065271</v>
      </c>
    </row>
    <row r="308" spans="2:33">
      <c r="B308" s="2158" t="s">
        <v>2110</v>
      </c>
      <c r="C308" s="2159">
        <f ca="1">+C136+C137+C138+C142</f>
        <v>37.606099999999998</v>
      </c>
      <c r="D308" s="2159">
        <f ca="1">+D136+D137+D138+D142</f>
        <v>38.168430000000001</v>
      </c>
      <c r="E308" s="2159">
        <f ca="1">+E136+E137+E138+E142</f>
        <v>40.94285</v>
      </c>
      <c r="F308" s="2159">
        <f ca="1">+F136+F137+F138+F142</f>
        <v>43.724123413437994</v>
      </c>
      <c r="G308" s="2159">
        <f ca="1">+G136+G137+G138+G142</f>
        <v>46.256661803084135</v>
      </c>
      <c r="P308"/>
      <c r="Q308"/>
      <c r="AA308" s="15"/>
      <c r="AB308" s="2158" t="s">
        <v>2110</v>
      </c>
      <c r="AC308" s="2159">
        <f>+AC136+AC137+AC138+AC142</f>
        <v>109.80220999999999</v>
      </c>
      <c r="AD308" s="2159">
        <f>+AD136+AD137+AD138+AD142</f>
        <v>112.80328</v>
      </c>
      <c r="AE308" s="2159">
        <f>+AE136+AE137+AE138+AE142</f>
        <v>118.83774171598915</v>
      </c>
      <c r="AF308" s="2159">
        <f>+AF136+AF137+AF138+AF142</f>
        <v>126.20358323039027</v>
      </c>
      <c r="AG308" s="2159">
        <f>+AG136+AG137+AG138+AG142</f>
        <v>135.16752960982609</v>
      </c>
    </row>
    <row r="309" spans="2:33">
      <c r="B309" s="2158" t="s">
        <v>2111</v>
      </c>
      <c r="C309" s="2159">
        <f ca="1">+C101+C102+C103+C107</f>
        <v>38.452196315678933</v>
      </c>
      <c r="D309" s="2159">
        <f ca="1">+D101+D102+D103+D107</f>
        <v>38.510807830822046</v>
      </c>
      <c r="E309" s="2159">
        <f ca="1">+E101+E102+E103+E107</f>
        <v>39.746986039442156</v>
      </c>
      <c r="F309" s="2159">
        <f ca="1">+F101+F102+F103+F107</f>
        <v>42.520231565608398</v>
      </c>
      <c r="G309" s="2159">
        <f ca="1">+G101+G102+G103+G107</f>
        <v>45.127114513665589</v>
      </c>
      <c r="P309"/>
      <c r="Q309"/>
      <c r="AA309" s="15"/>
      <c r="AB309" s="2158" t="s">
        <v>2111</v>
      </c>
      <c r="AC309" s="2159">
        <f>+AC101+AC102+AC103+AC107</f>
        <v>103.31376054787738</v>
      </c>
      <c r="AD309" s="2159">
        <f>+AD101+AD102+AD103+AD107</f>
        <v>109.23318822778384</v>
      </c>
      <c r="AE309" s="2159">
        <f>+AE101+AE102+AE103+AE107</f>
        <v>117.02915573</v>
      </c>
      <c r="AF309" s="2159">
        <f>+AF101+AF102+AF103+AF107</f>
        <v>123.50904792891448</v>
      </c>
      <c r="AG309" s="2159">
        <f>+AG101+AG102+AG103+AG107</f>
        <v>131.66312337628378</v>
      </c>
    </row>
    <row r="310" spans="2:33">
      <c r="B310" s="2158" t="s">
        <v>2112</v>
      </c>
      <c r="C310" s="2159">
        <f ca="1">IF($C$280=1,D310/(D309/C308),C309)</f>
        <v>37.606099999999998</v>
      </c>
      <c r="D310" s="2159">
        <f ca="1">+D309</f>
        <v>38.510807830822046</v>
      </c>
      <c r="E310" s="2159">
        <f ca="1">IF($C$280=1,D310*E309/D308,E309)</f>
        <v>40.103523808008958</v>
      </c>
      <c r="F310" s="2159">
        <f ca="1">IF($C$280=1,E310*F309/E308,F309)</f>
        <v>41.648569137552236</v>
      </c>
      <c r="G310" s="2159">
        <f ca="1">IF($C$280=1,F310*G309/F308,G309)</f>
        <v>42.984961208462018</v>
      </c>
      <c r="P310"/>
      <c r="Q310"/>
      <c r="AA310" s="15"/>
      <c r="AB310" s="2158" t="s">
        <v>2112</v>
      </c>
      <c r="AC310" s="2159">
        <f>IF($C$280=1,AD310/(AD309/AC308),AC309)</f>
        <v>109.80220999999999</v>
      </c>
      <c r="AD310" s="2159">
        <f>+AD309</f>
        <v>109.23318822778384</v>
      </c>
      <c r="AE310" s="2159">
        <f>IF($C$280=1,AD310*AE309/AD308,AE309)</f>
        <v>113.32531993744968</v>
      </c>
      <c r="AF310" s="2159">
        <f>IF($C$280=1,AE310*AF309/AE308,AF309)</f>
        <v>117.77994237861589</v>
      </c>
      <c r="AG310" s="2159">
        <f>IF($C$280=1,AF310*AG309/AF308,AG309)</f>
        <v>122.87507761438179</v>
      </c>
    </row>
    <row r="311" spans="2:33">
      <c r="B311" s="2109" t="s">
        <v>69</v>
      </c>
      <c r="C311" s="2110">
        <f ca="1">+C143+C144</f>
        <v>28.38316</v>
      </c>
      <c r="D311" s="2110">
        <f ca="1">+D143+D144</f>
        <v>28.78913</v>
      </c>
      <c r="E311" s="2110">
        <f ca="1">+E143+E144</f>
        <v>34.033090000000001</v>
      </c>
      <c r="F311" s="2110">
        <f ca="1">+F143+F144</f>
        <v>36.754030068569996</v>
      </c>
      <c r="G311" s="2110">
        <f ca="1">+G143+G144</f>
        <v>39.157296745208775</v>
      </c>
      <c r="P311"/>
      <c r="Q311"/>
      <c r="AA311" s="15"/>
      <c r="AB311" s="2109" t="s">
        <v>69</v>
      </c>
      <c r="AC311" s="2110">
        <f>+AC143+AC144</f>
        <v>82.549009999999996</v>
      </c>
      <c r="AD311" s="2110">
        <f>+AD143+AD144</f>
        <v>95.468720000000005</v>
      </c>
      <c r="AE311" s="2110">
        <f>+AE143+AE144</f>
        <v>101.40266917392003</v>
      </c>
      <c r="AF311" s="2110">
        <f>+AF143+AF144</f>
        <v>109.9619903975223</v>
      </c>
      <c r="AG311" s="2110">
        <f>+AG143+AG144</f>
        <v>120.25234236435765</v>
      </c>
    </row>
    <row r="312" spans="2:33">
      <c r="B312" s="2109" t="s">
        <v>1186</v>
      </c>
      <c r="C312" s="2110">
        <f ca="1">+C108+C109</f>
        <v>29.550513387808323</v>
      </c>
      <c r="D312" s="2110">
        <f ca="1">+D108+D109</f>
        <v>29.363691583467631</v>
      </c>
      <c r="E312" s="2110">
        <f ca="1">+E108+E109</f>
        <v>32.600378463389681</v>
      </c>
      <c r="F312" s="2110">
        <f ca="1">+F108+F109</f>
        <v>35.910452890000002</v>
      </c>
      <c r="G312" s="2110">
        <f ca="1">+G108+G109</f>
        <v>38.38024623216333</v>
      </c>
      <c r="P312"/>
      <c r="Q312"/>
      <c r="AA312" s="15"/>
      <c r="AB312" s="2109" t="s">
        <v>1186</v>
      </c>
      <c r="AC312" s="2110">
        <f>+AC108+AC109</f>
        <v>73.933617233837751</v>
      </c>
      <c r="AD312" s="2110">
        <f>+AD108+AD109</f>
        <v>92.271726922287129</v>
      </c>
      <c r="AE312" s="2110">
        <f>+AE108+AE109</f>
        <v>101.13328232000001</v>
      </c>
      <c r="AF312" s="2110">
        <f>+AF108+AF109</f>
        <v>108.21376506662736</v>
      </c>
      <c r="AG312" s="2110">
        <f>+AG108+AG109</f>
        <v>117.5502586819694</v>
      </c>
    </row>
    <row r="313" spans="2:33">
      <c r="B313" s="2109" t="s">
        <v>1187</v>
      </c>
      <c r="C313" s="2110">
        <f ca="1">IF($C$280=1,D313/(D312/C311),C312)</f>
        <v>28.38316</v>
      </c>
      <c r="D313" s="2110">
        <f ca="1">+D312</f>
        <v>29.363691583467631</v>
      </c>
      <c r="E313" s="2110">
        <f ca="1">IF($C$280=1,D313*E312/D311,E312)</f>
        <v>33.251003371873168</v>
      </c>
      <c r="F313" s="2110">
        <f ca="1">IF($C$280=1,E313*F312/E311,F312)</f>
        <v>35.085224119551953</v>
      </c>
      <c r="G313" s="2110">
        <f ca="1">IF($C$280=1,F313*G312/F311,G312)</f>
        <v>36.637602415484764</v>
      </c>
      <c r="P313"/>
      <c r="Q313"/>
      <c r="AA313" s="15"/>
      <c r="AB313" s="2109" t="s">
        <v>1187</v>
      </c>
      <c r="AC313" s="2110">
        <f>IF($C$280=1,AD313/(AD312/AC311),AC312)</f>
        <v>82.549009999999996</v>
      </c>
      <c r="AD313" s="2110">
        <f>+AD312</f>
        <v>92.271726922287129</v>
      </c>
      <c r="AE313" s="2110">
        <f>IF($C$280=1,AD313*AE312/AD311,AE312)</f>
        <v>97.746598142151782</v>
      </c>
      <c r="AF313" s="2110">
        <f>IF($C$280=1,AE313*AF312/AE311,AF312)</f>
        <v>104.31212012057473</v>
      </c>
      <c r="AG313" s="2110">
        <f>IF($C$280=1,AF313*AG312/AF311,AG312)</f>
        <v>111.5105015788666</v>
      </c>
    </row>
    <row r="314" spans="2:33">
      <c r="B314" s="2158" t="s">
        <v>2113</v>
      </c>
      <c r="C314" s="2159">
        <f ca="1">+C136+C137+C138+C142+C143+C144</f>
        <v>65.989260000000002</v>
      </c>
      <c r="D314" s="2159">
        <f ca="1">+D136+D137+D138+D142+D143+D144</f>
        <v>66.957560000000001</v>
      </c>
      <c r="E314" s="2159">
        <f ca="1">+E136+E137+E138+E142+E143+E144</f>
        <v>74.975939999999994</v>
      </c>
      <c r="F314" s="2159">
        <f ca="1">+F136+F137+F138+F142+F143+F144</f>
        <v>80.478153482007983</v>
      </c>
      <c r="G314" s="2159">
        <f ca="1">+G136+G137+G138+G142+G143+G144</f>
        <v>85.413958548292911</v>
      </c>
      <c r="P314"/>
      <c r="Q314"/>
      <c r="AA314" s="15"/>
      <c r="AB314" s="2158" t="s">
        <v>2113</v>
      </c>
      <c r="AC314" s="2159">
        <f>+AC136+AC137+AC138+AC142+AC143+AC144</f>
        <v>192.35121999999998</v>
      </c>
      <c r="AD314" s="2159">
        <f>+AD136+AD137+AD138+AD142+AD143+AD144</f>
        <v>208.27199999999999</v>
      </c>
      <c r="AE314" s="2159">
        <f>+AE136+AE137+AE138+AE142+AE143+AE144</f>
        <v>220.24041088990919</v>
      </c>
      <c r="AF314" s="2159">
        <f>+AF136+AF137+AF138+AF142+AF143+AF144</f>
        <v>236.16557362791255</v>
      </c>
      <c r="AG314" s="2159">
        <f>+AG136+AG137+AG138+AG142+AG143+AG144</f>
        <v>255.41987197418374</v>
      </c>
    </row>
    <row r="315" spans="2:33">
      <c r="B315" s="2158" t="s">
        <v>1008</v>
      </c>
      <c r="C315" s="2159">
        <f ca="1">+C101+C102+C103+C107+C108+C109</f>
        <v>68.002709703487255</v>
      </c>
      <c r="D315" s="2159">
        <f ca="1">+D101+D102+D103+D107+D108+D109</f>
        <v>67.874499414289673</v>
      </c>
      <c r="E315" s="2159">
        <f ca="1">+E101+E102+E103+E107+E108+E109</f>
        <v>72.347364502831837</v>
      </c>
      <c r="F315" s="2159">
        <f ca="1">+F101+F102+F103+F107+F108+F109</f>
        <v>78.4306844556084</v>
      </c>
      <c r="G315" s="2159">
        <f ca="1">+G101+G102+G103+G107+G108+G109</f>
        <v>83.507360745828919</v>
      </c>
      <c r="P315"/>
      <c r="Q315"/>
      <c r="AA315" s="15"/>
      <c r="AB315" s="2158" t="s">
        <v>1008</v>
      </c>
      <c r="AC315" s="2159">
        <f>+AC101+AC102+AC103+AC107+AC108+AC109</f>
        <v>177.2473777817151</v>
      </c>
      <c r="AD315" s="2159">
        <f>+AD101+AD102+AD103+AD107+AD108+AD109</f>
        <v>201.50491515007099</v>
      </c>
      <c r="AE315" s="2159">
        <f>+AE101+AE102+AE103+AE107+AE108+AE109</f>
        <v>218.16243804999999</v>
      </c>
      <c r="AF315" s="2159">
        <f>+AF101+AF102+AF103+AF107+AF108+AF109</f>
        <v>231.72281299554186</v>
      </c>
      <c r="AG315" s="2159">
        <f>+AG101+AG102+AG103+AG107+AG108+AG109</f>
        <v>249.21338205825319</v>
      </c>
    </row>
    <row r="316" spans="2:33">
      <c r="B316" s="2158" t="s">
        <v>1009</v>
      </c>
      <c r="C316" s="2159">
        <f ca="1">IF($C$280=1,D316/(D315/C314),C315)</f>
        <v>65.989260000000002</v>
      </c>
      <c r="D316" s="2159">
        <f ca="1">+D315</f>
        <v>67.874499414289673</v>
      </c>
      <c r="E316" s="2159">
        <f ca="1">IF($C$280=1,D316*E315/D314,E315)</f>
        <v>73.338113718194947</v>
      </c>
      <c r="F316" s="2159">
        <f ca="1">IF($C$280=1,E316*F315/E314,F315)</f>
        <v>76.717390346840247</v>
      </c>
      <c r="G316" s="2159">
        <f ca="1">IF($C$280=1,F316*G315/F314,G315)</f>
        <v>79.605042039196604</v>
      </c>
      <c r="P316"/>
      <c r="Q316"/>
      <c r="AA316" s="15"/>
      <c r="AB316" s="2158" t="s">
        <v>1009</v>
      </c>
      <c r="AC316" s="2159">
        <f>IF($C$280=1,AD316/(AD315/AC314),AC315)</f>
        <v>192.35121999999998</v>
      </c>
      <c r="AD316" s="2159">
        <f>+AD315</f>
        <v>201.50491515007099</v>
      </c>
      <c r="AE316" s="2159">
        <f>IF($C$280=1,AD316*AE315/AD314,AE315)</f>
        <v>211.07399731215847</v>
      </c>
      <c r="AF316" s="2159">
        <f>IF($C$280=1,AE316*AF315/AE314,AF315)</f>
        <v>222.07850144193384</v>
      </c>
      <c r="AG316" s="2159">
        <f>IF($C$280=1,AF316*AG315/AF314,AG315)</f>
        <v>234.34801938563217</v>
      </c>
    </row>
    <row r="317" spans="2:33">
      <c r="B317" s="2109" t="s">
        <v>1010</v>
      </c>
      <c r="C317" s="2110">
        <f ca="1">+C145+C146</f>
        <v>28.562649999999998</v>
      </c>
      <c r="D317" s="2110">
        <f ca="1">+D145+D146</f>
        <v>28.28923</v>
      </c>
      <c r="E317" s="2110">
        <f ca="1">+E145+E146</f>
        <v>33.189959999999999</v>
      </c>
      <c r="F317" s="2110">
        <f ca="1">+F145+F146</f>
        <v>36.259617764249995</v>
      </c>
      <c r="G317" s="2110">
        <f ca="1">+G145+G146</f>
        <v>38.73026872054696</v>
      </c>
      <c r="P317"/>
      <c r="Q317"/>
      <c r="AA317" s="15"/>
      <c r="AB317" s="2109" t="s">
        <v>1010</v>
      </c>
      <c r="AC317" s="2110">
        <f>+AC145+AC146</f>
        <v>85.457809999999995</v>
      </c>
      <c r="AD317" s="2110">
        <f>+AD145+AD146</f>
        <v>94.537289999999999</v>
      </c>
      <c r="AE317" s="2110">
        <f>+AE145+AE146</f>
        <v>100.20063895044001</v>
      </c>
      <c r="AF317" s="2110">
        <f>+AF145+AF146</f>
        <v>108.73416094817132</v>
      </c>
      <c r="AG317" s="2110">
        <f>+AG145+AG146</f>
        <v>119.32001137946844</v>
      </c>
    </row>
    <row r="318" spans="2:33">
      <c r="B318" s="2109" t="s">
        <v>1011</v>
      </c>
      <c r="C318" s="2110">
        <f ca="1">+C110+C111</f>
        <v>30.690391232379326</v>
      </c>
      <c r="D318" s="2110">
        <f ca="1">+D110+D111</f>
        <v>29.570278896504085</v>
      </c>
      <c r="E318" s="2110">
        <f ca="1">+E110+E111</f>
        <v>31.913740977189804</v>
      </c>
      <c r="F318" s="2110">
        <f ca="1">+F110+F111</f>
        <v>35.347307399999991</v>
      </c>
      <c r="G318" s="2110">
        <f ca="1">+G110+G111</f>
        <v>38.127425982214497</v>
      </c>
      <c r="P318"/>
      <c r="Q318"/>
      <c r="AA318" s="15"/>
      <c r="AB318" s="2109" t="s">
        <v>1011</v>
      </c>
      <c r="AC318" s="2110">
        <f>+AC110+AC111</f>
        <v>75.784075079259168</v>
      </c>
      <c r="AD318" s="2110">
        <f>+AD110+AD111</f>
        <v>90.699965919669225</v>
      </c>
      <c r="AE318" s="2110">
        <f>+AE110+AE111</f>
        <v>100.35136574000001</v>
      </c>
      <c r="AF318" s="2110">
        <f>+AF110+AF111</f>
        <v>107.34001996550867</v>
      </c>
      <c r="AG318" s="2110">
        <f>+AG110+AG111</f>
        <v>116.78159326435622</v>
      </c>
    </row>
    <row r="319" spans="2:33">
      <c r="B319" s="2109" t="s">
        <v>1470</v>
      </c>
      <c r="C319" s="2110">
        <f ca="1">IF($C$280=1,D319/(D318/C317),C318)</f>
        <v>28.562650000000001</v>
      </c>
      <c r="D319" s="2110">
        <f ca="1">+D318</f>
        <v>29.570278896504085</v>
      </c>
      <c r="E319" s="2110">
        <f ca="1">IF($C$280=1,D319*E318/D317,E318)</f>
        <v>33.35892215257514</v>
      </c>
      <c r="F319" s="2110">
        <f ca="1">IF($C$280=1,E319*F318/E317,F318)</f>
        <v>35.527252092492517</v>
      </c>
      <c r="G319" s="2110">
        <f ca="1">IF($C$280=1,F319*G318/F317,G318)</f>
        <v>37.357334633668103</v>
      </c>
      <c r="P319"/>
      <c r="Q319"/>
      <c r="AA319" s="15"/>
      <c r="AB319" s="2109" t="s">
        <v>1470</v>
      </c>
      <c r="AC319" s="2110">
        <f>IF($C$280=1,AD319/(AD318/AC317),AC318)</f>
        <v>85.457809999999995</v>
      </c>
      <c r="AD319" s="2110">
        <f>+AD318</f>
        <v>90.699965919669225</v>
      </c>
      <c r="AE319" s="2110">
        <f>IF($C$280=1,AD319*AE318/AD317,AE318)</f>
        <v>96.278044913390914</v>
      </c>
      <c r="AF319" s="2110">
        <f>IF($C$280=1,AE319*AF318/AE317,AF318)</f>
        <v>103.13793775661487</v>
      </c>
      <c r="AG319" s="2110">
        <f>IF($C$280=1,AF319*AG318/AF317,AG318)</f>
        <v>110.77119271613832</v>
      </c>
    </row>
    <row r="320" spans="2:33">
      <c r="B320" s="2158" t="s">
        <v>1471</v>
      </c>
      <c r="C320" s="2159">
        <f ca="1">+C138-C226</f>
        <v>5.9507099999999999</v>
      </c>
      <c r="D320" s="2159">
        <f ca="1">+D138-D226</f>
        <v>6.1606100000000001</v>
      </c>
      <c r="E320" s="2159">
        <f ca="1">+E138-E226</f>
        <v>6.6434761943000007</v>
      </c>
      <c r="F320" s="2159">
        <f ca="1">+F138-F226</f>
        <v>7.2577242077391766</v>
      </c>
      <c r="G320" s="2159">
        <f ca="1">+G138-G226</f>
        <v>7.7261681742935524</v>
      </c>
      <c r="P320"/>
      <c r="Q320"/>
      <c r="AA320" s="15"/>
      <c r="AB320" s="2158" t="s">
        <v>1471</v>
      </c>
      <c r="AC320" s="2159">
        <f>+AC138-AC226</f>
        <v>14.612739999999999</v>
      </c>
      <c r="AD320" s="2159">
        <f>+AD138-AD226</f>
        <v>14.7606</v>
      </c>
      <c r="AE320" s="2159">
        <f>+AE138-AE226</f>
        <v>16.085428177743875</v>
      </c>
      <c r="AF320" s="2159">
        <f>+AF138-AF226</f>
        <v>18.068495310306279</v>
      </c>
      <c r="AG320" s="2159">
        <f>+AG138-AG226</f>
        <v>20.5281835588939</v>
      </c>
    </row>
    <row r="321" spans="2:33">
      <c r="B321" s="2158" t="s">
        <v>1472</v>
      </c>
      <c r="C321" s="2159">
        <f ca="1">+C103-C128</f>
        <v>5.8977980409993407</v>
      </c>
      <c r="D321" s="2159">
        <f ca="1">+D103-D128</f>
        <v>6.1254855920415112</v>
      </c>
      <c r="E321" s="2159">
        <f ca="1">+E103-E128</f>
        <v>6.6602146706606797</v>
      </c>
      <c r="F321" s="2159">
        <f ca="1">+F103-F128</f>
        <v>7.0911317546270283</v>
      </c>
      <c r="G321" s="2159">
        <f ca="1">+G103-G128</f>
        <v>7.5481937631585367</v>
      </c>
      <c r="P321"/>
      <c r="Q321"/>
      <c r="AA321" s="15"/>
      <c r="AB321" s="2158" t="s">
        <v>1472</v>
      </c>
      <c r="AC321" s="2159">
        <f>+AC103-AC128</f>
        <v>14.27169601003035</v>
      </c>
      <c r="AD321" s="2159">
        <f>+AD103-AD128</f>
        <v>14.324792596939798</v>
      </c>
      <c r="AE321" s="2159">
        <f>+AE103-AE128</f>
        <v>15.510435391574658</v>
      </c>
      <c r="AF321" s="2159">
        <f>+AF103-AF128</f>
        <v>17.209602935939881</v>
      </c>
      <c r="AG321" s="2159">
        <f>+AG103-AG128</f>
        <v>19.34131990524925</v>
      </c>
    </row>
    <row r="322" spans="2:33">
      <c r="B322" s="2158" t="s">
        <v>721</v>
      </c>
      <c r="C322" s="2159">
        <f ca="1">IF($C$280=1,D322/(D321/C320),C321)</f>
        <v>5.9507099999999999</v>
      </c>
      <c r="D322" s="2159">
        <f ca="1">+D321</f>
        <v>6.1254855920415112</v>
      </c>
      <c r="E322" s="2159">
        <f ca="1">IF($C$280=1,D322*E321/D320,E321)</f>
        <v>6.622241791808845</v>
      </c>
      <c r="F322" s="2159">
        <f ca="1">IF($C$280=1,E322*F321/E320,F321)</f>
        <v>7.0684665201335628</v>
      </c>
      <c r="G322" s="2159">
        <f ca="1">IF($C$280=1,F322*G321/F320,G321)</f>
        <v>7.3513615804625916</v>
      </c>
      <c r="P322"/>
      <c r="Q322"/>
      <c r="AA322" s="15"/>
      <c r="AB322" s="2158" t="s">
        <v>721</v>
      </c>
      <c r="AC322" s="2159">
        <f>IF($C$280=1,AD322/(AD321/AC320),AC321)</f>
        <v>14.612739999999999</v>
      </c>
      <c r="AD322" s="2159">
        <f>+AD321</f>
        <v>14.324792596939798</v>
      </c>
      <c r="AE322" s="2159">
        <f>IF($C$280=1,AD322*AE321/AD320,AE321)</f>
        <v>15.0524890636249</v>
      </c>
      <c r="AF322" s="2159">
        <f>IF($C$280=1,AE322*AF321/AE320,AF321)</f>
        <v>16.104474007162906</v>
      </c>
      <c r="AG322" s="2159">
        <f>IF($C$280=1,AF322*AG321/AF320,AG321)</f>
        <v>17.238944268958562</v>
      </c>
    </row>
    <row r="323" spans="2:33">
      <c r="P323"/>
      <c r="Q323"/>
      <c r="AA323" s="15"/>
      <c r="AB323" s="2109" t="s">
        <v>580</v>
      </c>
      <c r="AC323" s="2110">
        <f>+AC157-AC165</f>
        <v>10095.06612</v>
      </c>
      <c r="AD323" s="2110">
        <f>+AD157-AD165</f>
        <v>10101.67786</v>
      </c>
      <c r="AE323" s="2110">
        <f>+AE157-AE165</f>
        <v>10107.938408539469</v>
      </c>
      <c r="AF323" s="2110">
        <f>+AF157-AF165</f>
        <v>10114.869289765742</v>
      </c>
      <c r="AG323" s="2110">
        <f>+AG157-AG165</f>
        <v>10122.858805122096</v>
      </c>
    </row>
    <row r="324" spans="2:33" customFormat="1"/>
    <row r="325" spans="2:33" customFormat="1"/>
    <row r="326" spans="2:33" customFormat="1"/>
    <row r="327" spans="2:33" customFormat="1"/>
    <row r="328" spans="2:33" customFormat="1"/>
    <row r="329" spans="2:33" customFormat="1"/>
    <row r="330" spans="2:33" customFormat="1"/>
    <row r="331" spans="2:33" customFormat="1"/>
    <row r="332" spans="2:33" customFormat="1"/>
    <row r="333" spans="2:33" customFormat="1"/>
    <row r="334" spans="2:33" customFormat="1"/>
    <row r="335" spans="2:33" customFormat="1"/>
    <row r="336" spans="2:33" customFormat="1"/>
    <row r="337" spans="1:149">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ER337"/>
      <c r="ES337"/>
    </row>
    <row r="338" spans="1:149">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ER338"/>
      <c r="ES338"/>
    </row>
    <row r="339" spans="1:149">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ER339"/>
      <c r="ES339"/>
    </row>
    <row r="340" spans="1:149">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ER340"/>
      <c r="ES340"/>
    </row>
    <row r="341" spans="1:149">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ER341"/>
      <c r="ES341"/>
    </row>
    <row r="342" spans="1:149">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ER342"/>
      <c r="ES342"/>
    </row>
    <row r="343" spans="1:149">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ER343"/>
      <c r="ES343"/>
    </row>
    <row r="344" spans="1:149">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ER344"/>
      <c r="ES344"/>
    </row>
    <row r="345" spans="1:149">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ER345"/>
      <c r="ES345"/>
    </row>
    <row r="346" spans="1:149">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ER346"/>
      <c r="ES346"/>
    </row>
    <row r="347" spans="1:149">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c r="ER347"/>
      <c r="ES347"/>
    </row>
    <row r="348" spans="1:149">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c r="ER348"/>
      <c r="ES348"/>
    </row>
    <row r="349" spans="1:149">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c r="ER349"/>
      <c r="ES349"/>
    </row>
    <row r="350" spans="1:149">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c r="ER350"/>
      <c r="ES350"/>
    </row>
    <row r="351" spans="1:149">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c r="ER351"/>
      <c r="ES351"/>
    </row>
    <row r="352" spans="1:149">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c r="ER352"/>
      <c r="ES352"/>
    </row>
    <row r="353" spans="1:149">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c r="ER353"/>
      <c r="ES353"/>
    </row>
    <row r="354" spans="1:149">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c r="ER354"/>
      <c r="ES354"/>
    </row>
    <row r="355" spans="1:149">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ER355"/>
      <c r="ES355"/>
    </row>
    <row r="356" spans="1:149">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ER356"/>
      <c r="ES356"/>
    </row>
    <row r="357" spans="1:149">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ER357"/>
      <c r="ES357"/>
    </row>
    <row r="358" spans="1:149">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ER358"/>
      <c r="ES358"/>
    </row>
    <row r="359" spans="1:149">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ER359"/>
      <c r="ES359"/>
    </row>
    <row r="360" spans="1:149">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ER360"/>
      <c r="ES360"/>
    </row>
    <row r="361" spans="1:149">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ER361"/>
      <c r="ES361"/>
    </row>
    <row r="362" spans="1:149">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ER362"/>
      <c r="ES362"/>
    </row>
    <row r="363" spans="1:149">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ER363"/>
      <c r="ES363"/>
    </row>
    <row r="364" spans="1:149">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c r="EO364"/>
      <c r="EP364"/>
      <c r="EQ364"/>
      <c r="ER364"/>
      <c r="ES364"/>
    </row>
    <row r="365" spans="1:149">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c r="EO365"/>
      <c r="EP365"/>
      <c r="EQ365"/>
      <c r="ER365"/>
      <c r="ES365"/>
    </row>
    <row r="366" spans="1:149">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ER366"/>
      <c r="ES366"/>
    </row>
    <row r="367" spans="1:149">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c r="EO367"/>
      <c r="EP367"/>
      <c r="EQ367"/>
      <c r="ER367"/>
      <c r="ES367"/>
    </row>
    <row r="368" spans="1:149">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c r="EO368"/>
      <c r="EP368"/>
      <c r="EQ368"/>
      <c r="ER368"/>
      <c r="ES368"/>
    </row>
    <row r="369" spans="1:149">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c r="EO369"/>
      <c r="EP369"/>
      <c r="EQ369"/>
      <c r="ER369"/>
      <c r="ES369"/>
    </row>
    <row r="370" spans="1:149">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c r="EO370"/>
      <c r="EP370"/>
      <c r="EQ370"/>
      <c r="ER370"/>
      <c r="ES370"/>
    </row>
    <row r="371" spans="1:149">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c r="EO371"/>
      <c r="EP371"/>
      <c r="EQ371"/>
      <c r="ER371"/>
      <c r="ES371"/>
    </row>
    <row r="372" spans="1:149">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c r="EO372"/>
      <c r="EP372"/>
      <c r="EQ372"/>
      <c r="ER372"/>
      <c r="ES372"/>
    </row>
    <row r="373" spans="1:149">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c r="EO373"/>
      <c r="EP373"/>
      <c r="EQ373"/>
      <c r="ER373"/>
      <c r="ES373"/>
    </row>
    <row r="374" spans="1:149">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c r="EO374"/>
      <c r="EP374"/>
      <c r="EQ374"/>
      <c r="ER374"/>
      <c r="ES374"/>
    </row>
    <row r="375" spans="1:149">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c r="EO375"/>
      <c r="EP375"/>
      <c r="EQ375"/>
      <c r="ER375"/>
      <c r="ES375"/>
    </row>
    <row r="376" spans="1:149">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c r="EO376"/>
      <c r="EP376"/>
      <c r="EQ376"/>
      <c r="ER376"/>
      <c r="ES376"/>
    </row>
    <row r="377" spans="1:149">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c r="EO377"/>
      <c r="EP377"/>
      <c r="EQ377"/>
      <c r="ER377"/>
      <c r="ES377"/>
    </row>
    <row r="378" spans="1:149">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c r="EO378"/>
      <c r="EP378"/>
      <c r="EQ378"/>
      <c r="ER378"/>
      <c r="ES378"/>
    </row>
    <row r="379" spans="1:149">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c r="EO379"/>
      <c r="EP379"/>
      <c r="EQ379"/>
      <c r="ER379"/>
      <c r="ES379"/>
    </row>
    <row r="380" spans="1:149">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c r="EO380"/>
      <c r="EP380"/>
      <c r="EQ380"/>
      <c r="ER380"/>
      <c r="ES380"/>
    </row>
    <row r="381" spans="1:149">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c r="EO381"/>
      <c r="EP381"/>
      <c r="EQ381"/>
      <c r="ER381"/>
      <c r="ES381"/>
    </row>
    <row r="382" spans="1:149">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c r="EO382"/>
      <c r="EP382"/>
      <c r="EQ382"/>
      <c r="ER382"/>
      <c r="ES382"/>
    </row>
    <row r="383" spans="1:149">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c r="EO383"/>
      <c r="EP383"/>
      <c r="EQ383"/>
      <c r="ER383"/>
      <c r="ES383"/>
    </row>
    <row r="384" spans="1:149">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c r="EO384"/>
      <c r="EP384"/>
      <c r="EQ384"/>
      <c r="ER384"/>
      <c r="ES384"/>
    </row>
    <row r="385" spans="1:149">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c r="EO385"/>
      <c r="EP385"/>
      <c r="EQ385"/>
      <c r="ER385"/>
      <c r="ES385"/>
    </row>
    <row r="386" spans="1:149">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c r="EO386"/>
      <c r="EP386"/>
      <c r="EQ386"/>
      <c r="ER386"/>
      <c r="ES386"/>
    </row>
    <row r="387" spans="1:149">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c r="EO387"/>
      <c r="EP387"/>
      <c r="EQ387"/>
      <c r="ER387"/>
      <c r="ES387"/>
    </row>
    <row r="388" spans="1:149">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c r="EO388"/>
      <c r="EP388"/>
      <c r="EQ388"/>
      <c r="ER388"/>
      <c r="ES388"/>
    </row>
    <row r="389" spans="1:149">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c r="EO389"/>
      <c r="EP389"/>
      <c r="EQ389"/>
      <c r="ER389"/>
      <c r="ES389"/>
    </row>
    <row r="390" spans="1:149">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c r="EO390"/>
      <c r="EP390"/>
      <c r="EQ390"/>
      <c r="ER390"/>
      <c r="ES390"/>
    </row>
    <row r="391" spans="1:149">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c r="EO391"/>
      <c r="EP391"/>
      <c r="EQ391"/>
      <c r="ER391"/>
      <c r="ES391"/>
    </row>
    <row r="392" spans="1:149">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c r="EO392"/>
      <c r="EP392"/>
      <c r="EQ392"/>
      <c r="ER392"/>
      <c r="ES392"/>
    </row>
    <row r="393" spans="1:149">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c r="EO393"/>
      <c r="EP393"/>
      <c r="EQ393"/>
      <c r="ER393"/>
      <c r="ES393"/>
    </row>
    <row r="394" spans="1:149">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c r="EO394"/>
      <c r="EP394"/>
      <c r="EQ394"/>
      <c r="ER394"/>
      <c r="ES394"/>
    </row>
    <row r="395" spans="1:149">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c r="EO395"/>
      <c r="EP395"/>
      <c r="EQ395"/>
      <c r="ER395"/>
      <c r="ES395"/>
    </row>
    <row r="396" spans="1:149">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c r="EO396"/>
      <c r="EP396"/>
      <c r="EQ396"/>
      <c r="ER396"/>
      <c r="ES396"/>
    </row>
    <row r="397" spans="1:149">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c r="EO397"/>
      <c r="EP397"/>
      <c r="EQ397"/>
      <c r="ER397"/>
      <c r="ES397"/>
    </row>
    <row r="398" spans="1:149">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c r="EO398"/>
      <c r="EP398"/>
      <c r="EQ398"/>
      <c r="ER398"/>
      <c r="ES398"/>
    </row>
    <row r="399" spans="1:149">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c r="EO399"/>
      <c r="EP399"/>
      <c r="EQ399"/>
      <c r="ER399"/>
      <c r="ES399"/>
    </row>
    <row r="400" spans="1:149">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c r="EO400"/>
      <c r="EP400"/>
      <c r="EQ400"/>
      <c r="ER400"/>
      <c r="ES400"/>
    </row>
    <row r="401" spans="1:149">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c r="EO401"/>
      <c r="EP401"/>
      <c r="EQ401"/>
      <c r="ER401"/>
      <c r="ES401"/>
    </row>
    <row r="402" spans="1:149">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c r="EO402"/>
      <c r="EP402"/>
      <c r="EQ402"/>
      <c r="ER402"/>
      <c r="ES402"/>
    </row>
    <row r="403" spans="1:149">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c r="EO403"/>
      <c r="EP403"/>
      <c r="EQ403"/>
      <c r="ER403"/>
      <c r="ES403"/>
    </row>
    <row r="404" spans="1:149">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c r="EN404"/>
      <c r="EO404"/>
      <c r="EP404"/>
      <c r="EQ404"/>
      <c r="ER404"/>
      <c r="ES404"/>
    </row>
    <row r="405" spans="1:149">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c r="EN405"/>
      <c r="EO405"/>
      <c r="EP405"/>
      <c r="EQ405"/>
      <c r="ER405"/>
      <c r="ES405"/>
    </row>
    <row r="406" spans="1:149">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c r="EN406"/>
      <c r="EO406"/>
      <c r="EP406"/>
      <c r="EQ406"/>
      <c r="ER406"/>
      <c r="ES406"/>
    </row>
    <row r="407" spans="1:149">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c r="EN407"/>
      <c r="EO407"/>
      <c r="EP407"/>
      <c r="EQ407"/>
      <c r="ER407"/>
      <c r="ES407"/>
    </row>
    <row r="408" spans="1:149">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c r="EN408"/>
      <c r="EO408"/>
      <c r="EP408"/>
      <c r="EQ408"/>
      <c r="ER408"/>
      <c r="ES408"/>
    </row>
    <row r="409" spans="1:149">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c r="EN409"/>
      <c r="EO409"/>
      <c r="EP409"/>
      <c r="EQ409"/>
      <c r="ER409"/>
      <c r="ES409"/>
    </row>
    <row r="410" spans="1:149">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c r="EN410"/>
      <c r="EO410"/>
      <c r="EP410"/>
      <c r="EQ410"/>
      <c r="ER410"/>
      <c r="ES410"/>
    </row>
    <row r="411" spans="1:149">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c r="EN411"/>
      <c r="EO411"/>
      <c r="EP411"/>
      <c r="EQ411"/>
      <c r="ER411"/>
      <c r="ES411"/>
    </row>
    <row r="412" spans="1:149">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c r="EN412"/>
      <c r="EO412"/>
      <c r="EP412"/>
      <c r="EQ412"/>
      <c r="ER412"/>
      <c r="ES412"/>
    </row>
    <row r="413" spans="1:149">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c r="EN413"/>
      <c r="EO413"/>
      <c r="EP413"/>
      <c r="EQ413"/>
      <c r="ER413"/>
      <c r="ES413"/>
    </row>
    <row r="414" spans="1:149">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c r="EN414"/>
      <c r="EO414"/>
      <c r="EP414"/>
      <c r="EQ414"/>
      <c r="ER414"/>
      <c r="ES414"/>
    </row>
    <row r="415" spans="1:149">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c r="EN415"/>
      <c r="EO415"/>
      <c r="EP415"/>
      <c r="EQ415"/>
      <c r="ER415"/>
      <c r="ES415"/>
    </row>
    <row r="416" spans="1:149">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c r="EN416"/>
      <c r="EO416"/>
      <c r="EP416"/>
      <c r="EQ416"/>
      <c r="ER416"/>
      <c r="ES416"/>
    </row>
    <row r="417" spans="1:149">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c r="EN417"/>
      <c r="EO417"/>
      <c r="EP417"/>
      <c r="EQ417"/>
      <c r="ER417"/>
      <c r="ES417"/>
    </row>
    <row r="418" spans="1:149">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c r="EN418"/>
      <c r="EO418"/>
      <c r="EP418"/>
      <c r="EQ418"/>
      <c r="ER418"/>
      <c r="ES418"/>
    </row>
    <row r="419" spans="1:149">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c r="EN419"/>
      <c r="EO419"/>
      <c r="EP419"/>
      <c r="EQ419"/>
      <c r="ER419"/>
      <c r="ES419"/>
    </row>
    <row r="420" spans="1:149">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c r="EN420"/>
      <c r="EO420"/>
      <c r="EP420"/>
      <c r="EQ420"/>
      <c r="ER420"/>
      <c r="ES420"/>
    </row>
    <row r="421" spans="1:149">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c r="EN421"/>
      <c r="EO421"/>
      <c r="EP421"/>
      <c r="EQ421"/>
      <c r="ER421"/>
      <c r="ES421"/>
    </row>
    <row r="422" spans="1:149">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c r="EN422"/>
      <c r="EO422"/>
      <c r="EP422"/>
      <c r="EQ422"/>
      <c r="ER422"/>
      <c r="ES422"/>
    </row>
    <row r="423" spans="1:149">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c r="EN423"/>
      <c r="EO423"/>
      <c r="EP423"/>
      <c r="EQ423"/>
      <c r="ER423"/>
      <c r="ES423"/>
    </row>
    <row r="424" spans="1:149">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c r="EN424"/>
      <c r="EO424"/>
      <c r="EP424"/>
      <c r="EQ424"/>
      <c r="ER424"/>
      <c r="ES424"/>
    </row>
    <row r="425" spans="1:149">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c r="EN425"/>
      <c r="EO425"/>
      <c r="EP425"/>
      <c r="EQ425"/>
      <c r="ER425"/>
      <c r="ES425"/>
    </row>
    <row r="426" spans="1:149">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c r="EN426"/>
      <c r="EO426"/>
      <c r="EP426"/>
      <c r="EQ426"/>
      <c r="ER426"/>
      <c r="ES426"/>
    </row>
    <row r="427" spans="1:149">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c r="EN427"/>
      <c r="EO427"/>
      <c r="EP427"/>
      <c r="EQ427"/>
      <c r="ER427"/>
      <c r="ES427"/>
    </row>
    <row r="428" spans="1:149">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c r="EN428"/>
      <c r="EO428"/>
      <c r="EP428"/>
      <c r="EQ428"/>
      <c r="ER428"/>
      <c r="ES428"/>
    </row>
    <row r="429" spans="1:149">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c r="EN429"/>
      <c r="EO429"/>
      <c r="EP429"/>
      <c r="EQ429"/>
      <c r="ER429"/>
      <c r="ES429"/>
    </row>
    <row r="430" spans="1:149">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c r="EN430"/>
      <c r="EO430"/>
      <c r="EP430"/>
      <c r="EQ430"/>
      <c r="ER430"/>
      <c r="ES430"/>
    </row>
    <row r="431" spans="1:149">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c r="EN431"/>
      <c r="EO431"/>
      <c r="EP431"/>
      <c r="EQ431"/>
      <c r="ER431"/>
      <c r="ES431"/>
    </row>
    <row r="432" spans="1:149">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c r="EN432"/>
      <c r="EO432"/>
      <c r="EP432"/>
      <c r="EQ432"/>
      <c r="ER432"/>
      <c r="ES432"/>
    </row>
    <row r="433" spans="1:149">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c r="EN433"/>
      <c r="EO433"/>
      <c r="EP433"/>
      <c r="EQ433"/>
      <c r="ER433"/>
      <c r="ES433"/>
    </row>
    <row r="434" spans="1:149">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c r="EN434"/>
      <c r="EO434"/>
      <c r="EP434"/>
      <c r="EQ434"/>
      <c r="ER434"/>
      <c r="ES434"/>
    </row>
    <row r="435" spans="1:149">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c r="EN435"/>
      <c r="EO435"/>
      <c r="EP435"/>
      <c r="EQ435"/>
      <c r="ER435"/>
      <c r="ES435"/>
    </row>
    <row r="436" spans="1:149">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c r="EN436"/>
      <c r="EO436"/>
      <c r="EP436"/>
      <c r="EQ436"/>
      <c r="ER436"/>
      <c r="ES436"/>
    </row>
    <row r="437" spans="1:149">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c r="EN437"/>
      <c r="EO437"/>
      <c r="EP437"/>
      <c r="EQ437"/>
      <c r="ER437"/>
      <c r="ES437"/>
    </row>
    <row r="438" spans="1:149">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c r="EN438"/>
      <c r="EO438"/>
      <c r="EP438"/>
      <c r="EQ438"/>
      <c r="ER438"/>
      <c r="ES438"/>
    </row>
    <row r="439" spans="1:149">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c r="EN439"/>
      <c r="EO439"/>
      <c r="EP439"/>
      <c r="EQ439"/>
      <c r="ER439"/>
      <c r="ES439"/>
    </row>
    <row r="440" spans="1:149">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c r="EN440"/>
      <c r="EO440"/>
      <c r="EP440"/>
      <c r="EQ440"/>
      <c r="ER440"/>
      <c r="ES440"/>
    </row>
    <row r="441" spans="1:149">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c r="EN441"/>
      <c r="EO441"/>
      <c r="EP441"/>
      <c r="EQ441"/>
      <c r="ER441"/>
      <c r="ES441"/>
    </row>
    <row r="442" spans="1:149">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c r="EN442"/>
      <c r="EO442"/>
      <c r="EP442"/>
      <c r="EQ442"/>
      <c r="ER442"/>
      <c r="ES442"/>
    </row>
    <row r="443" spans="1:149">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c r="EN443"/>
      <c r="EO443"/>
      <c r="EP443"/>
      <c r="EQ443"/>
      <c r="ER443"/>
      <c r="ES443"/>
    </row>
    <row r="444" spans="1:149">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c r="EN444"/>
      <c r="EO444"/>
      <c r="EP444"/>
      <c r="EQ444"/>
      <c r="ER444"/>
      <c r="ES444"/>
    </row>
    <row r="445" spans="1:149">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c r="EN445"/>
      <c r="EO445"/>
      <c r="EP445"/>
      <c r="EQ445"/>
      <c r="ER445"/>
      <c r="ES445"/>
    </row>
    <row r="446" spans="1:149">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c r="EN446"/>
      <c r="EO446"/>
      <c r="EP446"/>
      <c r="EQ446"/>
      <c r="ER446"/>
      <c r="ES446"/>
    </row>
    <row r="447" spans="1:149">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c r="EN447"/>
      <c r="EO447"/>
      <c r="EP447"/>
      <c r="EQ447"/>
      <c r="ER447"/>
      <c r="ES447"/>
    </row>
    <row r="448" spans="1:149">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c r="EN448"/>
      <c r="EO448"/>
      <c r="EP448"/>
      <c r="EQ448"/>
      <c r="ER448"/>
      <c r="ES448"/>
    </row>
    <row r="449" spans="1:149">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c r="EN449"/>
      <c r="EO449"/>
      <c r="EP449"/>
      <c r="EQ449"/>
      <c r="ER449"/>
      <c r="ES449"/>
    </row>
    <row r="450" spans="1:149">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c r="EN450"/>
      <c r="EO450"/>
      <c r="EP450"/>
      <c r="EQ450"/>
      <c r="ER450"/>
      <c r="ES450"/>
    </row>
    <row r="451" spans="1:149">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c r="EN451"/>
      <c r="EO451"/>
      <c r="EP451"/>
      <c r="EQ451"/>
      <c r="ER451"/>
      <c r="ES451"/>
    </row>
    <row r="452" spans="1:149">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c r="EN452"/>
      <c r="EO452"/>
      <c r="EP452"/>
      <c r="EQ452"/>
      <c r="ER452"/>
      <c r="ES452"/>
    </row>
    <row r="453" spans="1:149">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c r="EN453"/>
      <c r="EO453"/>
      <c r="EP453"/>
      <c r="EQ453"/>
      <c r="ER453"/>
      <c r="ES453"/>
    </row>
    <row r="454" spans="1:149">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c r="EN454"/>
      <c r="EO454"/>
      <c r="EP454"/>
      <c r="EQ454"/>
      <c r="ER454"/>
      <c r="ES454"/>
    </row>
    <row r="455" spans="1:149">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c r="EN455"/>
      <c r="EO455"/>
      <c r="EP455"/>
      <c r="EQ455"/>
      <c r="ER455"/>
      <c r="ES455"/>
    </row>
    <row r="456" spans="1:149">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c r="EN456"/>
      <c r="EO456"/>
      <c r="EP456"/>
      <c r="EQ456"/>
      <c r="ER456"/>
      <c r="ES456"/>
    </row>
    <row r="457" spans="1:149">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c r="EN457"/>
      <c r="EO457"/>
      <c r="EP457"/>
      <c r="EQ457"/>
      <c r="ER457"/>
      <c r="ES457"/>
    </row>
    <row r="458" spans="1:149">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c r="EN458"/>
      <c r="EO458"/>
      <c r="EP458"/>
      <c r="EQ458"/>
      <c r="ER458"/>
      <c r="ES458"/>
    </row>
    <row r="459" spans="1:149">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c r="EN459"/>
      <c r="EO459"/>
      <c r="EP459"/>
      <c r="EQ459"/>
      <c r="ER459"/>
      <c r="ES459"/>
    </row>
    <row r="460" spans="1:149">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c r="EN460"/>
      <c r="EO460"/>
      <c r="EP460"/>
      <c r="EQ460"/>
      <c r="ER460"/>
      <c r="ES460"/>
    </row>
    <row r="461" spans="1:149">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c r="EN461"/>
      <c r="EO461"/>
      <c r="EP461"/>
      <c r="EQ461"/>
      <c r="ER461"/>
      <c r="ES461"/>
    </row>
    <row r="462" spans="1:149">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c r="EN462"/>
      <c r="EO462"/>
      <c r="EP462"/>
      <c r="EQ462"/>
      <c r="ER462"/>
      <c r="ES462"/>
    </row>
    <row r="463" spans="1:149">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c r="EN463"/>
      <c r="EO463"/>
      <c r="EP463"/>
      <c r="EQ463"/>
      <c r="ER463"/>
      <c r="ES463"/>
    </row>
    <row r="464" spans="1:149">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c r="EN464"/>
      <c r="EO464"/>
      <c r="EP464"/>
      <c r="EQ464"/>
      <c r="ER464"/>
      <c r="ES464"/>
    </row>
    <row r="465" spans="1:149">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c r="EN465"/>
      <c r="EO465"/>
      <c r="EP465"/>
      <c r="EQ465"/>
      <c r="ER465"/>
      <c r="ES465"/>
    </row>
    <row r="466" spans="1:149">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c r="EN466"/>
      <c r="EO466"/>
      <c r="EP466"/>
      <c r="EQ466"/>
      <c r="ER466"/>
      <c r="ES466"/>
    </row>
    <row r="467" spans="1:149">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c r="EN467"/>
      <c r="EO467"/>
      <c r="EP467"/>
      <c r="EQ467"/>
      <c r="ER467"/>
      <c r="ES467"/>
    </row>
    <row r="468" spans="1:149">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c r="EN468"/>
      <c r="EO468"/>
      <c r="EP468"/>
      <c r="EQ468"/>
      <c r="ER468"/>
      <c r="ES468"/>
    </row>
    <row r="469" spans="1:149">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c r="EN469"/>
      <c r="EO469"/>
      <c r="EP469"/>
      <c r="EQ469"/>
      <c r="ER469"/>
      <c r="ES469"/>
    </row>
    <row r="470" spans="1:149">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c r="EN470"/>
      <c r="EO470"/>
      <c r="EP470"/>
      <c r="EQ470"/>
      <c r="ER470"/>
      <c r="ES470"/>
    </row>
    <row r="471" spans="1:149">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c r="EN471"/>
      <c r="EO471"/>
      <c r="EP471"/>
      <c r="EQ471"/>
      <c r="ER471"/>
      <c r="ES471"/>
    </row>
    <row r="472" spans="1:149">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c r="EN472"/>
      <c r="EO472"/>
      <c r="EP472"/>
      <c r="EQ472"/>
      <c r="ER472"/>
      <c r="ES472"/>
    </row>
    <row r="473" spans="1:149">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c r="EN473"/>
      <c r="EO473"/>
      <c r="EP473"/>
      <c r="EQ473"/>
      <c r="ER473"/>
      <c r="ES473"/>
    </row>
    <row r="474" spans="1:149">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c r="EN474"/>
      <c r="EO474"/>
      <c r="EP474"/>
      <c r="EQ474"/>
      <c r="ER474"/>
      <c r="ES474"/>
    </row>
    <row r="475" spans="1:149">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c r="EN475"/>
      <c r="EO475"/>
      <c r="EP475"/>
      <c r="EQ475"/>
      <c r="ER475"/>
      <c r="ES475"/>
    </row>
    <row r="476" spans="1:149">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c r="EO476"/>
      <c r="EP476"/>
      <c r="EQ476"/>
      <c r="ER476"/>
      <c r="ES476"/>
    </row>
    <row r="477" spans="1:149">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c r="EO477"/>
      <c r="EP477"/>
      <c r="EQ477"/>
      <c r="ER477"/>
      <c r="ES477"/>
    </row>
    <row r="478" spans="1:149">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c r="EO478"/>
      <c r="EP478"/>
      <c r="EQ478"/>
      <c r="ER478"/>
      <c r="ES478"/>
    </row>
    <row r="479" spans="1:149">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c r="EO479"/>
      <c r="EP479"/>
      <c r="EQ479"/>
      <c r="ER479"/>
      <c r="ES479"/>
    </row>
    <row r="480" spans="1:149">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c r="EO480"/>
      <c r="EP480"/>
      <c r="EQ480"/>
      <c r="ER480"/>
      <c r="ES480"/>
    </row>
    <row r="481" spans="1:149">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c r="EO481"/>
      <c r="EP481"/>
      <c r="EQ481"/>
      <c r="ER481"/>
      <c r="ES481"/>
    </row>
    <row r="482" spans="1:149">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c r="EO482"/>
      <c r="EP482"/>
      <c r="EQ482"/>
      <c r="ER482"/>
      <c r="ES482"/>
    </row>
    <row r="483" spans="1:149">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c r="EO483"/>
      <c r="EP483"/>
      <c r="EQ483"/>
      <c r="ER483"/>
      <c r="ES483"/>
    </row>
    <row r="484" spans="1:149">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c r="EO484"/>
      <c r="EP484"/>
      <c r="EQ484"/>
      <c r="ER484"/>
      <c r="ES484"/>
    </row>
    <row r="485" spans="1:149">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c r="EN485"/>
      <c r="EO485"/>
      <c r="EP485"/>
      <c r="EQ485"/>
      <c r="ER485"/>
      <c r="ES485"/>
    </row>
    <row r="486" spans="1:149">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c r="EN486"/>
      <c r="EO486"/>
      <c r="EP486"/>
      <c r="EQ486"/>
      <c r="ER486"/>
      <c r="ES486"/>
    </row>
    <row r="487" spans="1:149">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c r="EN487"/>
      <c r="EO487"/>
      <c r="EP487"/>
      <c r="EQ487"/>
      <c r="ER487"/>
      <c r="ES487"/>
    </row>
    <row r="488" spans="1:149">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c r="DF488"/>
      <c r="DG488"/>
      <c r="DH488"/>
      <c r="DI488"/>
      <c r="DJ488"/>
      <c r="DK488"/>
      <c r="DL488"/>
      <c r="DM488"/>
      <c r="DN488"/>
      <c r="DO488"/>
      <c r="DP488"/>
      <c r="DQ488"/>
      <c r="DR488"/>
      <c r="DS488"/>
      <c r="DT488"/>
      <c r="DU488"/>
      <c r="DV488"/>
      <c r="DW488"/>
      <c r="DX488"/>
      <c r="DY488"/>
      <c r="DZ488"/>
      <c r="EA488"/>
      <c r="EB488"/>
      <c r="EC488"/>
      <c r="ED488"/>
      <c r="EE488"/>
      <c r="EF488"/>
      <c r="EG488"/>
      <c r="EH488"/>
      <c r="EI488"/>
      <c r="EJ488"/>
      <c r="EK488"/>
      <c r="EL488"/>
      <c r="EM488"/>
      <c r="EN488"/>
      <c r="EO488"/>
      <c r="EP488"/>
      <c r="EQ488"/>
      <c r="ER488"/>
      <c r="ES488"/>
    </row>
    <row r="489" spans="1:149">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c r="EN489"/>
      <c r="EO489"/>
      <c r="EP489"/>
      <c r="EQ489"/>
      <c r="ER489"/>
      <c r="ES489"/>
    </row>
    <row r="490" spans="1:149">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c r="DF490"/>
      <c r="DG490"/>
      <c r="DH490"/>
      <c r="DI490"/>
      <c r="DJ490"/>
      <c r="DK490"/>
      <c r="DL490"/>
      <c r="DM490"/>
      <c r="DN490"/>
      <c r="DO490"/>
      <c r="DP490"/>
      <c r="DQ490"/>
      <c r="DR490"/>
      <c r="DS490"/>
      <c r="DT490"/>
      <c r="DU490"/>
      <c r="DV490"/>
      <c r="DW490"/>
      <c r="DX490"/>
      <c r="DY490"/>
      <c r="DZ490"/>
      <c r="EA490"/>
      <c r="EB490"/>
      <c r="EC490"/>
      <c r="ED490"/>
      <c r="EE490"/>
      <c r="EF490"/>
      <c r="EG490"/>
      <c r="EH490"/>
      <c r="EI490"/>
      <c r="EJ490"/>
      <c r="EK490"/>
      <c r="EL490"/>
      <c r="EM490"/>
      <c r="EN490"/>
      <c r="EO490"/>
      <c r="EP490"/>
      <c r="EQ490"/>
      <c r="ER490"/>
      <c r="ES490"/>
    </row>
    <row r="491" spans="1:149">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c r="DF491"/>
      <c r="DG491"/>
      <c r="DH491"/>
      <c r="DI491"/>
      <c r="DJ491"/>
      <c r="DK491"/>
      <c r="DL491"/>
      <c r="DM491"/>
      <c r="DN491"/>
      <c r="DO491"/>
      <c r="DP491"/>
      <c r="DQ491"/>
      <c r="DR491"/>
      <c r="DS491"/>
      <c r="DT491"/>
      <c r="DU491"/>
      <c r="DV491"/>
      <c r="DW491"/>
      <c r="DX491"/>
      <c r="DY491"/>
      <c r="DZ491"/>
      <c r="EA491"/>
      <c r="EB491"/>
      <c r="EC491"/>
      <c r="ED491"/>
      <c r="EE491"/>
      <c r="EF491"/>
      <c r="EG491"/>
      <c r="EH491"/>
      <c r="EI491"/>
      <c r="EJ491"/>
      <c r="EK491"/>
      <c r="EL491"/>
      <c r="EM491"/>
      <c r="EN491"/>
      <c r="EO491"/>
      <c r="EP491"/>
      <c r="EQ491"/>
      <c r="ER491"/>
      <c r="ES491"/>
    </row>
    <row r="492" spans="1:149">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c r="DF492"/>
      <c r="DG492"/>
      <c r="DH492"/>
      <c r="DI492"/>
      <c r="DJ492"/>
      <c r="DK492"/>
      <c r="DL492"/>
      <c r="DM492"/>
      <c r="DN492"/>
      <c r="DO492"/>
      <c r="DP492"/>
      <c r="DQ492"/>
      <c r="DR492"/>
      <c r="DS492"/>
      <c r="DT492"/>
      <c r="DU492"/>
      <c r="DV492"/>
      <c r="DW492"/>
      <c r="DX492"/>
      <c r="DY492"/>
      <c r="DZ492"/>
      <c r="EA492"/>
      <c r="EB492"/>
      <c r="EC492"/>
      <c r="ED492"/>
      <c r="EE492"/>
      <c r="EF492"/>
      <c r="EG492"/>
      <c r="EH492"/>
      <c r="EI492"/>
      <c r="EJ492"/>
      <c r="EK492"/>
      <c r="EL492"/>
      <c r="EM492"/>
      <c r="EN492"/>
      <c r="EO492"/>
      <c r="EP492"/>
      <c r="EQ492"/>
      <c r="ER492"/>
      <c r="ES492"/>
    </row>
    <row r="493" spans="1:149">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c r="DF493"/>
      <c r="DG493"/>
      <c r="DH493"/>
      <c r="DI493"/>
      <c r="DJ493"/>
      <c r="DK493"/>
      <c r="DL493"/>
      <c r="DM493"/>
      <c r="DN493"/>
      <c r="DO493"/>
      <c r="DP493"/>
      <c r="DQ493"/>
      <c r="DR493"/>
      <c r="DS493"/>
      <c r="DT493"/>
      <c r="DU493"/>
      <c r="DV493"/>
      <c r="DW493"/>
      <c r="DX493"/>
      <c r="DY493"/>
      <c r="DZ493"/>
      <c r="EA493"/>
      <c r="EB493"/>
      <c r="EC493"/>
      <c r="ED493"/>
      <c r="EE493"/>
      <c r="EF493"/>
      <c r="EG493"/>
      <c r="EH493"/>
      <c r="EI493"/>
      <c r="EJ493"/>
      <c r="EK493"/>
      <c r="EL493"/>
      <c r="EM493"/>
      <c r="EN493"/>
      <c r="EO493"/>
      <c r="EP493"/>
      <c r="EQ493"/>
      <c r="ER493"/>
      <c r="ES493"/>
    </row>
    <row r="494" spans="1:149">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c r="DF494"/>
      <c r="DG494"/>
      <c r="DH494"/>
      <c r="DI494"/>
      <c r="DJ494"/>
      <c r="DK494"/>
      <c r="DL494"/>
      <c r="DM494"/>
      <c r="DN494"/>
      <c r="DO494"/>
      <c r="DP494"/>
      <c r="DQ494"/>
      <c r="DR494"/>
      <c r="DS494"/>
      <c r="DT494"/>
      <c r="DU494"/>
      <c r="DV494"/>
      <c r="DW494"/>
      <c r="DX494"/>
      <c r="DY494"/>
      <c r="DZ494"/>
      <c r="EA494"/>
      <c r="EB494"/>
      <c r="EC494"/>
      <c r="ED494"/>
      <c r="EE494"/>
      <c r="EF494"/>
      <c r="EG494"/>
      <c r="EH494"/>
      <c r="EI494"/>
      <c r="EJ494"/>
      <c r="EK494"/>
      <c r="EL494"/>
      <c r="EM494"/>
      <c r="EN494"/>
      <c r="EO494"/>
      <c r="EP494"/>
      <c r="EQ494"/>
      <c r="ER494"/>
      <c r="ES494"/>
    </row>
    <row r="495" spans="1:149">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c r="DF495"/>
      <c r="DG495"/>
      <c r="DH495"/>
      <c r="DI495"/>
      <c r="DJ495"/>
      <c r="DK495"/>
      <c r="DL495"/>
      <c r="DM495"/>
      <c r="DN495"/>
      <c r="DO495"/>
      <c r="DP495"/>
      <c r="DQ495"/>
      <c r="DR495"/>
      <c r="DS495"/>
      <c r="DT495"/>
      <c r="DU495"/>
      <c r="DV495"/>
      <c r="DW495"/>
      <c r="DX495"/>
      <c r="DY495"/>
      <c r="DZ495"/>
      <c r="EA495"/>
      <c r="EB495"/>
      <c r="EC495"/>
      <c r="ED495"/>
      <c r="EE495"/>
      <c r="EF495"/>
      <c r="EG495"/>
      <c r="EH495"/>
      <c r="EI495"/>
      <c r="EJ495"/>
      <c r="EK495"/>
      <c r="EL495"/>
      <c r="EM495"/>
      <c r="EN495"/>
      <c r="EO495"/>
      <c r="EP495"/>
      <c r="EQ495"/>
      <c r="ER495"/>
      <c r="ES495"/>
    </row>
    <row r="496" spans="1:149">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c r="DF496"/>
      <c r="DG496"/>
      <c r="DH496"/>
      <c r="DI496"/>
      <c r="DJ496"/>
      <c r="DK496"/>
      <c r="DL496"/>
      <c r="DM496"/>
      <c r="DN496"/>
      <c r="DO496"/>
      <c r="DP496"/>
      <c r="DQ496"/>
      <c r="DR496"/>
      <c r="DS496"/>
      <c r="DT496"/>
      <c r="DU496"/>
      <c r="DV496"/>
      <c r="DW496"/>
      <c r="DX496"/>
      <c r="DY496"/>
      <c r="DZ496"/>
      <c r="EA496"/>
      <c r="EB496"/>
      <c r="EC496"/>
      <c r="ED496"/>
      <c r="EE496"/>
      <c r="EF496"/>
      <c r="EG496"/>
      <c r="EH496"/>
      <c r="EI496"/>
      <c r="EJ496"/>
      <c r="EK496"/>
      <c r="EL496"/>
      <c r="EM496"/>
      <c r="EN496"/>
      <c r="EO496"/>
      <c r="EP496"/>
      <c r="EQ496"/>
      <c r="ER496"/>
      <c r="ES496"/>
    </row>
    <row r="497" spans="1:149">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c r="DF497"/>
      <c r="DG497"/>
      <c r="DH497"/>
      <c r="DI497"/>
      <c r="DJ497"/>
      <c r="DK497"/>
      <c r="DL497"/>
      <c r="DM497"/>
      <c r="DN497"/>
      <c r="DO497"/>
      <c r="DP497"/>
      <c r="DQ497"/>
      <c r="DR497"/>
      <c r="DS497"/>
      <c r="DT497"/>
      <c r="DU497"/>
      <c r="DV497"/>
      <c r="DW497"/>
      <c r="DX497"/>
      <c r="DY497"/>
      <c r="DZ497"/>
      <c r="EA497"/>
      <c r="EB497"/>
      <c r="EC497"/>
      <c r="ED497"/>
      <c r="EE497"/>
      <c r="EF497"/>
      <c r="EG497"/>
      <c r="EH497"/>
      <c r="EI497"/>
      <c r="EJ497"/>
      <c r="EK497"/>
      <c r="EL497"/>
      <c r="EM497"/>
      <c r="EN497"/>
      <c r="EO497"/>
      <c r="EP497"/>
      <c r="EQ497"/>
      <c r="ER497"/>
      <c r="ES497"/>
    </row>
    <row r="498" spans="1:149">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c r="DF498"/>
      <c r="DG498"/>
      <c r="DH498"/>
      <c r="DI498"/>
      <c r="DJ498"/>
      <c r="DK498"/>
      <c r="DL498"/>
      <c r="DM498"/>
      <c r="DN498"/>
      <c r="DO498"/>
      <c r="DP498"/>
      <c r="DQ498"/>
      <c r="DR498"/>
      <c r="DS498"/>
      <c r="DT498"/>
      <c r="DU498"/>
      <c r="DV498"/>
      <c r="DW498"/>
      <c r="DX498"/>
      <c r="DY498"/>
      <c r="DZ498"/>
      <c r="EA498"/>
      <c r="EB498"/>
      <c r="EC498"/>
      <c r="ED498"/>
      <c r="EE498"/>
      <c r="EF498"/>
      <c r="EG498"/>
      <c r="EH498"/>
      <c r="EI498"/>
      <c r="EJ498"/>
      <c r="EK498"/>
      <c r="EL498"/>
      <c r="EM498"/>
      <c r="EN498"/>
      <c r="EO498"/>
      <c r="EP498"/>
      <c r="EQ498"/>
      <c r="ER498"/>
      <c r="ES498"/>
    </row>
    <row r="499" spans="1:149">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c r="DF499"/>
      <c r="DG499"/>
      <c r="DH499"/>
      <c r="DI499"/>
      <c r="DJ499"/>
      <c r="DK499"/>
      <c r="DL499"/>
      <c r="DM499"/>
      <c r="DN499"/>
      <c r="DO499"/>
      <c r="DP499"/>
      <c r="DQ499"/>
      <c r="DR499"/>
      <c r="DS499"/>
      <c r="DT499"/>
      <c r="DU499"/>
      <c r="DV499"/>
      <c r="DW499"/>
      <c r="DX499"/>
      <c r="DY499"/>
      <c r="DZ499"/>
      <c r="EA499"/>
      <c r="EB499"/>
      <c r="EC499"/>
      <c r="ED499"/>
      <c r="EE499"/>
      <c r="EF499"/>
      <c r="EG499"/>
      <c r="EH499"/>
      <c r="EI499"/>
      <c r="EJ499"/>
      <c r="EK499"/>
      <c r="EL499"/>
      <c r="EM499"/>
      <c r="EN499"/>
      <c r="EO499"/>
      <c r="EP499"/>
      <c r="EQ499"/>
      <c r="ER499"/>
      <c r="ES499"/>
    </row>
    <row r="500" spans="1:149">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c r="DF500"/>
      <c r="DG500"/>
      <c r="DH500"/>
      <c r="DI500"/>
      <c r="DJ500"/>
      <c r="DK500"/>
      <c r="DL500"/>
      <c r="DM500"/>
      <c r="DN500"/>
      <c r="DO500"/>
      <c r="DP500"/>
      <c r="DQ500"/>
      <c r="DR500"/>
      <c r="DS500"/>
      <c r="DT500"/>
      <c r="DU500"/>
      <c r="DV500"/>
      <c r="DW500"/>
      <c r="DX500"/>
      <c r="DY500"/>
      <c r="DZ500"/>
      <c r="EA500"/>
      <c r="EB500"/>
      <c r="EC500"/>
      <c r="ED500"/>
      <c r="EE500"/>
      <c r="EF500"/>
      <c r="EG500"/>
      <c r="EH500"/>
      <c r="EI500"/>
      <c r="EJ500"/>
      <c r="EK500"/>
      <c r="EL500"/>
      <c r="EM500"/>
      <c r="EN500"/>
      <c r="EO500"/>
      <c r="EP500"/>
      <c r="EQ500"/>
      <c r="ER500"/>
      <c r="ES500"/>
    </row>
    <row r="501" spans="1:149">
      <c r="A501"/>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M501"/>
      <c r="CN501"/>
      <c r="CO501"/>
      <c r="CP501"/>
      <c r="CQ501"/>
      <c r="CR501"/>
      <c r="CS501"/>
      <c r="CT501"/>
      <c r="CU501"/>
      <c r="CV501"/>
      <c r="CW501"/>
      <c r="CX501"/>
      <c r="CY501"/>
      <c r="CZ501"/>
      <c r="DA501"/>
      <c r="DB501"/>
      <c r="DC501"/>
      <c r="DD501"/>
      <c r="DE501"/>
      <c r="DF501"/>
      <c r="DG501"/>
      <c r="DH501"/>
      <c r="DI501"/>
      <c r="DJ501"/>
      <c r="DK501"/>
      <c r="DL501"/>
      <c r="DM501"/>
      <c r="DN501"/>
      <c r="DO501"/>
      <c r="DP501"/>
      <c r="DQ501"/>
      <c r="DR501"/>
      <c r="DS501"/>
      <c r="DT501"/>
      <c r="DU501"/>
      <c r="DV501"/>
      <c r="DW501"/>
      <c r="DX501"/>
      <c r="DY501"/>
      <c r="DZ501"/>
      <c r="EA501"/>
      <c r="EB501"/>
      <c r="EC501"/>
      <c r="ED501"/>
      <c r="EE501"/>
      <c r="EF501"/>
      <c r="EG501"/>
      <c r="EH501"/>
      <c r="EI501"/>
      <c r="EJ501"/>
      <c r="EK501"/>
      <c r="EL501"/>
      <c r="EM501"/>
      <c r="EN501"/>
      <c r="EO501"/>
      <c r="EP501"/>
      <c r="EQ501"/>
      <c r="ER501"/>
      <c r="ES501"/>
    </row>
    <row r="502" spans="1:149">
      <c r="A502"/>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M502"/>
      <c r="CN502"/>
      <c r="CO502"/>
      <c r="CP502"/>
      <c r="CQ502"/>
      <c r="CR502"/>
      <c r="CS502"/>
      <c r="CT502"/>
      <c r="CU502"/>
      <c r="CV502"/>
      <c r="CW502"/>
      <c r="CX502"/>
      <c r="CY502"/>
      <c r="CZ502"/>
      <c r="DA502"/>
      <c r="DB502"/>
      <c r="DC502"/>
      <c r="DD502"/>
      <c r="DE502"/>
      <c r="DF502"/>
      <c r="DG502"/>
      <c r="DH502"/>
      <c r="DI502"/>
      <c r="DJ502"/>
      <c r="DK502"/>
      <c r="DL502"/>
      <c r="DM502"/>
      <c r="DN502"/>
      <c r="DO502"/>
      <c r="DP502"/>
      <c r="DQ502"/>
      <c r="DR502"/>
      <c r="DS502"/>
      <c r="DT502"/>
      <c r="DU502"/>
      <c r="DV502"/>
      <c r="DW502"/>
      <c r="DX502"/>
      <c r="DY502"/>
      <c r="DZ502"/>
      <c r="EA502"/>
      <c r="EB502"/>
      <c r="EC502"/>
      <c r="ED502"/>
      <c r="EE502"/>
      <c r="EF502"/>
      <c r="EG502"/>
      <c r="EH502"/>
      <c r="EI502"/>
      <c r="EJ502"/>
      <c r="EK502"/>
      <c r="EL502"/>
      <c r="EM502"/>
      <c r="EN502"/>
      <c r="EO502"/>
      <c r="EP502"/>
      <c r="EQ502"/>
      <c r="ER502"/>
      <c r="ES502"/>
    </row>
    <row r="503" spans="1:149">
      <c r="A503"/>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M503"/>
      <c r="CN503"/>
      <c r="CO503"/>
      <c r="CP503"/>
      <c r="CQ503"/>
      <c r="CR503"/>
      <c r="CS503"/>
      <c r="CT503"/>
      <c r="CU503"/>
      <c r="CV503"/>
      <c r="CW503"/>
      <c r="CX503"/>
      <c r="CY503"/>
      <c r="CZ503"/>
      <c r="DA503"/>
      <c r="DB503"/>
      <c r="DC503"/>
      <c r="DD503"/>
      <c r="DE503"/>
      <c r="DF503"/>
      <c r="DG503"/>
      <c r="DH503"/>
      <c r="DI503"/>
      <c r="DJ503"/>
      <c r="DK503"/>
      <c r="DL503"/>
      <c r="DM503"/>
      <c r="DN503"/>
      <c r="DO503"/>
      <c r="DP503"/>
      <c r="DQ503"/>
      <c r="DR503"/>
      <c r="DS503"/>
      <c r="DT503"/>
      <c r="DU503"/>
      <c r="DV503"/>
      <c r="DW503"/>
      <c r="DX503"/>
      <c r="DY503"/>
      <c r="DZ503"/>
      <c r="EA503"/>
      <c r="EB503"/>
      <c r="EC503"/>
      <c r="ED503"/>
      <c r="EE503"/>
      <c r="EF503"/>
      <c r="EG503"/>
      <c r="EH503"/>
      <c r="EI503"/>
      <c r="EJ503"/>
      <c r="EK503"/>
      <c r="EL503"/>
      <c r="EM503"/>
      <c r="EN503"/>
      <c r="EO503"/>
      <c r="EP503"/>
      <c r="EQ503"/>
      <c r="ER503"/>
      <c r="ES503"/>
    </row>
    <row r="504" spans="1:149">
      <c r="A504"/>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M504"/>
      <c r="CN504"/>
      <c r="CO504"/>
      <c r="CP504"/>
      <c r="CQ504"/>
      <c r="CR504"/>
      <c r="CS504"/>
      <c r="CT504"/>
      <c r="CU504"/>
      <c r="CV504"/>
      <c r="CW504"/>
      <c r="CX504"/>
      <c r="CY504"/>
      <c r="CZ504"/>
      <c r="DA504"/>
      <c r="DB504"/>
      <c r="DC504"/>
      <c r="DD504"/>
      <c r="DE504"/>
      <c r="DF504"/>
      <c r="DG504"/>
      <c r="DH504"/>
      <c r="DI504"/>
      <c r="DJ504"/>
      <c r="DK504"/>
      <c r="DL504"/>
      <c r="DM504"/>
      <c r="DN504"/>
      <c r="DO504"/>
      <c r="DP504"/>
      <c r="DQ504"/>
      <c r="DR504"/>
      <c r="DS504"/>
      <c r="DT504"/>
      <c r="DU504"/>
      <c r="DV504"/>
      <c r="DW504"/>
      <c r="DX504"/>
      <c r="DY504"/>
      <c r="DZ504"/>
      <c r="EA504"/>
      <c r="EB504"/>
      <c r="EC504"/>
      <c r="ED504"/>
      <c r="EE504"/>
      <c r="EF504"/>
      <c r="EG504"/>
      <c r="EH504"/>
      <c r="EI504"/>
      <c r="EJ504"/>
      <c r="EK504"/>
      <c r="EL504"/>
      <c r="EM504"/>
      <c r="EN504"/>
      <c r="EO504"/>
      <c r="EP504"/>
      <c r="EQ504"/>
      <c r="ER504"/>
      <c r="ES504"/>
    </row>
    <row r="505" spans="1:149">
      <c r="A50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M505"/>
      <c r="CN505"/>
      <c r="CO505"/>
      <c r="CP505"/>
      <c r="CQ505"/>
      <c r="CR505"/>
      <c r="CS505"/>
      <c r="CT505"/>
      <c r="CU505"/>
      <c r="CV505"/>
      <c r="CW505"/>
      <c r="CX505"/>
      <c r="CY505"/>
      <c r="CZ505"/>
      <c r="DA505"/>
      <c r="DB505"/>
      <c r="DC505"/>
      <c r="DD505"/>
      <c r="DE505"/>
      <c r="DF505"/>
      <c r="DG505"/>
      <c r="DH505"/>
      <c r="DI505"/>
      <c r="DJ505"/>
      <c r="DK505"/>
      <c r="DL505"/>
      <c r="DM505"/>
      <c r="DN505"/>
      <c r="DO505"/>
      <c r="DP505"/>
      <c r="DQ505"/>
      <c r="DR505"/>
      <c r="DS505"/>
      <c r="DT505"/>
      <c r="DU505"/>
      <c r="DV505"/>
      <c r="DW505"/>
      <c r="DX505"/>
      <c r="DY505"/>
      <c r="DZ505"/>
      <c r="EA505"/>
      <c r="EB505"/>
      <c r="EC505"/>
      <c r="ED505"/>
      <c r="EE505"/>
      <c r="EF505"/>
      <c r="EG505"/>
      <c r="EH505"/>
      <c r="EI505"/>
      <c r="EJ505"/>
      <c r="EK505"/>
      <c r="EL505"/>
      <c r="EM505"/>
      <c r="EN505"/>
      <c r="EO505"/>
      <c r="EP505"/>
      <c r="EQ505"/>
      <c r="ER505"/>
      <c r="ES505"/>
    </row>
    <row r="506" spans="1:149">
      <c r="A506"/>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M506"/>
      <c r="CN506"/>
      <c r="CO506"/>
      <c r="CP506"/>
      <c r="CQ506"/>
      <c r="CR506"/>
      <c r="CS506"/>
      <c r="CT506"/>
      <c r="CU506"/>
      <c r="CV506"/>
      <c r="CW506"/>
      <c r="CX506"/>
      <c r="CY506"/>
      <c r="CZ506"/>
      <c r="DA506"/>
      <c r="DB506"/>
      <c r="DC506"/>
      <c r="DD506"/>
      <c r="DE506"/>
      <c r="DF506"/>
      <c r="DG506"/>
      <c r="DH506"/>
      <c r="DI506"/>
      <c r="DJ506"/>
      <c r="DK506"/>
      <c r="DL506"/>
      <c r="DM506"/>
      <c r="DN506"/>
      <c r="DO506"/>
      <c r="DP506"/>
      <c r="DQ506"/>
      <c r="DR506"/>
      <c r="DS506"/>
      <c r="DT506"/>
      <c r="DU506"/>
      <c r="DV506"/>
      <c r="DW506"/>
      <c r="DX506"/>
      <c r="DY506"/>
      <c r="DZ506"/>
      <c r="EA506"/>
      <c r="EB506"/>
      <c r="EC506"/>
      <c r="ED506"/>
      <c r="EE506"/>
      <c r="EF506"/>
      <c r="EG506"/>
      <c r="EH506"/>
      <c r="EI506"/>
      <c r="EJ506"/>
      <c r="EK506"/>
      <c r="EL506"/>
      <c r="EM506"/>
      <c r="EN506"/>
      <c r="EO506"/>
      <c r="EP506"/>
      <c r="EQ506"/>
      <c r="ER506"/>
      <c r="ES506"/>
    </row>
    <row r="507" spans="1:149">
      <c r="A507"/>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M507"/>
      <c r="CN507"/>
      <c r="CO507"/>
      <c r="CP507"/>
      <c r="CQ507"/>
      <c r="CR507"/>
      <c r="CS507"/>
      <c r="CT507"/>
      <c r="CU507"/>
      <c r="CV507"/>
      <c r="CW507"/>
      <c r="CX507"/>
      <c r="CY507"/>
      <c r="CZ507"/>
      <c r="DA507"/>
      <c r="DB507"/>
      <c r="DC507"/>
      <c r="DD507"/>
      <c r="DE507"/>
      <c r="DF507"/>
      <c r="DG507"/>
      <c r="DH507"/>
      <c r="DI507"/>
      <c r="DJ507"/>
      <c r="DK507"/>
      <c r="DL507"/>
      <c r="DM507"/>
      <c r="DN507"/>
      <c r="DO507"/>
      <c r="DP507"/>
      <c r="DQ507"/>
      <c r="DR507"/>
      <c r="DS507"/>
      <c r="DT507"/>
      <c r="DU507"/>
      <c r="DV507"/>
      <c r="DW507"/>
      <c r="DX507"/>
      <c r="DY507"/>
      <c r="DZ507"/>
      <c r="EA507"/>
      <c r="EB507"/>
      <c r="EC507"/>
      <c r="ED507"/>
      <c r="EE507"/>
      <c r="EF507"/>
      <c r="EG507"/>
      <c r="EH507"/>
      <c r="EI507"/>
      <c r="EJ507"/>
      <c r="EK507"/>
      <c r="EL507"/>
      <c r="EM507"/>
      <c r="EN507"/>
      <c r="EO507"/>
      <c r="EP507"/>
      <c r="EQ507"/>
      <c r="ER507"/>
      <c r="ES507"/>
    </row>
    <row r="508" spans="1:149">
      <c r="A508"/>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M508"/>
      <c r="CN508"/>
      <c r="CO508"/>
      <c r="CP508"/>
      <c r="CQ508"/>
      <c r="CR508"/>
      <c r="CS508"/>
      <c r="CT508"/>
      <c r="CU508"/>
      <c r="CV508"/>
      <c r="CW508"/>
      <c r="CX508"/>
      <c r="CY508"/>
      <c r="CZ508"/>
      <c r="DA508"/>
      <c r="DB508"/>
      <c r="DC508"/>
      <c r="DD508"/>
      <c r="DE508"/>
      <c r="DF508"/>
      <c r="DG508"/>
      <c r="DH508"/>
      <c r="DI508"/>
      <c r="DJ508"/>
      <c r="DK508"/>
      <c r="DL508"/>
      <c r="DM508"/>
      <c r="DN508"/>
      <c r="DO508"/>
      <c r="DP508"/>
      <c r="DQ508"/>
      <c r="DR508"/>
      <c r="DS508"/>
      <c r="DT508"/>
      <c r="DU508"/>
      <c r="DV508"/>
      <c r="DW508"/>
      <c r="DX508"/>
      <c r="DY508"/>
      <c r="DZ508"/>
      <c r="EA508"/>
      <c r="EB508"/>
      <c r="EC508"/>
      <c r="ED508"/>
      <c r="EE508"/>
      <c r="EF508"/>
      <c r="EG508"/>
      <c r="EH508"/>
      <c r="EI508"/>
      <c r="EJ508"/>
      <c r="EK508"/>
      <c r="EL508"/>
      <c r="EM508"/>
      <c r="EN508"/>
      <c r="EO508"/>
      <c r="EP508"/>
      <c r="EQ508"/>
      <c r="ER508"/>
      <c r="ES508"/>
    </row>
    <row r="509" spans="1:149">
      <c r="A509"/>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M509"/>
      <c r="CN509"/>
      <c r="CO509"/>
      <c r="CP509"/>
      <c r="CQ509"/>
      <c r="CR509"/>
      <c r="CS509"/>
      <c r="CT509"/>
      <c r="CU509"/>
      <c r="CV509"/>
      <c r="CW509"/>
      <c r="CX509"/>
      <c r="CY509"/>
      <c r="CZ509"/>
      <c r="DA509"/>
      <c r="DB509"/>
      <c r="DC509"/>
      <c r="DD509"/>
      <c r="DE509"/>
      <c r="DF509"/>
      <c r="DG509"/>
      <c r="DH509"/>
      <c r="DI509"/>
      <c r="DJ509"/>
      <c r="DK509"/>
      <c r="DL509"/>
      <c r="DM509"/>
      <c r="DN509"/>
      <c r="DO509"/>
      <c r="DP509"/>
      <c r="DQ509"/>
      <c r="DR509"/>
      <c r="DS509"/>
      <c r="DT509"/>
      <c r="DU509"/>
      <c r="DV509"/>
      <c r="DW509"/>
      <c r="DX509"/>
      <c r="DY509"/>
      <c r="DZ509"/>
      <c r="EA509"/>
      <c r="EB509"/>
      <c r="EC509"/>
      <c r="ED509"/>
      <c r="EE509"/>
      <c r="EF509"/>
      <c r="EG509"/>
      <c r="EH509"/>
      <c r="EI509"/>
      <c r="EJ509"/>
      <c r="EK509"/>
      <c r="EL509"/>
      <c r="EM509"/>
      <c r="EN509"/>
      <c r="EO509"/>
      <c r="EP509"/>
      <c r="EQ509"/>
      <c r="ER509"/>
      <c r="ES509"/>
    </row>
    <row r="510" spans="1:149">
      <c r="A510"/>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M510"/>
      <c r="CN510"/>
      <c r="CO510"/>
      <c r="CP510"/>
      <c r="CQ510"/>
      <c r="CR510"/>
      <c r="CS510"/>
      <c r="CT510"/>
      <c r="CU510"/>
      <c r="CV510"/>
      <c r="CW510"/>
      <c r="CX510"/>
      <c r="CY510"/>
      <c r="CZ510"/>
      <c r="DA510"/>
      <c r="DB510"/>
      <c r="DC510"/>
      <c r="DD510"/>
      <c r="DE510"/>
      <c r="DF510"/>
      <c r="DG510"/>
      <c r="DH510"/>
      <c r="DI510"/>
      <c r="DJ510"/>
      <c r="DK510"/>
      <c r="DL510"/>
      <c r="DM510"/>
      <c r="DN510"/>
      <c r="DO510"/>
      <c r="DP510"/>
      <c r="DQ510"/>
      <c r="DR510"/>
      <c r="DS510"/>
      <c r="DT510"/>
      <c r="DU510"/>
      <c r="DV510"/>
      <c r="DW510"/>
      <c r="DX510"/>
      <c r="DY510"/>
      <c r="DZ510"/>
      <c r="EA510"/>
      <c r="EB510"/>
      <c r="EC510"/>
      <c r="ED510"/>
      <c r="EE510"/>
      <c r="EF510"/>
      <c r="EG510"/>
      <c r="EH510"/>
      <c r="EI510"/>
      <c r="EJ510"/>
      <c r="EK510"/>
      <c r="EL510"/>
      <c r="EM510"/>
      <c r="EN510"/>
      <c r="EO510"/>
      <c r="EP510"/>
      <c r="EQ510"/>
      <c r="ER510"/>
      <c r="ES510"/>
    </row>
    <row r="511" spans="1:149">
      <c r="A511"/>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M511"/>
      <c r="CN511"/>
      <c r="CO511"/>
      <c r="CP511"/>
      <c r="CQ511"/>
      <c r="CR511"/>
      <c r="CS511"/>
      <c r="CT511"/>
      <c r="CU511"/>
      <c r="CV511"/>
      <c r="CW511"/>
      <c r="CX511"/>
      <c r="CY511"/>
      <c r="CZ511"/>
      <c r="DA511"/>
      <c r="DB511"/>
      <c r="DC511"/>
      <c r="DD511"/>
      <c r="DE511"/>
      <c r="DF511"/>
      <c r="DG511"/>
      <c r="DH511"/>
      <c r="DI511"/>
      <c r="DJ511"/>
      <c r="DK511"/>
      <c r="DL511"/>
      <c r="DM511"/>
      <c r="DN511"/>
      <c r="DO511"/>
      <c r="DP511"/>
      <c r="DQ511"/>
      <c r="DR511"/>
      <c r="DS511"/>
      <c r="DT511"/>
      <c r="DU511"/>
      <c r="DV511"/>
      <c r="DW511"/>
      <c r="DX511"/>
      <c r="DY511"/>
      <c r="DZ511"/>
      <c r="EA511"/>
      <c r="EB511"/>
      <c r="EC511"/>
      <c r="ED511"/>
      <c r="EE511"/>
      <c r="EF511"/>
      <c r="EG511"/>
      <c r="EH511"/>
      <c r="EI511"/>
      <c r="EJ511"/>
      <c r="EK511"/>
      <c r="EL511"/>
      <c r="EM511"/>
      <c r="EN511"/>
      <c r="EO511"/>
      <c r="EP511"/>
      <c r="EQ511"/>
      <c r="ER511"/>
      <c r="ES511"/>
    </row>
    <row r="512" spans="1:149">
      <c r="A512"/>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M512"/>
      <c r="CN512"/>
      <c r="CO512"/>
      <c r="CP512"/>
      <c r="CQ512"/>
      <c r="CR512"/>
      <c r="CS512"/>
      <c r="CT512"/>
      <c r="CU512"/>
      <c r="CV512"/>
      <c r="CW512"/>
      <c r="CX512"/>
      <c r="CY512"/>
      <c r="CZ512"/>
      <c r="DA512"/>
      <c r="DB512"/>
      <c r="DC512"/>
      <c r="DD512"/>
      <c r="DE512"/>
      <c r="DF512"/>
      <c r="DG512"/>
      <c r="DH512"/>
      <c r="DI512"/>
      <c r="DJ512"/>
      <c r="DK512"/>
      <c r="DL512"/>
      <c r="DM512"/>
      <c r="DN512"/>
      <c r="DO512"/>
      <c r="DP512"/>
      <c r="DQ512"/>
      <c r="DR512"/>
      <c r="DS512"/>
      <c r="DT512"/>
      <c r="DU512"/>
      <c r="DV512"/>
      <c r="DW512"/>
      <c r="DX512"/>
      <c r="DY512"/>
      <c r="DZ512"/>
      <c r="EA512"/>
      <c r="EB512"/>
      <c r="EC512"/>
      <c r="ED512"/>
      <c r="EE512"/>
      <c r="EF512"/>
      <c r="EG512"/>
      <c r="EH512"/>
      <c r="EI512"/>
      <c r="EJ512"/>
      <c r="EK512"/>
      <c r="EL512"/>
      <c r="EM512"/>
      <c r="EN512"/>
      <c r="EO512"/>
      <c r="EP512"/>
      <c r="EQ512"/>
      <c r="ER512"/>
      <c r="ES512"/>
    </row>
    <row r="513" spans="1:149">
      <c r="A513"/>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M513"/>
      <c r="CN513"/>
      <c r="CO513"/>
      <c r="CP513"/>
      <c r="CQ513"/>
      <c r="CR513"/>
      <c r="CS513"/>
      <c r="CT513"/>
      <c r="CU513"/>
      <c r="CV513"/>
      <c r="CW513"/>
      <c r="CX513"/>
      <c r="CY513"/>
      <c r="CZ513"/>
      <c r="DA513"/>
      <c r="DB513"/>
      <c r="DC513"/>
      <c r="DD513"/>
      <c r="DE513"/>
      <c r="DF513"/>
      <c r="DG513"/>
      <c r="DH513"/>
      <c r="DI513"/>
      <c r="DJ513"/>
      <c r="DK513"/>
      <c r="DL513"/>
      <c r="DM513"/>
      <c r="DN513"/>
      <c r="DO513"/>
      <c r="DP513"/>
      <c r="DQ513"/>
      <c r="DR513"/>
      <c r="DS513"/>
      <c r="DT513"/>
      <c r="DU513"/>
      <c r="DV513"/>
      <c r="DW513"/>
      <c r="DX513"/>
      <c r="DY513"/>
      <c r="DZ513"/>
      <c r="EA513"/>
      <c r="EB513"/>
      <c r="EC513"/>
      <c r="ED513"/>
      <c r="EE513"/>
      <c r="EF513"/>
      <c r="EG513"/>
      <c r="EH513"/>
      <c r="EI513"/>
      <c r="EJ513"/>
      <c r="EK513"/>
      <c r="EL513"/>
      <c r="EM513"/>
      <c r="EN513"/>
      <c r="EO513"/>
      <c r="EP513"/>
      <c r="EQ513"/>
      <c r="ER513"/>
      <c r="ES513"/>
    </row>
    <row r="514" spans="1:149">
      <c r="A514"/>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M514"/>
      <c r="CN514"/>
      <c r="CO514"/>
      <c r="CP514"/>
      <c r="CQ514"/>
      <c r="CR514"/>
      <c r="CS514"/>
      <c r="CT514"/>
      <c r="CU514"/>
      <c r="CV514"/>
      <c r="CW514"/>
      <c r="CX514"/>
      <c r="CY514"/>
      <c r="CZ514"/>
      <c r="DA514"/>
      <c r="DB514"/>
      <c r="DC514"/>
      <c r="DD514"/>
      <c r="DE514"/>
      <c r="DF514"/>
      <c r="DG514"/>
      <c r="DH514"/>
      <c r="DI514"/>
      <c r="DJ514"/>
      <c r="DK514"/>
      <c r="DL514"/>
      <c r="DM514"/>
      <c r="DN514"/>
      <c r="DO514"/>
      <c r="DP514"/>
      <c r="DQ514"/>
      <c r="DR514"/>
      <c r="DS514"/>
      <c r="DT514"/>
      <c r="DU514"/>
      <c r="DV514"/>
      <c r="DW514"/>
      <c r="DX514"/>
      <c r="DY514"/>
      <c r="DZ514"/>
      <c r="EA514"/>
      <c r="EB514"/>
      <c r="EC514"/>
      <c r="ED514"/>
      <c r="EE514"/>
      <c r="EF514"/>
      <c r="EG514"/>
      <c r="EH514"/>
      <c r="EI514"/>
      <c r="EJ514"/>
      <c r="EK514"/>
      <c r="EL514"/>
      <c r="EM514"/>
      <c r="EN514"/>
      <c r="EO514"/>
      <c r="EP514"/>
      <c r="EQ514"/>
      <c r="ER514"/>
      <c r="ES514"/>
    </row>
    <row r="515" spans="1:149">
      <c r="A51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M515"/>
      <c r="CN515"/>
      <c r="CO515"/>
      <c r="CP515"/>
      <c r="CQ515"/>
      <c r="CR515"/>
      <c r="CS515"/>
      <c r="CT515"/>
      <c r="CU515"/>
      <c r="CV515"/>
      <c r="CW515"/>
      <c r="CX515"/>
      <c r="CY515"/>
      <c r="CZ515"/>
      <c r="DA515"/>
      <c r="DB515"/>
      <c r="DC515"/>
      <c r="DD515"/>
      <c r="DE515"/>
      <c r="DF515"/>
      <c r="DG515"/>
      <c r="DH515"/>
      <c r="DI515"/>
      <c r="DJ515"/>
      <c r="DK515"/>
      <c r="DL515"/>
      <c r="DM515"/>
      <c r="DN515"/>
      <c r="DO515"/>
      <c r="DP515"/>
      <c r="DQ515"/>
      <c r="DR515"/>
      <c r="DS515"/>
      <c r="DT515"/>
      <c r="DU515"/>
      <c r="DV515"/>
      <c r="DW515"/>
      <c r="DX515"/>
      <c r="DY515"/>
      <c r="DZ515"/>
      <c r="EA515"/>
      <c r="EB515"/>
      <c r="EC515"/>
      <c r="ED515"/>
      <c r="EE515"/>
      <c r="EF515"/>
      <c r="EG515"/>
      <c r="EH515"/>
      <c r="EI515"/>
      <c r="EJ515"/>
      <c r="EK515"/>
      <c r="EL515"/>
      <c r="EM515"/>
      <c r="EN515"/>
      <c r="EO515"/>
      <c r="EP515"/>
      <c r="EQ515"/>
      <c r="ER515"/>
      <c r="ES515"/>
    </row>
    <row r="516" spans="1:149">
      <c r="A516"/>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M516"/>
      <c r="CN516"/>
      <c r="CO516"/>
      <c r="CP516"/>
      <c r="CQ516"/>
      <c r="CR516"/>
      <c r="CS516"/>
      <c r="CT516"/>
      <c r="CU516"/>
      <c r="CV516"/>
      <c r="CW516"/>
      <c r="CX516"/>
      <c r="CY516"/>
      <c r="CZ516"/>
      <c r="DA516"/>
      <c r="DB516"/>
      <c r="DC516"/>
      <c r="DD516"/>
      <c r="DE516"/>
      <c r="DF516"/>
      <c r="DG516"/>
      <c r="DH516"/>
      <c r="DI516"/>
      <c r="DJ516"/>
      <c r="DK516"/>
      <c r="DL516"/>
      <c r="DM516"/>
      <c r="DN516"/>
      <c r="DO516"/>
      <c r="DP516"/>
      <c r="DQ516"/>
      <c r="DR516"/>
      <c r="DS516"/>
      <c r="DT516"/>
      <c r="DU516"/>
      <c r="DV516"/>
      <c r="DW516"/>
      <c r="DX516"/>
      <c r="DY516"/>
      <c r="DZ516"/>
      <c r="EA516"/>
      <c r="EB516"/>
      <c r="EC516"/>
      <c r="ED516"/>
      <c r="EE516"/>
      <c r="EF516"/>
      <c r="EG516"/>
      <c r="EH516"/>
      <c r="EI516"/>
      <c r="EJ516"/>
      <c r="EK516"/>
      <c r="EL516"/>
      <c r="EM516"/>
      <c r="EN516"/>
      <c r="EO516"/>
      <c r="EP516"/>
      <c r="EQ516"/>
      <c r="ER516"/>
      <c r="ES516"/>
    </row>
    <row r="517" spans="1:149">
      <c r="A517"/>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M517"/>
      <c r="CN517"/>
      <c r="CO517"/>
      <c r="CP517"/>
      <c r="CQ517"/>
      <c r="CR517"/>
      <c r="CS517"/>
      <c r="CT517"/>
      <c r="CU517"/>
      <c r="CV517"/>
      <c r="CW517"/>
      <c r="CX517"/>
      <c r="CY517"/>
      <c r="CZ517"/>
      <c r="DA517"/>
      <c r="DB517"/>
      <c r="DC517"/>
      <c r="DD517"/>
      <c r="DE517"/>
      <c r="DF517"/>
      <c r="DG517"/>
      <c r="DH517"/>
      <c r="DI517"/>
      <c r="DJ517"/>
      <c r="DK517"/>
      <c r="DL517"/>
      <c r="DM517"/>
      <c r="DN517"/>
      <c r="DO517"/>
      <c r="DP517"/>
      <c r="DQ517"/>
      <c r="DR517"/>
      <c r="DS517"/>
      <c r="DT517"/>
      <c r="DU517"/>
      <c r="DV517"/>
      <c r="DW517"/>
      <c r="DX517"/>
      <c r="DY517"/>
      <c r="DZ517"/>
      <c r="EA517"/>
      <c r="EB517"/>
      <c r="EC517"/>
      <c r="ED517"/>
      <c r="EE517"/>
      <c r="EF517"/>
      <c r="EG517"/>
      <c r="EH517"/>
      <c r="EI517"/>
      <c r="EJ517"/>
      <c r="EK517"/>
      <c r="EL517"/>
      <c r="EM517"/>
      <c r="EN517"/>
      <c r="EO517"/>
      <c r="EP517"/>
      <c r="EQ517"/>
      <c r="ER517"/>
      <c r="ES517"/>
    </row>
    <row r="518" spans="1:149">
      <c r="A518"/>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M518"/>
      <c r="CN518"/>
      <c r="CO518"/>
      <c r="CP518"/>
      <c r="CQ518"/>
      <c r="CR518"/>
      <c r="CS518"/>
      <c r="CT518"/>
      <c r="CU518"/>
      <c r="CV518"/>
      <c r="CW518"/>
      <c r="CX518"/>
      <c r="CY518"/>
      <c r="CZ518"/>
      <c r="DA518"/>
      <c r="DB518"/>
      <c r="DC518"/>
      <c r="DD518"/>
      <c r="DE518"/>
      <c r="DF518"/>
      <c r="DG518"/>
      <c r="DH518"/>
      <c r="DI518"/>
      <c r="DJ518"/>
      <c r="DK518"/>
      <c r="DL518"/>
      <c r="DM518"/>
      <c r="DN518"/>
      <c r="DO518"/>
      <c r="DP518"/>
      <c r="DQ518"/>
      <c r="DR518"/>
      <c r="DS518"/>
      <c r="DT518"/>
      <c r="DU518"/>
      <c r="DV518"/>
      <c r="DW518"/>
      <c r="DX518"/>
      <c r="DY518"/>
      <c r="DZ518"/>
      <c r="EA518"/>
      <c r="EB518"/>
      <c r="EC518"/>
      <c r="ED518"/>
      <c r="EE518"/>
      <c r="EF518"/>
      <c r="EG518"/>
      <c r="EH518"/>
      <c r="EI518"/>
      <c r="EJ518"/>
      <c r="EK518"/>
      <c r="EL518"/>
      <c r="EM518"/>
      <c r="EN518"/>
      <c r="EO518"/>
      <c r="EP518"/>
      <c r="EQ518"/>
      <c r="ER518"/>
      <c r="ES518"/>
    </row>
    <row r="519" spans="1:149">
      <c r="A519"/>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M519"/>
      <c r="CN519"/>
      <c r="CO519"/>
      <c r="CP519"/>
      <c r="CQ519"/>
      <c r="CR519"/>
      <c r="CS519"/>
      <c r="CT519"/>
      <c r="CU519"/>
      <c r="CV519"/>
      <c r="CW519"/>
      <c r="CX519"/>
      <c r="CY519"/>
      <c r="CZ519"/>
      <c r="DA519"/>
      <c r="DB519"/>
      <c r="DC519"/>
      <c r="DD519"/>
      <c r="DE519"/>
      <c r="DF519"/>
      <c r="DG519"/>
      <c r="DH519"/>
      <c r="DI519"/>
      <c r="DJ519"/>
      <c r="DK519"/>
      <c r="DL519"/>
      <c r="DM519"/>
      <c r="DN519"/>
      <c r="DO519"/>
      <c r="DP519"/>
      <c r="DQ519"/>
      <c r="DR519"/>
      <c r="DS519"/>
      <c r="DT519"/>
      <c r="DU519"/>
      <c r="DV519"/>
      <c r="DW519"/>
      <c r="DX519"/>
      <c r="DY519"/>
      <c r="DZ519"/>
      <c r="EA519"/>
      <c r="EB519"/>
      <c r="EC519"/>
      <c r="ED519"/>
      <c r="EE519"/>
      <c r="EF519"/>
      <c r="EG519"/>
      <c r="EH519"/>
      <c r="EI519"/>
      <c r="EJ519"/>
      <c r="EK519"/>
      <c r="EL519"/>
      <c r="EM519"/>
      <c r="EN519"/>
      <c r="EO519"/>
      <c r="EP519"/>
      <c r="EQ519"/>
      <c r="ER519"/>
      <c r="ES519"/>
    </row>
    <row r="520" spans="1:149">
      <c r="A520"/>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M520"/>
      <c r="CN520"/>
      <c r="CO520"/>
      <c r="CP520"/>
      <c r="CQ520"/>
      <c r="CR520"/>
      <c r="CS520"/>
      <c r="CT520"/>
      <c r="CU520"/>
      <c r="CV520"/>
      <c r="CW520"/>
      <c r="CX520"/>
      <c r="CY520"/>
      <c r="CZ520"/>
      <c r="DA520"/>
      <c r="DB520"/>
      <c r="DC520"/>
      <c r="DD520"/>
      <c r="DE520"/>
      <c r="DF520"/>
      <c r="DG520"/>
      <c r="DH520"/>
      <c r="DI520"/>
      <c r="DJ520"/>
      <c r="DK520"/>
      <c r="DL520"/>
      <c r="DM520"/>
      <c r="DN520"/>
      <c r="DO520"/>
      <c r="DP520"/>
      <c r="DQ520"/>
      <c r="DR520"/>
      <c r="DS520"/>
      <c r="DT520"/>
      <c r="DU520"/>
      <c r="DV520"/>
      <c r="DW520"/>
      <c r="DX520"/>
      <c r="DY520"/>
      <c r="DZ520"/>
      <c r="EA520"/>
      <c r="EB520"/>
      <c r="EC520"/>
      <c r="ED520"/>
      <c r="EE520"/>
      <c r="EF520"/>
      <c r="EG520"/>
      <c r="EH520"/>
      <c r="EI520"/>
      <c r="EJ520"/>
      <c r="EK520"/>
      <c r="EL520"/>
      <c r="EM520"/>
      <c r="EN520"/>
      <c r="EO520"/>
      <c r="EP520"/>
      <c r="EQ520"/>
      <c r="ER520"/>
      <c r="ES520"/>
    </row>
    <row r="521" spans="1:149">
      <c r="A521"/>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M521"/>
      <c r="CN521"/>
      <c r="CO521"/>
      <c r="CP521"/>
      <c r="CQ521"/>
      <c r="CR521"/>
      <c r="CS521"/>
      <c r="CT521"/>
      <c r="CU521"/>
      <c r="CV521"/>
      <c r="CW521"/>
      <c r="CX521"/>
      <c r="CY521"/>
      <c r="CZ521"/>
      <c r="DA521"/>
      <c r="DB521"/>
      <c r="DC521"/>
      <c r="DD521"/>
      <c r="DE521"/>
      <c r="DF521"/>
      <c r="DG521"/>
      <c r="DH521"/>
      <c r="DI521"/>
      <c r="DJ521"/>
      <c r="DK521"/>
      <c r="DL521"/>
      <c r="DM521"/>
      <c r="DN521"/>
      <c r="DO521"/>
      <c r="DP521"/>
      <c r="DQ521"/>
      <c r="DR521"/>
      <c r="DS521"/>
      <c r="DT521"/>
      <c r="DU521"/>
      <c r="DV521"/>
      <c r="DW521"/>
      <c r="DX521"/>
      <c r="DY521"/>
      <c r="DZ521"/>
      <c r="EA521"/>
      <c r="EB521"/>
      <c r="EC521"/>
      <c r="ED521"/>
      <c r="EE521"/>
      <c r="EF521"/>
      <c r="EG521"/>
      <c r="EH521"/>
      <c r="EI521"/>
      <c r="EJ521"/>
      <c r="EK521"/>
      <c r="EL521"/>
      <c r="EM521"/>
      <c r="EN521"/>
      <c r="EO521"/>
      <c r="EP521"/>
      <c r="EQ521"/>
      <c r="ER521"/>
      <c r="ES521"/>
    </row>
    <row r="522" spans="1:149">
      <c r="A522"/>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M522"/>
      <c r="CN522"/>
      <c r="CO522"/>
      <c r="CP522"/>
      <c r="CQ522"/>
      <c r="CR522"/>
      <c r="CS522"/>
      <c r="CT522"/>
      <c r="CU522"/>
      <c r="CV522"/>
      <c r="CW522"/>
      <c r="CX522"/>
      <c r="CY522"/>
      <c r="CZ522"/>
      <c r="DA522"/>
      <c r="DB522"/>
      <c r="DC522"/>
      <c r="DD522"/>
      <c r="DE522"/>
      <c r="DF522"/>
      <c r="DG522"/>
      <c r="DH522"/>
      <c r="DI522"/>
      <c r="DJ522"/>
      <c r="DK522"/>
      <c r="DL522"/>
      <c r="DM522"/>
      <c r="DN522"/>
      <c r="DO522"/>
      <c r="DP522"/>
      <c r="DQ522"/>
      <c r="DR522"/>
      <c r="DS522"/>
      <c r="DT522"/>
      <c r="DU522"/>
      <c r="DV522"/>
      <c r="DW522"/>
      <c r="DX522"/>
      <c r="DY522"/>
      <c r="DZ522"/>
      <c r="EA522"/>
      <c r="EB522"/>
      <c r="EC522"/>
      <c r="ED522"/>
      <c r="EE522"/>
      <c r="EF522"/>
      <c r="EG522"/>
      <c r="EH522"/>
      <c r="EI522"/>
      <c r="EJ522"/>
      <c r="EK522"/>
      <c r="EL522"/>
      <c r="EM522"/>
      <c r="EN522"/>
      <c r="EO522"/>
      <c r="EP522"/>
      <c r="EQ522"/>
      <c r="ER522"/>
      <c r="ES522"/>
    </row>
    <row r="523" spans="1:149">
      <c r="A523"/>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c r="CW523"/>
      <c r="CX523"/>
      <c r="CY523"/>
      <c r="CZ523"/>
      <c r="DA523"/>
      <c r="DB523"/>
      <c r="DC523"/>
      <c r="DD523"/>
      <c r="DE523"/>
      <c r="DF523"/>
      <c r="DG523"/>
      <c r="DH523"/>
      <c r="DI523"/>
      <c r="DJ523"/>
      <c r="DK523"/>
      <c r="DL523"/>
      <c r="DM523"/>
      <c r="DN523"/>
      <c r="DO523"/>
      <c r="DP523"/>
      <c r="DQ523"/>
      <c r="DR523"/>
      <c r="DS523"/>
      <c r="DT523"/>
      <c r="DU523"/>
      <c r="DV523"/>
      <c r="DW523"/>
      <c r="DX523"/>
      <c r="DY523"/>
      <c r="DZ523"/>
      <c r="EA523"/>
      <c r="EB523"/>
      <c r="EC523"/>
      <c r="ED523"/>
      <c r="EE523"/>
      <c r="EF523"/>
      <c r="EG523"/>
      <c r="EH523"/>
      <c r="EI523"/>
      <c r="EJ523"/>
      <c r="EK523"/>
      <c r="EL523"/>
      <c r="EM523"/>
      <c r="EN523"/>
      <c r="EO523"/>
      <c r="EP523"/>
      <c r="EQ523"/>
      <c r="ER523"/>
      <c r="ES523"/>
    </row>
    <row r="524" spans="1:149">
      <c r="A524"/>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M524"/>
      <c r="CN524"/>
      <c r="CO524"/>
      <c r="CP524"/>
      <c r="CQ524"/>
      <c r="CR524"/>
      <c r="CS524"/>
      <c r="CT524"/>
      <c r="CU524"/>
      <c r="CV524"/>
      <c r="CW524"/>
      <c r="CX524"/>
      <c r="CY524"/>
      <c r="CZ524"/>
      <c r="DA524"/>
      <c r="DB524"/>
      <c r="DC524"/>
      <c r="DD524"/>
      <c r="DE524"/>
      <c r="DF524"/>
      <c r="DG524"/>
      <c r="DH524"/>
      <c r="DI524"/>
      <c r="DJ524"/>
      <c r="DK524"/>
      <c r="DL524"/>
      <c r="DM524"/>
      <c r="DN524"/>
      <c r="DO524"/>
      <c r="DP524"/>
      <c r="DQ524"/>
      <c r="DR524"/>
      <c r="DS524"/>
      <c r="DT524"/>
      <c r="DU524"/>
      <c r="DV524"/>
      <c r="DW524"/>
      <c r="DX524"/>
      <c r="DY524"/>
      <c r="DZ524"/>
      <c r="EA524"/>
      <c r="EB524"/>
      <c r="EC524"/>
      <c r="ED524"/>
      <c r="EE524"/>
      <c r="EF524"/>
      <c r="EG524"/>
      <c r="EH524"/>
      <c r="EI524"/>
      <c r="EJ524"/>
      <c r="EK524"/>
      <c r="EL524"/>
      <c r="EM524"/>
      <c r="EN524"/>
      <c r="EO524"/>
      <c r="EP524"/>
      <c r="EQ524"/>
      <c r="ER524"/>
      <c r="ES524"/>
    </row>
    <row r="525" spans="1:149">
      <c r="A5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M525"/>
      <c r="CN525"/>
      <c r="CO525"/>
      <c r="CP525"/>
      <c r="CQ525"/>
      <c r="CR525"/>
      <c r="CS525"/>
      <c r="CT525"/>
      <c r="CU525"/>
      <c r="CV525"/>
      <c r="CW525"/>
      <c r="CX525"/>
      <c r="CY525"/>
      <c r="CZ525"/>
      <c r="DA525"/>
      <c r="DB525"/>
      <c r="DC525"/>
      <c r="DD525"/>
      <c r="DE525"/>
      <c r="DF525"/>
      <c r="DG525"/>
      <c r="DH525"/>
      <c r="DI525"/>
      <c r="DJ525"/>
      <c r="DK525"/>
      <c r="DL525"/>
      <c r="DM525"/>
      <c r="DN525"/>
      <c r="DO525"/>
      <c r="DP525"/>
      <c r="DQ525"/>
      <c r="DR525"/>
      <c r="DS525"/>
      <c r="DT525"/>
      <c r="DU525"/>
      <c r="DV525"/>
      <c r="DW525"/>
      <c r="DX525"/>
      <c r="DY525"/>
      <c r="DZ525"/>
      <c r="EA525"/>
      <c r="EB525"/>
      <c r="EC525"/>
      <c r="ED525"/>
      <c r="EE525"/>
      <c r="EF525"/>
      <c r="EG525"/>
      <c r="EH525"/>
      <c r="EI525"/>
      <c r="EJ525"/>
      <c r="EK525"/>
      <c r="EL525"/>
      <c r="EM525"/>
      <c r="EN525"/>
      <c r="EO525"/>
      <c r="EP525"/>
      <c r="EQ525"/>
      <c r="ER525"/>
      <c r="ES525"/>
    </row>
    <row r="526" spans="1:149">
      <c r="A526"/>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M526"/>
      <c r="CN526"/>
      <c r="CO526"/>
      <c r="CP526"/>
      <c r="CQ526"/>
      <c r="CR526"/>
      <c r="CS526"/>
      <c r="CT526"/>
      <c r="CU526"/>
      <c r="CV526"/>
      <c r="CW526"/>
      <c r="CX526"/>
      <c r="CY526"/>
      <c r="CZ526"/>
      <c r="DA526"/>
      <c r="DB526"/>
      <c r="DC526"/>
      <c r="DD526"/>
      <c r="DE526"/>
      <c r="DF526"/>
      <c r="DG526"/>
      <c r="DH526"/>
      <c r="DI526"/>
      <c r="DJ526"/>
      <c r="DK526"/>
      <c r="DL526"/>
      <c r="DM526"/>
      <c r="DN526"/>
      <c r="DO526"/>
      <c r="DP526"/>
      <c r="DQ526"/>
      <c r="DR526"/>
      <c r="DS526"/>
      <c r="DT526"/>
      <c r="DU526"/>
      <c r="DV526"/>
      <c r="DW526"/>
      <c r="DX526"/>
      <c r="DY526"/>
      <c r="DZ526"/>
      <c r="EA526"/>
      <c r="EB526"/>
      <c r="EC526"/>
      <c r="ED526"/>
      <c r="EE526"/>
      <c r="EF526"/>
      <c r="EG526"/>
      <c r="EH526"/>
      <c r="EI526"/>
      <c r="EJ526"/>
      <c r="EK526"/>
      <c r="EL526"/>
      <c r="EM526"/>
      <c r="EN526"/>
      <c r="EO526"/>
      <c r="EP526"/>
      <c r="EQ526"/>
      <c r="ER526"/>
      <c r="ES526"/>
    </row>
    <row r="527" spans="1:149">
      <c r="A527"/>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M527"/>
      <c r="CN527"/>
      <c r="CO527"/>
      <c r="CP527"/>
      <c r="CQ527"/>
      <c r="CR527"/>
      <c r="CS527"/>
      <c r="CT527"/>
      <c r="CU527"/>
      <c r="CV527"/>
      <c r="CW527"/>
      <c r="CX527"/>
      <c r="CY527"/>
      <c r="CZ527"/>
      <c r="DA527"/>
      <c r="DB527"/>
      <c r="DC527"/>
      <c r="DD527"/>
      <c r="DE527"/>
      <c r="DF527"/>
      <c r="DG527"/>
      <c r="DH527"/>
      <c r="DI527"/>
      <c r="DJ527"/>
      <c r="DK527"/>
      <c r="DL527"/>
      <c r="DM527"/>
      <c r="DN527"/>
      <c r="DO527"/>
      <c r="DP527"/>
      <c r="DQ527"/>
      <c r="DR527"/>
      <c r="DS527"/>
      <c r="DT527"/>
      <c r="DU527"/>
      <c r="DV527"/>
      <c r="DW527"/>
      <c r="DX527"/>
      <c r="DY527"/>
      <c r="DZ527"/>
      <c r="EA527"/>
      <c r="EB527"/>
      <c r="EC527"/>
      <c r="ED527"/>
      <c r="EE527"/>
      <c r="EF527"/>
      <c r="EG527"/>
      <c r="EH527"/>
      <c r="EI527"/>
      <c r="EJ527"/>
      <c r="EK527"/>
      <c r="EL527"/>
      <c r="EM527"/>
      <c r="EN527"/>
      <c r="EO527"/>
      <c r="EP527"/>
      <c r="EQ527"/>
      <c r="ER527"/>
      <c r="ES527"/>
    </row>
    <row r="528" spans="1:149">
      <c r="A528"/>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M528"/>
      <c r="CN528"/>
      <c r="CO528"/>
      <c r="CP528"/>
      <c r="CQ528"/>
      <c r="CR528"/>
      <c r="CS528"/>
      <c r="CT528"/>
      <c r="CU528"/>
      <c r="CV528"/>
      <c r="CW528"/>
      <c r="CX528"/>
      <c r="CY528"/>
      <c r="CZ528"/>
      <c r="DA528"/>
      <c r="DB528"/>
      <c r="DC528"/>
      <c r="DD528"/>
      <c r="DE528"/>
      <c r="DF528"/>
      <c r="DG528"/>
      <c r="DH528"/>
      <c r="DI528"/>
      <c r="DJ528"/>
      <c r="DK528"/>
      <c r="DL528"/>
      <c r="DM528"/>
      <c r="DN528"/>
      <c r="DO528"/>
      <c r="DP528"/>
      <c r="DQ528"/>
      <c r="DR528"/>
      <c r="DS528"/>
      <c r="DT528"/>
      <c r="DU528"/>
      <c r="DV528"/>
      <c r="DW528"/>
      <c r="DX528"/>
      <c r="DY528"/>
      <c r="DZ528"/>
      <c r="EA528"/>
      <c r="EB528"/>
      <c r="EC528"/>
      <c r="ED528"/>
      <c r="EE528"/>
      <c r="EF528"/>
      <c r="EG528"/>
      <c r="EH528"/>
      <c r="EI528"/>
      <c r="EJ528"/>
      <c r="EK528"/>
      <c r="EL528"/>
      <c r="EM528"/>
      <c r="EN528"/>
      <c r="EO528"/>
      <c r="EP528"/>
      <c r="EQ528"/>
      <c r="ER528"/>
      <c r="ES528"/>
    </row>
    <row r="529" spans="1:149">
      <c r="A529"/>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M529"/>
      <c r="CN529"/>
      <c r="CO529"/>
      <c r="CP529"/>
      <c r="CQ529"/>
      <c r="CR529"/>
      <c r="CS529"/>
      <c r="CT529"/>
      <c r="CU529"/>
      <c r="CV529"/>
      <c r="CW529"/>
      <c r="CX529"/>
      <c r="CY529"/>
      <c r="CZ529"/>
      <c r="DA529"/>
      <c r="DB529"/>
      <c r="DC529"/>
      <c r="DD529"/>
      <c r="DE529"/>
      <c r="DF529"/>
      <c r="DG529"/>
      <c r="DH529"/>
      <c r="DI529"/>
      <c r="DJ529"/>
      <c r="DK529"/>
      <c r="DL529"/>
      <c r="DM529"/>
      <c r="DN529"/>
      <c r="DO529"/>
      <c r="DP529"/>
      <c r="DQ529"/>
      <c r="DR529"/>
      <c r="DS529"/>
      <c r="DT529"/>
      <c r="DU529"/>
      <c r="DV529"/>
      <c r="DW529"/>
      <c r="DX529"/>
      <c r="DY529"/>
      <c r="DZ529"/>
      <c r="EA529"/>
      <c r="EB529"/>
      <c r="EC529"/>
      <c r="ED529"/>
      <c r="EE529"/>
      <c r="EF529"/>
      <c r="EG529"/>
      <c r="EH529"/>
      <c r="EI529"/>
      <c r="EJ529"/>
      <c r="EK529"/>
      <c r="EL529"/>
      <c r="EM529"/>
      <c r="EN529"/>
      <c r="EO529"/>
      <c r="EP529"/>
      <c r="EQ529"/>
      <c r="ER529"/>
      <c r="ES529"/>
    </row>
    <row r="530" spans="1:149">
      <c r="A530"/>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M530"/>
      <c r="CN530"/>
      <c r="CO530"/>
      <c r="CP530"/>
      <c r="CQ530"/>
      <c r="CR530"/>
      <c r="CS530"/>
      <c r="CT530"/>
      <c r="CU530"/>
      <c r="CV530"/>
      <c r="CW530"/>
      <c r="CX530"/>
      <c r="CY530"/>
      <c r="CZ530"/>
      <c r="DA530"/>
      <c r="DB530"/>
      <c r="DC530"/>
      <c r="DD530"/>
      <c r="DE530"/>
      <c r="DF530"/>
      <c r="DG530"/>
      <c r="DH530"/>
      <c r="DI530"/>
      <c r="DJ530"/>
      <c r="DK530"/>
      <c r="DL530"/>
      <c r="DM530"/>
      <c r="DN530"/>
      <c r="DO530"/>
      <c r="DP530"/>
      <c r="DQ530"/>
      <c r="DR530"/>
      <c r="DS530"/>
      <c r="DT530"/>
      <c r="DU530"/>
      <c r="DV530"/>
      <c r="DW530"/>
      <c r="DX530"/>
      <c r="DY530"/>
      <c r="DZ530"/>
      <c r="EA530"/>
      <c r="EB530"/>
      <c r="EC530"/>
      <c r="ED530"/>
      <c r="EE530"/>
      <c r="EF530"/>
      <c r="EG530"/>
      <c r="EH530"/>
      <c r="EI530"/>
      <c r="EJ530"/>
      <c r="EK530"/>
      <c r="EL530"/>
      <c r="EM530"/>
      <c r="EN530"/>
      <c r="EO530"/>
      <c r="EP530"/>
      <c r="EQ530"/>
      <c r="ER530"/>
      <c r="ES530"/>
    </row>
    <row r="531" spans="1:149">
      <c r="A531"/>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M531"/>
      <c r="CN531"/>
      <c r="CO531"/>
      <c r="CP531"/>
      <c r="CQ531"/>
      <c r="CR531"/>
      <c r="CS531"/>
      <c r="CT531"/>
      <c r="CU531"/>
      <c r="CV531"/>
      <c r="CW531"/>
      <c r="CX531"/>
      <c r="CY531"/>
      <c r="CZ531"/>
      <c r="DA531"/>
      <c r="DB531"/>
      <c r="DC531"/>
      <c r="DD531"/>
      <c r="DE531"/>
      <c r="DF531"/>
      <c r="DG531"/>
      <c r="DH531"/>
      <c r="DI531"/>
      <c r="DJ531"/>
      <c r="DK531"/>
      <c r="DL531"/>
      <c r="DM531"/>
      <c r="DN531"/>
      <c r="DO531"/>
      <c r="DP531"/>
      <c r="DQ531"/>
      <c r="DR531"/>
      <c r="DS531"/>
      <c r="DT531"/>
      <c r="DU531"/>
      <c r="DV531"/>
      <c r="DW531"/>
      <c r="DX531"/>
      <c r="DY531"/>
      <c r="DZ531"/>
      <c r="EA531"/>
      <c r="EB531"/>
      <c r="EC531"/>
      <c r="ED531"/>
      <c r="EE531"/>
      <c r="EF531"/>
      <c r="EG531"/>
      <c r="EH531"/>
      <c r="EI531"/>
      <c r="EJ531"/>
      <c r="EK531"/>
      <c r="EL531"/>
      <c r="EM531"/>
      <c r="EN531"/>
      <c r="EO531"/>
      <c r="EP531"/>
      <c r="EQ531"/>
      <c r="ER531"/>
      <c r="ES531"/>
    </row>
    <row r="532" spans="1:149">
      <c r="A532"/>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M532"/>
      <c r="CN532"/>
      <c r="CO532"/>
      <c r="CP532"/>
      <c r="CQ532"/>
      <c r="CR532"/>
      <c r="CS532"/>
      <c r="CT532"/>
      <c r="CU532"/>
      <c r="CV532"/>
      <c r="CW532"/>
      <c r="CX532"/>
      <c r="CY532"/>
      <c r="CZ532"/>
      <c r="DA532"/>
      <c r="DB532"/>
      <c r="DC532"/>
      <c r="DD532"/>
      <c r="DE532"/>
      <c r="DF532"/>
      <c r="DG532"/>
      <c r="DH532"/>
      <c r="DI532"/>
      <c r="DJ532"/>
      <c r="DK532"/>
      <c r="DL532"/>
      <c r="DM532"/>
      <c r="DN532"/>
      <c r="DO532"/>
      <c r="DP532"/>
      <c r="DQ532"/>
      <c r="DR532"/>
      <c r="DS532"/>
      <c r="DT532"/>
      <c r="DU532"/>
      <c r="DV532"/>
      <c r="DW532"/>
      <c r="DX532"/>
      <c r="DY532"/>
      <c r="DZ532"/>
      <c r="EA532"/>
      <c r="EB532"/>
      <c r="EC532"/>
      <c r="ED532"/>
      <c r="EE532"/>
      <c r="EF532"/>
      <c r="EG532"/>
      <c r="EH532"/>
      <c r="EI532"/>
      <c r="EJ532"/>
      <c r="EK532"/>
      <c r="EL532"/>
      <c r="EM532"/>
      <c r="EN532"/>
      <c r="EO532"/>
      <c r="EP532"/>
      <c r="EQ532"/>
      <c r="ER532"/>
      <c r="ES532"/>
    </row>
    <row r="533" spans="1:149">
      <c r="A533"/>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M533"/>
      <c r="CN533"/>
      <c r="CO533"/>
      <c r="CP533"/>
      <c r="CQ533"/>
      <c r="CR533"/>
      <c r="CS533"/>
      <c r="CT533"/>
      <c r="CU533"/>
      <c r="CV533"/>
      <c r="CW533"/>
      <c r="CX533"/>
      <c r="CY533"/>
      <c r="CZ533"/>
      <c r="DA533"/>
      <c r="DB533"/>
      <c r="DC533"/>
      <c r="DD533"/>
      <c r="DE533"/>
      <c r="DF533"/>
      <c r="DG533"/>
      <c r="DH533"/>
      <c r="DI533"/>
      <c r="DJ533"/>
      <c r="DK533"/>
      <c r="DL533"/>
      <c r="DM533"/>
      <c r="DN533"/>
      <c r="DO533"/>
      <c r="DP533"/>
      <c r="DQ533"/>
      <c r="DR533"/>
      <c r="DS533"/>
      <c r="DT533"/>
      <c r="DU533"/>
      <c r="DV533"/>
      <c r="DW533"/>
      <c r="DX533"/>
      <c r="DY533"/>
      <c r="DZ533"/>
      <c r="EA533"/>
      <c r="EB533"/>
      <c r="EC533"/>
      <c r="ED533"/>
      <c r="EE533"/>
      <c r="EF533"/>
      <c r="EG533"/>
      <c r="EH533"/>
      <c r="EI533"/>
      <c r="EJ533"/>
      <c r="EK533"/>
      <c r="EL533"/>
      <c r="EM533"/>
      <c r="EN533"/>
      <c r="EO533"/>
      <c r="EP533"/>
      <c r="EQ533"/>
      <c r="ER533"/>
      <c r="ES533"/>
    </row>
    <row r="534" spans="1:149">
      <c r="A534"/>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M534"/>
      <c r="CN534"/>
      <c r="CO534"/>
      <c r="CP534"/>
      <c r="CQ534"/>
      <c r="CR534"/>
      <c r="CS534"/>
      <c r="CT534"/>
      <c r="CU534"/>
      <c r="CV534"/>
      <c r="CW534"/>
      <c r="CX534"/>
      <c r="CY534"/>
      <c r="CZ534"/>
      <c r="DA534"/>
      <c r="DB534"/>
      <c r="DC534"/>
      <c r="DD534"/>
      <c r="DE534"/>
      <c r="DF534"/>
      <c r="DG534"/>
      <c r="DH534"/>
      <c r="DI534"/>
      <c r="DJ534"/>
      <c r="DK534"/>
      <c r="DL534"/>
      <c r="DM534"/>
      <c r="DN534"/>
      <c r="DO534"/>
      <c r="DP534"/>
      <c r="DQ534"/>
      <c r="DR534"/>
      <c r="DS534"/>
      <c r="DT534"/>
      <c r="DU534"/>
      <c r="DV534"/>
      <c r="DW534"/>
      <c r="DX534"/>
      <c r="DY534"/>
      <c r="DZ534"/>
      <c r="EA534"/>
      <c r="EB534"/>
      <c r="EC534"/>
      <c r="ED534"/>
      <c r="EE534"/>
      <c r="EF534"/>
      <c r="EG534"/>
      <c r="EH534"/>
      <c r="EI534"/>
      <c r="EJ534"/>
      <c r="EK534"/>
      <c r="EL534"/>
      <c r="EM534"/>
      <c r="EN534"/>
      <c r="EO534"/>
      <c r="EP534"/>
      <c r="EQ534"/>
      <c r="ER534"/>
      <c r="ES534"/>
    </row>
    <row r="535" spans="1:149">
      <c r="A53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M535"/>
      <c r="CN535"/>
      <c r="CO535"/>
      <c r="CP535"/>
      <c r="CQ535"/>
      <c r="CR535"/>
      <c r="CS535"/>
      <c r="CT535"/>
      <c r="CU535"/>
      <c r="CV535"/>
      <c r="CW535"/>
      <c r="CX535"/>
      <c r="CY535"/>
      <c r="CZ535"/>
      <c r="DA535"/>
      <c r="DB535"/>
      <c r="DC535"/>
      <c r="DD535"/>
      <c r="DE535"/>
      <c r="DF535"/>
      <c r="DG535"/>
      <c r="DH535"/>
      <c r="DI535"/>
      <c r="DJ535"/>
      <c r="DK535"/>
      <c r="DL535"/>
      <c r="DM535"/>
      <c r="DN535"/>
      <c r="DO535"/>
      <c r="DP535"/>
      <c r="DQ535"/>
      <c r="DR535"/>
      <c r="DS535"/>
      <c r="DT535"/>
      <c r="DU535"/>
      <c r="DV535"/>
      <c r="DW535"/>
      <c r="DX535"/>
      <c r="DY535"/>
      <c r="DZ535"/>
      <c r="EA535"/>
      <c r="EB535"/>
      <c r="EC535"/>
      <c r="ED535"/>
      <c r="EE535"/>
      <c r="EF535"/>
      <c r="EG535"/>
      <c r="EH535"/>
      <c r="EI535"/>
      <c r="EJ535"/>
      <c r="EK535"/>
      <c r="EL535"/>
      <c r="EM535"/>
      <c r="EN535"/>
      <c r="EO535"/>
      <c r="EP535"/>
      <c r="EQ535"/>
      <c r="ER535"/>
      <c r="ES535"/>
    </row>
    <row r="536" spans="1:149">
      <c r="A536"/>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M536"/>
      <c r="CN536"/>
      <c r="CO536"/>
      <c r="CP536"/>
      <c r="CQ536"/>
      <c r="CR536"/>
      <c r="CS536"/>
      <c r="CT536"/>
      <c r="CU536"/>
      <c r="CV536"/>
      <c r="CW536"/>
      <c r="CX536"/>
      <c r="CY536"/>
      <c r="CZ536"/>
      <c r="DA536"/>
      <c r="DB536"/>
      <c r="DC536"/>
      <c r="DD536"/>
      <c r="DE536"/>
      <c r="DF536"/>
      <c r="DG536"/>
      <c r="DH536"/>
      <c r="DI536"/>
      <c r="DJ536"/>
      <c r="DK536"/>
      <c r="DL536"/>
      <c r="DM536"/>
      <c r="DN536"/>
      <c r="DO536"/>
      <c r="DP536"/>
      <c r="DQ536"/>
      <c r="DR536"/>
      <c r="DS536"/>
      <c r="DT536"/>
      <c r="DU536"/>
      <c r="DV536"/>
      <c r="DW536"/>
      <c r="DX536"/>
      <c r="DY536"/>
      <c r="DZ536"/>
      <c r="EA536"/>
      <c r="EB536"/>
      <c r="EC536"/>
      <c r="ED536"/>
      <c r="EE536"/>
      <c r="EF536"/>
      <c r="EG536"/>
      <c r="EH536"/>
      <c r="EI536"/>
      <c r="EJ536"/>
      <c r="EK536"/>
      <c r="EL536"/>
      <c r="EM536"/>
      <c r="EN536"/>
      <c r="EO536"/>
      <c r="EP536"/>
      <c r="EQ536"/>
      <c r="ER536"/>
      <c r="ES536"/>
    </row>
    <row r="537" spans="1:149">
      <c r="A537"/>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M537"/>
      <c r="CN537"/>
      <c r="CO537"/>
      <c r="CP537"/>
      <c r="CQ537"/>
      <c r="CR537"/>
      <c r="CS537"/>
      <c r="CT537"/>
      <c r="CU537"/>
      <c r="CV537"/>
      <c r="CW537"/>
      <c r="CX537"/>
      <c r="CY537"/>
      <c r="CZ537"/>
      <c r="DA537"/>
      <c r="DB537"/>
      <c r="DC537"/>
      <c r="DD537"/>
      <c r="DE537"/>
      <c r="DF537"/>
      <c r="DG537"/>
      <c r="DH537"/>
      <c r="DI537"/>
      <c r="DJ537"/>
      <c r="DK537"/>
      <c r="DL537"/>
      <c r="DM537"/>
      <c r="DN537"/>
      <c r="DO537"/>
      <c r="DP537"/>
      <c r="DQ537"/>
      <c r="DR537"/>
      <c r="DS537"/>
      <c r="DT537"/>
      <c r="DU537"/>
      <c r="DV537"/>
      <c r="DW537"/>
      <c r="DX537"/>
      <c r="DY537"/>
      <c r="DZ537"/>
      <c r="EA537"/>
      <c r="EB537"/>
      <c r="EC537"/>
      <c r="ED537"/>
      <c r="EE537"/>
      <c r="EF537"/>
      <c r="EG537"/>
      <c r="EH537"/>
      <c r="EI537"/>
      <c r="EJ537"/>
      <c r="EK537"/>
      <c r="EL537"/>
      <c r="EM537"/>
      <c r="EN537"/>
      <c r="EO537"/>
      <c r="EP537"/>
      <c r="EQ537"/>
      <c r="ER537"/>
      <c r="ES537"/>
    </row>
    <row r="538" spans="1:149">
      <c r="A538"/>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M538"/>
      <c r="CN538"/>
      <c r="CO538"/>
      <c r="CP538"/>
      <c r="CQ538"/>
      <c r="CR538"/>
      <c r="CS538"/>
      <c r="CT538"/>
      <c r="CU538"/>
      <c r="CV538"/>
      <c r="CW538"/>
      <c r="CX538"/>
      <c r="CY538"/>
      <c r="CZ538"/>
      <c r="DA538"/>
      <c r="DB538"/>
      <c r="DC538"/>
      <c r="DD538"/>
      <c r="DE538"/>
      <c r="DF538"/>
      <c r="DG538"/>
      <c r="DH538"/>
      <c r="DI538"/>
      <c r="DJ538"/>
      <c r="DK538"/>
      <c r="DL538"/>
      <c r="DM538"/>
      <c r="DN538"/>
      <c r="DO538"/>
      <c r="DP538"/>
      <c r="DQ538"/>
      <c r="DR538"/>
      <c r="DS538"/>
      <c r="DT538"/>
      <c r="DU538"/>
      <c r="DV538"/>
      <c r="DW538"/>
      <c r="DX538"/>
      <c r="DY538"/>
      <c r="DZ538"/>
      <c r="EA538"/>
      <c r="EB538"/>
      <c r="EC538"/>
      <c r="ED538"/>
      <c r="EE538"/>
      <c r="EF538"/>
      <c r="EG538"/>
      <c r="EH538"/>
      <c r="EI538"/>
      <c r="EJ538"/>
      <c r="EK538"/>
      <c r="EL538"/>
      <c r="EM538"/>
      <c r="EN538"/>
      <c r="EO538"/>
      <c r="EP538"/>
      <c r="EQ538"/>
      <c r="ER538"/>
      <c r="ES538"/>
    </row>
    <row r="539" spans="1:149">
      <c r="A539"/>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M539"/>
      <c r="CN539"/>
      <c r="CO539"/>
      <c r="CP539"/>
      <c r="CQ539"/>
      <c r="CR539"/>
      <c r="CS539"/>
      <c r="CT539"/>
      <c r="CU539"/>
      <c r="CV539"/>
      <c r="CW539"/>
      <c r="CX539"/>
      <c r="CY539"/>
      <c r="CZ539"/>
      <c r="DA539"/>
      <c r="DB539"/>
      <c r="DC539"/>
      <c r="DD539"/>
      <c r="DE539"/>
      <c r="DF539"/>
      <c r="DG539"/>
      <c r="DH539"/>
      <c r="DI539"/>
      <c r="DJ539"/>
      <c r="DK539"/>
      <c r="DL539"/>
      <c r="DM539"/>
      <c r="DN539"/>
      <c r="DO539"/>
      <c r="DP539"/>
      <c r="DQ539"/>
      <c r="DR539"/>
      <c r="DS539"/>
      <c r="DT539"/>
      <c r="DU539"/>
      <c r="DV539"/>
      <c r="DW539"/>
      <c r="DX539"/>
      <c r="DY539"/>
      <c r="DZ539"/>
      <c r="EA539"/>
      <c r="EB539"/>
      <c r="EC539"/>
      <c r="ED539"/>
      <c r="EE539"/>
      <c r="EF539"/>
      <c r="EG539"/>
      <c r="EH539"/>
      <c r="EI539"/>
      <c r="EJ539"/>
      <c r="EK539"/>
      <c r="EL539"/>
      <c r="EM539"/>
      <c r="EN539"/>
      <c r="EO539"/>
      <c r="EP539"/>
      <c r="EQ539"/>
      <c r="ER539"/>
      <c r="ES539"/>
    </row>
    <row r="540" spans="1:149">
      <c r="A540"/>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M540"/>
      <c r="CN540"/>
      <c r="CO540"/>
      <c r="CP540"/>
      <c r="CQ540"/>
      <c r="CR540"/>
      <c r="CS540"/>
      <c r="CT540"/>
      <c r="CU540"/>
      <c r="CV540"/>
      <c r="CW540"/>
      <c r="CX540"/>
      <c r="CY540"/>
      <c r="CZ540"/>
      <c r="DA540"/>
      <c r="DB540"/>
      <c r="DC540"/>
      <c r="DD540"/>
      <c r="DE540"/>
      <c r="DF540"/>
      <c r="DG540"/>
      <c r="DH540"/>
      <c r="DI540"/>
      <c r="DJ540"/>
      <c r="DK540"/>
      <c r="DL540"/>
      <c r="DM540"/>
      <c r="DN540"/>
      <c r="DO540"/>
      <c r="DP540"/>
      <c r="DQ540"/>
      <c r="DR540"/>
      <c r="DS540"/>
      <c r="DT540"/>
      <c r="DU540"/>
      <c r="DV540"/>
      <c r="DW540"/>
      <c r="DX540"/>
      <c r="DY540"/>
      <c r="DZ540"/>
      <c r="EA540"/>
      <c r="EB540"/>
      <c r="EC540"/>
      <c r="ED540"/>
      <c r="EE540"/>
      <c r="EF540"/>
      <c r="EG540"/>
      <c r="EH540"/>
      <c r="EI540"/>
      <c r="EJ540"/>
      <c r="EK540"/>
      <c r="EL540"/>
      <c r="EM540"/>
      <c r="EN540"/>
      <c r="EO540"/>
      <c r="EP540"/>
      <c r="EQ540"/>
      <c r="ER540"/>
      <c r="ES540"/>
    </row>
    <row r="541" spans="1:149">
      <c r="A541"/>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c r="CW541"/>
      <c r="CX541"/>
      <c r="CY541"/>
      <c r="CZ541"/>
      <c r="DA541"/>
      <c r="DB541"/>
      <c r="DC541"/>
      <c r="DD541"/>
      <c r="DE541"/>
      <c r="DF541"/>
      <c r="DG541"/>
      <c r="DH541"/>
      <c r="DI541"/>
      <c r="DJ541"/>
      <c r="DK541"/>
      <c r="DL541"/>
      <c r="DM541"/>
      <c r="DN541"/>
      <c r="DO541"/>
      <c r="DP541"/>
      <c r="DQ541"/>
      <c r="DR541"/>
      <c r="DS541"/>
      <c r="DT541"/>
      <c r="DU541"/>
      <c r="DV541"/>
      <c r="DW541"/>
      <c r="DX541"/>
      <c r="DY541"/>
      <c r="DZ541"/>
      <c r="EA541"/>
      <c r="EB541"/>
      <c r="EC541"/>
      <c r="ED541"/>
      <c r="EE541"/>
      <c r="EF541"/>
      <c r="EG541"/>
      <c r="EH541"/>
      <c r="EI541"/>
      <c r="EJ541"/>
      <c r="EK541"/>
      <c r="EL541"/>
      <c r="EM541"/>
      <c r="EN541"/>
      <c r="EO541"/>
      <c r="EP541"/>
      <c r="EQ541"/>
      <c r="ER541"/>
      <c r="ES541"/>
    </row>
    <row r="542" spans="1:149">
      <c r="A542"/>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c r="CW542"/>
      <c r="CX542"/>
      <c r="CY542"/>
      <c r="CZ542"/>
      <c r="DA542"/>
      <c r="DB542"/>
      <c r="DC542"/>
      <c r="DD542"/>
      <c r="DE542"/>
      <c r="DF542"/>
      <c r="DG542"/>
      <c r="DH542"/>
      <c r="DI542"/>
      <c r="DJ542"/>
      <c r="DK542"/>
      <c r="DL542"/>
      <c r="DM542"/>
      <c r="DN542"/>
      <c r="DO542"/>
      <c r="DP542"/>
      <c r="DQ542"/>
      <c r="DR542"/>
      <c r="DS542"/>
      <c r="DT542"/>
      <c r="DU542"/>
      <c r="DV542"/>
      <c r="DW542"/>
      <c r="DX542"/>
      <c r="DY542"/>
      <c r="DZ542"/>
      <c r="EA542"/>
      <c r="EB542"/>
      <c r="EC542"/>
      <c r="ED542"/>
      <c r="EE542"/>
      <c r="EF542"/>
      <c r="EG542"/>
      <c r="EH542"/>
      <c r="EI542"/>
      <c r="EJ542"/>
      <c r="EK542"/>
      <c r="EL542"/>
      <c r="EM542"/>
      <c r="EN542"/>
      <c r="EO542"/>
      <c r="EP542"/>
      <c r="EQ542"/>
      <c r="ER542"/>
      <c r="ES542"/>
    </row>
    <row r="543" spans="1:149">
      <c r="A543"/>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c r="CW543"/>
      <c r="CX543"/>
      <c r="CY543"/>
      <c r="CZ543"/>
      <c r="DA543"/>
      <c r="DB543"/>
      <c r="DC543"/>
      <c r="DD543"/>
      <c r="DE543"/>
      <c r="DF543"/>
      <c r="DG543"/>
      <c r="DH543"/>
      <c r="DI543"/>
      <c r="DJ543"/>
      <c r="DK543"/>
      <c r="DL543"/>
      <c r="DM543"/>
      <c r="DN543"/>
      <c r="DO543"/>
      <c r="DP543"/>
      <c r="DQ543"/>
      <c r="DR543"/>
      <c r="DS543"/>
      <c r="DT543"/>
      <c r="DU543"/>
      <c r="DV543"/>
      <c r="DW543"/>
      <c r="DX543"/>
      <c r="DY543"/>
      <c r="DZ543"/>
      <c r="EA543"/>
      <c r="EB543"/>
      <c r="EC543"/>
      <c r="ED543"/>
      <c r="EE543"/>
      <c r="EF543"/>
      <c r="EG543"/>
      <c r="EH543"/>
      <c r="EI543"/>
      <c r="EJ543"/>
      <c r="EK543"/>
      <c r="EL543"/>
      <c r="EM543"/>
      <c r="EN543"/>
      <c r="EO543"/>
      <c r="EP543"/>
      <c r="EQ543"/>
      <c r="ER543"/>
      <c r="ES543"/>
    </row>
    <row r="544" spans="1:149">
      <c r="A544"/>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M544"/>
      <c r="CN544"/>
      <c r="CO544"/>
      <c r="CP544"/>
      <c r="CQ544"/>
      <c r="CR544"/>
      <c r="CS544"/>
      <c r="CT544"/>
      <c r="CU544"/>
      <c r="CV544"/>
      <c r="CW544"/>
      <c r="CX544"/>
      <c r="CY544"/>
      <c r="CZ544"/>
      <c r="DA544"/>
      <c r="DB544"/>
      <c r="DC544"/>
      <c r="DD544"/>
      <c r="DE544"/>
      <c r="DF544"/>
      <c r="DG544"/>
      <c r="DH544"/>
      <c r="DI544"/>
      <c r="DJ544"/>
      <c r="DK544"/>
      <c r="DL544"/>
      <c r="DM544"/>
      <c r="DN544"/>
      <c r="DO544"/>
      <c r="DP544"/>
      <c r="DQ544"/>
      <c r="DR544"/>
      <c r="DS544"/>
      <c r="DT544"/>
      <c r="DU544"/>
      <c r="DV544"/>
      <c r="DW544"/>
      <c r="DX544"/>
      <c r="DY544"/>
      <c r="DZ544"/>
      <c r="EA544"/>
      <c r="EB544"/>
      <c r="EC544"/>
      <c r="ED544"/>
      <c r="EE544"/>
      <c r="EF544"/>
      <c r="EG544"/>
      <c r="EH544"/>
      <c r="EI544"/>
      <c r="EJ544"/>
      <c r="EK544"/>
      <c r="EL544"/>
      <c r="EM544"/>
      <c r="EN544"/>
      <c r="EO544"/>
      <c r="EP544"/>
      <c r="EQ544"/>
      <c r="ER544"/>
      <c r="ES544"/>
    </row>
    <row r="545" spans="1:149">
      <c r="A54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c r="CW545"/>
      <c r="CX545"/>
      <c r="CY545"/>
      <c r="CZ545"/>
      <c r="DA545"/>
      <c r="DB545"/>
      <c r="DC545"/>
      <c r="DD545"/>
      <c r="DE545"/>
      <c r="DF545"/>
      <c r="DG545"/>
      <c r="DH545"/>
      <c r="DI545"/>
      <c r="DJ545"/>
      <c r="DK545"/>
      <c r="DL545"/>
      <c r="DM545"/>
      <c r="DN545"/>
      <c r="DO545"/>
      <c r="DP545"/>
      <c r="DQ545"/>
      <c r="DR545"/>
      <c r="DS545"/>
      <c r="DT545"/>
      <c r="DU545"/>
      <c r="DV545"/>
      <c r="DW545"/>
      <c r="DX545"/>
      <c r="DY545"/>
      <c r="DZ545"/>
      <c r="EA545"/>
      <c r="EB545"/>
      <c r="EC545"/>
      <c r="ED545"/>
      <c r="EE545"/>
      <c r="EF545"/>
      <c r="EG545"/>
      <c r="EH545"/>
      <c r="EI545"/>
      <c r="EJ545"/>
      <c r="EK545"/>
      <c r="EL545"/>
      <c r="EM545"/>
      <c r="EN545"/>
      <c r="EO545"/>
      <c r="EP545"/>
      <c r="EQ545"/>
      <c r="ER545"/>
      <c r="ES545"/>
    </row>
    <row r="546" spans="1:149">
      <c r="A546"/>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M546"/>
      <c r="CN546"/>
      <c r="CO546"/>
      <c r="CP546"/>
      <c r="CQ546"/>
      <c r="CR546"/>
      <c r="CS546"/>
      <c r="CT546"/>
      <c r="CU546"/>
      <c r="CV546"/>
      <c r="CW546"/>
      <c r="CX546"/>
      <c r="CY546"/>
      <c r="CZ546"/>
      <c r="DA546"/>
      <c r="DB546"/>
      <c r="DC546"/>
      <c r="DD546"/>
      <c r="DE546"/>
      <c r="DF546"/>
      <c r="DG546"/>
      <c r="DH546"/>
      <c r="DI546"/>
      <c r="DJ546"/>
      <c r="DK546"/>
      <c r="DL546"/>
      <c r="DM546"/>
      <c r="DN546"/>
      <c r="DO546"/>
      <c r="DP546"/>
      <c r="DQ546"/>
      <c r="DR546"/>
      <c r="DS546"/>
      <c r="DT546"/>
      <c r="DU546"/>
      <c r="DV546"/>
      <c r="DW546"/>
      <c r="DX546"/>
      <c r="DY546"/>
      <c r="DZ546"/>
      <c r="EA546"/>
      <c r="EB546"/>
      <c r="EC546"/>
      <c r="ED546"/>
      <c r="EE546"/>
      <c r="EF546"/>
      <c r="EG546"/>
      <c r="EH546"/>
      <c r="EI546"/>
      <c r="EJ546"/>
      <c r="EK546"/>
      <c r="EL546"/>
      <c r="EM546"/>
      <c r="EN546"/>
      <c r="EO546"/>
      <c r="EP546"/>
      <c r="EQ546"/>
      <c r="ER546"/>
      <c r="ES546"/>
    </row>
    <row r="547" spans="1:149">
      <c r="A547"/>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M547"/>
      <c r="CN547"/>
      <c r="CO547"/>
      <c r="CP547"/>
      <c r="CQ547"/>
      <c r="CR547"/>
      <c r="CS547"/>
      <c r="CT547"/>
      <c r="CU547"/>
      <c r="CV547"/>
      <c r="CW547"/>
      <c r="CX547"/>
      <c r="CY547"/>
      <c r="CZ547"/>
      <c r="DA547"/>
      <c r="DB547"/>
      <c r="DC547"/>
      <c r="DD547"/>
      <c r="DE547"/>
      <c r="DF547"/>
      <c r="DG547"/>
      <c r="DH547"/>
      <c r="DI547"/>
      <c r="DJ547"/>
      <c r="DK547"/>
      <c r="DL547"/>
      <c r="DM547"/>
      <c r="DN547"/>
      <c r="DO547"/>
      <c r="DP547"/>
      <c r="DQ547"/>
      <c r="DR547"/>
      <c r="DS547"/>
      <c r="DT547"/>
      <c r="DU547"/>
      <c r="DV547"/>
      <c r="DW547"/>
      <c r="DX547"/>
      <c r="DY547"/>
      <c r="DZ547"/>
      <c r="EA547"/>
      <c r="EB547"/>
      <c r="EC547"/>
      <c r="ED547"/>
      <c r="EE547"/>
      <c r="EF547"/>
      <c r="EG547"/>
      <c r="EH547"/>
      <c r="EI547"/>
      <c r="EJ547"/>
      <c r="EK547"/>
      <c r="EL547"/>
      <c r="EM547"/>
      <c r="EN547"/>
      <c r="EO547"/>
      <c r="EP547"/>
      <c r="EQ547"/>
      <c r="ER547"/>
      <c r="ES547"/>
    </row>
    <row r="548" spans="1:149">
      <c r="A548"/>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M548"/>
      <c r="CN548"/>
      <c r="CO548"/>
      <c r="CP548"/>
      <c r="CQ548"/>
      <c r="CR548"/>
      <c r="CS548"/>
      <c r="CT548"/>
      <c r="CU548"/>
      <c r="CV548"/>
      <c r="CW548"/>
      <c r="CX548"/>
      <c r="CY548"/>
      <c r="CZ548"/>
      <c r="DA548"/>
      <c r="DB548"/>
      <c r="DC548"/>
      <c r="DD548"/>
      <c r="DE548"/>
      <c r="DF548"/>
      <c r="DG548"/>
      <c r="DH548"/>
      <c r="DI548"/>
      <c r="DJ548"/>
      <c r="DK548"/>
      <c r="DL548"/>
      <c r="DM548"/>
      <c r="DN548"/>
      <c r="DO548"/>
      <c r="DP548"/>
      <c r="DQ548"/>
      <c r="DR548"/>
      <c r="DS548"/>
      <c r="DT548"/>
      <c r="DU548"/>
      <c r="DV548"/>
      <c r="DW548"/>
      <c r="DX548"/>
      <c r="DY548"/>
      <c r="DZ548"/>
      <c r="EA548"/>
      <c r="EB548"/>
      <c r="EC548"/>
      <c r="ED548"/>
      <c r="EE548"/>
      <c r="EF548"/>
      <c r="EG548"/>
      <c r="EH548"/>
      <c r="EI548"/>
      <c r="EJ548"/>
      <c r="EK548"/>
      <c r="EL548"/>
      <c r="EM548"/>
      <c r="EN548"/>
      <c r="EO548"/>
      <c r="EP548"/>
      <c r="EQ548"/>
      <c r="ER548"/>
      <c r="ES548"/>
    </row>
    <row r="549" spans="1:149">
      <c r="A549"/>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M549"/>
      <c r="CN549"/>
      <c r="CO549"/>
      <c r="CP549"/>
      <c r="CQ549"/>
      <c r="CR549"/>
      <c r="CS549"/>
      <c r="CT549"/>
      <c r="CU549"/>
      <c r="CV549"/>
      <c r="CW549"/>
      <c r="CX549"/>
      <c r="CY549"/>
      <c r="CZ549"/>
      <c r="DA549"/>
      <c r="DB549"/>
      <c r="DC549"/>
      <c r="DD549"/>
      <c r="DE549"/>
      <c r="DF549"/>
      <c r="DG549"/>
      <c r="DH549"/>
      <c r="DI549"/>
      <c r="DJ549"/>
      <c r="DK549"/>
      <c r="DL549"/>
      <c r="DM549"/>
      <c r="DN549"/>
      <c r="DO549"/>
      <c r="DP549"/>
      <c r="DQ549"/>
      <c r="DR549"/>
      <c r="DS549"/>
      <c r="DT549"/>
      <c r="DU549"/>
      <c r="DV549"/>
      <c r="DW549"/>
      <c r="DX549"/>
      <c r="DY549"/>
      <c r="DZ549"/>
      <c r="EA549"/>
      <c r="EB549"/>
      <c r="EC549"/>
      <c r="ED549"/>
      <c r="EE549"/>
      <c r="EF549"/>
      <c r="EG549"/>
      <c r="EH549"/>
      <c r="EI549"/>
      <c r="EJ549"/>
      <c r="EK549"/>
      <c r="EL549"/>
      <c r="EM549"/>
      <c r="EN549"/>
      <c r="EO549"/>
      <c r="EP549"/>
      <c r="EQ549"/>
      <c r="ER549"/>
      <c r="ES549"/>
    </row>
    <row r="550" spans="1:149">
      <c r="A550"/>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M550"/>
      <c r="CN550"/>
      <c r="CO550"/>
      <c r="CP550"/>
      <c r="CQ550"/>
      <c r="CR550"/>
      <c r="CS550"/>
      <c r="CT550"/>
      <c r="CU550"/>
      <c r="CV550"/>
      <c r="CW550"/>
      <c r="CX550"/>
      <c r="CY550"/>
      <c r="CZ550"/>
      <c r="DA550"/>
      <c r="DB550"/>
      <c r="DC550"/>
      <c r="DD550"/>
      <c r="DE550"/>
      <c r="DF550"/>
      <c r="DG550"/>
      <c r="DH550"/>
      <c r="DI550"/>
      <c r="DJ550"/>
      <c r="DK550"/>
      <c r="DL550"/>
      <c r="DM550"/>
      <c r="DN550"/>
      <c r="DO550"/>
      <c r="DP550"/>
      <c r="DQ550"/>
      <c r="DR550"/>
      <c r="DS550"/>
      <c r="DT550"/>
      <c r="DU550"/>
      <c r="DV550"/>
      <c r="DW550"/>
      <c r="DX550"/>
      <c r="DY550"/>
      <c r="DZ550"/>
      <c r="EA550"/>
      <c r="EB550"/>
      <c r="EC550"/>
      <c r="ED550"/>
      <c r="EE550"/>
      <c r="EF550"/>
      <c r="EG550"/>
      <c r="EH550"/>
      <c r="EI550"/>
      <c r="EJ550"/>
      <c r="EK550"/>
      <c r="EL550"/>
      <c r="EM550"/>
      <c r="EN550"/>
      <c r="EO550"/>
      <c r="EP550"/>
      <c r="EQ550"/>
      <c r="ER550"/>
      <c r="ES550"/>
    </row>
    <row r="551" spans="1:149">
      <c r="A551"/>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c r="CW551"/>
      <c r="CX551"/>
      <c r="CY551"/>
      <c r="CZ551"/>
      <c r="DA551"/>
      <c r="DB551"/>
      <c r="DC551"/>
      <c r="DD551"/>
      <c r="DE551"/>
      <c r="DF551"/>
      <c r="DG551"/>
      <c r="DH551"/>
      <c r="DI551"/>
      <c r="DJ551"/>
      <c r="DK551"/>
      <c r="DL551"/>
      <c r="DM551"/>
      <c r="DN551"/>
      <c r="DO551"/>
      <c r="DP551"/>
      <c r="DQ551"/>
      <c r="DR551"/>
      <c r="DS551"/>
      <c r="DT551"/>
      <c r="DU551"/>
      <c r="DV551"/>
      <c r="DW551"/>
      <c r="DX551"/>
      <c r="DY551"/>
      <c r="DZ551"/>
      <c r="EA551"/>
      <c r="EB551"/>
      <c r="EC551"/>
      <c r="ED551"/>
      <c r="EE551"/>
      <c r="EF551"/>
      <c r="EG551"/>
      <c r="EH551"/>
      <c r="EI551"/>
      <c r="EJ551"/>
      <c r="EK551"/>
      <c r="EL551"/>
      <c r="EM551"/>
      <c r="EN551"/>
      <c r="EO551"/>
      <c r="EP551"/>
      <c r="EQ551"/>
      <c r="ER551"/>
      <c r="ES551"/>
    </row>
    <row r="552" spans="1:149">
      <c r="A552"/>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c r="CW552"/>
      <c r="CX552"/>
      <c r="CY552"/>
      <c r="CZ552"/>
      <c r="DA552"/>
      <c r="DB552"/>
      <c r="DC552"/>
      <c r="DD552"/>
      <c r="DE552"/>
      <c r="DF552"/>
      <c r="DG552"/>
      <c r="DH552"/>
      <c r="DI552"/>
      <c r="DJ552"/>
      <c r="DK552"/>
      <c r="DL552"/>
      <c r="DM552"/>
      <c r="DN552"/>
      <c r="DO552"/>
      <c r="DP552"/>
      <c r="DQ552"/>
      <c r="DR552"/>
      <c r="DS552"/>
      <c r="DT552"/>
      <c r="DU552"/>
      <c r="DV552"/>
      <c r="DW552"/>
      <c r="DX552"/>
      <c r="DY552"/>
      <c r="DZ552"/>
      <c r="EA552"/>
      <c r="EB552"/>
      <c r="EC552"/>
      <c r="ED552"/>
      <c r="EE552"/>
      <c r="EF552"/>
      <c r="EG552"/>
      <c r="EH552"/>
      <c r="EI552"/>
      <c r="EJ552"/>
      <c r="EK552"/>
      <c r="EL552"/>
      <c r="EM552"/>
      <c r="EN552"/>
      <c r="EO552"/>
      <c r="EP552"/>
      <c r="EQ552"/>
      <c r="ER552"/>
      <c r="ES552"/>
    </row>
    <row r="553" spans="1:149">
      <c r="A553"/>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c r="CW553"/>
      <c r="CX553"/>
      <c r="CY553"/>
      <c r="CZ553"/>
      <c r="DA553"/>
      <c r="DB553"/>
      <c r="DC553"/>
      <c r="DD553"/>
      <c r="DE553"/>
      <c r="DF553"/>
      <c r="DG553"/>
      <c r="DH553"/>
      <c r="DI553"/>
      <c r="DJ553"/>
      <c r="DK553"/>
      <c r="DL553"/>
      <c r="DM553"/>
      <c r="DN553"/>
      <c r="DO553"/>
      <c r="DP553"/>
      <c r="DQ553"/>
      <c r="DR553"/>
      <c r="DS553"/>
      <c r="DT553"/>
      <c r="DU553"/>
      <c r="DV553"/>
      <c r="DW553"/>
      <c r="DX553"/>
      <c r="DY553"/>
      <c r="DZ553"/>
      <c r="EA553"/>
      <c r="EB553"/>
      <c r="EC553"/>
      <c r="ED553"/>
      <c r="EE553"/>
      <c r="EF553"/>
      <c r="EG553"/>
      <c r="EH553"/>
      <c r="EI553"/>
      <c r="EJ553"/>
      <c r="EK553"/>
      <c r="EL553"/>
      <c r="EM553"/>
      <c r="EN553"/>
      <c r="EO553"/>
      <c r="EP553"/>
      <c r="EQ553"/>
      <c r="ER553"/>
      <c r="ES553"/>
    </row>
    <row r="554" spans="1:149">
      <c r="A554"/>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c r="CW554"/>
      <c r="CX554"/>
      <c r="CY554"/>
      <c r="CZ554"/>
      <c r="DA554"/>
      <c r="DB554"/>
      <c r="DC554"/>
      <c r="DD554"/>
      <c r="DE554"/>
      <c r="DF554"/>
      <c r="DG554"/>
      <c r="DH554"/>
      <c r="DI554"/>
      <c r="DJ554"/>
      <c r="DK554"/>
      <c r="DL554"/>
      <c r="DM554"/>
      <c r="DN554"/>
      <c r="DO554"/>
      <c r="DP554"/>
      <c r="DQ554"/>
      <c r="DR554"/>
      <c r="DS554"/>
      <c r="DT554"/>
      <c r="DU554"/>
      <c r="DV554"/>
      <c r="DW554"/>
      <c r="DX554"/>
      <c r="DY554"/>
      <c r="DZ554"/>
      <c r="EA554"/>
      <c r="EB554"/>
      <c r="EC554"/>
      <c r="ED554"/>
      <c r="EE554"/>
      <c r="EF554"/>
      <c r="EG554"/>
      <c r="EH554"/>
      <c r="EI554"/>
      <c r="EJ554"/>
      <c r="EK554"/>
      <c r="EL554"/>
      <c r="EM554"/>
      <c r="EN554"/>
      <c r="EO554"/>
      <c r="EP554"/>
      <c r="EQ554"/>
      <c r="ER554"/>
      <c r="ES554"/>
    </row>
    <row r="555" spans="1:149">
      <c r="A55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c r="CW555"/>
      <c r="CX555"/>
      <c r="CY555"/>
      <c r="CZ555"/>
      <c r="DA555"/>
      <c r="DB555"/>
      <c r="DC555"/>
      <c r="DD555"/>
      <c r="DE555"/>
      <c r="DF555"/>
      <c r="DG555"/>
      <c r="DH555"/>
      <c r="DI555"/>
      <c r="DJ555"/>
      <c r="DK555"/>
      <c r="DL555"/>
      <c r="DM555"/>
      <c r="DN555"/>
      <c r="DO555"/>
      <c r="DP555"/>
      <c r="DQ555"/>
      <c r="DR555"/>
      <c r="DS555"/>
      <c r="DT555"/>
      <c r="DU555"/>
      <c r="DV555"/>
      <c r="DW555"/>
      <c r="DX555"/>
      <c r="DY555"/>
      <c r="DZ555"/>
      <c r="EA555"/>
      <c r="EB555"/>
      <c r="EC555"/>
      <c r="ED555"/>
      <c r="EE555"/>
      <c r="EF555"/>
      <c r="EG555"/>
      <c r="EH555"/>
      <c r="EI555"/>
      <c r="EJ555"/>
      <c r="EK555"/>
      <c r="EL555"/>
      <c r="EM555"/>
      <c r="EN555"/>
      <c r="EO555"/>
      <c r="EP555"/>
      <c r="EQ555"/>
      <c r="ER555"/>
      <c r="ES555"/>
    </row>
    <row r="556" spans="1:149">
      <c r="A556"/>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c r="CW556"/>
      <c r="CX556"/>
      <c r="CY556"/>
      <c r="CZ556"/>
      <c r="DA556"/>
      <c r="DB556"/>
      <c r="DC556"/>
      <c r="DD556"/>
      <c r="DE556"/>
      <c r="DF556"/>
      <c r="DG556"/>
      <c r="DH556"/>
      <c r="DI556"/>
      <c r="DJ556"/>
      <c r="DK556"/>
      <c r="DL556"/>
      <c r="DM556"/>
      <c r="DN556"/>
      <c r="DO556"/>
      <c r="DP556"/>
      <c r="DQ556"/>
      <c r="DR556"/>
      <c r="DS556"/>
      <c r="DT556"/>
      <c r="DU556"/>
      <c r="DV556"/>
      <c r="DW556"/>
      <c r="DX556"/>
      <c r="DY556"/>
      <c r="DZ556"/>
      <c r="EA556"/>
      <c r="EB556"/>
      <c r="EC556"/>
      <c r="ED556"/>
      <c r="EE556"/>
      <c r="EF556"/>
      <c r="EG556"/>
      <c r="EH556"/>
      <c r="EI556"/>
      <c r="EJ556"/>
      <c r="EK556"/>
      <c r="EL556"/>
      <c r="EM556"/>
      <c r="EN556"/>
      <c r="EO556"/>
      <c r="EP556"/>
      <c r="EQ556"/>
      <c r="ER556"/>
      <c r="ES556"/>
    </row>
    <row r="557" spans="1:149">
      <c r="A557"/>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c r="CW557"/>
      <c r="CX557"/>
      <c r="CY557"/>
      <c r="CZ557"/>
      <c r="DA557"/>
      <c r="DB557"/>
      <c r="DC557"/>
      <c r="DD557"/>
      <c r="DE557"/>
      <c r="DF557"/>
      <c r="DG557"/>
      <c r="DH557"/>
      <c r="DI557"/>
      <c r="DJ557"/>
      <c r="DK557"/>
      <c r="DL557"/>
      <c r="DM557"/>
      <c r="DN557"/>
      <c r="DO557"/>
      <c r="DP557"/>
      <c r="DQ557"/>
      <c r="DR557"/>
      <c r="DS557"/>
      <c r="DT557"/>
      <c r="DU557"/>
      <c r="DV557"/>
      <c r="DW557"/>
      <c r="DX557"/>
      <c r="DY557"/>
      <c r="DZ557"/>
      <c r="EA557"/>
      <c r="EB557"/>
      <c r="EC557"/>
      <c r="ED557"/>
      <c r="EE557"/>
      <c r="EF557"/>
      <c r="EG557"/>
      <c r="EH557"/>
      <c r="EI557"/>
      <c r="EJ557"/>
      <c r="EK557"/>
      <c r="EL557"/>
      <c r="EM557"/>
      <c r="EN557"/>
      <c r="EO557"/>
      <c r="EP557"/>
      <c r="EQ557"/>
      <c r="ER557"/>
      <c r="ES557"/>
    </row>
    <row r="558" spans="1:149">
      <c r="A558"/>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c r="CW558"/>
      <c r="CX558"/>
      <c r="CY558"/>
      <c r="CZ558"/>
      <c r="DA558"/>
      <c r="DB558"/>
      <c r="DC558"/>
      <c r="DD558"/>
      <c r="DE558"/>
      <c r="DF558"/>
      <c r="DG558"/>
      <c r="DH558"/>
      <c r="DI558"/>
      <c r="DJ558"/>
      <c r="DK558"/>
      <c r="DL558"/>
      <c r="DM558"/>
      <c r="DN558"/>
      <c r="DO558"/>
      <c r="DP558"/>
      <c r="DQ558"/>
      <c r="DR558"/>
      <c r="DS558"/>
      <c r="DT558"/>
      <c r="DU558"/>
      <c r="DV558"/>
      <c r="DW558"/>
      <c r="DX558"/>
      <c r="DY558"/>
      <c r="DZ558"/>
      <c r="EA558"/>
      <c r="EB558"/>
      <c r="EC558"/>
      <c r="ED558"/>
      <c r="EE558"/>
      <c r="EF558"/>
      <c r="EG558"/>
      <c r="EH558"/>
      <c r="EI558"/>
      <c r="EJ558"/>
      <c r="EK558"/>
      <c r="EL558"/>
      <c r="EM558"/>
      <c r="EN558"/>
      <c r="EO558"/>
      <c r="EP558"/>
      <c r="EQ558"/>
      <c r="ER558"/>
      <c r="ES558"/>
    </row>
    <row r="559" spans="1:149">
      <c r="A559"/>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c r="CW559"/>
      <c r="CX559"/>
      <c r="CY559"/>
      <c r="CZ559"/>
      <c r="DA559"/>
      <c r="DB559"/>
      <c r="DC559"/>
      <c r="DD559"/>
      <c r="DE559"/>
      <c r="DF559"/>
      <c r="DG559"/>
      <c r="DH559"/>
      <c r="DI559"/>
      <c r="DJ559"/>
      <c r="DK559"/>
      <c r="DL559"/>
      <c r="DM559"/>
      <c r="DN559"/>
      <c r="DO559"/>
      <c r="DP559"/>
      <c r="DQ559"/>
      <c r="DR559"/>
      <c r="DS559"/>
      <c r="DT559"/>
      <c r="DU559"/>
      <c r="DV559"/>
      <c r="DW559"/>
      <c r="DX559"/>
      <c r="DY559"/>
      <c r="DZ559"/>
      <c r="EA559"/>
      <c r="EB559"/>
      <c r="EC559"/>
      <c r="ED559"/>
      <c r="EE559"/>
      <c r="EF559"/>
      <c r="EG559"/>
      <c r="EH559"/>
      <c r="EI559"/>
      <c r="EJ559"/>
      <c r="EK559"/>
      <c r="EL559"/>
      <c r="EM559"/>
      <c r="EN559"/>
      <c r="EO559"/>
      <c r="EP559"/>
      <c r="EQ559"/>
      <c r="ER559"/>
      <c r="ES559"/>
    </row>
    <row r="560" spans="1:149">
      <c r="A560"/>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c r="CW560"/>
      <c r="CX560"/>
      <c r="CY560"/>
      <c r="CZ560"/>
      <c r="DA560"/>
      <c r="DB560"/>
      <c r="DC560"/>
      <c r="DD560"/>
      <c r="DE560"/>
      <c r="DF560"/>
      <c r="DG560"/>
      <c r="DH560"/>
      <c r="DI560"/>
      <c r="DJ560"/>
      <c r="DK560"/>
      <c r="DL560"/>
      <c r="DM560"/>
      <c r="DN560"/>
      <c r="DO560"/>
      <c r="DP560"/>
      <c r="DQ560"/>
      <c r="DR560"/>
      <c r="DS560"/>
      <c r="DT560"/>
      <c r="DU560"/>
      <c r="DV560"/>
      <c r="DW560"/>
      <c r="DX560"/>
      <c r="DY560"/>
      <c r="DZ560"/>
      <c r="EA560"/>
      <c r="EB560"/>
      <c r="EC560"/>
      <c r="ED560"/>
      <c r="EE560"/>
      <c r="EF560"/>
      <c r="EG560"/>
      <c r="EH560"/>
      <c r="EI560"/>
      <c r="EJ560"/>
      <c r="EK560"/>
      <c r="EL560"/>
      <c r="EM560"/>
      <c r="EN560"/>
      <c r="EO560"/>
      <c r="EP560"/>
      <c r="EQ560"/>
      <c r="ER560"/>
      <c r="ES560"/>
    </row>
    <row r="561" spans="1:149">
      <c r="A561"/>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c r="CW561"/>
      <c r="CX561"/>
      <c r="CY561"/>
      <c r="CZ561"/>
      <c r="DA561"/>
      <c r="DB561"/>
      <c r="DC561"/>
      <c r="DD561"/>
      <c r="DE561"/>
      <c r="DF561"/>
      <c r="DG561"/>
      <c r="DH561"/>
      <c r="DI561"/>
      <c r="DJ561"/>
      <c r="DK561"/>
      <c r="DL561"/>
      <c r="DM561"/>
      <c r="DN561"/>
      <c r="DO561"/>
      <c r="DP561"/>
      <c r="DQ561"/>
      <c r="DR561"/>
      <c r="DS561"/>
      <c r="DT561"/>
      <c r="DU561"/>
      <c r="DV561"/>
      <c r="DW561"/>
      <c r="DX561"/>
      <c r="DY561"/>
      <c r="DZ561"/>
      <c r="EA561"/>
      <c r="EB561"/>
      <c r="EC561"/>
      <c r="ED561"/>
      <c r="EE561"/>
      <c r="EF561"/>
      <c r="EG561"/>
      <c r="EH561"/>
      <c r="EI561"/>
      <c r="EJ561"/>
      <c r="EK561"/>
      <c r="EL561"/>
      <c r="EM561"/>
      <c r="EN561"/>
      <c r="EO561"/>
      <c r="EP561"/>
      <c r="EQ561"/>
      <c r="ER561"/>
      <c r="ES561"/>
    </row>
    <row r="562" spans="1:149">
      <c r="A562"/>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c r="CW562"/>
      <c r="CX562"/>
      <c r="CY562"/>
      <c r="CZ562"/>
      <c r="DA562"/>
      <c r="DB562"/>
      <c r="DC562"/>
      <c r="DD562"/>
      <c r="DE562"/>
      <c r="DF562"/>
      <c r="DG562"/>
      <c r="DH562"/>
      <c r="DI562"/>
      <c r="DJ562"/>
      <c r="DK562"/>
      <c r="DL562"/>
      <c r="DM562"/>
      <c r="DN562"/>
      <c r="DO562"/>
      <c r="DP562"/>
      <c r="DQ562"/>
      <c r="DR562"/>
      <c r="DS562"/>
      <c r="DT562"/>
      <c r="DU562"/>
      <c r="DV562"/>
      <c r="DW562"/>
      <c r="DX562"/>
      <c r="DY562"/>
      <c r="DZ562"/>
      <c r="EA562"/>
      <c r="EB562"/>
      <c r="EC562"/>
      <c r="ED562"/>
      <c r="EE562"/>
      <c r="EF562"/>
      <c r="EG562"/>
      <c r="EH562"/>
      <c r="EI562"/>
      <c r="EJ562"/>
      <c r="EK562"/>
      <c r="EL562"/>
      <c r="EM562"/>
      <c r="EN562"/>
      <c r="EO562"/>
      <c r="EP562"/>
      <c r="EQ562"/>
      <c r="ER562"/>
      <c r="ES562"/>
    </row>
    <row r="563" spans="1:149">
      <c r="A563"/>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c r="CW563"/>
      <c r="CX563"/>
      <c r="CY563"/>
      <c r="CZ563"/>
      <c r="DA563"/>
      <c r="DB563"/>
      <c r="DC563"/>
      <c r="DD563"/>
      <c r="DE563"/>
      <c r="DF563"/>
      <c r="DG563"/>
      <c r="DH563"/>
      <c r="DI563"/>
      <c r="DJ563"/>
      <c r="DK563"/>
      <c r="DL563"/>
      <c r="DM563"/>
      <c r="DN563"/>
      <c r="DO563"/>
      <c r="DP563"/>
      <c r="DQ563"/>
      <c r="DR563"/>
      <c r="DS563"/>
      <c r="DT563"/>
      <c r="DU563"/>
      <c r="DV563"/>
      <c r="DW563"/>
      <c r="DX563"/>
      <c r="DY563"/>
      <c r="DZ563"/>
      <c r="EA563"/>
      <c r="EB563"/>
      <c r="EC563"/>
      <c r="ED563"/>
      <c r="EE563"/>
      <c r="EF563"/>
      <c r="EG563"/>
      <c r="EH563"/>
      <c r="EI563"/>
      <c r="EJ563"/>
      <c r="EK563"/>
      <c r="EL563"/>
      <c r="EM563"/>
      <c r="EN563"/>
      <c r="EO563"/>
      <c r="EP563"/>
      <c r="EQ563"/>
      <c r="ER563"/>
      <c r="ES563"/>
    </row>
    <row r="564" spans="1:149">
      <c r="A564"/>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c r="CW564"/>
      <c r="CX564"/>
      <c r="CY564"/>
      <c r="CZ564"/>
      <c r="DA564"/>
      <c r="DB564"/>
      <c r="DC564"/>
      <c r="DD564"/>
      <c r="DE564"/>
      <c r="DF564"/>
      <c r="DG564"/>
      <c r="DH564"/>
      <c r="DI564"/>
      <c r="DJ564"/>
      <c r="DK564"/>
      <c r="DL564"/>
      <c r="DM564"/>
      <c r="DN564"/>
      <c r="DO564"/>
      <c r="DP564"/>
      <c r="DQ564"/>
      <c r="DR564"/>
      <c r="DS564"/>
      <c r="DT564"/>
      <c r="DU564"/>
      <c r="DV564"/>
      <c r="DW564"/>
      <c r="DX564"/>
      <c r="DY564"/>
      <c r="DZ564"/>
      <c r="EA564"/>
      <c r="EB564"/>
      <c r="EC564"/>
      <c r="ED564"/>
      <c r="EE564"/>
      <c r="EF564"/>
      <c r="EG564"/>
      <c r="EH564"/>
      <c r="EI564"/>
      <c r="EJ564"/>
      <c r="EK564"/>
      <c r="EL564"/>
      <c r="EM564"/>
      <c r="EN564"/>
      <c r="EO564"/>
      <c r="EP564"/>
      <c r="EQ564"/>
      <c r="ER564"/>
      <c r="ES564"/>
    </row>
    <row r="565" spans="1:149">
      <c r="A56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c r="CW565"/>
      <c r="CX565"/>
      <c r="CY565"/>
      <c r="CZ565"/>
      <c r="DA565"/>
      <c r="DB565"/>
      <c r="DC565"/>
      <c r="DD565"/>
      <c r="DE565"/>
      <c r="DF565"/>
      <c r="DG565"/>
      <c r="DH565"/>
      <c r="DI565"/>
      <c r="DJ565"/>
      <c r="DK565"/>
      <c r="DL565"/>
      <c r="DM565"/>
      <c r="DN565"/>
      <c r="DO565"/>
      <c r="DP565"/>
      <c r="DQ565"/>
      <c r="DR565"/>
      <c r="DS565"/>
      <c r="DT565"/>
      <c r="DU565"/>
      <c r="DV565"/>
      <c r="DW565"/>
      <c r="DX565"/>
      <c r="DY565"/>
      <c r="DZ565"/>
      <c r="EA565"/>
      <c r="EB565"/>
      <c r="EC565"/>
      <c r="ED565"/>
      <c r="EE565"/>
      <c r="EF565"/>
      <c r="EG565"/>
      <c r="EH565"/>
      <c r="EI565"/>
      <c r="EJ565"/>
      <c r="EK565"/>
      <c r="EL565"/>
      <c r="EM565"/>
      <c r="EN565"/>
      <c r="EO565"/>
      <c r="EP565"/>
      <c r="EQ565"/>
      <c r="ER565"/>
      <c r="ES565"/>
    </row>
    <row r="566" spans="1:149">
      <c r="A566"/>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c r="CW566"/>
      <c r="CX566"/>
      <c r="CY566"/>
      <c r="CZ566"/>
      <c r="DA566"/>
      <c r="DB566"/>
      <c r="DC566"/>
      <c r="DD566"/>
      <c r="DE566"/>
      <c r="DF566"/>
      <c r="DG566"/>
      <c r="DH566"/>
      <c r="DI566"/>
      <c r="DJ566"/>
      <c r="DK566"/>
      <c r="DL566"/>
      <c r="DM566"/>
      <c r="DN566"/>
      <c r="DO566"/>
      <c r="DP566"/>
      <c r="DQ566"/>
      <c r="DR566"/>
      <c r="DS566"/>
      <c r="DT566"/>
      <c r="DU566"/>
      <c r="DV566"/>
      <c r="DW566"/>
      <c r="DX566"/>
      <c r="DY566"/>
      <c r="DZ566"/>
      <c r="EA566"/>
      <c r="EB566"/>
      <c r="EC566"/>
      <c r="ED566"/>
      <c r="EE566"/>
      <c r="EF566"/>
      <c r="EG566"/>
      <c r="EH566"/>
      <c r="EI566"/>
      <c r="EJ566"/>
      <c r="EK566"/>
      <c r="EL566"/>
      <c r="EM566"/>
      <c r="EN566"/>
      <c r="EO566"/>
      <c r="EP566"/>
      <c r="EQ566"/>
      <c r="ER566"/>
      <c r="ES566"/>
    </row>
    <row r="567" spans="1:149">
      <c r="A567"/>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c r="CW567"/>
      <c r="CX567"/>
      <c r="CY567"/>
      <c r="CZ567"/>
      <c r="DA567"/>
      <c r="DB567"/>
      <c r="DC567"/>
      <c r="DD567"/>
      <c r="DE567"/>
      <c r="DF567"/>
      <c r="DG567"/>
      <c r="DH567"/>
      <c r="DI567"/>
      <c r="DJ567"/>
      <c r="DK567"/>
      <c r="DL567"/>
      <c r="DM567"/>
      <c r="DN567"/>
      <c r="DO567"/>
      <c r="DP567"/>
      <c r="DQ567"/>
      <c r="DR567"/>
      <c r="DS567"/>
      <c r="DT567"/>
      <c r="DU567"/>
      <c r="DV567"/>
      <c r="DW567"/>
      <c r="DX567"/>
      <c r="DY567"/>
      <c r="DZ567"/>
      <c r="EA567"/>
      <c r="EB567"/>
      <c r="EC567"/>
      <c r="ED567"/>
      <c r="EE567"/>
      <c r="EF567"/>
      <c r="EG567"/>
      <c r="EH567"/>
      <c r="EI567"/>
      <c r="EJ567"/>
      <c r="EK567"/>
      <c r="EL567"/>
      <c r="EM567"/>
      <c r="EN567"/>
      <c r="EO567"/>
      <c r="EP567"/>
      <c r="EQ567"/>
      <c r="ER567"/>
      <c r="ES567"/>
    </row>
    <row r="568" spans="1:149">
      <c r="A568"/>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c r="CW568"/>
      <c r="CX568"/>
      <c r="CY568"/>
      <c r="CZ568"/>
      <c r="DA568"/>
      <c r="DB568"/>
      <c r="DC568"/>
      <c r="DD568"/>
      <c r="DE568"/>
      <c r="DF568"/>
      <c r="DG568"/>
      <c r="DH568"/>
      <c r="DI568"/>
      <c r="DJ568"/>
      <c r="DK568"/>
      <c r="DL568"/>
      <c r="DM568"/>
      <c r="DN568"/>
      <c r="DO568"/>
      <c r="DP568"/>
      <c r="DQ568"/>
      <c r="DR568"/>
      <c r="DS568"/>
      <c r="DT568"/>
      <c r="DU568"/>
      <c r="DV568"/>
      <c r="DW568"/>
      <c r="DX568"/>
      <c r="DY568"/>
      <c r="DZ568"/>
      <c r="EA568"/>
      <c r="EB568"/>
      <c r="EC568"/>
      <c r="ED568"/>
      <c r="EE568"/>
      <c r="EF568"/>
      <c r="EG568"/>
      <c r="EH568"/>
      <c r="EI568"/>
      <c r="EJ568"/>
      <c r="EK568"/>
      <c r="EL568"/>
      <c r="EM568"/>
      <c r="EN568"/>
      <c r="EO568"/>
      <c r="EP568"/>
      <c r="EQ568"/>
      <c r="ER568"/>
      <c r="ES568"/>
    </row>
    <row r="569" spans="1:149">
      <c r="A569"/>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c r="CW569"/>
      <c r="CX569"/>
      <c r="CY569"/>
      <c r="CZ569"/>
      <c r="DA569"/>
      <c r="DB569"/>
      <c r="DC569"/>
      <c r="DD569"/>
      <c r="DE569"/>
      <c r="DF569"/>
      <c r="DG569"/>
      <c r="DH569"/>
      <c r="DI569"/>
      <c r="DJ569"/>
      <c r="DK569"/>
      <c r="DL569"/>
      <c r="DM569"/>
      <c r="DN569"/>
      <c r="DO569"/>
      <c r="DP569"/>
      <c r="DQ569"/>
      <c r="DR569"/>
      <c r="DS569"/>
      <c r="DT569"/>
      <c r="DU569"/>
      <c r="DV569"/>
      <c r="DW569"/>
      <c r="DX569"/>
      <c r="DY569"/>
      <c r="DZ569"/>
      <c r="EA569"/>
      <c r="EB569"/>
      <c r="EC569"/>
      <c r="ED569"/>
      <c r="EE569"/>
      <c r="EF569"/>
      <c r="EG569"/>
      <c r="EH569"/>
      <c r="EI569"/>
      <c r="EJ569"/>
      <c r="EK569"/>
      <c r="EL569"/>
      <c r="EM569"/>
      <c r="EN569"/>
      <c r="EO569"/>
      <c r="EP569"/>
      <c r="EQ569"/>
      <c r="ER569"/>
      <c r="ES569"/>
    </row>
    <row r="570" spans="1:149">
      <c r="A570"/>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c r="CW570"/>
      <c r="CX570"/>
      <c r="CY570"/>
      <c r="CZ570"/>
      <c r="DA570"/>
      <c r="DB570"/>
      <c r="DC570"/>
      <c r="DD570"/>
      <c r="DE570"/>
      <c r="DF570"/>
      <c r="DG570"/>
      <c r="DH570"/>
      <c r="DI570"/>
      <c r="DJ570"/>
      <c r="DK570"/>
      <c r="DL570"/>
      <c r="DM570"/>
      <c r="DN570"/>
      <c r="DO570"/>
      <c r="DP570"/>
      <c r="DQ570"/>
      <c r="DR570"/>
      <c r="DS570"/>
      <c r="DT570"/>
      <c r="DU570"/>
      <c r="DV570"/>
      <c r="DW570"/>
      <c r="DX570"/>
      <c r="DY570"/>
      <c r="DZ570"/>
      <c r="EA570"/>
      <c r="EB570"/>
      <c r="EC570"/>
      <c r="ED570"/>
      <c r="EE570"/>
      <c r="EF570"/>
      <c r="EG570"/>
      <c r="EH570"/>
      <c r="EI570"/>
      <c r="EJ570"/>
      <c r="EK570"/>
      <c r="EL570"/>
      <c r="EM570"/>
      <c r="EN570"/>
      <c r="EO570"/>
      <c r="EP570"/>
      <c r="EQ570"/>
      <c r="ER570"/>
      <c r="ES570"/>
    </row>
    <row r="571" spans="1:149">
      <c r="A571"/>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c r="CW571"/>
      <c r="CX571"/>
      <c r="CY571"/>
      <c r="CZ571"/>
      <c r="DA571"/>
      <c r="DB571"/>
      <c r="DC571"/>
      <c r="DD571"/>
      <c r="DE571"/>
      <c r="DF571"/>
      <c r="DG571"/>
      <c r="DH571"/>
      <c r="DI571"/>
      <c r="DJ571"/>
      <c r="DK571"/>
      <c r="DL571"/>
      <c r="DM571"/>
      <c r="DN571"/>
      <c r="DO571"/>
      <c r="DP571"/>
      <c r="DQ571"/>
      <c r="DR571"/>
      <c r="DS571"/>
      <c r="DT571"/>
      <c r="DU571"/>
      <c r="DV571"/>
      <c r="DW571"/>
      <c r="DX571"/>
      <c r="DY571"/>
      <c r="DZ571"/>
      <c r="EA571"/>
      <c r="EB571"/>
      <c r="EC571"/>
      <c r="ED571"/>
      <c r="EE571"/>
      <c r="EF571"/>
      <c r="EG571"/>
      <c r="EH571"/>
      <c r="EI571"/>
      <c r="EJ571"/>
      <c r="EK571"/>
      <c r="EL571"/>
      <c r="EM571"/>
      <c r="EN571"/>
      <c r="EO571"/>
      <c r="EP571"/>
      <c r="EQ571"/>
      <c r="ER571"/>
      <c r="ES571"/>
    </row>
    <row r="572" spans="1:149">
      <c r="A572"/>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c r="CW572"/>
      <c r="CX572"/>
      <c r="CY572"/>
      <c r="CZ572"/>
      <c r="DA572"/>
      <c r="DB572"/>
      <c r="DC572"/>
      <c r="DD572"/>
      <c r="DE572"/>
      <c r="DF572"/>
      <c r="DG572"/>
      <c r="DH572"/>
      <c r="DI572"/>
      <c r="DJ572"/>
      <c r="DK572"/>
      <c r="DL572"/>
      <c r="DM572"/>
      <c r="DN572"/>
      <c r="DO572"/>
      <c r="DP572"/>
      <c r="DQ572"/>
      <c r="DR572"/>
      <c r="DS572"/>
      <c r="DT572"/>
      <c r="DU572"/>
      <c r="DV572"/>
      <c r="DW572"/>
      <c r="DX572"/>
      <c r="DY572"/>
      <c r="DZ572"/>
      <c r="EA572"/>
      <c r="EB572"/>
      <c r="EC572"/>
      <c r="ED572"/>
      <c r="EE572"/>
      <c r="EF572"/>
      <c r="EG572"/>
      <c r="EH572"/>
      <c r="EI572"/>
      <c r="EJ572"/>
      <c r="EK572"/>
      <c r="EL572"/>
      <c r="EM572"/>
      <c r="EN572"/>
      <c r="EO572"/>
      <c r="EP572"/>
      <c r="EQ572"/>
      <c r="ER572"/>
      <c r="ES572"/>
    </row>
    <row r="573" spans="1:149">
      <c r="A573"/>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c r="CW573"/>
      <c r="CX573"/>
      <c r="CY573"/>
      <c r="CZ573"/>
      <c r="DA573"/>
      <c r="DB573"/>
      <c r="DC573"/>
      <c r="DD573"/>
      <c r="DE573"/>
      <c r="DF573"/>
      <c r="DG573"/>
      <c r="DH573"/>
      <c r="DI573"/>
      <c r="DJ573"/>
      <c r="DK573"/>
      <c r="DL573"/>
      <c r="DM573"/>
      <c r="DN573"/>
      <c r="DO573"/>
      <c r="DP573"/>
      <c r="DQ573"/>
      <c r="DR573"/>
      <c r="DS573"/>
      <c r="DT573"/>
      <c r="DU573"/>
      <c r="DV573"/>
      <c r="DW573"/>
      <c r="DX573"/>
      <c r="DY573"/>
      <c r="DZ573"/>
      <c r="EA573"/>
      <c r="EB573"/>
      <c r="EC573"/>
      <c r="ED573"/>
      <c r="EE573"/>
      <c r="EF573"/>
      <c r="EG573"/>
      <c r="EH573"/>
      <c r="EI573"/>
      <c r="EJ573"/>
      <c r="EK573"/>
      <c r="EL573"/>
      <c r="EM573"/>
      <c r="EN573"/>
      <c r="EO573"/>
      <c r="EP573"/>
      <c r="EQ573"/>
      <c r="ER573"/>
      <c r="ES573"/>
    </row>
    <row r="574" spans="1:149">
      <c r="A574"/>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c r="CW574"/>
      <c r="CX574"/>
      <c r="CY574"/>
      <c r="CZ574"/>
      <c r="DA574"/>
      <c r="DB574"/>
      <c r="DC574"/>
      <c r="DD574"/>
      <c r="DE574"/>
      <c r="DF574"/>
      <c r="DG574"/>
      <c r="DH574"/>
      <c r="DI574"/>
      <c r="DJ574"/>
      <c r="DK574"/>
      <c r="DL574"/>
      <c r="DM574"/>
      <c r="DN574"/>
      <c r="DO574"/>
      <c r="DP574"/>
      <c r="DQ574"/>
      <c r="DR574"/>
      <c r="DS574"/>
      <c r="DT574"/>
      <c r="DU574"/>
      <c r="DV574"/>
      <c r="DW574"/>
      <c r="DX574"/>
      <c r="DY574"/>
      <c r="DZ574"/>
      <c r="EA574"/>
      <c r="EB574"/>
      <c r="EC574"/>
      <c r="ED574"/>
      <c r="EE574"/>
      <c r="EF574"/>
      <c r="EG574"/>
      <c r="EH574"/>
      <c r="EI574"/>
      <c r="EJ574"/>
      <c r="EK574"/>
      <c r="EL574"/>
      <c r="EM574"/>
      <c r="EN574"/>
      <c r="EO574"/>
      <c r="EP574"/>
      <c r="EQ574"/>
      <c r="ER574"/>
      <c r="ES574"/>
    </row>
    <row r="575" spans="1:149">
      <c r="A57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c r="CW575"/>
      <c r="CX575"/>
      <c r="CY575"/>
      <c r="CZ575"/>
      <c r="DA575"/>
      <c r="DB575"/>
      <c r="DC575"/>
      <c r="DD575"/>
      <c r="DE575"/>
      <c r="DF575"/>
      <c r="DG575"/>
      <c r="DH575"/>
      <c r="DI575"/>
      <c r="DJ575"/>
      <c r="DK575"/>
      <c r="DL575"/>
      <c r="DM575"/>
      <c r="DN575"/>
      <c r="DO575"/>
      <c r="DP575"/>
      <c r="DQ575"/>
      <c r="DR575"/>
      <c r="DS575"/>
      <c r="DT575"/>
      <c r="DU575"/>
      <c r="DV575"/>
      <c r="DW575"/>
      <c r="DX575"/>
      <c r="DY575"/>
      <c r="DZ575"/>
      <c r="EA575"/>
      <c r="EB575"/>
      <c r="EC575"/>
      <c r="ED575"/>
      <c r="EE575"/>
      <c r="EF575"/>
      <c r="EG575"/>
      <c r="EH575"/>
      <c r="EI575"/>
      <c r="EJ575"/>
      <c r="EK575"/>
      <c r="EL575"/>
      <c r="EM575"/>
      <c r="EN575"/>
      <c r="EO575"/>
      <c r="EP575"/>
      <c r="EQ575"/>
      <c r="ER575"/>
      <c r="ES575"/>
    </row>
    <row r="576" spans="1:149">
      <c r="A576"/>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c r="CW576"/>
      <c r="CX576"/>
      <c r="CY576"/>
      <c r="CZ576"/>
      <c r="DA576"/>
      <c r="DB576"/>
      <c r="DC576"/>
      <c r="DD576"/>
      <c r="DE576"/>
      <c r="DF576"/>
      <c r="DG576"/>
      <c r="DH576"/>
      <c r="DI576"/>
      <c r="DJ576"/>
      <c r="DK576"/>
      <c r="DL576"/>
      <c r="DM576"/>
      <c r="DN576"/>
      <c r="DO576"/>
      <c r="DP576"/>
      <c r="DQ576"/>
      <c r="DR576"/>
      <c r="DS576"/>
      <c r="DT576"/>
      <c r="DU576"/>
      <c r="DV576"/>
      <c r="DW576"/>
      <c r="DX576"/>
      <c r="DY576"/>
      <c r="DZ576"/>
      <c r="EA576"/>
      <c r="EB576"/>
      <c r="EC576"/>
      <c r="ED576"/>
      <c r="EE576"/>
      <c r="EF576"/>
      <c r="EG576"/>
      <c r="EH576"/>
      <c r="EI576"/>
      <c r="EJ576"/>
      <c r="EK576"/>
      <c r="EL576"/>
      <c r="EM576"/>
      <c r="EN576"/>
      <c r="EO576"/>
      <c r="EP576"/>
      <c r="EQ576"/>
      <c r="ER576"/>
      <c r="ES576"/>
    </row>
    <row r="577" spans="1:149">
      <c r="A577"/>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M577"/>
      <c r="CN577"/>
      <c r="CO577"/>
      <c r="CP577"/>
      <c r="CQ577"/>
      <c r="CR577"/>
      <c r="CS577"/>
      <c r="CT577"/>
      <c r="CU577"/>
      <c r="CV577"/>
      <c r="CW577"/>
      <c r="CX577"/>
      <c r="CY577"/>
      <c r="CZ577"/>
      <c r="DA577"/>
      <c r="DB577"/>
      <c r="DC577"/>
      <c r="DD577"/>
      <c r="DE577"/>
      <c r="DF577"/>
      <c r="DG577"/>
      <c r="DH577"/>
      <c r="DI577"/>
      <c r="DJ577"/>
      <c r="DK577"/>
      <c r="DL577"/>
      <c r="DM577"/>
      <c r="DN577"/>
      <c r="DO577"/>
      <c r="DP577"/>
      <c r="DQ577"/>
      <c r="DR577"/>
      <c r="DS577"/>
      <c r="DT577"/>
      <c r="DU577"/>
      <c r="DV577"/>
      <c r="DW577"/>
      <c r="DX577"/>
      <c r="DY577"/>
      <c r="DZ577"/>
      <c r="EA577"/>
      <c r="EB577"/>
      <c r="EC577"/>
      <c r="ED577"/>
      <c r="EE577"/>
      <c r="EF577"/>
      <c r="EG577"/>
      <c r="EH577"/>
      <c r="EI577"/>
      <c r="EJ577"/>
      <c r="EK577"/>
      <c r="EL577"/>
      <c r="EM577"/>
      <c r="EN577"/>
      <c r="EO577"/>
      <c r="EP577"/>
      <c r="EQ577"/>
      <c r="ER577"/>
      <c r="ES577"/>
    </row>
    <row r="578" spans="1:149">
      <c r="A578"/>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M578"/>
      <c r="CN578"/>
      <c r="CO578"/>
      <c r="CP578"/>
      <c r="CQ578"/>
      <c r="CR578"/>
      <c r="CS578"/>
      <c r="CT578"/>
      <c r="CU578"/>
      <c r="CV578"/>
      <c r="CW578"/>
      <c r="CX578"/>
      <c r="CY578"/>
      <c r="CZ578"/>
      <c r="DA578"/>
      <c r="DB578"/>
      <c r="DC578"/>
      <c r="DD578"/>
      <c r="DE578"/>
      <c r="DF578"/>
      <c r="DG578"/>
      <c r="DH578"/>
      <c r="DI578"/>
      <c r="DJ578"/>
      <c r="DK578"/>
      <c r="DL578"/>
      <c r="DM578"/>
      <c r="DN578"/>
      <c r="DO578"/>
      <c r="DP578"/>
      <c r="DQ578"/>
      <c r="DR578"/>
      <c r="DS578"/>
      <c r="DT578"/>
      <c r="DU578"/>
      <c r="DV578"/>
      <c r="DW578"/>
      <c r="DX578"/>
      <c r="DY578"/>
      <c r="DZ578"/>
      <c r="EA578"/>
      <c r="EB578"/>
      <c r="EC578"/>
      <c r="ED578"/>
      <c r="EE578"/>
      <c r="EF578"/>
      <c r="EG578"/>
      <c r="EH578"/>
      <c r="EI578"/>
      <c r="EJ578"/>
      <c r="EK578"/>
      <c r="EL578"/>
      <c r="EM578"/>
      <c r="EN578"/>
      <c r="EO578"/>
      <c r="EP578"/>
      <c r="EQ578"/>
      <c r="ER578"/>
      <c r="ES578"/>
    </row>
    <row r="579" spans="1:149">
      <c r="A579"/>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c r="CQ579"/>
      <c r="CR579"/>
      <c r="CS579"/>
      <c r="CT579"/>
      <c r="CU579"/>
      <c r="CV579"/>
      <c r="CW579"/>
      <c r="CX579"/>
      <c r="CY579"/>
      <c r="CZ579"/>
      <c r="DA579"/>
      <c r="DB579"/>
      <c r="DC579"/>
      <c r="DD579"/>
      <c r="DE579"/>
      <c r="DF579"/>
      <c r="DG579"/>
      <c r="DH579"/>
      <c r="DI579"/>
      <c r="DJ579"/>
      <c r="DK579"/>
      <c r="DL579"/>
      <c r="DM579"/>
      <c r="DN579"/>
      <c r="DO579"/>
      <c r="DP579"/>
      <c r="DQ579"/>
      <c r="DR579"/>
      <c r="DS579"/>
      <c r="DT579"/>
      <c r="DU579"/>
      <c r="DV579"/>
      <c r="DW579"/>
      <c r="DX579"/>
      <c r="DY579"/>
      <c r="DZ579"/>
      <c r="EA579"/>
      <c r="EB579"/>
      <c r="EC579"/>
      <c r="ED579"/>
      <c r="EE579"/>
      <c r="EF579"/>
      <c r="EG579"/>
      <c r="EH579"/>
      <c r="EI579"/>
      <c r="EJ579"/>
      <c r="EK579"/>
      <c r="EL579"/>
      <c r="EM579"/>
      <c r="EN579"/>
      <c r="EO579"/>
      <c r="EP579"/>
      <c r="EQ579"/>
      <c r="ER579"/>
      <c r="ES579"/>
    </row>
    <row r="580" spans="1:149">
      <c r="A580"/>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M580"/>
      <c r="CN580"/>
      <c r="CO580"/>
      <c r="CP580"/>
      <c r="CQ580"/>
      <c r="CR580"/>
      <c r="CS580"/>
      <c r="CT580"/>
      <c r="CU580"/>
      <c r="CV580"/>
      <c r="CW580"/>
      <c r="CX580"/>
      <c r="CY580"/>
      <c r="CZ580"/>
      <c r="DA580"/>
      <c r="DB580"/>
      <c r="DC580"/>
      <c r="DD580"/>
      <c r="DE580"/>
      <c r="DF580"/>
      <c r="DG580"/>
      <c r="DH580"/>
      <c r="DI580"/>
      <c r="DJ580"/>
      <c r="DK580"/>
      <c r="DL580"/>
      <c r="DM580"/>
      <c r="DN580"/>
      <c r="DO580"/>
      <c r="DP580"/>
      <c r="DQ580"/>
      <c r="DR580"/>
      <c r="DS580"/>
      <c r="DT580"/>
      <c r="DU580"/>
      <c r="DV580"/>
      <c r="DW580"/>
      <c r="DX580"/>
      <c r="DY580"/>
      <c r="DZ580"/>
      <c r="EA580"/>
      <c r="EB580"/>
      <c r="EC580"/>
      <c r="ED580"/>
      <c r="EE580"/>
      <c r="EF580"/>
      <c r="EG580"/>
      <c r="EH580"/>
      <c r="EI580"/>
      <c r="EJ580"/>
      <c r="EK580"/>
      <c r="EL580"/>
      <c r="EM580"/>
      <c r="EN580"/>
      <c r="EO580"/>
      <c r="EP580"/>
      <c r="EQ580"/>
      <c r="ER580"/>
      <c r="ES580"/>
    </row>
    <row r="581" spans="1:149">
      <c r="A581"/>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M581"/>
      <c r="CN581"/>
      <c r="CO581"/>
      <c r="CP581"/>
      <c r="CQ581"/>
      <c r="CR581"/>
      <c r="CS581"/>
      <c r="CT581"/>
      <c r="CU581"/>
      <c r="CV581"/>
      <c r="CW581"/>
      <c r="CX581"/>
      <c r="CY581"/>
      <c r="CZ581"/>
      <c r="DA581"/>
      <c r="DB581"/>
      <c r="DC581"/>
      <c r="DD581"/>
      <c r="DE581"/>
      <c r="DF581"/>
      <c r="DG581"/>
      <c r="DH581"/>
      <c r="DI581"/>
      <c r="DJ581"/>
      <c r="DK581"/>
      <c r="DL581"/>
      <c r="DM581"/>
      <c r="DN581"/>
      <c r="DO581"/>
      <c r="DP581"/>
      <c r="DQ581"/>
      <c r="DR581"/>
      <c r="DS581"/>
      <c r="DT581"/>
      <c r="DU581"/>
      <c r="DV581"/>
      <c r="DW581"/>
      <c r="DX581"/>
      <c r="DY581"/>
      <c r="DZ581"/>
      <c r="EA581"/>
      <c r="EB581"/>
      <c r="EC581"/>
      <c r="ED581"/>
      <c r="EE581"/>
      <c r="EF581"/>
      <c r="EG581"/>
      <c r="EH581"/>
      <c r="EI581"/>
      <c r="EJ581"/>
      <c r="EK581"/>
      <c r="EL581"/>
      <c r="EM581"/>
      <c r="EN581"/>
      <c r="EO581"/>
      <c r="EP581"/>
      <c r="EQ581"/>
      <c r="ER581"/>
      <c r="ES581"/>
    </row>
    <row r="582" spans="1:149">
      <c r="A582"/>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M582"/>
      <c r="CN582"/>
      <c r="CO582"/>
      <c r="CP582"/>
      <c r="CQ582"/>
      <c r="CR582"/>
      <c r="CS582"/>
      <c r="CT582"/>
      <c r="CU582"/>
      <c r="CV582"/>
      <c r="CW582"/>
      <c r="CX582"/>
      <c r="CY582"/>
      <c r="CZ582"/>
      <c r="DA582"/>
      <c r="DB582"/>
      <c r="DC582"/>
      <c r="DD582"/>
      <c r="DE582"/>
      <c r="DF582"/>
      <c r="DG582"/>
      <c r="DH582"/>
      <c r="DI582"/>
      <c r="DJ582"/>
      <c r="DK582"/>
      <c r="DL582"/>
      <c r="DM582"/>
      <c r="DN582"/>
      <c r="DO582"/>
      <c r="DP582"/>
      <c r="DQ582"/>
      <c r="DR582"/>
      <c r="DS582"/>
      <c r="DT582"/>
      <c r="DU582"/>
      <c r="DV582"/>
      <c r="DW582"/>
      <c r="DX582"/>
      <c r="DY582"/>
      <c r="DZ582"/>
      <c r="EA582"/>
      <c r="EB582"/>
      <c r="EC582"/>
      <c r="ED582"/>
      <c r="EE582"/>
      <c r="EF582"/>
      <c r="EG582"/>
      <c r="EH582"/>
      <c r="EI582"/>
      <c r="EJ582"/>
      <c r="EK582"/>
      <c r="EL582"/>
      <c r="EM582"/>
      <c r="EN582"/>
      <c r="EO582"/>
      <c r="EP582"/>
      <c r="EQ582"/>
      <c r="ER582"/>
      <c r="ES582"/>
    </row>
    <row r="583" spans="1:149">
      <c r="A583"/>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M583"/>
      <c r="CN583"/>
      <c r="CO583"/>
      <c r="CP583"/>
      <c r="CQ583"/>
      <c r="CR583"/>
      <c r="CS583"/>
      <c r="CT583"/>
      <c r="CU583"/>
      <c r="CV583"/>
      <c r="CW583"/>
      <c r="CX583"/>
      <c r="CY583"/>
      <c r="CZ583"/>
      <c r="DA583"/>
      <c r="DB583"/>
      <c r="DC583"/>
      <c r="DD583"/>
      <c r="DE583"/>
      <c r="DF583"/>
      <c r="DG583"/>
      <c r="DH583"/>
      <c r="DI583"/>
      <c r="DJ583"/>
      <c r="DK583"/>
      <c r="DL583"/>
      <c r="DM583"/>
      <c r="DN583"/>
      <c r="DO583"/>
      <c r="DP583"/>
      <c r="DQ583"/>
      <c r="DR583"/>
      <c r="DS583"/>
      <c r="DT583"/>
      <c r="DU583"/>
      <c r="DV583"/>
      <c r="DW583"/>
      <c r="DX583"/>
      <c r="DY583"/>
      <c r="DZ583"/>
      <c r="EA583"/>
      <c r="EB583"/>
      <c r="EC583"/>
      <c r="ED583"/>
      <c r="EE583"/>
      <c r="EF583"/>
      <c r="EG583"/>
      <c r="EH583"/>
      <c r="EI583"/>
      <c r="EJ583"/>
      <c r="EK583"/>
      <c r="EL583"/>
      <c r="EM583"/>
      <c r="EN583"/>
      <c r="EO583"/>
      <c r="EP583"/>
      <c r="EQ583"/>
      <c r="ER583"/>
      <c r="ES583"/>
    </row>
    <row r="584" spans="1:149">
      <c r="A584"/>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M584"/>
      <c r="CN584"/>
      <c r="CO584"/>
      <c r="CP584"/>
      <c r="CQ584"/>
      <c r="CR584"/>
      <c r="CS584"/>
      <c r="CT584"/>
      <c r="CU584"/>
      <c r="CV584"/>
      <c r="CW584"/>
      <c r="CX584"/>
      <c r="CY584"/>
      <c r="CZ584"/>
      <c r="DA584"/>
      <c r="DB584"/>
      <c r="DC584"/>
      <c r="DD584"/>
      <c r="DE584"/>
      <c r="DF584"/>
      <c r="DG584"/>
      <c r="DH584"/>
      <c r="DI584"/>
      <c r="DJ584"/>
      <c r="DK584"/>
      <c r="DL584"/>
      <c r="DM584"/>
      <c r="DN584"/>
      <c r="DO584"/>
      <c r="DP584"/>
      <c r="DQ584"/>
      <c r="DR584"/>
      <c r="DS584"/>
      <c r="DT584"/>
      <c r="DU584"/>
      <c r="DV584"/>
      <c r="DW584"/>
      <c r="DX584"/>
      <c r="DY584"/>
      <c r="DZ584"/>
      <c r="EA584"/>
      <c r="EB584"/>
      <c r="EC584"/>
      <c r="ED584"/>
      <c r="EE584"/>
      <c r="EF584"/>
      <c r="EG584"/>
      <c r="EH584"/>
      <c r="EI584"/>
      <c r="EJ584"/>
      <c r="EK584"/>
      <c r="EL584"/>
      <c r="EM584"/>
      <c r="EN584"/>
      <c r="EO584"/>
      <c r="EP584"/>
      <c r="EQ584"/>
      <c r="ER584"/>
      <c r="ES584"/>
    </row>
    <row r="585" spans="1:149">
      <c r="A58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M585"/>
      <c r="CN585"/>
      <c r="CO585"/>
      <c r="CP585"/>
      <c r="CQ585"/>
      <c r="CR585"/>
      <c r="CS585"/>
      <c r="CT585"/>
      <c r="CU585"/>
      <c r="CV585"/>
      <c r="CW585"/>
      <c r="CX585"/>
      <c r="CY585"/>
      <c r="CZ585"/>
      <c r="DA585"/>
      <c r="DB585"/>
      <c r="DC585"/>
      <c r="DD585"/>
      <c r="DE585"/>
      <c r="DF585"/>
      <c r="DG585"/>
      <c r="DH585"/>
      <c r="DI585"/>
      <c r="DJ585"/>
      <c r="DK585"/>
      <c r="DL585"/>
      <c r="DM585"/>
      <c r="DN585"/>
      <c r="DO585"/>
      <c r="DP585"/>
      <c r="DQ585"/>
      <c r="DR585"/>
      <c r="DS585"/>
      <c r="DT585"/>
      <c r="DU585"/>
      <c r="DV585"/>
      <c r="DW585"/>
      <c r="DX585"/>
      <c r="DY585"/>
      <c r="DZ585"/>
      <c r="EA585"/>
      <c r="EB585"/>
      <c r="EC585"/>
      <c r="ED585"/>
      <c r="EE585"/>
      <c r="EF585"/>
      <c r="EG585"/>
      <c r="EH585"/>
      <c r="EI585"/>
      <c r="EJ585"/>
      <c r="EK585"/>
      <c r="EL585"/>
      <c r="EM585"/>
      <c r="EN585"/>
      <c r="EO585"/>
      <c r="EP585"/>
      <c r="EQ585"/>
      <c r="ER585"/>
      <c r="ES585"/>
    </row>
    <row r="586" spans="1:149">
      <c r="A586"/>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M586"/>
      <c r="CN586"/>
      <c r="CO586"/>
      <c r="CP586"/>
      <c r="CQ586"/>
      <c r="CR586"/>
      <c r="CS586"/>
      <c r="CT586"/>
      <c r="CU586"/>
      <c r="CV586"/>
      <c r="CW586"/>
      <c r="CX586"/>
      <c r="CY586"/>
      <c r="CZ586"/>
      <c r="DA586"/>
      <c r="DB586"/>
      <c r="DC586"/>
      <c r="DD586"/>
      <c r="DE586"/>
      <c r="DF586"/>
      <c r="DG586"/>
      <c r="DH586"/>
      <c r="DI586"/>
      <c r="DJ586"/>
      <c r="DK586"/>
      <c r="DL586"/>
      <c r="DM586"/>
      <c r="DN586"/>
      <c r="DO586"/>
      <c r="DP586"/>
      <c r="DQ586"/>
      <c r="DR586"/>
      <c r="DS586"/>
      <c r="DT586"/>
      <c r="DU586"/>
      <c r="DV586"/>
      <c r="DW586"/>
      <c r="DX586"/>
      <c r="DY586"/>
      <c r="DZ586"/>
      <c r="EA586"/>
      <c r="EB586"/>
      <c r="EC586"/>
      <c r="ED586"/>
      <c r="EE586"/>
      <c r="EF586"/>
      <c r="EG586"/>
      <c r="EH586"/>
      <c r="EI586"/>
      <c r="EJ586"/>
      <c r="EK586"/>
      <c r="EL586"/>
      <c r="EM586"/>
      <c r="EN586"/>
      <c r="EO586"/>
      <c r="EP586"/>
      <c r="EQ586"/>
      <c r="ER586"/>
      <c r="ES586"/>
    </row>
    <row r="587" spans="1:149">
      <c r="A587"/>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M587"/>
      <c r="CN587"/>
      <c r="CO587"/>
      <c r="CP587"/>
      <c r="CQ587"/>
      <c r="CR587"/>
      <c r="CS587"/>
      <c r="CT587"/>
      <c r="CU587"/>
      <c r="CV587"/>
      <c r="CW587"/>
      <c r="CX587"/>
      <c r="CY587"/>
      <c r="CZ587"/>
      <c r="DA587"/>
      <c r="DB587"/>
      <c r="DC587"/>
      <c r="DD587"/>
      <c r="DE587"/>
      <c r="DF587"/>
      <c r="DG587"/>
      <c r="DH587"/>
      <c r="DI587"/>
      <c r="DJ587"/>
      <c r="DK587"/>
      <c r="DL587"/>
      <c r="DM587"/>
      <c r="DN587"/>
      <c r="DO587"/>
      <c r="DP587"/>
      <c r="DQ587"/>
      <c r="DR587"/>
      <c r="DS587"/>
      <c r="DT587"/>
      <c r="DU587"/>
      <c r="DV587"/>
      <c r="DW587"/>
      <c r="DX587"/>
      <c r="DY587"/>
      <c r="DZ587"/>
      <c r="EA587"/>
      <c r="EB587"/>
      <c r="EC587"/>
      <c r="ED587"/>
      <c r="EE587"/>
      <c r="EF587"/>
      <c r="EG587"/>
      <c r="EH587"/>
      <c r="EI587"/>
      <c r="EJ587"/>
      <c r="EK587"/>
      <c r="EL587"/>
      <c r="EM587"/>
      <c r="EN587"/>
      <c r="EO587"/>
      <c r="EP587"/>
      <c r="EQ587"/>
      <c r="ER587"/>
      <c r="ES587"/>
    </row>
    <row r="588" spans="1:149">
      <c r="A588"/>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M588"/>
      <c r="CN588"/>
      <c r="CO588"/>
      <c r="CP588"/>
      <c r="CQ588"/>
      <c r="CR588"/>
      <c r="CS588"/>
      <c r="CT588"/>
      <c r="CU588"/>
      <c r="CV588"/>
      <c r="CW588"/>
      <c r="CX588"/>
      <c r="CY588"/>
      <c r="CZ588"/>
      <c r="DA588"/>
      <c r="DB588"/>
      <c r="DC588"/>
      <c r="DD588"/>
      <c r="DE588"/>
      <c r="DF588"/>
      <c r="DG588"/>
      <c r="DH588"/>
      <c r="DI588"/>
      <c r="DJ588"/>
      <c r="DK588"/>
      <c r="DL588"/>
      <c r="DM588"/>
      <c r="DN588"/>
      <c r="DO588"/>
      <c r="DP588"/>
      <c r="DQ588"/>
      <c r="DR588"/>
      <c r="DS588"/>
      <c r="DT588"/>
      <c r="DU588"/>
      <c r="DV588"/>
      <c r="DW588"/>
      <c r="DX588"/>
      <c r="DY588"/>
      <c r="DZ588"/>
      <c r="EA588"/>
      <c r="EB588"/>
      <c r="EC588"/>
      <c r="ED588"/>
      <c r="EE588"/>
      <c r="EF588"/>
      <c r="EG588"/>
      <c r="EH588"/>
      <c r="EI588"/>
      <c r="EJ588"/>
      <c r="EK588"/>
      <c r="EL588"/>
      <c r="EM588"/>
      <c r="EN588"/>
      <c r="EO588"/>
      <c r="EP588"/>
      <c r="EQ588"/>
      <c r="ER588"/>
      <c r="ES588"/>
    </row>
    <row r="589" spans="1:149">
      <c r="A589"/>
      <c r="B589"/>
      <c r="C589"/>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M589"/>
      <c r="CN589"/>
      <c r="CO589"/>
      <c r="CP589"/>
      <c r="CQ589"/>
      <c r="CR589"/>
      <c r="CS589"/>
      <c r="CT589"/>
      <c r="CU589"/>
      <c r="CV589"/>
      <c r="CW589"/>
      <c r="CX589"/>
      <c r="CY589"/>
      <c r="CZ589"/>
      <c r="DA589"/>
      <c r="DB589"/>
      <c r="DC589"/>
      <c r="DD589"/>
      <c r="DE589"/>
      <c r="DF589"/>
      <c r="DG589"/>
      <c r="DH589"/>
      <c r="DI589"/>
      <c r="DJ589"/>
      <c r="DK589"/>
      <c r="DL589"/>
      <c r="DM589"/>
      <c r="DN589"/>
      <c r="DO589"/>
      <c r="DP589"/>
      <c r="DQ589"/>
      <c r="DR589"/>
      <c r="DS589"/>
      <c r="DT589"/>
      <c r="DU589"/>
      <c r="DV589"/>
      <c r="DW589"/>
      <c r="DX589"/>
      <c r="DY589"/>
      <c r="DZ589"/>
      <c r="EA589"/>
      <c r="EB589"/>
      <c r="EC589"/>
      <c r="ED589"/>
      <c r="EE589"/>
      <c r="EF589"/>
      <c r="EG589"/>
      <c r="EH589"/>
      <c r="EI589"/>
      <c r="EJ589"/>
      <c r="EK589"/>
      <c r="EL589"/>
      <c r="EM589"/>
      <c r="EN589"/>
      <c r="EO589"/>
      <c r="EP589"/>
      <c r="EQ589"/>
      <c r="ER589"/>
      <c r="ES589"/>
    </row>
    <row r="590" spans="1:149">
      <c r="A590"/>
      <c r="B590"/>
      <c r="C590"/>
      <c r="D590"/>
      <c r="E590"/>
      <c r="F590"/>
      <c r="G590"/>
      <c r="H590"/>
      <c r="I590"/>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M590"/>
      <c r="CN590"/>
      <c r="CO590"/>
      <c r="CP590"/>
      <c r="CQ590"/>
      <c r="CR590"/>
      <c r="CS590"/>
      <c r="CT590"/>
      <c r="CU590"/>
      <c r="CV590"/>
      <c r="CW590"/>
      <c r="CX590"/>
      <c r="CY590"/>
      <c r="CZ590"/>
      <c r="DA590"/>
      <c r="DB590"/>
      <c r="DC590"/>
      <c r="DD590"/>
      <c r="DE590"/>
      <c r="DF590"/>
      <c r="DG590"/>
      <c r="DH590"/>
      <c r="DI590"/>
      <c r="DJ590"/>
      <c r="DK590"/>
      <c r="DL590"/>
      <c r="DM590"/>
      <c r="DN590"/>
      <c r="DO590"/>
      <c r="DP590"/>
      <c r="DQ590"/>
      <c r="DR590"/>
      <c r="DS590"/>
      <c r="DT590"/>
      <c r="DU590"/>
      <c r="DV590"/>
      <c r="DW590"/>
      <c r="DX590"/>
      <c r="DY590"/>
      <c r="DZ590"/>
      <c r="EA590"/>
      <c r="EB590"/>
      <c r="EC590"/>
      <c r="ED590"/>
      <c r="EE590"/>
      <c r="EF590"/>
      <c r="EG590"/>
      <c r="EH590"/>
      <c r="EI590"/>
      <c r="EJ590"/>
      <c r="EK590"/>
      <c r="EL590"/>
      <c r="EM590"/>
      <c r="EN590"/>
      <c r="EO590"/>
      <c r="EP590"/>
      <c r="EQ590"/>
      <c r="ER590"/>
      <c r="ES590"/>
    </row>
    <row r="591" spans="1:149">
      <c r="A591"/>
      <c r="B591"/>
      <c r="C591"/>
      <c r="D591"/>
      <c r="E591"/>
      <c r="F591"/>
      <c r="G591"/>
      <c r="H591"/>
      <c r="I591"/>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M591"/>
      <c r="CN591"/>
      <c r="CO591"/>
      <c r="CP591"/>
      <c r="CQ591"/>
      <c r="CR591"/>
      <c r="CS591"/>
      <c r="CT591"/>
      <c r="CU591"/>
      <c r="CV591"/>
      <c r="CW591"/>
      <c r="CX591"/>
      <c r="CY591"/>
      <c r="CZ591"/>
      <c r="DA591"/>
      <c r="DB591"/>
      <c r="DC591"/>
      <c r="DD591"/>
      <c r="DE591"/>
      <c r="DF591"/>
      <c r="DG591"/>
      <c r="DH591"/>
      <c r="DI591"/>
      <c r="DJ591"/>
      <c r="DK591"/>
      <c r="DL591"/>
      <c r="DM591"/>
      <c r="DN591"/>
      <c r="DO591"/>
      <c r="DP591"/>
      <c r="DQ591"/>
      <c r="DR591"/>
      <c r="DS591"/>
      <c r="DT591"/>
      <c r="DU591"/>
      <c r="DV591"/>
      <c r="DW591"/>
      <c r="DX591"/>
      <c r="DY591"/>
      <c r="DZ591"/>
      <c r="EA591"/>
      <c r="EB591"/>
      <c r="EC591"/>
      <c r="ED591"/>
      <c r="EE591"/>
      <c r="EF591"/>
      <c r="EG591"/>
      <c r="EH591"/>
      <c r="EI591"/>
      <c r="EJ591"/>
      <c r="EK591"/>
      <c r="EL591"/>
      <c r="EM591"/>
      <c r="EN591"/>
      <c r="EO591"/>
      <c r="EP591"/>
      <c r="EQ591"/>
      <c r="ER591"/>
      <c r="ES591"/>
    </row>
    <row r="592" spans="1:149">
      <c r="A592"/>
      <c r="B592"/>
      <c r="C592"/>
      <c r="D592"/>
      <c r="E592"/>
      <c r="F592"/>
      <c r="G592"/>
      <c r="H592"/>
      <c r="I592"/>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M592"/>
      <c r="CN592"/>
      <c r="CO592"/>
      <c r="CP592"/>
      <c r="CQ592"/>
      <c r="CR592"/>
      <c r="CS592"/>
      <c r="CT592"/>
      <c r="CU592"/>
      <c r="CV592"/>
      <c r="CW592"/>
      <c r="CX592"/>
      <c r="CY592"/>
      <c r="CZ592"/>
      <c r="DA592"/>
      <c r="DB592"/>
      <c r="DC592"/>
      <c r="DD592"/>
      <c r="DE592"/>
      <c r="DF592"/>
      <c r="DG592"/>
      <c r="DH592"/>
      <c r="DI592"/>
      <c r="DJ592"/>
      <c r="DK592"/>
      <c r="DL592"/>
      <c r="DM592"/>
      <c r="DN592"/>
      <c r="DO592"/>
      <c r="DP592"/>
      <c r="DQ592"/>
      <c r="DR592"/>
      <c r="DS592"/>
      <c r="DT592"/>
      <c r="DU592"/>
      <c r="DV592"/>
      <c r="DW592"/>
      <c r="DX592"/>
      <c r="DY592"/>
      <c r="DZ592"/>
      <c r="EA592"/>
      <c r="EB592"/>
      <c r="EC592"/>
      <c r="ED592"/>
      <c r="EE592"/>
      <c r="EF592"/>
      <c r="EG592"/>
      <c r="EH592"/>
      <c r="EI592"/>
      <c r="EJ592"/>
      <c r="EK592"/>
      <c r="EL592"/>
      <c r="EM592"/>
      <c r="EN592"/>
      <c r="EO592"/>
      <c r="EP592"/>
      <c r="EQ592"/>
      <c r="ER592"/>
      <c r="ES592"/>
    </row>
    <row r="593" spans="1:149">
      <c r="A593"/>
      <c r="B593"/>
      <c r="C593"/>
      <c r="D593"/>
      <c r="E593"/>
      <c r="F593"/>
      <c r="G593"/>
      <c r="H593"/>
      <c r="I593"/>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M593"/>
      <c r="CN593"/>
      <c r="CO593"/>
      <c r="CP593"/>
      <c r="CQ593"/>
      <c r="CR593"/>
      <c r="CS593"/>
      <c r="CT593"/>
      <c r="CU593"/>
      <c r="CV593"/>
      <c r="CW593"/>
      <c r="CX593"/>
      <c r="CY593"/>
      <c r="CZ593"/>
      <c r="DA593"/>
      <c r="DB593"/>
      <c r="DC593"/>
      <c r="DD593"/>
      <c r="DE593"/>
      <c r="DF593"/>
      <c r="DG593"/>
      <c r="DH593"/>
      <c r="DI593"/>
      <c r="DJ593"/>
      <c r="DK593"/>
      <c r="DL593"/>
      <c r="DM593"/>
      <c r="DN593"/>
      <c r="DO593"/>
      <c r="DP593"/>
      <c r="DQ593"/>
      <c r="DR593"/>
      <c r="DS593"/>
      <c r="DT593"/>
      <c r="DU593"/>
      <c r="DV593"/>
      <c r="DW593"/>
      <c r="DX593"/>
      <c r="DY593"/>
      <c r="DZ593"/>
      <c r="EA593"/>
      <c r="EB593"/>
      <c r="EC593"/>
      <c r="ED593"/>
      <c r="EE593"/>
      <c r="EF593"/>
      <c r="EG593"/>
      <c r="EH593"/>
      <c r="EI593"/>
      <c r="EJ593"/>
      <c r="EK593"/>
      <c r="EL593"/>
      <c r="EM593"/>
      <c r="EN593"/>
      <c r="EO593"/>
      <c r="EP593"/>
      <c r="EQ593"/>
      <c r="ER593"/>
      <c r="ES593"/>
    </row>
    <row r="594" spans="1:149">
      <c r="A594"/>
      <c r="B594"/>
      <c r="C594"/>
      <c r="D594"/>
      <c r="E594"/>
      <c r="F594"/>
      <c r="G594"/>
      <c r="H594"/>
      <c r="I594"/>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M594"/>
      <c r="CN594"/>
      <c r="CO594"/>
      <c r="CP594"/>
      <c r="CQ594"/>
      <c r="CR594"/>
      <c r="CS594"/>
      <c r="CT594"/>
      <c r="CU594"/>
      <c r="CV594"/>
      <c r="CW594"/>
      <c r="CX594"/>
      <c r="CY594"/>
      <c r="CZ594"/>
      <c r="DA594"/>
      <c r="DB594"/>
      <c r="DC594"/>
      <c r="DD594"/>
      <c r="DE594"/>
      <c r="DF594"/>
      <c r="DG594"/>
      <c r="DH594"/>
      <c r="DI594"/>
      <c r="DJ594"/>
      <c r="DK594"/>
      <c r="DL594"/>
      <c r="DM594"/>
      <c r="DN594"/>
      <c r="DO594"/>
      <c r="DP594"/>
      <c r="DQ594"/>
      <c r="DR594"/>
      <c r="DS594"/>
      <c r="DT594"/>
      <c r="DU594"/>
      <c r="DV594"/>
      <c r="DW594"/>
      <c r="DX594"/>
      <c r="DY594"/>
      <c r="DZ594"/>
      <c r="EA594"/>
      <c r="EB594"/>
      <c r="EC594"/>
      <c r="ED594"/>
      <c r="EE594"/>
      <c r="EF594"/>
      <c r="EG594"/>
      <c r="EH594"/>
      <c r="EI594"/>
      <c r="EJ594"/>
      <c r="EK594"/>
      <c r="EL594"/>
      <c r="EM594"/>
      <c r="EN594"/>
      <c r="EO594"/>
      <c r="EP594"/>
      <c r="EQ594"/>
      <c r="ER594"/>
      <c r="ES594"/>
    </row>
    <row r="595" spans="1:149">
      <c r="A595"/>
      <c r="B595"/>
      <c r="C595"/>
      <c r="D595"/>
      <c r="E595"/>
      <c r="F595"/>
      <c r="G595"/>
      <c r="H595"/>
      <c r="I595"/>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M595"/>
      <c r="CN595"/>
      <c r="CO595"/>
      <c r="CP595"/>
      <c r="CQ595"/>
      <c r="CR595"/>
      <c r="CS595"/>
      <c r="CT595"/>
      <c r="CU595"/>
      <c r="CV595"/>
      <c r="CW595"/>
      <c r="CX595"/>
      <c r="CY595"/>
      <c r="CZ595"/>
      <c r="DA595"/>
      <c r="DB595"/>
      <c r="DC595"/>
      <c r="DD595"/>
      <c r="DE595"/>
      <c r="DF595"/>
      <c r="DG595"/>
      <c r="DH595"/>
      <c r="DI595"/>
      <c r="DJ595"/>
      <c r="DK595"/>
      <c r="DL595"/>
      <c r="DM595"/>
      <c r="DN595"/>
      <c r="DO595"/>
      <c r="DP595"/>
      <c r="DQ595"/>
      <c r="DR595"/>
      <c r="DS595"/>
      <c r="DT595"/>
      <c r="DU595"/>
      <c r="DV595"/>
      <c r="DW595"/>
      <c r="DX595"/>
      <c r="DY595"/>
      <c r="DZ595"/>
      <c r="EA595"/>
      <c r="EB595"/>
      <c r="EC595"/>
      <c r="ED595"/>
      <c r="EE595"/>
      <c r="EF595"/>
      <c r="EG595"/>
      <c r="EH595"/>
      <c r="EI595"/>
      <c r="EJ595"/>
      <c r="EK595"/>
      <c r="EL595"/>
      <c r="EM595"/>
      <c r="EN595"/>
      <c r="EO595"/>
      <c r="EP595"/>
      <c r="EQ595"/>
      <c r="ER595"/>
      <c r="ES595"/>
    </row>
    <row r="596" spans="1:149">
      <c r="A596"/>
      <c r="B596"/>
      <c r="C596"/>
      <c r="D596"/>
      <c r="E596"/>
      <c r="F596"/>
      <c r="G596"/>
      <c r="H596"/>
      <c r="I596"/>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M596"/>
      <c r="CN596"/>
      <c r="CO596"/>
      <c r="CP596"/>
      <c r="CQ596"/>
      <c r="CR596"/>
      <c r="CS596"/>
      <c r="CT596"/>
      <c r="CU596"/>
      <c r="CV596"/>
      <c r="CW596"/>
      <c r="CX596"/>
      <c r="CY596"/>
      <c r="CZ596"/>
      <c r="DA596"/>
      <c r="DB596"/>
      <c r="DC596"/>
      <c r="DD596"/>
      <c r="DE596"/>
      <c r="DF596"/>
      <c r="DG596"/>
      <c r="DH596"/>
      <c r="DI596"/>
      <c r="DJ596"/>
      <c r="DK596"/>
      <c r="DL596"/>
      <c r="DM596"/>
      <c r="DN596"/>
      <c r="DO596"/>
      <c r="DP596"/>
      <c r="DQ596"/>
      <c r="DR596"/>
      <c r="DS596"/>
      <c r="DT596"/>
      <c r="DU596"/>
      <c r="DV596"/>
      <c r="DW596"/>
      <c r="DX596"/>
      <c r="DY596"/>
      <c r="DZ596"/>
      <c r="EA596"/>
      <c r="EB596"/>
      <c r="EC596"/>
      <c r="ED596"/>
      <c r="EE596"/>
      <c r="EF596"/>
      <c r="EG596"/>
      <c r="EH596"/>
      <c r="EI596"/>
      <c r="EJ596"/>
      <c r="EK596"/>
      <c r="EL596"/>
      <c r="EM596"/>
      <c r="EN596"/>
      <c r="EO596"/>
      <c r="EP596"/>
      <c r="EQ596"/>
      <c r="ER596"/>
      <c r="ES596"/>
    </row>
    <row r="597" spans="1:149">
      <c r="A597"/>
      <c r="B597"/>
      <c r="C597"/>
      <c r="D597"/>
      <c r="E597"/>
      <c r="F597"/>
      <c r="G597"/>
      <c r="H597"/>
      <c r="I597"/>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M597"/>
      <c r="CN597"/>
      <c r="CO597"/>
      <c r="CP597"/>
      <c r="CQ597"/>
      <c r="CR597"/>
      <c r="CS597"/>
      <c r="CT597"/>
      <c r="CU597"/>
      <c r="CV597"/>
      <c r="CW597"/>
      <c r="CX597"/>
      <c r="CY597"/>
      <c r="CZ597"/>
      <c r="DA597"/>
      <c r="DB597"/>
      <c r="DC597"/>
      <c r="DD597"/>
      <c r="DE597"/>
      <c r="DF597"/>
      <c r="DG597"/>
      <c r="DH597"/>
      <c r="DI597"/>
      <c r="DJ597"/>
      <c r="DK597"/>
      <c r="DL597"/>
      <c r="DM597"/>
      <c r="DN597"/>
      <c r="DO597"/>
      <c r="DP597"/>
      <c r="DQ597"/>
      <c r="DR597"/>
      <c r="DS597"/>
      <c r="DT597"/>
      <c r="DU597"/>
      <c r="DV597"/>
      <c r="DW597"/>
      <c r="DX597"/>
      <c r="DY597"/>
      <c r="DZ597"/>
      <c r="EA597"/>
      <c r="EB597"/>
      <c r="EC597"/>
      <c r="ED597"/>
      <c r="EE597"/>
      <c r="EF597"/>
      <c r="EG597"/>
      <c r="EH597"/>
      <c r="EI597"/>
      <c r="EJ597"/>
      <c r="EK597"/>
      <c r="EL597"/>
      <c r="EM597"/>
      <c r="EN597"/>
      <c r="EO597"/>
      <c r="EP597"/>
      <c r="EQ597"/>
      <c r="ER597"/>
      <c r="ES597"/>
    </row>
    <row r="598" spans="1:149">
      <c r="A598"/>
      <c r="B598"/>
      <c r="C598"/>
      <c r="D598"/>
      <c r="E598"/>
      <c r="F598"/>
      <c r="G598"/>
      <c r="H598"/>
      <c r="I598"/>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M598"/>
      <c r="CN598"/>
      <c r="CO598"/>
      <c r="CP598"/>
      <c r="CQ598"/>
      <c r="CR598"/>
      <c r="CS598"/>
      <c r="CT598"/>
      <c r="CU598"/>
      <c r="CV598"/>
      <c r="CW598"/>
      <c r="CX598"/>
      <c r="CY598"/>
      <c r="CZ598"/>
      <c r="DA598"/>
      <c r="DB598"/>
      <c r="DC598"/>
      <c r="DD598"/>
      <c r="DE598"/>
      <c r="DF598"/>
      <c r="DG598"/>
      <c r="DH598"/>
      <c r="DI598"/>
      <c r="DJ598"/>
      <c r="DK598"/>
      <c r="DL598"/>
      <c r="DM598"/>
      <c r="DN598"/>
      <c r="DO598"/>
      <c r="DP598"/>
      <c r="DQ598"/>
      <c r="DR598"/>
      <c r="DS598"/>
      <c r="DT598"/>
      <c r="DU598"/>
      <c r="DV598"/>
      <c r="DW598"/>
      <c r="DX598"/>
      <c r="DY598"/>
      <c r="DZ598"/>
      <c r="EA598"/>
      <c r="EB598"/>
      <c r="EC598"/>
      <c r="ED598"/>
      <c r="EE598"/>
      <c r="EF598"/>
      <c r="EG598"/>
      <c r="EH598"/>
      <c r="EI598"/>
      <c r="EJ598"/>
      <c r="EK598"/>
      <c r="EL598"/>
      <c r="EM598"/>
      <c r="EN598"/>
      <c r="EO598"/>
      <c r="EP598"/>
      <c r="EQ598"/>
      <c r="ER598"/>
      <c r="ES598"/>
    </row>
    <row r="599" spans="1:149">
      <c r="A599"/>
      <c r="B599"/>
      <c r="C599"/>
      <c r="D599"/>
      <c r="E599"/>
      <c r="F599"/>
      <c r="G599"/>
      <c r="H599"/>
      <c r="I599"/>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M599"/>
      <c r="CN599"/>
      <c r="CO599"/>
      <c r="CP599"/>
      <c r="CQ599"/>
      <c r="CR599"/>
      <c r="CS599"/>
      <c r="CT599"/>
      <c r="CU599"/>
      <c r="CV599"/>
      <c r="CW599"/>
      <c r="CX599"/>
      <c r="CY599"/>
      <c r="CZ599"/>
      <c r="DA599"/>
      <c r="DB599"/>
      <c r="DC599"/>
      <c r="DD599"/>
      <c r="DE599"/>
      <c r="DF599"/>
      <c r="DG599"/>
      <c r="DH599"/>
      <c r="DI599"/>
      <c r="DJ599"/>
      <c r="DK599"/>
      <c r="DL599"/>
      <c r="DM599"/>
      <c r="DN599"/>
      <c r="DO599"/>
      <c r="DP599"/>
      <c r="DQ599"/>
      <c r="DR599"/>
      <c r="DS599"/>
      <c r="DT599"/>
      <c r="DU599"/>
      <c r="DV599"/>
      <c r="DW599"/>
      <c r="DX599"/>
      <c r="DY599"/>
      <c r="DZ599"/>
      <c r="EA599"/>
      <c r="EB599"/>
      <c r="EC599"/>
      <c r="ED599"/>
      <c r="EE599"/>
      <c r="EF599"/>
      <c r="EG599"/>
      <c r="EH599"/>
      <c r="EI599"/>
      <c r="EJ599"/>
      <c r="EK599"/>
      <c r="EL599"/>
      <c r="EM599"/>
      <c r="EN599"/>
      <c r="EO599"/>
      <c r="EP599"/>
      <c r="EQ599"/>
      <c r="ER599"/>
      <c r="ES599"/>
    </row>
    <row r="600" spans="1:149">
      <c r="A600"/>
      <c r="B600"/>
      <c r="C600"/>
      <c r="D600"/>
      <c r="E600"/>
      <c r="F600"/>
      <c r="G600"/>
      <c r="H600"/>
      <c r="I600"/>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M600"/>
      <c r="CN600"/>
      <c r="CO600"/>
      <c r="CP600"/>
      <c r="CQ600"/>
      <c r="CR600"/>
      <c r="CS600"/>
      <c r="CT600"/>
      <c r="CU600"/>
      <c r="CV600"/>
      <c r="CW600"/>
      <c r="CX600"/>
      <c r="CY600"/>
      <c r="CZ600"/>
      <c r="DA600"/>
      <c r="DB600"/>
      <c r="DC600"/>
      <c r="DD600"/>
      <c r="DE600"/>
      <c r="DF600"/>
      <c r="DG600"/>
      <c r="DH600"/>
      <c r="DI600"/>
      <c r="DJ600"/>
      <c r="DK600"/>
      <c r="DL600"/>
      <c r="DM600"/>
      <c r="DN600"/>
      <c r="DO600"/>
      <c r="DP600"/>
      <c r="DQ600"/>
      <c r="DR600"/>
      <c r="DS600"/>
      <c r="DT600"/>
      <c r="DU600"/>
      <c r="DV600"/>
      <c r="DW600"/>
      <c r="DX600"/>
      <c r="DY600"/>
      <c r="DZ600"/>
      <c r="EA600"/>
      <c r="EB600"/>
      <c r="EC600"/>
      <c r="ED600"/>
      <c r="EE600"/>
      <c r="EF600"/>
      <c r="EG600"/>
      <c r="EH600"/>
      <c r="EI600"/>
      <c r="EJ600"/>
      <c r="EK600"/>
      <c r="EL600"/>
      <c r="EM600"/>
      <c r="EN600"/>
      <c r="EO600"/>
      <c r="EP600"/>
      <c r="EQ600"/>
      <c r="ER600"/>
      <c r="ES600"/>
    </row>
    <row r="601" spans="1:149">
      <c r="A601"/>
      <c r="B601"/>
      <c r="C601"/>
      <c r="D601"/>
      <c r="E601"/>
      <c r="F601"/>
      <c r="G601"/>
      <c r="H601"/>
      <c r="I601"/>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M601"/>
      <c r="CN601"/>
      <c r="CO601"/>
      <c r="CP601"/>
      <c r="CQ601"/>
      <c r="CR601"/>
      <c r="CS601"/>
      <c r="CT601"/>
      <c r="CU601"/>
      <c r="CV601"/>
      <c r="CW601"/>
      <c r="CX601"/>
      <c r="CY601"/>
      <c r="CZ601"/>
      <c r="DA601"/>
      <c r="DB601"/>
      <c r="DC601"/>
      <c r="DD601"/>
      <c r="DE601"/>
      <c r="DF601"/>
      <c r="DG601"/>
      <c r="DH601"/>
      <c r="DI601"/>
      <c r="DJ601"/>
      <c r="DK601"/>
      <c r="DL601"/>
      <c r="DM601"/>
      <c r="DN601"/>
      <c r="DO601"/>
      <c r="DP601"/>
      <c r="DQ601"/>
      <c r="DR601"/>
      <c r="DS601"/>
      <c r="DT601"/>
      <c r="DU601"/>
      <c r="DV601"/>
      <c r="DW601"/>
      <c r="DX601"/>
      <c r="DY601"/>
      <c r="DZ601"/>
      <c r="EA601"/>
      <c r="EB601"/>
      <c r="EC601"/>
      <c r="ED601"/>
      <c r="EE601"/>
      <c r="EF601"/>
      <c r="EG601"/>
      <c r="EH601"/>
      <c r="EI601"/>
      <c r="EJ601"/>
      <c r="EK601"/>
      <c r="EL601"/>
      <c r="EM601"/>
      <c r="EN601"/>
      <c r="EO601"/>
      <c r="EP601"/>
      <c r="EQ601"/>
      <c r="ER601"/>
      <c r="ES601"/>
    </row>
    <row r="602" spans="1:149">
      <c r="A602"/>
      <c r="B602"/>
      <c r="C602"/>
      <c r="D602"/>
      <c r="E602"/>
      <c r="F602"/>
      <c r="G602"/>
      <c r="H602"/>
      <c r="I602"/>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M602"/>
      <c r="CN602"/>
      <c r="CO602"/>
      <c r="CP602"/>
      <c r="CQ602"/>
      <c r="CR602"/>
      <c r="CS602"/>
      <c r="CT602"/>
      <c r="CU602"/>
      <c r="CV602"/>
      <c r="CW602"/>
      <c r="CX602"/>
      <c r="CY602"/>
      <c r="CZ602"/>
      <c r="DA602"/>
      <c r="DB602"/>
      <c r="DC602"/>
      <c r="DD602"/>
      <c r="DE602"/>
      <c r="DF602"/>
      <c r="DG602"/>
      <c r="DH602"/>
      <c r="DI602"/>
      <c r="DJ602"/>
      <c r="DK602"/>
      <c r="DL602"/>
      <c r="DM602"/>
      <c r="DN602"/>
      <c r="DO602"/>
      <c r="DP602"/>
      <c r="DQ602"/>
      <c r="DR602"/>
      <c r="DS602"/>
      <c r="DT602"/>
      <c r="DU602"/>
      <c r="DV602"/>
      <c r="DW602"/>
      <c r="DX602"/>
      <c r="DY602"/>
      <c r="DZ602"/>
      <c r="EA602"/>
      <c r="EB602"/>
      <c r="EC602"/>
      <c r="ED602"/>
      <c r="EE602"/>
      <c r="EF602"/>
      <c r="EG602"/>
      <c r="EH602"/>
      <c r="EI602"/>
      <c r="EJ602"/>
      <c r="EK602"/>
      <c r="EL602"/>
      <c r="EM602"/>
      <c r="EN602"/>
      <c r="EO602"/>
      <c r="EP602"/>
      <c r="EQ602"/>
      <c r="ER602"/>
      <c r="ES602"/>
    </row>
    <row r="603" spans="1:149">
      <c r="A603"/>
      <c r="B603"/>
      <c r="C603"/>
      <c r="D603"/>
      <c r="E603"/>
      <c r="F603"/>
      <c r="G603"/>
      <c r="H603"/>
      <c r="I603"/>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M603"/>
      <c r="CN603"/>
      <c r="CO603"/>
      <c r="CP603"/>
      <c r="CQ603"/>
      <c r="CR603"/>
      <c r="CS603"/>
      <c r="CT603"/>
      <c r="CU603"/>
      <c r="CV603"/>
      <c r="CW603"/>
      <c r="CX603"/>
      <c r="CY603"/>
      <c r="CZ603"/>
      <c r="DA603"/>
      <c r="DB603"/>
      <c r="DC603"/>
      <c r="DD603"/>
      <c r="DE603"/>
      <c r="DF603"/>
      <c r="DG603"/>
      <c r="DH603"/>
      <c r="DI603"/>
      <c r="DJ603"/>
      <c r="DK603"/>
      <c r="DL603"/>
      <c r="DM603"/>
      <c r="DN603"/>
      <c r="DO603"/>
      <c r="DP603"/>
      <c r="DQ603"/>
      <c r="DR603"/>
      <c r="DS603"/>
      <c r="DT603"/>
      <c r="DU603"/>
      <c r="DV603"/>
      <c r="DW603"/>
      <c r="DX603"/>
      <c r="DY603"/>
      <c r="DZ603"/>
      <c r="EA603"/>
      <c r="EB603"/>
      <c r="EC603"/>
      <c r="ED603"/>
      <c r="EE603"/>
      <c r="EF603"/>
      <c r="EG603"/>
      <c r="EH603"/>
      <c r="EI603"/>
      <c r="EJ603"/>
      <c r="EK603"/>
      <c r="EL603"/>
      <c r="EM603"/>
      <c r="EN603"/>
      <c r="EO603"/>
      <c r="EP603"/>
      <c r="EQ603"/>
      <c r="ER603"/>
      <c r="ES603"/>
    </row>
    <row r="604" spans="1:149">
      <c r="A604"/>
      <c r="B604"/>
      <c r="C604"/>
      <c r="D604"/>
      <c r="E604"/>
      <c r="F604"/>
      <c r="G604"/>
      <c r="H604"/>
      <c r="I604"/>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M604"/>
      <c r="CN604"/>
      <c r="CO604"/>
      <c r="CP604"/>
      <c r="CQ604"/>
      <c r="CR604"/>
      <c r="CS604"/>
      <c r="CT604"/>
      <c r="CU604"/>
      <c r="CV604"/>
      <c r="CW604"/>
      <c r="CX604"/>
      <c r="CY604"/>
      <c r="CZ604"/>
      <c r="DA604"/>
      <c r="DB604"/>
      <c r="DC604"/>
      <c r="DD604"/>
      <c r="DE604"/>
      <c r="DF604"/>
      <c r="DG604"/>
      <c r="DH604"/>
      <c r="DI604"/>
      <c r="DJ604"/>
      <c r="DK604"/>
      <c r="DL604"/>
      <c r="DM604"/>
      <c r="DN604"/>
      <c r="DO604"/>
      <c r="DP604"/>
      <c r="DQ604"/>
      <c r="DR604"/>
      <c r="DS604"/>
      <c r="DT604"/>
      <c r="DU604"/>
      <c r="DV604"/>
      <c r="DW604"/>
      <c r="DX604"/>
      <c r="DY604"/>
      <c r="DZ604"/>
      <c r="EA604"/>
      <c r="EB604"/>
      <c r="EC604"/>
      <c r="ED604"/>
      <c r="EE604"/>
      <c r="EF604"/>
      <c r="EG604"/>
      <c r="EH604"/>
      <c r="EI604"/>
      <c r="EJ604"/>
      <c r="EK604"/>
      <c r="EL604"/>
      <c r="EM604"/>
      <c r="EN604"/>
      <c r="EO604"/>
      <c r="EP604"/>
      <c r="EQ604"/>
      <c r="ER604"/>
      <c r="ES604"/>
    </row>
    <row r="605" spans="1:149">
      <c r="A605"/>
      <c r="B605"/>
      <c r="C605"/>
      <c r="D605"/>
      <c r="E605"/>
      <c r="F605"/>
      <c r="G605"/>
      <c r="H605"/>
      <c r="I605"/>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M605"/>
      <c r="CN605"/>
      <c r="CO605"/>
      <c r="CP605"/>
      <c r="CQ605"/>
      <c r="CR605"/>
      <c r="CS605"/>
      <c r="CT605"/>
      <c r="CU605"/>
      <c r="CV605"/>
      <c r="CW605"/>
      <c r="CX605"/>
      <c r="CY605"/>
      <c r="CZ605"/>
      <c r="DA605"/>
      <c r="DB605"/>
      <c r="DC605"/>
      <c r="DD605"/>
      <c r="DE605"/>
      <c r="DF605"/>
      <c r="DG605"/>
      <c r="DH605"/>
      <c r="DI605"/>
      <c r="DJ605"/>
      <c r="DK605"/>
      <c r="DL605"/>
      <c r="DM605"/>
      <c r="DN605"/>
      <c r="DO605"/>
      <c r="DP605"/>
      <c r="DQ605"/>
      <c r="DR605"/>
      <c r="DS605"/>
      <c r="DT605"/>
      <c r="DU605"/>
      <c r="DV605"/>
      <c r="DW605"/>
      <c r="DX605"/>
      <c r="DY605"/>
      <c r="DZ605"/>
      <c r="EA605"/>
      <c r="EB605"/>
      <c r="EC605"/>
      <c r="ED605"/>
      <c r="EE605"/>
      <c r="EF605"/>
      <c r="EG605"/>
      <c r="EH605"/>
      <c r="EI605"/>
      <c r="EJ605"/>
      <c r="EK605"/>
      <c r="EL605"/>
      <c r="EM605"/>
      <c r="EN605"/>
      <c r="EO605"/>
      <c r="EP605"/>
      <c r="EQ605"/>
      <c r="ER605"/>
      <c r="ES605"/>
    </row>
    <row r="606" spans="1:149">
      <c r="A606"/>
      <c r="B606"/>
      <c r="C606"/>
      <c r="D606"/>
      <c r="E606"/>
      <c r="F606"/>
      <c r="G606"/>
      <c r="H606"/>
      <c r="I606"/>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M606"/>
      <c r="CN606"/>
      <c r="CO606"/>
      <c r="CP606"/>
      <c r="CQ606"/>
      <c r="CR606"/>
      <c r="CS606"/>
      <c r="CT606"/>
      <c r="CU606"/>
      <c r="CV606"/>
      <c r="CW606"/>
      <c r="CX606"/>
      <c r="CY606"/>
      <c r="CZ606"/>
      <c r="DA606"/>
      <c r="DB606"/>
      <c r="DC606"/>
      <c r="DD606"/>
      <c r="DE606"/>
      <c r="DF606"/>
      <c r="DG606"/>
      <c r="DH606"/>
      <c r="DI606"/>
      <c r="DJ606"/>
      <c r="DK606"/>
      <c r="DL606"/>
      <c r="DM606"/>
      <c r="DN606"/>
      <c r="DO606"/>
      <c r="DP606"/>
      <c r="DQ606"/>
      <c r="DR606"/>
      <c r="DS606"/>
      <c r="DT606"/>
      <c r="DU606"/>
      <c r="DV606"/>
      <c r="DW606"/>
      <c r="DX606"/>
      <c r="DY606"/>
      <c r="DZ606"/>
      <c r="EA606"/>
      <c r="EB606"/>
      <c r="EC606"/>
      <c r="ED606"/>
      <c r="EE606"/>
      <c r="EF606"/>
      <c r="EG606"/>
      <c r="EH606"/>
      <c r="EI606"/>
      <c r="EJ606"/>
      <c r="EK606"/>
      <c r="EL606"/>
      <c r="EM606"/>
      <c r="EN606"/>
      <c r="EO606"/>
      <c r="EP606"/>
      <c r="EQ606"/>
      <c r="ER606"/>
      <c r="ES606"/>
    </row>
    <row r="607" spans="1:149">
      <c r="A607"/>
      <c r="B607"/>
      <c r="C607"/>
      <c r="D607"/>
      <c r="E607"/>
      <c r="F607"/>
      <c r="G607"/>
      <c r="H607"/>
      <c r="I607"/>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M607"/>
      <c r="CN607"/>
      <c r="CO607"/>
      <c r="CP607"/>
      <c r="CQ607"/>
      <c r="CR607"/>
      <c r="CS607"/>
      <c r="CT607"/>
      <c r="CU607"/>
      <c r="CV607"/>
      <c r="CW607"/>
      <c r="CX607"/>
      <c r="CY607"/>
      <c r="CZ607"/>
      <c r="DA607"/>
      <c r="DB607"/>
      <c r="DC607"/>
      <c r="DD607"/>
      <c r="DE607"/>
      <c r="DF607"/>
      <c r="DG607"/>
      <c r="DH607"/>
      <c r="DI607"/>
      <c r="DJ607"/>
      <c r="DK607"/>
      <c r="DL607"/>
      <c r="DM607"/>
      <c r="DN607"/>
      <c r="DO607"/>
      <c r="DP607"/>
      <c r="DQ607"/>
      <c r="DR607"/>
      <c r="DS607"/>
      <c r="DT607"/>
      <c r="DU607"/>
      <c r="DV607"/>
      <c r="DW607"/>
      <c r="DX607"/>
      <c r="DY607"/>
      <c r="DZ607"/>
      <c r="EA607"/>
      <c r="EB607"/>
      <c r="EC607"/>
      <c r="ED607"/>
      <c r="EE607"/>
      <c r="EF607"/>
      <c r="EG607"/>
      <c r="EH607"/>
      <c r="EI607"/>
      <c r="EJ607"/>
      <c r="EK607"/>
      <c r="EL607"/>
      <c r="EM607"/>
      <c r="EN607"/>
      <c r="EO607"/>
      <c r="EP607"/>
      <c r="EQ607"/>
      <c r="ER607"/>
      <c r="ES607"/>
    </row>
    <row r="608" spans="1:149">
      <c r="A608"/>
      <c r="B608"/>
      <c r="C608"/>
      <c r="D608"/>
      <c r="E608"/>
      <c r="F608"/>
      <c r="G608"/>
      <c r="H608"/>
      <c r="I608"/>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M608"/>
      <c r="CN608"/>
      <c r="CO608"/>
      <c r="CP608"/>
      <c r="CQ608"/>
      <c r="CR608"/>
      <c r="CS608"/>
      <c r="CT608"/>
      <c r="CU608"/>
      <c r="CV608"/>
      <c r="CW608"/>
      <c r="CX608"/>
      <c r="CY608"/>
      <c r="CZ608"/>
      <c r="DA608"/>
      <c r="DB608"/>
      <c r="DC608"/>
      <c r="DD608"/>
      <c r="DE608"/>
      <c r="DF608"/>
      <c r="DG608"/>
      <c r="DH608"/>
      <c r="DI608"/>
      <c r="DJ608"/>
      <c r="DK608"/>
      <c r="DL608"/>
      <c r="DM608"/>
      <c r="DN608"/>
      <c r="DO608"/>
      <c r="DP608"/>
      <c r="DQ608"/>
      <c r="DR608"/>
      <c r="DS608"/>
      <c r="DT608"/>
      <c r="DU608"/>
      <c r="DV608"/>
      <c r="DW608"/>
      <c r="DX608"/>
      <c r="DY608"/>
      <c r="DZ608"/>
      <c r="EA608"/>
      <c r="EB608"/>
      <c r="EC608"/>
      <c r="ED608"/>
      <c r="EE608"/>
      <c r="EF608"/>
      <c r="EG608"/>
      <c r="EH608"/>
      <c r="EI608"/>
      <c r="EJ608"/>
      <c r="EK608"/>
      <c r="EL608"/>
      <c r="EM608"/>
      <c r="EN608"/>
      <c r="EO608"/>
      <c r="EP608"/>
      <c r="EQ608"/>
      <c r="ER608"/>
      <c r="ES608"/>
    </row>
    <row r="609" spans="1:149">
      <c r="A609"/>
      <c r="B609"/>
      <c r="C609"/>
      <c r="D609"/>
      <c r="E609"/>
      <c r="F609"/>
      <c r="G609"/>
      <c r="H609"/>
      <c r="I609"/>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M609"/>
      <c r="CN609"/>
      <c r="CO609"/>
      <c r="CP609"/>
      <c r="CQ609"/>
      <c r="CR609"/>
      <c r="CS609"/>
      <c r="CT609"/>
      <c r="CU609"/>
      <c r="CV609"/>
      <c r="CW609"/>
      <c r="CX609"/>
      <c r="CY609"/>
      <c r="CZ609"/>
      <c r="DA609"/>
      <c r="DB609"/>
      <c r="DC609"/>
      <c r="DD609"/>
      <c r="DE609"/>
      <c r="DF609"/>
      <c r="DG609"/>
      <c r="DH609"/>
      <c r="DI609"/>
      <c r="DJ609"/>
      <c r="DK609"/>
      <c r="DL609"/>
      <c r="DM609"/>
      <c r="DN609"/>
      <c r="DO609"/>
      <c r="DP609"/>
      <c r="DQ609"/>
      <c r="DR609"/>
      <c r="DS609"/>
      <c r="DT609"/>
      <c r="DU609"/>
      <c r="DV609"/>
      <c r="DW609"/>
      <c r="DX609"/>
      <c r="DY609"/>
      <c r="DZ609"/>
      <c r="EA609"/>
      <c r="EB609"/>
      <c r="EC609"/>
      <c r="ED609"/>
      <c r="EE609"/>
      <c r="EF609"/>
      <c r="EG609"/>
      <c r="EH609"/>
      <c r="EI609"/>
      <c r="EJ609"/>
      <c r="EK609"/>
      <c r="EL609"/>
      <c r="EM609"/>
      <c r="EN609"/>
      <c r="EO609"/>
      <c r="EP609"/>
      <c r="EQ609"/>
      <c r="ER609"/>
      <c r="ES609"/>
    </row>
    <row r="610" spans="1:149">
      <c r="A610"/>
      <c r="B610"/>
      <c r="C610"/>
      <c r="D610"/>
      <c r="E610"/>
      <c r="F610"/>
      <c r="G610"/>
      <c r="H610"/>
      <c r="I610"/>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M610"/>
      <c r="CN610"/>
      <c r="CO610"/>
      <c r="CP610"/>
      <c r="CQ610"/>
      <c r="CR610"/>
      <c r="CS610"/>
      <c r="CT610"/>
      <c r="CU610"/>
      <c r="CV610"/>
      <c r="CW610"/>
      <c r="CX610"/>
      <c r="CY610"/>
      <c r="CZ610"/>
      <c r="DA610"/>
      <c r="DB610"/>
      <c r="DC610"/>
      <c r="DD610"/>
      <c r="DE610"/>
      <c r="DF610"/>
      <c r="DG610"/>
      <c r="DH610"/>
      <c r="DI610"/>
      <c r="DJ610"/>
      <c r="DK610"/>
      <c r="DL610"/>
      <c r="DM610"/>
      <c r="DN610"/>
      <c r="DO610"/>
      <c r="DP610"/>
      <c r="DQ610"/>
      <c r="DR610"/>
      <c r="DS610"/>
      <c r="DT610"/>
      <c r="DU610"/>
      <c r="DV610"/>
      <c r="DW610"/>
      <c r="DX610"/>
      <c r="DY610"/>
      <c r="DZ610"/>
      <c r="EA610"/>
      <c r="EB610"/>
      <c r="EC610"/>
      <c r="ED610"/>
      <c r="EE610"/>
      <c r="EF610"/>
      <c r="EG610"/>
      <c r="EH610"/>
      <c r="EI610"/>
      <c r="EJ610"/>
      <c r="EK610"/>
      <c r="EL610"/>
      <c r="EM610"/>
      <c r="EN610"/>
      <c r="EO610"/>
      <c r="EP610"/>
      <c r="EQ610"/>
      <c r="ER610"/>
      <c r="ES610"/>
    </row>
    <row r="611" spans="1:149">
      <c r="A611"/>
      <c r="B611"/>
      <c r="C611"/>
      <c r="D611"/>
      <c r="E611"/>
      <c r="F611"/>
      <c r="G611"/>
      <c r="H611"/>
      <c r="I611"/>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M611"/>
      <c r="CN611"/>
      <c r="CO611"/>
      <c r="CP611"/>
      <c r="CQ611"/>
      <c r="CR611"/>
      <c r="CS611"/>
      <c r="CT611"/>
      <c r="CU611"/>
      <c r="CV611"/>
      <c r="CW611"/>
      <c r="CX611"/>
      <c r="CY611"/>
      <c r="CZ611"/>
      <c r="DA611"/>
      <c r="DB611"/>
      <c r="DC611"/>
      <c r="DD611"/>
      <c r="DE611"/>
      <c r="DF611"/>
      <c r="DG611"/>
      <c r="DH611"/>
      <c r="DI611"/>
      <c r="DJ611"/>
      <c r="DK611"/>
      <c r="DL611"/>
      <c r="DM611"/>
      <c r="DN611"/>
      <c r="DO611"/>
      <c r="DP611"/>
      <c r="DQ611"/>
      <c r="DR611"/>
      <c r="DS611"/>
      <c r="DT611"/>
      <c r="DU611"/>
      <c r="DV611"/>
      <c r="DW611"/>
      <c r="DX611"/>
      <c r="DY611"/>
      <c r="DZ611"/>
      <c r="EA611"/>
      <c r="EB611"/>
      <c r="EC611"/>
      <c r="ED611"/>
      <c r="EE611"/>
      <c r="EF611"/>
      <c r="EG611"/>
      <c r="EH611"/>
      <c r="EI611"/>
      <c r="EJ611"/>
      <c r="EK611"/>
      <c r="EL611"/>
      <c r="EM611"/>
      <c r="EN611"/>
      <c r="EO611"/>
      <c r="EP611"/>
      <c r="EQ611"/>
      <c r="ER611"/>
      <c r="ES611"/>
    </row>
    <row r="612" spans="1:149">
      <c r="A612"/>
      <c r="B612"/>
      <c r="C612"/>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M612"/>
      <c r="CN612"/>
      <c r="CO612"/>
      <c r="CP612"/>
      <c r="CQ612"/>
      <c r="CR612"/>
      <c r="CS612"/>
      <c r="CT612"/>
      <c r="CU612"/>
      <c r="CV612"/>
      <c r="CW612"/>
      <c r="CX612"/>
      <c r="CY612"/>
      <c r="CZ612"/>
      <c r="DA612"/>
      <c r="DB612"/>
      <c r="DC612"/>
      <c r="DD612"/>
      <c r="DE612"/>
      <c r="DF612"/>
      <c r="DG612"/>
      <c r="DH612"/>
      <c r="DI612"/>
      <c r="DJ612"/>
      <c r="DK612"/>
      <c r="DL612"/>
      <c r="DM612"/>
      <c r="DN612"/>
      <c r="DO612"/>
      <c r="DP612"/>
      <c r="DQ612"/>
      <c r="DR612"/>
      <c r="DS612"/>
      <c r="DT612"/>
      <c r="DU612"/>
      <c r="DV612"/>
      <c r="DW612"/>
      <c r="DX612"/>
      <c r="DY612"/>
      <c r="DZ612"/>
      <c r="EA612"/>
      <c r="EB612"/>
      <c r="EC612"/>
      <c r="ED612"/>
      <c r="EE612"/>
      <c r="EF612"/>
      <c r="EG612"/>
      <c r="EH612"/>
      <c r="EI612"/>
      <c r="EJ612"/>
      <c r="EK612"/>
      <c r="EL612"/>
      <c r="EM612"/>
      <c r="EN612"/>
      <c r="EO612"/>
      <c r="EP612"/>
      <c r="EQ612"/>
      <c r="ER612"/>
      <c r="ES612"/>
    </row>
    <row r="613" spans="1:149">
      <c r="A613"/>
      <c r="B613"/>
      <c r="C613"/>
      <c r="D613"/>
      <c r="E613"/>
      <c r="F613"/>
      <c r="G613"/>
      <c r="H613"/>
      <c r="I613"/>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M613"/>
      <c r="CN613"/>
      <c r="CO613"/>
      <c r="CP613"/>
      <c r="CQ613"/>
      <c r="CR613"/>
      <c r="CS613"/>
      <c r="CT613"/>
      <c r="CU613"/>
      <c r="CV613"/>
      <c r="CW613"/>
      <c r="CX613"/>
      <c r="CY613"/>
      <c r="CZ613"/>
      <c r="DA613"/>
      <c r="DB613"/>
      <c r="DC613"/>
      <c r="DD613"/>
      <c r="DE613"/>
      <c r="DF613"/>
      <c r="DG613"/>
      <c r="DH613"/>
      <c r="DI613"/>
      <c r="DJ613"/>
      <c r="DK613"/>
      <c r="DL613"/>
      <c r="DM613"/>
      <c r="DN613"/>
      <c r="DO613"/>
      <c r="DP613"/>
      <c r="DQ613"/>
      <c r="DR613"/>
      <c r="DS613"/>
      <c r="DT613"/>
      <c r="DU613"/>
      <c r="DV613"/>
      <c r="DW613"/>
      <c r="DX613"/>
      <c r="DY613"/>
      <c r="DZ613"/>
      <c r="EA613"/>
      <c r="EB613"/>
      <c r="EC613"/>
      <c r="ED613"/>
      <c r="EE613"/>
      <c r="EF613"/>
      <c r="EG613"/>
      <c r="EH613"/>
      <c r="EI613"/>
      <c r="EJ613"/>
      <c r="EK613"/>
      <c r="EL613"/>
      <c r="EM613"/>
      <c r="EN613"/>
      <c r="EO613"/>
      <c r="EP613"/>
      <c r="EQ613"/>
      <c r="ER613"/>
      <c r="ES613"/>
    </row>
    <row r="614" spans="1:149">
      <c r="A614"/>
      <c r="B614"/>
      <c r="C614"/>
      <c r="D614"/>
      <c r="E614"/>
      <c r="F614"/>
      <c r="G614"/>
      <c r="H614"/>
      <c r="I614"/>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M614"/>
      <c r="CN614"/>
      <c r="CO614"/>
      <c r="CP614"/>
      <c r="CQ614"/>
      <c r="CR614"/>
      <c r="CS614"/>
      <c r="CT614"/>
      <c r="CU614"/>
      <c r="CV614"/>
      <c r="CW614"/>
      <c r="CX614"/>
      <c r="CY614"/>
      <c r="CZ614"/>
      <c r="DA614"/>
      <c r="DB614"/>
      <c r="DC614"/>
      <c r="DD614"/>
      <c r="DE614"/>
      <c r="DF614"/>
      <c r="DG614"/>
      <c r="DH614"/>
      <c r="DI614"/>
      <c r="DJ614"/>
      <c r="DK614"/>
      <c r="DL614"/>
      <c r="DM614"/>
      <c r="DN614"/>
      <c r="DO614"/>
      <c r="DP614"/>
      <c r="DQ614"/>
      <c r="DR614"/>
      <c r="DS614"/>
      <c r="DT614"/>
      <c r="DU614"/>
      <c r="DV614"/>
      <c r="DW614"/>
      <c r="DX614"/>
      <c r="DY614"/>
      <c r="DZ614"/>
      <c r="EA614"/>
      <c r="EB614"/>
      <c r="EC614"/>
      <c r="ED614"/>
      <c r="EE614"/>
      <c r="EF614"/>
      <c r="EG614"/>
      <c r="EH614"/>
      <c r="EI614"/>
      <c r="EJ614"/>
      <c r="EK614"/>
      <c r="EL614"/>
      <c r="EM614"/>
      <c r="EN614"/>
      <c r="EO614"/>
      <c r="EP614"/>
      <c r="EQ614"/>
      <c r="ER614"/>
      <c r="ES614"/>
    </row>
    <row r="615" spans="1:149">
      <c r="A615"/>
      <c r="B615"/>
      <c r="C615"/>
      <c r="D615"/>
      <c r="E615"/>
      <c r="F615"/>
      <c r="G615"/>
      <c r="H615"/>
      <c r="I615"/>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M615"/>
      <c r="CN615"/>
      <c r="CO615"/>
      <c r="CP615"/>
      <c r="CQ615"/>
      <c r="CR615"/>
      <c r="CS615"/>
      <c r="CT615"/>
      <c r="CU615"/>
      <c r="CV615"/>
      <c r="CW615"/>
      <c r="CX615"/>
      <c r="CY615"/>
      <c r="CZ615"/>
      <c r="DA615"/>
      <c r="DB615"/>
      <c r="DC615"/>
      <c r="DD615"/>
      <c r="DE615"/>
      <c r="DF615"/>
      <c r="DG615"/>
      <c r="DH615"/>
      <c r="DI615"/>
      <c r="DJ615"/>
      <c r="DK615"/>
      <c r="DL615"/>
      <c r="DM615"/>
      <c r="DN615"/>
      <c r="DO615"/>
      <c r="DP615"/>
      <c r="DQ615"/>
      <c r="DR615"/>
      <c r="DS615"/>
      <c r="DT615"/>
      <c r="DU615"/>
      <c r="DV615"/>
      <c r="DW615"/>
      <c r="DX615"/>
      <c r="DY615"/>
      <c r="DZ615"/>
      <c r="EA615"/>
      <c r="EB615"/>
      <c r="EC615"/>
      <c r="ED615"/>
      <c r="EE615"/>
      <c r="EF615"/>
      <c r="EG615"/>
      <c r="EH615"/>
      <c r="EI615"/>
      <c r="EJ615"/>
      <c r="EK615"/>
      <c r="EL615"/>
      <c r="EM615"/>
      <c r="EN615"/>
      <c r="EO615"/>
      <c r="EP615"/>
      <c r="EQ615"/>
      <c r="ER615"/>
      <c r="ES615"/>
    </row>
    <row r="616" spans="1:149">
      <c r="A616"/>
      <c r="B616"/>
      <c r="C616"/>
      <c r="D616"/>
      <c r="E616"/>
      <c r="F616"/>
      <c r="G616"/>
      <c r="H616"/>
      <c r="I616"/>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M616"/>
      <c r="CN616"/>
      <c r="CO616"/>
      <c r="CP616"/>
      <c r="CQ616"/>
      <c r="CR616"/>
      <c r="CS616"/>
      <c r="CT616"/>
      <c r="CU616"/>
      <c r="CV616"/>
      <c r="CW616"/>
      <c r="CX616"/>
      <c r="CY616"/>
      <c r="CZ616"/>
      <c r="DA616"/>
      <c r="DB616"/>
      <c r="DC616"/>
      <c r="DD616"/>
      <c r="DE616"/>
      <c r="DF616"/>
      <c r="DG616"/>
      <c r="DH616"/>
      <c r="DI616"/>
      <c r="DJ616"/>
      <c r="DK616"/>
      <c r="DL616"/>
      <c r="DM616"/>
      <c r="DN616"/>
      <c r="DO616"/>
      <c r="DP616"/>
      <c r="DQ616"/>
      <c r="DR616"/>
      <c r="DS616"/>
      <c r="DT616"/>
      <c r="DU616"/>
      <c r="DV616"/>
      <c r="DW616"/>
      <c r="DX616"/>
      <c r="DY616"/>
      <c r="DZ616"/>
      <c r="EA616"/>
      <c r="EB616"/>
      <c r="EC616"/>
      <c r="ED616"/>
      <c r="EE616"/>
      <c r="EF616"/>
      <c r="EG616"/>
      <c r="EH616"/>
      <c r="EI616"/>
      <c r="EJ616"/>
      <c r="EK616"/>
      <c r="EL616"/>
      <c r="EM616"/>
      <c r="EN616"/>
      <c r="EO616"/>
      <c r="EP616"/>
      <c r="EQ616"/>
      <c r="ER616"/>
      <c r="ES616"/>
    </row>
    <row r="617" spans="1:149">
      <c r="A617"/>
      <c r="B617"/>
      <c r="C617"/>
      <c r="D617"/>
      <c r="E617"/>
      <c r="F617"/>
      <c r="G617"/>
      <c r="H617"/>
      <c r="I617"/>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M617"/>
      <c r="CN617"/>
      <c r="CO617"/>
      <c r="CP617"/>
      <c r="CQ617"/>
      <c r="CR617"/>
      <c r="CS617"/>
      <c r="CT617"/>
      <c r="CU617"/>
      <c r="CV617"/>
      <c r="CW617"/>
      <c r="CX617"/>
      <c r="CY617"/>
      <c r="CZ617"/>
      <c r="DA617"/>
      <c r="DB617"/>
      <c r="DC617"/>
      <c r="DD617"/>
      <c r="DE617"/>
      <c r="DF617"/>
      <c r="DG617"/>
      <c r="DH617"/>
      <c r="DI617"/>
      <c r="DJ617"/>
      <c r="DK617"/>
      <c r="DL617"/>
      <c r="DM617"/>
      <c r="DN617"/>
      <c r="DO617"/>
      <c r="DP617"/>
      <c r="DQ617"/>
      <c r="DR617"/>
      <c r="DS617"/>
      <c r="DT617"/>
      <c r="DU617"/>
      <c r="DV617"/>
      <c r="DW617"/>
      <c r="DX617"/>
      <c r="DY617"/>
      <c r="DZ617"/>
      <c r="EA617"/>
      <c r="EB617"/>
      <c r="EC617"/>
      <c r="ED617"/>
      <c r="EE617"/>
      <c r="EF617"/>
      <c r="EG617"/>
      <c r="EH617"/>
      <c r="EI617"/>
      <c r="EJ617"/>
      <c r="EK617"/>
      <c r="EL617"/>
      <c r="EM617"/>
      <c r="EN617"/>
      <c r="EO617"/>
      <c r="EP617"/>
      <c r="EQ617"/>
      <c r="ER617"/>
      <c r="ES617"/>
    </row>
    <row r="618" spans="1:149">
      <c r="A618"/>
      <c r="B618"/>
      <c r="C618"/>
      <c r="D618"/>
      <c r="E618"/>
      <c r="F618"/>
      <c r="G618"/>
      <c r="H618"/>
      <c r="I618"/>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M618"/>
      <c r="CN618"/>
      <c r="CO618"/>
      <c r="CP618"/>
      <c r="CQ618"/>
      <c r="CR618"/>
      <c r="CS618"/>
      <c r="CT618"/>
      <c r="CU618"/>
      <c r="CV618"/>
      <c r="CW618"/>
      <c r="CX618"/>
      <c r="CY618"/>
      <c r="CZ618"/>
      <c r="DA618"/>
      <c r="DB618"/>
      <c r="DC618"/>
      <c r="DD618"/>
      <c r="DE618"/>
      <c r="DF618"/>
      <c r="DG618"/>
      <c r="DH618"/>
      <c r="DI618"/>
      <c r="DJ618"/>
      <c r="DK618"/>
      <c r="DL618"/>
      <c r="DM618"/>
      <c r="DN618"/>
      <c r="DO618"/>
      <c r="DP618"/>
      <c r="DQ618"/>
      <c r="DR618"/>
      <c r="DS618"/>
      <c r="DT618"/>
      <c r="DU618"/>
      <c r="DV618"/>
      <c r="DW618"/>
      <c r="DX618"/>
      <c r="DY618"/>
      <c r="DZ618"/>
      <c r="EA618"/>
      <c r="EB618"/>
      <c r="EC618"/>
      <c r="ED618"/>
      <c r="EE618"/>
      <c r="EF618"/>
      <c r="EG618"/>
      <c r="EH618"/>
      <c r="EI618"/>
      <c r="EJ618"/>
      <c r="EK618"/>
      <c r="EL618"/>
      <c r="EM618"/>
      <c r="EN618"/>
      <c r="EO618"/>
      <c r="EP618"/>
      <c r="EQ618"/>
      <c r="ER618"/>
      <c r="ES618"/>
    </row>
    <row r="619" spans="1:149">
      <c r="A619"/>
      <c r="B619"/>
      <c r="C619"/>
      <c r="D619"/>
      <c r="E619"/>
      <c r="F619"/>
      <c r="G619"/>
      <c r="H619"/>
      <c r="I619"/>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M619"/>
      <c r="CN619"/>
      <c r="CO619"/>
      <c r="CP619"/>
      <c r="CQ619"/>
      <c r="CR619"/>
      <c r="CS619"/>
      <c r="CT619"/>
      <c r="CU619"/>
      <c r="CV619"/>
      <c r="CW619"/>
      <c r="CX619"/>
      <c r="CY619"/>
      <c r="CZ619"/>
      <c r="DA619"/>
      <c r="DB619"/>
      <c r="DC619"/>
      <c r="DD619"/>
      <c r="DE619"/>
      <c r="DF619"/>
      <c r="DG619"/>
      <c r="DH619"/>
      <c r="DI619"/>
      <c r="DJ619"/>
      <c r="DK619"/>
      <c r="DL619"/>
      <c r="DM619"/>
      <c r="DN619"/>
      <c r="DO619"/>
      <c r="DP619"/>
      <c r="DQ619"/>
      <c r="DR619"/>
      <c r="DS619"/>
      <c r="DT619"/>
      <c r="DU619"/>
      <c r="DV619"/>
      <c r="DW619"/>
      <c r="DX619"/>
      <c r="DY619"/>
      <c r="DZ619"/>
      <c r="EA619"/>
      <c r="EB619"/>
      <c r="EC619"/>
      <c r="ED619"/>
      <c r="EE619"/>
      <c r="EF619"/>
      <c r="EG619"/>
      <c r="EH619"/>
      <c r="EI619"/>
      <c r="EJ619"/>
      <c r="EK619"/>
      <c r="EL619"/>
      <c r="EM619"/>
      <c r="EN619"/>
      <c r="EO619"/>
      <c r="EP619"/>
      <c r="EQ619"/>
      <c r="ER619"/>
      <c r="ES619"/>
    </row>
    <row r="620" spans="1:149">
      <c r="A620"/>
      <c r="B620"/>
      <c r="C620"/>
      <c r="D620"/>
      <c r="E620"/>
      <c r="F620"/>
      <c r="G620"/>
      <c r="H620"/>
      <c r="I620"/>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M620"/>
      <c r="CN620"/>
      <c r="CO620"/>
      <c r="CP620"/>
      <c r="CQ620"/>
      <c r="CR620"/>
      <c r="CS620"/>
      <c r="CT620"/>
      <c r="CU620"/>
      <c r="CV620"/>
      <c r="CW620"/>
      <c r="CX620"/>
      <c r="CY620"/>
      <c r="CZ620"/>
      <c r="DA620"/>
      <c r="DB620"/>
      <c r="DC620"/>
      <c r="DD620"/>
      <c r="DE620"/>
      <c r="DF620"/>
      <c r="DG620"/>
      <c r="DH620"/>
      <c r="DI620"/>
      <c r="DJ620"/>
      <c r="DK620"/>
      <c r="DL620"/>
      <c r="DM620"/>
      <c r="DN620"/>
      <c r="DO620"/>
      <c r="DP620"/>
      <c r="DQ620"/>
      <c r="DR620"/>
      <c r="DS620"/>
      <c r="DT620"/>
      <c r="DU620"/>
      <c r="DV620"/>
      <c r="DW620"/>
      <c r="DX620"/>
      <c r="DY620"/>
      <c r="DZ620"/>
      <c r="EA620"/>
      <c r="EB620"/>
      <c r="EC620"/>
      <c r="ED620"/>
      <c r="EE620"/>
      <c r="EF620"/>
      <c r="EG620"/>
      <c r="EH620"/>
      <c r="EI620"/>
      <c r="EJ620"/>
      <c r="EK620"/>
      <c r="EL620"/>
      <c r="EM620"/>
      <c r="EN620"/>
      <c r="EO620"/>
      <c r="EP620"/>
      <c r="EQ620"/>
      <c r="ER620"/>
      <c r="ES620"/>
    </row>
    <row r="621" spans="1:149">
      <c r="A621"/>
      <c r="B621"/>
      <c r="C621"/>
      <c r="D621"/>
      <c r="E621"/>
      <c r="F621"/>
      <c r="G621"/>
      <c r="H621"/>
      <c r="I621"/>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M621"/>
      <c r="CN621"/>
      <c r="CO621"/>
      <c r="CP621"/>
      <c r="CQ621"/>
      <c r="CR621"/>
      <c r="CS621"/>
      <c r="CT621"/>
      <c r="CU621"/>
      <c r="CV621"/>
      <c r="CW621"/>
      <c r="CX621"/>
      <c r="CY621"/>
      <c r="CZ621"/>
      <c r="DA621"/>
      <c r="DB621"/>
      <c r="DC621"/>
      <c r="DD621"/>
      <c r="DE621"/>
      <c r="DF621"/>
      <c r="DG621"/>
      <c r="DH621"/>
      <c r="DI621"/>
      <c r="DJ621"/>
      <c r="DK621"/>
      <c r="DL621"/>
      <c r="DM621"/>
      <c r="DN621"/>
      <c r="DO621"/>
      <c r="DP621"/>
      <c r="DQ621"/>
      <c r="DR621"/>
      <c r="DS621"/>
      <c r="DT621"/>
      <c r="DU621"/>
      <c r="DV621"/>
      <c r="DW621"/>
      <c r="DX621"/>
      <c r="DY621"/>
      <c r="DZ621"/>
      <c r="EA621"/>
      <c r="EB621"/>
      <c r="EC621"/>
      <c r="ED621"/>
      <c r="EE621"/>
      <c r="EF621"/>
      <c r="EG621"/>
      <c r="EH621"/>
      <c r="EI621"/>
      <c r="EJ621"/>
      <c r="EK621"/>
      <c r="EL621"/>
      <c r="EM621"/>
      <c r="EN621"/>
      <c r="EO621"/>
      <c r="EP621"/>
      <c r="EQ621"/>
      <c r="ER621"/>
      <c r="ES621"/>
    </row>
    <row r="622" spans="1:149">
      <c r="A622"/>
      <c r="B622"/>
      <c r="C622"/>
      <c r="D622"/>
      <c r="E622"/>
      <c r="F622"/>
      <c r="G622"/>
      <c r="H622"/>
      <c r="I622"/>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M622"/>
      <c r="CN622"/>
      <c r="CO622"/>
      <c r="CP622"/>
      <c r="CQ622"/>
      <c r="CR622"/>
      <c r="CS622"/>
      <c r="CT622"/>
      <c r="CU622"/>
      <c r="CV622"/>
      <c r="CW622"/>
      <c r="CX622"/>
      <c r="CY622"/>
      <c r="CZ622"/>
      <c r="DA622"/>
      <c r="DB622"/>
      <c r="DC622"/>
      <c r="DD622"/>
      <c r="DE622"/>
      <c r="DF622"/>
      <c r="DG622"/>
      <c r="DH622"/>
      <c r="DI622"/>
      <c r="DJ622"/>
      <c r="DK622"/>
      <c r="DL622"/>
      <c r="DM622"/>
      <c r="DN622"/>
      <c r="DO622"/>
      <c r="DP622"/>
      <c r="DQ622"/>
      <c r="DR622"/>
      <c r="DS622"/>
      <c r="DT622"/>
      <c r="DU622"/>
      <c r="DV622"/>
      <c r="DW622"/>
      <c r="DX622"/>
      <c r="DY622"/>
      <c r="DZ622"/>
      <c r="EA622"/>
      <c r="EB622"/>
      <c r="EC622"/>
      <c r="ED622"/>
      <c r="EE622"/>
      <c r="EF622"/>
      <c r="EG622"/>
      <c r="EH622"/>
      <c r="EI622"/>
      <c r="EJ622"/>
      <c r="EK622"/>
      <c r="EL622"/>
      <c r="EM622"/>
      <c r="EN622"/>
      <c r="EO622"/>
      <c r="EP622"/>
      <c r="EQ622"/>
      <c r="ER622"/>
      <c r="ES622"/>
    </row>
    <row r="623" spans="1:149">
      <c r="A623"/>
      <c r="B623"/>
      <c r="C623"/>
      <c r="D623"/>
      <c r="E623"/>
      <c r="F623"/>
      <c r="G623"/>
      <c r="H623"/>
      <c r="I623"/>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M623"/>
      <c r="CN623"/>
      <c r="CO623"/>
      <c r="CP623"/>
      <c r="CQ623"/>
      <c r="CR623"/>
      <c r="CS623"/>
      <c r="CT623"/>
      <c r="CU623"/>
      <c r="CV623"/>
      <c r="CW623"/>
      <c r="CX623"/>
      <c r="CY623"/>
      <c r="CZ623"/>
      <c r="DA623"/>
      <c r="DB623"/>
      <c r="DC623"/>
      <c r="DD623"/>
      <c r="DE623"/>
      <c r="DF623"/>
      <c r="DG623"/>
      <c r="DH623"/>
      <c r="DI623"/>
      <c r="DJ623"/>
      <c r="DK623"/>
      <c r="DL623"/>
      <c r="DM623"/>
      <c r="DN623"/>
      <c r="DO623"/>
      <c r="DP623"/>
      <c r="DQ623"/>
      <c r="DR623"/>
      <c r="DS623"/>
      <c r="DT623"/>
      <c r="DU623"/>
      <c r="DV623"/>
      <c r="DW623"/>
      <c r="DX623"/>
      <c r="DY623"/>
      <c r="DZ623"/>
      <c r="EA623"/>
      <c r="EB623"/>
      <c r="EC623"/>
      <c r="ED623"/>
      <c r="EE623"/>
      <c r="EF623"/>
      <c r="EG623"/>
      <c r="EH623"/>
      <c r="EI623"/>
      <c r="EJ623"/>
      <c r="EK623"/>
      <c r="EL623"/>
      <c r="EM623"/>
      <c r="EN623"/>
      <c r="EO623"/>
      <c r="EP623"/>
      <c r="EQ623"/>
      <c r="ER623"/>
      <c r="ES623"/>
    </row>
    <row r="624" spans="1:149">
      <c r="A624"/>
      <c r="B624"/>
      <c r="C624"/>
      <c r="D624"/>
      <c r="E624"/>
      <c r="F624"/>
      <c r="G624"/>
      <c r="H624"/>
      <c r="I624"/>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M624"/>
      <c r="CN624"/>
      <c r="CO624"/>
      <c r="CP624"/>
      <c r="CQ624"/>
      <c r="CR624"/>
      <c r="CS624"/>
      <c r="CT624"/>
      <c r="CU624"/>
      <c r="CV624"/>
      <c r="CW624"/>
      <c r="CX624"/>
      <c r="CY624"/>
      <c r="CZ624"/>
      <c r="DA624"/>
      <c r="DB624"/>
      <c r="DC624"/>
      <c r="DD624"/>
      <c r="DE624"/>
      <c r="DF624"/>
      <c r="DG624"/>
      <c r="DH624"/>
      <c r="DI624"/>
      <c r="DJ624"/>
      <c r="DK624"/>
      <c r="DL624"/>
      <c r="DM624"/>
      <c r="DN624"/>
      <c r="DO624"/>
      <c r="DP624"/>
      <c r="DQ624"/>
      <c r="DR624"/>
      <c r="DS624"/>
      <c r="DT624"/>
      <c r="DU624"/>
      <c r="DV624"/>
      <c r="DW624"/>
      <c r="DX624"/>
      <c r="DY624"/>
      <c r="DZ624"/>
      <c r="EA624"/>
      <c r="EB624"/>
      <c r="EC624"/>
      <c r="ED624"/>
      <c r="EE624"/>
      <c r="EF624"/>
      <c r="EG624"/>
      <c r="EH624"/>
      <c r="EI624"/>
      <c r="EJ624"/>
      <c r="EK624"/>
      <c r="EL624"/>
      <c r="EM624"/>
      <c r="EN624"/>
      <c r="EO624"/>
      <c r="EP624"/>
      <c r="EQ624"/>
      <c r="ER624"/>
      <c r="ES624"/>
    </row>
    <row r="625" spans="1:149">
      <c r="A625"/>
      <c r="B625"/>
      <c r="C625"/>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M625"/>
      <c r="CN625"/>
      <c r="CO625"/>
      <c r="CP625"/>
      <c r="CQ625"/>
      <c r="CR625"/>
      <c r="CS625"/>
      <c r="CT625"/>
      <c r="CU625"/>
      <c r="CV625"/>
      <c r="CW625"/>
      <c r="CX625"/>
      <c r="CY625"/>
      <c r="CZ625"/>
      <c r="DA625"/>
      <c r="DB625"/>
      <c r="DC625"/>
      <c r="DD625"/>
      <c r="DE625"/>
      <c r="DF625"/>
      <c r="DG625"/>
      <c r="DH625"/>
      <c r="DI625"/>
      <c r="DJ625"/>
      <c r="DK625"/>
      <c r="DL625"/>
      <c r="DM625"/>
      <c r="DN625"/>
      <c r="DO625"/>
      <c r="DP625"/>
      <c r="DQ625"/>
      <c r="DR625"/>
      <c r="DS625"/>
      <c r="DT625"/>
      <c r="DU625"/>
      <c r="DV625"/>
      <c r="DW625"/>
      <c r="DX625"/>
      <c r="DY625"/>
      <c r="DZ625"/>
      <c r="EA625"/>
      <c r="EB625"/>
      <c r="EC625"/>
      <c r="ED625"/>
      <c r="EE625"/>
      <c r="EF625"/>
      <c r="EG625"/>
      <c r="EH625"/>
      <c r="EI625"/>
      <c r="EJ625"/>
      <c r="EK625"/>
      <c r="EL625"/>
      <c r="EM625"/>
      <c r="EN625"/>
      <c r="EO625"/>
      <c r="EP625"/>
      <c r="EQ625"/>
      <c r="ER625"/>
      <c r="ES625"/>
    </row>
    <row r="626" spans="1:149">
      <c r="A626"/>
      <c r="B626"/>
      <c r="C626"/>
      <c r="D626"/>
      <c r="E626"/>
      <c r="F626"/>
      <c r="G626"/>
      <c r="H626"/>
      <c r="I626"/>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M626"/>
      <c r="CN626"/>
      <c r="CO626"/>
      <c r="CP626"/>
      <c r="CQ626"/>
      <c r="CR626"/>
      <c r="CS626"/>
      <c r="CT626"/>
      <c r="CU626"/>
      <c r="CV626"/>
      <c r="CW626"/>
      <c r="CX626"/>
      <c r="CY626"/>
      <c r="CZ626"/>
      <c r="DA626"/>
      <c r="DB626"/>
      <c r="DC626"/>
      <c r="DD626"/>
      <c r="DE626"/>
      <c r="DF626"/>
      <c r="DG626"/>
      <c r="DH626"/>
      <c r="DI626"/>
      <c r="DJ626"/>
      <c r="DK626"/>
      <c r="DL626"/>
      <c r="DM626"/>
      <c r="DN626"/>
      <c r="DO626"/>
      <c r="DP626"/>
      <c r="DQ626"/>
      <c r="DR626"/>
      <c r="DS626"/>
      <c r="DT626"/>
      <c r="DU626"/>
      <c r="DV626"/>
      <c r="DW626"/>
      <c r="DX626"/>
      <c r="DY626"/>
      <c r="DZ626"/>
      <c r="EA626"/>
      <c r="EB626"/>
      <c r="EC626"/>
      <c r="ED626"/>
      <c r="EE626"/>
      <c r="EF626"/>
      <c r="EG626"/>
      <c r="EH626"/>
      <c r="EI626"/>
      <c r="EJ626"/>
      <c r="EK626"/>
      <c r="EL626"/>
      <c r="EM626"/>
      <c r="EN626"/>
      <c r="EO626"/>
      <c r="EP626"/>
      <c r="EQ626"/>
      <c r="ER626"/>
      <c r="ES626"/>
    </row>
    <row r="627" spans="1:149">
      <c r="A627"/>
      <c r="B627"/>
      <c r="C627"/>
      <c r="D627"/>
      <c r="E627"/>
      <c r="F627"/>
      <c r="G627"/>
      <c r="H627"/>
      <c r="I627"/>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M627"/>
      <c r="CN627"/>
      <c r="CO627"/>
      <c r="CP627"/>
      <c r="CQ627"/>
      <c r="CR627"/>
      <c r="CS627"/>
      <c r="CT627"/>
      <c r="CU627"/>
      <c r="CV627"/>
      <c r="CW627"/>
      <c r="CX627"/>
      <c r="CY627"/>
      <c r="CZ627"/>
      <c r="DA627"/>
      <c r="DB627"/>
      <c r="DC627"/>
      <c r="DD627"/>
      <c r="DE627"/>
      <c r="DF627"/>
      <c r="DG627"/>
      <c r="DH627"/>
      <c r="DI627"/>
      <c r="DJ627"/>
      <c r="DK627"/>
      <c r="DL627"/>
      <c r="DM627"/>
      <c r="DN627"/>
      <c r="DO627"/>
      <c r="DP627"/>
      <c r="DQ627"/>
      <c r="DR627"/>
      <c r="DS627"/>
      <c r="DT627"/>
      <c r="DU627"/>
      <c r="DV627"/>
      <c r="DW627"/>
      <c r="DX627"/>
      <c r="DY627"/>
      <c r="DZ627"/>
      <c r="EA627"/>
      <c r="EB627"/>
      <c r="EC627"/>
      <c r="ED627"/>
      <c r="EE627"/>
      <c r="EF627"/>
      <c r="EG627"/>
      <c r="EH627"/>
      <c r="EI627"/>
      <c r="EJ627"/>
      <c r="EK627"/>
      <c r="EL627"/>
      <c r="EM627"/>
      <c r="EN627"/>
      <c r="EO627"/>
      <c r="EP627"/>
      <c r="EQ627"/>
      <c r="ER627"/>
      <c r="ES627"/>
    </row>
    <row r="628" spans="1:149">
      <c r="A628"/>
      <c r="B628"/>
      <c r="C628"/>
      <c r="D628"/>
      <c r="E628"/>
      <c r="F628"/>
      <c r="G628"/>
      <c r="H628"/>
      <c r="I628"/>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M628"/>
      <c r="CN628"/>
      <c r="CO628"/>
      <c r="CP628"/>
      <c r="CQ628"/>
      <c r="CR628"/>
      <c r="CS628"/>
      <c r="CT628"/>
      <c r="CU628"/>
      <c r="CV628"/>
      <c r="CW628"/>
      <c r="CX628"/>
      <c r="CY628"/>
      <c r="CZ628"/>
      <c r="DA628"/>
      <c r="DB628"/>
      <c r="DC628"/>
      <c r="DD628"/>
      <c r="DE628"/>
      <c r="DF628"/>
      <c r="DG628"/>
      <c r="DH628"/>
      <c r="DI628"/>
      <c r="DJ628"/>
      <c r="DK628"/>
      <c r="DL628"/>
      <c r="DM628"/>
      <c r="DN628"/>
      <c r="DO628"/>
      <c r="DP628"/>
      <c r="DQ628"/>
      <c r="DR628"/>
      <c r="DS628"/>
      <c r="DT628"/>
      <c r="DU628"/>
      <c r="DV628"/>
      <c r="DW628"/>
      <c r="DX628"/>
      <c r="DY628"/>
      <c r="DZ628"/>
      <c r="EA628"/>
      <c r="EB628"/>
      <c r="EC628"/>
      <c r="ED628"/>
      <c r="EE628"/>
      <c r="EF628"/>
      <c r="EG628"/>
      <c r="EH628"/>
      <c r="EI628"/>
      <c r="EJ628"/>
      <c r="EK628"/>
      <c r="EL628"/>
      <c r="EM628"/>
      <c r="EN628"/>
      <c r="EO628"/>
      <c r="EP628"/>
      <c r="EQ628"/>
      <c r="ER628"/>
      <c r="ES628"/>
    </row>
    <row r="629" spans="1:149">
      <c r="A629"/>
      <c r="B629"/>
      <c r="C629"/>
      <c r="D629"/>
      <c r="E629"/>
      <c r="F629"/>
      <c r="G629"/>
      <c r="H629"/>
      <c r="I629"/>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M629"/>
      <c r="CN629"/>
      <c r="CO629"/>
      <c r="CP629"/>
      <c r="CQ629"/>
      <c r="CR629"/>
      <c r="CS629"/>
      <c r="CT629"/>
      <c r="CU629"/>
      <c r="CV629"/>
      <c r="CW629"/>
      <c r="CX629"/>
      <c r="CY629"/>
      <c r="CZ629"/>
      <c r="DA629"/>
      <c r="DB629"/>
      <c r="DC629"/>
      <c r="DD629"/>
      <c r="DE629"/>
      <c r="DF629"/>
      <c r="DG629"/>
      <c r="DH629"/>
      <c r="DI629"/>
      <c r="DJ629"/>
      <c r="DK629"/>
      <c r="DL629"/>
      <c r="DM629"/>
      <c r="DN629"/>
      <c r="DO629"/>
      <c r="DP629"/>
      <c r="DQ629"/>
      <c r="DR629"/>
      <c r="DS629"/>
      <c r="DT629"/>
      <c r="DU629"/>
      <c r="DV629"/>
      <c r="DW629"/>
      <c r="DX629"/>
      <c r="DY629"/>
      <c r="DZ629"/>
      <c r="EA629"/>
      <c r="EB629"/>
      <c r="EC629"/>
      <c r="ED629"/>
      <c r="EE629"/>
      <c r="EF629"/>
      <c r="EG629"/>
      <c r="EH629"/>
      <c r="EI629"/>
      <c r="EJ629"/>
      <c r="EK629"/>
      <c r="EL629"/>
      <c r="EM629"/>
      <c r="EN629"/>
      <c r="EO629"/>
      <c r="EP629"/>
      <c r="EQ629"/>
      <c r="ER629"/>
      <c r="ES629"/>
    </row>
    <row r="630" spans="1:149">
      <c r="A630"/>
      <c r="B630"/>
      <c r="C630"/>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c r="CW630"/>
      <c r="CX630"/>
      <c r="CY630"/>
      <c r="CZ630"/>
      <c r="DA630"/>
      <c r="DB630"/>
      <c r="DC630"/>
      <c r="DD630"/>
      <c r="DE630"/>
      <c r="DF630"/>
      <c r="DG630"/>
      <c r="DH630"/>
      <c r="DI630"/>
      <c r="DJ630"/>
      <c r="DK630"/>
      <c r="DL630"/>
      <c r="DM630"/>
      <c r="DN630"/>
      <c r="DO630"/>
      <c r="DP630"/>
      <c r="DQ630"/>
      <c r="DR630"/>
      <c r="DS630"/>
      <c r="DT630"/>
      <c r="DU630"/>
      <c r="DV630"/>
      <c r="DW630"/>
      <c r="DX630"/>
      <c r="DY630"/>
      <c r="DZ630"/>
      <c r="EA630"/>
      <c r="EB630"/>
      <c r="EC630"/>
      <c r="ED630"/>
      <c r="EE630"/>
      <c r="EF630"/>
      <c r="EG630"/>
      <c r="EH630"/>
      <c r="EI630"/>
      <c r="EJ630"/>
      <c r="EK630"/>
      <c r="EL630"/>
      <c r="EM630"/>
      <c r="EN630"/>
      <c r="EO630"/>
      <c r="EP630"/>
      <c r="EQ630"/>
      <c r="ER630"/>
      <c r="ES630"/>
    </row>
    <row r="631" spans="1:149">
      <c r="A631"/>
      <c r="B631"/>
      <c r="C631"/>
      <c r="D631"/>
      <c r="E631"/>
      <c r="F631"/>
      <c r="G631"/>
      <c r="H631"/>
      <c r="I631"/>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M631"/>
      <c r="CN631"/>
      <c r="CO631"/>
      <c r="CP631"/>
      <c r="CQ631"/>
      <c r="CR631"/>
      <c r="CS631"/>
      <c r="CT631"/>
      <c r="CU631"/>
      <c r="CV631"/>
      <c r="CW631"/>
      <c r="CX631"/>
      <c r="CY631"/>
      <c r="CZ631"/>
      <c r="DA631"/>
      <c r="DB631"/>
      <c r="DC631"/>
      <c r="DD631"/>
      <c r="DE631"/>
      <c r="DF631"/>
      <c r="DG631"/>
      <c r="DH631"/>
      <c r="DI631"/>
      <c r="DJ631"/>
      <c r="DK631"/>
      <c r="DL631"/>
      <c r="DM631"/>
      <c r="DN631"/>
      <c r="DO631"/>
      <c r="DP631"/>
      <c r="DQ631"/>
      <c r="DR631"/>
      <c r="DS631"/>
      <c r="DT631"/>
      <c r="DU631"/>
      <c r="DV631"/>
      <c r="DW631"/>
      <c r="DX631"/>
      <c r="DY631"/>
      <c r="DZ631"/>
      <c r="EA631"/>
      <c r="EB631"/>
      <c r="EC631"/>
      <c r="ED631"/>
      <c r="EE631"/>
      <c r="EF631"/>
      <c r="EG631"/>
      <c r="EH631"/>
      <c r="EI631"/>
      <c r="EJ631"/>
      <c r="EK631"/>
      <c r="EL631"/>
      <c r="EM631"/>
      <c r="EN631"/>
      <c r="EO631"/>
      <c r="EP631"/>
      <c r="EQ631"/>
      <c r="ER631"/>
      <c r="ES631"/>
    </row>
    <row r="632" spans="1:149">
      <c r="A632"/>
      <c r="B632"/>
      <c r="C632"/>
      <c r="D632"/>
      <c r="E632"/>
      <c r="F632"/>
      <c r="G632"/>
      <c r="H632"/>
      <c r="I632"/>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M632"/>
      <c r="CN632"/>
      <c r="CO632"/>
      <c r="CP632"/>
      <c r="CQ632"/>
      <c r="CR632"/>
      <c r="CS632"/>
      <c r="CT632"/>
      <c r="CU632"/>
      <c r="CV632"/>
      <c r="CW632"/>
      <c r="CX632"/>
      <c r="CY632"/>
      <c r="CZ632"/>
      <c r="DA632"/>
      <c r="DB632"/>
      <c r="DC632"/>
      <c r="DD632"/>
      <c r="DE632"/>
      <c r="DF632"/>
      <c r="DG632"/>
      <c r="DH632"/>
      <c r="DI632"/>
      <c r="DJ632"/>
      <c r="DK632"/>
      <c r="DL632"/>
      <c r="DM632"/>
      <c r="DN632"/>
      <c r="DO632"/>
      <c r="DP632"/>
      <c r="DQ632"/>
      <c r="DR632"/>
      <c r="DS632"/>
      <c r="DT632"/>
      <c r="DU632"/>
      <c r="DV632"/>
      <c r="DW632"/>
      <c r="DX632"/>
      <c r="DY632"/>
      <c r="DZ632"/>
      <c r="EA632"/>
      <c r="EB632"/>
      <c r="EC632"/>
      <c r="ED632"/>
      <c r="EE632"/>
      <c r="EF632"/>
      <c r="EG632"/>
      <c r="EH632"/>
      <c r="EI632"/>
      <c r="EJ632"/>
      <c r="EK632"/>
      <c r="EL632"/>
      <c r="EM632"/>
      <c r="EN632"/>
      <c r="EO632"/>
      <c r="EP632"/>
      <c r="EQ632"/>
      <c r="ER632"/>
      <c r="ES632"/>
    </row>
    <row r="633" spans="1:149">
      <c r="A633"/>
      <c r="B633"/>
      <c r="C633"/>
      <c r="D633"/>
      <c r="E633"/>
      <c r="F633"/>
      <c r="G633"/>
      <c r="H633"/>
      <c r="I633"/>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M633"/>
      <c r="CN633"/>
      <c r="CO633"/>
      <c r="CP633"/>
      <c r="CQ633"/>
      <c r="CR633"/>
      <c r="CS633"/>
      <c r="CT633"/>
      <c r="CU633"/>
      <c r="CV633"/>
      <c r="CW633"/>
      <c r="CX633"/>
      <c r="CY633"/>
      <c r="CZ633"/>
      <c r="DA633"/>
      <c r="DB633"/>
      <c r="DC633"/>
      <c r="DD633"/>
      <c r="DE633"/>
      <c r="DF633"/>
      <c r="DG633"/>
      <c r="DH633"/>
      <c r="DI633"/>
      <c r="DJ633"/>
      <c r="DK633"/>
      <c r="DL633"/>
      <c r="DM633"/>
      <c r="DN633"/>
      <c r="DO633"/>
      <c r="DP633"/>
      <c r="DQ633"/>
      <c r="DR633"/>
      <c r="DS633"/>
      <c r="DT633"/>
      <c r="DU633"/>
      <c r="DV633"/>
      <c r="DW633"/>
      <c r="DX633"/>
      <c r="DY633"/>
      <c r="DZ633"/>
      <c r="EA633"/>
      <c r="EB633"/>
      <c r="EC633"/>
      <c r="ED633"/>
      <c r="EE633"/>
      <c r="EF633"/>
      <c r="EG633"/>
      <c r="EH633"/>
      <c r="EI633"/>
      <c r="EJ633"/>
      <c r="EK633"/>
      <c r="EL633"/>
      <c r="EM633"/>
      <c r="EN633"/>
      <c r="EO633"/>
      <c r="EP633"/>
      <c r="EQ633"/>
      <c r="ER633"/>
      <c r="ES633"/>
    </row>
    <row r="634" spans="1:149">
      <c r="A634"/>
      <c r="B634"/>
      <c r="C634"/>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M634"/>
      <c r="CN634"/>
      <c r="CO634"/>
      <c r="CP634"/>
      <c r="CQ634"/>
      <c r="CR634"/>
      <c r="CS634"/>
      <c r="CT634"/>
      <c r="CU634"/>
      <c r="CV634"/>
      <c r="CW634"/>
      <c r="CX634"/>
      <c r="CY634"/>
      <c r="CZ634"/>
      <c r="DA634"/>
      <c r="DB634"/>
      <c r="DC634"/>
      <c r="DD634"/>
      <c r="DE634"/>
      <c r="DF634"/>
      <c r="DG634"/>
      <c r="DH634"/>
      <c r="DI634"/>
      <c r="DJ634"/>
      <c r="DK634"/>
      <c r="DL634"/>
      <c r="DM634"/>
      <c r="DN634"/>
      <c r="DO634"/>
      <c r="DP634"/>
      <c r="DQ634"/>
      <c r="DR634"/>
      <c r="DS634"/>
      <c r="DT634"/>
      <c r="DU634"/>
      <c r="DV634"/>
      <c r="DW634"/>
      <c r="DX634"/>
      <c r="DY634"/>
      <c r="DZ634"/>
      <c r="EA634"/>
      <c r="EB634"/>
      <c r="EC634"/>
      <c r="ED634"/>
      <c r="EE634"/>
      <c r="EF634"/>
      <c r="EG634"/>
      <c r="EH634"/>
      <c r="EI634"/>
      <c r="EJ634"/>
      <c r="EK634"/>
      <c r="EL634"/>
      <c r="EM634"/>
      <c r="EN634"/>
      <c r="EO634"/>
      <c r="EP634"/>
      <c r="EQ634"/>
      <c r="ER634"/>
      <c r="ES634"/>
    </row>
    <row r="635" spans="1:149">
      <c r="A635"/>
      <c r="B635"/>
      <c r="C635"/>
      <c r="D635"/>
      <c r="E635"/>
      <c r="F635"/>
      <c r="G635"/>
      <c r="H635"/>
      <c r="I63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M635"/>
      <c r="CN635"/>
      <c r="CO635"/>
      <c r="CP635"/>
      <c r="CQ635"/>
      <c r="CR635"/>
      <c r="CS635"/>
      <c r="CT635"/>
      <c r="CU635"/>
      <c r="CV635"/>
      <c r="CW635"/>
      <c r="CX635"/>
      <c r="CY635"/>
      <c r="CZ635"/>
      <c r="DA635"/>
      <c r="DB635"/>
      <c r="DC635"/>
      <c r="DD635"/>
      <c r="DE635"/>
      <c r="DF635"/>
      <c r="DG635"/>
      <c r="DH635"/>
      <c r="DI635"/>
      <c r="DJ635"/>
      <c r="DK635"/>
      <c r="DL635"/>
      <c r="DM635"/>
      <c r="DN635"/>
      <c r="DO635"/>
      <c r="DP635"/>
      <c r="DQ635"/>
      <c r="DR635"/>
      <c r="DS635"/>
      <c r="DT635"/>
      <c r="DU635"/>
      <c r="DV635"/>
      <c r="DW635"/>
      <c r="DX635"/>
      <c r="DY635"/>
      <c r="DZ635"/>
      <c r="EA635"/>
      <c r="EB635"/>
      <c r="EC635"/>
      <c r="ED635"/>
      <c r="EE635"/>
      <c r="EF635"/>
      <c r="EG635"/>
      <c r="EH635"/>
      <c r="EI635"/>
      <c r="EJ635"/>
      <c r="EK635"/>
      <c r="EL635"/>
      <c r="EM635"/>
      <c r="EN635"/>
      <c r="EO635"/>
      <c r="EP635"/>
      <c r="EQ635"/>
      <c r="ER635"/>
      <c r="ES635"/>
    </row>
    <row r="636" spans="1:149">
      <c r="A636"/>
      <c r="B636"/>
      <c r="C636"/>
      <c r="D636"/>
      <c r="E636"/>
      <c r="F636"/>
      <c r="G636"/>
      <c r="H636"/>
      <c r="I636"/>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M636"/>
      <c r="CN636"/>
      <c r="CO636"/>
      <c r="CP636"/>
      <c r="CQ636"/>
      <c r="CR636"/>
      <c r="CS636"/>
      <c r="CT636"/>
      <c r="CU636"/>
      <c r="CV636"/>
      <c r="CW636"/>
      <c r="CX636"/>
      <c r="CY636"/>
      <c r="CZ636"/>
      <c r="DA636"/>
      <c r="DB636"/>
      <c r="DC636"/>
      <c r="DD636"/>
      <c r="DE636"/>
      <c r="DF636"/>
      <c r="DG636"/>
      <c r="DH636"/>
      <c r="DI636"/>
      <c r="DJ636"/>
      <c r="DK636"/>
      <c r="DL636"/>
      <c r="DM636"/>
      <c r="DN636"/>
      <c r="DO636"/>
      <c r="DP636"/>
      <c r="DQ636"/>
      <c r="DR636"/>
      <c r="DS636"/>
      <c r="DT636"/>
      <c r="DU636"/>
      <c r="DV636"/>
      <c r="DW636"/>
      <c r="DX636"/>
      <c r="DY636"/>
      <c r="DZ636"/>
      <c r="EA636"/>
      <c r="EB636"/>
      <c r="EC636"/>
      <c r="ED636"/>
      <c r="EE636"/>
      <c r="EF636"/>
      <c r="EG636"/>
      <c r="EH636"/>
      <c r="EI636"/>
      <c r="EJ636"/>
      <c r="EK636"/>
      <c r="EL636"/>
      <c r="EM636"/>
      <c r="EN636"/>
      <c r="EO636"/>
      <c r="EP636"/>
      <c r="EQ636"/>
      <c r="ER636"/>
      <c r="ES636"/>
    </row>
    <row r="637" spans="1:149">
      <c r="A637"/>
      <c r="B637"/>
      <c r="C637"/>
      <c r="D637"/>
      <c r="E637"/>
      <c r="F637"/>
      <c r="G637"/>
      <c r="H637"/>
      <c r="I637"/>
      <c r="J637"/>
      <c r="K637"/>
      <c r="L637"/>
      <c r="M637"/>
      <c r="N637"/>
      <c r="O637"/>
      <c r="P637"/>
      <c r="Q637"/>
      <c r="R637"/>
      <c r="S637"/>
      <c r="T637"/>
      <c r="U637"/>
      <c r="V637"/>
      <c r="W637"/>
      <c r="X637"/>
      <c r="Y637"/>
      <c r="Z637"/>
      <c r="AA637"/>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c r="BZ637"/>
      <c r="CA637"/>
      <c r="CB637"/>
      <c r="CC637"/>
      <c r="CD637"/>
      <c r="CE637"/>
      <c r="CF637"/>
      <c r="CG637"/>
      <c r="CH637"/>
      <c r="CI637"/>
      <c r="CJ637"/>
      <c r="CK637"/>
      <c r="CL637"/>
      <c r="CM637"/>
      <c r="CN637"/>
      <c r="CO637"/>
      <c r="CP637"/>
      <c r="CQ637"/>
      <c r="CR637"/>
      <c r="CS637"/>
      <c r="CT637"/>
      <c r="CU637"/>
      <c r="CV637"/>
      <c r="CW637"/>
      <c r="CX637"/>
      <c r="CY637"/>
      <c r="CZ637"/>
      <c r="DA637"/>
      <c r="DB637"/>
      <c r="DC637"/>
      <c r="DD637"/>
      <c r="DE637"/>
      <c r="DF637"/>
      <c r="DG637"/>
      <c r="DH637"/>
      <c r="DI637"/>
      <c r="DJ637"/>
      <c r="DK637"/>
      <c r="DL637"/>
      <c r="DM637"/>
      <c r="DN637"/>
      <c r="DO637"/>
      <c r="DP637"/>
      <c r="DQ637"/>
      <c r="DR637"/>
      <c r="DS637"/>
      <c r="DT637"/>
      <c r="DU637"/>
      <c r="DV637"/>
      <c r="DW637"/>
      <c r="DX637"/>
      <c r="DY637"/>
      <c r="DZ637"/>
      <c r="EA637"/>
      <c r="EB637"/>
      <c r="EC637"/>
      <c r="ED637"/>
      <c r="EE637"/>
      <c r="EF637"/>
      <c r="EG637"/>
      <c r="EH637"/>
      <c r="EI637"/>
      <c r="EJ637"/>
      <c r="EK637"/>
      <c r="EL637"/>
      <c r="EM637"/>
      <c r="EN637"/>
      <c r="EO637"/>
      <c r="EP637"/>
      <c r="EQ637"/>
      <c r="ER637"/>
      <c r="ES637"/>
    </row>
    <row r="638" spans="1:149">
      <c r="A638"/>
      <c r="B638"/>
      <c r="C638"/>
      <c r="D638"/>
      <c r="E638"/>
      <c r="F638"/>
      <c r="G638"/>
      <c r="H638"/>
      <c r="I638"/>
      <c r="J638"/>
      <c r="K638"/>
      <c r="L638"/>
      <c r="M638"/>
      <c r="N638"/>
      <c r="O638"/>
      <c r="P638"/>
      <c r="Q638"/>
      <c r="R638"/>
      <c r="S638"/>
      <c r="T638"/>
      <c r="U638"/>
      <c r="V638"/>
      <c r="W638"/>
      <c r="X638"/>
      <c r="Y638"/>
      <c r="Z638"/>
      <c r="AA638"/>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c r="BZ638"/>
      <c r="CA638"/>
      <c r="CB638"/>
      <c r="CC638"/>
      <c r="CD638"/>
      <c r="CE638"/>
      <c r="CF638"/>
      <c r="CG638"/>
      <c r="CH638"/>
      <c r="CI638"/>
      <c r="CJ638"/>
      <c r="CK638"/>
      <c r="CL638"/>
      <c r="CM638"/>
      <c r="CN638"/>
      <c r="CO638"/>
      <c r="CP638"/>
      <c r="CQ638"/>
      <c r="CR638"/>
      <c r="CS638"/>
      <c r="CT638"/>
      <c r="CU638"/>
      <c r="CV638"/>
      <c r="CW638"/>
      <c r="CX638"/>
      <c r="CY638"/>
      <c r="CZ638"/>
      <c r="DA638"/>
      <c r="DB638"/>
      <c r="DC638"/>
      <c r="DD638"/>
      <c r="DE638"/>
      <c r="DF638"/>
      <c r="DG638"/>
      <c r="DH638"/>
      <c r="DI638"/>
      <c r="DJ638"/>
      <c r="DK638"/>
      <c r="DL638"/>
      <c r="DM638"/>
      <c r="DN638"/>
      <c r="DO638"/>
      <c r="DP638"/>
      <c r="DQ638"/>
      <c r="DR638"/>
      <c r="DS638"/>
      <c r="DT638"/>
      <c r="DU638"/>
      <c r="DV638"/>
      <c r="DW638"/>
      <c r="DX638"/>
      <c r="DY638"/>
      <c r="DZ638"/>
      <c r="EA638"/>
      <c r="EB638"/>
      <c r="EC638"/>
      <c r="ED638"/>
      <c r="EE638"/>
      <c r="EF638"/>
      <c r="EG638"/>
      <c r="EH638"/>
      <c r="EI638"/>
      <c r="EJ638"/>
      <c r="EK638"/>
      <c r="EL638"/>
      <c r="EM638"/>
      <c r="EN638"/>
      <c r="EO638"/>
      <c r="EP638"/>
      <c r="EQ638"/>
      <c r="ER638"/>
      <c r="ES638"/>
    </row>
    <row r="639" spans="1:149">
      <c r="A639"/>
      <c r="B639"/>
      <c r="C639"/>
      <c r="D639"/>
      <c r="E639"/>
      <c r="F639"/>
      <c r="G639"/>
      <c r="H639"/>
      <c r="I639"/>
      <c r="J639"/>
      <c r="K639"/>
      <c r="L639"/>
      <c r="M639"/>
      <c r="N639"/>
      <c r="O639"/>
      <c r="P639"/>
      <c r="Q639"/>
      <c r="R639"/>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c r="BZ639"/>
      <c r="CA639"/>
      <c r="CB639"/>
      <c r="CC639"/>
      <c r="CD639"/>
      <c r="CE639"/>
      <c r="CF639"/>
      <c r="CG639"/>
      <c r="CH639"/>
      <c r="CI639"/>
      <c r="CJ639"/>
      <c r="CK639"/>
      <c r="CL639"/>
      <c r="CM639"/>
      <c r="CN639"/>
      <c r="CO639"/>
      <c r="CP639"/>
      <c r="CQ639"/>
      <c r="CR639"/>
      <c r="CS639"/>
      <c r="CT639"/>
      <c r="CU639"/>
      <c r="CV639"/>
      <c r="CW639"/>
      <c r="CX639"/>
      <c r="CY639"/>
      <c r="CZ639"/>
      <c r="DA639"/>
      <c r="DB639"/>
      <c r="DC639"/>
      <c r="DD639"/>
      <c r="DE639"/>
      <c r="DF639"/>
      <c r="DG639"/>
      <c r="DH639"/>
      <c r="DI639"/>
      <c r="DJ639"/>
      <c r="DK639"/>
      <c r="DL639"/>
      <c r="DM639"/>
      <c r="DN639"/>
      <c r="DO639"/>
      <c r="DP639"/>
      <c r="DQ639"/>
      <c r="DR639"/>
      <c r="DS639"/>
      <c r="DT639"/>
      <c r="DU639"/>
      <c r="DV639"/>
      <c r="DW639"/>
      <c r="DX639"/>
      <c r="DY639"/>
      <c r="DZ639"/>
      <c r="EA639"/>
      <c r="EB639"/>
      <c r="EC639"/>
      <c r="ED639"/>
      <c r="EE639"/>
      <c r="EF639"/>
      <c r="EG639"/>
      <c r="EH639"/>
      <c r="EI639"/>
      <c r="EJ639"/>
      <c r="EK639"/>
      <c r="EL639"/>
      <c r="EM639"/>
      <c r="EN639"/>
      <c r="EO639"/>
      <c r="EP639"/>
      <c r="EQ639"/>
      <c r="ER639"/>
      <c r="ES639"/>
    </row>
    <row r="640" spans="1:149">
      <c r="A640"/>
      <c r="B640"/>
      <c r="C640"/>
      <c r="D640"/>
      <c r="E640"/>
      <c r="F640"/>
      <c r="G640"/>
      <c r="H640"/>
      <c r="I640"/>
      <c r="J640"/>
      <c r="K640"/>
      <c r="L640"/>
      <c r="M640"/>
      <c r="N640"/>
      <c r="O640"/>
      <c r="P640"/>
      <c r="Q640"/>
      <c r="R640"/>
      <c r="S640"/>
      <c r="T640"/>
      <c r="U640"/>
      <c r="V640"/>
      <c r="W640"/>
      <c r="X640"/>
      <c r="Y640"/>
      <c r="Z640"/>
      <c r="AA640"/>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c r="BZ640"/>
      <c r="CA640"/>
      <c r="CB640"/>
      <c r="CC640"/>
      <c r="CD640"/>
      <c r="CE640"/>
      <c r="CF640"/>
      <c r="CG640"/>
      <c r="CH640"/>
      <c r="CI640"/>
      <c r="CJ640"/>
      <c r="CK640"/>
      <c r="CL640"/>
      <c r="CM640"/>
      <c r="CN640"/>
      <c r="CO640"/>
      <c r="CP640"/>
      <c r="CQ640"/>
      <c r="CR640"/>
      <c r="CS640"/>
      <c r="CT640"/>
      <c r="CU640"/>
      <c r="CV640"/>
      <c r="CW640"/>
      <c r="CX640"/>
      <c r="CY640"/>
      <c r="CZ640"/>
      <c r="DA640"/>
      <c r="DB640"/>
      <c r="DC640"/>
      <c r="DD640"/>
      <c r="DE640"/>
      <c r="DF640"/>
      <c r="DG640"/>
      <c r="DH640"/>
      <c r="DI640"/>
      <c r="DJ640"/>
      <c r="DK640"/>
      <c r="DL640"/>
      <c r="DM640"/>
      <c r="DN640"/>
      <c r="DO640"/>
      <c r="DP640"/>
      <c r="DQ640"/>
      <c r="DR640"/>
      <c r="DS640"/>
      <c r="DT640"/>
      <c r="DU640"/>
      <c r="DV640"/>
      <c r="DW640"/>
      <c r="DX640"/>
      <c r="DY640"/>
      <c r="DZ640"/>
      <c r="EA640"/>
      <c r="EB640"/>
      <c r="EC640"/>
      <c r="ED640"/>
      <c r="EE640"/>
      <c r="EF640"/>
      <c r="EG640"/>
      <c r="EH640"/>
      <c r="EI640"/>
      <c r="EJ640"/>
      <c r="EK640"/>
      <c r="EL640"/>
      <c r="EM640"/>
      <c r="EN640"/>
      <c r="EO640"/>
      <c r="EP640"/>
      <c r="EQ640"/>
      <c r="ER640"/>
      <c r="ES640"/>
    </row>
    <row r="641" spans="1:149">
      <c r="A641"/>
      <c r="B641"/>
      <c r="C641"/>
      <c r="D641"/>
      <c r="E641"/>
      <c r="F641"/>
      <c r="G641"/>
      <c r="H641"/>
      <c r="I641"/>
      <c r="J641"/>
      <c r="K641"/>
      <c r="L641"/>
      <c r="M641"/>
      <c r="N641"/>
      <c r="O641"/>
      <c r="P641"/>
      <c r="Q641"/>
      <c r="R64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c r="BZ641"/>
      <c r="CA641"/>
      <c r="CB641"/>
      <c r="CC641"/>
      <c r="CD641"/>
      <c r="CE641"/>
      <c r="CF641"/>
      <c r="CG641"/>
      <c r="CH641"/>
      <c r="CI641"/>
      <c r="CJ641"/>
      <c r="CK641"/>
      <c r="CL641"/>
      <c r="CM641"/>
      <c r="CN641"/>
      <c r="CO641"/>
      <c r="CP641"/>
      <c r="CQ641"/>
      <c r="CR641"/>
      <c r="CS641"/>
      <c r="CT641"/>
      <c r="CU641"/>
      <c r="CV641"/>
      <c r="CW641"/>
      <c r="CX641"/>
      <c r="CY641"/>
      <c r="CZ641"/>
      <c r="DA641"/>
      <c r="DB641"/>
      <c r="DC641"/>
      <c r="DD641"/>
      <c r="DE641"/>
      <c r="DF641"/>
      <c r="DG641"/>
      <c r="DH641"/>
      <c r="DI641"/>
      <c r="DJ641"/>
      <c r="DK641"/>
      <c r="DL641"/>
      <c r="DM641"/>
      <c r="DN641"/>
      <c r="DO641"/>
      <c r="DP641"/>
      <c r="DQ641"/>
      <c r="DR641"/>
      <c r="DS641"/>
      <c r="DT641"/>
      <c r="DU641"/>
      <c r="DV641"/>
      <c r="DW641"/>
      <c r="DX641"/>
      <c r="DY641"/>
      <c r="DZ641"/>
      <c r="EA641"/>
      <c r="EB641"/>
      <c r="EC641"/>
      <c r="ED641"/>
      <c r="EE641"/>
      <c r="EF641"/>
      <c r="EG641"/>
      <c r="EH641"/>
      <c r="EI641"/>
      <c r="EJ641"/>
      <c r="EK641"/>
      <c r="EL641"/>
      <c r="EM641"/>
      <c r="EN641"/>
      <c r="EO641"/>
      <c r="EP641"/>
      <c r="EQ641"/>
      <c r="ER641"/>
      <c r="ES641"/>
    </row>
    <row r="642" spans="1:149">
      <c r="A642"/>
      <c r="B642"/>
      <c r="C642"/>
      <c r="D642"/>
      <c r="E642"/>
      <c r="F642"/>
      <c r="G642"/>
      <c r="H642"/>
      <c r="I642"/>
      <c r="J642"/>
      <c r="K642"/>
      <c r="L642"/>
      <c r="M642"/>
      <c r="N642"/>
      <c r="O642"/>
      <c r="P642"/>
      <c r="Q642"/>
      <c r="R642"/>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c r="BZ642"/>
      <c r="CA642"/>
      <c r="CB642"/>
      <c r="CC642"/>
      <c r="CD642"/>
      <c r="CE642"/>
      <c r="CF642"/>
      <c r="CG642"/>
      <c r="CH642"/>
      <c r="CI642"/>
      <c r="CJ642"/>
      <c r="CK642"/>
      <c r="CL642"/>
      <c r="CM642"/>
      <c r="CN642"/>
      <c r="CO642"/>
      <c r="CP642"/>
      <c r="CQ642"/>
      <c r="CR642"/>
      <c r="CS642"/>
      <c r="CT642"/>
      <c r="CU642"/>
      <c r="CV642"/>
      <c r="CW642"/>
      <c r="CX642"/>
      <c r="CY642"/>
      <c r="CZ642"/>
      <c r="DA642"/>
      <c r="DB642"/>
      <c r="DC642"/>
      <c r="DD642"/>
      <c r="DE642"/>
      <c r="DF642"/>
      <c r="DG642"/>
      <c r="DH642"/>
      <c r="DI642"/>
      <c r="DJ642"/>
      <c r="DK642"/>
      <c r="DL642"/>
      <c r="DM642"/>
      <c r="DN642"/>
      <c r="DO642"/>
      <c r="DP642"/>
      <c r="DQ642"/>
      <c r="DR642"/>
      <c r="DS642"/>
      <c r="DT642"/>
      <c r="DU642"/>
      <c r="DV642"/>
      <c r="DW642"/>
      <c r="DX642"/>
      <c r="DY642"/>
      <c r="DZ642"/>
      <c r="EA642"/>
      <c r="EB642"/>
      <c r="EC642"/>
      <c r="ED642"/>
      <c r="EE642"/>
      <c r="EF642"/>
      <c r="EG642"/>
      <c r="EH642"/>
      <c r="EI642"/>
      <c r="EJ642"/>
      <c r="EK642"/>
      <c r="EL642"/>
      <c r="EM642"/>
      <c r="EN642"/>
      <c r="EO642"/>
      <c r="EP642"/>
      <c r="EQ642"/>
      <c r="ER642"/>
      <c r="ES642"/>
    </row>
    <row r="643" spans="1:149">
      <c r="A643"/>
      <c r="B643"/>
      <c r="C643"/>
      <c r="D643"/>
      <c r="E643"/>
      <c r="F643"/>
      <c r="G643"/>
      <c r="H643"/>
      <c r="I643"/>
      <c r="J643"/>
      <c r="K643"/>
      <c r="L643"/>
      <c r="M643"/>
      <c r="N643"/>
      <c r="O643"/>
      <c r="P643"/>
      <c r="Q643"/>
      <c r="R643"/>
      <c r="S643"/>
      <c r="T643"/>
      <c r="U643"/>
      <c r="V643"/>
      <c r="W643"/>
      <c r="X643"/>
      <c r="Y643"/>
      <c r="Z643"/>
      <c r="AA643"/>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c r="BZ643"/>
      <c r="CA643"/>
      <c r="CB643"/>
      <c r="CC643"/>
      <c r="CD643"/>
      <c r="CE643"/>
      <c r="CF643"/>
      <c r="CG643"/>
      <c r="CH643"/>
      <c r="CI643"/>
      <c r="CJ643"/>
      <c r="CK643"/>
      <c r="CL643"/>
      <c r="CM643"/>
      <c r="CN643"/>
      <c r="CO643"/>
      <c r="CP643"/>
      <c r="CQ643"/>
      <c r="CR643"/>
      <c r="CS643"/>
      <c r="CT643"/>
      <c r="CU643"/>
      <c r="CV643"/>
      <c r="CW643"/>
      <c r="CX643"/>
      <c r="CY643"/>
      <c r="CZ643"/>
      <c r="DA643"/>
      <c r="DB643"/>
      <c r="DC643"/>
      <c r="DD643"/>
      <c r="DE643"/>
      <c r="DF643"/>
      <c r="DG643"/>
      <c r="DH643"/>
      <c r="DI643"/>
      <c r="DJ643"/>
      <c r="DK643"/>
      <c r="DL643"/>
      <c r="DM643"/>
      <c r="DN643"/>
      <c r="DO643"/>
      <c r="DP643"/>
      <c r="DQ643"/>
      <c r="DR643"/>
      <c r="DS643"/>
      <c r="DT643"/>
      <c r="DU643"/>
      <c r="DV643"/>
      <c r="DW643"/>
      <c r="DX643"/>
      <c r="DY643"/>
      <c r="DZ643"/>
      <c r="EA643"/>
      <c r="EB643"/>
      <c r="EC643"/>
      <c r="ED643"/>
      <c r="EE643"/>
      <c r="EF643"/>
      <c r="EG643"/>
      <c r="EH643"/>
      <c r="EI643"/>
      <c r="EJ643"/>
      <c r="EK643"/>
      <c r="EL643"/>
      <c r="EM643"/>
      <c r="EN643"/>
      <c r="EO643"/>
      <c r="EP643"/>
      <c r="EQ643"/>
      <c r="ER643"/>
      <c r="ES643"/>
    </row>
    <row r="644" spans="1:149">
      <c r="A644"/>
      <c r="B644"/>
      <c r="C644"/>
      <c r="D644"/>
      <c r="E644"/>
      <c r="F644"/>
      <c r="G644"/>
      <c r="H644"/>
      <c r="I644"/>
      <c r="J644"/>
      <c r="K644"/>
      <c r="L644"/>
      <c r="M644"/>
      <c r="N644"/>
      <c r="O644"/>
      <c r="P644"/>
      <c r="Q644"/>
      <c r="R644"/>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c r="BZ644"/>
      <c r="CA644"/>
      <c r="CB644"/>
      <c r="CC644"/>
      <c r="CD644"/>
      <c r="CE644"/>
      <c r="CF644"/>
      <c r="CG644"/>
      <c r="CH644"/>
      <c r="CI644"/>
      <c r="CJ644"/>
      <c r="CK644"/>
      <c r="CL644"/>
      <c r="CM644"/>
      <c r="CN644"/>
      <c r="CO644"/>
      <c r="CP644"/>
      <c r="CQ644"/>
      <c r="CR644"/>
      <c r="CS644"/>
      <c r="CT644"/>
      <c r="CU644"/>
      <c r="CV644"/>
      <c r="CW644"/>
      <c r="CX644"/>
      <c r="CY644"/>
      <c r="CZ644"/>
      <c r="DA644"/>
      <c r="DB644"/>
      <c r="DC644"/>
      <c r="DD644"/>
      <c r="DE644"/>
      <c r="DF644"/>
      <c r="DG644"/>
      <c r="DH644"/>
      <c r="DI644"/>
      <c r="DJ644"/>
      <c r="DK644"/>
      <c r="DL644"/>
      <c r="DM644"/>
      <c r="DN644"/>
      <c r="DO644"/>
      <c r="DP644"/>
      <c r="DQ644"/>
      <c r="DR644"/>
      <c r="DS644"/>
      <c r="DT644"/>
      <c r="DU644"/>
      <c r="DV644"/>
      <c r="DW644"/>
      <c r="DX644"/>
      <c r="DY644"/>
      <c r="DZ644"/>
      <c r="EA644"/>
      <c r="EB644"/>
      <c r="EC644"/>
      <c r="ED644"/>
      <c r="EE644"/>
      <c r="EF644"/>
      <c r="EG644"/>
      <c r="EH644"/>
      <c r="EI644"/>
      <c r="EJ644"/>
      <c r="EK644"/>
      <c r="EL644"/>
      <c r="EM644"/>
      <c r="EN644"/>
      <c r="EO644"/>
      <c r="EP644"/>
      <c r="EQ644"/>
      <c r="ER644"/>
      <c r="ES644"/>
    </row>
    <row r="645" spans="1:149">
      <c r="A645"/>
      <c r="B645"/>
      <c r="C645"/>
      <c r="D645"/>
      <c r="E645"/>
      <c r="F645"/>
      <c r="G645"/>
      <c r="H645"/>
      <c r="I645"/>
      <c r="J645"/>
      <c r="K645"/>
      <c r="L645"/>
      <c r="M645"/>
      <c r="N645"/>
      <c r="O645"/>
      <c r="P645"/>
      <c r="Q645"/>
      <c r="R645"/>
      <c r="S645"/>
      <c r="T645"/>
      <c r="U645"/>
      <c r="V645"/>
      <c r="W645"/>
      <c r="X645"/>
      <c r="Y645"/>
      <c r="Z645"/>
      <c r="AA64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c r="BZ645"/>
      <c r="CA645"/>
      <c r="CB645"/>
      <c r="CC645"/>
      <c r="CD645"/>
      <c r="CE645"/>
      <c r="CF645"/>
      <c r="CG645"/>
      <c r="CH645"/>
      <c r="CI645"/>
      <c r="CJ645"/>
      <c r="CK645"/>
      <c r="CL645"/>
      <c r="CM645"/>
      <c r="CN645"/>
      <c r="CO645"/>
      <c r="CP645"/>
      <c r="CQ645"/>
      <c r="CR645"/>
      <c r="CS645"/>
      <c r="CT645"/>
      <c r="CU645"/>
      <c r="CV645"/>
      <c r="CW645"/>
      <c r="CX645"/>
      <c r="CY645"/>
      <c r="CZ645"/>
      <c r="DA645"/>
      <c r="DB645"/>
      <c r="DC645"/>
      <c r="DD645"/>
      <c r="DE645"/>
      <c r="DF645"/>
      <c r="DG645"/>
      <c r="DH645"/>
      <c r="DI645"/>
      <c r="DJ645"/>
      <c r="DK645"/>
      <c r="DL645"/>
      <c r="DM645"/>
      <c r="DN645"/>
      <c r="DO645"/>
      <c r="DP645"/>
      <c r="DQ645"/>
      <c r="DR645"/>
      <c r="DS645"/>
      <c r="DT645"/>
      <c r="DU645"/>
      <c r="DV645"/>
      <c r="DW645"/>
      <c r="DX645"/>
      <c r="DY645"/>
      <c r="DZ645"/>
      <c r="EA645"/>
      <c r="EB645"/>
      <c r="EC645"/>
      <c r="ED645"/>
      <c r="EE645"/>
      <c r="EF645"/>
      <c r="EG645"/>
      <c r="EH645"/>
      <c r="EI645"/>
      <c r="EJ645"/>
      <c r="EK645"/>
      <c r="EL645"/>
      <c r="EM645"/>
      <c r="EN645"/>
      <c r="EO645"/>
      <c r="EP645"/>
      <c r="EQ645"/>
      <c r="ER645"/>
      <c r="ES645"/>
    </row>
    <row r="646" spans="1:149">
      <c r="A646"/>
      <c r="B646"/>
      <c r="C646"/>
      <c r="D646"/>
      <c r="E646"/>
      <c r="F646"/>
      <c r="G646"/>
      <c r="H646"/>
      <c r="I646"/>
      <c r="J646"/>
      <c r="K646"/>
      <c r="L646"/>
      <c r="M646"/>
      <c r="N646"/>
      <c r="O646"/>
      <c r="P646"/>
      <c r="Q646"/>
      <c r="R646"/>
      <c r="S646"/>
      <c r="T646"/>
      <c r="U646"/>
      <c r="V646"/>
      <c r="W646"/>
      <c r="X646"/>
      <c r="Y646"/>
      <c r="Z646"/>
      <c r="AA646"/>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c r="BZ646"/>
      <c r="CA646"/>
      <c r="CB646"/>
      <c r="CC646"/>
      <c r="CD646"/>
      <c r="CE646"/>
      <c r="CF646"/>
      <c r="CG646"/>
      <c r="CH646"/>
      <c r="CI646"/>
      <c r="CJ646"/>
      <c r="CK646"/>
      <c r="CL646"/>
      <c r="CM646"/>
      <c r="CN646"/>
      <c r="CO646"/>
      <c r="CP646"/>
      <c r="CQ646"/>
      <c r="CR646"/>
      <c r="CS646"/>
      <c r="CT646"/>
      <c r="CU646"/>
      <c r="CV646"/>
      <c r="CW646"/>
      <c r="CX646"/>
      <c r="CY646"/>
      <c r="CZ646"/>
      <c r="DA646"/>
      <c r="DB646"/>
      <c r="DC646"/>
      <c r="DD646"/>
      <c r="DE646"/>
      <c r="DF646"/>
      <c r="DG646"/>
      <c r="DH646"/>
      <c r="DI646"/>
      <c r="DJ646"/>
      <c r="DK646"/>
      <c r="DL646"/>
      <c r="DM646"/>
      <c r="DN646"/>
      <c r="DO646"/>
      <c r="DP646"/>
      <c r="DQ646"/>
      <c r="DR646"/>
      <c r="DS646"/>
      <c r="DT646"/>
      <c r="DU646"/>
      <c r="DV646"/>
      <c r="DW646"/>
      <c r="DX646"/>
      <c r="DY646"/>
      <c r="DZ646"/>
      <c r="EA646"/>
      <c r="EB646"/>
      <c r="EC646"/>
      <c r="ED646"/>
      <c r="EE646"/>
      <c r="EF646"/>
      <c r="EG646"/>
      <c r="EH646"/>
      <c r="EI646"/>
      <c r="EJ646"/>
      <c r="EK646"/>
      <c r="EL646"/>
      <c r="EM646"/>
      <c r="EN646"/>
      <c r="EO646"/>
      <c r="EP646"/>
      <c r="EQ646"/>
      <c r="ER646"/>
      <c r="ES646"/>
    </row>
    <row r="647" spans="1:149">
      <c r="A647"/>
      <c r="B647"/>
      <c r="C647"/>
      <c r="D647"/>
      <c r="E647"/>
      <c r="F647"/>
      <c r="G647"/>
      <c r="H647"/>
      <c r="I647"/>
      <c r="J647"/>
      <c r="K647"/>
      <c r="L647"/>
      <c r="M647"/>
      <c r="N647"/>
      <c r="O647"/>
      <c r="P647"/>
      <c r="Q647"/>
      <c r="R647"/>
      <c r="S647"/>
      <c r="T647"/>
      <c r="U647"/>
      <c r="V647"/>
      <c r="W647"/>
      <c r="X647"/>
      <c r="Y647"/>
      <c r="Z647"/>
      <c r="AA647"/>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c r="BZ647"/>
      <c r="CA647"/>
      <c r="CB647"/>
      <c r="CC647"/>
      <c r="CD647"/>
      <c r="CE647"/>
      <c r="CF647"/>
      <c r="CG647"/>
      <c r="CH647"/>
      <c r="CI647"/>
      <c r="CJ647"/>
      <c r="CK647"/>
      <c r="CL647"/>
      <c r="CM647"/>
      <c r="CN647"/>
      <c r="CO647"/>
      <c r="CP647"/>
      <c r="CQ647"/>
      <c r="CR647"/>
      <c r="CS647"/>
      <c r="CT647"/>
      <c r="CU647"/>
      <c r="CV647"/>
      <c r="CW647"/>
      <c r="CX647"/>
      <c r="CY647"/>
      <c r="CZ647"/>
      <c r="DA647"/>
      <c r="DB647"/>
      <c r="DC647"/>
      <c r="DD647"/>
      <c r="DE647"/>
      <c r="DF647"/>
      <c r="DG647"/>
      <c r="DH647"/>
      <c r="DI647"/>
      <c r="DJ647"/>
      <c r="DK647"/>
      <c r="DL647"/>
      <c r="DM647"/>
      <c r="DN647"/>
      <c r="DO647"/>
      <c r="DP647"/>
      <c r="DQ647"/>
      <c r="DR647"/>
      <c r="DS647"/>
      <c r="DT647"/>
      <c r="DU647"/>
      <c r="DV647"/>
      <c r="DW647"/>
      <c r="DX647"/>
      <c r="DY647"/>
      <c r="DZ647"/>
      <c r="EA647"/>
      <c r="EB647"/>
      <c r="EC647"/>
      <c r="ED647"/>
      <c r="EE647"/>
      <c r="EF647"/>
      <c r="EG647"/>
      <c r="EH647"/>
      <c r="EI647"/>
      <c r="EJ647"/>
      <c r="EK647"/>
      <c r="EL647"/>
      <c r="EM647"/>
      <c r="EN647"/>
      <c r="EO647"/>
      <c r="EP647"/>
      <c r="EQ647"/>
      <c r="ER647"/>
      <c r="ES647"/>
    </row>
    <row r="648" spans="1:149">
      <c r="A648"/>
      <c r="B648"/>
      <c r="C648"/>
      <c r="D648"/>
      <c r="E648"/>
      <c r="F648"/>
      <c r="G648"/>
      <c r="H648"/>
      <c r="I648"/>
      <c r="J648"/>
      <c r="K648"/>
      <c r="L648"/>
      <c r="M648"/>
      <c r="N648"/>
      <c r="O648"/>
      <c r="P648"/>
      <c r="Q648"/>
      <c r="R648"/>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c r="BZ648"/>
      <c r="CA648"/>
      <c r="CB648"/>
      <c r="CC648"/>
      <c r="CD648"/>
      <c r="CE648"/>
      <c r="CF648"/>
      <c r="CG648"/>
      <c r="CH648"/>
      <c r="CI648"/>
      <c r="CJ648"/>
      <c r="CK648"/>
      <c r="CL648"/>
      <c r="CM648"/>
      <c r="CN648"/>
      <c r="CO648"/>
      <c r="CP648"/>
      <c r="CQ648"/>
      <c r="CR648"/>
      <c r="CS648"/>
      <c r="CT648"/>
      <c r="CU648"/>
      <c r="CV648"/>
      <c r="CW648"/>
      <c r="CX648"/>
      <c r="CY648"/>
      <c r="CZ648"/>
      <c r="DA648"/>
      <c r="DB648"/>
      <c r="DC648"/>
      <c r="DD648"/>
      <c r="DE648"/>
      <c r="DF648"/>
      <c r="DG648"/>
      <c r="DH648"/>
      <c r="DI648"/>
      <c r="DJ648"/>
      <c r="DK648"/>
      <c r="DL648"/>
      <c r="DM648"/>
      <c r="DN648"/>
      <c r="DO648"/>
      <c r="DP648"/>
      <c r="DQ648"/>
      <c r="DR648"/>
      <c r="DS648"/>
      <c r="DT648"/>
      <c r="DU648"/>
      <c r="DV648"/>
      <c r="DW648"/>
      <c r="DX648"/>
      <c r="DY648"/>
      <c r="DZ648"/>
      <c r="EA648"/>
      <c r="EB648"/>
      <c r="EC648"/>
      <c r="ED648"/>
      <c r="EE648"/>
      <c r="EF648"/>
      <c r="EG648"/>
      <c r="EH648"/>
      <c r="EI648"/>
      <c r="EJ648"/>
      <c r="EK648"/>
      <c r="EL648"/>
      <c r="EM648"/>
      <c r="EN648"/>
      <c r="EO648"/>
      <c r="EP648"/>
      <c r="EQ648"/>
      <c r="ER648"/>
      <c r="ES648"/>
    </row>
    <row r="649" spans="1:149">
      <c r="A649"/>
      <c r="B649"/>
      <c r="C649"/>
      <c r="D649"/>
      <c r="E649"/>
      <c r="F649"/>
      <c r="G649"/>
      <c r="H649"/>
      <c r="I649"/>
      <c r="J649"/>
      <c r="K649"/>
      <c r="L649"/>
      <c r="M649"/>
      <c r="N649"/>
      <c r="O649"/>
      <c r="P649"/>
      <c r="Q649"/>
      <c r="R649"/>
      <c r="S649"/>
      <c r="T649"/>
      <c r="U649"/>
      <c r="V649"/>
      <c r="W649"/>
      <c r="X649"/>
      <c r="Y649"/>
      <c r="Z649"/>
      <c r="AA649"/>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c r="BZ649"/>
      <c r="CA649"/>
      <c r="CB649"/>
      <c r="CC649"/>
      <c r="CD649"/>
      <c r="CE649"/>
      <c r="CF649"/>
      <c r="CG649"/>
      <c r="CH649"/>
      <c r="CI649"/>
      <c r="CJ649"/>
      <c r="CK649"/>
      <c r="CL649"/>
      <c r="CM649"/>
      <c r="CN649"/>
      <c r="CO649"/>
      <c r="CP649"/>
      <c r="CQ649"/>
      <c r="CR649"/>
      <c r="CS649"/>
      <c r="CT649"/>
      <c r="CU649"/>
      <c r="CV649"/>
      <c r="CW649"/>
      <c r="CX649"/>
      <c r="CY649"/>
      <c r="CZ649"/>
      <c r="DA649"/>
      <c r="DB649"/>
      <c r="DC649"/>
      <c r="DD649"/>
      <c r="DE649"/>
      <c r="DF649"/>
      <c r="DG649"/>
      <c r="DH649"/>
      <c r="DI649"/>
      <c r="DJ649"/>
      <c r="DK649"/>
      <c r="DL649"/>
      <c r="DM649"/>
      <c r="DN649"/>
      <c r="DO649"/>
      <c r="DP649"/>
      <c r="DQ649"/>
      <c r="DR649"/>
      <c r="DS649"/>
      <c r="DT649"/>
      <c r="DU649"/>
      <c r="DV649"/>
      <c r="DW649"/>
      <c r="DX649"/>
      <c r="DY649"/>
      <c r="DZ649"/>
      <c r="EA649"/>
      <c r="EB649"/>
      <c r="EC649"/>
      <c r="ED649"/>
      <c r="EE649"/>
      <c r="EF649"/>
      <c r="EG649"/>
      <c r="EH649"/>
      <c r="EI649"/>
      <c r="EJ649"/>
      <c r="EK649"/>
      <c r="EL649"/>
      <c r="EM649"/>
      <c r="EN649"/>
      <c r="EO649"/>
      <c r="EP649"/>
      <c r="EQ649"/>
      <c r="ER649"/>
      <c r="ES649"/>
    </row>
    <row r="650" spans="1:149">
      <c r="A650"/>
      <c r="B650"/>
      <c r="C650"/>
      <c r="D650"/>
      <c r="E650"/>
      <c r="F650"/>
      <c r="G650"/>
      <c r="H650"/>
      <c r="I650"/>
      <c r="J650"/>
      <c r="K650"/>
      <c r="L650"/>
      <c r="M650"/>
      <c r="N650"/>
      <c r="O650"/>
      <c r="P650"/>
      <c r="Q650"/>
      <c r="R650"/>
      <c r="S650"/>
      <c r="T650"/>
      <c r="U650"/>
      <c r="V650"/>
      <c r="W650"/>
      <c r="X650"/>
      <c r="Y650"/>
      <c r="Z650"/>
      <c r="AA650"/>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c r="BZ650"/>
      <c r="CA650"/>
      <c r="CB650"/>
      <c r="CC650"/>
      <c r="CD650"/>
      <c r="CE650"/>
      <c r="CF650"/>
      <c r="CG650"/>
      <c r="CH650"/>
      <c r="CI650"/>
      <c r="CJ650"/>
      <c r="CK650"/>
      <c r="CL650"/>
      <c r="CM650"/>
      <c r="CN650"/>
      <c r="CO650"/>
      <c r="CP650"/>
      <c r="CQ650"/>
      <c r="CR650"/>
      <c r="CS650"/>
      <c r="CT650"/>
      <c r="CU650"/>
      <c r="CV650"/>
      <c r="CW650"/>
      <c r="CX650"/>
      <c r="CY650"/>
      <c r="CZ650"/>
      <c r="DA650"/>
      <c r="DB650"/>
      <c r="DC650"/>
      <c r="DD650"/>
      <c r="DE650"/>
      <c r="DF650"/>
      <c r="DG650"/>
      <c r="DH650"/>
      <c r="DI650"/>
      <c r="DJ650"/>
      <c r="DK650"/>
      <c r="DL650"/>
      <c r="DM650"/>
      <c r="DN650"/>
      <c r="DO650"/>
      <c r="DP650"/>
      <c r="DQ650"/>
      <c r="DR650"/>
      <c r="DS650"/>
      <c r="DT650"/>
      <c r="DU650"/>
      <c r="DV650"/>
      <c r="DW650"/>
      <c r="DX650"/>
      <c r="DY650"/>
      <c r="DZ650"/>
      <c r="EA650"/>
      <c r="EB650"/>
      <c r="EC650"/>
      <c r="ED650"/>
      <c r="EE650"/>
      <c r="EF650"/>
      <c r="EG650"/>
      <c r="EH650"/>
      <c r="EI650"/>
      <c r="EJ650"/>
      <c r="EK650"/>
      <c r="EL650"/>
      <c r="EM650"/>
      <c r="EN650"/>
      <c r="EO650"/>
      <c r="EP650"/>
      <c r="EQ650"/>
      <c r="ER650"/>
      <c r="ES650"/>
    </row>
    <row r="651" spans="1:149">
      <c r="A651"/>
      <c r="B651"/>
      <c r="C651"/>
      <c r="D651"/>
      <c r="E651"/>
      <c r="F651"/>
      <c r="G651"/>
      <c r="H651"/>
      <c r="I651"/>
      <c r="J651"/>
      <c r="K651"/>
      <c r="L651"/>
      <c r="M651"/>
      <c r="N651"/>
      <c r="O651"/>
      <c r="P651"/>
      <c r="Q651"/>
      <c r="R651"/>
      <c r="S651"/>
      <c r="T651"/>
      <c r="U651"/>
      <c r="V651"/>
      <c r="W651"/>
      <c r="X651"/>
      <c r="Y651"/>
      <c r="Z651"/>
      <c r="AA651"/>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c r="BZ651"/>
      <c r="CA651"/>
      <c r="CB651"/>
      <c r="CC651"/>
      <c r="CD651"/>
      <c r="CE651"/>
      <c r="CF651"/>
      <c r="CG651"/>
      <c r="CH651"/>
      <c r="CI651"/>
      <c r="CJ651"/>
      <c r="CK651"/>
      <c r="CL651"/>
      <c r="CM651"/>
      <c r="CN651"/>
      <c r="CO651"/>
      <c r="CP651"/>
      <c r="CQ651"/>
      <c r="CR651"/>
      <c r="CS651"/>
      <c r="CT651"/>
      <c r="CU651"/>
      <c r="CV651"/>
      <c r="CW651"/>
      <c r="CX651"/>
      <c r="CY651"/>
      <c r="CZ651"/>
      <c r="DA651"/>
      <c r="DB651"/>
      <c r="DC651"/>
      <c r="DD651"/>
      <c r="DE651"/>
      <c r="DF651"/>
      <c r="DG651"/>
      <c r="DH651"/>
      <c r="DI651"/>
      <c r="DJ651"/>
      <c r="DK651"/>
      <c r="DL651"/>
      <c r="DM651"/>
      <c r="DN651"/>
      <c r="DO651"/>
      <c r="DP651"/>
      <c r="DQ651"/>
      <c r="DR651"/>
      <c r="DS651"/>
      <c r="DT651"/>
      <c r="DU651"/>
      <c r="DV651"/>
      <c r="DW651"/>
      <c r="DX651"/>
      <c r="DY651"/>
      <c r="DZ651"/>
      <c r="EA651"/>
      <c r="EB651"/>
      <c r="EC651"/>
      <c r="ED651"/>
      <c r="EE651"/>
      <c r="EF651"/>
      <c r="EG651"/>
      <c r="EH651"/>
      <c r="EI651"/>
      <c r="EJ651"/>
      <c r="EK651"/>
      <c r="EL651"/>
      <c r="EM651"/>
      <c r="EN651"/>
      <c r="EO651"/>
      <c r="EP651"/>
      <c r="EQ651"/>
      <c r="ER651"/>
      <c r="ES651"/>
    </row>
    <row r="652" spans="1:149">
      <c r="A652"/>
      <c r="B652"/>
      <c r="C652"/>
      <c r="D652"/>
      <c r="E652"/>
      <c r="F652"/>
      <c r="G652"/>
      <c r="H652"/>
      <c r="I652"/>
      <c r="J652"/>
      <c r="K652"/>
      <c r="L652"/>
      <c r="M652"/>
      <c r="N652"/>
      <c r="O652"/>
      <c r="P652"/>
      <c r="Q652"/>
      <c r="R652"/>
      <c r="S652"/>
      <c r="T652"/>
      <c r="U652"/>
      <c r="V652"/>
      <c r="W652"/>
      <c r="X652"/>
      <c r="Y652"/>
      <c r="Z652"/>
      <c r="AA652"/>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c r="BZ652"/>
      <c r="CA652"/>
      <c r="CB652"/>
      <c r="CC652"/>
      <c r="CD652"/>
      <c r="CE652"/>
      <c r="CF652"/>
      <c r="CG652"/>
      <c r="CH652"/>
      <c r="CI652"/>
      <c r="CJ652"/>
      <c r="CK652"/>
      <c r="CL652"/>
      <c r="CM652"/>
      <c r="CN652"/>
      <c r="CO652"/>
      <c r="CP652"/>
      <c r="CQ652"/>
      <c r="CR652"/>
      <c r="CS652"/>
      <c r="CT652"/>
      <c r="CU652"/>
      <c r="CV652"/>
      <c r="CW652"/>
      <c r="CX652"/>
      <c r="CY652"/>
      <c r="CZ652"/>
      <c r="DA652"/>
      <c r="DB652"/>
      <c r="DC652"/>
      <c r="DD652"/>
      <c r="DE652"/>
      <c r="DF652"/>
      <c r="DG652"/>
      <c r="DH652"/>
      <c r="DI652"/>
      <c r="DJ652"/>
      <c r="DK652"/>
      <c r="DL652"/>
      <c r="DM652"/>
      <c r="DN652"/>
      <c r="DO652"/>
      <c r="DP652"/>
      <c r="DQ652"/>
      <c r="DR652"/>
      <c r="DS652"/>
      <c r="DT652"/>
      <c r="DU652"/>
      <c r="DV652"/>
      <c r="DW652"/>
      <c r="DX652"/>
      <c r="DY652"/>
      <c r="DZ652"/>
      <c r="EA652"/>
      <c r="EB652"/>
      <c r="EC652"/>
      <c r="ED652"/>
      <c r="EE652"/>
      <c r="EF652"/>
      <c r="EG652"/>
      <c r="EH652"/>
      <c r="EI652"/>
      <c r="EJ652"/>
      <c r="EK652"/>
      <c r="EL652"/>
      <c r="EM652"/>
      <c r="EN652"/>
      <c r="EO652"/>
      <c r="EP652"/>
      <c r="EQ652"/>
      <c r="ER652"/>
      <c r="ES652"/>
    </row>
    <row r="653" spans="1:149">
      <c r="A653"/>
      <c r="B653"/>
      <c r="C653"/>
      <c r="D653"/>
      <c r="E653"/>
      <c r="F653"/>
      <c r="G653"/>
      <c r="H653"/>
      <c r="I653"/>
      <c r="J653"/>
      <c r="K653"/>
      <c r="L653"/>
      <c r="M653"/>
      <c r="N653"/>
      <c r="O653"/>
      <c r="P653"/>
      <c r="Q653"/>
      <c r="R653"/>
      <c r="S653"/>
      <c r="T653"/>
      <c r="U653"/>
      <c r="V653"/>
      <c r="W653"/>
      <c r="X653"/>
      <c r="Y653"/>
      <c r="Z653"/>
      <c r="AA653"/>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c r="BZ653"/>
      <c r="CA653"/>
      <c r="CB653"/>
      <c r="CC653"/>
      <c r="CD653"/>
      <c r="CE653"/>
      <c r="CF653"/>
      <c r="CG653"/>
      <c r="CH653"/>
      <c r="CI653"/>
      <c r="CJ653"/>
      <c r="CK653"/>
      <c r="CL653"/>
      <c r="CM653"/>
      <c r="CN653"/>
      <c r="CO653"/>
      <c r="CP653"/>
      <c r="CQ653"/>
      <c r="CR653"/>
      <c r="CS653"/>
      <c r="CT653"/>
      <c r="CU653"/>
      <c r="CV653"/>
      <c r="CW653"/>
      <c r="CX653"/>
      <c r="CY653"/>
      <c r="CZ653"/>
      <c r="DA653"/>
      <c r="DB653"/>
      <c r="DC653"/>
      <c r="DD653"/>
      <c r="DE653"/>
      <c r="DF653"/>
      <c r="DG653"/>
      <c r="DH653"/>
      <c r="DI653"/>
      <c r="DJ653"/>
      <c r="DK653"/>
      <c r="DL653"/>
      <c r="DM653"/>
      <c r="DN653"/>
      <c r="DO653"/>
      <c r="DP653"/>
      <c r="DQ653"/>
      <c r="DR653"/>
      <c r="DS653"/>
      <c r="DT653"/>
      <c r="DU653"/>
      <c r="DV653"/>
      <c r="DW653"/>
      <c r="DX653"/>
      <c r="DY653"/>
      <c r="DZ653"/>
      <c r="EA653"/>
      <c r="EB653"/>
      <c r="EC653"/>
      <c r="ED653"/>
      <c r="EE653"/>
      <c r="EF653"/>
      <c r="EG653"/>
      <c r="EH653"/>
      <c r="EI653"/>
      <c r="EJ653"/>
      <c r="EK653"/>
      <c r="EL653"/>
      <c r="EM653"/>
      <c r="EN653"/>
      <c r="EO653"/>
      <c r="EP653"/>
      <c r="EQ653"/>
      <c r="ER653"/>
      <c r="ES653"/>
    </row>
    <row r="654" spans="1:149">
      <c r="A654"/>
      <c r="B654"/>
      <c r="C654"/>
      <c r="D654"/>
      <c r="E654"/>
      <c r="F654"/>
      <c r="G654"/>
      <c r="H654"/>
      <c r="I654"/>
      <c r="J654"/>
      <c r="K654"/>
      <c r="L654"/>
      <c r="M654"/>
      <c r="N654"/>
      <c r="O654"/>
      <c r="P654"/>
      <c r="Q654"/>
      <c r="R654"/>
      <c r="S654"/>
      <c r="T654"/>
      <c r="U654"/>
      <c r="V654"/>
      <c r="W654"/>
      <c r="X654"/>
      <c r="Y654"/>
      <c r="Z654"/>
      <c r="AA654"/>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c r="BZ654"/>
      <c r="CA654"/>
      <c r="CB654"/>
      <c r="CC654"/>
      <c r="CD654"/>
      <c r="CE654"/>
      <c r="CF654"/>
      <c r="CG654"/>
      <c r="CH654"/>
      <c r="CI654"/>
      <c r="CJ654"/>
      <c r="CK654"/>
      <c r="CL654"/>
      <c r="CM654"/>
      <c r="CN654"/>
      <c r="CO654"/>
      <c r="CP654"/>
      <c r="CQ654"/>
      <c r="CR654"/>
      <c r="CS654"/>
      <c r="CT654"/>
      <c r="CU654"/>
      <c r="CV654"/>
      <c r="CW654"/>
      <c r="CX654"/>
      <c r="CY654"/>
      <c r="CZ654"/>
      <c r="DA654"/>
      <c r="DB654"/>
      <c r="DC654"/>
      <c r="DD654"/>
      <c r="DE654"/>
      <c r="DF654"/>
      <c r="DG654"/>
      <c r="DH654"/>
      <c r="DI654"/>
      <c r="DJ654"/>
      <c r="DK654"/>
      <c r="DL654"/>
      <c r="DM654"/>
      <c r="DN654"/>
      <c r="DO654"/>
      <c r="DP654"/>
      <c r="DQ654"/>
      <c r="DR654"/>
      <c r="DS654"/>
      <c r="DT654"/>
      <c r="DU654"/>
      <c r="DV654"/>
      <c r="DW654"/>
      <c r="DX654"/>
      <c r="DY654"/>
      <c r="DZ654"/>
      <c r="EA654"/>
      <c r="EB654"/>
      <c r="EC654"/>
      <c r="ED654"/>
      <c r="EE654"/>
      <c r="EF654"/>
      <c r="EG654"/>
      <c r="EH654"/>
      <c r="EI654"/>
      <c r="EJ654"/>
      <c r="EK654"/>
      <c r="EL654"/>
      <c r="EM654"/>
      <c r="EN654"/>
      <c r="EO654"/>
      <c r="EP654"/>
      <c r="EQ654"/>
      <c r="ER654"/>
      <c r="ES654"/>
    </row>
    <row r="655" spans="1:149">
      <c r="A655"/>
      <c r="B655"/>
      <c r="C655"/>
      <c r="D655"/>
      <c r="E655"/>
      <c r="F655"/>
      <c r="G655"/>
      <c r="H655"/>
      <c r="I655"/>
      <c r="J655"/>
      <c r="K655"/>
      <c r="L655"/>
      <c r="M655"/>
      <c r="N655"/>
      <c r="O655"/>
      <c r="P655"/>
      <c r="Q655"/>
      <c r="R655"/>
      <c r="S655"/>
      <c r="T655"/>
      <c r="U655"/>
      <c r="V655"/>
      <c r="W655"/>
      <c r="X655"/>
      <c r="Y655"/>
      <c r="Z655"/>
      <c r="AA65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c r="BZ655"/>
      <c r="CA655"/>
      <c r="CB655"/>
      <c r="CC655"/>
      <c r="CD655"/>
      <c r="CE655"/>
      <c r="CF655"/>
      <c r="CG655"/>
      <c r="CH655"/>
      <c r="CI655"/>
      <c r="CJ655"/>
      <c r="CK655"/>
      <c r="CL655"/>
      <c r="CM655"/>
      <c r="CN655"/>
      <c r="CO655"/>
      <c r="CP655"/>
      <c r="CQ655"/>
      <c r="CR655"/>
      <c r="CS655"/>
      <c r="CT655"/>
      <c r="CU655"/>
      <c r="CV655"/>
      <c r="CW655"/>
      <c r="CX655"/>
      <c r="CY655"/>
      <c r="CZ655"/>
      <c r="DA655"/>
      <c r="DB655"/>
      <c r="DC655"/>
      <c r="DD655"/>
      <c r="DE655"/>
      <c r="DF655"/>
      <c r="DG655"/>
      <c r="DH655"/>
      <c r="DI655"/>
      <c r="DJ655"/>
      <c r="DK655"/>
      <c r="DL655"/>
      <c r="DM655"/>
      <c r="DN655"/>
      <c r="DO655"/>
      <c r="DP655"/>
      <c r="DQ655"/>
      <c r="DR655"/>
      <c r="DS655"/>
      <c r="DT655"/>
      <c r="DU655"/>
      <c r="DV655"/>
      <c r="DW655"/>
      <c r="DX655"/>
      <c r="DY655"/>
      <c r="DZ655"/>
      <c r="EA655"/>
      <c r="EB655"/>
      <c r="EC655"/>
      <c r="ED655"/>
      <c r="EE655"/>
      <c r="EF655"/>
      <c r="EG655"/>
      <c r="EH655"/>
      <c r="EI655"/>
      <c r="EJ655"/>
      <c r="EK655"/>
      <c r="EL655"/>
      <c r="EM655"/>
      <c r="EN655"/>
      <c r="EO655"/>
      <c r="EP655"/>
      <c r="EQ655"/>
      <c r="ER655"/>
      <c r="ES655"/>
    </row>
    <row r="656" spans="1:149">
      <c r="A656"/>
      <c r="B656"/>
      <c r="C656"/>
      <c r="D656"/>
      <c r="E656"/>
      <c r="F656"/>
      <c r="G656"/>
      <c r="H656"/>
      <c r="I656"/>
      <c r="J656"/>
      <c r="K656"/>
      <c r="L656"/>
      <c r="M656"/>
      <c r="N656"/>
      <c r="O656"/>
      <c r="P656"/>
      <c r="Q656"/>
      <c r="R656"/>
      <c r="S656"/>
      <c r="T656"/>
      <c r="U656"/>
      <c r="V656"/>
      <c r="W656"/>
      <c r="X656"/>
      <c r="Y656"/>
      <c r="Z656"/>
      <c r="AA656"/>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c r="BZ656"/>
      <c r="CA656"/>
      <c r="CB656"/>
      <c r="CC656"/>
      <c r="CD656"/>
      <c r="CE656"/>
      <c r="CF656"/>
      <c r="CG656"/>
      <c r="CH656"/>
      <c r="CI656"/>
      <c r="CJ656"/>
      <c r="CK656"/>
      <c r="CL656"/>
      <c r="CM656"/>
      <c r="CN656"/>
      <c r="CO656"/>
      <c r="CP656"/>
      <c r="CQ656"/>
      <c r="CR656"/>
      <c r="CS656"/>
      <c r="CT656"/>
      <c r="CU656"/>
      <c r="CV656"/>
      <c r="CW656"/>
      <c r="CX656"/>
      <c r="CY656"/>
      <c r="CZ656"/>
      <c r="DA656"/>
      <c r="DB656"/>
      <c r="DC656"/>
      <c r="DD656"/>
      <c r="DE656"/>
      <c r="DF656"/>
      <c r="DG656"/>
      <c r="DH656"/>
      <c r="DI656"/>
      <c r="DJ656"/>
      <c r="DK656"/>
      <c r="DL656"/>
      <c r="DM656"/>
      <c r="DN656"/>
      <c r="DO656"/>
      <c r="DP656"/>
      <c r="DQ656"/>
      <c r="DR656"/>
      <c r="DS656"/>
      <c r="DT656"/>
      <c r="DU656"/>
      <c r="DV656"/>
      <c r="DW656"/>
      <c r="DX656"/>
      <c r="DY656"/>
      <c r="DZ656"/>
      <c r="EA656"/>
      <c r="EB656"/>
      <c r="EC656"/>
      <c r="ED656"/>
      <c r="EE656"/>
      <c r="EF656"/>
      <c r="EG656"/>
      <c r="EH656"/>
      <c r="EI656"/>
      <c r="EJ656"/>
      <c r="EK656"/>
      <c r="EL656"/>
      <c r="EM656"/>
      <c r="EN656"/>
      <c r="EO656"/>
      <c r="EP656"/>
      <c r="EQ656"/>
      <c r="ER656"/>
      <c r="ES656"/>
    </row>
    <row r="657" spans="1:149">
      <c r="A657"/>
      <c r="B657"/>
      <c r="C657"/>
      <c r="D657"/>
      <c r="E657"/>
      <c r="F657"/>
      <c r="G657"/>
      <c r="H657"/>
      <c r="I657"/>
      <c r="J657"/>
      <c r="K657"/>
      <c r="L657"/>
      <c r="M657"/>
      <c r="N657"/>
      <c r="O657"/>
      <c r="P657"/>
      <c r="Q657"/>
      <c r="R657"/>
      <c r="S657"/>
      <c r="T657"/>
      <c r="U657"/>
      <c r="V657"/>
      <c r="W657"/>
      <c r="X657"/>
      <c r="Y657"/>
      <c r="Z657"/>
      <c r="AA657"/>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c r="BZ657"/>
      <c r="CA657"/>
      <c r="CB657"/>
      <c r="CC657"/>
      <c r="CD657"/>
      <c r="CE657"/>
      <c r="CF657"/>
      <c r="CG657"/>
      <c r="CH657"/>
      <c r="CI657"/>
      <c r="CJ657"/>
      <c r="CK657"/>
      <c r="CL657"/>
      <c r="CM657"/>
      <c r="CN657"/>
      <c r="CO657"/>
      <c r="CP657"/>
      <c r="CQ657"/>
      <c r="CR657"/>
      <c r="CS657"/>
      <c r="CT657"/>
      <c r="CU657"/>
      <c r="CV657"/>
      <c r="CW657"/>
      <c r="CX657"/>
      <c r="CY657"/>
      <c r="CZ657"/>
      <c r="DA657"/>
      <c r="DB657"/>
      <c r="DC657"/>
      <c r="DD657"/>
      <c r="DE657"/>
      <c r="DF657"/>
      <c r="DG657"/>
      <c r="DH657"/>
      <c r="DI657"/>
      <c r="DJ657"/>
      <c r="DK657"/>
      <c r="DL657"/>
      <c r="DM657"/>
      <c r="DN657"/>
      <c r="DO657"/>
      <c r="DP657"/>
      <c r="DQ657"/>
      <c r="DR657"/>
      <c r="DS657"/>
      <c r="DT657"/>
      <c r="DU657"/>
      <c r="DV657"/>
      <c r="DW657"/>
      <c r="DX657"/>
      <c r="DY657"/>
      <c r="DZ657"/>
      <c r="EA657"/>
      <c r="EB657"/>
      <c r="EC657"/>
      <c r="ED657"/>
      <c r="EE657"/>
      <c r="EF657"/>
      <c r="EG657"/>
      <c r="EH657"/>
      <c r="EI657"/>
      <c r="EJ657"/>
      <c r="EK657"/>
      <c r="EL657"/>
      <c r="EM657"/>
      <c r="EN657"/>
      <c r="EO657"/>
      <c r="EP657"/>
      <c r="EQ657"/>
      <c r="ER657"/>
      <c r="ES657"/>
    </row>
    <row r="658" spans="1:149">
      <c r="A658"/>
      <c r="B658"/>
      <c r="C658"/>
      <c r="D658"/>
      <c r="E658"/>
      <c r="F658"/>
      <c r="G658"/>
      <c r="H658"/>
      <c r="I658"/>
      <c r="J658"/>
      <c r="K658"/>
      <c r="L658"/>
      <c r="M658"/>
      <c r="N658"/>
      <c r="O658"/>
      <c r="P658"/>
      <c r="Q658"/>
      <c r="R658"/>
      <c r="S658"/>
      <c r="T658"/>
      <c r="U658"/>
      <c r="V658"/>
      <c r="W658"/>
      <c r="X658"/>
      <c r="Y658"/>
      <c r="Z658"/>
      <c r="AA658"/>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c r="BZ658"/>
      <c r="CA658"/>
      <c r="CB658"/>
      <c r="CC658"/>
      <c r="CD658"/>
      <c r="CE658"/>
      <c r="CF658"/>
      <c r="CG658"/>
      <c r="CH658"/>
      <c r="CI658"/>
      <c r="CJ658"/>
      <c r="CK658"/>
      <c r="CL658"/>
      <c r="CM658"/>
      <c r="CN658"/>
      <c r="CO658"/>
      <c r="CP658"/>
      <c r="CQ658"/>
      <c r="CR658"/>
      <c r="CS658"/>
      <c r="CT658"/>
      <c r="CU658"/>
      <c r="CV658"/>
      <c r="CW658"/>
      <c r="CX658"/>
      <c r="CY658"/>
      <c r="CZ658"/>
      <c r="DA658"/>
      <c r="DB658"/>
      <c r="DC658"/>
      <c r="DD658"/>
      <c r="DE658"/>
      <c r="DF658"/>
      <c r="DG658"/>
      <c r="DH658"/>
      <c r="DI658"/>
      <c r="DJ658"/>
      <c r="DK658"/>
      <c r="DL658"/>
      <c r="DM658"/>
      <c r="DN658"/>
      <c r="DO658"/>
      <c r="DP658"/>
      <c r="DQ658"/>
      <c r="DR658"/>
      <c r="DS658"/>
      <c r="DT658"/>
      <c r="DU658"/>
      <c r="DV658"/>
      <c r="DW658"/>
      <c r="DX658"/>
      <c r="DY658"/>
      <c r="DZ658"/>
      <c r="EA658"/>
      <c r="EB658"/>
      <c r="EC658"/>
      <c r="ED658"/>
      <c r="EE658"/>
      <c r="EF658"/>
      <c r="EG658"/>
      <c r="EH658"/>
      <c r="EI658"/>
      <c r="EJ658"/>
      <c r="EK658"/>
      <c r="EL658"/>
      <c r="EM658"/>
      <c r="EN658"/>
      <c r="EO658"/>
      <c r="EP658"/>
      <c r="EQ658"/>
      <c r="ER658"/>
      <c r="ES658"/>
    </row>
    <row r="659" spans="1:149">
      <c r="A659"/>
      <c r="B659"/>
      <c r="C659"/>
      <c r="D659"/>
      <c r="E659"/>
      <c r="F659"/>
      <c r="G659"/>
      <c r="H659"/>
      <c r="I659"/>
      <c r="J659"/>
      <c r="K659"/>
      <c r="L659"/>
      <c r="M659"/>
      <c r="N659"/>
      <c r="O659"/>
      <c r="P659"/>
      <c r="Q659"/>
      <c r="R659"/>
      <c r="S659"/>
      <c r="T659"/>
      <c r="U659"/>
      <c r="V659"/>
      <c r="W659"/>
      <c r="X659"/>
      <c r="Y659"/>
      <c r="Z659"/>
      <c r="AA659"/>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c r="BZ659"/>
      <c r="CA659"/>
      <c r="CB659"/>
      <c r="CC659"/>
      <c r="CD659"/>
      <c r="CE659"/>
      <c r="CF659"/>
      <c r="CG659"/>
      <c r="CH659"/>
      <c r="CI659"/>
      <c r="CJ659"/>
      <c r="CK659"/>
      <c r="CL659"/>
      <c r="CM659"/>
      <c r="CN659"/>
      <c r="CO659"/>
      <c r="CP659"/>
      <c r="CQ659"/>
      <c r="CR659"/>
      <c r="CS659"/>
      <c r="CT659"/>
      <c r="CU659"/>
      <c r="CV659"/>
      <c r="CW659"/>
      <c r="CX659"/>
      <c r="CY659"/>
      <c r="CZ659"/>
      <c r="DA659"/>
      <c r="DB659"/>
      <c r="DC659"/>
      <c r="DD659"/>
      <c r="DE659"/>
      <c r="DF659"/>
      <c r="DG659"/>
      <c r="DH659"/>
      <c r="DI659"/>
      <c r="DJ659"/>
      <c r="DK659"/>
      <c r="DL659"/>
      <c r="DM659"/>
      <c r="DN659"/>
      <c r="DO659"/>
      <c r="DP659"/>
      <c r="DQ659"/>
      <c r="DR659"/>
      <c r="DS659"/>
      <c r="DT659"/>
      <c r="DU659"/>
      <c r="DV659"/>
      <c r="DW659"/>
      <c r="DX659"/>
      <c r="DY659"/>
      <c r="DZ659"/>
      <c r="EA659"/>
      <c r="EB659"/>
      <c r="EC659"/>
      <c r="ED659"/>
      <c r="EE659"/>
      <c r="EF659"/>
      <c r="EG659"/>
      <c r="EH659"/>
      <c r="EI659"/>
      <c r="EJ659"/>
      <c r="EK659"/>
      <c r="EL659"/>
      <c r="EM659"/>
      <c r="EN659"/>
      <c r="EO659"/>
      <c r="EP659"/>
      <c r="EQ659"/>
      <c r="ER659"/>
      <c r="ES659"/>
    </row>
    <row r="660" spans="1:149">
      <c r="A660"/>
      <c r="B660"/>
      <c r="C660"/>
      <c r="D660"/>
      <c r="E660"/>
      <c r="F660"/>
      <c r="G660"/>
      <c r="H660"/>
      <c r="I660"/>
      <c r="J660"/>
      <c r="K660"/>
      <c r="L660"/>
      <c r="M660"/>
      <c r="N660"/>
      <c r="O660"/>
      <c r="P660"/>
      <c r="Q660"/>
      <c r="R660"/>
      <c r="S660"/>
      <c r="T660"/>
      <c r="U660"/>
      <c r="V660"/>
      <c r="W660"/>
      <c r="X660"/>
      <c r="Y660"/>
      <c r="Z660"/>
      <c r="AA660"/>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c r="BZ660"/>
      <c r="CA660"/>
      <c r="CB660"/>
      <c r="CC660"/>
      <c r="CD660"/>
      <c r="CE660"/>
      <c r="CF660"/>
      <c r="CG660"/>
      <c r="CH660"/>
      <c r="CI660"/>
      <c r="CJ660"/>
      <c r="CK660"/>
      <c r="CL660"/>
      <c r="CM660"/>
      <c r="CN660"/>
      <c r="CO660"/>
      <c r="CP660"/>
      <c r="CQ660"/>
      <c r="CR660"/>
      <c r="CS660"/>
      <c r="CT660"/>
      <c r="CU660"/>
      <c r="CV660"/>
      <c r="CW660"/>
      <c r="CX660"/>
      <c r="CY660"/>
      <c r="CZ660"/>
      <c r="DA660"/>
      <c r="DB660"/>
      <c r="DC660"/>
      <c r="DD660"/>
      <c r="DE660"/>
      <c r="DF660"/>
      <c r="DG660"/>
      <c r="DH660"/>
      <c r="DI660"/>
      <c r="DJ660"/>
      <c r="DK660"/>
      <c r="DL660"/>
      <c r="DM660"/>
      <c r="DN660"/>
      <c r="DO660"/>
      <c r="DP660"/>
      <c r="DQ660"/>
      <c r="DR660"/>
      <c r="DS660"/>
      <c r="DT660"/>
      <c r="DU660"/>
      <c r="DV660"/>
      <c r="DW660"/>
      <c r="DX660"/>
      <c r="DY660"/>
      <c r="DZ660"/>
      <c r="EA660"/>
      <c r="EB660"/>
      <c r="EC660"/>
      <c r="ED660"/>
      <c r="EE660"/>
      <c r="EF660"/>
      <c r="EG660"/>
      <c r="EH660"/>
      <c r="EI660"/>
      <c r="EJ660"/>
      <c r="EK660"/>
      <c r="EL660"/>
      <c r="EM660"/>
      <c r="EN660"/>
      <c r="EO660"/>
      <c r="EP660"/>
      <c r="EQ660"/>
      <c r="ER660"/>
      <c r="ES660"/>
    </row>
    <row r="661" spans="1:149">
      <c r="A661"/>
      <c r="B661"/>
      <c r="C661"/>
      <c r="D661"/>
      <c r="E661"/>
      <c r="F661"/>
      <c r="G661"/>
      <c r="H661"/>
      <c r="I661"/>
      <c r="J661"/>
      <c r="K661"/>
      <c r="L661"/>
      <c r="M661"/>
      <c r="N661"/>
      <c r="O661"/>
      <c r="P661"/>
      <c r="Q661"/>
      <c r="R661"/>
      <c r="S661"/>
      <c r="T661"/>
      <c r="U661"/>
      <c r="V661"/>
      <c r="W661"/>
      <c r="X661"/>
      <c r="Y661"/>
      <c r="Z661"/>
      <c r="AA661"/>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c r="BZ661"/>
      <c r="CA661"/>
      <c r="CB661"/>
      <c r="CC661"/>
      <c r="CD661"/>
      <c r="CE661"/>
      <c r="CF661"/>
      <c r="CG661"/>
      <c r="CH661"/>
      <c r="CI661"/>
      <c r="CJ661"/>
      <c r="CK661"/>
      <c r="CL661"/>
      <c r="CM661"/>
      <c r="CN661"/>
      <c r="CO661"/>
      <c r="CP661"/>
      <c r="CQ661"/>
      <c r="CR661"/>
      <c r="CS661"/>
      <c r="CT661"/>
      <c r="CU661"/>
      <c r="CV661"/>
      <c r="CW661"/>
      <c r="CX661"/>
      <c r="CY661"/>
      <c r="CZ661"/>
      <c r="DA661"/>
      <c r="DB661"/>
      <c r="DC661"/>
      <c r="DD661"/>
      <c r="DE661"/>
      <c r="DF661"/>
      <c r="DG661"/>
      <c r="DH661"/>
      <c r="DI661"/>
      <c r="DJ661"/>
      <c r="DK661"/>
      <c r="DL661"/>
      <c r="DM661"/>
      <c r="DN661"/>
      <c r="DO661"/>
      <c r="DP661"/>
      <c r="DQ661"/>
      <c r="DR661"/>
      <c r="DS661"/>
      <c r="DT661"/>
      <c r="DU661"/>
      <c r="DV661"/>
      <c r="DW661"/>
      <c r="DX661"/>
      <c r="DY661"/>
      <c r="DZ661"/>
      <c r="EA661"/>
      <c r="EB661"/>
      <c r="EC661"/>
      <c r="ED661"/>
      <c r="EE661"/>
      <c r="EF661"/>
      <c r="EG661"/>
      <c r="EH661"/>
      <c r="EI661"/>
      <c r="EJ661"/>
      <c r="EK661"/>
      <c r="EL661"/>
      <c r="EM661"/>
      <c r="EN661"/>
      <c r="EO661"/>
      <c r="EP661"/>
      <c r="EQ661"/>
      <c r="ER661"/>
      <c r="ES661"/>
    </row>
    <row r="662" spans="1:149">
      <c r="A662"/>
      <c r="B662"/>
      <c r="C662"/>
      <c r="D662"/>
      <c r="E662"/>
      <c r="F662"/>
      <c r="G662"/>
      <c r="H662"/>
      <c r="I662"/>
      <c r="J662"/>
      <c r="K662"/>
      <c r="L662"/>
      <c r="M662"/>
      <c r="N662"/>
      <c r="O662"/>
      <c r="P662"/>
      <c r="Q662"/>
      <c r="R662"/>
      <c r="S662"/>
      <c r="T662"/>
      <c r="U662"/>
      <c r="V662"/>
      <c r="W662"/>
      <c r="X662"/>
      <c r="Y662"/>
      <c r="Z662"/>
      <c r="AA662"/>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c r="BZ662"/>
      <c r="CA662"/>
      <c r="CB662"/>
      <c r="CC662"/>
      <c r="CD662"/>
      <c r="CE662"/>
      <c r="CF662"/>
      <c r="CG662"/>
      <c r="CH662"/>
      <c r="CI662"/>
      <c r="CJ662"/>
      <c r="CK662"/>
      <c r="CL662"/>
      <c r="CM662"/>
      <c r="CN662"/>
      <c r="CO662"/>
      <c r="CP662"/>
      <c r="CQ662"/>
      <c r="CR662"/>
      <c r="CS662"/>
      <c r="CT662"/>
      <c r="CU662"/>
      <c r="CV662"/>
      <c r="CW662"/>
      <c r="CX662"/>
      <c r="CY662"/>
      <c r="CZ662"/>
      <c r="DA662"/>
      <c r="DB662"/>
      <c r="DC662"/>
      <c r="DD662"/>
      <c r="DE662"/>
      <c r="DF662"/>
      <c r="DG662"/>
      <c r="DH662"/>
      <c r="DI662"/>
      <c r="DJ662"/>
      <c r="DK662"/>
      <c r="DL662"/>
      <c r="DM662"/>
      <c r="DN662"/>
      <c r="DO662"/>
      <c r="DP662"/>
      <c r="DQ662"/>
      <c r="DR662"/>
      <c r="DS662"/>
      <c r="DT662"/>
      <c r="DU662"/>
      <c r="DV662"/>
      <c r="DW662"/>
      <c r="DX662"/>
      <c r="DY662"/>
      <c r="DZ662"/>
      <c r="EA662"/>
      <c r="EB662"/>
      <c r="EC662"/>
      <c r="ED662"/>
      <c r="EE662"/>
      <c r="EF662"/>
      <c r="EG662"/>
      <c r="EH662"/>
      <c r="EI662"/>
      <c r="EJ662"/>
      <c r="EK662"/>
      <c r="EL662"/>
      <c r="EM662"/>
      <c r="EN662"/>
      <c r="EO662"/>
      <c r="EP662"/>
      <c r="EQ662"/>
      <c r="ER662"/>
      <c r="ES662"/>
    </row>
    <row r="663" spans="1:149">
      <c r="A663"/>
      <c r="B663"/>
      <c r="C663"/>
      <c r="D663"/>
      <c r="E663"/>
      <c r="F663"/>
      <c r="G663"/>
      <c r="H663"/>
      <c r="I663"/>
      <c r="J663"/>
      <c r="K663"/>
      <c r="L663"/>
      <c r="M663"/>
      <c r="N663"/>
      <c r="O663"/>
      <c r="P663"/>
      <c r="Q663"/>
      <c r="R663"/>
      <c r="S663"/>
      <c r="T663"/>
      <c r="U663"/>
      <c r="V663"/>
      <c r="W663"/>
      <c r="X663"/>
      <c r="Y663"/>
      <c r="Z663"/>
      <c r="AA663"/>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c r="BZ663"/>
      <c r="CA663"/>
      <c r="CB663"/>
      <c r="CC663"/>
      <c r="CD663"/>
      <c r="CE663"/>
      <c r="CF663"/>
      <c r="CG663"/>
      <c r="CH663"/>
      <c r="CI663"/>
      <c r="CJ663"/>
      <c r="CK663"/>
      <c r="CL663"/>
      <c r="CM663"/>
      <c r="CN663"/>
      <c r="CO663"/>
      <c r="CP663"/>
      <c r="CQ663"/>
      <c r="CR663"/>
      <c r="CS663"/>
      <c r="CT663"/>
      <c r="CU663"/>
      <c r="CV663"/>
      <c r="CW663"/>
      <c r="CX663"/>
      <c r="CY663"/>
      <c r="CZ663"/>
      <c r="DA663"/>
      <c r="DB663"/>
      <c r="DC663"/>
      <c r="DD663"/>
      <c r="DE663"/>
      <c r="DF663"/>
      <c r="DG663"/>
      <c r="DH663"/>
      <c r="DI663"/>
      <c r="DJ663"/>
      <c r="DK663"/>
      <c r="DL663"/>
      <c r="DM663"/>
      <c r="DN663"/>
      <c r="DO663"/>
      <c r="DP663"/>
      <c r="DQ663"/>
      <c r="DR663"/>
      <c r="DS663"/>
      <c r="DT663"/>
      <c r="DU663"/>
      <c r="DV663"/>
      <c r="DW663"/>
      <c r="DX663"/>
      <c r="DY663"/>
      <c r="DZ663"/>
      <c r="EA663"/>
      <c r="EB663"/>
      <c r="EC663"/>
      <c r="ED663"/>
      <c r="EE663"/>
      <c r="EF663"/>
      <c r="EG663"/>
      <c r="EH663"/>
      <c r="EI663"/>
      <c r="EJ663"/>
      <c r="EK663"/>
      <c r="EL663"/>
      <c r="EM663"/>
      <c r="EN663"/>
      <c r="EO663"/>
      <c r="EP663"/>
      <c r="EQ663"/>
      <c r="ER663"/>
      <c r="ES663"/>
    </row>
    <row r="664" spans="1:149">
      <c r="A664"/>
      <c r="B664"/>
      <c r="C664"/>
      <c r="D664"/>
      <c r="E664"/>
      <c r="F664"/>
      <c r="G664"/>
      <c r="H664"/>
      <c r="I664"/>
      <c r="J664"/>
      <c r="K664"/>
      <c r="L664"/>
      <c r="M664"/>
      <c r="N664"/>
      <c r="O664"/>
      <c r="P664"/>
      <c r="Q664"/>
      <c r="R664"/>
      <c r="S664"/>
      <c r="T664"/>
      <c r="U664"/>
      <c r="V664"/>
      <c r="W664"/>
      <c r="X664"/>
      <c r="Y664"/>
      <c r="Z664"/>
      <c r="AA664"/>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c r="BZ664"/>
      <c r="CA664"/>
      <c r="CB664"/>
      <c r="CC664"/>
      <c r="CD664"/>
      <c r="CE664"/>
      <c r="CF664"/>
      <c r="CG664"/>
      <c r="CH664"/>
      <c r="CI664"/>
      <c r="CJ664"/>
      <c r="CK664"/>
      <c r="CL664"/>
      <c r="CM664"/>
      <c r="CN664"/>
      <c r="CO664"/>
      <c r="CP664"/>
      <c r="CQ664"/>
      <c r="CR664"/>
      <c r="CS664"/>
      <c r="CT664"/>
      <c r="CU664"/>
      <c r="CV664"/>
      <c r="CW664"/>
      <c r="CX664"/>
      <c r="CY664"/>
      <c r="CZ664"/>
      <c r="DA664"/>
      <c r="DB664"/>
      <c r="DC664"/>
      <c r="DD664"/>
      <c r="DE664"/>
      <c r="DF664"/>
      <c r="DG664"/>
      <c r="DH664"/>
      <c r="DI664"/>
      <c r="DJ664"/>
      <c r="DK664"/>
      <c r="DL664"/>
      <c r="DM664"/>
      <c r="DN664"/>
      <c r="DO664"/>
      <c r="DP664"/>
      <c r="DQ664"/>
      <c r="DR664"/>
      <c r="DS664"/>
      <c r="DT664"/>
      <c r="DU664"/>
      <c r="DV664"/>
      <c r="DW664"/>
      <c r="DX664"/>
      <c r="DY664"/>
      <c r="DZ664"/>
      <c r="EA664"/>
      <c r="EB664"/>
      <c r="EC664"/>
      <c r="ED664"/>
      <c r="EE664"/>
      <c r="EF664"/>
      <c r="EG664"/>
      <c r="EH664"/>
      <c r="EI664"/>
      <c r="EJ664"/>
      <c r="EK664"/>
      <c r="EL664"/>
      <c r="EM664"/>
      <c r="EN664"/>
      <c r="EO664"/>
      <c r="EP664"/>
      <c r="EQ664"/>
      <c r="ER664"/>
      <c r="ES664"/>
    </row>
    <row r="665" spans="1:149">
      <c r="A665"/>
      <c r="B665"/>
      <c r="C665"/>
      <c r="D665"/>
      <c r="E665"/>
      <c r="F665"/>
      <c r="G665"/>
      <c r="H665"/>
      <c r="I665"/>
      <c r="J665"/>
      <c r="K665"/>
      <c r="L665"/>
      <c r="M665"/>
      <c r="N665"/>
      <c r="O665"/>
      <c r="P665"/>
      <c r="Q665"/>
      <c r="R665"/>
      <c r="S665"/>
      <c r="T665"/>
      <c r="U665"/>
      <c r="V665"/>
      <c r="W665"/>
      <c r="X665"/>
      <c r="Y665"/>
      <c r="Z665"/>
      <c r="AA66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c r="BZ665"/>
      <c r="CA665"/>
      <c r="CB665"/>
      <c r="CC665"/>
      <c r="CD665"/>
      <c r="CE665"/>
      <c r="CF665"/>
      <c r="CG665"/>
      <c r="CH665"/>
      <c r="CI665"/>
      <c r="CJ665"/>
      <c r="CK665"/>
      <c r="CL665"/>
      <c r="CM665"/>
      <c r="CN665"/>
      <c r="CO665"/>
      <c r="CP665"/>
      <c r="CQ665"/>
      <c r="CR665"/>
      <c r="CS665"/>
      <c r="CT665"/>
      <c r="CU665"/>
      <c r="CV665"/>
      <c r="CW665"/>
      <c r="CX665"/>
      <c r="CY665"/>
      <c r="CZ665"/>
      <c r="DA665"/>
      <c r="DB665"/>
      <c r="DC665"/>
      <c r="DD665"/>
      <c r="DE665"/>
      <c r="DF665"/>
      <c r="DG665"/>
      <c r="DH665"/>
      <c r="DI665"/>
      <c r="DJ665"/>
      <c r="DK665"/>
      <c r="DL665"/>
      <c r="DM665"/>
      <c r="DN665"/>
      <c r="DO665"/>
      <c r="DP665"/>
      <c r="DQ665"/>
      <c r="DR665"/>
      <c r="DS665"/>
      <c r="DT665"/>
      <c r="DU665"/>
      <c r="DV665"/>
      <c r="DW665"/>
      <c r="DX665"/>
      <c r="DY665"/>
      <c r="DZ665"/>
      <c r="EA665"/>
      <c r="EB665"/>
      <c r="EC665"/>
      <c r="ED665"/>
      <c r="EE665"/>
      <c r="EF665"/>
      <c r="EG665"/>
      <c r="EH665"/>
      <c r="EI665"/>
      <c r="EJ665"/>
      <c r="EK665"/>
      <c r="EL665"/>
      <c r="EM665"/>
      <c r="EN665"/>
      <c r="EO665"/>
      <c r="EP665"/>
      <c r="EQ665"/>
      <c r="ER665"/>
      <c r="ES665"/>
    </row>
    <row r="666" spans="1:149">
      <c r="A666"/>
      <c r="B666"/>
      <c r="C666"/>
      <c r="D666"/>
      <c r="E666"/>
      <c r="F666"/>
      <c r="G666"/>
      <c r="H666"/>
      <c r="I666"/>
      <c r="J666"/>
      <c r="K666"/>
      <c r="L666"/>
      <c r="M666"/>
      <c r="N666"/>
      <c r="O666"/>
      <c r="P666"/>
      <c r="Q666"/>
      <c r="R666"/>
      <c r="S666"/>
      <c r="T666"/>
      <c r="U666"/>
      <c r="V666"/>
      <c r="W666"/>
      <c r="X666"/>
      <c r="Y666"/>
      <c r="Z666"/>
      <c r="AA666"/>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c r="BZ666"/>
      <c r="CA666"/>
      <c r="CB666"/>
      <c r="CC666"/>
      <c r="CD666"/>
      <c r="CE666"/>
      <c r="CF666"/>
      <c r="CG666"/>
      <c r="CH666"/>
      <c r="CI666"/>
      <c r="CJ666"/>
      <c r="CK666"/>
      <c r="CL666"/>
      <c r="CM666"/>
      <c r="CN666"/>
      <c r="CO666"/>
      <c r="CP666"/>
      <c r="CQ666"/>
      <c r="CR666"/>
      <c r="CS666"/>
      <c r="CT666"/>
      <c r="CU666"/>
      <c r="CV666"/>
      <c r="CW666"/>
      <c r="CX666"/>
      <c r="CY666"/>
      <c r="CZ666"/>
      <c r="DA666"/>
      <c r="DB666"/>
      <c r="DC666"/>
      <c r="DD666"/>
      <c r="DE666"/>
      <c r="DF666"/>
      <c r="DG666"/>
      <c r="DH666"/>
      <c r="DI666"/>
      <c r="DJ666"/>
      <c r="DK666"/>
      <c r="DL666"/>
      <c r="DM666"/>
      <c r="DN666"/>
      <c r="DO666"/>
      <c r="DP666"/>
      <c r="DQ666"/>
      <c r="DR666"/>
      <c r="DS666"/>
      <c r="DT666"/>
      <c r="DU666"/>
      <c r="DV666"/>
      <c r="DW666"/>
      <c r="DX666"/>
      <c r="DY666"/>
      <c r="DZ666"/>
      <c r="EA666"/>
      <c r="EB666"/>
      <c r="EC666"/>
      <c r="ED666"/>
      <c r="EE666"/>
      <c r="EF666"/>
      <c r="EG666"/>
      <c r="EH666"/>
      <c r="EI666"/>
      <c r="EJ666"/>
      <c r="EK666"/>
      <c r="EL666"/>
      <c r="EM666"/>
      <c r="EN666"/>
      <c r="EO666"/>
      <c r="EP666"/>
      <c r="EQ666"/>
      <c r="ER666"/>
      <c r="ES666"/>
    </row>
    <row r="667" spans="1:149">
      <c r="A667"/>
      <c r="B667"/>
      <c r="C667"/>
      <c r="D667"/>
      <c r="E667"/>
      <c r="F667"/>
      <c r="G667"/>
      <c r="H667"/>
      <c r="I667"/>
      <c r="J667"/>
      <c r="K667"/>
      <c r="L667"/>
      <c r="M667"/>
      <c r="N667"/>
      <c r="O667"/>
      <c r="P667"/>
      <c r="Q667"/>
      <c r="R667"/>
      <c r="S667"/>
      <c r="T667"/>
      <c r="U667"/>
      <c r="V667"/>
      <c r="W667"/>
      <c r="X667"/>
      <c r="Y667"/>
      <c r="Z667"/>
      <c r="AA667"/>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c r="BZ667"/>
      <c r="CA667"/>
      <c r="CB667"/>
      <c r="CC667"/>
      <c r="CD667"/>
      <c r="CE667"/>
      <c r="CF667"/>
      <c r="CG667"/>
      <c r="CH667"/>
      <c r="CI667"/>
      <c r="CJ667"/>
      <c r="CK667"/>
      <c r="CL667"/>
      <c r="CM667"/>
      <c r="CN667"/>
      <c r="CO667"/>
      <c r="CP667"/>
      <c r="CQ667"/>
      <c r="CR667"/>
      <c r="CS667"/>
      <c r="CT667"/>
      <c r="CU667"/>
      <c r="CV667"/>
      <c r="CW667"/>
      <c r="CX667"/>
      <c r="CY667"/>
      <c r="CZ667"/>
      <c r="DA667"/>
      <c r="DB667"/>
      <c r="DC667"/>
      <c r="DD667"/>
      <c r="DE667"/>
      <c r="DF667"/>
      <c r="DG667"/>
      <c r="DH667"/>
      <c r="DI667"/>
      <c r="DJ667"/>
      <c r="DK667"/>
      <c r="DL667"/>
      <c r="DM667"/>
      <c r="DN667"/>
      <c r="DO667"/>
      <c r="DP667"/>
      <c r="DQ667"/>
      <c r="DR667"/>
      <c r="DS667"/>
      <c r="DT667"/>
      <c r="DU667"/>
      <c r="DV667"/>
      <c r="DW667"/>
      <c r="DX667"/>
      <c r="DY667"/>
      <c r="DZ667"/>
      <c r="EA667"/>
      <c r="EB667"/>
      <c r="EC667"/>
      <c r="ED667"/>
      <c r="EE667"/>
      <c r="EF667"/>
      <c r="EG667"/>
      <c r="EH667"/>
      <c r="EI667"/>
      <c r="EJ667"/>
      <c r="EK667"/>
      <c r="EL667"/>
      <c r="EM667"/>
      <c r="EN667"/>
      <c r="EO667"/>
      <c r="EP667"/>
      <c r="EQ667"/>
      <c r="ER667"/>
      <c r="ES667"/>
    </row>
    <row r="668" spans="1:149">
      <c r="A668"/>
      <c r="B668"/>
      <c r="C668"/>
      <c r="D668"/>
      <c r="E668"/>
      <c r="F668"/>
      <c r="G668"/>
      <c r="H668"/>
      <c r="I668"/>
      <c r="J668"/>
      <c r="K668"/>
      <c r="L668"/>
      <c r="M668"/>
      <c r="N668"/>
      <c r="O668"/>
      <c r="P668"/>
      <c r="Q668"/>
      <c r="R668"/>
      <c r="S668"/>
      <c r="T668"/>
      <c r="U668"/>
      <c r="V668"/>
      <c r="W668"/>
      <c r="X668"/>
      <c r="Y668"/>
      <c r="Z668"/>
      <c r="AA668"/>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c r="BZ668"/>
      <c r="CA668"/>
      <c r="CB668"/>
      <c r="CC668"/>
      <c r="CD668"/>
      <c r="CE668"/>
      <c r="CF668"/>
      <c r="CG668"/>
      <c r="CH668"/>
      <c r="CI668"/>
      <c r="CJ668"/>
      <c r="CK668"/>
      <c r="CL668"/>
      <c r="CM668"/>
      <c r="CN668"/>
      <c r="CO668"/>
      <c r="CP668"/>
      <c r="CQ668"/>
      <c r="CR668"/>
      <c r="CS668"/>
      <c r="CT668"/>
      <c r="CU668"/>
      <c r="CV668"/>
      <c r="CW668"/>
      <c r="CX668"/>
      <c r="CY668"/>
      <c r="CZ668"/>
      <c r="DA668"/>
      <c r="DB668"/>
      <c r="DC668"/>
      <c r="DD668"/>
      <c r="DE668"/>
      <c r="DF668"/>
      <c r="DG668"/>
      <c r="DH668"/>
      <c r="DI668"/>
      <c r="DJ668"/>
      <c r="DK668"/>
      <c r="DL668"/>
      <c r="DM668"/>
      <c r="DN668"/>
      <c r="DO668"/>
      <c r="DP668"/>
      <c r="DQ668"/>
      <c r="DR668"/>
      <c r="DS668"/>
      <c r="DT668"/>
      <c r="DU668"/>
      <c r="DV668"/>
      <c r="DW668"/>
      <c r="DX668"/>
      <c r="DY668"/>
      <c r="DZ668"/>
      <c r="EA668"/>
      <c r="EB668"/>
      <c r="EC668"/>
      <c r="ED668"/>
      <c r="EE668"/>
      <c r="EF668"/>
      <c r="EG668"/>
      <c r="EH668"/>
      <c r="EI668"/>
      <c r="EJ668"/>
      <c r="EK668"/>
      <c r="EL668"/>
      <c r="EM668"/>
      <c r="EN668"/>
      <c r="EO668"/>
      <c r="EP668"/>
      <c r="EQ668"/>
      <c r="ER668"/>
      <c r="ES668"/>
    </row>
    <row r="669" spans="1:149">
      <c r="A669"/>
      <c r="B669"/>
      <c r="C669"/>
      <c r="D669"/>
      <c r="E669"/>
      <c r="F669"/>
      <c r="G669"/>
      <c r="H669"/>
      <c r="I669"/>
      <c r="J669"/>
      <c r="K669"/>
      <c r="L669"/>
      <c r="M669"/>
      <c r="N669"/>
      <c r="O669"/>
      <c r="P669"/>
      <c r="Q669"/>
      <c r="R669"/>
      <c r="S669"/>
      <c r="T669"/>
      <c r="U669"/>
      <c r="V669"/>
      <c r="W669"/>
      <c r="X669"/>
      <c r="Y669"/>
      <c r="Z669"/>
      <c r="AA669"/>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c r="BZ669"/>
      <c r="CA669"/>
      <c r="CB669"/>
      <c r="CC669"/>
      <c r="CD669"/>
      <c r="CE669"/>
      <c r="CF669"/>
      <c r="CG669"/>
      <c r="CH669"/>
      <c r="CI669"/>
      <c r="CJ669"/>
      <c r="CK669"/>
      <c r="CL669"/>
      <c r="CM669"/>
      <c r="CN669"/>
      <c r="CO669"/>
      <c r="CP669"/>
      <c r="CQ669"/>
      <c r="CR669"/>
      <c r="CS669"/>
      <c r="CT669"/>
      <c r="CU669"/>
      <c r="CV669"/>
      <c r="CW669"/>
      <c r="CX669"/>
      <c r="CY669"/>
      <c r="CZ669"/>
      <c r="DA669"/>
      <c r="DB669"/>
      <c r="DC669"/>
      <c r="DD669"/>
      <c r="DE669"/>
      <c r="DF669"/>
      <c r="DG669"/>
      <c r="DH669"/>
      <c r="DI669"/>
      <c r="DJ669"/>
      <c r="DK669"/>
      <c r="DL669"/>
      <c r="DM669"/>
      <c r="DN669"/>
      <c r="DO669"/>
      <c r="DP669"/>
      <c r="DQ669"/>
      <c r="DR669"/>
      <c r="DS669"/>
      <c r="DT669"/>
      <c r="DU669"/>
      <c r="DV669"/>
      <c r="DW669"/>
      <c r="DX669"/>
      <c r="DY669"/>
      <c r="DZ669"/>
      <c r="EA669"/>
      <c r="EB669"/>
      <c r="EC669"/>
      <c r="ED669"/>
      <c r="EE669"/>
      <c r="EF669"/>
      <c r="EG669"/>
      <c r="EH669"/>
      <c r="EI669"/>
      <c r="EJ669"/>
      <c r="EK669"/>
      <c r="EL669"/>
      <c r="EM669"/>
      <c r="EN669"/>
      <c r="EO669"/>
      <c r="EP669"/>
      <c r="EQ669"/>
      <c r="ER669"/>
      <c r="ES669"/>
    </row>
    <row r="670" spans="1:149">
      <c r="A670"/>
      <c r="B670"/>
      <c r="C670"/>
      <c r="D670"/>
      <c r="E670"/>
      <c r="F670"/>
      <c r="G670"/>
      <c r="H670"/>
      <c r="I670"/>
      <c r="J670"/>
      <c r="K670"/>
      <c r="L670"/>
      <c r="M670"/>
      <c r="N670"/>
      <c r="O670"/>
      <c r="P670"/>
      <c r="Q670"/>
      <c r="R670"/>
      <c r="S670"/>
      <c r="T670"/>
      <c r="U670"/>
      <c r="V670"/>
      <c r="W670"/>
      <c r="X670"/>
      <c r="Y670"/>
      <c r="Z670"/>
      <c r="AA670"/>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c r="BZ670"/>
      <c r="CA670"/>
      <c r="CB670"/>
      <c r="CC670"/>
      <c r="CD670"/>
      <c r="CE670"/>
      <c r="CF670"/>
      <c r="CG670"/>
      <c r="CH670"/>
      <c r="CI670"/>
      <c r="CJ670"/>
      <c r="CK670"/>
      <c r="CL670"/>
      <c r="CM670"/>
      <c r="CN670"/>
      <c r="CO670"/>
      <c r="CP670"/>
      <c r="CQ670"/>
      <c r="CR670"/>
      <c r="CS670"/>
      <c r="CT670"/>
      <c r="CU670"/>
      <c r="CV670"/>
      <c r="CW670"/>
      <c r="CX670"/>
      <c r="CY670"/>
      <c r="CZ670"/>
      <c r="DA670"/>
      <c r="DB670"/>
      <c r="DC670"/>
      <c r="DD670"/>
      <c r="DE670"/>
      <c r="DF670"/>
      <c r="DG670"/>
      <c r="DH670"/>
      <c r="DI670"/>
      <c r="DJ670"/>
      <c r="DK670"/>
      <c r="DL670"/>
      <c r="DM670"/>
      <c r="DN670"/>
      <c r="DO670"/>
      <c r="DP670"/>
      <c r="DQ670"/>
      <c r="DR670"/>
      <c r="DS670"/>
      <c r="DT670"/>
      <c r="DU670"/>
      <c r="DV670"/>
      <c r="DW670"/>
      <c r="DX670"/>
      <c r="DY670"/>
      <c r="DZ670"/>
      <c r="EA670"/>
      <c r="EB670"/>
      <c r="EC670"/>
      <c r="ED670"/>
      <c r="EE670"/>
      <c r="EF670"/>
      <c r="EG670"/>
      <c r="EH670"/>
      <c r="EI670"/>
      <c r="EJ670"/>
      <c r="EK670"/>
      <c r="EL670"/>
      <c r="EM670"/>
      <c r="EN670"/>
      <c r="EO670"/>
      <c r="EP670"/>
      <c r="EQ670"/>
      <c r="ER670"/>
      <c r="ES670"/>
    </row>
    <row r="671" spans="1:149">
      <c r="A671"/>
      <c r="B671"/>
      <c r="C671"/>
      <c r="D671"/>
      <c r="E671"/>
      <c r="F671"/>
      <c r="G671"/>
      <c r="H671"/>
      <c r="I671"/>
      <c r="J671"/>
      <c r="K671"/>
      <c r="L671"/>
      <c r="M671"/>
      <c r="N671"/>
      <c r="O671"/>
      <c r="P671"/>
      <c r="Q671"/>
      <c r="R671"/>
      <c r="S671"/>
      <c r="T671"/>
      <c r="U671"/>
      <c r="V671"/>
      <c r="W671"/>
      <c r="X671"/>
      <c r="Y671"/>
      <c r="Z671"/>
      <c r="AA671"/>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c r="BZ671"/>
      <c r="CA671"/>
      <c r="CB671"/>
      <c r="CC671"/>
      <c r="CD671"/>
      <c r="CE671"/>
      <c r="CF671"/>
      <c r="CG671"/>
      <c r="CH671"/>
      <c r="CI671"/>
      <c r="CJ671"/>
      <c r="CK671"/>
      <c r="CL671"/>
      <c r="CM671"/>
      <c r="CN671"/>
      <c r="CO671"/>
      <c r="CP671"/>
      <c r="CQ671"/>
      <c r="CR671"/>
      <c r="CS671"/>
      <c r="CT671"/>
      <c r="CU671"/>
      <c r="CV671"/>
      <c r="CW671"/>
      <c r="CX671"/>
      <c r="CY671"/>
      <c r="CZ671"/>
      <c r="DA671"/>
      <c r="DB671"/>
      <c r="DC671"/>
      <c r="DD671"/>
      <c r="DE671"/>
      <c r="DF671"/>
      <c r="DG671"/>
      <c r="DH671"/>
      <c r="DI671"/>
      <c r="DJ671"/>
      <c r="DK671"/>
      <c r="DL671"/>
      <c r="DM671"/>
      <c r="DN671"/>
      <c r="DO671"/>
      <c r="DP671"/>
      <c r="DQ671"/>
      <c r="DR671"/>
      <c r="DS671"/>
      <c r="DT671"/>
      <c r="DU671"/>
      <c r="DV671"/>
      <c r="DW671"/>
      <c r="DX671"/>
      <c r="DY671"/>
      <c r="DZ671"/>
      <c r="EA671"/>
      <c r="EB671"/>
      <c r="EC671"/>
      <c r="ED671"/>
      <c r="EE671"/>
      <c r="EF671"/>
      <c r="EG671"/>
      <c r="EH671"/>
      <c r="EI671"/>
      <c r="EJ671"/>
      <c r="EK671"/>
      <c r="EL671"/>
      <c r="EM671"/>
      <c r="EN671"/>
      <c r="EO671"/>
      <c r="EP671"/>
      <c r="EQ671"/>
      <c r="ER671"/>
      <c r="ES671"/>
    </row>
    <row r="672" spans="1:149">
      <c r="A672"/>
      <c r="B672"/>
      <c r="C672"/>
      <c r="D672"/>
      <c r="E672"/>
      <c r="F672"/>
      <c r="G672"/>
      <c r="H672"/>
      <c r="I672"/>
      <c r="J672"/>
      <c r="K672"/>
      <c r="L672"/>
      <c r="M672"/>
      <c r="N672"/>
      <c r="O672"/>
      <c r="P672"/>
      <c r="Q672"/>
      <c r="R672"/>
      <c r="S672"/>
      <c r="T672"/>
      <c r="U672"/>
      <c r="V672"/>
      <c r="W672"/>
      <c r="X672"/>
      <c r="Y672"/>
      <c r="Z672"/>
      <c r="AA672"/>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c r="BZ672"/>
      <c r="CA672"/>
      <c r="CB672"/>
      <c r="CC672"/>
      <c r="CD672"/>
      <c r="CE672"/>
      <c r="CF672"/>
      <c r="CG672"/>
      <c r="CH672"/>
      <c r="CI672"/>
      <c r="CJ672"/>
      <c r="CK672"/>
      <c r="CL672"/>
      <c r="CM672"/>
      <c r="CN672"/>
      <c r="CO672"/>
      <c r="CP672"/>
      <c r="CQ672"/>
      <c r="CR672"/>
      <c r="CS672"/>
      <c r="CT672"/>
      <c r="CU672"/>
      <c r="CV672"/>
      <c r="CW672"/>
      <c r="CX672"/>
      <c r="CY672"/>
      <c r="CZ672"/>
      <c r="DA672"/>
      <c r="DB672"/>
      <c r="DC672"/>
      <c r="DD672"/>
      <c r="DE672"/>
      <c r="DF672"/>
      <c r="DG672"/>
      <c r="DH672"/>
      <c r="DI672"/>
      <c r="DJ672"/>
      <c r="DK672"/>
      <c r="DL672"/>
      <c r="DM672"/>
      <c r="DN672"/>
      <c r="DO672"/>
      <c r="DP672"/>
      <c r="DQ672"/>
      <c r="DR672"/>
      <c r="DS672"/>
      <c r="DT672"/>
      <c r="DU672"/>
      <c r="DV672"/>
      <c r="DW672"/>
      <c r="DX672"/>
      <c r="DY672"/>
      <c r="DZ672"/>
      <c r="EA672"/>
      <c r="EB672"/>
      <c r="EC672"/>
      <c r="ED672"/>
      <c r="EE672"/>
      <c r="EF672"/>
      <c r="EG672"/>
      <c r="EH672"/>
      <c r="EI672"/>
      <c r="EJ672"/>
      <c r="EK672"/>
      <c r="EL672"/>
      <c r="EM672"/>
      <c r="EN672"/>
      <c r="EO672"/>
      <c r="EP672"/>
      <c r="EQ672"/>
      <c r="ER672"/>
      <c r="ES672"/>
    </row>
    <row r="673" spans="1:149">
      <c r="A673"/>
      <c r="B673"/>
      <c r="C673"/>
      <c r="D673"/>
      <c r="E673"/>
      <c r="F673"/>
      <c r="G673"/>
      <c r="H673"/>
      <c r="I673"/>
      <c r="J673"/>
      <c r="K673"/>
      <c r="L673"/>
      <c r="M673"/>
      <c r="N673"/>
      <c r="O673"/>
      <c r="P673"/>
      <c r="Q673"/>
      <c r="R673"/>
      <c r="S673"/>
      <c r="T673"/>
      <c r="U673"/>
      <c r="V673"/>
      <c r="W673"/>
      <c r="X673"/>
      <c r="Y673"/>
      <c r="Z673"/>
      <c r="AA673"/>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c r="BZ673"/>
      <c r="CA673"/>
      <c r="CB673"/>
      <c r="CC673"/>
      <c r="CD673"/>
      <c r="CE673"/>
      <c r="CF673"/>
      <c r="CG673"/>
      <c r="CH673"/>
      <c r="CI673"/>
      <c r="CJ673"/>
      <c r="CK673"/>
      <c r="CL673"/>
      <c r="CM673"/>
      <c r="CN673"/>
      <c r="CO673"/>
      <c r="CP673"/>
      <c r="CQ673"/>
      <c r="CR673"/>
      <c r="CS673"/>
      <c r="CT673"/>
      <c r="CU673"/>
      <c r="CV673"/>
      <c r="CW673"/>
      <c r="CX673"/>
      <c r="CY673"/>
      <c r="CZ673"/>
      <c r="DA673"/>
      <c r="DB673"/>
      <c r="DC673"/>
      <c r="DD673"/>
      <c r="DE673"/>
      <c r="DF673"/>
      <c r="DG673"/>
      <c r="DH673"/>
      <c r="DI673"/>
      <c r="DJ673"/>
      <c r="DK673"/>
      <c r="DL673"/>
      <c r="DM673"/>
      <c r="DN673"/>
      <c r="DO673"/>
      <c r="DP673"/>
      <c r="DQ673"/>
      <c r="DR673"/>
      <c r="DS673"/>
      <c r="DT673"/>
      <c r="DU673"/>
      <c r="DV673"/>
      <c r="DW673"/>
      <c r="DX673"/>
      <c r="DY673"/>
      <c r="DZ673"/>
      <c r="EA673"/>
      <c r="EB673"/>
      <c r="EC673"/>
      <c r="ED673"/>
      <c r="EE673"/>
      <c r="EF673"/>
      <c r="EG673"/>
      <c r="EH673"/>
      <c r="EI673"/>
      <c r="EJ673"/>
      <c r="EK673"/>
      <c r="EL673"/>
      <c r="EM673"/>
      <c r="EN673"/>
      <c r="EO673"/>
      <c r="EP673"/>
      <c r="EQ673"/>
      <c r="ER673"/>
      <c r="ES673"/>
    </row>
    <row r="674" spans="1:149">
      <c r="A674"/>
      <c r="B674"/>
      <c r="C674"/>
      <c r="D674"/>
      <c r="E674"/>
      <c r="F674"/>
      <c r="G674"/>
      <c r="H674"/>
      <c r="I674"/>
      <c r="J674"/>
      <c r="K674"/>
      <c r="L674"/>
      <c r="M674"/>
      <c r="N674"/>
      <c r="O674"/>
      <c r="P674"/>
      <c r="Q674"/>
      <c r="R674"/>
      <c r="S674"/>
      <c r="T674"/>
      <c r="U674"/>
      <c r="V674"/>
      <c r="W674"/>
      <c r="X674"/>
      <c r="Y674"/>
      <c r="Z674"/>
      <c r="AA674"/>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c r="BZ674"/>
      <c r="CA674"/>
      <c r="CB674"/>
      <c r="CC674"/>
      <c r="CD674"/>
      <c r="CE674"/>
      <c r="CF674"/>
      <c r="CG674"/>
      <c r="CH674"/>
      <c r="CI674"/>
      <c r="CJ674"/>
      <c r="CK674"/>
      <c r="CL674"/>
      <c r="CM674"/>
      <c r="CN674"/>
      <c r="CO674"/>
      <c r="CP674"/>
      <c r="CQ674"/>
      <c r="CR674"/>
      <c r="CS674"/>
      <c r="CT674"/>
      <c r="CU674"/>
      <c r="CV674"/>
      <c r="CW674"/>
      <c r="CX674"/>
      <c r="CY674"/>
      <c r="CZ674"/>
      <c r="DA674"/>
      <c r="DB674"/>
      <c r="DC674"/>
      <c r="DD674"/>
      <c r="DE674"/>
      <c r="DF674"/>
      <c r="DG674"/>
      <c r="DH674"/>
      <c r="DI674"/>
      <c r="DJ674"/>
      <c r="DK674"/>
      <c r="DL674"/>
      <c r="DM674"/>
      <c r="DN674"/>
      <c r="DO674"/>
      <c r="DP674"/>
      <c r="DQ674"/>
      <c r="DR674"/>
      <c r="DS674"/>
      <c r="DT674"/>
      <c r="DU674"/>
      <c r="DV674"/>
      <c r="DW674"/>
      <c r="DX674"/>
      <c r="DY674"/>
      <c r="DZ674"/>
      <c r="EA674"/>
      <c r="EB674"/>
      <c r="EC674"/>
      <c r="ED674"/>
      <c r="EE674"/>
      <c r="EF674"/>
      <c r="EG674"/>
      <c r="EH674"/>
      <c r="EI674"/>
      <c r="EJ674"/>
      <c r="EK674"/>
      <c r="EL674"/>
      <c r="EM674"/>
      <c r="EN674"/>
      <c r="EO674"/>
      <c r="EP674"/>
      <c r="EQ674"/>
      <c r="ER674"/>
      <c r="ES674"/>
    </row>
    <row r="675" spans="1:149">
      <c r="A675"/>
      <c r="B675"/>
      <c r="C675"/>
      <c r="D675"/>
      <c r="E675"/>
      <c r="F675"/>
      <c r="G675"/>
      <c r="H675"/>
      <c r="I675"/>
      <c r="J675"/>
      <c r="K675"/>
      <c r="L675"/>
      <c r="M675"/>
      <c r="N675"/>
      <c r="O675"/>
      <c r="P675"/>
      <c r="Q675"/>
      <c r="R675"/>
      <c r="S675"/>
      <c r="T675"/>
      <c r="U675"/>
      <c r="V675"/>
      <c r="W675"/>
      <c r="X675"/>
      <c r="Y675"/>
      <c r="Z675"/>
      <c r="AA67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c r="BZ675"/>
      <c r="CA675"/>
      <c r="CB675"/>
      <c r="CC675"/>
      <c r="CD675"/>
      <c r="CE675"/>
      <c r="CF675"/>
      <c r="CG675"/>
      <c r="CH675"/>
      <c r="CI675"/>
      <c r="CJ675"/>
      <c r="CK675"/>
      <c r="CL675"/>
      <c r="CM675"/>
      <c r="CN675"/>
      <c r="CO675"/>
      <c r="CP675"/>
      <c r="CQ675"/>
      <c r="CR675"/>
      <c r="CS675"/>
      <c r="CT675"/>
      <c r="CU675"/>
      <c r="CV675"/>
      <c r="CW675"/>
      <c r="CX675"/>
      <c r="CY675"/>
      <c r="CZ675"/>
      <c r="DA675"/>
      <c r="DB675"/>
      <c r="DC675"/>
      <c r="DD675"/>
      <c r="DE675"/>
      <c r="DF675"/>
      <c r="DG675"/>
      <c r="DH675"/>
      <c r="DI675"/>
      <c r="DJ675"/>
      <c r="DK675"/>
      <c r="DL675"/>
      <c r="DM675"/>
      <c r="DN675"/>
      <c r="DO675"/>
      <c r="DP675"/>
      <c r="DQ675"/>
      <c r="DR675"/>
      <c r="DS675"/>
      <c r="DT675"/>
      <c r="DU675"/>
      <c r="DV675"/>
      <c r="DW675"/>
      <c r="DX675"/>
      <c r="DY675"/>
      <c r="DZ675"/>
      <c r="EA675"/>
      <c r="EB675"/>
      <c r="EC675"/>
      <c r="ED675"/>
      <c r="EE675"/>
      <c r="EF675"/>
      <c r="EG675"/>
      <c r="EH675"/>
      <c r="EI675"/>
      <c r="EJ675"/>
      <c r="EK675"/>
      <c r="EL675"/>
      <c r="EM675"/>
      <c r="EN675"/>
      <c r="EO675"/>
      <c r="EP675"/>
      <c r="EQ675"/>
      <c r="ER675"/>
      <c r="ES675"/>
    </row>
    <row r="676" spans="1:149">
      <c r="A676"/>
      <c r="B676"/>
      <c r="C676"/>
      <c r="D676"/>
      <c r="E676"/>
      <c r="F676"/>
      <c r="G676"/>
      <c r="H676"/>
      <c r="I676"/>
      <c r="J676"/>
      <c r="K676"/>
      <c r="L676"/>
      <c r="M676"/>
      <c r="N676"/>
      <c r="O676"/>
      <c r="P676"/>
      <c r="Q676"/>
      <c r="R676"/>
      <c r="S676"/>
      <c r="T676"/>
      <c r="U676"/>
      <c r="V676"/>
      <c r="W676"/>
      <c r="X676"/>
      <c r="Y676"/>
      <c r="Z676"/>
      <c r="AA676"/>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c r="BZ676"/>
      <c r="CA676"/>
      <c r="CB676"/>
      <c r="CC676"/>
      <c r="CD676"/>
      <c r="CE676"/>
      <c r="CF676"/>
      <c r="CG676"/>
      <c r="CH676"/>
      <c r="CI676"/>
      <c r="CJ676"/>
      <c r="CK676"/>
      <c r="CL676"/>
      <c r="CM676"/>
      <c r="CN676"/>
      <c r="CO676"/>
      <c r="CP676"/>
      <c r="CQ676"/>
      <c r="CR676"/>
      <c r="CS676"/>
      <c r="CT676"/>
      <c r="CU676"/>
      <c r="CV676"/>
      <c r="CW676"/>
      <c r="CX676"/>
      <c r="CY676"/>
      <c r="CZ676"/>
      <c r="DA676"/>
      <c r="DB676"/>
      <c r="DC676"/>
      <c r="DD676"/>
      <c r="DE676"/>
      <c r="DF676"/>
      <c r="DG676"/>
      <c r="DH676"/>
      <c r="DI676"/>
      <c r="DJ676"/>
      <c r="DK676"/>
      <c r="DL676"/>
      <c r="DM676"/>
      <c r="DN676"/>
      <c r="DO676"/>
      <c r="DP676"/>
      <c r="DQ676"/>
      <c r="DR676"/>
      <c r="DS676"/>
      <c r="DT676"/>
      <c r="DU676"/>
      <c r="DV676"/>
      <c r="DW676"/>
      <c r="DX676"/>
      <c r="DY676"/>
      <c r="DZ676"/>
      <c r="EA676"/>
      <c r="EB676"/>
      <c r="EC676"/>
      <c r="ED676"/>
      <c r="EE676"/>
      <c r="EF676"/>
      <c r="EG676"/>
      <c r="EH676"/>
      <c r="EI676"/>
      <c r="EJ676"/>
      <c r="EK676"/>
      <c r="EL676"/>
      <c r="EM676"/>
      <c r="EN676"/>
      <c r="EO676"/>
      <c r="EP676"/>
      <c r="EQ676"/>
      <c r="ER676"/>
      <c r="ES676"/>
    </row>
    <row r="677" spans="1:149">
      <c r="A677"/>
      <c r="B677"/>
      <c r="C677"/>
      <c r="D677"/>
      <c r="E677"/>
      <c r="F677"/>
      <c r="G677"/>
      <c r="H677"/>
      <c r="I677"/>
      <c r="J677"/>
      <c r="K677"/>
      <c r="L677"/>
      <c r="M677"/>
      <c r="N677"/>
      <c r="O677"/>
      <c r="P677"/>
      <c r="Q677"/>
      <c r="R677"/>
      <c r="S677"/>
      <c r="T677"/>
      <c r="U677"/>
      <c r="V677"/>
      <c r="W677"/>
      <c r="X677"/>
      <c r="Y677"/>
      <c r="Z677"/>
      <c r="AA677"/>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c r="BZ677"/>
      <c r="CA677"/>
      <c r="CB677"/>
      <c r="CC677"/>
      <c r="CD677"/>
      <c r="CE677"/>
      <c r="CF677"/>
      <c r="CG677"/>
      <c r="CH677"/>
      <c r="CI677"/>
      <c r="CJ677"/>
      <c r="CK677"/>
      <c r="CL677"/>
      <c r="CM677"/>
      <c r="CN677"/>
      <c r="CO677"/>
      <c r="CP677"/>
      <c r="CQ677"/>
      <c r="CR677"/>
      <c r="CS677"/>
      <c r="CT677"/>
      <c r="CU677"/>
      <c r="CV677"/>
      <c r="CW677"/>
      <c r="CX677"/>
      <c r="CY677"/>
      <c r="CZ677"/>
      <c r="DA677"/>
      <c r="DB677"/>
      <c r="DC677"/>
      <c r="DD677"/>
      <c r="DE677"/>
      <c r="DF677"/>
      <c r="DG677"/>
      <c r="DH677"/>
      <c r="DI677"/>
      <c r="DJ677"/>
      <c r="DK677"/>
      <c r="DL677"/>
      <c r="DM677"/>
      <c r="DN677"/>
      <c r="DO677"/>
      <c r="DP677"/>
      <c r="DQ677"/>
      <c r="DR677"/>
      <c r="DS677"/>
      <c r="DT677"/>
      <c r="DU677"/>
      <c r="DV677"/>
      <c r="DW677"/>
      <c r="DX677"/>
      <c r="DY677"/>
      <c r="DZ677"/>
      <c r="EA677"/>
      <c r="EB677"/>
      <c r="EC677"/>
      <c r="ED677"/>
      <c r="EE677"/>
      <c r="EF677"/>
      <c r="EG677"/>
      <c r="EH677"/>
      <c r="EI677"/>
      <c r="EJ677"/>
      <c r="EK677"/>
      <c r="EL677"/>
      <c r="EM677"/>
      <c r="EN677"/>
      <c r="EO677"/>
      <c r="EP677"/>
      <c r="EQ677"/>
      <c r="ER677"/>
      <c r="ES677"/>
    </row>
    <row r="678" spans="1:149">
      <c r="A678"/>
      <c r="B678"/>
      <c r="C678"/>
      <c r="D678"/>
      <c r="E678"/>
      <c r="F678"/>
      <c r="G678"/>
      <c r="H678"/>
      <c r="I678"/>
      <c r="J678"/>
      <c r="K678"/>
      <c r="L678"/>
      <c r="M678"/>
      <c r="N678"/>
      <c r="O678"/>
      <c r="P678"/>
      <c r="Q678"/>
      <c r="R678"/>
      <c r="S678"/>
      <c r="T678"/>
      <c r="U678"/>
      <c r="V678"/>
      <c r="W678"/>
      <c r="X678"/>
      <c r="Y678"/>
      <c r="Z678"/>
      <c r="AA678"/>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c r="BZ678"/>
      <c r="CA678"/>
      <c r="CB678"/>
      <c r="CC678"/>
      <c r="CD678"/>
      <c r="CE678"/>
      <c r="CF678"/>
      <c r="CG678"/>
      <c r="CH678"/>
      <c r="CI678"/>
      <c r="CJ678"/>
      <c r="CK678"/>
      <c r="CL678"/>
      <c r="CM678"/>
      <c r="CN678"/>
      <c r="CO678"/>
      <c r="CP678"/>
      <c r="CQ678"/>
      <c r="CR678"/>
      <c r="CS678"/>
      <c r="CT678"/>
      <c r="CU678"/>
      <c r="CV678"/>
      <c r="CW678"/>
      <c r="CX678"/>
      <c r="CY678"/>
      <c r="CZ678"/>
      <c r="DA678"/>
      <c r="DB678"/>
      <c r="DC678"/>
      <c r="DD678"/>
      <c r="DE678"/>
      <c r="DF678"/>
      <c r="DG678"/>
      <c r="DH678"/>
      <c r="DI678"/>
      <c r="DJ678"/>
      <c r="DK678"/>
      <c r="DL678"/>
      <c r="DM678"/>
      <c r="DN678"/>
      <c r="DO678"/>
      <c r="DP678"/>
      <c r="DQ678"/>
      <c r="DR678"/>
      <c r="DS678"/>
      <c r="DT678"/>
      <c r="DU678"/>
      <c r="DV678"/>
      <c r="DW678"/>
      <c r="DX678"/>
      <c r="DY678"/>
      <c r="DZ678"/>
      <c r="EA678"/>
      <c r="EB678"/>
      <c r="EC678"/>
      <c r="ED678"/>
      <c r="EE678"/>
      <c r="EF678"/>
      <c r="EG678"/>
      <c r="EH678"/>
      <c r="EI678"/>
      <c r="EJ678"/>
      <c r="EK678"/>
      <c r="EL678"/>
      <c r="EM678"/>
      <c r="EN678"/>
      <c r="EO678"/>
      <c r="EP678"/>
      <c r="EQ678"/>
      <c r="ER678"/>
      <c r="ES678"/>
    </row>
    <row r="679" spans="1:149">
      <c r="A679"/>
      <c r="B679"/>
      <c r="C679"/>
      <c r="D679"/>
      <c r="E679"/>
      <c r="F679"/>
      <c r="G679"/>
      <c r="H679"/>
      <c r="I679"/>
      <c r="J679"/>
      <c r="K679"/>
      <c r="L679"/>
      <c r="M679"/>
      <c r="N679"/>
      <c r="O679"/>
      <c r="P679"/>
      <c r="Q679"/>
      <c r="R679"/>
      <c r="S679"/>
      <c r="T679"/>
      <c r="U679"/>
      <c r="V679"/>
      <c r="W679"/>
      <c r="X679"/>
      <c r="Y679"/>
      <c r="Z679"/>
      <c r="AA679"/>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c r="BZ679"/>
      <c r="CA679"/>
      <c r="CB679"/>
      <c r="CC679"/>
      <c r="CD679"/>
      <c r="CE679"/>
      <c r="CF679"/>
      <c r="CG679"/>
      <c r="CH679"/>
      <c r="CI679"/>
      <c r="CJ679"/>
      <c r="CK679"/>
      <c r="CL679"/>
      <c r="CM679"/>
      <c r="CN679"/>
      <c r="CO679"/>
      <c r="CP679"/>
      <c r="CQ679"/>
      <c r="CR679"/>
      <c r="CS679"/>
      <c r="CT679"/>
      <c r="CU679"/>
      <c r="CV679"/>
      <c r="CW679"/>
      <c r="CX679"/>
      <c r="CY679"/>
      <c r="CZ679"/>
      <c r="DA679"/>
      <c r="DB679"/>
      <c r="DC679"/>
      <c r="DD679"/>
      <c r="DE679"/>
      <c r="DF679"/>
      <c r="DG679"/>
      <c r="DH679"/>
      <c r="DI679"/>
      <c r="DJ679"/>
      <c r="DK679"/>
      <c r="DL679"/>
      <c r="DM679"/>
      <c r="DN679"/>
      <c r="DO679"/>
      <c r="DP679"/>
      <c r="DQ679"/>
      <c r="DR679"/>
      <c r="DS679"/>
      <c r="DT679"/>
      <c r="DU679"/>
      <c r="DV679"/>
      <c r="DW679"/>
      <c r="DX679"/>
      <c r="DY679"/>
      <c r="DZ679"/>
      <c r="EA679"/>
      <c r="EB679"/>
      <c r="EC679"/>
      <c r="ED679"/>
      <c r="EE679"/>
      <c r="EF679"/>
      <c r="EG679"/>
      <c r="EH679"/>
      <c r="EI679"/>
      <c r="EJ679"/>
      <c r="EK679"/>
      <c r="EL679"/>
      <c r="EM679"/>
      <c r="EN679"/>
      <c r="EO679"/>
      <c r="EP679"/>
      <c r="EQ679"/>
      <c r="ER679"/>
      <c r="ES679"/>
    </row>
    <row r="680" spans="1:149">
      <c r="A680"/>
      <c r="B680"/>
      <c r="C680"/>
      <c r="D680"/>
      <c r="E680"/>
      <c r="F680"/>
      <c r="G680"/>
      <c r="H680"/>
      <c r="I680"/>
      <c r="J680"/>
      <c r="K680"/>
      <c r="L680"/>
      <c r="M680"/>
      <c r="N680"/>
      <c r="O680"/>
      <c r="P680"/>
      <c r="Q680"/>
      <c r="R680"/>
      <c r="S680"/>
      <c r="T680"/>
      <c r="U680"/>
      <c r="V680"/>
      <c r="W680"/>
      <c r="X680"/>
      <c r="Y680"/>
      <c r="Z680"/>
      <c r="AA680"/>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c r="BZ680"/>
      <c r="CA680"/>
      <c r="CB680"/>
      <c r="CC680"/>
      <c r="CD680"/>
      <c r="CE680"/>
      <c r="CF680"/>
      <c r="CG680"/>
      <c r="CH680"/>
      <c r="CI680"/>
      <c r="CJ680"/>
      <c r="CK680"/>
      <c r="CL680"/>
      <c r="CM680"/>
      <c r="CN680"/>
      <c r="CO680"/>
      <c r="CP680"/>
      <c r="CQ680"/>
      <c r="CR680"/>
      <c r="CS680"/>
      <c r="CT680"/>
      <c r="CU680"/>
      <c r="CV680"/>
      <c r="CW680"/>
      <c r="CX680"/>
      <c r="CY680"/>
      <c r="CZ680"/>
      <c r="DA680"/>
      <c r="DB680"/>
      <c r="DC680"/>
      <c r="DD680"/>
      <c r="DE680"/>
      <c r="DF680"/>
      <c r="DG680"/>
      <c r="DH680"/>
      <c r="DI680"/>
      <c r="DJ680"/>
      <c r="DK680"/>
      <c r="DL680"/>
      <c r="DM680"/>
      <c r="DN680"/>
      <c r="DO680"/>
      <c r="DP680"/>
      <c r="DQ680"/>
      <c r="DR680"/>
      <c r="DS680"/>
      <c r="DT680"/>
      <c r="DU680"/>
      <c r="DV680"/>
      <c r="DW680"/>
      <c r="DX680"/>
      <c r="DY680"/>
      <c r="DZ680"/>
      <c r="EA680"/>
      <c r="EB680"/>
      <c r="EC680"/>
      <c r="ED680"/>
      <c r="EE680"/>
      <c r="EF680"/>
      <c r="EG680"/>
      <c r="EH680"/>
      <c r="EI680"/>
      <c r="EJ680"/>
      <c r="EK680"/>
      <c r="EL680"/>
      <c r="EM680"/>
      <c r="EN680"/>
      <c r="EO680"/>
      <c r="EP680"/>
      <c r="EQ680"/>
      <c r="ER680"/>
      <c r="ES680"/>
    </row>
    <row r="681" spans="1:149">
      <c r="A681"/>
      <c r="B681"/>
      <c r="C681"/>
      <c r="D681"/>
      <c r="E681"/>
      <c r="F681"/>
      <c r="G681"/>
      <c r="H681"/>
      <c r="I681"/>
      <c r="J681"/>
      <c r="K681"/>
      <c r="L681"/>
      <c r="M681"/>
      <c r="N681"/>
      <c r="O681"/>
      <c r="P681"/>
      <c r="Q681"/>
      <c r="R681"/>
      <c r="S681"/>
      <c r="T681"/>
      <c r="U681"/>
      <c r="V681"/>
      <c r="W681"/>
      <c r="X681"/>
      <c r="Y681"/>
      <c r="Z681"/>
      <c r="AA681"/>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c r="BZ681"/>
      <c r="CA681"/>
      <c r="CB681"/>
      <c r="CC681"/>
      <c r="CD681"/>
      <c r="CE681"/>
      <c r="CF681"/>
      <c r="CG681"/>
      <c r="CH681"/>
      <c r="CI681"/>
      <c r="CJ681"/>
      <c r="CK681"/>
      <c r="CL681"/>
      <c r="CM681"/>
      <c r="CN681"/>
      <c r="CO681"/>
      <c r="CP681"/>
      <c r="CQ681"/>
      <c r="CR681"/>
      <c r="CS681"/>
      <c r="CT681"/>
      <c r="CU681"/>
      <c r="CV681"/>
      <c r="CW681"/>
      <c r="CX681"/>
      <c r="CY681"/>
      <c r="CZ681"/>
      <c r="DA681"/>
      <c r="DB681"/>
      <c r="DC681"/>
      <c r="DD681"/>
      <c r="DE681"/>
      <c r="DF681"/>
      <c r="DG681"/>
      <c r="DH681"/>
      <c r="DI681"/>
      <c r="DJ681"/>
      <c r="DK681"/>
      <c r="DL681"/>
      <c r="DM681"/>
      <c r="DN681"/>
      <c r="DO681"/>
      <c r="DP681"/>
      <c r="DQ681"/>
      <c r="DR681"/>
      <c r="DS681"/>
      <c r="DT681"/>
      <c r="DU681"/>
      <c r="DV681"/>
      <c r="DW681"/>
      <c r="DX681"/>
      <c r="DY681"/>
      <c r="DZ681"/>
      <c r="EA681"/>
      <c r="EB681"/>
      <c r="EC681"/>
      <c r="ED681"/>
      <c r="EE681"/>
      <c r="EF681"/>
      <c r="EG681"/>
      <c r="EH681"/>
      <c r="EI681"/>
      <c r="EJ681"/>
      <c r="EK681"/>
      <c r="EL681"/>
      <c r="EM681"/>
      <c r="EN681"/>
      <c r="EO681"/>
      <c r="EP681"/>
      <c r="EQ681"/>
      <c r="ER681"/>
      <c r="ES681"/>
    </row>
    <row r="682" spans="1:149">
      <c r="A682"/>
      <c r="B682"/>
      <c r="C682"/>
      <c r="D682"/>
      <c r="E682"/>
      <c r="F682"/>
      <c r="G682"/>
      <c r="H682"/>
      <c r="I682"/>
      <c r="J682"/>
      <c r="K682"/>
      <c r="L682"/>
      <c r="M682"/>
      <c r="N682"/>
      <c r="O682"/>
      <c r="P682"/>
      <c r="Q682"/>
      <c r="R682"/>
      <c r="S682"/>
      <c r="T682"/>
      <c r="U682"/>
      <c r="V682"/>
      <c r="W682"/>
      <c r="X682"/>
      <c r="Y682"/>
      <c r="Z682"/>
      <c r="AA682"/>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c r="BZ682"/>
      <c r="CA682"/>
      <c r="CB682"/>
      <c r="CC682"/>
      <c r="CD682"/>
      <c r="CE682"/>
      <c r="CF682"/>
      <c r="CG682"/>
      <c r="CH682"/>
      <c r="CI682"/>
      <c r="CJ682"/>
      <c r="CK682"/>
      <c r="CL682"/>
      <c r="CM682"/>
      <c r="CN682"/>
      <c r="CO682"/>
      <c r="CP682"/>
      <c r="CQ682"/>
      <c r="CR682"/>
      <c r="CS682"/>
      <c r="CT682"/>
      <c r="CU682"/>
      <c r="CV682"/>
      <c r="CW682"/>
      <c r="CX682"/>
      <c r="CY682"/>
      <c r="CZ682"/>
      <c r="DA682"/>
      <c r="DB682"/>
      <c r="DC682"/>
      <c r="DD682"/>
      <c r="DE682"/>
      <c r="DF682"/>
      <c r="DG682"/>
      <c r="DH682"/>
      <c r="DI682"/>
      <c r="DJ682"/>
      <c r="DK682"/>
      <c r="DL682"/>
      <c r="DM682"/>
      <c r="DN682"/>
      <c r="DO682"/>
      <c r="DP682"/>
      <c r="DQ682"/>
      <c r="DR682"/>
      <c r="DS682"/>
      <c r="DT682"/>
      <c r="DU682"/>
      <c r="DV682"/>
      <c r="DW682"/>
      <c r="DX682"/>
      <c r="DY682"/>
      <c r="DZ682"/>
      <c r="EA682"/>
      <c r="EB682"/>
      <c r="EC682"/>
      <c r="ED682"/>
      <c r="EE682"/>
      <c r="EF682"/>
      <c r="EG682"/>
      <c r="EH682"/>
      <c r="EI682"/>
      <c r="EJ682"/>
      <c r="EK682"/>
      <c r="EL682"/>
      <c r="EM682"/>
      <c r="EN682"/>
      <c r="EO682"/>
      <c r="EP682"/>
      <c r="EQ682"/>
      <c r="ER682"/>
      <c r="ES682"/>
    </row>
    <row r="683" spans="1:149">
      <c r="A683"/>
      <c r="B683"/>
      <c r="C683"/>
      <c r="D683"/>
      <c r="E683"/>
      <c r="F683"/>
      <c r="G683"/>
      <c r="H683"/>
      <c r="I683"/>
      <c r="J683"/>
      <c r="K683"/>
      <c r="L683"/>
      <c r="M683"/>
      <c r="N683"/>
      <c r="O683"/>
      <c r="P683"/>
      <c r="Q683"/>
      <c r="R683"/>
      <c r="S683"/>
      <c r="T683"/>
      <c r="U683"/>
      <c r="V683"/>
      <c r="W683"/>
      <c r="X683"/>
      <c r="Y683"/>
      <c r="Z683"/>
      <c r="AA683"/>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c r="BM683"/>
      <c r="BN683"/>
      <c r="BO683"/>
      <c r="BP683"/>
      <c r="BQ683"/>
      <c r="BR683"/>
      <c r="BS683"/>
      <c r="BT683"/>
      <c r="BU683"/>
      <c r="BV683"/>
      <c r="BW683"/>
      <c r="BX683"/>
      <c r="BY683"/>
      <c r="BZ683"/>
      <c r="CA683"/>
      <c r="CB683"/>
      <c r="CC683"/>
      <c r="CD683"/>
      <c r="CE683"/>
      <c r="CF683"/>
      <c r="CG683"/>
      <c r="CH683"/>
      <c r="CI683"/>
      <c r="CJ683"/>
      <c r="CK683"/>
      <c r="CL683"/>
      <c r="CM683"/>
      <c r="CN683"/>
      <c r="CO683"/>
      <c r="CP683"/>
      <c r="CQ683"/>
      <c r="CR683"/>
      <c r="CS683"/>
      <c r="CT683"/>
      <c r="CU683"/>
      <c r="CV683"/>
      <c r="CW683"/>
      <c r="CX683"/>
      <c r="CY683"/>
      <c r="CZ683"/>
      <c r="DA683"/>
      <c r="DB683"/>
      <c r="DC683"/>
      <c r="DD683"/>
      <c r="DE683"/>
      <c r="DF683"/>
      <c r="DG683"/>
      <c r="DH683"/>
      <c r="DI683"/>
      <c r="DJ683"/>
      <c r="DK683"/>
      <c r="DL683"/>
      <c r="DM683"/>
      <c r="DN683"/>
      <c r="DO683"/>
      <c r="DP683"/>
      <c r="DQ683"/>
      <c r="DR683"/>
      <c r="DS683"/>
      <c r="DT683"/>
      <c r="DU683"/>
      <c r="DV683"/>
      <c r="DW683"/>
      <c r="DX683"/>
      <c r="DY683"/>
      <c r="DZ683"/>
      <c r="EA683"/>
      <c r="EB683"/>
      <c r="EC683"/>
      <c r="ED683"/>
      <c r="EE683"/>
      <c r="EF683"/>
      <c r="EG683"/>
      <c r="EH683"/>
      <c r="EI683"/>
      <c r="EJ683"/>
      <c r="EK683"/>
      <c r="EL683"/>
      <c r="EM683"/>
      <c r="EN683"/>
      <c r="EO683"/>
      <c r="EP683"/>
      <c r="EQ683"/>
      <c r="ER683"/>
      <c r="ES683"/>
    </row>
    <row r="684" spans="1:149">
      <c r="A684"/>
      <c r="B684"/>
      <c r="C684"/>
      <c r="D684"/>
      <c r="E684"/>
      <c r="F684"/>
      <c r="G684"/>
      <c r="H684"/>
      <c r="I684"/>
      <c r="J684"/>
      <c r="K684"/>
      <c r="L684"/>
      <c r="M684"/>
      <c r="N684"/>
      <c r="O684"/>
      <c r="P684"/>
      <c r="Q684"/>
      <c r="R684"/>
      <c r="S684"/>
      <c r="T684"/>
      <c r="U684"/>
      <c r="V684"/>
      <c r="W684"/>
      <c r="X684"/>
      <c r="Y684"/>
      <c r="Z684"/>
      <c r="AA684"/>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c r="BZ684"/>
      <c r="CA684"/>
      <c r="CB684"/>
      <c r="CC684"/>
      <c r="CD684"/>
      <c r="CE684"/>
      <c r="CF684"/>
      <c r="CG684"/>
      <c r="CH684"/>
      <c r="CI684"/>
      <c r="CJ684"/>
      <c r="CK684"/>
      <c r="CL684"/>
      <c r="CM684"/>
      <c r="CN684"/>
      <c r="CO684"/>
      <c r="CP684"/>
      <c r="CQ684"/>
      <c r="CR684"/>
      <c r="CS684"/>
      <c r="CT684"/>
      <c r="CU684"/>
      <c r="CV684"/>
      <c r="CW684"/>
      <c r="CX684"/>
      <c r="CY684"/>
      <c r="CZ684"/>
      <c r="DA684"/>
      <c r="DB684"/>
      <c r="DC684"/>
      <c r="DD684"/>
      <c r="DE684"/>
      <c r="DF684"/>
      <c r="DG684"/>
      <c r="DH684"/>
      <c r="DI684"/>
      <c r="DJ684"/>
      <c r="DK684"/>
      <c r="DL684"/>
      <c r="DM684"/>
      <c r="DN684"/>
      <c r="DO684"/>
      <c r="DP684"/>
      <c r="DQ684"/>
      <c r="DR684"/>
      <c r="DS684"/>
      <c r="DT684"/>
      <c r="DU684"/>
      <c r="DV684"/>
      <c r="DW684"/>
      <c r="DX684"/>
      <c r="DY684"/>
      <c r="DZ684"/>
      <c r="EA684"/>
      <c r="EB684"/>
      <c r="EC684"/>
      <c r="ED684"/>
      <c r="EE684"/>
      <c r="EF684"/>
      <c r="EG684"/>
      <c r="EH684"/>
      <c r="EI684"/>
      <c r="EJ684"/>
      <c r="EK684"/>
      <c r="EL684"/>
      <c r="EM684"/>
      <c r="EN684"/>
      <c r="EO684"/>
      <c r="EP684"/>
      <c r="EQ684"/>
      <c r="ER684"/>
      <c r="ES684"/>
    </row>
    <row r="685" spans="1:149">
      <c r="A685"/>
      <c r="B685"/>
      <c r="C685"/>
      <c r="D685"/>
      <c r="E685"/>
      <c r="F685"/>
      <c r="G685"/>
      <c r="H685"/>
      <c r="I685"/>
      <c r="J685"/>
      <c r="K685"/>
      <c r="L685"/>
      <c r="M685"/>
      <c r="N685"/>
      <c r="O685"/>
      <c r="P685"/>
      <c r="Q685"/>
      <c r="R685"/>
      <c r="S685"/>
      <c r="T685"/>
      <c r="U685"/>
      <c r="V685"/>
      <c r="W685"/>
      <c r="X685"/>
      <c r="Y685"/>
      <c r="Z685"/>
      <c r="AA68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c r="BZ685"/>
      <c r="CA685"/>
      <c r="CB685"/>
      <c r="CC685"/>
      <c r="CD685"/>
      <c r="CE685"/>
      <c r="CF685"/>
      <c r="CG685"/>
      <c r="CH685"/>
      <c r="CI685"/>
      <c r="CJ685"/>
      <c r="CK685"/>
      <c r="CL685"/>
      <c r="CM685"/>
      <c r="CN685"/>
      <c r="CO685"/>
      <c r="CP685"/>
      <c r="CQ685"/>
      <c r="CR685"/>
      <c r="CS685"/>
      <c r="CT685"/>
      <c r="CU685"/>
      <c r="CV685"/>
      <c r="CW685"/>
      <c r="CX685"/>
      <c r="CY685"/>
      <c r="CZ685"/>
      <c r="DA685"/>
      <c r="DB685"/>
      <c r="DC685"/>
      <c r="DD685"/>
      <c r="DE685"/>
      <c r="DF685"/>
      <c r="DG685"/>
      <c r="DH685"/>
      <c r="DI685"/>
      <c r="DJ685"/>
      <c r="DK685"/>
      <c r="DL685"/>
      <c r="DM685"/>
      <c r="DN685"/>
      <c r="DO685"/>
      <c r="DP685"/>
      <c r="DQ685"/>
      <c r="DR685"/>
      <c r="DS685"/>
      <c r="DT685"/>
      <c r="DU685"/>
      <c r="DV685"/>
      <c r="DW685"/>
      <c r="DX685"/>
      <c r="DY685"/>
      <c r="DZ685"/>
      <c r="EA685"/>
      <c r="EB685"/>
      <c r="EC685"/>
      <c r="ED685"/>
      <c r="EE685"/>
      <c r="EF685"/>
      <c r="EG685"/>
      <c r="EH685"/>
      <c r="EI685"/>
      <c r="EJ685"/>
      <c r="EK685"/>
      <c r="EL685"/>
      <c r="EM685"/>
      <c r="EN685"/>
      <c r="EO685"/>
      <c r="EP685"/>
      <c r="EQ685"/>
      <c r="ER685"/>
      <c r="ES685"/>
    </row>
    <row r="686" spans="1:149">
      <c r="A686"/>
      <c r="B686"/>
      <c r="C686"/>
      <c r="D686"/>
      <c r="E686"/>
      <c r="F686"/>
      <c r="G686"/>
      <c r="H686"/>
      <c r="I686"/>
      <c r="J686"/>
      <c r="K686"/>
      <c r="L686"/>
      <c r="M686"/>
      <c r="N686"/>
      <c r="O686"/>
      <c r="P686"/>
      <c r="Q686"/>
      <c r="R686"/>
      <c r="S686"/>
      <c r="T686"/>
      <c r="U686"/>
      <c r="V686"/>
      <c r="W686"/>
      <c r="X686"/>
      <c r="Y686"/>
      <c r="Z686"/>
      <c r="AA686"/>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c r="BZ686"/>
      <c r="CA686"/>
      <c r="CB686"/>
      <c r="CC686"/>
      <c r="CD686"/>
      <c r="CE686"/>
      <c r="CF686"/>
      <c r="CG686"/>
      <c r="CH686"/>
      <c r="CI686"/>
      <c r="CJ686"/>
      <c r="CK686"/>
      <c r="CL686"/>
      <c r="CM686"/>
      <c r="CN686"/>
      <c r="CO686"/>
      <c r="CP686"/>
      <c r="CQ686"/>
      <c r="CR686"/>
      <c r="CS686"/>
      <c r="CT686"/>
      <c r="CU686"/>
      <c r="CV686"/>
      <c r="CW686"/>
      <c r="CX686"/>
      <c r="CY686"/>
      <c r="CZ686"/>
      <c r="DA686"/>
      <c r="DB686"/>
      <c r="DC686"/>
      <c r="DD686"/>
      <c r="DE686"/>
      <c r="DF686"/>
      <c r="DG686"/>
      <c r="DH686"/>
      <c r="DI686"/>
      <c r="DJ686"/>
      <c r="DK686"/>
      <c r="DL686"/>
      <c r="DM686"/>
      <c r="DN686"/>
      <c r="DO686"/>
      <c r="DP686"/>
      <c r="DQ686"/>
      <c r="DR686"/>
      <c r="DS686"/>
      <c r="DT686"/>
      <c r="DU686"/>
      <c r="DV686"/>
      <c r="DW686"/>
      <c r="DX686"/>
      <c r="DY686"/>
      <c r="DZ686"/>
      <c r="EA686"/>
      <c r="EB686"/>
      <c r="EC686"/>
      <c r="ED686"/>
      <c r="EE686"/>
      <c r="EF686"/>
      <c r="EG686"/>
      <c r="EH686"/>
      <c r="EI686"/>
      <c r="EJ686"/>
      <c r="EK686"/>
      <c r="EL686"/>
      <c r="EM686"/>
      <c r="EN686"/>
      <c r="EO686"/>
      <c r="EP686"/>
      <c r="EQ686"/>
      <c r="ER686"/>
      <c r="ES686"/>
    </row>
    <row r="687" spans="1:149">
      <c r="A687"/>
      <c r="B687"/>
      <c r="C687"/>
      <c r="D687"/>
      <c r="E687"/>
      <c r="F687"/>
      <c r="G687"/>
      <c r="H687"/>
      <c r="I687"/>
      <c r="J687"/>
      <c r="K687"/>
      <c r="L687"/>
      <c r="M687"/>
      <c r="N687"/>
      <c r="O687"/>
      <c r="P687"/>
      <c r="Q687"/>
      <c r="R687"/>
      <c r="S687"/>
      <c r="T687"/>
      <c r="U687"/>
      <c r="V687"/>
      <c r="W687"/>
      <c r="X687"/>
      <c r="Y687"/>
      <c r="Z687"/>
      <c r="AA687"/>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c r="BZ687"/>
      <c r="CA687"/>
      <c r="CB687"/>
      <c r="CC687"/>
      <c r="CD687"/>
      <c r="CE687"/>
      <c r="CF687"/>
      <c r="CG687"/>
      <c r="CH687"/>
      <c r="CI687"/>
      <c r="CJ687"/>
      <c r="CK687"/>
      <c r="CL687"/>
      <c r="CM687"/>
      <c r="CN687"/>
      <c r="CO687"/>
      <c r="CP687"/>
      <c r="CQ687"/>
      <c r="CR687"/>
      <c r="CS687"/>
      <c r="CT687"/>
      <c r="CU687"/>
      <c r="CV687"/>
      <c r="CW687"/>
      <c r="CX687"/>
      <c r="CY687"/>
      <c r="CZ687"/>
      <c r="DA687"/>
      <c r="DB687"/>
      <c r="DC687"/>
      <c r="DD687"/>
      <c r="DE687"/>
      <c r="DF687"/>
      <c r="DG687"/>
      <c r="DH687"/>
      <c r="DI687"/>
      <c r="DJ687"/>
      <c r="DK687"/>
      <c r="DL687"/>
      <c r="DM687"/>
      <c r="DN687"/>
      <c r="DO687"/>
      <c r="DP687"/>
      <c r="DQ687"/>
      <c r="DR687"/>
      <c r="DS687"/>
      <c r="DT687"/>
      <c r="DU687"/>
      <c r="DV687"/>
      <c r="DW687"/>
      <c r="DX687"/>
      <c r="DY687"/>
      <c r="DZ687"/>
      <c r="EA687"/>
      <c r="EB687"/>
      <c r="EC687"/>
      <c r="ED687"/>
      <c r="EE687"/>
      <c r="EF687"/>
      <c r="EG687"/>
      <c r="EH687"/>
      <c r="EI687"/>
      <c r="EJ687"/>
      <c r="EK687"/>
      <c r="EL687"/>
      <c r="EM687"/>
      <c r="EN687"/>
      <c r="EO687"/>
      <c r="EP687"/>
      <c r="EQ687"/>
      <c r="ER687"/>
      <c r="ES687"/>
    </row>
    <row r="688" spans="1:149">
      <c r="A688"/>
      <c r="B688"/>
      <c r="C688"/>
      <c r="D688"/>
      <c r="E688"/>
      <c r="F688"/>
      <c r="G688"/>
      <c r="H688"/>
      <c r="I688"/>
      <c r="J688"/>
      <c r="K688"/>
      <c r="L688"/>
      <c r="M688"/>
      <c r="N688"/>
      <c r="O688"/>
      <c r="P688"/>
      <c r="Q688"/>
      <c r="R688"/>
      <c r="S688"/>
      <c r="T688"/>
      <c r="U688"/>
      <c r="V688"/>
      <c r="W688"/>
      <c r="X688"/>
      <c r="Y688"/>
      <c r="Z688"/>
      <c r="AA688"/>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c r="BZ688"/>
      <c r="CA688"/>
      <c r="CB688"/>
      <c r="CC688"/>
      <c r="CD688"/>
      <c r="CE688"/>
      <c r="CF688"/>
      <c r="CG688"/>
      <c r="CH688"/>
      <c r="CI688"/>
      <c r="CJ688"/>
      <c r="CK688"/>
      <c r="CL688"/>
      <c r="CM688"/>
      <c r="CN688"/>
      <c r="CO688"/>
      <c r="CP688"/>
      <c r="CQ688"/>
      <c r="CR688"/>
      <c r="CS688"/>
      <c r="CT688"/>
      <c r="CU688"/>
      <c r="CV688"/>
      <c r="CW688"/>
      <c r="CX688"/>
      <c r="CY688"/>
      <c r="CZ688"/>
      <c r="DA688"/>
      <c r="DB688"/>
      <c r="DC688"/>
      <c r="DD688"/>
      <c r="DE688"/>
      <c r="DF688"/>
      <c r="DG688"/>
      <c r="DH688"/>
      <c r="DI688"/>
      <c r="DJ688"/>
      <c r="DK688"/>
      <c r="DL688"/>
      <c r="DM688"/>
      <c r="DN688"/>
      <c r="DO688"/>
      <c r="DP688"/>
      <c r="DQ688"/>
      <c r="DR688"/>
      <c r="DS688"/>
      <c r="DT688"/>
      <c r="DU688"/>
      <c r="DV688"/>
      <c r="DW688"/>
      <c r="DX688"/>
      <c r="DY688"/>
      <c r="DZ688"/>
      <c r="EA688"/>
      <c r="EB688"/>
      <c r="EC688"/>
      <c r="ED688"/>
      <c r="EE688"/>
      <c r="EF688"/>
      <c r="EG688"/>
      <c r="EH688"/>
      <c r="EI688"/>
      <c r="EJ688"/>
      <c r="EK688"/>
      <c r="EL688"/>
      <c r="EM688"/>
      <c r="EN688"/>
      <c r="EO688"/>
      <c r="EP688"/>
      <c r="EQ688"/>
      <c r="ER688"/>
      <c r="ES688"/>
    </row>
    <row r="689" spans="1:149">
      <c r="A689"/>
      <c r="B689"/>
      <c r="C689"/>
      <c r="D689"/>
      <c r="E689"/>
      <c r="F689"/>
      <c r="G689"/>
      <c r="H689"/>
      <c r="I689"/>
      <c r="J689"/>
      <c r="K689"/>
      <c r="L689"/>
      <c r="M689"/>
      <c r="N689"/>
      <c r="O689"/>
      <c r="P689"/>
      <c r="Q689"/>
      <c r="R689"/>
      <c r="S689"/>
      <c r="T689"/>
      <c r="U689"/>
      <c r="V689"/>
      <c r="W689"/>
      <c r="X689"/>
      <c r="Y689"/>
      <c r="Z689"/>
      <c r="AA689"/>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c r="BZ689"/>
      <c r="CA689"/>
      <c r="CB689"/>
      <c r="CC689"/>
      <c r="CD689"/>
      <c r="CE689"/>
      <c r="CF689"/>
      <c r="CG689"/>
      <c r="CH689"/>
      <c r="CI689"/>
      <c r="CJ689"/>
      <c r="CK689"/>
      <c r="CL689"/>
      <c r="CM689"/>
      <c r="CN689"/>
      <c r="CO689"/>
      <c r="CP689"/>
      <c r="CQ689"/>
      <c r="CR689"/>
      <c r="CS689"/>
      <c r="CT689"/>
      <c r="CU689"/>
      <c r="CV689"/>
      <c r="CW689"/>
      <c r="CX689"/>
      <c r="CY689"/>
      <c r="CZ689"/>
      <c r="DA689"/>
      <c r="DB689"/>
      <c r="DC689"/>
      <c r="DD689"/>
      <c r="DE689"/>
      <c r="DF689"/>
      <c r="DG689"/>
      <c r="DH689"/>
      <c r="DI689"/>
      <c r="DJ689"/>
      <c r="DK689"/>
      <c r="DL689"/>
      <c r="DM689"/>
      <c r="DN689"/>
      <c r="DO689"/>
      <c r="DP689"/>
      <c r="DQ689"/>
      <c r="DR689"/>
      <c r="DS689"/>
      <c r="DT689"/>
      <c r="DU689"/>
      <c r="DV689"/>
      <c r="DW689"/>
      <c r="DX689"/>
      <c r="DY689"/>
      <c r="DZ689"/>
      <c r="EA689"/>
      <c r="EB689"/>
      <c r="EC689"/>
      <c r="ED689"/>
      <c r="EE689"/>
      <c r="EF689"/>
      <c r="EG689"/>
      <c r="EH689"/>
      <c r="EI689"/>
      <c r="EJ689"/>
      <c r="EK689"/>
      <c r="EL689"/>
      <c r="EM689"/>
      <c r="EN689"/>
      <c r="EO689"/>
      <c r="EP689"/>
      <c r="EQ689"/>
      <c r="ER689"/>
      <c r="ES689"/>
    </row>
    <row r="690" spans="1:149">
      <c r="A690"/>
      <c r="B690"/>
      <c r="C690"/>
      <c r="D690"/>
      <c r="E690"/>
      <c r="F690"/>
      <c r="G690"/>
      <c r="H690"/>
      <c r="I690"/>
      <c r="J690"/>
      <c r="K690"/>
      <c r="L690"/>
      <c r="M690"/>
      <c r="N690"/>
      <c r="O690"/>
      <c r="P690"/>
      <c r="Q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c r="CM690"/>
      <c r="CN690"/>
      <c r="CO690"/>
      <c r="CP690"/>
      <c r="CQ690"/>
      <c r="CR690"/>
      <c r="CS690"/>
      <c r="CT690"/>
      <c r="CU690"/>
      <c r="CV690"/>
      <c r="CW690"/>
      <c r="CX690"/>
      <c r="CY690"/>
      <c r="CZ690"/>
      <c r="DA690"/>
      <c r="DB690"/>
      <c r="DC690"/>
      <c r="DD690"/>
      <c r="DE690"/>
      <c r="DF690"/>
      <c r="DG690"/>
      <c r="DH690"/>
      <c r="DI690"/>
      <c r="DJ690"/>
      <c r="DK690"/>
      <c r="DL690"/>
      <c r="DM690"/>
      <c r="DN690"/>
      <c r="DO690"/>
      <c r="DP690"/>
      <c r="DQ690"/>
      <c r="DR690"/>
      <c r="DS690"/>
      <c r="DT690"/>
      <c r="DU690"/>
      <c r="DV690"/>
      <c r="DW690"/>
      <c r="DX690"/>
      <c r="DY690"/>
      <c r="DZ690"/>
      <c r="EA690"/>
      <c r="EB690"/>
      <c r="EC690"/>
      <c r="ED690"/>
      <c r="EE690"/>
      <c r="EF690"/>
      <c r="EG690"/>
      <c r="EH690"/>
      <c r="EI690"/>
      <c r="EJ690"/>
      <c r="EK690"/>
      <c r="EL690"/>
      <c r="EM690"/>
      <c r="EN690"/>
      <c r="EO690"/>
      <c r="EP690"/>
      <c r="EQ690"/>
      <c r="ER690"/>
      <c r="ES690"/>
    </row>
    <row r="691" spans="1:149">
      <c r="A691"/>
      <c r="B691"/>
      <c r="C691"/>
      <c r="D691"/>
      <c r="E691"/>
      <c r="F691"/>
      <c r="G691"/>
      <c r="H691"/>
      <c r="I691"/>
      <c r="J691"/>
      <c r="K691"/>
      <c r="L691"/>
      <c r="M691"/>
      <c r="N691"/>
      <c r="O691"/>
      <c r="P691"/>
      <c r="Q691"/>
      <c r="R691"/>
      <c r="S691"/>
      <c r="T691"/>
      <c r="U691"/>
      <c r="V691"/>
      <c r="W691"/>
      <c r="X691"/>
      <c r="Y691"/>
      <c r="Z691"/>
      <c r="AA691"/>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c r="BZ691"/>
      <c r="CA691"/>
      <c r="CB691"/>
      <c r="CC691"/>
      <c r="CD691"/>
      <c r="CE691"/>
      <c r="CF691"/>
      <c r="CG691"/>
      <c r="CH691"/>
      <c r="CI691"/>
      <c r="CJ691"/>
      <c r="CK691"/>
      <c r="CL691"/>
      <c r="CM691"/>
      <c r="CN691"/>
      <c r="CO691"/>
      <c r="CP691"/>
      <c r="CQ691"/>
      <c r="CR691"/>
      <c r="CS691"/>
      <c r="CT691"/>
      <c r="CU691"/>
      <c r="CV691"/>
      <c r="CW691"/>
      <c r="CX691"/>
      <c r="CY691"/>
      <c r="CZ691"/>
      <c r="DA691"/>
      <c r="DB691"/>
      <c r="DC691"/>
      <c r="DD691"/>
      <c r="DE691"/>
      <c r="DF691"/>
      <c r="DG691"/>
      <c r="DH691"/>
      <c r="DI691"/>
      <c r="DJ691"/>
      <c r="DK691"/>
      <c r="DL691"/>
      <c r="DM691"/>
      <c r="DN691"/>
      <c r="DO691"/>
      <c r="DP691"/>
      <c r="DQ691"/>
      <c r="DR691"/>
      <c r="DS691"/>
      <c r="DT691"/>
      <c r="DU691"/>
      <c r="DV691"/>
      <c r="DW691"/>
      <c r="DX691"/>
      <c r="DY691"/>
      <c r="DZ691"/>
      <c r="EA691"/>
      <c r="EB691"/>
      <c r="EC691"/>
      <c r="ED691"/>
      <c r="EE691"/>
      <c r="EF691"/>
      <c r="EG691"/>
      <c r="EH691"/>
      <c r="EI691"/>
      <c r="EJ691"/>
      <c r="EK691"/>
      <c r="EL691"/>
      <c r="EM691"/>
      <c r="EN691"/>
      <c r="EO691"/>
      <c r="EP691"/>
      <c r="EQ691"/>
      <c r="ER691"/>
      <c r="ES691"/>
    </row>
    <row r="692" spans="1:149">
      <c r="A692"/>
      <c r="B692"/>
      <c r="C692"/>
      <c r="D692"/>
      <c r="E692"/>
      <c r="F692"/>
      <c r="G692"/>
      <c r="H692"/>
      <c r="I692"/>
      <c r="J692"/>
      <c r="K692"/>
      <c r="L692"/>
      <c r="M692"/>
      <c r="N692"/>
      <c r="O692"/>
      <c r="P692"/>
      <c r="Q692"/>
      <c r="R692"/>
      <c r="S692"/>
      <c r="T692"/>
      <c r="U692"/>
      <c r="V692"/>
      <c r="W692"/>
      <c r="X692"/>
      <c r="Y692"/>
      <c r="Z692"/>
      <c r="AA692"/>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c r="BZ692"/>
      <c r="CA692"/>
      <c r="CB692"/>
      <c r="CC692"/>
      <c r="CD692"/>
      <c r="CE692"/>
      <c r="CF692"/>
      <c r="CG692"/>
      <c r="CH692"/>
      <c r="CI692"/>
      <c r="CJ692"/>
      <c r="CK692"/>
      <c r="CL692"/>
      <c r="CM692"/>
      <c r="CN692"/>
      <c r="CO692"/>
      <c r="CP692"/>
      <c r="CQ692"/>
      <c r="CR692"/>
      <c r="CS692"/>
      <c r="CT692"/>
      <c r="CU692"/>
      <c r="CV692"/>
      <c r="CW692"/>
      <c r="CX692"/>
      <c r="CY692"/>
      <c r="CZ692"/>
      <c r="DA692"/>
      <c r="DB692"/>
      <c r="DC692"/>
      <c r="DD692"/>
      <c r="DE692"/>
      <c r="DF692"/>
      <c r="DG692"/>
      <c r="DH692"/>
      <c r="DI692"/>
      <c r="DJ692"/>
      <c r="DK692"/>
      <c r="DL692"/>
      <c r="DM692"/>
      <c r="DN692"/>
      <c r="DO692"/>
      <c r="DP692"/>
      <c r="DQ692"/>
      <c r="DR692"/>
      <c r="DS692"/>
      <c r="DT692"/>
      <c r="DU692"/>
      <c r="DV692"/>
      <c r="DW692"/>
      <c r="DX692"/>
      <c r="DY692"/>
      <c r="DZ692"/>
      <c r="EA692"/>
      <c r="EB692"/>
      <c r="EC692"/>
      <c r="ED692"/>
      <c r="EE692"/>
      <c r="EF692"/>
      <c r="EG692"/>
      <c r="EH692"/>
      <c r="EI692"/>
      <c r="EJ692"/>
      <c r="EK692"/>
      <c r="EL692"/>
      <c r="EM692"/>
      <c r="EN692"/>
      <c r="EO692"/>
      <c r="EP692"/>
      <c r="EQ692"/>
      <c r="ER692"/>
      <c r="ES692"/>
    </row>
    <row r="693" spans="1:149">
      <c r="A693"/>
      <c r="B693"/>
      <c r="C693"/>
      <c r="D693"/>
      <c r="E693"/>
      <c r="F693"/>
      <c r="G693"/>
      <c r="H693"/>
      <c r="I693"/>
      <c r="J693"/>
      <c r="K693"/>
      <c r="L693"/>
      <c r="M693"/>
      <c r="N693"/>
      <c r="O693"/>
      <c r="P693"/>
      <c r="Q693"/>
      <c r="R693"/>
      <c r="S693"/>
      <c r="T693"/>
      <c r="U693"/>
      <c r="V693"/>
      <c r="W693"/>
      <c r="X693"/>
      <c r="Y693"/>
      <c r="Z693"/>
      <c r="AA693"/>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c r="BZ693"/>
      <c r="CA693"/>
      <c r="CB693"/>
      <c r="CC693"/>
      <c r="CD693"/>
      <c r="CE693"/>
      <c r="CF693"/>
      <c r="CG693"/>
      <c r="CH693"/>
      <c r="CI693"/>
      <c r="CJ693"/>
      <c r="CK693"/>
      <c r="CL693"/>
      <c r="CM693"/>
      <c r="CN693"/>
      <c r="CO693"/>
      <c r="CP693"/>
      <c r="CQ693"/>
      <c r="CR693"/>
      <c r="CS693"/>
      <c r="CT693"/>
      <c r="CU693"/>
      <c r="CV693"/>
      <c r="CW693"/>
      <c r="CX693"/>
      <c r="CY693"/>
      <c r="CZ693"/>
      <c r="DA693"/>
      <c r="DB693"/>
      <c r="DC693"/>
      <c r="DD693"/>
      <c r="DE693"/>
      <c r="DF693"/>
      <c r="DG693"/>
      <c r="DH693"/>
      <c r="DI693"/>
      <c r="DJ693"/>
      <c r="DK693"/>
      <c r="DL693"/>
      <c r="DM693"/>
      <c r="DN693"/>
      <c r="DO693"/>
      <c r="DP693"/>
      <c r="DQ693"/>
      <c r="DR693"/>
      <c r="DS693"/>
      <c r="DT693"/>
      <c r="DU693"/>
      <c r="DV693"/>
      <c r="DW693"/>
      <c r="DX693"/>
      <c r="DY693"/>
      <c r="DZ693"/>
      <c r="EA693"/>
      <c r="EB693"/>
      <c r="EC693"/>
      <c r="ED693"/>
      <c r="EE693"/>
      <c r="EF693"/>
      <c r="EG693"/>
      <c r="EH693"/>
      <c r="EI693"/>
      <c r="EJ693"/>
      <c r="EK693"/>
      <c r="EL693"/>
      <c r="EM693"/>
      <c r="EN693"/>
      <c r="EO693"/>
      <c r="EP693"/>
      <c r="EQ693"/>
      <c r="ER693"/>
      <c r="ES693"/>
    </row>
    <row r="694" spans="1:149">
      <c r="A694"/>
      <c r="B694"/>
      <c r="C694"/>
      <c r="D694"/>
      <c r="E694"/>
      <c r="F694"/>
      <c r="G694"/>
      <c r="H694"/>
      <c r="I694"/>
      <c r="J694"/>
      <c r="K694"/>
      <c r="L694"/>
      <c r="M694"/>
      <c r="N694"/>
      <c r="O694"/>
      <c r="P694"/>
      <c r="Q694"/>
      <c r="R694"/>
      <c r="S694"/>
      <c r="T694"/>
      <c r="U694"/>
      <c r="V694"/>
      <c r="W694"/>
      <c r="X694"/>
      <c r="Y694"/>
      <c r="Z694"/>
      <c r="AA694"/>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c r="BZ694"/>
      <c r="CA694"/>
      <c r="CB694"/>
      <c r="CC694"/>
      <c r="CD694"/>
      <c r="CE694"/>
      <c r="CF694"/>
      <c r="CG694"/>
      <c r="CH694"/>
      <c r="CI694"/>
      <c r="CJ694"/>
      <c r="CK694"/>
      <c r="CL694"/>
      <c r="CM694"/>
      <c r="CN694"/>
      <c r="CO694"/>
      <c r="CP694"/>
      <c r="CQ694"/>
      <c r="CR694"/>
      <c r="CS694"/>
      <c r="CT694"/>
      <c r="CU694"/>
      <c r="CV694"/>
      <c r="CW694"/>
      <c r="CX694"/>
      <c r="CY694"/>
      <c r="CZ694"/>
      <c r="DA694"/>
      <c r="DB694"/>
      <c r="DC694"/>
      <c r="DD694"/>
      <c r="DE694"/>
      <c r="DF694"/>
      <c r="DG694"/>
      <c r="DH694"/>
      <c r="DI694"/>
      <c r="DJ694"/>
      <c r="DK694"/>
      <c r="DL694"/>
      <c r="DM694"/>
      <c r="DN694"/>
      <c r="DO694"/>
      <c r="DP694"/>
      <c r="DQ694"/>
      <c r="DR694"/>
      <c r="DS694"/>
      <c r="DT694"/>
      <c r="DU694"/>
      <c r="DV694"/>
      <c r="DW694"/>
      <c r="DX694"/>
      <c r="DY694"/>
      <c r="DZ694"/>
      <c r="EA694"/>
      <c r="EB694"/>
      <c r="EC694"/>
      <c r="ED694"/>
      <c r="EE694"/>
      <c r="EF694"/>
      <c r="EG694"/>
      <c r="EH694"/>
      <c r="EI694"/>
      <c r="EJ694"/>
      <c r="EK694"/>
      <c r="EL694"/>
      <c r="EM694"/>
      <c r="EN694"/>
      <c r="EO694"/>
      <c r="EP694"/>
      <c r="EQ694"/>
      <c r="ER694"/>
      <c r="ES694"/>
    </row>
    <row r="695" spans="1:149">
      <c r="A695"/>
      <c r="B695"/>
      <c r="C695"/>
      <c r="D695"/>
      <c r="E695"/>
      <c r="F695"/>
      <c r="G695"/>
      <c r="H695"/>
      <c r="I695"/>
      <c r="J695"/>
      <c r="K695"/>
      <c r="L695"/>
      <c r="M695"/>
      <c r="N695"/>
      <c r="O695"/>
      <c r="P695"/>
      <c r="Q695"/>
      <c r="R695"/>
      <c r="S695"/>
      <c r="T695"/>
      <c r="U695"/>
      <c r="V695"/>
      <c r="W695"/>
      <c r="X695"/>
      <c r="Y695"/>
      <c r="Z695"/>
      <c r="AA69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c r="BZ695"/>
      <c r="CA695"/>
      <c r="CB695"/>
      <c r="CC695"/>
      <c r="CD695"/>
      <c r="CE695"/>
      <c r="CF695"/>
      <c r="CG695"/>
      <c r="CH695"/>
      <c r="CI695"/>
      <c r="CJ695"/>
      <c r="CK695"/>
      <c r="CL695"/>
      <c r="CM695"/>
      <c r="CN695"/>
      <c r="CO695"/>
      <c r="CP695"/>
      <c r="CQ695"/>
      <c r="CR695"/>
      <c r="CS695"/>
      <c r="CT695"/>
      <c r="CU695"/>
      <c r="CV695"/>
      <c r="CW695"/>
      <c r="CX695"/>
      <c r="CY695"/>
      <c r="CZ695"/>
      <c r="DA695"/>
      <c r="DB695"/>
      <c r="DC695"/>
      <c r="DD695"/>
      <c r="DE695"/>
      <c r="DF695"/>
      <c r="DG695"/>
      <c r="DH695"/>
      <c r="DI695"/>
      <c r="DJ695"/>
      <c r="DK695"/>
      <c r="DL695"/>
      <c r="DM695"/>
      <c r="DN695"/>
      <c r="DO695"/>
      <c r="DP695"/>
      <c r="DQ695"/>
      <c r="DR695"/>
      <c r="DS695"/>
      <c r="DT695"/>
      <c r="DU695"/>
      <c r="DV695"/>
      <c r="DW695"/>
      <c r="DX695"/>
      <c r="DY695"/>
      <c r="DZ695"/>
      <c r="EA695"/>
      <c r="EB695"/>
      <c r="EC695"/>
      <c r="ED695"/>
      <c r="EE695"/>
      <c r="EF695"/>
      <c r="EG695"/>
      <c r="EH695"/>
      <c r="EI695"/>
      <c r="EJ695"/>
      <c r="EK695"/>
      <c r="EL695"/>
      <c r="EM695"/>
      <c r="EN695"/>
      <c r="EO695"/>
      <c r="EP695"/>
      <c r="EQ695"/>
      <c r="ER695"/>
      <c r="ES695"/>
    </row>
    <row r="696" spans="1:149">
      <c r="A696"/>
      <c r="B696"/>
      <c r="C696"/>
      <c r="D696"/>
      <c r="E696"/>
      <c r="F696"/>
      <c r="G696"/>
      <c r="H696"/>
      <c r="I696"/>
      <c r="J696"/>
      <c r="K696"/>
      <c r="L696"/>
      <c r="M696"/>
      <c r="N696"/>
      <c r="O696"/>
      <c r="P696"/>
      <c r="Q696"/>
      <c r="R696"/>
      <c r="S696"/>
      <c r="T696"/>
      <c r="U696"/>
      <c r="V696"/>
      <c r="W696"/>
      <c r="X696"/>
      <c r="Y696"/>
      <c r="Z696"/>
      <c r="AA696"/>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c r="BZ696"/>
      <c r="CA696"/>
      <c r="CB696"/>
      <c r="CC696"/>
      <c r="CD696"/>
      <c r="CE696"/>
      <c r="CF696"/>
      <c r="CG696"/>
      <c r="CH696"/>
      <c r="CI696"/>
      <c r="CJ696"/>
      <c r="CK696"/>
      <c r="CL696"/>
      <c r="CM696"/>
      <c r="CN696"/>
      <c r="CO696"/>
      <c r="CP696"/>
      <c r="CQ696"/>
      <c r="CR696"/>
      <c r="CS696"/>
      <c r="CT696"/>
      <c r="CU696"/>
      <c r="CV696"/>
      <c r="CW696"/>
      <c r="CX696"/>
      <c r="CY696"/>
      <c r="CZ696"/>
      <c r="DA696"/>
      <c r="DB696"/>
      <c r="DC696"/>
      <c r="DD696"/>
      <c r="DE696"/>
      <c r="DF696"/>
      <c r="DG696"/>
      <c r="DH696"/>
      <c r="DI696"/>
      <c r="DJ696"/>
      <c r="DK696"/>
      <c r="DL696"/>
      <c r="DM696"/>
      <c r="DN696"/>
      <c r="DO696"/>
      <c r="DP696"/>
      <c r="DQ696"/>
      <c r="DR696"/>
      <c r="DS696"/>
      <c r="DT696"/>
      <c r="DU696"/>
      <c r="DV696"/>
      <c r="DW696"/>
      <c r="DX696"/>
      <c r="DY696"/>
      <c r="DZ696"/>
      <c r="EA696"/>
      <c r="EB696"/>
      <c r="EC696"/>
      <c r="ED696"/>
      <c r="EE696"/>
      <c r="EF696"/>
      <c r="EG696"/>
      <c r="EH696"/>
      <c r="EI696"/>
      <c r="EJ696"/>
      <c r="EK696"/>
      <c r="EL696"/>
      <c r="EM696"/>
      <c r="EN696"/>
      <c r="EO696"/>
      <c r="EP696"/>
      <c r="EQ696"/>
      <c r="ER696"/>
      <c r="ES696"/>
    </row>
    <row r="697" spans="1:149">
      <c r="A697"/>
      <c r="B697"/>
      <c r="C697"/>
      <c r="D697"/>
      <c r="E697"/>
      <c r="F697"/>
      <c r="G697"/>
      <c r="H697"/>
      <c r="I697"/>
      <c r="J697"/>
      <c r="K697"/>
      <c r="L697"/>
      <c r="M697"/>
      <c r="N697"/>
      <c r="O697"/>
      <c r="P697"/>
      <c r="Q697"/>
      <c r="R697"/>
      <c r="S697"/>
      <c r="T697"/>
      <c r="U697"/>
      <c r="V697"/>
      <c r="W697"/>
      <c r="X697"/>
      <c r="Y697"/>
      <c r="Z697"/>
      <c r="AA697"/>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c r="BZ697"/>
      <c r="CA697"/>
      <c r="CB697"/>
      <c r="CC697"/>
      <c r="CD697"/>
      <c r="CE697"/>
      <c r="CF697"/>
      <c r="CG697"/>
      <c r="CH697"/>
      <c r="CI697"/>
      <c r="CJ697"/>
      <c r="CK697"/>
      <c r="CL697"/>
      <c r="CM697"/>
      <c r="CN697"/>
      <c r="CO697"/>
      <c r="CP697"/>
      <c r="CQ697"/>
      <c r="CR697"/>
      <c r="CS697"/>
      <c r="CT697"/>
      <c r="CU697"/>
      <c r="CV697"/>
      <c r="CW697"/>
      <c r="CX697"/>
      <c r="CY697"/>
      <c r="CZ697"/>
      <c r="DA697"/>
      <c r="DB697"/>
      <c r="DC697"/>
      <c r="DD697"/>
      <c r="DE697"/>
      <c r="DF697"/>
      <c r="DG697"/>
      <c r="DH697"/>
      <c r="DI697"/>
      <c r="DJ697"/>
      <c r="DK697"/>
      <c r="DL697"/>
      <c r="DM697"/>
      <c r="DN697"/>
      <c r="DO697"/>
      <c r="DP697"/>
      <c r="DQ697"/>
      <c r="DR697"/>
      <c r="DS697"/>
      <c r="DT697"/>
      <c r="DU697"/>
      <c r="DV697"/>
      <c r="DW697"/>
      <c r="DX697"/>
      <c r="DY697"/>
      <c r="DZ697"/>
      <c r="EA697"/>
      <c r="EB697"/>
      <c r="EC697"/>
      <c r="ED697"/>
      <c r="EE697"/>
      <c r="EF697"/>
      <c r="EG697"/>
      <c r="EH697"/>
      <c r="EI697"/>
      <c r="EJ697"/>
      <c r="EK697"/>
      <c r="EL697"/>
      <c r="EM697"/>
      <c r="EN697"/>
      <c r="EO697"/>
      <c r="EP697"/>
      <c r="EQ697"/>
      <c r="ER697"/>
      <c r="ES697"/>
    </row>
    <row r="698" spans="1:149">
      <c r="A698"/>
      <c r="B698"/>
      <c r="C698"/>
      <c r="D698"/>
      <c r="E698"/>
      <c r="F698"/>
      <c r="G698"/>
      <c r="H698"/>
      <c r="I698"/>
      <c r="J698"/>
      <c r="K698"/>
      <c r="L698"/>
      <c r="M698"/>
      <c r="N698"/>
      <c r="O698"/>
      <c r="P698"/>
      <c r="Q698"/>
      <c r="R698"/>
      <c r="S698"/>
      <c r="T698"/>
      <c r="U698"/>
      <c r="V698"/>
      <c r="W698"/>
      <c r="X698"/>
      <c r="Y698"/>
      <c r="Z698"/>
      <c r="AA698"/>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c r="BZ698"/>
      <c r="CA698"/>
      <c r="CB698"/>
      <c r="CC698"/>
      <c r="CD698"/>
      <c r="CE698"/>
      <c r="CF698"/>
      <c r="CG698"/>
      <c r="CH698"/>
      <c r="CI698"/>
      <c r="CJ698"/>
      <c r="CK698"/>
      <c r="CL698"/>
      <c r="CM698"/>
      <c r="CN698"/>
      <c r="CO698"/>
      <c r="CP698"/>
      <c r="CQ698"/>
      <c r="CR698"/>
      <c r="CS698"/>
      <c r="CT698"/>
      <c r="CU698"/>
      <c r="CV698"/>
      <c r="CW698"/>
      <c r="CX698"/>
      <c r="CY698"/>
      <c r="CZ698"/>
      <c r="DA698"/>
      <c r="DB698"/>
      <c r="DC698"/>
      <c r="DD698"/>
      <c r="DE698"/>
      <c r="DF698"/>
      <c r="DG698"/>
      <c r="DH698"/>
      <c r="DI698"/>
      <c r="DJ698"/>
      <c r="DK698"/>
      <c r="DL698"/>
      <c r="DM698"/>
      <c r="DN698"/>
      <c r="DO698"/>
      <c r="DP698"/>
      <c r="DQ698"/>
      <c r="DR698"/>
      <c r="DS698"/>
      <c r="DT698"/>
      <c r="DU698"/>
      <c r="DV698"/>
      <c r="DW698"/>
      <c r="DX698"/>
      <c r="DY698"/>
      <c r="DZ698"/>
      <c r="EA698"/>
      <c r="EB698"/>
      <c r="EC698"/>
      <c r="ED698"/>
      <c r="EE698"/>
      <c r="EF698"/>
      <c r="EG698"/>
      <c r="EH698"/>
      <c r="EI698"/>
      <c r="EJ698"/>
      <c r="EK698"/>
      <c r="EL698"/>
      <c r="EM698"/>
      <c r="EN698"/>
      <c r="EO698"/>
      <c r="EP698"/>
      <c r="EQ698"/>
      <c r="ER698"/>
      <c r="ES698"/>
    </row>
    <row r="699" spans="1:149">
      <c r="A699"/>
      <c r="B699"/>
      <c r="C699"/>
      <c r="D699"/>
      <c r="E699"/>
      <c r="F699"/>
      <c r="G699"/>
      <c r="H699"/>
      <c r="I699"/>
      <c r="J699"/>
      <c r="K699"/>
      <c r="L699"/>
      <c r="M699"/>
      <c r="N699"/>
      <c r="O699"/>
      <c r="P699"/>
      <c r="Q699"/>
      <c r="R699"/>
      <c r="S699"/>
      <c r="T699"/>
      <c r="U699"/>
      <c r="V699"/>
      <c r="W699"/>
      <c r="X699"/>
      <c r="Y699"/>
      <c r="Z699"/>
      <c r="AA699"/>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c r="BZ699"/>
      <c r="CA699"/>
      <c r="CB699"/>
      <c r="CC699"/>
      <c r="CD699"/>
      <c r="CE699"/>
      <c r="CF699"/>
      <c r="CG699"/>
      <c r="CH699"/>
      <c r="CI699"/>
      <c r="CJ699"/>
      <c r="CK699"/>
      <c r="CL699"/>
      <c r="CM699"/>
      <c r="CN699"/>
      <c r="CO699"/>
      <c r="CP699"/>
      <c r="CQ699"/>
      <c r="CR699"/>
      <c r="CS699"/>
      <c r="CT699"/>
      <c r="CU699"/>
      <c r="CV699"/>
      <c r="CW699"/>
      <c r="CX699"/>
      <c r="CY699"/>
      <c r="CZ699"/>
      <c r="DA699"/>
      <c r="DB699"/>
      <c r="DC699"/>
      <c r="DD699"/>
      <c r="DE699"/>
      <c r="DF699"/>
      <c r="DG699"/>
      <c r="DH699"/>
      <c r="DI699"/>
      <c r="DJ699"/>
      <c r="DK699"/>
      <c r="DL699"/>
      <c r="DM699"/>
      <c r="DN699"/>
      <c r="DO699"/>
      <c r="DP699"/>
      <c r="DQ699"/>
      <c r="DR699"/>
      <c r="DS699"/>
      <c r="DT699"/>
      <c r="DU699"/>
      <c r="DV699"/>
      <c r="DW699"/>
      <c r="DX699"/>
      <c r="DY699"/>
      <c r="DZ699"/>
      <c r="EA699"/>
      <c r="EB699"/>
      <c r="EC699"/>
      <c r="ED699"/>
      <c r="EE699"/>
      <c r="EF699"/>
      <c r="EG699"/>
      <c r="EH699"/>
      <c r="EI699"/>
      <c r="EJ699"/>
      <c r="EK699"/>
      <c r="EL699"/>
      <c r="EM699"/>
      <c r="EN699"/>
      <c r="EO699"/>
      <c r="EP699"/>
      <c r="EQ699"/>
      <c r="ER699"/>
      <c r="ES699"/>
    </row>
    <row r="700" spans="1:149">
      <c r="A700"/>
      <c r="B700"/>
      <c r="C700"/>
      <c r="D700"/>
      <c r="E700"/>
      <c r="F700"/>
      <c r="G700"/>
      <c r="H700"/>
      <c r="I700"/>
      <c r="J700"/>
      <c r="K700"/>
      <c r="L700"/>
      <c r="M700"/>
      <c r="N700"/>
      <c r="O700"/>
      <c r="P700"/>
      <c r="Q700"/>
      <c r="R700"/>
      <c r="S700"/>
      <c r="T700"/>
      <c r="U700"/>
      <c r="V700"/>
      <c r="W700"/>
      <c r="X700"/>
      <c r="Y700"/>
      <c r="Z700"/>
      <c r="AA700"/>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c r="BZ700"/>
      <c r="CA700"/>
      <c r="CB700"/>
      <c r="CC700"/>
      <c r="CD700"/>
      <c r="CE700"/>
      <c r="CF700"/>
      <c r="CG700"/>
      <c r="CH700"/>
      <c r="CI700"/>
      <c r="CJ700"/>
      <c r="CK700"/>
      <c r="CL700"/>
      <c r="CM700"/>
      <c r="CN700"/>
      <c r="CO700"/>
      <c r="CP700"/>
      <c r="CQ700"/>
      <c r="CR700"/>
      <c r="CS700"/>
      <c r="CT700"/>
      <c r="CU700"/>
      <c r="CV700"/>
      <c r="CW700"/>
      <c r="CX700"/>
      <c r="CY700"/>
      <c r="CZ700"/>
      <c r="DA700"/>
      <c r="DB700"/>
      <c r="DC700"/>
      <c r="DD700"/>
      <c r="DE700"/>
      <c r="DF700"/>
      <c r="DG700"/>
      <c r="DH700"/>
      <c r="DI700"/>
      <c r="DJ700"/>
      <c r="DK700"/>
      <c r="DL700"/>
      <c r="DM700"/>
      <c r="DN700"/>
      <c r="DO700"/>
      <c r="DP700"/>
      <c r="DQ700"/>
      <c r="DR700"/>
      <c r="DS700"/>
      <c r="DT700"/>
      <c r="DU700"/>
      <c r="DV700"/>
      <c r="DW700"/>
      <c r="DX700"/>
      <c r="DY700"/>
      <c r="DZ700"/>
      <c r="EA700"/>
      <c r="EB700"/>
      <c r="EC700"/>
      <c r="ED700"/>
      <c r="EE700"/>
      <c r="EF700"/>
      <c r="EG700"/>
      <c r="EH700"/>
      <c r="EI700"/>
      <c r="EJ700"/>
      <c r="EK700"/>
      <c r="EL700"/>
      <c r="EM700"/>
      <c r="EN700"/>
      <c r="EO700"/>
      <c r="EP700"/>
      <c r="EQ700"/>
      <c r="ER700"/>
      <c r="ES700"/>
    </row>
    <row r="701" spans="1:149">
      <c r="A701"/>
      <c r="B701"/>
      <c r="C701"/>
      <c r="D701"/>
      <c r="E701"/>
      <c r="F701"/>
      <c r="G701"/>
      <c r="H701"/>
      <c r="I701"/>
      <c r="J701"/>
      <c r="K701"/>
      <c r="L701"/>
      <c r="M701"/>
      <c r="N701"/>
      <c r="O701"/>
      <c r="P701"/>
      <c r="Q701"/>
      <c r="R701"/>
      <c r="S701"/>
      <c r="T701"/>
      <c r="U701"/>
      <c r="V701"/>
      <c r="W701"/>
      <c r="X701"/>
      <c r="Y701"/>
      <c r="Z701"/>
      <c r="AA701"/>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c r="BZ701"/>
      <c r="CA701"/>
      <c r="CB701"/>
      <c r="CC701"/>
      <c r="CD701"/>
      <c r="CE701"/>
      <c r="CF701"/>
      <c r="CG701"/>
      <c r="CH701"/>
      <c r="CI701"/>
      <c r="CJ701"/>
      <c r="CK701"/>
      <c r="CL701"/>
      <c r="CM701"/>
      <c r="CN701"/>
      <c r="CO701"/>
      <c r="CP701"/>
      <c r="CQ701"/>
      <c r="CR701"/>
      <c r="CS701"/>
      <c r="CT701"/>
      <c r="CU701"/>
      <c r="CV701"/>
      <c r="CW701"/>
      <c r="CX701"/>
      <c r="CY701"/>
      <c r="CZ701"/>
      <c r="DA701"/>
      <c r="DB701"/>
      <c r="DC701"/>
      <c r="DD701"/>
      <c r="DE701"/>
      <c r="DF701"/>
      <c r="DG701"/>
      <c r="DH701"/>
      <c r="DI701"/>
      <c r="DJ701"/>
      <c r="DK701"/>
      <c r="DL701"/>
      <c r="DM701"/>
      <c r="DN701"/>
      <c r="DO701"/>
      <c r="DP701"/>
      <c r="DQ701"/>
      <c r="DR701"/>
      <c r="DS701"/>
      <c r="DT701"/>
      <c r="DU701"/>
      <c r="DV701"/>
      <c r="DW701"/>
      <c r="DX701"/>
      <c r="DY701"/>
      <c r="DZ701"/>
      <c r="EA701"/>
      <c r="EB701"/>
      <c r="EC701"/>
      <c r="ED701"/>
      <c r="EE701"/>
      <c r="EF701"/>
      <c r="EG701"/>
      <c r="EH701"/>
      <c r="EI701"/>
      <c r="EJ701"/>
      <c r="EK701"/>
      <c r="EL701"/>
      <c r="EM701"/>
      <c r="EN701"/>
      <c r="EO701"/>
      <c r="EP701"/>
      <c r="EQ701"/>
      <c r="ER701"/>
      <c r="ES701"/>
    </row>
    <row r="702" spans="1:149">
      <c r="A702"/>
      <c r="B702"/>
      <c r="C702"/>
      <c r="D702"/>
      <c r="E702"/>
      <c r="F702"/>
      <c r="G702"/>
      <c r="H702"/>
      <c r="I702"/>
      <c r="J702"/>
      <c r="K702"/>
      <c r="L702"/>
      <c r="M702"/>
      <c r="N702"/>
      <c r="O702"/>
      <c r="P702"/>
      <c r="Q702"/>
      <c r="R702"/>
      <c r="S702"/>
      <c r="T702"/>
      <c r="U702"/>
      <c r="V702"/>
      <c r="W702"/>
      <c r="X702"/>
      <c r="Y702"/>
      <c r="Z702"/>
      <c r="AA702"/>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c r="BZ702"/>
      <c r="CA702"/>
      <c r="CB702"/>
      <c r="CC702"/>
      <c r="CD702"/>
      <c r="CE702"/>
      <c r="CF702"/>
      <c r="CG702"/>
      <c r="CH702"/>
      <c r="CI702"/>
      <c r="CJ702"/>
      <c r="CK702"/>
      <c r="CL702"/>
      <c r="CM702"/>
      <c r="CN702"/>
      <c r="CO702"/>
      <c r="CP702"/>
      <c r="CQ702"/>
      <c r="CR702"/>
      <c r="CS702"/>
      <c r="CT702"/>
      <c r="CU702"/>
      <c r="CV702"/>
      <c r="CW702"/>
      <c r="CX702"/>
      <c r="CY702"/>
      <c r="CZ702"/>
      <c r="DA702"/>
      <c r="DB702"/>
      <c r="DC702"/>
      <c r="DD702"/>
      <c r="DE702"/>
      <c r="DF702"/>
      <c r="DG702"/>
      <c r="DH702"/>
      <c r="DI702"/>
      <c r="DJ702"/>
      <c r="DK702"/>
      <c r="DL702"/>
      <c r="DM702"/>
      <c r="DN702"/>
      <c r="DO702"/>
      <c r="DP702"/>
      <c r="DQ702"/>
      <c r="DR702"/>
      <c r="DS702"/>
      <c r="DT702"/>
      <c r="DU702"/>
      <c r="DV702"/>
      <c r="DW702"/>
      <c r="DX702"/>
      <c r="DY702"/>
      <c r="DZ702"/>
      <c r="EA702"/>
      <c r="EB702"/>
      <c r="EC702"/>
      <c r="ED702"/>
      <c r="EE702"/>
      <c r="EF702"/>
      <c r="EG702"/>
      <c r="EH702"/>
      <c r="EI702"/>
      <c r="EJ702"/>
      <c r="EK702"/>
      <c r="EL702"/>
      <c r="EM702"/>
      <c r="EN702"/>
      <c r="EO702"/>
      <c r="EP702"/>
      <c r="EQ702"/>
      <c r="ER702"/>
      <c r="ES702"/>
    </row>
    <row r="703" spans="1:149">
      <c r="A703"/>
      <c r="B703"/>
      <c r="C703"/>
      <c r="D703"/>
      <c r="E703"/>
      <c r="F703"/>
      <c r="G703"/>
      <c r="H703"/>
      <c r="I703"/>
      <c r="J703"/>
      <c r="K703"/>
      <c r="L703"/>
      <c r="M703"/>
      <c r="N703"/>
      <c r="O703"/>
      <c r="P703"/>
      <c r="Q703"/>
      <c r="R703"/>
      <c r="S703"/>
      <c r="T703"/>
      <c r="U703"/>
      <c r="V703"/>
      <c r="W703"/>
      <c r="X703"/>
      <c r="Y703"/>
      <c r="Z703"/>
      <c r="AA703"/>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c r="BZ703"/>
      <c r="CA703"/>
      <c r="CB703"/>
      <c r="CC703"/>
      <c r="CD703"/>
      <c r="CE703"/>
      <c r="CF703"/>
      <c r="CG703"/>
      <c r="CH703"/>
      <c r="CI703"/>
      <c r="CJ703"/>
      <c r="CK703"/>
      <c r="CL703"/>
      <c r="CM703"/>
      <c r="CN703"/>
      <c r="CO703"/>
      <c r="CP703"/>
      <c r="CQ703"/>
      <c r="CR703"/>
      <c r="CS703"/>
      <c r="CT703"/>
      <c r="CU703"/>
      <c r="CV703"/>
      <c r="CW703"/>
      <c r="CX703"/>
      <c r="CY703"/>
      <c r="CZ703"/>
      <c r="DA703"/>
      <c r="DB703"/>
      <c r="DC703"/>
      <c r="DD703"/>
      <c r="DE703"/>
      <c r="DF703"/>
      <c r="DG703"/>
      <c r="DH703"/>
      <c r="DI703"/>
      <c r="DJ703"/>
      <c r="DK703"/>
      <c r="DL703"/>
      <c r="DM703"/>
      <c r="DN703"/>
      <c r="DO703"/>
      <c r="DP703"/>
      <c r="DQ703"/>
      <c r="DR703"/>
      <c r="DS703"/>
      <c r="DT703"/>
      <c r="DU703"/>
      <c r="DV703"/>
      <c r="DW703"/>
      <c r="DX703"/>
      <c r="DY703"/>
      <c r="DZ703"/>
      <c r="EA703"/>
      <c r="EB703"/>
      <c r="EC703"/>
      <c r="ED703"/>
      <c r="EE703"/>
      <c r="EF703"/>
      <c r="EG703"/>
      <c r="EH703"/>
      <c r="EI703"/>
      <c r="EJ703"/>
      <c r="EK703"/>
      <c r="EL703"/>
      <c r="EM703"/>
      <c r="EN703"/>
      <c r="EO703"/>
      <c r="EP703"/>
      <c r="EQ703"/>
      <c r="ER703"/>
      <c r="ES703"/>
    </row>
    <row r="704" spans="1:149">
      <c r="A704"/>
      <c r="B704"/>
      <c r="C704"/>
      <c r="D704"/>
      <c r="E704"/>
      <c r="F704"/>
      <c r="G704"/>
      <c r="H704"/>
      <c r="I704"/>
      <c r="J704"/>
      <c r="K704"/>
      <c r="L704"/>
      <c r="M704"/>
      <c r="N704"/>
      <c r="O704"/>
      <c r="P704"/>
      <c r="Q704"/>
      <c r="R704"/>
      <c r="S704"/>
      <c r="T704"/>
      <c r="U704"/>
      <c r="V704"/>
      <c r="W704"/>
      <c r="X704"/>
      <c r="Y704"/>
      <c r="Z704"/>
      <c r="AA704"/>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c r="BZ704"/>
      <c r="CA704"/>
      <c r="CB704"/>
      <c r="CC704"/>
      <c r="CD704"/>
      <c r="CE704"/>
      <c r="CF704"/>
      <c r="CG704"/>
      <c r="CH704"/>
      <c r="CI704"/>
      <c r="CJ704"/>
      <c r="CK704"/>
      <c r="CL704"/>
      <c r="CM704"/>
      <c r="CN704"/>
      <c r="CO704"/>
      <c r="CP704"/>
      <c r="CQ704"/>
      <c r="CR704"/>
      <c r="CS704"/>
      <c r="CT704"/>
      <c r="CU704"/>
      <c r="CV704"/>
      <c r="CW704"/>
      <c r="CX704"/>
      <c r="CY704"/>
      <c r="CZ704"/>
      <c r="DA704"/>
      <c r="DB704"/>
      <c r="DC704"/>
      <c r="DD704"/>
      <c r="DE704"/>
      <c r="DF704"/>
      <c r="DG704"/>
      <c r="DH704"/>
      <c r="DI704"/>
      <c r="DJ704"/>
      <c r="DK704"/>
      <c r="DL704"/>
      <c r="DM704"/>
      <c r="DN704"/>
      <c r="DO704"/>
      <c r="DP704"/>
      <c r="DQ704"/>
      <c r="DR704"/>
      <c r="DS704"/>
      <c r="DT704"/>
      <c r="DU704"/>
      <c r="DV704"/>
      <c r="DW704"/>
      <c r="DX704"/>
      <c r="DY704"/>
      <c r="DZ704"/>
      <c r="EA704"/>
      <c r="EB704"/>
      <c r="EC704"/>
      <c r="ED704"/>
      <c r="EE704"/>
      <c r="EF704"/>
      <c r="EG704"/>
      <c r="EH704"/>
      <c r="EI704"/>
      <c r="EJ704"/>
      <c r="EK704"/>
      <c r="EL704"/>
      <c r="EM704"/>
      <c r="EN704"/>
      <c r="EO704"/>
      <c r="EP704"/>
      <c r="EQ704"/>
      <c r="ER704"/>
      <c r="ES704"/>
    </row>
    <row r="705" spans="1:149">
      <c r="A705"/>
      <c r="B705"/>
      <c r="C705"/>
      <c r="D705"/>
      <c r="E705"/>
      <c r="F705"/>
      <c r="G705"/>
      <c r="H705"/>
      <c r="I705"/>
      <c r="J705"/>
      <c r="K705"/>
      <c r="L705"/>
      <c r="M705"/>
      <c r="N705"/>
      <c r="O705"/>
      <c r="P705"/>
      <c r="Q705"/>
      <c r="R705"/>
      <c r="S705"/>
      <c r="T705"/>
      <c r="U705"/>
      <c r="V705"/>
      <c r="W705"/>
      <c r="X705"/>
      <c r="Y705"/>
      <c r="Z705"/>
      <c r="AA70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c r="BZ705"/>
      <c r="CA705"/>
      <c r="CB705"/>
      <c r="CC705"/>
      <c r="CD705"/>
      <c r="CE705"/>
      <c r="CF705"/>
      <c r="CG705"/>
      <c r="CH705"/>
      <c r="CI705"/>
      <c r="CJ705"/>
      <c r="CK705"/>
      <c r="CL705"/>
      <c r="CM705"/>
      <c r="CN705"/>
      <c r="CO705"/>
      <c r="CP705"/>
      <c r="CQ705"/>
      <c r="CR705"/>
      <c r="CS705"/>
      <c r="CT705"/>
      <c r="CU705"/>
      <c r="CV705"/>
      <c r="CW705"/>
      <c r="CX705"/>
      <c r="CY705"/>
      <c r="CZ705"/>
      <c r="DA705"/>
      <c r="DB705"/>
      <c r="DC705"/>
      <c r="DD705"/>
      <c r="DE705"/>
      <c r="DF705"/>
      <c r="DG705"/>
      <c r="DH705"/>
      <c r="DI705"/>
      <c r="DJ705"/>
      <c r="DK705"/>
      <c r="DL705"/>
      <c r="DM705"/>
      <c r="DN705"/>
      <c r="DO705"/>
      <c r="DP705"/>
      <c r="DQ705"/>
      <c r="DR705"/>
      <c r="DS705"/>
      <c r="DT705"/>
      <c r="DU705"/>
      <c r="DV705"/>
      <c r="DW705"/>
      <c r="DX705"/>
      <c r="DY705"/>
      <c r="DZ705"/>
      <c r="EA705"/>
      <c r="EB705"/>
      <c r="EC705"/>
      <c r="ED705"/>
      <c r="EE705"/>
      <c r="EF705"/>
      <c r="EG705"/>
      <c r="EH705"/>
      <c r="EI705"/>
      <c r="EJ705"/>
      <c r="EK705"/>
      <c r="EL705"/>
      <c r="EM705"/>
      <c r="EN705"/>
      <c r="EO705"/>
      <c r="EP705"/>
      <c r="EQ705"/>
      <c r="ER705"/>
      <c r="ES705"/>
    </row>
    <row r="706" spans="1:149">
      <c r="A706"/>
      <c r="B706"/>
      <c r="C706"/>
      <c r="D706"/>
      <c r="E706"/>
      <c r="F706"/>
      <c r="G706"/>
      <c r="H706"/>
      <c r="I706"/>
      <c r="J706"/>
      <c r="K706"/>
      <c r="L706"/>
      <c r="M706"/>
      <c r="N706"/>
      <c r="O706"/>
      <c r="P706"/>
      <c r="Q706"/>
      <c r="R706"/>
      <c r="S706"/>
      <c r="T706"/>
      <c r="U706"/>
      <c r="V706"/>
      <c r="W706"/>
      <c r="X706"/>
      <c r="Y706"/>
      <c r="Z706"/>
      <c r="AA706"/>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c r="BZ706"/>
      <c r="CA706"/>
      <c r="CB706"/>
      <c r="CC706"/>
      <c r="CD706"/>
      <c r="CE706"/>
      <c r="CF706"/>
      <c r="CG706"/>
      <c r="CH706"/>
      <c r="CI706"/>
      <c r="CJ706"/>
      <c r="CK706"/>
      <c r="CL706"/>
      <c r="CM706"/>
      <c r="CN706"/>
      <c r="CO706"/>
      <c r="CP706"/>
      <c r="CQ706"/>
      <c r="CR706"/>
      <c r="CS706"/>
      <c r="CT706"/>
      <c r="CU706"/>
      <c r="CV706"/>
      <c r="CW706"/>
      <c r="CX706"/>
      <c r="CY706"/>
      <c r="CZ706"/>
      <c r="DA706"/>
      <c r="DB706"/>
      <c r="DC706"/>
      <c r="DD706"/>
      <c r="DE706"/>
      <c r="DF706"/>
      <c r="DG706"/>
      <c r="DH706"/>
      <c r="DI706"/>
      <c r="DJ706"/>
      <c r="DK706"/>
      <c r="DL706"/>
      <c r="DM706"/>
      <c r="DN706"/>
      <c r="DO706"/>
      <c r="DP706"/>
      <c r="DQ706"/>
      <c r="DR706"/>
      <c r="DS706"/>
      <c r="DT706"/>
      <c r="DU706"/>
      <c r="DV706"/>
      <c r="DW706"/>
      <c r="DX706"/>
      <c r="DY706"/>
      <c r="DZ706"/>
      <c r="EA706"/>
      <c r="EB706"/>
      <c r="EC706"/>
      <c r="ED706"/>
      <c r="EE706"/>
      <c r="EF706"/>
      <c r="EG706"/>
      <c r="EH706"/>
      <c r="EI706"/>
      <c r="EJ706"/>
      <c r="EK706"/>
      <c r="EL706"/>
      <c r="EM706"/>
      <c r="EN706"/>
      <c r="EO706"/>
      <c r="EP706"/>
      <c r="EQ706"/>
      <c r="ER706"/>
      <c r="ES706"/>
    </row>
    <row r="707" spans="1:149">
      <c r="A707"/>
      <c r="B707"/>
      <c r="C707"/>
      <c r="D707"/>
      <c r="E707"/>
      <c r="F707"/>
      <c r="G707"/>
      <c r="H707"/>
      <c r="I707"/>
      <c r="J707"/>
      <c r="K707"/>
      <c r="L707"/>
      <c r="M707"/>
      <c r="N707"/>
      <c r="O707"/>
      <c r="P707"/>
      <c r="Q707"/>
      <c r="R707"/>
      <c r="S707"/>
      <c r="T707"/>
      <c r="U707"/>
      <c r="V707"/>
      <c r="W707"/>
      <c r="X707"/>
      <c r="Y707"/>
      <c r="Z707"/>
      <c r="AA707"/>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c r="BZ707"/>
      <c r="CA707"/>
      <c r="CB707"/>
      <c r="CC707"/>
      <c r="CD707"/>
      <c r="CE707"/>
      <c r="CF707"/>
      <c r="CG707"/>
      <c r="CH707"/>
      <c r="CI707"/>
      <c r="CJ707"/>
      <c r="CK707"/>
      <c r="CL707"/>
      <c r="CM707"/>
      <c r="CN707"/>
      <c r="CO707"/>
      <c r="CP707"/>
      <c r="CQ707"/>
      <c r="CR707"/>
      <c r="CS707"/>
      <c r="CT707"/>
      <c r="CU707"/>
      <c r="CV707"/>
      <c r="CW707"/>
      <c r="CX707"/>
      <c r="CY707"/>
      <c r="CZ707"/>
      <c r="DA707"/>
      <c r="DB707"/>
      <c r="DC707"/>
      <c r="DD707"/>
      <c r="DE707"/>
      <c r="DF707"/>
      <c r="DG707"/>
      <c r="DH707"/>
      <c r="DI707"/>
      <c r="DJ707"/>
      <c r="DK707"/>
      <c r="DL707"/>
      <c r="DM707"/>
      <c r="DN707"/>
      <c r="DO707"/>
      <c r="DP707"/>
      <c r="DQ707"/>
      <c r="DR707"/>
      <c r="DS707"/>
      <c r="DT707"/>
      <c r="DU707"/>
      <c r="DV707"/>
      <c r="DW707"/>
      <c r="DX707"/>
      <c r="DY707"/>
      <c r="DZ707"/>
      <c r="EA707"/>
      <c r="EB707"/>
      <c r="EC707"/>
      <c r="ED707"/>
      <c r="EE707"/>
      <c r="EF707"/>
      <c r="EG707"/>
      <c r="EH707"/>
      <c r="EI707"/>
      <c r="EJ707"/>
      <c r="EK707"/>
      <c r="EL707"/>
      <c r="EM707"/>
      <c r="EN707"/>
      <c r="EO707"/>
      <c r="EP707"/>
      <c r="EQ707"/>
      <c r="ER707"/>
      <c r="ES707"/>
    </row>
    <row r="708" spans="1:149">
      <c r="A708"/>
      <c r="B708"/>
      <c r="C708"/>
      <c r="D708"/>
      <c r="E708"/>
      <c r="F708"/>
      <c r="G708"/>
      <c r="H708"/>
      <c r="I708"/>
      <c r="J708"/>
      <c r="K708"/>
      <c r="L708"/>
      <c r="M708"/>
      <c r="N708"/>
      <c r="O708"/>
      <c r="P708"/>
      <c r="Q708"/>
      <c r="R708"/>
      <c r="S708"/>
      <c r="T708"/>
      <c r="U708"/>
      <c r="V708"/>
      <c r="W708"/>
      <c r="X708"/>
      <c r="Y708"/>
      <c r="Z708"/>
      <c r="AA708"/>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c r="BZ708"/>
      <c r="CA708"/>
      <c r="CB708"/>
      <c r="CC708"/>
      <c r="CD708"/>
      <c r="CE708"/>
      <c r="CF708"/>
      <c r="CG708"/>
      <c r="CH708"/>
      <c r="CI708"/>
      <c r="CJ708"/>
      <c r="CK708"/>
      <c r="CL708"/>
      <c r="CM708"/>
      <c r="CN708"/>
      <c r="CO708"/>
      <c r="CP708"/>
      <c r="CQ708"/>
      <c r="CR708"/>
      <c r="CS708"/>
      <c r="CT708"/>
      <c r="CU708"/>
      <c r="CV708"/>
      <c r="CW708"/>
      <c r="CX708"/>
      <c r="CY708"/>
      <c r="CZ708"/>
      <c r="DA708"/>
      <c r="DB708"/>
      <c r="DC708"/>
      <c r="DD708"/>
      <c r="DE708"/>
      <c r="DF708"/>
      <c r="DG708"/>
      <c r="DH708"/>
      <c r="DI708"/>
      <c r="DJ708"/>
      <c r="DK708"/>
      <c r="DL708"/>
      <c r="DM708"/>
      <c r="DN708"/>
      <c r="DO708"/>
      <c r="DP708"/>
      <c r="DQ708"/>
      <c r="DR708"/>
      <c r="DS708"/>
      <c r="DT708"/>
      <c r="DU708"/>
      <c r="DV708"/>
      <c r="DW708"/>
      <c r="DX708"/>
      <c r="DY708"/>
      <c r="DZ708"/>
      <c r="EA708"/>
      <c r="EB708"/>
      <c r="EC708"/>
      <c r="ED708"/>
      <c r="EE708"/>
      <c r="EF708"/>
      <c r="EG708"/>
      <c r="EH708"/>
      <c r="EI708"/>
      <c r="EJ708"/>
      <c r="EK708"/>
      <c r="EL708"/>
      <c r="EM708"/>
      <c r="EN708"/>
      <c r="EO708"/>
      <c r="EP708"/>
      <c r="EQ708"/>
      <c r="ER708"/>
      <c r="ES708"/>
    </row>
    <row r="709" spans="1:149">
      <c r="A709"/>
      <c r="B709"/>
      <c r="C709"/>
      <c r="D709"/>
      <c r="E709"/>
      <c r="F709"/>
      <c r="G709"/>
      <c r="H709"/>
      <c r="I709"/>
      <c r="J709"/>
      <c r="K709"/>
      <c r="L709"/>
      <c r="M709"/>
      <c r="N709"/>
      <c r="O709"/>
      <c r="P709"/>
      <c r="Q709"/>
      <c r="R709"/>
      <c r="S709"/>
      <c r="T709"/>
      <c r="U709"/>
      <c r="V709"/>
      <c r="W709"/>
      <c r="X709"/>
      <c r="Y709"/>
      <c r="Z709"/>
      <c r="AA709"/>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c r="BZ709"/>
      <c r="CA709"/>
      <c r="CB709"/>
      <c r="CC709"/>
      <c r="CD709"/>
      <c r="CE709"/>
      <c r="CF709"/>
      <c r="CG709"/>
      <c r="CH709"/>
      <c r="CI709"/>
      <c r="CJ709"/>
      <c r="CK709"/>
      <c r="CL709"/>
      <c r="CM709"/>
      <c r="CN709"/>
      <c r="CO709"/>
      <c r="CP709"/>
      <c r="CQ709"/>
      <c r="CR709"/>
      <c r="CS709"/>
      <c r="CT709"/>
      <c r="CU709"/>
      <c r="CV709"/>
      <c r="CW709"/>
      <c r="CX709"/>
      <c r="CY709"/>
      <c r="CZ709"/>
      <c r="DA709"/>
      <c r="DB709"/>
      <c r="DC709"/>
      <c r="DD709"/>
      <c r="DE709"/>
      <c r="DF709"/>
      <c r="DG709"/>
      <c r="DH709"/>
      <c r="DI709"/>
      <c r="DJ709"/>
      <c r="DK709"/>
      <c r="DL709"/>
      <c r="DM709"/>
      <c r="DN709"/>
      <c r="DO709"/>
      <c r="DP709"/>
      <c r="DQ709"/>
      <c r="DR709"/>
      <c r="DS709"/>
      <c r="DT709"/>
      <c r="DU709"/>
      <c r="DV709"/>
      <c r="DW709"/>
      <c r="DX709"/>
      <c r="DY709"/>
      <c r="DZ709"/>
      <c r="EA709"/>
      <c r="EB709"/>
      <c r="EC709"/>
      <c r="ED709"/>
      <c r="EE709"/>
      <c r="EF709"/>
      <c r="EG709"/>
      <c r="EH709"/>
      <c r="EI709"/>
      <c r="EJ709"/>
      <c r="EK709"/>
      <c r="EL709"/>
      <c r="EM709"/>
      <c r="EN709"/>
      <c r="EO709"/>
      <c r="EP709"/>
      <c r="EQ709"/>
      <c r="ER709"/>
      <c r="ES709"/>
    </row>
    <row r="710" spans="1:149">
      <c r="A710"/>
      <c r="B710"/>
      <c r="C710"/>
      <c r="D710"/>
      <c r="E710"/>
      <c r="F710"/>
      <c r="G710"/>
      <c r="H710"/>
      <c r="I710"/>
      <c r="J710"/>
      <c r="K710"/>
      <c r="L710"/>
      <c r="M710"/>
      <c r="N710"/>
      <c r="O710"/>
      <c r="P710"/>
      <c r="Q710"/>
      <c r="R710"/>
      <c r="S710"/>
      <c r="T710"/>
      <c r="U710"/>
      <c r="V710"/>
      <c r="W710"/>
      <c r="X710"/>
      <c r="Y710"/>
      <c r="Z710"/>
      <c r="AA710"/>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c r="BZ710"/>
      <c r="CA710"/>
      <c r="CB710"/>
      <c r="CC710"/>
      <c r="CD710"/>
      <c r="CE710"/>
      <c r="CF710"/>
      <c r="CG710"/>
      <c r="CH710"/>
      <c r="CI710"/>
      <c r="CJ710"/>
      <c r="CK710"/>
      <c r="CL710"/>
      <c r="CM710"/>
      <c r="CN710"/>
      <c r="CO710"/>
      <c r="CP710"/>
      <c r="CQ710"/>
      <c r="CR710"/>
      <c r="CS710"/>
      <c r="CT710"/>
      <c r="CU710"/>
      <c r="CV710"/>
      <c r="CW710"/>
      <c r="CX710"/>
      <c r="CY710"/>
      <c r="CZ710"/>
      <c r="DA710"/>
      <c r="DB710"/>
      <c r="DC710"/>
      <c r="DD710"/>
      <c r="DE710"/>
      <c r="DF710"/>
      <c r="DG710"/>
      <c r="DH710"/>
      <c r="DI710"/>
      <c r="DJ710"/>
      <c r="DK710"/>
      <c r="DL710"/>
      <c r="DM710"/>
      <c r="DN710"/>
      <c r="DO710"/>
      <c r="DP710"/>
      <c r="DQ710"/>
      <c r="DR710"/>
      <c r="DS710"/>
      <c r="DT710"/>
      <c r="DU710"/>
      <c r="DV710"/>
      <c r="DW710"/>
      <c r="DX710"/>
      <c r="DY710"/>
      <c r="DZ710"/>
      <c r="EA710"/>
      <c r="EB710"/>
      <c r="EC710"/>
      <c r="ED710"/>
      <c r="EE710"/>
      <c r="EF710"/>
      <c r="EG710"/>
      <c r="EH710"/>
      <c r="EI710"/>
      <c r="EJ710"/>
      <c r="EK710"/>
      <c r="EL710"/>
      <c r="EM710"/>
      <c r="EN710"/>
      <c r="EO710"/>
      <c r="EP710"/>
      <c r="EQ710"/>
      <c r="ER710"/>
      <c r="ES710"/>
    </row>
    <row r="711" spans="1:149">
      <c r="A711"/>
      <c r="B711"/>
      <c r="C711"/>
      <c r="D711"/>
      <c r="E711"/>
      <c r="F711"/>
      <c r="G711"/>
      <c r="H711"/>
      <c r="I711"/>
      <c r="J711"/>
      <c r="K711"/>
      <c r="L711"/>
      <c r="M711"/>
      <c r="N711"/>
      <c r="O711"/>
      <c r="P711"/>
      <c r="Q711"/>
      <c r="R711"/>
      <c r="S711"/>
      <c r="T711"/>
      <c r="U711"/>
      <c r="V711"/>
      <c r="W711"/>
      <c r="X711"/>
      <c r="Y711"/>
      <c r="Z711"/>
      <c r="AA711"/>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c r="BZ711"/>
      <c r="CA711"/>
      <c r="CB711"/>
      <c r="CC711"/>
      <c r="CD711"/>
      <c r="CE711"/>
      <c r="CF711"/>
      <c r="CG711"/>
      <c r="CH711"/>
      <c r="CI711"/>
      <c r="CJ711"/>
      <c r="CK711"/>
      <c r="CL711"/>
      <c r="CM711"/>
      <c r="CN711"/>
      <c r="CO711"/>
      <c r="CP711"/>
      <c r="CQ711"/>
      <c r="CR711"/>
      <c r="CS711"/>
      <c r="CT711"/>
      <c r="CU711"/>
      <c r="CV711"/>
      <c r="CW711"/>
      <c r="CX711"/>
      <c r="CY711"/>
      <c r="CZ711"/>
      <c r="DA711"/>
      <c r="DB711"/>
      <c r="DC711"/>
      <c r="DD711"/>
      <c r="DE711"/>
      <c r="DF711"/>
      <c r="DG711"/>
      <c r="DH711"/>
      <c r="DI711"/>
      <c r="DJ711"/>
      <c r="DK711"/>
      <c r="DL711"/>
      <c r="DM711"/>
      <c r="DN711"/>
      <c r="DO711"/>
      <c r="DP711"/>
      <c r="DQ711"/>
      <c r="DR711"/>
      <c r="DS711"/>
      <c r="DT711"/>
      <c r="DU711"/>
      <c r="DV711"/>
      <c r="DW711"/>
      <c r="DX711"/>
      <c r="DY711"/>
      <c r="DZ711"/>
      <c r="EA711"/>
      <c r="EB711"/>
      <c r="EC711"/>
      <c r="ED711"/>
      <c r="EE711"/>
      <c r="EF711"/>
      <c r="EG711"/>
      <c r="EH711"/>
      <c r="EI711"/>
      <c r="EJ711"/>
      <c r="EK711"/>
      <c r="EL711"/>
      <c r="EM711"/>
      <c r="EN711"/>
      <c r="EO711"/>
      <c r="EP711"/>
      <c r="EQ711"/>
      <c r="ER711"/>
      <c r="ES711"/>
    </row>
    <row r="712" spans="1:149">
      <c r="A712"/>
      <c r="B712"/>
      <c r="C712"/>
      <c r="D712"/>
      <c r="E712"/>
      <c r="F712"/>
      <c r="G712"/>
      <c r="H712"/>
      <c r="I712"/>
      <c r="J712"/>
      <c r="K712"/>
      <c r="L712"/>
      <c r="M712"/>
      <c r="N712"/>
      <c r="O712"/>
      <c r="P712"/>
      <c r="Q712"/>
      <c r="R712"/>
      <c r="S712"/>
      <c r="T712"/>
      <c r="U712"/>
      <c r="V712"/>
      <c r="W712"/>
      <c r="X712"/>
      <c r="Y712"/>
      <c r="Z712"/>
      <c r="AA712"/>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c r="BZ712"/>
      <c r="CA712"/>
      <c r="CB712"/>
      <c r="CC712"/>
      <c r="CD712"/>
      <c r="CE712"/>
      <c r="CF712"/>
      <c r="CG712"/>
      <c r="CH712"/>
      <c r="CI712"/>
      <c r="CJ712"/>
      <c r="CK712"/>
      <c r="CL712"/>
      <c r="CM712"/>
      <c r="CN712"/>
      <c r="CO712"/>
      <c r="CP712"/>
      <c r="CQ712"/>
      <c r="CR712"/>
      <c r="CS712"/>
      <c r="CT712"/>
      <c r="CU712"/>
      <c r="CV712"/>
      <c r="CW712"/>
      <c r="CX712"/>
      <c r="CY712"/>
      <c r="CZ712"/>
      <c r="DA712"/>
      <c r="DB712"/>
      <c r="DC712"/>
      <c r="DD712"/>
      <c r="DE712"/>
      <c r="DF712"/>
      <c r="DG712"/>
      <c r="DH712"/>
      <c r="DI712"/>
      <c r="DJ712"/>
      <c r="DK712"/>
      <c r="DL712"/>
      <c r="DM712"/>
      <c r="DN712"/>
      <c r="DO712"/>
      <c r="DP712"/>
      <c r="DQ712"/>
      <c r="DR712"/>
      <c r="DS712"/>
      <c r="DT712"/>
      <c r="DU712"/>
      <c r="DV712"/>
      <c r="DW712"/>
      <c r="DX712"/>
      <c r="DY712"/>
      <c r="DZ712"/>
      <c r="EA712"/>
      <c r="EB712"/>
      <c r="EC712"/>
      <c r="ED712"/>
      <c r="EE712"/>
      <c r="EF712"/>
      <c r="EG712"/>
      <c r="EH712"/>
      <c r="EI712"/>
      <c r="EJ712"/>
      <c r="EK712"/>
      <c r="EL712"/>
      <c r="EM712"/>
      <c r="EN712"/>
      <c r="EO712"/>
      <c r="EP712"/>
      <c r="EQ712"/>
      <c r="ER712"/>
      <c r="ES712"/>
    </row>
    <row r="713" spans="1:149">
      <c r="A713"/>
      <c r="B713"/>
      <c r="C713"/>
      <c r="D713"/>
      <c r="E713"/>
      <c r="F713"/>
      <c r="G713"/>
      <c r="H713"/>
      <c r="I713"/>
      <c r="J713"/>
      <c r="K713"/>
      <c r="L713"/>
      <c r="M713"/>
      <c r="N713"/>
      <c r="O713"/>
      <c r="P713"/>
      <c r="Q713"/>
      <c r="R713"/>
      <c r="S713"/>
      <c r="T713"/>
      <c r="U713"/>
      <c r="V713"/>
      <c r="W713"/>
      <c r="X713"/>
      <c r="Y713"/>
      <c r="Z713"/>
      <c r="AA713"/>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c r="BZ713"/>
      <c r="CA713"/>
      <c r="CB713"/>
      <c r="CC713"/>
      <c r="CD713"/>
      <c r="CE713"/>
      <c r="CF713"/>
      <c r="CG713"/>
      <c r="CH713"/>
      <c r="CI713"/>
      <c r="CJ713"/>
      <c r="CK713"/>
      <c r="CL713"/>
      <c r="CM713"/>
      <c r="CN713"/>
      <c r="CO713"/>
      <c r="CP713"/>
      <c r="CQ713"/>
      <c r="CR713"/>
      <c r="CS713"/>
      <c r="CT713"/>
      <c r="CU713"/>
      <c r="CV713"/>
      <c r="CW713"/>
      <c r="CX713"/>
      <c r="CY713"/>
      <c r="CZ713"/>
      <c r="DA713"/>
      <c r="DB713"/>
      <c r="DC713"/>
      <c r="DD713"/>
      <c r="DE713"/>
      <c r="DF713"/>
      <c r="DG713"/>
      <c r="DH713"/>
      <c r="DI713"/>
      <c r="DJ713"/>
      <c r="DK713"/>
      <c r="DL713"/>
      <c r="DM713"/>
      <c r="DN713"/>
      <c r="DO713"/>
      <c r="DP713"/>
      <c r="DQ713"/>
      <c r="DR713"/>
      <c r="DS713"/>
      <c r="DT713"/>
      <c r="DU713"/>
      <c r="DV713"/>
      <c r="DW713"/>
      <c r="DX713"/>
      <c r="DY713"/>
      <c r="DZ713"/>
      <c r="EA713"/>
      <c r="EB713"/>
      <c r="EC713"/>
      <c r="ED713"/>
      <c r="EE713"/>
      <c r="EF713"/>
      <c r="EG713"/>
      <c r="EH713"/>
      <c r="EI713"/>
      <c r="EJ713"/>
      <c r="EK713"/>
      <c r="EL713"/>
      <c r="EM713"/>
      <c r="EN713"/>
      <c r="EO713"/>
      <c r="EP713"/>
      <c r="EQ713"/>
      <c r="ER713"/>
      <c r="ES713"/>
    </row>
    <row r="714" spans="1:149">
      <c r="A714"/>
      <c r="B714"/>
      <c r="C714"/>
      <c r="D714"/>
      <c r="E714"/>
      <c r="F714"/>
      <c r="G714"/>
      <c r="H714"/>
      <c r="I714"/>
      <c r="J714"/>
      <c r="K714"/>
      <c r="L714"/>
      <c r="M714"/>
      <c r="N714"/>
      <c r="O714"/>
      <c r="P714"/>
      <c r="Q714"/>
      <c r="R714"/>
      <c r="S714"/>
      <c r="T714"/>
      <c r="U714"/>
      <c r="V714"/>
      <c r="W714"/>
      <c r="X714"/>
      <c r="Y714"/>
      <c r="Z714"/>
      <c r="AA714"/>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c r="BZ714"/>
      <c r="CA714"/>
      <c r="CB714"/>
      <c r="CC714"/>
      <c r="CD714"/>
      <c r="CE714"/>
      <c r="CF714"/>
      <c r="CG714"/>
      <c r="CH714"/>
      <c r="CI714"/>
      <c r="CJ714"/>
      <c r="CK714"/>
      <c r="CL714"/>
      <c r="CM714"/>
      <c r="CN714"/>
      <c r="CO714"/>
      <c r="CP714"/>
      <c r="CQ714"/>
      <c r="CR714"/>
      <c r="CS714"/>
      <c r="CT714"/>
      <c r="CU714"/>
      <c r="CV714"/>
      <c r="CW714"/>
      <c r="CX714"/>
      <c r="CY714"/>
      <c r="CZ714"/>
      <c r="DA714"/>
      <c r="DB714"/>
      <c r="DC714"/>
      <c r="DD714"/>
      <c r="DE714"/>
      <c r="DF714"/>
      <c r="DG714"/>
      <c r="DH714"/>
      <c r="DI714"/>
      <c r="DJ714"/>
      <c r="DK714"/>
      <c r="DL714"/>
      <c r="DM714"/>
      <c r="DN714"/>
      <c r="DO714"/>
      <c r="DP714"/>
      <c r="DQ714"/>
      <c r="DR714"/>
      <c r="DS714"/>
      <c r="DT714"/>
      <c r="DU714"/>
      <c r="DV714"/>
      <c r="DW714"/>
      <c r="DX714"/>
      <c r="DY714"/>
      <c r="DZ714"/>
      <c r="EA714"/>
      <c r="EB714"/>
      <c r="EC714"/>
      <c r="ED714"/>
      <c r="EE714"/>
      <c r="EF714"/>
      <c r="EG714"/>
      <c r="EH714"/>
      <c r="EI714"/>
      <c r="EJ714"/>
      <c r="EK714"/>
      <c r="EL714"/>
      <c r="EM714"/>
      <c r="EN714"/>
      <c r="EO714"/>
      <c r="EP714"/>
      <c r="EQ714"/>
      <c r="ER714"/>
      <c r="ES714"/>
    </row>
    <row r="715" spans="1:149">
      <c r="A715"/>
      <c r="B715"/>
      <c r="C715"/>
      <c r="D715"/>
      <c r="E715"/>
      <c r="F715"/>
      <c r="G715"/>
      <c r="H715"/>
      <c r="I715"/>
      <c r="J715"/>
      <c r="K715"/>
      <c r="L715"/>
      <c r="M715"/>
      <c r="N715"/>
      <c r="O715"/>
      <c r="P715"/>
      <c r="Q715"/>
      <c r="R715"/>
      <c r="S715"/>
      <c r="T715"/>
      <c r="U715"/>
      <c r="V715"/>
      <c r="W715"/>
      <c r="X715"/>
      <c r="Y715"/>
      <c r="Z715"/>
      <c r="AA71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c r="BZ715"/>
      <c r="CA715"/>
      <c r="CB715"/>
      <c r="CC715"/>
      <c r="CD715"/>
      <c r="CE715"/>
      <c r="CF715"/>
      <c r="CG715"/>
      <c r="CH715"/>
      <c r="CI715"/>
      <c r="CJ715"/>
      <c r="CK715"/>
      <c r="CL715"/>
      <c r="CM715"/>
      <c r="CN715"/>
      <c r="CO715"/>
      <c r="CP715"/>
      <c r="CQ715"/>
      <c r="CR715"/>
      <c r="CS715"/>
      <c r="CT715"/>
      <c r="CU715"/>
      <c r="CV715"/>
      <c r="CW715"/>
      <c r="CX715"/>
      <c r="CY715"/>
      <c r="CZ715"/>
      <c r="DA715"/>
      <c r="DB715"/>
      <c r="DC715"/>
      <c r="DD715"/>
      <c r="DE715"/>
      <c r="DF715"/>
      <c r="DG715"/>
      <c r="DH715"/>
      <c r="DI715"/>
      <c r="DJ715"/>
      <c r="DK715"/>
      <c r="DL715"/>
      <c r="DM715"/>
      <c r="DN715"/>
      <c r="DO715"/>
      <c r="DP715"/>
      <c r="DQ715"/>
      <c r="DR715"/>
      <c r="DS715"/>
      <c r="DT715"/>
      <c r="DU715"/>
      <c r="DV715"/>
      <c r="DW715"/>
      <c r="DX715"/>
      <c r="DY715"/>
      <c r="DZ715"/>
      <c r="EA715"/>
      <c r="EB715"/>
      <c r="EC715"/>
      <c r="ED715"/>
      <c r="EE715"/>
      <c r="EF715"/>
      <c r="EG715"/>
      <c r="EH715"/>
      <c r="EI715"/>
      <c r="EJ715"/>
      <c r="EK715"/>
      <c r="EL715"/>
      <c r="EM715"/>
      <c r="EN715"/>
      <c r="EO715"/>
      <c r="EP715"/>
      <c r="EQ715"/>
      <c r="ER715"/>
      <c r="ES715"/>
    </row>
    <row r="716" spans="1:149">
      <c r="A716"/>
      <c r="B716"/>
      <c r="C716"/>
      <c r="D716"/>
      <c r="E716"/>
      <c r="F716"/>
      <c r="G716"/>
      <c r="H716"/>
      <c r="I716"/>
      <c r="J716"/>
      <c r="K716"/>
      <c r="L716"/>
      <c r="M716"/>
      <c r="N716"/>
      <c r="O716"/>
      <c r="P716"/>
      <c r="Q716"/>
      <c r="R716"/>
      <c r="S716"/>
      <c r="T716"/>
      <c r="U716"/>
      <c r="V716"/>
      <c r="W716"/>
      <c r="X716"/>
      <c r="Y716"/>
      <c r="Z716"/>
      <c r="AA716"/>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c r="BZ716"/>
      <c r="CA716"/>
      <c r="CB716"/>
      <c r="CC716"/>
      <c r="CD716"/>
      <c r="CE716"/>
      <c r="CF716"/>
      <c r="CG716"/>
      <c r="CH716"/>
      <c r="CI716"/>
      <c r="CJ716"/>
      <c r="CK716"/>
      <c r="CL716"/>
      <c r="CM716"/>
      <c r="CN716"/>
      <c r="CO716"/>
      <c r="CP716"/>
      <c r="CQ716"/>
      <c r="CR716"/>
      <c r="CS716"/>
      <c r="CT716"/>
      <c r="CU716"/>
      <c r="CV716"/>
      <c r="CW716"/>
      <c r="CX716"/>
      <c r="CY716"/>
      <c r="CZ716"/>
      <c r="DA716"/>
      <c r="DB716"/>
      <c r="DC716"/>
      <c r="DD716"/>
      <c r="DE716"/>
      <c r="DF716"/>
      <c r="DG716"/>
      <c r="DH716"/>
      <c r="DI716"/>
      <c r="DJ716"/>
      <c r="DK716"/>
      <c r="DL716"/>
      <c r="DM716"/>
      <c r="DN716"/>
      <c r="DO716"/>
      <c r="DP716"/>
      <c r="DQ716"/>
      <c r="DR716"/>
      <c r="DS716"/>
      <c r="DT716"/>
      <c r="DU716"/>
      <c r="DV716"/>
      <c r="DW716"/>
      <c r="DX716"/>
      <c r="DY716"/>
      <c r="DZ716"/>
      <c r="EA716"/>
      <c r="EB716"/>
      <c r="EC716"/>
      <c r="ED716"/>
      <c r="EE716"/>
      <c r="EF716"/>
      <c r="EG716"/>
      <c r="EH716"/>
      <c r="EI716"/>
      <c r="EJ716"/>
      <c r="EK716"/>
      <c r="EL716"/>
      <c r="EM716"/>
      <c r="EN716"/>
      <c r="EO716"/>
      <c r="EP716"/>
      <c r="EQ716"/>
      <c r="ER716"/>
      <c r="ES716"/>
    </row>
    <row r="717" spans="1:149">
      <c r="A717"/>
      <c r="B717"/>
      <c r="C717"/>
      <c r="D717"/>
      <c r="E717"/>
      <c r="F717"/>
      <c r="G717"/>
      <c r="H717"/>
      <c r="I717"/>
      <c r="J717"/>
      <c r="K717"/>
      <c r="L717"/>
      <c r="M717"/>
      <c r="N717"/>
      <c r="O717"/>
      <c r="P717"/>
      <c r="Q717"/>
      <c r="R717"/>
      <c r="S717"/>
      <c r="T717"/>
      <c r="U717"/>
      <c r="V717"/>
      <c r="W717"/>
      <c r="X717"/>
      <c r="Y717"/>
      <c r="Z717"/>
      <c r="AA717"/>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c r="BZ717"/>
      <c r="CA717"/>
      <c r="CB717"/>
      <c r="CC717"/>
      <c r="CD717"/>
      <c r="CE717"/>
      <c r="CF717"/>
      <c r="CG717"/>
      <c r="CH717"/>
      <c r="CI717"/>
      <c r="CJ717"/>
      <c r="CK717"/>
      <c r="CL717"/>
      <c r="CM717"/>
      <c r="CN717"/>
      <c r="CO717"/>
      <c r="CP717"/>
      <c r="CQ717"/>
      <c r="CR717"/>
      <c r="CS717"/>
      <c r="CT717"/>
      <c r="CU717"/>
      <c r="CV717"/>
      <c r="CW717"/>
      <c r="CX717"/>
      <c r="CY717"/>
      <c r="CZ717"/>
      <c r="DA717"/>
      <c r="DB717"/>
      <c r="DC717"/>
      <c r="DD717"/>
      <c r="DE717"/>
      <c r="DF717"/>
      <c r="DG717"/>
      <c r="DH717"/>
      <c r="DI717"/>
      <c r="DJ717"/>
      <c r="DK717"/>
      <c r="DL717"/>
      <c r="DM717"/>
      <c r="DN717"/>
      <c r="DO717"/>
      <c r="DP717"/>
      <c r="DQ717"/>
      <c r="DR717"/>
      <c r="DS717"/>
      <c r="DT717"/>
      <c r="DU717"/>
      <c r="DV717"/>
      <c r="DW717"/>
      <c r="DX717"/>
      <c r="DY717"/>
      <c r="DZ717"/>
      <c r="EA717"/>
      <c r="EB717"/>
      <c r="EC717"/>
      <c r="ED717"/>
      <c r="EE717"/>
      <c r="EF717"/>
      <c r="EG717"/>
      <c r="EH717"/>
      <c r="EI717"/>
      <c r="EJ717"/>
      <c r="EK717"/>
      <c r="EL717"/>
      <c r="EM717"/>
      <c r="EN717"/>
      <c r="EO717"/>
      <c r="EP717"/>
      <c r="EQ717"/>
      <c r="ER717"/>
      <c r="ES717"/>
    </row>
    <row r="718" spans="1:149">
      <c r="A718"/>
      <c r="B718"/>
      <c r="C718"/>
      <c r="D718"/>
      <c r="E718"/>
      <c r="F718"/>
      <c r="G718"/>
      <c r="H718"/>
      <c r="I718"/>
      <c r="J718"/>
      <c r="K718"/>
      <c r="L718"/>
      <c r="M718"/>
      <c r="N718"/>
      <c r="O718"/>
      <c r="P718"/>
      <c r="Q718"/>
      <c r="R718"/>
      <c r="S718"/>
      <c r="T718"/>
      <c r="U718"/>
      <c r="V718"/>
      <c r="W718"/>
      <c r="X718"/>
      <c r="Y718"/>
      <c r="Z718"/>
      <c r="AA718"/>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c r="BZ718"/>
      <c r="CA718"/>
      <c r="CB718"/>
      <c r="CC718"/>
      <c r="CD718"/>
      <c r="CE718"/>
      <c r="CF718"/>
      <c r="CG718"/>
      <c r="CH718"/>
      <c r="CI718"/>
      <c r="CJ718"/>
      <c r="CK718"/>
      <c r="CL718"/>
      <c r="CM718"/>
      <c r="CN718"/>
      <c r="CO718"/>
      <c r="CP718"/>
      <c r="CQ718"/>
      <c r="CR718"/>
      <c r="CS718"/>
      <c r="CT718"/>
      <c r="CU718"/>
      <c r="CV718"/>
      <c r="CW718"/>
      <c r="CX718"/>
      <c r="CY718"/>
      <c r="CZ718"/>
      <c r="DA718"/>
      <c r="DB718"/>
      <c r="DC718"/>
      <c r="DD718"/>
      <c r="DE718"/>
      <c r="DF718"/>
      <c r="DG718"/>
      <c r="DH718"/>
      <c r="DI718"/>
      <c r="DJ718"/>
      <c r="DK718"/>
      <c r="DL718"/>
      <c r="DM718"/>
      <c r="DN718"/>
      <c r="DO718"/>
      <c r="DP718"/>
      <c r="DQ718"/>
      <c r="DR718"/>
      <c r="DS718"/>
      <c r="DT718"/>
      <c r="DU718"/>
      <c r="DV718"/>
      <c r="DW718"/>
      <c r="DX718"/>
      <c r="DY718"/>
      <c r="DZ718"/>
      <c r="EA718"/>
      <c r="EB718"/>
      <c r="EC718"/>
      <c r="ED718"/>
      <c r="EE718"/>
      <c r="EF718"/>
      <c r="EG718"/>
      <c r="EH718"/>
      <c r="EI718"/>
      <c r="EJ718"/>
      <c r="EK718"/>
      <c r="EL718"/>
      <c r="EM718"/>
      <c r="EN718"/>
      <c r="EO718"/>
      <c r="EP718"/>
      <c r="EQ718"/>
      <c r="ER718"/>
      <c r="ES718"/>
    </row>
    <row r="719" spans="1:149">
      <c r="A719"/>
      <c r="B719"/>
      <c r="C719"/>
      <c r="D719"/>
      <c r="E719"/>
      <c r="F719"/>
      <c r="G719"/>
      <c r="H719"/>
      <c r="I719"/>
      <c r="J719"/>
      <c r="K719"/>
      <c r="L719"/>
      <c r="M719"/>
      <c r="N719"/>
      <c r="O719"/>
      <c r="P719"/>
      <c r="Q719"/>
      <c r="R719"/>
      <c r="S719"/>
      <c r="T719"/>
      <c r="U719"/>
      <c r="V719"/>
      <c r="W719"/>
      <c r="X719"/>
      <c r="Y719"/>
      <c r="Z719"/>
      <c r="AA719"/>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c r="BZ719"/>
      <c r="CA719"/>
      <c r="CB719"/>
      <c r="CC719"/>
      <c r="CD719"/>
      <c r="CE719"/>
      <c r="CF719"/>
      <c r="CG719"/>
      <c r="CH719"/>
      <c r="CI719"/>
      <c r="CJ719"/>
      <c r="CK719"/>
      <c r="CL719"/>
      <c r="CM719"/>
      <c r="CN719"/>
      <c r="CO719"/>
      <c r="CP719"/>
      <c r="CQ719"/>
      <c r="CR719"/>
      <c r="CS719"/>
      <c r="CT719"/>
      <c r="CU719"/>
      <c r="CV719"/>
      <c r="CW719"/>
      <c r="CX719"/>
      <c r="CY719"/>
      <c r="CZ719"/>
      <c r="DA719"/>
      <c r="DB719"/>
      <c r="DC719"/>
      <c r="DD719"/>
      <c r="DE719"/>
      <c r="DF719"/>
      <c r="DG719"/>
      <c r="DH719"/>
      <c r="DI719"/>
      <c r="DJ719"/>
      <c r="DK719"/>
      <c r="DL719"/>
      <c r="DM719"/>
      <c r="DN719"/>
      <c r="DO719"/>
      <c r="DP719"/>
      <c r="DQ719"/>
      <c r="DR719"/>
      <c r="DS719"/>
      <c r="DT719"/>
      <c r="DU719"/>
      <c r="DV719"/>
      <c r="DW719"/>
      <c r="DX719"/>
      <c r="DY719"/>
      <c r="DZ719"/>
      <c r="EA719"/>
      <c r="EB719"/>
      <c r="EC719"/>
      <c r="ED719"/>
      <c r="EE719"/>
      <c r="EF719"/>
      <c r="EG719"/>
      <c r="EH719"/>
      <c r="EI719"/>
      <c r="EJ719"/>
      <c r="EK719"/>
      <c r="EL719"/>
      <c r="EM719"/>
      <c r="EN719"/>
      <c r="EO719"/>
      <c r="EP719"/>
      <c r="EQ719"/>
      <c r="ER719"/>
      <c r="ES719"/>
    </row>
    <row r="720" spans="1:149">
      <c r="A720"/>
      <c r="B720"/>
      <c r="C720"/>
      <c r="D720"/>
      <c r="E720"/>
      <c r="F720"/>
      <c r="G720"/>
      <c r="H720"/>
      <c r="I720"/>
      <c r="J720"/>
      <c r="K720"/>
      <c r="L720"/>
      <c r="M720"/>
      <c r="N720"/>
      <c r="O720"/>
      <c r="P720"/>
      <c r="Q720"/>
      <c r="R720"/>
      <c r="S720"/>
      <c r="T720"/>
      <c r="U720"/>
      <c r="V720"/>
      <c r="W720"/>
      <c r="X720"/>
      <c r="Y720"/>
      <c r="Z720"/>
      <c r="AA720"/>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c r="BZ720"/>
      <c r="CA720"/>
      <c r="CB720"/>
      <c r="CC720"/>
      <c r="CD720"/>
      <c r="CE720"/>
      <c r="CF720"/>
      <c r="CG720"/>
      <c r="CH720"/>
      <c r="CI720"/>
      <c r="CJ720"/>
      <c r="CK720"/>
      <c r="CL720"/>
      <c r="CM720"/>
      <c r="CN720"/>
      <c r="CO720"/>
      <c r="CP720"/>
      <c r="CQ720"/>
      <c r="CR720"/>
      <c r="CS720"/>
      <c r="CT720"/>
      <c r="CU720"/>
      <c r="CV720"/>
      <c r="CW720"/>
      <c r="CX720"/>
      <c r="CY720"/>
      <c r="CZ720"/>
      <c r="DA720"/>
      <c r="DB720"/>
      <c r="DC720"/>
      <c r="DD720"/>
      <c r="DE720"/>
      <c r="DF720"/>
      <c r="DG720"/>
      <c r="DH720"/>
      <c r="DI720"/>
      <c r="DJ720"/>
      <c r="DK720"/>
      <c r="DL720"/>
      <c r="DM720"/>
      <c r="DN720"/>
      <c r="DO720"/>
      <c r="DP720"/>
      <c r="DQ720"/>
      <c r="DR720"/>
      <c r="DS720"/>
      <c r="DT720"/>
      <c r="DU720"/>
      <c r="DV720"/>
      <c r="DW720"/>
      <c r="DX720"/>
      <c r="DY720"/>
      <c r="DZ720"/>
      <c r="EA720"/>
      <c r="EB720"/>
      <c r="EC720"/>
      <c r="ED720"/>
      <c r="EE720"/>
      <c r="EF720"/>
      <c r="EG720"/>
      <c r="EH720"/>
      <c r="EI720"/>
      <c r="EJ720"/>
      <c r="EK720"/>
      <c r="EL720"/>
      <c r="EM720"/>
      <c r="EN720"/>
      <c r="EO720"/>
      <c r="EP720"/>
      <c r="EQ720"/>
      <c r="ER720"/>
      <c r="ES720"/>
    </row>
    <row r="721" spans="1:149">
      <c r="A721"/>
      <c r="B721"/>
      <c r="C721"/>
      <c r="D721"/>
      <c r="E721"/>
      <c r="F721"/>
      <c r="G721"/>
      <c r="H721"/>
      <c r="I721"/>
      <c r="J721"/>
      <c r="K721"/>
      <c r="L721"/>
      <c r="M721"/>
      <c r="N721"/>
      <c r="O721"/>
      <c r="P721"/>
      <c r="Q721"/>
      <c r="R721"/>
      <c r="S721"/>
      <c r="T721"/>
      <c r="U721"/>
      <c r="V721"/>
      <c r="W721"/>
      <c r="X721"/>
      <c r="Y721"/>
      <c r="Z721"/>
      <c r="AA721"/>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c r="BZ721"/>
      <c r="CA721"/>
      <c r="CB721"/>
      <c r="CC721"/>
      <c r="CD721"/>
      <c r="CE721"/>
      <c r="CF721"/>
      <c r="CG721"/>
      <c r="CH721"/>
      <c r="CI721"/>
      <c r="CJ721"/>
      <c r="CK721"/>
      <c r="CL721"/>
      <c r="CM721"/>
      <c r="CN721"/>
      <c r="CO721"/>
      <c r="CP721"/>
      <c r="CQ721"/>
      <c r="CR721"/>
      <c r="CS721"/>
      <c r="CT721"/>
      <c r="CU721"/>
      <c r="CV721"/>
      <c r="CW721"/>
      <c r="CX721"/>
      <c r="CY721"/>
      <c r="CZ721"/>
      <c r="DA721"/>
      <c r="DB721"/>
      <c r="DC721"/>
      <c r="DD721"/>
      <c r="DE721"/>
      <c r="DF721"/>
      <c r="DG721"/>
      <c r="DH721"/>
      <c r="DI721"/>
      <c r="DJ721"/>
      <c r="DK721"/>
      <c r="DL721"/>
      <c r="DM721"/>
      <c r="DN721"/>
      <c r="DO721"/>
      <c r="DP721"/>
      <c r="DQ721"/>
      <c r="DR721"/>
      <c r="DS721"/>
      <c r="DT721"/>
      <c r="DU721"/>
      <c r="DV721"/>
      <c r="DW721"/>
      <c r="DX721"/>
      <c r="DY721"/>
      <c r="DZ721"/>
      <c r="EA721"/>
      <c r="EB721"/>
      <c r="EC721"/>
      <c r="ED721"/>
      <c r="EE721"/>
      <c r="EF721"/>
      <c r="EG721"/>
      <c r="EH721"/>
      <c r="EI721"/>
      <c r="EJ721"/>
      <c r="EK721"/>
      <c r="EL721"/>
      <c r="EM721"/>
      <c r="EN721"/>
      <c r="EO721"/>
      <c r="EP721"/>
      <c r="EQ721"/>
      <c r="ER721"/>
      <c r="ES721"/>
    </row>
    <row r="722" spans="1:149">
      <c r="A722"/>
      <c r="B722"/>
      <c r="C722"/>
      <c r="D722"/>
      <c r="E722"/>
      <c r="F722"/>
      <c r="G722"/>
      <c r="H722"/>
      <c r="I722"/>
      <c r="J722"/>
      <c r="K722"/>
      <c r="L722"/>
      <c r="M722"/>
      <c r="N722"/>
      <c r="O722"/>
      <c r="P722"/>
      <c r="Q722"/>
      <c r="R722"/>
      <c r="S722"/>
      <c r="T722"/>
      <c r="U722"/>
      <c r="V722"/>
      <c r="W722"/>
      <c r="X722"/>
      <c r="Y722"/>
      <c r="Z722"/>
      <c r="AA722"/>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c r="BZ722"/>
      <c r="CA722"/>
      <c r="CB722"/>
      <c r="CC722"/>
      <c r="CD722"/>
      <c r="CE722"/>
      <c r="CF722"/>
      <c r="CG722"/>
      <c r="CH722"/>
      <c r="CI722"/>
      <c r="CJ722"/>
      <c r="CK722"/>
      <c r="CL722"/>
      <c r="CM722"/>
      <c r="CN722"/>
      <c r="CO722"/>
      <c r="CP722"/>
      <c r="CQ722"/>
      <c r="CR722"/>
      <c r="CS722"/>
      <c r="CT722"/>
      <c r="CU722"/>
      <c r="CV722"/>
      <c r="CW722"/>
      <c r="CX722"/>
      <c r="CY722"/>
      <c r="CZ722"/>
      <c r="DA722"/>
      <c r="DB722"/>
      <c r="DC722"/>
      <c r="DD722"/>
      <c r="DE722"/>
      <c r="DF722"/>
      <c r="DG722"/>
      <c r="DH722"/>
      <c r="DI722"/>
      <c r="DJ722"/>
      <c r="DK722"/>
      <c r="DL722"/>
      <c r="DM722"/>
      <c r="DN722"/>
      <c r="DO722"/>
      <c r="DP722"/>
      <c r="DQ722"/>
      <c r="DR722"/>
      <c r="DS722"/>
      <c r="DT722"/>
      <c r="DU722"/>
      <c r="DV722"/>
      <c r="DW722"/>
      <c r="DX722"/>
      <c r="DY722"/>
      <c r="DZ722"/>
      <c r="EA722"/>
      <c r="EB722"/>
      <c r="EC722"/>
      <c r="ED722"/>
      <c r="EE722"/>
      <c r="EF722"/>
      <c r="EG722"/>
      <c r="EH722"/>
      <c r="EI722"/>
      <c r="EJ722"/>
      <c r="EK722"/>
      <c r="EL722"/>
      <c r="EM722"/>
      <c r="EN722"/>
      <c r="EO722"/>
      <c r="EP722"/>
      <c r="EQ722"/>
      <c r="ER722"/>
      <c r="ES722"/>
    </row>
    <row r="723" spans="1:149">
      <c r="A723"/>
      <c r="B723"/>
      <c r="C723"/>
      <c r="D723"/>
      <c r="E723"/>
      <c r="F723"/>
      <c r="G723"/>
      <c r="H723"/>
      <c r="I723"/>
      <c r="J723"/>
      <c r="K723"/>
      <c r="L723"/>
      <c r="M723"/>
      <c r="N723"/>
      <c r="O723"/>
      <c r="P723"/>
      <c r="Q723"/>
      <c r="R723"/>
      <c r="S723"/>
      <c r="T723"/>
      <c r="U723"/>
      <c r="V723"/>
      <c r="W723"/>
      <c r="X723"/>
      <c r="Y723"/>
      <c r="Z723"/>
      <c r="AA723"/>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c r="BZ723"/>
      <c r="CA723"/>
      <c r="CB723"/>
      <c r="CC723"/>
      <c r="CD723"/>
      <c r="CE723"/>
      <c r="CF723"/>
      <c r="CG723"/>
      <c r="CH723"/>
      <c r="CI723"/>
      <c r="CJ723"/>
      <c r="CK723"/>
      <c r="CL723"/>
      <c r="CM723"/>
      <c r="CN723"/>
      <c r="CO723"/>
      <c r="CP723"/>
      <c r="CQ723"/>
      <c r="CR723"/>
      <c r="CS723"/>
      <c r="CT723"/>
      <c r="CU723"/>
      <c r="CV723"/>
      <c r="CW723"/>
      <c r="CX723"/>
      <c r="CY723"/>
      <c r="CZ723"/>
      <c r="DA723"/>
      <c r="DB723"/>
      <c r="DC723"/>
      <c r="DD723"/>
      <c r="DE723"/>
      <c r="DF723"/>
      <c r="DG723"/>
      <c r="DH723"/>
      <c r="DI723"/>
      <c r="DJ723"/>
      <c r="DK723"/>
      <c r="DL723"/>
      <c r="DM723"/>
      <c r="DN723"/>
      <c r="DO723"/>
      <c r="DP723"/>
      <c r="DQ723"/>
      <c r="DR723"/>
      <c r="DS723"/>
      <c r="DT723"/>
      <c r="DU723"/>
      <c r="DV723"/>
      <c r="DW723"/>
      <c r="DX723"/>
      <c r="DY723"/>
      <c r="DZ723"/>
      <c r="EA723"/>
      <c r="EB723"/>
      <c r="EC723"/>
      <c r="ED723"/>
      <c r="EE723"/>
      <c r="EF723"/>
      <c r="EG723"/>
      <c r="EH723"/>
      <c r="EI723"/>
      <c r="EJ723"/>
      <c r="EK723"/>
      <c r="EL723"/>
      <c r="EM723"/>
      <c r="EN723"/>
      <c r="EO723"/>
      <c r="EP723"/>
      <c r="EQ723"/>
      <c r="ER723"/>
      <c r="ES723"/>
    </row>
    <row r="724" spans="1:149">
      <c r="A724"/>
      <c r="B724"/>
      <c r="C724"/>
      <c r="D724"/>
      <c r="E724"/>
      <c r="F724"/>
      <c r="G724"/>
      <c r="H724"/>
      <c r="I724"/>
      <c r="J724"/>
      <c r="K724"/>
      <c r="L724"/>
      <c r="M724"/>
      <c r="N724"/>
      <c r="O724"/>
      <c r="P724"/>
      <c r="Q724"/>
      <c r="R724"/>
      <c r="S724"/>
      <c r="T724"/>
      <c r="U724"/>
      <c r="V724"/>
      <c r="W724"/>
      <c r="X724"/>
      <c r="Y724"/>
      <c r="Z724"/>
      <c r="AA724"/>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c r="BZ724"/>
      <c r="CA724"/>
      <c r="CB724"/>
      <c r="CC724"/>
      <c r="CD724"/>
      <c r="CE724"/>
      <c r="CF724"/>
      <c r="CG724"/>
      <c r="CH724"/>
      <c r="CI724"/>
      <c r="CJ724"/>
      <c r="CK724"/>
      <c r="CL724"/>
      <c r="CM724"/>
      <c r="CN724"/>
      <c r="CO724"/>
      <c r="CP724"/>
      <c r="CQ724"/>
      <c r="CR724"/>
      <c r="CS724"/>
      <c r="CT724"/>
      <c r="CU724"/>
      <c r="CV724"/>
      <c r="CW724"/>
      <c r="CX724"/>
      <c r="CY724"/>
      <c r="CZ724"/>
      <c r="DA724"/>
      <c r="DB724"/>
      <c r="DC724"/>
      <c r="DD724"/>
      <c r="DE724"/>
      <c r="DF724"/>
      <c r="DG724"/>
      <c r="DH724"/>
      <c r="DI724"/>
      <c r="DJ724"/>
      <c r="DK724"/>
      <c r="DL724"/>
      <c r="DM724"/>
      <c r="DN724"/>
      <c r="DO724"/>
      <c r="DP724"/>
      <c r="DQ724"/>
      <c r="DR724"/>
      <c r="DS724"/>
      <c r="DT724"/>
      <c r="DU724"/>
      <c r="DV724"/>
      <c r="DW724"/>
      <c r="DX724"/>
      <c r="DY724"/>
      <c r="DZ724"/>
      <c r="EA724"/>
      <c r="EB724"/>
      <c r="EC724"/>
      <c r="ED724"/>
      <c r="EE724"/>
      <c r="EF724"/>
      <c r="EG724"/>
      <c r="EH724"/>
      <c r="EI724"/>
      <c r="EJ724"/>
      <c r="EK724"/>
      <c r="EL724"/>
      <c r="EM724"/>
      <c r="EN724"/>
      <c r="EO724"/>
      <c r="EP724"/>
      <c r="EQ724"/>
      <c r="ER724"/>
      <c r="ES724"/>
    </row>
    <row r="725" spans="1:149">
      <c r="A725"/>
      <c r="B725"/>
      <c r="C725"/>
      <c r="D725"/>
      <c r="E725"/>
      <c r="F725"/>
      <c r="G725"/>
      <c r="H725"/>
      <c r="I725"/>
      <c r="J725"/>
      <c r="K725"/>
      <c r="L725"/>
      <c r="M725"/>
      <c r="N725"/>
      <c r="O725"/>
      <c r="P725"/>
      <c r="Q725"/>
      <c r="R725"/>
      <c r="S725"/>
      <c r="T725"/>
      <c r="U725"/>
      <c r="V725"/>
      <c r="W725"/>
      <c r="X725"/>
      <c r="Y725"/>
      <c r="Z725"/>
      <c r="AA72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c r="BZ725"/>
      <c r="CA725"/>
      <c r="CB725"/>
      <c r="CC725"/>
      <c r="CD725"/>
      <c r="CE725"/>
      <c r="CF725"/>
      <c r="CG725"/>
      <c r="CH725"/>
      <c r="CI725"/>
      <c r="CJ725"/>
      <c r="CK725"/>
      <c r="CL725"/>
      <c r="CM725"/>
      <c r="CN725"/>
      <c r="CO725"/>
      <c r="CP725"/>
      <c r="CQ725"/>
      <c r="CR725"/>
      <c r="CS725"/>
      <c r="CT725"/>
      <c r="CU725"/>
      <c r="CV725"/>
      <c r="CW725"/>
      <c r="CX725"/>
      <c r="CY725"/>
      <c r="CZ725"/>
      <c r="DA725"/>
      <c r="DB725"/>
      <c r="DC725"/>
      <c r="DD725"/>
      <c r="DE725"/>
      <c r="DF725"/>
      <c r="DG725"/>
      <c r="DH725"/>
      <c r="DI725"/>
      <c r="DJ725"/>
      <c r="DK725"/>
      <c r="DL725"/>
      <c r="DM725"/>
      <c r="DN725"/>
      <c r="DO725"/>
      <c r="DP725"/>
      <c r="DQ725"/>
      <c r="DR725"/>
      <c r="DS725"/>
      <c r="DT725"/>
      <c r="DU725"/>
      <c r="DV725"/>
      <c r="DW725"/>
      <c r="DX725"/>
      <c r="DY725"/>
      <c r="DZ725"/>
      <c r="EA725"/>
      <c r="EB725"/>
      <c r="EC725"/>
      <c r="ED725"/>
      <c r="EE725"/>
      <c r="EF725"/>
      <c r="EG725"/>
      <c r="EH725"/>
      <c r="EI725"/>
      <c r="EJ725"/>
      <c r="EK725"/>
      <c r="EL725"/>
      <c r="EM725"/>
      <c r="EN725"/>
      <c r="EO725"/>
      <c r="EP725"/>
      <c r="EQ725"/>
      <c r="ER725"/>
      <c r="ES725"/>
    </row>
    <row r="726" spans="1:149">
      <c r="A726"/>
      <c r="B726"/>
      <c r="C726"/>
      <c r="D726"/>
      <c r="E726"/>
      <c r="F726"/>
      <c r="G726"/>
      <c r="H726"/>
      <c r="I726"/>
      <c r="J726"/>
      <c r="K726"/>
      <c r="L726"/>
      <c r="M726"/>
      <c r="N726"/>
      <c r="O726"/>
      <c r="P726"/>
      <c r="Q726"/>
      <c r="R726"/>
      <c r="S726"/>
      <c r="T726"/>
      <c r="U726"/>
      <c r="V726"/>
      <c r="W726"/>
      <c r="X726"/>
      <c r="Y726"/>
      <c r="Z726"/>
      <c r="AA726"/>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c r="BZ726"/>
      <c r="CA726"/>
      <c r="CB726"/>
      <c r="CC726"/>
      <c r="CD726"/>
      <c r="CE726"/>
      <c r="CF726"/>
      <c r="CG726"/>
      <c r="CH726"/>
      <c r="CI726"/>
      <c r="CJ726"/>
      <c r="CK726"/>
      <c r="CL726"/>
      <c r="CM726"/>
      <c r="CN726"/>
      <c r="CO726"/>
      <c r="CP726"/>
      <c r="CQ726"/>
      <c r="CR726"/>
      <c r="CS726"/>
      <c r="CT726"/>
      <c r="CU726"/>
      <c r="CV726"/>
      <c r="CW726"/>
      <c r="CX726"/>
      <c r="CY726"/>
      <c r="CZ726"/>
      <c r="DA726"/>
      <c r="DB726"/>
      <c r="DC726"/>
      <c r="DD726"/>
      <c r="DE726"/>
      <c r="DF726"/>
      <c r="DG726"/>
      <c r="DH726"/>
      <c r="DI726"/>
      <c r="DJ726"/>
      <c r="DK726"/>
      <c r="DL726"/>
      <c r="DM726"/>
      <c r="DN726"/>
      <c r="DO726"/>
      <c r="DP726"/>
      <c r="DQ726"/>
      <c r="DR726"/>
      <c r="DS726"/>
      <c r="DT726"/>
      <c r="DU726"/>
      <c r="DV726"/>
      <c r="DW726"/>
      <c r="DX726"/>
      <c r="DY726"/>
      <c r="DZ726"/>
      <c r="EA726"/>
      <c r="EB726"/>
      <c r="EC726"/>
      <c r="ED726"/>
      <c r="EE726"/>
      <c r="EF726"/>
      <c r="EG726"/>
      <c r="EH726"/>
      <c r="EI726"/>
      <c r="EJ726"/>
      <c r="EK726"/>
      <c r="EL726"/>
      <c r="EM726"/>
      <c r="EN726"/>
      <c r="EO726"/>
      <c r="EP726"/>
      <c r="EQ726"/>
      <c r="ER726"/>
      <c r="ES726"/>
    </row>
    <row r="727" spans="1:149">
      <c r="A727"/>
      <c r="B727"/>
      <c r="C727"/>
      <c r="D727"/>
      <c r="E727"/>
      <c r="F727"/>
      <c r="G727"/>
      <c r="H727"/>
      <c r="I727"/>
      <c r="J727"/>
      <c r="K727"/>
      <c r="L727"/>
      <c r="M727"/>
      <c r="N727"/>
      <c r="O727"/>
      <c r="P727"/>
      <c r="Q727"/>
      <c r="R727"/>
      <c r="S727"/>
      <c r="T727"/>
      <c r="U727"/>
      <c r="V727"/>
      <c r="W727"/>
      <c r="X727"/>
      <c r="Y727"/>
      <c r="Z727"/>
      <c r="AA727"/>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c r="BZ727"/>
      <c r="CA727"/>
      <c r="CB727"/>
      <c r="CC727"/>
      <c r="CD727"/>
      <c r="CE727"/>
      <c r="CF727"/>
      <c r="CG727"/>
      <c r="CH727"/>
      <c r="CI727"/>
      <c r="CJ727"/>
      <c r="CK727"/>
      <c r="CL727"/>
      <c r="CM727"/>
      <c r="CN727"/>
      <c r="CO727"/>
      <c r="CP727"/>
      <c r="CQ727"/>
      <c r="CR727"/>
      <c r="CS727"/>
      <c r="CT727"/>
      <c r="CU727"/>
      <c r="CV727"/>
      <c r="CW727"/>
      <c r="CX727"/>
      <c r="CY727"/>
      <c r="CZ727"/>
      <c r="DA727"/>
      <c r="DB727"/>
      <c r="DC727"/>
      <c r="DD727"/>
      <c r="DE727"/>
      <c r="DF727"/>
      <c r="DG727"/>
      <c r="DH727"/>
      <c r="DI727"/>
      <c r="DJ727"/>
      <c r="DK727"/>
      <c r="DL727"/>
      <c r="DM727"/>
      <c r="DN727"/>
      <c r="DO727"/>
      <c r="DP727"/>
      <c r="DQ727"/>
      <c r="DR727"/>
      <c r="DS727"/>
      <c r="DT727"/>
      <c r="DU727"/>
      <c r="DV727"/>
      <c r="DW727"/>
      <c r="DX727"/>
      <c r="DY727"/>
      <c r="DZ727"/>
      <c r="EA727"/>
      <c r="EB727"/>
      <c r="EC727"/>
      <c r="ED727"/>
      <c r="EE727"/>
      <c r="EF727"/>
      <c r="EG727"/>
      <c r="EH727"/>
      <c r="EI727"/>
      <c r="EJ727"/>
      <c r="EK727"/>
      <c r="EL727"/>
      <c r="EM727"/>
      <c r="EN727"/>
      <c r="EO727"/>
      <c r="EP727"/>
      <c r="EQ727"/>
      <c r="ER727"/>
      <c r="ES727"/>
    </row>
    <row r="728" spans="1:149">
      <c r="A728"/>
      <c r="B728"/>
      <c r="C728"/>
      <c r="D728"/>
      <c r="E728"/>
      <c r="F728"/>
      <c r="G728"/>
      <c r="H728"/>
      <c r="I728"/>
      <c r="J728"/>
      <c r="K728"/>
      <c r="L728"/>
      <c r="M728"/>
      <c r="N728"/>
      <c r="O728"/>
      <c r="P728"/>
      <c r="Q728"/>
      <c r="R728"/>
      <c r="S728"/>
      <c r="T728"/>
      <c r="U728"/>
      <c r="V728"/>
      <c r="W728"/>
      <c r="X728"/>
      <c r="Y728"/>
      <c r="Z728"/>
      <c r="AA728"/>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c r="BZ728"/>
      <c r="CA728"/>
      <c r="CB728"/>
      <c r="CC728"/>
      <c r="CD728"/>
      <c r="CE728"/>
      <c r="CF728"/>
      <c r="CG728"/>
      <c r="CH728"/>
      <c r="CI728"/>
      <c r="CJ728"/>
      <c r="CK728"/>
      <c r="CL728"/>
      <c r="CM728"/>
      <c r="CN728"/>
      <c r="CO728"/>
      <c r="CP728"/>
      <c r="CQ728"/>
      <c r="CR728"/>
      <c r="CS728"/>
      <c r="CT728"/>
      <c r="CU728"/>
      <c r="CV728"/>
      <c r="CW728"/>
      <c r="CX728"/>
      <c r="CY728"/>
      <c r="CZ728"/>
      <c r="DA728"/>
      <c r="DB728"/>
      <c r="DC728"/>
      <c r="DD728"/>
      <c r="DE728"/>
      <c r="DF728"/>
      <c r="DG728"/>
      <c r="DH728"/>
      <c r="DI728"/>
      <c r="DJ728"/>
      <c r="DK728"/>
      <c r="DL728"/>
      <c r="DM728"/>
      <c r="DN728"/>
      <c r="DO728"/>
      <c r="DP728"/>
      <c r="DQ728"/>
      <c r="DR728"/>
      <c r="DS728"/>
      <c r="DT728"/>
      <c r="DU728"/>
      <c r="DV728"/>
      <c r="DW728"/>
      <c r="DX728"/>
      <c r="DY728"/>
      <c r="DZ728"/>
      <c r="EA728"/>
      <c r="EB728"/>
      <c r="EC728"/>
      <c r="ED728"/>
      <c r="EE728"/>
      <c r="EF728"/>
      <c r="EG728"/>
      <c r="EH728"/>
      <c r="EI728"/>
      <c r="EJ728"/>
      <c r="EK728"/>
      <c r="EL728"/>
      <c r="EM728"/>
      <c r="EN728"/>
      <c r="EO728"/>
      <c r="EP728"/>
      <c r="EQ728"/>
      <c r="ER728"/>
      <c r="ES728"/>
    </row>
    <row r="729" spans="1:149">
      <c r="A729"/>
      <c r="B729"/>
      <c r="C729"/>
      <c r="D729"/>
      <c r="E729"/>
      <c r="F729"/>
      <c r="G729"/>
      <c r="H729"/>
      <c r="I729"/>
      <c r="J729"/>
      <c r="K729"/>
      <c r="L729"/>
      <c r="M729"/>
      <c r="N729"/>
      <c r="O729"/>
      <c r="P729"/>
      <c r="Q729"/>
      <c r="R729"/>
      <c r="S729"/>
      <c r="T729"/>
      <c r="U729"/>
      <c r="V729"/>
      <c r="W729"/>
      <c r="X729"/>
      <c r="Y729"/>
      <c r="Z729"/>
      <c r="AA729"/>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c r="BZ729"/>
      <c r="CA729"/>
      <c r="CB729"/>
      <c r="CC729"/>
      <c r="CD729"/>
      <c r="CE729"/>
      <c r="CF729"/>
      <c r="CG729"/>
      <c r="CH729"/>
      <c r="CI729"/>
      <c r="CJ729"/>
      <c r="CK729"/>
      <c r="CL729"/>
      <c r="CM729"/>
      <c r="CN729"/>
      <c r="CO729"/>
      <c r="CP729"/>
      <c r="CQ729"/>
      <c r="CR729"/>
      <c r="CS729"/>
      <c r="CT729"/>
      <c r="CU729"/>
      <c r="CV729"/>
      <c r="CW729"/>
      <c r="CX729"/>
      <c r="CY729"/>
      <c r="CZ729"/>
      <c r="DA729"/>
      <c r="DB729"/>
      <c r="DC729"/>
      <c r="DD729"/>
      <c r="DE729"/>
      <c r="DF729"/>
      <c r="DG729"/>
      <c r="DH729"/>
      <c r="DI729"/>
      <c r="DJ729"/>
      <c r="DK729"/>
      <c r="DL729"/>
      <c r="DM729"/>
      <c r="DN729"/>
      <c r="DO729"/>
      <c r="DP729"/>
      <c r="DQ729"/>
      <c r="DR729"/>
      <c r="DS729"/>
      <c r="DT729"/>
      <c r="DU729"/>
      <c r="DV729"/>
      <c r="DW729"/>
      <c r="DX729"/>
      <c r="DY729"/>
      <c r="DZ729"/>
      <c r="EA729"/>
      <c r="EB729"/>
      <c r="EC729"/>
      <c r="ED729"/>
      <c r="EE729"/>
      <c r="EF729"/>
      <c r="EG729"/>
      <c r="EH729"/>
      <c r="EI729"/>
      <c r="EJ729"/>
      <c r="EK729"/>
      <c r="EL729"/>
      <c r="EM729"/>
      <c r="EN729"/>
      <c r="EO729"/>
      <c r="EP729"/>
      <c r="EQ729"/>
      <c r="ER729"/>
      <c r="ES729"/>
    </row>
    <row r="730" spans="1:149">
      <c r="A730"/>
      <c r="B730"/>
      <c r="C730"/>
      <c r="D730"/>
      <c r="E730"/>
      <c r="F730"/>
      <c r="G730"/>
      <c r="H730"/>
      <c r="I730"/>
      <c r="J730"/>
      <c r="K730"/>
      <c r="L730"/>
      <c r="M730"/>
      <c r="N730"/>
      <c r="O730"/>
      <c r="P730"/>
      <c r="Q730"/>
      <c r="R730"/>
      <c r="S730"/>
      <c r="T730"/>
      <c r="U730"/>
      <c r="V730"/>
      <c r="W730"/>
      <c r="X730"/>
      <c r="Y730"/>
      <c r="Z730"/>
      <c r="AA730"/>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c r="BZ730"/>
      <c r="CA730"/>
      <c r="CB730"/>
      <c r="CC730"/>
      <c r="CD730"/>
      <c r="CE730"/>
      <c r="CF730"/>
      <c r="CG730"/>
      <c r="CH730"/>
      <c r="CI730"/>
      <c r="CJ730"/>
      <c r="CK730"/>
      <c r="CL730"/>
      <c r="CM730"/>
      <c r="CN730"/>
      <c r="CO730"/>
      <c r="CP730"/>
      <c r="CQ730"/>
      <c r="CR730"/>
      <c r="CS730"/>
      <c r="CT730"/>
      <c r="CU730"/>
      <c r="CV730"/>
      <c r="CW730"/>
      <c r="CX730"/>
      <c r="CY730"/>
      <c r="CZ730"/>
      <c r="DA730"/>
      <c r="DB730"/>
      <c r="DC730"/>
      <c r="DD730"/>
      <c r="DE730"/>
      <c r="DF730"/>
      <c r="DG730"/>
      <c r="DH730"/>
      <c r="DI730"/>
      <c r="DJ730"/>
      <c r="DK730"/>
      <c r="DL730"/>
      <c r="DM730"/>
      <c r="DN730"/>
      <c r="DO730"/>
      <c r="DP730"/>
      <c r="DQ730"/>
      <c r="DR730"/>
      <c r="DS730"/>
      <c r="DT730"/>
      <c r="DU730"/>
      <c r="DV730"/>
      <c r="DW730"/>
      <c r="DX730"/>
      <c r="DY730"/>
      <c r="DZ730"/>
      <c r="EA730"/>
      <c r="EB730"/>
      <c r="EC730"/>
      <c r="ED730"/>
      <c r="EE730"/>
      <c r="EF730"/>
      <c r="EG730"/>
      <c r="EH730"/>
      <c r="EI730"/>
      <c r="EJ730"/>
      <c r="EK730"/>
      <c r="EL730"/>
      <c r="EM730"/>
      <c r="EN730"/>
      <c r="EO730"/>
      <c r="EP730"/>
      <c r="EQ730"/>
      <c r="ER730"/>
      <c r="ES730"/>
    </row>
    <row r="731" spans="1:149">
      <c r="A731"/>
      <c r="B731"/>
      <c r="C731"/>
      <c r="D731"/>
      <c r="E731"/>
      <c r="F731"/>
      <c r="G731"/>
      <c r="H731"/>
      <c r="I731"/>
      <c r="J731"/>
      <c r="K731"/>
      <c r="L731"/>
      <c r="M731"/>
      <c r="N731"/>
      <c r="O731"/>
      <c r="P731"/>
      <c r="Q731"/>
      <c r="R731"/>
      <c r="S731"/>
      <c r="T731"/>
      <c r="U731"/>
      <c r="V731"/>
      <c r="W731"/>
      <c r="X731"/>
      <c r="Y731"/>
      <c r="Z731"/>
      <c r="AA731"/>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c r="BZ731"/>
      <c r="CA731"/>
      <c r="CB731"/>
      <c r="CC731"/>
      <c r="CD731"/>
      <c r="CE731"/>
      <c r="CF731"/>
      <c r="CG731"/>
      <c r="CH731"/>
      <c r="CI731"/>
      <c r="CJ731"/>
      <c r="CK731"/>
      <c r="CL731"/>
      <c r="CM731"/>
      <c r="CN731"/>
      <c r="CO731"/>
      <c r="CP731"/>
      <c r="CQ731"/>
      <c r="CR731"/>
      <c r="CS731"/>
      <c r="CT731"/>
      <c r="CU731"/>
      <c r="CV731"/>
      <c r="CW731"/>
      <c r="CX731"/>
      <c r="CY731"/>
      <c r="CZ731"/>
      <c r="DA731"/>
      <c r="DB731"/>
      <c r="DC731"/>
      <c r="DD731"/>
      <c r="DE731"/>
      <c r="DF731"/>
      <c r="DG731"/>
      <c r="DH731"/>
      <c r="DI731"/>
      <c r="DJ731"/>
      <c r="DK731"/>
      <c r="DL731"/>
      <c r="DM731"/>
      <c r="DN731"/>
      <c r="DO731"/>
      <c r="DP731"/>
      <c r="DQ731"/>
      <c r="DR731"/>
      <c r="DS731"/>
      <c r="DT731"/>
      <c r="DU731"/>
      <c r="DV731"/>
      <c r="DW731"/>
      <c r="DX731"/>
      <c r="DY731"/>
      <c r="DZ731"/>
      <c r="EA731"/>
      <c r="EB731"/>
      <c r="EC731"/>
      <c r="ED731"/>
      <c r="EE731"/>
      <c r="EF731"/>
      <c r="EG731"/>
      <c r="EH731"/>
      <c r="EI731"/>
      <c r="EJ731"/>
      <c r="EK731"/>
      <c r="EL731"/>
      <c r="EM731"/>
      <c r="EN731"/>
      <c r="EO731"/>
      <c r="EP731"/>
      <c r="EQ731"/>
      <c r="ER731"/>
      <c r="ES731"/>
    </row>
    <row r="732" spans="1:149">
      <c r="A732"/>
      <c r="B732"/>
      <c r="C732"/>
      <c r="D732"/>
      <c r="E732"/>
      <c r="F732"/>
      <c r="G732"/>
      <c r="H732"/>
      <c r="I732"/>
      <c r="J732"/>
      <c r="K732"/>
      <c r="L732"/>
      <c r="M732"/>
      <c r="N732"/>
      <c r="O732"/>
      <c r="P732"/>
      <c r="Q732"/>
      <c r="R732"/>
      <c r="S732"/>
      <c r="T732"/>
      <c r="U732"/>
      <c r="V732"/>
      <c r="W732"/>
      <c r="X732"/>
      <c r="Y732"/>
      <c r="Z732"/>
      <c r="AA732"/>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c r="BZ732"/>
      <c r="CA732"/>
      <c r="CB732"/>
      <c r="CC732"/>
      <c r="CD732"/>
      <c r="CE732"/>
      <c r="CF732"/>
      <c r="CG732"/>
      <c r="CH732"/>
      <c r="CI732"/>
      <c r="CJ732"/>
      <c r="CK732"/>
      <c r="CL732"/>
      <c r="CM732"/>
      <c r="CN732"/>
      <c r="CO732"/>
      <c r="CP732"/>
      <c r="CQ732"/>
      <c r="CR732"/>
      <c r="CS732"/>
      <c r="CT732"/>
      <c r="CU732"/>
      <c r="CV732"/>
      <c r="CW732"/>
      <c r="CX732"/>
      <c r="CY732"/>
      <c r="CZ732"/>
      <c r="DA732"/>
      <c r="DB732"/>
      <c r="DC732"/>
      <c r="DD732"/>
      <c r="DE732"/>
      <c r="DF732"/>
      <c r="DG732"/>
      <c r="DH732"/>
      <c r="DI732"/>
      <c r="DJ732"/>
      <c r="DK732"/>
      <c r="DL732"/>
      <c r="DM732"/>
      <c r="DN732"/>
      <c r="DO732"/>
      <c r="DP732"/>
      <c r="DQ732"/>
      <c r="DR732"/>
      <c r="DS732"/>
      <c r="DT732"/>
      <c r="DU732"/>
      <c r="DV732"/>
      <c r="DW732"/>
      <c r="DX732"/>
      <c r="DY732"/>
      <c r="DZ732"/>
      <c r="EA732"/>
      <c r="EB732"/>
      <c r="EC732"/>
      <c r="ED732"/>
      <c r="EE732"/>
      <c r="EF732"/>
      <c r="EG732"/>
      <c r="EH732"/>
      <c r="EI732"/>
      <c r="EJ732"/>
      <c r="EK732"/>
      <c r="EL732"/>
      <c r="EM732"/>
      <c r="EN732"/>
      <c r="EO732"/>
      <c r="EP732"/>
      <c r="EQ732"/>
      <c r="ER732"/>
      <c r="ES732"/>
    </row>
    <row r="733" spans="1:149">
      <c r="A733"/>
      <c r="B733"/>
      <c r="C733"/>
      <c r="D733"/>
      <c r="E733"/>
      <c r="F733"/>
      <c r="G733"/>
      <c r="H733"/>
      <c r="I733"/>
      <c r="J733"/>
      <c r="K733"/>
      <c r="L733"/>
      <c r="M733"/>
      <c r="N733"/>
      <c r="O733"/>
      <c r="P733"/>
      <c r="Q733"/>
      <c r="R733"/>
      <c r="S733"/>
      <c r="T733"/>
      <c r="U733"/>
      <c r="V733"/>
      <c r="W733"/>
      <c r="X733"/>
      <c r="Y733"/>
      <c r="Z733"/>
      <c r="AA733"/>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c r="BZ733"/>
      <c r="CA733"/>
      <c r="CB733"/>
      <c r="CC733"/>
      <c r="CD733"/>
      <c r="CE733"/>
      <c r="CF733"/>
      <c r="CG733"/>
      <c r="CH733"/>
      <c r="CI733"/>
      <c r="CJ733"/>
      <c r="CK733"/>
      <c r="CL733"/>
      <c r="CM733"/>
      <c r="CN733"/>
      <c r="CO733"/>
      <c r="CP733"/>
      <c r="CQ733"/>
      <c r="CR733"/>
      <c r="CS733"/>
      <c r="CT733"/>
      <c r="CU733"/>
      <c r="CV733"/>
      <c r="CW733"/>
      <c r="CX733"/>
      <c r="CY733"/>
      <c r="CZ733"/>
      <c r="DA733"/>
      <c r="DB733"/>
      <c r="DC733"/>
      <c r="DD733"/>
      <c r="DE733"/>
      <c r="DF733"/>
      <c r="DG733"/>
      <c r="DH733"/>
      <c r="DI733"/>
      <c r="DJ733"/>
      <c r="DK733"/>
      <c r="DL733"/>
      <c r="DM733"/>
      <c r="DN733"/>
      <c r="DO733"/>
      <c r="DP733"/>
      <c r="DQ733"/>
      <c r="DR733"/>
      <c r="DS733"/>
      <c r="DT733"/>
      <c r="DU733"/>
      <c r="DV733"/>
      <c r="DW733"/>
      <c r="DX733"/>
      <c r="DY733"/>
      <c r="DZ733"/>
      <c r="EA733"/>
      <c r="EB733"/>
      <c r="EC733"/>
      <c r="ED733"/>
      <c r="EE733"/>
      <c r="EF733"/>
      <c r="EG733"/>
      <c r="EH733"/>
      <c r="EI733"/>
      <c r="EJ733"/>
      <c r="EK733"/>
      <c r="EL733"/>
      <c r="EM733"/>
      <c r="EN733"/>
      <c r="EO733"/>
      <c r="EP733"/>
      <c r="EQ733"/>
      <c r="ER733"/>
      <c r="ES733"/>
    </row>
    <row r="734" spans="1:149">
      <c r="A734"/>
      <c r="B734"/>
      <c r="C734"/>
      <c r="D734"/>
      <c r="E734"/>
      <c r="F734"/>
      <c r="G734"/>
      <c r="H734"/>
      <c r="I734"/>
      <c r="J734"/>
      <c r="K734"/>
      <c r="L734"/>
      <c r="M734"/>
      <c r="N734"/>
      <c r="O734"/>
      <c r="P734"/>
      <c r="Q734"/>
      <c r="R734"/>
      <c r="S734"/>
      <c r="T734"/>
      <c r="U734"/>
      <c r="V734"/>
      <c r="W734"/>
      <c r="X734"/>
      <c r="Y734"/>
      <c r="Z734"/>
      <c r="AA734"/>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c r="BZ734"/>
      <c r="CA734"/>
      <c r="CB734"/>
      <c r="CC734"/>
      <c r="CD734"/>
      <c r="CE734"/>
      <c r="CF734"/>
      <c r="CG734"/>
      <c r="CH734"/>
      <c r="CI734"/>
      <c r="CJ734"/>
      <c r="CK734"/>
      <c r="CL734"/>
      <c r="CM734"/>
      <c r="CN734"/>
      <c r="CO734"/>
      <c r="CP734"/>
      <c r="CQ734"/>
      <c r="CR734"/>
      <c r="CS734"/>
      <c r="CT734"/>
      <c r="CU734"/>
      <c r="CV734"/>
      <c r="CW734"/>
      <c r="CX734"/>
      <c r="CY734"/>
      <c r="CZ734"/>
      <c r="DA734"/>
      <c r="DB734"/>
      <c r="DC734"/>
      <c r="DD734"/>
      <c r="DE734"/>
      <c r="DF734"/>
      <c r="DG734"/>
      <c r="DH734"/>
      <c r="DI734"/>
      <c r="DJ734"/>
      <c r="DK734"/>
      <c r="DL734"/>
      <c r="DM734"/>
      <c r="DN734"/>
      <c r="DO734"/>
      <c r="DP734"/>
      <c r="DQ734"/>
      <c r="DR734"/>
      <c r="DS734"/>
      <c r="DT734"/>
      <c r="DU734"/>
      <c r="DV734"/>
      <c r="DW734"/>
      <c r="DX734"/>
      <c r="DY734"/>
      <c r="DZ734"/>
      <c r="EA734"/>
      <c r="EB734"/>
      <c r="EC734"/>
      <c r="ED734"/>
      <c r="EE734"/>
      <c r="EF734"/>
      <c r="EG734"/>
      <c r="EH734"/>
      <c r="EI734"/>
      <c r="EJ734"/>
      <c r="EK734"/>
      <c r="EL734"/>
      <c r="EM734"/>
      <c r="EN734"/>
      <c r="EO734"/>
      <c r="EP734"/>
      <c r="EQ734"/>
      <c r="ER734"/>
      <c r="ES734"/>
    </row>
    <row r="735" spans="1:149">
      <c r="A735"/>
      <c r="B735"/>
      <c r="C735"/>
      <c r="D735"/>
      <c r="E735"/>
      <c r="F735"/>
      <c r="G735"/>
      <c r="H735"/>
      <c r="I735"/>
      <c r="J735"/>
      <c r="K735"/>
      <c r="L735"/>
      <c r="M735"/>
      <c r="N735"/>
      <c r="O735"/>
      <c r="P735"/>
      <c r="Q735"/>
      <c r="R735"/>
      <c r="S735"/>
      <c r="T735"/>
      <c r="U735"/>
      <c r="V735"/>
      <c r="W735"/>
      <c r="X735"/>
      <c r="Y735"/>
      <c r="Z735"/>
      <c r="AA7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c r="BZ735"/>
      <c r="CA735"/>
      <c r="CB735"/>
      <c r="CC735"/>
      <c r="CD735"/>
      <c r="CE735"/>
      <c r="CF735"/>
      <c r="CG735"/>
      <c r="CH735"/>
      <c r="CI735"/>
      <c r="CJ735"/>
      <c r="CK735"/>
      <c r="CL735"/>
      <c r="CM735"/>
      <c r="CN735"/>
      <c r="CO735"/>
      <c r="CP735"/>
      <c r="CQ735"/>
      <c r="CR735"/>
      <c r="CS735"/>
      <c r="CT735"/>
      <c r="CU735"/>
      <c r="CV735"/>
      <c r="CW735"/>
      <c r="CX735"/>
      <c r="CY735"/>
      <c r="CZ735"/>
      <c r="DA735"/>
      <c r="DB735"/>
      <c r="DC735"/>
      <c r="DD735"/>
      <c r="DE735"/>
      <c r="DF735"/>
      <c r="DG735"/>
      <c r="DH735"/>
      <c r="DI735"/>
      <c r="DJ735"/>
      <c r="DK735"/>
      <c r="DL735"/>
      <c r="DM735"/>
      <c r="DN735"/>
      <c r="DO735"/>
      <c r="DP735"/>
      <c r="DQ735"/>
      <c r="DR735"/>
      <c r="DS735"/>
      <c r="DT735"/>
      <c r="DU735"/>
      <c r="DV735"/>
      <c r="DW735"/>
      <c r="DX735"/>
      <c r="DY735"/>
      <c r="DZ735"/>
      <c r="EA735"/>
      <c r="EB735"/>
      <c r="EC735"/>
      <c r="ED735"/>
      <c r="EE735"/>
      <c r="EF735"/>
      <c r="EG735"/>
      <c r="EH735"/>
      <c r="EI735"/>
      <c r="EJ735"/>
      <c r="EK735"/>
      <c r="EL735"/>
      <c r="EM735"/>
      <c r="EN735"/>
      <c r="EO735"/>
      <c r="EP735"/>
      <c r="EQ735"/>
      <c r="ER735"/>
      <c r="ES735"/>
    </row>
    <row r="736" spans="1:149">
      <c r="A736"/>
      <c r="B736"/>
      <c r="C736"/>
      <c r="D736"/>
      <c r="E736"/>
      <c r="F736"/>
      <c r="G736"/>
      <c r="H736"/>
      <c r="I736"/>
      <c r="J736"/>
      <c r="K736"/>
      <c r="L736"/>
      <c r="M736"/>
      <c r="N736"/>
      <c r="O736"/>
      <c r="P736"/>
      <c r="Q736"/>
      <c r="R736"/>
      <c r="S736"/>
      <c r="T736"/>
      <c r="U736"/>
      <c r="V736"/>
      <c r="W736"/>
      <c r="X736"/>
      <c r="Y736"/>
      <c r="Z736"/>
      <c r="AA736"/>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c r="BZ736"/>
      <c r="CA736"/>
      <c r="CB736"/>
      <c r="CC736"/>
      <c r="CD736"/>
      <c r="CE736"/>
      <c r="CF736"/>
      <c r="CG736"/>
      <c r="CH736"/>
      <c r="CI736"/>
      <c r="CJ736"/>
      <c r="CK736"/>
      <c r="CL736"/>
      <c r="CM736"/>
      <c r="CN736"/>
      <c r="CO736"/>
      <c r="CP736"/>
      <c r="CQ736"/>
      <c r="CR736"/>
      <c r="CS736"/>
      <c r="CT736"/>
      <c r="CU736"/>
      <c r="CV736"/>
      <c r="CW736"/>
      <c r="CX736"/>
      <c r="CY736"/>
      <c r="CZ736"/>
      <c r="DA736"/>
      <c r="DB736"/>
      <c r="DC736"/>
      <c r="DD736"/>
      <c r="DE736"/>
      <c r="DF736"/>
      <c r="DG736"/>
      <c r="DH736"/>
      <c r="DI736"/>
      <c r="DJ736"/>
      <c r="DK736"/>
      <c r="DL736"/>
      <c r="DM736"/>
      <c r="DN736"/>
      <c r="DO736"/>
      <c r="DP736"/>
      <c r="DQ736"/>
      <c r="DR736"/>
      <c r="DS736"/>
      <c r="DT736"/>
      <c r="DU736"/>
      <c r="DV736"/>
      <c r="DW736"/>
      <c r="DX736"/>
      <c r="DY736"/>
      <c r="DZ736"/>
      <c r="EA736"/>
      <c r="EB736"/>
      <c r="EC736"/>
      <c r="ED736"/>
      <c r="EE736"/>
      <c r="EF736"/>
      <c r="EG736"/>
      <c r="EH736"/>
      <c r="EI736"/>
      <c r="EJ736"/>
      <c r="EK736"/>
      <c r="EL736"/>
      <c r="EM736"/>
      <c r="EN736"/>
      <c r="EO736"/>
      <c r="EP736"/>
      <c r="EQ736"/>
      <c r="ER736"/>
      <c r="ES736"/>
    </row>
    <row r="737" spans="1:149">
      <c r="A737"/>
      <c r="B737"/>
      <c r="C737"/>
      <c r="D737"/>
      <c r="E737"/>
      <c r="F737"/>
      <c r="G737"/>
      <c r="H737"/>
      <c r="I737"/>
      <c r="J737"/>
      <c r="K737"/>
      <c r="L737"/>
      <c r="M737"/>
      <c r="N737"/>
      <c r="O737"/>
      <c r="P737"/>
      <c r="Q737"/>
      <c r="R737"/>
      <c r="S737"/>
      <c r="T737"/>
      <c r="U737"/>
      <c r="V737"/>
      <c r="W737"/>
      <c r="X737"/>
      <c r="Y737"/>
      <c r="Z737"/>
      <c r="AA737"/>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c r="BZ737"/>
      <c r="CA737"/>
      <c r="CB737"/>
      <c r="CC737"/>
      <c r="CD737"/>
      <c r="CE737"/>
      <c r="CF737"/>
      <c r="CG737"/>
      <c r="CH737"/>
      <c r="CI737"/>
      <c r="CJ737"/>
      <c r="CK737"/>
      <c r="CL737"/>
      <c r="CM737"/>
      <c r="CN737"/>
      <c r="CO737"/>
      <c r="CP737"/>
      <c r="CQ737"/>
      <c r="CR737"/>
      <c r="CS737"/>
      <c r="CT737"/>
      <c r="CU737"/>
      <c r="CV737"/>
      <c r="CW737"/>
      <c r="CX737"/>
      <c r="CY737"/>
      <c r="CZ737"/>
      <c r="DA737"/>
      <c r="DB737"/>
      <c r="DC737"/>
      <c r="DD737"/>
      <c r="DE737"/>
      <c r="DF737"/>
      <c r="DG737"/>
      <c r="DH737"/>
      <c r="DI737"/>
      <c r="DJ737"/>
      <c r="DK737"/>
      <c r="DL737"/>
      <c r="DM737"/>
      <c r="DN737"/>
      <c r="DO737"/>
      <c r="DP737"/>
      <c r="DQ737"/>
      <c r="DR737"/>
      <c r="DS737"/>
      <c r="DT737"/>
      <c r="DU737"/>
      <c r="DV737"/>
      <c r="DW737"/>
      <c r="DX737"/>
      <c r="DY737"/>
      <c r="DZ737"/>
      <c r="EA737"/>
      <c r="EB737"/>
      <c r="EC737"/>
      <c r="ED737"/>
      <c r="EE737"/>
      <c r="EF737"/>
      <c r="EG737"/>
      <c r="EH737"/>
      <c r="EI737"/>
      <c r="EJ737"/>
      <c r="EK737"/>
      <c r="EL737"/>
      <c r="EM737"/>
      <c r="EN737"/>
      <c r="EO737"/>
      <c r="EP737"/>
      <c r="EQ737"/>
      <c r="ER737"/>
      <c r="ES737"/>
    </row>
    <row r="738" spans="1:149">
      <c r="A738"/>
      <c r="B738"/>
      <c r="C738"/>
      <c r="D738"/>
      <c r="E738"/>
      <c r="F738"/>
      <c r="G738"/>
      <c r="H738"/>
      <c r="I738"/>
      <c r="J738"/>
      <c r="K738"/>
      <c r="L738"/>
      <c r="M738"/>
      <c r="N738"/>
      <c r="O738"/>
      <c r="P738"/>
      <c r="Q738"/>
      <c r="R738"/>
      <c r="S738"/>
      <c r="T738"/>
      <c r="U738"/>
      <c r="V738"/>
      <c r="W738"/>
      <c r="X738"/>
      <c r="Y738"/>
      <c r="Z738"/>
      <c r="AA738"/>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c r="BZ738"/>
      <c r="CA738"/>
      <c r="CB738"/>
      <c r="CC738"/>
      <c r="CD738"/>
      <c r="CE738"/>
      <c r="CF738"/>
      <c r="CG738"/>
      <c r="CH738"/>
      <c r="CI738"/>
      <c r="CJ738"/>
      <c r="CK738"/>
      <c r="CL738"/>
      <c r="CM738"/>
      <c r="CN738"/>
      <c r="CO738"/>
      <c r="CP738"/>
      <c r="CQ738"/>
      <c r="CR738"/>
      <c r="CS738"/>
      <c r="CT738"/>
      <c r="CU738"/>
      <c r="CV738"/>
      <c r="CW738"/>
      <c r="CX738"/>
      <c r="CY738"/>
      <c r="CZ738"/>
      <c r="DA738"/>
      <c r="DB738"/>
      <c r="DC738"/>
      <c r="DD738"/>
      <c r="DE738"/>
      <c r="DF738"/>
      <c r="DG738"/>
      <c r="DH738"/>
      <c r="DI738"/>
      <c r="DJ738"/>
      <c r="DK738"/>
      <c r="DL738"/>
      <c r="DM738"/>
      <c r="DN738"/>
      <c r="DO738"/>
      <c r="DP738"/>
      <c r="DQ738"/>
      <c r="DR738"/>
      <c r="DS738"/>
      <c r="DT738"/>
      <c r="DU738"/>
      <c r="DV738"/>
      <c r="DW738"/>
      <c r="DX738"/>
      <c r="DY738"/>
      <c r="DZ738"/>
      <c r="EA738"/>
      <c r="EB738"/>
      <c r="EC738"/>
      <c r="ED738"/>
      <c r="EE738"/>
      <c r="EF738"/>
      <c r="EG738"/>
      <c r="EH738"/>
      <c r="EI738"/>
      <c r="EJ738"/>
      <c r="EK738"/>
      <c r="EL738"/>
      <c r="EM738"/>
      <c r="EN738"/>
      <c r="EO738"/>
      <c r="EP738"/>
      <c r="EQ738"/>
      <c r="ER738"/>
      <c r="ES738"/>
    </row>
    <row r="739" spans="1:149">
      <c r="A739"/>
      <c r="B739"/>
      <c r="C739"/>
      <c r="D739"/>
      <c r="E739"/>
      <c r="F739"/>
      <c r="G739"/>
      <c r="H739"/>
      <c r="I739"/>
      <c r="J739"/>
      <c r="K739"/>
      <c r="L739"/>
      <c r="M739"/>
      <c r="N739"/>
      <c r="O739"/>
      <c r="P739"/>
      <c r="Q739"/>
      <c r="R739"/>
      <c r="S739"/>
      <c r="T739"/>
      <c r="U739"/>
      <c r="V739"/>
      <c r="W739"/>
      <c r="X739"/>
      <c r="Y739"/>
      <c r="Z739"/>
      <c r="AA739"/>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c r="BZ739"/>
      <c r="CA739"/>
      <c r="CB739"/>
      <c r="CC739"/>
      <c r="CD739"/>
      <c r="CE739"/>
      <c r="CF739"/>
      <c r="CG739"/>
      <c r="CH739"/>
      <c r="CI739"/>
      <c r="CJ739"/>
      <c r="CK739"/>
      <c r="CL739"/>
      <c r="CM739"/>
      <c r="CN739"/>
      <c r="CO739"/>
      <c r="CP739"/>
      <c r="CQ739"/>
      <c r="CR739"/>
      <c r="CS739"/>
      <c r="CT739"/>
      <c r="CU739"/>
      <c r="CV739"/>
      <c r="CW739"/>
      <c r="CX739"/>
      <c r="CY739"/>
      <c r="CZ739"/>
      <c r="DA739"/>
      <c r="DB739"/>
      <c r="DC739"/>
      <c r="DD739"/>
      <c r="DE739"/>
      <c r="DF739"/>
      <c r="DG739"/>
      <c r="DH739"/>
      <c r="DI739"/>
      <c r="DJ739"/>
      <c r="DK739"/>
      <c r="DL739"/>
      <c r="DM739"/>
      <c r="DN739"/>
      <c r="DO739"/>
      <c r="DP739"/>
      <c r="DQ739"/>
      <c r="DR739"/>
      <c r="DS739"/>
      <c r="DT739"/>
      <c r="DU739"/>
      <c r="DV739"/>
      <c r="DW739"/>
      <c r="DX739"/>
      <c r="DY739"/>
      <c r="DZ739"/>
      <c r="EA739"/>
      <c r="EB739"/>
      <c r="EC739"/>
      <c r="ED739"/>
      <c r="EE739"/>
      <c r="EF739"/>
      <c r="EG739"/>
      <c r="EH739"/>
      <c r="EI739"/>
      <c r="EJ739"/>
      <c r="EK739"/>
      <c r="EL739"/>
      <c r="EM739"/>
      <c r="EN739"/>
      <c r="EO739"/>
      <c r="EP739"/>
      <c r="EQ739"/>
      <c r="ER739"/>
      <c r="ES739"/>
    </row>
    <row r="740" spans="1:149">
      <c r="A740"/>
      <c r="B740"/>
      <c r="C740"/>
      <c r="D740"/>
      <c r="E740"/>
      <c r="F740"/>
      <c r="G740"/>
      <c r="H740"/>
      <c r="I740"/>
      <c r="J740"/>
      <c r="K740"/>
      <c r="L740"/>
      <c r="M740"/>
      <c r="N740"/>
      <c r="O740"/>
      <c r="P740"/>
      <c r="Q740"/>
      <c r="R740"/>
      <c r="S740"/>
      <c r="T740"/>
      <c r="U740"/>
      <c r="V740"/>
      <c r="W740"/>
      <c r="X740"/>
      <c r="Y740"/>
      <c r="Z740"/>
      <c r="AA740"/>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c r="BZ740"/>
      <c r="CA740"/>
      <c r="CB740"/>
      <c r="CC740"/>
      <c r="CD740"/>
      <c r="CE740"/>
      <c r="CF740"/>
      <c r="CG740"/>
      <c r="CH740"/>
      <c r="CI740"/>
      <c r="CJ740"/>
      <c r="CK740"/>
      <c r="CL740"/>
      <c r="CM740"/>
      <c r="CN740"/>
      <c r="CO740"/>
      <c r="CP740"/>
      <c r="CQ740"/>
      <c r="CR740"/>
      <c r="CS740"/>
      <c r="CT740"/>
      <c r="CU740"/>
      <c r="CV740"/>
      <c r="CW740"/>
      <c r="CX740"/>
      <c r="CY740"/>
      <c r="CZ740"/>
      <c r="DA740"/>
      <c r="DB740"/>
      <c r="DC740"/>
      <c r="DD740"/>
      <c r="DE740"/>
      <c r="DF740"/>
      <c r="DG740"/>
      <c r="DH740"/>
      <c r="DI740"/>
      <c r="DJ740"/>
      <c r="DK740"/>
      <c r="DL740"/>
      <c r="DM740"/>
      <c r="DN740"/>
      <c r="DO740"/>
      <c r="DP740"/>
      <c r="DQ740"/>
      <c r="DR740"/>
      <c r="DS740"/>
      <c r="DT740"/>
      <c r="DU740"/>
      <c r="DV740"/>
      <c r="DW740"/>
      <c r="DX740"/>
      <c r="DY740"/>
      <c r="DZ740"/>
      <c r="EA740"/>
      <c r="EB740"/>
      <c r="EC740"/>
      <c r="ED740"/>
      <c r="EE740"/>
      <c r="EF740"/>
      <c r="EG740"/>
      <c r="EH740"/>
      <c r="EI740"/>
      <c r="EJ740"/>
      <c r="EK740"/>
      <c r="EL740"/>
      <c r="EM740"/>
      <c r="EN740"/>
      <c r="EO740"/>
      <c r="EP740"/>
      <c r="EQ740"/>
      <c r="ER740"/>
      <c r="ES740"/>
    </row>
    <row r="741" spans="1:149">
      <c r="A741"/>
      <c r="B741"/>
      <c r="C741"/>
      <c r="D741"/>
      <c r="E741"/>
      <c r="F741"/>
      <c r="G741"/>
      <c r="H741"/>
      <c r="I741"/>
      <c r="J741"/>
      <c r="K741"/>
      <c r="L741"/>
      <c r="M741"/>
      <c r="N741"/>
      <c r="O741"/>
      <c r="P741"/>
      <c r="Q741"/>
      <c r="R741"/>
      <c r="S741"/>
      <c r="T741"/>
      <c r="U741"/>
      <c r="V741"/>
      <c r="W741"/>
      <c r="X741"/>
      <c r="Y741"/>
      <c r="Z741"/>
      <c r="AA741"/>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c r="BZ741"/>
      <c r="CA741"/>
      <c r="CB741"/>
      <c r="CC741"/>
      <c r="CD741"/>
      <c r="CE741"/>
      <c r="CF741"/>
      <c r="CG741"/>
      <c r="CH741"/>
      <c r="CI741"/>
      <c r="CJ741"/>
      <c r="CK741"/>
      <c r="CL741"/>
      <c r="CM741"/>
      <c r="CN741"/>
      <c r="CO741"/>
      <c r="CP741"/>
      <c r="CQ741"/>
      <c r="CR741"/>
      <c r="CS741"/>
      <c r="CT741"/>
      <c r="CU741"/>
      <c r="CV741"/>
      <c r="CW741"/>
      <c r="CX741"/>
      <c r="CY741"/>
      <c r="CZ741"/>
      <c r="DA741"/>
      <c r="DB741"/>
      <c r="DC741"/>
      <c r="DD741"/>
      <c r="DE741"/>
      <c r="DF741"/>
      <c r="DG741"/>
      <c r="DH741"/>
      <c r="DI741"/>
      <c r="DJ741"/>
      <c r="DK741"/>
      <c r="DL741"/>
      <c r="DM741"/>
      <c r="DN741"/>
      <c r="DO741"/>
      <c r="DP741"/>
      <c r="DQ741"/>
      <c r="DR741"/>
      <c r="DS741"/>
      <c r="DT741"/>
      <c r="DU741"/>
      <c r="DV741"/>
      <c r="DW741"/>
      <c r="DX741"/>
      <c r="DY741"/>
      <c r="DZ741"/>
      <c r="EA741"/>
      <c r="EB741"/>
      <c r="EC741"/>
      <c r="ED741"/>
      <c r="EE741"/>
      <c r="EF741"/>
      <c r="EG741"/>
      <c r="EH741"/>
      <c r="EI741"/>
      <c r="EJ741"/>
      <c r="EK741"/>
      <c r="EL741"/>
      <c r="EM741"/>
      <c r="EN741"/>
      <c r="EO741"/>
      <c r="EP741"/>
      <c r="EQ741"/>
      <c r="ER741"/>
      <c r="ES741"/>
    </row>
    <row r="742" spans="1:149">
      <c r="A742"/>
      <c r="B742"/>
      <c r="C742"/>
      <c r="D742"/>
      <c r="E742"/>
      <c r="F742"/>
      <c r="G742"/>
      <c r="H742"/>
      <c r="I742"/>
      <c r="J742"/>
      <c r="K742"/>
      <c r="L742"/>
      <c r="M742"/>
      <c r="N742"/>
      <c r="O742"/>
      <c r="P742"/>
      <c r="Q742"/>
      <c r="R742"/>
      <c r="S742"/>
      <c r="T742"/>
      <c r="U742"/>
      <c r="V742"/>
      <c r="W742"/>
      <c r="X742"/>
      <c r="Y742"/>
      <c r="Z742"/>
      <c r="AA742"/>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c r="BZ742"/>
      <c r="CA742"/>
      <c r="CB742"/>
      <c r="CC742"/>
      <c r="CD742"/>
      <c r="CE742"/>
      <c r="CF742"/>
      <c r="CG742"/>
      <c r="CH742"/>
      <c r="CI742"/>
      <c r="CJ742"/>
      <c r="CK742"/>
      <c r="CL742"/>
      <c r="CM742"/>
      <c r="CN742"/>
      <c r="CO742"/>
      <c r="CP742"/>
      <c r="CQ742"/>
      <c r="CR742"/>
      <c r="CS742"/>
      <c r="CT742"/>
      <c r="CU742"/>
      <c r="CV742"/>
      <c r="CW742"/>
      <c r="CX742"/>
      <c r="CY742"/>
      <c r="CZ742"/>
      <c r="DA742"/>
      <c r="DB742"/>
      <c r="DC742"/>
      <c r="DD742"/>
      <c r="DE742"/>
      <c r="DF742"/>
      <c r="DG742"/>
      <c r="DH742"/>
      <c r="DI742"/>
      <c r="DJ742"/>
      <c r="DK742"/>
      <c r="DL742"/>
      <c r="DM742"/>
      <c r="DN742"/>
      <c r="DO742"/>
      <c r="DP742"/>
      <c r="DQ742"/>
      <c r="DR742"/>
      <c r="DS742"/>
      <c r="DT742"/>
      <c r="DU742"/>
      <c r="DV742"/>
      <c r="DW742"/>
      <c r="DX742"/>
      <c r="DY742"/>
      <c r="DZ742"/>
      <c r="EA742"/>
      <c r="EB742"/>
      <c r="EC742"/>
      <c r="ED742"/>
      <c r="EE742"/>
      <c r="EF742"/>
      <c r="EG742"/>
      <c r="EH742"/>
      <c r="EI742"/>
      <c r="EJ742"/>
      <c r="EK742"/>
      <c r="EL742"/>
      <c r="EM742"/>
      <c r="EN742"/>
      <c r="EO742"/>
      <c r="EP742"/>
      <c r="EQ742"/>
      <c r="ER742"/>
      <c r="ES742"/>
    </row>
    <row r="743" spans="1:149">
      <c r="A743"/>
      <c r="B743"/>
      <c r="C743"/>
      <c r="D743"/>
      <c r="E743"/>
      <c r="F743"/>
      <c r="G743"/>
      <c r="H743"/>
      <c r="I743"/>
      <c r="J743"/>
      <c r="K743"/>
      <c r="L743"/>
      <c r="M743"/>
      <c r="N743"/>
      <c r="O743"/>
      <c r="P743"/>
      <c r="Q743"/>
      <c r="R743"/>
      <c r="S743"/>
      <c r="T743"/>
      <c r="U743"/>
      <c r="V743"/>
      <c r="W743"/>
      <c r="X743"/>
      <c r="Y743"/>
      <c r="Z743"/>
      <c r="AA743"/>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c r="BZ743"/>
      <c r="CA743"/>
      <c r="CB743"/>
      <c r="CC743"/>
      <c r="CD743"/>
      <c r="CE743"/>
      <c r="CF743"/>
      <c r="CG743"/>
      <c r="CH743"/>
      <c r="CI743"/>
      <c r="CJ743"/>
      <c r="CK743"/>
      <c r="CL743"/>
      <c r="CM743"/>
      <c r="CN743"/>
      <c r="CO743"/>
      <c r="CP743"/>
      <c r="CQ743"/>
      <c r="CR743"/>
      <c r="CS743"/>
      <c r="CT743"/>
      <c r="CU743"/>
      <c r="CV743"/>
      <c r="CW743"/>
      <c r="CX743"/>
      <c r="CY743"/>
      <c r="CZ743"/>
      <c r="DA743"/>
      <c r="DB743"/>
      <c r="DC743"/>
      <c r="DD743"/>
      <c r="DE743"/>
      <c r="DF743"/>
      <c r="DG743"/>
      <c r="DH743"/>
      <c r="DI743"/>
      <c r="DJ743"/>
      <c r="DK743"/>
      <c r="DL743"/>
      <c r="DM743"/>
      <c r="DN743"/>
      <c r="DO743"/>
      <c r="DP743"/>
      <c r="DQ743"/>
      <c r="DR743"/>
      <c r="DS743"/>
      <c r="DT743"/>
      <c r="DU743"/>
      <c r="DV743"/>
      <c r="DW743"/>
      <c r="DX743"/>
      <c r="DY743"/>
      <c r="DZ743"/>
      <c r="EA743"/>
      <c r="EB743"/>
      <c r="EC743"/>
      <c r="ED743"/>
      <c r="EE743"/>
      <c r="EF743"/>
      <c r="EG743"/>
      <c r="EH743"/>
      <c r="EI743"/>
      <c r="EJ743"/>
      <c r="EK743"/>
      <c r="EL743"/>
      <c r="EM743"/>
      <c r="EN743"/>
      <c r="EO743"/>
      <c r="EP743"/>
      <c r="EQ743"/>
      <c r="ER743"/>
      <c r="ES743"/>
    </row>
    <row r="744" spans="1:149">
      <c r="A744"/>
      <c r="B744"/>
      <c r="C744"/>
      <c r="D744"/>
      <c r="E744"/>
      <c r="F744"/>
      <c r="G744"/>
      <c r="H744"/>
      <c r="I744"/>
      <c r="J744"/>
      <c r="K744"/>
      <c r="L744"/>
      <c r="M744"/>
      <c r="N744"/>
      <c r="O744"/>
      <c r="P744"/>
      <c r="Q744"/>
      <c r="R744"/>
      <c r="S744"/>
      <c r="T744"/>
      <c r="U744"/>
      <c r="V744"/>
      <c r="W744"/>
      <c r="X744"/>
      <c r="Y744"/>
      <c r="Z744"/>
      <c r="AA744"/>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c r="BZ744"/>
      <c r="CA744"/>
      <c r="CB744"/>
      <c r="CC744"/>
      <c r="CD744"/>
      <c r="CE744"/>
      <c r="CF744"/>
      <c r="CG744"/>
      <c r="CH744"/>
      <c r="CI744"/>
      <c r="CJ744"/>
      <c r="CK744"/>
      <c r="CL744"/>
      <c r="CM744"/>
      <c r="CN744"/>
      <c r="CO744"/>
      <c r="CP744"/>
      <c r="CQ744"/>
      <c r="CR744"/>
      <c r="CS744"/>
      <c r="CT744"/>
      <c r="CU744"/>
      <c r="CV744"/>
      <c r="CW744"/>
      <c r="CX744"/>
      <c r="CY744"/>
      <c r="CZ744"/>
      <c r="DA744"/>
      <c r="DB744"/>
      <c r="DC744"/>
      <c r="DD744"/>
      <c r="DE744"/>
      <c r="DF744"/>
      <c r="DG744"/>
      <c r="DH744"/>
      <c r="DI744"/>
      <c r="DJ744"/>
      <c r="DK744"/>
      <c r="DL744"/>
      <c r="DM744"/>
      <c r="DN744"/>
      <c r="DO744"/>
      <c r="DP744"/>
      <c r="DQ744"/>
      <c r="DR744"/>
      <c r="DS744"/>
      <c r="DT744"/>
      <c r="DU744"/>
      <c r="DV744"/>
      <c r="DW744"/>
      <c r="DX744"/>
      <c r="DY744"/>
      <c r="DZ744"/>
      <c r="EA744"/>
      <c r="EB744"/>
      <c r="EC744"/>
      <c r="ED744"/>
      <c r="EE744"/>
      <c r="EF744"/>
      <c r="EG744"/>
      <c r="EH744"/>
      <c r="EI744"/>
      <c r="EJ744"/>
      <c r="EK744"/>
      <c r="EL744"/>
      <c r="EM744"/>
      <c r="EN744"/>
      <c r="EO744"/>
      <c r="EP744"/>
      <c r="EQ744"/>
      <c r="ER744"/>
      <c r="ES744"/>
    </row>
    <row r="745" spans="1:149">
      <c r="A745"/>
      <c r="B745"/>
      <c r="C745"/>
      <c r="D745"/>
      <c r="E745"/>
      <c r="F745"/>
      <c r="G745"/>
      <c r="H745"/>
      <c r="I745"/>
      <c r="J745"/>
      <c r="K745"/>
      <c r="L745"/>
      <c r="M745"/>
      <c r="N745"/>
      <c r="O745"/>
      <c r="P745"/>
      <c r="Q745"/>
      <c r="R745"/>
      <c r="S745"/>
      <c r="T745"/>
      <c r="U745"/>
      <c r="V745"/>
      <c r="W745"/>
      <c r="X745"/>
      <c r="Y745"/>
      <c r="Z745"/>
      <c r="AA74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c r="BZ745"/>
      <c r="CA745"/>
      <c r="CB745"/>
      <c r="CC745"/>
      <c r="CD745"/>
      <c r="CE745"/>
      <c r="CF745"/>
      <c r="CG745"/>
      <c r="CH745"/>
      <c r="CI745"/>
      <c r="CJ745"/>
      <c r="CK745"/>
      <c r="CL745"/>
      <c r="CM745"/>
      <c r="CN745"/>
      <c r="CO745"/>
      <c r="CP745"/>
      <c r="CQ745"/>
      <c r="CR745"/>
      <c r="CS745"/>
      <c r="CT745"/>
      <c r="CU745"/>
      <c r="CV745"/>
      <c r="CW745"/>
      <c r="CX745"/>
      <c r="CY745"/>
      <c r="CZ745"/>
      <c r="DA745"/>
      <c r="DB745"/>
      <c r="DC745"/>
      <c r="DD745"/>
      <c r="DE745"/>
      <c r="DF745"/>
      <c r="DG745"/>
      <c r="DH745"/>
      <c r="DI745"/>
      <c r="DJ745"/>
      <c r="DK745"/>
      <c r="DL745"/>
      <c r="DM745"/>
      <c r="DN745"/>
      <c r="DO745"/>
      <c r="DP745"/>
      <c r="DQ745"/>
      <c r="DR745"/>
      <c r="DS745"/>
      <c r="DT745"/>
      <c r="DU745"/>
      <c r="DV745"/>
      <c r="DW745"/>
      <c r="DX745"/>
      <c r="DY745"/>
      <c r="DZ745"/>
      <c r="EA745"/>
      <c r="EB745"/>
      <c r="EC745"/>
      <c r="ED745"/>
      <c r="EE745"/>
      <c r="EF745"/>
      <c r="EG745"/>
      <c r="EH745"/>
      <c r="EI745"/>
      <c r="EJ745"/>
      <c r="EK745"/>
      <c r="EL745"/>
      <c r="EM745"/>
      <c r="EN745"/>
      <c r="EO745"/>
      <c r="EP745"/>
      <c r="EQ745"/>
      <c r="ER745"/>
      <c r="ES745"/>
    </row>
    <row r="746" spans="1:149">
      <c r="A746"/>
      <c r="B746"/>
      <c r="C746"/>
      <c r="D746"/>
      <c r="E746"/>
      <c r="F746"/>
      <c r="G746"/>
      <c r="H746"/>
      <c r="I746"/>
      <c r="J746"/>
      <c r="K746"/>
      <c r="L746"/>
      <c r="M746"/>
      <c r="N746"/>
      <c r="O746"/>
      <c r="P746"/>
      <c r="Q746"/>
      <c r="R746"/>
      <c r="S746"/>
      <c r="T746"/>
      <c r="U746"/>
      <c r="V746"/>
      <c r="W746"/>
      <c r="X746"/>
      <c r="Y746"/>
      <c r="Z746"/>
      <c r="AA746"/>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c r="BZ746"/>
      <c r="CA746"/>
      <c r="CB746"/>
      <c r="CC746"/>
      <c r="CD746"/>
      <c r="CE746"/>
      <c r="CF746"/>
      <c r="CG746"/>
      <c r="CH746"/>
      <c r="CI746"/>
      <c r="CJ746"/>
      <c r="CK746"/>
      <c r="CL746"/>
      <c r="CM746"/>
      <c r="CN746"/>
      <c r="CO746"/>
      <c r="CP746"/>
      <c r="CQ746"/>
      <c r="CR746"/>
      <c r="CS746"/>
      <c r="CT746"/>
      <c r="CU746"/>
      <c r="CV746"/>
      <c r="CW746"/>
      <c r="CX746"/>
      <c r="CY746"/>
      <c r="CZ746"/>
      <c r="DA746"/>
      <c r="DB746"/>
      <c r="DC746"/>
      <c r="DD746"/>
      <c r="DE746"/>
      <c r="DF746"/>
      <c r="DG746"/>
      <c r="DH746"/>
      <c r="DI746"/>
      <c r="DJ746"/>
      <c r="DK746"/>
      <c r="DL746"/>
      <c r="DM746"/>
      <c r="DN746"/>
      <c r="DO746"/>
      <c r="DP746"/>
      <c r="DQ746"/>
      <c r="DR746"/>
      <c r="DS746"/>
      <c r="DT746"/>
      <c r="DU746"/>
      <c r="DV746"/>
      <c r="DW746"/>
      <c r="DX746"/>
      <c r="DY746"/>
      <c r="DZ746"/>
      <c r="EA746"/>
      <c r="EB746"/>
      <c r="EC746"/>
      <c r="ED746"/>
      <c r="EE746"/>
      <c r="EF746"/>
      <c r="EG746"/>
      <c r="EH746"/>
      <c r="EI746"/>
      <c r="EJ746"/>
      <c r="EK746"/>
      <c r="EL746"/>
      <c r="EM746"/>
      <c r="EN746"/>
      <c r="EO746"/>
      <c r="EP746"/>
      <c r="EQ746"/>
      <c r="ER746"/>
      <c r="ES746"/>
    </row>
    <row r="747" spans="1:149">
      <c r="A747"/>
      <c r="B747"/>
      <c r="C747"/>
      <c r="D747"/>
      <c r="E747"/>
      <c r="F747"/>
      <c r="G747"/>
      <c r="H747"/>
      <c r="I747"/>
      <c r="J747"/>
      <c r="K747"/>
      <c r="L747"/>
      <c r="M747"/>
      <c r="N747"/>
      <c r="O747"/>
      <c r="P747"/>
      <c r="Q747"/>
      <c r="R747"/>
      <c r="S747"/>
      <c r="T747"/>
      <c r="U747"/>
      <c r="V747"/>
      <c r="W747"/>
      <c r="X747"/>
      <c r="Y747"/>
      <c r="Z747"/>
      <c r="AA747"/>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c r="BZ747"/>
      <c r="CA747"/>
      <c r="CB747"/>
      <c r="CC747"/>
      <c r="CD747"/>
      <c r="CE747"/>
      <c r="CF747"/>
      <c r="CG747"/>
      <c r="CH747"/>
      <c r="CI747"/>
      <c r="CJ747"/>
      <c r="CK747"/>
      <c r="CL747"/>
      <c r="CM747"/>
      <c r="CN747"/>
      <c r="CO747"/>
      <c r="CP747"/>
      <c r="CQ747"/>
      <c r="CR747"/>
      <c r="CS747"/>
      <c r="CT747"/>
      <c r="CU747"/>
      <c r="CV747"/>
      <c r="CW747"/>
      <c r="CX747"/>
      <c r="CY747"/>
      <c r="CZ747"/>
      <c r="DA747"/>
      <c r="DB747"/>
      <c r="DC747"/>
      <c r="DD747"/>
      <c r="DE747"/>
      <c r="DF747"/>
      <c r="DG747"/>
      <c r="DH747"/>
      <c r="DI747"/>
      <c r="DJ747"/>
      <c r="DK747"/>
      <c r="DL747"/>
      <c r="DM747"/>
      <c r="DN747"/>
      <c r="DO747"/>
      <c r="DP747"/>
      <c r="DQ747"/>
      <c r="DR747"/>
      <c r="DS747"/>
      <c r="DT747"/>
      <c r="DU747"/>
      <c r="DV747"/>
      <c r="DW747"/>
      <c r="DX747"/>
      <c r="DY747"/>
      <c r="DZ747"/>
      <c r="EA747"/>
      <c r="EB747"/>
      <c r="EC747"/>
      <c r="ED747"/>
      <c r="EE747"/>
      <c r="EF747"/>
      <c r="EG747"/>
      <c r="EH747"/>
      <c r="EI747"/>
      <c r="EJ747"/>
      <c r="EK747"/>
      <c r="EL747"/>
      <c r="EM747"/>
      <c r="EN747"/>
      <c r="EO747"/>
      <c r="EP747"/>
      <c r="EQ747"/>
      <c r="ER747"/>
      <c r="ES747"/>
    </row>
    <row r="748" spans="1:149">
      <c r="A748"/>
      <c r="B748"/>
      <c r="C748"/>
      <c r="D748"/>
      <c r="E748"/>
      <c r="F748"/>
      <c r="G748"/>
      <c r="H748"/>
      <c r="I748"/>
      <c r="J748"/>
      <c r="K748"/>
      <c r="L748"/>
      <c r="M748"/>
      <c r="N748"/>
      <c r="O748"/>
      <c r="P748"/>
      <c r="Q748"/>
      <c r="R748"/>
      <c r="S748"/>
      <c r="T748"/>
      <c r="U748"/>
      <c r="V748"/>
      <c r="W748"/>
      <c r="X748"/>
      <c r="Y748"/>
      <c r="Z748"/>
      <c r="AA748"/>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c r="BZ748"/>
      <c r="CA748"/>
      <c r="CB748"/>
      <c r="CC748"/>
      <c r="CD748"/>
      <c r="CE748"/>
      <c r="CF748"/>
      <c r="CG748"/>
      <c r="CH748"/>
      <c r="CI748"/>
      <c r="CJ748"/>
      <c r="CK748"/>
      <c r="CL748"/>
      <c r="CM748"/>
      <c r="CN748"/>
      <c r="CO748"/>
      <c r="CP748"/>
      <c r="CQ748"/>
      <c r="CR748"/>
      <c r="CS748"/>
      <c r="CT748"/>
      <c r="CU748"/>
      <c r="CV748"/>
      <c r="CW748"/>
      <c r="CX748"/>
      <c r="CY748"/>
      <c r="CZ748"/>
      <c r="DA748"/>
      <c r="DB748"/>
      <c r="DC748"/>
      <c r="DD748"/>
      <c r="DE748"/>
      <c r="DF748"/>
      <c r="DG748"/>
      <c r="DH748"/>
      <c r="DI748"/>
      <c r="DJ748"/>
      <c r="DK748"/>
      <c r="DL748"/>
      <c r="DM748"/>
      <c r="DN748"/>
      <c r="DO748"/>
      <c r="DP748"/>
      <c r="DQ748"/>
      <c r="DR748"/>
      <c r="DS748"/>
      <c r="DT748"/>
      <c r="DU748"/>
      <c r="DV748"/>
      <c r="DW748"/>
      <c r="DX748"/>
      <c r="DY748"/>
      <c r="DZ748"/>
      <c r="EA748"/>
      <c r="EB748"/>
      <c r="EC748"/>
      <c r="ED748"/>
      <c r="EE748"/>
      <c r="EF748"/>
      <c r="EG748"/>
      <c r="EH748"/>
      <c r="EI748"/>
      <c r="EJ748"/>
      <c r="EK748"/>
      <c r="EL748"/>
      <c r="EM748"/>
      <c r="EN748"/>
      <c r="EO748"/>
      <c r="EP748"/>
      <c r="EQ748"/>
      <c r="ER748"/>
      <c r="ES748"/>
    </row>
    <row r="749" spans="1:149">
      <c r="A749"/>
      <c r="B749"/>
      <c r="C749"/>
      <c r="D749"/>
      <c r="E749"/>
      <c r="F749"/>
      <c r="G749"/>
      <c r="H749"/>
      <c r="I749"/>
      <c r="J749"/>
      <c r="K749"/>
      <c r="L749"/>
      <c r="M749"/>
      <c r="N749"/>
      <c r="O749"/>
      <c r="P749"/>
      <c r="Q749"/>
      <c r="R749"/>
      <c r="S749"/>
      <c r="T749"/>
      <c r="U749"/>
      <c r="V749"/>
      <c r="W749"/>
      <c r="X749"/>
      <c r="Y749"/>
      <c r="Z749"/>
      <c r="AA749"/>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c r="BZ749"/>
      <c r="CA749"/>
      <c r="CB749"/>
      <c r="CC749"/>
      <c r="CD749"/>
      <c r="CE749"/>
      <c r="CF749"/>
      <c r="CG749"/>
      <c r="CH749"/>
      <c r="CI749"/>
      <c r="CJ749"/>
      <c r="CK749"/>
      <c r="CL749"/>
      <c r="CM749"/>
      <c r="CN749"/>
      <c r="CO749"/>
      <c r="CP749"/>
      <c r="CQ749"/>
      <c r="CR749"/>
      <c r="CS749"/>
      <c r="CT749"/>
      <c r="CU749"/>
      <c r="CV749"/>
      <c r="CW749"/>
      <c r="CX749"/>
      <c r="CY749"/>
      <c r="CZ749"/>
      <c r="DA749"/>
      <c r="DB749"/>
      <c r="DC749"/>
      <c r="DD749"/>
      <c r="DE749"/>
      <c r="DF749"/>
      <c r="DG749"/>
      <c r="DH749"/>
      <c r="DI749"/>
      <c r="DJ749"/>
      <c r="DK749"/>
      <c r="DL749"/>
      <c r="DM749"/>
      <c r="DN749"/>
      <c r="DO749"/>
      <c r="DP749"/>
      <c r="DQ749"/>
      <c r="DR749"/>
      <c r="DS749"/>
      <c r="DT749"/>
      <c r="DU749"/>
      <c r="DV749"/>
      <c r="DW749"/>
      <c r="DX749"/>
      <c r="DY749"/>
      <c r="DZ749"/>
      <c r="EA749"/>
      <c r="EB749"/>
      <c r="EC749"/>
      <c r="ED749"/>
      <c r="EE749"/>
      <c r="EF749"/>
      <c r="EG749"/>
      <c r="EH749"/>
      <c r="EI749"/>
      <c r="EJ749"/>
      <c r="EK749"/>
      <c r="EL749"/>
      <c r="EM749"/>
      <c r="EN749"/>
      <c r="EO749"/>
      <c r="EP749"/>
      <c r="EQ749"/>
      <c r="ER749"/>
      <c r="ES749"/>
    </row>
    <row r="750" spans="1:149">
      <c r="A750"/>
      <c r="B750"/>
      <c r="C750"/>
      <c r="D750"/>
      <c r="E750"/>
      <c r="F750"/>
      <c r="G750"/>
      <c r="H750"/>
      <c r="I750"/>
      <c r="J750"/>
      <c r="K750"/>
      <c r="L750"/>
      <c r="M750"/>
      <c r="N750"/>
      <c r="O750"/>
      <c r="P750"/>
      <c r="Q750"/>
      <c r="R750"/>
      <c r="S750"/>
      <c r="T750"/>
      <c r="U750"/>
      <c r="V750"/>
      <c r="W750"/>
      <c r="X750"/>
      <c r="Y750"/>
      <c r="Z750"/>
      <c r="AA750"/>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c r="BZ750"/>
      <c r="CA750"/>
      <c r="CB750"/>
      <c r="CC750"/>
      <c r="CD750"/>
      <c r="CE750"/>
      <c r="CF750"/>
      <c r="CG750"/>
      <c r="CH750"/>
      <c r="CI750"/>
      <c r="CJ750"/>
      <c r="CK750"/>
      <c r="CL750"/>
      <c r="CM750"/>
      <c r="CN750"/>
      <c r="CO750"/>
      <c r="CP750"/>
      <c r="CQ750"/>
      <c r="CR750"/>
      <c r="CS750"/>
      <c r="CT750"/>
      <c r="CU750"/>
      <c r="CV750"/>
      <c r="CW750"/>
      <c r="CX750"/>
      <c r="CY750"/>
      <c r="CZ750"/>
      <c r="DA750"/>
      <c r="DB750"/>
      <c r="DC750"/>
      <c r="DD750"/>
      <c r="DE750"/>
      <c r="DF750"/>
      <c r="DG750"/>
      <c r="DH750"/>
      <c r="DI750"/>
      <c r="DJ750"/>
      <c r="DK750"/>
      <c r="DL750"/>
      <c r="DM750"/>
      <c r="DN750"/>
      <c r="DO750"/>
      <c r="DP750"/>
      <c r="DQ750"/>
      <c r="DR750"/>
      <c r="DS750"/>
      <c r="DT750"/>
      <c r="DU750"/>
      <c r="DV750"/>
      <c r="DW750"/>
      <c r="DX750"/>
      <c r="DY750"/>
      <c r="DZ750"/>
      <c r="EA750"/>
      <c r="EB750"/>
      <c r="EC750"/>
      <c r="ED750"/>
      <c r="EE750"/>
      <c r="EF750"/>
      <c r="EG750"/>
      <c r="EH750"/>
      <c r="EI750"/>
      <c r="EJ750"/>
      <c r="EK750"/>
      <c r="EL750"/>
      <c r="EM750"/>
      <c r="EN750"/>
      <c r="EO750"/>
      <c r="EP750"/>
      <c r="EQ750"/>
      <c r="ER750"/>
      <c r="ES750"/>
    </row>
    <row r="751" spans="1:149">
      <c r="A751"/>
      <c r="B751"/>
      <c r="C751"/>
      <c r="D751"/>
      <c r="E751"/>
      <c r="F751"/>
      <c r="G751"/>
      <c r="H751"/>
      <c r="I751"/>
      <c r="J751"/>
      <c r="K751"/>
      <c r="L751"/>
      <c r="M751"/>
      <c r="N751"/>
      <c r="O751"/>
      <c r="P751"/>
      <c r="Q751"/>
      <c r="R751"/>
      <c r="S751"/>
      <c r="T751"/>
      <c r="U751"/>
      <c r="V751"/>
      <c r="W751"/>
      <c r="X751"/>
      <c r="Y751"/>
      <c r="Z751"/>
      <c r="AA751"/>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c r="BZ751"/>
      <c r="CA751"/>
      <c r="CB751"/>
      <c r="CC751"/>
      <c r="CD751"/>
      <c r="CE751"/>
      <c r="CF751"/>
      <c r="CG751"/>
      <c r="CH751"/>
      <c r="CI751"/>
      <c r="CJ751"/>
      <c r="CK751"/>
      <c r="CL751"/>
      <c r="CM751"/>
      <c r="CN751"/>
      <c r="CO751"/>
      <c r="CP751"/>
      <c r="CQ751"/>
      <c r="CR751"/>
      <c r="CS751"/>
      <c r="CT751"/>
      <c r="CU751"/>
      <c r="CV751"/>
      <c r="CW751"/>
      <c r="CX751"/>
      <c r="CY751"/>
      <c r="CZ751"/>
      <c r="DA751"/>
      <c r="DB751"/>
      <c r="DC751"/>
      <c r="DD751"/>
      <c r="DE751"/>
      <c r="DF751"/>
      <c r="DG751"/>
      <c r="DH751"/>
      <c r="DI751"/>
      <c r="DJ751"/>
      <c r="DK751"/>
      <c r="DL751"/>
      <c r="DM751"/>
      <c r="DN751"/>
      <c r="DO751"/>
      <c r="DP751"/>
      <c r="DQ751"/>
      <c r="DR751"/>
      <c r="DS751"/>
      <c r="DT751"/>
      <c r="DU751"/>
      <c r="DV751"/>
      <c r="DW751"/>
      <c r="DX751"/>
      <c r="DY751"/>
      <c r="DZ751"/>
      <c r="EA751"/>
      <c r="EB751"/>
      <c r="EC751"/>
      <c r="ED751"/>
      <c r="EE751"/>
      <c r="EF751"/>
      <c r="EG751"/>
      <c r="EH751"/>
      <c r="EI751"/>
      <c r="EJ751"/>
      <c r="EK751"/>
      <c r="EL751"/>
      <c r="EM751"/>
      <c r="EN751"/>
      <c r="EO751"/>
      <c r="EP751"/>
      <c r="EQ751"/>
      <c r="ER751"/>
      <c r="ES751"/>
    </row>
    <row r="752" spans="1:149">
      <c r="A752"/>
      <c r="B752"/>
      <c r="C752"/>
      <c r="D752"/>
      <c r="E752"/>
      <c r="F752"/>
      <c r="G752"/>
      <c r="H752"/>
      <c r="I752"/>
      <c r="J752"/>
      <c r="K752"/>
      <c r="L752"/>
      <c r="M752"/>
      <c r="N752"/>
      <c r="O752"/>
      <c r="P752"/>
      <c r="Q752"/>
      <c r="R752"/>
      <c r="S752"/>
      <c r="T752"/>
      <c r="U752"/>
      <c r="V752"/>
      <c r="W752"/>
      <c r="X752"/>
      <c r="Y752"/>
      <c r="Z752"/>
      <c r="AA752"/>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c r="BZ752"/>
      <c r="CA752"/>
      <c r="CB752"/>
      <c r="CC752"/>
      <c r="CD752"/>
      <c r="CE752"/>
      <c r="CF752"/>
      <c r="CG752"/>
      <c r="CH752"/>
      <c r="CI752"/>
      <c r="CJ752"/>
      <c r="CK752"/>
      <c r="CL752"/>
      <c r="CM752"/>
      <c r="CN752"/>
      <c r="CO752"/>
      <c r="CP752"/>
      <c r="CQ752"/>
      <c r="CR752"/>
      <c r="CS752"/>
      <c r="CT752"/>
      <c r="CU752"/>
      <c r="CV752"/>
      <c r="CW752"/>
      <c r="CX752"/>
      <c r="CY752"/>
      <c r="CZ752"/>
      <c r="DA752"/>
      <c r="DB752"/>
      <c r="DC752"/>
      <c r="DD752"/>
      <c r="DE752"/>
      <c r="DF752"/>
      <c r="DG752"/>
      <c r="DH752"/>
      <c r="DI752"/>
      <c r="DJ752"/>
      <c r="DK752"/>
      <c r="DL752"/>
      <c r="DM752"/>
      <c r="DN752"/>
      <c r="DO752"/>
      <c r="DP752"/>
      <c r="DQ752"/>
      <c r="DR752"/>
      <c r="DS752"/>
      <c r="DT752"/>
      <c r="DU752"/>
      <c r="DV752"/>
      <c r="DW752"/>
      <c r="DX752"/>
      <c r="DY752"/>
      <c r="DZ752"/>
      <c r="EA752"/>
      <c r="EB752"/>
      <c r="EC752"/>
      <c r="ED752"/>
      <c r="EE752"/>
      <c r="EF752"/>
      <c r="EG752"/>
      <c r="EH752"/>
      <c r="EI752"/>
      <c r="EJ752"/>
      <c r="EK752"/>
      <c r="EL752"/>
      <c r="EM752"/>
      <c r="EN752"/>
      <c r="EO752"/>
      <c r="EP752"/>
      <c r="EQ752"/>
      <c r="ER752"/>
      <c r="ES752"/>
    </row>
    <row r="753" spans="1:149">
      <c r="A753"/>
      <c r="B753"/>
      <c r="C753"/>
      <c r="D753"/>
      <c r="E753"/>
      <c r="F753"/>
      <c r="G753"/>
      <c r="H753"/>
      <c r="I753"/>
      <c r="J753"/>
      <c r="K753"/>
      <c r="L753"/>
      <c r="M753"/>
      <c r="N753"/>
      <c r="O753"/>
      <c r="P753"/>
      <c r="Q753"/>
      <c r="R753"/>
      <c r="S753"/>
      <c r="T753"/>
      <c r="U753"/>
      <c r="V753"/>
      <c r="W753"/>
      <c r="X753"/>
      <c r="Y753"/>
      <c r="Z753"/>
      <c r="AA753"/>
      <c r="AB753"/>
      <c r="AC753"/>
      <c r="AD753"/>
      <c r="AE753"/>
      <c r="AF753"/>
      <c r="AG753"/>
      <c r="AH753"/>
      <c r="AI753"/>
      <c r="AJ753"/>
      <c r="AK753"/>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c r="BZ753"/>
      <c r="CA753"/>
      <c r="CB753"/>
      <c r="CC753"/>
      <c r="CD753"/>
      <c r="CE753"/>
      <c r="CF753"/>
      <c r="CG753"/>
      <c r="CH753"/>
      <c r="CI753"/>
      <c r="CJ753"/>
      <c r="CK753"/>
      <c r="CL753"/>
      <c r="CM753"/>
      <c r="CN753"/>
      <c r="CO753"/>
      <c r="CP753"/>
      <c r="CQ753"/>
      <c r="CR753"/>
      <c r="CS753"/>
      <c r="CT753"/>
      <c r="CU753"/>
      <c r="CV753"/>
      <c r="CW753"/>
      <c r="CX753"/>
      <c r="CY753"/>
      <c r="CZ753"/>
      <c r="DA753"/>
      <c r="DB753"/>
      <c r="DC753"/>
      <c r="DD753"/>
      <c r="DE753"/>
      <c r="DF753"/>
      <c r="DG753"/>
      <c r="DH753"/>
      <c r="DI753"/>
      <c r="DJ753"/>
      <c r="DK753"/>
      <c r="DL753"/>
      <c r="DM753"/>
      <c r="DN753"/>
      <c r="DO753"/>
      <c r="DP753"/>
      <c r="DQ753"/>
      <c r="DR753"/>
      <c r="DS753"/>
      <c r="DT753"/>
      <c r="DU753"/>
      <c r="DV753"/>
      <c r="DW753"/>
      <c r="DX753"/>
      <c r="DY753"/>
      <c r="DZ753"/>
      <c r="EA753"/>
      <c r="EB753"/>
      <c r="EC753"/>
      <c r="ED753"/>
      <c r="EE753"/>
      <c r="EF753"/>
      <c r="EG753"/>
      <c r="EH753"/>
      <c r="EI753"/>
      <c r="EJ753"/>
      <c r="EK753"/>
      <c r="EL753"/>
      <c r="EM753"/>
      <c r="EN753"/>
      <c r="EO753"/>
      <c r="EP753"/>
      <c r="EQ753"/>
      <c r="ER753"/>
      <c r="ES753"/>
    </row>
    <row r="754" spans="1:149">
      <c r="A754"/>
      <c r="B754"/>
      <c r="C754"/>
      <c r="D754"/>
      <c r="E754"/>
      <c r="F754"/>
      <c r="G754"/>
      <c r="H754"/>
      <c r="I754"/>
      <c r="J754"/>
      <c r="K754"/>
      <c r="L754"/>
      <c r="M754"/>
      <c r="N754"/>
      <c r="O754"/>
      <c r="P754"/>
      <c r="Q754"/>
      <c r="R754"/>
      <c r="S754"/>
      <c r="T754"/>
      <c r="U754"/>
      <c r="V754"/>
      <c r="W754"/>
      <c r="X754"/>
      <c r="Y754"/>
      <c r="Z754"/>
      <c r="AA754"/>
      <c r="AB754"/>
      <c r="AC754"/>
      <c r="AD754"/>
      <c r="AE754"/>
      <c r="AF754"/>
      <c r="AG754"/>
      <c r="AH754"/>
      <c r="AI754"/>
      <c r="AJ754"/>
      <c r="AK754"/>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c r="BZ754"/>
      <c r="CA754"/>
      <c r="CB754"/>
      <c r="CC754"/>
      <c r="CD754"/>
      <c r="CE754"/>
      <c r="CF754"/>
      <c r="CG754"/>
      <c r="CH754"/>
      <c r="CI754"/>
      <c r="CJ754"/>
      <c r="CK754"/>
      <c r="CL754"/>
      <c r="CM754"/>
      <c r="CN754"/>
      <c r="CO754"/>
      <c r="CP754"/>
      <c r="CQ754"/>
      <c r="CR754"/>
      <c r="CS754"/>
      <c r="CT754"/>
      <c r="CU754"/>
      <c r="CV754"/>
      <c r="CW754"/>
      <c r="CX754"/>
      <c r="CY754"/>
      <c r="CZ754"/>
      <c r="DA754"/>
      <c r="DB754"/>
      <c r="DC754"/>
      <c r="DD754"/>
      <c r="DE754"/>
      <c r="DF754"/>
      <c r="DG754"/>
      <c r="DH754"/>
      <c r="DI754"/>
      <c r="DJ754"/>
      <c r="DK754"/>
      <c r="DL754"/>
      <c r="DM754"/>
      <c r="DN754"/>
      <c r="DO754"/>
      <c r="DP754"/>
      <c r="DQ754"/>
      <c r="DR754"/>
      <c r="DS754"/>
      <c r="DT754"/>
      <c r="DU754"/>
      <c r="DV754"/>
      <c r="DW754"/>
      <c r="DX754"/>
      <c r="DY754"/>
      <c r="DZ754"/>
      <c r="EA754"/>
      <c r="EB754"/>
      <c r="EC754"/>
      <c r="ED754"/>
      <c r="EE754"/>
      <c r="EF754"/>
      <c r="EG754"/>
      <c r="EH754"/>
      <c r="EI754"/>
      <c r="EJ754"/>
      <c r="EK754"/>
      <c r="EL754"/>
      <c r="EM754"/>
      <c r="EN754"/>
      <c r="EO754"/>
      <c r="EP754"/>
      <c r="EQ754"/>
      <c r="ER754"/>
      <c r="ES754"/>
    </row>
    <row r="755" spans="1:149">
      <c r="A755"/>
      <c r="B755"/>
      <c r="C755"/>
      <c r="D755"/>
      <c r="E755"/>
      <c r="F755"/>
      <c r="G755"/>
      <c r="H755"/>
      <c r="I755"/>
      <c r="J755"/>
      <c r="K755"/>
      <c r="L755"/>
      <c r="M755"/>
      <c r="N755"/>
      <c r="O755"/>
      <c r="P755"/>
      <c r="Q755"/>
      <c r="R755"/>
      <c r="S755"/>
      <c r="T755"/>
      <c r="U755"/>
      <c r="V755"/>
      <c r="W755"/>
      <c r="X755"/>
      <c r="Y755"/>
      <c r="Z755"/>
      <c r="AA755"/>
      <c r="AB755"/>
      <c r="AC755"/>
      <c r="AD755"/>
      <c r="AE755"/>
      <c r="AF755"/>
      <c r="AG755"/>
      <c r="AH755"/>
      <c r="AI755"/>
      <c r="AJ755"/>
      <c r="AK755"/>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c r="BZ755"/>
      <c r="CA755"/>
      <c r="CB755"/>
      <c r="CC755"/>
      <c r="CD755"/>
      <c r="CE755"/>
      <c r="CF755"/>
      <c r="CG755"/>
      <c r="CH755"/>
      <c r="CI755"/>
      <c r="CJ755"/>
      <c r="CK755"/>
      <c r="CL755"/>
      <c r="CM755"/>
      <c r="CN755"/>
      <c r="CO755"/>
      <c r="CP755"/>
      <c r="CQ755"/>
      <c r="CR755"/>
      <c r="CS755"/>
      <c r="CT755"/>
      <c r="CU755"/>
      <c r="CV755"/>
      <c r="CW755"/>
      <c r="CX755"/>
      <c r="CY755"/>
      <c r="CZ755"/>
      <c r="DA755"/>
      <c r="DB755"/>
      <c r="DC755"/>
      <c r="DD755"/>
      <c r="DE755"/>
      <c r="DF755"/>
      <c r="DG755"/>
      <c r="DH755"/>
      <c r="DI755"/>
      <c r="DJ755"/>
      <c r="DK755"/>
      <c r="DL755"/>
      <c r="DM755"/>
      <c r="DN755"/>
      <c r="DO755"/>
      <c r="DP755"/>
      <c r="DQ755"/>
      <c r="DR755"/>
      <c r="DS755"/>
      <c r="DT755"/>
      <c r="DU755"/>
      <c r="DV755"/>
      <c r="DW755"/>
      <c r="DX755"/>
      <c r="DY755"/>
      <c r="DZ755"/>
      <c r="EA755"/>
      <c r="EB755"/>
      <c r="EC755"/>
      <c r="ED755"/>
      <c r="EE755"/>
      <c r="EF755"/>
      <c r="EG755"/>
      <c r="EH755"/>
      <c r="EI755"/>
      <c r="EJ755"/>
      <c r="EK755"/>
      <c r="EL755"/>
      <c r="EM755"/>
      <c r="EN755"/>
      <c r="EO755"/>
      <c r="EP755"/>
      <c r="EQ755"/>
      <c r="ER755"/>
      <c r="ES755"/>
    </row>
    <row r="756" spans="1:149">
      <c r="A756"/>
      <c r="B756"/>
      <c r="C756"/>
      <c r="D756"/>
      <c r="E756"/>
      <c r="F756"/>
      <c r="G756"/>
      <c r="H756"/>
      <c r="I756"/>
      <c r="J756"/>
      <c r="K756"/>
      <c r="L756"/>
      <c r="M756"/>
      <c r="N756"/>
      <c r="O756"/>
      <c r="P756"/>
      <c r="Q756"/>
      <c r="R756"/>
      <c r="S756"/>
      <c r="T756"/>
      <c r="U756"/>
      <c r="V756"/>
      <c r="W756"/>
      <c r="X756"/>
      <c r="Y756"/>
      <c r="Z756"/>
      <c r="AA756"/>
      <c r="AB756"/>
      <c r="AC756"/>
      <c r="AD756"/>
      <c r="AE756"/>
      <c r="AF756"/>
      <c r="AG756"/>
      <c r="AH756"/>
      <c r="AI756"/>
      <c r="AJ756"/>
      <c r="AK756"/>
      <c r="AL756"/>
      <c r="AM756"/>
      <c r="AN756"/>
      <c r="AO756"/>
      <c r="AP756"/>
      <c r="AQ756"/>
      <c r="AR756"/>
      <c r="AS756"/>
      <c r="AT756"/>
      <c r="AU756"/>
      <c r="AV756"/>
      <c r="AW756"/>
      <c r="AX756"/>
      <c r="AY756"/>
      <c r="AZ756"/>
      <c r="BA756"/>
      <c r="BB756"/>
      <c r="BC756"/>
      <c r="BD756"/>
      <c r="BE756"/>
      <c r="BF756"/>
      <c r="BG756"/>
      <c r="BH756"/>
      <c r="BI756"/>
      <c r="BJ756"/>
      <c r="BK756"/>
      <c r="BL756"/>
      <c r="BM756"/>
      <c r="BN756"/>
      <c r="BO756"/>
      <c r="BP756"/>
      <c r="BQ756"/>
      <c r="BR756"/>
      <c r="BS756"/>
      <c r="BT756"/>
      <c r="BU756"/>
      <c r="BV756"/>
      <c r="BW756"/>
      <c r="BX756"/>
      <c r="BY756"/>
      <c r="BZ756"/>
      <c r="CA756"/>
      <c r="CB756"/>
      <c r="CC756"/>
      <c r="CD756"/>
      <c r="CE756"/>
      <c r="CF756"/>
      <c r="CG756"/>
      <c r="CH756"/>
      <c r="CI756"/>
      <c r="CJ756"/>
      <c r="CK756"/>
      <c r="CL756"/>
      <c r="CM756"/>
      <c r="CN756"/>
      <c r="CO756"/>
      <c r="CP756"/>
      <c r="CQ756"/>
      <c r="CR756"/>
      <c r="CS756"/>
      <c r="CT756"/>
      <c r="CU756"/>
      <c r="CV756"/>
      <c r="CW756"/>
      <c r="CX756"/>
      <c r="CY756"/>
      <c r="CZ756"/>
      <c r="DA756"/>
      <c r="DB756"/>
      <c r="DC756"/>
      <c r="DD756"/>
      <c r="DE756"/>
      <c r="DF756"/>
      <c r="DG756"/>
      <c r="DH756"/>
      <c r="DI756"/>
      <c r="DJ756"/>
      <c r="DK756"/>
      <c r="DL756"/>
      <c r="DM756"/>
      <c r="DN756"/>
      <c r="DO756"/>
      <c r="DP756"/>
      <c r="DQ756"/>
      <c r="DR756"/>
      <c r="DS756"/>
      <c r="DT756"/>
      <c r="DU756"/>
      <c r="DV756"/>
      <c r="DW756"/>
      <c r="DX756"/>
      <c r="DY756"/>
      <c r="DZ756"/>
      <c r="EA756"/>
      <c r="EB756"/>
      <c r="EC756"/>
      <c r="ED756"/>
      <c r="EE756"/>
      <c r="EF756"/>
      <c r="EG756"/>
      <c r="EH756"/>
      <c r="EI756"/>
      <c r="EJ756"/>
      <c r="EK756"/>
      <c r="EL756"/>
      <c r="EM756"/>
      <c r="EN756"/>
      <c r="EO756"/>
      <c r="EP756"/>
      <c r="EQ756"/>
      <c r="ER756"/>
      <c r="ES756"/>
    </row>
    <row r="757" spans="1:149">
      <c r="A757"/>
      <c r="B757"/>
      <c r="C757"/>
      <c r="D757"/>
      <c r="E757"/>
      <c r="F757"/>
      <c r="G757"/>
      <c r="H757"/>
      <c r="I757"/>
      <c r="J757"/>
      <c r="K757"/>
      <c r="L757"/>
      <c r="M757"/>
      <c r="N757"/>
      <c r="O757"/>
      <c r="P757"/>
      <c r="Q757"/>
      <c r="R757"/>
      <c r="S757"/>
      <c r="T757"/>
      <c r="U757"/>
      <c r="V757"/>
      <c r="W757"/>
      <c r="X757"/>
      <c r="Y757"/>
      <c r="Z757"/>
      <c r="AA757"/>
      <c r="AB757"/>
      <c r="AC757"/>
      <c r="AD757"/>
      <c r="AE757"/>
      <c r="AF757"/>
      <c r="AG757"/>
      <c r="AH757"/>
      <c r="AI757"/>
      <c r="AJ757"/>
      <c r="AK757"/>
      <c r="AL757"/>
      <c r="AM757"/>
      <c r="AN757"/>
      <c r="AO757"/>
      <c r="AP757"/>
      <c r="AQ757"/>
      <c r="AR757"/>
      <c r="AS757"/>
      <c r="AT757"/>
      <c r="AU757"/>
      <c r="AV757"/>
      <c r="AW757"/>
      <c r="AX757"/>
      <c r="AY757"/>
      <c r="AZ757"/>
      <c r="BA757"/>
      <c r="BB757"/>
      <c r="BC757"/>
      <c r="BD757"/>
      <c r="BE757"/>
      <c r="BF757"/>
      <c r="BG757"/>
      <c r="BH757"/>
      <c r="BI757"/>
      <c r="BJ757"/>
      <c r="BK757"/>
      <c r="BL757"/>
      <c r="BM757"/>
      <c r="BN757"/>
      <c r="BO757"/>
      <c r="BP757"/>
      <c r="BQ757"/>
      <c r="BR757"/>
      <c r="BS757"/>
      <c r="BT757"/>
      <c r="BU757"/>
      <c r="BV757"/>
      <c r="BW757"/>
      <c r="BX757"/>
      <c r="BY757"/>
      <c r="BZ757"/>
      <c r="CA757"/>
      <c r="CB757"/>
      <c r="CC757"/>
      <c r="CD757"/>
      <c r="CE757"/>
      <c r="CF757"/>
      <c r="CG757"/>
      <c r="CH757"/>
      <c r="CI757"/>
      <c r="CJ757"/>
      <c r="CK757"/>
      <c r="CL757"/>
      <c r="CM757"/>
      <c r="CN757"/>
      <c r="CO757"/>
      <c r="CP757"/>
      <c r="CQ757"/>
      <c r="CR757"/>
      <c r="CS757"/>
      <c r="CT757"/>
      <c r="CU757"/>
      <c r="CV757"/>
      <c r="CW757"/>
      <c r="CX757"/>
      <c r="CY757"/>
      <c r="CZ757"/>
      <c r="DA757"/>
      <c r="DB757"/>
      <c r="DC757"/>
      <c r="DD757"/>
      <c r="DE757"/>
      <c r="DF757"/>
      <c r="DG757"/>
      <c r="DH757"/>
      <c r="DI757"/>
      <c r="DJ757"/>
      <c r="DK757"/>
      <c r="DL757"/>
      <c r="DM757"/>
      <c r="DN757"/>
      <c r="DO757"/>
      <c r="DP757"/>
      <c r="DQ757"/>
      <c r="DR757"/>
      <c r="DS757"/>
      <c r="DT757"/>
      <c r="DU757"/>
      <c r="DV757"/>
      <c r="DW757"/>
      <c r="DX757"/>
      <c r="DY757"/>
      <c r="DZ757"/>
      <c r="EA757"/>
      <c r="EB757"/>
      <c r="EC757"/>
      <c r="ED757"/>
      <c r="EE757"/>
      <c r="EF757"/>
      <c r="EG757"/>
      <c r="EH757"/>
      <c r="EI757"/>
      <c r="EJ757"/>
      <c r="EK757"/>
      <c r="EL757"/>
      <c r="EM757"/>
      <c r="EN757"/>
      <c r="EO757"/>
      <c r="EP757"/>
      <c r="EQ757"/>
      <c r="ER757"/>
      <c r="ES757"/>
    </row>
    <row r="758" spans="1:149">
      <c r="A758"/>
      <c r="B758"/>
      <c r="C758"/>
      <c r="D758"/>
      <c r="E758"/>
      <c r="F758"/>
      <c r="G758"/>
      <c r="H758"/>
      <c r="I758"/>
      <c r="J758"/>
      <c r="K758"/>
      <c r="L758"/>
      <c r="M758"/>
      <c r="N758"/>
      <c r="O758"/>
      <c r="P758"/>
      <c r="Q758"/>
      <c r="R758"/>
      <c r="S758"/>
      <c r="T758"/>
      <c r="U758"/>
      <c r="V758"/>
      <c r="W758"/>
      <c r="X758"/>
      <c r="Y758"/>
      <c r="Z758"/>
      <c r="AA758"/>
      <c r="AB758"/>
      <c r="AC758"/>
      <c r="AD758"/>
      <c r="AE758"/>
      <c r="AF758"/>
      <c r="AG758"/>
      <c r="AH758"/>
      <c r="AI758"/>
      <c r="AJ758"/>
      <c r="AK758"/>
      <c r="AL758"/>
      <c r="AM758"/>
      <c r="AN758"/>
      <c r="AO758"/>
      <c r="AP758"/>
      <c r="AQ758"/>
      <c r="AR758"/>
      <c r="AS758"/>
      <c r="AT758"/>
      <c r="AU758"/>
      <c r="AV758"/>
      <c r="AW758"/>
      <c r="AX758"/>
      <c r="AY758"/>
      <c r="AZ758"/>
      <c r="BA758"/>
      <c r="BB758"/>
      <c r="BC758"/>
      <c r="BD758"/>
      <c r="BE758"/>
      <c r="BF758"/>
      <c r="BG758"/>
      <c r="BH758"/>
      <c r="BI758"/>
      <c r="BJ758"/>
      <c r="BK758"/>
      <c r="BL758"/>
      <c r="BM758"/>
      <c r="BN758"/>
      <c r="BO758"/>
      <c r="BP758"/>
      <c r="BQ758"/>
      <c r="BR758"/>
      <c r="BS758"/>
      <c r="BT758"/>
      <c r="BU758"/>
      <c r="BV758"/>
      <c r="BW758"/>
      <c r="BX758"/>
      <c r="BY758"/>
      <c r="BZ758"/>
      <c r="CA758"/>
      <c r="CB758"/>
      <c r="CC758"/>
      <c r="CD758"/>
      <c r="CE758"/>
      <c r="CF758"/>
      <c r="CG758"/>
      <c r="CH758"/>
      <c r="CI758"/>
      <c r="CJ758"/>
      <c r="CK758"/>
      <c r="CL758"/>
      <c r="CM758"/>
      <c r="CN758"/>
      <c r="CO758"/>
      <c r="CP758"/>
      <c r="CQ758"/>
      <c r="CR758"/>
      <c r="CS758"/>
      <c r="CT758"/>
      <c r="CU758"/>
      <c r="CV758"/>
      <c r="CW758"/>
      <c r="CX758"/>
      <c r="CY758"/>
      <c r="CZ758"/>
      <c r="DA758"/>
      <c r="DB758"/>
      <c r="DC758"/>
      <c r="DD758"/>
      <c r="DE758"/>
      <c r="DF758"/>
      <c r="DG758"/>
      <c r="DH758"/>
      <c r="DI758"/>
      <c r="DJ758"/>
      <c r="DK758"/>
      <c r="DL758"/>
      <c r="DM758"/>
      <c r="DN758"/>
      <c r="DO758"/>
      <c r="DP758"/>
      <c r="DQ758"/>
      <c r="DR758"/>
      <c r="DS758"/>
      <c r="DT758"/>
      <c r="DU758"/>
      <c r="DV758"/>
      <c r="DW758"/>
      <c r="DX758"/>
      <c r="DY758"/>
      <c r="DZ758"/>
      <c r="EA758"/>
      <c r="EB758"/>
      <c r="EC758"/>
      <c r="ED758"/>
      <c r="EE758"/>
      <c r="EF758"/>
      <c r="EG758"/>
      <c r="EH758"/>
      <c r="EI758"/>
      <c r="EJ758"/>
      <c r="EK758"/>
      <c r="EL758"/>
      <c r="EM758"/>
      <c r="EN758"/>
      <c r="EO758"/>
      <c r="EP758"/>
      <c r="EQ758"/>
      <c r="ER758"/>
      <c r="ES758"/>
    </row>
    <row r="759" spans="1:149">
      <c r="A759"/>
      <c r="B759"/>
      <c r="C759"/>
      <c r="D759"/>
      <c r="E759"/>
      <c r="F759"/>
      <c r="G759"/>
      <c r="H759"/>
      <c r="I759"/>
      <c r="J759"/>
      <c r="K759"/>
      <c r="L759"/>
      <c r="M759"/>
      <c r="N759"/>
      <c r="O759"/>
      <c r="P759"/>
      <c r="Q759"/>
      <c r="R759"/>
      <c r="S759"/>
      <c r="T759"/>
      <c r="U759"/>
      <c r="V759"/>
      <c r="W759"/>
      <c r="X759"/>
      <c r="Y759"/>
      <c r="Z759"/>
      <c r="AA759"/>
      <c r="AB759"/>
      <c r="AC759"/>
      <c r="AD759"/>
      <c r="AE759"/>
      <c r="AF759"/>
      <c r="AG759"/>
      <c r="AH759"/>
      <c r="AI759"/>
      <c r="AJ759"/>
      <c r="AK759"/>
      <c r="AL759"/>
      <c r="AM759"/>
      <c r="AN759"/>
      <c r="AO759"/>
      <c r="AP759"/>
      <c r="AQ759"/>
      <c r="AR759"/>
      <c r="AS759"/>
      <c r="AT759"/>
      <c r="AU759"/>
      <c r="AV759"/>
      <c r="AW759"/>
      <c r="AX759"/>
      <c r="AY759"/>
      <c r="AZ759"/>
      <c r="BA759"/>
      <c r="BB759"/>
      <c r="BC759"/>
      <c r="BD759"/>
      <c r="BE759"/>
      <c r="BF759"/>
      <c r="BG759"/>
      <c r="BH759"/>
      <c r="BI759"/>
      <c r="BJ759"/>
      <c r="BK759"/>
      <c r="BL759"/>
      <c r="BM759"/>
      <c r="BN759"/>
      <c r="BO759"/>
      <c r="BP759"/>
      <c r="BQ759"/>
      <c r="BR759"/>
      <c r="BS759"/>
      <c r="BT759"/>
      <c r="BU759"/>
      <c r="BV759"/>
      <c r="BW759"/>
      <c r="BX759"/>
      <c r="BY759"/>
      <c r="BZ759"/>
      <c r="CA759"/>
      <c r="CB759"/>
      <c r="CC759"/>
      <c r="CD759"/>
      <c r="CE759"/>
      <c r="CF759"/>
      <c r="CG759"/>
      <c r="CH759"/>
      <c r="CI759"/>
      <c r="CJ759"/>
      <c r="CK759"/>
      <c r="CL759"/>
      <c r="CM759"/>
      <c r="CN759"/>
      <c r="CO759"/>
      <c r="CP759"/>
      <c r="CQ759"/>
      <c r="CR759"/>
      <c r="CS759"/>
      <c r="CT759"/>
      <c r="CU759"/>
      <c r="CV759"/>
      <c r="CW759"/>
      <c r="CX759"/>
      <c r="CY759"/>
      <c r="CZ759"/>
      <c r="DA759"/>
      <c r="DB759"/>
      <c r="DC759"/>
      <c r="DD759"/>
      <c r="DE759"/>
      <c r="DF759"/>
      <c r="DG759"/>
      <c r="DH759"/>
      <c r="DI759"/>
      <c r="DJ759"/>
      <c r="DK759"/>
      <c r="DL759"/>
      <c r="DM759"/>
      <c r="DN759"/>
      <c r="DO759"/>
      <c r="DP759"/>
      <c r="DQ759"/>
      <c r="DR759"/>
      <c r="DS759"/>
      <c r="DT759"/>
      <c r="DU759"/>
      <c r="DV759"/>
      <c r="DW759"/>
      <c r="DX759"/>
      <c r="DY759"/>
      <c r="DZ759"/>
      <c r="EA759"/>
      <c r="EB759"/>
      <c r="EC759"/>
      <c r="ED759"/>
      <c r="EE759"/>
      <c r="EF759"/>
      <c r="EG759"/>
      <c r="EH759"/>
      <c r="EI759"/>
      <c r="EJ759"/>
      <c r="EK759"/>
      <c r="EL759"/>
      <c r="EM759"/>
      <c r="EN759"/>
      <c r="EO759"/>
      <c r="EP759"/>
      <c r="EQ759"/>
      <c r="ER759"/>
      <c r="ES759"/>
    </row>
    <row r="760" spans="1:149">
      <c r="A760"/>
      <c r="B760"/>
      <c r="C760"/>
      <c r="D760"/>
      <c r="E760"/>
      <c r="F760"/>
      <c r="G760"/>
      <c r="H760"/>
      <c r="I760"/>
      <c r="J760"/>
      <c r="K760"/>
      <c r="L760"/>
      <c r="M760"/>
      <c r="N760"/>
      <c r="O760"/>
      <c r="P760"/>
      <c r="Q760"/>
      <c r="R760"/>
      <c r="S760"/>
      <c r="T760"/>
      <c r="U760"/>
      <c r="V760"/>
      <c r="W760"/>
      <c r="X760"/>
      <c r="Y760"/>
      <c r="Z760"/>
      <c r="AA760"/>
      <c r="AB760"/>
      <c r="AC760"/>
      <c r="AD760"/>
      <c r="AE760"/>
      <c r="AF760"/>
      <c r="AG760"/>
      <c r="AH760"/>
      <c r="AI760"/>
      <c r="AJ760"/>
      <c r="AK760"/>
      <c r="AL760"/>
      <c r="AM760"/>
      <c r="AN760"/>
      <c r="AO760"/>
      <c r="AP760"/>
      <c r="AQ760"/>
      <c r="AR760"/>
      <c r="AS760"/>
      <c r="AT760"/>
      <c r="AU760"/>
      <c r="AV760"/>
      <c r="AW760"/>
      <c r="AX760"/>
      <c r="AY760"/>
      <c r="AZ760"/>
      <c r="BA760"/>
      <c r="BB760"/>
      <c r="BC760"/>
      <c r="BD760"/>
      <c r="BE760"/>
      <c r="BF760"/>
      <c r="BG760"/>
      <c r="BH760"/>
      <c r="BI760"/>
      <c r="BJ760"/>
      <c r="BK760"/>
      <c r="BL760"/>
      <c r="BM760"/>
      <c r="BN760"/>
      <c r="BO760"/>
      <c r="BP760"/>
      <c r="BQ760"/>
      <c r="BR760"/>
      <c r="BS760"/>
      <c r="BT760"/>
      <c r="BU760"/>
      <c r="BV760"/>
      <c r="BW760"/>
      <c r="BX760"/>
      <c r="BY760"/>
      <c r="BZ760"/>
      <c r="CA760"/>
      <c r="CB760"/>
      <c r="CC760"/>
      <c r="CD760"/>
      <c r="CE760"/>
      <c r="CF760"/>
      <c r="CG760"/>
      <c r="CH760"/>
      <c r="CI760"/>
      <c r="CJ760"/>
      <c r="CK760"/>
      <c r="CL760"/>
      <c r="CM760"/>
      <c r="CN760"/>
      <c r="CO760"/>
      <c r="CP760"/>
      <c r="CQ760"/>
      <c r="CR760"/>
      <c r="CS760"/>
      <c r="CT760"/>
      <c r="CU760"/>
      <c r="CV760"/>
      <c r="CW760"/>
      <c r="CX760"/>
      <c r="CY760"/>
      <c r="CZ760"/>
      <c r="DA760"/>
      <c r="DB760"/>
      <c r="DC760"/>
      <c r="DD760"/>
      <c r="DE760"/>
      <c r="DF760"/>
      <c r="DG760"/>
      <c r="DH760"/>
      <c r="DI760"/>
      <c r="DJ760"/>
      <c r="DK760"/>
      <c r="DL760"/>
      <c r="DM760"/>
      <c r="DN760"/>
      <c r="DO760"/>
      <c r="DP760"/>
      <c r="DQ760"/>
      <c r="DR760"/>
      <c r="DS760"/>
      <c r="DT760"/>
      <c r="DU760"/>
      <c r="DV760"/>
      <c r="DW760"/>
      <c r="DX760"/>
      <c r="DY760"/>
      <c r="DZ760"/>
      <c r="EA760"/>
      <c r="EB760"/>
      <c r="EC760"/>
      <c r="ED760"/>
      <c r="EE760"/>
      <c r="EF760"/>
      <c r="EG760"/>
      <c r="EH760"/>
      <c r="EI760"/>
      <c r="EJ760"/>
      <c r="EK760"/>
      <c r="EL760"/>
      <c r="EM760"/>
      <c r="EN760"/>
      <c r="EO760"/>
      <c r="EP760"/>
      <c r="EQ760"/>
      <c r="ER760"/>
      <c r="ES760"/>
    </row>
    <row r="761" spans="1:149">
      <c r="A761"/>
      <c r="B761"/>
      <c r="C761"/>
      <c r="D761"/>
      <c r="E761"/>
      <c r="F761"/>
      <c r="G761"/>
      <c r="H761"/>
      <c r="I761"/>
      <c r="J761"/>
      <c r="K761"/>
      <c r="L761"/>
      <c r="M761"/>
      <c r="N761"/>
      <c r="O761"/>
      <c r="P761"/>
      <c r="Q761"/>
      <c r="R761"/>
      <c r="S761"/>
      <c r="T761"/>
      <c r="U761"/>
      <c r="V761"/>
      <c r="W761"/>
      <c r="X761"/>
      <c r="Y761"/>
      <c r="Z761"/>
      <c r="AA761"/>
      <c r="AB761"/>
      <c r="AC761"/>
      <c r="AD761"/>
      <c r="AE761"/>
      <c r="AF761"/>
      <c r="AG761"/>
      <c r="AH761"/>
      <c r="AI761"/>
      <c r="AJ761"/>
      <c r="AK761"/>
      <c r="AL761"/>
      <c r="AM761"/>
      <c r="AN761"/>
      <c r="AO761"/>
      <c r="AP761"/>
      <c r="AQ761"/>
      <c r="AR761"/>
      <c r="AS761"/>
      <c r="AT761"/>
      <c r="AU761"/>
      <c r="AV761"/>
      <c r="AW761"/>
      <c r="AX761"/>
      <c r="AY761"/>
      <c r="AZ761"/>
      <c r="BA761"/>
      <c r="BB761"/>
      <c r="BC761"/>
      <c r="BD761"/>
      <c r="BE761"/>
      <c r="BF761"/>
      <c r="BG761"/>
      <c r="BH761"/>
      <c r="BI761"/>
      <c r="BJ761"/>
      <c r="BK761"/>
      <c r="BL761"/>
      <c r="BM761"/>
      <c r="BN761"/>
      <c r="BO761"/>
      <c r="BP761"/>
      <c r="BQ761"/>
      <c r="BR761"/>
      <c r="BS761"/>
      <c r="BT761"/>
      <c r="BU761"/>
      <c r="BV761"/>
      <c r="BW761"/>
      <c r="BX761"/>
      <c r="BY761"/>
      <c r="BZ761"/>
      <c r="CA761"/>
      <c r="CB761"/>
      <c r="CC761"/>
      <c r="CD761"/>
      <c r="CE761"/>
      <c r="CF761"/>
      <c r="CG761"/>
      <c r="CH761"/>
      <c r="CI761"/>
      <c r="CJ761"/>
      <c r="CK761"/>
      <c r="CL761"/>
      <c r="CM761"/>
      <c r="CN761"/>
      <c r="CO761"/>
      <c r="CP761"/>
      <c r="CQ761"/>
      <c r="CR761"/>
      <c r="CS761"/>
      <c r="CT761"/>
      <c r="CU761"/>
      <c r="CV761"/>
      <c r="CW761"/>
      <c r="CX761"/>
      <c r="CY761"/>
      <c r="CZ761"/>
      <c r="DA761"/>
      <c r="DB761"/>
      <c r="DC761"/>
      <c r="DD761"/>
      <c r="DE761"/>
      <c r="DF761"/>
      <c r="DG761"/>
      <c r="DH761"/>
      <c r="DI761"/>
      <c r="DJ761"/>
      <c r="DK761"/>
      <c r="DL761"/>
      <c r="DM761"/>
      <c r="DN761"/>
      <c r="DO761"/>
      <c r="DP761"/>
      <c r="DQ761"/>
      <c r="DR761"/>
      <c r="DS761"/>
      <c r="DT761"/>
      <c r="DU761"/>
      <c r="DV761"/>
      <c r="DW761"/>
      <c r="DX761"/>
      <c r="DY761"/>
      <c r="DZ761"/>
      <c r="EA761"/>
      <c r="EB761"/>
      <c r="EC761"/>
      <c r="ED761"/>
      <c r="EE761"/>
      <c r="EF761"/>
      <c r="EG761"/>
      <c r="EH761"/>
      <c r="EI761"/>
      <c r="EJ761"/>
      <c r="EK761"/>
      <c r="EL761"/>
      <c r="EM761"/>
      <c r="EN761"/>
      <c r="EO761"/>
      <c r="EP761"/>
      <c r="EQ761"/>
      <c r="ER761"/>
      <c r="ES761"/>
    </row>
    <row r="762" spans="1:149">
      <c r="A762"/>
      <c r="B762"/>
      <c r="C762"/>
      <c r="D762"/>
      <c r="E762"/>
      <c r="F762"/>
      <c r="G762"/>
      <c r="H762"/>
      <c r="I762"/>
      <c r="J762"/>
      <c r="K762"/>
      <c r="L762"/>
      <c r="M762"/>
      <c r="N762"/>
      <c r="O762"/>
      <c r="P762"/>
      <c r="Q762"/>
      <c r="R762"/>
      <c r="S762"/>
      <c r="T762"/>
      <c r="U762"/>
      <c r="V762"/>
      <c r="W762"/>
      <c r="X762"/>
      <c r="Y762"/>
      <c r="Z762"/>
      <c r="AA762"/>
      <c r="AB762"/>
      <c r="AC762"/>
      <c r="AD762"/>
      <c r="AE762"/>
      <c r="AF762"/>
      <c r="AG762"/>
      <c r="AH762"/>
      <c r="AI762"/>
      <c r="AJ762"/>
      <c r="AK762"/>
      <c r="AL762"/>
      <c r="AM762"/>
      <c r="AN762"/>
      <c r="AO762"/>
      <c r="AP762"/>
      <c r="AQ762"/>
      <c r="AR762"/>
      <c r="AS762"/>
      <c r="AT762"/>
      <c r="AU762"/>
      <c r="AV762"/>
      <c r="AW762"/>
      <c r="AX762"/>
      <c r="AY762"/>
      <c r="AZ762"/>
      <c r="BA762"/>
      <c r="BB762"/>
      <c r="BC762"/>
      <c r="BD762"/>
      <c r="BE762"/>
      <c r="BF762"/>
      <c r="BG762"/>
      <c r="BH762"/>
      <c r="BI762"/>
      <c r="BJ762"/>
      <c r="BK762"/>
      <c r="BL762"/>
      <c r="BM762"/>
      <c r="BN762"/>
      <c r="BO762"/>
      <c r="BP762"/>
      <c r="BQ762"/>
      <c r="BR762"/>
      <c r="BS762"/>
      <c r="BT762"/>
      <c r="BU762"/>
      <c r="BV762"/>
      <c r="BW762"/>
      <c r="BX762"/>
      <c r="BY762"/>
      <c r="BZ762"/>
      <c r="CA762"/>
      <c r="CB762"/>
      <c r="CC762"/>
      <c r="CD762"/>
      <c r="CE762"/>
      <c r="CF762"/>
      <c r="CG762"/>
      <c r="CH762"/>
      <c r="CI762"/>
      <c r="CJ762"/>
      <c r="CK762"/>
      <c r="CL762"/>
      <c r="CM762"/>
      <c r="CN762"/>
      <c r="CO762"/>
      <c r="CP762"/>
      <c r="CQ762"/>
      <c r="CR762"/>
      <c r="CS762"/>
      <c r="CT762"/>
      <c r="CU762"/>
      <c r="CV762"/>
      <c r="CW762"/>
      <c r="CX762"/>
      <c r="CY762"/>
      <c r="CZ762"/>
      <c r="DA762"/>
      <c r="DB762"/>
      <c r="DC762"/>
      <c r="DD762"/>
      <c r="DE762"/>
      <c r="DF762"/>
      <c r="DG762"/>
      <c r="DH762"/>
      <c r="DI762"/>
      <c r="DJ762"/>
      <c r="DK762"/>
      <c r="DL762"/>
      <c r="DM762"/>
      <c r="DN762"/>
      <c r="DO762"/>
      <c r="DP762"/>
      <c r="DQ762"/>
      <c r="DR762"/>
      <c r="DS762"/>
      <c r="DT762"/>
      <c r="DU762"/>
      <c r="DV762"/>
      <c r="DW762"/>
      <c r="DX762"/>
      <c r="DY762"/>
      <c r="DZ762"/>
      <c r="EA762"/>
      <c r="EB762"/>
      <c r="EC762"/>
      <c r="ED762"/>
      <c r="EE762"/>
      <c r="EF762"/>
      <c r="EG762"/>
      <c r="EH762"/>
      <c r="EI762"/>
      <c r="EJ762"/>
      <c r="EK762"/>
      <c r="EL762"/>
      <c r="EM762"/>
      <c r="EN762"/>
      <c r="EO762"/>
      <c r="EP762"/>
      <c r="EQ762"/>
      <c r="ER762"/>
      <c r="ES762"/>
    </row>
    <row r="763" spans="1:149">
      <c r="A763"/>
      <c r="B763"/>
      <c r="C763"/>
      <c r="D763"/>
      <c r="E763"/>
      <c r="F763"/>
      <c r="G763"/>
      <c r="H763"/>
      <c r="I763"/>
      <c r="J763"/>
      <c r="K763"/>
      <c r="L763"/>
      <c r="M763"/>
      <c r="N763"/>
      <c r="O763"/>
      <c r="P763"/>
      <c r="Q763"/>
      <c r="R763"/>
      <c r="S763"/>
      <c r="T763"/>
      <c r="U763"/>
      <c r="V763"/>
      <c r="W763"/>
      <c r="X763"/>
      <c r="Y763"/>
      <c r="Z763"/>
      <c r="AA763"/>
      <c r="AB763"/>
      <c r="AC763"/>
      <c r="AD763"/>
      <c r="AE763"/>
      <c r="AF763"/>
      <c r="AG763"/>
      <c r="AH763"/>
      <c r="AI763"/>
      <c r="AJ763"/>
      <c r="AK763"/>
      <c r="AL763"/>
      <c r="AM763"/>
      <c r="AN763"/>
      <c r="AO763"/>
      <c r="AP763"/>
      <c r="AQ763"/>
      <c r="AR763"/>
      <c r="AS763"/>
      <c r="AT763"/>
      <c r="AU763"/>
      <c r="AV763"/>
      <c r="AW763"/>
      <c r="AX763"/>
      <c r="AY763"/>
      <c r="AZ763"/>
      <c r="BA763"/>
      <c r="BB763"/>
      <c r="BC763"/>
      <c r="BD763"/>
      <c r="BE763"/>
      <c r="BF763"/>
      <c r="BG763"/>
      <c r="BH763"/>
      <c r="BI763"/>
      <c r="BJ763"/>
      <c r="BK763"/>
      <c r="BL763"/>
      <c r="BM763"/>
      <c r="BN763"/>
      <c r="BO763"/>
      <c r="BP763"/>
      <c r="BQ763"/>
      <c r="BR763"/>
      <c r="BS763"/>
      <c r="BT763"/>
      <c r="BU763"/>
      <c r="BV763"/>
      <c r="BW763"/>
      <c r="BX763"/>
      <c r="BY763"/>
      <c r="BZ763"/>
      <c r="CA763"/>
      <c r="CB763"/>
      <c r="CC763"/>
      <c r="CD763"/>
      <c r="CE763"/>
      <c r="CF763"/>
      <c r="CG763"/>
      <c r="CH763"/>
      <c r="CI763"/>
      <c r="CJ763"/>
      <c r="CK763"/>
      <c r="CL763"/>
      <c r="CM763"/>
      <c r="CN763"/>
      <c r="CO763"/>
      <c r="CP763"/>
      <c r="CQ763"/>
      <c r="CR763"/>
      <c r="CS763"/>
      <c r="CT763"/>
      <c r="CU763"/>
      <c r="CV763"/>
      <c r="CW763"/>
      <c r="CX763"/>
      <c r="CY763"/>
      <c r="CZ763"/>
      <c r="DA763"/>
      <c r="DB763"/>
      <c r="DC763"/>
      <c r="DD763"/>
      <c r="DE763"/>
      <c r="DF763"/>
      <c r="DG763"/>
      <c r="DH763"/>
      <c r="DI763"/>
      <c r="DJ763"/>
      <c r="DK763"/>
      <c r="DL763"/>
      <c r="DM763"/>
      <c r="DN763"/>
      <c r="DO763"/>
      <c r="DP763"/>
      <c r="DQ763"/>
      <c r="DR763"/>
      <c r="DS763"/>
      <c r="DT763"/>
      <c r="DU763"/>
      <c r="DV763"/>
      <c r="DW763"/>
      <c r="DX763"/>
      <c r="DY763"/>
      <c r="DZ763"/>
      <c r="EA763"/>
      <c r="EB763"/>
      <c r="EC763"/>
      <c r="ED763"/>
      <c r="EE763"/>
      <c r="EF763"/>
      <c r="EG763"/>
      <c r="EH763"/>
      <c r="EI763"/>
      <c r="EJ763"/>
      <c r="EK763"/>
      <c r="EL763"/>
      <c r="EM763"/>
      <c r="EN763"/>
      <c r="EO763"/>
      <c r="EP763"/>
      <c r="EQ763"/>
      <c r="ER763"/>
      <c r="ES763"/>
    </row>
    <row r="764" spans="1:149">
      <c r="A764"/>
      <c r="B764"/>
      <c r="C764"/>
      <c r="D764"/>
      <c r="E764"/>
      <c r="F764"/>
      <c r="G764"/>
      <c r="H764"/>
      <c r="I764"/>
      <c r="J764"/>
      <c r="K764"/>
      <c r="L764"/>
      <c r="M764"/>
      <c r="N764"/>
      <c r="O764"/>
      <c r="P764"/>
      <c r="Q764"/>
      <c r="R764"/>
      <c r="S764"/>
      <c r="T764"/>
      <c r="U764"/>
      <c r="V764"/>
      <c r="W764"/>
      <c r="X764"/>
      <c r="Y764"/>
      <c r="Z764"/>
      <c r="AA764"/>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c r="BZ764"/>
      <c r="CA764"/>
      <c r="CB764"/>
      <c r="CC764"/>
      <c r="CD764"/>
      <c r="CE764"/>
      <c r="CF764"/>
      <c r="CG764"/>
      <c r="CH764"/>
      <c r="CI764"/>
      <c r="CJ764"/>
      <c r="CK764"/>
      <c r="CL764"/>
      <c r="CM764"/>
      <c r="CN764"/>
      <c r="CO764"/>
      <c r="CP764"/>
      <c r="CQ764"/>
      <c r="CR764"/>
      <c r="CS764"/>
      <c r="CT764"/>
      <c r="CU764"/>
      <c r="CV764"/>
      <c r="CW764"/>
      <c r="CX764"/>
      <c r="CY764"/>
      <c r="CZ764"/>
      <c r="DA764"/>
      <c r="DB764"/>
      <c r="DC764"/>
      <c r="DD764"/>
      <c r="DE764"/>
      <c r="DF764"/>
      <c r="DG764"/>
      <c r="DH764"/>
      <c r="DI764"/>
      <c r="DJ764"/>
      <c r="DK764"/>
      <c r="DL764"/>
      <c r="DM764"/>
      <c r="DN764"/>
      <c r="DO764"/>
      <c r="DP764"/>
      <c r="DQ764"/>
      <c r="DR764"/>
      <c r="DS764"/>
      <c r="DT764"/>
      <c r="DU764"/>
      <c r="DV764"/>
      <c r="DW764"/>
      <c r="DX764"/>
      <c r="DY764"/>
      <c r="DZ764"/>
      <c r="EA764"/>
      <c r="EB764"/>
      <c r="EC764"/>
      <c r="ED764"/>
      <c r="EE764"/>
      <c r="EF764"/>
      <c r="EG764"/>
      <c r="EH764"/>
      <c r="EI764"/>
      <c r="EJ764"/>
      <c r="EK764"/>
      <c r="EL764"/>
      <c r="EM764"/>
      <c r="EN764"/>
      <c r="EO764"/>
      <c r="EP764"/>
      <c r="EQ764"/>
      <c r="ER764"/>
      <c r="ES764"/>
    </row>
    <row r="765" spans="1:149">
      <c r="A765"/>
      <c r="B765"/>
      <c r="C765"/>
      <c r="D765"/>
      <c r="E765"/>
      <c r="F765"/>
      <c r="G765"/>
      <c r="H765"/>
      <c r="I765"/>
      <c r="J765"/>
      <c r="K765"/>
      <c r="L765"/>
      <c r="M765"/>
      <c r="N765"/>
      <c r="O765"/>
      <c r="P765"/>
      <c r="Q765"/>
      <c r="R765"/>
      <c r="S765"/>
      <c r="T765"/>
      <c r="U765"/>
      <c r="V765"/>
      <c r="W765"/>
      <c r="X765"/>
      <c r="Y765"/>
      <c r="Z765"/>
      <c r="AA765"/>
      <c r="AB765"/>
      <c r="AC765"/>
      <c r="AD765"/>
      <c r="AE765"/>
      <c r="AF765"/>
      <c r="AG765"/>
      <c r="AH765"/>
      <c r="AI765"/>
      <c r="AJ765"/>
      <c r="AK765"/>
      <c r="AL765"/>
      <c r="AM765"/>
      <c r="AN765"/>
      <c r="AO765"/>
      <c r="AP765"/>
      <c r="AQ765"/>
      <c r="AR765"/>
      <c r="AS765"/>
      <c r="AT765"/>
      <c r="AU765"/>
      <c r="AV765"/>
      <c r="AW765"/>
      <c r="AX765"/>
      <c r="AY765"/>
      <c r="AZ765"/>
      <c r="BA765"/>
      <c r="BB765"/>
      <c r="BC765"/>
      <c r="BD765"/>
      <c r="BE765"/>
      <c r="BF765"/>
      <c r="BG765"/>
      <c r="BH765"/>
      <c r="BI765"/>
      <c r="BJ765"/>
      <c r="BK765"/>
      <c r="BL765"/>
      <c r="BM765"/>
      <c r="BN765"/>
      <c r="BO765"/>
      <c r="BP765"/>
      <c r="BQ765"/>
      <c r="BR765"/>
      <c r="BS765"/>
      <c r="BT765"/>
      <c r="BU765"/>
      <c r="BV765"/>
      <c r="BW765"/>
      <c r="BX765"/>
      <c r="BY765"/>
      <c r="BZ765"/>
      <c r="CA765"/>
      <c r="CB765"/>
      <c r="CC765"/>
      <c r="CD765"/>
      <c r="CE765"/>
      <c r="CF765"/>
      <c r="CG765"/>
      <c r="CH765"/>
      <c r="CI765"/>
      <c r="CJ765"/>
      <c r="CK765"/>
      <c r="CL765"/>
      <c r="CM765"/>
      <c r="CN765"/>
      <c r="CO765"/>
      <c r="CP765"/>
      <c r="CQ765"/>
      <c r="CR765"/>
      <c r="CS765"/>
      <c r="CT765"/>
      <c r="CU765"/>
      <c r="CV765"/>
      <c r="CW765"/>
      <c r="CX765"/>
      <c r="CY765"/>
      <c r="CZ765"/>
      <c r="DA765"/>
      <c r="DB765"/>
      <c r="DC765"/>
      <c r="DD765"/>
      <c r="DE765"/>
      <c r="DF765"/>
      <c r="DG765"/>
      <c r="DH765"/>
      <c r="DI765"/>
      <c r="DJ765"/>
      <c r="DK765"/>
      <c r="DL765"/>
      <c r="DM765"/>
      <c r="DN765"/>
      <c r="DO765"/>
      <c r="DP765"/>
      <c r="DQ765"/>
      <c r="DR765"/>
      <c r="DS765"/>
      <c r="DT765"/>
      <c r="DU765"/>
      <c r="DV765"/>
      <c r="DW765"/>
      <c r="DX765"/>
      <c r="DY765"/>
      <c r="DZ765"/>
      <c r="EA765"/>
      <c r="EB765"/>
      <c r="EC765"/>
      <c r="ED765"/>
      <c r="EE765"/>
      <c r="EF765"/>
      <c r="EG765"/>
      <c r="EH765"/>
      <c r="EI765"/>
      <c r="EJ765"/>
      <c r="EK765"/>
      <c r="EL765"/>
      <c r="EM765"/>
      <c r="EN765"/>
      <c r="EO765"/>
      <c r="EP765"/>
      <c r="EQ765"/>
      <c r="ER765"/>
      <c r="ES765"/>
    </row>
    <row r="766" spans="1:149">
      <c r="A766"/>
      <c r="B766"/>
      <c r="C766"/>
      <c r="D766"/>
      <c r="E766"/>
      <c r="F766"/>
      <c r="G766"/>
      <c r="H766"/>
      <c r="I766"/>
      <c r="J766"/>
      <c r="K766"/>
      <c r="L766"/>
      <c r="M766"/>
      <c r="N766"/>
      <c r="O766"/>
      <c r="P766"/>
      <c r="Q766"/>
      <c r="R766"/>
      <c r="S766"/>
      <c r="T766"/>
      <c r="U766"/>
      <c r="V766"/>
      <c r="W766"/>
      <c r="X766"/>
      <c r="Y766"/>
      <c r="Z766"/>
      <c r="AA766"/>
      <c r="AB766"/>
      <c r="AC766"/>
      <c r="AD766"/>
      <c r="AE766"/>
      <c r="AF766"/>
      <c r="AG766"/>
      <c r="AH766"/>
      <c r="AI766"/>
      <c r="AJ766"/>
      <c r="AK766"/>
      <c r="AL766"/>
      <c r="AM766"/>
      <c r="AN766"/>
      <c r="AO766"/>
      <c r="AP766"/>
      <c r="AQ766"/>
      <c r="AR766"/>
      <c r="AS766"/>
      <c r="AT766"/>
      <c r="AU766"/>
      <c r="AV766"/>
      <c r="AW766"/>
      <c r="AX766"/>
      <c r="AY766"/>
      <c r="AZ766"/>
      <c r="BA766"/>
      <c r="BB766"/>
      <c r="BC766"/>
      <c r="BD766"/>
      <c r="BE766"/>
      <c r="BF766"/>
      <c r="BG766"/>
      <c r="BH766"/>
      <c r="BI766"/>
      <c r="BJ766"/>
      <c r="BK766"/>
      <c r="BL766"/>
      <c r="BM766"/>
      <c r="BN766"/>
      <c r="BO766"/>
      <c r="BP766"/>
      <c r="BQ766"/>
      <c r="BR766"/>
      <c r="BS766"/>
      <c r="BT766"/>
      <c r="BU766"/>
      <c r="BV766"/>
      <c r="BW766"/>
      <c r="BX766"/>
      <c r="BY766"/>
      <c r="BZ766"/>
      <c r="CA766"/>
      <c r="CB766"/>
      <c r="CC766"/>
      <c r="CD766"/>
      <c r="CE766"/>
      <c r="CF766"/>
      <c r="CG766"/>
      <c r="CH766"/>
      <c r="CI766"/>
      <c r="CJ766"/>
      <c r="CK766"/>
      <c r="CL766"/>
      <c r="CM766"/>
      <c r="CN766"/>
      <c r="CO766"/>
      <c r="CP766"/>
      <c r="CQ766"/>
      <c r="CR766"/>
      <c r="CS766"/>
      <c r="CT766"/>
      <c r="CU766"/>
      <c r="CV766"/>
      <c r="CW766"/>
      <c r="CX766"/>
      <c r="CY766"/>
      <c r="CZ766"/>
      <c r="DA766"/>
      <c r="DB766"/>
      <c r="DC766"/>
      <c r="DD766"/>
      <c r="DE766"/>
      <c r="DF766"/>
      <c r="DG766"/>
      <c r="DH766"/>
      <c r="DI766"/>
      <c r="DJ766"/>
      <c r="DK766"/>
      <c r="DL766"/>
      <c r="DM766"/>
      <c r="DN766"/>
      <c r="DO766"/>
      <c r="DP766"/>
      <c r="DQ766"/>
      <c r="DR766"/>
      <c r="DS766"/>
      <c r="DT766"/>
      <c r="DU766"/>
      <c r="DV766"/>
      <c r="DW766"/>
      <c r="DX766"/>
      <c r="DY766"/>
      <c r="DZ766"/>
      <c r="EA766"/>
      <c r="EB766"/>
      <c r="EC766"/>
      <c r="ED766"/>
      <c r="EE766"/>
      <c r="EF766"/>
      <c r="EG766"/>
      <c r="EH766"/>
      <c r="EI766"/>
      <c r="EJ766"/>
      <c r="EK766"/>
      <c r="EL766"/>
      <c r="EM766"/>
      <c r="EN766"/>
      <c r="EO766"/>
      <c r="EP766"/>
      <c r="EQ766"/>
      <c r="ER766"/>
      <c r="ES766"/>
    </row>
    <row r="767" spans="1:149">
      <c r="A767"/>
      <c r="B767"/>
      <c r="C767"/>
      <c r="D767"/>
      <c r="E767"/>
      <c r="F767"/>
      <c r="G767"/>
      <c r="H767"/>
      <c r="I767"/>
      <c r="J767"/>
      <c r="K767"/>
      <c r="L767"/>
      <c r="M767"/>
      <c r="N767"/>
      <c r="O767"/>
      <c r="P767"/>
      <c r="Q767"/>
      <c r="R767"/>
      <c r="S767"/>
      <c r="T767"/>
      <c r="U767"/>
      <c r="V767"/>
      <c r="W767"/>
      <c r="X767"/>
      <c r="Y767"/>
      <c r="Z767"/>
      <c r="AA767"/>
      <c r="AB767"/>
      <c r="AC767"/>
      <c r="AD767"/>
      <c r="AE767"/>
      <c r="AF767"/>
      <c r="AG767"/>
      <c r="AH767"/>
      <c r="AI767"/>
      <c r="AJ767"/>
      <c r="AK767"/>
      <c r="AL767"/>
      <c r="AM767"/>
      <c r="AN767"/>
      <c r="AO767"/>
      <c r="AP767"/>
      <c r="AQ767"/>
      <c r="AR767"/>
      <c r="AS767"/>
      <c r="AT767"/>
      <c r="AU767"/>
      <c r="AV767"/>
      <c r="AW767"/>
      <c r="AX767"/>
      <c r="AY767"/>
      <c r="AZ767"/>
      <c r="BA767"/>
      <c r="BB767"/>
      <c r="BC767"/>
      <c r="BD767"/>
      <c r="BE767"/>
      <c r="BF767"/>
      <c r="BG767"/>
      <c r="BH767"/>
      <c r="BI767"/>
      <c r="BJ767"/>
      <c r="BK767"/>
      <c r="BL767"/>
      <c r="BM767"/>
      <c r="BN767"/>
      <c r="BO767"/>
      <c r="BP767"/>
      <c r="BQ767"/>
      <c r="BR767"/>
      <c r="BS767"/>
      <c r="BT767"/>
      <c r="BU767"/>
      <c r="BV767"/>
      <c r="BW767"/>
      <c r="BX767"/>
      <c r="BY767"/>
      <c r="BZ767"/>
      <c r="CA767"/>
      <c r="CB767"/>
      <c r="CC767"/>
      <c r="CD767"/>
      <c r="CE767"/>
      <c r="CF767"/>
      <c r="CG767"/>
      <c r="CH767"/>
      <c r="CI767"/>
      <c r="CJ767"/>
      <c r="CK767"/>
      <c r="CL767"/>
      <c r="CM767"/>
      <c r="CN767"/>
      <c r="CO767"/>
      <c r="CP767"/>
      <c r="CQ767"/>
      <c r="CR767"/>
      <c r="CS767"/>
      <c r="CT767"/>
      <c r="CU767"/>
      <c r="CV767"/>
      <c r="CW767"/>
      <c r="CX767"/>
      <c r="CY767"/>
      <c r="CZ767"/>
      <c r="DA767"/>
      <c r="DB767"/>
      <c r="DC767"/>
      <c r="DD767"/>
      <c r="DE767"/>
      <c r="DF767"/>
      <c r="DG767"/>
      <c r="DH767"/>
      <c r="DI767"/>
      <c r="DJ767"/>
      <c r="DK767"/>
      <c r="DL767"/>
      <c r="DM767"/>
      <c r="DN767"/>
      <c r="DO767"/>
      <c r="DP767"/>
      <c r="DQ767"/>
      <c r="DR767"/>
      <c r="DS767"/>
      <c r="DT767"/>
      <c r="DU767"/>
      <c r="DV767"/>
      <c r="DW767"/>
      <c r="DX767"/>
      <c r="DY767"/>
      <c r="DZ767"/>
      <c r="EA767"/>
      <c r="EB767"/>
      <c r="EC767"/>
      <c r="ED767"/>
      <c r="EE767"/>
      <c r="EF767"/>
      <c r="EG767"/>
      <c r="EH767"/>
      <c r="EI767"/>
      <c r="EJ767"/>
      <c r="EK767"/>
      <c r="EL767"/>
      <c r="EM767"/>
      <c r="EN767"/>
      <c r="EO767"/>
      <c r="EP767"/>
      <c r="EQ767"/>
      <c r="ER767"/>
      <c r="ES767"/>
    </row>
    <row r="768" spans="1:149">
      <c r="A768"/>
      <c r="B768"/>
      <c r="C768"/>
      <c r="D768"/>
      <c r="E768"/>
      <c r="F768"/>
      <c r="G768"/>
      <c r="H768"/>
      <c r="I768"/>
      <c r="J768"/>
      <c r="K768"/>
      <c r="L768"/>
      <c r="M768"/>
      <c r="N768"/>
      <c r="O768"/>
      <c r="P768"/>
      <c r="Q768"/>
      <c r="R768"/>
      <c r="S768"/>
      <c r="T768"/>
      <c r="U768"/>
      <c r="V768"/>
      <c r="W768"/>
      <c r="X768"/>
      <c r="Y768"/>
      <c r="Z768"/>
      <c r="AA768"/>
      <c r="AB768"/>
      <c r="AC768"/>
      <c r="AD768"/>
      <c r="AE768"/>
      <c r="AF768"/>
      <c r="AG768"/>
      <c r="AH768"/>
      <c r="AI768"/>
      <c r="AJ768"/>
      <c r="AK768"/>
      <c r="AL768"/>
      <c r="AM768"/>
      <c r="AN768"/>
      <c r="AO768"/>
      <c r="AP768"/>
      <c r="AQ768"/>
      <c r="AR768"/>
      <c r="AS768"/>
      <c r="AT768"/>
      <c r="AU768"/>
      <c r="AV768"/>
      <c r="AW768"/>
      <c r="AX768"/>
      <c r="AY768"/>
      <c r="AZ768"/>
      <c r="BA768"/>
      <c r="BB768"/>
      <c r="BC768"/>
      <c r="BD768"/>
      <c r="BE768"/>
      <c r="BF768"/>
      <c r="BG768"/>
      <c r="BH768"/>
      <c r="BI768"/>
      <c r="BJ768"/>
      <c r="BK768"/>
      <c r="BL768"/>
      <c r="BM768"/>
      <c r="BN768"/>
      <c r="BO768"/>
      <c r="BP768"/>
      <c r="BQ768"/>
      <c r="BR768"/>
      <c r="BS768"/>
      <c r="BT768"/>
      <c r="BU768"/>
      <c r="BV768"/>
      <c r="BW768"/>
      <c r="BX768"/>
      <c r="BY768"/>
      <c r="BZ768"/>
      <c r="CA768"/>
      <c r="CB768"/>
      <c r="CC768"/>
      <c r="CD768"/>
      <c r="CE768"/>
      <c r="CF768"/>
      <c r="CG768"/>
      <c r="CH768"/>
      <c r="CI768"/>
      <c r="CJ768"/>
      <c r="CK768"/>
      <c r="CL768"/>
      <c r="CM768"/>
      <c r="CN768"/>
      <c r="CO768"/>
      <c r="CP768"/>
      <c r="CQ768"/>
      <c r="CR768"/>
      <c r="CS768"/>
      <c r="CT768"/>
      <c r="CU768"/>
      <c r="CV768"/>
      <c r="CW768"/>
      <c r="CX768"/>
      <c r="CY768"/>
      <c r="CZ768"/>
      <c r="DA768"/>
      <c r="DB768"/>
      <c r="DC768"/>
      <c r="DD768"/>
      <c r="DE768"/>
      <c r="DF768"/>
      <c r="DG768"/>
      <c r="DH768"/>
      <c r="DI768"/>
      <c r="DJ768"/>
      <c r="DK768"/>
      <c r="DL768"/>
      <c r="DM768"/>
      <c r="DN768"/>
      <c r="DO768"/>
      <c r="DP768"/>
      <c r="DQ768"/>
      <c r="DR768"/>
      <c r="DS768"/>
      <c r="DT768"/>
      <c r="DU768"/>
      <c r="DV768"/>
      <c r="DW768"/>
      <c r="DX768"/>
      <c r="DY768"/>
      <c r="DZ768"/>
      <c r="EA768"/>
      <c r="EB768"/>
      <c r="EC768"/>
      <c r="ED768"/>
      <c r="EE768"/>
      <c r="EF768"/>
      <c r="EG768"/>
      <c r="EH768"/>
      <c r="EI768"/>
      <c r="EJ768"/>
      <c r="EK768"/>
      <c r="EL768"/>
      <c r="EM768"/>
      <c r="EN768"/>
      <c r="EO768"/>
      <c r="EP768"/>
      <c r="EQ768"/>
      <c r="ER768"/>
      <c r="ES768"/>
    </row>
    <row r="769" spans="1:149">
      <c r="A769"/>
      <c r="B769"/>
      <c r="C769"/>
      <c r="D769"/>
      <c r="E769"/>
      <c r="F769"/>
      <c r="G769"/>
      <c r="H769"/>
      <c r="I769"/>
      <c r="J769"/>
      <c r="K769"/>
      <c r="L769"/>
      <c r="M769"/>
      <c r="N769"/>
      <c r="O769"/>
      <c r="P769"/>
      <c r="Q769"/>
      <c r="R769"/>
      <c r="S769"/>
      <c r="T769"/>
      <c r="U769"/>
      <c r="V769"/>
      <c r="W769"/>
      <c r="X769"/>
      <c r="Y769"/>
      <c r="Z769"/>
      <c r="AA769"/>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c r="BZ769"/>
      <c r="CA769"/>
      <c r="CB769"/>
      <c r="CC769"/>
      <c r="CD769"/>
      <c r="CE769"/>
      <c r="CF769"/>
      <c r="CG769"/>
      <c r="CH769"/>
      <c r="CI769"/>
      <c r="CJ769"/>
      <c r="CK769"/>
      <c r="CL769"/>
      <c r="CM769"/>
      <c r="CN769"/>
      <c r="CO769"/>
      <c r="CP769"/>
      <c r="CQ769"/>
      <c r="CR769"/>
      <c r="CS769"/>
      <c r="CT769"/>
      <c r="CU769"/>
      <c r="CV769"/>
      <c r="CW769"/>
      <c r="CX769"/>
      <c r="CY769"/>
      <c r="CZ769"/>
      <c r="DA769"/>
      <c r="DB769"/>
      <c r="DC769"/>
      <c r="DD769"/>
      <c r="DE769"/>
      <c r="DF769"/>
      <c r="DG769"/>
      <c r="DH769"/>
      <c r="DI769"/>
      <c r="DJ769"/>
      <c r="DK769"/>
      <c r="DL769"/>
      <c r="DM769"/>
      <c r="DN769"/>
      <c r="DO769"/>
      <c r="DP769"/>
      <c r="DQ769"/>
      <c r="DR769"/>
      <c r="DS769"/>
      <c r="DT769"/>
      <c r="DU769"/>
      <c r="DV769"/>
      <c r="DW769"/>
      <c r="DX769"/>
      <c r="DY769"/>
      <c r="DZ769"/>
      <c r="EA769"/>
      <c r="EB769"/>
      <c r="EC769"/>
      <c r="ED769"/>
      <c r="EE769"/>
      <c r="EF769"/>
      <c r="EG769"/>
      <c r="EH769"/>
      <c r="EI769"/>
      <c r="EJ769"/>
      <c r="EK769"/>
      <c r="EL769"/>
      <c r="EM769"/>
      <c r="EN769"/>
      <c r="EO769"/>
      <c r="EP769"/>
      <c r="EQ769"/>
      <c r="ER769"/>
      <c r="ES769"/>
    </row>
    <row r="770" spans="1:149">
      <c r="A770"/>
      <c r="B770"/>
      <c r="C770"/>
      <c r="D770"/>
      <c r="E770"/>
      <c r="F770"/>
      <c r="G770"/>
      <c r="H770"/>
      <c r="I770"/>
      <c r="J770"/>
      <c r="K770"/>
      <c r="L770"/>
      <c r="M770"/>
      <c r="N770"/>
      <c r="O770"/>
      <c r="P770"/>
      <c r="Q770"/>
      <c r="R770"/>
      <c r="S770"/>
      <c r="T770"/>
      <c r="U770"/>
      <c r="V770"/>
      <c r="W770"/>
      <c r="X770"/>
      <c r="Y770"/>
      <c r="Z770"/>
      <c r="AA770"/>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c r="BZ770"/>
      <c r="CA770"/>
      <c r="CB770"/>
      <c r="CC770"/>
      <c r="CD770"/>
      <c r="CE770"/>
      <c r="CF770"/>
      <c r="CG770"/>
      <c r="CH770"/>
      <c r="CI770"/>
      <c r="CJ770"/>
      <c r="CK770"/>
      <c r="CL770"/>
      <c r="CM770"/>
      <c r="CN770"/>
      <c r="CO770"/>
      <c r="CP770"/>
      <c r="CQ770"/>
      <c r="CR770"/>
      <c r="CS770"/>
      <c r="CT770"/>
      <c r="CU770"/>
      <c r="CV770"/>
      <c r="CW770"/>
      <c r="CX770"/>
      <c r="CY770"/>
      <c r="CZ770"/>
      <c r="DA770"/>
      <c r="DB770"/>
      <c r="DC770"/>
      <c r="DD770"/>
      <c r="DE770"/>
      <c r="DF770"/>
      <c r="DG770"/>
      <c r="DH770"/>
      <c r="DI770"/>
      <c r="DJ770"/>
      <c r="DK770"/>
      <c r="DL770"/>
      <c r="DM770"/>
      <c r="DN770"/>
      <c r="DO770"/>
      <c r="DP770"/>
      <c r="DQ770"/>
      <c r="DR770"/>
      <c r="DS770"/>
      <c r="DT770"/>
      <c r="DU770"/>
      <c r="DV770"/>
      <c r="DW770"/>
      <c r="DX770"/>
      <c r="DY770"/>
      <c r="DZ770"/>
      <c r="EA770"/>
      <c r="EB770"/>
      <c r="EC770"/>
      <c r="ED770"/>
      <c r="EE770"/>
      <c r="EF770"/>
      <c r="EG770"/>
      <c r="EH770"/>
      <c r="EI770"/>
      <c r="EJ770"/>
      <c r="EK770"/>
      <c r="EL770"/>
      <c r="EM770"/>
      <c r="EN770"/>
      <c r="EO770"/>
      <c r="EP770"/>
      <c r="EQ770"/>
      <c r="ER770"/>
      <c r="ES770"/>
    </row>
    <row r="771" spans="1:149">
      <c r="A771"/>
      <c r="B771"/>
      <c r="C771"/>
      <c r="D771"/>
      <c r="E771"/>
      <c r="F771"/>
      <c r="G771"/>
      <c r="H771"/>
      <c r="I771"/>
      <c r="J771"/>
      <c r="K771"/>
      <c r="L771"/>
      <c r="M771"/>
      <c r="N771"/>
      <c r="O771"/>
      <c r="P771"/>
      <c r="Q771"/>
      <c r="R771"/>
      <c r="S771"/>
      <c r="T771"/>
      <c r="U771"/>
      <c r="V771"/>
      <c r="W771"/>
      <c r="X771"/>
      <c r="Y771"/>
      <c r="Z771"/>
      <c r="AA771"/>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c r="BZ771"/>
      <c r="CA771"/>
      <c r="CB771"/>
      <c r="CC771"/>
      <c r="CD771"/>
      <c r="CE771"/>
      <c r="CF771"/>
      <c r="CG771"/>
      <c r="CH771"/>
      <c r="CI771"/>
      <c r="CJ771"/>
      <c r="CK771"/>
      <c r="CL771"/>
      <c r="CM771"/>
      <c r="CN771"/>
      <c r="CO771"/>
      <c r="CP771"/>
      <c r="CQ771"/>
      <c r="CR771"/>
      <c r="CS771"/>
      <c r="CT771"/>
      <c r="CU771"/>
      <c r="CV771"/>
      <c r="CW771"/>
      <c r="CX771"/>
      <c r="CY771"/>
      <c r="CZ771"/>
      <c r="DA771"/>
      <c r="DB771"/>
      <c r="DC771"/>
      <c r="DD771"/>
      <c r="DE771"/>
      <c r="DF771"/>
      <c r="DG771"/>
      <c r="DH771"/>
      <c r="DI771"/>
      <c r="DJ771"/>
      <c r="DK771"/>
      <c r="DL771"/>
      <c r="DM771"/>
      <c r="DN771"/>
      <c r="DO771"/>
      <c r="DP771"/>
      <c r="DQ771"/>
      <c r="DR771"/>
      <c r="DS771"/>
      <c r="DT771"/>
      <c r="DU771"/>
      <c r="DV771"/>
      <c r="DW771"/>
      <c r="DX771"/>
      <c r="DY771"/>
      <c r="DZ771"/>
      <c r="EA771"/>
      <c r="EB771"/>
      <c r="EC771"/>
      <c r="ED771"/>
      <c r="EE771"/>
      <c r="EF771"/>
      <c r="EG771"/>
      <c r="EH771"/>
      <c r="EI771"/>
      <c r="EJ771"/>
      <c r="EK771"/>
      <c r="EL771"/>
      <c r="EM771"/>
      <c r="EN771"/>
      <c r="EO771"/>
      <c r="EP771"/>
      <c r="EQ771"/>
      <c r="ER771"/>
      <c r="ES771"/>
    </row>
    <row r="772" spans="1:149">
      <c r="A772"/>
      <c r="B772"/>
      <c r="C772"/>
      <c r="D772"/>
      <c r="E772"/>
      <c r="F772"/>
      <c r="G772"/>
      <c r="H772"/>
      <c r="I772"/>
      <c r="J772"/>
      <c r="K772"/>
      <c r="L772"/>
      <c r="M772"/>
      <c r="N772"/>
      <c r="O772"/>
      <c r="P772"/>
      <c r="Q772"/>
      <c r="R772"/>
      <c r="S772"/>
      <c r="T772"/>
      <c r="U772"/>
      <c r="V772"/>
      <c r="W772"/>
      <c r="X772"/>
      <c r="Y772"/>
      <c r="Z772"/>
      <c r="AA772"/>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c r="BZ772"/>
      <c r="CA772"/>
      <c r="CB772"/>
      <c r="CC772"/>
      <c r="CD772"/>
      <c r="CE772"/>
      <c r="CF772"/>
      <c r="CG772"/>
      <c r="CH772"/>
      <c r="CI772"/>
      <c r="CJ772"/>
      <c r="CK772"/>
      <c r="CL772"/>
      <c r="CM772"/>
      <c r="CN772"/>
      <c r="CO772"/>
      <c r="CP772"/>
      <c r="CQ772"/>
      <c r="CR772"/>
      <c r="CS772"/>
      <c r="CT772"/>
      <c r="CU772"/>
      <c r="CV772"/>
      <c r="CW772"/>
      <c r="CX772"/>
      <c r="CY772"/>
      <c r="CZ772"/>
      <c r="DA772"/>
      <c r="DB772"/>
      <c r="DC772"/>
      <c r="DD772"/>
      <c r="DE772"/>
      <c r="DF772"/>
      <c r="DG772"/>
      <c r="DH772"/>
      <c r="DI772"/>
      <c r="DJ772"/>
      <c r="DK772"/>
      <c r="DL772"/>
      <c r="DM772"/>
      <c r="DN772"/>
      <c r="DO772"/>
      <c r="DP772"/>
      <c r="DQ772"/>
      <c r="DR772"/>
      <c r="DS772"/>
      <c r="DT772"/>
      <c r="DU772"/>
      <c r="DV772"/>
      <c r="DW772"/>
      <c r="DX772"/>
      <c r="DY772"/>
      <c r="DZ772"/>
      <c r="EA772"/>
      <c r="EB772"/>
      <c r="EC772"/>
      <c r="ED772"/>
      <c r="EE772"/>
      <c r="EF772"/>
      <c r="EG772"/>
      <c r="EH772"/>
      <c r="EI772"/>
      <c r="EJ772"/>
      <c r="EK772"/>
      <c r="EL772"/>
      <c r="EM772"/>
      <c r="EN772"/>
      <c r="EO772"/>
      <c r="EP772"/>
      <c r="EQ772"/>
      <c r="ER772"/>
      <c r="ES772"/>
    </row>
    <row r="773" spans="1:149">
      <c r="A773"/>
      <c r="B773"/>
      <c r="C773"/>
      <c r="D773"/>
      <c r="E773"/>
      <c r="F773"/>
      <c r="G773"/>
      <c r="H773"/>
      <c r="I773"/>
      <c r="J773"/>
      <c r="K773"/>
      <c r="L773"/>
      <c r="M773"/>
      <c r="N773"/>
      <c r="O773"/>
      <c r="P773"/>
      <c r="Q773"/>
      <c r="R773"/>
      <c r="S773"/>
      <c r="T773"/>
      <c r="U773"/>
      <c r="V773"/>
      <c r="W773"/>
      <c r="X773"/>
      <c r="Y773"/>
      <c r="Z773"/>
      <c r="AA773"/>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c r="BZ773"/>
      <c r="CA773"/>
      <c r="CB773"/>
      <c r="CC773"/>
      <c r="CD773"/>
      <c r="CE773"/>
      <c r="CF773"/>
      <c r="CG773"/>
      <c r="CH773"/>
      <c r="CI773"/>
      <c r="CJ773"/>
      <c r="CK773"/>
      <c r="CL773"/>
      <c r="CM773"/>
      <c r="CN773"/>
      <c r="CO773"/>
      <c r="CP773"/>
      <c r="CQ773"/>
      <c r="CR773"/>
      <c r="CS773"/>
      <c r="CT773"/>
      <c r="CU773"/>
      <c r="CV773"/>
      <c r="CW773"/>
      <c r="CX773"/>
      <c r="CY773"/>
      <c r="CZ773"/>
      <c r="DA773"/>
      <c r="DB773"/>
      <c r="DC773"/>
      <c r="DD773"/>
      <c r="DE773"/>
      <c r="DF773"/>
      <c r="DG773"/>
      <c r="DH773"/>
      <c r="DI773"/>
      <c r="DJ773"/>
      <c r="DK773"/>
      <c r="DL773"/>
      <c r="DM773"/>
      <c r="DN773"/>
      <c r="DO773"/>
      <c r="DP773"/>
      <c r="DQ773"/>
      <c r="DR773"/>
      <c r="DS773"/>
      <c r="DT773"/>
      <c r="DU773"/>
      <c r="DV773"/>
      <c r="DW773"/>
      <c r="DX773"/>
      <c r="DY773"/>
      <c r="DZ773"/>
      <c r="EA773"/>
      <c r="EB773"/>
      <c r="EC773"/>
      <c r="ED773"/>
      <c r="EE773"/>
      <c r="EF773"/>
      <c r="EG773"/>
      <c r="EH773"/>
      <c r="EI773"/>
      <c r="EJ773"/>
      <c r="EK773"/>
      <c r="EL773"/>
      <c r="EM773"/>
      <c r="EN773"/>
      <c r="EO773"/>
      <c r="EP773"/>
      <c r="EQ773"/>
      <c r="ER773"/>
      <c r="ES773"/>
    </row>
    <row r="774" spans="1:149">
      <c r="A774"/>
      <c r="B774"/>
      <c r="C774"/>
      <c r="D774"/>
      <c r="E774"/>
      <c r="F774"/>
      <c r="G774"/>
      <c r="H774"/>
      <c r="I774"/>
      <c r="J774"/>
      <c r="K774"/>
      <c r="L774"/>
      <c r="M774"/>
      <c r="N774"/>
      <c r="O774"/>
      <c r="P774"/>
      <c r="Q774"/>
      <c r="R774"/>
      <c r="S774"/>
      <c r="T774"/>
      <c r="U774"/>
      <c r="V774"/>
      <c r="W774"/>
      <c r="X774"/>
      <c r="Y774"/>
      <c r="Z774"/>
      <c r="AA774"/>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c r="BZ774"/>
      <c r="CA774"/>
      <c r="CB774"/>
      <c r="CC774"/>
      <c r="CD774"/>
      <c r="CE774"/>
      <c r="CF774"/>
      <c r="CG774"/>
      <c r="CH774"/>
      <c r="CI774"/>
      <c r="CJ774"/>
      <c r="CK774"/>
      <c r="CL774"/>
      <c r="CM774"/>
      <c r="CN774"/>
      <c r="CO774"/>
      <c r="CP774"/>
      <c r="CQ774"/>
      <c r="CR774"/>
      <c r="CS774"/>
      <c r="CT774"/>
      <c r="CU774"/>
      <c r="CV774"/>
      <c r="CW774"/>
      <c r="CX774"/>
      <c r="CY774"/>
      <c r="CZ774"/>
      <c r="DA774"/>
      <c r="DB774"/>
      <c r="DC774"/>
      <c r="DD774"/>
      <c r="DE774"/>
      <c r="DF774"/>
      <c r="DG774"/>
      <c r="DH774"/>
      <c r="DI774"/>
      <c r="DJ774"/>
      <c r="DK774"/>
      <c r="DL774"/>
      <c r="DM774"/>
      <c r="DN774"/>
      <c r="DO774"/>
      <c r="DP774"/>
      <c r="DQ774"/>
      <c r="DR774"/>
      <c r="DS774"/>
      <c r="DT774"/>
      <c r="DU774"/>
      <c r="DV774"/>
      <c r="DW774"/>
      <c r="DX774"/>
      <c r="DY774"/>
      <c r="DZ774"/>
      <c r="EA774"/>
      <c r="EB774"/>
      <c r="EC774"/>
      <c r="ED774"/>
      <c r="EE774"/>
      <c r="EF774"/>
      <c r="EG774"/>
      <c r="EH774"/>
      <c r="EI774"/>
      <c r="EJ774"/>
      <c r="EK774"/>
      <c r="EL774"/>
      <c r="EM774"/>
      <c r="EN774"/>
      <c r="EO774"/>
      <c r="EP774"/>
      <c r="EQ774"/>
      <c r="ER774"/>
      <c r="ES774"/>
    </row>
    <row r="775" spans="1:149">
      <c r="A775"/>
      <c r="B775"/>
      <c r="C775"/>
      <c r="D775"/>
      <c r="E775"/>
      <c r="F775"/>
      <c r="G775"/>
      <c r="H775"/>
      <c r="I775"/>
      <c r="J775"/>
      <c r="K775"/>
      <c r="L775"/>
      <c r="M775"/>
      <c r="N775"/>
      <c r="O775"/>
      <c r="P775"/>
      <c r="Q775"/>
      <c r="R775"/>
      <c r="S775"/>
      <c r="T775"/>
      <c r="U775"/>
      <c r="V775"/>
      <c r="W775"/>
      <c r="X775"/>
      <c r="Y775"/>
      <c r="Z775"/>
      <c r="AA77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c r="BZ775"/>
      <c r="CA775"/>
      <c r="CB775"/>
      <c r="CC775"/>
      <c r="CD775"/>
      <c r="CE775"/>
      <c r="CF775"/>
      <c r="CG775"/>
      <c r="CH775"/>
      <c r="CI775"/>
      <c r="CJ775"/>
      <c r="CK775"/>
      <c r="CL775"/>
      <c r="CM775"/>
      <c r="CN775"/>
      <c r="CO775"/>
      <c r="CP775"/>
      <c r="CQ775"/>
      <c r="CR775"/>
      <c r="CS775"/>
      <c r="CT775"/>
      <c r="CU775"/>
      <c r="CV775"/>
      <c r="CW775"/>
      <c r="CX775"/>
      <c r="CY775"/>
      <c r="CZ775"/>
      <c r="DA775"/>
      <c r="DB775"/>
      <c r="DC775"/>
      <c r="DD775"/>
      <c r="DE775"/>
      <c r="DF775"/>
      <c r="DG775"/>
      <c r="DH775"/>
      <c r="DI775"/>
      <c r="DJ775"/>
      <c r="DK775"/>
      <c r="DL775"/>
      <c r="DM775"/>
      <c r="DN775"/>
      <c r="DO775"/>
      <c r="DP775"/>
      <c r="DQ775"/>
      <c r="DR775"/>
      <c r="DS775"/>
      <c r="DT775"/>
      <c r="DU775"/>
      <c r="DV775"/>
      <c r="DW775"/>
      <c r="DX775"/>
      <c r="DY775"/>
      <c r="DZ775"/>
      <c r="EA775"/>
      <c r="EB775"/>
      <c r="EC775"/>
      <c r="ED775"/>
      <c r="EE775"/>
      <c r="EF775"/>
      <c r="EG775"/>
      <c r="EH775"/>
      <c r="EI775"/>
      <c r="EJ775"/>
      <c r="EK775"/>
      <c r="EL775"/>
      <c r="EM775"/>
      <c r="EN775"/>
      <c r="EO775"/>
      <c r="EP775"/>
      <c r="EQ775"/>
      <c r="ER775"/>
      <c r="ES775"/>
    </row>
    <row r="776" spans="1:149">
      <c r="A776"/>
      <c r="B776"/>
      <c r="C776"/>
      <c r="D776"/>
      <c r="E776"/>
      <c r="F776"/>
      <c r="G776"/>
      <c r="H776"/>
      <c r="I776"/>
      <c r="J776"/>
      <c r="K776"/>
      <c r="L776"/>
      <c r="M776"/>
      <c r="N776"/>
      <c r="O776"/>
      <c r="P776"/>
      <c r="Q776"/>
      <c r="R776"/>
      <c r="S776"/>
      <c r="T776"/>
      <c r="U776"/>
      <c r="V776"/>
      <c r="W776"/>
      <c r="X776"/>
      <c r="Y776"/>
      <c r="Z776"/>
      <c r="AA776"/>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c r="BZ776"/>
      <c r="CA776"/>
      <c r="CB776"/>
      <c r="CC776"/>
      <c r="CD776"/>
      <c r="CE776"/>
      <c r="CF776"/>
      <c r="CG776"/>
      <c r="CH776"/>
      <c r="CI776"/>
      <c r="CJ776"/>
      <c r="CK776"/>
      <c r="CL776"/>
      <c r="CM776"/>
      <c r="CN776"/>
      <c r="CO776"/>
      <c r="CP776"/>
      <c r="CQ776"/>
      <c r="CR776"/>
      <c r="CS776"/>
      <c r="CT776"/>
      <c r="CU776"/>
      <c r="CV776"/>
      <c r="CW776"/>
      <c r="CX776"/>
      <c r="CY776"/>
      <c r="CZ776"/>
      <c r="DA776"/>
      <c r="DB776"/>
      <c r="DC776"/>
      <c r="DD776"/>
      <c r="DE776"/>
      <c r="DF776"/>
      <c r="DG776"/>
      <c r="DH776"/>
      <c r="DI776"/>
      <c r="DJ776"/>
      <c r="DK776"/>
      <c r="DL776"/>
      <c r="DM776"/>
      <c r="DN776"/>
      <c r="DO776"/>
      <c r="DP776"/>
      <c r="DQ776"/>
      <c r="DR776"/>
      <c r="DS776"/>
      <c r="DT776"/>
      <c r="DU776"/>
      <c r="DV776"/>
      <c r="DW776"/>
      <c r="DX776"/>
      <c r="DY776"/>
      <c r="DZ776"/>
      <c r="EA776"/>
      <c r="EB776"/>
      <c r="EC776"/>
      <c r="ED776"/>
      <c r="EE776"/>
      <c r="EF776"/>
      <c r="EG776"/>
      <c r="EH776"/>
      <c r="EI776"/>
      <c r="EJ776"/>
      <c r="EK776"/>
      <c r="EL776"/>
      <c r="EM776"/>
      <c r="EN776"/>
      <c r="EO776"/>
      <c r="EP776"/>
      <c r="EQ776"/>
      <c r="ER776"/>
      <c r="ES776"/>
    </row>
    <row r="777" spans="1:149">
      <c r="A777"/>
      <c r="B777"/>
      <c r="C777"/>
      <c r="D777"/>
      <c r="E777"/>
      <c r="F777"/>
      <c r="G777"/>
      <c r="H777"/>
      <c r="I777"/>
      <c r="J777"/>
      <c r="K777"/>
      <c r="L777"/>
      <c r="M777"/>
      <c r="N777"/>
      <c r="O777"/>
      <c r="P777"/>
      <c r="Q777"/>
      <c r="R777"/>
      <c r="S777"/>
      <c r="T777"/>
      <c r="U777"/>
      <c r="V777"/>
      <c r="W777"/>
      <c r="X777"/>
      <c r="Y777"/>
      <c r="Z777"/>
      <c r="AA777"/>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c r="BZ777"/>
      <c r="CA777"/>
      <c r="CB777"/>
      <c r="CC777"/>
      <c r="CD777"/>
      <c r="CE777"/>
      <c r="CF777"/>
      <c r="CG777"/>
      <c r="CH777"/>
      <c r="CI777"/>
      <c r="CJ777"/>
      <c r="CK777"/>
      <c r="CL777"/>
      <c r="CM777"/>
      <c r="CN777"/>
      <c r="CO777"/>
      <c r="CP777"/>
      <c r="CQ777"/>
      <c r="CR777"/>
      <c r="CS777"/>
      <c r="CT777"/>
      <c r="CU777"/>
      <c r="CV777"/>
      <c r="CW777"/>
      <c r="CX777"/>
      <c r="CY777"/>
      <c r="CZ777"/>
      <c r="DA777"/>
      <c r="DB777"/>
      <c r="DC777"/>
      <c r="DD777"/>
      <c r="DE777"/>
      <c r="DF777"/>
      <c r="DG777"/>
      <c r="DH777"/>
      <c r="DI777"/>
      <c r="DJ777"/>
      <c r="DK777"/>
      <c r="DL777"/>
      <c r="DM777"/>
      <c r="DN777"/>
      <c r="DO777"/>
      <c r="DP777"/>
      <c r="DQ777"/>
      <c r="DR777"/>
      <c r="DS777"/>
      <c r="DT777"/>
      <c r="DU777"/>
      <c r="DV777"/>
      <c r="DW777"/>
      <c r="DX777"/>
      <c r="DY777"/>
      <c r="DZ777"/>
      <c r="EA777"/>
      <c r="EB777"/>
      <c r="EC777"/>
      <c r="ED777"/>
      <c r="EE777"/>
      <c r="EF777"/>
      <c r="EG777"/>
      <c r="EH777"/>
      <c r="EI777"/>
      <c r="EJ777"/>
      <c r="EK777"/>
      <c r="EL777"/>
      <c r="EM777"/>
      <c r="EN777"/>
      <c r="EO777"/>
      <c r="EP777"/>
      <c r="EQ777"/>
      <c r="ER777"/>
      <c r="ES777"/>
    </row>
    <row r="778" spans="1:149">
      <c r="A778"/>
      <c r="B778"/>
      <c r="C778"/>
      <c r="D778"/>
      <c r="E778"/>
      <c r="F778"/>
      <c r="G778"/>
      <c r="H778"/>
      <c r="I778"/>
      <c r="J778"/>
      <c r="K778"/>
      <c r="L778"/>
      <c r="M778"/>
      <c r="N778"/>
      <c r="O778"/>
      <c r="P778"/>
      <c r="Q778"/>
      <c r="R778"/>
      <c r="S778"/>
      <c r="T778"/>
      <c r="U778"/>
      <c r="V778"/>
      <c r="W778"/>
      <c r="X778"/>
      <c r="Y778"/>
      <c r="Z778"/>
      <c r="AA778"/>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c r="BZ778"/>
      <c r="CA778"/>
      <c r="CB778"/>
      <c r="CC778"/>
      <c r="CD778"/>
      <c r="CE778"/>
      <c r="CF778"/>
      <c r="CG778"/>
      <c r="CH778"/>
      <c r="CI778"/>
      <c r="CJ778"/>
      <c r="CK778"/>
      <c r="CL778"/>
      <c r="CM778"/>
      <c r="CN778"/>
      <c r="CO778"/>
      <c r="CP778"/>
      <c r="CQ778"/>
      <c r="CR778"/>
      <c r="CS778"/>
      <c r="CT778"/>
      <c r="CU778"/>
      <c r="CV778"/>
      <c r="CW778"/>
      <c r="CX778"/>
      <c r="CY778"/>
      <c r="CZ778"/>
      <c r="DA778"/>
      <c r="DB778"/>
      <c r="DC778"/>
      <c r="DD778"/>
      <c r="DE778"/>
      <c r="DF778"/>
      <c r="DG778"/>
      <c r="DH778"/>
      <c r="DI778"/>
      <c r="DJ778"/>
      <c r="DK778"/>
      <c r="DL778"/>
      <c r="DM778"/>
      <c r="DN778"/>
      <c r="DO778"/>
      <c r="DP778"/>
      <c r="DQ778"/>
      <c r="DR778"/>
      <c r="DS778"/>
      <c r="DT778"/>
      <c r="DU778"/>
      <c r="DV778"/>
      <c r="DW778"/>
      <c r="DX778"/>
      <c r="DY778"/>
      <c r="DZ778"/>
      <c r="EA778"/>
      <c r="EB778"/>
      <c r="EC778"/>
      <c r="ED778"/>
      <c r="EE778"/>
      <c r="EF778"/>
      <c r="EG778"/>
      <c r="EH778"/>
      <c r="EI778"/>
      <c r="EJ778"/>
      <c r="EK778"/>
      <c r="EL778"/>
      <c r="EM778"/>
      <c r="EN778"/>
      <c r="EO778"/>
      <c r="EP778"/>
      <c r="EQ778"/>
      <c r="ER778"/>
      <c r="ES778"/>
    </row>
    <row r="779" spans="1:149">
      <c r="A779"/>
      <c r="B779"/>
      <c r="C779"/>
      <c r="D779"/>
      <c r="E779"/>
      <c r="F779"/>
      <c r="G779"/>
      <c r="H779"/>
      <c r="I779"/>
      <c r="J779"/>
      <c r="K779"/>
      <c r="L779"/>
      <c r="M779"/>
      <c r="N779"/>
      <c r="O779"/>
      <c r="P779"/>
      <c r="Q779"/>
      <c r="R779"/>
      <c r="S779"/>
      <c r="T779"/>
      <c r="U779"/>
      <c r="V779"/>
      <c r="W779"/>
      <c r="X779"/>
      <c r="Y779"/>
      <c r="Z779"/>
      <c r="AA779"/>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c r="BZ779"/>
      <c r="CA779"/>
      <c r="CB779"/>
      <c r="CC779"/>
      <c r="CD779"/>
      <c r="CE779"/>
      <c r="CF779"/>
      <c r="CG779"/>
      <c r="CH779"/>
      <c r="CI779"/>
      <c r="CJ779"/>
      <c r="CK779"/>
      <c r="CL779"/>
      <c r="CM779"/>
      <c r="CN779"/>
      <c r="CO779"/>
      <c r="CP779"/>
      <c r="CQ779"/>
      <c r="CR779"/>
      <c r="CS779"/>
      <c r="CT779"/>
      <c r="CU779"/>
      <c r="CV779"/>
      <c r="CW779"/>
      <c r="CX779"/>
      <c r="CY779"/>
      <c r="CZ779"/>
      <c r="DA779"/>
      <c r="DB779"/>
      <c r="DC779"/>
      <c r="DD779"/>
      <c r="DE779"/>
      <c r="DF779"/>
      <c r="DG779"/>
      <c r="DH779"/>
      <c r="DI779"/>
      <c r="DJ779"/>
      <c r="DK779"/>
      <c r="DL779"/>
      <c r="DM779"/>
      <c r="DN779"/>
      <c r="DO779"/>
      <c r="DP779"/>
      <c r="DQ779"/>
      <c r="DR779"/>
      <c r="DS779"/>
      <c r="DT779"/>
      <c r="DU779"/>
      <c r="DV779"/>
      <c r="DW779"/>
      <c r="DX779"/>
      <c r="DY779"/>
      <c r="DZ779"/>
      <c r="EA779"/>
      <c r="EB779"/>
      <c r="EC779"/>
      <c r="ED779"/>
      <c r="EE779"/>
      <c r="EF779"/>
      <c r="EG779"/>
      <c r="EH779"/>
      <c r="EI779"/>
      <c r="EJ779"/>
      <c r="EK779"/>
      <c r="EL779"/>
      <c r="EM779"/>
      <c r="EN779"/>
      <c r="EO779"/>
      <c r="EP779"/>
      <c r="EQ779"/>
      <c r="ER779"/>
      <c r="ES779"/>
    </row>
    <row r="780" spans="1:149">
      <c r="A780"/>
      <c r="B780"/>
      <c r="C780"/>
      <c r="D780"/>
      <c r="E780"/>
      <c r="F780"/>
      <c r="G780"/>
      <c r="H780"/>
      <c r="I780"/>
      <c r="J780"/>
      <c r="K780"/>
      <c r="L780"/>
      <c r="M780"/>
      <c r="N780"/>
      <c r="O780"/>
      <c r="P780"/>
      <c r="Q780"/>
      <c r="R780"/>
      <c r="S780"/>
      <c r="T780"/>
      <c r="U780"/>
      <c r="V780"/>
      <c r="W780"/>
      <c r="X780"/>
      <c r="Y780"/>
      <c r="Z780"/>
      <c r="AA780"/>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c r="BZ780"/>
      <c r="CA780"/>
      <c r="CB780"/>
      <c r="CC780"/>
      <c r="CD780"/>
      <c r="CE780"/>
      <c r="CF780"/>
      <c r="CG780"/>
      <c r="CH780"/>
      <c r="CI780"/>
      <c r="CJ780"/>
      <c r="CK780"/>
      <c r="CL780"/>
      <c r="CM780"/>
      <c r="CN780"/>
      <c r="CO780"/>
      <c r="CP780"/>
      <c r="CQ780"/>
      <c r="CR780"/>
      <c r="CS780"/>
      <c r="CT780"/>
      <c r="CU780"/>
      <c r="CV780"/>
      <c r="CW780"/>
      <c r="CX780"/>
      <c r="CY780"/>
      <c r="CZ780"/>
      <c r="DA780"/>
      <c r="DB780"/>
      <c r="DC780"/>
      <c r="DD780"/>
      <c r="DE780"/>
      <c r="DF780"/>
      <c r="DG780"/>
      <c r="DH780"/>
      <c r="DI780"/>
      <c r="DJ780"/>
      <c r="DK780"/>
      <c r="DL780"/>
      <c r="DM780"/>
      <c r="DN780"/>
      <c r="DO780"/>
      <c r="DP780"/>
      <c r="DQ780"/>
      <c r="DR780"/>
      <c r="DS780"/>
      <c r="DT780"/>
      <c r="DU780"/>
      <c r="DV780"/>
      <c r="DW780"/>
      <c r="DX780"/>
      <c r="DY780"/>
      <c r="DZ780"/>
      <c r="EA780"/>
      <c r="EB780"/>
      <c r="EC780"/>
      <c r="ED780"/>
      <c r="EE780"/>
      <c r="EF780"/>
      <c r="EG780"/>
      <c r="EH780"/>
      <c r="EI780"/>
      <c r="EJ780"/>
      <c r="EK780"/>
      <c r="EL780"/>
      <c r="EM780"/>
      <c r="EN780"/>
      <c r="EO780"/>
      <c r="EP780"/>
      <c r="EQ780"/>
      <c r="ER780"/>
      <c r="ES780"/>
    </row>
    <row r="781" spans="1:149">
      <c r="A781"/>
      <c r="B781"/>
      <c r="C781"/>
      <c r="D781"/>
      <c r="E781"/>
      <c r="F781"/>
      <c r="G781"/>
      <c r="H781"/>
      <c r="I781"/>
      <c r="J781"/>
      <c r="K781"/>
      <c r="L781"/>
      <c r="M781"/>
      <c r="N781"/>
      <c r="O781"/>
      <c r="P781"/>
      <c r="Q781"/>
      <c r="R781"/>
      <c r="S781"/>
      <c r="T781"/>
      <c r="U781"/>
      <c r="V781"/>
      <c r="W781"/>
      <c r="X781"/>
      <c r="Y781"/>
      <c r="Z781"/>
      <c r="AA781"/>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c r="BZ781"/>
      <c r="CA781"/>
      <c r="CB781"/>
      <c r="CC781"/>
      <c r="CD781"/>
      <c r="CE781"/>
      <c r="CF781"/>
      <c r="CG781"/>
      <c r="CH781"/>
      <c r="CI781"/>
      <c r="CJ781"/>
      <c r="CK781"/>
      <c r="CL781"/>
      <c r="CM781"/>
      <c r="CN781"/>
      <c r="CO781"/>
      <c r="CP781"/>
      <c r="CQ781"/>
      <c r="CR781"/>
      <c r="CS781"/>
      <c r="CT781"/>
      <c r="CU781"/>
      <c r="CV781"/>
      <c r="CW781"/>
      <c r="CX781"/>
      <c r="CY781"/>
      <c r="CZ781"/>
      <c r="DA781"/>
      <c r="DB781"/>
      <c r="DC781"/>
      <c r="DD781"/>
      <c r="DE781"/>
      <c r="DF781"/>
      <c r="DG781"/>
      <c r="DH781"/>
      <c r="DI781"/>
      <c r="DJ781"/>
      <c r="DK781"/>
      <c r="DL781"/>
      <c r="DM781"/>
      <c r="DN781"/>
      <c r="DO781"/>
      <c r="DP781"/>
      <c r="DQ781"/>
      <c r="DR781"/>
      <c r="DS781"/>
      <c r="DT781"/>
      <c r="DU781"/>
      <c r="DV781"/>
      <c r="DW781"/>
      <c r="DX781"/>
      <c r="DY781"/>
      <c r="DZ781"/>
      <c r="EA781"/>
      <c r="EB781"/>
      <c r="EC781"/>
      <c r="ED781"/>
      <c r="EE781"/>
      <c r="EF781"/>
      <c r="EG781"/>
      <c r="EH781"/>
      <c r="EI781"/>
      <c r="EJ781"/>
      <c r="EK781"/>
      <c r="EL781"/>
      <c r="EM781"/>
      <c r="EN781"/>
      <c r="EO781"/>
      <c r="EP781"/>
      <c r="EQ781"/>
      <c r="ER781"/>
      <c r="ES781"/>
    </row>
    <row r="782" spans="1:149">
      <c r="A782"/>
      <c r="B782"/>
      <c r="C782"/>
      <c r="D782"/>
      <c r="E782"/>
      <c r="F782"/>
      <c r="G782"/>
      <c r="H782"/>
      <c r="I782"/>
      <c r="J782"/>
      <c r="K782"/>
      <c r="L782"/>
      <c r="M782"/>
      <c r="N782"/>
      <c r="O782"/>
      <c r="P782"/>
      <c r="Q782"/>
      <c r="R782"/>
      <c r="S782"/>
      <c r="T782"/>
      <c r="U782"/>
      <c r="V782"/>
      <c r="W782"/>
      <c r="X782"/>
      <c r="Y782"/>
      <c r="Z782"/>
      <c r="AA782"/>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c r="BZ782"/>
      <c r="CA782"/>
      <c r="CB782"/>
      <c r="CC782"/>
      <c r="CD782"/>
      <c r="CE782"/>
      <c r="CF782"/>
      <c r="CG782"/>
      <c r="CH782"/>
      <c r="CI782"/>
      <c r="CJ782"/>
      <c r="CK782"/>
      <c r="CL782"/>
      <c r="CM782"/>
      <c r="CN782"/>
      <c r="CO782"/>
      <c r="CP782"/>
      <c r="CQ782"/>
      <c r="CR782"/>
      <c r="CS782"/>
      <c r="CT782"/>
      <c r="CU782"/>
      <c r="CV782"/>
      <c r="CW782"/>
      <c r="CX782"/>
      <c r="CY782"/>
      <c r="CZ782"/>
      <c r="DA782"/>
      <c r="DB782"/>
      <c r="DC782"/>
      <c r="DD782"/>
      <c r="DE782"/>
      <c r="DF782"/>
      <c r="DG782"/>
      <c r="DH782"/>
      <c r="DI782"/>
      <c r="DJ782"/>
      <c r="DK782"/>
      <c r="DL782"/>
      <c r="DM782"/>
      <c r="DN782"/>
      <c r="DO782"/>
      <c r="DP782"/>
      <c r="DQ782"/>
      <c r="DR782"/>
      <c r="DS782"/>
      <c r="DT782"/>
      <c r="DU782"/>
      <c r="DV782"/>
      <c r="DW782"/>
      <c r="DX782"/>
      <c r="DY782"/>
      <c r="DZ782"/>
      <c r="EA782"/>
      <c r="EB782"/>
      <c r="EC782"/>
      <c r="ED782"/>
      <c r="EE782"/>
      <c r="EF782"/>
      <c r="EG782"/>
      <c r="EH782"/>
      <c r="EI782"/>
      <c r="EJ782"/>
      <c r="EK782"/>
      <c r="EL782"/>
      <c r="EM782"/>
      <c r="EN782"/>
      <c r="EO782"/>
      <c r="EP782"/>
      <c r="EQ782"/>
      <c r="ER782"/>
      <c r="ES782"/>
    </row>
    <row r="783" spans="1:149">
      <c r="A783"/>
      <c r="B783"/>
      <c r="C783"/>
      <c r="D783"/>
      <c r="E783"/>
      <c r="F783"/>
      <c r="G783"/>
      <c r="H783"/>
      <c r="I783"/>
      <c r="J783"/>
      <c r="K783"/>
      <c r="L783"/>
      <c r="M783"/>
      <c r="N783"/>
      <c r="O783"/>
      <c r="P783"/>
      <c r="Q783"/>
      <c r="R783"/>
      <c r="S783"/>
      <c r="T783"/>
      <c r="U783"/>
      <c r="V783"/>
      <c r="W783"/>
      <c r="X783"/>
      <c r="Y783"/>
      <c r="Z783"/>
      <c r="AA783"/>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c r="BZ783"/>
      <c r="CA783"/>
      <c r="CB783"/>
      <c r="CC783"/>
      <c r="CD783"/>
      <c r="CE783"/>
      <c r="CF783"/>
      <c r="CG783"/>
      <c r="CH783"/>
      <c r="CI783"/>
      <c r="CJ783"/>
      <c r="CK783"/>
      <c r="CL783"/>
      <c r="CM783"/>
      <c r="CN783"/>
      <c r="CO783"/>
      <c r="CP783"/>
      <c r="CQ783"/>
      <c r="CR783"/>
      <c r="CS783"/>
      <c r="CT783"/>
      <c r="CU783"/>
      <c r="CV783"/>
      <c r="CW783"/>
      <c r="CX783"/>
      <c r="CY783"/>
      <c r="CZ783"/>
      <c r="DA783"/>
      <c r="DB783"/>
      <c r="DC783"/>
      <c r="DD783"/>
      <c r="DE783"/>
      <c r="DF783"/>
      <c r="DG783"/>
      <c r="DH783"/>
      <c r="DI783"/>
      <c r="DJ783"/>
      <c r="DK783"/>
      <c r="DL783"/>
      <c r="DM783"/>
      <c r="DN783"/>
      <c r="DO783"/>
      <c r="DP783"/>
      <c r="DQ783"/>
      <c r="DR783"/>
      <c r="DS783"/>
      <c r="DT783"/>
      <c r="DU783"/>
      <c r="DV783"/>
      <c r="DW783"/>
      <c r="DX783"/>
      <c r="DY783"/>
      <c r="DZ783"/>
      <c r="EA783"/>
      <c r="EB783"/>
      <c r="EC783"/>
      <c r="ED783"/>
      <c r="EE783"/>
      <c r="EF783"/>
      <c r="EG783"/>
      <c r="EH783"/>
      <c r="EI783"/>
      <c r="EJ783"/>
      <c r="EK783"/>
      <c r="EL783"/>
      <c r="EM783"/>
      <c r="EN783"/>
      <c r="EO783"/>
      <c r="EP783"/>
      <c r="EQ783"/>
      <c r="ER783"/>
      <c r="ES783"/>
    </row>
    <row r="784" spans="1:149">
      <c r="A784"/>
      <c r="B784"/>
      <c r="C784"/>
      <c r="D784"/>
      <c r="E784"/>
      <c r="F784"/>
      <c r="G784"/>
      <c r="H784"/>
      <c r="I784"/>
      <c r="J784"/>
      <c r="K784"/>
      <c r="L784"/>
      <c r="M784"/>
      <c r="N784"/>
      <c r="O784"/>
      <c r="P784"/>
      <c r="Q784"/>
      <c r="R784"/>
      <c r="S784"/>
      <c r="T784"/>
      <c r="U784"/>
      <c r="V784"/>
      <c r="W784"/>
      <c r="X784"/>
      <c r="Y784"/>
      <c r="Z784"/>
      <c r="AA784"/>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c r="BZ784"/>
      <c r="CA784"/>
      <c r="CB784"/>
      <c r="CC784"/>
      <c r="CD784"/>
      <c r="CE784"/>
      <c r="CF784"/>
      <c r="CG784"/>
      <c r="CH784"/>
      <c r="CI784"/>
      <c r="CJ784"/>
      <c r="CK784"/>
      <c r="CL784"/>
      <c r="CM784"/>
      <c r="CN784"/>
      <c r="CO784"/>
      <c r="CP784"/>
      <c r="CQ784"/>
      <c r="CR784"/>
      <c r="CS784"/>
      <c r="CT784"/>
      <c r="CU784"/>
      <c r="CV784"/>
      <c r="CW784"/>
      <c r="CX784"/>
      <c r="CY784"/>
      <c r="CZ784"/>
      <c r="DA784"/>
      <c r="DB784"/>
      <c r="DC784"/>
      <c r="DD784"/>
      <c r="DE784"/>
      <c r="DF784"/>
      <c r="DG784"/>
      <c r="DH784"/>
      <c r="DI784"/>
      <c r="DJ784"/>
      <c r="DK784"/>
      <c r="DL784"/>
      <c r="DM784"/>
      <c r="DN784"/>
      <c r="DO784"/>
      <c r="DP784"/>
      <c r="DQ784"/>
      <c r="DR784"/>
      <c r="DS784"/>
      <c r="DT784"/>
      <c r="DU784"/>
      <c r="DV784"/>
      <c r="DW784"/>
      <c r="DX784"/>
      <c r="DY784"/>
      <c r="DZ784"/>
      <c r="EA784"/>
      <c r="EB784"/>
      <c r="EC784"/>
      <c r="ED784"/>
      <c r="EE784"/>
      <c r="EF784"/>
      <c r="EG784"/>
      <c r="EH784"/>
      <c r="EI784"/>
      <c r="EJ784"/>
      <c r="EK784"/>
      <c r="EL784"/>
      <c r="EM784"/>
      <c r="EN784"/>
      <c r="EO784"/>
      <c r="EP784"/>
      <c r="EQ784"/>
      <c r="ER784"/>
      <c r="ES784"/>
    </row>
    <row r="785" spans="1:149">
      <c r="A785"/>
      <c r="B785"/>
      <c r="C785"/>
      <c r="D785"/>
      <c r="E785"/>
      <c r="F785"/>
      <c r="G785"/>
      <c r="H785"/>
      <c r="I785"/>
      <c r="J785"/>
      <c r="K785"/>
      <c r="L785"/>
      <c r="M785"/>
      <c r="N785"/>
      <c r="O785"/>
      <c r="P785"/>
      <c r="Q785"/>
      <c r="R785"/>
      <c r="S785"/>
      <c r="T785"/>
      <c r="U785"/>
      <c r="V785"/>
      <c r="W785"/>
      <c r="X785"/>
      <c r="Y785"/>
      <c r="Z785"/>
      <c r="AA785"/>
      <c r="AB785"/>
      <c r="AC785"/>
      <c r="AD785"/>
      <c r="AE785"/>
      <c r="AF785"/>
      <c r="AG785"/>
      <c r="AH785"/>
      <c r="AI785"/>
      <c r="AJ785"/>
      <c r="AK785"/>
      <c r="AL785"/>
      <c r="AM785"/>
      <c r="AN785"/>
      <c r="AO785"/>
      <c r="AP785"/>
      <c r="AQ785"/>
      <c r="AR785"/>
      <c r="AS785"/>
      <c r="AT785"/>
      <c r="AU785"/>
      <c r="AV785"/>
      <c r="AW785"/>
      <c r="AX785"/>
      <c r="AY785"/>
      <c r="AZ785"/>
      <c r="BA785"/>
      <c r="BB785"/>
      <c r="BC785"/>
      <c r="BD785"/>
      <c r="BE785"/>
      <c r="BF785"/>
      <c r="BG785"/>
      <c r="BH785"/>
      <c r="BI785"/>
      <c r="BJ785"/>
      <c r="BK785"/>
      <c r="BL785"/>
      <c r="BM785"/>
      <c r="BN785"/>
      <c r="BO785"/>
      <c r="BP785"/>
      <c r="BQ785"/>
      <c r="BR785"/>
      <c r="BS785"/>
      <c r="BT785"/>
      <c r="BU785"/>
      <c r="BV785"/>
      <c r="BW785"/>
      <c r="BX785"/>
      <c r="BY785"/>
      <c r="BZ785"/>
      <c r="CA785"/>
      <c r="CB785"/>
      <c r="CC785"/>
      <c r="CD785"/>
      <c r="CE785"/>
      <c r="CF785"/>
      <c r="CG785"/>
      <c r="CH785"/>
      <c r="CI785"/>
      <c r="CJ785"/>
      <c r="CK785"/>
      <c r="CL785"/>
      <c r="CM785"/>
      <c r="CN785"/>
      <c r="CO785"/>
      <c r="CP785"/>
      <c r="CQ785"/>
      <c r="CR785"/>
      <c r="CS785"/>
      <c r="CT785"/>
      <c r="CU785"/>
      <c r="CV785"/>
      <c r="CW785"/>
      <c r="CX785"/>
      <c r="CY785"/>
      <c r="CZ785"/>
      <c r="DA785"/>
      <c r="DB785"/>
      <c r="DC785"/>
      <c r="DD785"/>
      <c r="DE785"/>
      <c r="DF785"/>
      <c r="DG785"/>
      <c r="DH785"/>
      <c r="DI785"/>
      <c r="DJ785"/>
      <c r="DK785"/>
      <c r="DL785"/>
      <c r="DM785"/>
      <c r="DN785"/>
      <c r="DO785"/>
      <c r="DP785"/>
      <c r="DQ785"/>
      <c r="DR785"/>
      <c r="DS785"/>
      <c r="DT785"/>
      <c r="DU785"/>
      <c r="DV785"/>
      <c r="DW785"/>
      <c r="DX785"/>
      <c r="DY785"/>
      <c r="DZ785"/>
      <c r="EA785"/>
      <c r="EB785"/>
      <c r="EC785"/>
      <c r="ED785"/>
      <c r="EE785"/>
      <c r="EF785"/>
      <c r="EG785"/>
      <c r="EH785"/>
      <c r="EI785"/>
      <c r="EJ785"/>
      <c r="EK785"/>
      <c r="EL785"/>
      <c r="EM785"/>
      <c r="EN785"/>
      <c r="EO785"/>
      <c r="EP785"/>
      <c r="EQ785"/>
      <c r="ER785"/>
      <c r="ES785"/>
    </row>
    <row r="786" spans="1:149">
      <c r="A786"/>
      <c r="B786"/>
      <c r="C786"/>
      <c r="D786"/>
      <c r="E786"/>
      <c r="F786"/>
      <c r="G786"/>
      <c r="H786"/>
      <c r="I786"/>
      <c r="J786"/>
      <c r="K786"/>
      <c r="L786"/>
      <c r="M786"/>
      <c r="N786"/>
      <c r="O786"/>
      <c r="P786"/>
      <c r="Q786"/>
      <c r="R786"/>
      <c r="S786"/>
      <c r="T786"/>
      <c r="U786"/>
      <c r="V786"/>
      <c r="W786"/>
      <c r="X786"/>
      <c r="Y786"/>
      <c r="Z786"/>
      <c r="AA786"/>
      <c r="AB786"/>
      <c r="AC786"/>
      <c r="AD786"/>
      <c r="AE786"/>
      <c r="AF786"/>
      <c r="AG786"/>
      <c r="AH786"/>
      <c r="AI786"/>
      <c r="AJ786"/>
      <c r="AK786"/>
      <c r="AL786"/>
      <c r="AM786"/>
      <c r="AN786"/>
      <c r="AO786"/>
      <c r="AP786"/>
      <c r="AQ786"/>
      <c r="AR786"/>
      <c r="AS786"/>
      <c r="AT786"/>
      <c r="AU786"/>
      <c r="AV786"/>
      <c r="AW786"/>
      <c r="AX786"/>
      <c r="AY786"/>
      <c r="AZ786"/>
      <c r="BA786"/>
      <c r="BB786"/>
      <c r="BC786"/>
      <c r="BD786"/>
      <c r="BE786"/>
      <c r="BF786"/>
      <c r="BG786"/>
      <c r="BH786"/>
      <c r="BI786"/>
      <c r="BJ786"/>
      <c r="BK786"/>
      <c r="BL786"/>
      <c r="BM786"/>
      <c r="BN786"/>
      <c r="BO786"/>
      <c r="BP786"/>
      <c r="BQ786"/>
      <c r="BR786"/>
      <c r="BS786"/>
      <c r="BT786"/>
      <c r="BU786"/>
      <c r="BV786"/>
      <c r="BW786"/>
      <c r="BX786"/>
      <c r="BY786"/>
      <c r="BZ786"/>
      <c r="CA786"/>
      <c r="CB786"/>
      <c r="CC786"/>
      <c r="CD786"/>
      <c r="CE786"/>
      <c r="CF786"/>
      <c r="CG786"/>
      <c r="CH786"/>
      <c r="CI786"/>
      <c r="CJ786"/>
      <c r="CK786"/>
      <c r="CL786"/>
      <c r="CM786"/>
      <c r="CN786"/>
      <c r="CO786"/>
      <c r="CP786"/>
      <c r="CQ786"/>
      <c r="CR786"/>
      <c r="CS786"/>
      <c r="CT786"/>
      <c r="CU786"/>
      <c r="CV786"/>
      <c r="CW786"/>
      <c r="CX786"/>
      <c r="CY786"/>
      <c r="CZ786"/>
      <c r="DA786"/>
      <c r="DB786"/>
      <c r="DC786"/>
      <c r="DD786"/>
      <c r="DE786"/>
      <c r="DF786"/>
      <c r="DG786"/>
      <c r="DH786"/>
      <c r="DI786"/>
      <c r="DJ786"/>
      <c r="DK786"/>
      <c r="DL786"/>
      <c r="DM786"/>
      <c r="DN786"/>
      <c r="DO786"/>
      <c r="DP786"/>
      <c r="DQ786"/>
      <c r="DR786"/>
      <c r="DS786"/>
      <c r="DT786"/>
      <c r="DU786"/>
      <c r="DV786"/>
      <c r="DW786"/>
      <c r="DX786"/>
      <c r="DY786"/>
      <c r="DZ786"/>
      <c r="EA786"/>
      <c r="EB786"/>
      <c r="EC786"/>
      <c r="ED786"/>
      <c r="EE786"/>
      <c r="EF786"/>
      <c r="EG786"/>
      <c r="EH786"/>
      <c r="EI786"/>
      <c r="EJ786"/>
      <c r="EK786"/>
      <c r="EL786"/>
      <c r="EM786"/>
      <c r="EN786"/>
      <c r="EO786"/>
      <c r="EP786"/>
      <c r="EQ786"/>
      <c r="ER786"/>
      <c r="ES786"/>
    </row>
    <row r="787" spans="1:149">
      <c r="A787"/>
      <c r="B787"/>
      <c r="C787"/>
      <c r="D787"/>
      <c r="E787"/>
      <c r="F787"/>
      <c r="G787"/>
      <c r="H787"/>
      <c r="I787"/>
      <c r="J787"/>
      <c r="K787"/>
      <c r="L787"/>
      <c r="M787"/>
      <c r="N787"/>
      <c r="O787"/>
      <c r="P787"/>
      <c r="Q787"/>
      <c r="R787"/>
      <c r="S787"/>
      <c r="T787"/>
      <c r="U787"/>
      <c r="V787"/>
      <c r="W787"/>
      <c r="X787"/>
      <c r="Y787"/>
      <c r="Z787"/>
      <c r="AA787"/>
      <c r="AB787"/>
      <c r="AC787"/>
      <c r="AD787"/>
      <c r="AE787"/>
      <c r="AF787"/>
      <c r="AG787"/>
      <c r="AH787"/>
      <c r="AI787"/>
      <c r="AJ787"/>
      <c r="AK787"/>
      <c r="AL787"/>
      <c r="AM787"/>
      <c r="AN787"/>
      <c r="AO787"/>
      <c r="AP787"/>
      <c r="AQ787"/>
      <c r="AR787"/>
      <c r="AS787"/>
      <c r="AT787"/>
      <c r="AU787"/>
      <c r="AV787"/>
      <c r="AW787"/>
      <c r="AX787"/>
      <c r="AY787"/>
      <c r="AZ787"/>
      <c r="BA787"/>
      <c r="BB787"/>
      <c r="BC787"/>
      <c r="BD787"/>
      <c r="BE787"/>
      <c r="BF787"/>
      <c r="BG787"/>
      <c r="BH787"/>
      <c r="BI787"/>
      <c r="BJ787"/>
      <c r="BK787"/>
      <c r="BL787"/>
      <c r="BM787"/>
      <c r="BN787"/>
      <c r="BO787"/>
      <c r="BP787"/>
      <c r="BQ787"/>
      <c r="BR787"/>
      <c r="BS787"/>
      <c r="BT787"/>
      <c r="BU787"/>
      <c r="BV787"/>
      <c r="BW787"/>
      <c r="BX787"/>
      <c r="BY787"/>
      <c r="BZ787"/>
      <c r="CA787"/>
      <c r="CB787"/>
      <c r="CC787"/>
      <c r="CD787"/>
      <c r="CE787"/>
      <c r="CF787"/>
      <c r="CG787"/>
      <c r="CH787"/>
      <c r="CI787"/>
      <c r="CJ787"/>
      <c r="CK787"/>
      <c r="CL787"/>
      <c r="CM787"/>
      <c r="CN787"/>
      <c r="CO787"/>
      <c r="CP787"/>
      <c r="CQ787"/>
      <c r="CR787"/>
      <c r="CS787"/>
      <c r="CT787"/>
      <c r="CU787"/>
      <c r="CV787"/>
      <c r="CW787"/>
      <c r="CX787"/>
      <c r="CY787"/>
      <c r="CZ787"/>
      <c r="DA787"/>
      <c r="DB787"/>
      <c r="DC787"/>
      <c r="DD787"/>
      <c r="DE787"/>
      <c r="DF787"/>
      <c r="DG787"/>
      <c r="DH787"/>
      <c r="DI787"/>
      <c r="DJ787"/>
      <c r="DK787"/>
      <c r="DL787"/>
      <c r="DM787"/>
      <c r="DN787"/>
      <c r="DO787"/>
      <c r="DP787"/>
      <c r="DQ787"/>
      <c r="DR787"/>
      <c r="DS787"/>
      <c r="DT787"/>
      <c r="DU787"/>
      <c r="DV787"/>
      <c r="DW787"/>
      <c r="DX787"/>
      <c r="DY787"/>
      <c r="DZ787"/>
      <c r="EA787"/>
      <c r="EB787"/>
      <c r="EC787"/>
      <c r="ED787"/>
      <c r="EE787"/>
      <c r="EF787"/>
      <c r="EG787"/>
      <c r="EH787"/>
      <c r="EI787"/>
      <c r="EJ787"/>
      <c r="EK787"/>
      <c r="EL787"/>
      <c r="EM787"/>
      <c r="EN787"/>
      <c r="EO787"/>
      <c r="EP787"/>
      <c r="EQ787"/>
      <c r="ER787"/>
      <c r="ES787"/>
    </row>
    <row r="788" spans="1:149">
      <c r="A788"/>
      <c r="B788"/>
      <c r="C788"/>
      <c r="D788"/>
      <c r="E788"/>
      <c r="F788"/>
      <c r="G788"/>
      <c r="H788"/>
      <c r="I788"/>
      <c r="J788"/>
      <c r="K788"/>
      <c r="L788"/>
      <c r="M788"/>
      <c r="N788"/>
      <c r="O788"/>
      <c r="P788"/>
      <c r="Q788"/>
      <c r="R788"/>
      <c r="S788"/>
      <c r="T788"/>
      <c r="U788"/>
      <c r="V788"/>
      <c r="W788"/>
      <c r="X788"/>
      <c r="Y788"/>
      <c r="Z788"/>
      <c r="AA788"/>
      <c r="AB788"/>
      <c r="AC788"/>
      <c r="AD788"/>
      <c r="AE788"/>
      <c r="AF788"/>
      <c r="AG788"/>
      <c r="AH788"/>
      <c r="AI788"/>
      <c r="AJ788"/>
      <c r="AK788"/>
      <c r="AL788"/>
      <c r="AM788"/>
      <c r="AN788"/>
      <c r="AO788"/>
      <c r="AP788"/>
      <c r="AQ788"/>
      <c r="AR788"/>
      <c r="AS788"/>
      <c r="AT788"/>
      <c r="AU788"/>
      <c r="AV788"/>
      <c r="AW788"/>
      <c r="AX788"/>
      <c r="AY788"/>
      <c r="AZ788"/>
      <c r="BA788"/>
      <c r="BB788"/>
      <c r="BC788"/>
      <c r="BD788"/>
      <c r="BE788"/>
      <c r="BF788"/>
      <c r="BG788"/>
      <c r="BH788"/>
      <c r="BI788"/>
      <c r="BJ788"/>
      <c r="BK788"/>
      <c r="BL788"/>
      <c r="BM788"/>
      <c r="BN788"/>
      <c r="BO788"/>
      <c r="BP788"/>
      <c r="BQ788"/>
      <c r="BR788"/>
      <c r="BS788"/>
      <c r="BT788"/>
      <c r="BU788"/>
      <c r="BV788"/>
      <c r="BW788"/>
      <c r="BX788"/>
      <c r="BY788"/>
      <c r="BZ788"/>
      <c r="CA788"/>
      <c r="CB788"/>
      <c r="CC788"/>
      <c r="CD788"/>
      <c r="CE788"/>
      <c r="CF788"/>
      <c r="CG788"/>
      <c r="CH788"/>
      <c r="CI788"/>
      <c r="CJ788"/>
      <c r="CK788"/>
      <c r="CL788"/>
      <c r="CM788"/>
      <c r="CN788"/>
      <c r="CO788"/>
      <c r="CP788"/>
      <c r="CQ788"/>
      <c r="CR788"/>
      <c r="CS788"/>
      <c r="CT788"/>
      <c r="CU788"/>
      <c r="CV788"/>
      <c r="CW788"/>
      <c r="CX788"/>
      <c r="CY788"/>
      <c r="CZ788"/>
      <c r="DA788"/>
      <c r="DB788"/>
      <c r="DC788"/>
      <c r="DD788"/>
      <c r="DE788"/>
      <c r="DF788"/>
      <c r="DG788"/>
      <c r="DH788"/>
      <c r="DI788"/>
      <c r="DJ788"/>
      <c r="DK788"/>
      <c r="DL788"/>
      <c r="DM788"/>
      <c r="DN788"/>
      <c r="DO788"/>
      <c r="DP788"/>
      <c r="DQ788"/>
      <c r="DR788"/>
      <c r="DS788"/>
      <c r="DT788"/>
      <c r="DU788"/>
      <c r="DV788"/>
      <c r="DW788"/>
      <c r="DX788"/>
      <c r="DY788"/>
      <c r="DZ788"/>
      <c r="EA788"/>
      <c r="EB788"/>
      <c r="EC788"/>
      <c r="ED788"/>
      <c r="EE788"/>
      <c r="EF788"/>
      <c r="EG788"/>
      <c r="EH788"/>
      <c r="EI788"/>
      <c r="EJ788"/>
      <c r="EK788"/>
      <c r="EL788"/>
      <c r="EM788"/>
      <c r="EN788"/>
      <c r="EO788"/>
      <c r="EP788"/>
      <c r="EQ788"/>
      <c r="ER788"/>
      <c r="ES788"/>
    </row>
    <row r="789" spans="1:149">
      <c r="A789"/>
      <c r="B789"/>
      <c r="C789"/>
      <c r="D789"/>
      <c r="E789"/>
      <c r="F789"/>
      <c r="G789"/>
      <c r="H789"/>
      <c r="I789"/>
      <c r="J789"/>
      <c r="K789"/>
      <c r="L789"/>
      <c r="M789"/>
      <c r="N789"/>
      <c r="O789"/>
      <c r="P789"/>
      <c r="Q789"/>
      <c r="R789"/>
      <c r="S789"/>
      <c r="T789"/>
      <c r="U789"/>
      <c r="V789"/>
      <c r="W789"/>
      <c r="X789"/>
      <c r="Y789"/>
      <c r="Z789"/>
      <c r="AA789"/>
      <c r="AB789"/>
      <c r="AC789"/>
      <c r="AD789"/>
      <c r="AE789"/>
      <c r="AF789"/>
      <c r="AG789"/>
      <c r="AH789"/>
      <c r="AI789"/>
      <c r="AJ789"/>
      <c r="AK789"/>
      <c r="AL789"/>
      <c r="AM789"/>
      <c r="AN789"/>
      <c r="AO789"/>
      <c r="AP789"/>
      <c r="AQ789"/>
      <c r="AR789"/>
      <c r="AS789"/>
      <c r="AT789"/>
      <c r="AU789"/>
      <c r="AV789"/>
      <c r="AW789"/>
      <c r="AX789"/>
      <c r="AY789"/>
      <c r="AZ789"/>
      <c r="BA789"/>
      <c r="BB789"/>
      <c r="BC789"/>
      <c r="BD789"/>
      <c r="BE789"/>
      <c r="BF789"/>
      <c r="BG789"/>
      <c r="BH789"/>
      <c r="BI789"/>
      <c r="BJ789"/>
      <c r="BK789"/>
      <c r="BL789"/>
      <c r="BM789"/>
      <c r="BN789"/>
      <c r="BO789"/>
      <c r="BP789"/>
      <c r="BQ789"/>
      <c r="BR789"/>
      <c r="BS789"/>
      <c r="BT789"/>
      <c r="BU789"/>
      <c r="BV789"/>
      <c r="BW789"/>
      <c r="BX789"/>
      <c r="BY789"/>
      <c r="BZ789"/>
      <c r="CA789"/>
      <c r="CB789"/>
      <c r="CC789"/>
      <c r="CD789"/>
      <c r="CE789"/>
      <c r="CF789"/>
      <c r="CG789"/>
      <c r="CH789"/>
      <c r="CI789"/>
      <c r="CJ789"/>
      <c r="CK789"/>
      <c r="CL789"/>
      <c r="CM789"/>
      <c r="CN789"/>
      <c r="CO789"/>
      <c r="CP789"/>
      <c r="CQ789"/>
      <c r="CR789"/>
      <c r="CS789"/>
      <c r="CT789"/>
      <c r="CU789"/>
      <c r="CV789"/>
      <c r="CW789"/>
      <c r="CX789"/>
      <c r="CY789"/>
      <c r="CZ789"/>
      <c r="DA789"/>
      <c r="DB789"/>
      <c r="DC789"/>
      <c r="DD789"/>
      <c r="DE789"/>
      <c r="DF789"/>
      <c r="DG789"/>
      <c r="DH789"/>
      <c r="DI789"/>
      <c r="DJ789"/>
      <c r="DK789"/>
      <c r="DL789"/>
      <c r="DM789"/>
      <c r="DN789"/>
      <c r="DO789"/>
      <c r="DP789"/>
      <c r="DQ789"/>
      <c r="DR789"/>
      <c r="DS789"/>
      <c r="DT789"/>
      <c r="DU789"/>
      <c r="DV789"/>
      <c r="DW789"/>
      <c r="DX789"/>
      <c r="DY789"/>
      <c r="DZ789"/>
      <c r="EA789"/>
      <c r="EB789"/>
      <c r="EC789"/>
      <c r="ED789"/>
      <c r="EE789"/>
      <c r="EF789"/>
      <c r="EG789"/>
      <c r="EH789"/>
      <c r="EI789"/>
      <c r="EJ789"/>
      <c r="EK789"/>
      <c r="EL789"/>
      <c r="EM789"/>
      <c r="EN789"/>
      <c r="EO789"/>
      <c r="EP789"/>
      <c r="EQ789"/>
      <c r="ER789"/>
      <c r="ES789"/>
    </row>
    <row r="790" spans="1:149">
      <c r="A790"/>
      <c r="B790"/>
      <c r="C790"/>
      <c r="D790"/>
      <c r="E790"/>
      <c r="F790"/>
      <c r="G790"/>
      <c r="H790"/>
      <c r="I790"/>
      <c r="J790"/>
      <c r="K790"/>
      <c r="L790"/>
      <c r="M790"/>
      <c r="N790"/>
      <c r="O790"/>
      <c r="P790"/>
      <c r="Q790"/>
      <c r="R790"/>
      <c r="S790"/>
      <c r="T790"/>
      <c r="U790"/>
      <c r="V790"/>
      <c r="W790"/>
      <c r="X790"/>
      <c r="Y790"/>
      <c r="Z790"/>
      <c r="AA790"/>
      <c r="AB790"/>
      <c r="AC790"/>
      <c r="AD790"/>
      <c r="AE790"/>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c r="BZ790"/>
      <c r="CA790"/>
      <c r="CB790"/>
      <c r="CC790"/>
      <c r="CD790"/>
      <c r="CE790"/>
      <c r="CF790"/>
      <c r="CG790"/>
      <c r="CH790"/>
      <c r="CI790"/>
      <c r="CJ790"/>
      <c r="CK790"/>
      <c r="CL790"/>
      <c r="CM790"/>
      <c r="CN790"/>
      <c r="CO790"/>
      <c r="CP790"/>
      <c r="CQ790"/>
      <c r="CR790"/>
      <c r="CS790"/>
      <c r="CT790"/>
      <c r="CU790"/>
      <c r="CV790"/>
      <c r="CW790"/>
      <c r="CX790"/>
      <c r="CY790"/>
      <c r="CZ790"/>
      <c r="DA790"/>
      <c r="DB790"/>
      <c r="DC790"/>
      <c r="DD790"/>
      <c r="DE790"/>
      <c r="DF790"/>
      <c r="DG790"/>
      <c r="DH790"/>
      <c r="DI790"/>
      <c r="DJ790"/>
      <c r="DK790"/>
      <c r="DL790"/>
      <c r="DM790"/>
      <c r="DN790"/>
      <c r="DO790"/>
      <c r="DP790"/>
      <c r="DQ790"/>
      <c r="DR790"/>
      <c r="DS790"/>
      <c r="DT790"/>
      <c r="DU790"/>
      <c r="DV790"/>
      <c r="DW790"/>
      <c r="DX790"/>
      <c r="DY790"/>
      <c r="DZ790"/>
      <c r="EA790"/>
      <c r="EB790"/>
      <c r="EC790"/>
      <c r="ED790"/>
      <c r="EE790"/>
      <c r="EF790"/>
      <c r="EG790"/>
      <c r="EH790"/>
      <c r="EI790"/>
      <c r="EJ790"/>
      <c r="EK790"/>
      <c r="EL790"/>
      <c r="EM790"/>
      <c r="EN790"/>
      <c r="EO790"/>
      <c r="EP790"/>
      <c r="EQ790"/>
      <c r="ER790"/>
      <c r="ES790"/>
    </row>
    <row r="791" spans="1:149">
      <c r="A791"/>
      <c r="B791"/>
      <c r="C791"/>
      <c r="D791"/>
      <c r="E791"/>
      <c r="F791"/>
      <c r="G791"/>
      <c r="H791"/>
      <c r="I791"/>
      <c r="J791"/>
      <c r="K791"/>
      <c r="L791"/>
      <c r="M791"/>
      <c r="N791"/>
      <c r="O791"/>
      <c r="P791"/>
      <c r="Q791"/>
      <c r="R791"/>
      <c r="S791"/>
      <c r="T791"/>
      <c r="U791"/>
      <c r="V791"/>
      <c r="W791"/>
      <c r="X791"/>
      <c r="Y791"/>
      <c r="Z791"/>
      <c r="AA791"/>
      <c r="AB791"/>
      <c r="AC791"/>
      <c r="AD791"/>
      <c r="AE791"/>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c r="BZ791"/>
      <c r="CA791"/>
      <c r="CB791"/>
      <c r="CC791"/>
      <c r="CD791"/>
      <c r="CE791"/>
      <c r="CF791"/>
      <c r="CG791"/>
      <c r="CH791"/>
      <c r="CI791"/>
      <c r="CJ791"/>
      <c r="CK791"/>
      <c r="CL791"/>
      <c r="CM791"/>
      <c r="CN791"/>
      <c r="CO791"/>
      <c r="CP791"/>
      <c r="CQ791"/>
      <c r="CR791"/>
      <c r="CS791"/>
      <c r="CT791"/>
      <c r="CU791"/>
      <c r="CV791"/>
      <c r="CW791"/>
      <c r="CX791"/>
      <c r="CY791"/>
      <c r="CZ791"/>
      <c r="DA791"/>
      <c r="DB791"/>
      <c r="DC791"/>
      <c r="DD791"/>
      <c r="DE791"/>
      <c r="DF791"/>
      <c r="DG791"/>
      <c r="DH791"/>
      <c r="DI791"/>
      <c r="DJ791"/>
      <c r="DK791"/>
      <c r="DL791"/>
      <c r="DM791"/>
      <c r="DN791"/>
      <c r="DO791"/>
      <c r="DP791"/>
      <c r="DQ791"/>
      <c r="DR791"/>
      <c r="DS791"/>
      <c r="DT791"/>
      <c r="DU791"/>
      <c r="DV791"/>
      <c r="DW791"/>
      <c r="DX791"/>
      <c r="DY791"/>
      <c r="DZ791"/>
      <c r="EA791"/>
      <c r="EB791"/>
      <c r="EC791"/>
      <c r="ED791"/>
      <c r="EE791"/>
      <c r="EF791"/>
      <c r="EG791"/>
      <c r="EH791"/>
      <c r="EI791"/>
      <c r="EJ791"/>
      <c r="EK791"/>
      <c r="EL791"/>
      <c r="EM791"/>
      <c r="EN791"/>
      <c r="EO791"/>
      <c r="EP791"/>
      <c r="EQ791"/>
      <c r="ER791"/>
      <c r="ES791"/>
    </row>
    <row r="792" spans="1:149">
      <c r="A792"/>
      <c r="B792"/>
      <c r="C792"/>
      <c r="D792"/>
      <c r="E792"/>
      <c r="F792"/>
      <c r="G792"/>
      <c r="H792"/>
      <c r="I792"/>
      <c r="J792"/>
      <c r="K792"/>
      <c r="L792"/>
      <c r="M792"/>
      <c r="N792"/>
      <c r="O792"/>
      <c r="P792"/>
      <c r="Q792"/>
      <c r="R792"/>
      <c r="S792"/>
      <c r="T792"/>
      <c r="U792"/>
      <c r="V792"/>
      <c r="W792"/>
      <c r="X792"/>
      <c r="Y792"/>
      <c r="Z792"/>
      <c r="AA792"/>
      <c r="AB792"/>
      <c r="AC792"/>
      <c r="AD792"/>
      <c r="AE792"/>
      <c r="AF792"/>
      <c r="AG792"/>
      <c r="AH792"/>
      <c r="AI792"/>
      <c r="AJ792"/>
      <c r="AK792"/>
      <c r="AL792"/>
      <c r="AM792"/>
      <c r="AN792"/>
      <c r="AO792"/>
      <c r="AP792"/>
      <c r="AQ792"/>
      <c r="AR792"/>
      <c r="AS792"/>
      <c r="AT792"/>
      <c r="AU792"/>
      <c r="AV792"/>
      <c r="AW792"/>
      <c r="AX792"/>
      <c r="AY792"/>
      <c r="AZ792"/>
      <c r="BA792"/>
      <c r="BB792"/>
      <c r="BC792"/>
      <c r="BD792"/>
      <c r="BE792"/>
      <c r="BF792"/>
      <c r="BG792"/>
      <c r="BH792"/>
      <c r="BI792"/>
      <c r="BJ792"/>
      <c r="BK792"/>
      <c r="BL792"/>
      <c r="BM792"/>
      <c r="BN792"/>
      <c r="BO792"/>
      <c r="BP792"/>
      <c r="BQ792"/>
      <c r="BR792"/>
      <c r="BS792"/>
      <c r="BT792"/>
      <c r="BU792"/>
      <c r="BV792"/>
      <c r="BW792"/>
      <c r="BX792"/>
      <c r="BY792"/>
      <c r="BZ792"/>
      <c r="CA792"/>
      <c r="CB792"/>
      <c r="CC792"/>
      <c r="CD792"/>
      <c r="CE792"/>
      <c r="CF792"/>
      <c r="CG792"/>
      <c r="CH792"/>
      <c r="CI792"/>
      <c r="CJ792"/>
      <c r="CK792"/>
      <c r="CL792"/>
      <c r="CM792"/>
      <c r="CN792"/>
      <c r="CO792"/>
      <c r="CP792"/>
      <c r="CQ792"/>
      <c r="CR792"/>
      <c r="CS792"/>
      <c r="CT792"/>
      <c r="CU792"/>
      <c r="CV792"/>
      <c r="CW792"/>
      <c r="CX792"/>
      <c r="CY792"/>
      <c r="CZ792"/>
      <c r="DA792"/>
      <c r="DB792"/>
      <c r="DC792"/>
      <c r="DD792"/>
      <c r="DE792"/>
      <c r="DF792"/>
      <c r="DG792"/>
      <c r="DH792"/>
      <c r="DI792"/>
      <c r="DJ792"/>
      <c r="DK792"/>
      <c r="DL792"/>
      <c r="DM792"/>
      <c r="DN792"/>
      <c r="DO792"/>
      <c r="DP792"/>
      <c r="DQ792"/>
      <c r="DR792"/>
      <c r="DS792"/>
      <c r="DT792"/>
      <c r="DU792"/>
      <c r="DV792"/>
      <c r="DW792"/>
      <c r="DX792"/>
      <c r="DY792"/>
      <c r="DZ792"/>
      <c r="EA792"/>
      <c r="EB792"/>
      <c r="EC792"/>
      <c r="ED792"/>
      <c r="EE792"/>
      <c r="EF792"/>
      <c r="EG792"/>
      <c r="EH792"/>
      <c r="EI792"/>
      <c r="EJ792"/>
      <c r="EK792"/>
      <c r="EL792"/>
      <c r="EM792"/>
      <c r="EN792"/>
      <c r="EO792"/>
      <c r="EP792"/>
      <c r="EQ792"/>
      <c r="ER792"/>
      <c r="ES792"/>
    </row>
    <row r="793" spans="1:149">
      <c r="A793"/>
      <c r="B793"/>
      <c r="C793"/>
      <c r="D793"/>
      <c r="E793"/>
      <c r="F793"/>
      <c r="G793"/>
      <c r="H793"/>
      <c r="I793"/>
      <c r="J793"/>
      <c r="K793"/>
      <c r="L793"/>
      <c r="M793"/>
      <c r="N793"/>
      <c r="O793"/>
      <c r="P793"/>
      <c r="Q793"/>
      <c r="R793"/>
      <c r="S793"/>
      <c r="T793"/>
      <c r="U793"/>
      <c r="V793"/>
      <c r="W793"/>
      <c r="X793"/>
      <c r="Y793"/>
      <c r="Z793"/>
      <c r="AA793"/>
      <c r="AB793"/>
      <c r="AC793"/>
      <c r="AD793"/>
      <c r="AE793"/>
      <c r="AF793"/>
      <c r="AG793"/>
      <c r="AH793"/>
      <c r="AI793"/>
      <c r="AJ793"/>
      <c r="AK793"/>
      <c r="AL793"/>
      <c r="AM793"/>
      <c r="AN793"/>
      <c r="AO793"/>
      <c r="AP793"/>
      <c r="AQ793"/>
      <c r="AR793"/>
      <c r="AS793"/>
      <c r="AT793"/>
      <c r="AU793"/>
      <c r="AV793"/>
      <c r="AW793"/>
      <c r="AX793"/>
      <c r="AY793"/>
      <c r="AZ793"/>
      <c r="BA793"/>
      <c r="BB793"/>
      <c r="BC793"/>
      <c r="BD793"/>
      <c r="BE793"/>
      <c r="BF793"/>
      <c r="BG793"/>
      <c r="BH793"/>
      <c r="BI793"/>
      <c r="BJ793"/>
      <c r="BK793"/>
      <c r="BL793"/>
      <c r="BM793"/>
      <c r="BN793"/>
      <c r="BO793"/>
      <c r="BP793"/>
      <c r="BQ793"/>
      <c r="BR793"/>
      <c r="BS793"/>
      <c r="BT793"/>
      <c r="BU793"/>
      <c r="BV793"/>
      <c r="BW793"/>
      <c r="BX793"/>
      <c r="BY793"/>
      <c r="BZ793"/>
      <c r="CA793"/>
      <c r="CB793"/>
      <c r="CC793"/>
      <c r="CD793"/>
      <c r="CE793"/>
      <c r="CF793"/>
      <c r="CG793"/>
      <c r="CH793"/>
      <c r="CI793"/>
      <c r="CJ793"/>
      <c r="CK793"/>
      <c r="CL793"/>
      <c r="CM793"/>
      <c r="CN793"/>
      <c r="CO793"/>
      <c r="CP793"/>
      <c r="CQ793"/>
      <c r="CR793"/>
      <c r="CS793"/>
      <c r="CT793"/>
      <c r="CU793"/>
      <c r="CV793"/>
      <c r="CW793"/>
      <c r="CX793"/>
      <c r="CY793"/>
      <c r="CZ793"/>
      <c r="DA793"/>
      <c r="DB793"/>
      <c r="DC793"/>
      <c r="DD793"/>
      <c r="DE793"/>
      <c r="DF793"/>
      <c r="DG793"/>
      <c r="DH793"/>
      <c r="DI793"/>
      <c r="DJ793"/>
      <c r="DK793"/>
      <c r="DL793"/>
      <c r="DM793"/>
      <c r="DN793"/>
      <c r="DO793"/>
      <c r="DP793"/>
      <c r="DQ793"/>
      <c r="DR793"/>
      <c r="DS793"/>
      <c r="DT793"/>
      <c r="DU793"/>
      <c r="DV793"/>
      <c r="DW793"/>
      <c r="DX793"/>
      <c r="DY793"/>
      <c r="DZ793"/>
      <c r="EA793"/>
      <c r="EB793"/>
      <c r="EC793"/>
      <c r="ED793"/>
      <c r="EE793"/>
      <c r="EF793"/>
      <c r="EG793"/>
      <c r="EH793"/>
      <c r="EI793"/>
      <c r="EJ793"/>
      <c r="EK793"/>
      <c r="EL793"/>
      <c r="EM793"/>
      <c r="EN793"/>
      <c r="EO793"/>
      <c r="EP793"/>
      <c r="EQ793"/>
      <c r="ER793"/>
      <c r="ES793"/>
    </row>
    <row r="794" spans="1:149">
      <c r="A794"/>
      <c r="B794"/>
      <c r="C794"/>
      <c r="D794"/>
      <c r="E794"/>
      <c r="F794"/>
      <c r="G794"/>
      <c r="H794"/>
      <c r="I794"/>
      <c r="J794"/>
      <c r="K794"/>
      <c r="L794"/>
      <c r="M794"/>
      <c r="N794"/>
      <c r="O794"/>
      <c r="P794"/>
      <c r="Q794"/>
      <c r="R794"/>
      <c r="S794"/>
      <c r="T794"/>
      <c r="U794"/>
      <c r="V794"/>
      <c r="W794"/>
      <c r="X794"/>
      <c r="Y794"/>
      <c r="Z794"/>
      <c r="AA794"/>
      <c r="AB794"/>
      <c r="AC794"/>
      <c r="AD794"/>
      <c r="AE794"/>
      <c r="AF794"/>
      <c r="AG794"/>
      <c r="AH794"/>
      <c r="AI794"/>
      <c r="AJ794"/>
      <c r="AK794"/>
      <c r="AL794"/>
      <c r="AM794"/>
      <c r="AN794"/>
      <c r="AO794"/>
      <c r="AP794"/>
      <c r="AQ794"/>
      <c r="AR794"/>
      <c r="AS794"/>
      <c r="AT794"/>
      <c r="AU794"/>
      <c r="AV794"/>
      <c r="AW794"/>
      <c r="AX794"/>
      <c r="AY794"/>
      <c r="AZ794"/>
      <c r="BA794"/>
      <c r="BB794"/>
      <c r="BC794"/>
      <c r="BD794"/>
      <c r="BE794"/>
      <c r="BF794"/>
      <c r="BG794"/>
      <c r="BH794"/>
      <c r="BI794"/>
      <c r="BJ794"/>
      <c r="BK794"/>
      <c r="BL794"/>
      <c r="BM794"/>
      <c r="BN794"/>
      <c r="BO794"/>
      <c r="BP794"/>
      <c r="BQ794"/>
      <c r="BR794"/>
      <c r="BS794"/>
      <c r="BT794"/>
      <c r="BU794"/>
      <c r="BV794"/>
      <c r="BW794"/>
      <c r="BX794"/>
      <c r="BY794"/>
      <c r="BZ794"/>
      <c r="CA794"/>
      <c r="CB794"/>
      <c r="CC794"/>
      <c r="CD794"/>
      <c r="CE794"/>
      <c r="CF794"/>
      <c r="CG794"/>
      <c r="CH794"/>
      <c r="CI794"/>
      <c r="CJ794"/>
      <c r="CK794"/>
      <c r="CL794"/>
      <c r="CM794"/>
      <c r="CN794"/>
      <c r="CO794"/>
      <c r="CP794"/>
      <c r="CQ794"/>
      <c r="CR794"/>
      <c r="CS794"/>
      <c r="CT794"/>
      <c r="CU794"/>
      <c r="CV794"/>
      <c r="CW794"/>
      <c r="CX794"/>
      <c r="CY794"/>
      <c r="CZ794"/>
      <c r="DA794"/>
      <c r="DB794"/>
      <c r="DC794"/>
      <c r="DD794"/>
      <c r="DE794"/>
      <c r="DF794"/>
      <c r="DG794"/>
      <c r="DH794"/>
      <c r="DI794"/>
      <c r="DJ794"/>
      <c r="DK794"/>
      <c r="DL794"/>
      <c r="DM794"/>
      <c r="DN794"/>
      <c r="DO794"/>
      <c r="DP794"/>
      <c r="DQ794"/>
      <c r="DR794"/>
      <c r="DS794"/>
      <c r="DT794"/>
      <c r="DU794"/>
      <c r="DV794"/>
      <c r="DW794"/>
      <c r="DX794"/>
      <c r="DY794"/>
      <c r="DZ794"/>
      <c r="EA794"/>
      <c r="EB794"/>
      <c r="EC794"/>
      <c r="ED794"/>
      <c r="EE794"/>
      <c r="EF794"/>
      <c r="EG794"/>
      <c r="EH794"/>
      <c r="EI794"/>
      <c r="EJ794"/>
      <c r="EK794"/>
      <c r="EL794"/>
      <c r="EM794"/>
      <c r="EN794"/>
      <c r="EO794"/>
      <c r="EP794"/>
      <c r="EQ794"/>
      <c r="ER794"/>
      <c r="ES794"/>
    </row>
    <row r="795" spans="1:149">
      <c r="A795"/>
      <c r="B795"/>
      <c r="C795"/>
      <c r="D795"/>
      <c r="E795"/>
      <c r="F795"/>
      <c r="G795"/>
      <c r="H795"/>
      <c r="I795"/>
      <c r="J795"/>
      <c r="K795"/>
      <c r="L795"/>
      <c r="M795"/>
      <c r="N795"/>
      <c r="O795"/>
      <c r="P795"/>
      <c r="Q795"/>
      <c r="R795"/>
      <c r="S795"/>
      <c r="T795"/>
      <c r="U795"/>
      <c r="V795"/>
      <c r="W795"/>
      <c r="X795"/>
      <c r="Y795"/>
      <c r="Z795"/>
      <c r="AA795"/>
      <c r="AB795"/>
      <c r="AC795"/>
      <c r="AD795"/>
      <c r="AE795"/>
      <c r="AF795"/>
      <c r="AG795"/>
      <c r="AH795"/>
      <c r="AI795"/>
      <c r="AJ795"/>
      <c r="AK795"/>
      <c r="AL795"/>
      <c r="AM795"/>
      <c r="AN795"/>
      <c r="AO795"/>
      <c r="AP795"/>
      <c r="AQ795"/>
      <c r="AR795"/>
      <c r="AS795"/>
      <c r="AT795"/>
      <c r="AU795"/>
      <c r="AV795"/>
      <c r="AW795"/>
      <c r="AX795"/>
      <c r="AY795"/>
      <c r="AZ795"/>
      <c r="BA795"/>
      <c r="BB795"/>
      <c r="BC795"/>
      <c r="BD795"/>
      <c r="BE795"/>
      <c r="BF795"/>
      <c r="BG795"/>
      <c r="BH795"/>
      <c r="BI795"/>
      <c r="BJ795"/>
      <c r="BK795"/>
      <c r="BL795"/>
      <c r="BM795"/>
      <c r="BN795"/>
      <c r="BO795"/>
      <c r="BP795"/>
      <c r="BQ795"/>
      <c r="BR795"/>
      <c r="BS795"/>
      <c r="BT795"/>
      <c r="BU795"/>
      <c r="BV795"/>
      <c r="BW795"/>
      <c r="BX795"/>
      <c r="BY795"/>
      <c r="BZ795"/>
      <c r="CA795"/>
      <c r="CB795"/>
      <c r="CC795"/>
      <c r="CD795"/>
      <c r="CE795"/>
      <c r="CF795"/>
      <c r="CG795"/>
      <c r="CH795"/>
      <c r="CI795"/>
      <c r="CJ795"/>
      <c r="CK795"/>
      <c r="CL795"/>
      <c r="CM795"/>
      <c r="CN795"/>
      <c r="CO795"/>
      <c r="CP795"/>
      <c r="CQ795"/>
      <c r="CR795"/>
      <c r="CS795"/>
      <c r="CT795"/>
      <c r="CU795"/>
      <c r="CV795"/>
      <c r="CW795"/>
      <c r="CX795"/>
      <c r="CY795"/>
      <c r="CZ795"/>
      <c r="DA795"/>
      <c r="DB795"/>
      <c r="DC795"/>
      <c r="DD795"/>
      <c r="DE795"/>
      <c r="DF795"/>
      <c r="DG795"/>
      <c r="DH795"/>
      <c r="DI795"/>
      <c r="DJ795"/>
      <c r="DK795"/>
      <c r="DL795"/>
      <c r="DM795"/>
      <c r="DN795"/>
      <c r="DO795"/>
      <c r="DP795"/>
      <c r="DQ795"/>
      <c r="DR795"/>
      <c r="DS795"/>
      <c r="DT795"/>
      <c r="DU795"/>
      <c r="DV795"/>
      <c r="DW795"/>
      <c r="DX795"/>
      <c r="DY795"/>
      <c r="DZ795"/>
      <c r="EA795"/>
      <c r="EB795"/>
      <c r="EC795"/>
      <c r="ED795"/>
      <c r="EE795"/>
      <c r="EF795"/>
      <c r="EG795"/>
      <c r="EH795"/>
      <c r="EI795"/>
      <c r="EJ795"/>
      <c r="EK795"/>
      <c r="EL795"/>
      <c r="EM795"/>
      <c r="EN795"/>
      <c r="EO795"/>
      <c r="EP795"/>
      <c r="EQ795"/>
      <c r="ER795"/>
      <c r="ES795"/>
    </row>
    <row r="796" spans="1:149">
      <c r="A796"/>
      <c r="B796"/>
      <c r="C796"/>
      <c r="D796"/>
      <c r="E796"/>
      <c r="F796"/>
      <c r="G796"/>
      <c r="H796"/>
      <c r="I796"/>
      <c r="J796"/>
      <c r="K796"/>
      <c r="L796"/>
      <c r="M796"/>
      <c r="N796"/>
      <c r="O796"/>
      <c r="P796"/>
      <c r="Q796"/>
      <c r="R796"/>
      <c r="S796"/>
      <c r="T796"/>
      <c r="U796"/>
      <c r="V796"/>
      <c r="W796"/>
      <c r="X796"/>
      <c r="Y796"/>
      <c r="Z796"/>
      <c r="AA796"/>
      <c r="AB796"/>
      <c r="AC796"/>
      <c r="AD796"/>
      <c r="AE796"/>
      <c r="AF796"/>
      <c r="AG796"/>
      <c r="AH796"/>
      <c r="AI796"/>
      <c r="AJ796"/>
      <c r="AK796"/>
      <c r="AL796"/>
      <c r="AM796"/>
      <c r="AN796"/>
      <c r="AO796"/>
      <c r="AP796"/>
      <c r="AQ796"/>
      <c r="AR796"/>
      <c r="AS796"/>
      <c r="AT796"/>
      <c r="AU796"/>
      <c r="AV796"/>
      <c r="AW796"/>
      <c r="AX796"/>
      <c r="AY796"/>
      <c r="AZ796"/>
      <c r="BA796"/>
      <c r="BB796"/>
      <c r="BC796"/>
      <c r="BD796"/>
      <c r="BE796"/>
      <c r="BF796"/>
      <c r="BG796"/>
      <c r="BH796"/>
      <c r="BI796"/>
      <c r="BJ796"/>
      <c r="BK796"/>
      <c r="BL796"/>
      <c r="BM796"/>
      <c r="BN796"/>
      <c r="BO796"/>
      <c r="BP796"/>
      <c r="BQ796"/>
      <c r="BR796"/>
      <c r="BS796"/>
      <c r="BT796"/>
      <c r="BU796"/>
      <c r="BV796"/>
      <c r="BW796"/>
      <c r="BX796"/>
      <c r="BY796"/>
      <c r="BZ796"/>
      <c r="CA796"/>
      <c r="CB796"/>
      <c r="CC796"/>
      <c r="CD796"/>
      <c r="CE796"/>
      <c r="CF796"/>
      <c r="CG796"/>
      <c r="CH796"/>
      <c r="CI796"/>
      <c r="CJ796"/>
      <c r="CK796"/>
      <c r="CL796"/>
      <c r="CM796"/>
      <c r="CN796"/>
      <c r="CO796"/>
      <c r="CP796"/>
      <c r="CQ796"/>
      <c r="CR796"/>
      <c r="CS796"/>
      <c r="CT796"/>
      <c r="CU796"/>
      <c r="CV796"/>
      <c r="CW796"/>
      <c r="CX796"/>
      <c r="CY796"/>
      <c r="CZ796"/>
      <c r="DA796"/>
      <c r="DB796"/>
      <c r="DC796"/>
      <c r="DD796"/>
      <c r="DE796"/>
      <c r="DF796"/>
      <c r="DG796"/>
      <c r="DH796"/>
      <c r="DI796"/>
      <c r="DJ796"/>
      <c r="DK796"/>
      <c r="DL796"/>
      <c r="DM796"/>
      <c r="DN796"/>
      <c r="DO796"/>
      <c r="DP796"/>
      <c r="DQ796"/>
      <c r="DR796"/>
      <c r="DS796"/>
      <c r="DT796"/>
      <c r="DU796"/>
      <c r="DV796"/>
      <c r="DW796"/>
      <c r="DX796"/>
      <c r="DY796"/>
      <c r="DZ796"/>
      <c r="EA796"/>
      <c r="EB796"/>
      <c r="EC796"/>
      <c r="ED796"/>
      <c r="EE796"/>
      <c r="EF796"/>
      <c r="EG796"/>
      <c r="EH796"/>
      <c r="EI796"/>
      <c r="EJ796"/>
      <c r="EK796"/>
      <c r="EL796"/>
      <c r="EM796"/>
      <c r="EN796"/>
      <c r="EO796"/>
      <c r="EP796"/>
      <c r="EQ796"/>
      <c r="ER796"/>
      <c r="ES796"/>
    </row>
    <row r="797" spans="1:149">
      <c r="A797"/>
      <c r="B797"/>
      <c r="C797"/>
      <c r="D797"/>
      <c r="E797"/>
      <c r="F797"/>
      <c r="G797"/>
      <c r="H797"/>
      <c r="I797"/>
      <c r="J797"/>
      <c r="K797"/>
      <c r="L797"/>
      <c r="M797"/>
      <c r="N797"/>
      <c r="O797"/>
      <c r="P797"/>
      <c r="Q797"/>
      <c r="R797"/>
      <c r="S797"/>
      <c r="T797"/>
      <c r="U797"/>
      <c r="V797"/>
      <c r="W797"/>
      <c r="X797"/>
      <c r="Y797"/>
      <c r="Z797"/>
      <c r="AA797"/>
      <c r="AB797"/>
      <c r="AC797"/>
      <c r="AD797"/>
      <c r="AE797"/>
      <c r="AF797"/>
      <c r="AG797"/>
      <c r="AH797"/>
      <c r="AI797"/>
      <c r="AJ797"/>
      <c r="AK797"/>
      <c r="AL797"/>
      <c r="AM797"/>
      <c r="AN797"/>
      <c r="AO797"/>
      <c r="AP797"/>
      <c r="AQ797"/>
      <c r="AR797"/>
      <c r="AS797"/>
      <c r="AT797"/>
      <c r="AU797"/>
      <c r="AV797"/>
      <c r="AW797"/>
      <c r="AX797"/>
      <c r="AY797"/>
      <c r="AZ797"/>
      <c r="BA797"/>
      <c r="BB797"/>
      <c r="BC797"/>
      <c r="BD797"/>
      <c r="BE797"/>
      <c r="BF797"/>
      <c r="BG797"/>
      <c r="BH797"/>
      <c r="BI797"/>
      <c r="BJ797"/>
      <c r="BK797"/>
      <c r="BL797"/>
      <c r="BM797"/>
      <c r="BN797"/>
      <c r="BO797"/>
      <c r="BP797"/>
      <c r="BQ797"/>
      <c r="BR797"/>
      <c r="BS797"/>
      <c r="BT797"/>
      <c r="BU797"/>
      <c r="BV797"/>
      <c r="BW797"/>
      <c r="BX797"/>
      <c r="BY797"/>
      <c r="BZ797"/>
      <c r="CA797"/>
      <c r="CB797"/>
      <c r="CC797"/>
      <c r="CD797"/>
      <c r="CE797"/>
      <c r="CF797"/>
      <c r="CG797"/>
      <c r="CH797"/>
      <c r="CI797"/>
      <c r="CJ797"/>
      <c r="CK797"/>
      <c r="CL797"/>
      <c r="CM797"/>
      <c r="CN797"/>
      <c r="CO797"/>
      <c r="CP797"/>
      <c r="CQ797"/>
      <c r="CR797"/>
      <c r="CS797"/>
      <c r="CT797"/>
      <c r="CU797"/>
      <c r="CV797"/>
      <c r="CW797"/>
      <c r="CX797"/>
      <c r="CY797"/>
      <c r="CZ797"/>
      <c r="DA797"/>
      <c r="DB797"/>
      <c r="DC797"/>
      <c r="DD797"/>
      <c r="DE797"/>
      <c r="DF797"/>
      <c r="DG797"/>
      <c r="DH797"/>
      <c r="DI797"/>
      <c r="DJ797"/>
      <c r="DK797"/>
      <c r="DL797"/>
      <c r="DM797"/>
      <c r="DN797"/>
      <c r="DO797"/>
      <c r="DP797"/>
      <c r="DQ797"/>
      <c r="DR797"/>
      <c r="DS797"/>
      <c r="DT797"/>
      <c r="DU797"/>
      <c r="DV797"/>
      <c r="DW797"/>
      <c r="DX797"/>
      <c r="DY797"/>
      <c r="DZ797"/>
      <c r="EA797"/>
      <c r="EB797"/>
      <c r="EC797"/>
      <c r="ED797"/>
      <c r="EE797"/>
      <c r="EF797"/>
      <c r="EG797"/>
      <c r="EH797"/>
      <c r="EI797"/>
      <c r="EJ797"/>
      <c r="EK797"/>
      <c r="EL797"/>
      <c r="EM797"/>
      <c r="EN797"/>
      <c r="EO797"/>
      <c r="EP797"/>
      <c r="EQ797"/>
      <c r="ER797"/>
      <c r="ES797"/>
    </row>
    <row r="798" spans="1:149">
      <c r="A798"/>
      <c r="B798"/>
      <c r="C798"/>
      <c r="D798"/>
      <c r="E798"/>
      <c r="F798"/>
      <c r="G798"/>
      <c r="H798"/>
      <c r="I798"/>
      <c r="J798"/>
      <c r="K798"/>
      <c r="L798"/>
      <c r="M798"/>
      <c r="N798"/>
      <c r="O798"/>
      <c r="P798"/>
      <c r="Q798"/>
      <c r="R798"/>
      <c r="S798"/>
      <c r="T798"/>
      <c r="U798"/>
      <c r="V798"/>
      <c r="W798"/>
      <c r="X798"/>
      <c r="Y798"/>
      <c r="Z798"/>
      <c r="AA798"/>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c r="BZ798"/>
      <c r="CA798"/>
      <c r="CB798"/>
      <c r="CC798"/>
      <c r="CD798"/>
      <c r="CE798"/>
      <c r="CF798"/>
      <c r="CG798"/>
      <c r="CH798"/>
      <c r="CI798"/>
      <c r="CJ798"/>
      <c r="CK798"/>
      <c r="CL798"/>
      <c r="CM798"/>
      <c r="CN798"/>
      <c r="CO798"/>
      <c r="CP798"/>
      <c r="CQ798"/>
      <c r="CR798"/>
      <c r="CS798"/>
      <c r="CT798"/>
      <c r="CU798"/>
      <c r="CV798"/>
      <c r="CW798"/>
      <c r="CX798"/>
      <c r="CY798"/>
      <c r="CZ798"/>
      <c r="DA798"/>
      <c r="DB798"/>
      <c r="DC798"/>
      <c r="DD798"/>
      <c r="DE798"/>
      <c r="DF798"/>
      <c r="DG798"/>
      <c r="DH798"/>
      <c r="DI798"/>
      <c r="DJ798"/>
      <c r="DK798"/>
      <c r="DL798"/>
      <c r="DM798"/>
      <c r="DN798"/>
      <c r="DO798"/>
      <c r="DP798"/>
      <c r="DQ798"/>
      <c r="DR798"/>
      <c r="DS798"/>
      <c r="DT798"/>
      <c r="DU798"/>
      <c r="DV798"/>
      <c r="DW798"/>
      <c r="DX798"/>
      <c r="DY798"/>
      <c r="DZ798"/>
      <c r="EA798"/>
      <c r="EB798"/>
      <c r="EC798"/>
      <c r="ED798"/>
      <c r="EE798"/>
      <c r="EF798"/>
      <c r="EG798"/>
      <c r="EH798"/>
      <c r="EI798"/>
      <c r="EJ798"/>
      <c r="EK798"/>
      <c r="EL798"/>
      <c r="EM798"/>
      <c r="EN798"/>
      <c r="EO798"/>
      <c r="EP798"/>
      <c r="EQ798"/>
      <c r="ER798"/>
      <c r="ES798"/>
    </row>
    <row r="799" spans="1:149">
      <c r="A799"/>
      <c r="B799"/>
      <c r="C799"/>
      <c r="D799"/>
      <c r="E799"/>
      <c r="F799"/>
      <c r="G799"/>
      <c r="H799"/>
      <c r="I799"/>
      <c r="J799"/>
      <c r="K799"/>
      <c r="L799"/>
      <c r="M799"/>
      <c r="N799"/>
      <c r="O799"/>
      <c r="P799"/>
      <c r="Q799"/>
      <c r="R799"/>
      <c r="S799"/>
      <c r="T799"/>
      <c r="U799"/>
      <c r="V799"/>
      <c r="W799"/>
      <c r="X799"/>
      <c r="Y799"/>
      <c r="Z799"/>
      <c r="AA799"/>
      <c r="AB799"/>
      <c r="AC799"/>
      <c r="AD799"/>
      <c r="AE799"/>
      <c r="AF799"/>
      <c r="AG799"/>
      <c r="AH799"/>
      <c r="AI799"/>
      <c r="AJ799"/>
      <c r="AK799"/>
      <c r="AL799"/>
      <c r="AM799"/>
      <c r="AN799"/>
      <c r="AO799"/>
      <c r="AP799"/>
      <c r="AQ799"/>
      <c r="AR799"/>
      <c r="AS799"/>
      <c r="AT799"/>
      <c r="AU799"/>
      <c r="AV799"/>
      <c r="AW799"/>
      <c r="AX799"/>
      <c r="AY799"/>
      <c r="AZ799"/>
      <c r="BA799"/>
      <c r="BB799"/>
      <c r="BC799"/>
      <c r="BD799"/>
      <c r="BE799"/>
      <c r="BF799"/>
      <c r="BG799"/>
      <c r="BH799"/>
      <c r="BI799"/>
      <c r="BJ799"/>
      <c r="BK799"/>
      <c r="BL799"/>
      <c r="BM799"/>
      <c r="BN799"/>
      <c r="BO799"/>
      <c r="BP799"/>
      <c r="BQ799"/>
      <c r="BR799"/>
      <c r="BS799"/>
      <c r="BT799"/>
      <c r="BU799"/>
      <c r="BV799"/>
      <c r="BW799"/>
      <c r="BX799"/>
      <c r="BY799"/>
      <c r="BZ799"/>
      <c r="CA799"/>
      <c r="CB799"/>
      <c r="CC799"/>
      <c r="CD799"/>
      <c r="CE799"/>
      <c r="CF799"/>
      <c r="CG799"/>
      <c r="CH799"/>
      <c r="CI799"/>
      <c r="CJ799"/>
      <c r="CK799"/>
      <c r="CL799"/>
      <c r="CM799"/>
      <c r="CN799"/>
      <c r="CO799"/>
      <c r="CP799"/>
      <c r="CQ799"/>
      <c r="CR799"/>
      <c r="CS799"/>
      <c r="CT799"/>
      <c r="CU799"/>
      <c r="CV799"/>
      <c r="CW799"/>
      <c r="CX799"/>
      <c r="CY799"/>
      <c r="CZ799"/>
      <c r="DA799"/>
      <c r="DB799"/>
      <c r="DC799"/>
      <c r="DD799"/>
      <c r="DE799"/>
      <c r="DF799"/>
      <c r="DG799"/>
      <c r="DH799"/>
      <c r="DI799"/>
      <c r="DJ799"/>
      <c r="DK799"/>
      <c r="DL799"/>
      <c r="DM799"/>
      <c r="DN799"/>
      <c r="DO799"/>
      <c r="DP799"/>
      <c r="DQ799"/>
      <c r="DR799"/>
      <c r="DS799"/>
      <c r="DT799"/>
      <c r="DU799"/>
      <c r="DV799"/>
      <c r="DW799"/>
      <c r="DX799"/>
      <c r="DY799"/>
      <c r="DZ799"/>
      <c r="EA799"/>
      <c r="EB799"/>
      <c r="EC799"/>
      <c r="ED799"/>
      <c r="EE799"/>
      <c r="EF799"/>
      <c r="EG799"/>
      <c r="EH799"/>
      <c r="EI799"/>
      <c r="EJ799"/>
      <c r="EK799"/>
      <c r="EL799"/>
      <c r="EM799"/>
      <c r="EN799"/>
      <c r="EO799"/>
      <c r="EP799"/>
      <c r="EQ799"/>
      <c r="ER799"/>
      <c r="ES799"/>
    </row>
    <row r="800" spans="1:149">
      <c r="A800"/>
      <c r="B800"/>
      <c r="C800"/>
      <c r="D800"/>
      <c r="E800"/>
      <c r="F800"/>
      <c r="G800"/>
      <c r="H800"/>
      <c r="I800"/>
      <c r="J800"/>
      <c r="K800"/>
      <c r="L800"/>
      <c r="M800"/>
      <c r="N800"/>
      <c r="O800"/>
      <c r="P800"/>
      <c r="Q800"/>
      <c r="R800"/>
      <c r="S800"/>
      <c r="T800"/>
      <c r="U800"/>
      <c r="V800"/>
      <c r="W800"/>
      <c r="X800"/>
      <c r="Y800"/>
      <c r="Z800"/>
      <c r="AA800"/>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c r="BZ800"/>
      <c r="CA800"/>
      <c r="CB800"/>
      <c r="CC800"/>
      <c r="CD800"/>
      <c r="CE800"/>
      <c r="CF800"/>
      <c r="CG800"/>
      <c r="CH800"/>
      <c r="CI800"/>
      <c r="CJ800"/>
      <c r="CK800"/>
      <c r="CL800"/>
      <c r="CM800"/>
      <c r="CN800"/>
      <c r="CO800"/>
      <c r="CP800"/>
      <c r="CQ800"/>
      <c r="CR800"/>
      <c r="CS800"/>
      <c r="CT800"/>
      <c r="CU800"/>
      <c r="CV800"/>
      <c r="CW800"/>
      <c r="CX800"/>
      <c r="CY800"/>
      <c r="CZ800"/>
      <c r="DA800"/>
      <c r="DB800"/>
      <c r="DC800"/>
      <c r="DD800"/>
      <c r="DE800"/>
      <c r="DF800"/>
      <c r="DG800"/>
      <c r="DH800"/>
      <c r="DI800"/>
      <c r="DJ800"/>
      <c r="DK800"/>
      <c r="DL800"/>
      <c r="DM800"/>
      <c r="DN800"/>
      <c r="DO800"/>
      <c r="DP800"/>
      <c r="DQ800"/>
      <c r="DR800"/>
      <c r="DS800"/>
      <c r="DT800"/>
      <c r="DU800"/>
      <c r="DV800"/>
      <c r="DW800"/>
      <c r="DX800"/>
      <c r="DY800"/>
      <c r="DZ800"/>
      <c r="EA800"/>
      <c r="EB800"/>
      <c r="EC800"/>
      <c r="ED800"/>
      <c r="EE800"/>
      <c r="EF800"/>
      <c r="EG800"/>
      <c r="EH800"/>
      <c r="EI800"/>
      <c r="EJ800"/>
      <c r="EK800"/>
      <c r="EL800"/>
      <c r="EM800"/>
      <c r="EN800"/>
      <c r="EO800"/>
      <c r="EP800"/>
      <c r="EQ800"/>
      <c r="ER800"/>
      <c r="ES800"/>
    </row>
    <row r="801" spans="1:149">
      <c r="A801"/>
      <c r="B801"/>
      <c r="C801"/>
      <c r="D801"/>
      <c r="E801"/>
      <c r="F801"/>
      <c r="G801"/>
      <c r="H801"/>
      <c r="I801"/>
      <c r="J801"/>
      <c r="K801"/>
      <c r="L801"/>
      <c r="M801"/>
      <c r="N801"/>
      <c r="O801"/>
      <c r="P801"/>
      <c r="Q801"/>
      <c r="R801"/>
      <c r="S801"/>
      <c r="T801"/>
      <c r="U801"/>
      <c r="V801"/>
      <c r="W801"/>
      <c r="X801"/>
      <c r="Y801"/>
      <c r="Z801"/>
      <c r="AA801"/>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c r="BZ801"/>
      <c r="CA801"/>
      <c r="CB801"/>
      <c r="CC801"/>
      <c r="CD801"/>
      <c r="CE801"/>
      <c r="CF801"/>
      <c r="CG801"/>
      <c r="CH801"/>
      <c r="CI801"/>
      <c r="CJ801"/>
      <c r="CK801"/>
      <c r="CL801"/>
      <c r="CM801"/>
      <c r="CN801"/>
      <c r="CO801"/>
      <c r="CP801"/>
      <c r="CQ801"/>
      <c r="CR801"/>
      <c r="CS801"/>
      <c r="CT801"/>
      <c r="CU801"/>
      <c r="CV801"/>
      <c r="CW801"/>
      <c r="CX801"/>
      <c r="CY801"/>
      <c r="CZ801"/>
      <c r="DA801"/>
      <c r="DB801"/>
      <c r="DC801"/>
      <c r="DD801"/>
      <c r="DE801"/>
      <c r="DF801"/>
      <c r="DG801"/>
      <c r="DH801"/>
      <c r="DI801"/>
      <c r="DJ801"/>
      <c r="DK801"/>
      <c r="DL801"/>
      <c r="DM801"/>
      <c r="DN801"/>
      <c r="DO801"/>
      <c r="DP801"/>
      <c r="DQ801"/>
      <c r="DR801"/>
      <c r="DS801"/>
      <c r="DT801"/>
      <c r="DU801"/>
      <c r="DV801"/>
      <c r="DW801"/>
      <c r="DX801"/>
      <c r="DY801"/>
      <c r="DZ801"/>
      <c r="EA801"/>
      <c r="EB801"/>
      <c r="EC801"/>
      <c r="ED801"/>
      <c r="EE801"/>
      <c r="EF801"/>
      <c r="EG801"/>
      <c r="EH801"/>
      <c r="EI801"/>
      <c r="EJ801"/>
      <c r="EK801"/>
      <c r="EL801"/>
      <c r="EM801"/>
      <c r="EN801"/>
      <c r="EO801"/>
      <c r="EP801"/>
      <c r="EQ801"/>
      <c r="ER801"/>
      <c r="ES801"/>
    </row>
    <row r="802" spans="1:149">
      <c r="A802"/>
      <c r="B802"/>
      <c r="C802"/>
      <c r="D802"/>
      <c r="E802"/>
      <c r="F802"/>
      <c r="G802"/>
      <c r="H802"/>
      <c r="I802"/>
      <c r="J802"/>
      <c r="K802"/>
      <c r="L802"/>
      <c r="M802"/>
      <c r="N802"/>
      <c r="O802"/>
      <c r="P802"/>
      <c r="Q802"/>
      <c r="R802"/>
      <c r="S802"/>
      <c r="T802"/>
      <c r="U802"/>
      <c r="V802"/>
      <c r="W802"/>
      <c r="X802"/>
      <c r="Y802"/>
      <c r="Z802"/>
      <c r="AA802"/>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c r="BZ802"/>
      <c r="CA802"/>
      <c r="CB802"/>
      <c r="CC802"/>
      <c r="CD802"/>
      <c r="CE802"/>
      <c r="CF802"/>
      <c r="CG802"/>
      <c r="CH802"/>
      <c r="CI802"/>
      <c r="CJ802"/>
      <c r="CK802"/>
      <c r="CL802"/>
      <c r="CM802"/>
      <c r="CN802"/>
      <c r="CO802"/>
      <c r="CP802"/>
      <c r="CQ802"/>
      <c r="CR802"/>
      <c r="CS802"/>
      <c r="CT802"/>
      <c r="CU802"/>
      <c r="CV802"/>
      <c r="CW802"/>
      <c r="CX802"/>
      <c r="CY802"/>
      <c r="CZ802"/>
      <c r="DA802"/>
      <c r="DB802"/>
      <c r="DC802"/>
      <c r="DD802"/>
      <c r="DE802"/>
      <c r="DF802"/>
      <c r="DG802"/>
      <c r="DH802"/>
      <c r="DI802"/>
      <c r="DJ802"/>
      <c r="DK802"/>
      <c r="DL802"/>
      <c r="DM802"/>
      <c r="DN802"/>
      <c r="DO802"/>
      <c r="DP802"/>
      <c r="DQ802"/>
      <c r="DR802"/>
      <c r="DS802"/>
      <c r="DT802"/>
      <c r="DU802"/>
      <c r="DV802"/>
      <c r="DW802"/>
      <c r="DX802"/>
      <c r="DY802"/>
      <c r="DZ802"/>
      <c r="EA802"/>
      <c r="EB802"/>
      <c r="EC802"/>
      <c r="ED802"/>
      <c r="EE802"/>
      <c r="EF802"/>
      <c r="EG802"/>
      <c r="EH802"/>
      <c r="EI802"/>
      <c r="EJ802"/>
      <c r="EK802"/>
      <c r="EL802"/>
      <c r="EM802"/>
      <c r="EN802"/>
      <c r="EO802"/>
      <c r="EP802"/>
      <c r="EQ802"/>
      <c r="ER802"/>
      <c r="ES802"/>
    </row>
    <row r="803" spans="1:149">
      <c r="A803"/>
      <c r="B803"/>
      <c r="C803"/>
      <c r="D803"/>
      <c r="E803"/>
      <c r="F803"/>
      <c r="G803"/>
      <c r="H803"/>
      <c r="I803"/>
      <c r="J803"/>
      <c r="K803"/>
      <c r="L803"/>
      <c r="M803"/>
      <c r="N803"/>
      <c r="O803"/>
      <c r="P803"/>
      <c r="Q803"/>
      <c r="R803"/>
      <c r="S803"/>
      <c r="T803"/>
      <c r="U803"/>
      <c r="V803"/>
      <c r="W803"/>
      <c r="X803"/>
      <c r="Y803"/>
      <c r="Z803"/>
      <c r="AA803"/>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c r="BZ803"/>
      <c r="CA803"/>
      <c r="CB803"/>
      <c r="CC803"/>
      <c r="CD803"/>
      <c r="CE803"/>
      <c r="CF803"/>
      <c r="CG803"/>
      <c r="CH803"/>
      <c r="CI803"/>
      <c r="CJ803"/>
      <c r="CK803"/>
      <c r="CL803"/>
      <c r="CM803"/>
      <c r="CN803"/>
      <c r="CO803"/>
      <c r="CP803"/>
      <c r="CQ803"/>
      <c r="CR803"/>
      <c r="CS803"/>
      <c r="CT803"/>
      <c r="CU803"/>
      <c r="CV803"/>
      <c r="CW803"/>
      <c r="CX803"/>
      <c r="CY803"/>
      <c r="CZ803"/>
      <c r="DA803"/>
      <c r="DB803"/>
      <c r="DC803"/>
      <c r="DD803"/>
      <c r="DE803"/>
      <c r="DF803"/>
      <c r="DG803"/>
      <c r="DH803"/>
      <c r="DI803"/>
      <c r="DJ803"/>
      <c r="DK803"/>
      <c r="DL803"/>
      <c r="DM803"/>
      <c r="DN803"/>
      <c r="DO803"/>
      <c r="DP803"/>
      <c r="DQ803"/>
      <c r="DR803"/>
      <c r="DS803"/>
      <c r="DT803"/>
      <c r="DU803"/>
      <c r="DV803"/>
      <c r="DW803"/>
      <c r="DX803"/>
      <c r="DY803"/>
      <c r="DZ803"/>
      <c r="EA803"/>
      <c r="EB803"/>
      <c r="EC803"/>
      <c r="ED803"/>
      <c r="EE803"/>
      <c r="EF803"/>
      <c r="EG803"/>
      <c r="EH803"/>
      <c r="EI803"/>
      <c r="EJ803"/>
      <c r="EK803"/>
      <c r="EL803"/>
      <c r="EM803"/>
      <c r="EN803"/>
      <c r="EO803"/>
      <c r="EP803"/>
      <c r="EQ803"/>
      <c r="ER803"/>
      <c r="ES803"/>
    </row>
    <row r="804" spans="1:149">
      <c r="A804"/>
      <c r="B804"/>
      <c r="C804"/>
      <c r="D804"/>
      <c r="E804"/>
      <c r="F804"/>
      <c r="G804"/>
      <c r="H804"/>
      <c r="I804"/>
      <c r="J804"/>
      <c r="K804"/>
      <c r="L804"/>
      <c r="M804"/>
      <c r="N804"/>
      <c r="O804"/>
      <c r="P804"/>
      <c r="Q804"/>
      <c r="R804"/>
      <c r="S804"/>
      <c r="T804"/>
      <c r="U804"/>
      <c r="V804"/>
      <c r="W804"/>
      <c r="X804"/>
      <c r="Y804"/>
      <c r="Z804"/>
      <c r="AA804"/>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c r="BZ804"/>
      <c r="CA804"/>
      <c r="CB804"/>
      <c r="CC804"/>
      <c r="CD804"/>
      <c r="CE804"/>
      <c r="CF804"/>
      <c r="CG804"/>
      <c r="CH804"/>
      <c r="CI804"/>
      <c r="CJ804"/>
      <c r="CK804"/>
      <c r="CL804"/>
      <c r="CM804"/>
      <c r="CN804"/>
      <c r="CO804"/>
      <c r="CP804"/>
      <c r="CQ804"/>
      <c r="CR804"/>
      <c r="CS804"/>
      <c r="CT804"/>
      <c r="CU804"/>
      <c r="CV804"/>
      <c r="CW804"/>
      <c r="CX804"/>
      <c r="CY804"/>
      <c r="CZ804"/>
      <c r="DA804"/>
      <c r="DB804"/>
      <c r="DC804"/>
      <c r="DD804"/>
      <c r="DE804"/>
      <c r="DF804"/>
      <c r="DG804"/>
      <c r="DH804"/>
      <c r="DI804"/>
      <c r="DJ804"/>
      <c r="DK804"/>
      <c r="DL804"/>
      <c r="DM804"/>
      <c r="DN804"/>
      <c r="DO804"/>
      <c r="DP804"/>
      <c r="DQ804"/>
      <c r="DR804"/>
      <c r="DS804"/>
      <c r="DT804"/>
      <c r="DU804"/>
      <c r="DV804"/>
      <c r="DW804"/>
      <c r="DX804"/>
      <c r="DY804"/>
      <c r="DZ804"/>
      <c r="EA804"/>
      <c r="EB804"/>
      <c r="EC804"/>
      <c r="ED804"/>
      <c r="EE804"/>
      <c r="EF804"/>
      <c r="EG804"/>
      <c r="EH804"/>
      <c r="EI804"/>
      <c r="EJ804"/>
      <c r="EK804"/>
      <c r="EL804"/>
      <c r="EM804"/>
      <c r="EN804"/>
      <c r="EO804"/>
      <c r="EP804"/>
      <c r="EQ804"/>
      <c r="ER804"/>
      <c r="ES804"/>
    </row>
    <row r="805" spans="1:149">
      <c r="A805"/>
      <c r="B805"/>
      <c r="C805"/>
      <c r="D805"/>
      <c r="E805"/>
      <c r="F805"/>
      <c r="G805"/>
      <c r="H805"/>
      <c r="I805"/>
      <c r="J805"/>
      <c r="K805"/>
      <c r="L805"/>
      <c r="M805"/>
      <c r="N805"/>
      <c r="O805"/>
      <c r="P805"/>
      <c r="Q805"/>
      <c r="R805"/>
      <c r="S805"/>
      <c r="T805"/>
      <c r="U805"/>
      <c r="V805"/>
      <c r="W805"/>
      <c r="X805"/>
      <c r="Y805"/>
      <c r="Z805"/>
      <c r="AA80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c r="BZ805"/>
      <c r="CA805"/>
      <c r="CB805"/>
      <c r="CC805"/>
      <c r="CD805"/>
      <c r="CE805"/>
      <c r="CF805"/>
      <c r="CG805"/>
      <c r="CH805"/>
      <c r="CI805"/>
      <c r="CJ805"/>
      <c r="CK805"/>
      <c r="CL805"/>
      <c r="CM805"/>
      <c r="CN805"/>
      <c r="CO805"/>
      <c r="CP805"/>
      <c r="CQ805"/>
      <c r="CR805"/>
      <c r="CS805"/>
      <c r="CT805"/>
      <c r="CU805"/>
      <c r="CV805"/>
      <c r="CW805"/>
      <c r="CX805"/>
      <c r="CY805"/>
      <c r="CZ805"/>
      <c r="DA805"/>
      <c r="DB805"/>
      <c r="DC805"/>
      <c r="DD805"/>
      <c r="DE805"/>
      <c r="DF805"/>
      <c r="DG805"/>
      <c r="DH805"/>
      <c r="DI805"/>
      <c r="DJ805"/>
      <c r="DK805"/>
      <c r="DL805"/>
      <c r="DM805"/>
      <c r="DN805"/>
      <c r="DO805"/>
      <c r="DP805"/>
      <c r="DQ805"/>
      <c r="DR805"/>
      <c r="DS805"/>
      <c r="DT805"/>
      <c r="DU805"/>
      <c r="DV805"/>
      <c r="DW805"/>
      <c r="DX805"/>
      <c r="DY805"/>
      <c r="DZ805"/>
      <c r="EA805"/>
      <c r="EB805"/>
      <c r="EC805"/>
      <c r="ED805"/>
      <c r="EE805"/>
      <c r="EF805"/>
      <c r="EG805"/>
      <c r="EH805"/>
      <c r="EI805"/>
      <c r="EJ805"/>
      <c r="EK805"/>
      <c r="EL805"/>
      <c r="EM805"/>
      <c r="EN805"/>
      <c r="EO805"/>
      <c r="EP805"/>
      <c r="EQ805"/>
      <c r="ER805"/>
      <c r="ES805"/>
    </row>
    <row r="806" spans="1:149">
      <c r="A806"/>
      <c r="B806"/>
      <c r="C806"/>
      <c r="D806"/>
      <c r="E806"/>
      <c r="F806"/>
      <c r="G806"/>
      <c r="H806"/>
      <c r="I806"/>
      <c r="J806"/>
      <c r="K806"/>
      <c r="L806"/>
      <c r="M806"/>
      <c r="N806"/>
      <c r="O806"/>
      <c r="P806"/>
      <c r="Q806"/>
      <c r="R806"/>
      <c r="S806"/>
      <c r="T806"/>
      <c r="U806"/>
      <c r="V806"/>
      <c r="W806"/>
      <c r="X806"/>
      <c r="Y806"/>
      <c r="Z806"/>
      <c r="AA806"/>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c r="BZ806"/>
      <c r="CA806"/>
      <c r="CB806"/>
      <c r="CC806"/>
      <c r="CD806"/>
      <c r="CE806"/>
      <c r="CF806"/>
      <c r="CG806"/>
      <c r="CH806"/>
      <c r="CI806"/>
      <c r="CJ806"/>
      <c r="CK806"/>
      <c r="CL806"/>
      <c r="CM806"/>
      <c r="CN806"/>
      <c r="CO806"/>
      <c r="CP806"/>
      <c r="CQ806"/>
      <c r="CR806"/>
      <c r="CS806"/>
      <c r="CT806"/>
      <c r="CU806"/>
      <c r="CV806"/>
      <c r="CW806"/>
      <c r="CX806"/>
      <c r="CY806"/>
      <c r="CZ806"/>
      <c r="DA806"/>
      <c r="DB806"/>
      <c r="DC806"/>
      <c r="DD806"/>
      <c r="DE806"/>
      <c r="DF806"/>
      <c r="DG806"/>
      <c r="DH806"/>
      <c r="DI806"/>
      <c r="DJ806"/>
      <c r="DK806"/>
      <c r="DL806"/>
      <c r="DM806"/>
      <c r="DN806"/>
      <c r="DO806"/>
      <c r="DP806"/>
      <c r="DQ806"/>
      <c r="DR806"/>
      <c r="DS806"/>
      <c r="DT806"/>
      <c r="DU806"/>
      <c r="DV806"/>
      <c r="DW806"/>
      <c r="DX806"/>
      <c r="DY806"/>
      <c r="DZ806"/>
      <c r="EA806"/>
      <c r="EB806"/>
      <c r="EC806"/>
      <c r="ED806"/>
      <c r="EE806"/>
      <c r="EF806"/>
      <c r="EG806"/>
      <c r="EH806"/>
      <c r="EI806"/>
      <c r="EJ806"/>
      <c r="EK806"/>
      <c r="EL806"/>
      <c r="EM806"/>
      <c r="EN806"/>
      <c r="EO806"/>
      <c r="EP806"/>
      <c r="EQ806"/>
      <c r="ER806"/>
      <c r="ES806"/>
    </row>
    <row r="807" spans="1:149">
      <c r="A807"/>
      <c r="B807"/>
      <c r="C807"/>
      <c r="D807"/>
      <c r="E807"/>
      <c r="F807"/>
      <c r="G807"/>
      <c r="H807"/>
      <c r="I807"/>
      <c r="J807"/>
      <c r="K807"/>
      <c r="L807"/>
      <c r="M807"/>
      <c r="N807"/>
      <c r="O807"/>
      <c r="P807"/>
      <c r="Q807"/>
      <c r="R807"/>
      <c r="S807"/>
      <c r="T807"/>
      <c r="U807"/>
      <c r="V807"/>
      <c r="W807"/>
      <c r="X807"/>
      <c r="Y807"/>
      <c r="Z807"/>
      <c r="AA807"/>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c r="BZ807"/>
      <c r="CA807"/>
      <c r="CB807"/>
      <c r="CC807"/>
      <c r="CD807"/>
      <c r="CE807"/>
      <c r="CF807"/>
      <c r="CG807"/>
      <c r="CH807"/>
      <c r="CI807"/>
      <c r="CJ807"/>
      <c r="CK807"/>
      <c r="CL807"/>
      <c r="CM807"/>
      <c r="CN807"/>
      <c r="CO807"/>
      <c r="CP807"/>
      <c r="CQ807"/>
      <c r="CR807"/>
      <c r="CS807"/>
      <c r="CT807"/>
      <c r="CU807"/>
      <c r="CV807"/>
      <c r="CW807"/>
      <c r="CX807"/>
      <c r="CY807"/>
      <c r="CZ807"/>
      <c r="DA807"/>
      <c r="DB807"/>
      <c r="DC807"/>
      <c r="DD807"/>
      <c r="DE807"/>
      <c r="DF807"/>
      <c r="DG807"/>
      <c r="DH807"/>
      <c r="DI807"/>
      <c r="DJ807"/>
      <c r="DK807"/>
      <c r="DL807"/>
      <c r="DM807"/>
      <c r="DN807"/>
      <c r="DO807"/>
      <c r="DP807"/>
      <c r="DQ807"/>
      <c r="DR807"/>
      <c r="DS807"/>
      <c r="DT807"/>
      <c r="DU807"/>
      <c r="DV807"/>
      <c r="DW807"/>
      <c r="DX807"/>
      <c r="DY807"/>
      <c r="DZ807"/>
      <c r="EA807"/>
      <c r="EB807"/>
      <c r="EC807"/>
      <c r="ED807"/>
      <c r="EE807"/>
      <c r="EF807"/>
      <c r="EG807"/>
      <c r="EH807"/>
      <c r="EI807"/>
      <c r="EJ807"/>
      <c r="EK807"/>
      <c r="EL807"/>
      <c r="EM807"/>
      <c r="EN807"/>
      <c r="EO807"/>
      <c r="EP807"/>
      <c r="EQ807"/>
      <c r="ER807"/>
      <c r="ES807"/>
    </row>
    <row r="808" spans="1:149">
      <c r="A808"/>
      <c r="B808"/>
      <c r="C808"/>
      <c r="D808"/>
      <c r="E808"/>
      <c r="F808"/>
      <c r="G808"/>
      <c r="H808"/>
      <c r="I808"/>
      <c r="J808"/>
      <c r="K808"/>
      <c r="L808"/>
      <c r="M808"/>
      <c r="N808"/>
      <c r="O808"/>
      <c r="P808"/>
      <c r="Q808"/>
      <c r="R808"/>
      <c r="S808"/>
      <c r="T808"/>
      <c r="U808"/>
      <c r="V808"/>
      <c r="W808"/>
      <c r="X808"/>
      <c r="Y808"/>
      <c r="Z808"/>
      <c r="AA808"/>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c r="BZ808"/>
      <c r="CA808"/>
      <c r="CB808"/>
      <c r="CC808"/>
      <c r="CD808"/>
      <c r="CE808"/>
      <c r="CF808"/>
      <c r="CG808"/>
      <c r="CH808"/>
      <c r="CI808"/>
      <c r="CJ808"/>
      <c r="CK808"/>
      <c r="CL808"/>
      <c r="CM808"/>
      <c r="CN808"/>
      <c r="CO808"/>
      <c r="CP808"/>
      <c r="CQ808"/>
      <c r="CR808"/>
      <c r="CS808"/>
      <c r="CT808"/>
      <c r="CU808"/>
      <c r="CV808"/>
      <c r="CW808"/>
      <c r="CX808"/>
      <c r="CY808"/>
      <c r="CZ808"/>
      <c r="DA808"/>
      <c r="DB808"/>
      <c r="DC808"/>
      <c r="DD808"/>
      <c r="DE808"/>
      <c r="DF808"/>
      <c r="DG808"/>
      <c r="DH808"/>
      <c r="DI808"/>
      <c r="DJ808"/>
      <c r="DK808"/>
      <c r="DL808"/>
      <c r="DM808"/>
      <c r="DN808"/>
      <c r="DO808"/>
      <c r="DP808"/>
      <c r="DQ808"/>
      <c r="DR808"/>
      <c r="DS808"/>
      <c r="DT808"/>
      <c r="DU808"/>
      <c r="DV808"/>
      <c r="DW808"/>
      <c r="DX808"/>
      <c r="DY808"/>
      <c r="DZ808"/>
      <c r="EA808"/>
      <c r="EB808"/>
      <c r="EC808"/>
      <c r="ED808"/>
      <c r="EE808"/>
      <c r="EF808"/>
      <c r="EG808"/>
      <c r="EH808"/>
      <c r="EI808"/>
      <c r="EJ808"/>
      <c r="EK808"/>
      <c r="EL808"/>
      <c r="EM808"/>
      <c r="EN808"/>
      <c r="EO808"/>
      <c r="EP808"/>
      <c r="EQ808"/>
      <c r="ER808"/>
      <c r="ES808"/>
    </row>
    <row r="809" spans="1:149">
      <c r="A809"/>
      <c r="B809"/>
      <c r="C809"/>
      <c r="D809"/>
      <c r="E809"/>
      <c r="F809"/>
      <c r="G809"/>
      <c r="H809"/>
      <c r="I809"/>
      <c r="J809"/>
      <c r="K809"/>
      <c r="L809"/>
      <c r="M809"/>
      <c r="N809"/>
      <c r="O809"/>
      <c r="P809"/>
      <c r="Q809"/>
      <c r="R809"/>
      <c r="S809"/>
      <c r="T809"/>
      <c r="U809"/>
      <c r="V809"/>
      <c r="W809"/>
      <c r="X809"/>
      <c r="Y809"/>
      <c r="Z809"/>
      <c r="AA809"/>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c r="BZ809"/>
      <c r="CA809"/>
      <c r="CB809"/>
      <c r="CC809"/>
      <c r="CD809"/>
      <c r="CE809"/>
      <c r="CF809"/>
      <c r="CG809"/>
      <c r="CH809"/>
      <c r="CI809"/>
      <c r="CJ809"/>
      <c r="CK809"/>
      <c r="CL809"/>
      <c r="CM809"/>
      <c r="CN809"/>
      <c r="CO809"/>
      <c r="CP809"/>
      <c r="CQ809"/>
      <c r="CR809"/>
      <c r="CS809"/>
      <c r="CT809"/>
      <c r="CU809"/>
      <c r="CV809"/>
      <c r="CW809"/>
      <c r="CX809"/>
      <c r="CY809"/>
      <c r="CZ809"/>
      <c r="DA809"/>
      <c r="DB809"/>
      <c r="DC809"/>
      <c r="DD809"/>
      <c r="DE809"/>
      <c r="DF809"/>
      <c r="DG809"/>
      <c r="DH809"/>
      <c r="DI809"/>
      <c r="DJ809"/>
      <c r="DK809"/>
      <c r="DL809"/>
      <c r="DM809"/>
      <c r="DN809"/>
      <c r="DO809"/>
      <c r="DP809"/>
      <c r="DQ809"/>
      <c r="DR809"/>
      <c r="DS809"/>
      <c r="DT809"/>
      <c r="DU809"/>
      <c r="DV809"/>
      <c r="DW809"/>
      <c r="DX809"/>
      <c r="DY809"/>
      <c r="DZ809"/>
      <c r="EA809"/>
      <c r="EB809"/>
      <c r="EC809"/>
      <c r="ED809"/>
      <c r="EE809"/>
      <c r="EF809"/>
      <c r="EG809"/>
      <c r="EH809"/>
      <c r="EI809"/>
      <c r="EJ809"/>
      <c r="EK809"/>
      <c r="EL809"/>
      <c r="EM809"/>
      <c r="EN809"/>
      <c r="EO809"/>
      <c r="EP809"/>
      <c r="EQ809"/>
      <c r="ER809"/>
      <c r="ES809"/>
    </row>
    <row r="810" spans="1:149">
      <c r="A810"/>
      <c r="B810"/>
      <c r="C810"/>
      <c r="D810"/>
      <c r="E810"/>
      <c r="F810"/>
      <c r="G810"/>
      <c r="H810"/>
      <c r="I810"/>
      <c r="J810"/>
      <c r="K810"/>
      <c r="L810"/>
      <c r="M810"/>
      <c r="N810"/>
      <c r="O810"/>
      <c r="P810"/>
      <c r="Q810"/>
      <c r="R810"/>
      <c r="S810"/>
      <c r="T810"/>
      <c r="U810"/>
      <c r="V810"/>
      <c r="W810"/>
      <c r="X810"/>
      <c r="Y810"/>
      <c r="Z810"/>
      <c r="AA810"/>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c r="BZ810"/>
      <c r="CA810"/>
      <c r="CB810"/>
      <c r="CC810"/>
      <c r="CD810"/>
      <c r="CE810"/>
      <c r="CF810"/>
      <c r="CG810"/>
      <c r="CH810"/>
      <c r="CI810"/>
      <c r="CJ810"/>
      <c r="CK810"/>
      <c r="CL810"/>
      <c r="CM810"/>
      <c r="CN810"/>
      <c r="CO810"/>
      <c r="CP810"/>
      <c r="CQ810"/>
      <c r="CR810"/>
      <c r="CS810"/>
      <c r="CT810"/>
      <c r="CU810"/>
      <c r="CV810"/>
      <c r="CW810"/>
      <c r="CX810"/>
      <c r="CY810"/>
      <c r="CZ810"/>
      <c r="DA810"/>
      <c r="DB810"/>
      <c r="DC810"/>
      <c r="DD810"/>
      <c r="DE810"/>
      <c r="DF810"/>
      <c r="DG810"/>
      <c r="DH810"/>
      <c r="DI810"/>
      <c r="DJ810"/>
      <c r="DK810"/>
      <c r="DL810"/>
      <c r="DM810"/>
      <c r="DN810"/>
      <c r="DO810"/>
      <c r="DP810"/>
      <c r="DQ810"/>
      <c r="DR810"/>
      <c r="DS810"/>
      <c r="DT810"/>
      <c r="DU810"/>
      <c r="DV810"/>
      <c r="DW810"/>
      <c r="DX810"/>
      <c r="DY810"/>
      <c r="DZ810"/>
      <c r="EA810"/>
      <c r="EB810"/>
      <c r="EC810"/>
      <c r="ED810"/>
      <c r="EE810"/>
      <c r="EF810"/>
      <c r="EG810"/>
      <c r="EH810"/>
      <c r="EI810"/>
      <c r="EJ810"/>
      <c r="EK810"/>
      <c r="EL810"/>
      <c r="EM810"/>
      <c r="EN810"/>
      <c r="EO810"/>
      <c r="EP810"/>
      <c r="EQ810"/>
      <c r="ER810"/>
      <c r="ES810"/>
    </row>
    <row r="811" spans="1:149">
      <c r="A811"/>
      <c r="B811"/>
      <c r="C811"/>
      <c r="D811"/>
      <c r="E811"/>
      <c r="F811"/>
      <c r="G811"/>
      <c r="H811"/>
      <c r="I811"/>
      <c r="J811"/>
      <c r="K811"/>
      <c r="L811"/>
      <c r="M811"/>
      <c r="N811"/>
      <c r="O811"/>
      <c r="P811"/>
      <c r="Q811"/>
      <c r="R811"/>
      <c r="S811"/>
      <c r="T811"/>
      <c r="U811"/>
      <c r="V811"/>
      <c r="W811"/>
      <c r="X811"/>
      <c r="Y811"/>
      <c r="Z811"/>
      <c r="AA811"/>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c r="BZ811"/>
      <c r="CA811"/>
      <c r="CB811"/>
      <c r="CC811"/>
      <c r="CD811"/>
      <c r="CE811"/>
      <c r="CF811"/>
      <c r="CG811"/>
      <c r="CH811"/>
      <c r="CI811"/>
      <c r="CJ811"/>
      <c r="CK811"/>
      <c r="CL811"/>
      <c r="CM811"/>
      <c r="CN811"/>
      <c r="CO811"/>
      <c r="CP811"/>
      <c r="CQ811"/>
      <c r="CR811"/>
      <c r="CS811"/>
      <c r="CT811"/>
      <c r="CU811"/>
      <c r="CV811"/>
      <c r="CW811"/>
      <c r="CX811"/>
      <c r="CY811"/>
      <c r="CZ811"/>
      <c r="DA811"/>
      <c r="DB811"/>
      <c r="DC811"/>
      <c r="DD811"/>
      <c r="DE811"/>
      <c r="DF811"/>
      <c r="DG811"/>
      <c r="DH811"/>
      <c r="DI811"/>
      <c r="DJ811"/>
      <c r="DK811"/>
      <c r="DL811"/>
      <c r="DM811"/>
      <c r="DN811"/>
      <c r="DO811"/>
      <c r="DP811"/>
      <c r="DQ811"/>
      <c r="DR811"/>
      <c r="DS811"/>
      <c r="DT811"/>
      <c r="DU811"/>
      <c r="DV811"/>
      <c r="DW811"/>
      <c r="DX811"/>
      <c r="DY811"/>
      <c r="DZ811"/>
      <c r="EA811"/>
      <c r="EB811"/>
      <c r="EC811"/>
      <c r="ED811"/>
      <c r="EE811"/>
      <c r="EF811"/>
      <c r="EG811"/>
      <c r="EH811"/>
      <c r="EI811"/>
      <c r="EJ811"/>
      <c r="EK811"/>
      <c r="EL811"/>
      <c r="EM811"/>
      <c r="EN811"/>
      <c r="EO811"/>
      <c r="EP811"/>
      <c r="EQ811"/>
      <c r="ER811"/>
      <c r="ES811"/>
    </row>
    <row r="812" spans="1:149">
      <c r="A812"/>
      <c r="B812"/>
      <c r="C812"/>
      <c r="D812"/>
      <c r="E812"/>
      <c r="F812"/>
      <c r="G812"/>
      <c r="H812"/>
      <c r="I812"/>
      <c r="J812"/>
      <c r="K812"/>
      <c r="L812"/>
      <c r="M812"/>
      <c r="N812"/>
      <c r="O812"/>
      <c r="P812"/>
      <c r="Q812"/>
      <c r="R812"/>
      <c r="S812"/>
      <c r="T812"/>
      <c r="U812"/>
      <c r="V812"/>
      <c r="W812"/>
      <c r="X812"/>
      <c r="Y812"/>
      <c r="Z812"/>
      <c r="AA812"/>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c r="BZ812"/>
      <c r="CA812"/>
      <c r="CB812"/>
      <c r="CC812"/>
      <c r="CD812"/>
      <c r="CE812"/>
      <c r="CF812"/>
      <c r="CG812"/>
      <c r="CH812"/>
      <c r="CI812"/>
      <c r="CJ812"/>
      <c r="CK812"/>
      <c r="CL812"/>
      <c r="CM812"/>
      <c r="CN812"/>
      <c r="CO812"/>
      <c r="CP812"/>
      <c r="CQ812"/>
      <c r="CR812"/>
      <c r="CS812"/>
      <c r="CT812"/>
      <c r="CU812"/>
      <c r="CV812"/>
      <c r="CW812"/>
      <c r="CX812"/>
      <c r="CY812"/>
      <c r="CZ812"/>
      <c r="DA812"/>
      <c r="DB812"/>
      <c r="DC812"/>
      <c r="DD812"/>
      <c r="DE812"/>
      <c r="DF812"/>
      <c r="DG812"/>
      <c r="DH812"/>
      <c r="DI812"/>
      <c r="DJ812"/>
      <c r="DK812"/>
      <c r="DL812"/>
      <c r="DM812"/>
      <c r="DN812"/>
      <c r="DO812"/>
      <c r="DP812"/>
      <c r="DQ812"/>
      <c r="DR812"/>
      <c r="DS812"/>
      <c r="DT812"/>
      <c r="DU812"/>
      <c r="DV812"/>
      <c r="DW812"/>
      <c r="DX812"/>
      <c r="DY812"/>
      <c r="DZ812"/>
      <c r="EA812"/>
      <c r="EB812"/>
      <c r="EC812"/>
      <c r="ED812"/>
      <c r="EE812"/>
      <c r="EF812"/>
      <c r="EG812"/>
      <c r="EH812"/>
      <c r="EI812"/>
      <c r="EJ812"/>
      <c r="EK812"/>
      <c r="EL812"/>
      <c r="EM812"/>
      <c r="EN812"/>
      <c r="EO812"/>
      <c r="EP812"/>
      <c r="EQ812"/>
      <c r="ER812"/>
      <c r="ES812"/>
    </row>
    <row r="813" spans="1:149">
      <c r="A813"/>
      <c r="B813"/>
      <c r="C813"/>
      <c r="D813"/>
      <c r="E813"/>
      <c r="F813"/>
      <c r="G813"/>
      <c r="H813"/>
      <c r="I813"/>
      <c r="J813"/>
      <c r="K813"/>
      <c r="L813"/>
      <c r="M813"/>
      <c r="N813"/>
      <c r="O813"/>
      <c r="P813"/>
      <c r="Q813"/>
      <c r="R813"/>
      <c r="S813"/>
      <c r="T813"/>
      <c r="U813"/>
      <c r="V813"/>
      <c r="W813"/>
      <c r="X813"/>
      <c r="Y813"/>
      <c r="Z813"/>
      <c r="AA813"/>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c r="BZ813"/>
      <c r="CA813"/>
      <c r="CB813"/>
      <c r="CC813"/>
      <c r="CD813"/>
      <c r="CE813"/>
      <c r="CF813"/>
      <c r="CG813"/>
      <c r="CH813"/>
      <c r="CI813"/>
      <c r="CJ813"/>
      <c r="CK813"/>
      <c r="CL813"/>
      <c r="CM813"/>
      <c r="CN813"/>
      <c r="CO813"/>
      <c r="CP813"/>
      <c r="CQ813"/>
      <c r="CR813"/>
      <c r="CS813"/>
      <c r="CT813"/>
      <c r="CU813"/>
      <c r="CV813"/>
      <c r="CW813"/>
      <c r="CX813"/>
      <c r="CY813"/>
      <c r="CZ813"/>
      <c r="DA813"/>
      <c r="DB813"/>
      <c r="DC813"/>
      <c r="DD813"/>
      <c r="DE813"/>
      <c r="DF813"/>
      <c r="DG813"/>
      <c r="DH813"/>
      <c r="DI813"/>
      <c r="DJ813"/>
      <c r="DK813"/>
      <c r="DL813"/>
      <c r="DM813"/>
      <c r="DN813"/>
      <c r="DO813"/>
      <c r="DP813"/>
      <c r="DQ813"/>
      <c r="DR813"/>
      <c r="DS813"/>
      <c r="DT813"/>
      <c r="DU813"/>
      <c r="DV813"/>
      <c r="DW813"/>
      <c r="DX813"/>
      <c r="DY813"/>
      <c r="DZ813"/>
      <c r="EA813"/>
      <c r="EB813"/>
      <c r="EC813"/>
      <c r="ED813"/>
      <c r="EE813"/>
      <c r="EF813"/>
      <c r="EG813"/>
      <c r="EH813"/>
      <c r="EI813"/>
      <c r="EJ813"/>
      <c r="EK813"/>
      <c r="EL813"/>
      <c r="EM813"/>
      <c r="EN813"/>
      <c r="EO813"/>
      <c r="EP813"/>
      <c r="EQ813"/>
      <c r="ER813"/>
      <c r="ES813"/>
    </row>
    <row r="814" spans="1:149">
      <c r="A814"/>
      <c r="B814"/>
      <c r="C814"/>
      <c r="D814"/>
      <c r="E814"/>
      <c r="F814"/>
      <c r="G814"/>
      <c r="H814"/>
      <c r="I814"/>
      <c r="J814"/>
      <c r="K814"/>
      <c r="L814"/>
      <c r="M814"/>
      <c r="N814"/>
      <c r="O814"/>
      <c r="P814"/>
      <c r="Q814"/>
      <c r="R814"/>
      <c r="S814"/>
      <c r="T814"/>
      <c r="U814"/>
      <c r="V814"/>
      <c r="W814"/>
      <c r="X814"/>
      <c r="Y814"/>
      <c r="Z814"/>
      <c r="AA814"/>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c r="BZ814"/>
      <c r="CA814"/>
      <c r="CB814"/>
      <c r="CC814"/>
      <c r="CD814"/>
      <c r="CE814"/>
      <c r="CF814"/>
      <c r="CG814"/>
      <c r="CH814"/>
      <c r="CI814"/>
      <c r="CJ814"/>
      <c r="CK814"/>
      <c r="CL814"/>
      <c r="CM814"/>
      <c r="CN814"/>
      <c r="CO814"/>
      <c r="CP814"/>
      <c r="CQ814"/>
      <c r="CR814"/>
      <c r="CS814"/>
      <c r="CT814"/>
      <c r="CU814"/>
      <c r="CV814"/>
      <c r="CW814"/>
      <c r="CX814"/>
      <c r="CY814"/>
      <c r="CZ814"/>
      <c r="DA814"/>
      <c r="DB814"/>
      <c r="DC814"/>
      <c r="DD814"/>
      <c r="DE814"/>
      <c r="DF814"/>
      <c r="DG814"/>
      <c r="DH814"/>
      <c r="DI814"/>
      <c r="DJ814"/>
      <c r="DK814"/>
      <c r="DL814"/>
      <c r="DM814"/>
      <c r="DN814"/>
      <c r="DO814"/>
      <c r="DP814"/>
      <c r="DQ814"/>
      <c r="DR814"/>
      <c r="DS814"/>
      <c r="DT814"/>
      <c r="DU814"/>
      <c r="DV814"/>
      <c r="DW814"/>
      <c r="DX814"/>
      <c r="DY814"/>
      <c r="DZ814"/>
      <c r="EA814"/>
      <c r="EB814"/>
      <c r="EC814"/>
      <c r="ED814"/>
      <c r="EE814"/>
      <c r="EF814"/>
      <c r="EG814"/>
      <c r="EH814"/>
      <c r="EI814"/>
      <c r="EJ814"/>
      <c r="EK814"/>
      <c r="EL814"/>
      <c r="EM814"/>
      <c r="EN814"/>
      <c r="EO814"/>
      <c r="EP814"/>
      <c r="EQ814"/>
      <c r="ER814"/>
      <c r="ES814"/>
    </row>
    <row r="815" spans="1:149">
      <c r="A815"/>
      <c r="B815"/>
      <c r="C815"/>
      <c r="D815"/>
      <c r="E815"/>
      <c r="F815"/>
      <c r="G815"/>
      <c r="H815"/>
      <c r="I815"/>
      <c r="J815"/>
      <c r="K815"/>
      <c r="L815"/>
      <c r="M815"/>
      <c r="N815"/>
      <c r="O815"/>
      <c r="P815"/>
      <c r="Q815"/>
      <c r="R815"/>
      <c r="S815"/>
      <c r="T815"/>
      <c r="U815"/>
      <c r="V815"/>
      <c r="W815"/>
      <c r="X815"/>
      <c r="Y815"/>
      <c r="Z815"/>
      <c r="AA81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c r="BZ815"/>
      <c r="CA815"/>
      <c r="CB815"/>
      <c r="CC815"/>
      <c r="CD815"/>
      <c r="CE815"/>
      <c r="CF815"/>
      <c r="CG815"/>
      <c r="CH815"/>
      <c r="CI815"/>
      <c r="CJ815"/>
      <c r="CK815"/>
      <c r="CL815"/>
      <c r="CM815"/>
      <c r="CN815"/>
      <c r="CO815"/>
      <c r="CP815"/>
      <c r="CQ815"/>
      <c r="CR815"/>
      <c r="CS815"/>
      <c r="CT815"/>
      <c r="CU815"/>
      <c r="CV815"/>
      <c r="CW815"/>
      <c r="CX815"/>
      <c r="CY815"/>
      <c r="CZ815"/>
      <c r="DA815"/>
      <c r="DB815"/>
      <c r="DC815"/>
      <c r="DD815"/>
      <c r="DE815"/>
      <c r="DF815"/>
      <c r="DG815"/>
      <c r="DH815"/>
      <c r="DI815"/>
      <c r="DJ815"/>
      <c r="DK815"/>
      <c r="DL815"/>
      <c r="DM815"/>
      <c r="DN815"/>
      <c r="DO815"/>
      <c r="DP815"/>
      <c r="DQ815"/>
      <c r="DR815"/>
      <c r="DS815"/>
      <c r="DT815"/>
      <c r="DU815"/>
      <c r="DV815"/>
      <c r="DW815"/>
      <c r="DX815"/>
      <c r="DY815"/>
      <c r="DZ815"/>
      <c r="EA815"/>
      <c r="EB815"/>
      <c r="EC815"/>
      <c r="ED815"/>
      <c r="EE815"/>
      <c r="EF815"/>
      <c r="EG815"/>
      <c r="EH815"/>
      <c r="EI815"/>
      <c r="EJ815"/>
      <c r="EK815"/>
      <c r="EL815"/>
      <c r="EM815"/>
      <c r="EN815"/>
      <c r="EO815"/>
      <c r="EP815"/>
      <c r="EQ815"/>
      <c r="ER815"/>
      <c r="ES815"/>
    </row>
    <row r="816" spans="1:149">
      <c r="A816"/>
      <c r="B816"/>
      <c r="C816"/>
      <c r="D816"/>
      <c r="E816"/>
      <c r="F816"/>
      <c r="G816"/>
      <c r="H816"/>
      <c r="I816"/>
      <c r="J816"/>
      <c r="K816"/>
      <c r="L816"/>
      <c r="M816"/>
      <c r="N816"/>
      <c r="O816"/>
      <c r="P816"/>
      <c r="Q816"/>
      <c r="R816"/>
      <c r="S816"/>
      <c r="T816"/>
      <c r="U816"/>
      <c r="V816"/>
      <c r="W816"/>
      <c r="X816"/>
      <c r="Y816"/>
      <c r="Z816"/>
      <c r="AA816"/>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c r="BZ816"/>
      <c r="CA816"/>
      <c r="CB816"/>
      <c r="CC816"/>
      <c r="CD816"/>
      <c r="CE816"/>
      <c r="CF816"/>
      <c r="CG816"/>
      <c r="CH816"/>
      <c r="CI816"/>
      <c r="CJ816"/>
      <c r="CK816"/>
      <c r="CL816"/>
      <c r="CM816"/>
      <c r="CN816"/>
      <c r="CO816"/>
      <c r="CP816"/>
      <c r="CQ816"/>
      <c r="CR816"/>
      <c r="CS816"/>
      <c r="CT816"/>
      <c r="CU816"/>
      <c r="CV816"/>
      <c r="CW816"/>
      <c r="CX816"/>
      <c r="CY816"/>
      <c r="CZ816"/>
      <c r="DA816"/>
      <c r="DB816"/>
      <c r="DC816"/>
      <c r="DD816"/>
      <c r="DE816"/>
      <c r="DF816"/>
      <c r="DG816"/>
      <c r="DH816"/>
      <c r="DI816"/>
      <c r="DJ816"/>
      <c r="DK816"/>
      <c r="DL816"/>
      <c r="DM816"/>
      <c r="DN816"/>
      <c r="DO816"/>
      <c r="DP816"/>
      <c r="DQ816"/>
      <c r="DR816"/>
      <c r="DS816"/>
      <c r="DT816"/>
      <c r="DU816"/>
      <c r="DV816"/>
      <c r="DW816"/>
      <c r="DX816"/>
      <c r="DY816"/>
      <c r="DZ816"/>
      <c r="EA816"/>
      <c r="EB816"/>
      <c r="EC816"/>
      <c r="ED816"/>
      <c r="EE816"/>
      <c r="EF816"/>
      <c r="EG816"/>
      <c r="EH816"/>
      <c r="EI816"/>
      <c r="EJ816"/>
      <c r="EK816"/>
      <c r="EL816"/>
      <c r="EM816"/>
      <c r="EN816"/>
      <c r="EO816"/>
      <c r="EP816"/>
      <c r="EQ816"/>
      <c r="ER816"/>
      <c r="ES816"/>
    </row>
    <row r="817" spans="1:149">
      <c r="A817"/>
      <c r="B817"/>
      <c r="C817"/>
      <c r="D817"/>
      <c r="E817"/>
      <c r="F817"/>
      <c r="G817"/>
      <c r="H817"/>
      <c r="I817"/>
      <c r="J817"/>
      <c r="K817"/>
      <c r="L817"/>
      <c r="M817"/>
      <c r="N817"/>
      <c r="O817"/>
      <c r="P817"/>
      <c r="Q817"/>
      <c r="R817"/>
      <c r="S817"/>
      <c r="T817"/>
      <c r="U817"/>
      <c r="V817"/>
      <c r="W817"/>
      <c r="X817"/>
      <c r="Y817"/>
      <c r="Z817"/>
      <c r="AA817"/>
      <c r="AB817"/>
      <c r="AC817"/>
      <c r="AD817"/>
      <c r="AE817"/>
      <c r="AF817"/>
      <c r="AG817"/>
      <c r="AH817"/>
      <c r="AI817"/>
      <c r="AJ817"/>
      <c r="AK817"/>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c r="BZ817"/>
      <c r="CA817"/>
      <c r="CB817"/>
      <c r="CC817"/>
      <c r="CD817"/>
      <c r="CE817"/>
      <c r="CF817"/>
      <c r="CG817"/>
      <c r="CH817"/>
      <c r="CI817"/>
      <c r="CJ817"/>
      <c r="CK817"/>
      <c r="CL817"/>
      <c r="CM817"/>
      <c r="CN817"/>
      <c r="CO817"/>
      <c r="CP817"/>
      <c r="CQ817"/>
      <c r="CR817"/>
      <c r="CS817"/>
      <c r="CT817"/>
      <c r="CU817"/>
      <c r="CV817"/>
      <c r="CW817"/>
      <c r="CX817"/>
      <c r="CY817"/>
      <c r="CZ817"/>
      <c r="DA817"/>
      <c r="DB817"/>
      <c r="DC817"/>
      <c r="DD817"/>
      <c r="DE817"/>
      <c r="DF817"/>
      <c r="DG817"/>
      <c r="DH817"/>
      <c r="DI817"/>
      <c r="DJ817"/>
      <c r="DK817"/>
      <c r="DL817"/>
      <c r="DM817"/>
      <c r="DN817"/>
      <c r="DO817"/>
      <c r="DP817"/>
      <c r="DQ817"/>
      <c r="DR817"/>
      <c r="DS817"/>
      <c r="DT817"/>
      <c r="DU817"/>
      <c r="DV817"/>
      <c r="DW817"/>
      <c r="DX817"/>
      <c r="DY817"/>
      <c r="DZ817"/>
      <c r="EA817"/>
      <c r="EB817"/>
      <c r="EC817"/>
      <c r="ED817"/>
      <c r="EE817"/>
      <c r="EF817"/>
      <c r="EG817"/>
      <c r="EH817"/>
      <c r="EI817"/>
      <c r="EJ817"/>
      <c r="EK817"/>
      <c r="EL817"/>
      <c r="EM817"/>
      <c r="EN817"/>
      <c r="EO817"/>
      <c r="EP817"/>
      <c r="EQ817"/>
      <c r="ER817"/>
      <c r="ES817"/>
    </row>
    <row r="818" spans="1:149">
      <c r="A818"/>
      <c r="B818"/>
      <c r="C818"/>
      <c r="D818"/>
      <c r="E818"/>
      <c r="F818"/>
      <c r="G818"/>
      <c r="H818"/>
      <c r="I818"/>
      <c r="J818"/>
      <c r="K818"/>
      <c r="L818"/>
      <c r="M818"/>
      <c r="N818"/>
      <c r="O818"/>
      <c r="P818"/>
      <c r="Q818"/>
      <c r="R818"/>
      <c r="S818"/>
      <c r="T818"/>
      <c r="U818"/>
      <c r="V818"/>
      <c r="W818"/>
      <c r="X818"/>
      <c r="Y818"/>
      <c r="Z818"/>
      <c r="AA818"/>
      <c r="AB818"/>
      <c r="AC818"/>
      <c r="AD818"/>
      <c r="AE818"/>
      <c r="AF818"/>
      <c r="AG818"/>
      <c r="AH818"/>
      <c r="AI818"/>
      <c r="AJ818"/>
      <c r="AK818"/>
      <c r="AL818"/>
      <c r="AM818"/>
      <c r="AN818"/>
      <c r="AO818"/>
      <c r="AP818"/>
      <c r="AQ818"/>
      <c r="AR818"/>
      <c r="AS818"/>
      <c r="AT818"/>
      <c r="AU818"/>
      <c r="AV818"/>
      <c r="AW818"/>
      <c r="AX818"/>
      <c r="AY818"/>
      <c r="AZ818"/>
      <c r="BA818"/>
      <c r="BB818"/>
      <c r="BC818"/>
      <c r="BD818"/>
      <c r="BE818"/>
      <c r="BF818"/>
      <c r="BG818"/>
      <c r="BH818"/>
      <c r="BI818"/>
      <c r="BJ818"/>
      <c r="BK818"/>
      <c r="BL818"/>
      <c r="BM818"/>
      <c r="BN818"/>
      <c r="BO818"/>
      <c r="BP818"/>
      <c r="BQ818"/>
      <c r="BR818"/>
      <c r="BS818"/>
      <c r="BT818"/>
      <c r="BU818"/>
      <c r="BV818"/>
      <c r="BW818"/>
      <c r="BX818"/>
      <c r="BY818"/>
      <c r="BZ818"/>
      <c r="CA818"/>
      <c r="CB818"/>
      <c r="CC818"/>
      <c r="CD818"/>
      <c r="CE818"/>
      <c r="CF818"/>
      <c r="CG818"/>
      <c r="CH818"/>
      <c r="CI818"/>
      <c r="CJ818"/>
      <c r="CK818"/>
      <c r="CL818"/>
      <c r="CM818"/>
      <c r="CN818"/>
      <c r="CO818"/>
      <c r="CP818"/>
      <c r="CQ818"/>
      <c r="CR818"/>
      <c r="CS818"/>
      <c r="CT818"/>
      <c r="CU818"/>
      <c r="CV818"/>
      <c r="CW818"/>
      <c r="CX818"/>
      <c r="CY818"/>
      <c r="CZ818"/>
      <c r="DA818"/>
      <c r="DB818"/>
      <c r="DC818"/>
      <c r="DD818"/>
      <c r="DE818"/>
      <c r="DF818"/>
      <c r="DG818"/>
      <c r="DH818"/>
      <c r="DI818"/>
      <c r="DJ818"/>
      <c r="DK818"/>
      <c r="DL818"/>
      <c r="DM818"/>
      <c r="DN818"/>
      <c r="DO818"/>
      <c r="DP818"/>
      <c r="DQ818"/>
      <c r="DR818"/>
      <c r="DS818"/>
      <c r="DT818"/>
      <c r="DU818"/>
      <c r="DV818"/>
      <c r="DW818"/>
      <c r="DX818"/>
      <c r="DY818"/>
      <c r="DZ818"/>
      <c r="EA818"/>
      <c r="EB818"/>
      <c r="EC818"/>
      <c r="ED818"/>
      <c r="EE818"/>
      <c r="EF818"/>
      <c r="EG818"/>
      <c r="EH818"/>
      <c r="EI818"/>
      <c r="EJ818"/>
      <c r="EK818"/>
      <c r="EL818"/>
      <c r="EM818"/>
      <c r="EN818"/>
      <c r="EO818"/>
      <c r="EP818"/>
      <c r="EQ818"/>
      <c r="ER818"/>
      <c r="ES818"/>
    </row>
    <row r="819" spans="1:149">
      <c r="A819"/>
      <c r="B819"/>
      <c r="C819"/>
      <c r="D819"/>
      <c r="E819"/>
      <c r="F819"/>
      <c r="G819"/>
      <c r="H819"/>
      <c r="I819"/>
      <c r="J819"/>
      <c r="K819"/>
      <c r="L819"/>
      <c r="M819"/>
      <c r="N819"/>
      <c r="O819"/>
      <c r="P819"/>
      <c r="Q819"/>
      <c r="R819"/>
      <c r="S819"/>
      <c r="T819"/>
      <c r="U819"/>
      <c r="V819"/>
      <c r="W819"/>
      <c r="X819"/>
      <c r="Y819"/>
      <c r="Z819"/>
      <c r="AA819"/>
      <c r="AB819"/>
      <c r="AC819"/>
      <c r="AD819"/>
      <c r="AE819"/>
      <c r="AF819"/>
      <c r="AG819"/>
      <c r="AH819"/>
      <c r="AI819"/>
      <c r="AJ819"/>
      <c r="AK819"/>
      <c r="AL819"/>
      <c r="AM819"/>
      <c r="AN819"/>
      <c r="AO819"/>
      <c r="AP819"/>
      <c r="AQ819"/>
      <c r="AR819"/>
      <c r="AS819"/>
      <c r="AT819"/>
      <c r="AU819"/>
      <c r="AV819"/>
      <c r="AW819"/>
      <c r="AX819"/>
      <c r="AY819"/>
      <c r="AZ819"/>
      <c r="BA819"/>
      <c r="BB819"/>
      <c r="BC819"/>
      <c r="BD819"/>
      <c r="BE819"/>
      <c r="BF819"/>
      <c r="BG819"/>
      <c r="BH819"/>
      <c r="BI819"/>
      <c r="BJ819"/>
      <c r="BK819"/>
      <c r="BL819"/>
      <c r="BM819"/>
      <c r="BN819"/>
      <c r="BO819"/>
      <c r="BP819"/>
      <c r="BQ819"/>
      <c r="BR819"/>
      <c r="BS819"/>
      <c r="BT819"/>
      <c r="BU819"/>
      <c r="BV819"/>
      <c r="BW819"/>
      <c r="BX819"/>
      <c r="BY819"/>
      <c r="BZ819"/>
      <c r="CA819"/>
      <c r="CB819"/>
      <c r="CC819"/>
      <c r="CD819"/>
      <c r="CE819"/>
      <c r="CF819"/>
      <c r="CG819"/>
      <c r="CH819"/>
      <c r="CI819"/>
      <c r="CJ819"/>
      <c r="CK819"/>
      <c r="CL819"/>
      <c r="CM819"/>
      <c r="CN819"/>
      <c r="CO819"/>
      <c r="CP819"/>
      <c r="CQ819"/>
      <c r="CR819"/>
      <c r="CS819"/>
      <c r="CT819"/>
      <c r="CU819"/>
      <c r="CV819"/>
      <c r="CW819"/>
      <c r="CX819"/>
      <c r="CY819"/>
      <c r="CZ819"/>
      <c r="DA819"/>
      <c r="DB819"/>
      <c r="DC819"/>
      <c r="DD819"/>
      <c r="DE819"/>
      <c r="DF819"/>
      <c r="DG819"/>
      <c r="DH819"/>
      <c r="DI819"/>
      <c r="DJ819"/>
      <c r="DK819"/>
      <c r="DL819"/>
      <c r="DM819"/>
      <c r="DN819"/>
      <c r="DO819"/>
      <c r="DP819"/>
      <c r="DQ819"/>
      <c r="DR819"/>
      <c r="DS819"/>
      <c r="DT819"/>
      <c r="DU819"/>
      <c r="DV819"/>
      <c r="DW819"/>
      <c r="DX819"/>
      <c r="DY819"/>
      <c r="DZ819"/>
      <c r="EA819"/>
      <c r="EB819"/>
      <c r="EC819"/>
      <c r="ED819"/>
      <c r="EE819"/>
      <c r="EF819"/>
      <c r="EG819"/>
      <c r="EH819"/>
      <c r="EI819"/>
      <c r="EJ819"/>
      <c r="EK819"/>
      <c r="EL819"/>
      <c r="EM819"/>
      <c r="EN819"/>
      <c r="EO819"/>
      <c r="EP819"/>
      <c r="EQ819"/>
      <c r="ER819"/>
      <c r="ES819"/>
    </row>
    <row r="820" spans="1:149">
      <c r="A820"/>
      <c r="B820"/>
      <c r="C820"/>
      <c r="D820"/>
      <c r="E820"/>
      <c r="F820"/>
      <c r="G820"/>
      <c r="H820"/>
      <c r="I820"/>
      <c r="J820"/>
      <c r="K820"/>
      <c r="L820"/>
      <c r="M820"/>
      <c r="N820"/>
      <c r="O820"/>
      <c r="P820"/>
      <c r="Q820"/>
      <c r="R820"/>
      <c r="S820"/>
      <c r="T820"/>
      <c r="U820"/>
      <c r="V820"/>
      <c r="W820"/>
      <c r="X820"/>
      <c r="Y820"/>
      <c r="Z820"/>
      <c r="AA820"/>
      <c r="AB820"/>
      <c r="AC820"/>
      <c r="AD820"/>
      <c r="AE820"/>
      <c r="AF820"/>
      <c r="AG820"/>
      <c r="AH820"/>
      <c r="AI820"/>
      <c r="AJ820"/>
      <c r="AK820"/>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c r="BZ820"/>
      <c r="CA820"/>
      <c r="CB820"/>
      <c r="CC820"/>
      <c r="CD820"/>
      <c r="CE820"/>
      <c r="CF820"/>
      <c r="CG820"/>
      <c r="CH820"/>
      <c r="CI820"/>
      <c r="CJ820"/>
      <c r="CK820"/>
      <c r="CL820"/>
      <c r="CM820"/>
      <c r="CN820"/>
      <c r="CO820"/>
      <c r="CP820"/>
      <c r="CQ820"/>
      <c r="CR820"/>
      <c r="CS820"/>
      <c r="CT820"/>
      <c r="CU820"/>
      <c r="CV820"/>
      <c r="CW820"/>
      <c r="CX820"/>
      <c r="CY820"/>
      <c r="CZ820"/>
      <c r="DA820"/>
      <c r="DB820"/>
      <c r="DC820"/>
      <c r="DD820"/>
      <c r="DE820"/>
      <c r="DF820"/>
      <c r="DG820"/>
      <c r="DH820"/>
      <c r="DI820"/>
      <c r="DJ820"/>
      <c r="DK820"/>
      <c r="DL820"/>
      <c r="DM820"/>
      <c r="DN820"/>
      <c r="DO820"/>
      <c r="DP820"/>
      <c r="DQ820"/>
      <c r="DR820"/>
      <c r="DS820"/>
      <c r="DT820"/>
      <c r="DU820"/>
      <c r="DV820"/>
      <c r="DW820"/>
      <c r="DX820"/>
      <c r="DY820"/>
      <c r="DZ820"/>
      <c r="EA820"/>
      <c r="EB820"/>
      <c r="EC820"/>
      <c r="ED820"/>
      <c r="EE820"/>
      <c r="EF820"/>
      <c r="EG820"/>
      <c r="EH820"/>
      <c r="EI820"/>
      <c r="EJ820"/>
      <c r="EK820"/>
      <c r="EL820"/>
      <c r="EM820"/>
      <c r="EN820"/>
      <c r="EO820"/>
      <c r="EP820"/>
      <c r="EQ820"/>
      <c r="ER820"/>
      <c r="ES820"/>
    </row>
    <row r="821" spans="1:149">
      <c r="A821"/>
      <c r="B821"/>
      <c r="C821"/>
      <c r="D821"/>
      <c r="E821"/>
      <c r="F821"/>
      <c r="G821"/>
      <c r="H821"/>
      <c r="I821"/>
      <c r="J821"/>
      <c r="K821"/>
      <c r="L821"/>
      <c r="M821"/>
      <c r="N821"/>
      <c r="O821"/>
      <c r="P821"/>
      <c r="Q821"/>
      <c r="R821"/>
      <c r="S821"/>
      <c r="T821"/>
      <c r="U821"/>
      <c r="V821"/>
      <c r="W821"/>
      <c r="X821"/>
      <c r="Y821"/>
      <c r="Z821"/>
      <c r="AA821"/>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c r="BZ821"/>
      <c r="CA821"/>
      <c r="CB821"/>
      <c r="CC821"/>
      <c r="CD821"/>
      <c r="CE821"/>
      <c r="CF821"/>
      <c r="CG821"/>
      <c r="CH821"/>
      <c r="CI821"/>
      <c r="CJ821"/>
      <c r="CK821"/>
      <c r="CL821"/>
      <c r="CM821"/>
      <c r="CN821"/>
      <c r="CO821"/>
      <c r="CP821"/>
      <c r="CQ821"/>
      <c r="CR821"/>
      <c r="CS821"/>
      <c r="CT821"/>
      <c r="CU821"/>
      <c r="CV821"/>
      <c r="CW821"/>
      <c r="CX821"/>
      <c r="CY821"/>
      <c r="CZ821"/>
      <c r="DA821"/>
      <c r="DB821"/>
      <c r="DC821"/>
      <c r="DD821"/>
      <c r="DE821"/>
      <c r="DF821"/>
      <c r="DG821"/>
      <c r="DH821"/>
      <c r="DI821"/>
      <c r="DJ821"/>
      <c r="DK821"/>
      <c r="DL821"/>
      <c r="DM821"/>
      <c r="DN821"/>
      <c r="DO821"/>
      <c r="DP821"/>
      <c r="DQ821"/>
      <c r="DR821"/>
      <c r="DS821"/>
      <c r="DT821"/>
      <c r="DU821"/>
      <c r="DV821"/>
      <c r="DW821"/>
      <c r="DX821"/>
      <c r="DY821"/>
      <c r="DZ821"/>
      <c r="EA821"/>
      <c r="EB821"/>
      <c r="EC821"/>
      <c r="ED821"/>
      <c r="EE821"/>
      <c r="EF821"/>
      <c r="EG821"/>
      <c r="EH821"/>
      <c r="EI821"/>
      <c r="EJ821"/>
      <c r="EK821"/>
      <c r="EL821"/>
      <c r="EM821"/>
      <c r="EN821"/>
      <c r="EO821"/>
      <c r="EP821"/>
      <c r="EQ821"/>
      <c r="ER821"/>
      <c r="ES821"/>
    </row>
    <row r="822" spans="1:149">
      <c r="A822"/>
      <c r="B822"/>
      <c r="C822"/>
      <c r="D822"/>
      <c r="E822"/>
      <c r="F822"/>
      <c r="G822"/>
      <c r="H822"/>
      <c r="I822"/>
      <c r="J822"/>
      <c r="K822"/>
      <c r="L822"/>
      <c r="M822"/>
      <c r="N822"/>
      <c r="O822"/>
      <c r="P822"/>
      <c r="Q822"/>
      <c r="R822"/>
      <c r="S822"/>
      <c r="T822"/>
      <c r="U822"/>
      <c r="V822"/>
      <c r="W822"/>
      <c r="X822"/>
      <c r="Y822"/>
      <c r="Z822"/>
      <c r="AA822"/>
      <c r="AB822"/>
      <c r="AC822"/>
      <c r="AD822"/>
      <c r="AE822"/>
      <c r="AF822"/>
      <c r="AG822"/>
      <c r="AH822"/>
      <c r="AI822"/>
      <c r="AJ822"/>
      <c r="AK822"/>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c r="BZ822"/>
      <c r="CA822"/>
      <c r="CB822"/>
      <c r="CC822"/>
      <c r="CD822"/>
      <c r="CE822"/>
      <c r="CF822"/>
      <c r="CG822"/>
      <c r="CH822"/>
      <c r="CI822"/>
      <c r="CJ822"/>
      <c r="CK822"/>
      <c r="CL822"/>
      <c r="CM822"/>
      <c r="CN822"/>
      <c r="CO822"/>
      <c r="CP822"/>
      <c r="CQ822"/>
      <c r="CR822"/>
      <c r="CS822"/>
      <c r="CT822"/>
      <c r="CU822"/>
      <c r="CV822"/>
      <c r="CW822"/>
      <c r="CX822"/>
      <c r="CY822"/>
      <c r="CZ822"/>
      <c r="DA822"/>
      <c r="DB822"/>
      <c r="DC822"/>
      <c r="DD822"/>
      <c r="DE822"/>
      <c r="DF822"/>
      <c r="DG822"/>
      <c r="DH822"/>
      <c r="DI822"/>
      <c r="DJ822"/>
      <c r="DK822"/>
      <c r="DL822"/>
      <c r="DM822"/>
      <c r="DN822"/>
      <c r="DO822"/>
      <c r="DP822"/>
      <c r="DQ822"/>
      <c r="DR822"/>
      <c r="DS822"/>
      <c r="DT822"/>
      <c r="DU822"/>
      <c r="DV822"/>
      <c r="DW822"/>
      <c r="DX822"/>
      <c r="DY822"/>
      <c r="DZ822"/>
      <c r="EA822"/>
      <c r="EB822"/>
      <c r="EC822"/>
      <c r="ED822"/>
      <c r="EE822"/>
      <c r="EF822"/>
      <c r="EG822"/>
      <c r="EH822"/>
      <c r="EI822"/>
      <c r="EJ822"/>
      <c r="EK822"/>
      <c r="EL822"/>
      <c r="EM822"/>
      <c r="EN822"/>
      <c r="EO822"/>
      <c r="EP822"/>
      <c r="EQ822"/>
      <c r="ER822"/>
      <c r="ES822"/>
    </row>
    <row r="823" spans="1:149">
      <c r="A823"/>
      <c r="B823"/>
      <c r="C823"/>
      <c r="D823"/>
      <c r="E823"/>
      <c r="F823"/>
      <c r="G823"/>
      <c r="H823"/>
      <c r="I823"/>
      <c r="J823"/>
      <c r="K823"/>
      <c r="L823"/>
      <c r="M823"/>
      <c r="N823"/>
      <c r="O823"/>
      <c r="P823"/>
      <c r="Q823"/>
      <c r="R823"/>
      <c r="S823"/>
      <c r="T823"/>
      <c r="U823"/>
      <c r="V823"/>
      <c r="W823"/>
      <c r="X823"/>
      <c r="Y823"/>
      <c r="Z823"/>
      <c r="AA823"/>
      <c r="AB823"/>
      <c r="AC823"/>
      <c r="AD823"/>
      <c r="AE823"/>
      <c r="AF823"/>
      <c r="AG823"/>
      <c r="AH823"/>
      <c r="AI823"/>
      <c r="AJ823"/>
      <c r="AK823"/>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c r="BZ823"/>
      <c r="CA823"/>
      <c r="CB823"/>
      <c r="CC823"/>
      <c r="CD823"/>
      <c r="CE823"/>
      <c r="CF823"/>
      <c r="CG823"/>
      <c r="CH823"/>
      <c r="CI823"/>
      <c r="CJ823"/>
      <c r="CK823"/>
      <c r="CL823"/>
      <c r="CM823"/>
      <c r="CN823"/>
      <c r="CO823"/>
      <c r="CP823"/>
      <c r="CQ823"/>
      <c r="CR823"/>
      <c r="CS823"/>
      <c r="CT823"/>
      <c r="CU823"/>
      <c r="CV823"/>
      <c r="CW823"/>
      <c r="CX823"/>
      <c r="CY823"/>
      <c r="CZ823"/>
      <c r="DA823"/>
      <c r="DB823"/>
      <c r="DC823"/>
      <c r="DD823"/>
      <c r="DE823"/>
      <c r="DF823"/>
      <c r="DG823"/>
      <c r="DH823"/>
      <c r="DI823"/>
      <c r="DJ823"/>
      <c r="DK823"/>
      <c r="DL823"/>
      <c r="DM823"/>
      <c r="DN823"/>
      <c r="DO823"/>
      <c r="DP823"/>
      <c r="DQ823"/>
      <c r="DR823"/>
      <c r="DS823"/>
      <c r="DT823"/>
      <c r="DU823"/>
      <c r="DV823"/>
      <c r="DW823"/>
      <c r="DX823"/>
      <c r="DY823"/>
      <c r="DZ823"/>
      <c r="EA823"/>
      <c r="EB823"/>
      <c r="EC823"/>
      <c r="ED823"/>
      <c r="EE823"/>
      <c r="EF823"/>
      <c r="EG823"/>
      <c r="EH823"/>
      <c r="EI823"/>
      <c r="EJ823"/>
      <c r="EK823"/>
      <c r="EL823"/>
      <c r="EM823"/>
      <c r="EN823"/>
      <c r="EO823"/>
      <c r="EP823"/>
      <c r="EQ823"/>
      <c r="ER823"/>
      <c r="ES823"/>
    </row>
    <row r="824" spans="1:149">
      <c r="A824"/>
      <c r="B824"/>
      <c r="C824"/>
      <c r="D824"/>
      <c r="E824"/>
      <c r="F824"/>
      <c r="G824"/>
      <c r="H824"/>
      <c r="I824"/>
      <c r="J824"/>
      <c r="K824"/>
      <c r="L824"/>
      <c r="M824"/>
      <c r="N824"/>
      <c r="O824"/>
      <c r="P824"/>
      <c r="Q824"/>
      <c r="R824"/>
      <c r="S824"/>
      <c r="T824"/>
      <c r="U824"/>
      <c r="V824"/>
      <c r="W824"/>
      <c r="X824"/>
      <c r="Y824"/>
      <c r="Z824"/>
      <c r="AA824"/>
      <c r="AB824"/>
      <c r="AC824"/>
      <c r="AD824"/>
      <c r="AE824"/>
      <c r="AF824"/>
      <c r="AG824"/>
      <c r="AH824"/>
      <c r="AI824"/>
      <c r="AJ824"/>
      <c r="AK824"/>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c r="BZ824"/>
      <c r="CA824"/>
      <c r="CB824"/>
      <c r="CC824"/>
      <c r="CD824"/>
      <c r="CE824"/>
      <c r="CF824"/>
      <c r="CG824"/>
      <c r="CH824"/>
      <c r="CI824"/>
      <c r="CJ824"/>
      <c r="CK824"/>
      <c r="CL824"/>
      <c r="CM824"/>
      <c r="CN824"/>
      <c r="CO824"/>
      <c r="CP824"/>
      <c r="CQ824"/>
      <c r="CR824"/>
      <c r="CS824"/>
      <c r="CT824"/>
      <c r="CU824"/>
      <c r="CV824"/>
      <c r="CW824"/>
      <c r="CX824"/>
      <c r="CY824"/>
      <c r="CZ824"/>
      <c r="DA824"/>
      <c r="DB824"/>
      <c r="DC824"/>
      <c r="DD824"/>
      <c r="DE824"/>
      <c r="DF824"/>
      <c r="DG824"/>
      <c r="DH824"/>
      <c r="DI824"/>
      <c r="DJ824"/>
      <c r="DK824"/>
      <c r="DL824"/>
      <c r="DM824"/>
      <c r="DN824"/>
      <c r="DO824"/>
      <c r="DP824"/>
      <c r="DQ824"/>
      <c r="DR824"/>
      <c r="DS824"/>
      <c r="DT824"/>
      <c r="DU824"/>
      <c r="DV824"/>
      <c r="DW824"/>
      <c r="DX824"/>
      <c r="DY824"/>
      <c r="DZ824"/>
      <c r="EA824"/>
      <c r="EB824"/>
      <c r="EC824"/>
      <c r="ED824"/>
      <c r="EE824"/>
      <c r="EF824"/>
      <c r="EG824"/>
      <c r="EH824"/>
      <c r="EI824"/>
      <c r="EJ824"/>
      <c r="EK824"/>
      <c r="EL824"/>
      <c r="EM824"/>
      <c r="EN824"/>
      <c r="EO824"/>
      <c r="EP824"/>
      <c r="EQ824"/>
      <c r="ER824"/>
      <c r="ES824"/>
    </row>
    <row r="825" spans="1:149">
      <c r="A825"/>
      <c r="B825"/>
      <c r="C825"/>
      <c r="D825"/>
      <c r="E825"/>
      <c r="F825"/>
      <c r="G825"/>
      <c r="H825"/>
      <c r="I825"/>
      <c r="J825"/>
      <c r="K825"/>
      <c r="L825"/>
      <c r="M825"/>
      <c r="N825"/>
      <c r="O825"/>
      <c r="P825"/>
      <c r="Q825"/>
      <c r="R825"/>
      <c r="S825"/>
      <c r="T825"/>
      <c r="U825"/>
      <c r="V825"/>
      <c r="W825"/>
      <c r="X825"/>
      <c r="Y825"/>
      <c r="Z825"/>
      <c r="AA825"/>
      <c r="AB825"/>
      <c r="AC825"/>
      <c r="AD825"/>
      <c r="AE825"/>
      <c r="AF825"/>
      <c r="AG825"/>
      <c r="AH825"/>
      <c r="AI825"/>
      <c r="AJ825"/>
      <c r="AK825"/>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c r="BZ825"/>
      <c r="CA825"/>
      <c r="CB825"/>
      <c r="CC825"/>
      <c r="CD825"/>
      <c r="CE825"/>
      <c r="CF825"/>
      <c r="CG825"/>
      <c r="CH825"/>
      <c r="CI825"/>
      <c r="CJ825"/>
      <c r="CK825"/>
      <c r="CL825"/>
      <c r="CM825"/>
      <c r="CN825"/>
      <c r="CO825"/>
      <c r="CP825"/>
      <c r="CQ825"/>
      <c r="CR825"/>
      <c r="CS825"/>
      <c r="CT825"/>
      <c r="CU825"/>
      <c r="CV825"/>
      <c r="CW825"/>
      <c r="CX825"/>
      <c r="CY825"/>
      <c r="CZ825"/>
      <c r="DA825"/>
      <c r="DB825"/>
      <c r="DC825"/>
      <c r="DD825"/>
      <c r="DE825"/>
      <c r="DF825"/>
      <c r="DG825"/>
      <c r="DH825"/>
      <c r="DI825"/>
      <c r="DJ825"/>
      <c r="DK825"/>
      <c r="DL825"/>
      <c r="DM825"/>
      <c r="DN825"/>
      <c r="DO825"/>
      <c r="DP825"/>
      <c r="DQ825"/>
      <c r="DR825"/>
      <c r="DS825"/>
      <c r="DT825"/>
      <c r="DU825"/>
      <c r="DV825"/>
      <c r="DW825"/>
      <c r="DX825"/>
      <c r="DY825"/>
      <c r="DZ825"/>
      <c r="EA825"/>
      <c r="EB825"/>
      <c r="EC825"/>
      <c r="ED825"/>
      <c r="EE825"/>
      <c r="EF825"/>
      <c r="EG825"/>
      <c r="EH825"/>
      <c r="EI825"/>
      <c r="EJ825"/>
      <c r="EK825"/>
      <c r="EL825"/>
      <c r="EM825"/>
      <c r="EN825"/>
      <c r="EO825"/>
      <c r="EP825"/>
      <c r="EQ825"/>
      <c r="ER825"/>
      <c r="ES825"/>
    </row>
    <row r="826" spans="1:149">
      <c r="A826"/>
      <c r="B826"/>
      <c r="C826"/>
      <c r="D826"/>
      <c r="E826"/>
      <c r="F826"/>
      <c r="G826"/>
      <c r="H826"/>
      <c r="I826"/>
      <c r="J826"/>
      <c r="K826"/>
      <c r="L826"/>
      <c r="M826"/>
      <c r="N826"/>
      <c r="O826"/>
      <c r="P826"/>
      <c r="Q826"/>
      <c r="R826"/>
      <c r="S826"/>
      <c r="T826"/>
      <c r="U826"/>
      <c r="V826"/>
      <c r="W826"/>
      <c r="X826"/>
      <c r="Y826"/>
      <c r="Z826"/>
      <c r="AA826"/>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c r="BZ826"/>
      <c r="CA826"/>
      <c r="CB826"/>
      <c r="CC826"/>
      <c r="CD826"/>
      <c r="CE826"/>
      <c r="CF826"/>
      <c r="CG826"/>
      <c r="CH826"/>
      <c r="CI826"/>
      <c r="CJ826"/>
      <c r="CK826"/>
      <c r="CL826"/>
      <c r="CM826"/>
      <c r="CN826"/>
      <c r="CO826"/>
      <c r="CP826"/>
      <c r="CQ826"/>
      <c r="CR826"/>
      <c r="CS826"/>
      <c r="CT826"/>
      <c r="CU826"/>
      <c r="CV826"/>
      <c r="CW826"/>
      <c r="CX826"/>
      <c r="CY826"/>
      <c r="CZ826"/>
      <c r="DA826"/>
      <c r="DB826"/>
      <c r="DC826"/>
      <c r="DD826"/>
      <c r="DE826"/>
      <c r="DF826"/>
      <c r="DG826"/>
      <c r="DH826"/>
      <c r="DI826"/>
      <c r="DJ826"/>
      <c r="DK826"/>
      <c r="DL826"/>
      <c r="DM826"/>
      <c r="DN826"/>
      <c r="DO826"/>
      <c r="DP826"/>
      <c r="DQ826"/>
      <c r="DR826"/>
      <c r="DS826"/>
      <c r="DT826"/>
      <c r="DU826"/>
      <c r="DV826"/>
      <c r="DW826"/>
      <c r="DX826"/>
      <c r="DY826"/>
      <c r="DZ826"/>
      <c r="EA826"/>
      <c r="EB826"/>
      <c r="EC826"/>
      <c r="ED826"/>
      <c r="EE826"/>
      <c r="EF826"/>
      <c r="EG826"/>
      <c r="EH826"/>
      <c r="EI826"/>
      <c r="EJ826"/>
      <c r="EK826"/>
      <c r="EL826"/>
      <c r="EM826"/>
      <c r="EN826"/>
      <c r="EO826"/>
      <c r="EP826"/>
      <c r="EQ826"/>
      <c r="ER826"/>
      <c r="ES826"/>
    </row>
    <row r="827" spans="1:149">
      <c r="A827"/>
      <c r="B827"/>
      <c r="C827"/>
      <c r="D827"/>
      <c r="E827"/>
      <c r="F827"/>
      <c r="G827"/>
      <c r="H827"/>
      <c r="I827"/>
      <c r="J827"/>
      <c r="K827"/>
      <c r="L827"/>
      <c r="M827"/>
      <c r="N827"/>
      <c r="O827"/>
      <c r="P827"/>
      <c r="Q827"/>
      <c r="R827"/>
      <c r="S827"/>
      <c r="T827"/>
      <c r="U827"/>
      <c r="V827"/>
      <c r="W827"/>
      <c r="X827"/>
      <c r="Y827"/>
      <c r="Z827"/>
      <c r="AA827"/>
      <c r="AB827"/>
      <c r="AC827"/>
      <c r="AD827"/>
      <c r="AE827"/>
      <c r="AF827"/>
      <c r="AG827"/>
      <c r="AH827"/>
      <c r="AI827"/>
      <c r="AJ827"/>
      <c r="AK827"/>
      <c r="AL827"/>
      <c r="AM827"/>
      <c r="AN827"/>
      <c r="AO827"/>
      <c r="AP827"/>
      <c r="AQ827"/>
      <c r="AR827"/>
      <c r="AS827"/>
      <c r="AT827"/>
      <c r="AU827"/>
      <c r="AV827"/>
      <c r="AW827"/>
      <c r="AX827"/>
      <c r="AY827"/>
      <c r="AZ827"/>
      <c r="BA827"/>
      <c r="BB827"/>
      <c r="BC827"/>
      <c r="BD827"/>
      <c r="BE827"/>
      <c r="BF827"/>
      <c r="BG827"/>
      <c r="BH827"/>
      <c r="BI827"/>
      <c r="BJ827"/>
      <c r="BK827"/>
      <c r="BL827"/>
      <c r="BM827"/>
      <c r="BN827"/>
      <c r="BO827"/>
      <c r="BP827"/>
      <c r="BQ827"/>
      <c r="BR827"/>
      <c r="BS827"/>
      <c r="BT827"/>
      <c r="BU827"/>
      <c r="BV827"/>
      <c r="BW827"/>
      <c r="BX827"/>
      <c r="BY827"/>
      <c r="BZ827"/>
      <c r="CA827"/>
      <c r="CB827"/>
      <c r="CC827"/>
      <c r="CD827"/>
      <c r="CE827"/>
      <c r="CF827"/>
      <c r="CG827"/>
      <c r="CH827"/>
      <c r="CI827"/>
      <c r="CJ827"/>
      <c r="CK827"/>
      <c r="CL827"/>
      <c r="CM827"/>
      <c r="CN827"/>
      <c r="CO827"/>
      <c r="CP827"/>
      <c r="CQ827"/>
      <c r="CR827"/>
      <c r="CS827"/>
      <c r="CT827"/>
      <c r="CU827"/>
      <c r="CV827"/>
      <c r="CW827"/>
      <c r="CX827"/>
      <c r="CY827"/>
      <c r="CZ827"/>
      <c r="DA827"/>
      <c r="DB827"/>
      <c r="DC827"/>
      <c r="DD827"/>
      <c r="DE827"/>
      <c r="DF827"/>
      <c r="DG827"/>
      <c r="DH827"/>
      <c r="DI827"/>
      <c r="DJ827"/>
      <c r="DK827"/>
      <c r="DL827"/>
      <c r="DM827"/>
      <c r="DN827"/>
      <c r="DO827"/>
      <c r="DP827"/>
      <c r="DQ827"/>
      <c r="DR827"/>
      <c r="DS827"/>
      <c r="DT827"/>
      <c r="DU827"/>
      <c r="DV827"/>
      <c r="DW827"/>
      <c r="DX827"/>
      <c r="DY827"/>
      <c r="DZ827"/>
      <c r="EA827"/>
      <c r="EB827"/>
      <c r="EC827"/>
      <c r="ED827"/>
      <c r="EE827"/>
      <c r="EF827"/>
      <c r="EG827"/>
      <c r="EH827"/>
      <c r="EI827"/>
      <c r="EJ827"/>
      <c r="EK827"/>
      <c r="EL827"/>
      <c r="EM827"/>
      <c r="EN827"/>
      <c r="EO827"/>
      <c r="EP827"/>
      <c r="EQ827"/>
      <c r="ER827"/>
      <c r="ES827"/>
    </row>
    <row r="828" spans="1:149">
      <c r="A828"/>
      <c r="B828"/>
      <c r="C828"/>
      <c r="D828"/>
      <c r="E828"/>
      <c r="F828"/>
      <c r="G828"/>
      <c r="H828"/>
      <c r="I828"/>
      <c r="J828"/>
      <c r="K828"/>
      <c r="L828"/>
      <c r="M828"/>
      <c r="N828"/>
      <c r="O828"/>
      <c r="P828"/>
      <c r="Q828"/>
      <c r="R828"/>
      <c r="S828"/>
      <c r="T828"/>
      <c r="U828"/>
      <c r="V828"/>
      <c r="W828"/>
      <c r="X828"/>
      <c r="Y828"/>
      <c r="Z828"/>
      <c r="AA828"/>
      <c r="AB828"/>
      <c r="AC828"/>
      <c r="AD828"/>
      <c r="AE828"/>
      <c r="AF828"/>
      <c r="AG828"/>
      <c r="AH828"/>
      <c r="AI828"/>
      <c r="AJ828"/>
      <c r="AK828"/>
      <c r="AL828"/>
      <c r="AM828"/>
      <c r="AN828"/>
      <c r="AO828"/>
      <c r="AP828"/>
      <c r="AQ828"/>
      <c r="AR828"/>
      <c r="AS828"/>
      <c r="AT828"/>
      <c r="AU828"/>
      <c r="AV828"/>
      <c r="AW828"/>
      <c r="AX828"/>
      <c r="AY828"/>
      <c r="AZ828"/>
      <c r="BA828"/>
      <c r="BB828"/>
      <c r="BC828"/>
      <c r="BD828"/>
      <c r="BE828"/>
      <c r="BF828"/>
      <c r="BG828"/>
      <c r="BH828"/>
      <c r="BI828"/>
      <c r="BJ828"/>
      <c r="BK828"/>
      <c r="BL828"/>
      <c r="BM828"/>
      <c r="BN828"/>
      <c r="BO828"/>
      <c r="BP828"/>
      <c r="BQ828"/>
      <c r="BR828"/>
      <c r="BS828"/>
      <c r="BT828"/>
      <c r="BU828"/>
      <c r="BV828"/>
      <c r="BW828"/>
      <c r="BX828"/>
      <c r="BY828"/>
      <c r="BZ828"/>
      <c r="CA828"/>
      <c r="CB828"/>
      <c r="CC828"/>
      <c r="CD828"/>
      <c r="CE828"/>
      <c r="CF828"/>
      <c r="CG828"/>
      <c r="CH828"/>
      <c r="CI828"/>
      <c r="CJ828"/>
      <c r="CK828"/>
      <c r="CL828"/>
      <c r="CM828"/>
      <c r="CN828"/>
      <c r="CO828"/>
      <c r="CP828"/>
      <c r="CQ828"/>
      <c r="CR828"/>
      <c r="CS828"/>
      <c r="CT828"/>
      <c r="CU828"/>
      <c r="CV828"/>
      <c r="CW828"/>
      <c r="CX828"/>
      <c r="CY828"/>
      <c r="CZ828"/>
      <c r="DA828"/>
      <c r="DB828"/>
      <c r="DC828"/>
      <c r="DD828"/>
      <c r="DE828"/>
      <c r="DF828"/>
      <c r="DG828"/>
      <c r="DH828"/>
      <c r="DI828"/>
      <c r="DJ828"/>
      <c r="DK828"/>
      <c r="DL828"/>
      <c r="DM828"/>
      <c r="DN828"/>
      <c r="DO828"/>
      <c r="DP828"/>
      <c r="DQ828"/>
      <c r="DR828"/>
      <c r="DS828"/>
      <c r="DT828"/>
      <c r="DU828"/>
      <c r="DV828"/>
      <c r="DW828"/>
      <c r="DX828"/>
      <c r="DY828"/>
      <c r="DZ828"/>
      <c r="EA828"/>
      <c r="EB828"/>
      <c r="EC828"/>
      <c r="ED828"/>
      <c r="EE828"/>
      <c r="EF828"/>
      <c r="EG828"/>
      <c r="EH828"/>
      <c r="EI828"/>
      <c r="EJ828"/>
      <c r="EK828"/>
      <c r="EL828"/>
      <c r="EM828"/>
      <c r="EN828"/>
      <c r="EO828"/>
      <c r="EP828"/>
      <c r="EQ828"/>
      <c r="ER828"/>
      <c r="ES828"/>
    </row>
    <row r="829" spans="1:149">
      <c r="A829"/>
      <c r="B829"/>
      <c r="C829"/>
      <c r="D829"/>
      <c r="E829"/>
      <c r="F829"/>
      <c r="G829"/>
      <c r="H829"/>
      <c r="I829"/>
      <c r="J829"/>
      <c r="K829"/>
      <c r="L829"/>
      <c r="M829"/>
      <c r="N829"/>
      <c r="O829"/>
      <c r="P829"/>
      <c r="Q829"/>
      <c r="R829"/>
      <c r="S829"/>
      <c r="T829"/>
      <c r="U829"/>
      <c r="V829"/>
      <c r="W829"/>
      <c r="X829"/>
      <c r="Y829"/>
      <c r="Z829"/>
      <c r="AA829"/>
      <c r="AB829"/>
      <c r="AC829"/>
      <c r="AD829"/>
      <c r="AE829"/>
      <c r="AF829"/>
      <c r="AG829"/>
      <c r="AH829"/>
      <c r="AI829"/>
      <c r="AJ829"/>
      <c r="AK829"/>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c r="BZ829"/>
      <c r="CA829"/>
      <c r="CB829"/>
      <c r="CC829"/>
      <c r="CD829"/>
      <c r="CE829"/>
      <c r="CF829"/>
      <c r="CG829"/>
      <c r="CH829"/>
      <c r="CI829"/>
      <c r="CJ829"/>
      <c r="CK829"/>
      <c r="CL829"/>
      <c r="CM829"/>
      <c r="CN829"/>
      <c r="CO829"/>
      <c r="CP829"/>
      <c r="CQ829"/>
      <c r="CR829"/>
      <c r="CS829"/>
      <c r="CT829"/>
      <c r="CU829"/>
      <c r="CV829"/>
      <c r="CW829"/>
      <c r="CX829"/>
      <c r="CY829"/>
      <c r="CZ829"/>
      <c r="DA829"/>
      <c r="DB829"/>
      <c r="DC829"/>
      <c r="DD829"/>
      <c r="DE829"/>
      <c r="DF829"/>
      <c r="DG829"/>
      <c r="DH829"/>
      <c r="DI829"/>
      <c r="DJ829"/>
      <c r="DK829"/>
      <c r="DL829"/>
      <c r="DM829"/>
      <c r="DN829"/>
      <c r="DO829"/>
      <c r="DP829"/>
      <c r="DQ829"/>
      <c r="DR829"/>
      <c r="DS829"/>
      <c r="DT829"/>
      <c r="DU829"/>
      <c r="DV829"/>
      <c r="DW829"/>
      <c r="DX829"/>
      <c r="DY829"/>
      <c r="DZ829"/>
      <c r="EA829"/>
      <c r="EB829"/>
      <c r="EC829"/>
      <c r="ED829"/>
      <c r="EE829"/>
      <c r="EF829"/>
      <c r="EG829"/>
      <c r="EH829"/>
      <c r="EI829"/>
      <c r="EJ829"/>
      <c r="EK829"/>
      <c r="EL829"/>
      <c r="EM829"/>
      <c r="EN829"/>
      <c r="EO829"/>
      <c r="EP829"/>
      <c r="EQ829"/>
      <c r="ER829"/>
      <c r="ES829"/>
    </row>
    <row r="830" spans="1:149">
      <c r="A830"/>
      <c r="B830"/>
      <c r="C830"/>
      <c r="D830"/>
      <c r="E830"/>
      <c r="F830"/>
      <c r="G830"/>
      <c r="H830"/>
      <c r="I830"/>
      <c r="J830"/>
      <c r="K830"/>
      <c r="L830"/>
      <c r="M830"/>
      <c r="N830"/>
      <c r="O830"/>
      <c r="P830"/>
      <c r="Q830"/>
      <c r="R830"/>
      <c r="S830"/>
      <c r="T830"/>
      <c r="U830"/>
      <c r="V830"/>
      <c r="W830"/>
      <c r="X830"/>
      <c r="Y830"/>
      <c r="Z830"/>
      <c r="AA830"/>
      <c r="AB830"/>
      <c r="AC830"/>
      <c r="AD830"/>
      <c r="AE830"/>
      <c r="AF830"/>
      <c r="AG830"/>
      <c r="AH830"/>
      <c r="AI830"/>
      <c r="AJ830"/>
      <c r="AK830"/>
      <c r="AL830"/>
      <c r="AM830"/>
      <c r="AN830"/>
      <c r="AO830"/>
      <c r="AP830"/>
      <c r="AQ830"/>
      <c r="AR830"/>
      <c r="AS830"/>
      <c r="AT830"/>
      <c r="AU830"/>
      <c r="AV830"/>
      <c r="AW830"/>
      <c r="AX830"/>
      <c r="AY830"/>
      <c r="AZ830"/>
      <c r="BA830"/>
      <c r="BB830"/>
      <c r="BC830"/>
      <c r="BD830"/>
      <c r="BE830"/>
      <c r="BF830"/>
      <c r="BG830"/>
      <c r="BH830"/>
      <c r="BI830"/>
      <c r="BJ830"/>
      <c r="BK830"/>
      <c r="BL830"/>
      <c r="BM830"/>
      <c r="BN830"/>
      <c r="BO830"/>
      <c r="BP830"/>
      <c r="BQ830"/>
      <c r="BR830"/>
      <c r="BS830"/>
      <c r="BT830"/>
      <c r="BU830"/>
      <c r="BV830"/>
      <c r="BW830"/>
      <c r="BX830"/>
      <c r="BY830"/>
      <c r="BZ830"/>
      <c r="CA830"/>
      <c r="CB830"/>
      <c r="CC830"/>
      <c r="CD830"/>
      <c r="CE830"/>
      <c r="CF830"/>
      <c r="CG830"/>
      <c r="CH830"/>
      <c r="CI830"/>
      <c r="CJ830"/>
      <c r="CK830"/>
      <c r="CL830"/>
      <c r="CM830"/>
      <c r="CN830"/>
      <c r="CO830"/>
      <c r="CP830"/>
      <c r="CQ830"/>
      <c r="CR830"/>
      <c r="CS830"/>
      <c r="CT830"/>
      <c r="CU830"/>
      <c r="CV830"/>
      <c r="CW830"/>
      <c r="CX830"/>
      <c r="CY830"/>
      <c r="CZ830"/>
      <c r="DA830"/>
      <c r="DB830"/>
      <c r="DC830"/>
      <c r="DD830"/>
      <c r="DE830"/>
      <c r="DF830"/>
      <c r="DG830"/>
      <c r="DH830"/>
      <c r="DI830"/>
      <c r="DJ830"/>
      <c r="DK830"/>
      <c r="DL830"/>
      <c r="DM830"/>
      <c r="DN830"/>
      <c r="DO830"/>
      <c r="DP830"/>
      <c r="DQ830"/>
      <c r="DR830"/>
      <c r="DS830"/>
      <c r="DT830"/>
      <c r="DU830"/>
      <c r="DV830"/>
      <c r="DW830"/>
      <c r="DX830"/>
      <c r="DY830"/>
      <c r="DZ830"/>
      <c r="EA830"/>
      <c r="EB830"/>
      <c r="EC830"/>
      <c r="ED830"/>
      <c r="EE830"/>
      <c r="EF830"/>
      <c r="EG830"/>
      <c r="EH830"/>
      <c r="EI830"/>
      <c r="EJ830"/>
      <c r="EK830"/>
      <c r="EL830"/>
      <c r="EM830"/>
      <c r="EN830"/>
      <c r="EO830"/>
      <c r="EP830"/>
      <c r="EQ830"/>
      <c r="ER830"/>
      <c r="ES830"/>
    </row>
    <row r="831" spans="1:149">
      <c r="A831"/>
      <c r="B831"/>
      <c r="C831"/>
      <c r="D831"/>
      <c r="E831"/>
      <c r="F831"/>
      <c r="G831"/>
      <c r="H831"/>
      <c r="I831"/>
      <c r="J831"/>
      <c r="K831"/>
      <c r="L831"/>
      <c r="M831"/>
      <c r="N831"/>
      <c r="O831"/>
      <c r="P831"/>
      <c r="Q831"/>
      <c r="R831"/>
      <c r="S831"/>
      <c r="T831"/>
      <c r="U831"/>
      <c r="V831"/>
      <c r="W831"/>
      <c r="X831"/>
      <c r="Y831"/>
      <c r="Z831"/>
      <c r="AA831"/>
      <c r="AB831"/>
      <c r="AC831"/>
      <c r="AD831"/>
      <c r="AE831"/>
      <c r="AF831"/>
      <c r="AG831"/>
      <c r="AH831"/>
      <c r="AI831"/>
      <c r="AJ831"/>
      <c r="AK831"/>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c r="BZ831"/>
      <c r="CA831"/>
      <c r="CB831"/>
      <c r="CC831"/>
      <c r="CD831"/>
      <c r="CE831"/>
      <c r="CF831"/>
      <c r="CG831"/>
      <c r="CH831"/>
      <c r="CI831"/>
      <c r="CJ831"/>
      <c r="CK831"/>
      <c r="CL831"/>
      <c r="CM831"/>
      <c r="CN831"/>
      <c r="CO831"/>
      <c r="CP831"/>
      <c r="CQ831"/>
      <c r="CR831"/>
      <c r="CS831"/>
      <c r="CT831"/>
      <c r="CU831"/>
      <c r="CV831"/>
      <c r="CW831"/>
      <c r="CX831"/>
      <c r="CY831"/>
      <c r="CZ831"/>
      <c r="DA831"/>
      <c r="DB831"/>
      <c r="DC831"/>
      <c r="DD831"/>
      <c r="DE831"/>
      <c r="DF831"/>
      <c r="DG831"/>
      <c r="DH831"/>
      <c r="DI831"/>
      <c r="DJ831"/>
      <c r="DK831"/>
      <c r="DL831"/>
      <c r="DM831"/>
      <c r="DN831"/>
      <c r="DO831"/>
      <c r="DP831"/>
      <c r="DQ831"/>
      <c r="DR831"/>
      <c r="DS831"/>
      <c r="DT831"/>
      <c r="DU831"/>
      <c r="DV831"/>
      <c r="DW831"/>
      <c r="DX831"/>
      <c r="DY831"/>
      <c r="DZ831"/>
      <c r="EA831"/>
      <c r="EB831"/>
      <c r="EC831"/>
      <c r="ED831"/>
      <c r="EE831"/>
      <c r="EF831"/>
      <c r="EG831"/>
      <c r="EH831"/>
      <c r="EI831"/>
      <c r="EJ831"/>
      <c r="EK831"/>
      <c r="EL831"/>
      <c r="EM831"/>
      <c r="EN831"/>
      <c r="EO831"/>
      <c r="EP831"/>
      <c r="EQ831"/>
      <c r="ER831"/>
      <c r="ES831"/>
    </row>
    <row r="832" spans="1:149">
      <c r="A832"/>
      <c r="B832"/>
      <c r="C832"/>
      <c r="D832"/>
      <c r="E832"/>
      <c r="F832"/>
      <c r="G832"/>
      <c r="H832"/>
      <c r="I832"/>
      <c r="J832"/>
      <c r="K832"/>
      <c r="L832"/>
      <c r="M832"/>
      <c r="N832"/>
      <c r="O832"/>
      <c r="P832"/>
      <c r="Q832"/>
      <c r="R832"/>
      <c r="S832"/>
      <c r="T832"/>
      <c r="U832"/>
      <c r="V832"/>
      <c r="W832"/>
      <c r="X832"/>
      <c r="Y832"/>
      <c r="Z832"/>
      <c r="AA832"/>
      <c r="AB832"/>
      <c r="AC832"/>
      <c r="AD832"/>
      <c r="AE832"/>
      <c r="AF832"/>
      <c r="AG832"/>
      <c r="AH832"/>
      <c r="AI832"/>
      <c r="AJ832"/>
      <c r="AK832"/>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c r="BZ832"/>
      <c r="CA832"/>
      <c r="CB832"/>
      <c r="CC832"/>
      <c r="CD832"/>
      <c r="CE832"/>
      <c r="CF832"/>
      <c r="CG832"/>
      <c r="CH832"/>
      <c r="CI832"/>
      <c r="CJ832"/>
      <c r="CK832"/>
      <c r="CL832"/>
      <c r="CM832"/>
      <c r="CN832"/>
      <c r="CO832"/>
      <c r="CP832"/>
      <c r="CQ832"/>
      <c r="CR832"/>
      <c r="CS832"/>
      <c r="CT832"/>
      <c r="CU832"/>
      <c r="CV832"/>
      <c r="CW832"/>
      <c r="CX832"/>
      <c r="CY832"/>
      <c r="CZ832"/>
      <c r="DA832"/>
      <c r="DB832"/>
      <c r="DC832"/>
      <c r="DD832"/>
      <c r="DE832"/>
      <c r="DF832"/>
      <c r="DG832"/>
      <c r="DH832"/>
      <c r="DI832"/>
      <c r="DJ832"/>
      <c r="DK832"/>
      <c r="DL832"/>
      <c r="DM832"/>
      <c r="DN832"/>
      <c r="DO832"/>
      <c r="DP832"/>
      <c r="DQ832"/>
      <c r="DR832"/>
      <c r="DS832"/>
      <c r="DT832"/>
      <c r="DU832"/>
      <c r="DV832"/>
      <c r="DW832"/>
      <c r="DX832"/>
      <c r="DY832"/>
      <c r="DZ832"/>
      <c r="EA832"/>
      <c r="EB832"/>
      <c r="EC832"/>
      <c r="ED832"/>
      <c r="EE832"/>
      <c r="EF832"/>
      <c r="EG832"/>
      <c r="EH832"/>
      <c r="EI832"/>
      <c r="EJ832"/>
      <c r="EK832"/>
      <c r="EL832"/>
      <c r="EM832"/>
      <c r="EN832"/>
      <c r="EO832"/>
      <c r="EP832"/>
      <c r="EQ832"/>
      <c r="ER832"/>
      <c r="ES832"/>
    </row>
    <row r="833" spans="1:149">
      <c r="A833"/>
      <c r="B833"/>
      <c r="C833"/>
      <c r="D833"/>
      <c r="E833"/>
      <c r="F833"/>
      <c r="G833"/>
      <c r="H833"/>
      <c r="I833"/>
      <c r="J833"/>
      <c r="K833"/>
      <c r="L833"/>
      <c r="M833"/>
      <c r="N833"/>
      <c r="O833"/>
      <c r="P833"/>
      <c r="Q833"/>
      <c r="R833"/>
      <c r="S833"/>
      <c r="T833"/>
      <c r="U833"/>
      <c r="V833"/>
      <c r="W833"/>
      <c r="X833"/>
      <c r="Y833"/>
      <c r="Z833"/>
      <c r="AA833"/>
      <c r="AB833"/>
      <c r="AC833"/>
      <c r="AD833"/>
      <c r="AE833"/>
      <c r="AF833"/>
      <c r="AG833"/>
      <c r="AH833"/>
      <c r="AI833"/>
      <c r="AJ833"/>
      <c r="AK833"/>
      <c r="AL833"/>
      <c r="AM833"/>
      <c r="AN833"/>
      <c r="AO833"/>
      <c r="AP833"/>
      <c r="AQ833"/>
      <c r="AR833"/>
      <c r="AS833"/>
      <c r="AT833"/>
      <c r="AU833"/>
      <c r="AV833"/>
      <c r="AW833"/>
      <c r="AX833"/>
      <c r="AY833"/>
      <c r="AZ833"/>
      <c r="BA833"/>
      <c r="BB833"/>
      <c r="BC833"/>
      <c r="BD833"/>
      <c r="BE833"/>
      <c r="BF833"/>
      <c r="BG833"/>
      <c r="BH833"/>
      <c r="BI833"/>
      <c r="BJ833"/>
      <c r="BK833"/>
      <c r="BL833"/>
      <c r="BM833"/>
      <c r="BN833"/>
      <c r="BO833"/>
      <c r="BP833"/>
      <c r="BQ833"/>
      <c r="BR833"/>
      <c r="BS833"/>
      <c r="BT833"/>
      <c r="BU833"/>
      <c r="BV833"/>
      <c r="BW833"/>
      <c r="BX833"/>
      <c r="BY833"/>
      <c r="BZ833"/>
      <c r="CA833"/>
      <c r="CB833"/>
      <c r="CC833"/>
      <c r="CD833"/>
      <c r="CE833"/>
      <c r="CF833"/>
      <c r="CG833"/>
      <c r="CH833"/>
      <c r="CI833"/>
      <c r="CJ833"/>
      <c r="CK833"/>
      <c r="CL833"/>
      <c r="CM833"/>
      <c r="CN833"/>
      <c r="CO833"/>
      <c r="CP833"/>
      <c r="CQ833"/>
      <c r="CR833"/>
      <c r="CS833"/>
      <c r="CT833"/>
      <c r="CU833"/>
      <c r="CV833"/>
      <c r="CW833"/>
      <c r="CX833"/>
      <c r="CY833"/>
      <c r="CZ833"/>
      <c r="DA833"/>
      <c r="DB833"/>
      <c r="DC833"/>
      <c r="DD833"/>
      <c r="DE833"/>
      <c r="DF833"/>
      <c r="DG833"/>
      <c r="DH833"/>
      <c r="DI833"/>
      <c r="DJ833"/>
      <c r="DK833"/>
      <c r="DL833"/>
      <c r="DM833"/>
      <c r="DN833"/>
      <c r="DO833"/>
      <c r="DP833"/>
      <c r="DQ833"/>
      <c r="DR833"/>
      <c r="DS833"/>
      <c r="DT833"/>
      <c r="DU833"/>
      <c r="DV833"/>
      <c r="DW833"/>
      <c r="DX833"/>
      <c r="DY833"/>
      <c r="DZ833"/>
      <c r="EA833"/>
      <c r="EB833"/>
      <c r="EC833"/>
      <c r="ED833"/>
      <c r="EE833"/>
      <c r="EF833"/>
      <c r="EG833"/>
      <c r="EH833"/>
      <c r="EI833"/>
      <c r="EJ833"/>
      <c r="EK833"/>
      <c r="EL833"/>
      <c r="EM833"/>
      <c r="EN833"/>
      <c r="EO833"/>
      <c r="EP833"/>
      <c r="EQ833"/>
      <c r="ER833"/>
      <c r="ES833"/>
    </row>
    <row r="834" spans="1:149">
      <c r="A834"/>
      <c r="B834"/>
      <c r="C834"/>
      <c r="D834"/>
      <c r="E834"/>
      <c r="F834"/>
      <c r="G834"/>
      <c r="H834"/>
      <c r="I834"/>
      <c r="J834"/>
      <c r="K834"/>
      <c r="L834"/>
      <c r="M834"/>
      <c r="N834"/>
      <c r="O834"/>
      <c r="P834"/>
      <c r="Q834"/>
      <c r="R834"/>
      <c r="S834"/>
      <c r="T834"/>
      <c r="U834"/>
      <c r="V834"/>
      <c r="W834"/>
      <c r="X834"/>
      <c r="Y834"/>
      <c r="Z834"/>
      <c r="AA834"/>
      <c r="AB834"/>
      <c r="AC834"/>
      <c r="AD834"/>
      <c r="AE834"/>
      <c r="AF834"/>
      <c r="AG834"/>
      <c r="AH834"/>
      <c r="AI834"/>
      <c r="AJ834"/>
      <c r="AK834"/>
      <c r="AL834"/>
      <c r="AM834"/>
      <c r="AN834"/>
      <c r="AO834"/>
      <c r="AP834"/>
      <c r="AQ834"/>
      <c r="AR834"/>
      <c r="AS834"/>
      <c r="AT834"/>
      <c r="AU834"/>
      <c r="AV834"/>
      <c r="AW834"/>
      <c r="AX834"/>
      <c r="AY834"/>
      <c r="AZ834"/>
      <c r="BA834"/>
      <c r="BB834"/>
      <c r="BC834"/>
      <c r="BD834"/>
      <c r="BE834"/>
      <c r="BF834"/>
      <c r="BG834"/>
      <c r="BH834"/>
      <c r="BI834"/>
      <c r="BJ834"/>
      <c r="BK834"/>
      <c r="BL834"/>
      <c r="BM834"/>
      <c r="BN834"/>
      <c r="BO834"/>
      <c r="BP834"/>
      <c r="BQ834"/>
      <c r="BR834"/>
      <c r="BS834"/>
      <c r="BT834"/>
      <c r="BU834"/>
      <c r="BV834"/>
      <c r="BW834"/>
      <c r="BX834"/>
      <c r="BY834"/>
      <c r="BZ834"/>
      <c r="CA834"/>
      <c r="CB834"/>
      <c r="CC834"/>
      <c r="CD834"/>
      <c r="CE834"/>
      <c r="CF834"/>
      <c r="CG834"/>
      <c r="CH834"/>
      <c r="CI834"/>
      <c r="CJ834"/>
      <c r="CK834"/>
      <c r="CL834"/>
      <c r="CM834"/>
      <c r="CN834"/>
      <c r="CO834"/>
      <c r="CP834"/>
      <c r="CQ834"/>
      <c r="CR834"/>
      <c r="CS834"/>
      <c r="CT834"/>
      <c r="CU834"/>
      <c r="CV834"/>
      <c r="CW834"/>
      <c r="CX834"/>
      <c r="CY834"/>
      <c r="CZ834"/>
      <c r="DA834"/>
      <c r="DB834"/>
      <c r="DC834"/>
      <c r="DD834"/>
      <c r="DE834"/>
      <c r="DF834"/>
      <c r="DG834"/>
      <c r="DH834"/>
      <c r="DI834"/>
      <c r="DJ834"/>
      <c r="DK834"/>
      <c r="DL834"/>
      <c r="DM834"/>
      <c r="DN834"/>
      <c r="DO834"/>
      <c r="DP834"/>
      <c r="DQ834"/>
      <c r="DR834"/>
      <c r="DS834"/>
      <c r="DT834"/>
      <c r="DU834"/>
      <c r="DV834"/>
      <c r="DW834"/>
      <c r="DX834"/>
      <c r="DY834"/>
      <c r="DZ834"/>
      <c r="EA834"/>
      <c r="EB834"/>
      <c r="EC834"/>
      <c r="ED834"/>
      <c r="EE834"/>
      <c r="EF834"/>
      <c r="EG834"/>
      <c r="EH834"/>
      <c r="EI834"/>
      <c r="EJ834"/>
      <c r="EK834"/>
      <c r="EL834"/>
      <c r="EM834"/>
      <c r="EN834"/>
      <c r="EO834"/>
      <c r="EP834"/>
      <c r="EQ834"/>
      <c r="ER834"/>
      <c r="ES834"/>
    </row>
    <row r="835" spans="1:149">
      <c r="A835"/>
      <c r="B835"/>
      <c r="C835"/>
      <c r="D835"/>
      <c r="E835"/>
      <c r="F835"/>
      <c r="G835"/>
      <c r="H835"/>
      <c r="I835"/>
      <c r="J835"/>
      <c r="K835"/>
      <c r="L835"/>
      <c r="M835"/>
      <c r="N835"/>
      <c r="O835"/>
      <c r="P835"/>
      <c r="Q835"/>
      <c r="R835"/>
      <c r="S835"/>
      <c r="T835"/>
      <c r="U835"/>
      <c r="V835"/>
      <c r="W835"/>
      <c r="X835"/>
      <c r="Y835"/>
      <c r="Z835"/>
      <c r="AA835"/>
      <c r="AB835"/>
      <c r="AC835"/>
      <c r="AD835"/>
      <c r="AE835"/>
      <c r="AF835"/>
      <c r="AG835"/>
      <c r="AH835"/>
      <c r="AI835"/>
      <c r="AJ835"/>
      <c r="AK835"/>
      <c r="AL835"/>
      <c r="AM835"/>
      <c r="AN835"/>
      <c r="AO835"/>
      <c r="AP835"/>
      <c r="AQ835"/>
      <c r="AR835"/>
      <c r="AS835"/>
      <c r="AT835"/>
      <c r="AU835"/>
      <c r="AV835"/>
      <c r="AW835"/>
      <c r="AX835"/>
      <c r="AY835"/>
      <c r="AZ835"/>
      <c r="BA835"/>
      <c r="BB835"/>
      <c r="BC835"/>
      <c r="BD835"/>
      <c r="BE835"/>
      <c r="BF835"/>
      <c r="BG835"/>
      <c r="BH835"/>
      <c r="BI835"/>
      <c r="BJ835"/>
      <c r="BK835"/>
      <c r="BL835"/>
      <c r="BM835"/>
      <c r="BN835"/>
      <c r="BO835"/>
      <c r="BP835"/>
      <c r="BQ835"/>
      <c r="BR835"/>
      <c r="BS835"/>
      <c r="BT835"/>
      <c r="BU835"/>
      <c r="BV835"/>
      <c r="BW835"/>
      <c r="BX835"/>
      <c r="BY835"/>
      <c r="BZ835"/>
      <c r="CA835"/>
      <c r="CB835"/>
      <c r="CC835"/>
      <c r="CD835"/>
      <c r="CE835"/>
      <c r="CF835"/>
      <c r="CG835"/>
      <c r="CH835"/>
      <c r="CI835"/>
      <c r="CJ835"/>
      <c r="CK835"/>
      <c r="CL835"/>
      <c r="CM835"/>
      <c r="CN835"/>
      <c r="CO835"/>
      <c r="CP835"/>
      <c r="CQ835"/>
      <c r="CR835"/>
      <c r="CS835"/>
      <c r="CT835"/>
      <c r="CU835"/>
      <c r="CV835"/>
      <c r="CW835"/>
      <c r="CX835"/>
      <c r="CY835"/>
      <c r="CZ835"/>
      <c r="DA835"/>
      <c r="DB835"/>
      <c r="DC835"/>
      <c r="DD835"/>
      <c r="DE835"/>
      <c r="DF835"/>
      <c r="DG835"/>
      <c r="DH835"/>
      <c r="DI835"/>
      <c r="DJ835"/>
      <c r="DK835"/>
      <c r="DL835"/>
      <c r="DM835"/>
      <c r="DN835"/>
      <c r="DO835"/>
      <c r="DP835"/>
      <c r="DQ835"/>
      <c r="DR835"/>
      <c r="DS835"/>
      <c r="DT835"/>
      <c r="DU835"/>
      <c r="DV835"/>
      <c r="DW835"/>
      <c r="DX835"/>
      <c r="DY835"/>
      <c r="DZ835"/>
      <c r="EA835"/>
      <c r="EB835"/>
      <c r="EC835"/>
      <c r="ED835"/>
      <c r="EE835"/>
      <c r="EF835"/>
      <c r="EG835"/>
      <c r="EH835"/>
      <c r="EI835"/>
      <c r="EJ835"/>
      <c r="EK835"/>
      <c r="EL835"/>
      <c r="EM835"/>
      <c r="EN835"/>
      <c r="EO835"/>
      <c r="EP835"/>
      <c r="EQ835"/>
      <c r="ER835"/>
      <c r="ES835"/>
    </row>
    <row r="836" spans="1:149">
      <c r="A836"/>
      <c r="B836"/>
      <c r="C836"/>
      <c r="D836"/>
      <c r="E836"/>
      <c r="F836"/>
      <c r="G836"/>
      <c r="H836"/>
      <c r="I836"/>
      <c r="J836"/>
      <c r="K836"/>
      <c r="L836"/>
      <c r="M836"/>
      <c r="N836"/>
      <c r="O836"/>
      <c r="P836"/>
      <c r="Q836"/>
      <c r="R836"/>
      <c r="S836"/>
      <c r="T836"/>
      <c r="U836"/>
      <c r="V836"/>
      <c r="W836"/>
      <c r="X836"/>
      <c r="Y836"/>
      <c r="Z836"/>
      <c r="AA836"/>
      <c r="AB836"/>
      <c r="AC836"/>
      <c r="AD836"/>
      <c r="AE836"/>
      <c r="AF836"/>
      <c r="AG836"/>
      <c r="AH836"/>
      <c r="AI836"/>
      <c r="AJ836"/>
      <c r="AK836"/>
      <c r="AL836"/>
      <c r="AM836"/>
      <c r="AN836"/>
      <c r="AO836"/>
      <c r="AP836"/>
      <c r="AQ836"/>
      <c r="AR836"/>
      <c r="AS836"/>
      <c r="AT836"/>
      <c r="AU836"/>
      <c r="AV836"/>
      <c r="AW836"/>
      <c r="AX836"/>
      <c r="AY836"/>
      <c r="AZ836"/>
      <c r="BA836"/>
      <c r="BB836"/>
      <c r="BC836"/>
      <c r="BD836"/>
      <c r="BE836"/>
      <c r="BF836"/>
      <c r="BG836"/>
      <c r="BH836"/>
      <c r="BI836"/>
      <c r="BJ836"/>
      <c r="BK836"/>
      <c r="BL836"/>
      <c r="BM836"/>
      <c r="BN836"/>
      <c r="BO836"/>
      <c r="BP836"/>
      <c r="BQ836"/>
      <c r="BR836"/>
      <c r="BS836"/>
      <c r="BT836"/>
      <c r="BU836"/>
      <c r="BV836"/>
      <c r="BW836"/>
      <c r="BX836"/>
      <c r="BY836"/>
      <c r="BZ836"/>
      <c r="CA836"/>
      <c r="CB836"/>
      <c r="CC836"/>
      <c r="CD836"/>
      <c r="CE836"/>
      <c r="CF836"/>
      <c r="CG836"/>
      <c r="CH836"/>
      <c r="CI836"/>
      <c r="CJ836"/>
      <c r="CK836"/>
      <c r="CL836"/>
      <c r="CM836"/>
      <c r="CN836"/>
      <c r="CO836"/>
      <c r="CP836"/>
      <c r="CQ836"/>
      <c r="CR836"/>
      <c r="CS836"/>
      <c r="CT836"/>
      <c r="CU836"/>
      <c r="CV836"/>
      <c r="CW836"/>
      <c r="CX836"/>
      <c r="CY836"/>
      <c r="CZ836"/>
      <c r="DA836"/>
      <c r="DB836"/>
      <c r="DC836"/>
      <c r="DD836"/>
      <c r="DE836"/>
      <c r="DF836"/>
      <c r="DG836"/>
      <c r="DH836"/>
      <c r="DI836"/>
      <c r="DJ836"/>
      <c r="DK836"/>
      <c r="DL836"/>
      <c r="DM836"/>
      <c r="DN836"/>
      <c r="DO836"/>
      <c r="DP836"/>
      <c r="DQ836"/>
      <c r="DR836"/>
      <c r="DS836"/>
      <c r="DT836"/>
      <c r="DU836"/>
      <c r="DV836"/>
      <c r="DW836"/>
      <c r="DX836"/>
      <c r="DY836"/>
      <c r="DZ836"/>
      <c r="EA836"/>
      <c r="EB836"/>
      <c r="EC836"/>
      <c r="ED836"/>
      <c r="EE836"/>
      <c r="EF836"/>
      <c r="EG836"/>
      <c r="EH836"/>
      <c r="EI836"/>
      <c r="EJ836"/>
      <c r="EK836"/>
      <c r="EL836"/>
      <c r="EM836"/>
      <c r="EN836"/>
      <c r="EO836"/>
      <c r="EP836"/>
      <c r="EQ836"/>
      <c r="ER836"/>
      <c r="ES836"/>
    </row>
    <row r="837" spans="1:149">
      <c r="A837"/>
      <c r="B837"/>
      <c r="C837"/>
      <c r="D837"/>
      <c r="E837"/>
      <c r="F837"/>
      <c r="G837"/>
      <c r="H837"/>
      <c r="I837"/>
      <c r="J837"/>
      <c r="K837"/>
      <c r="L837"/>
      <c r="M837"/>
      <c r="N837"/>
      <c r="O837"/>
      <c r="P837"/>
      <c r="Q837"/>
      <c r="R837"/>
      <c r="S837"/>
      <c r="T837"/>
      <c r="U837"/>
      <c r="V837"/>
      <c r="W837"/>
      <c r="X837"/>
      <c r="Y837"/>
      <c r="Z837"/>
      <c r="AA837"/>
      <c r="AB837"/>
      <c r="AC837"/>
      <c r="AD837"/>
      <c r="AE837"/>
      <c r="AF837"/>
      <c r="AG837"/>
      <c r="AH837"/>
      <c r="AI837"/>
      <c r="AJ837"/>
      <c r="AK837"/>
      <c r="AL837"/>
      <c r="AM837"/>
      <c r="AN837"/>
      <c r="AO837"/>
      <c r="AP837"/>
      <c r="AQ837"/>
      <c r="AR837"/>
      <c r="AS837"/>
      <c r="AT837"/>
      <c r="AU837"/>
      <c r="AV837"/>
      <c r="AW837"/>
      <c r="AX837"/>
      <c r="AY837"/>
      <c r="AZ837"/>
      <c r="BA837"/>
      <c r="BB837"/>
      <c r="BC837"/>
      <c r="BD837"/>
      <c r="BE837"/>
      <c r="BF837"/>
      <c r="BG837"/>
      <c r="BH837"/>
      <c r="BI837"/>
      <c r="BJ837"/>
      <c r="BK837"/>
      <c r="BL837"/>
      <c r="BM837"/>
      <c r="BN837"/>
      <c r="BO837"/>
      <c r="BP837"/>
      <c r="BQ837"/>
      <c r="BR837"/>
      <c r="BS837"/>
      <c r="BT837"/>
      <c r="BU837"/>
      <c r="BV837"/>
      <c r="BW837"/>
      <c r="BX837"/>
      <c r="BY837"/>
      <c r="BZ837"/>
      <c r="CA837"/>
      <c r="CB837"/>
      <c r="CC837"/>
      <c r="CD837"/>
      <c r="CE837"/>
      <c r="CF837"/>
      <c r="CG837"/>
      <c r="CH837"/>
      <c r="CI837"/>
      <c r="CJ837"/>
      <c r="CK837"/>
      <c r="CL837"/>
      <c r="CM837"/>
      <c r="CN837"/>
      <c r="CO837"/>
      <c r="CP837"/>
      <c r="CQ837"/>
      <c r="CR837"/>
      <c r="CS837"/>
      <c r="CT837"/>
      <c r="CU837"/>
      <c r="CV837"/>
      <c r="CW837"/>
      <c r="CX837"/>
      <c r="CY837"/>
      <c r="CZ837"/>
      <c r="DA837"/>
      <c r="DB837"/>
      <c r="DC837"/>
      <c r="DD837"/>
      <c r="DE837"/>
      <c r="DF837"/>
      <c r="DG837"/>
      <c r="DH837"/>
      <c r="DI837"/>
      <c r="DJ837"/>
      <c r="DK837"/>
      <c r="DL837"/>
      <c r="DM837"/>
      <c r="DN837"/>
      <c r="DO837"/>
      <c r="DP837"/>
      <c r="DQ837"/>
      <c r="DR837"/>
      <c r="DS837"/>
      <c r="DT837"/>
      <c r="DU837"/>
      <c r="DV837"/>
      <c r="DW837"/>
      <c r="DX837"/>
      <c r="DY837"/>
      <c r="DZ837"/>
      <c r="EA837"/>
      <c r="EB837"/>
      <c r="EC837"/>
      <c r="ED837"/>
      <c r="EE837"/>
      <c r="EF837"/>
      <c r="EG837"/>
      <c r="EH837"/>
      <c r="EI837"/>
      <c r="EJ837"/>
      <c r="EK837"/>
      <c r="EL837"/>
      <c r="EM837"/>
      <c r="EN837"/>
      <c r="EO837"/>
      <c r="EP837"/>
      <c r="EQ837"/>
      <c r="ER837"/>
      <c r="ES837"/>
    </row>
    <row r="838" spans="1:149">
      <c r="A838"/>
      <c r="B838"/>
      <c r="C838"/>
      <c r="D838"/>
      <c r="E838"/>
      <c r="F838"/>
      <c r="G838"/>
      <c r="H838"/>
      <c r="I838"/>
      <c r="J838"/>
      <c r="K838"/>
      <c r="L838"/>
      <c r="M838"/>
      <c r="N838"/>
      <c r="O838"/>
      <c r="P838"/>
      <c r="Q838"/>
      <c r="R838"/>
      <c r="S838"/>
      <c r="T838"/>
      <c r="U838"/>
      <c r="V838"/>
      <c r="W838"/>
      <c r="X838"/>
      <c r="Y838"/>
      <c r="Z838"/>
      <c r="AA838"/>
      <c r="AB838"/>
      <c r="AC838"/>
      <c r="AD838"/>
      <c r="AE838"/>
      <c r="AF838"/>
      <c r="AG838"/>
      <c r="AH838"/>
      <c r="AI838"/>
      <c r="AJ838"/>
      <c r="AK838"/>
      <c r="AL838"/>
      <c r="AM838"/>
      <c r="AN838"/>
      <c r="AO838"/>
      <c r="AP838"/>
      <c r="AQ838"/>
      <c r="AR838"/>
      <c r="AS838"/>
      <c r="AT838"/>
      <c r="AU838"/>
      <c r="AV838"/>
      <c r="AW838"/>
      <c r="AX838"/>
      <c r="AY838"/>
      <c r="AZ838"/>
      <c r="BA838"/>
      <c r="BB838"/>
      <c r="BC838"/>
      <c r="BD838"/>
      <c r="BE838"/>
      <c r="BF838"/>
      <c r="BG838"/>
      <c r="BH838"/>
      <c r="BI838"/>
      <c r="BJ838"/>
      <c r="BK838"/>
      <c r="BL838"/>
      <c r="BM838"/>
      <c r="BN838"/>
      <c r="BO838"/>
      <c r="BP838"/>
      <c r="BQ838"/>
      <c r="BR838"/>
      <c r="BS838"/>
      <c r="BT838"/>
      <c r="BU838"/>
      <c r="BV838"/>
      <c r="BW838"/>
      <c r="BX838"/>
      <c r="BY838"/>
      <c r="BZ838"/>
      <c r="CA838"/>
      <c r="CB838"/>
      <c r="CC838"/>
      <c r="CD838"/>
      <c r="CE838"/>
      <c r="CF838"/>
      <c r="CG838"/>
      <c r="CH838"/>
      <c r="CI838"/>
      <c r="CJ838"/>
      <c r="CK838"/>
      <c r="CL838"/>
      <c r="CM838"/>
      <c r="CN838"/>
      <c r="CO838"/>
      <c r="CP838"/>
      <c r="CQ838"/>
      <c r="CR838"/>
      <c r="CS838"/>
      <c r="CT838"/>
      <c r="CU838"/>
      <c r="CV838"/>
      <c r="CW838"/>
      <c r="CX838"/>
      <c r="CY838"/>
      <c r="CZ838"/>
      <c r="DA838"/>
      <c r="DB838"/>
      <c r="DC838"/>
      <c r="DD838"/>
      <c r="DE838"/>
      <c r="DF838"/>
      <c r="DG838"/>
      <c r="DH838"/>
      <c r="DI838"/>
      <c r="DJ838"/>
      <c r="DK838"/>
      <c r="DL838"/>
      <c r="DM838"/>
      <c r="DN838"/>
      <c r="DO838"/>
      <c r="DP838"/>
      <c r="DQ838"/>
      <c r="DR838"/>
      <c r="DS838"/>
      <c r="DT838"/>
      <c r="DU838"/>
      <c r="DV838"/>
      <c r="DW838"/>
      <c r="DX838"/>
      <c r="DY838"/>
      <c r="DZ838"/>
      <c r="EA838"/>
      <c r="EB838"/>
      <c r="EC838"/>
      <c r="ED838"/>
      <c r="EE838"/>
      <c r="EF838"/>
      <c r="EG838"/>
      <c r="EH838"/>
      <c r="EI838"/>
      <c r="EJ838"/>
      <c r="EK838"/>
      <c r="EL838"/>
      <c r="EM838"/>
      <c r="EN838"/>
      <c r="EO838"/>
      <c r="EP838"/>
      <c r="EQ838"/>
      <c r="ER838"/>
      <c r="ES838"/>
    </row>
    <row r="839" spans="1:149">
      <c r="A839"/>
      <c r="B839"/>
      <c r="C839"/>
      <c r="D839"/>
      <c r="E839"/>
      <c r="F839"/>
      <c r="G839"/>
      <c r="H839"/>
      <c r="I839"/>
      <c r="J839"/>
      <c r="K839"/>
      <c r="L839"/>
      <c r="M839"/>
      <c r="N839"/>
      <c r="O839"/>
      <c r="P839"/>
      <c r="Q839"/>
      <c r="R839"/>
      <c r="S839"/>
      <c r="T839"/>
      <c r="U839"/>
      <c r="V839"/>
      <c r="W839"/>
      <c r="X839"/>
      <c r="Y839"/>
      <c r="Z839"/>
      <c r="AA839"/>
      <c r="AB839"/>
      <c r="AC839"/>
      <c r="AD839"/>
      <c r="AE839"/>
      <c r="AF839"/>
      <c r="AG839"/>
      <c r="AH839"/>
      <c r="AI839"/>
      <c r="AJ839"/>
      <c r="AK839"/>
      <c r="AL839"/>
      <c r="AM839"/>
      <c r="AN839"/>
      <c r="AO839"/>
      <c r="AP839"/>
      <c r="AQ839"/>
      <c r="AR839"/>
      <c r="AS839"/>
      <c r="AT839"/>
      <c r="AU839"/>
      <c r="AV839"/>
      <c r="AW839"/>
      <c r="AX839"/>
      <c r="AY839"/>
      <c r="AZ839"/>
      <c r="BA839"/>
      <c r="BB839"/>
      <c r="BC839"/>
      <c r="BD839"/>
      <c r="BE839"/>
      <c r="BF839"/>
      <c r="BG839"/>
      <c r="BH839"/>
      <c r="BI839"/>
      <c r="BJ839"/>
      <c r="BK839"/>
      <c r="BL839"/>
      <c r="BM839"/>
      <c r="BN839"/>
      <c r="BO839"/>
      <c r="BP839"/>
      <c r="BQ839"/>
      <c r="BR839"/>
      <c r="BS839"/>
      <c r="BT839"/>
      <c r="BU839"/>
      <c r="BV839"/>
      <c r="BW839"/>
      <c r="BX839"/>
      <c r="BY839"/>
      <c r="BZ839"/>
      <c r="CA839"/>
      <c r="CB839"/>
      <c r="CC839"/>
      <c r="CD839"/>
      <c r="CE839"/>
      <c r="CF839"/>
      <c r="CG839"/>
      <c r="CH839"/>
      <c r="CI839"/>
      <c r="CJ839"/>
      <c r="CK839"/>
      <c r="CL839"/>
      <c r="CM839"/>
      <c r="CN839"/>
      <c r="CO839"/>
      <c r="CP839"/>
      <c r="CQ839"/>
      <c r="CR839"/>
      <c r="CS839"/>
      <c r="CT839"/>
      <c r="CU839"/>
      <c r="CV839"/>
      <c r="CW839"/>
      <c r="CX839"/>
      <c r="CY839"/>
      <c r="CZ839"/>
      <c r="DA839"/>
      <c r="DB839"/>
      <c r="DC839"/>
      <c r="DD839"/>
      <c r="DE839"/>
      <c r="DF839"/>
      <c r="DG839"/>
      <c r="DH839"/>
      <c r="DI839"/>
      <c r="DJ839"/>
      <c r="DK839"/>
      <c r="DL839"/>
      <c r="DM839"/>
      <c r="DN839"/>
      <c r="DO839"/>
      <c r="DP839"/>
      <c r="DQ839"/>
      <c r="DR839"/>
      <c r="DS839"/>
      <c r="DT839"/>
      <c r="DU839"/>
      <c r="DV839"/>
      <c r="DW839"/>
      <c r="DX839"/>
      <c r="DY839"/>
      <c r="DZ839"/>
      <c r="EA839"/>
      <c r="EB839"/>
      <c r="EC839"/>
      <c r="ED839"/>
      <c r="EE839"/>
      <c r="EF839"/>
      <c r="EG839"/>
      <c r="EH839"/>
      <c r="EI839"/>
      <c r="EJ839"/>
      <c r="EK839"/>
      <c r="EL839"/>
      <c r="EM839"/>
      <c r="EN839"/>
      <c r="EO839"/>
      <c r="EP839"/>
      <c r="EQ839"/>
      <c r="ER839"/>
      <c r="ES839"/>
    </row>
    <row r="840" spans="1:149">
      <c r="A840"/>
      <c r="B840"/>
      <c r="C840"/>
      <c r="D840"/>
      <c r="E840"/>
      <c r="F840"/>
      <c r="G840"/>
      <c r="H840"/>
      <c r="I840"/>
      <c r="J840"/>
      <c r="K840"/>
      <c r="L840"/>
      <c r="M840"/>
      <c r="N840"/>
      <c r="O840"/>
      <c r="P840"/>
      <c r="Q840"/>
      <c r="R840"/>
      <c r="S840"/>
      <c r="T840"/>
      <c r="U840"/>
      <c r="V840"/>
      <c r="W840"/>
      <c r="X840"/>
      <c r="Y840"/>
      <c r="Z840"/>
      <c r="AA840"/>
      <c r="AB840"/>
      <c r="AC840"/>
      <c r="AD840"/>
      <c r="AE840"/>
      <c r="AF840"/>
      <c r="AG840"/>
      <c r="AH840"/>
      <c r="AI840"/>
      <c r="AJ840"/>
      <c r="AK840"/>
      <c r="AL840"/>
      <c r="AM840"/>
      <c r="AN840"/>
      <c r="AO840"/>
      <c r="AP840"/>
      <c r="AQ840"/>
      <c r="AR840"/>
      <c r="AS840"/>
      <c r="AT840"/>
      <c r="AU840"/>
      <c r="AV840"/>
      <c r="AW840"/>
      <c r="AX840"/>
      <c r="AY840"/>
      <c r="AZ840"/>
      <c r="BA840"/>
      <c r="BB840"/>
      <c r="BC840"/>
      <c r="BD840"/>
      <c r="BE840"/>
      <c r="BF840"/>
      <c r="BG840"/>
      <c r="BH840"/>
      <c r="BI840"/>
      <c r="BJ840"/>
      <c r="BK840"/>
      <c r="BL840"/>
      <c r="BM840"/>
      <c r="BN840"/>
      <c r="BO840"/>
      <c r="BP840"/>
      <c r="BQ840"/>
      <c r="BR840"/>
      <c r="BS840"/>
      <c r="BT840"/>
      <c r="BU840"/>
      <c r="BV840"/>
      <c r="BW840"/>
      <c r="BX840"/>
      <c r="BY840"/>
      <c r="BZ840"/>
      <c r="CA840"/>
      <c r="CB840"/>
      <c r="CC840"/>
      <c r="CD840"/>
      <c r="CE840"/>
      <c r="CF840"/>
      <c r="CG840"/>
      <c r="CH840"/>
      <c r="CI840"/>
      <c r="CJ840"/>
      <c r="CK840"/>
      <c r="CL840"/>
      <c r="CM840"/>
      <c r="CN840"/>
      <c r="CO840"/>
      <c r="CP840"/>
      <c r="CQ840"/>
      <c r="CR840"/>
      <c r="CS840"/>
      <c r="CT840"/>
      <c r="CU840"/>
      <c r="CV840"/>
      <c r="CW840"/>
      <c r="CX840"/>
      <c r="CY840"/>
      <c r="CZ840"/>
      <c r="DA840"/>
      <c r="DB840"/>
      <c r="DC840"/>
      <c r="DD840"/>
      <c r="DE840"/>
      <c r="DF840"/>
      <c r="DG840"/>
      <c r="DH840"/>
      <c r="DI840"/>
      <c r="DJ840"/>
      <c r="DK840"/>
      <c r="DL840"/>
      <c r="DM840"/>
      <c r="DN840"/>
      <c r="DO840"/>
      <c r="DP840"/>
      <c r="DQ840"/>
      <c r="DR840"/>
      <c r="DS840"/>
      <c r="DT840"/>
      <c r="DU840"/>
      <c r="DV840"/>
      <c r="DW840"/>
      <c r="DX840"/>
      <c r="DY840"/>
      <c r="DZ840"/>
      <c r="EA840"/>
      <c r="EB840"/>
      <c r="EC840"/>
      <c r="ED840"/>
      <c r="EE840"/>
      <c r="EF840"/>
      <c r="EG840"/>
      <c r="EH840"/>
      <c r="EI840"/>
      <c r="EJ840"/>
      <c r="EK840"/>
      <c r="EL840"/>
      <c r="EM840"/>
      <c r="EN840"/>
      <c r="EO840"/>
      <c r="EP840"/>
      <c r="EQ840"/>
      <c r="ER840"/>
      <c r="ES840"/>
    </row>
    <row r="841" spans="1:149">
      <c r="A841"/>
      <c r="B841"/>
      <c r="C841"/>
      <c r="D841"/>
      <c r="E841"/>
      <c r="F841"/>
      <c r="G841"/>
      <c r="H841"/>
      <c r="I841"/>
      <c r="J841"/>
      <c r="K841"/>
      <c r="L841"/>
      <c r="M841"/>
      <c r="N841"/>
      <c r="O841"/>
      <c r="P841"/>
      <c r="Q841"/>
      <c r="R841"/>
      <c r="S841"/>
      <c r="T841"/>
      <c r="U841"/>
      <c r="V841"/>
      <c r="W841"/>
      <c r="X841"/>
      <c r="Y841"/>
      <c r="Z841"/>
      <c r="AA841"/>
      <c r="AB841"/>
      <c r="AC841"/>
      <c r="AD841"/>
      <c r="AE841"/>
      <c r="AF841"/>
      <c r="AG841"/>
      <c r="AH841"/>
      <c r="AI841"/>
      <c r="AJ841"/>
      <c r="AK841"/>
      <c r="AL841"/>
      <c r="AM841"/>
      <c r="AN841"/>
      <c r="AO841"/>
      <c r="AP841"/>
      <c r="AQ841"/>
      <c r="AR841"/>
      <c r="AS841"/>
      <c r="AT841"/>
      <c r="AU841"/>
      <c r="AV841"/>
      <c r="AW841"/>
      <c r="AX841"/>
      <c r="AY841"/>
      <c r="AZ841"/>
      <c r="BA841"/>
      <c r="BB841"/>
      <c r="BC841"/>
      <c r="BD841"/>
      <c r="BE841"/>
      <c r="BF841"/>
      <c r="BG841"/>
      <c r="BH841"/>
      <c r="BI841"/>
      <c r="BJ841"/>
      <c r="BK841"/>
      <c r="BL841"/>
      <c r="BM841"/>
      <c r="BN841"/>
      <c r="BO841"/>
      <c r="BP841"/>
      <c r="BQ841"/>
      <c r="BR841"/>
      <c r="BS841"/>
      <c r="BT841"/>
      <c r="BU841"/>
      <c r="BV841"/>
      <c r="BW841"/>
      <c r="BX841"/>
      <c r="BY841"/>
      <c r="BZ841"/>
      <c r="CA841"/>
      <c r="CB841"/>
      <c r="CC841"/>
      <c r="CD841"/>
      <c r="CE841"/>
      <c r="CF841"/>
      <c r="CG841"/>
      <c r="CH841"/>
      <c r="CI841"/>
      <c r="CJ841"/>
      <c r="CK841"/>
      <c r="CL841"/>
      <c r="CM841"/>
      <c r="CN841"/>
      <c r="CO841"/>
      <c r="CP841"/>
      <c r="CQ841"/>
      <c r="CR841"/>
      <c r="CS841"/>
      <c r="CT841"/>
      <c r="CU841"/>
      <c r="CV841"/>
      <c r="CW841"/>
      <c r="CX841"/>
      <c r="CY841"/>
      <c r="CZ841"/>
      <c r="DA841"/>
      <c r="DB841"/>
      <c r="DC841"/>
      <c r="DD841"/>
      <c r="DE841"/>
      <c r="DF841"/>
      <c r="DG841"/>
      <c r="DH841"/>
      <c r="DI841"/>
      <c r="DJ841"/>
      <c r="DK841"/>
      <c r="DL841"/>
      <c r="DM841"/>
      <c r="DN841"/>
      <c r="DO841"/>
      <c r="DP841"/>
      <c r="DQ841"/>
      <c r="DR841"/>
      <c r="DS841"/>
      <c r="DT841"/>
      <c r="DU841"/>
      <c r="DV841"/>
      <c r="DW841"/>
      <c r="DX841"/>
      <c r="DY841"/>
      <c r="DZ841"/>
      <c r="EA841"/>
      <c r="EB841"/>
      <c r="EC841"/>
      <c r="ED841"/>
      <c r="EE841"/>
      <c r="EF841"/>
      <c r="EG841"/>
      <c r="EH841"/>
      <c r="EI841"/>
      <c r="EJ841"/>
      <c r="EK841"/>
      <c r="EL841"/>
      <c r="EM841"/>
      <c r="EN841"/>
      <c r="EO841"/>
      <c r="EP841"/>
      <c r="EQ841"/>
      <c r="ER841"/>
      <c r="ES841"/>
    </row>
    <row r="842" spans="1:149">
      <c r="A842"/>
      <c r="B842"/>
      <c r="C842"/>
      <c r="D842"/>
      <c r="E842"/>
      <c r="F842"/>
      <c r="G842"/>
      <c r="H842"/>
      <c r="I842"/>
      <c r="J842"/>
      <c r="K842"/>
      <c r="L842"/>
      <c r="M842"/>
      <c r="N842"/>
      <c r="O842"/>
      <c r="P842"/>
      <c r="Q842"/>
      <c r="R842"/>
      <c r="S842"/>
      <c r="T842"/>
      <c r="U842"/>
      <c r="V842"/>
      <c r="W842"/>
      <c r="X842"/>
      <c r="Y842"/>
      <c r="Z842"/>
      <c r="AA842"/>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c r="BZ842"/>
      <c r="CA842"/>
      <c r="CB842"/>
      <c r="CC842"/>
      <c r="CD842"/>
      <c r="CE842"/>
      <c r="CF842"/>
      <c r="CG842"/>
      <c r="CH842"/>
      <c r="CI842"/>
      <c r="CJ842"/>
      <c r="CK842"/>
      <c r="CL842"/>
      <c r="CM842"/>
      <c r="CN842"/>
      <c r="CO842"/>
      <c r="CP842"/>
      <c r="CQ842"/>
      <c r="CR842"/>
      <c r="CS842"/>
      <c r="CT842"/>
      <c r="CU842"/>
      <c r="CV842"/>
      <c r="CW842"/>
      <c r="CX842"/>
      <c r="CY842"/>
      <c r="CZ842"/>
      <c r="DA842"/>
      <c r="DB842"/>
      <c r="DC842"/>
      <c r="DD842"/>
      <c r="DE842"/>
      <c r="DF842"/>
      <c r="DG842"/>
      <c r="DH842"/>
      <c r="DI842"/>
      <c r="DJ842"/>
      <c r="DK842"/>
      <c r="DL842"/>
      <c r="DM842"/>
      <c r="DN842"/>
      <c r="DO842"/>
      <c r="DP842"/>
      <c r="DQ842"/>
      <c r="DR842"/>
      <c r="DS842"/>
      <c r="DT842"/>
      <c r="DU842"/>
      <c r="DV842"/>
      <c r="DW842"/>
      <c r="DX842"/>
      <c r="DY842"/>
      <c r="DZ842"/>
      <c r="EA842"/>
      <c r="EB842"/>
      <c r="EC842"/>
      <c r="ED842"/>
      <c r="EE842"/>
      <c r="EF842"/>
      <c r="EG842"/>
      <c r="EH842"/>
      <c r="EI842"/>
      <c r="EJ842"/>
      <c r="EK842"/>
      <c r="EL842"/>
      <c r="EM842"/>
      <c r="EN842"/>
      <c r="EO842"/>
      <c r="EP842"/>
      <c r="EQ842"/>
      <c r="ER842"/>
      <c r="ES842"/>
    </row>
    <row r="843" spans="1:149">
      <c r="A843"/>
      <c r="B843"/>
      <c r="C843"/>
      <c r="D843"/>
      <c r="E843"/>
      <c r="F843"/>
      <c r="G843"/>
      <c r="H843"/>
      <c r="I843"/>
      <c r="J843"/>
      <c r="K843"/>
      <c r="L843"/>
      <c r="M843"/>
      <c r="N843"/>
      <c r="O843"/>
      <c r="P843"/>
      <c r="Q843"/>
      <c r="R843"/>
      <c r="S843"/>
      <c r="T843"/>
      <c r="U843"/>
      <c r="V843"/>
      <c r="W843"/>
      <c r="X843"/>
      <c r="Y843"/>
      <c r="Z843"/>
      <c r="AA843"/>
      <c r="AB843"/>
      <c r="AC843"/>
      <c r="AD843"/>
      <c r="AE843"/>
      <c r="AF843"/>
      <c r="AG843"/>
      <c r="AH843"/>
      <c r="AI843"/>
      <c r="AJ843"/>
      <c r="AK843"/>
      <c r="AL843"/>
      <c r="AM843"/>
      <c r="AN843"/>
      <c r="AO843"/>
      <c r="AP843"/>
      <c r="AQ843"/>
      <c r="AR843"/>
      <c r="AS843"/>
      <c r="AT843"/>
      <c r="AU843"/>
      <c r="AV843"/>
      <c r="AW843"/>
      <c r="AX843"/>
      <c r="AY843"/>
      <c r="AZ843"/>
      <c r="BA843"/>
      <c r="BB843"/>
      <c r="BC843"/>
      <c r="BD843"/>
      <c r="BE843"/>
      <c r="BF843"/>
      <c r="BG843"/>
      <c r="BH843"/>
      <c r="BI843"/>
      <c r="BJ843"/>
      <c r="BK843"/>
      <c r="BL843"/>
      <c r="BM843"/>
      <c r="BN843"/>
      <c r="BO843"/>
      <c r="BP843"/>
      <c r="BQ843"/>
      <c r="BR843"/>
      <c r="BS843"/>
      <c r="BT843"/>
      <c r="BU843"/>
      <c r="BV843"/>
      <c r="BW843"/>
      <c r="BX843"/>
      <c r="BY843"/>
      <c r="BZ843"/>
      <c r="CA843"/>
      <c r="CB843"/>
      <c r="CC843"/>
      <c r="CD843"/>
      <c r="CE843"/>
      <c r="CF843"/>
      <c r="CG843"/>
      <c r="CH843"/>
      <c r="CI843"/>
      <c r="CJ843"/>
      <c r="CK843"/>
      <c r="CL843"/>
      <c r="CM843"/>
      <c r="CN843"/>
      <c r="CO843"/>
      <c r="CP843"/>
      <c r="CQ843"/>
      <c r="CR843"/>
      <c r="CS843"/>
      <c r="CT843"/>
      <c r="CU843"/>
      <c r="CV843"/>
      <c r="CW843"/>
      <c r="CX843"/>
      <c r="CY843"/>
      <c r="CZ843"/>
      <c r="DA843"/>
      <c r="DB843"/>
      <c r="DC843"/>
      <c r="DD843"/>
      <c r="DE843"/>
      <c r="DF843"/>
      <c r="DG843"/>
      <c r="DH843"/>
      <c r="DI843"/>
      <c r="DJ843"/>
      <c r="DK843"/>
      <c r="DL843"/>
      <c r="DM843"/>
      <c r="DN843"/>
      <c r="DO843"/>
      <c r="DP843"/>
      <c r="DQ843"/>
      <c r="DR843"/>
      <c r="DS843"/>
      <c r="DT843"/>
      <c r="DU843"/>
      <c r="DV843"/>
      <c r="DW843"/>
      <c r="DX843"/>
      <c r="DY843"/>
      <c r="DZ843"/>
      <c r="EA843"/>
      <c r="EB843"/>
      <c r="EC843"/>
      <c r="ED843"/>
      <c r="EE843"/>
      <c r="EF843"/>
      <c r="EG843"/>
      <c r="EH843"/>
      <c r="EI843"/>
      <c r="EJ843"/>
      <c r="EK843"/>
      <c r="EL843"/>
      <c r="EM843"/>
      <c r="EN843"/>
      <c r="EO843"/>
      <c r="EP843"/>
      <c r="EQ843"/>
      <c r="ER843"/>
      <c r="ES843"/>
    </row>
    <row r="844" spans="1:149">
      <c r="A844"/>
      <c r="B844"/>
      <c r="C844"/>
      <c r="D844"/>
      <c r="E844"/>
      <c r="F844"/>
      <c r="G844"/>
      <c r="H844"/>
      <c r="I844"/>
      <c r="J844"/>
      <c r="K844"/>
      <c r="L844"/>
      <c r="M844"/>
      <c r="N844"/>
      <c r="O844"/>
      <c r="P844"/>
      <c r="Q844"/>
      <c r="R844"/>
      <c r="S844"/>
      <c r="T844"/>
      <c r="U844"/>
      <c r="V844"/>
      <c r="W844"/>
      <c r="X844"/>
      <c r="Y844"/>
      <c r="Z844"/>
      <c r="AA844"/>
      <c r="AB844"/>
      <c r="AC844"/>
      <c r="AD844"/>
      <c r="AE844"/>
      <c r="AF844"/>
      <c r="AG844"/>
      <c r="AH844"/>
      <c r="AI844"/>
      <c r="AJ844"/>
      <c r="AK844"/>
      <c r="AL844"/>
      <c r="AM844"/>
      <c r="AN844"/>
      <c r="AO844"/>
      <c r="AP844"/>
      <c r="AQ844"/>
      <c r="AR844"/>
      <c r="AS844"/>
      <c r="AT844"/>
      <c r="AU844"/>
      <c r="AV844"/>
      <c r="AW844"/>
      <c r="AX844"/>
      <c r="AY844"/>
      <c r="AZ844"/>
      <c r="BA844"/>
      <c r="BB844"/>
      <c r="BC844"/>
      <c r="BD844"/>
      <c r="BE844"/>
      <c r="BF844"/>
      <c r="BG844"/>
      <c r="BH844"/>
      <c r="BI844"/>
      <c r="BJ844"/>
      <c r="BK844"/>
      <c r="BL844"/>
      <c r="BM844"/>
      <c r="BN844"/>
      <c r="BO844"/>
      <c r="BP844"/>
      <c r="BQ844"/>
      <c r="BR844"/>
      <c r="BS844"/>
      <c r="BT844"/>
      <c r="BU844"/>
      <c r="BV844"/>
      <c r="BW844"/>
      <c r="BX844"/>
      <c r="BY844"/>
      <c r="BZ844"/>
      <c r="CA844"/>
      <c r="CB844"/>
      <c r="CC844"/>
      <c r="CD844"/>
      <c r="CE844"/>
      <c r="CF844"/>
      <c r="CG844"/>
      <c r="CH844"/>
      <c r="CI844"/>
      <c r="CJ844"/>
      <c r="CK844"/>
      <c r="CL844"/>
      <c r="CM844"/>
      <c r="CN844"/>
      <c r="CO844"/>
      <c r="CP844"/>
      <c r="CQ844"/>
      <c r="CR844"/>
      <c r="CS844"/>
      <c r="CT844"/>
      <c r="CU844"/>
      <c r="CV844"/>
      <c r="CW844"/>
      <c r="CX844"/>
      <c r="CY844"/>
      <c r="CZ844"/>
      <c r="DA844"/>
      <c r="DB844"/>
      <c r="DC844"/>
      <c r="DD844"/>
      <c r="DE844"/>
      <c r="DF844"/>
      <c r="DG844"/>
      <c r="DH844"/>
      <c r="DI844"/>
      <c r="DJ844"/>
      <c r="DK844"/>
      <c r="DL844"/>
      <c r="DM844"/>
      <c r="DN844"/>
      <c r="DO844"/>
      <c r="DP844"/>
      <c r="DQ844"/>
      <c r="DR844"/>
      <c r="DS844"/>
      <c r="DT844"/>
      <c r="DU844"/>
      <c r="DV844"/>
      <c r="DW844"/>
      <c r="DX844"/>
      <c r="DY844"/>
      <c r="DZ844"/>
      <c r="EA844"/>
      <c r="EB844"/>
      <c r="EC844"/>
      <c r="ED844"/>
      <c r="EE844"/>
      <c r="EF844"/>
      <c r="EG844"/>
      <c r="EH844"/>
      <c r="EI844"/>
      <c r="EJ844"/>
      <c r="EK844"/>
      <c r="EL844"/>
      <c r="EM844"/>
      <c r="EN844"/>
      <c r="EO844"/>
      <c r="EP844"/>
      <c r="EQ844"/>
      <c r="ER844"/>
      <c r="ES844"/>
    </row>
    <row r="845" spans="1:149">
      <c r="A845"/>
      <c r="B845"/>
      <c r="C845"/>
      <c r="D845"/>
      <c r="E845"/>
      <c r="F845"/>
      <c r="G845"/>
      <c r="H845"/>
      <c r="I845"/>
      <c r="J845"/>
      <c r="K845"/>
      <c r="L845"/>
      <c r="M845"/>
      <c r="N845"/>
      <c r="O845"/>
      <c r="P845"/>
      <c r="Q845"/>
      <c r="R845"/>
      <c r="S845"/>
      <c r="T845"/>
      <c r="U845"/>
      <c r="V845"/>
      <c r="W845"/>
      <c r="X845"/>
      <c r="Y845"/>
      <c r="Z845"/>
      <c r="AA845"/>
      <c r="AB845"/>
      <c r="AC845"/>
      <c r="AD845"/>
      <c r="AE845"/>
      <c r="AF845"/>
      <c r="AG845"/>
      <c r="AH845"/>
      <c r="AI845"/>
      <c r="AJ845"/>
      <c r="AK845"/>
      <c r="AL845"/>
      <c r="AM845"/>
      <c r="AN845"/>
      <c r="AO845"/>
      <c r="AP845"/>
      <c r="AQ845"/>
      <c r="AR845"/>
      <c r="AS845"/>
      <c r="AT845"/>
      <c r="AU845"/>
      <c r="AV845"/>
      <c r="AW845"/>
      <c r="AX845"/>
      <c r="AY845"/>
      <c r="AZ845"/>
      <c r="BA845"/>
      <c r="BB845"/>
      <c r="BC845"/>
      <c r="BD845"/>
      <c r="BE845"/>
      <c r="BF845"/>
      <c r="BG845"/>
      <c r="BH845"/>
      <c r="BI845"/>
      <c r="BJ845"/>
      <c r="BK845"/>
      <c r="BL845"/>
      <c r="BM845"/>
      <c r="BN845"/>
      <c r="BO845"/>
      <c r="BP845"/>
      <c r="BQ845"/>
      <c r="BR845"/>
      <c r="BS845"/>
      <c r="BT845"/>
      <c r="BU845"/>
      <c r="BV845"/>
      <c r="BW845"/>
      <c r="BX845"/>
      <c r="BY845"/>
      <c r="BZ845"/>
      <c r="CA845"/>
      <c r="CB845"/>
      <c r="CC845"/>
      <c r="CD845"/>
      <c r="CE845"/>
      <c r="CF845"/>
      <c r="CG845"/>
      <c r="CH845"/>
      <c r="CI845"/>
      <c r="CJ845"/>
      <c r="CK845"/>
      <c r="CL845"/>
      <c r="CM845"/>
      <c r="CN845"/>
      <c r="CO845"/>
      <c r="CP845"/>
      <c r="CQ845"/>
      <c r="CR845"/>
      <c r="CS845"/>
      <c r="CT845"/>
      <c r="CU845"/>
      <c r="CV845"/>
      <c r="CW845"/>
      <c r="CX845"/>
      <c r="CY845"/>
      <c r="CZ845"/>
      <c r="DA845"/>
      <c r="DB845"/>
      <c r="DC845"/>
      <c r="DD845"/>
      <c r="DE845"/>
      <c r="DF845"/>
      <c r="DG845"/>
      <c r="DH845"/>
      <c r="DI845"/>
      <c r="DJ845"/>
      <c r="DK845"/>
      <c r="DL845"/>
      <c r="DM845"/>
      <c r="DN845"/>
      <c r="DO845"/>
      <c r="DP845"/>
      <c r="DQ845"/>
      <c r="DR845"/>
      <c r="DS845"/>
      <c r="DT845"/>
      <c r="DU845"/>
      <c r="DV845"/>
      <c r="DW845"/>
      <c r="DX845"/>
      <c r="DY845"/>
      <c r="DZ845"/>
      <c r="EA845"/>
      <c r="EB845"/>
      <c r="EC845"/>
      <c r="ED845"/>
      <c r="EE845"/>
      <c r="EF845"/>
      <c r="EG845"/>
      <c r="EH845"/>
      <c r="EI845"/>
      <c r="EJ845"/>
      <c r="EK845"/>
      <c r="EL845"/>
      <c r="EM845"/>
      <c r="EN845"/>
      <c r="EO845"/>
      <c r="EP845"/>
      <c r="EQ845"/>
      <c r="ER845"/>
      <c r="ES845"/>
    </row>
    <row r="846" spans="1:149">
      <c r="A846"/>
      <c r="B846"/>
      <c r="C846"/>
      <c r="D846"/>
      <c r="E846"/>
      <c r="F846"/>
      <c r="G846"/>
      <c r="H846"/>
      <c r="I846"/>
      <c r="J846"/>
      <c r="K846"/>
      <c r="L846"/>
      <c r="M846"/>
      <c r="N846"/>
      <c r="O846"/>
      <c r="P846"/>
      <c r="Q846"/>
      <c r="R846"/>
      <c r="S846"/>
      <c r="T846"/>
      <c r="U846"/>
      <c r="V846"/>
      <c r="W846"/>
      <c r="X846"/>
      <c r="Y846"/>
      <c r="Z846"/>
      <c r="AA846"/>
      <c r="AB846"/>
      <c r="AC846"/>
      <c r="AD846"/>
      <c r="AE846"/>
      <c r="AF846"/>
      <c r="AG846"/>
      <c r="AH846"/>
      <c r="AI846"/>
      <c r="AJ846"/>
      <c r="AK846"/>
      <c r="AL846"/>
      <c r="AM846"/>
      <c r="AN846"/>
      <c r="AO846"/>
      <c r="AP846"/>
      <c r="AQ846"/>
      <c r="AR846"/>
      <c r="AS846"/>
      <c r="AT846"/>
      <c r="AU846"/>
      <c r="AV846"/>
      <c r="AW846"/>
      <c r="AX846"/>
      <c r="AY846"/>
      <c r="AZ846"/>
      <c r="BA846"/>
      <c r="BB846"/>
      <c r="BC846"/>
      <c r="BD846"/>
      <c r="BE846"/>
      <c r="BF846"/>
      <c r="BG846"/>
      <c r="BH846"/>
      <c r="BI846"/>
      <c r="BJ846"/>
      <c r="BK846"/>
      <c r="BL846"/>
      <c r="BM846"/>
      <c r="BN846"/>
      <c r="BO846"/>
      <c r="BP846"/>
      <c r="BQ846"/>
      <c r="BR846"/>
      <c r="BS846"/>
      <c r="BT846"/>
      <c r="BU846"/>
      <c r="BV846"/>
      <c r="BW846"/>
      <c r="BX846"/>
      <c r="BY846"/>
      <c r="BZ846"/>
      <c r="CA846"/>
      <c r="CB846"/>
      <c r="CC846"/>
      <c r="CD846"/>
      <c r="CE846"/>
      <c r="CF846"/>
      <c r="CG846"/>
      <c r="CH846"/>
      <c r="CI846"/>
      <c r="CJ846"/>
      <c r="CK846"/>
      <c r="CL846"/>
      <c r="CM846"/>
      <c r="CN846"/>
      <c r="CO846"/>
      <c r="CP846"/>
      <c r="CQ846"/>
      <c r="CR846"/>
      <c r="CS846"/>
      <c r="CT846"/>
      <c r="CU846"/>
      <c r="CV846"/>
      <c r="CW846"/>
      <c r="CX846"/>
      <c r="CY846"/>
      <c r="CZ846"/>
      <c r="DA846"/>
      <c r="DB846"/>
      <c r="DC846"/>
      <c r="DD846"/>
      <c r="DE846"/>
      <c r="DF846"/>
      <c r="DG846"/>
      <c r="DH846"/>
      <c r="DI846"/>
      <c r="DJ846"/>
      <c r="DK846"/>
      <c r="DL846"/>
      <c r="DM846"/>
      <c r="DN846"/>
      <c r="DO846"/>
      <c r="DP846"/>
      <c r="DQ846"/>
      <c r="DR846"/>
      <c r="DS846"/>
      <c r="DT846"/>
      <c r="DU846"/>
      <c r="DV846"/>
      <c r="DW846"/>
      <c r="DX846"/>
      <c r="DY846"/>
      <c r="DZ846"/>
      <c r="EA846"/>
      <c r="EB846"/>
      <c r="EC846"/>
      <c r="ED846"/>
      <c r="EE846"/>
      <c r="EF846"/>
      <c r="EG846"/>
      <c r="EH846"/>
      <c r="EI846"/>
      <c r="EJ846"/>
      <c r="EK846"/>
      <c r="EL846"/>
      <c r="EM846"/>
      <c r="EN846"/>
      <c r="EO846"/>
      <c r="EP846"/>
      <c r="EQ846"/>
      <c r="ER846"/>
      <c r="ES846"/>
    </row>
    <row r="847" spans="1:149">
      <c r="A847"/>
      <c r="B847"/>
      <c r="C847"/>
      <c r="D847"/>
      <c r="E847"/>
      <c r="F847"/>
      <c r="G847"/>
      <c r="H847"/>
      <c r="I847"/>
      <c r="J847"/>
      <c r="K847"/>
      <c r="L847"/>
      <c r="M847"/>
      <c r="N847"/>
      <c r="O847"/>
      <c r="P847"/>
      <c r="Q847"/>
      <c r="R847"/>
      <c r="S847"/>
      <c r="T847"/>
      <c r="U847"/>
      <c r="V847"/>
      <c r="W847"/>
      <c r="X847"/>
      <c r="Y847"/>
      <c r="Z847"/>
      <c r="AA847"/>
      <c r="AB847"/>
      <c r="AC847"/>
      <c r="AD847"/>
      <c r="AE847"/>
      <c r="AF847"/>
      <c r="AG847"/>
      <c r="AH847"/>
      <c r="AI847"/>
      <c r="AJ847"/>
      <c r="AK847"/>
      <c r="AL847"/>
      <c r="AM847"/>
      <c r="AN847"/>
      <c r="AO847"/>
      <c r="AP847"/>
      <c r="AQ847"/>
      <c r="AR847"/>
      <c r="AS847"/>
      <c r="AT847"/>
      <c r="AU847"/>
      <c r="AV847"/>
      <c r="AW847"/>
      <c r="AX847"/>
      <c r="AY847"/>
      <c r="AZ847"/>
      <c r="BA847"/>
      <c r="BB847"/>
      <c r="BC847"/>
      <c r="BD847"/>
      <c r="BE847"/>
      <c r="BF847"/>
      <c r="BG847"/>
      <c r="BH847"/>
      <c r="BI847"/>
      <c r="BJ847"/>
      <c r="BK847"/>
      <c r="BL847"/>
      <c r="BM847"/>
      <c r="BN847"/>
      <c r="BO847"/>
      <c r="BP847"/>
      <c r="BQ847"/>
      <c r="BR847"/>
      <c r="BS847"/>
      <c r="BT847"/>
      <c r="BU847"/>
      <c r="BV847"/>
      <c r="BW847"/>
      <c r="BX847"/>
      <c r="BY847"/>
      <c r="BZ847"/>
      <c r="CA847"/>
      <c r="CB847"/>
      <c r="CC847"/>
      <c r="CD847"/>
      <c r="CE847"/>
      <c r="CF847"/>
      <c r="CG847"/>
      <c r="CH847"/>
      <c r="CI847"/>
      <c r="CJ847"/>
      <c r="CK847"/>
      <c r="CL847"/>
      <c r="CM847"/>
      <c r="CN847"/>
      <c r="CO847"/>
      <c r="CP847"/>
      <c r="CQ847"/>
      <c r="CR847"/>
      <c r="CS847"/>
      <c r="CT847"/>
      <c r="CU847"/>
      <c r="CV847"/>
      <c r="CW847"/>
      <c r="CX847"/>
      <c r="CY847"/>
      <c r="CZ847"/>
      <c r="DA847"/>
      <c r="DB847"/>
      <c r="DC847"/>
      <c r="DD847"/>
      <c r="DE847"/>
      <c r="DF847"/>
      <c r="DG847"/>
      <c r="DH847"/>
      <c r="DI847"/>
      <c r="DJ847"/>
      <c r="DK847"/>
      <c r="DL847"/>
      <c r="DM847"/>
      <c r="DN847"/>
      <c r="DO847"/>
      <c r="DP847"/>
      <c r="DQ847"/>
      <c r="DR847"/>
      <c r="DS847"/>
      <c r="DT847"/>
      <c r="DU847"/>
      <c r="DV847"/>
      <c r="DW847"/>
      <c r="DX847"/>
      <c r="DY847"/>
      <c r="DZ847"/>
      <c r="EA847"/>
      <c r="EB847"/>
      <c r="EC847"/>
      <c r="ED847"/>
      <c r="EE847"/>
      <c r="EF847"/>
      <c r="EG847"/>
      <c r="EH847"/>
      <c r="EI847"/>
      <c r="EJ847"/>
      <c r="EK847"/>
      <c r="EL847"/>
      <c r="EM847"/>
      <c r="EN847"/>
      <c r="EO847"/>
      <c r="EP847"/>
      <c r="EQ847"/>
      <c r="ER847"/>
      <c r="ES847"/>
    </row>
    <row r="848" spans="1:149">
      <c r="A848"/>
      <c r="B848"/>
      <c r="C848"/>
      <c r="D848"/>
      <c r="E848"/>
      <c r="F848"/>
      <c r="G848"/>
      <c r="H848"/>
      <c r="I848"/>
      <c r="J848"/>
      <c r="K848"/>
      <c r="L848"/>
      <c r="M848"/>
      <c r="N848"/>
      <c r="O848"/>
      <c r="P848"/>
      <c r="Q848"/>
      <c r="R848"/>
      <c r="S848"/>
      <c r="T848"/>
      <c r="U848"/>
      <c r="V848"/>
      <c r="W848"/>
      <c r="X848"/>
      <c r="Y848"/>
      <c r="Z848"/>
      <c r="AA848"/>
      <c r="AB848"/>
      <c r="AC848"/>
      <c r="AD848"/>
      <c r="AE848"/>
      <c r="AF848"/>
      <c r="AG848"/>
      <c r="AH848"/>
      <c r="AI848"/>
      <c r="AJ848"/>
      <c r="AK848"/>
      <c r="AL848"/>
      <c r="AM848"/>
      <c r="AN848"/>
      <c r="AO848"/>
      <c r="AP848"/>
      <c r="AQ848"/>
      <c r="AR848"/>
      <c r="AS848"/>
      <c r="AT848"/>
      <c r="AU848"/>
      <c r="AV848"/>
      <c r="AW848"/>
      <c r="AX848"/>
      <c r="AY848"/>
      <c r="AZ848"/>
      <c r="BA848"/>
      <c r="BB848"/>
      <c r="BC848"/>
      <c r="BD848"/>
      <c r="BE848"/>
      <c r="BF848"/>
      <c r="BG848"/>
      <c r="BH848"/>
      <c r="BI848"/>
      <c r="BJ848"/>
      <c r="BK848"/>
      <c r="BL848"/>
      <c r="BM848"/>
      <c r="BN848"/>
      <c r="BO848"/>
      <c r="BP848"/>
      <c r="BQ848"/>
      <c r="BR848"/>
      <c r="BS848"/>
      <c r="BT848"/>
      <c r="BU848"/>
      <c r="BV848"/>
      <c r="BW848"/>
      <c r="BX848"/>
      <c r="BY848"/>
      <c r="BZ848"/>
      <c r="CA848"/>
      <c r="CB848"/>
      <c r="CC848"/>
      <c r="CD848"/>
      <c r="CE848"/>
      <c r="CF848"/>
      <c r="CG848"/>
      <c r="CH848"/>
      <c r="CI848"/>
      <c r="CJ848"/>
      <c r="CK848"/>
      <c r="CL848"/>
      <c r="CM848"/>
      <c r="CN848"/>
      <c r="CO848"/>
      <c r="CP848"/>
      <c r="CQ848"/>
      <c r="CR848"/>
      <c r="CS848"/>
      <c r="CT848"/>
      <c r="CU848"/>
      <c r="CV848"/>
      <c r="CW848"/>
      <c r="CX848"/>
      <c r="CY848"/>
      <c r="CZ848"/>
      <c r="DA848"/>
      <c r="DB848"/>
      <c r="DC848"/>
      <c r="DD848"/>
      <c r="DE848"/>
      <c r="DF848"/>
      <c r="DG848"/>
      <c r="DH848"/>
      <c r="DI848"/>
      <c r="DJ848"/>
      <c r="DK848"/>
      <c r="DL848"/>
      <c r="DM848"/>
      <c r="DN848"/>
      <c r="DO848"/>
      <c r="DP848"/>
      <c r="DQ848"/>
      <c r="DR848"/>
      <c r="DS848"/>
      <c r="DT848"/>
      <c r="DU848"/>
      <c r="DV848"/>
      <c r="DW848"/>
      <c r="DX848"/>
      <c r="DY848"/>
      <c r="DZ848"/>
      <c r="EA848"/>
      <c r="EB848"/>
      <c r="EC848"/>
      <c r="ED848"/>
      <c r="EE848"/>
      <c r="EF848"/>
      <c r="EG848"/>
      <c r="EH848"/>
      <c r="EI848"/>
      <c r="EJ848"/>
      <c r="EK848"/>
      <c r="EL848"/>
      <c r="EM848"/>
      <c r="EN848"/>
      <c r="EO848"/>
      <c r="EP848"/>
      <c r="EQ848"/>
      <c r="ER848"/>
      <c r="ES848"/>
    </row>
    <row r="849" spans="1:149">
      <c r="A849"/>
      <c r="B849"/>
      <c r="C849"/>
      <c r="D849"/>
      <c r="E849"/>
      <c r="F849"/>
      <c r="G849"/>
      <c r="H849"/>
      <c r="I849"/>
      <c r="J849"/>
      <c r="K849"/>
      <c r="L849"/>
      <c r="M849"/>
      <c r="N849"/>
      <c r="O849"/>
      <c r="P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L849"/>
      <c r="CM849"/>
      <c r="CN849"/>
      <c r="CO849"/>
      <c r="CP849"/>
      <c r="CQ849"/>
      <c r="CR849"/>
      <c r="CS849"/>
      <c r="CT849"/>
      <c r="CU849"/>
      <c r="CV849"/>
      <c r="CW849"/>
      <c r="CX849"/>
      <c r="CY849"/>
      <c r="CZ849"/>
      <c r="DA849"/>
      <c r="DB849"/>
      <c r="DC849"/>
      <c r="DD849"/>
      <c r="DE849"/>
      <c r="DF849"/>
      <c r="DG849"/>
      <c r="DH849"/>
      <c r="DI849"/>
      <c r="DJ849"/>
      <c r="DK849"/>
      <c r="DL849"/>
      <c r="DM849"/>
      <c r="DN849"/>
      <c r="DO849"/>
      <c r="DP849"/>
      <c r="DQ849"/>
      <c r="DR849"/>
      <c r="DS849"/>
      <c r="DT849"/>
      <c r="DU849"/>
      <c r="DV849"/>
      <c r="DW849"/>
      <c r="DX849"/>
      <c r="DY849"/>
      <c r="DZ849"/>
      <c r="EA849"/>
      <c r="EB849"/>
      <c r="EC849"/>
      <c r="ED849"/>
      <c r="EE849"/>
      <c r="EF849"/>
      <c r="EG849"/>
      <c r="EH849"/>
      <c r="EI849"/>
      <c r="EJ849"/>
      <c r="EK849"/>
      <c r="EL849"/>
      <c r="EM849"/>
      <c r="EN849"/>
      <c r="EO849"/>
      <c r="EP849"/>
      <c r="EQ849"/>
      <c r="ER849"/>
      <c r="ES849"/>
    </row>
    <row r="850" spans="1:149">
      <c r="A850"/>
      <c r="B850"/>
      <c r="C850"/>
      <c r="D850"/>
      <c r="E850"/>
      <c r="F850"/>
      <c r="G850"/>
      <c r="H850"/>
      <c r="I850"/>
      <c r="J850"/>
      <c r="K850"/>
      <c r="L850"/>
      <c r="M850"/>
      <c r="N850"/>
      <c r="O850"/>
      <c r="P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L850"/>
      <c r="CM850"/>
      <c r="CN850"/>
      <c r="CO850"/>
      <c r="CP850"/>
      <c r="CQ850"/>
      <c r="CR850"/>
      <c r="CS850"/>
      <c r="CT850"/>
      <c r="CU850"/>
      <c r="CV850"/>
      <c r="CW850"/>
      <c r="CX850"/>
      <c r="CY850"/>
      <c r="CZ850"/>
      <c r="DA850"/>
      <c r="DB850"/>
      <c r="DC850"/>
      <c r="DD850"/>
      <c r="DE850"/>
      <c r="DF850"/>
      <c r="DG850"/>
      <c r="DH850"/>
      <c r="DI850"/>
      <c r="DJ850"/>
      <c r="DK850"/>
      <c r="DL850"/>
      <c r="DM850"/>
      <c r="DN850"/>
      <c r="DO850"/>
      <c r="DP850"/>
      <c r="DQ850"/>
      <c r="DR850"/>
      <c r="DS850"/>
      <c r="DT850"/>
      <c r="DU850"/>
      <c r="DV850"/>
      <c r="DW850"/>
      <c r="DX850"/>
      <c r="DY850"/>
      <c r="DZ850"/>
      <c r="EA850"/>
      <c r="EB850"/>
      <c r="EC850"/>
      <c r="ED850"/>
      <c r="EE850"/>
      <c r="EF850"/>
      <c r="EG850"/>
      <c r="EH850"/>
      <c r="EI850"/>
      <c r="EJ850"/>
      <c r="EK850"/>
      <c r="EL850"/>
      <c r="EM850"/>
      <c r="EN850"/>
      <c r="EO850"/>
      <c r="EP850"/>
      <c r="EQ850"/>
      <c r="ER850"/>
      <c r="ES850"/>
    </row>
    <row r="851" spans="1:149">
      <c r="A851"/>
      <c r="B851"/>
      <c r="C851"/>
      <c r="D851"/>
      <c r="E851"/>
      <c r="F851"/>
      <c r="G851"/>
      <c r="H851"/>
      <c r="I851"/>
      <c r="J851"/>
      <c r="K851"/>
      <c r="L851"/>
      <c r="M851"/>
      <c r="N851"/>
      <c r="O851"/>
      <c r="P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L851"/>
      <c r="CM851"/>
      <c r="CN851"/>
      <c r="CO851"/>
      <c r="CP851"/>
      <c r="CQ851"/>
      <c r="CR851"/>
      <c r="CS851"/>
      <c r="CT851"/>
      <c r="CU851"/>
      <c r="CV851"/>
      <c r="CW851"/>
      <c r="CX851"/>
      <c r="CY851"/>
      <c r="CZ851"/>
      <c r="DA851"/>
      <c r="DB851"/>
      <c r="DC851"/>
      <c r="DD851"/>
      <c r="DE851"/>
      <c r="DF851"/>
      <c r="DG851"/>
      <c r="DH851"/>
      <c r="DI851"/>
      <c r="DJ851"/>
      <c r="DK851"/>
      <c r="DL851"/>
      <c r="DM851"/>
      <c r="DN851"/>
      <c r="DO851"/>
      <c r="DP851"/>
      <c r="DQ851"/>
      <c r="DR851"/>
      <c r="DS851"/>
      <c r="DT851"/>
      <c r="DU851"/>
      <c r="DV851"/>
      <c r="DW851"/>
      <c r="DX851"/>
      <c r="DY851"/>
      <c r="DZ851"/>
      <c r="EA851"/>
      <c r="EB851"/>
      <c r="EC851"/>
      <c r="ED851"/>
      <c r="EE851"/>
      <c r="EF851"/>
      <c r="EG851"/>
      <c r="EH851"/>
      <c r="EI851"/>
      <c r="EJ851"/>
      <c r="EK851"/>
      <c r="EL851"/>
      <c r="EM851"/>
      <c r="EN851"/>
      <c r="EO851"/>
      <c r="EP851"/>
      <c r="EQ851"/>
      <c r="ER851"/>
      <c r="ES851"/>
    </row>
    <row r="852" spans="1:149">
      <c r="A852"/>
      <c r="B852"/>
      <c r="C852"/>
      <c r="D852"/>
      <c r="E852"/>
      <c r="F852"/>
      <c r="G852"/>
      <c r="H852"/>
      <c r="I852"/>
      <c r="J852"/>
      <c r="K852"/>
      <c r="L852"/>
      <c r="M852"/>
      <c r="N852"/>
      <c r="O852"/>
      <c r="P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L852"/>
      <c r="CM852"/>
      <c r="CN852"/>
      <c r="CO852"/>
      <c r="CP852"/>
      <c r="CQ852"/>
      <c r="CR852"/>
      <c r="CS852"/>
      <c r="CT852"/>
      <c r="CU852"/>
      <c r="CV852"/>
      <c r="CW852"/>
      <c r="CX852"/>
      <c r="CY852"/>
      <c r="CZ852"/>
      <c r="DA852"/>
      <c r="DB852"/>
      <c r="DC852"/>
      <c r="DD852"/>
      <c r="DE852"/>
      <c r="DF852"/>
      <c r="DG852"/>
      <c r="DH852"/>
      <c r="DI852"/>
      <c r="DJ852"/>
      <c r="DK852"/>
      <c r="DL852"/>
      <c r="DM852"/>
      <c r="DN852"/>
      <c r="DO852"/>
      <c r="DP852"/>
      <c r="DQ852"/>
      <c r="DR852"/>
      <c r="DS852"/>
      <c r="DT852"/>
      <c r="DU852"/>
      <c r="DV852"/>
      <c r="DW852"/>
      <c r="DX852"/>
      <c r="DY852"/>
      <c r="DZ852"/>
      <c r="EA852"/>
      <c r="EB852"/>
      <c r="EC852"/>
      <c r="ED852"/>
      <c r="EE852"/>
      <c r="EF852"/>
      <c r="EG852"/>
      <c r="EH852"/>
      <c r="EI852"/>
      <c r="EJ852"/>
      <c r="EK852"/>
      <c r="EL852"/>
      <c r="EM852"/>
      <c r="EN852"/>
      <c r="EO852"/>
      <c r="EP852"/>
      <c r="EQ852"/>
      <c r="ER852"/>
      <c r="ES852"/>
    </row>
    <row r="853" spans="1:149">
      <c r="A853"/>
      <c r="B853"/>
      <c r="C853"/>
      <c r="D853"/>
      <c r="E853"/>
      <c r="F853"/>
      <c r="G853"/>
      <c r="H853"/>
      <c r="I853"/>
      <c r="J853"/>
      <c r="K853"/>
      <c r="L853"/>
      <c r="M853"/>
      <c r="N853"/>
      <c r="O853"/>
      <c r="P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L853"/>
      <c r="CM853"/>
      <c r="CN853"/>
      <c r="CO853"/>
      <c r="CP853"/>
      <c r="CQ853"/>
      <c r="CR853"/>
      <c r="CS853"/>
      <c r="CT853"/>
      <c r="CU853"/>
      <c r="CV853"/>
      <c r="CW853"/>
      <c r="CX853"/>
      <c r="CY853"/>
      <c r="CZ853"/>
      <c r="DA853"/>
      <c r="DB853"/>
      <c r="DC853"/>
      <c r="DD853"/>
      <c r="DE853"/>
      <c r="DF853"/>
      <c r="DG853"/>
      <c r="DH853"/>
      <c r="DI853"/>
      <c r="DJ853"/>
      <c r="DK853"/>
      <c r="DL853"/>
      <c r="DM853"/>
      <c r="DN853"/>
      <c r="DO853"/>
      <c r="DP853"/>
      <c r="DQ853"/>
      <c r="DR853"/>
      <c r="DS853"/>
      <c r="DT853"/>
      <c r="DU853"/>
      <c r="DV853"/>
      <c r="DW853"/>
      <c r="DX853"/>
      <c r="DY853"/>
      <c r="DZ853"/>
      <c r="EA853"/>
      <c r="EB853"/>
      <c r="EC853"/>
      <c r="ED853"/>
      <c r="EE853"/>
      <c r="EF853"/>
      <c r="EG853"/>
      <c r="EH853"/>
      <c r="EI853"/>
      <c r="EJ853"/>
      <c r="EK853"/>
      <c r="EL853"/>
      <c r="EM853"/>
      <c r="EN853"/>
      <c r="EO853"/>
      <c r="EP853"/>
      <c r="EQ853"/>
      <c r="ER853"/>
      <c r="ES853"/>
    </row>
    <row r="854" spans="1:149">
      <c r="A854"/>
      <c r="B854"/>
      <c r="C854"/>
      <c r="D854"/>
      <c r="E854"/>
      <c r="F854"/>
      <c r="G854"/>
      <c r="H854"/>
      <c r="I854"/>
      <c r="J854"/>
      <c r="K854"/>
      <c r="L854"/>
      <c r="M854"/>
      <c r="N854"/>
      <c r="O854"/>
      <c r="P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L854"/>
      <c r="CM854"/>
      <c r="CN854"/>
      <c r="CO854"/>
      <c r="CP854"/>
      <c r="CQ854"/>
      <c r="CR854"/>
      <c r="CS854"/>
      <c r="CT854"/>
      <c r="CU854"/>
      <c r="CV854"/>
      <c r="CW854"/>
      <c r="CX854"/>
      <c r="CY854"/>
      <c r="CZ854"/>
      <c r="DA854"/>
      <c r="DB854"/>
      <c r="DC854"/>
      <c r="DD854"/>
      <c r="DE854"/>
      <c r="DF854"/>
      <c r="DG854"/>
      <c r="DH854"/>
      <c r="DI854"/>
      <c r="DJ854"/>
      <c r="DK854"/>
      <c r="DL854"/>
      <c r="DM854"/>
      <c r="DN854"/>
      <c r="DO854"/>
      <c r="DP854"/>
      <c r="DQ854"/>
      <c r="DR854"/>
      <c r="DS854"/>
      <c r="DT854"/>
      <c r="DU854"/>
      <c r="DV854"/>
      <c r="DW854"/>
      <c r="DX854"/>
      <c r="DY854"/>
      <c r="DZ854"/>
      <c r="EA854"/>
      <c r="EB854"/>
      <c r="EC854"/>
      <c r="ED854"/>
      <c r="EE854"/>
      <c r="EF854"/>
      <c r="EG854"/>
      <c r="EH854"/>
      <c r="EI854"/>
      <c r="EJ854"/>
      <c r="EK854"/>
      <c r="EL854"/>
      <c r="EM854"/>
      <c r="EN854"/>
      <c r="EO854"/>
      <c r="EP854"/>
      <c r="EQ854"/>
      <c r="ER854"/>
      <c r="ES854"/>
    </row>
    <row r="855" spans="1:149">
      <c r="A855"/>
      <c r="B855"/>
      <c r="C855"/>
      <c r="D855"/>
      <c r="E855"/>
      <c r="F855"/>
      <c r="G855"/>
      <c r="H855"/>
      <c r="I855"/>
      <c r="J855"/>
      <c r="K855"/>
      <c r="L855"/>
      <c r="M855"/>
      <c r="N855"/>
      <c r="O855"/>
      <c r="P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L855"/>
      <c r="CM855"/>
      <c r="CN855"/>
      <c r="CO855"/>
      <c r="CP855"/>
      <c r="CQ855"/>
      <c r="CR855"/>
      <c r="CS855"/>
      <c r="CT855"/>
      <c r="CU855"/>
      <c r="CV855"/>
      <c r="CW855"/>
      <c r="CX855"/>
      <c r="CY855"/>
      <c r="CZ855"/>
      <c r="DA855"/>
      <c r="DB855"/>
      <c r="DC855"/>
      <c r="DD855"/>
      <c r="DE855"/>
      <c r="DF855"/>
      <c r="DG855"/>
      <c r="DH855"/>
      <c r="DI855"/>
      <c r="DJ855"/>
      <c r="DK855"/>
      <c r="DL855"/>
      <c r="DM855"/>
      <c r="DN855"/>
      <c r="DO855"/>
      <c r="DP855"/>
      <c r="DQ855"/>
      <c r="DR855"/>
      <c r="DS855"/>
      <c r="DT855"/>
      <c r="DU855"/>
      <c r="DV855"/>
      <c r="DW855"/>
      <c r="DX855"/>
      <c r="DY855"/>
      <c r="DZ855"/>
      <c r="EA855"/>
      <c r="EB855"/>
      <c r="EC855"/>
      <c r="ED855"/>
      <c r="EE855"/>
      <c r="EF855"/>
      <c r="EG855"/>
      <c r="EH855"/>
      <c r="EI855"/>
      <c r="EJ855"/>
      <c r="EK855"/>
      <c r="EL855"/>
      <c r="EM855"/>
      <c r="EN855"/>
      <c r="EO855"/>
      <c r="EP855"/>
      <c r="EQ855"/>
      <c r="ER855"/>
      <c r="ES855"/>
    </row>
    <row r="856" spans="1:149">
      <c r="A856"/>
      <c r="B856"/>
      <c r="C856"/>
      <c r="D856"/>
      <c r="E856"/>
      <c r="F856"/>
      <c r="G856"/>
      <c r="H856"/>
      <c r="I856"/>
      <c r="J856"/>
      <c r="K856"/>
      <c r="L856"/>
      <c r="M856"/>
      <c r="N856"/>
      <c r="O856"/>
      <c r="P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L856"/>
      <c r="CM856"/>
      <c r="CN856"/>
      <c r="CO856"/>
      <c r="CP856"/>
      <c r="CQ856"/>
      <c r="CR856"/>
      <c r="CS856"/>
      <c r="CT856"/>
      <c r="CU856"/>
      <c r="CV856"/>
      <c r="CW856"/>
      <c r="CX856"/>
      <c r="CY856"/>
      <c r="CZ856"/>
      <c r="DA856"/>
      <c r="DB856"/>
      <c r="DC856"/>
      <c r="DD856"/>
      <c r="DE856"/>
      <c r="DF856"/>
      <c r="DG856"/>
      <c r="DH856"/>
      <c r="DI856"/>
      <c r="DJ856"/>
      <c r="DK856"/>
      <c r="DL856"/>
      <c r="DM856"/>
      <c r="DN856"/>
      <c r="DO856"/>
      <c r="DP856"/>
      <c r="DQ856"/>
      <c r="DR856"/>
      <c r="DS856"/>
      <c r="DT856"/>
      <c r="DU856"/>
      <c r="DV856"/>
      <c r="DW856"/>
      <c r="DX856"/>
      <c r="DY856"/>
      <c r="DZ856"/>
      <c r="EA856"/>
      <c r="EB856"/>
      <c r="EC856"/>
      <c r="ED856"/>
      <c r="EE856"/>
      <c r="EF856"/>
      <c r="EG856"/>
      <c r="EH856"/>
      <c r="EI856"/>
      <c r="EJ856"/>
      <c r="EK856"/>
      <c r="EL856"/>
      <c r="EM856"/>
      <c r="EN856"/>
      <c r="EO856"/>
      <c r="EP856"/>
      <c r="EQ856"/>
      <c r="ER856"/>
      <c r="ES856"/>
    </row>
    <row r="857" spans="1:149">
      <c r="A857"/>
      <c r="B857"/>
      <c r="C857"/>
      <c r="D857"/>
      <c r="E857"/>
      <c r="F857"/>
      <c r="G857"/>
      <c r="H857"/>
      <c r="I857"/>
      <c r="J857"/>
      <c r="K857"/>
      <c r="L857"/>
      <c r="M857"/>
      <c r="N857"/>
      <c r="O857"/>
      <c r="P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L857"/>
      <c r="CM857"/>
      <c r="CN857"/>
      <c r="CO857"/>
      <c r="CP857"/>
      <c r="CQ857"/>
      <c r="CR857"/>
      <c r="CS857"/>
      <c r="CT857"/>
      <c r="CU857"/>
      <c r="CV857"/>
      <c r="CW857"/>
      <c r="CX857"/>
      <c r="CY857"/>
      <c r="CZ857"/>
      <c r="DA857"/>
      <c r="DB857"/>
      <c r="DC857"/>
      <c r="DD857"/>
      <c r="DE857"/>
      <c r="DF857"/>
      <c r="DG857"/>
      <c r="DH857"/>
      <c r="DI857"/>
      <c r="DJ857"/>
      <c r="DK857"/>
      <c r="DL857"/>
      <c r="DM857"/>
      <c r="DN857"/>
      <c r="DO857"/>
      <c r="DP857"/>
      <c r="DQ857"/>
      <c r="DR857"/>
      <c r="DS857"/>
      <c r="DT857"/>
      <c r="DU857"/>
      <c r="DV857"/>
      <c r="DW857"/>
      <c r="DX857"/>
      <c r="DY857"/>
      <c r="DZ857"/>
      <c r="EA857"/>
      <c r="EB857"/>
      <c r="EC857"/>
      <c r="ED857"/>
      <c r="EE857"/>
      <c r="EF857"/>
      <c r="EG857"/>
      <c r="EH857"/>
      <c r="EI857"/>
      <c r="EJ857"/>
      <c r="EK857"/>
      <c r="EL857"/>
      <c r="EM857"/>
      <c r="EN857"/>
      <c r="EO857"/>
      <c r="EP857"/>
      <c r="EQ857"/>
      <c r="ER857"/>
      <c r="ES857"/>
    </row>
    <row r="858" spans="1:149">
      <c r="A858"/>
      <c r="B858"/>
      <c r="C858"/>
      <c r="D858"/>
      <c r="E858"/>
      <c r="F858"/>
      <c r="G858"/>
      <c r="H858"/>
      <c r="I858"/>
      <c r="J858"/>
      <c r="K858"/>
      <c r="L858"/>
      <c r="M858"/>
      <c r="N858"/>
      <c r="O858"/>
      <c r="P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L858"/>
      <c r="CM858"/>
      <c r="CN858"/>
      <c r="CO858"/>
      <c r="CP858"/>
      <c r="CQ858"/>
      <c r="CR858"/>
      <c r="CS858"/>
      <c r="CT858"/>
      <c r="CU858"/>
      <c r="CV858"/>
      <c r="CW858"/>
      <c r="CX858"/>
      <c r="CY858"/>
      <c r="CZ858"/>
      <c r="DA858"/>
      <c r="DB858"/>
      <c r="DC858"/>
      <c r="DD858"/>
      <c r="DE858"/>
      <c r="DF858"/>
      <c r="DG858"/>
      <c r="DH858"/>
      <c r="DI858"/>
      <c r="DJ858"/>
      <c r="DK858"/>
      <c r="DL858"/>
      <c r="DM858"/>
      <c r="DN858"/>
      <c r="DO858"/>
      <c r="DP858"/>
      <c r="DQ858"/>
      <c r="DR858"/>
      <c r="DS858"/>
      <c r="DT858"/>
      <c r="DU858"/>
      <c r="DV858"/>
      <c r="DW858"/>
      <c r="DX858"/>
      <c r="DY858"/>
      <c r="DZ858"/>
      <c r="EA858"/>
      <c r="EB858"/>
      <c r="EC858"/>
      <c r="ED858"/>
      <c r="EE858"/>
      <c r="EF858"/>
      <c r="EG858"/>
      <c r="EH858"/>
      <c r="EI858"/>
      <c r="EJ858"/>
      <c r="EK858"/>
      <c r="EL858"/>
      <c r="EM858"/>
      <c r="EN858"/>
      <c r="EO858"/>
      <c r="EP858"/>
      <c r="EQ858"/>
      <c r="ER858"/>
      <c r="ES858"/>
    </row>
    <row r="859" spans="1:149">
      <c r="A859"/>
      <c r="B859"/>
      <c r="C859"/>
      <c r="D859"/>
      <c r="E859"/>
      <c r="F859"/>
      <c r="G859"/>
      <c r="H859"/>
      <c r="I859"/>
      <c r="J859"/>
      <c r="K859"/>
      <c r="L859"/>
      <c r="M859"/>
      <c r="N859"/>
      <c r="O859"/>
      <c r="P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L859"/>
      <c r="CM859"/>
      <c r="CN859"/>
      <c r="CO859"/>
      <c r="CP859"/>
      <c r="CQ859"/>
      <c r="CR859"/>
      <c r="CS859"/>
      <c r="CT859"/>
      <c r="CU859"/>
      <c r="CV859"/>
      <c r="CW859"/>
      <c r="CX859"/>
      <c r="CY859"/>
      <c r="CZ859"/>
      <c r="DA859"/>
      <c r="DB859"/>
      <c r="DC859"/>
      <c r="DD859"/>
      <c r="DE859"/>
      <c r="DF859"/>
      <c r="DG859"/>
      <c r="DH859"/>
      <c r="DI859"/>
      <c r="DJ859"/>
      <c r="DK859"/>
      <c r="DL859"/>
      <c r="DM859"/>
      <c r="DN859"/>
      <c r="DO859"/>
      <c r="DP859"/>
      <c r="DQ859"/>
      <c r="DR859"/>
      <c r="DS859"/>
      <c r="DT859"/>
      <c r="DU859"/>
      <c r="DV859"/>
      <c r="DW859"/>
      <c r="DX859"/>
      <c r="DY859"/>
      <c r="DZ859"/>
      <c r="EA859"/>
      <c r="EB859"/>
      <c r="EC859"/>
      <c r="ED859"/>
      <c r="EE859"/>
      <c r="EF859"/>
      <c r="EG859"/>
      <c r="EH859"/>
      <c r="EI859"/>
      <c r="EJ859"/>
      <c r="EK859"/>
      <c r="EL859"/>
      <c r="EM859"/>
      <c r="EN859"/>
      <c r="EO859"/>
      <c r="EP859"/>
      <c r="EQ859"/>
      <c r="ER859"/>
      <c r="ES859"/>
    </row>
    <row r="860" spans="1:149">
      <c r="A860"/>
      <c r="B860"/>
      <c r="C860"/>
      <c r="D860"/>
      <c r="E860"/>
      <c r="F860"/>
      <c r="G860"/>
      <c r="H860"/>
      <c r="I860"/>
      <c r="J860"/>
      <c r="K860"/>
      <c r="L860"/>
      <c r="M860"/>
      <c r="N860"/>
      <c r="O860"/>
      <c r="P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L860"/>
      <c r="CM860"/>
      <c r="CN860"/>
      <c r="CO860"/>
      <c r="CP860"/>
      <c r="CQ860"/>
      <c r="CR860"/>
      <c r="CS860"/>
      <c r="CT860"/>
      <c r="CU860"/>
      <c r="CV860"/>
      <c r="CW860"/>
      <c r="CX860"/>
      <c r="CY860"/>
      <c r="CZ860"/>
      <c r="DA860"/>
      <c r="DB860"/>
      <c r="DC860"/>
      <c r="DD860"/>
      <c r="DE860"/>
      <c r="DF860"/>
      <c r="DG860"/>
      <c r="DH860"/>
      <c r="DI860"/>
      <c r="DJ860"/>
      <c r="DK860"/>
      <c r="DL860"/>
      <c r="DM860"/>
      <c r="DN860"/>
      <c r="DO860"/>
      <c r="DP860"/>
      <c r="DQ860"/>
      <c r="DR860"/>
      <c r="DS860"/>
      <c r="DT860"/>
      <c r="DU860"/>
      <c r="DV860"/>
      <c r="DW860"/>
      <c r="DX860"/>
      <c r="DY860"/>
      <c r="DZ860"/>
      <c r="EA860"/>
      <c r="EB860"/>
      <c r="EC860"/>
      <c r="ED860"/>
      <c r="EE860"/>
      <c r="EF860"/>
      <c r="EG860"/>
      <c r="EH860"/>
      <c r="EI860"/>
      <c r="EJ860"/>
      <c r="EK860"/>
      <c r="EL860"/>
      <c r="EM860"/>
      <c r="EN860"/>
      <c r="EO860"/>
      <c r="EP860"/>
      <c r="EQ860"/>
      <c r="ER860"/>
      <c r="ES860"/>
    </row>
    <row r="861" spans="1:149">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c r="DF861"/>
      <c r="DG861"/>
      <c r="DH861"/>
      <c r="DI861"/>
      <c r="DJ861"/>
      <c r="DK861"/>
      <c r="DL861"/>
      <c r="DM861"/>
      <c r="DN861"/>
      <c r="DO861"/>
      <c r="DP861"/>
      <c r="DQ861"/>
      <c r="DR861"/>
      <c r="DS861"/>
      <c r="DT861"/>
      <c r="DU861"/>
      <c r="DV861"/>
      <c r="DW861"/>
      <c r="DX861"/>
      <c r="DY861"/>
      <c r="DZ861"/>
      <c r="EA861"/>
      <c r="EB861"/>
      <c r="EC861"/>
      <c r="ED861"/>
      <c r="EE861"/>
      <c r="EF861"/>
      <c r="EG861"/>
      <c r="EH861"/>
      <c r="EI861"/>
      <c r="EJ861"/>
      <c r="EK861"/>
      <c r="EL861"/>
      <c r="EM861"/>
      <c r="EN861"/>
      <c r="EO861"/>
      <c r="EP861"/>
      <c r="EQ861"/>
      <c r="ER861"/>
      <c r="ES861"/>
    </row>
    <row r="862" spans="1:149">
      <c r="A862"/>
      <c r="B862"/>
      <c r="C862"/>
      <c r="D862"/>
      <c r="E862"/>
      <c r="F862"/>
      <c r="G862"/>
      <c r="H862"/>
      <c r="I862"/>
      <c r="J862"/>
      <c r="K862"/>
      <c r="L862"/>
      <c r="M862"/>
      <c r="N862"/>
      <c r="O862"/>
      <c r="P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L862"/>
      <c r="CM862"/>
      <c r="CN862"/>
      <c r="CO862"/>
      <c r="CP862"/>
      <c r="CQ862"/>
      <c r="CR862"/>
      <c r="CS862"/>
      <c r="CT862"/>
      <c r="CU862"/>
      <c r="CV862"/>
      <c r="CW862"/>
      <c r="CX862"/>
      <c r="CY862"/>
      <c r="CZ862"/>
      <c r="DA862"/>
      <c r="DB862"/>
      <c r="DC862"/>
      <c r="DD862"/>
      <c r="DE862"/>
      <c r="DF862"/>
      <c r="DG862"/>
      <c r="DH862"/>
      <c r="DI862"/>
      <c r="DJ862"/>
      <c r="DK862"/>
      <c r="DL862"/>
      <c r="DM862"/>
      <c r="DN862"/>
      <c r="DO862"/>
      <c r="DP862"/>
      <c r="DQ862"/>
      <c r="DR862"/>
      <c r="DS862"/>
      <c r="DT862"/>
      <c r="DU862"/>
      <c r="DV862"/>
      <c r="DW862"/>
      <c r="DX862"/>
      <c r="DY862"/>
      <c r="DZ862"/>
      <c r="EA862"/>
      <c r="EB862"/>
      <c r="EC862"/>
      <c r="ED862"/>
      <c r="EE862"/>
      <c r="EF862"/>
      <c r="EG862"/>
      <c r="EH862"/>
      <c r="EI862"/>
      <c r="EJ862"/>
      <c r="EK862"/>
      <c r="EL862"/>
      <c r="EM862"/>
      <c r="EN862"/>
      <c r="EO862"/>
      <c r="EP862"/>
      <c r="EQ862"/>
      <c r="ER862"/>
      <c r="ES862"/>
    </row>
    <row r="863" spans="1:149">
      <c r="A863"/>
      <c r="B863"/>
      <c r="C863"/>
      <c r="D863"/>
      <c r="E863"/>
      <c r="F863"/>
      <c r="G863"/>
      <c r="H863"/>
      <c r="I863"/>
      <c r="J863"/>
      <c r="K863"/>
      <c r="L863"/>
      <c r="M863"/>
      <c r="N863"/>
      <c r="O863"/>
      <c r="P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L863"/>
      <c r="CM863"/>
      <c r="CN863"/>
      <c r="CO863"/>
      <c r="CP863"/>
      <c r="CQ863"/>
      <c r="CR863"/>
      <c r="CS863"/>
      <c r="CT863"/>
      <c r="CU863"/>
      <c r="CV863"/>
      <c r="CW863"/>
      <c r="CX863"/>
      <c r="CY863"/>
      <c r="CZ863"/>
      <c r="DA863"/>
      <c r="DB863"/>
      <c r="DC863"/>
      <c r="DD863"/>
      <c r="DE863"/>
      <c r="DF863"/>
      <c r="DG863"/>
      <c r="DH863"/>
      <c r="DI863"/>
      <c r="DJ863"/>
      <c r="DK863"/>
      <c r="DL863"/>
      <c r="DM863"/>
      <c r="DN863"/>
      <c r="DO863"/>
      <c r="DP863"/>
      <c r="DQ863"/>
      <c r="DR863"/>
      <c r="DS863"/>
      <c r="DT863"/>
      <c r="DU863"/>
      <c r="DV863"/>
      <c r="DW863"/>
      <c r="DX863"/>
      <c r="DY863"/>
      <c r="DZ863"/>
      <c r="EA863"/>
      <c r="EB863"/>
      <c r="EC863"/>
      <c r="ED863"/>
      <c r="EE863"/>
      <c r="EF863"/>
      <c r="EG863"/>
      <c r="EH863"/>
      <c r="EI863"/>
      <c r="EJ863"/>
      <c r="EK863"/>
      <c r="EL863"/>
      <c r="EM863"/>
      <c r="EN863"/>
      <c r="EO863"/>
      <c r="EP863"/>
      <c r="EQ863"/>
      <c r="ER863"/>
      <c r="ES863"/>
    </row>
    <row r="864" spans="1:149">
      <c r="A864"/>
      <c r="B864"/>
      <c r="C864"/>
      <c r="D864"/>
      <c r="E864"/>
      <c r="F864"/>
      <c r="G864"/>
      <c r="H864"/>
      <c r="I864"/>
      <c r="J864"/>
      <c r="K864"/>
      <c r="L864"/>
      <c r="M864"/>
      <c r="N864"/>
      <c r="O864"/>
      <c r="P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L864"/>
      <c r="CM864"/>
      <c r="CN864"/>
      <c r="CO864"/>
      <c r="CP864"/>
      <c r="CQ864"/>
      <c r="CR864"/>
      <c r="CS864"/>
      <c r="CT864"/>
      <c r="CU864"/>
      <c r="CV864"/>
      <c r="CW864"/>
      <c r="CX864"/>
      <c r="CY864"/>
      <c r="CZ864"/>
      <c r="DA864"/>
      <c r="DB864"/>
      <c r="DC864"/>
      <c r="DD864"/>
      <c r="DE864"/>
      <c r="DF864"/>
      <c r="DG864"/>
      <c r="DH864"/>
      <c r="DI864"/>
      <c r="DJ864"/>
      <c r="DK864"/>
      <c r="DL864"/>
      <c r="DM864"/>
      <c r="DN864"/>
      <c r="DO864"/>
      <c r="DP864"/>
      <c r="DQ864"/>
      <c r="DR864"/>
      <c r="DS864"/>
      <c r="DT864"/>
      <c r="DU864"/>
      <c r="DV864"/>
      <c r="DW864"/>
      <c r="DX864"/>
      <c r="DY864"/>
      <c r="DZ864"/>
      <c r="EA864"/>
      <c r="EB864"/>
      <c r="EC864"/>
      <c r="ED864"/>
      <c r="EE864"/>
      <c r="EF864"/>
      <c r="EG864"/>
      <c r="EH864"/>
      <c r="EI864"/>
      <c r="EJ864"/>
      <c r="EK864"/>
      <c r="EL864"/>
      <c r="EM864"/>
      <c r="EN864"/>
      <c r="EO864"/>
      <c r="EP864"/>
      <c r="EQ864"/>
      <c r="ER864"/>
      <c r="ES864"/>
    </row>
    <row r="865" spans="1:149">
      <c r="A865"/>
      <c r="B865"/>
      <c r="C865"/>
      <c r="D865"/>
      <c r="E865"/>
      <c r="F865"/>
      <c r="G865"/>
      <c r="H865"/>
      <c r="I865"/>
      <c r="J865"/>
      <c r="K865"/>
      <c r="L865"/>
      <c r="M865"/>
      <c r="N865"/>
      <c r="O865"/>
      <c r="P865"/>
      <c r="Q865"/>
      <c r="R865"/>
      <c r="S865"/>
      <c r="T865"/>
      <c r="U865"/>
      <c r="V865"/>
      <c r="W865"/>
      <c r="X865"/>
      <c r="Y865"/>
      <c r="Z865"/>
      <c r="AA865"/>
      <c r="AB865"/>
      <c r="AC865"/>
      <c r="AD865"/>
      <c r="AE865"/>
      <c r="AF865"/>
      <c r="AG865"/>
      <c r="AH865"/>
      <c r="AI865"/>
      <c r="AJ865"/>
      <c r="AK865"/>
      <c r="AL865"/>
      <c r="AM865"/>
      <c r="AN865"/>
      <c r="AO865"/>
      <c r="AP865"/>
      <c r="AQ865"/>
      <c r="AR865"/>
      <c r="AS865"/>
      <c r="AT865"/>
      <c r="AU865"/>
      <c r="AV865"/>
      <c r="AW865"/>
      <c r="AX865"/>
      <c r="AY865"/>
      <c r="AZ865"/>
      <c r="BA865"/>
      <c r="BB865"/>
      <c r="BC865"/>
      <c r="BD865"/>
      <c r="BE865"/>
      <c r="BF865"/>
      <c r="BG865"/>
      <c r="BH865"/>
      <c r="BI865"/>
      <c r="BJ865"/>
      <c r="BK865"/>
      <c r="BL865"/>
      <c r="BM865"/>
      <c r="BN865"/>
      <c r="BO865"/>
      <c r="BP865"/>
      <c r="BQ865"/>
      <c r="BR865"/>
      <c r="BS865"/>
      <c r="BT865"/>
      <c r="BU865"/>
      <c r="BV865"/>
      <c r="BW865"/>
      <c r="BX865"/>
      <c r="BY865"/>
      <c r="BZ865"/>
      <c r="CA865"/>
      <c r="CB865"/>
      <c r="CC865"/>
      <c r="CD865"/>
      <c r="CE865"/>
      <c r="CF865"/>
      <c r="CG865"/>
      <c r="CH865"/>
      <c r="CI865"/>
      <c r="CJ865"/>
      <c r="CK865"/>
      <c r="CL865"/>
      <c r="CM865"/>
      <c r="CN865"/>
      <c r="CO865"/>
      <c r="CP865"/>
      <c r="CQ865"/>
      <c r="CR865"/>
      <c r="CS865"/>
      <c r="CT865"/>
      <c r="CU865"/>
      <c r="CV865"/>
      <c r="CW865"/>
      <c r="CX865"/>
      <c r="CY865"/>
      <c r="CZ865"/>
      <c r="DA865"/>
      <c r="DB865"/>
      <c r="DC865"/>
      <c r="DD865"/>
      <c r="DE865"/>
      <c r="DF865"/>
      <c r="DG865"/>
      <c r="DH865"/>
      <c r="DI865"/>
      <c r="DJ865"/>
      <c r="DK865"/>
      <c r="DL865"/>
      <c r="DM865"/>
      <c r="DN865"/>
      <c r="DO865"/>
      <c r="DP865"/>
      <c r="DQ865"/>
      <c r="DR865"/>
      <c r="DS865"/>
      <c r="DT865"/>
      <c r="DU865"/>
      <c r="DV865"/>
      <c r="DW865"/>
      <c r="DX865"/>
      <c r="DY865"/>
      <c r="DZ865"/>
      <c r="EA865"/>
      <c r="EB865"/>
      <c r="EC865"/>
      <c r="ED865"/>
      <c r="EE865"/>
      <c r="EF865"/>
      <c r="EG865"/>
      <c r="EH865"/>
      <c r="EI865"/>
      <c r="EJ865"/>
      <c r="EK865"/>
      <c r="EL865"/>
      <c r="EM865"/>
      <c r="EN865"/>
      <c r="EO865"/>
      <c r="EP865"/>
      <c r="EQ865"/>
      <c r="ER865"/>
      <c r="ES865"/>
    </row>
    <row r="866" spans="1:149">
      <c r="A866"/>
      <c r="B866"/>
      <c r="C866"/>
      <c r="D866"/>
      <c r="E866"/>
      <c r="F866"/>
      <c r="G866"/>
      <c r="H866"/>
      <c r="I866"/>
      <c r="J866"/>
      <c r="K866"/>
      <c r="L866"/>
      <c r="M866"/>
      <c r="N866"/>
      <c r="O866"/>
      <c r="P866"/>
      <c r="Q866"/>
      <c r="R866"/>
      <c r="S866"/>
      <c r="T866"/>
      <c r="U866"/>
      <c r="V866"/>
      <c r="W866"/>
      <c r="X866"/>
      <c r="Y866"/>
      <c r="Z866"/>
      <c r="AA866"/>
      <c r="AB866"/>
      <c r="AC866"/>
      <c r="AD866"/>
      <c r="AE866"/>
      <c r="AF866"/>
      <c r="AG866"/>
      <c r="AH866"/>
      <c r="AI866"/>
      <c r="AJ866"/>
      <c r="AK866"/>
      <c r="AL866"/>
      <c r="AM866"/>
      <c r="AN866"/>
      <c r="AO866"/>
      <c r="AP866"/>
      <c r="AQ866"/>
      <c r="AR866"/>
      <c r="AS866"/>
      <c r="AT866"/>
      <c r="AU866"/>
      <c r="AV866"/>
      <c r="AW866"/>
      <c r="AX866"/>
      <c r="AY866"/>
      <c r="AZ866"/>
      <c r="BA866"/>
      <c r="BB866"/>
      <c r="BC866"/>
      <c r="BD866"/>
      <c r="BE866"/>
      <c r="BF866"/>
      <c r="BG866"/>
      <c r="BH866"/>
      <c r="BI866"/>
      <c r="BJ866"/>
      <c r="BK866"/>
      <c r="BL866"/>
      <c r="BM866"/>
      <c r="BN866"/>
      <c r="BO866"/>
      <c r="BP866"/>
      <c r="BQ866"/>
      <c r="BR866"/>
      <c r="BS866"/>
      <c r="BT866"/>
      <c r="BU866"/>
      <c r="BV866"/>
      <c r="BW866"/>
      <c r="BX866"/>
      <c r="BY866"/>
      <c r="BZ866"/>
      <c r="CA866"/>
      <c r="CB866"/>
      <c r="CC866"/>
      <c r="CD866"/>
      <c r="CE866"/>
      <c r="CF866"/>
      <c r="CG866"/>
      <c r="CH866"/>
      <c r="CI866"/>
      <c r="CJ866"/>
      <c r="CK866"/>
      <c r="CL866"/>
      <c r="CM866"/>
      <c r="CN866"/>
      <c r="CO866"/>
      <c r="CP866"/>
      <c r="CQ866"/>
      <c r="CR866"/>
      <c r="CS866"/>
      <c r="CT866"/>
      <c r="CU866"/>
      <c r="CV866"/>
      <c r="CW866"/>
      <c r="CX866"/>
      <c r="CY866"/>
      <c r="CZ866"/>
      <c r="DA866"/>
      <c r="DB866"/>
      <c r="DC866"/>
      <c r="DD866"/>
      <c r="DE866"/>
      <c r="DF866"/>
      <c r="DG866"/>
      <c r="DH866"/>
      <c r="DI866"/>
      <c r="DJ866"/>
      <c r="DK866"/>
      <c r="DL866"/>
      <c r="DM866"/>
      <c r="DN866"/>
      <c r="DO866"/>
      <c r="DP866"/>
      <c r="DQ866"/>
      <c r="DR866"/>
      <c r="DS866"/>
      <c r="DT866"/>
      <c r="DU866"/>
      <c r="DV866"/>
      <c r="DW866"/>
      <c r="DX866"/>
      <c r="DY866"/>
      <c r="DZ866"/>
      <c r="EA866"/>
      <c r="EB866"/>
      <c r="EC866"/>
      <c r="ED866"/>
      <c r="EE866"/>
      <c r="EF866"/>
      <c r="EG866"/>
      <c r="EH866"/>
      <c r="EI866"/>
      <c r="EJ866"/>
      <c r="EK866"/>
      <c r="EL866"/>
      <c r="EM866"/>
      <c r="EN866"/>
      <c r="EO866"/>
      <c r="EP866"/>
      <c r="EQ866"/>
      <c r="ER866"/>
      <c r="ES866"/>
    </row>
    <row r="867" spans="1:149">
      <c r="A867"/>
      <c r="B867"/>
      <c r="C867"/>
      <c r="D867"/>
      <c r="E867"/>
      <c r="F867"/>
      <c r="G867"/>
      <c r="H867"/>
      <c r="I867"/>
      <c r="J867"/>
      <c r="K867"/>
      <c r="L867"/>
      <c r="M867"/>
      <c r="N867"/>
      <c r="O867"/>
      <c r="P867"/>
      <c r="Q867"/>
      <c r="R867"/>
      <c r="S867"/>
      <c r="T867"/>
      <c r="U867"/>
      <c r="V867"/>
      <c r="W867"/>
      <c r="X867"/>
      <c r="Y867"/>
      <c r="Z867"/>
      <c r="AA867"/>
      <c r="AB867"/>
      <c r="AC867"/>
      <c r="AD867"/>
      <c r="AE867"/>
      <c r="AF867"/>
      <c r="AG867"/>
      <c r="AH867"/>
      <c r="AI867"/>
      <c r="AJ867"/>
      <c r="AK867"/>
      <c r="AL867"/>
      <c r="AM867"/>
      <c r="AN867"/>
      <c r="AO867"/>
      <c r="AP867"/>
      <c r="AQ867"/>
      <c r="AR867"/>
      <c r="AS867"/>
      <c r="AT867"/>
      <c r="AU867"/>
      <c r="AV867"/>
      <c r="AW867"/>
      <c r="AX867"/>
      <c r="AY867"/>
      <c r="AZ867"/>
      <c r="BA867"/>
      <c r="BB867"/>
      <c r="BC867"/>
      <c r="BD867"/>
      <c r="BE867"/>
      <c r="BF867"/>
      <c r="BG867"/>
      <c r="BH867"/>
      <c r="BI867"/>
      <c r="BJ867"/>
      <c r="BK867"/>
      <c r="BL867"/>
      <c r="BM867"/>
      <c r="BN867"/>
      <c r="BO867"/>
      <c r="BP867"/>
      <c r="BQ867"/>
      <c r="BR867"/>
      <c r="BS867"/>
      <c r="BT867"/>
      <c r="BU867"/>
      <c r="BV867"/>
      <c r="BW867"/>
      <c r="BX867"/>
      <c r="BY867"/>
      <c r="BZ867"/>
      <c r="CA867"/>
      <c r="CB867"/>
      <c r="CC867"/>
      <c r="CD867"/>
      <c r="CE867"/>
      <c r="CF867"/>
      <c r="CG867"/>
      <c r="CH867"/>
      <c r="CI867"/>
      <c r="CJ867"/>
      <c r="CK867"/>
      <c r="CL867"/>
      <c r="CM867"/>
      <c r="CN867"/>
      <c r="CO867"/>
      <c r="CP867"/>
      <c r="CQ867"/>
      <c r="CR867"/>
      <c r="CS867"/>
      <c r="CT867"/>
      <c r="CU867"/>
      <c r="CV867"/>
      <c r="CW867"/>
      <c r="CX867"/>
      <c r="CY867"/>
      <c r="CZ867"/>
      <c r="DA867"/>
      <c r="DB867"/>
      <c r="DC867"/>
      <c r="DD867"/>
      <c r="DE867"/>
      <c r="DF867"/>
      <c r="DG867"/>
      <c r="DH867"/>
      <c r="DI867"/>
      <c r="DJ867"/>
      <c r="DK867"/>
      <c r="DL867"/>
      <c r="DM867"/>
      <c r="DN867"/>
      <c r="DO867"/>
      <c r="DP867"/>
      <c r="DQ867"/>
      <c r="DR867"/>
      <c r="DS867"/>
      <c r="DT867"/>
      <c r="DU867"/>
      <c r="DV867"/>
      <c r="DW867"/>
      <c r="DX867"/>
      <c r="DY867"/>
      <c r="DZ867"/>
      <c r="EA867"/>
      <c r="EB867"/>
      <c r="EC867"/>
      <c r="ED867"/>
      <c r="EE867"/>
      <c r="EF867"/>
      <c r="EG867"/>
      <c r="EH867"/>
      <c r="EI867"/>
      <c r="EJ867"/>
      <c r="EK867"/>
      <c r="EL867"/>
      <c r="EM867"/>
      <c r="EN867"/>
      <c r="EO867"/>
      <c r="EP867"/>
      <c r="EQ867"/>
      <c r="ER867"/>
      <c r="ES867"/>
    </row>
    <row r="868" spans="1:149">
      <c r="A868"/>
      <c r="B868"/>
      <c r="C868"/>
      <c r="D868"/>
      <c r="E868"/>
      <c r="F868"/>
      <c r="G868"/>
      <c r="H868"/>
      <c r="I868"/>
      <c r="J868"/>
      <c r="K868"/>
      <c r="L868"/>
      <c r="M868"/>
      <c r="N868"/>
      <c r="O868"/>
      <c r="P868"/>
      <c r="Q868"/>
      <c r="R868"/>
      <c r="S868"/>
      <c r="T868"/>
      <c r="U868"/>
      <c r="V868"/>
      <c r="W868"/>
      <c r="X868"/>
      <c r="Y868"/>
      <c r="Z868"/>
      <c r="AA868"/>
      <c r="AB868"/>
      <c r="AC868"/>
      <c r="AD868"/>
      <c r="AE868"/>
      <c r="AF868"/>
      <c r="AG868"/>
      <c r="AH868"/>
      <c r="AI868"/>
      <c r="AJ868"/>
      <c r="AK868"/>
      <c r="AL868"/>
      <c r="AM868"/>
      <c r="AN868"/>
      <c r="AO868"/>
      <c r="AP868"/>
      <c r="AQ868"/>
      <c r="AR868"/>
      <c r="AS868"/>
      <c r="AT868"/>
      <c r="AU868"/>
      <c r="AV868"/>
      <c r="AW868"/>
      <c r="AX868"/>
      <c r="AY868"/>
      <c r="AZ868"/>
      <c r="BA868"/>
      <c r="BB868"/>
      <c r="BC868"/>
      <c r="BD868"/>
      <c r="BE868"/>
      <c r="BF868"/>
      <c r="BG868"/>
      <c r="BH868"/>
      <c r="BI868"/>
      <c r="BJ868"/>
      <c r="BK868"/>
      <c r="BL868"/>
      <c r="BM868"/>
      <c r="BN868"/>
      <c r="BO868"/>
      <c r="BP868"/>
      <c r="BQ868"/>
      <c r="BR868"/>
      <c r="BS868"/>
      <c r="BT868"/>
      <c r="BU868"/>
      <c r="BV868"/>
      <c r="BW868"/>
      <c r="BX868"/>
      <c r="BY868"/>
      <c r="BZ868"/>
      <c r="CA868"/>
      <c r="CB868"/>
      <c r="CC868"/>
      <c r="CD868"/>
      <c r="CE868"/>
      <c r="CF868"/>
      <c r="CG868"/>
      <c r="CH868"/>
      <c r="CI868"/>
      <c r="CJ868"/>
      <c r="CK868"/>
      <c r="CL868"/>
      <c r="CM868"/>
      <c r="CN868"/>
      <c r="CO868"/>
      <c r="CP868"/>
      <c r="CQ868"/>
      <c r="CR868"/>
      <c r="CS868"/>
      <c r="CT868"/>
      <c r="CU868"/>
      <c r="CV868"/>
      <c r="CW868"/>
      <c r="CX868"/>
      <c r="CY868"/>
      <c r="CZ868"/>
      <c r="DA868"/>
      <c r="DB868"/>
      <c r="DC868"/>
      <c r="DD868"/>
      <c r="DE868"/>
      <c r="DF868"/>
      <c r="DG868"/>
      <c r="DH868"/>
      <c r="DI868"/>
      <c r="DJ868"/>
      <c r="DK868"/>
      <c r="DL868"/>
      <c r="DM868"/>
      <c r="DN868"/>
      <c r="DO868"/>
      <c r="DP868"/>
      <c r="DQ868"/>
      <c r="DR868"/>
      <c r="DS868"/>
      <c r="DT868"/>
      <c r="DU868"/>
      <c r="DV868"/>
      <c r="DW868"/>
      <c r="DX868"/>
      <c r="DY868"/>
      <c r="DZ868"/>
      <c r="EA868"/>
      <c r="EB868"/>
      <c r="EC868"/>
      <c r="ED868"/>
      <c r="EE868"/>
      <c r="EF868"/>
      <c r="EG868"/>
      <c r="EH868"/>
      <c r="EI868"/>
      <c r="EJ868"/>
      <c r="EK868"/>
      <c r="EL868"/>
      <c r="EM868"/>
      <c r="EN868"/>
      <c r="EO868"/>
      <c r="EP868"/>
      <c r="EQ868"/>
      <c r="ER868"/>
      <c r="ES868"/>
    </row>
    <row r="869" spans="1:149">
      <c r="A869"/>
      <c r="B869"/>
      <c r="C869"/>
      <c r="D869"/>
      <c r="E869"/>
      <c r="F869"/>
      <c r="G869"/>
      <c r="H869"/>
      <c r="I869"/>
      <c r="J869"/>
      <c r="K869"/>
      <c r="L869"/>
      <c r="M869"/>
      <c r="N869"/>
      <c r="O869"/>
      <c r="P869"/>
      <c r="Q869"/>
      <c r="R869"/>
      <c r="S869"/>
      <c r="T869"/>
      <c r="U869"/>
      <c r="V869"/>
      <c r="W869"/>
      <c r="X869"/>
      <c r="Y869"/>
      <c r="Z869"/>
      <c r="AA869"/>
      <c r="AB869"/>
      <c r="AC869"/>
      <c r="AD869"/>
      <c r="AE869"/>
      <c r="AF869"/>
      <c r="AG869"/>
      <c r="AH869"/>
      <c r="AI869"/>
      <c r="AJ869"/>
      <c r="AK869"/>
      <c r="AL869"/>
      <c r="AM869"/>
      <c r="AN869"/>
      <c r="AO869"/>
      <c r="AP869"/>
      <c r="AQ869"/>
      <c r="AR869"/>
      <c r="AS869"/>
      <c r="AT869"/>
      <c r="AU869"/>
      <c r="AV869"/>
      <c r="AW869"/>
      <c r="AX869"/>
      <c r="AY869"/>
      <c r="AZ869"/>
      <c r="BA869"/>
      <c r="BB869"/>
      <c r="BC869"/>
      <c r="BD869"/>
      <c r="BE869"/>
      <c r="BF869"/>
      <c r="BG869"/>
      <c r="BH869"/>
      <c r="BI869"/>
      <c r="BJ869"/>
      <c r="BK869"/>
      <c r="BL869"/>
      <c r="BM869"/>
      <c r="BN869"/>
      <c r="BO869"/>
      <c r="BP869"/>
      <c r="BQ869"/>
      <c r="BR869"/>
      <c r="BS869"/>
      <c r="BT869"/>
      <c r="BU869"/>
      <c r="BV869"/>
      <c r="BW869"/>
      <c r="BX869"/>
      <c r="BY869"/>
      <c r="BZ869"/>
      <c r="CA869"/>
      <c r="CB869"/>
      <c r="CC869"/>
      <c r="CD869"/>
      <c r="CE869"/>
      <c r="CF869"/>
      <c r="CG869"/>
      <c r="CH869"/>
      <c r="CI869"/>
      <c r="CJ869"/>
      <c r="CK869"/>
      <c r="CL869"/>
      <c r="CM869"/>
      <c r="CN869"/>
      <c r="CO869"/>
      <c r="CP869"/>
      <c r="CQ869"/>
      <c r="CR869"/>
      <c r="CS869"/>
      <c r="CT869"/>
      <c r="CU869"/>
      <c r="CV869"/>
      <c r="CW869"/>
      <c r="CX869"/>
      <c r="CY869"/>
      <c r="CZ869"/>
      <c r="DA869"/>
      <c r="DB869"/>
      <c r="DC869"/>
      <c r="DD869"/>
      <c r="DE869"/>
      <c r="DF869"/>
      <c r="DG869"/>
      <c r="DH869"/>
      <c r="DI869"/>
      <c r="DJ869"/>
      <c r="DK869"/>
      <c r="DL869"/>
      <c r="DM869"/>
      <c r="DN869"/>
      <c r="DO869"/>
      <c r="DP869"/>
      <c r="DQ869"/>
      <c r="DR869"/>
      <c r="DS869"/>
      <c r="DT869"/>
      <c r="DU869"/>
      <c r="DV869"/>
      <c r="DW869"/>
      <c r="DX869"/>
      <c r="DY869"/>
      <c r="DZ869"/>
      <c r="EA869"/>
      <c r="EB869"/>
      <c r="EC869"/>
      <c r="ED869"/>
      <c r="EE869"/>
      <c r="EF869"/>
      <c r="EG869"/>
      <c r="EH869"/>
      <c r="EI869"/>
      <c r="EJ869"/>
      <c r="EK869"/>
      <c r="EL869"/>
      <c r="EM869"/>
      <c r="EN869"/>
      <c r="EO869"/>
      <c r="EP869"/>
      <c r="EQ869"/>
      <c r="ER869"/>
      <c r="ES869"/>
    </row>
    <row r="870" spans="1:149">
      <c r="A870"/>
      <c r="B870"/>
      <c r="C870"/>
      <c r="D870"/>
      <c r="E870"/>
      <c r="F870"/>
      <c r="G870"/>
      <c r="H870"/>
      <c r="I870"/>
      <c r="J870"/>
      <c r="K870"/>
      <c r="L870"/>
      <c r="M870"/>
      <c r="N870"/>
      <c r="O870"/>
      <c r="P870"/>
      <c r="Q870"/>
      <c r="R870"/>
      <c r="S870"/>
      <c r="T870"/>
      <c r="U870"/>
      <c r="V870"/>
      <c r="W870"/>
      <c r="X870"/>
      <c r="Y870"/>
      <c r="Z870"/>
      <c r="AA870"/>
      <c r="AB870"/>
      <c r="AC870"/>
      <c r="AD870"/>
      <c r="AE870"/>
      <c r="AF870"/>
      <c r="AG870"/>
      <c r="AH870"/>
      <c r="AI870"/>
      <c r="AJ870"/>
      <c r="AK870"/>
      <c r="AL870"/>
      <c r="AM870"/>
      <c r="AN870"/>
      <c r="AO870"/>
      <c r="AP870"/>
      <c r="AQ870"/>
      <c r="AR870"/>
      <c r="AS870"/>
      <c r="AT870"/>
      <c r="AU870"/>
      <c r="AV870"/>
      <c r="AW870"/>
      <c r="AX870"/>
      <c r="AY870"/>
      <c r="AZ870"/>
      <c r="BA870"/>
      <c r="BB870"/>
      <c r="BC870"/>
      <c r="BD870"/>
      <c r="BE870"/>
      <c r="BF870"/>
      <c r="BG870"/>
      <c r="BH870"/>
      <c r="BI870"/>
      <c r="BJ870"/>
      <c r="BK870"/>
      <c r="BL870"/>
      <c r="BM870"/>
      <c r="BN870"/>
      <c r="BO870"/>
      <c r="BP870"/>
      <c r="BQ870"/>
      <c r="BR870"/>
      <c r="BS870"/>
      <c r="BT870"/>
      <c r="BU870"/>
      <c r="BV870"/>
      <c r="BW870"/>
      <c r="BX870"/>
      <c r="BY870"/>
      <c r="BZ870"/>
      <c r="CA870"/>
      <c r="CB870"/>
      <c r="CC870"/>
      <c r="CD870"/>
      <c r="CE870"/>
      <c r="CF870"/>
      <c r="CG870"/>
      <c r="CH870"/>
      <c r="CI870"/>
      <c r="CJ870"/>
      <c r="CK870"/>
      <c r="CL870"/>
      <c r="CM870"/>
      <c r="CN870"/>
      <c r="CO870"/>
      <c r="CP870"/>
      <c r="CQ870"/>
      <c r="CR870"/>
      <c r="CS870"/>
      <c r="CT870"/>
      <c r="CU870"/>
      <c r="CV870"/>
      <c r="CW870"/>
      <c r="CX870"/>
      <c r="CY870"/>
      <c r="CZ870"/>
      <c r="DA870"/>
      <c r="DB870"/>
      <c r="DC870"/>
      <c r="DD870"/>
      <c r="DE870"/>
      <c r="DF870"/>
      <c r="DG870"/>
      <c r="DH870"/>
      <c r="DI870"/>
      <c r="DJ870"/>
      <c r="DK870"/>
      <c r="DL870"/>
      <c r="DM870"/>
      <c r="DN870"/>
      <c r="DO870"/>
      <c r="DP870"/>
      <c r="DQ870"/>
      <c r="DR870"/>
      <c r="DS870"/>
      <c r="DT870"/>
      <c r="DU870"/>
      <c r="DV870"/>
      <c r="DW870"/>
      <c r="DX870"/>
      <c r="DY870"/>
      <c r="DZ870"/>
      <c r="EA870"/>
      <c r="EB870"/>
      <c r="EC870"/>
      <c r="ED870"/>
      <c r="EE870"/>
      <c r="EF870"/>
      <c r="EG870"/>
      <c r="EH870"/>
      <c r="EI870"/>
      <c r="EJ870"/>
      <c r="EK870"/>
      <c r="EL870"/>
      <c r="EM870"/>
      <c r="EN870"/>
      <c r="EO870"/>
      <c r="EP870"/>
      <c r="EQ870"/>
      <c r="ER870"/>
      <c r="ES870"/>
    </row>
    <row r="871" spans="1:149">
      <c r="A871"/>
      <c r="B871"/>
      <c r="C871"/>
      <c r="D871"/>
      <c r="E871"/>
      <c r="F871"/>
      <c r="G871"/>
      <c r="H871"/>
      <c r="I871"/>
      <c r="J871"/>
      <c r="K871"/>
      <c r="L871"/>
      <c r="M871"/>
      <c r="N871"/>
      <c r="O871"/>
      <c r="P871"/>
      <c r="Q871"/>
      <c r="R871"/>
      <c r="S871"/>
      <c r="T871"/>
      <c r="U871"/>
      <c r="V871"/>
      <c r="W871"/>
      <c r="X871"/>
      <c r="Y871"/>
      <c r="Z871"/>
      <c r="AA871"/>
      <c r="AB871"/>
      <c r="AC871"/>
      <c r="AD871"/>
      <c r="AE871"/>
      <c r="AF871"/>
      <c r="AG871"/>
      <c r="AH871"/>
      <c r="AI871"/>
      <c r="AJ871"/>
      <c r="AK871"/>
      <c r="AL871"/>
      <c r="AM871"/>
      <c r="AN871"/>
      <c r="AO871"/>
      <c r="AP871"/>
      <c r="AQ871"/>
      <c r="AR871"/>
      <c r="AS871"/>
      <c r="AT871"/>
      <c r="AU871"/>
      <c r="AV871"/>
      <c r="AW871"/>
      <c r="AX871"/>
      <c r="AY871"/>
      <c r="AZ871"/>
      <c r="BA871"/>
      <c r="BB871"/>
      <c r="BC871"/>
      <c r="BD871"/>
      <c r="BE871"/>
      <c r="BF871"/>
      <c r="BG871"/>
      <c r="BH871"/>
      <c r="BI871"/>
      <c r="BJ871"/>
      <c r="BK871"/>
      <c r="BL871"/>
      <c r="BM871"/>
      <c r="BN871"/>
      <c r="BO871"/>
      <c r="BP871"/>
      <c r="BQ871"/>
      <c r="BR871"/>
      <c r="BS871"/>
      <c r="BT871"/>
      <c r="BU871"/>
      <c r="BV871"/>
      <c r="BW871"/>
      <c r="BX871"/>
      <c r="BY871"/>
      <c r="BZ871"/>
      <c r="CA871"/>
      <c r="CB871"/>
      <c r="CC871"/>
      <c r="CD871"/>
      <c r="CE871"/>
      <c r="CF871"/>
      <c r="CG871"/>
      <c r="CH871"/>
      <c r="CI871"/>
      <c r="CJ871"/>
      <c r="CK871"/>
      <c r="CL871"/>
      <c r="CM871"/>
      <c r="CN871"/>
      <c r="CO871"/>
      <c r="CP871"/>
      <c r="CQ871"/>
      <c r="CR871"/>
      <c r="CS871"/>
      <c r="CT871"/>
      <c r="CU871"/>
      <c r="CV871"/>
      <c r="CW871"/>
      <c r="CX871"/>
      <c r="CY871"/>
      <c r="CZ871"/>
      <c r="DA871"/>
      <c r="DB871"/>
      <c r="DC871"/>
      <c r="DD871"/>
      <c r="DE871"/>
      <c r="DF871"/>
      <c r="DG871"/>
      <c r="DH871"/>
      <c r="DI871"/>
      <c r="DJ871"/>
      <c r="DK871"/>
      <c r="DL871"/>
      <c r="DM871"/>
      <c r="DN871"/>
      <c r="DO871"/>
      <c r="DP871"/>
      <c r="DQ871"/>
      <c r="DR871"/>
      <c r="DS871"/>
      <c r="DT871"/>
      <c r="DU871"/>
      <c r="DV871"/>
      <c r="DW871"/>
      <c r="DX871"/>
      <c r="DY871"/>
      <c r="DZ871"/>
      <c r="EA871"/>
      <c r="EB871"/>
      <c r="EC871"/>
      <c r="ED871"/>
      <c r="EE871"/>
      <c r="EF871"/>
      <c r="EG871"/>
      <c r="EH871"/>
      <c r="EI871"/>
      <c r="EJ871"/>
      <c r="EK871"/>
      <c r="EL871"/>
      <c r="EM871"/>
      <c r="EN871"/>
      <c r="EO871"/>
      <c r="EP871"/>
      <c r="EQ871"/>
      <c r="ER871"/>
      <c r="ES871"/>
    </row>
    <row r="872" spans="1:149">
      <c r="A872"/>
      <c r="B872"/>
      <c r="C872"/>
      <c r="D872"/>
      <c r="E872"/>
      <c r="F872"/>
      <c r="G872"/>
      <c r="H872"/>
      <c r="I872"/>
      <c r="J872"/>
      <c r="K872"/>
      <c r="L872"/>
      <c r="M872"/>
      <c r="N872"/>
      <c r="O872"/>
      <c r="P872"/>
      <c r="Q872"/>
      <c r="R872"/>
      <c r="S872"/>
      <c r="T872"/>
      <c r="U872"/>
      <c r="V872"/>
      <c r="W872"/>
      <c r="X872"/>
      <c r="Y872"/>
      <c r="Z872"/>
      <c r="AA872"/>
      <c r="AB872"/>
      <c r="AC872"/>
      <c r="AD872"/>
      <c r="AE872"/>
      <c r="AF872"/>
      <c r="AG872"/>
      <c r="AH872"/>
      <c r="AI872"/>
      <c r="AJ872"/>
      <c r="AK872"/>
      <c r="AL872"/>
      <c r="AM872"/>
      <c r="AN872"/>
      <c r="AO872"/>
      <c r="AP872"/>
      <c r="AQ872"/>
      <c r="AR872"/>
      <c r="AS872"/>
      <c r="AT872"/>
      <c r="AU872"/>
      <c r="AV872"/>
      <c r="AW872"/>
      <c r="AX872"/>
      <c r="AY872"/>
      <c r="AZ872"/>
      <c r="BA872"/>
      <c r="BB872"/>
      <c r="BC872"/>
      <c r="BD872"/>
      <c r="BE872"/>
      <c r="BF872"/>
      <c r="BG872"/>
      <c r="BH872"/>
      <c r="BI872"/>
      <c r="BJ872"/>
      <c r="BK872"/>
      <c r="BL872"/>
      <c r="BM872"/>
      <c r="BN872"/>
      <c r="BO872"/>
      <c r="BP872"/>
      <c r="BQ872"/>
      <c r="BR872"/>
      <c r="BS872"/>
      <c r="BT872"/>
      <c r="BU872"/>
      <c r="BV872"/>
      <c r="BW872"/>
      <c r="BX872"/>
      <c r="BY872"/>
      <c r="BZ872"/>
      <c r="CA872"/>
      <c r="CB872"/>
      <c r="CC872"/>
      <c r="CD872"/>
      <c r="CE872"/>
      <c r="CF872"/>
      <c r="CG872"/>
      <c r="CH872"/>
      <c r="CI872"/>
      <c r="CJ872"/>
      <c r="CK872"/>
      <c r="CL872"/>
      <c r="CM872"/>
      <c r="CN872"/>
      <c r="CO872"/>
      <c r="CP872"/>
      <c r="CQ872"/>
      <c r="CR872"/>
      <c r="CS872"/>
      <c r="CT872"/>
      <c r="CU872"/>
      <c r="CV872"/>
      <c r="CW872"/>
      <c r="CX872"/>
      <c r="CY872"/>
      <c r="CZ872"/>
      <c r="DA872"/>
      <c r="DB872"/>
      <c r="DC872"/>
      <c r="DD872"/>
      <c r="DE872"/>
      <c r="DF872"/>
      <c r="DG872"/>
      <c r="DH872"/>
      <c r="DI872"/>
      <c r="DJ872"/>
      <c r="DK872"/>
      <c r="DL872"/>
      <c r="DM872"/>
      <c r="DN872"/>
      <c r="DO872"/>
      <c r="DP872"/>
      <c r="DQ872"/>
      <c r="DR872"/>
      <c r="DS872"/>
      <c r="DT872"/>
      <c r="DU872"/>
      <c r="DV872"/>
      <c r="DW872"/>
      <c r="DX872"/>
      <c r="DY872"/>
      <c r="DZ872"/>
      <c r="EA872"/>
      <c r="EB872"/>
      <c r="EC872"/>
      <c r="ED872"/>
      <c r="EE872"/>
      <c r="EF872"/>
      <c r="EG872"/>
      <c r="EH872"/>
      <c r="EI872"/>
      <c r="EJ872"/>
      <c r="EK872"/>
      <c r="EL872"/>
      <c r="EM872"/>
      <c r="EN872"/>
      <c r="EO872"/>
      <c r="EP872"/>
      <c r="EQ872"/>
      <c r="ER872"/>
      <c r="ES872"/>
    </row>
    <row r="873" spans="1:149">
      <c r="A873"/>
      <c r="B873"/>
      <c r="C873"/>
      <c r="D873"/>
      <c r="E873"/>
      <c r="F873"/>
      <c r="G873"/>
      <c r="H873"/>
      <c r="I873"/>
      <c r="J873"/>
      <c r="K873"/>
      <c r="L873"/>
      <c r="M873"/>
      <c r="N873"/>
      <c r="O873"/>
      <c r="P873"/>
      <c r="Q873"/>
      <c r="R873"/>
      <c r="S873"/>
      <c r="T873"/>
      <c r="U873"/>
      <c r="V873"/>
      <c r="W873"/>
      <c r="X873"/>
      <c r="Y873"/>
      <c r="Z873"/>
      <c r="AA873"/>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c r="BZ873"/>
      <c r="CA873"/>
      <c r="CB873"/>
      <c r="CC873"/>
      <c r="CD873"/>
      <c r="CE873"/>
      <c r="CF873"/>
      <c r="CG873"/>
      <c r="CH873"/>
      <c r="CI873"/>
      <c r="CJ873"/>
      <c r="CK873"/>
      <c r="CL873"/>
      <c r="CM873"/>
      <c r="CN873"/>
      <c r="CO873"/>
      <c r="CP873"/>
      <c r="CQ873"/>
      <c r="CR873"/>
      <c r="CS873"/>
      <c r="CT873"/>
      <c r="CU873"/>
      <c r="CV873"/>
      <c r="CW873"/>
      <c r="CX873"/>
      <c r="CY873"/>
      <c r="CZ873"/>
      <c r="DA873"/>
      <c r="DB873"/>
      <c r="DC873"/>
      <c r="DD873"/>
      <c r="DE873"/>
      <c r="DF873"/>
      <c r="DG873"/>
      <c r="DH873"/>
      <c r="DI873"/>
      <c r="DJ873"/>
      <c r="DK873"/>
      <c r="DL873"/>
      <c r="DM873"/>
      <c r="DN873"/>
      <c r="DO873"/>
      <c r="DP873"/>
      <c r="DQ873"/>
      <c r="DR873"/>
      <c r="DS873"/>
      <c r="DT873"/>
      <c r="DU873"/>
      <c r="DV873"/>
      <c r="DW873"/>
      <c r="DX873"/>
      <c r="DY873"/>
      <c r="DZ873"/>
      <c r="EA873"/>
      <c r="EB873"/>
      <c r="EC873"/>
      <c r="ED873"/>
      <c r="EE873"/>
      <c r="EF873"/>
      <c r="EG873"/>
      <c r="EH873"/>
      <c r="EI873"/>
      <c r="EJ873"/>
      <c r="EK873"/>
      <c r="EL873"/>
      <c r="EM873"/>
      <c r="EN873"/>
      <c r="EO873"/>
      <c r="EP873"/>
      <c r="EQ873"/>
      <c r="ER873"/>
      <c r="ES873"/>
    </row>
    <row r="874" spans="1:149">
      <c r="A874"/>
      <c r="B874"/>
      <c r="C874"/>
      <c r="D874"/>
      <c r="E874"/>
      <c r="F874"/>
      <c r="G874"/>
      <c r="H874"/>
      <c r="I874"/>
      <c r="J874"/>
      <c r="K874"/>
      <c r="L874"/>
      <c r="M874"/>
      <c r="N874"/>
      <c r="O874"/>
      <c r="P874"/>
      <c r="Q874"/>
      <c r="R874"/>
      <c r="S874"/>
      <c r="T874"/>
      <c r="U874"/>
      <c r="V874"/>
      <c r="W874"/>
      <c r="X874"/>
      <c r="Y874"/>
      <c r="Z874"/>
      <c r="AA874"/>
      <c r="AB874"/>
      <c r="AC874"/>
      <c r="AD874"/>
      <c r="AE874"/>
      <c r="AF874"/>
      <c r="AG874"/>
      <c r="AH874"/>
      <c r="AI874"/>
      <c r="AJ874"/>
      <c r="AK874"/>
      <c r="AL874"/>
      <c r="AM874"/>
      <c r="AN874"/>
      <c r="AO874"/>
      <c r="AP874"/>
      <c r="AQ874"/>
      <c r="AR874"/>
      <c r="AS874"/>
      <c r="AT874"/>
      <c r="AU874"/>
      <c r="AV874"/>
      <c r="AW874"/>
      <c r="AX874"/>
      <c r="AY874"/>
      <c r="AZ874"/>
      <c r="BA874"/>
      <c r="BB874"/>
      <c r="BC874"/>
      <c r="BD874"/>
      <c r="BE874"/>
      <c r="BF874"/>
      <c r="BG874"/>
      <c r="BH874"/>
      <c r="BI874"/>
      <c r="BJ874"/>
      <c r="BK874"/>
      <c r="BL874"/>
      <c r="BM874"/>
      <c r="BN874"/>
      <c r="BO874"/>
      <c r="BP874"/>
      <c r="BQ874"/>
      <c r="BR874"/>
      <c r="BS874"/>
      <c r="BT874"/>
      <c r="BU874"/>
      <c r="BV874"/>
      <c r="BW874"/>
      <c r="BX874"/>
      <c r="BY874"/>
      <c r="BZ874"/>
      <c r="CA874"/>
      <c r="CB874"/>
      <c r="CC874"/>
      <c r="CD874"/>
      <c r="CE874"/>
      <c r="CF874"/>
      <c r="CG874"/>
      <c r="CH874"/>
      <c r="CI874"/>
      <c r="CJ874"/>
      <c r="CK874"/>
      <c r="CL874"/>
      <c r="CM874"/>
      <c r="CN874"/>
      <c r="CO874"/>
      <c r="CP874"/>
      <c r="CQ874"/>
      <c r="CR874"/>
      <c r="CS874"/>
      <c r="CT874"/>
      <c r="CU874"/>
      <c r="CV874"/>
      <c r="CW874"/>
      <c r="CX874"/>
      <c r="CY874"/>
      <c r="CZ874"/>
      <c r="DA874"/>
      <c r="DB874"/>
      <c r="DC874"/>
      <c r="DD874"/>
      <c r="DE874"/>
      <c r="DF874"/>
      <c r="DG874"/>
      <c r="DH874"/>
      <c r="DI874"/>
      <c r="DJ874"/>
      <c r="DK874"/>
      <c r="DL874"/>
      <c r="DM874"/>
      <c r="DN874"/>
      <c r="DO874"/>
      <c r="DP874"/>
      <c r="DQ874"/>
      <c r="DR874"/>
      <c r="DS874"/>
      <c r="DT874"/>
      <c r="DU874"/>
      <c r="DV874"/>
      <c r="DW874"/>
      <c r="DX874"/>
      <c r="DY874"/>
      <c r="DZ874"/>
      <c r="EA874"/>
      <c r="EB874"/>
      <c r="EC874"/>
      <c r="ED874"/>
      <c r="EE874"/>
      <c r="EF874"/>
      <c r="EG874"/>
      <c r="EH874"/>
      <c r="EI874"/>
      <c r="EJ874"/>
      <c r="EK874"/>
      <c r="EL874"/>
      <c r="EM874"/>
      <c r="EN874"/>
      <c r="EO874"/>
      <c r="EP874"/>
      <c r="EQ874"/>
      <c r="ER874"/>
      <c r="ES874"/>
    </row>
    <row r="875" spans="1:149">
      <c r="A875"/>
      <c r="B875"/>
      <c r="C875"/>
      <c r="D875"/>
      <c r="E875"/>
      <c r="F875"/>
      <c r="G875"/>
      <c r="H875"/>
      <c r="I875"/>
      <c r="J875"/>
      <c r="K875"/>
      <c r="L875"/>
      <c r="M875"/>
      <c r="N875"/>
      <c r="O875"/>
      <c r="P875"/>
      <c r="Q875"/>
      <c r="R875"/>
      <c r="S875"/>
      <c r="T875"/>
      <c r="U875"/>
      <c r="V875"/>
      <c r="W875"/>
      <c r="X875"/>
      <c r="Y875"/>
      <c r="Z875"/>
      <c r="AA875"/>
      <c r="AB875"/>
      <c r="AC875"/>
      <c r="AD875"/>
      <c r="AE875"/>
      <c r="AF875"/>
      <c r="AG875"/>
      <c r="AH875"/>
      <c r="AI875"/>
      <c r="AJ875"/>
      <c r="AK875"/>
      <c r="AL875"/>
      <c r="AM875"/>
      <c r="AN875"/>
      <c r="AO875"/>
      <c r="AP875"/>
      <c r="AQ875"/>
      <c r="AR875"/>
      <c r="AS875"/>
      <c r="AT875"/>
      <c r="AU875"/>
      <c r="AV875"/>
      <c r="AW875"/>
      <c r="AX875"/>
      <c r="AY875"/>
      <c r="AZ875"/>
      <c r="BA875"/>
      <c r="BB875"/>
      <c r="BC875"/>
      <c r="BD875"/>
      <c r="BE875"/>
      <c r="BF875"/>
      <c r="BG875"/>
      <c r="BH875"/>
      <c r="BI875"/>
      <c r="BJ875"/>
      <c r="BK875"/>
      <c r="BL875"/>
      <c r="BM875"/>
      <c r="BN875"/>
      <c r="BO875"/>
      <c r="BP875"/>
      <c r="BQ875"/>
      <c r="BR875"/>
      <c r="BS875"/>
      <c r="BT875"/>
      <c r="BU875"/>
      <c r="BV875"/>
      <c r="BW875"/>
      <c r="BX875"/>
      <c r="BY875"/>
      <c r="BZ875"/>
      <c r="CA875"/>
      <c r="CB875"/>
      <c r="CC875"/>
      <c r="CD875"/>
      <c r="CE875"/>
      <c r="CF875"/>
      <c r="CG875"/>
      <c r="CH875"/>
      <c r="CI875"/>
      <c r="CJ875"/>
      <c r="CK875"/>
      <c r="CL875"/>
      <c r="CM875"/>
      <c r="CN875"/>
      <c r="CO875"/>
      <c r="CP875"/>
      <c r="CQ875"/>
      <c r="CR875"/>
      <c r="CS875"/>
      <c r="CT875"/>
      <c r="CU875"/>
      <c r="CV875"/>
      <c r="CW875"/>
      <c r="CX875"/>
      <c r="CY875"/>
      <c r="CZ875"/>
      <c r="DA875"/>
      <c r="DB875"/>
      <c r="DC875"/>
      <c r="DD875"/>
      <c r="DE875"/>
      <c r="DF875"/>
      <c r="DG875"/>
      <c r="DH875"/>
      <c r="DI875"/>
      <c r="DJ875"/>
      <c r="DK875"/>
      <c r="DL875"/>
      <c r="DM875"/>
      <c r="DN875"/>
      <c r="DO875"/>
      <c r="DP875"/>
      <c r="DQ875"/>
      <c r="DR875"/>
      <c r="DS875"/>
      <c r="DT875"/>
      <c r="DU875"/>
      <c r="DV875"/>
      <c r="DW875"/>
      <c r="DX875"/>
      <c r="DY875"/>
      <c r="DZ875"/>
      <c r="EA875"/>
      <c r="EB875"/>
      <c r="EC875"/>
      <c r="ED875"/>
      <c r="EE875"/>
      <c r="EF875"/>
      <c r="EG875"/>
      <c r="EH875"/>
      <c r="EI875"/>
      <c r="EJ875"/>
      <c r="EK875"/>
      <c r="EL875"/>
      <c r="EM875"/>
      <c r="EN875"/>
      <c r="EO875"/>
      <c r="EP875"/>
      <c r="EQ875"/>
      <c r="ER875"/>
      <c r="ES875"/>
    </row>
    <row r="876" spans="1:149">
      <c r="A876"/>
      <c r="B876"/>
      <c r="C876"/>
      <c r="D876"/>
      <c r="E876"/>
      <c r="F876"/>
      <c r="G876"/>
      <c r="H876"/>
      <c r="I876"/>
      <c r="J876"/>
      <c r="K876"/>
      <c r="L876"/>
      <c r="M876"/>
      <c r="N876"/>
      <c r="O876"/>
      <c r="P876"/>
      <c r="Q876"/>
      <c r="R876"/>
      <c r="S876"/>
      <c r="T876"/>
      <c r="U876"/>
      <c r="V876"/>
      <c r="W876"/>
      <c r="X876"/>
      <c r="Y876"/>
      <c r="Z876"/>
      <c r="AA876"/>
      <c r="AB876"/>
      <c r="AC876"/>
      <c r="AD876"/>
      <c r="AE876"/>
      <c r="AF876"/>
      <c r="AG876"/>
      <c r="AH876"/>
      <c r="AI876"/>
      <c r="AJ876"/>
      <c r="AK876"/>
      <c r="AL876"/>
      <c r="AM876"/>
      <c r="AN876"/>
      <c r="AO876"/>
      <c r="AP876"/>
      <c r="AQ876"/>
      <c r="AR876"/>
      <c r="AS876"/>
      <c r="AT876"/>
      <c r="AU876"/>
      <c r="AV876"/>
      <c r="AW876"/>
      <c r="AX876"/>
      <c r="AY876"/>
      <c r="AZ876"/>
      <c r="BA876"/>
      <c r="BB876"/>
      <c r="BC876"/>
      <c r="BD876"/>
      <c r="BE876"/>
      <c r="BF876"/>
      <c r="BG876"/>
      <c r="BH876"/>
      <c r="BI876"/>
      <c r="BJ876"/>
      <c r="BK876"/>
      <c r="BL876"/>
      <c r="BM876"/>
      <c r="BN876"/>
      <c r="BO876"/>
      <c r="BP876"/>
      <c r="BQ876"/>
      <c r="BR876"/>
      <c r="BS876"/>
      <c r="BT876"/>
      <c r="BU876"/>
      <c r="BV876"/>
      <c r="BW876"/>
      <c r="BX876"/>
      <c r="BY876"/>
      <c r="BZ876"/>
      <c r="CA876"/>
      <c r="CB876"/>
      <c r="CC876"/>
      <c r="CD876"/>
      <c r="CE876"/>
      <c r="CF876"/>
      <c r="CG876"/>
      <c r="CH876"/>
      <c r="CI876"/>
      <c r="CJ876"/>
      <c r="CK876"/>
      <c r="CL876"/>
      <c r="CM876"/>
      <c r="CN876"/>
      <c r="CO876"/>
      <c r="CP876"/>
      <c r="CQ876"/>
      <c r="CR876"/>
      <c r="CS876"/>
      <c r="CT876"/>
      <c r="CU876"/>
      <c r="CV876"/>
      <c r="CW876"/>
      <c r="CX876"/>
      <c r="CY876"/>
      <c r="CZ876"/>
      <c r="DA876"/>
      <c r="DB876"/>
      <c r="DC876"/>
      <c r="DD876"/>
      <c r="DE876"/>
      <c r="DF876"/>
      <c r="DG876"/>
      <c r="DH876"/>
      <c r="DI876"/>
      <c r="DJ876"/>
      <c r="DK876"/>
      <c r="DL876"/>
      <c r="DM876"/>
      <c r="DN876"/>
      <c r="DO876"/>
      <c r="DP876"/>
      <c r="DQ876"/>
      <c r="DR876"/>
      <c r="DS876"/>
      <c r="DT876"/>
      <c r="DU876"/>
      <c r="DV876"/>
      <c r="DW876"/>
      <c r="DX876"/>
      <c r="DY876"/>
      <c r="DZ876"/>
      <c r="EA876"/>
      <c r="EB876"/>
      <c r="EC876"/>
      <c r="ED876"/>
      <c r="EE876"/>
      <c r="EF876"/>
      <c r="EG876"/>
      <c r="EH876"/>
      <c r="EI876"/>
      <c r="EJ876"/>
      <c r="EK876"/>
      <c r="EL876"/>
      <c r="EM876"/>
      <c r="EN876"/>
      <c r="EO876"/>
      <c r="EP876"/>
      <c r="EQ876"/>
      <c r="ER876"/>
      <c r="ES876"/>
    </row>
    <row r="877" spans="1:149">
      <c r="A877"/>
      <c r="B877"/>
      <c r="C877"/>
      <c r="D877"/>
      <c r="E877"/>
      <c r="F877"/>
      <c r="G877"/>
      <c r="H877"/>
      <c r="I877"/>
      <c r="J877"/>
      <c r="K877"/>
      <c r="L877"/>
      <c r="M877"/>
      <c r="N877"/>
      <c r="O877"/>
      <c r="P877"/>
      <c r="Q877"/>
      <c r="R877"/>
      <c r="S877"/>
      <c r="T877"/>
      <c r="U877"/>
      <c r="V877"/>
      <c r="W877"/>
      <c r="X877"/>
      <c r="Y877"/>
      <c r="Z877"/>
      <c r="AA877"/>
      <c r="AB877"/>
      <c r="AC877"/>
      <c r="AD877"/>
      <c r="AE877"/>
      <c r="AF877"/>
      <c r="AG877"/>
      <c r="AH877"/>
      <c r="AI877"/>
      <c r="AJ877"/>
      <c r="AK877"/>
      <c r="AL877"/>
      <c r="AM877"/>
      <c r="AN877"/>
      <c r="AO877"/>
      <c r="AP877"/>
      <c r="AQ877"/>
      <c r="AR877"/>
      <c r="AS877"/>
      <c r="AT877"/>
      <c r="AU877"/>
      <c r="AV877"/>
      <c r="AW877"/>
      <c r="AX877"/>
      <c r="AY877"/>
      <c r="AZ877"/>
      <c r="BA877"/>
      <c r="BB877"/>
      <c r="BC877"/>
      <c r="BD877"/>
      <c r="BE877"/>
      <c r="BF877"/>
      <c r="BG877"/>
      <c r="BH877"/>
      <c r="BI877"/>
      <c r="BJ877"/>
      <c r="BK877"/>
      <c r="BL877"/>
      <c r="BM877"/>
      <c r="BN877"/>
      <c r="BO877"/>
      <c r="BP877"/>
      <c r="BQ877"/>
      <c r="BR877"/>
      <c r="BS877"/>
      <c r="BT877"/>
      <c r="BU877"/>
      <c r="BV877"/>
      <c r="BW877"/>
      <c r="BX877"/>
      <c r="BY877"/>
      <c r="BZ877"/>
      <c r="CA877"/>
      <c r="CB877"/>
      <c r="CC877"/>
      <c r="CD877"/>
      <c r="CE877"/>
      <c r="CF877"/>
      <c r="CG877"/>
      <c r="CH877"/>
      <c r="CI877"/>
      <c r="CJ877"/>
      <c r="CK877"/>
      <c r="CL877"/>
      <c r="CM877"/>
      <c r="CN877"/>
      <c r="CO877"/>
      <c r="CP877"/>
      <c r="CQ877"/>
      <c r="CR877"/>
      <c r="CS877"/>
      <c r="CT877"/>
      <c r="CU877"/>
      <c r="CV877"/>
      <c r="CW877"/>
      <c r="CX877"/>
      <c r="CY877"/>
      <c r="CZ877"/>
      <c r="DA877"/>
      <c r="DB877"/>
      <c r="DC877"/>
      <c r="DD877"/>
      <c r="DE877"/>
      <c r="DF877"/>
      <c r="DG877"/>
      <c r="DH877"/>
      <c r="DI877"/>
      <c r="DJ877"/>
      <c r="DK877"/>
      <c r="DL877"/>
      <c r="DM877"/>
      <c r="DN877"/>
      <c r="DO877"/>
      <c r="DP877"/>
      <c r="DQ877"/>
      <c r="DR877"/>
      <c r="DS877"/>
      <c r="DT877"/>
      <c r="DU877"/>
      <c r="DV877"/>
      <c r="DW877"/>
      <c r="DX877"/>
      <c r="DY877"/>
      <c r="DZ877"/>
      <c r="EA877"/>
      <c r="EB877"/>
      <c r="EC877"/>
      <c r="ED877"/>
      <c r="EE877"/>
      <c r="EF877"/>
      <c r="EG877"/>
      <c r="EH877"/>
      <c r="EI877"/>
      <c r="EJ877"/>
      <c r="EK877"/>
      <c r="EL877"/>
      <c r="EM877"/>
      <c r="EN877"/>
      <c r="EO877"/>
      <c r="EP877"/>
      <c r="EQ877"/>
      <c r="ER877"/>
      <c r="ES877"/>
    </row>
    <row r="878" spans="1:149">
      <c r="A878"/>
      <c r="B878"/>
      <c r="C878"/>
      <c r="D878"/>
      <c r="E878"/>
      <c r="F878"/>
      <c r="G878"/>
      <c r="H878"/>
      <c r="I878"/>
      <c r="J878"/>
      <c r="K878"/>
      <c r="L878"/>
      <c r="M878"/>
      <c r="N878"/>
      <c r="O878"/>
      <c r="P878"/>
      <c r="Q878"/>
      <c r="R878"/>
      <c r="S878"/>
      <c r="T878"/>
      <c r="U878"/>
      <c r="V878"/>
      <c r="W878"/>
      <c r="X878"/>
      <c r="Y878"/>
      <c r="Z878"/>
      <c r="AA878"/>
      <c r="AB878"/>
      <c r="AC878"/>
      <c r="AD878"/>
      <c r="AE878"/>
      <c r="AF878"/>
      <c r="AG878"/>
      <c r="AH878"/>
      <c r="AI878"/>
      <c r="AJ878"/>
      <c r="AK878"/>
      <c r="AL878"/>
      <c r="AM878"/>
      <c r="AN878"/>
      <c r="AO878"/>
      <c r="AP878"/>
      <c r="AQ878"/>
      <c r="AR878"/>
      <c r="AS878"/>
      <c r="AT878"/>
      <c r="AU878"/>
      <c r="AV878"/>
      <c r="AW878"/>
      <c r="AX878"/>
      <c r="AY878"/>
      <c r="AZ878"/>
      <c r="BA878"/>
      <c r="BB878"/>
      <c r="BC878"/>
      <c r="BD878"/>
      <c r="BE878"/>
      <c r="BF878"/>
      <c r="BG878"/>
      <c r="BH878"/>
      <c r="BI878"/>
      <c r="BJ878"/>
      <c r="BK878"/>
      <c r="BL878"/>
      <c r="BM878"/>
      <c r="BN878"/>
      <c r="BO878"/>
      <c r="BP878"/>
      <c r="BQ878"/>
      <c r="BR878"/>
      <c r="BS878"/>
      <c r="BT878"/>
      <c r="BU878"/>
      <c r="BV878"/>
      <c r="BW878"/>
      <c r="BX878"/>
      <c r="BY878"/>
      <c r="BZ878"/>
      <c r="CA878"/>
      <c r="CB878"/>
      <c r="CC878"/>
      <c r="CD878"/>
      <c r="CE878"/>
      <c r="CF878"/>
      <c r="CG878"/>
      <c r="CH878"/>
      <c r="CI878"/>
      <c r="CJ878"/>
      <c r="CK878"/>
      <c r="CL878"/>
      <c r="CM878"/>
      <c r="CN878"/>
      <c r="CO878"/>
      <c r="CP878"/>
      <c r="CQ878"/>
      <c r="CR878"/>
      <c r="CS878"/>
      <c r="CT878"/>
      <c r="CU878"/>
      <c r="CV878"/>
      <c r="CW878"/>
      <c r="CX878"/>
      <c r="CY878"/>
      <c r="CZ878"/>
      <c r="DA878"/>
      <c r="DB878"/>
      <c r="DC878"/>
      <c r="DD878"/>
      <c r="DE878"/>
      <c r="DF878"/>
      <c r="DG878"/>
      <c r="DH878"/>
      <c r="DI878"/>
      <c r="DJ878"/>
      <c r="DK878"/>
      <c r="DL878"/>
      <c r="DM878"/>
      <c r="DN878"/>
      <c r="DO878"/>
      <c r="DP878"/>
      <c r="DQ878"/>
      <c r="DR878"/>
      <c r="DS878"/>
      <c r="DT878"/>
      <c r="DU878"/>
      <c r="DV878"/>
      <c r="DW878"/>
      <c r="DX878"/>
      <c r="DY878"/>
      <c r="DZ878"/>
      <c r="EA878"/>
      <c r="EB878"/>
      <c r="EC878"/>
      <c r="ED878"/>
      <c r="EE878"/>
      <c r="EF878"/>
      <c r="EG878"/>
      <c r="EH878"/>
      <c r="EI878"/>
      <c r="EJ878"/>
      <c r="EK878"/>
      <c r="EL878"/>
      <c r="EM878"/>
      <c r="EN878"/>
      <c r="EO878"/>
      <c r="EP878"/>
      <c r="EQ878"/>
      <c r="ER878"/>
      <c r="ES878"/>
    </row>
    <row r="879" spans="1:149">
      <c r="A879"/>
      <c r="B879"/>
      <c r="C879"/>
      <c r="D879"/>
      <c r="E879"/>
      <c r="F879"/>
      <c r="G879"/>
      <c r="H879"/>
      <c r="I879"/>
      <c r="J879"/>
      <c r="K879"/>
      <c r="L879"/>
      <c r="M879"/>
      <c r="N879"/>
      <c r="O879"/>
      <c r="P879"/>
      <c r="Q879"/>
      <c r="R879"/>
      <c r="S879"/>
      <c r="T879"/>
      <c r="U879"/>
      <c r="V879"/>
      <c r="W879"/>
      <c r="X879"/>
      <c r="Y879"/>
      <c r="Z879"/>
      <c r="AA879"/>
      <c r="AB879"/>
      <c r="AC879"/>
      <c r="AD879"/>
      <c r="AE879"/>
      <c r="AF879"/>
      <c r="AG879"/>
      <c r="AH879"/>
      <c r="AI879"/>
      <c r="AJ879"/>
      <c r="AK879"/>
      <c r="AL879"/>
      <c r="AM879"/>
      <c r="AN879"/>
      <c r="AO879"/>
      <c r="AP879"/>
      <c r="AQ879"/>
      <c r="AR879"/>
      <c r="AS879"/>
      <c r="AT879"/>
      <c r="AU879"/>
      <c r="AV879"/>
      <c r="AW879"/>
      <c r="AX879"/>
      <c r="AY879"/>
      <c r="AZ879"/>
      <c r="BA879"/>
      <c r="BB879"/>
      <c r="BC879"/>
      <c r="BD879"/>
      <c r="BE879"/>
      <c r="BF879"/>
      <c r="BG879"/>
      <c r="BH879"/>
      <c r="BI879"/>
      <c r="BJ879"/>
      <c r="BK879"/>
      <c r="BL879"/>
      <c r="BM879"/>
      <c r="BN879"/>
      <c r="BO879"/>
      <c r="BP879"/>
      <c r="BQ879"/>
      <c r="BR879"/>
      <c r="BS879"/>
      <c r="BT879"/>
      <c r="BU879"/>
      <c r="BV879"/>
      <c r="BW879"/>
      <c r="BX879"/>
      <c r="BY879"/>
      <c r="BZ879"/>
      <c r="CA879"/>
      <c r="CB879"/>
      <c r="CC879"/>
      <c r="CD879"/>
      <c r="CE879"/>
      <c r="CF879"/>
      <c r="CG879"/>
      <c r="CH879"/>
      <c r="CI879"/>
      <c r="CJ879"/>
      <c r="CK879"/>
      <c r="CL879"/>
      <c r="CM879"/>
      <c r="CN879"/>
      <c r="CO879"/>
      <c r="CP879"/>
      <c r="CQ879"/>
      <c r="CR879"/>
      <c r="CS879"/>
      <c r="CT879"/>
      <c r="CU879"/>
      <c r="CV879"/>
      <c r="CW879"/>
      <c r="CX879"/>
      <c r="CY879"/>
      <c r="CZ879"/>
      <c r="DA879"/>
      <c r="DB879"/>
      <c r="DC879"/>
      <c r="DD879"/>
      <c r="DE879"/>
      <c r="DF879"/>
      <c r="DG879"/>
      <c r="DH879"/>
      <c r="DI879"/>
      <c r="DJ879"/>
      <c r="DK879"/>
      <c r="DL879"/>
      <c r="DM879"/>
      <c r="DN879"/>
      <c r="DO879"/>
      <c r="DP879"/>
      <c r="DQ879"/>
      <c r="DR879"/>
      <c r="DS879"/>
      <c r="DT879"/>
      <c r="DU879"/>
      <c r="DV879"/>
      <c r="DW879"/>
      <c r="DX879"/>
      <c r="DY879"/>
      <c r="DZ879"/>
      <c r="EA879"/>
      <c r="EB879"/>
      <c r="EC879"/>
      <c r="ED879"/>
      <c r="EE879"/>
      <c r="EF879"/>
      <c r="EG879"/>
      <c r="EH879"/>
      <c r="EI879"/>
      <c r="EJ879"/>
      <c r="EK879"/>
      <c r="EL879"/>
      <c r="EM879"/>
      <c r="EN879"/>
      <c r="EO879"/>
      <c r="EP879"/>
      <c r="EQ879"/>
      <c r="ER879"/>
      <c r="ES879"/>
    </row>
    <row r="880" spans="1:149">
      <c r="A880"/>
      <c r="B880"/>
      <c r="C880"/>
      <c r="D880"/>
      <c r="E880"/>
      <c r="F880"/>
      <c r="G880"/>
      <c r="H880"/>
      <c r="I880"/>
      <c r="J880"/>
      <c r="K880"/>
      <c r="L880"/>
      <c r="M880"/>
      <c r="N880"/>
      <c r="O880"/>
      <c r="P880"/>
      <c r="Q880"/>
      <c r="R880"/>
      <c r="S880"/>
      <c r="T880"/>
      <c r="U880"/>
      <c r="V880"/>
      <c r="W880"/>
      <c r="X880"/>
      <c r="Y880"/>
      <c r="Z880"/>
      <c r="AA880"/>
      <c r="AB880"/>
      <c r="AC880"/>
      <c r="AD880"/>
      <c r="AE880"/>
      <c r="AF880"/>
      <c r="AG880"/>
      <c r="AH880"/>
      <c r="AI880"/>
      <c r="AJ880"/>
      <c r="AK880"/>
      <c r="AL880"/>
      <c r="AM880"/>
      <c r="AN880"/>
      <c r="AO880"/>
      <c r="AP880"/>
      <c r="AQ880"/>
      <c r="AR880"/>
      <c r="AS880"/>
      <c r="AT880"/>
      <c r="AU880"/>
      <c r="AV880"/>
      <c r="AW880"/>
      <c r="AX880"/>
      <c r="AY880"/>
      <c r="AZ880"/>
      <c r="BA880"/>
      <c r="BB880"/>
      <c r="BC880"/>
      <c r="BD880"/>
      <c r="BE880"/>
      <c r="BF880"/>
      <c r="BG880"/>
      <c r="BH880"/>
      <c r="BI880"/>
      <c r="BJ880"/>
      <c r="BK880"/>
      <c r="BL880"/>
      <c r="BM880"/>
      <c r="BN880"/>
      <c r="BO880"/>
      <c r="BP880"/>
      <c r="BQ880"/>
      <c r="BR880"/>
      <c r="BS880"/>
      <c r="BT880"/>
      <c r="BU880"/>
      <c r="BV880"/>
      <c r="BW880"/>
      <c r="BX880"/>
      <c r="BY880"/>
      <c r="BZ880"/>
      <c r="CA880"/>
      <c r="CB880"/>
      <c r="CC880"/>
      <c r="CD880"/>
      <c r="CE880"/>
      <c r="CF880"/>
      <c r="CG880"/>
      <c r="CH880"/>
      <c r="CI880"/>
      <c r="CJ880"/>
      <c r="CK880"/>
      <c r="CL880"/>
      <c r="CM880"/>
      <c r="CN880"/>
      <c r="CO880"/>
      <c r="CP880"/>
      <c r="CQ880"/>
      <c r="CR880"/>
      <c r="CS880"/>
      <c r="CT880"/>
      <c r="CU880"/>
      <c r="CV880"/>
      <c r="CW880"/>
      <c r="CX880"/>
      <c r="CY880"/>
      <c r="CZ880"/>
      <c r="DA880"/>
      <c r="DB880"/>
      <c r="DC880"/>
      <c r="DD880"/>
      <c r="DE880"/>
      <c r="DF880"/>
      <c r="DG880"/>
      <c r="DH880"/>
      <c r="DI880"/>
      <c r="DJ880"/>
      <c r="DK880"/>
      <c r="DL880"/>
      <c r="DM880"/>
      <c r="DN880"/>
      <c r="DO880"/>
      <c r="DP880"/>
      <c r="DQ880"/>
      <c r="DR880"/>
      <c r="DS880"/>
      <c r="DT880"/>
      <c r="DU880"/>
      <c r="DV880"/>
      <c r="DW880"/>
      <c r="DX880"/>
      <c r="DY880"/>
      <c r="DZ880"/>
      <c r="EA880"/>
      <c r="EB880"/>
      <c r="EC880"/>
      <c r="ED880"/>
      <c r="EE880"/>
      <c r="EF880"/>
      <c r="EG880"/>
      <c r="EH880"/>
      <c r="EI880"/>
      <c r="EJ880"/>
      <c r="EK880"/>
      <c r="EL880"/>
      <c r="EM880"/>
      <c r="EN880"/>
      <c r="EO880"/>
      <c r="EP880"/>
      <c r="EQ880"/>
      <c r="ER880"/>
      <c r="ES880"/>
    </row>
    <row r="881" spans="1:149">
      <c r="A881"/>
      <c r="B881"/>
      <c r="C881"/>
      <c r="D881"/>
      <c r="E881"/>
      <c r="F881"/>
      <c r="G881"/>
      <c r="H881"/>
      <c r="I881"/>
      <c r="J881"/>
      <c r="K881"/>
      <c r="L881"/>
      <c r="M881"/>
      <c r="N881"/>
      <c r="O881"/>
      <c r="P881"/>
      <c r="Q881"/>
      <c r="R881"/>
      <c r="S881"/>
      <c r="T881"/>
      <c r="U881"/>
      <c r="V881"/>
      <c r="W881"/>
      <c r="X881"/>
      <c r="Y881"/>
      <c r="Z881"/>
      <c r="AA881"/>
      <c r="AB881"/>
      <c r="AC881"/>
      <c r="AD881"/>
      <c r="AE881"/>
      <c r="AF881"/>
      <c r="AG881"/>
      <c r="AH881"/>
      <c r="AI881"/>
      <c r="AJ881"/>
      <c r="AK881"/>
      <c r="AL881"/>
      <c r="AM881"/>
      <c r="AN881"/>
      <c r="AO881"/>
      <c r="AP881"/>
      <c r="AQ881"/>
      <c r="AR881"/>
      <c r="AS881"/>
      <c r="AT881"/>
      <c r="AU881"/>
      <c r="AV881"/>
      <c r="AW881"/>
      <c r="AX881"/>
      <c r="AY881"/>
      <c r="AZ881"/>
      <c r="BA881"/>
      <c r="BB881"/>
      <c r="BC881"/>
      <c r="BD881"/>
      <c r="BE881"/>
      <c r="BF881"/>
      <c r="BG881"/>
      <c r="BH881"/>
      <c r="BI881"/>
      <c r="BJ881"/>
      <c r="BK881"/>
      <c r="BL881"/>
      <c r="BM881"/>
      <c r="BN881"/>
      <c r="BO881"/>
      <c r="BP881"/>
      <c r="BQ881"/>
      <c r="BR881"/>
      <c r="BS881"/>
      <c r="BT881"/>
      <c r="BU881"/>
      <c r="BV881"/>
      <c r="BW881"/>
      <c r="BX881"/>
      <c r="BY881"/>
      <c r="BZ881"/>
      <c r="CA881"/>
      <c r="CB881"/>
      <c r="CC881"/>
      <c r="CD881"/>
      <c r="CE881"/>
      <c r="CF881"/>
      <c r="CG881"/>
      <c r="CH881"/>
      <c r="CI881"/>
      <c r="CJ881"/>
      <c r="CK881"/>
      <c r="CL881"/>
      <c r="CM881"/>
      <c r="CN881"/>
      <c r="CO881"/>
      <c r="CP881"/>
      <c r="CQ881"/>
      <c r="CR881"/>
      <c r="CS881"/>
      <c r="CT881"/>
      <c r="CU881"/>
      <c r="CV881"/>
      <c r="CW881"/>
      <c r="CX881"/>
      <c r="CY881"/>
      <c r="CZ881"/>
      <c r="DA881"/>
      <c r="DB881"/>
      <c r="DC881"/>
      <c r="DD881"/>
      <c r="DE881"/>
      <c r="DF881"/>
      <c r="DG881"/>
      <c r="DH881"/>
      <c r="DI881"/>
      <c r="DJ881"/>
      <c r="DK881"/>
      <c r="DL881"/>
      <c r="DM881"/>
      <c r="DN881"/>
      <c r="DO881"/>
      <c r="DP881"/>
      <c r="DQ881"/>
      <c r="DR881"/>
      <c r="DS881"/>
      <c r="DT881"/>
      <c r="DU881"/>
      <c r="DV881"/>
      <c r="DW881"/>
      <c r="DX881"/>
      <c r="DY881"/>
      <c r="DZ881"/>
      <c r="EA881"/>
      <c r="EB881"/>
      <c r="EC881"/>
      <c r="ED881"/>
      <c r="EE881"/>
      <c r="EF881"/>
      <c r="EG881"/>
      <c r="EH881"/>
      <c r="EI881"/>
      <c r="EJ881"/>
      <c r="EK881"/>
      <c r="EL881"/>
      <c r="EM881"/>
      <c r="EN881"/>
      <c r="EO881"/>
      <c r="EP881"/>
      <c r="EQ881"/>
      <c r="ER881"/>
      <c r="ES881"/>
    </row>
    <row r="882" spans="1:149">
      <c r="A882"/>
      <c r="B882"/>
      <c r="C882"/>
      <c r="D882"/>
      <c r="E882"/>
      <c r="F882"/>
      <c r="G882"/>
      <c r="H882"/>
      <c r="I882"/>
      <c r="J882"/>
      <c r="K882"/>
      <c r="L882"/>
      <c r="M882"/>
      <c r="N882"/>
      <c r="O882"/>
      <c r="P882"/>
      <c r="Q882"/>
      <c r="R882"/>
      <c r="S882"/>
      <c r="T882"/>
      <c r="U882"/>
      <c r="V882"/>
      <c r="W882"/>
      <c r="X882"/>
      <c r="Y882"/>
      <c r="Z882"/>
      <c r="AA882"/>
      <c r="AB882"/>
      <c r="AC882"/>
      <c r="AD882"/>
      <c r="AE882"/>
      <c r="AF882"/>
      <c r="AG882"/>
      <c r="AH882"/>
      <c r="AI882"/>
      <c r="AJ882"/>
      <c r="AK882"/>
      <c r="AL882"/>
      <c r="AM882"/>
      <c r="AN882"/>
      <c r="AO882"/>
      <c r="AP882"/>
      <c r="AQ882"/>
      <c r="AR882"/>
      <c r="AS882"/>
      <c r="AT882"/>
      <c r="AU882"/>
      <c r="AV882"/>
      <c r="AW882"/>
      <c r="AX882"/>
      <c r="AY882"/>
      <c r="AZ882"/>
      <c r="BA882"/>
      <c r="BB882"/>
      <c r="BC882"/>
      <c r="BD882"/>
      <c r="BE882"/>
      <c r="BF882"/>
      <c r="BG882"/>
      <c r="BH882"/>
      <c r="BI882"/>
      <c r="BJ882"/>
      <c r="BK882"/>
      <c r="BL882"/>
      <c r="BM882"/>
      <c r="BN882"/>
      <c r="BO882"/>
      <c r="BP882"/>
      <c r="BQ882"/>
      <c r="BR882"/>
      <c r="BS882"/>
      <c r="BT882"/>
      <c r="BU882"/>
      <c r="BV882"/>
      <c r="BW882"/>
      <c r="BX882"/>
      <c r="BY882"/>
      <c r="BZ882"/>
      <c r="CA882"/>
      <c r="CB882"/>
      <c r="CC882"/>
      <c r="CD882"/>
      <c r="CE882"/>
      <c r="CF882"/>
      <c r="CG882"/>
      <c r="CH882"/>
      <c r="CI882"/>
      <c r="CJ882"/>
      <c r="CK882"/>
      <c r="CL882"/>
      <c r="CM882"/>
      <c r="CN882"/>
      <c r="CO882"/>
      <c r="CP882"/>
      <c r="CQ882"/>
      <c r="CR882"/>
      <c r="CS882"/>
      <c r="CT882"/>
      <c r="CU882"/>
      <c r="CV882"/>
      <c r="CW882"/>
      <c r="CX882"/>
      <c r="CY882"/>
      <c r="CZ882"/>
      <c r="DA882"/>
      <c r="DB882"/>
      <c r="DC882"/>
      <c r="DD882"/>
      <c r="DE882"/>
      <c r="DF882"/>
      <c r="DG882"/>
      <c r="DH882"/>
      <c r="DI882"/>
      <c r="DJ882"/>
      <c r="DK882"/>
      <c r="DL882"/>
      <c r="DM882"/>
      <c r="DN882"/>
      <c r="DO882"/>
      <c r="DP882"/>
      <c r="DQ882"/>
      <c r="DR882"/>
      <c r="DS882"/>
      <c r="DT882"/>
      <c r="DU882"/>
      <c r="DV882"/>
      <c r="DW882"/>
      <c r="DX882"/>
      <c r="DY882"/>
      <c r="DZ882"/>
      <c r="EA882"/>
      <c r="EB882"/>
      <c r="EC882"/>
      <c r="ED882"/>
      <c r="EE882"/>
      <c r="EF882"/>
      <c r="EG882"/>
      <c r="EH882"/>
      <c r="EI882"/>
      <c r="EJ882"/>
      <c r="EK882"/>
      <c r="EL882"/>
      <c r="EM882"/>
      <c r="EN882"/>
      <c r="EO882"/>
      <c r="EP882"/>
      <c r="EQ882"/>
      <c r="ER882"/>
      <c r="ES882"/>
    </row>
    <row r="883" spans="1:149">
      <c r="A883"/>
      <c r="B883"/>
      <c r="C883"/>
      <c r="D883"/>
      <c r="E883"/>
      <c r="F883"/>
      <c r="G883"/>
      <c r="H883"/>
      <c r="I883"/>
      <c r="J883"/>
      <c r="K883"/>
      <c r="L883"/>
      <c r="M883"/>
      <c r="N883"/>
      <c r="O883"/>
      <c r="P883"/>
      <c r="Q883"/>
      <c r="R883"/>
      <c r="S883"/>
      <c r="T883"/>
      <c r="U883"/>
      <c r="V883"/>
      <c r="W883"/>
      <c r="X883"/>
      <c r="Y883"/>
      <c r="Z883"/>
      <c r="AA883"/>
      <c r="AB883"/>
      <c r="AC883"/>
      <c r="AD883"/>
      <c r="AE883"/>
      <c r="AF883"/>
      <c r="AG883"/>
      <c r="AH883"/>
      <c r="AI883"/>
      <c r="AJ883"/>
      <c r="AK883"/>
      <c r="AL883"/>
      <c r="AM883"/>
      <c r="AN883"/>
      <c r="AO883"/>
      <c r="AP883"/>
      <c r="AQ883"/>
      <c r="AR883"/>
      <c r="AS883"/>
      <c r="AT883"/>
      <c r="AU883"/>
      <c r="AV883"/>
      <c r="AW883"/>
      <c r="AX883"/>
      <c r="AY883"/>
      <c r="AZ883"/>
      <c r="BA883"/>
      <c r="BB883"/>
      <c r="BC883"/>
      <c r="BD883"/>
      <c r="BE883"/>
      <c r="BF883"/>
      <c r="BG883"/>
      <c r="BH883"/>
      <c r="BI883"/>
      <c r="BJ883"/>
      <c r="BK883"/>
      <c r="BL883"/>
      <c r="BM883"/>
      <c r="BN883"/>
      <c r="BO883"/>
      <c r="BP883"/>
      <c r="BQ883"/>
      <c r="BR883"/>
      <c r="BS883"/>
      <c r="BT883"/>
      <c r="BU883"/>
      <c r="BV883"/>
      <c r="BW883"/>
      <c r="BX883"/>
      <c r="BY883"/>
      <c r="BZ883"/>
      <c r="CA883"/>
      <c r="CB883"/>
      <c r="CC883"/>
      <c r="CD883"/>
      <c r="CE883"/>
      <c r="CF883"/>
      <c r="CG883"/>
      <c r="CH883"/>
      <c r="CI883"/>
      <c r="CJ883"/>
      <c r="CK883"/>
      <c r="CL883"/>
      <c r="CM883"/>
      <c r="CN883"/>
      <c r="CO883"/>
      <c r="CP883"/>
      <c r="CQ883"/>
      <c r="CR883"/>
      <c r="CS883"/>
      <c r="CT883"/>
      <c r="CU883"/>
      <c r="CV883"/>
      <c r="CW883"/>
      <c r="CX883"/>
      <c r="CY883"/>
      <c r="CZ883"/>
      <c r="DA883"/>
      <c r="DB883"/>
      <c r="DC883"/>
      <c r="DD883"/>
      <c r="DE883"/>
      <c r="DF883"/>
      <c r="DG883"/>
      <c r="DH883"/>
      <c r="DI883"/>
      <c r="DJ883"/>
      <c r="DK883"/>
      <c r="DL883"/>
      <c r="DM883"/>
      <c r="DN883"/>
      <c r="DO883"/>
      <c r="DP883"/>
      <c r="DQ883"/>
      <c r="DR883"/>
      <c r="DS883"/>
      <c r="DT883"/>
      <c r="DU883"/>
      <c r="DV883"/>
      <c r="DW883"/>
      <c r="DX883"/>
      <c r="DY883"/>
      <c r="DZ883"/>
      <c r="EA883"/>
      <c r="EB883"/>
      <c r="EC883"/>
      <c r="ED883"/>
      <c r="EE883"/>
      <c r="EF883"/>
      <c r="EG883"/>
      <c r="EH883"/>
      <c r="EI883"/>
      <c r="EJ883"/>
      <c r="EK883"/>
      <c r="EL883"/>
      <c r="EM883"/>
      <c r="EN883"/>
      <c r="EO883"/>
      <c r="EP883"/>
      <c r="EQ883"/>
      <c r="ER883"/>
      <c r="ES883"/>
    </row>
    <row r="884" spans="1:149">
      <c r="A884"/>
      <c r="B884"/>
      <c r="C884"/>
      <c r="D884"/>
      <c r="E884"/>
      <c r="F884"/>
      <c r="G884"/>
      <c r="H884"/>
      <c r="I884"/>
      <c r="J884"/>
      <c r="K884"/>
      <c r="L884"/>
      <c r="M884"/>
      <c r="N884"/>
      <c r="O884"/>
      <c r="P884"/>
      <c r="Q884"/>
      <c r="R884"/>
      <c r="S884"/>
      <c r="T884"/>
      <c r="U884"/>
      <c r="V884"/>
      <c r="W884"/>
      <c r="X884"/>
      <c r="Y884"/>
      <c r="Z884"/>
      <c r="AA884"/>
      <c r="AB884"/>
      <c r="AC884"/>
      <c r="AD884"/>
      <c r="AE884"/>
      <c r="AF884"/>
      <c r="AG884"/>
      <c r="AH884"/>
      <c r="AI884"/>
      <c r="AJ884"/>
      <c r="AK884"/>
      <c r="AL884"/>
      <c r="AM884"/>
      <c r="AN884"/>
      <c r="AO884"/>
      <c r="AP884"/>
      <c r="AQ884"/>
      <c r="AR884"/>
      <c r="AS884"/>
      <c r="AT884"/>
      <c r="AU884"/>
      <c r="AV884"/>
      <c r="AW884"/>
      <c r="AX884"/>
      <c r="AY884"/>
      <c r="AZ884"/>
      <c r="BA884"/>
      <c r="BB884"/>
      <c r="BC884"/>
      <c r="BD884"/>
      <c r="BE884"/>
      <c r="BF884"/>
      <c r="BG884"/>
      <c r="BH884"/>
      <c r="BI884"/>
      <c r="BJ884"/>
      <c r="BK884"/>
      <c r="BL884"/>
      <c r="BM884"/>
      <c r="BN884"/>
      <c r="BO884"/>
      <c r="BP884"/>
      <c r="BQ884"/>
      <c r="BR884"/>
      <c r="BS884"/>
      <c r="BT884"/>
      <c r="BU884"/>
      <c r="BV884"/>
      <c r="BW884"/>
      <c r="BX884"/>
      <c r="BY884"/>
      <c r="BZ884"/>
      <c r="CA884"/>
      <c r="CB884"/>
      <c r="CC884"/>
      <c r="CD884"/>
      <c r="CE884"/>
      <c r="CF884"/>
      <c r="CG884"/>
      <c r="CH884"/>
      <c r="CI884"/>
      <c r="CJ884"/>
      <c r="CK884"/>
      <c r="CL884"/>
      <c r="CM884"/>
      <c r="CN884"/>
      <c r="CO884"/>
      <c r="CP884"/>
      <c r="CQ884"/>
      <c r="CR884"/>
      <c r="CS884"/>
      <c r="CT884"/>
      <c r="CU884"/>
      <c r="CV884"/>
      <c r="CW884"/>
      <c r="CX884"/>
      <c r="CY884"/>
      <c r="CZ884"/>
      <c r="DA884"/>
      <c r="DB884"/>
      <c r="DC884"/>
      <c r="DD884"/>
      <c r="DE884"/>
      <c r="DF884"/>
      <c r="DG884"/>
      <c r="DH884"/>
      <c r="DI884"/>
      <c r="DJ884"/>
      <c r="DK884"/>
      <c r="DL884"/>
      <c r="DM884"/>
      <c r="DN884"/>
      <c r="DO884"/>
      <c r="DP884"/>
      <c r="DQ884"/>
      <c r="DR884"/>
      <c r="DS884"/>
      <c r="DT884"/>
      <c r="DU884"/>
      <c r="DV884"/>
      <c r="DW884"/>
      <c r="DX884"/>
      <c r="DY884"/>
      <c r="DZ884"/>
      <c r="EA884"/>
      <c r="EB884"/>
      <c r="EC884"/>
      <c r="ED884"/>
      <c r="EE884"/>
      <c r="EF884"/>
      <c r="EG884"/>
      <c r="EH884"/>
      <c r="EI884"/>
      <c r="EJ884"/>
      <c r="EK884"/>
      <c r="EL884"/>
      <c r="EM884"/>
      <c r="EN884"/>
      <c r="EO884"/>
      <c r="EP884"/>
      <c r="EQ884"/>
      <c r="ER884"/>
      <c r="ES884"/>
    </row>
    <row r="885" spans="1:149">
      <c r="A885"/>
      <c r="B885"/>
      <c r="C885"/>
      <c r="D885"/>
      <c r="E885"/>
      <c r="F885"/>
      <c r="G885"/>
      <c r="H885"/>
      <c r="I885"/>
      <c r="J885"/>
      <c r="K885"/>
      <c r="L885"/>
      <c r="M885"/>
      <c r="N885"/>
      <c r="O885"/>
      <c r="P885"/>
      <c r="Q885"/>
      <c r="R885"/>
      <c r="S885"/>
      <c r="T885"/>
      <c r="U885"/>
      <c r="V885"/>
      <c r="W885"/>
      <c r="X885"/>
      <c r="Y885"/>
      <c r="Z885"/>
      <c r="AA885"/>
      <c r="AB885"/>
      <c r="AC885"/>
      <c r="AD885"/>
      <c r="AE885"/>
      <c r="AF885"/>
      <c r="AG885"/>
      <c r="AH885"/>
      <c r="AI885"/>
      <c r="AJ885"/>
      <c r="AK885"/>
      <c r="AL885"/>
      <c r="AM885"/>
      <c r="AN885"/>
      <c r="AO885"/>
      <c r="AP885"/>
      <c r="AQ885"/>
      <c r="AR885"/>
      <c r="AS885"/>
      <c r="AT885"/>
      <c r="AU885"/>
      <c r="AV885"/>
      <c r="AW885"/>
      <c r="AX885"/>
      <c r="AY885"/>
      <c r="AZ885"/>
      <c r="BA885"/>
      <c r="BB885"/>
      <c r="BC885"/>
      <c r="BD885"/>
      <c r="BE885"/>
      <c r="BF885"/>
      <c r="BG885"/>
      <c r="BH885"/>
      <c r="BI885"/>
      <c r="BJ885"/>
      <c r="BK885"/>
      <c r="BL885"/>
      <c r="BM885"/>
      <c r="BN885"/>
      <c r="BO885"/>
      <c r="BP885"/>
      <c r="BQ885"/>
      <c r="BR885"/>
      <c r="BS885"/>
      <c r="BT885"/>
      <c r="BU885"/>
      <c r="BV885"/>
      <c r="BW885"/>
      <c r="BX885"/>
      <c r="BY885"/>
      <c r="BZ885"/>
      <c r="CA885"/>
      <c r="CB885"/>
      <c r="CC885"/>
      <c r="CD885"/>
      <c r="CE885"/>
      <c r="CF885"/>
      <c r="CG885"/>
      <c r="CH885"/>
      <c r="CI885"/>
      <c r="CJ885"/>
      <c r="CK885"/>
      <c r="CL885"/>
      <c r="CM885"/>
      <c r="CN885"/>
      <c r="CO885"/>
      <c r="CP885"/>
      <c r="CQ885"/>
      <c r="CR885"/>
      <c r="CS885"/>
      <c r="CT885"/>
      <c r="CU885"/>
      <c r="CV885"/>
      <c r="CW885"/>
      <c r="CX885"/>
      <c r="CY885"/>
      <c r="CZ885"/>
      <c r="DA885"/>
      <c r="DB885"/>
      <c r="DC885"/>
      <c r="DD885"/>
      <c r="DE885"/>
      <c r="DF885"/>
      <c r="DG885"/>
      <c r="DH885"/>
      <c r="DI885"/>
      <c r="DJ885"/>
      <c r="DK885"/>
      <c r="DL885"/>
      <c r="DM885"/>
      <c r="DN885"/>
      <c r="DO885"/>
      <c r="DP885"/>
      <c r="DQ885"/>
      <c r="DR885"/>
      <c r="DS885"/>
      <c r="DT885"/>
      <c r="DU885"/>
      <c r="DV885"/>
      <c r="DW885"/>
      <c r="DX885"/>
      <c r="DY885"/>
      <c r="DZ885"/>
      <c r="EA885"/>
      <c r="EB885"/>
      <c r="EC885"/>
      <c r="ED885"/>
      <c r="EE885"/>
      <c r="EF885"/>
      <c r="EG885"/>
      <c r="EH885"/>
      <c r="EI885"/>
      <c r="EJ885"/>
      <c r="EK885"/>
      <c r="EL885"/>
      <c r="EM885"/>
      <c r="EN885"/>
      <c r="EO885"/>
      <c r="EP885"/>
      <c r="EQ885"/>
      <c r="ER885"/>
      <c r="ES885"/>
    </row>
    <row r="886" spans="1:149">
      <c r="A886"/>
      <c r="B886"/>
      <c r="C886"/>
      <c r="D886"/>
      <c r="E886"/>
      <c r="F886"/>
      <c r="G886"/>
      <c r="H886"/>
      <c r="I886"/>
      <c r="J886"/>
      <c r="K886"/>
      <c r="L886"/>
      <c r="M886"/>
      <c r="N886"/>
      <c r="O886"/>
      <c r="P886"/>
      <c r="Q886"/>
      <c r="R886"/>
      <c r="S886"/>
      <c r="T886"/>
      <c r="U886"/>
      <c r="V886"/>
      <c r="W886"/>
      <c r="X886"/>
      <c r="Y886"/>
      <c r="Z886"/>
      <c r="AA886"/>
      <c r="AB886"/>
      <c r="AC886"/>
      <c r="AD886"/>
      <c r="AE886"/>
      <c r="AF886"/>
      <c r="AG886"/>
      <c r="AH886"/>
      <c r="AI886"/>
      <c r="AJ886"/>
      <c r="AK886"/>
      <c r="AL886"/>
      <c r="AM886"/>
      <c r="AN886"/>
      <c r="AO886"/>
      <c r="AP886"/>
      <c r="AQ886"/>
      <c r="AR886"/>
      <c r="AS886"/>
      <c r="AT886"/>
      <c r="AU886"/>
      <c r="AV886"/>
      <c r="AW886"/>
      <c r="AX886"/>
      <c r="AY886"/>
      <c r="AZ886"/>
      <c r="BA886"/>
      <c r="BB886"/>
      <c r="BC886"/>
      <c r="BD886"/>
      <c r="BE886"/>
      <c r="BF886"/>
      <c r="BG886"/>
      <c r="BH886"/>
      <c r="BI886"/>
      <c r="BJ886"/>
      <c r="BK886"/>
      <c r="BL886"/>
      <c r="BM886"/>
      <c r="BN886"/>
      <c r="BO886"/>
      <c r="BP886"/>
      <c r="BQ886"/>
      <c r="BR886"/>
      <c r="BS886"/>
      <c r="BT886"/>
      <c r="BU886"/>
      <c r="BV886"/>
      <c r="BW886"/>
      <c r="BX886"/>
      <c r="BY886"/>
      <c r="BZ886"/>
      <c r="CA886"/>
      <c r="CB886"/>
      <c r="CC886"/>
      <c r="CD886"/>
      <c r="CE886"/>
      <c r="CF886"/>
      <c r="CG886"/>
      <c r="CH886"/>
      <c r="CI886"/>
      <c r="CJ886"/>
      <c r="CK886"/>
      <c r="CL886"/>
      <c r="CM886"/>
      <c r="CN886"/>
      <c r="CO886"/>
      <c r="CP886"/>
      <c r="CQ886"/>
      <c r="CR886"/>
      <c r="CS886"/>
      <c r="CT886"/>
      <c r="CU886"/>
      <c r="CV886"/>
      <c r="CW886"/>
      <c r="CX886"/>
      <c r="CY886"/>
      <c r="CZ886"/>
      <c r="DA886"/>
      <c r="DB886"/>
      <c r="DC886"/>
      <c r="DD886"/>
      <c r="DE886"/>
      <c r="DF886"/>
      <c r="DG886"/>
      <c r="DH886"/>
      <c r="DI886"/>
      <c r="DJ886"/>
      <c r="DK886"/>
      <c r="DL886"/>
      <c r="DM886"/>
      <c r="DN886"/>
      <c r="DO886"/>
      <c r="DP886"/>
      <c r="DQ886"/>
      <c r="DR886"/>
      <c r="DS886"/>
      <c r="DT886"/>
      <c r="DU886"/>
      <c r="DV886"/>
      <c r="DW886"/>
      <c r="DX886"/>
      <c r="DY886"/>
      <c r="DZ886"/>
      <c r="EA886"/>
      <c r="EB886"/>
      <c r="EC886"/>
      <c r="ED886"/>
      <c r="EE886"/>
      <c r="EF886"/>
      <c r="EG886"/>
      <c r="EH886"/>
      <c r="EI886"/>
      <c r="EJ886"/>
      <c r="EK886"/>
      <c r="EL886"/>
      <c r="EM886"/>
      <c r="EN886"/>
      <c r="EO886"/>
      <c r="EP886"/>
      <c r="EQ886"/>
      <c r="ER886"/>
      <c r="ES886"/>
    </row>
    <row r="887" spans="1:149">
      <c r="A887"/>
      <c r="B887"/>
      <c r="C887"/>
      <c r="D887"/>
      <c r="E887"/>
      <c r="F887"/>
      <c r="G887"/>
      <c r="H887"/>
      <c r="I887"/>
      <c r="J887"/>
      <c r="K887"/>
      <c r="L887"/>
      <c r="M887"/>
      <c r="N887"/>
      <c r="O887"/>
      <c r="P887"/>
      <c r="Q887"/>
      <c r="R887"/>
      <c r="S887"/>
      <c r="T887"/>
      <c r="U887"/>
      <c r="V887"/>
      <c r="W887"/>
      <c r="X887"/>
      <c r="Y887"/>
      <c r="Z887"/>
      <c r="AA887"/>
      <c r="AB887"/>
      <c r="AC887"/>
      <c r="AD887"/>
      <c r="AE887"/>
      <c r="AF887"/>
      <c r="AG887"/>
      <c r="AH887"/>
      <c r="AI887"/>
      <c r="AJ887"/>
      <c r="AK887"/>
      <c r="AL887"/>
      <c r="AM887"/>
      <c r="AN887"/>
      <c r="AO887"/>
      <c r="AP887"/>
      <c r="AQ887"/>
      <c r="AR887"/>
      <c r="AS887"/>
      <c r="AT887"/>
      <c r="AU887"/>
      <c r="AV887"/>
      <c r="AW887"/>
      <c r="AX887"/>
      <c r="AY887"/>
      <c r="AZ887"/>
      <c r="BA887"/>
      <c r="BB887"/>
      <c r="BC887"/>
      <c r="BD887"/>
      <c r="BE887"/>
      <c r="BF887"/>
      <c r="BG887"/>
      <c r="BH887"/>
      <c r="BI887"/>
      <c r="BJ887"/>
      <c r="BK887"/>
      <c r="BL887"/>
      <c r="BM887"/>
      <c r="BN887"/>
      <c r="BO887"/>
      <c r="BP887"/>
      <c r="BQ887"/>
      <c r="BR887"/>
      <c r="BS887"/>
      <c r="BT887"/>
      <c r="BU887"/>
      <c r="BV887"/>
      <c r="BW887"/>
      <c r="BX887"/>
      <c r="BY887"/>
      <c r="BZ887"/>
      <c r="CA887"/>
      <c r="CB887"/>
      <c r="CC887"/>
      <c r="CD887"/>
      <c r="CE887"/>
      <c r="CF887"/>
      <c r="CG887"/>
      <c r="CH887"/>
      <c r="CI887"/>
      <c r="CJ887"/>
      <c r="CK887"/>
      <c r="CL887"/>
      <c r="CM887"/>
      <c r="CN887"/>
      <c r="CO887"/>
      <c r="CP887"/>
      <c r="CQ887"/>
      <c r="CR887"/>
      <c r="CS887"/>
      <c r="CT887"/>
      <c r="CU887"/>
      <c r="CV887"/>
      <c r="CW887"/>
      <c r="CX887"/>
      <c r="CY887"/>
      <c r="CZ887"/>
      <c r="DA887"/>
      <c r="DB887"/>
      <c r="DC887"/>
      <c r="DD887"/>
      <c r="DE887"/>
      <c r="DF887"/>
      <c r="DG887"/>
      <c r="DH887"/>
      <c r="DI887"/>
      <c r="DJ887"/>
      <c r="DK887"/>
      <c r="DL887"/>
      <c r="DM887"/>
      <c r="DN887"/>
      <c r="DO887"/>
      <c r="DP887"/>
      <c r="DQ887"/>
      <c r="DR887"/>
      <c r="DS887"/>
      <c r="DT887"/>
      <c r="DU887"/>
      <c r="DV887"/>
      <c r="DW887"/>
      <c r="DX887"/>
      <c r="DY887"/>
      <c r="DZ887"/>
      <c r="EA887"/>
      <c r="EB887"/>
      <c r="EC887"/>
      <c r="ED887"/>
      <c r="EE887"/>
      <c r="EF887"/>
      <c r="EG887"/>
      <c r="EH887"/>
      <c r="EI887"/>
      <c r="EJ887"/>
      <c r="EK887"/>
      <c r="EL887"/>
      <c r="EM887"/>
      <c r="EN887"/>
      <c r="EO887"/>
      <c r="EP887"/>
      <c r="EQ887"/>
      <c r="ER887"/>
      <c r="ES887"/>
    </row>
    <row r="888" spans="1:149">
      <c r="A888"/>
      <c r="B888"/>
      <c r="C888"/>
      <c r="D888"/>
      <c r="E888"/>
      <c r="F888"/>
      <c r="G888"/>
      <c r="H888"/>
      <c r="I888"/>
      <c r="J888"/>
      <c r="K888"/>
      <c r="L888"/>
      <c r="M888"/>
      <c r="N888"/>
      <c r="O888"/>
      <c r="P888"/>
      <c r="Q888"/>
      <c r="R888"/>
      <c r="S888"/>
      <c r="T888"/>
      <c r="U888"/>
      <c r="V888"/>
      <c r="W888"/>
      <c r="X888"/>
      <c r="Y888"/>
      <c r="Z888"/>
      <c r="AA888"/>
      <c r="AB888"/>
      <c r="AC888"/>
      <c r="AD888"/>
      <c r="AE888"/>
      <c r="AF888"/>
      <c r="AG888"/>
      <c r="AH888"/>
      <c r="AI888"/>
      <c r="AJ888"/>
      <c r="AK888"/>
      <c r="AL888"/>
      <c r="AM888"/>
      <c r="AN888"/>
      <c r="AO888"/>
      <c r="AP888"/>
      <c r="AQ888"/>
      <c r="AR888"/>
      <c r="AS888"/>
      <c r="AT888"/>
      <c r="AU888"/>
      <c r="AV888"/>
      <c r="AW888"/>
      <c r="AX888"/>
      <c r="AY888"/>
      <c r="AZ888"/>
      <c r="BA888"/>
      <c r="BB888"/>
      <c r="BC888"/>
      <c r="BD888"/>
      <c r="BE888"/>
      <c r="BF888"/>
      <c r="BG888"/>
      <c r="BH888"/>
      <c r="BI888"/>
      <c r="BJ888"/>
      <c r="BK888"/>
      <c r="BL888"/>
      <c r="BM888"/>
      <c r="BN888"/>
      <c r="BO888"/>
      <c r="BP888"/>
      <c r="BQ888"/>
      <c r="BR888"/>
      <c r="BS888"/>
      <c r="BT888"/>
      <c r="BU888"/>
      <c r="BV888"/>
      <c r="BW888"/>
      <c r="BX888"/>
      <c r="BY888"/>
      <c r="BZ888"/>
      <c r="CA888"/>
      <c r="CB888"/>
      <c r="CC888"/>
      <c r="CD888"/>
      <c r="CE888"/>
      <c r="CF888"/>
      <c r="CG888"/>
      <c r="CH888"/>
      <c r="CI888"/>
      <c r="CJ888"/>
      <c r="CK888"/>
      <c r="CL888"/>
      <c r="CM888"/>
      <c r="CN888"/>
      <c r="CO888"/>
      <c r="CP888"/>
      <c r="CQ888"/>
      <c r="CR888"/>
      <c r="CS888"/>
      <c r="CT888"/>
      <c r="CU888"/>
      <c r="CV888"/>
      <c r="CW888"/>
      <c r="CX888"/>
      <c r="CY888"/>
      <c r="CZ888"/>
      <c r="DA888"/>
      <c r="DB888"/>
      <c r="DC888"/>
      <c r="DD888"/>
      <c r="DE888"/>
      <c r="DF888"/>
      <c r="DG888"/>
      <c r="DH888"/>
      <c r="DI888"/>
      <c r="DJ888"/>
      <c r="DK888"/>
      <c r="DL888"/>
      <c r="DM888"/>
      <c r="DN888"/>
      <c r="DO888"/>
      <c r="DP888"/>
      <c r="DQ888"/>
      <c r="DR888"/>
      <c r="DS888"/>
      <c r="DT888"/>
      <c r="DU888"/>
      <c r="DV888"/>
      <c r="DW888"/>
      <c r="DX888"/>
      <c r="DY888"/>
      <c r="DZ888"/>
      <c r="EA888"/>
      <c r="EB888"/>
      <c r="EC888"/>
      <c r="ED888"/>
      <c r="EE888"/>
      <c r="EF888"/>
      <c r="EG888"/>
      <c r="EH888"/>
      <c r="EI888"/>
      <c r="EJ888"/>
      <c r="EK888"/>
      <c r="EL888"/>
      <c r="EM888"/>
      <c r="EN888"/>
      <c r="EO888"/>
      <c r="EP888"/>
      <c r="EQ888"/>
      <c r="ER888"/>
      <c r="ES888"/>
    </row>
    <row r="889" spans="1:149">
      <c r="A889"/>
      <c r="B889"/>
      <c r="C889"/>
      <c r="D889"/>
      <c r="E889"/>
      <c r="F889"/>
      <c r="G889"/>
      <c r="H889"/>
      <c r="I889"/>
      <c r="J889"/>
      <c r="K889"/>
      <c r="L889"/>
      <c r="M889"/>
      <c r="N889"/>
      <c r="O889"/>
      <c r="P889"/>
      <c r="Q889"/>
      <c r="R889"/>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c r="AY889"/>
      <c r="AZ889"/>
      <c r="BA889"/>
      <c r="BB889"/>
      <c r="BC889"/>
      <c r="BD889"/>
      <c r="BE889"/>
      <c r="BF889"/>
      <c r="BG889"/>
      <c r="BH889"/>
      <c r="BI889"/>
      <c r="BJ889"/>
      <c r="BK889"/>
      <c r="BL889"/>
      <c r="BM889"/>
      <c r="BN889"/>
      <c r="BO889"/>
      <c r="BP889"/>
      <c r="BQ889"/>
      <c r="BR889"/>
      <c r="BS889"/>
      <c r="BT889"/>
      <c r="BU889"/>
      <c r="BV889"/>
      <c r="BW889"/>
      <c r="BX889"/>
      <c r="BY889"/>
      <c r="BZ889"/>
      <c r="CA889"/>
      <c r="CB889"/>
      <c r="CC889"/>
      <c r="CD889"/>
      <c r="CE889"/>
      <c r="CF889"/>
      <c r="CG889"/>
      <c r="CH889"/>
      <c r="CI889"/>
      <c r="CJ889"/>
      <c r="CK889"/>
      <c r="CL889"/>
      <c r="CM889"/>
      <c r="CN889"/>
      <c r="CO889"/>
      <c r="CP889"/>
      <c r="CQ889"/>
      <c r="CR889"/>
      <c r="CS889"/>
      <c r="CT889"/>
      <c r="CU889"/>
      <c r="CV889"/>
      <c r="CW889"/>
      <c r="CX889"/>
      <c r="CY889"/>
      <c r="CZ889"/>
      <c r="DA889"/>
      <c r="DB889"/>
      <c r="DC889"/>
      <c r="DD889"/>
      <c r="DE889"/>
      <c r="DF889"/>
      <c r="DG889"/>
      <c r="DH889"/>
      <c r="DI889"/>
      <c r="DJ889"/>
      <c r="DK889"/>
      <c r="DL889"/>
      <c r="DM889"/>
      <c r="DN889"/>
      <c r="DO889"/>
      <c r="DP889"/>
      <c r="DQ889"/>
      <c r="DR889"/>
      <c r="DS889"/>
      <c r="DT889"/>
      <c r="DU889"/>
      <c r="DV889"/>
      <c r="DW889"/>
      <c r="DX889"/>
      <c r="DY889"/>
      <c r="DZ889"/>
      <c r="EA889"/>
      <c r="EB889"/>
      <c r="EC889"/>
      <c r="ED889"/>
      <c r="EE889"/>
      <c r="EF889"/>
      <c r="EG889"/>
      <c r="EH889"/>
      <c r="EI889"/>
      <c r="EJ889"/>
      <c r="EK889"/>
      <c r="EL889"/>
      <c r="EM889"/>
      <c r="EN889"/>
      <c r="EO889"/>
      <c r="EP889"/>
      <c r="EQ889"/>
      <c r="ER889"/>
      <c r="ES889"/>
    </row>
    <row r="890" spans="1:149">
      <c r="A890"/>
      <c r="B890"/>
      <c r="C890"/>
      <c r="D890"/>
      <c r="E890"/>
      <c r="F890"/>
      <c r="G890"/>
      <c r="H890"/>
      <c r="I890"/>
      <c r="J890"/>
      <c r="K890"/>
      <c r="L890"/>
      <c r="M890"/>
      <c r="N890"/>
      <c r="O890"/>
      <c r="P890"/>
      <c r="Q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c r="AY890"/>
      <c r="AZ890"/>
      <c r="BA890"/>
      <c r="BB890"/>
      <c r="BC890"/>
      <c r="BD890"/>
      <c r="BE890"/>
      <c r="BF890"/>
      <c r="BG890"/>
      <c r="BH890"/>
      <c r="BI890"/>
      <c r="BJ890"/>
      <c r="BK890"/>
      <c r="BL890"/>
      <c r="BM890"/>
      <c r="BN890"/>
      <c r="BO890"/>
      <c r="BP890"/>
      <c r="BQ890"/>
      <c r="BR890"/>
      <c r="BS890"/>
      <c r="BT890"/>
      <c r="BU890"/>
      <c r="BV890"/>
      <c r="BW890"/>
      <c r="BX890"/>
      <c r="BY890"/>
      <c r="BZ890"/>
      <c r="CA890"/>
      <c r="CB890"/>
      <c r="CC890"/>
      <c r="CD890"/>
      <c r="CE890"/>
      <c r="CF890"/>
      <c r="CG890"/>
      <c r="CH890"/>
      <c r="CI890"/>
      <c r="CJ890"/>
      <c r="CK890"/>
      <c r="CL890"/>
      <c r="CM890"/>
      <c r="CN890"/>
      <c r="CO890"/>
      <c r="CP890"/>
      <c r="CQ890"/>
      <c r="CR890"/>
      <c r="CS890"/>
      <c r="CT890"/>
      <c r="CU890"/>
      <c r="CV890"/>
      <c r="CW890"/>
      <c r="CX890"/>
      <c r="CY890"/>
      <c r="CZ890"/>
      <c r="DA890"/>
      <c r="DB890"/>
      <c r="DC890"/>
      <c r="DD890"/>
      <c r="DE890"/>
      <c r="DF890"/>
      <c r="DG890"/>
      <c r="DH890"/>
      <c r="DI890"/>
      <c r="DJ890"/>
      <c r="DK890"/>
      <c r="DL890"/>
      <c r="DM890"/>
      <c r="DN890"/>
      <c r="DO890"/>
      <c r="DP890"/>
      <c r="DQ890"/>
      <c r="DR890"/>
      <c r="DS890"/>
      <c r="DT890"/>
      <c r="DU890"/>
      <c r="DV890"/>
      <c r="DW890"/>
      <c r="DX890"/>
      <c r="DY890"/>
      <c r="DZ890"/>
      <c r="EA890"/>
      <c r="EB890"/>
      <c r="EC890"/>
      <c r="ED890"/>
      <c r="EE890"/>
      <c r="EF890"/>
      <c r="EG890"/>
      <c r="EH890"/>
      <c r="EI890"/>
      <c r="EJ890"/>
      <c r="EK890"/>
      <c r="EL890"/>
      <c r="EM890"/>
      <c r="EN890"/>
      <c r="EO890"/>
      <c r="EP890"/>
      <c r="EQ890"/>
      <c r="ER890"/>
      <c r="ES890"/>
    </row>
    <row r="891" spans="1:149">
      <c r="A891"/>
      <c r="B891"/>
      <c r="C891"/>
      <c r="D891"/>
      <c r="E891"/>
      <c r="F891"/>
      <c r="G891"/>
      <c r="H891"/>
      <c r="I891"/>
      <c r="J891"/>
      <c r="K891"/>
      <c r="L891"/>
      <c r="M891"/>
      <c r="N891"/>
      <c r="O891"/>
      <c r="P891"/>
      <c r="Q891"/>
      <c r="R891"/>
      <c r="S891"/>
      <c r="T891"/>
      <c r="U891"/>
      <c r="V891"/>
      <c r="W891"/>
      <c r="X891"/>
      <c r="Y891"/>
      <c r="Z891"/>
      <c r="AA891"/>
      <c r="AB891"/>
      <c r="AC891"/>
      <c r="AD891"/>
      <c r="AE891"/>
      <c r="AF891"/>
      <c r="AG891"/>
      <c r="AH891"/>
      <c r="AI891"/>
      <c r="AJ891"/>
      <c r="AK891"/>
      <c r="AL891"/>
      <c r="AM891"/>
      <c r="AN891"/>
      <c r="AO891"/>
      <c r="AP891"/>
      <c r="AQ891"/>
      <c r="AR891"/>
      <c r="AS891"/>
      <c r="AT891"/>
      <c r="AU891"/>
      <c r="AV891"/>
      <c r="AW891"/>
      <c r="AX891"/>
      <c r="AY891"/>
      <c r="AZ891"/>
      <c r="BA891"/>
      <c r="BB891"/>
      <c r="BC891"/>
      <c r="BD891"/>
      <c r="BE891"/>
      <c r="BF891"/>
      <c r="BG891"/>
      <c r="BH891"/>
      <c r="BI891"/>
      <c r="BJ891"/>
      <c r="BK891"/>
      <c r="BL891"/>
      <c r="BM891"/>
      <c r="BN891"/>
      <c r="BO891"/>
      <c r="BP891"/>
      <c r="BQ891"/>
      <c r="BR891"/>
      <c r="BS891"/>
      <c r="BT891"/>
      <c r="BU891"/>
      <c r="BV891"/>
      <c r="BW891"/>
      <c r="BX891"/>
      <c r="BY891"/>
      <c r="BZ891"/>
      <c r="CA891"/>
      <c r="CB891"/>
      <c r="CC891"/>
      <c r="CD891"/>
      <c r="CE891"/>
      <c r="CF891"/>
      <c r="CG891"/>
      <c r="CH891"/>
      <c r="CI891"/>
      <c r="CJ891"/>
      <c r="CK891"/>
      <c r="CL891"/>
      <c r="CM891"/>
      <c r="CN891"/>
      <c r="CO891"/>
      <c r="CP891"/>
      <c r="CQ891"/>
      <c r="CR891"/>
      <c r="CS891"/>
      <c r="CT891"/>
      <c r="CU891"/>
      <c r="CV891"/>
      <c r="CW891"/>
      <c r="CX891"/>
      <c r="CY891"/>
      <c r="CZ891"/>
      <c r="DA891"/>
      <c r="DB891"/>
      <c r="DC891"/>
      <c r="DD891"/>
      <c r="DE891"/>
      <c r="DF891"/>
      <c r="DG891"/>
      <c r="DH891"/>
      <c r="DI891"/>
      <c r="DJ891"/>
      <c r="DK891"/>
      <c r="DL891"/>
      <c r="DM891"/>
      <c r="DN891"/>
      <c r="DO891"/>
      <c r="DP891"/>
      <c r="DQ891"/>
      <c r="DR891"/>
      <c r="DS891"/>
      <c r="DT891"/>
      <c r="DU891"/>
      <c r="DV891"/>
      <c r="DW891"/>
      <c r="DX891"/>
      <c r="DY891"/>
      <c r="DZ891"/>
      <c r="EA891"/>
      <c r="EB891"/>
      <c r="EC891"/>
      <c r="ED891"/>
      <c r="EE891"/>
      <c r="EF891"/>
      <c r="EG891"/>
      <c r="EH891"/>
      <c r="EI891"/>
      <c r="EJ891"/>
      <c r="EK891"/>
      <c r="EL891"/>
      <c r="EM891"/>
      <c r="EN891"/>
      <c r="EO891"/>
      <c r="EP891"/>
      <c r="EQ891"/>
      <c r="ER891"/>
      <c r="ES891"/>
    </row>
    <row r="892" spans="1:149">
      <c r="A892"/>
      <c r="B892"/>
      <c r="C892"/>
      <c r="D892"/>
      <c r="E892"/>
      <c r="F892"/>
      <c r="G892"/>
      <c r="H892"/>
      <c r="I892"/>
      <c r="J892"/>
      <c r="K892"/>
      <c r="L892"/>
      <c r="M892"/>
      <c r="N892"/>
      <c r="O892"/>
      <c r="P892"/>
      <c r="Q892"/>
      <c r="R892"/>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c r="AY892"/>
      <c r="AZ892"/>
      <c r="BA892"/>
      <c r="BB892"/>
      <c r="BC892"/>
      <c r="BD892"/>
      <c r="BE892"/>
      <c r="BF892"/>
      <c r="BG892"/>
      <c r="BH892"/>
      <c r="BI892"/>
      <c r="BJ892"/>
      <c r="BK892"/>
      <c r="BL892"/>
      <c r="BM892"/>
      <c r="BN892"/>
      <c r="BO892"/>
      <c r="BP892"/>
      <c r="BQ892"/>
      <c r="BR892"/>
      <c r="BS892"/>
      <c r="BT892"/>
      <c r="BU892"/>
      <c r="BV892"/>
      <c r="BW892"/>
      <c r="BX892"/>
      <c r="BY892"/>
      <c r="BZ892"/>
      <c r="CA892"/>
      <c r="CB892"/>
      <c r="CC892"/>
      <c r="CD892"/>
      <c r="CE892"/>
      <c r="CF892"/>
      <c r="CG892"/>
      <c r="CH892"/>
      <c r="CI892"/>
      <c r="CJ892"/>
      <c r="CK892"/>
      <c r="CL892"/>
      <c r="CM892"/>
      <c r="CN892"/>
      <c r="CO892"/>
      <c r="CP892"/>
      <c r="CQ892"/>
      <c r="CR892"/>
      <c r="CS892"/>
      <c r="CT892"/>
      <c r="CU892"/>
      <c r="CV892"/>
      <c r="CW892"/>
      <c r="CX892"/>
      <c r="CY892"/>
      <c r="CZ892"/>
      <c r="DA892"/>
      <c r="DB892"/>
      <c r="DC892"/>
      <c r="DD892"/>
      <c r="DE892"/>
      <c r="DF892"/>
      <c r="DG892"/>
      <c r="DH892"/>
      <c r="DI892"/>
      <c r="DJ892"/>
      <c r="DK892"/>
      <c r="DL892"/>
      <c r="DM892"/>
      <c r="DN892"/>
      <c r="DO892"/>
      <c r="DP892"/>
      <c r="DQ892"/>
      <c r="DR892"/>
      <c r="DS892"/>
      <c r="DT892"/>
      <c r="DU892"/>
      <c r="DV892"/>
      <c r="DW892"/>
      <c r="DX892"/>
      <c r="DY892"/>
      <c r="DZ892"/>
      <c r="EA892"/>
      <c r="EB892"/>
      <c r="EC892"/>
      <c r="ED892"/>
      <c r="EE892"/>
      <c r="EF892"/>
      <c r="EG892"/>
      <c r="EH892"/>
      <c r="EI892"/>
      <c r="EJ892"/>
      <c r="EK892"/>
      <c r="EL892"/>
      <c r="EM892"/>
      <c r="EN892"/>
      <c r="EO892"/>
      <c r="EP892"/>
      <c r="EQ892"/>
      <c r="ER892"/>
      <c r="ES892"/>
    </row>
    <row r="893" spans="1:149">
      <c r="A893"/>
      <c r="B893"/>
      <c r="C893"/>
      <c r="D893"/>
      <c r="E893"/>
      <c r="F893"/>
      <c r="G893"/>
      <c r="H893"/>
      <c r="I893"/>
      <c r="J893"/>
      <c r="K893"/>
      <c r="L893"/>
      <c r="M893"/>
      <c r="N893"/>
      <c r="O893"/>
      <c r="P893"/>
      <c r="Q893"/>
      <c r="R893"/>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c r="AY893"/>
      <c r="AZ893"/>
      <c r="BA893"/>
      <c r="BB893"/>
      <c r="BC893"/>
      <c r="BD893"/>
      <c r="BE893"/>
      <c r="BF893"/>
      <c r="BG893"/>
      <c r="BH893"/>
      <c r="BI893"/>
      <c r="BJ893"/>
      <c r="BK893"/>
      <c r="BL893"/>
      <c r="BM893"/>
      <c r="BN893"/>
      <c r="BO893"/>
      <c r="BP893"/>
      <c r="BQ893"/>
      <c r="BR893"/>
      <c r="BS893"/>
      <c r="BT893"/>
      <c r="BU893"/>
      <c r="BV893"/>
      <c r="BW893"/>
      <c r="BX893"/>
      <c r="BY893"/>
      <c r="BZ893"/>
      <c r="CA893"/>
      <c r="CB893"/>
      <c r="CC893"/>
      <c r="CD893"/>
      <c r="CE893"/>
      <c r="CF893"/>
      <c r="CG893"/>
      <c r="CH893"/>
      <c r="CI893"/>
      <c r="CJ893"/>
      <c r="CK893"/>
      <c r="CL893"/>
      <c r="CM893"/>
      <c r="CN893"/>
      <c r="CO893"/>
      <c r="CP893"/>
      <c r="CQ893"/>
      <c r="CR893"/>
      <c r="CS893"/>
      <c r="CT893"/>
      <c r="CU893"/>
      <c r="CV893"/>
      <c r="CW893"/>
      <c r="CX893"/>
      <c r="CY893"/>
      <c r="CZ893"/>
      <c r="DA893"/>
      <c r="DB893"/>
      <c r="DC893"/>
      <c r="DD893"/>
      <c r="DE893"/>
      <c r="DF893"/>
      <c r="DG893"/>
      <c r="DH893"/>
      <c r="DI893"/>
      <c r="DJ893"/>
      <c r="DK893"/>
      <c r="DL893"/>
      <c r="DM893"/>
      <c r="DN893"/>
      <c r="DO893"/>
      <c r="DP893"/>
      <c r="DQ893"/>
      <c r="DR893"/>
      <c r="DS893"/>
      <c r="DT893"/>
      <c r="DU893"/>
      <c r="DV893"/>
      <c r="DW893"/>
      <c r="DX893"/>
      <c r="DY893"/>
      <c r="DZ893"/>
      <c r="EA893"/>
      <c r="EB893"/>
      <c r="EC893"/>
      <c r="ED893"/>
      <c r="EE893"/>
      <c r="EF893"/>
      <c r="EG893"/>
      <c r="EH893"/>
      <c r="EI893"/>
      <c r="EJ893"/>
      <c r="EK893"/>
      <c r="EL893"/>
      <c r="EM893"/>
      <c r="EN893"/>
      <c r="EO893"/>
      <c r="EP893"/>
      <c r="EQ893"/>
      <c r="ER893"/>
      <c r="ES893"/>
    </row>
    <row r="894" spans="1:149">
      <c r="A894"/>
      <c r="B894"/>
      <c r="C894"/>
      <c r="D894"/>
      <c r="E894"/>
      <c r="F894"/>
      <c r="G894"/>
      <c r="H894"/>
      <c r="I894"/>
      <c r="J894"/>
      <c r="K894"/>
      <c r="L894"/>
      <c r="M894"/>
      <c r="N894"/>
      <c r="O894"/>
      <c r="P894"/>
      <c r="Q894"/>
      <c r="R894"/>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c r="AY894"/>
      <c r="AZ894"/>
      <c r="BA894"/>
      <c r="BB894"/>
      <c r="BC894"/>
      <c r="BD894"/>
      <c r="BE894"/>
      <c r="BF894"/>
      <c r="BG894"/>
      <c r="BH894"/>
      <c r="BI894"/>
      <c r="BJ894"/>
      <c r="BK894"/>
      <c r="BL894"/>
      <c r="BM894"/>
      <c r="BN894"/>
      <c r="BO894"/>
      <c r="BP894"/>
      <c r="BQ894"/>
      <c r="BR894"/>
      <c r="BS894"/>
      <c r="BT894"/>
      <c r="BU894"/>
      <c r="BV894"/>
      <c r="BW894"/>
      <c r="BX894"/>
      <c r="BY894"/>
      <c r="BZ894"/>
      <c r="CA894"/>
      <c r="CB894"/>
      <c r="CC894"/>
      <c r="CD894"/>
      <c r="CE894"/>
      <c r="CF894"/>
      <c r="CG894"/>
      <c r="CH894"/>
      <c r="CI894"/>
      <c r="CJ894"/>
      <c r="CK894"/>
      <c r="CL894"/>
      <c r="CM894"/>
      <c r="CN894"/>
      <c r="CO894"/>
      <c r="CP894"/>
      <c r="CQ894"/>
      <c r="CR894"/>
      <c r="CS894"/>
      <c r="CT894"/>
      <c r="CU894"/>
      <c r="CV894"/>
      <c r="CW894"/>
      <c r="CX894"/>
      <c r="CY894"/>
      <c r="CZ894"/>
      <c r="DA894"/>
      <c r="DB894"/>
      <c r="DC894"/>
      <c r="DD894"/>
      <c r="DE894"/>
      <c r="DF894"/>
      <c r="DG894"/>
      <c r="DH894"/>
      <c r="DI894"/>
      <c r="DJ894"/>
      <c r="DK894"/>
      <c r="DL894"/>
      <c r="DM894"/>
      <c r="DN894"/>
      <c r="DO894"/>
      <c r="DP894"/>
      <c r="DQ894"/>
      <c r="DR894"/>
      <c r="DS894"/>
      <c r="DT894"/>
      <c r="DU894"/>
      <c r="DV894"/>
      <c r="DW894"/>
      <c r="DX894"/>
      <c r="DY894"/>
      <c r="DZ894"/>
      <c r="EA894"/>
      <c r="EB894"/>
      <c r="EC894"/>
      <c r="ED894"/>
      <c r="EE894"/>
      <c r="EF894"/>
      <c r="EG894"/>
      <c r="EH894"/>
      <c r="EI894"/>
      <c r="EJ894"/>
      <c r="EK894"/>
      <c r="EL894"/>
      <c r="EM894"/>
      <c r="EN894"/>
      <c r="EO894"/>
      <c r="EP894"/>
      <c r="EQ894"/>
      <c r="ER894"/>
      <c r="ES894"/>
    </row>
    <row r="895" spans="1:149">
      <c r="A895"/>
      <c r="B895"/>
      <c r="C895"/>
      <c r="D895"/>
      <c r="E895"/>
      <c r="F895"/>
      <c r="G895"/>
      <c r="H895"/>
      <c r="I895"/>
      <c r="J895"/>
      <c r="K895"/>
      <c r="L895"/>
      <c r="M895"/>
      <c r="N895"/>
      <c r="O895"/>
      <c r="P895"/>
      <c r="Q895"/>
      <c r="R895"/>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c r="AY895"/>
      <c r="AZ895"/>
      <c r="BA895"/>
      <c r="BB895"/>
      <c r="BC895"/>
      <c r="BD895"/>
      <c r="BE895"/>
      <c r="BF895"/>
      <c r="BG895"/>
      <c r="BH895"/>
      <c r="BI895"/>
      <c r="BJ895"/>
      <c r="BK895"/>
      <c r="BL895"/>
      <c r="BM895"/>
      <c r="BN895"/>
      <c r="BO895"/>
      <c r="BP895"/>
      <c r="BQ895"/>
      <c r="BR895"/>
      <c r="BS895"/>
      <c r="BT895"/>
      <c r="BU895"/>
      <c r="BV895"/>
      <c r="BW895"/>
      <c r="BX895"/>
      <c r="BY895"/>
      <c r="BZ895"/>
      <c r="CA895"/>
      <c r="CB895"/>
      <c r="CC895"/>
      <c r="CD895"/>
      <c r="CE895"/>
      <c r="CF895"/>
      <c r="CG895"/>
      <c r="CH895"/>
      <c r="CI895"/>
      <c r="CJ895"/>
      <c r="CK895"/>
      <c r="CL895"/>
      <c r="CM895"/>
      <c r="CN895"/>
      <c r="CO895"/>
      <c r="CP895"/>
      <c r="CQ895"/>
      <c r="CR895"/>
      <c r="CS895"/>
      <c r="CT895"/>
      <c r="CU895"/>
      <c r="CV895"/>
      <c r="CW895"/>
      <c r="CX895"/>
      <c r="CY895"/>
      <c r="CZ895"/>
      <c r="DA895"/>
      <c r="DB895"/>
      <c r="DC895"/>
      <c r="DD895"/>
      <c r="DE895"/>
      <c r="DF895"/>
      <c r="DG895"/>
      <c r="DH895"/>
      <c r="DI895"/>
      <c r="DJ895"/>
      <c r="DK895"/>
      <c r="DL895"/>
      <c r="DM895"/>
      <c r="DN895"/>
      <c r="DO895"/>
      <c r="DP895"/>
      <c r="DQ895"/>
      <c r="DR895"/>
      <c r="DS895"/>
      <c r="DT895"/>
      <c r="DU895"/>
      <c r="DV895"/>
      <c r="DW895"/>
      <c r="DX895"/>
      <c r="DY895"/>
      <c r="DZ895"/>
      <c r="EA895"/>
      <c r="EB895"/>
      <c r="EC895"/>
      <c r="ED895"/>
      <c r="EE895"/>
      <c r="EF895"/>
      <c r="EG895"/>
      <c r="EH895"/>
      <c r="EI895"/>
      <c r="EJ895"/>
      <c r="EK895"/>
      <c r="EL895"/>
      <c r="EM895"/>
      <c r="EN895"/>
      <c r="EO895"/>
      <c r="EP895"/>
      <c r="EQ895"/>
      <c r="ER895"/>
      <c r="ES895"/>
    </row>
    <row r="896" spans="1:149">
      <c r="A896"/>
      <c r="B896"/>
      <c r="C896"/>
      <c r="D896"/>
      <c r="E896"/>
      <c r="F896"/>
      <c r="G896"/>
      <c r="H896"/>
      <c r="I896"/>
      <c r="J896"/>
      <c r="K896"/>
      <c r="L896"/>
      <c r="M896"/>
      <c r="N896"/>
      <c r="O896"/>
      <c r="P896"/>
      <c r="Q896"/>
      <c r="R896"/>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c r="AY896"/>
      <c r="AZ896"/>
      <c r="BA896"/>
      <c r="BB896"/>
      <c r="BC896"/>
      <c r="BD896"/>
      <c r="BE896"/>
      <c r="BF896"/>
      <c r="BG896"/>
      <c r="BH896"/>
      <c r="BI896"/>
      <c r="BJ896"/>
      <c r="BK896"/>
      <c r="BL896"/>
      <c r="BM896"/>
      <c r="BN896"/>
      <c r="BO896"/>
      <c r="BP896"/>
      <c r="BQ896"/>
      <c r="BR896"/>
      <c r="BS896"/>
      <c r="BT896"/>
      <c r="BU896"/>
      <c r="BV896"/>
      <c r="BW896"/>
      <c r="BX896"/>
      <c r="BY896"/>
      <c r="BZ896"/>
      <c r="CA896"/>
      <c r="CB896"/>
      <c r="CC896"/>
      <c r="CD896"/>
      <c r="CE896"/>
      <c r="CF896"/>
      <c r="CG896"/>
      <c r="CH896"/>
      <c r="CI896"/>
      <c r="CJ896"/>
      <c r="CK896"/>
      <c r="CL896"/>
      <c r="CM896"/>
      <c r="CN896"/>
      <c r="CO896"/>
      <c r="CP896"/>
      <c r="CQ896"/>
      <c r="CR896"/>
      <c r="CS896"/>
      <c r="CT896"/>
      <c r="CU896"/>
      <c r="CV896"/>
      <c r="CW896"/>
      <c r="CX896"/>
      <c r="CY896"/>
      <c r="CZ896"/>
      <c r="DA896"/>
      <c r="DB896"/>
      <c r="DC896"/>
      <c r="DD896"/>
      <c r="DE896"/>
      <c r="DF896"/>
      <c r="DG896"/>
      <c r="DH896"/>
      <c r="DI896"/>
      <c r="DJ896"/>
      <c r="DK896"/>
      <c r="DL896"/>
      <c r="DM896"/>
      <c r="DN896"/>
      <c r="DO896"/>
      <c r="DP896"/>
      <c r="DQ896"/>
      <c r="DR896"/>
      <c r="DS896"/>
      <c r="DT896"/>
      <c r="DU896"/>
      <c r="DV896"/>
      <c r="DW896"/>
      <c r="DX896"/>
      <c r="DY896"/>
      <c r="DZ896"/>
      <c r="EA896"/>
      <c r="EB896"/>
      <c r="EC896"/>
      <c r="ED896"/>
      <c r="EE896"/>
      <c r="EF896"/>
      <c r="EG896"/>
      <c r="EH896"/>
      <c r="EI896"/>
      <c r="EJ896"/>
      <c r="EK896"/>
      <c r="EL896"/>
      <c r="EM896"/>
      <c r="EN896"/>
      <c r="EO896"/>
      <c r="EP896"/>
      <c r="EQ896"/>
      <c r="ER896"/>
      <c r="ES896"/>
    </row>
    <row r="897" spans="1:149">
      <c r="A897"/>
      <c r="B897"/>
      <c r="C897"/>
      <c r="D897"/>
      <c r="E897"/>
      <c r="F897"/>
      <c r="G897"/>
      <c r="H897"/>
      <c r="I897"/>
      <c r="J897"/>
      <c r="K897"/>
      <c r="L897"/>
      <c r="M897"/>
      <c r="N897"/>
      <c r="O897"/>
      <c r="P897"/>
      <c r="Q897"/>
      <c r="R897"/>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c r="AY897"/>
      <c r="AZ897"/>
      <c r="BA897"/>
      <c r="BB897"/>
      <c r="BC897"/>
      <c r="BD897"/>
      <c r="BE897"/>
      <c r="BF897"/>
      <c r="BG897"/>
      <c r="BH897"/>
      <c r="BI897"/>
      <c r="BJ897"/>
      <c r="BK897"/>
      <c r="BL897"/>
      <c r="BM897"/>
      <c r="BN897"/>
      <c r="BO897"/>
      <c r="BP897"/>
      <c r="BQ897"/>
      <c r="BR897"/>
      <c r="BS897"/>
      <c r="BT897"/>
      <c r="BU897"/>
      <c r="BV897"/>
      <c r="BW897"/>
      <c r="BX897"/>
      <c r="BY897"/>
      <c r="BZ897"/>
      <c r="CA897"/>
      <c r="CB897"/>
      <c r="CC897"/>
      <c r="CD897"/>
      <c r="CE897"/>
      <c r="CF897"/>
      <c r="CG897"/>
      <c r="CH897"/>
      <c r="CI897"/>
      <c r="CJ897"/>
      <c r="CK897"/>
      <c r="CL897"/>
      <c r="CM897"/>
      <c r="CN897"/>
      <c r="CO897"/>
      <c r="CP897"/>
      <c r="CQ897"/>
      <c r="CR897"/>
      <c r="CS897"/>
      <c r="CT897"/>
      <c r="CU897"/>
      <c r="CV897"/>
      <c r="CW897"/>
      <c r="CX897"/>
      <c r="CY897"/>
      <c r="CZ897"/>
      <c r="DA897"/>
      <c r="DB897"/>
      <c r="DC897"/>
      <c r="DD897"/>
      <c r="DE897"/>
      <c r="DF897"/>
      <c r="DG897"/>
      <c r="DH897"/>
      <c r="DI897"/>
      <c r="DJ897"/>
      <c r="DK897"/>
      <c r="DL897"/>
      <c r="DM897"/>
      <c r="DN897"/>
      <c r="DO897"/>
      <c r="DP897"/>
      <c r="DQ897"/>
      <c r="DR897"/>
      <c r="DS897"/>
      <c r="DT897"/>
      <c r="DU897"/>
      <c r="DV897"/>
      <c r="DW897"/>
      <c r="DX897"/>
      <c r="DY897"/>
      <c r="DZ897"/>
      <c r="EA897"/>
      <c r="EB897"/>
      <c r="EC897"/>
      <c r="ED897"/>
      <c r="EE897"/>
      <c r="EF897"/>
      <c r="EG897"/>
      <c r="EH897"/>
      <c r="EI897"/>
      <c r="EJ897"/>
      <c r="EK897"/>
      <c r="EL897"/>
      <c r="EM897"/>
      <c r="EN897"/>
      <c r="EO897"/>
      <c r="EP897"/>
      <c r="EQ897"/>
      <c r="ER897"/>
      <c r="ES897"/>
    </row>
    <row r="898" spans="1:149">
      <c r="A898"/>
      <c r="B898"/>
      <c r="C898"/>
      <c r="D898"/>
      <c r="E898"/>
      <c r="F898"/>
      <c r="G898"/>
      <c r="H898"/>
      <c r="I898"/>
      <c r="J898"/>
      <c r="K898"/>
      <c r="L898"/>
      <c r="M898"/>
      <c r="N898"/>
      <c r="O898"/>
      <c r="P898"/>
      <c r="Q898"/>
      <c r="R898"/>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c r="AY898"/>
      <c r="AZ898"/>
      <c r="BA898"/>
      <c r="BB898"/>
      <c r="BC898"/>
      <c r="BD898"/>
      <c r="BE898"/>
      <c r="BF898"/>
      <c r="BG898"/>
      <c r="BH898"/>
      <c r="BI898"/>
      <c r="BJ898"/>
      <c r="BK898"/>
      <c r="BL898"/>
      <c r="BM898"/>
      <c r="BN898"/>
      <c r="BO898"/>
      <c r="BP898"/>
      <c r="BQ898"/>
      <c r="BR898"/>
      <c r="BS898"/>
      <c r="BT898"/>
      <c r="BU898"/>
      <c r="BV898"/>
      <c r="BW898"/>
      <c r="BX898"/>
      <c r="BY898"/>
      <c r="BZ898"/>
      <c r="CA898"/>
      <c r="CB898"/>
      <c r="CC898"/>
      <c r="CD898"/>
      <c r="CE898"/>
      <c r="CF898"/>
      <c r="CG898"/>
      <c r="CH898"/>
      <c r="CI898"/>
      <c r="CJ898"/>
      <c r="CK898"/>
      <c r="CL898"/>
      <c r="CM898"/>
      <c r="CN898"/>
      <c r="CO898"/>
      <c r="CP898"/>
      <c r="CQ898"/>
      <c r="CR898"/>
      <c r="CS898"/>
      <c r="CT898"/>
      <c r="CU898"/>
      <c r="CV898"/>
      <c r="CW898"/>
      <c r="CX898"/>
      <c r="CY898"/>
      <c r="CZ898"/>
      <c r="DA898"/>
      <c r="DB898"/>
      <c r="DC898"/>
      <c r="DD898"/>
      <c r="DE898"/>
      <c r="DF898"/>
      <c r="DG898"/>
      <c r="DH898"/>
      <c r="DI898"/>
      <c r="DJ898"/>
      <c r="DK898"/>
      <c r="DL898"/>
      <c r="DM898"/>
      <c r="DN898"/>
      <c r="DO898"/>
      <c r="DP898"/>
      <c r="DQ898"/>
      <c r="DR898"/>
      <c r="DS898"/>
      <c r="DT898"/>
      <c r="DU898"/>
      <c r="DV898"/>
      <c r="DW898"/>
      <c r="DX898"/>
      <c r="DY898"/>
      <c r="DZ898"/>
      <c r="EA898"/>
      <c r="EB898"/>
      <c r="EC898"/>
      <c r="ED898"/>
      <c r="EE898"/>
      <c r="EF898"/>
      <c r="EG898"/>
      <c r="EH898"/>
      <c r="EI898"/>
      <c r="EJ898"/>
      <c r="EK898"/>
      <c r="EL898"/>
      <c r="EM898"/>
      <c r="EN898"/>
      <c r="EO898"/>
      <c r="EP898"/>
      <c r="EQ898"/>
      <c r="ER898"/>
      <c r="ES898"/>
    </row>
    <row r="899" spans="1:149">
      <c r="A899"/>
      <c r="B899"/>
      <c r="C899"/>
      <c r="D899"/>
      <c r="E899"/>
      <c r="F899"/>
      <c r="G899"/>
      <c r="H899"/>
      <c r="I899"/>
      <c r="J899"/>
      <c r="K899"/>
      <c r="L899"/>
      <c r="M899"/>
      <c r="N899"/>
      <c r="O899"/>
      <c r="P899"/>
      <c r="Q899"/>
      <c r="R899"/>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c r="AY899"/>
      <c r="AZ899"/>
      <c r="BA899"/>
      <c r="BB899"/>
      <c r="BC899"/>
      <c r="BD899"/>
      <c r="BE899"/>
      <c r="BF899"/>
      <c r="BG899"/>
      <c r="BH899"/>
      <c r="BI899"/>
      <c r="BJ899"/>
      <c r="BK899"/>
      <c r="BL899"/>
      <c r="BM899"/>
      <c r="BN899"/>
      <c r="BO899"/>
      <c r="BP899"/>
      <c r="BQ899"/>
      <c r="BR899"/>
      <c r="BS899"/>
      <c r="BT899"/>
      <c r="BU899"/>
      <c r="BV899"/>
      <c r="BW899"/>
      <c r="BX899"/>
      <c r="BY899"/>
      <c r="BZ899"/>
      <c r="CA899"/>
      <c r="CB899"/>
      <c r="CC899"/>
      <c r="CD899"/>
      <c r="CE899"/>
      <c r="CF899"/>
      <c r="CG899"/>
      <c r="CH899"/>
      <c r="CI899"/>
      <c r="CJ899"/>
      <c r="CK899"/>
      <c r="CL899"/>
      <c r="CM899"/>
      <c r="CN899"/>
      <c r="CO899"/>
      <c r="CP899"/>
      <c r="CQ899"/>
      <c r="CR899"/>
      <c r="CS899"/>
      <c r="CT899"/>
      <c r="CU899"/>
      <c r="CV899"/>
      <c r="CW899"/>
      <c r="CX899"/>
      <c r="CY899"/>
      <c r="CZ899"/>
      <c r="DA899"/>
      <c r="DB899"/>
      <c r="DC899"/>
      <c r="DD899"/>
      <c r="DE899"/>
      <c r="DF899"/>
      <c r="DG899"/>
      <c r="DH899"/>
      <c r="DI899"/>
      <c r="DJ899"/>
      <c r="DK899"/>
      <c r="DL899"/>
      <c r="DM899"/>
      <c r="DN899"/>
      <c r="DO899"/>
      <c r="DP899"/>
      <c r="DQ899"/>
      <c r="DR899"/>
      <c r="DS899"/>
      <c r="DT899"/>
      <c r="DU899"/>
      <c r="DV899"/>
      <c r="DW899"/>
      <c r="DX899"/>
      <c r="DY899"/>
      <c r="DZ899"/>
      <c r="EA899"/>
      <c r="EB899"/>
      <c r="EC899"/>
      <c r="ED899"/>
      <c r="EE899"/>
      <c r="EF899"/>
      <c r="EG899"/>
      <c r="EH899"/>
      <c r="EI899"/>
      <c r="EJ899"/>
      <c r="EK899"/>
      <c r="EL899"/>
      <c r="EM899"/>
      <c r="EN899"/>
      <c r="EO899"/>
      <c r="EP899"/>
      <c r="EQ899"/>
      <c r="ER899"/>
      <c r="ES899"/>
    </row>
    <row r="900" spans="1:149">
      <c r="A900"/>
      <c r="B900"/>
      <c r="C900"/>
      <c r="D900"/>
      <c r="E900"/>
      <c r="F900"/>
      <c r="G900"/>
      <c r="H900"/>
      <c r="I900"/>
      <c r="J900"/>
      <c r="K900"/>
      <c r="L900"/>
      <c r="M900"/>
      <c r="N900"/>
      <c r="O900"/>
      <c r="P900"/>
      <c r="Q900"/>
      <c r="R900"/>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c r="AY900"/>
      <c r="AZ900"/>
      <c r="BA900"/>
      <c r="BB900"/>
      <c r="BC900"/>
      <c r="BD900"/>
      <c r="BE900"/>
      <c r="BF900"/>
      <c r="BG900"/>
      <c r="BH900"/>
      <c r="BI900"/>
      <c r="BJ900"/>
      <c r="BK900"/>
      <c r="BL900"/>
      <c r="BM900"/>
      <c r="BN900"/>
      <c r="BO900"/>
      <c r="BP900"/>
      <c r="BQ900"/>
      <c r="BR900"/>
      <c r="BS900"/>
      <c r="BT900"/>
      <c r="BU900"/>
      <c r="BV900"/>
      <c r="BW900"/>
      <c r="BX900"/>
      <c r="BY900"/>
      <c r="BZ900"/>
      <c r="CA900"/>
      <c r="CB900"/>
      <c r="CC900"/>
      <c r="CD900"/>
      <c r="CE900"/>
      <c r="CF900"/>
      <c r="CG900"/>
      <c r="CH900"/>
      <c r="CI900"/>
      <c r="CJ900"/>
      <c r="CK900"/>
      <c r="CL900"/>
      <c r="CM900"/>
      <c r="CN900"/>
      <c r="CO900"/>
      <c r="CP900"/>
      <c r="CQ900"/>
      <c r="CR900"/>
      <c r="CS900"/>
      <c r="CT900"/>
      <c r="CU900"/>
      <c r="CV900"/>
      <c r="CW900"/>
      <c r="CX900"/>
      <c r="CY900"/>
      <c r="CZ900"/>
      <c r="DA900"/>
      <c r="DB900"/>
      <c r="DC900"/>
      <c r="DD900"/>
      <c r="DE900"/>
      <c r="DF900"/>
      <c r="DG900"/>
      <c r="DH900"/>
      <c r="DI900"/>
      <c r="DJ900"/>
      <c r="DK900"/>
      <c r="DL900"/>
      <c r="DM900"/>
      <c r="DN900"/>
      <c r="DO900"/>
      <c r="DP900"/>
      <c r="DQ900"/>
      <c r="DR900"/>
      <c r="DS900"/>
      <c r="DT900"/>
      <c r="DU900"/>
      <c r="DV900"/>
      <c r="DW900"/>
      <c r="DX900"/>
      <c r="DY900"/>
      <c r="DZ900"/>
      <c r="EA900"/>
      <c r="EB900"/>
      <c r="EC900"/>
      <c r="ED900"/>
      <c r="EE900"/>
      <c r="EF900"/>
      <c r="EG900"/>
      <c r="EH900"/>
      <c r="EI900"/>
      <c r="EJ900"/>
      <c r="EK900"/>
      <c r="EL900"/>
      <c r="EM900"/>
      <c r="EN900"/>
      <c r="EO900"/>
      <c r="EP900"/>
      <c r="EQ900"/>
      <c r="ER900"/>
      <c r="ES900"/>
    </row>
    <row r="901" spans="1:149">
      <c r="A901"/>
      <c r="B901"/>
      <c r="C901"/>
      <c r="D901"/>
      <c r="E901"/>
      <c r="F901"/>
      <c r="G901"/>
      <c r="H901"/>
      <c r="I901"/>
      <c r="J901"/>
      <c r="K901"/>
      <c r="L901"/>
      <c r="M901"/>
      <c r="N901"/>
      <c r="O901"/>
      <c r="P901"/>
      <c r="Q901"/>
      <c r="R90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c r="AY901"/>
      <c r="AZ901"/>
      <c r="BA901"/>
      <c r="BB901"/>
      <c r="BC901"/>
      <c r="BD901"/>
      <c r="BE901"/>
      <c r="BF901"/>
      <c r="BG901"/>
      <c r="BH901"/>
      <c r="BI901"/>
      <c r="BJ901"/>
      <c r="BK901"/>
      <c r="BL901"/>
      <c r="BM901"/>
      <c r="BN901"/>
      <c r="BO901"/>
      <c r="BP901"/>
      <c r="BQ901"/>
      <c r="BR901"/>
      <c r="BS901"/>
      <c r="BT901"/>
      <c r="BU901"/>
      <c r="BV901"/>
      <c r="BW901"/>
      <c r="BX901"/>
      <c r="BY901"/>
      <c r="BZ901"/>
      <c r="CA901"/>
      <c r="CB901"/>
      <c r="CC901"/>
      <c r="CD901"/>
      <c r="CE901"/>
      <c r="CF901"/>
      <c r="CG901"/>
      <c r="CH901"/>
      <c r="CI901"/>
      <c r="CJ901"/>
      <c r="CK901"/>
      <c r="CL901"/>
      <c r="CM901"/>
      <c r="CN901"/>
      <c r="CO901"/>
      <c r="CP901"/>
      <c r="CQ901"/>
      <c r="CR901"/>
      <c r="CS901"/>
      <c r="CT901"/>
      <c r="CU901"/>
      <c r="CV901"/>
      <c r="CW901"/>
      <c r="CX901"/>
      <c r="CY901"/>
      <c r="CZ901"/>
      <c r="DA901"/>
      <c r="DB901"/>
      <c r="DC901"/>
      <c r="DD901"/>
      <c r="DE901"/>
      <c r="DF901"/>
      <c r="DG901"/>
      <c r="DH901"/>
      <c r="DI901"/>
      <c r="DJ901"/>
      <c r="DK901"/>
      <c r="DL901"/>
      <c r="DM901"/>
      <c r="DN901"/>
      <c r="DO901"/>
      <c r="DP901"/>
      <c r="DQ901"/>
      <c r="DR901"/>
      <c r="DS901"/>
      <c r="DT901"/>
      <c r="DU901"/>
      <c r="DV901"/>
      <c r="DW901"/>
      <c r="DX901"/>
      <c r="DY901"/>
      <c r="DZ901"/>
      <c r="EA901"/>
      <c r="EB901"/>
      <c r="EC901"/>
      <c r="ED901"/>
      <c r="EE901"/>
      <c r="EF901"/>
      <c r="EG901"/>
      <c r="EH901"/>
      <c r="EI901"/>
      <c r="EJ901"/>
      <c r="EK901"/>
      <c r="EL901"/>
      <c r="EM901"/>
      <c r="EN901"/>
      <c r="EO901"/>
      <c r="EP901"/>
      <c r="EQ901"/>
      <c r="ER901"/>
      <c r="ES901"/>
    </row>
    <row r="902" spans="1:149">
      <c r="A902"/>
      <c r="B902"/>
      <c r="C902"/>
      <c r="D902"/>
      <c r="E902"/>
      <c r="F902"/>
      <c r="G902"/>
      <c r="H902"/>
      <c r="I902"/>
      <c r="J902"/>
      <c r="K902"/>
      <c r="L902"/>
      <c r="M902"/>
      <c r="N902"/>
      <c r="O902"/>
      <c r="P902"/>
      <c r="Q902"/>
      <c r="R902"/>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c r="AY902"/>
      <c r="AZ902"/>
      <c r="BA902"/>
      <c r="BB902"/>
      <c r="BC902"/>
      <c r="BD902"/>
      <c r="BE902"/>
      <c r="BF902"/>
      <c r="BG902"/>
      <c r="BH902"/>
      <c r="BI902"/>
      <c r="BJ902"/>
      <c r="BK902"/>
      <c r="BL902"/>
      <c r="BM902"/>
      <c r="BN902"/>
      <c r="BO902"/>
      <c r="BP902"/>
      <c r="BQ902"/>
      <c r="BR902"/>
      <c r="BS902"/>
      <c r="BT902"/>
      <c r="BU902"/>
      <c r="BV902"/>
      <c r="BW902"/>
      <c r="BX902"/>
      <c r="BY902"/>
      <c r="BZ902"/>
      <c r="CA902"/>
      <c r="CB902"/>
      <c r="CC902"/>
      <c r="CD902"/>
      <c r="CE902"/>
      <c r="CF902"/>
      <c r="CG902"/>
      <c r="CH902"/>
      <c r="CI902"/>
      <c r="CJ902"/>
      <c r="CK902"/>
      <c r="CL902"/>
      <c r="CM902"/>
      <c r="CN902"/>
      <c r="CO902"/>
      <c r="CP902"/>
      <c r="CQ902"/>
      <c r="CR902"/>
      <c r="CS902"/>
      <c r="CT902"/>
      <c r="CU902"/>
      <c r="CV902"/>
      <c r="CW902"/>
      <c r="CX902"/>
      <c r="CY902"/>
      <c r="CZ902"/>
      <c r="DA902"/>
      <c r="DB902"/>
      <c r="DC902"/>
      <c r="DD902"/>
      <c r="DE902"/>
      <c r="DF902"/>
      <c r="DG902"/>
      <c r="DH902"/>
      <c r="DI902"/>
      <c r="DJ902"/>
      <c r="DK902"/>
      <c r="DL902"/>
      <c r="DM902"/>
      <c r="DN902"/>
      <c r="DO902"/>
      <c r="DP902"/>
      <c r="DQ902"/>
      <c r="DR902"/>
      <c r="DS902"/>
      <c r="DT902"/>
      <c r="DU902"/>
      <c r="DV902"/>
      <c r="DW902"/>
      <c r="DX902"/>
      <c r="DY902"/>
      <c r="DZ902"/>
      <c r="EA902"/>
      <c r="EB902"/>
      <c r="EC902"/>
      <c r="ED902"/>
      <c r="EE902"/>
      <c r="EF902"/>
      <c r="EG902"/>
      <c r="EH902"/>
      <c r="EI902"/>
      <c r="EJ902"/>
      <c r="EK902"/>
      <c r="EL902"/>
      <c r="EM902"/>
      <c r="EN902"/>
      <c r="EO902"/>
      <c r="EP902"/>
      <c r="EQ902"/>
      <c r="ER902"/>
      <c r="ES902"/>
    </row>
    <row r="903" spans="1:149">
      <c r="A903"/>
      <c r="B903"/>
      <c r="C903"/>
      <c r="D903"/>
      <c r="E903"/>
      <c r="F903"/>
      <c r="G903"/>
      <c r="H903"/>
      <c r="I903"/>
      <c r="J903"/>
      <c r="K903"/>
      <c r="L903"/>
      <c r="M903"/>
      <c r="N903"/>
      <c r="O903"/>
      <c r="P903"/>
      <c r="Q903"/>
      <c r="R903"/>
      <c r="S903"/>
      <c r="T903"/>
      <c r="U903"/>
      <c r="V903"/>
      <c r="W903"/>
      <c r="X903"/>
      <c r="Y903"/>
      <c r="Z903"/>
      <c r="AA903"/>
      <c r="AB903"/>
      <c r="AC903"/>
      <c r="AD903"/>
      <c r="AE903"/>
      <c r="AF903"/>
      <c r="AG903"/>
      <c r="AH903"/>
      <c r="AI903"/>
      <c r="AJ903"/>
      <c r="AK903"/>
      <c r="AL903"/>
      <c r="AM903"/>
      <c r="AN903"/>
      <c r="AO903"/>
      <c r="AP903"/>
      <c r="AQ903"/>
      <c r="AR903"/>
      <c r="AS903"/>
      <c r="AT903"/>
      <c r="AU903"/>
      <c r="AV903"/>
      <c r="AW903"/>
      <c r="AX903"/>
      <c r="AY903"/>
      <c r="AZ903"/>
      <c r="BA903"/>
      <c r="BB903"/>
      <c r="BC903"/>
      <c r="BD903"/>
      <c r="BE903"/>
      <c r="BF903"/>
      <c r="BG903"/>
      <c r="BH903"/>
      <c r="BI903"/>
      <c r="BJ903"/>
      <c r="BK903"/>
      <c r="BL903"/>
      <c r="BM903"/>
      <c r="BN903"/>
      <c r="BO903"/>
      <c r="BP903"/>
      <c r="BQ903"/>
      <c r="BR903"/>
      <c r="BS903"/>
      <c r="BT903"/>
      <c r="BU903"/>
      <c r="BV903"/>
      <c r="BW903"/>
      <c r="BX903"/>
      <c r="BY903"/>
      <c r="BZ903"/>
      <c r="CA903"/>
      <c r="CB903"/>
      <c r="CC903"/>
      <c r="CD903"/>
      <c r="CE903"/>
      <c r="CF903"/>
      <c r="CG903"/>
      <c r="CH903"/>
      <c r="CI903"/>
      <c r="CJ903"/>
      <c r="CK903"/>
      <c r="CL903"/>
      <c r="CM903"/>
      <c r="CN903"/>
      <c r="CO903"/>
      <c r="CP903"/>
      <c r="CQ903"/>
      <c r="CR903"/>
      <c r="CS903"/>
      <c r="CT903"/>
      <c r="CU903"/>
      <c r="CV903"/>
      <c r="CW903"/>
      <c r="CX903"/>
      <c r="CY903"/>
      <c r="CZ903"/>
      <c r="DA903"/>
      <c r="DB903"/>
      <c r="DC903"/>
      <c r="DD903"/>
      <c r="DE903"/>
      <c r="DF903"/>
      <c r="DG903"/>
      <c r="DH903"/>
      <c r="DI903"/>
      <c r="DJ903"/>
      <c r="DK903"/>
      <c r="DL903"/>
      <c r="DM903"/>
      <c r="DN903"/>
      <c r="DO903"/>
      <c r="DP903"/>
      <c r="DQ903"/>
      <c r="DR903"/>
      <c r="DS903"/>
      <c r="DT903"/>
      <c r="DU903"/>
      <c r="DV903"/>
      <c r="DW903"/>
      <c r="DX903"/>
      <c r="DY903"/>
      <c r="DZ903"/>
      <c r="EA903"/>
      <c r="EB903"/>
      <c r="EC903"/>
      <c r="ED903"/>
      <c r="EE903"/>
      <c r="EF903"/>
      <c r="EG903"/>
      <c r="EH903"/>
      <c r="EI903"/>
      <c r="EJ903"/>
      <c r="EK903"/>
      <c r="EL903"/>
      <c r="EM903"/>
      <c r="EN903"/>
      <c r="EO903"/>
      <c r="EP903"/>
      <c r="EQ903"/>
      <c r="ER903"/>
      <c r="ES903"/>
    </row>
    <row r="904" spans="1:149">
      <c r="A904"/>
      <c r="B904"/>
      <c r="C904"/>
      <c r="D904"/>
      <c r="E904"/>
      <c r="F904"/>
      <c r="G904"/>
      <c r="H904"/>
      <c r="I904"/>
      <c r="J904"/>
      <c r="K904"/>
      <c r="L904"/>
      <c r="M904"/>
      <c r="N904"/>
      <c r="O904"/>
      <c r="P904"/>
      <c r="Q904"/>
      <c r="R904"/>
      <c r="S904"/>
      <c r="T904"/>
      <c r="U904"/>
      <c r="V904"/>
      <c r="W904"/>
      <c r="X904"/>
      <c r="Y904"/>
      <c r="Z904"/>
      <c r="AA904"/>
      <c r="AB904"/>
      <c r="AC904"/>
      <c r="AD904"/>
      <c r="AE904"/>
      <c r="AF904"/>
      <c r="AG904"/>
      <c r="AH904"/>
      <c r="AI904"/>
      <c r="AJ904"/>
      <c r="AK904"/>
      <c r="AL904"/>
      <c r="AM904"/>
      <c r="AN904"/>
      <c r="AO904"/>
      <c r="AP904"/>
      <c r="AQ904"/>
      <c r="AR904"/>
      <c r="AS904"/>
      <c r="AT904"/>
      <c r="AU904"/>
      <c r="AV904"/>
      <c r="AW904"/>
      <c r="AX904"/>
      <c r="AY904"/>
      <c r="AZ904"/>
      <c r="BA904"/>
      <c r="BB904"/>
      <c r="BC904"/>
      <c r="BD904"/>
      <c r="BE904"/>
      <c r="BF904"/>
      <c r="BG904"/>
      <c r="BH904"/>
      <c r="BI904"/>
      <c r="BJ904"/>
      <c r="BK904"/>
      <c r="BL904"/>
      <c r="BM904"/>
      <c r="BN904"/>
      <c r="BO904"/>
      <c r="BP904"/>
      <c r="BQ904"/>
      <c r="BR904"/>
      <c r="BS904"/>
      <c r="BT904"/>
      <c r="BU904"/>
      <c r="BV904"/>
      <c r="BW904"/>
      <c r="BX904"/>
      <c r="BY904"/>
      <c r="BZ904"/>
      <c r="CA904"/>
      <c r="CB904"/>
      <c r="CC904"/>
      <c r="CD904"/>
      <c r="CE904"/>
      <c r="CF904"/>
      <c r="CG904"/>
      <c r="CH904"/>
      <c r="CI904"/>
      <c r="CJ904"/>
      <c r="CK904"/>
      <c r="CL904"/>
      <c r="CM904"/>
      <c r="CN904"/>
      <c r="CO904"/>
      <c r="CP904"/>
      <c r="CQ904"/>
      <c r="CR904"/>
      <c r="CS904"/>
      <c r="CT904"/>
      <c r="CU904"/>
      <c r="CV904"/>
      <c r="CW904"/>
      <c r="CX904"/>
      <c r="CY904"/>
      <c r="CZ904"/>
      <c r="DA904"/>
      <c r="DB904"/>
      <c r="DC904"/>
      <c r="DD904"/>
      <c r="DE904"/>
      <c r="DF904"/>
      <c r="DG904"/>
      <c r="DH904"/>
      <c r="DI904"/>
      <c r="DJ904"/>
      <c r="DK904"/>
      <c r="DL904"/>
      <c r="DM904"/>
      <c r="DN904"/>
      <c r="DO904"/>
      <c r="DP904"/>
      <c r="DQ904"/>
      <c r="DR904"/>
      <c r="DS904"/>
      <c r="DT904"/>
      <c r="DU904"/>
      <c r="DV904"/>
      <c r="DW904"/>
      <c r="DX904"/>
      <c r="DY904"/>
      <c r="DZ904"/>
      <c r="EA904"/>
      <c r="EB904"/>
      <c r="EC904"/>
      <c r="ED904"/>
      <c r="EE904"/>
      <c r="EF904"/>
      <c r="EG904"/>
      <c r="EH904"/>
      <c r="EI904"/>
      <c r="EJ904"/>
      <c r="EK904"/>
      <c r="EL904"/>
      <c r="EM904"/>
      <c r="EN904"/>
      <c r="EO904"/>
      <c r="EP904"/>
      <c r="EQ904"/>
      <c r="ER904"/>
      <c r="ES904"/>
    </row>
    <row r="905" spans="1:149">
      <c r="A905"/>
      <c r="B905"/>
      <c r="C905"/>
      <c r="D905"/>
      <c r="E905"/>
      <c r="F905"/>
      <c r="G905"/>
      <c r="H905"/>
      <c r="I905"/>
      <c r="J905"/>
      <c r="K905"/>
      <c r="L905"/>
      <c r="M905"/>
      <c r="N905"/>
      <c r="O905"/>
      <c r="P905"/>
      <c r="Q905"/>
      <c r="R905"/>
      <c r="S905"/>
      <c r="T905"/>
      <c r="U905"/>
      <c r="V905"/>
      <c r="W905"/>
      <c r="X905"/>
      <c r="Y905"/>
      <c r="Z905"/>
      <c r="AA905"/>
      <c r="AB905"/>
      <c r="AC905"/>
      <c r="AD905"/>
      <c r="AE905"/>
      <c r="AF905"/>
      <c r="AG905"/>
      <c r="AH905"/>
      <c r="AI905"/>
      <c r="AJ905"/>
      <c r="AK905"/>
      <c r="AL905"/>
      <c r="AM905"/>
      <c r="AN905"/>
      <c r="AO905"/>
      <c r="AP905"/>
      <c r="AQ905"/>
      <c r="AR905"/>
      <c r="AS905"/>
      <c r="AT905"/>
      <c r="AU905"/>
      <c r="AV905"/>
      <c r="AW905"/>
      <c r="AX905"/>
      <c r="AY905"/>
      <c r="AZ905"/>
      <c r="BA905"/>
      <c r="BB905"/>
      <c r="BC905"/>
      <c r="BD905"/>
      <c r="BE905"/>
      <c r="BF905"/>
      <c r="BG905"/>
      <c r="BH905"/>
      <c r="BI905"/>
      <c r="BJ905"/>
      <c r="BK905"/>
      <c r="BL905"/>
      <c r="BM905"/>
      <c r="BN905"/>
      <c r="BO905"/>
      <c r="BP905"/>
      <c r="BQ905"/>
      <c r="BR905"/>
      <c r="BS905"/>
      <c r="BT905"/>
      <c r="BU905"/>
      <c r="BV905"/>
      <c r="BW905"/>
      <c r="BX905"/>
      <c r="BY905"/>
      <c r="BZ905"/>
      <c r="CA905"/>
      <c r="CB905"/>
      <c r="CC905"/>
      <c r="CD905"/>
      <c r="CE905"/>
      <c r="CF905"/>
      <c r="CG905"/>
      <c r="CH905"/>
      <c r="CI905"/>
      <c r="CJ905"/>
      <c r="CK905"/>
      <c r="CL905"/>
      <c r="CM905"/>
      <c r="CN905"/>
      <c r="CO905"/>
      <c r="CP905"/>
      <c r="CQ905"/>
      <c r="CR905"/>
      <c r="CS905"/>
      <c r="CT905"/>
      <c r="CU905"/>
      <c r="CV905"/>
      <c r="CW905"/>
      <c r="CX905"/>
      <c r="CY905"/>
      <c r="CZ905"/>
      <c r="DA905"/>
      <c r="DB905"/>
      <c r="DC905"/>
      <c r="DD905"/>
      <c r="DE905"/>
      <c r="DF905"/>
      <c r="DG905"/>
      <c r="DH905"/>
      <c r="DI905"/>
      <c r="DJ905"/>
      <c r="DK905"/>
      <c r="DL905"/>
      <c r="DM905"/>
      <c r="DN905"/>
      <c r="DO905"/>
      <c r="DP905"/>
      <c r="DQ905"/>
      <c r="DR905"/>
      <c r="DS905"/>
      <c r="DT905"/>
      <c r="DU905"/>
      <c r="DV905"/>
      <c r="DW905"/>
      <c r="DX905"/>
      <c r="DY905"/>
      <c r="DZ905"/>
      <c r="EA905"/>
      <c r="EB905"/>
      <c r="EC905"/>
      <c r="ED905"/>
      <c r="EE905"/>
      <c r="EF905"/>
      <c r="EG905"/>
      <c r="EH905"/>
      <c r="EI905"/>
      <c r="EJ905"/>
      <c r="EK905"/>
      <c r="EL905"/>
      <c r="EM905"/>
      <c r="EN905"/>
      <c r="EO905"/>
      <c r="EP905"/>
      <c r="EQ905"/>
      <c r="ER905"/>
      <c r="ES905"/>
    </row>
    <row r="906" spans="1:149">
      <c r="A906"/>
      <c r="B906"/>
      <c r="C906"/>
      <c r="D906"/>
      <c r="E906"/>
      <c r="F906"/>
      <c r="G906"/>
      <c r="H906"/>
      <c r="I906"/>
      <c r="J906"/>
      <c r="K906"/>
      <c r="L906"/>
      <c r="M906"/>
      <c r="N906"/>
      <c r="O906"/>
      <c r="P906"/>
      <c r="Q906"/>
      <c r="R906"/>
      <c r="S906"/>
      <c r="T906"/>
      <c r="U906"/>
      <c r="V906"/>
      <c r="W906"/>
      <c r="X906"/>
      <c r="Y906"/>
      <c r="Z906"/>
      <c r="AA906"/>
      <c r="AB906"/>
      <c r="AC906"/>
      <c r="AD906"/>
      <c r="AE906"/>
      <c r="AF906"/>
      <c r="AG906"/>
      <c r="AH906"/>
      <c r="AI906"/>
      <c r="AJ906"/>
      <c r="AK906"/>
      <c r="AL906"/>
      <c r="AM906"/>
      <c r="AN906"/>
      <c r="AO906"/>
      <c r="AP906"/>
      <c r="AQ906"/>
      <c r="AR906"/>
      <c r="AS906"/>
      <c r="AT906"/>
      <c r="AU906"/>
      <c r="AV906"/>
      <c r="AW906"/>
      <c r="AX906"/>
      <c r="AY906"/>
      <c r="AZ906"/>
      <c r="BA906"/>
      <c r="BB906"/>
      <c r="BC906"/>
      <c r="BD906"/>
      <c r="BE906"/>
      <c r="BF906"/>
      <c r="BG906"/>
      <c r="BH906"/>
      <c r="BI906"/>
      <c r="BJ906"/>
      <c r="BK906"/>
      <c r="BL906"/>
      <c r="BM906"/>
      <c r="BN906"/>
      <c r="BO906"/>
      <c r="BP906"/>
      <c r="BQ906"/>
      <c r="BR906"/>
      <c r="BS906"/>
      <c r="BT906"/>
      <c r="BU906"/>
      <c r="BV906"/>
      <c r="BW906"/>
      <c r="BX906"/>
      <c r="BY906"/>
      <c r="BZ906"/>
      <c r="CA906"/>
      <c r="CB906"/>
      <c r="CC906"/>
      <c r="CD906"/>
      <c r="CE906"/>
      <c r="CF906"/>
      <c r="CG906"/>
      <c r="CH906"/>
      <c r="CI906"/>
      <c r="CJ906"/>
      <c r="CK906"/>
      <c r="CL906"/>
      <c r="CM906"/>
      <c r="CN906"/>
      <c r="CO906"/>
      <c r="CP906"/>
      <c r="CQ906"/>
      <c r="CR906"/>
      <c r="CS906"/>
      <c r="CT906"/>
      <c r="CU906"/>
      <c r="CV906"/>
      <c r="CW906"/>
      <c r="CX906"/>
      <c r="CY906"/>
      <c r="CZ906"/>
      <c r="DA906"/>
      <c r="DB906"/>
      <c r="DC906"/>
      <c r="DD906"/>
      <c r="DE906"/>
      <c r="DF906"/>
      <c r="DG906"/>
      <c r="DH906"/>
      <c r="DI906"/>
      <c r="DJ906"/>
      <c r="DK906"/>
      <c r="DL906"/>
      <c r="DM906"/>
      <c r="DN906"/>
      <c r="DO906"/>
      <c r="DP906"/>
      <c r="DQ906"/>
      <c r="DR906"/>
      <c r="DS906"/>
      <c r="DT906"/>
      <c r="DU906"/>
      <c r="DV906"/>
      <c r="DW906"/>
      <c r="DX906"/>
      <c r="DY906"/>
      <c r="DZ906"/>
      <c r="EA906"/>
      <c r="EB906"/>
      <c r="EC906"/>
      <c r="ED906"/>
      <c r="EE906"/>
      <c r="EF906"/>
      <c r="EG906"/>
      <c r="EH906"/>
      <c r="EI906"/>
      <c r="EJ906"/>
      <c r="EK906"/>
      <c r="EL906"/>
      <c r="EM906"/>
      <c r="EN906"/>
      <c r="EO906"/>
      <c r="EP906"/>
      <c r="EQ906"/>
      <c r="ER906"/>
      <c r="ES906"/>
    </row>
    <row r="907" spans="1:149">
      <c r="A907"/>
      <c r="B907"/>
      <c r="C907"/>
      <c r="D907"/>
      <c r="E907"/>
      <c r="F907"/>
      <c r="G907"/>
      <c r="H907"/>
      <c r="I907"/>
      <c r="J907"/>
      <c r="K907"/>
      <c r="L907"/>
      <c r="M907"/>
      <c r="N907"/>
      <c r="O907"/>
      <c r="P907"/>
      <c r="Q907"/>
      <c r="R907"/>
      <c r="S907"/>
      <c r="T907"/>
      <c r="U907"/>
      <c r="V907"/>
      <c r="W907"/>
      <c r="X907"/>
      <c r="Y907"/>
      <c r="Z907"/>
      <c r="AA907"/>
      <c r="AB907"/>
      <c r="AC907"/>
      <c r="AD907"/>
      <c r="AE907"/>
      <c r="AF907"/>
      <c r="AG907"/>
      <c r="AH907"/>
      <c r="AI907"/>
      <c r="AJ907"/>
      <c r="AK907"/>
      <c r="AL907"/>
      <c r="AM907"/>
      <c r="AN907"/>
      <c r="AO907"/>
      <c r="AP907"/>
      <c r="AQ907"/>
      <c r="AR907"/>
      <c r="AS907"/>
      <c r="AT907"/>
      <c r="AU907"/>
      <c r="AV907"/>
      <c r="AW907"/>
      <c r="AX907"/>
      <c r="AY907"/>
      <c r="AZ907"/>
      <c r="BA907"/>
      <c r="BB907"/>
      <c r="BC907"/>
      <c r="BD907"/>
      <c r="BE907"/>
      <c r="BF907"/>
      <c r="BG907"/>
      <c r="BH907"/>
      <c r="BI907"/>
      <c r="BJ907"/>
      <c r="BK907"/>
      <c r="BL907"/>
      <c r="BM907"/>
      <c r="BN907"/>
      <c r="BO907"/>
      <c r="BP907"/>
      <c r="BQ907"/>
      <c r="BR907"/>
      <c r="BS907"/>
      <c r="BT907"/>
      <c r="BU907"/>
      <c r="BV907"/>
      <c r="BW907"/>
      <c r="BX907"/>
      <c r="BY907"/>
      <c r="BZ907"/>
      <c r="CA907"/>
      <c r="CB907"/>
      <c r="CC907"/>
      <c r="CD907"/>
      <c r="CE907"/>
      <c r="CF907"/>
      <c r="CG907"/>
      <c r="CH907"/>
      <c r="CI907"/>
      <c r="CJ907"/>
      <c r="CK907"/>
      <c r="CL907"/>
      <c r="CM907"/>
      <c r="CN907"/>
      <c r="CO907"/>
      <c r="CP907"/>
      <c r="CQ907"/>
      <c r="CR907"/>
      <c r="CS907"/>
      <c r="CT907"/>
      <c r="CU907"/>
      <c r="CV907"/>
      <c r="CW907"/>
      <c r="CX907"/>
      <c r="CY907"/>
      <c r="CZ907"/>
      <c r="DA907"/>
      <c r="DB907"/>
      <c r="DC907"/>
      <c r="DD907"/>
      <c r="DE907"/>
      <c r="DF907"/>
      <c r="DG907"/>
      <c r="DH907"/>
      <c r="DI907"/>
      <c r="DJ907"/>
      <c r="DK907"/>
      <c r="DL907"/>
      <c r="DM907"/>
      <c r="DN907"/>
      <c r="DO907"/>
      <c r="DP907"/>
      <c r="DQ907"/>
      <c r="DR907"/>
      <c r="DS907"/>
      <c r="DT907"/>
      <c r="DU907"/>
      <c r="DV907"/>
      <c r="DW907"/>
      <c r="DX907"/>
      <c r="DY907"/>
      <c r="DZ907"/>
      <c r="EA907"/>
      <c r="EB907"/>
      <c r="EC907"/>
      <c r="ED907"/>
      <c r="EE907"/>
      <c r="EF907"/>
      <c r="EG907"/>
      <c r="EH907"/>
      <c r="EI907"/>
      <c r="EJ907"/>
      <c r="EK907"/>
      <c r="EL907"/>
      <c r="EM907"/>
      <c r="EN907"/>
      <c r="EO907"/>
      <c r="EP907"/>
      <c r="EQ907"/>
      <c r="ER907"/>
      <c r="ES907"/>
    </row>
    <row r="908" spans="1:149">
      <c r="A908"/>
      <c r="B908"/>
      <c r="C908"/>
      <c r="D908"/>
      <c r="E908"/>
      <c r="F908"/>
      <c r="G908"/>
      <c r="H908"/>
      <c r="I908"/>
      <c r="J908"/>
      <c r="K908"/>
      <c r="L908"/>
      <c r="M908"/>
      <c r="N908"/>
      <c r="O908"/>
      <c r="P908"/>
      <c r="Q908"/>
      <c r="R908"/>
      <c r="S908"/>
      <c r="T908"/>
      <c r="U908"/>
      <c r="V908"/>
      <c r="W908"/>
      <c r="X908"/>
      <c r="Y908"/>
      <c r="Z908"/>
      <c r="AA908"/>
      <c r="AB908"/>
      <c r="AC908"/>
      <c r="AD908"/>
      <c r="AE908"/>
      <c r="AF908"/>
      <c r="AG908"/>
      <c r="AH908"/>
      <c r="AI908"/>
      <c r="AJ908"/>
      <c r="AK908"/>
      <c r="AL908"/>
      <c r="AM908"/>
      <c r="AN908"/>
      <c r="AO908"/>
      <c r="AP908"/>
      <c r="AQ908"/>
      <c r="AR908"/>
      <c r="AS908"/>
      <c r="AT908"/>
      <c r="AU908"/>
      <c r="AV908"/>
      <c r="AW908"/>
      <c r="AX908"/>
      <c r="AY908"/>
      <c r="AZ908"/>
      <c r="BA908"/>
      <c r="BB908"/>
      <c r="BC908"/>
      <c r="BD908"/>
      <c r="BE908"/>
      <c r="BF908"/>
      <c r="BG908"/>
      <c r="BH908"/>
      <c r="BI908"/>
      <c r="BJ908"/>
      <c r="BK908"/>
      <c r="BL908"/>
      <c r="BM908"/>
      <c r="BN908"/>
      <c r="BO908"/>
      <c r="BP908"/>
      <c r="BQ908"/>
      <c r="BR908"/>
      <c r="BS908"/>
      <c r="BT908"/>
      <c r="BU908"/>
      <c r="BV908"/>
      <c r="BW908"/>
      <c r="BX908"/>
      <c r="BY908"/>
      <c r="BZ908"/>
      <c r="CA908"/>
      <c r="CB908"/>
      <c r="CC908"/>
      <c r="CD908"/>
      <c r="CE908"/>
      <c r="CF908"/>
      <c r="CG908"/>
      <c r="CH908"/>
      <c r="CI908"/>
      <c r="CJ908"/>
      <c r="CK908"/>
      <c r="CL908"/>
      <c r="CM908"/>
      <c r="CN908"/>
      <c r="CO908"/>
      <c r="CP908"/>
      <c r="CQ908"/>
      <c r="CR908"/>
      <c r="CS908"/>
      <c r="CT908"/>
      <c r="CU908"/>
      <c r="CV908"/>
      <c r="CW908"/>
      <c r="CX908"/>
      <c r="CY908"/>
      <c r="CZ908"/>
      <c r="DA908"/>
      <c r="DB908"/>
      <c r="DC908"/>
      <c r="DD908"/>
      <c r="DE908"/>
      <c r="DF908"/>
      <c r="DG908"/>
      <c r="DH908"/>
      <c r="DI908"/>
      <c r="DJ908"/>
      <c r="DK908"/>
      <c r="DL908"/>
      <c r="DM908"/>
      <c r="DN908"/>
      <c r="DO908"/>
      <c r="DP908"/>
      <c r="DQ908"/>
      <c r="DR908"/>
      <c r="DS908"/>
      <c r="DT908"/>
      <c r="DU908"/>
      <c r="DV908"/>
      <c r="DW908"/>
      <c r="DX908"/>
      <c r="DY908"/>
      <c r="DZ908"/>
      <c r="EA908"/>
      <c r="EB908"/>
      <c r="EC908"/>
      <c r="ED908"/>
      <c r="EE908"/>
      <c r="EF908"/>
      <c r="EG908"/>
      <c r="EH908"/>
      <c r="EI908"/>
      <c r="EJ908"/>
      <c r="EK908"/>
      <c r="EL908"/>
      <c r="EM908"/>
      <c r="EN908"/>
      <c r="EO908"/>
      <c r="EP908"/>
      <c r="EQ908"/>
      <c r="ER908"/>
      <c r="ES908"/>
    </row>
    <row r="909" spans="1:149">
      <c r="A909"/>
      <c r="B909"/>
      <c r="C909"/>
      <c r="D909"/>
      <c r="E909"/>
      <c r="F909"/>
      <c r="G909"/>
      <c r="H909"/>
      <c r="I909"/>
      <c r="J909"/>
      <c r="K909"/>
      <c r="L909"/>
      <c r="M909"/>
      <c r="N909"/>
      <c r="O909"/>
      <c r="P909"/>
      <c r="Q909"/>
      <c r="R909"/>
      <c r="S909"/>
      <c r="T909"/>
      <c r="U909"/>
      <c r="V909"/>
      <c r="W909"/>
      <c r="X909"/>
      <c r="Y909"/>
      <c r="Z909"/>
      <c r="AA909"/>
      <c r="AB909"/>
      <c r="AC909"/>
      <c r="AD909"/>
      <c r="AE909"/>
      <c r="AF909"/>
      <c r="AG909"/>
      <c r="AH909"/>
      <c r="AI909"/>
      <c r="AJ909"/>
      <c r="AK909"/>
      <c r="AL909"/>
      <c r="AM909"/>
      <c r="AN909"/>
      <c r="AO909"/>
      <c r="AP909"/>
      <c r="AQ909"/>
      <c r="AR909"/>
      <c r="AS909"/>
      <c r="AT909"/>
      <c r="AU909"/>
      <c r="AV909"/>
      <c r="AW909"/>
      <c r="AX909"/>
      <c r="AY909"/>
      <c r="AZ909"/>
      <c r="BA909"/>
      <c r="BB909"/>
      <c r="BC909"/>
      <c r="BD909"/>
      <c r="BE909"/>
      <c r="BF909"/>
      <c r="BG909"/>
      <c r="BH909"/>
      <c r="BI909"/>
      <c r="BJ909"/>
      <c r="BK909"/>
      <c r="BL909"/>
      <c r="BM909"/>
      <c r="BN909"/>
      <c r="BO909"/>
      <c r="BP909"/>
      <c r="BQ909"/>
      <c r="BR909"/>
      <c r="BS909"/>
      <c r="BT909"/>
      <c r="BU909"/>
      <c r="BV909"/>
      <c r="BW909"/>
      <c r="BX909"/>
      <c r="BY909"/>
      <c r="BZ909"/>
      <c r="CA909"/>
      <c r="CB909"/>
      <c r="CC909"/>
      <c r="CD909"/>
      <c r="CE909"/>
      <c r="CF909"/>
      <c r="CG909"/>
      <c r="CH909"/>
      <c r="CI909"/>
      <c r="CJ909"/>
      <c r="CK909"/>
      <c r="CL909"/>
      <c r="CM909"/>
      <c r="CN909"/>
      <c r="CO909"/>
      <c r="CP909"/>
      <c r="CQ909"/>
      <c r="CR909"/>
      <c r="CS909"/>
      <c r="CT909"/>
      <c r="CU909"/>
      <c r="CV909"/>
      <c r="CW909"/>
      <c r="CX909"/>
      <c r="CY909"/>
      <c r="CZ909"/>
      <c r="DA909"/>
      <c r="DB909"/>
      <c r="DC909"/>
      <c r="DD909"/>
      <c r="DE909"/>
      <c r="DF909"/>
      <c r="DG909"/>
      <c r="DH909"/>
      <c r="DI909"/>
      <c r="DJ909"/>
      <c r="DK909"/>
      <c r="DL909"/>
      <c r="DM909"/>
      <c r="DN909"/>
      <c r="DO909"/>
      <c r="DP909"/>
      <c r="DQ909"/>
      <c r="DR909"/>
      <c r="DS909"/>
      <c r="DT909"/>
      <c r="DU909"/>
      <c r="DV909"/>
      <c r="DW909"/>
      <c r="DX909"/>
      <c r="DY909"/>
      <c r="DZ909"/>
      <c r="EA909"/>
      <c r="EB909"/>
      <c r="EC909"/>
      <c r="ED909"/>
      <c r="EE909"/>
      <c r="EF909"/>
      <c r="EG909"/>
      <c r="EH909"/>
      <c r="EI909"/>
      <c r="EJ909"/>
      <c r="EK909"/>
      <c r="EL909"/>
      <c r="EM909"/>
      <c r="EN909"/>
      <c r="EO909"/>
      <c r="EP909"/>
      <c r="EQ909"/>
      <c r="ER909"/>
      <c r="ES909"/>
    </row>
    <row r="910" spans="1:149">
      <c r="A910"/>
      <c r="B910"/>
      <c r="C910"/>
      <c r="D910"/>
      <c r="E910"/>
      <c r="F910"/>
      <c r="G910"/>
      <c r="H910"/>
      <c r="I910"/>
      <c r="J910"/>
      <c r="K910"/>
      <c r="L910"/>
      <c r="M910"/>
      <c r="N910"/>
      <c r="O910"/>
      <c r="P910"/>
      <c r="Q910"/>
      <c r="R910"/>
      <c r="S910"/>
      <c r="T910"/>
      <c r="U910"/>
      <c r="V910"/>
      <c r="W910"/>
      <c r="X910"/>
      <c r="Y910"/>
      <c r="Z910"/>
      <c r="AA910"/>
      <c r="AB910"/>
      <c r="AC910"/>
      <c r="AD910"/>
      <c r="AE910"/>
      <c r="AF910"/>
      <c r="AG910"/>
      <c r="AH910"/>
      <c r="AI910"/>
      <c r="AJ910"/>
      <c r="AK910"/>
      <c r="AL910"/>
      <c r="AM910"/>
      <c r="AN910"/>
      <c r="AO910"/>
      <c r="AP910"/>
      <c r="AQ910"/>
      <c r="AR910"/>
      <c r="AS910"/>
      <c r="AT910"/>
      <c r="AU910"/>
      <c r="AV910"/>
      <c r="AW910"/>
      <c r="AX910"/>
      <c r="AY910"/>
      <c r="AZ910"/>
      <c r="BA910"/>
      <c r="BB910"/>
      <c r="BC910"/>
      <c r="BD910"/>
      <c r="BE910"/>
      <c r="BF910"/>
      <c r="BG910"/>
      <c r="BH910"/>
      <c r="BI910"/>
      <c r="BJ910"/>
      <c r="BK910"/>
      <c r="BL910"/>
      <c r="BM910"/>
      <c r="BN910"/>
      <c r="BO910"/>
      <c r="BP910"/>
      <c r="BQ910"/>
      <c r="BR910"/>
      <c r="BS910"/>
      <c r="BT910"/>
      <c r="BU910"/>
      <c r="BV910"/>
      <c r="BW910"/>
      <c r="BX910"/>
      <c r="BY910"/>
      <c r="BZ910"/>
      <c r="CA910"/>
      <c r="CB910"/>
      <c r="CC910"/>
      <c r="CD910"/>
      <c r="CE910"/>
      <c r="CF910"/>
      <c r="CG910"/>
      <c r="CH910"/>
      <c r="CI910"/>
      <c r="CJ910"/>
      <c r="CK910"/>
      <c r="CL910"/>
      <c r="CM910"/>
      <c r="CN910"/>
      <c r="CO910"/>
      <c r="CP910"/>
      <c r="CQ910"/>
      <c r="CR910"/>
      <c r="CS910"/>
      <c r="CT910"/>
      <c r="CU910"/>
      <c r="CV910"/>
      <c r="CW910"/>
      <c r="CX910"/>
      <c r="CY910"/>
      <c r="CZ910"/>
      <c r="DA910"/>
      <c r="DB910"/>
      <c r="DC910"/>
      <c r="DD910"/>
      <c r="DE910"/>
      <c r="DF910"/>
      <c r="DG910"/>
      <c r="DH910"/>
      <c r="DI910"/>
      <c r="DJ910"/>
      <c r="DK910"/>
      <c r="DL910"/>
      <c r="DM910"/>
      <c r="DN910"/>
      <c r="DO910"/>
      <c r="DP910"/>
      <c r="DQ910"/>
      <c r="DR910"/>
      <c r="DS910"/>
      <c r="DT910"/>
      <c r="DU910"/>
      <c r="DV910"/>
      <c r="DW910"/>
      <c r="DX910"/>
      <c r="DY910"/>
      <c r="DZ910"/>
      <c r="EA910"/>
      <c r="EB910"/>
      <c r="EC910"/>
      <c r="ED910"/>
      <c r="EE910"/>
      <c r="EF910"/>
      <c r="EG910"/>
      <c r="EH910"/>
      <c r="EI910"/>
      <c r="EJ910"/>
      <c r="EK910"/>
      <c r="EL910"/>
      <c r="EM910"/>
      <c r="EN910"/>
      <c r="EO910"/>
      <c r="EP910"/>
      <c r="EQ910"/>
      <c r="ER910"/>
      <c r="ES910"/>
    </row>
    <row r="911" spans="1:149">
      <c r="A911"/>
      <c r="B911"/>
      <c r="C911"/>
      <c r="D911"/>
      <c r="E911"/>
      <c r="F911"/>
      <c r="G911"/>
      <c r="H911"/>
      <c r="I911"/>
      <c r="J911"/>
      <c r="K911"/>
      <c r="L911"/>
      <c r="M911"/>
      <c r="N911"/>
      <c r="O911"/>
      <c r="P911"/>
      <c r="Q911"/>
      <c r="R911"/>
      <c r="S911"/>
      <c r="T911"/>
      <c r="U911"/>
      <c r="V911"/>
      <c r="W911"/>
      <c r="X911"/>
      <c r="Y911"/>
      <c r="Z911"/>
      <c r="AA911"/>
      <c r="AB911"/>
      <c r="AC911"/>
      <c r="AD911"/>
      <c r="AE911"/>
      <c r="AF911"/>
      <c r="AG911"/>
      <c r="AH911"/>
      <c r="AI911"/>
      <c r="AJ911"/>
      <c r="AK911"/>
      <c r="AL911"/>
      <c r="AM911"/>
      <c r="AN911"/>
      <c r="AO911"/>
      <c r="AP911"/>
      <c r="AQ911"/>
      <c r="AR911"/>
      <c r="AS911"/>
      <c r="AT911"/>
      <c r="AU911"/>
      <c r="AV911"/>
      <c r="AW911"/>
      <c r="AX911"/>
      <c r="AY911"/>
      <c r="AZ911"/>
      <c r="BA911"/>
      <c r="BB911"/>
      <c r="BC911"/>
      <c r="BD911"/>
      <c r="BE911"/>
      <c r="BF911"/>
      <c r="BG911"/>
      <c r="BH911"/>
      <c r="BI911"/>
      <c r="BJ911"/>
      <c r="BK911"/>
      <c r="BL911"/>
      <c r="BM911"/>
      <c r="BN911"/>
      <c r="BO911"/>
      <c r="BP911"/>
      <c r="BQ911"/>
      <c r="BR911"/>
      <c r="BS911"/>
      <c r="BT911"/>
      <c r="BU911"/>
      <c r="BV911"/>
      <c r="BW911"/>
      <c r="BX911"/>
      <c r="BY911"/>
      <c r="BZ911"/>
      <c r="CA911"/>
      <c r="CB911"/>
      <c r="CC911"/>
      <c r="CD911"/>
      <c r="CE911"/>
      <c r="CF911"/>
      <c r="CG911"/>
      <c r="CH911"/>
      <c r="CI911"/>
      <c r="CJ911"/>
      <c r="CK911"/>
      <c r="CL911"/>
      <c r="CM911"/>
      <c r="CN911"/>
      <c r="CO911"/>
      <c r="CP911"/>
      <c r="CQ911"/>
      <c r="CR911"/>
      <c r="CS911"/>
      <c r="CT911"/>
      <c r="CU911"/>
      <c r="CV911"/>
      <c r="CW911"/>
      <c r="CX911"/>
      <c r="CY911"/>
      <c r="CZ911"/>
      <c r="DA911"/>
      <c r="DB911"/>
      <c r="DC911"/>
      <c r="DD911"/>
      <c r="DE911"/>
      <c r="DF911"/>
      <c r="DG911"/>
      <c r="DH911"/>
      <c r="DI911"/>
      <c r="DJ911"/>
      <c r="DK911"/>
      <c r="DL911"/>
      <c r="DM911"/>
      <c r="DN911"/>
      <c r="DO911"/>
      <c r="DP911"/>
      <c r="DQ911"/>
      <c r="DR911"/>
      <c r="DS911"/>
      <c r="DT911"/>
      <c r="DU911"/>
      <c r="DV911"/>
      <c r="DW911"/>
      <c r="DX911"/>
      <c r="DY911"/>
      <c r="DZ911"/>
      <c r="EA911"/>
      <c r="EB911"/>
      <c r="EC911"/>
      <c r="ED911"/>
      <c r="EE911"/>
      <c r="EF911"/>
      <c r="EG911"/>
      <c r="EH911"/>
      <c r="EI911"/>
      <c r="EJ911"/>
      <c r="EK911"/>
      <c r="EL911"/>
      <c r="EM911"/>
      <c r="EN911"/>
      <c r="EO911"/>
      <c r="EP911"/>
      <c r="EQ911"/>
      <c r="ER911"/>
      <c r="ES911"/>
    </row>
    <row r="912" spans="1:149">
      <c r="A912"/>
      <c r="B912"/>
      <c r="C912"/>
      <c r="D912"/>
      <c r="E912"/>
      <c r="F912"/>
      <c r="G912"/>
      <c r="H912"/>
      <c r="I912"/>
      <c r="J912"/>
      <c r="K912"/>
      <c r="L912"/>
      <c r="M912"/>
      <c r="N912"/>
      <c r="O912"/>
      <c r="P912"/>
      <c r="Q912"/>
      <c r="R912"/>
      <c r="S912"/>
      <c r="T912"/>
      <c r="U912"/>
      <c r="V912"/>
      <c r="W912"/>
      <c r="X912"/>
      <c r="Y912"/>
      <c r="Z912"/>
      <c r="AA912"/>
      <c r="AB912"/>
      <c r="AC912"/>
      <c r="AD912"/>
      <c r="AE912"/>
      <c r="AF912"/>
      <c r="AG912"/>
      <c r="AH912"/>
      <c r="AI912"/>
      <c r="AJ912"/>
      <c r="AK912"/>
      <c r="AL912"/>
      <c r="AM912"/>
      <c r="AN912"/>
      <c r="AO912"/>
      <c r="AP912"/>
      <c r="AQ912"/>
      <c r="AR912"/>
      <c r="AS912"/>
      <c r="AT912"/>
      <c r="AU912"/>
      <c r="AV912"/>
      <c r="AW912"/>
      <c r="AX912"/>
      <c r="AY912"/>
      <c r="AZ912"/>
      <c r="BA912"/>
      <c r="BB912"/>
      <c r="BC912"/>
      <c r="BD912"/>
      <c r="BE912"/>
      <c r="BF912"/>
      <c r="BG912"/>
      <c r="BH912"/>
      <c r="BI912"/>
      <c r="BJ912"/>
      <c r="BK912"/>
      <c r="BL912"/>
      <c r="BM912"/>
      <c r="BN912"/>
      <c r="BO912"/>
      <c r="BP912"/>
      <c r="BQ912"/>
      <c r="BR912"/>
      <c r="BS912"/>
      <c r="BT912"/>
      <c r="BU912"/>
      <c r="BV912"/>
      <c r="BW912"/>
      <c r="BX912"/>
      <c r="BY912"/>
      <c r="BZ912"/>
      <c r="CA912"/>
      <c r="CB912"/>
      <c r="CC912"/>
      <c r="CD912"/>
      <c r="CE912"/>
      <c r="CF912"/>
      <c r="CG912"/>
      <c r="CH912"/>
      <c r="CI912"/>
      <c r="CJ912"/>
      <c r="CK912"/>
      <c r="CL912"/>
      <c r="CM912"/>
      <c r="CN912"/>
      <c r="CO912"/>
      <c r="CP912"/>
      <c r="CQ912"/>
      <c r="CR912"/>
      <c r="CS912"/>
      <c r="CT912"/>
      <c r="CU912"/>
      <c r="CV912"/>
      <c r="CW912"/>
      <c r="CX912"/>
      <c r="CY912"/>
      <c r="CZ912"/>
      <c r="DA912"/>
      <c r="DB912"/>
      <c r="DC912"/>
      <c r="DD912"/>
      <c r="DE912"/>
      <c r="DF912"/>
      <c r="DG912"/>
      <c r="DH912"/>
      <c r="DI912"/>
      <c r="DJ912"/>
      <c r="DK912"/>
      <c r="DL912"/>
      <c r="DM912"/>
      <c r="DN912"/>
      <c r="DO912"/>
      <c r="DP912"/>
      <c r="DQ912"/>
      <c r="DR912"/>
      <c r="DS912"/>
      <c r="DT912"/>
      <c r="DU912"/>
      <c r="DV912"/>
      <c r="DW912"/>
      <c r="DX912"/>
      <c r="DY912"/>
      <c r="DZ912"/>
      <c r="EA912"/>
      <c r="EB912"/>
      <c r="EC912"/>
      <c r="ED912"/>
      <c r="EE912"/>
      <c r="EF912"/>
      <c r="EG912"/>
      <c r="EH912"/>
      <c r="EI912"/>
      <c r="EJ912"/>
      <c r="EK912"/>
      <c r="EL912"/>
      <c r="EM912"/>
      <c r="EN912"/>
      <c r="EO912"/>
      <c r="EP912"/>
      <c r="EQ912"/>
      <c r="ER912"/>
      <c r="ES912"/>
    </row>
    <row r="913" spans="1:149">
      <c r="A913"/>
      <c r="B913"/>
      <c r="C913"/>
      <c r="D913"/>
      <c r="E913"/>
      <c r="F913"/>
      <c r="G913"/>
      <c r="H913"/>
      <c r="I913"/>
      <c r="J913"/>
      <c r="K913"/>
      <c r="L913"/>
      <c r="M913"/>
      <c r="N913"/>
      <c r="O913"/>
      <c r="P913"/>
      <c r="Q913"/>
      <c r="R913"/>
      <c r="S913"/>
      <c r="T913"/>
      <c r="U913"/>
      <c r="V913"/>
      <c r="W913"/>
      <c r="X913"/>
      <c r="Y913"/>
      <c r="Z913"/>
      <c r="AA913"/>
      <c r="AB913"/>
      <c r="AC913"/>
      <c r="AD913"/>
      <c r="AE913"/>
      <c r="AF913"/>
      <c r="AG913"/>
      <c r="AH913"/>
      <c r="AI913"/>
      <c r="AJ913"/>
      <c r="AK913"/>
      <c r="AL913"/>
      <c r="AM913"/>
      <c r="AN913"/>
      <c r="AO913"/>
      <c r="AP913"/>
      <c r="AQ913"/>
      <c r="AR913"/>
      <c r="AS913"/>
      <c r="AT913"/>
      <c r="AU913"/>
      <c r="AV913"/>
      <c r="AW913"/>
      <c r="AX913"/>
      <c r="AY913"/>
      <c r="AZ913"/>
      <c r="BA913"/>
      <c r="BB913"/>
      <c r="BC913"/>
      <c r="BD913"/>
      <c r="BE913"/>
      <c r="BF913"/>
      <c r="BG913"/>
      <c r="BH913"/>
      <c r="BI913"/>
      <c r="BJ913"/>
      <c r="BK913"/>
      <c r="BL913"/>
      <c r="BM913"/>
      <c r="BN913"/>
      <c r="BO913"/>
      <c r="BP913"/>
      <c r="BQ913"/>
      <c r="BR913"/>
      <c r="BS913"/>
      <c r="BT913"/>
      <c r="BU913"/>
      <c r="BV913"/>
      <c r="BW913"/>
      <c r="BX913"/>
      <c r="BY913"/>
      <c r="BZ913"/>
      <c r="CA913"/>
      <c r="CB913"/>
      <c r="CC913"/>
      <c r="CD913"/>
      <c r="CE913"/>
      <c r="CF913"/>
      <c r="CG913"/>
      <c r="CH913"/>
      <c r="CI913"/>
      <c r="CJ913"/>
      <c r="CK913"/>
      <c r="CL913"/>
      <c r="CM913"/>
      <c r="CN913"/>
      <c r="CO913"/>
      <c r="CP913"/>
      <c r="CQ913"/>
      <c r="CR913"/>
      <c r="CS913"/>
      <c r="CT913"/>
      <c r="CU913"/>
      <c r="CV913"/>
      <c r="CW913"/>
      <c r="CX913"/>
      <c r="CY913"/>
      <c r="CZ913"/>
      <c r="DA913"/>
      <c r="DB913"/>
      <c r="DC913"/>
      <c r="DD913"/>
      <c r="DE913"/>
      <c r="DF913"/>
      <c r="DG913"/>
      <c r="DH913"/>
      <c r="DI913"/>
      <c r="DJ913"/>
      <c r="DK913"/>
      <c r="DL913"/>
      <c r="DM913"/>
      <c r="DN913"/>
      <c r="DO913"/>
      <c r="DP913"/>
      <c r="DQ913"/>
      <c r="DR913"/>
      <c r="DS913"/>
      <c r="DT913"/>
      <c r="DU913"/>
      <c r="DV913"/>
      <c r="DW913"/>
      <c r="DX913"/>
      <c r="DY913"/>
      <c r="DZ913"/>
      <c r="EA913"/>
      <c r="EB913"/>
      <c r="EC913"/>
      <c r="ED913"/>
      <c r="EE913"/>
      <c r="EF913"/>
      <c r="EG913"/>
      <c r="EH913"/>
      <c r="EI913"/>
      <c r="EJ913"/>
      <c r="EK913"/>
      <c r="EL913"/>
      <c r="EM913"/>
      <c r="EN913"/>
      <c r="EO913"/>
      <c r="EP913"/>
      <c r="EQ913"/>
      <c r="ER913"/>
      <c r="ES913"/>
    </row>
    <row r="914" spans="1:149">
      <c r="A914"/>
      <c r="B914"/>
      <c r="C914"/>
      <c r="D914"/>
      <c r="E914"/>
      <c r="F914"/>
      <c r="G914"/>
      <c r="H914"/>
      <c r="I914"/>
      <c r="J914"/>
      <c r="K914"/>
      <c r="L914"/>
      <c r="M914"/>
      <c r="N914"/>
      <c r="O914"/>
      <c r="P914"/>
      <c r="Q914"/>
      <c r="R914"/>
      <c r="S914"/>
      <c r="T914"/>
      <c r="U914"/>
      <c r="V914"/>
      <c r="W914"/>
      <c r="X914"/>
      <c r="Y914"/>
      <c r="Z914"/>
      <c r="AA914"/>
      <c r="AB914"/>
      <c r="AC914"/>
      <c r="AD914"/>
      <c r="AE914"/>
      <c r="AF914"/>
      <c r="AG914"/>
      <c r="AH914"/>
      <c r="AI914"/>
      <c r="AJ914"/>
      <c r="AK914"/>
      <c r="AL914"/>
      <c r="AM914"/>
      <c r="AN914"/>
      <c r="AO914"/>
      <c r="AP914"/>
      <c r="AQ914"/>
      <c r="AR914"/>
      <c r="AS914"/>
      <c r="AT914"/>
      <c r="AU914"/>
      <c r="AV914"/>
      <c r="AW914"/>
      <c r="AX914"/>
      <c r="AY914"/>
      <c r="AZ914"/>
      <c r="BA914"/>
      <c r="BB914"/>
      <c r="BC914"/>
      <c r="BD914"/>
      <c r="BE914"/>
      <c r="BF914"/>
      <c r="BG914"/>
      <c r="BH914"/>
      <c r="BI914"/>
      <c r="BJ914"/>
      <c r="BK914"/>
      <c r="BL914"/>
      <c r="BM914"/>
      <c r="BN914"/>
      <c r="BO914"/>
      <c r="BP914"/>
      <c r="BQ914"/>
      <c r="BR914"/>
      <c r="BS914"/>
      <c r="BT914"/>
      <c r="BU914"/>
      <c r="BV914"/>
      <c r="BW914"/>
      <c r="BX914"/>
      <c r="BY914"/>
      <c r="BZ914"/>
      <c r="CA914"/>
      <c r="CB914"/>
      <c r="CC914"/>
      <c r="CD914"/>
      <c r="CE914"/>
      <c r="CF914"/>
      <c r="CG914"/>
      <c r="CH914"/>
      <c r="CI914"/>
      <c r="CJ914"/>
      <c r="CK914"/>
      <c r="CL914"/>
      <c r="CM914"/>
      <c r="CN914"/>
      <c r="CO914"/>
      <c r="CP914"/>
      <c r="CQ914"/>
      <c r="CR914"/>
      <c r="CS914"/>
      <c r="CT914"/>
      <c r="CU914"/>
      <c r="CV914"/>
      <c r="CW914"/>
      <c r="CX914"/>
      <c r="CY914"/>
      <c r="CZ914"/>
      <c r="DA914"/>
      <c r="DB914"/>
      <c r="DC914"/>
      <c r="DD914"/>
      <c r="DE914"/>
      <c r="DF914"/>
      <c r="DG914"/>
      <c r="DH914"/>
      <c r="DI914"/>
      <c r="DJ914"/>
      <c r="DK914"/>
      <c r="DL914"/>
      <c r="DM914"/>
      <c r="DN914"/>
      <c r="DO914"/>
      <c r="DP914"/>
      <c r="DQ914"/>
      <c r="DR914"/>
      <c r="DS914"/>
      <c r="DT914"/>
      <c r="DU914"/>
      <c r="DV914"/>
      <c r="DW914"/>
      <c r="DX914"/>
      <c r="DY914"/>
      <c r="DZ914"/>
      <c r="EA914"/>
      <c r="EB914"/>
      <c r="EC914"/>
      <c r="ED914"/>
      <c r="EE914"/>
      <c r="EF914"/>
      <c r="EG914"/>
      <c r="EH914"/>
      <c r="EI914"/>
      <c r="EJ914"/>
      <c r="EK914"/>
      <c r="EL914"/>
      <c r="EM914"/>
      <c r="EN914"/>
      <c r="EO914"/>
      <c r="EP914"/>
      <c r="EQ914"/>
      <c r="ER914"/>
      <c r="ES914"/>
    </row>
    <row r="915" spans="1:149">
      <c r="A915"/>
      <c r="B915"/>
      <c r="C915"/>
      <c r="D915"/>
      <c r="E915"/>
      <c r="F915"/>
      <c r="G915"/>
      <c r="H915"/>
      <c r="I915"/>
      <c r="J915"/>
      <c r="K915"/>
      <c r="L915"/>
      <c r="M915"/>
      <c r="N915"/>
      <c r="O915"/>
      <c r="P915"/>
      <c r="Q915"/>
      <c r="R915"/>
      <c r="S915"/>
      <c r="T915"/>
      <c r="U915"/>
      <c r="V915"/>
      <c r="W915"/>
      <c r="X915"/>
      <c r="Y915"/>
      <c r="Z915"/>
      <c r="AA915"/>
      <c r="AB915"/>
      <c r="AC915"/>
      <c r="AD915"/>
      <c r="AE915"/>
      <c r="AF915"/>
      <c r="AG915"/>
      <c r="AH915"/>
      <c r="AI915"/>
      <c r="AJ915"/>
      <c r="AK915"/>
      <c r="AL915"/>
      <c r="AM915"/>
      <c r="AN915"/>
      <c r="AO915"/>
      <c r="AP915"/>
      <c r="AQ915"/>
      <c r="AR915"/>
      <c r="AS915"/>
      <c r="AT915"/>
      <c r="AU915"/>
      <c r="AV915"/>
      <c r="AW915"/>
      <c r="AX915"/>
      <c r="AY915"/>
      <c r="AZ915"/>
      <c r="BA915"/>
      <c r="BB915"/>
      <c r="BC915"/>
      <c r="BD915"/>
      <c r="BE915"/>
      <c r="BF915"/>
      <c r="BG915"/>
      <c r="BH915"/>
      <c r="BI915"/>
      <c r="BJ915"/>
      <c r="BK915"/>
      <c r="BL915"/>
      <c r="BM915"/>
      <c r="BN915"/>
      <c r="BO915"/>
      <c r="BP915"/>
      <c r="BQ915"/>
      <c r="BR915"/>
      <c r="BS915"/>
      <c r="BT915"/>
      <c r="BU915"/>
      <c r="BV915"/>
      <c r="BW915"/>
      <c r="BX915"/>
      <c r="BY915"/>
      <c r="BZ915"/>
      <c r="CA915"/>
      <c r="CB915"/>
      <c r="CC915"/>
      <c r="CD915"/>
      <c r="CE915"/>
      <c r="CF915"/>
      <c r="CG915"/>
      <c r="CH915"/>
      <c r="CI915"/>
      <c r="CJ915"/>
      <c r="CK915"/>
      <c r="CL915"/>
      <c r="CM915"/>
      <c r="CN915"/>
      <c r="CO915"/>
      <c r="CP915"/>
      <c r="CQ915"/>
      <c r="CR915"/>
      <c r="CS915"/>
      <c r="CT915"/>
      <c r="CU915"/>
      <c r="CV915"/>
      <c r="CW915"/>
      <c r="CX915"/>
      <c r="CY915"/>
      <c r="CZ915"/>
      <c r="DA915"/>
      <c r="DB915"/>
      <c r="DC915"/>
      <c r="DD915"/>
      <c r="DE915"/>
      <c r="DF915"/>
      <c r="DG915"/>
      <c r="DH915"/>
      <c r="DI915"/>
      <c r="DJ915"/>
      <c r="DK915"/>
      <c r="DL915"/>
      <c r="DM915"/>
      <c r="DN915"/>
      <c r="DO915"/>
      <c r="DP915"/>
      <c r="DQ915"/>
      <c r="DR915"/>
      <c r="DS915"/>
      <c r="DT915"/>
      <c r="DU915"/>
      <c r="DV915"/>
      <c r="DW915"/>
      <c r="DX915"/>
      <c r="DY915"/>
      <c r="DZ915"/>
      <c r="EA915"/>
      <c r="EB915"/>
      <c r="EC915"/>
      <c r="ED915"/>
      <c r="EE915"/>
      <c r="EF915"/>
      <c r="EG915"/>
      <c r="EH915"/>
      <c r="EI915"/>
      <c r="EJ915"/>
      <c r="EK915"/>
      <c r="EL915"/>
      <c r="EM915"/>
      <c r="EN915"/>
      <c r="EO915"/>
      <c r="EP915"/>
      <c r="EQ915"/>
      <c r="ER915"/>
      <c r="ES915"/>
    </row>
    <row r="916" spans="1:149">
      <c r="A916"/>
      <c r="B916"/>
      <c r="C916"/>
      <c r="D916"/>
      <c r="E916"/>
      <c r="F916"/>
      <c r="G916"/>
      <c r="H916"/>
      <c r="I916"/>
      <c r="J916"/>
      <c r="K916"/>
      <c r="L916"/>
      <c r="M916"/>
      <c r="N916"/>
      <c r="O916"/>
      <c r="P916"/>
      <c r="Q916"/>
      <c r="R916"/>
      <c r="S916"/>
      <c r="T916"/>
      <c r="U916"/>
      <c r="V916"/>
      <c r="W916"/>
      <c r="X916"/>
      <c r="Y916"/>
      <c r="Z916"/>
      <c r="AA916"/>
      <c r="AB916"/>
      <c r="AC916"/>
      <c r="AD916"/>
      <c r="AE916"/>
      <c r="AF916"/>
      <c r="AG916"/>
      <c r="AH916"/>
      <c r="AI916"/>
      <c r="AJ916"/>
      <c r="AK916"/>
      <c r="AL916"/>
      <c r="AM916"/>
      <c r="AN916"/>
      <c r="AO916"/>
      <c r="AP916"/>
      <c r="AQ916"/>
      <c r="AR916"/>
      <c r="AS916"/>
      <c r="AT916"/>
      <c r="AU916"/>
      <c r="AV916"/>
      <c r="AW916"/>
      <c r="AX916"/>
      <c r="AY916"/>
      <c r="AZ916"/>
      <c r="BA916"/>
      <c r="BB916"/>
      <c r="BC916"/>
      <c r="BD916"/>
      <c r="BE916"/>
      <c r="BF916"/>
      <c r="BG916"/>
      <c r="BH916"/>
      <c r="BI916"/>
      <c r="BJ916"/>
      <c r="BK916"/>
      <c r="BL916"/>
      <c r="BM916"/>
      <c r="BN916"/>
      <c r="BO916"/>
      <c r="BP916"/>
      <c r="BQ916"/>
      <c r="BR916"/>
      <c r="BS916"/>
      <c r="BT916"/>
      <c r="BU916"/>
      <c r="BV916"/>
      <c r="BW916"/>
      <c r="BX916"/>
      <c r="BY916"/>
      <c r="BZ916"/>
      <c r="CA916"/>
      <c r="CB916"/>
      <c r="CC916"/>
      <c r="CD916"/>
      <c r="CE916"/>
      <c r="CF916"/>
      <c r="CG916"/>
      <c r="CH916"/>
      <c r="CI916"/>
      <c r="CJ916"/>
      <c r="CK916"/>
      <c r="CL916"/>
      <c r="CM916"/>
      <c r="CN916"/>
      <c r="CO916"/>
      <c r="CP916"/>
      <c r="CQ916"/>
      <c r="CR916"/>
      <c r="CS916"/>
      <c r="CT916"/>
      <c r="CU916"/>
      <c r="CV916"/>
      <c r="CW916"/>
      <c r="CX916"/>
      <c r="CY916"/>
      <c r="CZ916"/>
      <c r="DA916"/>
      <c r="DB916"/>
      <c r="DC916"/>
      <c r="DD916"/>
      <c r="DE916"/>
      <c r="DF916"/>
      <c r="DG916"/>
      <c r="DH916"/>
      <c r="DI916"/>
      <c r="DJ916"/>
      <c r="DK916"/>
      <c r="DL916"/>
      <c r="DM916"/>
      <c r="DN916"/>
      <c r="DO916"/>
      <c r="DP916"/>
      <c r="DQ916"/>
      <c r="DR916"/>
      <c r="DS916"/>
      <c r="DT916"/>
      <c r="DU916"/>
      <c r="DV916"/>
      <c r="DW916"/>
      <c r="DX916"/>
      <c r="DY916"/>
      <c r="DZ916"/>
      <c r="EA916"/>
      <c r="EB916"/>
      <c r="EC916"/>
      <c r="ED916"/>
      <c r="EE916"/>
      <c r="EF916"/>
      <c r="EG916"/>
      <c r="EH916"/>
      <c r="EI916"/>
      <c r="EJ916"/>
      <c r="EK916"/>
      <c r="EL916"/>
      <c r="EM916"/>
      <c r="EN916"/>
      <c r="EO916"/>
      <c r="EP916"/>
      <c r="EQ916"/>
      <c r="ER916"/>
      <c r="ES916"/>
    </row>
    <row r="917" spans="1:149">
      <c r="A917"/>
      <c r="B917"/>
      <c r="C917"/>
      <c r="D917"/>
      <c r="E917"/>
      <c r="F917"/>
      <c r="G917"/>
      <c r="H917"/>
      <c r="I917"/>
      <c r="J917"/>
      <c r="K917"/>
      <c r="L917"/>
      <c r="M917"/>
      <c r="N917"/>
      <c r="O917"/>
      <c r="P917"/>
      <c r="Q917"/>
      <c r="R917"/>
      <c r="S917"/>
      <c r="T917"/>
      <c r="U917"/>
      <c r="V917"/>
      <c r="W917"/>
      <c r="X917"/>
      <c r="Y917"/>
      <c r="Z917"/>
      <c r="AA917"/>
      <c r="AB917"/>
      <c r="AC917"/>
      <c r="AD917"/>
      <c r="AE917"/>
      <c r="AF917"/>
      <c r="AG917"/>
      <c r="AH917"/>
      <c r="AI917"/>
      <c r="AJ917"/>
      <c r="AK917"/>
      <c r="AL917"/>
      <c r="AM917"/>
      <c r="AN917"/>
      <c r="AO917"/>
      <c r="AP917"/>
      <c r="AQ917"/>
      <c r="AR917"/>
      <c r="AS917"/>
      <c r="AT917"/>
      <c r="AU917"/>
      <c r="AV917"/>
      <c r="AW917"/>
      <c r="AX917"/>
      <c r="AY917"/>
      <c r="AZ917"/>
      <c r="BA917"/>
      <c r="BB917"/>
      <c r="BC917"/>
      <c r="BD917"/>
      <c r="BE917"/>
      <c r="BF917"/>
      <c r="BG917"/>
      <c r="BH917"/>
      <c r="BI917"/>
      <c r="BJ917"/>
      <c r="BK917"/>
      <c r="BL917"/>
      <c r="BM917"/>
      <c r="BN917"/>
      <c r="BO917"/>
      <c r="BP917"/>
      <c r="BQ917"/>
      <c r="BR917"/>
      <c r="BS917"/>
      <c r="BT917"/>
      <c r="BU917"/>
      <c r="BV917"/>
      <c r="BW917"/>
      <c r="BX917"/>
      <c r="BY917"/>
      <c r="BZ917"/>
      <c r="CA917"/>
      <c r="CB917"/>
      <c r="CC917"/>
      <c r="CD917"/>
      <c r="CE917"/>
      <c r="CF917"/>
      <c r="CG917"/>
      <c r="CH917"/>
      <c r="CI917"/>
      <c r="CJ917"/>
      <c r="CK917"/>
      <c r="CL917"/>
      <c r="CM917"/>
      <c r="CN917"/>
      <c r="CO917"/>
      <c r="CP917"/>
      <c r="CQ917"/>
      <c r="CR917"/>
      <c r="CS917"/>
      <c r="CT917"/>
      <c r="CU917"/>
      <c r="CV917"/>
      <c r="CW917"/>
      <c r="CX917"/>
      <c r="CY917"/>
      <c r="CZ917"/>
      <c r="DA917"/>
      <c r="DB917"/>
      <c r="DC917"/>
      <c r="DD917"/>
      <c r="DE917"/>
      <c r="DF917"/>
      <c r="DG917"/>
      <c r="DH917"/>
      <c r="DI917"/>
      <c r="DJ917"/>
      <c r="DK917"/>
      <c r="DL917"/>
      <c r="DM917"/>
      <c r="DN917"/>
      <c r="DO917"/>
      <c r="DP917"/>
      <c r="DQ917"/>
      <c r="DR917"/>
      <c r="DS917"/>
      <c r="DT917"/>
      <c r="DU917"/>
      <c r="DV917"/>
      <c r="DW917"/>
      <c r="DX917"/>
      <c r="DY917"/>
      <c r="DZ917"/>
      <c r="EA917"/>
      <c r="EB917"/>
      <c r="EC917"/>
      <c r="ED917"/>
      <c r="EE917"/>
      <c r="EF917"/>
      <c r="EG917"/>
      <c r="EH917"/>
      <c r="EI917"/>
      <c r="EJ917"/>
      <c r="EK917"/>
      <c r="EL917"/>
      <c r="EM917"/>
      <c r="EN917"/>
      <c r="EO917"/>
      <c r="EP917"/>
      <c r="EQ917"/>
      <c r="ER917"/>
      <c r="ES917"/>
    </row>
    <row r="918" spans="1:149">
      <c r="A918"/>
      <c r="B918"/>
      <c r="C918"/>
      <c r="D918"/>
      <c r="E918"/>
      <c r="F918"/>
      <c r="G918"/>
      <c r="H918"/>
      <c r="I918"/>
      <c r="J918"/>
      <c r="K918"/>
      <c r="L918"/>
      <c r="M918"/>
      <c r="N918"/>
      <c r="O918"/>
      <c r="P918"/>
      <c r="Q918"/>
      <c r="R918"/>
      <c r="S918"/>
      <c r="T918"/>
      <c r="U918"/>
      <c r="V918"/>
      <c r="W918"/>
      <c r="X918"/>
      <c r="Y918"/>
      <c r="Z918"/>
      <c r="AA918"/>
      <c r="AB918"/>
      <c r="AC918"/>
      <c r="AD918"/>
      <c r="AE918"/>
      <c r="AF918"/>
      <c r="AG918"/>
      <c r="AH918"/>
      <c r="AI918"/>
      <c r="AJ918"/>
      <c r="AK918"/>
      <c r="AL918"/>
      <c r="AM918"/>
      <c r="AN918"/>
      <c r="AO918"/>
      <c r="AP918"/>
      <c r="AQ918"/>
      <c r="AR918"/>
      <c r="AS918"/>
      <c r="AT918"/>
      <c r="AU918"/>
      <c r="AV918"/>
      <c r="AW918"/>
      <c r="AX918"/>
      <c r="AY918"/>
      <c r="AZ918"/>
      <c r="BA918"/>
      <c r="BB918"/>
      <c r="BC918"/>
      <c r="BD918"/>
      <c r="BE918"/>
      <c r="BF918"/>
      <c r="BG918"/>
      <c r="BH918"/>
      <c r="BI918"/>
      <c r="BJ918"/>
      <c r="BK918"/>
      <c r="BL918"/>
      <c r="BM918"/>
      <c r="BN918"/>
      <c r="BO918"/>
      <c r="BP918"/>
      <c r="BQ918"/>
      <c r="BR918"/>
      <c r="BS918"/>
      <c r="BT918"/>
      <c r="BU918"/>
      <c r="BV918"/>
      <c r="BW918"/>
      <c r="BX918"/>
      <c r="BY918"/>
      <c r="BZ918"/>
      <c r="CA918"/>
      <c r="CB918"/>
      <c r="CC918"/>
      <c r="CD918"/>
      <c r="CE918"/>
      <c r="CF918"/>
      <c r="CG918"/>
      <c r="CH918"/>
      <c r="CI918"/>
      <c r="CJ918"/>
      <c r="CK918"/>
      <c r="CL918"/>
      <c r="CM918"/>
      <c r="CN918"/>
      <c r="CO918"/>
      <c r="CP918"/>
      <c r="CQ918"/>
      <c r="CR918"/>
      <c r="CS918"/>
      <c r="CT918"/>
      <c r="CU918"/>
      <c r="CV918"/>
      <c r="CW918"/>
      <c r="CX918"/>
      <c r="CY918"/>
      <c r="CZ918"/>
      <c r="DA918"/>
      <c r="DB918"/>
      <c r="DC918"/>
      <c r="DD918"/>
      <c r="DE918"/>
      <c r="DF918"/>
      <c r="DG918"/>
      <c r="DH918"/>
      <c r="DI918"/>
      <c r="DJ918"/>
      <c r="DK918"/>
      <c r="DL918"/>
      <c r="DM918"/>
      <c r="DN918"/>
      <c r="DO918"/>
      <c r="DP918"/>
      <c r="DQ918"/>
      <c r="DR918"/>
      <c r="DS918"/>
      <c r="DT918"/>
      <c r="DU918"/>
      <c r="DV918"/>
      <c r="DW918"/>
      <c r="DX918"/>
      <c r="DY918"/>
      <c r="DZ918"/>
      <c r="EA918"/>
      <c r="EB918"/>
      <c r="EC918"/>
      <c r="ED918"/>
      <c r="EE918"/>
      <c r="EF918"/>
      <c r="EG918"/>
      <c r="EH918"/>
      <c r="EI918"/>
      <c r="EJ918"/>
      <c r="EK918"/>
      <c r="EL918"/>
      <c r="EM918"/>
      <c r="EN918"/>
      <c r="EO918"/>
      <c r="EP918"/>
      <c r="EQ918"/>
      <c r="ER918"/>
      <c r="ES918"/>
    </row>
    <row r="919" spans="1:149">
      <c r="A919"/>
      <c r="B919"/>
      <c r="C919"/>
      <c r="D919"/>
      <c r="E919"/>
      <c r="F919"/>
      <c r="G919"/>
      <c r="H919"/>
      <c r="I919"/>
      <c r="J919"/>
      <c r="K919"/>
      <c r="L919"/>
      <c r="M919"/>
      <c r="N919"/>
      <c r="O919"/>
      <c r="P919"/>
      <c r="Q919"/>
      <c r="R919"/>
      <c r="S919"/>
      <c r="T919"/>
      <c r="U919"/>
      <c r="V919"/>
      <c r="W919"/>
      <c r="X919"/>
      <c r="Y919"/>
      <c r="Z919"/>
      <c r="AA919"/>
      <c r="AB919"/>
      <c r="AC919"/>
      <c r="AD919"/>
      <c r="AE919"/>
      <c r="AF919"/>
      <c r="AG919"/>
      <c r="AH919"/>
      <c r="AI919"/>
      <c r="AJ919"/>
      <c r="AK919"/>
      <c r="AL919"/>
      <c r="AM919"/>
      <c r="AN919"/>
      <c r="AO919"/>
      <c r="AP919"/>
      <c r="AQ919"/>
      <c r="AR919"/>
      <c r="AS919"/>
      <c r="AT919"/>
      <c r="AU919"/>
      <c r="AV919"/>
      <c r="AW919"/>
      <c r="AX919"/>
      <c r="AY919"/>
      <c r="AZ919"/>
      <c r="BA919"/>
      <c r="BB919"/>
      <c r="BC919"/>
      <c r="BD919"/>
      <c r="BE919"/>
      <c r="BF919"/>
      <c r="BG919"/>
      <c r="BH919"/>
      <c r="BI919"/>
      <c r="BJ919"/>
      <c r="BK919"/>
      <c r="BL919"/>
      <c r="BM919"/>
      <c r="BN919"/>
      <c r="BO919"/>
      <c r="BP919"/>
      <c r="BQ919"/>
      <c r="BR919"/>
      <c r="BS919"/>
      <c r="BT919"/>
      <c r="BU919"/>
      <c r="BV919"/>
      <c r="BW919"/>
      <c r="BX919"/>
      <c r="BY919"/>
      <c r="BZ919"/>
      <c r="CA919"/>
      <c r="CB919"/>
      <c r="CC919"/>
      <c r="CD919"/>
      <c r="CE919"/>
      <c r="CF919"/>
      <c r="CG919"/>
      <c r="CH919"/>
      <c r="CI919"/>
      <c r="CJ919"/>
      <c r="CK919"/>
      <c r="CL919"/>
      <c r="CM919"/>
      <c r="CN919"/>
      <c r="CO919"/>
      <c r="CP919"/>
      <c r="CQ919"/>
      <c r="CR919"/>
      <c r="CS919"/>
      <c r="CT919"/>
      <c r="CU919"/>
      <c r="CV919"/>
      <c r="CW919"/>
      <c r="CX919"/>
      <c r="CY919"/>
      <c r="CZ919"/>
      <c r="DA919"/>
      <c r="DB919"/>
      <c r="DC919"/>
      <c r="DD919"/>
      <c r="DE919"/>
      <c r="DF919"/>
      <c r="DG919"/>
      <c r="DH919"/>
      <c r="DI919"/>
      <c r="DJ919"/>
      <c r="DK919"/>
      <c r="DL919"/>
      <c r="DM919"/>
      <c r="DN919"/>
      <c r="DO919"/>
      <c r="DP919"/>
      <c r="DQ919"/>
      <c r="DR919"/>
      <c r="DS919"/>
      <c r="DT919"/>
      <c r="DU919"/>
      <c r="DV919"/>
      <c r="DW919"/>
      <c r="DX919"/>
      <c r="DY919"/>
      <c r="DZ919"/>
      <c r="EA919"/>
      <c r="EB919"/>
      <c r="EC919"/>
      <c r="ED919"/>
      <c r="EE919"/>
      <c r="EF919"/>
      <c r="EG919"/>
      <c r="EH919"/>
      <c r="EI919"/>
      <c r="EJ919"/>
      <c r="EK919"/>
      <c r="EL919"/>
      <c r="EM919"/>
      <c r="EN919"/>
      <c r="EO919"/>
      <c r="EP919"/>
      <c r="EQ919"/>
      <c r="ER919"/>
      <c r="ES919"/>
    </row>
    <row r="920" spans="1:149">
      <c r="A920"/>
      <c r="B920"/>
      <c r="C920"/>
      <c r="D920"/>
      <c r="E920"/>
      <c r="F920"/>
      <c r="G920"/>
      <c r="H920"/>
      <c r="I920"/>
      <c r="J920"/>
      <c r="K920"/>
      <c r="L920"/>
      <c r="M920"/>
      <c r="N920"/>
      <c r="O920"/>
      <c r="P920"/>
      <c r="Q920"/>
      <c r="R920"/>
      <c r="S920"/>
      <c r="T920"/>
      <c r="U920"/>
      <c r="V920"/>
      <c r="W920"/>
      <c r="X920"/>
      <c r="Y920"/>
      <c r="Z920"/>
      <c r="AA920"/>
      <c r="AB920"/>
      <c r="AC920"/>
      <c r="AD920"/>
      <c r="AE920"/>
      <c r="AF920"/>
      <c r="AG920"/>
      <c r="AH920"/>
      <c r="AI920"/>
      <c r="AJ920"/>
      <c r="AK920"/>
      <c r="AL920"/>
      <c r="AM920"/>
      <c r="AN920"/>
      <c r="AO920"/>
      <c r="AP920"/>
      <c r="AQ920"/>
      <c r="AR920"/>
      <c r="AS920"/>
      <c r="AT920"/>
      <c r="AU920"/>
      <c r="AV920"/>
      <c r="AW920"/>
      <c r="AX920"/>
      <c r="AY920"/>
      <c r="AZ920"/>
      <c r="BA920"/>
      <c r="BB920"/>
      <c r="BC920"/>
      <c r="BD920"/>
      <c r="BE920"/>
      <c r="BF920"/>
      <c r="BG920"/>
      <c r="BH920"/>
      <c r="BI920"/>
      <c r="BJ920"/>
      <c r="BK920"/>
      <c r="BL920"/>
      <c r="BM920"/>
      <c r="BN920"/>
      <c r="BO920"/>
      <c r="BP920"/>
      <c r="BQ920"/>
      <c r="BR920"/>
      <c r="BS920"/>
      <c r="BT920"/>
      <c r="BU920"/>
      <c r="BV920"/>
      <c r="BW920"/>
      <c r="BX920"/>
      <c r="BY920"/>
      <c r="BZ920"/>
      <c r="CA920"/>
      <c r="CB920"/>
      <c r="CC920"/>
      <c r="CD920"/>
      <c r="CE920"/>
      <c r="CF920"/>
      <c r="CG920"/>
      <c r="CH920"/>
      <c r="CI920"/>
      <c r="CJ920"/>
      <c r="CK920"/>
      <c r="CL920"/>
      <c r="CM920"/>
      <c r="CN920"/>
      <c r="CO920"/>
      <c r="CP920"/>
      <c r="CQ920"/>
      <c r="CR920"/>
      <c r="CS920"/>
      <c r="CT920"/>
      <c r="CU920"/>
      <c r="CV920"/>
      <c r="CW920"/>
      <c r="CX920"/>
      <c r="CY920"/>
      <c r="CZ920"/>
      <c r="DA920"/>
      <c r="DB920"/>
      <c r="DC920"/>
      <c r="DD920"/>
      <c r="DE920"/>
      <c r="DF920"/>
      <c r="DG920"/>
      <c r="DH920"/>
      <c r="DI920"/>
      <c r="DJ920"/>
      <c r="DK920"/>
      <c r="DL920"/>
      <c r="DM920"/>
      <c r="DN920"/>
      <c r="DO920"/>
      <c r="DP920"/>
      <c r="DQ920"/>
      <c r="DR920"/>
      <c r="DS920"/>
      <c r="DT920"/>
      <c r="DU920"/>
      <c r="DV920"/>
      <c r="DW920"/>
      <c r="DX920"/>
      <c r="DY920"/>
      <c r="DZ920"/>
      <c r="EA920"/>
      <c r="EB920"/>
      <c r="EC920"/>
      <c r="ED920"/>
      <c r="EE920"/>
      <c r="EF920"/>
      <c r="EG920"/>
      <c r="EH920"/>
      <c r="EI920"/>
      <c r="EJ920"/>
      <c r="EK920"/>
      <c r="EL920"/>
      <c r="EM920"/>
      <c r="EN920"/>
      <c r="EO920"/>
      <c r="EP920"/>
      <c r="EQ920"/>
      <c r="ER920"/>
      <c r="ES920"/>
    </row>
    <row r="921" spans="1:149">
      <c r="A921"/>
      <c r="B921"/>
      <c r="C921"/>
      <c r="D921"/>
      <c r="E921"/>
      <c r="F921"/>
      <c r="G921"/>
      <c r="H921"/>
      <c r="I921"/>
      <c r="J921"/>
      <c r="K921"/>
      <c r="L921"/>
      <c r="M921"/>
      <c r="N921"/>
      <c r="O921"/>
      <c r="P921"/>
      <c r="Q921"/>
      <c r="R921"/>
      <c r="S921"/>
      <c r="T921"/>
      <c r="U921"/>
      <c r="V921"/>
      <c r="W921"/>
      <c r="X921"/>
      <c r="Y921"/>
      <c r="Z921"/>
      <c r="AA921"/>
      <c r="AB921"/>
      <c r="AC921"/>
      <c r="AD921"/>
      <c r="AE921"/>
      <c r="AF921"/>
      <c r="AG921"/>
      <c r="AH921"/>
      <c r="AI921"/>
      <c r="AJ921"/>
      <c r="AK921"/>
      <c r="AL921"/>
      <c r="AM921"/>
      <c r="AN921"/>
      <c r="AO921"/>
      <c r="AP921"/>
      <c r="AQ921"/>
      <c r="AR921"/>
      <c r="AS921"/>
      <c r="AT921"/>
      <c r="AU921"/>
      <c r="AV921"/>
      <c r="AW921"/>
      <c r="AX921"/>
      <c r="AY921"/>
      <c r="AZ921"/>
      <c r="BA921"/>
      <c r="BB921"/>
      <c r="BC921"/>
      <c r="BD921"/>
      <c r="BE921"/>
      <c r="BF921"/>
      <c r="BG921"/>
      <c r="BH921"/>
      <c r="BI921"/>
      <c r="BJ921"/>
      <c r="BK921"/>
      <c r="BL921"/>
      <c r="BM921"/>
      <c r="BN921"/>
      <c r="BO921"/>
      <c r="BP921"/>
      <c r="BQ921"/>
      <c r="BR921"/>
      <c r="BS921"/>
      <c r="BT921"/>
      <c r="BU921"/>
      <c r="BV921"/>
      <c r="BW921"/>
      <c r="BX921"/>
      <c r="BY921"/>
      <c r="BZ921"/>
      <c r="CA921"/>
      <c r="CB921"/>
      <c r="CC921"/>
      <c r="CD921"/>
      <c r="CE921"/>
      <c r="CF921"/>
      <c r="CG921"/>
      <c r="CH921"/>
      <c r="CI921"/>
      <c r="CJ921"/>
      <c r="CK921"/>
      <c r="CL921"/>
      <c r="CM921"/>
      <c r="CN921"/>
      <c r="CO921"/>
      <c r="CP921"/>
      <c r="CQ921"/>
      <c r="CR921"/>
      <c r="CS921"/>
      <c r="CT921"/>
      <c r="CU921"/>
      <c r="CV921"/>
      <c r="CW921"/>
      <c r="CX921"/>
      <c r="CY921"/>
      <c r="CZ921"/>
      <c r="DA921"/>
      <c r="DB921"/>
      <c r="DC921"/>
      <c r="DD921"/>
      <c r="DE921"/>
      <c r="DF921"/>
      <c r="DG921"/>
      <c r="DH921"/>
      <c r="DI921"/>
      <c r="DJ921"/>
      <c r="DK921"/>
      <c r="DL921"/>
      <c r="DM921"/>
      <c r="DN921"/>
      <c r="DO921"/>
      <c r="DP921"/>
      <c r="DQ921"/>
      <c r="DR921"/>
      <c r="DS921"/>
      <c r="DT921"/>
      <c r="DU921"/>
      <c r="DV921"/>
      <c r="DW921"/>
      <c r="DX921"/>
      <c r="DY921"/>
      <c r="DZ921"/>
      <c r="EA921"/>
      <c r="EB921"/>
      <c r="EC921"/>
      <c r="ED921"/>
      <c r="EE921"/>
      <c r="EF921"/>
      <c r="EG921"/>
      <c r="EH921"/>
      <c r="EI921"/>
      <c r="EJ921"/>
      <c r="EK921"/>
      <c r="EL921"/>
      <c r="EM921"/>
      <c r="EN921"/>
      <c r="EO921"/>
      <c r="EP921"/>
      <c r="EQ921"/>
      <c r="ER921"/>
      <c r="ES921"/>
    </row>
    <row r="922" spans="1:149">
      <c r="A922"/>
      <c r="B922"/>
      <c r="C922"/>
      <c r="D922"/>
      <c r="E922"/>
      <c r="F922"/>
      <c r="G922"/>
      <c r="H922"/>
      <c r="I922"/>
      <c r="J922"/>
      <c r="K922"/>
      <c r="L922"/>
      <c r="M922"/>
      <c r="N922"/>
      <c r="O922"/>
      <c r="P922"/>
      <c r="Q922"/>
      <c r="R922"/>
      <c r="S922"/>
      <c r="T922"/>
      <c r="U922"/>
      <c r="V922"/>
      <c r="W922"/>
      <c r="X922"/>
      <c r="Y922"/>
      <c r="Z922"/>
      <c r="AA922"/>
      <c r="AB922"/>
      <c r="AC922"/>
      <c r="AD922"/>
      <c r="AE922"/>
      <c r="AF922"/>
      <c r="AG922"/>
      <c r="AH922"/>
      <c r="AI922"/>
      <c r="AJ922"/>
      <c r="AK922"/>
      <c r="AL922"/>
      <c r="AM922"/>
      <c r="AN922"/>
      <c r="AO922"/>
      <c r="AP922"/>
      <c r="AQ922"/>
      <c r="AR922"/>
      <c r="AS922"/>
      <c r="AT922"/>
      <c r="AU922"/>
      <c r="AV922"/>
      <c r="AW922"/>
      <c r="AX922"/>
      <c r="AY922"/>
      <c r="AZ922"/>
      <c r="BA922"/>
      <c r="BB922"/>
      <c r="BC922"/>
      <c r="BD922"/>
      <c r="BE922"/>
      <c r="BF922"/>
      <c r="BG922"/>
      <c r="BH922"/>
      <c r="BI922"/>
      <c r="BJ922"/>
      <c r="BK922"/>
      <c r="BL922"/>
      <c r="BM922"/>
      <c r="BN922"/>
      <c r="BO922"/>
      <c r="BP922"/>
      <c r="BQ922"/>
      <c r="BR922"/>
      <c r="BS922"/>
      <c r="BT922"/>
      <c r="BU922"/>
      <c r="BV922"/>
      <c r="BW922"/>
      <c r="BX922"/>
      <c r="BY922"/>
      <c r="BZ922"/>
      <c r="CA922"/>
      <c r="CB922"/>
      <c r="CC922"/>
      <c r="CD922"/>
      <c r="CE922"/>
      <c r="CF922"/>
      <c r="CG922"/>
      <c r="CH922"/>
      <c r="CI922"/>
      <c r="CJ922"/>
      <c r="CK922"/>
      <c r="CL922"/>
      <c r="CM922"/>
      <c r="CN922"/>
      <c r="CO922"/>
      <c r="CP922"/>
      <c r="CQ922"/>
      <c r="CR922"/>
      <c r="CS922"/>
      <c r="CT922"/>
      <c r="CU922"/>
      <c r="CV922"/>
      <c r="CW922"/>
      <c r="CX922"/>
      <c r="CY922"/>
      <c r="CZ922"/>
      <c r="DA922"/>
      <c r="DB922"/>
      <c r="DC922"/>
      <c r="DD922"/>
      <c r="DE922"/>
      <c r="DF922"/>
      <c r="DG922"/>
      <c r="DH922"/>
      <c r="DI922"/>
      <c r="DJ922"/>
      <c r="DK922"/>
      <c r="DL922"/>
      <c r="DM922"/>
      <c r="DN922"/>
      <c r="DO922"/>
      <c r="DP922"/>
      <c r="DQ922"/>
      <c r="DR922"/>
      <c r="DS922"/>
      <c r="DT922"/>
      <c r="DU922"/>
      <c r="DV922"/>
      <c r="DW922"/>
      <c r="DX922"/>
      <c r="DY922"/>
      <c r="DZ922"/>
      <c r="EA922"/>
      <c r="EB922"/>
      <c r="EC922"/>
      <c r="ED922"/>
      <c r="EE922"/>
      <c r="EF922"/>
      <c r="EG922"/>
      <c r="EH922"/>
      <c r="EI922"/>
      <c r="EJ922"/>
      <c r="EK922"/>
      <c r="EL922"/>
      <c r="EM922"/>
      <c r="EN922"/>
      <c r="EO922"/>
      <c r="EP922"/>
      <c r="EQ922"/>
      <c r="ER922"/>
      <c r="ES922"/>
    </row>
    <row r="923" spans="1:149">
      <c r="A923"/>
      <c r="B923"/>
      <c r="C923"/>
      <c r="D923"/>
      <c r="E923"/>
      <c r="F923"/>
      <c r="G923"/>
      <c r="H923"/>
      <c r="I923"/>
      <c r="J923"/>
      <c r="K923"/>
      <c r="L923"/>
      <c r="M923"/>
      <c r="N923"/>
      <c r="O923"/>
      <c r="P923"/>
      <c r="Q923"/>
      <c r="R923"/>
      <c r="S923"/>
      <c r="T923"/>
      <c r="U923"/>
      <c r="V923"/>
      <c r="W923"/>
      <c r="X923"/>
      <c r="Y923"/>
      <c r="Z923"/>
      <c r="AA923"/>
      <c r="AB923"/>
      <c r="AC923"/>
      <c r="AD923"/>
      <c r="AE923"/>
      <c r="AF923"/>
      <c r="AG923"/>
      <c r="AH923"/>
      <c r="AI923"/>
      <c r="AJ923"/>
      <c r="AK923"/>
      <c r="AL923"/>
      <c r="AM923"/>
      <c r="AN923"/>
      <c r="AO923"/>
      <c r="AP923"/>
      <c r="AQ923"/>
      <c r="AR923"/>
      <c r="AS923"/>
      <c r="AT923"/>
      <c r="AU923"/>
      <c r="AV923"/>
      <c r="AW923"/>
      <c r="AX923"/>
      <c r="AY923"/>
      <c r="AZ923"/>
      <c r="BA923"/>
      <c r="BB923"/>
      <c r="BC923"/>
      <c r="BD923"/>
      <c r="BE923"/>
      <c r="BF923"/>
      <c r="BG923"/>
      <c r="BH923"/>
      <c r="BI923"/>
      <c r="BJ923"/>
      <c r="BK923"/>
      <c r="BL923"/>
      <c r="BM923"/>
      <c r="BN923"/>
      <c r="BO923"/>
      <c r="BP923"/>
      <c r="BQ923"/>
      <c r="BR923"/>
      <c r="BS923"/>
      <c r="BT923"/>
      <c r="BU923"/>
      <c r="BV923"/>
      <c r="BW923"/>
      <c r="BX923"/>
      <c r="BY923"/>
      <c r="BZ923"/>
      <c r="CA923"/>
      <c r="CB923"/>
      <c r="CC923"/>
      <c r="CD923"/>
      <c r="CE923"/>
      <c r="CF923"/>
      <c r="CG923"/>
      <c r="CH923"/>
      <c r="CI923"/>
      <c r="CJ923"/>
      <c r="CK923"/>
      <c r="CL923"/>
      <c r="CM923"/>
      <c r="CN923"/>
      <c r="CO923"/>
      <c r="CP923"/>
      <c r="CQ923"/>
      <c r="CR923"/>
      <c r="CS923"/>
      <c r="CT923"/>
      <c r="CU923"/>
      <c r="CV923"/>
      <c r="CW923"/>
      <c r="CX923"/>
      <c r="CY923"/>
      <c r="CZ923"/>
      <c r="DA923"/>
      <c r="DB923"/>
      <c r="DC923"/>
      <c r="DD923"/>
      <c r="DE923"/>
      <c r="DF923"/>
      <c r="DG923"/>
      <c r="DH923"/>
      <c r="DI923"/>
      <c r="DJ923"/>
      <c r="DK923"/>
      <c r="DL923"/>
      <c r="DM923"/>
      <c r="DN923"/>
      <c r="DO923"/>
      <c r="DP923"/>
      <c r="DQ923"/>
      <c r="DR923"/>
      <c r="DS923"/>
      <c r="DT923"/>
      <c r="DU923"/>
      <c r="DV923"/>
      <c r="DW923"/>
      <c r="DX923"/>
      <c r="DY923"/>
      <c r="DZ923"/>
      <c r="EA923"/>
      <c r="EB923"/>
      <c r="EC923"/>
      <c r="ED923"/>
      <c r="EE923"/>
      <c r="EF923"/>
      <c r="EG923"/>
      <c r="EH923"/>
      <c r="EI923"/>
      <c r="EJ923"/>
      <c r="EK923"/>
      <c r="EL923"/>
      <c r="EM923"/>
      <c r="EN923"/>
      <c r="EO923"/>
      <c r="EP923"/>
      <c r="EQ923"/>
      <c r="ER923"/>
      <c r="ES923"/>
    </row>
    <row r="924" spans="1:149">
      <c r="A924"/>
      <c r="B924"/>
      <c r="C924"/>
      <c r="D924"/>
      <c r="E924"/>
      <c r="F924"/>
      <c r="G924"/>
      <c r="H924"/>
      <c r="I924"/>
      <c r="J924"/>
      <c r="K924"/>
      <c r="L924"/>
      <c r="M924"/>
      <c r="N924"/>
      <c r="O924"/>
      <c r="P924"/>
      <c r="Q924"/>
      <c r="R924"/>
      <c r="S924"/>
      <c r="T924"/>
      <c r="U924"/>
      <c r="V924"/>
      <c r="W924"/>
      <c r="X924"/>
      <c r="Y924"/>
      <c r="Z924"/>
      <c r="AA924"/>
      <c r="AB924"/>
      <c r="AC924"/>
      <c r="AD924"/>
      <c r="AE924"/>
      <c r="AF924"/>
      <c r="AG924"/>
      <c r="AH924"/>
      <c r="AI924"/>
      <c r="AJ924"/>
      <c r="AK924"/>
      <c r="AL924"/>
      <c r="AM924"/>
      <c r="AN924"/>
      <c r="AO924"/>
      <c r="AP924"/>
      <c r="AQ924"/>
      <c r="AR924"/>
      <c r="AS924"/>
      <c r="AT924"/>
      <c r="AU924"/>
      <c r="AV924"/>
      <c r="AW924"/>
      <c r="AX924"/>
      <c r="AY924"/>
      <c r="AZ924"/>
      <c r="BA924"/>
      <c r="BB924"/>
      <c r="BC924"/>
      <c r="BD924"/>
      <c r="BE924"/>
      <c r="BF924"/>
      <c r="BG924"/>
      <c r="BH924"/>
      <c r="BI924"/>
      <c r="BJ924"/>
      <c r="BK924"/>
      <c r="BL924"/>
      <c r="BM924"/>
      <c r="BN924"/>
      <c r="BO924"/>
      <c r="BP924"/>
      <c r="BQ924"/>
      <c r="BR924"/>
      <c r="BS924"/>
      <c r="BT924"/>
      <c r="BU924"/>
      <c r="BV924"/>
      <c r="BW924"/>
      <c r="BX924"/>
      <c r="BY924"/>
      <c r="BZ924"/>
      <c r="CA924"/>
      <c r="CB924"/>
      <c r="CC924"/>
      <c r="CD924"/>
      <c r="CE924"/>
      <c r="CF924"/>
      <c r="CG924"/>
      <c r="CH924"/>
      <c r="CI924"/>
      <c r="CJ924"/>
      <c r="CK924"/>
      <c r="CL924"/>
      <c r="CM924"/>
      <c r="CN924"/>
      <c r="CO924"/>
      <c r="CP924"/>
      <c r="CQ924"/>
      <c r="CR924"/>
      <c r="CS924"/>
      <c r="CT924"/>
      <c r="CU924"/>
      <c r="CV924"/>
      <c r="CW924"/>
      <c r="CX924"/>
      <c r="CY924"/>
      <c r="CZ924"/>
      <c r="DA924"/>
      <c r="DB924"/>
      <c r="DC924"/>
      <c r="DD924"/>
      <c r="DE924"/>
      <c r="DF924"/>
      <c r="DG924"/>
      <c r="DH924"/>
      <c r="DI924"/>
      <c r="DJ924"/>
      <c r="DK924"/>
      <c r="DL924"/>
      <c r="DM924"/>
      <c r="DN924"/>
      <c r="DO924"/>
      <c r="DP924"/>
      <c r="DQ924"/>
      <c r="DR924"/>
      <c r="DS924"/>
      <c r="DT924"/>
      <c r="DU924"/>
      <c r="DV924"/>
      <c r="DW924"/>
      <c r="DX924"/>
      <c r="DY924"/>
      <c r="DZ924"/>
      <c r="EA924"/>
      <c r="EB924"/>
      <c r="EC924"/>
      <c r="ED924"/>
      <c r="EE924"/>
      <c r="EF924"/>
      <c r="EG924"/>
      <c r="EH924"/>
      <c r="EI924"/>
      <c r="EJ924"/>
      <c r="EK924"/>
      <c r="EL924"/>
      <c r="EM924"/>
      <c r="EN924"/>
      <c r="EO924"/>
      <c r="EP924"/>
      <c r="EQ924"/>
      <c r="ER924"/>
      <c r="ES924"/>
    </row>
    <row r="925" spans="1:149">
      <c r="A925"/>
      <c r="B925"/>
      <c r="C925"/>
      <c r="D925"/>
      <c r="E925"/>
      <c r="F925"/>
      <c r="G925"/>
      <c r="H925"/>
      <c r="I925"/>
      <c r="J925"/>
      <c r="K925"/>
      <c r="L925"/>
      <c r="M925"/>
      <c r="N925"/>
      <c r="O925"/>
      <c r="P925"/>
      <c r="Q925"/>
      <c r="R925"/>
      <c r="S925"/>
      <c r="T925"/>
      <c r="U925"/>
      <c r="V925"/>
      <c r="W925"/>
      <c r="X925"/>
      <c r="Y925"/>
      <c r="Z925"/>
      <c r="AA925"/>
      <c r="AB925"/>
      <c r="AC925"/>
      <c r="AD925"/>
      <c r="AE925"/>
      <c r="AF925"/>
      <c r="AG925"/>
      <c r="AH925"/>
      <c r="AI925"/>
      <c r="AJ925"/>
      <c r="AK925"/>
      <c r="AL925"/>
      <c r="AM925"/>
      <c r="AN925"/>
      <c r="AO925"/>
      <c r="AP925"/>
      <c r="AQ925"/>
      <c r="AR925"/>
      <c r="AS925"/>
      <c r="AT925"/>
      <c r="AU925"/>
      <c r="AV925"/>
      <c r="AW925"/>
      <c r="AX925"/>
      <c r="AY925"/>
      <c r="AZ925"/>
      <c r="BA925"/>
      <c r="BB925"/>
      <c r="BC925"/>
      <c r="BD925"/>
      <c r="BE925"/>
      <c r="BF925"/>
      <c r="BG925"/>
      <c r="BH925"/>
      <c r="BI925"/>
      <c r="BJ925"/>
      <c r="BK925"/>
      <c r="BL925"/>
      <c r="BM925"/>
      <c r="BN925"/>
      <c r="BO925"/>
      <c r="BP925"/>
      <c r="BQ925"/>
      <c r="BR925"/>
      <c r="BS925"/>
      <c r="BT925"/>
      <c r="BU925"/>
      <c r="BV925"/>
      <c r="BW925"/>
      <c r="BX925"/>
      <c r="BY925"/>
      <c r="BZ925"/>
      <c r="CA925"/>
      <c r="CB925"/>
      <c r="CC925"/>
      <c r="CD925"/>
      <c r="CE925"/>
      <c r="CF925"/>
      <c r="CG925"/>
      <c r="CH925"/>
      <c r="CI925"/>
      <c r="CJ925"/>
      <c r="CK925"/>
      <c r="CL925"/>
      <c r="CM925"/>
      <c r="CN925"/>
      <c r="CO925"/>
      <c r="CP925"/>
      <c r="CQ925"/>
      <c r="CR925"/>
      <c r="CS925"/>
      <c r="CT925"/>
      <c r="CU925"/>
      <c r="CV925"/>
      <c r="CW925"/>
      <c r="CX925"/>
      <c r="CY925"/>
      <c r="CZ925"/>
      <c r="DA925"/>
      <c r="DB925"/>
      <c r="DC925"/>
      <c r="DD925"/>
      <c r="DE925"/>
      <c r="DF925"/>
      <c r="DG925"/>
      <c r="DH925"/>
      <c r="DI925"/>
      <c r="DJ925"/>
      <c r="DK925"/>
      <c r="DL925"/>
      <c r="DM925"/>
      <c r="DN925"/>
      <c r="DO925"/>
      <c r="DP925"/>
      <c r="DQ925"/>
      <c r="DR925"/>
      <c r="DS925"/>
      <c r="DT925"/>
      <c r="DU925"/>
      <c r="DV925"/>
      <c r="DW925"/>
      <c r="DX925"/>
      <c r="DY925"/>
      <c r="DZ925"/>
      <c r="EA925"/>
      <c r="EB925"/>
      <c r="EC925"/>
      <c r="ED925"/>
      <c r="EE925"/>
      <c r="EF925"/>
      <c r="EG925"/>
      <c r="EH925"/>
      <c r="EI925"/>
      <c r="EJ925"/>
      <c r="EK925"/>
      <c r="EL925"/>
      <c r="EM925"/>
      <c r="EN925"/>
      <c r="EO925"/>
      <c r="EP925"/>
      <c r="EQ925"/>
      <c r="ER925"/>
      <c r="ES925"/>
    </row>
    <row r="926" spans="1:149">
      <c r="A926"/>
      <c r="B926"/>
      <c r="C926"/>
      <c r="D926"/>
      <c r="E926"/>
      <c r="F926"/>
      <c r="G926"/>
      <c r="H926"/>
      <c r="I926"/>
      <c r="J926"/>
      <c r="K926"/>
      <c r="L926"/>
      <c r="M926"/>
      <c r="N926"/>
      <c r="O926"/>
      <c r="P926"/>
      <c r="Q926"/>
      <c r="R926"/>
      <c r="S926"/>
      <c r="T926"/>
      <c r="U926"/>
      <c r="V926"/>
      <c r="W926"/>
      <c r="X926"/>
      <c r="Y926"/>
      <c r="Z926"/>
      <c r="AA926"/>
      <c r="AB926"/>
      <c r="AC926"/>
      <c r="AD926"/>
      <c r="AE926"/>
      <c r="AF926"/>
      <c r="AG926"/>
      <c r="AH926"/>
      <c r="AI926"/>
      <c r="AJ926"/>
      <c r="AK926"/>
      <c r="AL926"/>
      <c r="AM926"/>
      <c r="AN926"/>
      <c r="AO926"/>
      <c r="AP926"/>
      <c r="AQ926"/>
      <c r="AR926"/>
      <c r="AS926"/>
      <c r="AT926"/>
      <c r="AU926"/>
      <c r="AV926"/>
      <c r="AW926"/>
      <c r="AX926"/>
      <c r="AY926"/>
      <c r="AZ926"/>
      <c r="BA926"/>
      <c r="BB926"/>
      <c r="BC926"/>
      <c r="BD926"/>
      <c r="BE926"/>
      <c r="BF926"/>
      <c r="BG926"/>
      <c r="BH926"/>
      <c r="BI926"/>
      <c r="BJ926"/>
      <c r="BK926"/>
      <c r="BL926"/>
      <c r="BM926"/>
      <c r="BN926"/>
      <c r="BO926"/>
      <c r="BP926"/>
      <c r="BQ926"/>
      <c r="BR926"/>
      <c r="BS926"/>
      <c r="BT926"/>
      <c r="BU926"/>
      <c r="BV926"/>
      <c r="BW926"/>
      <c r="BX926"/>
      <c r="BY926"/>
      <c r="BZ926"/>
      <c r="CA926"/>
      <c r="CB926"/>
      <c r="CC926"/>
      <c r="CD926"/>
      <c r="CE926"/>
      <c r="CF926"/>
      <c r="CG926"/>
      <c r="CH926"/>
      <c r="CI926"/>
      <c r="CJ926"/>
      <c r="CK926"/>
      <c r="CL926"/>
      <c r="CM926"/>
      <c r="CN926"/>
      <c r="CO926"/>
      <c r="CP926"/>
      <c r="CQ926"/>
      <c r="CR926"/>
      <c r="CS926"/>
      <c r="CT926"/>
      <c r="CU926"/>
      <c r="CV926"/>
      <c r="CW926"/>
      <c r="CX926"/>
      <c r="CY926"/>
      <c r="CZ926"/>
      <c r="DA926"/>
      <c r="DB926"/>
      <c r="DC926"/>
      <c r="DD926"/>
      <c r="DE926"/>
      <c r="DF926"/>
      <c r="DG926"/>
      <c r="DH926"/>
      <c r="DI926"/>
      <c r="DJ926"/>
      <c r="DK926"/>
      <c r="DL926"/>
      <c r="DM926"/>
      <c r="DN926"/>
      <c r="DO926"/>
      <c r="DP926"/>
      <c r="DQ926"/>
      <c r="DR926"/>
      <c r="DS926"/>
      <c r="DT926"/>
      <c r="DU926"/>
      <c r="DV926"/>
      <c r="DW926"/>
      <c r="DX926"/>
      <c r="DY926"/>
      <c r="DZ926"/>
      <c r="EA926"/>
      <c r="EB926"/>
      <c r="EC926"/>
      <c r="ED926"/>
      <c r="EE926"/>
      <c r="EF926"/>
      <c r="EG926"/>
      <c r="EH926"/>
      <c r="EI926"/>
      <c r="EJ926"/>
      <c r="EK926"/>
      <c r="EL926"/>
      <c r="EM926"/>
      <c r="EN926"/>
      <c r="EO926"/>
      <c r="EP926"/>
      <c r="EQ926"/>
      <c r="ER926"/>
      <c r="ES926"/>
    </row>
    <row r="927" spans="1:149">
      <c r="A927"/>
      <c r="B927"/>
      <c r="C927"/>
      <c r="D927"/>
      <c r="E927"/>
      <c r="F927"/>
      <c r="G927"/>
      <c r="H927"/>
      <c r="I927"/>
      <c r="J927"/>
      <c r="K927"/>
      <c r="L927"/>
      <c r="M927"/>
      <c r="N927"/>
      <c r="O927"/>
      <c r="P927"/>
      <c r="Q927"/>
      <c r="R927"/>
      <c r="S927"/>
      <c r="T927"/>
      <c r="U927"/>
      <c r="V927"/>
      <c r="W927"/>
      <c r="X927"/>
      <c r="Y927"/>
      <c r="Z927"/>
      <c r="AA927"/>
      <c r="AB927"/>
      <c r="AC927"/>
      <c r="AD927"/>
      <c r="AE927"/>
      <c r="AF927"/>
      <c r="AG927"/>
      <c r="AH927"/>
      <c r="AI927"/>
      <c r="AJ927"/>
      <c r="AK927"/>
      <c r="AL927"/>
      <c r="AM927"/>
      <c r="AN927"/>
      <c r="AO927"/>
      <c r="AP927"/>
      <c r="AQ927"/>
      <c r="AR927"/>
      <c r="AS927"/>
      <c r="AT927"/>
      <c r="AU927"/>
      <c r="AV927"/>
      <c r="AW927"/>
      <c r="AX927"/>
      <c r="AY927"/>
      <c r="AZ927"/>
      <c r="BA927"/>
      <c r="BB927"/>
      <c r="BC927"/>
      <c r="BD927"/>
      <c r="BE927"/>
      <c r="BF927"/>
      <c r="BG927"/>
      <c r="BH927"/>
      <c r="BI927"/>
      <c r="BJ927"/>
      <c r="BK927"/>
      <c r="BL927"/>
      <c r="BM927"/>
      <c r="BN927"/>
      <c r="BO927"/>
      <c r="BP927"/>
      <c r="BQ927"/>
      <c r="BR927"/>
      <c r="BS927"/>
      <c r="BT927"/>
      <c r="BU927"/>
      <c r="BV927"/>
      <c r="BW927"/>
      <c r="BX927"/>
      <c r="BY927"/>
      <c r="BZ927"/>
      <c r="CA927"/>
      <c r="CB927"/>
      <c r="CC927"/>
      <c r="CD927"/>
      <c r="CE927"/>
      <c r="CF927"/>
      <c r="CG927"/>
      <c r="CH927"/>
      <c r="CI927"/>
      <c r="CJ927"/>
      <c r="CK927"/>
      <c r="CL927"/>
      <c r="CM927"/>
      <c r="CN927"/>
      <c r="CO927"/>
      <c r="CP927"/>
      <c r="CQ927"/>
      <c r="CR927"/>
      <c r="CS927"/>
      <c r="CT927"/>
      <c r="CU927"/>
      <c r="CV927"/>
      <c r="CW927"/>
      <c r="CX927"/>
      <c r="CY927"/>
      <c r="CZ927"/>
      <c r="DA927"/>
      <c r="DB927"/>
      <c r="DC927"/>
      <c r="DD927"/>
      <c r="DE927"/>
      <c r="DF927"/>
      <c r="DG927"/>
      <c r="DH927"/>
      <c r="DI927"/>
      <c r="DJ927"/>
      <c r="DK927"/>
      <c r="DL927"/>
      <c r="DM927"/>
      <c r="DN927"/>
      <c r="DO927"/>
      <c r="DP927"/>
      <c r="DQ927"/>
      <c r="DR927"/>
      <c r="DS927"/>
      <c r="DT927"/>
      <c r="DU927"/>
      <c r="DV927"/>
      <c r="DW927"/>
      <c r="DX927"/>
      <c r="DY927"/>
      <c r="DZ927"/>
      <c r="EA927"/>
      <c r="EB927"/>
      <c r="EC927"/>
      <c r="ED927"/>
      <c r="EE927"/>
      <c r="EF927"/>
      <c r="EG927"/>
      <c r="EH927"/>
      <c r="EI927"/>
      <c r="EJ927"/>
      <c r="EK927"/>
      <c r="EL927"/>
      <c r="EM927"/>
      <c r="EN927"/>
      <c r="EO927"/>
      <c r="EP927"/>
      <c r="EQ927"/>
      <c r="ER927"/>
      <c r="ES927"/>
    </row>
    <row r="928" spans="1:149">
      <c r="A928"/>
      <c r="B928"/>
      <c r="C928"/>
      <c r="D928"/>
      <c r="E928"/>
      <c r="F928"/>
      <c r="G928"/>
      <c r="H928"/>
      <c r="I928"/>
      <c r="J928"/>
      <c r="K928"/>
      <c r="L928"/>
      <c r="M928"/>
      <c r="N928"/>
      <c r="O928"/>
      <c r="P928"/>
      <c r="Q928"/>
      <c r="R928"/>
      <c r="S928"/>
      <c r="T928"/>
      <c r="U928"/>
      <c r="V928"/>
      <c r="W928"/>
      <c r="X928"/>
      <c r="Y928"/>
      <c r="Z928"/>
      <c r="AA928"/>
      <c r="AB928"/>
      <c r="AC928"/>
      <c r="AD928"/>
      <c r="AE928"/>
      <c r="AF928"/>
      <c r="AG928"/>
      <c r="AH928"/>
      <c r="AI928"/>
      <c r="AJ928"/>
      <c r="AK928"/>
      <c r="AL928"/>
      <c r="AM928"/>
      <c r="AN928"/>
      <c r="AO928"/>
      <c r="AP928"/>
      <c r="AQ928"/>
      <c r="AR928"/>
      <c r="AS928"/>
      <c r="AT928"/>
      <c r="AU928"/>
      <c r="AV928"/>
      <c r="AW928"/>
      <c r="AX928"/>
      <c r="AY928"/>
      <c r="AZ928"/>
      <c r="BA928"/>
      <c r="BB928"/>
      <c r="BC928"/>
      <c r="BD928"/>
      <c r="BE928"/>
      <c r="BF928"/>
      <c r="BG928"/>
      <c r="BH928"/>
      <c r="BI928"/>
      <c r="BJ928"/>
      <c r="BK928"/>
      <c r="BL928"/>
      <c r="BM928"/>
      <c r="BN928"/>
      <c r="BO928"/>
      <c r="BP928"/>
      <c r="BQ928"/>
      <c r="BR928"/>
      <c r="BS928"/>
      <c r="BT928"/>
      <c r="BU928"/>
      <c r="BV928"/>
      <c r="BW928"/>
      <c r="BX928"/>
      <c r="BY928"/>
      <c r="BZ928"/>
      <c r="CA928"/>
      <c r="CB928"/>
      <c r="CC928"/>
      <c r="CD928"/>
      <c r="CE928"/>
      <c r="CF928"/>
      <c r="CG928"/>
      <c r="CH928"/>
      <c r="CI928"/>
      <c r="CJ928"/>
      <c r="CK928"/>
      <c r="CL928"/>
      <c r="CM928"/>
      <c r="CN928"/>
      <c r="CO928"/>
      <c r="CP928"/>
      <c r="CQ928"/>
      <c r="CR928"/>
      <c r="CS928"/>
      <c r="CT928"/>
      <c r="CU928"/>
      <c r="CV928"/>
      <c r="CW928"/>
      <c r="CX928"/>
      <c r="CY928"/>
      <c r="CZ928"/>
      <c r="DA928"/>
      <c r="DB928"/>
      <c r="DC928"/>
      <c r="DD928"/>
      <c r="DE928"/>
      <c r="DF928"/>
      <c r="DG928"/>
      <c r="DH928"/>
      <c r="DI928"/>
      <c r="DJ928"/>
      <c r="DK928"/>
      <c r="DL928"/>
      <c r="DM928"/>
      <c r="DN928"/>
      <c r="DO928"/>
      <c r="DP928"/>
      <c r="DQ928"/>
      <c r="DR928"/>
      <c r="DS928"/>
      <c r="DT928"/>
      <c r="DU928"/>
      <c r="DV928"/>
      <c r="DW928"/>
      <c r="DX928"/>
      <c r="DY928"/>
      <c r="DZ928"/>
      <c r="EA928"/>
      <c r="EB928"/>
      <c r="EC928"/>
      <c r="ED928"/>
      <c r="EE928"/>
      <c r="EF928"/>
      <c r="EG928"/>
      <c r="EH928"/>
      <c r="EI928"/>
      <c r="EJ928"/>
      <c r="EK928"/>
      <c r="EL928"/>
      <c r="EM928"/>
      <c r="EN928"/>
      <c r="EO928"/>
      <c r="EP928"/>
      <c r="EQ928"/>
      <c r="ER928"/>
      <c r="ES928"/>
    </row>
    <row r="929" spans="1:149">
      <c r="A929"/>
      <c r="B929"/>
      <c r="C929"/>
      <c r="D929"/>
      <c r="E929"/>
      <c r="F929"/>
      <c r="G929"/>
      <c r="H929"/>
      <c r="I929"/>
      <c r="J929"/>
      <c r="K929"/>
      <c r="L929"/>
      <c r="M929"/>
      <c r="N929"/>
      <c r="O929"/>
      <c r="P929"/>
      <c r="Q929"/>
      <c r="R929"/>
      <c r="S929"/>
      <c r="T929"/>
      <c r="U929"/>
      <c r="V929"/>
      <c r="W929"/>
      <c r="X929"/>
      <c r="Y929"/>
      <c r="Z929"/>
      <c r="AA929"/>
      <c r="AB929"/>
      <c r="AC929"/>
      <c r="AD929"/>
      <c r="AE929"/>
      <c r="AF929"/>
      <c r="AG929"/>
      <c r="AH929"/>
      <c r="AI929"/>
      <c r="AJ929"/>
      <c r="AK929"/>
      <c r="AL929"/>
      <c r="AM929"/>
      <c r="AN929"/>
      <c r="AO929"/>
      <c r="AP929"/>
      <c r="AQ929"/>
      <c r="AR929"/>
      <c r="AS929"/>
      <c r="AT929"/>
      <c r="AU929"/>
      <c r="AV929"/>
      <c r="AW929"/>
      <c r="AX929"/>
      <c r="AY929"/>
      <c r="AZ929"/>
      <c r="BA929"/>
      <c r="BB929"/>
      <c r="BC929"/>
      <c r="BD929"/>
      <c r="BE929"/>
      <c r="BF929"/>
      <c r="BG929"/>
      <c r="BH929"/>
      <c r="BI929"/>
      <c r="BJ929"/>
      <c r="BK929"/>
      <c r="BL929"/>
      <c r="BM929"/>
      <c r="BN929"/>
      <c r="BO929"/>
      <c r="BP929"/>
      <c r="BQ929"/>
      <c r="BR929"/>
      <c r="BS929"/>
      <c r="BT929"/>
      <c r="BU929"/>
      <c r="BV929"/>
      <c r="BW929"/>
      <c r="BX929"/>
      <c r="BY929"/>
      <c r="BZ929"/>
      <c r="CA929"/>
      <c r="CB929"/>
      <c r="CC929"/>
      <c r="CD929"/>
      <c r="CE929"/>
      <c r="CF929"/>
      <c r="CG929"/>
      <c r="CH929"/>
      <c r="CI929"/>
      <c r="CJ929"/>
      <c r="CK929"/>
      <c r="CL929"/>
      <c r="CM929"/>
      <c r="CN929"/>
      <c r="CO929"/>
      <c r="CP929"/>
      <c r="CQ929"/>
      <c r="CR929"/>
      <c r="CS929"/>
      <c r="CT929"/>
      <c r="CU929"/>
      <c r="CV929"/>
      <c r="CW929"/>
      <c r="CX929"/>
      <c r="CY929"/>
      <c r="CZ929"/>
      <c r="DA929"/>
      <c r="DB929"/>
      <c r="DC929"/>
      <c r="DD929"/>
      <c r="DE929"/>
      <c r="DF929"/>
      <c r="DG929"/>
      <c r="DH929"/>
      <c r="DI929"/>
      <c r="DJ929"/>
      <c r="DK929"/>
      <c r="DL929"/>
      <c r="DM929"/>
      <c r="DN929"/>
      <c r="DO929"/>
      <c r="DP929"/>
      <c r="DQ929"/>
      <c r="DR929"/>
      <c r="DS929"/>
      <c r="DT929"/>
      <c r="DU929"/>
      <c r="DV929"/>
      <c r="DW929"/>
      <c r="DX929"/>
      <c r="DY929"/>
      <c r="DZ929"/>
      <c r="EA929"/>
      <c r="EB929"/>
      <c r="EC929"/>
      <c r="ED929"/>
      <c r="EE929"/>
      <c r="EF929"/>
      <c r="EG929"/>
      <c r="EH929"/>
      <c r="EI929"/>
      <c r="EJ929"/>
      <c r="EK929"/>
      <c r="EL929"/>
      <c r="EM929"/>
      <c r="EN929"/>
      <c r="EO929"/>
      <c r="EP929"/>
      <c r="EQ929"/>
      <c r="ER929"/>
      <c r="ES929"/>
    </row>
    <row r="930" spans="1:149">
      <c r="A930"/>
      <c r="B930"/>
      <c r="C930"/>
      <c r="D930"/>
      <c r="E930"/>
      <c r="F930"/>
      <c r="G930"/>
      <c r="H930"/>
      <c r="I930"/>
      <c r="J930"/>
      <c r="K930"/>
      <c r="L930"/>
      <c r="M930"/>
      <c r="N930"/>
      <c r="O930"/>
      <c r="P930"/>
      <c r="Q930"/>
      <c r="R930"/>
      <c r="S930"/>
      <c r="T930"/>
      <c r="U930"/>
      <c r="V930"/>
      <c r="W930"/>
      <c r="X930"/>
      <c r="Y930"/>
      <c r="Z930"/>
      <c r="AA930"/>
      <c r="AB930"/>
      <c r="AC930"/>
      <c r="AD930"/>
      <c r="AE930"/>
      <c r="AF930"/>
      <c r="AG930"/>
      <c r="AH930"/>
      <c r="AI930"/>
      <c r="AJ930"/>
      <c r="AK930"/>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c r="BS930"/>
      <c r="BT930"/>
      <c r="BU930"/>
      <c r="BV930"/>
      <c r="BW930"/>
      <c r="BX930"/>
      <c r="BY930"/>
      <c r="BZ930"/>
      <c r="CA930"/>
      <c r="CB930"/>
      <c r="CC930"/>
      <c r="CD930"/>
      <c r="CE930"/>
      <c r="CF930"/>
      <c r="CG930"/>
      <c r="CH930"/>
      <c r="CI930"/>
      <c r="CJ930"/>
      <c r="CK930"/>
      <c r="CL930"/>
      <c r="CM930"/>
      <c r="CN930"/>
      <c r="CO930"/>
      <c r="CP930"/>
      <c r="CQ930"/>
      <c r="CR930"/>
      <c r="CS930"/>
      <c r="CT930"/>
      <c r="CU930"/>
      <c r="CV930"/>
      <c r="CW930"/>
      <c r="CX930"/>
      <c r="CY930"/>
      <c r="CZ930"/>
      <c r="DA930"/>
      <c r="DB930"/>
      <c r="DC930"/>
      <c r="DD930"/>
      <c r="DE930"/>
      <c r="DF930"/>
      <c r="DG930"/>
      <c r="DH930"/>
      <c r="DI930"/>
      <c r="DJ930"/>
      <c r="DK930"/>
      <c r="DL930"/>
      <c r="DM930"/>
      <c r="DN930"/>
      <c r="DO930"/>
      <c r="DP930"/>
      <c r="DQ930"/>
      <c r="DR930"/>
      <c r="DS930"/>
      <c r="DT930"/>
      <c r="DU930"/>
      <c r="DV930"/>
      <c r="DW930"/>
      <c r="DX930"/>
      <c r="DY930"/>
      <c r="DZ930"/>
      <c r="EA930"/>
      <c r="EB930"/>
      <c r="EC930"/>
      <c r="ED930"/>
      <c r="EE930"/>
      <c r="EF930"/>
      <c r="EG930"/>
      <c r="EH930"/>
      <c r="EI930"/>
      <c r="EJ930"/>
      <c r="EK930"/>
      <c r="EL930"/>
      <c r="EM930"/>
      <c r="EN930"/>
      <c r="EO930"/>
      <c r="EP930"/>
      <c r="EQ930"/>
      <c r="ER930"/>
      <c r="ES930"/>
    </row>
    <row r="931" spans="1:149">
      <c r="A931"/>
      <c r="B931"/>
      <c r="C931"/>
      <c r="D931"/>
      <c r="E931"/>
      <c r="F931"/>
      <c r="G931"/>
      <c r="H931"/>
      <c r="I931"/>
      <c r="J931"/>
      <c r="K931"/>
      <c r="L931"/>
      <c r="M931"/>
      <c r="N931"/>
      <c r="O931"/>
      <c r="P931"/>
      <c r="Q931"/>
      <c r="R931"/>
      <c r="S931"/>
      <c r="T931"/>
      <c r="U931"/>
      <c r="V931"/>
      <c r="W931"/>
      <c r="X931"/>
      <c r="Y931"/>
      <c r="Z931"/>
      <c r="AA931"/>
      <c r="AB931"/>
      <c r="AC931"/>
      <c r="AD931"/>
      <c r="AE931"/>
      <c r="AF931"/>
      <c r="AG931"/>
      <c r="AH931"/>
      <c r="AI931"/>
      <c r="AJ931"/>
      <c r="AK931"/>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c r="BS931"/>
      <c r="BT931"/>
      <c r="BU931"/>
      <c r="BV931"/>
      <c r="BW931"/>
      <c r="BX931"/>
      <c r="BY931"/>
      <c r="BZ931"/>
      <c r="CA931"/>
      <c r="CB931"/>
      <c r="CC931"/>
      <c r="CD931"/>
      <c r="CE931"/>
      <c r="CF931"/>
      <c r="CG931"/>
      <c r="CH931"/>
      <c r="CI931"/>
      <c r="CJ931"/>
      <c r="CK931"/>
      <c r="CL931"/>
      <c r="CM931"/>
      <c r="CN931"/>
      <c r="CO931"/>
      <c r="CP931"/>
      <c r="CQ931"/>
      <c r="CR931"/>
      <c r="CS931"/>
      <c r="CT931"/>
      <c r="CU931"/>
      <c r="CV931"/>
      <c r="CW931"/>
      <c r="CX931"/>
      <c r="CY931"/>
      <c r="CZ931"/>
      <c r="DA931"/>
      <c r="DB931"/>
      <c r="DC931"/>
      <c r="DD931"/>
      <c r="DE931"/>
      <c r="DF931"/>
      <c r="DG931"/>
      <c r="DH931"/>
      <c r="DI931"/>
      <c r="DJ931"/>
      <c r="DK931"/>
      <c r="DL931"/>
      <c r="DM931"/>
      <c r="DN931"/>
      <c r="DO931"/>
      <c r="DP931"/>
      <c r="DQ931"/>
      <c r="DR931"/>
      <c r="DS931"/>
      <c r="DT931"/>
      <c r="DU931"/>
      <c r="DV931"/>
      <c r="DW931"/>
      <c r="DX931"/>
      <c r="DY931"/>
      <c r="DZ931"/>
      <c r="EA931"/>
      <c r="EB931"/>
      <c r="EC931"/>
      <c r="ED931"/>
      <c r="EE931"/>
      <c r="EF931"/>
      <c r="EG931"/>
      <c r="EH931"/>
      <c r="EI931"/>
      <c r="EJ931"/>
      <c r="EK931"/>
      <c r="EL931"/>
      <c r="EM931"/>
      <c r="EN931"/>
      <c r="EO931"/>
      <c r="EP931"/>
      <c r="EQ931"/>
      <c r="ER931"/>
      <c r="ES931"/>
    </row>
    <row r="932" spans="1:149">
      <c r="A932"/>
      <c r="B932"/>
      <c r="C932"/>
      <c r="D932"/>
      <c r="E932"/>
      <c r="F932"/>
      <c r="G932"/>
      <c r="H932"/>
      <c r="I932"/>
      <c r="J932"/>
      <c r="K932"/>
      <c r="L932"/>
      <c r="M932"/>
      <c r="N932"/>
      <c r="O932"/>
      <c r="P932"/>
      <c r="Q932"/>
      <c r="R932"/>
      <c r="S932"/>
      <c r="T932"/>
      <c r="U932"/>
      <c r="V932"/>
      <c r="W932"/>
      <c r="X932"/>
      <c r="Y932"/>
      <c r="Z932"/>
      <c r="AA932"/>
      <c r="AB932"/>
      <c r="AC932"/>
      <c r="AD932"/>
      <c r="AE932"/>
      <c r="AF932"/>
      <c r="AG932"/>
      <c r="AH932"/>
      <c r="AI932"/>
      <c r="AJ932"/>
      <c r="AK932"/>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c r="BS932"/>
      <c r="BT932"/>
      <c r="BU932"/>
      <c r="BV932"/>
      <c r="BW932"/>
      <c r="BX932"/>
      <c r="BY932"/>
      <c r="BZ932"/>
      <c r="CA932"/>
      <c r="CB932"/>
      <c r="CC932"/>
      <c r="CD932"/>
      <c r="CE932"/>
      <c r="CF932"/>
      <c r="CG932"/>
      <c r="CH932"/>
      <c r="CI932"/>
      <c r="CJ932"/>
      <c r="CK932"/>
      <c r="CL932"/>
      <c r="CM932"/>
      <c r="CN932"/>
      <c r="CO932"/>
      <c r="CP932"/>
      <c r="CQ932"/>
      <c r="CR932"/>
      <c r="CS932"/>
      <c r="CT932"/>
      <c r="CU932"/>
      <c r="CV932"/>
      <c r="CW932"/>
      <c r="CX932"/>
      <c r="CY932"/>
      <c r="CZ932"/>
      <c r="DA932"/>
      <c r="DB932"/>
      <c r="DC932"/>
      <c r="DD932"/>
      <c r="DE932"/>
      <c r="DF932"/>
      <c r="DG932"/>
      <c r="DH932"/>
      <c r="DI932"/>
      <c r="DJ932"/>
      <c r="DK932"/>
      <c r="DL932"/>
      <c r="DM932"/>
      <c r="DN932"/>
      <c r="DO932"/>
      <c r="DP932"/>
      <c r="DQ932"/>
      <c r="DR932"/>
      <c r="DS932"/>
      <c r="DT932"/>
      <c r="DU932"/>
      <c r="DV932"/>
      <c r="DW932"/>
      <c r="DX932"/>
      <c r="DY932"/>
      <c r="DZ932"/>
      <c r="EA932"/>
      <c r="EB932"/>
      <c r="EC932"/>
      <c r="ED932"/>
      <c r="EE932"/>
      <c r="EF932"/>
      <c r="EG932"/>
      <c r="EH932"/>
      <c r="EI932"/>
      <c r="EJ932"/>
      <c r="EK932"/>
      <c r="EL932"/>
      <c r="EM932"/>
      <c r="EN932"/>
      <c r="EO932"/>
      <c r="EP932"/>
      <c r="EQ932"/>
      <c r="ER932"/>
      <c r="ES932"/>
    </row>
    <row r="933" spans="1:149">
      <c r="A933"/>
      <c r="B933"/>
      <c r="C933"/>
      <c r="D933"/>
      <c r="E933"/>
      <c r="F933"/>
      <c r="G933"/>
      <c r="H933"/>
      <c r="I933"/>
      <c r="J933"/>
      <c r="K933"/>
      <c r="L933"/>
      <c r="M933"/>
      <c r="N933"/>
      <c r="O933"/>
      <c r="P933"/>
      <c r="Q933"/>
      <c r="R933"/>
      <c r="S933"/>
      <c r="T933"/>
      <c r="U933"/>
      <c r="V933"/>
      <c r="W933"/>
      <c r="X933"/>
      <c r="Y933"/>
      <c r="Z933"/>
      <c r="AA933"/>
      <c r="AB933"/>
      <c r="AC933"/>
      <c r="AD933"/>
      <c r="AE933"/>
      <c r="AF933"/>
      <c r="AG933"/>
      <c r="AH933"/>
      <c r="AI933"/>
      <c r="AJ933"/>
      <c r="AK933"/>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c r="BS933"/>
      <c r="BT933"/>
      <c r="BU933"/>
      <c r="BV933"/>
      <c r="BW933"/>
      <c r="BX933"/>
      <c r="BY933"/>
      <c r="BZ933"/>
      <c r="CA933"/>
      <c r="CB933"/>
      <c r="CC933"/>
      <c r="CD933"/>
      <c r="CE933"/>
      <c r="CF933"/>
      <c r="CG933"/>
      <c r="CH933"/>
      <c r="CI933"/>
      <c r="CJ933"/>
      <c r="CK933"/>
      <c r="CL933"/>
      <c r="CM933"/>
      <c r="CN933"/>
      <c r="CO933"/>
      <c r="CP933"/>
      <c r="CQ933"/>
      <c r="CR933"/>
      <c r="CS933"/>
      <c r="CT933"/>
      <c r="CU933"/>
      <c r="CV933"/>
      <c r="CW933"/>
      <c r="CX933"/>
      <c r="CY933"/>
      <c r="CZ933"/>
      <c r="DA933"/>
      <c r="DB933"/>
      <c r="DC933"/>
      <c r="DD933"/>
      <c r="DE933"/>
      <c r="DF933"/>
      <c r="DG933"/>
      <c r="DH933"/>
      <c r="DI933"/>
      <c r="DJ933"/>
      <c r="DK933"/>
      <c r="DL933"/>
      <c r="DM933"/>
      <c r="DN933"/>
      <c r="DO933"/>
      <c r="DP933"/>
      <c r="DQ933"/>
      <c r="DR933"/>
      <c r="DS933"/>
      <c r="DT933"/>
      <c r="DU933"/>
      <c r="DV933"/>
      <c r="DW933"/>
      <c r="DX933"/>
      <c r="DY933"/>
      <c r="DZ933"/>
      <c r="EA933"/>
      <c r="EB933"/>
      <c r="EC933"/>
      <c r="ED933"/>
      <c r="EE933"/>
      <c r="EF933"/>
      <c r="EG933"/>
      <c r="EH933"/>
      <c r="EI933"/>
      <c r="EJ933"/>
      <c r="EK933"/>
      <c r="EL933"/>
      <c r="EM933"/>
      <c r="EN933"/>
      <c r="EO933"/>
      <c r="EP933"/>
      <c r="EQ933"/>
      <c r="ER933"/>
      <c r="ES933"/>
    </row>
    <row r="934" spans="1:149">
      <c r="A934"/>
      <c r="B934"/>
      <c r="C934"/>
      <c r="D934"/>
      <c r="E934"/>
      <c r="F934"/>
      <c r="G934"/>
      <c r="H934"/>
      <c r="I934"/>
      <c r="J934"/>
      <c r="K934"/>
      <c r="L934"/>
      <c r="M934"/>
      <c r="N934"/>
      <c r="O934"/>
      <c r="P934"/>
      <c r="Q934"/>
      <c r="R934"/>
      <c r="S934"/>
      <c r="T934"/>
      <c r="U934"/>
      <c r="V934"/>
      <c r="W934"/>
      <c r="X934"/>
      <c r="Y934"/>
      <c r="Z934"/>
      <c r="AA934"/>
      <c r="AB934"/>
      <c r="AC934"/>
      <c r="AD934"/>
      <c r="AE934"/>
      <c r="AF934"/>
      <c r="AG934"/>
      <c r="AH934"/>
      <c r="AI934"/>
      <c r="AJ934"/>
      <c r="AK934"/>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c r="BS934"/>
      <c r="BT934"/>
      <c r="BU934"/>
      <c r="BV934"/>
      <c r="BW934"/>
      <c r="BX934"/>
      <c r="BY934"/>
      <c r="BZ934"/>
      <c r="CA934"/>
      <c r="CB934"/>
      <c r="CC934"/>
      <c r="CD934"/>
      <c r="CE934"/>
      <c r="CF934"/>
      <c r="CG934"/>
      <c r="CH934"/>
      <c r="CI934"/>
      <c r="CJ934"/>
      <c r="CK934"/>
      <c r="CL934"/>
      <c r="CM934"/>
      <c r="CN934"/>
      <c r="CO934"/>
      <c r="CP934"/>
      <c r="CQ934"/>
      <c r="CR934"/>
      <c r="CS934"/>
      <c r="CT934"/>
      <c r="CU934"/>
      <c r="CV934"/>
      <c r="CW934"/>
      <c r="CX934"/>
      <c r="CY934"/>
      <c r="CZ934"/>
      <c r="DA934"/>
      <c r="DB934"/>
      <c r="DC934"/>
      <c r="DD934"/>
      <c r="DE934"/>
      <c r="DF934"/>
      <c r="DG934"/>
      <c r="DH934"/>
      <c r="DI934"/>
      <c r="DJ934"/>
      <c r="DK934"/>
      <c r="DL934"/>
      <c r="DM934"/>
      <c r="DN934"/>
      <c r="DO934"/>
      <c r="DP934"/>
      <c r="DQ934"/>
      <c r="DR934"/>
      <c r="DS934"/>
      <c r="DT934"/>
      <c r="DU934"/>
      <c r="DV934"/>
      <c r="DW934"/>
      <c r="DX934"/>
      <c r="DY934"/>
      <c r="DZ934"/>
      <c r="EA934"/>
      <c r="EB934"/>
      <c r="EC934"/>
      <c r="ED934"/>
      <c r="EE934"/>
      <c r="EF934"/>
      <c r="EG934"/>
      <c r="EH934"/>
      <c r="EI934"/>
      <c r="EJ934"/>
      <c r="EK934"/>
      <c r="EL934"/>
      <c r="EM934"/>
      <c r="EN934"/>
      <c r="EO934"/>
      <c r="EP934"/>
      <c r="EQ934"/>
      <c r="ER934"/>
      <c r="ES934"/>
    </row>
    <row r="935" spans="1:149">
      <c r="A935"/>
      <c r="B935"/>
      <c r="C935"/>
      <c r="D935"/>
      <c r="E935"/>
      <c r="F935"/>
      <c r="G935"/>
      <c r="H935"/>
      <c r="I935"/>
      <c r="J935"/>
      <c r="K935"/>
      <c r="L935"/>
      <c r="M935"/>
      <c r="N935"/>
      <c r="O935"/>
      <c r="P935"/>
      <c r="Q935"/>
      <c r="R935"/>
      <c r="S935"/>
      <c r="T935"/>
      <c r="U935"/>
      <c r="V935"/>
      <c r="W935"/>
      <c r="X935"/>
      <c r="Y935"/>
      <c r="Z935"/>
      <c r="AA935"/>
      <c r="AB935"/>
      <c r="AC935"/>
      <c r="AD935"/>
      <c r="AE935"/>
      <c r="AF935"/>
      <c r="AG935"/>
      <c r="AH935"/>
      <c r="AI935"/>
      <c r="AJ935"/>
      <c r="AK935"/>
      <c r="AL935"/>
      <c r="AM935"/>
      <c r="AN935"/>
      <c r="AO935"/>
      <c r="AP935"/>
      <c r="AQ935"/>
      <c r="AR935"/>
      <c r="AS935"/>
      <c r="AT935"/>
      <c r="AU935"/>
      <c r="AV935"/>
      <c r="AW935"/>
      <c r="AX935"/>
      <c r="AY935"/>
      <c r="AZ935"/>
      <c r="BA935"/>
      <c r="BB935"/>
      <c r="BC935"/>
      <c r="BD935"/>
      <c r="BE935"/>
      <c r="BF935"/>
      <c r="BG935"/>
      <c r="BH935"/>
      <c r="BI935"/>
      <c r="BJ935"/>
      <c r="BK935"/>
      <c r="BL935"/>
      <c r="BM935"/>
      <c r="BN935"/>
      <c r="BO935"/>
      <c r="BP935"/>
      <c r="BQ935"/>
      <c r="BR935"/>
      <c r="BS935"/>
      <c r="BT935"/>
      <c r="BU935"/>
      <c r="BV935"/>
      <c r="BW935"/>
      <c r="BX935"/>
      <c r="BY935"/>
      <c r="BZ935"/>
      <c r="CA935"/>
      <c r="CB935"/>
      <c r="CC935"/>
      <c r="CD935"/>
      <c r="CE935"/>
      <c r="CF935"/>
      <c r="CG935"/>
      <c r="CH935"/>
      <c r="CI935"/>
      <c r="CJ935"/>
      <c r="CK935"/>
      <c r="CL935"/>
      <c r="CM935"/>
      <c r="CN935"/>
      <c r="CO935"/>
      <c r="CP935"/>
      <c r="CQ935"/>
      <c r="CR935"/>
      <c r="CS935"/>
      <c r="CT935"/>
      <c r="CU935"/>
      <c r="CV935"/>
      <c r="CW935"/>
      <c r="CX935"/>
      <c r="CY935"/>
      <c r="CZ935"/>
      <c r="DA935"/>
      <c r="DB935"/>
      <c r="DC935"/>
      <c r="DD935"/>
      <c r="DE935"/>
      <c r="DF935"/>
      <c r="DG935"/>
      <c r="DH935"/>
      <c r="DI935"/>
      <c r="DJ935"/>
      <c r="DK935"/>
      <c r="DL935"/>
      <c r="DM935"/>
      <c r="DN935"/>
      <c r="DO935"/>
      <c r="DP935"/>
      <c r="DQ935"/>
      <c r="DR935"/>
      <c r="DS935"/>
      <c r="DT935"/>
      <c r="DU935"/>
      <c r="DV935"/>
      <c r="DW935"/>
      <c r="DX935"/>
      <c r="DY935"/>
      <c r="DZ935"/>
      <c r="EA935"/>
      <c r="EB935"/>
      <c r="EC935"/>
      <c r="ED935"/>
      <c r="EE935"/>
      <c r="EF935"/>
      <c r="EG935"/>
      <c r="EH935"/>
      <c r="EI935"/>
      <c r="EJ935"/>
      <c r="EK935"/>
      <c r="EL935"/>
      <c r="EM935"/>
      <c r="EN935"/>
      <c r="EO935"/>
      <c r="EP935"/>
      <c r="EQ935"/>
      <c r="ER935"/>
      <c r="ES935"/>
    </row>
    <row r="936" spans="1:149">
      <c r="A936"/>
      <c r="B936"/>
      <c r="C936"/>
      <c r="D936"/>
      <c r="E936"/>
      <c r="F936"/>
      <c r="G936"/>
      <c r="H936"/>
      <c r="I936"/>
      <c r="J936"/>
      <c r="K936"/>
      <c r="L936"/>
      <c r="M936"/>
      <c r="N936"/>
      <c r="O936"/>
      <c r="P936"/>
      <c r="Q936"/>
      <c r="R936"/>
      <c r="S936"/>
      <c r="T936"/>
      <c r="U936"/>
      <c r="V936"/>
      <c r="W936"/>
      <c r="X936"/>
      <c r="Y936"/>
      <c r="Z936"/>
      <c r="AA936"/>
      <c r="AB936"/>
      <c r="AC936"/>
      <c r="AD936"/>
      <c r="AE936"/>
      <c r="AF936"/>
      <c r="AG936"/>
      <c r="AH936"/>
      <c r="AI936"/>
      <c r="AJ936"/>
      <c r="AK936"/>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c r="BS936"/>
      <c r="BT936"/>
      <c r="BU936"/>
      <c r="BV936"/>
      <c r="BW936"/>
      <c r="BX936"/>
      <c r="BY936"/>
      <c r="BZ936"/>
      <c r="CA936"/>
      <c r="CB936"/>
      <c r="CC936"/>
      <c r="CD936"/>
      <c r="CE936"/>
      <c r="CF936"/>
      <c r="CG936"/>
      <c r="CH936"/>
      <c r="CI936"/>
      <c r="CJ936"/>
      <c r="CK936"/>
      <c r="CL936"/>
      <c r="CM936"/>
      <c r="CN936"/>
      <c r="CO936"/>
      <c r="CP936"/>
      <c r="CQ936"/>
      <c r="CR936"/>
      <c r="CS936"/>
      <c r="CT936"/>
      <c r="CU936"/>
      <c r="CV936"/>
      <c r="CW936"/>
      <c r="CX936"/>
      <c r="CY936"/>
      <c r="CZ936"/>
      <c r="DA936"/>
      <c r="DB936"/>
      <c r="DC936"/>
      <c r="DD936"/>
      <c r="DE936"/>
      <c r="DF936"/>
      <c r="DG936"/>
      <c r="DH936"/>
      <c r="DI936"/>
      <c r="DJ936"/>
      <c r="DK936"/>
      <c r="DL936"/>
      <c r="DM936"/>
      <c r="DN936"/>
      <c r="DO936"/>
      <c r="DP936"/>
      <c r="DQ936"/>
      <c r="DR936"/>
      <c r="DS936"/>
      <c r="DT936"/>
      <c r="DU936"/>
      <c r="DV936"/>
      <c r="DW936"/>
      <c r="DX936"/>
      <c r="DY936"/>
      <c r="DZ936"/>
      <c r="EA936"/>
      <c r="EB936"/>
      <c r="EC936"/>
      <c r="ED936"/>
      <c r="EE936"/>
      <c r="EF936"/>
      <c r="EG936"/>
      <c r="EH936"/>
      <c r="EI936"/>
      <c r="EJ936"/>
      <c r="EK936"/>
      <c r="EL936"/>
      <c r="EM936"/>
      <c r="EN936"/>
      <c r="EO936"/>
      <c r="EP936"/>
      <c r="EQ936"/>
      <c r="ER936"/>
      <c r="ES936"/>
    </row>
    <row r="937" spans="1:149">
      <c r="A937"/>
      <c r="B937"/>
      <c r="C937"/>
      <c r="D937"/>
      <c r="E937"/>
      <c r="F937"/>
      <c r="G937"/>
      <c r="H937"/>
      <c r="I937"/>
      <c r="J937"/>
      <c r="K937"/>
      <c r="L937"/>
      <c r="M937"/>
      <c r="N937"/>
      <c r="O937"/>
      <c r="P937"/>
      <c r="Q937"/>
      <c r="R937"/>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c r="BZ937"/>
      <c r="CA937"/>
      <c r="CB937"/>
      <c r="CC937"/>
      <c r="CD937"/>
      <c r="CE937"/>
      <c r="CF937"/>
      <c r="CG937"/>
      <c r="CH937"/>
      <c r="CI937"/>
      <c r="CJ937"/>
      <c r="CK937"/>
      <c r="CL937"/>
      <c r="CM937"/>
      <c r="CN937"/>
      <c r="CO937"/>
      <c r="CP937"/>
      <c r="CQ937"/>
      <c r="CR937"/>
      <c r="CS937"/>
      <c r="CT937"/>
      <c r="CU937"/>
      <c r="CV937"/>
      <c r="CW937"/>
      <c r="CX937"/>
      <c r="CY937"/>
      <c r="CZ937"/>
      <c r="DA937"/>
      <c r="DB937"/>
      <c r="DC937"/>
      <c r="DD937"/>
      <c r="DE937"/>
      <c r="DF937"/>
      <c r="DG937"/>
      <c r="DH937"/>
      <c r="DI937"/>
      <c r="DJ937"/>
      <c r="DK937"/>
      <c r="DL937"/>
      <c r="DM937"/>
      <c r="DN937"/>
      <c r="DO937"/>
      <c r="DP937"/>
      <c r="DQ937"/>
      <c r="DR937"/>
      <c r="DS937"/>
      <c r="DT937"/>
      <c r="DU937"/>
      <c r="DV937"/>
      <c r="DW937"/>
      <c r="DX937"/>
      <c r="DY937"/>
      <c r="DZ937"/>
      <c r="EA937"/>
      <c r="EB937"/>
      <c r="EC937"/>
      <c r="ED937"/>
      <c r="EE937"/>
      <c r="EF937"/>
      <c r="EG937"/>
      <c r="EH937"/>
      <c r="EI937"/>
      <c r="EJ937"/>
      <c r="EK937"/>
      <c r="EL937"/>
      <c r="EM937"/>
      <c r="EN937"/>
      <c r="EO937"/>
      <c r="EP937"/>
      <c r="EQ937"/>
      <c r="ER937"/>
      <c r="ES937"/>
    </row>
    <row r="938" spans="1:149">
      <c r="A938"/>
      <c r="B938"/>
      <c r="C938"/>
      <c r="D938"/>
      <c r="E938"/>
      <c r="F938"/>
      <c r="G938"/>
      <c r="H938"/>
      <c r="I938"/>
      <c r="J938"/>
      <c r="K938"/>
      <c r="L938"/>
      <c r="M938"/>
      <c r="N938"/>
      <c r="O938"/>
      <c r="P938"/>
      <c r="Q938"/>
      <c r="R938"/>
      <c r="S938"/>
      <c r="T938"/>
      <c r="U938"/>
      <c r="V938"/>
      <c r="W938"/>
      <c r="X938"/>
      <c r="Y938"/>
      <c r="Z938"/>
      <c r="AA938"/>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c r="BZ938"/>
      <c r="CA938"/>
      <c r="CB938"/>
      <c r="CC938"/>
      <c r="CD938"/>
      <c r="CE938"/>
      <c r="CF938"/>
      <c r="CG938"/>
      <c r="CH938"/>
      <c r="CI938"/>
      <c r="CJ938"/>
      <c r="CK938"/>
      <c r="CL938"/>
      <c r="CM938"/>
      <c r="CN938"/>
      <c r="CO938"/>
      <c r="CP938"/>
      <c r="CQ938"/>
      <c r="CR938"/>
      <c r="CS938"/>
      <c r="CT938"/>
      <c r="CU938"/>
      <c r="CV938"/>
      <c r="CW938"/>
      <c r="CX938"/>
      <c r="CY938"/>
      <c r="CZ938"/>
      <c r="DA938"/>
      <c r="DB938"/>
      <c r="DC938"/>
      <c r="DD938"/>
      <c r="DE938"/>
      <c r="DF938"/>
      <c r="DG938"/>
      <c r="DH938"/>
      <c r="DI938"/>
      <c r="DJ938"/>
      <c r="DK938"/>
      <c r="DL938"/>
      <c r="DM938"/>
      <c r="DN938"/>
      <c r="DO938"/>
      <c r="DP938"/>
      <c r="DQ938"/>
      <c r="DR938"/>
      <c r="DS938"/>
      <c r="DT938"/>
      <c r="DU938"/>
      <c r="DV938"/>
      <c r="DW938"/>
      <c r="DX938"/>
      <c r="DY938"/>
      <c r="DZ938"/>
      <c r="EA938"/>
      <c r="EB938"/>
      <c r="EC938"/>
      <c r="ED938"/>
      <c r="EE938"/>
      <c r="EF938"/>
      <c r="EG938"/>
      <c r="EH938"/>
      <c r="EI938"/>
      <c r="EJ938"/>
      <c r="EK938"/>
      <c r="EL938"/>
      <c r="EM938"/>
      <c r="EN938"/>
      <c r="EO938"/>
      <c r="EP938"/>
      <c r="EQ938"/>
      <c r="ER938"/>
      <c r="ES938"/>
    </row>
    <row r="939" spans="1:149">
      <c r="A939"/>
      <c r="B939"/>
      <c r="C939"/>
      <c r="D939"/>
      <c r="E939"/>
      <c r="F939"/>
      <c r="G939"/>
      <c r="H939"/>
      <c r="I939"/>
      <c r="J939"/>
      <c r="K939"/>
      <c r="L939"/>
      <c r="M939"/>
      <c r="N939"/>
      <c r="O939"/>
      <c r="P939"/>
      <c r="Q939"/>
      <c r="R939"/>
      <c r="S939"/>
      <c r="T939"/>
      <c r="U939"/>
      <c r="V939"/>
      <c r="W939"/>
      <c r="X939"/>
      <c r="Y939"/>
      <c r="Z939"/>
      <c r="AA939"/>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c r="BZ939"/>
      <c r="CA939"/>
      <c r="CB939"/>
      <c r="CC939"/>
      <c r="CD939"/>
      <c r="CE939"/>
      <c r="CF939"/>
      <c r="CG939"/>
      <c r="CH939"/>
      <c r="CI939"/>
      <c r="CJ939"/>
      <c r="CK939"/>
      <c r="CL939"/>
      <c r="CM939"/>
      <c r="CN939"/>
      <c r="CO939"/>
      <c r="CP939"/>
      <c r="CQ939"/>
      <c r="CR939"/>
      <c r="CS939"/>
      <c r="CT939"/>
      <c r="CU939"/>
      <c r="CV939"/>
      <c r="CW939"/>
      <c r="CX939"/>
      <c r="CY939"/>
      <c r="CZ939"/>
      <c r="DA939"/>
      <c r="DB939"/>
      <c r="DC939"/>
      <c r="DD939"/>
      <c r="DE939"/>
      <c r="DF939"/>
      <c r="DG939"/>
      <c r="DH939"/>
      <c r="DI939"/>
      <c r="DJ939"/>
      <c r="DK939"/>
      <c r="DL939"/>
      <c r="DM939"/>
      <c r="DN939"/>
      <c r="DO939"/>
      <c r="DP939"/>
      <c r="DQ939"/>
      <c r="DR939"/>
      <c r="DS939"/>
      <c r="DT939"/>
      <c r="DU939"/>
      <c r="DV939"/>
      <c r="DW939"/>
      <c r="DX939"/>
      <c r="DY939"/>
      <c r="DZ939"/>
      <c r="EA939"/>
      <c r="EB939"/>
      <c r="EC939"/>
      <c r="ED939"/>
      <c r="EE939"/>
      <c r="EF939"/>
      <c r="EG939"/>
      <c r="EH939"/>
      <c r="EI939"/>
      <c r="EJ939"/>
      <c r="EK939"/>
      <c r="EL939"/>
      <c r="EM939"/>
      <c r="EN939"/>
      <c r="EO939"/>
      <c r="EP939"/>
      <c r="EQ939"/>
      <c r="ER939"/>
      <c r="ES939"/>
    </row>
    <row r="940" spans="1:149">
      <c r="A940"/>
      <c r="B940"/>
      <c r="C940"/>
      <c r="D940"/>
      <c r="E940"/>
      <c r="F940"/>
      <c r="G940"/>
      <c r="H940"/>
      <c r="I940"/>
      <c r="J940"/>
      <c r="K940"/>
      <c r="L940"/>
      <c r="M940"/>
      <c r="N940"/>
      <c r="O940"/>
      <c r="P940"/>
      <c r="Q940"/>
      <c r="R940"/>
      <c r="S940"/>
      <c r="T940"/>
      <c r="U940"/>
      <c r="V940"/>
      <c r="W940"/>
      <c r="X940"/>
      <c r="Y940"/>
      <c r="Z940"/>
      <c r="AA940"/>
      <c r="AB940"/>
      <c r="AC940"/>
      <c r="AD940"/>
      <c r="AE940"/>
      <c r="AF940"/>
      <c r="AG940"/>
      <c r="AH940"/>
      <c r="AI940"/>
      <c r="AJ940"/>
      <c r="AK940"/>
      <c r="AL940"/>
      <c r="AM940"/>
      <c r="AN940"/>
      <c r="AO940"/>
      <c r="AP940"/>
      <c r="AQ940"/>
      <c r="AR940"/>
      <c r="AS940"/>
      <c r="AT940"/>
      <c r="AU940"/>
      <c r="AV940"/>
      <c r="AW940"/>
      <c r="AX940"/>
      <c r="AY940"/>
      <c r="AZ940"/>
      <c r="BA940"/>
      <c r="BB940"/>
      <c r="BC940"/>
      <c r="BD940"/>
      <c r="BE940"/>
      <c r="BF940"/>
      <c r="BG940"/>
      <c r="BH940"/>
      <c r="BI940"/>
      <c r="BJ940"/>
      <c r="BK940"/>
      <c r="BL940"/>
      <c r="BM940"/>
      <c r="BN940"/>
      <c r="BO940"/>
      <c r="BP940"/>
      <c r="BQ940"/>
      <c r="BR940"/>
      <c r="BS940"/>
      <c r="BT940"/>
      <c r="BU940"/>
      <c r="BV940"/>
      <c r="BW940"/>
      <c r="BX940"/>
      <c r="BY940"/>
      <c r="BZ940"/>
      <c r="CA940"/>
      <c r="CB940"/>
      <c r="CC940"/>
      <c r="CD940"/>
      <c r="CE940"/>
      <c r="CF940"/>
      <c r="CG940"/>
      <c r="CH940"/>
      <c r="CI940"/>
      <c r="CJ940"/>
      <c r="CK940"/>
      <c r="CL940"/>
      <c r="CM940"/>
      <c r="CN940"/>
      <c r="CO940"/>
      <c r="CP940"/>
      <c r="CQ940"/>
      <c r="CR940"/>
      <c r="CS940"/>
      <c r="CT940"/>
      <c r="CU940"/>
      <c r="CV940"/>
      <c r="CW940"/>
      <c r="CX940"/>
      <c r="CY940"/>
      <c r="CZ940"/>
      <c r="DA940"/>
      <c r="DB940"/>
      <c r="DC940"/>
      <c r="DD940"/>
      <c r="DE940"/>
      <c r="DF940"/>
      <c r="DG940"/>
      <c r="DH940"/>
      <c r="DI940"/>
      <c r="DJ940"/>
      <c r="DK940"/>
      <c r="DL940"/>
      <c r="DM940"/>
      <c r="DN940"/>
      <c r="DO940"/>
      <c r="DP940"/>
      <c r="DQ940"/>
      <c r="DR940"/>
      <c r="DS940"/>
      <c r="DT940"/>
      <c r="DU940"/>
      <c r="DV940"/>
      <c r="DW940"/>
      <c r="DX940"/>
      <c r="DY940"/>
      <c r="DZ940"/>
      <c r="EA940"/>
      <c r="EB940"/>
      <c r="EC940"/>
      <c r="ED940"/>
      <c r="EE940"/>
      <c r="EF940"/>
      <c r="EG940"/>
      <c r="EH940"/>
      <c r="EI940"/>
      <c r="EJ940"/>
      <c r="EK940"/>
      <c r="EL940"/>
      <c r="EM940"/>
      <c r="EN940"/>
      <c r="EO940"/>
      <c r="EP940"/>
      <c r="EQ940"/>
      <c r="ER940"/>
      <c r="ES940"/>
    </row>
    <row r="941" spans="1:149">
      <c r="A941"/>
      <c r="B941"/>
      <c r="C941"/>
      <c r="D941"/>
      <c r="E941"/>
      <c r="F941"/>
      <c r="G941"/>
      <c r="H941"/>
      <c r="I941"/>
      <c r="J941"/>
      <c r="K941"/>
      <c r="L941"/>
      <c r="M941"/>
      <c r="N941"/>
      <c r="O941"/>
      <c r="P941"/>
      <c r="Q941"/>
      <c r="R941"/>
      <c r="S941"/>
      <c r="T941"/>
      <c r="U941"/>
      <c r="V941"/>
      <c r="W941"/>
      <c r="X941"/>
      <c r="Y941"/>
      <c r="Z941"/>
      <c r="AA941"/>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c r="BZ941"/>
      <c r="CA941"/>
      <c r="CB941"/>
      <c r="CC941"/>
      <c r="CD941"/>
      <c r="CE941"/>
      <c r="CF941"/>
      <c r="CG941"/>
      <c r="CH941"/>
      <c r="CI941"/>
      <c r="CJ941"/>
      <c r="CK941"/>
      <c r="CL941"/>
      <c r="CM941"/>
      <c r="CN941"/>
      <c r="CO941"/>
      <c r="CP941"/>
      <c r="CQ941"/>
      <c r="CR941"/>
      <c r="CS941"/>
      <c r="CT941"/>
      <c r="CU941"/>
      <c r="CV941"/>
      <c r="CW941"/>
      <c r="CX941"/>
      <c r="CY941"/>
      <c r="CZ941"/>
      <c r="DA941"/>
      <c r="DB941"/>
      <c r="DC941"/>
      <c r="DD941"/>
      <c r="DE941"/>
      <c r="DF941"/>
      <c r="DG941"/>
      <c r="DH941"/>
      <c r="DI941"/>
      <c r="DJ941"/>
      <c r="DK941"/>
      <c r="DL941"/>
      <c r="DM941"/>
      <c r="DN941"/>
      <c r="DO941"/>
      <c r="DP941"/>
      <c r="DQ941"/>
      <c r="DR941"/>
      <c r="DS941"/>
      <c r="DT941"/>
      <c r="DU941"/>
      <c r="DV941"/>
      <c r="DW941"/>
      <c r="DX941"/>
      <c r="DY941"/>
      <c r="DZ941"/>
      <c r="EA941"/>
      <c r="EB941"/>
      <c r="EC941"/>
      <c r="ED941"/>
      <c r="EE941"/>
      <c r="EF941"/>
      <c r="EG941"/>
      <c r="EH941"/>
      <c r="EI941"/>
      <c r="EJ941"/>
      <c r="EK941"/>
      <c r="EL941"/>
      <c r="EM941"/>
      <c r="EN941"/>
      <c r="EO941"/>
      <c r="EP941"/>
      <c r="EQ941"/>
      <c r="ER941"/>
      <c r="ES941"/>
    </row>
    <row r="942" spans="1:149">
      <c r="A942"/>
      <c r="B942"/>
      <c r="C942"/>
      <c r="D942"/>
      <c r="E942"/>
      <c r="F942"/>
      <c r="G942"/>
      <c r="H942"/>
      <c r="I942"/>
      <c r="J942"/>
      <c r="K942"/>
      <c r="L942"/>
      <c r="M942"/>
      <c r="N942"/>
      <c r="O942"/>
      <c r="P942"/>
      <c r="Q942"/>
      <c r="R942"/>
      <c r="S942"/>
      <c r="T942"/>
      <c r="U942"/>
      <c r="V942"/>
      <c r="W942"/>
      <c r="X942"/>
      <c r="Y942"/>
      <c r="Z942"/>
      <c r="AA942"/>
      <c r="AB942"/>
      <c r="AC942"/>
      <c r="AD942"/>
      <c r="AE942"/>
      <c r="AF942"/>
      <c r="AG942"/>
      <c r="AH942"/>
      <c r="AI942"/>
      <c r="AJ942"/>
      <c r="AK942"/>
      <c r="AL942"/>
      <c r="AM942"/>
      <c r="AN942"/>
      <c r="AO942"/>
      <c r="AP942"/>
      <c r="AQ942"/>
      <c r="AR942"/>
      <c r="AS942"/>
      <c r="AT942"/>
      <c r="AU942"/>
      <c r="AV942"/>
      <c r="AW942"/>
      <c r="AX942"/>
      <c r="AY942"/>
      <c r="AZ942"/>
      <c r="BA942"/>
      <c r="BB942"/>
      <c r="BC942"/>
      <c r="BD942"/>
      <c r="BE942"/>
      <c r="BF942"/>
      <c r="BG942"/>
      <c r="BH942"/>
      <c r="BI942"/>
      <c r="BJ942"/>
      <c r="BK942"/>
      <c r="BL942"/>
      <c r="BM942"/>
      <c r="BN942"/>
      <c r="BO942"/>
      <c r="BP942"/>
      <c r="BQ942"/>
      <c r="BR942"/>
      <c r="BS942"/>
      <c r="BT942"/>
      <c r="BU942"/>
      <c r="BV942"/>
      <c r="BW942"/>
      <c r="BX942"/>
      <c r="BY942"/>
      <c r="BZ942"/>
      <c r="CA942"/>
      <c r="CB942"/>
      <c r="CC942"/>
      <c r="CD942"/>
      <c r="CE942"/>
      <c r="CF942"/>
      <c r="CG942"/>
      <c r="CH942"/>
      <c r="CI942"/>
      <c r="CJ942"/>
      <c r="CK942"/>
      <c r="CL942"/>
      <c r="CM942"/>
      <c r="CN942"/>
      <c r="CO942"/>
      <c r="CP942"/>
      <c r="CQ942"/>
      <c r="CR942"/>
      <c r="CS942"/>
      <c r="CT942"/>
      <c r="CU942"/>
      <c r="CV942"/>
      <c r="CW942"/>
      <c r="CX942"/>
      <c r="CY942"/>
      <c r="CZ942"/>
      <c r="DA942"/>
      <c r="DB942"/>
      <c r="DC942"/>
      <c r="DD942"/>
      <c r="DE942"/>
      <c r="DF942"/>
      <c r="DG942"/>
      <c r="DH942"/>
      <c r="DI942"/>
      <c r="DJ942"/>
      <c r="DK942"/>
      <c r="DL942"/>
      <c r="DM942"/>
      <c r="DN942"/>
      <c r="DO942"/>
      <c r="DP942"/>
      <c r="DQ942"/>
      <c r="DR942"/>
      <c r="DS942"/>
      <c r="DT942"/>
      <c r="DU942"/>
      <c r="DV942"/>
      <c r="DW942"/>
      <c r="DX942"/>
      <c r="DY942"/>
      <c r="DZ942"/>
      <c r="EA942"/>
      <c r="EB942"/>
      <c r="EC942"/>
      <c r="ED942"/>
      <c r="EE942"/>
      <c r="EF942"/>
      <c r="EG942"/>
      <c r="EH942"/>
      <c r="EI942"/>
      <c r="EJ942"/>
      <c r="EK942"/>
      <c r="EL942"/>
      <c r="EM942"/>
      <c r="EN942"/>
      <c r="EO942"/>
      <c r="EP942"/>
      <c r="EQ942"/>
      <c r="ER942"/>
      <c r="ES942"/>
    </row>
    <row r="943" spans="1:149">
      <c r="A943"/>
      <c r="B943"/>
      <c r="C943"/>
      <c r="D943"/>
      <c r="E943"/>
      <c r="F943"/>
      <c r="G943"/>
      <c r="H943"/>
      <c r="I943"/>
      <c r="J943"/>
      <c r="K943"/>
      <c r="L943"/>
      <c r="M943"/>
      <c r="N943"/>
      <c r="O943"/>
      <c r="P943"/>
      <c r="Q943"/>
      <c r="R943"/>
      <c r="S943"/>
      <c r="T943"/>
      <c r="U943"/>
      <c r="V943"/>
      <c r="W943"/>
      <c r="X943"/>
      <c r="Y943"/>
      <c r="Z943"/>
      <c r="AA943"/>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c r="BS943"/>
      <c r="BT943"/>
      <c r="BU943"/>
      <c r="BV943"/>
      <c r="BW943"/>
      <c r="BX943"/>
      <c r="BY943"/>
      <c r="BZ943"/>
      <c r="CA943"/>
      <c r="CB943"/>
      <c r="CC943"/>
      <c r="CD943"/>
      <c r="CE943"/>
      <c r="CF943"/>
      <c r="CG943"/>
      <c r="CH943"/>
      <c r="CI943"/>
      <c r="CJ943"/>
      <c r="CK943"/>
      <c r="CL943"/>
      <c r="CM943"/>
      <c r="CN943"/>
      <c r="CO943"/>
      <c r="CP943"/>
      <c r="CQ943"/>
      <c r="CR943"/>
      <c r="CS943"/>
      <c r="CT943"/>
      <c r="CU943"/>
      <c r="CV943"/>
      <c r="CW943"/>
      <c r="CX943"/>
      <c r="CY943"/>
      <c r="CZ943"/>
      <c r="DA943"/>
      <c r="DB943"/>
      <c r="DC943"/>
      <c r="DD943"/>
      <c r="DE943"/>
      <c r="DF943"/>
      <c r="DG943"/>
      <c r="DH943"/>
      <c r="DI943"/>
      <c r="DJ943"/>
      <c r="DK943"/>
      <c r="DL943"/>
      <c r="DM943"/>
      <c r="DN943"/>
      <c r="DO943"/>
      <c r="DP943"/>
      <c r="DQ943"/>
      <c r="DR943"/>
      <c r="DS943"/>
      <c r="DT943"/>
      <c r="DU943"/>
      <c r="DV943"/>
      <c r="DW943"/>
      <c r="DX943"/>
      <c r="DY943"/>
      <c r="DZ943"/>
      <c r="EA943"/>
      <c r="EB943"/>
      <c r="EC943"/>
      <c r="ED943"/>
      <c r="EE943"/>
      <c r="EF943"/>
      <c r="EG943"/>
      <c r="EH943"/>
      <c r="EI943"/>
      <c r="EJ943"/>
      <c r="EK943"/>
      <c r="EL943"/>
      <c r="EM943"/>
      <c r="EN943"/>
      <c r="EO943"/>
      <c r="EP943"/>
      <c r="EQ943"/>
      <c r="ER943"/>
      <c r="ES943"/>
    </row>
    <row r="944" spans="1:149">
      <c r="A944"/>
      <c r="B944"/>
      <c r="C944"/>
      <c r="D944"/>
      <c r="E944"/>
      <c r="F944"/>
      <c r="G944"/>
      <c r="H944"/>
      <c r="I944"/>
      <c r="J944"/>
      <c r="K944"/>
      <c r="L944"/>
      <c r="M944"/>
      <c r="N944"/>
      <c r="O944"/>
      <c r="P944"/>
      <c r="Q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c r="CA944"/>
      <c r="CB944"/>
      <c r="CC944"/>
      <c r="CD944"/>
      <c r="CE944"/>
      <c r="CF944"/>
      <c r="CG944"/>
      <c r="CH944"/>
      <c r="CI944"/>
      <c r="CJ944"/>
      <c r="CK944"/>
      <c r="CL944"/>
      <c r="CM944"/>
      <c r="CN944"/>
      <c r="CO944"/>
      <c r="CP944"/>
      <c r="CQ944"/>
      <c r="CR944"/>
      <c r="CS944"/>
      <c r="CT944"/>
      <c r="CU944"/>
      <c r="CV944"/>
      <c r="CW944"/>
      <c r="CX944"/>
      <c r="CY944"/>
      <c r="CZ944"/>
      <c r="DA944"/>
      <c r="DB944"/>
      <c r="DC944"/>
      <c r="DD944"/>
      <c r="DE944"/>
      <c r="DF944"/>
      <c r="DG944"/>
      <c r="DH944"/>
      <c r="DI944"/>
      <c r="DJ944"/>
      <c r="DK944"/>
      <c r="DL944"/>
      <c r="DM944"/>
      <c r="DN944"/>
      <c r="DO944"/>
      <c r="DP944"/>
      <c r="DQ944"/>
      <c r="DR944"/>
      <c r="DS944"/>
      <c r="DT944"/>
      <c r="DU944"/>
      <c r="DV944"/>
      <c r="DW944"/>
      <c r="DX944"/>
      <c r="DY944"/>
      <c r="DZ944"/>
      <c r="EA944"/>
      <c r="EB944"/>
      <c r="EC944"/>
      <c r="ED944"/>
      <c r="EE944"/>
      <c r="EF944"/>
      <c r="EG944"/>
      <c r="EH944"/>
      <c r="EI944"/>
      <c r="EJ944"/>
      <c r="EK944"/>
      <c r="EL944"/>
      <c r="EM944"/>
      <c r="EN944"/>
      <c r="EO944"/>
      <c r="EP944"/>
      <c r="EQ944"/>
      <c r="ER944"/>
      <c r="ES944"/>
    </row>
    <row r="945" spans="1:149">
      <c r="A945"/>
      <c r="B945"/>
      <c r="C945"/>
      <c r="D945"/>
      <c r="E945"/>
      <c r="F945"/>
      <c r="G945"/>
      <c r="H945"/>
      <c r="I945"/>
      <c r="J945"/>
      <c r="K945"/>
      <c r="L945"/>
      <c r="M945"/>
      <c r="N945"/>
      <c r="O945"/>
      <c r="P945"/>
      <c r="Q945"/>
      <c r="R945"/>
      <c r="S945"/>
      <c r="T945"/>
      <c r="U945"/>
      <c r="V945"/>
      <c r="W945"/>
      <c r="X945"/>
      <c r="Y945"/>
      <c r="Z945"/>
      <c r="AA945"/>
      <c r="AB945"/>
      <c r="AC945"/>
      <c r="AD945"/>
      <c r="AE945"/>
      <c r="AF945"/>
      <c r="AG945"/>
      <c r="AH945"/>
      <c r="AI945"/>
      <c r="AJ945"/>
      <c r="AK945"/>
      <c r="AL945"/>
      <c r="AM945"/>
      <c r="AN945"/>
      <c r="AO945"/>
      <c r="AP945"/>
      <c r="AQ945"/>
      <c r="AR945"/>
      <c r="AS945"/>
      <c r="AT945"/>
      <c r="AU945"/>
      <c r="AV945"/>
      <c r="AW945"/>
      <c r="AX945"/>
      <c r="AY945"/>
      <c r="AZ945"/>
      <c r="BA945"/>
      <c r="BB945"/>
      <c r="BC945"/>
      <c r="BD945"/>
      <c r="BE945"/>
      <c r="BF945"/>
      <c r="BG945"/>
      <c r="BH945"/>
      <c r="BI945"/>
      <c r="BJ945"/>
      <c r="BK945"/>
      <c r="BL945"/>
      <c r="BM945"/>
      <c r="BN945"/>
      <c r="BO945"/>
      <c r="BP945"/>
      <c r="BQ945"/>
      <c r="BR945"/>
      <c r="BS945"/>
      <c r="BT945"/>
      <c r="BU945"/>
      <c r="BV945"/>
      <c r="BW945"/>
      <c r="BX945"/>
      <c r="BY945"/>
      <c r="BZ945"/>
      <c r="CA945"/>
      <c r="CB945"/>
      <c r="CC945"/>
      <c r="CD945"/>
      <c r="CE945"/>
      <c r="CF945"/>
      <c r="CG945"/>
      <c r="CH945"/>
      <c r="CI945"/>
      <c r="CJ945"/>
      <c r="CK945"/>
      <c r="CL945"/>
      <c r="CM945"/>
      <c r="CN945"/>
      <c r="CO945"/>
      <c r="CP945"/>
      <c r="CQ945"/>
      <c r="CR945"/>
      <c r="CS945"/>
      <c r="CT945"/>
      <c r="CU945"/>
      <c r="CV945"/>
      <c r="CW945"/>
      <c r="CX945"/>
      <c r="CY945"/>
      <c r="CZ945"/>
      <c r="DA945"/>
      <c r="DB945"/>
      <c r="DC945"/>
      <c r="DD945"/>
      <c r="DE945"/>
      <c r="DF945"/>
      <c r="DG945"/>
      <c r="DH945"/>
      <c r="DI945"/>
      <c r="DJ945"/>
      <c r="DK945"/>
      <c r="DL945"/>
      <c r="DM945"/>
      <c r="DN945"/>
      <c r="DO945"/>
      <c r="DP945"/>
      <c r="DQ945"/>
      <c r="DR945"/>
      <c r="DS945"/>
      <c r="DT945"/>
      <c r="DU945"/>
      <c r="DV945"/>
      <c r="DW945"/>
      <c r="DX945"/>
      <c r="DY945"/>
      <c r="DZ945"/>
      <c r="EA945"/>
      <c r="EB945"/>
      <c r="EC945"/>
      <c r="ED945"/>
      <c r="EE945"/>
      <c r="EF945"/>
      <c r="EG945"/>
      <c r="EH945"/>
      <c r="EI945"/>
      <c r="EJ945"/>
      <c r="EK945"/>
      <c r="EL945"/>
      <c r="EM945"/>
      <c r="EN945"/>
      <c r="EO945"/>
      <c r="EP945"/>
      <c r="EQ945"/>
      <c r="ER945"/>
      <c r="ES945"/>
    </row>
    <row r="946" spans="1:149">
      <c r="A946"/>
      <c r="B946"/>
      <c r="C946"/>
      <c r="D946"/>
      <c r="E946"/>
      <c r="F946"/>
      <c r="G946"/>
      <c r="H946"/>
      <c r="I946"/>
      <c r="J946"/>
      <c r="K946"/>
      <c r="L946"/>
      <c r="M946"/>
      <c r="N946"/>
      <c r="O946"/>
      <c r="P946"/>
      <c r="Q946"/>
      <c r="R946"/>
      <c r="S946"/>
      <c r="T946"/>
      <c r="U946"/>
      <c r="V946"/>
      <c r="W946"/>
      <c r="X946"/>
      <c r="Y946"/>
      <c r="Z946"/>
      <c r="AA946"/>
      <c r="AB946"/>
      <c r="AC946"/>
      <c r="AD946"/>
      <c r="AE946"/>
      <c r="AF946"/>
      <c r="AG946"/>
      <c r="AH946"/>
      <c r="AI946"/>
      <c r="AJ946"/>
      <c r="AK946"/>
      <c r="AL946"/>
      <c r="AM946"/>
      <c r="AN946"/>
      <c r="AO946"/>
      <c r="AP946"/>
      <c r="AQ946"/>
      <c r="AR946"/>
      <c r="AS946"/>
      <c r="AT946"/>
      <c r="AU946"/>
      <c r="AV946"/>
      <c r="AW946"/>
      <c r="AX946"/>
      <c r="AY946"/>
      <c r="AZ946"/>
      <c r="BA946"/>
      <c r="BB946"/>
      <c r="BC946"/>
      <c r="BD946"/>
      <c r="BE946"/>
      <c r="BF946"/>
      <c r="BG946"/>
      <c r="BH946"/>
      <c r="BI946"/>
      <c r="BJ946"/>
      <c r="BK946"/>
      <c r="BL946"/>
      <c r="BM946"/>
      <c r="BN946"/>
      <c r="BO946"/>
      <c r="BP946"/>
      <c r="BQ946"/>
      <c r="BR946"/>
      <c r="BS946"/>
      <c r="BT946"/>
      <c r="BU946"/>
      <c r="BV946"/>
      <c r="BW946"/>
      <c r="BX946"/>
      <c r="BY946"/>
      <c r="BZ946"/>
      <c r="CA946"/>
      <c r="CB946"/>
      <c r="CC946"/>
      <c r="CD946"/>
      <c r="CE946"/>
      <c r="CF946"/>
      <c r="CG946"/>
      <c r="CH946"/>
      <c r="CI946"/>
      <c r="CJ946"/>
      <c r="CK946"/>
      <c r="CL946"/>
      <c r="CM946"/>
      <c r="CN946"/>
      <c r="CO946"/>
      <c r="CP946"/>
      <c r="CQ946"/>
      <c r="CR946"/>
      <c r="CS946"/>
      <c r="CT946"/>
      <c r="CU946"/>
      <c r="CV946"/>
      <c r="CW946"/>
      <c r="CX946"/>
      <c r="CY946"/>
      <c r="CZ946"/>
      <c r="DA946"/>
      <c r="DB946"/>
      <c r="DC946"/>
      <c r="DD946"/>
      <c r="DE946"/>
      <c r="DF946"/>
      <c r="DG946"/>
      <c r="DH946"/>
      <c r="DI946"/>
      <c r="DJ946"/>
      <c r="DK946"/>
      <c r="DL946"/>
      <c r="DM946"/>
      <c r="DN946"/>
      <c r="DO946"/>
      <c r="DP946"/>
      <c r="DQ946"/>
      <c r="DR946"/>
      <c r="DS946"/>
      <c r="DT946"/>
      <c r="DU946"/>
      <c r="DV946"/>
      <c r="DW946"/>
      <c r="DX946"/>
      <c r="DY946"/>
      <c r="DZ946"/>
      <c r="EA946"/>
      <c r="EB946"/>
      <c r="EC946"/>
      <c r="ED946"/>
      <c r="EE946"/>
      <c r="EF946"/>
      <c r="EG946"/>
      <c r="EH946"/>
      <c r="EI946"/>
      <c r="EJ946"/>
      <c r="EK946"/>
      <c r="EL946"/>
      <c r="EM946"/>
      <c r="EN946"/>
      <c r="EO946"/>
      <c r="EP946"/>
      <c r="EQ946"/>
      <c r="ER946"/>
      <c r="ES946"/>
    </row>
    <row r="947" spans="1:149">
      <c r="A947"/>
      <c r="B947"/>
      <c r="C947"/>
      <c r="D947"/>
      <c r="E947"/>
      <c r="F947"/>
      <c r="G947"/>
      <c r="H947"/>
      <c r="I947"/>
      <c r="J947"/>
      <c r="K947"/>
      <c r="L947"/>
      <c r="M947"/>
      <c r="N947"/>
      <c r="O947"/>
      <c r="P947"/>
      <c r="Q947"/>
      <c r="R947"/>
      <c r="S947"/>
      <c r="T947"/>
      <c r="U947"/>
      <c r="V947"/>
      <c r="W947"/>
      <c r="X947"/>
      <c r="Y947"/>
      <c r="Z947"/>
      <c r="AA947"/>
      <c r="AB947"/>
      <c r="AC947"/>
      <c r="AD947"/>
      <c r="AE947"/>
      <c r="AF947"/>
      <c r="AG947"/>
      <c r="AH947"/>
      <c r="AI947"/>
      <c r="AJ947"/>
      <c r="AK947"/>
      <c r="AL947"/>
      <c r="AM947"/>
      <c r="AN947"/>
      <c r="AO947"/>
      <c r="AP947"/>
      <c r="AQ947"/>
      <c r="AR947"/>
      <c r="AS947"/>
      <c r="AT947"/>
      <c r="AU947"/>
      <c r="AV947"/>
      <c r="AW947"/>
      <c r="AX947"/>
      <c r="AY947"/>
      <c r="AZ947"/>
      <c r="BA947"/>
      <c r="BB947"/>
      <c r="BC947"/>
      <c r="BD947"/>
      <c r="BE947"/>
      <c r="BF947"/>
      <c r="BG947"/>
      <c r="BH947"/>
      <c r="BI947"/>
      <c r="BJ947"/>
      <c r="BK947"/>
      <c r="BL947"/>
      <c r="BM947"/>
      <c r="BN947"/>
      <c r="BO947"/>
      <c r="BP947"/>
      <c r="BQ947"/>
      <c r="BR947"/>
      <c r="BS947"/>
      <c r="BT947"/>
      <c r="BU947"/>
      <c r="BV947"/>
      <c r="BW947"/>
      <c r="BX947"/>
      <c r="BY947"/>
      <c r="BZ947"/>
      <c r="CA947"/>
      <c r="CB947"/>
      <c r="CC947"/>
      <c r="CD947"/>
      <c r="CE947"/>
      <c r="CF947"/>
      <c r="CG947"/>
      <c r="CH947"/>
      <c r="CI947"/>
      <c r="CJ947"/>
      <c r="CK947"/>
      <c r="CL947"/>
      <c r="CM947"/>
      <c r="CN947"/>
      <c r="CO947"/>
      <c r="CP947"/>
      <c r="CQ947"/>
      <c r="CR947"/>
      <c r="CS947"/>
      <c r="CT947"/>
      <c r="CU947"/>
      <c r="CV947"/>
      <c r="CW947"/>
      <c r="CX947"/>
      <c r="CY947"/>
      <c r="CZ947"/>
      <c r="DA947"/>
      <c r="DB947"/>
      <c r="DC947"/>
      <c r="DD947"/>
      <c r="DE947"/>
      <c r="DF947"/>
      <c r="DG947"/>
      <c r="DH947"/>
      <c r="DI947"/>
      <c r="DJ947"/>
      <c r="DK947"/>
      <c r="DL947"/>
      <c r="DM947"/>
      <c r="DN947"/>
      <c r="DO947"/>
      <c r="DP947"/>
      <c r="DQ947"/>
      <c r="DR947"/>
      <c r="DS947"/>
      <c r="DT947"/>
      <c r="DU947"/>
      <c r="DV947"/>
      <c r="DW947"/>
      <c r="DX947"/>
      <c r="DY947"/>
      <c r="DZ947"/>
      <c r="EA947"/>
      <c r="EB947"/>
      <c r="EC947"/>
      <c r="ED947"/>
      <c r="EE947"/>
      <c r="EF947"/>
      <c r="EG947"/>
      <c r="EH947"/>
      <c r="EI947"/>
      <c r="EJ947"/>
      <c r="EK947"/>
      <c r="EL947"/>
      <c r="EM947"/>
      <c r="EN947"/>
      <c r="EO947"/>
      <c r="EP947"/>
      <c r="EQ947"/>
      <c r="ER947"/>
      <c r="ES947"/>
    </row>
    <row r="948" spans="1:149">
      <c r="A948"/>
      <c r="B948"/>
      <c r="C948"/>
      <c r="D948"/>
      <c r="E948"/>
      <c r="F948"/>
      <c r="G948"/>
      <c r="H948"/>
      <c r="I948"/>
      <c r="J948"/>
      <c r="K948"/>
      <c r="L948"/>
      <c r="M948"/>
      <c r="N948"/>
      <c r="O948"/>
      <c r="P948"/>
      <c r="Q948"/>
      <c r="R948"/>
      <c r="S948"/>
      <c r="T948"/>
      <c r="U948"/>
      <c r="V948"/>
      <c r="W948"/>
      <c r="X948"/>
      <c r="Y948"/>
      <c r="Z948"/>
      <c r="AA948"/>
      <c r="AB948"/>
      <c r="AC948"/>
      <c r="AD948"/>
      <c r="AE948"/>
      <c r="AF948"/>
      <c r="AG948"/>
      <c r="AH948"/>
      <c r="AI948"/>
      <c r="AJ948"/>
      <c r="AK948"/>
      <c r="AL948"/>
      <c r="AM948"/>
      <c r="AN948"/>
      <c r="AO948"/>
      <c r="AP948"/>
      <c r="AQ948"/>
      <c r="AR948"/>
      <c r="AS948"/>
      <c r="AT948"/>
      <c r="AU948"/>
      <c r="AV948"/>
      <c r="AW948"/>
      <c r="AX948"/>
      <c r="AY948"/>
      <c r="AZ948"/>
      <c r="BA948"/>
      <c r="BB948"/>
      <c r="BC948"/>
      <c r="BD948"/>
      <c r="BE948"/>
      <c r="BF948"/>
      <c r="BG948"/>
      <c r="BH948"/>
      <c r="BI948"/>
      <c r="BJ948"/>
      <c r="BK948"/>
      <c r="BL948"/>
      <c r="BM948"/>
      <c r="BN948"/>
      <c r="BO948"/>
      <c r="BP948"/>
      <c r="BQ948"/>
      <c r="BR948"/>
      <c r="BS948"/>
      <c r="BT948"/>
      <c r="BU948"/>
      <c r="BV948"/>
      <c r="BW948"/>
      <c r="BX948"/>
      <c r="BY948"/>
      <c r="BZ948"/>
      <c r="CA948"/>
      <c r="CB948"/>
      <c r="CC948"/>
      <c r="CD948"/>
      <c r="CE948"/>
      <c r="CF948"/>
      <c r="CG948"/>
      <c r="CH948"/>
      <c r="CI948"/>
      <c r="CJ948"/>
      <c r="CK948"/>
      <c r="CL948"/>
      <c r="CM948"/>
      <c r="CN948"/>
      <c r="CO948"/>
      <c r="CP948"/>
      <c r="CQ948"/>
      <c r="CR948"/>
      <c r="CS948"/>
      <c r="CT948"/>
      <c r="CU948"/>
      <c r="CV948"/>
      <c r="CW948"/>
      <c r="CX948"/>
      <c r="CY948"/>
      <c r="CZ948"/>
      <c r="DA948"/>
      <c r="DB948"/>
      <c r="DC948"/>
      <c r="DD948"/>
      <c r="DE948"/>
      <c r="DF948"/>
      <c r="DG948"/>
      <c r="DH948"/>
      <c r="DI948"/>
      <c r="DJ948"/>
      <c r="DK948"/>
      <c r="DL948"/>
      <c r="DM948"/>
      <c r="DN948"/>
      <c r="DO948"/>
      <c r="DP948"/>
      <c r="DQ948"/>
      <c r="DR948"/>
      <c r="DS948"/>
      <c r="DT948"/>
      <c r="DU948"/>
      <c r="DV948"/>
      <c r="DW948"/>
      <c r="DX948"/>
      <c r="DY948"/>
      <c r="DZ948"/>
      <c r="EA948"/>
      <c r="EB948"/>
      <c r="EC948"/>
      <c r="ED948"/>
      <c r="EE948"/>
      <c r="EF948"/>
      <c r="EG948"/>
      <c r="EH948"/>
      <c r="EI948"/>
      <c r="EJ948"/>
      <c r="EK948"/>
      <c r="EL948"/>
      <c r="EM948"/>
      <c r="EN948"/>
      <c r="EO948"/>
      <c r="EP948"/>
      <c r="EQ948"/>
      <c r="ER948"/>
      <c r="ES948"/>
    </row>
    <row r="949" spans="1:149">
      <c r="A949"/>
      <c r="B949"/>
      <c r="C949"/>
      <c r="D949"/>
      <c r="E949"/>
      <c r="F949"/>
      <c r="G949"/>
      <c r="H949"/>
      <c r="I949"/>
      <c r="J949"/>
      <c r="K949"/>
      <c r="L949"/>
      <c r="M949"/>
      <c r="N949"/>
      <c r="O949"/>
      <c r="P949"/>
      <c r="Q949"/>
      <c r="R949"/>
      <c r="S949"/>
      <c r="T949"/>
      <c r="U949"/>
      <c r="V949"/>
      <c r="W949"/>
      <c r="X949"/>
      <c r="Y949"/>
      <c r="Z949"/>
      <c r="AA949"/>
      <c r="AB949"/>
      <c r="AC949"/>
      <c r="AD949"/>
      <c r="AE949"/>
      <c r="AF949"/>
      <c r="AG949"/>
      <c r="AH949"/>
      <c r="AI949"/>
      <c r="AJ949"/>
      <c r="AK949"/>
      <c r="AL949"/>
      <c r="AM949"/>
      <c r="AN949"/>
      <c r="AO949"/>
      <c r="AP949"/>
      <c r="AQ949"/>
      <c r="AR949"/>
      <c r="AS949"/>
      <c r="AT949"/>
      <c r="AU949"/>
      <c r="AV949"/>
      <c r="AW949"/>
      <c r="AX949"/>
      <c r="AY949"/>
      <c r="AZ949"/>
      <c r="BA949"/>
      <c r="BB949"/>
      <c r="BC949"/>
      <c r="BD949"/>
      <c r="BE949"/>
      <c r="BF949"/>
      <c r="BG949"/>
      <c r="BH949"/>
      <c r="BI949"/>
      <c r="BJ949"/>
      <c r="BK949"/>
      <c r="BL949"/>
      <c r="BM949"/>
      <c r="BN949"/>
      <c r="BO949"/>
      <c r="BP949"/>
      <c r="BQ949"/>
      <c r="BR949"/>
      <c r="BS949"/>
      <c r="BT949"/>
      <c r="BU949"/>
      <c r="BV949"/>
      <c r="BW949"/>
      <c r="BX949"/>
      <c r="BY949"/>
      <c r="BZ949"/>
      <c r="CA949"/>
      <c r="CB949"/>
      <c r="CC949"/>
      <c r="CD949"/>
      <c r="CE949"/>
      <c r="CF949"/>
      <c r="CG949"/>
      <c r="CH949"/>
      <c r="CI949"/>
      <c r="CJ949"/>
      <c r="CK949"/>
      <c r="CL949"/>
      <c r="CM949"/>
      <c r="CN949"/>
      <c r="CO949"/>
      <c r="CP949"/>
      <c r="CQ949"/>
      <c r="CR949"/>
      <c r="CS949"/>
      <c r="CT949"/>
      <c r="CU949"/>
      <c r="CV949"/>
      <c r="CW949"/>
      <c r="CX949"/>
      <c r="CY949"/>
      <c r="CZ949"/>
      <c r="DA949"/>
      <c r="DB949"/>
      <c r="DC949"/>
      <c r="DD949"/>
      <c r="DE949"/>
      <c r="DF949"/>
      <c r="DG949"/>
      <c r="DH949"/>
      <c r="DI949"/>
      <c r="DJ949"/>
      <c r="DK949"/>
      <c r="DL949"/>
      <c r="DM949"/>
      <c r="DN949"/>
      <c r="DO949"/>
      <c r="DP949"/>
      <c r="DQ949"/>
      <c r="DR949"/>
      <c r="DS949"/>
      <c r="DT949"/>
      <c r="DU949"/>
      <c r="DV949"/>
      <c r="DW949"/>
      <c r="DX949"/>
      <c r="DY949"/>
      <c r="DZ949"/>
      <c r="EA949"/>
      <c r="EB949"/>
      <c r="EC949"/>
      <c r="ED949"/>
      <c r="EE949"/>
      <c r="EF949"/>
      <c r="EG949"/>
      <c r="EH949"/>
      <c r="EI949"/>
      <c r="EJ949"/>
      <c r="EK949"/>
      <c r="EL949"/>
      <c r="EM949"/>
      <c r="EN949"/>
      <c r="EO949"/>
      <c r="EP949"/>
      <c r="EQ949"/>
      <c r="ER949"/>
      <c r="ES949"/>
    </row>
    <row r="950" spans="1:149">
      <c r="A950"/>
      <c r="B950"/>
      <c r="C950"/>
      <c r="D950"/>
      <c r="E950"/>
      <c r="F950"/>
      <c r="G950"/>
      <c r="H950"/>
      <c r="I950"/>
      <c r="J950"/>
      <c r="K950"/>
      <c r="L950"/>
      <c r="M950"/>
      <c r="N950"/>
      <c r="O950"/>
      <c r="P950"/>
      <c r="Q950"/>
      <c r="R950"/>
      <c r="S950"/>
      <c r="T950"/>
      <c r="U950"/>
      <c r="V950"/>
      <c r="W950"/>
      <c r="X950"/>
      <c r="Y950"/>
      <c r="Z950"/>
      <c r="AA950"/>
      <c r="AB950"/>
      <c r="AC950"/>
      <c r="AD950"/>
      <c r="AE950"/>
      <c r="AF950"/>
      <c r="AG950"/>
      <c r="AH950"/>
      <c r="AI950"/>
      <c r="AJ950"/>
      <c r="AK950"/>
      <c r="AL950"/>
      <c r="AM950"/>
      <c r="AN950"/>
      <c r="AO950"/>
      <c r="AP950"/>
      <c r="AQ950"/>
      <c r="AR950"/>
      <c r="AS950"/>
      <c r="AT950"/>
      <c r="AU950"/>
      <c r="AV950"/>
      <c r="AW950"/>
      <c r="AX950"/>
      <c r="AY950"/>
      <c r="AZ950"/>
      <c r="BA950"/>
      <c r="BB950"/>
      <c r="BC950"/>
      <c r="BD950"/>
      <c r="BE950"/>
      <c r="BF950"/>
      <c r="BG950"/>
      <c r="BH950"/>
      <c r="BI950"/>
      <c r="BJ950"/>
      <c r="BK950"/>
      <c r="BL950"/>
      <c r="BM950"/>
      <c r="BN950"/>
      <c r="BO950"/>
      <c r="BP950"/>
      <c r="BQ950"/>
      <c r="BR950"/>
      <c r="BS950"/>
      <c r="BT950"/>
      <c r="BU950"/>
      <c r="BV950"/>
      <c r="BW950"/>
      <c r="BX950"/>
      <c r="BY950"/>
      <c r="BZ950"/>
      <c r="CA950"/>
      <c r="CB950"/>
      <c r="CC950"/>
      <c r="CD950"/>
      <c r="CE950"/>
      <c r="CF950"/>
      <c r="CG950"/>
      <c r="CH950"/>
      <c r="CI950"/>
      <c r="CJ950"/>
      <c r="CK950"/>
      <c r="CL950"/>
      <c r="CM950"/>
      <c r="CN950"/>
      <c r="CO950"/>
      <c r="CP950"/>
      <c r="CQ950"/>
      <c r="CR950"/>
      <c r="CS950"/>
      <c r="CT950"/>
      <c r="CU950"/>
      <c r="CV950"/>
      <c r="CW950"/>
      <c r="CX950"/>
      <c r="CY950"/>
      <c r="CZ950"/>
      <c r="DA950"/>
      <c r="DB950"/>
      <c r="DC950"/>
      <c r="DD950"/>
      <c r="DE950"/>
      <c r="DF950"/>
      <c r="DG950"/>
      <c r="DH950"/>
      <c r="DI950"/>
      <c r="DJ950"/>
      <c r="DK950"/>
      <c r="DL950"/>
      <c r="DM950"/>
      <c r="DN950"/>
      <c r="DO950"/>
      <c r="DP950"/>
      <c r="DQ950"/>
      <c r="DR950"/>
      <c r="DS950"/>
      <c r="DT950"/>
      <c r="DU950"/>
      <c r="DV950"/>
      <c r="DW950"/>
      <c r="DX950"/>
      <c r="DY950"/>
      <c r="DZ950"/>
      <c r="EA950"/>
      <c r="EB950"/>
      <c r="EC950"/>
      <c r="ED950"/>
      <c r="EE950"/>
      <c r="EF950"/>
      <c r="EG950"/>
      <c r="EH950"/>
      <c r="EI950"/>
      <c r="EJ950"/>
      <c r="EK950"/>
      <c r="EL950"/>
      <c r="EM950"/>
      <c r="EN950"/>
      <c r="EO950"/>
      <c r="EP950"/>
      <c r="EQ950"/>
      <c r="ER950"/>
      <c r="ES950"/>
    </row>
    <row r="951" spans="1:149">
      <c r="A951"/>
      <c r="B951"/>
      <c r="C951"/>
      <c r="D951"/>
      <c r="E951"/>
      <c r="F951"/>
      <c r="G951"/>
      <c r="H951"/>
      <c r="I951"/>
      <c r="J951"/>
      <c r="K951"/>
      <c r="L951"/>
      <c r="M951"/>
      <c r="N951"/>
      <c r="O951"/>
      <c r="P951"/>
      <c r="Q951"/>
      <c r="R951"/>
      <c r="S951"/>
      <c r="T951"/>
      <c r="U951"/>
      <c r="V951"/>
      <c r="W951"/>
      <c r="X951"/>
      <c r="Y951"/>
      <c r="Z951"/>
      <c r="AA951"/>
      <c r="AB951"/>
      <c r="AC951"/>
      <c r="AD951"/>
      <c r="AE951"/>
      <c r="AF951"/>
      <c r="AG951"/>
      <c r="AH951"/>
      <c r="AI951"/>
      <c r="AJ951"/>
      <c r="AK951"/>
      <c r="AL951"/>
      <c r="AM951"/>
      <c r="AN951"/>
      <c r="AO951"/>
      <c r="AP951"/>
      <c r="AQ951"/>
      <c r="AR951"/>
      <c r="AS951"/>
      <c r="AT951"/>
      <c r="AU951"/>
      <c r="AV951"/>
      <c r="AW951"/>
      <c r="AX951"/>
      <c r="AY951"/>
      <c r="AZ951"/>
      <c r="BA951"/>
      <c r="BB951"/>
      <c r="BC951"/>
      <c r="BD951"/>
      <c r="BE951"/>
      <c r="BF951"/>
      <c r="BG951"/>
      <c r="BH951"/>
      <c r="BI951"/>
      <c r="BJ951"/>
      <c r="BK951"/>
      <c r="BL951"/>
      <c r="BM951"/>
      <c r="BN951"/>
      <c r="BO951"/>
      <c r="BP951"/>
      <c r="BQ951"/>
      <c r="BR951"/>
      <c r="BS951"/>
      <c r="BT951"/>
      <c r="BU951"/>
      <c r="BV951"/>
      <c r="BW951"/>
      <c r="BX951"/>
      <c r="BY951"/>
      <c r="BZ951"/>
      <c r="CA951"/>
      <c r="CB951"/>
      <c r="CC951"/>
      <c r="CD951"/>
      <c r="CE951"/>
      <c r="CF951"/>
      <c r="CG951"/>
      <c r="CH951"/>
      <c r="CI951"/>
      <c r="CJ951"/>
      <c r="CK951"/>
      <c r="CL951"/>
      <c r="CM951"/>
      <c r="CN951"/>
      <c r="CO951"/>
      <c r="CP951"/>
      <c r="CQ951"/>
      <c r="CR951"/>
      <c r="CS951"/>
      <c r="CT951"/>
      <c r="CU951"/>
      <c r="CV951"/>
      <c r="CW951"/>
      <c r="CX951"/>
      <c r="CY951"/>
      <c r="CZ951"/>
      <c r="DA951"/>
      <c r="DB951"/>
      <c r="DC951"/>
      <c r="DD951"/>
      <c r="DE951"/>
      <c r="DF951"/>
      <c r="DG951"/>
      <c r="DH951"/>
      <c r="DI951"/>
      <c r="DJ951"/>
      <c r="DK951"/>
      <c r="DL951"/>
      <c r="DM951"/>
      <c r="DN951"/>
      <c r="DO951"/>
      <c r="DP951"/>
      <c r="DQ951"/>
      <c r="DR951"/>
      <c r="DS951"/>
      <c r="DT951"/>
      <c r="DU951"/>
      <c r="DV951"/>
      <c r="DW951"/>
      <c r="DX951"/>
      <c r="DY951"/>
      <c r="DZ951"/>
      <c r="EA951"/>
      <c r="EB951"/>
      <c r="EC951"/>
      <c r="ED951"/>
      <c r="EE951"/>
      <c r="EF951"/>
      <c r="EG951"/>
      <c r="EH951"/>
      <c r="EI951"/>
      <c r="EJ951"/>
      <c r="EK951"/>
      <c r="EL951"/>
      <c r="EM951"/>
      <c r="EN951"/>
      <c r="EO951"/>
      <c r="EP951"/>
      <c r="EQ951"/>
      <c r="ER951"/>
      <c r="ES951"/>
    </row>
    <row r="952" spans="1:149">
      <c r="A952"/>
      <c r="B952"/>
      <c r="C952"/>
      <c r="D952"/>
      <c r="E952"/>
      <c r="F952"/>
      <c r="G952"/>
      <c r="H952"/>
      <c r="I952"/>
      <c r="J952"/>
      <c r="K952"/>
      <c r="L952"/>
      <c r="M952"/>
      <c r="N952"/>
      <c r="O952"/>
      <c r="P952"/>
      <c r="Q952"/>
      <c r="R952"/>
      <c r="S952"/>
      <c r="T952"/>
      <c r="U952"/>
      <c r="V952"/>
      <c r="W952"/>
      <c r="X952"/>
      <c r="Y952"/>
      <c r="Z952"/>
      <c r="AA952"/>
      <c r="AB952"/>
      <c r="AC952"/>
      <c r="AD952"/>
      <c r="AE952"/>
      <c r="AF952"/>
      <c r="AG952"/>
      <c r="AH952"/>
      <c r="AI952"/>
      <c r="AJ952"/>
      <c r="AK952"/>
      <c r="AL952"/>
      <c r="AM952"/>
      <c r="AN952"/>
      <c r="AO952"/>
      <c r="AP952"/>
      <c r="AQ952"/>
      <c r="AR952"/>
      <c r="AS952"/>
      <c r="AT952"/>
      <c r="AU952"/>
      <c r="AV952"/>
      <c r="AW952"/>
      <c r="AX952"/>
      <c r="AY952"/>
      <c r="AZ952"/>
      <c r="BA952"/>
      <c r="BB952"/>
      <c r="BC952"/>
      <c r="BD952"/>
      <c r="BE952"/>
      <c r="BF952"/>
      <c r="BG952"/>
      <c r="BH952"/>
      <c r="BI952"/>
      <c r="BJ952"/>
      <c r="BK952"/>
      <c r="BL952"/>
      <c r="BM952"/>
      <c r="BN952"/>
      <c r="BO952"/>
      <c r="BP952"/>
      <c r="BQ952"/>
      <c r="BR952"/>
      <c r="BS952"/>
      <c r="BT952"/>
      <c r="BU952"/>
      <c r="BV952"/>
      <c r="BW952"/>
      <c r="BX952"/>
      <c r="BY952"/>
      <c r="BZ952"/>
      <c r="CA952"/>
      <c r="CB952"/>
      <c r="CC952"/>
      <c r="CD952"/>
      <c r="CE952"/>
      <c r="CF952"/>
      <c r="CG952"/>
      <c r="CH952"/>
      <c r="CI952"/>
      <c r="CJ952"/>
      <c r="CK952"/>
      <c r="CL952"/>
      <c r="CM952"/>
      <c r="CN952"/>
      <c r="CO952"/>
      <c r="CP952"/>
      <c r="CQ952"/>
      <c r="CR952"/>
      <c r="CS952"/>
      <c r="CT952"/>
      <c r="CU952"/>
      <c r="CV952"/>
      <c r="CW952"/>
      <c r="CX952"/>
      <c r="CY952"/>
      <c r="CZ952"/>
      <c r="DA952"/>
      <c r="DB952"/>
      <c r="DC952"/>
      <c r="DD952"/>
      <c r="DE952"/>
      <c r="DF952"/>
      <c r="DG952"/>
      <c r="DH952"/>
      <c r="DI952"/>
      <c r="DJ952"/>
      <c r="DK952"/>
      <c r="DL952"/>
      <c r="DM952"/>
      <c r="DN952"/>
      <c r="DO952"/>
      <c r="DP952"/>
      <c r="DQ952"/>
      <c r="DR952"/>
      <c r="DS952"/>
      <c r="DT952"/>
      <c r="DU952"/>
      <c r="DV952"/>
      <c r="DW952"/>
      <c r="DX952"/>
      <c r="DY952"/>
      <c r="DZ952"/>
      <c r="EA952"/>
      <c r="EB952"/>
      <c r="EC952"/>
      <c r="ED952"/>
      <c r="EE952"/>
      <c r="EF952"/>
      <c r="EG952"/>
      <c r="EH952"/>
      <c r="EI952"/>
      <c r="EJ952"/>
      <c r="EK952"/>
      <c r="EL952"/>
      <c r="EM952"/>
      <c r="EN952"/>
      <c r="EO952"/>
      <c r="EP952"/>
      <c r="EQ952"/>
      <c r="ER952"/>
      <c r="ES952"/>
    </row>
    <row r="953" spans="1:149">
      <c r="A953"/>
      <c r="B953"/>
      <c r="C953"/>
      <c r="D953"/>
      <c r="E953"/>
      <c r="F953"/>
      <c r="G953"/>
      <c r="H953"/>
      <c r="I953"/>
      <c r="J953"/>
      <c r="K953"/>
      <c r="L953"/>
      <c r="M953"/>
      <c r="N953"/>
      <c r="O953"/>
      <c r="P953"/>
      <c r="Q953"/>
      <c r="R953"/>
      <c r="S953"/>
      <c r="T953"/>
      <c r="U953"/>
      <c r="V953"/>
      <c r="W953"/>
      <c r="X953"/>
      <c r="Y953"/>
      <c r="Z953"/>
      <c r="AA953"/>
      <c r="AB953"/>
      <c r="AC953"/>
      <c r="AD953"/>
      <c r="AE953"/>
      <c r="AF953"/>
      <c r="AG953"/>
      <c r="AH953"/>
      <c r="AI953"/>
      <c r="AJ953"/>
      <c r="AK953"/>
      <c r="AL953"/>
      <c r="AM953"/>
      <c r="AN953"/>
      <c r="AO953"/>
      <c r="AP953"/>
      <c r="AQ953"/>
      <c r="AR953"/>
      <c r="AS953"/>
      <c r="AT953"/>
      <c r="AU953"/>
      <c r="AV953"/>
      <c r="AW953"/>
      <c r="AX953"/>
      <c r="AY953"/>
      <c r="AZ953"/>
      <c r="BA953"/>
      <c r="BB953"/>
      <c r="BC953"/>
      <c r="BD953"/>
      <c r="BE953"/>
      <c r="BF953"/>
      <c r="BG953"/>
      <c r="BH953"/>
      <c r="BI953"/>
      <c r="BJ953"/>
      <c r="BK953"/>
      <c r="BL953"/>
      <c r="BM953"/>
      <c r="BN953"/>
      <c r="BO953"/>
      <c r="BP953"/>
      <c r="BQ953"/>
      <c r="BR953"/>
      <c r="BS953"/>
      <c r="BT953"/>
      <c r="BU953"/>
      <c r="BV953"/>
      <c r="BW953"/>
      <c r="BX953"/>
      <c r="BY953"/>
      <c r="BZ953"/>
      <c r="CA953"/>
      <c r="CB953"/>
      <c r="CC953"/>
      <c r="CD953"/>
      <c r="CE953"/>
      <c r="CF953"/>
      <c r="CG953"/>
      <c r="CH953"/>
      <c r="CI953"/>
      <c r="CJ953"/>
      <c r="CK953"/>
      <c r="CL953"/>
      <c r="CM953"/>
      <c r="CN953"/>
      <c r="CO953"/>
      <c r="CP953"/>
      <c r="CQ953"/>
      <c r="CR953"/>
      <c r="CS953"/>
      <c r="CT953"/>
      <c r="CU953"/>
      <c r="CV953"/>
      <c r="CW953"/>
      <c r="CX953"/>
      <c r="CY953"/>
      <c r="CZ953"/>
      <c r="DA953"/>
      <c r="DB953"/>
      <c r="DC953"/>
      <c r="DD953"/>
      <c r="DE953"/>
      <c r="DF953"/>
      <c r="DG953"/>
      <c r="DH953"/>
      <c r="DI953"/>
      <c r="DJ953"/>
      <c r="DK953"/>
      <c r="DL953"/>
      <c r="DM953"/>
      <c r="DN953"/>
      <c r="DO953"/>
      <c r="DP953"/>
      <c r="DQ953"/>
      <c r="DR953"/>
      <c r="DS953"/>
      <c r="DT953"/>
      <c r="DU953"/>
      <c r="DV953"/>
      <c r="DW953"/>
      <c r="DX953"/>
      <c r="DY953"/>
      <c r="DZ953"/>
      <c r="EA953"/>
      <c r="EB953"/>
      <c r="EC953"/>
      <c r="ED953"/>
      <c r="EE953"/>
      <c r="EF953"/>
      <c r="EG953"/>
      <c r="EH953"/>
      <c r="EI953"/>
      <c r="EJ953"/>
      <c r="EK953"/>
      <c r="EL953"/>
      <c r="EM953"/>
      <c r="EN953"/>
      <c r="EO953"/>
      <c r="EP953"/>
      <c r="EQ953"/>
      <c r="ER953"/>
      <c r="ES953"/>
    </row>
    <row r="954" spans="1:149">
      <c r="A954"/>
      <c r="B954"/>
      <c r="C954"/>
      <c r="D954"/>
      <c r="E954"/>
      <c r="F954"/>
      <c r="G954"/>
      <c r="H954"/>
      <c r="I954"/>
      <c r="J954"/>
      <c r="K954"/>
      <c r="L954"/>
      <c r="M954"/>
      <c r="N954"/>
      <c r="O954"/>
      <c r="P954"/>
      <c r="Q954"/>
      <c r="R954"/>
      <c r="S954"/>
      <c r="T954"/>
      <c r="U954"/>
      <c r="V954"/>
      <c r="W954"/>
      <c r="X954"/>
      <c r="Y954"/>
      <c r="Z954"/>
      <c r="AA954"/>
      <c r="AB954"/>
      <c r="AC954"/>
      <c r="AD954"/>
      <c r="AE954"/>
      <c r="AF954"/>
      <c r="AG954"/>
      <c r="AH954"/>
      <c r="AI954"/>
      <c r="AJ954"/>
      <c r="AK954"/>
      <c r="AL954"/>
      <c r="AM954"/>
      <c r="AN954"/>
      <c r="AO954"/>
      <c r="AP954"/>
      <c r="AQ954"/>
      <c r="AR954"/>
      <c r="AS954"/>
      <c r="AT954"/>
      <c r="AU954"/>
      <c r="AV954"/>
      <c r="AW954"/>
      <c r="AX954"/>
      <c r="AY954"/>
      <c r="AZ954"/>
      <c r="BA954"/>
      <c r="BB954"/>
      <c r="BC954"/>
      <c r="BD954"/>
      <c r="BE954"/>
      <c r="BF954"/>
      <c r="BG954"/>
      <c r="BH954"/>
      <c r="BI954"/>
      <c r="BJ954"/>
      <c r="BK954"/>
      <c r="BL954"/>
      <c r="BM954"/>
      <c r="BN954"/>
      <c r="BO954"/>
      <c r="BP954"/>
      <c r="BQ954"/>
      <c r="BR954"/>
      <c r="BS954"/>
      <c r="BT954"/>
      <c r="BU954"/>
      <c r="BV954"/>
      <c r="BW954"/>
      <c r="BX954"/>
      <c r="BY954"/>
      <c r="BZ954"/>
      <c r="CA954"/>
      <c r="CB954"/>
      <c r="CC954"/>
      <c r="CD954"/>
      <c r="CE954"/>
      <c r="CF954"/>
      <c r="CG954"/>
      <c r="CH954"/>
      <c r="CI954"/>
      <c r="CJ954"/>
      <c r="CK954"/>
      <c r="CL954"/>
      <c r="CM954"/>
      <c r="CN954"/>
      <c r="CO954"/>
      <c r="CP954"/>
      <c r="CQ954"/>
      <c r="CR954"/>
      <c r="CS954"/>
      <c r="CT954"/>
      <c r="CU954"/>
      <c r="CV954"/>
      <c r="CW954"/>
      <c r="CX954"/>
      <c r="CY954"/>
      <c r="CZ954"/>
      <c r="DA954"/>
      <c r="DB954"/>
      <c r="DC954"/>
      <c r="DD954"/>
      <c r="DE954"/>
      <c r="DF954"/>
      <c r="DG954"/>
      <c r="DH954"/>
      <c r="DI954"/>
      <c r="DJ954"/>
      <c r="DK954"/>
      <c r="DL954"/>
      <c r="DM954"/>
      <c r="DN954"/>
      <c r="DO954"/>
      <c r="DP954"/>
      <c r="DQ954"/>
      <c r="DR954"/>
      <c r="DS954"/>
      <c r="DT954"/>
      <c r="DU954"/>
      <c r="DV954"/>
      <c r="DW954"/>
      <c r="DX954"/>
      <c r="DY954"/>
      <c r="DZ954"/>
      <c r="EA954"/>
      <c r="EB954"/>
      <c r="EC954"/>
      <c r="ED954"/>
      <c r="EE954"/>
      <c r="EF954"/>
      <c r="EG954"/>
      <c r="EH954"/>
      <c r="EI954"/>
      <c r="EJ954"/>
      <c r="EK954"/>
      <c r="EL954"/>
      <c r="EM954"/>
      <c r="EN954"/>
      <c r="EO954"/>
      <c r="EP954"/>
      <c r="EQ954"/>
      <c r="ER954"/>
      <c r="ES954"/>
    </row>
    <row r="955" spans="1:149">
      <c r="A955"/>
      <c r="B955"/>
      <c r="C955"/>
      <c r="D955"/>
      <c r="E955"/>
      <c r="F955"/>
      <c r="G955"/>
      <c r="H955"/>
      <c r="I955"/>
      <c r="J955"/>
      <c r="K955"/>
      <c r="L955"/>
      <c r="M955"/>
      <c r="N955"/>
      <c r="O955"/>
      <c r="P955"/>
      <c r="Q955"/>
      <c r="R955"/>
      <c r="S955"/>
      <c r="T955"/>
      <c r="U955"/>
      <c r="V955"/>
      <c r="W955"/>
      <c r="X955"/>
      <c r="Y955"/>
      <c r="Z955"/>
      <c r="AA955"/>
      <c r="AB955"/>
      <c r="AC955"/>
      <c r="AD955"/>
      <c r="AE955"/>
      <c r="AF955"/>
      <c r="AG955"/>
      <c r="AH955"/>
      <c r="AI955"/>
      <c r="AJ955"/>
      <c r="AK955"/>
      <c r="AL955"/>
      <c r="AM955"/>
      <c r="AN955"/>
      <c r="AO955"/>
      <c r="AP955"/>
      <c r="AQ955"/>
      <c r="AR955"/>
      <c r="AS955"/>
      <c r="AT955"/>
      <c r="AU955"/>
      <c r="AV955"/>
      <c r="AW955"/>
      <c r="AX955"/>
      <c r="AY955"/>
      <c r="AZ955"/>
      <c r="BA955"/>
      <c r="BB955"/>
      <c r="BC955"/>
      <c r="BD955"/>
      <c r="BE955"/>
      <c r="BF955"/>
      <c r="BG955"/>
      <c r="BH955"/>
      <c r="BI955"/>
      <c r="BJ955"/>
      <c r="BK955"/>
      <c r="BL955"/>
      <c r="BM955"/>
      <c r="BN955"/>
      <c r="BO955"/>
      <c r="BP955"/>
      <c r="BQ955"/>
      <c r="BR955"/>
      <c r="BS955"/>
      <c r="BT955"/>
      <c r="BU955"/>
      <c r="BV955"/>
      <c r="BW955"/>
      <c r="BX955"/>
      <c r="BY955"/>
      <c r="BZ955"/>
      <c r="CA955"/>
      <c r="CB955"/>
      <c r="CC955"/>
      <c r="CD955"/>
      <c r="CE955"/>
      <c r="CF955"/>
      <c r="CG955"/>
      <c r="CH955"/>
      <c r="CI955"/>
      <c r="CJ955"/>
      <c r="CK955"/>
      <c r="CL955"/>
      <c r="CM955"/>
      <c r="CN955"/>
      <c r="CO955"/>
      <c r="CP955"/>
      <c r="CQ955"/>
      <c r="CR955"/>
      <c r="CS955"/>
      <c r="CT955"/>
      <c r="CU955"/>
      <c r="CV955"/>
      <c r="CW955"/>
      <c r="CX955"/>
      <c r="CY955"/>
      <c r="CZ955"/>
      <c r="DA955"/>
      <c r="DB955"/>
      <c r="DC955"/>
      <c r="DD955"/>
      <c r="DE955"/>
      <c r="DF955"/>
      <c r="DG955"/>
      <c r="DH955"/>
      <c r="DI955"/>
      <c r="DJ955"/>
      <c r="DK955"/>
      <c r="DL955"/>
      <c r="DM955"/>
      <c r="DN955"/>
      <c r="DO955"/>
      <c r="DP955"/>
      <c r="DQ955"/>
      <c r="DR955"/>
      <c r="DS955"/>
      <c r="DT955"/>
      <c r="DU955"/>
      <c r="DV955"/>
      <c r="DW955"/>
      <c r="DX955"/>
      <c r="DY955"/>
      <c r="DZ955"/>
      <c r="EA955"/>
      <c r="EB955"/>
      <c r="EC955"/>
      <c r="ED955"/>
      <c r="EE955"/>
      <c r="EF955"/>
      <c r="EG955"/>
      <c r="EH955"/>
      <c r="EI955"/>
      <c r="EJ955"/>
      <c r="EK955"/>
      <c r="EL955"/>
      <c r="EM955"/>
      <c r="EN955"/>
      <c r="EO955"/>
      <c r="EP955"/>
      <c r="EQ955"/>
      <c r="ER955"/>
      <c r="ES955"/>
    </row>
    <row r="956" spans="1:149">
      <c r="A956"/>
      <c r="B956"/>
      <c r="C956"/>
      <c r="D956"/>
      <c r="E956"/>
      <c r="F956"/>
      <c r="G956"/>
      <c r="H956"/>
      <c r="I956"/>
      <c r="J956"/>
      <c r="K956"/>
      <c r="L956"/>
      <c r="M956"/>
      <c r="N956"/>
      <c r="O956"/>
      <c r="P956"/>
      <c r="Q956"/>
      <c r="R956"/>
      <c r="S956"/>
      <c r="T956"/>
      <c r="U956"/>
      <c r="V956"/>
      <c r="W956"/>
      <c r="X956"/>
      <c r="Y956"/>
      <c r="Z956"/>
      <c r="AA956"/>
      <c r="AB956"/>
      <c r="AC956"/>
      <c r="AD956"/>
      <c r="AE956"/>
      <c r="AF956"/>
      <c r="AG956"/>
      <c r="AH956"/>
      <c r="AI956"/>
      <c r="AJ956"/>
      <c r="AK956"/>
      <c r="AL956"/>
      <c r="AM956"/>
      <c r="AN956"/>
      <c r="AO956"/>
      <c r="AP956"/>
      <c r="AQ956"/>
      <c r="AR956"/>
      <c r="AS956"/>
      <c r="AT956"/>
      <c r="AU956"/>
      <c r="AV956"/>
      <c r="AW956"/>
      <c r="AX956"/>
      <c r="AY956"/>
      <c r="AZ956"/>
      <c r="BA956"/>
      <c r="BB956"/>
      <c r="BC956"/>
      <c r="BD956"/>
      <c r="BE956"/>
      <c r="BF956"/>
      <c r="BG956"/>
      <c r="BH956"/>
      <c r="BI956"/>
      <c r="BJ956"/>
      <c r="BK956"/>
      <c r="BL956"/>
      <c r="BM956"/>
      <c r="BN956"/>
      <c r="BO956"/>
      <c r="BP956"/>
      <c r="BQ956"/>
      <c r="BR956"/>
      <c r="BS956"/>
      <c r="BT956"/>
      <c r="BU956"/>
      <c r="BV956"/>
      <c r="BW956"/>
      <c r="BX956"/>
      <c r="BY956"/>
      <c r="BZ956"/>
      <c r="CA956"/>
      <c r="CB956"/>
      <c r="CC956"/>
      <c r="CD956"/>
      <c r="CE956"/>
      <c r="CF956"/>
      <c r="CG956"/>
      <c r="CH956"/>
      <c r="CI956"/>
      <c r="CJ956"/>
      <c r="CK956"/>
      <c r="CL956"/>
      <c r="CM956"/>
      <c r="CN956"/>
      <c r="CO956"/>
      <c r="CP956"/>
      <c r="CQ956"/>
      <c r="CR956"/>
      <c r="CS956"/>
      <c r="CT956"/>
      <c r="CU956"/>
      <c r="CV956"/>
      <c r="CW956"/>
      <c r="CX956"/>
      <c r="CY956"/>
      <c r="CZ956"/>
      <c r="DA956"/>
      <c r="DB956"/>
      <c r="DC956"/>
      <c r="DD956"/>
      <c r="DE956"/>
      <c r="DF956"/>
      <c r="DG956"/>
      <c r="DH956"/>
      <c r="DI956"/>
      <c r="DJ956"/>
      <c r="DK956"/>
      <c r="DL956"/>
      <c r="DM956"/>
      <c r="DN956"/>
      <c r="DO956"/>
      <c r="DP956"/>
      <c r="DQ956"/>
      <c r="DR956"/>
      <c r="DS956"/>
      <c r="DT956"/>
      <c r="DU956"/>
      <c r="DV956"/>
      <c r="DW956"/>
      <c r="DX956"/>
      <c r="DY956"/>
      <c r="DZ956"/>
      <c r="EA956"/>
      <c r="EB956"/>
      <c r="EC956"/>
      <c r="ED956"/>
      <c r="EE956"/>
      <c r="EF956"/>
      <c r="EG956"/>
      <c r="EH956"/>
      <c r="EI956"/>
      <c r="EJ956"/>
      <c r="EK956"/>
      <c r="EL956"/>
      <c r="EM956"/>
      <c r="EN956"/>
      <c r="EO956"/>
      <c r="EP956"/>
      <c r="EQ956"/>
      <c r="ER956"/>
      <c r="ES956"/>
    </row>
    <row r="957" spans="1:149">
      <c r="A957"/>
      <c r="B957"/>
      <c r="C957"/>
      <c r="D957"/>
      <c r="E957"/>
      <c r="F957"/>
      <c r="G957"/>
      <c r="H957"/>
      <c r="I957"/>
      <c r="J957"/>
      <c r="K957"/>
      <c r="L957"/>
      <c r="M957"/>
      <c r="N957"/>
      <c r="O957"/>
      <c r="P957"/>
      <c r="Q957"/>
      <c r="R957"/>
      <c r="S957"/>
      <c r="T957"/>
      <c r="U957"/>
      <c r="V957"/>
      <c r="W957"/>
      <c r="X957"/>
      <c r="Y957"/>
      <c r="Z957"/>
      <c r="AA957"/>
      <c r="AB957"/>
      <c r="AC957"/>
      <c r="AD957"/>
      <c r="AE957"/>
      <c r="AF957"/>
      <c r="AG957"/>
      <c r="AH957"/>
      <c r="AI957"/>
      <c r="AJ957"/>
      <c r="AK957"/>
      <c r="AL957"/>
      <c r="AM957"/>
      <c r="AN957"/>
      <c r="AO957"/>
      <c r="AP957"/>
      <c r="AQ957"/>
      <c r="AR957"/>
      <c r="AS957"/>
      <c r="AT957"/>
      <c r="AU957"/>
      <c r="AV957"/>
      <c r="AW957"/>
      <c r="AX957"/>
      <c r="AY957"/>
      <c r="AZ957"/>
      <c r="BA957"/>
      <c r="BB957"/>
      <c r="BC957"/>
      <c r="BD957"/>
      <c r="BE957"/>
      <c r="BF957"/>
      <c r="BG957"/>
      <c r="BH957"/>
      <c r="BI957"/>
      <c r="BJ957"/>
      <c r="BK957"/>
      <c r="BL957"/>
      <c r="BM957"/>
      <c r="BN957"/>
      <c r="BO957"/>
      <c r="BP957"/>
      <c r="BQ957"/>
      <c r="BR957"/>
      <c r="BS957"/>
      <c r="BT957"/>
      <c r="BU957"/>
      <c r="BV957"/>
      <c r="BW957"/>
      <c r="BX957"/>
      <c r="BY957"/>
      <c r="BZ957"/>
      <c r="CA957"/>
      <c r="CB957"/>
      <c r="CC957"/>
      <c r="CD957"/>
      <c r="CE957"/>
      <c r="CF957"/>
      <c r="CG957"/>
      <c r="CH957"/>
      <c r="CI957"/>
      <c r="CJ957"/>
      <c r="CK957"/>
      <c r="CL957"/>
      <c r="CM957"/>
      <c r="CN957"/>
      <c r="CO957"/>
      <c r="CP957"/>
      <c r="CQ957"/>
      <c r="CR957"/>
      <c r="CS957"/>
      <c r="CT957"/>
      <c r="CU957"/>
      <c r="CV957"/>
      <c r="CW957"/>
      <c r="CX957"/>
      <c r="CY957"/>
      <c r="CZ957"/>
      <c r="DA957"/>
      <c r="DB957"/>
      <c r="DC957"/>
      <c r="DD957"/>
      <c r="DE957"/>
      <c r="DF957"/>
      <c r="DG957"/>
      <c r="DH957"/>
      <c r="DI957"/>
      <c r="DJ957"/>
      <c r="DK957"/>
      <c r="DL957"/>
      <c r="DM957"/>
      <c r="DN957"/>
      <c r="DO957"/>
      <c r="DP957"/>
      <c r="DQ957"/>
      <c r="DR957"/>
      <c r="DS957"/>
      <c r="DT957"/>
      <c r="DU957"/>
      <c r="DV957"/>
      <c r="DW957"/>
      <c r="DX957"/>
      <c r="DY957"/>
      <c r="DZ957"/>
      <c r="EA957"/>
      <c r="EB957"/>
      <c r="EC957"/>
      <c r="ED957"/>
      <c r="EE957"/>
      <c r="EF957"/>
      <c r="EG957"/>
      <c r="EH957"/>
      <c r="EI957"/>
      <c r="EJ957"/>
      <c r="EK957"/>
      <c r="EL957"/>
      <c r="EM957"/>
      <c r="EN957"/>
      <c r="EO957"/>
      <c r="EP957"/>
      <c r="EQ957"/>
      <c r="ER957"/>
      <c r="ES957"/>
    </row>
    <row r="958" spans="1:149">
      <c r="A958"/>
      <c r="B958"/>
      <c r="C958"/>
      <c r="D958"/>
      <c r="E958"/>
      <c r="F958"/>
      <c r="G958"/>
      <c r="H958"/>
      <c r="I958"/>
      <c r="J958"/>
      <c r="K958"/>
      <c r="L958"/>
      <c r="M958"/>
      <c r="N958"/>
      <c r="O958"/>
      <c r="P958"/>
      <c r="Q958"/>
      <c r="R958"/>
      <c r="S958"/>
      <c r="T958"/>
      <c r="U958"/>
      <c r="V958"/>
      <c r="W958"/>
      <c r="X958"/>
      <c r="Y958"/>
      <c r="Z958"/>
      <c r="AA958"/>
      <c r="AB958"/>
      <c r="AC958"/>
      <c r="AD958"/>
      <c r="AE958"/>
      <c r="AF958"/>
      <c r="AG958"/>
      <c r="AH958"/>
      <c r="AI958"/>
      <c r="AJ958"/>
      <c r="AK958"/>
      <c r="AL958"/>
      <c r="AM958"/>
      <c r="AN958"/>
      <c r="AO958"/>
      <c r="AP958"/>
      <c r="AQ958"/>
      <c r="AR958"/>
      <c r="AS958"/>
      <c r="AT958"/>
      <c r="AU958"/>
      <c r="AV958"/>
      <c r="AW958"/>
      <c r="AX958"/>
      <c r="AY958"/>
      <c r="AZ958"/>
      <c r="BA958"/>
      <c r="BB958"/>
      <c r="BC958"/>
      <c r="BD958"/>
      <c r="BE958"/>
      <c r="BF958"/>
      <c r="BG958"/>
      <c r="BH958"/>
      <c r="BI958"/>
      <c r="BJ958"/>
      <c r="BK958"/>
      <c r="BL958"/>
      <c r="BM958"/>
      <c r="BN958"/>
      <c r="BO958"/>
      <c r="BP958"/>
      <c r="BQ958"/>
      <c r="BR958"/>
      <c r="BS958"/>
      <c r="BT958"/>
      <c r="BU958"/>
      <c r="BV958"/>
      <c r="BW958"/>
      <c r="BX958"/>
      <c r="BY958"/>
      <c r="BZ958"/>
      <c r="CA958"/>
      <c r="CB958"/>
      <c r="CC958"/>
      <c r="CD958"/>
      <c r="CE958"/>
      <c r="CF958"/>
      <c r="CG958"/>
      <c r="CH958"/>
      <c r="CI958"/>
      <c r="CJ958"/>
      <c r="CK958"/>
      <c r="CL958"/>
      <c r="CM958"/>
      <c r="CN958"/>
      <c r="CO958"/>
      <c r="CP958"/>
      <c r="CQ958"/>
      <c r="CR958"/>
      <c r="CS958"/>
      <c r="CT958"/>
      <c r="CU958"/>
      <c r="CV958"/>
      <c r="CW958"/>
      <c r="CX958"/>
      <c r="CY958"/>
      <c r="CZ958"/>
      <c r="DA958"/>
      <c r="DB958"/>
      <c r="DC958"/>
      <c r="DD958"/>
      <c r="DE958"/>
      <c r="DF958"/>
      <c r="DG958"/>
      <c r="DH958"/>
      <c r="DI958"/>
      <c r="DJ958"/>
      <c r="DK958"/>
      <c r="DL958"/>
      <c r="DM958"/>
      <c r="DN958"/>
      <c r="DO958"/>
      <c r="DP958"/>
      <c r="DQ958"/>
      <c r="DR958"/>
      <c r="DS958"/>
      <c r="DT958"/>
      <c r="DU958"/>
      <c r="DV958"/>
      <c r="DW958"/>
      <c r="DX958"/>
      <c r="DY958"/>
      <c r="DZ958"/>
      <c r="EA958"/>
      <c r="EB958"/>
      <c r="EC958"/>
      <c r="ED958"/>
      <c r="EE958"/>
      <c r="EF958"/>
      <c r="EG958"/>
      <c r="EH958"/>
      <c r="EI958"/>
      <c r="EJ958"/>
      <c r="EK958"/>
      <c r="EL958"/>
      <c r="EM958"/>
      <c r="EN958"/>
      <c r="EO958"/>
      <c r="EP958"/>
      <c r="EQ958"/>
      <c r="ER958"/>
      <c r="ES958"/>
    </row>
    <row r="959" spans="1:149">
      <c r="A959"/>
      <c r="B959"/>
      <c r="C959"/>
      <c r="D959"/>
      <c r="E959"/>
      <c r="F959"/>
      <c r="G959"/>
      <c r="H959"/>
      <c r="I959"/>
      <c r="J959"/>
      <c r="K959"/>
      <c r="L959"/>
      <c r="M959"/>
      <c r="N959"/>
      <c r="O959"/>
      <c r="P959"/>
      <c r="Q959"/>
      <c r="R959"/>
      <c r="S959"/>
      <c r="T959"/>
      <c r="U959"/>
      <c r="V959"/>
      <c r="W959"/>
      <c r="X959"/>
      <c r="Y959"/>
      <c r="Z959"/>
      <c r="AA959"/>
      <c r="AB959"/>
      <c r="AC959"/>
      <c r="AD959"/>
      <c r="AE959"/>
      <c r="AF959"/>
      <c r="AG959"/>
      <c r="AH959"/>
      <c r="AI959"/>
      <c r="AJ959"/>
      <c r="AK959"/>
      <c r="AL959"/>
      <c r="AM959"/>
      <c r="AN959"/>
      <c r="AO959"/>
      <c r="AP959"/>
      <c r="AQ959"/>
      <c r="AR959"/>
      <c r="AS959"/>
      <c r="AT959"/>
      <c r="AU959"/>
      <c r="AV959"/>
      <c r="AW959"/>
      <c r="AX959"/>
      <c r="AY959"/>
      <c r="AZ959"/>
      <c r="BA959"/>
      <c r="BB959"/>
      <c r="BC959"/>
      <c r="BD959"/>
      <c r="BE959"/>
      <c r="BF959"/>
      <c r="BG959"/>
      <c r="BH959"/>
      <c r="BI959"/>
      <c r="BJ959"/>
      <c r="BK959"/>
      <c r="BL959"/>
      <c r="BM959"/>
      <c r="BN959"/>
      <c r="BO959"/>
      <c r="BP959"/>
      <c r="BQ959"/>
      <c r="BR959"/>
      <c r="BS959"/>
      <c r="BT959"/>
      <c r="BU959"/>
      <c r="BV959"/>
      <c r="BW959"/>
      <c r="BX959"/>
      <c r="BY959"/>
      <c r="BZ959"/>
      <c r="CA959"/>
      <c r="CB959"/>
      <c r="CC959"/>
      <c r="CD959"/>
      <c r="CE959"/>
      <c r="CF959"/>
      <c r="CG959"/>
      <c r="CH959"/>
      <c r="CI959"/>
      <c r="CJ959"/>
      <c r="CK959"/>
      <c r="CL959"/>
      <c r="CM959"/>
      <c r="CN959"/>
      <c r="CO959"/>
      <c r="CP959"/>
      <c r="CQ959"/>
      <c r="CR959"/>
      <c r="CS959"/>
      <c r="CT959"/>
      <c r="CU959"/>
      <c r="CV959"/>
      <c r="CW959"/>
      <c r="CX959"/>
      <c r="CY959"/>
      <c r="CZ959"/>
      <c r="DA959"/>
      <c r="DB959"/>
      <c r="DC959"/>
      <c r="DD959"/>
      <c r="DE959"/>
      <c r="DF959"/>
      <c r="DG959"/>
      <c r="DH959"/>
      <c r="DI959"/>
      <c r="DJ959"/>
      <c r="DK959"/>
      <c r="DL959"/>
      <c r="DM959"/>
      <c r="DN959"/>
      <c r="DO959"/>
      <c r="DP959"/>
      <c r="DQ959"/>
      <c r="DR959"/>
      <c r="DS959"/>
      <c r="DT959"/>
      <c r="DU959"/>
      <c r="DV959"/>
      <c r="DW959"/>
      <c r="DX959"/>
      <c r="DY959"/>
      <c r="DZ959"/>
      <c r="EA959"/>
      <c r="EB959"/>
      <c r="EC959"/>
      <c r="ED959"/>
      <c r="EE959"/>
      <c r="EF959"/>
      <c r="EG959"/>
      <c r="EH959"/>
      <c r="EI959"/>
      <c r="EJ959"/>
      <c r="EK959"/>
      <c r="EL959"/>
      <c r="EM959"/>
      <c r="EN959"/>
      <c r="EO959"/>
      <c r="EP959"/>
      <c r="EQ959"/>
      <c r="ER959"/>
      <c r="ES959"/>
    </row>
    <row r="960" spans="1:149">
      <c r="A960"/>
      <c r="B960"/>
      <c r="C960"/>
      <c r="D960"/>
      <c r="E960"/>
      <c r="F960"/>
      <c r="G960"/>
      <c r="H960"/>
      <c r="I960"/>
      <c r="J960"/>
      <c r="K960"/>
      <c r="L960"/>
      <c r="M960"/>
      <c r="N960"/>
      <c r="O960"/>
      <c r="P960"/>
      <c r="Q960"/>
      <c r="R960"/>
      <c r="S960"/>
      <c r="T960"/>
      <c r="U960"/>
      <c r="V960"/>
      <c r="W960"/>
      <c r="X960"/>
      <c r="Y960"/>
      <c r="Z960"/>
      <c r="AA960"/>
      <c r="AB960"/>
      <c r="AC960"/>
      <c r="AD960"/>
      <c r="AE960"/>
      <c r="AF960"/>
      <c r="AG960"/>
      <c r="AH960"/>
      <c r="AI960"/>
      <c r="AJ960"/>
      <c r="AK960"/>
      <c r="AL960"/>
      <c r="AM960"/>
      <c r="AN960"/>
      <c r="AO960"/>
      <c r="AP960"/>
      <c r="AQ960"/>
      <c r="AR960"/>
      <c r="AS960"/>
      <c r="AT960"/>
      <c r="AU960"/>
      <c r="AV960"/>
      <c r="AW960"/>
      <c r="AX960"/>
      <c r="AY960"/>
      <c r="AZ960"/>
      <c r="BA960"/>
      <c r="BB960"/>
      <c r="BC960"/>
      <c r="BD960"/>
      <c r="BE960"/>
      <c r="BF960"/>
      <c r="BG960"/>
      <c r="BH960"/>
      <c r="BI960"/>
      <c r="BJ960"/>
      <c r="BK960"/>
      <c r="BL960"/>
      <c r="BM960"/>
      <c r="BN960"/>
      <c r="BO960"/>
      <c r="BP960"/>
      <c r="BQ960"/>
      <c r="BR960"/>
      <c r="BS960"/>
      <c r="BT960"/>
      <c r="BU960"/>
      <c r="BV960"/>
      <c r="BW960"/>
      <c r="BX960"/>
      <c r="BY960"/>
      <c r="BZ960"/>
      <c r="CA960"/>
      <c r="CB960"/>
      <c r="CC960"/>
      <c r="CD960"/>
      <c r="CE960"/>
      <c r="CF960"/>
      <c r="CG960"/>
      <c r="CH960"/>
      <c r="CI960"/>
      <c r="CJ960"/>
      <c r="CK960"/>
      <c r="CL960"/>
      <c r="CM960"/>
      <c r="CN960"/>
      <c r="CO960"/>
      <c r="CP960"/>
      <c r="CQ960"/>
      <c r="CR960"/>
      <c r="CS960"/>
      <c r="CT960"/>
      <c r="CU960"/>
      <c r="CV960"/>
      <c r="CW960"/>
      <c r="CX960"/>
      <c r="CY960"/>
      <c r="CZ960"/>
      <c r="DA960"/>
      <c r="DB960"/>
      <c r="DC960"/>
      <c r="DD960"/>
      <c r="DE960"/>
      <c r="DF960"/>
      <c r="DG960"/>
      <c r="DH960"/>
      <c r="DI960"/>
      <c r="DJ960"/>
      <c r="DK960"/>
      <c r="DL960"/>
      <c r="DM960"/>
      <c r="DN960"/>
      <c r="DO960"/>
      <c r="DP960"/>
      <c r="DQ960"/>
      <c r="DR960"/>
      <c r="DS960"/>
      <c r="DT960"/>
      <c r="DU960"/>
      <c r="DV960"/>
      <c r="DW960"/>
      <c r="DX960"/>
      <c r="DY960"/>
      <c r="DZ960"/>
      <c r="EA960"/>
      <c r="EB960"/>
      <c r="EC960"/>
      <c r="ED960"/>
      <c r="EE960"/>
      <c r="EF960"/>
      <c r="EG960"/>
      <c r="EH960"/>
      <c r="EI960"/>
      <c r="EJ960"/>
      <c r="EK960"/>
      <c r="EL960"/>
      <c r="EM960"/>
      <c r="EN960"/>
      <c r="EO960"/>
      <c r="EP960"/>
      <c r="EQ960"/>
      <c r="ER960"/>
      <c r="ES960"/>
    </row>
    <row r="961" spans="1:149">
      <c r="A961"/>
      <c r="B961"/>
      <c r="C961"/>
      <c r="D961"/>
      <c r="E961"/>
      <c r="F961"/>
      <c r="G961"/>
      <c r="H961"/>
      <c r="I961"/>
      <c r="J961"/>
      <c r="K961"/>
      <c r="L961"/>
      <c r="M961"/>
      <c r="N961"/>
      <c r="O961"/>
      <c r="P961"/>
      <c r="Q961"/>
      <c r="R961"/>
      <c r="S961"/>
      <c r="T961"/>
      <c r="U961"/>
      <c r="V961"/>
      <c r="W961"/>
      <c r="X961"/>
      <c r="Y961"/>
      <c r="Z961"/>
      <c r="AA961"/>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c r="BZ961"/>
      <c r="CA961"/>
      <c r="CB961"/>
      <c r="CC961"/>
      <c r="CD961"/>
      <c r="CE961"/>
      <c r="CF961"/>
      <c r="CG961"/>
      <c r="CH961"/>
      <c r="CI961"/>
      <c r="CJ961"/>
      <c r="CK961"/>
      <c r="CL961"/>
      <c r="CM961"/>
      <c r="CN961"/>
      <c r="CO961"/>
      <c r="CP961"/>
      <c r="CQ961"/>
      <c r="CR961"/>
      <c r="CS961"/>
      <c r="CT961"/>
      <c r="CU961"/>
      <c r="CV961"/>
      <c r="CW961"/>
      <c r="CX961"/>
      <c r="CY961"/>
      <c r="CZ961"/>
      <c r="DA961"/>
      <c r="DB961"/>
      <c r="DC961"/>
      <c r="DD961"/>
      <c r="DE961"/>
      <c r="DF961"/>
      <c r="DG961"/>
      <c r="DH961"/>
      <c r="DI961"/>
      <c r="DJ961"/>
      <c r="DK961"/>
      <c r="DL961"/>
      <c r="DM961"/>
      <c r="DN961"/>
      <c r="DO961"/>
      <c r="DP961"/>
      <c r="DQ961"/>
      <c r="DR961"/>
      <c r="DS961"/>
      <c r="DT961"/>
      <c r="DU961"/>
      <c r="DV961"/>
      <c r="DW961"/>
      <c r="DX961"/>
      <c r="DY961"/>
      <c r="DZ961"/>
      <c r="EA961"/>
      <c r="EB961"/>
      <c r="EC961"/>
      <c r="ED961"/>
      <c r="EE961"/>
      <c r="EF961"/>
      <c r="EG961"/>
      <c r="EH961"/>
      <c r="EI961"/>
      <c r="EJ961"/>
      <c r="EK961"/>
      <c r="EL961"/>
      <c r="EM961"/>
      <c r="EN961"/>
      <c r="EO961"/>
      <c r="EP961"/>
      <c r="EQ961"/>
      <c r="ER961"/>
      <c r="ES961"/>
    </row>
    <row r="962" spans="1:149">
      <c r="A962"/>
      <c r="B962"/>
      <c r="C962"/>
      <c r="D962"/>
      <c r="E962"/>
      <c r="F962"/>
      <c r="G962"/>
      <c r="H962"/>
      <c r="I962"/>
      <c r="J962"/>
      <c r="K962"/>
      <c r="L962"/>
      <c r="M962"/>
      <c r="N962"/>
      <c r="O962"/>
      <c r="P962"/>
      <c r="Q962"/>
      <c r="R962"/>
      <c r="S962"/>
      <c r="T962"/>
      <c r="U962"/>
      <c r="V962"/>
      <c r="W962"/>
      <c r="X962"/>
      <c r="Y962"/>
      <c r="Z962"/>
      <c r="AA962"/>
      <c r="AB962"/>
      <c r="AC962"/>
      <c r="AD962"/>
      <c r="AE962"/>
      <c r="AF962"/>
      <c r="AG962"/>
      <c r="AH962"/>
      <c r="AI962"/>
      <c r="AJ962"/>
      <c r="AK962"/>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c r="BS962"/>
      <c r="BT962"/>
      <c r="BU962"/>
      <c r="BV962"/>
      <c r="BW962"/>
      <c r="BX962"/>
      <c r="BY962"/>
      <c r="BZ962"/>
      <c r="CA962"/>
      <c r="CB962"/>
      <c r="CC962"/>
      <c r="CD962"/>
      <c r="CE962"/>
      <c r="CF962"/>
      <c r="CG962"/>
      <c r="CH962"/>
      <c r="CI962"/>
      <c r="CJ962"/>
      <c r="CK962"/>
      <c r="CL962"/>
      <c r="CM962"/>
      <c r="CN962"/>
      <c r="CO962"/>
      <c r="CP962"/>
      <c r="CQ962"/>
      <c r="CR962"/>
      <c r="CS962"/>
      <c r="CT962"/>
      <c r="CU962"/>
      <c r="CV962"/>
      <c r="CW962"/>
      <c r="CX962"/>
      <c r="CY962"/>
      <c r="CZ962"/>
      <c r="DA962"/>
      <c r="DB962"/>
      <c r="DC962"/>
      <c r="DD962"/>
      <c r="DE962"/>
      <c r="DF962"/>
      <c r="DG962"/>
      <c r="DH962"/>
      <c r="DI962"/>
      <c r="DJ962"/>
      <c r="DK962"/>
      <c r="DL962"/>
      <c r="DM962"/>
      <c r="DN962"/>
      <c r="DO962"/>
      <c r="DP962"/>
      <c r="DQ962"/>
      <c r="DR962"/>
      <c r="DS962"/>
      <c r="DT962"/>
      <c r="DU962"/>
      <c r="DV962"/>
      <c r="DW962"/>
      <c r="DX962"/>
      <c r="DY962"/>
      <c r="DZ962"/>
      <c r="EA962"/>
      <c r="EB962"/>
      <c r="EC962"/>
      <c r="ED962"/>
      <c r="EE962"/>
      <c r="EF962"/>
      <c r="EG962"/>
      <c r="EH962"/>
      <c r="EI962"/>
      <c r="EJ962"/>
      <c r="EK962"/>
      <c r="EL962"/>
      <c r="EM962"/>
      <c r="EN962"/>
      <c r="EO962"/>
      <c r="EP962"/>
      <c r="EQ962"/>
      <c r="ER962"/>
      <c r="ES962"/>
    </row>
    <row r="963" spans="1:149">
      <c r="A963"/>
      <c r="B963"/>
      <c r="C963"/>
      <c r="D963"/>
      <c r="E963"/>
      <c r="F963"/>
      <c r="G963"/>
      <c r="H963"/>
      <c r="I963"/>
      <c r="J963"/>
      <c r="K963"/>
      <c r="L963"/>
      <c r="M963"/>
      <c r="N963"/>
      <c r="O963"/>
      <c r="P963"/>
      <c r="Q963"/>
      <c r="R963"/>
      <c r="S963"/>
      <c r="T963"/>
      <c r="U963"/>
      <c r="V963"/>
      <c r="W963"/>
      <c r="X963"/>
      <c r="Y963"/>
      <c r="Z963"/>
      <c r="AA963"/>
      <c r="AB963"/>
      <c r="AC963"/>
      <c r="AD963"/>
      <c r="AE963"/>
      <c r="AF963"/>
      <c r="AG963"/>
      <c r="AH963"/>
      <c r="AI963"/>
      <c r="AJ963"/>
      <c r="AK963"/>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c r="BS963"/>
      <c r="BT963"/>
      <c r="BU963"/>
      <c r="BV963"/>
      <c r="BW963"/>
      <c r="BX963"/>
      <c r="BY963"/>
      <c r="BZ963"/>
      <c r="CA963"/>
      <c r="CB963"/>
      <c r="CC963"/>
      <c r="CD963"/>
      <c r="CE963"/>
      <c r="CF963"/>
      <c r="CG963"/>
      <c r="CH963"/>
      <c r="CI963"/>
      <c r="CJ963"/>
      <c r="CK963"/>
      <c r="CL963"/>
      <c r="CM963"/>
      <c r="CN963"/>
      <c r="CO963"/>
      <c r="CP963"/>
      <c r="CQ963"/>
      <c r="CR963"/>
      <c r="CS963"/>
      <c r="CT963"/>
      <c r="CU963"/>
      <c r="CV963"/>
      <c r="CW963"/>
      <c r="CX963"/>
      <c r="CY963"/>
      <c r="CZ963"/>
      <c r="DA963"/>
      <c r="DB963"/>
      <c r="DC963"/>
      <c r="DD963"/>
      <c r="DE963"/>
      <c r="DF963"/>
      <c r="DG963"/>
      <c r="DH963"/>
      <c r="DI963"/>
      <c r="DJ963"/>
      <c r="DK963"/>
      <c r="DL963"/>
      <c r="DM963"/>
      <c r="DN963"/>
      <c r="DO963"/>
      <c r="DP963"/>
      <c r="DQ963"/>
      <c r="DR963"/>
      <c r="DS963"/>
      <c r="DT963"/>
      <c r="DU963"/>
      <c r="DV963"/>
      <c r="DW963"/>
      <c r="DX963"/>
      <c r="DY963"/>
      <c r="DZ963"/>
      <c r="EA963"/>
      <c r="EB963"/>
      <c r="EC963"/>
      <c r="ED963"/>
      <c r="EE963"/>
      <c r="EF963"/>
      <c r="EG963"/>
      <c r="EH963"/>
      <c r="EI963"/>
      <c r="EJ963"/>
      <c r="EK963"/>
      <c r="EL963"/>
      <c r="EM963"/>
      <c r="EN963"/>
      <c r="EO963"/>
      <c r="EP963"/>
      <c r="EQ963"/>
      <c r="ER963"/>
      <c r="ES963"/>
    </row>
    <row r="964" spans="1:149">
      <c r="A964"/>
      <c r="B964"/>
      <c r="C964"/>
      <c r="D964"/>
      <c r="E964"/>
      <c r="F964"/>
      <c r="G964"/>
      <c r="H964"/>
      <c r="I964"/>
      <c r="J964"/>
      <c r="K964"/>
      <c r="L964"/>
      <c r="M964"/>
      <c r="N964"/>
      <c r="O964"/>
      <c r="P964"/>
      <c r="Q964"/>
      <c r="R964"/>
      <c r="S964"/>
      <c r="T964"/>
      <c r="U964"/>
      <c r="V964"/>
      <c r="W964"/>
      <c r="X964"/>
      <c r="Y964"/>
      <c r="Z964"/>
      <c r="AA964"/>
      <c r="AB964"/>
      <c r="AC964"/>
      <c r="AD964"/>
      <c r="AE964"/>
      <c r="AF964"/>
      <c r="AG964"/>
      <c r="AH964"/>
      <c r="AI964"/>
      <c r="AJ964"/>
      <c r="AK964"/>
      <c r="AL964"/>
      <c r="AM964"/>
      <c r="AN964"/>
      <c r="AO964"/>
      <c r="AP964"/>
      <c r="AQ964"/>
      <c r="AR964"/>
      <c r="AS964"/>
      <c r="AT964"/>
      <c r="AU964"/>
      <c r="AV964"/>
      <c r="AW964"/>
      <c r="AX964"/>
      <c r="AY964"/>
      <c r="AZ964"/>
      <c r="BA964"/>
      <c r="BB964"/>
      <c r="BC964"/>
      <c r="BD964"/>
      <c r="BE964"/>
      <c r="BF964"/>
      <c r="BG964"/>
      <c r="BH964"/>
      <c r="BI964"/>
      <c r="BJ964"/>
      <c r="BK964"/>
      <c r="BL964"/>
      <c r="BM964"/>
      <c r="BN964"/>
      <c r="BO964"/>
      <c r="BP964"/>
      <c r="BQ964"/>
      <c r="BR964"/>
      <c r="BS964"/>
      <c r="BT964"/>
      <c r="BU964"/>
      <c r="BV964"/>
      <c r="BW964"/>
      <c r="BX964"/>
      <c r="BY964"/>
      <c r="BZ964"/>
      <c r="CA964"/>
      <c r="CB964"/>
      <c r="CC964"/>
      <c r="CD964"/>
      <c r="CE964"/>
      <c r="CF964"/>
      <c r="CG964"/>
      <c r="CH964"/>
      <c r="CI964"/>
      <c r="CJ964"/>
      <c r="CK964"/>
      <c r="CL964"/>
      <c r="CM964"/>
      <c r="CN964"/>
      <c r="CO964"/>
      <c r="CP964"/>
      <c r="CQ964"/>
      <c r="CR964"/>
      <c r="CS964"/>
      <c r="CT964"/>
      <c r="CU964"/>
      <c r="CV964"/>
      <c r="CW964"/>
      <c r="CX964"/>
      <c r="CY964"/>
      <c r="CZ964"/>
      <c r="DA964"/>
      <c r="DB964"/>
      <c r="DC964"/>
      <c r="DD964"/>
      <c r="DE964"/>
      <c r="DF964"/>
      <c r="DG964"/>
      <c r="DH964"/>
      <c r="DI964"/>
      <c r="DJ964"/>
      <c r="DK964"/>
      <c r="DL964"/>
      <c r="DM964"/>
      <c r="DN964"/>
      <c r="DO964"/>
      <c r="DP964"/>
      <c r="DQ964"/>
      <c r="DR964"/>
      <c r="DS964"/>
      <c r="DT964"/>
      <c r="DU964"/>
      <c r="DV964"/>
      <c r="DW964"/>
      <c r="DX964"/>
      <c r="DY964"/>
      <c r="DZ964"/>
      <c r="EA964"/>
      <c r="EB964"/>
      <c r="EC964"/>
      <c r="ED964"/>
      <c r="EE964"/>
      <c r="EF964"/>
      <c r="EG964"/>
      <c r="EH964"/>
      <c r="EI964"/>
      <c r="EJ964"/>
      <c r="EK964"/>
      <c r="EL964"/>
      <c r="EM964"/>
      <c r="EN964"/>
      <c r="EO964"/>
      <c r="EP964"/>
      <c r="EQ964"/>
      <c r="ER964"/>
      <c r="ES964"/>
    </row>
    <row r="965" spans="1:149">
      <c r="A965"/>
      <c r="B965"/>
      <c r="C965"/>
      <c r="D965"/>
      <c r="E965"/>
      <c r="F965"/>
      <c r="G965"/>
      <c r="H965"/>
      <c r="I965"/>
      <c r="J965"/>
      <c r="K965"/>
      <c r="L965"/>
      <c r="M965"/>
      <c r="N965"/>
      <c r="O965"/>
      <c r="P965"/>
      <c r="Q965"/>
      <c r="R965"/>
      <c r="S965"/>
      <c r="T965"/>
      <c r="U965"/>
      <c r="V965"/>
      <c r="W965"/>
      <c r="X965"/>
      <c r="Y965"/>
      <c r="Z965"/>
      <c r="AA965"/>
      <c r="AB965"/>
      <c r="AC965"/>
      <c r="AD965"/>
      <c r="AE965"/>
      <c r="AF965"/>
      <c r="AG965"/>
      <c r="AH965"/>
      <c r="AI965"/>
      <c r="AJ965"/>
      <c r="AK965"/>
      <c r="AL965"/>
      <c r="AM965"/>
      <c r="AN965"/>
      <c r="AO965"/>
      <c r="AP965"/>
      <c r="AQ965"/>
      <c r="AR965"/>
      <c r="AS965"/>
      <c r="AT965"/>
      <c r="AU965"/>
      <c r="AV965"/>
      <c r="AW965"/>
      <c r="AX965"/>
      <c r="AY965"/>
      <c r="AZ965"/>
      <c r="BA965"/>
      <c r="BB965"/>
      <c r="BC965"/>
      <c r="BD965"/>
      <c r="BE965"/>
      <c r="BF965"/>
      <c r="BG965"/>
      <c r="BH965"/>
      <c r="BI965"/>
      <c r="BJ965"/>
      <c r="BK965"/>
      <c r="BL965"/>
      <c r="BM965"/>
      <c r="BN965"/>
      <c r="BO965"/>
      <c r="BP965"/>
      <c r="BQ965"/>
      <c r="BR965"/>
      <c r="BS965"/>
      <c r="BT965"/>
      <c r="BU965"/>
      <c r="BV965"/>
      <c r="BW965"/>
      <c r="BX965"/>
      <c r="BY965"/>
      <c r="BZ965"/>
      <c r="CA965"/>
      <c r="CB965"/>
      <c r="CC965"/>
      <c r="CD965"/>
      <c r="CE965"/>
      <c r="CF965"/>
      <c r="CG965"/>
      <c r="CH965"/>
      <c r="CI965"/>
      <c r="CJ965"/>
      <c r="CK965"/>
      <c r="CL965"/>
      <c r="CM965"/>
      <c r="CN965"/>
      <c r="CO965"/>
      <c r="CP965"/>
      <c r="CQ965"/>
      <c r="CR965"/>
      <c r="CS965"/>
      <c r="CT965"/>
      <c r="CU965"/>
      <c r="CV965"/>
      <c r="CW965"/>
      <c r="CX965"/>
      <c r="CY965"/>
      <c r="CZ965"/>
      <c r="DA965"/>
      <c r="DB965"/>
      <c r="DC965"/>
      <c r="DD965"/>
      <c r="DE965"/>
      <c r="DF965"/>
      <c r="DG965"/>
      <c r="DH965"/>
      <c r="DI965"/>
      <c r="DJ965"/>
      <c r="DK965"/>
      <c r="DL965"/>
      <c r="DM965"/>
      <c r="DN965"/>
      <c r="DO965"/>
      <c r="DP965"/>
      <c r="DQ965"/>
      <c r="DR965"/>
      <c r="DS965"/>
      <c r="DT965"/>
      <c r="DU965"/>
      <c r="DV965"/>
      <c r="DW965"/>
      <c r="DX965"/>
      <c r="DY965"/>
      <c r="DZ965"/>
      <c r="EA965"/>
      <c r="EB965"/>
      <c r="EC965"/>
      <c r="ED965"/>
      <c r="EE965"/>
      <c r="EF965"/>
      <c r="EG965"/>
      <c r="EH965"/>
      <c r="EI965"/>
      <c r="EJ965"/>
      <c r="EK965"/>
      <c r="EL965"/>
      <c r="EM965"/>
      <c r="EN965"/>
      <c r="EO965"/>
      <c r="EP965"/>
      <c r="EQ965"/>
      <c r="ER965"/>
      <c r="ES965"/>
    </row>
    <row r="966" spans="1:149">
      <c r="A966"/>
      <c r="B966"/>
      <c r="C966"/>
      <c r="D966"/>
      <c r="E966"/>
      <c r="F966"/>
      <c r="G966"/>
      <c r="H966"/>
      <c r="I966"/>
      <c r="J966"/>
      <c r="K966"/>
      <c r="L966"/>
      <c r="M966"/>
      <c r="N966"/>
      <c r="O966"/>
      <c r="P966"/>
      <c r="Q966"/>
      <c r="R966"/>
      <c r="S966"/>
      <c r="T966"/>
      <c r="U966"/>
      <c r="V966"/>
      <c r="W966"/>
      <c r="X966"/>
      <c r="Y966"/>
      <c r="Z966"/>
      <c r="AA966"/>
      <c r="AB966"/>
      <c r="AC966"/>
      <c r="AD966"/>
      <c r="AE966"/>
      <c r="AF966"/>
      <c r="AG966"/>
      <c r="AH966"/>
      <c r="AI966"/>
      <c r="AJ966"/>
      <c r="AK966"/>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c r="BS966"/>
      <c r="BT966"/>
      <c r="BU966"/>
      <c r="BV966"/>
      <c r="BW966"/>
      <c r="BX966"/>
      <c r="BY966"/>
      <c r="BZ966"/>
      <c r="CA966"/>
      <c r="CB966"/>
      <c r="CC966"/>
      <c r="CD966"/>
      <c r="CE966"/>
      <c r="CF966"/>
      <c r="CG966"/>
      <c r="CH966"/>
      <c r="CI966"/>
      <c r="CJ966"/>
      <c r="CK966"/>
      <c r="CL966"/>
      <c r="CM966"/>
      <c r="CN966"/>
      <c r="CO966"/>
      <c r="CP966"/>
      <c r="CQ966"/>
      <c r="CR966"/>
      <c r="CS966"/>
      <c r="CT966"/>
      <c r="CU966"/>
      <c r="CV966"/>
      <c r="CW966"/>
      <c r="CX966"/>
      <c r="CY966"/>
      <c r="CZ966"/>
      <c r="DA966"/>
      <c r="DB966"/>
      <c r="DC966"/>
      <c r="DD966"/>
      <c r="DE966"/>
      <c r="DF966"/>
      <c r="DG966"/>
      <c r="DH966"/>
      <c r="DI966"/>
      <c r="DJ966"/>
      <c r="DK966"/>
      <c r="DL966"/>
      <c r="DM966"/>
      <c r="DN966"/>
      <c r="DO966"/>
      <c r="DP966"/>
      <c r="DQ966"/>
      <c r="DR966"/>
      <c r="DS966"/>
      <c r="DT966"/>
      <c r="DU966"/>
      <c r="DV966"/>
      <c r="DW966"/>
      <c r="DX966"/>
      <c r="DY966"/>
      <c r="DZ966"/>
      <c r="EA966"/>
      <c r="EB966"/>
      <c r="EC966"/>
      <c r="ED966"/>
      <c r="EE966"/>
      <c r="EF966"/>
      <c r="EG966"/>
      <c r="EH966"/>
      <c r="EI966"/>
      <c r="EJ966"/>
      <c r="EK966"/>
      <c r="EL966"/>
      <c r="EM966"/>
      <c r="EN966"/>
      <c r="EO966"/>
      <c r="EP966"/>
      <c r="EQ966"/>
      <c r="ER966"/>
      <c r="ES966"/>
    </row>
    <row r="967" spans="1:149">
      <c r="A967"/>
      <c r="B967"/>
      <c r="C967"/>
      <c r="D967"/>
      <c r="E967"/>
      <c r="F967"/>
      <c r="G967"/>
      <c r="H967"/>
      <c r="I967"/>
      <c r="J967"/>
      <c r="K967"/>
      <c r="L967"/>
      <c r="M967"/>
      <c r="N967"/>
      <c r="O967"/>
      <c r="P967"/>
      <c r="Q967"/>
      <c r="R967"/>
      <c r="S967"/>
      <c r="T967"/>
      <c r="U967"/>
      <c r="V967"/>
      <c r="W967"/>
      <c r="X967"/>
      <c r="Y967"/>
      <c r="Z967"/>
      <c r="AA967"/>
      <c r="AB967"/>
      <c r="AC967"/>
      <c r="AD967"/>
      <c r="AE967"/>
      <c r="AF967"/>
      <c r="AG967"/>
      <c r="AH967"/>
      <c r="AI967"/>
      <c r="AJ967"/>
      <c r="AK967"/>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c r="BS967"/>
      <c r="BT967"/>
      <c r="BU967"/>
      <c r="BV967"/>
      <c r="BW967"/>
      <c r="BX967"/>
      <c r="BY967"/>
      <c r="BZ967"/>
      <c r="CA967"/>
      <c r="CB967"/>
      <c r="CC967"/>
      <c r="CD967"/>
      <c r="CE967"/>
      <c r="CF967"/>
      <c r="CG967"/>
      <c r="CH967"/>
      <c r="CI967"/>
      <c r="CJ967"/>
      <c r="CK967"/>
      <c r="CL967"/>
      <c r="CM967"/>
      <c r="CN967"/>
      <c r="CO967"/>
      <c r="CP967"/>
      <c r="CQ967"/>
      <c r="CR967"/>
      <c r="CS967"/>
      <c r="CT967"/>
      <c r="CU967"/>
      <c r="CV967"/>
      <c r="CW967"/>
      <c r="CX967"/>
      <c r="CY967"/>
      <c r="CZ967"/>
      <c r="DA967"/>
      <c r="DB967"/>
      <c r="DC967"/>
      <c r="DD967"/>
      <c r="DE967"/>
      <c r="DF967"/>
      <c r="DG967"/>
      <c r="DH967"/>
      <c r="DI967"/>
      <c r="DJ967"/>
      <c r="DK967"/>
      <c r="DL967"/>
      <c r="DM967"/>
      <c r="DN967"/>
      <c r="DO967"/>
      <c r="DP967"/>
      <c r="DQ967"/>
      <c r="DR967"/>
      <c r="DS967"/>
      <c r="DT967"/>
      <c r="DU967"/>
      <c r="DV967"/>
      <c r="DW967"/>
      <c r="DX967"/>
      <c r="DY967"/>
      <c r="DZ967"/>
      <c r="EA967"/>
      <c r="EB967"/>
      <c r="EC967"/>
      <c r="ED967"/>
      <c r="EE967"/>
      <c r="EF967"/>
      <c r="EG967"/>
      <c r="EH967"/>
      <c r="EI967"/>
      <c r="EJ967"/>
      <c r="EK967"/>
      <c r="EL967"/>
      <c r="EM967"/>
      <c r="EN967"/>
      <c r="EO967"/>
      <c r="EP967"/>
      <c r="EQ967"/>
      <c r="ER967"/>
      <c r="ES967"/>
    </row>
    <row r="968" spans="1:149">
      <c r="A968"/>
      <c r="B968"/>
      <c r="C968"/>
      <c r="D968"/>
      <c r="E968"/>
      <c r="F968"/>
      <c r="G968"/>
      <c r="H968"/>
      <c r="I968"/>
      <c r="J968"/>
      <c r="K968"/>
      <c r="L968"/>
      <c r="M968"/>
      <c r="N968"/>
      <c r="O968"/>
      <c r="P968"/>
      <c r="Q968"/>
      <c r="R968"/>
      <c r="S968"/>
      <c r="T968"/>
      <c r="U968"/>
      <c r="V968"/>
      <c r="W968"/>
      <c r="X968"/>
      <c r="Y968"/>
      <c r="Z968"/>
      <c r="AA968"/>
      <c r="AB968"/>
      <c r="AC968"/>
      <c r="AD968"/>
      <c r="AE968"/>
      <c r="AF968"/>
      <c r="AG968"/>
      <c r="AH968"/>
      <c r="AI968"/>
      <c r="AJ968"/>
      <c r="AK968"/>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c r="BS968"/>
      <c r="BT968"/>
      <c r="BU968"/>
      <c r="BV968"/>
      <c r="BW968"/>
      <c r="BX968"/>
      <c r="BY968"/>
      <c r="BZ968"/>
      <c r="CA968"/>
      <c r="CB968"/>
      <c r="CC968"/>
      <c r="CD968"/>
      <c r="CE968"/>
      <c r="CF968"/>
      <c r="CG968"/>
      <c r="CH968"/>
      <c r="CI968"/>
      <c r="CJ968"/>
      <c r="CK968"/>
      <c r="CL968"/>
      <c r="CM968"/>
      <c r="CN968"/>
      <c r="CO968"/>
      <c r="CP968"/>
      <c r="CQ968"/>
      <c r="CR968"/>
      <c r="CS968"/>
      <c r="CT968"/>
      <c r="CU968"/>
      <c r="CV968"/>
      <c r="CW968"/>
      <c r="CX968"/>
      <c r="CY968"/>
      <c r="CZ968"/>
      <c r="DA968"/>
      <c r="DB968"/>
      <c r="DC968"/>
      <c r="DD968"/>
      <c r="DE968"/>
      <c r="DF968"/>
      <c r="DG968"/>
      <c r="DH968"/>
      <c r="DI968"/>
      <c r="DJ968"/>
      <c r="DK968"/>
      <c r="DL968"/>
      <c r="DM968"/>
      <c r="DN968"/>
      <c r="DO968"/>
      <c r="DP968"/>
      <c r="DQ968"/>
      <c r="DR968"/>
      <c r="DS968"/>
      <c r="DT968"/>
      <c r="DU968"/>
      <c r="DV968"/>
      <c r="DW968"/>
      <c r="DX968"/>
      <c r="DY968"/>
      <c r="DZ968"/>
      <c r="EA968"/>
      <c r="EB968"/>
      <c r="EC968"/>
      <c r="ED968"/>
      <c r="EE968"/>
      <c r="EF968"/>
      <c r="EG968"/>
      <c r="EH968"/>
      <c r="EI968"/>
      <c r="EJ968"/>
      <c r="EK968"/>
      <c r="EL968"/>
      <c r="EM968"/>
      <c r="EN968"/>
      <c r="EO968"/>
      <c r="EP968"/>
      <c r="EQ968"/>
      <c r="ER968"/>
      <c r="ES968"/>
    </row>
    <row r="969" spans="1:149">
      <c r="A969"/>
      <c r="B969"/>
      <c r="C969"/>
      <c r="D969"/>
      <c r="E969"/>
      <c r="F969"/>
      <c r="G969"/>
      <c r="H969"/>
      <c r="I969"/>
      <c r="J969"/>
      <c r="K969"/>
      <c r="L969"/>
      <c r="M969"/>
      <c r="N969"/>
      <c r="O969"/>
      <c r="P969"/>
      <c r="Q969"/>
      <c r="R969"/>
      <c r="S969"/>
      <c r="T969"/>
      <c r="U969"/>
      <c r="V969"/>
      <c r="W969"/>
      <c r="X969"/>
      <c r="Y969"/>
      <c r="Z969"/>
      <c r="AA969"/>
      <c r="AB969"/>
      <c r="AC969"/>
      <c r="AD969"/>
      <c r="AE969"/>
      <c r="AF969"/>
      <c r="AG969"/>
      <c r="AH969"/>
      <c r="AI969"/>
      <c r="AJ969"/>
      <c r="AK969"/>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c r="BS969"/>
      <c r="BT969"/>
      <c r="BU969"/>
      <c r="BV969"/>
      <c r="BW969"/>
      <c r="BX969"/>
      <c r="BY969"/>
      <c r="BZ969"/>
      <c r="CA969"/>
      <c r="CB969"/>
      <c r="CC969"/>
      <c r="CD969"/>
      <c r="CE969"/>
      <c r="CF969"/>
      <c r="CG969"/>
      <c r="CH969"/>
      <c r="CI969"/>
      <c r="CJ969"/>
      <c r="CK969"/>
      <c r="CL969"/>
      <c r="CM969"/>
      <c r="CN969"/>
      <c r="CO969"/>
      <c r="CP969"/>
      <c r="CQ969"/>
      <c r="CR969"/>
      <c r="CS969"/>
      <c r="CT969"/>
      <c r="CU969"/>
      <c r="CV969"/>
      <c r="CW969"/>
      <c r="CX969"/>
      <c r="CY969"/>
      <c r="CZ969"/>
      <c r="DA969"/>
      <c r="DB969"/>
      <c r="DC969"/>
      <c r="DD969"/>
      <c r="DE969"/>
      <c r="DF969"/>
      <c r="DG969"/>
      <c r="DH969"/>
      <c r="DI969"/>
      <c r="DJ969"/>
      <c r="DK969"/>
      <c r="DL969"/>
      <c r="DM969"/>
      <c r="DN969"/>
      <c r="DO969"/>
      <c r="DP969"/>
      <c r="DQ969"/>
      <c r="DR969"/>
      <c r="DS969"/>
      <c r="DT969"/>
      <c r="DU969"/>
      <c r="DV969"/>
      <c r="DW969"/>
      <c r="DX969"/>
      <c r="DY969"/>
      <c r="DZ969"/>
      <c r="EA969"/>
      <c r="EB969"/>
      <c r="EC969"/>
      <c r="ED969"/>
      <c r="EE969"/>
      <c r="EF969"/>
      <c r="EG969"/>
      <c r="EH969"/>
      <c r="EI969"/>
      <c r="EJ969"/>
      <c r="EK969"/>
      <c r="EL969"/>
      <c r="EM969"/>
      <c r="EN969"/>
      <c r="EO969"/>
      <c r="EP969"/>
      <c r="EQ969"/>
      <c r="ER969"/>
      <c r="ES969"/>
    </row>
    <row r="970" spans="1:149">
      <c r="A970"/>
      <c r="B970"/>
      <c r="C970"/>
      <c r="D970"/>
      <c r="E970"/>
      <c r="F970"/>
      <c r="G970"/>
      <c r="H970"/>
      <c r="I970"/>
      <c r="J970"/>
      <c r="K970"/>
      <c r="L970"/>
      <c r="M970"/>
      <c r="N970"/>
      <c r="O970"/>
      <c r="P970"/>
      <c r="Q970"/>
      <c r="R970"/>
      <c r="S970"/>
      <c r="T970"/>
      <c r="U970"/>
      <c r="V970"/>
      <c r="W970"/>
      <c r="X970"/>
      <c r="Y970"/>
      <c r="Z970"/>
      <c r="AA970"/>
      <c r="AB970"/>
      <c r="AC970"/>
      <c r="AD970"/>
      <c r="AE970"/>
      <c r="AF970"/>
      <c r="AG970"/>
      <c r="AH970"/>
      <c r="AI970"/>
      <c r="AJ970"/>
      <c r="AK970"/>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c r="BS970"/>
      <c r="BT970"/>
      <c r="BU970"/>
      <c r="BV970"/>
      <c r="BW970"/>
      <c r="BX970"/>
      <c r="BY970"/>
      <c r="BZ970"/>
      <c r="CA970"/>
      <c r="CB970"/>
      <c r="CC970"/>
      <c r="CD970"/>
      <c r="CE970"/>
      <c r="CF970"/>
      <c r="CG970"/>
      <c r="CH970"/>
      <c r="CI970"/>
      <c r="CJ970"/>
      <c r="CK970"/>
      <c r="CL970"/>
      <c r="CM970"/>
      <c r="CN970"/>
      <c r="CO970"/>
      <c r="CP970"/>
      <c r="CQ970"/>
      <c r="CR970"/>
      <c r="CS970"/>
      <c r="CT970"/>
      <c r="CU970"/>
      <c r="CV970"/>
      <c r="CW970"/>
      <c r="CX970"/>
      <c r="CY970"/>
      <c r="CZ970"/>
      <c r="DA970"/>
      <c r="DB970"/>
      <c r="DC970"/>
      <c r="DD970"/>
      <c r="DE970"/>
      <c r="DF970"/>
      <c r="DG970"/>
      <c r="DH970"/>
      <c r="DI970"/>
      <c r="DJ970"/>
      <c r="DK970"/>
      <c r="DL970"/>
      <c r="DM970"/>
      <c r="DN970"/>
      <c r="DO970"/>
      <c r="DP970"/>
      <c r="DQ970"/>
      <c r="DR970"/>
      <c r="DS970"/>
      <c r="DT970"/>
      <c r="DU970"/>
      <c r="DV970"/>
      <c r="DW970"/>
      <c r="DX970"/>
      <c r="DY970"/>
      <c r="DZ970"/>
      <c r="EA970"/>
      <c r="EB970"/>
      <c r="EC970"/>
      <c r="ED970"/>
      <c r="EE970"/>
      <c r="EF970"/>
      <c r="EG970"/>
      <c r="EH970"/>
      <c r="EI970"/>
      <c r="EJ970"/>
      <c r="EK970"/>
      <c r="EL970"/>
      <c r="EM970"/>
      <c r="EN970"/>
      <c r="EO970"/>
      <c r="EP970"/>
      <c r="EQ970"/>
      <c r="ER970"/>
      <c r="ES970"/>
    </row>
    <row r="971" spans="1:149">
      <c r="A971"/>
      <c r="B971"/>
      <c r="C971"/>
      <c r="D971"/>
      <c r="E971"/>
      <c r="F971"/>
      <c r="G971"/>
      <c r="H971"/>
      <c r="I971"/>
      <c r="J971"/>
      <c r="K971"/>
      <c r="L971"/>
      <c r="M971"/>
      <c r="N971"/>
      <c r="O971"/>
      <c r="P971"/>
      <c r="Q971"/>
      <c r="R971"/>
      <c r="S971"/>
      <c r="T971"/>
      <c r="U971"/>
      <c r="V971"/>
      <c r="W971"/>
      <c r="X971"/>
      <c r="Y971"/>
      <c r="Z971"/>
      <c r="AA971"/>
      <c r="AB971"/>
      <c r="AC971"/>
      <c r="AD971"/>
      <c r="AE971"/>
      <c r="AF971"/>
      <c r="AG971"/>
      <c r="AH971"/>
      <c r="AI971"/>
      <c r="AJ971"/>
      <c r="AK971"/>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c r="BS971"/>
      <c r="BT971"/>
      <c r="BU971"/>
      <c r="BV971"/>
      <c r="BW971"/>
      <c r="BX971"/>
      <c r="BY971"/>
      <c r="BZ971"/>
      <c r="CA971"/>
      <c r="CB971"/>
      <c r="CC971"/>
      <c r="CD971"/>
      <c r="CE971"/>
      <c r="CF971"/>
      <c r="CG971"/>
      <c r="CH971"/>
      <c r="CI971"/>
      <c r="CJ971"/>
      <c r="CK971"/>
      <c r="CL971"/>
      <c r="CM971"/>
      <c r="CN971"/>
      <c r="CO971"/>
      <c r="CP971"/>
      <c r="CQ971"/>
      <c r="CR971"/>
      <c r="CS971"/>
      <c r="CT971"/>
      <c r="CU971"/>
      <c r="CV971"/>
      <c r="CW971"/>
      <c r="CX971"/>
      <c r="CY971"/>
      <c r="CZ971"/>
      <c r="DA971"/>
      <c r="DB971"/>
      <c r="DC971"/>
      <c r="DD971"/>
      <c r="DE971"/>
      <c r="DF971"/>
      <c r="DG971"/>
      <c r="DH971"/>
      <c r="DI971"/>
      <c r="DJ971"/>
      <c r="DK971"/>
      <c r="DL971"/>
      <c r="DM971"/>
      <c r="DN971"/>
      <c r="DO971"/>
      <c r="DP971"/>
      <c r="DQ971"/>
      <c r="DR971"/>
      <c r="DS971"/>
      <c r="DT971"/>
      <c r="DU971"/>
      <c r="DV971"/>
      <c r="DW971"/>
      <c r="DX971"/>
      <c r="DY971"/>
      <c r="DZ971"/>
      <c r="EA971"/>
      <c r="EB971"/>
      <c r="EC971"/>
      <c r="ED971"/>
      <c r="EE971"/>
      <c r="EF971"/>
      <c r="EG971"/>
      <c r="EH971"/>
      <c r="EI971"/>
      <c r="EJ971"/>
      <c r="EK971"/>
      <c r="EL971"/>
      <c r="EM971"/>
      <c r="EN971"/>
      <c r="EO971"/>
      <c r="EP971"/>
      <c r="EQ971"/>
      <c r="ER971"/>
      <c r="ES971"/>
    </row>
    <row r="972" spans="1:149">
      <c r="A972"/>
      <c r="B972"/>
      <c r="C972"/>
      <c r="D972"/>
      <c r="E972"/>
      <c r="F972"/>
      <c r="G972"/>
      <c r="H972"/>
      <c r="I972"/>
      <c r="J972"/>
      <c r="K972"/>
      <c r="L972"/>
      <c r="M972"/>
      <c r="N972"/>
      <c r="O972"/>
      <c r="P972"/>
      <c r="Q972"/>
      <c r="R972"/>
      <c r="S972"/>
      <c r="T972"/>
      <c r="U972"/>
      <c r="V972"/>
      <c r="W972"/>
      <c r="X972"/>
      <c r="Y972"/>
      <c r="Z972"/>
      <c r="AA972"/>
      <c r="AB972"/>
      <c r="AC972"/>
      <c r="AD972"/>
      <c r="AE972"/>
      <c r="AF972"/>
      <c r="AG972"/>
      <c r="AH972"/>
      <c r="AI972"/>
      <c r="AJ972"/>
      <c r="AK972"/>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c r="BS972"/>
      <c r="BT972"/>
      <c r="BU972"/>
      <c r="BV972"/>
      <c r="BW972"/>
      <c r="BX972"/>
      <c r="BY972"/>
      <c r="BZ972"/>
      <c r="CA972"/>
      <c r="CB972"/>
      <c r="CC972"/>
      <c r="CD972"/>
      <c r="CE972"/>
      <c r="CF972"/>
      <c r="CG972"/>
      <c r="CH972"/>
      <c r="CI972"/>
      <c r="CJ972"/>
      <c r="CK972"/>
      <c r="CL972"/>
      <c r="CM972"/>
      <c r="CN972"/>
      <c r="CO972"/>
      <c r="CP972"/>
      <c r="CQ972"/>
      <c r="CR972"/>
      <c r="CS972"/>
      <c r="CT972"/>
      <c r="CU972"/>
      <c r="CV972"/>
      <c r="CW972"/>
      <c r="CX972"/>
      <c r="CY972"/>
      <c r="CZ972"/>
      <c r="DA972"/>
      <c r="DB972"/>
      <c r="DC972"/>
      <c r="DD972"/>
      <c r="DE972"/>
      <c r="DF972"/>
      <c r="DG972"/>
      <c r="DH972"/>
      <c r="DI972"/>
      <c r="DJ972"/>
      <c r="DK972"/>
      <c r="DL972"/>
      <c r="DM972"/>
      <c r="DN972"/>
      <c r="DO972"/>
      <c r="DP972"/>
      <c r="DQ972"/>
      <c r="DR972"/>
      <c r="DS972"/>
      <c r="DT972"/>
      <c r="DU972"/>
      <c r="DV972"/>
      <c r="DW972"/>
      <c r="DX972"/>
      <c r="DY972"/>
      <c r="DZ972"/>
      <c r="EA972"/>
      <c r="EB972"/>
      <c r="EC972"/>
      <c r="ED972"/>
      <c r="EE972"/>
      <c r="EF972"/>
      <c r="EG972"/>
      <c r="EH972"/>
      <c r="EI972"/>
      <c r="EJ972"/>
      <c r="EK972"/>
      <c r="EL972"/>
      <c r="EM972"/>
      <c r="EN972"/>
      <c r="EO972"/>
      <c r="EP972"/>
      <c r="EQ972"/>
      <c r="ER972"/>
      <c r="ES972"/>
    </row>
    <row r="973" spans="1:149">
      <c r="A973"/>
      <c r="B973"/>
      <c r="C973"/>
      <c r="D973"/>
      <c r="E973"/>
      <c r="F973"/>
      <c r="G973"/>
      <c r="H973"/>
      <c r="I973"/>
      <c r="J973"/>
      <c r="K973"/>
      <c r="L973"/>
      <c r="M973"/>
      <c r="N973"/>
      <c r="O973"/>
      <c r="P973"/>
      <c r="Q973"/>
      <c r="R973"/>
      <c r="S973"/>
      <c r="T973"/>
      <c r="U973"/>
      <c r="V973"/>
      <c r="W973"/>
      <c r="X973"/>
      <c r="Y973"/>
      <c r="Z973"/>
      <c r="AA973"/>
      <c r="AB973"/>
      <c r="AC973"/>
      <c r="AD973"/>
      <c r="AE973"/>
      <c r="AF973"/>
      <c r="AG973"/>
      <c r="AH973"/>
      <c r="AI973"/>
      <c r="AJ973"/>
      <c r="AK973"/>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c r="BS973"/>
      <c r="BT973"/>
      <c r="BU973"/>
      <c r="BV973"/>
      <c r="BW973"/>
      <c r="BX973"/>
      <c r="BY973"/>
      <c r="BZ973"/>
      <c r="CA973"/>
      <c r="CB973"/>
      <c r="CC973"/>
      <c r="CD973"/>
      <c r="CE973"/>
      <c r="CF973"/>
      <c r="CG973"/>
      <c r="CH973"/>
      <c r="CI973"/>
      <c r="CJ973"/>
      <c r="CK973"/>
      <c r="CL973"/>
      <c r="CM973"/>
      <c r="CN973"/>
      <c r="CO973"/>
      <c r="CP973"/>
      <c r="CQ973"/>
      <c r="CR973"/>
      <c r="CS973"/>
      <c r="CT973"/>
      <c r="CU973"/>
      <c r="CV973"/>
      <c r="CW973"/>
      <c r="CX973"/>
      <c r="CY973"/>
      <c r="CZ973"/>
      <c r="DA973"/>
      <c r="DB973"/>
      <c r="DC973"/>
      <c r="DD973"/>
      <c r="DE973"/>
      <c r="DF973"/>
      <c r="DG973"/>
      <c r="DH973"/>
      <c r="DI973"/>
      <c r="DJ973"/>
      <c r="DK973"/>
      <c r="DL973"/>
      <c r="DM973"/>
      <c r="DN973"/>
      <c r="DO973"/>
      <c r="DP973"/>
      <c r="DQ973"/>
      <c r="DR973"/>
      <c r="DS973"/>
      <c r="DT973"/>
      <c r="DU973"/>
      <c r="DV973"/>
      <c r="DW973"/>
      <c r="DX973"/>
      <c r="DY973"/>
      <c r="DZ973"/>
      <c r="EA973"/>
      <c r="EB973"/>
      <c r="EC973"/>
      <c r="ED973"/>
      <c r="EE973"/>
      <c r="EF973"/>
      <c r="EG973"/>
      <c r="EH973"/>
      <c r="EI973"/>
      <c r="EJ973"/>
      <c r="EK973"/>
      <c r="EL973"/>
      <c r="EM973"/>
      <c r="EN973"/>
      <c r="EO973"/>
      <c r="EP973"/>
      <c r="EQ973"/>
      <c r="ER973"/>
      <c r="ES973"/>
    </row>
    <row r="974" spans="1:149">
      <c r="A974"/>
      <c r="B974"/>
      <c r="C974"/>
      <c r="D974"/>
      <c r="E974"/>
      <c r="F974"/>
      <c r="G974"/>
      <c r="H974"/>
      <c r="I974"/>
      <c r="J974"/>
      <c r="K974"/>
      <c r="L974"/>
      <c r="M974"/>
      <c r="N974"/>
      <c r="O974"/>
      <c r="P974"/>
      <c r="Q974"/>
      <c r="R974"/>
      <c r="S974"/>
      <c r="T974"/>
      <c r="U974"/>
      <c r="V974"/>
      <c r="W974"/>
      <c r="X974"/>
      <c r="Y974"/>
      <c r="Z974"/>
      <c r="AA974"/>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c r="BS974"/>
      <c r="BT974"/>
      <c r="BU974"/>
      <c r="BV974"/>
      <c r="BW974"/>
      <c r="BX974"/>
      <c r="BY974"/>
      <c r="BZ974"/>
      <c r="CA974"/>
      <c r="CB974"/>
      <c r="CC974"/>
      <c r="CD974"/>
      <c r="CE974"/>
      <c r="CF974"/>
      <c r="CG974"/>
      <c r="CH974"/>
      <c r="CI974"/>
      <c r="CJ974"/>
      <c r="CK974"/>
      <c r="CL974"/>
      <c r="CM974"/>
      <c r="CN974"/>
      <c r="CO974"/>
      <c r="CP974"/>
      <c r="CQ974"/>
      <c r="CR974"/>
      <c r="CS974"/>
      <c r="CT974"/>
      <c r="CU974"/>
      <c r="CV974"/>
      <c r="CW974"/>
      <c r="CX974"/>
      <c r="CY974"/>
      <c r="CZ974"/>
      <c r="DA974"/>
      <c r="DB974"/>
      <c r="DC974"/>
      <c r="DD974"/>
      <c r="DE974"/>
      <c r="DF974"/>
      <c r="DG974"/>
      <c r="DH974"/>
      <c r="DI974"/>
      <c r="DJ974"/>
      <c r="DK974"/>
      <c r="DL974"/>
      <c r="DM974"/>
      <c r="DN974"/>
      <c r="DO974"/>
      <c r="DP974"/>
      <c r="DQ974"/>
      <c r="DR974"/>
      <c r="DS974"/>
      <c r="DT974"/>
      <c r="DU974"/>
      <c r="DV974"/>
      <c r="DW974"/>
      <c r="DX974"/>
      <c r="DY974"/>
      <c r="DZ974"/>
      <c r="EA974"/>
      <c r="EB974"/>
      <c r="EC974"/>
      <c r="ED974"/>
      <c r="EE974"/>
      <c r="EF974"/>
      <c r="EG974"/>
      <c r="EH974"/>
      <c r="EI974"/>
      <c r="EJ974"/>
      <c r="EK974"/>
      <c r="EL974"/>
      <c r="EM974"/>
      <c r="EN974"/>
      <c r="EO974"/>
      <c r="EP974"/>
      <c r="EQ974"/>
      <c r="ER974"/>
      <c r="ES974"/>
    </row>
    <row r="975" spans="1:149">
      <c r="A975"/>
      <c r="B975"/>
      <c r="C975"/>
      <c r="D975"/>
      <c r="E975"/>
      <c r="F975"/>
      <c r="G975"/>
      <c r="H975"/>
      <c r="I975"/>
      <c r="J975"/>
      <c r="K975"/>
      <c r="L975"/>
      <c r="M975"/>
      <c r="N975"/>
      <c r="O975"/>
      <c r="P975"/>
      <c r="Q975"/>
      <c r="R975"/>
      <c r="S975"/>
      <c r="T975"/>
      <c r="U975"/>
      <c r="V975"/>
      <c r="W975"/>
      <c r="X975"/>
      <c r="Y975"/>
      <c r="Z975"/>
      <c r="AA975"/>
      <c r="AB975"/>
      <c r="AC975"/>
      <c r="AD975"/>
      <c r="AE975"/>
      <c r="AF975"/>
      <c r="AG975"/>
      <c r="AH975"/>
      <c r="AI975"/>
      <c r="AJ975"/>
      <c r="AK975"/>
      <c r="AL975"/>
      <c r="AM975"/>
      <c r="AN975"/>
      <c r="AO975"/>
      <c r="AP975"/>
      <c r="AQ975"/>
      <c r="AR975"/>
      <c r="AS975"/>
      <c r="AT975"/>
      <c r="AU975"/>
      <c r="AV975"/>
      <c r="AW975"/>
      <c r="AX975"/>
      <c r="AY975"/>
      <c r="AZ975"/>
      <c r="BA975"/>
      <c r="BB975"/>
      <c r="BC975"/>
      <c r="BD975"/>
      <c r="BE975"/>
      <c r="BF975"/>
      <c r="BG975"/>
      <c r="BH975"/>
      <c r="BI975"/>
      <c r="BJ975"/>
      <c r="BK975"/>
      <c r="BL975"/>
      <c r="BM975"/>
      <c r="BN975"/>
      <c r="BO975"/>
      <c r="BP975"/>
      <c r="BQ975"/>
      <c r="BR975"/>
      <c r="BS975"/>
      <c r="BT975"/>
      <c r="BU975"/>
      <c r="BV975"/>
      <c r="BW975"/>
      <c r="BX975"/>
      <c r="BY975"/>
      <c r="BZ975"/>
      <c r="CA975"/>
      <c r="CB975"/>
      <c r="CC975"/>
      <c r="CD975"/>
      <c r="CE975"/>
      <c r="CF975"/>
      <c r="CG975"/>
      <c r="CH975"/>
      <c r="CI975"/>
      <c r="CJ975"/>
      <c r="CK975"/>
      <c r="CL975"/>
      <c r="CM975"/>
      <c r="CN975"/>
      <c r="CO975"/>
      <c r="CP975"/>
      <c r="CQ975"/>
      <c r="CR975"/>
      <c r="CS975"/>
      <c r="CT975"/>
      <c r="CU975"/>
      <c r="CV975"/>
      <c r="CW975"/>
      <c r="CX975"/>
      <c r="CY975"/>
      <c r="CZ975"/>
      <c r="DA975"/>
      <c r="DB975"/>
      <c r="DC975"/>
      <c r="DD975"/>
      <c r="DE975"/>
      <c r="DF975"/>
      <c r="DG975"/>
      <c r="DH975"/>
      <c r="DI975"/>
      <c r="DJ975"/>
      <c r="DK975"/>
      <c r="DL975"/>
      <c r="DM975"/>
      <c r="DN975"/>
      <c r="DO975"/>
      <c r="DP975"/>
      <c r="DQ975"/>
      <c r="DR975"/>
      <c r="DS975"/>
      <c r="DT975"/>
      <c r="DU975"/>
      <c r="DV975"/>
      <c r="DW975"/>
      <c r="DX975"/>
      <c r="DY975"/>
      <c r="DZ975"/>
      <c r="EA975"/>
      <c r="EB975"/>
      <c r="EC975"/>
      <c r="ED975"/>
      <c r="EE975"/>
      <c r="EF975"/>
      <c r="EG975"/>
      <c r="EH975"/>
      <c r="EI975"/>
      <c r="EJ975"/>
      <c r="EK975"/>
      <c r="EL975"/>
      <c r="EM975"/>
      <c r="EN975"/>
      <c r="EO975"/>
      <c r="EP975"/>
      <c r="EQ975"/>
      <c r="ER975"/>
      <c r="ES975"/>
    </row>
    <row r="976" spans="1:149">
      <c r="A976"/>
      <c r="B976"/>
      <c r="C976"/>
      <c r="D976"/>
      <c r="E976"/>
      <c r="F976"/>
      <c r="G976"/>
      <c r="H976"/>
      <c r="I976"/>
      <c r="J976"/>
      <c r="K976"/>
      <c r="L976"/>
      <c r="M976"/>
      <c r="N976"/>
      <c r="O976"/>
      <c r="P976"/>
      <c r="Q976"/>
      <c r="R976"/>
      <c r="S976"/>
      <c r="T976"/>
      <c r="U976"/>
      <c r="V976"/>
      <c r="W976"/>
      <c r="X976"/>
      <c r="Y976"/>
      <c r="Z976"/>
      <c r="AA976"/>
      <c r="AB976"/>
      <c r="AC976"/>
      <c r="AD976"/>
      <c r="AE976"/>
      <c r="AF976"/>
      <c r="AG976"/>
      <c r="AH976"/>
      <c r="AI976"/>
      <c r="AJ976"/>
      <c r="AK976"/>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c r="BS976"/>
      <c r="BT976"/>
      <c r="BU976"/>
      <c r="BV976"/>
      <c r="BW976"/>
      <c r="BX976"/>
      <c r="BY976"/>
      <c r="BZ976"/>
      <c r="CA976"/>
      <c r="CB976"/>
      <c r="CC976"/>
      <c r="CD976"/>
      <c r="CE976"/>
      <c r="CF976"/>
      <c r="CG976"/>
      <c r="CH976"/>
      <c r="CI976"/>
      <c r="CJ976"/>
      <c r="CK976"/>
      <c r="CL976"/>
      <c r="CM976"/>
      <c r="CN976"/>
      <c r="CO976"/>
      <c r="CP976"/>
      <c r="CQ976"/>
      <c r="CR976"/>
      <c r="CS976"/>
      <c r="CT976"/>
      <c r="CU976"/>
      <c r="CV976"/>
      <c r="CW976"/>
      <c r="CX976"/>
      <c r="CY976"/>
      <c r="CZ976"/>
      <c r="DA976"/>
      <c r="DB976"/>
      <c r="DC976"/>
      <c r="DD976"/>
      <c r="DE976"/>
      <c r="DF976"/>
      <c r="DG976"/>
      <c r="DH976"/>
      <c r="DI976"/>
      <c r="DJ976"/>
      <c r="DK976"/>
      <c r="DL976"/>
      <c r="DM976"/>
      <c r="DN976"/>
      <c r="DO976"/>
      <c r="DP976"/>
      <c r="DQ976"/>
      <c r="DR976"/>
      <c r="DS976"/>
      <c r="DT976"/>
      <c r="DU976"/>
      <c r="DV976"/>
      <c r="DW976"/>
      <c r="DX976"/>
      <c r="DY976"/>
      <c r="DZ976"/>
      <c r="EA976"/>
      <c r="EB976"/>
      <c r="EC976"/>
      <c r="ED976"/>
      <c r="EE976"/>
      <c r="EF976"/>
      <c r="EG976"/>
      <c r="EH976"/>
      <c r="EI976"/>
      <c r="EJ976"/>
      <c r="EK976"/>
      <c r="EL976"/>
      <c r="EM976"/>
      <c r="EN976"/>
      <c r="EO976"/>
      <c r="EP976"/>
      <c r="EQ976"/>
      <c r="ER976"/>
      <c r="ES976"/>
    </row>
    <row r="977" spans="1:149">
      <c r="A977"/>
      <c r="B977"/>
      <c r="C977"/>
      <c r="D977"/>
      <c r="E977"/>
      <c r="F977"/>
      <c r="G977"/>
      <c r="H977"/>
      <c r="I977"/>
      <c r="J977"/>
      <c r="K977"/>
      <c r="L977"/>
      <c r="M977"/>
      <c r="N977"/>
      <c r="O977"/>
      <c r="P977"/>
      <c r="Q977"/>
      <c r="R977"/>
      <c r="S977"/>
      <c r="T977"/>
      <c r="U977"/>
      <c r="V977"/>
      <c r="W977"/>
      <c r="X977"/>
      <c r="Y977"/>
      <c r="Z977"/>
      <c r="AA977"/>
      <c r="AB977"/>
      <c r="AC977"/>
      <c r="AD977"/>
      <c r="AE977"/>
      <c r="AF977"/>
      <c r="AG977"/>
      <c r="AH977"/>
      <c r="AI977"/>
      <c r="AJ977"/>
      <c r="AK977"/>
      <c r="AL977"/>
      <c r="AM977"/>
      <c r="AN977"/>
      <c r="AO977"/>
      <c r="AP977"/>
      <c r="AQ977"/>
      <c r="AR977"/>
      <c r="AS977"/>
      <c r="AT977"/>
      <c r="AU977"/>
      <c r="AV977"/>
      <c r="AW977"/>
      <c r="AX977"/>
      <c r="AY977"/>
      <c r="AZ977"/>
      <c r="BA977"/>
      <c r="BB977"/>
      <c r="BC977"/>
      <c r="BD977"/>
      <c r="BE977"/>
      <c r="BF977"/>
      <c r="BG977"/>
      <c r="BH977"/>
      <c r="BI977"/>
      <c r="BJ977"/>
      <c r="BK977"/>
      <c r="BL977"/>
      <c r="BM977"/>
      <c r="BN977"/>
      <c r="BO977"/>
      <c r="BP977"/>
      <c r="BQ977"/>
      <c r="BR977"/>
      <c r="BS977"/>
      <c r="BT977"/>
      <c r="BU977"/>
      <c r="BV977"/>
      <c r="BW977"/>
      <c r="BX977"/>
      <c r="BY977"/>
      <c r="BZ977"/>
      <c r="CA977"/>
      <c r="CB977"/>
      <c r="CC977"/>
      <c r="CD977"/>
      <c r="CE977"/>
      <c r="CF977"/>
      <c r="CG977"/>
      <c r="CH977"/>
      <c r="CI977"/>
      <c r="CJ977"/>
      <c r="CK977"/>
      <c r="CL977"/>
      <c r="CM977"/>
      <c r="CN977"/>
      <c r="CO977"/>
      <c r="CP977"/>
      <c r="CQ977"/>
      <c r="CR977"/>
      <c r="CS977"/>
      <c r="CT977"/>
      <c r="CU977"/>
      <c r="CV977"/>
      <c r="CW977"/>
      <c r="CX977"/>
      <c r="CY977"/>
      <c r="CZ977"/>
      <c r="DA977"/>
      <c r="DB977"/>
      <c r="DC977"/>
      <c r="DD977"/>
      <c r="DE977"/>
      <c r="DF977"/>
      <c r="DG977"/>
      <c r="DH977"/>
      <c r="DI977"/>
      <c r="DJ977"/>
      <c r="DK977"/>
      <c r="DL977"/>
      <c r="DM977"/>
      <c r="DN977"/>
      <c r="DO977"/>
      <c r="DP977"/>
      <c r="DQ977"/>
      <c r="DR977"/>
      <c r="DS977"/>
      <c r="DT977"/>
      <c r="DU977"/>
      <c r="DV977"/>
      <c r="DW977"/>
      <c r="DX977"/>
      <c r="DY977"/>
      <c r="DZ977"/>
      <c r="EA977"/>
      <c r="EB977"/>
      <c r="EC977"/>
      <c r="ED977"/>
      <c r="EE977"/>
      <c r="EF977"/>
      <c r="EG977"/>
      <c r="EH977"/>
      <c r="EI977"/>
      <c r="EJ977"/>
      <c r="EK977"/>
      <c r="EL977"/>
      <c r="EM977"/>
      <c r="EN977"/>
      <c r="EO977"/>
      <c r="EP977"/>
      <c r="EQ977"/>
      <c r="ER977"/>
      <c r="ES977"/>
    </row>
    <row r="978" spans="1:149">
      <c r="A978"/>
      <c r="B978"/>
      <c r="C978"/>
      <c r="D978"/>
      <c r="E978"/>
      <c r="F978"/>
      <c r="G978"/>
      <c r="H978"/>
      <c r="I978"/>
      <c r="J978"/>
      <c r="K978"/>
      <c r="L978"/>
      <c r="M978"/>
      <c r="N978"/>
      <c r="O978"/>
      <c r="P978"/>
      <c r="Q978"/>
      <c r="R978"/>
      <c r="S978"/>
      <c r="T978"/>
      <c r="U978"/>
      <c r="V978"/>
      <c r="W978"/>
      <c r="X978"/>
      <c r="Y978"/>
      <c r="Z978"/>
      <c r="AA978"/>
      <c r="AB978"/>
      <c r="AC978"/>
      <c r="AD978"/>
      <c r="AE978"/>
      <c r="AF978"/>
      <c r="AG978"/>
      <c r="AH978"/>
      <c r="AI978"/>
      <c r="AJ978"/>
      <c r="AK978"/>
      <c r="AL978"/>
      <c r="AM978"/>
      <c r="AN978"/>
      <c r="AO978"/>
      <c r="AP978"/>
      <c r="AQ978"/>
      <c r="AR978"/>
      <c r="AS978"/>
      <c r="AT978"/>
      <c r="AU978"/>
      <c r="AV978"/>
      <c r="AW978"/>
      <c r="AX978"/>
      <c r="AY978"/>
      <c r="AZ978"/>
      <c r="BA978"/>
      <c r="BB978"/>
      <c r="BC978"/>
      <c r="BD978"/>
      <c r="BE978"/>
      <c r="BF978"/>
      <c r="BG978"/>
      <c r="BH978"/>
      <c r="BI978"/>
      <c r="BJ978"/>
      <c r="BK978"/>
      <c r="BL978"/>
      <c r="BM978"/>
      <c r="BN978"/>
      <c r="BO978"/>
      <c r="BP978"/>
      <c r="BQ978"/>
      <c r="BR978"/>
      <c r="BS978"/>
      <c r="BT978"/>
      <c r="BU978"/>
      <c r="BV978"/>
      <c r="BW978"/>
      <c r="BX978"/>
      <c r="BY978"/>
      <c r="BZ978"/>
      <c r="CA978"/>
      <c r="CB978"/>
      <c r="CC978"/>
      <c r="CD978"/>
      <c r="CE978"/>
      <c r="CF978"/>
      <c r="CG978"/>
      <c r="CH978"/>
      <c r="CI978"/>
      <c r="CJ978"/>
      <c r="CK978"/>
      <c r="CL978"/>
      <c r="CM978"/>
      <c r="CN978"/>
      <c r="CO978"/>
      <c r="CP978"/>
      <c r="CQ978"/>
      <c r="CR978"/>
      <c r="CS978"/>
      <c r="CT978"/>
      <c r="CU978"/>
      <c r="CV978"/>
      <c r="CW978"/>
      <c r="CX978"/>
      <c r="CY978"/>
      <c r="CZ978"/>
      <c r="DA978"/>
      <c r="DB978"/>
      <c r="DC978"/>
      <c r="DD978"/>
      <c r="DE978"/>
      <c r="DF978"/>
      <c r="DG978"/>
      <c r="DH978"/>
      <c r="DI978"/>
      <c r="DJ978"/>
      <c r="DK978"/>
      <c r="DL978"/>
      <c r="DM978"/>
      <c r="DN978"/>
      <c r="DO978"/>
      <c r="DP978"/>
      <c r="DQ978"/>
      <c r="DR978"/>
      <c r="DS978"/>
      <c r="DT978"/>
      <c r="DU978"/>
      <c r="DV978"/>
      <c r="DW978"/>
      <c r="DX978"/>
      <c r="DY978"/>
      <c r="DZ978"/>
      <c r="EA978"/>
      <c r="EB978"/>
      <c r="EC978"/>
      <c r="ED978"/>
      <c r="EE978"/>
      <c r="EF978"/>
      <c r="EG978"/>
      <c r="EH978"/>
      <c r="EI978"/>
      <c r="EJ978"/>
      <c r="EK978"/>
      <c r="EL978"/>
      <c r="EM978"/>
      <c r="EN978"/>
      <c r="EO978"/>
      <c r="EP978"/>
      <c r="EQ978"/>
      <c r="ER978"/>
      <c r="ES978"/>
    </row>
    <row r="979" spans="1:149">
      <c r="A979"/>
      <c r="B979"/>
      <c r="C979"/>
      <c r="D979"/>
      <c r="E979"/>
      <c r="F979"/>
      <c r="G979"/>
      <c r="H979"/>
      <c r="I979"/>
      <c r="J979"/>
      <c r="K979"/>
      <c r="L979"/>
      <c r="M979"/>
      <c r="N979"/>
      <c r="O979"/>
      <c r="P979"/>
      <c r="Q979"/>
      <c r="R979"/>
      <c r="S979"/>
      <c r="T979"/>
      <c r="U979"/>
      <c r="V979"/>
      <c r="W979"/>
      <c r="X979"/>
      <c r="Y979"/>
      <c r="Z979"/>
      <c r="AA979"/>
      <c r="AB979"/>
      <c r="AC979"/>
      <c r="AD979"/>
      <c r="AE979"/>
      <c r="AF979"/>
      <c r="AG979"/>
      <c r="AH979"/>
      <c r="AI979"/>
      <c r="AJ979"/>
      <c r="AK979"/>
      <c r="AL979"/>
      <c r="AM979"/>
      <c r="AN979"/>
      <c r="AO979"/>
      <c r="AP979"/>
      <c r="AQ979"/>
      <c r="AR979"/>
      <c r="AS979"/>
      <c r="AT979"/>
      <c r="AU979"/>
      <c r="AV979"/>
      <c r="AW979"/>
      <c r="AX979"/>
      <c r="AY979"/>
      <c r="AZ979"/>
      <c r="BA979"/>
      <c r="BB979"/>
      <c r="BC979"/>
      <c r="BD979"/>
      <c r="BE979"/>
      <c r="BF979"/>
      <c r="BG979"/>
      <c r="BH979"/>
      <c r="BI979"/>
      <c r="BJ979"/>
      <c r="BK979"/>
      <c r="BL979"/>
      <c r="BM979"/>
      <c r="BN979"/>
      <c r="BO979"/>
      <c r="BP979"/>
      <c r="BQ979"/>
      <c r="BR979"/>
      <c r="BS979"/>
      <c r="BT979"/>
      <c r="BU979"/>
      <c r="BV979"/>
      <c r="BW979"/>
      <c r="BX979"/>
      <c r="BY979"/>
      <c r="BZ979"/>
      <c r="CA979"/>
      <c r="CB979"/>
      <c r="CC979"/>
      <c r="CD979"/>
      <c r="CE979"/>
      <c r="CF979"/>
      <c r="CG979"/>
      <c r="CH979"/>
      <c r="CI979"/>
      <c r="CJ979"/>
      <c r="CK979"/>
      <c r="CL979"/>
      <c r="CM979"/>
      <c r="CN979"/>
      <c r="CO979"/>
      <c r="CP979"/>
      <c r="CQ979"/>
      <c r="CR979"/>
      <c r="CS979"/>
      <c r="CT979"/>
      <c r="CU979"/>
      <c r="CV979"/>
      <c r="CW979"/>
      <c r="CX979"/>
      <c r="CY979"/>
      <c r="CZ979"/>
      <c r="DA979"/>
      <c r="DB979"/>
      <c r="DC979"/>
      <c r="DD979"/>
      <c r="DE979"/>
      <c r="DF979"/>
      <c r="DG979"/>
      <c r="DH979"/>
      <c r="DI979"/>
      <c r="DJ979"/>
      <c r="DK979"/>
      <c r="DL979"/>
      <c r="DM979"/>
      <c r="DN979"/>
      <c r="DO979"/>
      <c r="DP979"/>
      <c r="DQ979"/>
      <c r="DR979"/>
      <c r="DS979"/>
      <c r="DT979"/>
      <c r="DU979"/>
      <c r="DV979"/>
      <c r="DW979"/>
      <c r="DX979"/>
      <c r="DY979"/>
      <c r="DZ979"/>
      <c r="EA979"/>
      <c r="EB979"/>
      <c r="EC979"/>
      <c r="ED979"/>
      <c r="EE979"/>
      <c r="EF979"/>
      <c r="EG979"/>
      <c r="EH979"/>
      <c r="EI979"/>
      <c r="EJ979"/>
      <c r="EK979"/>
      <c r="EL979"/>
      <c r="EM979"/>
      <c r="EN979"/>
      <c r="EO979"/>
      <c r="EP979"/>
      <c r="EQ979"/>
      <c r="ER979"/>
      <c r="ES979"/>
    </row>
    <row r="980" spans="1:149">
      <c r="A980"/>
      <c r="B980"/>
      <c r="C980"/>
      <c r="D980"/>
      <c r="E980"/>
      <c r="F980"/>
      <c r="G980"/>
      <c r="H980"/>
      <c r="I980"/>
      <c r="J980"/>
      <c r="K980"/>
      <c r="L980"/>
      <c r="M980"/>
      <c r="N980"/>
      <c r="O980"/>
      <c r="P980"/>
      <c r="Q980"/>
      <c r="R980"/>
      <c r="S980"/>
      <c r="T980"/>
      <c r="U980"/>
      <c r="V980"/>
      <c r="W980"/>
      <c r="X980"/>
      <c r="Y980"/>
      <c r="Z980"/>
      <c r="AA980"/>
      <c r="AB980"/>
      <c r="AC980"/>
      <c r="AD980"/>
      <c r="AE980"/>
      <c r="AF980"/>
      <c r="AG980"/>
      <c r="AH980"/>
      <c r="AI980"/>
      <c r="AJ980"/>
      <c r="AK980"/>
      <c r="AL980"/>
      <c r="AM980"/>
      <c r="AN980"/>
      <c r="AO980"/>
      <c r="AP980"/>
      <c r="AQ980"/>
      <c r="AR980"/>
      <c r="AS980"/>
      <c r="AT980"/>
      <c r="AU980"/>
      <c r="AV980"/>
      <c r="AW980"/>
      <c r="AX980"/>
      <c r="AY980"/>
      <c r="AZ980"/>
      <c r="BA980"/>
      <c r="BB980"/>
      <c r="BC980"/>
      <c r="BD980"/>
      <c r="BE980"/>
      <c r="BF980"/>
      <c r="BG980"/>
      <c r="BH980"/>
      <c r="BI980"/>
      <c r="BJ980"/>
      <c r="BK980"/>
      <c r="BL980"/>
      <c r="BM980"/>
      <c r="BN980"/>
      <c r="BO980"/>
      <c r="BP980"/>
      <c r="BQ980"/>
      <c r="BR980"/>
      <c r="BS980"/>
      <c r="BT980"/>
      <c r="BU980"/>
      <c r="BV980"/>
      <c r="BW980"/>
      <c r="BX980"/>
      <c r="BY980"/>
      <c r="BZ980"/>
      <c r="CA980"/>
      <c r="CB980"/>
      <c r="CC980"/>
      <c r="CD980"/>
      <c r="CE980"/>
      <c r="CF980"/>
      <c r="CG980"/>
      <c r="CH980"/>
      <c r="CI980"/>
      <c r="CJ980"/>
      <c r="CK980"/>
      <c r="CL980"/>
      <c r="CM980"/>
      <c r="CN980"/>
      <c r="CO980"/>
      <c r="CP980"/>
      <c r="CQ980"/>
      <c r="CR980"/>
      <c r="CS980"/>
      <c r="CT980"/>
      <c r="CU980"/>
      <c r="CV980"/>
      <c r="CW980"/>
      <c r="CX980"/>
      <c r="CY980"/>
      <c r="CZ980"/>
      <c r="DA980"/>
      <c r="DB980"/>
      <c r="DC980"/>
      <c r="DD980"/>
      <c r="DE980"/>
      <c r="DF980"/>
      <c r="DG980"/>
      <c r="DH980"/>
      <c r="DI980"/>
      <c r="DJ980"/>
      <c r="DK980"/>
      <c r="DL980"/>
      <c r="DM980"/>
      <c r="DN980"/>
      <c r="DO980"/>
      <c r="DP980"/>
      <c r="DQ980"/>
      <c r="DR980"/>
      <c r="DS980"/>
      <c r="DT980"/>
      <c r="DU980"/>
      <c r="DV980"/>
      <c r="DW980"/>
      <c r="DX980"/>
      <c r="DY980"/>
      <c r="DZ980"/>
      <c r="EA980"/>
      <c r="EB980"/>
      <c r="EC980"/>
      <c r="ED980"/>
      <c r="EE980"/>
      <c r="EF980"/>
      <c r="EG980"/>
      <c r="EH980"/>
      <c r="EI980"/>
      <c r="EJ980"/>
      <c r="EK980"/>
      <c r="EL980"/>
      <c r="EM980"/>
      <c r="EN980"/>
      <c r="EO980"/>
      <c r="EP980"/>
      <c r="EQ980"/>
      <c r="ER980"/>
      <c r="ES980"/>
    </row>
    <row r="981" spans="1:149">
      <c r="A981"/>
      <c r="B981"/>
      <c r="C981"/>
      <c r="D981"/>
      <c r="E981"/>
      <c r="F981"/>
      <c r="G981"/>
      <c r="H981"/>
      <c r="I981"/>
      <c r="J981"/>
      <c r="K981"/>
      <c r="L981"/>
      <c r="M981"/>
      <c r="N981"/>
      <c r="O981"/>
      <c r="P981"/>
      <c r="Q981"/>
      <c r="R981"/>
      <c r="S981"/>
      <c r="T981"/>
      <c r="U981"/>
      <c r="V981"/>
      <c r="W981"/>
      <c r="X981"/>
      <c r="Y981"/>
      <c r="Z981"/>
      <c r="AA981"/>
      <c r="AB981"/>
      <c r="AC981"/>
      <c r="AD981"/>
      <c r="AE981"/>
      <c r="AF981"/>
      <c r="AG981"/>
      <c r="AH981"/>
      <c r="AI981"/>
      <c r="AJ981"/>
      <c r="AK981"/>
      <c r="AL981"/>
      <c r="AM981"/>
      <c r="AN981"/>
      <c r="AO981"/>
      <c r="AP981"/>
      <c r="AQ981"/>
      <c r="AR981"/>
      <c r="AS981"/>
      <c r="AT981"/>
      <c r="AU981"/>
      <c r="AV981"/>
      <c r="AW981"/>
      <c r="AX981"/>
      <c r="AY981"/>
      <c r="AZ981"/>
      <c r="BA981"/>
      <c r="BB981"/>
      <c r="BC981"/>
      <c r="BD981"/>
      <c r="BE981"/>
      <c r="BF981"/>
      <c r="BG981"/>
      <c r="BH981"/>
      <c r="BI981"/>
      <c r="BJ981"/>
      <c r="BK981"/>
      <c r="BL981"/>
      <c r="BM981"/>
      <c r="BN981"/>
      <c r="BO981"/>
      <c r="BP981"/>
      <c r="BQ981"/>
      <c r="BR981"/>
      <c r="BS981"/>
      <c r="BT981"/>
      <c r="BU981"/>
      <c r="BV981"/>
      <c r="BW981"/>
      <c r="BX981"/>
      <c r="BY981"/>
      <c r="BZ981"/>
      <c r="CA981"/>
      <c r="CB981"/>
      <c r="CC981"/>
      <c r="CD981"/>
      <c r="CE981"/>
      <c r="CF981"/>
      <c r="CG981"/>
      <c r="CH981"/>
      <c r="CI981"/>
      <c r="CJ981"/>
      <c r="CK981"/>
      <c r="CL981"/>
      <c r="CM981"/>
      <c r="CN981"/>
      <c r="CO981"/>
      <c r="CP981"/>
      <c r="CQ981"/>
      <c r="CR981"/>
      <c r="CS981"/>
      <c r="CT981"/>
      <c r="CU981"/>
      <c r="CV981"/>
      <c r="CW981"/>
      <c r="CX981"/>
      <c r="CY981"/>
      <c r="CZ981"/>
      <c r="DA981"/>
      <c r="DB981"/>
      <c r="DC981"/>
      <c r="DD981"/>
      <c r="DE981"/>
      <c r="DF981"/>
      <c r="DG981"/>
      <c r="DH981"/>
      <c r="DI981"/>
      <c r="DJ981"/>
      <c r="DK981"/>
      <c r="DL981"/>
      <c r="DM981"/>
      <c r="DN981"/>
      <c r="DO981"/>
      <c r="DP981"/>
      <c r="DQ981"/>
      <c r="DR981"/>
      <c r="DS981"/>
      <c r="DT981"/>
      <c r="DU981"/>
      <c r="DV981"/>
      <c r="DW981"/>
      <c r="DX981"/>
      <c r="DY981"/>
      <c r="DZ981"/>
      <c r="EA981"/>
      <c r="EB981"/>
      <c r="EC981"/>
      <c r="ED981"/>
      <c r="EE981"/>
      <c r="EF981"/>
      <c r="EG981"/>
      <c r="EH981"/>
      <c r="EI981"/>
      <c r="EJ981"/>
      <c r="EK981"/>
      <c r="EL981"/>
      <c r="EM981"/>
      <c r="EN981"/>
      <c r="EO981"/>
      <c r="EP981"/>
      <c r="EQ981"/>
      <c r="ER981"/>
      <c r="ES981"/>
    </row>
    <row r="982" spans="1:149">
      <c r="A982"/>
      <c r="B982"/>
      <c r="C982"/>
      <c r="D982"/>
      <c r="E982"/>
      <c r="F982"/>
      <c r="G982"/>
      <c r="H982"/>
      <c r="I982"/>
      <c r="J982"/>
      <c r="K982"/>
      <c r="L982"/>
      <c r="M982"/>
      <c r="N982"/>
      <c r="O982"/>
      <c r="P982"/>
      <c r="Q982"/>
      <c r="R982"/>
      <c r="S982"/>
      <c r="T982"/>
      <c r="U982"/>
      <c r="V982"/>
      <c r="W982"/>
      <c r="X982"/>
      <c r="Y982"/>
      <c r="Z982"/>
      <c r="AA982"/>
      <c r="AB982"/>
      <c r="AC982"/>
      <c r="AD982"/>
      <c r="AE982"/>
      <c r="AF982"/>
      <c r="AG982"/>
      <c r="AH982"/>
      <c r="AI982"/>
      <c r="AJ982"/>
      <c r="AK982"/>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c r="BS982"/>
      <c r="BT982"/>
      <c r="BU982"/>
      <c r="BV982"/>
      <c r="BW982"/>
      <c r="BX982"/>
      <c r="BY982"/>
      <c r="BZ982"/>
      <c r="CA982"/>
      <c r="CB982"/>
      <c r="CC982"/>
      <c r="CD982"/>
      <c r="CE982"/>
      <c r="CF982"/>
      <c r="CG982"/>
      <c r="CH982"/>
      <c r="CI982"/>
      <c r="CJ982"/>
      <c r="CK982"/>
      <c r="CL982"/>
      <c r="CM982"/>
      <c r="CN982"/>
      <c r="CO982"/>
      <c r="CP982"/>
      <c r="CQ982"/>
      <c r="CR982"/>
      <c r="CS982"/>
      <c r="CT982"/>
      <c r="CU982"/>
      <c r="CV982"/>
      <c r="CW982"/>
      <c r="CX982"/>
      <c r="CY982"/>
      <c r="CZ982"/>
      <c r="DA982"/>
      <c r="DB982"/>
      <c r="DC982"/>
      <c r="DD982"/>
      <c r="DE982"/>
      <c r="DF982"/>
      <c r="DG982"/>
      <c r="DH982"/>
      <c r="DI982"/>
      <c r="DJ982"/>
      <c r="DK982"/>
      <c r="DL982"/>
      <c r="DM982"/>
      <c r="DN982"/>
      <c r="DO982"/>
      <c r="DP982"/>
      <c r="DQ982"/>
      <c r="DR982"/>
      <c r="DS982"/>
      <c r="DT982"/>
      <c r="DU982"/>
      <c r="DV982"/>
      <c r="DW982"/>
      <c r="DX982"/>
      <c r="DY982"/>
      <c r="DZ982"/>
      <c r="EA982"/>
      <c r="EB982"/>
      <c r="EC982"/>
      <c r="ED982"/>
      <c r="EE982"/>
      <c r="EF982"/>
      <c r="EG982"/>
      <c r="EH982"/>
      <c r="EI982"/>
      <c r="EJ982"/>
      <c r="EK982"/>
      <c r="EL982"/>
      <c r="EM982"/>
      <c r="EN982"/>
      <c r="EO982"/>
      <c r="EP982"/>
      <c r="EQ982"/>
      <c r="ER982"/>
      <c r="ES982"/>
    </row>
    <row r="983" spans="1:149">
      <c r="A983"/>
      <c r="B983"/>
      <c r="C983"/>
      <c r="D983"/>
      <c r="E983"/>
      <c r="F983"/>
      <c r="G983"/>
      <c r="H983"/>
      <c r="I983"/>
      <c r="J983"/>
      <c r="K983"/>
      <c r="L983"/>
      <c r="M983"/>
      <c r="N983"/>
      <c r="O983"/>
      <c r="P983"/>
      <c r="Q983"/>
      <c r="R983"/>
      <c r="S983"/>
      <c r="T983"/>
      <c r="U983"/>
      <c r="V983"/>
      <c r="W983"/>
      <c r="X983"/>
      <c r="Y983"/>
      <c r="Z983"/>
      <c r="AA983"/>
      <c r="AB983"/>
      <c r="AC983"/>
      <c r="AD983"/>
      <c r="AE983"/>
      <c r="AF983"/>
      <c r="AG983"/>
      <c r="AH983"/>
      <c r="AI983"/>
      <c r="AJ983"/>
      <c r="AK983"/>
      <c r="AL983"/>
      <c r="AM983"/>
      <c r="AN983"/>
      <c r="AO983"/>
      <c r="AP983"/>
      <c r="AQ983"/>
      <c r="AR983"/>
      <c r="AS983"/>
      <c r="AT983"/>
      <c r="AU983"/>
      <c r="AV983"/>
      <c r="AW983"/>
      <c r="AX983"/>
      <c r="AY983"/>
      <c r="AZ983"/>
      <c r="BA983"/>
      <c r="BB983"/>
      <c r="BC983"/>
      <c r="BD983"/>
      <c r="BE983"/>
      <c r="BF983"/>
      <c r="BG983"/>
      <c r="BH983"/>
      <c r="BI983"/>
      <c r="BJ983"/>
      <c r="BK983"/>
      <c r="BL983"/>
      <c r="BM983"/>
      <c r="BN983"/>
      <c r="BO983"/>
      <c r="BP983"/>
      <c r="BQ983"/>
      <c r="BR983"/>
      <c r="BS983"/>
      <c r="BT983"/>
      <c r="BU983"/>
      <c r="BV983"/>
      <c r="BW983"/>
      <c r="BX983"/>
      <c r="BY983"/>
      <c r="BZ983"/>
      <c r="CA983"/>
      <c r="CB983"/>
      <c r="CC983"/>
      <c r="CD983"/>
      <c r="CE983"/>
      <c r="CF983"/>
      <c r="CG983"/>
      <c r="CH983"/>
      <c r="CI983"/>
      <c r="CJ983"/>
      <c r="CK983"/>
      <c r="CL983"/>
      <c r="CM983"/>
      <c r="CN983"/>
      <c r="CO983"/>
      <c r="CP983"/>
      <c r="CQ983"/>
      <c r="CR983"/>
      <c r="CS983"/>
      <c r="CT983"/>
      <c r="CU983"/>
      <c r="CV983"/>
      <c r="CW983"/>
      <c r="CX983"/>
      <c r="CY983"/>
      <c r="CZ983"/>
      <c r="DA983"/>
      <c r="DB983"/>
      <c r="DC983"/>
      <c r="DD983"/>
      <c r="DE983"/>
      <c r="DF983"/>
      <c r="DG983"/>
      <c r="DH983"/>
      <c r="DI983"/>
      <c r="DJ983"/>
      <c r="DK983"/>
      <c r="DL983"/>
      <c r="DM983"/>
      <c r="DN983"/>
      <c r="DO983"/>
      <c r="DP983"/>
      <c r="DQ983"/>
      <c r="DR983"/>
      <c r="DS983"/>
      <c r="DT983"/>
      <c r="DU983"/>
      <c r="DV983"/>
      <c r="DW983"/>
      <c r="DX983"/>
      <c r="DY983"/>
      <c r="DZ983"/>
      <c r="EA983"/>
      <c r="EB983"/>
      <c r="EC983"/>
      <c r="ED983"/>
      <c r="EE983"/>
      <c r="EF983"/>
      <c r="EG983"/>
      <c r="EH983"/>
      <c r="EI983"/>
      <c r="EJ983"/>
      <c r="EK983"/>
      <c r="EL983"/>
      <c r="EM983"/>
      <c r="EN983"/>
      <c r="EO983"/>
      <c r="EP983"/>
      <c r="EQ983"/>
      <c r="ER983"/>
      <c r="ES983"/>
    </row>
    <row r="984" spans="1:149">
      <c r="A984"/>
      <c r="B984"/>
      <c r="C984"/>
      <c r="D984"/>
      <c r="E984"/>
      <c r="F984"/>
      <c r="G984"/>
      <c r="H984"/>
      <c r="I984"/>
      <c r="J984"/>
      <c r="K984"/>
      <c r="L984"/>
      <c r="M984"/>
      <c r="N984"/>
      <c r="O984"/>
      <c r="P984"/>
      <c r="Q984"/>
      <c r="R984"/>
      <c r="S984"/>
      <c r="T984"/>
      <c r="U984"/>
      <c r="V984"/>
      <c r="W984"/>
      <c r="X984"/>
      <c r="Y984"/>
      <c r="Z984"/>
      <c r="AA984"/>
      <c r="AB984"/>
      <c r="AC984"/>
      <c r="AD984"/>
      <c r="AE984"/>
      <c r="AF984"/>
      <c r="AG984"/>
      <c r="AH984"/>
      <c r="AI984"/>
      <c r="AJ984"/>
      <c r="AK984"/>
      <c r="AL984"/>
      <c r="AM984"/>
      <c r="AN984"/>
      <c r="AO984"/>
      <c r="AP984"/>
      <c r="AQ984"/>
      <c r="AR984"/>
      <c r="AS984"/>
      <c r="AT984"/>
      <c r="AU984"/>
      <c r="AV984"/>
      <c r="AW984"/>
      <c r="AX984"/>
      <c r="AY984"/>
      <c r="AZ984"/>
      <c r="BA984"/>
      <c r="BB984"/>
      <c r="BC984"/>
      <c r="BD984"/>
      <c r="BE984"/>
      <c r="BF984"/>
      <c r="BG984"/>
      <c r="BH984"/>
      <c r="BI984"/>
      <c r="BJ984"/>
      <c r="BK984"/>
      <c r="BL984"/>
      <c r="BM984"/>
      <c r="BN984"/>
      <c r="BO984"/>
      <c r="BP984"/>
      <c r="BQ984"/>
      <c r="BR984"/>
      <c r="BS984"/>
      <c r="BT984"/>
      <c r="BU984"/>
      <c r="BV984"/>
      <c r="BW984"/>
      <c r="BX984"/>
      <c r="BY984"/>
      <c r="BZ984"/>
      <c r="CA984"/>
      <c r="CB984"/>
      <c r="CC984"/>
      <c r="CD984"/>
      <c r="CE984"/>
      <c r="CF984"/>
      <c r="CG984"/>
      <c r="CH984"/>
      <c r="CI984"/>
      <c r="CJ984"/>
      <c r="CK984"/>
      <c r="CL984"/>
      <c r="CM984"/>
      <c r="CN984"/>
      <c r="CO984"/>
      <c r="CP984"/>
      <c r="CQ984"/>
      <c r="CR984"/>
      <c r="CS984"/>
      <c r="CT984"/>
      <c r="CU984"/>
      <c r="CV984"/>
      <c r="CW984"/>
      <c r="CX984"/>
      <c r="CY984"/>
      <c r="CZ984"/>
      <c r="DA984"/>
      <c r="DB984"/>
      <c r="DC984"/>
      <c r="DD984"/>
      <c r="DE984"/>
      <c r="DF984"/>
      <c r="DG984"/>
      <c r="DH984"/>
      <c r="DI984"/>
      <c r="DJ984"/>
      <c r="DK984"/>
      <c r="DL984"/>
      <c r="DM984"/>
      <c r="DN984"/>
      <c r="DO984"/>
      <c r="DP984"/>
      <c r="DQ984"/>
      <c r="DR984"/>
      <c r="DS984"/>
      <c r="DT984"/>
      <c r="DU984"/>
      <c r="DV984"/>
      <c r="DW984"/>
      <c r="DX984"/>
      <c r="DY984"/>
      <c r="DZ984"/>
      <c r="EA984"/>
      <c r="EB984"/>
      <c r="EC984"/>
      <c r="ED984"/>
      <c r="EE984"/>
      <c r="EF984"/>
      <c r="EG984"/>
      <c r="EH984"/>
      <c r="EI984"/>
      <c r="EJ984"/>
      <c r="EK984"/>
      <c r="EL984"/>
      <c r="EM984"/>
      <c r="EN984"/>
      <c r="EO984"/>
      <c r="EP984"/>
      <c r="EQ984"/>
      <c r="ER984"/>
      <c r="ES984"/>
    </row>
    <row r="985" spans="1:149">
      <c r="A985"/>
      <c r="B985"/>
      <c r="C985"/>
      <c r="D985"/>
      <c r="E985"/>
      <c r="F985"/>
      <c r="G985"/>
      <c r="H985"/>
      <c r="I985"/>
      <c r="J985"/>
      <c r="K985"/>
      <c r="L985"/>
      <c r="M985"/>
      <c r="N985"/>
      <c r="O985"/>
      <c r="P985"/>
      <c r="Q985"/>
      <c r="R985"/>
      <c r="S985"/>
      <c r="T985"/>
      <c r="U985"/>
      <c r="V985"/>
      <c r="W985"/>
      <c r="X985"/>
      <c r="Y985"/>
      <c r="Z985"/>
      <c r="AA985"/>
      <c r="AB985"/>
      <c r="AC985"/>
      <c r="AD985"/>
      <c r="AE985"/>
      <c r="AF985"/>
      <c r="AG985"/>
      <c r="AH985"/>
      <c r="AI985"/>
      <c r="AJ985"/>
      <c r="AK985"/>
      <c r="AL985"/>
      <c r="AM985"/>
      <c r="AN985"/>
      <c r="AO985"/>
      <c r="AP985"/>
      <c r="AQ985"/>
      <c r="AR985"/>
      <c r="AS985"/>
      <c r="AT985"/>
      <c r="AU985"/>
      <c r="AV985"/>
      <c r="AW985"/>
      <c r="AX985"/>
      <c r="AY985"/>
      <c r="AZ985"/>
      <c r="BA985"/>
      <c r="BB985"/>
      <c r="BC985"/>
      <c r="BD985"/>
      <c r="BE985"/>
      <c r="BF985"/>
      <c r="BG985"/>
      <c r="BH985"/>
      <c r="BI985"/>
      <c r="BJ985"/>
      <c r="BK985"/>
      <c r="BL985"/>
      <c r="BM985"/>
      <c r="BN985"/>
      <c r="BO985"/>
      <c r="BP985"/>
      <c r="BQ985"/>
      <c r="BR985"/>
      <c r="BS985"/>
      <c r="BT985"/>
      <c r="BU985"/>
      <c r="BV985"/>
      <c r="BW985"/>
      <c r="BX985"/>
      <c r="BY985"/>
      <c r="BZ985"/>
      <c r="CA985"/>
      <c r="CB985"/>
      <c r="CC985"/>
      <c r="CD985"/>
      <c r="CE985"/>
      <c r="CF985"/>
      <c r="CG985"/>
      <c r="CH985"/>
      <c r="CI985"/>
      <c r="CJ985"/>
      <c r="CK985"/>
      <c r="CL985"/>
      <c r="CM985"/>
      <c r="CN985"/>
      <c r="CO985"/>
      <c r="CP985"/>
      <c r="CQ985"/>
      <c r="CR985"/>
      <c r="CS985"/>
      <c r="CT985"/>
      <c r="CU985"/>
      <c r="CV985"/>
      <c r="CW985"/>
      <c r="CX985"/>
      <c r="CY985"/>
      <c r="CZ985"/>
      <c r="DA985"/>
      <c r="DB985"/>
      <c r="DC985"/>
      <c r="DD985"/>
      <c r="DE985"/>
      <c r="DF985"/>
      <c r="DG985"/>
      <c r="DH985"/>
      <c r="DI985"/>
      <c r="DJ985"/>
      <c r="DK985"/>
      <c r="DL985"/>
      <c r="DM985"/>
      <c r="DN985"/>
      <c r="DO985"/>
      <c r="DP985"/>
      <c r="DQ985"/>
      <c r="DR985"/>
      <c r="DS985"/>
      <c r="DT985"/>
      <c r="DU985"/>
      <c r="DV985"/>
      <c r="DW985"/>
      <c r="DX985"/>
      <c r="DY985"/>
      <c r="DZ985"/>
      <c r="EA985"/>
      <c r="EB985"/>
      <c r="EC985"/>
      <c r="ED985"/>
      <c r="EE985"/>
      <c r="EF985"/>
      <c r="EG985"/>
      <c r="EH985"/>
      <c r="EI985"/>
      <c r="EJ985"/>
      <c r="EK985"/>
      <c r="EL985"/>
      <c r="EM985"/>
      <c r="EN985"/>
      <c r="EO985"/>
      <c r="EP985"/>
      <c r="EQ985"/>
      <c r="ER985"/>
      <c r="ES985"/>
    </row>
    <row r="986" spans="1:149">
      <c r="A986"/>
      <c r="B986"/>
      <c r="C986"/>
      <c r="D986"/>
      <c r="E986"/>
      <c r="F986"/>
      <c r="G986"/>
      <c r="H986"/>
      <c r="I986"/>
      <c r="J986"/>
      <c r="K986"/>
      <c r="L986"/>
      <c r="M986"/>
      <c r="N986"/>
      <c r="O986"/>
      <c r="P986"/>
      <c r="Q986"/>
      <c r="R986"/>
      <c r="S986"/>
      <c r="T986"/>
      <c r="U986"/>
      <c r="V986"/>
      <c r="W986"/>
      <c r="X986"/>
      <c r="Y986"/>
      <c r="Z986"/>
      <c r="AA986"/>
      <c r="AB986"/>
      <c r="AC986"/>
      <c r="AD986"/>
      <c r="AE986"/>
      <c r="AF986"/>
      <c r="AG986"/>
      <c r="AH986"/>
      <c r="AI986"/>
      <c r="AJ986"/>
      <c r="AK986"/>
      <c r="AL986"/>
      <c r="AM986"/>
      <c r="AN986"/>
      <c r="AO986"/>
      <c r="AP986"/>
      <c r="AQ986"/>
      <c r="AR986"/>
      <c r="AS986"/>
      <c r="AT986"/>
      <c r="AU986"/>
      <c r="AV986"/>
      <c r="AW986"/>
      <c r="AX986"/>
      <c r="AY986"/>
      <c r="AZ986"/>
      <c r="BA986"/>
      <c r="BB986"/>
      <c r="BC986"/>
      <c r="BD986"/>
      <c r="BE986"/>
      <c r="BF986"/>
      <c r="BG986"/>
      <c r="BH986"/>
      <c r="BI986"/>
      <c r="BJ986"/>
      <c r="BK986"/>
      <c r="BL986"/>
      <c r="BM986"/>
      <c r="BN986"/>
      <c r="BO986"/>
      <c r="BP986"/>
      <c r="BQ986"/>
      <c r="BR986"/>
      <c r="BS986"/>
      <c r="BT986"/>
      <c r="BU986"/>
      <c r="BV986"/>
      <c r="BW986"/>
      <c r="BX986"/>
      <c r="BY986"/>
      <c r="BZ986"/>
      <c r="CA986"/>
      <c r="CB986"/>
      <c r="CC986"/>
      <c r="CD986"/>
      <c r="CE986"/>
      <c r="CF986"/>
      <c r="CG986"/>
      <c r="CH986"/>
      <c r="CI986"/>
      <c r="CJ986"/>
      <c r="CK986"/>
      <c r="CL986"/>
      <c r="CM986"/>
      <c r="CN986"/>
      <c r="CO986"/>
      <c r="CP986"/>
      <c r="CQ986"/>
      <c r="CR986"/>
      <c r="CS986"/>
      <c r="CT986"/>
      <c r="CU986"/>
      <c r="CV986"/>
      <c r="CW986"/>
      <c r="CX986"/>
      <c r="CY986"/>
      <c r="CZ986"/>
      <c r="DA986"/>
      <c r="DB986"/>
      <c r="DC986"/>
      <c r="DD986"/>
      <c r="DE986"/>
      <c r="DF986"/>
      <c r="DG986"/>
      <c r="DH986"/>
      <c r="DI986"/>
      <c r="DJ986"/>
      <c r="DK986"/>
      <c r="DL986"/>
      <c r="DM986"/>
      <c r="DN986"/>
      <c r="DO986"/>
      <c r="DP986"/>
      <c r="DQ986"/>
      <c r="DR986"/>
      <c r="DS986"/>
      <c r="DT986"/>
      <c r="DU986"/>
      <c r="DV986"/>
      <c r="DW986"/>
      <c r="DX986"/>
      <c r="DY986"/>
      <c r="DZ986"/>
      <c r="EA986"/>
      <c r="EB986"/>
      <c r="EC986"/>
      <c r="ED986"/>
      <c r="EE986"/>
      <c r="EF986"/>
      <c r="EG986"/>
      <c r="EH986"/>
      <c r="EI986"/>
      <c r="EJ986"/>
      <c r="EK986"/>
      <c r="EL986"/>
      <c r="EM986"/>
      <c r="EN986"/>
      <c r="EO986"/>
      <c r="EP986"/>
      <c r="EQ986"/>
      <c r="ER986"/>
      <c r="ES986"/>
    </row>
    <row r="987" spans="1:149">
      <c r="A987"/>
      <c r="B987"/>
      <c r="C987"/>
      <c r="D987"/>
      <c r="E987"/>
      <c r="F987"/>
      <c r="G987"/>
      <c r="H987"/>
      <c r="I987"/>
      <c r="J987"/>
      <c r="K987"/>
      <c r="L987"/>
      <c r="M987"/>
      <c r="N987"/>
      <c r="O987"/>
      <c r="P987"/>
      <c r="Q987"/>
      <c r="R987"/>
      <c r="S987"/>
      <c r="T987"/>
      <c r="U987"/>
      <c r="V987"/>
      <c r="W987"/>
      <c r="X987"/>
      <c r="Y987"/>
      <c r="Z987"/>
      <c r="AA987"/>
      <c r="AB987"/>
      <c r="AC987"/>
      <c r="AD987"/>
      <c r="AE987"/>
      <c r="AF987"/>
      <c r="AG987"/>
      <c r="AH987"/>
      <c r="AI987"/>
      <c r="AJ987"/>
      <c r="AK987"/>
      <c r="AL987"/>
      <c r="AM987"/>
      <c r="AN987"/>
      <c r="AO987"/>
      <c r="AP987"/>
      <c r="AQ987"/>
      <c r="AR987"/>
      <c r="AS987"/>
      <c r="AT987"/>
      <c r="AU987"/>
      <c r="AV987"/>
      <c r="AW987"/>
      <c r="AX987"/>
      <c r="AY987"/>
      <c r="AZ987"/>
      <c r="BA987"/>
      <c r="BB987"/>
      <c r="BC987"/>
      <c r="BD987"/>
      <c r="BE987"/>
      <c r="BF987"/>
      <c r="BG987"/>
      <c r="BH987"/>
      <c r="BI987"/>
      <c r="BJ987"/>
      <c r="BK987"/>
      <c r="BL987"/>
      <c r="BM987"/>
      <c r="BN987"/>
      <c r="BO987"/>
      <c r="BP987"/>
      <c r="BQ987"/>
      <c r="BR987"/>
      <c r="BS987"/>
      <c r="BT987"/>
      <c r="BU987"/>
      <c r="BV987"/>
      <c r="BW987"/>
      <c r="BX987"/>
      <c r="BY987"/>
      <c r="BZ987"/>
      <c r="CA987"/>
      <c r="CB987"/>
      <c r="CC987"/>
      <c r="CD987"/>
      <c r="CE987"/>
      <c r="CF987"/>
      <c r="CG987"/>
      <c r="CH987"/>
      <c r="CI987"/>
      <c r="CJ987"/>
      <c r="CK987"/>
      <c r="CL987"/>
      <c r="CM987"/>
      <c r="CN987"/>
      <c r="CO987"/>
      <c r="CP987"/>
      <c r="CQ987"/>
      <c r="CR987"/>
      <c r="CS987"/>
      <c r="CT987"/>
      <c r="CU987"/>
      <c r="CV987"/>
      <c r="CW987"/>
      <c r="CX987"/>
      <c r="CY987"/>
      <c r="CZ987"/>
      <c r="DA987"/>
      <c r="DB987"/>
      <c r="DC987"/>
      <c r="DD987"/>
      <c r="DE987"/>
      <c r="DF987"/>
      <c r="DG987"/>
      <c r="DH987"/>
      <c r="DI987"/>
      <c r="DJ987"/>
      <c r="DK987"/>
      <c r="DL987"/>
      <c r="DM987"/>
      <c r="DN987"/>
      <c r="DO987"/>
      <c r="DP987"/>
      <c r="DQ987"/>
      <c r="DR987"/>
      <c r="DS987"/>
      <c r="DT987"/>
      <c r="DU987"/>
      <c r="DV987"/>
      <c r="DW987"/>
      <c r="DX987"/>
      <c r="DY987"/>
      <c r="DZ987"/>
      <c r="EA987"/>
      <c r="EB987"/>
      <c r="EC987"/>
      <c r="ED987"/>
      <c r="EE987"/>
      <c r="EF987"/>
      <c r="EG987"/>
      <c r="EH987"/>
      <c r="EI987"/>
      <c r="EJ987"/>
      <c r="EK987"/>
      <c r="EL987"/>
      <c r="EM987"/>
      <c r="EN987"/>
      <c r="EO987"/>
      <c r="EP987"/>
      <c r="EQ987"/>
      <c r="ER987"/>
      <c r="ES987"/>
    </row>
    <row r="988" spans="1:149">
      <c r="A988"/>
      <c r="B988"/>
      <c r="C988"/>
      <c r="D988"/>
      <c r="E988"/>
      <c r="F988"/>
      <c r="G988"/>
      <c r="H988"/>
      <c r="I988"/>
      <c r="J988"/>
      <c r="K988"/>
      <c r="L988"/>
      <c r="M988"/>
      <c r="N988"/>
      <c r="O988"/>
      <c r="P988"/>
      <c r="Q988"/>
      <c r="R988"/>
      <c r="S988"/>
      <c r="T988"/>
      <c r="U988"/>
      <c r="V988"/>
      <c r="W988"/>
      <c r="X988"/>
      <c r="Y988"/>
      <c r="Z988"/>
      <c r="AA988"/>
      <c r="AB988"/>
      <c r="AC988"/>
      <c r="AD988"/>
      <c r="AE988"/>
      <c r="AF988"/>
      <c r="AG988"/>
      <c r="AH988"/>
      <c r="AI988"/>
      <c r="AJ988"/>
      <c r="AK988"/>
      <c r="AL988"/>
      <c r="AM988"/>
      <c r="AN988"/>
      <c r="AO988"/>
      <c r="AP988"/>
      <c r="AQ988"/>
      <c r="AR988"/>
      <c r="AS988"/>
      <c r="AT988"/>
      <c r="AU988"/>
      <c r="AV988"/>
      <c r="AW988"/>
      <c r="AX988"/>
      <c r="AY988"/>
      <c r="AZ988"/>
      <c r="BA988"/>
      <c r="BB988"/>
      <c r="BC988"/>
      <c r="BD988"/>
      <c r="BE988"/>
      <c r="BF988"/>
      <c r="BG988"/>
      <c r="BH988"/>
      <c r="BI988"/>
      <c r="BJ988"/>
      <c r="BK988"/>
      <c r="BL988"/>
      <c r="BM988"/>
      <c r="BN988"/>
      <c r="BO988"/>
      <c r="BP988"/>
      <c r="BQ988"/>
      <c r="BR988"/>
      <c r="BS988"/>
      <c r="BT988"/>
      <c r="BU988"/>
      <c r="BV988"/>
      <c r="BW988"/>
      <c r="BX988"/>
      <c r="BY988"/>
      <c r="BZ988"/>
      <c r="CA988"/>
      <c r="CB988"/>
      <c r="CC988"/>
      <c r="CD988"/>
      <c r="CE988"/>
      <c r="CF988"/>
      <c r="CG988"/>
      <c r="CH988"/>
      <c r="CI988"/>
      <c r="CJ988"/>
      <c r="CK988"/>
      <c r="CL988"/>
      <c r="CM988"/>
      <c r="CN988"/>
      <c r="CO988"/>
      <c r="CP988"/>
      <c r="CQ988"/>
      <c r="CR988"/>
      <c r="CS988"/>
      <c r="CT988"/>
      <c r="CU988"/>
      <c r="CV988"/>
      <c r="CW988"/>
      <c r="CX988"/>
      <c r="CY988"/>
      <c r="CZ988"/>
      <c r="DA988"/>
      <c r="DB988"/>
      <c r="DC988"/>
      <c r="DD988"/>
      <c r="DE988"/>
      <c r="DF988"/>
      <c r="DG988"/>
      <c r="DH988"/>
      <c r="DI988"/>
      <c r="DJ988"/>
      <c r="DK988"/>
      <c r="DL988"/>
      <c r="DM988"/>
      <c r="DN988"/>
      <c r="DO988"/>
      <c r="DP988"/>
      <c r="DQ988"/>
      <c r="DR988"/>
      <c r="DS988"/>
      <c r="DT988"/>
      <c r="DU988"/>
      <c r="DV988"/>
      <c r="DW988"/>
      <c r="DX988"/>
      <c r="DY988"/>
      <c r="DZ988"/>
      <c r="EA988"/>
      <c r="EB988"/>
      <c r="EC988"/>
      <c r="ED988"/>
      <c r="EE988"/>
      <c r="EF988"/>
      <c r="EG988"/>
      <c r="EH988"/>
      <c r="EI988"/>
      <c r="EJ988"/>
      <c r="EK988"/>
      <c r="EL988"/>
      <c r="EM988"/>
      <c r="EN988"/>
      <c r="EO988"/>
      <c r="EP988"/>
      <c r="EQ988"/>
      <c r="ER988"/>
      <c r="ES988"/>
    </row>
    <row r="989" spans="1:149">
      <c r="A989"/>
      <c r="B989"/>
      <c r="C989"/>
      <c r="D989"/>
      <c r="E989"/>
      <c r="F989"/>
      <c r="G989"/>
      <c r="H989"/>
      <c r="I989"/>
      <c r="J989"/>
      <c r="K989"/>
      <c r="L989"/>
      <c r="M989"/>
      <c r="N989"/>
      <c r="O989"/>
      <c r="P989"/>
      <c r="Q989"/>
      <c r="R989"/>
      <c r="S989"/>
      <c r="T989"/>
      <c r="U989"/>
      <c r="V989"/>
      <c r="W989"/>
      <c r="X989"/>
      <c r="Y989"/>
      <c r="Z989"/>
      <c r="AA989"/>
      <c r="AB989"/>
      <c r="AC989"/>
      <c r="AD989"/>
      <c r="AE989"/>
      <c r="AF989"/>
      <c r="AG989"/>
      <c r="AH989"/>
      <c r="AI989"/>
      <c r="AJ989"/>
      <c r="AK989"/>
      <c r="AL989"/>
      <c r="AM989"/>
      <c r="AN989"/>
      <c r="AO989"/>
      <c r="AP989"/>
      <c r="AQ989"/>
      <c r="AR989"/>
      <c r="AS989"/>
      <c r="AT989"/>
      <c r="AU989"/>
      <c r="AV989"/>
      <c r="AW989"/>
      <c r="AX989"/>
      <c r="AY989"/>
      <c r="AZ989"/>
      <c r="BA989"/>
      <c r="BB989"/>
      <c r="BC989"/>
      <c r="BD989"/>
      <c r="BE989"/>
      <c r="BF989"/>
      <c r="BG989"/>
      <c r="BH989"/>
      <c r="BI989"/>
      <c r="BJ989"/>
      <c r="BK989"/>
      <c r="BL989"/>
      <c r="BM989"/>
      <c r="BN989"/>
      <c r="BO989"/>
      <c r="BP989"/>
      <c r="BQ989"/>
      <c r="BR989"/>
      <c r="BS989"/>
      <c r="BT989"/>
      <c r="BU989"/>
      <c r="BV989"/>
      <c r="BW989"/>
      <c r="BX989"/>
      <c r="BY989"/>
      <c r="BZ989"/>
      <c r="CA989"/>
      <c r="CB989"/>
      <c r="CC989"/>
      <c r="CD989"/>
      <c r="CE989"/>
      <c r="CF989"/>
      <c r="CG989"/>
      <c r="CH989"/>
      <c r="CI989"/>
      <c r="CJ989"/>
      <c r="CK989"/>
      <c r="CL989"/>
      <c r="CM989"/>
      <c r="CN989"/>
      <c r="CO989"/>
      <c r="CP989"/>
      <c r="CQ989"/>
      <c r="CR989"/>
      <c r="CS989"/>
      <c r="CT989"/>
      <c r="CU989"/>
      <c r="CV989"/>
      <c r="CW989"/>
      <c r="CX989"/>
      <c r="CY989"/>
      <c r="CZ989"/>
      <c r="DA989"/>
      <c r="DB989"/>
      <c r="DC989"/>
      <c r="DD989"/>
      <c r="DE989"/>
      <c r="DF989"/>
      <c r="DG989"/>
      <c r="DH989"/>
      <c r="DI989"/>
      <c r="DJ989"/>
      <c r="DK989"/>
      <c r="DL989"/>
      <c r="DM989"/>
      <c r="DN989"/>
      <c r="DO989"/>
      <c r="DP989"/>
      <c r="DQ989"/>
      <c r="DR989"/>
      <c r="DS989"/>
      <c r="DT989"/>
      <c r="DU989"/>
      <c r="DV989"/>
      <c r="DW989"/>
      <c r="DX989"/>
      <c r="DY989"/>
      <c r="DZ989"/>
      <c r="EA989"/>
      <c r="EB989"/>
      <c r="EC989"/>
      <c r="ED989"/>
      <c r="EE989"/>
      <c r="EF989"/>
      <c r="EG989"/>
      <c r="EH989"/>
      <c r="EI989"/>
      <c r="EJ989"/>
      <c r="EK989"/>
      <c r="EL989"/>
      <c r="EM989"/>
      <c r="EN989"/>
      <c r="EO989"/>
      <c r="EP989"/>
      <c r="EQ989"/>
      <c r="ER989"/>
      <c r="ES989"/>
    </row>
    <row r="990" spans="1:149">
      <c r="A990"/>
      <c r="B990"/>
      <c r="C990"/>
      <c r="D990"/>
      <c r="E990"/>
      <c r="F990"/>
      <c r="G990"/>
      <c r="H990"/>
      <c r="I990"/>
      <c r="J990"/>
      <c r="K990"/>
      <c r="L990"/>
      <c r="M990"/>
      <c r="N990"/>
      <c r="O990"/>
      <c r="P990"/>
      <c r="Q990"/>
      <c r="R990"/>
      <c r="S990"/>
      <c r="T990"/>
      <c r="U990"/>
      <c r="V990"/>
      <c r="W990"/>
      <c r="X990"/>
      <c r="Y990"/>
      <c r="Z990"/>
      <c r="AA990"/>
      <c r="AB990"/>
      <c r="AC990"/>
      <c r="AD990"/>
      <c r="AE990"/>
      <c r="AF990"/>
      <c r="AG990"/>
      <c r="AH990"/>
      <c r="AI990"/>
      <c r="AJ990"/>
      <c r="AK990"/>
      <c r="AL990"/>
      <c r="AM990"/>
      <c r="AN990"/>
      <c r="AO990"/>
      <c r="AP990"/>
      <c r="AQ990"/>
      <c r="AR990"/>
      <c r="AS990"/>
      <c r="AT990"/>
      <c r="AU990"/>
      <c r="AV990"/>
      <c r="AW990"/>
      <c r="AX990"/>
      <c r="AY990"/>
      <c r="AZ990"/>
      <c r="BA990"/>
      <c r="BB990"/>
      <c r="BC990"/>
      <c r="BD990"/>
      <c r="BE990"/>
      <c r="BF990"/>
      <c r="BG990"/>
      <c r="BH990"/>
      <c r="BI990"/>
      <c r="BJ990"/>
      <c r="BK990"/>
      <c r="BL990"/>
      <c r="BM990"/>
      <c r="BN990"/>
      <c r="BO990"/>
      <c r="BP990"/>
      <c r="BQ990"/>
      <c r="BR990"/>
      <c r="BS990"/>
      <c r="BT990"/>
      <c r="BU990"/>
      <c r="BV990"/>
      <c r="BW990"/>
      <c r="BX990"/>
      <c r="BY990"/>
      <c r="BZ990"/>
      <c r="CA990"/>
      <c r="CB990"/>
      <c r="CC990"/>
      <c r="CD990"/>
      <c r="CE990"/>
      <c r="CF990"/>
      <c r="CG990"/>
      <c r="CH990"/>
      <c r="CI990"/>
      <c r="CJ990"/>
      <c r="CK990"/>
      <c r="CL990"/>
      <c r="CM990"/>
      <c r="CN990"/>
      <c r="CO990"/>
      <c r="CP990"/>
      <c r="CQ990"/>
      <c r="CR990"/>
      <c r="CS990"/>
      <c r="CT990"/>
      <c r="CU990"/>
      <c r="CV990"/>
      <c r="CW990"/>
      <c r="CX990"/>
      <c r="CY990"/>
      <c r="CZ990"/>
      <c r="DA990"/>
      <c r="DB990"/>
      <c r="DC990"/>
      <c r="DD990"/>
      <c r="DE990"/>
      <c r="DF990"/>
      <c r="DG990"/>
      <c r="DH990"/>
      <c r="DI990"/>
      <c r="DJ990"/>
      <c r="DK990"/>
      <c r="DL990"/>
      <c r="DM990"/>
      <c r="DN990"/>
      <c r="DO990"/>
      <c r="DP990"/>
      <c r="DQ990"/>
      <c r="DR990"/>
      <c r="DS990"/>
      <c r="DT990"/>
      <c r="DU990"/>
      <c r="DV990"/>
      <c r="DW990"/>
      <c r="DX990"/>
      <c r="DY990"/>
      <c r="DZ990"/>
      <c r="EA990"/>
      <c r="EB990"/>
      <c r="EC990"/>
      <c r="ED990"/>
      <c r="EE990"/>
      <c r="EF990"/>
      <c r="EG990"/>
      <c r="EH990"/>
      <c r="EI990"/>
      <c r="EJ990"/>
      <c r="EK990"/>
      <c r="EL990"/>
      <c r="EM990"/>
      <c r="EN990"/>
      <c r="EO990"/>
      <c r="EP990"/>
      <c r="EQ990"/>
      <c r="ER990"/>
      <c r="ES990"/>
    </row>
    <row r="991" spans="1:149">
      <c r="A991"/>
      <c r="B991"/>
      <c r="C991"/>
      <c r="D991"/>
      <c r="E991"/>
      <c r="F991"/>
      <c r="G991"/>
      <c r="H991"/>
      <c r="I991"/>
      <c r="J991"/>
      <c r="K991"/>
      <c r="L991"/>
      <c r="M991"/>
      <c r="N991"/>
      <c r="O991"/>
      <c r="P991"/>
      <c r="Q991"/>
      <c r="R991"/>
      <c r="S991"/>
      <c r="T991"/>
      <c r="U991"/>
      <c r="V991"/>
      <c r="W991"/>
      <c r="X991"/>
      <c r="Y991"/>
      <c r="Z991"/>
      <c r="AA991"/>
      <c r="AB991"/>
      <c r="AC991"/>
      <c r="AD991"/>
      <c r="AE991"/>
      <c r="AF991"/>
      <c r="AG991"/>
      <c r="AH991"/>
      <c r="AI991"/>
      <c r="AJ991"/>
      <c r="AK991"/>
      <c r="AL991"/>
      <c r="AM991"/>
      <c r="AN991"/>
      <c r="AO991"/>
      <c r="AP991"/>
      <c r="AQ991"/>
      <c r="AR991"/>
      <c r="AS991"/>
      <c r="AT991"/>
      <c r="AU991"/>
      <c r="AV991"/>
      <c r="AW991"/>
      <c r="AX991"/>
      <c r="AY991"/>
      <c r="AZ991"/>
      <c r="BA991"/>
      <c r="BB991"/>
      <c r="BC991"/>
      <c r="BD991"/>
      <c r="BE991"/>
      <c r="BF991"/>
      <c r="BG991"/>
      <c r="BH991"/>
      <c r="BI991"/>
      <c r="BJ991"/>
      <c r="BK991"/>
      <c r="BL991"/>
      <c r="BM991"/>
      <c r="BN991"/>
      <c r="BO991"/>
      <c r="BP991"/>
      <c r="BQ991"/>
      <c r="BR991"/>
      <c r="BS991"/>
      <c r="BT991"/>
      <c r="BU991"/>
      <c r="BV991"/>
      <c r="BW991"/>
      <c r="BX991"/>
      <c r="BY991"/>
      <c r="BZ991"/>
      <c r="CA991"/>
      <c r="CB991"/>
      <c r="CC991"/>
      <c r="CD991"/>
      <c r="CE991"/>
      <c r="CF991"/>
      <c r="CG991"/>
      <c r="CH991"/>
      <c r="CI991"/>
      <c r="CJ991"/>
      <c r="CK991"/>
      <c r="CL991"/>
      <c r="CM991"/>
      <c r="CN991"/>
      <c r="CO991"/>
      <c r="CP991"/>
      <c r="CQ991"/>
      <c r="CR991"/>
      <c r="CS991"/>
      <c r="CT991"/>
      <c r="CU991"/>
      <c r="CV991"/>
      <c r="CW991"/>
      <c r="CX991"/>
      <c r="CY991"/>
      <c r="CZ991"/>
      <c r="DA991"/>
      <c r="DB991"/>
      <c r="DC991"/>
      <c r="DD991"/>
      <c r="DE991"/>
      <c r="DF991"/>
      <c r="DG991"/>
      <c r="DH991"/>
      <c r="DI991"/>
      <c r="DJ991"/>
      <c r="DK991"/>
      <c r="DL991"/>
      <c r="DM991"/>
      <c r="DN991"/>
      <c r="DO991"/>
      <c r="DP991"/>
      <c r="DQ991"/>
      <c r="DR991"/>
      <c r="DS991"/>
      <c r="DT991"/>
      <c r="DU991"/>
      <c r="DV991"/>
      <c r="DW991"/>
      <c r="DX991"/>
      <c r="DY991"/>
      <c r="DZ991"/>
      <c r="EA991"/>
      <c r="EB991"/>
      <c r="EC991"/>
      <c r="ED991"/>
      <c r="EE991"/>
      <c r="EF991"/>
      <c r="EG991"/>
      <c r="EH991"/>
      <c r="EI991"/>
      <c r="EJ991"/>
      <c r="EK991"/>
      <c r="EL991"/>
      <c r="EM991"/>
      <c r="EN991"/>
      <c r="EO991"/>
      <c r="EP991"/>
      <c r="EQ991"/>
      <c r="ER991"/>
      <c r="ES991"/>
    </row>
    <row r="992" spans="1:149">
      <c r="A992"/>
      <c r="B992"/>
      <c r="C992"/>
      <c r="D992"/>
      <c r="E992"/>
      <c r="F992"/>
      <c r="G992"/>
      <c r="H992"/>
      <c r="I992"/>
      <c r="J992"/>
      <c r="K992"/>
      <c r="L992"/>
      <c r="M992"/>
      <c r="N992"/>
      <c r="O992"/>
      <c r="P992"/>
      <c r="Q992"/>
      <c r="R992"/>
      <c r="S992"/>
      <c r="T992"/>
      <c r="U992"/>
      <c r="V992"/>
      <c r="W992"/>
      <c r="X992"/>
      <c r="Y992"/>
      <c r="Z992"/>
      <c r="AA992"/>
      <c r="AB992"/>
      <c r="AC992"/>
      <c r="AD992"/>
      <c r="AE992"/>
      <c r="AF992"/>
      <c r="AG992"/>
      <c r="AH992"/>
      <c r="AI992"/>
      <c r="AJ992"/>
      <c r="AK992"/>
      <c r="AL992"/>
      <c r="AM992"/>
      <c r="AN992"/>
      <c r="AO992"/>
      <c r="AP992"/>
      <c r="AQ992"/>
      <c r="AR992"/>
      <c r="AS992"/>
      <c r="AT992"/>
      <c r="AU992"/>
      <c r="AV992"/>
      <c r="AW992"/>
      <c r="AX992"/>
      <c r="AY992"/>
      <c r="AZ992"/>
      <c r="BA992"/>
      <c r="BB992"/>
      <c r="BC992"/>
      <c r="BD992"/>
      <c r="BE992"/>
      <c r="BF992"/>
      <c r="BG992"/>
      <c r="BH992"/>
      <c r="BI992"/>
      <c r="BJ992"/>
      <c r="BK992"/>
      <c r="BL992"/>
      <c r="BM992"/>
      <c r="BN992"/>
      <c r="BO992"/>
      <c r="BP992"/>
      <c r="BQ992"/>
      <c r="BR992"/>
      <c r="BS992"/>
      <c r="BT992"/>
      <c r="BU992"/>
      <c r="BV992"/>
      <c r="BW992"/>
      <c r="BX992"/>
      <c r="BY992"/>
      <c r="BZ992"/>
      <c r="CA992"/>
      <c r="CB992"/>
      <c r="CC992"/>
      <c r="CD992"/>
      <c r="CE992"/>
      <c r="CF992"/>
      <c r="CG992"/>
      <c r="CH992"/>
      <c r="CI992"/>
      <c r="CJ992"/>
      <c r="CK992"/>
      <c r="CL992"/>
      <c r="CM992"/>
      <c r="CN992"/>
      <c r="CO992"/>
      <c r="CP992"/>
      <c r="CQ992"/>
      <c r="CR992"/>
      <c r="CS992"/>
      <c r="CT992"/>
      <c r="CU992"/>
      <c r="CV992"/>
      <c r="CW992"/>
      <c r="CX992"/>
      <c r="CY992"/>
      <c r="CZ992"/>
      <c r="DA992"/>
      <c r="DB992"/>
      <c r="DC992"/>
      <c r="DD992"/>
      <c r="DE992"/>
      <c r="DF992"/>
      <c r="DG992"/>
      <c r="DH992"/>
      <c r="DI992"/>
      <c r="DJ992"/>
      <c r="DK992"/>
      <c r="DL992"/>
      <c r="DM992"/>
      <c r="DN992"/>
      <c r="DO992"/>
      <c r="DP992"/>
      <c r="DQ992"/>
      <c r="DR992"/>
      <c r="DS992"/>
      <c r="DT992"/>
      <c r="DU992"/>
      <c r="DV992"/>
      <c r="DW992"/>
      <c r="DX992"/>
      <c r="DY992"/>
      <c r="DZ992"/>
      <c r="EA992"/>
      <c r="EB992"/>
      <c r="EC992"/>
      <c r="ED992"/>
      <c r="EE992"/>
      <c r="EF992"/>
      <c r="EG992"/>
      <c r="EH992"/>
      <c r="EI992"/>
      <c r="EJ992"/>
      <c r="EK992"/>
      <c r="EL992"/>
      <c r="EM992"/>
      <c r="EN992"/>
      <c r="EO992"/>
      <c r="EP992"/>
      <c r="EQ992"/>
      <c r="ER992"/>
      <c r="ES992"/>
    </row>
    <row r="993" spans="1:149">
      <c r="A993"/>
      <c r="B993"/>
      <c r="C993"/>
      <c r="D993"/>
      <c r="E993"/>
      <c r="F993"/>
      <c r="G993"/>
      <c r="H993"/>
      <c r="I993"/>
      <c r="J993"/>
      <c r="K993"/>
      <c r="L993"/>
      <c r="M993"/>
      <c r="N993"/>
      <c r="O993"/>
      <c r="P993"/>
      <c r="Q993"/>
      <c r="R993"/>
      <c r="S993"/>
      <c r="T993"/>
      <c r="U993"/>
      <c r="V993"/>
      <c r="W993"/>
      <c r="X993"/>
      <c r="Y993"/>
      <c r="Z993"/>
      <c r="AA993"/>
      <c r="AB993"/>
      <c r="AC993"/>
      <c r="AD993"/>
      <c r="AE993"/>
      <c r="AF993"/>
      <c r="AG993"/>
      <c r="AH993"/>
      <c r="AI993"/>
      <c r="AJ993"/>
      <c r="AK993"/>
      <c r="AL993"/>
      <c r="AM993"/>
      <c r="AN993"/>
      <c r="AO993"/>
      <c r="AP993"/>
      <c r="AQ993"/>
      <c r="AR993"/>
      <c r="AS993"/>
      <c r="AT993"/>
      <c r="AU993"/>
      <c r="AV993"/>
      <c r="AW993"/>
      <c r="AX993"/>
      <c r="AY993"/>
      <c r="AZ993"/>
      <c r="BA993"/>
      <c r="BB993"/>
      <c r="BC993"/>
      <c r="BD993"/>
      <c r="BE993"/>
      <c r="BF993"/>
      <c r="BG993"/>
      <c r="BH993"/>
      <c r="BI993"/>
      <c r="BJ993"/>
      <c r="BK993"/>
      <c r="BL993"/>
      <c r="BM993"/>
      <c r="BN993"/>
      <c r="BO993"/>
      <c r="BP993"/>
      <c r="BQ993"/>
      <c r="BR993"/>
      <c r="BS993"/>
      <c r="BT993"/>
      <c r="BU993"/>
      <c r="BV993"/>
      <c r="BW993"/>
      <c r="BX993"/>
      <c r="BY993"/>
      <c r="BZ993"/>
      <c r="CA993"/>
      <c r="CB993"/>
      <c r="CC993"/>
      <c r="CD993"/>
      <c r="CE993"/>
      <c r="CF993"/>
      <c r="CG993"/>
      <c r="CH993"/>
      <c r="CI993"/>
      <c r="CJ993"/>
      <c r="CK993"/>
      <c r="CL993"/>
      <c r="CM993"/>
      <c r="CN993"/>
      <c r="CO993"/>
      <c r="CP993"/>
      <c r="CQ993"/>
      <c r="CR993"/>
      <c r="CS993"/>
      <c r="CT993"/>
      <c r="CU993"/>
      <c r="CV993"/>
      <c r="CW993"/>
      <c r="CX993"/>
      <c r="CY993"/>
      <c r="CZ993"/>
      <c r="DA993"/>
      <c r="DB993"/>
      <c r="DC993"/>
      <c r="DD993"/>
      <c r="DE993"/>
      <c r="DF993"/>
      <c r="DG993"/>
      <c r="DH993"/>
      <c r="DI993"/>
      <c r="DJ993"/>
      <c r="DK993"/>
      <c r="DL993"/>
      <c r="DM993"/>
      <c r="DN993"/>
      <c r="DO993"/>
      <c r="DP993"/>
      <c r="DQ993"/>
      <c r="DR993"/>
      <c r="DS993"/>
      <c r="DT993"/>
      <c r="DU993"/>
      <c r="DV993"/>
      <c r="DW993"/>
      <c r="DX993"/>
      <c r="DY993"/>
      <c r="DZ993"/>
      <c r="EA993"/>
      <c r="EB993"/>
      <c r="EC993"/>
      <c r="ED993"/>
      <c r="EE993"/>
      <c r="EF993"/>
      <c r="EG993"/>
      <c r="EH993"/>
      <c r="EI993"/>
      <c r="EJ993"/>
      <c r="EK993"/>
      <c r="EL993"/>
      <c r="EM993"/>
      <c r="EN993"/>
      <c r="EO993"/>
      <c r="EP993"/>
      <c r="EQ993"/>
      <c r="ER993"/>
      <c r="ES993"/>
    </row>
    <row r="994" spans="1:149">
      <c r="A994"/>
      <c r="B994"/>
      <c r="C994"/>
      <c r="D994"/>
      <c r="E994"/>
      <c r="F994"/>
      <c r="G994"/>
      <c r="H994"/>
      <c r="I994"/>
      <c r="J994"/>
      <c r="K994"/>
      <c r="L994"/>
      <c r="M994"/>
      <c r="N994"/>
      <c r="O994"/>
      <c r="P994"/>
      <c r="Q994"/>
      <c r="R994"/>
      <c r="S994"/>
      <c r="T994"/>
      <c r="U994"/>
      <c r="V994"/>
      <c r="W994"/>
      <c r="X994"/>
      <c r="Y994"/>
      <c r="Z994"/>
      <c r="AA994"/>
      <c r="AB994"/>
      <c r="AC994"/>
      <c r="AD994"/>
      <c r="AE994"/>
      <c r="AF994"/>
      <c r="AG994"/>
      <c r="AH994"/>
      <c r="AI994"/>
      <c r="AJ994"/>
      <c r="AK994"/>
      <c r="AL994"/>
      <c r="AM994"/>
      <c r="AN994"/>
      <c r="AO994"/>
      <c r="AP994"/>
      <c r="AQ994"/>
      <c r="AR994"/>
      <c r="AS994"/>
      <c r="AT994"/>
      <c r="AU994"/>
      <c r="AV994"/>
      <c r="AW994"/>
      <c r="AX994"/>
      <c r="AY994"/>
      <c r="AZ994"/>
      <c r="BA994"/>
      <c r="BB994"/>
      <c r="BC994"/>
      <c r="BD994"/>
      <c r="BE994"/>
      <c r="BF994"/>
      <c r="BG994"/>
      <c r="BH994"/>
      <c r="BI994"/>
      <c r="BJ994"/>
      <c r="BK994"/>
      <c r="BL994"/>
      <c r="BM994"/>
      <c r="BN994"/>
      <c r="BO994"/>
      <c r="BP994"/>
      <c r="BQ994"/>
      <c r="BR994"/>
      <c r="BS994"/>
      <c r="BT994"/>
      <c r="BU994"/>
      <c r="BV994"/>
      <c r="BW994"/>
      <c r="BX994"/>
      <c r="BY994"/>
      <c r="BZ994"/>
      <c r="CA994"/>
      <c r="CB994"/>
      <c r="CC994"/>
      <c r="CD994"/>
      <c r="CE994"/>
      <c r="CF994"/>
      <c r="CG994"/>
      <c r="CH994"/>
      <c r="CI994"/>
      <c r="CJ994"/>
      <c r="CK994"/>
      <c r="CL994"/>
      <c r="CM994"/>
      <c r="CN994"/>
      <c r="CO994"/>
      <c r="CP994"/>
      <c r="CQ994"/>
      <c r="CR994"/>
      <c r="CS994"/>
      <c r="CT994"/>
      <c r="CU994"/>
      <c r="CV994"/>
      <c r="CW994"/>
      <c r="CX994"/>
      <c r="CY994"/>
      <c r="CZ994"/>
      <c r="DA994"/>
      <c r="DB994"/>
      <c r="DC994"/>
      <c r="DD994"/>
      <c r="DE994"/>
      <c r="DF994"/>
      <c r="DG994"/>
      <c r="DH994"/>
      <c r="DI994"/>
      <c r="DJ994"/>
      <c r="DK994"/>
      <c r="DL994"/>
      <c r="DM994"/>
      <c r="DN994"/>
      <c r="DO994"/>
      <c r="DP994"/>
      <c r="DQ994"/>
      <c r="DR994"/>
      <c r="DS994"/>
      <c r="DT994"/>
      <c r="DU994"/>
      <c r="DV994"/>
      <c r="DW994"/>
      <c r="DX994"/>
      <c r="DY994"/>
      <c r="DZ994"/>
      <c r="EA994"/>
      <c r="EB994"/>
      <c r="EC994"/>
      <c r="ED994"/>
      <c r="EE994"/>
      <c r="EF994"/>
      <c r="EG994"/>
      <c r="EH994"/>
      <c r="EI994"/>
      <c r="EJ994"/>
      <c r="EK994"/>
      <c r="EL994"/>
      <c r="EM994"/>
      <c r="EN994"/>
      <c r="EO994"/>
      <c r="EP994"/>
      <c r="EQ994"/>
      <c r="ER994"/>
      <c r="ES994"/>
    </row>
    <row r="995" spans="1:149">
      <c r="A995"/>
      <c r="B995"/>
      <c r="C995"/>
      <c r="D995"/>
      <c r="E995"/>
      <c r="F995"/>
      <c r="G995"/>
      <c r="H995"/>
      <c r="I995"/>
      <c r="J995"/>
      <c r="K995"/>
      <c r="L995"/>
      <c r="M995"/>
      <c r="N995"/>
      <c r="O995"/>
      <c r="P995"/>
      <c r="Q995"/>
      <c r="R995"/>
      <c r="S995"/>
      <c r="T995"/>
      <c r="U995"/>
      <c r="V995"/>
      <c r="W995"/>
      <c r="X995"/>
      <c r="Y995"/>
      <c r="Z995"/>
      <c r="AA995"/>
      <c r="AB995"/>
      <c r="AC995"/>
      <c r="AD995"/>
      <c r="AE995"/>
      <c r="AF995"/>
      <c r="AG995"/>
      <c r="AH995"/>
      <c r="AI995"/>
      <c r="AJ995"/>
      <c r="AK995"/>
      <c r="AL995"/>
      <c r="AM995"/>
      <c r="AN995"/>
      <c r="AO995"/>
      <c r="AP995"/>
      <c r="AQ995"/>
      <c r="AR995"/>
      <c r="AS995"/>
      <c r="AT995"/>
      <c r="AU995"/>
      <c r="AV995"/>
      <c r="AW995"/>
      <c r="AX995"/>
      <c r="AY995"/>
      <c r="AZ995"/>
      <c r="BA995"/>
      <c r="BB995"/>
      <c r="BC995"/>
      <c r="BD995"/>
      <c r="BE995"/>
      <c r="BF995"/>
      <c r="BG995"/>
      <c r="BH995"/>
      <c r="BI995"/>
      <c r="BJ995"/>
      <c r="BK995"/>
      <c r="BL995"/>
      <c r="BM995"/>
      <c r="BN995"/>
      <c r="BO995"/>
      <c r="BP995"/>
      <c r="BQ995"/>
      <c r="BR995"/>
      <c r="BS995"/>
      <c r="BT995"/>
      <c r="BU995"/>
      <c r="BV995"/>
      <c r="BW995"/>
      <c r="BX995"/>
      <c r="BY995"/>
      <c r="BZ995"/>
      <c r="CA995"/>
      <c r="CB995"/>
      <c r="CC995"/>
      <c r="CD995"/>
      <c r="CE995"/>
      <c r="CF995"/>
      <c r="CG995"/>
      <c r="CH995"/>
      <c r="CI995"/>
      <c r="CJ995"/>
      <c r="CK995"/>
      <c r="CL995"/>
      <c r="CM995"/>
      <c r="CN995"/>
      <c r="CO995"/>
      <c r="CP995"/>
      <c r="CQ995"/>
      <c r="CR995"/>
      <c r="CS995"/>
      <c r="CT995"/>
      <c r="CU995"/>
      <c r="CV995"/>
      <c r="CW995"/>
      <c r="CX995"/>
      <c r="CY995"/>
      <c r="CZ995"/>
      <c r="DA995"/>
      <c r="DB995"/>
      <c r="DC995"/>
      <c r="DD995"/>
      <c r="DE995"/>
      <c r="DF995"/>
      <c r="DG995"/>
      <c r="DH995"/>
      <c r="DI995"/>
      <c r="DJ995"/>
      <c r="DK995"/>
      <c r="DL995"/>
      <c r="DM995"/>
      <c r="DN995"/>
      <c r="DO995"/>
      <c r="DP995"/>
      <c r="DQ995"/>
      <c r="DR995"/>
      <c r="DS995"/>
      <c r="DT995"/>
      <c r="DU995"/>
      <c r="DV995"/>
      <c r="DW995"/>
      <c r="DX995"/>
      <c r="DY995"/>
      <c r="DZ995"/>
      <c r="EA995"/>
      <c r="EB995"/>
      <c r="EC995"/>
      <c r="ED995"/>
      <c r="EE995"/>
      <c r="EF995"/>
      <c r="EG995"/>
      <c r="EH995"/>
      <c r="EI995"/>
      <c r="EJ995"/>
      <c r="EK995"/>
      <c r="EL995"/>
      <c r="EM995"/>
      <c r="EN995"/>
      <c r="EO995"/>
      <c r="EP995"/>
      <c r="EQ995"/>
      <c r="ER995"/>
      <c r="ES995"/>
    </row>
    <row r="996" spans="1:149">
      <c r="A996"/>
      <c r="B996"/>
      <c r="C996"/>
      <c r="D996"/>
      <c r="E996"/>
      <c r="F996"/>
      <c r="G996"/>
      <c r="H996"/>
      <c r="I996"/>
      <c r="J996"/>
      <c r="K996"/>
      <c r="L996"/>
      <c r="M996"/>
      <c r="N996"/>
      <c r="O996"/>
      <c r="P996"/>
      <c r="Q996"/>
      <c r="R996"/>
      <c r="S996"/>
      <c r="T996"/>
      <c r="U996"/>
      <c r="V996"/>
      <c r="W996"/>
      <c r="X996"/>
      <c r="Y996"/>
      <c r="Z996"/>
      <c r="AA996"/>
      <c r="AB996"/>
      <c r="AC996"/>
      <c r="AD996"/>
      <c r="AE996"/>
      <c r="AF996"/>
      <c r="AG996"/>
      <c r="AH996"/>
      <c r="AI996"/>
      <c r="AJ996"/>
      <c r="AK996"/>
      <c r="AL996"/>
      <c r="AM996"/>
      <c r="AN996"/>
      <c r="AO996"/>
      <c r="AP996"/>
      <c r="AQ996"/>
      <c r="AR996"/>
      <c r="AS996"/>
      <c r="AT996"/>
      <c r="AU996"/>
      <c r="AV996"/>
      <c r="AW996"/>
      <c r="AX996"/>
      <c r="AY996"/>
      <c r="AZ996"/>
      <c r="BA996"/>
      <c r="BB996"/>
      <c r="BC996"/>
      <c r="BD996"/>
      <c r="BE996"/>
      <c r="BF996"/>
      <c r="BG996"/>
      <c r="BH996"/>
      <c r="BI996"/>
      <c r="BJ996"/>
      <c r="BK996"/>
      <c r="BL996"/>
      <c r="BM996"/>
      <c r="BN996"/>
      <c r="BO996"/>
      <c r="BP996"/>
      <c r="BQ996"/>
      <c r="BR996"/>
      <c r="BS996"/>
      <c r="BT996"/>
      <c r="BU996"/>
      <c r="BV996"/>
      <c r="BW996"/>
      <c r="BX996"/>
      <c r="BY996"/>
      <c r="BZ996"/>
      <c r="CA996"/>
      <c r="CB996"/>
      <c r="CC996"/>
      <c r="CD996"/>
      <c r="CE996"/>
      <c r="CF996"/>
      <c r="CG996"/>
      <c r="CH996"/>
      <c r="CI996"/>
      <c r="CJ996"/>
      <c r="CK996"/>
      <c r="CL996"/>
      <c r="CM996"/>
      <c r="CN996"/>
      <c r="CO996"/>
      <c r="CP996"/>
      <c r="CQ996"/>
      <c r="CR996"/>
      <c r="CS996"/>
      <c r="CT996"/>
      <c r="CU996"/>
      <c r="CV996"/>
      <c r="CW996"/>
      <c r="CX996"/>
      <c r="CY996"/>
      <c r="CZ996"/>
      <c r="DA996"/>
      <c r="DB996"/>
      <c r="DC996"/>
      <c r="DD996"/>
      <c r="DE996"/>
      <c r="DF996"/>
      <c r="DG996"/>
      <c r="DH996"/>
      <c r="DI996"/>
      <c r="DJ996"/>
      <c r="DK996"/>
      <c r="DL996"/>
      <c r="DM996"/>
      <c r="DN996"/>
      <c r="DO996"/>
      <c r="DP996"/>
      <c r="DQ996"/>
      <c r="DR996"/>
      <c r="DS996"/>
      <c r="DT996"/>
      <c r="DU996"/>
      <c r="DV996"/>
      <c r="DW996"/>
      <c r="DX996"/>
      <c r="DY996"/>
      <c r="DZ996"/>
      <c r="EA996"/>
      <c r="EB996"/>
      <c r="EC996"/>
      <c r="ED996"/>
      <c r="EE996"/>
      <c r="EF996"/>
      <c r="EG996"/>
      <c r="EH996"/>
      <c r="EI996"/>
      <c r="EJ996"/>
      <c r="EK996"/>
      <c r="EL996"/>
      <c r="EM996"/>
      <c r="EN996"/>
      <c r="EO996"/>
      <c r="EP996"/>
      <c r="EQ996"/>
      <c r="ER996"/>
      <c r="ES996"/>
    </row>
    <row r="997" spans="1:149">
      <c r="A997"/>
      <c r="B997"/>
      <c r="C997"/>
      <c r="D997"/>
      <c r="E997"/>
      <c r="F997"/>
      <c r="G997"/>
      <c r="H997"/>
      <c r="I997"/>
      <c r="J997"/>
      <c r="K997"/>
      <c r="L997"/>
      <c r="M997"/>
      <c r="N997"/>
      <c r="O997"/>
      <c r="P997"/>
      <c r="Q997"/>
      <c r="R997"/>
      <c r="S997"/>
      <c r="T997"/>
      <c r="U997"/>
      <c r="V997"/>
      <c r="W997"/>
      <c r="X997"/>
      <c r="Y997"/>
      <c r="Z997"/>
      <c r="AA997"/>
      <c r="AB997"/>
      <c r="AC997"/>
      <c r="AD997"/>
      <c r="AE997"/>
      <c r="AF997"/>
      <c r="AG997"/>
      <c r="AH997"/>
      <c r="AI997"/>
      <c r="AJ997"/>
      <c r="AK997"/>
      <c r="AL997"/>
      <c r="AM997"/>
      <c r="AN997"/>
      <c r="AO997"/>
      <c r="AP997"/>
      <c r="AQ997"/>
      <c r="AR997"/>
      <c r="AS997"/>
      <c r="AT997"/>
      <c r="AU997"/>
      <c r="AV997"/>
      <c r="AW997"/>
      <c r="AX997"/>
      <c r="AY997"/>
      <c r="AZ997"/>
      <c r="BA997"/>
      <c r="BB997"/>
      <c r="BC997"/>
      <c r="BD997"/>
      <c r="BE997"/>
      <c r="BF997"/>
      <c r="BG997"/>
      <c r="BH997"/>
      <c r="BI997"/>
      <c r="BJ997"/>
      <c r="BK997"/>
      <c r="BL997"/>
      <c r="BM997"/>
      <c r="BN997"/>
      <c r="BO997"/>
      <c r="BP997"/>
      <c r="BQ997"/>
      <c r="BR997"/>
      <c r="BS997"/>
      <c r="BT997"/>
      <c r="BU997"/>
      <c r="BV997"/>
      <c r="BW997"/>
      <c r="BX997"/>
      <c r="BY997"/>
      <c r="BZ997"/>
      <c r="CA997"/>
      <c r="CB997"/>
      <c r="CC997"/>
      <c r="CD997"/>
      <c r="CE997"/>
      <c r="CF997"/>
      <c r="CG997"/>
      <c r="CH997"/>
      <c r="CI997"/>
      <c r="CJ997"/>
      <c r="CK997"/>
      <c r="CL997"/>
      <c r="CM997"/>
      <c r="CN997"/>
      <c r="CO997"/>
      <c r="CP997"/>
      <c r="CQ997"/>
      <c r="CR997"/>
      <c r="CS997"/>
      <c r="CT997"/>
      <c r="CU997"/>
      <c r="CV997"/>
      <c r="CW997"/>
      <c r="CX997"/>
      <c r="CY997"/>
      <c r="CZ997"/>
      <c r="DA997"/>
      <c r="DB997"/>
      <c r="DC997"/>
      <c r="DD997"/>
      <c r="DE997"/>
      <c r="DF997"/>
      <c r="DG997"/>
      <c r="DH997"/>
      <c r="DI997"/>
      <c r="DJ997"/>
      <c r="DK997"/>
      <c r="DL997"/>
      <c r="DM997"/>
      <c r="DN997"/>
      <c r="DO997"/>
      <c r="DP997"/>
      <c r="DQ997"/>
      <c r="DR997"/>
      <c r="DS997"/>
      <c r="DT997"/>
      <c r="DU997"/>
      <c r="DV997"/>
      <c r="DW997"/>
      <c r="DX997"/>
      <c r="DY997"/>
      <c r="DZ997"/>
      <c r="EA997"/>
      <c r="EB997"/>
      <c r="EC997"/>
      <c r="ED997"/>
      <c r="EE997"/>
      <c r="EF997"/>
      <c r="EG997"/>
      <c r="EH997"/>
      <c r="EI997"/>
      <c r="EJ997"/>
      <c r="EK997"/>
      <c r="EL997"/>
      <c r="EM997"/>
      <c r="EN997"/>
      <c r="EO997"/>
      <c r="EP997"/>
      <c r="EQ997"/>
      <c r="ER997"/>
      <c r="ES997"/>
    </row>
    <row r="998" spans="1:149">
      <c r="A998"/>
      <c r="B998"/>
      <c r="C998"/>
      <c r="D998"/>
      <c r="E998"/>
      <c r="F998"/>
      <c r="G998"/>
      <c r="H998"/>
      <c r="I998"/>
      <c r="J998"/>
      <c r="K998"/>
      <c r="L998"/>
      <c r="M998"/>
      <c r="N998"/>
      <c r="O998"/>
      <c r="P998"/>
      <c r="Q998"/>
      <c r="R998"/>
      <c r="S998"/>
      <c r="T998"/>
      <c r="U998"/>
      <c r="V998"/>
      <c r="W998"/>
      <c r="X998"/>
      <c r="Y998"/>
      <c r="Z998"/>
      <c r="AA998"/>
      <c r="AB998"/>
      <c r="AC998"/>
      <c r="AD998"/>
      <c r="AE998"/>
      <c r="AF998"/>
      <c r="AG998"/>
      <c r="AH998"/>
      <c r="AI998"/>
      <c r="AJ998"/>
      <c r="AK998"/>
      <c r="AL998"/>
      <c r="AM998"/>
      <c r="AN998"/>
      <c r="AO998"/>
      <c r="AP998"/>
      <c r="AQ998"/>
      <c r="AR998"/>
      <c r="AS998"/>
      <c r="AT998"/>
      <c r="AU998"/>
      <c r="AV998"/>
      <c r="AW998"/>
      <c r="AX998"/>
      <c r="AY998"/>
      <c r="AZ998"/>
      <c r="BA998"/>
      <c r="BB998"/>
      <c r="BC998"/>
      <c r="BD998"/>
      <c r="BE998"/>
      <c r="BF998"/>
      <c r="BG998"/>
      <c r="BH998"/>
      <c r="BI998"/>
      <c r="BJ998"/>
      <c r="BK998"/>
      <c r="BL998"/>
      <c r="BM998"/>
      <c r="BN998"/>
      <c r="BO998"/>
      <c r="BP998"/>
      <c r="BQ998"/>
      <c r="BR998"/>
      <c r="BS998"/>
      <c r="BT998"/>
      <c r="BU998"/>
      <c r="BV998"/>
      <c r="BW998"/>
      <c r="BX998"/>
      <c r="BY998"/>
      <c r="BZ998"/>
      <c r="CA998"/>
      <c r="CB998"/>
      <c r="CC998"/>
      <c r="CD998"/>
      <c r="CE998"/>
      <c r="CF998"/>
      <c r="CG998"/>
      <c r="CH998"/>
      <c r="CI998"/>
      <c r="CJ998"/>
      <c r="CK998"/>
      <c r="CL998"/>
      <c r="CM998"/>
      <c r="CN998"/>
      <c r="CO998"/>
      <c r="CP998"/>
      <c r="CQ998"/>
      <c r="CR998"/>
      <c r="CS998"/>
      <c r="CT998"/>
      <c r="CU998"/>
      <c r="CV998"/>
      <c r="CW998"/>
      <c r="CX998"/>
      <c r="CY998"/>
      <c r="CZ998"/>
      <c r="DA998"/>
      <c r="DB998"/>
      <c r="DC998"/>
      <c r="DD998"/>
      <c r="DE998"/>
      <c r="DF998"/>
      <c r="DG998"/>
      <c r="DH998"/>
      <c r="DI998"/>
      <c r="DJ998"/>
      <c r="DK998"/>
      <c r="DL998"/>
      <c r="DM998"/>
      <c r="DN998"/>
      <c r="DO998"/>
      <c r="DP998"/>
      <c r="DQ998"/>
      <c r="DR998"/>
      <c r="DS998"/>
      <c r="DT998"/>
      <c r="DU998"/>
      <c r="DV998"/>
      <c r="DW998"/>
      <c r="DX998"/>
      <c r="DY998"/>
      <c r="DZ998"/>
      <c r="EA998"/>
      <c r="EB998"/>
      <c r="EC998"/>
      <c r="ED998"/>
      <c r="EE998"/>
      <c r="EF998"/>
      <c r="EG998"/>
      <c r="EH998"/>
      <c r="EI998"/>
      <c r="EJ998"/>
      <c r="EK998"/>
      <c r="EL998"/>
      <c r="EM998"/>
      <c r="EN998"/>
      <c r="EO998"/>
      <c r="EP998"/>
      <c r="EQ998"/>
      <c r="ER998"/>
      <c r="ES998"/>
    </row>
    <row r="999" spans="1:149">
      <c r="A999"/>
      <c r="B999"/>
      <c r="C999"/>
      <c r="D999"/>
      <c r="E999"/>
      <c r="F999"/>
      <c r="G999"/>
      <c r="H999"/>
      <c r="I999"/>
      <c r="J999"/>
      <c r="K999"/>
      <c r="L999"/>
      <c r="M999"/>
      <c r="N999"/>
      <c r="O999"/>
      <c r="P999"/>
      <c r="Q999"/>
      <c r="R999"/>
      <c r="S999"/>
      <c r="T999"/>
      <c r="U999"/>
      <c r="V999"/>
      <c r="W999"/>
      <c r="X999"/>
      <c r="Y999"/>
      <c r="Z999"/>
      <c r="AA999"/>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c r="BZ999"/>
      <c r="CA999"/>
      <c r="CB999"/>
      <c r="CC999"/>
      <c r="CD999"/>
      <c r="CE999"/>
      <c r="CF999"/>
      <c r="CG999"/>
      <c r="CH999"/>
      <c r="CI999"/>
      <c r="CJ999"/>
      <c r="CK999"/>
      <c r="CL999"/>
      <c r="CM999"/>
      <c r="CN999"/>
      <c r="CO999"/>
      <c r="CP999"/>
      <c r="CQ999"/>
      <c r="CR999"/>
      <c r="CS999"/>
      <c r="CT999"/>
      <c r="CU999"/>
      <c r="CV999"/>
      <c r="CW999"/>
      <c r="CX999"/>
      <c r="CY999"/>
      <c r="CZ999"/>
      <c r="DA999"/>
      <c r="DB999"/>
      <c r="DC999"/>
      <c r="DD999"/>
      <c r="DE999"/>
      <c r="DF999"/>
      <c r="DG999"/>
      <c r="DH999"/>
      <c r="DI999"/>
      <c r="DJ999"/>
      <c r="DK999"/>
      <c r="DL999"/>
      <c r="DM999"/>
      <c r="DN999"/>
      <c r="DO999"/>
      <c r="DP999"/>
      <c r="DQ999"/>
      <c r="DR999"/>
      <c r="DS999"/>
      <c r="DT999"/>
      <c r="DU999"/>
      <c r="DV999"/>
      <c r="DW999"/>
      <c r="DX999"/>
      <c r="DY999"/>
      <c r="DZ999"/>
      <c r="EA999"/>
      <c r="EB999"/>
      <c r="EC999"/>
      <c r="ED999"/>
      <c r="EE999"/>
      <c r="EF999"/>
      <c r="EG999"/>
      <c r="EH999"/>
      <c r="EI999"/>
      <c r="EJ999"/>
      <c r="EK999"/>
      <c r="EL999"/>
      <c r="EM999"/>
      <c r="EN999"/>
      <c r="EO999"/>
      <c r="EP999"/>
      <c r="EQ999"/>
      <c r="ER999"/>
      <c r="ES999"/>
    </row>
    <row r="1000" spans="1:149">
      <c r="A1000"/>
      <c r="B1000"/>
      <c r="C1000"/>
      <c r="D1000"/>
      <c r="E1000"/>
      <c r="F1000"/>
      <c r="G1000"/>
      <c r="H1000"/>
      <c r="I1000"/>
      <c r="J1000"/>
      <c r="K1000"/>
      <c r="L1000"/>
      <c r="M1000"/>
      <c r="N1000"/>
      <c r="O1000"/>
      <c r="P1000"/>
      <c r="Q1000"/>
      <c r="R1000"/>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c r="BZ1000"/>
      <c r="CA1000"/>
      <c r="CB1000"/>
      <c r="CC1000"/>
      <c r="CD1000"/>
      <c r="CE1000"/>
      <c r="CF1000"/>
      <c r="CG1000"/>
      <c r="CH1000"/>
      <c r="CI1000"/>
      <c r="CJ1000"/>
      <c r="CK1000"/>
      <c r="CL1000"/>
      <c r="CM1000"/>
      <c r="CN1000"/>
      <c r="CO1000"/>
      <c r="CP1000"/>
      <c r="CQ1000"/>
      <c r="CR1000"/>
      <c r="CS1000"/>
      <c r="CT1000"/>
      <c r="CU1000"/>
      <c r="CV1000"/>
      <c r="CW1000"/>
      <c r="CX1000"/>
      <c r="CY1000"/>
      <c r="CZ1000"/>
      <c r="DA1000"/>
      <c r="DB1000"/>
      <c r="DC1000"/>
      <c r="DD1000"/>
      <c r="DE1000"/>
      <c r="DF1000"/>
      <c r="DG1000"/>
      <c r="DH1000"/>
      <c r="DI1000"/>
      <c r="DJ1000"/>
      <c r="DK1000"/>
      <c r="DL1000"/>
      <c r="DM1000"/>
      <c r="DN1000"/>
      <c r="DO1000"/>
      <c r="DP1000"/>
      <c r="DQ1000"/>
      <c r="DR1000"/>
      <c r="DS1000"/>
      <c r="DT1000"/>
      <c r="DU1000"/>
      <c r="DV1000"/>
      <c r="DW1000"/>
      <c r="DX1000"/>
      <c r="DY1000"/>
      <c r="DZ1000"/>
      <c r="EA1000"/>
      <c r="EB1000"/>
      <c r="EC1000"/>
      <c r="ED1000"/>
      <c r="EE1000"/>
      <c r="EF1000"/>
      <c r="EG1000"/>
      <c r="EH1000"/>
      <c r="EI1000"/>
      <c r="EJ1000"/>
      <c r="EK1000"/>
      <c r="EL1000"/>
      <c r="EM1000"/>
      <c r="EN1000"/>
      <c r="EO1000"/>
      <c r="EP1000"/>
      <c r="EQ1000"/>
      <c r="ER1000"/>
      <c r="ES1000"/>
    </row>
    <row r="1001" spans="1:149">
      <c r="A1001"/>
      <c r="B1001"/>
      <c r="C1001"/>
      <c r="D1001"/>
      <c r="E1001"/>
      <c r="F1001"/>
      <c r="G1001"/>
      <c r="H1001"/>
      <c r="I1001"/>
      <c r="J1001"/>
      <c r="K1001"/>
      <c r="L1001"/>
      <c r="M1001"/>
      <c r="N1001"/>
      <c r="O1001"/>
      <c r="P1001"/>
      <c r="Q1001"/>
      <c r="R1001"/>
      <c r="S1001"/>
      <c r="T1001"/>
      <c r="U1001"/>
      <c r="V1001"/>
      <c r="W1001"/>
      <c r="X1001"/>
      <c r="Y1001"/>
      <c r="Z1001"/>
      <c r="AA1001"/>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c r="BZ1001"/>
      <c r="CA1001"/>
      <c r="CB1001"/>
      <c r="CC1001"/>
      <c r="CD1001"/>
      <c r="CE1001"/>
      <c r="CF1001"/>
      <c r="CG1001"/>
      <c r="CH1001"/>
      <c r="CI1001"/>
      <c r="CJ1001"/>
      <c r="CK1001"/>
      <c r="CL1001"/>
      <c r="CM1001"/>
      <c r="CN1001"/>
      <c r="CO1001"/>
      <c r="CP1001"/>
      <c r="CQ1001"/>
      <c r="CR1001"/>
      <c r="CS1001"/>
      <c r="CT1001"/>
      <c r="CU1001"/>
      <c r="CV1001"/>
      <c r="CW1001"/>
      <c r="CX1001"/>
      <c r="CY1001"/>
      <c r="CZ1001"/>
      <c r="DA1001"/>
      <c r="DB1001"/>
      <c r="DC1001"/>
      <c r="DD1001"/>
      <c r="DE1001"/>
      <c r="DF1001"/>
      <c r="DG1001"/>
      <c r="DH1001"/>
      <c r="DI1001"/>
      <c r="DJ1001"/>
      <c r="DK1001"/>
      <c r="DL1001"/>
      <c r="DM1001"/>
      <c r="DN1001"/>
      <c r="DO1001"/>
      <c r="DP1001"/>
      <c r="DQ1001"/>
      <c r="DR1001"/>
      <c r="DS1001"/>
      <c r="DT1001"/>
      <c r="DU1001"/>
      <c r="DV1001"/>
      <c r="DW1001"/>
      <c r="DX1001"/>
      <c r="DY1001"/>
      <c r="DZ1001"/>
      <c r="EA1001"/>
      <c r="EB1001"/>
      <c r="EC1001"/>
      <c r="ED1001"/>
      <c r="EE1001"/>
      <c r="EF1001"/>
      <c r="EG1001"/>
      <c r="EH1001"/>
      <c r="EI1001"/>
      <c r="EJ1001"/>
      <c r="EK1001"/>
      <c r="EL1001"/>
      <c r="EM1001"/>
      <c r="EN1001"/>
      <c r="EO1001"/>
      <c r="EP1001"/>
      <c r="EQ1001"/>
      <c r="ER1001"/>
      <c r="ES1001"/>
    </row>
    <row r="1002" spans="1:149">
      <c r="A1002"/>
      <c r="B1002"/>
      <c r="C1002"/>
      <c r="D1002"/>
      <c r="E1002"/>
      <c r="F1002"/>
      <c r="G1002"/>
      <c r="H1002"/>
      <c r="I1002"/>
      <c r="J1002"/>
      <c r="K1002"/>
      <c r="L1002"/>
      <c r="M1002"/>
      <c r="N1002"/>
      <c r="O1002"/>
      <c r="P1002"/>
      <c r="Q1002"/>
      <c r="R1002"/>
      <c r="S1002"/>
      <c r="T1002"/>
      <c r="U1002"/>
      <c r="V1002"/>
      <c r="W1002"/>
      <c r="X1002"/>
      <c r="Y1002"/>
      <c r="Z1002"/>
      <c r="AA1002"/>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c r="BZ1002"/>
      <c r="CA1002"/>
      <c r="CB1002"/>
      <c r="CC1002"/>
      <c r="CD1002"/>
      <c r="CE1002"/>
      <c r="CF1002"/>
      <c r="CG1002"/>
      <c r="CH1002"/>
      <c r="CI1002"/>
      <c r="CJ1002"/>
      <c r="CK1002"/>
      <c r="CL1002"/>
      <c r="CM1002"/>
      <c r="CN1002"/>
      <c r="CO1002"/>
      <c r="CP1002"/>
      <c r="CQ1002"/>
      <c r="CR1002"/>
      <c r="CS1002"/>
      <c r="CT1002"/>
      <c r="CU1002"/>
      <c r="CV1002"/>
      <c r="CW1002"/>
      <c r="CX1002"/>
      <c r="CY1002"/>
      <c r="CZ1002"/>
      <c r="DA1002"/>
      <c r="DB1002"/>
      <c r="DC1002"/>
      <c r="DD1002"/>
      <c r="DE1002"/>
      <c r="DF1002"/>
      <c r="DG1002"/>
      <c r="DH1002"/>
      <c r="DI1002"/>
      <c r="DJ1002"/>
      <c r="DK1002"/>
      <c r="DL1002"/>
      <c r="DM1002"/>
      <c r="DN1002"/>
      <c r="DO1002"/>
      <c r="DP1002"/>
      <c r="DQ1002"/>
      <c r="DR1002"/>
      <c r="DS1002"/>
      <c r="DT1002"/>
      <c r="DU1002"/>
      <c r="DV1002"/>
      <c r="DW1002"/>
      <c r="DX1002"/>
      <c r="DY1002"/>
      <c r="DZ1002"/>
      <c r="EA1002"/>
      <c r="EB1002"/>
      <c r="EC1002"/>
      <c r="ED1002"/>
      <c r="EE1002"/>
      <c r="EF1002"/>
      <c r="EG1002"/>
      <c r="EH1002"/>
      <c r="EI1002"/>
      <c r="EJ1002"/>
      <c r="EK1002"/>
      <c r="EL1002"/>
      <c r="EM1002"/>
      <c r="EN1002"/>
      <c r="EO1002"/>
      <c r="EP1002"/>
      <c r="EQ1002"/>
      <c r="ER1002"/>
      <c r="ES1002"/>
    </row>
    <row r="1003" spans="1:149">
      <c r="A1003"/>
      <c r="B1003"/>
      <c r="C1003"/>
      <c r="D1003"/>
      <c r="E1003"/>
      <c r="F1003"/>
      <c r="G1003"/>
      <c r="H1003"/>
      <c r="I1003"/>
      <c r="J1003"/>
      <c r="K1003"/>
      <c r="L1003"/>
      <c r="M1003"/>
      <c r="N1003"/>
      <c r="O1003"/>
      <c r="P1003"/>
      <c r="Q1003"/>
      <c r="R1003"/>
      <c r="S1003"/>
      <c r="T1003"/>
      <c r="U1003"/>
      <c r="V1003"/>
      <c r="W1003"/>
      <c r="X1003"/>
      <c r="Y1003"/>
      <c r="Z1003"/>
      <c r="AA1003"/>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c r="BZ1003"/>
      <c r="CA1003"/>
      <c r="CB1003"/>
      <c r="CC1003"/>
      <c r="CD1003"/>
      <c r="CE1003"/>
      <c r="CF1003"/>
      <c r="CG1003"/>
      <c r="CH1003"/>
      <c r="CI1003"/>
      <c r="CJ1003"/>
      <c r="CK1003"/>
      <c r="CL1003"/>
      <c r="CM1003"/>
      <c r="CN1003"/>
      <c r="CO1003"/>
      <c r="CP1003"/>
      <c r="CQ1003"/>
      <c r="CR1003"/>
      <c r="CS1003"/>
      <c r="CT1003"/>
      <c r="CU1003"/>
      <c r="CV1003"/>
      <c r="CW1003"/>
      <c r="CX1003"/>
      <c r="CY1003"/>
      <c r="CZ1003"/>
      <c r="DA1003"/>
      <c r="DB1003"/>
      <c r="DC1003"/>
      <c r="DD1003"/>
      <c r="DE1003"/>
      <c r="DF1003"/>
      <c r="DG1003"/>
      <c r="DH1003"/>
      <c r="DI1003"/>
      <c r="DJ1003"/>
      <c r="DK1003"/>
      <c r="DL1003"/>
      <c r="DM1003"/>
      <c r="DN1003"/>
      <c r="DO1003"/>
      <c r="DP1003"/>
      <c r="DQ1003"/>
      <c r="DR1003"/>
      <c r="DS1003"/>
      <c r="DT1003"/>
      <c r="DU1003"/>
      <c r="DV1003"/>
      <c r="DW1003"/>
      <c r="DX1003"/>
      <c r="DY1003"/>
      <c r="DZ1003"/>
      <c r="EA1003"/>
      <c r="EB1003"/>
      <c r="EC1003"/>
      <c r="ED1003"/>
      <c r="EE1003"/>
      <c r="EF1003"/>
      <c r="EG1003"/>
      <c r="EH1003"/>
      <c r="EI1003"/>
      <c r="EJ1003"/>
      <c r="EK1003"/>
      <c r="EL1003"/>
      <c r="EM1003"/>
      <c r="EN1003"/>
      <c r="EO1003"/>
      <c r="EP1003"/>
      <c r="EQ1003"/>
      <c r="ER1003"/>
      <c r="ES1003"/>
    </row>
    <row r="1004" spans="1:149">
      <c r="A1004"/>
      <c r="B1004"/>
      <c r="C1004"/>
      <c r="D1004"/>
      <c r="E1004"/>
      <c r="F1004"/>
      <c r="G1004"/>
      <c r="H1004"/>
      <c r="I1004"/>
      <c r="J1004"/>
      <c r="K1004"/>
      <c r="L1004"/>
      <c r="M1004"/>
      <c r="N1004"/>
      <c r="O1004"/>
      <c r="P1004"/>
      <c r="Q1004"/>
      <c r="R1004"/>
      <c r="S1004"/>
      <c r="T1004"/>
      <c r="U1004"/>
      <c r="V1004"/>
      <c r="W1004"/>
      <c r="X1004"/>
      <c r="Y1004"/>
      <c r="Z1004"/>
      <c r="AA1004"/>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c r="BS1004"/>
      <c r="BT1004"/>
      <c r="BU1004"/>
      <c r="BV1004"/>
      <c r="BW1004"/>
      <c r="BX1004"/>
      <c r="BY1004"/>
      <c r="BZ1004"/>
      <c r="CA1004"/>
      <c r="CB1004"/>
      <c r="CC1004"/>
      <c r="CD1004"/>
      <c r="CE1004"/>
      <c r="CF1004"/>
      <c r="CG1004"/>
      <c r="CH1004"/>
      <c r="CI1004"/>
      <c r="CJ1004"/>
      <c r="CK1004"/>
      <c r="CL1004"/>
      <c r="CM1004"/>
      <c r="CN1004"/>
      <c r="CO1004"/>
      <c r="CP1004"/>
      <c r="CQ1004"/>
      <c r="CR1004"/>
      <c r="CS1004"/>
      <c r="CT1004"/>
      <c r="CU1004"/>
      <c r="CV1004"/>
      <c r="CW1004"/>
      <c r="CX1004"/>
      <c r="CY1004"/>
      <c r="CZ1004"/>
      <c r="DA1004"/>
      <c r="DB1004"/>
      <c r="DC1004"/>
      <c r="DD1004"/>
      <c r="DE1004"/>
      <c r="DF1004"/>
      <c r="DG1004"/>
      <c r="DH1004"/>
      <c r="DI1004"/>
      <c r="DJ1004"/>
      <c r="DK1004"/>
      <c r="DL1004"/>
      <c r="DM1004"/>
      <c r="DN1004"/>
      <c r="DO1004"/>
      <c r="DP1004"/>
      <c r="DQ1004"/>
      <c r="DR1004"/>
      <c r="DS1004"/>
      <c r="DT1004"/>
      <c r="DU1004"/>
      <c r="DV1004"/>
      <c r="DW1004"/>
      <c r="DX1004"/>
      <c r="DY1004"/>
      <c r="DZ1004"/>
      <c r="EA1004"/>
      <c r="EB1004"/>
      <c r="EC1004"/>
      <c r="ED1004"/>
      <c r="EE1004"/>
      <c r="EF1004"/>
      <c r="EG1004"/>
      <c r="EH1004"/>
      <c r="EI1004"/>
      <c r="EJ1004"/>
      <c r="EK1004"/>
      <c r="EL1004"/>
      <c r="EM1004"/>
      <c r="EN1004"/>
      <c r="EO1004"/>
      <c r="EP1004"/>
      <c r="EQ1004"/>
      <c r="ER1004"/>
      <c r="ES1004"/>
    </row>
    <row r="1005" spans="1:149">
      <c r="A1005"/>
      <c r="B1005"/>
      <c r="C1005"/>
      <c r="D1005"/>
      <c r="E1005"/>
      <c r="F1005"/>
      <c r="G1005"/>
      <c r="H1005"/>
      <c r="I1005"/>
      <c r="J1005"/>
      <c r="K1005"/>
      <c r="L1005"/>
      <c r="M1005"/>
      <c r="N1005"/>
      <c r="O1005"/>
      <c r="P1005"/>
      <c r="Q1005"/>
      <c r="R1005"/>
      <c r="S1005"/>
      <c r="T1005"/>
      <c r="U1005"/>
      <c r="V1005"/>
      <c r="W1005"/>
      <c r="X1005"/>
      <c r="Y1005"/>
      <c r="Z1005"/>
      <c r="AA100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c r="BZ1005"/>
      <c r="CA1005"/>
      <c r="CB1005"/>
      <c r="CC1005"/>
      <c r="CD1005"/>
      <c r="CE1005"/>
      <c r="CF1005"/>
      <c r="CG1005"/>
      <c r="CH1005"/>
      <c r="CI1005"/>
      <c r="CJ1005"/>
      <c r="CK1005"/>
      <c r="CL1005"/>
      <c r="CM1005"/>
      <c r="CN1005"/>
      <c r="CO1005"/>
      <c r="CP1005"/>
      <c r="CQ1005"/>
      <c r="CR1005"/>
      <c r="CS1005"/>
      <c r="CT1005"/>
      <c r="CU1005"/>
      <c r="CV1005"/>
      <c r="CW1005"/>
      <c r="CX1005"/>
      <c r="CY1005"/>
      <c r="CZ1005"/>
      <c r="DA1005"/>
      <c r="DB1005"/>
      <c r="DC1005"/>
      <c r="DD1005"/>
      <c r="DE1005"/>
      <c r="DF1005"/>
      <c r="DG1005"/>
      <c r="DH1005"/>
      <c r="DI1005"/>
      <c r="DJ1005"/>
      <c r="DK1005"/>
      <c r="DL1005"/>
      <c r="DM1005"/>
      <c r="DN1005"/>
      <c r="DO1005"/>
      <c r="DP1005"/>
      <c r="DQ1005"/>
      <c r="DR1005"/>
      <c r="DS1005"/>
      <c r="DT1005"/>
      <c r="DU1005"/>
      <c r="DV1005"/>
      <c r="DW1005"/>
      <c r="DX1005"/>
      <c r="DY1005"/>
      <c r="DZ1005"/>
      <c r="EA1005"/>
      <c r="EB1005"/>
      <c r="EC1005"/>
      <c r="ED1005"/>
      <c r="EE1005"/>
      <c r="EF1005"/>
      <c r="EG1005"/>
      <c r="EH1005"/>
      <c r="EI1005"/>
      <c r="EJ1005"/>
      <c r="EK1005"/>
      <c r="EL1005"/>
      <c r="EM1005"/>
      <c r="EN1005"/>
      <c r="EO1005"/>
      <c r="EP1005"/>
      <c r="EQ1005"/>
      <c r="ER1005"/>
      <c r="ES1005"/>
    </row>
    <row r="1006" spans="1:149">
      <c r="A1006"/>
      <c r="B1006"/>
      <c r="C1006"/>
      <c r="D1006"/>
      <c r="E1006"/>
      <c r="F1006"/>
      <c r="G1006"/>
      <c r="H1006"/>
      <c r="I1006"/>
      <c r="J1006"/>
      <c r="K1006"/>
      <c r="L1006"/>
      <c r="M1006"/>
      <c r="N1006"/>
      <c r="O1006"/>
      <c r="P1006"/>
      <c r="Q1006"/>
      <c r="R1006"/>
      <c r="S1006"/>
      <c r="T1006"/>
      <c r="U1006"/>
      <c r="V1006"/>
      <c r="W1006"/>
      <c r="X1006"/>
      <c r="Y1006"/>
      <c r="Z1006"/>
      <c r="AA1006"/>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c r="BZ1006"/>
      <c r="CA1006"/>
      <c r="CB1006"/>
      <c r="CC1006"/>
      <c r="CD1006"/>
      <c r="CE1006"/>
      <c r="CF1006"/>
      <c r="CG1006"/>
      <c r="CH1006"/>
      <c r="CI1006"/>
      <c r="CJ1006"/>
      <c r="CK1006"/>
      <c r="CL1006"/>
      <c r="CM1006"/>
      <c r="CN1006"/>
      <c r="CO1006"/>
      <c r="CP1006"/>
      <c r="CQ1006"/>
      <c r="CR1006"/>
      <c r="CS1006"/>
      <c r="CT1006"/>
      <c r="CU1006"/>
      <c r="CV1006"/>
      <c r="CW1006"/>
      <c r="CX1006"/>
      <c r="CY1006"/>
      <c r="CZ1006"/>
      <c r="DA1006"/>
      <c r="DB1006"/>
      <c r="DC1006"/>
      <c r="DD1006"/>
      <c r="DE1006"/>
      <c r="DF1006"/>
      <c r="DG1006"/>
      <c r="DH1006"/>
      <c r="DI1006"/>
      <c r="DJ1006"/>
      <c r="DK1006"/>
      <c r="DL1006"/>
      <c r="DM1006"/>
      <c r="DN1006"/>
      <c r="DO1006"/>
      <c r="DP1006"/>
      <c r="DQ1006"/>
      <c r="DR1006"/>
      <c r="DS1006"/>
      <c r="DT1006"/>
      <c r="DU1006"/>
      <c r="DV1006"/>
      <c r="DW1006"/>
      <c r="DX1006"/>
      <c r="DY1006"/>
      <c r="DZ1006"/>
      <c r="EA1006"/>
      <c r="EB1006"/>
      <c r="EC1006"/>
      <c r="ED1006"/>
      <c r="EE1006"/>
      <c r="EF1006"/>
      <c r="EG1006"/>
      <c r="EH1006"/>
      <c r="EI1006"/>
      <c r="EJ1006"/>
      <c r="EK1006"/>
      <c r="EL1006"/>
      <c r="EM1006"/>
      <c r="EN1006"/>
      <c r="EO1006"/>
      <c r="EP1006"/>
      <c r="EQ1006"/>
      <c r="ER1006"/>
      <c r="ES1006"/>
    </row>
    <row r="1007" spans="1:149">
      <c r="A1007"/>
      <c r="B1007"/>
      <c r="C1007"/>
      <c r="D1007"/>
      <c r="E1007"/>
      <c r="F1007"/>
      <c r="G1007"/>
      <c r="H1007"/>
      <c r="I1007"/>
      <c r="J1007"/>
      <c r="K1007"/>
      <c r="L1007"/>
      <c r="M1007"/>
      <c r="N1007"/>
      <c r="O1007"/>
      <c r="P1007"/>
      <c r="Q1007"/>
      <c r="R1007"/>
      <c r="S1007"/>
      <c r="T1007"/>
      <c r="U1007"/>
      <c r="V1007"/>
      <c r="W1007"/>
      <c r="X1007"/>
      <c r="Y1007"/>
      <c r="Z1007"/>
      <c r="AA1007"/>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c r="BZ1007"/>
      <c r="CA1007"/>
      <c r="CB1007"/>
      <c r="CC1007"/>
      <c r="CD1007"/>
      <c r="CE1007"/>
      <c r="CF1007"/>
      <c r="CG1007"/>
      <c r="CH1007"/>
      <c r="CI1007"/>
      <c r="CJ1007"/>
      <c r="CK1007"/>
      <c r="CL1007"/>
      <c r="CM1007"/>
      <c r="CN1007"/>
      <c r="CO1007"/>
      <c r="CP1007"/>
      <c r="CQ1007"/>
      <c r="CR1007"/>
      <c r="CS1007"/>
      <c r="CT1007"/>
      <c r="CU1007"/>
      <c r="CV1007"/>
      <c r="CW1007"/>
      <c r="CX1007"/>
      <c r="CY1007"/>
      <c r="CZ1007"/>
      <c r="DA1007"/>
      <c r="DB1007"/>
      <c r="DC1007"/>
      <c r="DD1007"/>
      <c r="DE1007"/>
      <c r="DF1007"/>
      <c r="DG1007"/>
      <c r="DH1007"/>
      <c r="DI1007"/>
      <c r="DJ1007"/>
      <c r="DK1007"/>
      <c r="DL1007"/>
      <c r="DM1007"/>
      <c r="DN1007"/>
      <c r="DO1007"/>
      <c r="DP1007"/>
      <c r="DQ1007"/>
      <c r="DR1007"/>
      <c r="DS1007"/>
      <c r="DT1007"/>
      <c r="DU1007"/>
      <c r="DV1007"/>
      <c r="DW1007"/>
      <c r="DX1007"/>
      <c r="DY1007"/>
      <c r="DZ1007"/>
      <c r="EA1007"/>
      <c r="EB1007"/>
      <c r="EC1007"/>
      <c r="ED1007"/>
      <c r="EE1007"/>
      <c r="EF1007"/>
      <c r="EG1007"/>
      <c r="EH1007"/>
      <c r="EI1007"/>
      <c r="EJ1007"/>
      <c r="EK1007"/>
      <c r="EL1007"/>
      <c r="EM1007"/>
      <c r="EN1007"/>
      <c r="EO1007"/>
      <c r="EP1007"/>
      <c r="EQ1007"/>
      <c r="ER1007"/>
      <c r="ES1007"/>
    </row>
    <row r="1008" spans="1:149">
      <c r="A1008"/>
      <c r="B1008"/>
      <c r="C1008"/>
      <c r="D1008"/>
      <c r="E1008"/>
      <c r="F1008"/>
      <c r="G1008"/>
      <c r="H1008"/>
      <c r="I1008"/>
      <c r="J1008"/>
      <c r="K1008"/>
      <c r="L1008"/>
      <c r="M1008"/>
      <c r="N1008"/>
      <c r="O1008"/>
      <c r="P1008"/>
      <c r="Q1008"/>
      <c r="R1008"/>
      <c r="S1008"/>
      <c r="T1008"/>
      <c r="U1008"/>
      <c r="V1008"/>
      <c r="W1008"/>
      <c r="X1008"/>
      <c r="Y1008"/>
      <c r="Z1008"/>
      <c r="AA1008"/>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c r="BZ1008"/>
      <c r="CA1008"/>
      <c r="CB1008"/>
      <c r="CC1008"/>
      <c r="CD1008"/>
      <c r="CE1008"/>
      <c r="CF1008"/>
      <c r="CG1008"/>
      <c r="CH1008"/>
      <c r="CI1008"/>
      <c r="CJ1008"/>
      <c r="CK1008"/>
      <c r="CL1008"/>
      <c r="CM1008"/>
      <c r="CN1008"/>
      <c r="CO1008"/>
      <c r="CP1008"/>
      <c r="CQ1008"/>
      <c r="CR1008"/>
      <c r="CS1008"/>
      <c r="CT1008"/>
      <c r="CU1008"/>
      <c r="CV1008"/>
      <c r="CW1008"/>
      <c r="CX1008"/>
      <c r="CY1008"/>
      <c r="CZ1008"/>
      <c r="DA1008"/>
      <c r="DB1008"/>
      <c r="DC1008"/>
      <c r="DD1008"/>
      <c r="DE1008"/>
      <c r="DF1008"/>
      <c r="DG1008"/>
      <c r="DH1008"/>
      <c r="DI1008"/>
      <c r="DJ1008"/>
      <c r="DK1008"/>
      <c r="DL1008"/>
      <c r="DM1008"/>
      <c r="DN1008"/>
      <c r="DO1008"/>
      <c r="DP1008"/>
      <c r="DQ1008"/>
      <c r="DR1008"/>
      <c r="DS1008"/>
      <c r="DT1008"/>
      <c r="DU1008"/>
      <c r="DV1008"/>
      <c r="DW1008"/>
      <c r="DX1008"/>
      <c r="DY1008"/>
      <c r="DZ1008"/>
      <c r="EA1008"/>
      <c r="EB1008"/>
      <c r="EC1008"/>
      <c r="ED1008"/>
      <c r="EE1008"/>
      <c r="EF1008"/>
      <c r="EG1008"/>
      <c r="EH1008"/>
      <c r="EI1008"/>
      <c r="EJ1008"/>
      <c r="EK1008"/>
      <c r="EL1008"/>
      <c r="EM1008"/>
      <c r="EN1008"/>
      <c r="EO1008"/>
      <c r="EP1008"/>
      <c r="EQ1008"/>
      <c r="ER1008"/>
      <c r="ES1008"/>
    </row>
    <row r="1009" spans="1:149">
      <c r="A1009"/>
      <c r="B1009"/>
      <c r="C1009"/>
      <c r="D1009"/>
      <c r="E1009"/>
      <c r="F1009"/>
      <c r="G1009"/>
      <c r="H1009"/>
      <c r="I1009"/>
      <c r="J1009"/>
      <c r="K1009"/>
      <c r="L1009"/>
      <c r="M1009"/>
      <c r="N1009"/>
      <c r="O1009"/>
      <c r="P1009"/>
      <c r="Q1009"/>
      <c r="R1009"/>
      <c r="S1009"/>
      <c r="T1009"/>
      <c r="U1009"/>
      <c r="V1009"/>
      <c r="W1009"/>
      <c r="X1009"/>
      <c r="Y1009"/>
      <c r="Z1009"/>
      <c r="AA1009"/>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c r="BZ1009"/>
      <c r="CA1009"/>
      <c r="CB1009"/>
      <c r="CC1009"/>
      <c r="CD1009"/>
      <c r="CE1009"/>
      <c r="CF1009"/>
      <c r="CG1009"/>
      <c r="CH1009"/>
      <c r="CI1009"/>
      <c r="CJ1009"/>
      <c r="CK1009"/>
      <c r="CL1009"/>
      <c r="CM1009"/>
      <c r="CN1009"/>
      <c r="CO1009"/>
      <c r="CP1009"/>
      <c r="CQ1009"/>
      <c r="CR1009"/>
      <c r="CS1009"/>
      <c r="CT1009"/>
      <c r="CU1009"/>
      <c r="CV1009"/>
      <c r="CW1009"/>
      <c r="CX1009"/>
      <c r="CY1009"/>
      <c r="CZ1009"/>
      <c r="DA1009"/>
      <c r="DB1009"/>
      <c r="DC1009"/>
      <c r="DD1009"/>
      <c r="DE1009"/>
      <c r="DF1009"/>
      <c r="DG1009"/>
      <c r="DH1009"/>
      <c r="DI1009"/>
      <c r="DJ1009"/>
      <c r="DK1009"/>
      <c r="DL1009"/>
      <c r="DM1009"/>
      <c r="DN1009"/>
      <c r="DO1009"/>
      <c r="DP1009"/>
      <c r="DQ1009"/>
      <c r="DR1009"/>
      <c r="DS1009"/>
      <c r="DT1009"/>
      <c r="DU1009"/>
      <c r="DV1009"/>
      <c r="DW1009"/>
      <c r="DX1009"/>
      <c r="DY1009"/>
      <c r="DZ1009"/>
      <c r="EA1009"/>
      <c r="EB1009"/>
      <c r="EC1009"/>
      <c r="ED1009"/>
      <c r="EE1009"/>
      <c r="EF1009"/>
      <c r="EG1009"/>
      <c r="EH1009"/>
      <c r="EI1009"/>
      <c r="EJ1009"/>
      <c r="EK1009"/>
      <c r="EL1009"/>
      <c r="EM1009"/>
      <c r="EN1009"/>
      <c r="EO1009"/>
      <c r="EP1009"/>
      <c r="EQ1009"/>
      <c r="ER1009"/>
      <c r="ES1009"/>
    </row>
    <row r="1010" spans="1:149">
      <c r="A1010"/>
      <c r="B1010"/>
      <c r="C1010"/>
      <c r="D1010"/>
      <c r="E1010"/>
      <c r="F1010"/>
      <c r="G1010"/>
      <c r="H1010"/>
      <c r="I1010"/>
      <c r="J1010"/>
      <c r="K1010"/>
      <c r="L1010"/>
      <c r="M1010"/>
      <c r="N1010"/>
      <c r="O1010"/>
      <c r="P1010"/>
      <c r="Q1010"/>
      <c r="R1010"/>
      <c r="S1010"/>
      <c r="T1010"/>
      <c r="U1010"/>
      <c r="V1010"/>
      <c r="W1010"/>
      <c r="X1010"/>
      <c r="Y1010"/>
      <c r="Z1010"/>
      <c r="AA1010"/>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c r="BZ1010"/>
      <c r="CA1010"/>
      <c r="CB1010"/>
      <c r="CC1010"/>
      <c r="CD1010"/>
      <c r="CE1010"/>
      <c r="CF1010"/>
      <c r="CG1010"/>
      <c r="CH1010"/>
      <c r="CI1010"/>
      <c r="CJ1010"/>
      <c r="CK1010"/>
      <c r="CL1010"/>
      <c r="CM1010"/>
      <c r="CN1010"/>
      <c r="CO1010"/>
      <c r="CP1010"/>
      <c r="CQ1010"/>
      <c r="CR1010"/>
      <c r="CS1010"/>
      <c r="CT1010"/>
      <c r="CU1010"/>
      <c r="CV1010"/>
      <c r="CW1010"/>
      <c r="CX1010"/>
      <c r="CY1010"/>
      <c r="CZ1010"/>
      <c r="DA1010"/>
      <c r="DB1010"/>
      <c r="DC1010"/>
      <c r="DD1010"/>
      <c r="DE1010"/>
      <c r="DF1010"/>
      <c r="DG1010"/>
      <c r="DH1010"/>
      <c r="DI1010"/>
      <c r="DJ1010"/>
      <c r="DK1010"/>
      <c r="DL1010"/>
      <c r="DM1010"/>
      <c r="DN1010"/>
      <c r="DO1010"/>
      <c r="DP1010"/>
      <c r="DQ1010"/>
      <c r="DR1010"/>
      <c r="DS1010"/>
      <c r="DT1010"/>
      <c r="DU1010"/>
      <c r="DV1010"/>
      <c r="DW1010"/>
      <c r="DX1010"/>
      <c r="DY1010"/>
      <c r="DZ1010"/>
      <c r="EA1010"/>
      <c r="EB1010"/>
      <c r="EC1010"/>
      <c r="ED1010"/>
      <c r="EE1010"/>
      <c r="EF1010"/>
      <c r="EG1010"/>
      <c r="EH1010"/>
      <c r="EI1010"/>
      <c r="EJ1010"/>
      <c r="EK1010"/>
      <c r="EL1010"/>
      <c r="EM1010"/>
      <c r="EN1010"/>
      <c r="EO1010"/>
      <c r="EP1010"/>
      <c r="EQ1010"/>
      <c r="ER1010"/>
      <c r="ES1010"/>
    </row>
    <row r="1011" spans="1:149">
      <c r="A1011"/>
      <c r="B1011"/>
      <c r="C1011"/>
      <c r="D1011"/>
      <c r="E1011"/>
      <c r="F1011"/>
      <c r="G1011"/>
      <c r="H1011"/>
      <c r="I1011"/>
      <c r="J1011"/>
      <c r="K1011"/>
      <c r="L1011"/>
      <c r="M1011"/>
      <c r="N1011"/>
      <c r="O1011"/>
      <c r="P1011"/>
      <c r="Q1011"/>
      <c r="R1011"/>
      <c r="S1011"/>
      <c r="T1011"/>
      <c r="U1011"/>
      <c r="V1011"/>
      <c r="W1011"/>
      <c r="X1011"/>
      <c r="Y1011"/>
      <c r="Z1011"/>
      <c r="AA1011"/>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c r="BZ1011"/>
      <c r="CA1011"/>
      <c r="CB1011"/>
      <c r="CC1011"/>
      <c r="CD1011"/>
      <c r="CE1011"/>
      <c r="CF1011"/>
      <c r="CG1011"/>
      <c r="CH1011"/>
      <c r="CI1011"/>
      <c r="CJ1011"/>
      <c r="CK1011"/>
      <c r="CL1011"/>
      <c r="CM1011"/>
      <c r="CN1011"/>
      <c r="CO1011"/>
      <c r="CP1011"/>
      <c r="CQ1011"/>
      <c r="CR1011"/>
      <c r="CS1011"/>
      <c r="CT1011"/>
      <c r="CU1011"/>
      <c r="CV1011"/>
      <c r="CW1011"/>
      <c r="CX1011"/>
      <c r="CY1011"/>
      <c r="CZ1011"/>
      <c r="DA1011"/>
      <c r="DB1011"/>
      <c r="DC1011"/>
      <c r="DD1011"/>
      <c r="DE1011"/>
      <c r="DF1011"/>
      <c r="DG1011"/>
      <c r="DH1011"/>
      <c r="DI1011"/>
      <c r="DJ1011"/>
      <c r="DK1011"/>
      <c r="DL1011"/>
      <c r="DM1011"/>
      <c r="DN1011"/>
      <c r="DO1011"/>
      <c r="DP1011"/>
      <c r="DQ1011"/>
      <c r="DR1011"/>
      <c r="DS1011"/>
      <c r="DT1011"/>
      <c r="DU1011"/>
      <c r="DV1011"/>
      <c r="DW1011"/>
      <c r="DX1011"/>
      <c r="DY1011"/>
      <c r="DZ1011"/>
      <c r="EA1011"/>
      <c r="EB1011"/>
      <c r="EC1011"/>
      <c r="ED1011"/>
      <c r="EE1011"/>
      <c r="EF1011"/>
      <c r="EG1011"/>
      <c r="EH1011"/>
      <c r="EI1011"/>
      <c r="EJ1011"/>
      <c r="EK1011"/>
      <c r="EL1011"/>
      <c r="EM1011"/>
      <c r="EN1011"/>
      <c r="EO1011"/>
      <c r="EP1011"/>
      <c r="EQ1011"/>
      <c r="ER1011"/>
      <c r="ES1011"/>
    </row>
    <row r="1012" spans="1:149">
      <c r="A1012"/>
      <c r="B1012"/>
      <c r="C1012"/>
      <c r="D1012"/>
      <c r="E1012"/>
      <c r="F1012"/>
      <c r="G1012"/>
      <c r="H1012"/>
      <c r="I1012"/>
      <c r="J1012"/>
      <c r="K1012"/>
      <c r="L1012"/>
      <c r="M1012"/>
      <c r="N1012"/>
      <c r="O1012"/>
      <c r="P1012"/>
      <c r="Q1012"/>
      <c r="R1012"/>
      <c r="S1012"/>
      <c r="T1012"/>
      <c r="U1012"/>
      <c r="V1012"/>
      <c r="W1012"/>
      <c r="X1012"/>
      <c r="Y1012"/>
      <c r="Z1012"/>
      <c r="AA1012"/>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c r="BZ1012"/>
      <c r="CA1012"/>
      <c r="CB1012"/>
      <c r="CC1012"/>
      <c r="CD1012"/>
      <c r="CE1012"/>
      <c r="CF1012"/>
      <c r="CG1012"/>
      <c r="CH1012"/>
      <c r="CI1012"/>
      <c r="CJ1012"/>
      <c r="CK1012"/>
      <c r="CL1012"/>
      <c r="CM1012"/>
      <c r="CN1012"/>
      <c r="CO1012"/>
      <c r="CP1012"/>
      <c r="CQ1012"/>
      <c r="CR1012"/>
      <c r="CS1012"/>
      <c r="CT1012"/>
      <c r="CU1012"/>
      <c r="CV1012"/>
      <c r="CW1012"/>
      <c r="CX1012"/>
      <c r="CY1012"/>
      <c r="CZ1012"/>
      <c r="DA1012"/>
      <c r="DB1012"/>
      <c r="DC1012"/>
      <c r="DD1012"/>
      <c r="DE1012"/>
      <c r="DF1012"/>
      <c r="DG1012"/>
      <c r="DH1012"/>
      <c r="DI1012"/>
      <c r="DJ1012"/>
      <c r="DK1012"/>
      <c r="DL1012"/>
      <c r="DM1012"/>
      <c r="DN1012"/>
      <c r="DO1012"/>
      <c r="DP1012"/>
      <c r="DQ1012"/>
      <c r="DR1012"/>
      <c r="DS1012"/>
      <c r="DT1012"/>
      <c r="DU1012"/>
      <c r="DV1012"/>
      <c r="DW1012"/>
      <c r="DX1012"/>
      <c r="DY1012"/>
      <c r="DZ1012"/>
      <c r="EA1012"/>
      <c r="EB1012"/>
      <c r="EC1012"/>
      <c r="ED1012"/>
      <c r="EE1012"/>
      <c r="EF1012"/>
      <c r="EG1012"/>
      <c r="EH1012"/>
      <c r="EI1012"/>
      <c r="EJ1012"/>
      <c r="EK1012"/>
      <c r="EL1012"/>
      <c r="EM1012"/>
      <c r="EN1012"/>
      <c r="EO1012"/>
      <c r="EP1012"/>
      <c r="EQ1012"/>
      <c r="ER1012"/>
      <c r="ES1012"/>
    </row>
    <row r="1013" spans="1:149">
      <c r="A1013"/>
      <c r="B1013"/>
      <c r="C1013"/>
      <c r="D1013"/>
      <c r="E1013"/>
      <c r="F1013"/>
      <c r="G1013"/>
      <c r="H1013"/>
      <c r="I1013"/>
      <c r="J1013"/>
      <c r="K1013"/>
      <c r="L1013"/>
      <c r="M1013"/>
      <c r="N1013"/>
      <c r="O1013"/>
      <c r="P1013"/>
      <c r="Q1013"/>
      <c r="R1013"/>
      <c r="S1013"/>
      <c r="T1013"/>
      <c r="U1013"/>
      <c r="V1013"/>
      <c r="W1013"/>
      <c r="X1013"/>
      <c r="Y1013"/>
      <c r="Z1013"/>
      <c r="AA1013"/>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c r="BZ1013"/>
      <c r="CA1013"/>
      <c r="CB1013"/>
      <c r="CC1013"/>
      <c r="CD1013"/>
      <c r="CE1013"/>
      <c r="CF1013"/>
      <c r="CG1013"/>
      <c r="CH1013"/>
      <c r="CI1013"/>
      <c r="CJ1013"/>
      <c r="CK1013"/>
      <c r="CL1013"/>
      <c r="CM1013"/>
      <c r="CN1013"/>
      <c r="CO1013"/>
      <c r="CP1013"/>
      <c r="CQ1013"/>
      <c r="CR1013"/>
      <c r="CS1013"/>
      <c r="CT1013"/>
      <c r="CU1013"/>
      <c r="CV1013"/>
      <c r="CW1013"/>
      <c r="CX1013"/>
      <c r="CY1013"/>
      <c r="CZ1013"/>
      <c r="DA1013"/>
      <c r="DB1013"/>
      <c r="DC1013"/>
      <c r="DD1013"/>
      <c r="DE1013"/>
      <c r="DF1013"/>
      <c r="DG1013"/>
      <c r="DH1013"/>
      <c r="DI1013"/>
      <c r="DJ1013"/>
      <c r="DK1013"/>
      <c r="DL1013"/>
      <c r="DM1013"/>
      <c r="DN1013"/>
      <c r="DO1013"/>
      <c r="DP1013"/>
      <c r="DQ1013"/>
      <c r="DR1013"/>
      <c r="DS1013"/>
      <c r="DT1013"/>
      <c r="DU1013"/>
      <c r="DV1013"/>
      <c r="DW1013"/>
      <c r="DX1013"/>
      <c r="DY1013"/>
      <c r="DZ1013"/>
      <c r="EA1013"/>
      <c r="EB1013"/>
      <c r="EC1013"/>
      <c r="ED1013"/>
      <c r="EE1013"/>
      <c r="EF1013"/>
      <c r="EG1013"/>
      <c r="EH1013"/>
      <c r="EI1013"/>
      <c r="EJ1013"/>
      <c r="EK1013"/>
      <c r="EL1013"/>
      <c r="EM1013"/>
      <c r="EN1013"/>
      <c r="EO1013"/>
      <c r="EP1013"/>
      <c r="EQ1013"/>
      <c r="ER1013"/>
      <c r="ES1013"/>
    </row>
    <row r="1014" spans="1:149">
      <c r="A1014"/>
      <c r="B1014"/>
      <c r="C1014"/>
      <c r="D1014"/>
      <c r="E1014"/>
      <c r="F1014"/>
      <c r="G1014"/>
      <c r="H1014"/>
      <c r="I1014"/>
      <c r="J1014"/>
      <c r="K1014"/>
      <c r="L1014"/>
      <c r="M1014"/>
      <c r="N1014"/>
      <c r="O1014"/>
      <c r="P1014"/>
      <c r="Q1014"/>
      <c r="R1014"/>
      <c r="S1014"/>
      <c r="T1014"/>
      <c r="U1014"/>
      <c r="V1014"/>
      <c r="W1014"/>
      <c r="X1014"/>
      <c r="Y1014"/>
      <c r="Z1014"/>
      <c r="AA1014"/>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c r="BZ1014"/>
      <c r="CA1014"/>
      <c r="CB1014"/>
      <c r="CC1014"/>
      <c r="CD1014"/>
      <c r="CE1014"/>
      <c r="CF1014"/>
      <c r="CG1014"/>
      <c r="CH1014"/>
      <c r="CI1014"/>
      <c r="CJ1014"/>
      <c r="CK1014"/>
      <c r="CL1014"/>
      <c r="CM1014"/>
      <c r="CN1014"/>
      <c r="CO1014"/>
      <c r="CP1014"/>
      <c r="CQ1014"/>
      <c r="CR1014"/>
      <c r="CS1014"/>
      <c r="CT1014"/>
      <c r="CU1014"/>
      <c r="CV1014"/>
      <c r="CW1014"/>
      <c r="CX1014"/>
      <c r="CY1014"/>
      <c r="CZ1014"/>
      <c r="DA1014"/>
      <c r="DB1014"/>
      <c r="DC1014"/>
      <c r="DD1014"/>
      <c r="DE1014"/>
      <c r="DF1014"/>
      <c r="DG1014"/>
      <c r="DH1014"/>
      <c r="DI1014"/>
      <c r="DJ1014"/>
      <c r="DK1014"/>
      <c r="DL1014"/>
      <c r="DM1014"/>
      <c r="DN1014"/>
      <c r="DO1014"/>
      <c r="DP1014"/>
      <c r="DQ1014"/>
      <c r="DR1014"/>
      <c r="DS1014"/>
      <c r="DT1014"/>
      <c r="DU1014"/>
      <c r="DV1014"/>
      <c r="DW1014"/>
      <c r="DX1014"/>
      <c r="DY1014"/>
      <c r="DZ1014"/>
      <c r="EA1014"/>
      <c r="EB1014"/>
      <c r="EC1014"/>
      <c r="ED1014"/>
      <c r="EE1014"/>
      <c r="EF1014"/>
      <c r="EG1014"/>
      <c r="EH1014"/>
      <c r="EI1014"/>
      <c r="EJ1014"/>
      <c r="EK1014"/>
      <c r="EL1014"/>
      <c r="EM1014"/>
      <c r="EN1014"/>
      <c r="EO1014"/>
      <c r="EP1014"/>
      <c r="EQ1014"/>
      <c r="ER1014"/>
      <c r="ES1014"/>
    </row>
    <row r="1015" spans="1:149">
      <c r="A1015"/>
      <c r="B1015"/>
      <c r="C1015"/>
      <c r="D1015"/>
      <c r="E1015"/>
      <c r="F1015"/>
      <c r="G1015"/>
      <c r="H1015"/>
      <c r="I1015"/>
      <c r="J1015"/>
      <c r="K1015"/>
      <c r="L1015"/>
      <c r="M1015"/>
      <c r="N1015"/>
      <c r="O1015"/>
      <c r="P1015"/>
      <c r="Q1015"/>
      <c r="R1015"/>
      <c r="S1015"/>
      <c r="T1015"/>
      <c r="U1015"/>
      <c r="V1015"/>
      <c r="W1015"/>
      <c r="X1015"/>
      <c r="Y1015"/>
      <c r="Z1015"/>
      <c r="AA101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c r="BZ1015"/>
      <c r="CA1015"/>
      <c r="CB1015"/>
      <c r="CC1015"/>
      <c r="CD1015"/>
      <c r="CE1015"/>
      <c r="CF1015"/>
      <c r="CG1015"/>
      <c r="CH1015"/>
      <c r="CI1015"/>
      <c r="CJ1015"/>
      <c r="CK1015"/>
      <c r="CL1015"/>
      <c r="CM1015"/>
      <c r="CN1015"/>
      <c r="CO1015"/>
      <c r="CP1015"/>
      <c r="CQ1015"/>
      <c r="CR1015"/>
      <c r="CS1015"/>
      <c r="CT1015"/>
      <c r="CU1015"/>
      <c r="CV1015"/>
      <c r="CW1015"/>
      <c r="CX1015"/>
      <c r="CY1015"/>
      <c r="CZ1015"/>
      <c r="DA1015"/>
      <c r="DB1015"/>
      <c r="DC1015"/>
      <c r="DD1015"/>
      <c r="DE1015"/>
      <c r="DF1015"/>
      <c r="DG1015"/>
      <c r="DH1015"/>
      <c r="DI1015"/>
      <c r="DJ1015"/>
      <c r="DK1015"/>
      <c r="DL1015"/>
      <c r="DM1015"/>
      <c r="DN1015"/>
      <c r="DO1015"/>
      <c r="DP1015"/>
      <c r="DQ1015"/>
      <c r="DR1015"/>
      <c r="DS1015"/>
      <c r="DT1015"/>
      <c r="DU1015"/>
      <c r="DV1015"/>
      <c r="DW1015"/>
      <c r="DX1015"/>
      <c r="DY1015"/>
      <c r="DZ1015"/>
      <c r="EA1015"/>
      <c r="EB1015"/>
      <c r="EC1015"/>
      <c r="ED1015"/>
      <c r="EE1015"/>
      <c r="EF1015"/>
      <c r="EG1015"/>
      <c r="EH1015"/>
      <c r="EI1015"/>
      <c r="EJ1015"/>
      <c r="EK1015"/>
      <c r="EL1015"/>
      <c r="EM1015"/>
      <c r="EN1015"/>
      <c r="EO1015"/>
      <c r="EP1015"/>
      <c r="EQ1015"/>
      <c r="ER1015"/>
      <c r="ES1015"/>
    </row>
    <row r="1016" spans="1:149">
      <c r="A1016"/>
      <c r="B1016"/>
      <c r="C1016"/>
      <c r="D1016"/>
      <c r="E1016"/>
      <c r="F1016"/>
      <c r="G1016"/>
      <c r="H1016"/>
      <c r="I1016"/>
      <c r="J1016"/>
      <c r="K1016"/>
      <c r="L1016"/>
      <c r="M1016"/>
      <c r="N1016"/>
      <c r="O1016"/>
      <c r="P1016"/>
      <c r="Q1016"/>
      <c r="R1016"/>
      <c r="S1016"/>
      <c r="T1016"/>
      <c r="U1016"/>
      <c r="V1016"/>
      <c r="W1016"/>
      <c r="X1016"/>
      <c r="Y1016"/>
      <c r="Z1016"/>
      <c r="AA1016"/>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c r="BZ1016"/>
      <c r="CA1016"/>
      <c r="CB1016"/>
      <c r="CC1016"/>
      <c r="CD1016"/>
      <c r="CE1016"/>
      <c r="CF1016"/>
      <c r="CG1016"/>
      <c r="CH1016"/>
      <c r="CI1016"/>
      <c r="CJ1016"/>
      <c r="CK1016"/>
      <c r="CL1016"/>
      <c r="CM1016"/>
      <c r="CN1016"/>
      <c r="CO1016"/>
      <c r="CP1016"/>
      <c r="CQ1016"/>
      <c r="CR1016"/>
      <c r="CS1016"/>
      <c r="CT1016"/>
      <c r="CU1016"/>
      <c r="CV1016"/>
      <c r="CW1016"/>
      <c r="CX1016"/>
      <c r="CY1016"/>
      <c r="CZ1016"/>
      <c r="DA1016"/>
      <c r="DB1016"/>
      <c r="DC1016"/>
      <c r="DD1016"/>
      <c r="DE1016"/>
      <c r="DF1016"/>
      <c r="DG1016"/>
      <c r="DH1016"/>
      <c r="DI1016"/>
      <c r="DJ1016"/>
      <c r="DK1016"/>
      <c r="DL1016"/>
      <c r="DM1016"/>
      <c r="DN1016"/>
      <c r="DO1016"/>
      <c r="DP1016"/>
      <c r="DQ1016"/>
      <c r="DR1016"/>
      <c r="DS1016"/>
      <c r="DT1016"/>
      <c r="DU1016"/>
      <c r="DV1016"/>
      <c r="DW1016"/>
      <c r="DX1016"/>
      <c r="DY1016"/>
      <c r="DZ1016"/>
      <c r="EA1016"/>
      <c r="EB1016"/>
      <c r="EC1016"/>
      <c r="ED1016"/>
      <c r="EE1016"/>
      <c r="EF1016"/>
      <c r="EG1016"/>
      <c r="EH1016"/>
      <c r="EI1016"/>
      <c r="EJ1016"/>
      <c r="EK1016"/>
      <c r="EL1016"/>
      <c r="EM1016"/>
      <c r="EN1016"/>
      <c r="EO1016"/>
      <c r="EP1016"/>
      <c r="EQ1016"/>
      <c r="ER1016"/>
      <c r="ES1016"/>
    </row>
    <row r="1017" spans="1:149">
      <c r="A1017"/>
      <c r="B1017"/>
      <c r="C1017"/>
      <c r="D1017"/>
      <c r="E1017"/>
      <c r="F1017"/>
      <c r="G1017"/>
      <c r="H1017"/>
      <c r="I1017"/>
      <c r="J1017"/>
      <c r="K1017"/>
      <c r="L1017"/>
      <c r="M1017"/>
      <c r="N1017"/>
      <c r="O1017"/>
      <c r="P1017"/>
      <c r="Q1017"/>
      <c r="R1017"/>
      <c r="S1017"/>
      <c r="T1017"/>
      <c r="U1017"/>
      <c r="V1017"/>
      <c r="W1017"/>
      <c r="X1017"/>
      <c r="Y1017"/>
      <c r="Z1017"/>
      <c r="AA1017"/>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c r="BZ1017"/>
      <c r="CA1017"/>
      <c r="CB1017"/>
      <c r="CC1017"/>
      <c r="CD1017"/>
      <c r="CE1017"/>
      <c r="CF1017"/>
      <c r="CG1017"/>
      <c r="CH1017"/>
      <c r="CI1017"/>
      <c r="CJ1017"/>
      <c r="CK1017"/>
      <c r="CL1017"/>
      <c r="CM1017"/>
      <c r="CN1017"/>
      <c r="CO1017"/>
      <c r="CP1017"/>
      <c r="CQ1017"/>
      <c r="CR1017"/>
      <c r="CS1017"/>
      <c r="CT1017"/>
      <c r="CU1017"/>
      <c r="CV1017"/>
      <c r="CW1017"/>
      <c r="CX1017"/>
      <c r="CY1017"/>
      <c r="CZ1017"/>
      <c r="DA1017"/>
      <c r="DB1017"/>
      <c r="DC1017"/>
      <c r="DD1017"/>
      <c r="DE1017"/>
      <c r="DF1017"/>
      <c r="DG1017"/>
      <c r="DH1017"/>
      <c r="DI1017"/>
      <c r="DJ1017"/>
      <c r="DK1017"/>
      <c r="DL1017"/>
      <c r="DM1017"/>
      <c r="DN1017"/>
      <c r="DO1017"/>
      <c r="DP1017"/>
      <c r="DQ1017"/>
      <c r="DR1017"/>
      <c r="DS1017"/>
      <c r="DT1017"/>
      <c r="DU1017"/>
      <c r="DV1017"/>
      <c r="DW1017"/>
      <c r="DX1017"/>
      <c r="DY1017"/>
      <c r="DZ1017"/>
      <c r="EA1017"/>
      <c r="EB1017"/>
      <c r="EC1017"/>
      <c r="ED1017"/>
      <c r="EE1017"/>
      <c r="EF1017"/>
      <c r="EG1017"/>
      <c r="EH1017"/>
      <c r="EI1017"/>
      <c r="EJ1017"/>
      <c r="EK1017"/>
      <c r="EL1017"/>
      <c r="EM1017"/>
      <c r="EN1017"/>
      <c r="EO1017"/>
      <c r="EP1017"/>
      <c r="EQ1017"/>
      <c r="ER1017"/>
      <c r="ES1017"/>
    </row>
    <row r="1018" spans="1:149">
      <c r="A1018"/>
      <c r="B1018"/>
      <c r="C1018"/>
      <c r="D1018"/>
      <c r="E1018"/>
      <c r="F1018"/>
      <c r="G1018"/>
      <c r="H1018"/>
      <c r="I1018"/>
      <c r="J1018"/>
      <c r="K1018"/>
      <c r="L1018"/>
      <c r="M1018"/>
      <c r="N1018"/>
      <c r="O1018"/>
      <c r="P1018"/>
      <c r="Q1018"/>
      <c r="R1018"/>
      <c r="S1018"/>
      <c r="T1018"/>
      <c r="U1018"/>
      <c r="V1018"/>
      <c r="W1018"/>
      <c r="X1018"/>
      <c r="Y1018"/>
      <c r="Z1018"/>
      <c r="AA1018"/>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c r="BZ1018"/>
      <c r="CA1018"/>
      <c r="CB1018"/>
      <c r="CC1018"/>
      <c r="CD1018"/>
      <c r="CE1018"/>
      <c r="CF1018"/>
      <c r="CG1018"/>
      <c r="CH1018"/>
      <c r="CI1018"/>
      <c r="CJ1018"/>
      <c r="CK1018"/>
      <c r="CL1018"/>
      <c r="CM1018"/>
      <c r="CN1018"/>
      <c r="CO1018"/>
      <c r="CP1018"/>
      <c r="CQ1018"/>
      <c r="CR1018"/>
      <c r="CS1018"/>
      <c r="CT1018"/>
      <c r="CU1018"/>
      <c r="CV1018"/>
      <c r="CW1018"/>
      <c r="CX1018"/>
      <c r="CY1018"/>
      <c r="CZ1018"/>
      <c r="DA1018"/>
      <c r="DB1018"/>
      <c r="DC1018"/>
      <c r="DD1018"/>
      <c r="DE1018"/>
      <c r="DF1018"/>
      <c r="DG1018"/>
      <c r="DH1018"/>
      <c r="DI1018"/>
      <c r="DJ1018"/>
      <c r="DK1018"/>
      <c r="DL1018"/>
      <c r="DM1018"/>
      <c r="DN1018"/>
      <c r="DO1018"/>
      <c r="DP1018"/>
      <c r="DQ1018"/>
      <c r="DR1018"/>
      <c r="DS1018"/>
      <c r="DT1018"/>
      <c r="DU1018"/>
      <c r="DV1018"/>
      <c r="DW1018"/>
      <c r="DX1018"/>
      <c r="DY1018"/>
      <c r="DZ1018"/>
      <c r="EA1018"/>
      <c r="EB1018"/>
      <c r="EC1018"/>
      <c r="ED1018"/>
      <c r="EE1018"/>
      <c r="EF1018"/>
      <c r="EG1018"/>
      <c r="EH1018"/>
      <c r="EI1018"/>
      <c r="EJ1018"/>
      <c r="EK1018"/>
      <c r="EL1018"/>
      <c r="EM1018"/>
      <c r="EN1018"/>
      <c r="EO1018"/>
      <c r="EP1018"/>
      <c r="EQ1018"/>
      <c r="ER1018"/>
      <c r="ES1018"/>
    </row>
    <row r="1019" spans="1:149">
      <c r="A1019"/>
      <c r="B1019"/>
      <c r="C1019"/>
      <c r="D1019"/>
      <c r="E1019"/>
      <c r="F1019"/>
      <c r="G1019"/>
      <c r="H1019"/>
      <c r="I1019"/>
      <c r="J1019"/>
      <c r="K1019"/>
      <c r="L1019"/>
      <c r="M1019"/>
      <c r="N1019"/>
      <c r="O1019"/>
      <c r="P1019"/>
      <c r="Q1019"/>
      <c r="R1019"/>
      <c r="S1019"/>
      <c r="T1019"/>
      <c r="U1019"/>
      <c r="V1019"/>
      <c r="W1019"/>
      <c r="X1019"/>
      <c r="Y1019"/>
      <c r="Z1019"/>
      <c r="AA1019"/>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c r="BZ1019"/>
      <c r="CA1019"/>
      <c r="CB1019"/>
      <c r="CC1019"/>
      <c r="CD1019"/>
      <c r="CE1019"/>
      <c r="CF1019"/>
      <c r="CG1019"/>
      <c r="CH1019"/>
      <c r="CI1019"/>
      <c r="CJ1019"/>
      <c r="CK1019"/>
      <c r="CL1019"/>
      <c r="CM1019"/>
      <c r="CN1019"/>
      <c r="CO1019"/>
      <c r="CP1019"/>
      <c r="CQ1019"/>
      <c r="CR1019"/>
      <c r="CS1019"/>
      <c r="CT1019"/>
      <c r="CU1019"/>
      <c r="CV1019"/>
      <c r="CW1019"/>
      <c r="CX1019"/>
      <c r="CY1019"/>
      <c r="CZ1019"/>
      <c r="DA1019"/>
      <c r="DB1019"/>
      <c r="DC1019"/>
      <c r="DD1019"/>
      <c r="DE1019"/>
      <c r="DF1019"/>
      <c r="DG1019"/>
      <c r="DH1019"/>
      <c r="DI1019"/>
      <c r="DJ1019"/>
      <c r="DK1019"/>
      <c r="DL1019"/>
      <c r="DM1019"/>
      <c r="DN1019"/>
      <c r="DO1019"/>
      <c r="DP1019"/>
      <c r="DQ1019"/>
      <c r="DR1019"/>
      <c r="DS1019"/>
      <c r="DT1019"/>
      <c r="DU1019"/>
      <c r="DV1019"/>
      <c r="DW1019"/>
      <c r="DX1019"/>
      <c r="DY1019"/>
      <c r="DZ1019"/>
      <c r="EA1019"/>
      <c r="EB1019"/>
      <c r="EC1019"/>
      <c r="ED1019"/>
      <c r="EE1019"/>
      <c r="EF1019"/>
      <c r="EG1019"/>
      <c r="EH1019"/>
      <c r="EI1019"/>
      <c r="EJ1019"/>
      <c r="EK1019"/>
      <c r="EL1019"/>
      <c r="EM1019"/>
      <c r="EN1019"/>
      <c r="EO1019"/>
      <c r="EP1019"/>
      <c r="EQ1019"/>
      <c r="ER1019"/>
      <c r="ES1019"/>
    </row>
    <row r="1020" spans="1:149">
      <c r="A1020"/>
      <c r="B1020"/>
      <c r="C1020"/>
      <c r="D1020"/>
      <c r="E1020"/>
      <c r="F1020"/>
      <c r="G1020"/>
      <c r="H1020"/>
      <c r="I1020"/>
      <c r="J1020"/>
      <c r="K1020"/>
      <c r="L1020"/>
      <c r="M1020"/>
      <c r="N1020"/>
      <c r="O1020"/>
      <c r="P1020"/>
      <c r="Q1020"/>
      <c r="R1020"/>
      <c r="S1020"/>
      <c r="T1020"/>
      <c r="U1020"/>
      <c r="V1020"/>
      <c r="W1020"/>
      <c r="X1020"/>
      <c r="Y1020"/>
      <c r="Z1020"/>
      <c r="AA1020"/>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c r="BZ1020"/>
      <c r="CA1020"/>
      <c r="CB1020"/>
      <c r="CC1020"/>
      <c r="CD1020"/>
      <c r="CE1020"/>
      <c r="CF1020"/>
      <c r="CG1020"/>
      <c r="CH1020"/>
      <c r="CI1020"/>
      <c r="CJ1020"/>
      <c r="CK1020"/>
      <c r="CL1020"/>
      <c r="CM1020"/>
      <c r="CN1020"/>
      <c r="CO1020"/>
      <c r="CP1020"/>
      <c r="CQ1020"/>
      <c r="CR1020"/>
      <c r="CS1020"/>
      <c r="CT1020"/>
      <c r="CU1020"/>
      <c r="CV1020"/>
      <c r="CW1020"/>
      <c r="CX1020"/>
      <c r="CY1020"/>
      <c r="CZ1020"/>
      <c r="DA1020"/>
      <c r="DB1020"/>
      <c r="DC1020"/>
      <c r="DD1020"/>
      <c r="DE1020"/>
      <c r="DF1020"/>
      <c r="DG1020"/>
      <c r="DH1020"/>
      <c r="DI1020"/>
      <c r="DJ1020"/>
      <c r="DK1020"/>
      <c r="DL1020"/>
      <c r="DM1020"/>
      <c r="DN1020"/>
      <c r="DO1020"/>
      <c r="DP1020"/>
      <c r="DQ1020"/>
      <c r="DR1020"/>
      <c r="DS1020"/>
      <c r="DT1020"/>
      <c r="DU1020"/>
      <c r="DV1020"/>
      <c r="DW1020"/>
      <c r="DX1020"/>
      <c r="DY1020"/>
      <c r="DZ1020"/>
      <c r="EA1020"/>
      <c r="EB1020"/>
      <c r="EC1020"/>
      <c r="ED1020"/>
      <c r="EE1020"/>
      <c r="EF1020"/>
      <c r="EG1020"/>
      <c r="EH1020"/>
      <c r="EI1020"/>
      <c r="EJ1020"/>
      <c r="EK1020"/>
      <c r="EL1020"/>
      <c r="EM1020"/>
      <c r="EN1020"/>
      <c r="EO1020"/>
      <c r="EP1020"/>
      <c r="EQ1020"/>
      <c r="ER1020"/>
      <c r="ES1020"/>
    </row>
    <row r="1021" spans="1:149">
      <c r="A1021"/>
      <c r="B1021"/>
      <c r="C1021"/>
      <c r="D1021"/>
      <c r="E1021"/>
      <c r="F1021"/>
      <c r="G1021"/>
      <c r="H1021"/>
      <c r="I1021"/>
      <c r="J1021"/>
      <c r="K1021"/>
      <c r="L1021"/>
      <c r="M1021"/>
      <c r="N1021"/>
      <c r="O1021"/>
      <c r="P1021"/>
      <c r="Q1021"/>
      <c r="R1021"/>
      <c r="S1021"/>
      <c r="T1021"/>
      <c r="U1021"/>
      <c r="V1021"/>
      <c r="W1021"/>
      <c r="X1021"/>
      <c r="Y1021"/>
      <c r="Z1021"/>
      <c r="AA1021"/>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c r="BZ1021"/>
      <c r="CA1021"/>
      <c r="CB1021"/>
      <c r="CC1021"/>
      <c r="CD1021"/>
      <c r="CE1021"/>
      <c r="CF1021"/>
      <c r="CG1021"/>
      <c r="CH1021"/>
      <c r="CI1021"/>
      <c r="CJ1021"/>
      <c r="CK1021"/>
      <c r="CL1021"/>
      <c r="CM1021"/>
      <c r="CN1021"/>
      <c r="CO1021"/>
      <c r="CP1021"/>
      <c r="CQ1021"/>
      <c r="CR1021"/>
      <c r="CS1021"/>
      <c r="CT1021"/>
      <c r="CU1021"/>
      <c r="CV1021"/>
      <c r="CW1021"/>
      <c r="CX1021"/>
      <c r="CY1021"/>
      <c r="CZ1021"/>
      <c r="DA1021"/>
      <c r="DB1021"/>
      <c r="DC1021"/>
      <c r="DD1021"/>
      <c r="DE1021"/>
      <c r="DF1021"/>
      <c r="DG1021"/>
      <c r="DH1021"/>
      <c r="DI1021"/>
      <c r="DJ1021"/>
      <c r="DK1021"/>
      <c r="DL1021"/>
      <c r="DM1021"/>
      <c r="DN1021"/>
      <c r="DO1021"/>
      <c r="DP1021"/>
      <c r="DQ1021"/>
      <c r="DR1021"/>
      <c r="DS1021"/>
      <c r="DT1021"/>
      <c r="DU1021"/>
      <c r="DV1021"/>
      <c r="DW1021"/>
      <c r="DX1021"/>
      <c r="DY1021"/>
      <c r="DZ1021"/>
      <c r="EA1021"/>
      <c r="EB1021"/>
      <c r="EC1021"/>
      <c r="ED1021"/>
      <c r="EE1021"/>
      <c r="EF1021"/>
      <c r="EG1021"/>
      <c r="EH1021"/>
      <c r="EI1021"/>
      <c r="EJ1021"/>
      <c r="EK1021"/>
      <c r="EL1021"/>
      <c r="EM1021"/>
      <c r="EN1021"/>
      <c r="EO1021"/>
      <c r="EP1021"/>
      <c r="EQ1021"/>
      <c r="ER1021"/>
      <c r="ES1021"/>
    </row>
    <row r="1022" spans="1:149">
      <c r="A1022"/>
      <c r="B1022"/>
      <c r="C1022"/>
      <c r="D1022"/>
      <c r="E1022"/>
      <c r="F1022"/>
      <c r="G1022"/>
      <c r="H1022"/>
      <c r="I1022"/>
      <c r="J1022"/>
      <c r="K1022"/>
      <c r="L1022"/>
      <c r="M1022"/>
      <c r="N1022"/>
      <c r="O1022"/>
      <c r="P1022"/>
      <c r="Q1022"/>
      <c r="R1022"/>
      <c r="S1022"/>
      <c r="T1022"/>
      <c r="U1022"/>
      <c r="V1022"/>
      <c r="W1022"/>
      <c r="X1022"/>
      <c r="Y1022"/>
      <c r="Z1022"/>
      <c r="AA1022"/>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c r="BZ1022"/>
      <c r="CA1022"/>
      <c r="CB1022"/>
      <c r="CC1022"/>
      <c r="CD1022"/>
      <c r="CE1022"/>
      <c r="CF1022"/>
      <c r="CG1022"/>
      <c r="CH1022"/>
      <c r="CI1022"/>
      <c r="CJ1022"/>
      <c r="CK1022"/>
      <c r="CL1022"/>
      <c r="CM1022"/>
      <c r="CN1022"/>
      <c r="CO1022"/>
      <c r="CP1022"/>
      <c r="CQ1022"/>
      <c r="CR1022"/>
      <c r="CS1022"/>
      <c r="CT1022"/>
      <c r="CU1022"/>
      <c r="CV1022"/>
      <c r="CW1022"/>
      <c r="CX1022"/>
      <c r="CY1022"/>
      <c r="CZ1022"/>
      <c r="DA1022"/>
      <c r="DB1022"/>
      <c r="DC1022"/>
      <c r="DD1022"/>
      <c r="DE1022"/>
      <c r="DF1022"/>
      <c r="DG1022"/>
      <c r="DH1022"/>
      <c r="DI1022"/>
      <c r="DJ1022"/>
      <c r="DK1022"/>
      <c r="DL1022"/>
      <c r="DM1022"/>
      <c r="DN1022"/>
      <c r="DO1022"/>
      <c r="DP1022"/>
      <c r="DQ1022"/>
      <c r="DR1022"/>
      <c r="DS1022"/>
      <c r="DT1022"/>
      <c r="DU1022"/>
      <c r="DV1022"/>
      <c r="DW1022"/>
      <c r="DX1022"/>
      <c r="DY1022"/>
      <c r="DZ1022"/>
      <c r="EA1022"/>
      <c r="EB1022"/>
      <c r="EC1022"/>
      <c r="ED1022"/>
      <c r="EE1022"/>
      <c r="EF1022"/>
      <c r="EG1022"/>
      <c r="EH1022"/>
      <c r="EI1022"/>
      <c r="EJ1022"/>
      <c r="EK1022"/>
      <c r="EL1022"/>
      <c r="EM1022"/>
      <c r="EN1022"/>
      <c r="EO1022"/>
      <c r="EP1022"/>
      <c r="EQ1022"/>
      <c r="ER1022"/>
      <c r="ES1022"/>
    </row>
    <row r="1023" spans="1:149">
      <c r="A1023"/>
      <c r="B1023"/>
      <c r="C1023"/>
      <c r="D1023"/>
      <c r="E1023"/>
      <c r="F1023"/>
      <c r="G1023"/>
      <c r="H1023"/>
      <c r="I1023"/>
      <c r="J1023"/>
      <c r="K1023"/>
      <c r="L1023"/>
      <c r="M1023"/>
      <c r="N1023"/>
      <c r="O1023"/>
      <c r="P1023"/>
      <c r="Q1023"/>
      <c r="R1023"/>
      <c r="S1023"/>
      <c r="T1023"/>
      <c r="U1023"/>
      <c r="V1023"/>
      <c r="W1023"/>
      <c r="X1023"/>
      <c r="Y1023"/>
      <c r="Z1023"/>
      <c r="AA1023"/>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c r="BZ1023"/>
      <c r="CA1023"/>
      <c r="CB1023"/>
      <c r="CC1023"/>
      <c r="CD1023"/>
      <c r="CE1023"/>
      <c r="CF1023"/>
      <c r="CG1023"/>
      <c r="CH1023"/>
      <c r="CI1023"/>
      <c r="CJ1023"/>
      <c r="CK1023"/>
      <c r="CL1023"/>
      <c r="CM1023"/>
      <c r="CN1023"/>
      <c r="CO1023"/>
      <c r="CP1023"/>
      <c r="CQ1023"/>
      <c r="CR1023"/>
      <c r="CS1023"/>
      <c r="CT1023"/>
      <c r="CU1023"/>
      <c r="CV1023"/>
      <c r="CW1023"/>
      <c r="CX1023"/>
      <c r="CY1023"/>
      <c r="CZ1023"/>
      <c r="DA1023"/>
      <c r="DB1023"/>
      <c r="DC1023"/>
      <c r="DD1023"/>
      <c r="DE1023"/>
      <c r="DF1023"/>
      <c r="DG1023"/>
      <c r="DH1023"/>
      <c r="DI1023"/>
      <c r="DJ1023"/>
      <c r="DK1023"/>
      <c r="DL1023"/>
      <c r="DM1023"/>
      <c r="DN1023"/>
      <c r="DO1023"/>
      <c r="DP1023"/>
      <c r="DQ1023"/>
      <c r="DR1023"/>
      <c r="DS1023"/>
      <c r="DT1023"/>
      <c r="DU1023"/>
      <c r="DV1023"/>
      <c r="DW1023"/>
      <c r="DX1023"/>
      <c r="DY1023"/>
      <c r="DZ1023"/>
      <c r="EA1023"/>
      <c r="EB1023"/>
      <c r="EC1023"/>
      <c r="ED1023"/>
      <c r="EE1023"/>
      <c r="EF1023"/>
      <c r="EG1023"/>
      <c r="EH1023"/>
      <c r="EI1023"/>
      <c r="EJ1023"/>
      <c r="EK1023"/>
      <c r="EL1023"/>
      <c r="EM1023"/>
      <c r="EN1023"/>
      <c r="EO1023"/>
      <c r="EP1023"/>
      <c r="EQ1023"/>
      <c r="ER1023"/>
      <c r="ES1023"/>
    </row>
    <row r="1024" spans="1:149">
      <c r="A1024"/>
      <c r="B1024"/>
      <c r="C1024"/>
      <c r="D1024"/>
      <c r="E1024"/>
      <c r="F1024"/>
      <c r="G1024"/>
      <c r="H1024"/>
      <c r="I1024"/>
      <c r="J1024"/>
      <c r="K1024"/>
      <c r="L1024"/>
      <c r="M1024"/>
      <c r="N1024"/>
      <c r="O1024"/>
      <c r="P1024"/>
      <c r="Q1024"/>
      <c r="R1024"/>
      <c r="S1024"/>
      <c r="T1024"/>
      <c r="U1024"/>
      <c r="V1024"/>
      <c r="W1024"/>
      <c r="X1024"/>
      <c r="Y1024"/>
      <c r="Z1024"/>
      <c r="AA1024"/>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c r="BZ1024"/>
      <c r="CA1024"/>
      <c r="CB1024"/>
      <c r="CC1024"/>
      <c r="CD1024"/>
      <c r="CE1024"/>
      <c r="CF1024"/>
      <c r="CG1024"/>
      <c r="CH1024"/>
      <c r="CI1024"/>
      <c r="CJ1024"/>
      <c r="CK1024"/>
      <c r="CL1024"/>
      <c r="CM1024"/>
      <c r="CN1024"/>
      <c r="CO1024"/>
      <c r="CP1024"/>
      <c r="CQ1024"/>
      <c r="CR1024"/>
      <c r="CS1024"/>
      <c r="CT1024"/>
      <c r="CU1024"/>
      <c r="CV1024"/>
      <c r="CW1024"/>
      <c r="CX1024"/>
      <c r="CY1024"/>
      <c r="CZ1024"/>
      <c r="DA1024"/>
      <c r="DB1024"/>
      <c r="DC1024"/>
      <c r="DD1024"/>
      <c r="DE1024"/>
      <c r="DF1024"/>
      <c r="DG1024"/>
      <c r="DH1024"/>
      <c r="DI1024"/>
      <c r="DJ1024"/>
      <c r="DK1024"/>
      <c r="DL1024"/>
      <c r="DM1024"/>
      <c r="DN1024"/>
      <c r="DO1024"/>
      <c r="DP1024"/>
      <c r="DQ1024"/>
      <c r="DR1024"/>
      <c r="DS1024"/>
      <c r="DT1024"/>
      <c r="DU1024"/>
      <c r="DV1024"/>
      <c r="DW1024"/>
      <c r="DX1024"/>
      <c r="DY1024"/>
      <c r="DZ1024"/>
      <c r="EA1024"/>
      <c r="EB1024"/>
      <c r="EC1024"/>
      <c r="ED1024"/>
      <c r="EE1024"/>
      <c r="EF1024"/>
      <c r="EG1024"/>
      <c r="EH1024"/>
      <c r="EI1024"/>
      <c r="EJ1024"/>
      <c r="EK1024"/>
      <c r="EL1024"/>
      <c r="EM1024"/>
      <c r="EN1024"/>
      <c r="EO1024"/>
      <c r="EP1024"/>
      <c r="EQ1024"/>
      <c r="ER1024"/>
      <c r="ES1024"/>
    </row>
    <row r="1025" spans="1:149">
      <c r="A1025"/>
      <c r="B1025"/>
      <c r="C1025"/>
      <c r="D1025"/>
      <c r="E1025"/>
      <c r="F1025"/>
      <c r="G1025"/>
      <c r="H1025"/>
      <c r="I1025"/>
      <c r="J1025"/>
      <c r="K1025"/>
      <c r="L1025"/>
      <c r="M1025"/>
      <c r="N1025"/>
      <c r="O1025"/>
      <c r="P1025"/>
      <c r="Q1025"/>
      <c r="R1025"/>
      <c r="S1025"/>
      <c r="T1025"/>
      <c r="U1025"/>
      <c r="V1025"/>
      <c r="W1025"/>
      <c r="X1025"/>
      <c r="Y1025"/>
      <c r="Z1025"/>
      <c r="AA102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c r="BZ1025"/>
      <c r="CA1025"/>
      <c r="CB1025"/>
      <c r="CC1025"/>
      <c r="CD1025"/>
      <c r="CE1025"/>
      <c r="CF1025"/>
      <c r="CG1025"/>
      <c r="CH1025"/>
      <c r="CI1025"/>
      <c r="CJ1025"/>
      <c r="CK1025"/>
      <c r="CL1025"/>
      <c r="CM1025"/>
      <c r="CN1025"/>
      <c r="CO1025"/>
      <c r="CP1025"/>
      <c r="CQ1025"/>
      <c r="CR1025"/>
      <c r="CS1025"/>
      <c r="CT1025"/>
      <c r="CU1025"/>
      <c r="CV1025"/>
      <c r="CW1025"/>
      <c r="CX1025"/>
      <c r="CY1025"/>
      <c r="CZ1025"/>
      <c r="DA1025"/>
      <c r="DB1025"/>
      <c r="DC1025"/>
      <c r="DD1025"/>
      <c r="DE1025"/>
      <c r="DF1025"/>
      <c r="DG1025"/>
      <c r="DH1025"/>
      <c r="DI1025"/>
      <c r="DJ1025"/>
      <c r="DK1025"/>
      <c r="DL1025"/>
      <c r="DM1025"/>
      <c r="DN1025"/>
      <c r="DO1025"/>
      <c r="DP1025"/>
      <c r="DQ1025"/>
      <c r="DR1025"/>
      <c r="DS1025"/>
      <c r="DT1025"/>
      <c r="DU1025"/>
      <c r="DV1025"/>
      <c r="DW1025"/>
      <c r="DX1025"/>
      <c r="DY1025"/>
      <c r="DZ1025"/>
      <c r="EA1025"/>
      <c r="EB1025"/>
      <c r="EC1025"/>
      <c r="ED1025"/>
      <c r="EE1025"/>
      <c r="EF1025"/>
      <c r="EG1025"/>
      <c r="EH1025"/>
      <c r="EI1025"/>
      <c r="EJ1025"/>
      <c r="EK1025"/>
      <c r="EL1025"/>
      <c r="EM1025"/>
      <c r="EN1025"/>
      <c r="EO1025"/>
      <c r="EP1025"/>
      <c r="EQ1025"/>
      <c r="ER1025"/>
      <c r="ES1025"/>
    </row>
    <row r="1026" spans="1:149">
      <c r="A1026"/>
      <c r="B1026"/>
      <c r="C1026"/>
      <c r="D1026"/>
      <c r="E1026"/>
      <c r="F1026"/>
      <c r="G1026"/>
      <c r="H1026"/>
      <c r="I1026"/>
      <c r="J1026"/>
      <c r="K1026"/>
      <c r="L1026"/>
      <c r="M1026"/>
      <c r="N1026"/>
      <c r="O1026"/>
      <c r="P1026"/>
      <c r="Q1026"/>
      <c r="R1026"/>
      <c r="S1026"/>
      <c r="T1026"/>
      <c r="U1026"/>
      <c r="V1026"/>
      <c r="W1026"/>
      <c r="X1026"/>
      <c r="Y1026"/>
      <c r="Z1026"/>
      <c r="AA1026"/>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c r="BZ1026"/>
      <c r="CA1026"/>
      <c r="CB1026"/>
      <c r="CC1026"/>
      <c r="CD1026"/>
      <c r="CE1026"/>
      <c r="CF1026"/>
      <c r="CG1026"/>
      <c r="CH1026"/>
      <c r="CI1026"/>
      <c r="CJ1026"/>
      <c r="CK1026"/>
      <c r="CL1026"/>
      <c r="CM1026"/>
      <c r="CN1026"/>
      <c r="CO1026"/>
      <c r="CP1026"/>
      <c r="CQ1026"/>
      <c r="CR1026"/>
      <c r="CS1026"/>
      <c r="CT1026"/>
      <c r="CU1026"/>
      <c r="CV1026"/>
      <c r="CW1026"/>
      <c r="CX1026"/>
      <c r="CY1026"/>
      <c r="CZ1026"/>
      <c r="DA1026"/>
      <c r="DB1026"/>
      <c r="DC1026"/>
      <c r="DD1026"/>
      <c r="DE1026"/>
      <c r="DF1026"/>
      <c r="DG1026"/>
      <c r="DH1026"/>
      <c r="DI1026"/>
      <c r="DJ1026"/>
      <c r="DK1026"/>
      <c r="DL1026"/>
      <c r="DM1026"/>
      <c r="DN1026"/>
      <c r="DO1026"/>
      <c r="DP1026"/>
      <c r="DQ1026"/>
      <c r="DR1026"/>
      <c r="DS1026"/>
      <c r="DT1026"/>
      <c r="DU1026"/>
      <c r="DV1026"/>
      <c r="DW1026"/>
      <c r="DX1026"/>
      <c r="DY1026"/>
      <c r="DZ1026"/>
      <c r="EA1026"/>
      <c r="EB1026"/>
      <c r="EC1026"/>
      <c r="ED1026"/>
      <c r="EE1026"/>
      <c r="EF1026"/>
      <c r="EG1026"/>
      <c r="EH1026"/>
      <c r="EI1026"/>
      <c r="EJ1026"/>
      <c r="EK1026"/>
      <c r="EL1026"/>
      <c r="EM1026"/>
      <c r="EN1026"/>
      <c r="EO1026"/>
      <c r="EP1026"/>
      <c r="EQ1026"/>
      <c r="ER1026"/>
      <c r="ES1026"/>
    </row>
    <row r="1027" spans="1:149">
      <c r="A1027"/>
      <c r="B1027"/>
      <c r="C1027"/>
      <c r="D1027"/>
      <c r="E1027"/>
      <c r="F1027"/>
      <c r="G1027"/>
      <c r="H1027"/>
      <c r="I1027"/>
      <c r="J1027"/>
      <c r="K1027"/>
      <c r="L1027"/>
      <c r="M1027"/>
      <c r="N1027"/>
      <c r="O1027"/>
      <c r="P1027"/>
      <c r="Q1027"/>
      <c r="R1027"/>
      <c r="S1027"/>
      <c r="T1027"/>
      <c r="U1027"/>
      <c r="V1027"/>
      <c r="W1027"/>
      <c r="X1027"/>
      <c r="Y1027"/>
      <c r="Z1027"/>
      <c r="AA1027"/>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c r="BZ1027"/>
      <c r="CA1027"/>
      <c r="CB1027"/>
      <c r="CC1027"/>
      <c r="CD1027"/>
      <c r="CE1027"/>
      <c r="CF1027"/>
      <c r="CG1027"/>
      <c r="CH1027"/>
      <c r="CI1027"/>
      <c r="CJ1027"/>
      <c r="CK1027"/>
      <c r="CL1027"/>
      <c r="CM1027"/>
      <c r="CN1027"/>
      <c r="CO1027"/>
      <c r="CP1027"/>
      <c r="CQ1027"/>
      <c r="CR1027"/>
      <c r="CS1027"/>
      <c r="CT1027"/>
      <c r="CU1027"/>
      <c r="CV1027"/>
      <c r="CW1027"/>
      <c r="CX1027"/>
      <c r="CY1027"/>
      <c r="CZ1027"/>
      <c r="DA1027"/>
      <c r="DB1027"/>
      <c r="DC1027"/>
      <c r="DD1027"/>
      <c r="DE1027"/>
      <c r="DF1027"/>
      <c r="DG1027"/>
      <c r="DH1027"/>
      <c r="DI1027"/>
      <c r="DJ1027"/>
      <c r="DK1027"/>
      <c r="DL1027"/>
      <c r="DM1027"/>
      <c r="DN1027"/>
      <c r="DO1027"/>
      <c r="DP1027"/>
      <c r="DQ1027"/>
      <c r="DR1027"/>
      <c r="DS1027"/>
      <c r="DT1027"/>
      <c r="DU1027"/>
      <c r="DV1027"/>
      <c r="DW1027"/>
      <c r="DX1027"/>
      <c r="DY1027"/>
      <c r="DZ1027"/>
      <c r="EA1027"/>
      <c r="EB1027"/>
      <c r="EC1027"/>
      <c r="ED1027"/>
      <c r="EE1027"/>
      <c r="EF1027"/>
      <c r="EG1027"/>
      <c r="EH1027"/>
      <c r="EI1027"/>
      <c r="EJ1027"/>
      <c r="EK1027"/>
      <c r="EL1027"/>
      <c r="EM1027"/>
      <c r="EN1027"/>
      <c r="EO1027"/>
      <c r="EP1027"/>
      <c r="EQ1027"/>
      <c r="ER1027"/>
      <c r="ES1027"/>
    </row>
    <row r="1028" spans="1:149">
      <c r="A1028"/>
      <c r="B1028"/>
      <c r="C1028"/>
      <c r="D1028"/>
      <c r="E1028"/>
      <c r="F1028"/>
      <c r="G1028"/>
      <c r="H1028"/>
      <c r="I1028"/>
      <c r="J1028"/>
      <c r="K1028"/>
      <c r="L1028"/>
      <c r="M1028"/>
      <c r="N1028"/>
      <c r="O1028"/>
      <c r="P1028"/>
      <c r="Q1028"/>
      <c r="R1028"/>
      <c r="S1028"/>
      <c r="T1028"/>
      <c r="U1028"/>
      <c r="V1028"/>
      <c r="W1028"/>
      <c r="X1028"/>
      <c r="Y1028"/>
      <c r="Z1028"/>
      <c r="AA1028"/>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c r="BZ1028"/>
      <c r="CA1028"/>
      <c r="CB1028"/>
      <c r="CC1028"/>
      <c r="CD1028"/>
      <c r="CE1028"/>
      <c r="CF1028"/>
      <c r="CG1028"/>
      <c r="CH1028"/>
      <c r="CI1028"/>
      <c r="CJ1028"/>
      <c r="CK1028"/>
      <c r="CL1028"/>
      <c r="CM1028"/>
      <c r="CN1028"/>
      <c r="CO1028"/>
      <c r="CP1028"/>
      <c r="CQ1028"/>
      <c r="CR1028"/>
      <c r="CS1028"/>
      <c r="CT1028"/>
      <c r="CU1028"/>
      <c r="CV1028"/>
      <c r="CW1028"/>
      <c r="CX1028"/>
      <c r="CY1028"/>
      <c r="CZ1028"/>
      <c r="DA1028"/>
      <c r="DB1028"/>
      <c r="DC1028"/>
      <c r="DD1028"/>
      <c r="DE1028"/>
      <c r="DF1028"/>
      <c r="DG1028"/>
      <c r="DH1028"/>
      <c r="DI1028"/>
      <c r="DJ1028"/>
      <c r="DK1028"/>
      <c r="DL1028"/>
      <c r="DM1028"/>
      <c r="DN1028"/>
      <c r="DO1028"/>
      <c r="DP1028"/>
      <c r="DQ1028"/>
      <c r="DR1028"/>
      <c r="DS1028"/>
      <c r="DT1028"/>
      <c r="DU1028"/>
      <c r="DV1028"/>
      <c r="DW1028"/>
      <c r="DX1028"/>
      <c r="DY1028"/>
      <c r="DZ1028"/>
      <c r="EA1028"/>
      <c r="EB1028"/>
      <c r="EC1028"/>
      <c r="ED1028"/>
      <c r="EE1028"/>
      <c r="EF1028"/>
      <c r="EG1028"/>
      <c r="EH1028"/>
      <c r="EI1028"/>
      <c r="EJ1028"/>
      <c r="EK1028"/>
      <c r="EL1028"/>
      <c r="EM1028"/>
      <c r="EN1028"/>
      <c r="EO1028"/>
      <c r="EP1028"/>
      <c r="EQ1028"/>
      <c r="ER1028"/>
      <c r="ES1028"/>
    </row>
    <row r="1029" spans="1:149">
      <c r="A1029"/>
      <c r="B1029"/>
      <c r="C1029"/>
      <c r="D1029"/>
      <c r="E1029"/>
      <c r="F1029"/>
      <c r="G1029"/>
      <c r="H1029"/>
      <c r="I1029"/>
      <c r="J1029"/>
      <c r="K1029"/>
      <c r="L1029"/>
      <c r="M1029"/>
      <c r="N1029"/>
      <c r="O1029"/>
      <c r="P1029"/>
      <c r="Q1029"/>
      <c r="R1029"/>
      <c r="S1029"/>
      <c r="T1029"/>
      <c r="U1029"/>
      <c r="V1029"/>
      <c r="W1029"/>
      <c r="X1029"/>
      <c r="Y1029"/>
      <c r="Z1029"/>
      <c r="AA1029"/>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c r="BZ1029"/>
      <c r="CA1029"/>
      <c r="CB1029"/>
      <c r="CC1029"/>
      <c r="CD1029"/>
      <c r="CE1029"/>
      <c r="CF1029"/>
      <c r="CG1029"/>
      <c r="CH1029"/>
      <c r="CI1029"/>
      <c r="CJ1029"/>
      <c r="CK1029"/>
      <c r="CL1029"/>
      <c r="CM1029"/>
      <c r="CN1029"/>
      <c r="CO1029"/>
      <c r="CP1029"/>
      <c r="CQ1029"/>
      <c r="CR1029"/>
      <c r="CS1029"/>
      <c r="CT1029"/>
      <c r="CU1029"/>
      <c r="CV1029"/>
      <c r="CW1029"/>
      <c r="CX1029"/>
      <c r="CY1029"/>
      <c r="CZ1029"/>
      <c r="DA1029"/>
      <c r="DB1029"/>
      <c r="DC1029"/>
      <c r="DD1029"/>
      <c r="DE1029"/>
      <c r="DF1029"/>
      <c r="DG1029"/>
      <c r="DH1029"/>
      <c r="DI1029"/>
      <c r="DJ1029"/>
      <c r="DK1029"/>
      <c r="DL1029"/>
      <c r="DM1029"/>
      <c r="DN1029"/>
      <c r="DO1029"/>
      <c r="DP1029"/>
      <c r="DQ1029"/>
      <c r="DR1029"/>
      <c r="DS1029"/>
      <c r="DT1029"/>
      <c r="DU1029"/>
      <c r="DV1029"/>
      <c r="DW1029"/>
      <c r="DX1029"/>
      <c r="DY1029"/>
      <c r="DZ1029"/>
      <c r="EA1029"/>
      <c r="EB1029"/>
      <c r="EC1029"/>
      <c r="ED1029"/>
      <c r="EE1029"/>
      <c r="EF1029"/>
      <c r="EG1029"/>
      <c r="EH1029"/>
      <c r="EI1029"/>
      <c r="EJ1029"/>
      <c r="EK1029"/>
      <c r="EL1029"/>
      <c r="EM1029"/>
      <c r="EN1029"/>
      <c r="EO1029"/>
      <c r="EP1029"/>
      <c r="EQ1029"/>
      <c r="ER1029"/>
      <c r="ES1029"/>
    </row>
    <row r="1030" spans="1:149">
      <c r="A1030"/>
      <c r="B1030"/>
      <c r="C1030"/>
      <c r="D1030"/>
      <c r="E1030"/>
      <c r="F1030"/>
      <c r="G1030"/>
      <c r="H1030"/>
      <c r="I1030"/>
      <c r="J1030"/>
      <c r="K1030"/>
      <c r="L1030"/>
      <c r="M1030"/>
      <c r="N1030"/>
      <c r="O1030"/>
      <c r="P1030"/>
      <c r="Q1030"/>
      <c r="R1030"/>
      <c r="S1030"/>
      <c r="T1030"/>
      <c r="U1030"/>
      <c r="V1030"/>
      <c r="W1030"/>
      <c r="X1030"/>
      <c r="Y1030"/>
      <c r="Z1030"/>
      <c r="AA1030"/>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c r="BZ1030"/>
      <c r="CA1030"/>
      <c r="CB1030"/>
      <c r="CC1030"/>
      <c r="CD1030"/>
      <c r="CE1030"/>
      <c r="CF1030"/>
      <c r="CG1030"/>
      <c r="CH1030"/>
      <c r="CI1030"/>
      <c r="CJ1030"/>
      <c r="CK1030"/>
      <c r="CL1030"/>
      <c r="CM1030"/>
      <c r="CN1030"/>
      <c r="CO1030"/>
      <c r="CP1030"/>
      <c r="CQ1030"/>
      <c r="CR1030"/>
      <c r="CS1030"/>
      <c r="CT1030"/>
      <c r="CU1030"/>
      <c r="CV1030"/>
      <c r="CW1030"/>
      <c r="CX1030"/>
      <c r="CY1030"/>
      <c r="CZ1030"/>
      <c r="DA1030"/>
      <c r="DB1030"/>
      <c r="DC1030"/>
      <c r="DD1030"/>
      <c r="DE1030"/>
      <c r="DF1030"/>
      <c r="DG1030"/>
      <c r="DH1030"/>
      <c r="DI1030"/>
      <c r="DJ1030"/>
      <c r="DK1030"/>
      <c r="DL1030"/>
      <c r="DM1030"/>
      <c r="DN1030"/>
      <c r="DO1030"/>
      <c r="DP1030"/>
      <c r="DQ1030"/>
      <c r="DR1030"/>
      <c r="DS1030"/>
      <c r="DT1030"/>
      <c r="DU1030"/>
      <c r="DV1030"/>
      <c r="DW1030"/>
      <c r="DX1030"/>
      <c r="DY1030"/>
      <c r="DZ1030"/>
      <c r="EA1030"/>
      <c r="EB1030"/>
      <c r="EC1030"/>
      <c r="ED1030"/>
      <c r="EE1030"/>
      <c r="EF1030"/>
      <c r="EG1030"/>
      <c r="EH1030"/>
      <c r="EI1030"/>
      <c r="EJ1030"/>
      <c r="EK1030"/>
      <c r="EL1030"/>
      <c r="EM1030"/>
      <c r="EN1030"/>
      <c r="EO1030"/>
      <c r="EP1030"/>
      <c r="EQ1030"/>
      <c r="ER1030"/>
      <c r="ES1030"/>
    </row>
    <row r="1031" spans="1:149">
      <c r="A1031"/>
      <c r="B1031"/>
      <c r="C1031"/>
      <c r="D1031"/>
      <c r="E1031"/>
      <c r="F1031"/>
      <c r="G1031"/>
      <c r="H1031"/>
      <c r="I1031"/>
      <c r="J1031"/>
      <c r="K1031"/>
      <c r="L1031"/>
      <c r="M1031"/>
      <c r="N1031"/>
      <c r="O1031"/>
      <c r="P1031"/>
      <c r="Q1031"/>
      <c r="R1031"/>
      <c r="S1031"/>
      <c r="T1031"/>
      <c r="U1031"/>
      <c r="V1031"/>
      <c r="W1031"/>
      <c r="X1031"/>
      <c r="Y1031"/>
      <c r="Z1031"/>
      <c r="AA1031"/>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c r="BZ1031"/>
      <c r="CA1031"/>
      <c r="CB1031"/>
      <c r="CC1031"/>
      <c r="CD1031"/>
      <c r="CE1031"/>
      <c r="CF1031"/>
      <c r="CG1031"/>
      <c r="CH1031"/>
      <c r="CI1031"/>
      <c r="CJ1031"/>
      <c r="CK1031"/>
      <c r="CL1031"/>
      <c r="CM1031"/>
      <c r="CN1031"/>
      <c r="CO1031"/>
      <c r="CP1031"/>
      <c r="CQ1031"/>
      <c r="CR1031"/>
      <c r="CS1031"/>
      <c r="CT1031"/>
      <c r="CU1031"/>
      <c r="CV1031"/>
      <c r="CW1031"/>
      <c r="CX1031"/>
      <c r="CY1031"/>
      <c r="CZ1031"/>
      <c r="DA1031"/>
      <c r="DB1031"/>
      <c r="DC1031"/>
      <c r="DD1031"/>
      <c r="DE1031"/>
      <c r="DF1031"/>
      <c r="DG1031"/>
      <c r="DH1031"/>
      <c r="DI1031"/>
      <c r="DJ1031"/>
      <c r="DK1031"/>
      <c r="DL1031"/>
      <c r="DM1031"/>
      <c r="DN1031"/>
      <c r="DO1031"/>
      <c r="DP1031"/>
      <c r="DQ1031"/>
      <c r="DR1031"/>
      <c r="DS1031"/>
      <c r="DT1031"/>
      <c r="DU1031"/>
      <c r="DV1031"/>
      <c r="DW1031"/>
      <c r="DX1031"/>
      <c r="DY1031"/>
      <c r="DZ1031"/>
      <c r="EA1031"/>
      <c r="EB1031"/>
      <c r="EC1031"/>
      <c r="ED1031"/>
      <c r="EE1031"/>
      <c r="EF1031"/>
      <c r="EG1031"/>
      <c r="EH1031"/>
      <c r="EI1031"/>
      <c r="EJ1031"/>
      <c r="EK1031"/>
      <c r="EL1031"/>
      <c r="EM1031"/>
      <c r="EN1031"/>
      <c r="EO1031"/>
      <c r="EP1031"/>
      <c r="EQ1031"/>
      <c r="ER1031"/>
      <c r="ES1031"/>
    </row>
    <row r="1032" spans="1:149">
      <c r="A1032"/>
      <c r="B1032"/>
      <c r="C1032"/>
      <c r="D1032"/>
      <c r="E1032"/>
      <c r="F1032"/>
      <c r="G1032"/>
      <c r="H1032"/>
      <c r="I1032"/>
      <c r="J1032"/>
      <c r="K1032"/>
      <c r="L1032"/>
      <c r="M1032"/>
      <c r="N1032"/>
      <c r="O1032"/>
      <c r="P1032"/>
      <c r="Q1032"/>
      <c r="R1032"/>
      <c r="S1032"/>
      <c r="T1032"/>
      <c r="U1032"/>
      <c r="V1032"/>
      <c r="W1032"/>
      <c r="X1032"/>
      <c r="Y1032"/>
      <c r="Z1032"/>
      <c r="AA1032"/>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c r="BZ1032"/>
      <c r="CA1032"/>
      <c r="CB1032"/>
      <c r="CC1032"/>
      <c r="CD1032"/>
      <c r="CE1032"/>
      <c r="CF1032"/>
      <c r="CG1032"/>
      <c r="CH1032"/>
      <c r="CI1032"/>
      <c r="CJ1032"/>
      <c r="CK1032"/>
      <c r="CL1032"/>
      <c r="CM1032"/>
      <c r="CN1032"/>
      <c r="CO1032"/>
      <c r="CP1032"/>
      <c r="CQ1032"/>
      <c r="CR1032"/>
      <c r="CS1032"/>
      <c r="CT1032"/>
      <c r="CU1032"/>
      <c r="CV1032"/>
      <c r="CW1032"/>
      <c r="CX1032"/>
      <c r="CY1032"/>
      <c r="CZ1032"/>
      <c r="DA1032"/>
      <c r="DB1032"/>
      <c r="DC1032"/>
      <c r="DD1032"/>
      <c r="DE1032"/>
      <c r="DF1032"/>
      <c r="DG1032"/>
      <c r="DH1032"/>
      <c r="DI1032"/>
      <c r="DJ1032"/>
      <c r="DK1032"/>
      <c r="DL1032"/>
      <c r="DM1032"/>
      <c r="DN1032"/>
      <c r="DO1032"/>
      <c r="DP1032"/>
      <c r="DQ1032"/>
      <c r="DR1032"/>
      <c r="DS1032"/>
      <c r="DT1032"/>
      <c r="DU1032"/>
      <c r="DV1032"/>
      <c r="DW1032"/>
      <c r="DX1032"/>
      <c r="DY1032"/>
      <c r="DZ1032"/>
      <c r="EA1032"/>
      <c r="EB1032"/>
      <c r="EC1032"/>
      <c r="ED1032"/>
      <c r="EE1032"/>
      <c r="EF1032"/>
      <c r="EG1032"/>
      <c r="EH1032"/>
      <c r="EI1032"/>
      <c r="EJ1032"/>
      <c r="EK1032"/>
      <c r="EL1032"/>
      <c r="EM1032"/>
      <c r="EN1032"/>
      <c r="EO1032"/>
      <c r="EP1032"/>
      <c r="EQ1032"/>
      <c r="ER1032"/>
      <c r="ES1032"/>
    </row>
    <row r="1033" spans="1:149">
      <c r="A1033"/>
      <c r="B1033"/>
      <c r="C1033"/>
      <c r="D1033"/>
      <c r="E1033"/>
      <c r="F1033"/>
      <c r="G1033"/>
      <c r="H1033"/>
      <c r="I1033"/>
      <c r="J1033"/>
      <c r="K1033"/>
      <c r="L1033"/>
      <c r="M1033"/>
      <c r="N1033"/>
      <c r="O1033"/>
      <c r="P1033"/>
      <c r="Q1033"/>
      <c r="R1033"/>
      <c r="S1033"/>
      <c r="T1033"/>
      <c r="U1033"/>
      <c r="V1033"/>
      <c r="W1033"/>
      <c r="X1033"/>
      <c r="Y1033"/>
      <c r="Z1033"/>
      <c r="AA1033"/>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c r="BZ1033"/>
      <c r="CA1033"/>
      <c r="CB1033"/>
      <c r="CC1033"/>
      <c r="CD1033"/>
      <c r="CE1033"/>
      <c r="CF1033"/>
      <c r="CG1033"/>
      <c r="CH1033"/>
      <c r="CI1033"/>
      <c r="CJ1033"/>
      <c r="CK1033"/>
      <c r="CL1033"/>
      <c r="CM1033"/>
      <c r="CN1033"/>
      <c r="CO1033"/>
      <c r="CP1033"/>
      <c r="CQ1033"/>
      <c r="CR1033"/>
      <c r="CS1033"/>
      <c r="CT1033"/>
      <c r="CU1033"/>
      <c r="CV1033"/>
      <c r="CW1033"/>
      <c r="CX1033"/>
      <c r="CY1033"/>
      <c r="CZ1033"/>
      <c r="DA1033"/>
      <c r="DB1033"/>
      <c r="DC1033"/>
      <c r="DD1033"/>
      <c r="DE1033"/>
      <c r="DF1033"/>
      <c r="DG1033"/>
      <c r="DH1033"/>
      <c r="DI1033"/>
      <c r="DJ1033"/>
      <c r="DK1033"/>
      <c r="DL1033"/>
      <c r="DM1033"/>
      <c r="DN1033"/>
      <c r="DO1033"/>
      <c r="DP1033"/>
      <c r="DQ1033"/>
      <c r="DR1033"/>
      <c r="DS1033"/>
      <c r="DT1033"/>
      <c r="DU1033"/>
      <c r="DV1033"/>
      <c r="DW1033"/>
      <c r="DX1033"/>
      <c r="DY1033"/>
      <c r="DZ1033"/>
      <c r="EA1033"/>
      <c r="EB1033"/>
      <c r="EC1033"/>
      <c r="ED1033"/>
      <c r="EE1033"/>
      <c r="EF1033"/>
      <c r="EG1033"/>
      <c r="EH1033"/>
      <c r="EI1033"/>
      <c r="EJ1033"/>
      <c r="EK1033"/>
      <c r="EL1033"/>
      <c r="EM1033"/>
      <c r="EN1033"/>
      <c r="EO1033"/>
      <c r="EP1033"/>
      <c r="EQ1033"/>
      <c r="ER1033"/>
      <c r="ES1033"/>
    </row>
    <row r="1034" spans="1:149">
      <c r="A1034"/>
      <c r="B1034"/>
      <c r="C1034"/>
      <c r="D1034"/>
      <c r="E1034"/>
      <c r="F1034"/>
      <c r="G1034"/>
      <c r="H1034"/>
      <c r="I1034"/>
      <c r="J1034"/>
      <c r="K1034"/>
      <c r="L1034"/>
      <c r="M1034"/>
      <c r="N1034"/>
      <c r="O1034"/>
      <c r="P1034"/>
      <c r="Q1034"/>
      <c r="R1034"/>
      <c r="S1034"/>
      <c r="T1034"/>
      <c r="U1034"/>
      <c r="V1034"/>
      <c r="W1034"/>
      <c r="X1034"/>
      <c r="Y1034"/>
      <c r="Z1034"/>
      <c r="AA1034"/>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c r="BZ1034"/>
      <c r="CA1034"/>
      <c r="CB1034"/>
      <c r="CC1034"/>
      <c r="CD1034"/>
      <c r="CE1034"/>
      <c r="CF1034"/>
      <c r="CG1034"/>
      <c r="CH1034"/>
      <c r="CI1034"/>
      <c r="CJ1034"/>
      <c r="CK1034"/>
      <c r="CL1034"/>
      <c r="CM1034"/>
      <c r="CN1034"/>
      <c r="CO1034"/>
      <c r="CP1034"/>
      <c r="CQ1034"/>
      <c r="CR1034"/>
      <c r="CS1034"/>
      <c r="CT1034"/>
      <c r="CU1034"/>
      <c r="CV1034"/>
      <c r="CW1034"/>
      <c r="CX1034"/>
      <c r="CY1034"/>
      <c r="CZ1034"/>
      <c r="DA1034"/>
      <c r="DB1034"/>
      <c r="DC1034"/>
      <c r="DD1034"/>
      <c r="DE1034"/>
      <c r="DF1034"/>
      <c r="DG1034"/>
      <c r="DH1034"/>
      <c r="DI1034"/>
      <c r="DJ1034"/>
      <c r="DK1034"/>
      <c r="DL1034"/>
      <c r="DM1034"/>
      <c r="DN1034"/>
      <c r="DO1034"/>
      <c r="DP1034"/>
      <c r="DQ1034"/>
      <c r="DR1034"/>
      <c r="DS1034"/>
      <c r="DT1034"/>
      <c r="DU1034"/>
      <c r="DV1034"/>
      <c r="DW1034"/>
      <c r="DX1034"/>
      <c r="DY1034"/>
      <c r="DZ1034"/>
      <c r="EA1034"/>
      <c r="EB1034"/>
      <c r="EC1034"/>
      <c r="ED1034"/>
      <c r="EE1034"/>
      <c r="EF1034"/>
      <c r="EG1034"/>
      <c r="EH1034"/>
      <c r="EI1034"/>
      <c r="EJ1034"/>
      <c r="EK1034"/>
      <c r="EL1034"/>
      <c r="EM1034"/>
      <c r="EN1034"/>
      <c r="EO1034"/>
      <c r="EP1034"/>
      <c r="EQ1034"/>
      <c r="ER1034"/>
      <c r="ES1034"/>
    </row>
    <row r="1035" spans="1:149">
      <c r="A1035"/>
      <c r="B1035"/>
      <c r="C1035"/>
      <c r="D1035"/>
      <c r="E1035"/>
      <c r="F1035"/>
      <c r="G1035"/>
      <c r="H1035"/>
      <c r="I1035"/>
      <c r="J1035"/>
      <c r="K1035"/>
      <c r="L1035"/>
      <c r="M1035"/>
      <c r="N1035"/>
      <c r="O1035"/>
      <c r="P1035"/>
      <c r="Q1035"/>
      <c r="R1035"/>
      <c r="S1035"/>
      <c r="T1035"/>
      <c r="U1035"/>
      <c r="V1035"/>
      <c r="W1035"/>
      <c r="X1035"/>
      <c r="Y1035"/>
      <c r="Z1035"/>
      <c r="AA1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c r="BZ1035"/>
      <c r="CA1035"/>
      <c r="CB1035"/>
      <c r="CC1035"/>
      <c r="CD1035"/>
      <c r="CE1035"/>
      <c r="CF1035"/>
      <c r="CG1035"/>
      <c r="CH1035"/>
      <c r="CI1035"/>
      <c r="CJ1035"/>
      <c r="CK1035"/>
      <c r="CL1035"/>
      <c r="CM1035"/>
      <c r="CN1035"/>
      <c r="CO1035"/>
      <c r="CP1035"/>
      <c r="CQ1035"/>
      <c r="CR1035"/>
      <c r="CS1035"/>
      <c r="CT1035"/>
      <c r="CU1035"/>
      <c r="CV1035"/>
      <c r="CW1035"/>
      <c r="CX1035"/>
      <c r="CY1035"/>
      <c r="CZ1035"/>
      <c r="DA1035"/>
      <c r="DB1035"/>
      <c r="DC1035"/>
      <c r="DD1035"/>
      <c r="DE1035"/>
      <c r="DF1035"/>
      <c r="DG1035"/>
      <c r="DH1035"/>
      <c r="DI1035"/>
      <c r="DJ1035"/>
      <c r="DK1035"/>
      <c r="DL1035"/>
      <c r="DM1035"/>
      <c r="DN1035"/>
      <c r="DO1035"/>
      <c r="DP1035"/>
      <c r="DQ1035"/>
      <c r="DR1035"/>
      <c r="DS1035"/>
      <c r="DT1035"/>
      <c r="DU1035"/>
      <c r="DV1035"/>
      <c r="DW1035"/>
      <c r="DX1035"/>
      <c r="DY1035"/>
      <c r="DZ1035"/>
      <c r="EA1035"/>
      <c r="EB1035"/>
      <c r="EC1035"/>
      <c r="ED1035"/>
      <c r="EE1035"/>
      <c r="EF1035"/>
      <c r="EG1035"/>
      <c r="EH1035"/>
      <c r="EI1035"/>
      <c r="EJ1035"/>
      <c r="EK1035"/>
      <c r="EL1035"/>
      <c r="EM1035"/>
      <c r="EN1035"/>
      <c r="EO1035"/>
      <c r="EP1035"/>
      <c r="EQ1035"/>
      <c r="ER1035"/>
      <c r="ES1035"/>
    </row>
    <row r="1036" spans="1:149">
      <c r="A1036"/>
      <c r="B1036"/>
      <c r="C1036"/>
      <c r="D1036"/>
      <c r="E1036"/>
      <c r="F1036"/>
      <c r="G1036"/>
      <c r="H1036"/>
      <c r="I1036"/>
      <c r="J1036"/>
      <c r="K1036"/>
      <c r="L1036"/>
      <c r="M1036"/>
      <c r="N1036"/>
      <c r="O1036"/>
      <c r="P1036"/>
      <c r="Q1036"/>
      <c r="R1036"/>
      <c r="S1036"/>
      <c r="T1036"/>
      <c r="U1036"/>
      <c r="V1036"/>
      <c r="W1036"/>
      <c r="X1036"/>
      <c r="Y1036"/>
      <c r="Z1036"/>
      <c r="AA1036"/>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c r="BZ1036"/>
      <c r="CA1036"/>
      <c r="CB1036"/>
      <c r="CC1036"/>
      <c r="CD1036"/>
      <c r="CE1036"/>
      <c r="CF1036"/>
      <c r="CG1036"/>
      <c r="CH1036"/>
      <c r="CI1036"/>
      <c r="CJ1036"/>
      <c r="CK1036"/>
      <c r="CL1036"/>
      <c r="CM1036"/>
      <c r="CN1036"/>
      <c r="CO1036"/>
      <c r="CP1036"/>
      <c r="CQ1036"/>
      <c r="CR1036"/>
      <c r="CS1036"/>
      <c r="CT1036"/>
      <c r="CU1036"/>
      <c r="CV1036"/>
      <c r="CW1036"/>
      <c r="CX1036"/>
      <c r="CY1036"/>
      <c r="CZ1036"/>
      <c r="DA1036"/>
      <c r="DB1036"/>
      <c r="DC1036"/>
      <c r="DD1036"/>
      <c r="DE1036"/>
      <c r="DF1036"/>
      <c r="DG1036"/>
      <c r="DH1036"/>
      <c r="DI1036"/>
      <c r="DJ1036"/>
      <c r="DK1036"/>
      <c r="DL1036"/>
      <c r="DM1036"/>
      <c r="DN1036"/>
      <c r="DO1036"/>
      <c r="DP1036"/>
      <c r="DQ1036"/>
      <c r="DR1036"/>
      <c r="DS1036"/>
      <c r="DT1036"/>
      <c r="DU1036"/>
      <c r="DV1036"/>
      <c r="DW1036"/>
      <c r="DX1036"/>
      <c r="DY1036"/>
      <c r="DZ1036"/>
      <c r="EA1036"/>
      <c r="EB1036"/>
      <c r="EC1036"/>
      <c r="ED1036"/>
      <c r="EE1036"/>
      <c r="EF1036"/>
      <c r="EG1036"/>
      <c r="EH1036"/>
      <c r="EI1036"/>
      <c r="EJ1036"/>
      <c r="EK1036"/>
      <c r="EL1036"/>
      <c r="EM1036"/>
      <c r="EN1036"/>
      <c r="EO1036"/>
      <c r="EP1036"/>
      <c r="EQ1036"/>
      <c r="ER1036"/>
      <c r="ES1036"/>
    </row>
    <row r="1037" spans="1:149">
      <c r="A1037"/>
      <c r="B1037"/>
      <c r="C1037"/>
      <c r="D1037"/>
      <c r="E1037"/>
      <c r="F1037"/>
      <c r="G1037"/>
      <c r="H1037"/>
      <c r="I1037"/>
      <c r="J1037"/>
      <c r="K1037"/>
      <c r="L1037"/>
      <c r="M1037"/>
      <c r="N1037"/>
      <c r="O1037"/>
      <c r="P1037"/>
      <c r="Q1037"/>
      <c r="R1037"/>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c r="BZ1037"/>
      <c r="CA1037"/>
      <c r="CB1037"/>
      <c r="CC1037"/>
      <c r="CD1037"/>
      <c r="CE1037"/>
      <c r="CF1037"/>
      <c r="CG1037"/>
      <c r="CH1037"/>
      <c r="CI1037"/>
      <c r="CJ1037"/>
      <c r="CK1037"/>
      <c r="CL1037"/>
      <c r="CM1037"/>
      <c r="CN1037"/>
      <c r="CO1037"/>
      <c r="CP1037"/>
      <c r="CQ1037"/>
      <c r="CR1037"/>
      <c r="CS1037"/>
      <c r="CT1037"/>
      <c r="CU1037"/>
      <c r="CV1037"/>
      <c r="CW1037"/>
      <c r="CX1037"/>
      <c r="CY1037"/>
      <c r="CZ1037"/>
      <c r="DA1037"/>
      <c r="DB1037"/>
      <c r="DC1037"/>
      <c r="DD1037"/>
      <c r="DE1037"/>
      <c r="DF1037"/>
      <c r="DG1037"/>
      <c r="DH1037"/>
      <c r="DI1037"/>
      <c r="DJ1037"/>
      <c r="DK1037"/>
      <c r="DL1037"/>
      <c r="DM1037"/>
      <c r="DN1037"/>
      <c r="DO1037"/>
      <c r="DP1037"/>
      <c r="DQ1037"/>
      <c r="DR1037"/>
      <c r="DS1037"/>
      <c r="DT1037"/>
      <c r="DU1037"/>
      <c r="DV1037"/>
      <c r="DW1037"/>
      <c r="DX1037"/>
      <c r="DY1037"/>
      <c r="DZ1037"/>
      <c r="EA1037"/>
      <c r="EB1037"/>
      <c r="EC1037"/>
      <c r="ED1037"/>
      <c r="EE1037"/>
      <c r="EF1037"/>
      <c r="EG1037"/>
      <c r="EH1037"/>
      <c r="EI1037"/>
      <c r="EJ1037"/>
      <c r="EK1037"/>
      <c r="EL1037"/>
      <c r="EM1037"/>
      <c r="EN1037"/>
      <c r="EO1037"/>
      <c r="EP1037"/>
      <c r="EQ1037"/>
      <c r="ER1037"/>
      <c r="ES1037"/>
    </row>
    <row r="1038" spans="1:149">
      <c r="A1038"/>
      <c r="B1038"/>
      <c r="C1038"/>
      <c r="D1038"/>
      <c r="E1038"/>
      <c r="F1038"/>
      <c r="G1038"/>
      <c r="H1038"/>
      <c r="I1038"/>
      <c r="J1038"/>
      <c r="K1038"/>
      <c r="L1038"/>
      <c r="M1038"/>
      <c r="N1038"/>
      <c r="O1038"/>
      <c r="P1038"/>
      <c r="Q1038"/>
      <c r="R1038"/>
      <c r="S1038"/>
      <c r="T1038"/>
      <c r="U1038"/>
      <c r="V1038"/>
      <c r="W1038"/>
      <c r="X1038"/>
      <c r="Y1038"/>
      <c r="Z1038"/>
      <c r="AA1038"/>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c r="BZ1038"/>
      <c r="CA1038"/>
      <c r="CB1038"/>
      <c r="CC1038"/>
      <c r="CD1038"/>
      <c r="CE1038"/>
      <c r="CF1038"/>
      <c r="CG1038"/>
      <c r="CH1038"/>
      <c r="CI1038"/>
      <c r="CJ1038"/>
      <c r="CK1038"/>
      <c r="CL1038"/>
      <c r="CM1038"/>
      <c r="CN1038"/>
      <c r="CO1038"/>
      <c r="CP1038"/>
      <c r="CQ1038"/>
      <c r="CR1038"/>
      <c r="CS1038"/>
      <c r="CT1038"/>
      <c r="CU1038"/>
      <c r="CV1038"/>
      <c r="CW1038"/>
      <c r="CX1038"/>
      <c r="CY1038"/>
      <c r="CZ1038"/>
      <c r="DA1038"/>
      <c r="DB1038"/>
      <c r="DC1038"/>
      <c r="DD1038"/>
      <c r="DE1038"/>
      <c r="DF1038"/>
      <c r="DG1038"/>
      <c r="DH1038"/>
      <c r="DI1038"/>
      <c r="DJ1038"/>
      <c r="DK1038"/>
      <c r="DL1038"/>
      <c r="DM1038"/>
      <c r="DN1038"/>
      <c r="DO1038"/>
      <c r="DP1038"/>
      <c r="DQ1038"/>
      <c r="DR1038"/>
      <c r="DS1038"/>
      <c r="DT1038"/>
      <c r="DU1038"/>
      <c r="DV1038"/>
      <c r="DW1038"/>
      <c r="DX1038"/>
      <c r="DY1038"/>
      <c r="DZ1038"/>
      <c r="EA1038"/>
      <c r="EB1038"/>
      <c r="EC1038"/>
      <c r="ED1038"/>
      <c r="EE1038"/>
      <c r="EF1038"/>
      <c r="EG1038"/>
      <c r="EH1038"/>
      <c r="EI1038"/>
      <c r="EJ1038"/>
      <c r="EK1038"/>
      <c r="EL1038"/>
      <c r="EM1038"/>
      <c r="EN1038"/>
      <c r="EO1038"/>
      <c r="EP1038"/>
      <c r="EQ1038"/>
      <c r="ER1038"/>
      <c r="ES1038"/>
    </row>
    <row r="1039" spans="1:149">
      <c r="A1039"/>
      <c r="B1039"/>
      <c r="C1039"/>
      <c r="D1039"/>
      <c r="E1039"/>
      <c r="F1039"/>
      <c r="G1039"/>
      <c r="H1039"/>
      <c r="I1039"/>
      <c r="J1039"/>
      <c r="K1039"/>
      <c r="L1039"/>
      <c r="M1039"/>
      <c r="N1039"/>
      <c r="O1039"/>
      <c r="P1039"/>
      <c r="Q1039"/>
      <c r="R1039"/>
      <c r="S1039"/>
      <c r="T1039"/>
      <c r="U1039"/>
      <c r="V1039"/>
      <c r="W1039"/>
      <c r="X1039"/>
      <c r="Y1039"/>
      <c r="Z1039"/>
      <c r="AA1039"/>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c r="BZ1039"/>
      <c r="CA1039"/>
      <c r="CB1039"/>
      <c r="CC1039"/>
      <c r="CD1039"/>
      <c r="CE1039"/>
      <c r="CF1039"/>
      <c r="CG1039"/>
      <c r="CH1039"/>
      <c r="CI1039"/>
      <c r="CJ1039"/>
      <c r="CK1039"/>
      <c r="CL1039"/>
      <c r="CM1039"/>
      <c r="CN1039"/>
      <c r="CO1039"/>
      <c r="CP1039"/>
      <c r="CQ1039"/>
      <c r="CR1039"/>
      <c r="CS1039"/>
      <c r="CT1039"/>
      <c r="CU1039"/>
      <c r="CV1039"/>
      <c r="CW1039"/>
      <c r="CX1039"/>
      <c r="CY1039"/>
      <c r="CZ1039"/>
      <c r="DA1039"/>
      <c r="DB1039"/>
      <c r="DC1039"/>
      <c r="DD1039"/>
      <c r="DE1039"/>
      <c r="DF1039"/>
      <c r="DG1039"/>
      <c r="DH1039"/>
      <c r="DI1039"/>
      <c r="DJ1039"/>
      <c r="DK1039"/>
      <c r="DL1039"/>
      <c r="DM1039"/>
      <c r="DN1039"/>
      <c r="DO1039"/>
      <c r="DP1039"/>
      <c r="DQ1039"/>
      <c r="DR1039"/>
      <c r="DS1039"/>
      <c r="DT1039"/>
      <c r="DU1039"/>
      <c r="DV1039"/>
      <c r="DW1039"/>
      <c r="DX1039"/>
      <c r="DY1039"/>
      <c r="DZ1039"/>
      <c r="EA1039"/>
      <c r="EB1039"/>
      <c r="EC1039"/>
      <c r="ED1039"/>
      <c r="EE1039"/>
      <c r="EF1039"/>
      <c r="EG1039"/>
      <c r="EH1039"/>
      <c r="EI1039"/>
      <c r="EJ1039"/>
      <c r="EK1039"/>
      <c r="EL1039"/>
      <c r="EM1039"/>
      <c r="EN1039"/>
      <c r="EO1039"/>
      <c r="EP1039"/>
      <c r="EQ1039"/>
      <c r="ER1039"/>
      <c r="ES1039"/>
    </row>
    <row r="1040" spans="1:149">
      <c r="A1040"/>
      <c r="B1040"/>
      <c r="C1040"/>
      <c r="D1040"/>
      <c r="E1040"/>
      <c r="F1040"/>
      <c r="G1040"/>
      <c r="H1040"/>
      <c r="I1040"/>
      <c r="J1040"/>
      <c r="K1040"/>
      <c r="L1040"/>
      <c r="M1040"/>
      <c r="N1040"/>
      <c r="O1040"/>
      <c r="P1040"/>
      <c r="Q1040"/>
      <c r="R1040"/>
      <c r="S1040"/>
      <c r="T1040"/>
      <c r="U1040"/>
      <c r="V1040"/>
      <c r="W1040"/>
      <c r="X1040"/>
      <c r="Y1040"/>
      <c r="Z1040"/>
      <c r="AA1040"/>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c r="BZ1040"/>
      <c r="CA1040"/>
      <c r="CB1040"/>
      <c r="CC1040"/>
      <c r="CD1040"/>
      <c r="CE1040"/>
      <c r="CF1040"/>
      <c r="CG1040"/>
      <c r="CH1040"/>
      <c r="CI1040"/>
      <c r="CJ1040"/>
      <c r="CK1040"/>
      <c r="CL1040"/>
      <c r="CM1040"/>
      <c r="CN1040"/>
      <c r="CO1040"/>
      <c r="CP1040"/>
      <c r="CQ1040"/>
      <c r="CR1040"/>
      <c r="CS1040"/>
      <c r="CT1040"/>
      <c r="CU1040"/>
      <c r="CV1040"/>
      <c r="CW1040"/>
      <c r="CX1040"/>
      <c r="CY1040"/>
      <c r="CZ1040"/>
      <c r="DA1040"/>
      <c r="DB1040"/>
      <c r="DC1040"/>
      <c r="DD1040"/>
      <c r="DE1040"/>
      <c r="DF1040"/>
      <c r="DG1040"/>
      <c r="DH1040"/>
      <c r="DI1040"/>
      <c r="DJ1040"/>
      <c r="DK1040"/>
      <c r="DL1040"/>
      <c r="DM1040"/>
      <c r="DN1040"/>
      <c r="DO1040"/>
      <c r="DP1040"/>
      <c r="DQ1040"/>
      <c r="DR1040"/>
      <c r="DS1040"/>
      <c r="DT1040"/>
      <c r="DU1040"/>
      <c r="DV1040"/>
      <c r="DW1040"/>
      <c r="DX1040"/>
      <c r="DY1040"/>
      <c r="DZ1040"/>
      <c r="EA1040"/>
      <c r="EB1040"/>
      <c r="EC1040"/>
      <c r="ED1040"/>
      <c r="EE1040"/>
      <c r="EF1040"/>
      <c r="EG1040"/>
      <c r="EH1040"/>
      <c r="EI1040"/>
      <c r="EJ1040"/>
      <c r="EK1040"/>
      <c r="EL1040"/>
      <c r="EM1040"/>
      <c r="EN1040"/>
      <c r="EO1040"/>
      <c r="EP1040"/>
      <c r="EQ1040"/>
      <c r="ER1040"/>
      <c r="ES1040"/>
    </row>
    <row r="1041" spans="1:149">
      <c r="A1041"/>
      <c r="B1041"/>
      <c r="C1041"/>
      <c r="D1041"/>
      <c r="E1041"/>
      <c r="F1041"/>
      <c r="G1041"/>
      <c r="H1041"/>
      <c r="I1041"/>
      <c r="J1041"/>
      <c r="K1041"/>
      <c r="L1041"/>
      <c r="M1041"/>
      <c r="N1041"/>
      <c r="O1041"/>
      <c r="P1041"/>
      <c r="Q1041"/>
      <c r="R1041"/>
      <c r="S1041"/>
      <c r="T1041"/>
      <c r="U1041"/>
      <c r="V1041"/>
      <c r="W1041"/>
      <c r="X1041"/>
      <c r="Y1041"/>
      <c r="Z1041"/>
      <c r="AA1041"/>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c r="BZ1041"/>
      <c r="CA1041"/>
      <c r="CB1041"/>
      <c r="CC1041"/>
      <c r="CD1041"/>
      <c r="CE1041"/>
      <c r="CF1041"/>
      <c r="CG1041"/>
      <c r="CH1041"/>
      <c r="CI1041"/>
      <c r="CJ1041"/>
      <c r="CK1041"/>
      <c r="CL1041"/>
      <c r="CM1041"/>
      <c r="CN1041"/>
      <c r="CO1041"/>
      <c r="CP1041"/>
      <c r="CQ1041"/>
      <c r="CR1041"/>
      <c r="CS1041"/>
      <c r="CT1041"/>
      <c r="CU1041"/>
      <c r="CV1041"/>
      <c r="CW1041"/>
      <c r="CX1041"/>
      <c r="CY1041"/>
      <c r="CZ1041"/>
      <c r="DA1041"/>
      <c r="DB1041"/>
      <c r="DC1041"/>
      <c r="DD1041"/>
      <c r="DE1041"/>
      <c r="DF1041"/>
      <c r="DG1041"/>
      <c r="DH1041"/>
      <c r="DI1041"/>
      <c r="DJ1041"/>
      <c r="DK1041"/>
      <c r="DL1041"/>
      <c r="DM1041"/>
      <c r="DN1041"/>
      <c r="DO1041"/>
      <c r="DP1041"/>
      <c r="DQ1041"/>
      <c r="DR1041"/>
      <c r="DS1041"/>
      <c r="DT1041"/>
      <c r="DU1041"/>
      <c r="DV1041"/>
      <c r="DW1041"/>
      <c r="DX1041"/>
      <c r="DY1041"/>
      <c r="DZ1041"/>
      <c r="EA1041"/>
      <c r="EB1041"/>
      <c r="EC1041"/>
      <c r="ED1041"/>
      <c r="EE1041"/>
      <c r="EF1041"/>
      <c r="EG1041"/>
      <c r="EH1041"/>
      <c r="EI1041"/>
      <c r="EJ1041"/>
      <c r="EK1041"/>
      <c r="EL1041"/>
      <c r="EM1041"/>
      <c r="EN1041"/>
      <c r="EO1041"/>
      <c r="EP1041"/>
      <c r="EQ1041"/>
      <c r="ER1041"/>
      <c r="ES1041"/>
    </row>
    <row r="1042" spans="1:149">
      <c r="A1042"/>
      <c r="B1042"/>
      <c r="C1042"/>
      <c r="D1042"/>
      <c r="E1042"/>
      <c r="F1042"/>
      <c r="G1042"/>
      <c r="H1042"/>
      <c r="I1042"/>
      <c r="J1042"/>
      <c r="K1042"/>
      <c r="L1042"/>
      <c r="M1042"/>
      <c r="N1042"/>
      <c r="O1042"/>
      <c r="P1042"/>
      <c r="Q1042"/>
      <c r="R1042"/>
      <c r="S1042"/>
      <c r="T1042"/>
      <c r="U1042"/>
      <c r="V1042"/>
      <c r="W1042"/>
      <c r="X1042"/>
      <c r="Y1042"/>
      <c r="Z1042"/>
      <c r="AA1042"/>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c r="BZ1042"/>
      <c r="CA1042"/>
      <c r="CB1042"/>
      <c r="CC1042"/>
      <c r="CD1042"/>
      <c r="CE1042"/>
      <c r="CF1042"/>
      <c r="CG1042"/>
      <c r="CH1042"/>
      <c r="CI1042"/>
      <c r="CJ1042"/>
      <c r="CK1042"/>
      <c r="CL1042"/>
      <c r="CM1042"/>
      <c r="CN1042"/>
      <c r="CO1042"/>
      <c r="CP1042"/>
      <c r="CQ1042"/>
      <c r="CR1042"/>
      <c r="CS1042"/>
      <c r="CT1042"/>
      <c r="CU1042"/>
      <c r="CV1042"/>
      <c r="CW1042"/>
      <c r="CX1042"/>
      <c r="CY1042"/>
      <c r="CZ1042"/>
      <c r="DA1042"/>
      <c r="DB1042"/>
      <c r="DC1042"/>
      <c r="DD1042"/>
      <c r="DE1042"/>
      <c r="DF1042"/>
      <c r="DG1042"/>
      <c r="DH1042"/>
      <c r="DI1042"/>
      <c r="DJ1042"/>
      <c r="DK1042"/>
      <c r="DL1042"/>
      <c r="DM1042"/>
      <c r="DN1042"/>
      <c r="DO1042"/>
      <c r="DP1042"/>
      <c r="DQ1042"/>
      <c r="DR1042"/>
      <c r="DS1042"/>
      <c r="DT1042"/>
      <c r="DU1042"/>
      <c r="DV1042"/>
      <c r="DW1042"/>
      <c r="DX1042"/>
      <c r="DY1042"/>
      <c r="DZ1042"/>
      <c r="EA1042"/>
      <c r="EB1042"/>
      <c r="EC1042"/>
      <c r="ED1042"/>
      <c r="EE1042"/>
      <c r="EF1042"/>
      <c r="EG1042"/>
      <c r="EH1042"/>
      <c r="EI1042"/>
      <c r="EJ1042"/>
      <c r="EK1042"/>
      <c r="EL1042"/>
      <c r="EM1042"/>
      <c r="EN1042"/>
      <c r="EO1042"/>
      <c r="EP1042"/>
      <c r="EQ1042"/>
      <c r="ER1042"/>
      <c r="ES1042"/>
    </row>
    <row r="1043" spans="1:149">
      <c r="A1043"/>
      <c r="B1043"/>
      <c r="C1043"/>
      <c r="D1043"/>
      <c r="E1043"/>
      <c r="F1043"/>
      <c r="G1043"/>
      <c r="H1043"/>
      <c r="I1043"/>
      <c r="J1043"/>
      <c r="K1043"/>
      <c r="L1043"/>
      <c r="M1043"/>
      <c r="N1043"/>
      <c r="O1043"/>
      <c r="P1043"/>
      <c r="Q1043"/>
      <c r="R1043"/>
      <c r="S1043"/>
      <c r="T1043"/>
      <c r="U1043"/>
      <c r="V1043"/>
      <c r="W1043"/>
      <c r="X1043"/>
      <c r="Y1043"/>
      <c r="Z1043"/>
      <c r="AA1043"/>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c r="BZ1043"/>
      <c r="CA1043"/>
      <c r="CB1043"/>
      <c r="CC1043"/>
      <c r="CD1043"/>
      <c r="CE1043"/>
      <c r="CF1043"/>
      <c r="CG1043"/>
      <c r="CH1043"/>
      <c r="CI1043"/>
      <c r="CJ1043"/>
      <c r="CK1043"/>
      <c r="CL1043"/>
      <c r="CM1043"/>
      <c r="CN1043"/>
      <c r="CO1043"/>
      <c r="CP1043"/>
      <c r="CQ1043"/>
      <c r="CR1043"/>
      <c r="CS1043"/>
      <c r="CT1043"/>
      <c r="CU1043"/>
      <c r="CV1043"/>
      <c r="CW1043"/>
      <c r="CX1043"/>
      <c r="CY1043"/>
      <c r="CZ1043"/>
      <c r="DA1043"/>
      <c r="DB1043"/>
      <c r="DC1043"/>
      <c r="DD1043"/>
      <c r="DE1043"/>
      <c r="DF1043"/>
      <c r="DG1043"/>
      <c r="DH1043"/>
      <c r="DI1043"/>
      <c r="DJ1043"/>
      <c r="DK1043"/>
      <c r="DL1043"/>
      <c r="DM1043"/>
      <c r="DN1043"/>
      <c r="DO1043"/>
      <c r="DP1043"/>
      <c r="DQ1043"/>
      <c r="DR1043"/>
      <c r="DS1043"/>
      <c r="DT1043"/>
      <c r="DU1043"/>
      <c r="DV1043"/>
      <c r="DW1043"/>
      <c r="DX1043"/>
      <c r="DY1043"/>
      <c r="DZ1043"/>
      <c r="EA1043"/>
      <c r="EB1043"/>
      <c r="EC1043"/>
      <c r="ED1043"/>
      <c r="EE1043"/>
      <c r="EF1043"/>
      <c r="EG1043"/>
      <c r="EH1043"/>
      <c r="EI1043"/>
      <c r="EJ1043"/>
      <c r="EK1043"/>
      <c r="EL1043"/>
      <c r="EM1043"/>
      <c r="EN1043"/>
      <c r="EO1043"/>
      <c r="EP1043"/>
      <c r="EQ1043"/>
      <c r="ER1043"/>
      <c r="ES1043"/>
    </row>
    <row r="1044" spans="1:149">
      <c r="A1044"/>
      <c r="B1044"/>
      <c r="C1044"/>
      <c r="D1044"/>
      <c r="E1044"/>
      <c r="F1044"/>
      <c r="G1044"/>
      <c r="H1044"/>
      <c r="I1044"/>
      <c r="J1044"/>
      <c r="K1044"/>
      <c r="L1044"/>
      <c r="M1044"/>
      <c r="N1044"/>
      <c r="O1044"/>
      <c r="P1044"/>
      <c r="Q1044"/>
      <c r="R1044"/>
      <c r="S1044"/>
      <c r="T1044"/>
      <c r="U1044"/>
      <c r="V1044"/>
      <c r="W1044"/>
      <c r="X1044"/>
      <c r="Y1044"/>
      <c r="Z1044"/>
      <c r="AA1044"/>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c r="BZ1044"/>
      <c r="CA1044"/>
      <c r="CB1044"/>
      <c r="CC1044"/>
      <c r="CD1044"/>
      <c r="CE1044"/>
      <c r="CF1044"/>
      <c r="CG1044"/>
      <c r="CH1044"/>
      <c r="CI1044"/>
      <c r="CJ1044"/>
      <c r="CK1044"/>
      <c r="CL1044"/>
      <c r="CM1044"/>
      <c r="CN1044"/>
      <c r="CO1044"/>
      <c r="CP1044"/>
      <c r="CQ1044"/>
      <c r="CR1044"/>
      <c r="CS1044"/>
      <c r="CT1044"/>
      <c r="CU1044"/>
      <c r="CV1044"/>
      <c r="CW1044"/>
      <c r="CX1044"/>
      <c r="CY1044"/>
      <c r="CZ1044"/>
      <c r="DA1044"/>
      <c r="DB1044"/>
      <c r="DC1044"/>
      <c r="DD1044"/>
      <c r="DE1044"/>
      <c r="DF1044"/>
      <c r="DG1044"/>
      <c r="DH1044"/>
      <c r="DI1044"/>
      <c r="DJ1044"/>
      <c r="DK1044"/>
      <c r="DL1044"/>
      <c r="DM1044"/>
      <c r="DN1044"/>
      <c r="DO1044"/>
      <c r="DP1044"/>
      <c r="DQ1044"/>
      <c r="DR1044"/>
      <c r="DS1044"/>
      <c r="DT1044"/>
      <c r="DU1044"/>
      <c r="DV1044"/>
      <c r="DW1044"/>
      <c r="DX1044"/>
      <c r="DY1044"/>
      <c r="DZ1044"/>
      <c r="EA1044"/>
      <c r="EB1044"/>
      <c r="EC1044"/>
      <c r="ED1044"/>
      <c r="EE1044"/>
      <c r="EF1044"/>
      <c r="EG1044"/>
      <c r="EH1044"/>
      <c r="EI1044"/>
      <c r="EJ1044"/>
      <c r="EK1044"/>
      <c r="EL1044"/>
      <c r="EM1044"/>
      <c r="EN1044"/>
      <c r="EO1044"/>
      <c r="EP1044"/>
      <c r="EQ1044"/>
      <c r="ER1044"/>
      <c r="ES1044"/>
    </row>
    <row r="1045" spans="1:149">
      <c r="A1045"/>
      <c r="B1045"/>
      <c r="C1045"/>
      <c r="D1045"/>
      <c r="E1045"/>
      <c r="F1045"/>
      <c r="G1045"/>
      <c r="H1045"/>
      <c r="I1045"/>
      <c r="J1045"/>
      <c r="K1045"/>
      <c r="L1045"/>
      <c r="M1045"/>
      <c r="N1045"/>
      <c r="O1045"/>
      <c r="P1045"/>
      <c r="Q1045"/>
      <c r="R1045"/>
      <c r="S1045"/>
      <c r="T1045"/>
      <c r="U1045"/>
      <c r="V1045"/>
      <c r="W1045"/>
      <c r="X1045"/>
      <c r="Y1045"/>
      <c r="Z1045"/>
      <c r="AA104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c r="BZ1045"/>
      <c r="CA1045"/>
      <c r="CB1045"/>
      <c r="CC1045"/>
      <c r="CD1045"/>
      <c r="CE1045"/>
      <c r="CF1045"/>
      <c r="CG1045"/>
      <c r="CH1045"/>
      <c r="CI1045"/>
      <c r="CJ1045"/>
      <c r="CK1045"/>
      <c r="CL1045"/>
      <c r="CM1045"/>
      <c r="CN1045"/>
      <c r="CO1045"/>
      <c r="CP1045"/>
      <c r="CQ1045"/>
      <c r="CR1045"/>
      <c r="CS1045"/>
      <c r="CT1045"/>
      <c r="CU1045"/>
      <c r="CV1045"/>
      <c r="CW1045"/>
      <c r="CX1045"/>
      <c r="CY1045"/>
      <c r="CZ1045"/>
      <c r="DA1045"/>
      <c r="DB1045"/>
      <c r="DC1045"/>
      <c r="DD1045"/>
      <c r="DE1045"/>
      <c r="DF1045"/>
      <c r="DG1045"/>
      <c r="DH1045"/>
      <c r="DI1045"/>
      <c r="DJ1045"/>
      <c r="DK1045"/>
      <c r="DL1045"/>
      <c r="DM1045"/>
      <c r="DN1045"/>
      <c r="DO1045"/>
      <c r="DP1045"/>
      <c r="DQ1045"/>
      <c r="DR1045"/>
      <c r="DS1045"/>
      <c r="DT1045"/>
      <c r="DU1045"/>
      <c r="DV1045"/>
      <c r="DW1045"/>
      <c r="DX1045"/>
      <c r="DY1045"/>
      <c r="DZ1045"/>
      <c r="EA1045"/>
      <c r="EB1045"/>
      <c r="EC1045"/>
      <c r="ED1045"/>
      <c r="EE1045"/>
      <c r="EF1045"/>
      <c r="EG1045"/>
      <c r="EH1045"/>
      <c r="EI1045"/>
      <c r="EJ1045"/>
      <c r="EK1045"/>
      <c r="EL1045"/>
      <c r="EM1045"/>
      <c r="EN1045"/>
      <c r="EO1045"/>
      <c r="EP1045"/>
      <c r="EQ1045"/>
      <c r="ER1045"/>
      <c r="ES1045"/>
    </row>
    <row r="1046" spans="1:149">
      <c r="A1046"/>
      <c r="B1046"/>
      <c r="C1046"/>
      <c r="D1046"/>
      <c r="E1046"/>
      <c r="F1046"/>
      <c r="G1046"/>
      <c r="H1046"/>
      <c r="I1046"/>
      <c r="J1046"/>
      <c r="K1046"/>
      <c r="L1046"/>
      <c r="M1046"/>
      <c r="N1046"/>
      <c r="O1046"/>
      <c r="P1046"/>
      <c r="Q1046"/>
      <c r="R1046"/>
      <c r="S1046"/>
      <c r="T1046"/>
      <c r="U1046"/>
      <c r="V1046"/>
      <c r="W1046"/>
      <c r="X1046"/>
      <c r="Y1046"/>
      <c r="Z1046"/>
      <c r="AA1046"/>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c r="BZ1046"/>
      <c r="CA1046"/>
      <c r="CB1046"/>
      <c r="CC1046"/>
      <c r="CD1046"/>
      <c r="CE1046"/>
      <c r="CF1046"/>
      <c r="CG1046"/>
      <c r="CH1046"/>
      <c r="CI1046"/>
      <c r="CJ1046"/>
      <c r="CK1046"/>
      <c r="CL1046"/>
      <c r="CM1046"/>
      <c r="CN1046"/>
      <c r="CO1046"/>
      <c r="CP1046"/>
      <c r="CQ1046"/>
      <c r="CR1046"/>
      <c r="CS1046"/>
      <c r="CT1046"/>
      <c r="CU1046"/>
      <c r="CV1046"/>
      <c r="CW1046"/>
      <c r="CX1046"/>
      <c r="CY1046"/>
      <c r="CZ1046"/>
      <c r="DA1046"/>
      <c r="DB1046"/>
      <c r="DC1046"/>
      <c r="DD1046"/>
      <c r="DE1046"/>
      <c r="DF1046"/>
      <c r="DG1046"/>
      <c r="DH1046"/>
      <c r="DI1046"/>
      <c r="DJ1046"/>
      <c r="DK1046"/>
      <c r="DL1046"/>
      <c r="DM1046"/>
      <c r="DN1046"/>
      <c r="DO1046"/>
      <c r="DP1046"/>
      <c r="DQ1046"/>
      <c r="DR1046"/>
      <c r="DS1046"/>
      <c r="DT1046"/>
      <c r="DU1046"/>
      <c r="DV1046"/>
      <c r="DW1046"/>
      <c r="DX1046"/>
      <c r="DY1046"/>
      <c r="DZ1046"/>
      <c r="EA1046"/>
      <c r="EB1046"/>
      <c r="EC1046"/>
      <c r="ED1046"/>
      <c r="EE1046"/>
      <c r="EF1046"/>
      <c r="EG1046"/>
      <c r="EH1046"/>
      <c r="EI1046"/>
      <c r="EJ1046"/>
      <c r="EK1046"/>
      <c r="EL1046"/>
      <c r="EM1046"/>
      <c r="EN1046"/>
      <c r="EO1046"/>
      <c r="EP1046"/>
      <c r="EQ1046"/>
      <c r="ER1046"/>
      <c r="ES1046"/>
    </row>
    <row r="1047" spans="1:149">
      <c r="A1047"/>
      <c r="B1047"/>
      <c r="C1047"/>
      <c r="D1047"/>
      <c r="E1047"/>
      <c r="F1047"/>
      <c r="G1047"/>
      <c r="H1047"/>
      <c r="I1047"/>
      <c r="J1047"/>
      <c r="K1047"/>
      <c r="L1047"/>
      <c r="M1047"/>
      <c r="N1047"/>
      <c r="O1047"/>
      <c r="P1047"/>
      <c r="Q1047"/>
      <c r="R1047"/>
      <c r="S1047"/>
      <c r="T1047"/>
      <c r="U1047"/>
      <c r="V1047"/>
      <c r="W1047"/>
      <c r="X1047"/>
      <c r="Y1047"/>
      <c r="Z1047"/>
      <c r="AA1047"/>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c r="BZ1047"/>
      <c r="CA1047"/>
      <c r="CB1047"/>
      <c r="CC1047"/>
      <c r="CD1047"/>
      <c r="CE1047"/>
      <c r="CF1047"/>
      <c r="CG1047"/>
      <c r="CH1047"/>
      <c r="CI1047"/>
      <c r="CJ1047"/>
      <c r="CK1047"/>
      <c r="CL1047"/>
      <c r="CM1047"/>
      <c r="CN1047"/>
      <c r="CO1047"/>
      <c r="CP1047"/>
      <c r="CQ1047"/>
      <c r="CR1047"/>
      <c r="CS1047"/>
      <c r="CT1047"/>
      <c r="CU1047"/>
      <c r="CV1047"/>
      <c r="CW1047"/>
      <c r="CX1047"/>
      <c r="CY1047"/>
      <c r="CZ1047"/>
      <c r="DA1047"/>
      <c r="DB1047"/>
      <c r="DC1047"/>
      <c r="DD1047"/>
      <c r="DE1047"/>
      <c r="DF1047"/>
      <c r="DG1047"/>
      <c r="DH1047"/>
      <c r="DI1047"/>
      <c r="DJ1047"/>
      <c r="DK1047"/>
      <c r="DL1047"/>
      <c r="DM1047"/>
      <c r="DN1047"/>
      <c r="DO1047"/>
      <c r="DP1047"/>
      <c r="DQ1047"/>
      <c r="DR1047"/>
      <c r="DS1047"/>
      <c r="DT1047"/>
      <c r="DU1047"/>
      <c r="DV1047"/>
      <c r="DW1047"/>
      <c r="DX1047"/>
      <c r="DY1047"/>
      <c r="DZ1047"/>
      <c r="EA1047"/>
      <c r="EB1047"/>
      <c r="EC1047"/>
      <c r="ED1047"/>
      <c r="EE1047"/>
      <c r="EF1047"/>
      <c r="EG1047"/>
      <c r="EH1047"/>
      <c r="EI1047"/>
      <c r="EJ1047"/>
      <c r="EK1047"/>
      <c r="EL1047"/>
      <c r="EM1047"/>
      <c r="EN1047"/>
      <c r="EO1047"/>
      <c r="EP1047"/>
      <c r="EQ1047"/>
      <c r="ER1047"/>
      <c r="ES1047"/>
    </row>
    <row r="1048" spans="1:149">
      <c r="A1048"/>
      <c r="B1048"/>
      <c r="C1048"/>
      <c r="D1048"/>
      <c r="E1048"/>
      <c r="F1048"/>
      <c r="G1048"/>
      <c r="H1048"/>
      <c r="I1048"/>
      <c r="J1048"/>
      <c r="K1048"/>
      <c r="L1048"/>
      <c r="M1048"/>
      <c r="N1048"/>
      <c r="O1048"/>
      <c r="P1048"/>
      <c r="Q1048"/>
      <c r="R1048"/>
      <c r="S1048"/>
      <c r="T1048"/>
      <c r="U1048"/>
      <c r="V1048"/>
      <c r="W1048"/>
      <c r="X1048"/>
      <c r="Y1048"/>
      <c r="Z1048"/>
      <c r="AA1048"/>
      <c r="AB1048"/>
      <c r="AC1048"/>
      <c r="AD1048"/>
      <c r="AE1048"/>
      <c r="AF1048"/>
      <c r="AG1048"/>
      <c r="AH1048"/>
      <c r="AI1048"/>
      <c r="AJ1048"/>
      <c r="AK1048"/>
      <c r="AL1048"/>
      <c r="AM1048"/>
      <c r="AN1048"/>
      <c r="AO1048"/>
      <c r="AP1048"/>
      <c r="AQ1048"/>
      <c r="AR1048"/>
      <c r="AS1048"/>
      <c r="AT1048"/>
      <c r="AU1048"/>
      <c r="AV1048"/>
      <c r="AW1048"/>
      <c r="AX1048"/>
      <c r="AY1048"/>
      <c r="AZ1048"/>
      <c r="BA1048"/>
      <c r="BB1048"/>
      <c r="BC1048"/>
      <c r="BD1048"/>
      <c r="BE1048"/>
      <c r="BF1048"/>
      <c r="BG1048"/>
      <c r="BH1048"/>
      <c r="BI1048"/>
      <c r="BJ1048"/>
      <c r="BK1048"/>
      <c r="BL1048"/>
      <c r="BM1048"/>
      <c r="BN1048"/>
      <c r="BO1048"/>
      <c r="BP1048"/>
      <c r="BQ1048"/>
      <c r="BR1048"/>
      <c r="BS1048"/>
      <c r="BT1048"/>
      <c r="BU1048"/>
      <c r="BV1048"/>
      <c r="BW1048"/>
      <c r="BX1048"/>
      <c r="BY1048"/>
      <c r="BZ1048"/>
      <c r="CA1048"/>
      <c r="CB1048"/>
      <c r="CC1048"/>
      <c r="CD1048"/>
      <c r="CE1048"/>
      <c r="CF1048"/>
      <c r="CG1048"/>
      <c r="CH1048"/>
      <c r="CI1048"/>
      <c r="CJ1048"/>
      <c r="CK1048"/>
      <c r="CL1048"/>
      <c r="CM1048"/>
      <c r="CN1048"/>
      <c r="CO1048"/>
      <c r="CP1048"/>
      <c r="CQ1048"/>
      <c r="CR1048"/>
      <c r="CS1048"/>
      <c r="CT1048"/>
      <c r="CU1048"/>
      <c r="CV1048"/>
      <c r="CW1048"/>
      <c r="CX1048"/>
      <c r="CY1048"/>
      <c r="CZ1048"/>
      <c r="DA1048"/>
      <c r="DB1048"/>
      <c r="DC1048"/>
      <c r="DD1048"/>
      <c r="DE1048"/>
      <c r="DF1048"/>
      <c r="DG1048"/>
      <c r="DH1048"/>
      <c r="DI1048"/>
      <c r="DJ1048"/>
      <c r="DK1048"/>
      <c r="DL1048"/>
      <c r="DM1048"/>
      <c r="DN1048"/>
      <c r="DO1048"/>
      <c r="DP1048"/>
      <c r="DQ1048"/>
      <c r="DR1048"/>
      <c r="DS1048"/>
      <c r="DT1048"/>
      <c r="DU1048"/>
      <c r="DV1048"/>
      <c r="DW1048"/>
      <c r="DX1048"/>
      <c r="DY1048"/>
      <c r="DZ1048"/>
      <c r="EA1048"/>
      <c r="EB1048"/>
      <c r="EC1048"/>
      <c r="ED1048"/>
      <c r="EE1048"/>
      <c r="EF1048"/>
      <c r="EG1048"/>
      <c r="EH1048"/>
      <c r="EI1048"/>
      <c r="EJ1048"/>
      <c r="EK1048"/>
      <c r="EL1048"/>
      <c r="EM1048"/>
      <c r="EN1048"/>
      <c r="EO1048"/>
      <c r="EP1048"/>
      <c r="EQ1048"/>
      <c r="ER1048"/>
      <c r="ES1048"/>
    </row>
    <row r="1049" spans="1:149">
      <c r="A1049"/>
      <c r="B1049"/>
      <c r="C1049"/>
      <c r="D1049"/>
      <c r="E1049"/>
      <c r="F1049"/>
      <c r="G1049"/>
      <c r="H1049"/>
      <c r="I1049"/>
      <c r="J1049"/>
      <c r="K1049"/>
      <c r="L1049"/>
      <c r="M1049"/>
      <c r="N1049"/>
      <c r="O1049"/>
      <c r="P1049"/>
      <c r="Q1049"/>
      <c r="R1049"/>
      <c r="S1049"/>
      <c r="T1049"/>
      <c r="U1049"/>
      <c r="V1049"/>
      <c r="W1049"/>
      <c r="X1049"/>
      <c r="Y1049"/>
      <c r="Z1049"/>
      <c r="AA1049"/>
      <c r="AB1049"/>
      <c r="AC1049"/>
      <c r="AD1049"/>
      <c r="AE1049"/>
      <c r="AF1049"/>
      <c r="AG1049"/>
      <c r="AH1049"/>
      <c r="AI1049"/>
      <c r="AJ1049"/>
      <c r="AK1049"/>
      <c r="AL1049"/>
      <c r="AM1049"/>
      <c r="AN1049"/>
      <c r="AO1049"/>
      <c r="AP1049"/>
      <c r="AQ1049"/>
      <c r="AR1049"/>
      <c r="AS1049"/>
      <c r="AT1049"/>
      <c r="AU1049"/>
      <c r="AV1049"/>
      <c r="AW1049"/>
      <c r="AX1049"/>
      <c r="AY1049"/>
      <c r="AZ1049"/>
      <c r="BA1049"/>
      <c r="BB1049"/>
      <c r="BC1049"/>
      <c r="BD1049"/>
      <c r="BE1049"/>
      <c r="BF1049"/>
      <c r="BG1049"/>
      <c r="BH1049"/>
      <c r="BI1049"/>
      <c r="BJ1049"/>
      <c r="BK1049"/>
      <c r="BL1049"/>
      <c r="BM1049"/>
      <c r="BN1049"/>
      <c r="BO1049"/>
      <c r="BP1049"/>
      <c r="BQ1049"/>
      <c r="BR1049"/>
      <c r="BS1049"/>
      <c r="BT1049"/>
      <c r="BU1049"/>
      <c r="BV1049"/>
      <c r="BW1049"/>
      <c r="BX1049"/>
      <c r="BY1049"/>
      <c r="BZ1049"/>
      <c r="CA1049"/>
      <c r="CB1049"/>
      <c r="CC1049"/>
      <c r="CD1049"/>
      <c r="CE1049"/>
      <c r="CF1049"/>
      <c r="CG1049"/>
      <c r="CH1049"/>
      <c r="CI1049"/>
      <c r="CJ1049"/>
      <c r="CK1049"/>
      <c r="CL1049"/>
      <c r="CM1049"/>
      <c r="CN1049"/>
      <c r="CO1049"/>
      <c r="CP1049"/>
      <c r="CQ1049"/>
      <c r="CR1049"/>
      <c r="CS1049"/>
      <c r="CT1049"/>
      <c r="CU1049"/>
      <c r="CV1049"/>
      <c r="CW1049"/>
      <c r="CX1049"/>
      <c r="CY1049"/>
      <c r="CZ1049"/>
      <c r="DA1049"/>
      <c r="DB1049"/>
      <c r="DC1049"/>
      <c r="DD1049"/>
      <c r="DE1049"/>
      <c r="DF1049"/>
      <c r="DG1049"/>
      <c r="DH1049"/>
      <c r="DI1049"/>
      <c r="DJ1049"/>
      <c r="DK1049"/>
      <c r="DL1049"/>
      <c r="DM1049"/>
      <c r="DN1049"/>
      <c r="DO1049"/>
      <c r="DP1049"/>
      <c r="DQ1049"/>
      <c r="DR1049"/>
      <c r="DS1049"/>
      <c r="DT1049"/>
      <c r="DU1049"/>
      <c r="DV1049"/>
      <c r="DW1049"/>
      <c r="DX1049"/>
      <c r="DY1049"/>
      <c r="DZ1049"/>
      <c r="EA1049"/>
      <c r="EB1049"/>
      <c r="EC1049"/>
      <c r="ED1049"/>
      <c r="EE1049"/>
      <c r="EF1049"/>
      <c r="EG1049"/>
      <c r="EH1049"/>
      <c r="EI1049"/>
      <c r="EJ1049"/>
      <c r="EK1049"/>
      <c r="EL1049"/>
      <c r="EM1049"/>
      <c r="EN1049"/>
      <c r="EO1049"/>
      <c r="EP1049"/>
      <c r="EQ1049"/>
      <c r="ER1049"/>
      <c r="ES1049"/>
    </row>
    <row r="1050" spans="1:149">
      <c r="A1050"/>
      <c r="B1050"/>
      <c r="C1050"/>
      <c r="D1050"/>
      <c r="E1050"/>
      <c r="F1050"/>
      <c r="G1050"/>
      <c r="H1050"/>
      <c r="I1050"/>
      <c r="J1050"/>
      <c r="K1050"/>
      <c r="L1050"/>
      <c r="M1050"/>
      <c r="N1050"/>
      <c r="O1050"/>
      <c r="P1050"/>
      <c r="Q1050"/>
      <c r="R1050"/>
      <c r="S1050"/>
      <c r="T1050"/>
      <c r="U1050"/>
      <c r="V1050"/>
      <c r="W1050"/>
      <c r="X1050"/>
      <c r="Y1050"/>
      <c r="Z1050"/>
      <c r="AA1050"/>
      <c r="AB1050"/>
      <c r="AC1050"/>
      <c r="AD1050"/>
      <c r="AE1050"/>
      <c r="AF1050"/>
      <c r="AG1050"/>
      <c r="AH1050"/>
      <c r="AI1050"/>
      <c r="AJ1050"/>
      <c r="AK1050"/>
      <c r="AL1050"/>
      <c r="AM1050"/>
      <c r="AN1050"/>
      <c r="AO1050"/>
      <c r="AP1050"/>
      <c r="AQ1050"/>
      <c r="AR1050"/>
      <c r="AS1050"/>
      <c r="AT1050"/>
      <c r="AU1050"/>
      <c r="AV1050"/>
      <c r="AW1050"/>
      <c r="AX1050"/>
      <c r="AY1050"/>
      <c r="AZ1050"/>
      <c r="BA1050"/>
      <c r="BB1050"/>
      <c r="BC1050"/>
      <c r="BD1050"/>
      <c r="BE1050"/>
      <c r="BF1050"/>
      <c r="BG1050"/>
      <c r="BH1050"/>
      <c r="BI1050"/>
      <c r="BJ1050"/>
      <c r="BK1050"/>
      <c r="BL1050"/>
      <c r="BM1050"/>
      <c r="BN1050"/>
      <c r="BO1050"/>
      <c r="BP1050"/>
      <c r="BQ1050"/>
      <c r="BR1050"/>
      <c r="BS1050"/>
      <c r="BT1050"/>
      <c r="BU1050"/>
      <c r="BV1050"/>
      <c r="BW1050"/>
      <c r="BX1050"/>
      <c r="BY1050"/>
      <c r="BZ1050"/>
      <c r="CA1050"/>
      <c r="CB1050"/>
      <c r="CC1050"/>
      <c r="CD1050"/>
      <c r="CE1050"/>
      <c r="CF1050"/>
      <c r="CG1050"/>
      <c r="CH1050"/>
      <c r="CI1050"/>
      <c r="CJ1050"/>
      <c r="CK1050"/>
      <c r="CL1050"/>
      <c r="CM1050"/>
      <c r="CN1050"/>
      <c r="CO1050"/>
      <c r="CP1050"/>
      <c r="CQ1050"/>
      <c r="CR1050"/>
      <c r="CS1050"/>
      <c r="CT1050"/>
      <c r="CU1050"/>
      <c r="CV1050"/>
      <c r="CW1050"/>
      <c r="CX1050"/>
      <c r="CY1050"/>
      <c r="CZ1050"/>
      <c r="DA1050"/>
      <c r="DB1050"/>
      <c r="DC1050"/>
      <c r="DD1050"/>
      <c r="DE1050"/>
      <c r="DF1050"/>
      <c r="DG1050"/>
      <c r="DH1050"/>
      <c r="DI1050"/>
      <c r="DJ1050"/>
      <c r="DK1050"/>
      <c r="DL1050"/>
      <c r="DM1050"/>
      <c r="DN1050"/>
      <c r="DO1050"/>
      <c r="DP1050"/>
      <c r="DQ1050"/>
      <c r="DR1050"/>
      <c r="DS1050"/>
      <c r="DT1050"/>
      <c r="DU1050"/>
      <c r="DV1050"/>
      <c r="DW1050"/>
      <c r="DX1050"/>
      <c r="DY1050"/>
      <c r="DZ1050"/>
      <c r="EA1050"/>
      <c r="EB1050"/>
      <c r="EC1050"/>
      <c r="ED1050"/>
      <c r="EE1050"/>
      <c r="EF1050"/>
      <c r="EG1050"/>
      <c r="EH1050"/>
      <c r="EI1050"/>
      <c r="EJ1050"/>
      <c r="EK1050"/>
      <c r="EL1050"/>
      <c r="EM1050"/>
      <c r="EN1050"/>
      <c r="EO1050"/>
      <c r="EP1050"/>
      <c r="EQ1050"/>
      <c r="ER1050"/>
      <c r="ES1050"/>
    </row>
    <row r="1051" spans="1:149">
      <c r="A1051"/>
      <c r="B1051"/>
      <c r="C1051"/>
      <c r="D1051"/>
      <c r="E1051"/>
      <c r="F1051"/>
      <c r="G1051"/>
      <c r="H1051"/>
      <c r="I1051"/>
      <c r="J1051"/>
      <c r="K1051"/>
      <c r="L1051"/>
      <c r="M1051"/>
      <c r="N1051"/>
      <c r="O1051"/>
      <c r="P1051"/>
      <c r="Q1051"/>
      <c r="R1051"/>
      <c r="S1051"/>
      <c r="T1051"/>
      <c r="U1051"/>
      <c r="V1051"/>
      <c r="W1051"/>
      <c r="X1051"/>
      <c r="Y1051"/>
      <c r="Z1051"/>
      <c r="AA1051"/>
      <c r="AB1051"/>
      <c r="AC1051"/>
      <c r="AD1051"/>
      <c r="AE1051"/>
      <c r="AF1051"/>
      <c r="AG1051"/>
      <c r="AH1051"/>
      <c r="AI1051"/>
      <c r="AJ1051"/>
      <c r="AK1051"/>
      <c r="AL1051"/>
      <c r="AM1051"/>
      <c r="AN1051"/>
      <c r="AO1051"/>
      <c r="AP1051"/>
      <c r="AQ1051"/>
      <c r="AR1051"/>
      <c r="AS1051"/>
      <c r="AT1051"/>
      <c r="AU1051"/>
      <c r="AV1051"/>
      <c r="AW1051"/>
      <c r="AX1051"/>
      <c r="AY1051"/>
      <c r="AZ1051"/>
      <c r="BA1051"/>
      <c r="BB1051"/>
      <c r="BC1051"/>
      <c r="BD1051"/>
      <c r="BE1051"/>
      <c r="BF1051"/>
      <c r="BG1051"/>
      <c r="BH1051"/>
      <c r="BI1051"/>
      <c r="BJ1051"/>
      <c r="BK1051"/>
      <c r="BL1051"/>
      <c r="BM1051"/>
      <c r="BN1051"/>
      <c r="BO1051"/>
      <c r="BP1051"/>
      <c r="BQ1051"/>
      <c r="BR1051"/>
      <c r="BS1051"/>
      <c r="BT1051"/>
      <c r="BU1051"/>
      <c r="BV1051"/>
      <c r="BW1051"/>
      <c r="BX1051"/>
      <c r="BY1051"/>
      <c r="BZ1051"/>
      <c r="CA1051"/>
      <c r="CB1051"/>
      <c r="CC1051"/>
      <c r="CD1051"/>
      <c r="CE1051"/>
      <c r="CF1051"/>
      <c r="CG1051"/>
      <c r="CH1051"/>
      <c r="CI1051"/>
      <c r="CJ1051"/>
      <c r="CK1051"/>
      <c r="CL1051"/>
      <c r="CM1051"/>
      <c r="CN1051"/>
      <c r="CO1051"/>
      <c r="CP1051"/>
      <c r="CQ1051"/>
      <c r="CR1051"/>
      <c r="CS1051"/>
      <c r="CT1051"/>
      <c r="CU1051"/>
      <c r="CV1051"/>
      <c r="CW1051"/>
      <c r="CX1051"/>
      <c r="CY1051"/>
      <c r="CZ1051"/>
      <c r="DA1051"/>
      <c r="DB1051"/>
      <c r="DC1051"/>
      <c r="DD1051"/>
      <c r="DE1051"/>
      <c r="DF1051"/>
      <c r="DG1051"/>
      <c r="DH1051"/>
      <c r="DI1051"/>
      <c r="DJ1051"/>
      <c r="DK1051"/>
      <c r="DL1051"/>
      <c r="DM1051"/>
      <c r="DN1051"/>
      <c r="DO1051"/>
      <c r="DP1051"/>
      <c r="DQ1051"/>
      <c r="DR1051"/>
      <c r="DS1051"/>
      <c r="DT1051"/>
      <c r="DU1051"/>
      <c r="DV1051"/>
      <c r="DW1051"/>
      <c r="DX1051"/>
      <c r="DY1051"/>
      <c r="DZ1051"/>
      <c r="EA1051"/>
      <c r="EB1051"/>
      <c r="EC1051"/>
      <c r="ED1051"/>
      <c r="EE1051"/>
      <c r="EF1051"/>
      <c r="EG1051"/>
      <c r="EH1051"/>
      <c r="EI1051"/>
      <c r="EJ1051"/>
      <c r="EK1051"/>
      <c r="EL1051"/>
      <c r="EM1051"/>
      <c r="EN1051"/>
      <c r="EO1051"/>
      <c r="EP1051"/>
      <c r="EQ1051"/>
      <c r="ER1051"/>
      <c r="ES1051"/>
    </row>
    <row r="1052" spans="1:149">
      <c r="A1052"/>
      <c r="B1052"/>
      <c r="C1052"/>
      <c r="D1052"/>
      <c r="E1052"/>
      <c r="F1052"/>
      <c r="G1052"/>
      <c r="H1052"/>
      <c r="I1052"/>
      <c r="J1052"/>
      <c r="K1052"/>
      <c r="L1052"/>
      <c r="M1052"/>
      <c r="N1052"/>
      <c r="O1052"/>
      <c r="P1052"/>
      <c r="Q1052"/>
      <c r="R1052"/>
      <c r="S1052"/>
      <c r="T1052"/>
      <c r="U1052"/>
      <c r="V1052"/>
      <c r="W1052"/>
      <c r="X1052"/>
      <c r="Y1052"/>
      <c r="Z1052"/>
      <c r="AA1052"/>
      <c r="AB1052"/>
      <c r="AC1052"/>
      <c r="AD1052"/>
      <c r="AE1052"/>
      <c r="AF1052"/>
      <c r="AG1052"/>
      <c r="AH1052"/>
      <c r="AI1052"/>
      <c r="AJ1052"/>
      <c r="AK1052"/>
      <c r="AL1052"/>
      <c r="AM1052"/>
      <c r="AN1052"/>
      <c r="AO1052"/>
      <c r="AP1052"/>
      <c r="AQ1052"/>
      <c r="AR1052"/>
      <c r="AS1052"/>
      <c r="AT1052"/>
      <c r="AU1052"/>
      <c r="AV1052"/>
      <c r="AW1052"/>
      <c r="AX1052"/>
      <c r="AY1052"/>
      <c r="AZ1052"/>
      <c r="BA1052"/>
      <c r="BB1052"/>
      <c r="BC1052"/>
      <c r="BD1052"/>
      <c r="BE1052"/>
      <c r="BF1052"/>
      <c r="BG1052"/>
      <c r="BH1052"/>
      <c r="BI1052"/>
      <c r="BJ1052"/>
      <c r="BK1052"/>
      <c r="BL1052"/>
      <c r="BM1052"/>
      <c r="BN1052"/>
      <c r="BO1052"/>
      <c r="BP1052"/>
      <c r="BQ1052"/>
      <c r="BR1052"/>
      <c r="BS1052"/>
      <c r="BT1052"/>
      <c r="BU1052"/>
      <c r="BV1052"/>
      <c r="BW1052"/>
      <c r="BX1052"/>
      <c r="BY1052"/>
      <c r="BZ1052"/>
      <c r="CA1052"/>
      <c r="CB1052"/>
      <c r="CC1052"/>
      <c r="CD1052"/>
      <c r="CE1052"/>
      <c r="CF1052"/>
      <c r="CG1052"/>
      <c r="CH1052"/>
      <c r="CI1052"/>
      <c r="CJ1052"/>
      <c r="CK1052"/>
      <c r="CL1052"/>
      <c r="CM1052"/>
      <c r="CN1052"/>
      <c r="CO1052"/>
      <c r="CP1052"/>
      <c r="CQ1052"/>
      <c r="CR1052"/>
      <c r="CS1052"/>
      <c r="CT1052"/>
      <c r="CU1052"/>
      <c r="CV1052"/>
      <c r="CW1052"/>
      <c r="CX1052"/>
      <c r="CY1052"/>
      <c r="CZ1052"/>
      <c r="DA1052"/>
      <c r="DB1052"/>
      <c r="DC1052"/>
      <c r="DD1052"/>
      <c r="DE1052"/>
      <c r="DF1052"/>
      <c r="DG1052"/>
      <c r="DH1052"/>
      <c r="DI1052"/>
      <c r="DJ1052"/>
      <c r="DK1052"/>
      <c r="DL1052"/>
      <c r="DM1052"/>
      <c r="DN1052"/>
      <c r="DO1052"/>
      <c r="DP1052"/>
      <c r="DQ1052"/>
      <c r="DR1052"/>
      <c r="DS1052"/>
      <c r="DT1052"/>
      <c r="DU1052"/>
      <c r="DV1052"/>
      <c r="DW1052"/>
      <c r="DX1052"/>
      <c r="DY1052"/>
      <c r="DZ1052"/>
      <c r="EA1052"/>
      <c r="EB1052"/>
      <c r="EC1052"/>
      <c r="ED1052"/>
      <c r="EE1052"/>
      <c r="EF1052"/>
      <c r="EG1052"/>
      <c r="EH1052"/>
      <c r="EI1052"/>
      <c r="EJ1052"/>
      <c r="EK1052"/>
      <c r="EL1052"/>
      <c r="EM1052"/>
      <c r="EN1052"/>
      <c r="EO1052"/>
      <c r="EP1052"/>
      <c r="EQ1052"/>
      <c r="ER1052"/>
      <c r="ES1052"/>
    </row>
    <row r="1053" spans="1:149">
      <c r="A1053"/>
      <c r="B1053"/>
      <c r="C1053"/>
      <c r="D1053"/>
      <c r="E1053"/>
      <c r="F1053"/>
      <c r="G1053"/>
      <c r="H1053"/>
      <c r="I1053"/>
      <c r="J1053"/>
      <c r="K1053"/>
      <c r="L1053"/>
      <c r="M1053"/>
      <c r="N1053"/>
      <c r="O1053"/>
      <c r="P1053"/>
      <c r="Q1053"/>
      <c r="R1053"/>
      <c r="S1053"/>
      <c r="T1053"/>
      <c r="U1053"/>
      <c r="V1053"/>
      <c r="W1053"/>
      <c r="X1053"/>
      <c r="Y1053"/>
      <c r="Z1053"/>
      <c r="AA1053"/>
      <c r="AB1053"/>
      <c r="AC1053"/>
      <c r="AD1053"/>
      <c r="AE1053"/>
      <c r="AF1053"/>
      <c r="AG1053"/>
      <c r="AH1053"/>
      <c r="AI1053"/>
      <c r="AJ1053"/>
      <c r="AK1053"/>
      <c r="AL1053"/>
      <c r="AM1053"/>
      <c r="AN1053"/>
      <c r="AO1053"/>
      <c r="AP1053"/>
      <c r="AQ1053"/>
      <c r="AR1053"/>
      <c r="AS1053"/>
      <c r="AT1053"/>
      <c r="AU1053"/>
      <c r="AV1053"/>
      <c r="AW1053"/>
      <c r="AX1053"/>
      <c r="AY1053"/>
      <c r="AZ1053"/>
      <c r="BA1053"/>
      <c r="BB1053"/>
      <c r="BC1053"/>
      <c r="BD1053"/>
      <c r="BE1053"/>
      <c r="BF1053"/>
      <c r="BG1053"/>
      <c r="BH1053"/>
      <c r="BI1053"/>
      <c r="BJ1053"/>
      <c r="BK1053"/>
      <c r="BL1053"/>
      <c r="BM1053"/>
      <c r="BN1053"/>
      <c r="BO1053"/>
      <c r="BP1053"/>
      <c r="BQ1053"/>
      <c r="BR1053"/>
      <c r="BS1053"/>
      <c r="BT1053"/>
      <c r="BU1053"/>
      <c r="BV1053"/>
      <c r="BW1053"/>
      <c r="BX1053"/>
      <c r="BY1053"/>
      <c r="BZ1053"/>
      <c r="CA1053"/>
      <c r="CB1053"/>
      <c r="CC1053"/>
      <c r="CD1053"/>
      <c r="CE1053"/>
      <c r="CF1053"/>
      <c r="CG1053"/>
      <c r="CH1053"/>
      <c r="CI1053"/>
      <c r="CJ1053"/>
      <c r="CK1053"/>
      <c r="CL1053"/>
      <c r="CM1053"/>
      <c r="CN1053"/>
      <c r="CO1053"/>
      <c r="CP1053"/>
      <c r="CQ1053"/>
      <c r="CR1053"/>
      <c r="CS1053"/>
      <c r="CT1053"/>
      <c r="CU1053"/>
      <c r="CV1053"/>
      <c r="CW1053"/>
      <c r="CX1053"/>
      <c r="CY1053"/>
      <c r="CZ1053"/>
      <c r="DA1053"/>
      <c r="DB1053"/>
      <c r="DC1053"/>
      <c r="DD1053"/>
      <c r="DE1053"/>
      <c r="DF1053"/>
      <c r="DG1053"/>
      <c r="DH1053"/>
      <c r="DI1053"/>
      <c r="DJ1053"/>
      <c r="DK1053"/>
      <c r="DL1053"/>
      <c r="DM1053"/>
      <c r="DN1053"/>
      <c r="DO1053"/>
      <c r="DP1053"/>
      <c r="DQ1053"/>
      <c r="DR1053"/>
      <c r="DS1053"/>
      <c r="DT1053"/>
      <c r="DU1053"/>
      <c r="DV1053"/>
      <c r="DW1053"/>
      <c r="DX1053"/>
      <c r="DY1053"/>
      <c r="DZ1053"/>
      <c r="EA1053"/>
      <c r="EB1053"/>
      <c r="EC1053"/>
      <c r="ED1053"/>
      <c r="EE1053"/>
      <c r="EF1053"/>
      <c r="EG1053"/>
      <c r="EH1053"/>
      <c r="EI1053"/>
      <c r="EJ1053"/>
      <c r="EK1053"/>
      <c r="EL1053"/>
      <c r="EM1053"/>
      <c r="EN1053"/>
      <c r="EO1053"/>
      <c r="EP1053"/>
      <c r="EQ1053"/>
      <c r="ER1053"/>
      <c r="ES1053"/>
    </row>
    <row r="1054" spans="1:149">
      <c r="A1054"/>
      <c r="B1054"/>
      <c r="C1054"/>
      <c r="D1054"/>
      <c r="E1054"/>
      <c r="F1054"/>
      <c r="G1054"/>
      <c r="H1054"/>
      <c r="I1054"/>
      <c r="J1054"/>
      <c r="K1054"/>
      <c r="L1054"/>
      <c r="M1054"/>
      <c r="N1054"/>
      <c r="O1054"/>
      <c r="P1054"/>
      <c r="Q1054"/>
      <c r="R1054"/>
      <c r="S1054"/>
      <c r="T1054"/>
      <c r="U1054"/>
      <c r="V1054"/>
      <c r="W1054"/>
      <c r="X1054"/>
      <c r="Y1054"/>
      <c r="Z1054"/>
      <c r="AA1054"/>
      <c r="AB1054"/>
      <c r="AC1054"/>
      <c r="AD1054"/>
      <c r="AE1054"/>
      <c r="AF1054"/>
      <c r="AG1054"/>
      <c r="AH1054"/>
      <c r="AI1054"/>
      <c r="AJ1054"/>
      <c r="AK1054"/>
      <c r="AL1054"/>
      <c r="AM1054"/>
      <c r="AN1054"/>
      <c r="AO1054"/>
      <c r="AP1054"/>
      <c r="AQ1054"/>
      <c r="AR1054"/>
      <c r="AS1054"/>
      <c r="AT1054"/>
      <c r="AU1054"/>
      <c r="AV1054"/>
      <c r="AW1054"/>
      <c r="AX1054"/>
      <c r="AY1054"/>
      <c r="AZ1054"/>
      <c r="BA1054"/>
      <c r="BB1054"/>
      <c r="BC1054"/>
      <c r="BD1054"/>
      <c r="BE1054"/>
      <c r="BF1054"/>
      <c r="BG1054"/>
      <c r="BH1054"/>
      <c r="BI1054"/>
      <c r="BJ1054"/>
      <c r="BK1054"/>
      <c r="BL1054"/>
      <c r="BM1054"/>
      <c r="BN1054"/>
      <c r="BO1054"/>
      <c r="BP1054"/>
      <c r="BQ1054"/>
      <c r="BR1054"/>
      <c r="BS1054"/>
      <c r="BT1054"/>
      <c r="BU1054"/>
      <c r="BV1054"/>
      <c r="BW1054"/>
      <c r="BX1054"/>
      <c r="BY1054"/>
      <c r="BZ1054"/>
      <c r="CA1054"/>
      <c r="CB1054"/>
      <c r="CC1054"/>
      <c r="CD1054"/>
      <c r="CE1054"/>
      <c r="CF1054"/>
      <c r="CG1054"/>
      <c r="CH1054"/>
      <c r="CI1054"/>
      <c r="CJ1054"/>
      <c r="CK1054"/>
      <c r="CL1054"/>
      <c r="CM1054"/>
      <c r="CN1054"/>
      <c r="CO1054"/>
      <c r="CP1054"/>
      <c r="CQ1054"/>
      <c r="CR1054"/>
      <c r="CS1054"/>
      <c r="CT1054"/>
      <c r="CU1054"/>
      <c r="CV1054"/>
      <c r="CW1054"/>
      <c r="CX1054"/>
      <c r="CY1054"/>
      <c r="CZ1054"/>
      <c r="DA1054"/>
      <c r="DB1054"/>
      <c r="DC1054"/>
      <c r="DD1054"/>
      <c r="DE1054"/>
      <c r="DF1054"/>
      <c r="DG1054"/>
      <c r="DH1054"/>
      <c r="DI1054"/>
      <c r="DJ1054"/>
      <c r="DK1054"/>
      <c r="DL1054"/>
      <c r="DM1054"/>
      <c r="DN1054"/>
      <c r="DO1054"/>
      <c r="DP1054"/>
      <c r="DQ1054"/>
      <c r="DR1054"/>
      <c r="DS1054"/>
      <c r="DT1054"/>
      <c r="DU1054"/>
      <c r="DV1054"/>
      <c r="DW1054"/>
      <c r="DX1054"/>
      <c r="DY1054"/>
      <c r="DZ1054"/>
      <c r="EA1054"/>
      <c r="EB1054"/>
      <c r="EC1054"/>
      <c r="ED1054"/>
      <c r="EE1054"/>
      <c r="EF1054"/>
      <c r="EG1054"/>
      <c r="EH1054"/>
      <c r="EI1054"/>
      <c r="EJ1054"/>
      <c r="EK1054"/>
      <c r="EL1054"/>
      <c r="EM1054"/>
      <c r="EN1054"/>
      <c r="EO1054"/>
      <c r="EP1054"/>
      <c r="EQ1054"/>
      <c r="ER1054"/>
      <c r="ES1054"/>
    </row>
    <row r="1055" spans="1:149">
      <c r="A1055"/>
      <c r="B1055"/>
      <c r="C1055"/>
      <c r="D1055"/>
      <c r="E1055"/>
      <c r="F1055"/>
      <c r="G1055"/>
      <c r="H1055"/>
      <c r="I1055"/>
      <c r="J1055"/>
      <c r="K1055"/>
      <c r="L1055"/>
      <c r="M1055"/>
      <c r="N1055"/>
      <c r="O1055"/>
      <c r="P1055"/>
      <c r="Q1055"/>
      <c r="R1055"/>
      <c r="S1055"/>
      <c r="T1055"/>
      <c r="U1055"/>
      <c r="V1055"/>
      <c r="W1055"/>
      <c r="X1055"/>
      <c r="Y1055"/>
      <c r="Z1055"/>
      <c r="AA1055"/>
      <c r="AB1055"/>
      <c r="AC1055"/>
      <c r="AD1055"/>
      <c r="AE1055"/>
      <c r="AF1055"/>
      <c r="AG1055"/>
      <c r="AH1055"/>
      <c r="AI1055"/>
      <c r="AJ1055"/>
      <c r="AK1055"/>
      <c r="AL1055"/>
      <c r="AM1055"/>
      <c r="AN1055"/>
      <c r="AO1055"/>
      <c r="AP1055"/>
      <c r="AQ1055"/>
      <c r="AR1055"/>
      <c r="AS1055"/>
      <c r="AT1055"/>
      <c r="AU1055"/>
      <c r="AV1055"/>
      <c r="AW1055"/>
      <c r="AX1055"/>
      <c r="AY1055"/>
      <c r="AZ1055"/>
      <c r="BA1055"/>
      <c r="BB1055"/>
      <c r="BC1055"/>
      <c r="BD1055"/>
      <c r="BE1055"/>
      <c r="BF1055"/>
      <c r="BG1055"/>
      <c r="BH1055"/>
      <c r="BI1055"/>
      <c r="BJ1055"/>
      <c r="BK1055"/>
      <c r="BL1055"/>
      <c r="BM1055"/>
      <c r="BN1055"/>
      <c r="BO1055"/>
      <c r="BP1055"/>
      <c r="BQ1055"/>
      <c r="BR1055"/>
      <c r="BS1055"/>
      <c r="BT1055"/>
      <c r="BU1055"/>
      <c r="BV1055"/>
      <c r="BW1055"/>
      <c r="BX1055"/>
      <c r="BY1055"/>
      <c r="BZ1055"/>
      <c r="CA1055"/>
      <c r="CB1055"/>
      <c r="CC1055"/>
      <c r="CD1055"/>
      <c r="CE1055"/>
      <c r="CF1055"/>
      <c r="CG1055"/>
      <c r="CH1055"/>
      <c r="CI1055"/>
      <c r="CJ1055"/>
      <c r="CK1055"/>
      <c r="CL1055"/>
      <c r="CM1055"/>
      <c r="CN1055"/>
      <c r="CO1055"/>
      <c r="CP1055"/>
      <c r="CQ1055"/>
      <c r="CR1055"/>
      <c r="CS1055"/>
      <c r="CT1055"/>
      <c r="CU1055"/>
      <c r="CV1055"/>
      <c r="CW1055"/>
      <c r="CX1055"/>
      <c r="CY1055"/>
      <c r="CZ1055"/>
      <c r="DA1055"/>
      <c r="DB1055"/>
      <c r="DC1055"/>
      <c r="DD1055"/>
      <c r="DE1055"/>
      <c r="DF1055"/>
      <c r="DG1055"/>
      <c r="DH1055"/>
      <c r="DI1055"/>
      <c r="DJ1055"/>
      <c r="DK1055"/>
      <c r="DL1055"/>
      <c r="DM1055"/>
      <c r="DN1055"/>
      <c r="DO1055"/>
      <c r="DP1055"/>
      <c r="DQ1055"/>
      <c r="DR1055"/>
      <c r="DS1055"/>
      <c r="DT1055"/>
      <c r="DU1055"/>
      <c r="DV1055"/>
      <c r="DW1055"/>
      <c r="DX1055"/>
      <c r="DY1055"/>
      <c r="DZ1055"/>
      <c r="EA1055"/>
      <c r="EB1055"/>
      <c r="EC1055"/>
      <c r="ED1055"/>
      <c r="EE1055"/>
      <c r="EF1055"/>
      <c r="EG1055"/>
      <c r="EH1055"/>
      <c r="EI1055"/>
      <c r="EJ1055"/>
      <c r="EK1055"/>
      <c r="EL1055"/>
      <c r="EM1055"/>
      <c r="EN1055"/>
      <c r="EO1055"/>
      <c r="EP1055"/>
      <c r="EQ1055"/>
      <c r="ER1055"/>
      <c r="ES1055"/>
    </row>
    <row r="1056" spans="1:149">
      <c r="A1056"/>
      <c r="B1056"/>
      <c r="C1056"/>
      <c r="D1056"/>
      <c r="E1056"/>
      <c r="F1056"/>
      <c r="G1056"/>
      <c r="H1056"/>
      <c r="I1056"/>
      <c r="J1056"/>
      <c r="K1056"/>
      <c r="L1056"/>
      <c r="M1056"/>
      <c r="N1056"/>
      <c r="O1056"/>
      <c r="P1056"/>
      <c r="Q1056"/>
      <c r="R1056"/>
      <c r="S1056"/>
      <c r="T1056"/>
      <c r="U1056"/>
      <c r="V1056"/>
      <c r="W1056"/>
      <c r="X1056"/>
      <c r="Y1056"/>
      <c r="Z1056"/>
      <c r="AA1056"/>
      <c r="AB1056"/>
      <c r="AC1056"/>
      <c r="AD1056"/>
      <c r="AE1056"/>
      <c r="AF1056"/>
      <c r="AG1056"/>
      <c r="AH1056"/>
      <c r="AI1056"/>
      <c r="AJ1056"/>
      <c r="AK1056"/>
      <c r="AL1056"/>
      <c r="AM1056"/>
      <c r="AN1056"/>
      <c r="AO1056"/>
      <c r="AP1056"/>
      <c r="AQ1056"/>
      <c r="AR1056"/>
      <c r="AS1056"/>
      <c r="AT1056"/>
      <c r="AU1056"/>
      <c r="AV1056"/>
      <c r="AW1056"/>
      <c r="AX1056"/>
      <c r="AY1056"/>
      <c r="AZ1056"/>
      <c r="BA1056"/>
      <c r="BB1056"/>
      <c r="BC1056"/>
      <c r="BD1056"/>
      <c r="BE1056"/>
      <c r="BF1056"/>
      <c r="BG1056"/>
      <c r="BH1056"/>
      <c r="BI1056"/>
      <c r="BJ1056"/>
      <c r="BK1056"/>
      <c r="BL1056"/>
      <c r="BM1056"/>
      <c r="BN1056"/>
      <c r="BO1056"/>
      <c r="BP1056"/>
      <c r="BQ1056"/>
      <c r="BR1056"/>
      <c r="BS1056"/>
      <c r="BT1056"/>
      <c r="BU1056"/>
      <c r="BV1056"/>
      <c r="BW1056"/>
      <c r="BX1056"/>
      <c r="BY1056"/>
      <c r="BZ1056"/>
      <c r="CA1056"/>
      <c r="CB1056"/>
      <c r="CC1056"/>
      <c r="CD1056"/>
      <c r="CE1056"/>
      <c r="CF1056"/>
      <c r="CG1056"/>
      <c r="CH1056"/>
      <c r="CI1056"/>
      <c r="CJ1056"/>
      <c r="CK1056"/>
      <c r="CL1056"/>
      <c r="CM1056"/>
      <c r="CN1056"/>
      <c r="CO1056"/>
      <c r="CP1056"/>
      <c r="CQ1056"/>
      <c r="CR1056"/>
      <c r="CS1056"/>
      <c r="CT1056"/>
      <c r="CU1056"/>
      <c r="CV1056"/>
      <c r="CW1056"/>
      <c r="CX1056"/>
      <c r="CY1056"/>
      <c r="CZ1056"/>
      <c r="DA1056"/>
      <c r="DB1056"/>
      <c r="DC1056"/>
      <c r="DD1056"/>
      <c r="DE1056"/>
      <c r="DF1056"/>
      <c r="DG1056"/>
      <c r="DH1056"/>
      <c r="DI1056"/>
      <c r="DJ1056"/>
      <c r="DK1056"/>
      <c r="DL1056"/>
      <c r="DM1056"/>
      <c r="DN1056"/>
      <c r="DO1056"/>
      <c r="DP1056"/>
      <c r="DQ1056"/>
      <c r="DR1056"/>
      <c r="DS1056"/>
      <c r="DT1056"/>
      <c r="DU1056"/>
      <c r="DV1056"/>
      <c r="DW1056"/>
      <c r="DX1056"/>
      <c r="DY1056"/>
      <c r="DZ1056"/>
      <c r="EA1056"/>
      <c r="EB1056"/>
      <c r="EC1056"/>
      <c r="ED1056"/>
      <c r="EE1056"/>
      <c r="EF1056"/>
      <c r="EG1056"/>
      <c r="EH1056"/>
      <c r="EI1056"/>
      <c r="EJ1056"/>
      <c r="EK1056"/>
      <c r="EL1056"/>
      <c r="EM1056"/>
      <c r="EN1056"/>
      <c r="EO1056"/>
      <c r="EP1056"/>
      <c r="EQ1056"/>
      <c r="ER1056"/>
      <c r="ES1056"/>
    </row>
    <row r="1057" spans="1:149">
      <c r="A1057"/>
      <c r="B1057"/>
      <c r="C1057"/>
      <c r="D1057"/>
      <c r="E1057"/>
      <c r="F1057"/>
      <c r="G1057"/>
      <c r="H1057"/>
      <c r="I1057"/>
      <c r="J1057"/>
      <c r="K1057"/>
      <c r="L1057"/>
      <c r="M1057"/>
      <c r="N1057"/>
      <c r="O1057"/>
      <c r="P1057"/>
      <c r="Q1057"/>
      <c r="R1057"/>
      <c r="S1057"/>
      <c r="T1057"/>
      <c r="U1057"/>
      <c r="V1057"/>
      <c r="W1057"/>
      <c r="X1057"/>
      <c r="Y1057"/>
      <c r="Z1057"/>
      <c r="AA1057"/>
      <c r="AB1057"/>
      <c r="AC1057"/>
      <c r="AD1057"/>
      <c r="AE1057"/>
      <c r="AF1057"/>
      <c r="AG1057"/>
      <c r="AH1057"/>
      <c r="AI1057"/>
      <c r="AJ1057"/>
      <c r="AK1057"/>
      <c r="AL1057"/>
      <c r="AM1057"/>
      <c r="AN1057"/>
      <c r="AO1057"/>
      <c r="AP1057"/>
      <c r="AQ1057"/>
      <c r="AR1057"/>
      <c r="AS1057"/>
      <c r="AT1057"/>
      <c r="AU1057"/>
      <c r="AV1057"/>
      <c r="AW1057"/>
      <c r="AX1057"/>
      <c r="AY1057"/>
      <c r="AZ1057"/>
      <c r="BA1057"/>
      <c r="BB1057"/>
      <c r="BC1057"/>
      <c r="BD1057"/>
      <c r="BE1057"/>
      <c r="BF1057"/>
      <c r="BG1057"/>
      <c r="BH1057"/>
      <c r="BI1057"/>
      <c r="BJ1057"/>
      <c r="BK1057"/>
      <c r="BL1057"/>
      <c r="BM1057"/>
      <c r="BN1057"/>
      <c r="BO1057"/>
      <c r="BP1057"/>
      <c r="BQ1057"/>
      <c r="BR1057"/>
      <c r="BS1057"/>
      <c r="BT1057"/>
      <c r="BU1057"/>
      <c r="BV1057"/>
      <c r="BW1057"/>
      <c r="BX1057"/>
      <c r="BY1057"/>
      <c r="BZ1057"/>
      <c r="CA1057"/>
      <c r="CB1057"/>
      <c r="CC1057"/>
      <c r="CD1057"/>
      <c r="CE1057"/>
      <c r="CF1057"/>
      <c r="CG1057"/>
      <c r="CH1057"/>
      <c r="CI1057"/>
      <c r="CJ1057"/>
      <c r="CK1057"/>
      <c r="CL1057"/>
      <c r="CM1057"/>
      <c r="CN1057"/>
      <c r="CO1057"/>
      <c r="CP1057"/>
      <c r="CQ1057"/>
      <c r="CR1057"/>
      <c r="CS1057"/>
      <c r="CT1057"/>
      <c r="CU1057"/>
      <c r="CV1057"/>
      <c r="CW1057"/>
      <c r="CX1057"/>
      <c r="CY1057"/>
      <c r="CZ1057"/>
      <c r="DA1057"/>
      <c r="DB1057"/>
      <c r="DC1057"/>
      <c r="DD1057"/>
      <c r="DE1057"/>
      <c r="DF1057"/>
      <c r="DG1057"/>
      <c r="DH1057"/>
      <c r="DI1057"/>
      <c r="DJ1057"/>
      <c r="DK1057"/>
      <c r="DL1057"/>
      <c r="DM1057"/>
      <c r="DN1057"/>
      <c r="DO1057"/>
      <c r="DP1057"/>
      <c r="DQ1057"/>
      <c r="DR1057"/>
      <c r="DS1057"/>
      <c r="DT1057"/>
      <c r="DU1057"/>
      <c r="DV1057"/>
      <c r="DW1057"/>
      <c r="DX1057"/>
      <c r="DY1057"/>
      <c r="DZ1057"/>
      <c r="EA1057"/>
      <c r="EB1057"/>
      <c r="EC1057"/>
      <c r="ED1057"/>
      <c r="EE1057"/>
      <c r="EF1057"/>
      <c r="EG1057"/>
      <c r="EH1057"/>
      <c r="EI1057"/>
      <c r="EJ1057"/>
      <c r="EK1057"/>
      <c r="EL1057"/>
      <c r="EM1057"/>
      <c r="EN1057"/>
      <c r="EO1057"/>
      <c r="EP1057"/>
      <c r="EQ1057"/>
      <c r="ER1057"/>
      <c r="ES1057"/>
    </row>
    <row r="1058" spans="1:149">
      <c r="A1058"/>
      <c r="B1058"/>
      <c r="C1058"/>
      <c r="D1058"/>
      <c r="E1058"/>
      <c r="F1058"/>
      <c r="G1058"/>
      <c r="H1058"/>
      <c r="I1058"/>
      <c r="J1058"/>
      <c r="K1058"/>
      <c r="L1058"/>
      <c r="M1058"/>
      <c r="N1058"/>
      <c r="O1058"/>
      <c r="P1058"/>
      <c r="Q1058"/>
      <c r="R1058"/>
      <c r="S1058"/>
      <c r="T1058"/>
      <c r="U1058"/>
      <c r="V1058"/>
      <c r="W1058"/>
      <c r="X1058"/>
      <c r="Y1058"/>
      <c r="Z1058"/>
      <c r="AA1058"/>
      <c r="AB1058"/>
      <c r="AC1058"/>
      <c r="AD1058"/>
      <c r="AE1058"/>
      <c r="AF1058"/>
      <c r="AG1058"/>
      <c r="AH1058"/>
      <c r="AI1058"/>
      <c r="AJ1058"/>
      <c r="AK1058"/>
      <c r="AL1058"/>
      <c r="AM1058"/>
      <c r="AN1058"/>
      <c r="AO1058"/>
      <c r="AP1058"/>
      <c r="AQ1058"/>
      <c r="AR1058"/>
      <c r="AS1058"/>
      <c r="AT1058"/>
      <c r="AU1058"/>
      <c r="AV1058"/>
      <c r="AW1058"/>
      <c r="AX1058"/>
      <c r="AY1058"/>
      <c r="AZ1058"/>
      <c r="BA1058"/>
      <c r="BB1058"/>
      <c r="BC1058"/>
      <c r="BD1058"/>
      <c r="BE1058"/>
      <c r="BF1058"/>
      <c r="BG1058"/>
      <c r="BH1058"/>
      <c r="BI1058"/>
      <c r="BJ1058"/>
      <c r="BK1058"/>
      <c r="BL1058"/>
      <c r="BM1058"/>
      <c r="BN1058"/>
      <c r="BO1058"/>
      <c r="BP1058"/>
      <c r="BQ1058"/>
      <c r="BR1058"/>
      <c r="BS1058"/>
      <c r="BT1058"/>
      <c r="BU1058"/>
      <c r="BV1058"/>
      <c r="BW1058"/>
      <c r="BX1058"/>
      <c r="BY1058"/>
      <c r="BZ1058"/>
      <c r="CA1058"/>
      <c r="CB1058"/>
      <c r="CC1058"/>
      <c r="CD1058"/>
      <c r="CE1058"/>
      <c r="CF1058"/>
      <c r="CG1058"/>
      <c r="CH1058"/>
      <c r="CI1058"/>
      <c r="CJ1058"/>
      <c r="CK1058"/>
      <c r="CL1058"/>
      <c r="CM1058"/>
      <c r="CN1058"/>
      <c r="CO1058"/>
      <c r="CP1058"/>
      <c r="CQ1058"/>
      <c r="CR1058"/>
      <c r="CS1058"/>
      <c r="CT1058"/>
      <c r="CU1058"/>
      <c r="CV1058"/>
      <c r="CW1058"/>
      <c r="CX1058"/>
      <c r="CY1058"/>
      <c r="CZ1058"/>
      <c r="DA1058"/>
      <c r="DB1058"/>
      <c r="DC1058"/>
      <c r="DD1058"/>
      <c r="DE1058"/>
      <c r="DF1058"/>
      <c r="DG1058"/>
      <c r="DH1058"/>
      <c r="DI1058"/>
      <c r="DJ1058"/>
      <c r="DK1058"/>
      <c r="DL1058"/>
      <c r="DM1058"/>
      <c r="DN1058"/>
      <c r="DO1058"/>
      <c r="DP1058"/>
      <c r="DQ1058"/>
      <c r="DR1058"/>
      <c r="DS1058"/>
      <c r="DT1058"/>
      <c r="DU1058"/>
      <c r="DV1058"/>
      <c r="DW1058"/>
      <c r="DX1058"/>
      <c r="DY1058"/>
      <c r="DZ1058"/>
      <c r="EA1058"/>
      <c r="EB1058"/>
      <c r="EC1058"/>
      <c r="ED1058"/>
      <c r="EE1058"/>
      <c r="EF1058"/>
      <c r="EG1058"/>
      <c r="EH1058"/>
      <c r="EI1058"/>
      <c r="EJ1058"/>
      <c r="EK1058"/>
      <c r="EL1058"/>
      <c r="EM1058"/>
      <c r="EN1058"/>
      <c r="EO1058"/>
      <c r="EP1058"/>
      <c r="EQ1058"/>
      <c r="ER1058"/>
      <c r="ES1058"/>
    </row>
    <row r="1059" spans="1:149">
      <c r="A1059"/>
      <c r="B1059"/>
      <c r="C1059"/>
      <c r="D1059"/>
      <c r="E1059"/>
      <c r="F1059"/>
      <c r="G1059"/>
      <c r="H1059"/>
      <c r="I1059"/>
      <c r="J1059"/>
      <c r="K1059"/>
      <c r="L1059"/>
      <c r="M1059"/>
      <c r="N1059"/>
      <c r="O1059"/>
      <c r="P1059"/>
      <c r="Q1059"/>
      <c r="R1059"/>
      <c r="S1059"/>
      <c r="T1059"/>
      <c r="U1059"/>
      <c r="V1059"/>
      <c r="W1059"/>
      <c r="X1059"/>
      <c r="Y1059"/>
      <c r="Z1059"/>
      <c r="AA1059"/>
      <c r="AB1059"/>
      <c r="AC1059"/>
      <c r="AD1059"/>
      <c r="AE1059"/>
      <c r="AF1059"/>
      <c r="AG1059"/>
      <c r="AH1059"/>
      <c r="AI1059"/>
      <c r="AJ1059"/>
      <c r="AK1059"/>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c r="BS1059"/>
      <c r="BT1059"/>
      <c r="BU1059"/>
      <c r="BV1059"/>
      <c r="BW1059"/>
      <c r="BX1059"/>
      <c r="BY1059"/>
      <c r="BZ1059"/>
      <c r="CA1059"/>
      <c r="CB1059"/>
      <c r="CC1059"/>
      <c r="CD1059"/>
      <c r="CE1059"/>
      <c r="CF1059"/>
      <c r="CG1059"/>
      <c r="CH1059"/>
      <c r="CI1059"/>
      <c r="CJ1059"/>
      <c r="CK1059"/>
      <c r="CL1059"/>
      <c r="CM1059"/>
      <c r="CN1059"/>
      <c r="CO1059"/>
      <c r="CP1059"/>
      <c r="CQ1059"/>
      <c r="CR1059"/>
      <c r="CS1059"/>
      <c r="CT1059"/>
      <c r="CU1059"/>
      <c r="CV1059"/>
      <c r="CW1059"/>
      <c r="CX1059"/>
      <c r="CY1059"/>
      <c r="CZ1059"/>
      <c r="DA1059"/>
      <c r="DB1059"/>
      <c r="DC1059"/>
      <c r="DD1059"/>
      <c r="DE1059"/>
      <c r="DF1059"/>
      <c r="DG1059"/>
      <c r="DH1059"/>
      <c r="DI1059"/>
      <c r="DJ1059"/>
      <c r="DK1059"/>
      <c r="DL1059"/>
      <c r="DM1059"/>
      <c r="DN1059"/>
      <c r="DO1059"/>
      <c r="DP1059"/>
      <c r="DQ1059"/>
      <c r="DR1059"/>
      <c r="DS1059"/>
      <c r="DT1059"/>
      <c r="DU1059"/>
      <c r="DV1059"/>
      <c r="DW1059"/>
      <c r="DX1059"/>
      <c r="DY1059"/>
      <c r="DZ1059"/>
      <c r="EA1059"/>
      <c r="EB1059"/>
      <c r="EC1059"/>
      <c r="ED1059"/>
      <c r="EE1059"/>
      <c r="EF1059"/>
      <c r="EG1059"/>
      <c r="EH1059"/>
      <c r="EI1059"/>
      <c r="EJ1059"/>
      <c r="EK1059"/>
      <c r="EL1059"/>
      <c r="EM1059"/>
      <c r="EN1059"/>
      <c r="EO1059"/>
      <c r="EP1059"/>
      <c r="EQ1059"/>
      <c r="ER1059"/>
      <c r="ES1059"/>
    </row>
    <row r="1060" spans="1:149">
      <c r="A1060"/>
      <c r="B1060"/>
      <c r="C1060"/>
      <c r="D1060"/>
      <c r="E1060"/>
      <c r="F1060"/>
      <c r="G1060"/>
      <c r="H1060"/>
      <c r="I1060"/>
      <c r="J1060"/>
      <c r="K1060"/>
      <c r="L1060"/>
      <c r="M1060"/>
      <c r="N1060"/>
      <c r="O1060"/>
      <c r="P1060"/>
      <c r="Q1060"/>
      <c r="R1060"/>
      <c r="S1060"/>
      <c r="T1060"/>
      <c r="U1060"/>
      <c r="V1060"/>
      <c r="W1060"/>
      <c r="X1060"/>
      <c r="Y1060"/>
      <c r="Z1060"/>
      <c r="AA1060"/>
      <c r="AB1060"/>
      <c r="AC1060"/>
      <c r="AD1060"/>
      <c r="AE1060"/>
      <c r="AF1060"/>
      <c r="AG1060"/>
      <c r="AH1060"/>
      <c r="AI1060"/>
      <c r="AJ1060"/>
      <c r="AK1060"/>
      <c r="AL1060"/>
      <c r="AM1060"/>
      <c r="AN1060"/>
      <c r="AO1060"/>
      <c r="AP1060"/>
      <c r="AQ1060"/>
      <c r="AR1060"/>
      <c r="AS1060"/>
      <c r="AT1060"/>
      <c r="AU1060"/>
      <c r="AV1060"/>
      <c r="AW1060"/>
      <c r="AX1060"/>
      <c r="AY1060"/>
      <c r="AZ1060"/>
      <c r="BA1060"/>
      <c r="BB1060"/>
      <c r="BC1060"/>
      <c r="BD1060"/>
      <c r="BE1060"/>
      <c r="BF1060"/>
      <c r="BG1060"/>
      <c r="BH1060"/>
      <c r="BI1060"/>
      <c r="BJ1060"/>
      <c r="BK1060"/>
      <c r="BL1060"/>
      <c r="BM1060"/>
      <c r="BN1060"/>
      <c r="BO1060"/>
      <c r="BP1060"/>
      <c r="BQ1060"/>
      <c r="BR1060"/>
      <c r="BS1060"/>
      <c r="BT1060"/>
      <c r="BU1060"/>
      <c r="BV1060"/>
      <c r="BW1060"/>
      <c r="BX1060"/>
      <c r="BY1060"/>
      <c r="BZ1060"/>
      <c r="CA1060"/>
      <c r="CB1060"/>
      <c r="CC1060"/>
      <c r="CD1060"/>
      <c r="CE1060"/>
      <c r="CF1060"/>
      <c r="CG1060"/>
      <c r="CH1060"/>
      <c r="CI1060"/>
      <c r="CJ1060"/>
      <c r="CK1060"/>
      <c r="CL1060"/>
      <c r="CM1060"/>
      <c r="CN1060"/>
      <c r="CO1060"/>
      <c r="CP1060"/>
      <c r="CQ1060"/>
      <c r="CR1060"/>
      <c r="CS1060"/>
      <c r="CT1060"/>
      <c r="CU1060"/>
      <c r="CV1060"/>
      <c r="CW1060"/>
      <c r="CX1060"/>
      <c r="CY1060"/>
      <c r="CZ1060"/>
      <c r="DA1060"/>
      <c r="DB1060"/>
      <c r="DC1060"/>
      <c r="DD1060"/>
      <c r="DE1060"/>
      <c r="DF1060"/>
      <c r="DG1060"/>
      <c r="DH1060"/>
      <c r="DI1060"/>
      <c r="DJ1060"/>
      <c r="DK1060"/>
      <c r="DL1060"/>
      <c r="DM1060"/>
      <c r="DN1060"/>
      <c r="DO1060"/>
      <c r="DP1060"/>
      <c r="DQ1060"/>
      <c r="DR1060"/>
      <c r="DS1060"/>
      <c r="DT1060"/>
      <c r="DU1060"/>
      <c r="DV1060"/>
      <c r="DW1060"/>
      <c r="DX1060"/>
      <c r="DY1060"/>
      <c r="DZ1060"/>
      <c r="EA1060"/>
      <c r="EB1060"/>
      <c r="EC1060"/>
      <c r="ED1060"/>
      <c r="EE1060"/>
      <c r="EF1060"/>
      <c r="EG1060"/>
      <c r="EH1060"/>
      <c r="EI1060"/>
      <c r="EJ1060"/>
      <c r="EK1060"/>
      <c r="EL1060"/>
      <c r="EM1060"/>
      <c r="EN1060"/>
      <c r="EO1060"/>
      <c r="EP1060"/>
      <c r="EQ1060"/>
      <c r="ER1060"/>
      <c r="ES1060"/>
    </row>
    <row r="1061" spans="1:149">
      <c r="A1061"/>
      <c r="B1061"/>
      <c r="C1061"/>
      <c r="D1061"/>
      <c r="E1061"/>
      <c r="F1061"/>
      <c r="G1061"/>
      <c r="H1061"/>
      <c r="I1061"/>
      <c r="J1061"/>
      <c r="K1061"/>
      <c r="L1061"/>
      <c r="M1061"/>
      <c r="N1061"/>
      <c r="O1061"/>
      <c r="P1061"/>
      <c r="Q1061"/>
      <c r="R1061"/>
      <c r="S1061"/>
      <c r="T1061"/>
      <c r="U1061"/>
      <c r="V1061"/>
      <c r="W1061"/>
      <c r="X1061"/>
      <c r="Y1061"/>
      <c r="Z1061"/>
      <c r="AA1061"/>
      <c r="AB1061"/>
      <c r="AC1061"/>
      <c r="AD1061"/>
      <c r="AE1061"/>
      <c r="AF1061"/>
      <c r="AG1061"/>
      <c r="AH1061"/>
      <c r="AI1061"/>
      <c r="AJ1061"/>
      <c r="AK1061"/>
      <c r="AL1061"/>
      <c r="AM1061"/>
      <c r="AN1061"/>
      <c r="AO1061"/>
      <c r="AP1061"/>
      <c r="AQ1061"/>
      <c r="AR1061"/>
      <c r="AS1061"/>
      <c r="AT1061"/>
      <c r="AU1061"/>
      <c r="AV1061"/>
      <c r="AW1061"/>
      <c r="AX1061"/>
      <c r="AY1061"/>
      <c r="AZ1061"/>
      <c r="BA1061"/>
      <c r="BB1061"/>
      <c r="BC1061"/>
      <c r="BD1061"/>
      <c r="BE1061"/>
      <c r="BF1061"/>
      <c r="BG1061"/>
      <c r="BH1061"/>
      <c r="BI1061"/>
      <c r="BJ1061"/>
      <c r="BK1061"/>
      <c r="BL1061"/>
      <c r="BM1061"/>
      <c r="BN1061"/>
      <c r="BO1061"/>
      <c r="BP1061"/>
      <c r="BQ1061"/>
      <c r="BR1061"/>
      <c r="BS1061"/>
      <c r="BT1061"/>
      <c r="BU1061"/>
      <c r="BV1061"/>
      <c r="BW1061"/>
      <c r="BX1061"/>
      <c r="BY1061"/>
      <c r="BZ1061"/>
      <c r="CA1061"/>
      <c r="CB1061"/>
      <c r="CC1061"/>
      <c r="CD1061"/>
      <c r="CE1061"/>
      <c r="CF1061"/>
      <c r="CG1061"/>
      <c r="CH1061"/>
      <c r="CI1061"/>
      <c r="CJ1061"/>
      <c r="CK1061"/>
      <c r="CL1061"/>
      <c r="CM1061"/>
      <c r="CN1061"/>
      <c r="CO1061"/>
      <c r="CP1061"/>
      <c r="CQ1061"/>
      <c r="CR1061"/>
      <c r="CS1061"/>
      <c r="CT1061"/>
      <c r="CU1061"/>
      <c r="CV1061"/>
      <c r="CW1061"/>
      <c r="CX1061"/>
      <c r="CY1061"/>
      <c r="CZ1061"/>
      <c r="DA1061"/>
      <c r="DB1061"/>
      <c r="DC1061"/>
      <c r="DD1061"/>
      <c r="DE1061"/>
      <c r="DF1061"/>
      <c r="DG1061"/>
      <c r="DH1061"/>
      <c r="DI1061"/>
      <c r="DJ1061"/>
      <c r="DK1061"/>
      <c r="DL1061"/>
      <c r="DM1061"/>
      <c r="DN1061"/>
      <c r="DO1061"/>
      <c r="DP1061"/>
      <c r="DQ1061"/>
      <c r="DR1061"/>
      <c r="DS1061"/>
      <c r="DT1061"/>
      <c r="DU1061"/>
      <c r="DV1061"/>
      <c r="DW1061"/>
      <c r="DX1061"/>
      <c r="DY1061"/>
      <c r="DZ1061"/>
      <c r="EA1061"/>
      <c r="EB1061"/>
      <c r="EC1061"/>
      <c r="ED1061"/>
      <c r="EE1061"/>
      <c r="EF1061"/>
      <c r="EG1061"/>
      <c r="EH1061"/>
      <c r="EI1061"/>
      <c r="EJ1061"/>
      <c r="EK1061"/>
      <c r="EL1061"/>
      <c r="EM1061"/>
      <c r="EN1061"/>
      <c r="EO1061"/>
      <c r="EP1061"/>
      <c r="EQ1061"/>
      <c r="ER1061"/>
      <c r="ES1061"/>
    </row>
    <row r="1062" spans="1:149">
      <c r="A1062"/>
      <c r="B1062"/>
      <c r="C1062"/>
      <c r="D1062"/>
      <c r="E1062"/>
      <c r="F1062"/>
      <c r="G1062"/>
      <c r="H1062"/>
      <c r="I1062"/>
      <c r="J1062"/>
      <c r="K1062"/>
      <c r="L1062"/>
      <c r="M1062"/>
      <c r="N1062"/>
      <c r="O1062"/>
      <c r="P1062"/>
      <c r="Q1062"/>
      <c r="R1062"/>
      <c r="S1062"/>
      <c r="T1062"/>
      <c r="U1062"/>
      <c r="V1062"/>
      <c r="W1062"/>
      <c r="X1062"/>
      <c r="Y1062"/>
      <c r="Z1062"/>
      <c r="AA1062"/>
      <c r="AB1062"/>
      <c r="AC1062"/>
      <c r="AD1062"/>
      <c r="AE1062"/>
      <c r="AF1062"/>
      <c r="AG1062"/>
      <c r="AH1062"/>
      <c r="AI1062"/>
      <c r="AJ1062"/>
      <c r="AK1062"/>
      <c r="AL1062"/>
      <c r="AM1062"/>
      <c r="AN1062"/>
      <c r="AO1062"/>
      <c r="AP1062"/>
      <c r="AQ1062"/>
      <c r="AR1062"/>
      <c r="AS1062"/>
      <c r="AT1062"/>
      <c r="AU1062"/>
      <c r="AV1062"/>
      <c r="AW1062"/>
      <c r="AX1062"/>
      <c r="AY1062"/>
      <c r="AZ1062"/>
      <c r="BA1062"/>
      <c r="BB1062"/>
      <c r="BC1062"/>
      <c r="BD1062"/>
      <c r="BE1062"/>
      <c r="BF1062"/>
      <c r="BG1062"/>
      <c r="BH1062"/>
      <c r="BI1062"/>
      <c r="BJ1062"/>
      <c r="BK1062"/>
      <c r="BL1062"/>
      <c r="BM1062"/>
      <c r="BN1062"/>
      <c r="BO1062"/>
      <c r="BP1062"/>
      <c r="BQ1062"/>
      <c r="BR1062"/>
      <c r="BS1062"/>
      <c r="BT1062"/>
      <c r="BU1062"/>
      <c r="BV1062"/>
      <c r="BW1062"/>
      <c r="BX1062"/>
      <c r="BY1062"/>
      <c r="BZ1062"/>
      <c r="CA1062"/>
      <c r="CB1062"/>
      <c r="CC1062"/>
      <c r="CD1062"/>
      <c r="CE1062"/>
      <c r="CF1062"/>
      <c r="CG1062"/>
      <c r="CH1062"/>
      <c r="CI1062"/>
      <c r="CJ1062"/>
      <c r="CK1062"/>
      <c r="CL1062"/>
      <c r="CM1062"/>
      <c r="CN1062"/>
      <c r="CO1062"/>
      <c r="CP1062"/>
      <c r="CQ1062"/>
      <c r="CR1062"/>
      <c r="CS1062"/>
      <c r="CT1062"/>
      <c r="CU1062"/>
      <c r="CV1062"/>
      <c r="CW1062"/>
      <c r="CX1062"/>
      <c r="CY1062"/>
      <c r="CZ1062"/>
      <c r="DA1062"/>
      <c r="DB1062"/>
      <c r="DC1062"/>
      <c r="DD1062"/>
      <c r="DE1062"/>
      <c r="DF1062"/>
      <c r="DG1062"/>
      <c r="DH1062"/>
      <c r="DI1062"/>
      <c r="DJ1062"/>
      <c r="DK1062"/>
      <c r="DL1062"/>
      <c r="DM1062"/>
      <c r="DN1062"/>
      <c r="DO1062"/>
      <c r="DP1062"/>
      <c r="DQ1062"/>
      <c r="DR1062"/>
      <c r="DS1062"/>
      <c r="DT1062"/>
      <c r="DU1062"/>
      <c r="DV1062"/>
      <c r="DW1062"/>
      <c r="DX1062"/>
      <c r="DY1062"/>
      <c r="DZ1062"/>
      <c r="EA1062"/>
      <c r="EB1062"/>
      <c r="EC1062"/>
      <c r="ED1062"/>
      <c r="EE1062"/>
      <c r="EF1062"/>
      <c r="EG1062"/>
      <c r="EH1062"/>
      <c r="EI1062"/>
      <c r="EJ1062"/>
      <c r="EK1062"/>
      <c r="EL1062"/>
      <c r="EM1062"/>
      <c r="EN1062"/>
      <c r="EO1062"/>
      <c r="EP1062"/>
      <c r="EQ1062"/>
      <c r="ER1062"/>
      <c r="ES1062"/>
    </row>
    <row r="1063" spans="1:149">
      <c r="A1063"/>
      <c r="B1063"/>
      <c r="C1063"/>
      <c r="D1063"/>
      <c r="E1063"/>
      <c r="F1063"/>
      <c r="G1063"/>
      <c r="H1063"/>
      <c r="I1063"/>
      <c r="J1063"/>
      <c r="K1063"/>
      <c r="L1063"/>
      <c r="M1063"/>
      <c r="N1063"/>
      <c r="O1063"/>
      <c r="P1063"/>
      <c r="Q1063"/>
      <c r="R1063"/>
      <c r="S1063"/>
      <c r="T1063"/>
      <c r="U1063"/>
      <c r="V1063"/>
      <c r="W1063"/>
      <c r="X1063"/>
      <c r="Y1063"/>
      <c r="Z1063"/>
      <c r="AA1063"/>
      <c r="AB1063"/>
      <c r="AC1063"/>
      <c r="AD1063"/>
      <c r="AE1063"/>
      <c r="AF1063"/>
      <c r="AG1063"/>
      <c r="AH1063"/>
      <c r="AI1063"/>
      <c r="AJ1063"/>
      <c r="AK1063"/>
      <c r="AL1063"/>
      <c r="AM1063"/>
      <c r="AN1063"/>
      <c r="AO1063"/>
      <c r="AP1063"/>
      <c r="AQ1063"/>
      <c r="AR1063"/>
      <c r="AS1063"/>
      <c r="AT1063"/>
      <c r="AU1063"/>
      <c r="AV1063"/>
      <c r="AW1063"/>
      <c r="AX1063"/>
      <c r="AY1063"/>
      <c r="AZ1063"/>
      <c r="BA1063"/>
      <c r="BB1063"/>
      <c r="BC1063"/>
      <c r="BD1063"/>
      <c r="BE1063"/>
      <c r="BF1063"/>
      <c r="BG1063"/>
      <c r="BH1063"/>
      <c r="BI1063"/>
      <c r="BJ1063"/>
      <c r="BK1063"/>
      <c r="BL1063"/>
      <c r="BM1063"/>
      <c r="BN1063"/>
      <c r="BO1063"/>
      <c r="BP1063"/>
      <c r="BQ1063"/>
      <c r="BR1063"/>
      <c r="BS1063"/>
      <c r="BT1063"/>
      <c r="BU1063"/>
      <c r="BV1063"/>
      <c r="BW1063"/>
      <c r="BX1063"/>
      <c r="BY1063"/>
      <c r="BZ1063"/>
      <c r="CA1063"/>
      <c r="CB1063"/>
      <c r="CC1063"/>
      <c r="CD1063"/>
      <c r="CE1063"/>
      <c r="CF1063"/>
      <c r="CG1063"/>
      <c r="CH1063"/>
      <c r="CI1063"/>
      <c r="CJ1063"/>
      <c r="CK1063"/>
      <c r="CL1063"/>
      <c r="CM1063"/>
      <c r="CN1063"/>
      <c r="CO1063"/>
      <c r="CP1063"/>
      <c r="CQ1063"/>
      <c r="CR1063"/>
      <c r="CS1063"/>
      <c r="CT1063"/>
      <c r="CU1063"/>
      <c r="CV1063"/>
      <c r="CW1063"/>
      <c r="CX1063"/>
      <c r="CY1063"/>
      <c r="CZ1063"/>
      <c r="DA1063"/>
      <c r="DB1063"/>
      <c r="DC1063"/>
      <c r="DD1063"/>
      <c r="DE1063"/>
      <c r="DF1063"/>
      <c r="DG1063"/>
      <c r="DH1063"/>
      <c r="DI1063"/>
      <c r="DJ1063"/>
      <c r="DK1063"/>
      <c r="DL1063"/>
      <c r="DM1063"/>
      <c r="DN1063"/>
      <c r="DO1063"/>
      <c r="DP1063"/>
      <c r="DQ1063"/>
      <c r="DR1063"/>
      <c r="DS1063"/>
      <c r="DT1063"/>
      <c r="DU1063"/>
      <c r="DV1063"/>
      <c r="DW1063"/>
      <c r="DX1063"/>
      <c r="DY1063"/>
      <c r="DZ1063"/>
      <c r="EA1063"/>
      <c r="EB1063"/>
      <c r="EC1063"/>
      <c r="ED1063"/>
      <c r="EE1063"/>
      <c r="EF1063"/>
      <c r="EG1063"/>
      <c r="EH1063"/>
      <c r="EI1063"/>
      <c r="EJ1063"/>
      <c r="EK1063"/>
      <c r="EL1063"/>
      <c r="EM1063"/>
      <c r="EN1063"/>
      <c r="EO1063"/>
      <c r="EP1063"/>
      <c r="EQ1063"/>
      <c r="ER1063"/>
      <c r="ES1063"/>
    </row>
    <row r="1064" spans="1:149">
      <c r="A1064"/>
      <c r="B1064"/>
      <c r="C1064"/>
      <c r="D1064"/>
      <c r="E1064"/>
      <c r="F1064"/>
      <c r="G1064"/>
      <c r="H1064"/>
      <c r="I1064"/>
      <c r="J1064"/>
      <c r="K1064"/>
      <c r="L1064"/>
      <c r="M1064"/>
      <c r="N1064"/>
      <c r="O1064"/>
      <c r="P1064"/>
      <c r="Q1064"/>
      <c r="R1064"/>
      <c r="S1064"/>
      <c r="T1064"/>
      <c r="U1064"/>
      <c r="V1064"/>
      <c r="W1064"/>
      <c r="X1064"/>
      <c r="Y1064"/>
      <c r="Z1064"/>
      <c r="AA1064"/>
      <c r="AB1064"/>
      <c r="AC1064"/>
      <c r="AD1064"/>
      <c r="AE1064"/>
      <c r="AF1064"/>
      <c r="AG1064"/>
      <c r="AH1064"/>
      <c r="AI1064"/>
      <c r="AJ1064"/>
      <c r="AK1064"/>
      <c r="AL1064"/>
      <c r="AM1064"/>
      <c r="AN1064"/>
      <c r="AO1064"/>
      <c r="AP1064"/>
      <c r="AQ1064"/>
      <c r="AR1064"/>
      <c r="AS1064"/>
      <c r="AT1064"/>
      <c r="AU1064"/>
      <c r="AV1064"/>
      <c r="AW1064"/>
      <c r="AX1064"/>
      <c r="AY1064"/>
      <c r="AZ1064"/>
      <c r="BA1064"/>
      <c r="BB1064"/>
      <c r="BC1064"/>
      <c r="BD1064"/>
      <c r="BE1064"/>
      <c r="BF1064"/>
      <c r="BG1064"/>
      <c r="BH1064"/>
      <c r="BI1064"/>
      <c r="BJ1064"/>
      <c r="BK1064"/>
      <c r="BL1064"/>
      <c r="BM1064"/>
      <c r="BN1064"/>
      <c r="BO1064"/>
      <c r="BP1064"/>
      <c r="BQ1064"/>
      <c r="BR1064"/>
      <c r="BS1064"/>
      <c r="BT1064"/>
      <c r="BU1064"/>
      <c r="BV1064"/>
      <c r="BW1064"/>
      <c r="BX1064"/>
      <c r="BY1064"/>
      <c r="BZ1064"/>
      <c r="CA1064"/>
      <c r="CB1064"/>
      <c r="CC1064"/>
      <c r="CD1064"/>
      <c r="CE1064"/>
      <c r="CF1064"/>
      <c r="CG1064"/>
      <c r="CH1064"/>
      <c r="CI1064"/>
      <c r="CJ1064"/>
      <c r="CK1064"/>
      <c r="CL1064"/>
      <c r="CM1064"/>
      <c r="CN1064"/>
      <c r="CO1064"/>
      <c r="CP1064"/>
      <c r="CQ1064"/>
      <c r="CR1064"/>
      <c r="CS1064"/>
      <c r="CT1064"/>
      <c r="CU1064"/>
      <c r="CV1064"/>
      <c r="CW1064"/>
      <c r="CX1064"/>
      <c r="CY1064"/>
      <c r="CZ1064"/>
      <c r="DA1064"/>
      <c r="DB1064"/>
      <c r="DC1064"/>
      <c r="DD1064"/>
      <c r="DE1064"/>
      <c r="DF1064"/>
      <c r="DG1064"/>
      <c r="DH1064"/>
      <c r="DI1064"/>
      <c r="DJ1064"/>
      <c r="DK1064"/>
      <c r="DL1064"/>
      <c r="DM1064"/>
      <c r="DN1064"/>
      <c r="DO1064"/>
      <c r="DP1064"/>
      <c r="DQ1064"/>
      <c r="DR1064"/>
      <c r="DS1064"/>
      <c r="DT1064"/>
      <c r="DU1064"/>
      <c r="DV1064"/>
      <c r="DW1064"/>
      <c r="DX1064"/>
      <c r="DY1064"/>
      <c r="DZ1064"/>
      <c r="EA1064"/>
      <c r="EB1064"/>
      <c r="EC1064"/>
      <c r="ED1064"/>
      <c r="EE1064"/>
      <c r="EF1064"/>
      <c r="EG1064"/>
      <c r="EH1064"/>
      <c r="EI1064"/>
      <c r="EJ1064"/>
      <c r="EK1064"/>
      <c r="EL1064"/>
      <c r="EM1064"/>
      <c r="EN1064"/>
      <c r="EO1064"/>
      <c r="EP1064"/>
      <c r="EQ1064"/>
      <c r="ER1064"/>
      <c r="ES1064"/>
    </row>
    <row r="1065" spans="1:149">
      <c r="A1065"/>
      <c r="B1065"/>
      <c r="C1065"/>
      <c r="D1065"/>
      <c r="E1065"/>
      <c r="F1065"/>
      <c r="G1065"/>
      <c r="H1065"/>
      <c r="I1065"/>
      <c r="J1065"/>
      <c r="K1065"/>
      <c r="L1065"/>
      <c r="M1065"/>
      <c r="N1065"/>
      <c r="O1065"/>
      <c r="P1065"/>
      <c r="Q1065"/>
      <c r="R1065"/>
      <c r="S1065"/>
      <c r="T1065"/>
      <c r="U1065"/>
      <c r="V1065"/>
      <c r="W1065"/>
      <c r="X1065"/>
      <c r="Y1065"/>
      <c r="Z1065"/>
      <c r="AA1065"/>
      <c r="AB1065"/>
      <c r="AC1065"/>
      <c r="AD1065"/>
      <c r="AE1065"/>
      <c r="AF1065"/>
      <c r="AG1065"/>
      <c r="AH1065"/>
      <c r="AI1065"/>
      <c r="AJ1065"/>
      <c r="AK1065"/>
      <c r="AL1065"/>
      <c r="AM1065"/>
      <c r="AN1065"/>
      <c r="AO1065"/>
      <c r="AP1065"/>
      <c r="AQ1065"/>
      <c r="AR1065"/>
      <c r="AS1065"/>
      <c r="AT1065"/>
      <c r="AU1065"/>
      <c r="AV1065"/>
      <c r="AW1065"/>
      <c r="AX1065"/>
      <c r="AY1065"/>
      <c r="AZ1065"/>
      <c r="BA1065"/>
      <c r="BB1065"/>
      <c r="BC1065"/>
      <c r="BD1065"/>
      <c r="BE1065"/>
      <c r="BF1065"/>
      <c r="BG1065"/>
      <c r="BH1065"/>
      <c r="BI1065"/>
      <c r="BJ1065"/>
      <c r="BK1065"/>
      <c r="BL1065"/>
      <c r="BM1065"/>
      <c r="BN1065"/>
      <c r="BO1065"/>
      <c r="BP1065"/>
      <c r="BQ1065"/>
      <c r="BR1065"/>
      <c r="BS1065"/>
      <c r="BT1065"/>
      <c r="BU1065"/>
      <c r="BV1065"/>
      <c r="BW1065"/>
      <c r="BX1065"/>
      <c r="BY1065"/>
      <c r="BZ1065"/>
      <c r="CA1065"/>
      <c r="CB1065"/>
      <c r="CC1065"/>
      <c r="CD1065"/>
      <c r="CE1065"/>
      <c r="CF1065"/>
      <c r="CG1065"/>
      <c r="CH1065"/>
      <c r="CI1065"/>
      <c r="CJ1065"/>
      <c r="CK1065"/>
      <c r="CL1065"/>
      <c r="CM1065"/>
      <c r="CN1065"/>
      <c r="CO1065"/>
      <c r="CP1065"/>
      <c r="CQ1065"/>
      <c r="CR1065"/>
      <c r="CS1065"/>
      <c r="CT1065"/>
      <c r="CU1065"/>
      <c r="CV1065"/>
      <c r="CW1065"/>
      <c r="CX1065"/>
      <c r="CY1065"/>
      <c r="CZ1065"/>
      <c r="DA1065"/>
      <c r="DB1065"/>
      <c r="DC1065"/>
      <c r="DD1065"/>
      <c r="DE1065"/>
      <c r="DF1065"/>
      <c r="DG1065"/>
      <c r="DH1065"/>
      <c r="DI1065"/>
      <c r="DJ1065"/>
      <c r="DK1065"/>
      <c r="DL1065"/>
      <c r="DM1065"/>
      <c r="DN1065"/>
      <c r="DO1065"/>
      <c r="DP1065"/>
      <c r="DQ1065"/>
      <c r="DR1065"/>
      <c r="DS1065"/>
      <c r="DT1065"/>
      <c r="DU1065"/>
      <c r="DV1065"/>
      <c r="DW1065"/>
      <c r="DX1065"/>
      <c r="DY1065"/>
      <c r="DZ1065"/>
      <c r="EA1065"/>
      <c r="EB1065"/>
      <c r="EC1065"/>
      <c r="ED1065"/>
      <c r="EE1065"/>
      <c r="EF1065"/>
      <c r="EG1065"/>
      <c r="EH1065"/>
      <c r="EI1065"/>
      <c r="EJ1065"/>
      <c r="EK1065"/>
      <c r="EL1065"/>
      <c r="EM1065"/>
      <c r="EN1065"/>
      <c r="EO1065"/>
      <c r="EP1065"/>
      <c r="EQ1065"/>
      <c r="ER1065"/>
      <c r="ES1065"/>
    </row>
    <row r="1066" spans="1:149">
      <c r="A1066"/>
      <c r="B1066"/>
      <c r="C1066"/>
      <c r="D1066"/>
      <c r="E1066"/>
      <c r="F1066"/>
      <c r="G1066"/>
      <c r="H1066"/>
      <c r="I1066"/>
      <c r="J1066"/>
      <c r="K1066"/>
      <c r="L1066"/>
      <c r="M1066"/>
      <c r="N1066"/>
      <c r="O1066"/>
      <c r="P1066"/>
      <c r="Q1066"/>
      <c r="R1066"/>
      <c r="S1066"/>
      <c r="T1066"/>
      <c r="U1066"/>
      <c r="V1066"/>
      <c r="W1066"/>
      <c r="X1066"/>
      <c r="Y1066"/>
      <c r="Z1066"/>
      <c r="AA1066"/>
      <c r="AB1066"/>
      <c r="AC1066"/>
      <c r="AD1066"/>
      <c r="AE1066"/>
      <c r="AF1066"/>
      <c r="AG1066"/>
      <c r="AH1066"/>
      <c r="AI1066"/>
      <c r="AJ1066"/>
      <c r="AK1066"/>
      <c r="AL1066"/>
      <c r="AM1066"/>
      <c r="AN1066"/>
      <c r="AO1066"/>
      <c r="AP1066"/>
      <c r="AQ1066"/>
      <c r="AR1066"/>
      <c r="AS1066"/>
      <c r="AT1066"/>
      <c r="AU1066"/>
      <c r="AV1066"/>
      <c r="AW1066"/>
      <c r="AX1066"/>
      <c r="AY1066"/>
      <c r="AZ1066"/>
      <c r="BA1066"/>
      <c r="BB1066"/>
      <c r="BC1066"/>
      <c r="BD1066"/>
      <c r="BE1066"/>
      <c r="BF1066"/>
      <c r="BG1066"/>
      <c r="BH1066"/>
      <c r="BI1066"/>
      <c r="BJ1066"/>
      <c r="BK1066"/>
      <c r="BL1066"/>
      <c r="BM1066"/>
      <c r="BN1066"/>
      <c r="BO1066"/>
      <c r="BP1066"/>
      <c r="BQ1066"/>
      <c r="BR1066"/>
      <c r="BS1066"/>
      <c r="BT1066"/>
      <c r="BU1066"/>
      <c r="BV1066"/>
      <c r="BW1066"/>
      <c r="BX1066"/>
      <c r="BY1066"/>
      <c r="BZ1066"/>
      <c r="CA1066"/>
      <c r="CB1066"/>
      <c r="CC1066"/>
      <c r="CD1066"/>
      <c r="CE1066"/>
      <c r="CF1066"/>
      <c r="CG1066"/>
      <c r="CH1066"/>
      <c r="CI1066"/>
      <c r="CJ1066"/>
      <c r="CK1066"/>
      <c r="CL1066"/>
      <c r="CM1066"/>
      <c r="CN1066"/>
      <c r="CO1066"/>
      <c r="CP1066"/>
      <c r="CQ1066"/>
      <c r="CR1066"/>
      <c r="CS1066"/>
      <c r="CT1066"/>
      <c r="CU1066"/>
      <c r="CV1066"/>
      <c r="CW1066"/>
      <c r="CX1066"/>
      <c r="CY1066"/>
      <c r="CZ1066"/>
      <c r="DA1066"/>
      <c r="DB1066"/>
      <c r="DC1066"/>
      <c r="DD1066"/>
      <c r="DE1066"/>
      <c r="DF1066"/>
      <c r="DG1066"/>
      <c r="DH1066"/>
      <c r="DI1066"/>
      <c r="DJ1066"/>
      <c r="DK1066"/>
      <c r="DL1066"/>
      <c r="DM1066"/>
      <c r="DN1066"/>
      <c r="DO1066"/>
      <c r="DP1066"/>
      <c r="DQ1066"/>
      <c r="DR1066"/>
      <c r="DS1066"/>
      <c r="DT1066"/>
      <c r="DU1066"/>
      <c r="DV1066"/>
      <c r="DW1066"/>
      <c r="DX1066"/>
      <c r="DY1066"/>
      <c r="DZ1066"/>
      <c r="EA1066"/>
      <c r="EB1066"/>
      <c r="EC1066"/>
      <c r="ED1066"/>
      <c r="EE1066"/>
      <c r="EF1066"/>
      <c r="EG1066"/>
      <c r="EH1066"/>
      <c r="EI1066"/>
      <c r="EJ1066"/>
      <c r="EK1066"/>
      <c r="EL1066"/>
      <c r="EM1066"/>
      <c r="EN1066"/>
      <c r="EO1066"/>
      <c r="EP1066"/>
      <c r="EQ1066"/>
      <c r="ER1066"/>
      <c r="ES1066"/>
    </row>
    <row r="1067" spans="1:149">
      <c r="A1067"/>
      <c r="B1067"/>
      <c r="C1067"/>
      <c r="D1067"/>
      <c r="E1067"/>
      <c r="F1067"/>
      <c r="G1067"/>
      <c r="H1067"/>
      <c r="I1067"/>
      <c r="J1067"/>
      <c r="K1067"/>
      <c r="L1067"/>
      <c r="M1067"/>
      <c r="N1067"/>
      <c r="O1067"/>
      <c r="P1067"/>
      <c r="Q1067"/>
      <c r="R1067"/>
      <c r="S1067"/>
      <c r="T1067"/>
      <c r="U1067"/>
      <c r="V1067"/>
      <c r="W1067"/>
      <c r="X1067"/>
      <c r="Y1067"/>
      <c r="Z1067"/>
      <c r="AA1067"/>
      <c r="AB1067"/>
      <c r="AC1067"/>
      <c r="AD1067"/>
      <c r="AE1067"/>
      <c r="AF1067"/>
      <c r="AG1067"/>
      <c r="AH1067"/>
      <c r="AI1067"/>
      <c r="AJ1067"/>
      <c r="AK1067"/>
      <c r="AL1067"/>
      <c r="AM1067"/>
      <c r="AN1067"/>
      <c r="AO1067"/>
      <c r="AP1067"/>
      <c r="AQ1067"/>
      <c r="AR1067"/>
      <c r="AS1067"/>
      <c r="AT1067"/>
      <c r="AU1067"/>
      <c r="AV1067"/>
      <c r="AW1067"/>
      <c r="AX1067"/>
      <c r="AY1067"/>
      <c r="AZ1067"/>
      <c r="BA1067"/>
      <c r="BB1067"/>
      <c r="BC1067"/>
      <c r="BD1067"/>
      <c r="BE1067"/>
      <c r="BF1067"/>
      <c r="BG1067"/>
      <c r="BH1067"/>
      <c r="BI1067"/>
      <c r="BJ1067"/>
      <c r="BK1067"/>
      <c r="BL1067"/>
      <c r="BM1067"/>
      <c r="BN1067"/>
      <c r="BO1067"/>
      <c r="BP1067"/>
      <c r="BQ1067"/>
      <c r="BR1067"/>
      <c r="BS1067"/>
      <c r="BT1067"/>
      <c r="BU1067"/>
      <c r="BV1067"/>
      <c r="BW1067"/>
      <c r="BX1067"/>
      <c r="BY1067"/>
      <c r="BZ1067"/>
      <c r="CA1067"/>
      <c r="CB1067"/>
      <c r="CC1067"/>
      <c r="CD1067"/>
      <c r="CE1067"/>
      <c r="CF1067"/>
      <c r="CG1067"/>
      <c r="CH1067"/>
      <c r="CI1067"/>
      <c r="CJ1067"/>
      <c r="CK1067"/>
      <c r="CL1067"/>
      <c r="CM1067"/>
      <c r="CN1067"/>
      <c r="CO1067"/>
      <c r="CP1067"/>
      <c r="CQ1067"/>
      <c r="CR1067"/>
      <c r="CS1067"/>
      <c r="CT1067"/>
      <c r="CU1067"/>
      <c r="CV1067"/>
      <c r="CW1067"/>
      <c r="CX1067"/>
      <c r="CY1067"/>
      <c r="CZ1067"/>
      <c r="DA1067"/>
      <c r="DB1067"/>
      <c r="DC1067"/>
      <c r="DD1067"/>
      <c r="DE1067"/>
      <c r="DF1067"/>
      <c r="DG1067"/>
      <c r="DH1067"/>
      <c r="DI1067"/>
      <c r="DJ1067"/>
      <c r="DK1067"/>
      <c r="DL1067"/>
      <c r="DM1067"/>
      <c r="DN1067"/>
      <c r="DO1067"/>
      <c r="DP1067"/>
      <c r="DQ1067"/>
      <c r="DR1067"/>
      <c r="DS1067"/>
      <c r="DT1067"/>
      <c r="DU1067"/>
      <c r="DV1067"/>
      <c r="DW1067"/>
      <c r="DX1067"/>
      <c r="DY1067"/>
      <c r="DZ1067"/>
      <c r="EA1067"/>
      <c r="EB1067"/>
      <c r="EC1067"/>
      <c r="ED1067"/>
      <c r="EE1067"/>
      <c r="EF1067"/>
      <c r="EG1067"/>
      <c r="EH1067"/>
      <c r="EI1067"/>
      <c r="EJ1067"/>
      <c r="EK1067"/>
      <c r="EL1067"/>
      <c r="EM1067"/>
      <c r="EN1067"/>
      <c r="EO1067"/>
      <c r="EP1067"/>
      <c r="EQ1067"/>
      <c r="ER1067"/>
      <c r="ES1067"/>
    </row>
    <row r="1068" spans="1:149">
      <c r="A1068"/>
      <c r="B1068"/>
      <c r="C1068"/>
      <c r="D1068"/>
      <c r="E1068"/>
      <c r="F1068"/>
      <c r="G1068"/>
      <c r="H1068"/>
      <c r="I1068"/>
      <c r="J1068"/>
      <c r="K1068"/>
      <c r="L1068"/>
      <c r="M1068"/>
      <c r="N1068"/>
      <c r="O1068"/>
      <c r="P1068"/>
      <c r="Q1068"/>
      <c r="R1068"/>
      <c r="S1068"/>
      <c r="T1068"/>
      <c r="U1068"/>
      <c r="V1068"/>
      <c r="W1068"/>
      <c r="X1068"/>
      <c r="Y1068"/>
      <c r="Z1068"/>
      <c r="AA1068"/>
      <c r="AB1068"/>
      <c r="AC1068"/>
      <c r="AD1068"/>
      <c r="AE1068"/>
      <c r="AF1068"/>
      <c r="AG1068"/>
      <c r="AH1068"/>
      <c r="AI1068"/>
      <c r="AJ1068"/>
      <c r="AK1068"/>
      <c r="AL1068"/>
      <c r="AM1068"/>
      <c r="AN1068"/>
      <c r="AO1068"/>
      <c r="AP1068"/>
      <c r="AQ1068"/>
      <c r="AR1068"/>
      <c r="AS1068"/>
      <c r="AT1068"/>
      <c r="AU1068"/>
      <c r="AV1068"/>
      <c r="AW1068"/>
      <c r="AX1068"/>
      <c r="AY1068"/>
      <c r="AZ1068"/>
      <c r="BA1068"/>
      <c r="BB1068"/>
      <c r="BC1068"/>
      <c r="BD1068"/>
      <c r="BE1068"/>
      <c r="BF1068"/>
      <c r="BG1068"/>
      <c r="BH1068"/>
      <c r="BI1068"/>
      <c r="BJ1068"/>
      <c r="BK1068"/>
      <c r="BL1068"/>
      <c r="BM1068"/>
      <c r="BN1068"/>
      <c r="BO1068"/>
      <c r="BP1068"/>
      <c r="BQ1068"/>
      <c r="BR1068"/>
      <c r="BS1068"/>
      <c r="BT1068"/>
      <c r="BU1068"/>
      <c r="BV1068"/>
      <c r="BW1068"/>
      <c r="BX1068"/>
      <c r="BY1068"/>
      <c r="BZ1068"/>
      <c r="CA1068"/>
      <c r="CB1068"/>
      <c r="CC1068"/>
      <c r="CD1068"/>
      <c r="CE1068"/>
      <c r="CF1068"/>
      <c r="CG1068"/>
      <c r="CH1068"/>
      <c r="CI1068"/>
      <c r="CJ1068"/>
      <c r="CK1068"/>
      <c r="CL1068"/>
      <c r="CM1068"/>
      <c r="CN1068"/>
      <c r="CO1068"/>
      <c r="CP1068"/>
      <c r="CQ1068"/>
      <c r="CR1068"/>
      <c r="CS1068"/>
      <c r="CT1068"/>
      <c r="CU1068"/>
      <c r="CV1068"/>
      <c r="CW1068"/>
      <c r="CX1068"/>
      <c r="CY1068"/>
      <c r="CZ1068"/>
      <c r="DA1068"/>
      <c r="DB1068"/>
      <c r="DC1068"/>
      <c r="DD1068"/>
      <c r="DE1068"/>
      <c r="DF1068"/>
      <c r="DG1068"/>
      <c r="DH1068"/>
      <c r="DI1068"/>
      <c r="DJ1068"/>
      <c r="DK1068"/>
      <c r="DL1068"/>
      <c r="DM1068"/>
      <c r="DN1068"/>
      <c r="DO1068"/>
      <c r="DP1068"/>
      <c r="DQ1068"/>
      <c r="DR1068"/>
      <c r="DS1068"/>
      <c r="DT1068"/>
      <c r="DU1068"/>
      <c r="DV1068"/>
      <c r="DW1068"/>
      <c r="DX1068"/>
      <c r="DY1068"/>
      <c r="DZ1068"/>
      <c r="EA1068"/>
      <c r="EB1068"/>
      <c r="EC1068"/>
      <c r="ED1068"/>
      <c r="EE1068"/>
      <c r="EF1068"/>
      <c r="EG1068"/>
      <c r="EH1068"/>
      <c r="EI1068"/>
      <c r="EJ1068"/>
      <c r="EK1068"/>
      <c r="EL1068"/>
      <c r="EM1068"/>
      <c r="EN1068"/>
      <c r="EO1068"/>
      <c r="EP1068"/>
      <c r="EQ1068"/>
      <c r="ER1068"/>
      <c r="ES1068"/>
    </row>
    <row r="1069" spans="1:149">
      <c r="A1069"/>
      <c r="B1069"/>
      <c r="C1069"/>
      <c r="D1069"/>
      <c r="E1069"/>
      <c r="F1069"/>
      <c r="G1069"/>
      <c r="H1069"/>
      <c r="I1069"/>
      <c r="J1069"/>
      <c r="K1069"/>
      <c r="L1069"/>
      <c r="M1069"/>
      <c r="N1069"/>
      <c r="O1069"/>
      <c r="P1069"/>
      <c r="Q1069"/>
      <c r="R1069"/>
      <c r="S1069"/>
      <c r="T1069"/>
      <c r="U1069"/>
      <c r="V1069"/>
      <c r="W1069"/>
      <c r="X1069"/>
      <c r="Y1069"/>
      <c r="Z1069"/>
      <c r="AA1069"/>
      <c r="AB1069"/>
      <c r="AC1069"/>
      <c r="AD1069"/>
      <c r="AE1069"/>
      <c r="AF1069"/>
      <c r="AG1069"/>
      <c r="AH1069"/>
      <c r="AI1069"/>
      <c r="AJ1069"/>
      <c r="AK1069"/>
      <c r="AL1069"/>
      <c r="AM1069"/>
      <c r="AN1069"/>
      <c r="AO1069"/>
      <c r="AP1069"/>
      <c r="AQ1069"/>
      <c r="AR1069"/>
      <c r="AS1069"/>
      <c r="AT1069"/>
      <c r="AU1069"/>
      <c r="AV1069"/>
      <c r="AW1069"/>
      <c r="AX1069"/>
      <c r="AY1069"/>
      <c r="AZ1069"/>
      <c r="BA1069"/>
      <c r="BB1069"/>
      <c r="BC1069"/>
      <c r="BD1069"/>
      <c r="BE1069"/>
      <c r="BF1069"/>
      <c r="BG1069"/>
      <c r="BH1069"/>
      <c r="BI1069"/>
      <c r="BJ1069"/>
      <c r="BK1069"/>
      <c r="BL1069"/>
      <c r="BM1069"/>
      <c r="BN1069"/>
      <c r="BO1069"/>
      <c r="BP1069"/>
      <c r="BQ1069"/>
      <c r="BR1069"/>
      <c r="BS1069"/>
      <c r="BT1069"/>
      <c r="BU1069"/>
      <c r="BV1069"/>
      <c r="BW1069"/>
      <c r="BX1069"/>
      <c r="BY1069"/>
      <c r="BZ1069"/>
      <c r="CA1069"/>
      <c r="CB1069"/>
      <c r="CC1069"/>
      <c r="CD1069"/>
      <c r="CE1069"/>
      <c r="CF1069"/>
      <c r="CG1069"/>
      <c r="CH1069"/>
      <c r="CI1069"/>
      <c r="CJ1069"/>
      <c r="CK1069"/>
      <c r="CL1069"/>
      <c r="CM1069"/>
      <c r="CN1069"/>
      <c r="CO1069"/>
      <c r="CP1069"/>
      <c r="CQ1069"/>
      <c r="CR1069"/>
      <c r="CS1069"/>
      <c r="CT1069"/>
      <c r="CU1069"/>
      <c r="CV1069"/>
      <c r="CW1069"/>
      <c r="CX1069"/>
      <c r="CY1069"/>
      <c r="CZ1069"/>
      <c r="DA1069"/>
      <c r="DB1069"/>
      <c r="DC1069"/>
      <c r="DD1069"/>
      <c r="DE1069"/>
      <c r="DF1069"/>
      <c r="DG1069"/>
      <c r="DH1069"/>
      <c r="DI1069"/>
      <c r="DJ1069"/>
      <c r="DK1069"/>
      <c r="DL1069"/>
      <c r="DM1069"/>
      <c r="DN1069"/>
      <c r="DO1069"/>
      <c r="DP1069"/>
      <c r="DQ1069"/>
      <c r="DR1069"/>
      <c r="DS1069"/>
      <c r="DT1069"/>
      <c r="DU1069"/>
      <c r="DV1069"/>
      <c r="DW1069"/>
      <c r="DX1069"/>
      <c r="DY1069"/>
      <c r="DZ1069"/>
      <c r="EA1069"/>
      <c r="EB1069"/>
      <c r="EC1069"/>
      <c r="ED1069"/>
      <c r="EE1069"/>
      <c r="EF1069"/>
      <c r="EG1069"/>
      <c r="EH1069"/>
      <c r="EI1069"/>
      <c r="EJ1069"/>
      <c r="EK1069"/>
      <c r="EL1069"/>
      <c r="EM1069"/>
      <c r="EN1069"/>
      <c r="EO1069"/>
      <c r="EP1069"/>
      <c r="EQ1069"/>
      <c r="ER1069"/>
      <c r="ES1069"/>
    </row>
    <row r="1070" spans="1:149">
      <c r="A1070"/>
      <c r="B1070"/>
      <c r="C1070"/>
      <c r="D1070"/>
      <c r="E1070"/>
      <c r="F1070"/>
      <c r="G1070"/>
      <c r="H1070"/>
      <c r="I1070"/>
      <c r="J1070"/>
      <c r="K1070"/>
      <c r="L1070"/>
      <c r="M1070"/>
      <c r="N1070"/>
      <c r="O1070"/>
      <c r="P1070"/>
      <c r="Q1070"/>
      <c r="R1070"/>
      <c r="S1070"/>
      <c r="T1070"/>
      <c r="U1070"/>
      <c r="V1070"/>
      <c r="W1070"/>
      <c r="X1070"/>
      <c r="Y1070"/>
      <c r="Z1070"/>
      <c r="AA1070"/>
      <c r="AB1070"/>
      <c r="AC1070"/>
      <c r="AD1070"/>
      <c r="AE1070"/>
      <c r="AF1070"/>
      <c r="AG1070"/>
      <c r="AH1070"/>
      <c r="AI1070"/>
      <c r="AJ1070"/>
      <c r="AK1070"/>
      <c r="AL1070"/>
      <c r="AM1070"/>
      <c r="AN1070"/>
      <c r="AO1070"/>
      <c r="AP1070"/>
      <c r="AQ1070"/>
      <c r="AR1070"/>
      <c r="AS1070"/>
      <c r="AT1070"/>
      <c r="AU1070"/>
      <c r="AV1070"/>
      <c r="AW1070"/>
      <c r="AX1070"/>
      <c r="AY1070"/>
      <c r="AZ1070"/>
      <c r="BA1070"/>
      <c r="BB1070"/>
      <c r="BC1070"/>
      <c r="BD1070"/>
      <c r="BE1070"/>
      <c r="BF1070"/>
      <c r="BG1070"/>
      <c r="BH1070"/>
      <c r="BI1070"/>
      <c r="BJ1070"/>
      <c r="BK1070"/>
      <c r="BL1070"/>
      <c r="BM1070"/>
      <c r="BN1070"/>
      <c r="BO1070"/>
      <c r="BP1070"/>
      <c r="BQ1070"/>
      <c r="BR1070"/>
      <c r="BS1070"/>
      <c r="BT1070"/>
      <c r="BU1070"/>
      <c r="BV1070"/>
      <c r="BW1070"/>
      <c r="BX1070"/>
      <c r="BY1070"/>
      <c r="BZ1070"/>
      <c r="CA1070"/>
      <c r="CB1070"/>
      <c r="CC1070"/>
      <c r="CD1070"/>
      <c r="CE1070"/>
      <c r="CF1070"/>
      <c r="CG1070"/>
      <c r="CH1070"/>
      <c r="CI1070"/>
      <c r="CJ1070"/>
      <c r="CK1070"/>
      <c r="CL1070"/>
      <c r="CM1070"/>
      <c r="CN1070"/>
      <c r="CO1070"/>
      <c r="CP1070"/>
      <c r="CQ1070"/>
      <c r="CR1070"/>
      <c r="CS1070"/>
      <c r="CT1070"/>
      <c r="CU1070"/>
      <c r="CV1070"/>
      <c r="CW1070"/>
      <c r="CX1070"/>
      <c r="CY1070"/>
      <c r="CZ1070"/>
      <c r="DA1070"/>
      <c r="DB1070"/>
      <c r="DC1070"/>
      <c r="DD1070"/>
      <c r="DE1070"/>
      <c r="DF1070"/>
      <c r="DG1070"/>
      <c r="DH1070"/>
      <c r="DI1070"/>
      <c r="DJ1070"/>
      <c r="DK1070"/>
      <c r="DL1070"/>
      <c r="DM1070"/>
      <c r="DN1070"/>
      <c r="DO1070"/>
      <c r="DP1070"/>
      <c r="DQ1070"/>
      <c r="DR1070"/>
      <c r="DS1070"/>
      <c r="DT1070"/>
      <c r="DU1070"/>
      <c r="DV1070"/>
      <c r="DW1070"/>
      <c r="DX1070"/>
      <c r="DY1070"/>
      <c r="DZ1070"/>
      <c r="EA1070"/>
      <c r="EB1070"/>
      <c r="EC1070"/>
      <c r="ED1070"/>
      <c r="EE1070"/>
      <c r="EF1070"/>
      <c r="EG1070"/>
      <c r="EH1070"/>
      <c r="EI1070"/>
      <c r="EJ1070"/>
      <c r="EK1070"/>
      <c r="EL1070"/>
      <c r="EM1070"/>
      <c r="EN1070"/>
      <c r="EO1070"/>
      <c r="EP1070"/>
      <c r="EQ1070"/>
      <c r="ER1070"/>
      <c r="ES1070"/>
    </row>
    <row r="1071" spans="1:149">
      <c r="A1071"/>
      <c r="B1071"/>
      <c r="C1071"/>
      <c r="D1071"/>
      <c r="E1071"/>
      <c r="F1071"/>
      <c r="G1071"/>
      <c r="H1071"/>
      <c r="I1071"/>
      <c r="J1071"/>
      <c r="K1071"/>
      <c r="L1071"/>
      <c r="M1071"/>
      <c r="N1071"/>
      <c r="O1071"/>
      <c r="P1071"/>
      <c r="Q1071"/>
      <c r="R1071"/>
      <c r="S1071"/>
      <c r="T1071"/>
      <c r="U1071"/>
      <c r="V1071"/>
      <c r="W1071"/>
      <c r="X1071"/>
      <c r="Y1071"/>
      <c r="Z1071"/>
      <c r="AA1071"/>
      <c r="AB1071"/>
      <c r="AC1071"/>
      <c r="AD1071"/>
      <c r="AE1071"/>
      <c r="AF1071"/>
      <c r="AG1071"/>
      <c r="AH1071"/>
      <c r="AI1071"/>
      <c r="AJ1071"/>
      <c r="AK1071"/>
      <c r="AL1071"/>
      <c r="AM1071"/>
      <c r="AN1071"/>
      <c r="AO1071"/>
      <c r="AP1071"/>
      <c r="AQ1071"/>
      <c r="AR1071"/>
      <c r="AS1071"/>
      <c r="AT1071"/>
      <c r="AU1071"/>
      <c r="AV1071"/>
      <c r="AW1071"/>
      <c r="AX1071"/>
      <c r="AY1071"/>
      <c r="AZ1071"/>
      <c r="BA1071"/>
      <c r="BB1071"/>
      <c r="BC1071"/>
      <c r="BD1071"/>
      <c r="BE1071"/>
      <c r="BF1071"/>
      <c r="BG1071"/>
      <c r="BH1071"/>
      <c r="BI1071"/>
      <c r="BJ1071"/>
      <c r="BK1071"/>
      <c r="BL1071"/>
      <c r="BM1071"/>
      <c r="BN1071"/>
      <c r="BO1071"/>
      <c r="BP1071"/>
      <c r="BQ1071"/>
      <c r="BR1071"/>
      <c r="BS1071"/>
      <c r="BT1071"/>
      <c r="BU1071"/>
      <c r="BV1071"/>
      <c r="BW1071"/>
      <c r="BX1071"/>
      <c r="BY1071"/>
      <c r="BZ1071"/>
      <c r="CA1071"/>
      <c r="CB1071"/>
      <c r="CC1071"/>
      <c r="CD1071"/>
      <c r="CE1071"/>
      <c r="CF1071"/>
      <c r="CG1071"/>
      <c r="CH1071"/>
      <c r="CI1071"/>
      <c r="CJ1071"/>
      <c r="CK1071"/>
      <c r="CL1071"/>
      <c r="CM1071"/>
      <c r="CN1071"/>
      <c r="CO1071"/>
      <c r="CP1071"/>
      <c r="CQ1071"/>
      <c r="CR1071"/>
      <c r="CS1071"/>
      <c r="CT1071"/>
      <c r="CU1071"/>
      <c r="CV1071"/>
      <c r="CW1071"/>
      <c r="CX1071"/>
      <c r="CY1071"/>
      <c r="CZ1071"/>
      <c r="DA1071"/>
      <c r="DB1071"/>
      <c r="DC1071"/>
      <c r="DD1071"/>
      <c r="DE1071"/>
      <c r="DF1071"/>
      <c r="DG1071"/>
      <c r="DH1071"/>
      <c r="DI1071"/>
      <c r="DJ1071"/>
      <c r="DK1071"/>
      <c r="DL1071"/>
      <c r="DM1071"/>
      <c r="DN1071"/>
      <c r="DO1071"/>
      <c r="DP1071"/>
      <c r="DQ1071"/>
      <c r="DR1071"/>
      <c r="DS1071"/>
      <c r="DT1071"/>
      <c r="DU1071"/>
      <c r="DV1071"/>
      <c r="DW1071"/>
      <c r="DX1071"/>
      <c r="DY1071"/>
      <c r="DZ1071"/>
      <c r="EA1071"/>
      <c r="EB1071"/>
      <c r="EC1071"/>
      <c r="ED1071"/>
      <c r="EE1071"/>
      <c r="EF1071"/>
      <c r="EG1071"/>
      <c r="EH1071"/>
      <c r="EI1071"/>
      <c r="EJ1071"/>
      <c r="EK1071"/>
      <c r="EL1071"/>
      <c r="EM1071"/>
      <c r="EN1071"/>
      <c r="EO1071"/>
      <c r="EP1071"/>
      <c r="EQ1071"/>
      <c r="ER1071"/>
      <c r="ES1071"/>
    </row>
    <row r="1072" spans="1:149">
      <c r="A1072"/>
      <c r="B1072"/>
      <c r="C1072"/>
      <c r="D1072"/>
      <c r="E1072"/>
      <c r="F1072"/>
      <c r="G1072"/>
      <c r="H1072"/>
      <c r="I1072"/>
      <c r="J1072"/>
      <c r="K1072"/>
      <c r="L1072"/>
      <c r="M1072"/>
      <c r="N1072"/>
      <c r="O1072"/>
      <c r="P1072"/>
      <c r="Q1072"/>
      <c r="R1072"/>
      <c r="S1072"/>
      <c r="T1072"/>
      <c r="U1072"/>
      <c r="V1072"/>
      <c r="W1072"/>
      <c r="X1072"/>
      <c r="Y1072"/>
      <c r="Z1072"/>
      <c r="AA1072"/>
      <c r="AB1072"/>
      <c r="AC1072"/>
      <c r="AD1072"/>
      <c r="AE1072"/>
      <c r="AF1072"/>
      <c r="AG1072"/>
      <c r="AH1072"/>
      <c r="AI1072"/>
      <c r="AJ1072"/>
      <c r="AK1072"/>
      <c r="AL1072"/>
      <c r="AM1072"/>
      <c r="AN1072"/>
      <c r="AO1072"/>
      <c r="AP1072"/>
      <c r="AQ1072"/>
      <c r="AR1072"/>
      <c r="AS1072"/>
      <c r="AT1072"/>
      <c r="AU1072"/>
      <c r="AV1072"/>
      <c r="AW1072"/>
      <c r="AX1072"/>
      <c r="AY1072"/>
      <c r="AZ1072"/>
      <c r="BA1072"/>
      <c r="BB1072"/>
      <c r="BC1072"/>
      <c r="BD1072"/>
      <c r="BE1072"/>
      <c r="BF1072"/>
      <c r="BG1072"/>
      <c r="BH1072"/>
      <c r="BI1072"/>
      <c r="BJ1072"/>
      <c r="BK1072"/>
      <c r="BL1072"/>
      <c r="BM1072"/>
      <c r="BN1072"/>
      <c r="BO1072"/>
      <c r="BP1072"/>
      <c r="BQ1072"/>
      <c r="BR1072"/>
      <c r="BS1072"/>
      <c r="BT1072"/>
      <c r="BU1072"/>
      <c r="BV1072"/>
      <c r="BW1072"/>
      <c r="BX1072"/>
      <c r="BY1072"/>
      <c r="BZ1072"/>
      <c r="CA1072"/>
      <c r="CB1072"/>
      <c r="CC1072"/>
      <c r="CD1072"/>
      <c r="CE1072"/>
      <c r="CF1072"/>
      <c r="CG1072"/>
      <c r="CH1072"/>
      <c r="CI1072"/>
      <c r="CJ1072"/>
      <c r="CK1072"/>
      <c r="CL1072"/>
      <c r="CM1072"/>
      <c r="CN1072"/>
      <c r="CO1072"/>
      <c r="CP1072"/>
      <c r="CQ1072"/>
      <c r="CR1072"/>
      <c r="CS1072"/>
      <c r="CT1072"/>
      <c r="CU1072"/>
      <c r="CV1072"/>
      <c r="CW1072"/>
      <c r="CX1072"/>
      <c r="CY1072"/>
      <c r="CZ1072"/>
      <c r="DA1072"/>
      <c r="DB1072"/>
      <c r="DC1072"/>
      <c r="DD1072"/>
      <c r="DE1072"/>
      <c r="DF1072"/>
      <c r="DG1072"/>
      <c r="DH1072"/>
      <c r="DI1072"/>
      <c r="DJ1072"/>
      <c r="DK1072"/>
      <c r="DL1072"/>
      <c r="DM1072"/>
      <c r="DN1072"/>
      <c r="DO1072"/>
      <c r="DP1072"/>
      <c r="DQ1072"/>
      <c r="DR1072"/>
      <c r="DS1072"/>
      <c r="DT1072"/>
      <c r="DU1072"/>
      <c r="DV1072"/>
      <c r="DW1072"/>
      <c r="DX1072"/>
      <c r="DY1072"/>
      <c r="DZ1072"/>
      <c r="EA1072"/>
      <c r="EB1072"/>
      <c r="EC1072"/>
      <c r="ED1072"/>
      <c r="EE1072"/>
      <c r="EF1072"/>
      <c r="EG1072"/>
      <c r="EH1072"/>
      <c r="EI1072"/>
      <c r="EJ1072"/>
      <c r="EK1072"/>
      <c r="EL1072"/>
      <c r="EM1072"/>
      <c r="EN1072"/>
      <c r="EO1072"/>
      <c r="EP1072"/>
      <c r="EQ1072"/>
      <c r="ER1072"/>
      <c r="ES1072"/>
    </row>
    <row r="1073" spans="1:149">
      <c r="A1073"/>
      <c r="B1073"/>
      <c r="C1073"/>
      <c r="D1073"/>
      <c r="E1073"/>
      <c r="F1073"/>
      <c r="G1073"/>
      <c r="H1073"/>
      <c r="I1073"/>
      <c r="J1073"/>
      <c r="K1073"/>
      <c r="L1073"/>
      <c r="M1073"/>
      <c r="N1073"/>
      <c r="O1073"/>
      <c r="P1073"/>
      <c r="Q1073"/>
      <c r="R1073"/>
      <c r="S1073"/>
      <c r="T1073"/>
      <c r="U1073"/>
      <c r="V1073"/>
      <c r="W1073"/>
      <c r="X1073"/>
      <c r="Y1073"/>
      <c r="Z1073"/>
      <c r="AA1073"/>
      <c r="AB1073"/>
      <c r="AC1073"/>
      <c r="AD1073"/>
      <c r="AE1073"/>
      <c r="AF1073"/>
      <c r="AG1073"/>
      <c r="AH1073"/>
      <c r="AI1073"/>
      <c r="AJ1073"/>
      <c r="AK1073"/>
      <c r="AL1073"/>
      <c r="AM1073"/>
      <c r="AN1073"/>
      <c r="AO1073"/>
      <c r="AP1073"/>
      <c r="AQ1073"/>
      <c r="AR1073"/>
      <c r="AS1073"/>
      <c r="AT1073"/>
      <c r="AU1073"/>
      <c r="AV1073"/>
      <c r="AW1073"/>
      <c r="AX1073"/>
      <c r="AY1073"/>
      <c r="AZ1073"/>
      <c r="BA1073"/>
      <c r="BB1073"/>
      <c r="BC1073"/>
      <c r="BD1073"/>
      <c r="BE1073"/>
      <c r="BF1073"/>
      <c r="BG1073"/>
      <c r="BH1073"/>
      <c r="BI1073"/>
      <c r="BJ1073"/>
      <c r="BK1073"/>
      <c r="BL1073"/>
      <c r="BM1073"/>
      <c r="BN1073"/>
      <c r="BO1073"/>
      <c r="BP1073"/>
      <c r="BQ1073"/>
      <c r="BR1073"/>
      <c r="BS1073"/>
      <c r="BT1073"/>
      <c r="BU1073"/>
      <c r="BV1073"/>
      <c r="BW1073"/>
      <c r="BX1073"/>
      <c r="BY1073"/>
      <c r="BZ1073"/>
      <c r="CA1073"/>
      <c r="CB1073"/>
      <c r="CC1073"/>
      <c r="CD1073"/>
      <c r="CE1073"/>
      <c r="CF1073"/>
      <c r="CG1073"/>
      <c r="CH1073"/>
      <c r="CI1073"/>
      <c r="CJ1073"/>
      <c r="CK1073"/>
      <c r="CL1073"/>
      <c r="CM1073"/>
      <c r="CN1073"/>
      <c r="CO1073"/>
      <c r="CP1073"/>
      <c r="CQ1073"/>
      <c r="CR1073"/>
      <c r="CS1073"/>
      <c r="CT1073"/>
      <c r="CU1073"/>
      <c r="CV1073"/>
      <c r="CW1073"/>
      <c r="CX1073"/>
      <c r="CY1073"/>
      <c r="CZ1073"/>
      <c r="DA1073"/>
      <c r="DB1073"/>
      <c r="DC1073"/>
      <c r="DD1073"/>
      <c r="DE1073"/>
      <c r="DF1073"/>
      <c r="DG1073"/>
      <c r="DH1073"/>
      <c r="DI1073"/>
      <c r="DJ1073"/>
      <c r="DK1073"/>
      <c r="DL1073"/>
      <c r="DM1073"/>
      <c r="DN1073"/>
      <c r="DO1073"/>
      <c r="DP1073"/>
      <c r="DQ1073"/>
      <c r="DR1073"/>
      <c r="DS1073"/>
      <c r="DT1073"/>
      <c r="DU1073"/>
      <c r="DV1073"/>
      <c r="DW1073"/>
      <c r="DX1073"/>
      <c r="DY1073"/>
      <c r="DZ1073"/>
      <c r="EA1073"/>
      <c r="EB1073"/>
      <c r="EC1073"/>
      <c r="ED1073"/>
      <c r="EE1073"/>
      <c r="EF1073"/>
      <c r="EG1073"/>
      <c r="EH1073"/>
      <c r="EI1073"/>
      <c r="EJ1073"/>
      <c r="EK1073"/>
      <c r="EL1073"/>
      <c r="EM1073"/>
      <c r="EN1073"/>
      <c r="EO1073"/>
      <c r="EP1073"/>
      <c r="EQ1073"/>
      <c r="ER1073"/>
      <c r="ES1073"/>
    </row>
    <row r="1074" spans="1:149">
      <c r="A1074"/>
      <c r="B1074"/>
      <c r="C1074"/>
      <c r="D1074"/>
      <c r="E1074"/>
      <c r="F1074"/>
      <c r="G1074"/>
      <c r="H1074"/>
      <c r="I1074"/>
      <c r="J1074"/>
      <c r="K1074"/>
      <c r="L1074"/>
      <c r="M1074"/>
      <c r="N1074"/>
      <c r="O1074"/>
      <c r="P1074"/>
      <c r="Q1074"/>
      <c r="R1074"/>
      <c r="S1074"/>
      <c r="T1074"/>
      <c r="U1074"/>
      <c r="V1074"/>
      <c r="W1074"/>
      <c r="X1074"/>
      <c r="Y1074"/>
      <c r="Z1074"/>
      <c r="AA1074"/>
      <c r="AB1074"/>
      <c r="AC1074"/>
      <c r="AD1074"/>
      <c r="AE1074"/>
      <c r="AF1074"/>
      <c r="AG1074"/>
      <c r="AH1074"/>
      <c r="AI1074"/>
      <c r="AJ1074"/>
      <c r="AK1074"/>
      <c r="AL1074"/>
      <c r="AM1074"/>
      <c r="AN1074"/>
      <c r="AO1074"/>
      <c r="AP1074"/>
      <c r="AQ1074"/>
      <c r="AR1074"/>
      <c r="AS1074"/>
      <c r="AT1074"/>
      <c r="AU1074"/>
      <c r="AV1074"/>
      <c r="AW1074"/>
      <c r="AX1074"/>
      <c r="AY1074"/>
      <c r="AZ1074"/>
      <c r="BA1074"/>
      <c r="BB1074"/>
      <c r="BC1074"/>
      <c r="BD1074"/>
      <c r="BE1074"/>
      <c r="BF1074"/>
      <c r="BG1074"/>
      <c r="BH1074"/>
      <c r="BI1074"/>
      <c r="BJ1074"/>
      <c r="BK1074"/>
      <c r="BL1074"/>
      <c r="BM1074"/>
      <c r="BN1074"/>
      <c r="BO1074"/>
      <c r="BP1074"/>
      <c r="BQ1074"/>
      <c r="BR1074"/>
      <c r="BS1074"/>
      <c r="BT1074"/>
      <c r="BU1074"/>
      <c r="BV1074"/>
      <c r="BW1074"/>
      <c r="BX1074"/>
      <c r="BY1074"/>
      <c r="BZ1074"/>
      <c r="CA1074"/>
      <c r="CB1074"/>
      <c r="CC1074"/>
      <c r="CD1074"/>
      <c r="CE1074"/>
      <c r="CF1074"/>
      <c r="CG1074"/>
      <c r="CH1074"/>
      <c r="CI1074"/>
      <c r="CJ1074"/>
      <c r="CK1074"/>
      <c r="CL1074"/>
      <c r="CM1074"/>
      <c r="CN1074"/>
      <c r="CO1074"/>
      <c r="CP1074"/>
      <c r="CQ1074"/>
      <c r="CR1074"/>
      <c r="CS1074"/>
      <c r="CT1074"/>
      <c r="CU1074"/>
      <c r="CV1074"/>
      <c r="CW1074"/>
      <c r="CX1074"/>
      <c r="CY1074"/>
      <c r="CZ1074"/>
      <c r="DA1074"/>
      <c r="DB1074"/>
      <c r="DC1074"/>
      <c r="DD1074"/>
      <c r="DE1074"/>
      <c r="DF1074"/>
      <c r="DG1074"/>
      <c r="DH1074"/>
      <c r="DI1074"/>
      <c r="DJ1074"/>
      <c r="DK1074"/>
      <c r="DL1074"/>
      <c r="DM1074"/>
      <c r="DN1074"/>
      <c r="DO1074"/>
      <c r="DP1074"/>
      <c r="DQ1074"/>
      <c r="DR1074"/>
      <c r="DS1074"/>
      <c r="DT1074"/>
      <c r="DU1074"/>
      <c r="DV1074"/>
      <c r="DW1074"/>
      <c r="DX1074"/>
      <c r="DY1074"/>
      <c r="DZ1074"/>
      <c r="EA1074"/>
      <c r="EB1074"/>
      <c r="EC1074"/>
      <c r="ED1074"/>
      <c r="EE1074"/>
      <c r="EF1074"/>
      <c r="EG1074"/>
      <c r="EH1074"/>
      <c r="EI1074"/>
      <c r="EJ1074"/>
      <c r="EK1074"/>
      <c r="EL1074"/>
      <c r="EM1074"/>
      <c r="EN1074"/>
      <c r="EO1074"/>
      <c r="EP1074"/>
      <c r="EQ1074"/>
      <c r="ER1074"/>
      <c r="ES1074"/>
    </row>
    <row r="1075" spans="1:149">
      <c r="A1075"/>
      <c r="B1075"/>
      <c r="C1075"/>
      <c r="D1075"/>
      <c r="E1075"/>
      <c r="F1075"/>
      <c r="G1075"/>
      <c r="H1075"/>
      <c r="I1075"/>
      <c r="J1075"/>
      <c r="K1075"/>
      <c r="L1075"/>
      <c r="M1075"/>
      <c r="N1075"/>
      <c r="O1075"/>
      <c r="P1075"/>
      <c r="Q1075"/>
      <c r="R1075"/>
      <c r="S1075"/>
      <c r="T1075"/>
      <c r="U1075"/>
      <c r="V1075"/>
      <c r="W1075"/>
      <c r="X1075"/>
      <c r="Y1075"/>
      <c r="Z1075"/>
      <c r="AA1075"/>
      <c r="AB1075"/>
      <c r="AC1075"/>
      <c r="AD1075"/>
      <c r="AE1075"/>
      <c r="AF1075"/>
      <c r="AG1075"/>
      <c r="AH1075"/>
      <c r="AI1075"/>
      <c r="AJ1075"/>
      <c r="AK1075"/>
      <c r="AL1075"/>
      <c r="AM1075"/>
      <c r="AN1075"/>
      <c r="AO1075"/>
      <c r="AP1075"/>
      <c r="AQ1075"/>
      <c r="AR1075"/>
      <c r="AS1075"/>
      <c r="AT1075"/>
      <c r="AU1075"/>
      <c r="AV1075"/>
      <c r="AW1075"/>
      <c r="AX1075"/>
      <c r="AY1075"/>
      <c r="AZ1075"/>
      <c r="BA1075"/>
      <c r="BB1075"/>
      <c r="BC1075"/>
      <c r="BD1075"/>
      <c r="BE1075"/>
      <c r="BF1075"/>
      <c r="BG1075"/>
      <c r="BH1075"/>
      <c r="BI1075"/>
      <c r="BJ1075"/>
      <c r="BK1075"/>
      <c r="BL1075"/>
      <c r="BM1075"/>
      <c r="BN1075"/>
      <c r="BO1075"/>
      <c r="BP1075"/>
      <c r="BQ1075"/>
      <c r="BR1075"/>
      <c r="BS1075"/>
      <c r="BT1075"/>
      <c r="BU1075"/>
      <c r="BV1075"/>
      <c r="BW1075"/>
      <c r="BX1075"/>
      <c r="BY1075"/>
      <c r="BZ1075"/>
      <c r="CA1075"/>
      <c r="CB1075"/>
      <c r="CC1075"/>
      <c r="CD1075"/>
      <c r="CE1075"/>
      <c r="CF1075"/>
      <c r="CG1075"/>
      <c r="CH1075"/>
      <c r="CI1075"/>
      <c r="CJ1075"/>
      <c r="CK1075"/>
      <c r="CL1075"/>
      <c r="CM1075"/>
      <c r="CN1075"/>
      <c r="CO1075"/>
      <c r="CP1075"/>
      <c r="CQ1075"/>
      <c r="CR1075"/>
      <c r="CS1075"/>
      <c r="CT1075"/>
      <c r="CU1075"/>
      <c r="CV1075"/>
      <c r="CW1075"/>
      <c r="CX1075"/>
      <c r="CY1075"/>
      <c r="CZ1075"/>
      <c r="DA1075"/>
      <c r="DB1075"/>
      <c r="DC1075"/>
      <c r="DD1075"/>
      <c r="DE1075"/>
      <c r="DF1075"/>
      <c r="DG1075"/>
      <c r="DH1075"/>
      <c r="DI1075"/>
      <c r="DJ1075"/>
      <c r="DK1075"/>
      <c r="DL1075"/>
      <c r="DM1075"/>
      <c r="DN1075"/>
      <c r="DO1075"/>
      <c r="DP1075"/>
      <c r="DQ1075"/>
      <c r="DR1075"/>
      <c r="DS1075"/>
      <c r="DT1075"/>
      <c r="DU1075"/>
      <c r="DV1075"/>
      <c r="DW1075"/>
      <c r="DX1075"/>
      <c r="DY1075"/>
      <c r="DZ1075"/>
      <c r="EA1075"/>
      <c r="EB1075"/>
      <c r="EC1075"/>
      <c r="ED1075"/>
      <c r="EE1075"/>
      <c r="EF1075"/>
      <c r="EG1075"/>
      <c r="EH1075"/>
      <c r="EI1075"/>
      <c r="EJ1075"/>
      <c r="EK1075"/>
      <c r="EL1075"/>
      <c r="EM1075"/>
      <c r="EN1075"/>
      <c r="EO1075"/>
      <c r="EP1075"/>
      <c r="EQ1075"/>
      <c r="ER1075"/>
      <c r="ES1075"/>
    </row>
    <row r="1076" spans="1:149">
      <c r="A1076"/>
      <c r="B1076"/>
      <c r="C1076"/>
      <c r="D1076"/>
      <c r="E1076"/>
      <c r="F1076"/>
      <c r="G1076"/>
      <c r="H1076"/>
      <c r="I1076"/>
      <c r="J1076"/>
      <c r="K1076"/>
      <c r="L1076"/>
      <c r="M1076"/>
      <c r="N1076"/>
      <c r="O1076"/>
      <c r="P1076"/>
      <c r="Q1076"/>
      <c r="R1076"/>
      <c r="S1076"/>
      <c r="T1076"/>
      <c r="U1076"/>
      <c r="V1076"/>
      <c r="W1076"/>
      <c r="X1076"/>
      <c r="Y1076"/>
      <c r="Z1076"/>
      <c r="AA1076"/>
      <c r="AB1076"/>
      <c r="AC1076"/>
      <c r="AD1076"/>
      <c r="AE1076"/>
      <c r="AF1076"/>
      <c r="AG1076"/>
      <c r="AH1076"/>
      <c r="AI1076"/>
      <c r="AJ1076"/>
      <c r="AK1076"/>
      <c r="AL1076"/>
      <c r="AM1076"/>
      <c r="AN1076"/>
      <c r="AO1076"/>
      <c r="AP1076"/>
      <c r="AQ1076"/>
      <c r="AR1076"/>
      <c r="AS1076"/>
      <c r="AT1076"/>
      <c r="AU1076"/>
      <c r="AV1076"/>
      <c r="AW1076"/>
      <c r="AX1076"/>
      <c r="AY1076"/>
      <c r="AZ1076"/>
      <c r="BA1076"/>
      <c r="BB1076"/>
      <c r="BC1076"/>
      <c r="BD1076"/>
      <c r="BE1076"/>
      <c r="BF1076"/>
      <c r="BG1076"/>
      <c r="BH1076"/>
      <c r="BI1076"/>
      <c r="BJ1076"/>
      <c r="BK1076"/>
      <c r="BL1076"/>
      <c r="BM1076"/>
      <c r="BN1076"/>
      <c r="BO1076"/>
      <c r="BP1076"/>
      <c r="BQ1076"/>
      <c r="BR1076"/>
      <c r="BS1076"/>
      <c r="BT1076"/>
      <c r="BU1076"/>
      <c r="BV1076"/>
      <c r="BW1076"/>
      <c r="BX1076"/>
      <c r="BY1076"/>
      <c r="BZ1076"/>
      <c r="CA1076"/>
      <c r="CB1076"/>
      <c r="CC1076"/>
      <c r="CD1076"/>
      <c r="CE1076"/>
      <c r="CF1076"/>
      <c r="CG1076"/>
      <c r="CH1076"/>
      <c r="CI1076"/>
      <c r="CJ1076"/>
      <c r="CK1076"/>
      <c r="CL1076"/>
      <c r="CM1076"/>
      <c r="CN1076"/>
      <c r="CO1076"/>
      <c r="CP1076"/>
      <c r="CQ1076"/>
      <c r="CR1076"/>
      <c r="CS1076"/>
      <c r="CT1076"/>
      <c r="CU1076"/>
      <c r="CV1076"/>
      <c r="CW1076"/>
      <c r="CX1076"/>
      <c r="CY1076"/>
      <c r="CZ1076"/>
      <c r="DA1076"/>
      <c r="DB1076"/>
      <c r="DC1076"/>
      <c r="DD1076"/>
      <c r="DE1076"/>
      <c r="DF1076"/>
      <c r="DG1076"/>
      <c r="DH1076"/>
      <c r="DI1076"/>
      <c r="DJ1076"/>
      <c r="DK1076"/>
      <c r="DL1076"/>
      <c r="DM1076"/>
      <c r="DN1076"/>
      <c r="DO1076"/>
      <c r="DP1076"/>
      <c r="DQ1076"/>
      <c r="DR1076"/>
      <c r="DS1076"/>
      <c r="DT1076"/>
      <c r="DU1076"/>
      <c r="DV1076"/>
      <c r="DW1076"/>
      <c r="DX1076"/>
      <c r="DY1076"/>
      <c r="DZ1076"/>
      <c r="EA1076"/>
      <c r="EB1076"/>
      <c r="EC1076"/>
      <c r="ED1076"/>
      <c r="EE1076"/>
      <c r="EF1076"/>
      <c r="EG1076"/>
      <c r="EH1076"/>
      <c r="EI1076"/>
      <c r="EJ1076"/>
      <c r="EK1076"/>
      <c r="EL1076"/>
      <c r="EM1076"/>
      <c r="EN1076"/>
      <c r="EO1076"/>
      <c r="EP1076"/>
      <c r="EQ1076"/>
      <c r="ER1076"/>
      <c r="ES1076"/>
    </row>
    <row r="1077" spans="1:149">
      <c r="A1077"/>
      <c r="B1077"/>
      <c r="C1077"/>
      <c r="D1077"/>
      <c r="E1077"/>
      <c r="F1077"/>
      <c r="G1077"/>
      <c r="H1077"/>
      <c r="I1077"/>
      <c r="J1077"/>
      <c r="K1077"/>
      <c r="L1077"/>
      <c r="M1077"/>
      <c r="N1077"/>
      <c r="O1077"/>
      <c r="P1077"/>
      <c r="Q1077"/>
      <c r="R1077"/>
      <c r="S1077"/>
      <c r="T1077"/>
      <c r="U1077"/>
      <c r="V1077"/>
      <c r="W1077"/>
      <c r="X1077"/>
      <c r="Y1077"/>
      <c r="Z1077"/>
      <c r="AA1077"/>
      <c r="AB1077"/>
      <c r="AC1077"/>
      <c r="AD1077"/>
      <c r="AE1077"/>
      <c r="AF1077"/>
      <c r="AG1077"/>
      <c r="AH1077"/>
      <c r="AI1077"/>
      <c r="AJ1077"/>
      <c r="AK1077"/>
      <c r="AL1077"/>
      <c r="AM1077"/>
      <c r="AN1077"/>
      <c r="AO1077"/>
      <c r="AP1077"/>
      <c r="AQ1077"/>
      <c r="AR1077"/>
      <c r="AS1077"/>
      <c r="AT1077"/>
      <c r="AU1077"/>
      <c r="AV1077"/>
      <c r="AW1077"/>
      <c r="AX1077"/>
      <c r="AY1077"/>
      <c r="AZ1077"/>
      <c r="BA1077"/>
      <c r="BB1077"/>
      <c r="BC1077"/>
      <c r="BD1077"/>
      <c r="BE1077"/>
      <c r="BF1077"/>
      <c r="BG1077"/>
      <c r="BH1077"/>
      <c r="BI1077"/>
      <c r="BJ1077"/>
      <c r="BK1077"/>
      <c r="BL1077"/>
      <c r="BM1077"/>
      <c r="BN1077"/>
      <c r="BO1077"/>
      <c r="BP1077"/>
      <c r="BQ1077"/>
      <c r="BR1077"/>
      <c r="BS1077"/>
      <c r="BT1077"/>
      <c r="BU1077"/>
      <c r="BV1077"/>
      <c r="BW1077"/>
      <c r="BX1077"/>
      <c r="BY1077"/>
      <c r="BZ1077"/>
      <c r="CA1077"/>
      <c r="CB1077"/>
      <c r="CC1077"/>
      <c r="CD1077"/>
      <c r="CE1077"/>
      <c r="CF1077"/>
      <c r="CG1077"/>
      <c r="CH1077"/>
      <c r="CI1077"/>
      <c r="CJ1077"/>
      <c r="CK1077"/>
      <c r="CL1077"/>
      <c r="CM1077"/>
      <c r="CN1077"/>
      <c r="CO1077"/>
      <c r="CP1077"/>
      <c r="CQ1077"/>
      <c r="CR1077"/>
      <c r="CS1077"/>
      <c r="CT1077"/>
      <c r="CU1077"/>
      <c r="CV1077"/>
      <c r="CW1077"/>
      <c r="CX1077"/>
      <c r="CY1077"/>
      <c r="CZ1077"/>
      <c r="DA1077"/>
      <c r="DB1077"/>
      <c r="DC1077"/>
      <c r="DD1077"/>
      <c r="DE1077"/>
      <c r="DF1077"/>
      <c r="DG1077"/>
      <c r="DH1077"/>
      <c r="DI1077"/>
      <c r="DJ1077"/>
      <c r="DK1077"/>
      <c r="DL1077"/>
      <c r="DM1077"/>
      <c r="DN1077"/>
      <c r="DO1077"/>
      <c r="DP1077"/>
      <c r="DQ1077"/>
      <c r="DR1077"/>
      <c r="DS1077"/>
      <c r="DT1077"/>
      <c r="DU1077"/>
      <c r="DV1077"/>
      <c r="DW1077"/>
      <c r="DX1077"/>
      <c r="DY1077"/>
      <c r="DZ1077"/>
      <c r="EA1077"/>
      <c r="EB1077"/>
      <c r="EC1077"/>
      <c r="ED1077"/>
      <c r="EE1077"/>
      <c r="EF1077"/>
      <c r="EG1077"/>
      <c r="EH1077"/>
      <c r="EI1077"/>
      <c r="EJ1077"/>
      <c r="EK1077"/>
      <c r="EL1077"/>
      <c r="EM1077"/>
      <c r="EN1077"/>
      <c r="EO1077"/>
      <c r="EP1077"/>
      <c r="EQ1077"/>
      <c r="ER1077"/>
      <c r="ES1077"/>
    </row>
    <row r="1078" spans="1:149">
      <c r="A1078"/>
      <c r="B1078"/>
      <c r="C1078"/>
      <c r="D1078"/>
      <c r="E1078"/>
      <c r="F1078"/>
      <c r="G1078"/>
      <c r="H1078"/>
      <c r="I1078"/>
      <c r="J1078"/>
      <c r="K1078"/>
      <c r="L1078"/>
      <c r="M1078"/>
      <c r="N1078"/>
      <c r="O1078"/>
      <c r="P1078"/>
      <c r="Q1078"/>
      <c r="R1078"/>
      <c r="S1078"/>
      <c r="T1078"/>
      <c r="U1078"/>
      <c r="V1078"/>
      <c r="W1078"/>
      <c r="X1078"/>
      <c r="Y1078"/>
      <c r="Z1078"/>
      <c r="AA1078"/>
      <c r="AB1078"/>
      <c r="AC1078"/>
      <c r="AD1078"/>
      <c r="AE1078"/>
      <c r="AF1078"/>
      <c r="AG1078"/>
      <c r="AH1078"/>
      <c r="AI1078"/>
      <c r="AJ1078"/>
      <c r="AK1078"/>
      <c r="AL1078"/>
      <c r="AM1078"/>
      <c r="AN1078"/>
      <c r="AO1078"/>
      <c r="AP1078"/>
      <c r="AQ1078"/>
      <c r="AR1078"/>
      <c r="AS1078"/>
      <c r="AT1078"/>
      <c r="AU1078"/>
      <c r="AV1078"/>
      <c r="AW1078"/>
      <c r="AX1078"/>
      <c r="AY1078"/>
      <c r="AZ1078"/>
      <c r="BA1078"/>
      <c r="BB1078"/>
      <c r="BC1078"/>
      <c r="BD1078"/>
      <c r="BE1078"/>
      <c r="BF1078"/>
      <c r="BG1078"/>
      <c r="BH1078"/>
      <c r="BI1078"/>
      <c r="BJ1078"/>
      <c r="BK1078"/>
      <c r="BL1078"/>
      <c r="BM1078"/>
      <c r="BN1078"/>
      <c r="BO1078"/>
      <c r="BP1078"/>
      <c r="BQ1078"/>
      <c r="BR1078"/>
      <c r="BS1078"/>
      <c r="BT1078"/>
      <c r="BU1078"/>
      <c r="BV1078"/>
      <c r="BW1078"/>
      <c r="BX1078"/>
      <c r="BY1078"/>
      <c r="BZ1078"/>
      <c r="CA1078"/>
      <c r="CB1078"/>
      <c r="CC1078"/>
      <c r="CD1078"/>
      <c r="CE1078"/>
      <c r="CF1078"/>
      <c r="CG1078"/>
      <c r="CH1078"/>
      <c r="CI1078"/>
      <c r="CJ1078"/>
      <c r="CK1078"/>
      <c r="CL1078"/>
      <c r="CM1078"/>
      <c r="CN1078"/>
      <c r="CO1078"/>
      <c r="CP1078"/>
      <c r="CQ1078"/>
      <c r="CR1078"/>
      <c r="CS1078"/>
      <c r="CT1078"/>
      <c r="CU1078"/>
      <c r="CV1078"/>
      <c r="CW1078"/>
      <c r="CX1078"/>
      <c r="CY1078"/>
      <c r="CZ1078"/>
      <c r="DA1078"/>
      <c r="DB1078"/>
      <c r="DC1078"/>
      <c r="DD1078"/>
      <c r="DE1078"/>
      <c r="DF1078"/>
      <c r="DG1078"/>
      <c r="DH1078"/>
      <c r="DI1078"/>
      <c r="DJ1078"/>
      <c r="DK1078"/>
      <c r="DL1078"/>
      <c r="DM1078"/>
      <c r="DN1078"/>
      <c r="DO1078"/>
      <c r="DP1078"/>
      <c r="DQ1078"/>
      <c r="DR1078"/>
      <c r="DS1078"/>
      <c r="DT1078"/>
      <c r="DU1078"/>
      <c r="DV1078"/>
      <c r="DW1078"/>
      <c r="DX1078"/>
      <c r="DY1078"/>
      <c r="DZ1078"/>
      <c r="EA1078"/>
      <c r="EB1078"/>
      <c r="EC1078"/>
      <c r="ED1078"/>
      <c r="EE1078"/>
      <c r="EF1078"/>
      <c r="EG1078"/>
      <c r="EH1078"/>
      <c r="EI1078"/>
      <c r="EJ1078"/>
      <c r="EK1078"/>
      <c r="EL1078"/>
      <c r="EM1078"/>
      <c r="EN1078"/>
      <c r="EO1078"/>
      <c r="EP1078"/>
      <c r="EQ1078"/>
      <c r="ER1078"/>
      <c r="ES1078"/>
    </row>
    <row r="1079" spans="1:149">
      <c r="A1079"/>
      <c r="B1079"/>
      <c r="C1079"/>
      <c r="D1079"/>
      <c r="E1079"/>
      <c r="F1079"/>
      <c r="G1079"/>
      <c r="H1079"/>
      <c r="I1079"/>
      <c r="J1079"/>
      <c r="K1079"/>
      <c r="L1079"/>
      <c r="M1079"/>
      <c r="N1079"/>
      <c r="O1079"/>
      <c r="P1079"/>
      <c r="Q1079"/>
      <c r="R1079"/>
      <c r="S1079"/>
      <c r="T1079"/>
      <c r="U1079"/>
      <c r="V1079"/>
      <c r="W1079"/>
      <c r="X1079"/>
      <c r="Y1079"/>
      <c r="Z1079"/>
      <c r="AA1079"/>
      <c r="AB1079"/>
      <c r="AC1079"/>
      <c r="AD1079"/>
      <c r="AE1079"/>
      <c r="AF1079"/>
      <c r="AG1079"/>
      <c r="AH1079"/>
      <c r="AI1079"/>
      <c r="AJ1079"/>
      <c r="AK1079"/>
      <c r="AL1079"/>
      <c r="AM1079"/>
      <c r="AN1079"/>
      <c r="AO1079"/>
      <c r="AP1079"/>
      <c r="AQ1079"/>
      <c r="AR1079"/>
      <c r="AS1079"/>
      <c r="AT1079"/>
      <c r="AU1079"/>
      <c r="AV1079"/>
      <c r="AW1079"/>
      <c r="AX1079"/>
      <c r="AY1079"/>
      <c r="AZ1079"/>
      <c r="BA1079"/>
      <c r="BB1079"/>
      <c r="BC1079"/>
      <c r="BD1079"/>
      <c r="BE1079"/>
      <c r="BF1079"/>
      <c r="BG1079"/>
      <c r="BH1079"/>
      <c r="BI1079"/>
      <c r="BJ1079"/>
      <c r="BK1079"/>
      <c r="BL1079"/>
      <c r="BM1079"/>
      <c r="BN1079"/>
      <c r="BO1079"/>
      <c r="BP1079"/>
      <c r="BQ1079"/>
      <c r="BR1079"/>
      <c r="BS1079"/>
      <c r="BT1079"/>
      <c r="BU1079"/>
      <c r="BV1079"/>
      <c r="BW1079"/>
      <c r="BX1079"/>
      <c r="BY1079"/>
      <c r="BZ1079"/>
      <c r="CA1079"/>
      <c r="CB1079"/>
      <c r="CC1079"/>
      <c r="CD1079"/>
      <c r="CE1079"/>
      <c r="CF1079"/>
      <c r="CG1079"/>
      <c r="CH1079"/>
      <c r="CI1079"/>
      <c r="CJ1079"/>
      <c r="CK1079"/>
      <c r="CL1079"/>
      <c r="CM1079"/>
      <c r="CN1079"/>
      <c r="CO1079"/>
      <c r="CP1079"/>
      <c r="CQ1079"/>
      <c r="CR1079"/>
      <c r="CS1079"/>
      <c r="CT1079"/>
      <c r="CU1079"/>
      <c r="CV1079"/>
      <c r="CW1079"/>
      <c r="CX1079"/>
      <c r="CY1079"/>
      <c r="CZ1079"/>
      <c r="DA1079"/>
      <c r="DB1079"/>
      <c r="DC1079"/>
      <c r="DD1079"/>
      <c r="DE1079"/>
      <c r="DF1079"/>
      <c r="DG1079"/>
      <c r="DH1079"/>
      <c r="DI1079"/>
      <c r="DJ1079"/>
      <c r="DK1079"/>
      <c r="DL1079"/>
      <c r="DM1079"/>
      <c r="DN1079"/>
      <c r="DO1079"/>
      <c r="DP1079"/>
      <c r="DQ1079"/>
      <c r="DR1079"/>
      <c r="DS1079"/>
      <c r="DT1079"/>
      <c r="DU1079"/>
      <c r="DV1079"/>
      <c r="DW1079"/>
      <c r="DX1079"/>
      <c r="DY1079"/>
      <c r="DZ1079"/>
      <c r="EA1079"/>
      <c r="EB1079"/>
      <c r="EC1079"/>
      <c r="ED1079"/>
      <c r="EE1079"/>
      <c r="EF1079"/>
      <c r="EG1079"/>
      <c r="EH1079"/>
      <c r="EI1079"/>
      <c r="EJ1079"/>
      <c r="EK1079"/>
      <c r="EL1079"/>
      <c r="EM1079"/>
      <c r="EN1079"/>
      <c r="EO1079"/>
      <c r="EP1079"/>
      <c r="EQ1079"/>
      <c r="ER1079"/>
      <c r="ES1079"/>
    </row>
    <row r="1080" spans="1:149">
      <c r="A1080"/>
      <c r="B1080"/>
      <c r="C1080"/>
      <c r="D1080"/>
      <c r="E1080"/>
      <c r="F1080"/>
      <c r="G1080"/>
      <c r="H1080"/>
      <c r="I1080"/>
      <c r="J1080"/>
      <c r="K1080"/>
      <c r="L1080"/>
      <c r="M1080"/>
      <c r="N1080"/>
      <c r="O1080"/>
      <c r="P1080"/>
      <c r="Q1080"/>
      <c r="R1080"/>
      <c r="S1080"/>
      <c r="T1080"/>
      <c r="U1080"/>
      <c r="V1080"/>
      <c r="W1080"/>
      <c r="X1080"/>
      <c r="Y1080"/>
      <c r="Z1080"/>
      <c r="AA1080"/>
      <c r="AB1080"/>
      <c r="AC1080"/>
      <c r="AD1080"/>
      <c r="AE1080"/>
      <c r="AF1080"/>
      <c r="AG1080"/>
      <c r="AH1080"/>
      <c r="AI1080"/>
      <c r="AJ1080"/>
      <c r="AK1080"/>
      <c r="AL1080"/>
      <c r="AM1080"/>
      <c r="AN1080"/>
      <c r="AO1080"/>
      <c r="AP1080"/>
      <c r="AQ1080"/>
      <c r="AR1080"/>
      <c r="AS1080"/>
      <c r="AT1080"/>
      <c r="AU1080"/>
      <c r="AV1080"/>
      <c r="AW1080"/>
      <c r="AX1080"/>
      <c r="AY1080"/>
      <c r="AZ1080"/>
      <c r="BA1080"/>
      <c r="BB1080"/>
      <c r="BC1080"/>
      <c r="BD1080"/>
      <c r="BE1080"/>
      <c r="BF1080"/>
      <c r="BG1080"/>
      <c r="BH1080"/>
      <c r="BI1080"/>
      <c r="BJ1080"/>
      <c r="BK1080"/>
      <c r="BL1080"/>
      <c r="BM1080"/>
      <c r="BN1080"/>
      <c r="BO1080"/>
      <c r="BP1080"/>
      <c r="BQ1080"/>
      <c r="BR1080"/>
      <c r="BS1080"/>
      <c r="BT1080"/>
      <c r="BU1080"/>
      <c r="BV1080"/>
      <c r="BW1080"/>
      <c r="BX1080"/>
      <c r="BY1080"/>
      <c r="BZ1080"/>
      <c r="CA1080"/>
      <c r="CB1080"/>
      <c r="CC1080"/>
      <c r="CD1080"/>
      <c r="CE1080"/>
      <c r="CF1080"/>
      <c r="CG1080"/>
      <c r="CH1080"/>
      <c r="CI1080"/>
      <c r="CJ1080"/>
      <c r="CK1080"/>
      <c r="CL1080"/>
      <c r="CM1080"/>
      <c r="CN1080"/>
      <c r="CO1080"/>
      <c r="CP1080"/>
      <c r="CQ1080"/>
      <c r="CR1080"/>
      <c r="CS1080"/>
      <c r="CT1080"/>
      <c r="CU1080"/>
      <c r="CV1080"/>
      <c r="CW1080"/>
      <c r="CX1080"/>
      <c r="CY1080"/>
      <c r="CZ1080"/>
      <c r="DA1080"/>
      <c r="DB1080"/>
      <c r="DC1080"/>
      <c r="DD1080"/>
      <c r="DE1080"/>
      <c r="DF1080"/>
      <c r="DG1080"/>
      <c r="DH1080"/>
      <c r="DI1080"/>
      <c r="DJ1080"/>
      <c r="DK1080"/>
      <c r="DL1080"/>
      <c r="DM1080"/>
      <c r="DN1080"/>
      <c r="DO1080"/>
      <c r="DP1080"/>
      <c r="DQ1080"/>
      <c r="DR1080"/>
      <c r="DS1080"/>
      <c r="DT1080"/>
      <c r="DU1080"/>
      <c r="DV1080"/>
      <c r="DW1080"/>
      <c r="DX1080"/>
      <c r="DY1080"/>
      <c r="DZ1080"/>
      <c r="EA1080"/>
      <c r="EB1080"/>
      <c r="EC1080"/>
      <c r="ED1080"/>
      <c r="EE1080"/>
      <c r="EF1080"/>
      <c r="EG1080"/>
      <c r="EH1080"/>
      <c r="EI1080"/>
      <c r="EJ1080"/>
      <c r="EK1080"/>
      <c r="EL1080"/>
      <c r="EM1080"/>
      <c r="EN1080"/>
      <c r="EO1080"/>
      <c r="EP1080"/>
      <c r="EQ1080"/>
      <c r="ER1080"/>
      <c r="ES1080"/>
    </row>
    <row r="1081" spans="1:149">
      <c r="A1081"/>
      <c r="B1081"/>
      <c r="C1081"/>
      <c r="D1081"/>
      <c r="E1081"/>
      <c r="F1081"/>
      <c r="G1081"/>
      <c r="H1081"/>
      <c r="I1081"/>
      <c r="J1081"/>
      <c r="K1081"/>
      <c r="L1081"/>
      <c r="M1081"/>
      <c r="N1081"/>
      <c r="O1081"/>
      <c r="P1081"/>
      <c r="Q1081"/>
      <c r="R1081"/>
      <c r="S1081"/>
      <c r="T1081"/>
      <c r="U1081"/>
      <c r="V1081"/>
      <c r="W1081"/>
      <c r="X1081"/>
      <c r="Y1081"/>
      <c r="Z1081"/>
      <c r="AA1081"/>
      <c r="AB1081"/>
      <c r="AC1081"/>
      <c r="AD1081"/>
      <c r="AE1081"/>
      <c r="AF1081"/>
      <c r="AG1081"/>
      <c r="AH1081"/>
      <c r="AI1081"/>
      <c r="AJ1081"/>
      <c r="AK1081"/>
      <c r="AL1081"/>
      <c r="AM1081"/>
      <c r="AN1081"/>
      <c r="AO1081"/>
      <c r="AP1081"/>
      <c r="AQ1081"/>
      <c r="AR1081"/>
      <c r="AS1081"/>
      <c r="AT1081"/>
      <c r="AU1081"/>
      <c r="AV1081"/>
      <c r="AW1081"/>
      <c r="AX1081"/>
      <c r="AY1081"/>
      <c r="AZ1081"/>
      <c r="BA1081"/>
      <c r="BB1081"/>
      <c r="BC1081"/>
      <c r="BD1081"/>
      <c r="BE1081"/>
      <c r="BF1081"/>
      <c r="BG1081"/>
      <c r="BH1081"/>
      <c r="BI1081"/>
      <c r="BJ1081"/>
      <c r="BK1081"/>
      <c r="BL1081"/>
      <c r="BM1081"/>
      <c r="BN1081"/>
      <c r="BO1081"/>
      <c r="BP1081"/>
      <c r="BQ1081"/>
      <c r="BR1081"/>
      <c r="BS1081"/>
      <c r="BT1081"/>
      <c r="BU1081"/>
      <c r="BV1081"/>
      <c r="BW1081"/>
      <c r="BX1081"/>
      <c r="BY1081"/>
      <c r="BZ1081"/>
      <c r="CA1081"/>
      <c r="CB1081"/>
      <c r="CC1081"/>
      <c r="CD1081"/>
      <c r="CE1081"/>
      <c r="CF1081"/>
      <c r="CG1081"/>
      <c r="CH1081"/>
      <c r="CI1081"/>
      <c r="CJ1081"/>
      <c r="CK1081"/>
      <c r="CL1081"/>
      <c r="CM1081"/>
      <c r="CN1081"/>
      <c r="CO1081"/>
      <c r="CP1081"/>
      <c r="CQ1081"/>
      <c r="CR1081"/>
      <c r="CS1081"/>
      <c r="CT1081"/>
      <c r="CU1081"/>
      <c r="CV1081"/>
      <c r="CW1081"/>
      <c r="CX1081"/>
      <c r="CY1081"/>
      <c r="CZ1081"/>
      <c r="DA1081"/>
      <c r="DB1081"/>
      <c r="DC1081"/>
      <c r="DD1081"/>
      <c r="DE1081"/>
      <c r="DF1081"/>
      <c r="DG1081"/>
      <c r="DH1081"/>
      <c r="DI1081"/>
      <c r="DJ1081"/>
      <c r="DK1081"/>
      <c r="DL1081"/>
      <c r="DM1081"/>
      <c r="DN1081"/>
      <c r="DO1081"/>
      <c r="DP1081"/>
      <c r="DQ1081"/>
      <c r="DR1081"/>
      <c r="DS1081"/>
      <c r="DT1081"/>
      <c r="DU1081"/>
      <c r="DV1081"/>
      <c r="DW1081"/>
      <c r="DX1081"/>
      <c r="DY1081"/>
      <c r="DZ1081"/>
      <c r="EA1081"/>
      <c r="EB1081"/>
      <c r="EC1081"/>
      <c r="ED1081"/>
      <c r="EE1081"/>
      <c r="EF1081"/>
      <c r="EG1081"/>
      <c r="EH1081"/>
      <c r="EI1081"/>
      <c r="EJ1081"/>
      <c r="EK1081"/>
      <c r="EL1081"/>
      <c r="EM1081"/>
      <c r="EN1081"/>
      <c r="EO1081"/>
      <c r="EP1081"/>
      <c r="EQ1081"/>
      <c r="ER1081"/>
      <c r="ES1081"/>
    </row>
    <row r="1082" spans="1:149">
      <c r="A1082"/>
      <c r="B1082"/>
      <c r="C1082"/>
      <c r="D1082"/>
      <c r="E1082"/>
      <c r="F1082"/>
      <c r="G1082"/>
      <c r="H1082"/>
      <c r="I1082"/>
      <c r="J1082"/>
      <c r="K1082"/>
      <c r="L1082"/>
      <c r="M1082"/>
      <c r="N1082"/>
      <c r="O1082"/>
      <c r="P1082"/>
      <c r="Q1082"/>
      <c r="R1082"/>
      <c r="S1082"/>
      <c r="T1082"/>
      <c r="U1082"/>
      <c r="V1082"/>
      <c r="W1082"/>
      <c r="X1082"/>
      <c r="Y1082"/>
      <c r="Z1082"/>
      <c r="AA1082"/>
      <c r="AB1082"/>
      <c r="AC1082"/>
      <c r="AD1082"/>
      <c r="AE1082"/>
      <c r="AF1082"/>
      <c r="AG1082"/>
      <c r="AH1082"/>
      <c r="AI1082"/>
      <c r="AJ1082"/>
      <c r="AK1082"/>
      <c r="AL1082"/>
      <c r="AM1082"/>
      <c r="AN1082"/>
      <c r="AO1082"/>
      <c r="AP1082"/>
      <c r="AQ1082"/>
      <c r="AR1082"/>
      <c r="AS1082"/>
      <c r="AT1082"/>
      <c r="AU1082"/>
      <c r="AV1082"/>
      <c r="AW1082"/>
      <c r="AX1082"/>
      <c r="AY1082"/>
      <c r="AZ1082"/>
      <c r="BA1082"/>
      <c r="BB1082"/>
      <c r="BC1082"/>
      <c r="BD1082"/>
      <c r="BE1082"/>
      <c r="BF1082"/>
      <c r="BG1082"/>
      <c r="BH1082"/>
      <c r="BI1082"/>
      <c r="BJ1082"/>
      <c r="BK1082"/>
      <c r="BL1082"/>
      <c r="BM1082"/>
      <c r="BN1082"/>
      <c r="BO1082"/>
      <c r="BP1082"/>
      <c r="BQ1082"/>
      <c r="BR1082"/>
      <c r="BS1082"/>
      <c r="BT1082"/>
      <c r="BU1082"/>
      <c r="BV1082"/>
      <c r="BW1082"/>
      <c r="BX1082"/>
      <c r="BY1082"/>
      <c r="BZ1082"/>
      <c r="CA1082"/>
      <c r="CB1082"/>
      <c r="CC1082"/>
      <c r="CD1082"/>
      <c r="CE1082"/>
      <c r="CF1082"/>
      <c r="CG1082"/>
      <c r="CH1082"/>
      <c r="CI1082"/>
      <c r="CJ1082"/>
      <c r="CK1082"/>
      <c r="CL1082"/>
      <c r="CM1082"/>
      <c r="CN1082"/>
      <c r="CO1082"/>
      <c r="CP1082"/>
      <c r="CQ1082"/>
      <c r="CR1082"/>
      <c r="CS1082"/>
      <c r="CT1082"/>
      <c r="CU1082"/>
      <c r="CV1082"/>
      <c r="CW1082"/>
      <c r="CX1082"/>
      <c r="CY1082"/>
      <c r="CZ1082"/>
      <c r="DA1082"/>
      <c r="DB1082"/>
      <c r="DC1082"/>
      <c r="DD1082"/>
      <c r="DE1082"/>
      <c r="DF1082"/>
      <c r="DG1082"/>
      <c r="DH1082"/>
      <c r="DI1082"/>
      <c r="DJ1082"/>
      <c r="DK1082"/>
      <c r="DL1082"/>
      <c r="DM1082"/>
      <c r="DN1082"/>
      <c r="DO1082"/>
      <c r="DP1082"/>
      <c r="DQ1082"/>
      <c r="DR1082"/>
      <c r="DS1082"/>
      <c r="DT1082"/>
      <c r="DU1082"/>
      <c r="DV1082"/>
      <c r="DW1082"/>
      <c r="DX1082"/>
      <c r="DY1082"/>
      <c r="DZ1082"/>
      <c r="EA1082"/>
      <c r="EB1082"/>
      <c r="EC1082"/>
      <c r="ED1082"/>
      <c r="EE1082"/>
      <c r="EF1082"/>
      <c r="EG1082"/>
      <c r="EH1082"/>
      <c r="EI1082"/>
      <c r="EJ1082"/>
      <c r="EK1082"/>
      <c r="EL1082"/>
      <c r="EM1082"/>
      <c r="EN1082"/>
      <c r="EO1082"/>
      <c r="EP1082"/>
      <c r="EQ1082"/>
      <c r="ER1082"/>
      <c r="ES1082"/>
    </row>
    <row r="1083" spans="1:149">
      <c r="A1083"/>
      <c r="B1083"/>
      <c r="C1083"/>
      <c r="D1083"/>
      <c r="E1083"/>
      <c r="F1083"/>
      <c r="G1083"/>
      <c r="H1083"/>
      <c r="I1083"/>
      <c r="J1083"/>
      <c r="K1083"/>
      <c r="L1083"/>
      <c r="M1083"/>
      <c r="N1083"/>
      <c r="O1083"/>
      <c r="P1083"/>
      <c r="Q1083"/>
      <c r="R1083"/>
      <c r="S1083"/>
      <c r="T1083"/>
      <c r="U1083"/>
      <c r="V1083"/>
      <c r="W1083"/>
      <c r="X1083"/>
      <c r="Y1083"/>
      <c r="Z1083"/>
      <c r="AA1083"/>
      <c r="AB1083"/>
      <c r="AC1083"/>
      <c r="AD1083"/>
      <c r="AE1083"/>
      <c r="AF1083"/>
      <c r="AG1083"/>
      <c r="AH1083"/>
      <c r="AI1083"/>
      <c r="AJ1083"/>
      <c r="AK1083"/>
      <c r="AL1083"/>
      <c r="AM1083"/>
      <c r="AN1083"/>
      <c r="AO1083"/>
      <c r="AP1083"/>
      <c r="AQ1083"/>
      <c r="AR1083"/>
      <c r="AS1083"/>
      <c r="AT1083"/>
      <c r="AU1083"/>
      <c r="AV1083"/>
      <c r="AW1083"/>
      <c r="AX1083"/>
      <c r="AY1083"/>
      <c r="AZ1083"/>
      <c r="BA1083"/>
      <c r="BB1083"/>
      <c r="BC1083"/>
      <c r="BD1083"/>
      <c r="BE1083"/>
      <c r="BF1083"/>
      <c r="BG1083"/>
      <c r="BH1083"/>
      <c r="BI1083"/>
      <c r="BJ1083"/>
      <c r="BK1083"/>
      <c r="BL1083"/>
      <c r="BM1083"/>
      <c r="BN1083"/>
      <c r="BO1083"/>
      <c r="BP1083"/>
      <c r="BQ1083"/>
      <c r="BR1083"/>
      <c r="BS1083"/>
      <c r="BT1083"/>
      <c r="BU1083"/>
      <c r="BV1083"/>
      <c r="BW1083"/>
      <c r="BX1083"/>
      <c r="BY1083"/>
      <c r="BZ1083"/>
      <c r="CA1083"/>
      <c r="CB1083"/>
      <c r="CC1083"/>
      <c r="CD1083"/>
      <c r="CE1083"/>
      <c r="CF1083"/>
      <c r="CG1083"/>
      <c r="CH1083"/>
      <c r="CI1083"/>
      <c r="CJ1083"/>
      <c r="CK1083"/>
      <c r="CL1083"/>
      <c r="CM1083"/>
      <c r="CN1083"/>
      <c r="CO1083"/>
      <c r="CP1083"/>
      <c r="CQ1083"/>
      <c r="CR1083"/>
      <c r="CS1083"/>
      <c r="CT1083"/>
      <c r="CU1083"/>
      <c r="CV1083"/>
      <c r="CW1083"/>
      <c r="CX1083"/>
      <c r="CY1083"/>
      <c r="CZ1083"/>
      <c r="DA1083"/>
      <c r="DB1083"/>
      <c r="DC1083"/>
      <c r="DD1083"/>
      <c r="DE1083"/>
      <c r="DF1083"/>
      <c r="DG1083"/>
      <c r="DH1083"/>
      <c r="DI1083"/>
      <c r="DJ1083"/>
      <c r="DK1083"/>
      <c r="DL1083"/>
      <c r="DM1083"/>
      <c r="DN1083"/>
      <c r="DO1083"/>
      <c r="DP1083"/>
      <c r="DQ1083"/>
      <c r="DR1083"/>
      <c r="DS1083"/>
      <c r="DT1083"/>
      <c r="DU1083"/>
      <c r="DV1083"/>
      <c r="DW1083"/>
      <c r="DX1083"/>
      <c r="DY1083"/>
      <c r="DZ1083"/>
      <c r="EA1083"/>
      <c r="EB1083"/>
      <c r="EC1083"/>
      <c r="ED1083"/>
      <c r="EE1083"/>
      <c r="EF1083"/>
      <c r="EG1083"/>
      <c r="EH1083"/>
      <c r="EI1083"/>
      <c r="EJ1083"/>
      <c r="EK1083"/>
      <c r="EL1083"/>
      <c r="EM1083"/>
      <c r="EN1083"/>
      <c r="EO1083"/>
      <c r="EP1083"/>
      <c r="EQ1083"/>
      <c r="ER1083"/>
      <c r="ES1083"/>
    </row>
    <row r="1084" spans="1:149">
      <c r="A1084"/>
      <c r="B1084"/>
      <c r="C1084"/>
      <c r="D1084"/>
      <c r="E1084"/>
      <c r="F1084"/>
      <c r="G1084"/>
      <c r="H1084"/>
      <c r="I1084"/>
      <c r="J1084"/>
      <c r="K1084"/>
      <c r="L1084"/>
      <c r="M1084"/>
      <c r="N1084"/>
      <c r="O1084"/>
      <c r="P1084"/>
      <c r="Q1084"/>
      <c r="R1084"/>
      <c r="S1084"/>
      <c r="T1084"/>
      <c r="U1084"/>
      <c r="V1084"/>
      <c r="W1084"/>
      <c r="X1084"/>
      <c r="Y1084"/>
      <c r="Z1084"/>
      <c r="AA1084"/>
      <c r="AB1084"/>
      <c r="AC1084"/>
      <c r="AD1084"/>
      <c r="AE1084"/>
      <c r="AF1084"/>
      <c r="AG1084"/>
      <c r="AH1084"/>
      <c r="AI1084"/>
      <c r="AJ1084"/>
      <c r="AK1084"/>
      <c r="AL1084"/>
      <c r="AM1084"/>
      <c r="AN1084"/>
      <c r="AO1084"/>
      <c r="AP1084"/>
      <c r="AQ1084"/>
      <c r="AR1084"/>
      <c r="AS1084"/>
      <c r="AT1084"/>
      <c r="AU1084"/>
      <c r="AV1084"/>
      <c r="AW1084"/>
      <c r="AX1084"/>
      <c r="AY1084"/>
      <c r="AZ1084"/>
      <c r="BA1084"/>
      <c r="BB1084"/>
      <c r="BC1084"/>
      <c r="BD1084"/>
      <c r="BE1084"/>
      <c r="BF1084"/>
      <c r="BG1084"/>
      <c r="BH1084"/>
      <c r="BI1084"/>
      <c r="BJ1084"/>
      <c r="BK1084"/>
      <c r="BL1084"/>
      <c r="BM1084"/>
      <c r="BN1084"/>
      <c r="BO1084"/>
      <c r="BP1084"/>
      <c r="BQ1084"/>
      <c r="BR1084"/>
      <c r="BS1084"/>
      <c r="BT1084"/>
      <c r="BU1084"/>
      <c r="BV1084"/>
      <c r="BW1084"/>
      <c r="BX1084"/>
      <c r="BY1084"/>
      <c r="BZ1084"/>
      <c r="CA1084"/>
      <c r="CB1084"/>
      <c r="CC1084"/>
      <c r="CD1084"/>
      <c r="CE1084"/>
      <c r="CF1084"/>
      <c r="CG1084"/>
      <c r="CH1084"/>
      <c r="CI1084"/>
      <c r="CJ1084"/>
      <c r="CK1084"/>
      <c r="CL1084"/>
      <c r="CM1084"/>
      <c r="CN1084"/>
      <c r="CO1084"/>
      <c r="CP1084"/>
      <c r="CQ1084"/>
      <c r="CR1084"/>
      <c r="CS1084"/>
      <c r="CT1084"/>
      <c r="CU1084"/>
      <c r="CV1084"/>
      <c r="CW1084"/>
      <c r="CX1084"/>
      <c r="CY1084"/>
      <c r="CZ1084"/>
      <c r="DA1084"/>
      <c r="DB1084"/>
      <c r="DC1084"/>
      <c r="DD1084"/>
      <c r="DE1084"/>
      <c r="DF1084"/>
      <c r="DG1084"/>
      <c r="DH1084"/>
      <c r="DI1084"/>
      <c r="DJ1084"/>
      <c r="DK1084"/>
      <c r="DL1084"/>
      <c r="DM1084"/>
      <c r="DN1084"/>
      <c r="DO1084"/>
      <c r="DP1084"/>
      <c r="DQ1084"/>
      <c r="DR1084"/>
      <c r="DS1084"/>
      <c r="DT1084"/>
      <c r="DU1084"/>
      <c r="DV1084"/>
      <c r="DW1084"/>
      <c r="DX1084"/>
      <c r="DY1084"/>
      <c r="DZ1084"/>
      <c r="EA1084"/>
      <c r="EB1084"/>
      <c r="EC1084"/>
      <c r="ED1084"/>
      <c r="EE1084"/>
      <c r="EF1084"/>
      <c r="EG1084"/>
      <c r="EH1084"/>
      <c r="EI1084"/>
      <c r="EJ1084"/>
      <c r="EK1084"/>
      <c r="EL1084"/>
      <c r="EM1084"/>
      <c r="EN1084"/>
      <c r="EO1084"/>
      <c r="EP1084"/>
      <c r="EQ1084"/>
      <c r="ER1084"/>
      <c r="ES1084"/>
    </row>
    <row r="1085" spans="1:149">
      <c r="A1085"/>
      <c r="B1085"/>
      <c r="C1085"/>
      <c r="D1085"/>
      <c r="E1085"/>
      <c r="F1085"/>
      <c r="G1085"/>
      <c r="H1085"/>
      <c r="I1085"/>
      <c r="J1085"/>
      <c r="K1085"/>
      <c r="L1085"/>
      <c r="M1085"/>
      <c r="N1085"/>
      <c r="O1085"/>
      <c r="P1085"/>
      <c r="Q1085"/>
      <c r="R1085"/>
      <c r="S1085"/>
      <c r="T1085"/>
      <c r="U1085"/>
      <c r="V1085"/>
      <c r="W1085"/>
      <c r="X1085"/>
      <c r="Y1085"/>
      <c r="Z1085"/>
      <c r="AA1085"/>
      <c r="AB1085"/>
      <c r="AC1085"/>
      <c r="AD1085"/>
      <c r="AE1085"/>
      <c r="AF1085"/>
      <c r="AG1085"/>
      <c r="AH1085"/>
      <c r="AI1085"/>
      <c r="AJ1085"/>
      <c r="AK1085"/>
      <c r="AL1085"/>
      <c r="AM1085"/>
      <c r="AN1085"/>
      <c r="AO1085"/>
      <c r="AP1085"/>
      <c r="AQ1085"/>
      <c r="AR1085"/>
      <c r="AS1085"/>
      <c r="AT1085"/>
      <c r="AU1085"/>
      <c r="AV1085"/>
      <c r="AW1085"/>
      <c r="AX1085"/>
      <c r="AY1085"/>
      <c r="AZ1085"/>
      <c r="BA1085"/>
      <c r="BB1085"/>
      <c r="BC1085"/>
      <c r="BD1085"/>
      <c r="BE1085"/>
      <c r="BF1085"/>
      <c r="BG1085"/>
      <c r="BH1085"/>
      <c r="BI1085"/>
      <c r="BJ1085"/>
      <c r="BK1085"/>
      <c r="BL1085"/>
      <c r="BM1085"/>
      <c r="BN1085"/>
      <c r="BO1085"/>
      <c r="BP1085"/>
      <c r="BQ1085"/>
      <c r="BR1085"/>
      <c r="BS1085"/>
      <c r="BT1085"/>
      <c r="BU1085"/>
      <c r="BV1085"/>
      <c r="BW1085"/>
      <c r="BX1085"/>
      <c r="BY1085"/>
      <c r="BZ1085"/>
      <c r="CA1085"/>
      <c r="CB1085"/>
      <c r="CC1085"/>
      <c r="CD1085"/>
      <c r="CE1085"/>
      <c r="CF1085"/>
      <c r="CG1085"/>
      <c r="CH1085"/>
      <c r="CI1085"/>
      <c r="CJ1085"/>
      <c r="CK1085"/>
      <c r="CL1085"/>
      <c r="CM1085"/>
      <c r="CN1085"/>
      <c r="CO1085"/>
      <c r="CP1085"/>
      <c r="CQ1085"/>
      <c r="CR1085"/>
      <c r="CS1085"/>
      <c r="CT1085"/>
      <c r="CU1085"/>
      <c r="CV1085"/>
      <c r="CW1085"/>
      <c r="CX1085"/>
      <c r="CY1085"/>
      <c r="CZ1085"/>
      <c r="DA1085"/>
      <c r="DB1085"/>
      <c r="DC1085"/>
      <c r="DD1085"/>
      <c r="DE1085"/>
      <c r="DF1085"/>
      <c r="DG1085"/>
      <c r="DH1085"/>
      <c r="DI1085"/>
      <c r="DJ1085"/>
      <c r="DK1085"/>
      <c r="DL1085"/>
      <c r="DM1085"/>
      <c r="DN1085"/>
      <c r="DO1085"/>
      <c r="DP1085"/>
      <c r="DQ1085"/>
      <c r="DR1085"/>
      <c r="DS1085"/>
      <c r="DT1085"/>
      <c r="DU1085"/>
      <c r="DV1085"/>
      <c r="DW1085"/>
      <c r="DX1085"/>
      <c r="DY1085"/>
      <c r="DZ1085"/>
      <c r="EA1085"/>
      <c r="EB1085"/>
      <c r="EC1085"/>
      <c r="ED1085"/>
      <c r="EE1085"/>
      <c r="EF1085"/>
      <c r="EG1085"/>
      <c r="EH1085"/>
      <c r="EI1085"/>
      <c r="EJ1085"/>
      <c r="EK1085"/>
      <c r="EL1085"/>
      <c r="EM1085"/>
      <c r="EN1085"/>
      <c r="EO1085"/>
      <c r="EP1085"/>
      <c r="EQ1085"/>
      <c r="ER1085"/>
      <c r="ES1085"/>
    </row>
    <row r="1086" spans="1:149">
      <c r="A1086"/>
      <c r="B1086"/>
      <c r="C1086"/>
      <c r="D1086"/>
      <c r="E1086"/>
      <c r="F1086"/>
      <c r="G1086"/>
      <c r="H1086"/>
      <c r="I1086"/>
      <c r="J1086"/>
      <c r="K1086"/>
      <c r="L1086"/>
      <c r="M1086"/>
      <c r="N1086"/>
      <c r="O1086"/>
      <c r="P1086"/>
      <c r="Q1086"/>
      <c r="R1086"/>
      <c r="S1086"/>
      <c r="T1086"/>
      <c r="U1086"/>
      <c r="V1086"/>
      <c r="W1086"/>
      <c r="X1086"/>
      <c r="Y1086"/>
      <c r="Z1086"/>
      <c r="AA1086"/>
      <c r="AB1086"/>
      <c r="AC1086"/>
      <c r="AD1086"/>
      <c r="AE1086"/>
      <c r="AF1086"/>
      <c r="AG1086"/>
      <c r="AH1086"/>
      <c r="AI1086"/>
      <c r="AJ1086"/>
      <c r="AK1086"/>
      <c r="AL1086"/>
      <c r="AM1086"/>
      <c r="AN1086"/>
      <c r="AO1086"/>
      <c r="AP1086"/>
      <c r="AQ1086"/>
      <c r="AR1086"/>
      <c r="AS1086"/>
      <c r="AT1086"/>
      <c r="AU1086"/>
      <c r="AV1086"/>
      <c r="AW1086"/>
      <c r="AX1086"/>
      <c r="AY1086"/>
      <c r="AZ1086"/>
      <c r="BA1086"/>
      <c r="BB1086"/>
      <c r="BC1086"/>
      <c r="BD1086"/>
      <c r="BE1086"/>
      <c r="BF1086"/>
      <c r="BG1086"/>
      <c r="BH1086"/>
      <c r="BI1086"/>
      <c r="BJ1086"/>
      <c r="BK1086"/>
      <c r="BL1086"/>
      <c r="BM1086"/>
      <c r="BN1086"/>
      <c r="BO1086"/>
      <c r="BP1086"/>
      <c r="BQ1086"/>
      <c r="BR1086"/>
      <c r="BS1086"/>
      <c r="BT1086"/>
      <c r="BU1086"/>
      <c r="BV1086"/>
      <c r="BW1086"/>
      <c r="BX1086"/>
      <c r="BY1086"/>
      <c r="BZ1086"/>
      <c r="CA1086"/>
      <c r="CB1086"/>
      <c r="CC1086"/>
      <c r="CD1086"/>
      <c r="CE1086"/>
      <c r="CF1086"/>
      <c r="CG1086"/>
      <c r="CH1086"/>
      <c r="CI1086"/>
      <c r="CJ1086"/>
      <c r="CK1086"/>
      <c r="CL1086"/>
      <c r="CM1086"/>
      <c r="CN1086"/>
      <c r="CO1086"/>
      <c r="CP1086"/>
      <c r="CQ1086"/>
      <c r="CR1086"/>
      <c r="CS1086"/>
      <c r="CT1086"/>
      <c r="CU1086"/>
      <c r="CV1086"/>
      <c r="CW1086"/>
      <c r="CX1086"/>
      <c r="CY1086"/>
      <c r="CZ1086"/>
      <c r="DA1086"/>
      <c r="DB1086"/>
      <c r="DC1086"/>
      <c r="DD1086"/>
      <c r="DE1086"/>
      <c r="DF1086"/>
      <c r="DG1086"/>
      <c r="DH1086"/>
      <c r="DI1086"/>
      <c r="DJ1086"/>
      <c r="DK1086"/>
      <c r="DL1086"/>
      <c r="DM1086"/>
      <c r="DN1086"/>
      <c r="DO1086"/>
      <c r="DP1086"/>
      <c r="DQ1086"/>
      <c r="DR1086"/>
      <c r="DS1086"/>
      <c r="DT1086"/>
      <c r="DU1086"/>
      <c r="DV1086"/>
      <c r="DW1086"/>
      <c r="DX1086"/>
      <c r="DY1086"/>
      <c r="DZ1086"/>
      <c r="EA1086"/>
      <c r="EB1086"/>
      <c r="EC1086"/>
      <c r="ED1086"/>
      <c r="EE1086"/>
      <c r="EF1086"/>
      <c r="EG1086"/>
      <c r="EH1086"/>
      <c r="EI1086"/>
      <c r="EJ1086"/>
      <c r="EK1086"/>
      <c r="EL1086"/>
      <c r="EM1086"/>
      <c r="EN1086"/>
      <c r="EO1086"/>
      <c r="EP1086"/>
      <c r="EQ1086"/>
      <c r="ER1086"/>
      <c r="ES1086"/>
    </row>
    <row r="1087" spans="1:149">
      <c r="A1087"/>
      <c r="B1087"/>
      <c r="C1087"/>
      <c r="D1087"/>
      <c r="E1087"/>
      <c r="F1087"/>
      <c r="G1087"/>
      <c r="H1087"/>
      <c r="I1087"/>
      <c r="J1087"/>
      <c r="K1087"/>
      <c r="L1087"/>
      <c r="M1087"/>
      <c r="N1087"/>
      <c r="O1087"/>
      <c r="P1087"/>
      <c r="Q1087"/>
      <c r="R1087"/>
      <c r="S1087"/>
      <c r="T1087"/>
      <c r="U1087"/>
      <c r="V1087"/>
      <c r="W1087"/>
      <c r="X1087"/>
      <c r="Y1087"/>
      <c r="Z1087"/>
      <c r="AA1087"/>
      <c r="AB1087"/>
      <c r="AC1087"/>
      <c r="AD1087"/>
      <c r="AE1087"/>
      <c r="AF1087"/>
      <c r="AG1087"/>
      <c r="AH1087"/>
      <c r="AI1087"/>
      <c r="AJ1087"/>
      <c r="AK1087"/>
      <c r="AL1087"/>
      <c r="AM1087"/>
      <c r="AN1087"/>
      <c r="AO1087"/>
      <c r="AP1087"/>
      <c r="AQ1087"/>
      <c r="AR1087"/>
      <c r="AS1087"/>
      <c r="AT1087"/>
      <c r="AU1087"/>
      <c r="AV1087"/>
      <c r="AW1087"/>
      <c r="AX1087"/>
      <c r="AY1087"/>
      <c r="AZ1087"/>
      <c r="BA1087"/>
      <c r="BB1087"/>
      <c r="BC1087"/>
      <c r="BD1087"/>
      <c r="BE1087"/>
      <c r="BF1087"/>
      <c r="BG1087"/>
      <c r="BH1087"/>
      <c r="BI1087"/>
      <c r="BJ1087"/>
      <c r="BK1087"/>
      <c r="BL1087"/>
      <c r="BM1087"/>
      <c r="BN1087"/>
      <c r="BO1087"/>
      <c r="BP1087"/>
      <c r="BQ1087"/>
      <c r="BR1087"/>
      <c r="BS1087"/>
      <c r="BT1087"/>
      <c r="BU1087"/>
      <c r="BV1087"/>
      <c r="BW1087"/>
      <c r="BX1087"/>
      <c r="BY1087"/>
      <c r="BZ1087"/>
      <c r="CA1087"/>
      <c r="CB1087"/>
      <c r="CC1087"/>
      <c r="CD1087"/>
      <c r="CE1087"/>
      <c r="CF1087"/>
      <c r="CG1087"/>
      <c r="CH1087"/>
      <c r="CI1087"/>
      <c r="CJ1087"/>
      <c r="CK1087"/>
      <c r="CL1087"/>
      <c r="CM1087"/>
      <c r="CN1087"/>
      <c r="CO1087"/>
      <c r="CP1087"/>
      <c r="CQ1087"/>
      <c r="CR1087"/>
      <c r="CS1087"/>
      <c r="CT1087"/>
      <c r="CU1087"/>
      <c r="CV1087"/>
      <c r="CW1087"/>
      <c r="CX1087"/>
      <c r="CY1087"/>
      <c r="CZ1087"/>
      <c r="DA1087"/>
      <c r="DB1087"/>
      <c r="DC1087"/>
      <c r="DD1087"/>
      <c r="DE1087"/>
      <c r="DF1087"/>
      <c r="DG1087"/>
      <c r="DH1087"/>
      <c r="DI1087"/>
      <c r="DJ1087"/>
      <c r="DK1087"/>
      <c r="DL1087"/>
      <c r="DM1087"/>
      <c r="DN1087"/>
      <c r="DO1087"/>
      <c r="DP1087"/>
      <c r="DQ1087"/>
      <c r="DR1087"/>
      <c r="DS1087"/>
      <c r="DT1087"/>
      <c r="DU1087"/>
      <c r="DV1087"/>
      <c r="DW1087"/>
      <c r="DX1087"/>
      <c r="DY1087"/>
      <c r="DZ1087"/>
      <c r="EA1087"/>
      <c r="EB1087"/>
      <c r="EC1087"/>
      <c r="ED1087"/>
      <c r="EE1087"/>
      <c r="EF1087"/>
      <c r="EG1087"/>
      <c r="EH1087"/>
      <c r="EI1087"/>
      <c r="EJ1087"/>
      <c r="EK1087"/>
      <c r="EL1087"/>
      <c r="EM1087"/>
      <c r="EN1087"/>
      <c r="EO1087"/>
      <c r="EP1087"/>
      <c r="EQ1087"/>
      <c r="ER1087"/>
      <c r="ES1087"/>
    </row>
    <row r="1088" spans="1:149">
      <c r="A1088"/>
      <c r="B1088"/>
      <c r="C1088"/>
      <c r="D1088"/>
      <c r="E1088"/>
      <c r="F1088"/>
      <c r="G1088"/>
      <c r="H1088"/>
      <c r="I1088"/>
      <c r="J1088"/>
      <c r="K1088"/>
      <c r="L1088"/>
      <c r="M1088"/>
      <c r="N1088"/>
      <c r="O1088"/>
      <c r="P1088"/>
      <c r="Q1088"/>
      <c r="R1088"/>
      <c r="S1088"/>
      <c r="T1088"/>
      <c r="U1088"/>
      <c r="V1088"/>
      <c r="W1088"/>
      <c r="X1088"/>
      <c r="Y1088"/>
      <c r="Z1088"/>
      <c r="AA1088"/>
      <c r="AB1088"/>
      <c r="AC1088"/>
      <c r="AD1088"/>
      <c r="AE1088"/>
      <c r="AF1088"/>
      <c r="AG1088"/>
      <c r="AH1088"/>
      <c r="AI1088"/>
      <c r="AJ1088"/>
      <c r="AK1088"/>
      <c r="AL1088"/>
      <c r="AM1088"/>
      <c r="AN1088"/>
      <c r="AO1088"/>
      <c r="AP1088"/>
      <c r="AQ1088"/>
      <c r="AR1088"/>
      <c r="AS1088"/>
      <c r="AT1088"/>
      <c r="AU1088"/>
      <c r="AV1088"/>
      <c r="AW1088"/>
      <c r="AX1088"/>
      <c r="AY1088"/>
      <c r="AZ1088"/>
      <c r="BA1088"/>
      <c r="BB1088"/>
      <c r="BC1088"/>
      <c r="BD1088"/>
      <c r="BE1088"/>
      <c r="BF1088"/>
      <c r="BG1088"/>
      <c r="BH1088"/>
      <c r="BI1088"/>
      <c r="BJ1088"/>
      <c r="BK1088"/>
      <c r="BL1088"/>
      <c r="BM1088"/>
      <c r="BN1088"/>
      <c r="BO1088"/>
      <c r="BP1088"/>
      <c r="BQ1088"/>
      <c r="BR1088"/>
      <c r="BS1088"/>
      <c r="BT1088"/>
      <c r="BU1088"/>
      <c r="BV1088"/>
      <c r="BW1088"/>
      <c r="BX1088"/>
      <c r="BY1088"/>
      <c r="BZ1088"/>
      <c r="CA1088"/>
      <c r="CB1088"/>
      <c r="CC1088"/>
      <c r="CD1088"/>
      <c r="CE1088"/>
      <c r="CF1088"/>
      <c r="CG1088"/>
      <c r="CH1088"/>
      <c r="CI1088"/>
      <c r="CJ1088"/>
      <c r="CK1088"/>
      <c r="CL1088"/>
      <c r="CM1088"/>
      <c r="CN1088"/>
      <c r="CO1088"/>
      <c r="CP1088"/>
      <c r="CQ1088"/>
      <c r="CR1088"/>
      <c r="CS1088"/>
      <c r="CT1088"/>
      <c r="CU1088"/>
      <c r="CV1088"/>
      <c r="CW1088"/>
      <c r="CX1088"/>
      <c r="CY1088"/>
      <c r="CZ1088"/>
      <c r="DA1088"/>
      <c r="DB1088"/>
      <c r="DC1088"/>
      <c r="DD1088"/>
      <c r="DE1088"/>
      <c r="DF1088"/>
      <c r="DG1088"/>
      <c r="DH1088"/>
      <c r="DI1088"/>
      <c r="DJ1088"/>
      <c r="DK1088"/>
      <c r="DL1088"/>
      <c r="DM1088"/>
      <c r="DN1088"/>
      <c r="DO1088"/>
      <c r="DP1088"/>
      <c r="DQ1088"/>
      <c r="DR1088"/>
      <c r="DS1088"/>
      <c r="DT1088"/>
      <c r="DU1088"/>
      <c r="DV1088"/>
      <c r="DW1088"/>
      <c r="DX1088"/>
      <c r="DY1088"/>
      <c r="DZ1088"/>
      <c r="EA1088"/>
      <c r="EB1088"/>
      <c r="EC1088"/>
      <c r="ED1088"/>
      <c r="EE1088"/>
      <c r="EF1088"/>
      <c r="EG1088"/>
      <c r="EH1088"/>
      <c r="EI1088"/>
      <c r="EJ1088"/>
      <c r="EK1088"/>
      <c r="EL1088"/>
      <c r="EM1088"/>
      <c r="EN1088"/>
      <c r="EO1088"/>
      <c r="EP1088"/>
      <c r="EQ1088"/>
      <c r="ER1088"/>
      <c r="ES1088"/>
    </row>
    <row r="1089" spans="1:149">
      <c r="A1089"/>
      <c r="B1089"/>
      <c r="C1089"/>
      <c r="D1089"/>
      <c r="E1089"/>
      <c r="F1089"/>
      <c r="G1089"/>
      <c r="H1089"/>
      <c r="I1089"/>
      <c r="J1089"/>
      <c r="K1089"/>
      <c r="L1089"/>
      <c r="M1089"/>
      <c r="N1089"/>
      <c r="O1089"/>
      <c r="P1089"/>
      <c r="Q1089"/>
      <c r="R1089"/>
      <c r="S1089"/>
      <c r="T1089"/>
      <c r="U1089"/>
      <c r="V1089"/>
      <c r="W1089"/>
      <c r="X1089"/>
      <c r="Y1089"/>
      <c r="Z1089"/>
      <c r="AA1089"/>
      <c r="AB1089"/>
      <c r="AC1089"/>
      <c r="AD1089"/>
      <c r="AE1089"/>
      <c r="AF1089"/>
      <c r="AG1089"/>
      <c r="AH1089"/>
      <c r="AI1089"/>
      <c r="AJ1089"/>
      <c r="AK1089"/>
      <c r="AL1089"/>
      <c r="AM1089"/>
      <c r="AN1089"/>
      <c r="AO1089"/>
      <c r="AP1089"/>
      <c r="AQ1089"/>
      <c r="AR1089"/>
      <c r="AS1089"/>
      <c r="AT1089"/>
      <c r="AU1089"/>
      <c r="AV1089"/>
      <c r="AW1089"/>
      <c r="AX1089"/>
      <c r="AY1089"/>
      <c r="AZ1089"/>
      <c r="BA1089"/>
      <c r="BB1089"/>
      <c r="BC1089"/>
      <c r="BD1089"/>
      <c r="BE1089"/>
      <c r="BF1089"/>
      <c r="BG1089"/>
      <c r="BH1089"/>
      <c r="BI1089"/>
      <c r="BJ1089"/>
      <c r="BK1089"/>
      <c r="BL1089"/>
      <c r="BM1089"/>
      <c r="BN1089"/>
      <c r="BO1089"/>
      <c r="BP1089"/>
      <c r="BQ1089"/>
      <c r="BR1089"/>
      <c r="BS1089"/>
      <c r="BT1089"/>
      <c r="BU1089"/>
      <c r="BV1089"/>
      <c r="BW1089"/>
      <c r="BX1089"/>
      <c r="BY1089"/>
      <c r="BZ1089"/>
      <c r="CA1089"/>
      <c r="CB1089"/>
      <c r="CC1089"/>
      <c r="CD1089"/>
      <c r="CE1089"/>
      <c r="CF1089"/>
      <c r="CG1089"/>
      <c r="CH1089"/>
      <c r="CI1089"/>
      <c r="CJ1089"/>
      <c r="CK1089"/>
      <c r="CL1089"/>
      <c r="CM1089"/>
      <c r="CN1089"/>
      <c r="CO1089"/>
      <c r="CP1089"/>
      <c r="CQ1089"/>
      <c r="CR1089"/>
      <c r="CS1089"/>
      <c r="CT1089"/>
      <c r="CU1089"/>
      <c r="CV1089"/>
      <c r="CW1089"/>
      <c r="CX1089"/>
      <c r="CY1089"/>
      <c r="CZ1089"/>
      <c r="DA1089"/>
      <c r="DB1089"/>
      <c r="DC1089"/>
      <c r="DD1089"/>
      <c r="DE1089"/>
      <c r="DF1089"/>
      <c r="DG1089"/>
      <c r="DH1089"/>
      <c r="DI1089"/>
      <c r="DJ1089"/>
      <c r="DK1089"/>
      <c r="DL1089"/>
      <c r="DM1089"/>
      <c r="DN1089"/>
      <c r="DO1089"/>
      <c r="DP1089"/>
      <c r="DQ1089"/>
      <c r="DR1089"/>
      <c r="DS1089"/>
      <c r="DT1089"/>
      <c r="DU1089"/>
      <c r="DV1089"/>
      <c r="DW1089"/>
      <c r="DX1089"/>
      <c r="DY1089"/>
      <c r="DZ1089"/>
      <c r="EA1089"/>
      <c r="EB1089"/>
      <c r="EC1089"/>
      <c r="ED1089"/>
      <c r="EE1089"/>
      <c r="EF1089"/>
      <c r="EG1089"/>
      <c r="EH1089"/>
      <c r="EI1089"/>
      <c r="EJ1089"/>
      <c r="EK1089"/>
      <c r="EL1089"/>
      <c r="EM1089"/>
      <c r="EN1089"/>
      <c r="EO1089"/>
      <c r="EP1089"/>
      <c r="EQ1089"/>
      <c r="ER1089"/>
      <c r="ES1089"/>
    </row>
    <row r="1090" spans="1:149">
      <c r="A1090"/>
      <c r="B1090"/>
      <c r="C1090"/>
      <c r="D1090"/>
      <c r="E1090"/>
      <c r="F1090"/>
      <c r="G1090"/>
      <c r="H1090"/>
      <c r="I1090"/>
      <c r="J1090"/>
      <c r="K1090"/>
      <c r="L1090"/>
      <c r="M1090"/>
      <c r="N1090"/>
      <c r="O1090"/>
      <c r="P1090"/>
      <c r="Q1090"/>
      <c r="R1090"/>
      <c r="S1090"/>
      <c r="T1090"/>
      <c r="U1090"/>
      <c r="V1090"/>
      <c r="W1090"/>
      <c r="X1090"/>
      <c r="Y1090"/>
      <c r="Z1090"/>
      <c r="AA1090"/>
      <c r="AB1090"/>
      <c r="AC1090"/>
      <c r="AD1090"/>
      <c r="AE1090"/>
      <c r="AF1090"/>
      <c r="AG1090"/>
      <c r="AH1090"/>
      <c r="AI1090"/>
      <c r="AJ1090"/>
      <c r="AK1090"/>
      <c r="AL1090"/>
      <c r="AM1090"/>
      <c r="AN1090"/>
      <c r="AO1090"/>
      <c r="AP1090"/>
      <c r="AQ1090"/>
      <c r="AR1090"/>
      <c r="AS1090"/>
      <c r="AT1090"/>
      <c r="AU1090"/>
      <c r="AV1090"/>
      <c r="AW1090"/>
      <c r="AX1090"/>
      <c r="AY1090"/>
      <c r="AZ1090"/>
      <c r="BA1090"/>
      <c r="BB1090"/>
      <c r="BC1090"/>
      <c r="BD1090"/>
      <c r="BE1090"/>
      <c r="BF1090"/>
      <c r="BG1090"/>
      <c r="BH1090"/>
      <c r="BI1090"/>
      <c r="BJ1090"/>
      <c r="BK1090"/>
      <c r="BL1090"/>
      <c r="BM1090"/>
      <c r="BN1090"/>
      <c r="BO1090"/>
      <c r="BP1090"/>
      <c r="BQ1090"/>
      <c r="BR1090"/>
      <c r="BS1090"/>
      <c r="BT1090"/>
      <c r="BU1090"/>
      <c r="BV1090"/>
      <c r="BW1090"/>
      <c r="BX1090"/>
      <c r="BY1090"/>
      <c r="BZ1090"/>
      <c r="CA1090"/>
      <c r="CB1090"/>
      <c r="CC1090"/>
      <c r="CD1090"/>
      <c r="CE1090"/>
      <c r="CF1090"/>
      <c r="CG1090"/>
      <c r="CH1090"/>
      <c r="CI1090"/>
      <c r="CJ1090"/>
      <c r="CK1090"/>
      <c r="CL1090"/>
      <c r="CM1090"/>
      <c r="CN1090"/>
      <c r="CO1090"/>
      <c r="CP1090"/>
      <c r="CQ1090"/>
      <c r="CR1090"/>
      <c r="CS1090"/>
      <c r="CT1090"/>
      <c r="CU1090"/>
      <c r="CV1090"/>
      <c r="CW1090"/>
      <c r="CX1090"/>
      <c r="CY1090"/>
      <c r="CZ1090"/>
      <c r="DA1090"/>
      <c r="DB1090"/>
      <c r="DC1090"/>
      <c r="DD1090"/>
      <c r="DE1090"/>
      <c r="DF1090"/>
      <c r="DG1090"/>
      <c r="DH1090"/>
      <c r="DI1090"/>
      <c r="DJ1090"/>
      <c r="DK1090"/>
      <c r="DL1090"/>
      <c r="DM1090"/>
      <c r="DN1090"/>
      <c r="DO1090"/>
      <c r="DP1090"/>
      <c r="DQ1090"/>
      <c r="DR1090"/>
      <c r="DS1090"/>
      <c r="DT1090"/>
      <c r="DU1090"/>
      <c r="DV1090"/>
      <c r="DW1090"/>
      <c r="DX1090"/>
      <c r="DY1090"/>
      <c r="DZ1090"/>
      <c r="EA1090"/>
      <c r="EB1090"/>
      <c r="EC1090"/>
      <c r="ED1090"/>
      <c r="EE1090"/>
      <c r="EF1090"/>
      <c r="EG1090"/>
      <c r="EH1090"/>
      <c r="EI1090"/>
      <c r="EJ1090"/>
      <c r="EK1090"/>
      <c r="EL1090"/>
      <c r="EM1090"/>
      <c r="EN1090"/>
      <c r="EO1090"/>
      <c r="EP1090"/>
      <c r="EQ1090"/>
      <c r="ER1090"/>
      <c r="ES1090"/>
    </row>
    <row r="1091" spans="1:149">
      <c r="A1091"/>
      <c r="B1091"/>
      <c r="C1091"/>
      <c r="D1091"/>
      <c r="E1091"/>
      <c r="F1091"/>
      <c r="G1091"/>
      <c r="H1091"/>
      <c r="I1091"/>
      <c r="J1091"/>
      <c r="K1091"/>
      <c r="L1091"/>
      <c r="M1091"/>
      <c r="N1091"/>
      <c r="O1091"/>
      <c r="P1091"/>
      <c r="Q1091"/>
      <c r="R1091"/>
      <c r="S1091"/>
      <c r="T1091"/>
      <c r="U1091"/>
      <c r="V1091"/>
      <c r="W1091"/>
      <c r="X1091"/>
      <c r="Y1091"/>
      <c r="Z1091"/>
      <c r="AA1091"/>
      <c r="AB1091"/>
      <c r="AC1091"/>
      <c r="AD1091"/>
      <c r="AE1091"/>
      <c r="AF1091"/>
      <c r="AG1091"/>
      <c r="AH1091"/>
      <c r="AI1091"/>
      <c r="AJ1091"/>
      <c r="AK1091"/>
      <c r="AL1091"/>
      <c r="AM1091"/>
      <c r="AN1091"/>
      <c r="AO1091"/>
      <c r="AP1091"/>
      <c r="AQ1091"/>
      <c r="AR1091"/>
      <c r="AS1091"/>
      <c r="AT1091"/>
      <c r="AU1091"/>
      <c r="AV1091"/>
      <c r="AW1091"/>
      <c r="AX1091"/>
      <c r="AY1091"/>
      <c r="AZ1091"/>
      <c r="BA1091"/>
      <c r="BB1091"/>
      <c r="BC1091"/>
      <c r="BD1091"/>
      <c r="BE1091"/>
      <c r="BF1091"/>
      <c r="BG1091"/>
      <c r="BH1091"/>
      <c r="BI1091"/>
      <c r="BJ1091"/>
      <c r="BK1091"/>
      <c r="BL1091"/>
      <c r="BM1091"/>
      <c r="BN1091"/>
      <c r="BO1091"/>
      <c r="BP1091"/>
      <c r="BQ1091"/>
      <c r="BR1091"/>
      <c r="BS1091"/>
      <c r="BT1091"/>
      <c r="BU1091"/>
      <c r="BV1091"/>
      <c r="BW1091"/>
      <c r="BX1091"/>
      <c r="BY1091"/>
      <c r="BZ1091"/>
      <c r="CA1091"/>
      <c r="CB1091"/>
      <c r="CC1091"/>
      <c r="CD1091"/>
      <c r="CE1091"/>
      <c r="CF1091"/>
      <c r="CG1091"/>
      <c r="CH1091"/>
      <c r="CI1091"/>
      <c r="CJ1091"/>
      <c r="CK1091"/>
      <c r="CL1091"/>
      <c r="CM1091"/>
      <c r="CN1091"/>
      <c r="CO1091"/>
      <c r="CP1091"/>
      <c r="CQ1091"/>
      <c r="CR1091"/>
      <c r="CS1091"/>
      <c r="CT1091"/>
      <c r="CU1091"/>
      <c r="CV1091"/>
      <c r="CW1091"/>
      <c r="CX1091"/>
      <c r="CY1091"/>
      <c r="CZ1091"/>
      <c r="DA1091"/>
      <c r="DB1091"/>
      <c r="DC1091"/>
      <c r="DD1091"/>
      <c r="DE1091"/>
      <c r="DF1091"/>
      <c r="DG1091"/>
      <c r="DH1091"/>
      <c r="DI1091"/>
      <c r="DJ1091"/>
      <c r="DK1091"/>
      <c r="DL1091"/>
      <c r="DM1091"/>
      <c r="DN1091"/>
      <c r="DO1091"/>
      <c r="DP1091"/>
      <c r="DQ1091"/>
      <c r="DR1091"/>
      <c r="DS1091"/>
      <c r="DT1091"/>
      <c r="DU1091"/>
      <c r="DV1091"/>
      <c r="DW1091"/>
      <c r="DX1091"/>
      <c r="DY1091"/>
      <c r="DZ1091"/>
      <c r="EA1091"/>
      <c r="EB1091"/>
      <c r="EC1091"/>
      <c r="ED1091"/>
      <c r="EE1091"/>
      <c r="EF1091"/>
      <c r="EG1091"/>
      <c r="EH1091"/>
      <c r="EI1091"/>
      <c r="EJ1091"/>
      <c r="EK1091"/>
      <c r="EL1091"/>
      <c r="EM1091"/>
      <c r="EN1091"/>
      <c r="EO1091"/>
      <c r="EP1091"/>
      <c r="EQ1091"/>
      <c r="ER1091"/>
      <c r="ES1091"/>
    </row>
    <row r="1092" spans="1:149">
      <c r="A1092"/>
      <c r="B1092"/>
      <c r="C1092"/>
      <c r="D1092"/>
      <c r="E1092"/>
      <c r="F1092"/>
      <c r="G1092"/>
      <c r="H1092"/>
      <c r="I1092"/>
      <c r="J1092"/>
      <c r="K1092"/>
      <c r="L1092"/>
      <c r="M1092"/>
      <c r="N1092"/>
      <c r="O1092"/>
      <c r="P1092"/>
      <c r="Q1092"/>
      <c r="R1092"/>
      <c r="S1092"/>
      <c r="T1092"/>
      <c r="U1092"/>
      <c r="V1092"/>
      <c r="W1092"/>
      <c r="X1092"/>
      <c r="Y1092"/>
      <c r="Z1092"/>
      <c r="AA1092"/>
      <c r="AB1092"/>
      <c r="AC1092"/>
      <c r="AD1092"/>
      <c r="AE1092"/>
      <c r="AF1092"/>
      <c r="AG1092"/>
      <c r="AH1092"/>
      <c r="AI1092"/>
      <c r="AJ1092"/>
      <c r="AK1092"/>
      <c r="AL1092"/>
      <c r="AM1092"/>
      <c r="AN1092"/>
      <c r="AO1092"/>
      <c r="AP1092"/>
      <c r="AQ1092"/>
      <c r="AR1092"/>
      <c r="AS1092"/>
      <c r="AT1092"/>
      <c r="AU1092"/>
      <c r="AV1092"/>
      <c r="AW1092"/>
      <c r="AX1092"/>
      <c r="AY1092"/>
      <c r="AZ1092"/>
      <c r="BA1092"/>
      <c r="BB1092"/>
      <c r="BC1092"/>
      <c r="BD1092"/>
      <c r="BE1092"/>
      <c r="BF1092"/>
      <c r="BG1092"/>
      <c r="BH1092"/>
      <c r="BI1092"/>
      <c r="BJ1092"/>
      <c r="BK1092"/>
      <c r="BL1092"/>
      <c r="BM1092"/>
      <c r="BN1092"/>
      <c r="BO1092"/>
      <c r="BP1092"/>
      <c r="BQ1092"/>
      <c r="BR1092"/>
      <c r="BS1092"/>
      <c r="BT1092"/>
      <c r="BU1092"/>
      <c r="BV1092"/>
      <c r="BW1092"/>
      <c r="BX1092"/>
      <c r="BY1092"/>
      <c r="BZ1092"/>
      <c r="CA1092"/>
      <c r="CB1092"/>
      <c r="CC1092"/>
      <c r="CD1092"/>
      <c r="CE1092"/>
      <c r="CF1092"/>
      <c r="CG1092"/>
      <c r="CH1092"/>
      <c r="CI1092"/>
      <c r="CJ1092"/>
      <c r="CK1092"/>
      <c r="CL1092"/>
      <c r="CM1092"/>
      <c r="CN1092"/>
      <c r="CO1092"/>
      <c r="CP1092"/>
      <c r="CQ1092"/>
      <c r="CR1092"/>
      <c r="CS1092"/>
      <c r="CT1092"/>
      <c r="CU1092"/>
      <c r="CV1092"/>
      <c r="CW1092"/>
      <c r="CX1092"/>
      <c r="CY1092"/>
      <c r="CZ1092"/>
      <c r="DA1092"/>
      <c r="DB1092"/>
      <c r="DC1092"/>
      <c r="DD1092"/>
      <c r="DE1092"/>
      <c r="DF1092"/>
      <c r="DG1092"/>
      <c r="DH1092"/>
      <c r="DI1092"/>
      <c r="DJ1092"/>
      <c r="DK1092"/>
      <c r="DL1092"/>
      <c r="DM1092"/>
      <c r="DN1092"/>
      <c r="DO1092"/>
      <c r="DP1092"/>
      <c r="DQ1092"/>
      <c r="DR1092"/>
      <c r="DS1092"/>
      <c r="DT1092"/>
      <c r="DU1092"/>
      <c r="DV1092"/>
      <c r="DW1092"/>
      <c r="DX1092"/>
      <c r="DY1092"/>
      <c r="DZ1092"/>
      <c r="EA1092"/>
      <c r="EB1092"/>
      <c r="EC1092"/>
      <c r="ED1092"/>
      <c r="EE1092"/>
      <c r="EF1092"/>
      <c r="EG1092"/>
      <c r="EH1092"/>
      <c r="EI1092"/>
      <c r="EJ1092"/>
      <c r="EK1092"/>
      <c r="EL1092"/>
      <c r="EM1092"/>
      <c r="EN1092"/>
      <c r="EO1092"/>
      <c r="EP1092"/>
      <c r="EQ1092"/>
      <c r="ER1092"/>
      <c r="ES1092"/>
    </row>
    <row r="1093" spans="1:149">
      <c r="A1093"/>
      <c r="B1093"/>
      <c r="C1093"/>
      <c r="D1093"/>
      <c r="E1093"/>
      <c r="F1093"/>
      <c r="G1093"/>
      <c r="H1093"/>
      <c r="I1093"/>
      <c r="J1093"/>
      <c r="K1093"/>
      <c r="L1093"/>
      <c r="M1093"/>
      <c r="N1093"/>
      <c r="O1093"/>
      <c r="P1093"/>
      <c r="Q1093"/>
      <c r="R1093"/>
      <c r="S1093"/>
      <c r="T1093"/>
      <c r="U1093"/>
      <c r="V1093"/>
      <c r="W1093"/>
      <c r="X1093"/>
      <c r="Y1093"/>
      <c r="Z1093"/>
      <c r="AA1093"/>
      <c r="AB1093"/>
      <c r="AC1093"/>
      <c r="AD1093"/>
      <c r="AE1093"/>
      <c r="AF1093"/>
      <c r="AG1093"/>
      <c r="AH1093"/>
      <c r="AI1093"/>
      <c r="AJ1093"/>
      <c r="AK1093"/>
      <c r="AL1093"/>
      <c r="AM1093"/>
      <c r="AN1093"/>
      <c r="AO1093"/>
      <c r="AP1093"/>
      <c r="AQ1093"/>
      <c r="AR1093"/>
      <c r="AS1093"/>
      <c r="AT1093"/>
      <c r="AU1093"/>
      <c r="AV1093"/>
      <c r="AW1093"/>
      <c r="AX1093"/>
      <c r="AY1093"/>
      <c r="AZ1093"/>
      <c r="BA1093"/>
      <c r="BB1093"/>
      <c r="BC1093"/>
      <c r="BD1093"/>
      <c r="BE1093"/>
      <c r="BF1093"/>
      <c r="BG1093"/>
      <c r="BH1093"/>
      <c r="BI1093"/>
      <c r="BJ1093"/>
      <c r="BK1093"/>
      <c r="BL1093"/>
      <c r="BM1093"/>
      <c r="BN1093"/>
      <c r="BO1093"/>
      <c r="BP1093"/>
      <c r="BQ1093"/>
      <c r="BR1093"/>
      <c r="BS1093"/>
      <c r="BT1093"/>
      <c r="BU1093"/>
      <c r="BV1093"/>
      <c r="BW1093"/>
      <c r="BX1093"/>
      <c r="BY1093"/>
      <c r="BZ1093"/>
      <c r="CA1093"/>
      <c r="CB1093"/>
      <c r="CC1093"/>
      <c r="CD1093"/>
      <c r="CE1093"/>
      <c r="CF1093"/>
      <c r="CG1093"/>
      <c r="CH1093"/>
      <c r="CI1093"/>
      <c r="CJ1093"/>
      <c r="CK1093"/>
      <c r="CL1093"/>
      <c r="CM1093"/>
      <c r="CN1093"/>
      <c r="CO1093"/>
      <c r="CP1093"/>
      <c r="CQ1093"/>
      <c r="CR1093"/>
      <c r="CS1093"/>
      <c r="CT1093"/>
      <c r="CU1093"/>
      <c r="CV1093"/>
      <c r="CW1093"/>
      <c r="CX1093"/>
      <c r="CY1093"/>
      <c r="CZ1093"/>
      <c r="DA1093"/>
      <c r="DB1093"/>
      <c r="DC1093"/>
      <c r="DD1093"/>
      <c r="DE1093"/>
      <c r="DF1093"/>
      <c r="DG1093"/>
      <c r="DH1093"/>
      <c r="DI1093"/>
      <c r="DJ1093"/>
      <c r="DK1093"/>
      <c r="DL1093"/>
      <c r="DM1093"/>
      <c r="DN1093"/>
      <c r="DO1093"/>
      <c r="DP1093"/>
      <c r="DQ1093"/>
      <c r="DR1093"/>
      <c r="DS1093"/>
      <c r="DT1093"/>
      <c r="DU1093"/>
      <c r="DV1093"/>
      <c r="DW1093"/>
      <c r="DX1093"/>
      <c r="DY1093"/>
      <c r="DZ1093"/>
      <c r="EA1093"/>
      <c r="EB1093"/>
      <c r="EC1093"/>
      <c r="ED1093"/>
      <c r="EE1093"/>
      <c r="EF1093"/>
      <c r="EG1093"/>
      <c r="EH1093"/>
      <c r="EI1093"/>
      <c r="EJ1093"/>
      <c r="EK1093"/>
      <c r="EL1093"/>
      <c r="EM1093"/>
      <c r="EN1093"/>
      <c r="EO1093"/>
      <c r="EP1093"/>
      <c r="EQ1093"/>
      <c r="ER1093"/>
      <c r="ES1093"/>
    </row>
    <row r="1094" spans="1:149">
      <c r="A1094"/>
      <c r="B1094"/>
      <c r="C1094"/>
      <c r="D1094"/>
      <c r="E1094"/>
      <c r="F1094"/>
      <c r="G1094"/>
      <c r="H1094"/>
      <c r="I1094"/>
      <c r="J1094"/>
      <c r="K1094"/>
      <c r="L1094"/>
      <c r="M1094"/>
      <c r="N1094"/>
      <c r="O1094"/>
      <c r="P1094"/>
      <c r="Q1094"/>
      <c r="R1094"/>
      <c r="S1094"/>
      <c r="T1094"/>
      <c r="U1094"/>
      <c r="V1094"/>
      <c r="W1094"/>
      <c r="X1094"/>
      <c r="Y1094"/>
      <c r="Z1094"/>
      <c r="AA1094"/>
      <c r="AB1094"/>
      <c r="AC1094"/>
      <c r="AD1094"/>
      <c r="AE1094"/>
      <c r="AF1094"/>
      <c r="AG1094"/>
      <c r="AH1094"/>
      <c r="AI1094"/>
      <c r="AJ1094"/>
      <c r="AK1094"/>
      <c r="AL1094"/>
      <c r="AM1094"/>
      <c r="AN1094"/>
      <c r="AO1094"/>
      <c r="AP1094"/>
      <c r="AQ1094"/>
      <c r="AR1094"/>
      <c r="AS1094"/>
      <c r="AT1094"/>
      <c r="AU1094"/>
      <c r="AV1094"/>
      <c r="AW1094"/>
      <c r="AX1094"/>
      <c r="AY1094"/>
      <c r="AZ1094"/>
      <c r="BA1094"/>
      <c r="BB1094"/>
      <c r="BC1094"/>
      <c r="BD1094"/>
      <c r="BE1094"/>
      <c r="BF1094"/>
      <c r="BG1094"/>
      <c r="BH1094"/>
      <c r="BI1094"/>
      <c r="BJ1094"/>
      <c r="BK1094"/>
      <c r="BL1094"/>
      <c r="BM1094"/>
      <c r="BN1094"/>
      <c r="BO1094"/>
      <c r="BP1094"/>
      <c r="BQ1094"/>
      <c r="BR1094"/>
      <c r="BS1094"/>
      <c r="BT1094"/>
      <c r="BU1094"/>
      <c r="BV1094"/>
      <c r="BW1094"/>
      <c r="BX1094"/>
      <c r="BY1094"/>
      <c r="BZ1094"/>
      <c r="CA1094"/>
      <c r="CB1094"/>
      <c r="CC1094"/>
      <c r="CD1094"/>
      <c r="CE1094"/>
      <c r="CF1094"/>
      <c r="CG1094"/>
      <c r="CH1094"/>
      <c r="CI1094"/>
      <c r="CJ1094"/>
      <c r="CK1094"/>
      <c r="CL1094"/>
      <c r="CM1094"/>
      <c r="CN1094"/>
      <c r="CO1094"/>
      <c r="CP1094"/>
      <c r="CQ1094"/>
      <c r="CR1094"/>
      <c r="CS1094"/>
      <c r="CT1094"/>
      <c r="CU1094"/>
      <c r="CV1094"/>
      <c r="CW1094"/>
      <c r="CX1094"/>
      <c r="CY1094"/>
      <c r="CZ1094"/>
      <c r="DA1094"/>
      <c r="DB1094"/>
      <c r="DC1094"/>
      <c r="DD1094"/>
      <c r="DE1094"/>
      <c r="DF1094"/>
      <c r="DG1094"/>
      <c r="DH1094"/>
      <c r="DI1094"/>
      <c r="DJ1094"/>
      <c r="DK1094"/>
      <c r="DL1094"/>
      <c r="DM1094"/>
      <c r="DN1094"/>
      <c r="DO1094"/>
      <c r="DP1094"/>
      <c r="DQ1094"/>
      <c r="DR1094"/>
      <c r="DS1094"/>
      <c r="DT1094"/>
      <c r="DU1094"/>
      <c r="DV1094"/>
      <c r="DW1094"/>
      <c r="DX1094"/>
      <c r="DY1094"/>
      <c r="DZ1094"/>
      <c r="EA1094"/>
      <c r="EB1094"/>
      <c r="EC1094"/>
      <c r="ED1094"/>
      <c r="EE1094"/>
      <c r="EF1094"/>
      <c r="EG1094"/>
      <c r="EH1094"/>
      <c r="EI1094"/>
      <c r="EJ1094"/>
      <c r="EK1094"/>
      <c r="EL1094"/>
      <c r="EM1094"/>
      <c r="EN1094"/>
      <c r="EO1094"/>
      <c r="EP1094"/>
      <c r="EQ1094"/>
      <c r="ER1094"/>
      <c r="ES1094"/>
    </row>
    <row r="1095" spans="1:149">
      <c r="A1095"/>
      <c r="B1095"/>
      <c r="C1095"/>
      <c r="D1095"/>
      <c r="E1095"/>
      <c r="F1095"/>
      <c r="G1095"/>
      <c r="H1095"/>
      <c r="I1095"/>
      <c r="J1095"/>
      <c r="K1095"/>
      <c r="L1095"/>
      <c r="M1095"/>
      <c r="N1095"/>
      <c r="O1095"/>
      <c r="P1095"/>
      <c r="Q1095"/>
      <c r="R1095"/>
      <c r="S1095"/>
      <c r="T1095"/>
      <c r="U1095"/>
      <c r="V1095"/>
      <c r="W1095"/>
      <c r="X1095"/>
      <c r="Y1095"/>
      <c r="Z1095"/>
      <c r="AA1095"/>
      <c r="AB1095"/>
      <c r="AC1095"/>
      <c r="AD1095"/>
      <c r="AE1095"/>
      <c r="AF1095"/>
      <c r="AG1095"/>
      <c r="AH1095"/>
      <c r="AI1095"/>
      <c r="AJ1095"/>
      <c r="AK1095"/>
      <c r="AL1095"/>
      <c r="AM1095"/>
      <c r="AN1095"/>
      <c r="AO1095"/>
      <c r="AP1095"/>
      <c r="AQ1095"/>
      <c r="AR1095"/>
      <c r="AS1095"/>
      <c r="AT1095"/>
      <c r="AU1095"/>
      <c r="AV1095"/>
      <c r="AW1095"/>
      <c r="AX1095"/>
      <c r="AY1095"/>
      <c r="AZ1095"/>
      <c r="BA1095"/>
      <c r="BB1095"/>
      <c r="BC1095"/>
      <c r="BD1095"/>
      <c r="BE1095"/>
      <c r="BF1095"/>
      <c r="BG1095"/>
      <c r="BH1095"/>
      <c r="BI1095"/>
      <c r="BJ1095"/>
      <c r="BK1095"/>
      <c r="BL1095"/>
      <c r="BM1095"/>
      <c r="BN1095"/>
      <c r="BO1095"/>
      <c r="BP1095"/>
      <c r="BQ1095"/>
      <c r="BR1095"/>
      <c r="BS1095"/>
      <c r="BT1095"/>
      <c r="BU1095"/>
      <c r="BV1095"/>
      <c r="BW1095"/>
      <c r="BX1095"/>
      <c r="BY1095"/>
      <c r="BZ1095"/>
      <c r="CA1095"/>
      <c r="CB1095"/>
      <c r="CC1095"/>
      <c r="CD1095"/>
      <c r="CE1095"/>
      <c r="CF1095"/>
      <c r="CG1095"/>
      <c r="CH1095"/>
      <c r="CI1095"/>
      <c r="CJ1095"/>
      <c r="CK1095"/>
      <c r="CL1095"/>
      <c r="CM1095"/>
      <c r="CN1095"/>
      <c r="CO1095"/>
      <c r="CP1095"/>
      <c r="CQ1095"/>
      <c r="CR1095"/>
      <c r="CS1095"/>
      <c r="CT1095"/>
      <c r="CU1095"/>
      <c r="CV1095"/>
      <c r="CW1095"/>
      <c r="CX1095"/>
      <c r="CY1095"/>
      <c r="CZ1095"/>
      <c r="DA1095"/>
      <c r="DB1095"/>
      <c r="DC1095"/>
      <c r="DD1095"/>
      <c r="DE1095"/>
      <c r="DF1095"/>
      <c r="DG1095"/>
      <c r="DH1095"/>
      <c r="DI1095"/>
      <c r="DJ1095"/>
      <c r="DK1095"/>
      <c r="DL1095"/>
      <c r="DM1095"/>
      <c r="DN1095"/>
      <c r="DO1095"/>
      <c r="DP1095"/>
      <c r="DQ1095"/>
      <c r="DR1095"/>
      <c r="DS1095"/>
      <c r="DT1095"/>
      <c r="DU1095"/>
      <c r="DV1095"/>
      <c r="DW1095"/>
      <c r="DX1095"/>
      <c r="DY1095"/>
      <c r="DZ1095"/>
      <c r="EA1095"/>
      <c r="EB1095"/>
      <c r="EC1095"/>
      <c r="ED1095"/>
      <c r="EE1095"/>
      <c r="EF1095"/>
      <c r="EG1095"/>
      <c r="EH1095"/>
      <c r="EI1095"/>
      <c r="EJ1095"/>
      <c r="EK1095"/>
      <c r="EL1095"/>
      <c r="EM1095"/>
      <c r="EN1095"/>
      <c r="EO1095"/>
      <c r="EP1095"/>
      <c r="EQ1095"/>
      <c r="ER1095"/>
      <c r="ES1095"/>
    </row>
    <row r="1096" spans="1:149">
      <c r="A1096"/>
      <c r="B1096"/>
      <c r="C1096"/>
      <c r="D1096"/>
      <c r="E1096"/>
      <c r="F1096"/>
      <c r="G1096"/>
      <c r="H1096"/>
      <c r="I1096"/>
      <c r="J1096"/>
      <c r="K1096"/>
      <c r="L1096"/>
      <c r="M1096"/>
      <c r="N1096"/>
      <c r="O1096"/>
      <c r="P1096"/>
      <c r="Q1096"/>
      <c r="R1096"/>
      <c r="S1096"/>
      <c r="T1096"/>
      <c r="U1096"/>
      <c r="V1096"/>
      <c r="W1096"/>
      <c r="X1096"/>
      <c r="Y1096"/>
      <c r="Z1096"/>
      <c r="AA1096"/>
      <c r="AB1096"/>
      <c r="AC1096"/>
      <c r="AD1096"/>
      <c r="AE1096"/>
      <c r="AF1096"/>
      <c r="AG1096"/>
      <c r="AH1096"/>
      <c r="AI1096"/>
      <c r="AJ1096"/>
      <c r="AK1096"/>
      <c r="AL1096"/>
      <c r="AM1096"/>
      <c r="AN1096"/>
      <c r="AO1096"/>
      <c r="AP1096"/>
      <c r="AQ1096"/>
      <c r="AR1096"/>
      <c r="AS1096"/>
      <c r="AT1096"/>
      <c r="AU1096"/>
      <c r="AV1096"/>
      <c r="AW1096"/>
      <c r="AX1096"/>
      <c r="AY1096"/>
      <c r="AZ1096"/>
      <c r="BA1096"/>
      <c r="BB1096"/>
      <c r="BC1096"/>
      <c r="BD1096"/>
      <c r="BE1096"/>
      <c r="BF1096"/>
      <c r="BG1096"/>
      <c r="BH1096"/>
      <c r="BI1096"/>
      <c r="BJ1096"/>
      <c r="BK1096"/>
      <c r="BL1096"/>
      <c r="BM1096"/>
      <c r="BN1096"/>
      <c r="BO1096"/>
      <c r="BP1096"/>
      <c r="BQ1096"/>
      <c r="BR1096"/>
      <c r="BS1096"/>
      <c r="BT1096"/>
      <c r="BU1096"/>
      <c r="BV1096"/>
      <c r="BW1096"/>
      <c r="BX1096"/>
      <c r="BY1096"/>
      <c r="BZ1096"/>
      <c r="CA1096"/>
      <c r="CB1096"/>
      <c r="CC1096"/>
      <c r="CD1096"/>
      <c r="CE1096"/>
      <c r="CF1096"/>
      <c r="CG1096"/>
      <c r="CH1096"/>
      <c r="CI1096"/>
      <c r="CJ1096"/>
      <c r="CK1096"/>
      <c r="CL1096"/>
      <c r="CM1096"/>
      <c r="CN1096"/>
      <c r="CO1096"/>
      <c r="CP1096"/>
      <c r="CQ1096"/>
      <c r="CR1096"/>
      <c r="CS1096"/>
      <c r="CT1096"/>
      <c r="CU1096"/>
      <c r="CV1096"/>
      <c r="CW1096"/>
      <c r="CX1096"/>
      <c r="CY1096"/>
      <c r="CZ1096"/>
      <c r="DA1096"/>
      <c r="DB1096"/>
      <c r="DC1096"/>
      <c r="DD1096"/>
      <c r="DE1096"/>
      <c r="DF1096"/>
      <c r="DG1096"/>
      <c r="DH1096"/>
      <c r="DI1096"/>
      <c r="DJ1096"/>
      <c r="DK1096"/>
      <c r="DL1096"/>
      <c r="DM1096"/>
      <c r="DN1096"/>
      <c r="DO1096"/>
      <c r="DP1096"/>
      <c r="DQ1096"/>
      <c r="DR1096"/>
      <c r="DS1096"/>
      <c r="DT1096"/>
      <c r="DU1096"/>
      <c r="DV1096"/>
      <c r="DW1096"/>
      <c r="DX1096"/>
      <c r="DY1096"/>
      <c r="DZ1096"/>
      <c r="EA1096"/>
      <c r="EB1096"/>
      <c r="EC1096"/>
      <c r="ED1096"/>
      <c r="EE1096"/>
      <c r="EF1096"/>
      <c r="EG1096"/>
      <c r="EH1096"/>
      <c r="EI1096"/>
      <c r="EJ1096"/>
      <c r="EK1096"/>
      <c r="EL1096"/>
      <c r="EM1096"/>
      <c r="EN1096"/>
      <c r="EO1096"/>
      <c r="EP1096"/>
      <c r="EQ1096"/>
      <c r="ER1096"/>
      <c r="ES1096"/>
    </row>
    <row r="1097" spans="1:149">
      <c r="A1097"/>
      <c r="B1097"/>
      <c r="C1097"/>
      <c r="D1097"/>
      <c r="E1097"/>
      <c r="F1097"/>
      <c r="G1097"/>
      <c r="H1097"/>
      <c r="I1097"/>
      <c r="J1097"/>
      <c r="K1097"/>
      <c r="L1097"/>
      <c r="M1097"/>
      <c r="N1097"/>
      <c r="O1097"/>
      <c r="P1097"/>
      <c r="Q1097"/>
      <c r="R1097"/>
      <c r="S1097"/>
      <c r="T1097"/>
      <c r="U1097"/>
      <c r="V1097"/>
      <c r="W1097"/>
      <c r="X1097"/>
      <c r="Y1097"/>
      <c r="Z1097"/>
      <c r="AA1097"/>
      <c r="AB1097"/>
      <c r="AC1097"/>
      <c r="AD1097"/>
      <c r="AE1097"/>
      <c r="AF1097"/>
      <c r="AG1097"/>
      <c r="AH1097"/>
      <c r="AI1097"/>
      <c r="AJ1097"/>
      <c r="AK1097"/>
      <c r="AL1097"/>
      <c r="AM1097"/>
      <c r="AN1097"/>
      <c r="AO1097"/>
      <c r="AP1097"/>
      <c r="AQ1097"/>
      <c r="AR1097"/>
      <c r="AS1097"/>
      <c r="AT1097"/>
      <c r="AU1097"/>
      <c r="AV1097"/>
      <c r="AW1097"/>
      <c r="AX1097"/>
      <c r="AY1097"/>
      <c r="AZ1097"/>
      <c r="BA1097"/>
      <c r="BB1097"/>
      <c r="BC1097"/>
      <c r="BD1097"/>
      <c r="BE1097"/>
      <c r="BF1097"/>
      <c r="BG1097"/>
      <c r="BH1097"/>
      <c r="BI1097"/>
      <c r="BJ1097"/>
      <c r="BK1097"/>
      <c r="BL1097"/>
      <c r="BM1097"/>
      <c r="BN1097"/>
      <c r="BO1097"/>
      <c r="BP1097"/>
      <c r="BQ1097"/>
      <c r="BR1097"/>
      <c r="BS1097"/>
      <c r="BT1097"/>
      <c r="BU1097"/>
      <c r="BV1097"/>
      <c r="BW1097"/>
      <c r="BX1097"/>
      <c r="BY1097"/>
      <c r="BZ1097"/>
      <c r="CA1097"/>
      <c r="CB1097"/>
      <c r="CC1097"/>
      <c r="CD1097"/>
      <c r="CE1097"/>
      <c r="CF1097"/>
      <c r="CG1097"/>
      <c r="CH1097"/>
      <c r="CI1097"/>
      <c r="CJ1097"/>
      <c r="CK1097"/>
      <c r="CL1097"/>
      <c r="CM1097"/>
      <c r="CN1097"/>
      <c r="CO1097"/>
      <c r="CP1097"/>
      <c r="CQ1097"/>
      <c r="CR1097"/>
      <c r="CS1097"/>
      <c r="CT1097"/>
      <c r="CU1097"/>
      <c r="CV1097"/>
      <c r="CW1097"/>
      <c r="CX1097"/>
      <c r="CY1097"/>
      <c r="CZ1097"/>
      <c r="DA1097"/>
      <c r="DB1097"/>
      <c r="DC1097"/>
      <c r="DD1097"/>
      <c r="DE1097"/>
      <c r="DF1097"/>
      <c r="DG1097"/>
      <c r="DH1097"/>
      <c r="DI1097"/>
      <c r="DJ1097"/>
      <c r="DK1097"/>
      <c r="DL1097"/>
      <c r="DM1097"/>
      <c r="DN1097"/>
      <c r="DO1097"/>
      <c r="DP1097"/>
      <c r="DQ1097"/>
      <c r="DR1097"/>
      <c r="DS1097"/>
      <c r="DT1097"/>
      <c r="DU1097"/>
      <c r="DV1097"/>
      <c r="DW1097"/>
      <c r="DX1097"/>
      <c r="DY1097"/>
      <c r="DZ1097"/>
      <c r="EA1097"/>
      <c r="EB1097"/>
      <c r="EC1097"/>
      <c r="ED1097"/>
      <c r="EE1097"/>
      <c r="EF1097"/>
      <c r="EG1097"/>
      <c r="EH1097"/>
      <c r="EI1097"/>
      <c r="EJ1097"/>
      <c r="EK1097"/>
      <c r="EL1097"/>
      <c r="EM1097"/>
      <c r="EN1097"/>
      <c r="EO1097"/>
      <c r="EP1097"/>
      <c r="EQ1097"/>
      <c r="ER1097"/>
      <c r="ES1097"/>
    </row>
    <row r="1098" spans="1:149">
      <c r="A1098"/>
      <c r="B1098"/>
      <c r="C1098"/>
      <c r="D1098"/>
      <c r="E1098"/>
      <c r="F1098"/>
      <c r="G1098"/>
      <c r="H1098"/>
      <c r="I1098"/>
      <c r="J1098"/>
      <c r="K1098"/>
      <c r="L1098"/>
      <c r="M1098"/>
      <c r="N1098"/>
      <c r="O1098"/>
      <c r="P1098"/>
      <c r="Q1098"/>
      <c r="R1098"/>
      <c r="S1098"/>
      <c r="T1098"/>
      <c r="U1098"/>
      <c r="V1098"/>
      <c r="W1098"/>
      <c r="X1098"/>
      <c r="Y1098"/>
      <c r="Z1098"/>
      <c r="AA1098"/>
      <c r="AB1098"/>
      <c r="AC1098"/>
      <c r="AD1098"/>
      <c r="AE1098"/>
      <c r="AF1098"/>
      <c r="AG1098"/>
      <c r="AH1098"/>
      <c r="AI1098"/>
      <c r="AJ1098"/>
      <c r="AK1098"/>
      <c r="AL1098"/>
      <c r="AM1098"/>
      <c r="AN1098"/>
      <c r="AO1098"/>
      <c r="AP1098"/>
      <c r="AQ1098"/>
      <c r="AR1098"/>
      <c r="AS1098"/>
      <c r="AT1098"/>
      <c r="AU1098"/>
      <c r="AV1098"/>
      <c r="AW1098"/>
      <c r="AX1098"/>
      <c r="AY1098"/>
      <c r="AZ1098"/>
      <c r="BA1098"/>
      <c r="BB1098"/>
      <c r="BC1098"/>
      <c r="BD1098"/>
      <c r="BE1098"/>
      <c r="BF1098"/>
      <c r="BG1098"/>
      <c r="BH1098"/>
      <c r="BI1098"/>
      <c r="BJ1098"/>
      <c r="BK1098"/>
      <c r="BL1098"/>
      <c r="BM1098"/>
      <c r="BN1098"/>
      <c r="BO1098"/>
      <c r="BP1098"/>
      <c r="BQ1098"/>
      <c r="BR1098"/>
      <c r="BS1098"/>
      <c r="BT1098"/>
      <c r="BU1098"/>
      <c r="BV1098"/>
      <c r="BW1098"/>
      <c r="BX1098"/>
      <c r="BY1098"/>
      <c r="BZ1098"/>
      <c r="CA1098"/>
      <c r="CB1098"/>
      <c r="CC1098"/>
      <c r="CD1098"/>
      <c r="CE1098"/>
      <c r="CF1098"/>
      <c r="CG1098"/>
      <c r="CH1098"/>
      <c r="CI1098"/>
      <c r="CJ1098"/>
      <c r="CK1098"/>
      <c r="CL1098"/>
      <c r="CM1098"/>
      <c r="CN1098"/>
      <c r="CO1098"/>
      <c r="CP1098"/>
      <c r="CQ1098"/>
      <c r="CR1098"/>
      <c r="CS1098"/>
      <c r="CT1098"/>
      <c r="CU1098"/>
      <c r="CV1098"/>
      <c r="CW1098"/>
      <c r="CX1098"/>
      <c r="CY1098"/>
      <c r="CZ1098"/>
      <c r="DA1098"/>
      <c r="DB1098"/>
      <c r="DC1098"/>
      <c r="DD1098"/>
      <c r="DE1098"/>
      <c r="DF1098"/>
      <c r="DG1098"/>
      <c r="DH1098"/>
      <c r="DI1098"/>
      <c r="DJ1098"/>
      <c r="DK1098"/>
      <c r="DL1098"/>
      <c r="DM1098"/>
      <c r="DN1098"/>
      <c r="DO1098"/>
      <c r="DP1098"/>
      <c r="DQ1098"/>
      <c r="DR1098"/>
      <c r="DS1098"/>
      <c r="DT1098"/>
      <c r="DU1098"/>
      <c r="DV1098"/>
      <c r="DW1098"/>
      <c r="DX1098"/>
      <c r="DY1098"/>
      <c r="DZ1098"/>
      <c r="EA1098"/>
      <c r="EB1098"/>
      <c r="EC1098"/>
      <c r="ED1098"/>
      <c r="EE1098"/>
      <c r="EF1098"/>
      <c r="EG1098"/>
      <c r="EH1098"/>
      <c r="EI1098"/>
      <c r="EJ1098"/>
      <c r="EK1098"/>
      <c r="EL1098"/>
      <c r="EM1098"/>
      <c r="EN1098"/>
      <c r="EO1098"/>
      <c r="EP1098"/>
      <c r="EQ1098"/>
      <c r="ER1098"/>
      <c r="ES1098"/>
    </row>
    <row r="1099" spans="1:149">
      <c r="A1099"/>
      <c r="B1099"/>
      <c r="C1099"/>
      <c r="D1099"/>
      <c r="E1099"/>
      <c r="F1099"/>
      <c r="G1099"/>
      <c r="H1099"/>
      <c r="I1099"/>
      <c r="J1099"/>
      <c r="K1099"/>
      <c r="L1099"/>
      <c r="M1099"/>
      <c r="N1099"/>
      <c r="O1099"/>
      <c r="P1099"/>
      <c r="Q1099"/>
      <c r="R1099"/>
      <c r="S1099"/>
      <c r="T1099"/>
      <c r="U1099"/>
      <c r="V1099"/>
      <c r="W1099"/>
      <c r="X1099"/>
      <c r="Y1099"/>
      <c r="Z1099"/>
      <c r="AA1099"/>
      <c r="AB1099"/>
      <c r="AC1099"/>
      <c r="AD1099"/>
      <c r="AE1099"/>
      <c r="AF1099"/>
      <c r="AG1099"/>
      <c r="AH1099"/>
      <c r="AI1099"/>
      <c r="AJ1099"/>
      <c r="AK1099"/>
      <c r="AL1099"/>
      <c r="AM1099"/>
      <c r="AN1099"/>
      <c r="AO1099"/>
      <c r="AP1099"/>
      <c r="AQ1099"/>
      <c r="AR1099"/>
      <c r="AS1099"/>
      <c r="AT1099"/>
      <c r="AU1099"/>
      <c r="AV1099"/>
      <c r="AW1099"/>
      <c r="AX1099"/>
      <c r="AY1099"/>
      <c r="AZ1099"/>
      <c r="BA1099"/>
      <c r="BB1099"/>
      <c r="BC1099"/>
      <c r="BD1099"/>
      <c r="BE1099"/>
      <c r="BF1099"/>
      <c r="BG1099"/>
      <c r="BH1099"/>
      <c r="BI1099"/>
      <c r="BJ1099"/>
      <c r="BK1099"/>
      <c r="BL1099"/>
      <c r="BM1099"/>
      <c r="BN1099"/>
      <c r="BO1099"/>
      <c r="BP1099"/>
      <c r="BQ1099"/>
      <c r="BR1099"/>
      <c r="BS1099"/>
      <c r="BT1099"/>
      <c r="BU1099"/>
      <c r="BV1099"/>
      <c r="BW1099"/>
      <c r="BX1099"/>
      <c r="BY1099"/>
      <c r="BZ1099"/>
      <c r="CA1099"/>
      <c r="CB1099"/>
      <c r="CC1099"/>
      <c r="CD1099"/>
      <c r="CE1099"/>
      <c r="CF1099"/>
      <c r="CG1099"/>
      <c r="CH1099"/>
      <c r="CI1099"/>
      <c r="CJ1099"/>
      <c r="CK1099"/>
      <c r="CL1099"/>
      <c r="CM1099"/>
      <c r="CN1099"/>
      <c r="CO1099"/>
      <c r="CP1099"/>
      <c r="CQ1099"/>
      <c r="CR1099"/>
      <c r="CS1099"/>
      <c r="CT1099"/>
      <c r="CU1099"/>
      <c r="CV1099"/>
      <c r="CW1099"/>
      <c r="CX1099"/>
      <c r="CY1099"/>
      <c r="CZ1099"/>
      <c r="DA1099"/>
      <c r="DB1099"/>
      <c r="DC1099"/>
      <c r="DD1099"/>
      <c r="DE1099"/>
      <c r="DF1099"/>
      <c r="DG1099"/>
      <c r="DH1099"/>
      <c r="DI1099"/>
      <c r="DJ1099"/>
      <c r="DK1099"/>
      <c r="DL1099"/>
      <c r="DM1099"/>
      <c r="DN1099"/>
      <c r="DO1099"/>
      <c r="DP1099"/>
      <c r="DQ1099"/>
      <c r="DR1099"/>
      <c r="DS1099"/>
      <c r="DT1099"/>
      <c r="DU1099"/>
      <c r="DV1099"/>
      <c r="DW1099"/>
      <c r="DX1099"/>
      <c r="DY1099"/>
      <c r="DZ1099"/>
      <c r="EA1099"/>
      <c r="EB1099"/>
      <c r="EC1099"/>
      <c r="ED1099"/>
      <c r="EE1099"/>
      <c r="EF1099"/>
      <c r="EG1099"/>
      <c r="EH1099"/>
      <c r="EI1099"/>
      <c r="EJ1099"/>
      <c r="EK1099"/>
      <c r="EL1099"/>
      <c r="EM1099"/>
      <c r="EN1099"/>
      <c r="EO1099"/>
      <c r="EP1099"/>
      <c r="EQ1099"/>
      <c r="ER1099"/>
      <c r="ES1099"/>
    </row>
    <row r="1100" spans="1:149">
      <c r="A1100"/>
      <c r="B1100"/>
      <c r="C1100"/>
      <c r="D1100"/>
      <c r="E1100"/>
      <c r="F1100"/>
      <c r="G1100"/>
      <c r="H1100"/>
      <c r="I1100"/>
      <c r="J1100"/>
      <c r="K1100"/>
      <c r="L1100"/>
      <c r="M1100"/>
      <c r="N1100"/>
      <c r="O1100"/>
      <c r="P1100"/>
      <c r="Q1100"/>
      <c r="R1100"/>
      <c r="S1100"/>
      <c r="T1100"/>
      <c r="U1100"/>
      <c r="V1100"/>
      <c r="W1100"/>
      <c r="X1100"/>
      <c r="Y1100"/>
      <c r="Z1100"/>
      <c r="AA1100"/>
      <c r="AB1100"/>
      <c r="AC1100"/>
      <c r="AD1100"/>
      <c r="AE1100"/>
      <c r="AF1100"/>
      <c r="AG1100"/>
      <c r="AH1100"/>
      <c r="AI1100"/>
      <c r="AJ1100"/>
      <c r="AK1100"/>
      <c r="AL1100"/>
      <c r="AM1100"/>
      <c r="AN1100"/>
      <c r="AO1100"/>
      <c r="AP1100"/>
      <c r="AQ1100"/>
      <c r="AR1100"/>
      <c r="AS1100"/>
      <c r="AT1100"/>
      <c r="AU1100"/>
      <c r="AV1100"/>
      <c r="AW1100"/>
      <c r="AX1100"/>
      <c r="AY1100"/>
      <c r="AZ1100"/>
      <c r="BA1100"/>
      <c r="BB1100"/>
      <c r="BC1100"/>
      <c r="BD1100"/>
      <c r="BE1100"/>
      <c r="BF1100"/>
      <c r="BG1100"/>
      <c r="BH1100"/>
      <c r="BI1100"/>
      <c r="BJ1100"/>
      <c r="BK1100"/>
      <c r="BL1100"/>
      <c r="BM1100"/>
      <c r="BN1100"/>
      <c r="BO1100"/>
      <c r="BP1100"/>
      <c r="BQ1100"/>
      <c r="BR1100"/>
      <c r="BS1100"/>
      <c r="BT1100"/>
      <c r="BU1100"/>
      <c r="BV1100"/>
      <c r="BW1100"/>
      <c r="BX1100"/>
      <c r="BY1100"/>
      <c r="BZ1100"/>
      <c r="CA1100"/>
      <c r="CB1100"/>
      <c r="CC1100"/>
      <c r="CD1100"/>
      <c r="CE1100"/>
      <c r="CF1100"/>
      <c r="CG1100"/>
      <c r="CH1100"/>
      <c r="CI1100"/>
      <c r="CJ1100"/>
      <c r="CK1100"/>
      <c r="CL1100"/>
      <c r="CM1100"/>
      <c r="CN1100"/>
      <c r="CO1100"/>
      <c r="CP1100"/>
      <c r="CQ1100"/>
      <c r="CR1100"/>
      <c r="CS1100"/>
      <c r="CT1100"/>
      <c r="CU1100"/>
      <c r="CV1100"/>
      <c r="CW1100"/>
      <c r="CX1100"/>
      <c r="CY1100"/>
      <c r="CZ1100"/>
      <c r="DA1100"/>
      <c r="DB1100"/>
      <c r="DC1100"/>
      <c r="DD1100"/>
      <c r="DE1100"/>
      <c r="DF1100"/>
      <c r="DG1100"/>
      <c r="DH1100"/>
      <c r="DI1100"/>
      <c r="DJ1100"/>
      <c r="DK1100"/>
      <c r="DL1100"/>
      <c r="DM1100"/>
      <c r="DN1100"/>
      <c r="DO1100"/>
      <c r="DP1100"/>
      <c r="DQ1100"/>
      <c r="DR1100"/>
      <c r="DS1100"/>
      <c r="DT1100"/>
      <c r="DU1100"/>
      <c r="DV1100"/>
      <c r="DW1100"/>
      <c r="DX1100"/>
      <c r="DY1100"/>
      <c r="DZ1100"/>
      <c r="EA1100"/>
      <c r="EB1100"/>
      <c r="EC1100"/>
      <c r="ED1100"/>
      <c r="EE1100"/>
      <c r="EF1100"/>
      <c r="EG1100"/>
      <c r="EH1100"/>
      <c r="EI1100"/>
      <c r="EJ1100"/>
      <c r="EK1100"/>
      <c r="EL1100"/>
      <c r="EM1100"/>
      <c r="EN1100"/>
      <c r="EO1100"/>
      <c r="EP1100"/>
      <c r="EQ1100"/>
      <c r="ER1100"/>
      <c r="ES1100"/>
    </row>
    <row r="1101" spans="1:149">
      <c r="A1101"/>
      <c r="B1101"/>
      <c r="C1101"/>
      <c r="D1101"/>
      <c r="E1101"/>
      <c r="F1101"/>
      <c r="G1101"/>
      <c r="H1101"/>
      <c r="I1101"/>
      <c r="J1101"/>
      <c r="K1101"/>
      <c r="L1101"/>
      <c r="M1101"/>
      <c r="N1101"/>
      <c r="O1101"/>
      <c r="P1101"/>
      <c r="Q1101"/>
      <c r="R1101"/>
      <c r="S1101"/>
      <c r="T1101"/>
      <c r="U1101"/>
      <c r="V1101"/>
      <c r="W1101"/>
      <c r="X1101"/>
      <c r="Y1101"/>
      <c r="Z1101"/>
      <c r="AA1101"/>
      <c r="AB1101"/>
      <c r="AC1101"/>
      <c r="AD1101"/>
      <c r="AE1101"/>
      <c r="AF1101"/>
      <c r="AG1101"/>
      <c r="AH1101"/>
      <c r="AI1101"/>
      <c r="AJ1101"/>
      <c r="AK1101"/>
      <c r="AL1101"/>
      <c r="AM1101"/>
      <c r="AN1101"/>
      <c r="AO1101"/>
      <c r="AP1101"/>
      <c r="AQ1101"/>
      <c r="AR1101"/>
      <c r="AS1101"/>
      <c r="AT1101"/>
      <c r="AU1101"/>
      <c r="AV1101"/>
      <c r="AW1101"/>
      <c r="AX1101"/>
      <c r="AY1101"/>
      <c r="AZ1101"/>
      <c r="BA1101"/>
      <c r="BB1101"/>
      <c r="BC1101"/>
      <c r="BD1101"/>
      <c r="BE1101"/>
      <c r="BF1101"/>
      <c r="BG1101"/>
      <c r="BH1101"/>
      <c r="BI1101"/>
      <c r="BJ1101"/>
      <c r="BK1101"/>
      <c r="BL1101"/>
      <c r="BM1101"/>
      <c r="BN1101"/>
      <c r="BO1101"/>
      <c r="BP1101"/>
      <c r="BQ1101"/>
      <c r="BR1101"/>
      <c r="BS1101"/>
      <c r="BT1101"/>
      <c r="BU1101"/>
      <c r="BV1101"/>
      <c r="BW1101"/>
      <c r="BX1101"/>
      <c r="BY1101"/>
      <c r="BZ1101"/>
      <c r="CA1101"/>
      <c r="CB1101"/>
      <c r="CC1101"/>
      <c r="CD1101"/>
      <c r="CE1101"/>
      <c r="CF1101"/>
      <c r="CG1101"/>
      <c r="CH1101"/>
      <c r="CI1101"/>
      <c r="CJ1101"/>
      <c r="CK1101"/>
      <c r="CL1101"/>
      <c r="CM1101"/>
      <c r="CN1101"/>
      <c r="CO1101"/>
      <c r="CP1101"/>
      <c r="CQ1101"/>
      <c r="CR1101"/>
      <c r="CS1101"/>
      <c r="CT1101"/>
      <c r="CU1101"/>
      <c r="CV1101"/>
      <c r="CW1101"/>
      <c r="CX1101"/>
      <c r="CY1101"/>
      <c r="CZ1101"/>
      <c r="DA1101"/>
      <c r="DB1101"/>
      <c r="DC1101"/>
      <c r="DD1101"/>
      <c r="DE1101"/>
      <c r="DF1101"/>
      <c r="DG1101"/>
      <c r="DH1101"/>
      <c r="DI1101"/>
      <c r="DJ1101"/>
      <c r="DK1101"/>
      <c r="DL1101"/>
      <c r="DM1101"/>
      <c r="DN1101"/>
      <c r="DO1101"/>
      <c r="DP1101"/>
      <c r="DQ1101"/>
      <c r="DR1101"/>
      <c r="DS1101"/>
      <c r="DT1101"/>
      <c r="DU1101"/>
      <c r="DV1101"/>
      <c r="DW1101"/>
      <c r="DX1101"/>
      <c r="DY1101"/>
      <c r="DZ1101"/>
      <c r="EA1101"/>
      <c r="EB1101"/>
      <c r="EC1101"/>
      <c r="ED1101"/>
      <c r="EE1101"/>
      <c r="EF1101"/>
      <c r="EG1101"/>
      <c r="EH1101"/>
      <c r="EI1101"/>
      <c r="EJ1101"/>
      <c r="EK1101"/>
      <c r="EL1101"/>
      <c r="EM1101"/>
      <c r="EN1101"/>
      <c r="EO1101"/>
      <c r="EP1101"/>
      <c r="EQ1101"/>
      <c r="ER1101"/>
      <c r="ES1101"/>
    </row>
    <row r="1102" spans="1:149">
      <c r="A1102"/>
      <c r="B1102"/>
      <c r="C1102"/>
      <c r="D1102"/>
      <c r="E1102"/>
      <c r="F1102"/>
      <c r="G1102"/>
      <c r="H1102"/>
      <c r="I1102"/>
      <c r="J1102"/>
      <c r="K1102"/>
      <c r="L1102"/>
      <c r="M1102"/>
      <c r="N1102"/>
      <c r="O1102"/>
      <c r="P1102"/>
      <c r="Q1102"/>
      <c r="R1102"/>
      <c r="S1102"/>
      <c r="T1102"/>
      <c r="U1102"/>
      <c r="V1102"/>
      <c r="W1102"/>
      <c r="X1102"/>
      <c r="Y1102"/>
      <c r="Z1102"/>
      <c r="AA1102"/>
      <c r="AB1102"/>
      <c r="AC1102"/>
      <c r="AD1102"/>
      <c r="AE1102"/>
      <c r="AF1102"/>
      <c r="AG1102"/>
      <c r="AH1102"/>
      <c r="AI1102"/>
      <c r="AJ1102"/>
      <c r="AK1102"/>
      <c r="AL1102"/>
      <c r="AM1102"/>
      <c r="AN1102"/>
      <c r="AO1102"/>
      <c r="AP1102"/>
      <c r="AQ1102"/>
      <c r="AR1102"/>
      <c r="AS1102"/>
      <c r="AT1102"/>
      <c r="AU1102"/>
      <c r="AV1102"/>
      <c r="AW1102"/>
      <c r="AX1102"/>
      <c r="AY1102"/>
      <c r="AZ1102"/>
      <c r="BA1102"/>
      <c r="BB1102"/>
      <c r="BC1102"/>
      <c r="BD1102"/>
      <c r="BE1102"/>
      <c r="BF1102"/>
      <c r="BG1102"/>
      <c r="BH1102"/>
      <c r="BI1102"/>
      <c r="BJ1102"/>
      <c r="BK1102"/>
      <c r="BL1102"/>
      <c r="BM1102"/>
      <c r="BN1102"/>
      <c r="BO1102"/>
      <c r="BP1102"/>
      <c r="BQ1102"/>
      <c r="BR1102"/>
      <c r="BS1102"/>
      <c r="BT1102"/>
      <c r="BU1102"/>
      <c r="BV1102"/>
      <c r="BW1102"/>
      <c r="BX1102"/>
      <c r="BY1102"/>
      <c r="BZ1102"/>
      <c r="CA1102"/>
      <c r="CB1102"/>
      <c r="CC1102"/>
      <c r="CD1102"/>
      <c r="CE1102"/>
      <c r="CF1102"/>
      <c r="CG1102"/>
      <c r="CH1102"/>
      <c r="CI1102"/>
      <c r="CJ1102"/>
      <c r="CK1102"/>
      <c r="CL1102"/>
      <c r="CM1102"/>
      <c r="CN1102"/>
      <c r="CO1102"/>
      <c r="CP1102"/>
      <c r="CQ1102"/>
      <c r="CR1102"/>
      <c r="CS1102"/>
      <c r="CT1102"/>
      <c r="CU1102"/>
      <c r="CV1102"/>
      <c r="CW1102"/>
      <c r="CX1102"/>
      <c r="CY1102"/>
      <c r="CZ1102"/>
      <c r="DA1102"/>
      <c r="DB1102"/>
      <c r="DC1102"/>
      <c r="DD1102"/>
      <c r="DE1102"/>
      <c r="DF1102"/>
      <c r="DG1102"/>
      <c r="DH1102"/>
      <c r="DI1102"/>
      <c r="DJ1102"/>
      <c r="DK1102"/>
      <c r="DL1102"/>
      <c r="DM1102"/>
      <c r="DN1102"/>
      <c r="DO1102"/>
      <c r="DP1102"/>
      <c r="DQ1102"/>
      <c r="DR1102"/>
      <c r="DS1102"/>
      <c r="DT1102"/>
      <c r="DU1102"/>
      <c r="DV1102"/>
      <c r="DW1102"/>
      <c r="DX1102"/>
      <c r="DY1102"/>
      <c r="DZ1102"/>
      <c r="EA1102"/>
      <c r="EB1102"/>
      <c r="EC1102"/>
      <c r="ED1102"/>
      <c r="EE1102"/>
      <c r="EF1102"/>
      <c r="EG1102"/>
      <c r="EH1102"/>
      <c r="EI1102"/>
      <c r="EJ1102"/>
      <c r="EK1102"/>
      <c r="EL1102"/>
      <c r="EM1102"/>
      <c r="EN1102"/>
      <c r="EO1102"/>
      <c r="EP1102"/>
      <c r="EQ1102"/>
      <c r="ER1102"/>
      <c r="ES1102"/>
    </row>
    <row r="1103" spans="1:149">
      <c r="A1103"/>
      <c r="B1103"/>
      <c r="C1103"/>
      <c r="D1103"/>
      <c r="E1103"/>
      <c r="F1103"/>
      <c r="G1103"/>
      <c r="H1103"/>
      <c r="I1103"/>
      <c r="J1103"/>
      <c r="K1103"/>
      <c r="L1103"/>
      <c r="M1103"/>
      <c r="N1103"/>
      <c r="O1103"/>
      <c r="P1103"/>
      <c r="Q1103"/>
      <c r="R1103"/>
      <c r="S1103"/>
      <c r="T1103"/>
      <c r="U1103"/>
      <c r="V1103"/>
      <c r="W1103"/>
      <c r="X1103"/>
      <c r="Y1103"/>
      <c r="Z1103"/>
      <c r="AA1103"/>
      <c r="AB1103"/>
      <c r="AC1103"/>
      <c r="AD1103"/>
      <c r="AE1103"/>
      <c r="AF1103"/>
      <c r="AG1103"/>
      <c r="AH1103"/>
      <c r="AI1103"/>
      <c r="AJ1103"/>
      <c r="AK1103"/>
      <c r="AL1103"/>
      <c r="AM1103"/>
      <c r="AN1103"/>
      <c r="AO1103"/>
      <c r="AP1103"/>
      <c r="AQ1103"/>
      <c r="AR1103"/>
      <c r="AS1103"/>
      <c r="AT1103"/>
      <c r="AU1103"/>
      <c r="AV1103"/>
      <c r="AW1103"/>
      <c r="AX1103"/>
      <c r="AY1103"/>
      <c r="AZ1103"/>
      <c r="BA1103"/>
      <c r="BB1103"/>
      <c r="BC1103"/>
      <c r="BD1103"/>
      <c r="BE1103"/>
      <c r="BF1103"/>
      <c r="BG1103"/>
      <c r="BH1103"/>
      <c r="BI1103"/>
      <c r="BJ1103"/>
      <c r="BK1103"/>
      <c r="BL1103"/>
      <c r="BM1103"/>
      <c r="BN1103"/>
      <c r="BO1103"/>
      <c r="BP1103"/>
      <c r="BQ1103"/>
      <c r="BR1103"/>
      <c r="BS1103"/>
      <c r="BT1103"/>
      <c r="BU1103"/>
      <c r="BV1103"/>
      <c r="BW1103"/>
      <c r="BX1103"/>
      <c r="BY1103"/>
      <c r="BZ1103"/>
      <c r="CA1103"/>
      <c r="CB1103"/>
      <c r="CC1103"/>
      <c r="CD1103"/>
      <c r="CE1103"/>
      <c r="CF1103"/>
      <c r="CG1103"/>
      <c r="CH1103"/>
      <c r="CI1103"/>
      <c r="CJ1103"/>
      <c r="CK1103"/>
      <c r="CL1103"/>
      <c r="CM1103"/>
      <c r="CN1103"/>
      <c r="CO1103"/>
      <c r="CP1103"/>
      <c r="CQ1103"/>
      <c r="CR1103"/>
      <c r="CS1103"/>
      <c r="CT1103"/>
      <c r="CU1103"/>
      <c r="CV1103"/>
      <c r="CW1103"/>
      <c r="CX1103"/>
      <c r="CY1103"/>
      <c r="CZ1103"/>
      <c r="DA1103"/>
      <c r="DB1103"/>
      <c r="DC1103"/>
      <c r="DD1103"/>
      <c r="DE1103"/>
      <c r="DF1103"/>
      <c r="DG1103"/>
      <c r="DH1103"/>
      <c r="DI1103"/>
      <c r="DJ1103"/>
      <c r="DK1103"/>
      <c r="DL1103"/>
      <c r="DM1103"/>
      <c r="DN1103"/>
      <c r="DO1103"/>
      <c r="DP1103"/>
      <c r="DQ1103"/>
      <c r="DR1103"/>
      <c r="DS1103"/>
      <c r="DT1103"/>
      <c r="DU1103"/>
      <c r="DV1103"/>
      <c r="DW1103"/>
      <c r="DX1103"/>
      <c r="DY1103"/>
      <c r="DZ1103"/>
      <c r="EA1103"/>
      <c r="EB1103"/>
      <c r="EC1103"/>
      <c r="ED1103"/>
      <c r="EE1103"/>
      <c r="EF1103"/>
      <c r="EG1103"/>
      <c r="EH1103"/>
      <c r="EI1103"/>
      <c r="EJ1103"/>
      <c r="EK1103"/>
      <c r="EL1103"/>
      <c r="EM1103"/>
      <c r="EN1103"/>
      <c r="EO1103"/>
      <c r="EP1103"/>
      <c r="EQ1103"/>
      <c r="ER1103"/>
      <c r="ES1103"/>
    </row>
    <row r="1104" spans="1:149">
      <c r="A1104"/>
      <c r="B1104"/>
      <c r="C1104"/>
      <c r="D1104"/>
      <c r="E1104"/>
      <c r="F1104"/>
      <c r="G1104"/>
      <c r="H1104"/>
      <c r="I1104"/>
      <c r="J1104"/>
      <c r="K1104"/>
      <c r="L1104"/>
      <c r="M1104"/>
      <c r="N1104"/>
      <c r="O1104"/>
      <c r="P1104"/>
      <c r="Q1104"/>
      <c r="R1104"/>
      <c r="S1104"/>
      <c r="T1104"/>
      <c r="U1104"/>
      <c r="V1104"/>
      <c r="W1104"/>
      <c r="X1104"/>
      <c r="Y1104"/>
      <c r="Z1104"/>
      <c r="AA1104"/>
      <c r="AB1104"/>
      <c r="AC1104"/>
      <c r="AD1104"/>
      <c r="AE1104"/>
      <c r="AF1104"/>
      <c r="AG1104"/>
      <c r="AH1104"/>
      <c r="AI1104"/>
      <c r="AJ1104"/>
      <c r="AK1104"/>
      <c r="AL1104"/>
      <c r="AM1104"/>
      <c r="AN1104"/>
      <c r="AO1104"/>
      <c r="AP1104"/>
      <c r="AQ1104"/>
      <c r="AR1104"/>
      <c r="AS1104"/>
      <c r="AT1104"/>
      <c r="AU1104"/>
      <c r="AV1104"/>
      <c r="AW1104"/>
      <c r="AX1104"/>
      <c r="AY1104"/>
      <c r="AZ1104"/>
      <c r="BA1104"/>
      <c r="BB1104"/>
      <c r="BC1104"/>
      <c r="BD1104"/>
      <c r="BE1104"/>
      <c r="BF1104"/>
      <c r="BG1104"/>
      <c r="BH1104"/>
      <c r="BI1104"/>
      <c r="BJ1104"/>
      <c r="BK1104"/>
      <c r="BL1104"/>
      <c r="BM1104"/>
      <c r="BN1104"/>
      <c r="BO1104"/>
      <c r="BP1104"/>
      <c r="BQ1104"/>
      <c r="BR1104"/>
      <c r="BS1104"/>
      <c r="BT1104"/>
      <c r="BU1104"/>
      <c r="BV1104"/>
      <c r="BW1104"/>
      <c r="BX1104"/>
      <c r="BY1104"/>
      <c r="BZ1104"/>
      <c r="CA1104"/>
      <c r="CB1104"/>
      <c r="CC1104"/>
      <c r="CD1104"/>
      <c r="CE1104"/>
      <c r="CF1104"/>
      <c r="CG1104"/>
      <c r="CH1104"/>
      <c r="CI1104"/>
      <c r="CJ1104"/>
      <c r="CK1104"/>
      <c r="CL1104"/>
      <c r="CM1104"/>
      <c r="CN1104"/>
      <c r="CO1104"/>
      <c r="CP1104"/>
      <c r="CQ1104"/>
      <c r="CR1104"/>
      <c r="CS1104"/>
      <c r="CT1104"/>
      <c r="CU1104"/>
      <c r="CV1104"/>
      <c r="CW1104"/>
      <c r="CX1104"/>
      <c r="CY1104"/>
      <c r="CZ1104"/>
      <c r="DA1104"/>
      <c r="DB1104"/>
      <c r="DC1104"/>
      <c r="DD1104"/>
      <c r="DE1104"/>
      <c r="DF1104"/>
      <c r="DG1104"/>
      <c r="DH1104"/>
      <c r="DI1104"/>
      <c r="DJ1104"/>
      <c r="DK1104"/>
      <c r="DL1104"/>
      <c r="DM1104"/>
      <c r="DN1104"/>
      <c r="DO1104"/>
      <c r="DP1104"/>
      <c r="DQ1104"/>
      <c r="DR1104"/>
      <c r="DS1104"/>
      <c r="DT1104"/>
      <c r="DU1104"/>
      <c r="DV1104"/>
      <c r="DW1104"/>
      <c r="DX1104"/>
      <c r="DY1104"/>
      <c r="DZ1104"/>
      <c r="EA1104"/>
      <c r="EB1104"/>
      <c r="EC1104"/>
      <c r="ED1104"/>
      <c r="EE1104"/>
      <c r="EF1104"/>
      <c r="EG1104"/>
      <c r="EH1104"/>
      <c r="EI1104"/>
      <c r="EJ1104"/>
      <c r="EK1104"/>
      <c r="EL1104"/>
      <c r="EM1104"/>
      <c r="EN1104"/>
      <c r="EO1104"/>
      <c r="EP1104"/>
      <c r="EQ1104"/>
      <c r="ER1104"/>
      <c r="ES1104"/>
    </row>
    <row r="1105" spans="1:149">
      <c r="A1105"/>
      <c r="B1105"/>
      <c r="C1105"/>
      <c r="D1105"/>
      <c r="E1105"/>
      <c r="F1105"/>
      <c r="G1105"/>
      <c r="H1105"/>
      <c r="I1105"/>
      <c r="J1105"/>
      <c r="K1105"/>
      <c r="L1105"/>
      <c r="M1105"/>
      <c r="N1105"/>
      <c r="O1105"/>
      <c r="P1105"/>
      <c r="Q1105"/>
      <c r="R1105"/>
      <c r="S1105"/>
      <c r="T1105"/>
      <c r="U1105"/>
      <c r="V1105"/>
      <c r="W1105"/>
      <c r="X1105"/>
      <c r="Y1105"/>
      <c r="Z1105"/>
      <c r="AA1105"/>
      <c r="AB1105"/>
      <c r="AC1105"/>
      <c r="AD1105"/>
      <c r="AE1105"/>
      <c r="AF1105"/>
      <c r="AG1105"/>
      <c r="AH1105"/>
      <c r="AI1105"/>
      <c r="AJ1105"/>
      <c r="AK1105"/>
      <c r="AL1105"/>
      <c r="AM1105"/>
      <c r="AN1105"/>
      <c r="AO1105"/>
      <c r="AP1105"/>
      <c r="AQ1105"/>
      <c r="AR1105"/>
      <c r="AS1105"/>
      <c r="AT1105"/>
      <c r="AU1105"/>
      <c r="AV1105"/>
      <c r="AW1105"/>
      <c r="AX1105"/>
      <c r="AY1105"/>
      <c r="AZ1105"/>
      <c r="BA1105"/>
      <c r="BB1105"/>
      <c r="BC1105"/>
      <c r="BD1105"/>
      <c r="BE1105"/>
      <c r="BF1105"/>
      <c r="BG1105"/>
      <c r="BH1105"/>
      <c r="BI1105"/>
      <c r="BJ1105"/>
      <c r="BK1105"/>
      <c r="BL1105"/>
      <c r="BM1105"/>
      <c r="BN1105"/>
      <c r="BO1105"/>
      <c r="BP1105"/>
      <c r="BQ1105"/>
      <c r="BR1105"/>
      <c r="BS1105"/>
      <c r="BT1105"/>
      <c r="BU1105"/>
      <c r="BV1105"/>
      <c r="BW1105"/>
      <c r="BX1105"/>
      <c r="BY1105"/>
      <c r="BZ1105"/>
      <c r="CA1105"/>
      <c r="CB1105"/>
      <c r="CC1105"/>
      <c r="CD1105"/>
      <c r="CE1105"/>
      <c r="CF1105"/>
      <c r="CG1105"/>
      <c r="CH1105"/>
      <c r="CI1105"/>
      <c r="CJ1105"/>
      <c r="CK1105"/>
      <c r="CL1105"/>
      <c r="CM1105"/>
      <c r="CN1105"/>
      <c r="CO1105"/>
      <c r="CP1105"/>
      <c r="CQ1105"/>
      <c r="CR1105"/>
      <c r="CS1105"/>
      <c r="CT1105"/>
      <c r="CU1105"/>
      <c r="CV1105"/>
      <c r="CW1105"/>
      <c r="CX1105"/>
      <c r="CY1105"/>
      <c r="CZ1105"/>
      <c r="DA1105"/>
      <c r="DB1105"/>
      <c r="DC1105"/>
      <c r="DD1105"/>
      <c r="DE1105"/>
      <c r="DF1105"/>
      <c r="DG1105"/>
      <c r="DH1105"/>
      <c r="DI1105"/>
      <c r="DJ1105"/>
      <c r="DK1105"/>
      <c r="DL1105"/>
      <c r="DM1105"/>
      <c r="DN1105"/>
      <c r="DO1105"/>
      <c r="DP1105"/>
      <c r="DQ1105"/>
      <c r="DR1105"/>
      <c r="DS1105"/>
      <c r="DT1105"/>
      <c r="DU1105"/>
      <c r="DV1105"/>
      <c r="DW1105"/>
      <c r="DX1105"/>
      <c r="DY1105"/>
      <c r="DZ1105"/>
      <c r="EA1105"/>
      <c r="EB1105"/>
      <c r="EC1105"/>
      <c r="ED1105"/>
      <c r="EE1105"/>
      <c r="EF1105"/>
      <c r="EG1105"/>
      <c r="EH1105"/>
      <c r="EI1105"/>
      <c r="EJ1105"/>
      <c r="EK1105"/>
      <c r="EL1105"/>
      <c r="EM1105"/>
      <c r="EN1105"/>
      <c r="EO1105"/>
      <c r="EP1105"/>
      <c r="EQ1105"/>
      <c r="ER1105"/>
      <c r="ES1105"/>
    </row>
    <row r="1106" spans="1:149">
      <c r="A1106"/>
      <c r="B1106"/>
      <c r="C1106"/>
      <c r="D1106"/>
      <c r="E1106"/>
      <c r="F1106"/>
      <c r="G1106"/>
      <c r="H1106"/>
      <c r="I1106"/>
      <c r="J1106"/>
      <c r="K1106"/>
      <c r="L1106"/>
      <c r="M1106"/>
      <c r="N1106"/>
      <c r="O1106"/>
      <c r="P1106"/>
      <c r="Q1106"/>
      <c r="R1106"/>
      <c r="S1106"/>
      <c r="T1106"/>
      <c r="U1106"/>
      <c r="V1106"/>
      <c r="W1106"/>
      <c r="X1106"/>
      <c r="Y1106"/>
      <c r="Z1106"/>
      <c r="AA1106"/>
      <c r="AB1106"/>
      <c r="AC1106"/>
      <c r="AD1106"/>
      <c r="AE1106"/>
      <c r="AF1106"/>
      <c r="AG1106"/>
      <c r="AH1106"/>
      <c r="AI1106"/>
      <c r="AJ1106"/>
      <c r="AK1106"/>
      <c r="AL1106"/>
      <c r="AM1106"/>
      <c r="AN1106"/>
      <c r="AO1106"/>
      <c r="AP1106"/>
      <c r="AQ1106"/>
      <c r="AR1106"/>
      <c r="AS1106"/>
      <c r="AT1106"/>
      <c r="AU1106"/>
      <c r="AV1106"/>
      <c r="AW1106"/>
      <c r="AX1106"/>
      <c r="AY1106"/>
      <c r="AZ1106"/>
      <c r="BA1106"/>
      <c r="BB1106"/>
      <c r="BC1106"/>
      <c r="BD1106"/>
      <c r="BE1106"/>
      <c r="BF1106"/>
      <c r="BG1106"/>
      <c r="BH1106"/>
      <c r="BI1106"/>
      <c r="BJ1106"/>
      <c r="BK1106"/>
      <c r="BL1106"/>
      <c r="BM1106"/>
      <c r="BN1106"/>
      <c r="BO1106"/>
      <c r="BP1106"/>
      <c r="BQ1106"/>
      <c r="BR1106"/>
      <c r="BS1106"/>
      <c r="BT1106"/>
      <c r="BU1106"/>
      <c r="BV1106"/>
      <c r="BW1106"/>
      <c r="BX1106"/>
      <c r="BY1106"/>
      <c r="BZ1106"/>
      <c r="CA1106"/>
      <c r="CB1106"/>
      <c r="CC1106"/>
      <c r="CD1106"/>
      <c r="CE1106"/>
      <c r="CF1106"/>
      <c r="CG1106"/>
      <c r="CH1106"/>
      <c r="CI1106"/>
      <c r="CJ1106"/>
      <c r="CK1106"/>
      <c r="CL1106"/>
      <c r="CM1106"/>
      <c r="CN1106"/>
      <c r="CO1106"/>
      <c r="CP1106"/>
      <c r="CQ1106"/>
      <c r="CR1106"/>
      <c r="CS1106"/>
      <c r="CT1106"/>
      <c r="CU1106"/>
      <c r="CV1106"/>
      <c r="CW1106"/>
      <c r="CX1106"/>
      <c r="CY1106"/>
      <c r="CZ1106"/>
      <c r="DA1106"/>
      <c r="DB1106"/>
      <c r="DC1106"/>
      <c r="DD1106"/>
      <c r="DE1106"/>
      <c r="DF1106"/>
      <c r="DG1106"/>
      <c r="DH1106"/>
      <c r="DI1106"/>
      <c r="DJ1106"/>
      <c r="DK1106"/>
      <c r="DL1106"/>
      <c r="DM1106"/>
      <c r="DN1106"/>
      <c r="DO1106"/>
      <c r="DP1106"/>
      <c r="DQ1106"/>
      <c r="DR1106"/>
      <c r="DS1106"/>
      <c r="DT1106"/>
      <c r="DU1106"/>
      <c r="DV1106"/>
      <c r="DW1106"/>
      <c r="DX1106"/>
      <c r="DY1106"/>
      <c r="DZ1106"/>
      <c r="EA1106"/>
      <c r="EB1106"/>
      <c r="EC1106"/>
      <c r="ED1106"/>
      <c r="EE1106"/>
      <c r="EF1106"/>
      <c r="EG1106"/>
      <c r="EH1106"/>
      <c r="EI1106"/>
      <c r="EJ1106"/>
      <c r="EK1106"/>
      <c r="EL1106"/>
      <c r="EM1106"/>
      <c r="EN1106"/>
      <c r="EO1106"/>
      <c r="EP1106"/>
      <c r="EQ1106"/>
      <c r="ER1106"/>
      <c r="ES1106"/>
    </row>
    <row r="1107" spans="1:149">
      <c r="A1107"/>
      <c r="B1107"/>
      <c r="C1107"/>
      <c r="D1107"/>
      <c r="E1107"/>
      <c r="F1107"/>
      <c r="G1107"/>
      <c r="H1107"/>
      <c r="I1107"/>
      <c r="J1107"/>
      <c r="K1107"/>
      <c r="L1107"/>
      <c r="M1107"/>
      <c r="N1107"/>
      <c r="O1107"/>
      <c r="P1107"/>
      <c r="Q1107"/>
      <c r="R1107"/>
      <c r="S1107"/>
      <c r="T1107"/>
      <c r="U1107"/>
      <c r="V1107"/>
      <c r="W1107"/>
      <c r="X1107"/>
      <c r="Y1107"/>
      <c r="Z1107"/>
      <c r="AA1107"/>
      <c r="AB1107"/>
      <c r="AC1107"/>
      <c r="AD1107"/>
      <c r="AE1107"/>
      <c r="AF1107"/>
      <c r="AG1107"/>
      <c r="AH1107"/>
      <c r="AI1107"/>
      <c r="AJ1107"/>
      <c r="AK1107"/>
      <c r="AL1107"/>
      <c r="AM1107"/>
      <c r="AN1107"/>
      <c r="AO1107"/>
      <c r="AP1107"/>
      <c r="AQ1107"/>
      <c r="AR1107"/>
      <c r="AS1107"/>
      <c r="AT1107"/>
      <c r="AU1107"/>
      <c r="AV1107"/>
      <c r="AW1107"/>
      <c r="AX1107"/>
      <c r="AY1107"/>
      <c r="AZ1107"/>
      <c r="BA1107"/>
      <c r="BB1107"/>
      <c r="BC1107"/>
      <c r="BD1107"/>
      <c r="BE1107"/>
      <c r="BF1107"/>
      <c r="BG1107"/>
      <c r="BH1107"/>
      <c r="BI1107"/>
      <c r="BJ1107"/>
      <c r="BK1107"/>
      <c r="BL1107"/>
      <c r="BM1107"/>
      <c r="BN1107"/>
      <c r="BO1107"/>
      <c r="BP1107"/>
      <c r="BQ1107"/>
      <c r="BR1107"/>
      <c r="BS1107"/>
      <c r="BT1107"/>
      <c r="BU1107"/>
      <c r="BV1107"/>
      <c r="BW1107"/>
      <c r="BX1107"/>
      <c r="BY1107"/>
      <c r="BZ1107"/>
      <c r="CA1107"/>
      <c r="CB1107"/>
      <c r="CC1107"/>
      <c r="CD1107"/>
      <c r="CE1107"/>
      <c r="CF1107"/>
      <c r="CG1107"/>
      <c r="CH1107"/>
      <c r="CI1107"/>
      <c r="CJ1107"/>
      <c r="CK1107"/>
      <c r="CL1107"/>
      <c r="CM1107"/>
      <c r="CN1107"/>
      <c r="CO1107"/>
      <c r="CP1107"/>
      <c r="CQ1107"/>
      <c r="CR1107"/>
      <c r="CS1107"/>
      <c r="CT1107"/>
      <c r="CU1107"/>
      <c r="CV1107"/>
      <c r="CW1107"/>
      <c r="CX1107"/>
      <c r="CY1107"/>
      <c r="CZ1107"/>
      <c r="DA1107"/>
      <c r="DB1107"/>
      <c r="DC1107"/>
      <c r="DD1107"/>
      <c r="DE1107"/>
      <c r="DF1107"/>
      <c r="DG1107"/>
      <c r="DH1107"/>
      <c r="DI1107"/>
      <c r="DJ1107"/>
      <c r="DK1107"/>
      <c r="DL1107"/>
      <c r="DM1107"/>
      <c r="DN1107"/>
      <c r="DO1107"/>
      <c r="DP1107"/>
      <c r="DQ1107"/>
      <c r="DR1107"/>
      <c r="DS1107"/>
      <c r="DT1107"/>
      <c r="DU1107"/>
      <c r="DV1107"/>
      <c r="DW1107"/>
      <c r="DX1107"/>
      <c r="DY1107"/>
      <c r="DZ1107"/>
      <c r="EA1107"/>
      <c r="EB1107"/>
      <c r="EC1107"/>
      <c r="ED1107"/>
      <c r="EE1107"/>
      <c r="EF1107"/>
      <c r="EG1107"/>
      <c r="EH1107"/>
      <c r="EI1107"/>
      <c r="EJ1107"/>
      <c r="EK1107"/>
      <c r="EL1107"/>
      <c r="EM1107"/>
      <c r="EN1107"/>
      <c r="EO1107"/>
      <c r="EP1107"/>
      <c r="EQ1107"/>
      <c r="ER1107"/>
      <c r="ES1107"/>
    </row>
    <row r="1108" spans="1:149">
      <c r="A1108"/>
      <c r="B1108"/>
      <c r="C1108"/>
      <c r="D1108"/>
      <c r="E1108"/>
      <c r="F1108"/>
      <c r="G1108"/>
      <c r="H1108"/>
      <c r="I1108"/>
      <c r="J1108"/>
      <c r="K1108"/>
      <c r="L1108"/>
      <c r="M1108"/>
      <c r="N1108"/>
      <c r="O1108"/>
      <c r="P1108"/>
      <c r="Q1108"/>
      <c r="R1108"/>
      <c r="S1108"/>
      <c r="T1108"/>
      <c r="U1108"/>
      <c r="V1108"/>
      <c r="W1108"/>
      <c r="X1108"/>
      <c r="Y1108"/>
      <c r="Z1108"/>
      <c r="AA1108"/>
      <c r="AB1108"/>
      <c r="AC1108"/>
      <c r="AD1108"/>
      <c r="AE1108"/>
      <c r="AF1108"/>
      <c r="AG1108"/>
      <c r="AH1108"/>
      <c r="AI1108"/>
      <c r="AJ1108"/>
      <c r="AK1108"/>
      <c r="AL1108"/>
      <c r="AM1108"/>
      <c r="AN1108"/>
      <c r="AO1108"/>
      <c r="AP1108"/>
      <c r="AQ1108"/>
      <c r="AR1108"/>
      <c r="AS1108"/>
      <c r="AT1108"/>
      <c r="AU1108"/>
      <c r="AV1108"/>
      <c r="AW1108"/>
      <c r="AX1108"/>
      <c r="AY1108"/>
      <c r="AZ1108"/>
      <c r="BA1108"/>
      <c r="BB1108"/>
      <c r="BC1108"/>
      <c r="BD1108"/>
      <c r="BE1108"/>
      <c r="BF1108"/>
      <c r="BG1108"/>
      <c r="BH1108"/>
      <c r="BI1108"/>
      <c r="BJ1108"/>
      <c r="BK1108"/>
      <c r="BL1108"/>
      <c r="BM1108"/>
      <c r="BN1108"/>
      <c r="BO1108"/>
      <c r="BP1108"/>
      <c r="BQ1108"/>
      <c r="BR1108"/>
      <c r="BS1108"/>
      <c r="BT1108"/>
      <c r="BU1108"/>
      <c r="BV1108"/>
      <c r="BW1108"/>
      <c r="BX1108"/>
      <c r="BY1108"/>
      <c r="BZ1108"/>
      <c r="CA1108"/>
      <c r="CB1108"/>
      <c r="CC1108"/>
      <c r="CD1108"/>
      <c r="CE1108"/>
      <c r="CF1108"/>
      <c r="CG1108"/>
      <c r="CH1108"/>
      <c r="CI1108"/>
      <c r="CJ1108"/>
      <c r="CK1108"/>
      <c r="CL1108"/>
      <c r="CM1108"/>
      <c r="CN1108"/>
      <c r="CO1108"/>
      <c r="CP1108"/>
      <c r="CQ1108"/>
      <c r="CR1108"/>
      <c r="CS1108"/>
      <c r="CT1108"/>
      <c r="CU1108"/>
      <c r="CV1108"/>
      <c r="CW1108"/>
      <c r="CX1108"/>
      <c r="CY1108"/>
      <c r="CZ1108"/>
      <c r="DA1108"/>
      <c r="DB1108"/>
      <c r="DC1108"/>
      <c r="DD1108"/>
      <c r="DE1108"/>
      <c r="DF1108"/>
      <c r="DG1108"/>
      <c r="DH1108"/>
      <c r="DI1108"/>
      <c r="DJ1108"/>
      <c r="DK1108"/>
      <c r="DL1108"/>
      <c r="DM1108"/>
      <c r="DN1108"/>
      <c r="DO1108"/>
      <c r="DP1108"/>
      <c r="DQ1108"/>
      <c r="DR1108"/>
      <c r="DS1108"/>
      <c r="DT1108"/>
      <c r="DU1108"/>
      <c r="DV1108"/>
      <c r="DW1108"/>
      <c r="DX1108"/>
      <c r="DY1108"/>
      <c r="DZ1108"/>
      <c r="EA1108"/>
      <c r="EB1108"/>
      <c r="EC1108"/>
      <c r="ED1108"/>
      <c r="EE1108"/>
      <c r="EF1108"/>
      <c r="EG1108"/>
      <c r="EH1108"/>
      <c r="EI1108"/>
      <c r="EJ1108"/>
      <c r="EK1108"/>
      <c r="EL1108"/>
      <c r="EM1108"/>
      <c r="EN1108"/>
      <c r="EO1108"/>
      <c r="EP1108"/>
      <c r="EQ1108"/>
      <c r="ER1108"/>
      <c r="ES1108"/>
    </row>
    <row r="1109" spans="1:149">
      <c r="A1109"/>
      <c r="B1109"/>
      <c r="C1109"/>
      <c r="D1109"/>
      <c r="E1109"/>
      <c r="F1109"/>
      <c r="G1109"/>
      <c r="H1109"/>
      <c r="I1109"/>
      <c r="J1109"/>
      <c r="K1109"/>
      <c r="L1109"/>
      <c r="M1109"/>
      <c r="N1109"/>
      <c r="O1109"/>
      <c r="P1109"/>
      <c r="Q1109"/>
      <c r="R1109"/>
      <c r="S1109"/>
      <c r="T1109"/>
      <c r="U1109"/>
      <c r="V1109"/>
      <c r="W1109"/>
      <c r="X1109"/>
      <c r="Y1109"/>
      <c r="Z1109"/>
      <c r="AA1109"/>
      <c r="AB1109"/>
      <c r="AC1109"/>
      <c r="AD1109"/>
      <c r="AE1109"/>
      <c r="AF1109"/>
      <c r="AG1109"/>
      <c r="AH1109"/>
      <c r="AI1109"/>
      <c r="AJ1109"/>
      <c r="AK1109"/>
      <c r="AL1109"/>
      <c r="AM1109"/>
      <c r="AN1109"/>
      <c r="AO1109"/>
      <c r="AP1109"/>
      <c r="AQ1109"/>
      <c r="AR1109"/>
      <c r="AS1109"/>
      <c r="AT1109"/>
      <c r="AU1109"/>
      <c r="AV1109"/>
      <c r="AW1109"/>
      <c r="AX1109"/>
      <c r="AY1109"/>
      <c r="AZ1109"/>
      <c r="BA1109"/>
      <c r="BB1109"/>
      <c r="BC1109"/>
      <c r="BD1109"/>
      <c r="BE1109"/>
      <c r="BF1109"/>
      <c r="BG1109"/>
      <c r="BH1109"/>
      <c r="BI1109"/>
      <c r="BJ1109"/>
      <c r="BK1109"/>
      <c r="BL1109"/>
      <c r="BM1109"/>
      <c r="BN1109"/>
      <c r="BO1109"/>
      <c r="BP1109"/>
      <c r="BQ1109"/>
      <c r="BR1109"/>
      <c r="BS1109"/>
      <c r="BT1109"/>
      <c r="BU1109"/>
      <c r="BV1109"/>
      <c r="BW1109"/>
      <c r="BX1109"/>
      <c r="BY1109"/>
      <c r="BZ1109"/>
      <c r="CA1109"/>
      <c r="CB1109"/>
      <c r="CC1109"/>
      <c r="CD1109"/>
      <c r="CE1109"/>
      <c r="CF1109"/>
      <c r="CG1109"/>
      <c r="CH1109"/>
      <c r="CI1109"/>
      <c r="CJ1109"/>
      <c r="CK1109"/>
      <c r="CL1109"/>
      <c r="CM1109"/>
      <c r="CN1109"/>
      <c r="CO1109"/>
      <c r="CP1109"/>
      <c r="CQ1109"/>
      <c r="CR1109"/>
      <c r="CS1109"/>
      <c r="CT1109"/>
      <c r="CU1109"/>
      <c r="CV1109"/>
      <c r="CW1109"/>
      <c r="CX1109"/>
      <c r="CY1109"/>
      <c r="CZ1109"/>
      <c r="DA1109"/>
      <c r="DB1109"/>
      <c r="DC1109"/>
      <c r="DD1109"/>
      <c r="DE1109"/>
      <c r="DF1109"/>
      <c r="DG1109"/>
      <c r="DH1109"/>
      <c r="DI1109"/>
      <c r="DJ1109"/>
      <c r="DK1109"/>
      <c r="DL1109"/>
      <c r="DM1109"/>
      <c r="DN1109"/>
      <c r="DO1109"/>
      <c r="DP1109"/>
      <c r="DQ1109"/>
      <c r="DR1109"/>
      <c r="DS1109"/>
      <c r="DT1109"/>
      <c r="DU1109"/>
      <c r="DV1109"/>
      <c r="DW1109"/>
      <c r="DX1109"/>
      <c r="DY1109"/>
      <c r="DZ1109"/>
      <c r="EA1109"/>
      <c r="EB1109"/>
      <c r="EC1109"/>
      <c r="ED1109"/>
      <c r="EE1109"/>
      <c r="EF1109"/>
      <c r="EG1109"/>
      <c r="EH1109"/>
      <c r="EI1109"/>
      <c r="EJ1109"/>
      <c r="EK1109"/>
      <c r="EL1109"/>
      <c r="EM1109"/>
      <c r="EN1109"/>
      <c r="EO1109"/>
      <c r="EP1109"/>
      <c r="EQ1109"/>
      <c r="ER1109"/>
      <c r="ES1109"/>
    </row>
    <row r="1110" spans="1:149">
      <c r="A1110"/>
      <c r="B1110"/>
      <c r="C1110"/>
      <c r="D1110"/>
      <c r="E1110"/>
      <c r="F1110"/>
      <c r="G1110"/>
      <c r="H1110"/>
      <c r="I1110"/>
      <c r="J1110"/>
      <c r="K1110"/>
      <c r="L1110"/>
      <c r="M1110"/>
      <c r="N1110"/>
      <c r="O1110"/>
      <c r="P1110"/>
      <c r="Q1110"/>
      <c r="R1110"/>
      <c r="S1110"/>
      <c r="T1110"/>
      <c r="U1110"/>
      <c r="V1110"/>
      <c r="W1110"/>
      <c r="X1110"/>
      <c r="Y1110"/>
      <c r="Z1110"/>
      <c r="AA1110"/>
      <c r="AB1110"/>
      <c r="AC1110"/>
      <c r="AD1110"/>
      <c r="AE1110"/>
      <c r="AF1110"/>
      <c r="AG1110"/>
      <c r="AH1110"/>
      <c r="AI1110"/>
      <c r="AJ1110"/>
      <c r="AK1110"/>
      <c r="AL1110"/>
      <c r="AM1110"/>
      <c r="AN1110"/>
      <c r="AO1110"/>
      <c r="AP1110"/>
      <c r="AQ1110"/>
      <c r="AR1110"/>
      <c r="AS1110"/>
      <c r="AT1110"/>
      <c r="AU1110"/>
      <c r="AV1110"/>
      <c r="AW1110"/>
      <c r="AX1110"/>
      <c r="AY1110"/>
      <c r="AZ1110"/>
      <c r="BA1110"/>
      <c r="BB1110"/>
      <c r="BC1110"/>
      <c r="BD1110"/>
      <c r="BE1110"/>
      <c r="BF1110"/>
      <c r="BG1110"/>
      <c r="BH1110"/>
      <c r="BI1110"/>
      <c r="BJ1110"/>
      <c r="BK1110"/>
      <c r="BL1110"/>
      <c r="BM1110"/>
      <c r="BN1110"/>
      <c r="BO1110"/>
      <c r="BP1110"/>
      <c r="BQ1110"/>
      <c r="BR1110"/>
      <c r="BS1110"/>
      <c r="BT1110"/>
      <c r="BU1110"/>
      <c r="BV1110"/>
      <c r="BW1110"/>
      <c r="BX1110"/>
      <c r="BY1110"/>
      <c r="BZ1110"/>
      <c r="CA1110"/>
      <c r="CB1110"/>
      <c r="CC1110"/>
      <c r="CD1110"/>
      <c r="CE1110"/>
      <c r="CF1110"/>
      <c r="CG1110"/>
      <c r="CH1110"/>
      <c r="CI1110"/>
      <c r="CJ1110"/>
      <c r="CK1110"/>
      <c r="CL1110"/>
      <c r="CM1110"/>
      <c r="CN1110"/>
      <c r="CO1110"/>
      <c r="CP1110"/>
      <c r="CQ1110"/>
      <c r="CR1110"/>
      <c r="CS1110"/>
      <c r="CT1110"/>
      <c r="CU1110"/>
      <c r="CV1110"/>
      <c r="CW1110"/>
      <c r="CX1110"/>
      <c r="CY1110"/>
      <c r="CZ1110"/>
      <c r="DA1110"/>
      <c r="DB1110"/>
      <c r="DC1110"/>
      <c r="DD1110"/>
      <c r="DE1110"/>
      <c r="DF1110"/>
      <c r="DG1110"/>
      <c r="DH1110"/>
      <c r="DI1110"/>
      <c r="DJ1110"/>
      <c r="DK1110"/>
      <c r="DL1110"/>
      <c r="DM1110"/>
      <c r="DN1110"/>
      <c r="DO1110"/>
      <c r="DP1110"/>
      <c r="DQ1110"/>
      <c r="DR1110"/>
      <c r="DS1110"/>
      <c r="DT1110"/>
      <c r="DU1110"/>
      <c r="DV1110"/>
      <c r="DW1110"/>
      <c r="DX1110"/>
      <c r="DY1110"/>
      <c r="DZ1110"/>
      <c r="EA1110"/>
      <c r="EB1110"/>
      <c r="EC1110"/>
      <c r="ED1110"/>
      <c r="EE1110"/>
      <c r="EF1110"/>
      <c r="EG1110"/>
      <c r="EH1110"/>
      <c r="EI1110"/>
      <c r="EJ1110"/>
      <c r="EK1110"/>
      <c r="EL1110"/>
      <c r="EM1110"/>
      <c r="EN1110"/>
      <c r="EO1110"/>
      <c r="EP1110"/>
      <c r="EQ1110"/>
      <c r="ER1110"/>
      <c r="ES1110"/>
    </row>
    <row r="1111" spans="1:149">
      <c r="A1111"/>
      <c r="B1111"/>
      <c r="C1111"/>
      <c r="D1111"/>
      <c r="E1111"/>
      <c r="F1111"/>
      <c r="G1111"/>
      <c r="H1111"/>
      <c r="I1111"/>
      <c r="J1111"/>
      <c r="K1111"/>
      <c r="L1111"/>
      <c r="M1111"/>
      <c r="N1111"/>
      <c r="O1111"/>
      <c r="P1111"/>
      <c r="Q1111"/>
      <c r="R1111"/>
      <c r="S1111"/>
      <c r="T1111"/>
      <c r="U1111"/>
      <c r="V1111"/>
      <c r="W1111"/>
      <c r="X1111"/>
      <c r="Y1111"/>
      <c r="Z1111"/>
      <c r="AA1111"/>
      <c r="AB1111"/>
      <c r="AC1111"/>
      <c r="AD1111"/>
      <c r="AE1111"/>
      <c r="AF1111"/>
      <c r="AG1111"/>
      <c r="AH1111"/>
      <c r="AI1111"/>
      <c r="AJ1111"/>
      <c r="AK1111"/>
      <c r="AL1111"/>
      <c r="AM1111"/>
      <c r="AN1111"/>
      <c r="AO1111"/>
      <c r="AP1111"/>
      <c r="AQ1111"/>
      <c r="AR1111"/>
      <c r="AS1111"/>
      <c r="AT1111"/>
      <c r="AU1111"/>
      <c r="AV1111"/>
      <c r="AW1111"/>
      <c r="AX1111"/>
      <c r="AY1111"/>
      <c r="AZ1111"/>
      <c r="BA1111"/>
      <c r="BB1111"/>
      <c r="BC1111"/>
      <c r="BD1111"/>
      <c r="BE1111"/>
      <c r="BF1111"/>
      <c r="BG1111"/>
      <c r="BH1111"/>
      <c r="BI1111"/>
      <c r="BJ1111"/>
      <c r="BK1111"/>
      <c r="BL1111"/>
      <c r="BM1111"/>
      <c r="BN1111"/>
      <c r="BO1111"/>
      <c r="BP1111"/>
      <c r="BQ1111"/>
      <c r="BR1111"/>
      <c r="BS1111"/>
      <c r="BT1111"/>
      <c r="BU1111"/>
      <c r="BV1111"/>
      <c r="BW1111"/>
      <c r="BX1111"/>
      <c r="BY1111"/>
      <c r="BZ1111"/>
      <c r="CA1111"/>
      <c r="CB1111"/>
      <c r="CC1111"/>
      <c r="CD1111"/>
      <c r="CE1111"/>
      <c r="CF1111"/>
      <c r="CG1111"/>
      <c r="CH1111"/>
      <c r="CI1111"/>
      <c r="CJ1111"/>
      <c r="CK1111"/>
      <c r="CL1111"/>
      <c r="CM1111"/>
      <c r="CN1111"/>
      <c r="CO1111"/>
      <c r="CP1111"/>
      <c r="CQ1111"/>
      <c r="CR1111"/>
      <c r="CS1111"/>
      <c r="CT1111"/>
      <c r="CU1111"/>
      <c r="CV1111"/>
      <c r="CW1111"/>
      <c r="CX1111"/>
      <c r="CY1111"/>
      <c r="CZ1111"/>
      <c r="DA1111"/>
      <c r="DB1111"/>
      <c r="DC1111"/>
      <c r="DD1111"/>
      <c r="DE1111"/>
      <c r="DF1111"/>
      <c r="DG1111"/>
      <c r="DH1111"/>
      <c r="DI1111"/>
      <c r="DJ1111"/>
      <c r="DK1111"/>
      <c r="DL1111"/>
      <c r="DM1111"/>
      <c r="DN1111"/>
      <c r="DO1111"/>
      <c r="DP1111"/>
      <c r="DQ1111"/>
      <c r="DR1111"/>
      <c r="DS1111"/>
      <c r="DT1111"/>
      <c r="DU1111"/>
      <c r="DV1111"/>
      <c r="DW1111"/>
      <c r="DX1111"/>
      <c r="DY1111"/>
      <c r="DZ1111"/>
      <c r="EA1111"/>
      <c r="EB1111"/>
      <c r="EC1111"/>
      <c r="ED1111"/>
      <c r="EE1111"/>
      <c r="EF1111"/>
      <c r="EG1111"/>
      <c r="EH1111"/>
      <c r="EI1111"/>
      <c r="EJ1111"/>
      <c r="EK1111"/>
      <c r="EL1111"/>
      <c r="EM1111"/>
      <c r="EN1111"/>
      <c r="EO1111"/>
      <c r="EP1111"/>
      <c r="EQ1111"/>
      <c r="ER1111"/>
      <c r="ES1111"/>
    </row>
    <row r="1112" spans="1:149">
      <c r="A1112"/>
      <c r="B1112"/>
      <c r="C1112"/>
      <c r="D1112"/>
      <c r="E1112"/>
      <c r="F1112"/>
      <c r="G1112"/>
      <c r="H1112"/>
      <c r="I1112"/>
      <c r="J1112"/>
      <c r="K1112"/>
      <c r="L1112"/>
      <c r="M1112"/>
      <c r="N1112"/>
      <c r="O1112"/>
      <c r="P1112"/>
      <c r="Q1112"/>
      <c r="R1112"/>
      <c r="S1112"/>
      <c r="T1112"/>
      <c r="U1112"/>
      <c r="V1112"/>
      <c r="W1112"/>
      <c r="X1112"/>
      <c r="Y1112"/>
      <c r="Z1112"/>
      <c r="AA1112"/>
      <c r="AB1112"/>
      <c r="AC1112"/>
      <c r="AD1112"/>
      <c r="AE1112"/>
      <c r="AF1112"/>
      <c r="AG1112"/>
      <c r="AH1112"/>
      <c r="AI1112"/>
      <c r="AJ1112"/>
      <c r="AK1112"/>
      <c r="AL1112"/>
      <c r="AM1112"/>
      <c r="AN1112"/>
      <c r="AO1112"/>
      <c r="AP1112"/>
      <c r="AQ1112"/>
      <c r="AR1112"/>
      <c r="AS1112"/>
      <c r="AT1112"/>
      <c r="AU1112"/>
      <c r="AV1112"/>
      <c r="AW1112"/>
      <c r="AX1112"/>
      <c r="AY1112"/>
      <c r="AZ1112"/>
      <c r="BA1112"/>
      <c r="BB1112"/>
      <c r="BC1112"/>
      <c r="BD1112"/>
      <c r="BE1112"/>
      <c r="BF1112"/>
      <c r="BG1112"/>
      <c r="BH1112"/>
      <c r="BI1112"/>
      <c r="BJ1112"/>
      <c r="BK1112"/>
      <c r="BL1112"/>
      <c r="BM1112"/>
      <c r="BN1112"/>
      <c r="BO1112"/>
      <c r="BP1112"/>
      <c r="BQ1112"/>
      <c r="BR1112"/>
      <c r="BS1112"/>
      <c r="BT1112"/>
      <c r="BU1112"/>
      <c r="BV1112"/>
      <c r="BW1112"/>
      <c r="BX1112"/>
      <c r="BY1112"/>
      <c r="BZ1112"/>
      <c r="CA1112"/>
      <c r="CB1112"/>
      <c r="CC1112"/>
      <c r="CD1112"/>
      <c r="CE1112"/>
      <c r="CF1112"/>
      <c r="CG1112"/>
      <c r="CH1112"/>
      <c r="CI1112"/>
      <c r="CJ1112"/>
      <c r="CK1112"/>
      <c r="CL1112"/>
      <c r="CM1112"/>
      <c r="CN1112"/>
      <c r="CO1112"/>
      <c r="CP1112"/>
      <c r="CQ1112"/>
      <c r="CR1112"/>
      <c r="CS1112"/>
      <c r="CT1112"/>
      <c r="CU1112"/>
      <c r="CV1112"/>
      <c r="CW1112"/>
      <c r="CX1112"/>
      <c r="CY1112"/>
      <c r="CZ1112"/>
      <c r="DA1112"/>
      <c r="DB1112"/>
      <c r="DC1112"/>
      <c r="DD1112"/>
      <c r="DE1112"/>
      <c r="DF1112"/>
      <c r="DG1112"/>
      <c r="DH1112"/>
      <c r="DI1112"/>
      <c r="DJ1112"/>
      <c r="DK1112"/>
      <c r="DL1112"/>
      <c r="DM1112"/>
      <c r="DN1112"/>
      <c r="DO1112"/>
      <c r="DP1112"/>
      <c r="DQ1112"/>
      <c r="DR1112"/>
      <c r="DS1112"/>
      <c r="DT1112"/>
      <c r="DU1112"/>
      <c r="DV1112"/>
      <c r="DW1112"/>
      <c r="DX1112"/>
      <c r="DY1112"/>
      <c r="DZ1112"/>
      <c r="EA1112"/>
      <c r="EB1112"/>
      <c r="EC1112"/>
      <c r="ED1112"/>
      <c r="EE1112"/>
      <c r="EF1112"/>
      <c r="EG1112"/>
      <c r="EH1112"/>
      <c r="EI1112"/>
      <c r="EJ1112"/>
      <c r="EK1112"/>
      <c r="EL1112"/>
      <c r="EM1112"/>
      <c r="EN1112"/>
      <c r="EO1112"/>
      <c r="EP1112"/>
      <c r="EQ1112"/>
      <c r="ER1112"/>
      <c r="ES1112"/>
    </row>
    <row r="1113" spans="1:149">
      <c r="A1113"/>
      <c r="B1113"/>
      <c r="C1113"/>
      <c r="D1113"/>
      <c r="E1113"/>
      <c r="F1113"/>
      <c r="G1113"/>
      <c r="H1113"/>
      <c r="I1113"/>
      <c r="J1113"/>
      <c r="K1113"/>
      <c r="L1113"/>
      <c r="M1113"/>
      <c r="N1113"/>
      <c r="O1113"/>
      <c r="P1113"/>
      <c r="Q1113"/>
      <c r="R1113"/>
      <c r="S1113"/>
      <c r="T1113"/>
      <c r="U1113"/>
      <c r="V1113"/>
      <c r="W1113"/>
      <c r="X1113"/>
      <c r="Y1113"/>
      <c r="Z1113"/>
      <c r="AA1113"/>
      <c r="AB1113"/>
      <c r="AC1113"/>
      <c r="AD1113"/>
      <c r="AE1113"/>
      <c r="AF1113"/>
      <c r="AG1113"/>
      <c r="AH1113"/>
      <c r="AI1113"/>
      <c r="AJ1113"/>
      <c r="AK1113"/>
      <c r="AL1113"/>
      <c r="AM1113"/>
      <c r="AN1113"/>
      <c r="AO1113"/>
      <c r="AP1113"/>
      <c r="AQ1113"/>
      <c r="AR1113"/>
      <c r="AS1113"/>
      <c r="AT1113"/>
      <c r="AU1113"/>
      <c r="AV1113"/>
      <c r="AW1113"/>
      <c r="AX1113"/>
      <c r="AY1113"/>
      <c r="AZ1113"/>
      <c r="BA1113"/>
      <c r="BB1113"/>
      <c r="BC1113"/>
      <c r="BD1113"/>
      <c r="BE1113"/>
      <c r="BF1113"/>
      <c r="BG1113"/>
      <c r="BH1113"/>
      <c r="BI1113"/>
      <c r="BJ1113"/>
      <c r="BK1113"/>
      <c r="BL1113"/>
      <c r="BM1113"/>
      <c r="BN1113"/>
      <c r="BO1113"/>
      <c r="BP1113"/>
      <c r="BQ1113"/>
      <c r="BR1113"/>
      <c r="BS1113"/>
      <c r="BT1113"/>
      <c r="BU1113"/>
      <c r="BV1113"/>
      <c r="BW1113"/>
      <c r="BX1113"/>
      <c r="BY1113"/>
      <c r="BZ1113"/>
      <c r="CA1113"/>
      <c r="CB1113"/>
      <c r="CC1113"/>
      <c r="CD1113"/>
      <c r="CE1113"/>
      <c r="CF1113"/>
      <c r="CG1113"/>
      <c r="CH1113"/>
      <c r="CI1113"/>
      <c r="CJ1113"/>
      <c r="CK1113"/>
      <c r="CL1113"/>
      <c r="CM1113"/>
      <c r="CN1113"/>
      <c r="CO1113"/>
      <c r="CP1113"/>
      <c r="CQ1113"/>
      <c r="CR1113"/>
      <c r="CS1113"/>
      <c r="CT1113"/>
      <c r="CU1113"/>
      <c r="CV1113"/>
      <c r="CW1113"/>
      <c r="CX1113"/>
      <c r="CY1113"/>
      <c r="CZ1113"/>
      <c r="DA1113"/>
      <c r="DB1113"/>
      <c r="DC1113"/>
      <c r="DD1113"/>
      <c r="DE1113"/>
      <c r="DF1113"/>
      <c r="DG1113"/>
      <c r="DH1113"/>
      <c r="DI1113"/>
      <c r="DJ1113"/>
      <c r="DK1113"/>
      <c r="DL1113"/>
      <c r="DM1113"/>
      <c r="DN1113"/>
      <c r="DO1113"/>
      <c r="DP1113"/>
      <c r="DQ1113"/>
      <c r="DR1113"/>
      <c r="DS1113"/>
      <c r="DT1113"/>
      <c r="DU1113"/>
      <c r="DV1113"/>
      <c r="DW1113"/>
      <c r="DX1113"/>
      <c r="DY1113"/>
      <c r="DZ1113"/>
      <c r="EA1113"/>
      <c r="EB1113"/>
      <c r="EC1113"/>
      <c r="ED1113"/>
      <c r="EE1113"/>
      <c r="EF1113"/>
      <c r="EG1113"/>
      <c r="EH1113"/>
      <c r="EI1113"/>
      <c r="EJ1113"/>
      <c r="EK1113"/>
      <c r="EL1113"/>
      <c r="EM1113"/>
      <c r="EN1113"/>
      <c r="EO1113"/>
      <c r="EP1113"/>
      <c r="EQ1113"/>
      <c r="ER1113"/>
      <c r="ES1113"/>
    </row>
    <row r="1114" spans="1:149">
      <c r="A1114"/>
      <c r="B1114"/>
      <c r="C1114"/>
      <c r="D1114"/>
      <c r="E1114"/>
      <c r="F1114"/>
      <c r="G1114"/>
      <c r="H1114"/>
      <c r="I1114"/>
      <c r="J1114"/>
      <c r="K1114"/>
      <c r="L1114"/>
      <c r="M1114"/>
      <c r="N1114"/>
      <c r="O1114"/>
      <c r="P1114"/>
      <c r="Q1114"/>
      <c r="R1114"/>
      <c r="S1114"/>
      <c r="T1114"/>
      <c r="U1114"/>
      <c r="V1114"/>
      <c r="W1114"/>
      <c r="X1114"/>
      <c r="Y1114"/>
      <c r="Z1114"/>
      <c r="AA1114"/>
      <c r="AB1114"/>
      <c r="AC1114"/>
      <c r="AD1114"/>
      <c r="AE1114"/>
      <c r="AF1114"/>
      <c r="AG1114"/>
      <c r="AH1114"/>
      <c r="AI1114"/>
      <c r="AJ1114"/>
      <c r="AK1114"/>
      <c r="AL1114"/>
      <c r="AM1114"/>
      <c r="AN1114"/>
      <c r="AO1114"/>
      <c r="AP1114"/>
      <c r="AQ1114"/>
      <c r="AR1114"/>
      <c r="AS1114"/>
      <c r="AT1114"/>
      <c r="AU1114"/>
      <c r="AV1114"/>
      <c r="AW1114"/>
      <c r="AX1114"/>
      <c r="AY1114"/>
      <c r="AZ1114"/>
      <c r="BA1114"/>
      <c r="BB1114"/>
      <c r="BC1114"/>
      <c r="BD1114"/>
      <c r="BE1114"/>
      <c r="BF1114"/>
      <c r="BG1114"/>
      <c r="BH1114"/>
      <c r="BI1114"/>
      <c r="BJ1114"/>
      <c r="BK1114"/>
      <c r="BL1114"/>
      <c r="BM1114"/>
      <c r="BN1114"/>
      <c r="BO1114"/>
      <c r="BP1114"/>
      <c r="BQ1114"/>
      <c r="BR1114"/>
      <c r="BS1114"/>
      <c r="BT1114"/>
      <c r="BU1114"/>
      <c r="BV1114"/>
      <c r="BW1114"/>
      <c r="BX1114"/>
      <c r="BY1114"/>
      <c r="BZ1114"/>
      <c r="CA1114"/>
      <c r="CB1114"/>
      <c r="CC1114"/>
      <c r="CD1114"/>
      <c r="CE1114"/>
      <c r="CF1114"/>
      <c r="CG1114"/>
      <c r="CH1114"/>
      <c r="CI1114"/>
      <c r="CJ1114"/>
      <c r="CK1114"/>
      <c r="CL1114"/>
      <c r="CM1114"/>
      <c r="CN1114"/>
      <c r="CO1114"/>
      <c r="CP1114"/>
      <c r="CQ1114"/>
      <c r="CR1114"/>
      <c r="CS1114"/>
      <c r="CT1114"/>
      <c r="CU1114"/>
      <c r="CV1114"/>
      <c r="CW1114"/>
      <c r="CX1114"/>
      <c r="CY1114"/>
      <c r="CZ1114"/>
      <c r="DA1114"/>
      <c r="DB1114"/>
      <c r="DC1114"/>
      <c r="DD1114"/>
      <c r="DE1114"/>
      <c r="DF1114"/>
      <c r="DG1114"/>
      <c r="DH1114"/>
      <c r="DI1114"/>
      <c r="DJ1114"/>
      <c r="DK1114"/>
      <c r="DL1114"/>
      <c r="DM1114"/>
      <c r="DN1114"/>
      <c r="DO1114"/>
      <c r="DP1114"/>
      <c r="DQ1114"/>
      <c r="DR1114"/>
      <c r="DS1114"/>
      <c r="DT1114"/>
      <c r="DU1114"/>
      <c r="DV1114"/>
      <c r="DW1114"/>
      <c r="DX1114"/>
      <c r="DY1114"/>
      <c r="DZ1114"/>
      <c r="EA1114"/>
      <c r="EB1114"/>
      <c r="EC1114"/>
      <c r="ED1114"/>
      <c r="EE1114"/>
      <c r="EF1114"/>
      <c r="EG1114"/>
      <c r="EH1114"/>
      <c r="EI1114"/>
      <c r="EJ1114"/>
      <c r="EK1114"/>
      <c r="EL1114"/>
      <c r="EM1114"/>
      <c r="EN1114"/>
      <c r="EO1114"/>
      <c r="EP1114"/>
      <c r="EQ1114"/>
      <c r="ER1114"/>
      <c r="ES1114"/>
    </row>
    <row r="1115" spans="1:149">
      <c r="A1115"/>
      <c r="B1115"/>
      <c r="C1115"/>
      <c r="D1115"/>
      <c r="E1115"/>
      <c r="F1115"/>
      <c r="G1115"/>
      <c r="H1115"/>
      <c r="I1115"/>
      <c r="J1115"/>
      <c r="K1115"/>
      <c r="L1115"/>
      <c r="M1115"/>
      <c r="N1115"/>
      <c r="O1115"/>
      <c r="P1115"/>
      <c r="Q1115"/>
      <c r="R1115"/>
      <c r="S1115"/>
      <c r="T1115"/>
      <c r="U1115"/>
      <c r="V1115"/>
      <c r="W1115"/>
      <c r="X1115"/>
      <c r="Y1115"/>
      <c r="Z1115"/>
      <c r="AA1115"/>
      <c r="AB1115"/>
      <c r="AC1115"/>
      <c r="AD1115"/>
      <c r="AE1115"/>
      <c r="AF1115"/>
      <c r="AG1115"/>
      <c r="AH1115"/>
      <c r="AI1115"/>
      <c r="AJ1115"/>
      <c r="AK1115"/>
      <c r="AL1115"/>
      <c r="AM1115"/>
      <c r="AN1115"/>
      <c r="AO1115"/>
      <c r="AP1115"/>
      <c r="AQ1115"/>
      <c r="AR1115"/>
      <c r="AS1115"/>
      <c r="AT1115"/>
      <c r="AU1115"/>
      <c r="AV1115"/>
      <c r="AW1115"/>
      <c r="AX1115"/>
      <c r="AY1115"/>
      <c r="AZ1115"/>
      <c r="BA1115"/>
      <c r="BB1115"/>
      <c r="BC1115"/>
      <c r="BD1115"/>
      <c r="BE1115"/>
      <c r="BF1115"/>
      <c r="BG1115"/>
      <c r="BH1115"/>
      <c r="BI1115"/>
      <c r="BJ1115"/>
      <c r="BK1115"/>
      <c r="BL1115"/>
      <c r="BM1115"/>
      <c r="BN1115"/>
      <c r="BO1115"/>
      <c r="BP1115"/>
      <c r="BQ1115"/>
      <c r="BR1115"/>
      <c r="BS1115"/>
      <c r="BT1115"/>
      <c r="BU1115"/>
      <c r="BV1115"/>
      <c r="BW1115"/>
      <c r="BX1115"/>
      <c r="BY1115"/>
      <c r="BZ1115"/>
      <c r="CA1115"/>
      <c r="CB1115"/>
      <c r="CC1115"/>
      <c r="CD1115"/>
      <c r="CE1115"/>
      <c r="CF1115"/>
      <c r="CG1115"/>
      <c r="CH1115"/>
      <c r="CI1115"/>
      <c r="CJ1115"/>
      <c r="CK1115"/>
      <c r="CL1115"/>
      <c r="CM1115"/>
      <c r="CN1115"/>
      <c r="CO1115"/>
      <c r="CP1115"/>
      <c r="CQ1115"/>
      <c r="CR1115"/>
      <c r="CS1115"/>
      <c r="CT1115"/>
      <c r="CU1115"/>
      <c r="CV1115"/>
      <c r="CW1115"/>
      <c r="CX1115"/>
      <c r="CY1115"/>
      <c r="CZ1115"/>
      <c r="DA1115"/>
      <c r="DB1115"/>
      <c r="DC1115"/>
      <c r="DD1115"/>
      <c r="DE1115"/>
      <c r="DF1115"/>
      <c r="DG1115"/>
      <c r="DH1115"/>
      <c r="DI1115"/>
      <c r="DJ1115"/>
      <c r="DK1115"/>
      <c r="DL1115"/>
      <c r="DM1115"/>
      <c r="DN1115"/>
      <c r="DO1115"/>
      <c r="DP1115"/>
      <c r="DQ1115"/>
      <c r="DR1115"/>
      <c r="DS1115"/>
      <c r="DT1115"/>
      <c r="DU1115"/>
      <c r="DV1115"/>
      <c r="DW1115"/>
      <c r="DX1115"/>
      <c r="DY1115"/>
      <c r="DZ1115"/>
      <c r="EA1115"/>
      <c r="EB1115"/>
      <c r="EC1115"/>
      <c r="ED1115"/>
      <c r="EE1115"/>
      <c r="EF1115"/>
      <c r="EG1115"/>
      <c r="EH1115"/>
      <c r="EI1115"/>
      <c r="EJ1115"/>
      <c r="EK1115"/>
      <c r="EL1115"/>
      <c r="EM1115"/>
      <c r="EN1115"/>
      <c r="EO1115"/>
      <c r="EP1115"/>
      <c r="EQ1115"/>
      <c r="ER1115"/>
      <c r="ES1115"/>
    </row>
    <row r="1116" spans="1:149">
      <c r="A1116"/>
      <c r="B1116"/>
      <c r="C1116"/>
      <c r="D1116"/>
      <c r="E1116"/>
      <c r="F1116"/>
      <c r="G1116"/>
      <c r="H1116"/>
      <c r="I1116"/>
      <c r="J1116"/>
      <c r="K1116"/>
      <c r="L1116"/>
      <c r="M1116"/>
      <c r="N1116"/>
      <c r="O1116"/>
      <c r="P1116"/>
      <c r="Q1116"/>
      <c r="R1116"/>
      <c r="S1116"/>
      <c r="T1116"/>
      <c r="U1116"/>
      <c r="V1116"/>
      <c r="W1116"/>
      <c r="X1116"/>
      <c r="Y1116"/>
      <c r="Z1116"/>
      <c r="AA1116"/>
      <c r="AB1116"/>
      <c r="AC1116"/>
      <c r="AD1116"/>
      <c r="AE1116"/>
      <c r="AF1116"/>
      <c r="AG1116"/>
      <c r="AH1116"/>
      <c r="AI1116"/>
      <c r="AJ1116"/>
      <c r="AK1116"/>
      <c r="AL1116"/>
      <c r="AM1116"/>
      <c r="AN1116"/>
      <c r="AO1116"/>
      <c r="AP1116"/>
      <c r="AQ1116"/>
      <c r="AR1116"/>
      <c r="AS1116"/>
      <c r="AT1116"/>
      <c r="AU1116"/>
      <c r="AV1116"/>
      <c r="AW1116"/>
      <c r="AX1116"/>
      <c r="AY1116"/>
      <c r="AZ1116"/>
      <c r="BA1116"/>
      <c r="BB1116"/>
      <c r="BC1116"/>
      <c r="BD1116"/>
      <c r="BE1116"/>
      <c r="BF1116"/>
      <c r="BG1116"/>
      <c r="BH1116"/>
      <c r="BI1116"/>
      <c r="BJ1116"/>
      <c r="BK1116"/>
      <c r="BL1116"/>
      <c r="BM1116"/>
      <c r="BN1116"/>
      <c r="BO1116"/>
      <c r="BP1116"/>
      <c r="BQ1116"/>
      <c r="BR1116"/>
      <c r="BS1116"/>
      <c r="BT1116"/>
      <c r="BU1116"/>
      <c r="BV1116"/>
      <c r="BW1116"/>
      <c r="BX1116"/>
      <c r="BY1116"/>
      <c r="BZ1116"/>
      <c r="CA1116"/>
      <c r="CB1116"/>
      <c r="CC1116"/>
      <c r="CD1116"/>
      <c r="CE1116"/>
      <c r="CF1116"/>
      <c r="CG1116"/>
      <c r="CH1116"/>
      <c r="CI1116"/>
      <c r="CJ1116"/>
      <c r="CK1116"/>
      <c r="CL1116"/>
      <c r="CM1116"/>
      <c r="CN1116"/>
      <c r="CO1116"/>
      <c r="CP1116"/>
      <c r="CQ1116"/>
      <c r="CR1116"/>
      <c r="CS1116"/>
      <c r="CT1116"/>
      <c r="CU1116"/>
      <c r="CV1116"/>
      <c r="CW1116"/>
      <c r="CX1116"/>
      <c r="CY1116"/>
      <c r="CZ1116"/>
      <c r="DA1116"/>
      <c r="DB1116"/>
      <c r="DC1116"/>
      <c r="DD1116"/>
      <c r="DE1116"/>
      <c r="DF1116"/>
      <c r="DG1116"/>
      <c r="DH1116"/>
      <c r="DI1116"/>
      <c r="DJ1116"/>
      <c r="DK1116"/>
      <c r="DL1116"/>
      <c r="DM1116"/>
      <c r="DN1116"/>
      <c r="DO1116"/>
      <c r="DP1116"/>
      <c r="DQ1116"/>
      <c r="DR1116"/>
      <c r="DS1116"/>
      <c r="DT1116"/>
      <c r="DU1116"/>
      <c r="DV1116"/>
      <c r="DW1116"/>
      <c r="DX1116"/>
      <c r="DY1116"/>
      <c r="DZ1116"/>
      <c r="EA1116"/>
      <c r="EB1116"/>
      <c r="EC1116"/>
      <c r="ED1116"/>
      <c r="EE1116"/>
      <c r="EF1116"/>
      <c r="EG1116"/>
      <c r="EH1116"/>
      <c r="EI1116"/>
      <c r="EJ1116"/>
      <c r="EK1116"/>
      <c r="EL1116"/>
      <c r="EM1116"/>
      <c r="EN1116"/>
      <c r="EO1116"/>
      <c r="EP1116"/>
      <c r="EQ1116"/>
      <c r="ER1116"/>
      <c r="ES1116"/>
    </row>
    <row r="1117" spans="1:149">
      <c r="A1117"/>
      <c r="B1117"/>
      <c r="C1117"/>
      <c r="D1117"/>
      <c r="E1117"/>
      <c r="F1117"/>
      <c r="G1117"/>
      <c r="H1117"/>
      <c r="I1117"/>
      <c r="J1117"/>
      <c r="K1117"/>
      <c r="L1117"/>
      <c r="M1117"/>
      <c r="N1117"/>
      <c r="O1117"/>
      <c r="P1117"/>
      <c r="Q1117"/>
      <c r="R1117"/>
      <c r="S1117"/>
      <c r="T1117"/>
      <c r="U1117"/>
      <c r="V1117"/>
      <c r="W1117"/>
      <c r="X1117"/>
      <c r="Y1117"/>
      <c r="Z1117"/>
      <c r="AA1117"/>
      <c r="AB1117"/>
      <c r="AC1117"/>
      <c r="AD1117"/>
      <c r="AE1117"/>
      <c r="AF1117"/>
      <c r="AG1117"/>
      <c r="AH1117"/>
      <c r="AI1117"/>
      <c r="AJ1117"/>
      <c r="AK1117"/>
      <c r="AL1117"/>
      <c r="AM1117"/>
      <c r="AN1117"/>
      <c r="AO1117"/>
      <c r="AP1117"/>
      <c r="AQ1117"/>
      <c r="AR1117"/>
      <c r="AS1117"/>
      <c r="AT1117"/>
      <c r="AU1117"/>
      <c r="AV1117"/>
      <c r="AW1117"/>
      <c r="AX1117"/>
      <c r="AY1117"/>
      <c r="AZ1117"/>
      <c r="BA1117"/>
      <c r="BB1117"/>
      <c r="BC1117"/>
      <c r="BD1117"/>
      <c r="BE1117"/>
      <c r="BF1117"/>
      <c r="BG1117"/>
      <c r="BH1117"/>
      <c r="BI1117"/>
      <c r="BJ1117"/>
      <c r="BK1117"/>
      <c r="BL1117"/>
      <c r="BM1117"/>
      <c r="BN1117"/>
      <c r="BO1117"/>
      <c r="BP1117"/>
      <c r="BQ1117"/>
      <c r="BR1117"/>
      <c r="BS1117"/>
      <c r="BT1117"/>
      <c r="BU1117"/>
      <c r="BV1117"/>
      <c r="BW1117"/>
      <c r="BX1117"/>
      <c r="BY1117"/>
      <c r="BZ1117"/>
      <c r="CA1117"/>
      <c r="CB1117"/>
      <c r="CC1117"/>
      <c r="CD1117"/>
      <c r="CE1117"/>
      <c r="CF1117"/>
      <c r="CG1117"/>
      <c r="CH1117"/>
      <c r="CI1117"/>
      <c r="CJ1117"/>
      <c r="CK1117"/>
      <c r="CL1117"/>
      <c r="CM1117"/>
      <c r="CN1117"/>
      <c r="CO1117"/>
      <c r="CP1117"/>
      <c r="CQ1117"/>
      <c r="CR1117"/>
      <c r="CS1117"/>
      <c r="CT1117"/>
      <c r="CU1117"/>
      <c r="CV1117"/>
      <c r="CW1117"/>
      <c r="CX1117"/>
      <c r="CY1117"/>
      <c r="CZ1117"/>
      <c r="DA1117"/>
      <c r="DB1117"/>
      <c r="DC1117"/>
      <c r="DD1117"/>
      <c r="DE1117"/>
      <c r="DF1117"/>
      <c r="DG1117"/>
      <c r="DH1117"/>
      <c r="DI1117"/>
      <c r="DJ1117"/>
      <c r="DK1117"/>
      <c r="DL1117"/>
      <c r="DM1117"/>
      <c r="DN1117"/>
      <c r="DO1117"/>
      <c r="DP1117"/>
      <c r="DQ1117"/>
      <c r="DR1117"/>
      <c r="DS1117"/>
      <c r="DT1117"/>
      <c r="DU1117"/>
      <c r="DV1117"/>
      <c r="DW1117"/>
      <c r="DX1117"/>
      <c r="DY1117"/>
      <c r="DZ1117"/>
      <c r="EA1117"/>
      <c r="EB1117"/>
      <c r="EC1117"/>
      <c r="ED1117"/>
      <c r="EE1117"/>
      <c r="EF1117"/>
      <c r="EG1117"/>
      <c r="EH1117"/>
      <c r="EI1117"/>
      <c r="EJ1117"/>
      <c r="EK1117"/>
      <c r="EL1117"/>
      <c r="EM1117"/>
      <c r="EN1117"/>
      <c r="EO1117"/>
      <c r="EP1117"/>
      <c r="EQ1117"/>
      <c r="ER1117"/>
      <c r="ES1117"/>
    </row>
    <row r="1118" spans="1:149">
      <c r="A1118"/>
      <c r="B1118"/>
      <c r="C1118"/>
      <c r="D1118"/>
      <c r="E1118"/>
      <c r="F1118"/>
      <c r="G1118"/>
      <c r="H1118"/>
      <c r="I1118"/>
      <c r="J1118"/>
      <c r="K1118"/>
      <c r="L1118"/>
      <c r="M1118"/>
      <c r="N1118"/>
      <c r="O1118"/>
      <c r="P1118"/>
      <c r="Q1118"/>
      <c r="R1118"/>
      <c r="S1118"/>
      <c r="T1118"/>
      <c r="U1118"/>
      <c r="V1118"/>
      <c r="W1118"/>
      <c r="X1118"/>
      <c r="Y1118"/>
      <c r="Z1118"/>
      <c r="AA1118"/>
      <c r="AB1118"/>
      <c r="AC1118"/>
      <c r="AD1118"/>
      <c r="AE1118"/>
      <c r="AF1118"/>
      <c r="AG1118"/>
      <c r="AH1118"/>
      <c r="AI1118"/>
      <c r="AJ1118"/>
      <c r="AK1118"/>
      <c r="AL1118"/>
      <c r="AM1118"/>
      <c r="AN1118"/>
      <c r="AO1118"/>
      <c r="AP1118"/>
      <c r="AQ1118"/>
      <c r="AR1118"/>
      <c r="AS1118"/>
      <c r="AT1118"/>
      <c r="AU1118"/>
      <c r="AV1118"/>
      <c r="AW1118"/>
      <c r="AX1118"/>
      <c r="AY1118"/>
      <c r="AZ1118"/>
      <c r="BA1118"/>
      <c r="BB1118"/>
      <c r="BC1118"/>
      <c r="BD1118"/>
      <c r="BE1118"/>
      <c r="BF1118"/>
      <c r="BG1118"/>
      <c r="BH1118"/>
      <c r="BI1118"/>
      <c r="BJ1118"/>
      <c r="BK1118"/>
      <c r="BL1118"/>
      <c r="BM1118"/>
      <c r="BN1118"/>
      <c r="BO1118"/>
      <c r="BP1118"/>
      <c r="BQ1118"/>
      <c r="BR1118"/>
      <c r="BS1118"/>
      <c r="BT1118"/>
      <c r="BU1118"/>
      <c r="BV1118"/>
      <c r="BW1118"/>
      <c r="BX1118"/>
      <c r="BY1118"/>
      <c r="BZ1118"/>
      <c r="CA1118"/>
      <c r="CB1118"/>
      <c r="CC1118"/>
      <c r="CD1118"/>
      <c r="CE1118"/>
      <c r="CF1118"/>
      <c r="CG1118"/>
      <c r="CH1118"/>
      <c r="CI1118"/>
      <c r="CJ1118"/>
      <c r="CK1118"/>
      <c r="CL1118"/>
      <c r="CM1118"/>
      <c r="CN1118"/>
      <c r="CO1118"/>
      <c r="CP1118"/>
      <c r="CQ1118"/>
      <c r="CR1118"/>
      <c r="CS1118"/>
      <c r="CT1118"/>
      <c r="CU1118"/>
      <c r="CV1118"/>
      <c r="CW1118"/>
      <c r="CX1118"/>
      <c r="CY1118"/>
      <c r="CZ1118"/>
      <c r="DA1118"/>
      <c r="DB1118"/>
      <c r="DC1118"/>
      <c r="DD1118"/>
      <c r="DE1118"/>
      <c r="DF1118"/>
      <c r="DG1118"/>
      <c r="DH1118"/>
      <c r="DI1118"/>
      <c r="DJ1118"/>
      <c r="DK1118"/>
      <c r="DL1118"/>
      <c r="DM1118"/>
      <c r="DN1118"/>
      <c r="DO1118"/>
      <c r="DP1118"/>
      <c r="DQ1118"/>
      <c r="DR1118"/>
      <c r="DS1118"/>
      <c r="DT1118"/>
      <c r="DU1118"/>
      <c r="DV1118"/>
      <c r="DW1118"/>
      <c r="DX1118"/>
      <c r="DY1118"/>
      <c r="DZ1118"/>
      <c r="EA1118"/>
      <c r="EB1118"/>
      <c r="EC1118"/>
      <c r="ED1118"/>
      <c r="EE1118"/>
      <c r="EF1118"/>
      <c r="EG1118"/>
      <c r="EH1118"/>
      <c r="EI1118"/>
      <c r="EJ1118"/>
      <c r="EK1118"/>
      <c r="EL1118"/>
      <c r="EM1118"/>
      <c r="EN1118"/>
      <c r="EO1118"/>
      <c r="EP1118"/>
      <c r="EQ1118"/>
      <c r="ER1118"/>
      <c r="ES1118"/>
    </row>
    <row r="1119" spans="1:149">
      <c r="A1119"/>
      <c r="B1119"/>
      <c r="C1119"/>
      <c r="D1119"/>
      <c r="E1119"/>
      <c r="F1119"/>
      <c r="G1119"/>
      <c r="H1119"/>
      <c r="I1119"/>
      <c r="J1119"/>
      <c r="K1119"/>
      <c r="L1119"/>
      <c r="M1119"/>
      <c r="N1119"/>
      <c r="O1119"/>
      <c r="P1119"/>
      <c r="Q1119"/>
      <c r="R1119"/>
      <c r="S1119"/>
      <c r="T1119"/>
      <c r="U1119"/>
      <c r="V1119"/>
      <c r="W1119"/>
      <c r="X1119"/>
      <c r="Y1119"/>
      <c r="Z1119"/>
      <c r="AA1119"/>
      <c r="AB1119"/>
      <c r="AC1119"/>
      <c r="AD1119"/>
      <c r="AE1119"/>
      <c r="AF1119"/>
      <c r="AG1119"/>
      <c r="AH1119"/>
      <c r="AI1119"/>
      <c r="AJ1119"/>
      <c r="AK1119"/>
      <c r="AL1119"/>
      <c r="AM1119"/>
      <c r="AN1119"/>
      <c r="AO1119"/>
      <c r="AP1119"/>
      <c r="AQ1119"/>
      <c r="AR1119"/>
      <c r="AS1119"/>
      <c r="AT1119"/>
      <c r="AU1119"/>
      <c r="AV1119"/>
      <c r="AW1119"/>
      <c r="AX1119"/>
      <c r="AY1119"/>
      <c r="AZ1119"/>
      <c r="BA1119"/>
      <c r="BB1119"/>
      <c r="BC1119"/>
      <c r="BD1119"/>
      <c r="BE1119"/>
      <c r="BF1119"/>
      <c r="BG1119"/>
      <c r="BH1119"/>
      <c r="BI1119"/>
      <c r="BJ1119"/>
      <c r="BK1119"/>
      <c r="BL1119"/>
      <c r="BM1119"/>
      <c r="BN1119"/>
      <c r="BO1119"/>
      <c r="BP1119"/>
      <c r="BQ1119"/>
      <c r="BR1119"/>
      <c r="BS1119"/>
      <c r="BT1119"/>
      <c r="BU1119"/>
      <c r="BV1119"/>
      <c r="BW1119"/>
      <c r="BX1119"/>
      <c r="BY1119"/>
      <c r="BZ1119"/>
      <c r="CA1119"/>
      <c r="CB1119"/>
      <c r="CC1119"/>
      <c r="CD1119"/>
      <c r="CE1119"/>
      <c r="CF1119"/>
      <c r="CG1119"/>
      <c r="CH1119"/>
      <c r="CI1119"/>
      <c r="CJ1119"/>
      <c r="CK1119"/>
      <c r="CL1119"/>
      <c r="CM1119"/>
      <c r="CN1119"/>
      <c r="CO1119"/>
      <c r="CP1119"/>
      <c r="CQ1119"/>
      <c r="CR1119"/>
      <c r="CS1119"/>
      <c r="CT1119"/>
      <c r="CU1119"/>
      <c r="CV1119"/>
      <c r="CW1119"/>
      <c r="CX1119"/>
      <c r="CY1119"/>
      <c r="CZ1119"/>
      <c r="DA1119"/>
      <c r="DB1119"/>
      <c r="DC1119"/>
      <c r="DD1119"/>
      <c r="DE1119"/>
      <c r="DF1119"/>
      <c r="DG1119"/>
      <c r="DH1119"/>
      <c r="DI1119"/>
      <c r="DJ1119"/>
      <c r="DK1119"/>
      <c r="DL1119"/>
      <c r="DM1119"/>
      <c r="DN1119"/>
      <c r="DO1119"/>
      <c r="DP1119"/>
      <c r="DQ1119"/>
      <c r="DR1119"/>
      <c r="DS1119"/>
      <c r="DT1119"/>
      <c r="DU1119"/>
      <c r="DV1119"/>
      <c r="DW1119"/>
      <c r="DX1119"/>
      <c r="DY1119"/>
      <c r="DZ1119"/>
      <c r="EA1119"/>
      <c r="EB1119"/>
      <c r="EC1119"/>
      <c r="ED1119"/>
      <c r="EE1119"/>
      <c r="EF1119"/>
      <c r="EG1119"/>
      <c r="EH1119"/>
      <c r="EI1119"/>
      <c r="EJ1119"/>
      <c r="EK1119"/>
      <c r="EL1119"/>
      <c r="EM1119"/>
      <c r="EN1119"/>
      <c r="EO1119"/>
      <c r="EP1119"/>
      <c r="EQ1119"/>
      <c r="ER1119"/>
      <c r="ES1119"/>
    </row>
    <row r="1120" spans="1:149">
      <c r="A1120"/>
      <c r="B1120"/>
      <c r="C1120"/>
      <c r="D1120"/>
      <c r="E1120"/>
      <c r="F1120"/>
      <c r="G1120"/>
      <c r="H1120"/>
      <c r="I1120"/>
      <c r="J1120"/>
      <c r="K1120"/>
      <c r="L1120"/>
      <c r="M1120"/>
      <c r="N1120"/>
      <c r="O1120"/>
      <c r="P1120"/>
      <c r="Q1120"/>
      <c r="R1120"/>
      <c r="S1120"/>
      <c r="T1120"/>
      <c r="U1120"/>
      <c r="V1120"/>
      <c r="W1120"/>
      <c r="X1120"/>
      <c r="Y1120"/>
      <c r="Z1120"/>
      <c r="AA1120"/>
      <c r="AB1120"/>
      <c r="AC1120"/>
      <c r="AD1120"/>
      <c r="AE1120"/>
      <c r="AF1120"/>
      <c r="AG1120"/>
      <c r="AH1120"/>
      <c r="AI1120"/>
      <c r="AJ1120"/>
      <c r="AK1120"/>
      <c r="AL1120"/>
      <c r="AM1120"/>
      <c r="AN1120"/>
      <c r="AO1120"/>
      <c r="AP1120"/>
      <c r="AQ1120"/>
      <c r="AR1120"/>
      <c r="AS1120"/>
      <c r="AT1120"/>
      <c r="AU1120"/>
      <c r="AV1120"/>
      <c r="AW1120"/>
      <c r="AX1120"/>
      <c r="AY1120"/>
      <c r="AZ1120"/>
      <c r="BA1120"/>
      <c r="BB1120"/>
      <c r="BC1120"/>
      <c r="BD1120"/>
      <c r="BE1120"/>
      <c r="BF1120"/>
      <c r="BG1120"/>
      <c r="BH1120"/>
      <c r="BI1120"/>
      <c r="BJ1120"/>
      <c r="BK1120"/>
      <c r="BL1120"/>
      <c r="BM1120"/>
      <c r="BN1120"/>
      <c r="BO1120"/>
      <c r="BP1120"/>
      <c r="BQ1120"/>
      <c r="BR1120"/>
      <c r="BS1120"/>
      <c r="BT1120"/>
      <c r="BU1120"/>
      <c r="BV1120"/>
      <c r="BW1120"/>
      <c r="BX1120"/>
      <c r="BY1120"/>
      <c r="BZ1120"/>
      <c r="CA1120"/>
      <c r="CB1120"/>
      <c r="CC1120"/>
      <c r="CD1120"/>
      <c r="CE1120"/>
      <c r="CF1120"/>
      <c r="CG1120"/>
      <c r="CH1120"/>
      <c r="CI1120"/>
      <c r="CJ1120"/>
      <c r="CK1120"/>
      <c r="CL1120"/>
      <c r="CM1120"/>
      <c r="CN1120"/>
      <c r="CO1120"/>
      <c r="CP1120"/>
      <c r="CQ1120"/>
      <c r="CR1120"/>
      <c r="CS1120"/>
      <c r="CT1120"/>
      <c r="CU1120"/>
      <c r="CV1120"/>
      <c r="CW1120"/>
      <c r="CX1120"/>
      <c r="CY1120"/>
      <c r="CZ1120"/>
      <c r="DA1120"/>
      <c r="DB1120"/>
      <c r="DC1120"/>
      <c r="DD1120"/>
      <c r="DE1120"/>
      <c r="DF1120"/>
      <c r="DG1120"/>
      <c r="DH1120"/>
      <c r="DI1120"/>
      <c r="DJ1120"/>
      <c r="DK1120"/>
      <c r="DL1120"/>
      <c r="DM1120"/>
      <c r="DN1120"/>
      <c r="DO1120"/>
      <c r="DP1120"/>
      <c r="DQ1120"/>
      <c r="DR1120"/>
      <c r="DS1120"/>
      <c r="DT1120"/>
      <c r="DU1120"/>
      <c r="DV1120"/>
      <c r="DW1120"/>
      <c r="DX1120"/>
      <c r="DY1120"/>
      <c r="DZ1120"/>
      <c r="EA1120"/>
      <c r="EB1120"/>
      <c r="EC1120"/>
      <c r="ED1120"/>
      <c r="EE1120"/>
      <c r="EF1120"/>
      <c r="EG1120"/>
      <c r="EH1120"/>
      <c r="EI1120"/>
      <c r="EJ1120"/>
      <c r="EK1120"/>
      <c r="EL1120"/>
      <c r="EM1120"/>
      <c r="EN1120"/>
      <c r="EO1120"/>
      <c r="EP1120"/>
      <c r="EQ1120"/>
      <c r="ER1120"/>
      <c r="ES1120"/>
    </row>
    <row r="1121" spans="1:149">
      <c r="A1121"/>
      <c r="B1121"/>
      <c r="C1121"/>
      <c r="D1121"/>
      <c r="E1121"/>
      <c r="F1121"/>
      <c r="G1121"/>
      <c r="H1121"/>
      <c r="I1121"/>
      <c r="J1121"/>
      <c r="K1121"/>
      <c r="L1121"/>
      <c r="M1121"/>
      <c r="N1121"/>
      <c r="O1121"/>
      <c r="P1121"/>
      <c r="Q1121"/>
      <c r="R1121"/>
      <c r="S1121"/>
      <c r="T1121"/>
      <c r="U1121"/>
      <c r="V1121"/>
      <c r="W1121"/>
      <c r="X1121"/>
      <c r="Y1121"/>
      <c r="Z1121"/>
      <c r="AA1121"/>
      <c r="AB1121"/>
      <c r="AC1121"/>
      <c r="AD1121"/>
      <c r="AE1121"/>
      <c r="AF1121"/>
      <c r="AG1121"/>
      <c r="AH1121"/>
      <c r="AI1121"/>
      <c r="AJ1121"/>
      <c r="AK1121"/>
      <c r="AL1121"/>
      <c r="AM1121"/>
      <c r="AN1121"/>
      <c r="AO1121"/>
      <c r="AP1121"/>
      <c r="AQ1121"/>
      <c r="AR1121"/>
      <c r="AS1121"/>
      <c r="AT1121"/>
      <c r="AU1121"/>
      <c r="AV1121"/>
      <c r="AW1121"/>
      <c r="AX1121"/>
      <c r="AY1121"/>
      <c r="AZ1121"/>
      <c r="BA1121"/>
      <c r="BB1121"/>
      <c r="BC1121"/>
      <c r="BD1121"/>
      <c r="BE1121"/>
      <c r="BF1121"/>
      <c r="BG1121"/>
      <c r="BH1121"/>
      <c r="BI1121"/>
      <c r="BJ1121"/>
      <c r="BK1121"/>
      <c r="BL1121"/>
      <c r="BM1121"/>
      <c r="BN1121"/>
      <c r="BO1121"/>
      <c r="BP1121"/>
      <c r="BQ1121"/>
      <c r="BR1121"/>
      <c r="BS1121"/>
      <c r="BT1121"/>
      <c r="BU1121"/>
      <c r="BV1121"/>
      <c r="BW1121"/>
      <c r="BX1121"/>
      <c r="BY1121"/>
      <c r="BZ1121"/>
      <c r="CA1121"/>
      <c r="CB1121"/>
      <c r="CC1121"/>
      <c r="CD1121"/>
      <c r="CE1121"/>
      <c r="CF1121"/>
      <c r="CG1121"/>
      <c r="CH1121"/>
      <c r="CI1121"/>
      <c r="CJ1121"/>
      <c r="CK1121"/>
      <c r="CL1121"/>
      <c r="CM1121"/>
      <c r="CN1121"/>
      <c r="CO1121"/>
      <c r="CP1121"/>
      <c r="CQ1121"/>
      <c r="CR1121"/>
      <c r="CS1121"/>
      <c r="CT1121"/>
      <c r="CU1121"/>
      <c r="CV1121"/>
      <c r="CW1121"/>
      <c r="CX1121"/>
      <c r="CY1121"/>
      <c r="CZ1121"/>
      <c r="DA1121"/>
      <c r="DB1121"/>
      <c r="DC1121"/>
      <c r="DD1121"/>
      <c r="DE1121"/>
      <c r="DF1121"/>
      <c r="DG1121"/>
      <c r="DH1121"/>
      <c r="DI1121"/>
      <c r="DJ1121"/>
      <c r="DK1121"/>
      <c r="DL1121"/>
      <c r="DM1121"/>
      <c r="DN1121"/>
      <c r="DO1121"/>
      <c r="DP1121"/>
      <c r="DQ1121"/>
      <c r="DR1121"/>
      <c r="DS1121"/>
      <c r="DT1121"/>
      <c r="DU1121"/>
      <c r="DV1121"/>
      <c r="DW1121"/>
      <c r="DX1121"/>
      <c r="DY1121"/>
      <c r="DZ1121"/>
      <c r="EA1121"/>
      <c r="EB1121"/>
      <c r="EC1121"/>
      <c r="ED1121"/>
      <c r="EE1121"/>
      <c r="EF1121"/>
      <c r="EG1121"/>
      <c r="EH1121"/>
      <c r="EI1121"/>
      <c r="EJ1121"/>
      <c r="EK1121"/>
      <c r="EL1121"/>
      <c r="EM1121"/>
      <c r="EN1121"/>
      <c r="EO1121"/>
      <c r="EP1121"/>
      <c r="EQ1121"/>
      <c r="ER1121"/>
      <c r="ES1121"/>
    </row>
    <row r="1122" spans="1:149">
      <c r="A1122"/>
      <c r="B1122"/>
      <c r="C1122"/>
      <c r="D1122"/>
      <c r="E1122"/>
      <c r="F1122"/>
      <c r="G1122"/>
      <c r="H1122"/>
      <c r="I1122"/>
      <c r="J1122"/>
      <c r="K1122"/>
      <c r="L1122"/>
      <c r="M1122"/>
      <c r="N1122"/>
      <c r="O1122"/>
      <c r="P1122"/>
      <c r="Q1122"/>
      <c r="R1122"/>
      <c r="S1122"/>
      <c r="T1122"/>
      <c r="U1122"/>
      <c r="V1122"/>
      <c r="W1122"/>
      <c r="X1122"/>
      <c r="Y1122"/>
      <c r="Z1122"/>
      <c r="AA1122"/>
      <c r="AB1122"/>
      <c r="AC1122"/>
      <c r="AD1122"/>
      <c r="AE1122"/>
      <c r="AF1122"/>
      <c r="AG1122"/>
      <c r="AH1122"/>
      <c r="AI1122"/>
      <c r="AJ1122"/>
      <c r="AK1122"/>
      <c r="AL1122"/>
      <c r="AM1122"/>
      <c r="AN1122"/>
      <c r="AO1122"/>
      <c r="AP1122"/>
      <c r="AQ1122"/>
      <c r="AR1122"/>
      <c r="AS1122"/>
      <c r="AT1122"/>
      <c r="AU1122"/>
      <c r="AV1122"/>
      <c r="AW1122"/>
      <c r="AX1122"/>
      <c r="AY1122"/>
      <c r="AZ1122"/>
      <c r="BA1122"/>
      <c r="BB1122"/>
      <c r="BC1122"/>
      <c r="BD1122"/>
      <c r="BE1122"/>
      <c r="BF1122"/>
      <c r="BG1122"/>
      <c r="BH1122"/>
      <c r="BI1122"/>
      <c r="BJ1122"/>
      <c r="BK1122"/>
      <c r="BL1122"/>
      <c r="BM1122"/>
      <c r="BN1122"/>
      <c r="BO1122"/>
      <c r="BP1122"/>
      <c r="BQ1122"/>
      <c r="BR1122"/>
      <c r="BS1122"/>
      <c r="BT1122"/>
      <c r="BU1122"/>
      <c r="BV1122"/>
      <c r="BW1122"/>
      <c r="BX1122"/>
      <c r="BY1122"/>
      <c r="BZ1122"/>
      <c r="CA1122"/>
      <c r="CB1122"/>
      <c r="CC1122"/>
      <c r="CD1122"/>
      <c r="CE1122"/>
      <c r="CF1122"/>
      <c r="CG1122"/>
      <c r="CH1122"/>
      <c r="CI1122"/>
      <c r="CJ1122"/>
      <c r="CK1122"/>
      <c r="CL1122"/>
      <c r="CM1122"/>
      <c r="CN1122"/>
      <c r="CO1122"/>
      <c r="CP1122"/>
      <c r="CQ1122"/>
      <c r="CR1122"/>
      <c r="CS1122"/>
      <c r="CT1122"/>
      <c r="CU1122"/>
      <c r="CV1122"/>
      <c r="CW1122"/>
      <c r="CX1122"/>
      <c r="CY1122"/>
      <c r="CZ1122"/>
      <c r="DA1122"/>
      <c r="DB1122"/>
      <c r="DC1122"/>
      <c r="DD1122"/>
      <c r="DE1122"/>
      <c r="DF1122"/>
      <c r="DG1122"/>
      <c r="DH1122"/>
      <c r="DI1122"/>
      <c r="DJ1122"/>
      <c r="DK1122"/>
      <c r="DL1122"/>
      <c r="DM1122"/>
      <c r="DN1122"/>
      <c r="DO1122"/>
      <c r="DP1122"/>
      <c r="DQ1122"/>
      <c r="DR1122"/>
      <c r="DS1122"/>
      <c r="DT1122"/>
      <c r="DU1122"/>
      <c r="DV1122"/>
      <c r="DW1122"/>
      <c r="DX1122"/>
      <c r="DY1122"/>
      <c r="DZ1122"/>
      <c r="EA1122"/>
      <c r="EB1122"/>
      <c r="EC1122"/>
      <c r="ED1122"/>
      <c r="EE1122"/>
      <c r="EF1122"/>
      <c r="EG1122"/>
      <c r="EH1122"/>
      <c r="EI1122"/>
      <c r="EJ1122"/>
      <c r="EK1122"/>
      <c r="EL1122"/>
      <c r="EM1122"/>
      <c r="EN1122"/>
      <c r="EO1122"/>
      <c r="EP1122"/>
      <c r="EQ1122"/>
      <c r="ER1122"/>
      <c r="ES1122"/>
    </row>
    <row r="1123" spans="1:149">
      <c r="A1123"/>
      <c r="B1123"/>
      <c r="C1123"/>
      <c r="D1123"/>
      <c r="E1123"/>
      <c r="F1123"/>
      <c r="G1123"/>
      <c r="H1123"/>
      <c r="I1123"/>
      <c r="J1123"/>
      <c r="K1123"/>
      <c r="L1123"/>
      <c r="M1123"/>
      <c r="N1123"/>
      <c r="O1123"/>
      <c r="P1123"/>
      <c r="Q1123"/>
      <c r="R1123"/>
      <c r="S1123"/>
      <c r="T1123"/>
      <c r="U1123"/>
      <c r="V1123"/>
      <c r="W1123"/>
      <c r="X1123"/>
      <c r="Y1123"/>
      <c r="Z1123"/>
      <c r="AA1123"/>
      <c r="AB1123"/>
      <c r="AC1123"/>
      <c r="AD1123"/>
      <c r="AE1123"/>
      <c r="AF1123"/>
      <c r="AG1123"/>
      <c r="AH1123"/>
      <c r="AI1123"/>
      <c r="AJ1123"/>
      <c r="AK1123"/>
      <c r="AL1123"/>
      <c r="AM1123"/>
      <c r="AN1123"/>
      <c r="AO1123"/>
      <c r="AP1123"/>
      <c r="AQ1123"/>
      <c r="AR1123"/>
      <c r="AS1123"/>
      <c r="AT1123"/>
      <c r="AU1123"/>
      <c r="AV1123"/>
      <c r="AW1123"/>
      <c r="AX1123"/>
      <c r="AY1123"/>
      <c r="AZ1123"/>
      <c r="BA1123"/>
      <c r="BB1123"/>
      <c r="BC1123"/>
      <c r="BD1123"/>
      <c r="BE1123"/>
      <c r="BF1123"/>
      <c r="BG1123"/>
      <c r="BH1123"/>
      <c r="BI1123"/>
      <c r="BJ1123"/>
      <c r="BK1123"/>
      <c r="BL1123"/>
      <c r="BM1123"/>
      <c r="BN1123"/>
      <c r="BO1123"/>
      <c r="BP1123"/>
      <c r="BQ1123"/>
      <c r="BR1123"/>
      <c r="BS1123"/>
      <c r="BT1123"/>
      <c r="BU1123"/>
      <c r="BV1123"/>
      <c r="BW1123"/>
      <c r="BX1123"/>
      <c r="BY1123"/>
      <c r="BZ1123"/>
      <c r="CA1123"/>
      <c r="CB1123"/>
      <c r="CC1123"/>
      <c r="CD1123"/>
      <c r="CE1123"/>
      <c r="CF1123"/>
      <c r="CG1123"/>
      <c r="CH1123"/>
      <c r="CI1123"/>
      <c r="CJ1123"/>
      <c r="CK1123"/>
      <c r="CL1123"/>
      <c r="CM1123"/>
      <c r="CN1123"/>
      <c r="CO1123"/>
      <c r="CP1123"/>
      <c r="CQ1123"/>
      <c r="CR1123"/>
      <c r="CS1123"/>
      <c r="CT1123"/>
      <c r="CU1123"/>
      <c r="CV1123"/>
      <c r="CW1123"/>
      <c r="CX1123"/>
      <c r="CY1123"/>
      <c r="CZ1123"/>
      <c r="DA1123"/>
      <c r="DB1123"/>
      <c r="DC1123"/>
      <c r="DD1123"/>
      <c r="DE1123"/>
      <c r="DF1123"/>
      <c r="DG1123"/>
      <c r="DH1123"/>
      <c r="DI1123"/>
      <c r="DJ1123"/>
      <c r="DK1123"/>
      <c r="DL1123"/>
      <c r="DM1123"/>
      <c r="DN1123"/>
      <c r="DO1123"/>
      <c r="DP1123"/>
      <c r="DQ1123"/>
      <c r="DR1123"/>
      <c r="DS1123"/>
      <c r="DT1123"/>
      <c r="DU1123"/>
      <c r="DV1123"/>
      <c r="DW1123"/>
      <c r="DX1123"/>
      <c r="DY1123"/>
      <c r="DZ1123"/>
      <c r="EA1123"/>
      <c r="EB1123"/>
      <c r="EC1123"/>
      <c r="ED1123"/>
      <c r="EE1123"/>
      <c r="EF1123"/>
      <c r="EG1123"/>
      <c r="EH1123"/>
      <c r="EI1123"/>
      <c r="EJ1123"/>
      <c r="EK1123"/>
      <c r="EL1123"/>
      <c r="EM1123"/>
      <c r="EN1123"/>
      <c r="EO1123"/>
      <c r="EP1123"/>
      <c r="EQ1123"/>
      <c r="ER1123"/>
      <c r="ES1123"/>
    </row>
    <row r="1124" spans="1:149">
      <c r="A1124"/>
      <c r="B1124"/>
      <c r="C1124"/>
      <c r="D1124"/>
      <c r="E1124"/>
      <c r="F1124"/>
      <c r="G1124"/>
      <c r="H1124"/>
      <c r="I1124"/>
      <c r="J1124"/>
      <c r="K1124"/>
      <c r="L1124"/>
      <c r="M1124"/>
      <c r="N1124"/>
      <c r="O1124"/>
      <c r="P1124"/>
      <c r="Q1124"/>
      <c r="R1124"/>
      <c r="S1124"/>
      <c r="T1124"/>
      <c r="U1124"/>
      <c r="V1124"/>
      <c r="W1124"/>
      <c r="X1124"/>
      <c r="Y1124"/>
      <c r="Z1124"/>
      <c r="AA1124"/>
      <c r="AB1124"/>
      <c r="AC1124"/>
      <c r="AD1124"/>
      <c r="AE1124"/>
      <c r="AF1124"/>
      <c r="AG1124"/>
      <c r="AH1124"/>
      <c r="AI1124"/>
      <c r="AJ1124"/>
      <c r="AK1124"/>
      <c r="AL1124"/>
      <c r="AM1124"/>
      <c r="AN1124"/>
      <c r="AO1124"/>
      <c r="AP1124"/>
      <c r="AQ1124"/>
      <c r="AR1124"/>
      <c r="AS1124"/>
      <c r="AT1124"/>
      <c r="AU1124"/>
      <c r="AV1124"/>
      <c r="AW1124"/>
      <c r="AX1124"/>
      <c r="AY1124"/>
      <c r="AZ1124"/>
      <c r="BA1124"/>
      <c r="BB1124"/>
      <c r="BC1124"/>
      <c r="BD1124"/>
      <c r="BE1124"/>
      <c r="BF1124"/>
      <c r="BG1124"/>
      <c r="BH1124"/>
      <c r="BI1124"/>
      <c r="BJ1124"/>
      <c r="BK1124"/>
      <c r="BL1124"/>
      <c r="BM1124"/>
      <c r="BN1124"/>
      <c r="BO1124"/>
      <c r="BP1124"/>
      <c r="BQ1124"/>
      <c r="BR1124"/>
      <c r="BS1124"/>
      <c r="BT1124"/>
      <c r="BU1124"/>
      <c r="BV1124"/>
      <c r="BW1124"/>
      <c r="BX1124"/>
      <c r="BY1124"/>
      <c r="BZ1124"/>
      <c r="CA1124"/>
      <c r="CB1124"/>
      <c r="CC1124"/>
      <c r="CD1124"/>
      <c r="CE1124"/>
      <c r="CF1124"/>
      <c r="CG1124"/>
      <c r="CH1124"/>
      <c r="CI1124"/>
      <c r="CJ1124"/>
      <c r="CK1124"/>
      <c r="CL1124"/>
      <c r="CM1124"/>
      <c r="CN1124"/>
      <c r="CO1124"/>
      <c r="CP1124"/>
      <c r="CQ1124"/>
      <c r="CR1124"/>
      <c r="CS1124"/>
      <c r="CT1124"/>
      <c r="CU1124"/>
      <c r="CV1124"/>
      <c r="CW1124"/>
      <c r="CX1124"/>
      <c r="CY1124"/>
      <c r="CZ1124"/>
      <c r="DA1124"/>
      <c r="DB1124"/>
      <c r="DC1124"/>
      <c r="DD1124"/>
      <c r="DE1124"/>
      <c r="DF1124"/>
      <c r="DG1124"/>
      <c r="DH1124"/>
      <c r="DI1124"/>
      <c r="DJ1124"/>
      <c r="DK1124"/>
      <c r="DL1124"/>
      <c r="DM1124"/>
      <c r="DN1124"/>
      <c r="DO1124"/>
      <c r="DP1124"/>
      <c r="DQ1124"/>
      <c r="DR1124"/>
      <c r="DS1124"/>
      <c r="DT1124"/>
      <c r="DU1124"/>
      <c r="DV1124"/>
      <c r="DW1124"/>
      <c r="DX1124"/>
      <c r="DY1124"/>
      <c r="DZ1124"/>
      <c r="EA1124"/>
      <c r="EB1124"/>
      <c r="EC1124"/>
      <c r="ED1124"/>
      <c r="EE1124"/>
      <c r="EF1124"/>
      <c r="EG1124"/>
      <c r="EH1124"/>
      <c r="EI1124"/>
      <c r="EJ1124"/>
      <c r="EK1124"/>
      <c r="EL1124"/>
      <c r="EM1124"/>
      <c r="EN1124"/>
      <c r="EO1124"/>
      <c r="EP1124"/>
      <c r="EQ1124"/>
      <c r="ER1124"/>
      <c r="ES1124"/>
    </row>
    <row r="1125" spans="1:149">
      <c r="A1125"/>
      <c r="B1125"/>
      <c r="C1125"/>
      <c r="D1125"/>
      <c r="E1125"/>
      <c r="F1125"/>
      <c r="G1125"/>
      <c r="H1125"/>
      <c r="I1125"/>
      <c r="J1125"/>
      <c r="K1125"/>
      <c r="L1125"/>
      <c r="M1125"/>
      <c r="N1125"/>
      <c r="O1125"/>
      <c r="P1125"/>
      <c r="Q1125"/>
      <c r="R1125"/>
      <c r="S1125"/>
      <c r="T1125"/>
      <c r="U1125"/>
      <c r="V1125"/>
      <c r="W1125"/>
      <c r="X1125"/>
      <c r="Y1125"/>
      <c r="Z1125"/>
      <c r="AA1125"/>
      <c r="AB1125"/>
      <c r="AC1125"/>
      <c r="AD1125"/>
      <c r="AE1125"/>
      <c r="AF1125"/>
      <c r="AG1125"/>
      <c r="AH1125"/>
      <c r="AI1125"/>
      <c r="AJ1125"/>
      <c r="AK1125"/>
      <c r="AL1125"/>
      <c r="AM1125"/>
      <c r="AN1125"/>
      <c r="AO1125"/>
      <c r="AP1125"/>
      <c r="AQ1125"/>
      <c r="AR1125"/>
      <c r="AS1125"/>
      <c r="AT1125"/>
      <c r="AU1125"/>
      <c r="AV1125"/>
      <c r="AW1125"/>
      <c r="AX1125"/>
      <c r="AY1125"/>
      <c r="AZ1125"/>
      <c r="BA1125"/>
      <c r="BB1125"/>
      <c r="BC1125"/>
      <c r="BD1125"/>
      <c r="BE1125"/>
      <c r="BF1125"/>
      <c r="BG1125"/>
      <c r="BH1125"/>
      <c r="BI1125"/>
      <c r="BJ1125"/>
      <c r="BK1125"/>
      <c r="BL1125"/>
      <c r="BM1125"/>
      <c r="BN1125"/>
      <c r="BO1125"/>
      <c r="BP1125"/>
      <c r="BQ1125"/>
      <c r="BR1125"/>
      <c r="BS1125"/>
      <c r="BT1125"/>
      <c r="BU1125"/>
      <c r="BV1125"/>
      <c r="BW1125"/>
      <c r="BX1125"/>
      <c r="BY1125"/>
      <c r="BZ1125"/>
      <c r="CA1125"/>
      <c r="CB1125"/>
      <c r="CC1125"/>
      <c r="CD1125"/>
      <c r="CE1125"/>
      <c r="CF1125"/>
      <c r="CG1125"/>
      <c r="CH1125"/>
      <c r="CI1125"/>
      <c r="CJ1125"/>
      <c r="CK1125"/>
      <c r="CL1125"/>
      <c r="CM1125"/>
      <c r="CN1125"/>
      <c r="CO1125"/>
      <c r="CP1125"/>
      <c r="CQ1125"/>
      <c r="CR1125"/>
      <c r="CS1125"/>
      <c r="CT1125"/>
      <c r="CU1125"/>
      <c r="CV1125"/>
      <c r="CW1125"/>
      <c r="CX1125"/>
      <c r="CY1125"/>
      <c r="CZ1125"/>
      <c r="DA1125"/>
      <c r="DB1125"/>
      <c r="DC1125"/>
      <c r="DD1125"/>
      <c r="DE1125"/>
      <c r="DF1125"/>
      <c r="DG1125"/>
      <c r="DH1125"/>
      <c r="DI1125"/>
      <c r="DJ1125"/>
      <c r="DK1125"/>
      <c r="DL1125"/>
      <c r="DM1125"/>
      <c r="DN1125"/>
      <c r="DO1125"/>
      <c r="DP1125"/>
      <c r="DQ1125"/>
      <c r="DR1125"/>
      <c r="DS1125"/>
      <c r="DT1125"/>
      <c r="DU1125"/>
      <c r="DV1125"/>
      <c r="DW1125"/>
      <c r="DX1125"/>
      <c r="DY1125"/>
      <c r="DZ1125"/>
      <c r="EA1125"/>
      <c r="EB1125"/>
      <c r="EC1125"/>
      <c r="ED1125"/>
      <c r="EE1125"/>
      <c r="EF1125"/>
      <c r="EG1125"/>
      <c r="EH1125"/>
      <c r="EI1125"/>
      <c r="EJ1125"/>
      <c r="EK1125"/>
      <c r="EL1125"/>
      <c r="EM1125"/>
      <c r="EN1125"/>
      <c r="EO1125"/>
      <c r="EP1125"/>
      <c r="EQ1125"/>
      <c r="ER1125"/>
      <c r="ES1125"/>
    </row>
    <row r="1126" spans="1:149">
      <c r="A1126"/>
      <c r="B1126"/>
      <c r="C1126"/>
      <c r="D1126"/>
      <c r="E1126"/>
      <c r="F1126"/>
      <c r="G1126"/>
      <c r="H1126"/>
      <c r="I1126"/>
      <c r="J1126"/>
      <c r="K1126"/>
      <c r="L1126"/>
      <c r="M1126"/>
      <c r="N1126"/>
      <c r="O1126"/>
      <c r="P1126"/>
      <c r="Q1126"/>
      <c r="R1126"/>
      <c r="S1126"/>
      <c r="T1126"/>
      <c r="U1126"/>
      <c r="V1126"/>
      <c r="W1126"/>
      <c r="X1126"/>
      <c r="Y1126"/>
      <c r="Z1126"/>
      <c r="AA1126"/>
      <c r="AB1126"/>
      <c r="AC1126"/>
      <c r="AD1126"/>
      <c r="AE1126"/>
      <c r="AF1126"/>
      <c r="AG1126"/>
      <c r="AH1126"/>
      <c r="AI1126"/>
      <c r="AJ1126"/>
      <c r="AK1126"/>
      <c r="AL1126"/>
      <c r="AM1126"/>
      <c r="AN1126"/>
      <c r="AO1126"/>
      <c r="AP1126"/>
      <c r="AQ1126"/>
      <c r="AR1126"/>
      <c r="AS1126"/>
      <c r="AT1126"/>
      <c r="AU1126"/>
      <c r="AV1126"/>
      <c r="AW1126"/>
      <c r="AX1126"/>
      <c r="AY1126"/>
      <c r="AZ1126"/>
      <c r="BA1126"/>
      <c r="BB1126"/>
      <c r="BC1126"/>
      <c r="BD1126"/>
      <c r="BE1126"/>
      <c r="BF1126"/>
      <c r="BG1126"/>
      <c r="BH1126"/>
      <c r="BI1126"/>
      <c r="BJ1126"/>
      <c r="BK1126"/>
      <c r="BL1126"/>
      <c r="BM1126"/>
      <c r="BN1126"/>
      <c r="BO1126"/>
      <c r="BP1126"/>
      <c r="BQ1126"/>
      <c r="BR1126"/>
      <c r="BS1126"/>
      <c r="BT1126"/>
      <c r="BU1126"/>
      <c r="BV1126"/>
      <c r="BW1126"/>
      <c r="BX1126"/>
      <c r="BY1126"/>
      <c r="BZ1126"/>
      <c r="CA1126"/>
      <c r="CB1126"/>
      <c r="CC1126"/>
      <c r="CD1126"/>
      <c r="CE1126"/>
      <c r="CF1126"/>
      <c r="CG1126"/>
      <c r="CH1126"/>
      <c r="CI1126"/>
      <c r="CJ1126"/>
      <c r="CK1126"/>
      <c r="CL1126"/>
      <c r="CM1126"/>
      <c r="CN1126"/>
      <c r="CO1126"/>
      <c r="CP1126"/>
      <c r="CQ1126"/>
      <c r="CR1126"/>
      <c r="CS1126"/>
      <c r="CT1126"/>
      <c r="CU1126"/>
      <c r="CV1126"/>
      <c r="CW1126"/>
      <c r="CX1126"/>
      <c r="CY1126"/>
      <c r="CZ1126"/>
      <c r="DA1126"/>
      <c r="DB1126"/>
      <c r="DC1126"/>
      <c r="DD1126"/>
      <c r="DE1126"/>
      <c r="DF1126"/>
      <c r="DG1126"/>
      <c r="DH1126"/>
      <c r="DI1126"/>
      <c r="DJ1126"/>
      <c r="DK1126"/>
      <c r="DL1126"/>
      <c r="DM1126"/>
      <c r="DN1126"/>
      <c r="DO1126"/>
      <c r="DP1126"/>
      <c r="DQ1126"/>
      <c r="DR1126"/>
      <c r="DS1126"/>
      <c r="DT1126"/>
      <c r="DU1126"/>
      <c r="DV1126"/>
      <c r="DW1126"/>
      <c r="DX1126"/>
      <c r="DY1126"/>
      <c r="DZ1126"/>
      <c r="EA1126"/>
      <c r="EB1126"/>
      <c r="EC1126"/>
      <c r="ED1126"/>
      <c r="EE1126"/>
      <c r="EF1126"/>
      <c r="EG1126"/>
      <c r="EH1126"/>
      <c r="EI1126"/>
      <c r="EJ1126"/>
      <c r="EK1126"/>
      <c r="EL1126"/>
      <c r="EM1126"/>
      <c r="EN1126"/>
      <c r="EO1126"/>
      <c r="EP1126"/>
      <c r="EQ1126"/>
      <c r="ER1126"/>
      <c r="ES1126"/>
    </row>
    <row r="1127" spans="1:149">
      <c r="A1127"/>
      <c r="B1127"/>
      <c r="C1127"/>
      <c r="D1127"/>
      <c r="E1127"/>
      <c r="F1127"/>
      <c r="G1127"/>
      <c r="H1127"/>
      <c r="I1127"/>
      <c r="J1127"/>
      <c r="K1127"/>
      <c r="L1127"/>
      <c r="M1127"/>
      <c r="N1127"/>
      <c r="O1127"/>
      <c r="P1127"/>
      <c r="Q1127"/>
      <c r="R1127"/>
      <c r="S1127"/>
      <c r="T1127"/>
      <c r="U1127"/>
      <c r="V1127"/>
      <c r="W1127"/>
      <c r="X1127"/>
      <c r="Y1127"/>
      <c r="Z1127"/>
      <c r="AA1127"/>
      <c r="AB1127"/>
      <c r="AC1127"/>
      <c r="AD1127"/>
      <c r="AE1127"/>
      <c r="AF1127"/>
      <c r="AG1127"/>
      <c r="AH1127"/>
      <c r="AI1127"/>
      <c r="AJ1127"/>
      <c r="AK1127"/>
      <c r="AL1127"/>
      <c r="AM1127"/>
      <c r="AN1127"/>
      <c r="AO1127"/>
      <c r="AP1127"/>
      <c r="AQ1127"/>
      <c r="AR1127"/>
      <c r="AS1127"/>
      <c r="AT1127"/>
      <c r="AU1127"/>
      <c r="AV1127"/>
      <c r="AW1127"/>
      <c r="AX1127"/>
      <c r="AY1127"/>
      <c r="AZ1127"/>
      <c r="BA1127"/>
      <c r="BB1127"/>
      <c r="BC1127"/>
      <c r="BD1127"/>
      <c r="BE1127"/>
      <c r="BF1127"/>
      <c r="BG1127"/>
      <c r="BH1127"/>
      <c r="BI1127"/>
      <c r="BJ1127"/>
      <c r="BK1127"/>
      <c r="BL1127"/>
      <c r="BM1127"/>
      <c r="BN1127"/>
      <c r="BO1127"/>
      <c r="BP1127"/>
      <c r="BQ1127"/>
      <c r="BR1127"/>
      <c r="BS1127"/>
      <c r="BT1127"/>
      <c r="BU1127"/>
      <c r="BV1127"/>
      <c r="BW1127"/>
      <c r="BX1127"/>
      <c r="BY1127"/>
      <c r="BZ1127"/>
      <c r="CA1127"/>
      <c r="CB1127"/>
      <c r="CC1127"/>
      <c r="CD1127"/>
      <c r="CE1127"/>
      <c r="CF1127"/>
      <c r="CG1127"/>
      <c r="CH1127"/>
      <c r="CI1127"/>
      <c r="CJ1127"/>
      <c r="CK1127"/>
      <c r="CL1127"/>
      <c r="CM1127"/>
      <c r="CN1127"/>
      <c r="CO1127"/>
      <c r="CP1127"/>
      <c r="CQ1127"/>
      <c r="CR1127"/>
      <c r="CS1127"/>
      <c r="CT1127"/>
      <c r="CU1127"/>
      <c r="CV1127"/>
      <c r="CW1127"/>
      <c r="CX1127"/>
      <c r="CY1127"/>
      <c r="CZ1127"/>
      <c r="DA1127"/>
      <c r="DB1127"/>
      <c r="DC1127"/>
      <c r="DD1127"/>
      <c r="DE1127"/>
      <c r="DF1127"/>
      <c r="DG1127"/>
      <c r="DH1127"/>
      <c r="DI1127"/>
      <c r="DJ1127"/>
      <c r="DK1127"/>
      <c r="DL1127"/>
      <c r="DM1127"/>
      <c r="DN1127"/>
      <c r="DO1127"/>
      <c r="DP1127"/>
      <c r="DQ1127"/>
      <c r="DR1127"/>
      <c r="DS1127"/>
      <c r="DT1127"/>
      <c r="DU1127"/>
      <c r="DV1127"/>
      <c r="DW1127"/>
      <c r="DX1127"/>
      <c r="DY1127"/>
      <c r="DZ1127"/>
      <c r="EA1127"/>
      <c r="EB1127"/>
      <c r="EC1127"/>
      <c r="ED1127"/>
      <c r="EE1127"/>
      <c r="EF1127"/>
      <c r="EG1127"/>
      <c r="EH1127"/>
      <c r="EI1127"/>
      <c r="EJ1127"/>
      <c r="EK1127"/>
      <c r="EL1127"/>
      <c r="EM1127"/>
      <c r="EN1127"/>
      <c r="EO1127"/>
      <c r="EP1127"/>
      <c r="EQ1127"/>
      <c r="ER1127"/>
      <c r="ES1127"/>
    </row>
    <row r="1128" spans="1:149">
      <c r="A1128"/>
      <c r="B1128"/>
      <c r="C1128"/>
      <c r="D1128"/>
      <c r="E1128"/>
      <c r="F1128"/>
      <c r="G1128"/>
      <c r="H1128"/>
      <c r="I1128"/>
      <c r="J1128"/>
      <c r="K1128"/>
      <c r="L1128"/>
      <c r="M1128"/>
      <c r="N1128"/>
      <c r="O1128"/>
      <c r="P1128"/>
      <c r="Q1128"/>
      <c r="R1128"/>
      <c r="S1128"/>
      <c r="T1128"/>
      <c r="U1128"/>
      <c r="V1128"/>
      <c r="W1128"/>
      <c r="X1128"/>
      <c r="Y1128"/>
      <c r="Z1128"/>
      <c r="AA1128"/>
      <c r="AB1128"/>
      <c r="AC1128"/>
      <c r="AD1128"/>
      <c r="AE1128"/>
      <c r="AF1128"/>
      <c r="AG1128"/>
      <c r="AH1128"/>
      <c r="AI1128"/>
      <c r="AJ1128"/>
      <c r="AK1128"/>
      <c r="AL1128"/>
      <c r="AM1128"/>
      <c r="AN1128"/>
      <c r="AO1128"/>
      <c r="AP1128"/>
      <c r="AQ1128"/>
      <c r="AR1128"/>
      <c r="AS1128"/>
      <c r="AT1128"/>
      <c r="AU1128"/>
      <c r="AV1128"/>
      <c r="AW1128"/>
      <c r="AX1128"/>
      <c r="AY1128"/>
      <c r="AZ1128"/>
      <c r="BA1128"/>
      <c r="BB1128"/>
      <c r="BC1128"/>
      <c r="BD1128"/>
      <c r="BE1128"/>
      <c r="BF1128"/>
      <c r="BG1128"/>
      <c r="BH1128"/>
      <c r="BI1128"/>
      <c r="BJ1128"/>
      <c r="BK1128"/>
      <c r="BL1128"/>
      <c r="BM1128"/>
      <c r="BN1128"/>
      <c r="BO1128"/>
      <c r="BP1128"/>
      <c r="BQ1128"/>
      <c r="BR1128"/>
      <c r="BS1128"/>
      <c r="BT1128"/>
      <c r="BU1128"/>
      <c r="BV1128"/>
      <c r="BW1128"/>
      <c r="BX1128"/>
      <c r="BY1128"/>
      <c r="BZ1128"/>
      <c r="CA1128"/>
      <c r="CB1128"/>
      <c r="CC1128"/>
      <c r="CD1128"/>
      <c r="CE1128"/>
      <c r="CF1128"/>
      <c r="CG1128"/>
      <c r="CH1128"/>
      <c r="CI1128"/>
      <c r="CJ1128"/>
      <c r="CK1128"/>
      <c r="CL1128"/>
      <c r="CM1128"/>
      <c r="CN1128"/>
      <c r="CO1128"/>
      <c r="CP1128"/>
      <c r="CQ1128"/>
      <c r="CR1128"/>
      <c r="CS1128"/>
      <c r="CT1128"/>
      <c r="CU1128"/>
      <c r="CV1128"/>
      <c r="CW1128"/>
      <c r="CX1128"/>
      <c r="CY1128"/>
      <c r="CZ1128"/>
      <c r="DA1128"/>
      <c r="DB1128"/>
      <c r="DC1128"/>
      <c r="DD1128"/>
      <c r="DE1128"/>
      <c r="DF1128"/>
      <c r="DG1128"/>
      <c r="DH1128"/>
      <c r="DI1128"/>
      <c r="DJ1128"/>
      <c r="DK1128"/>
      <c r="DL1128"/>
      <c r="DM1128"/>
      <c r="DN1128"/>
      <c r="DO1128"/>
      <c r="DP1128"/>
      <c r="DQ1128"/>
      <c r="DR1128"/>
      <c r="DS1128"/>
      <c r="DT1128"/>
      <c r="DU1128"/>
      <c r="DV1128"/>
      <c r="DW1128"/>
      <c r="DX1128"/>
      <c r="DY1128"/>
      <c r="DZ1128"/>
      <c r="EA1128"/>
      <c r="EB1128"/>
      <c r="EC1128"/>
      <c r="ED1128"/>
      <c r="EE1128"/>
      <c r="EF1128"/>
      <c r="EG1128"/>
      <c r="EH1128"/>
      <c r="EI1128"/>
      <c r="EJ1128"/>
      <c r="EK1128"/>
      <c r="EL1128"/>
      <c r="EM1128"/>
      <c r="EN1128"/>
      <c r="EO1128"/>
      <c r="EP1128"/>
      <c r="EQ1128"/>
      <c r="ER1128"/>
      <c r="ES1128"/>
    </row>
    <row r="1129" spans="1:149">
      <c r="A1129"/>
      <c r="B1129"/>
      <c r="C1129"/>
      <c r="D1129"/>
      <c r="E1129"/>
      <c r="F1129"/>
      <c r="G1129"/>
      <c r="H1129"/>
      <c r="I1129"/>
      <c r="J1129"/>
      <c r="K1129"/>
      <c r="L1129"/>
      <c r="M1129"/>
      <c r="N1129"/>
      <c r="O1129"/>
      <c r="P1129"/>
      <c r="Q1129"/>
      <c r="R1129"/>
      <c r="S1129"/>
      <c r="T1129"/>
      <c r="U1129"/>
      <c r="V1129"/>
      <c r="W1129"/>
      <c r="X1129"/>
      <c r="Y1129"/>
      <c r="Z1129"/>
      <c r="AA1129"/>
      <c r="AB1129"/>
      <c r="AC1129"/>
      <c r="AD1129"/>
      <c r="AE1129"/>
      <c r="AF1129"/>
      <c r="AG1129"/>
      <c r="AH1129"/>
      <c r="AI1129"/>
      <c r="AJ1129"/>
      <c r="AK1129"/>
      <c r="AL1129"/>
      <c r="AM1129"/>
      <c r="AN1129"/>
      <c r="AO1129"/>
      <c r="AP1129"/>
      <c r="AQ1129"/>
      <c r="AR1129"/>
      <c r="AS1129"/>
      <c r="AT1129"/>
      <c r="AU1129"/>
      <c r="AV1129"/>
      <c r="AW1129"/>
      <c r="AX1129"/>
      <c r="AY1129"/>
      <c r="AZ1129"/>
      <c r="BA1129"/>
      <c r="BB1129"/>
      <c r="BC1129"/>
      <c r="BD1129"/>
      <c r="BE1129"/>
      <c r="BF1129"/>
      <c r="BG1129"/>
      <c r="BH1129"/>
      <c r="BI1129"/>
      <c r="BJ1129"/>
      <c r="BK1129"/>
      <c r="BL1129"/>
      <c r="BM1129"/>
      <c r="BN1129"/>
      <c r="BO1129"/>
      <c r="BP1129"/>
      <c r="BQ1129"/>
      <c r="BR1129"/>
      <c r="BS1129"/>
      <c r="BT1129"/>
      <c r="BU1129"/>
      <c r="BV1129"/>
      <c r="BW1129"/>
      <c r="BX1129"/>
      <c r="BY1129"/>
      <c r="BZ1129"/>
      <c r="CA1129"/>
      <c r="CB1129"/>
      <c r="CC1129"/>
      <c r="CD1129"/>
      <c r="CE1129"/>
      <c r="CF1129"/>
      <c r="CG1129"/>
      <c r="CH1129"/>
      <c r="CI1129"/>
      <c r="CJ1129"/>
      <c r="CK1129"/>
      <c r="CL1129"/>
      <c r="CM1129"/>
      <c r="CN1129"/>
      <c r="CO1129"/>
      <c r="CP1129"/>
      <c r="CQ1129"/>
      <c r="CR1129"/>
      <c r="CS1129"/>
      <c r="CT1129"/>
      <c r="CU1129"/>
      <c r="CV1129"/>
      <c r="CW1129"/>
      <c r="CX1129"/>
      <c r="CY1129"/>
      <c r="CZ1129"/>
      <c r="DA1129"/>
      <c r="DB1129"/>
      <c r="DC1129"/>
      <c r="DD1129"/>
      <c r="DE1129"/>
      <c r="DF1129"/>
      <c r="DG1129"/>
      <c r="DH1129"/>
      <c r="DI1129"/>
      <c r="DJ1129"/>
      <c r="DK1129"/>
      <c r="DL1129"/>
      <c r="DM1129"/>
      <c r="DN1129"/>
      <c r="DO1129"/>
      <c r="DP1129"/>
      <c r="DQ1129"/>
      <c r="DR1129"/>
      <c r="DS1129"/>
      <c r="DT1129"/>
      <c r="DU1129"/>
      <c r="DV1129"/>
      <c r="DW1129"/>
      <c r="DX1129"/>
      <c r="DY1129"/>
      <c r="DZ1129"/>
      <c r="EA1129"/>
      <c r="EB1129"/>
      <c r="EC1129"/>
      <c r="ED1129"/>
      <c r="EE1129"/>
      <c r="EF1129"/>
      <c r="EG1129"/>
      <c r="EH1129"/>
      <c r="EI1129"/>
      <c r="EJ1129"/>
      <c r="EK1129"/>
      <c r="EL1129"/>
      <c r="EM1129"/>
      <c r="EN1129"/>
      <c r="EO1129"/>
      <c r="EP1129"/>
      <c r="EQ1129"/>
      <c r="ER1129"/>
      <c r="ES1129"/>
    </row>
    <row r="1130" spans="1:149">
      <c r="A1130"/>
      <c r="B1130"/>
      <c r="C1130"/>
      <c r="D1130"/>
      <c r="E1130"/>
      <c r="F1130"/>
      <c r="G1130"/>
      <c r="H1130"/>
      <c r="I1130"/>
      <c r="J1130"/>
      <c r="K1130"/>
      <c r="L1130"/>
      <c r="M1130"/>
      <c r="N1130"/>
      <c r="O1130"/>
      <c r="P1130"/>
      <c r="Q1130"/>
      <c r="R1130"/>
      <c r="S1130"/>
      <c r="T1130"/>
      <c r="U1130"/>
      <c r="V1130"/>
      <c r="W1130"/>
      <c r="X1130"/>
      <c r="Y1130"/>
      <c r="Z1130"/>
      <c r="AA1130"/>
      <c r="AB1130"/>
      <c r="AC1130"/>
      <c r="AD1130"/>
      <c r="AE1130"/>
      <c r="AF1130"/>
      <c r="AG1130"/>
      <c r="AH1130"/>
      <c r="AI1130"/>
      <c r="AJ1130"/>
      <c r="AK1130"/>
      <c r="AL1130"/>
      <c r="AM1130"/>
      <c r="AN1130"/>
      <c r="AO1130"/>
      <c r="AP1130"/>
      <c r="AQ1130"/>
      <c r="AR1130"/>
      <c r="AS1130"/>
      <c r="AT1130"/>
      <c r="AU1130"/>
      <c r="AV1130"/>
      <c r="AW1130"/>
      <c r="AX1130"/>
      <c r="AY1130"/>
      <c r="AZ1130"/>
      <c r="BA1130"/>
      <c r="BB1130"/>
      <c r="BC1130"/>
      <c r="BD1130"/>
      <c r="BE1130"/>
      <c r="BF1130"/>
      <c r="BG1130"/>
      <c r="BH1130"/>
      <c r="BI1130"/>
      <c r="BJ1130"/>
      <c r="BK1130"/>
      <c r="BL1130"/>
      <c r="BM1130"/>
      <c r="BN1130"/>
      <c r="BO1130"/>
      <c r="BP1130"/>
      <c r="BQ1130"/>
      <c r="BR1130"/>
      <c r="BS1130"/>
      <c r="BT1130"/>
      <c r="BU1130"/>
      <c r="BV1130"/>
      <c r="BW1130"/>
      <c r="BX1130"/>
      <c r="BY1130"/>
      <c r="BZ1130"/>
      <c r="CA1130"/>
      <c r="CB1130"/>
      <c r="CC1130"/>
      <c r="CD1130"/>
      <c r="CE1130"/>
      <c r="CF1130"/>
      <c r="CG1130"/>
      <c r="CH1130"/>
      <c r="CI1130"/>
      <c r="CJ1130"/>
      <c r="CK1130"/>
      <c r="CL1130"/>
      <c r="CM1130"/>
      <c r="CN1130"/>
      <c r="CO1130"/>
      <c r="CP1130"/>
      <c r="CQ1130"/>
      <c r="CR1130"/>
      <c r="CS1130"/>
      <c r="CT1130"/>
      <c r="CU1130"/>
      <c r="CV1130"/>
      <c r="CW1130"/>
      <c r="CX1130"/>
      <c r="CY1130"/>
      <c r="CZ1130"/>
      <c r="DA1130"/>
      <c r="DB1130"/>
      <c r="DC1130"/>
      <c r="DD1130"/>
      <c r="DE1130"/>
      <c r="DF1130"/>
      <c r="DG1130"/>
      <c r="DH1130"/>
      <c r="DI1130"/>
      <c r="DJ1130"/>
      <c r="DK1130"/>
      <c r="DL1130"/>
      <c r="DM1130"/>
      <c r="DN1130"/>
      <c r="DO1130"/>
      <c r="DP1130"/>
      <c r="DQ1130"/>
      <c r="DR1130"/>
      <c r="DS1130"/>
      <c r="DT1130"/>
      <c r="DU1130"/>
      <c r="DV1130"/>
      <c r="DW1130"/>
      <c r="DX1130"/>
      <c r="DY1130"/>
      <c r="DZ1130"/>
      <c r="EA1130"/>
      <c r="EB1130"/>
      <c r="EC1130"/>
      <c r="ED1130"/>
      <c r="EE1130"/>
      <c r="EF1130"/>
      <c r="EG1130"/>
      <c r="EH1130"/>
      <c r="EI1130"/>
      <c r="EJ1130"/>
      <c r="EK1130"/>
      <c r="EL1130"/>
      <c r="EM1130"/>
      <c r="EN1130"/>
      <c r="EO1130"/>
      <c r="EP1130"/>
      <c r="EQ1130"/>
      <c r="ER1130"/>
      <c r="ES1130"/>
    </row>
    <row r="1131" spans="1:149">
      <c r="A1131"/>
      <c r="B1131"/>
      <c r="C1131"/>
      <c r="D1131"/>
      <c r="E1131"/>
      <c r="F1131"/>
      <c r="G1131"/>
      <c r="H1131"/>
      <c r="I1131"/>
      <c r="J1131"/>
      <c r="K1131"/>
      <c r="L1131"/>
      <c r="M1131"/>
      <c r="N1131"/>
      <c r="O1131"/>
      <c r="P1131"/>
      <c r="Q1131"/>
      <c r="R1131"/>
      <c r="S1131"/>
      <c r="T1131"/>
      <c r="U1131"/>
      <c r="V1131"/>
      <c r="W1131"/>
      <c r="X1131"/>
      <c r="Y1131"/>
      <c r="Z1131"/>
      <c r="AA1131"/>
      <c r="AB1131"/>
      <c r="AC1131"/>
      <c r="AD1131"/>
      <c r="AE1131"/>
      <c r="AF1131"/>
      <c r="AG1131"/>
      <c r="AH1131"/>
      <c r="AI1131"/>
      <c r="AJ1131"/>
      <c r="AK1131"/>
      <c r="AL1131"/>
      <c r="AM1131"/>
      <c r="AN1131"/>
      <c r="AO1131"/>
      <c r="AP1131"/>
      <c r="AQ1131"/>
      <c r="AR1131"/>
      <c r="AS1131"/>
      <c r="AT1131"/>
      <c r="AU1131"/>
      <c r="AV1131"/>
      <c r="AW1131"/>
      <c r="AX1131"/>
      <c r="AY1131"/>
      <c r="AZ1131"/>
      <c r="BA1131"/>
      <c r="BB1131"/>
      <c r="BC1131"/>
      <c r="BD1131"/>
      <c r="BE1131"/>
      <c r="BF1131"/>
      <c r="BG1131"/>
      <c r="BH1131"/>
      <c r="BI1131"/>
      <c r="BJ1131"/>
      <c r="BK1131"/>
      <c r="BL1131"/>
      <c r="BM1131"/>
      <c r="BN1131"/>
      <c r="BO1131"/>
      <c r="BP1131"/>
      <c r="BQ1131"/>
      <c r="BR1131"/>
      <c r="BS1131"/>
      <c r="BT1131"/>
      <c r="BU1131"/>
      <c r="BV1131"/>
      <c r="BW1131"/>
      <c r="BX1131"/>
      <c r="BY1131"/>
      <c r="BZ1131"/>
      <c r="CA1131"/>
      <c r="CB1131"/>
      <c r="CC1131"/>
      <c r="CD1131"/>
      <c r="CE1131"/>
      <c r="CF1131"/>
      <c r="CG1131"/>
      <c r="CH1131"/>
      <c r="CI1131"/>
      <c r="CJ1131"/>
      <c r="CK1131"/>
      <c r="CL1131"/>
      <c r="CM1131"/>
      <c r="CN1131"/>
      <c r="CO1131"/>
      <c r="CP1131"/>
      <c r="CQ1131"/>
      <c r="CR1131"/>
      <c r="CS1131"/>
      <c r="CT1131"/>
      <c r="CU1131"/>
      <c r="CV1131"/>
      <c r="CW1131"/>
      <c r="CX1131"/>
      <c r="CY1131"/>
      <c r="CZ1131"/>
      <c r="DA1131"/>
      <c r="DB1131"/>
      <c r="DC1131"/>
      <c r="DD1131"/>
      <c r="DE1131"/>
      <c r="DF1131"/>
      <c r="DG1131"/>
      <c r="DH1131"/>
      <c r="DI1131"/>
      <c r="DJ1131"/>
      <c r="DK1131"/>
      <c r="DL1131"/>
      <c r="DM1131"/>
      <c r="DN1131"/>
      <c r="DO1131"/>
      <c r="DP1131"/>
      <c r="DQ1131"/>
      <c r="DR1131"/>
      <c r="DS1131"/>
      <c r="DT1131"/>
      <c r="DU1131"/>
      <c r="DV1131"/>
      <c r="DW1131"/>
      <c r="DX1131"/>
      <c r="DY1131"/>
      <c r="DZ1131"/>
      <c r="EA1131"/>
      <c r="EB1131"/>
      <c r="EC1131"/>
      <c r="ED1131"/>
      <c r="EE1131"/>
      <c r="EF1131"/>
      <c r="EG1131"/>
      <c r="EH1131"/>
      <c r="EI1131"/>
      <c r="EJ1131"/>
      <c r="EK1131"/>
      <c r="EL1131"/>
      <c r="EM1131"/>
      <c r="EN1131"/>
      <c r="EO1131"/>
      <c r="EP1131"/>
      <c r="EQ1131"/>
      <c r="ER1131"/>
      <c r="ES1131"/>
    </row>
    <row r="1132" spans="1:149">
      <c r="A1132"/>
      <c r="B1132"/>
      <c r="C1132"/>
      <c r="D1132"/>
      <c r="E1132"/>
      <c r="F1132"/>
      <c r="G1132"/>
      <c r="H1132"/>
      <c r="I1132"/>
      <c r="J1132"/>
      <c r="K1132"/>
      <c r="L1132"/>
      <c r="M1132"/>
      <c r="N1132"/>
      <c r="O1132"/>
      <c r="P1132"/>
      <c r="Q1132"/>
      <c r="R1132"/>
      <c r="S1132"/>
      <c r="T1132"/>
      <c r="U1132"/>
      <c r="V1132"/>
      <c r="W1132"/>
      <c r="X1132"/>
      <c r="Y1132"/>
      <c r="Z1132"/>
      <c r="AA1132"/>
      <c r="AB1132"/>
      <c r="AC1132"/>
      <c r="AD1132"/>
      <c r="AE1132"/>
      <c r="AF1132"/>
      <c r="AG1132"/>
      <c r="AH1132"/>
      <c r="AI1132"/>
      <c r="AJ1132"/>
      <c r="AK1132"/>
      <c r="AL1132"/>
      <c r="AM1132"/>
      <c r="AN1132"/>
      <c r="AO1132"/>
      <c r="AP1132"/>
      <c r="AQ1132"/>
      <c r="AR1132"/>
      <c r="AS1132"/>
      <c r="AT1132"/>
      <c r="AU1132"/>
      <c r="AV1132"/>
      <c r="AW1132"/>
      <c r="AX1132"/>
      <c r="AY1132"/>
      <c r="AZ1132"/>
      <c r="BA1132"/>
      <c r="BB1132"/>
      <c r="BC1132"/>
      <c r="BD1132"/>
      <c r="BE1132"/>
      <c r="BF1132"/>
      <c r="BG1132"/>
      <c r="BH1132"/>
      <c r="BI1132"/>
      <c r="BJ1132"/>
      <c r="BK1132"/>
      <c r="BL1132"/>
      <c r="BM1132"/>
      <c r="BN1132"/>
      <c r="BO1132"/>
      <c r="BP1132"/>
      <c r="BQ1132"/>
      <c r="BR1132"/>
      <c r="BS1132"/>
      <c r="BT1132"/>
      <c r="BU1132"/>
      <c r="BV1132"/>
      <c r="BW1132"/>
      <c r="BX1132"/>
      <c r="BY1132"/>
      <c r="BZ1132"/>
      <c r="CA1132"/>
      <c r="CB1132"/>
      <c r="CC1132"/>
      <c r="CD1132"/>
      <c r="CE1132"/>
      <c r="CF1132"/>
      <c r="CG1132"/>
      <c r="CH1132"/>
      <c r="CI1132"/>
      <c r="CJ1132"/>
      <c r="CK1132"/>
      <c r="CL1132"/>
      <c r="CM1132"/>
      <c r="CN1132"/>
      <c r="CO1132"/>
      <c r="CP1132"/>
      <c r="CQ1132"/>
      <c r="CR1132"/>
      <c r="CS1132"/>
      <c r="CT1132"/>
      <c r="CU1132"/>
      <c r="CV1132"/>
      <c r="CW1132"/>
      <c r="CX1132"/>
      <c r="CY1132"/>
      <c r="CZ1132"/>
      <c r="DA1132"/>
      <c r="DB1132"/>
      <c r="DC1132"/>
      <c r="DD1132"/>
      <c r="DE1132"/>
      <c r="DF1132"/>
      <c r="DG1132"/>
      <c r="DH1132"/>
      <c r="DI1132"/>
      <c r="DJ1132"/>
      <c r="DK1132"/>
      <c r="DL1132"/>
      <c r="DM1132"/>
      <c r="DN1132"/>
      <c r="DO1132"/>
      <c r="DP1132"/>
      <c r="DQ1132"/>
      <c r="DR1132"/>
      <c r="DS1132"/>
      <c r="DT1132"/>
      <c r="DU1132"/>
      <c r="DV1132"/>
      <c r="DW1132"/>
      <c r="DX1132"/>
      <c r="DY1132"/>
      <c r="DZ1132"/>
      <c r="EA1132"/>
      <c r="EB1132"/>
      <c r="EC1132"/>
      <c r="ED1132"/>
      <c r="EE1132"/>
      <c r="EF1132"/>
      <c r="EG1132"/>
      <c r="EH1132"/>
      <c r="EI1132"/>
      <c r="EJ1132"/>
      <c r="EK1132"/>
      <c r="EL1132"/>
      <c r="EM1132"/>
      <c r="EN1132"/>
      <c r="EO1132"/>
      <c r="EP1132"/>
      <c r="EQ1132"/>
      <c r="ER1132"/>
      <c r="ES1132"/>
    </row>
    <row r="1133" spans="1:149">
      <c r="A1133"/>
      <c r="B1133"/>
      <c r="C1133"/>
      <c r="D1133"/>
      <c r="E1133"/>
      <c r="F1133"/>
      <c r="G1133"/>
      <c r="H1133"/>
      <c r="I1133"/>
      <c r="J1133"/>
      <c r="K1133"/>
      <c r="L1133"/>
      <c r="M1133"/>
      <c r="N1133"/>
      <c r="O1133"/>
      <c r="P1133"/>
      <c r="Q1133"/>
      <c r="R1133"/>
      <c r="S1133"/>
      <c r="T1133"/>
      <c r="U1133"/>
      <c r="V1133"/>
      <c r="W1133"/>
      <c r="X1133"/>
      <c r="Y1133"/>
      <c r="Z1133"/>
      <c r="AA1133"/>
      <c r="AB1133"/>
      <c r="AC1133"/>
      <c r="AD1133"/>
      <c r="AE1133"/>
      <c r="AF1133"/>
      <c r="AG1133"/>
      <c r="AH1133"/>
      <c r="AI1133"/>
      <c r="AJ1133"/>
      <c r="AK1133"/>
      <c r="AL1133"/>
      <c r="AM1133"/>
      <c r="AN1133"/>
      <c r="AO1133"/>
      <c r="AP1133"/>
      <c r="AQ1133"/>
      <c r="AR1133"/>
      <c r="AS1133"/>
      <c r="AT1133"/>
      <c r="AU1133"/>
      <c r="AV1133"/>
      <c r="AW1133"/>
      <c r="AX1133"/>
      <c r="AY1133"/>
      <c r="AZ1133"/>
      <c r="BA1133"/>
      <c r="BB1133"/>
      <c r="BC1133"/>
      <c r="BD1133"/>
      <c r="BE1133"/>
      <c r="BF1133"/>
      <c r="BG1133"/>
      <c r="BH1133"/>
      <c r="BI1133"/>
      <c r="BJ1133"/>
      <c r="BK1133"/>
      <c r="BL1133"/>
      <c r="BM1133"/>
      <c r="BN1133"/>
      <c r="BO1133"/>
      <c r="BP1133"/>
      <c r="BQ1133"/>
      <c r="BR1133"/>
      <c r="BS1133"/>
      <c r="BT1133"/>
      <c r="BU1133"/>
      <c r="BV1133"/>
      <c r="BW1133"/>
      <c r="BX1133"/>
      <c r="BY1133"/>
      <c r="BZ1133"/>
      <c r="CA1133"/>
      <c r="CB1133"/>
      <c r="CC1133"/>
      <c r="CD1133"/>
      <c r="CE1133"/>
      <c r="CF1133"/>
      <c r="CG1133"/>
      <c r="CH1133"/>
      <c r="CI1133"/>
      <c r="CJ1133"/>
      <c r="CK1133"/>
      <c r="CL1133"/>
      <c r="CM1133"/>
      <c r="CN1133"/>
      <c r="CO1133"/>
      <c r="CP1133"/>
      <c r="CQ1133"/>
      <c r="CR1133"/>
      <c r="CS1133"/>
      <c r="CT1133"/>
      <c r="CU1133"/>
      <c r="CV1133"/>
      <c r="CW1133"/>
      <c r="CX1133"/>
      <c r="CY1133"/>
      <c r="CZ1133"/>
      <c r="DA1133"/>
      <c r="DB1133"/>
      <c r="DC1133"/>
      <c r="DD1133"/>
      <c r="DE1133"/>
      <c r="DF1133"/>
      <c r="DG1133"/>
      <c r="DH1133"/>
      <c r="DI1133"/>
      <c r="DJ1133"/>
      <c r="DK1133"/>
      <c r="DL1133"/>
      <c r="DM1133"/>
      <c r="DN1133"/>
      <c r="DO1133"/>
      <c r="DP1133"/>
      <c r="DQ1133"/>
      <c r="DR1133"/>
      <c r="DS1133"/>
      <c r="DT1133"/>
      <c r="DU1133"/>
      <c r="DV1133"/>
      <c r="DW1133"/>
      <c r="DX1133"/>
      <c r="DY1133"/>
      <c r="DZ1133"/>
      <c r="EA1133"/>
      <c r="EB1133"/>
      <c r="EC1133"/>
      <c r="ED1133"/>
      <c r="EE1133"/>
      <c r="EF1133"/>
      <c r="EG1133"/>
      <c r="EH1133"/>
      <c r="EI1133"/>
      <c r="EJ1133"/>
      <c r="EK1133"/>
      <c r="EL1133"/>
      <c r="EM1133"/>
      <c r="EN1133"/>
      <c r="EO1133"/>
      <c r="EP1133"/>
      <c r="EQ1133"/>
      <c r="ER1133"/>
      <c r="ES1133"/>
    </row>
    <row r="1134" spans="1:149">
      <c r="A1134"/>
      <c r="B1134"/>
      <c r="C1134"/>
      <c r="D1134"/>
      <c r="E1134"/>
      <c r="F1134"/>
      <c r="G1134"/>
      <c r="H1134"/>
      <c r="I1134"/>
      <c r="J1134"/>
      <c r="K1134"/>
      <c r="L1134"/>
      <c r="M1134"/>
      <c r="N1134"/>
      <c r="O1134"/>
      <c r="P1134"/>
      <c r="Q1134"/>
      <c r="R1134"/>
      <c r="S1134"/>
      <c r="T1134"/>
      <c r="U1134"/>
      <c r="V1134"/>
      <c r="W1134"/>
      <c r="X1134"/>
      <c r="Y1134"/>
      <c r="Z1134"/>
      <c r="AA1134"/>
      <c r="AB1134"/>
      <c r="AC1134"/>
      <c r="AD1134"/>
      <c r="AE1134"/>
      <c r="AF1134"/>
      <c r="AG1134"/>
      <c r="AH1134"/>
      <c r="AI1134"/>
      <c r="AJ1134"/>
      <c r="AK1134"/>
      <c r="AL1134"/>
      <c r="AM1134"/>
      <c r="AN1134"/>
      <c r="AO1134"/>
      <c r="AP1134"/>
      <c r="AQ1134"/>
      <c r="AR1134"/>
      <c r="AS1134"/>
      <c r="AT1134"/>
      <c r="AU1134"/>
      <c r="AV1134"/>
      <c r="AW1134"/>
      <c r="AX1134"/>
      <c r="AY1134"/>
      <c r="AZ1134"/>
      <c r="BA1134"/>
      <c r="BB1134"/>
      <c r="BC1134"/>
      <c r="BD1134"/>
      <c r="BE1134"/>
      <c r="BF1134"/>
      <c r="BG1134"/>
      <c r="BH1134"/>
      <c r="BI1134"/>
      <c r="BJ1134"/>
      <c r="BK1134"/>
      <c r="BL1134"/>
      <c r="BM1134"/>
      <c r="BN1134"/>
      <c r="BO1134"/>
      <c r="BP1134"/>
      <c r="BQ1134"/>
      <c r="BR1134"/>
      <c r="BS1134"/>
      <c r="BT1134"/>
      <c r="BU1134"/>
      <c r="BV1134"/>
      <c r="BW1134"/>
      <c r="BX1134"/>
      <c r="BY1134"/>
      <c r="BZ1134"/>
      <c r="CA1134"/>
      <c r="CB1134"/>
      <c r="CC1134"/>
      <c r="CD1134"/>
      <c r="CE1134"/>
      <c r="CF1134"/>
      <c r="CG1134"/>
      <c r="CH1134"/>
      <c r="CI1134"/>
      <c r="CJ1134"/>
      <c r="CK1134"/>
      <c r="CL1134"/>
      <c r="CM1134"/>
      <c r="CN1134"/>
      <c r="CO1134"/>
      <c r="CP1134"/>
      <c r="CQ1134"/>
      <c r="CR1134"/>
      <c r="CS1134"/>
      <c r="CT1134"/>
      <c r="CU1134"/>
      <c r="CV1134"/>
      <c r="CW1134"/>
      <c r="CX1134"/>
      <c r="CY1134"/>
      <c r="CZ1134"/>
      <c r="DA1134"/>
      <c r="DB1134"/>
      <c r="DC1134"/>
      <c r="DD1134"/>
      <c r="DE1134"/>
      <c r="DF1134"/>
      <c r="DG1134"/>
      <c r="DH1134"/>
      <c r="DI1134"/>
      <c r="DJ1134"/>
      <c r="DK1134"/>
      <c r="DL1134"/>
      <c r="DM1134"/>
      <c r="DN1134"/>
      <c r="DO1134"/>
      <c r="DP1134"/>
      <c r="DQ1134"/>
      <c r="DR1134"/>
      <c r="DS1134"/>
      <c r="DT1134"/>
      <c r="DU1134"/>
      <c r="DV1134"/>
      <c r="DW1134"/>
      <c r="DX1134"/>
      <c r="DY1134"/>
      <c r="DZ1134"/>
      <c r="EA1134"/>
      <c r="EB1134"/>
      <c r="EC1134"/>
      <c r="ED1134"/>
      <c r="EE1134"/>
      <c r="EF1134"/>
      <c r="EG1134"/>
      <c r="EH1134"/>
      <c r="EI1134"/>
      <c r="EJ1134"/>
      <c r="EK1134"/>
      <c r="EL1134"/>
      <c r="EM1134"/>
      <c r="EN1134"/>
      <c r="EO1134"/>
      <c r="EP1134"/>
      <c r="EQ1134"/>
      <c r="ER1134"/>
      <c r="ES1134"/>
    </row>
    <row r="1135" spans="1:149">
      <c r="A1135"/>
      <c r="B1135"/>
      <c r="C1135"/>
      <c r="D1135"/>
      <c r="E1135"/>
      <c r="F1135"/>
      <c r="G1135"/>
      <c r="H1135"/>
      <c r="I1135"/>
      <c r="J1135"/>
      <c r="K1135"/>
      <c r="L1135"/>
      <c r="M1135"/>
      <c r="N1135"/>
      <c r="O1135"/>
      <c r="P1135"/>
      <c r="Q1135"/>
      <c r="R1135"/>
      <c r="S1135"/>
      <c r="T1135"/>
      <c r="U1135"/>
      <c r="V1135"/>
      <c r="W1135"/>
      <c r="X1135"/>
      <c r="Y1135"/>
      <c r="Z1135"/>
      <c r="AA1135"/>
      <c r="AB1135"/>
      <c r="AC1135"/>
      <c r="AD1135"/>
      <c r="AE1135"/>
      <c r="AF1135"/>
      <c r="AG1135"/>
      <c r="AH1135"/>
      <c r="AI1135"/>
      <c r="AJ1135"/>
      <c r="AK1135"/>
      <c r="AL1135"/>
      <c r="AM1135"/>
      <c r="AN1135"/>
      <c r="AO1135"/>
      <c r="AP1135"/>
      <c r="AQ1135"/>
      <c r="AR1135"/>
      <c r="AS1135"/>
      <c r="AT1135"/>
      <c r="AU1135"/>
      <c r="AV1135"/>
      <c r="AW1135"/>
      <c r="AX1135"/>
      <c r="AY1135"/>
      <c r="AZ1135"/>
      <c r="BA1135"/>
      <c r="BB1135"/>
      <c r="BC1135"/>
      <c r="BD1135"/>
      <c r="BE1135"/>
      <c r="BF1135"/>
      <c r="BG1135"/>
      <c r="BH1135"/>
      <c r="BI1135"/>
      <c r="BJ1135"/>
      <c r="BK1135"/>
      <c r="BL1135"/>
      <c r="BM1135"/>
      <c r="BN1135"/>
      <c r="BO1135"/>
      <c r="BP1135"/>
      <c r="BQ1135"/>
      <c r="BR1135"/>
      <c r="BS1135"/>
      <c r="BT1135"/>
      <c r="BU1135"/>
      <c r="BV1135"/>
      <c r="BW1135"/>
      <c r="BX1135"/>
      <c r="BY1135"/>
      <c r="BZ1135"/>
      <c r="CA1135"/>
      <c r="CB1135"/>
      <c r="CC1135"/>
      <c r="CD1135"/>
      <c r="CE1135"/>
      <c r="CF1135"/>
      <c r="CG1135"/>
      <c r="CH1135"/>
      <c r="CI1135"/>
      <c r="CJ1135"/>
      <c r="CK1135"/>
      <c r="CL1135"/>
      <c r="CM1135"/>
      <c r="CN1135"/>
      <c r="CO1135"/>
      <c r="CP1135"/>
      <c r="CQ1135"/>
      <c r="CR1135"/>
      <c r="CS1135"/>
      <c r="CT1135"/>
      <c r="CU1135"/>
      <c r="CV1135"/>
      <c r="CW1135"/>
      <c r="CX1135"/>
      <c r="CY1135"/>
      <c r="CZ1135"/>
      <c r="DA1135"/>
      <c r="DB1135"/>
      <c r="DC1135"/>
      <c r="DD1135"/>
      <c r="DE1135"/>
      <c r="DF1135"/>
      <c r="DG1135"/>
      <c r="DH1135"/>
      <c r="DI1135"/>
      <c r="DJ1135"/>
      <c r="DK1135"/>
      <c r="DL1135"/>
      <c r="DM1135"/>
      <c r="DN1135"/>
      <c r="DO1135"/>
      <c r="DP1135"/>
      <c r="DQ1135"/>
      <c r="DR1135"/>
      <c r="DS1135"/>
      <c r="DT1135"/>
      <c r="DU1135"/>
      <c r="DV1135"/>
      <c r="DW1135"/>
      <c r="DX1135"/>
      <c r="DY1135"/>
      <c r="DZ1135"/>
      <c r="EA1135"/>
      <c r="EB1135"/>
      <c r="EC1135"/>
      <c r="ED1135"/>
      <c r="EE1135"/>
      <c r="EF1135"/>
      <c r="EG1135"/>
      <c r="EH1135"/>
      <c r="EI1135"/>
      <c r="EJ1135"/>
      <c r="EK1135"/>
      <c r="EL1135"/>
      <c r="EM1135"/>
      <c r="EN1135"/>
      <c r="EO1135"/>
      <c r="EP1135"/>
      <c r="EQ1135"/>
      <c r="ER1135"/>
      <c r="ES1135"/>
    </row>
    <row r="1136" spans="1:149">
      <c r="A1136"/>
      <c r="B1136"/>
      <c r="C1136"/>
      <c r="D1136"/>
      <c r="E1136"/>
      <c r="F1136"/>
      <c r="G1136"/>
      <c r="H1136"/>
      <c r="I1136"/>
      <c r="J1136"/>
      <c r="K1136"/>
      <c r="L1136"/>
      <c r="M1136"/>
      <c r="N1136"/>
      <c r="O1136"/>
      <c r="P1136"/>
      <c r="Q1136"/>
      <c r="R1136"/>
      <c r="S1136"/>
      <c r="T1136"/>
      <c r="U1136"/>
      <c r="V1136"/>
      <c r="W1136"/>
      <c r="X1136"/>
      <c r="Y1136"/>
      <c r="Z1136"/>
      <c r="AA1136"/>
      <c r="AB1136"/>
      <c r="AC1136"/>
      <c r="AD1136"/>
      <c r="AE1136"/>
      <c r="AF1136"/>
      <c r="AG1136"/>
      <c r="AH1136"/>
      <c r="AI1136"/>
      <c r="AJ1136"/>
      <c r="AK1136"/>
      <c r="AL1136"/>
      <c r="AM1136"/>
      <c r="AN1136"/>
      <c r="AO1136"/>
      <c r="AP1136"/>
      <c r="AQ1136"/>
      <c r="AR1136"/>
      <c r="AS1136"/>
      <c r="AT1136"/>
      <c r="AU1136"/>
      <c r="AV1136"/>
      <c r="AW1136"/>
      <c r="AX1136"/>
      <c r="AY1136"/>
      <c r="AZ1136"/>
      <c r="BA1136"/>
      <c r="BB1136"/>
      <c r="BC1136"/>
      <c r="BD1136"/>
      <c r="BE1136"/>
      <c r="BF1136"/>
      <c r="BG1136"/>
      <c r="BH1136"/>
      <c r="BI1136"/>
      <c r="BJ1136"/>
      <c r="BK1136"/>
      <c r="BL1136"/>
      <c r="BM1136"/>
      <c r="BN1136"/>
      <c r="BO1136"/>
      <c r="BP1136"/>
      <c r="BQ1136"/>
      <c r="BR1136"/>
      <c r="BS1136"/>
      <c r="BT1136"/>
      <c r="BU1136"/>
      <c r="BV1136"/>
      <c r="BW1136"/>
      <c r="BX1136"/>
      <c r="BY1136"/>
      <c r="BZ1136"/>
      <c r="CA1136"/>
      <c r="CB1136"/>
      <c r="CC1136"/>
      <c r="CD1136"/>
      <c r="CE1136"/>
      <c r="CF1136"/>
      <c r="CG1136"/>
      <c r="CH1136"/>
      <c r="CI1136"/>
      <c r="CJ1136"/>
      <c r="CK1136"/>
      <c r="CL1136"/>
      <c r="CM1136"/>
      <c r="CN1136"/>
      <c r="CO1136"/>
      <c r="CP1136"/>
      <c r="CQ1136"/>
      <c r="CR1136"/>
      <c r="CS1136"/>
      <c r="CT1136"/>
      <c r="CU1136"/>
      <c r="CV1136"/>
      <c r="CW1136"/>
      <c r="CX1136"/>
      <c r="CY1136"/>
      <c r="CZ1136"/>
      <c r="DA1136"/>
      <c r="DB1136"/>
      <c r="DC1136"/>
      <c r="DD1136"/>
      <c r="DE1136"/>
      <c r="DF1136"/>
      <c r="DG1136"/>
      <c r="DH1136"/>
      <c r="DI1136"/>
      <c r="DJ1136"/>
      <c r="DK1136"/>
      <c r="DL1136"/>
      <c r="DM1136"/>
      <c r="DN1136"/>
      <c r="DO1136"/>
      <c r="DP1136"/>
      <c r="DQ1136"/>
      <c r="DR1136"/>
      <c r="DS1136"/>
      <c r="DT1136"/>
      <c r="DU1136"/>
      <c r="DV1136"/>
      <c r="DW1136"/>
      <c r="DX1136"/>
      <c r="DY1136"/>
      <c r="DZ1136"/>
      <c r="EA1136"/>
      <c r="EB1136"/>
      <c r="EC1136"/>
      <c r="ED1136"/>
      <c r="EE1136"/>
      <c r="EF1136"/>
      <c r="EG1136"/>
      <c r="EH1136"/>
      <c r="EI1136"/>
      <c r="EJ1136"/>
      <c r="EK1136"/>
      <c r="EL1136"/>
      <c r="EM1136"/>
      <c r="EN1136"/>
      <c r="EO1136"/>
      <c r="EP1136"/>
      <c r="EQ1136"/>
      <c r="ER1136"/>
      <c r="ES1136"/>
    </row>
    <row r="1137" spans="1:149">
      <c r="A1137"/>
      <c r="B1137"/>
      <c r="C1137"/>
      <c r="D1137"/>
      <c r="E1137"/>
      <c r="F1137"/>
      <c r="G1137"/>
      <c r="H1137"/>
      <c r="I1137"/>
      <c r="J1137"/>
      <c r="K1137"/>
      <c r="L1137"/>
      <c r="M1137"/>
      <c r="N1137"/>
      <c r="O1137"/>
      <c r="P1137"/>
      <c r="Q1137"/>
      <c r="R1137"/>
      <c r="S1137"/>
      <c r="T1137"/>
      <c r="U1137"/>
      <c r="V1137"/>
      <c r="W1137"/>
      <c r="X1137"/>
      <c r="Y1137"/>
      <c r="Z1137"/>
      <c r="AA1137"/>
      <c r="AB1137"/>
      <c r="AC1137"/>
      <c r="AD1137"/>
      <c r="AE1137"/>
      <c r="AF1137"/>
      <c r="AG1137"/>
      <c r="AH1137"/>
      <c r="AI1137"/>
      <c r="AJ1137"/>
      <c r="AK1137"/>
      <c r="AL1137"/>
      <c r="AM1137"/>
      <c r="AN1137"/>
      <c r="AO1137"/>
      <c r="AP1137"/>
      <c r="AQ1137"/>
      <c r="AR1137"/>
      <c r="AS1137"/>
      <c r="AT1137"/>
      <c r="AU1137"/>
      <c r="AV1137"/>
      <c r="AW1137"/>
      <c r="AX1137"/>
      <c r="AY1137"/>
      <c r="AZ1137"/>
      <c r="BA1137"/>
      <c r="BB1137"/>
      <c r="BC1137"/>
      <c r="BD1137"/>
      <c r="BE1137"/>
      <c r="BF1137"/>
      <c r="BG1137"/>
      <c r="BH1137"/>
      <c r="BI1137"/>
      <c r="BJ1137"/>
      <c r="BK1137"/>
      <c r="BL1137"/>
      <c r="BM1137"/>
      <c r="BN1137"/>
      <c r="BO1137"/>
      <c r="BP1137"/>
      <c r="BQ1137"/>
      <c r="BR1137"/>
      <c r="BS1137"/>
      <c r="BT1137"/>
      <c r="BU1137"/>
      <c r="BV1137"/>
      <c r="BW1137"/>
      <c r="BX1137"/>
      <c r="BY1137"/>
      <c r="BZ1137"/>
      <c r="CA1137"/>
      <c r="CB1137"/>
      <c r="CC1137"/>
      <c r="CD1137"/>
      <c r="CE1137"/>
      <c r="CF1137"/>
      <c r="CG1137"/>
      <c r="CH1137"/>
      <c r="CI1137"/>
      <c r="CJ1137"/>
      <c r="CK1137"/>
      <c r="CL1137"/>
      <c r="CM1137"/>
      <c r="CN1137"/>
      <c r="CO1137"/>
      <c r="CP1137"/>
      <c r="CQ1137"/>
      <c r="CR1137"/>
      <c r="CS1137"/>
      <c r="CT1137"/>
      <c r="CU1137"/>
      <c r="CV1137"/>
      <c r="CW1137"/>
      <c r="CX1137"/>
      <c r="CY1137"/>
      <c r="CZ1137"/>
      <c r="DA1137"/>
      <c r="DB1137"/>
      <c r="DC1137"/>
      <c r="DD1137"/>
      <c r="DE1137"/>
      <c r="DF1137"/>
      <c r="DG1137"/>
      <c r="DH1137"/>
      <c r="DI1137"/>
      <c r="DJ1137"/>
      <c r="DK1137"/>
      <c r="DL1137"/>
      <c r="DM1137"/>
      <c r="DN1137"/>
      <c r="DO1137"/>
      <c r="DP1137"/>
      <c r="DQ1137"/>
      <c r="DR1137"/>
      <c r="DS1137"/>
      <c r="DT1137"/>
      <c r="DU1137"/>
      <c r="DV1137"/>
      <c r="DW1137"/>
      <c r="DX1137"/>
      <c r="DY1137"/>
      <c r="DZ1137"/>
      <c r="EA1137"/>
      <c r="EB1137"/>
      <c r="EC1137"/>
      <c r="ED1137"/>
      <c r="EE1137"/>
      <c r="EF1137"/>
      <c r="EG1137"/>
      <c r="EH1137"/>
      <c r="EI1137"/>
      <c r="EJ1137"/>
      <c r="EK1137"/>
      <c r="EL1137"/>
      <c r="EM1137"/>
      <c r="EN1137"/>
      <c r="EO1137"/>
      <c r="EP1137"/>
      <c r="EQ1137"/>
      <c r="ER1137"/>
      <c r="ES1137"/>
    </row>
    <row r="1138" spans="1:149">
      <c r="A1138"/>
      <c r="B1138"/>
      <c r="C1138"/>
      <c r="D1138"/>
      <c r="E1138"/>
      <c r="F1138"/>
      <c r="G1138"/>
      <c r="H1138"/>
      <c r="I1138"/>
      <c r="J1138"/>
      <c r="K1138"/>
      <c r="L1138"/>
      <c r="M1138"/>
      <c r="N1138"/>
      <c r="O1138"/>
      <c r="P1138"/>
      <c r="Q1138"/>
      <c r="R1138"/>
      <c r="S1138"/>
      <c r="T1138"/>
      <c r="U1138"/>
      <c r="V1138"/>
      <c r="W1138"/>
      <c r="X1138"/>
      <c r="Y1138"/>
      <c r="Z1138"/>
      <c r="AA1138"/>
      <c r="AB1138"/>
      <c r="AC1138"/>
      <c r="AD1138"/>
      <c r="AE1138"/>
      <c r="AF1138"/>
      <c r="AG1138"/>
      <c r="AH1138"/>
      <c r="AI1138"/>
      <c r="AJ1138"/>
      <c r="AK1138"/>
      <c r="AL1138"/>
      <c r="AM1138"/>
      <c r="AN1138"/>
      <c r="AO1138"/>
      <c r="AP1138"/>
      <c r="AQ1138"/>
      <c r="AR1138"/>
      <c r="AS1138"/>
      <c r="AT1138"/>
      <c r="AU1138"/>
      <c r="AV1138"/>
      <c r="AW1138"/>
      <c r="AX1138"/>
      <c r="AY1138"/>
      <c r="AZ1138"/>
      <c r="BA1138"/>
      <c r="BB1138"/>
      <c r="BC1138"/>
      <c r="BD1138"/>
      <c r="BE1138"/>
      <c r="BF1138"/>
      <c r="BG1138"/>
      <c r="BH1138"/>
      <c r="BI1138"/>
      <c r="BJ1138"/>
      <c r="BK1138"/>
      <c r="BL1138"/>
      <c r="BM1138"/>
      <c r="BN1138"/>
      <c r="BO1138"/>
      <c r="BP1138"/>
      <c r="BQ1138"/>
      <c r="BR1138"/>
      <c r="BS1138"/>
      <c r="BT1138"/>
      <c r="BU1138"/>
      <c r="BV1138"/>
      <c r="BW1138"/>
      <c r="BX1138"/>
      <c r="BY1138"/>
      <c r="BZ1138"/>
      <c r="CA1138"/>
      <c r="CB1138"/>
      <c r="CC1138"/>
      <c r="CD1138"/>
      <c r="CE1138"/>
      <c r="CF1138"/>
      <c r="CG1138"/>
      <c r="CH1138"/>
      <c r="CI1138"/>
      <c r="CJ1138"/>
      <c r="CK1138"/>
      <c r="CL1138"/>
      <c r="CM1138"/>
      <c r="CN1138"/>
      <c r="CO1138"/>
      <c r="CP1138"/>
      <c r="CQ1138"/>
      <c r="CR1138"/>
      <c r="CS1138"/>
      <c r="CT1138"/>
      <c r="CU1138"/>
      <c r="CV1138"/>
      <c r="CW1138"/>
      <c r="CX1138"/>
      <c r="CY1138"/>
      <c r="CZ1138"/>
      <c r="DA1138"/>
      <c r="DB1138"/>
      <c r="DC1138"/>
      <c r="DD1138"/>
      <c r="DE1138"/>
      <c r="DF1138"/>
      <c r="DG1138"/>
      <c r="DH1138"/>
      <c r="DI1138"/>
      <c r="DJ1138"/>
      <c r="DK1138"/>
      <c r="DL1138"/>
      <c r="DM1138"/>
      <c r="DN1138"/>
      <c r="DO1138"/>
      <c r="DP1138"/>
      <c r="DQ1138"/>
      <c r="DR1138"/>
      <c r="DS1138"/>
      <c r="DT1138"/>
      <c r="DU1138"/>
      <c r="DV1138"/>
      <c r="DW1138"/>
      <c r="DX1138"/>
      <c r="DY1138"/>
      <c r="DZ1138"/>
      <c r="EA1138"/>
      <c r="EB1138"/>
      <c r="EC1138"/>
      <c r="ED1138"/>
      <c r="EE1138"/>
      <c r="EF1138"/>
      <c r="EG1138"/>
      <c r="EH1138"/>
      <c r="EI1138"/>
      <c r="EJ1138"/>
      <c r="EK1138"/>
      <c r="EL1138"/>
      <c r="EM1138"/>
      <c r="EN1138"/>
      <c r="EO1138"/>
      <c r="EP1138"/>
      <c r="EQ1138"/>
      <c r="ER1138"/>
      <c r="ES1138"/>
    </row>
    <row r="1139" spans="1:149">
      <c r="A1139"/>
      <c r="B1139"/>
      <c r="C1139"/>
      <c r="D1139"/>
      <c r="E1139"/>
      <c r="F1139"/>
      <c r="G1139"/>
      <c r="H1139"/>
      <c r="I1139"/>
      <c r="J1139"/>
      <c r="K1139"/>
      <c r="L1139"/>
      <c r="M1139"/>
      <c r="N1139"/>
      <c r="O1139"/>
      <c r="P1139"/>
      <c r="Q1139"/>
      <c r="R1139"/>
      <c r="S1139"/>
      <c r="T1139"/>
      <c r="U1139"/>
      <c r="V1139"/>
      <c r="W1139"/>
      <c r="X1139"/>
      <c r="Y1139"/>
      <c r="Z1139"/>
      <c r="AA1139"/>
      <c r="AB1139"/>
      <c r="AC1139"/>
      <c r="AD1139"/>
      <c r="AE1139"/>
      <c r="AF1139"/>
      <c r="AG1139"/>
      <c r="AH1139"/>
      <c r="AI1139"/>
      <c r="AJ1139"/>
      <c r="AK1139"/>
      <c r="AL1139"/>
      <c r="AM1139"/>
      <c r="AN1139"/>
      <c r="AO1139"/>
      <c r="AP1139"/>
      <c r="AQ1139"/>
      <c r="AR1139"/>
      <c r="AS1139"/>
      <c r="AT1139"/>
      <c r="AU1139"/>
      <c r="AV1139"/>
      <c r="AW1139"/>
      <c r="AX1139"/>
      <c r="AY1139"/>
      <c r="AZ1139"/>
      <c r="BA1139"/>
      <c r="BB1139"/>
      <c r="BC1139"/>
      <c r="BD1139"/>
      <c r="BE1139"/>
      <c r="BF1139"/>
      <c r="BG1139"/>
      <c r="BH1139"/>
      <c r="BI1139"/>
      <c r="BJ1139"/>
      <c r="BK1139"/>
      <c r="BL1139"/>
      <c r="BM1139"/>
      <c r="BN1139"/>
      <c r="BO1139"/>
      <c r="BP1139"/>
      <c r="BQ1139"/>
      <c r="BR1139"/>
      <c r="BS1139"/>
      <c r="BT1139"/>
      <c r="BU1139"/>
      <c r="BV1139"/>
      <c r="BW1139"/>
      <c r="BX1139"/>
      <c r="BY1139"/>
      <c r="BZ1139"/>
      <c r="CA1139"/>
      <c r="CB1139"/>
      <c r="CC1139"/>
      <c r="CD1139"/>
      <c r="CE1139"/>
      <c r="CF1139"/>
      <c r="CG1139"/>
      <c r="CH1139"/>
      <c r="CI1139"/>
      <c r="CJ1139"/>
      <c r="CK1139"/>
      <c r="CL1139"/>
      <c r="CM1139"/>
      <c r="CN1139"/>
      <c r="CO1139"/>
      <c r="CP1139"/>
      <c r="CQ1139"/>
      <c r="CR1139"/>
      <c r="CS1139"/>
      <c r="CT1139"/>
      <c r="CU1139"/>
      <c r="CV1139"/>
      <c r="CW1139"/>
      <c r="CX1139"/>
      <c r="CY1139"/>
      <c r="CZ1139"/>
      <c r="DA1139"/>
      <c r="DB1139"/>
      <c r="DC1139"/>
      <c r="DD1139"/>
      <c r="DE1139"/>
      <c r="DF1139"/>
      <c r="DG1139"/>
      <c r="DH1139"/>
      <c r="DI1139"/>
      <c r="DJ1139"/>
      <c r="DK1139"/>
      <c r="DL1139"/>
      <c r="DM1139"/>
      <c r="DN1139"/>
      <c r="DO1139"/>
      <c r="DP1139"/>
      <c r="DQ1139"/>
      <c r="DR1139"/>
      <c r="DS1139"/>
      <c r="DT1139"/>
      <c r="DU1139"/>
      <c r="DV1139"/>
      <c r="DW1139"/>
      <c r="DX1139"/>
      <c r="DY1139"/>
      <c r="DZ1139"/>
      <c r="EA1139"/>
      <c r="EB1139"/>
      <c r="EC1139"/>
      <c r="ED1139"/>
      <c r="EE1139"/>
      <c r="EF1139"/>
      <c r="EG1139"/>
      <c r="EH1139"/>
      <c r="EI1139"/>
      <c r="EJ1139"/>
      <c r="EK1139"/>
      <c r="EL1139"/>
      <c r="EM1139"/>
      <c r="EN1139"/>
      <c r="EO1139"/>
      <c r="EP1139"/>
      <c r="EQ1139"/>
      <c r="ER1139"/>
      <c r="ES1139"/>
    </row>
    <row r="1140" spans="1:149">
      <c r="A1140"/>
      <c r="B1140"/>
      <c r="C1140"/>
      <c r="D1140"/>
      <c r="E1140"/>
      <c r="F1140"/>
      <c r="G1140"/>
      <c r="H1140"/>
      <c r="I1140"/>
      <c r="J1140"/>
      <c r="K1140"/>
      <c r="L1140"/>
      <c r="M1140"/>
      <c r="N1140"/>
      <c r="O1140"/>
      <c r="P1140"/>
      <c r="Q1140"/>
      <c r="R1140"/>
      <c r="S1140"/>
      <c r="T1140"/>
      <c r="U1140"/>
      <c r="V1140"/>
      <c r="W1140"/>
      <c r="X1140"/>
      <c r="Y1140"/>
      <c r="Z1140"/>
      <c r="AA1140"/>
      <c r="AB1140"/>
      <c r="AC1140"/>
      <c r="AD1140"/>
      <c r="AE1140"/>
      <c r="AF1140"/>
      <c r="AG1140"/>
      <c r="AH1140"/>
      <c r="AI1140"/>
      <c r="AJ1140"/>
      <c r="AK1140"/>
      <c r="AL1140"/>
      <c r="AM1140"/>
      <c r="AN1140"/>
      <c r="AO1140"/>
      <c r="AP1140"/>
      <c r="AQ1140"/>
      <c r="AR1140"/>
      <c r="AS1140"/>
      <c r="AT1140"/>
      <c r="AU1140"/>
      <c r="AV1140"/>
      <c r="AW1140"/>
      <c r="AX1140"/>
      <c r="AY1140"/>
      <c r="AZ1140"/>
      <c r="BA1140"/>
      <c r="BB1140"/>
      <c r="BC1140"/>
      <c r="BD1140"/>
      <c r="BE1140"/>
      <c r="BF1140"/>
      <c r="BG1140"/>
      <c r="BH1140"/>
      <c r="BI1140"/>
      <c r="BJ1140"/>
      <c r="BK1140"/>
      <c r="BL1140"/>
      <c r="BM1140"/>
      <c r="BN1140"/>
      <c r="BO1140"/>
      <c r="BP1140"/>
      <c r="BQ1140"/>
      <c r="BR1140"/>
      <c r="BS1140"/>
      <c r="BT1140"/>
      <c r="BU1140"/>
      <c r="BV1140"/>
      <c r="BW1140"/>
      <c r="BX1140"/>
      <c r="BY1140"/>
      <c r="BZ1140"/>
      <c r="CA1140"/>
      <c r="CB1140"/>
      <c r="CC1140"/>
      <c r="CD1140"/>
      <c r="CE1140"/>
      <c r="CF1140"/>
      <c r="CG1140"/>
      <c r="CH1140"/>
      <c r="CI1140"/>
      <c r="CJ1140"/>
      <c r="CK1140"/>
      <c r="CL1140"/>
      <c r="CM1140"/>
      <c r="CN1140"/>
      <c r="CO1140"/>
      <c r="CP1140"/>
      <c r="CQ1140"/>
      <c r="CR1140"/>
      <c r="CS1140"/>
      <c r="CT1140"/>
      <c r="CU1140"/>
      <c r="CV1140"/>
      <c r="CW1140"/>
      <c r="CX1140"/>
      <c r="CY1140"/>
      <c r="CZ1140"/>
      <c r="DA1140"/>
      <c r="DB1140"/>
      <c r="DC1140"/>
      <c r="DD1140"/>
      <c r="DE1140"/>
      <c r="DF1140"/>
      <c r="DG1140"/>
      <c r="DH1140"/>
      <c r="DI1140"/>
      <c r="DJ1140"/>
      <c r="DK1140"/>
      <c r="DL1140"/>
      <c r="DM1140"/>
      <c r="DN1140"/>
      <c r="DO1140"/>
      <c r="DP1140"/>
      <c r="DQ1140"/>
      <c r="DR1140"/>
      <c r="DS1140"/>
      <c r="DT1140"/>
      <c r="DU1140"/>
      <c r="DV1140"/>
      <c r="DW1140"/>
      <c r="DX1140"/>
      <c r="DY1140"/>
      <c r="DZ1140"/>
      <c r="EA1140"/>
      <c r="EB1140"/>
      <c r="EC1140"/>
      <c r="ED1140"/>
      <c r="EE1140"/>
      <c r="EF1140"/>
      <c r="EG1140"/>
      <c r="EH1140"/>
      <c r="EI1140"/>
      <c r="EJ1140"/>
      <c r="EK1140"/>
      <c r="EL1140"/>
      <c r="EM1140"/>
      <c r="EN1140"/>
      <c r="EO1140"/>
      <c r="EP1140"/>
      <c r="EQ1140"/>
      <c r="ER1140"/>
      <c r="ES1140"/>
    </row>
    <row r="1141" spans="1:149">
      <c r="A1141"/>
      <c r="B1141"/>
      <c r="C1141"/>
      <c r="D1141"/>
      <c r="E1141"/>
      <c r="F1141"/>
      <c r="G1141"/>
      <c r="H1141"/>
      <c r="I1141"/>
      <c r="J1141"/>
      <c r="K1141"/>
      <c r="L1141"/>
      <c r="M1141"/>
      <c r="N1141"/>
      <c r="O1141"/>
      <c r="P1141"/>
      <c r="Q1141"/>
      <c r="R1141"/>
      <c r="S1141"/>
      <c r="T1141"/>
      <c r="U1141"/>
      <c r="V1141"/>
      <c r="W1141"/>
      <c r="X1141"/>
      <c r="Y1141"/>
      <c r="Z1141"/>
      <c r="AA1141"/>
      <c r="AB1141"/>
      <c r="AC1141"/>
      <c r="AD1141"/>
      <c r="AE1141"/>
      <c r="AF1141"/>
      <c r="AG1141"/>
      <c r="AH1141"/>
      <c r="AI1141"/>
      <c r="AJ1141"/>
      <c r="AK1141"/>
      <c r="AL1141"/>
      <c r="AM1141"/>
      <c r="AN1141"/>
      <c r="AO1141"/>
      <c r="AP1141"/>
      <c r="AQ1141"/>
      <c r="AR1141"/>
      <c r="AS1141"/>
      <c r="AT1141"/>
      <c r="AU1141"/>
      <c r="AV1141"/>
      <c r="AW1141"/>
      <c r="AX1141"/>
      <c r="AY1141"/>
      <c r="AZ1141"/>
      <c r="BA1141"/>
      <c r="BB1141"/>
      <c r="BC1141"/>
      <c r="BD1141"/>
      <c r="BE1141"/>
      <c r="BF1141"/>
      <c r="BG1141"/>
      <c r="BH1141"/>
      <c r="BI1141"/>
      <c r="BJ1141"/>
      <c r="BK1141"/>
      <c r="BL1141"/>
      <c r="BM1141"/>
      <c r="BN1141"/>
      <c r="BO1141"/>
      <c r="BP1141"/>
      <c r="BQ1141"/>
      <c r="BR1141"/>
      <c r="BS1141"/>
      <c r="BT1141"/>
      <c r="BU1141"/>
      <c r="BV1141"/>
      <c r="BW1141"/>
      <c r="BX1141"/>
      <c r="BY1141"/>
      <c r="BZ1141"/>
      <c r="CA1141"/>
      <c r="CB1141"/>
      <c r="CC1141"/>
      <c r="CD1141"/>
      <c r="CE1141"/>
      <c r="CF1141"/>
      <c r="CG1141"/>
      <c r="CH1141"/>
      <c r="CI1141"/>
      <c r="CJ1141"/>
      <c r="CK1141"/>
      <c r="CL1141"/>
      <c r="CM1141"/>
      <c r="CN1141"/>
      <c r="CO1141"/>
      <c r="CP1141"/>
      <c r="CQ1141"/>
      <c r="CR1141"/>
      <c r="CS1141"/>
      <c r="CT1141"/>
      <c r="CU1141"/>
      <c r="CV1141"/>
      <c r="CW1141"/>
      <c r="CX1141"/>
      <c r="CY1141"/>
      <c r="CZ1141"/>
      <c r="DA1141"/>
      <c r="DB1141"/>
      <c r="DC1141"/>
      <c r="DD1141"/>
      <c r="DE1141"/>
      <c r="DF1141"/>
      <c r="DG1141"/>
      <c r="DH1141"/>
      <c r="DI1141"/>
      <c r="DJ1141"/>
      <c r="DK1141"/>
      <c r="DL1141"/>
      <c r="DM1141"/>
      <c r="DN1141"/>
      <c r="DO1141"/>
      <c r="DP1141"/>
      <c r="DQ1141"/>
      <c r="DR1141"/>
      <c r="DS1141"/>
      <c r="DT1141"/>
      <c r="DU1141"/>
      <c r="DV1141"/>
      <c r="DW1141"/>
      <c r="DX1141"/>
      <c r="DY1141"/>
      <c r="DZ1141"/>
      <c r="EA1141"/>
      <c r="EB1141"/>
      <c r="EC1141"/>
      <c r="ED1141"/>
      <c r="EE1141"/>
      <c r="EF1141"/>
      <c r="EG1141"/>
      <c r="EH1141"/>
      <c r="EI1141"/>
      <c r="EJ1141"/>
      <c r="EK1141"/>
      <c r="EL1141"/>
      <c r="EM1141"/>
      <c r="EN1141"/>
      <c r="EO1141"/>
      <c r="EP1141"/>
      <c r="EQ1141"/>
      <c r="ER1141"/>
      <c r="ES1141"/>
    </row>
    <row r="1142" spans="1:149">
      <c r="A1142"/>
      <c r="B1142"/>
      <c r="C1142"/>
      <c r="D1142"/>
      <c r="E1142"/>
      <c r="F1142"/>
      <c r="G1142"/>
      <c r="H1142"/>
      <c r="I1142"/>
      <c r="J1142"/>
      <c r="K1142"/>
      <c r="L1142"/>
      <c r="M1142"/>
      <c r="N1142"/>
      <c r="O1142"/>
      <c r="P1142"/>
      <c r="Q1142"/>
      <c r="R1142"/>
      <c r="S1142"/>
      <c r="T1142"/>
      <c r="U1142"/>
      <c r="V1142"/>
      <c r="W1142"/>
      <c r="X1142"/>
      <c r="Y1142"/>
      <c r="Z1142"/>
      <c r="AA1142"/>
      <c r="AB1142"/>
      <c r="AC1142"/>
      <c r="AD1142"/>
      <c r="AE1142"/>
      <c r="AF1142"/>
      <c r="AG1142"/>
      <c r="AH1142"/>
      <c r="AI1142"/>
      <c r="AJ1142"/>
      <c r="AK1142"/>
      <c r="AL1142"/>
      <c r="AM1142"/>
      <c r="AN1142"/>
      <c r="AO1142"/>
      <c r="AP1142"/>
      <c r="AQ1142"/>
      <c r="AR1142"/>
      <c r="AS1142"/>
      <c r="AT1142"/>
      <c r="AU1142"/>
      <c r="AV1142"/>
      <c r="AW1142"/>
      <c r="AX1142"/>
      <c r="AY1142"/>
      <c r="AZ1142"/>
      <c r="BA1142"/>
      <c r="BB1142"/>
      <c r="BC1142"/>
      <c r="BD1142"/>
      <c r="BE1142"/>
      <c r="BF1142"/>
      <c r="BG1142"/>
      <c r="BH1142"/>
      <c r="BI1142"/>
      <c r="BJ1142"/>
      <c r="BK1142"/>
      <c r="BL1142"/>
      <c r="BM1142"/>
      <c r="BN1142"/>
      <c r="BO1142"/>
      <c r="BP1142"/>
      <c r="BQ1142"/>
      <c r="BR1142"/>
      <c r="BS1142"/>
      <c r="BT1142"/>
      <c r="BU1142"/>
      <c r="BV1142"/>
      <c r="BW1142"/>
      <c r="BX1142"/>
      <c r="BY1142"/>
      <c r="BZ1142"/>
      <c r="CA1142"/>
      <c r="CB1142"/>
      <c r="CC1142"/>
      <c r="CD1142"/>
      <c r="CE1142"/>
      <c r="CF1142"/>
      <c r="CG1142"/>
      <c r="CH1142"/>
      <c r="CI1142"/>
      <c r="CJ1142"/>
      <c r="CK1142"/>
      <c r="CL1142"/>
      <c r="CM1142"/>
      <c r="CN1142"/>
      <c r="CO1142"/>
      <c r="CP1142"/>
      <c r="CQ1142"/>
      <c r="CR1142"/>
      <c r="CS1142"/>
      <c r="CT1142"/>
      <c r="CU1142"/>
      <c r="CV1142"/>
      <c r="CW1142"/>
      <c r="CX1142"/>
      <c r="CY1142"/>
      <c r="CZ1142"/>
      <c r="DA1142"/>
      <c r="DB1142"/>
      <c r="DC1142"/>
      <c r="DD1142"/>
      <c r="DE1142"/>
      <c r="DF1142"/>
      <c r="DG1142"/>
      <c r="DH1142"/>
      <c r="DI1142"/>
      <c r="DJ1142"/>
      <c r="DK1142"/>
      <c r="DL1142"/>
      <c r="DM1142"/>
      <c r="DN1142"/>
      <c r="DO1142"/>
      <c r="DP1142"/>
      <c r="DQ1142"/>
      <c r="DR1142"/>
      <c r="DS1142"/>
      <c r="DT1142"/>
      <c r="DU1142"/>
      <c r="DV1142"/>
      <c r="DW1142"/>
      <c r="DX1142"/>
      <c r="DY1142"/>
      <c r="DZ1142"/>
      <c r="EA1142"/>
      <c r="EB1142"/>
      <c r="EC1142"/>
      <c r="ED1142"/>
      <c r="EE1142"/>
      <c r="EF1142"/>
      <c r="EG1142"/>
      <c r="EH1142"/>
      <c r="EI1142"/>
      <c r="EJ1142"/>
      <c r="EK1142"/>
      <c r="EL1142"/>
      <c r="EM1142"/>
      <c r="EN1142"/>
      <c r="EO1142"/>
      <c r="EP1142"/>
      <c r="EQ1142"/>
      <c r="ER1142"/>
      <c r="ES1142"/>
    </row>
    <row r="1143" spans="1:149">
      <c r="A1143"/>
      <c r="B1143"/>
      <c r="C1143"/>
      <c r="D1143"/>
      <c r="E1143"/>
      <c r="F1143"/>
      <c r="G1143"/>
      <c r="H1143"/>
      <c r="I1143"/>
      <c r="J1143"/>
      <c r="K1143"/>
      <c r="L1143"/>
      <c r="M1143"/>
      <c r="N1143"/>
      <c r="O1143"/>
      <c r="P1143"/>
      <c r="Q1143"/>
      <c r="R1143"/>
      <c r="S1143"/>
      <c r="T1143"/>
      <c r="U1143"/>
      <c r="V1143"/>
      <c r="W1143"/>
      <c r="X1143"/>
      <c r="Y1143"/>
      <c r="Z1143"/>
      <c r="AA1143"/>
      <c r="AB1143"/>
      <c r="AC1143"/>
      <c r="AD1143"/>
      <c r="AE1143"/>
      <c r="AF1143"/>
      <c r="AG1143"/>
      <c r="AH1143"/>
      <c r="AI1143"/>
      <c r="AJ1143"/>
      <c r="AK1143"/>
      <c r="AL1143"/>
      <c r="AM1143"/>
      <c r="AN1143"/>
      <c r="AO1143"/>
      <c r="AP1143"/>
      <c r="AQ1143"/>
      <c r="AR1143"/>
      <c r="AS1143"/>
      <c r="AT1143"/>
      <c r="AU1143"/>
      <c r="AV1143"/>
      <c r="AW1143"/>
      <c r="AX1143"/>
      <c r="AY1143"/>
      <c r="AZ1143"/>
      <c r="BA1143"/>
      <c r="BB1143"/>
      <c r="BC1143"/>
      <c r="BD1143"/>
      <c r="BE1143"/>
      <c r="BF1143"/>
      <c r="BG1143"/>
      <c r="BH1143"/>
      <c r="BI1143"/>
      <c r="BJ1143"/>
      <c r="BK1143"/>
      <c r="BL1143"/>
      <c r="BM1143"/>
      <c r="BN1143"/>
      <c r="BO1143"/>
      <c r="BP1143"/>
      <c r="BQ1143"/>
      <c r="BR1143"/>
      <c r="BS1143"/>
      <c r="BT1143"/>
      <c r="BU1143"/>
      <c r="BV1143"/>
      <c r="BW1143"/>
      <c r="BX1143"/>
      <c r="BY1143"/>
      <c r="BZ1143"/>
      <c r="CA1143"/>
      <c r="CB1143"/>
      <c r="CC1143"/>
      <c r="CD1143"/>
      <c r="CE1143"/>
      <c r="CF1143"/>
      <c r="CG1143"/>
      <c r="CH1143"/>
      <c r="CI1143"/>
      <c r="CJ1143"/>
      <c r="CK1143"/>
      <c r="CL1143"/>
      <c r="CM1143"/>
      <c r="CN1143"/>
      <c r="CO1143"/>
      <c r="CP1143"/>
      <c r="CQ1143"/>
      <c r="CR1143"/>
      <c r="CS1143"/>
      <c r="CT1143"/>
      <c r="CU1143"/>
      <c r="CV1143"/>
      <c r="CW1143"/>
      <c r="CX1143"/>
      <c r="CY1143"/>
      <c r="CZ1143"/>
      <c r="DA1143"/>
      <c r="DB1143"/>
      <c r="DC1143"/>
      <c r="DD1143"/>
      <c r="DE1143"/>
      <c r="DF1143"/>
      <c r="DG1143"/>
      <c r="DH1143"/>
      <c r="DI1143"/>
      <c r="DJ1143"/>
      <c r="DK1143"/>
      <c r="DL1143"/>
      <c r="DM1143"/>
      <c r="DN1143"/>
      <c r="DO1143"/>
      <c r="DP1143"/>
      <c r="DQ1143"/>
      <c r="DR1143"/>
      <c r="DS1143"/>
      <c r="DT1143"/>
      <c r="DU1143"/>
      <c r="DV1143"/>
      <c r="DW1143"/>
      <c r="DX1143"/>
      <c r="DY1143"/>
      <c r="DZ1143"/>
      <c r="EA1143"/>
      <c r="EB1143"/>
      <c r="EC1143"/>
      <c r="ED1143"/>
      <c r="EE1143"/>
      <c r="EF1143"/>
      <c r="EG1143"/>
      <c r="EH1143"/>
      <c r="EI1143"/>
      <c r="EJ1143"/>
      <c r="EK1143"/>
      <c r="EL1143"/>
      <c r="EM1143"/>
      <c r="EN1143"/>
      <c r="EO1143"/>
      <c r="EP1143"/>
      <c r="EQ1143"/>
      <c r="ER1143"/>
      <c r="ES1143"/>
    </row>
    <row r="1144" spans="1:149">
      <c r="A1144"/>
      <c r="B1144"/>
      <c r="C1144"/>
      <c r="D1144"/>
      <c r="E1144"/>
      <c r="F1144"/>
      <c r="G1144"/>
      <c r="H1144"/>
      <c r="I1144"/>
      <c r="J1144"/>
      <c r="K1144"/>
      <c r="L1144"/>
      <c r="M1144"/>
      <c r="N1144"/>
      <c r="O1144"/>
      <c r="P1144"/>
      <c r="Q1144"/>
      <c r="R1144"/>
      <c r="S1144"/>
      <c r="T1144"/>
      <c r="U1144"/>
      <c r="V1144"/>
      <c r="W1144"/>
      <c r="X1144"/>
      <c r="Y1144"/>
      <c r="Z1144"/>
      <c r="AA1144"/>
      <c r="AB1144"/>
      <c r="AC1144"/>
      <c r="AD1144"/>
      <c r="AE1144"/>
      <c r="AF1144"/>
      <c r="AG1144"/>
      <c r="AH1144"/>
      <c r="AI1144"/>
      <c r="AJ1144"/>
      <c r="AK1144"/>
      <c r="AL1144"/>
      <c r="AM1144"/>
      <c r="AN1144"/>
      <c r="AO1144"/>
      <c r="AP1144"/>
      <c r="AQ1144"/>
      <c r="AR1144"/>
      <c r="AS1144"/>
      <c r="AT1144"/>
      <c r="AU1144"/>
      <c r="AV1144"/>
      <c r="AW1144"/>
      <c r="AX1144"/>
      <c r="AY1144"/>
      <c r="AZ1144"/>
      <c r="BA1144"/>
      <c r="BB1144"/>
      <c r="BC1144"/>
      <c r="BD1144"/>
      <c r="BE1144"/>
      <c r="BF1144"/>
      <c r="BG1144"/>
      <c r="BH1144"/>
      <c r="BI1144"/>
      <c r="BJ1144"/>
      <c r="BK1144"/>
      <c r="BL1144"/>
      <c r="BM1144"/>
      <c r="BN1144"/>
      <c r="BO1144"/>
      <c r="BP1144"/>
      <c r="BQ1144"/>
      <c r="BR1144"/>
      <c r="BS1144"/>
      <c r="BT1144"/>
      <c r="BU1144"/>
      <c r="BV1144"/>
      <c r="BW1144"/>
      <c r="BX1144"/>
      <c r="BY1144"/>
      <c r="BZ1144"/>
      <c r="CA1144"/>
      <c r="CB1144"/>
      <c r="CC1144"/>
      <c r="CD1144"/>
      <c r="CE1144"/>
      <c r="CF1144"/>
      <c r="CG1144"/>
      <c r="CH1144"/>
      <c r="CI1144"/>
      <c r="CJ1144"/>
      <c r="CK1144"/>
      <c r="CL1144"/>
      <c r="CM1144"/>
      <c r="CN1144"/>
      <c r="CO1144"/>
      <c r="CP1144"/>
      <c r="CQ1144"/>
      <c r="CR1144"/>
      <c r="CS1144"/>
      <c r="CT1144"/>
      <c r="CU1144"/>
      <c r="CV1144"/>
      <c r="CW1144"/>
      <c r="CX1144"/>
      <c r="CY1144"/>
      <c r="CZ1144"/>
      <c r="DA1144"/>
      <c r="DB1144"/>
      <c r="DC1144"/>
      <c r="DD1144"/>
      <c r="DE1144"/>
      <c r="DF1144"/>
      <c r="DG1144"/>
      <c r="DH1144"/>
      <c r="DI1144"/>
      <c r="DJ1144"/>
      <c r="DK1144"/>
      <c r="DL1144"/>
      <c r="DM1144"/>
      <c r="DN1144"/>
      <c r="DO1144"/>
      <c r="DP1144"/>
      <c r="DQ1144"/>
      <c r="DR1144"/>
      <c r="DS1144"/>
      <c r="DT1144"/>
      <c r="DU1144"/>
      <c r="DV1144"/>
      <c r="DW1144"/>
      <c r="DX1144"/>
      <c r="DY1144"/>
      <c r="DZ1144"/>
      <c r="EA1144"/>
      <c r="EB1144"/>
      <c r="EC1144"/>
      <c r="ED1144"/>
      <c r="EE1144"/>
      <c r="EF1144"/>
      <c r="EG1144"/>
      <c r="EH1144"/>
      <c r="EI1144"/>
      <c r="EJ1144"/>
      <c r="EK1144"/>
      <c r="EL1144"/>
      <c r="EM1144"/>
      <c r="EN1144"/>
      <c r="EO1144"/>
      <c r="EP1144"/>
      <c r="EQ1144"/>
      <c r="ER1144"/>
      <c r="ES1144"/>
    </row>
    <row r="1145" spans="1:149">
      <c r="A1145"/>
      <c r="B1145"/>
      <c r="C1145"/>
      <c r="D1145"/>
      <c r="E1145"/>
      <c r="F1145"/>
      <c r="G1145"/>
      <c r="H1145"/>
      <c r="I1145"/>
      <c r="J1145"/>
      <c r="K1145"/>
      <c r="L1145"/>
      <c r="M1145"/>
      <c r="N1145"/>
      <c r="O1145"/>
      <c r="P1145"/>
      <c r="Q1145"/>
      <c r="R1145"/>
      <c r="S1145"/>
      <c r="T1145"/>
      <c r="U1145"/>
      <c r="V1145"/>
      <c r="W1145"/>
      <c r="X1145"/>
      <c r="Y1145"/>
      <c r="Z1145"/>
      <c r="AA1145"/>
      <c r="AB1145"/>
      <c r="AC1145"/>
      <c r="AD1145"/>
      <c r="AE1145"/>
      <c r="AF1145"/>
      <c r="AG1145"/>
      <c r="AH1145"/>
      <c r="AI1145"/>
      <c r="AJ1145"/>
      <c r="AK1145"/>
      <c r="AL1145"/>
      <c r="AM1145"/>
      <c r="AN1145"/>
      <c r="AO1145"/>
      <c r="AP1145"/>
      <c r="AQ1145"/>
      <c r="AR1145"/>
      <c r="AS1145"/>
      <c r="AT1145"/>
      <c r="AU1145"/>
      <c r="AV1145"/>
      <c r="AW1145"/>
      <c r="AX1145"/>
      <c r="AY1145"/>
      <c r="AZ1145"/>
      <c r="BA1145"/>
      <c r="BB1145"/>
      <c r="BC1145"/>
      <c r="BD1145"/>
      <c r="BE1145"/>
      <c r="BF1145"/>
      <c r="BG1145"/>
      <c r="BH1145"/>
      <c r="BI1145"/>
      <c r="BJ1145"/>
      <c r="BK1145"/>
      <c r="BL1145"/>
      <c r="BM1145"/>
      <c r="BN1145"/>
      <c r="BO1145"/>
      <c r="BP1145"/>
      <c r="BQ1145"/>
      <c r="BR1145"/>
      <c r="BS1145"/>
      <c r="BT1145"/>
      <c r="BU1145"/>
      <c r="BV1145"/>
      <c r="BW1145"/>
      <c r="BX1145"/>
      <c r="BY1145"/>
      <c r="BZ1145"/>
      <c r="CA1145"/>
      <c r="CB1145"/>
      <c r="CC1145"/>
      <c r="CD1145"/>
      <c r="CE1145"/>
      <c r="CF1145"/>
      <c r="CG1145"/>
      <c r="CH1145"/>
      <c r="CI1145"/>
      <c r="CJ1145"/>
      <c r="CK1145"/>
      <c r="CL1145"/>
      <c r="CM1145"/>
      <c r="CN1145"/>
      <c r="CO1145"/>
      <c r="CP1145"/>
      <c r="CQ1145"/>
      <c r="CR1145"/>
      <c r="CS1145"/>
      <c r="CT1145"/>
      <c r="CU1145"/>
      <c r="CV1145"/>
      <c r="CW1145"/>
      <c r="CX1145"/>
      <c r="CY1145"/>
      <c r="CZ1145"/>
      <c r="DA1145"/>
      <c r="DB1145"/>
      <c r="DC1145"/>
      <c r="DD1145"/>
      <c r="DE1145"/>
      <c r="DF1145"/>
      <c r="DG1145"/>
      <c r="DH1145"/>
      <c r="DI1145"/>
      <c r="DJ1145"/>
      <c r="DK1145"/>
      <c r="DL1145"/>
      <c r="DM1145"/>
      <c r="DN1145"/>
      <c r="DO1145"/>
      <c r="DP1145"/>
      <c r="DQ1145"/>
      <c r="DR1145"/>
      <c r="DS1145"/>
      <c r="DT1145"/>
      <c r="DU1145"/>
      <c r="DV1145"/>
      <c r="DW1145"/>
      <c r="DX1145"/>
      <c r="DY1145"/>
      <c r="DZ1145"/>
      <c r="EA1145"/>
      <c r="EB1145"/>
      <c r="EC1145"/>
      <c r="ED1145"/>
      <c r="EE1145"/>
      <c r="EF1145"/>
      <c r="EG1145"/>
      <c r="EH1145"/>
      <c r="EI1145"/>
      <c r="EJ1145"/>
      <c r="EK1145"/>
      <c r="EL1145"/>
      <c r="EM1145"/>
      <c r="EN1145"/>
      <c r="EO1145"/>
      <c r="EP1145"/>
      <c r="EQ1145"/>
      <c r="ER1145"/>
      <c r="ES1145"/>
    </row>
    <row r="1146" spans="1:149">
      <c r="A1146"/>
      <c r="B1146"/>
      <c r="C1146"/>
      <c r="D1146"/>
      <c r="E1146"/>
      <c r="F1146"/>
      <c r="G1146"/>
      <c r="H1146"/>
      <c r="I1146"/>
      <c r="J1146"/>
      <c r="K1146"/>
      <c r="L1146"/>
      <c r="M1146"/>
      <c r="N1146"/>
      <c r="O1146"/>
      <c r="P1146"/>
      <c r="Q1146"/>
      <c r="R1146"/>
      <c r="S1146"/>
      <c r="T1146"/>
      <c r="U1146"/>
      <c r="V1146"/>
      <c r="W1146"/>
      <c r="X1146"/>
      <c r="Y1146"/>
      <c r="Z1146"/>
      <c r="AA1146"/>
      <c r="AB1146"/>
      <c r="AC1146"/>
      <c r="AD1146"/>
      <c r="AE1146"/>
      <c r="AF1146"/>
      <c r="AG1146"/>
      <c r="AH1146"/>
      <c r="AI1146"/>
      <c r="AJ1146"/>
      <c r="AK1146"/>
      <c r="AL1146"/>
      <c r="AM1146"/>
      <c r="AN1146"/>
      <c r="AO1146"/>
      <c r="AP1146"/>
      <c r="AQ1146"/>
      <c r="AR1146"/>
      <c r="AS1146"/>
      <c r="AT1146"/>
      <c r="AU1146"/>
      <c r="AV1146"/>
      <c r="AW1146"/>
      <c r="AX1146"/>
      <c r="AY1146"/>
      <c r="AZ1146"/>
      <c r="BA1146"/>
      <c r="BB1146"/>
      <c r="BC1146"/>
      <c r="BD1146"/>
      <c r="BE1146"/>
      <c r="BF1146"/>
      <c r="BG1146"/>
      <c r="BH1146"/>
      <c r="BI1146"/>
      <c r="BJ1146"/>
      <c r="BK1146"/>
      <c r="BL1146"/>
      <c r="BM1146"/>
      <c r="BN1146"/>
      <c r="BO1146"/>
      <c r="BP1146"/>
      <c r="BQ1146"/>
      <c r="BR1146"/>
      <c r="BS1146"/>
      <c r="BT1146"/>
      <c r="BU1146"/>
      <c r="BV1146"/>
      <c r="BW1146"/>
      <c r="BX1146"/>
      <c r="BY1146"/>
      <c r="BZ1146"/>
      <c r="CA1146"/>
      <c r="CB1146"/>
      <c r="CC1146"/>
      <c r="CD1146"/>
      <c r="CE1146"/>
      <c r="CF1146"/>
      <c r="CG1146"/>
      <c r="CH1146"/>
      <c r="CI1146"/>
      <c r="CJ1146"/>
      <c r="CK1146"/>
      <c r="CL1146"/>
      <c r="CM1146"/>
      <c r="CN1146"/>
      <c r="CO1146"/>
      <c r="CP1146"/>
      <c r="CQ1146"/>
      <c r="CR1146"/>
      <c r="CS1146"/>
      <c r="CT1146"/>
      <c r="CU1146"/>
      <c r="CV1146"/>
      <c r="CW1146"/>
      <c r="CX1146"/>
      <c r="CY1146"/>
      <c r="CZ1146"/>
      <c r="DA1146"/>
      <c r="DB1146"/>
      <c r="DC1146"/>
      <c r="DD1146"/>
      <c r="DE1146"/>
      <c r="DF1146"/>
      <c r="DG1146"/>
      <c r="DH1146"/>
      <c r="DI1146"/>
      <c r="DJ1146"/>
      <c r="DK1146"/>
      <c r="DL1146"/>
      <c r="DM1146"/>
      <c r="DN1146"/>
      <c r="DO1146"/>
      <c r="DP1146"/>
      <c r="DQ1146"/>
      <c r="DR1146"/>
      <c r="DS1146"/>
      <c r="DT1146"/>
      <c r="DU1146"/>
      <c r="DV1146"/>
      <c r="DW1146"/>
      <c r="DX1146"/>
      <c r="DY1146"/>
      <c r="DZ1146"/>
      <c r="EA1146"/>
      <c r="EB1146"/>
      <c r="EC1146"/>
      <c r="ED1146"/>
      <c r="EE1146"/>
      <c r="EF1146"/>
      <c r="EG1146"/>
      <c r="EH1146"/>
      <c r="EI1146"/>
      <c r="EJ1146"/>
      <c r="EK1146"/>
      <c r="EL1146"/>
      <c r="EM1146"/>
      <c r="EN1146"/>
      <c r="EO1146"/>
      <c r="EP1146"/>
      <c r="EQ1146"/>
      <c r="ER1146"/>
      <c r="ES1146"/>
    </row>
    <row r="1147" spans="1:149">
      <c r="A1147"/>
      <c r="B1147"/>
      <c r="C1147"/>
      <c r="D1147"/>
      <c r="E1147"/>
      <c r="F1147"/>
      <c r="G1147"/>
      <c r="H1147"/>
      <c r="I1147"/>
      <c r="J1147"/>
      <c r="K1147"/>
      <c r="L1147"/>
      <c r="M1147"/>
      <c r="N1147"/>
      <c r="O1147"/>
      <c r="P1147"/>
      <c r="Q1147"/>
      <c r="R1147"/>
      <c r="S1147"/>
      <c r="T1147"/>
      <c r="U1147"/>
      <c r="V1147"/>
      <c r="W1147"/>
      <c r="X1147"/>
      <c r="Y1147"/>
      <c r="Z1147"/>
      <c r="AA1147"/>
      <c r="AB1147"/>
      <c r="AC1147"/>
      <c r="AD1147"/>
      <c r="AE1147"/>
      <c r="AF1147"/>
      <c r="AG1147"/>
      <c r="AH1147"/>
      <c r="AI1147"/>
      <c r="AJ1147"/>
      <c r="AK1147"/>
      <c r="AL1147"/>
      <c r="AM1147"/>
      <c r="AN1147"/>
      <c r="AO1147"/>
      <c r="AP1147"/>
      <c r="AQ1147"/>
      <c r="AR1147"/>
      <c r="AS1147"/>
      <c r="AT1147"/>
      <c r="AU1147"/>
      <c r="AV1147"/>
      <c r="AW1147"/>
      <c r="AX1147"/>
      <c r="AY1147"/>
      <c r="AZ1147"/>
      <c r="BA1147"/>
      <c r="BB1147"/>
      <c r="BC1147"/>
      <c r="BD1147"/>
      <c r="BE1147"/>
      <c r="BF1147"/>
      <c r="BG1147"/>
      <c r="BH1147"/>
      <c r="BI1147"/>
      <c r="BJ1147"/>
      <c r="BK1147"/>
      <c r="BL1147"/>
      <c r="BM1147"/>
      <c r="BN1147"/>
      <c r="BO1147"/>
      <c r="BP1147"/>
      <c r="BQ1147"/>
      <c r="BR1147"/>
      <c r="BS1147"/>
      <c r="BT1147"/>
      <c r="BU1147"/>
      <c r="BV1147"/>
      <c r="BW1147"/>
      <c r="BX1147"/>
      <c r="BY1147"/>
      <c r="BZ1147"/>
      <c r="CA1147"/>
      <c r="CB1147"/>
      <c r="CC1147"/>
      <c r="CD1147"/>
      <c r="CE1147"/>
      <c r="CF1147"/>
      <c r="CG1147"/>
      <c r="CH1147"/>
      <c r="CI1147"/>
      <c r="CJ1147"/>
      <c r="CK1147"/>
      <c r="CL1147"/>
      <c r="CM1147"/>
      <c r="CN1147"/>
      <c r="CO1147"/>
      <c r="CP1147"/>
      <c r="CQ1147"/>
      <c r="CR1147"/>
      <c r="CS1147"/>
      <c r="CT1147"/>
      <c r="CU1147"/>
      <c r="CV1147"/>
      <c r="CW1147"/>
      <c r="CX1147"/>
      <c r="CY1147"/>
      <c r="CZ1147"/>
      <c r="DA1147"/>
      <c r="DB1147"/>
      <c r="DC1147"/>
      <c r="DD1147"/>
      <c r="DE1147"/>
      <c r="DF1147"/>
      <c r="DG1147"/>
      <c r="DH1147"/>
      <c r="DI1147"/>
      <c r="DJ1147"/>
      <c r="DK1147"/>
      <c r="DL1147"/>
      <c r="DM1147"/>
      <c r="DN1147"/>
      <c r="DO1147"/>
      <c r="DP1147"/>
      <c r="DQ1147"/>
      <c r="DR1147"/>
      <c r="DS1147"/>
      <c r="DT1147"/>
      <c r="DU1147"/>
      <c r="DV1147"/>
      <c r="DW1147"/>
      <c r="DX1147"/>
      <c r="DY1147"/>
      <c r="DZ1147"/>
      <c r="EA1147"/>
      <c r="EB1147"/>
      <c r="EC1147"/>
      <c r="ED1147"/>
      <c r="EE1147"/>
      <c r="EF1147"/>
      <c r="EG1147"/>
      <c r="EH1147"/>
      <c r="EI1147"/>
      <c r="EJ1147"/>
      <c r="EK1147"/>
      <c r="EL1147"/>
      <c r="EM1147"/>
      <c r="EN1147"/>
      <c r="EO1147"/>
      <c r="EP1147"/>
      <c r="EQ1147"/>
      <c r="ER1147"/>
      <c r="ES1147"/>
    </row>
    <row r="1148" spans="1:149">
      <c r="A1148"/>
      <c r="B1148"/>
      <c r="C1148"/>
      <c r="D1148"/>
      <c r="E1148"/>
      <c r="F1148"/>
      <c r="G1148"/>
      <c r="H1148"/>
      <c r="I1148"/>
      <c r="J1148"/>
      <c r="K1148"/>
      <c r="L1148"/>
      <c r="M1148"/>
      <c r="N1148"/>
      <c r="O1148"/>
      <c r="P1148"/>
      <c r="Q1148"/>
      <c r="R1148"/>
      <c r="S1148"/>
      <c r="T1148"/>
      <c r="U1148"/>
      <c r="V1148"/>
      <c r="W1148"/>
      <c r="X1148"/>
      <c r="Y1148"/>
      <c r="Z1148"/>
      <c r="AA1148"/>
      <c r="AB1148"/>
      <c r="AC1148"/>
      <c r="AD1148"/>
      <c r="AE1148"/>
      <c r="AF1148"/>
      <c r="AG1148"/>
      <c r="AH1148"/>
      <c r="AI1148"/>
      <c r="AJ1148"/>
      <c r="AK1148"/>
      <c r="AL1148"/>
      <c r="AM1148"/>
      <c r="AN1148"/>
      <c r="AO1148"/>
      <c r="AP1148"/>
      <c r="AQ1148"/>
      <c r="AR1148"/>
      <c r="AS1148"/>
      <c r="AT1148"/>
      <c r="AU1148"/>
      <c r="AV1148"/>
      <c r="AW1148"/>
      <c r="AX1148"/>
      <c r="AY1148"/>
      <c r="AZ1148"/>
      <c r="BA1148"/>
      <c r="BB1148"/>
      <c r="BC1148"/>
      <c r="BD1148"/>
      <c r="BE1148"/>
      <c r="BF1148"/>
      <c r="BG1148"/>
      <c r="BH1148"/>
      <c r="BI1148"/>
      <c r="BJ1148"/>
      <c r="BK1148"/>
      <c r="BL1148"/>
      <c r="BM1148"/>
      <c r="BN1148"/>
      <c r="BO1148"/>
      <c r="BP1148"/>
      <c r="BQ1148"/>
      <c r="BR1148"/>
      <c r="BS1148"/>
      <c r="BT1148"/>
      <c r="BU1148"/>
      <c r="BV1148"/>
      <c r="BW1148"/>
      <c r="BX1148"/>
      <c r="BY1148"/>
      <c r="BZ1148"/>
      <c r="CA1148"/>
      <c r="CB1148"/>
      <c r="CC1148"/>
      <c r="CD1148"/>
      <c r="CE1148"/>
      <c r="CF1148"/>
      <c r="CG1148"/>
      <c r="CH1148"/>
      <c r="CI1148"/>
      <c r="CJ1148"/>
      <c r="CK1148"/>
      <c r="CL1148"/>
      <c r="CM1148"/>
      <c r="CN1148"/>
      <c r="CO1148"/>
      <c r="CP1148"/>
      <c r="CQ1148"/>
      <c r="CR1148"/>
      <c r="CS1148"/>
      <c r="CT1148"/>
      <c r="CU1148"/>
      <c r="CV1148"/>
      <c r="CW1148"/>
      <c r="CX1148"/>
      <c r="CY1148"/>
      <c r="CZ1148"/>
      <c r="DA1148"/>
      <c r="DB1148"/>
      <c r="DC1148"/>
      <c r="DD1148"/>
      <c r="DE1148"/>
      <c r="DF1148"/>
      <c r="DG1148"/>
      <c r="DH1148"/>
      <c r="DI1148"/>
      <c r="DJ1148"/>
      <c r="DK1148"/>
      <c r="DL1148"/>
      <c r="DM1148"/>
      <c r="DN1148"/>
      <c r="DO1148"/>
      <c r="DP1148"/>
      <c r="DQ1148"/>
      <c r="DR1148"/>
      <c r="DS1148"/>
      <c r="DT1148"/>
      <c r="DU1148"/>
      <c r="DV1148"/>
      <c r="DW1148"/>
      <c r="DX1148"/>
      <c r="DY1148"/>
      <c r="DZ1148"/>
      <c r="EA1148"/>
      <c r="EB1148"/>
      <c r="EC1148"/>
      <c r="ED1148"/>
      <c r="EE1148"/>
      <c r="EF1148"/>
      <c r="EG1148"/>
      <c r="EH1148"/>
      <c r="EI1148"/>
      <c r="EJ1148"/>
      <c r="EK1148"/>
      <c r="EL1148"/>
      <c r="EM1148"/>
      <c r="EN1148"/>
      <c r="EO1148"/>
      <c r="EP1148"/>
      <c r="EQ1148"/>
      <c r="ER1148"/>
      <c r="ES1148"/>
    </row>
    <row r="1149" spans="1:149">
      <c r="A1149"/>
      <c r="B1149"/>
      <c r="C1149"/>
      <c r="D1149"/>
      <c r="E1149"/>
      <c r="F1149"/>
      <c r="G1149"/>
      <c r="H1149"/>
      <c r="I1149"/>
      <c r="J1149"/>
      <c r="K1149"/>
      <c r="L1149"/>
      <c r="M1149"/>
      <c r="N1149"/>
      <c r="O1149"/>
      <c r="P1149"/>
      <c r="Q1149"/>
      <c r="R1149"/>
      <c r="S1149"/>
      <c r="T1149"/>
      <c r="U1149"/>
      <c r="V1149"/>
      <c r="W1149"/>
      <c r="X1149"/>
      <c r="Y1149"/>
      <c r="Z1149"/>
      <c r="AA1149"/>
      <c r="AB1149"/>
      <c r="AC1149"/>
      <c r="AD1149"/>
      <c r="AE1149"/>
      <c r="AF1149"/>
      <c r="AG1149"/>
      <c r="AH1149"/>
      <c r="AI1149"/>
      <c r="AJ1149"/>
      <c r="AK1149"/>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c r="BZ1149"/>
      <c r="CA1149"/>
      <c r="CB1149"/>
      <c r="CC1149"/>
      <c r="CD1149"/>
      <c r="CE1149"/>
      <c r="CF1149"/>
      <c r="CG1149"/>
      <c r="CH1149"/>
      <c r="CI1149"/>
      <c r="CJ1149"/>
      <c r="CK1149"/>
      <c r="CL1149"/>
      <c r="CM1149"/>
      <c r="CN1149"/>
      <c r="CO1149"/>
      <c r="CP1149"/>
      <c r="CQ1149"/>
      <c r="CR1149"/>
      <c r="CS1149"/>
      <c r="CT1149"/>
      <c r="CU1149"/>
      <c r="CV1149"/>
      <c r="CW1149"/>
      <c r="CX1149"/>
      <c r="CY1149"/>
      <c r="CZ1149"/>
      <c r="DA1149"/>
      <c r="DB1149"/>
      <c r="DC1149"/>
      <c r="DD1149"/>
      <c r="DE1149"/>
      <c r="DF1149"/>
      <c r="DG1149"/>
      <c r="DH1149"/>
      <c r="DI1149"/>
      <c r="DJ1149"/>
      <c r="DK1149"/>
      <c r="DL1149"/>
      <c r="DM1149"/>
      <c r="DN1149"/>
      <c r="DO1149"/>
      <c r="DP1149"/>
      <c r="DQ1149"/>
      <c r="DR1149"/>
      <c r="DS1149"/>
      <c r="DT1149"/>
      <c r="DU1149"/>
      <c r="DV1149"/>
      <c r="DW1149"/>
      <c r="DX1149"/>
      <c r="DY1149"/>
      <c r="DZ1149"/>
      <c r="EA1149"/>
      <c r="EB1149"/>
      <c r="EC1149"/>
      <c r="ED1149"/>
      <c r="EE1149"/>
      <c r="EF1149"/>
      <c r="EG1149"/>
      <c r="EH1149"/>
      <c r="EI1149"/>
      <c r="EJ1149"/>
      <c r="EK1149"/>
      <c r="EL1149"/>
      <c r="EM1149"/>
      <c r="EN1149"/>
      <c r="EO1149"/>
      <c r="EP1149"/>
      <c r="EQ1149"/>
      <c r="ER1149"/>
      <c r="ES1149"/>
    </row>
    <row r="1150" spans="1:149">
      <c r="A1150"/>
      <c r="B1150"/>
      <c r="C1150"/>
      <c r="D1150"/>
      <c r="E1150"/>
      <c r="F1150"/>
      <c r="G1150"/>
      <c r="H1150"/>
      <c r="I1150"/>
      <c r="J1150"/>
      <c r="K1150"/>
      <c r="L1150"/>
      <c r="M1150"/>
      <c r="N1150"/>
      <c r="O1150"/>
      <c r="P1150"/>
      <c r="Q1150"/>
      <c r="R1150"/>
      <c r="S1150"/>
      <c r="T1150"/>
      <c r="U1150"/>
      <c r="V1150"/>
      <c r="W1150"/>
      <c r="X1150"/>
      <c r="Y1150"/>
      <c r="Z1150"/>
      <c r="AA1150"/>
      <c r="AB1150"/>
      <c r="AC1150"/>
      <c r="AD1150"/>
      <c r="AE1150"/>
      <c r="AF1150"/>
      <c r="AG1150"/>
      <c r="AH1150"/>
      <c r="AI1150"/>
      <c r="AJ1150"/>
      <c r="AK1150"/>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c r="BP1150"/>
      <c r="BQ1150"/>
      <c r="BR1150"/>
      <c r="BS1150"/>
      <c r="BT1150"/>
      <c r="BU1150"/>
      <c r="BV1150"/>
      <c r="BW1150"/>
      <c r="BX1150"/>
      <c r="BY1150"/>
      <c r="BZ1150"/>
      <c r="CA1150"/>
      <c r="CB1150"/>
      <c r="CC1150"/>
      <c r="CD1150"/>
      <c r="CE1150"/>
      <c r="CF1150"/>
      <c r="CG1150"/>
      <c r="CH1150"/>
      <c r="CI1150"/>
      <c r="CJ1150"/>
      <c r="CK1150"/>
      <c r="CL1150"/>
      <c r="CM1150"/>
      <c r="CN1150"/>
      <c r="CO1150"/>
      <c r="CP1150"/>
      <c r="CQ1150"/>
      <c r="CR1150"/>
      <c r="CS1150"/>
      <c r="CT1150"/>
      <c r="CU1150"/>
      <c r="CV1150"/>
      <c r="CW1150"/>
      <c r="CX1150"/>
      <c r="CY1150"/>
      <c r="CZ1150"/>
      <c r="DA1150"/>
      <c r="DB1150"/>
      <c r="DC1150"/>
      <c r="DD1150"/>
      <c r="DE1150"/>
      <c r="DF1150"/>
      <c r="DG1150"/>
      <c r="DH1150"/>
      <c r="DI1150"/>
      <c r="DJ1150"/>
      <c r="DK1150"/>
      <c r="DL1150"/>
      <c r="DM1150"/>
      <c r="DN1150"/>
      <c r="DO1150"/>
      <c r="DP1150"/>
      <c r="DQ1150"/>
      <c r="DR1150"/>
      <c r="DS1150"/>
      <c r="DT1150"/>
      <c r="DU1150"/>
      <c r="DV1150"/>
      <c r="DW1150"/>
      <c r="DX1150"/>
      <c r="DY1150"/>
      <c r="DZ1150"/>
      <c r="EA1150"/>
      <c r="EB1150"/>
      <c r="EC1150"/>
      <c r="ED1150"/>
      <c r="EE1150"/>
      <c r="EF1150"/>
      <c r="EG1150"/>
      <c r="EH1150"/>
      <c r="EI1150"/>
      <c r="EJ1150"/>
      <c r="EK1150"/>
      <c r="EL1150"/>
      <c r="EM1150"/>
      <c r="EN1150"/>
      <c r="EO1150"/>
      <c r="EP1150"/>
      <c r="EQ1150"/>
      <c r="ER1150"/>
      <c r="ES1150"/>
    </row>
    <row r="1151" spans="1:149">
      <c r="A1151"/>
      <c r="B1151"/>
      <c r="C1151"/>
      <c r="D1151"/>
      <c r="E1151"/>
      <c r="F1151"/>
      <c r="G1151"/>
      <c r="H1151"/>
      <c r="I1151"/>
      <c r="J1151"/>
      <c r="K1151"/>
      <c r="L1151"/>
      <c r="M1151"/>
      <c r="N1151"/>
      <c r="O1151"/>
      <c r="P1151"/>
      <c r="Q1151"/>
      <c r="R1151"/>
      <c r="S1151"/>
      <c r="T1151"/>
      <c r="U1151"/>
      <c r="V1151"/>
      <c r="W1151"/>
      <c r="X1151"/>
      <c r="Y1151"/>
      <c r="Z1151"/>
      <c r="AA1151"/>
      <c r="AB1151"/>
      <c r="AC1151"/>
      <c r="AD1151"/>
      <c r="AE1151"/>
      <c r="AF1151"/>
      <c r="AG1151"/>
      <c r="AH1151"/>
      <c r="AI1151"/>
      <c r="AJ1151"/>
      <c r="AK1151"/>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c r="BZ1151"/>
      <c r="CA1151"/>
      <c r="CB1151"/>
      <c r="CC1151"/>
      <c r="CD1151"/>
      <c r="CE1151"/>
      <c r="CF1151"/>
      <c r="CG1151"/>
      <c r="CH1151"/>
      <c r="CI1151"/>
      <c r="CJ1151"/>
      <c r="CK1151"/>
      <c r="CL1151"/>
      <c r="CM1151"/>
      <c r="CN1151"/>
      <c r="CO1151"/>
      <c r="CP1151"/>
      <c r="CQ1151"/>
      <c r="CR1151"/>
      <c r="CS1151"/>
      <c r="CT1151"/>
      <c r="CU1151"/>
      <c r="CV1151"/>
      <c r="CW1151"/>
      <c r="CX1151"/>
      <c r="CY1151"/>
      <c r="CZ1151"/>
      <c r="DA1151"/>
      <c r="DB1151"/>
      <c r="DC1151"/>
      <c r="DD1151"/>
      <c r="DE1151"/>
      <c r="DF1151"/>
      <c r="DG1151"/>
      <c r="DH1151"/>
      <c r="DI1151"/>
      <c r="DJ1151"/>
      <c r="DK1151"/>
      <c r="DL1151"/>
      <c r="DM1151"/>
      <c r="DN1151"/>
      <c r="DO1151"/>
      <c r="DP1151"/>
      <c r="DQ1151"/>
      <c r="DR1151"/>
      <c r="DS1151"/>
      <c r="DT1151"/>
      <c r="DU1151"/>
      <c r="DV1151"/>
      <c r="DW1151"/>
      <c r="DX1151"/>
      <c r="DY1151"/>
      <c r="DZ1151"/>
      <c r="EA1151"/>
      <c r="EB1151"/>
      <c r="EC1151"/>
      <c r="ED1151"/>
      <c r="EE1151"/>
      <c r="EF1151"/>
      <c r="EG1151"/>
      <c r="EH1151"/>
      <c r="EI1151"/>
      <c r="EJ1151"/>
      <c r="EK1151"/>
      <c r="EL1151"/>
      <c r="EM1151"/>
      <c r="EN1151"/>
      <c r="EO1151"/>
      <c r="EP1151"/>
      <c r="EQ1151"/>
      <c r="ER1151"/>
      <c r="ES1151"/>
    </row>
    <row r="1152" spans="1:149">
      <c r="A1152"/>
      <c r="B1152"/>
      <c r="C1152"/>
      <c r="D1152"/>
      <c r="E1152"/>
      <c r="F1152"/>
      <c r="G1152"/>
      <c r="H1152"/>
      <c r="I1152"/>
      <c r="J1152"/>
      <c r="K1152"/>
      <c r="L1152"/>
      <c r="M1152"/>
      <c r="N1152"/>
      <c r="O1152"/>
      <c r="P1152"/>
      <c r="Q1152"/>
      <c r="R1152"/>
      <c r="S1152"/>
      <c r="T1152"/>
      <c r="U1152"/>
      <c r="V1152"/>
      <c r="W1152"/>
      <c r="X1152"/>
      <c r="Y1152"/>
      <c r="Z1152"/>
      <c r="AA1152"/>
      <c r="AB1152"/>
      <c r="AC1152"/>
      <c r="AD1152"/>
      <c r="AE1152"/>
      <c r="AF1152"/>
      <c r="AG1152"/>
      <c r="AH1152"/>
      <c r="AI1152"/>
      <c r="AJ1152"/>
      <c r="AK1152"/>
      <c r="AL1152"/>
      <c r="AM1152"/>
      <c r="AN1152"/>
      <c r="AO1152"/>
      <c r="AP1152"/>
      <c r="AQ1152"/>
      <c r="AR1152"/>
      <c r="AS1152"/>
      <c r="AT1152"/>
      <c r="AU1152"/>
      <c r="AV1152"/>
      <c r="AW1152"/>
      <c r="AX1152"/>
      <c r="AY1152"/>
      <c r="AZ1152"/>
      <c r="BA1152"/>
      <c r="BB1152"/>
      <c r="BC1152"/>
      <c r="BD1152"/>
      <c r="BE1152"/>
      <c r="BF1152"/>
      <c r="BG1152"/>
      <c r="BH1152"/>
      <c r="BI1152"/>
      <c r="BJ1152"/>
      <c r="BK1152"/>
      <c r="BL1152"/>
      <c r="BM1152"/>
      <c r="BN1152"/>
      <c r="BO1152"/>
      <c r="BP1152"/>
      <c r="BQ1152"/>
      <c r="BR1152"/>
      <c r="BS1152"/>
      <c r="BT1152"/>
      <c r="BU1152"/>
      <c r="BV1152"/>
      <c r="BW1152"/>
      <c r="BX1152"/>
      <c r="BY1152"/>
      <c r="BZ1152"/>
      <c r="CA1152"/>
      <c r="CB1152"/>
      <c r="CC1152"/>
      <c r="CD1152"/>
      <c r="CE1152"/>
      <c r="CF1152"/>
      <c r="CG1152"/>
      <c r="CH1152"/>
      <c r="CI1152"/>
      <c r="CJ1152"/>
      <c r="CK1152"/>
      <c r="CL1152"/>
      <c r="CM1152"/>
      <c r="CN1152"/>
      <c r="CO1152"/>
      <c r="CP1152"/>
      <c r="CQ1152"/>
      <c r="CR1152"/>
      <c r="CS1152"/>
      <c r="CT1152"/>
      <c r="CU1152"/>
      <c r="CV1152"/>
      <c r="CW1152"/>
      <c r="CX1152"/>
      <c r="CY1152"/>
      <c r="CZ1152"/>
      <c r="DA1152"/>
      <c r="DB1152"/>
      <c r="DC1152"/>
      <c r="DD1152"/>
      <c r="DE1152"/>
      <c r="DF1152"/>
      <c r="DG1152"/>
      <c r="DH1152"/>
      <c r="DI1152"/>
      <c r="DJ1152"/>
      <c r="DK1152"/>
      <c r="DL1152"/>
      <c r="DM1152"/>
      <c r="DN1152"/>
      <c r="DO1152"/>
      <c r="DP1152"/>
      <c r="DQ1152"/>
      <c r="DR1152"/>
      <c r="DS1152"/>
      <c r="DT1152"/>
      <c r="DU1152"/>
      <c r="DV1152"/>
      <c r="DW1152"/>
      <c r="DX1152"/>
      <c r="DY1152"/>
      <c r="DZ1152"/>
      <c r="EA1152"/>
      <c r="EB1152"/>
      <c r="EC1152"/>
      <c r="ED1152"/>
      <c r="EE1152"/>
      <c r="EF1152"/>
      <c r="EG1152"/>
      <c r="EH1152"/>
      <c r="EI1152"/>
      <c r="EJ1152"/>
      <c r="EK1152"/>
      <c r="EL1152"/>
      <c r="EM1152"/>
      <c r="EN1152"/>
      <c r="EO1152"/>
      <c r="EP1152"/>
      <c r="EQ1152"/>
      <c r="ER1152"/>
      <c r="ES1152"/>
    </row>
    <row r="1153" spans="1:149">
      <c r="A1153"/>
      <c r="B1153"/>
      <c r="C1153"/>
      <c r="D1153"/>
      <c r="E1153"/>
      <c r="F1153"/>
      <c r="G1153"/>
      <c r="H1153"/>
      <c r="I1153"/>
      <c r="J1153"/>
      <c r="K1153"/>
      <c r="L1153"/>
      <c r="M1153"/>
      <c r="N1153"/>
      <c r="O1153"/>
      <c r="P1153"/>
      <c r="Q1153"/>
      <c r="R1153"/>
      <c r="S1153"/>
      <c r="T1153"/>
      <c r="U1153"/>
      <c r="V1153"/>
      <c r="W1153"/>
      <c r="X1153"/>
      <c r="Y1153"/>
      <c r="Z1153"/>
      <c r="AA1153"/>
      <c r="AB1153"/>
      <c r="AC1153"/>
      <c r="AD1153"/>
      <c r="AE1153"/>
      <c r="AF1153"/>
      <c r="AG1153"/>
      <c r="AH1153"/>
      <c r="AI1153"/>
      <c r="AJ1153"/>
      <c r="AK1153"/>
      <c r="AL1153"/>
      <c r="AM1153"/>
      <c r="AN1153"/>
      <c r="AO1153"/>
      <c r="AP1153"/>
      <c r="AQ1153"/>
      <c r="AR1153"/>
      <c r="AS1153"/>
      <c r="AT1153"/>
      <c r="AU1153"/>
      <c r="AV1153"/>
      <c r="AW1153"/>
      <c r="AX1153"/>
      <c r="AY1153"/>
      <c r="AZ1153"/>
      <c r="BA1153"/>
      <c r="BB1153"/>
      <c r="BC1153"/>
      <c r="BD1153"/>
      <c r="BE1153"/>
      <c r="BF1153"/>
      <c r="BG1153"/>
      <c r="BH1153"/>
      <c r="BI1153"/>
      <c r="BJ1153"/>
      <c r="BK1153"/>
      <c r="BL1153"/>
      <c r="BM1153"/>
      <c r="BN1153"/>
      <c r="BO1153"/>
      <c r="BP1153"/>
      <c r="BQ1153"/>
      <c r="BR1153"/>
      <c r="BS1153"/>
      <c r="BT1153"/>
      <c r="BU1153"/>
      <c r="BV1153"/>
      <c r="BW1153"/>
      <c r="BX1153"/>
      <c r="BY1153"/>
      <c r="BZ1153"/>
      <c r="CA1153"/>
      <c r="CB1153"/>
      <c r="CC1153"/>
      <c r="CD1153"/>
      <c r="CE1153"/>
      <c r="CF1153"/>
      <c r="CG1153"/>
      <c r="CH1153"/>
      <c r="CI1153"/>
      <c r="CJ1153"/>
      <c r="CK1153"/>
      <c r="CL1153"/>
      <c r="CM1153"/>
      <c r="CN1153"/>
      <c r="CO1153"/>
      <c r="CP1153"/>
      <c r="CQ1153"/>
      <c r="CR1153"/>
      <c r="CS1153"/>
      <c r="CT1153"/>
      <c r="CU1153"/>
      <c r="CV1153"/>
      <c r="CW1153"/>
      <c r="CX1153"/>
      <c r="CY1153"/>
      <c r="CZ1153"/>
      <c r="DA1153"/>
      <c r="DB1153"/>
      <c r="DC1153"/>
      <c r="DD1153"/>
      <c r="DE1153"/>
      <c r="DF1153"/>
      <c r="DG1153"/>
      <c r="DH1153"/>
      <c r="DI1153"/>
      <c r="DJ1153"/>
      <c r="DK1153"/>
      <c r="DL1153"/>
      <c r="DM1153"/>
      <c r="DN1153"/>
      <c r="DO1153"/>
      <c r="DP1153"/>
      <c r="DQ1153"/>
      <c r="DR1153"/>
      <c r="DS1153"/>
      <c r="DT1153"/>
      <c r="DU1153"/>
      <c r="DV1153"/>
      <c r="DW1153"/>
      <c r="DX1153"/>
      <c r="DY1153"/>
      <c r="DZ1153"/>
      <c r="EA1153"/>
      <c r="EB1153"/>
      <c r="EC1153"/>
      <c r="ED1153"/>
      <c r="EE1153"/>
      <c r="EF1153"/>
      <c r="EG1153"/>
      <c r="EH1153"/>
      <c r="EI1153"/>
      <c r="EJ1153"/>
      <c r="EK1153"/>
      <c r="EL1153"/>
      <c r="EM1153"/>
      <c r="EN1153"/>
      <c r="EO1153"/>
      <c r="EP1153"/>
      <c r="EQ1153"/>
      <c r="ER1153"/>
      <c r="ES1153"/>
    </row>
    <row r="1154" spans="1:149">
      <c r="A1154"/>
      <c r="B1154"/>
      <c r="C1154"/>
      <c r="D1154"/>
      <c r="E1154"/>
      <c r="F1154"/>
      <c r="G1154"/>
      <c r="H1154"/>
      <c r="I1154"/>
      <c r="J1154"/>
      <c r="K1154"/>
      <c r="L1154"/>
      <c r="M1154"/>
      <c r="N1154"/>
      <c r="O1154"/>
      <c r="P1154"/>
      <c r="Q1154"/>
      <c r="R1154"/>
      <c r="S1154"/>
      <c r="T1154"/>
      <c r="U1154"/>
      <c r="V1154"/>
      <c r="W1154"/>
      <c r="X1154"/>
      <c r="Y1154"/>
      <c r="Z1154"/>
      <c r="AA1154"/>
      <c r="AB1154"/>
      <c r="AC1154"/>
      <c r="AD1154"/>
      <c r="AE1154"/>
      <c r="AF1154"/>
      <c r="AG1154"/>
      <c r="AH1154"/>
      <c r="AI1154"/>
      <c r="AJ1154"/>
      <c r="AK1154"/>
      <c r="AL1154"/>
      <c r="AM1154"/>
      <c r="AN1154"/>
      <c r="AO1154"/>
      <c r="AP1154"/>
      <c r="AQ1154"/>
      <c r="AR1154"/>
      <c r="AS1154"/>
      <c r="AT1154"/>
      <c r="AU1154"/>
      <c r="AV1154"/>
      <c r="AW1154"/>
      <c r="AX1154"/>
      <c r="AY1154"/>
      <c r="AZ1154"/>
      <c r="BA1154"/>
      <c r="BB1154"/>
      <c r="BC1154"/>
      <c r="BD1154"/>
      <c r="BE1154"/>
      <c r="BF1154"/>
      <c r="BG1154"/>
      <c r="BH1154"/>
      <c r="BI1154"/>
      <c r="BJ1154"/>
      <c r="BK1154"/>
      <c r="BL1154"/>
      <c r="BM1154"/>
      <c r="BN1154"/>
      <c r="BO1154"/>
      <c r="BP1154"/>
      <c r="BQ1154"/>
      <c r="BR1154"/>
      <c r="BS1154"/>
      <c r="BT1154"/>
      <c r="BU1154"/>
      <c r="BV1154"/>
      <c r="BW1154"/>
      <c r="BX1154"/>
      <c r="BY1154"/>
      <c r="BZ1154"/>
      <c r="CA1154"/>
      <c r="CB1154"/>
      <c r="CC1154"/>
      <c r="CD1154"/>
      <c r="CE1154"/>
      <c r="CF1154"/>
      <c r="CG1154"/>
      <c r="CH1154"/>
      <c r="CI1154"/>
      <c r="CJ1154"/>
      <c r="CK1154"/>
      <c r="CL1154"/>
      <c r="CM1154"/>
      <c r="CN1154"/>
      <c r="CO1154"/>
      <c r="CP1154"/>
      <c r="CQ1154"/>
      <c r="CR1154"/>
      <c r="CS1154"/>
      <c r="CT1154"/>
      <c r="CU1154"/>
      <c r="CV1154"/>
      <c r="CW1154"/>
      <c r="CX1154"/>
      <c r="CY1154"/>
      <c r="CZ1154"/>
      <c r="DA1154"/>
      <c r="DB1154"/>
      <c r="DC1154"/>
      <c r="DD1154"/>
      <c r="DE1154"/>
      <c r="DF1154"/>
      <c r="DG1154"/>
      <c r="DH1154"/>
      <c r="DI1154"/>
      <c r="DJ1154"/>
      <c r="DK1154"/>
      <c r="DL1154"/>
      <c r="DM1154"/>
      <c r="DN1154"/>
      <c r="DO1154"/>
      <c r="DP1154"/>
      <c r="DQ1154"/>
      <c r="DR1154"/>
      <c r="DS1154"/>
      <c r="DT1154"/>
      <c r="DU1154"/>
      <c r="DV1154"/>
      <c r="DW1154"/>
      <c r="DX1154"/>
      <c r="DY1154"/>
      <c r="DZ1154"/>
      <c r="EA1154"/>
      <c r="EB1154"/>
      <c r="EC1154"/>
      <c r="ED1154"/>
      <c r="EE1154"/>
      <c r="EF1154"/>
      <c r="EG1154"/>
      <c r="EH1154"/>
      <c r="EI1154"/>
      <c r="EJ1154"/>
      <c r="EK1154"/>
      <c r="EL1154"/>
      <c r="EM1154"/>
      <c r="EN1154"/>
      <c r="EO1154"/>
      <c r="EP1154"/>
      <c r="EQ1154"/>
      <c r="ER1154"/>
      <c r="ES1154"/>
    </row>
    <row r="1155" spans="1:149">
      <c r="A1155"/>
      <c r="B1155"/>
      <c r="C1155"/>
      <c r="D1155"/>
      <c r="E1155"/>
      <c r="F1155"/>
      <c r="G1155"/>
      <c r="H1155"/>
      <c r="I1155"/>
      <c r="J1155"/>
      <c r="K1155"/>
      <c r="L1155"/>
      <c r="M1155"/>
      <c r="N1155"/>
      <c r="O1155"/>
      <c r="P1155"/>
      <c r="Q1155"/>
      <c r="R1155"/>
      <c r="S1155"/>
      <c r="T1155"/>
      <c r="U1155"/>
      <c r="V1155"/>
      <c r="W1155"/>
      <c r="X1155"/>
      <c r="Y1155"/>
      <c r="Z1155"/>
      <c r="AA1155"/>
      <c r="AB1155"/>
      <c r="AC1155"/>
      <c r="AD1155"/>
      <c r="AE1155"/>
      <c r="AF1155"/>
      <c r="AG1155"/>
      <c r="AH1155"/>
      <c r="AI1155"/>
      <c r="AJ1155"/>
      <c r="AK1155"/>
      <c r="AL1155"/>
      <c r="AM1155"/>
      <c r="AN1155"/>
      <c r="AO1155"/>
      <c r="AP1155"/>
      <c r="AQ1155"/>
      <c r="AR1155"/>
      <c r="AS1155"/>
      <c r="AT1155"/>
      <c r="AU1155"/>
      <c r="AV1155"/>
      <c r="AW1155"/>
      <c r="AX1155"/>
      <c r="AY1155"/>
      <c r="AZ1155"/>
      <c r="BA1155"/>
      <c r="BB1155"/>
      <c r="BC1155"/>
      <c r="BD1155"/>
      <c r="BE1155"/>
      <c r="BF1155"/>
      <c r="BG1155"/>
      <c r="BH1155"/>
      <c r="BI1155"/>
      <c r="BJ1155"/>
      <c r="BK1155"/>
      <c r="BL1155"/>
      <c r="BM1155"/>
      <c r="BN1155"/>
      <c r="BO1155"/>
      <c r="BP1155"/>
      <c r="BQ1155"/>
      <c r="BR1155"/>
      <c r="BS1155"/>
      <c r="BT1155"/>
      <c r="BU1155"/>
      <c r="BV1155"/>
      <c r="BW1155"/>
      <c r="BX1155"/>
      <c r="BY1155"/>
      <c r="BZ1155"/>
      <c r="CA1155"/>
      <c r="CB1155"/>
      <c r="CC1155"/>
      <c r="CD1155"/>
      <c r="CE1155"/>
      <c r="CF1155"/>
      <c r="CG1155"/>
      <c r="CH1155"/>
      <c r="CI1155"/>
      <c r="CJ1155"/>
      <c r="CK1155"/>
      <c r="CL1155"/>
      <c r="CM1155"/>
      <c r="CN1155"/>
      <c r="CO1155"/>
      <c r="CP1155"/>
      <c r="CQ1155"/>
      <c r="CR1155"/>
      <c r="CS1155"/>
      <c r="CT1155"/>
      <c r="CU1155"/>
      <c r="CV1155"/>
      <c r="CW1155"/>
      <c r="CX1155"/>
      <c r="CY1155"/>
      <c r="CZ1155"/>
      <c r="DA1155"/>
      <c r="DB1155"/>
      <c r="DC1155"/>
      <c r="DD1155"/>
      <c r="DE1155"/>
      <c r="DF1155"/>
      <c r="DG1155"/>
      <c r="DH1155"/>
      <c r="DI1155"/>
      <c r="DJ1155"/>
      <c r="DK1155"/>
      <c r="DL1155"/>
      <c r="DM1155"/>
      <c r="DN1155"/>
      <c r="DO1155"/>
      <c r="DP1155"/>
      <c r="DQ1155"/>
      <c r="DR1155"/>
      <c r="DS1155"/>
      <c r="DT1155"/>
      <c r="DU1155"/>
      <c r="DV1155"/>
      <c r="DW1155"/>
      <c r="DX1155"/>
      <c r="DY1155"/>
      <c r="DZ1155"/>
      <c r="EA1155"/>
      <c r="EB1155"/>
      <c r="EC1155"/>
      <c r="ED1155"/>
      <c r="EE1155"/>
      <c r="EF1155"/>
      <c r="EG1155"/>
      <c r="EH1155"/>
      <c r="EI1155"/>
      <c r="EJ1155"/>
      <c r="EK1155"/>
      <c r="EL1155"/>
      <c r="EM1155"/>
      <c r="EN1155"/>
      <c r="EO1155"/>
      <c r="EP1155"/>
      <c r="EQ1155"/>
      <c r="ER1155"/>
      <c r="ES1155"/>
    </row>
    <row r="1156" spans="1:149">
      <c r="A1156"/>
      <c r="B1156"/>
      <c r="C1156"/>
      <c r="D1156"/>
      <c r="E1156"/>
      <c r="F1156"/>
      <c r="G1156"/>
      <c r="H1156"/>
      <c r="I1156"/>
      <c r="J1156"/>
      <c r="K1156"/>
      <c r="L1156"/>
      <c r="M1156"/>
      <c r="N1156"/>
      <c r="O1156"/>
      <c r="P1156"/>
      <c r="Q1156"/>
      <c r="R1156"/>
      <c r="S1156"/>
      <c r="T1156"/>
      <c r="U1156"/>
      <c r="V1156"/>
      <c r="W1156"/>
      <c r="X1156"/>
      <c r="Y1156"/>
      <c r="Z1156"/>
      <c r="AA1156"/>
      <c r="AB1156"/>
      <c r="AC1156"/>
      <c r="AD1156"/>
      <c r="AE1156"/>
      <c r="AF1156"/>
      <c r="AG1156"/>
      <c r="AH1156"/>
      <c r="AI1156"/>
      <c r="AJ1156"/>
      <c r="AK1156"/>
      <c r="AL1156"/>
      <c r="AM1156"/>
      <c r="AN1156"/>
      <c r="AO1156"/>
      <c r="AP1156"/>
      <c r="AQ1156"/>
      <c r="AR1156"/>
      <c r="AS1156"/>
      <c r="AT1156"/>
      <c r="AU1156"/>
      <c r="AV1156"/>
      <c r="AW1156"/>
      <c r="AX1156"/>
      <c r="AY1156"/>
      <c r="AZ1156"/>
      <c r="BA1156"/>
      <c r="BB1156"/>
      <c r="BC1156"/>
      <c r="BD1156"/>
      <c r="BE1156"/>
      <c r="BF1156"/>
      <c r="BG1156"/>
      <c r="BH1156"/>
      <c r="BI1156"/>
      <c r="BJ1156"/>
      <c r="BK1156"/>
      <c r="BL1156"/>
      <c r="BM1156"/>
      <c r="BN1156"/>
      <c r="BO1156"/>
      <c r="BP1156"/>
      <c r="BQ1156"/>
      <c r="BR1156"/>
      <c r="BS1156"/>
      <c r="BT1156"/>
      <c r="BU1156"/>
      <c r="BV1156"/>
      <c r="BW1156"/>
      <c r="BX1156"/>
      <c r="BY1156"/>
      <c r="BZ1156"/>
      <c r="CA1156"/>
      <c r="CB1156"/>
      <c r="CC1156"/>
      <c r="CD1156"/>
      <c r="CE1156"/>
      <c r="CF1156"/>
      <c r="CG1156"/>
      <c r="CH1156"/>
      <c r="CI1156"/>
      <c r="CJ1156"/>
      <c r="CK1156"/>
      <c r="CL1156"/>
      <c r="CM1156"/>
      <c r="CN1156"/>
      <c r="CO1156"/>
      <c r="CP1156"/>
      <c r="CQ1156"/>
      <c r="CR1156"/>
      <c r="CS1156"/>
      <c r="CT1156"/>
      <c r="CU1156"/>
      <c r="CV1156"/>
      <c r="CW1156"/>
      <c r="CX1156"/>
      <c r="CY1156"/>
      <c r="CZ1156"/>
      <c r="DA1156"/>
      <c r="DB1156"/>
      <c r="DC1156"/>
      <c r="DD1156"/>
      <c r="DE1156"/>
      <c r="DF1156"/>
      <c r="DG1156"/>
      <c r="DH1156"/>
      <c r="DI1156"/>
      <c r="DJ1156"/>
      <c r="DK1156"/>
      <c r="DL1156"/>
      <c r="DM1156"/>
      <c r="DN1156"/>
      <c r="DO1156"/>
      <c r="DP1156"/>
      <c r="DQ1156"/>
      <c r="DR1156"/>
      <c r="DS1156"/>
      <c r="DT1156"/>
      <c r="DU1156"/>
      <c r="DV1156"/>
      <c r="DW1156"/>
      <c r="DX1156"/>
      <c r="DY1156"/>
      <c r="DZ1156"/>
      <c r="EA1156"/>
      <c r="EB1156"/>
      <c r="EC1156"/>
      <c r="ED1156"/>
      <c r="EE1156"/>
      <c r="EF1156"/>
      <c r="EG1156"/>
      <c r="EH1156"/>
      <c r="EI1156"/>
      <c r="EJ1156"/>
      <c r="EK1156"/>
      <c r="EL1156"/>
      <c r="EM1156"/>
      <c r="EN1156"/>
      <c r="EO1156"/>
      <c r="EP1156"/>
      <c r="EQ1156"/>
      <c r="ER1156"/>
      <c r="ES1156"/>
    </row>
    <row r="1157" spans="1:149">
      <c r="A1157"/>
      <c r="B1157"/>
      <c r="C1157"/>
      <c r="D1157"/>
      <c r="E1157"/>
      <c r="F1157"/>
      <c r="G1157"/>
      <c r="H1157"/>
      <c r="I1157"/>
      <c r="J1157"/>
      <c r="K1157"/>
      <c r="L1157"/>
      <c r="M1157"/>
      <c r="N1157"/>
      <c r="O1157"/>
      <c r="P1157"/>
      <c r="Q1157"/>
      <c r="R1157"/>
      <c r="S1157"/>
      <c r="T1157"/>
      <c r="U1157"/>
      <c r="V1157"/>
      <c r="W1157"/>
      <c r="X1157"/>
      <c r="Y1157"/>
      <c r="Z1157"/>
      <c r="AA1157"/>
      <c r="AB1157"/>
      <c r="AC1157"/>
      <c r="AD1157"/>
      <c r="AE1157"/>
      <c r="AF1157"/>
      <c r="AG1157"/>
      <c r="AH1157"/>
      <c r="AI1157"/>
      <c r="AJ1157"/>
      <c r="AK1157"/>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c r="BP1157"/>
      <c r="BQ1157"/>
      <c r="BR1157"/>
      <c r="BS1157"/>
      <c r="BT1157"/>
      <c r="BU1157"/>
      <c r="BV1157"/>
      <c r="BW1157"/>
      <c r="BX1157"/>
      <c r="BY1157"/>
      <c r="BZ1157"/>
      <c r="CA1157"/>
      <c r="CB1157"/>
      <c r="CC1157"/>
      <c r="CD1157"/>
      <c r="CE1157"/>
      <c r="CF1157"/>
      <c r="CG1157"/>
      <c r="CH1157"/>
      <c r="CI1157"/>
      <c r="CJ1157"/>
      <c r="CK1157"/>
      <c r="CL1157"/>
      <c r="CM1157"/>
      <c r="CN1157"/>
      <c r="CO1157"/>
      <c r="CP1157"/>
      <c r="CQ1157"/>
      <c r="CR1157"/>
      <c r="CS1157"/>
      <c r="CT1157"/>
      <c r="CU1157"/>
      <c r="CV1157"/>
      <c r="CW1157"/>
      <c r="CX1157"/>
      <c r="CY1157"/>
      <c r="CZ1157"/>
      <c r="DA1157"/>
      <c r="DB1157"/>
      <c r="DC1157"/>
      <c r="DD1157"/>
      <c r="DE1157"/>
      <c r="DF1157"/>
      <c r="DG1157"/>
      <c r="DH1157"/>
      <c r="DI1157"/>
      <c r="DJ1157"/>
      <c r="DK1157"/>
      <c r="DL1157"/>
      <c r="DM1157"/>
      <c r="DN1157"/>
      <c r="DO1157"/>
      <c r="DP1157"/>
      <c r="DQ1157"/>
      <c r="DR1157"/>
      <c r="DS1157"/>
      <c r="DT1157"/>
      <c r="DU1157"/>
      <c r="DV1157"/>
      <c r="DW1157"/>
      <c r="DX1157"/>
      <c r="DY1157"/>
      <c r="DZ1157"/>
      <c r="EA1157"/>
      <c r="EB1157"/>
      <c r="EC1157"/>
      <c r="ED1157"/>
      <c r="EE1157"/>
      <c r="EF1157"/>
      <c r="EG1157"/>
      <c r="EH1157"/>
      <c r="EI1157"/>
      <c r="EJ1157"/>
      <c r="EK1157"/>
      <c r="EL1157"/>
      <c r="EM1157"/>
      <c r="EN1157"/>
      <c r="EO1157"/>
      <c r="EP1157"/>
      <c r="EQ1157"/>
      <c r="ER1157"/>
      <c r="ES1157"/>
    </row>
    <row r="1158" spans="1:149">
      <c r="A1158"/>
      <c r="B1158"/>
      <c r="C1158"/>
      <c r="D1158"/>
      <c r="E1158"/>
      <c r="F1158"/>
      <c r="G1158"/>
      <c r="H1158"/>
      <c r="I1158"/>
      <c r="J1158"/>
      <c r="K1158"/>
      <c r="L1158"/>
      <c r="M1158"/>
      <c r="N1158"/>
      <c r="O1158"/>
      <c r="P1158"/>
      <c r="Q1158"/>
      <c r="R1158"/>
      <c r="S1158"/>
      <c r="T1158"/>
      <c r="U1158"/>
      <c r="V1158"/>
      <c r="W1158"/>
      <c r="X1158"/>
      <c r="Y1158"/>
      <c r="Z1158"/>
      <c r="AA1158"/>
      <c r="AB1158"/>
      <c r="AC1158"/>
      <c r="AD1158"/>
      <c r="AE1158"/>
      <c r="AF1158"/>
      <c r="AG1158"/>
      <c r="AH1158"/>
      <c r="AI1158"/>
      <c r="AJ1158"/>
      <c r="AK1158"/>
      <c r="AL1158"/>
      <c r="AM1158"/>
      <c r="AN1158"/>
      <c r="AO1158"/>
      <c r="AP1158"/>
      <c r="AQ1158"/>
      <c r="AR1158"/>
      <c r="AS1158"/>
      <c r="AT1158"/>
      <c r="AU1158"/>
      <c r="AV1158"/>
      <c r="AW1158"/>
      <c r="AX1158"/>
      <c r="AY1158"/>
      <c r="AZ1158"/>
      <c r="BA1158"/>
      <c r="BB1158"/>
      <c r="BC1158"/>
      <c r="BD1158"/>
      <c r="BE1158"/>
      <c r="BF1158"/>
      <c r="BG1158"/>
      <c r="BH1158"/>
      <c r="BI1158"/>
      <c r="BJ1158"/>
      <c r="BK1158"/>
      <c r="BL1158"/>
      <c r="BM1158"/>
      <c r="BN1158"/>
      <c r="BO1158"/>
      <c r="BP1158"/>
      <c r="BQ1158"/>
      <c r="BR1158"/>
      <c r="BS1158"/>
      <c r="BT1158"/>
      <c r="BU1158"/>
      <c r="BV1158"/>
      <c r="BW1158"/>
      <c r="BX1158"/>
      <c r="BY1158"/>
      <c r="BZ1158"/>
      <c r="CA1158"/>
      <c r="CB1158"/>
      <c r="CC1158"/>
      <c r="CD1158"/>
      <c r="CE1158"/>
      <c r="CF1158"/>
      <c r="CG1158"/>
      <c r="CH1158"/>
      <c r="CI1158"/>
      <c r="CJ1158"/>
      <c r="CK1158"/>
      <c r="CL1158"/>
      <c r="CM1158"/>
      <c r="CN1158"/>
      <c r="CO1158"/>
      <c r="CP1158"/>
      <c r="CQ1158"/>
      <c r="CR1158"/>
      <c r="CS1158"/>
      <c r="CT1158"/>
      <c r="CU1158"/>
      <c r="CV1158"/>
      <c r="CW1158"/>
      <c r="CX1158"/>
      <c r="CY1158"/>
      <c r="CZ1158"/>
      <c r="DA1158"/>
      <c r="DB1158"/>
      <c r="DC1158"/>
      <c r="DD1158"/>
      <c r="DE1158"/>
      <c r="DF1158"/>
      <c r="DG1158"/>
      <c r="DH1158"/>
      <c r="DI1158"/>
      <c r="DJ1158"/>
      <c r="DK1158"/>
      <c r="DL1158"/>
      <c r="DM1158"/>
      <c r="DN1158"/>
      <c r="DO1158"/>
      <c r="DP1158"/>
      <c r="DQ1158"/>
      <c r="DR1158"/>
      <c r="DS1158"/>
      <c r="DT1158"/>
      <c r="DU1158"/>
      <c r="DV1158"/>
      <c r="DW1158"/>
      <c r="DX1158"/>
      <c r="DY1158"/>
      <c r="DZ1158"/>
      <c r="EA1158"/>
      <c r="EB1158"/>
      <c r="EC1158"/>
      <c r="ED1158"/>
      <c r="EE1158"/>
      <c r="EF1158"/>
      <c r="EG1158"/>
      <c r="EH1158"/>
      <c r="EI1158"/>
      <c r="EJ1158"/>
      <c r="EK1158"/>
      <c r="EL1158"/>
      <c r="EM1158"/>
      <c r="EN1158"/>
      <c r="EO1158"/>
      <c r="EP1158"/>
      <c r="EQ1158"/>
      <c r="ER1158"/>
      <c r="ES1158"/>
    </row>
    <row r="1159" spans="1:149">
      <c r="A1159"/>
      <c r="B1159"/>
      <c r="C1159"/>
      <c r="D1159"/>
      <c r="E1159"/>
      <c r="F1159"/>
      <c r="G1159"/>
      <c r="H1159"/>
      <c r="I1159"/>
      <c r="J1159"/>
      <c r="K1159"/>
      <c r="L1159"/>
      <c r="M1159"/>
      <c r="N1159"/>
      <c r="O1159"/>
      <c r="P1159"/>
      <c r="Q1159"/>
      <c r="R1159"/>
      <c r="S1159"/>
      <c r="T1159"/>
      <c r="U1159"/>
      <c r="V1159"/>
      <c r="W1159"/>
      <c r="X1159"/>
      <c r="Y1159"/>
      <c r="Z1159"/>
      <c r="AA1159"/>
      <c r="AB1159"/>
      <c r="AC1159"/>
      <c r="AD1159"/>
      <c r="AE1159"/>
      <c r="AF1159"/>
      <c r="AG1159"/>
      <c r="AH1159"/>
      <c r="AI1159"/>
      <c r="AJ1159"/>
      <c r="AK1159"/>
      <c r="AL1159"/>
      <c r="AM1159"/>
      <c r="AN1159"/>
      <c r="AO1159"/>
      <c r="AP1159"/>
      <c r="AQ1159"/>
      <c r="AR1159"/>
      <c r="AS1159"/>
      <c r="AT1159"/>
      <c r="AU1159"/>
      <c r="AV1159"/>
      <c r="AW1159"/>
      <c r="AX1159"/>
      <c r="AY1159"/>
      <c r="AZ1159"/>
      <c r="BA1159"/>
      <c r="BB1159"/>
      <c r="BC1159"/>
      <c r="BD1159"/>
      <c r="BE1159"/>
      <c r="BF1159"/>
      <c r="BG1159"/>
      <c r="BH1159"/>
      <c r="BI1159"/>
      <c r="BJ1159"/>
      <c r="BK1159"/>
      <c r="BL1159"/>
      <c r="BM1159"/>
      <c r="BN1159"/>
      <c r="BO1159"/>
      <c r="BP1159"/>
      <c r="BQ1159"/>
      <c r="BR1159"/>
      <c r="BS1159"/>
      <c r="BT1159"/>
      <c r="BU1159"/>
      <c r="BV1159"/>
      <c r="BW1159"/>
      <c r="BX1159"/>
      <c r="BY1159"/>
      <c r="BZ1159"/>
      <c r="CA1159"/>
      <c r="CB1159"/>
      <c r="CC1159"/>
      <c r="CD1159"/>
      <c r="CE1159"/>
      <c r="CF1159"/>
      <c r="CG1159"/>
      <c r="CH1159"/>
      <c r="CI1159"/>
      <c r="CJ1159"/>
      <c r="CK1159"/>
      <c r="CL1159"/>
      <c r="CM1159"/>
      <c r="CN1159"/>
      <c r="CO1159"/>
      <c r="CP1159"/>
      <c r="CQ1159"/>
      <c r="CR1159"/>
      <c r="CS1159"/>
      <c r="CT1159"/>
      <c r="CU1159"/>
      <c r="CV1159"/>
      <c r="CW1159"/>
      <c r="CX1159"/>
      <c r="CY1159"/>
      <c r="CZ1159"/>
      <c r="DA1159"/>
      <c r="DB1159"/>
      <c r="DC1159"/>
      <c r="DD1159"/>
      <c r="DE1159"/>
      <c r="DF1159"/>
      <c r="DG1159"/>
      <c r="DH1159"/>
      <c r="DI1159"/>
      <c r="DJ1159"/>
      <c r="DK1159"/>
      <c r="DL1159"/>
      <c r="DM1159"/>
      <c r="DN1159"/>
      <c r="DO1159"/>
      <c r="DP1159"/>
      <c r="DQ1159"/>
      <c r="DR1159"/>
      <c r="DS1159"/>
      <c r="DT1159"/>
      <c r="DU1159"/>
      <c r="DV1159"/>
      <c r="DW1159"/>
      <c r="DX1159"/>
      <c r="DY1159"/>
      <c r="DZ1159"/>
      <c r="EA1159"/>
      <c r="EB1159"/>
      <c r="EC1159"/>
      <c r="ED1159"/>
      <c r="EE1159"/>
      <c r="EF1159"/>
      <c r="EG1159"/>
      <c r="EH1159"/>
      <c r="EI1159"/>
      <c r="EJ1159"/>
      <c r="EK1159"/>
      <c r="EL1159"/>
      <c r="EM1159"/>
      <c r="EN1159"/>
      <c r="EO1159"/>
      <c r="EP1159"/>
      <c r="EQ1159"/>
      <c r="ER1159"/>
      <c r="ES1159"/>
    </row>
    <row r="1160" spans="1:149">
      <c r="A1160"/>
      <c r="B1160"/>
      <c r="C1160"/>
      <c r="D1160"/>
      <c r="E1160"/>
      <c r="F1160"/>
      <c r="G1160"/>
      <c r="H1160"/>
      <c r="I1160"/>
      <c r="J1160"/>
      <c r="K1160"/>
      <c r="L1160"/>
      <c r="M1160"/>
      <c r="N1160"/>
      <c r="O1160"/>
      <c r="P1160"/>
      <c r="Q1160"/>
      <c r="R1160"/>
      <c r="S1160"/>
      <c r="T1160"/>
      <c r="U1160"/>
      <c r="V1160"/>
      <c r="W1160"/>
      <c r="X1160"/>
      <c r="Y1160"/>
      <c r="Z1160"/>
      <c r="AA1160"/>
      <c r="AB1160"/>
      <c r="AC1160"/>
      <c r="AD1160"/>
      <c r="AE1160"/>
      <c r="AF1160"/>
      <c r="AG1160"/>
      <c r="AH1160"/>
      <c r="AI1160"/>
      <c r="AJ1160"/>
      <c r="AK1160"/>
      <c r="AL1160"/>
      <c r="AM1160"/>
      <c r="AN1160"/>
      <c r="AO1160"/>
      <c r="AP1160"/>
      <c r="AQ1160"/>
      <c r="AR1160"/>
      <c r="AS1160"/>
      <c r="AT1160"/>
      <c r="AU1160"/>
      <c r="AV1160"/>
      <c r="AW1160"/>
      <c r="AX1160"/>
      <c r="AY1160"/>
      <c r="AZ1160"/>
      <c r="BA1160"/>
      <c r="BB1160"/>
      <c r="BC1160"/>
      <c r="BD1160"/>
      <c r="BE1160"/>
      <c r="BF1160"/>
      <c r="BG1160"/>
      <c r="BH1160"/>
      <c r="BI1160"/>
      <c r="BJ1160"/>
      <c r="BK1160"/>
      <c r="BL1160"/>
      <c r="BM1160"/>
      <c r="BN1160"/>
      <c r="BO1160"/>
      <c r="BP1160"/>
      <c r="BQ1160"/>
      <c r="BR1160"/>
      <c r="BS1160"/>
      <c r="BT1160"/>
      <c r="BU1160"/>
      <c r="BV1160"/>
      <c r="BW1160"/>
      <c r="BX1160"/>
      <c r="BY1160"/>
      <c r="BZ1160"/>
      <c r="CA1160"/>
      <c r="CB1160"/>
      <c r="CC1160"/>
      <c r="CD1160"/>
      <c r="CE1160"/>
      <c r="CF1160"/>
      <c r="CG1160"/>
      <c r="CH1160"/>
      <c r="CI1160"/>
      <c r="CJ1160"/>
      <c r="CK1160"/>
      <c r="CL1160"/>
      <c r="CM1160"/>
      <c r="CN1160"/>
      <c r="CO1160"/>
      <c r="CP1160"/>
      <c r="CQ1160"/>
      <c r="CR1160"/>
      <c r="CS1160"/>
      <c r="CT1160"/>
      <c r="CU1160"/>
      <c r="CV1160"/>
      <c r="CW1160"/>
      <c r="CX1160"/>
      <c r="CY1160"/>
      <c r="CZ1160"/>
      <c r="DA1160"/>
      <c r="DB1160"/>
      <c r="DC1160"/>
      <c r="DD1160"/>
      <c r="DE1160"/>
      <c r="DF1160"/>
      <c r="DG1160"/>
      <c r="DH1160"/>
      <c r="DI1160"/>
      <c r="DJ1160"/>
      <c r="DK1160"/>
      <c r="DL1160"/>
      <c r="DM1160"/>
      <c r="DN1160"/>
      <c r="DO1160"/>
      <c r="DP1160"/>
      <c r="DQ1160"/>
      <c r="DR1160"/>
      <c r="DS1160"/>
      <c r="DT1160"/>
      <c r="DU1160"/>
      <c r="DV1160"/>
      <c r="DW1160"/>
      <c r="DX1160"/>
      <c r="DY1160"/>
      <c r="DZ1160"/>
      <c r="EA1160"/>
      <c r="EB1160"/>
      <c r="EC1160"/>
      <c r="ED1160"/>
      <c r="EE1160"/>
      <c r="EF1160"/>
      <c r="EG1160"/>
      <c r="EH1160"/>
      <c r="EI1160"/>
      <c r="EJ1160"/>
      <c r="EK1160"/>
      <c r="EL1160"/>
      <c r="EM1160"/>
      <c r="EN1160"/>
      <c r="EO1160"/>
      <c r="EP1160"/>
      <c r="EQ1160"/>
      <c r="ER1160"/>
      <c r="ES1160"/>
    </row>
    <row r="1161" spans="1:149">
      <c r="A1161"/>
      <c r="B1161"/>
      <c r="C1161"/>
      <c r="D1161"/>
      <c r="E1161"/>
      <c r="F1161"/>
      <c r="G1161"/>
      <c r="H1161"/>
      <c r="I1161"/>
      <c r="J1161"/>
      <c r="K1161"/>
      <c r="L1161"/>
      <c r="M1161"/>
      <c r="N1161"/>
      <c r="O1161"/>
      <c r="P1161"/>
      <c r="Q1161"/>
      <c r="R1161"/>
      <c r="S1161"/>
      <c r="T1161"/>
      <c r="U1161"/>
      <c r="V1161"/>
      <c r="W1161"/>
      <c r="X1161"/>
      <c r="Y1161"/>
      <c r="Z1161"/>
      <c r="AA1161"/>
      <c r="AB1161"/>
      <c r="AC1161"/>
      <c r="AD1161"/>
      <c r="AE1161"/>
      <c r="AF1161"/>
      <c r="AG1161"/>
      <c r="AH1161"/>
      <c r="AI1161"/>
      <c r="AJ1161"/>
      <c r="AK1161"/>
      <c r="AL1161"/>
      <c r="AM1161"/>
      <c r="AN1161"/>
      <c r="AO1161"/>
      <c r="AP1161"/>
      <c r="AQ1161"/>
      <c r="AR1161"/>
      <c r="AS1161"/>
      <c r="AT1161"/>
      <c r="AU1161"/>
      <c r="AV1161"/>
      <c r="AW1161"/>
      <c r="AX1161"/>
      <c r="AY1161"/>
      <c r="AZ1161"/>
      <c r="BA1161"/>
      <c r="BB1161"/>
      <c r="BC1161"/>
      <c r="BD1161"/>
      <c r="BE1161"/>
      <c r="BF1161"/>
      <c r="BG1161"/>
      <c r="BH1161"/>
      <c r="BI1161"/>
      <c r="BJ1161"/>
      <c r="BK1161"/>
      <c r="BL1161"/>
      <c r="BM1161"/>
      <c r="BN1161"/>
      <c r="BO1161"/>
      <c r="BP1161"/>
      <c r="BQ1161"/>
      <c r="BR1161"/>
      <c r="BS1161"/>
      <c r="BT1161"/>
      <c r="BU1161"/>
      <c r="BV1161"/>
      <c r="BW1161"/>
      <c r="BX1161"/>
      <c r="BY1161"/>
      <c r="BZ1161"/>
      <c r="CA1161"/>
      <c r="CB1161"/>
      <c r="CC1161"/>
      <c r="CD1161"/>
      <c r="CE1161"/>
      <c r="CF1161"/>
      <c r="CG1161"/>
      <c r="CH1161"/>
      <c r="CI1161"/>
      <c r="CJ1161"/>
      <c r="CK1161"/>
      <c r="CL1161"/>
      <c r="CM1161"/>
      <c r="CN1161"/>
      <c r="CO1161"/>
      <c r="CP1161"/>
      <c r="CQ1161"/>
      <c r="CR1161"/>
      <c r="CS1161"/>
      <c r="CT1161"/>
      <c r="CU1161"/>
      <c r="CV1161"/>
      <c r="CW1161"/>
      <c r="CX1161"/>
      <c r="CY1161"/>
      <c r="CZ1161"/>
      <c r="DA1161"/>
      <c r="DB1161"/>
      <c r="DC1161"/>
      <c r="DD1161"/>
      <c r="DE1161"/>
      <c r="DF1161"/>
      <c r="DG1161"/>
      <c r="DH1161"/>
      <c r="DI1161"/>
      <c r="DJ1161"/>
      <c r="DK1161"/>
      <c r="DL1161"/>
      <c r="DM1161"/>
      <c r="DN1161"/>
      <c r="DO1161"/>
      <c r="DP1161"/>
      <c r="DQ1161"/>
      <c r="DR1161"/>
      <c r="DS1161"/>
      <c r="DT1161"/>
      <c r="DU1161"/>
      <c r="DV1161"/>
      <c r="DW1161"/>
      <c r="DX1161"/>
      <c r="DY1161"/>
      <c r="DZ1161"/>
      <c r="EA1161"/>
      <c r="EB1161"/>
      <c r="EC1161"/>
      <c r="ED1161"/>
      <c r="EE1161"/>
      <c r="EF1161"/>
      <c r="EG1161"/>
      <c r="EH1161"/>
      <c r="EI1161"/>
      <c r="EJ1161"/>
      <c r="EK1161"/>
      <c r="EL1161"/>
      <c r="EM1161"/>
      <c r="EN1161"/>
      <c r="EO1161"/>
      <c r="EP1161"/>
      <c r="EQ1161"/>
      <c r="ER1161"/>
      <c r="ES1161"/>
    </row>
    <row r="1162" spans="1:149">
      <c r="A1162"/>
      <c r="B1162"/>
      <c r="C1162"/>
      <c r="D1162"/>
      <c r="E1162"/>
      <c r="F1162"/>
      <c r="G1162"/>
      <c r="H1162"/>
      <c r="I1162"/>
      <c r="J1162"/>
      <c r="K1162"/>
      <c r="L1162"/>
      <c r="M1162"/>
      <c r="N1162"/>
      <c r="O1162"/>
      <c r="P1162"/>
      <c r="Q1162"/>
      <c r="R1162"/>
      <c r="S1162"/>
      <c r="T1162"/>
      <c r="U1162"/>
      <c r="V1162"/>
      <c r="W1162"/>
      <c r="X1162"/>
      <c r="Y1162"/>
      <c r="Z1162"/>
      <c r="AA1162"/>
      <c r="AB1162"/>
      <c r="AC1162"/>
      <c r="AD1162"/>
      <c r="AE1162"/>
      <c r="AF1162"/>
      <c r="AG1162"/>
      <c r="AH1162"/>
      <c r="AI1162"/>
      <c r="AJ1162"/>
      <c r="AK1162"/>
      <c r="AL1162"/>
      <c r="AM1162"/>
      <c r="AN1162"/>
      <c r="AO1162"/>
      <c r="AP1162"/>
      <c r="AQ1162"/>
      <c r="AR1162"/>
      <c r="AS1162"/>
      <c r="AT1162"/>
      <c r="AU1162"/>
      <c r="AV1162"/>
      <c r="AW1162"/>
      <c r="AX1162"/>
      <c r="AY1162"/>
      <c r="AZ1162"/>
      <c r="BA1162"/>
      <c r="BB1162"/>
      <c r="BC1162"/>
      <c r="BD1162"/>
      <c r="BE1162"/>
      <c r="BF1162"/>
      <c r="BG1162"/>
      <c r="BH1162"/>
      <c r="BI1162"/>
      <c r="BJ1162"/>
      <c r="BK1162"/>
      <c r="BL1162"/>
      <c r="BM1162"/>
      <c r="BN1162"/>
      <c r="BO1162"/>
      <c r="BP1162"/>
      <c r="BQ1162"/>
      <c r="BR1162"/>
      <c r="BS1162"/>
      <c r="BT1162"/>
      <c r="BU1162"/>
      <c r="BV1162"/>
      <c r="BW1162"/>
      <c r="BX1162"/>
      <c r="BY1162"/>
      <c r="BZ1162"/>
      <c r="CA1162"/>
      <c r="CB1162"/>
      <c r="CC1162"/>
      <c r="CD1162"/>
      <c r="CE1162"/>
      <c r="CF1162"/>
      <c r="CG1162"/>
      <c r="CH1162"/>
      <c r="CI1162"/>
      <c r="CJ1162"/>
      <c r="CK1162"/>
      <c r="CL1162"/>
      <c r="CM1162"/>
      <c r="CN1162"/>
      <c r="CO1162"/>
      <c r="CP1162"/>
      <c r="CQ1162"/>
      <c r="CR1162"/>
      <c r="CS1162"/>
      <c r="CT1162"/>
      <c r="CU1162"/>
      <c r="CV1162"/>
      <c r="CW1162"/>
      <c r="CX1162"/>
      <c r="CY1162"/>
      <c r="CZ1162"/>
      <c r="DA1162"/>
      <c r="DB1162"/>
      <c r="DC1162"/>
      <c r="DD1162"/>
      <c r="DE1162"/>
      <c r="DF1162"/>
      <c r="DG1162"/>
      <c r="DH1162"/>
      <c r="DI1162"/>
      <c r="DJ1162"/>
      <c r="DK1162"/>
      <c r="DL1162"/>
      <c r="DM1162"/>
      <c r="DN1162"/>
      <c r="DO1162"/>
      <c r="DP1162"/>
      <c r="DQ1162"/>
      <c r="DR1162"/>
      <c r="DS1162"/>
      <c r="DT1162"/>
      <c r="DU1162"/>
      <c r="DV1162"/>
      <c r="DW1162"/>
      <c r="DX1162"/>
      <c r="DY1162"/>
      <c r="DZ1162"/>
      <c r="EA1162"/>
      <c r="EB1162"/>
      <c r="EC1162"/>
      <c r="ED1162"/>
      <c r="EE1162"/>
      <c r="EF1162"/>
      <c r="EG1162"/>
      <c r="EH1162"/>
      <c r="EI1162"/>
      <c r="EJ1162"/>
      <c r="EK1162"/>
      <c r="EL1162"/>
      <c r="EM1162"/>
      <c r="EN1162"/>
      <c r="EO1162"/>
      <c r="EP1162"/>
      <c r="EQ1162"/>
      <c r="ER1162"/>
      <c r="ES1162"/>
    </row>
    <row r="1163" spans="1:149">
      <c r="A1163"/>
      <c r="B1163"/>
      <c r="C1163"/>
      <c r="D1163"/>
      <c r="E1163"/>
      <c r="F1163"/>
      <c r="G1163"/>
      <c r="H1163"/>
      <c r="I1163"/>
      <c r="J1163"/>
      <c r="K1163"/>
      <c r="L1163"/>
      <c r="M1163"/>
      <c r="N1163"/>
      <c r="O1163"/>
      <c r="P1163"/>
      <c r="Q1163"/>
      <c r="R1163"/>
      <c r="S1163"/>
      <c r="T1163"/>
      <c r="U1163"/>
      <c r="V1163"/>
      <c r="W1163"/>
      <c r="X1163"/>
      <c r="Y1163"/>
      <c r="Z1163"/>
      <c r="AA1163"/>
      <c r="AB1163"/>
      <c r="AC1163"/>
      <c r="AD1163"/>
      <c r="AE1163"/>
      <c r="AF1163"/>
      <c r="AG1163"/>
      <c r="AH1163"/>
      <c r="AI1163"/>
      <c r="AJ1163"/>
      <c r="AK1163"/>
      <c r="AL1163"/>
      <c r="AM1163"/>
      <c r="AN1163"/>
      <c r="AO1163"/>
      <c r="AP1163"/>
      <c r="AQ1163"/>
      <c r="AR1163"/>
      <c r="AS1163"/>
      <c r="AT1163"/>
      <c r="AU1163"/>
      <c r="AV1163"/>
      <c r="AW1163"/>
      <c r="AX1163"/>
      <c r="AY1163"/>
      <c r="AZ1163"/>
      <c r="BA1163"/>
      <c r="BB1163"/>
      <c r="BC1163"/>
      <c r="BD1163"/>
      <c r="BE1163"/>
      <c r="BF1163"/>
      <c r="BG1163"/>
      <c r="BH1163"/>
      <c r="BI1163"/>
      <c r="BJ1163"/>
      <c r="BK1163"/>
      <c r="BL1163"/>
      <c r="BM1163"/>
      <c r="BN1163"/>
      <c r="BO1163"/>
      <c r="BP1163"/>
      <c r="BQ1163"/>
      <c r="BR1163"/>
      <c r="BS1163"/>
      <c r="BT1163"/>
      <c r="BU1163"/>
      <c r="BV1163"/>
      <c r="BW1163"/>
      <c r="BX1163"/>
      <c r="BY1163"/>
      <c r="BZ1163"/>
      <c r="CA1163"/>
      <c r="CB1163"/>
      <c r="CC1163"/>
      <c r="CD1163"/>
      <c r="CE1163"/>
      <c r="CF1163"/>
      <c r="CG1163"/>
      <c r="CH1163"/>
      <c r="CI1163"/>
      <c r="CJ1163"/>
      <c r="CK1163"/>
      <c r="CL1163"/>
      <c r="CM1163"/>
      <c r="CN1163"/>
      <c r="CO1163"/>
      <c r="CP1163"/>
      <c r="CQ1163"/>
      <c r="CR1163"/>
      <c r="CS1163"/>
      <c r="CT1163"/>
      <c r="CU1163"/>
      <c r="CV1163"/>
      <c r="CW1163"/>
      <c r="CX1163"/>
      <c r="CY1163"/>
      <c r="CZ1163"/>
      <c r="DA1163"/>
      <c r="DB1163"/>
      <c r="DC1163"/>
      <c r="DD1163"/>
      <c r="DE1163"/>
      <c r="DF1163"/>
      <c r="DG1163"/>
      <c r="DH1163"/>
      <c r="DI1163"/>
      <c r="DJ1163"/>
      <c r="DK1163"/>
      <c r="DL1163"/>
      <c r="DM1163"/>
      <c r="DN1163"/>
      <c r="DO1163"/>
      <c r="DP1163"/>
      <c r="DQ1163"/>
      <c r="DR1163"/>
      <c r="DS1163"/>
      <c r="DT1163"/>
      <c r="DU1163"/>
      <c r="DV1163"/>
      <c r="DW1163"/>
      <c r="DX1163"/>
      <c r="DY1163"/>
      <c r="DZ1163"/>
      <c r="EA1163"/>
      <c r="EB1163"/>
      <c r="EC1163"/>
      <c r="ED1163"/>
      <c r="EE1163"/>
      <c r="EF1163"/>
      <c r="EG1163"/>
      <c r="EH1163"/>
      <c r="EI1163"/>
      <c r="EJ1163"/>
      <c r="EK1163"/>
      <c r="EL1163"/>
      <c r="EM1163"/>
      <c r="EN1163"/>
      <c r="EO1163"/>
      <c r="EP1163"/>
      <c r="EQ1163"/>
      <c r="ER1163"/>
      <c r="ES1163"/>
    </row>
    <row r="1164" spans="1:149">
      <c r="A1164"/>
      <c r="B1164"/>
      <c r="C1164"/>
      <c r="D1164"/>
      <c r="E1164"/>
      <c r="F1164"/>
      <c r="G1164"/>
      <c r="H1164"/>
      <c r="I1164"/>
      <c r="J1164"/>
      <c r="K1164"/>
      <c r="L1164"/>
      <c r="M1164"/>
      <c r="N1164"/>
      <c r="O1164"/>
      <c r="P1164"/>
      <c r="Q1164"/>
      <c r="R1164"/>
      <c r="S1164"/>
      <c r="T1164"/>
      <c r="U1164"/>
      <c r="V1164"/>
      <c r="W1164"/>
      <c r="X1164"/>
      <c r="Y1164"/>
      <c r="Z1164"/>
      <c r="AA1164"/>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c r="BZ1164"/>
      <c r="CA1164"/>
      <c r="CB1164"/>
      <c r="CC1164"/>
      <c r="CD1164"/>
      <c r="CE1164"/>
      <c r="CF1164"/>
      <c r="CG1164"/>
      <c r="CH1164"/>
      <c r="CI1164"/>
      <c r="CJ1164"/>
      <c r="CK1164"/>
      <c r="CL1164"/>
      <c r="CM1164"/>
      <c r="CN1164"/>
      <c r="CO1164"/>
      <c r="CP1164"/>
      <c r="CQ1164"/>
      <c r="CR1164"/>
      <c r="CS1164"/>
      <c r="CT1164"/>
      <c r="CU1164"/>
      <c r="CV1164"/>
      <c r="CW1164"/>
      <c r="CX1164"/>
      <c r="CY1164"/>
      <c r="CZ1164"/>
      <c r="DA1164"/>
      <c r="DB1164"/>
      <c r="DC1164"/>
      <c r="DD1164"/>
      <c r="DE1164"/>
      <c r="DF1164"/>
      <c r="DG1164"/>
      <c r="DH1164"/>
      <c r="DI1164"/>
      <c r="DJ1164"/>
      <c r="DK1164"/>
      <c r="DL1164"/>
      <c r="DM1164"/>
      <c r="DN1164"/>
      <c r="DO1164"/>
      <c r="DP1164"/>
      <c r="DQ1164"/>
      <c r="DR1164"/>
      <c r="DS1164"/>
      <c r="DT1164"/>
      <c r="DU1164"/>
      <c r="DV1164"/>
      <c r="DW1164"/>
      <c r="DX1164"/>
      <c r="DY1164"/>
      <c r="DZ1164"/>
      <c r="EA1164"/>
      <c r="EB1164"/>
      <c r="EC1164"/>
      <c r="ED1164"/>
      <c r="EE1164"/>
      <c r="EF1164"/>
      <c r="EG1164"/>
      <c r="EH1164"/>
      <c r="EI1164"/>
      <c r="EJ1164"/>
      <c r="EK1164"/>
      <c r="EL1164"/>
      <c r="EM1164"/>
      <c r="EN1164"/>
      <c r="EO1164"/>
      <c r="EP1164"/>
      <c r="EQ1164"/>
      <c r="ER1164"/>
      <c r="ES1164"/>
    </row>
    <row r="1165" spans="1:149">
      <c r="A1165"/>
      <c r="B1165"/>
      <c r="C1165"/>
      <c r="D1165"/>
      <c r="E1165"/>
      <c r="F1165"/>
      <c r="G1165"/>
      <c r="H1165"/>
      <c r="I1165"/>
      <c r="J1165"/>
      <c r="K1165"/>
      <c r="L1165"/>
      <c r="M1165"/>
      <c r="N1165"/>
      <c r="O1165"/>
      <c r="P1165"/>
      <c r="Q1165"/>
      <c r="R1165"/>
      <c r="S1165"/>
      <c r="T1165"/>
      <c r="U1165"/>
      <c r="V1165"/>
      <c r="W1165"/>
      <c r="X1165"/>
      <c r="Y1165"/>
      <c r="Z1165"/>
      <c r="AA1165"/>
      <c r="AB1165"/>
      <c r="AC1165"/>
      <c r="AD1165"/>
      <c r="AE1165"/>
      <c r="AF1165"/>
      <c r="AG1165"/>
      <c r="AH1165"/>
      <c r="AI1165"/>
      <c r="AJ1165"/>
      <c r="AK1165"/>
      <c r="AL1165"/>
      <c r="AM1165"/>
      <c r="AN1165"/>
      <c r="AO1165"/>
      <c r="AP1165"/>
      <c r="AQ1165"/>
      <c r="AR1165"/>
      <c r="AS1165"/>
      <c r="AT1165"/>
      <c r="AU1165"/>
      <c r="AV1165"/>
      <c r="AW1165"/>
      <c r="AX1165"/>
      <c r="AY1165"/>
      <c r="AZ1165"/>
      <c r="BA1165"/>
      <c r="BB1165"/>
      <c r="BC1165"/>
      <c r="BD1165"/>
      <c r="BE1165"/>
      <c r="BF1165"/>
      <c r="BG1165"/>
      <c r="BH1165"/>
      <c r="BI1165"/>
      <c r="BJ1165"/>
      <c r="BK1165"/>
      <c r="BL1165"/>
      <c r="BM1165"/>
      <c r="BN1165"/>
      <c r="BO1165"/>
      <c r="BP1165"/>
      <c r="BQ1165"/>
      <c r="BR1165"/>
      <c r="BS1165"/>
      <c r="BT1165"/>
      <c r="BU1165"/>
      <c r="BV1165"/>
      <c r="BW1165"/>
      <c r="BX1165"/>
      <c r="BY1165"/>
      <c r="BZ1165"/>
      <c r="CA1165"/>
      <c r="CB1165"/>
      <c r="CC1165"/>
      <c r="CD1165"/>
      <c r="CE1165"/>
      <c r="CF1165"/>
      <c r="CG1165"/>
      <c r="CH1165"/>
      <c r="CI1165"/>
      <c r="CJ1165"/>
      <c r="CK1165"/>
      <c r="CL1165"/>
      <c r="CM1165"/>
      <c r="CN1165"/>
      <c r="CO1165"/>
      <c r="CP1165"/>
      <c r="CQ1165"/>
      <c r="CR1165"/>
      <c r="CS1165"/>
      <c r="CT1165"/>
      <c r="CU1165"/>
      <c r="CV1165"/>
      <c r="CW1165"/>
      <c r="CX1165"/>
      <c r="CY1165"/>
      <c r="CZ1165"/>
      <c r="DA1165"/>
      <c r="DB1165"/>
      <c r="DC1165"/>
      <c r="DD1165"/>
      <c r="DE1165"/>
      <c r="DF1165"/>
      <c r="DG1165"/>
      <c r="DH1165"/>
      <c r="DI1165"/>
      <c r="DJ1165"/>
      <c r="DK1165"/>
      <c r="DL1165"/>
      <c r="DM1165"/>
      <c r="DN1165"/>
      <c r="DO1165"/>
      <c r="DP1165"/>
      <c r="DQ1165"/>
      <c r="DR1165"/>
      <c r="DS1165"/>
      <c r="DT1165"/>
      <c r="DU1165"/>
      <c r="DV1165"/>
      <c r="DW1165"/>
      <c r="DX1165"/>
      <c r="DY1165"/>
      <c r="DZ1165"/>
      <c r="EA1165"/>
      <c r="EB1165"/>
      <c r="EC1165"/>
      <c r="ED1165"/>
      <c r="EE1165"/>
      <c r="EF1165"/>
      <c r="EG1165"/>
      <c r="EH1165"/>
      <c r="EI1165"/>
      <c r="EJ1165"/>
      <c r="EK1165"/>
      <c r="EL1165"/>
      <c r="EM1165"/>
      <c r="EN1165"/>
      <c r="EO1165"/>
      <c r="EP1165"/>
      <c r="EQ1165"/>
      <c r="ER1165"/>
      <c r="ES1165"/>
    </row>
    <row r="1166" spans="1:149">
      <c r="A1166"/>
      <c r="B1166"/>
      <c r="C1166"/>
      <c r="D1166"/>
      <c r="E1166"/>
      <c r="F1166"/>
      <c r="G1166"/>
      <c r="H1166"/>
      <c r="I1166"/>
      <c r="J1166"/>
      <c r="K1166"/>
      <c r="L1166"/>
      <c r="M1166"/>
      <c r="N1166"/>
      <c r="O1166"/>
      <c r="P1166"/>
      <c r="Q1166"/>
      <c r="R1166"/>
      <c r="S1166"/>
      <c r="T1166"/>
      <c r="U1166"/>
      <c r="V1166"/>
      <c r="W1166"/>
      <c r="X1166"/>
      <c r="Y1166"/>
      <c r="Z1166"/>
      <c r="AA1166"/>
      <c r="AB1166"/>
      <c r="AC1166"/>
      <c r="AD1166"/>
      <c r="AE1166"/>
      <c r="AF1166"/>
      <c r="AG1166"/>
      <c r="AH1166"/>
      <c r="AI1166"/>
      <c r="AJ1166"/>
      <c r="AK1166"/>
      <c r="AL1166"/>
      <c r="AM1166"/>
      <c r="AN1166"/>
      <c r="AO1166"/>
      <c r="AP1166"/>
      <c r="AQ1166"/>
      <c r="AR1166"/>
      <c r="AS1166"/>
      <c r="AT1166"/>
      <c r="AU1166"/>
      <c r="AV1166"/>
      <c r="AW1166"/>
      <c r="AX1166"/>
      <c r="AY1166"/>
      <c r="AZ1166"/>
      <c r="BA1166"/>
      <c r="BB1166"/>
      <c r="BC1166"/>
      <c r="BD1166"/>
      <c r="BE1166"/>
      <c r="BF1166"/>
      <c r="BG1166"/>
      <c r="BH1166"/>
      <c r="BI1166"/>
      <c r="BJ1166"/>
      <c r="BK1166"/>
      <c r="BL1166"/>
      <c r="BM1166"/>
      <c r="BN1166"/>
      <c r="BO1166"/>
      <c r="BP1166"/>
      <c r="BQ1166"/>
      <c r="BR1166"/>
      <c r="BS1166"/>
      <c r="BT1166"/>
      <c r="BU1166"/>
      <c r="BV1166"/>
      <c r="BW1166"/>
      <c r="BX1166"/>
      <c r="BY1166"/>
      <c r="BZ1166"/>
      <c r="CA1166"/>
      <c r="CB1166"/>
      <c r="CC1166"/>
      <c r="CD1166"/>
      <c r="CE1166"/>
      <c r="CF1166"/>
      <c r="CG1166"/>
      <c r="CH1166"/>
      <c r="CI1166"/>
      <c r="CJ1166"/>
      <c r="CK1166"/>
      <c r="CL1166"/>
      <c r="CM1166"/>
      <c r="CN1166"/>
      <c r="CO1166"/>
      <c r="CP1166"/>
      <c r="CQ1166"/>
      <c r="CR1166"/>
      <c r="CS1166"/>
      <c r="CT1166"/>
      <c r="CU1166"/>
      <c r="CV1166"/>
      <c r="CW1166"/>
      <c r="CX1166"/>
      <c r="CY1166"/>
      <c r="CZ1166"/>
      <c r="DA1166"/>
      <c r="DB1166"/>
      <c r="DC1166"/>
      <c r="DD1166"/>
      <c r="DE1166"/>
      <c r="DF1166"/>
      <c r="DG1166"/>
      <c r="DH1166"/>
      <c r="DI1166"/>
      <c r="DJ1166"/>
      <c r="DK1166"/>
      <c r="DL1166"/>
      <c r="DM1166"/>
      <c r="DN1166"/>
      <c r="DO1166"/>
      <c r="DP1166"/>
      <c r="DQ1166"/>
      <c r="DR1166"/>
      <c r="DS1166"/>
      <c r="DT1166"/>
      <c r="DU1166"/>
      <c r="DV1166"/>
      <c r="DW1166"/>
      <c r="DX1166"/>
      <c r="DY1166"/>
      <c r="DZ1166"/>
      <c r="EA1166"/>
      <c r="EB1166"/>
      <c r="EC1166"/>
      <c r="ED1166"/>
      <c r="EE1166"/>
      <c r="EF1166"/>
      <c r="EG1166"/>
      <c r="EH1166"/>
      <c r="EI1166"/>
      <c r="EJ1166"/>
      <c r="EK1166"/>
      <c r="EL1166"/>
      <c r="EM1166"/>
      <c r="EN1166"/>
      <c r="EO1166"/>
      <c r="EP1166"/>
      <c r="EQ1166"/>
      <c r="ER1166"/>
      <c r="ES1166"/>
    </row>
    <row r="1167" spans="1:149">
      <c r="A1167"/>
      <c r="B1167"/>
      <c r="C1167"/>
      <c r="D1167"/>
      <c r="E1167"/>
      <c r="F1167"/>
      <c r="G1167"/>
      <c r="H1167"/>
      <c r="I1167"/>
      <c r="J1167"/>
      <c r="K1167"/>
      <c r="L1167"/>
      <c r="M1167"/>
      <c r="N1167"/>
      <c r="O1167"/>
      <c r="P1167"/>
      <c r="Q1167"/>
      <c r="R1167"/>
      <c r="S1167"/>
      <c r="T1167"/>
      <c r="U1167"/>
      <c r="V1167"/>
      <c r="W1167"/>
      <c r="X1167"/>
      <c r="Y1167"/>
      <c r="Z1167"/>
      <c r="AA1167"/>
      <c r="AB1167"/>
      <c r="AC1167"/>
      <c r="AD1167"/>
      <c r="AE1167"/>
      <c r="AF1167"/>
      <c r="AG1167"/>
      <c r="AH1167"/>
      <c r="AI1167"/>
      <c r="AJ1167"/>
      <c r="AK1167"/>
      <c r="AL1167"/>
      <c r="AM1167"/>
      <c r="AN1167"/>
      <c r="AO1167"/>
      <c r="AP1167"/>
      <c r="AQ1167"/>
      <c r="AR1167"/>
      <c r="AS1167"/>
      <c r="AT1167"/>
      <c r="AU1167"/>
      <c r="AV1167"/>
      <c r="AW1167"/>
      <c r="AX1167"/>
      <c r="AY1167"/>
      <c r="AZ1167"/>
      <c r="BA1167"/>
      <c r="BB1167"/>
      <c r="BC1167"/>
      <c r="BD1167"/>
      <c r="BE1167"/>
      <c r="BF1167"/>
      <c r="BG1167"/>
      <c r="BH1167"/>
      <c r="BI1167"/>
      <c r="BJ1167"/>
      <c r="BK1167"/>
      <c r="BL1167"/>
      <c r="BM1167"/>
      <c r="BN1167"/>
      <c r="BO1167"/>
      <c r="BP1167"/>
      <c r="BQ1167"/>
      <c r="BR1167"/>
      <c r="BS1167"/>
      <c r="BT1167"/>
      <c r="BU1167"/>
      <c r="BV1167"/>
      <c r="BW1167"/>
      <c r="BX1167"/>
      <c r="BY1167"/>
      <c r="BZ1167"/>
      <c r="CA1167"/>
      <c r="CB1167"/>
      <c r="CC1167"/>
      <c r="CD1167"/>
      <c r="CE1167"/>
      <c r="CF1167"/>
      <c r="CG1167"/>
      <c r="CH1167"/>
      <c r="CI1167"/>
      <c r="CJ1167"/>
      <c r="CK1167"/>
      <c r="CL1167"/>
      <c r="CM1167"/>
      <c r="CN1167"/>
      <c r="CO1167"/>
      <c r="CP1167"/>
      <c r="CQ1167"/>
      <c r="CR1167"/>
      <c r="CS1167"/>
      <c r="CT1167"/>
      <c r="CU1167"/>
      <c r="CV1167"/>
      <c r="CW1167"/>
      <c r="CX1167"/>
      <c r="CY1167"/>
      <c r="CZ1167"/>
      <c r="DA1167"/>
      <c r="DB1167"/>
      <c r="DC1167"/>
      <c r="DD1167"/>
      <c r="DE1167"/>
      <c r="DF1167"/>
      <c r="DG1167"/>
      <c r="DH1167"/>
      <c r="DI1167"/>
      <c r="DJ1167"/>
      <c r="DK1167"/>
      <c r="DL1167"/>
      <c r="DM1167"/>
      <c r="DN1167"/>
      <c r="DO1167"/>
      <c r="DP1167"/>
      <c r="DQ1167"/>
      <c r="DR1167"/>
      <c r="DS1167"/>
      <c r="DT1167"/>
      <c r="DU1167"/>
      <c r="DV1167"/>
      <c r="DW1167"/>
      <c r="DX1167"/>
      <c r="DY1167"/>
      <c r="DZ1167"/>
      <c r="EA1167"/>
      <c r="EB1167"/>
      <c r="EC1167"/>
      <c r="ED1167"/>
      <c r="EE1167"/>
      <c r="EF1167"/>
      <c r="EG1167"/>
      <c r="EH1167"/>
      <c r="EI1167"/>
      <c r="EJ1167"/>
      <c r="EK1167"/>
      <c r="EL1167"/>
      <c r="EM1167"/>
      <c r="EN1167"/>
      <c r="EO1167"/>
      <c r="EP1167"/>
      <c r="EQ1167"/>
      <c r="ER1167"/>
      <c r="ES1167"/>
    </row>
    <row r="1168" spans="1:149">
      <c r="A1168"/>
      <c r="B1168"/>
      <c r="C1168"/>
      <c r="D1168"/>
      <c r="E1168"/>
      <c r="F1168"/>
      <c r="G1168"/>
      <c r="H1168"/>
      <c r="I1168"/>
      <c r="J1168"/>
      <c r="K1168"/>
      <c r="L1168"/>
      <c r="M1168"/>
      <c r="N1168"/>
      <c r="O1168"/>
      <c r="P1168"/>
      <c r="Q1168"/>
      <c r="R1168"/>
      <c r="S1168"/>
      <c r="T1168"/>
      <c r="U1168"/>
      <c r="V1168"/>
      <c r="W1168"/>
      <c r="X1168"/>
      <c r="Y1168"/>
      <c r="Z1168"/>
      <c r="AA1168"/>
      <c r="AB1168"/>
      <c r="AC1168"/>
      <c r="AD1168"/>
      <c r="AE1168"/>
      <c r="AF1168"/>
      <c r="AG1168"/>
      <c r="AH1168"/>
      <c r="AI1168"/>
      <c r="AJ1168"/>
      <c r="AK1168"/>
      <c r="AL1168"/>
      <c r="AM1168"/>
      <c r="AN1168"/>
      <c r="AO1168"/>
      <c r="AP1168"/>
      <c r="AQ1168"/>
      <c r="AR1168"/>
      <c r="AS1168"/>
      <c r="AT1168"/>
      <c r="AU1168"/>
      <c r="AV1168"/>
      <c r="AW1168"/>
      <c r="AX1168"/>
      <c r="AY1168"/>
      <c r="AZ1168"/>
      <c r="BA1168"/>
      <c r="BB1168"/>
      <c r="BC1168"/>
      <c r="BD1168"/>
      <c r="BE1168"/>
      <c r="BF1168"/>
      <c r="BG1168"/>
      <c r="BH1168"/>
      <c r="BI1168"/>
      <c r="BJ1168"/>
      <c r="BK1168"/>
      <c r="BL1168"/>
      <c r="BM1168"/>
      <c r="BN1168"/>
      <c r="BO1168"/>
      <c r="BP1168"/>
      <c r="BQ1168"/>
      <c r="BR1168"/>
      <c r="BS1168"/>
      <c r="BT1168"/>
      <c r="BU1168"/>
      <c r="BV1168"/>
      <c r="BW1168"/>
      <c r="BX1168"/>
      <c r="BY1168"/>
      <c r="BZ1168"/>
      <c r="CA1168"/>
      <c r="CB1168"/>
      <c r="CC1168"/>
      <c r="CD1168"/>
      <c r="CE1168"/>
      <c r="CF1168"/>
      <c r="CG1168"/>
      <c r="CH1168"/>
      <c r="CI1168"/>
      <c r="CJ1168"/>
      <c r="CK1168"/>
      <c r="CL1168"/>
      <c r="CM1168"/>
      <c r="CN1168"/>
      <c r="CO1168"/>
      <c r="CP1168"/>
      <c r="CQ1168"/>
      <c r="CR1168"/>
      <c r="CS1168"/>
      <c r="CT1168"/>
      <c r="CU1168"/>
      <c r="CV1168"/>
      <c r="CW1168"/>
      <c r="CX1168"/>
      <c r="CY1168"/>
      <c r="CZ1168"/>
      <c r="DA1168"/>
      <c r="DB1168"/>
      <c r="DC1168"/>
      <c r="DD1168"/>
      <c r="DE1168"/>
      <c r="DF1168"/>
      <c r="DG1168"/>
      <c r="DH1168"/>
      <c r="DI1168"/>
      <c r="DJ1168"/>
      <c r="DK1168"/>
      <c r="DL1168"/>
      <c r="DM1168"/>
      <c r="DN1168"/>
      <c r="DO1168"/>
      <c r="DP1168"/>
      <c r="DQ1168"/>
      <c r="DR1168"/>
      <c r="DS1168"/>
      <c r="DT1168"/>
      <c r="DU1168"/>
      <c r="DV1168"/>
      <c r="DW1168"/>
      <c r="DX1168"/>
      <c r="DY1168"/>
      <c r="DZ1168"/>
      <c r="EA1168"/>
      <c r="EB1168"/>
      <c r="EC1168"/>
      <c r="ED1168"/>
      <c r="EE1168"/>
      <c r="EF1168"/>
      <c r="EG1168"/>
      <c r="EH1168"/>
      <c r="EI1168"/>
      <c r="EJ1168"/>
      <c r="EK1168"/>
      <c r="EL1168"/>
      <c r="EM1168"/>
      <c r="EN1168"/>
      <c r="EO1168"/>
      <c r="EP1168"/>
      <c r="EQ1168"/>
      <c r="ER1168"/>
      <c r="ES1168"/>
    </row>
    <row r="1169" spans="1:149">
      <c r="A1169"/>
      <c r="B1169"/>
      <c r="C1169"/>
      <c r="D1169"/>
      <c r="E1169"/>
      <c r="F1169"/>
      <c r="G1169"/>
      <c r="H1169"/>
      <c r="I1169"/>
      <c r="J1169"/>
      <c r="K1169"/>
      <c r="L1169"/>
      <c r="M1169"/>
      <c r="N1169"/>
      <c r="O1169"/>
      <c r="P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L1169"/>
      <c r="CM1169"/>
      <c r="CN1169"/>
      <c r="CO1169"/>
      <c r="CP1169"/>
      <c r="CQ1169"/>
      <c r="CR1169"/>
      <c r="CS1169"/>
      <c r="CT1169"/>
      <c r="CU1169"/>
      <c r="CV1169"/>
      <c r="CW1169"/>
      <c r="CX1169"/>
      <c r="CY1169"/>
      <c r="CZ1169"/>
      <c r="DA1169"/>
      <c r="DB1169"/>
      <c r="DC1169"/>
      <c r="DD1169"/>
      <c r="DE1169"/>
      <c r="DF1169"/>
      <c r="DG1169"/>
      <c r="DH1169"/>
      <c r="DI1169"/>
      <c r="DJ1169"/>
      <c r="DK1169"/>
      <c r="DL1169"/>
      <c r="DM1169"/>
      <c r="DN1169"/>
      <c r="DO1169"/>
      <c r="DP1169"/>
      <c r="DQ1169"/>
      <c r="DR1169"/>
      <c r="DS1169"/>
      <c r="DT1169"/>
      <c r="DU1169"/>
      <c r="DV1169"/>
      <c r="DW1169"/>
      <c r="DX1169"/>
      <c r="DY1169"/>
      <c r="DZ1169"/>
      <c r="EA1169"/>
      <c r="EB1169"/>
      <c r="EC1169"/>
      <c r="ED1169"/>
      <c r="EE1169"/>
      <c r="EF1169"/>
      <c r="EG1169"/>
      <c r="EH1169"/>
      <c r="EI1169"/>
      <c r="EJ1169"/>
      <c r="EK1169"/>
      <c r="EL1169"/>
      <c r="EM1169"/>
      <c r="EN1169"/>
      <c r="EO1169"/>
      <c r="EP1169"/>
      <c r="EQ1169"/>
      <c r="ER1169"/>
      <c r="ES1169"/>
    </row>
    <row r="1170" spans="1:149">
      <c r="A1170"/>
      <c r="B1170"/>
      <c r="C1170"/>
      <c r="D1170"/>
      <c r="E1170"/>
      <c r="F1170"/>
      <c r="G1170"/>
      <c r="H1170"/>
      <c r="I1170"/>
      <c r="J1170"/>
      <c r="K1170"/>
      <c r="L1170"/>
      <c r="M1170"/>
      <c r="N1170"/>
      <c r="O1170"/>
      <c r="P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L1170"/>
      <c r="CM1170"/>
      <c r="CN1170"/>
      <c r="CO1170"/>
      <c r="CP1170"/>
      <c r="CQ1170"/>
      <c r="CR1170"/>
      <c r="CS1170"/>
      <c r="CT1170"/>
      <c r="CU1170"/>
      <c r="CV1170"/>
      <c r="CW1170"/>
      <c r="CX1170"/>
      <c r="CY1170"/>
      <c r="CZ1170"/>
      <c r="DA1170"/>
      <c r="DB1170"/>
      <c r="DC1170"/>
      <c r="DD1170"/>
      <c r="DE1170"/>
      <c r="DF1170"/>
      <c r="DG1170"/>
      <c r="DH1170"/>
      <c r="DI1170"/>
      <c r="DJ1170"/>
      <c r="DK1170"/>
      <c r="DL1170"/>
      <c r="DM1170"/>
      <c r="DN1170"/>
      <c r="DO1170"/>
      <c r="DP1170"/>
      <c r="DQ1170"/>
      <c r="DR1170"/>
      <c r="DS1170"/>
      <c r="DT1170"/>
      <c r="DU1170"/>
      <c r="DV1170"/>
      <c r="DW1170"/>
      <c r="DX1170"/>
      <c r="DY1170"/>
      <c r="DZ1170"/>
      <c r="EA1170"/>
      <c r="EB1170"/>
      <c r="EC1170"/>
      <c r="ED1170"/>
      <c r="EE1170"/>
      <c r="EF1170"/>
      <c r="EG1170"/>
      <c r="EH1170"/>
      <c r="EI1170"/>
      <c r="EJ1170"/>
      <c r="EK1170"/>
      <c r="EL1170"/>
      <c r="EM1170"/>
      <c r="EN1170"/>
      <c r="EO1170"/>
      <c r="EP1170"/>
      <c r="EQ1170"/>
      <c r="ER1170"/>
      <c r="ES1170"/>
    </row>
    <row r="1171" spans="1:149">
      <c r="A1171"/>
      <c r="B1171"/>
      <c r="C1171"/>
      <c r="D1171"/>
      <c r="E1171"/>
      <c r="F1171"/>
      <c r="G1171"/>
      <c r="H1171"/>
      <c r="I1171"/>
      <c r="J1171"/>
      <c r="K1171"/>
      <c r="L1171"/>
      <c r="M1171"/>
      <c r="N1171"/>
      <c r="O1171"/>
      <c r="P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L1171"/>
      <c r="CM1171"/>
      <c r="CN1171"/>
      <c r="CO1171"/>
      <c r="CP1171"/>
      <c r="CQ1171"/>
      <c r="CR1171"/>
      <c r="CS1171"/>
      <c r="CT1171"/>
      <c r="CU1171"/>
      <c r="CV1171"/>
      <c r="CW1171"/>
      <c r="CX1171"/>
      <c r="CY1171"/>
      <c r="CZ1171"/>
      <c r="DA1171"/>
      <c r="DB1171"/>
      <c r="DC1171"/>
      <c r="DD1171"/>
      <c r="DE1171"/>
      <c r="DF1171"/>
      <c r="DG1171"/>
      <c r="DH1171"/>
      <c r="DI1171"/>
      <c r="DJ1171"/>
      <c r="DK1171"/>
      <c r="DL1171"/>
      <c r="DM1171"/>
      <c r="DN1171"/>
      <c r="DO1171"/>
      <c r="DP1171"/>
      <c r="DQ1171"/>
      <c r="DR1171"/>
      <c r="DS1171"/>
      <c r="DT1171"/>
      <c r="DU1171"/>
      <c r="DV1171"/>
      <c r="DW1171"/>
      <c r="DX1171"/>
      <c r="DY1171"/>
      <c r="DZ1171"/>
      <c r="EA1171"/>
      <c r="EB1171"/>
      <c r="EC1171"/>
      <c r="ED1171"/>
      <c r="EE1171"/>
      <c r="EF1171"/>
      <c r="EG1171"/>
      <c r="EH1171"/>
      <c r="EI1171"/>
      <c r="EJ1171"/>
      <c r="EK1171"/>
      <c r="EL1171"/>
      <c r="EM1171"/>
      <c r="EN1171"/>
      <c r="EO1171"/>
      <c r="EP1171"/>
      <c r="EQ1171"/>
      <c r="ER1171"/>
      <c r="ES1171"/>
    </row>
    <row r="1172" spans="1:149">
      <c r="A1172"/>
      <c r="B1172"/>
      <c r="C1172"/>
      <c r="D1172"/>
      <c r="E1172"/>
      <c r="F1172"/>
      <c r="G1172"/>
      <c r="H1172"/>
      <c r="I1172"/>
      <c r="J1172"/>
      <c r="K1172"/>
      <c r="L1172"/>
      <c r="M1172"/>
      <c r="N1172"/>
      <c r="O1172"/>
      <c r="P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L1172"/>
      <c r="CM1172"/>
      <c r="CN1172"/>
      <c r="CO1172"/>
      <c r="CP1172"/>
      <c r="CQ1172"/>
      <c r="CR1172"/>
      <c r="CS1172"/>
      <c r="CT1172"/>
      <c r="CU1172"/>
      <c r="CV1172"/>
      <c r="CW1172"/>
      <c r="CX1172"/>
      <c r="CY1172"/>
      <c r="CZ1172"/>
      <c r="DA1172"/>
      <c r="DB1172"/>
      <c r="DC1172"/>
      <c r="DD1172"/>
      <c r="DE1172"/>
      <c r="DF1172"/>
      <c r="DG1172"/>
      <c r="DH1172"/>
      <c r="DI1172"/>
      <c r="DJ1172"/>
      <c r="DK1172"/>
      <c r="DL1172"/>
      <c r="DM1172"/>
      <c r="DN1172"/>
      <c r="DO1172"/>
      <c r="DP1172"/>
      <c r="DQ1172"/>
      <c r="DR1172"/>
      <c r="DS1172"/>
      <c r="DT1172"/>
      <c r="DU1172"/>
      <c r="DV1172"/>
      <c r="DW1172"/>
      <c r="DX1172"/>
      <c r="DY1172"/>
      <c r="DZ1172"/>
      <c r="EA1172"/>
      <c r="EB1172"/>
      <c r="EC1172"/>
      <c r="ED1172"/>
      <c r="EE1172"/>
      <c r="EF1172"/>
      <c r="EG1172"/>
      <c r="EH1172"/>
      <c r="EI1172"/>
      <c r="EJ1172"/>
      <c r="EK1172"/>
      <c r="EL1172"/>
      <c r="EM1172"/>
      <c r="EN1172"/>
      <c r="EO1172"/>
      <c r="EP1172"/>
      <c r="EQ1172"/>
      <c r="ER1172"/>
      <c r="ES1172"/>
    </row>
    <row r="1173" spans="1:149">
      <c r="A1173"/>
      <c r="B1173"/>
      <c r="C1173"/>
      <c r="D1173"/>
      <c r="E1173"/>
      <c r="F1173"/>
      <c r="G1173"/>
      <c r="H1173"/>
      <c r="I1173"/>
      <c r="J1173"/>
      <c r="K1173"/>
      <c r="L1173"/>
      <c r="M1173"/>
      <c r="N1173"/>
      <c r="O1173"/>
      <c r="P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L1173"/>
      <c r="CM1173"/>
      <c r="CN1173"/>
      <c r="CO1173"/>
      <c r="CP1173"/>
      <c r="CQ1173"/>
      <c r="CR1173"/>
      <c r="CS1173"/>
      <c r="CT1173"/>
      <c r="CU1173"/>
      <c r="CV1173"/>
      <c r="CW1173"/>
      <c r="CX1173"/>
      <c r="CY1173"/>
      <c r="CZ1173"/>
      <c r="DA1173"/>
      <c r="DB1173"/>
      <c r="DC1173"/>
      <c r="DD1173"/>
      <c r="DE1173"/>
      <c r="DF1173"/>
      <c r="DG1173"/>
      <c r="DH1173"/>
      <c r="DI1173"/>
      <c r="DJ1173"/>
      <c r="DK1173"/>
      <c r="DL1173"/>
      <c r="DM1173"/>
      <c r="DN1173"/>
      <c r="DO1173"/>
      <c r="DP1173"/>
      <c r="DQ1173"/>
      <c r="DR1173"/>
      <c r="DS1173"/>
      <c r="DT1173"/>
      <c r="DU1173"/>
      <c r="DV1173"/>
      <c r="DW1173"/>
      <c r="DX1173"/>
      <c r="DY1173"/>
      <c r="DZ1173"/>
      <c r="EA1173"/>
      <c r="EB1173"/>
      <c r="EC1173"/>
      <c r="ED1173"/>
      <c r="EE1173"/>
      <c r="EF1173"/>
      <c r="EG1173"/>
      <c r="EH1173"/>
      <c r="EI1173"/>
      <c r="EJ1173"/>
      <c r="EK1173"/>
      <c r="EL1173"/>
      <c r="EM1173"/>
      <c r="EN1173"/>
      <c r="EO1173"/>
      <c r="EP1173"/>
      <c r="EQ1173"/>
      <c r="ER1173"/>
      <c r="ES1173"/>
    </row>
    <row r="1174" spans="1:149">
      <c r="A1174"/>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c r="CW1174"/>
      <c r="CX1174"/>
      <c r="CY1174"/>
      <c r="CZ1174"/>
      <c r="DA1174"/>
      <c r="DB1174"/>
      <c r="DC1174"/>
      <c r="DD1174"/>
      <c r="DE1174"/>
      <c r="DF1174"/>
      <c r="DG1174"/>
      <c r="DH1174"/>
      <c r="DI1174"/>
      <c r="DJ1174"/>
      <c r="DK1174"/>
      <c r="DL1174"/>
      <c r="DM1174"/>
      <c r="DN1174"/>
      <c r="DO1174"/>
      <c r="DP1174"/>
      <c r="DQ1174"/>
      <c r="DR1174"/>
      <c r="DS1174"/>
      <c r="DT1174"/>
      <c r="DU1174"/>
      <c r="DV1174"/>
      <c r="DW1174"/>
      <c r="DX1174"/>
      <c r="DY1174"/>
      <c r="DZ1174"/>
      <c r="EA1174"/>
      <c r="EB1174"/>
      <c r="EC1174"/>
      <c r="ED1174"/>
      <c r="EE1174"/>
      <c r="EF1174"/>
      <c r="EG1174"/>
      <c r="EH1174"/>
      <c r="EI1174"/>
      <c r="EJ1174"/>
      <c r="EK1174"/>
      <c r="EL1174"/>
      <c r="EM1174"/>
      <c r="EN1174"/>
      <c r="EO1174"/>
      <c r="EP1174"/>
      <c r="EQ1174"/>
      <c r="ER1174"/>
      <c r="ES1174"/>
    </row>
    <row r="1175" spans="1:149">
      <c r="A1175"/>
      <c r="B1175"/>
      <c r="C1175"/>
      <c r="D1175"/>
      <c r="E1175"/>
      <c r="F1175"/>
      <c r="G1175"/>
      <c r="H1175"/>
      <c r="I1175"/>
      <c r="J1175"/>
      <c r="K1175"/>
      <c r="L1175"/>
      <c r="M1175"/>
      <c r="N1175"/>
      <c r="O1175"/>
      <c r="P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L1175"/>
      <c r="CM1175"/>
      <c r="CN1175"/>
      <c r="CO1175"/>
      <c r="CP1175"/>
      <c r="CQ1175"/>
      <c r="CR1175"/>
      <c r="CS1175"/>
      <c r="CT1175"/>
      <c r="CU1175"/>
      <c r="CV1175"/>
      <c r="CW1175"/>
      <c r="CX1175"/>
      <c r="CY1175"/>
      <c r="CZ1175"/>
      <c r="DA1175"/>
      <c r="DB1175"/>
      <c r="DC1175"/>
      <c r="DD1175"/>
      <c r="DE1175"/>
      <c r="DF1175"/>
      <c r="DG1175"/>
      <c r="DH1175"/>
      <c r="DI1175"/>
      <c r="DJ1175"/>
      <c r="DK1175"/>
      <c r="DL1175"/>
      <c r="DM1175"/>
      <c r="DN1175"/>
      <c r="DO1175"/>
      <c r="DP1175"/>
      <c r="DQ1175"/>
      <c r="DR1175"/>
      <c r="DS1175"/>
      <c r="DT1175"/>
      <c r="DU1175"/>
      <c r="DV1175"/>
      <c r="DW1175"/>
      <c r="DX1175"/>
      <c r="DY1175"/>
      <c r="DZ1175"/>
      <c r="EA1175"/>
      <c r="EB1175"/>
      <c r="EC1175"/>
      <c r="ED1175"/>
      <c r="EE1175"/>
      <c r="EF1175"/>
      <c r="EG1175"/>
      <c r="EH1175"/>
      <c r="EI1175"/>
      <c r="EJ1175"/>
      <c r="EK1175"/>
      <c r="EL1175"/>
      <c r="EM1175"/>
      <c r="EN1175"/>
      <c r="EO1175"/>
      <c r="EP1175"/>
      <c r="EQ1175"/>
      <c r="ER1175"/>
      <c r="ES1175"/>
    </row>
    <row r="1176" spans="1:149">
      <c r="A1176"/>
      <c r="B1176"/>
      <c r="C1176"/>
      <c r="D1176"/>
      <c r="E1176"/>
      <c r="F1176"/>
      <c r="G1176"/>
      <c r="H1176"/>
      <c r="I1176"/>
      <c r="J1176"/>
      <c r="K1176"/>
      <c r="L1176"/>
      <c r="M1176"/>
      <c r="N1176"/>
      <c r="O1176"/>
      <c r="P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L1176"/>
      <c r="CM1176"/>
      <c r="CN1176"/>
      <c r="CO1176"/>
      <c r="CP1176"/>
      <c r="CQ1176"/>
      <c r="CR1176"/>
      <c r="CS1176"/>
      <c r="CT1176"/>
      <c r="CU1176"/>
      <c r="CV1176"/>
      <c r="CW1176"/>
      <c r="CX1176"/>
      <c r="CY1176"/>
      <c r="CZ1176"/>
      <c r="DA1176"/>
      <c r="DB1176"/>
      <c r="DC1176"/>
      <c r="DD1176"/>
      <c r="DE1176"/>
      <c r="DF1176"/>
      <c r="DG1176"/>
      <c r="DH1176"/>
      <c r="DI1176"/>
      <c r="DJ1176"/>
      <c r="DK1176"/>
      <c r="DL1176"/>
      <c r="DM1176"/>
      <c r="DN1176"/>
      <c r="DO1176"/>
      <c r="DP1176"/>
      <c r="DQ1176"/>
      <c r="DR1176"/>
      <c r="DS1176"/>
      <c r="DT1176"/>
      <c r="DU1176"/>
      <c r="DV1176"/>
      <c r="DW1176"/>
      <c r="DX1176"/>
      <c r="DY1176"/>
      <c r="DZ1176"/>
      <c r="EA1176"/>
      <c r="EB1176"/>
      <c r="EC1176"/>
      <c r="ED1176"/>
      <c r="EE1176"/>
      <c r="EF1176"/>
      <c r="EG1176"/>
      <c r="EH1176"/>
      <c r="EI1176"/>
      <c r="EJ1176"/>
      <c r="EK1176"/>
      <c r="EL1176"/>
      <c r="EM1176"/>
      <c r="EN1176"/>
      <c r="EO1176"/>
      <c r="EP1176"/>
      <c r="EQ1176"/>
      <c r="ER1176"/>
      <c r="ES1176"/>
    </row>
    <row r="1177" spans="1:149">
      <c r="A1177"/>
      <c r="B1177"/>
      <c r="C1177"/>
      <c r="D1177"/>
      <c r="E1177"/>
      <c r="F1177"/>
      <c r="G1177"/>
      <c r="H1177"/>
      <c r="I1177"/>
      <c r="J1177"/>
      <c r="K1177"/>
      <c r="L1177"/>
      <c r="M1177"/>
      <c r="N1177"/>
      <c r="O1177"/>
      <c r="P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L1177"/>
      <c r="CM1177"/>
      <c r="CN1177"/>
      <c r="CO1177"/>
      <c r="CP1177"/>
      <c r="CQ1177"/>
      <c r="CR1177"/>
      <c r="CS1177"/>
      <c r="CT1177"/>
      <c r="CU1177"/>
      <c r="CV1177"/>
      <c r="CW1177"/>
      <c r="CX1177"/>
      <c r="CY1177"/>
      <c r="CZ1177"/>
      <c r="DA1177"/>
      <c r="DB1177"/>
      <c r="DC1177"/>
      <c r="DD1177"/>
      <c r="DE1177"/>
      <c r="DF1177"/>
      <c r="DG1177"/>
      <c r="DH1177"/>
      <c r="DI1177"/>
      <c r="DJ1177"/>
      <c r="DK1177"/>
      <c r="DL1177"/>
      <c r="DM1177"/>
      <c r="DN1177"/>
      <c r="DO1177"/>
      <c r="DP1177"/>
      <c r="DQ1177"/>
      <c r="DR1177"/>
      <c r="DS1177"/>
      <c r="DT1177"/>
      <c r="DU1177"/>
      <c r="DV1177"/>
      <c r="DW1177"/>
      <c r="DX1177"/>
      <c r="DY1177"/>
      <c r="DZ1177"/>
      <c r="EA1177"/>
      <c r="EB1177"/>
      <c r="EC1177"/>
      <c r="ED1177"/>
      <c r="EE1177"/>
      <c r="EF1177"/>
      <c r="EG1177"/>
      <c r="EH1177"/>
      <c r="EI1177"/>
      <c r="EJ1177"/>
      <c r="EK1177"/>
      <c r="EL1177"/>
      <c r="EM1177"/>
      <c r="EN1177"/>
      <c r="EO1177"/>
      <c r="EP1177"/>
      <c r="EQ1177"/>
      <c r="ER1177"/>
      <c r="ES1177"/>
    </row>
    <row r="1178" spans="1:149">
      <c r="A1178"/>
      <c r="B1178"/>
      <c r="C1178"/>
      <c r="D1178"/>
      <c r="E1178"/>
      <c r="F1178"/>
      <c r="G1178"/>
      <c r="H1178"/>
      <c r="I1178"/>
      <c r="J1178"/>
      <c r="K1178"/>
      <c r="L1178"/>
      <c r="M1178"/>
      <c r="N1178"/>
      <c r="O1178"/>
      <c r="P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L1178"/>
      <c r="CM1178"/>
      <c r="CN1178"/>
      <c r="CO1178"/>
      <c r="CP1178"/>
      <c r="CQ1178"/>
      <c r="CR1178"/>
      <c r="CS1178"/>
      <c r="CT1178"/>
      <c r="CU1178"/>
      <c r="CV1178"/>
      <c r="CW1178"/>
      <c r="CX1178"/>
      <c r="CY1178"/>
      <c r="CZ1178"/>
      <c r="DA1178"/>
      <c r="DB1178"/>
      <c r="DC1178"/>
      <c r="DD1178"/>
      <c r="DE1178"/>
      <c r="DF1178"/>
      <c r="DG1178"/>
      <c r="DH1178"/>
      <c r="DI1178"/>
      <c r="DJ1178"/>
      <c r="DK1178"/>
      <c r="DL1178"/>
      <c r="DM1178"/>
      <c r="DN1178"/>
      <c r="DO1178"/>
      <c r="DP1178"/>
      <c r="DQ1178"/>
      <c r="DR1178"/>
      <c r="DS1178"/>
      <c r="DT1178"/>
      <c r="DU1178"/>
      <c r="DV1178"/>
      <c r="DW1178"/>
      <c r="DX1178"/>
      <c r="DY1178"/>
      <c r="DZ1178"/>
      <c r="EA1178"/>
      <c r="EB1178"/>
      <c r="EC1178"/>
      <c r="ED1178"/>
      <c r="EE1178"/>
      <c r="EF1178"/>
      <c r="EG1178"/>
      <c r="EH1178"/>
      <c r="EI1178"/>
      <c r="EJ1178"/>
      <c r="EK1178"/>
      <c r="EL1178"/>
      <c r="EM1178"/>
      <c r="EN1178"/>
      <c r="EO1178"/>
      <c r="EP1178"/>
      <c r="EQ1178"/>
      <c r="ER1178"/>
      <c r="ES1178"/>
    </row>
    <row r="1179" spans="1:149">
      <c r="A1179"/>
      <c r="B1179"/>
      <c r="C1179"/>
      <c r="D1179"/>
      <c r="E1179"/>
      <c r="F1179"/>
      <c r="G1179"/>
      <c r="H1179"/>
      <c r="I1179"/>
      <c r="J1179"/>
      <c r="K1179"/>
      <c r="L1179"/>
      <c r="M1179"/>
      <c r="N1179"/>
      <c r="O1179"/>
      <c r="P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L1179"/>
      <c r="CM1179"/>
      <c r="CN1179"/>
      <c r="CO1179"/>
      <c r="CP1179"/>
      <c r="CQ1179"/>
      <c r="CR1179"/>
      <c r="CS1179"/>
      <c r="CT1179"/>
      <c r="CU1179"/>
      <c r="CV1179"/>
      <c r="CW1179"/>
      <c r="CX1179"/>
      <c r="CY1179"/>
      <c r="CZ1179"/>
      <c r="DA1179"/>
      <c r="DB1179"/>
      <c r="DC1179"/>
      <c r="DD1179"/>
      <c r="DE1179"/>
      <c r="DF1179"/>
      <c r="DG1179"/>
      <c r="DH1179"/>
      <c r="DI1179"/>
      <c r="DJ1179"/>
      <c r="DK1179"/>
      <c r="DL1179"/>
      <c r="DM1179"/>
      <c r="DN1179"/>
      <c r="DO1179"/>
      <c r="DP1179"/>
      <c r="DQ1179"/>
      <c r="DR1179"/>
      <c r="DS1179"/>
      <c r="DT1179"/>
      <c r="DU1179"/>
      <c r="DV1179"/>
      <c r="DW1179"/>
      <c r="DX1179"/>
      <c r="DY1179"/>
      <c r="DZ1179"/>
      <c r="EA1179"/>
      <c r="EB1179"/>
      <c r="EC1179"/>
      <c r="ED1179"/>
      <c r="EE1179"/>
      <c r="EF1179"/>
      <c r="EG1179"/>
      <c r="EH1179"/>
      <c r="EI1179"/>
      <c r="EJ1179"/>
      <c r="EK1179"/>
      <c r="EL1179"/>
      <c r="EM1179"/>
      <c r="EN1179"/>
      <c r="EO1179"/>
      <c r="EP1179"/>
      <c r="EQ1179"/>
      <c r="ER1179"/>
      <c r="ES1179"/>
    </row>
    <row r="1180" spans="1:149">
      <c r="A1180"/>
      <c r="B1180"/>
      <c r="C1180"/>
      <c r="D1180"/>
      <c r="E1180"/>
      <c r="F1180"/>
      <c r="G1180"/>
      <c r="H1180"/>
      <c r="I1180"/>
      <c r="J1180"/>
      <c r="K1180"/>
      <c r="L1180"/>
      <c r="M1180"/>
      <c r="N1180"/>
      <c r="O1180"/>
      <c r="P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L1180"/>
      <c r="CM1180"/>
      <c r="CN1180"/>
      <c r="CO1180"/>
      <c r="CP1180"/>
      <c r="CQ1180"/>
      <c r="CR1180"/>
      <c r="CS1180"/>
      <c r="CT1180"/>
      <c r="CU1180"/>
      <c r="CV1180"/>
      <c r="CW1180"/>
      <c r="CX1180"/>
      <c r="CY1180"/>
      <c r="CZ1180"/>
      <c r="DA1180"/>
      <c r="DB1180"/>
      <c r="DC1180"/>
      <c r="DD1180"/>
      <c r="DE1180"/>
      <c r="DF1180"/>
      <c r="DG1180"/>
      <c r="DH1180"/>
      <c r="DI1180"/>
      <c r="DJ1180"/>
      <c r="DK1180"/>
      <c r="DL1180"/>
      <c r="DM1180"/>
      <c r="DN1180"/>
      <c r="DO1180"/>
      <c r="DP1180"/>
      <c r="DQ1180"/>
      <c r="DR1180"/>
      <c r="DS1180"/>
      <c r="DT1180"/>
      <c r="DU1180"/>
      <c r="DV1180"/>
      <c r="DW1180"/>
      <c r="DX1180"/>
      <c r="DY1180"/>
      <c r="DZ1180"/>
      <c r="EA1180"/>
      <c r="EB1180"/>
      <c r="EC1180"/>
      <c r="ED1180"/>
      <c r="EE1180"/>
      <c r="EF1180"/>
      <c r="EG1180"/>
      <c r="EH1180"/>
      <c r="EI1180"/>
      <c r="EJ1180"/>
      <c r="EK1180"/>
      <c r="EL1180"/>
      <c r="EM1180"/>
      <c r="EN1180"/>
      <c r="EO1180"/>
      <c r="EP1180"/>
      <c r="EQ1180"/>
      <c r="ER1180"/>
      <c r="ES1180"/>
    </row>
    <row r="1181" spans="1:149">
      <c r="A1181"/>
      <c r="B1181"/>
      <c r="C1181"/>
      <c r="D1181"/>
      <c r="E1181"/>
      <c r="F1181"/>
      <c r="G1181"/>
      <c r="H1181"/>
      <c r="I1181"/>
      <c r="J1181"/>
      <c r="K1181"/>
      <c r="L1181"/>
      <c r="M1181"/>
      <c r="N1181"/>
      <c r="O1181"/>
      <c r="P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L1181"/>
      <c r="CM1181"/>
      <c r="CN1181"/>
      <c r="CO1181"/>
      <c r="CP1181"/>
      <c r="CQ1181"/>
      <c r="CR1181"/>
      <c r="CS1181"/>
      <c r="CT1181"/>
      <c r="CU1181"/>
      <c r="CV1181"/>
      <c r="CW1181"/>
      <c r="CX1181"/>
      <c r="CY1181"/>
      <c r="CZ1181"/>
      <c r="DA1181"/>
      <c r="DB1181"/>
      <c r="DC1181"/>
      <c r="DD1181"/>
      <c r="DE1181"/>
      <c r="DF1181"/>
      <c r="DG1181"/>
      <c r="DH1181"/>
      <c r="DI1181"/>
      <c r="DJ1181"/>
      <c r="DK1181"/>
      <c r="DL1181"/>
      <c r="DM1181"/>
      <c r="DN1181"/>
      <c r="DO1181"/>
      <c r="DP1181"/>
      <c r="DQ1181"/>
      <c r="DR1181"/>
      <c r="DS1181"/>
      <c r="DT1181"/>
      <c r="DU1181"/>
      <c r="DV1181"/>
      <c r="DW1181"/>
      <c r="DX1181"/>
      <c r="DY1181"/>
      <c r="DZ1181"/>
      <c r="EA1181"/>
      <c r="EB1181"/>
      <c r="EC1181"/>
      <c r="ED1181"/>
      <c r="EE1181"/>
      <c r="EF1181"/>
      <c r="EG1181"/>
      <c r="EH1181"/>
      <c r="EI1181"/>
      <c r="EJ1181"/>
      <c r="EK1181"/>
      <c r="EL1181"/>
      <c r="EM1181"/>
      <c r="EN1181"/>
      <c r="EO1181"/>
      <c r="EP1181"/>
      <c r="EQ1181"/>
      <c r="ER1181"/>
      <c r="ES1181"/>
    </row>
    <row r="1182" spans="1:149">
      <c r="A1182"/>
      <c r="B1182"/>
      <c r="C1182"/>
      <c r="D1182"/>
      <c r="E1182"/>
      <c r="F1182"/>
      <c r="G1182"/>
      <c r="H1182"/>
      <c r="I1182"/>
      <c r="J1182"/>
      <c r="K1182"/>
      <c r="L1182"/>
      <c r="M1182"/>
      <c r="N1182"/>
      <c r="O1182"/>
      <c r="P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L1182"/>
      <c r="CM1182"/>
      <c r="CN1182"/>
      <c r="CO1182"/>
      <c r="CP1182"/>
      <c r="CQ1182"/>
      <c r="CR1182"/>
      <c r="CS1182"/>
      <c r="CT1182"/>
      <c r="CU1182"/>
      <c r="CV1182"/>
      <c r="CW1182"/>
      <c r="CX1182"/>
      <c r="CY1182"/>
      <c r="CZ1182"/>
      <c r="DA1182"/>
      <c r="DB1182"/>
      <c r="DC1182"/>
      <c r="DD1182"/>
      <c r="DE1182"/>
      <c r="DF1182"/>
      <c r="DG1182"/>
      <c r="DH1182"/>
      <c r="DI1182"/>
      <c r="DJ1182"/>
      <c r="DK1182"/>
      <c r="DL1182"/>
      <c r="DM1182"/>
      <c r="DN1182"/>
      <c r="DO1182"/>
      <c r="DP1182"/>
      <c r="DQ1182"/>
      <c r="DR1182"/>
      <c r="DS1182"/>
      <c r="DT1182"/>
      <c r="DU1182"/>
      <c r="DV1182"/>
      <c r="DW1182"/>
      <c r="DX1182"/>
      <c r="DY1182"/>
      <c r="DZ1182"/>
      <c r="EA1182"/>
      <c r="EB1182"/>
      <c r="EC1182"/>
      <c r="ED1182"/>
      <c r="EE1182"/>
      <c r="EF1182"/>
      <c r="EG1182"/>
      <c r="EH1182"/>
      <c r="EI1182"/>
      <c r="EJ1182"/>
      <c r="EK1182"/>
      <c r="EL1182"/>
      <c r="EM1182"/>
      <c r="EN1182"/>
      <c r="EO1182"/>
      <c r="EP1182"/>
      <c r="EQ1182"/>
      <c r="ER1182"/>
      <c r="ES1182"/>
    </row>
    <row r="1183" spans="1:149">
      <c r="A1183"/>
      <c r="B1183"/>
      <c r="C1183"/>
      <c r="D1183"/>
      <c r="E1183"/>
      <c r="F1183"/>
      <c r="G1183"/>
      <c r="H1183"/>
      <c r="I1183"/>
      <c r="J1183"/>
      <c r="K1183"/>
      <c r="L1183"/>
      <c r="M1183"/>
      <c r="N1183"/>
      <c r="O1183"/>
      <c r="P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L1183"/>
      <c r="CM1183"/>
      <c r="CN1183"/>
      <c r="CO1183"/>
      <c r="CP1183"/>
      <c r="CQ1183"/>
      <c r="CR1183"/>
      <c r="CS1183"/>
      <c r="CT1183"/>
      <c r="CU1183"/>
      <c r="CV1183"/>
      <c r="CW1183"/>
      <c r="CX1183"/>
      <c r="CY1183"/>
      <c r="CZ1183"/>
      <c r="DA1183"/>
      <c r="DB1183"/>
      <c r="DC1183"/>
      <c r="DD1183"/>
      <c r="DE1183"/>
      <c r="DF1183"/>
      <c r="DG1183"/>
      <c r="DH1183"/>
      <c r="DI1183"/>
      <c r="DJ1183"/>
      <c r="DK1183"/>
      <c r="DL1183"/>
      <c r="DM1183"/>
      <c r="DN1183"/>
      <c r="DO1183"/>
      <c r="DP1183"/>
      <c r="DQ1183"/>
      <c r="DR1183"/>
      <c r="DS1183"/>
      <c r="DT1183"/>
      <c r="DU1183"/>
      <c r="DV1183"/>
      <c r="DW1183"/>
      <c r="DX1183"/>
      <c r="DY1183"/>
      <c r="DZ1183"/>
      <c r="EA1183"/>
      <c r="EB1183"/>
      <c r="EC1183"/>
      <c r="ED1183"/>
      <c r="EE1183"/>
      <c r="EF1183"/>
      <c r="EG1183"/>
      <c r="EH1183"/>
      <c r="EI1183"/>
      <c r="EJ1183"/>
      <c r="EK1183"/>
      <c r="EL1183"/>
      <c r="EM1183"/>
      <c r="EN1183"/>
      <c r="EO1183"/>
      <c r="EP1183"/>
      <c r="EQ1183"/>
      <c r="ER1183"/>
      <c r="ES1183"/>
    </row>
    <row r="1184" spans="1:149">
      <c r="A1184"/>
      <c r="B1184"/>
      <c r="C1184"/>
      <c r="D1184"/>
      <c r="E1184"/>
      <c r="F1184"/>
      <c r="G1184"/>
      <c r="H1184"/>
      <c r="I1184"/>
      <c r="J1184"/>
      <c r="K1184"/>
      <c r="L1184"/>
      <c r="M1184"/>
      <c r="N1184"/>
      <c r="O1184"/>
      <c r="P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L1184"/>
      <c r="CM1184"/>
      <c r="CN1184"/>
      <c r="CO1184"/>
      <c r="CP1184"/>
      <c r="CQ1184"/>
      <c r="CR1184"/>
      <c r="CS1184"/>
      <c r="CT1184"/>
      <c r="CU1184"/>
      <c r="CV1184"/>
      <c r="CW1184"/>
      <c r="CX1184"/>
      <c r="CY1184"/>
      <c r="CZ1184"/>
      <c r="DA1184"/>
      <c r="DB1184"/>
      <c r="DC1184"/>
      <c r="DD1184"/>
      <c r="DE1184"/>
      <c r="DF1184"/>
      <c r="DG1184"/>
      <c r="DH1184"/>
      <c r="DI1184"/>
      <c r="DJ1184"/>
      <c r="DK1184"/>
      <c r="DL1184"/>
      <c r="DM1184"/>
      <c r="DN1184"/>
      <c r="DO1184"/>
      <c r="DP1184"/>
      <c r="DQ1184"/>
      <c r="DR1184"/>
      <c r="DS1184"/>
      <c r="DT1184"/>
      <c r="DU1184"/>
      <c r="DV1184"/>
      <c r="DW1184"/>
      <c r="DX1184"/>
      <c r="DY1184"/>
      <c r="DZ1184"/>
      <c r="EA1184"/>
      <c r="EB1184"/>
      <c r="EC1184"/>
      <c r="ED1184"/>
      <c r="EE1184"/>
      <c r="EF1184"/>
      <c r="EG1184"/>
      <c r="EH1184"/>
      <c r="EI1184"/>
      <c r="EJ1184"/>
      <c r="EK1184"/>
      <c r="EL1184"/>
      <c r="EM1184"/>
      <c r="EN1184"/>
      <c r="EO1184"/>
      <c r="EP1184"/>
      <c r="EQ1184"/>
      <c r="ER1184"/>
      <c r="ES1184"/>
    </row>
    <row r="1185" spans="1:149">
      <c r="A1185"/>
      <c r="B1185"/>
      <c r="C1185"/>
      <c r="D1185"/>
      <c r="E1185"/>
      <c r="F1185"/>
      <c r="G1185"/>
      <c r="H1185"/>
      <c r="I1185"/>
      <c r="J1185"/>
      <c r="K1185"/>
      <c r="L1185"/>
      <c r="M1185"/>
      <c r="N1185"/>
      <c r="O1185"/>
      <c r="P1185"/>
      <c r="Q1185"/>
      <c r="R1185"/>
      <c r="S1185"/>
      <c r="T1185"/>
      <c r="U1185"/>
      <c r="V1185"/>
      <c r="W1185"/>
      <c r="X1185"/>
      <c r="Y1185"/>
      <c r="Z1185"/>
      <c r="AA118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c r="BZ1185"/>
      <c r="CA1185"/>
      <c r="CB1185"/>
      <c r="CC1185"/>
      <c r="CD1185"/>
      <c r="CE1185"/>
      <c r="CF1185"/>
      <c r="CG1185"/>
      <c r="CH1185"/>
      <c r="CI1185"/>
      <c r="CJ1185"/>
      <c r="CK1185"/>
      <c r="CL1185"/>
      <c r="CM1185"/>
      <c r="CN1185"/>
      <c r="CO1185"/>
      <c r="CP1185"/>
      <c r="CQ1185"/>
      <c r="CR1185"/>
      <c r="CS1185"/>
      <c r="CT1185"/>
      <c r="CU1185"/>
      <c r="CV1185"/>
      <c r="CW1185"/>
      <c r="CX1185"/>
      <c r="CY1185"/>
      <c r="CZ1185"/>
      <c r="DA1185"/>
      <c r="DB1185"/>
      <c r="DC1185"/>
      <c r="DD1185"/>
      <c r="DE1185"/>
      <c r="DF1185"/>
      <c r="DG1185"/>
      <c r="DH1185"/>
      <c r="DI1185"/>
      <c r="DJ1185"/>
      <c r="DK1185"/>
      <c r="DL1185"/>
      <c r="DM1185"/>
      <c r="DN1185"/>
      <c r="DO1185"/>
      <c r="DP1185"/>
      <c r="DQ1185"/>
      <c r="DR1185"/>
      <c r="DS1185"/>
      <c r="DT1185"/>
      <c r="DU1185"/>
      <c r="DV1185"/>
      <c r="DW1185"/>
      <c r="DX1185"/>
      <c r="DY1185"/>
      <c r="DZ1185"/>
      <c r="EA1185"/>
      <c r="EB1185"/>
      <c r="EC1185"/>
      <c r="ED1185"/>
      <c r="EE1185"/>
      <c r="EF1185"/>
      <c r="EG1185"/>
      <c r="EH1185"/>
      <c r="EI1185"/>
      <c r="EJ1185"/>
      <c r="EK1185"/>
      <c r="EL1185"/>
      <c r="EM1185"/>
      <c r="EN1185"/>
      <c r="EO1185"/>
      <c r="EP1185"/>
      <c r="EQ1185"/>
      <c r="ER1185"/>
      <c r="ES1185"/>
    </row>
    <row r="1186" spans="1:149">
      <c r="A1186"/>
      <c r="B1186"/>
      <c r="C1186"/>
      <c r="D1186"/>
      <c r="E1186"/>
      <c r="F1186"/>
      <c r="G1186"/>
      <c r="H1186"/>
      <c r="I1186"/>
      <c r="J1186"/>
      <c r="K1186"/>
      <c r="L1186"/>
      <c r="M1186"/>
      <c r="N1186"/>
      <c r="O1186"/>
      <c r="P1186"/>
      <c r="Q1186"/>
      <c r="R1186"/>
      <c r="S1186"/>
      <c r="T1186"/>
      <c r="U1186"/>
      <c r="V1186"/>
      <c r="W1186"/>
      <c r="X1186"/>
      <c r="Y1186"/>
      <c r="Z1186"/>
      <c r="AA1186"/>
      <c r="AB1186"/>
      <c r="AC1186"/>
      <c r="AD1186"/>
      <c r="AE1186"/>
      <c r="AF1186"/>
      <c r="AG1186"/>
      <c r="AH1186"/>
      <c r="AI1186"/>
      <c r="AJ1186"/>
      <c r="AK1186"/>
      <c r="AL1186"/>
      <c r="AM1186"/>
      <c r="AN1186"/>
      <c r="AO1186"/>
      <c r="AP1186"/>
      <c r="AQ1186"/>
      <c r="AR1186"/>
      <c r="AS1186"/>
      <c r="AT1186"/>
      <c r="AU1186"/>
      <c r="AV1186"/>
      <c r="AW1186"/>
      <c r="AX1186"/>
      <c r="AY1186"/>
      <c r="AZ1186"/>
      <c r="BA1186"/>
      <c r="BB1186"/>
      <c r="BC1186"/>
      <c r="BD1186"/>
      <c r="BE1186"/>
      <c r="BF1186"/>
      <c r="BG1186"/>
      <c r="BH1186"/>
      <c r="BI1186"/>
      <c r="BJ1186"/>
      <c r="BK1186"/>
      <c r="BL1186"/>
      <c r="BM1186"/>
      <c r="BN1186"/>
      <c r="BO1186"/>
      <c r="BP1186"/>
      <c r="BQ1186"/>
      <c r="BR1186"/>
      <c r="BS1186"/>
      <c r="BT1186"/>
      <c r="BU1186"/>
      <c r="BV1186"/>
      <c r="BW1186"/>
      <c r="BX1186"/>
      <c r="BY1186"/>
      <c r="BZ1186"/>
      <c r="CA1186"/>
      <c r="CB1186"/>
      <c r="CC1186"/>
      <c r="CD1186"/>
      <c r="CE1186"/>
      <c r="CF1186"/>
      <c r="CG1186"/>
      <c r="CH1186"/>
      <c r="CI1186"/>
      <c r="CJ1186"/>
      <c r="CK1186"/>
      <c r="CL1186"/>
      <c r="CM1186"/>
      <c r="CN1186"/>
      <c r="CO1186"/>
      <c r="CP1186"/>
      <c r="CQ1186"/>
      <c r="CR1186"/>
      <c r="CS1186"/>
      <c r="CT1186"/>
      <c r="CU1186"/>
      <c r="CV1186"/>
      <c r="CW1186"/>
      <c r="CX1186"/>
      <c r="CY1186"/>
      <c r="CZ1186"/>
      <c r="DA1186"/>
      <c r="DB1186"/>
      <c r="DC1186"/>
      <c r="DD1186"/>
      <c r="DE1186"/>
      <c r="DF1186"/>
      <c r="DG1186"/>
      <c r="DH1186"/>
      <c r="DI1186"/>
      <c r="DJ1186"/>
      <c r="DK1186"/>
      <c r="DL1186"/>
      <c r="DM1186"/>
      <c r="DN1186"/>
      <c r="DO1186"/>
      <c r="DP1186"/>
      <c r="DQ1186"/>
      <c r="DR1186"/>
      <c r="DS1186"/>
      <c r="DT1186"/>
      <c r="DU1186"/>
      <c r="DV1186"/>
      <c r="DW1186"/>
      <c r="DX1186"/>
      <c r="DY1186"/>
      <c r="DZ1186"/>
      <c r="EA1186"/>
      <c r="EB1186"/>
      <c r="EC1186"/>
      <c r="ED1186"/>
      <c r="EE1186"/>
      <c r="EF1186"/>
      <c r="EG1186"/>
      <c r="EH1186"/>
      <c r="EI1186"/>
      <c r="EJ1186"/>
      <c r="EK1186"/>
      <c r="EL1186"/>
      <c r="EM1186"/>
      <c r="EN1186"/>
      <c r="EO1186"/>
      <c r="EP1186"/>
      <c r="EQ1186"/>
      <c r="ER1186"/>
      <c r="ES1186"/>
    </row>
    <row r="1187" spans="1:149">
      <c r="A1187"/>
      <c r="B1187"/>
      <c r="C1187"/>
      <c r="D1187"/>
      <c r="E1187"/>
      <c r="F1187"/>
      <c r="G1187"/>
      <c r="H1187"/>
      <c r="I1187"/>
      <c r="J1187"/>
      <c r="K1187"/>
      <c r="L1187"/>
      <c r="M1187"/>
      <c r="N1187"/>
      <c r="O1187"/>
      <c r="P1187"/>
      <c r="Q1187"/>
      <c r="R1187"/>
      <c r="S1187"/>
      <c r="T1187"/>
      <c r="U1187"/>
      <c r="V1187"/>
      <c r="W1187"/>
      <c r="X1187"/>
      <c r="Y1187"/>
      <c r="Z1187"/>
      <c r="AA1187"/>
      <c r="AB1187"/>
      <c r="AC1187"/>
      <c r="AD1187"/>
      <c r="AE1187"/>
      <c r="AF1187"/>
      <c r="AG1187"/>
      <c r="AH1187"/>
      <c r="AI1187"/>
      <c r="AJ1187"/>
      <c r="AK1187"/>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c r="BP1187"/>
      <c r="BQ1187"/>
      <c r="BR1187"/>
      <c r="BS1187"/>
      <c r="BT1187"/>
      <c r="BU1187"/>
      <c r="BV1187"/>
      <c r="BW1187"/>
      <c r="BX1187"/>
      <c r="BY1187"/>
      <c r="BZ1187"/>
      <c r="CA1187"/>
      <c r="CB1187"/>
      <c r="CC1187"/>
      <c r="CD1187"/>
      <c r="CE1187"/>
      <c r="CF1187"/>
      <c r="CG1187"/>
      <c r="CH1187"/>
      <c r="CI1187"/>
      <c r="CJ1187"/>
      <c r="CK1187"/>
      <c r="CL1187"/>
      <c r="CM1187"/>
      <c r="CN1187"/>
      <c r="CO1187"/>
      <c r="CP1187"/>
      <c r="CQ1187"/>
      <c r="CR1187"/>
      <c r="CS1187"/>
      <c r="CT1187"/>
      <c r="CU1187"/>
      <c r="CV1187"/>
      <c r="CW1187"/>
      <c r="CX1187"/>
      <c r="CY1187"/>
      <c r="CZ1187"/>
      <c r="DA1187"/>
      <c r="DB1187"/>
      <c r="DC1187"/>
      <c r="DD1187"/>
      <c r="DE1187"/>
      <c r="DF1187"/>
      <c r="DG1187"/>
      <c r="DH1187"/>
      <c r="DI1187"/>
      <c r="DJ1187"/>
      <c r="DK1187"/>
      <c r="DL1187"/>
      <c r="DM1187"/>
      <c r="DN1187"/>
      <c r="DO1187"/>
      <c r="DP1187"/>
      <c r="DQ1187"/>
      <c r="DR1187"/>
      <c r="DS1187"/>
      <c r="DT1187"/>
      <c r="DU1187"/>
      <c r="DV1187"/>
      <c r="DW1187"/>
      <c r="DX1187"/>
      <c r="DY1187"/>
      <c r="DZ1187"/>
      <c r="EA1187"/>
      <c r="EB1187"/>
      <c r="EC1187"/>
      <c r="ED1187"/>
      <c r="EE1187"/>
      <c r="EF1187"/>
      <c r="EG1187"/>
      <c r="EH1187"/>
      <c r="EI1187"/>
      <c r="EJ1187"/>
      <c r="EK1187"/>
      <c r="EL1187"/>
      <c r="EM1187"/>
      <c r="EN1187"/>
      <c r="EO1187"/>
      <c r="EP1187"/>
      <c r="EQ1187"/>
      <c r="ER1187"/>
      <c r="ES1187"/>
    </row>
    <row r="1188" spans="1:149">
      <c r="A1188"/>
      <c r="B1188"/>
      <c r="C1188"/>
      <c r="D1188"/>
      <c r="E1188"/>
      <c r="F1188"/>
      <c r="G1188"/>
      <c r="H1188"/>
      <c r="I1188"/>
      <c r="J1188"/>
      <c r="K1188"/>
      <c r="L1188"/>
      <c r="M1188"/>
      <c r="N1188"/>
      <c r="O1188"/>
      <c r="P1188"/>
      <c r="Q1188"/>
      <c r="R1188"/>
      <c r="S1188"/>
      <c r="T1188"/>
      <c r="U1188"/>
      <c r="V1188"/>
      <c r="W1188"/>
      <c r="X1188"/>
      <c r="Y1188"/>
      <c r="Z1188"/>
      <c r="AA1188"/>
      <c r="AB1188"/>
      <c r="AC1188"/>
      <c r="AD1188"/>
      <c r="AE1188"/>
      <c r="AF1188"/>
      <c r="AG1188"/>
      <c r="AH1188"/>
      <c r="AI1188"/>
      <c r="AJ1188"/>
      <c r="AK1188"/>
      <c r="AL1188"/>
      <c r="AM1188"/>
      <c r="AN1188"/>
      <c r="AO1188"/>
      <c r="AP1188"/>
      <c r="AQ1188"/>
      <c r="AR1188"/>
      <c r="AS1188"/>
      <c r="AT1188"/>
      <c r="AU1188"/>
      <c r="AV1188"/>
      <c r="AW1188"/>
      <c r="AX1188"/>
      <c r="AY1188"/>
      <c r="AZ1188"/>
      <c r="BA1188"/>
      <c r="BB1188"/>
      <c r="BC1188"/>
      <c r="BD1188"/>
      <c r="BE1188"/>
      <c r="BF1188"/>
      <c r="BG1188"/>
      <c r="BH1188"/>
      <c r="BI1188"/>
      <c r="BJ1188"/>
      <c r="BK1188"/>
      <c r="BL1188"/>
      <c r="BM1188"/>
      <c r="BN1188"/>
      <c r="BO1188"/>
      <c r="BP1188"/>
      <c r="BQ1188"/>
      <c r="BR1188"/>
      <c r="BS1188"/>
      <c r="BT1188"/>
      <c r="BU1188"/>
      <c r="BV1188"/>
      <c r="BW1188"/>
      <c r="BX1188"/>
      <c r="BY1188"/>
      <c r="BZ1188"/>
      <c r="CA1188"/>
      <c r="CB1188"/>
      <c r="CC1188"/>
      <c r="CD1188"/>
      <c r="CE1188"/>
      <c r="CF1188"/>
      <c r="CG1188"/>
      <c r="CH1188"/>
      <c r="CI1188"/>
      <c r="CJ1188"/>
      <c r="CK1188"/>
      <c r="CL1188"/>
      <c r="CM1188"/>
      <c r="CN1188"/>
      <c r="CO1188"/>
      <c r="CP1188"/>
      <c r="CQ1188"/>
      <c r="CR1188"/>
      <c r="CS1188"/>
      <c r="CT1188"/>
      <c r="CU1188"/>
      <c r="CV1188"/>
      <c r="CW1188"/>
      <c r="CX1188"/>
      <c r="CY1188"/>
      <c r="CZ1188"/>
      <c r="DA1188"/>
      <c r="DB1188"/>
      <c r="DC1188"/>
      <c r="DD1188"/>
      <c r="DE1188"/>
      <c r="DF1188"/>
      <c r="DG1188"/>
      <c r="DH1188"/>
      <c r="DI1188"/>
      <c r="DJ1188"/>
      <c r="DK1188"/>
      <c r="DL1188"/>
      <c r="DM1188"/>
      <c r="DN1188"/>
      <c r="DO1188"/>
      <c r="DP1188"/>
      <c r="DQ1188"/>
      <c r="DR1188"/>
      <c r="DS1188"/>
      <c r="DT1188"/>
      <c r="DU1188"/>
      <c r="DV1188"/>
      <c r="DW1188"/>
      <c r="DX1188"/>
      <c r="DY1188"/>
      <c r="DZ1188"/>
      <c r="EA1188"/>
      <c r="EB1188"/>
      <c r="EC1188"/>
      <c r="ED1188"/>
      <c r="EE1188"/>
      <c r="EF1188"/>
      <c r="EG1188"/>
      <c r="EH1188"/>
      <c r="EI1188"/>
      <c r="EJ1188"/>
      <c r="EK1188"/>
      <c r="EL1188"/>
      <c r="EM1188"/>
      <c r="EN1188"/>
      <c r="EO1188"/>
      <c r="EP1188"/>
      <c r="EQ1188"/>
      <c r="ER1188"/>
      <c r="ES1188"/>
    </row>
    <row r="1189" spans="1:149">
      <c r="A1189"/>
      <c r="B1189"/>
      <c r="C1189"/>
      <c r="D1189"/>
      <c r="E1189"/>
      <c r="F1189"/>
      <c r="G1189"/>
      <c r="H1189"/>
      <c r="I1189"/>
      <c r="J1189"/>
      <c r="K1189"/>
      <c r="L1189"/>
      <c r="M1189"/>
      <c r="N1189"/>
      <c r="O1189"/>
      <c r="P1189"/>
      <c r="Q1189"/>
      <c r="R1189"/>
      <c r="S1189"/>
      <c r="T1189"/>
      <c r="U1189"/>
      <c r="V1189"/>
      <c r="W1189"/>
      <c r="X1189"/>
      <c r="Y1189"/>
      <c r="Z1189"/>
      <c r="AA1189"/>
      <c r="AB1189"/>
      <c r="AC1189"/>
      <c r="AD1189"/>
      <c r="AE1189"/>
      <c r="AF1189"/>
      <c r="AG1189"/>
      <c r="AH1189"/>
      <c r="AI1189"/>
      <c r="AJ1189"/>
      <c r="AK1189"/>
      <c r="AL1189"/>
      <c r="AM1189"/>
      <c r="AN1189"/>
      <c r="AO1189"/>
      <c r="AP1189"/>
      <c r="AQ1189"/>
      <c r="AR1189"/>
      <c r="AS1189"/>
      <c r="AT1189"/>
      <c r="AU1189"/>
      <c r="AV1189"/>
      <c r="AW1189"/>
      <c r="AX1189"/>
      <c r="AY1189"/>
      <c r="AZ1189"/>
      <c r="BA1189"/>
      <c r="BB1189"/>
      <c r="BC1189"/>
      <c r="BD1189"/>
      <c r="BE1189"/>
      <c r="BF1189"/>
      <c r="BG1189"/>
      <c r="BH1189"/>
      <c r="BI1189"/>
      <c r="BJ1189"/>
      <c r="BK1189"/>
      <c r="BL1189"/>
      <c r="BM1189"/>
      <c r="BN1189"/>
      <c r="BO1189"/>
      <c r="BP1189"/>
      <c r="BQ1189"/>
      <c r="BR1189"/>
      <c r="BS1189"/>
      <c r="BT1189"/>
      <c r="BU1189"/>
      <c r="BV1189"/>
      <c r="BW1189"/>
      <c r="BX1189"/>
      <c r="BY1189"/>
      <c r="BZ1189"/>
      <c r="CA1189"/>
      <c r="CB1189"/>
      <c r="CC1189"/>
      <c r="CD1189"/>
      <c r="CE1189"/>
      <c r="CF1189"/>
      <c r="CG1189"/>
      <c r="CH1189"/>
      <c r="CI1189"/>
      <c r="CJ1189"/>
      <c r="CK1189"/>
      <c r="CL1189"/>
      <c r="CM1189"/>
      <c r="CN1189"/>
      <c r="CO1189"/>
      <c r="CP1189"/>
      <c r="CQ1189"/>
      <c r="CR1189"/>
      <c r="CS1189"/>
      <c r="CT1189"/>
      <c r="CU1189"/>
      <c r="CV1189"/>
      <c r="CW1189"/>
      <c r="CX1189"/>
      <c r="CY1189"/>
      <c r="CZ1189"/>
      <c r="DA1189"/>
      <c r="DB1189"/>
      <c r="DC1189"/>
      <c r="DD1189"/>
      <c r="DE1189"/>
      <c r="DF1189"/>
      <c r="DG1189"/>
      <c r="DH1189"/>
      <c r="DI1189"/>
      <c r="DJ1189"/>
      <c r="DK1189"/>
      <c r="DL1189"/>
      <c r="DM1189"/>
      <c r="DN1189"/>
      <c r="DO1189"/>
      <c r="DP1189"/>
      <c r="DQ1189"/>
      <c r="DR1189"/>
      <c r="DS1189"/>
      <c r="DT1189"/>
      <c r="DU1189"/>
      <c r="DV1189"/>
      <c r="DW1189"/>
      <c r="DX1189"/>
      <c r="DY1189"/>
      <c r="DZ1189"/>
      <c r="EA1189"/>
      <c r="EB1189"/>
      <c r="EC1189"/>
      <c r="ED1189"/>
      <c r="EE1189"/>
      <c r="EF1189"/>
      <c r="EG1189"/>
      <c r="EH1189"/>
      <c r="EI1189"/>
      <c r="EJ1189"/>
      <c r="EK1189"/>
      <c r="EL1189"/>
      <c r="EM1189"/>
      <c r="EN1189"/>
      <c r="EO1189"/>
      <c r="EP1189"/>
      <c r="EQ1189"/>
      <c r="ER1189"/>
      <c r="ES1189"/>
    </row>
    <row r="1190" spans="1:149">
      <c r="A1190"/>
      <c r="B1190"/>
      <c r="C1190"/>
      <c r="D1190"/>
      <c r="E1190"/>
      <c r="F1190"/>
      <c r="G1190"/>
      <c r="H1190"/>
      <c r="I1190"/>
      <c r="J1190"/>
      <c r="K1190"/>
      <c r="L1190"/>
      <c r="M1190"/>
      <c r="N1190"/>
      <c r="O1190"/>
      <c r="P1190"/>
      <c r="Q1190"/>
      <c r="R1190"/>
      <c r="S1190"/>
      <c r="T1190"/>
      <c r="U1190"/>
      <c r="V1190"/>
      <c r="W1190"/>
      <c r="X1190"/>
      <c r="Y1190"/>
      <c r="Z1190"/>
      <c r="AA1190"/>
      <c r="AB1190"/>
      <c r="AC1190"/>
      <c r="AD1190"/>
      <c r="AE1190"/>
      <c r="AF1190"/>
      <c r="AG1190"/>
      <c r="AH1190"/>
      <c r="AI1190"/>
      <c r="AJ1190"/>
      <c r="AK1190"/>
      <c r="AL1190"/>
      <c r="AM1190"/>
      <c r="AN1190"/>
      <c r="AO1190"/>
      <c r="AP1190"/>
      <c r="AQ1190"/>
      <c r="AR1190"/>
      <c r="AS1190"/>
      <c r="AT1190"/>
      <c r="AU1190"/>
      <c r="AV1190"/>
      <c r="AW1190"/>
      <c r="AX1190"/>
      <c r="AY1190"/>
      <c r="AZ1190"/>
      <c r="BA1190"/>
      <c r="BB1190"/>
      <c r="BC1190"/>
      <c r="BD1190"/>
      <c r="BE1190"/>
      <c r="BF1190"/>
      <c r="BG1190"/>
      <c r="BH1190"/>
      <c r="BI1190"/>
      <c r="BJ1190"/>
      <c r="BK1190"/>
      <c r="BL1190"/>
      <c r="BM1190"/>
      <c r="BN1190"/>
      <c r="BO1190"/>
      <c r="BP1190"/>
      <c r="BQ1190"/>
      <c r="BR1190"/>
      <c r="BS1190"/>
      <c r="BT1190"/>
      <c r="BU1190"/>
      <c r="BV1190"/>
      <c r="BW1190"/>
      <c r="BX1190"/>
      <c r="BY1190"/>
      <c r="BZ1190"/>
      <c r="CA1190"/>
      <c r="CB1190"/>
      <c r="CC1190"/>
      <c r="CD1190"/>
      <c r="CE1190"/>
      <c r="CF1190"/>
      <c r="CG1190"/>
      <c r="CH1190"/>
      <c r="CI1190"/>
      <c r="CJ1190"/>
      <c r="CK1190"/>
      <c r="CL1190"/>
      <c r="CM1190"/>
      <c r="CN1190"/>
      <c r="CO1190"/>
      <c r="CP1190"/>
      <c r="CQ1190"/>
      <c r="CR1190"/>
      <c r="CS1190"/>
      <c r="CT1190"/>
      <c r="CU1190"/>
      <c r="CV1190"/>
      <c r="CW1190"/>
      <c r="CX1190"/>
      <c r="CY1190"/>
      <c r="CZ1190"/>
      <c r="DA1190"/>
      <c r="DB1190"/>
      <c r="DC1190"/>
      <c r="DD1190"/>
      <c r="DE1190"/>
      <c r="DF1190"/>
      <c r="DG1190"/>
      <c r="DH1190"/>
      <c r="DI1190"/>
      <c r="DJ1190"/>
      <c r="DK1190"/>
      <c r="DL1190"/>
      <c r="DM1190"/>
      <c r="DN1190"/>
      <c r="DO1190"/>
      <c r="DP1190"/>
      <c r="DQ1190"/>
      <c r="DR1190"/>
      <c r="DS1190"/>
      <c r="DT1190"/>
      <c r="DU1190"/>
      <c r="DV1190"/>
      <c r="DW1190"/>
      <c r="DX1190"/>
      <c r="DY1190"/>
      <c r="DZ1190"/>
      <c r="EA1190"/>
      <c r="EB1190"/>
      <c r="EC1190"/>
      <c r="ED1190"/>
      <c r="EE1190"/>
      <c r="EF1190"/>
      <c r="EG1190"/>
      <c r="EH1190"/>
      <c r="EI1190"/>
      <c r="EJ1190"/>
      <c r="EK1190"/>
      <c r="EL1190"/>
      <c r="EM1190"/>
      <c r="EN1190"/>
      <c r="EO1190"/>
      <c r="EP1190"/>
      <c r="EQ1190"/>
      <c r="ER1190"/>
      <c r="ES1190"/>
    </row>
    <row r="1191" spans="1:149">
      <c r="A1191"/>
      <c r="B1191"/>
      <c r="C1191"/>
      <c r="D1191"/>
      <c r="E1191"/>
      <c r="F1191"/>
      <c r="G1191"/>
      <c r="H1191"/>
      <c r="I1191"/>
      <c r="J1191"/>
      <c r="K1191"/>
      <c r="L1191"/>
      <c r="M1191"/>
      <c r="N1191"/>
      <c r="O1191"/>
      <c r="P1191"/>
      <c r="Q1191"/>
      <c r="R1191"/>
      <c r="S1191"/>
      <c r="T1191"/>
      <c r="U1191"/>
      <c r="V1191"/>
      <c r="W1191"/>
      <c r="X1191"/>
      <c r="Y1191"/>
      <c r="Z1191"/>
      <c r="AA1191"/>
      <c r="AB1191"/>
      <c r="AC1191"/>
      <c r="AD1191"/>
      <c r="AE1191"/>
      <c r="AF1191"/>
      <c r="AG1191"/>
      <c r="AH1191"/>
      <c r="AI1191"/>
      <c r="AJ1191"/>
      <c r="AK1191"/>
      <c r="AL1191"/>
      <c r="AM1191"/>
      <c r="AN1191"/>
      <c r="AO1191"/>
      <c r="AP1191"/>
      <c r="AQ1191"/>
      <c r="AR1191"/>
      <c r="AS1191"/>
      <c r="AT1191"/>
      <c r="AU1191"/>
      <c r="AV1191"/>
      <c r="AW1191"/>
      <c r="AX1191"/>
      <c r="AY1191"/>
      <c r="AZ1191"/>
      <c r="BA1191"/>
      <c r="BB1191"/>
      <c r="BC1191"/>
      <c r="BD1191"/>
      <c r="BE1191"/>
      <c r="BF1191"/>
      <c r="BG1191"/>
      <c r="BH1191"/>
      <c r="BI1191"/>
      <c r="BJ1191"/>
      <c r="BK1191"/>
      <c r="BL1191"/>
      <c r="BM1191"/>
      <c r="BN1191"/>
      <c r="BO1191"/>
      <c r="BP1191"/>
      <c r="BQ1191"/>
      <c r="BR1191"/>
      <c r="BS1191"/>
      <c r="BT1191"/>
      <c r="BU1191"/>
      <c r="BV1191"/>
      <c r="BW1191"/>
      <c r="BX1191"/>
      <c r="BY1191"/>
      <c r="BZ1191"/>
      <c r="CA1191"/>
      <c r="CB1191"/>
      <c r="CC1191"/>
      <c r="CD1191"/>
      <c r="CE1191"/>
      <c r="CF1191"/>
      <c r="CG1191"/>
      <c r="CH1191"/>
      <c r="CI1191"/>
      <c r="CJ1191"/>
      <c r="CK1191"/>
      <c r="CL1191"/>
      <c r="CM1191"/>
      <c r="CN1191"/>
      <c r="CO1191"/>
      <c r="CP1191"/>
      <c r="CQ1191"/>
      <c r="CR1191"/>
      <c r="CS1191"/>
      <c r="CT1191"/>
      <c r="CU1191"/>
      <c r="CV1191"/>
      <c r="CW1191"/>
      <c r="CX1191"/>
      <c r="CY1191"/>
      <c r="CZ1191"/>
      <c r="DA1191"/>
      <c r="DB1191"/>
      <c r="DC1191"/>
      <c r="DD1191"/>
      <c r="DE1191"/>
      <c r="DF1191"/>
      <c r="DG1191"/>
      <c r="DH1191"/>
      <c r="DI1191"/>
      <c r="DJ1191"/>
      <c r="DK1191"/>
      <c r="DL1191"/>
      <c r="DM1191"/>
      <c r="DN1191"/>
      <c r="DO1191"/>
      <c r="DP1191"/>
      <c r="DQ1191"/>
      <c r="DR1191"/>
      <c r="DS1191"/>
      <c r="DT1191"/>
      <c r="DU1191"/>
      <c r="DV1191"/>
      <c r="DW1191"/>
      <c r="DX1191"/>
      <c r="DY1191"/>
      <c r="DZ1191"/>
      <c r="EA1191"/>
      <c r="EB1191"/>
      <c r="EC1191"/>
      <c r="ED1191"/>
      <c r="EE1191"/>
      <c r="EF1191"/>
      <c r="EG1191"/>
      <c r="EH1191"/>
      <c r="EI1191"/>
      <c r="EJ1191"/>
      <c r="EK1191"/>
      <c r="EL1191"/>
      <c r="EM1191"/>
      <c r="EN1191"/>
      <c r="EO1191"/>
      <c r="EP1191"/>
      <c r="EQ1191"/>
      <c r="ER1191"/>
      <c r="ES1191"/>
    </row>
    <row r="1192" spans="1:149">
      <c r="A1192"/>
      <c r="B1192"/>
      <c r="C1192"/>
      <c r="D1192"/>
      <c r="E1192"/>
      <c r="F1192"/>
      <c r="G1192"/>
      <c r="H1192"/>
      <c r="I1192"/>
      <c r="J1192"/>
      <c r="K1192"/>
      <c r="L1192"/>
      <c r="M1192"/>
      <c r="N1192"/>
      <c r="O1192"/>
      <c r="P1192"/>
      <c r="Q1192"/>
      <c r="R1192"/>
      <c r="S1192"/>
      <c r="T1192"/>
      <c r="U1192"/>
      <c r="V1192"/>
      <c r="W1192"/>
      <c r="X1192"/>
      <c r="Y1192"/>
      <c r="Z1192"/>
      <c r="AA1192"/>
      <c r="AB1192"/>
      <c r="AC1192"/>
      <c r="AD1192"/>
      <c r="AE1192"/>
      <c r="AF1192"/>
      <c r="AG1192"/>
      <c r="AH1192"/>
      <c r="AI1192"/>
      <c r="AJ1192"/>
      <c r="AK1192"/>
      <c r="AL1192"/>
      <c r="AM1192"/>
      <c r="AN1192"/>
      <c r="AO1192"/>
      <c r="AP1192"/>
      <c r="AQ1192"/>
      <c r="AR1192"/>
      <c r="AS1192"/>
      <c r="AT1192"/>
      <c r="AU1192"/>
      <c r="AV1192"/>
      <c r="AW1192"/>
      <c r="AX1192"/>
      <c r="AY1192"/>
      <c r="AZ1192"/>
      <c r="BA1192"/>
      <c r="BB1192"/>
      <c r="BC1192"/>
      <c r="BD1192"/>
      <c r="BE1192"/>
      <c r="BF1192"/>
      <c r="BG1192"/>
      <c r="BH1192"/>
      <c r="BI1192"/>
      <c r="BJ1192"/>
      <c r="BK1192"/>
      <c r="BL1192"/>
      <c r="BM1192"/>
      <c r="BN1192"/>
      <c r="BO1192"/>
      <c r="BP1192"/>
      <c r="BQ1192"/>
      <c r="BR1192"/>
      <c r="BS1192"/>
      <c r="BT1192"/>
      <c r="BU1192"/>
      <c r="BV1192"/>
      <c r="BW1192"/>
      <c r="BX1192"/>
      <c r="BY1192"/>
      <c r="BZ1192"/>
      <c r="CA1192"/>
      <c r="CB1192"/>
      <c r="CC1192"/>
      <c r="CD1192"/>
      <c r="CE1192"/>
      <c r="CF1192"/>
      <c r="CG1192"/>
      <c r="CH1192"/>
      <c r="CI1192"/>
      <c r="CJ1192"/>
      <c r="CK1192"/>
      <c r="CL1192"/>
      <c r="CM1192"/>
      <c r="CN1192"/>
      <c r="CO1192"/>
      <c r="CP1192"/>
      <c r="CQ1192"/>
      <c r="CR1192"/>
      <c r="CS1192"/>
      <c r="CT1192"/>
      <c r="CU1192"/>
      <c r="CV1192"/>
      <c r="CW1192"/>
      <c r="CX1192"/>
      <c r="CY1192"/>
      <c r="CZ1192"/>
      <c r="DA1192"/>
      <c r="DB1192"/>
      <c r="DC1192"/>
      <c r="DD1192"/>
      <c r="DE1192"/>
      <c r="DF1192"/>
      <c r="DG1192"/>
      <c r="DH1192"/>
      <c r="DI1192"/>
      <c r="DJ1192"/>
      <c r="DK1192"/>
      <c r="DL1192"/>
      <c r="DM1192"/>
      <c r="DN1192"/>
      <c r="DO1192"/>
      <c r="DP1192"/>
      <c r="DQ1192"/>
      <c r="DR1192"/>
      <c r="DS1192"/>
      <c r="DT1192"/>
      <c r="DU1192"/>
      <c r="DV1192"/>
      <c r="DW1192"/>
      <c r="DX1192"/>
      <c r="DY1192"/>
      <c r="DZ1192"/>
      <c r="EA1192"/>
      <c r="EB1192"/>
      <c r="EC1192"/>
      <c r="ED1192"/>
      <c r="EE1192"/>
      <c r="EF1192"/>
      <c r="EG1192"/>
      <c r="EH1192"/>
      <c r="EI1192"/>
      <c r="EJ1192"/>
      <c r="EK1192"/>
      <c r="EL1192"/>
      <c r="EM1192"/>
      <c r="EN1192"/>
      <c r="EO1192"/>
      <c r="EP1192"/>
      <c r="EQ1192"/>
      <c r="ER1192"/>
      <c r="ES1192"/>
    </row>
    <row r="1193" spans="1:149">
      <c r="A1193"/>
      <c r="B1193"/>
      <c r="C1193"/>
      <c r="D1193"/>
      <c r="E1193"/>
      <c r="F1193"/>
      <c r="G1193"/>
      <c r="H1193"/>
      <c r="I1193"/>
      <c r="J1193"/>
      <c r="K1193"/>
      <c r="L1193"/>
      <c r="M1193"/>
      <c r="N1193"/>
      <c r="O1193"/>
      <c r="P1193"/>
      <c r="Q1193"/>
      <c r="R1193"/>
      <c r="S1193"/>
      <c r="T1193"/>
      <c r="U1193"/>
      <c r="V1193"/>
      <c r="W1193"/>
      <c r="X1193"/>
      <c r="Y1193"/>
      <c r="Z1193"/>
      <c r="AA1193"/>
      <c r="AB1193"/>
      <c r="AC1193"/>
      <c r="AD1193"/>
      <c r="AE1193"/>
      <c r="AF1193"/>
      <c r="AG1193"/>
      <c r="AH1193"/>
      <c r="AI1193"/>
      <c r="AJ1193"/>
      <c r="AK1193"/>
      <c r="AL1193"/>
      <c r="AM1193"/>
      <c r="AN1193"/>
      <c r="AO1193"/>
      <c r="AP1193"/>
      <c r="AQ1193"/>
      <c r="AR1193"/>
      <c r="AS1193"/>
      <c r="AT1193"/>
      <c r="AU1193"/>
      <c r="AV1193"/>
      <c r="AW1193"/>
      <c r="AX1193"/>
      <c r="AY1193"/>
      <c r="AZ1193"/>
      <c r="BA1193"/>
      <c r="BB1193"/>
      <c r="BC1193"/>
      <c r="BD1193"/>
      <c r="BE1193"/>
      <c r="BF1193"/>
      <c r="BG1193"/>
      <c r="BH1193"/>
      <c r="BI1193"/>
      <c r="BJ1193"/>
      <c r="BK1193"/>
      <c r="BL1193"/>
      <c r="BM1193"/>
      <c r="BN1193"/>
      <c r="BO1193"/>
      <c r="BP1193"/>
      <c r="BQ1193"/>
      <c r="BR1193"/>
      <c r="BS1193"/>
      <c r="BT1193"/>
      <c r="BU1193"/>
      <c r="BV1193"/>
      <c r="BW1193"/>
      <c r="BX1193"/>
      <c r="BY1193"/>
      <c r="BZ1193"/>
      <c r="CA1193"/>
      <c r="CB1193"/>
      <c r="CC1193"/>
      <c r="CD1193"/>
      <c r="CE1193"/>
      <c r="CF1193"/>
      <c r="CG1193"/>
      <c r="CH1193"/>
      <c r="CI1193"/>
      <c r="CJ1193"/>
      <c r="CK1193"/>
      <c r="CL1193"/>
      <c r="CM1193"/>
      <c r="CN1193"/>
      <c r="CO1193"/>
      <c r="CP1193"/>
      <c r="CQ1193"/>
      <c r="CR1193"/>
      <c r="CS1193"/>
      <c r="CT1193"/>
      <c r="CU1193"/>
      <c r="CV1193"/>
      <c r="CW1193"/>
      <c r="CX1193"/>
      <c r="CY1193"/>
      <c r="CZ1193"/>
      <c r="DA1193"/>
      <c r="DB1193"/>
      <c r="DC1193"/>
      <c r="DD1193"/>
      <c r="DE1193"/>
      <c r="DF1193"/>
      <c r="DG1193"/>
      <c r="DH1193"/>
      <c r="DI1193"/>
      <c r="DJ1193"/>
      <c r="DK1193"/>
      <c r="DL1193"/>
      <c r="DM1193"/>
      <c r="DN1193"/>
      <c r="DO1193"/>
      <c r="DP1193"/>
      <c r="DQ1193"/>
      <c r="DR1193"/>
      <c r="DS1193"/>
      <c r="DT1193"/>
      <c r="DU1193"/>
      <c r="DV1193"/>
      <c r="DW1193"/>
      <c r="DX1193"/>
      <c r="DY1193"/>
      <c r="DZ1193"/>
      <c r="EA1193"/>
      <c r="EB1193"/>
      <c r="EC1193"/>
      <c r="ED1193"/>
      <c r="EE1193"/>
      <c r="EF1193"/>
      <c r="EG1193"/>
      <c r="EH1193"/>
      <c r="EI1193"/>
      <c r="EJ1193"/>
      <c r="EK1193"/>
      <c r="EL1193"/>
      <c r="EM1193"/>
      <c r="EN1193"/>
      <c r="EO1193"/>
      <c r="EP1193"/>
      <c r="EQ1193"/>
      <c r="ER1193"/>
      <c r="ES1193"/>
    </row>
    <row r="1194" spans="1:149">
      <c r="A1194"/>
      <c r="B1194"/>
      <c r="C1194"/>
      <c r="D1194"/>
      <c r="E1194"/>
      <c r="F1194"/>
      <c r="G1194"/>
      <c r="H1194"/>
      <c r="I1194"/>
      <c r="J1194"/>
      <c r="K1194"/>
      <c r="L1194"/>
      <c r="M1194"/>
      <c r="N1194"/>
      <c r="O1194"/>
      <c r="P1194"/>
      <c r="Q1194"/>
      <c r="R1194"/>
      <c r="S1194"/>
      <c r="T1194"/>
      <c r="U1194"/>
      <c r="V1194"/>
      <c r="W1194"/>
      <c r="X1194"/>
      <c r="Y1194"/>
      <c r="Z1194"/>
      <c r="AA1194"/>
      <c r="AB1194"/>
      <c r="AC1194"/>
      <c r="AD1194"/>
      <c r="AE1194"/>
      <c r="AF1194"/>
      <c r="AG1194"/>
      <c r="AH1194"/>
      <c r="AI1194"/>
      <c r="AJ1194"/>
      <c r="AK1194"/>
      <c r="AL1194"/>
      <c r="AM1194"/>
      <c r="AN1194"/>
      <c r="AO1194"/>
      <c r="AP1194"/>
      <c r="AQ1194"/>
      <c r="AR1194"/>
      <c r="AS1194"/>
      <c r="AT1194"/>
      <c r="AU1194"/>
      <c r="AV1194"/>
      <c r="AW1194"/>
      <c r="AX1194"/>
      <c r="AY1194"/>
      <c r="AZ1194"/>
      <c r="BA1194"/>
      <c r="BB1194"/>
      <c r="BC1194"/>
      <c r="BD1194"/>
      <c r="BE1194"/>
      <c r="BF1194"/>
      <c r="BG1194"/>
      <c r="BH1194"/>
      <c r="BI1194"/>
      <c r="BJ1194"/>
      <c r="BK1194"/>
      <c r="BL1194"/>
      <c r="BM1194"/>
      <c r="BN1194"/>
      <c r="BO1194"/>
      <c r="BP1194"/>
      <c r="BQ1194"/>
      <c r="BR1194"/>
      <c r="BS1194"/>
      <c r="BT1194"/>
      <c r="BU1194"/>
      <c r="BV1194"/>
      <c r="BW1194"/>
      <c r="BX1194"/>
      <c r="BY1194"/>
      <c r="BZ1194"/>
      <c r="CA1194"/>
      <c r="CB1194"/>
      <c r="CC1194"/>
      <c r="CD1194"/>
      <c r="CE1194"/>
      <c r="CF1194"/>
      <c r="CG1194"/>
      <c r="CH1194"/>
      <c r="CI1194"/>
      <c r="CJ1194"/>
      <c r="CK1194"/>
      <c r="CL1194"/>
      <c r="CM1194"/>
      <c r="CN1194"/>
      <c r="CO1194"/>
      <c r="CP1194"/>
      <c r="CQ1194"/>
      <c r="CR1194"/>
      <c r="CS1194"/>
      <c r="CT1194"/>
      <c r="CU1194"/>
      <c r="CV1194"/>
      <c r="CW1194"/>
      <c r="CX1194"/>
      <c r="CY1194"/>
      <c r="CZ1194"/>
      <c r="DA1194"/>
      <c r="DB1194"/>
      <c r="DC1194"/>
      <c r="DD1194"/>
      <c r="DE1194"/>
      <c r="DF1194"/>
      <c r="DG1194"/>
      <c r="DH1194"/>
      <c r="DI1194"/>
      <c r="DJ1194"/>
      <c r="DK1194"/>
      <c r="DL1194"/>
      <c r="DM1194"/>
      <c r="DN1194"/>
      <c r="DO1194"/>
      <c r="DP1194"/>
      <c r="DQ1194"/>
      <c r="DR1194"/>
      <c r="DS1194"/>
      <c r="DT1194"/>
      <c r="DU1194"/>
      <c r="DV1194"/>
      <c r="DW1194"/>
      <c r="DX1194"/>
      <c r="DY1194"/>
      <c r="DZ1194"/>
      <c r="EA1194"/>
      <c r="EB1194"/>
      <c r="EC1194"/>
      <c r="ED1194"/>
      <c r="EE1194"/>
      <c r="EF1194"/>
      <c r="EG1194"/>
      <c r="EH1194"/>
      <c r="EI1194"/>
      <c r="EJ1194"/>
      <c r="EK1194"/>
      <c r="EL1194"/>
      <c r="EM1194"/>
      <c r="EN1194"/>
      <c r="EO1194"/>
      <c r="EP1194"/>
      <c r="EQ1194"/>
      <c r="ER1194"/>
      <c r="ES1194"/>
    </row>
    <row r="1195" spans="1:149">
      <c r="A1195"/>
      <c r="B1195"/>
      <c r="C1195"/>
      <c r="D1195"/>
      <c r="E1195"/>
      <c r="F1195"/>
      <c r="G1195"/>
      <c r="H1195"/>
      <c r="I1195"/>
      <c r="J1195"/>
      <c r="K1195"/>
      <c r="L1195"/>
      <c r="M1195"/>
      <c r="N1195"/>
      <c r="O1195"/>
      <c r="P1195"/>
      <c r="Q1195"/>
      <c r="R1195"/>
      <c r="S1195"/>
      <c r="T1195"/>
      <c r="U1195"/>
      <c r="V1195"/>
      <c r="W1195"/>
      <c r="X1195"/>
      <c r="Y1195"/>
      <c r="Z1195"/>
      <c r="AA1195"/>
      <c r="AB1195"/>
      <c r="AC1195"/>
      <c r="AD1195"/>
      <c r="AE1195"/>
      <c r="AF1195"/>
      <c r="AG1195"/>
      <c r="AH1195"/>
      <c r="AI1195"/>
      <c r="AJ1195"/>
      <c r="AK1195"/>
      <c r="AL1195"/>
      <c r="AM1195"/>
      <c r="AN1195"/>
      <c r="AO1195"/>
      <c r="AP1195"/>
      <c r="AQ1195"/>
      <c r="AR1195"/>
      <c r="AS1195"/>
      <c r="AT1195"/>
      <c r="AU1195"/>
      <c r="AV1195"/>
      <c r="AW1195"/>
      <c r="AX1195"/>
      <c r="AY1195"/>
      <c r="AZ1195"/>
      <c r="BA1195"/>
      <c r="BB1195"/>
      <c r="BC1195"/>
      <c r="BD1195"/>
      <c r="BE1195"/>
      <c r="BF1195"/>
      <c r="BG1195"/>
      <c r="BH1195"/>
      <c r="BI1195"/>
      <c r="BJ1195"/>
      <c r="BK1195"/>
      <c r="BL1195"/>
      <c r="BM1195"/>
      <c r="BN1195"/>
      <c r="BO1195"/>
      <c r="BP1195"/>
      <c r="BQ1195"/>
      <c r="BR1195"/>
      <c r="BS1195"/>
      <c r="BT1195"/>
      <c r="BU1195"/>
      <c r="BV1195"/>
      <c r="BW1195"/>
      <c r="BX1195"/>
      <c r="BY1195"/>
      <c r="BZ1195"/>
      <c r="CA1195"/>
      <c r="CB1195"/>
      <c r="CC1195"/>
      <c r="CD1195"/>
      <c r="CE1195"/>
      <c r="CF1195"/>
      <c r="CG1195"/>
      <c r="CH1195"/>
      <c r="CI1195"/>
      <c r="CJ1195"/>
      <c r="CK1195"/>
      <c r="CL1195"/>
      <c r="CM1195"/>
      <c r="CN1195"/>
      <c r="CO1195"/>
      <c r="CP1195"/>
      <c r="CQ1195"/>
      <c r="CR1195"/>
      <c r="CS1195"/>
      <c r="CT1195"/>
      <c r="CU1195"/>
      <c r="CV1195"/>
      <c r="CW1195"/>
      <c r="CX1195"/>
      <c r="CY1195"/>
      <c r="CZ1195"/>
      <c r="DA1195"/>
      <c r="DB1195"/>
      <c r="DC1195"/>
      <c r="DD1195"/>
      <c r="DE1195"/>
      <c r="DF1195"/>
      <c r="DG1195"/>
      <c r="DH1195"/>
      <c r="DI1195"/>
      <c r="DJ1195"/>
      <c r="DK1195"/>
      <c r="DL1195"/>
      <c r="DM1195"/>
      <c r="DN1195"/>
      <c r="DO1195"/>
      <c r="DP1195"/>
      <c r="DQ1195"/>
      <c r="DR1195"/>
      <c r="DS1195"/>
      <c r="DT1195"/>
      <c r="DU1195"/>
      <c r="DV1195"/>
      <c r="DW1195"/>
      <c r="DX1195"/>
      <c r="DY1195"/>
      <c r="DZ1195"/>
      <c r="EA1195"/>
      <c r="EB1195"/>
      <c r="EC1195"/>
      <c r="ED1195"/>
      <c r="EE1195"/>
      <c r="EF1195"/>
      <c r="EG1195"/>
      <c r="EH1195"/>
      <c r="EI1195"/>
      <c r="EJ1195"/>
      <c r="EK1195"/>
      <c r="EL1195"/>
      <c r="EM1195"/>
      <c r="EN1195"/>
      <c r="EO1195"/>
      <c r="EP1195"/>
      <c r="EQ1195"/>
      <c r="ER1195"/>
      <c r="ES1195"/>
    </row>
    <row r="1196" spans="1:149">
      <c r="A1196"/>
      <c r="B1196"/>
      <c r="C1196"/>
      <c r="D1196"/>
      <c r="E1196"/>
      <c r="F1196"/>
      <c r="G1196"/>
      <c r="H1196"/>
      <c r="I1196"/>
      <c r="J1196"/>
      <c r="K1196"/>
      <c r="L1196"/>
      <c r="M1196"/>
      <c r="N1196"/>
      <c r="O1196"/>
      <c r="P1196"/>
      <c r="Q1196"/>
      <c r="R1196"/>
      <c r="S1196"/>
      <c r="T1196"/>
      <c r="U1196"/>
      <c r="V1196"/>
      <c r="W1196"/>
      <c r="X1196"/>
      <c r="Y1196"/>
      <c r="Z1196"/>
      <c r="AA1196"/>
      <c r="AB1196"/>
      <c r="AC1196"/>
      <c r="AD1196"/>
      <c r="AE1196"/>
      <c r="AF1196"/>
      <c r="AG1196"/>
      <c r="AH1196"/>
      <c r="AI1196"/>
      <c r="AJ1196"/>
      <c r="AK1196"/>
      <c r="AL1196"/>
      <c r="AM1196"/>
      <c r="AN1196"/>
      <c r="AO1196"/>
      <c r="AP1196"/>
      <c r="AQ1196"/>
      <c r="AR1196"/>
      <c r="AS1196"/>
      <c r="AT1196"/>
      <c r="AU1196"/>
      <c r="AV1196"/>
      <c r="AW1196"/>
      <c r="AX1196"/>
      <c r="AY1196"/>
      <c r="AZ1196"/>
      <c r="BA1196"/>
      <c r="BB1196"/>
      <c r="BC1196"/>
      <c r="BD1196"/>
      <c r="BE1196"/>
      <c r="BF1196"/>
      <c r="BG1196"/>
      <c r="BH1196"/>
      <c r="BI1196"/>
      <c r="BJ1196"/>
      <c r="BK1196"/>
      <c r="BL1196"/>
      <c r="BM1196"/>
      <c r="BN1196"/>
      <c r="BO1196"/>
      <c r="BP1196"/>
      <c r="BQ1196"/>
      <c r="BR1196"/>
      <c r="BS1196"/>
      <c r="BT1196"/>
      <c r="BU1196"/>
      <c r="BV1196"/>
      <c r="BW1196"/>
      <c r="BX1196"/>
      <c r="BY1196"/>
      <c r="BZ1196"/>
      <c r="CA1196"/>
      <c r="CB1196"/>
      <c r="CC1196"/>
      <c r="CD1196"/>
      <c r="CE1196"/>
      <c r="CF1196"/>
      <c r="CG1196"/>
      <c r="CH1196"/>
      <c r="CI1196"/>
      <c r="CJ1196"/>
      <c r="CK1196"/>
      <c r="CL1196"/>
      <c r="CM1196"/>
      <c r="CN1196"/>
      <c r="CO1196"/>
      <c r="CP1196"/>
      <c r="CQ1196"/>
      <c r="CR1196"/>
      <c r="CS1196"/>
      <c r="CT1196"/>
      <c r="CU1196"/>
      <c r="CV1196"/>
      <c r="CW1196"/>
      <c r="CX1196"/>
      <c r="CY1196"/>
      <c r="CZ1196"/>
      <c r="DA1196"/>
      <c r="DB1196"/>
      <c r="DC1196"/>
      <c r="DD1196"/>
      <c r="DE1196"/>
      <c r="DF1196"/>
      <c r="DG1196"/>
      <c r="DH1196"/>
      <c r="DI1196"/>
      <c r="DJ1196"/>
      <c r="DK1196"/>
      <c r="DL1196"/>
      <c r="DM1196"/>
      <c r="DN1196"/>
      <c r="DO1196"/>
      <c r="DP1196"/>
      <c r="DQ1196"/>
      <c r="DR1196"/>
      <c r="DS1196"/>
      <c r="DT1196"/>
      <c r="DU1196"/>
      <c r="DV1196"/>
      <c r="DW1196"/>
      <c r="DX1196"/>
      <c r="DY1196"/>
      <c r="DZ1196"/>
      <c r="EA1196"/>
      <c r="EB1196"/>
      <c r="EC1196"/>
      <c r="ED1196"/>
      <c r="EE1196"/>
      <c r="EF1196"/>
      <c r="EG1196"/>
      <c r="EH1196"/>
      <c r="EI1196"/>
      <c r="EJ1196"/>
      <c r="EK1196"/>
      <c r="EL1196"/>
      <c r="EM1196"/>
      <c r="EN1196"/>
      <c r="EO1196"/>
      <c r="EP1196"/>
      <c r="EQ1196"/>
      <c r="ER1196"/>
      <c r="ES1196"/>
    </row>
    <row r="1197" spans="1:149">
      <c r="A1197"/>
      <c r="B1197"/>
      <c r="C1197"/>
      <c r="D1197"/>
      <c r="E1197"/>
      <c r="F1197"/>
      <c r="G1197"/>
      <c r="H1197"/>
      <c r="I1197"/>
      <c r="J1197"/>
      <c r="K1197"/>
      <c r="L1197"/>
      <c r="M1197"/>
      <c r="N1197"/>
      <c r="O1197"/>
      <c r="P1197"/>
      <c r="Q1197"/>
      <c r="R1197"/>
      <c r="S1197"/>
      <c r="T1197"/>
      <c r="U1197"/>
      <c r="V1197"/>
      <c r="W1197"/>
      <c r="X1197"/>
      <c r="Y1197"/>
      <c r="Z1197"/>
      <c r="AA1197"/>
      <c r="AB1197"/>
      <c r="AC1197"/>
      <c r="AD1197"/>
      <c r="AE1197"/>
      <c r="AF1197"/>
      <c r="AG1197"/>
      <c r="AH1197"/>
      <c r="AI1197"/>
      <c r="AJ1197"/>
      <c r="AK1197"/>
      <c r="AL1197"/>
      <c r="AM1197"/>
      <c r="AN1197"/>
      <c r="AO1197"/>
      <c r="AP1197"/>
      <c r="AQ1197"/>
      <c r="AR1197"/>
      <c r="AS1197"/>
      <c r="AT1197"/>
      <c r="AU1197"/>
      <c r="AV1197"/>
      <c r="AW1197"/>
      <c r="AX1197"/>
      <c r="AY1197"/>
      <c r="AZ1197"/>
      <c r="BA1197"/>
      <c r="BB1197"/>
      <c r="BC1197"/>
      <c r="BD1197"/>
      <c r="BE1197"/>
      <c r="BF1197"/>
      <c r="BG1197"/>
      <c r="BH1197"/>
      <c r="BI1197"/>
      <c r="BJ1197"/>
      <c r="BK1197"/>
      <c r="BL1197"/>
      <c r="BM1197"/>
      <c r="BN1197"/>
      <c r="BO1197"/>
      <c r="BP1197"/>
      <c r="BQ1197"/>
      <c r="BR1197"/>
      <c r="BS1197"/>
      <c r="BT1197"/>
      <c r="BU1197"/>
      <c r="BV1197"/>
      <c r="BW1197"/>
      <c r="BX1197"/>
      <c r="BY1197"/>
      <c r="BZ1197"/>
      <c r="CA1197"/>
      <c r="CB1197"/>
      <c r="CC1197"/>
      <c r="CD1197"/>
      <c r="CE1197"/>
      <c r="CF1197"/>
      <c r="CG1197"/>
      <c r="CH1197"/>
      <c r="CI1197"/>
      <c r="CJ1197"/>
      <c r="CK1197"/>
      <c r="CL1197"/>
      <c r="CM1197"/>
      <c r="CN1197"/>
      <c r="CO1197"/>
      <c r="CP1197"/>
      <c r="CQ1197"/>
      <c r="CR1197"/>
      <c r="CS1197"/>
      <c r="CT1197"/>
      <c r="CU1197"/>
      <c r="CV1197"/>
      <c r="CW1197"/>
      <c r="CX1197"/>
      <c r="CY1197"/>
      <c r="CZ1197"/>
      <c r="DA1197"/>
      <c r="DB1197"/>
      <c r="DC1197"/>
      <c r="DD1197"/>
      <c r="DE1197"/>
      <c r="DF1197"/>
      <c r="DG1197"/>
      <c r="DH1197"/>
      <c r="DI1197"/>
      <c r="DJ1197"/>
      <c r="DK1197"/>
      <c r="DL1197"/>
      <c r="DM1197"/>
      <c r="DN1197"/>
      <c r="DO1197"/>
      <c r="DP1197"/>
      <c r="DQ1197"/>
      <c r="DR1197"/>
      <c r="DS1197"/>
      <c r="DT1197"/>
      <c r="DU1197"/>
      <c r="DV1197"/>
      <c r="DW1197"/>
      <c r="DX1197"/>
      <c r="DY1197"/>
      <c r="DZ1197"/>
      <c r="EA1197"/>
      <c r="EB1197"/>
      <c r="EC1197"/>
      <c r="ED1197"/>
      <c r="EE1197"/>
      <c r="EF1197"/>
      <c r="EG1197"/>
      <c r="EH1197"/>
      <c r="EI1197"/>
      <c r="EJ1197"/>
      <c r="EK1197"/>
      <c r="EL1197"/>
      <c r="EM1197"/>
      <c r="EN1197"/>
      <c r="EO1197"/>
      <c r="EP1197"/>
      <c r="EQ1197"/>
      <c r="ER1197"/>
      <c r="ES1197"/>
    </row>
    <row r="1198" spans="1:149">
      <c r="A1198"/>
      <c r="B1198"/>
      <c r="C1198"/>
      <c r="D1198"/>
      <c r="E1198"/>
      <c r="F1198"/>
      <c r="G1198"/>
      <c r="H1198"/>
      <c r="I1198"/>
      <c r="J1198"/>
      <c r="K1198"/>
      <c r="L1198"/>
      <c r="M1198"/>
      <c r="N1198"/>
      <c r="O1198"/>
      <c r="P1198"/>
      <c r="Q1198"/>
      <c r="R1198"/>
      <c r="S1198"/>
      <c r="T1198"/>
      <c r="U1198"/>
      <c r="V1198"/>
      <c r="W1198"/>
      <c r="X1198"/>
      <c r="Y1198"/>
      <c r="Z1198"/>
      <c r="AA1198"/>
      <c r="AB1198"/>
      <c r="AC1198"/>
      <c r="AD1198"/>
      <c r="AE1198"/>
      <c r="AF1198"/>
      <c r="AG1198"/>
      <c r="AH1198"/>
      <c r="AI1198"/>
      <c r="AJ1198"/>
      <c r="AK1198"/>
      <c r="AL1198"/>
      <c r="AM1198"/>
      <c r="AN1198"/>
      <c r="AO1198"/>
      <c r="AP1198"/>
      <c r="AQ1198"/>
      <c r="AR1198"/>
      <c r="AS1198"/>
      <c r="AT1198"/>
      <c r="AU1198"/>
      <c r="AV1198"/>
      <c r="AW1198"/>
      <c r="AX1198"/>
      <c r="AY1198"/>
      <c r="AZ1198"/>
      <c r="BA1198"/>
      <c r="BB1198"/>
      <c r="BC1198"/>
      <c r="BD1198"/>
      <c r="BE1198"/>
      <c r="BF1198"/>
      <c r="BG1198"/>
      <c r="BH1198"/>
      <c r="BI1198"/>
      <c r="BJ1198"/>
      <c r="BK1198"/>
      <c r="BL1198"/>
      <c r="BM1198"/>
      <c r="BN1198"/>
      <c r="BO1198"/>
      <c r="BP1198"/>
      <c r="BQ1198"/>
      <c r="BR1198"/>
      <c r="BS1198"/>
      <c r="BT1198"/>
      <c r="BU1198"/>
      <c r="BV1198"/>
      <c r="BW1198"/>
      <c r="BX1198"/>
      <c r="BY1198"/>
      <c r="BZ1198"/>
      <c r="CA1198"/>
      <c r="CB1198"/>
      <c r="CC1198"/>
      <c r="CD1198"/>
      <c r="CE1198"/>
      <c r="CF1198"/>
      <c r="CG1198"/>
      <c r="CH1198"/>
      <c r="CI1198"/>
      <c r="CJ1198"/>
      <c r="CK1198"/>
      <c r="CL1198"/>
      <c r="CM1198"/>
      <c r="CN1198"/>
      <c r="CO1198"/>
      <c r="CP1198"/>
      <c r="CQ1198"/>
      <c r="CR1198"/>
      <c r="CS1198"/>
      <c r="CT1198"/>
      <c r="CU1198"/>
      <c r="CV1198"/>
      <c r="CW1198"/>
      <c r="CX1198"/>
      <c r="CY1198"/>
      <c r="CZ1198"/>
      <c r="DA1198"/>
      <c r="DB1198"/>
      <c r="DC1198"/>
      <c r="DD1198"/>
      <c r="DE1198"/>
      <c r="DF1198"/>
      <c r="DG1198"/>
      <c r="DH1198"/>
      <c r="DI1198"/>
      <c r="DJ1198"/>
      <c r="DK1198"/>
      <c r="DL1198"/>
      <c r="DM1198"/>
      <c r="DN1198"/>
      <c r="DO1198"/>
      <c r="DP1198"/>
      <c r="DQ1198"/>
      <c r="DR1198"/>
      <c r="DS1198"/>
      <c r="DT1198"/>
      <c r="DU1198"/>
      <c r="DV1198"/>
      <c r="DW1198"/>
      <c r="DX1198"/>
      <c r="DY1198"/>
      <c r="DZ1198"/>
      <c r="EA1198"/>
      <c r="EB1198"/>
      <c r="EC1198"/>
      <c r="ED1198"/>
      <c r="EE1198"/>
      <c r="EF1198"/>
      <c r="EG1198"/>
      <c r="EH1198"/>
      <c r="EI1198"/>
      <c r="EJ1198"/>
      <c r="EK1198"/>
      <c r="EL1198"/>
      <c r="EM1198"/>
      <c r="EN1198"/>
      <c r="EO1198"/>
      <c r="EP1198"/>
      <c r="EQ1198"/>
      <c r="ER1198"/>
      <c r="ES1198"/>
    </row>
    <row r="1199" spans="1:149">
      <c r="A1199"/>
      <c r="B1199"/>
      <c r="C1199"/>
      <c r="D1199"/>
      <c r="E1199"/>
      <c r="F1199"/>
      <c r="G1199"/>
      <c r="H1199"/>
      <c r="I1199"/>
      <c r="J1199"/>
      <c r="K1199"/>
      <c r="L1199"/>
      <c r="M1199"/>
      <c r="N1199"/>
      <c r="O1199"/>
      <c r="P1199"/>
      <c r="Q1199"/>
      <c r="R1199"/>
      <c r="S1199"/>
      <c r="T1199"/>
      <c r="U1199"/>
      <c r="V1199"/>
      <c r="W1199"/>
      <c r="X1199"/>
      <c r="Y1199"/>
      <c r="Z1199"/>
      <c r="AA1199"/>
      <c r="AB1199"/>
      <c r="AC1199"/>
      <c r="AD1199"/>
      <c r="AE1199"/>
      <c r="AF1199"/>
      <c r="AG1199"/>
      <c r="AH1199"/>
      <c r="AI1199"/>
      <c r="AJ1199"/>
      <c r="AK1199"/>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c r="BP1199"/>
      <c r="BQ1199"/>
      <c r="BR1199"/>
      <c r="BS1199"/>
      <c r="BT1199"/>
      <c r="BU1199"/>
      <c r="BV1199"/>
      <c r="BW1199"/>
      <c r="BX1199"/>
      <c r="BY1199"/>
      <c r="BZ1199"/>
      <c r="CA1199"/>
      <c r="CB1199"/>
      <c r="CC1199"/>
      <c r="CD1199"/>
      <c r="CE1199"/>
      <c r="CF1199"/>
      <c r="CG1199"/>
      <c r="CH1199"/>
      <c r="CI1199"/>
      <c r="CJ1199"/>
      <c r="CK1199"/>
      <c r="CL1199"/>
      <c r="CM1199"/>
      <c r="CN1199"/>
      <c r="CO1199"/>
      <c r="CP1199"/>
      <c r="CQ1199"/>
      <c r="CR1199"/>
      <c r="CS1199"/>
      <c r="CT1199"/>
      <c r="CU1199"/>
      <c r="CV1199"/>
      <c r="CW1199"/>
      <c r="CX1199"/>
      <c r="CY1199"/>
      <c r="CZ1199"/>
      <c r="DA1199"/>
      <c r="DB1199"/>
      <c r="DC1199"/>
      <c r="DD1199"/>
      <c r="DE1199"/>
      <c r="DF1199"/>
      <c r="DG1199"/>
      <c r="DH1199"/>
      <c r="DI1199"/>
      <c r="DJ1199"/>
      <c r="DK1199"/>
      <c r="DL1199"/>
      <c r="DM1199"/>
      <c r="DN1199"/>
      <c r="DO1199"/>
      <c r="DP1199"/>
      <c r="DQ1199"/>
      <c r="DR1199"/>
      <c r="DS1199"/>
      <c r="DT1199"/>
      <c r="DU1199"/>
      <c r="DV1199"/>
      <c r="DW1199"/>
      <c r="DX1199"/>
      <c r="DY1199"/>
      <c r="DZ1199"/>
      <c r="EA1199"/>
      <c r="EB1199"/>
      <c r="EC1199"/>
      <c r="ED1199"/>
      <c r="EE1199"/>
      <c r="EF1199"/>
      <c r="EG1199"/>
      <c r="EH1199"/>
      <c r="EI1199"/>
      <c r="EJ1199"/>
      <c r="EK1199"/>
      <c r="EL1199"/>
      <c r="EM1199"/>
      <c r="EN1199"/>
      <c r="EO1199"/>
      <c r="EP1199"/>
      <c r="EQ1199"/>
      <c r="ER1199"/>
      <c r="ES1199"/>
    </row>
    <row r="1200" spans="1:149">
      <c r="A1200"/>
      <c r="B1200"/>
      <c r="C1200"/>
      <c r="D1200"/>
      <c r="E1200"/>
      <c r="F1200"/>
      <c r="G1200"/>
      <c r="H1200"/>
      <c r="I1200"/>
      <c r="J1200"/>
      <c r="K1200"/>
      <c r="L1200"/>
      <c r="M1200"/>
      <c r="N1200"/>
      <c r="O1200"/>
      <c r="P1200"/>
      <c r="Q1200"/>
      <c r="R1200"/>
      <c r="S1200"/>
      <c r="T1200"/>
      <c r="U1200"/>
      <c r="V1200"/>
      <c r="W1200"/>
      <c r="X1200"/>
      <c r="Y1200"/>
      <c r="Z1200"/>
      <c r="AA1200"/>
      <c r="AB1200"/>
      <c r="AC1200"/>
      <c r="AD1200"/>
      <c r="AE1200"/>
      <c r="AF1200"/>
      <c r="AG1200"/>
      <c r="AH1200"/>
      <c r="AI1200"/>
      <c r="AJ1200"/>
      <c r="AK1200"/>
      <c r="AL1200"/>
      <c r="AM1200"/>
      <c r="AN1200"/>
      <c r="AO1200"/>
      <c r="AP1200"/>
      <c r="AQ1200"/>
      <c r="AR1200"/>
      <c r="AS1200"/>
      <c r="AT1200"/>
      <c r="AU1200"/>
      <c r="AV1200"/>
      <c r="AW1200"/>
      <c r="AX1200"/>
      <c r="AY1200"/>
      <c r="AZ1200"/>
      <c r="BA1200"/>
      <c r="BB1200"/>
      <c r="BC1200"/>
      <c r="BD1200"/>
      <c r="BE1200"/>
      <c r="BF1200"/>
      <c r="BG1200"/>
      <c r="BH1200"/>
      <c r="BI1200"/>
      <c r="BJ1200"/>
      <c r="BK1200"/>
      <c r="BL1200"/>
      <c r="BM1200"/>
      <c r="BN1200"/>
      <c r="BO1200"/>
      <c r="BP1200"/>
      <c r="BQ1200"/>
      <c r="BR1200"/>
      <c r="BS1200"/>
      <c r="BT1200"/>
      <c r="BU1200"/>
      <c r="BV1200"/>
      <c r="BW1200"/>
      <c r="BX1200"/>
      <c r="BY1200"/>
      <c r="BZ1200"/>
      <c r="CA1200"/>
      <c r="CB1200"/>
      <c r="CC1200"/>
      <c r="CD1200"/>
      <c r="CE1200"/>
      <c r="CF1200"/>
      <c r="CG1200"/>
      <c r="CH1200"/>
      <c r="CI1200"/>
      <c r="CJ1200"/>
      <c r="CK1200"/>
      <c r="CL1200"/>
      <c r="CM1200"/>
      <c r="CN1200"/>
      <c r="CO1200"/>
      <c r="CP1200"/>
      <c r="CQ1200"/>
      <c r="CR1200"/>
      <c r="CS1200"/>
      <c r="CT1200"/>
      <c r="CU1200"/>
      <c r="CV1200"/>
      <c r="CW1200"/>
      <c r="CX1200"/>
      <c r="CY1200"/>
      <c r="CZ1200"/>
      <c r="DA1200"/>
      <c r="DB1200"/>
      <c r="DC1200"/>
      <c r="DD1200"/>
      <c r="DE1200"/>
      <c r="DF1200"/>
      <c r="DG1200"/>
      <c r="DH1200"/>
      <c r="DI1200"/>
      <c r="DJ1200"/>
      <c r="DK1200"/>
      <c r="DL1200"/>
      <c r="DM1200"/>
      <c r="DN1200"/>
      <c r="DO1200"/>
      <c r="DP1200"/>
      <c r="DQ1200"/>
      <c r="DR1200"/>
      <c r="DS1200"/>
      <c r="DT1200"/>
      <c r="DU1200"/>
      <c r="DV1200"/>
      <c r="DW1200"/>
      <c r="DX1200"/>
      <c r="DY1200"/>
      <c r="DZ1200"/>
      <c r="EA1200"/>
      <c r="EB1200"/>
      <c r="EC1200"/>
      <c r="ED1200"/>
      <c r="EE1200"/>
      <c r="EF1200"/>
      <c r="EG1200"/>
      <c r="EH1200"/>
      <c r="EI1200"/>
      <c r="EJ1200"/>
      <c r="EK1200"/>
      <c r="EL1200"/>
      <c r="EM1200"/>
      <c r="EN1200"/>
      <c r="EO1200"/>
      <c r="EP1200"/>
      <c r="EQ1200"/>
      <c r="ER1200"/>
      <c r="ES1200"/>
    </row>
    <row r="1201" spans="1:149">
      <c r="A1201"/>
      <c r="B1201"/>
      <c r="C1201"/>
      <c r="D1201"/>
      <c r="E1201"/>
      <c r="F1201"/>
      <c r="G1201"/>
      <c r="H1201"/>
      <c r="I1201"/>
      <c r="J1201"/>
      <c r="K1201"/>
      <c r="L1201"/>
      <c r="M1201"/>
      <c r="N1201"/>
      <c r="O1201"/>
      <c r="P1201"/>
      <c r="Q1201"/>
      <c r="R1201"/>
      <c r="S1201"/>
      <c r="T1201"/>
      <c r="U1201"/>
      <c r="V1201"/>
      <c r="W1201"/>
      <c r="X1201"/>
      <c r="Y1201"/>
      <c r="Z1201"/>
      <c r="AA1201"/>
      <c r="AB1201"/>
      <c r="AC1201"/>
      <c r="AD1201"/>
      <c r="AE1201"/>
      <c r="AF1201"/>
      <c r="AG1201"/>
      <c r="AH1201"/>
      <c r="AI1201"/>
      <c r="AJ1201"/>
      <c r="AK1201"/>
      <c r="AL1201"/>
      <c r="AM1201"/>
      <c r="AN1201"/>
      <c r="AO1201"/>
      <c r="AP1201"/>
      <c r="AQ1201"/>
      <c r="AR1201"/>
      <c r="AS1201"/>
      <c r="AT1201"/>
      <c r="AU1201"/>
      <c r="AV1201"/>
      <c r="AW1201"/>
      <c r="AX1201"/>
      <c r="AY1201"/>
      <c r="AZ1201"/>
      <c r="BA1201"/>
      <c r="BB1201"/>
      <c r="BC1201"/>
      <c r="BD1201"/>
      <c r="BE1201"/>
      <c r="BF1201"/>
      <c r="BG1201"/>
      <c r="BH1201"/>
      <c r="BI1201"/>
      <c r="BJ1201"/>
      <c r="BK1201"/>
      <c r="BL1201"/>
      <c r="BM1201"/>
      <c r="BN1201"/>
      <c r="BO1201"/>
      <c r="BP1201"/>
      <c r="BQ1201"/>
      <c r="BR1201"/>
      <c r="BS1201"/>
      <c r="BT1201"/>
      <c r="BU1201"/>
      <c r="BV1201"/>
      <c r="BW1201"/>
      <c r="BX1201"/>
      <c r="BY1201"/>
      <c r="BZ1201"/>
      <c r="CA1201"/>
      <c r="CB1201"/>
      <c r="CC1201"/>
      <c r="CD1201"/>
      <c r="CE1201"/>
      <c r="CF1201"/>
      <c r="CG1201"/>
      <c r="CH1201"/>
      <c r="CI1201"/>
      <c r="CJ1201"/>
      <c r="CK1201"/>
      <c r="CL1201"/>
      <c r="CM1201"/>
      <c r="CN1201"/>
      <c r="CO1201"/>
      <c r="CP1201"/>
      <c r="CQ1201"/>
      <c r="CR1201"/>
      <c r="CS1201"/>
      <c r="CT1201"/>
      <c r="CU1201"/>
      <c r="CV1201"/>
      <c r="CW1201"/>
      <c r="CX1201"/>
      <c r="CY1201"/>
      <c r="CZ1201"/>
      <c r="DA1201"/>
      <c r="DB1201"/>
      <c r="DC1201"/>
      <c r="DD1201"/>
      <c r="DE1201"/>
      <c r="DF1201"/>
      <c r="DG1201"/>
      <c r="DH1201"/>
      <c r="DI1201"/>
      <c r="DJ1201"/>
      <c r="DK1201"/>
      <c r="DL1201"/>
      <c r="DM1201"/>
      <c r="DN1201"/>
      <c r="DO1201"/>
      <c r="DP1201"/>
      <c r="DQ1201"/>
      <c r="DR1201"/>
      <c r="DS1201"/>
      <c r="DT1201"/>
      <c r="DU1201"/>
      <c r="DV1201"/>
      <c r="DW1201"/>
      <c r="DX1201"/>
      <c r="DY1201"/>
      <c r="DZ1201"/>
      <c r="EA1201"/>
      <c r="EB1201"/>
      <c r="EC1201"/>
      <c r="ED1201"/>
      <c r="EE1201"/>
      <c r="EF1201"/>
      <c r="EG1201"/>
      <c r="EH1201"/>
      <c r="EI1201"/>
      <c r="EJ1201"/>
      <c r="EK1201"/>
      <c r="EL1201"/>
      <c r="EM1201"/>
      <c r="EN1201"/>
      <c r="EO1201"/>
      <c r="EP1201"/>
      <c r="EQ1201"/>
      <c r="ER1201"/>
      <c r="ES1201"/>
    </row>
    <row r="1202" spans="1:149">
      <c r="A1202"/>
      <c r="B1202"/>
      <c r="C1202"/>
      <c r="D1202"/>
      <c r="E1202"/>
      <c r="F1202"/>
      <c r="G1202"/>
      <c r="H1202"/>
      <c r="I1202"/>
      <c r="J1202"/>
      <c r="K1202"/>
      <c r="L1202"/>
      <c r="M1202"/>
      <c r="N1202"/>
      <c r="O1202"/>
      <c r="P1202"/>
      <c r="Q1202"/>
      <c r="R1202"/>
      <c r="S1202"/>
      <c r="T1202"/>
      <c r="U1202"/>
      <c r="V1202"/>
      <c r="W1202"/>
      <c r="X1202"/>
      <c r="Y1202"/>
      <c r="Z1202"/>
      <c r="AA1202"/>
      <c r="AB1202"/>
      <c r="AC1202"/>
      <c r="AD1202"/>
      <c r="AE1202"/>
      <c r="AF1202"/>
      <c r="AG1202"/>
      <c r="AH1202"/>
      <c r="AI1202"/>
      <c r="AJ1202"/>
      <c r="AK1202"/>
      <c r="AL1202"/>
      <c r="AM1202"/>
      <c r="AN1202"/>
      <c r="AO1202"/>
      <c r="AP1202"/>
      <c r="AQ1202"/>
      <c r="AR1202"/>
      <c r="AS1202"/>
      <c r="AT1202"/>
      <c r="AU1202"/>
      <c r="AV1202"/>
      <c r="AW1202"/>
      <c r="AX1202"/>
      <c r="AY1202"/>
      <c r="AZ1202"/>
      <c r="BA1202"/>
      <c r="BB1202"/>
      <c r="BC1202"/>
      <c r="BD1202"/>
      <c r="BE1202"/>
      <c r="BF1202"/>
      <c r="BG1202"/>
      <c r="BH1202"/>
      <c r="BI1202"/>
      <c r="BJ1202"/>
      <c r="BK1202"/>
      <c r="BL1202"/>
      <c r="BM1202"/>
      <c r="BN1202"/>
      <c r="BO1202"/>
      <c r="BP1202"/>
      <c r="BQ1202"/>
      <c r="BR1202"/>
      <c r="BS1202"/>
      <c r="BT1202"/>
      <c r="BU1202"/>
      <c r="BV1202"/>
      <c r="BW1202"/>
      <c r="BX1202"/>
      <c r="BY1202"/>
      <c r="BZ1202"/>
      <c r="CA1202"/>
      <c r="CB1202"/>
      <c r="CC1202"/>
      <c r="CD1202"/>
      <c r="CE1202"/>
      <c r="CF1202"/>
      <c r="CG1202"/>
      <c r="CH1202"/>
      <c r="CI1202"/>
      <c r="CJ1202"/>
      <c r="CK1202"/>
      <c r="CL1202"/>
      <c r="CM1202"/>
      <c r="CN1202"/>
      <c r="CO1202"/>
      <c r="CP1202"/>
      <c r="CQ1202"/>
      <c r="CR1202"/>
      <c r="CS1202"/>
      <c r="CT1202"/>
      <c r="CU1202"/>
      <c r="CV1202"/>
      <c r="CW1202"/>
      <c r="CX1202"/>
      <c r="CY1202"/>
      <c r="CZ1202"/>
      <c r="DA1202"/>
      <c r="DB1202"/>
      <c r="DC1202"/>
      <c r="DD1202"/>
      <c r="DE1202"/>
      <c r="DF1202"/>
      <c r="DG1202"/>
      <c r="DH1202"/>
      <c r="DI1202"/>
      <c r="DJ1202"/>
      <c r="DK1202"/>
      <c r="DL1202"/>
      <c r="DM1202"/>
      <c r="DN1202"/>
      <c r="DO1202"/>
      <c r="DP1202"/>
      <c r="DQ1202"/>
      <c r="DR1202"/>
      <c r="DS1202"/>
      <c r="DT1202"/>
      <c r="DU1202"/>
      <c r="DV1202"/>
      <c r="DW1202"/>
      <c r="DX1202"/>
      <c r="DY1202"/>
      <c r="DZ1202"/>
      <c r="EA1202"/>
      <c r="EB1202"/>
      <c r="EC1202"/>
      <c r="ED1202"/>
      <c r="EE1202"/>
      <c r="EF1202"/>
      <c r="EG1202"/>
      <c r="EH1202"/>
      <c r="EI1202"/>
      <c r="EJ1202"/>
      <c r="EK1202"/>
      <c r="EL1202"/>
      <c r="EM1202"/>
      <c r="EN1202"/>
      <c r="EO1202"/>
      <c r="EP1202"/>
      <c r="EQ1202"/>
      <c r="ER1202"/>
      <c r="ES1202"/>
    </row>
    <row r="1203" spans="1:149">
      <c r="A1203"/>
      <c r="B1203"/>
      <c r="C1203"/>
      <c r="D1203"/>
      <c r="E1203"/>
      <c r="F1203"/>
      <c r="G1203"/>
      <c r="H1203"/>
      <c r="I1203"/>
      <c r="J1203"/>
      <c r="K1203"/>
      <c r="L1203"/>
      <c r="M1203"/>
      <c r="N1203"/>
      <c r="O1203"/>
      <c r="P1203"/>
      <c r="Q1203"/>
      <c r="R1203"/>
      <c r="S1203"/>
      <c r="T1203"/>
      <c r="U1203"/>
      <c r="V1203"/>
      <c r="W1203"/>
      <c r="X1203"/>
      <c r="Y1203"/>
      <c r="Z1203"/>
      <c r="AA1203"/>
      <c r="AB1203"/>
      <c r="AC1203"/>
      <c r="AD1203"/>
      <c r="AE1203"/>
      <c r="AF1203"/>
      <c r="AG1203"/>
      <c r="AH1203"/>
      <c r="AI1203"/>
      <c r="AJ1203"/>
      <c r="AK1203"/>
      <c r="AL1203"/>
      <c r="AM1203"/>
      <c r="AN1203"/>
      <c r="AO1203"/>
      <c r="AP1203"/>
      <c r="AQ1203"/>
      <c r="AR1203"/>
      <c r="AS1203"/>
      <c r="AT1203"/>
      <c r="AU1203"/>
      <c r="AV1203"/>
      <c r="AW1203"/>
      <c r="AX1203"/>
      <c r="AY1203"/>
      <c r="AZ1203"/>
      <c r="BA1203"/>
      <c r="BB1203"/>
      <c r="BC1203"/>
      <c r="BD1203"/>
      <c r="BE1203"/>
      <c r="BF1203"/>
      <c r="BG1203"/>
      <c r="BH1203"/>
      <c r="BI1203"/>
      <c r="BJ1203"/>
      <c r="BK1203"/>
      <c r="BL1203"/>
      <c r="BM1203"/>
      <c r="BN1203"/>
      <c r="BO1203"/>
      <c r="BP1203"/>
      <c r="BQ1203"/>
      <c r="BR1203"/>
      <c r="BS1203"/>
      <c r="BT1203"/>
      <c r="BU1203"/>
      <c r="BV1203"/>
      <c r="BW1203"/>
      <c r="BX1203"/>
      <c r="BY1203"/>
      <c r="BZ1203"/>
      <c r="CA1203"/>
      <c r="CB1203"/>
      <c r="CC1203"/>
      <c r="CD1203"/>
      <c r="CE1203"/>
      <c r="CF1203"/>
      <c r="CG1203"/>
      <c r="CH1203"/>
      <c r="CI1203"/>
      <c r="CJ1203"/>
      <c r="CK1203"/>
      <c r="CL1203"/>
      <c r="CM1203"/>
      <c r="CN1203"/>
      <c r="CO1203"/>
      <c r="CP1203"/>
      <c r="CQ1203"/>
      <c r="CR1203"/>
      <c r="CS1203"/>
      <c r="CT1203"/>
      <c r="CU1203"/>
      <c r="CV1203"/>
      <c r="CW1203"/>
      <c r="CX1203"/>
      <c r="CY1203"/>
      <c r="CZ1203"/>
      <c r="DA1203"/>
      <c r="DB1203"/>
      <c r="DC1203"/>
      <c r="DD1203"/>
      <c r="DE1203"/>
      <c r="DF1203"/>
      <c r="DG1203"/>
      <c r="DH1203"/>
      <c r="DI1203"/>
      <c r="DJ1203"/>
      <c r="DK1203"/>
      <c r="DL1203"/>
      <c r="DM1203"/>
      <c r="DN1203"/>
      <c r="DO1203"/>
      <c r="DP1203"/>
      <c r="DQ1203"/>
      <c r="DR1203"/>
      <c r="DS1203"/>
      <c r="DT1203"/>
      <c r="DU1203"/>
      <c r="DV1203"/>
      <c r="DW1203"/>
      <c r="DX1203"/>
      <c r="DY1203"/>
      <c r="DZ1203"/>
      <c r="EA1203"/>
      <c r="EB1203"/>
      <c r="EC1203"/>
      <c r="ED1203"/>
      <c r="EE1203"/>
      <c r="EF1203"/>
      <c r="EG1203"/>
      <c r="EH1203"/>
      <c r="EI1203"/>
      <c r="EJ1203"/>
      <c r="EK1203"/>
      <c r="EL1203"/>
      <c r="EM1203"/>
      <c r="EN1203"/>
      <c r="EO1203"/>
      <c r="EP1203"/>
      <c r="EQ1203"/>
      <c r="ER1203"/>
      <c r="ES1203"/>
    </row>
    <row r="1204" spans="1:149">
      <c r="A1204"/>
      <c r="B1204"/>
      <c r="C1204"/>
      <c r="D1204"/>
      <c r="E1204"/>
      <c r="F1204"/>
      <c r="G1204"/>
      <c r="H1204"/>
      <c r="I1204"/>
      <c r="J1204"/>
      <c r="K1204"/>
      <c r="L1204"/>
      <c r="M1204"/>
      <c r="N1204"/>
      <c r="O1204"/>
      <c r="P1204"/>
      <c r="Q1204"/>
      <c r="R1204"/>
      <c r="S1204"/>
      <c r="T1204"/>
      <c r="U1204"/>
      <c r="V1204"/>
      <c r="W1204"/>
      <c r="X1204"/>
      <c r="Y1204"/>
      <c r="Z1204"/>
      <c r="AA1204"/>
      <c r="AB1204"/>
      <c r="AC1204"/>
      <c r="AD1204"/>
      <c r="AE1204"/>
      <c r="AF1204"/>
      <c r="AG1204"/>
      <c r="AH1204"/>
      <c r="AI1204"/>
      <c r="AJ1204"/>
      <c r="AK1204"/>
      <c r="AL1204"/>
      <c r="AM1204"/>
      <c r="AN1204"/>
      <c r="AO1204"/>
      <c r="AP1204"/>
      <c r="AQ1204"/>
      <c r="AR1204"/>
      <c r="AS1204"/>
      <c r="AT1204"/>
      <c r="AU1204"/>
      <c r="AV1204"/>
      <c r="AW1204"/>
      <c r="AX1204"/>
      <c r="AY1204"/>
      <c r="AZ1204"/>
      <c r="BA1204"/>
      <c r="BB1204"/>
      <c r="BC1204"/>
      <c r="BD1204"/>
      <c r="BE1204"/>
      <c r="BF1204"/>
      <c r="BG1204"/>
      <c r="BH1204"/>
      <c r="BI1204"/>
      <c r="BJ1204"/>
      <c r="BK1204"/>
      <c r="BL1204"/>
      <c r="BM1204"/>
      <c r="BN1204"/>
      <c r="BO1204"/>
      <c r="BP1204"/>
      <c r="BQ1204"/>
      <c r="BR1204"/>
      <c r="BS1204"/>
      <c r="BT1204"/>
      <c r="BU1204"/>
      <c r="BV1204"/>
      <c r="BW1204"/>
      <c r="BX1204"/>
      <c r="BY1204"/>
      <c r="BZ1204"/>
      <c r="CA1204"/>
      <c r="CB1204"/>
      <c r="CC1204"/>
      <c r="CD1204"/>
      <c r="CE1204"/>
      <c r="CF1204"/>
      <c r="CG1204"/>
      <c r="CH1204"/>
      <c r="CI1204"/>
      <c r="CJ1204"/>
      <c r="CK1204"/>
      <c r="CL1204"/>
      <c r="CM1204"/>
      <c r="CN1204"/>
      <c r="CO1204"/>
      <c r="CP1204"/>
      <c r="CQ1204"/>
      <c r="CR1204"/>
      <c r="CS1204"/>
      <c r="CT1204"/>
      <c r="CU1204"/>
      <c r="CV1204"/>
      <c r="CW1204"/>
      <c r="CX1204"/>
      <c r="CY1204"/>
      <c r="CZ1204"/>
      <c r="DA1204"/>
      <c r="DB1204"/>
      <c r="DC1204"/>
      <c r="DD1204"/>
      <c r="DE1204"/>
      <c r="DF1204"/>
      <c r="DG1204"/>
      <c r="DH1204"/>
      <c r="DI1204"/>
      <c r="DJ1204"/>
      <c r="DK1204"/>
      <c r="DL1204"/>
      <c r="DM1204"/>
      <c r="DN1204"/>
      <c r="DO1204"/>
      <c r="DP1204"/>
      <c r="DQ1204"/>
      <c r="DR1204"/>
      <c r="DS1204"/>
      <c r="DT1204"/>
      <c r="DU1204"/>
      <c r="DV1204"/>
      <c r="DW1204"/>
      <c r="DX1204"/>
      <c r="DY1204"/>
      <c r="DZ1204"/>
      <c r="EA1204"/>
      <c r="EB1204"/>
      <c r="EC1204"/>
      <c r="ED1204"/>
      <c r="EE1204"/>
      <c r="EF1204"/>
      <c r="EG1204"/>
      <c r="EH1204"/>
      <c r="EI1204"/>
      <c r="EJ1204"/>
      <c r="EK1204"/>
      <c r="EL1204"/>
      <c r="EM1204"/>
      <c r="EN1204"/>
      <c r="EO1204"/>
      <c r="EP1204"/>
      <c r="EQ1204"/>
      <c r="ER1204"/>
      <c r="ES1204"/>
    </row>
    <row r="1205" spans="1:149">
      <c r="A1205"/>
      <c r="B1205"/>
      <c r="C1205"/>
      <c r="D1205"/>
      <c r="E1205"/>
      <c r="F1205"/>
      <c r="G1205"/>
      <c r="H1205"/>
      <c r="I1205"/>
      <c r="J1205"/>
      <c r="K1205"/>
      <c r="L1205"/>
      <c r="M1205"/>
      <c r="N1205"/>
      <c r="O1205"/>
      <c r="P1205"/>
      <c r="Q1205"/>
      <c r="R1205"/>
      <c r="S1205"/>
      <c r="T1205"/>
      <c r="U1205"/>
      <c r="V1205"/>
      <c r="W1205"/>
      <c r="X1205"/>
      <c r="Y1205"/>
      <c r="Z1205"/>
      <c r="AA1205"/>
      <c r="AB1205"/>
      <c r="AC1205"/>
      <c r="AD1205"/>
      <c r="AE1205"/>
      <c r="AF1205"/>
      <c r="AG1205"/>
      <c r="AH1205"/>
      <c r="AI1205"/>
      <c r="AJ1205"/>
      <c r="AK1205"/>
      <c r="AL1205"/>
      <c r="AM1205"/>
      <c r="AN1205"/>
      <c r="AO1205"/>
      <c r="AP1205"/>
      <c r="AQ1205"/>
      <c r="AR1205"/>
      <c r="AS1205"/>
      <c r="AT1205"/>
      <c r="AU1205"/>
      <c r="AV1205"/>
      <c r="AW1205"/>
      <c r="AX1205"/>
      <c r="AY1205"/>
      <c r="AZ1205"/>
      <c r="BA1205"/>
      <c r="BB1205"/>
      <c r="BC1205"/>
      <c r="BD1205"/>
      <c r="BE1205"/>
      <c r="BF1205"/>
      <c r="BG1205"/>
      <c r="BH1205"/>
      <c r="BI1205"/>
      <c r="BJ1205"/>
      <c r="BK1205"/>
      <c r="BL1205"/>
      <c r="BM1205"/>
      <c r="BN1205"/>
      <c r="BO1205"/>
      <c r="BP1205"/>
      <c r="BQ1205"/>
      <c r="BR1205"/>
      <c r="BS1205"/>
      <c r="BT1205"/>
      <c r="BU1205"/>
      <c r="BV1205"/>
      <c r="BW1205"/>
      <c r="BX1205"/>
      <c r="BY1205"/>
      <c r="BZ1205"/>
      <c r="CA1205"/>
      <c r="CB1205"/>
      <c r="CC1205"/>
      <c r="CD1205"/>
      <c r="CE1205"/>
      <c r="CF1205"/>
      <c r="CG1205"/>
      <c r="CH1205"/>
      <c r="CI1205"/>
      <c r="CJ1205"/>
      <c r="CK1205"/>
      <c r="CL1205"/>
      <c r="CM1205"/>
      <c r="CN1205"/>
      <c r="CO1205"/>
      <c r="CP1205"/>
      <c r="CQ1205"/>
      <c r="CR1205"/>
      <c r="CS1205"/>
      <c r="CT1205"/>
      <c r="CU1205"/>
      <c r="CV1205"/>
      <c r="CW1205"/>
      <c r="CX1205"/>
      <c r="CY1205"/>
      <c r="CZ1205"/>
      <c r="DA1205"/>
      <c r="DB1205"/>
      <c r="DC1205"/>
      <c r="DD1205"/>
      <c r="DE1205"/>
      <c r="DF1205"/>
      <c r="DG1205"/>
      <c r="DH1205"/>
      <c r="DI1205"/>
      <c r="DJ1205"/>
      <c r="DK1205"/>
      <c r="DL1205"/>
      <c r="DM1205"/>
      <c r="DN1205"/>
      <c r="DO1205"/>
      <c r="DP1205"/>
      <c r="DQ1205"/>
      <c r="DR1205"/>
      <c r="DS1205"/>
      <c r="DT1205"/>
      <c r="DU1205"/>
      <c r="DV1205"/>
      <c r="DW1205"/>
      <c r="DX1205"/>
      <c r="DY1205"/>
      <c r="DZ1205"/>
      <c r="EA1205"/>
      <c r="EB1205"/>
      <c r="EC1205"/>
      <c r="ED1205"/>
      <c r="EE1205"/>
      <c r="EF1205"/>
      <c r="EG1205"/>
      <c r="EH1205"/>
      <c r="EI1205"/>
      <c r="EJ1205"/>
      <c r="EK1205"/>
      <c r="EL1205"/>
      <c r="EM1205"/>
      <c r="EN1205"/>
      <c r="EO1205"/>
      <c r="EP1205"/>
      <c r="EQ1205"/>
      <c r="ER1205"/>
      <c r="ES1205"/>
    </row>
    <row r="1206" spans="1:149">
      <c r="A1206"/>
      <c r="B1206"/>
      <c r="C1206"/>
      <c r="D1206"/>
      <c r="E1206"/>
      <c r="F1206"/>
      <c r="G1206"/>
      <c r="H1206"/>
      <c r="I1206"/>
      <c r="J1206"/>
      <c r="K1206"/>
      <c r="L1206"/>
      <c r="M1206"/>
      <c r="N1206"/>
      <c r="O1206"/>
      <c r="P1206"/>
      <c r="Q1206"/>
      <c r="R1206"/>
      <c r="S1206"/>
      <c r="T1206"/>
      <c r="U1206"/>
      <c r="V1206"/>
      <c r="W1206"/>
      <c r="X1206"/>
      <c r="Y1206"/>
      <c r="Z1206"/>
      <c r="AA1206"/>
      <c r="AB1206"/>
      <c r="AC1206"/>
      <c r="AD1206"/>
      <c r="AE1206"/>
      <c r="AF1206"/>
      <c r="AG1206"/>
      <c r="AH1206"/>
      <c r="AI1206"/>
      <c r="AJ1206"/>
      <c r="AK1206"/>
      <c r="AL1206"/>
      <c r="AM1206"/>
      <c r="AN1206"/>
      <c r="AO1206"/>
      <c r="AP1206"/>
      <c r="AQ1206"/>
      <c r="AR1206"/>
      <c r="AS1206"/>
      <c r="AT1206"/>
      <c r="AU1206"/>
      <c r="AV1206"/>
      <c r="AW1206"/>
      <c r="AX1206"/>
      <c r="AY1206"/>
      <c r="AZ1206"/>
      <c r="BA1206"/>
      <c r="BB1206"/>
      <c r="BC1206"/>
      <c r="BD1206"/>
      <c r="BE1206"/>
      <c r="BF1206"/>
      <c r="BG1206"/>
      <c r="BH1206"/>
      <c r="BI1206"/>
      <c r="BJ1206"/>
      <c r="BK1206"/>
      <c r="BL1206"/>
      <c r="BM1206"/>
      <c r="BN1206"/>
      <c r="BO1206"/>
      <c r="BP1206"/>
      <c r="BQ1206"/>
      <c r="BR1206"/>
      <c r="BS1206"/>
      <c r="BT1206"/>
      <c r="BU1206"/>
      <c r="BV1206"/>
      <c r="BW1206"/>
      <c r="BX1206"/>
      <c r="BY1206"/>
      <c r="BZ1206"/>
      <c r="CA1206"/>
      <c r="CB1206"/>
      <c r="CC1206"/>
      <c r="CD1206"/>
      <c r="CE1206"/>
      <c r="CF1206"/>
      <c r="CG1206"/>
      <c r="CH1206"/>
      <c r="CI1206"/>
      <c r="CJ1206"/>
      <c r="CK1206"/>
      <c r="CL1206"/>
      <c r="CM1206"/>
      <c r="CN1206"/>
      <c r="CO1206"/>
      <c r="CP1206"/>
      <c r="CQ1206"/>
      <c r="CR1206"/>
      <c r="CS1206"/>
      <c r="CT1206"/>
      <c r="CU1206"/>
      <c r="CV1206"/>
      <c r="CW1206"/>
      <c r="CX1206"/>
      <c r="CY1206"/>
      <c r="CZ1206"/>
      <c r="DA1206"/>
      <c r="DB1206"/>
      <c r="DC1206"/>
      <c r="DD1206"/>
      <c r="DE1206"/>
      <c r="DF1206"/>
      <c r="DG1206"/>
      <c r="DH1206"/>
      <c r="DI1206"/>
      <c r="DJ1206"/>
      <c r="DK1206"/>
      <c r="DL1206"/>
      <c r="DM1206"/>
      <c r="DN1206"/>
      <c r="DO1206"/>
      <c r="DP1206"/>
      <c r="DQ1206"/>
      <c r="DR1206"/>
      <c r="DS1206"/>
      <c r="DT1206"/>
      <c r="DU1206"/>
      <c r="DV1206"/>
      <c r="DW1206"/>
      <c r="DX1206"/>
      <c r="DY1206"/>
      <c r="DZ1206"/>
      <c r="EA1206"/>
      <c r="EB1206"/>
      <c r="EC1206"/>
      <c r="ED1206"/>
      <c r="EE1206"/>
      <c r="EF1206"/>
      <c r="EG1206"/>
      <c r="EH1206"/>
      <c r="EI1206"/>
      <c r="EJ1206"/>
      <c r="EK1206"/>
      <c r="EL1206"/>
      <c r="EM1206"/>
      <c r="EN1206"/>
      <c r="EO1206"/>
      <c r="EP1206"/>
      <c r="EQ1206"/>
      <c r="ER1206"/>
      <c r="ES1206"/>
    </row>
    <row r="1207" spans="1:149">
      <c r="A1207"/>
      <c r="B1207"/>
      <c r="C1207"/>
      <c r="D1207"/>
      <c r="E1207"/>
      <c r="F1207"/>
      <c r="G1207"/>
      <c r="H1207"/>
      <c r="I1207"/>
      <c r="J1207"/>
      <c r="K1207"/>
      <c r="L1207"/>
      <c r="M1207"/>
      <c r="N1207"/>
      <c r="O1207"/>
      <c r="P1207"/>
      <c r="Q1207"/>
      <c r="R1207"/>
      <c r="S1207"/>
      <c r="T1207"/>
      <c r="U1207"/>
      <c r="V1207"/>
      <c r="W1207"/>
      <c r="X1207"/>
      <c r="Y1207"/>
      <c r="Z1207"/>
      <c r="AA1207"/>
      <c r="AB1207"/>
      <c r="AC1207"/>
      <c r="AD1207"/>
      <c r="AE1207"/>
      <c r="AF1207"/>
      <c r="AG1207"/>
      <c r="AH1207"/>
      <c r="AI1207"/>
      <c r="AJ1207"/>
      <c r="AK1207"/>
      <c r="AL1207"/>
      <c r="AM1207"/>
      <c r="AN1207"/>
      <c r="AO1207"/>
      <c r="AP1207"/>
      <c r="AQ1207"/>
      <c r="AR1207"/>
      <c r="AS1207"/>
      <c r="AT1207"/>
      <c r="AU1207"/>
      <c r="AV1207"/>
      <c r="AW1207"/>
      <c r="AX1207"/>
      <c r="AY1207"/>
      <c r="AZ1207"/>
      <c r="BA1207"/>
      <c r="BB1207"/>
      <c r="BC1207"/>
      <c r="BD1207"/>
      <c r="BE1207"/>
      <c r="BF1207"/>
      <c r="BG1207"/>
      <c r="BH1207"/>
      <c r="BI1207"/>
      <c r="BJ1207"/>
      <c r="BK1207"/>
      <c r="BL1207"/>
      <c r="BM1207"/>
      <c r="BN1207"/>
      <c r="BO1207"/>
      <c r="BP1207"/>
      <c r="BQ1207"/>
      <c r="BR1207"/>
      <c r="BS1207"/>
      <c r="BT1207"/>
      <c r="BU1207"/>
      <c r="BV1207"/>
      <c r="BW1207"/>
      <c r="BX1207"/>
      <c r="BY1207"/>
      <c r="BZ1207"/>
      <c r="CA1207"/>
      <c r="CB1207"/>
      <c r="CC1207"/>
      <c r="CD1207"/>
      <c r="CE1207"/>
      <c r="CF1207"/>
      <c r="CG1207"/>
      <c r="CH1207"/>
      <c r="CI1207"/>
      <c r="CJ1207"/>
      <c r="CK1207"/>
      <c r="CL1207"/>
      <c r="CM1207"/>
      <c r="CN1207"/>
      <c r="CO1207"/>
      <c r="CP1207"/>
      <c r="CQ1207"/>
      <c r="CR1207"/>
      <c r="CS1207"/>
      <c r="CT1207"/>
      <c r="CU1207"/>
      <c r="CV1207"/>
      <c r="CW1207"/>
      <c r="CX1207"/>
      <c r="CY1207"/>
      <c r="CZ1207"/>
      <c r="DA1207"/>
      <c r="DB1207"/>
      <c r="DC1207"/>
      <c r="DD1207"/>
      <c r="DE1207"/>
      <c r="DF1207"/>
      <c r="DG1207"/>
      <c r="DH1207"/>
      <c r="DI1207"/>
      <c r="DJ1207"/>
      <c r="DK1207"/>
      <c r="DL1207"/>
      <c r="DM1207"/>
      <c r="DN1207"/>
      <c r="DO1207"/>
      <c r="DP1207"/>
      <c r="DQ1207"/>
      <c r="DR1207"/>
      <c r="DS1207"/>
      <c r="DT1207"/>
      <c r="DU1207"/>
      <c r="DV1207"/>
      <c r="DW1207"/>
      <c r="DX1207"/>
      <c r="DY1207"/>
      <c r="DZ1207"/>
      <c r="EA1207"/>
      <c r="EB1207"/>
      <c r="EC1207"/>
      <c r="ED1207"/>
      <c r="EE1207"/>
      <c r="EF1207"/>
      <c r="EG1207"/>
      <c r="EH1207"/>
      <c r="EI1207"/>
      <c r="EJ1207"/>
      <c r="EK1207"/>
      <c r="EL1207"/>
      <c r="EM1207"/>
      <c r="EN1207"/>
      <c r="EO1207"/>
      <c r="EP1207"/>
      <c r="EQ1207"/>
      <c r="ER1207"/>
      <c r="ES1207"/>
    </row>
    <row r="1208" spans="1:149">
      <c r="A1208"/>
      <c r="B1208"/>
      <c r="C1208"/>
      <c r="D1208"/>
      <c r="E1208"/>
      <c r="F1208"/>
      <c r="G1208"/>
      <c r="H1208"/>
      <c r="I1208"/>
      <c r="J1208"/>
      <c r="K1208"/>
      <c r="L1208"/>
      <c r="M1208"/>
      <c r="N1208"/>
      <c r="O1208"/>
      <c r="P1208"/>
      <c r="Q1208"/>
      <c r="R1208"/>
      <c r="S1208"/>
      <c r="T1208"/>
      <c r="U1208"/>
      <c r="V1208"/>
      <c r="W1208"/>
      <c r="X1208"/>
      <c r="Y1208"/>
      <c r="Z1208"/>
      <c r="AA1208"/>
      <c r="AB1208"/>
      <c r="AC1208"/>
      <c r="AD1208"/>
      <c r="AE1208"/>
      <c r="AF1208"/>
      <c r="AG1208"/>
      <c r="AH1208"/>
      <c r="AI1208"/>
      <c r="AJ1208"/>
      <c r="AK1208"/>
      <c r="AL1208"/>
      <c r="AM1208"/>
      <c r="AN1208"/>
      <c r="AO1208"/>
      <c r="AP1208"/>
      <c r="AQ1208"/>
      <c r="AR1208"/>
      <c r="AS1208"/>
      <c r="AT1208"/>
      <c r="AU1208"/>
      <c r="AV1208"/>
      <c r="AW1208"/>
      <c r="AX1208"/>
      <c r="AY1208"/>
      <c r="AZ1208"/>
      <c r="BA1208"/>
      <c r="BB1208"/>
      <c r="BC1208"/>
      <c r="BD1208"/>
      <c r="BE1208"/>
      <c r="BF1208"/>
      <c r="BG1208"/>
      <c r="BH1208"/>
      <c r="BI1208"/>
      <c r="BJ1208"/>
      <c r="BK1208"/>
      <c r="BL1208"/>
      <c r="BM1208"/>
      <c r="BN1208"/>
      <c r="BO1208"/>
      <c r="BP1208"/>
      <c r="BQ1208"/>
      <c r="BR1208"/>
      <c r="BS1208"/>
      <c r="BT1208"/>
      <c r="BU1208"/>
      <c r="BV1208"/>
      <c r="BW1208"/>
      <c r="BX1208"/>
      <c r="BY1208"/>
      <c r="BZ1208"/>
      <c r="CA1208"/>
      <c r="CB1208"/>
      <c r="CC1208"/>
      <c r="CD1208"/>
      <c r="CE1208"/>
      <c r="CF1208"/>
      <c r="CG1208"/>
      <c r="CH1208"/>
      <c r="CI1208"/>
      <c r="CJ1208"/>
      <c r="CK1208"/>
      <c r="CL1208"/>
      <c r="CM1208"/>
      <c r="CN1208"/>
      <c r="CO1208"/>
      <c r="CP1208"/>
      <c r="CQ1208"/>
      <c r="CR1208"/>
      <c r="CS1208"/>
      <c r="CT1208"/>
      <c r="CU1208"/>
      <c r="CV1208"/>
      <c r="CW1208"/>
      <c r="CX1208"/>
      <c r="CY1208"/>
      <c r="CZ1208"/>
      <c r="DA1208"/>
      <c r="DB1208"/>
      <c r="DC1208"/>
      <c r="DD1208"/>
      <c r="DE1208"/>
      <c r="DF1208"/>
      <c r="DG1208"/>
      <c r="DH1208"/>
      <c r="DI1208"/>
      <c r="DJ1208"/>
      <c r="DK1208"/>
      <c r="DL1208"/>
      <c r="DM1208"/>
      <c r="DN1208"/>
      <c r="DO1208"/>
      <c r="DP1208"/>
      <c r="DQ1208"/>
      <c r="DR1208"/>
      <c r="DS1208"/>
      <c r="DT1208"/>
      <c r="DU1208"/>
      <c r="DV1208"/>
      <c r="DW1208"/>
      <c r="DX1208"/>
      <c r="DY1208"/>
      <c r="DZ1208"/>
      <c r="EA1208"/>
      <c r="EB1208"/>
      <c r="EC1208"/>
      <c r="ED1208"/>
      <c r="EE1208"/>
      <c r="EF1208"/>
      <c r="EG1208"/>
      <c r="EH1208"/>
      <c r="EI1208"/>
      <c r="EJ1208"/>
      <c r="EK1208"/>
      <c r="EL1208"/>
      <c r="EM1208"/>
      <c r="EN1208"/>
      <c r="EO1208"/>
      <c r="EP1208"/>
      <c r="EQ1208"/>
      <c r="ER1208"/>
      <c r="ES1208"/>
    </row>
    <row r="1209" spans="1:149">
      <c r="A1209"/>
      <c r="B1209"/>
      <c r="C1209"/>
      <c r="D1209"/>
      <c r="E1209"/>
      <c r="F1209"/>
      <c r="G1209"/>
      <c r="H1209"/>
      <c r="I1209"/>
      <c r="J1209"/>
      <c r="K1209"/>
      <c r="L1209"/>
      <c r="M1209"/>
      <c r="N1209"/>
      <c r="O1209"/>
      <c r="P1209"/>
      <c r="Q1209"/>
      <c r="R1209"/>
      <c r="S1209"/>
      <c r="T1209"/>
      <c r="U1209"/>
      <c r="V1209"/>
      <c r="W1209"/>
      <c r="X1209"/>
      <c r="Y1209"/>
      <c r="Z1209"/>
      <c r="AA1209"/>
      <c r="AB1209"/>
      <c r="AC1209"/>
      <c r="AD1209"/>
      <c r="AE1209"/>
      <c r="AF1209"/>
      <c r="AG1209"/>
      <c r="AH1209"/>
      <c r="AI1209"/>
      <c r="AJ1209"/>
      <c r="AK1209"/>
      <c r="AL1209"/>
      <c r="AM1209"/>
      <c r="AN1209"/>
      <c r="AO1209"/>
      <c r="AP1209"/>
      <c r="AQ1209"/>
      <c r="AR1209"/>
      <c r="AS1209"/>
      <c r="AT1209"/>
      <c r="AU1209"/>
      <c r="AV1209"/>
      <c r="AW1209"/>
      <c r="AX1209"/>
      <c r="AY1209"/>
      <c r="AZ1209"/>
      <c r="BA1209"/>
      <c r="BB1209"/>
      <c r="BC1209"/>
      <c r="BD1209"/>
      <c r="BE1209"/>
      <c r="BF1209"/>
      <c r="BG1209"/>
      <c r="BH1209"/>
      <c r="BI1209"/>
      <c r="BJ1209"/>
      <c r="BK1209"/>
      <c r="BL1209"/>
      <c r="BM1209"/>
      <c r="BN1209"/>
      <c r="BO1209"/>
      <c r="BP1209"/>
      <c r="BQ1209"/>
      <c r="BR1209"/>
      <c r="BS1209"/>
      <c r="BT1209"/>
      <c r="BU1209"/>
      <c r="BV1209"/>
      <c r="BW1209"/>
      <c r="BX1209"/>
      <c r="BY1209"/>
      <c r="BZ1209"/>
      <c r="CA1209"/>
      <c r="CB1209"/>
      <c r="CC1209"/>
      <c r="CD1209"/>
      <c r="CE1209"/>
      <c r="CF1209"/>
      <c r="CG1209"/>
      <c r="CH1209"/>
      <c r="CI1209"/>
      <c r="CJ1209"/>
      <c r="CK1209"/>
      <c r="CL1209"/>
      <c r="CM1209"/>
      <c r="CN1209"/>
      <c r="CO1209"/>
      <c r="CP1209"/>
      <c r="CQ1209"/>
      <c r="CR1209"/>
      <c r="CS1209"/>
      <c r="CT1209"/>
      <c r="CU1209"/>
      <c r="CV1209"/>
      <c r="CW1209"/>
      <c r="CX1209"/>
      <c r="CY1209"/>
      <c r="CZ1209"/>
      <c r="DA1209"/>
      <c r="DB1209"/>
      <c r="DC1209"/>
      <c r="DD1209"/>
      <c r="DE1209"/>
      <c r="DF1209"/>
      <c r="DG1209"/>
      <c r="DH1209"/>
      <c r="DI1209"/>
      <c r="DJ1209"/>
      <c r="DK1209"/>
      <c r="DL1209"/>
      <c r="DM1209"/>
      <c r="DN1209"/>
      <c r="DO1209"/>
      <c r="DP1209"/>
      <c r="DQ1209"/>
      <c r="DR1209"/>
      <c r="DS1209"/>
      <c r="DT1209"/>
      <c r="DU1209"/>
      <c r="DV1209"/>
      <c r="DW1209"/>
      <c r="DX1209"/>
      <c r="DY1209"/>
      <c r="DZ1209"/>
      <c r="EA1209"/>
      <c r="EB1209"/>
      <c r="EC1209"/>
      <c r="ED1209"/>
      <c r="EE1209"/>
      <c r="EF1209"/>
      <c r="EG1209"/>
      <c r="EH1209"/>
      <c r="EI1209"/>
      <c r="EJ1209"/>
      <c r="EK1209"/>
      <c r="EL1209"/>
      <c r="EM1209"/>
      <c r="EN1209"/>
      <c r="EO1209"/>
      <c r="EP1209"/>
      <c r="EQ1209"/>
      <c r="ER1209"/>
      <c r="ES1209"/>
    </row>
    <row r="1210" spans="1:149">
      <c r="A1210"/>
      <c r="B1210"/>
      <c r="C1210"/>
      <c r="D1210"/>
      <c r="E1210"/>
      <c r="F1210"/>
      <c r="G1210"/>
      <c r="H1210"/>
      <c r="I1210"/>
      <c r="J1210"/>
      <c r="K1210"/>
      <c r="L1210"/>
      <c r="M1210"/>
      <c r="N1210"/>
      <c r="O1210"/>
      <c r="P1210"/>
      <c r="Q1210"/>
      <c r="R1210"/>
      <c r="S1210"/>
      <c r="T1210"/>
      <c r="U1210"/>
      <c r="V1210"/>
      <c r="W1210"/>
      <c r="X1210"/>
      <c r="Y1210"/>
      <c r="Z1210"/>
      <c r="AA1210"/>
      <c r="AB1210"/>
      <c r="AC1210"/>
      <c r="AD1210"/>
      <c r="AE1210"/>
      <c r="AF1210"/>
      <c r="AG1210"/>
      <c r="AH1210"/>
      <c r="AI1210"/>
      <c r="AJ1210"/>
      <c r="AK1210"/>
      <c r="AL1210"/>
      <c r="AM1210"/>
      <c r="AN1210"/>
      <c r="AO1210"/>
      <c r="AP1210"/>
      <c r="AQ1210"/>
      <c r="AR1210"/>
      <c r="AS1210"/>
      <c r="AT1210"/>
      <c r="AU1210"/>
      <c r="AV1210"/>
      <c r="AW1210"/>
      <c r="AX1210"/>
      <c r="AY1210"/>
      <c r="AZ1210"/>
      <c r="BA1210"/>
      <c r="BB1210"/>
      <c r="BC1210"/>
      <c r="BD1210"/>
      <c r="BE1210"/>
      <c r="BF1210"/>
      <c r="BG1210"/>
      <c r="BH1210"/>
      <c r="BI1210"/>
      <c r="BJ1210"/>
      <c r="BK1210"/>
      <c r="BL1210"/>
      <c r="BM1210"/>
      <c r="BN1210"/>
      <c r="BO1210"/>
      <c r="BP1210"/>
      <c r="BQ1210"/>
      <c r="BR1210"/>
      <c r="BS1210"/>
      <c r="BT1210"/>
      <c r="BU1210"/>
      <c r="BV1210"/>
      <c r="BW1210"/>
      <c r="BX1210"/>
      <c r="BY1210"/>
      <c r="BZ1210"/>
      <c r="CA1210"/>
      <c r="CB1210"/>
      <c r="CC1210"/>
      <c r="CD1210"/>
      <c r="CE1210"/>
      <c r="CF1210"/>
      <c r="CG1210"/>
      <c r="CH1210"/>
      <c r="CI1210"/>
      <c r="CJ1210"/>
      <c r="CK1210"/>
      <c r="CL1210"/>
      <c r="CM1210"/>
      <c r="CN1210"/>
      <c r="CO1210"/>
      <c r="CP1210"/>
      <c r="CQ1210"/>
      <c r="CR1210"/>
      <c r="CS1210"/>
      <c r="CT1210"/>
      <c r="CU1210"/>
      <c r="CV1210"/>
      <c r="CW1210"/>
      <c r="CX1210"/>
      <c r="CY1210"/>
      <c r="CZ1210"/>
      <c r="DA1210"/>
      <c r="DB1210"/>
      <c r="DC1210"/>
      <c r="DD1210"/>
      <c r="DE1210"/>
      <c r="DF1210"/>
      <c r="DG1210"/>
      <c r="DH1210"/>
      <c r="DI1210"/>
      <c r="DJ1210"/>
      <c r="DK1210"/>
      <c r="DL1210"/>
      <c r="DM1210"/>
      <c r="DN1210"/>
      <c r="DO1210"/>
      <c r="DP1210"/>
      <c r="DQ1210"/>
      <c r="DR1210"/>
      <c r="DS1210"/>
      <c r="DT1210"/>
      <c r="DU1210"/>
      <c r="DV1210"/>
      <c r="DW1210"/>
      <c r="DX1210"/>
      <c r="DY1210"/>
      <c r="DZ1210"/>
      <c r="EA1210"/>
      <c r="EB1210"/>
      <c r="EC1210"/>
      <c r="ED1210"/>
      <c r="EE1210"/>
      <c r="EF1210"/>
      <c r="EG1210"/>
      <c r="EH1210"/>
      <c r="EI1210"/>
      <c r="EJ1210"/>
      <c r="EK1210"/>
      <c r="EL1210"/>
      <c r="EM1210"/>
      <c r="EN1210"/>
      <c r="EO1210"/>
      <c r="EP1210"/>
      <c r="EQ1210"/>
      <c r="ER1210"/>
      <c r="ES1210"/>
    </row>
    <row r="1211" spans="1:149">
      <c r="A1211"/>
      <c r="B1211"/>
      <c r="C1211"/>
      <c r="D1211"/>
      <c r="E1211"/>
      <c r="F1211"/>
      <c r="G1211"/>
      <c r="H1211"/>
      <c r="I1211"/>
      <c r="J1211"/>
      <c r="K1211"/>
      <c r="L1211"/>
      <c r="M1211"/>
      <c r="N1211"/>
      <c r="O1211"/>
      <c r="P1211"/>
      <c r="Q1211"/>
      <c r="R1211"/>
      <c r="S1211"/>
      <c r="T1211"/>
      <c r="U1211"/>
      <c r="V1211"/>
      <c r="W1211"/>
      <c r="X1211"/>
      <c r="Y1211"/>
      <c r="Z1211"/>
      <c r="AA1211"/>
      <c r="AB1211"/>
      <c r="AC1211"/>
      <c r="AD1211"/>
      <c r="AE1211"/>
      <c r="AF1211"/>
      <c r="AG1211"/>
      <c r="AH1211"/>
      <c r="AI1211"/>
      <c r="AJ1211"/>
      <c r="AK1211"/>
      <c r="AL1211"/>
      <c r="AM1211"/>
      <c r="AN1211"/>
      <c r="AO1211"/>
      <c r="AP1211"/>
      <c r="AQ1211"/>
      <c r="AR1211"/>
      <c r="AS1211"/>
      <c r="AT1211"/>
      <c r="AU1211"/>
      <c r="AV1211"/>
      <c r="AW1211"/>
      <c r="AX1211"/>
      <c r="AY1211"/>
      <c r="AZ1211"/>
      <c r="BA1211"/>
      <c r="BB1211"/>
      <c r="BC1211"/>
      <c r="BD1211"/>
      <c r="BE1211"/>
      <c r="BF1211"/>
      <c r="BG1211"/>
      <c r="BH1211"/>
      <c r="BI1211"/>
      <c r="BJ1211"/>
      <c r="BK1211"/>
      <c r="BL1211"/>
      <c r="BM1211"/>
      <c r="BN1211"/>
      <c r="BO1211"/>
      <c r="BP1211"/>
      <c r="BQ1211"/>
      <c r="BR1211"/>
      <c r="BS1211"/>
      <c r="BT1211"/>
      <c r="BU1211"/>
      <c r="BV1211"/>
      <c r="BW1211"/>
      <c r="BX1211"/>
      <c r="BY1211"/>
      <c r="BZ1211"/>
      <c r="CA1211"/>
      <c r="CB1211"/>
      <c r="CC1211"/>
      <c r="CD1211"/>
      <c r="CE1211"/>
      <c r="CF1211"/>
      <c r="CG1211"/>
      <c r="CH1211"/>
      <c r="CI1211"/>
      <c r="CJ1211"/>
      <c r="CK1211"/>
      <c r="CL1211"/>
      <c r="CM1211"/>
      <c r="CN1211"/>
      <c r="CO1211"/>
      <c r="CP1211"/>
      <c r="CQ1211"/>
      <c r="CR1211"/>
      <c r="CS1211"/>
      <c r="CT1211"/>
      <c r="CU1211"/>
      <c r="CV1211"/>
      <c r="CW1211"/>
      <c r="CX1211"/>
      <c r="CY1211"/>
      <c r="CZ1211"/>
      <c r="DA1211"/>
      <c r="DB1211"/>
      <c r="DC1211"/>
      <c r="DD1211"/>
      <c r="DE1211"/>
      <c r="DF1211"/>
      <c r="DG1211"/>
      <c r="DH1211"/>
      <c r="DI1211"/>
      <c r="DJ1211"/>
      <c r="DK1211"/>
      <c r="DL1211"/>
      <c r="DM1211"/>
      <c r="DN1211"/>
      <c r="DO1211"/>
      <c r="DP1211"/>
      <c r="DQ1211"/>
      <c r="DR1211"/>
      <c r="DS1211"/>
      <c r="DT1211"/>
      <c r="DU1211"/>
      <c r="DV1211"/>
      <c r="DW1211"/>
      <c r="DX1211"/>
      <c r="DY1211"/>
      <c r="DZ1211"/>
      <c r="EA1211"/>
      <c r="EB1211"/>
      <c r="EC1211"/>
      <c r="ED1211"/>
      <c r="EE1211"/>
      <c r="EF1211"/>
      <c r="EG1211"/>
      <c r="EH1211"/>
      <c r="EI1211"/>
      <c r="EJ1211"/>
      <c r="EK1211"/>
      <c r="EL1211"/>
      <c r="EM1211"/>
      <c r="EN1211"/>
      <c r="EO1211"/>
      <c r="EP1211"/>
      <c r="EQ1211"/>
      <c r="ER1211"/>
      <c r="ES1211"/>
    </row>
    <row r="1212" spans="1:149">
      <c r="A1212"/>
      <c r="B1212"/>
      <c r="C1212"/>
      <c r="D1212"/>
      <c r="E1212"/>
      <c r="F1212"/>
      <c r="G1212"/>
      <c r="H1212"/>
      <c r="I1212"/>
      <c r="J1212"/>
      <c r="K1212"/>
      <c r="L1212"/>
      <c r="M1212"/>
      <c r="N1212"/>
      <c r="O1212"/>
      <c r="P1212"/>
      <c r="Q1212"/>
      <c r="R1212"/>
      <c r="S1212"/>
      <c r="T1212"/>
      <c r="U1212"/>
      <c r="V1212"/>
      <c r="W1212"/>
      <c r="X1212"/>
      <c r="Y1212"/>
      <c r="Z1212"/>
      <c r="AA1212"/>
      <c r="AB1212"/>
      <c r="AC1212"/>
      <c r="AD1212"/>
      <c r="AE1212"/>
      <c r="AF1212"/>
      <c r="AG1212"/>
      <c r="AH1212"/>
      <c r="AI1212"/>
      <c r="AJ1212"/>
      <c r="AK1212"/>
      <c r="AL1212"/>
      <c r="AM1212"/>
      <c r="AN1212"/>
      <c r="AO1212"/>
      <c r="AP1212"/>
      <c r="AQ1212"/>
      <c r="AR1212"/>
      <c r="AS1212"/>
      <c r="AT1212"/>
      <c r="AU1212"/>
      <c r="AV1212"/>
      <c r="AW1212"/>
      <c r="AX1212"/>
      <c r="AY1212"/>
      <c r="AZ1212"/>
      <c r="BA1212"/>
      <c r="BB1212"/>
      <c r="BC1212"/>
      <c r="BD1212"/>
      <c r="BE1212"/>
      <c r="BF1212"/>
      <c r="BG1212"/>
      <c r="BH1212"/>
      <c r="BI1212"/>
      <c r="BJ1212"/>
      <c r="BK1212"/>
      <c r="BL1212"/>
      <c r="BM1212"/>
      <c r="BN1212"/>
      <c r="BO1212"/>
      <c r="BP1212"/>
      <c r="BQ1212"/>
      <c r="BR1212"/>
      <c r="BS1212"/>
      <c r="BT1212"/>
      <c r="BU1212"/>
      <c r="BV1212"/>
      <c r="BW1212"/>
      <c r="BX1212"/>
      <c r="BY1212"/>
      <c r="BZ1212"/>
      <c r="CA1212"/>
      <c r="CB1212"/>
      <c r="CC1212"/>
      <c r="CD1212"/>
      <c r="CE1212"/>
      <c r="CF1212"/>
      <c r="CG1212"/>
      <c r="CH1212"/>
      <c r="CI1212"/>
      <c r="CJ1212"/>
      <c r="CK1212"/>
      <c r="CL1212"/>
      <c r="CM1212"/>
      <c r="CN1212"/>
      <c r="CO1212"/>
      <c r="CP1212"/>
      <c r="CQ1212"/>
      <c r="CR1212"/>
      <c r="CS1212"/>
      <c r="CT1212"/>
      <c r="CU1212"/>
      <c r="CV1212"/>
      <c r="CW1212"/>
      <c r="CX1212"/>
      <c r="CY1212"/>
      <c r="CZ1212"/>
      <c r="DA1212"/>
      <c r="DB1212"/>
      <c r="DC1212"/>
      <c r="DD1212"/>
      <c r="DE1212"/>
      <c r="DF1212"/>
      <c r="DG1212"/>
      <c r="DH1212"/>
      <c r="DI1212"/>
      <c r="DJ1212"/>
      <c r="DK1212"/>
      <c r="DL1212"/>
      <c r="DM1212"/>
      <c r="DN1212"/>
      <c r="DO1212"/>
      <c r="DP1212"/>
      <c r="DQ1212"/>
      <c r="DR1212"/>
      <c r="DS1212"/>
      <c r="DT1212"/>
      <c r="DU1212"/>
      <c r="DV1212"/>
      <c r="DW1212"/>
      <c r="DX1212"/>
      <c r="DY1212"/>
      <c r="DZ1212"/>
      <c r="EA1212"/>
      <c r="EB1212"/>
      <c r="EC1212"/>
      <c r="ED1212"/>
      <c r="EE1212"/>
      <c r="EF1212"/>
      <c r="EG1212"/>
      <c r="EH1212"/>
      <c r="EI1212"/>
      <c r="EJ1212"/>
      <c r="EK1212"/>
      <c r="EL1212"/>
      <c r="EM1212"/>
      <c r="EN1212"/>
      <c r="EO1212"/>
      <c r="EP1212"/>
      <c r="EQ1212"/>
      <c r="ER1212"/>
      <c r="ES1212"/>
    </row>
    <row r="1213" spans="1:149">
      <c r="A1213"/>
      <c r="B1213"/>
      <c r="C1213"/>
      <c r="D1213"/>
      <c r="E1213"/>
      <c r="F1213"/>
      <c r="G1213"/>
      <c r="H1213"/>
      <c r="I1213"/>
      <c r="J1213"/>
      <c r="K1213"/>
      <c r="L1213"/>
      <c r="M1213"/>
      <c r="N1213"/>
      <c r="O1213"/>
      <c r="P1213"/>
      <c r="Q1213"/>
      <c r="R1213"/>
      <c r="S1213"/>
      <c r="T1213"/>
      <c r="U1213"/>
      <c r="V1213"/>
      <c r="W1213"/>
      <c r="X1213"/>
      <c r="Y1213"/>
      <c r="Z1213"/>
      <c r="AA1213"/>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c r="BZ1213"/>
      <c r="CA1213"/>
      <c r="CB1213"/>
      <c r="CC1213"/>
      <c r="CD1213"/>
      <c r="CE1213"/>
      <c r="CF1213"/>
      <c r="CG1213"/>
      <c r="CH1213"/>
      <c r="CI1213"/>
      <c r="CJ1213"/>
      <c r="CK1213"/>
      <c r="CL1213"/>
      <c r="CM1213"/>
      <c r="CN1213"/>
      <c r="CO1213"/>
      <c r="CP1213"/>
      <c r="CQ1213"/>
      <c r="CR1213"/>
      <c r="CS1213"/>
      <c r="CT1213"/>
      <c r="CU1213"/>
      <c r="CV1213"/>
      <c r="CW1213"/>
      <c r="CX1213"/>
      <c r="CY1213"/>
      <c r="CZ1213"/>
      <c r="DA1213"/>
      <c r="DB1213"/>
      <c r="DC1213"/>
      <c r="DD1213"/>
      <c r="DE1213"/>
      <c r="DF1213"/>
      <c r="DG1213"/>
      <c r="DH1213"/>
      <c r="DI1213"/>
      <c r="DJ1213"/>
      <c r="DK1213"/>
      <c r="DL1213"/>
      <c r="DM1213"/>
      <c r="DN1213"/>
      <c r="DO1213"/>
      <c r="DP1213"/>
      <c r="DQ1213"/>
      <c r="DR1213"/>
      <c r="DS1213"/>
      <c r="DT1213"/>
      <c r="DU1213"/>
      <c r="DV1213"/>
      <c r="DW1213"/>
      <c r="DX1213"/>
      <c r="DY1213"/>
      <c r="DZ1213"/>
      <c r="EA1213"/>
      <c r="EB1213"/>
      <c r="EC1213"/>
      <c r="ED1213"/>
      <c r="EE1213"/>
      <c r="EF1213"/>
      <c r="EG1213"/>
      <c r="EH1213"/>
      <c r="EI1213"/>
      <c r="EJ1213"/>
      <c r="EK1213"/>
      <c r="EL1213"/>
      <c r="EM1213"/>
      <c r="EN1213"/>
      <c r="EO1213"/>
      <c r="EP1213"/>
      <c r="EQ1213"/>
      <c r="ER1213"/>
      <c r="ES1213"/>
    </row>
    <row r="1214" spans="1:149">
      <c r="A1214"/>
      <c r="B1214"/>
      <c r="C1214"/>
      <c r="D1214"/>
      <c r="E1214"/>
      <c r="F1214"/>
      <c r="G1214"/>
      <c r="H1214"/>
      <c r="I1214"/>
      <c r="J1214"/>
      <c r="K1214"/>
      <c r="L1214"/>
      <c r="M1214"/>
      <c r="N1214"/>
      <c r="O1214"/>
      <c r="P1214"/>
      <c r="Q1214"/>
      <c r="R1214"/>
      <c r="S1214"/>
      <c r="T1214"/>
      <c r="U1214"/>
      <c r="V1214"/>
      <c r="W1214"/>
      <c r="X1214"/>
      <c r="Y1214"/>
      <c r="Z1214"/>
      <c r="AA1214"/>
      <c r="AB1214"/>
      <c r="AC1214"/>
      <c r="AD1214"/>
      <c r="AE1214"/>
      <c r="AF1214"/>
      <c r="AG1214"/>
      <c r="AH1214"/>
      <c r="AI1214"/>
      <c r="AJ1214"/>
      <c r="AK1214"/>
      <c r="AL1214"/>
      <c r="AM1214"/>
      <c r="AN1214"/>
      <c r="AO1214"/>
      <c r="AP1214"/>
      <c r="AQ1214"/>
      <c r="AR1214"/>
      <c r="AS1214"/>
      <c r="AT1214"/>
      <c r="AU1214"/>
      <c r="AV1214"/>
      <c r="AW1214"/>
      <c r="AX1214"/>
      <c r="AY1214"/>
      <c r="AZ1214"/>
      <c r="BA1214"/>
      <c r="BB1214"/>
      <c r="BC1214"/>
      <c r="BD1214"/>
      <c r="BE1214"/>
      <c r="BF1214"/>
      <c r="BG1214"/>
      <c r="BH1214"/>
      <c r="BI1214"/>
      <c r="BJ1214"/>
      <c r="BK1214"/>
      <c r="BL1214"/>
      <c r="BM1214"/>
      <c r="BN1214"/>
      <c r="BO1214"/>
      <c r="BP1214"/>
      <c r="BQ1214"/>
      <c r="BR1214"/>
      <c r="BS1214"/>
      <c r="BT1214"/>
      <c r="BU1214"/>
      <c r="BV1214"/>
      <c r="BW1214"/>
      <c r="BX1214"/>
      <c r="BY1214"/>
      <c r="BZ1214"/>
      <c r="CA1214"/>
      <c r="CB1214"/>
      <c r="CC1214"/>
      <c r="CD1214"/>
      <c r="CE1214"/>
      <c r="CF1214"/>
      <c r="CG1214"/>
      <c r="CH1214"/>
      <c r="CI1214"/>
      <c r="CJ1214"/>
      <c r="CK1214"/>
      <c r="CL1214"/>
      <c r="CM1214"/>
      <c r="CN1214"/>
      <c r="CO1214"/>
      <c r="CP1214"/>
      <c r="CQ1214"/>
      <c r="CR1214"/>
      <c r="CS1214"/>
      <c r="CT1214"/>
      <c r="CU1214"/>
      <c r="CV1214"/>
      <c r="CW1214"/>
      <c r="CX1214"/>
      <c r="CY1214"/>
      <c r="CZ1214"/>
      <c r="DA1214"/>
      <c r="DB1214"/>
      <c r="DC1214"/>
      <c r="DD1214"/>
      <c r="DE1214"/>
      <c r="DF1214"/>
      <c r="DG1214"/>
      <c r="DH1214"/>
      <c r="DI1214"/>
      <c r="DJ1214"/>
      <c r="DK1214"/>
      <c r="DL1214"/>
      <c r="DM1214"/>
      <c r="DN1214"/>
      <c r="DO1214"/>
      <c r="DP1214"/>
      <c r="DQ1214"/>
      <c r="DR1214"/>
      <c r="DS1214"/>
      <c r="DT1214"/>
      <c r="DU1214"/>
      <c r="DV1214"/>
      <c r="DW1214"/>
      <c r="DX1214"/>
      <c r="DY1214"/>
      <c r="DZ1214"/>
      <c r="EA1214"/>
      <c r="EB1214"/>
      <c r="EC1214"/>
      <c r="ED1214"/>
      <c r="EE1214"/>
      <c r="EF1214"/>
      <c r="EG1214"/>
      <c r="EH1214"/>
      <c r="EI1214"/>
      <c r="EJ1214"/>
      <c r="EK1214"/>
      <c r="EL1214"/>
      <c r="EM1214"/>
      <c r="EN1214"/>
      <c r="EO1214"/>
      <c r="EP1214"/>
      <c r="EQ1214"/>
      <c r="ER1214"/>
      <c r="ES1214"/>
    </row>
    <row r="1215" spans="1:149">
      <c r="A1215"/>
      <c r="B1215"/>
      <c r="C1215"/>
      <c r="D1215"/>
      <c r="E1215"/>
      <c r="F1215"/>
      <c r="G1215"/>
      <c r="H1215"/>
      <c r="I1215"/>
      <c r="J1215"/>
      <c r="K1215"/>
      <c r="L1215"/>
      <c r="M1215"/>
      <c r="N1215"/>
      <c r="O1215"/>
      <c r="P1215"/>
      <c r="Q1215"/>
      <c r="R1215"/>
      <c r="S1215"/>
      <c r="T1215"/>
      <c r="U1215"/>
      <c r="V1215"/>
      <c r="W1215"/>
      <c r="X1215"/>
      <c r="Y1215"/>
      <c r="Z1215"/>
      <c r="AA1215"/>
      <c r="AB1215"/>
      <c r="AC1215"/>
      <c r="AD1215"/>
      <c r="AE1215"/>
      <c r="AF1215"/>
      <c r="AG1215"/>
      <c r="AH1215"/>
      <c r="AI1215"/>
      <c r="AJ1215"/>
      <c r="AK1215"/>
      <c r="AL1215"/>
      <c r="AM1215"/>
      <c r="AN1215"/>
      <c r="AO1215"/>
      <c r="AP1215"/>
      <c r="AQ1215"/>
      <c r="AR1215"/>
      <c r="AS1215"/>
      <c r="AT1215"/>
      <c r="AU1215"/>
      <c r="AV1215"/>
      <c r="AW1215"/>
      <c r="AX1215"/>
      <c r="AY1215"/>
      <c r="AZ1215"/>
      <c r="BA1215"/>
      <c r="BB1215"/>
      <c r="BC1215"/>
      <c r="BD1215"/>
      <c r="BE1215"/>
      <c r="BF1215"/>
      <c r="BG1215"/>
      <c r="BH1215"/>
      <c r="BI1215"/>
      <c r="BJ1215"/>
      <c r="BK1215"/>
      <c r="BL1215"/>
      <c r="BM1215"/>
      <c r="BN1215"/>
      <c r="BO1215"/>
      <c r="BP1215"/>
      <c r="BQ1215"/>
      <c r="BR1215"/>
      <c r="BS1215"/>
      <c r="BT1215"/>
      <c r="BU1215"/>
      <c r="BV1215"/>
      <c r="BW1215"/>
      <c r="BX1215"/>
      <c r="BY1215"/>
      <c r="BZ1215"/>
      <c r="CA1215"/>
      <c r="CB1215"/>
      <c r="CC1215"/>
      <c r="CD1215"/>
      <c r="CE1215"/>
      <c r="CF1215"/>
      <c r="CG1215"/>
      <c r="CH1215"/>
      <c r="CI1215"/>
      <c r="CJ1215"/>
      <c r="CK1215"/>
      <c r="CL1215"/>
      <c r="CM1215"/>
      <c r="CN1215"/>
      <c r="CO1215"/>
      <c r="CP1215"/>
      <c r="CQ1215"/>
      <c r="CR1215"/>
      <c r="CS1215"/>
      <c r="CT1215"/>
      <c r="CU1215"/>
      <c r="CV1215"/>
      <c r="CW1215"/>
      <c r="CX1215"/>
      <c r="CY1215"/>
      <c r="CZ1215"/>
      <c r="DA1215"/>
      <c r="DB1215"/>
      <c r="DC1215"/>
      <c r="DD1215"/>
      <c r="DE1215"/>
      <c r="DF1215"/>
      <c r="DG1215"/>
      <c r="DH1215"/>
      <c r="DI1215"/>
      <c r="DJ1215"/>
      <c r="DK1215"/>
      <c r="DL1215"/>
      <c r="DM1215"/>
      <c r="DN1215"/>
      <c r="DO1215"/>
      <c r="DP1215"/>
      <c r="DQ1215"/>
      <c r="DR1215"/>
      <c r="DS1215"/>
      <c r="DT1215"/>
      <c r="DU1215"/>
      <c r="DV1215"/>
      <c r="DW1215"/>
      <c r="DX1215"/>
      <c r="DY1215"/>
      <c r="DZ1215"/>
      <c r="EA1215"/>
      <c r="EB1215"/>
      <c r="EC1215"/>
      <c r="ED1215"/>
      <c r="EE1215"/>
      <c r="EF1215"/>
      <c r="EG1215"/>
      <c r="EH1215"/>
      <c r="EI1215"/>
      <c r="EJ1215"/>
      <c r="EK1215"/>
      <c r="EL1215"/>
      <c r="EM1215"/>
      <c r="EN1215"/>
      <c r="EO1215"/>
      <c r="EP1215"/>
      <c r="EQ1215"/>
      <c r="ER1215"/>
      <c r="ES1215"/>
    </row>
    <row r="1216" spans="1:149">
      <c r="A1216"/>
      <c r="B1216"/>
      <c r="C1216"/>
      <c r="D1216"/>
      <c r="E1216"/>
      <c r="F1216"/>
      <c r="G1216"/>
      <c r="H1216"/>
      <c r="I1216"/>
      <c r="J1216"/>
      <c r="K1216"/>
      <c r="L1216"/>
      <c r="M1216"/>
      <c r="N1216"/>
      <c r="O1216"/>
      <c r="P1216"/>
      <c r="Q1216"/>
      <c r="R1216"/>
      <c r="S1216"/>
      <c r="T1216"/>
      <c r="U1216"/>
      <c r="V1216"/>
      <c r="W1216"/>
      <c r="X1216"/>
      <c r="Y1216"/>
      <c r="Z1216"/>
      <c r="AA1216"/>
      <c r="AB1216"/>
      <c r="AC1216"/>
      <c r="AD1216"/>
      <c r="AE1216"/>
      <c r="AF1216"/>
      <c r="AG1216"/>
      <c r="AH1216"/>
      <c r="AI1216"/>
      <c r="AJ1216"/>
      <c r="AK1216"/>
      <c r="AL1216"/>
      <c r="AM1216"/>
      <c r="AN1216"/>
      <c r="AO1216"/>
      <c r="AP1216"/>
      <c r="AQ1216"/>
      <c r="AR1216"/>
      <c r="AS1216"/>
      <c r="AT1216"/>
      <c r="AU1216"/>
      <c r="AV1216"/>
      <c r="AW1216"/>
      <c r="AX1216"/>
      <c r="AY1216"/>
      <c r="AZ1216"/>
      <c r="BA1216"/>
      <c r="BB1216"/>
      <c r="BC1216"/>
      <c r="BD1216"/>
      <c r="BE1216"/>
      <c r="BF1216"/>
      <c r="BG1216"/>
      <c r="BH1216"/>
      <c r="BI1216"/>
      <c r="BJ1216"/>
      <c r="BK1216"/>
      <c r="BL1216"/>
      <c r="BM1216"/>
      <c r="BN1216"/>
      <c r="BO1216"/>
      <c r="BP1216"/>
      <c r="BQ1216"/>
      <c r="BR1216"/>
      <c r="BS1216"/>
      <c r="BT1216"/>
      <c r="BU1216"/>
      <c r="BV1216"/>
      <c r="BW1216"/>
      <c r="BX1216"/>
      <c r="BY1216"/>
      <c r="BZ1216"/>
      <c r="CA1216"/>
      <c r="CB1216"/>
      <c r="CC1216"/>
      <c r="CD1216"/>
      <c r="CE1216"/>
      <c r="CF1216"/>
      <c r="CG1216"/>
      <c r="CH1216"/>
      <c r="CI1216"/>
      <c r="CJ1216"/>
      <c r="CK1216"/>
      <c r="CL1216"/>
      <c r="CM1216"/>
      <c r="CN1216"/>
      <c r="CO1216"/>
      <c r="CP1216"/>
      <c r="CQ1216"/>
      <c r="CR1216"/>
      <c r="CS1216"/>
      <c r="CT1216"/>
      <c r="CU1216"/>
      <c r="CV1216"/>
      <c r="CW1216"/>
      <c r="CX1216"/>
      <c r="CY1216"/>
      <c r="CZ1216"/>
      <c r="DA1216"/>
      <c r="DB1216"/>
      <c r="DC1216"/>
      <c r="DD1216"/>
      <c r="DE1216"/>
      <c r="DF1216"/>
      <c r="DG1216"/>
      <c r="DH1216"/>
      <c r="DI1216"/>
      <c r="DJ1216"/>
      <c r="DK1216"/>
      <c r="DL1216"/>
      <c r="DM1216"/>
      <c r="DN1216"/>
      <c r="DO1216"/>
      <c r="DP1216"/>
      <c r="DQ1216"/>
      <c r="DR1216"/>
      <c r="DS1216"/>
      <c r="DT1216"/>
      <c r="DU1216"/>
      <c r="DV1216"/>
      <c r="DW1216"/>
      <c r="DX1216"/>
      <c r="DY1216"/>
      <c r="DZ1216"/>
      <c r="EA1216"/>
      <c r="EB1216"/>
      <c r="EC1216"/>
      <c r="ED1216"/>
      <c r="EE1216"/>
      <c r="EF1216"/>
      <c r="EG1216"/>
      <c r="EH1216"/>
      <c r="EI1216"/>
      <c r="EJ1216"/>
      <c r="EK1216"/>
      <c r="EL1216"/>
      <c r="EM1216"/>
      <c r="EN1216"/>
      <c r="EO1216"/>
      <c r="EP1216"/>
      <c r="EQ1216"/>
      <c r="ER1216"/>
      <c r="ES1216"/>
    </row>
    <row r="1217" spans="1:149">
      <c r="A1217"/>
      <c r="B1217"/>
      <c r="C1217"/>
      <c r="D1217"/>
      <c r="E1217"/>
      <c r="F1217"/>
      <c r="G1217"/>
      <c r="H1217"/>
      <c r="I1217"/>
      <c r="J1217"/>
      <c r="K1217"/>
      <c r="L1217"/>
      <c r="M1217"/>
      <c r="N1217"/>
      <c r="O1217"/>
      <c r="P1217"/>
      <c r="Q1217"/>
      <c r="R1217"/>
      <c r="S1217"/>
      <c r="T1217"/>
      <c r="U1217"/>
      <c r="V1217"/>
      <c r="W1217"/>
      <c r="X1217"/>
      <c r="Y1217"/>
      <c r="Z1217"/>
      <c r="AA1217"/>
      <c r="AB1217"/>
      <c r="AC1217"/>
      <c r="AD1217"/>
      <c r="AE1217"/>
      <c r="AF1217"/>
      <c r="AG1217"/>
      <c r="AH1217"/>
      <c r="AI1217"/>
      <c r="AJ1217"/>
      <c r="AK1217"/>
      <c r="AL1217"/>
      <c r="AM1217"/>
      <c r="AN1217"/>
      <c r="AO1217"/>
      <c r="AP1217"/>
      <c r="AQ1217"/>
      <c r="AR1217"/>
      <c r="AS1217"/>
      <c r="AT1217"/>
      <c r="AU1217"/>
      <c r="AV1217"/>
      <c r="AW1217"/>
      <c r="AX1217"/>
      <c r="AY1217"/>
      <c r="AZ1217"/>
      <c r="BA1217"/>
      <c r="BB1217"/>
      <c r="BC1217"/>
      <c r="BD1217"/>
      <c r="BE1217"/>
      <c r="BF1217"/>
      <c r="BG1217"/>
      <c r="BH1217"/>
      <c r="BI1217"/>
      <c r="BJ1217"/>
      <c r="BK1217"/>
      <c r="BL1217"/>
      <c r="BM1217"/>
      <c r="BN1217"/>
      <c r="BO1217"/>
      <c r="BP1217"/>
      <c r="BQ1217"/>
      <c r="BR1217"/>
      <c r="BS1217"/>
      <c r="BT1217"/>
      <c r="BU1217"/>
      <c r="BV1217"/>
      <c r="BW1217"/>
      <c r="BX1217"/>
      <c r="BY1217"/>
      <c r="BZ1217"/>
      <c r="CA1217"/>
      <c r="CB1217"/>
      <c r="CC1217"/>
      <c r="CD1217"/>
      <c r="CE1217"/>
      <c r="CF1217"/>
      <c r="CG1217"/>
      <c r="CH1217"/>
      <c r="CI1217"/>
      <c r="CJ1217"/>
      <c r="CK1217"/>
      <c r="CL1217"/>
      <c r="CM1217"/>
      <c r="CN1217"/>
      <c r="CO1217"/>
      <c r="CP1217"/>
      <c r="CQ1217"/>
      <c r="CR1217"/>
      <c r="CS1217"/>
      <c r="CT1217"/>
      <c r="CU1217"/>
      <c r="CV1217"/>
      <c r="CW1217"/>
      <c r="CX1217"/>
      <c r="CY1217"/>
      <c r="CZ1217"/>
      <c r="DA1217"/>
      <c r="DB1217"/>
      <c r="DC1217"/>
      <c r="DD1217"/>
      <c r="DE1217"/>
      <c r="DF1217"/>
      <c r="DG1217"/>
      <c r="DH1217"/>
      <c r="DI1217"/>
      <c r="DJ1217"/>
      <c r="DK1217"/>
      <c r="DL1217"/>
      <c r="DM1217"/>
      <c r="DN1217"/>
      <c r="DO1217"/>
      <c r="DP1217"/>
      <c r="DQ1217"/>
      <c r="DR1217"/>
      <c r="DS1217"/>
      <c r="DT1217"/>
      <c r="DU1217"/>
      <c r="DV1217"/>
      <c r="DW1217"/>
      <c r="DX1217"/>
      <c r="DY1217"/>
      <c r="DZ1217"/>
      <c r="EA1217"/>
      <c r="EB1217"/>
      <c r="EC1217"/>
      <c r="ED1217"/>
      <c r="EE1217"/>
      <c r="EF1217"/>
      <c r="EG1217"/>
      <c r="EH1217"/>
      <c r="EI1217"/>
      <c r="EJ1217"/>
      <c r="EK1217"/>
      <c r="EL1217"/>
      <c r="EM1217"/>
      <c r="EN1217"/>
      <c r="EO1217"/>
      <c r="EP1217"/>
      <c r="EQ1217"/>
      <c r="ER1217"/>
      <c r="ES1217"/>
    </row>
    <row r="1218" spans="1:149">
      <c r="A1218"/>
      <c r="B1218"/>
      <c r="C1218"/>
      <c r="D1218"/>
      <c r="E1218"/>
      <c r="F1218"/>
      <c r="G1218"/>
      <c r="H1218"/>
      <c r="I1218"/>
      <c r="J1218"/>
      <c r="K1218"/>
      <c r="L1218"/>
      <c r="M1218"/>
      <c r="N1218"/>
      <c r="O1218"/>
      <c r="P1218"/>
      <c r="Q1218"/>
      <c r="R1218"/>
      <c r="S1218"/>
      <c r="T1218"/>
      <c r="U1218"/>
      <c r="V1218"/>
      <c r="W1218"/>
      <c r="X1218"/>
      <c r="Y1218"/>
      <c r="Z1218"/>
      <c r="AA1218"/>
      <c r="AB1218"/>
      <c r="AC1218"/>
      <c r="AD1218"/>
      <c r="AE1218"/>
      <c r="AF1218"/>
      <c r="AG1218"/>
      <c r="AH1218"/>
      <c r="AI1218"/>
      <c r="AJ1218"/>
      <c r="AK1218"/>
      <c r="AL1218"/>
      <c r="AM1218"/>
      <c r="AN1218"/>
      <c r="AO1218"/>
      <c r="AP1218"/>
      <c r="AQ1218"/>
      <c r="AR1218"/>
      <c r="AS1218"/>
      <c r="AT1218"/>
      <c r="AU1218"/>
      <c r="AV1218"/>
      <c r="AW1218"/>
      <c r="AX1218"/>
      <c r="AY1218"/>
      <c r="AZ1218"/>
      <c r="BA1218"/>
      <c r="BB1218"/>
      <c r="BC1218"/>
      <c r="BD1218"/>
      <c r="BE1218"/>
      <c r="BF1218"/>
      <c r="BG1218"/>
      <c r="BH1218"/>
      <c r="BI1218"/>
      <c r="BJ1218"/>
      <c r="BK1218"/>
      <c r="BL1218"/>
      <c r="BM1218"/>
      <c r="BN1218"/>
      <c r="BO1218"/>
      <c r="BP1218"/>
      <c r="BQ1218"/>
      <c r="BR1218"/>
      <c r="BS1218"/>
      <c r="BT1218"/>
      <c r="BU1218"/>
      <c r="BV1218"/>
      <c r="BW1218"/>
      <c r="BX1218"/>
      <c r="BY1218"/>
      <c r="BZ1218"/>
      <c r="CA1218"/>
      <c r="CB1218"/>
      <c r="CC1218"/>
      <c r="CD1218"/>
      <c r="CE1218"/>
      <c r="CF1218"/>
      <c r="CG1218"/>
      <c r="CH1218"/>
      <c r="CI1218"/>
      <c r="CJ1218"/>
      <c r="CK1218"/>
      <c r="CL1218"/>
      <c r="CM1218"/>
      <c r="CN1218"/>
      <c r="CO1218"/>
      <c r="CP1218"/>
      <c r="CQ1218"/>
      <c r="CR1218"/>
      <c r="CS1218"/>
      <c r="CT1218"/>
      <c r="CU1218"/>
      <c r="CV1218"/>
      <c r="CW1218"/>
      <c r="CX1218"/>
      <c r="CY1218"/>
      <c r="CZ1218"/>
      <c r="DA1218"/>
      <c r="DB1218"/>
      <c r="DC1218"/>
      <c r="DD1218"/>
      <c r="DE1218"/>
      <c r="DF1218"/>
      <c r="DG1218"/>
      <c r="DH1218"/>
      <c r="DI1218"/>
      <c r="DJ1218"/>
      <c r="DK1218"/>
      <c r="DL1218"/>
      <c r="DM1218"/>
      <c r="DN1218"/>
      <c r="DO1218"/>
      <c r="DP1218"/>
      <c r="DQ1218"/>
      <c r="DR1218"/>
      <c r="DS1218"/>
      <c r="DT1218"/>
      <c r="DU1218"/>
      <c r="DV1218"/>
      <c r="DW1218"/>
      <c r="DX1218"/>
      <c r="DY1218"/>
      <c r="DZ1218"/>
      <c r="EA1218"/>
      <c r="EB1218"/>
      <c r="EC1218"/>
      <c r="ED1218"/>
      <c r="EE1218"/>
      <c r="EF1218"/>
      <c r="EG1218"/>
      <c r="EH1218"/>
      <c r="EI1218"/>
      <c r="EJ1218"/>
      <c r="EK1218"/>
      <c r="EL1218"/>
      <c r="EM1218"/>
      <c r="EN1218"/>
      <c r="EO1218"/>
      <c r="EP1218"/>
      <c r="EQ1218"/>
      <c r="ER1218"/>
      <c r="ES1218"/>
    </row>
    <row r="1219" spans="1:149">
      <c r="A1219"/>
      <c r="B1219"/>
      <c r="C1219"/>
      <c r="D1219"/>
      <c r="E1219"/>
      <c r="F1219"/>
      <c r="G1219"/>
      <c r="H1219"/>
      <c r="I1219"/>
      <c r="J1219"/>
      <c r="K1219"/>
      <c r="L1219"/>
      <c r="M1219"/>
      <c r="N1219"/>
      <c r="O1219"/>
      <c r="P1219"/>
      <c r="Q1219"/>
      <c r="R1219"/>
      <c r="S1219"/>
      <c r="T1219"/>
      <c r="U1219"/>
      <c r="V1219"/>
      <c r="W1219"/>
      <c r="X1219"/>
      <c r="Y1219"/>
      <c r="Z1219"/>
      <c r="AA1219"/>
      <c r="AB1219"/>
      <c r="AC1219"/>
      <c r="AD1219"/>
      <c r="AE1219"/>
      <c r="AF1219"/>
      <c r="AG1219"/>
      <c r="AH1219"/>
      <c r="AI1219"/>
      <c r="AJ1219"/>
      <c r="AK1219"/>
      <c r="AL1219"/>
      <c r="AM1219"/>
      <c r="AN1219"/>
      <c r="AO1219"/>
      <c r="AP1219"/>
      <c r="AQ1219"/>
      <c r="AR1219"/>
      <c r="AS1219"/>
      <c r="AT1219"/>
      <c r="AU1219"/>
      <c r="AV1219"/>
      <c r="AW1219"/>
      <c r="AX1219"/>
      <c r="AY1219"/>
      <c r="AZ1219"/>
      <c r="BA1219"/>
      <c r="BB1219"/>
      <c r="BC1219"/>
      <c r="BD1219"/>
      <c r="BE1219"/>
      <c r="BF1219"/>
      <c r="BG1219"/>
      <c r="BH1219"/>
      <c r="BI1219"/>
      <c r="BJ1219"/>
      <c r="BK1219"/>
      <c r="BL1219"/>
      <c r="BM1219"/>
      <c r="BN1219"/>
      <c r="BO1219"/>
      <c r="BP1219"/>
      <c r="BQ1219"/>
      <c r="BR1219"/>
      <c r="BS1219"/>
      <c r="BT1219"/>
      <c r="BU1219"/>
      <c r="BV1219"/>
      <c r="BW1219"/>
      <c r="BX1219"/>
      <c r="BY1219"/>
      <c r="BZ1219"/>
      <c r="CA1219"/>
      <c r="CB1219"/>
      <c r="CC1219"/>
      <c r="CD1219"/>
      <c r="CE1219"/>
      <c r="CF1219"/>
      <c r="CG1219"/>
      <c r="CH1219"/>
      <c r="CI1219"/>
      <c r="CJ1219"/>
      <c r="CK1219"/>
      <c r="CL1219"/>
      <c r="CM1219"/>
      <c r="CN1219"/>
      <c r="CO1219"/>
      <c r="CP1219"/>
      <c r="CQ1219"/>
      <c r="CR1219"/>
      <c r="CS1219"/>
      <c r="CT1219"/>
      <c r="CU1219"/>
      <c r="CV1219"/>
      <c r="CW1219"/>
      <c r="CX1219"/>
      <c r="CY1219"/>
      <c r="CZ1219"/>
      <c r="DA1219"/>
      <c r="DB1219"/>
      <c r="DC1219"/>
      <c r="DD1219"/>
      <c r="DE1219"/>
      <c r="DF1219"/>
      <c r="DG1219"/>
      <c r="DH1219"/>
      <c r="DI1219"/>
      <c r="DJ1219"/>
      <c r="DK1219"/>
      <c r="DL1219"/>
      <c r="DM1219"/>
      <c r="DN1219"/>
      <c r="DO1219"/>
      <c r="DP1219"/>
      <c r="DQ1219"/>
      <c r="DR1219"/>
      <c r="DS1219"/>
      <c r="DT1219"/>
      <c r="DU1219"/>
      <c r="DV1219"/>
      <c r="DW1219"/>
      <c r="DX1219"/>
      <c r="DY1219"/>
      <c r="DZ1219"/>
      <c r="EA1219"/>
      <c r="EB1219"/>
      <c r="EC1219"/>
      <c r="ED1219"/>
      <c r="EE1219"/>
      <c r="EF1219"/>
      <c r="EG1219"/>
      <c r="EH1219"/>
      <c r="EI1219"/>
      <c r="EJ1219"/>
      <c r="EK1219"/>
      <c r="EL1219"/>
      <c r="EM1219"/>
      <c r="EN1219"/>
      <c r="EO1219"/>
      <c r="EP1219"/>
      <c r="EQ1219"/>
      <c r="ER1219"/>
      <c r="ES1219"/>
    </row>
    <row r="1220" spans="1:149">
      <c r="A1220"/>
      <c r="B1220"/>
      <c r="C1220"/>
      <c r="D1220"/>
      <c r="E1220"/>
      <c r="F1220"/>
      <c r="G1220"/>
      <c r="H1220"/>
      <c r="I1220"/>
      <c r="J1220"/>
      <c r="K1220"/>
      <c r="L1220"/>
      <c r="M1220"/>
      <c r="N1220"/>
      <c r="O1220"/>
      <c r="P1220"/>
      <c r="Q1220"/>
      <c r="R1220"/>
      <c r="S1220"/>
      <c r="T1220"/>
      <c r="U1220"/>
      <c r="V1220"/>
      <c r="W1220"/>
      <c r="X1220"/>
      <c r="Y1220"/>
      <c r="Z1220"/>
      <c r="AA1220"/>
      <c r="AB1220"/>
      <c r="AC1220"/>
      <c r="AD1220"/>
      <c r="AE1220"/>
      <c r="AF1220"/>
      <c r="AG1220"/>
      <c r="AH1220"/>
      <c r="AI1220"/>
      <c r="AJ1220"/>
      <c r="AK1220"/>
      <c r="AL1220"/>
      <c r="AM1220"/>
      <c r="AN1220"/>
      <c r="AO1220"/>
      <c r="AP1220"/>
      <c r="AQ1220"/>
      <c r="AR1220"/>
      <c r="AS1220"/>
      <c r="AT1220"/>
      <c r="AU1220"/>
      <c r="AV1220"/>
      <c r="AW1220"/>
      <c r="AX1220"/>
      <c r="AY1220"/>
      <c r="AZ1220"/>
      <c r="BA1220"/>
      <c r="BB1220"/>
      <c r="BC1220"/>
      <c r="BD1220"/>
      <c r="BE1220"/>
      <c r="BF1220"/>
      <c r="BG1220"/>
      <c r="BH1220"/>
      <c r="BI1220"/>
      <c r="BJ1220"/>
      <c r="BK1220"/>
      <c r="BL1220"/>
      <c r="BM1220"/>
      <c r="BN1220"/>
      <c r="BO1220"/>
      <c r="BP1220"/>
      <c r="BQ1220"/>
      <c r="BR1220"/>
      <c r="BS1220"/>
      <c r="BT1220"/>
      <c r="BU1220"/>
      <c r="BV1220"/>
      <c r="BW1220"/>
      <c r="BX1220"/>
      <c r="BY1220"/>
      <c r="BZ1220"/>
      <c r="CA1220"/>
      <c r="CB1220"/>
      <c r="CC1220"/>
      <c r="CD1220"/>
      <c r="CE1220"/>
      <c r="CF1220"/>
      <c r="CG1220"/>
      <c r="CH1220"/>
      <c r="CI1220"/>
      <c r="CJ1220"/>
      <c r="CK1220"/>
      <c r="CL1220"/>
      <c r="CM1220"/>
      <c r="CN1220"/>
      <c r="CO1220"/>
      <c r="CP1220"/>
      <c r="CQ1220"/>
      <c r="CR1220"/>
      <c r="CS1220"/>
      <c r="CT1220"/>
      <c r="CU1220"/>
      <c r="CV1220"/>
      <c r="CW1220"/>
      <c r="CX1220"/>
      <c r="CY1220"/>
      <c r="CZ1220"/>
      <c r="DA1220"/>
      <c r="DB1220"/>
      <c r="DC1220"/>
      <c r="DD1220"/>
      <c r="DE1220"/>
      <c r="DF1220"/>
      <c r="DG1220"/>
      <c r="DH1220"/>
      <c r="DI1220"/>
      <c r="DJ1220"/>
      <c r="DK1220"/>
      <c r="DL1220"/>
      <c r="DM1220"/>
      <c r="DN1220"/>
      <c r="DO1220"/>
      <c r="DP1220"/>
      <c r="DQ1220"/>
      <c r="DR1220"/>
      <c r="DS1220"/>
      <c r="DT1220"/>
      <c r="DU1220"/>
      <c r="DV1220"/>
      <c r="DW1220"/>
      <c r="DX1220"/>
      <c r="DY1220"/>
      <c r="DZ1220"/>
      <c r="EA1220"/>
      <c r="EB1220"/>
      <c r="EC1220"/>
      <c r="ED1220"/>
      <c r="EE1220"/>
      <c r="EF1220"/>
      <c r="EG1220"/>
      <c r="EH1220"/>
      <c r="EI1220"/>
      <c r="EJ1220"/>
      <c r="EK1220"/>
      <c r="EL1220"/>
      <c r="EM1220"/>
      <c r="EN1220"/>
      <c r="EO1220"/>
      <c r="EP1220"/>
      <c r="EQ1220"/>
      <c r="ER1220"/>
      <c r="ES1220"/>
    </row>
    <row r="1221" spans="1:149">
      <c r="A1221"/>
      <c r="B1221"/>
      <c r="C1221"/>
      <c r="D1221"/>
      <c r="E1221"/>
      <c r="F1221"/>
      <c r="G1221"/>
      <c r="H1221"/>
      <c r="I1221"/>
      <c r="J1221"/>
      <c r="K1221"/>
      <c r="L1221"/>
      <c r="M1221"/>
      <c r="N1221"/>
      <c r="O1221"/>
      <c r="P1221"/>
      <c r="Q1221"/>
      <c r="R1221"/>
      <c r="S1221"/>
      <c r="T1221"/>
      <c r="U1221"/>
      <c r="V1221"/>
      <c r="W1221"/>
      <c r="X1221"/>
      <c r="Y1221"/>
      <c r="Z1221"/>
      <c r="AA1221"/>
      <c r="AB1221"/>
      <c r="AC1221"/>
      <c r="AD1221"/>
      <c r="AE1221"/>
      <c r="AF1221"/>
      <c r="AG1221"/>
      <c r="AH1221"/>
      <c r="AI1221"/>
      <c r="AJ1221"/>
      <c r="AK1221"/>
      <c r="AL1221"/>
      <c r="AM1221"/>
      <c r="AN1221"/>
      <c r="AO1221"/>
      <c r="AP1221"/>
      <c r="AQ1221"/>
      <c r="AR1221"/>
      <c r="AS1221"/>
      <c r="AT1221"/>
      <c r="AU1221"/>
      <c r="AV1221"/>
      <c r="AW1221"/>
      <c r="AX1221"/>
      <c r="AY1221"/>
      <c r="AZ1221"/>
      <c r="BA1221"/>
      <c r="BB1221"/>
      <c r="BC1221"/>
      <c r="BD1221"/>
      <c r="BE1221"/>
      <c r="BF1221"/>
      <c r="BG1221"/>
      <c r="BH1221"/>
      <c r="BI1221"/>
      <c r="BJ1221"/>
      <c r="BK1221"/>
      <c r="BL1221"/>
      <c r="BM1221"/>
      <c r="BN1221"/>
      <c r="BO1221"/>
      <c r="BP1221"/>
      <c r="BQ1221"/>
      <c r="BR1221"/>
      <c r="BS1221"/>
      <c r="BT1221"/>
      <c r="BU1221"/>
      <c r="BV1221"/>
      <c r="BW1221"/>
      <c r="BX1221"/>
      <c r="BY1221"/>
      <c r="BZ1221"/>
      <c r="CA1221"/>
      <c r="CB1221"/>
      <c r="CC1221"/>
      <c r="CD1221"/>
      <c r="CE1221"/>
      <c r="CF1221"/>
      <c r="CG1221"/>
      <c r="CH1221"/>
      <c r="CI1221"/>
      <c r="CJ1221"/>
      <c r="CK1221"/>
      <c r="CL1221"/>
      <c r="CM1221"/>
      <c r="CN1221"/>
      <c r="CO1221"/>
      <c r="CP1221"/>
      <c r="CQ1221"/>
      <c r="CR1221"/>
      <c r="CS1221"/>
      <c r="CT1221"/>
      <c r="CU1221"/>
      <c r="CV1221"/>
      <c r="CW1221"/>
      <c r="CX1221"/>
      <c r="CY1221"/>
      <c r="CZ1221"/>
      <c r="DA1221"/>
      <c r="DB1221"/>
      <c r="DC1221"/>
      <c r="DD1221"/>
      <c r="DE1221"/>
      <c r="DF1221"/>
      <c r="DG1221"/>
      <c r="DH1221"/>
      <c r="DI1221"/>
      <c r="DJ1221"/>
      <c r="DK1221"/>
      <c r="DL1221"/>
      <c r="DM1221"/>
      <c r="DN1221"/>
      <c r="DO1221"/>
      <c r="DP1221"/>
      <c r="DQ1221"/>
      <c r="DR1221"/>
      <c r="DS1221"/>
      <c r="DT1221"/>
      <c r="DU1221"/>
      <c r="DV1221"/>
      <c r="DW1221"/>
      <c r="DX1221"/>
      <c r="DY1221"/>
      <c r="DZ1221"/>
      <c r="EA1221"/>
      <c r="EB1221"/>
      <c r="EC1221"/>
      <c r="ED1221"/>
      <c r="EE1221"/>
      <c r="EF1221"/>
      <c r="EG1221"/>
      <c r="EH1221"/>
      <c r="EI1221"/>
      <c r="EJ1221"/>
      <c r="EK1221"/>
      <c r="EL1221"/>
      <c r="EM1221"/>
      <c r="EN1221"/>
      <c r="EO1221"/>
      <c r="EP1221"/>
      <c r="EQ1221"/>
      <c r="ER1221"/>
      <c r="ES1221"/>
    </row>
    <row r="1222" spans="1:149">
      <c r="A1222"/>
      <c r="B1222"/>
      <c r="C1222"/>
      <c r="D1222"/>
      <c r="E1222"/>
      <c r="F1222"/>
      <c r="G1222"/>
      <c r="H1222"/>
      <c r="I1222"/>
      <c r="J1222"/>
      <c r="K1222"/>
      <c r="L1222"/>
      <c r="M1222"/>
      <c r="N1222"/>
      <c r="O1222"/>
      <c r="P1222"/>
      <c r="Q1222"/>
      <c r="R1222"/>
      <c r="S1222"/>
      <c r="T1222"/>
      <c r="U1222"/>
      <c r="V1222"/>
      <c r="W1222"/>
      <c r="X1222"/>
      <c r="Y1222"/>
      <c r="Z1222"/>
      <c r="AA1222"/>
      <c r="AB1222"/>
      <c r="AC1222"/>
      <c r="AD1222"/>
      <c r="AE1222"/>
      <c r="AF1222"/>
      <c r="AG1222"/>
      <c r="AH1222"/>
      <c r="AI1222"/>
      <c r="AJ1222"/>
      <c r="AK1222"/>
      <c r="AL1222"/>
      <c r="AM1222"/>
      <c r="AN1222"/>
      <c r="AO1222"/>
      <c r="AP1222"/>
      <c r="AQ1222"/>
      <c r="AR1222"/>
      <c r="AS1222"/>
      <c r="AT1222"/>
      <c r="AU1222"/>
      <c r="AV1222"/>
      <c r="AW1222"/>
      <c r="AX1222"/>
      <c r="AY1222"/>
      <c r="AZ1222"/>
      <c r="BA1222"/>
      <c r="BB1222"/>
      <c r="BC1222"/>
      <c r="BD1222"/>
      <c r="BE1222"/>
      <c r="BF1222"/>
      <c r="BG1222"/>
      <c r="BH1222"/>
      <c r="BI1222"/>
      <c r="BJ1222"/>
      <c r="BK1222"/>
      <c r="BL1222"/>
      <c r="BM1222"/>
      <c r="BN1222"/>
      <c r="BO1222"/>
      <c r="BP1222"/>
      <c r="BQ1222"/>
      <c r="BR1222"/>
      <c r="BS1222"/>
      <c r="BT1222"/>
      <c r="BU1222"/>
      <c r="BV1222"/>
      <c r="BW1222"/>
      <c r="BX1222"/>
      <c r="BY1222"/>
      <c r="BZ1222"/>
      <c r="CA1222"/>
      <c r="CB1222"/>
      <c r="CC1222"/>
      <c r="CD1222"/>
      <c r="CE1222"/>
      <c r="CF1222"/>
      <c r="CG1222"/>
      <c r="CH1222"/>
      <c r="CI1222"/>
      <c r="CJ1222"/>
      <c r="CK1222"/>
      <c r="CL1222"/>
      <c r="CM1222"/>
      <c r="CN1222"/>
      <c r="CO1222"/>
      <c r="CP1222"/>
      <c r="CQ1222"/>
      <c r="CR1222"/>
      <c r="CS1222"/>
      <c r="CT1222"/>
      <c r="CU1222"/>
      <c r="CV1222"/>
      <c r="CW1222"/>
      <c r="CX1222"/>
      <c r="CY1222"/>
      <c r="CZ1222"/>
      <c r="DA1222"/>
      <c r="DB1222"/>
      <c r="DC1222"/>
      <c r="DD1222"/>
      <c r="DE1222"/>
      <c r="DF1222"/>
      <c r="DG1222"/>
      <c r="DH1222"/>
      <c r="DI1222"/>
      <c r="DJ1222"/>
      <c r="DK1222"/>
      <c r="DL1222"/>
      <c r="DM1222"/>
      <c r="DN1222"/>
      <c r="DO1222"/>
      <c r="DP1222"/>
      <c r="DQ1222"/>
      <c r="DR1222"/>
      <c r="DS1222"/>
      <c r="DT1222"/>
      <c r="DU1222"/>
      <c r="DV1222"/>
      <c r="DW1222"/>
      <c r="DX1222"/>
      <c r="DY1222"/>
      <c r="DZ1222"/>
      <c r="EA1222"/>
      <c r="EB1222"/>
      <c r="EC1222"/>
      <c r="ED1222"/>
      <c r="EE1222"/>
      <c r="EF1222"/>
      <c r="EG1222"/>
      <c r="EH1222"/>
      <c r="EI1222"/>
      <c r="EJ1222"/>
      <c r="EK1222"/>
      <c r="EL1222"/>
      <c r="EM1222"/>
      <c r="EN1222"/>
      <c r="EO1222"/>
      <c r="EP1222"/>
      <c r="EQ1222"/>
      <c r="ER1222"/>
      <c r="ES1222"/>
    </row>
    <row r="1223" spans="1:149">
      <c r="A1223"/>
      <c r="B1223"/>
      <c r="C1223"/>
      <c r="D1223"/>
      <c r="E1223"/>
      <c r="F1223"/>
      <c r="G1223"/>
      <c r="H1223"/>
      <c r="I1223"/>
      <c r="J1223"/>
      <c r="K1223"/>
      <c r="L1223"/>
      <c r="M1223"/>
      <c r="N1223"/>
      <c r="O1223"/>
      <c r="P1223"/>
      <c r="Q1223"/>
      <c r="R1223"/>
      <c r="S1223"/>
      <c r="T1223"/>
      <c r="U1223"/>
      <c r="V1223"/>
      <c r="W1223"/>
      <c r="X1223"/>
      <c r="Y1223"/>
      <c r="Z1223"/>
      <c r="AA1223"/>
      <c r="AB1223"/>
      <c r="AC1223"/>
      <c r="AD1223"/>
      <c r="AE1223"/>
      <c r="AF1223"/>
      <c r="AG1223"/>
      <c r="AH1223"/>
      <c r="AI1223"/>
      <c r="AJ1223"/>
      <c r="AK1223"/>
      <c r="AL1223"/>
      <c r="AM1223"/>
      <c r="AN1223"/>
      <c r="AO1223"/>
      <c r="AP1223"/>
      <c r="AQ1223"/>
      <c r="AR1223"/>
      <c r="AS1223"/>
      <c r="AT1223"/>
      <c r="AU1223"/>
      <c r="AV1223"/>
      <c r="AW1223"/>
      <c r="AX1223"/>
      <c r="AY1223"/>
      <c r="AZ1223"/>
      <c r="BA1223"/>
      <c r="BB1223"/>
      <c r="BC1223"/>
      <c r="BD1223"/>
      <c r="BE1223"/>
      <c r="BF1223"/>
      <c r="BG1223"/>
      <c r="BH1223"/>
      <c r="BI1223"/>
      <c r="BJ1223"/>
      <c r="BK1223"/>
      <c r="BL1223"/>
      <c r="BM1223"/>
      <c r="BN1223"/>
      <c r="BO1223"/>
      <c r="BP1223"/>
      <c r="BQ1223"/>
      <c r="BR1223"/>
      <c r="BS1223"/>
      <c r="BT1223"/>
      <c r="BU1223"/>
      <c r="BV1223"/>
      <c r="BW1223"/>
      <c r="BX1223"/>
      <c r="BY1223"/>
      <c r="BZ1223"/>
      <c r="CA1223"/>
      <c r="CB1223"/>
      <c r="CC1223"/>
      <c r="CD1223"/>
      <c r="CE1223"/>
      <c r="CF1223"/>
      <c r="CG1223"/>
      <c r="CH1223"/>
      <c r="CI1223"/>
      <c r="CJ1223"/>
      <c r="CK1223"/>
      <c r="CL1223"/>
      <c r="CM1223"/>
      <c r="CN1223"/>
      <c r="CO1223"/>
      <c r="CP1223"/>
      <c r="CQ1223"/>
      <c r="CR1223"/>
      <c r="CS1223"/>
      <c r="CT1223"/>
      <c r="CU1223"/>
      <c r="CV1223"/>
      <c r="CW1223"/>
      <c r="CX1223"/>
      <c r="CY1223"/>
      <c r="CZ1223"/>
      <c r="DA1223"/>
      <c r="DB1223"/>
      <c r="DC1223"/>
      <c r="DD1223"/>
      <c r="DE1223"/>
      <c r="DF1223"/>
      <c r="DG1223"/>
      <c r="DH1223"/>
      <c r="DI1223"/>
      <c r="DJ1223"/>
      <c r="DK1223"/>
      <c r="DL1223"/>
      <c r="DM1223"/>
      <c r="DN1223"/>
      <c r="DO1223"/>
      <c r="DP1223"/>
      <c r="DQ1223"/>
      <c r="DR1223"/>
      <c r="DS1223"/>
      <c r="DT1223"/>
      <c r="DU1223"/>
      <c r="DV1223"/>
      <c r="DW1223"/>
      <c r="DX1223"/>
      <c r="DY1223"/>
      <c r="DZ1223"/>
      <c r="EA1223"/>
      <c r="EB1223"/>
      <c r="EC1223"/>
      <c r="ED1223"/>
      <c r="EE1223"/>
      <c r="EF1223"/>
      <c r="EG1223"/>
      <c r="EH1223"/>
      <c r="EI1223"/>
      <c r="EJ1223"/>
      <c r="EK1223"/>
      <c r="EL1223"/>
      <c r="EM1223"/>
      <c r="EN1223"/>
      <c r="EO1223"/>
      <c r="EP1223"/>
      <c r="EQ1223"/>
      <c r="ER1223"/>
      <c r="ES1223"/>
    </row>
    <row r="1224" spans="1:149">
      <c r="A1224"/>
      <c r="B1224"/>
      <c r="C1224"/>
      <c r="D1224"/>
      <c r="E1224"/>
      <c r="F1224"/>
      <c r="G1224"/>
      <c r="H1224"/>
      <c r="I1224"/>
      <c r="J1224"/>
      <c r="K1224"/>
      <c r="L1224"/>
      <c r="M1224"/>
      <c r="N1224"/>
      <c r="O1224"/>
      <c r="P1224"/>
      <c r="Q1224"/>
      <c r="R1224"/>
      <c r="S1224"/>
      <c r="T1224"/>
      <c r="U1224"/>
      <c r="V1224"/>
      <c r="W1224"/>
      <c r="X1224"/>
      <c r="Y1224"/>
      <c r="Z1224"/>
      <c r="AA1224"/>
      <c r="AB1224"/>
      <c r="AC1224"/>
      <c r="AD1224"/>
      <c r="AE1224"/>
      <c r="AF1224"/>
      <c r="AG1224"/>
      <c r="AH1224"/>
      <c r="AI1224"/>
      <c r="AJ1224"/>
      <c r="AK1224"/>
      <c r="AL1224"/>
      <c r="AM1224"/>
      <c r="AN1224"/>
      <c r="AO1224"/>
      <c r="AP1224"/>
      <c r="AQ1224"/>
      <c r="AR1224"/>
      <c r="AS1224"/>
      <c r="AT1224"/>
      <c r="AU1224"/>
      <c r="AV1224"/>
      <c r="AW1224"/>
      <c r="AX1224"/>
      <c r="AY1224"/>
      <c r="AZ1224"/>
      <c r="BA1224"/>
      <c r="BB1224"/>
      <c r="BC1224"/>
      <c r="BD1224"/>
      <c r="BE1224"/>
      <c r="BF1224"/>
      <c r="BG1224"/>
      <c r="BH1224"/>
      <c r="BI1224"/>
      <c r="BJ1224"/>
      <c r="BK1224"/>
      <c r="BL1224"/>
      <c r="BM1224"/>
      <c r="BN1224"/>
      <c r="BO1224"/>
      <c r="BP1224"/>
      <c r="BQ1224"/>
      <c r="BR1224"/>
      <c r="BS1224"/>
      <c r="BT1224"/>
      <c r="BU1224"/>
      <c r="BV1224"/>
      <c r="BW1224"/>
      <c r="BX1224"/>
      <c r="BY1224"/>
      <c r="BZ1224"/>
      <c r="CA1224"/>
      <c r="CB1224"/>
      <c r="CC1224"/>
      <c r="CD1224"/>
      <c r="CE1224"/>
      <c r="CF1224"/>
      <c r="CG1224"/>
      <c r="CH1224"/>
      <c r="CI1224"/>
      <c r="CJ1224"/>
      <c r="CK1224"/>
      <c r="CL1224"/>
      <c r="CM1224"/>
      <c r="CN1224"/>
      <c r="CO1224"/>
      <c r="CP1224"/>
      <c r="CQ1224"/>
      <c r="CR1224"/>
      <c r="CS1224"/>
      <c r="CT1224"/>
      <c r="CU1224"/>
      <c r="CV1224"/>
      <c r="CW1224"/>
      <c r="CX1224"/>
      <c r="CY1224"/>
      <c r="CZ1224"/>
      <c r="DA1224"/>
      <c r="DB1224"/>
      <c r="DC1224"/>
      <c r="DD1224"/>
      <c r="DE1224"/>
      <c r="DF1224"/>
      <c r="DG1224"/>
      <c r="DH1224"/>
      <c r="DI1224"/>
      <c r="DJ1224"/>
      <c r="DK1224"/>
      <c r="DL1224"/>
      <c r="DM1224"/>
      <c r="DN1224"/>
      <c r="DO1224"/>
      <c r="DP1224"/>
      <c r="DQ1224"/>
      <c r="DR1224"/>
      <c r="DS1224"/>
      <c r="DT1224"/>
      <c r="DU1224"/>
      <c r="DV1224"/>
      <c r="DW1224"/>
      <c r="DX1224"/>
      <c r="DY1224"/>
      <c r="DZ1224"/>
      <c r="EA1224"/>
      <c r="EB1224"/>
      <c r="EC1224"/>
      <c r="ED1224"/>
      <c r="EE1224"/>
      <c r="EF1224"/>
      <c r="EG1224"/>
      <c r="EH1224"/>
      <c r="EI1224"/>
      <c r="EJ1224"/>
      <c r="EK1224"/>
      <c r="EL1224"/>
      <c r="EM1224"/>
      <c r="EN1224"/>
      <c r="EO1224"/>
      <c r="EP1224"/>
      <c r="EQ1224"/>
      <c r="ER1224"/>
      <c r="ES1224"/>
    </row>
    <row r="1225" spans="1:149">
      <c r="A1225"/>
      <c r="B1225"/>
      <c r="C1225"/>
      <c r="D1225"/>
      <c r="E1225"/>
      <c r="F1225"/>
      <c r="G1225"/>
      <c r="H1225"/>
      <c r="I1225"/>
      <c r="J1225"/>
      <c r="K1225"/>
      <c r="L1225"/>
      <c r="M1225"/>
      <c r="N1225"/>
      <c r="O1225"/>
      <c r="P1225"/>
      <c r="Q1225"/>
      <c r="R1225"/>
      <c r="S1225"/>
      <c r="T1225"/>
      <c r="U1225"/>
      <c r="V1225"/>
      <c r="W1225"/>
      <c r="X1225"/>
      <c r="Y1225"/>
      <c r="Z1225"/>
      <c r="AA1225"/>
      <c r="AB1225"/>
      <c r="AC1225"/>
      <c r="AD1225"/>
      <c r="AE1225"/>
      <c r="AF1225"/>
      <c r="AG1225"/>
      <c r="AH1225"/>
      <c r="AI1225"/>
      <c r="AJ1225"/>
      <c r="AK1225"/>
      <c r="AL1225"/>
      <c r="AM1225"/>
      <c r="AN1225"/>
      <c r="AO1225"/>
      <c r="AP1225"/>
      <c r="AQ1225"/>
      <c r="AR1225"/>
      <c r="AS1225"/>
      <c r="AT1225"/>
      <c r="AU1225"/>
      <c r="AV1225"/>
      <c r="AW1225"/>
      <c r="AX1225"/>
      <c r="AY1225"/>
      <c r="AZ1225"/>
      <c r="BA1225"/>
      <c r="BB1225"/>
      <c r="BC1225"/>
      <c r="BD1225"/>
      <c r="BE1225"/>
      <c r="BF1225"/>
      <c r="BG1225"/>
      <c r="BH1225"/>
      <c r="BI1225"/>
      <c r="BJ1225"/>
      <c r="BK1225"/>
      <c r="BL1225"/>
      <c r="BM1225"/>
      <c r="BN1225"/>
      <c r="BO1225"/>
      <c r="BP1225"/>
      <c r="BQ1225"/>
      <c r="BR1225"/>
      <c r="BS1225"/>
      <c r="BT1225"/>
      <c r="BU1225"/>
      <c r="BV1225"/>
      <c r="BW1225"/>
      <c r="BX1225"/>
      <c r="BY1225"/>
      <c r="BZ1225"/>
      <c r="CA1225"/>
      <c r="CB1225"/>
      <c r="CC1225"/>
      <c r="CD1225"/>
      <c r="CE1225"/>
      <c r="CF1225"/>
      <c r="CG1225"/>
      <c r="CH1225"/>
      <c r="CI1225"/>
      <c r="CJ1225"/>
      <c r="CK1225"/>
      <c r="CL1225"/>
      <c r="CM1225"/>
      <c r="CN1225"/>
      <c r="CO1225"/>
      <c r="CP1225"/>
      <c r="CQ1225"/>
      <c r="CR1225"/>
      <c r="CS1225"/>
      <c r="CT1225"/>
      <c r="CU1225"/>
      <c r="CV1225"/>
      <c r="CW1225"/>
      <c r="CX1225"/>
      <c r="CY1225"/>
      <c r="CZ1225"/>
      <c r="DA1225"/>
      <c r="DB1225"/>
      <c r="DC1225"/>
      <c r="DD1225"/>
      <c r="DE1225"/>
      <c r="DF1225"/>
      <c r="DG1225"/>
      <c r="DH1225"/>
      <c r="DI1225"/>
      <c r="DJ1225"/>
      <c r="DK1225"/>
      <c r="DL1225"/>
      <c r="DM1225"/>
      <c r="DN1225"/>
      <c r="DO1225"/>
      <c r="DP1225"/>
      <c r="DQ1225"/>
      <c r="DR1225"/>
      <c r="DS1225"/>
      <c r="DT1225"/>
      <c r="DU1225"/>
      <c r="DV1225"/>
      <c r="DW1225"/>
      <c r="DX1225"/>
      <c r="DY1225"/>
      <c r="DZ1225"/>
      <c r="EA1225"/>
      <c r="EB1225"/>
      <c r="EC1225"/>
      <c r="ED1225"/>
      <c r="EE1225"/>
      <c r="EF1225"/>
      <c r="EG1225"/>
      <c r="EH1225"/>
      <c r="EI1225"/>
      <c r="EJ1225"/>
      <c r="EK1225"/>
      <c r="EL1225"/>
      <c r="EM1225"/>
      <c r="EN1225"/>
      <c r="EO1225"/>
      <c r="EP1225"/>
      <c r="EQ1225"/>
      <c r="ER1225"/>
      <c r="ES1225"/>
    </row>
    <row r="1226" spans="1:149">
      <c r="A1226"/>
      <c r="B1226"/>
      <c r="C1226"/>
      <c r="D1226"/>
      <c r="E1226"/>
      <c r="F1226"/>
      <c r="G1226"/>
      <c r="H1226"/>
      <c r="I1226"/>
      <c r="J1226"/>
      <c r="K1226"/>
      <c r="L1226"/>
      <c r="M1226"/>
      <c r="N1226"/>
      <c r="O1226"/>
      <c r="P1226"/>
      <c r="Q1226"/>
      <c r="R1226"/>
      <c r="S1226"/>
      <c r="T1226"/>
      <c r="U1226"/>
      <c r="V1226"/>
      <c r="W1226"/>
      <c r="X1226"/>
      <c r="Y1226"/>
      <c r="Z1226"/>
      <c r="AA1226"/>
      <c r="AB1226"/>
      <c r="AC1226"/>
      <c r="AD1226"/>
      <c r="AE1226"/>
      <c r="AF1226"/>
      <c r="AG1226"/>
      <c r="AH1226"/>
      <c r="AI1226"/>
      <c r="AJ1226"/>
      <c r="AK1226"/>
      <c r="AL1226"/>
      <c r="AM1226"/>
      <c r="AN1226"/>
      <c r="AO1226"/>
      <c r="AP1226"/>
      <c r="AQ1226"/>
      <c r="AR1226"/>
      <c r="AS1226"/>
      <c r="AT1226"/>
      <c r="AU1226"/>
      <c r="AV1226"/>
      <c r="AW1226"/>
      <c r="AX1226"/>
      <c r="AY1226"/>
      <c r="AZ1226"/>
      <c r="BA1226"/>
      <c r="BB1226"/>
      <c r="BC1226"/>
      <c r="BD1226"/>
      <c r="BE1226"/>
      <c r="BF1226"/>
      <c r="BG1226"/>
      <c r="BH1226"/>
      <c r="BI1226"/>
      <c r="BJ1226"/>
      <c r="BK1226"/>
      <c r="BL1226"/>
      <c r="BM1226"/>
      <c r="BN1226"/>
      <c r="BO1226"/>
      <c r="BP1226"/>
      <c r="BQ1226"/>
      <c r="BR1226"/>
      <c r="BS1226"/>
      <c r="BT1226"/>
      <c r="BU1226"/>
      <c r="BV1226"/>
      <c r="BW1226"/>
      <c r="BX1226"/>
      <c r="BY1226"/>
      <c r="BZ1226"/>
      <c r="CA1226"/>
      <c r="CB1226"/>
      <c r="CC1226"/>
      <c r="CD1226"/>
      <c r="CE1226"/>
      <c r="CF1226"/>
      <c r="CG1226"/>
      <c r="CH1226"/>
      <c r="CI1226"/>
      <c r="CJ1226"/>
      <c r="CK1226"/>
      <c r="CL1226"/>
      <c r="CM1226"/>
      <c r="CN1226"/>
      <c r="CO1226"/>
      <c r="CP1226"/>
      <c r="CQ1226"/>
      <c r="CR1226"/>
      <c r="CS1226"/>
      <c r="CT1226"/>
      <c r="CU1226"/>
      <c r="CV1226"/>
      <c r="CW1226"/>
      <c r="CX1226"/>
      <c r="CY1226"/>
      <c r="CZ1226"/>
      <c r="DA1226"/>
      <c r="DB1226"/>
      <c r="DC1226"/>
      <c r="DD1226"/>
      <c r="DE1226"/>
      <c r="DF1226"/>
      <c r="DG1226"/>
      <c r="DH1226"/>
      <c r="DI1226"/>
      <c r="DJ1226"/>
      <c r="DK1226"/>
      <c r="DL1226"/>
      <c r="DM1226"/>
      <c r="DN1226"/>
      <c r="DO1226"/>
      <c r="DP1226"/>
      <c r="DQ1226"/>
      <c r="DR1226"/>
      <c r="DS1226"/>
      <c r="DT1226"/>
      <c r="DU1226"/>
      <c r="DV1226"/>
      <c r="DW1226"/>
      <c r="DX1226"/>
      <c r="DY1226"/>
      <c r="DZ1226"/>
      <c r="EA1226"/>
      <c r="EB1226"/>
      <c r="EC1226"/>
      <c r="ED1226"/>
      <c r="EE1226"/>
      <c r="EF1226"/>
      <c r="EG1226"/>
      <c r="EH1226"/>
      <c r="EI1226"/>
      <c r="EJ1226"/>
      <c r="EK1226"/>
      <c r="EL1226"/>
      <c r="EM1226"/>
      <c r="EN1226"/>
      <c r="EO1226"/>
      <c r="EP1226"/>
      <c r="EQ1226"/>
      <c r="ER1226"/>
      <c r="ES1226"/>
    </row>
    <row r="1227" spans="1:149">
      <c r="A1227"/>
      <c r="B1227"/>
      <c r="C1227"/>
      <c r="D1227"/>
      <c r="E1227"/>
      <c r="F1227"/>
      <c r="G1227"/>
      <c r="H1227"/>
      <c r="I1227"/>
      <c r="J1227"/>
      <c r="K1227"/>
      <c r="L1227"/>
      <c r="M1227"/>
      <c r="N1227"/>
      <c r="O1227"/>
      <c r="P1227"/>
      <c r="Q1227"/>
      <c r="R1227"/>
      <c r="S1227"/>
      <c r="T1227"/>
      <c r="U1227"/>
      <c r="V1227"/>
      <c r="W1227"/>
      <c r="X1227"/>
      <c r="Y1227"/>
      <c r="Z1227"/>
      <c r="AA1227"/>
      <c r="AB1227"/>
      <c r="AC1227"/>
      <c r="AD1227"/>
      <c r="AE1227"/>
      <c r="AF1227"/>
      <c r="AG1227"/>
      <c r="AH1227"/>
      <c r="AI1227"/>
      <c r="AJ1227"/>
      <c r="AK1227"/>
      <c r="AL1227"/>
      <c r="AM1227"/>
      <c r="AN1227"/>
      <c r="AO1227"/>
      <c r="AP1227"/>
      <c r="AQ1227"/>
      <c r="AR1227"/>
      <c r="AS1227"/>
      <c r="AT1227"/>
      <c r="AU1227"/>
      <c r="AV1227"/>
      <c r="AW1227"/>
      <c r="AX1227"/>
      <c r="AY1227"/>
      <c r="AZ1227"/>
      <c r="BA1227"/>
      <c r="BB1227"/>
      <c r="BC1227"/>
      <c r="BD1227"/>
      <c r="BE1227"/>
      <c r="BF1227"/>
      <c r="BG1227"/>
      <c r="BH1227"/>
      <c r="BI1227"/>
      <c r="BJ1227"/>
      <c r="BK1227"/>
      <c r="BL1227"/>
      <c r="BM1227"/>
      <c r="BN1227"/>
      <c r="BO1227"/>
      <c r="BP1227"/>
      <c r="BQ1227"/>
      <c r="BR1227"/>
      <c r="BS1227"/>
      <c r="BT1227"/>
      <c r="BU1227"/>
      <c r="BV1227"/>
      <c r="BW1227"/>
      <c r="BX1227"/>
      <c r="BY1227"/>
      <c r="BZ1227"/>
      <c r="CA1227"/>
      <c r="CB1227"/>
      <c r="CC1227"/>
      <c r="CD1227"/>
      <c r="CE1227"/>
      <c r="CF1227"/>
      <c r="CG1227"/>
      <c r="CH1227"/>
      <c r="CI1227"/>
      <c r="CJ1227"/>
      <c r="CK1227"/>
      <c r="CL1227"/>
      <c r="CM1227"/>
      <c r="CN1227"/>
      <c r="CO1227"/>
      <c r="CP1227"/>
      <c r="CQ1227"/>
      <c r="CR1227"/>
      <c r="CS1227"/>
      <c r="CT1227"/>
      <c r="CU1227"/>
      <c r="CV1227"/>
      <c r="CW1227"/>
      <c r="CX1227"/>
      <c r="CY1227"/>
      <c r="CZ1227"/>
      <c r="DA1227"/>
      <c r="DB1227"/>
      <c r="DC1227"/>
      <c r="DD1227"/>
      <c r="DE1227"/>
      <c r="DF1227"/>
      <c r="DG1227"/>
      <c r="DH1227"/>
      <c r="DI1227"/>
      <c r="DJ1227"/>
      <c r="DK1227"/>
      <c r="DL1227"/>
      <c r="DM1227"/>
      <c r="DN1227"/>
      <c r="DO1227"/>
      <c r="DP1227"/>
      <c r="DQ1227"/>
      <c r="DR1227"/>
      <c r="DS1227"/>
      <c r="DT1227"/>
      <c r="DU1227"/>
      <c r="DV1227"/>
      <c r="DW1227"/>
      <c r="DX1227"/>
      <c r="DY1227"/>
      <c r="DZ1227"/>
      <c r="EA1227"/>
      <c r="EB1227"/>
      <c r="EC1227"/>
      <c r="ED1227"/>
      <c r="EE1227"/>
      <c r="EF1227"/>
      <c r="EG1227"/>
      <c r="EH1227"/>
      <c r="EI1227"/>
      <c r="EJ1227"/>
      <c r="EK1227"/>
      <c r="EL1227"/>
      <c r="EM1227"/>
      <c r="EN1227"/>
      <c r="EO1227"/>
      <c r="EP1227"/>
      <c r="EQ1227"/>
      <c r="ER1227"/>
      <c r="ES1227"/>
    </row>
    <row r="1228" spans="1:149">
      <c r="A1228"/>
      <c r="B1228"/>
      <c r="C1228"/>
      <c r="D1228"/>
      <c r="E1228"/>
      <c r="F1228"/>
      <c r="G1228"/>
      <c r="H1228"/>
      <c r="I1228"/>
      <c r="J1228"/>
      <c r="K1228"/>
      <c r="L1228"/>
      <c r="M1228"/>
      <c r="N1228"/>
      <c r="O1228"/>
      <c r="P1228"/>
      <c r="Q1228"/>
      <c r="R1228"/>
      <c r="S1228"/>
      <c r="T1228"/>
      <c r="U1228"/>
      <c r="V1228"/>
      <c r="W1228"/>
      <c r="X1228"/>
      <c r="Y1228"/>
      <c r="Z1228"/>
      <c r="AA1228"/>
      <c r="AB1228"/>
      <c r="AC1228"/>
      <c r="AD1228"/>
      <c r="AE1228"/>
      <c r="AF1228"/>
      <c r="AG1228"/>
      <c r="AH1228"/>
      <c r="AI1228"/>
      <c r="AJ1228"/>
      <c r="AK1228"/>
      <c r="AL1228"/>
      <c r="AM1228"/>
      <c r="AN1228"/>
      <c r="AO1228"/>
      <c r="AP1228"/>
      <c r="AQ1228"/>
      <c r="AR1228"/>
      <c r="AS1228"/>
      <c r="AT1228"/>
      <c r="AU1228"/>
      <c r="AV1228"/>
      <c r="AW1228"/>
      <c r="AX1228"/>
      <c r="AY1228"/>
      <c r="AZ1228"/>
      <c r="BA1228"/>
      <c r="BB1228"/>
      <c r="BC1228"/>
      <c r="BD1228"/>
      <c r="BE1228"/>
      <c r="BF1228"/>
      <c r="BG1228"/>
      <c r="BH1228"/>
      <c r="BI1228"/>
      <c r="BJ1228"/>
      <c r="BK1228"/>
      <c r="BL1228"/>
      <c r="BM1228"/>
      <c r="BN1228"/>
      <c r="BO1228"/>
      <c r="BP1228"/>
      <c r="BQ1228"/>
      <c r="BR1228"/>
      <c r="BS1228"/>
      <c r="BT1228"/>
      <c r="BU1228"/>
      <c r="BV1228"/>
      <c r="BW1228"/>
      <c r="BX1228"/>
      <c r="BY1228"/>
      <c r="BZ1228"/>
      <c r="CA1228"/>
      <c r="CB1228"/>
      <c r="CC1228"/>
      <c r="CD1228"/>
      <c r="CE1228"/>
      <c r="CF1228"/>
      <c r="CG1228"/>
      <c r="CH1228"/>
      <c r="CI1228"/>
      <c r="CJ1228"/>
      <c r="CK1228"/>
      <c r="CL1228"/>
      <c r="CM1228"/>
      <c r="CN1228"/>
      <c r="CO1228"/>
      <c r="CP1228"/>
      <c r="CQ1228"/>
      <c r="CR1228"/>
      <c r="CS1228"/>
      <c r="CT1228"/>
      <c r="CU1228"/>
      <c r="CV1228"/>
      <c r="CW1228"/>
      <c r="CX1228"/>
      <c r="CY1228"/>
      <c r="CZ1228"/>
      <c r="DA1228"/>
      <c r="DB1228"/>
      <c r="DC1228"/>
      <c r="DD1228"/>
      <c r="DE1228"/>
      <c r="DF1228"/>
      <c r="DG1228"/>
      <c r="DH1228"/>
      <c r="DI1228"/>
      <c r="DJ1228"/>
      <c r="DK1228"/>
      <c r="DL1228"/>
      <c r="DM1228"/>
      <c r="DN1228"/>
      <c r="DO1228"/>
      <c r="DP1228"/>
      <c r="DQ1228"/>
      <c r="DR1228"/>
      <c r="DS1228"/>
      <c r="DT1228"/>
      <c r="DU1228"/>
      <c r="DV1228"/>
      <c r="DW1228"/>
      <c r="DX1228"/>
      <c r="DY1228"/>
      <c r="DZ1228"/>
      <c r="EA1228"/>
      <c r="EB1228"/>
      <c r="EC1228"/>
      <c r="ED1228"/>
      <c r="EE1228"/>
      <c r="EF1228"/>
      <c r="EG1228"/>
      <c r="EH1228"/>
      <c r="EI1228"/>
      <c r="EJ1228"/>
      <c r="EK1228"/>
      <c r="EL1228"/>
      <c r="EM1228"/>
      <c r="EN1228"/>
      <c r="EO1228"/>
      <c r="EP1228"/>
      <c r="EQ1228"/>
      <c r="ER1228"/>
      <c r="ES1228"/>
    </row>
    <row r="1229" spans="1:149">
      <c r="A1229"/>
      <c r="B1229"/>
      <c r="C1229"/>
      <c r="D1229"/>
      <c r="E1229"/>
      <c r="F1229"/>
      <c r="G1229"/>
      <c r="H1229"/>
      <c r="I1229"/>
      <c r="J1229"/>
      <c r="K1229"/>
      <c r="L1229"/>
      <c r="M1229"/>
      <c r="N1229"/>
      <c r="O1229"/>
      <c r="P1229"/>
      <c r="Q1229"/>
      <c r="R1229"/>
      <c r="S1229"/>
      <c r="T1229"/>
      <c r="U1229"/>
      <c r="V1229"/>
      <c r="W1229"/>
      <c r="X1229"/>
      <c r="Y1229"/>
      <c r="Z1229"/>
      <c r="AA1229"/>
      <c r="AB1229"/>
      <c r="AC1229"/>
      <c r="AD1229"/>
      <c r="AE1229"/>
      <c r="AF1229"/>
      <c r="AG1229"/>
      <c r="AH1229"/>
      <c r="AI1229"/>
      <c r="AJ1229"/>
      <c r="AK1229"/>
      <c r="AL1229"/>
      <c r="AM1229"/>
      <c r="AN1229"/>
      <c r="AO1229"/>
      <c r="AP1229"/>
      <c r="AQ1229"/>
      <c r="AR1229"/>
      <c r="AS1229"/>
      <c r="AT1229"/>
      <c r="AU1229"/>
      <c r="AV1229"/>
      <c r="AW1229"/>
      <c r="AX1229"/>
      <c r="AY1229"/>
      <c r="AZ1229"/>
      <c r="BA1229"/>
      <c r="BB1229"/>
      <c r="BC1229"/>
      <c r="BD1229"/>
      <c r="BE1229"/>
      <c r="BF1229"/>
      <c r="BG1229"/>
      <c r="BH1229"/>
      <c r="BI1229"/>
      <c r="BJ1229"/>
      <c r="BK1229"/>
      <c r="BL1229"/>
      <c r="BM1229"/>
      <c r="BN1229"/>
      <c r="BO1229"/>
      <c r="BP1229"/>
      <c r="BQ1229"/>
      <c r="BR1229"/>
      <c r="BS1229"/>
      <c r="BT1229"/>
      <c r="BU1229"/>
      <c r="BV1229"/>
      <c r="BW1229"/>
      <c r="BX1229"/>
      <c r="BY1229"/>
      <c r="BZ1229"/>
      <c r="CA1229"/>
      <c r="CB1229"/>
      <c r="CC1229"/>
      <c r="CD1229"/>
      <c r="CE1229"/>
      <c r="CF1229"/>
      <c r="CG1229"/>
      <c r="CH1229"/>
      <c r="CI1229"/>
      <c r="CJ1229"/>
      <c r="CK1229"/>
      <c r="CL1229"/>
      <c r="CM1229"/>
      <c r="CN1229"/>
      <c r="CO1229"/>
      <c r="CP1229"/>
      <c r="CQ1229"/>
      <c r="CR1229"/>
      <c r="CS1229"/>
      <c r="CT1229"/>
      <c r="CU1229"/>
      <c r="CV1229"/>
      <c r="CW1229"/>
      <c r="CX1229"/>
      <c r="CY1229"/>
      <c r="CZ1229"/>
      <c r="DA1229"/>
      <c r="DB1229"/>
      <c r="DC1229"/>
      <c r="DD1229"/>
      <c r="DE1229"/>
      <c r="DF1229"/>
      <c r="DG1229"/>
      <c r="DH1229"/>
      <c r="DI1229"/>
      <c r="DJ1229"/>
      <c r="DK1229"/>
      <c r="DL1229"/>
      <c r="DM1229"/>
      <c r="DN1229"/>
      <c r="DO1229"/>
      <c r="DP1229"/>
      <c r="DQ1229"/>
      <c r="DR1229"/>
      <c r="DS1229"/>
      <c r="DT1229"/>
      <c r="DU1229"/>
      <c r="DV1229"/>
      <c r="DW1229"/>
      <c r="DX1229"/>
      <c r="DY1229"/>
      <c r="DZ1229"/>
      <c r="EA1229"/>
      <c r="EB1229"/>
      <c r="EC1229"/>
      <c r="ED1229"/>
      <c r="EE1229"/>
      <c r="EF1229"/>
      <c r="EG1229"/>
      <c r="EH1229"/>
      <c r="EI1229"/>
      <c r="EJ1229"/>
      <c r="EK1229"/>
      <c r="EL1229"/>
      <c r="EM1229"/>
      <c r="EN1229"/>
      <c r="EO1229"/>
      <c r="EP1229"/>
      <c r="EQ1229"/>
      <c r="ER1229"/>
      <c r="ES1229"/>
    </row>
    <row r="1230" spans="1:149">
      <c r="A1230"/>
      <c r="B1230"/>
      <c r="C1230"/>
      <c r="D1230"/>
      <c r="E1230"/>
      <c r="F1230"/>
      <c r="G1230"/>
      <c r="H1230"/>
      <c r="I1230"/>
      <c r="J1230"/>
      <c r="K1230"/>
      <c r="L1230"/>
      <c r="M1230"/>
      <c r="N1230"/>
      <c r="O1230"/>
      <c r="P1230"/>
      <c r="Q1230"/>
      <c r="R1230"/>
      <c r="S1230"/>
      <c r="T1230"/>
      <c r="U1230"/>
      <c r="V1230"/>
      <c r="W1230"/>
      <c r="X1230"/>
      <c r="Y1230"/>
      <c r="Z1230"/>
      <c r="AA1230"/>
      <c r="AB1230"/>
      <c r="AC1230"/>
      <c r="AD1230"/>
      <c r="AE1230"/>
      <c r="AF1230"/>
      <c r="AG1230"/>
      <c r="AH1230"/>
      <c r="AI1230"/>
      <c r="AJ1230"/>
      <c r="AK1230"/>
      <c r="AL1230"/>
      <c r="AM1230"/>
      <c r="AN1230"/>
      <c r="AO1230"/>
      <c r="AP1230"/>
      <c r="AQ1230"/>
      <c r="AR1230"/>
      <c r="AS1230"/>
      <c r="AT1230"/>
      <c r="AU1230"/>
      <c r="AV1230"/>
      <c r="AW1230"/>
      <c r="AX1230"/>
      <c r="AY1230"/>
      <c r="AZ1230"/>
      <c r="BA1230"/>
      <c r="BB1230"/>
      <c r="BC1230"/>
      <c r="BD1230"/>
      <c r="BE1230"/>
      <c r="BF1230"/>
      <c r="BG1230"/>
      <c r="BH1230"/>
      <c r="BI1230"/>
      <c r="BJ1230"/>
      <c r="BK1230"/>
      <c r="BL1230"/>
      <c r="BM1230"/>
      <c r="BN1230"/>
      <c r="BO1230"/>
      <c r="BP1230"/>
      <c r="BQ1230"/>
      <c r="BR1230"/>
      <c r="BS1230"/>
      <c r="BT1230"/>
      <c r="BU1230"/>
      <c r="BV1230"/>
      <c r="BW1230"/>
      <c r="BX1230"/>
      <c r="BY1230"/>
      <c r="BZ1230"/>
      <c r="CA1230"/>
      <c r="CB1230"/>
      <c r="CC1230"/>
      <c r="CD1230"/>
      <c r="CE1230"/>
      <c r="CF1230"/>
      <c r="CG1230"/>
      <c r="CH1230"/>
      <c r="CI1230"/>
      <c r="CJ1230"/>
      <c r="CK1230"/>
      <c r="CL1230"/>
      <c r="CM1230"/>
      <c r="CN1230"/>
      <c r="CO1230"/>
      <c r="CP1230"/>
      <c r="CQ1230"/>
      <c r="CR1230"/>
      <c r="CS1230"/>
      <c r="CT1230"/>
      <c r="CU1230"/>
      <c r="CV1230"/>
      <c r="CW1230"/>
      <c r="CX1230"/>
      <c r="CY1230"/>
      <c r="CZ1230"/>
      <c r="DA1230"/>
      <c r="DB1230"/>
      <c r="DC1230"/>
      <c r="DD1230"/>
      <c r="DE1230"/>
      <c r="DF1230"/>
      <c r="DG1230"/>
      <c r="DH1230"/>
      <c r="DI1230"/>
      <c r="DJ1230"/>
      <c r="DK1230"/>
      <c r="DL1230"/>
      <c r="DM1230"/>
      <c r="DN1230"/>
      <c r="DO1230"/>
      <c r="DP1230"/>
      <c r="DQ1230"/>
      <c r="DR1230"/>
      <c r="DS1230"/>
      <c r="DT1230"/>
      <c r="DU1230"/>
      <c r="DV1230"/>
      <c r="DW1230"/>
      <c r="DX1230"/>
      <c r="DY1230"/>
      <c r="DZ1230"/>
      <c r="EA1230"/>
      <c r="EB1230"/>
      <c r="EC1230"/>
      <c r="ED1230"/>
      <c r="EE1230"/>
      <c r="EF1230"/>
      <c r="EG1230"/>
      <c r="EH1230"/>
      <c r="EI1230"/>
      <c r="EJ1230"/>
      <c r="EK1230"/>
      <c r="EL1230"/>
      <c r="EM1230"/>
      <c r="EN1230"/>
      <c r="EO1230"/>
      <c r="EP1230"/>
      <c r="EQ1230"/>
      <c r="ER1230"/>
      <c r="ES1230"/>
    </row>
    <row r="1231" spans="1:149">
      <c r="A1231"/>
      <c r="B1231"/>
      <c r="C1231"/>
      <c r="D1231"/>
      <c r="E1231"/>
      <c r="F1231"/>
      <c r="G1231"/>
      <c r="H1231"/>
      <c r="I1231"/>
      <c r="J1231"/>
      <c r="K1231"/>
      <c r="L1231"/>
      <c r="M1231"/>
      <c r="N1231"/>
      <c r="O1231"/>
      <c r="P1231"/>
      <c r="Q1231"/>
      <c r="R1231"/>
      <c r="S1231"/>
      <c r="T1231"/>
      <c r="U1231"/>
      <c r="V1231"/>
      <c r="W1231"/>
      <c r="X1231"/>
      <c r="Y1231"/>
      <c r="Z1231"/>
      <c r="AA1231"/>
      <c r="AB1231"/>
      <c r="AC1231"/>
      <c r="AD1231"/>
      <c r="AE1231"/>
      <c r="AF1231"/>
      <c r="AG1231"/>
      <c r="AH1231"/>
      <c r="AI1231"/>
      <c r="AJ1231"/>
      <c r="AK1231"/>
      <c r="AL1231"/>
      <c r="AM1231"/>
      <c r="AN1231"/>
      <c r="AO1231"/>
      <c r="AP1231"/>
      <c r="AQ1231"/>
      <c r="AR1231"/>
      <c r="AS1231"/>
      <c r="AT1231"/>
      <c r="AU1231"/>
      <c r="AV1231"/>
      <c r="AW1231"/>
      <c r="AX1231"/>
      <c r="AY1231"/>
      <c r="AZ1231"/>
      <c r="BA1231"/>
      <c r="BB1231"/>
      <c r="BC1231"/>
      <c r="BD1231"/>
      <c r="BE1231"/>
      <c r="BF1231"/>
      <c r="BG1231"/>
      <c r="BH1231"/>
      <c r="BI1231"/>
      <c r="BJ1231"/>
      <c r="BK1231"/>
      <c r="BL1231"/>
      <c r="BM1231"/>
      <c r="BN1231"/>
      <c r="BO1231"/>
      <c r="BP1231"/>
      <c r="BQ1231"/>
      <c r="BR1231"/>
      <c r="BS1231"/>
      <c r="BT1231"/>
      <c r="BU1231"/>
      <c r="BV1231"/>
      <c r="BW1231"/>
      <c r="BX1231"/>
      <c r="BY1231"/>
      <c r="BZ1231"/>
      <c r="CA1231"/>
      <c r="CB1231"/>
      <c r="CC1231"/>
      <c r="CD1231"/>
      <c r="CE1231"/>
      <c r="CF1231"/>
      <c r="CG1231"/>
      <c r="CH1231"/>
      <c r="CI1231"/>
      <c r="CJ1231"/>
      <c r="CK1231"/>
      <c r="CL1231"/>
      <c r="CM1231"/>
      <c r="CN1231"/>
      <c r="CO1231"/>
      <c r="CP1231"/>
      <c r="CQ1231"/>
      <c r="CR1231"/>
      <c r="CS1231"/>
      <c r="CT1231"/>
      <c r="CU1231"/>
      <c r="CV1231"/>
      <c r="CW1231"/>
      <c r="CX1231"/>
      <c r="CY1231"/>
      <c r="CZ1231"/>
      <c r="DA1231"/>
      <c r="DB1231"/>
      <c r="DC1231"/>
      <c r="DD1231"/>
      <c r="DE1231"/>
      <c r="DF1231"/>
      <c r="DG1231"/>
      <c r="DH1231"/>
      <c r="DI1231"/>
      <c r="DJ1231"/>
      <c r="DK1231"/>
      <c r="DL1231"/>
      <c r="DM1231"/>
      <c r="DN1231"/>
      <c r="DO1231"/>
      <c r="DP1231"/>
      <c r="DQ1231"/>
      <c r="DR1231"/>
      <c r="DS1231"/>
      <c r="DT1231"/>
      <c r="DU1231"/>
      <c r="DV1231"/>
      <c r="DW1231"/>
      <c r="DX1231"/>
      <c r="DY1231"/>
      <c r="DZ1231"/>
      <c r="EA1231"/>
      <c r="EB1231"/>
      <c r="EC1231"/>
      <c r="ED1231"/>
      <c r="EE1231"/>
      <c r="EF1231"/>
      <c r="EG1231"/>
      <c r="EH1231"/>
      <c r="EI1231"/>
      <c r="EJ1231"/>
      <c r="EK1231"/>
      <c r="EL1231"/>
      <c r="EM1231"/>
      <c r="EN1231"/>
      <c r="EO1231"/>
      <c r="EP1231"/>
      <c r="EQ1231"/>
      <c r="ER1231"/>
      <c r="ES1231"/>
    </row>
    <row r="1232" spans="1:149">
      <c r="A1232"/>
      <c r="B1232"/>
      <c r="C1232"/>
      <c r="D1232"/>
      <c r="E1232"/>
      <c r="F1232"/>
      <c r="G1232"/>
      <c r="H1232"/>
      <c r="I1232"/>
      <c r="J1232"/>
      <c r="K1232"/>
      <c r="L1232"/>
      <c r="M1232"/>
      <c r="N1232"/>
      <c r="O1232"/>
      <c r="P1232"/>
      <c r="Q1232"/>
      <c r="R1232"/>
      <c r="S1232"/>
      <c r="T1232"/>
      <c r="U1232"/>
      <c r="V1232"/>
      <c r="W1232"/>
      <c r="X1232"/>
      <c r="Y1232"/>
      <c r="Z1232"/>
      <c r="AA1232"/>
      <c r="AB1232"/>
      <c r="AC1232"/>
      <c r="AD1232"/>
      <c r="AE1232"/>
      <c r="AF1232"/>
      <c r="AG1232"/>
      <c r="AH1232"/>
      <c r="AI1232"/>
      <c r="AJ1232"/>
      <c r="AK1232"/>
      <c r="AL1232"/>
      <c r="AM1232"/>
      <c r="AN1232"/>
      <c r="AO1232"/>
      <c r="AP1232"/>
      <c r="AQ1232"/>
      <c r="AR1232"/>
      <c r="AS1232"/>
      <c r="AT1232"/>
      <c r="AU1232"/>
      <c r="AV1232"/>
      <c r="AW1232"/>
      <c r="AX1232"/>
      <c r="AY1232"/>
      <c r="AZ1232"/>
      <c r="BA1232"/>
      <c r="BB1232"/>
      <c r="BC1232"/>
      <c r="BD1232"/>
      <c r="BE1232"/>
      <c r="BF1232"/>
      <c r="BG1232"/>
      <c r="BH1232"/>
      <c r="BI1232"/>
      <c r="BJ1232"/>
      <c r="BK1232"/>
      <c r="BL1232"/>
      <c r="BM1232"/>
      <c r="BN1232"/>
      <c r="BO1232"/>
      <c r="BP1232"/>
      <c r="BQ1232"/>
      <c r="BR1232"/>
      <c r="BS1232"/>
      <c r="BT1232"/>
      <c r="BU1232"/>
      <c r="BV1232"/>
      <c r="BW1232"/>
      <c r="BX1232"/>
      <c r="BY1232"/>
      <c r="BZ1232"/>
      <c r="CA1232"/>
      <c r="CB1232"/>
      <c r="CC1232"/>
      <c r="CD1232"/>
      <c r="CE1232"/>
      <c r="CF1232"/>
      <c r="CG1232"/>
      <c r="CH1232"/>
      <c r="CI1232"/>
      <c r="CJ1232"/>
      <c r="CK1232"/>
      <c r="CL1232"/>
      <c r="CM1232"/>
      <c r="CN1232"/>
      <c r="CO1232"/>
      <c r="CP1232"/>
      <c r="CQ1232"/>
      <c r="CR1232"/>
      <c r="CS1232"/>
      <c r="CT1232"/>
      <c r="CU1232"/>
      <c r="CV1232"/>
      <c r="CW1232"/>
      <c r="CX1232"/>
      <c r="CY1232"/>
      <c r="CZ1232"/>
      <c r="DA1232"/>
      <c r="DB1232"/>
      <c r="DC1232"/>
      <c r="DD1232"/>
      <c r="DE1232"/>
      <c r="DF1232"/>
      <c r="DG1232"/>
      <c r="DH1232"/>
      <c r="DI1232"/>
      <c r="DJ1232"/>
      <c r="DK1232"/>
      <c r="DL1232"/>
      <c r="DM1232"/>
      <c r="DN1232"/>
      <c r="DO1232"/>
      <c r="DP1232"/>
      <c r="DQ1232"/>
      <c r="DR1232"/>
      <c r="DS1232"/>
      <c r="DT1232"/>
      <c r="DU1232"/>
      <c r="DV1232"/>
      <c r="DW1232"/>
      <c r="DX1232"/>
      <c r="DY1232"/>
      <c r="DZ1232"/>
      <c r="EA1232"/>
      <c r="EB1232"/>
      <c r="EC1232"/>
      <c r="ED1232"/>
      <c r="EE1232"/>
      <c r="EF1232"/>
      <c r="EG1232"/>
      <c r="EH1232"/>
      <c r="EI1232"/>
      <c r="EJ1232"/>
      <c r="EK1232"/>
      <c r="EL1232"/>
      <c r="EM1232"/>
      <c r="EN1232"/>
      <c r="EO1232"/>
      <c r="EP1232"/>
      <c r="EQ1232"/>
      <c r="ER1232"/>
      <c r="ES1232"/>
    </row>
    <row r="1233" spans="1:149">
      <c r="A1233"/>
      <c r="B1233"/>
      <c r="C1233"/>
      <c r="D1233"/>
      <c r="E1233"/>
      <c r="F1233"/>
      <c r="G1233"/>
      <c r="H1233"/>
      <c r="I1233"/>
      <c r="J1233"/>
      <c r="K1233"/>
      <c r="L1233"/>
      <c r="M1233"/>
      <c r="N1233"/>
      <c r="O1233"/>
      <c r="P1233"/>
      <c r="Q1233"/>
      <c r="R1233"/>
      <c r="S1233"/>
      <c r="T1233"/>
      <c r="U1233"/>
      <c r="V1233"/>
      <c r="W1233"/>
      <c r="X1233"/>
      <c r="Y1233"/>
      <c r="Z1233"/>
      <c r="AA1233"/>
      <c r="AB1233"/>
      <c r="AC1233"/>
      <c r="AD1233"/>
      <c r="AE1233"/>
      <c r="AF1233"/>
      <c r="AG1233"/>
      <c r="AH1233"/>
      <c r="AI1233"/>
      <c r="AJ1233"/>
      <c r="AK1233"/>
      <c r="AL1233"/>
      <c r="AM1233"/>
      <c r="AN1233"/>
      <c r="AO1233"/>
      <c r="AP1233"/>
      <c r="AQ1233"/>
      <c r="AR1233"/>
      <c r="AS1233"/>
      <c r="AT1233"/>
      <c r="AU1233"/>
      <c r="AV1233"/>
      <c r="AW1233"/>
      <c r="AX1233"/>
      <c r="AY1233"/>
      <c r="AZ1233"/>
      <c r="BA1233"/>
      <c r="BB1233"/>
      <c r="BC1233"/>
      <c r="BD1233"/>
      <c r="BE1233"/>
      <c r="BF1233"/>
      <c r="BG1233"/>
      <c r="BH1233"/>
      <c r="BI1233"/>
      <c r="BJ1233"/>
      <c r="BK1233"/>
      <c r="BL1233"/>
      <c r="BM1233"/>
      <c r="BN1233"/>
      <c r="BO1233"/>
      <c r="BP1233"/>
      <c r="BQ1233"/>
      <c r="BR1233"/>
      <c r="BS1233"/>
      <c r="BT1233"/>
      <c r="BU1233"/>
      <c r="BV1233"/>
      <c r="BW1233"/>
      <c r="BX1233"/>
      <c r="BY1233"/>
      <c r="BZ1233"/>
      <c r="CA1233"/>
      <c r="CB1233"/>
      <c r="CC1233"/>
      <c r="CD1233"/>
      <c r="CE1233"/>
      <c r="CF1233"/>
      <c r="CG1233"/>
      <c r="CH1233"/>
      <c r="CI1233"/>
      <c r="CJ1233"/>
      <c r="CK1233"/>
      <c r="CL1233"/>
      <c r="CM1233"/>
      <c r="CN1233"/>
      <c r="CO1233"/>
      <c r="CP1233"/>
      <c r="CQ1233"/>
      <c r="CR1233"/>
      <c r="CS1233"/>
      <c r="CT1233"/>
      <c r="CU1233"/>
      <c r="CV1233"/>
      <c r="CW1233"/>
      <c r="CX1233"/>
      <c r="CY1233"/>
      <c r="CZ1233"/>
      <c r="DA1233"/>
      <c r="DB1233"/>
      <c r="DC1233"/>
      <c r="DD1233"/>
      <c r="DE1233"/>
      <c r="DF1233"/>
      <c r="DG1233"/>
      <c r="DH1233"/>
      <c r="DI1233"/>
      <c r="DJ1233"/>
      <c r="DK1233"/>
      <c r="DL1233"/>
      <c r="DM1233"/>
      <c r="DN1233"/>
      <c r="DO1233"/>
      <c r="DP1233"/>
      <c r="DQ1233"/>
      <c r="DR1233"/>
      <c r="DS1233"/>
      <c r="DT1233"/>
      <c r="DU1233"/>
      <c r="DV1233"/>
      <c r="DW1233"/>
      <c r="DX1233"/>
      <c r="DY1233"/>
      <c r="DZ1233"/>
      <c r="EA1233"/>
      <c r="EB1233"/>
      <c r="EC1233"/>
      <c r="ED1233"/>
      <c r="EE1233"/>
      <c r="EF1233"/>
      <c r="EG1233"/>
      <c r="EH1233"/>
      <c r="EI1233"/>
      <c r="EJ1233"/>
      <c r="EK1233"/>
      <c r="EL1233"/>
      <c r="EM1233"/>
      <c r="EN1233"/>
      <c r="EO1233"/>
      <c r="EP1233"/>
      <c r="EQ1233"/>
      <c r="ER1233"/>
      <c r="ES1233"/>
    </row>
    <row r="1234" spans="1:149">
      <c r="A1234"/>
      <c r="B1234"/>
      <c r="C1234"/>
      <c r="D1234"/>
      <c r="E1234"/>
      <c r="F1234"/>
      <c r="G1234"/>
      <c r="H1234"/>
      <c r="I1234"/>
      <c r="J1234"/>
      <c r="K1234"/>
      <c r="L1234"/>
      <c r="M1234"/>
      <c r="N1234"/>
      <c r="O1234"/>
      <c r="P1234"/>
      <c r="Q1234"/>
      <c r="R1234"/>
      <c r="S1234"/>
      <c r="T1234"/>
      <c r="U1234"/>
      <c r="V1234"/>
      <c r="W1234"/>
      <c r="X1234"/>
      <c r="Y1234"/>
      <c r="Z1234"/>
      <c r="AA1234"/>
      <c r="AB1234"/>
      <c r="AC1234"/>
      <c r="AD1234"/>
      <c r="AE1234"/>
      <c r="AF1234"/>
      <c r="AG1234"/>
      <c r="AH1234"/>
      <c r="AI1234"/>
      <c r="AJ1234"/>
      <c r="AK1234"/>
      <c r="AL1234"/>
      <c r="AM1234"/>
      <c r="AN1234"/>
      <c r="AO1234"/>
      <c r="AP1234"/>
      <c r="AQ1234"/>
      <c r="AR1234"/>
      <c r="AS1234"/>
      <c r="AT1234"/>
      <c r="AU1234"/>
      <c r="AV1234"/>
      <c r="AW1234"/>
      <c r="AX1234"/>
      <c r="AY1234"/>
      <c r="AZ1234"/>
      <c r="BA1234"/>
      <c r="BB1234"/>
      <c r="BC1234"/>
      <c r="BD1234"/>
      <c r="BE1234"/>
      <c r="BF1234"/>
      <c r="BG1234"/>
      <c r="BH1234"/>
      <c r="BI1234"/>
      <c r="BJ1234"/>
      <c r="BK1234"/>
      <c r="BL1234"/>
      <c r="BM1234"/>
      <c r="BN1234"/>
      <c r="BO1234"/>
      <c r="BP1234"/>
      <c r="BQ1234"/>
      <c r="BR1234"/>
      <c r="BS1234"/>
      <c r="BT1234"/>
      <c r="BU1234"/>
      <c r="BV1234"/>
      <c r="BW1234"/>
      <c r="BX1234"/>
      <c r="BY1234"/>
      <c r="BZ1234"/>
      <c r="CA1234"/>
      <c r="CB1234"/>
      <c r="CC1234"/>
      <c r="CD1234"/>
      <c r="CE1234"/>
      <c r="CF1234"/>
      <c r="CG1234"/>
      <c r="CH1234"/>
      <c r="CI1234"/>
      <c r="CJ1234"/>
      <c r="CK1234"/>
      <c r="CL1234"/>
      <c r="CM1234"/>
      <c r="CN1234"/>
      <c r="CO1234"/>
      <c r="CP1234"/>
      <c r="CQ1234"/>
      <c r="CR1234"/>
      <c r="CS1234"/>
      <c r="CT1234"/>
      <c r="CU1234"/>
      <c r="CV1234"/>
      <c r="CW1234"/>
      <c r="CX1234"/>
      <c r="CY1234"/>
      <c r="CZ1234"/>
      <c r="DA1234"/>
      <c r="DB1234"/>
      <c r="DC1234"/>
      <c r="DD1234"/>
      <c r="DE1234"/>
      <c r="DF1234"/>
      <c r="DG1234"/>
      <c r="DH1234"/>
      <c r="DI1234"/>
      <c r="DJ1234"/>
      <c r="DK1234"/>
      <c r="DL1234"/>
      <c r="DM1234"/>
      <c r="DN1234"/>
      <c r="DO1234"/>
      <c r="DP1234"/>
      <c r="DQ1234"/>
      <c r="DR1234"/>
      <c r="DS1234"/>
      <c r="DT1234"/>
      <c r="DU1234"/>
      <c r="DV1234"/>
      <c r="DW1234"/>
      <c r="DX1234"/>
      <c r="DY1234"/>
      <c r="DZ1234"/>
      <c r="EA1234"/>
      <c r="EB1234"/>
      <c r="EC1234"/>
      <c r="ED1234"/>
      <c r="EE1234"/>
      <c r="EF1234"/>
      <c r="EG1234"/>
      <c r="EH1234"/>
      <c r="EI1234"/>
      <c r="EJ1234"/>
      <c r="EK1234"/>
      <c r="EL1234"/>
      <c r="EM1234"/>
      <c r="EN1234"/>
      <c r="EO1234"/>
      <c r="EP1234"/>
      <c r="EQ1234"/>
      <c r="ER1234"/>
      <c r="ES1234"/>
    </row>
    <row r="1235" spans="1:149">
      <c r="A1235"/>
      <c r="B1235"/>
      <c r="C1235"/>
      <c r="D1235"/>
      <c r="E1235"/>
      <c r="F1235"/>
      <c r="G1235"/>
      <c r="H1235"/>
      <c r="I1235"/>
      <c r="J1235"/>
      <c r="K1235"/>
      <c r="L1235"/>
      <c r="M1235"/>
      <c r="N1235"/>
      <c r="O1235"/>
      <c r="P1235"/>
      <c r="Q1235"/>
      <c r="R1235"/>
      <c r="S1235"/>
      <c r="T1235"/>
      <c r="U1235"/>
      <c r="V1235"/>
      <c r="W1235"/>
      <c r="X1235"/>
      <c r="Y1235"/>
      <c r="Z1235"/>
      <c r="AA1235"/>
      <c r="AB1235"/>
      <c r="AC1235"/>
      <c r="AD1235"/>
      <c r="AE1235"/>
      <c r="AF1235"/>
      <c r="AG1235"/>
      <c r="AH1235"/>
      <c r="AI1235"/>
      <c r="AJ1235"/>
      <c r="AK1235"/>
      <c r="AL1235"/>
      <c r="AM1235"/>
      <c r="AN1235"/>
      <c r="AO1235"/>
      <c r="AP1235"/>
      <c r="AQ1235"/>
      <c r="AR1235"/>
      <c r="AS1235"/>
      <c r="AT1235"/>
      <c r="AU1235"/>
      <c r="AV1235"/>
      <c r="AW1235"/>
      <c r="AX1235"/>
      <c r="AY1235"/>
      <c r="AZ1235"/>
      <c r="BA1235"/>
      <c r="BB1235"/>
      <c r="BC1235"/>
      <c r="BD1235"/>
      <c r="BE1235"/>
      <c r="BF1235"/>
      <c r="BG1235"/>
      <c r="BH1235"/>
      <c r="BI1235"/>
      <c r="BJ1235"/>
      <c r="BK1235"/>
      <c r="BL1235"/>
      <c r="BM1235"/>
      <c r="BN1235"/>
      <c r="BO1235"/>
      <c r="BP1235"/>
      <c r="BQ1235"/>
      <c r="BR1235"/>
      <c r="BS1235"/>
      <c r="BT1235"/>
      <c r="BU1235"/>
      <c r="BV1235"/>
      <c r="BW1235"/>
      <c r="BX1235"/>
      <c r="BY1235"/>
      <c r="BZ1235"/>
      <c r="CA1235"/>
      <c r="CB1235"/>
      <c r="CC1235"/>
      <c r="CD1235"/>
      <c r="CE1235"/>
      <c r="CF1235"/>
      <c r="CG1235"/>
      <c r="CH1235"/>
      <c r="CI1235"/>
      <c r="CJ1235"/>
      <c r="CK1235"/>
      <c r="CL1235"/>
      <c r="CM1235"/>
      <c r="CN1235"/>
      <c r="CO1235"/>
      <c r="CP1235"/>
      <c r="CQ1235"/>
      <c r="CR1235"/>
      <c r="CS1235"/>
      <c r="CT1235"/>
      <c r="CU1235"/>
      <c r="CV1235"/>
      <c r="CW1235"/>
      <c r="CX1235"/>
      <c r="CY1235"/>
      <c r="CZ1235"/>
      <c r="DA1235"/>
      <c r="DB1235"/>
      <c r="DC1235"/>
      <c r="DD1235"/>
      <c r="DE1235"/>
      <c r="DF1235"/>
      <c r="DG1235"/>
      <c r="DH1235"/>
      <c r="DI1235"/>
      <c r="DJ1235"/>
      <c r="DK1235"/>
      <c r="DL1235"/>
      <c r="DM1235"/>
      <c r="DN1235"/>
      <c r="DO1235"/>
      <c r="DP1235"/>
      <c r="DQ1235"/>
      <c r="DR1235"/>
      <c r="DS1235"/>
      <c r="DT1235"/>
      <c r="DU1235"/>
      <c r="DV1235"/>
      <c r="DW1235"/>
      <c r="DX1235"/>
      <c r="DY1235"/>
      <c r="DZ1235"/>
      <c r="EA1235"/>
      <c r="EB1235"/>
      <c r="EC1235"/>
      <c r="ED1235"/>
      <c r="EE1235"/>
      <c r="EF1235"/>
      <c r="EG1235"/>
      <c r="EH1235"/>
      <c r="EI1235"/>
      <c r="EJ1235"/>
      <c r="EK1235"/>
      <c r="EL1235"/>
      <c r="EM1235"/>
      <c r="EN1235"/>
      <c r="EO1235"/>
      <c r="EP1235"/>
      <c r="EQ1235"/>
      <c r="ER1235"/>
      <c r="ES1235"/>
    </row>
    <row r="1236" spans="1:149">
      <c r="A1236"/>
      <c r="B1236"/>
      <c r="C1236"/>
      <c r="D1236"/>
      <c r="E1236"/>
      <c r="F1236"/>
      <c r="G1236"/>
      <c r="H1236"/>
      <c r="I1236"/>
      <c r="J1236"/>
      <c r="K1236"/>
      <c r="L1236"/>
      <c r="M1236"/>
      <c r="N1236"/>
      <c r="O1236"/>
      <c r="P1236"/>
      <c r="Q1236"/>
      <c r="R1236"/>
      <c r="S1236"/>
      <c r="T1236"/>
      <c r="U1236"/>
      <c r="V1236"/>
      <c r="W1236"/>
      <c r="X1236"/>
      <c r="Y1236"/>
      <c r="Z1236"/>
      <c r="AA1236"/>
      <c r="AB1236"/>
      <c r="AC1236"/>
      <c r="AD1236"/>
      <c r="AE1236"/>
      <c r="AF1236"/>
      <c r="AG1236"/>
      <c r="AH1236"/>
      <c r="AI1236"/>
      <c r="AJ1236"/>
      <c r="AK1236"/>
      <c r="AL1236"/>
      <c r="AM1236"/>
      <c r="AN1236"/>
      <c r="AO1236"/>
      <c r="AP1236"/>
      <c r="AQ1236"/>
      <c r="AR1236"/>
      <c r="AS1236"/>
      <c r="AT1236"/>
      <c r="AU1236"/>
      <c r="AV1236"/>
      <c r="AW1236"/>
      <c r="AX1236"/>
      <c r="AY1236"/>
      <c r="AZ1236"/>
      <c r="BA1236"/>
      <c r="BB1236"/>
      <c r="BC1236"/>
      <c r="BD1236"/>
      <c r="BE1236"/>
      <c r="BF1236"/>
      <c r="BG1236"/>
      <c r="BH1236"/>
      <c r="BI1236"/>
      <c r="BJ1236"/>
      <c r="BK1236"/>
      <c r="BL1236"/>
      <c r="BM1236"/>
      <c r="BN1236"/>
      <c r="BO1236"/>
      <c r="BP1236"/>
      <c r="BQ1236"/>
      <c r="BR1236"/>
      <c r="BS1236"/>
      <c r="BT1236"/>
      <c r="BU1236"/>
      <c r="BV1236"/>
      <c r="BW1236"/>
      <c r="BX1236"/>
      <c r="BY1236"/>
      <c r="BZ1236"/>
      <c r="CA1236"/>
      <c r="CB1236"/>
      <c r="CC1236"/>
      <c r="CD1236"/>
      <c r="CE1236"/>
      <c r="CF1236"/>
      <c r="CG1236"/>
      <c r="CH1236"/>
      <c r="CI1236"/>
      <c r="CJ1236"/>
      <c r="CK1236"/>
      <c r="CL1236"/>
      <c r="CM1236"/>
      <c r="CN1236"/>
      <c r="CO1236"/>
      <c r="CP1236"/>
      <c r="CQ1236"/>
      <c r="CR1236"/>
      <c r="CS1236"/>
      <c r="CT1236"/>
      <c r="CU1236"/>
      <c r="CV1236"/>
      <c r="CW1236"/>
      <c r="CX1236"/>
      <c r="CY1236"/>
      <c r="CZ1236"/>
      <c r="DA1236"/>
      <c r="DB1236"/>
      <c r="DC1236"/>
      <c r="DD1236"/>
      <c r="DE1236"/>
      <c r="DF1236"/>
      <c r="DG1236"/>
      <c r="DH1236"/>
      <c r="DI1236"/>
      <c r="DJ1236"/>
      <c r="DK1236"/>
      <c r="DL1236"/>
      <c r="DM1236"/>
      <c r="DN1236"/>
      <c r="DO1236"/>
      <c r="DP1236"/>
      <c r="DQ1236"/>
      <c r="DR1236"/>
      <c r="DS1236"/>
      <c r="DT1236"/>
      <c r="DU1236"/>
      <c r="DV1236"/>
      <c r="DW1236"/>
      <c r="DX1236"/>
      <c r="DY1236"/>
      <c r="DZ1236"/>
      <c r="EA1236"/>
      <c r="EB1236"/>
      <c r="EC1236"/>
      <c r="ED1236"/>
      <c r="EE1236"/>
      <c r="EF1236"/>
      <c r="EG1236"/>
      <c r="EH1236"/>
      <c r="EI1236"/>
      <c r="EJ1236"/>
      <c r="EK1236"/>
      <c r="EL1236"/>
      <c r="EM1236"/>
      <c r="EN1236"/>
      <c r="EO1236"/>
      <c r="EP1236"/>
      <c r="EQ1236"/>
      <c r="ER1236"/>
      <c r="ES1236"/>
    </row>
    <row r="1237" spans="1:149">
      <c r="A1237"/>
      <c r="B1237"/>
      <c r="C1237"/>
      <c r="D1237"/>
      <c r="E1237"/>
      <c r="F1237"/>
      <c r="G1237"/>
      <c r="H1237"/>
      <c r="I1237"/>
      <c r="J1237"/>
      <c r="K1237"/>
      <c r="L1237"/>
      <c r="M1237"/>
      <c r="N1237"/>
      <c r="O1237"/>
      <c r="P1237"/>
      <c r="Q1237"/>
      <c r="R1237"/>
      <c r="S1237"/>
      <c r="T1237"/>
      <c r="U1237"/>
      <c r="V1237"/>
      <c r="W1237"/>
      <c r="X1237"/>
      <c r="Y1237"/>
      <c r="Z1237"/>
      <c r="AA1237"/>
      <c r="AB1237"/>
      <c r="AC1237"/>
      <c r="AD1237"/>
      <c r="AE1237"/>
      <c r="AF1237"/>
      <c r="AG1237"/>
      <c r="AH1237"/>
      <c r="AI1237"/>
      <c r="AJ1237"/>
      <c r="AK1237"/>
      <c r="AL1237"/>
      <c r="AM1237"/>
      <c r="AN1237"/>
      <c r="AO1237"/>
      <c r="AP1237"/>
      <c r="AQ1237"/>
      <c r="AR1237"/>
      <c r="AS1237"/>
      <c r="AT1237"/>
      <c r="AU1237"/>
      <c r="AV1237"/>
      <c r="AW1237"/>
      <c r="AX1237"/>
      <c r="AY1237"/>
      <c r="AZ1237"/>
      <c r="BA1237"/>
      <c r="BB1237"/>
      <c r="BC1237"/>
      <c r="BD1237"/>
      <c r="BE1237"/>
      <c r="BF1237"/>
      <c r="BG1237"/>
      <c r="BH1237"/>
      <c r="BI1237"/>
      <c r="BJ1237"/>
      <c r="BK1237"/>
      <c r="BL1237"/>
      <c r="BM1237"/>
      <c r="BN1237"/>
      <c r="BO1237"/>
      <c r="BP1237"/>
      <c r="BQ1237"/>
      <c r="BR1237"/>
      <c r="BS1237"/>
      <c r="BT1237"/>
      <c r="BU1237"/>
      <c r="BV1237"/>
      <c r="BW1237"/>
      <c r="BX1237"/>
      <c r="BY1237"/>
      <c r="BZ1237"/>
      <c r="CA1237"/>
      <c r="CB1237"/>
      <c r="CC1237"/>
      <c r="CD1237"/>
      <c r="CE1237"/>
      <c r="CF1237"/>
      <c r="CG1237"/>
      <c r="CH1237"/>
      <c r="CI1237"/>
      <c r="CJ1237"/>
      <c r="CK1237"/>
      <c r="CL1237"/>
      <c r="CM1237"/>
      <c r="CN1237"/>
      <c r="CO1237"/>
      <c r="CP1237"/>
      <c r="CQ1237"/>
      <c r="CR1237"/>
      <c r="CS1237"/>
      <c r="CT1237"/>
      <c r="CU1237"/>
      <c r="CV1237"/>
      <c r="CW1237"/>
      <c r="CX1237"/>
      <c r="CY1237"/>
      <c r="CZ1237"/>
      <c r="DA1237"/>
      <c r="DB1237"/>
      <c r="DC1237"/>
      <c r="DD1237"/>
      <c r="DE1237"/>
      <c r="DF1237"/>
      <c r="DG1237"/>
      <c r="DH1237"/>
      <c r="DI1237"/>
      <c r="DJ1237"/>
      <c r="DK1237"/>
      <c r="DL1237"/>
      <c r="DM1237"/>
      <c r="DN1237"/>
      <c r="DO1237"/>
      <c r="DP1237"/>
      <c r="DQ1237"/>
      <c r="DR1237"/>
      <c r="DS1237"/>
      <c r="DT1237"/>
      <c r="DU1237"/>
      <c r="DV1237"/>
      <c r="DW1237"/>
      <c r="DX1237"/>
      <c r="DY1237"/>
      <c r="DZ1237"/>
      <c r="EA1237"/>
      <c r="EB1237"/>
      <c r="EC1237"/>
      <c r="ED1237"/>
      <c r="EE1237"/>
      <c r="EF1237"/>
      <c r="EG1237"/>
      <c r="EH1237"/>
      <c r="EI1237"/>
      <c r="EJ1237"/>
      <c r="EK1237"/>
      <c r="EL1237"/>
      <c r="EM1237"/>
      <c r="EN1237"/>
      <c r="EO1237"/>
      <c r="EP1237"/>
      <c r="EQ1237"/>
      <c r="ER1237"/>
      <c r="ES1237"/>
    </row>
    <row r="1238" spans="1:149">
      <c r="A1238"/>
      <c r="B1238"/>
      <c r="C1238"/>
      <c r="D1238"/>
      <c r="E1238"/>
      <c r="F1238"/>
      <c r="G1238"/>
      <c r="H1238"/>
      <c r="I1238"/>
      <c r="J1238"/>
      <c r="K1238"/>
      <c r="L1238"/>
      <c r="M1238"/>
      <c r="N1238"/>
      <c r="O1238"/>
      <c r="P1238"/>
      <c r="Q1238"/>
      <c r="R1238"/>
      <c r="S1238"/>
      <c r="T1238"/>
      <c r="U1238"/>
      <c r="V1238"/>
      <c r="W1238"/>
      <c r="X1238"/>
      <c r="Y1238"/>
      <c r="Z1238"/>
      <c r="AA1238"/>
      <c r="AB1238"/>
      <c r="AC1238"/>
      <c r="AD1238"/>
      <c r="AE1238"/>
      <c r="AF1238"/>
      <c r="AG1238"/>
      <c r="AH1238"/>
      <c r="AI1238"/>
      <c r="AJ1238"/>
      <c r="AK1238"/>
      <c r="AL1238"/>
      <c r="AM1238"/>
      <c r="AN1238"/>
      <c r="AO1238"/>
      <c r="AP1238"/>
      <c r="AQ1238"/>
      <c r="AR1238"/>
      <c r="AS1238"/>
      <c r="AT1238"/>
      <c r="AU1238"/>
      <c r="AV1238"/>
      <c r="AW1238"/>
      <c r="AX1238"/>
      <c r="AY1238"/>
      <c r="AZ1238"/>
      <c r="BA1238"/>
      <c r="BB1238"/>
      <c r="BC1238"/>
      <c r="BD1238"/>
      <c r="BE1238"/>
      <c r="BF1238"/>
      <c r="BG1238"/>
      <c r="BH1238"/>
      <c r="BI1238"/>
      <c r="BJ1238"/>
      <c r="BK1238"/>
      <c r="BL1238"/>
      <c r="BM1238"/>
      <c r="BN1238"/>
      <c r="BO1238"/>
      <c r="BP1238"/>
      <c r="BQ1238"/>
      <c r="BR1238"/>
      <c r="BS1238"/>
      <c r="BT1238"/>
      <c r="BU1238"/>
      <c r="BV1238"/>
      <c r="BW1238"/>
      <c r="BX1238"/>
      <c r="BY1238"/>
      <c r="BZ1238"/>
      <c r="CA1238"/>
      <c r="CB1238"/>
      <c r="CC1238"/>
      <c r="CD1238"/>
      <c r="CE1238"/>
      <c r="CF1238"/>
      <c r="CG1238"/>
      <c r="CH1238"/>
      <c r="CI1238"/>
      <c r="CJ1238"/>
      <c r="CK1238"/>
      <c r="CL1238"/>
      <c r="CM1238"/>
      <c r="CN1238"/>
      <c r="CO1238"/>
      <c r="CP1238"/>
      <c r="CQ1238"/>
      <c r="CR1238"/>
      <c r="CS1238"/>
      <c r="CT1238"/>
      <c r="CU1238"/>
      <c r="CV1238"/>
      <c r="CW1238"/>
      <c r="CX1238"/>
      <c r="CY1238"/>
      <c r="CZ1238"/>
      <c r="DA1238"/>
      <c r="DB1238"/>
      <c r="DC1238"/>
      <c r="DD1238"/>
      <c r="DE1238"/>
      <c r="DF1238"/>
      <c r="DG1238"/>
      <c r="DH1238"/>
      <c r="DI1238"/>
      <c r="DJ1238"/>
      <c r="DK1238"/>
      <c r="DL1238"/>
      <c r="DM1238"/>
      <c r="DN1238"/>
      <c r="DO1238"/>
      <c r="DP1238"/>
      <c r="DQ1238"/>
      <c r="DR1238"/>
      <c r="DS1238"/>
      <c r="DT1238"/>
      <c r="DU1238"/>
      <c r="DV1238"/>
      <c r="DW1238"/>
      <c r="DX1238"/>
      <c r="DY1238"/>
      <c r="DZ1238"/>
      <c r="EA1238"/>
      <c r="EB1238"/>
      <c r="EC1238"/>
      <c r="ED1238"/>
      <c r="EE1238"/>
      <c r="EF1238"/>
      <c r="EG1238"/>
      <c r="EH1238"/>
      <c r="EI1238"/>
      <c r="EJ1238"/>
      <c r="EK1238"/>
      <c r="EL1238"/>
      <c r="EM1238"/>
      <c r="EN1238"/>
      <c r="EO1238"/>
      <c r="EP1238"/>
      <c r="EQ1238"/>
      <c r="ER1238"/>
      <c r="ES1238"/>
    </row>
    <row r="1239" spans="1:149">
      <c r="A1239"/>
      <c r="B1239"/>
      <c r="C1239"/>
      <c r="D1239"/>
      <c r="E1239"/>
      <c r="F1239"/>
      <c r="G1239"/>
      <c r="H1239"/>
      <c r="I1239"/>
      <c r="J1239"/>
      <c r="K1239"/>
      <c r="L1239"/>
      <c r="M1239"/>
      <c r="N1239"/>
      <c r="O1239"/>
      <c r="P1239"/>
      <c r="Q1239"/>
      <c r="R1239"/>
      <c r="S1239"/>
      <c r="T1239"/>
      <c r="U1239"/>
      <c r="V1239"/>
      <c r="W1239"/>
      <c r="X1239"/>
      <c r="Y1239"/>
      <c r="Z1239"/>
      <c r="AA1239"/>
      <c r="AB1239"/>
      <c r="AC1239"/>
      <c r="AD1239"/>
      <c r="AE1239"/>
      <c r="AF1239"/>
      <c r="AG1239"/>
      <c r="AH1239"/>
      <c r="AI1239"/>
      <c r="AJ1239"/>
      <c r="AK1239"/>
      <c r="AL1239"/>
      <c r="AM1239"/>
      <c r="AN1239"/>
      <c r="AO1239"/>
      <c r="AP1239"/>
      <c r="AQ1239"/>
      <c r="AR1239"/>
      <c r="AS1239"/>
      <c r="AT1239"/>
      <c r="AU1239"/>
      <c r="AV1239"/>
      <c r="AW1239"/>
      <c r="AX1239"/>
      <c r="AY1239"/>
      <c r="AZ1239"/>
      <c r="BA1239"/>
      <c r="BB1239"/>
      <c r="BC1239"/>
      <c r="BD1239"/>
      <c r="BE1239"/>
      <c r="BF1239"/>
      <c r="BG1239"/>
      <c r="BH1239"/>
      <c r="BI1239"/>
      <c r="BJ1239"/>
      <c r="BK1239"/>
      <c r="BL1239"/>
      <c r="BM1239"/>
      <c r="BN1239"/>
      <c r="BO1239"/>
      <c r="BP1239"/>
      <c r="BQ1239"/>
      <c r="BR1239"/>
      <c r="BS1239"/>
      <c r="BT1239"/>
      <c r="BU1239"/>
      <c r="BV1239"/>
      <c r="BW1239"/>
      <c r="BX1239"/>
      <c r="BY1239"/>
      <c r="BZ1239"/>
      <c r="CA1239"/>
      <c r="CB1239"/>
      <c r="CC1239"/>
      <c r="CD1239"/>
      <c r="CE1239"/>
      <c r="CF1239"/>
      <c r="CG1239"/>
      <c r="CH1239"/>
      <c r="CI1239"/>
      <c r="CJ1239"/>
      <c r="CK1239"/>
      <c r="CL1239"/>
      <c r="CM1239"/>
      <c r="CN1239"/>
      <c r="CO1239"/>
      <c r="CP1239"/>
      <c r="CQ1239"/>
      <c r="CR1239"/>
      <c r="CS1239"/>
      <c r="CT1239"/>
      <c r="CU1239"/>
      <c r="CV1239"/>
      <c r="CW1239"/>
      <c r="CX1239"/>
      <c r="CY1239"/>
      <c r="CZ1239"/>
      <c r="DA1239"/>
      <c r="DB1239"/>
      <c r="DC1239"/>
      <c r="DD1239"/>
      <c r="DE1239"/>
      <c r="DF1239"/>
      <c r="DG1239"/>
      <c r="DH1239"/>
      <c r="DI1239"/>
      <c r="DJ1239"/>
      <c r="DK1239"/>
      <c r="DL1239"/>
      <c r="DM1239"/>
      <c r="DN1239"/>
      <c r="DO1239"/>
      <c r="DP1239"/>
      <c r="DQ1239"/>
      <c r="DR1239"/>
      <c r="DS1239"/>
      <c r="DT1239"/>
      <c r="DU1239"/>
      <c r="DV1239"/>
      <c r="DW1239"/>
      <c r="DX1239"/>
      <c r="DY1239"/>
      <c r="DZ1239"/>
      <c r="EA1239"/>
      <c r="EB1239"/>
      <c r="EC1239"/>
      <c r="ED1239"/>
      <c r="EE1239"/>
      <c r="EF1239"/>
      <c r="EG1239"/>
      <c r="EH1239"/>
      <c r="EI1239"/>
      <c r="EJ1239"/>
      <c r="EK1239"/>
      <c r="EL1239"/>
      <c r="EM1239"/>
      <c r="EN1239"/>
      <c r="EO1239"/>
      <c r="EP1239"/>
      <c r="EQ1239"/>
      <c r="ER1239"/>
      <c r="ES1239"/>
    </row>
    <row r="1240" spans="1:149">
      <c r="A1240"/>
      <c r="B1240"/>
      <c r="C1240"/>
      <c r="D1240"/>
      <c r="E1240"/>
      <c r="F1240"/>
      <c r="G1240"/>
      <c r="H1240"/>
      <c r="I1240"/>
      <c r="J1240"/>
      <c r="K1240"/>
      <c r="L1240"/>
      <c r="M1240"/>
      <c r="N1240"/>
      <c r="O1240"/>
      <c r="P1240"/>
      <c r="Q1240"/>
      <c r="R1240"/>
      <c r="S1240"/>
      <c r="T1240"/>
      <c r="U1240"/>
      <c r="V1240"/>
      <c r="W1240"/>
      <c r="X1240"/>
      <c r="Y1240"/>
      <c r="Z1240"/>
      <c r="AA1240"/>
      <c r="AB1240"/>
      <c r="AC1240"/>
      <c r="AD1240"/>
      <c r="AE1240"/>
      <c r="AF1240"/>
      <c r="AG1240"/>
      <c r="AH1240"/>
      <c r="AI1240"/>
      <c r="AJ1240"/>
      <c r="AK1240"/>
      <c r="AL1240"/>
      <c r="AM1240"/>
      <c r="AN1240"/>
      <c r="AO1240"/>
      <c r="AP1240"/>
      <c r="AQ1240"/>
      <c r="AR1240"/>
      <c r="AS1240"/>
      <c r="AT1240"/>
      <c r="AU1240"/>
      <c r="AV1240"/>
      <c r="AW1240"/>
      <c r="AX1240"/>
      <c r="AY1240"/>
      <c r="AZ1240"/>
      <c r="BA1240"/>
      <c r="BB1240"/>
      <c r="BC1240"/>
      <c r="BD1240"/>
      <c r="BE1240"/>
      <c r="BF1240"/>
      <c r="BG1240"/>
      <c r="BH1240"/>
      <c r="BI1240"/>
      <c r="BJ1240"/>
      <c r="BK1240"/>
      <c r="BL1240"/>
      <c r="BM1240"/>
      <c r="BN1240"/>
      <c r="BO1240"/>
      <c r="BP1240"/>
      <c r="BQ1240"/>
      <c r="BR1240"/>
      <c r="BS1240"/>
      <c r="BT1240"/>
      <c r="BU1240"/>
      <c r="BV1240"/>
      <c r="BW1240"/>
      <c r="BX1240"/>
      <c r="BY1240"/>
      <c r="BZ1240"/>
      <c r="CA1240"/>
      <c r="CB1240"/>
      <c r="CC1240"/>
      <c r="CD1240"/>
      <c r="CE1240"/>
      <c r="CF1240"/>
      <c r="CG1240"/>
      <c r="CH1240"/>
      <c r="CI1240"/>
      <c r="CJ1240"/>
      <c r="CK1240"/>
      <c r="CL1240"/>
      <c r="CM1240"/>
      <c r="CN1240"/>
      <c r="CO1240"/>
      <c r="CP1240"/>
      <c r="CQ1240"/>
      <c r="CR1240"/>
      <c r="CS1240"/>
      <c r="CT1240"/>
      <c r="CU1240"/>
      <c r="CV1240"/>
      <c r="CW1240"/>
      <c r="CX1240"/>
      <c r="CY1240"/>
      <c r="CZ1240"/>
      <c r="DA1240"/>
      <c r="DB1240"/>
      <c r="DC1240"/>
      <c r="DD1240"/>
      <c r="DE1240"/>
      <c r="DF1240"/>
      <c r="DG1240"/>
      <c r="DH1240"/>
      <c r="DI1240"/>
      <c r="DJ1240"/>
      <c r="DK1240"/>
      <c r="DL1240"/>
      <c r="DM1240"/>
      <c r="DN1240"/>
      <c r="DO1240"/>
      <c r="DP1240"/>
      <c r="DQ1240"/>
      <c r="DR1240"/>
      <c r="DS1240"/>
      <c r="DT1240"/>
      <c r="DU1240"/>
      <c r="DV1240"/>
      <c r="DW1240"/>
      <c r="DX1240"/>
      <c r="DY1240"/>
      <c r="DZ1240"/>
      <c r="EA1240"/>
      <c r="EB1240"/>
      <c r="EC1240"/>
      <c r="ED1240"/>
      <c r="EE1240"/>
      <c r="EF1240"/>
      <c r="EG1240"/>
      <c r="EH1240"/>
      <c r="EI1240"/>
      <c r="EJ1240"/>
      <c r="EK1240"/>
      <c r="EL1240"/>
      <c r="EM1240"/>
      <c r="EN1240"/>
      <c r="EO1240"/>
      <c r="EP1240"/>
      <c r="EQ1240"/>
      <c r="ER1240"/>
      <c r="ES1240"/>
    </row>
    <row r="1241" spans="1:149">
      <c r="A1241"/>
      <c r="B1241"/>
      <c r="C1241"/>
      <c r="D1241"/>
      <c r="E1241"/>
      <c r="F1241"/>
      <c r="G1241"/>
      <c r="H1241"/>
      <c r="I1241"/>
      <c r="J1241"/>
      <c r="K1241"/>
      <c r="L1241"/>
      <c r="M1241"/>
      <c r="N1241"/>
      <c r="O1241"/>
      <c r="P1241"/>
      <c r="Q1241"/>
      <c r="R1241"/>
      <c r="S1241"/>
      <c r="T1241"/>
      <c r="U1241"/>
      <c r="V1241"/>
      <c r="W1241"/>
      <c r="X1241"/>
      <c r="Y1241"/>
      <c r="Z1241"/>
      <c r="AA1241"/>
      <c r="AB1241"/>
      <c r="AC1241"/>
      <c r="AD1241"/>
      <c r="AE1241"/>
      <c r="AF1241"/>
      <c r="AG1241"/>
      <c r="AH1241"/>
      <c r="AI1241"/>
      <c r="AJ1241"/>
      <c r="AK1241"/>
      <c r="AL1241"/>
      <c r="AM1241"/>
      <c r="AN1241"/>
      <c r="AO1241"/>
      <c r="AP1241"/>
      <c r="AQ1241"/>
      <c r="AR1241"/>
      <c r="AS1241"/>
      <c r="AT1241"/>
      <c r="AU1241"/>
      <c r="AV1241"/>
      <c r="AW1241"/>
      <c r="AX1241"/>
      <c r="AY1241"/>
      <c r="AZ1241"/>
      <c r="BA1241"/>
      <c r="BB1241"/>
      <c r="BC1241"/>
      <c r="BD1241"/>
      <c r="BE1241"/>
      <c r="BF1241"/>
      <c r="BG1241"/>
      <c r="BH1241"/>
      <c r="BI1241"/>
      <c r="BJ1241"/>
      <c r="BK1241"/>
      <c r="BL1241"/>
      <c r="BM1241"/>
      <c r="BN1241"/>
      <c r="BO1241"/>
      <c r="BP1241"/>
      <c r="BQ1241"/>
      <c r="BR1241"/>
      <c r="BS1241"/>
      <c r="BT1241"/>
      <c r="BU1241"/>
      <c r="BV1241"/>
      <c r="BW1241"/>
      <c r="BX1241"/>
      <c r="BY1241"/>
      <c r="BZ1241"/>
      <c r="CA1241"/>
      <c r="CB1241"/>
      <c r="CC1241"/>
      <c r="CD1241"/>
      <c r="CE1241"/>
      <c r="CF1241"/>
      <c r="CG1241"/>
      <c r="CH1241"/>
      <c r="CI1241"/>
      <c r="CJ1241"/>
      <c r="CK1241"/>
      <c r="CL1241"/>
      <c r="CM1241"/>
      <c r="CN1241"/>
      <c r="CO1241"/>
      <c r="CP1241"/>
      <c r="CQ1241"/>
      <c r="CR1241"/>
      <c r="CS1241"/>
      <c r="CT1241"/>
      <c r="CU1241"/>
      <c r="CV1241"/>
      <c r="CW1241"/>
      <c r="CX1241"/>
      <c r="CY1241"/>
      <c r="CZ1241"/>
      <c r="DA1241"/>
      <c r="DB1241"/>
      <c r="DC1241"/>
      <c r="DD1241"/>
      <c r="DE1241"/>
      <c r="DF1241"/>
      <c r="DG1241"/>
      <c r="DH1241"/>
      <c r="DI1241"/>
      <c r="DJ1241"/>
      <c r="DK1241"/>
      <c r="DL1241"/>
      <c r="DM1241"/>
      <c r="DN1241"/>
      <c r="DO1241"/>
      <c r="DP1241"/>
      <c r="DQ1241"/>
      <c r="DR1241"/>
      <c r="DS1241"/>
      <c r="DT1241"/>
      <c r="DU1241"/>
      <c r="DV1241"/>
      <c r="DW1241"/>
      <c r="DX1241"/>
      <c r="DY1241"/>
      <c r="DZ1241"/>
      <c r="EA1241"/>
      <c r="EB1241"/>
      <c r="EC1241"/>
      <c r="ED1241"/>
      <c r="EE1241"/>
      <c r="EF1241"/>
      <c r="EG1241"/>
      <c r="EH1241"/>
      <c r="EI1241"/>
      <c r="EJ1241"/>
      <c r="EK1241"/>
      <c r="EL1241"/>
      <c r="EM1241"/>
      <c r="EN1241"/>
      <c r="EO1241"/>
      <c r="EP1241"/>
      <c r="EQ1241"/>
      <c r="ER1241"/>
      <c r="ES1241"/>
    </row>
    <row r="1242" spans="1:149">
      <c r="A1242"/>
      <c r="B1242"/>
      <c r="C1242"/>
      <c r="D1242"/>
      <c r="E1242"/>
      <c r="F1242"/>
      <c r="G1242"/>
      <c r="H1242"/>
      <c r="I1242"/>
      <c r="J1242"/>
      <c r="K1242"/>
      <c r="L1242"/>
      <c r="M1242"/>
      <c r="N1242"/>
      <c r="O1242"/>
      <c r="P1242"/>
      <c r="Q1242"/>
      <c r="R1242"/>
      <c r="S1242"/>
      <c r="T1242"/>
      <c r="U1242"/>
      <c r="V1242"/>
      <c r="W1242"/>
      <c r="X1242"/>
      <c r="Y1242"/>
      <c r="Z1242"/>
      <c r="AA1242"/>
      <c r="AB1242"/>
      <c r="AC1242"/>
      <c r="AD1242"/>
      <c r="AE1242"/>
      <c r="AF1242"/>
      <c r="AG1242"/>
      <c r="AH1242"/>
      <c r="AI1242"/>
      <c r="AJ1242"/>
      <c r="AK1242"/>
      <c r="AL1242"/>
      <c r="AM1242"/>
      <c r="AN1242"/>
      <c r="AO1242"/>
      <c r="AP1242"/>
      <c r="AQ1242"/>
      <c r="AR1242"/>
      <c r="AS1242"/>
      <c r="AT1242"/>
      <c r="AU1242"/>
      <c r="AV1242"/>
      <c r="AW1242"/>
      <c r="AX1242"/>
      <c r="AY1242"/>
      <c r="AZ1242"/>
      <c r="BA1242"/>
      <c r="BB1242"/>
      <c r="BC1242"/>
      <c r="BD1242"/>
      <c r="BE1242"/>
      <c r="BF1242"/>
      <c r="BG1242"/>
      <c r="BH1242"/>
      <c r="BI1242"/>
      <c r="BJ1242"/>
      <c r="BK1242"/>
      <c r="BL1242"/>
      <c r="BM1242"/>
      <c r="BN1242"/>
      <c r="BO1242"/>
      <c r="BP1242"/>
      <c r="BQ1242"/>
      <c r="BR1242"/>
      <c r="BS1242"/>
      <c r="BT1242"/>
      <c r="BU1242"/>
      <c r="BV1242"/>
      <c r="BW1242"/>
      <c r="BX1242"/>
      <c r="BY1242"/>
      <c r="BZ1242"/>
      <c r="CA1242"/>
      <c r="CB1242"/>
      <c r="CC1242"/>
      <c r="CD1242"/>
      <c r="CE1242"/>
      <c r="CF1242"/>
      <c r="CG1242"/>
      <c r="CH1242"/>
      <c r="CI1242"/>
      <c r="CJ1242"/>
      <c r="CK1242"/>
      <c r="CL1242"/>
      <c r="CM1242"/>
      <c r="CN1242"/>
      <c r="CO1242"/>
      <c r="CP1242"/>
      <c r="CQ1242"/>
      <c r="CR1242"/>
      <c r="CS1242"/>
      <c r="CT1242"/>
      <c r="CU1242"/>
      <c r="CV1242"/>
      <c r="CW1242"/>
      <c r="CX1242"/>
      <c r="CY1242"/>
      <c r="CZ1242"/>
      <c r="DA1242"/>
      <c r="DB1242"/>
      <c r="DC1242"/>
      <c r="DD1242"/>
      <c r="DE1242"/>
      <c r="DF1242"/>
      <c r="DG1242"/>
      <c r="DH1242"/>
      <c r="DI1242"/>
      <c r="DJ1242"/>
      <c r="DK1242"/>
      <c r="DL1242"/>
      <c r="DM1242"/>
      <c r="DN1242"/>
      <c r="DO1242"/>
      <c r="DP1242"/>
      <c r="DQ1242"/>
      <c r="DR1242"/>
      <c r="DS1242"/>
      <c r="DT1242"/>
      <c r="DU1242"/>
      <c r="DV1242"/>
      <c r="DW1242"/>
      <c r="DX1242"/>
      <c r="DY1242"/>
      <c r="DZ1242"/>
      <c r="EA1242"/>
      <c r="EB1242"/>
      <c r="EC1242"/>
      <c r="ED1242"/>
      <c r="EE1242"/>
      <c r="EF1242"/>
      <c r="EG1242"/>
      <c r="EH1242"/>
      <c r="EI1242"/>
      <c r="EJ1242"/>
      <c r="EK1242"/>
      <c r="EL1242"/>
      <c r="EM1242"/>
      <c r="EN1242"/>
      <c r="EO1242"/>
      <c r="EP1242"/>
      <c r="EQ1242"/>
      <c r="ER1242"/>
      <c r="ES1242"/>
    </row>
    <row r="1243" spans="1:149">
      <c r="A1243"/>
      <c r="B1243"/>
      <c r="C1243"/>
      <c r="D1243"/>
      <c r="E1243"/>
      <c r="F1243"/>
      <c r="G1243"/>
      <c r="H1243"/>
      <c r="I1243"/>
      <c r="J1243"/>
      <c r="K1243"/>
      <c r="L1243"/>
      <c r="M1243"/>
      <c r="N1243"/>
      <c r="O1243"/>
      <c r="P1243"/>
      <c r="Q1243"/>
      <c r="R1243"/>
      <c r="S1243"/>
      <c r="T1243"/>
      <c r="U1243"/>
      <c r="V1243"/>
      <c r="W1243"/>
      <c r="X1243"/>
      <c r="Y1243"/>
      <c r="Z1243"/>
      <c r="AA1243"/>
      <c r="AB1243"/>
      <c r="AC1243"/>
      <c r="AD1243"/>
      <c r="AE1243"/>
      <c r="AF1243"/>
      <c r="AG1243"/>
      <c r="AH1243"/>
      <c r="AI1243"/>
      <c r="AJ1243"/>
      <c r="AK1243"/>
      <c r="AL1243"/>
      <c r="AM1243"/>
      <c r="AN1243"/>
      <c r="AO1243"/>
      <c r="AP1243"/>
      <c r="AQ1243"/>
      <c r="AR1243"/>
      <c r="AS1243"/>
      <c r="AT1243"/>
      <c r="AU1243"/>
      <c r="AV1243"/>
      <c r="AW1243"/>
      <c r="AX1243"/>
      <c r="AY1243"/>
      <c r="AZ1243"/>
      <c r="BA1243"/>
      <c r="BB1243"/>
      <c r="BC1243"/>
      <c r="BD1243"/>
      <c r="BE1243"/>
      <c r="BF1243"/>
      <c r="BG1243"/>
      <c r="BH1243"/>
      <c r="BI1243"/>
      <c r="BJ1243"/>
      <c r="BK1243"/>
      <c r="BL1243"/>
      <c r="BM1243"/>
      <c r="BN1243"/>
      <c r="BO1243"/>
      <c r="BP1243"/>
      <c r="BQ1243"/>
      <c r="BR1243"/>
      <c r="BS1243"/>
      <c r="BT1243"/>
      <c r="BU1243"/>
      <c r="BV1243"/>
      <c r="BW1243"/>
      <c r="BX1243"/>
      <c r="BY1243"/>
      <c r="BZ1243"/>
      <c r="CA1243"/>
      <c r="CB1243"/>
      <c r="CC1243"/>
      <c r="CD1243"/>
      <c r="CE1243"/>
      <c r="CF1243"/>
      <c r="CG1243"/>
      <c r="CH1243"/>
      <c r="CI1243"/>
      <c r="CJ1243"/>
      <c r="CK1243"/>
      <c r="CL1243"/>
      <c r="CM1243"/>
      <c r="CN1243"/>
      <c r="CO1243"/>
      <c r="CP1243"/>
      <c r="CQ1243"/>
      <c r="CR1243"/>
      <c r="CS1243"/>
      <c r="CT1243"/>
      <c r="CU1243"/>
      <c r="CV1243"/>
      <c r="CW1243"/>
      <c r="CX1243"/>
      <c r="CY1243"/>
      <c r="CZ1243"/>
      <c r="DA1243"/>
      <c r="DB1243"/>
      <c r="DC1243"/>
      <c r="DD1243"/>
      <c r="DE1243"/>
      <c r="DF1243"/>
      <c r="DG1243"/>
      <c r="DH1243"/>
      <c r="DI1243"/>
      <c r="DJ1243"/>
      <c r="DK1243"/>
      <c r="DL1243"/>
      <c r="DM1243"/>
      <c r="DN1243"/>
      <c r="DO1243"/>
      <c r="DP1243"/>
      <c r="DQ1243"/>
      <c r="DR1243"/>
      <c r="DS1243"/>
      <c r="DT1243"/>
      <c r="DU1243"/>
      <c r="DV1243"/>
      <c r="DW1243"/>
      <c r="DX1243"/>
      <c r="DY1243"/>
      <c r="DZ1243"/>
      <c r="EA1243"/>
      <c r="EB1243"/>
      <c r="EC1243"/>
      <c r="ED1243"/>
      <c r="EE1243"/>
      <c r="EF1243"/>
      <c r="EG1243"/>
      <c r="EH1243"/>
      <c r="EI1243"/>
      <c r="EJ1243"/>
      <c r="EK1243"/>
      <c r="EL1243"/>
      <c r="EM1243"/>
      <c r="EN1243"/>
      <c r="EO1243"/>
      <c r="EP1243"/>
      <c r="EQ1243"/>
      <c r="ER1243"/>
      <c r="ES1243"/>
    </row>
    <row r="1244" spans="1:149">
      <c r="A1244"/>
      <c r="B1244"/>
      <c r="C1244"/>
      <c r="D1244"/>
      <c r="E1244"/>
      <c r="F1244"/>
      <c r="G1244"/>
      <c r="H1244"/>
      <c r="I1244"/>
      <c r="J1244"/>
      <c r="K1244"/>
      <c r="L1244"/>
      <c r="M1244"/>
      <c r="N1244"/>
      <c r="O1244"/>
      <c r="P1244"/>
      <c r="Q1244"/>
      <c r="R1244"/>
      <c r="S1244"/>
      <c r="T1244"/>
      <c r="U1244"/>
      <c r="V1244"/>
      <c r="W1244"/>
      <c r="X1244"/>
      <c r="Y1244"/>
      <c r="Z1244"/>
      <c r="AA1244"/>
      <c r="AB1244"/>
      <c r="AC1244"/>
      <c r="AD1244"/>
      <c r="AE1244"/>
      <c r="AF1244"/>
      <c r="AG1244"/>
      <c r="AH1244"/>
      <c r="AI1244"/>
      <c r="AJ1244"/>
      <c r="AK1244"/>
      <c r="AL1244"/>
      <c r="AM1244"/>
      <c r="AN1244"/>
      <c r="AO1244"/>
      <c r="AP1244"/>
      <c r="AQ1244"/>
      <c r="AR1244"/>
      <c r="AS1244"/>
      <c r="AT1244"/>
      <c r="AU1244"/>
      <c r="AV1244"/>
      <c r="AW1244"/>
      <c r="AX1244"/>
      <c r="AY1244"/>
      <c r="AZ1244"/>
      <c r="BA1244"/>
      <c r="BB1244"/>
      <c r="BC1244"/>
      <c r="BD1244"/>
      <c r="BE1244"/>
      <c r="BF1244"/>
      <c r="BG1244"/>
      <c r="BH1244"/>
      <c r="BI1244"/>
      <c r="BJ1244"/>
      <c r="BK1244"/>
      <c r="BL1244"/>
      <c r="BM1244"/>
      <c r="BN1244"/>
      <c r="BO1244"/>
      <c r="BP1244"/>
      <c r="BQ1244"/>
      <c r="BR1244"/>
      <c r="BS1244"/>
      <c r="BT1244"/>
      <c r="BU1244"/>
      <c r="BV1244"/>
      <c r="BW1244"/>
      <c r="BX1244"/>
      <c r="BY1244"/>
      <c r="BZ1244"/>
      <c r="CA1244"/>
      <c r="CB1244"/>
      <c r="CC1244"/>
      <c r="CD1244"/>
      <c r="CE1244"/>
      <c r="CF1244"/>
      <c r="CG1244"/>
      <c r="CH1244"/>
      <c r="CI1244"/>
      <c r="CJ1244"/>
      <c r="CK1244"/>
      <c r="CL1244"/>
      <c r="CM1244"/>
      <c r="CN1244"/>
      <c r="CO1244"/>
      <c r="CP1244"/>
      <c r="CQ1244"/>
      <c r="CR1244"/>
      <c r="CS1244"/>
      <c r="CT1244"/>
      <c r="CU1244"/>
      <c r="CV1244"/>
      <c r="CW1244"/>
      <c r="CX1244"/>
      <c r="CY1244"/>
      <c r="CZ1244"/>
      <c r="DA1244"/>
      <c r="DB1244"/>
      <c r="DC1244"/>
      <c r="DD1244"/>
      <c r="DE1244"/>
      <c r="DF1244"/>
      <c r="DG1244"/>
      <c r="DH1244"/>
      <c r="DI1244"/>
      <c r="DJ1244"/>
      <c r="DK1244"/>
      <c r="DL1244"/>
      <c r="DM1244"/>
      <c r="DN1244"/>
      <c r="DO1244"/>
      <c r="DP1244"/>
      <c r="DQ1244"/>
      <c r="DR1244"/>
      <c r="DS1244"/>
      <c r="DT1244"/>
      <c r="DU1244"/>
      <c r="DV1244"/>
      <c r="DW1244"/>
      <c r="DX1244"/>
      <c r="DY1244"/>
      <c r="DZ1244"/>
      <c r="EA1244"/>
      <c r="EB1244"/>
      <c r="EC1244"/>
      <c r="ED1244"/>
      <c r="EE1244"/>
      <c r="EF1244"/>
      <c r="EG1244"/>
      <c r="EH1244"/>
      <c r="EI1244"/>
      <c r="EJ1244"/>
      <c r="EK1244"/>
      <c r="EL1244"/>
      <c r="EM1244"/>
      <c r="EN1244"/>
      <c r="EO1244"/>
      <c r="EP1244"/>
      <c r="EQ1244"/>
      <c r="ER1244"/>
      <c r="ES1244"/>
    </row>
    <row r="1245" spans="1:149">
      <c r="A1245"/>
      <c r="B1245"/>
      <c r="C1245"/>
      <c r="D1245"/>
      <c r="E1245"/>
      <c r="F1245"/>
      <c r="G1245"/>
      <c r="H1245"/>
      <c r="I1245"/>
      <c r="J1245"/>
      <c r="K1245"/>
      <c r="L1245"/>
      <c r="M1245"/>
      <c r="N1245"/>
      <c r="O1245"/>
      <c r="P1245"/>
      <c r="Q1245"/>
      <c r="R1245"/>
      <c r="S1245"/>
      <c r="T1245"/>
      <c r="U1245"/>
      <c r="V1245"/>
      <c r="W1245"/>
      <c r="X1245"/>
      <c r="Y1245"/>
      <c r="Z1245"/>
      <c r="AA1245"/>
      <c r="AB1245"/>
      <c r="AC1245"/>
      <c r="AD1245"/>
      <c r="AE1245"/>
      <c r="AF1245"/>
      <c r="AG1245"/>
      <c r="AH1245"/>
      <c r="AI1245"/>
      <c r="AJ1245"/>
      <c r="AK1245"/>
      <c r="AL1245"/>
      <c r="AM1245"/>
      <c r="AN1245"/>
      <c r="AO1245"/>
      <c r="AP1245"/>
      <c r="AQ1245"/>
      <c r="AR1245"/>
      <c r="AS1245"/>
      <c r="AT1245"/>
      <c r="AU1245"/>
      <c r="AV1245"/>
      <c r="AW1245"/>
      <c r="AX1245"/>
      <c r="AY1245"/>
      <c r="AZ1245"/>
      <c r="BA1245"/>
      <c r="BB1245"/>
      <c r="BC1245"/>
      <c r="BD1245"/>
      <c r="BE1245"/>
      <c r="BF1245"/>
      <c r="BG1245"/>
      <c r="BH1245"/>
      <c r="BI1245"/>
      <c r="BJ1245"/>
      <c r="BK1245"/>
      <c r="BL1245"/>
      <c r="BM1245"/>
      <c r="BN1245"/>
      <c r="BO1245"/>
      <c r="BP1245"/>
      <c r="BQ1245"/>
      <c r="BR1245"/>
      <c r="BS1245"/>
      <c r="BT1245"/>
      <c r="BU1245"/>
      <c r="BV1245"/>
      <c r="BW1245"/>
      <c r="BX1245"/>
      <c r="BY1245"/>
      <c r="BZ1245"/>
      <c r="CA1245"/>
      <c r="CB1245"/>
      <c r="CC1245"/>
      <c r="CD1245"/>
      <c r="CE1245"/>
      <c r="CF1245"/>
      <c r="CG1245"/>
      <c r="CH1245"/>
      <c r="CI1245"/>
      <c r="CJ1245"/>
      <c r="CK1245"/>
      <c r="CL1245"/>
      <c r="CM1245"/>
      <c r="CN1245"/>
      <c r="CO1245"/>
      <c r="CP1245"/>
      <c r="CQ1245"/>
      <c r="CR1245"/>
      <c r="CS1245"/>
      <c r="CT1245"/>
      <c r="CU1245"/>
      <c r="CV1245"/>
      <c r="CW1245"/>
      <c r="CX1245"/>
      <c r="CY1245"/>
      <c r="CZ1245"/>
      <c r="DA1245"/>
      <c r="DB1245"/>
      <c r="DC1245"/>
      <c r="DD1245"/>
      <c r="DE1245"/>
      <c r="DF1245"/>
      <c r="DG1245"/>
      <c r="DH1245"/>
      <c r="DI1245"/>
      <c r="DJ1245"/>
      <c r="DK1245"/>
      <c r="DL1245"/>
      <c r="DM1245"/>
      <c r="DN1245"/>
      <c r="DO1245"/>
      <c r="DP1245"/>
      <c r="DQ1245"/>
      <c r="DR1245"/>
      <c r="DS1245"/>
      <c r="DT1245"/>
      <c r="DU1245"/>
      <c r="DV1245"/>
      <c r="DW1245"/>
      <c r="DX1245"/>
      <c r="DY1245"/>
      <c r="DZ1245"/>
      <c r="EA1245"/>
      <c r="EB1245"/>
      <c r="EC1245"/>
      <c r="ED1245"/>
      <c r="EE1245"/>
      <c r="EF1245"/>
      <c r="EG1245"/>
      <c r="EH1245"/>
      <c r="EI1245"/>
      <c r="EJ1245"/>
      <c r="EK1245"/>
      <c r="EL1245"/>
      <c r="EM1245"/>
      <c r="EN1245"/>
      <c r="EO1245"/>
      <c r="EP1245"/>
      <c r="EQ1245"/>
      <c r="ER1245"/>
      <c r="ES1245"/>
    </row>
    <row r="1246" spans="1:149">
      <c r="A1246"/>
      <c r="B1246"/>
      <c r="C1246"/>
      <c r="D1246"/>
      <c r="E1246"/>
      <c r="F1246"/>
      <c r="G1246"/>
      <c r="H1246"/>
      <c r="I1246"/>
      <c r="J1246"/>
      <c r="K1246"/>
      <c r="L1246"/>
      <c r="M1246"/>
      <c r="N1246"/>
      <c r="O1246"/>
      <c r="P1246"/>
      <c r="Q1246"/>
      <c r="R1246"/>
      <c r="S1246"/>
      <c r="T1246"/>
      <c r="U1246"/>
      <c r="V1246"/>
      <c r="W1246"/>
      <c r="X1246"/>
      <c r="Y1246"/>
      <c r="Z1246"/>
      <c r="AA1246"/>
      <c r="AB1246"/>
      <c r="AC1246"/>
      <c r="AD1246"/>
      <c r="AE1246"/>
      <c r="AF1246"/>
      <c r="AG1246"/>
      <c r="AH1246"/>
      <c r="AI1246"/>
      <c r="AJ1246"/>
      <c r="AK1246"/>
      <c r="AL1246"/>
      <c r="AM1246"/>
      <c r="AN1246"/>
      <c r="AO1246"/>
      <c r="AP1246"/>
      <c r="AQ1246"/>
      <c r="AR1246"/>
      <c r="AS1246"/>
      <c r="AT1246"/>
      <c r="AU1246"/>
      <c r="AV1246"/>
      <c r="AW1246"/>
      <c r="AX1246"/>
      <c r="AY1246"/>
      <c r="AZ1246"/>
      <c r="BA1246"/>
      <c r="BB1246"/>
      <c r="BC1246"/>
      <c r="BD1246"/>
      <c r="BE1246"/>
      <c r="BF1246"/>
      <c r="BG1246"/>
      <c r="BH1246"/>
      <c r="BI1246"/>
      <c r="BJ1246"/>
      <c r="BK1246"/>
      <c r="BL1246"/>
      <c r="BM1246"/>
      <c r="BN1246"/>
      <c r="BO1246"/>
      <c r="BP1246"/>
      <c r="BQ1246"/>
      <c r="BR1246"/>
      <c r="BS1246"/>
      <c r="BT1246"/>
      <c r="BU1246"/>
      <c r="BV1246"/>
      <c r="BW1246"/>
      <c r="BX1246"/>
      <c r="BY1246"/>
      <c r="BZ1246"/>
      <c r="CA1246"/>
      <c r="CB1246"/>
      <c r="CC1246"/>
      <c r="CD1246"/>
      <c r="CE1246"/>
      <c r="CF1246"/>
      <c r="CG1246"/>
      <c r="CH1246"/>
      <c r="CI1246"/>
      <c r="CJ1246"/>
      <c r="CK1246"/>
      <c r="CL1246"/>
      <c r="CM1246"/>
      <c r="CN1246"/>
      <c r="CO1246"/>
      <c r="CP1246"/>
      <c r="CQ1246"/>
      <c r="CR1246"/>
      <c r="CS1246"/>
      <c r="CT1246"/>
      <c r="CU1246"/>
      <c r="CV1246"/>
      <c r="CW1246"/>
      <c r="CX1246"/>
      <c r="CY1246"/>
      <c r="CZ1246"/>
      <c r="DA1246"/>
      <c r="DB1246"/>
      <c r="DC1246"/>
      <c r="DD1246"/>
      <c r="DE1246"/>
      <c r="DF1246"/>
      <c r="DG1246"/>
      <c r="DH1246"/>
      <c r="DI1246"/>
      <c r="DJ1246"/>
      <c r="DK1246"/>
      <c r="DL1246"/>
      <c r="DM1246"/>
      <c r="DN1246"/>
      <c r="DO1246"/>
      <c r="DP1246"/>
      <c r="DQ1246"/>
      <c r="DR1246"/>
      <c r="DS1246"/>
      <c r="DT1246"/>
      <c r="DU1246"/>
      <c r="DV1246"/>
      <c r="DW1246"/>
      <c r="DX1246"/>
      <c r="DY1246"/>
      <c r="DZ1246"/>
      <c r="EA1246"/>
      <c r="EB1246"/>
      <c r="EC1246"/>
      <c r="ED1246"/>
      <c r="EE1246"/>
      <c r="EF1246"/>
      <c r="EG1246"/>
      <c r="EH1246"/>
      <c r="EI1246"/>
      <c r="EJ1246"/>
      <c r="EK1246"/>
      <c r="EL1246"/>
      <c r="EM1246"/>
      <c r="EN1246"/>
      <c r="EO1246"/>
      <c r="EP1246"/>
      <c r="EQ1246"/>
      <c r="ER1246"/>
      <c r="ES1246"/>
    </row>
    <row r="1247" spans="1:149">
      <c r="A1247"/>
      <c r="B1247"/>
      <c r="C1247"/>
      <c r="D1247"/>
      <c r="E1247"/>
      <c r="F1247"/>
      <c r="G1247"/>
      <c r="H1247"/>
      <c r="I1247"/>
      <c r="J1247"/>
      <c r="K1247"/>
      <c r="L1247"/>
      <c r="M1247"/>
      <c r="N1247"/>
      <c r="O1247"/>
      <c r="P1247"/>
      <c r="Q1247"/>
      <c r="R1247"/>
      <c r="S1247"/>
      <c r="T1247"/>
      <c r="U1247"/>
      <c r="V1247"/>
      <c r="W1247"/>
      <c r="X1247"/>
      <c r="Y1247"/>
      <c r="Z1247"/>
      <c r="AA1247"/>
      <c r="AB1247"/>
      <c r="AC1247"/>
      <c r="AD1247"/>
      <c r="AE1247"/>
      <c r="AF1247"/>
      <c r="AG1247"/>
      <c r="AH1247"/>
      <c r="AI1247"/>
      <c r="AJ1247"/>
      <c r="AK1247"/>
      <c r="AL1247"/>
      <c r="AM1247"/>
      <c r="AN1247"/>
      <c r="AO1247"/>
      <c r="AP1247"/>
      <c r="AQ1247"/>
      <c r="AR1247"/>
      <c r="AS1247"/>
      <c r="AT1247"/>
      <c r="AU1247"/>
      <c r="AV1247"/>
      <c r="AW1247"/>
      <c r="AX1247"/>
      <c r="AY1247"/>
      <c r="AZ1247"/>
      <c r="BA1247"/>
      <c r="BB1247"/>
      <c r="BC1247"/>
      <c r="BD1247"/>
      <c r="BE1247"/>
      <c r="BF1247"/>
      <c r="BG1247"/>
      <c r="BH1247"/>
      <c r="BI1247"/>
      <c r="BJ1247"/>
      <c r="BK1247"/>
      <c r="BL1247"/>
      <c r="BM1247"/>
      <c r="BN1247"/>
      <c r="BO1247"/>
      <c r="BP1247"/>
      <c r="BQ1247"/>
      <c r="BR1247"/>
      <c r="BS1247"/>
      <c r="BT1247"/>
      <c r="BU1247"/>
      <c r="BV1247"/>
      <c r="BW1247"/>
      <c r="BX1247"/>
      <c r="BY1247"/>
      <c r="BZ1247"/>
      <c r="CA1247"/>
      <c r="CB1247"/>
      <c r="CC1247"/>
      <c r="CD1247"/>
      <c r="CE1247"/>
      <c r="CF1247"/>
      <c r="CG1247"/>
      <c r="CH1247"/>
      <c r="CI1247"/>
      <c r="CJ1247"/>
      <c r="CK1247"/>
      <c r="CL1247"/>
      <c r="CM1247"/>
      <c r="CN1247"/>
      <c r="CO1247"/>
      <c r="CP1247"/>
      <c r="CQ1247"/>
      <c r="CR1247"/>
      <c r="CS1247"/>
      <c r="CT1247"/>
      <c r="CU1247"/>
      <c r="CV1247"/>
      <c r="CW1247"/>
      <c r="CX1247"/>
      <c r="CY1247"/>
      <c r="CZ1247"/>
      <c r="DA1247"/>
      <c r="DB1247"/>
      <c r="DC1247"/>
      <c r="DD1247"/>
      <c r="DE1247"/>
      <c r="DF1247"/>
      <c r="DG1247"/>
      <c r="DH1247"/>
      <c r="DI1247"/>
      <c r="DJ1247"/>
      <c r="DK1247"/>
      <c r="DL1247"/>
      <c r="DM1247"/>
      <c r="DN1247"/>
      <c r="DO1247"/>
      <c r="DP1247"/>
      <c r="DQ1247"/>
      <c r="DR1247"/>
      <c r="DS1247"/>
      <c r="DT1247"/>
      <c r="DU1247"/>
      <c r="DV1247"/>
      <c r="DW1247"/>
      <c r="DX1247"/>
      <c r="DY1247"/>
      <c r="DZ1247"/>
      <c r="EA1247"/>
      <c r="EB1247"/>
      <c r="EC1247"/>
      <c r="ED1247"/>
      <c r="EE1247"/>
      <c r="EF1247"/>
      <c r="EG1247"/>
      <c r="EH1247"/>
      <c r="EI1247"/>
      <c r="EJ1247"/>
      <c r="EK1247"/>
      <c r="EL1247"/>
      <c r="EM1247"/>
      <c r="EN1247"/>
      <c r="EO1247"/>
      <c r="EP1247"/>
      <c r="EQ1247"/>
      <c r="ER1247"/>
      <c r="ES1247"/>
    </row>
    <row r="1248" spans="1:149">
      <c r="A1248"/>
      <c r="B1248"/>
      <c r="C1248"/>
      <c r="D1248"/>
      <c r="E1248"/>
      <c r="F1248"/>
      <c r="G1248"/>
      <c r="H1248"/>
      <c r="I1248"/>
      <c r="J1248"/>
      <c r="K1248"/>
      <c r="L1248"/>
      <c r="M1248"/>
      <c r="N1248"/>
      <c r="O1248"/>
      <c r="P1248"/>
      <c r="Q1248"/>
      <c r="R1248"/>
      <c r="S1248"/>
      <c r="T1248"/>
      <c r="U1248"/>
      <c r="V1248"/>
      <c r="W1248"/>
      <c r="X1248"/>
      <c r="Y1248"/>
      <c r="Z1248"/>
      <c r="AA1248"/>
      <c r="AB1248"/>
      <c r="AC1248"/>
      <c r="AD1248"/>
      <c r="AE1248"/>
      <c r="AF1248"/>
      <c r="AG1248"/>
      <c r="AH1248"/>
      <c r="AI1248"/>
      <c r="AJ1248"/>
      <c r="AK1248"/>
      <c r="AL1248"/>
      <c r="AM1248"/>
      <c r="AN1248"/>
      <c r="AO1248"/>
      <c r="AP1248"/>
      <c r="AQ1248"/>
      <c r="AR1248"/>
      <c r="AS1248"/>
      <c r="AT1248"/>
      <c r="AU1248"/>
      <c r="AV1248"/>
      <c r="AW1248"/>
      <c r="AX1248"/>
      <c r="AY1248"/>
      <c r="AZ1248"/>
      <c r="BA1248"/>
      <c r="BB1248"/>
      <c r="BC1248"/>
      <c r="BD1248"/>
      <c r="BE1248"/>
      <c r="BF1248"/>
      <c r="BG1248"/>
      <c r="BH1248"/>
      <c r="BI1248"/>
      <c r="BJ1248"/>
      <c r="BK1248"/>
      <c r="BL1248"/>
      <c r="BM1248"/>
      <c r="BN1248"/>
      <c r="BO1248"/>
      <c r="BP1248"/>
      <c r="BQ1248"/>
      <c r="BR1248"/>
      <c r="BS1248"/>
      <c r="BT1248"/>
      <c r="BU1248"/>
      <c r="BV1248"/>
      <c r="BW1248"/>
      <c r="BX1248"/>
      <c r="BY1248"/>
      <c r="BZ1248"/>
      <c r="CA1248"/>
      <c r="CB1248"/>
      <c r="CC1248"/>
      <c r="CD1248"/>
      <c r="CE1248"/>
      <c r="CF1248"/>
      <c r="CG1248"/>
      <c r="CH1248"/>
      <c r="CI1248"/>
      <c r="CJ1248"/>
      <c r="CK1248"/>
      <c r="CL1248"/>
      <c r="CM1248"/>
      <c r="CN1248"/>
      <c r="CO1248"/>
      <c r="CP1248"/>
      <c r="CQ1248"/>
      <c r="CR1248"/>
      <c r="CS1248"/>
      <c r="CT1248"/>
      <c r="CU1248"/>
      <c r="CV1248"/>
      <c r="CW1248"/>
      <c r="CX1248"/>
      <c r="CY1248"/>
      <c r="CZ1248"/>
      <c r="DA1248"/>
      <c r="DB1248"/>
      <c r="DC1248"/>
      <c r="DD1248"/>
      <c r="DE1248"/>
      <c r="DF1248"/>
      <c r="DG1248"/>
      <c r="DH1248"/>
      <c r="DI1248"/>
      <c r="DJ1248"/>
      <c r="DK1248"/>
      <c r="DL1248"/>
      <c r="DM1248"/>
      <c r="DN1248"/>
      <c r="DO1248"/>
      <c r="DP1248"/>
      <c r="DQ1248"/>
      <c r="DR1248"/>
      <c r="DS1248"/>
      <c r="DT1248"/>
      <c r="DU1248"/>
      <c r="DV1248"/>
      <c r="DW1248"/>
      <c r="DX1248"/>
      <c r="DY1248"/>
      <c r="DZ1248"/>
      <c r="EA1248"/>
      <c r="EB1248"/>
      <c r="EC1248"/>
      <c r="ED1248"/>
      <c r="EE1248"/>
      <c r="EF1248"/>
      <c r="EG1248"/>
      <c r="EH1248"/>
      <c r="EI1248"/>
      <c r="EJ1248"/>
      <c r="EK1248"/>
      <c r="EL1248"/>
      <c r="EM1248"/>
      <c r="EN1248"/>
      <c r="EO1248"/>
      <c r="EP1248"/>
      <c r="EQ1248"/>
      <c r="ER1248"/>
      <c r="ES1248"/>
    </row>
    <row r="1249" spans="1:149">
      <c r="A1249"/>
      <c r="B1249"/>
      <c r="C1249"/>
      <c r="D1249"/>
      <c r="E1249"/>
      <c r="F1249"/>
      <c r="G1249"/>
      <c r="H1249"/>
      <c r="I1249"/>
      <c r="J1249"/>
      <c r="K1249"/>
      <c r="L1249"/>
      <c r="M1249"/>
      <c r="N1249"/>
      <c r="O1249"/>
      <c r="P1249"/>
      <c r="Q1249"/>
      <c r="R1249"/>
      <c r="S1249"/>
      <c r="T1249"/>
      <c r="U1249"/>
      <c r="V1249"/>
      <c r="W1249"/>
      <c r="X1249"/>
      <c r="Y1249"/>
      <c r="Z1249"/>
      <c r="AA1249"/>
      <c r="AB1249"/>
      <c r="AC1249"/>
      <c r="AD1249"/>
      <c r="AE1249"/>
      <c r="AF1249"/>
      <c r="AG1249"/>
      <c r="AH1249"/>
      <c r="AI1249"/>
      <c r="AJ1249"/>
      <c r="AK1249"/>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c r="BP1249"/>
      <c r="BQ1249"/>
      <c r="BR1249"/>
      <c r="BS1249"/>
      <c r="BT1249"/>
      <c r="BU1249"/>
      <c r="BV1249"/>
      <c r="BW1249"/>
      <c r="BX1249"/>
      <c r="BY1249"/>
      <c r="BZ1249"/>
      <c r="CA1249"/>
      <c r="CB1249"/>
      <c r="CC1249"/>
      <c r="CD1249"/>
      <c r="CE1249"/>
      <c r="CF1249"/>
      <c r="CG1249"/>
      <c r="CH1249"/>
      <c r="CI1249"/>
      <c r="CJ1249"/>
      <c r="CK1249"/>
      <c r="CL1249"/>
      <c r="CM1249"/>
      <c r="CN1249"/>
      <c r="CO1249"/>
      <c r="CP1249"/>
      <c r="CQ1249"/>
      <c r="CR1249"/>
      <c r="CS1249"/>
      <c r="CT1249"/>
      <c r="CU1249"/>
      <c r="CV1249"/>
      <c r="CW1249"/>
      <c r="CX1249"/>
      <c r="CY1249"/>
      <c r="CZ1249"/>
      <c r="DA1249"/>
      <c r="DB1249"/>
      <c r="DC1249"/>
      <c r="DD1249"/>
      <c r="DE1249"/>
      <c r="DF1249"/>
      <c r="DG1249"/>
      <c r="DH1249"/>
      <c r="DI1249"/>
      <c r="DJ1249"/>
      <c r="DK1249"/>
      <c r="DL1249"/>
      <c r="DM1249"/>
      <c r="DN1249"/>
      <c r="DO1249"/>
      <c r="DP1249"/>
      <c r="DQ1249"/>
      <c r="DR1249"/>
      <c r="DS1249"/>
      <c r="DT1249"/>
      <c r="DU1249"/>
      <c r="DV1249"/>
      <c r="DW1249"/>
      <c r="DX1249"/>
      <c r="DY1249"/>
      <c r="DZ1249"/>
      <c r="EA1249"/>
      <c r="EB1249"/>
      <c r="EC1249"/>
      <c r="ED1249"/>
      <c r="EE1249"/>
      <c r="EF1249"/>
      <c r="EG1249"/>
      <c r="EH1249"/>
      <c r="EI1249"/>
      <c r="EJ1249"/>
      <c r="EK1249"/>
      <c r="EL1249"/>
      <c r="EM1249"/>
      <c r="EN1249"/>
      <c r="EO1249"/>
      <c r="EP1249"/>
      <c r="EQ1249"/>
      <c r="ER1249"/>
      <c r="ES1249"/>
    </row>
    <row r="1250" spans="1:149">
      <c r="A1250"/>
      <c r="B1250"/>
      <c r="C1250"/>
      <c r="D1250"/>
      <c r="E1250"/>
      <c r="F1250"/>
      <c r="G1250"/>
      <c r="H1250"/>
      <c r="I1250"/>
      <c r="J1250"/>
      <c r="K1250"/>
      <c r="L1250"/>
      <c r="M1250"/>
      <c r="N1250"/>
      <c r="O1250"/>
      <c r="P1250"/>
      <c r="Q1250"/>
      <c r="R1250"/>
      <c r="S1250"/>
      <c r="T1250"/>
      <c r="U1250"/>
      <c r="V1250"/>
      <c r="W1250"/>
      <c r="X1250"/>
      <c r="Y1250"/>
      <c r="Z1250"/>
      <c r="AA1250"/>
      <c r="AB1250"/>
      <c r="AC1250"/>
      <c r="AD1250"/>
      <c r="AE1250"/>
      <c r="AF1250"/>
      <c r="AG1250"/>
      <c r="AH1250"/>
      <c r="AI1250"/>
      <c r="AJ1250"/>
      <c r="AK1250"/>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c r="BS1250"/>
      <c r="BT1250"/>
      <c r="BU1250"/>
      <c r="BV1250"/>
      <c r="BW1250"/>
      <c r="BX1250"/>
      <c r="BY1250"/>
      <c r="BZ1250"/>
      <c r="CA1250"/>
      <c r="CB1250"/>
      <c r="CC1250"/>
      <c r="CD1250"/>
      <c r="CE1250"/>
      <c r="CF1250"/>
      <c r="CG1250"/>
      <c r="CH1250"/>
      <c r="CI1250"/>
      <c r="CJ1250"/>
      <c r="CK1250"/>
      <c r="CL1250"/>
      <c r="CM1250"/>
      <c r="CN1250"/>
      <c r="CO1250"/>
      <c r="CP1250"/>
      <c r="CQ1250"/>
      <c r="CR1250"/>
      <c r="CS1250"/>
      <c r="CT1250"/>
      <c r="CU1250"/>
      <c r="CV1250"/>
      <c r="CW1250"/>
      <c r="CX1250"/>
      <c r="CY1250"/>
      <c r="CZ1250"/>
      <c r="DA1250"/>
      <c r="DB1250"/>
      <c r="DC1250"/>
      <c r="DD1250"/>
      <c r="DE1250"/>
      <c r="DF1250"/>
      <c r="DG1250"/>
      <c r="DH1250"/>
      <c r="DI1250"/>
      <c r="DJ1250"/>
      <c r="DK1250"/>
      <c r="DL1250"/>
      <c r="DM1250"/>
      <c r="DN1250"/>
      <c r="DO1250"/>
      <c r="DP1250"/>
      <c r="DQ1250"/>
      <c r="DR1250"/>
      <c r="DS1250"/>
      <c r="DT1250"/>
      <c r="DU1250"/>
      <c r="DV1250"/>
      <c r="DW1250"/>
      <c r="DX1250"/>
      <c r="DY1250"/>
      <c r="DZ1250"/>
      <c r="EA1250"/>
      <c r="EB1250"/>
      <c r="EC1250"/>
      <c r="ED1250"/>
      <c r="EE1250"/>
      <c r="EF1250"/>
      <c r="EG1250"/>
      <c r="EH1250"/>
      <c r="EI1250"/>
      <c r="EJ1250"/>
      <c r="EK1250"/>
      <c r="EL1250"/>
      <c r="EM1250"/>
      <c r="EN1250"/>
      <c r="EO1250"/>
      <c r="EP1250"/>
      <c r="EQ1250"/>
      <c r="ER1250"/>
      <c r="ES1250"/>
    </row>
    <row r="1251" spans="1:149">
      <c r="A1251"/>
      <c r="B1251"/>
      <c r="C1251"/>
      <c r="D1251"/>
      <c r="E1251"/>
      <c r="F1251"/>
      <c r="G1251"/>
      <c r="H1251"/>
      <c r="I1251"/>
      <c r="J1251"/>
      <c r="K1251"/>
      <c r="L1251"/>
      <c r="M1251"/>
      <c r="N1251"/>
      <c r="O1251"/>
      <c r="P1251"/>
      <c r="Q1251"/>
      <c r="R1251"/>
      <c r="S1251"/>
      <c r="T1251"/>
      <c r="U1251"/>
      <c r="V1251"/>
      <c r="W1251"/>
      <c r="X1251"/>
      <c r="Y1251"/>
      <c r="Z1251"/>
      <c r="AA1251"/>
      <c r="AB1251"/>
      <c r="AC1251"/>
      <c r="AD1251"/>
      <c r="AE1251"/>
      <c r="AF1251"/>
      <c r="AG1251"/>
      <c r="AH1251"/>
      <c r="AI1251"/>
      <c r="AJ1251"/>
      <c r="AK1251"/>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c r="BS1251"/>
      <c r="BT1251"/>
      <c r="BU1251"/>
      <c r="BV1251"/>
      <c r="BW1251"/>
      <c r="BX1251"/>
      <c r="BY1251"/>
      <c r="BZ1251"/>
      <c r="CA1251"/>
      <c r="CB1251"/>
      <c r="CC1251"/>
      <c r="CD1251"/>
      <c r="CE1251"/>
      <c r="CF1251"/>
      <c r="CG1251"/>
      <c r="CH1251"/>
      <c r="CI1251"/>
      <c r="CJ1251"/>
      <c r="CK1251"/>
      <c r="CL1251"/>
      <c r="CM1251"/>
      <c r="CN1251"/>
      <c r="CO1251"/>
      <c r="CP1251"/>
      <c r="CQ1251"/>
      <c r="CR1251"/>
      <c r="CS1251"/>
      <c r="CT1251"/>
      <c r="CU1251"/>
      <c r="CV1251"/>
      <c r="CW1251"/>
      <c r="CX1251"/>
      <c r="CY1251"/>
      <c r="CZ1251"/>
      <c r="DA1251"/>
      <c r="DB1251"/>
      <c r="DC1251"/>
      <c r="DD1251"/>
      <c r="DE1251"/>
      <c r="DF1251"/>
      <c r="DG1251"/>
      <c r="DH1251"/>
      <c r="DI1251"/>
      <c r="DJ1251"/>
      <c r="DK1251"/>
      <c r="DL1251"/>
      <c r="DM1251"/>
      <c r="DN1251"/>
      <c r="DO1251"/>
      <c r="DP1251"/>
      <c r="DQ1251"/>
      <c r="DR1251"/>
      <c r="DS1251"/>
      <c r="DT1251"/>
      <c r="DU1251"/>
      <c r="DV1251"/>
      <c r="DW1251"/>
      <c r="DX1251"/>
      <c r="DY1251"/>
      <c r="DZ1251"/>
      <c r="EA1251"/>
      <c r="EB1251"/>
      <c r="EC1251"/>
      <c r="ED1251"/>
      <c r="EE1251"/>
      <c r="EF1251"/>
      <c r="EG1251"/>
      <c r="EH1251"/>
      <c r="EI1251"/>
      <c r="EJ1251"/>
      <c r="EK1251"/>
      <c r="EL1251"/>
      <c r="EM1251"/>
      <c r="EN1251"/>
      <c r="EO1251"/>
      <c r="EP1251"/>
      <c r="EQ1251"/>
      <c r="ER1251"/>
      <c r="ES1251"/>
    </row>
    <row r="1252" spans="1:149">
      <c r="A1252"/>
      <c r="B1252"/>
      <c r="C1252"/>
      <c r="D1252"/>
      <c r="E1252"/>
      <c r="F1252"/>
      <c r="G1252"/>
      <c r="H1252"/>
      <c r="I1252"/>
      <c r="J1252"/>
      <c r="K1252"/>
      <c r="L1252"/>
      <c r="M1252"/>
      <c r="N1252"/>
      <c r="O1252"/>
      <c r="P1252"/>
      <c r="Q1252"/>
      <c r="R1252"/>
      <c r="S1252"/>
      <c r="T1252"/>
      <c r="U1252"/>
      <c r="V1252"/>
      <c r="W1252"/>
      <c r="X1252"/>
      <c r="Y1252"/>
      <c r="Z1252"/>
      <c r="AA1252"/>
      <c r="AB1252"/>
      <c r="AC1252"/>
      <c r="AD1252"/>
      <c r="AE1252"/>
      <c r="AF1252"/>
      <c r="AG1252"/>
      <c r="AH1252"/>
      <c r="AI1252"/>
      <c r="AJ1252"/>
      <c r="AK1252"/>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c r="BS1252"/>
      <c r="BT1252"/>
      <c r="BU1252"/>
      <c r="BV1252"/>
      <c r="BW1252"/>
      <c r="BX1252"/>
      <c r="BY1252"/>
      <c r="BZ1252"/>
      <c r="CA1252"/>
      <c r="CB1252"/>
      <c r="CC1252"/>
      <c r="CD1252"/>
      <c r="CE1252"/>
      <c r="CF1252"/>
      <c r="CG1252"/>
      <c r="CH1252"/>
      <c r="CI1252"/>
      <c r="CJ1252"/>
      <c r="CK1252"/>
      <c r="CL1252"/>
      <c r="CM1252"/>
      <c r="CN1252"/>
      <c r="CO1252"/>
      <c r="CP1252"/>
      <c r="CQ1252"/>
      <c r="CR1252"/>
      <c r="CS1252"/>
      <c r="CT1252"/>
      <c r="CU1252"/>
      <c r="CV1252"/>
      <c r="CW1252"/>
      <c r="CX1252"/>
      <c r="CY1252"/>
      <c r="CZ1252"/>
      <c r="DA1252"/>
      <c r="DB1252"/>
      <c r="DC1252"/>
      <c r="DD1252"/>
      <c r="DE1252"/>
      <c r="DF1252"/>
      <c r="DG1252"/>
      <c r="DH1252"/>
      <c r="DI1252"/>
      <c r="DJ1252"/>
      <c r="DK1252"/>
      <c r="DL1252"/>
      <c r="DM1252"/>
      <c r="DN1252"/>
      <c r="DO1252"/>
      <c r="DP1252"/>
      <c r="DQ1252"/>
      <c r="DR1252"/>
      <c r="DS1252"/>
      <c r="DT1252"/>
      <c r="DU1252"/>
      <c r="DV1252"/>
      <c r="DW1252"/>
      <c r="DX1252"/>
      <c r="DY1252"/>
      <c r="DZ1252"/>
      <c r="EA1252"/>
      <c r="EB1252"/>
      <c r="EC1252"/>
      <c r="ED1252"/>
      <c r="EE1252"/>
      <c r="EF1252"/>
      <c r="EG1252"/>
      <c r="EH1252"/>
      <c r="EI1252"/>
      <c r="EJ1252"/>
      <c r="EK1252"/>
      <c r="EL1252"/>
      <c r="EM1252"/>
      <c r="EN1252"/>
      <c r="EO1252"/>
      <c r="EP1252"/>
      <c r="EQ1252"/>
      <c r="ER1252"/>
      <c r="ES1252"/>
    </row>
    <row r="1253" spans="1:149">
      <c r="A1253"/>
      <c r="B1253"/>
      <c r="C1253"/>
      <c r="D1253"/>
      <c r="E1253"/>
      <c r="F1253"/>
      <c r="G1253"/>
      <c r="H1253"/>
      <c r="I1253"/>
      <c r="J1253"/>
      <c r="K1253"/>
      <c r="L1253"/>
      <c r="M1253"/>
      <c r="N1253"/>
      <c r="O1253"/>
      <c r="P1253"/>
      <c r="Q1253"/>
      <c r="R1253"/>
      <c r="S1253"/>
      <c r="T1253"/>
      <c r="U1253"/>
      <c r="V1253"/>
      <c r="W1253"/>
      <c r="X1253"/>
      <c r="Y1253"/>
      <c r="Z1253"/>
      <c r="AA1253"/>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c r="BZ1253"/>
      <c r="CA1253"/>
      <c r="CB1253"/>
      <c r="CC1253"/>
      <c r="CD1253"/>
      <c r="CE1253"/>
      <c r="CF1253"/>
      <c r="CG1253"/>
      <c r="CH1253"/>
      <c r="CI1253"/>
      <c r="CJ1253"/>
      <c r="CK1253"/>
      <c r="CL1253"/>
      <c r="CM1253"/>
      <c r="CN1253"/>
      <c r="CO1253"/>
      <c r="CP1253"/>
      <c r="CQ1253"/>
      <c r="CR1253"/>
      <c r="CS1253"/>
      <c r="CT1253"/>
      <c r="CU1253"/>
      <c r="CV1253"/>
      <c r="CW1253"/>
      <c r="CX1253"/>
      <c r="CY1253"/>
      <c r="CZ1253"/>
      <c r="DA1253"/>
      <c r="DB1253"/>
      <c r="DC1253"/>
      <c r="DD1253"/>
      <c r="DE1253"/>
      <c r="DF1253"/>
      <c r="DG1253"/>
      <c r="DH1253"/>
      <c r="DI1253"/>
      <c r="DJ1253"/>
      <c r="DK1253"/>
      <c r="DL1253"/>
      <c r="DM1253"/>
      <c r="DN1253"/>
      <c r="DO1253"/>
      <c r="DP1253"/>
      <c r="DQ1253"/>
      <c r="DR1253"/>
      <c r="DS1253"/>
      <c r="DT1253"/>
      <c r="DU1253"/>
      <c r="DV1253"/>
      <c r="DW1253"/>
      <c r="DX1253"/>
      <c r="DY1253"/>
      <c r="DZ1253"/>
      <c r="EA1253"/>
      <c r="EB1253"/>
      <c r="EC1253"/>
      <c r="ED1253"/>
      <c r="EE1253"/>
      <c r="EF1253"/>
      <c r="EG1253"/>
      <c r="EH1253"/>
      <c r="EI1253"/>
      <c r="EJ1253"/>
      <c r="EK1253"/>
      <c r="EL1253"/>
      <c r="EM1253"/>
      <c r="EN1253"/>
      <c r="EO1253"/>
      <c r="EP1253"/>
      <c r="EQ1253"/>
      <c r="ER1253"/>
      <c r="ES1253"/>
    </row>
    <row r="1254" spans="1:149">
      <c r="A1254"/>
      <c r="B1254"/>
      <c r="C1254"/>
      <c r="D1254"/>
      <c r="E1254"/>
      <c r="F1254"/>
      <c r="G1254"/>
      <c r="H1254"/>
      <c r="I1254"/>
      <c r="J1254"/>
      <c r="K1254"/>
      <c r="L1254"/>
      <c r="M1254"/>
      <c r="N1254"/>
      <c r="O1254"/>
      <c r="P1254"/>
      <c r="Q1254"/>
      <c r="R1254"/>
      <c r="S1254"/>
      <c r="T1254"/>
      <c r="U1254"/>
      <c r="V1254"/>
      <c r="W1254"/>
      <c r="X1254"/>
      <c r="Y1254"/>
      <c r="Z1254"/>
      <c r="AA1254"/>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c r="BZ1254"/>
      <c r="CA1254"/>
      <c r="CB1254"/>
      <c r="CC1254"/>
      <c r="CD1254"/>
      <c r="CE1254"/>
      <c r="CF1254"/>
      <c r="CG1254"/>
      <c r="CH1254"/>
      <c r="CI1254"/>
      <c r="CJ1254"/>
      <c r="CK1254"/>
      <c r="CL1254"/>
      <c r="CM1254"/>
      <c r="CN1254"/>
      <c r="CO1254"/>
      <c r="CP1254"/>
      <c r="CQ1254"/>
      <c r="CR1254"/>
      <c r="CS1254"/>
      <c r="CT1254"/>
      <c r="CU1254"/>
      <c r="CV1254"/>
      <c r="CW1254"/>
      <c r="CX1254"/>
      <c r="CY1254"/>
      <c r="CZ1254"/>
      <c r="DA1254"/>
      <c r="DB1254"/>
      <c r="DC1254"/>
      <c r="DD1254"/>
      <c r="DE1254"/>
      <c r="DF1254"/>
      <c r="DG1254"/>
      <c r="DH1254"/>
      <c r="DI1254"/>
      <c r="DJ1254"/>
      <c r="DK1254"/>
      <c r="DL1254"/>
      <c r="DM1254"/>
      <c r="DN1254"/>
      <c r="DO1254"/>
      <c r="DP1254"/>
      <c r="DQ1254"/>
      <c r="DR1254"/>
      <c r="DS1254"/>
      <c r="DT1254"/>
      <c r="DU1254"/>
      <c r="DV1254"/>
      <c r="DW1254"/>
      <c r="DX1254"/>
      <c r="DY1254"/>
      <c r="DZ1254"/>
      <c r="EA1254"/>
      <c r="EB1254"/>
      <c r="EC1254"/>
      <c r="ED1254"/>
      <c r="EE1254"/>
      <c r="EF1254"/>
      <c r="EG1254"/>
      <c r="EH1254"/>
      <c r="EI1254"/>
      <c r="EJ1254"/>
      <c r="EK1254"/>
      <c r="EL1254"/>
      <c r="EM1254"/>
      <c r="EN1254"/>
      <c r="EO1254"/>
      <c r="EP1254"/>
      <c r="EQ1254"/>
      <c r="ER1254"/>
      <c r="ES1254"/>
    </row>
    <row r="1255" spans="1:149">
      <c r="A1255"/>
      <c r="B1255"/>
      <c r="C1255"/>
      <c r="D1255"/>
      <c r="E1255"/>
      <c r="F1255"/>
      <c r="G1255"/>
      <c r="H1255"/>
      <c r="I1255"/>
      <c r="J1255"/>
      <c r="K1255"/>
      <c r="L1255"/>
      <c r="M1255"/>
      <c r="N1255"/>
      <c r="O1255"/>
      <c r="P1255"/>
      <c r="Q1255"/>
      <c r="R1255"/>
      <c r="S1255"/>
      <c r="T1255"/>
      <c r="U1255"/>
      <c r="V1255"/>
      <c r="W1255"/>
      <c r="X1255"/>
      <c r="Y1255"/>
      <c r="Z1255"/>
      <c r="AA1255"/>
      <c r="AB1255"/>
      <c r="AC1255"/>
      <c r="AD1255"/>
      <c r="AE1255"/>
      <c r="AF1255"/>
      <c r="AG1255"/>
      <c r="AH1255"/>
      <c r="AI1255"/>
      <c r="AJ1255"/>
      <c r="AK1255"/>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c r="BS1255"/>
      <c r="BT1255"/>
      <c r="BU1255"/>
      <c r="BV1255"/>
      <c r="BW1255"/>
      <c r="BX1255"/>
      <c r="BY1255"/>
      <c r="BZ1255"/>
      <c r="CA1255"/>
      <c r="CB1255"/>
      <c r="CC1255"/>
      <c r="CD1255"/>
      <c r="CE1255"/>
      <c r="CF1255"/>
      <c r="CG1255"/>
      <c r="CH1255"/>
      <c r="CI1255"/>
      <c r="CJ1255"/>
      <c r="CK1255"/>
      <c r="CL1255"/>
      <c r="CM1255"/>
      <c r="CN1255"/>
      <c r="CO1255"/>
      <c r="CP1255"/>
      <c r="CQ1255"/>
      <c r="CR1255"/>
      <c r="CS1255"/>
      <c r="CT1255"/>
      <c r="CU1255"/>
      <c r="CV1255"/>
      <c r="CW1255"/>
      <c r="CX1255"/>
      <c r="CY1255"/>
      <c r="CZ1255"/>
      <c r="DA1255"/>
      <c r="DB1255"/>
      <c r="DC1255"/>
      <c r="DD1255"/>
      <c r="DE1255"/>
      <c r="DF1255"/>
      <c r="DG1255"/>
      <c r="DH1255"/>
      <c r="DI1255"/>
      <c r="DJ1255"/>
      <c r="DK1255"/>
      <c r="DL1255"/>
      <c r="DM1255"/>
      <c r="DN1255"/>
      <c r="DO1255"/>
      <c r="DP1255"/>
      <c r="DQ1255"/>
      <c r="DR1255"/>
      <c r="DS1255"/>
      <c r="DT1255"/>
      <c r="DU1255"/>
      <c r="DV1255"/>
      <c r="DW1255"/>
      <c r="DX1255"/>
      <c r="DY1255"/>
      <c r="DZ1255"/>
      <c r="EA1255"/>
      <c r="EB1255"/>
      <c r="EC1255"/>
      <c r="ED1255"/>
      <c r="EE1255"/>
      <c r="EF1255"/>
      <c r="EG1255"/>
      <c r="EH1255"/>
      <c r="EI1255"/>
      <c r="EJ1255"/>
      <c r="EK1255"/>
      <c r="EL1255"/>
      <c r="EM1255"/>
      <c r="EN1255"/>
      <c r="EO1255"/>
      <c r="EP1255"/>
      <c r="EQ1255"/>
      <c r="ER1255"/>
      <c r="ES1255"/>
    </row>
    <row r="1256" spans="1:149">
      <c r="A1256"/>
      <c r="B1256"/>
      <c r="C1256"/>
      <c r="D1256"/>
      <c r="E1256"/>
      <c r="F1256"/>
      <c r="G1256"/>
      <c r="H1256"/>
      <c r="I1256"/>
      <c r="J1256"/>
      <c r="K1256"/>
      <c r="L1256"/>
      <c r="M1256"/>
      <c r="N1256"/>
      <c r="O1256"/>
      <c r="P1256"/>
      <c r="Q1256"/>
      <c r="R1256"/>
      <c r="S1256"/>
      <c r="T1256"/>
      <c r="U1256"/>
      <c r="V1256"/>
      <c r="W1256"/>
      <c r="X1256"/>
      <c r="Y1256"/>
      <c r="Z1256"/>
      <c r="AA1256"/>
      <c r="AB1256"/>
      <c r="AC1256"/>
      <c r="AD1256"/>
      <c r="AE1256"/>
      <c r="AF1256"/>
      <c r="AG1256"/>
      <c r="AH1256"/>
      <c r="AI1256"/>
      <c r="AJ1256"/>
      <c r="AK1256"/>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c r="BS1256"/>
      <c r="BT1256"/>
      <c r="BU1256"/>
      <c r="BV1256"/>
      <c r="BW1256"/>
      <c r="BX1256"/>
      <c r="BY1256"/>
      <c r="BZ1256"/>
      <c r="CA1256"/>
      <c r="CB1256"/>
      <c r="CC1256"/>
      <c r="CD1256"/>
      <c r="CE1256"/>
      <c r="CF1256"/>
      <c r="CG1256"/>
      <c r="CH1256"/>
      <c r="CI1256"/>
      <c r="CJ1256"/>
      <c r="CK1256"/>
      <c r="CL1256"/>
      <c r="CM1256"/>
      <c r="CN1256"/>
      <c r="CO1256"/>
      <c r="CP1256"/>
      <c r="CQ1256"/>
      <c r="CR1256"/>
      <c r="CS1256"/>
      <c r="CT1256"/>
      <c r="CU1256"/>
      <c r="CV1256"/>
      <c r="CW1256"/>
      <c r="CX1256"/>
      <c r="CY1256"/>
      <c r="CZ1256"/>
      <c r="DA1256"/>
      <c r="DB1256"/>
      <c r="DC1256"/>
      <c r="DD1256"/>
      <c r="DE1256"/>
      <c r="DF1256"/>
      <c r="DG1256"/>
      <c r="DH1256"/>
      <c r="DI1256"/>
      <c r="DJ1256"/>
      <c r="DK1256"/>
      <c r="DL1256"/>
      <c r="DM1256"/>
      <c r="DN1256"/>
      <c r="DO1256"/>
      <c r="DP1256"/>
      <c r="DQ1256"/>
      <c r="DR1256"/>
      <c r="DS1256"/>
      <c r="DT1256"/>
      <c r="DU1256"/>
      <c r="DV1256"/>
      <c r="DW1256"/>
      <c r="DX1256"/>
      <c r="DY1256"/>
      <c r="DZ1256"/>
      <c r="EA1256"/>
      <c r="EB1256"/>
      <c r="EC1256"/>
      <c r="ED1256"/>
      <c r="EE1256"/>
      <c r="EF1256"/>
      <c r="EG1256"/>
      <c r="EH1256"/>
      <c r="EI1256"/>
      <c r="EJ1256"/>
      <c r="EK1256"/>
      <c r="EL1256"/>
      <c r="EM1256"/>
      <c r="EN1256"/>
      <c r="EO1256"/>
      <c r="EP1256"/>
      <c r="EQ1256"/>
      <c r="ER1256"/>
      <c r="ES1256"/>
    </row>
    <row r="1257" spans="1:149">
      <c r="A1257"/>
      <c r="B1257"/>
      <c r="C1257"/>
      <c r="D1257"/>
      <c r="E1257"/>
      <c r="F1257"/>
      <c r="G1257"/>
      <c r="H1257"/>
      <c r="I1257"/>
      <c r="J1257"/>
      <c r="K1257"/>
      <c r="L1257"/>
      <c r="M1257"/>
      <c r="N1257"/>
      <c r="O1257"/>
      <c r="P1257"/>
      <c r="Q1257"/>
      <c r="R1257"/>
      <c r="S1257"/>
      <c r="T1257"/>
      <c r="U1257"/>
      <c r="V1257"/>
      <c r="W1257"/>
      <c r="X1257"/>
      <c r="Y1257"/>
      <c r="Z1257"/>
      <c r="AA1257"/>
      <c r="AB1257"/>
      <c r="AC1257"/>
      <c r="AD1257"/>
      <c r="AE1257"/>
      <c r="AF1257"/>
      <c r="AG1257"/>
      <c r="AH1257"/>
      <c r="AI1257"/>
      <c r="AJ1257"/>
      <c r="AK1257"/>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c r="BS1257"/>
      <c r="BT1257"/>
      <c r="BU1257"/>
      <c r="BV1257"/>
      <c r="BW1257"/>
      <c r="BX1257"/>
      <c r="BY1257"/>
      <c r="BZ1257"/>
      <c r="CA1257"/>
      <c r="CB1257"/>
      <c r="CC1257"/>
      <c r="CD1257"/>
      <c r="CE1257"/>
      <c r="CF1257"/>
      <c r="CG1257"/>
      <c r="CH1257"/>
      <c r="CI1257"/>
      <c r="CJ1257"/>
      <c r="CK1257"/>
      <c r="CL1257"/>
      <c r="CM1257"/>
      <c r="CN1257"/>
      <c r="CO1257"/>
      <c r="CP1257"/>
      <c r="CQ1257"/>
      <c r="CR1257"/>
      <c r="CS1257"/>
      <c r="CT1257"/>
      <c r="CU1257"/>
      <c r="CV1257"/>
      <c r="CW1257"/>
      <c r="CX1257"/>
      <c r="CY1257"/>
      <c r="CZ1257"/>
      <c r="DA1257"/>
      <c r="DB1257"/>
      <c r="DC1257"/>
      <c r="DD1257"/>
      <c r="DE1257"/>
      <c r="DF1257"/>
      <c r="DG1257"/>
      <c r="DH1257"/>
      <c r="DI1257"/>
      <c r="DJ1257"/>
      <c r="DK1257"/>
      <c r="DL1257"/>
      <c r="DM1257"/>
      <c r="DN1257"/>
      <c r="DO1257"/>
      <c r="DP1257"/>
      <c r="DQ1257"/>
      <c r="DR1257"/>
      <c r="DS1257"/>
      <c r="DT1257"/>
      <c r="DU1257"/>
      <c r="DV1257"/>
      <c r="DW1257"/>
      <c r="DX1257"/>
      <c r="DY1257"/>
      <c r="DZ1257"/>
      <c r="EA1257"/>
      <c r="EB1257"/>
      <c r="EC1257"/>
      <c r="ED1257"/>
      <c r="EE1257"/>
      <c r="EF1257"/>
      <c r="EG1257"/>
      <c r="EH1257"/>
      <c r="EI1257"/>
      <c r="EJ1257"/>
      <c r="EK1257"/>
      <c r="EL1257"/>
      <c r="EM1257"/>
      <c r="EN1257"/>
      <c r="EO1257"/>
      <c r="EP1257"/>
      <c r="EQ1257"/>
      <c r="ER1257"/>
      <c r="ES1257"/>
    </row>
    <row r="1258" spans="1:149">
      <c r="A1258"/>
      <c r="B1258"/>
      <c r="C1258"/>
      <c r="D1258"/>
      <c r="E1258"/>
      <c r="F1258"/>
      <c r="G1258"/>
      <c r="H1258"/>
      <c r="I1258"/>
      <c r="J1258"/>
      <c r="K1258"/>
      <c r="L1258"/>
      <c r="M1258"/>
      <c r="N1258"/>
      <c r="O1258"/>
      <c r="P1258"/>
      <c r="Q1258"/>
      <c r="R1258"/>
      <c r="S1258"/>
      <c r="T1258"/>
      <c r="U1258"/>
      <c r="V1258"/>
      <c r="W1258"/>
      <c r="X1258"/>
      <c r="Y1258"/>
      <c r="Z1258"/>
      <c r="AA1258"/>
      <c r="AB1258"/>
      <c r="AC1258"/>
      <c r="AD1258"/>
      <c r="AE1258"/>
      <c r="AF1258"/>
      <c r="AG1258"/>
      <c r="AH1258"/>
      <c r="AI1258"/>
      <c r="AJ1258"/>
      <c r="AK1258"/>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c r="BP1258"/>
      <c r="BQ1258"/>
      <c r="BR1258"/>
      <c r="BS1258"/>
      <c r="BT1258"/>
      <c r="BU1258"/>
      <c r="BV1258"/>
      <c r="BW1258"/>
      <c r="BX1258"/>
      <c r="BY1258"/>
      <c r="BZ1258"/>
      <c r="CA1258"/>
      <c r="CB1258"/>
      <c r="CC1258"/>
      <c r="CD1258"/>
      <c r="CE1258"/>
      <c r="CF1258"/>
      <c r="CG1258"/>
      <c r="CH1258"/>
      <c r="CI1258"/>
      <c r="CJ1258"/>
      <c r="CK1258"/>
      <c r="CL1258"/>
      <c r="CM1258"/>
      <c r="CN1258"/>
      <c r="CO1258"/>
      <c r="CP1258"/>
      <c r="CQ1258"/>
      <c r="CR1258"/>
      <c r="CS1258"/>
      <c r="CT1258"/>
      <c r="CU1258"/>
      <c r="CV1258"/>
      <c r="CW1258"/>
      <c r="CX1258"/>
      <c r="CY1258"/>
      <c r="CZ1258"/>
      <c r="DA1258"/>
      <c r="DB1258"/>
      <c r="DC1258"/>
      <c r="DD1258"/>
      <c r="DE1258"/>
      <c r="DF1258"/>
      <c r="DG1258"/>
      <c r="DH1258"/>
      <c r="DI1258"/>
      <c r="DJ1258"/>
      <c r="DK1258"/>
      <c r="DL1258"/>
      <c r="DM1258"/>
      <c r="DN1258"/>
      <c r="DO1258"/>
      <c r="DP1258"/>
      <c r="DQ1258"/>
      <c r="DR1258"/>
      <c r="DS1258"/>
      <c r="DT1258"/>
      <c r="DU1258"/>
      <c r="DV1258"/>
      <c r="DW1258"/>
      <c r="DX1258"/>
      <c r="DY1258"/>
      <c r="DZ1258"/>
      <c r="EA1258"/>
      <c r="EB1258"/>
      <c r="EC1258"/>
      <c r="ED1258"/>
      <c r="EE1258"/>
      <c r="EF1258"/>
      <c r="EG1258"/>
      <c r="EH1258"/>
      <c r="EI1258"/>
      <c r="EJ1258"/>
      <c r="EK1258"/>
      <c r="EL1258"/>
      <c r="EM1258"/>
      <c r="EN1258"/>
      <c r="EO1258"/>
      <c r="EP1258"/>
      <c r="EQ1258"/>
      <c r="ER1258"/>
      <c r="ES1258"/>
    </row>
    <row r="1259" spans="1:149">
      <c r="A1259"/>
      <c r="B1259"/>
      <c r="C1259"/>
      <c r="D1259"/>
      <c r="E1259"/>
      <c r="F1259"/>
      <c r="G1259"/>
      <c r="H1259"/>
      <c r="I1259"/>
      <c r="J1259"/>
      <c r="K1259"/>
      <c r="L1259"/>
      <c r="M1259"/>
      <c r="N1259"/>
      <c r="O1259"/>
      <c r="P1259"/>
      <c r="Q1259"/>
      <c r="R1259"/>
      <c r="S1259"/>
      <c r="T1259"/>
      <c r="U1259"/>
      <c r="V1259"/>
      <c r="W1259"/>
      <c r="X1259"/>
      <c r="Y1259"/>
      <c r="Z1259"/>
      <c r="AA1259"/>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c r="BS1259"/>
      <c r="BT1259"/>
      <c r="BU1259"/>
      <c r="BV1259"/>
      <c r="BW1259"/>
      <c r="BX1259"/>
      <c r="BY1259"/>
      <c r="BZ1259"/>
      <c r="CA1259"/>
      <c r="CB1259"/>
      <c r="CC1259"/>
      <c r="CD1259"/>
      <c r="CE1259"/>
      <c r="CF1259"/>
      <c r="CG1259"/>
      <c r="CH1259"/>
      <c r="CI1259"/>
      <c r="CJ1259"/>
      <c r="CK1259"/>
      <c r="CL1259"/>
      <c r="CM1259"/>
      <c r="CN1259"/>
      <c r="CO1259"/>
      <c r="CP1259"/>
      <c r="CQ1259"/>
      <c r="CR1259"/>
      <c r="CS1259"/>
      <c r="CT1259"/>
      <c r="CU1259"/>
      <c r="CV1259"/>
      <c r="CW1259"/>
      <c r="CX1259"/>
      <c r="CY1259"/>
      <c r="CZ1259"/>
      <c r="DA1259"/>
      <c r="DB1259"/>
      <c r="DC1259"/>
      <c r="DD1259"/>
      <c r="DE1259"/>
      <c r="DF1259"/>
      <c r="DG1259"/>
      <c r="DH1259"/>
      <c r="DI1259"/>
      <c r="DJ1259"/>
      <c r="DK1259"/>
      <c r="DL1259"/>
      <c r="DM1259"/>
      <c r="DN1259"/>
      <c r="DO1259"/>
      <c r="DP1259"/>
      <c r="DQ1259"/>
      <c r="DR1259"/>
      <c r="DS1259"/>
      <c r="DT1259"/>
      <c r="DU1259"/>
      <c r="DV1259"/>
      <c r="DW1259"/>
      <c r="DX1259"/>
      <c r="DY1259"/>
      <c r="DZ1259"/>
      <c r="EA1259"/>
      <c r="EB1259"/>
      <c r="EC1259"/>
      <c r="ED1259"/>
      <c r="EE1259"/>
      <c r="EF1259"/>
      <c r="EG1259"/>
      <c r="EH1259"/>
      <c r="EI1259"/>
      <c r="EJ1259"/>
      <c r="EK1259"/>
      <c r="EL1259"/>
      <c r="EM1259"/>
      <c r="EN1259"/>
      <c r="EO1259"/>
      <c r="EP1259"/>
      <c r="EQ1259"/>
      <c r="ER1259"/>
      <c r="ES1259"/>
    </row>
    <row r="1260" spans="1:149">
      <c r="A1260"/>
      <c r="B1260"/>
      <c r="C1260"/>
      <c r="D1260"/>
      <c r="E1260"/>
      <c r="F1260"/>
      <c r="G1260"/>
      <c r="H1260"/>
      <c r="I1260"/>
      <c r="J1260"/>
      <c r="K1260"/>
      <c r="L1260"/>
      <c r="M1260"/>
      <c r="N1260"/>
      <c r="O1260"/>
      <c r="P1260"/>
      <c r="Q1260"/>
      <c r="R1260"/>
      <c r="S1260"/>
      <c r="T1260"/>
      <c r="U1260"/>
      <c r="V1260"/>
      <c r="W1260"/>
      <c r="X1260"/>
      <c r="Y1260"/>
      <c r="Z1260"/>
      <c r="AA1260"/>
      <c r="AB1260"/>
      <c r="AC1260"/>
      <c r="AD1260"/>
      <c r="AE1260"/>
      <c r="AF1260"/>
      <c r="AG1260"/>
      <c r="AH1260"/>
      <c r="AI1260"/>
      <c r="AJ1260"/>
      <c r="AK1260"/>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c r="BS1260"/>
      <c r="BT1260"/>
      <c r="BU1260"/>
      <c r="BV1260"/>
      <c r="BW1260"/>
      <c r="BX1260"/>
      <c r="BY1260"/>
      <c r="BZ1260"/>
      <c r="CA1260"/>
      <c r="CB1260"/>
      <c r="CC1260"/>
      <c r="CD1260"/>
      <c r="CE1260"/>
      <c r="CF1260"/>
      <c r="CG1260"/>
      <c r="CH1260"/>
      <c r="CI1260"/>
      <c r="CJ1260"/>
      <c r="CK1260"/>
      <c r="CL1260"/>
      <c r="CM1260"/>
      <c r="CN1260"/>
      <c r="CO1260"/>
      <c r="CP1260"/>
      <c r="CQ1260"/>
      <c r="CR1260"/>
      <c r="CS1260"/>
      <c r="CT1260"/>
      <c r="CU1260"/>
      <c r="CV1260"/>
      <c r="CW1260"/>
      <c r="CX1260"/>
      <c r="CY1260"/>
      <c r="CZ1260"/>
      <c r="DA1260"/>
      <c r="DB1260"/>
      <c r="DC1260"/>
      <c r="DD1260"/>
      <c r="DE1260"/>
      <c r="DF1260"/>
      <c r="DG1260"/>
      <c r="DH1260"/>
      <c r="DI1260"/>
      <c r="DJ1260"/>
      <c r="DK1260"/>
      <c r="DL1260"/>
      <c r="DM1260"/>
      <c r="DN1260"/>
      <c r="DO1260"/>
      <c r="DP1260"/>
      <c r="DQ1260"/>
      <c r="DR1260"/>
      <c r="DS1260"/>
      <c r="DT1260"/>
      <c r="DU1260"/>
      <c r="DV1260"/>
      <c r="DW1260"/>
      <c r="DX1260"/>
      <c r="DY1260"/>
      <c r="DZ1260"/>
      <c r="EA1260"/>
      <c r="EB1260"/>
      <c r="EC1260"/>
      <c r="ED1260"/>
      <c r="EE1260"/>
      <c r="EF1260"/>
      <c r="EG1260"/>
      <c r="EH1260"/>
      <c r="EI1260"/>
      <c r="EJ1260"/>
      <c r="EK1260"/>
      <c r="EL1260"/>
      <c r="EM1260"/>
      <c r="EN1260"/>
      <c r="EO1260"/>
      <c r="EP1260"/>
      <c r="EQ1260"/>
      <c r="ER1260"/>
      <c r="ES1260"/>
    </row>
    <row r="1261" spans="1:149">
      <c r="A1261"/>
      <c r="B1261"/>
      <c r="C1261"/>
      <c r="D1261"/>
      <c r="E1261"/>
      <c r="F1261"/>
      <c r="G1261"/>
      <c r="H1261"/>
      <c r="I1261"/>
      <c r="J1261"/>
      <c r="K1261"/>
      <c r="L1261"/>
      <c r="M1261"/>
      <c r="N1261"/>
      <c r="O1261"/>
      <c r="P1261"/>
      <c r="Q1261"/>
      <c r="R1261"/>
      <c r="S1261"/>
      <c r="T1261"/>
      <c r="U1261"/>
      <c r="V1261"/>
      <c r="W1261"/>
      <c r="X1261"/>
      <c r="Y1261"/>
      <c r="Z1261"/>
      <c r="AA1261"/>
      <c r="AB1261"/>
      <c r="AC1261"/>
      <c r="AD1261"/>
      <c r="AE1261"/>
      <c r="AF1261"/>
      <c r="AG1261"/>
      <c r="AH1261"/>
      <c r="AI1261"/>
      <c r="AJ1261"/>
      <c r="AK1261"/>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c r="BS1261"/>
      <c r="BT1261"/>
      <c r="BU1261"/>
      <c r="BV1261"/>
      <c r="BW1261"/>
      <c r="BX1261"/>
      <c r="BY1261"/>
      <c r="BZ1261"/>
      <c r="CA1261"/>
      <c r="CB1261"/>
      <c r="CC1261"/>
      <c r="CD1261"/>
      <c r="CE1261"/>
      <c r="CF1261"/>
      <c r="CG1261"/>
      <c r="CH1261"/>
      <c r="CI1261"/>
      <c r="CJ1261"/>
      <c r="CK1261"/>
      <c r="CL1261"/>
      <c r="CM1261"/>
      <c r="CN1261"/>
      <c r="CO1261"/>
      <c r="CP1261"/>
      <c r="CQ1261"/>
      <c r="CR1261"/>
      <c r="CS1261"/>
      <c r="CT1261"/>
      <c r="CU1261"/>
      <c r="CV1261"/>
      <c r="CW1261"/>
      <c r="CX1261"/>
      <c r="CY1261"/>
      <c r="CZ1261"/>
      <c r="DA1261"/>
      <c r="DB1261"/>
      <c r="DC1261"/>
      <c r="DD1261"/>
      <c r="DE1261"/>
      <c r="DF1261"/>
      <c r="DG1261"/>
      <c r="DH1261"/>
      <c r="DI1261"/>
      <c r="DJ1261"/>
      <c r="DK1261"/>
      <c r="DL1261"/>
      <c r="DM1261"/>
      <c r="DN1261"/>
      <c r="DO1261"/>
      <c r="DP1261"/>
      <c r="DQ1261"/>
      <c r="DR1261"/>
      <c r="DS1261"/>
      <c r="DT1261"/>
      <c r="DU1261"/>
      <c r="DV1261"/>
      <c r="DW1261"/>
      <c r="DX1261"/>
      <c r="DY1261"/>
      <c r="DZ1261"/>
      <c r="EA1261"/>
      <c r="EB1261"/>
      <c r="EC1261"/>
      <c r="ED1261"/>
      <c r="EE1261"/>
      <c r="EF1261"/>
      <c r="EG1261"/>
      <c r="EH1261"/>
      <c r="EI1261"/>
      <c r="EJ1261"/>
      <c r="EK1261"/>
      <c r="EL1261"/>
      <c r="EM1261"/>
      <c r="EN1261"/>
      <c r="EO1261"/>
      <c r="EP1261"/>
      <c r="EQ1261"/>
      <c r="ER1261"/>
      <c r="ES1261"/>
    </row>
    <row r="1262" spans="1:149">
      <c r="A1262"/>
      <c r="B1262"/>
      <c r="C1262"/>
      <c r="D1262"/>
      <c r="E1262"/>
      <c r="F1262"/>
      <c r="G1262"/>
      <c r="H1262"/>
      <c r="I1262"/>
      <c r="J1262"/>
      <c r="K1262"/>
      <c r="L1262"/>
      <c r="M1262"/>
      <c r="N1262"/>
      <c r="O1262"/>
      <c r="P1262"/>
      <c r="Q1262"/>
      <c r="R1262"/>
      <c r="S1262"/>
      <c r="T1262"/>
      <c r="U1262"/>
      <c r="V1262"/>
      <c r="W1262"/>
      <c r="X1262"/>
      <c r="Y1262"/>
      <c r="Z1262"/>
      <c r="AA1262"/>
      <c r="AB1262"/>
      <c r="AC1262"/>
      <c r="AD1262"/>
      <c r="AE1262"/>
      <c r="AF1262"/>
      <c r="AG1262"/>
      <c r="AH1262"/>
      <c r="AI1262"/>
      <c r="AJ1262"/>
      <c r="AK1262"/>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c r="BS1262"/>
      <c r="BT1262"/>
      <c r="BU1262"/>
      <c r="BV1262"/>
      <c r="BW1262"/>
      <c r="BX1262"/>
      <c r="BY1262"/>
      <c r="BZ1262"/>
      <c r="CA1262"/>
      <c r="CB1262"/>
      <c r="CC1262"/>
      <c r="CD1262"/>
      <c r="CE1262"/>
      <c r="CF1262"/>
      <c r="CG1262"/>
      <c r="CH1262"/>
      <c r="CI1262"/>
      <c r="CJ1262"/>
      <c r="CK1262"/>
      <c r="CL1262"/>
      <c r="CM1262"/>
      <c r="CN1262"/>
      <c r="CO1262"/>
      <c r="CP1262"/>
      <c r="CQ1262"/>
      <c r="CR1262"/>
      <c r="CS1262"/>
      <c r="CT1262"/>
      <c r="CU1262"/>
      <c r="CV1262"/>
      <c r="CW1262"/>
      <c r="CX1262"/>
      <c r="CY1262"/>
      <c r="CZ1262"/>
      <c r="DA1262"/>
      <c r="DB1262"/>
      <c r="DC1262"/>
      <c r="DD1262"/>
      <c r="DE1262"/>
      <c r="DF1262"/>
      <c r="DG1262"/>
      <c r="DH1262"/>
      <c r="DI1262"/>
      <c r="DJ1262"/>
      <c r="DK1262"/>
      <c r="DL1262"/>
      <c r="DM1262"/>
      <c r="DN1262"/>
      <c r="DO1262"/>
      <c r="DP1262"/>
      <c r="DQ1262"/>
      <c r="DR1262"/>
      <c r="DS1262"/>
      <c r="DT1262"/>
      <c r="DU1262"/>
      <c r="DV1262"/>
      <c r="DW1262"/>
      <c r="DX1262"/>
      <c r="DY1262"/>
      <c r="DZ1262"/>
      <c r="EA1262"/>
      <c r="EB1262"/>
      <c r="EC1262"/>
      <c r="ED1262"/>
      <c r="EE1262"/>
      <c r="EF1262"/>
      <c r="EG1262"/>
      <c r="EH1262"/>
      <c r="EI1262"/>
      <c r="EJ1262"/>
      <c r="EK1262"/>
      <c r="EL1262"/>
      <c r="EM1262"/>
      <c r="EN1262"/>
      <c r="EO1262"/>
      <c r="EP1262"/>
      <c r="EQ1262"/>
      <c r="ER1262"/>
      <c r="ES1262"/>
    </row>
    <row r="1263" spans="1:149">
      <c r="A1263"/>
      <c r="B1263"/>
      <c r="C1263"/>
      <c r="D1263"/>
      <c r="E1263"/>
      <c r="F1263"/>
      <c r="G1263"/>
      <c r="H1263"/>
      <c r="I1263"/>
      <c r="J1263"/>
      <c r="K1263"/>
      <c r="L1263"/>
      <c r="M1263"/>
      <c r="N1263"/>
      <c r="O1263"/>
      <c r="P1263"/>
      <c r="Q1263"/>
      <c r="R1263"/>
      <c r="S1263"/>
      <c r="T1263"/>
      <c r="U1263"/>
      <c r="V1263"/>
      <c r="W1263"/>
      <c r="X1263"/>
      <c r="Y1263"/>
      <c r="Z1263"/>
      <c r="AA1263"/>
      <c r="AB1263"/>
      <c r="AC1263"/>
      <c r="AD1263"/>
      <c r="AE1263"/>
      <c r="AF1263"/>
      <c r="AG1263"/>
      <c r="AH1263"/>
      <c r="AI1263"/>
      <c r="AJ1263"/>
      <c r="AK1263"/>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c r="BS1263"/>
      <c r="BT1263"/>
      <c r="BU1263"/>
      <c r="BV1263"/>
      <c r="BW1263"/>
      <c r="BX1263"/>
      <c r="BY1263"/>
      <c r="BZ1263"/>
      <c r="CA1263"/>
      <c r="CB1263"/>
      <c r="CC1263"/>
      <c r="CD1263"/>
      <c r="CE1263"/>
      <c r="CF1263"/>
      <c r="CG1263"/>
      <c r="CH1263"/>
      <c r="CI1263"/>
      <c r="CJ1263"/>
      <c r="CK1263"/>
      <c r="CL1263"/>
      <c r="CM1263"/>
      <c r="CN1263"/>
      <c r="CO1263"/>
      <c r="CP1263"/>
      <c r="CQ1263"/>
      <c r="CR1263"/>
      <c r="CS1263"/>
      <c r="CT1263"/>
      <c r="CU1263"/>
      <c r="CV1263"/>
      <c r="CW1263"/>
      <c r="CX1263"/>
      <c r="CY1263"/>
      <c r="CZ1263"/>
      <c r="DA1263"/>
      <c r="DB1263"/>
      <c r="DC1263"/>
      <c r="DD1263"/>
      <c r="DE1263"/>
      <c r="DF1263"/>
      <c r="DG1263"/>
      <c r="DH1263"/>
      <c r="DI1263"/>
      <c r="DJ1263"/>
      <c r="DK1263"/>
      <c r="DL1263"/>
      <c r="DM1263"/>
      <c r="DN1263"/>
      <c r="DO1263"/>
      <c r="DP1263"/>
      <c r="DQ1263"/>
      <c r="DR1263"/>
      <c r="DS1263"/>
      <c r="DT1263"/>
      <c r="DU1263"/>
      <c r="DV1263"/>
      <c r="DW1263"/>
      <c r="DX1263"/>
      <c r="DY1263"/>
      <c r="DZ1263"/>
      <c r="EA1263"/>
      <c r="EB1263"/>
      <c r="EC1263"/>
      <c r="ED1263"/>
      <c r="EE1263"/>
      <c r="EF1263"/>
      <c r="EG1263"/>
      <c r="EH1263"/>
      <c r="EI1263"/>
      <c r="EJ1263"/>
      <c r="EK1263"/>
      <c r="EL1263"/>
      <c r="EM1263"/>
      <c r="EN1263"/>
      <c r="EO1263"/>
      <c r="EP1263"/>
      <c r="EQ1263"/>
      <c r="ER1263"/>
      <c r="ES1263"/>
    </row>
    <row r="1264" spans="1:149">
      <c r="A1264"/>
      <c r="B1264"/>
      <c r="C1264"/>
      <c r="D1264"/>
      <c r="E1264"/>
      <c r="F1264"/>
      <c r="G1264"/>
      <c r="H1264"/>
      <c r="I1264"/>
      <c r="J1264"/>
      <c r="K1264"/>
      <c r="L1264"/>
      <c r="M1264"/>
      <c r="N1264"/>
      <c r="O1264"/>
      <c r="P1264"/>
      <c r="Q1264"/>
      <c r="R1264"/>
      <c r="S1264"/>
      <c r="T1264"/>
      <c r="U1264"/>
      <c r="V1264"/>
      <c r="W1264"/>
      <c r="X1264"/>
      <c r="Y1264"/>
      <c r="Z1264"/>
      <c r="AA1264"/>
      <c r="AB1264"/>
      <c r="AC1264"/>
      <c r="AD1264"/>
      <c r="AE1264"/>
      <c r="AF1264"/>
      <c r="AG1264"/>
      <c r="AH1264"/>
      <c r="AI1264"/>
      <c r="AJ1264"/>
      <c r="AK12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c r="BS1264"/>
      <c r="BT1264"/>
      <c r="BU1264"/>
      <c r="BV1264"/>
      <c r="BW1264"/>
      <c r="BX1264"/>
      <c r="BY1264"/>
      <c r="BZ1264"/>
      <c r="CA1264"/>
      <c r="CB1264"/>
      <c r="CC1264"/>
      <c r="CD1264"/>
      <c r="CE1264"/>
      <c r="CF1264"/>
      <c r="CG1264"/>
      <c r="CH1264"/>
      <c r="CI1264"/>
      <c r="CJ1264"/>
      <c r="CK1264"/>
      <c r="CL1264"/>
      <c r="CM1264"/>
      <c r="CN1264"/>
      <c r="CO1264"/>
      <c r="CP1264"/>
      <c r="CQ1264"/>
      <c r="CR1264"/>
      <c r="CS1264"/>
      <c r="CT1264"/>
      <c r="CU1264"/>
      <c r="CV1264"/>
      <c r="CW1264"/>
      <c r="CX1264"/>
      <c r="CY1264"/>
      <c r="CZ1264"/>
      <c r="DA1264"/>
      <c r="DB1264"/>
      <c r="DC1264"/>
      <c r="DD1264"/>
      <c r="DE1264"/>
      <c r="DF1264"/>
      <c r="DG1264"/>
      <c r="DH1264"/>
      <c r="DI1264"/>
      <c r="DJ1264"/>
      <c r="DK1264"/>
      <c r="DL1264"/>
      <c r="DM1264"/>
      <c r="DN1264"/>
      <c r="DO1264"/>
      <c r="DP1264"/>
      <c r="DQ1264"/>
      <c r="DR1264"/>
      <c r="DS1264"/>
      <c r="DT1264"/>
      <c r="DU1264"/>
      <c r="DV1264"/>
      <c r="DW1264"/>
      <c r="DX1264"/>
      <c r="DY1264"/>
      <c r="DZ1264"/>
      <c r="EA1264"/>
      <c r="EB1264"/>
      <c r="EC1264"/>
      <c r="ED1264"/>
      <c r="EE1264"/>
      <c r="EF1264"/>
      <c r="EG1264"/>
      <c r="EH1264"/>
      <c r="EI1264"/>
      <c r="EJ1264"/>
      <c r="EK1264"/>
      <c r="EL1264"/>
      <c r="EM1264"/>
      <c r="EN1264"/>
      <c r="EO1264"/>
      <c r="EP1264"/>
      <c r="EQ1264"/>
      <c r="ER1264"/>
      <c r="ES1264"/>
    </row>
    <row r="1265" spans="1:149">
      <c r="A1265"/>
      <c r="B1265"/>
      <c r="C1265"/>
      <c r="D1265"/>
      <c r="E1265"/>
      <c r="F1265"/>
      <c r="G1265"/>
      <c r="H1265"/>
      <c r="I1265"/>
      <c r="J1265"/>
      <c r="K1265"/>
      <c r="L1265"/>
      <c r="M1265"/>
      <c r="N1265"/>
      <c r="O1265"/>
      <c r="P1265"/>
      <c r="Q1265"/>
      <c r="R1265"/>
      <c r="S1265"/>
      <c r="T1265"/>
      <c r="U1265"/>
      <c r="V1265"/>
      <c r="W1265"/>
      <c r="X1265"/>
      <c r="Y1265"/>
      <c r="Z1265"/>
      <c r="AA1265"/>
      <c r="AB1265"/>
      <c r="AC1265"/>
      <c r="AD1265"/>
      <c r="AE1265"/>
      <c r="AF1265"/>
      <c r="AG1265"/>
      <c r="AH1265"/>
      <c r="AI1265"/>
      <c r="AJ1265"/>
      <c r="AK1265"/>
      <c r="AL1265"/>
      <c r="AM1265"/>
      <c r="AN1265"/>
      <c r="AO1265"/>
      <c r="AP1265"/>
      <c r="AQ1265"/>
      <c r="AR1265"/>
      <c r="AS1265"/>
      <c r="AT1265"/>
      <c r="AU1265"/>
      <c r="AV1265"/>
      <c r="AW1265"/>
      <c r="AX1265"/>
      <c r="AY1265"/>
      <c r="AZ1265"/>
      <c r="BA1265"/>
      <c r="BB1265"/>
      <c r="BC1265"/>
      <c r="BD1265"/>
      <c r="BE1265"/>
      <c r="BF1265"/>
      <c r="BG1265"/>
      <c r="BH1265"/>
      <c r="BI1265"/>
      <c r="BJ1265"/>
      <c r="BK1265"/>
      <c r="BL1265"/>
      <c r="BM1265"/>
      <c r="BN1265"/>
      <c r="BO1265"/>
      <c r="BP1265"/>
      <c r="BQ1265"/>
      <c r="BR1265"/>
      <c r="BS1265"/>
      <c r="BT1265"/>
      <c r="BU1265"/>
      <c r="BV1265"/>
      <c r="BW1265"/>
      <c r="BX1265"/>
      <c r="BY1265"/>
      <c r="BZ1265"/>
      <c r="CA1265"/>
      <c r="CB1265"/>
      <c r="CC1265"/>
      <c r="CD1265"/>
      <c r="CE1265"/>
      <c r="CF1265"/>
      <c r="CG1265"/>
      <c r="CH1265"/>
      <c r="CI1265"/>
      <c r="CJ1265"/>
      <c r="CK1265"/>
      <c r="CL1265"/>
      <c r="CM1265"/>
      <c r="CN1265"/>
      <c r="CO1265"/>
      <c r="CP1265"/>
      <c r="CQ1265"/>
      <c r="CR1265"/>
      <c r="CS1265"/>
      <c r="CT1265"/>
      <c r="CU1265"/>
      <c r="CV1265"/>
      <c r="CW1265"/>
      <c r="CX1265"/>
      <c r="CY1265"/>
      <c r="CZ1265"/>
      <c r="DA1265"/>
      <c r="DB1265"/>
      <c r="DC1265"/>
      <c r="DD1265"/>
      <c r="DE1265"/>
      <c r="DF1265"/>
      <c r="DG1265"/>
      <c r="DH1265"/>
      <c r="DI1265"/>
      <c r="DJ1265"/>
      <c r="DK1265"/>
      <c r="DL1265"/>
      <c r="DM1265"/>
      <c r="DN1265"/>
      <c r="DO1265"/>
      <c r="DP1265"/>
      <c r="DQ1265"/>
      <c r="DR1265"/>
      <c r="DS1265"/>
      <c r="DT1265"/>
      <c r="DU1265"/>
      <c r="DV1265"/>
      <c r="DW1265"/>
      <c r="DX1265"/>
      <c r="DY1265"/>
      <c r="DZ1265"/>
      <c r="EA1265"/>
      <c r="EB1265"/>
      <c r="EC1265"/>
      <c r="ED1265"/>
      <c r="EE1265"/>
      <c r="EF1265"/>
      <c r="EG1265"/>
      <c r="EH1265"/>
      <c r="EI1265"/>
      <c r="EJ1265"/>
      <c r="EK1265"/>
      <c r="EL1265"/>
      <c r="EM1265"/>
      <c r="EN1265"/>
      <c r="EO1265"/>
      <c r="EP1265"/>
      <c r="EQ1265"/>
      <c r="ER1265"/>
      <c r="ES1265"/>
    </row>
    <row r="1266" spans="1:149">
      <c r="A1266"/>
      <c r="B1266"/>
      <c r="C1266"/>
      <c r="D1266"/>
      <c r="E1266"/>
      <c r="F1266"/>
      <c r="G1266"/>
      <c r="H1266"/>
      <c r="I1266"/>
      <c r="J1266"/>
      <c r="K1266"/>
      <c r="L1266"/>
      <c r="M1266"/>
      <c r="N1266"/>
      <c r="O1266"/>
      <c r="P1266"/>
      <c r="Q1266"/>
      <c r="R1266"/>
      <c r="S1266"/>
      <c r="T1266"/>
      <c r="U1266"/>
      <c r="V1266"/>
      <c r="W1266"/>
      <c r="X1266"/>
      <c r="Y1266"/>
      <c r="Z1266"/>
      <c r="AA1266"/>
      <c r="AB1266"/>
      <c r="AC1266"/>
      <c r="AD1266"/>
      <c r="AE1266"/>
      <c r="AF1266"/>
      <c r="AG1266"/>
      <c r="AH1266"/>
      <c r="AI1266"/>
      <c r="AJ1266"/>
      <c r="AK1266"/>
      <c r="AL1266"/>
      <c r="AM1266"/>
      <c r="AN1266"/>
      <c r="AO1266"/>
      <c r="AP1266"/>
      <c r="AQ1266"/>
      <c r="AR1266"/>
      <c r="AS1266"/>
      <c r="AT1266"/>
      <c r="AU1266"/>
      <c r="AV1266"/>
      <c r="AW1266"/>
      <c r="AX1266"/>
      <c r="AY1266"/>
      <c r="AZ1266"/>
      <c r="BA1266"/>
      <c r="BB1266"/>
      <c r="BC1266"/>
      <c r="BD1266"/>
      <c r="BE1266"/>
      <c r="BF1266"/>
      <c r="BG1266"/>
      <c r="BH1266"/>
      <c r="BI1266"/>
      <c r="BJ1266"/>
      <c r="BK1266"/>
      <c r="BL1266"/>
      <c r="BM1266"/>
      <c r="BN1266"/>
      <c r="BO1266"/>
      <c r="BP1266"/>
      <c r="BQ1266"/>
      <c r="BR1266"/>
      <c r="BS1266"/>
      <c r="BT1266"/>
      <c r="BU1266"/>
      <c r="BV1266"/>
      <c r="BW1266"/>
      <c r="BX1266"/>
      <c r="BY1266"/>
      <c r="BZ1266"/>
      <c r="CA1266"/>
      <c r="CB1266"/>
      <c r="CC1266"/>
      <c r="CD1266"/>
      <c r="CE1266"/>
      <c r="CF1266"/>
      <c r="CG1266"/>
      <c r="CH1266"/>
      <c r="CI1266"/>
      <c r="CJ1266"/>
      <c r="CK1266"/>
      <c r="CL1266"/>
      <c r="CM1266"/>
      <c r="CN1266"/>
      <c r="CO1266"/>
      <c r="CP1266"/>
      <c r="CQ1266"/>
      <c r="CR1266"/>
      <c r="CS1266"/>
      <c r="CT1266"/>
      <c r="CU1266"/>
      <c r="CV1266"/>
      <c r="CW1266"/>
      <c r="CX1266"/>
      <c r="CY1266"/>
      <c r="CZ1266"/>
      <c r="DA1266"/>
      <c r="DB1266"/>
      <c r="DC1266"/>
      <c r="DD1266"/>
      <c r="DE1266"/>
      <c r="DF1266"/>
      <c r="DG1266"/>
      <c r="DH1266"/>
      <c r="DI1266"/>
      <c r="DJ1266"/>
      <c r="DK1266"/>
      <c r="DL1266"/>
      <c r="DM1266"/>
      <c r="DN1266"/>
      <c r="DO1266"/>
      <c r="DP1266"/>
      <c r="DQ1266"/>
      <c r="DR1266"/>
      <c r="DS1266"/>
      <c r="DT1266"/>
      <c r="DU1266"/>
      <c r="DV1266"/>
      <c r="DW1266"/>
      <c r="DX1266"/>
      <c r="DY1266"/>
      <c r="DZ1266"/>
      <c r="EA1266"/>
      <c r="EB1266"/>
      <c r="EC1266"/>
      <c r="ED1266"/>
      <c r="EE1266"/>
      <c r="EF1266"/>
      <c r="EG1266"/>
      <c r="EH1266"/>
      <c r="EI1266"/>
      <c r="EJ1266"/>
      <c r="EK1266"/>
      <c r="EL1266"/>
      <c r="EM1266"/>
      <c r="EN1266"/>
      <c r="EO1266"/>
      <c r="EP1266"/>
      <c r="EQ1266"/>
      <c r="ER1266"/>
      <c r="ES1266"/>
    </row>
    <row r="1267" spans="1:149">
      <c r="A1267"/>
      <c r="B1267"/>
      <c r="C1267"/>
      <c r="D1267"/>
      <c r="E1267"/>
      <c r="F1267"/>
      <c r="G1267"/>
      <c r="H1267"/>
      <c r="I1267"/>
      <c r="J1267"/>
      <c r="K1267"/>
      <c r="L1267"/>
      <c r="M1267"/>
      <c r="N1267"/>
      <c r="O1267"/>
      <c r="P1267"/>
      <c r="Q1267"/>
      <c r="R1267"/>
      <c r="S1267"/>
      <c r="T1267"/>
      <c r="U1267"/>
      <c r="V1267"/>
      <c r="W1267"/>
      <c r="X1267"/>
      <c r="Y1267"/>
      <c r="Z1267"/>
      <c r="AA1267"/>
      <c r="AB1267"/>
      <c r="AC1267"/>
      <c r="AD1267"/>
      <c r="AE1267"/>
      <c r="AF1267"/>
      <c r="AG1267"/>
      <c r="AH1267"/>
      <c r="AI1267"/>
      <c r="AJ1267"/>
      <c r="AK1267"/>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c r="BS1267"/>
      <c r="BT1267"/>
      <c r="BU1267"/>
      <c r="BV1267"/>
      <c r="BW1267"/>
      <c r="BX1267"/>
      <c r="BY1267"/>
      <c r="BZ1267"/>
      <c r="CA1267"/>
      <c r="CB1267"/>
      <c r="CC1267"/>
      <c r="CD1267"/>
      <c r="CE1267"/>
      <c r="CF1267"/>
      <c r="CG1267"/>
      <c r="CH1267"/>
      <c r="CI1267"/>
      <c r="CJ1267"/>
      <c r="CK1267"/>
      <c r="CL1267"/>
      <c r="CM1267"/>
      <c r="CN1267"/>
      <c r="CO1267"/>
      <c r="CP1267"/>
      <c r="CQ1267"/>
      <c r="CR1267"/>
      <c r="CS1267"/>
      <c r="CT1267"/>
      <c r="CU1267"/>
      <c r="CV1267"/>
      <c r="CW1267"/>
      <c r="CX1267"/>
      <c r="CY1267"/>
      <c r="CZ1267"/>
      <c r="DA1267"/>
      <c r="DB1267"/>
      <c r="DC1267"/>
      <c r="DD1267"/>
      <c r="DE1267"/>
      <c r="DF1267"/>
      <c r="DG1267"/>
      <c r="DH1267"/>
      <c r="DI1267"/>
      <c r="DJ1267"/>
      <c r="DK1267"/>
      <c r="DL1267"/>
      <c r="DM1267"/>
      <c r="DN1267"/>
      <c r="DO1267"/>
      <c r="DP1267"/>
      <c r="DQ1267"/>
      <c r="DR1267"/>
      <c r="DS1267"/>
      <c r="DT1267"/>
      <c r="DU1267"/>
      <c r="DV1267"/>
      <c r="DW1267"/>
      <c r="DX1267"/>
      <c r="DY1267"/>
      <c r="DZ1267"/>
      <c r="EA1267"/>
      <c r="EB1267"/>
      <c r="EC1267"/>
      <c r="ED1267"/>
      <c r="EE1267"/>
      <c r="EF1267"/>
      <c r="EG1267"/>
      <c r="EH1267"/>
      <c r="EI1267"/>
      <c r="EJ1267"/>
      <c r="EK1267"/>
      <c r="EL1267"/>
      <c r="EM1267"/>
      <c r="EN1267"/>
      <c r="EO1267"/>
      <c r="EP1267"/>
      <c r="EQ1267"/>
      <c r="ER1267"/>
      <c r="ES1267"/>
    </row>
    <row r="1268" spans="1:149">
      <c r="A1268"/>
      <c r="B1268"/>
      <c r="C1268"/>
      <c r="D1268"/>
      <c r="E1268"/>
      <c r="F1268"/>
      <c r="G1268"/>
      <c r="H1268"/>
      <c r="I1268"/>
      <c r="J1268"/>
      <c r="K1268"/>
      <c r="L1268"/>
      <c r="M1268"/>
      <c r="N1268"/>
      <c r="O1268"/>
      <c r="P1268"/>
      <c r="Q1268"/>
      <c r="R1268"/>
      <c r="S1268"/>
      <c r="T1268"/>
      <c r="U1268"/>
      <c r="V1268"/>
      <c r="W1268"/>
      <c r="X1268"/>
      <c r="Y1268"/>
      <c r="Z1268"/>
      <c r="AA1268"/>
      <c r="AB1268"/>
      <c r="AC1268"/>
      <c r="AD1268"/>
      <c r="AE1268"/>
      <c r="AF1268"/>
      <c r="AG1268"/>
      <c r="AH1268"/>
      <c r="AI1268"/>
      <c r="AJ1268"/>
      <c r="AK1268"/>
      <c r="AL1268"/>
      <c r="AM1268"/>
      <c r="AN1268"/>
      <c r="AO1268"/>
      <c r="AP1268"/>
      <c r="AQ1268"/>
      <c r="AR1268"/>
      <c r="AS1268"/>
      <c r="AT1268"/>
      <c r="AU1268"/>
      <c r="AV1268"/>
      <c r="AW1268"/>
      <c r="AX1268"/>
      <c r="AY1268"/>
      <c r="AZ1268"/>
      <c r="BA1268"/>
      <c r="BB1268"/>
      <c r="BC1268"/>
      <c r="BD1268"/>
      <c r="BE1268"/>
      <c r="BF1268"/>
      <c r="BG1268"/>
      <c r="BH1268"/>
      <c r="BI1268"/>
      <c r="BJ1268"/>
      <c r="BK1268"/>
      <c r="BL1268"/>
      <c r="BM1268"/>
      <c r="BN1268"/>
      <c r="BO1268"/>
      <c r="BP1268"/>
      <c r="BQ1268"/>
      <c r="BR1268"/>
      <c r="BS1268"/>
      <c r="BT1268"/>
      <c r="BU1268"/>
      <c r="BV1268"/>
      <c r="BW1268"/>
      <c r="BX1268"/>
      <c r="BY1268"/>
      <c r="BZ1268"/>
      <c r="CA1268"/>
      <c r="CB1268"/>
      <c r="CC1268"/>
      <c r="CD1268"/>
      <c r="CE1268"/>
      <c r="CF1268"/>
      <c r="CG1268"/>
      <c r="CH1268"/>
      <c r="CI1268"/>
      <c r="CJ1268"/>
      <c r="CK1268"/>
      <c r="CL1268"/>
      <c r="CM1268"/>
      <c r="CN1268"/>
      <c r="CO1268"/>
      <c r="CP1268"/>
      <c r="CQ1268"/>
      <c r="CR1268"/>
      <c r="CS1268"/>
      <c r="CT1268"/>
      <c r="CU1268"/>
      <c r="CV1268"/>
      <c r="CW1268"/>
      <c r="CX1268"/>
      <c r="CY1268"/>
      <c r="CZ1268"/>
      <c r="DA1268"/>
      <c r="DB1268"/>
      <c r="DC1268"/>
      <c r="DD1268"/>
      <c r="DE1268"/>
      <c r="DF1268"/>
      <c r="DG1268"/>
      <c r="DH1268"/>
      <c r="DI1268"/>
      <c r="DJ1268"/>
      <c r="DK1268"/>
      <c r="DL1268"/>
      <c r="DM1268"/>
      <c r="DN1268"/>
      <c r="DO1268"/>
      <c r="DP1268"/>
      <c r="DQ1268"/>
      <c r="DR1268"/>
      <c r="DS1268"/>
      <c r="DT1268"/>
      <c r="DU1268"/>
      <c r="DV1268"/>
      <c r="DW1268"/>
      <c r="DX1268"/>
      <c r="DY1268"/>
      <c r="DZ1268"/>
      <c r="EA1268"/>
      <c r="EB1268"/>
      <c r="EC1268"/>
      <c r="ED1268"/>
      <c r="EE1268"/>
      <c r="EF1268"/>
      <c r="EG1268"/>
      <c r="EH1268"/>
      <c r="EI1268"/>
      <c r="EJ1268"/>
      <c r="EK1268"/>
      <c r="EL1268"/>
      <c r="EM1268"/>
      <c r="EN1268"/>
      <c r="EO1268"/>
      <c r="EP1268"/>
      <c r="EQ1268"/>
      <c r="ER1268"/>
      <c r="ES1268"/>
    </row>
    <row r="1269" spans="1:149">
      <c r="A1269"/>
      <c r="B1269"/>
      <c r="C1269"/>
      <c r="D1269"/>
      <c r="E1269"/>
      <c r="F1269"/>
      <c r="G1269"/>
      <c r="H1269"/>
      <c r="I1269"/>
      <c r="J1269"/>
      <c r="K1269"/>
      <c r="L1269"/>
      <c r="M1269"/>
      <c r="N1269"/>
      <c r="O1269"/>
      <c r="P1269"/>
      <c r="Q1269"/>
      <c r="R1269"/>
      <c r="S1269"/>
      <c r="T1269"/>
      <c r="U1269"/>
      <c r="V1269"/>
      <c r="W1269"/>
      <c r="X1269"/>
      <c r="Y1269"/>
      <c r="Z1269"/>
      <c r="AA1269"/>
      <c r="AB1269"/>
      <c r="AC1269"/>
      <c r="AD1269"/>
      <c r="AE1269"/>
      <c r="AF1269"/>
      <c r="AG1269"/>
      <c r="AH1269"/>
      <c r="AI1269"/>
      <c r="AJ1269"/>
      <c r="AK1269"/>
      <c r="AL1269"/>
      <c r="AM1269"/>
      <c r="AN1269"/>
      <c r="AO1269"/>
      <c r="AP1269"/>
      <c r="AQ1269"/>
      <c r="AR1269"/>
      <c r="AS1269"/>
      <c r="AT1269"/>
      <c r="AU1269"/>
      <c r="AV1269"/>
      <c r="AW1269"/>
      <c r="AX1269"/>
      <c r="AY1269"/>
      <c r="AZ1269"/>
      <c r="BA1269"/>
      <c r="BB1269"/>
      <c r="BC1269"/>
      <c r="BD1269"/>
      <c r="BE1269"/>
      <c r="BF1269"/>
      <c r="BG1269"/>
      <c r="BH1269"/>
      <c r="BI1269"/>
      <c r="BJ1269"/>
      <c r="BK1269"/>
      <c r="BL1269"/>
      <c r="BM1269"/>
      <c r="BN1269"/>
      <c r="BO1269"/>
      <c r="BP1269"/>
      <c r="BQ1269"/>
      <c r="BR1269"/>
      <c r="BS1269"/>
      <c r="BT1269"/>
      <c r="BU1269"/>
      <c r="BV1269"/>
      <c r="BW1269"/>
      <c r="BX1269"/>
      <c r="BY1269"/>
      <c r="BZ1269"/>
      <c r="CA1269"/>
      <c r="CB1269"/>
      <c r="CC1269"/>
      <c r="CD1269"/>
      <c r="CE1269"/>
      <c r="CF1269"/>
      <c r="CG1269"/>
      <c r="CH1269"/>
      <c r="CI1269"/>
      <c r="CJ1269"/>
      <c r="CK1269"/>
      <c r="CL1269"/>
      <c r="CM1269"/>
      <c r="CN1269"/>
      <c r="CO1269"/>
      <c r="CP1269"/>
      <c r="CQ1269"/>
      <c r="CR1269"/>
      <c r="CS1269"/>
      <c r="CT1269"/>
      <c r="CU1269"/>
      <c r="CV1269"/>
      <c r="CW1269"/>
      <c r="CX1269"/>
      <c r="CY1269"/>
      <c r="CZ1269"/>
      <c r="DA1269"/>
      <c r="DB1269"/>
      <c r="DC1269"/>
      <c r="DD1269"/>
      <c r="DE1269"/>
      <c r="DF1269"/>
      <c r="DG1269"/>
      <c r="DH1269"/>
      <c r="DI1269"/>
      <c r="DJ1269"/>
      <c r="DK1269"/>
      <c r="DL1269"/>
      <c r="DM1269"/>
      <c r="DN1269"/>
      <c r="DO1269"/>
      <c r="DP1269"/>
      <c r="DQ1269"/>
      <c r="DR1269"/>
      <c r="DS1269"/>
      <c r="DT1269"/>
      <c r="DU1269"/>
      <c r="DV1269"/>
      <c r="DW1269"/>
      <c r="DX1269"/>
      <c r="DY1269"/>
      <c r="DZ1269"/>
      <c r="EA1269"/>
      <c r="EB1269"/>
      <c r="EC1269"/>
      <c r="ED1269"/>
      <c r="EE1269"/>
      <c r="EF1269"/>
      <c r="EG1269"/>
      <c r="EH1269"/>
      <c r="EI1269"/>
      <c r="EJ1269"/>
      <c r="EK1269"/>
      <c r="EL1269"/>
      <c r="EM1269"/>
      <c r="EN1269"/>
      <c r="EO1269"/>
      <c r="EP1269"/>
      <c r="EQ1269"/>
      <c r="ER1269"/>
      <c r="ES1269"/>
    </row>
    <row r="1270" spans="1:149">
      <c r="A1270"/>
      <c r="B1270"/>
      <c r="C1270"/>
      <c r="D1270"/>
      <c r="E1270"/>
      <c r="F1270"/>
      <c r="G1270"/>
      <c r="H1270"/>
      <c r="I1270"/>
      <c r="J1270"/>
      <c r="K1270"/>
      <c r="L1270"/>
      <c r="M1270"/>
      <c r="N1270"/>
      <c r="O1270"/>
      <c r="P1270"/>
      <c r="Q1270"/>
      <c r="R1270"/>
      <c r="S1270"/>
      <c r="T1270"/>
      <c r="U1270"/>
      <c r="V1270"/>
      <c r="W1270"/>
      <c r="X1270"/>
      <c r="Y1270"/>
      <c r="Z1270"/>
      <c r="AA1270"/>
      <c r="AB1270"/>
      <c r="AC1270"/>
      <c r="AD1270"/>
      <c r="AE1270"/>
      <c r="AF1270"/>
      <c r="AG1270"/>
      <c r="AH1270"/>
      <c r="AI1270"/>
      <c r="AJ1270"/>
      <c r="AK1270"/>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c r="BP1270"/>
      <c r="BQ1270"/>
      <c r="BR1270"/>
      <c r="BS1270"/>
      <c r="BT1270"/>
      <c r="BU1270"/>
      <c r="BV1270"/>
      <c r="BW1270"/>
      <c r="BX1270"/>
      <c r="BY1270"/>
      <c r="BZ1270"/>
      <c r="CA1270"/>
      <c r="CB1270"/>
      <c r="CC1270"/>
      <c r="CD1270"/>
      <c r="CE1270"/>
      <c r="CF1270"/>
      <c r="CG1270"/>
      <c r="CH1270"/>
      <c r="CI1270"/>
      <c r="CJ1270"/>
      <c r="CK1270"/>
      <c r="CL1270"/>
      <c r="CM1270"/>
      <c r="CN1270"/>
      <c r="CO1270"/>
      <c r="CP1270"/>
      <c r="CQ1270"/>
      <c r="CR1270"/>
      <c r="CS1270"/>
      <c r="CT1270"/>
      <c r="CU1270"/>
      <c r="CV1270"/>
      <c r="CW1270"/>
      <c r="CX1270"/>
      <c r="CY1270"/>
      <c r="CZ1270"/>
      <c r="DA1270"/>
      <c r="DB1270"/>
      <c r="DC1270"/>
      <c r="DD1270"/>
      <c r="DE1270"/>
      <c r="DF1270"/>
      <c r="DG1270"/>
      <c r="DH1270"/>
      <c r="DI1270"/>
      <c r="DJ1270"/>
      <c r="DK1270"/>
      <c r="DL1270"/>
      <c r="DM1270"/>
      <c r="DN1270"/>
      <c r="DO1270"/>
      <c r="DP1270"/>
      <c r="DQ1270"/>
      <c r="DR1270"/>
      <c r="DS1270"/>
      <c r="DT1270"/>
      <c r="DU1270"/>
      <c r="DV1270"/>
      <c r="DW1270"/>
      <c r="DX1270"/>
      <c r="DY1270"/>
      <c r="DZ1270"/>
      <c r="EA1270"/>
      <c r="EB1270"/>
      <c r="EC1270"/>
      <c r="ED1270"/>
      <c r="EE1270"/>
      <c r="EF1270"/>
      <c r="EG1270"/>
      <c r="EH1270"/>
      <c r="EI1270"/>
      <c r="EJ1270"/>
      <c r="EK1270"/>
      <c r="EL1270"/>
      <c r="EM1270"/>
      <c r="EN1270"/>
      <c r="EO1270"/>
      <c r="EP1270"/>
      <c r="EQ1270"/>
      <c r="ER1270"/>
      <c r="ES1270"/>
    </row>
    <row r="1271" spans="1:149">
      <c r="A1271"/>
      <c r="B1271"/>
      <c r="C1271"/>
      <c r="D1271"/>
      <c r="E1271"/>
      <c r="F1271"/>
      <c r="G1271"/>
      <c r="H1271"/>
      <c r="I1271"/>
      <c r="J1271"/>
      <c r="K1271"/>
      <c r="L1271"/>
      <c r="M1271"/>
      <c r="N1271"/>
      <c r="O1271"/>
      <c r="P1271"/>
      <c r="Q1271"/>
      <c r="R1271"/>
      <c r="S1271"/>
      <c r="T1271"/>
      <c r="U1271"/>
      <c r="V1271"/>
      <c r="W1271"/>
      <c r="X1271"/>
      <c r="Y1271"/>
      <c r="Z1271"/>
      <c r="AA1271"/>
      <c r="AB1271"/>
      <c r="AC1271"/>
      <c r="AD1271"/>
      <c r="AE1271"/>
      <c r="AF1271"/>
      <c r="AG1271"/>
      <c r="AH1271"/>
      <c r="AI1271"/>
      <c r="AJ1271"/>
      <c r="AK1271"/>
      <c r="AL1271"/>
      <c r="AM1271"/>
      <c r="AN1271"/>
      <c r="AO1271"/>
      <c r="AP1271"/>
      <c r="AQ1271"/>
      <c r="AR1271"/>
      <c r="AS1271"/>
      <c r="AT1271"/>
      <c r="AU1271"/>
      <c r="AV1271"/>
      <c r="AW1271"/>
      <c r="AX1271"/>
      <c r="AY1271"/>
      <c r="AZ1271"/>
      <c r="BA1271"/>
      <c r="BB1271"/>
      <c r="BC1271"/>
      <c r="BD1271"/>
      <c r="BE1271"/>
      <c r="BF1271"/>
      <c r="BG1271"/>
      <c r="BH1271"/>
      <c r="BI1271"/>
      <c r="BJ1271"/>
      <c r="BK1271"/>
      <c r="BL1271"/>
      <c r="BM1271"/>
      <c r="BN1271"/>
      <c r="BO1271"/>
      <c r="BP1271"/>
      <c r="BQ1271"/>
      <c r="BR1271"/>
      <c r="BS1271"/>
      <c r="BT1271"/>
      <c r="BU1271"/>
      <c r="BV1271"/>
      <c r="BW1271"/>
      <c r="BX1271"/>
      <c r="BY1271"/>
      <c r="BZ1271"/>
      <c r="CA1271"/>
      <c r="CB1271"/>
      <c r="CC1271"/>
      <c r="CD1271"/>
      <c r="CE1271"/>
      <c r="CF1271"/>
      <c r="CG1271"/>
      <c r="CH1271"/>
      <c r="CI1271"/>
      <c r="CJ1271"/>
      <c r="CK1271"/>
      <c r="CL1271"/>
      <c r="CM1271"/>
      <c r="CN1271"/>
      <c r="CO1271"/>
      <c r="CP1271"/>
      <c r="CQ1271"/>
      <c r="CR1271"/>
      <c r="CS1271"/>
      <c r="CT1271"/>
      <c r="CU1271"/>
      <c r="CV1271"/>
      <c r="CW1271"/>
      <c r="CX1271"/>
      <c r="CY1271"/>
      <c r="CZ1271"/>
      <c r="DA1271"/>
      <c r="DB1271"/>
      <c r="DC1271"/>
      <c r="DD1271"/>
      <c r="DE1271"/>
      <c r="DF1271"/>
      <c r="DG1271"/>
      <c r="DH1271"/>
      <c r="DI1271"/>
      <c r="DJ1271"/>
      <c r="DK1271"/>
      <c r="DL1271"/>
      <c r="DM1271"/>
      <c r="DN1271"/>
      <c r="DO1271"/>
      <c r="DP1271"/>
      <c r="DQ1271"/>
      <c r="DR1271"/>
      <c r="DS1271"/>
      <c r="DT1271"/>
      <c r="DU1271"/>
      <c r="DV1271"/>
      <c r="DW1271"/>
      <c r="DX1271"/>
      <c r="DY1271"/>
      <c r="DZ1271"/>
      <c r="EA1271"/>
      <c r="EB1271"/>
      <c r="EC1271"/>
      <c r="ED1271"/>
      <c r="EE1271"/>
      <c r="EF1271"/>
      <c r="EG1271"/>
      <c r="EH1271"/>
      <c r="EI1271"/>
      <c r="EJ1271"/>
      <c r="EK1271"/>
      <c r="EL1271"/>
      <c r="EM1271"/>
      <c r="EN1271"/>
      <c r="EO1271"/>
      <c r="EP1271"/>
      <c r="EQ1271"/>
      <c r="ER1271"/>
      <c r="ES1271"/>
    </row>
    <row r="1272" spans="1:149">
      <c r="A1272"/>
      <c r="B1272"/>
      <c r="C1272"/>
      <c r="D1272"/>
      <c r="E1272"/>
      <c r="F1272"/>
      <c r="G1272"/>
      <c r="H1272"/>
      <c r="I1272"/>
      <c r="J1272"/>
      <c r="K1272"/>
      <c r="L1272"/>
      <c r="M1272"/>
      <c r="N1272"/>
      <c r="O1272"/>
      <c r="P1272"/>
      <c r="Q1272"/>
      <c r="R1272"/>
      <c r="S1272"/>
      <c r="T1272"/>
      <c r="U1272"/>
      <c r="V1272"/>
      <c r="W1272"/>
      <c r="X1272"/>
      <c r="Y1272"/>
      <c r="Z1272"/>
      <c r="AA1272"/>
      <c r="AB1272"/>
      <c r="AC1272"/>
      <c r="AD1272"/>
      <c r="AE1272"/>
      <c r="AF1272"/>
      <c r="AG1272"/>
      <c r="AH1272"/>
      <c r="AI1272"/>
      <c r="AJ1272"/>
      <c r="AK1272"/>
      <c r="AL1272"/>
      <c r="AM1272"/>
      <c r="AN1272"/>
      <c r="AO1272"/>
      <c r="AP1272"/>
      <c r="AQ1272"/>
      <c r="AR1272"/>
      <c r="AS1272"/>
      <c r="AT1272"/>
      <c r="AU1272"/>
      <c r="AV1272"/>
      <c r="AW1272"/>
      <c r="AX1272"/>
      <c r="AY1272"/>
      <c r="AZ1272"/>
      <c r="BA1272"/>
      <c r="BB1272"/>
      <c r="BC1272"/>
      <c r="BD1272"/>
      <c r="BE1272"/>
      <c r="BF1272"/>
      <c r="BG1272"/>
      <c r="BH1272"/>
      <c r="BI1272"/>
      <c r="BJ1272"/>
      <c r="BK1272"/>
      <c r="BL1272"/>
      <c r="BM1272"/>
      <c r="BN1272"/>
      <c r="BO1272"/>
      <c r="BP1272"/>
      <c r="BQ1272"/>
      <c r="BR1272"/>
      <c r="BS1272"/>
      <c r="BT1272"/>
      <c r="BU1272"/>
      <c r="BV1272"/>
      <c r="BW1272"/>
      <c r="BX1272"/>
      <c r="BY1272"/>
      <c r="BZ1272"/>
      <c r="CA1272"/>
      <c r="CB1272"/>
      <c r="CC1272"/>
      <c r="CD1272"/>
      <c r="CE1272"/>
      <c r="CF1272"/>
      <c r="CG1272"/>
      <c r="CH1272"/>
      <c r="CI1272"/>
      <c r="CJ1272"/>
      <c r="CK1272"/>
      <c r="CL1272"/>
      <c r="CM1272"/>
      <c r="CN1272"/>
      <c r="CO1272"/>
      <c r="CP1272"/>
      <c r="CQ1272"/>
      <c r="CR1272"/>
      <c r="CS1272"/>
      <c r="CT1272"/>
      <c r="CU1272"/>
      <c r="CV1272"/>
      <c r="CW1272"/>
      <c r="CX1272"/>
      <c r="CY1272"/>
      <c r="CZ1272"/>
      <c r="DA1272"/>
      <c r="DB1272"/>
      <c r="DC1272"/>
      <c r="DD1272"/>
      <c r="DE1272"/>
      <c r="DF1272"/>
      <c r="DG1272"/>
      <c r="DH1272"/>
      <c r="DI1272"/>
      <c r="DJ1272"/>
      <c r="DK1272"/>
      <c r="DL1272"/>
      <c r="DM1272"/>
      <c r="DN1272"/>
      <c r="DO1272"/>
      <c r="DP1272"/>
      <c r="DQ1272"/>
      <c r="DR1272"/>
      <c r="DS1272"/>
      <c r="DT1272"/>
      <c r="DU1272"/>
      <c r="DV1272"/>
      <c r="DW1272"/>
      <c r="DX1272"/>
      <c r="DY1272"/>
      <c r="DZ1272"/>
      <c r="EA1272"/>
      <c r="EB1272"/>
      <c r="EC1272"/>
      <c r="ED1272"/>
      <c r="EE1272"/>
      <c r="EF1272"/>
      <c r="EG1272"/>
      <c r="EH1272"/>
      <c r="EI1272"/>
      <c r="EJ1272"/>
      <c r="EK1272"/>
      <c r="EL1272"/>
      <c r="EM1272"/>
      <c r="EN1272"/>
      <c r="EO1272"/>
      <c r="EP1272"/>
      <c r="EQ1272"/>
      <c r="ER1272"/>
      <c r="ES1272"/>
    </row>
    <row r="1273" spans="1:149">
      <c r="A1273"/>
      <c r="B1273"/>
      <c r="C1273"/>
      <c r="D1273"/>
      <c r="E1273"/>
      <c r="F1273"/>
      <c r="G1273"/>
      <c r="H1273"/>
      <c r="I1273"/>
      <c r="J1273"/>
      <c r="K1273"/>
      <c r="L1273"/>
      <c r="M1273"/>
      <c r="N1273"/>
      <c r="O1273"/>
      <c r="P1273"/>
      <c r="Q1273"/>
      <c r="R1273"/>
      <c r="S1273"/>
      <c r="T1273"/>
      <c r="U1273"/>
      <c r="V1273"/>
      <c r="W1273"/>
      <c r="X1273"/>
      <c r="Y1273"/>
      <c r="Z1273"/>
      <c r="AA1273"/>
      <c r="AB1273"/>
      <c r="AC1273"/>
      <c r="AD1273"/>
      <c r="AE1273"/>
      <c r="AF1273"/>
      <c r="AG1273"/>
      <c r="AH1273"/>
      <c r="AI1273"/>
      <c r="AJ1273"/>
      <c r="AK1273"/>
      <c r="AL1273"/>
      <c r="AM1273"/>
      <c r="AN1273"/>
      <c r="AO1273"/>
      <c r="AP1273"/>
      <c r="AQ1273"/>
      <c r="AR1273"/>
      <c r="AS1273"/>
      <c r="AT1273"/>
      <c r="AU1273"/>
      <c r="AV1273"/>
      <c r="AW1273"/>
      <c r="AX1273"/>
      <c r="AY1273"/>
      <c r="AZ1273"/>
      <c r="BA1273"/>
      <c r="BB1273"/>
      <c r="BC1273"/>
      <c r="BD1273"/>
      <c r="BE1273"/>
      <c r="BF1273"/>
      <c r="BG1273"/>
      <c r="BH1273"/>
      <c r="BI1273"/>
      <c r="BJ1273"/>
      <c r="BK1273"/>
      <c r="BL1273"/>
      <c r="BM1273"/>
      <c r="BN1273"/>
      <c r="BO1273"/>
      <c r="BP1273"/>
      <c r="BQ1273"/>
      <c r="BR1273"/>
      <c r="BS1273"/>
      <c r="BT1273"/>
      <c r="BU1273"/>
      <c r="BV1273"/>
      <c r="BW1273"/>
      <c r="BX1273"/>
      <c r="BY1273"/>
      <c r="BZ1273"/>
      <c r="CA1273"/>
      <c r="CB1273"/>
      <c r="CC1273"/>
      <c r="CD1273"/>
      <c r="CE1273"/>
      <c r="CF1273"/>
      <c r="CG1273"/>
      <c r="CH1273"/>
      <c r="CI1273"/>
      <c r="CJ1273"/>
      <c r="CK1273"/>
      <c r="CL1273"/>
      <c r="CM1273"/>
      <c r="CN1273"/>
      <c r="CO1273"/>
      <c r="CP1273"/>
      <c r="CQ1273"/>
      <c r="CR1273"/>
      <c r="CS1273"/>
      <c r="CT1273"/>
      <c r="CU1273"/>
      <c r="CV1273"/>
      <c r="CW1273"/>
      <c r="CX1273"/>
      <c r="CY1273"/>
      <c r="CZ1273"/>
      <c r="DA1273"/>
      <c r="DB1273"/>
      <c r="DC1273"/>
      <c r="DD1273"/>
      <c r="DE1273"/>
      <c r="DF1273"/>
      <c r="DG1273"/>
      <c r="DH1273"/>
      <c r="DI1273"/>
      <c r="DJ1273"/>
      <c r="DK1273"/>
      <c r="DL1273"/>
      <c r="DM1273"/>
      <c r="DN1273"/>
      <c r="DO1273"/>
      <c r="DP1273"/>
      <c r="DQ1273"/>
      <c r="DR1273"/>
      <c r="DS1273"/>
      <c r="DT1273"/>
      <c r="DU1273"/>
      <c r="DV1273"/>
      <c r="DW1273"/>
      <c r="DX1273"/>
      <c r="DY1273"/>
      <c r="DZ1273"/>
      <c r="EA1273"/>
      <c r="EB1273"/>
      <c r="EC1273"/>
      <c r="ED1273"/>
      <c r="EE1273"/>
      <c r="EF1273"/>
      <c r="EG1273"/>
      <c r="EH1273"/>
      <c r="EI1273"/>
      <c r="EJ1273"/>
      <c r="EK1273"/>
      <c r="EL1273"/>
      <c r="EM1273"/>
      <c r="EN1273"/>
      <c r="EO1273"/>
      <c r="EP1273"/>
      <c r="EQ1273"/>
      <c r="ER1273"/>
      <c r="ES1273"/>
    </row>
    <row r="1274" spans="1:149">
      <c r="A1274"/>
      <c r="B1274"/>
      <c r="C1274"/>
      <c r="D1274"/>
      <c r="E1274"/>
      <c r="F1274"/>
      <c r="G1274"/>
      <c r="H1274"/>
      <c r="I1274"/>
      <c r="J1274"/>
      <c r="K1274"/>
      <c r="L1274"/>
      <c r="M1274"/>
      <c r="N1274"/>
      <c r="O1274"/>
      <c r="P1274"/>
      <c r="Q1274"/>
      <c r="R1274"/>
      <c r="S1274"/>
      <c r="T1274"/>
      <c r="U1274"/>
      <c r="V1274"/>
      <c r="W1274"/>
      <c r="X1274"/>
      <c r="Y1274"/>
      <c r="Z1274"/>
      <c r="AA1274"/>
      <c r="AB1274"/>
      <c r="AC1274"/>
      <c r="AD1274"/>
      <c r="AE1274"/>
      <c r="AF1274"/>
      <c r="AG1274"/>
      <c r="AH1274"/>
      <c r="AI1274"/>
      <c r="AJ1274"/>
      <c r="AK1274"/>
      <c r="AL1274"/>
      <c r="AM1274"/>
      <c r="AN1274"/>
      <c r="AO1274"/>
      <c r="AP1274"/>
      <c r="AQ1274"/>
      <c r="AR1274"/>
      <c r="AS1274"/>
      <c r="AT1274"/>
      <c r="AU1274"/>
      <c r="AV1274"/>
      <c r="AW1274"/>
      <c r="AX1274"/>
      <c r="AY1274"/>
      <c r="AZ1274"/>
      <c r="BA1274"/>
      <c r="BB1274"/>
      <c r="BC1274"/>
      <c r="BD1274"/>
      <c r="BE1274"/>
      <c r="BF1274"/>
      <c r="BG1274"/>
      <c r="BH1274"/>
      <c r="BI1274"/>
      <c r="BJ1274"/>
      <c r="BK1274"/>
      <c r="BL1274"/>
      <c r="BM1274"/>
      <c r="BN1274"/>
      <c r="BO1274"/>
      <c r="BP1274"/>
      <c r="BQ1274"/>
      <c r="BR1274"/>
      <c r="BS1274"/>
      <c r="BT1274"/>
      <c r="BU1274"/>
      <c r="BV1274"/>
      <c r="BW1274"/>
      <c r="BX1274"/>
      <c r="BY1274"/>
      <c r="BZ1274"/>
      <c r="CA1274"/>
      <c r="CB1274"/>
      <c r="CC1274"/>
      <c r="CD1274"/>
      <c r="CE1274"/>
      <c r="CF1274"/>
      <c r="CG1274"/>
      <c r="CH1274"/>
      <c r="CI1274"/>
      <c r="CJ1274"/>
      <c r="CK1274"/>
      <c r="CL1274"/>
      <c r="CM1274"/>
      <c r="CN1274"/>
      <c r="CO1274"/>
      <c r="CP1274"/>
      <c r="CQ1274"/>
      <c r="CR1274"/>
      <c r="CS1274"/>
      <c r="CT1274"/>
      <c r="CU1274"/>
      <c r="CV1274"/>
      <c r="CW1274"/>
      <c r="CX1274"/>
      <c r="CY1274"/>
      <c r="CZ1274"/>
      <c r="DA1274"/>
      <c r="DB1274"/>
      <c r="DC1274"/>
      <c r="DD1274"/>
      <c r="DE1274"/>
      <c r="DF1274"/>
      <c r="DG1274"/>
      <c r="DH1274"/>
      <c r="DI1274"/>
      <c r="DJ1274"/>
      <c r="DK1274"/>
      <c r="DL1274"/>
      <c r="DM1274"/>
      <c r="DN1274"/>
      <c r="DO1274"/>
      <c r="DP1274"/>
      <c r="DQ1274"/>
      <c r="DR1274"/>
      <c r="DS1274"/>
      <c r="DT1274"/>
      <c r="DU1274"/>
      <c r="DV1274"/>
      <c r="DW1274"/>
      <c r="DX1274"/>
      <c r="DY1274"/>
      <c r="DZ1274"/>
      <c r="EA1274"/>
      <c r="EB1274"/>
      <c r="EC1274"/>
      <c r="ED1274"/>
      <c r="EE1274"/>
      <c r="EF1274"/>
      <c r="EG1274"/>
      <c r="EH1274"/>
      <c r="EI1274"/>
      <c r="EJ1274"/>
      <c r="EK1274"/>
      <c r="EL1274"/>
      <c r="EM1274"/>
      <c r="EN1274"/>
      <c r="EO1274"/>
      <c r="EP1274"/>
      <c r="EQ1274"/>
      <c r="ER1274"/>
      <c r="ES1274"/>
    </row>
    <row r="1275" spans="1:149">
      <c r="A1275"/>
      <c r="B1275"/>
      <c r="C1275"/>
      <c r="D1275"/>
      <c r="E1275"/>
      <c r="F1275"/>
      <c r="G1275"/>
      <c r="H1275"/>
      <c r="I1275"/>
      <c r="J1275"/>
      <c r="K1275"/>
      <c r="L1275"/>
      <c r="M1275"/>
      <c r="N1275"/>
      <c r="O1275"/>
      <c r="P1275"/>
      <c r="Q1275"/>
      <c r="R1275"/>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c r="BZ1275"/>
      <c r="CA1275"/>
      <c r="CB1275"/>
      <c r="CC1275"/>
      <c r="CD1275"/>
      <c r="CE1275"/>
      <c r="CF1275"/>
      <c r="CG1275"/>
      <c r="CH1275"/>
      <c r="CI1275"/>
      <c r="CJ1275"/>
      <c r="CK1275"/>
      <c r="CL1275"/>
      <c r="CM1275"/>
      <c r="CN1275"/>
      <c r="CO1275"/>
      <c r="CP1275"/>
      <c r="CQ1275"/>
      <c r="CR1275"/>
      <c r="CS1275"/>
      <c r="CT1275"/>
      <c r="CU1275"/>
      <c r="CV1275"/>
      <c r="CW1275"/>
      <c r="CX1275"/>
      <c r="CY1275"/>
      <c r="CZ1275"/>
      <c r="DA1275"/>
      <c r="DB1275"/>
      <c r="DC1275"/>
      <c r="DD1275"/>
      <c r="DE1275"/>
      <c r="DF1275"/>
      <c r="DG1275"/>
      <c r="DH1275"/>
      <c r="DI1275"/>
      <c r="DJ1275"/>
      <c r="DK1275"/>
      <c r="DL1275"/>
      <c r="DM1275"/>
      <c r="DN1275"/>
      <c r="DO1275"/>
      <c r="DP1275"/>
      <c r="DQ1275"/>
      <c r="DR1275"/>
      <c r="DS1275"/>
      <c r="DT1275"/>
      <c r="DU1275"/>
      <c r="DV1275"/>
      <c r="DW1275"/>
      <c r="DX1275"/>
      <c r="DY1275"/>
      <c r="DZ1275"/>
      <c r="EA1275"/>
      <c r="EB1275"/>
      <c r="EC1275"/>
      <c r="ED1275"/>
      <c r="EE1275"/>
      <c r="EF1275"/>
      <c r="EG1275"/>
      <c r="EH1275"/>
      <c r="EI1275"/>
      <c r="EJ1275"/>
      <c r="EK1275"/>
      <c r="EL1275"/>
      <c r="EM1275"/>
      <c r="EN1275"/>
      <c r="EO1275"/>
      <c r="EP1275"/>
      <c r="EQ1275"/>
      <c r="ER1275"/>
      <c r="ES1275"/>
    </row>
    <row r="1276" spans="1:149">
      <c r="A1276"/>
      <c r="B1276"/>
      <c r="C1276"/>
      <c r="D1276"/>
      <c r="E1276"/>
      <c r="F1276"/>
      <c r="G1276"/>
      <c r="H1276"/>
      <c r="I1276"/>
      <c r="J1276"/>
      <c r="K1276"/>
      <c r="L1276"/>
      <c r="M1276"/>
      <c r="N1276"/>
      <c r="O1276"/>
      <c r="P1276"/>
      <c r="Q1276"/>
      <c r="R1276"/>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c r="BZ1276"/>
      <c r="CA1276"/>
      <c r="CB1276"/>
      <c r="CC1276"/>
      <c r="CD1276"/>
      <c r="CE1276"/>
      <c r="CF1276"/>
      <c r="CG1276"/>
      <c r="CH1276"/>
      <c r="CI1276"/>
      <c r="CJ1276"/>
      <c r="CK1276"/>
      <c r="CL1276"/>
      <c r="CM1276"/>
      <c r="CN1276"/>
      <c r="CO1276"/>
      <c r="CP1276"/>
      <c r="CQ1276"/>
      <c r="CR1276"/>
      <c r="CS1276"/>
      <c r="CT1276"/>
      <c r="CU1276"/>
      <c r="CV1276"/>
      <c r="CW1276"/>
      <c r="CX1276"/>
      <c r="CY1276"/>
      <c r="CZ1276"/>
      <c r="DA1276"/>
      <c r="DB1276"/>
      <c r="DC1276"/>
      <c r="DD1276"/>
      <c r="DE1276"/>
      <c r="DF1276"/>
      <c r="DG1276"/>
      <c r="DH1276"/>
      <c r="DI1276"/>
      <c r="DJ1276"/>
      <c r="DK1276"/>
      <c r="DL1276"/>
      <c r="DM1276"/>
      <c r="DN1276"/>
      <c r="DO1276"/>
      <c r="DP1276"/>
      <c r="DQ1276"/>
      <c r="DR1276"/>
      <c r="DS1276"/>
      <c r="DT1276"/>
      <c r="DU1276"/>
      <c r="DV1276"/>
      <c r="DW1276"/>
      <c r="DX1276"/>
      <c r="DY1276"/>
      <c r="DZ1276"/>
      <c r="EA1276"/>
      <c r="EB1276"/>
      <c r="EC1276"/>
      <c r="ED1276"/>
      <c r="EE1276"/>
      <c r="EF1276"/>
      <c r="EG1276"/>
      <c r="EH1276"/>
      <c r="EI1276"/>
      <c r="EJ1276"/>
      <c r="EK1276"/>
      <c r="EL1276"/>
      <c r="EM1276"/>
      <c r="EN1276"/>
      <c r="EO1276"/>
      <c r="EP1276"/>
      <c r="EQ1276"/>
      <c r="ER1276"/>
      <c r="ES1276"/>
    </row>
    <row r="1277" spans="1:149">
      <c r="A1277"/>
      <c r="B1277"/>
      <c r="C1277"/>
      <c r="D1277"/>
      <c r="E1277"/>
      <c r="F1277"/>
      <c r="G1277"/>
      <c r="H1277"/>
      <c r="I1277"/>
      <c r="J1277"/>
      <c r="K1277"/>
      <c r="L1277"/>
      <c r="M1277"/>
      <c r="N1277"/>
      <c r="O1277"/>
      <c r="P1277"/>
      <c r="Q1277"/>
      <c r="R1277"/>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c r="BZ1277"/>
      <c r="CA1277"/>
      <c r="CB1277"/>
      <c r="CC1277"/>
      <c r="CD1277"/>
      <c r="CE1277"/>
      <c r="CF1277"/>
      <c r="CG1277"/>
      <c r="CH1277"/>
      <c r="CI1277"/>
      <c r="CJ1277"/>
      <c r="CK1277"/>
      <c r="CL1277"/>
      <c r="CM1277"/>
      <c r="CN1277"/>
      <c r="CO1277"/>
      <c r="CP1277"/>
      <c r="CQ1277"/>
      <c r="CR1277"/>
      <c r="CS1277"/>
      <c r="CT1277"/>
      <c r="CU1277"/>
      <c r="CV1277"/>
      <c r="CW1277"/>
      <c r="CX1277"/>
      <c r="CY1277"/>
      <c r="CZ1277"/>
      <c r="DA1277"/>
      <c r="DB1277"/>
      <c r="DC1277"/>
      <c r="DD1277"/>
      <c r="DE1277"/>
      <c r="DF1277"/>
      <c r="DG1277"/>
      <c r="DH1277"/>
      <c r="DI1277"/>
      <c r="DJ1277"/>
      <c r="DK1277"/>
      <c r="DL1277"/>
      <c r="DM1277"/>
      <c r="DN1277"/>
      <c r="DO1277"/>
      <c r="DP1277"/>
      <c r="DQ1277"/>
      <c r="DR1277"/>
      <c r="DS1277"/>
      <c r="DT1277"/>
      <c r="DU1277"/>
      <c r="DV1277"/>
      <c r="DW1277"/>
      <c r="DX1277"/>
      <c r="DY1277"/>
      <c r="DZ1277"/>
      <c r="EA1277"/>
      <c r="EB1277"/>
      <c r="EC1277"/>
      <c r="ED1277"/>
      <c r="EE1277"/>
      <c r="EF1277"/>
      <c r="EG1277"/>
      <c r="EH1277"/>
      <c r="EI1277"/>
      <c r="EJ1277"/>
      <c r="EK1277"/>
      <c r="EL1277"/>
      <c r="EM1277"/>
      <c r="EN1277"/>
      <c r="EO1277"/>
      <c r="EP1277"/>
      <c r="EQ1277"/>
      <c r="ER1277"/>
      <c r="ES1277"/>
    </row>
    <row r="1278" spans="1:149">
      <c r="A1278"/>
      <c r="B1278"/>
      <c r="C1278"/>
      <c r="D1278"/>
      <c r="E1278"/>
      <c r="F1278"/>
      <c r="G1278"/>
      <c r="H1278"/>
      <c r="I1278"/>
      <c r="J1278"/>
      <c r="K1278"/>
      <c r="L1278"/>
      <c r="M1278"/>
      <c r="N1278"/>
      <c r="O1278"/>
      <c r="P1278"/>
      <c r="Q1278"/>
      <c r="R1278"/>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c r="BZ1278"/>
      <c r="CA1278"/>
      <c r="CB1278"/>
      <c r="CC1278"/>
      <c r="CD1278"/>
      <c r="CE1278"/>
      <c r="CF1278"/>
      <c r="CG1278"/>
      <c r="CH1278"/>
      <c r="CI1278"/>
      <c r="CJ1278"/>
      <c r="CK1278"/>
      <c r="CL1278"/>
      <c r="CM1278"/>
      <c r="CN1278"/>
      <c r="CO1278"/>
      <c r="CP1278"/>
      <c r="CQ1278"/>
      <c r="CR1278"/>
      <c r="CS1278"/>
      <c r="CT1278"/>
      <c r="CU1278"/>
      <c r="CV1278"/>
      <c r="CW1278"/>
      <c r="CX1278"/>
      <c r="CY1278"/>
      <c r="CZ1278"/>
      <c r="DA1278"/>
      <c r="DB1278"/>
      <c r="DC1278"/>
      <c r="DD1278"/>
      <c r="DE1278"/>
      <c r="DF1278"/>
      <c r="DG1278"/>
      <c r="DH1278"/>
      <c r="DI1278"/>
      <c r="DJ1278"/>
      <c r="DK1278"/>
      <c r="DL1278"/>
      <c r="DM1278"/>
      <c r="DN1278"/>
      <c r="DO1278"/>
      <c r="DP1278"/>
      <c r="DQ1278"/>
      <c r="DR1278"/>
      <c r="DS1278"/>
      <c r="DT1278"/>
      <c r="DU1278"/>
      <c r="DV1278"/>
      <c r="DW1278"/>
      <c r="DX1278"/>
      <c r="DY1278"/>
      <c r="DZ1278"/>
      <c r="EA1278"/>
      <c r="EB1278"/>
      <c r="EC1278"/>
      <c r="ED1278"/>
      <c r="EE1278"/>
      <c r="EF1278"/>
      <c r="EG1278"/>
      <c r="EH1278"/>
      <c r="EI1278"/>
      <c r="EJ1278"/>
      <c r="EK1278"/>
      <c r="EL1278"/>
      <c r="EM1278"/>
      <c r="EN1278"/>
      <c r="EO1278"/>
      <c r="EP1278"/>
      <c r="EQ1278"/>
      <c r="ER1278"/>
      <c r="ES1278"/>
    </row>
    <row r="1279" spans="1:149">
      <c r="A1279"/>
      <c r="B1279"/>
      <c r="C1279"/>
      <c r="D1279"/>
      <c r="E1279"/>
      <c r="F1279"/>
      <c r="G1279"/>
      <c r="H1279"/>
      <c r="I1279"/>
      <c r="J1279"/>
      <c r="K1279"/>
      <c r="L1279"/>
      <c r="M1279"/>
      <c r="N1279"/>
      <c r="O1279"/>
      <c r="P1279"/>
      <c r="Q1279"/>
      <c r="R1279"/>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c r="BZ1279"/>
      <c r="CA1279"/>
      <c r="CB1279"/>
      <c r="CC1279"/>
      <c r="CD1279"/>
      <c r="CE1279"/>
      <c r="CF1279"/>
      <c r="CG1279"/>
      <c r="CH1279"/>
      <c r="CI1279"/>
      <c r="CJ1279"/>
      <c r="CK1279"/>
      <c r="CL1279"/>
      <c r="CM1279"/>
      <c r="CN1279"/>
      <c r="CO1279"/>
      <c r="CP1279"/>
      <c r="CQ1279"/>
      <c r="CR1279"/>
      <c r="CS1279"/>
      <c r="CT1279"/>
      <c r="CU1279"/>
      <c r="CV1279"/>
      <c r="CW1279"/>
      <c r="CX1279"/>
      <c r="CY1279"/>
      <c r="CZ1279"/>
      <c r="DA1279"/>
      <c r="DB1279"/>
      <c r="DC1279"/>
      <c r="DD1279"/>
      <c r="DE1279"/>
      <c r="DF1279"/>
      <c r="DG1279"/>
      <c r="DH1279"/>
      <c r="DI1279"/>
      <c r="DJ1279"/>
      <c r="DK1279"/>
      <c r="DL1279"/>
      <c r="DM1279"/>
      <c r="DN1279"/>
      <c r="DO1279"/>
      <c r="DP1279"/>
      <c r="DQ1279"/>
      <c r="DR1279"/>
      <c r="DS1279"/>
      <c r="DT1279"/>
      <c r="DU1279"/>
      <c r="DV1279"/>
      <c r="DW1279"/>
      <c r="DX1279"/>
      <c r="DY1279"/>
      <c r="DZ1279"/>
      <c r="EA1279"/>
      <c r="EB1279"/>
      <c r="EC1279"/>
      <c r="ED1279"/>
      <c r="EE1279"/>
      <c r="EF1279"/>
      <c r="EG1279"/>
      <c r="EH1279"/>
      <c r="EI1279"/>
      <c r="EJ1279"/>
      <c r="EK1279"/>
      <c r="EL1279"/>
      <c r="EM1279"/>
      <c r="EN1279"/>
      <c r="EO1279"/>
      <c r="EP1279"/>
      <c r="EQ1279"/>
      <c r="ER1279"/>
      <c r="ES1279"/>
    </row>
    <row r="1280" spans="1:149">
      <c r="A1280"/>
      <c r="B1280"/>
      <c r="C1280"/>
      <c r="D1280"/>
      <c r="E1280"/>
      <c r="F1280"/>
      <c r="G1280"/>
      <c r="H1280"/>
      <c r="I1280"/>
      <c r="J1280"/>
      <c r="K1280"/>
      <c r="L1280"/>
      <c r="M1280"/>
      <c r="N1280"/>
      <c r="O1280"/>
      <c r="P1280"/>
      <c r="Q1280"/>
      <c r="R1280"/>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c r="BZ1280"/>
      <c r="CA1280"/>
      <c r="CB1280"/>
      <c r="CC1280"/>
      <c r="CD1280"/>
      <c r="CE1280"/>
      <c r="CF1280"/>
      <c r="CG1280"/>
      <c r="CH1280"/>
      <c r="CI1280"/>
      <c r="CJ1280"/>
      <c r="CK1280"/>
      <c r="CL1280"/>
      <c r="CM1280"/>
      <c r="CN1280"/>
      <c r="CO1280"/>
      <c r="CP1280"/>
      <c r="CQ1280"/>
      <c r="CR1280"/>
      <c r="CS1280"/>
      <c r="CT1280"/>
      <c r="CU1280"/>
      <c r="CV1280"/>
      <c r="CW1280"/>
      <c r="CX1280"/>
      <c r="CY1280"/>
      <c r="CZ1280"/>
      <c r="DA1280"/>
      <c r="DB1280"/>
      <c r="DC1280"/>
      <c r="DD1280"/>
      <c r="DE1280"/>
      <c r="DF1280"/>
      <c r="DG1280"/>
      <c r="DH1280"/>
      <c r="DI1280"/>
      <c r="DJ1280"/>
      <c r="DK1280"/>
      <c r="DL1280"/>
      <c r="DM1280"/>
      <c r="DN1280"/>
      <c r="DO1280"/>
      <c r="DP1280"/>
      <c r="DQ1280"/>
      <c r="DR1280"/>
      <c r="DS1280"/>
      <c r="DT1280"/>
      <c r="DU1280"/>
      <c r="DV1280"/>
      <c r="DW1280"/>
      <c r="DX1280"/>
      <c r="DY1280"/>
      <c r="DZ1280"/>
      <c r="EA1280"/>
      <c r="EB1280"/>
      <c r="EC1280"/>
      <c r="ED1280"/>
      <c r="EE1280"/>
      <c r="EF1280"/>
      <c r="EG1280"/>
      <c r="EH1280"/>
      <c r="EI1280"/>
      <c r="EJ1280"/>
      <c r="EK1280"/>
      <c r="EL1280"/>
      <c r="EM1280"/>
      <c r="EN1280"/>
      <c r="EO1280"/>
      <c r="EP1280"/>
      <c r="EQ1280"/>
      <c r="ER1280"/>
      <c r="ES1280"/>
    </row>
    <row r="1281" spans="1:149">
      <c r="A1281"/>
      <c r="B1281"/>
      <c r="C1281"/>
      <c r="D1281"/>
      <c r="E1281"/>
      <c r="F1281"/>
      <c r="G1281"/>
      <c r="H1281"/>
      <c r="I1281"/>
      <c r="J1281"/>
      <c r="K1281"/>
      <c r="L1281"/>
      <c r="M1281"/>
      <c r="N1281"/>
      <c r="O1281"/>
      <c r="P1281"/>
      <c r="Q1281"/>
      <c r="R1281"/>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c r="BZ1281"/>
      <c r="CA1281"/>
      <c r="CB1281"/>
      <c r="CC1281"/>
      <c r="CD1281"/>
      <c r="CE1281"/>
      <c r="CF1281"/>
      <c r="CG1281"/>
      <c r="CH1281"/>
      <c r="CI1281"/>
      <c r="CJ1281"/>
      <c r="CK1281"/>
      <c r="CL1281"/>
      <c r="CM1281"/>
      <c r="CN1281"/>
      <c r="CO1281"/>
      <c r="CP1281"/>
      <c r="CQ1281"/>
      <c r="CR1281"/>
      <c r="CS1281"/>
      <c r="CT1281"/>
      <c r="CU1281"/>
      <c r="CV1281"/>
      <c r="CW1281"/>
      <c r="CX1281"/>
      <c r="CY1281"/>
      <c r="CZ1281"/>
      <c r="DA1281"/>
      <c r="DB1281"/>
      <c r="DC1281"/>
      <c r="DD1281"/>
      <c r="DE1281"/>
      <c r="DF1281"/>
      <c r="DG1281"/>
      <c r="DH1281"/>
      <c r="DI1281"/>
      <c r="DJ1281"/>
      <c r="DK1281"/>
      <c r="DL1281"/>
      <c r="DM1281"/>
      <c r="DN1281"/>
      <c r="DO1281"/>
      <c r="DP1281"/>
      <c r="DQ1281"/>
      <c r="DR1281"/>
      <c r="DS1281"/>
      <c r="DT1281"/>
      <c r="DU1281"/>
      <c r="DV1281"/>
      <c r="DW1281"/>
      <c r="DX1281"/>
      <c r="DY1281"/>
      <c r="DZ1281"/>
      <c r="EA1281"/>
      <c r="EB1281"/>
      <c r="EC1281"/>
      <c r="ED1281"/>
      <c r="EE1281"/>
      <c r="EF1281"/>
      <c r="EG1281"/>
      <c r="EH1281"/>
      <c r="EI1281"/>
      <c r="EJ1281"/>
      <c r="EK1281"/>
      <c r="EL1281"/>
      <c r="EM1281"/>
      <c r="EN1281"/>
      <c r="EO1281"/>
      <c r="EP1281"/>
      <c r="EQ1281"/>
      <c r="ER1281"/>
      <c r="ES1281"/>
    </row>
    <row r="1282" spans="1:149">
      <c r="A1282"/>
      <c r="B1282"/>
      <c r="C1282"/>
      <c r="D1282"/>
      <c r="E1282"/>
      <c r="F1282"/>
      <c r="G1282"/>
      <c r="H1282"/>
      <c r="I1282"/>
      <c r="J1282"/>
      <c r="K1282"/>
      <c r="L1282"/>
      <c r="M1282"/>
      <c r="N1282"/>
      <c r="O1282"/>
      <c r="P1282"/>
      <c r="Q1282"/>
      <c r="R1282"/>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c r="BZ1282"/>
      <c r="CA1282"/>
      <c r="CB1282"/>
      <c r="CC1282"/>
      <c r="CD1282"/>
      <c r="CE1282"/>
      <c r="CF1282"/>
      <c r="CG1282"/>
      <c r="CH1282"/>
      <c r="CI1282"/>
      <c r="CJ1282"/>
      <c r="CK1282"/>
      <c r="CL1282"/>
      <c r="CM1282"/>
      <c r="CN1282"/>
      <c r="CO1282"/>
      <c r="CP1282"/>
      <c r="CQ1282"/>
      <c r="CR1282"/>
      <c r="CS1282"/>
      <c r="CT1282"/>
      <c r="CU1282"/>
      <c r="CV1282"/>
      <c r="CW1282"/>
      <c r="CX1282"/>
      <c r="CY1282"/>
      <c r="CZ1282"/>
      <c r="DA1282"/>
      <c r="DB1282"/>
      <c r="DC1282"/>
      <c r="DD1282"/>
      <c r="DE1282"/>
      <c r="DF1282"/>
      <c r="DG1282"/>
      <c r="DH1282"/>
      <c r="DI1282"/>
      <c r="DJ1282"/>
      <c r="DK1282"/>
      <c r="DL1282"/>
      <c r="DM1282"/>
      <c r="DN1282"/>
      <c r="DO1282"/>
      <c r="DP1282"/>
      <c r="DQ1282"/>
      <c r="DR1282"/>
      <c r="DS1282"/>
      <c r="DT1282"/>
      <c r="DU1282"/>
      <c r="DV1282"/>
      <c r="DW1282"/>
      <c r="DX1282"/>
      <c r="DY1282"/>
      <c r="DZ1282"/>
      <c r="EA1282"/>
      <c r="EB1282"/>
      <c r="EC1282"/>
      <c r="ED1282"/>
      <c r="EE1282"/>
      <c r="EF1282"/>
      <c r="EG1282"/>
      <c r="EH1282"/>
      <c r="EI1282"/>
      <c r="EJ1282"/>
      <c r="EK1282"/>
      <c r="EL1282"/>
      <c r="EM1282"/>
      <c r="EN1282"/>
      <c r="EO1282"/>
      <c r="EP1282"/>
      <c r="EQ1282"/>
      <c r="ER1282"/>
      <c r="ES1282"/>
    </row>
    <row r="1283" spans="1:149">
      <c r="A1283"/>
      <c r="B1283"/>
      <c r="C1283"/>
      <c r="D1283"/>
      <c r="E1283"/>
      <c r="F1283"/>
      <c r="G1283"/>
      <c r="H1283"/>
      <c r="I1283"/>
      <c r="J1283"/>
      <c r="K1283"/>
      <c r="L1283"/>
      <c r="M1283"/>
      <c r="N1283"/>
      <c r="O1283"/>
      <c r="P1283"/>
      <c r="Q1283"/>
      <c r="R1283"/>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c r="CB1283"/>
      <c r="CC1283"/>
      <c r="CD1283"/>
      <c r="CE1283"/>
      <c r="CF1283"/>
      <c r="CG1283"/>
      <c r="CH1283"/>
      <c r="CI1283"/>
      <c r="CJ1283"/>
      <c r="CK1283"/>
      <c r="CL1283"/>
      <c r="CM1283"/>
      <c r="CN1283"/>
      <c r="CO1283"/>
      <c r="CP1283"/>
      <c r="CQ1283"/>
      <c r="CR1283"/>
      <c r="CS1283"/>
      <c r="CT1283"/>
      <c r="CU1283"/>
      <c r="CV1283"/>
      <c r="CW1283"/>
      <c r="CX1283"/>
      <c r="CY1283"/>
      <c r="CZ1283"/>
      <c r="DA1283"/>
      <c r="DB1283"/>
      <c r="DC1283"/>
      <c r="DD1283"/>
      <c r="DE1283"/>
      <c r="DF1283"/>
      <c r="DG1283"/>
      <c r="DH1283"/>
      <c r="DI1283"/>
      <c r="DJ1283"/>
      <c r="DK1283"/>
      <c r="DL1283"/>
      <c r="DM1283"/>
      <c r="DN1283"/>
      <c r="DO1283"/>
      <c r="DP1283"/>
      <c r="DQ1283"/>
      <c r="DR1283"/>
      <c r="DS1283"/>
      <c r="DT1283"/>
      <c r="DU1283"/>
      <c r="DV1283"/>
      <c r="DW1283"/>
      <c r="DX1283"/>
      <c r="DY1283"/>
      <c r="DZ1283"/>
      <c r="EA1283"/>
      <c r="EB1283"/>
      <c r="EC1283"/>
      <c r="ED1283"/>
      <c r="EE1283"/>
      <c r="EF1283"/>
      <c r="EG1283"/>
      <c r="EH1283"/>
      <c r="EI1283"/>
      <c r="EJ1283"/>
      <c r="EK1283"/>
      <c r="EL1283"/>
      <c r="EM1283"/>
      <c r="EN1283"/>
      <c r="EO1283"/>
      <c r="EP1283"/>
      <c r="EQ1283"/>
      <c r="ER1283"/>
      <c r="ES1283"/>
    </row>
    <row r="1284" spans="1:149">
      <c r="A1284"/>
      <c r="B1284"/>
      <c r="C1284"/>
      <c r="D1284"/>
      <c r="E1284"/>
      <c r="F1284"/>
      <c r="G1284"/>
      <c r="H1284"/>
      <c r="I1284"/>
      <c r="J1284"/>
      <c r="K1284"/>
      <c r="L1284"/>
      <c r="M1284"/>
      <c r="N1284"/>
      <c r="O1284"/>
      <c r="P1284"/>
      <c r="Q1284"/>
      <c r="R128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c r="BZ1284"/>
      <c r="CA1284"/>
      <c r="CB1284"/>
      <c r="CC1284"/>
      <c r="CD1284"/>
      <c r="CE1284"/>
      <c r="CF1284"/>
      <c r="CG1284"/>
      <c r="CH1284"/>
      <c r="CI1284"/>
      <c r="CJ1284"/>
      <c r="CK1284"/>
      <c r="CL1284"/>
      <c r="CM1284"/>
      <c r="CN1284"/>
      <c r="CO1284"/>
      <c r="CP1284"/>
      <c r="CQ1284"/>
      <c r="CR1284"/>
      <c r="CS1284"/>
      <c r="CT1284"/>
      <c r="CU1284"/>
      <c r="CV1284"/>
      <c r="CW1284"/>
      <c r="CX1284"/>
      <c r="CY1284"/>
      <c r="CZ1284"/>
      <c r="DA1284"/>
      <c r="DB1284"/>
      <c r="DC1284"/>
      <c r="DD1284"/>
      <c r="DE1284"/>
      <c r="DF1284"/>
      <c r="DG1284"/>
      <c r="DH1284"/>
      <c r="DI1284"/>
      <c r="DJ1284"/>
      <c r="DK1284"/>
      <c r="DL1284"/>
      <c r="DM1284"/>
      <c r="DN1284"/>
      <c r="DO1284"/>
      <c r="DP1284"/>
      <c r="DQ1284"/>
      <c r="DR1284"/>
      <c r="DS1284"/>
      <c r="DT1284"/>
      <c r="DU1284"/>
      <c r="DV1284"/>
      <c r="DW1284"/>
      <c r="DX1284"/>
      <c r="DY1284"/>
      <c r="DZ1284"/>
      <c r="EA1284"/>
      <c r="EB1284"/>
      <c r="EC1284"/>
      <c r="ED1284"/>
      <c r="EE1284"/>
      <c r="EF1284"/>
      <c r="EG1284"/>
      <c r="EH1284"/>
      <c r="EI1284"/>
      <c r="EJ1284"/>
      <c r="EK1284"/>
      <c r="EL1284"/>
      <c r="EM1284"/>
      <c r="EN1284"/>
      <c r="EO1284"/>
      <c r="EP1284"/>
      <c r="EQ1284"/>
      <c r="ER1284"/>
      <c r="ES1284"/>
    </row>
    <row r="1285" spans="1:149">
      <c r="A1285"/>
      <c r="B1285"/>
      <c r="C1285"/>
      <c r="D1285"/>
      <c r="E1285"/>
      <c r="F1285"/>
      <c r="G1285"/>
      <c r="H1285"/>
      <c r="I1285"/>
      <c r="J1285"/>
      <c r="K1285"/>
      <c r="L1285"/>
      <c r="M1285"/>
      <c r="N1285"/>
      <c r="O1285"/>
      <c r="P1285"/>
      <c r="Q1285"/>
      <c r="R1285"/>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c r="BZ1285"/>
      <c r="CA1285"/>
      <c r="CB1285"/>
      <c r="CC1285"/>
      <c r="CD1285"/>
      <c r="CE1285"/>
      <c r="CF1285"/>
      <c r="CG1285"/>
      <c r="CH1285"/>
      <c r="CI1285"/>
      <c r="CJ1285"/>
      <c r="CK1285"/>
      <c r="CL1285"/>
      <c r="CM1285"/>
      <c r="CN1285"/>
      <c r="CO1285"/>
      <c r="CP1285"/>
      <c r="CQ1285"/>
      <c r="CR1285"/>
      <c r="CS1285"/>
      <c r="CT1285"/>
      <c r="CU1285"/>
      <c r="CV1285"/>
      <c r="CW1285"/>
      <c r="CX1285"/>
      <c r="CY1285"/>
      <c r="CZ1285"/>
      <c r="DA1285"/>
      <c r="DB1285"/>
      <c r="DC1285"/>
      <c r="DD1285"/>
      <c r="DE1285"/>
      <c r="DF1285"/>
      <c r="DG1285"/>
      <c r="DH1285"/>
      <c r="DI1285"/>
      <c r="DJ1285"/>
      <c r="DK1285"/>
      <c r="DL1285"/>
      <c r="DM1285"/>
      <c r="DN1285"/>
      <c r="DO1285"/>
      <c r="DP1285"/>
      <c r="DQ1285"/>
      <c r="DR1285"/>
      <c r="DS1285"/>
      <c r="DT1285"/>
      <c r="DU1285"/>
      <c r="DV1285"/>
      <c r="DW1285"/>
      <c r="DX1285"/>
      <c r="DY1285"/>
      <c r="DZ1285"/>
      <c r="EA1285"/>
      <c r="EB1285"/>
      <c r="EC1285"/>
      <c r="ED1285"/>
      <c r="EE1285"/>
      <c r="EF1285"/>
      <c r="EG1285"/>
      <c r="EH1285"/>
      <c r="EI1285"/>
      <c r="EJ1285"/>
      <c r="EK1285"/>
      <c r="EL1285"/>
      <c r="EM1285"/>
      <c r="EN1285"/>
      <c r="EO1285"/>
      <c r="EP1285"/>
      <c r="EQ1285"/>
      <c r="ER1285"/>
      <c r="ES1285"/>
    </row>
    <row r="1286" spans="1:149">
      <c r="A1286"/>
      <c r="B1286"/>
      <c r="C1286"/>
      <c r="D1286"/>
      <c r="E1286"/>
      <c r="F1286"/>
      <c r="G1286"/>
      <c r="H1286"/>
      <c r="I1286"/>
      <c r="J1286"/>
      <c r="K1286"/>
      <c r="L1286"/>
      <c r="M1286"/>
      <c r="N1286"/>
      <c r="O1286"/>
      <c r="P1286"/>
      <c r="Q1286"/>
      <c r="R1286"/>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c r="CB1286"/>
      <c r="CC1286"/>
      <c r="CD1286"/>
      <c r="CE1286"/>
      <c r="CF1286"/>
      <c r="CG1286"/>
      <c r="CH1286"/>
      <c r="CI1286"/>
      <c r="CJ1286"/>
      <c r="CK1286"/>
      <c r="CL1286"/>
      <c r="CM1286"/>
      <c r="CN1286"/>
      <c r="CO1286"/>
      <c r="CP1286"/>
      <c r="CQ1286"/>
      <c r="CR1286"/>
      <c r="CS1286"/>
      <c r="CT1286"/>
      <c r="CU1286"/>
      <c r="CV1286"/>
      <c r="CW1286"/>
      <c r="CX1286"/>
      <c r="CY1286"/>
      <c r="CZ1286"/>
      <c r="DA1286"/>
      <c r="DB1286"/>
      <c r="DC1286"/>
      <c r="DD1286"/>
      <c r="DE1286"/>
      <c r="DF1286"/>
      <c r="DG1286"/>
      <c r="DH1286"/>
      <c r="DI1286"/>
      <c r="DJ1286"/>
      <c r="DK1286"/>
      <c r="DL1286"/>
      <c r="DM1286"/>
      <c r="DN1286"/>
      <c r="DO1286"/>
      <c r="DP1286"/>
      <c r="DQ1286"/>
      <c r="DR1286"/>
      <c r="DS1286"/>
      <c r="DT1286"/>
      <c r="DU1286"/>
      <c r="DV1286"/>
      <c r="DW1286"/>
      <c r="DX1286"/>
      <c r="DY1286"/>
      <c r="DZ1286"/>
      <c r="EA1286"/>
      <c r="EB1286"/>
      <c r="EC1286"/>
      <c r="ED1286"/>
      <c r="EE1286"/>
      <c r="EF1286"/>
      <c r="EG1286"/>
      <c r="EH1286"/>
      <c r="EI1286"/>
      <c r="EJ1286"/>
      <c r="EK1286"/>
      <c r="EL1286"/>
      <c r="EM1286"/>
      <c r="EN1286"/>
      <c r="EO1286"/>
      <c r="EP1286"/>
      <c r="EQ1286"/>
      <c r="ER1286"/>
      <c r="ES1286"/>
    </row>
    <row r="1287" spans="1:149">
      <c r="A1287"/>
      <c r="B1287"/>
      <c r="C1287"/>
      <c r="D1287"/>
      <c r="E1287"/>
      <c r="F1287"/>
      <c r="G1287"/>
      <c r="H1287"/>
      <c r="I1287"/>
      <c r="J1287"/>
      <c r="K1287"/>
      <c r="L1287"/>
      <c r="M1287"/>
      <c r="N1287"/>
      <c r="O1287"/>
      <c r="P1287"/>
      <c r="Q1287"/>
      <c r="R1287"/>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c r="BZ1287"/>
      <c r="CA1287"/>
      <c r="CB1287"/>
      <c r="CC1287"/>
      <c r="CD1287"/>
      <c r="CE1287"/>
      <c r="CF1287"/>
      <c r="CG1287"/>
      <c r="CH1287"/>
      <c r="CI1287"/>
      <c r="CJ1287"/>
      <c r="CK1287"/>
      <c r="CL1287"/>
      <c r="CM1287"/>
      <c r="CN1287"/>
      <c r="CO1287"/>
      <c r="CP1287"/>
      <c r="CQ1287"/>
      <c r="CR1287"/>
      <c r="CS1287"/>
      <c r="CT1287"/>
      <c r="CU1287"/>
      <c r="CV1287"/>
      <c r="CW1287"/>
      <c r="CX1287"/>
      <c r="CY1287"/>
      <c r="CZ1287"/>
      <c r="DA1287"/>
      <c r="DB1287"/>
      <c r="DC1287"/>
      <c r="DD1287"/>
      <c r="DE1287"/>
      <c r="DF1287"/>
      <c r="DG1287"/>
      <c r="DH1287"/>
      <c r="DI1287"/>
      <c r="DJ1287"/>
      <c r="DK1287"/>
      <c r="DL1287"/>
      <c r="DM1287"/>
      <c r="DN1287"/>
      <c r="DO1287"/>
      <c r="DP1287"/>
      <c r="DQ1287"/>
      <c r="DR1287"/>
      <c r="DS1287"/>
      <c r="DT1287"/>
      <c r="DU1287"/>
      <c r="DV1287"/>
      <c r="DW1287"/>
      <c r="DX1287"/>
      <c r="DY1287"/>
      <c r="DZ1287"/>
      <c r="EA1287"/>
      <c r="EB1287"/>
      <c r="EC1287"/>
      <c r="ED1287"/>
      <c r="EE1287"/>
      <c r="EF1287"/>
      <c r="EG1287"/>
      <c r="EH1287"/>
      <c r="EI1287"/>
      <c r="EJ1287"/>
      <c r="EK1287"/>
      <c r="EL1287"/>
      <c r="EM1287"/>
      <c r="EN1287"/>
      <c r="EO1287"/>
      <c r="EP1287"/>
      <c r="EQ1287"/>
      <c r="ER1287"/>
      <c r="ES1287"/>
    </row>
    <row r="1288" spans="1:149">
      <c r="A1288"/>
      <c r="B1288"/>
      <c r="C1288"/>
      <c r="D1288"/>
      <c r="E1288"/>
      <c r="F1288"/>
      <c r="G1288"/>
      <c r="H1288"/>
      <c r="I1288"/>
      <c r="J1288"/>
      <c r="K1288"/>
      <c r="L1288"/>
      <c r="M1288"/>
      <c r="N1288"/>
      <c r="O1288"/>
      <c r="P1288"/>
      <c r="Q1288"/>
      <c r="R1288"/>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c r="BZ1288"/>
      <c r="CA1288"/>
      <c r="CB1288"/>
      <c r="CC1288"/>
      <c r="CD1288"/>
      <c r="CE1288"/>
      <c r="CF1288"/>
      <c r="CG1288"/>
      <c r="CH1288"/>
      <c r="CI1288"/>
      <c r="CJ1288"/>
      <c r="CK1288"/>
      <c r="CL1288"/>
      <c r="CM1288"/>
      <c r="CN1288"/>
      <c r="CO1288"/>
      <c r="CP1288"/>
      <c r="CQ1288"/>
      <c r="CR1288"/>
      <c r="CS1288"/>
      <c r="CT1288"/>
      <c r="CU1288"/>
      <c r="CV1288"/>
      <c r="CW1288"/>
      <c r="CX1288"/>
      <c r="CY1288"/>
      <c r="CZ1288"/>
      <c r="DA1288"/>
      <c r="DB1288"/>
      <c r="DC1288"/>
      <c r="DD1288"/>
      <c r="DE1288"/>
      <c r="DF1288"/>
      <c r="DG1288"/>
      <c r="DH1288"/>
      <c r="DI1288"/>
      <c r="DJ1288"/>
      <c r="DK1288"/>
      <c r="DL1288"/>
      <c r="DM1288"/>
      <c r="DN1288"/>
      <c r="DO1288"/>
      <c r="DP1288"/>
      <c r="DQ1288"/>
      <c r="DR1288"/>
      <c r="DS1288"/>
      <c r="DT1288"/>
      <c r="DU1288"/>
      <c r="DV1288"/>
      <c r="DW1288"/>
      <c r="DX1288"/>
      <c r="DY1288"/>
      <c r="DZ1288"/>
      <c r="EA1288"/>
      <c r="EB1288"/>
      <c r="EC1288"/>
      <c r="ED1288"/>
      <c r="EE1288"/>
      <c r="EF1288"/>
      <c r="EG1288"/>
      <c r="EH1288"/>
      <c r="EI1288"/>
      <c r="EJ1288"/>
      <c r="EK1288"/>
      <c r="EL1288"/>
      <c r="EM1288"/>
      <c r="EN1288"/>
      <c r="EO1288"/>
      <c r="EP1288"/>
      <c r="EQ1288"/>
      <c r="ER1288"/>
      <c r="ES1288"/>
    </row>
    <row r="1289" spans="1:149">
      <c r="A1289"/>
      <c r="B1289"/>
      <c r="C1289"/>
      <c r="D1289"/>
      <c r="E1289"/>
      <c r="F1289"/>
      <c r="G1289"/>
      <c r="H1289"/>
      <c r="I1289"/>
      <c r="J1289"/>
      <c r="K1289"/>
      <c r="L1289"/>
      <c r="M1289"/>
      <c r="N1289"/>
      <c r="O1289"/>
      <c r="P1289"/>
      <c r="Q1289"/>
      <c r="R1289"/>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c r="BZ1289"/>
      <c r="CA1289"/>
      <c r="CB1289"/>
      <c r="CC1289"/>
      <c r="CD1289"/>
      <c r="CE1289"/>
      <c r="CF1289"/>
      <c r="CG1289"/>
      <c r="CH1289"/>
      <c r="CI1289"/>
      <c r="CJ1289"/>
      <c r="CK1289"/>
      <c r="CL1289"/>
      <c r="CM1289"/>
      <c r="CN1289"/>
      <c r="CO1289"/>
      <c r="CP1289"/>
      <c r="CQ1289"/>
      <c r="CR1289"/>
      <c r="CS1289"/>
      <c r="CT1289"/>
      <c r="CU1289"/>
      <c r="CV1289"/>
      <c r="CW1289"/>
      <c r="CX1289"/>
      <c r="CY1289"/>
      <c r="CZ1289"/>
      <c r="DA1289"/>
      <c r="DB1289"/>
      <c r="DC1289"/>
      <c r="DD1289"/>
      <c r="DE1289"/>
      <c r="DF1289"/>
      <c r="DG1289"/>
      <c r="DH1289"/>
      <c r="DI1289"/>
      <c r="DJ1289"/>
      <c r="DK1289"/>
      <c r="DL1289"/>
      <c r="DM1289"/>
      <c r="DN1289"/>
      <c r="DO1289"/>
      <c r="DP1289"/>
      <c r="DQ1289"/>
      <c r="DR1289"/>
      <c r="DS1289"/>
      <c r="DT1289"/>
      <c r="DU1289"/>
      <c r="DV1289"/>
      <c r="DW1289"/>
      <c r="DX1289"/>
      <c r="DY1289"/>
      <c r="DZ1289"/>
      <c r="EA1289"/>
      <c r="EB1289"/>
      <c r="EC1289"/>
      <c r="ED1289"/>
      <c r="EE1289"/>
      <c r="EF1289"/>
      <c r="EG1289"/>
      <c r="EH1289"/>
      <c r="EI1289"/>
      <c r="EJ1289"/>
      <c r="EK1289"/>
      <c r="EL1289"/>
      <c r="EM1289"/>
      <c r="EN1289"/>
      <c r="EO1289"/>
      <c r="EP1289"/>
      <c r="EQ1289"/>
      <c r="ER1289"/>
      <c r="ES1289"/>
    </row>
    <row r="1290" spans="1:149">
      <c r="A1290"/>
      <c r="B1290"/>
      <c r="C1290"/>
      <c r="D1290"/>
      <c r="E1290"/>
      <c r="F1290"/>
      <c r="G1290"/>
      <c r="H1290"/>
      <c r="I1290"/>
      <c r="J1290"/>
      <c r="K1290"/>
      <c r="L1290"/>
      <c r="M1290"/>
      <c r="N1290"/>
      <c r="O1290"/>
      <c r="P1290"/>
      <c r="Q1290"/>
      <c r="R1290"/>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c r="BZ1290"/>
      <c r="CA1290"/>
      <c r="CB1290"/>
      <c r="CC1290"/>
      <c r="CD1290"/>
      <c r="CE1290"/>
      <c r="CF1290"/>
      <c r="CG1290"/>
      <c r="CH1290"/>
      <c r="CI1290"/>
      <c r="CJ1290"/>
      <c r="CK1290"/>
      <c r="CL1290"/>
      <c r="CM1290"/>
      <c r="CN1290"/>
      <c r="CO1290"/>
      <c r="CP1290"/>
      <c r="CQ1290"/>
      <c r="CR1290"/>
      <c r="CS1290"/>
      <c r="CT1290"/>
      <c r="CU1290"/>
      <c r="CV1290"/>
      <c r="CW1290"/>
      <c r="CX1290"/>
      <c r="CY1290"/>
      <c r="CZ1290"/>
      <c r="DA1290"/>
      <c r="DB1290"/>
      <c r="DC1290"/>
      <c r="DD1290"/>
      <c r="DE1290"/>
      <c r="DF1290"/>
      <c r="DG1290"/>
      <c r="DH1290"/>
      <c r="DI1290"/>
      <c r="DJ1290"/>
      <c r="DK1290"/>
      <c r="DL1290"/>
      <c r="DM1290"/>
      <c r="DN1290"/>
      <c r="DO1290"/>
      <c r="DP1290"/>
      <c r="DQ1290"/>
      <c r="DR1290"/>
      <c r="DS1290"/>
      <c r="DT1290"/>
      <c r="DU1290"/>
      <c r="DV1290"/>
      <c r="DW1290"/>
      <c r="DX1290"/>
      <c r="DY1290"/>
      <c r="DZ1290"/>
      <c r="EA1290"/>
      <c r="EB1290"/>
      <c r="EC1290"/>
      <c r="ED1290"/>
      <c r="EE1290"/>
      <c r="EF1290"/>
      <c r="EG1290"/>
      <c r="EH1290"/>
      <c r="EI1290"/>
      <c r="EJ1290"/>
      <c r="EK1290"/>
      <c r="EL1290"/>
      <c r="EM1290"/>
      <c r="EN1290"/>
      <c r="EO1290"/>
      <c r="EP1290"/>
      <c r="EQ1290"/>
      <c r="ER1290"/>
      <c r="ES1290"/>
    </row>
    <row r="1291" spans="1:149">
      <c r="A1291"/>
      <c r="B1291"/>
      <c r="C1291"/>
      <c r="D1291"/>
      <c r="E1291"/>
      <c r="F1291"/>
      <c r="G1291"/>
      <c r="H1291"/>
      <c r="I1291"/>
      <c r="J1291"/>
      <c r="K1291"/>
      <c r="L1291"/>
      <c r="M1291"/>
      <c r="N1291"/>
      <c r="O1291"/>
      <c r="P1291"/>
      <c r="Q1291"/>
      <c r="R1291"/>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c r="BZ1291"/>
      <c r="CA1291"/>
      <c r="CB1291"/>
      <c r="CC1291"/>
      <c r="CD1291"/>
      <c r="CE1291"/>
      <c r="CF1291"/>
      <c r="CG1291"/>
      <c r="CH1291"/>
      <c r="CI1291"/>
      <c r="CJ1291"/>
      <c r="CK1291"/>
      <c r="CL1291"/>
      <c r="CM1291"/>
      <c r="CN1291"/>
      <c r="CO1291"/>
      <c r="CP1291"/>
      <c r="CQ1291"/>
      <c r="CR1291"/>
      <c r="CS1291"/>
      <c r="CT1291"/>
      <c r="CU1291"/>
      <c r="CV1291"/>
      <c r="CW1291"/>
      <c r="CX1291"/>
      <c r="CY1291"/>
      <c r="CZ1291"/>
      <c r="DA1291"/>
      <c r="DB1291"/>
      <c r="DC1291"/>
      <c r="DD1291"/>
      <c r="DE1291"/>
      <c r="DF1291"/>
      <c r="DG1291"/>
      <c r="DH1291"/>
      <c r="DI1291"/>
      <c r="DJ1291"/>
      <c r="DK1291"/>
      <c r="DL1291"/>
      <c r="DM1291"/>
      <c r="DN1291"/>
      <c r="DO1291"/>
      <c r="DP1291"/>
      <c r="DQ1291"/>
      <c r="DR1291"/>
      <c r="DS1291"/>
      <c r="DT1291"/>
      <c r="DU1291"/>
      <c r="DV1291"/>
      <c r="DW1291"/>
      <c r="DX1291"/>
      <c r="DY1291"/>
      <c r="DZ1291"/>
      <c r="EA1291"/>
      <c r="EB1291"/>
      <c r="EC1291"/>
      <c r="ED1291"/>
      <c r="EE1291"/>
      <c r="EF1291"/>
      <c r="EG1291"/>
      <c r="EH1291"/>
      <c r="EI1291"/>
      <c r="EJ1291"/>
      <c r="EK1291"/>
      <c r="EL1291"/>
      <c r="EM1291"/>
      <c r="EN1291"/>
      <c r="EO1291"/>
      <c r="EP1291"/>
      <c r="EQ1291"/>
      <c r="ER1291"/>
      <c r="ES1291"/>
    </row>
    <row r="1292" spans="1:149">
      <c r="A1292"/>
      <c r="B1292"/>
      <c r="C1292"/>
      <c r="D1292"/>
      <c r="E1292"/>
      <c r="F1292"/>
      <c r="G1292"/>
      <c r="H1292"/>
      <c r="I1292"/>
      <c r="J1292"/>
      <c r="K1292"/>
      <c r="L1292"/>
      <c r="M1292"/>
      <c r="N1292"/>
      <c r="O1292"/>
      <c r="P1292"/>
      <c r="Q1292"/>
      <c r="R1292"/>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c r="BZ1292"/>
      <c r="CA1292"/>
      <c r="CB1292"/>
      <c r="CC1292"/>
      <c r="CD1292"/>
      <c r="CE1292"/>
      <c r="CF1292"/>
      <c r="CG1292"/>
      <c r="CH1292"/>
      <c r="CI1292"/>
      <c r="CJ1292"/>
      <c r="CK1292"/>
      <c r="CL1292"/>
      <c r="CM1292"/>
      <c r="CN1292"/>
      <c r="CO1292"/>
      <c r="CP1292"/>
      <c r="CQ1292"/>
      <c r="CR1292"/>
      <c r="CS1292"/>
      <c r="CT1292"/>
      <c r="CU1292"/>
      <c r="CV1292"/>
      <c r="CW1292"/>
      <c r="CX1292"/>
      <c r="CY1292"/>
      <c r="CZ1292"/>
      <c r="DA1292"/>
      <c r="DB1292"/>
      <c r="DC1292"/>
      <c r="DD1292"/>
      <c r="DE1292"/>
      <c r="DF1292"/>
      <c r="DG1292"/>
      <c r="DH1292"/>
      <c r="DI1292"/>
      <c r="DJ1292"/>
      <c r="DK1292"/>
      <c r="DL1292"/>
      <c r="DM1292"/>
      <c r="DN1292"/>
      <c r="DO1292"/>
      <c r="DP1292"/>
      <c r="DQ1292"/>
      <c r="DR1292"/>
      <c r="DS1292"/>
      <c r="DT1292"/>
      <c r="DU1292"/>
      <c r="DV1292"/>
      <c r="DW1292"/>
      <c r="DX1292"/>
      <c r="DY1292"/>
      <c r="DZ1292"/>
      <c r="EA1292"/>
      <c r="EB1292"/>
      <c r="EC1292"/>
      <c r="ED1292"/>
      <c r="EE1292"/>
      <c r="EF1292"/>
      <c r="EG1292"/>
      <c r="EH1292"/>
      <c r="EI1292"/>
      <c r="EJ1292"/>
      <c r="EK1292"/>
      <c r="EL1292"/>
      <c r="EM1292"/>
      <c r="EN1292"/>
      <c r="EO1292"/>
      <c r="EP1292"/>
      <c r="EQ1292"/>
      <c r="ER1292"/>
      <c r="ES1292"/>
    </row>
    <row r="1293" spans="1:149">
      <c r="A1293"/>
      <c r="B1293"/>
      <c r="C1293"/>
      <c r="D1293"/>
      <c r="E1293"/>
      <c r="F1293"/>
      <c r="G1293"/>
      <c r="H1293"/>
      <c r="I1293"/>
      <c r="J1293"/>
      <c r="K1293"/>
      <c r="L1293"/>
      <c r="M1293"/>
      <c r="N1293"/>
      <c r="O1293"/>
      <c r="P1293"/>
      <c r="Q1293"/>
      <c r="R1293"/>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c r="BZ1293"/>
      <c r="CA1293"/>
      <c r="CB1293"/>
      <c r="CC1293"/>
      <c r="CD1293"/>
      <c r="CE1293"/>
      <c r="CF1293"/>
      <c r="CG1293"/>
      <c r="CH1293"/>
      <c r="CI1293"/>
      <c r="CJ1293"/>
      <c r="CK1293"/>
      <c r="CL1293"/>
      <c r="CM1293"/>
      <c r="CN1293"/>
      <c r="CO1293"/>
      <c r="CP1293"/>
      <c r="CQ1293"/>
      <c r="CR1293"/>
      <c r="CS1293"/>
      <c r="CT1293"/>
      <c r="CU1293"/>
      <c r="CV1293"/>
      <c r="CW1293"/>
      <c r="CX1293"/>
      <c r="CY1293"/>
      <c r="CZ1293"/>
      <c r="DA1293"/>
      <c r="DB1293"/>
      <c r="DC1293"/>
      <c r="DD1293"/>
      <c r="DE1293"/>
      <c r="DF1293"/>
      <c r="DG1293"/>
      <c r="DH1293"/>
      <c r="DI1293"/>
      <c r="DJ1293"/>
      <c r="DK1293"/>
      <c r="DL1293"/>
      <c r="DM1293"/>
      <c r="DN1293"/>
      <c r="DO1293"/>
      <c r="DP1293"/>
      <c r="DQ1293"/>
      <c r="DR1293"/>
      <c r="DS1293"/>
      <c r="DT1293"/>
      <c r="DU1293"/>
      <c r="DV1293"/>
      <c r="DW1293"/>
      <c r="DX1293"/>
      <c r="DY1293"/>
      <c r="DZ1293"/>
      <c r="EA1293"/>
      <c r="EB1293"/>
      <c r="EC1293"/>
      <c r="ED1293"/>
      <c r="EE1293"/>
      <c r="EF1293"/>
      <c r="EG1293"/>
      <c r="EH1293"/>
      <c r="EI1293"/>
      <c r="EJ1293"/>
      <c r="EK1293"/>
      <c r="EL1293"/>
      <c r="EM1293"/>
      <c r="EN1293"/>
      <c r="EO1293"/>
      <c r="EP1293"/>
      <c r="EQ1293"/>
      <c r="ER1293"/>
      <c r="ES1293"/>
    </row>
    <row r="1294" spans="1:149">
      <c r="A1294"/>
      <c r="B1294"/>
      <c r="C1294"/>
      <c r="D1294"/>
      <c r="E1294"/>
      <c r="F1294"/>
      <c r="G1294"/>
      <c r="H1294"/>
      <c r="I1294"/>
      <c r="J1294"/>
      <c r="K1294"/>
      <c r="L1294"/>
      <c r="M1294"/>
      <c r="N1294"/>
      <c r="O1294"/>
      <c r="P1294"/>
      <c r="Q1294"/>
      <c r="R129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c r="BZ1294"/>
      <c r="CA1294"/>
      <c r="CB1294"/>
      <c r="CC1294"/>
      <c r="CD1294"/>
      <c r="CE1294"/>
      <c r="CF1294"/>
      <c r="CG1294"/>
      <c r="CH1294"/>
      <c r="CI1294"/>
      <c r="CJ1294"/>
      <c r="CK1294"/>
      <c r="CL1294"/>
      <c r="CM1294"/>
      <c r="CN1294"/>
      <c r="CO1294"/>
      <c r="CP1294"/>
      <c r="CQ1294"/>
      <c r="CR1294"/>
      <c r="CS1294"/>
      <c r="CT1294"/>
      <c r="CU1294"/>
      <c r="CV1294"/>
      <c r="CW1294"/>
      <c r="CX1294"/>
      <c r="CY1294"/>
      <c r="CZ1294"/>
      <c r="DA1294"/>
      <c r="DB1294"/>
      <c r="DC1294"/>
      <c r="DD1294"/>
      <c r="DE1294"/>
      <c r="DF1294"/>
      <c r="DG1294"/>
      <c r="DH1294"/>
      <c r="DI1294"/>
      <c r="DJ1294"/>
      <c r="DK1294"/>
      <c r="DL1294"/>
      <c r="DM1294"/>
      <c r="DN1294"/>
      <c r="DO1294"/>
      <c r="DP1294"/>
      <c r="DQ1294"/>
      <c r="DR1294"/>
      <c r="DS1294"/>
      <c r="DT1294"/>
      <c r="DU1294"/>
      <c r="DV1294"/>
      <c r="DW1294"/>
      <c r="DX1294"/>
      <c r="DY1294"/>
      <c r="DZ1294"/>
      <c r="EA1294"/>
      <c r="EB1294"/>
      <c r="EC1294"/>
      <c r="ED1294"/>
      <c r="EE1294"/>
      <c r="EF1294"/>
      <c r="EG1294"/>
      <c r="EH1294"/>
      <c r="EI1294"/>
      <c r="EJ1294"/>
      <c r="EK1294"/>
      <c r="EL1294"/>
      <c r="EM1294"/>
      <c r="EN1294"/>
      <c r="EO1294"/>
      <c r="EP1294"/>
      <c r="EQ1294"/>
      <c r="ER1294"/>
      <c r="ES1294"/>
    </row>
    <row r="1295" spans="1:149">
      <c r="A1295"/>
      <c r="B1295"/>
      <c r="C1295"/>
      <c r="D1295"/>
      <c r="E1295"/>
      <c r="F1295"/>
      <c r="G1295"/>
      <c r="H1295"/>
      <c r="I1295"/>
      <c r="J1295"/>
      <c r="K1295"/>
      <c r="L1295"/>
      <c r="M1295"/>
      <c r="N1295"/>
      <c r="O1295"/>
      <c r="P1295"/>
      <c r="Q1295"/>
      <c r="R1295"/>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c r="BZ1295"/>
      <c r="CA1295"/>
      <c r="CB1295"/>
      <c r="CC1295"/>
      <c r="CD1295"/>
      <c r="CE1295"/>
      <c r="CF1295"/>
      <c r="CG1295"/>
      <c r="CH1295"/>
      <c r="CI1295"/>
      <c r="CJ1295"/>
      <c r="CK1295"/>
      <c r="CL1295"/>
      <c r="CM1295"/>
      <c r="CN1295"/>
      <c r="CO1295"/>
      <c r="CP1295"/>
      <c r="CQ1295"/>
      <c r="CR1295"/>
      <c r="CS1295"/>
      <c r="CT1295"/>
      <c r="CU1295"/>
      <c r="CV1295"/>
      <c r="CW1295"/>
      <c r="CX1295"/>
      <c r="CY1295"/>
      <c r="CZ1295"/>
      <c r="DA1295"/>
      <c r="DB1295"/>
      <c r="DC1295"/>
      <c r="DD1295"/>
      <c r="DE1295"/>
      <c r="DF1295"/>
      <c r="DG1295"/>
      <c r="DH1295"/>
      <c r="DI1295"/>
      <c r="DJ1295"/>
      <c r="DK1295"/>
      <c r="DL1295"/>
      <c r="DM1295"/>
      <c r="DN1295"/>
      <c r="DO1295"/>
      <c r="DP1295"/>
      <c r="DQ1295"/>
      <c r="DR1295"/>
      <c r="DS1295"/>
      <c r="DT1295"/>
      <c r="DU1295"/>
      <c r="DV1295"/>
      <c r="DW1295"/>
      <c r="DX1295"/>
      <c r="DY1295"/>
      <c r="DZ1295"/>
      <c r="EA1295"/>
      <c r="EB1295"/>
      <c r="EC1295"/>
      <c r="ED1295"/>
      <c r="EE1295"/>
      <c r="EF1295"/>
      <c r="EG1295"/>
      <c r="EH1295"/>
      <c r="EI1295"/>
      <c r="EJ1295"/>
      <c r="EK1295"/>
      <c r="EL1295"/>
      <c r="EM1295"/>
      <c r="EN1295"/>
      <c r="EO1295"/>
      <c r="EP1295"/>
      <c r="EQ1295"/>
      <c r="ER1295"/>
      <c r="ES1295"/>
    </row>
    <row r="1296" spans="1:149">
      <c r="A1296"/>
      <c r="B1296"/>
      <c r="C1296"/>
      <c r="D1296"/>
      <c r="E1296"/>
      <c r="F1296"/>
      <c r="G1296"/>
      <c r="H1296"/>
      <c r="I1296"/>
      <c r="J1296"/>
      <c r="K1296"/>
      <c r="L1296"/>
      <c r="M1296"/>
      <c r="N1296"/>
      <c r="O1296"/>
      <c r="P1296"/>
      <c r="Q1296"/>
      <c r="R1296"/>
      <c r="S1296"/>
      <c r="T1296"/>
      <c r="U1296"/>
      <c r="V1296"/>
      <c r="W1296"/>
      <c r="X1296"/>
      <c r="Y1296"/>
      <c r="Z1296"/>
      <c r="AA1296"/>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c r="BZ1296"/>
      <c r="CA1296"/>
      <c r="CB1296"/>
      <c r="CC1296"/>
      <c r="CD1296"/>
      <c r="CE1296"/>
      <c r="CF1296"/>
      <c r="CG1296"/>
      <c r="CH1296"/>
      <c r="CI1296"/>
      <c r="CJ1296"/>
      <c r="CK1296"/>
      <c r="CL1296"/>
      <c r="CM1296"/>
      <c r="CN1296"/>
      <c r="CO1296"/>
      <c r="CP1296"/>
      <c r="CQ1296"/>
      <c r="CR1296"/>
      <c r="CS1296"/>
      <c r="CT1296"/>
      <c r="CU1296"/>
      <c r="CV1296"/>
      <c r="CW1296"/>
      <c r="CX1296"/>
      <c r="CY1296"/>
      <c r="CZ1296"/>
      <c r="DA1296"/>
      <c r="DB1296"/>
      <c r="DC1296"/>
      <c r="DD1296"/>
      <c r="DE1296"/>
      <c r="DF1296"/>
      <c r="DG1296"/>
      <c r="DH1296"/>
      <c r="DI1296"/>
      <c r="DJ1296"/>
      <c r="DK1296"/>
      <c r="DL1296"/>
      <c r="DM1296"/>
      <c r="DN1296"/>
      <c r="DO1296"/>
      <c r="DP1296"/>
      <c r="DQ1296"/>
      <c r="DR1296"/>
      <c r="DS1296"/>
      <c r="DT1296"/>
      <c r="DU1296"/>
      <c r="DV1296"/>
      <c r="DW1296"/>
      <c r="DX1296"/>
      <c r="DY1296"/>
      <c r="DZ1296"/>
      <c r="EA1296"/>
      <c r="EB1296"/>
      <c r="EC1296"/>
      <c r="ED1296"/>
      <c r="EE1296"/>
      <c r="EF1296"/>
      <c r="EG1296"/>
      <c r="EH1296"/>
      <c r="EI1296"/>
      <c r="EJ1296"/>
      <c r="EK1296"/>
      <c r="EL1296"/>
      <c r="EM1296"/>
      <c r="EN1296"/>
      <c r="EO1296"/>
      <c r="EP1296"/>
      <c r="EQ1296"/>
      <c r="ER1296"/>
      <c r="ES1296"/>
    </row>
    <row r="1297" spans="1:149">
      <c r="A1297"/>
      <c r="B1297"/>
      <c r="C1297"/>
      <c r="D1297"/>
      <c r="E1297"/>
      <c r="F1297"/>
      <c r="G1297"/>
      <c r="H1297"/>
      <c r="I1297"/>
      <c r="J1297"/>
      <c r="K1297"/>
      <c r="L1297"/>
      <c r="M1297"/>
      <c r="N1297"/>
      <c r="O1297"/>
      <c r="P1297"/>
      <c r="Q1297"/>
      <c r="R1297"/>
      <c r="S1297"/>
      <c r="T1297"/>
      <c r="U1297"/>
      <c r="V1297"/>
      <c r="W1297"/>
      <c r="X1297"/>
      <c r="Y1297"/>
      <c r="Z1297"/>
      <c r="AA1297"/>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c r="BZ1297"/>
      <c r="CA1297"/>
      <c r="CB1297"/>
      <c r="CC1297"/>
      <c r="CD1297"/>
      <c r="CE1297"/>
      <c r="CF1297"/>
      <c r="CG1297"/>
      <c r="CH1297"/>
      <c r="CI1297"/>
      <c r="CJ1297"/>
      <c r="CK1297"/>
      <c r="CL1297"/>
      <c r="CM1297"/>
      <c r="CN1297"/>
      <c r="CO1297"/>
      <c r="CP1297"/>
      <c r="CQ1297"/>
      <c r="CR1297"/>
      <c r="CS1297"/>
      <c r="CT1297"/>
      <c r="CU1297"/>
      <c r="CV1297"/>
      <c r="CW1297"/>
      <c r="CX1297"/>
      <c r="CY1297"/>
      <c r="CZ1297"/>
      <c r="DA1297"/>
      <c r="DB1297"/>
      <c r="DC1297"/>
      <c r="DD1297"/>
      <c r="DE1297"/>
      <c r="DF1297"/>
      <c r="DG1297"/>
      <c r="DH1297"/>
      <c r="DI1297"/>
      <c r="DJ1297"/>
      <c r="DK1297"/>
      <c r="DL1297"/>
      <c r="DM1297"/>
      <c r="DN1297"/>
      <c r="DO1297"/>
      <c r="DP1297"/>
      <c r="DQ1297"/>
      <c r="DR1297"/>
      <c r="DS1297"/>
      <c r="DT1297"/>
      <c r="DU1297"/>
      <c r="DV1297"/>
      <c r="DW1297"/>
      <c r="DX1297"/>
      <c r="DY1297"/>
      <c r="DZ1297"/>
      <c r="EA1297"/>
      <c r="EB1297"/>
      <c r="EC1297"/>
      <c r="ED1297"/>
      <c r="EE1297"/>
      <c r="EF1297"/>
      <c r="EG1297"/>
      <c r="EH1297"/>
      <c r="EI1297"/>
      <c r="EJ1297"/>
      <c r="EK1297"/>
      <c r="EL1297"/>
      <c r="EM1297"/>
      <c r="EN1297"/>
      <c r="EO1297"/>
      <c r="EP1297"/>
      <c r="EQ1297"/>
      <c r="ER1297"/>
      <c r="ES1297"/>
    </row>
    <row r="1298" spans="1:149">
      <c r="A1298"/>
      <c r="B1298"/>
      <c r="C1298"/>
      <c r="D1298"/>
      <c r="E1298"/>
      <c r="F1298"/>
      <c r="G1298"/>
      <c r="H1298"/>
      <c r="I1298"/>
      <c r="J1298"/>
      <c r="K1298"/>
      <c r="L1298"/>
      <c r="M1298"/>
      <c r="N1298"/>
      <c r="O1298"/>
      <c r="P1298"/>
      <c r="Q1298"/>
      <c r="R1298"/>
      <c r="S1298"/>
      <c r="T1298"/>
      <c r="U1298"/>
      <c r="V1298"/>
      <c r="W1298"/>
      <c r="X1298"/>
      <c r="Y1298"/>
      <c r="Z1298"/>
      <c r="AA1298"/>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c r="BZ1298"/>
      <c r="CA1298"/>
      <c r="CB1298"/>
      <c r="CC1298"/>
      <c r="CD1298"/>
      <c r="CE1298"/>
      <c r="CF1298"/>
      <c r="CG1298"/>
      <c r="CH1298"/>
      <c r="CI1298"/>
      <c r="CJ1298"/>
      <c r="CK1298"/>
      <c r="CL1298"/>
      <c r="CM1298"/>
      <c r="CN1298"/>
      <c r="CO1298"/>
      <c r="CP1298"/>
      <c r="CQ1298"/>
      <c r="CR1298"/>
      <c r="CS1298"/>
      <c r="CT1298"/>
      <c r="CU1298"/>
      <c r="CV1298"/>
      <c r="CW1298"/>
      <c r="CX1298"/>
      <c r="CY1298"/>
      <c r="CZ1298"/>
      <c r="DA1298"/>
      <c r="DB1298"/>
      <c r="DC1298"/>
      <c r="DD1298"/>
      <c r="DE1298"/>
      <c r="DF1298"/>
      <c r="DG1298"/>
      <c r="DH1298"/>
      <c r="DI1298"/>
      <c r="DJ1298"/>
      <c r="DK1298"/>
      <c r="DL1298"/>
      <c r="DM1298"/>
      <c r="DN1298"/>
      <c r="DO1298"/>
      <c r="DP1298"/>
      <c r="DQ1298"/>
      <c r="DR1298"/>
      <c r="DS1298"/>
      <c r="DT1298"/>
      <c r="DU1298"/>
      <c r="DV1298"/>
      <c r="DW1298"/>
      <c r="DX1298"/>
      <c r="DY1298"/>
      <c r="DZ1298"/>
      <c r="EA1298"/>
      <c r="EB1298"/>
      <c r="EC1298"/>
      <c r="ED1298"/>
      <c r="EE1298"/>
      <c r="EF1298"/>
      <c r="EG1298"/>
      <c r="EH1298"/>
      <c r="EI1298"/>
      <c r="EJ1298"/>
      <c r="EK1298"/>
      <c r="EL1298"/>
      <c r="EM1298"/>
      <c r="EN1298"/>
      <c r="EO1298"/>
      <c r="EP1298"/>
      <c r="EQ1298"/>
      <c r="ER1298"/>
      <c r="ES1298"/>
    </row>
    <row r="1299" spans="1:149">
      <c r="A1299"/>
      <c r="B1299"/>
      <c r="C1299"/>
      <c r="D1299"/>
      <c r="E1299"/>
      <c r="F1299"/>
      <c r="G1299"/>
      <c r="H1299"/>
      <c r="I1299"/>
      <c r="J1299"/>
      <c r="K1299"/>
      <c r="L1299"/>
      <c r="M1299"/>
      <c r="N1299"/>
      <c r="O1299"/>
      <c r="P1299"/>
      <c r="Q1299"/>
      <c r="R1299"/>
      <c r="S1299"/>
      <c r="T1299"/>
      <c r="U1299"/>
      <c r="V1299"/>
      <c r="W1299"/>
      <c r="X1299"/>
      <c r="Y1299"/>
      <c r="Z1299"/>
      <c r="AA1299"/>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c r="BZ1299"/>
      <c r="CA1299"/>
      <c r="CB1299"/>
      <c r="CC1299"/>
      <c r="CD1299"/>
      <c r="CE1299"/>
      <c r="CF1299"/>
      <c r="CG1299"/>
      <c r="CH1299"/>
      <c r="CI1299"/>
      <c r="CJ1299"/>
      <c r="CK1299"/>
      <c r="CL1299"/>
      <c r="CM1299"/>
      <c r="CN1299"/>
      <c r="CO1299"/>
      <c r="CP1299"/>
      <c r="CQ1299"/>
      <c r="CR1299"/>
      <c r="CS1299"/>
      <c r="CT1299"/>
      <c r="CU1299"/>
      <c r="CV1299"/>
      <c r="CW1299"/>
      <c r="CX1299"/>
      <c r="CY1299"/>
      <c r="CZ1299"/>
      <c r="DA1299"/>
      <c r="DB1299"/>
      <c r="DC1299"/>
      <c r="DD1299"/>
      <c r="DE1299"/>
      <c r="DF1299"/>
      <c r="DG1299"/>
      <c r="DH1299"/>
      <c r="DI1299"/>
      <c r="DJ1299"/>
      <c r="DK1299"/>
      <c r="DL1299"/>
      <c r="DM1299"/>
      <c r="DN1299"/>
      <c r="DO1299"/>
      <c r="DP1299"/>
      <c r="DQ1299"/>
      <c r="DR1299"/>
      <c r="DS1299"/>
      <c r="DT1299"/>
      <c r="DU1299"/>
      <c r="DV1299"/>
      <c r="DW1299"/>
      <c r="DX1299"/>
      <c r="DY1299"/>
      <c r="DZ1299"/>
      <c r="EA1299"/>
      <c r="EB1299"/>
      <c r="EC1299"/>
      <c r="ED1299"/>
      <c r="EE1299"/>
      <c r="EF1299"/>
      <c r="EG1299"/>
      <c r="EH1299"/>
      <c r="EI1299"/>
      <c r="EJ1299"/>
      <c r="EK1299"/>
      <c r="EL1299"/>
      <c r="EM1299"/>
      <c r="EN1299"/>
      <c r="EO1299"/>
      <c r="EP1299"/>
      <c r="EQ1299"/>
      <c r="ER1299"/>
      <c r="ES1299"/>
    </row>
    <row r="1300" spans="1:149">
      <c r="A1300"/>
      <c r="B1300"/>
      <c r="C1300"/>
      <c r="D1300"/>
      <c r="E1300"/>
      <c r="F1300"/>
      <c r="G1300"/>
      <c r="H1300"/>
      <c r="I1300"/>
      <c r="J1300"/>
      <c r="K1300"/>
      <c r="L1300"/>
      <c r="M1300"/>
      <c r="N1300"/>
      <c r="O1300"/>
      <c r="P1300"/>
      <c r="Q1300"/>
      <c r="R1300"/>
      <c r="S1300"/>
      <c r="T1300"/>
      <c r="U1300"/>
      <c r="V1300"/>
      <c r="W1300"/>
      <c r="X1300"/>
      <c r="Y1300"/>
      <c r="Z1300"/>
      <c r="AA1300"/>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c r="BZ1300"/>
      <c r="CA1300"/>
      <c r="CB1300"/>
      <c r="CC1300"/>
      <c r="CD1300"/>
      <c r="CE1300"/>
      <c r="CF1300"/>
      <c r="CG1300"/>
      <c r="CH1300"/>
      <c r="CI1300"/>
      <c r="CJ1300"/>
      <c r="CK1300"/>
      <c r="CL1300"/>
      <c r="CM1300"/>
      <c r="CN1300"/>
      <c r="CO1300"/>
      <c r="CP1300"/>
      <c r="CQ1300"/>
      <c r="CR1300"/>
      <c r="CS1300"/>
      <c r="CT1300"/>
      <c r="CU1300"/>
      <c r="CV1300"/>
      <c r="CW1300"/>
      <c r="CX1300"/>
      <c r="CY1300"/>
      <c r="CZ1300"/>
      <c r="DA1300"/>
      <c r="DB1300"/>
      <c r="DC1300"/>
      <c r="DD1300"/>
      <c r="DE1300"/>
      <c r="DF1300"/>
      <c r="DG1300"/>
      <c r="DH1300"/>
      <c r="DI1300"/>
      <c r="DJ1300"/>
      <c r="DK1300"/>
      <c r="DL1300"/>
      <c r="DM1300"/>
      <c r="DN1300"/>
      <c r="DO1300"/>
      <c r="DP1300"/>
      <c r="DQ1300"/>
      <c r="DR1300"/>
      <c r="DS1300"/>
      <c r="DT1300"/>
      <c r="DU1300"/>
      <c r="DV1300"/>
      <c r="DW1300"/>
      <c r="DX1300"/>
      <c r="DY1300"/>
      <c r="DZ1300"/>
      <c r="EA1300"/>
      <c r="EB1300"/>
      <c r="EC1300"/>
      <c r="ED1300"/>
      <c r="EE1300"/>
      <c r="EF1300"/>
      <c r="EG1300"/>
      <c r="EH1300"/>
      <c r="EI1300"/>
      <c r="EJ1300"/>
      <c r="EK1300"/>
      <c r="EL1300"/>
      <c r="EM1300"/>
      <c r="EN1300"/>
      <c r="EO1300"/>
      <c r="EP1300"/>
      <c r="EQ1300"/>
      <c r="ER1300"/>
      <c r="ES1300"/>
    </row>
    <row r="1301" spans="1:149">
      <c r="A1301"/>
      <c r="B1301"/>
      <c r="C1301"/>
      <c r="D1301"/>
      <c r="E1301"/>
      <c r="F1301"/>
      <c r="G1301"/>
      <c r="H1301"/>
      <c r="I1301"/>
      <c r="J1301"/>
      <c r="K1301"/>
      <c r="L1301"/>
      <c r="M1301"/>
      <c r="N1301"/>
      <c r="O1301"/>
      <c r="P1301"/>
      <c r="Q1301"/>
      <c r="R1301"/>
      <c r="S1301"/>
      <c r="T1301"/>
      <c r="U1301"/>
      <c r="V1301"/>
      <c r="W1301"/>
      <c r="X1301"/>
      <c r="Y1301"/>
      <c r="Z1301"/>
      <c r="AA1301"/>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c r="BZ1301"/>
      <c r="CA1301"/>
      <c r="CB1301"/>
      <c r="CC1301"/>
      <c r="CD1301"/>
      <c r="CE1301"/>
      <c r="CF1301"/>
      <c r="CG1301"/>
      <c r="CH1301"/>
      <c r="CI1301"/>
      <c r="CJ1301"/>
      <c r="CK1301"/>
      <c r="CL1301"/>
      <c r="CM1301"/>
      <c r="CN1301"/>
      <c r="CO1301"/>
      <c r="CP1301"/>
      <c r="CQ1301"/>
      <c r="CR1301"/>
      <c r="CS1301"/>
      <c r="CT1301"/>
      <c r="CU1301"/>
      <c r="CV1301"/>
      <c r="CW1301"/>
      <c r="CX1301"/>
      <c r="CY1301"/>
      <c r="CZ1301"/>
      <c r="DA1301"/>
      <c r="DB1301"/>
      <c r="DC1301"/>
      <c r="DD1301"/>
      <c r="DE1301"/>
      <c r="DF1301"/>
      <c r="DG1301"/>
      <c r="DH1301"/>
      <c r="DI1301"/>
      <c r="DJ1301"/>
      <c r="DK1301"/>
      <c r="DL1301"/>
      <c r="DM1301"/>
      <c r="DN1301"/>
      <c r="DO1301"/>
      <c r="DP1301"/>
      <c r="DQ1301"/>
      <c r="DR1301"/>
      <c r="DS1301"/>
      <c r="DT1301"/>
      <c r="DU1301"/>
      <c r="DV1301"/>
      <c r="DW1301"/>
      <c r="DX1301"/>
      <c r="DY1301"/>
      <c r="DZ1301"/>
      <c r="EA1301"/>
      <c r="EB1301"/>
      <c r="EC1301"/>
      <c r="ED1301"/>
      <c r="EE1301"/>
      <c r="EF1301"/>
      <c r="EG1301"/>
      <c r="EH1301"/>
      <c r="EI1301"/>
      <c r="EJ1301"/>
      <c r="EK1301"/>
      <c r="EL1301"/>
      <c r="EM1301"/>
      <c r="EN1301"/>
      <c r="EO1301"/>
      <c r="EP1301"/>
      <c r="EQ1301"/>
      <c r="ER1301"/>
      <c r="ES1301"/>
    </row>
    <row r="1302" spans="1:149">
      <c r="A1302"/>
      <c r="B1302"/>
      <c r="C1302"/>
      <c r="D1302"/>
      <c r="E1302"/>
      <c r="F1302"/>
      <c r="G1302"/>
      <c r="H1302"/>
      <c r="I1302"/>
      <c r="J1302"/>
      <c r="K1302"/>
      <c r="L1302"/>
      <c r="M1302"/>
      <c r="N1302"/>
      <c r="O1302"/>
      <c r="P1302"/>
      <c r="Q1302"/>
      <c r="R1302"/>
      <c r="S1302"/>
      <c r="T1302"/>
      <c r="U1302"/>
      <c r="V1302"/>
      <c r="W1302"/>
      <c r="X1302"/>
      <c r="Y1302"/>
      <c r="Z1302"/>
      <c r="AA1302"/>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c r="BZ1302"/>
      <c r="CA1302"/>
      <c r="CB1302"/>
      <c r="CC1302"/>
      <c r="CD1302"/>
      <c r="CE1302"/>
      <c r="CF1302"/>
      <c r="CG1302"/>
      <c r="CH1302"/>
      <c r="CI1302"/>
      <c r="CJ1302"/>
      <c r="CK1302"/>
      <c r="CL1302"/>
      <c r="CM1302"/>
      <c r="CN1302"/>
      <c r="CO1302"/>
      <c r="CP1302"/>
      <c r="CQ1302"/>
      <c r="CR1302"/>
      <c r="CS1302"/>
      <c r="CT1302"/>
      <c r="CU1302"/>
      <c r="CV1302"/>
      <c r="CW1302"/>
      <c r="CX1302"/>
      <c r="CY1302"/>
      <c r="CZ1302"/>
      <c r="DA1302"/>
      <c r="DB1302"/>
      <c r="DC1302"/>
      <c r="DD1302"/>
      <c r="DE1302"/>
      <c r="DF1302"/>
      <c r="DG1302"/>
      <c r="DH1302"/>
      <c r="DI1302"/>
      <c r="DJ1302"/>
      <c r="DK1302"/>
      <c r="DL1302"/>
      <c r="DM1302"/>
      <c r="DN1302"/>
      <c r="DO1302"/>
      <c r="DP1302"/>
      <c r="DQ1302"/>
      <c r="DR1302"/>
      <c r="DS1302"/>
      <c r="DT1302"/>
      <c r="DU1302"/>
      <c r="DV1302"/>
      <c r="DW1302"/>
      <c r="DX1302"/>
      <c r="DY1302"/>
      <c r="DZ1302"/>
      <c r="EA1302"/>
      <c r="EB1302"/>
      <c r="EC1302"/>
      <c r="ED1302"/>
      <c r="EE1302"/>
      <c r="EF1302"/>
      <c r="EG1302"/>
      <c r="EH1302"/>
      <c r="EI1302"/>
      <c r="EJ1302"/>
      <c r="EK1302"/>
      <c r="EL1302"/>
      <c r="EM1302"/>
      <c r="EN1302"/>
      <c r="EO1302"/>
      <c r="EP1302"/>
      <c r="EQ1302"/>
      <c r="ER1302"/>
      <c r="ES1302"/>
    </row>
    <row r="1303" spans="1:149">
      <c r="A1303"/>
      <c r="B1303"/>
      <c r="C1303"/>
      <c r="D1303"/>
      <c r="E1303"/>
      <c r="F1303"/>
      <c r="G1303"/>
      <c r="H1303"/>
      <c r="I1303"/>
      <c r="J1303"/>
      <c r="K1303"/>
      <c r="L1303"/>
      <c r="M1303"/>
      <c r="N1303"/>
      <c r="O1303"/>
      <c r="P1303"/>
      <c r="Q1303"/>
      <c r="R1303"/>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c r="BA1303"/>
      <c r="BB1303"/>
      <c r="BC1303"/>
      <c r="BD1303"/>
      <c r="BE1303"/>
      <c r="BF1303"/>
      <c r="BG1303"/>
      <c r="BH1303"/>
      <c r="BI1303"/>
      <c r="BJ1303"/>
      <c r="BK1303"/>
      <c r="BL1303"/>
      <c r="BM1303"/>
      <c r="BN1303"/>
      <c r="BO1303"/>
      <c r="BP1303"/>
      <c r="BQ1303"/>
      <c r="BR1303"/>
      <c r="BS1303"/>
      <c r="BT1303"/>
      <c r="BU1303"/>
      <c r="BV1303"/>
      <c r="BW1303"/>
      <c r="BX1303"/>
      <c r="BY1303"/>
      <c r="BZ1303"/>
      <c r="CA1303"/>
      <c r="CB1303"/>
      <c r="CC1303"/>
      <c r="CD1303"/>
      <c r="CE1303"/>
      <c r="CF1303"/>
      <c r="CG1303"/>
      <c r="CH1303"/>
      <c r="CI1303"/>
      <c r="CJ1303"/>
      <c r="CK1303"/>
      <c r="CL1303"/>
      <c r="CM1303"/>
      <c r="CN1303"/>
      <c r="CO1303"/>
      <c r="CP1303"/>
      <c r="CQ1303"/>
      <c r="CR1303"/>
      <c r="CS1303"/>
      <c r="CT1303"/>
      <c r="CU1303"/>
      <c r="CV1303"/>
      <c r="CW1303"/>
      <c r="CX1303"/>
      <c r="CY1303"/>
      <c r="CZ1303"/>
      <c r="DA1303"/>
      <c r="DB1303"/>
      <c r="DC1303"/>
      <c r="DD1303"/>
      <c r="DE1303"/>
      <c r="DF1303"/>
      <c r="DG1303"/>
      <c r="DH1303"/>
      <c r="DI1303"/>
      <c r="DJ1303"/>
      <c r="DK1303"/>
      <c r="DL1303"/>
      <c r="DM1303"/>
      <c r="DN1303"/>
      <c r="DO1303"/>
      <c r="DP1303"/>
      <c r="DQ1303"/>
      <c r="DR1303"/>
      <c r="DS1303"/>
      <c r="DT1303"/>
      <c r="DU1303"/>
      <c r="DV1303"/>
      <c r="DW1303"/>
      <c r="DX1303"/>
      <c r="DY1303"/>
      <c r="DZ1303"/>
      <c r="EA1303"/>
      <c r="EB1303"/>
      <c r="EC1303"/>
      <c r="ED1303"/>
      <c r="EE1303"/>
      <c r="EF1303"/>
      <c r="EG1303"/>
      <c r="EH1303"/>
      <c r="EI1303"/>
      <c r="EJ1303"/>
      <c r="EK1303"/>
      <c r="EL1303"/>
      <c r="EM1303"/>
      <c r="EN1303"/>
      <c r="EO1303"/>
      <c r="EP1303"/>
      <c r="EQ1303"/>
      <c r="ER1303"/>
      <c r="ES1303"/>
    </row>
    <row r="1304" spans="1:149">
      <c r="A1304"/>
      <c r="B1304"/>
      <c r="C1304"/>
      <c r="D1304"/>
      <c r="E1304"/>
      <c r="F1304"/>
      <c r="G1304"/>
      <c r="H1304"/>
      <c r="I1304"/>
      <c r="J1304"/>
      <c r="K1304"/>
      <c r="L1304"/>
      <c r="M1304"/>
      <c r="N1304"/>
      <c r="O1304"/>
      <c r="P1304"/>
      <c r="Q1304"/>
      <c r="R1304"/>
      <c r="S1304"/>
      <c r="T1304"/>
      <c r="U1304"/>
      <c r="V1304"/>
      <c r="W1304"/>
      <c r="X1304"/>
      <c r="Y1304"/>
      <c r="Z1304"/>
      <c r="AA1304"/>
      <c r="AB1304"/>
      <c r="AC1304"/>
      <c r="AD1304"/>
      <c r="AE1304"/>
      <c r="AF1304"/>
      <c r="AG1304"/>
      <c r="AH1304"/>
      <c r="AI1304"/>
      <c r="AJ1304"/>
      <c r="AK1304"/>
      <c r="AL1304"/>
      <c r="AM1304"/>
      <c r="AN1304"/>
      <c r="AO1304"/>
      <c r="AP1304"/>
      <c r="AQ1304"/>
      <c r="AR1304"/>
      <c r="AS1304"/>
      <c r="AT1304"/>
      <c r="AU1304"/>
      <c r="AV1304"/>
      <c r="AW1304"/>
      <c r="AX1304"/>
      <c r="AY1304"/>
      <c r="AZ1304"/>
      <c r="BA1304"/>
      <c r="BB1304"/>
      <c r="BC1304"/>
      <c r="BD1304"/>
      <c r="BE1304"/>
      <c r="BF1304"/>
      <c r="BG1304"/>
      <c r="BH1304"/>
      <c r="BI1304"/>
      <c r="BJ1304"/>
      <c r="BK1304"/>
      <c r="BL1304"/>
      <c r="BM1304"/>
      <c r="BN1304"/>
      <c r="BO1304"/>
      <c r="BP1304"/>
      <c r="BQ1304"/>
      <c r="BR1304"/>
      <c r="BS1304"/>
      <c r="BT1304"/>
      <c r="BU1304"/>
      <c r="BV1304"/>
      <c r="BW1304"/>
      <c r="BX1304"/>
      <c r="BY1304"/>
      <c r="BZ1304"/>
      <c r="CA1304"/>
      <c r="CB1304"/>
      <c r="CC1304"/>
      <c r="CD1304"/>
      <c r="CE1304"/>
      <c r="CF1304"/>
      <c r="CG1304"/>
      <c r="CH1304"/>
      <c r="CI1304"/>
      <c r="CJ1304"/>
      <c r="CK1304"/>
      <c r="CL1304"/>
      <c r="CM1304"/>
      <c r="CN1304"/>
      <c r="CO1304"/>
      <c r="CP1304"/>
      <c r="CQ1304"/>
      <c r="CR1304"/>
      <c r="CS1304"/>
      <c r="CT1304"/>
      <c r="CU1304"/>
      <c r="CV1304"/>
      <c r="CW1304"/>
      <c r="CX1304"/>
      <c r="CY1304"/>
      <c r="CZ1304"/>
      <c r="DA1304"/>
      <c r="DB1304"/>
      <c r="DC1304"/>
      <c r="DD1304"/>
      <c r="DE1304"/>
      <c r="DF1304"/>
      <c r="DG1304"/>
      <c r="DH1304"/>
      <c r="DI1304"/>
      <c r="DJ1304"/>
      <c r="DK1304"/>
      <c r="DL1304"/>
      <c r="DM1304"/>
      <c r="DN1304"/>
      <c r="DO1304"/>
      <c r="DP1304"/>
      <c r="DQ1304"/>
      <c r="DR1304"/>
      <c r="DS1304"/>
      <c r="DT1304"/>
      <c r="DU1304"/>
      <c r="DV1304"/>
      <c r="DW1304"/>
      <c r="DX1304"/>
      <c r="DY1304"/>
      <c r="DZ1304"/>
      <c r="EA1304"/>
      <c r="EB1304"/>
      <c r="EC1304"/>
      <c r="ED1304"/>
      <c r="EE1304"/>
      <c r="EF1304"/>
      <c r="EG1304"/>
      <c r="EH1304"/>
      <c r="EI1304"/>
      <c r="EJ1304"/>
      <c r="EK1304"/>
      <c r="EL1304"/>
      <c r="EM1304"/>
      <c r="EN1304"/>
      <c r="EO1304"/>
      <c r="EP1304"/>
      <c r="EQ1304"/>
      <c r="ER1304"/>
      <c r="ES1304"/>
    </row>
    <row r="1305" spans="1:149">
      <c r="A1305"/>
      <c r="B1305"/>
      <c r="C1305"/>
      <c r="D1305"/>
      <c r="E1305"/>
      <c r="F1305"/>
      <c r="G1305"/>
      <c r="H1305"/>
      <c r="I1305"/>
      <c r="J1305"/>
      <c r="K1305"/>
      <c r="L1305"/>
      <c r="M1305"/>
      <c r="N1305"/>
      <c r="O1305"/>
      <c r="P1305"/>
      <c r="Q1305"/>
      <c r="R1305"/>
      <c r="S1305"/>
      <c r="T1305"/>
      <c r="U1305"/>
      <c r="V1305"/>
      <c r="W1305"/>
      <c r="X1305"/>
      <c r="Y1305"/>
      <c r="Z1305"/>
      <c r="AA1305"/>
      <c r="AB1305"/>
      <c r="AC1305"/>
      <c r="AD1305"/>
      <c r="AE1305"/>
      <c r="AF1305"/>
      <c r="AG1305"/>
      <c r="AH1305"/>
      <c r="AI1305"/>
      <c r="AJ1305"/>
      <c r="AK1305"/>
      <c r="AL1305"/>
      <c r="AM1305"/>
      <c r="AN1305"/>
      <c r="AO1305"/>
      <c r="AP1305"/>
      <c r="AQ1305"/>
      <c r="AR1305"/>
      <c r="AS1305"/>
      <c r="AT1305"/>
      <c r="AU1305"/>
      <c r="AV1305"/>
      <c r="AW1305"/>
      <c r="AX1305"/>
      <c r="AY1305"/>
      <c r="AZ1305"/>
      <c r="BA1305"/>
      <c r="BB1305"/>
      <c r="BC1305"/>
      <c r="BD1305"/>
      <c r="BE1305"/>
      <c r="BF1305"/>
      <c r="BG1305"/>
      <c r="BH1305"/>
      <c r="BI1305"/>
      <c r="BJ1305"/>
      <c r="BK1305"/>
      <c r="BL1305"/>
      <c r="BM1305"/>
      <c r="BN1305"/>
      <c r="BO1305"/>
      <c r="BP1305"/>
      <c r="BQ1305"/>
      <c r="BR1305"/>
      <c r="BS1305"/>
      <c r="BT1305"/>
      <c r="BU1305"/>
      <c r="BV1305"/>
      <c r="BW1305"/>
      <c r="BX1305"/>
      <c r="BY1305"/>
      <c r="BZ1305"/>
      <c r="CA1305"/>
      <c r="CB1305"/>
      <c r="CC1305"/>
      <c r="CD1305"/>
      <c r="CE1305"/>
      <c r="CF1305"/>
      <c r="CG1305"/>
      <c r="CH1305"/>
      <c r="CI1305"/>
      <c r="CJ1305"/>
      <c r="CK1305"/>
      <c r="CL1305"/>
      <c r="CM1305"/>
      <c r="CN1305"/>
      <c r="CO1305"/>
      <c r="CP1305"/>
      <c r="CQ1305"/>
      <c r="CR1305"/>
      <c r="CS1305"/>
      <c r="CT1305"/>
      <c r="CU1305"/>
      <c r="CV1305"/>
      <c r="CW1305"/>
      <c r="CX1305"/>
      <c r="CY1305"/>
      <c r="CZ1305"/>
      <c r="DA1305"/>
      <c r="DB1305"/>
      <c r="DC1305"/>
      <c r="DD1305"/>
      <c r="DE1305"/>
      <c r="DF1305"/>
      <c r="DG1305"/>
      <c r="DH1305"/>
      <c r="DI1305"/>
      <c r="DJ1305"/>
      <c r="DK1305"/>
      <c r="DL1305"/>
      <c r="DM1305"/>
      <c r="DN1305"/>
      <c r="DO1305"/>
      <c r="DP1305"/>
      <c r="DQ1305"/>
      <c r="DR1305"/>
      <c r="DS1305"/>
      <c r="DT1305"/>
      <c r="DU1305"/>
      <c r="DV1305"/>
      <c r="DW1305"/>
      <c r="DX1305"/>
      <c r="DY1305"/>
      <c r="DZ1305"/>
      <c r="EA1305"/>
      <c r="EB1305"/>
      <c r="EC1305"/>
      <c r="ED1305"/>
      <c r="EE1305"/>
      <c r="EF1305"/>
      <c r="EG1305"/>
      <c r="EH1305"/>
      <c r="EI1305"/>
      <c r="EJ1305"/>
      <c r="EK1305"/>
      <c r="EL1305"/>
      <c r="EM1305"/>
      <c r="EN1305"/>
      <c r="EO1305"/>
      <c r="EP1305"/>
      <c r="EQ1305"/>
      <c r="ER1305"/>
      <c r="ES1305"/>
    </row>
    <row r="1306" spans="1:149">
      <c r="A1306"/>
      <c r="B1306"/>
      <c r="C1306"/>
      <c r="D1306"/>
      <c r="E1306"/>
      <c r="F1306"/>
      <c r="G1306"/>
      <c r="H1306"/>
      <c r="I1306"/>
      <c r="J1306"/>
      <c r="K1306"/>
      <c r="L1306"/>
      <c r="M1306"/>
      <c r="N1306"/>
      <c r="O1306"/>
      <c r="P1306"/>
      <c r="Q1306"/>
      <c r="R1306"/>
      <c r="S1306"/>
      <c r="T1306"/>
      <c r="U1306"/>
      <c r="V1306"/>
      <c r="W1306"/>
      <c r="X1306"/>
      <c r="Y1306"/>
      <c r="Z1306"/>
      <c r="AA1306"/>
      <c r="AB1306"/>
      <c r="AC1306"/>
      <c r="AD1306"/>
      <c r="AE1306"/>
      <c r="AF1306"/>
      <c r="AG1306"/>
      <c r="AH1306"/>
      <c r="AI1306"/>
      <c r="AJ1306"/>
      <c r="AK1306"/>
      <c r="AL1306"/>
      <c r="AM1306"/>
      <c r="AN1306"/>
      <c r="AO1306"/>
      <c r="AP1306"/>
      <c r="AQ1306"/>
      <c r="AR1306"/>
      <c r="AS1306"/>
      <c r="AT1306"/>
      <c r="AU1306"/>
      <c r="AV1306"/>
      <c r="AW1306"/>
      <c r="AX1306"/>
      <c r="AY1306"/>
      <c r="AZ1306"/>
      <c r="BA1306"/>
      <c r="BB1306"/>
      <c r="BC1306"/>
      <c r="BD1306"/>
      <c r="BE1306"/>
      <c r="BF1306"/>
      <c r="BG1306"/>
      <c r="BH1306"/>
      <c r="BI1306"/>
      <c r="BJ1306"/>
      <c r="BK1306"/>
      <c r="BL1306"/>
      <c r="BM1306"/>
      <c r="BN1306"/>
      <c r="BO1306"/>
      <c r="BP1306"/>
      <c r="BQ1306"/>
      <c r="BR1306"/>
      <c r="BS1306"/>
      <c r="BT1306"/>
      <c r="BU1306"/>
      <c r="BV1306"/>
      <c r="BW1306"/>
      <c r="BX1306"/>
      <c r="BY1306"/>
      <c r="BZ1306"/>
      <c r="CA1306"/>
      <c r="CB1306"/>
      <c r="CC1306"/>
      <c r="CD1306"/>
      <c r="CE1306"/>
      <c r="CF1306"/>
      <c r="CG1306"/>
      <c r="CH1306"/>
      <c r="CI1306"/>
      <c r="CJ1306"/>
      <c r="CK1306"/>
      <c r="CL1306"/>
      <c r="CM1306"/>
      <c r="CN1306"/>
      <c r="CO1306"/>
      <c r="CP1306"/>
      <c r="CQ1306"/>
      <c r="CR1306"/>
      <c r="CS1306"/>
      <c r="CT1306"/>
      <c r="CU1306"/>
      <c r="CV1306"/>
      <c r="CW1306"/>
      <c r="CX1306"/>
      <c r="CY1306"/>
      <c r="CZ1306"/>
      <c r="DA1306"/>
      <c r="DB1306"/>
      <c r="DC1306"/>
      <c r="DD1306"/>
      <c r="DE1306"/>
      <c r="DF1306"/>
      <c r="DG1306"/>
      <c r="DH1306"/>
      <c r="DI1306"/>
      <c r="DJ1306"/>
      <c r="DK1306"/>
      <c r="DL1306"/>
      <c r="DM1306"/>
      <c r="DN1306"/>
      <c r="DO1306"/>
      <c r="DP1306"/>
      <c r="DQ1306"/>
      <c r="DR1306"/>
      <c r="DS1306"/>
      <c r="DT1306"/>
      <c r="DU1306"/>
      <c r="DV1306"/>
      <c r="DW1306"/>
      <c r="DX1306"/>
      <c r="DY1306"/>
      <c r="DZ1306"/>
      <c r="EA1306"/>
      <c r="EB1306"/>
      <c r="EC1306"/>
      <c r="ED1306"/>
      <c r="EE1306"/>
      <c r="EF1306"/>
      <c r="EG1306"/>
      <c r="EH1306"/>
      <c r="EI1306"/>
      <c r="EJ1306"/>
      <c r="EK1306"/>
      <c r="EL1306"/>
      <c r="EM1306"/>
      <c r="EN1306"/>
      <c r="EO1306"/>
      <c r="EP1306"/>
      <c r="EQ1306"/>
      <c r="ER1306"/>
      <c r="ES1306"/>
    </row>
    <row r="1307" spans="1:149">
      <c r="A1307"/>
      <c r="B1307"/>
      <c r="C1307"/>
      <c r="D1307"/>
      <c r="E1307"/>
      <c r="F1307"/>
      <c r="G1307"/>
      <c r="H1307"/>
      <c r="I1307"/>
      <c r="J1307"/>
      <c r="K1307"/>
      <c r="L1307"/>
      <c r="M1307"/>
      <c r="N1307"/>
      <c r="O1307"/>
      <c r="P1307"/>
      <c r="Q1307"/>
      <c r="R1307"/>
      <c r="S1307"/>
      <c r="T1307"/>
      <c r="U1307"/>
      <c r="V1307"/>
      <c r="W1307"/>
      <c r="X1307"/>
      <c r="Y1307"/>
      <c r="Z1307"/>
      <c r="AA1307"/>
      <c r="AB1307"/>
      <c r="AC1307"/>
      <c r="AD1307"/>
      <c r="AE1307"/>
      <c r="AF1307"/>
      <c r="AG1307"/>
      <c r="AH1307"/>
      <c r="AI1307"/>
      <c r="AJ1307"/>
      <c r="AK1307"/>
      <c r="AL1307"/>
      <c r="AM1307"/>
      <c r="AN1307"/>
      <c r="AO1307"/>
      <c r="AP1307"/>
      <c r="AQ1307"/>
      <c r="AR1307"/>
      <c r="AS1307"/>
      <c r="AT1307"/>
      <c r="AU1307"/>
      <c r="AV1307"/>
      <c r="AW1307"/>
      <c r="AX1307"/>
      <c r="AY1307"/>
      <c r="AZ1307"/>
      <c r="BA1307"/>
      <c r="BB1307"/>
      <c r="BC1307"/>
      <c r="BD1307"/>
      <c r="BE1307"/>
      <c r="BF1307"/>
      <c r="BG1307"/>
      <c r="BH1307"/>
      <c r="BI1307"/>
      <c r="BJ1307"/>
      <c r="BK1307"/>
      <c r="BL1307"/>
      <c r="BM1307"/>
      <c r="BN1307"/>
      <c r="BO1307"/>
      <c r="BP1307"/>
      <c r="BQ1307"/>
      <c r="BR1307"/>
      <c r="BS1307"/>
      <c r="BT1307"/>
      <c r="BU1307"/>
      <c r="BV1307"/>
      <c r="BW1307"/>
      <c r="BX1307"/>
      <c r="BY1307"/>
      <c r="BZ1307"/>
      <c r="CA1307"/>
      <c r="CB1307"/>
      <c r="CC1307"/>
      <c r="CD1307"/>
      <c r="CE1307"/>
      <c r="CF1307"/>
      <c r="CG1307"/>
      <c r="CH1307"/>
      <c r="CI1307"/>
      <c r="CJ1307"/>
      <c r="CK1307"/>
      <c r="CL1307"/>
      <c r="CM1307"/>
      <c r="CN1307"/>
      <c r="CO1307"/>
      <c r="CP1307"/>
      <c r="CQ1307"/>
      <c r="CR1307"/>
      <c r="CS1307"/>
      <c r="CT1307"/>
      <c r="CU1307"/>
      <c r="CV1307"/>
      <c r="CW1307"/>
      <c r="CX1307"/>
      <c r="CY1307"/>
      <c r="CZ1307"/>
      <c r="DA1307"/>
      <c r="DB1307"/>
      <c r="DC1307"/>
      <c r="DD1307"/>
      <c r="DE1307"/>
      <c r="DF1307"/>
      <c r="DG1307"/>
      <c r="DH1307"/>
      <c r="DI1307"/>
      <c r="DJ1307"/>
      <c r="DK1307"/>
      <c r="DL1307"/>
      <c r="DM1307"/>
      <c r="DN1307"/>
      <c r="DO1307"/>
      <c r="DP1307"/>
      <c r="DQ1307"/>
      <c r="DR1307"/>
      <c r="DS1307"/>
      <c r="DT1307"/>
      <c r="DU1307"/>
      <c r="DV1307"/>
      <c r="DW1307"/>
      <c r="DX1307"/>
      <c r="DY1307"/>
      <c r="DZ1307"/>
      <c r="EA1307"/>
      <c r="EB1307"/>
      <c r="EC1307"/>
      <c r="ED1307"/>
      <c r="EE1307"/>
      <c r="EF1307"/>
      <c r="EG1307"/>
      <c r="EH1307"/>
      <c r="EI1307"/>
      <c r="EJ1307"/>
      <c r="EK1307"/>
      <c r="EL1307"/>
      <c r="EM1307"/>
      <c r="EN1307"/>
      <c r="EO1307"/>
      <c r="EP1307"/>
      <c r="EQ1307"/>
      <c r="ER1307"/>
      <c r="ES1307"/>
    </row>
    <row r="1308" spans="1:149">
      <c r="A1308"/>
      <c r="B1308"/>
      <c r="C1308"/>
      <c r="D1308"/>
      <c r="E1308"/>
      <c r="F1308"/>
      <c r="G1308"/>
      <c r="H1308"/>
      <c r="I1308"/>
      <c r="J1308"/>
      <c r="K1308"/>
      <c r="L1308"/>
      <c r="M1308"/>
      <c r="N1308"/>
      <c r="O1308"/>
      <c r="P1308"/>
      <c r="Q1308"/>
      <c r="R1308"/>
      <c r="S1308"/>
      <c r="T1308"/>
      <c r="U1308"/>
      <c r="V1308"/>
      <c r="W1308"/>
      <c r="X1308"/>
      <c r="Y1308"/>
      <c r="Z1308"/>
      <c r="AA1308"/>
      <c r="AB1308"/>
      <c r="AC1308"/>
      <c r="AD1308"/>
      <c r="AE1308"/>
      <c r="AF1308"/>
      <c r="AG1308"/>
      <c r="AH1308"/>
      <c r="AI1308"/>
      <c r="AJ1308"/>
      <c r="AK1308"/>
      <c r="AL1308"/>
      <c r="AM1308"/>
      <c r="AN1308"/>
      <c r="AO1308"/>
      <c r="AP1308"/>
      <c r="AQ1308"/>
      <c r="AR1308"/>
      <c r="AS1308"/>
      <c r="AT1308"/>
      <c r="AU1308"/>
      <c r="AV1308"/>
      <c r="AW1308"/>
      <c r="AX1308"/>
      <c r="AY1308"/>
      <c r="AZ1308"/>
      <c r="BA1308"/>
      <c r="BB1308"/>
      <c r="BC1308"/>
      <c r="BD1308"/>
      <c r="BE1308"/>
      <c r="BF1308"/>
      <c r="BG1308"/>
      <c r="BH1308"/>
      <c r="BI1308"/>
      <c r="BJ1308"/>
      <c r="BK1308"/>
      <c r="BL1308"/>
      <c r="BM1308"/>
      <c r="BN1308"/>
      <c r="BO1308"/>
      <c r="BP1308"/>
      <c r="BQ1308"/>
      <c r="BR1308"/>
      <c r="BS1308"/>
      <c r="BT1308"/>
      <c r="BU1308"/>
      <c r="BV1308"/>
      <c r="BW1308"/>
      <c r="BX1308"/>
      <c r="BY1308"/>
      <c r="BZ1308"/>
      <c r="CA1308"/>
      <c r="CB1308"/>
      <c r="CC1308"/>
      <c r="CD1308"/>
      <c r="CE1308"/>
      <c r="CF1308"/>
      <c r="CG1308"/>
      <c r="CH1308"/>
      <c r="CI1308"/>
      <c r="CJ1308"/>
      <c r="CK1308"/>
      <c r="CL1308"/>
      <c r="CM1308"/>
      <c r="CN1308"/>
      <c r="CO1308"/>
      <c r="CP1308"/>
      <c r="CQ1308"/>
      <c r="CR1308"/>
      <c r="CS1308"/>
      <c r="CT1308"/>
      <c r="CU1308"/>
      <c r="CV1308"/>
      <c r="CW1308"/>
      <c r="CX1308"/>
      <c r="CY1308"/>
      <c r="CZ1308"/>
      <c r="DA1308"/>
      <c r="DB1308"/>
      <c r="DC1308"/>
      <c r="DD1308"/>
      <c r="DE1308"/>
      <c r="DF1308"/>
      <c r="DG1308"/>
      <c r="DH1308"/>
      <c r="DI1308"/>
      <c r="DJ1308"/>
      <c r="DK1308"/>
      <c r="DL1308"/>
      <c r="DM1308"/>
      <c r="DN1308"/>
      <c r="DO1308"/>
      <c r="DP1308"/>
      <c r="DQ1308"/>
      <c r="DR1308"/>
      <c r="DS1308"/>
      <c r="DT1308"/>
      <c r="DU1308"/>
      <c r="DV1308"/>
      <c r="DW1308"/>
      <c r="DX1308"/>
      <c r="DY1308"/>
      <c r="DZ1308"/>
      <c r="EA1308"/>
      <c r="EB1308"/>
      <c r="EC1308"/>
      <c r="ED1308"/>
      <c r="EE1308"/>
      <c r="EF1308"/>
      <c r="EG1308"/>
      <c r="EH1308"/>
      <c r="EI1308"/>
      <c r="EJ1308"/>
      <c r="EK1308"/>
      <c r="EL1308"/>
      <c r="EM1308"/>
      <c r="EN1308"/>
      <c r="EO1308"/>
      <c r="EP1308"/>
      <c r="EQ1308"/>
      <c r="ER1308"/>
      <c r="ES1308"/>
    </row>
    <row r="1309" spans="1:149">
      <c r="A1309"/>
      <c r="B1309"/>
      <c r="C1309"/>
      <c r="D1309"/>
      <c r="E1309"/>
      <c r="F1309"/>
      <c r="G1309"/>
      <c r="H1309"/>
      <c r="I1309"/>
      <c r="J1309"/>
      <c r="K1309"/>
      <c r="L1309"/>
      <c r="M1309"/>
      <c r="N1309"/>
      <c r="O1309"/>
      <c r="P1309"/>
      <c r="Q1309"/>
      <c r="R1309"/>
      <c r="S1309"/>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c r="AY1309"/>
      <c r="AZ1309"/>
      <c r="BA1309"/>
      <c r="BB1309"/>
      <c r="BC1309"/>
      <c r="BD1309"/>
      <c r="BE1309"/>
      <c r="BF1309"/>
      <c r="BG1309"/>
      <c r="BH1309"/>
      <c r="BI1309"/>
      <c r="BJ1309"/>
      <c r="BK1309"/>
      <c r="BL1309"/>
      <c r="BM1309"/>
      <c r="BN1309"/>
      <c r="BO1309"/>
      <c r="BP1309"/>
      <c r="BQ1309"/>
      <c r="BR1309"/>
      <c r="BS1309"/>
      <c r="BT1309"/>
      <c r="BU1309"/>
      <c r="BV1309"/>
      <c r="BW1309"/>
      <c r="BX1309"/>
      <c r="BY1309"/>
      <c r="BZ1309"/>
      <c r="CA1309"/>
      <c r="CB1309"/>
      <c r="CC1309"/>
      <c r="CD1309"/>
      <c r="CE1309"/>
      <c r="CF1309"/>
      <c r="CG1309"/>
      <c r="CH1309"/>
      <c r="CI1309"/>
      <c r="CJ1309"/>
      <c r="CK1309"/>
      <c r="CL1309"/>
      <c r="CM1309"/>
      <c r="CN1309"/>
      <c r="CO1309"/>
      <c r="CP1309"/>
      <c r="CQ1309"/>
      <c r="CR1309"/>
      <c r="CS1309"/>
      <c r="CT1309"/>
      <c r="CU1309"/>
      <c r="CV1309"/>
      <c r="CW1309"/>
      <c r="CX1309"/>
      <c r="CY1309"/>
      <c r="CZ1309"/>
      <c r="DA1309"/>
      <c r="DB1309"/>
      <c r="DC1309"/>
      <c r="DD1309"/>
      <c r="DE1309"/>
      <c r="DF1309"/>
      <c r="DG1309"/>
      <c r="DH1309"/>
      <c r="DI1309"/>
      <c r="DJ1309"/>
      <c r="DK1309"/>
      <c r="DL1309"/>
      <c r="DM1309"/>
      <c r="DN1309"/>
      <c r="DO1309"/>
      <c r="DP1309"/>
      <c r="DQ1309"/>
      <c r="DR1309"/>
      <c r="DS1309"/>
      <c r="DT1309"/>
      <c r="DU1309"/>
      <c r="DV1309"/>
      <c r="DW1309"/>
      <c r="DX1309"/>
      <c r="DY1309"/>
      <c r="DZ1309"/>
      <c r="EA1309"/>
      <c r="EB1309"/>
      <c r="EC1309"/>
      <c r="ED1309"/>
      <c r="EE1309"/>
      <c r="EF1309"/>
      <c r="EG1309"/>
      <c r="EH1309"/>
      <c r="EI1309"/>
      <c r="EJ1309"/>
      <c r="EK1309"/>
      <c r="EL1309"/>
      <c r="EM1309"/>
      <c r="EN1309"/>
      <c r="EO1309"/>
      <c r="EP1309"/>
      <c r="EQ1309"/>
      <c r="ER1309"/>
      <c r="ES1309"/>
    </row>
    <row r="1310" spans="1:149">
      <c r="A1310"/>
      <c r="B1310"/>
      <c r="C1310"/>
      <c r="D1310"/>
      <c r="E1310"/>
      <c r="F1310"/>
      <c r="G1310"/>
      <c r="H1310"/>
      <c r="I1310"/>
      <c r="J1310"/>
      <c r="K1310"/>
      <c r="L1310"/>
      <c r="M1310"/>
      <c r="N1310"/>
      <c r="O1310"/>
      <c r="P1310"/>
      <c r="Q1310"/>
      <c r="R1310"/>
      <c r="S1310"/>
      <c r="T1310"/>
      <c r="U1310"/>
      <c r="V1310"/>
      <c r="W1310"/>
      <c r="X1310"/>
      <c r="Y1310"/>
      <c r="Z1310"/>
      <c r="AA1310"/>
      <c r="AB1310"/>
      <c r="AC1310"/>
      <c r="AD1310"/>
      <c r="AE1310"/>
      <c r="AF1310"/>
      <c r="AG1310"/>
      <c r="AH1310"/>
      <c r="AI1310"/>
      <c r="AJ1310"/>
      <c r="AK1310"/>
      <c r="AL1310"/>
      <c r="AM1310"/>
      <c r="AN1310"/>
      <c r="AO1310"/>
      <c r="AP1310"/>
      <c r="AQ1310"/>
      <c r="AR1310"/>
      <c r="AS1310"/>
      <c r="AT1310"/>
      <c r="AU1310"/>
      <c r="AV1310"/>
      <c r="AW1310"/>
      <c r="AX1310"/>
      <c r="AY1310"/>
      <c r="AZ1310"/>
      <c r="BA1310"/>
      <c r="BB1310"/>
      <c r="BC1310"/>
      <c r="BD1310"/>
      <c r="BE1310"/>
      <c r="BF1310"/>
      <c r="BG1310"/>
      <c r="BH1310"/>
      <c r="BI1310"/>
      <c r="BJ1310"/>
      <c r="BK1310"/>
      <c r="BL1310"/>
      <c r="BM1310"/>
      <c r="BN1310"/>
      <c r="BO1310"/>
      <c r="BP1310"/>
      <c r="BQ1310"/>
      <c r="BR1310"/>
      <c r="BS1310"/>
      <c r="BT1310"/>
      <c r="BU1310"/>
      <c r="BV1310"/>
      <c r="BW1310"/>
      <c r="BX1310"/>
      <c r="BY1310"/>
      <c r="BZ1310"/>
      <c r="CA1310"/>
      <c r="CB1310"/>
      <c r="CC1310"/>
      <c r="CD1310"/>
      <c r="CE1310"/>
      <c r="CF1310"/>
      <c r="CG1310"/>
      <c r="CH1310"/>
      <c r="CI1310"/>
      <c r="CJ1310"/>
      <c r="CK1310"/>
      <c r="CL1310"/>
      <c r="CM1310"/>
      <c r="CN1310"/>
      <c r="CO1310"/>
      <c r="CP1310"/>
      <c r="CQ1310"/>
      <c r="CR1310"/>
      <c r="CS1310"/>
      <c r="CT1310"/>
      <c r="CU1310"/>
      <c r="CV1310"/>
      <c r="CW1310"/>
      <c r="CX1310"/>
      <c r="CY1310"/>
      <c r="CZ1310"/>
      <c r="DA1310"/>
      <c r="DB1310"/>
      <c r="DC1310"/>
      <c r="DD1310"/>
      <c r="DE1310"/>
      <c r="DF1310"/>
      <c r="DG1310"/>
      <c r="DH1310"/>
      <c r="DI1310"/>
      <c r="DJ1310"/>
      <c r="DK1310"/>
      <c r="DL1310"/>
      <c r="DM1310"/>
      <c r="DN1310"/>
      <c r="DO1310"/>
      <c r="DP1310"/>
      <c r="DQ1310"/>
      <c r="DR1310"/>
      <c r="DS1310"/>
      <c r="DT1310"/>
      <c r="DU1310"/>
      <c r="DV1310"/>
      <c r="DW1310"/>
      <c r="DX1310"/>
      <c r="DY1310"/>
      <c r="DZ1310"/>
      <c r="EA1310"/>
      <c r="EB1310"/>
      <c r="EC1310"/>
      <c r="ED1310"/>
      <c r="EE1310"/>
      <c r="EF1310"/>
      <c r="EG1310"/>
      <c r="EH1310"/>
      <c r="EI1310"/>
      <c r="EJ1310"/>
      <c r="EK1310"/>
      <c r="EL1310"/>
      <c r="EM1310"/>
      <c r="EN1310"/>
      <c r="EO1310"/>
      <c r="EP1310"/>
      <c r="EQ1310"/>
      <c r="ER1310"/>
      <c r="ES1310"/>
    </row>
    <row r="1311" spans="1:149">
      <c r="A1311"/>
      <c r="B1311"/>
      <c r="C1311"/>
      <c r="D1311"/>
      <c r="E1311"/>
      <c r="F1311"/>
      <c r="G1311"/>
      <c r="H1311"/>
      <c r="I1311"/>
      <c r="J1311"/>
      <c r="K1311"/>
      <c r="L1311"/>
      <c r="M1311"/>
      <c r="N1311"/>
      <c r="O1311"/>
      <c r="P1311"/>
      <c r="Q1311"/>
      <c r="R1311"/>
      <c r="S1311"/>
      <c r="T1311"/>
      <c r="U1311"/>
      <c r="V1311"/>
      <c r="W1311"/>
      <c r="X1311"/>
      <c r="Y1311"/>
      <c r="Z1311"/>
      <c r="AA1311"/>
      <c r="AB1311"/>
      <c r="AC1311"/>
      <c r="AD1311"/>
      <c r="AE1311"/>
      <c r="AF1311"/>
      <c r="AG1311"/>
      <c r="AH1311"/>
      <c r="AI1311"/>
      <c r="AJ1311"/>
      <c r="AK1311"/>
      <c r="AL1311"/>
      <c r="AM1311"/>
      <c r="AN1311"/>
      <c r="AO1311"/>
      <c r="AP1311"/>
      <c r="AQ1311"/>
      <c r="AR1311"/>
      <c r="AS1311"/>
      <c r="AT1311"/>
      <c r="AU1311"/>
      <c r="AV1311"/>
      <c r="AW1311"/>
      <c r="AX1311"/>
      <c r="AY1311"/>
      <c r="AZ1311"/>
      <c r="BA1311"/>
      <c r="BB1311"/>
      <c r="BC1311"/>
      <c r="BD1311"/>
      <c r="BE1311"/>
      <c r="BF1311"/>
      <c r="BG1311"/>
      <c r="BH1311"/>
      <c r="BI1311"/>
      <c r="BJ1311"/>
      <c r="BK1311"/>
      <c r="BL1311"/>
      <c r="BM1311"/>
      <c r="BN1311"/>
      <c r="BO1311"/>
      <c r="BP1311"/>
      <c r="BQ1311"/>
      <c r="BR1311"/>
      <c r="BS1311"/>
      <c r="BT1311"/>
      <c r="BU1311"/>
      <c r="BV1311"/>
      <c r="BW1311"/>
      <c r="BX1311"/>
      <c r="BY1311"/>
      <c r="BZ1311"/>
      <c r="CA1311"/>
      <c r="CB1311"/>
      <c r="CC1311"/>
      <c r="CD1311"/>
      <c r="CE1311"/>
      <c r="CF1311"/>
      <c r="CG1311"/>
      <c r="CH1311"/>
      <c r="CI1311"/>
      <c r="CJ1311"/>
      <c r="CK1311"/>
      <c r="CL1311"/>
      <c r="CM1311"/>
      <c r="CN1311"/>
      <c r="CO1311"/>
      <c r="CP1311"/>
      <c r="CQ1311"/>
      <c r="CR1311"/>
      <c r="CS1311"/>
      <c r="CT1311"/>
      <c r="CU1311"/>
      <c r="CV1311"/>
      <c r="CW1311"/>
      <c r="CX1311"/>
      <c r="CY1311"/>
      <c r="CZ1311"/>
      <c r="DA1311"/>
      <c r="DB1311"/>
      <c r="DC1311"/>
      <c r="DD1311"/>
      <c r="DE1311"/>
      <c r="DF1311"/>
      <c r="DG1311"/>
      <c r="DH1311"/>
      <c r="DI1311"/>
      <c r="DJ1311"/>
      <c r="DK1311"/>
      <c r="DL1311"/>
      <c r="DM1311"/>
      <c r="DN1311"/>
      <c r="DO1311"/>
      <c r="DP1311"/>
      <c r="DQ1311"/>
      <c r="DR1311"/>
      <c r="DS1311"/>
      <c r="DT1311"/>
      <c r="DU1311"/>
      <c r="DV1311"/>
      <c r="DW1311"/>
      <c r="DX1311"/>
      <c r="DY1311"/>
      <c r="DZ1311"/>
      <c r="EA1311"/>
      <c r="EB1311"/>
      <c r="EC1311"/>
      <c r="ED1311"/>
      <c r="EE1311"/>
      <c r="EF1311"/>
      <c r="EG1311"/>
      <c r="EH1311"/>
      <c r="EI1311"/>
      <c r="EJ1311"/>
      <c r="EK1311"/>
      <c r="EL1311"/>
      <c r="EM1311"/>
      <c r="EN1311"/>
      <c r="EO1311"/>
      <c r="EP1311"/>
      <c r="EQ1311"/>
      <c r="ER1311"/>
      <c r="ES1311"/>
    </row>
    <row r="1312" spans="1:149">
      <c r="A1312"/>
      <c r="B1312"/>
      <c r="C1312"/>
      <c r="D1312"/>
      <c r="E1312"/>
      <c r="F1312"/>
      <c r="G1312"/>
      <c r="H1312"/>
      <c r="I1312"/>
      <c r="J1312"/>
      <c r="K1312"/>
      <c r="L1312"/>
      <c r="M1312"/>
      <c r="N1312"/>
      <c r="O1312"/>
      <c r="P1312"/>
      <c r="Q1312"/>
      <c r="R1312"/>
      <c r="S1312"/>
      <c r="T1312"/>
      <c r="U1312"/>
      <c r="V1312"/>
      <c r="W1312"/>
      <c r="X1312"/>
      <c r="Y1312"/>
      <c r="Z1312"/>
      <c r="AA1312"/>
      <c r="AB1312"/>
      <c r="AC1312"/>
      <c r="AD1312"/>
      <c r="AE1312"/>
      <c r="AF1312"/>
      <c r="AG1312"/>
      <c r="AH1312"/>
      <c r="AI1312"/>
      <c r="AJ1312"/>
      <c r="AK1312"/>
      <c r="AL1312"/>
      <c r="AM1312"/>
      <c r="AN1312"/>
      <c r="AO1312"/>
      <c r="AP1312"/>
      <c r="AQ1312"/>
      <c r="AR1312"/>
      <c r="AS1312"/>
      <c r="AT1312"/>
      <c r="AU1312"/>
      <c r="AV1312"/>
      <c r="AW1312"/>
      <c r="AX1312"/>
      <c r="AY1312"/>
      <c r="AZ1312"/>
      <c r="BA1312"/>
      <c r="BB1312"/>
      <c r="BC1312"/>
      <c r="BD1312"/>
      <c r="BE1312"/>
      <c r="BF1312"/>
      <c r="BG1312"/>
      <c r="BH1312"/>
      <c r="BI1312"/>
      <c r="BJ1312"/>
      <c r="BK1312"/>
      <c r="BL1312"/>
      <c r="BM1312"/>
      <c r="BN1312"/>
      <c r="BO1312"/>
      <c r="BP1312"/>
      <c r="BQ1312"/>
      <c r="BR1312"/>
      <c r="BS1312"/>
      <c r="BT1312"/>
      <c r="BU1312"/>
      <c r="BV1312"/>
      <c r="BW1312"/>
      <c r="BX1312"/>
      <c r="BY1312"/>
      <c r="BZ1312"/>
      <c r="CA1312"/>
      <c r="CB1312"/>
      <c r="CC1312"/>
      <c r="CD1312"/>
      <c r="CE1312"/>
      <c r="CF1312"/>
      <c r="CG1312"/>
      <c r="CH1312"/>
      <c r="CI1312"/>
      <c r="CJ1312"/>
      <c r="CK1312"/>
      <c r="CL1312"/>
      <c r="CM1312"/>
      <c r="CN1312"/>
      <c r="CO1312"/>
      <c r="CP1312"/>
      <c r="CQ1312"/>
      <c r="CR1312"/>
      <c r="CS1312"/>
      <c r="CT1312"/>
      <c r="CU1312"/>
      <c r="CV1312"/>
      <c r="CW1312"/>
      <c r="CX1312"/>
      <c r="CY1312"/>
      <c r="CZ1312"/>
      <c r="DA1312"/>
      <c r="DB1312"/>
      <c r="DC1312"/>
      <c r="DD1312"/>
      <c r="DE1312"/>
      <c r="DF1312"/>
      <c r="DG1312"/>
      <c r="DH1312"/>
      <c r="DI1312"/>
      <c r="DJ1312"/>
      <c r="DK1312"/>
      <c r="DL1312"/>
      <c r="DM1312"/>
      <c r="DN1312"/>
      <c r="DO1312"/>
      <c r="DP1312"/>
      <c r="DQ1312"/>
      <c r="DR1312"/>
      <c r="DS1312"/>
      <c r="DT1312"/>
      <c r="DU1312"/>
      <c r="DV1312"/>
      <c r="DW1312"/>
      <c r="DX1312"/>
      <c r="DY1312"/>
      <c r="DZ1312"/>
      <c r="EA1312"/>
      <c r="EB1312"/>
      <c r="EC1312"/>
      <c r="ED1312"/>
      <c r="EE1312"/>
      <c r="EF1312"/>
      <c r="EG1312"/>
      <c r="EH1312"/>
      <c r="EI1312"/>
      <c r="EJ1312"/>
      <c r="EK1312"/>
      <c r="EL1312"/>
      <c r="EM1312"/>
      <c r="EN1312"/>
      <c r="EO1312"/>
      <c r="EP1312"/>
      <c r="EQ1312"/>
      <c r="ER1312"/>
      <c r="ES1312"/>
    </row>
    <row r="1313" spans="1:149">
      <c r="A1313"/>
      <c r="B1313"/>
      <c r="C1313"/>
      <c r="D1313"/>
      <c r="E1313"/>
      <c r="F1313"/>
      <c r="G1313"/>
      <c r="H1313"/>
      <c r="I1313"/>
      <c r="J1313"/>
      <c r="K1313"/>
      <c r="L1313"/>
      <c r="M1313"/>
      <c r="N1313"/>
      <c r="O1313"/>
      <c r="P1313"/>
      <c r="Q1313"/>
      <c r="R1313"/>
      <c r="S1313"/>
      <c r="T1313"/>
      <c r="U1313"/>
      <c r="V1313"/>
      <c r="W1313"/>
      <c r="X1313"/>
      <c r="Y1313"/>
      <c r="Z1313"/>
      <c r="AA1313"/>
      <c r="AB1313"/>
      <c r="AC1313"/>
      <c r="AD1313"/>
      <c r="AE1313"/>
      <c r="AF1313"/>
      <c r="AG1313"/>
      <c r="AH1313"/>
      <c r="AI1313"/>
      <c r="AJ1313"/>
      <c r="AK1313"/>
      <c r="AL1313"/>
      <c r="AM1313"/>
      <c r="AN1313"/>
      <c r="AO1313"/>
      <c r="AP1313"/>
      <c r="AQ1313"/>
      <c r="AR1313"/>
      <c r="AS1313"/>
      <c r="AT1313"/>
      <c r="AU1313"/>
      <c r="AV1313"/>
      <c r="AW1313"/>
      <c r="AX1313"/>
      <c r="AY1313"/>
      <c r="AZ1313"/>
      <c r="BA1313"/>
      <c r="BB1313"/>
      <c r="BC1313"/>
      <c r="BD1313"/>
      <c r="BE1313"/>
      <c r="BF1313"/>
      <c r="BG1313"/>
      <c r="BH1313"/>
      <c r="BI1313"/>
      <c r="BJ1313"/>
      <c r="BK1313"/>
      <c r="BL1313"/>
      <c r="BM1313"/>
      <c r="BN1313"/>
      <c r="BO1313"/>
      <c r="BP1313"/>
      <c r="BQ1313"/>
      <c r="BR1313"/>
      <c r="BS1313"/>
      <c r="BT1313"/>
      <c r="BU1313"/>
      <c r="BV1313"/>
      <c r="BW1313"/>
      <c r="BX1313"/>
      <c r="BY1313"/>
      <c r="BZ1313"/>
      <c r="CA1313"/>
      <c r="CB1313"/>
      <c r="CC1313"/>
      <c r="CD1313"/>
      <c r="CE1313"/>
      <c r="CF1313"/>
      <c r="CG1313"/>
      <c r="CH1313"/>
      <c r="CI1313"/>
      <c r="CJ1313"/>
      <c r="CK1313"/>
      <c r="CL1313"/>
      <c r="CM1313"/>
      <c r="CN1313"/>
      <c r="CO1313"/>
      <c r="CP1313"/>
      <c r="CQ1313"/>
      <c r="CR1313"/>
      <c r="CS1313"/>
      <c r="CT1313"/>
      <c r="CU1313"/>
      <c r="CV1313"/>
      <c r="CW1313"/>
      <c r="CX1313"/>
      <c r="CY1313"/>
      <c r="CZ1313"/>
      <c r="DA1313"/>
      <c r="DB1313"/>
      <c r="DC1313"/>
      <c r="DD1313"/>
      <c r="DE1313"/>
      <c r="DF1313"/>
      <c r="DG1313"/>
      <c r="DH1313"/>
      <c r="DI1313"/>
      <c r="DJ1313"/>
      <c r="DK1313"/>
      <c r="DL1313"/>
      <c r="DM1313"/>
      <c r="DN1313"/>
      <c r="DO1313"/>
      <c r="DP1313"/>
      <c r="DQ1313"/>
      <c r="DR1313"/>
      <c r="DS1313"/>
      <c r="DT1313"/>
      <c r="DU1313"/>
      <c r="DV1313"/>
      <c r="DW1313"/>
      <c r="DX1313"/>
      <c r="DY1313"/>
      <c r="DZ1313"/>
      <c r="EA1313"/>
      <c r="EB1313"/>
      <c r="EC1313"/>
      <c r="ED1313"/>
      <c r="EE1313"/>
      <c r="EF1313"/>
      <c r="EG1313"/>
      <c r="EH1313"/>
      <c r="EI1313"/>
      <c r="EJ1313"/>
      <c r="EK1313"/>
      <c r="EL1313"/>
      <c r="EM1313"/>
      <c r="EN1313"/>
      <c r="EO1313"/>
      <c r="EP1313"/>
      <c r="EQ1313"/>
      <c r="ER1313"/>
      <c r="ES1313"/>
    </row>
    <row r="1314" spans="1:149">
      <c r="A1314"/>
      <c r="B1314"/>
      <c r="C1314"/>
      <c r="D1314"/>
      <c r="E1314"/>
      <c r="F1314"/>
      <c r="G1314"/>
      <c r="H1314"/>
      <c r="I1314"/>
      <c r="J1314"/>
      <c r="K1314"/>
      <c r="L1314"/>
      <c r="M1314"/>
      <c r="N1314"/>
      <c r="O1314"/>
      <c r="P1314"/>
      <c r="Q1314"/>
      <c r="R1314"/>
      <c r="S1314"/>
      <c r="T1314"/>
      <c r="U1314"/>
      <c r="V1314"/>
      <c r="W1314"/>
      <c r="X1314"/>
      <c r="Y1314"/>
      <c r="Z1314"/>
      <c r="AA1314"/>
      <c r="AB1314"/>
      <c r="AC1314"/>
      <c r="AD1314"/>
      <c r="AE1314"/>
      <c r="AF1314"/>
      <c r="AG1314"/>
      <c r="AH1314"/>
      <c r="AI1314"/>
      <c r="AJ1314"/>
      <c r="AK1314"/>
      <c r="AL1314"/>
      <c r="AM1314"/>
      <c r="AN1314"/>
      <c r="AO1314"/>
      <c r="AP1314"/>
      <c r="AQ1314"/>
      <c r="AR1314"/>
      <c r="AS1314"/>
      <c r="AT1314"/>
      <c r="AU1314"/>
      <c r="AV1314"/>
      <c r="AW1314"/>
      <c r="AX1314"/>
      <c r="AY1314"/>
      <c r="AZ1314"/>
      <c r="BA1314"/>
      <c r="BB1314"/>
      <c r="BC1314"/>
      <c r="BD1314"/>
      <c r="BE1314"/>
      <c r="BF1314"/>
      <c r="BG1314"/>
      <c r="BH1314"/>
      <c r="BI1314"/>
      <c r="BJ1314"/>
      <c r="BK1314"/>
      <c r="BL1314"/>
      <c r="BM1314"/>
      <c r="BN1314"/>
      <c r="BO1314"/>
      <c r="BP1314"/>
      <c r="BQ1314"/>
      <c r="BR1314"/>
      <c r="BS1314"/>
      <c r="BT1314"/>
      <c r="BU1314"/>
      <c r="BV1314"/>
      <c r="BW1314"/>
      <c r="BX1314"/>
      <c r="BY1314"/>
      <c r="BZ1314"/>
      <c r="CA1314"/>
      <c r="CB1314"/>
      <c r="CC1314"/>
      <c r="CD1314"/>
      <c r="CE1314"/>
      <c r="CF1314"/>
      <c r="CG1314"/>
      <c r="CH1314"/>
      <c r="CI1314"/>
      <c r="CJ1314"/>
      <c r="CK1314"/>
      <c r="CL1314"/>
      <c r="CM1314"/>
      <c r="CN1314"/>
      <c r="CO1314"/>
      <c r="CP1314"/>
      <c r="CQ1314"/>
      <c r="CR1314"/>
      <c r="CS1314"/>
      <c r="CT1314"/>
      <c r="CU1314"/>
      <c r="CV1314"/>
      <c r="CW1314"/>
      <c r="CX1314"/>
      <c r="CY1314"/>
      <c r="CZ1314"/>
      <c r="DA1314"/>
      <c r="DB1314"/>
      <c r="DC1314"/>
      <c r="DD1314"/>
      <c r="DE1314"/>
      <c r="DF1314"/>
      <c r="DG1314"/>
      <c r="DH1314"/>
      <c r="DI1314"/>
      <c r="DJ1314"/>
      <c r="DK1314"/>
      <c r="DL1314"/>
      <c r="DM1314"/>
      <c r="DN1314"/>
      <c r="DO1314"/>
      <c r="DP1314"/>
      <c r="DQ1314"/>
      <c r="DR1314"/>
      <c r="DS1314"/>
      <c r="DT1314"/>
      <c r="DU1314"/>
      <c r="DV1314"/>
      <c r="DW1314"/>
      <c r="DX1314"/>
      <c r="DY1314"/>
      <c r="DZ1314"/>
      <c r="EA1314"/>
      <c r="EB1314"/>
      <c r="EC1314"/>
      <c r="ED1314"/>
      <c r="EE1314"/>
      <c r="EF1314"/>
      <c r="EG1314"/>
      <c r="EH1314"/>
      <c r="EI1314"/>
      <c r="EJ1314"/>
      <c r="EK1314"/>
      <c r="EL1314"/>
      <c r="EM1314"/>
      <c r="EN1314"/>
      <c r="EO1314"/>
      <c r="EP1314"/>
      <c r="EQ1314"/>
      <c r="ER1314"/>
      <c r="ES1314"/>
    </row>
    <row r="1315" spans="1:149">
      <c r="A1315"/>
      <c r="B1315"/>
      <c r="C1315"/>
      <c r="D1315"/>
      <c r="E1315"/>
      <c r="F1315"/>
      <c r="G1315"/>
      <c r="H1315"/>
      <c r="I1315"/>
      <c r="J1315"/>
      <c r="K1315"/>
      <c r="L1315"/>
      <c r="M1315"/>
      <c r="N1315"/>
      <c r="O1315"/>
      <c r="P1315"/>
      <c r="Q1315"/>
      <c r="R1315"/>
      <c r="S1315"/>
      <c r="T1315"/>
      <c r="U1315"/>
      <c r="V1315"/>
      <c r="W1315"/>
      <c r="X1315"/>
      <c r="Y1315"/>
      <c r="Z1315"/>
      <c r="AA1315"/>
      <c r="AB1315"/>
      <c r="AC1315"/>
      <c r="AD1315"/>
      <c r="AE1315"/>
      <c r="AF1315"/>
      <c r="AG1315"/>
      <c r="AH1315"/>
      <c r="AI1315"/>
      <c r="AJ1315"/>
      <c r="AK1315"/>
      <c r="AL1315"/>
      <c r="AM1315"/>
      <c r="AN1315"/>
      <c r="AO1315"/>
      <c r="AP1315"/>
      <c r="AQ1315"/>
      <c r="AR1315"/>
      <c r="AS1315"/>
      <c r="AT1315"/>
      <c r="AU1315"/>
      <c r="AV1315"/>
      <c r="AW1315"/>
      <c r="AX1315"/>
      <c r="AY1315"/>
      <c r="AZ1315"/>
      <c r="BA1315"/>
      <c r="BB1315"/>
      <c r="BC1315"/>
      <c r="BD1315"/>
      <c r="BE1315"/>
      <c r="BF1315"/>
      <c r="BG1315"/>
      <c r="BH1315"/>
      <c r="BI1315"/>
      <c r="BJ1315"/>
      <c r="BK1315"/>
      <c r="BL1315"/>
      <c r="BM1315"/>
      <c r="BN1315"/>
      <c r="BO1315"/>
      <c r="BP1315"/>
      <c r="BQ1315"/>
      <c r="BR1315"/>
      <c r="BS1315"/>
      <c r="BT1315"/>
      <c r="BU1315"/>
      <c r="BV1315"/>
      <c r="BW1315"/>
      <c r="BX1315"/>
      <c r="BY1315"/>
      <c r="BZ1315"/>
      <c r="CA1315"/>
      <c r="CB1315"/>
      <c r="CC1315"/>
      <c r="CD1315"/>
      <c r="CE1315"/>
      <c r="CF1315"/>
      <c r="CG1315"/>
      <c r="CH1315"/>
      <c r="CI1315"/>
      <c r="CJ1315"/>
      <c r="CK1315"/>
      <c r="CL1315"/>
      <c r="CM1315"/>
      <c r="CN1315"/>
      <c r="CO1315"/>
      <c r="CP1315"/>
      <c r="CQ1315"/>
      <c r="CR1315"/>
      <c r="CS1315"/>
      <c r="CT1315"/>
      <c r="CU1315"/>
      <c r="CV1315"/>
      <c r="CW1315"/>
      <c r="CX1315"/>
      <c r="CY1315"/>
      <c r="CZ1315"/>
      <c r="DA1315"/>
      <c r="DB1315"/>
      <c r="DC1315"/>
      <c r="DD1315"/>
      <c r="DE1315"/>
      <c r="DF1315"/>
      <c r="DG1315"/>
      <c r="DH1315"/>
      <c r="DI1315"/>
      <c r="DJ1315"/>
      <c r="DK1315"/>
      <c r="DL1315"/>
      <c r="DM1315"/>
      <c r="DN1315"/>
      <c r="DO1315"/>
      <c r="DP1315"/>
      <c r="DQ1315"/>
      <c r="DR1315"/>
      <c r="DS1315"/>
      <c r="DT1315"/>
      <c r="DU1315"/>
      <c r="DV1315"/>
      <c r="DW1315"/>
      <c r="DX1315"/>
      <c r="DY1315"/>
      <c r="DZ1315"/>
      <c r="EA1315"/>
      <c r="EB1315"/>
      <c r="EC1315"/>
      <c r="ED1315"/>
      <c r="EE1315"/>
      <c r="EF1315"/>
      <c r="EG1315"/>
      <c r="EH1315"/>
      <c r="EI1315"/>
      <c r="EJ1315"/>
      <c r="EK1315"/>
      <c r="EL1315"/>
      <c r="EM1315"/>
      <c r="EN1315"/>
      <c r="EO1315"/>
      <c r="EP1315"/>
      <c r="EQ1315"/>
      <c r="ER1315"/>
      <c r="ES1315"/>
    </row>
    <row r="1316" spans="1:149">
      <c r="A1316"/>
      <c r="B1316"/>
      <c r="C1316"/>
      <c r="D1316"/>
      <c r="E1316"/>
      <c r="F1316"/>
      <c r="G1316"/>
      <c r="H1316"/>
      <c r="I1316"/>
      <c r="J1316"/>
      <c r="K1316"/>
      <c r="L1316"/>
      <c r="M1316"/>
      <c r="N1316"/>
      <c r="O1316"/>
      <c r="P1316"/>
      <c r="Q1316"/>
      <c r="R1316"/>
      <c r="S1316"/>
      <c r="T1316"/>
      <c r="U1316"/>
      <c r="V1316"/>
      <c r="W1316"/>
      <c r="X1316"/>
      <c r="Y1316"/>
      <c r="Z1316"/>
      <c r="AA1316"/>
      <c r="AB1316"/>
      <c r="AC1316"/>
      <c r="AD1316"/>
      <c r="AE1316"/>
      <c r="AF1316"/>
      <c r="AG1316"/>
      <c r="AH1316"/>
      <c r="AI1316"/>
      <c r="AJ1316"/>
      <c r="AK1316"/>
      <c r="AL1316"/>
      <c r="AM1316"/>
      <c r="AN1316"/>
      <c r="AO1316"/>
      <c r="AP1316"/>
      <c r="AQ1316"/>
      <c r="AR1316"/>
      <c r="AS1316"/>
      <c r="AT1316"/>
      <c r="AU1316"/>
      <c r="AV1316"/>
      <c r="AW1316"/>
      <c r="AX1316"/>
      <c r="AY1316"/>
      <c r="AZ1316"/>
      <c r="BA1316"/>
      <c r="BB1316"/>
      <c r="BC1316"/>
      <c r="BD1316"/>
      <c r="BE1316"/>
      <c r="BF1316"/>
      <c r="BG1316"/>
      <c r="BH1316"/>
      <c r="BI1316"/>
      <c r="BJ1316"/>
      <c r="BK1316"/>
      <c r="BL1316"/>
      <c r="BM1316"/>
      <c r="BN1316"/>
      <c r="BO1316"/>
      <c r="BP1316"/>
      <c r="BQ1316"/>
      <c r="BR1316"/>
      <c r="BS1316"/>
      <c r="BT1316"/>
      <c r="BU1316"/>
      <c r="BV1316"/>
      <c r="BW1316"/>
      <c r="BX1316"/>
      <c r="BY1316"/>
      <c r="BZ1316"/>
      <c r="CA1316"/>
      <c r="CB1316"/>
      <c r="CC1316"/>
      <c r="CD1316"/>
      <c r="CE1316"/>
      <c r="CF1316"/>
      <c r="CG1316"/>
      <c r="CH1316"/>
      <c r="CI1316"/>
      <c r="CJ1316"/>
      <c r="CK1316"/>
      <c r="CL1316"/>
      <c r="CM1316"/>
      <c r="CN1316"/>
      <c r="CO1316"/>
      <c r="CP1316"/>
      <c r="CQ1316"/>
      <c r="CR1316"/>
      <c r="CS1316"/>
      <c r="CT1316"/>
      <c r="CU1316"/>
      <c r="CV1316"/>
      <c r="CW1316"/>
      <c r="CX1316"/>
      <c r="CY1316"/>
      <c r="CZ1316"/>
      <c r="DA1316"/>
      <c r="DB1316"/>
      <c r="DC1316"/>
      <c r="DD1316"/>
      <c r="DE1316"/>
      <c r="DF1316"/>
      <c r="DG1316"/>
      <c r="DH1316"/>
      <c r="DI1316"/>
      <c r="DJ1316"/>
      <c r="DK1316"/>
      <c r="DL1316"/>
      <c r="DM1316"/>
      <c r="DN1316"/>
      <c r="DO1316"/>
      <c r="DP1316"/>
      <c r="DQ1316"/>
      <c r="DR1316"/>
      <c r="DS1316"/>
      <c r="DT1316"/>
      <c r="DU1316"/>
      <c r="DV1316"/>
      <c r="DW1316"/>
      <c r="DX1316"/>
      <c r="DY1316"/>
      <c r="DZ1316"/>
      <c r="EA1316"/>
      <c r="EB1316"/>
      <c r="EC1316"/>
      <c r="ED1316"/>
      <c r="EE1316"/>
      <c r="EF1316"/>
      <c r="EG1316"/>
      <c r="EH1316"/>
      <c r="EI1316"/>
      <c r="EJ1316"/>
      <c r="EK1316"/>
      <c r="EL1316"/>
      <c r="EM1316"/>
      <c r="EN1316"/>
      <c r="EO1316"/>
      <c r="EP1316"/>
      <c r="EQ1316"/>
      <c r="ER1316"/>
      <c r="ES1316"/>
    </row>
    <row r="1317" spans="1:149">
      <c r="A1317"/>
      <c r="B1317"/>
      <c r="C1317"/>
      <c r="D1317"/>
      <c r="E1317"/>
      <c r="F1317"/>
      <c r="G1317"/>
      <c r="H1317"/>
      <c r="I1317"/>
      <c r="J1317"/>
      <c r="K1317"/>
      <c r="L1317"/>
      <c r="M1317"/>
      <c r="N1317"/>
      <c r="O1317"/>
      <c r="P1317"/>
      <c r="Q1317"/>
      <c r="R1317"/>
      <c r="S1317"/>
      <c r="T1317"/>
      <c r="U1317"/>
      <c r="V1317"/>
      <c r="W1317"/>
      <c r="X1317"/>
      <c r="Y1317"/>
      <c r="Z1317"/>
      <c r="AA1317"/>
      <c r="AB1317"/>
      <c r="AC1317"/>
      <c r="AD1317"/>
      <c r="AE1317"/>
      <c r="AF1317"/>
      <c r="AG1317"/>
      <c r="AH1317"/>
      <c r="AI1317"/>
      <c r="AJ1317"/>
      <c r="AK1317"/>
      <c r="AL1317"/>
      <c r="AM1317"/>
      <c r="AN1317"/>
      <c r="AO1317"/>
      <c r="AP1317"/>
      <c r="AQ1317"/>
      <c r="AR1317"/>
      <c r="AS1317"/>
      <c r="AT1317"/>
      <c r="AU1317"/>
      <c r="AV1317"/>
      <c r="AW1317"/>
      <c r="AX1317"/>
      <c r="AY1317"/>
      <c r="AZ1317"/>
      <c r="BA1317"/>
      <c r="BB1317"/>
      <c r="BC1317"/>
      <c r="BD1317"/>
      <c r="BE1317"/>
      <c r="BF1317"/>
      <c r="BG1317"/>
      <c r="BH1317"/>
      <c r="BI1317"/>
      <c r="BJ1317"/>
      <c r="BK1317"/>
      <c r="BL1317"/>
      <c r="BM1317"/>
      <c r="BN1317"/>
      <c r="BO1317"/>
      <c r="BP1317"/>
      <c r="BQ1317"/>
      <c r="BR1317"/>
      <c r="BS1317"/>
      <c r="BT1317"/>
      <c r="BU1317"/>
      <c r="BV1317"/>
      <c r="BW1317"/>
      <c r="BX1317"/>
      <c r="BY1317"/>
      <c r="BZ1317"/>
      <c r="CA1317"/>
      <c r="CB1317"/>
      <c r="CC1317"/>
      <c r="CD1317"/>
      <c r="CE1317"/>
      <c r="CF1317"/>
      <c r="CG1317"/>
      <c r="CH1317"/>
      <c r="CI1317"/>
      <c r="CJ1317"/>
      <c r="CK1317"/>
      <c r="CL1317"/>
      <c r="CM1317"/>
      <c r="CN1317"/>
      <c r="CO1317"/>
      <c r="CP1317"/>
      <c r="CQ1317"/>
      <c r="CR1317"/>
      <c r="CS1317"/>
      <c r="CT1317"/>
      <c r="CU1317"/>
      <c r="CV1317"/>
      <c r="CW1317"/>
      <c r="CX1317"/>
      <c r="CY1317"/>
      <c r="CZ1317"/>
      <c r="DA1317"/>
      <c r="DB1317"/>
      <c r="DC1317"/>
      <c r="DD1317"/>
      <c r="DE1317"/>
      <c r="DF1317"/>
      <c r="DG1317"/>
      <c r="DH1317"/>
      <c r="DI1317"/>
      <c r="DJ1317"/>
      <c r="DK1317"/>
      <c r="DL1317"/>
      <c r="DM1317"/>
      <c r="DN1317"/>
      <c r="DO1317"/>
      <c r="DP1317"/>
      <c r="DQ1317"/>
      <c r="DR1317"/>
      <c r="DS1317"/>
      <c r="DT1317"/>
      <c r="DU1317"/>
      <c r="DV1317"/>
      <c r="DW1317"/>
      <c r="DX1317"/>
      <c r="DY1317"/>
      <c r="DZ1317"/>
      <c r="EA1317"/>
      <c r="EB1317"/>
      <c r="EC1317"/>
      <c r="ED1317"/>
      <c r="EE1317"/>
      <c r="EF1317"/>
      <c r="EG1317"/>
      <c r="EH1317"/>
      <c r="EI1317"/>
      <c r="EJ1317"/>
      <c r="EK1317"/>
      <c r="EL1317"/>
      <c r="EM1317"/>
      <c r="EN1317"/>
      <c r="EO1317"/>
      <c r="EP1317"/>
      <c r="EQ1317"/>
      <c r="ER1317"/>
      <c r="ES1317"/>
    </row>
    <row r="1318" spans="1:149">
      <c r="A1318"/>
      <c r="B1318"/>
      <c r="C1318"/>
      <c r="D1318"/>
      <c r="E1318"/>
      <c r="F1318"/>
      <c r="G1318"/>
      <c r="H1318"/>
      <c r="I1318"/>
      <c r="J1318"/>
      <c r="K1318"/>
      <c r="L1318"/>
      <c r="M1318"/>
      <c r="N1318"/>
      <c r="O1318"/>
      <c r="P1318"/>
      <c r="Q1318"/>
      <c r="R1318"/>
      <c r="S1318"/>
      <c r="T1318"/>
      <c r="U1318"/>
      <c r="V1318"/>
      <c r="W1318"/>
      <c r="X1318"/>
      <c r="Y1318"/>
      <c r="Z1318"/>
      <c r="AA1318"/>
      <c r="AB1318"/>
      <c r="AC1318"/>
      <c r="AD1318"/>
      <c r="AE1318"/>
      <c r="AF1318"/>
      <c r="AG1318"/>
      <c r="AH1318"/>
      <c r="AI1318"/>
      <c r="AJ1318"/>
      <c r="AK1318"/>
      <c r="AL1318"/>
      <c r="AM1318"/>
      <c r="AN1318"/>
      <c r="AO1318"/>
      <c r="AP1318"/>
      <c r="AQ1318"/>
      <c r="AR1318"/>
      <c r="AS1318"/>
      <c r="AT1318"/>
      <c r="AU1318"/>
      <c r="AV1318"/>
      <c r="AW1318"/>
      <c r="AX1318"/>
      <c r="AY1318"/>
      <c r="AZ1318"/>
      <c r="BA1318"/>
      <c r="BB1318"/>
      <c r="BC1318"/>
      <c r="BD1318"/>
      <c r="BE1318"/>
      <c r="BF1318"/>
      <c r="BG1318"/>
      <c r="BH1318"/>
      <c r="BI1318"/>
      <c r="BJ1318"/>
      <c r="BK1318"/>
      <c r="BL1318"/>
      <c r="BM1318"/>
      <c r="BN1318"/>
      <c r="BO1318"/>
      <c r="BP1318"/>
      <c r="BQ1318"/>
      <c r="BR1318"/>
      <c r="BS1318"/>
      <c r="BT1318"/>
      <c r="BU1318"/>
      <c r="BV1318"/>
      <c r="BW1318"/>
      <c r="BX1318"/>
      <c r="BY1318"/>
      <c r="BZ1318"/>
      <c r="CA1318"/>
      <c r="CB1318"/>
      <c r="CC1318"/>
      <c r="CD1318"/>
      <c r="CE1318"/>
      <c r="CF1318"/>
      <c r="CG1318"/>
      <c r="CH1318"/>
      <c r="CI1318"/>
      <c r="CJ1318"/>
      <c r="CK1318"/>
      <c r="CL1318"/>
      <c r="CM1318"/>
      <c r="CN1318"/>
      <c r="CO1318"/>
      <c r="CP1318"/>
      <c r="CQ1318"/>
      <c r="CR1318"/>
      <c r="CS1318"/>
      <c r="CT1318"/>
      <c r="CU1318"/>
      <c r="CV1318"/>
      <c r="CW1318"/>
      <c r="CX1318"/>
      <c r="CY1318"/>
      <c r="CZ1318"/>
      <c r="DA1318"/>
      <c r="DB1318"/>
      <c r="DC1318"/>
      <c r="DD1318"/>
      <c r="DE1318"/>
      <c r="DF1318"/>
      <c r="DG1318"/>
      <c r="DH1318"/>
      <c r="DI1318"/>
      <c r="DJ1318"/>
      <c r="DK1318"/>
      <c r="DL1318"/>
      <c r="DM1318"/>
      <c r="DN1318"/>
      <c r="DO1318"/>
      <c r="DP1318"/>
      <c r="DQ1318"/>
      <c r="DR1318"/>
      <c r="DS1318"/>
      <c r="DT1318"/>
      <c r="DU1318"/>
      <c r="DV1318"/>
      <c r="DW1318"/>
      <c r="DX1318"/>
      <c r="DY1318"/>
      <c r="DZ1318"/>
      <c r="EA1318"/>
      <c r="EB1318"/>
      <c r="EC1318"/>
      <c r="ED1318"/>
      <c r="EE1318"/>
      <c r="EF1318"/>
      <c r="EG1318"/>
      <c r="EH1318"/>
      <c r="EI1318"/>
      <c r="EJ1318"/>
      <c r="EK1318"/>
      <c r="EL1318"/>
      <c r="EM1318"/>
      <c r="EN1318"/>
      <c r="EO1318"/>
      <c r="EP1318"/>
      <c r="EQ1318"/>
      <c r="ER1318"/>
      <c r="ES1318"/>
    </row>
    <row r="1319" spans="1:149">
      <c r="A1319"/>
      <c r="B1319"/>
      <c r="C1319"/>
      <c r="D1319"/>
      <c r="E1319"/>
      <c r="F1319"/>
      <c r="G1319"/>
      <c r="H1319"/>
      <c r="I1319"/>
      <c r="J1319"/>
      <c r="K1319"/>
      <c r="L1319"/>
      <c r="M1319"/>
      <c r="N1319"/>
      <c r="O1319"/>
      <c r="P1319"/>
      <c r="Q1319"/>
      <c r="R1319"/>
      <c r="S1319"/>
      <c r="T1319"/>
      <c r="U1319"/>
      <c r="V1319"/>
      <c r="W1319"/>
      <c r="X1319"/>
      <c r="Y1319"/>
      <c r="Z1319"/>
      <c r="AA1319"/>
      <c r="AB1319"/>
      <c r="AC1319"/>
      <c r="AD1319"/>
      <c r="AE1319"/>
      <c r="AF1319"/>
      <c r="AG1319"/>
      <c r="AH1319"/>
      <c r="AI1319"/>
      <c r="AJ1319"/>
      <c r="AK1319"/>
      <c r="AL1319"/>
      <c r="AM1319"/>
      <c r="AN1319"/>
      <c r="AO1319"/>
      <c r="AP1319"/>
      <c r="AQ1319"/>
      <c r="AR1319"/>
      <c r="AS1319"/>
      <c r="AT1319"/>
      <c r="AU1319"/>
      <c r="AV1319"/>
      <c r="AW1319"/>
      <c r="AX1319"/>
      <c r="AY1319"/>
      <c r="AZ1319"/>
      <c r="BA1319"/>
      <c r="BB1319"/>
      <c r="BC1319"/>
      <c r="BD1319"/>
      <c r="BE1319"/>
      <c r="BF1319"/>
      <c r="BG1319"/>
      <c r="BH1319"/>
      <c r="BI1319"/>
      <c r="BJ1319"/>
      <c r="BK1319"/>
      <c r="BL1319"/>
      <c r="BM1319"/>
      <c r="BN1319"/>
      <c r="BO1319"/>
      <c r="BP1319"/>
      <c r="BQ1319"/>
      <c r="BR1319"/>
      <c r="BS1319"/>
      <c r="BT1319"/>
      <c r="BU1319"/>
      <c r="BV1319"/>
      <c r="BW1319"/>
      <c r="BX1319"/>
      <c r="BY1319"/>
      <c r="BZ1319"/>
      <c r="CA1319"/>
      <c r="CB1319"/>
      <c r="CC1319"/>
      <c r="CD1319"/>
      <c r="CE1319"/>
      <c r="CF1319"/>
      <c r="CG1319"/>
      <c r="CH1319"/>
      <c r="CI1319"/>
      <c r="CJ1319"/>
      <c r="CK1319"/>
      <c r="CL1319"/>
      <c r="CM1319"/>
      <c r="CN1319"/>
      <c r="CO1319"/>
      <c r="CP1319"/>
      <c r="CQ1319"/>
      <c r="CR1319"/>
      <c r="CS1319"/>
      <c r="CT1319"/>
      <c r="CU1319"/>
      <c r="CV1319"/>
      <c r="CW1319"/>
      <c r="CX1319"/>
      <c r="CY1319"/>
      <c r="CZ1319"/>
      <c r="DA1319"/>
      <c r="DB1319"/>
      <c r="DC1319"/>
      <c r="DD1319"/>
      <c r="DE1319"/>
      <c r="DF1319"/>
      <c r="DG1319"/>
      <c r="DH1319"/>
      <c r="DI1319"/>
      <c r="DJ1319"/>
      <c r="DK1319"/>
      <c r="DL1319"/>
      <c r="DM1319"/>
      <c r="DN1319"/>
      <c r="DO1319"/>
      <c r="DP1319"/>
      <c r="DQ1319"/>
      <c r="DR1319"/>
      <c r="DS1319"/>
      <c r="DT1319"/>
      <c r="DU1319"/>
      <c r="DV1319"/>
      <c r="DW1319"/>
      <c r="DX1319"/>
      <c r="DY1319"/>
      <c r="DZ1319"/>
      <c r="EA1319"/>
      <c r="EB1319"/>
      <c r="EC1319"/>
      <c r="ED1319"/>
      <c r="EE1319"/>
      <c r="EF1319"/>
      <c r="EG1319"/>
      <c r="EH1319"/>
      <c r="EI1319"/>
      <c r="EJ1319"/>
      <c r="EK1319"/>
      <c r="EL1319"/>
      <c r="EM1319"/>
      <c r="EN1319"/>
      <c r="EO1319"/>
      <c r="EP1319"/>
      <c r="EQ1319"/>
      <c r="ER1319"/>
      <c r="ES1319"/>
    </row>
    <row r="1320" spans="1:149">
      <c r="A1320"/>
      <c r="B1320"/>
      <c r="C1320"/>
      <c r="D1320"/>
      <c r="E1320"/>
      <c r="F1320"/>
      <c r="G1320"/>
      <c r="H1320"/>
      <c r="I1320"/>
      <c r="J1320"/>
      <c r="K1320"/>
      <c r="L1320"/>
      <c r="M1320"/>
      <c r="N1320"/>
      <c r="O1320"/>
      <c r="P1320"/>
      <c r="Q1320"/>
      <c r="R1320"/>
      <c r="S1320"/>
      <c r="T1320"/>
      <c r="U1320"/>
      <c r="V1320"/>
      <c r="W1320"/>
      <c r="X1320"/>
      <c r="Y1320"/>
      <c r="Z1320"/>
      <c r="AA1320"/>
      <c r="AB1320"/>
      <c r="AC1320"/>
      <c r="AD1320"/>
      <c r="AE1320"/>
      <c r="AF1320"/>
      <c r="AG1320"/>
      <c r="AH1320"/>
      <c r="AI1320"/>
      <c r="AJ1320"/>
      <c r="AK1320"/>
      <c r="AL1320"/>
      <c r="AM1320"/>
      <c r="AN1320"/>
      <c r="AO1320"/>
      <c r="AP1320"/>
      <c r="AQ1320"/>
      <c r="AR1320"/>
      <c r="AS1320"/>
      <c r="AT1320"/>
      <c r="AU1320"/>
      <c r="AV1320"/>
      <c r="AW1320"/>
      <c r="AX1320"/>
      <c r="AY1320"/>
      <c r="AZ1320"/>
      <c r="BA1320"/>
      <c r="BB1320"/>
      <c r="BC1320"/>
      <c r="BD1320"/>
      <c r="BE1320"/>
      <c r="BF1320"/>
      <c r="BG1320"/>
      <c r="BH1320"/>
      <c r="BI1320"/>
      <c r="BJ1320"/>
      <c r="BK1320"/>
      <c r="BL1320"/>
      <c r="BM1320"/>
      <c r="BN1320"/>
      <c r="BO1320"/>
      <c r="BP1320"/>
      <c r="BQ1320"/>
      <c r="BR1320"/>
      <c r="BS1320"/>
      <c r="BT1320"/>
      <c r="BU1320"/>
      <c r="BV1320"/>
      <c r="BW1320"/>
      <c r="BX1320"/>
      <c r="BY1320"/>
      <c r="BZ1320"/>
      <c r="CA1320"/>
      <c r="CB1320"/>
      <c r="CC1320"/>
      <c r="CD1320"/>
      <c r="CE1320"/>
      <c r="CF1320"/>
      <c r="CG1320"/>
      <c r="CH1320"/>
      <c r="CI1320"/>
      <c r="CJ1320"/>
      <c r="CK1320"/>
      <c r="CL1320"/>
      <c r="CM1320"/>
      <c r="CN1320"/>
      <c r="CO1320"/>
      <c r="CP1320"/>
      <c r="CQ1320"/>
      <c r="CR1320"/>
      <c r="CS1320"/>
      <c r="CT1320"/>
      <c r="CU1320"/>
      <c r="CV1320"/>
      <c r="CW1320"/>
      <c r="CX1320"/>
      <c r="CY1320"/>
      <c r="CZ1320"/>
      <c r="DA1320"/>
      <c r="DB1320"/>
      <c r="DC1320"/>
      <c r="DD1320"/>
      <c r="DE1320"/>
      <c r="DF1320"/>
      <c r="DG1320"/>
      <c r="DH1320"/>
      <c r="DI1320"/>
      <c r="DJ1320"/>
      <c r="DK1320"/>
      <c r="DL1320"/>
      <c r="DM1320"/>
      <c r="DN1320"/>
      <c r="DO1320"/>
      <c r="DP1320"/>
      <c r="DQ1320"/>
      <c r="DR1320"/>
      <c r="DS1320"/>
      <c r="DT1320"/>
      <c r="DU1320"/>
      <c r="DV1320"/>
      <c r="DW1320"/>
      <c r="DX1320"/>
      <c r="DY1320"/>
      <c r="DZ1320"/>
      <c r="EA1320"/>
      <c r="EB1320"/>
      <c r="EC1320"/>
      <c r="ED1320"/>
      <c r="EE1320"/>
      <c r="EF1320"/>
      <c r="EG1320"/>
      <c r="EH1320"/>
      <c r="EI1320"/>
      <c r="EJ1320"/>
      <c r="EK1320"/>
      <c r="EL1320"/>
      <c r="EM1320"/>
      <c r="EN1320"/>
      <c r="EO1320"/>
      <c r="EP1320"/>
      <c r="EQ1320"/>
      <c r="ER1320"/>
      <c r="ES1320"/>
    </row>
    <row r="1321" spans="1:149">
      <c r="A1321"/>
      <c r="B1321"/>
      <c r="C1321"/>
      <c r="D1321"/>
      <c r="E1321"/>
      <c r="F1321"/>
      <c r="G1321"/>
      <c r="H1321"/>
      <c r="I1321"/>
      <c r="J1321"/>
      <c r="K1321"/>
      <c r="L1321"/>
      <c r="M1321"/>
      <c r="N1321"/>
      <c r="O1321"/>
      <c r="P1321"/>
      <c r="Q1321"/>
      <c r="R1321"/>
      <c r="S1321"/>
      <c r="T1321"/>
      <c r="U1321"/>
      <c r="V1321"/>
      <c r="W1321"/>
      <c r="X1321"/>
      <c r="Y1321"/>
      <c r="Z1321"/>
      <c r="AA1321"/>
      <c r="AB1321"/>
      <c r="AC1321"/>
      <c r="AD1321"/>
      <c r="AE1321"/>
      <c r="AF1321"/>
      <c r="AG1321"/>
      <c r="AH1321"/>
      <c r="AI1321"/>
      <c r="AJ1321"/>
      <c r="AK1321"/>
      <c r="AL1321"/>
      <c r="AM1321"/>
      <c r="AN1321"/>
      <c r="AO1321"/>
      <c r="AP1321"/>
      <c r="AQ1321"/>
      <c r="AR1321"/>
      <c r="AS1321"/>
      <c r="AT1321"/>
      <c r="AU1321"/>
      <c r="AV1321"/>
      <c r="AW1321"/>
      <c r="AX1321"/>
      <c r="AY1321"/>
      <c r="AZ1321"/>
      <c r="BA1321"/>
      <c r="BB1321"/>
      <c r="BC1321"/>
      <c r="BD1321"/>
      <c r="BE1321"/>
      <c r="BF1321"/>
      <c r="BG1321"/>
      <c r="BH1321"/>
      <c r="BI1321"/>
      <c r="BJ1321"/>
      <c r="BK1321"/>
      <c r="BL1321"/>
      <c r="BM1321"/>
      <c r="BN1321"/>
      <c r="BO1321"/>
      <c r="BP1321"/>
      <c r="BQ1321"/>
      <c r="BR1321"/>
      <c r="BS1321"/>
      <c r="BT1321"/>
      <c r="BU1321"/>
      <c r="BV1321"/>
      <c r="BW1321"/>
      <c r="BX1321"/>
      <c r="BY1321"/>
      <c r="BZ1321"/>
      <c r="CA1321"/>
      <c r="CB1321"/>
      <c r="CC1321"/>
      <c r="CD1321"/>
      <c r="CE1321"/>
      <c r="CF1321"/>
      <c r="CG1321"/>
      <c r="CH1321"/>
      <c r="CI1321"/>
      <c r="CJ1321"/>
      <c r="CK1321"/>
      <c r="CL1321"/>
      <c r="CM1321"/>
      <c r="CN1321"/>
      <c r="CO1321"/>
      <c r="CP1321"/>
      <c r="CQ1321"/>
      <c r="CR1321"/>
      <c r="CS1321"/>
      <c r="CT1321"/>
      <c r="CU1321"/>
      <c r="CV1321"/>
      <c r="CW1321"/>
      <c r="CX1321"/>
      <c r="CY1321"/>
      <c r="CZ1321"/>
      <c r="DA1321"/>
      <c r="DB1321"/>
      <c r="DC1321"/>
      <c r="DD1321"/>
      <c r="DE1321"/>
      <c r="DF1321"/>
      <c r="DG1321"/>
      <c r="DH1321"/>
      <c r="DI1321"/>
      <c r="DJ1321"/>
      <c r="DK1321"/>
      <c r="DL1321"/>
      <c r="DM1321"/>
      <c r="DN1321"/>
      <c r="DO1321"/>
      <c r="DP1321"/>
      <c r="DQ1321"/>
      <c r="DR1321"/>
      <c r="DS1321"/>
      <c r="DT1321"/>
      <c r="DU1321"/>
      <c r="DV1321"/>
      <c r="DW1321"/>
      <c r="DX1321"/>
      <c r="DY1321"/>
      <c r="DZ1321"/>
      <c r="EA1321"/>
      <c r="EB1321"/>
      <c r="EC1321"/>
      <c r="ED1321"/>
      <c r="EE1321"/>
      <c r="EF1321"/>
      <c r="EG1321"/>
      <c r="EH1321"/>
      <c r="EI1321"/>
      <c r="EJ1321"/>
      <c r="EK1321"/>
      <c r="EL1321"/>
      <c r="EM1321"/>
      <c r="EN1321"/>
      <c r="EO1321"/>
      <c r="EP1321"/>
      <c r="EQ1321"/>
      <c r="ER1321"/>
      <c r="ES1321"/>
    </row>
    <row r="1322" spans="1:149">
      <c r="A1322"/>
      <c r="B1322"/>
      <c r="C1322"/>
      <c r="D1322"/>
      <c r="E1322"/>
      <c r="F1322"/>
      <c r="G1322"/>
      <c r="H1322"/>
      <c r="I1322"/>
      <c r="J1322"/>
      <c r="K1322"/>
      <c r="L1322"/>
      <c r="M1322"/>
      <c r="N1322"/>
      <c r="O1322"/>
      <c r="P1322"/>
      <c r="Q1322"/>
      <c r="R1322"/>
      <c r="S1322"/>
      <c r="T1322"/>
      <c r="U1322"/>
      <c r="V1322"/>
      <c r="W1322"/>
      <c r="X1322"/>
      <c r="Y1322"/>
      <c r="Z1322"/>
      <c r="AA1322"/>
      <c r="AB1322"/>
      <c r="AC1322"/>
      <c r="AD1322"/>
      <c r="AE1322"/>
      <c r="AF1322"/>
      <c r="AG1322"/>
      <c r="AH1322"/>
      <c r="AI1322"/>
      <c r="AJ1322"/>
      <c r="AK1322"/>
      <c r="AL1322"/>
      <c r="AM1322"/>
      <c r="AN1322"/>
      <c r="AO1322"/>
      <c r="AP1322"/>
      <c r="AQ1322"/>
      <c r="AR1322"/>
      <c r="AS1322"/>
      <c r="AT1322"/>
      <c r="AU1322"/>
      <c r="AV1322"/>
      <c r="AW1322"/>
      <c r="AX1322"/>
      <c r="AY1322"/>
      <c r="AZ1322"/>
      <c r="BA1322"/>
      <c r="BB1322"/>
      <c r="BC1322"/>
      <c r="BD1322"/>
      <c r="BE1322"/>
      <c r="BF1322"/>
      <c r="BG1322"/>
      <c r="BH1322"/>
      <c r="BI1322"/>
      <c r="BJ1322"/>
      <c r="BK1322"/>
      <c r="BL1322"/>
      <c r="BM1322"/>
      <c r="BN1322"/>
      <c r="BO1322"/>
      <c r="BP1322"/>
      <c r="BQ1322"/>
      <c r="BR1322"/>
      <c r="BS1322"/>
      <c r="BT1322"/>
      <c r="BU1322"/>
      <c r="BV1322"/>
      <c r="BW1322"/>
      <c r="BX1322"/>
      <c r="BY1322"/>
      <c r="BZ1322"/>
      <c r="CA1322"/>
      <c r="CB1322"/>
      <c r="CC1322"/>
      <c r="CD1322"/>
      <c r="CE1322"/>
      <c r="CF1322"/>
      <c r="CG1322"/>
      <c r="CH1322"/>
      <c r="CI1322"/>
      <c r="CJ1322"/>
      <c r="CK1322"/>
      <c r="CL1322"/>
      <c r="CM1322"/>
      <c r="CN1322"/>
      <c r="CO1322"/>
      <c r="CP1322"/>
      <c r="CQ1322"/>
      <c r="CR1322"/>
      <c r="CS1322"/>
      <c r="CT1322"/>
      <c r="CU1322"/>
      <c r="CV1322"/>
      <c r="CW1322"/>
      <c r="CX1322"/>
      <c r="CY1322"/>
      <c r="CZ1322"/>
      <c r="DA1322"/>
      <c r="DB1322"/>
      <c r="DC1322"/>
      <c r="DD1322"/>
      <c r="DE1322"/>
      <c r="DF1322"/>
      <c r="DG1322"/>
      <c r="DH1322"/>
      <c r="DI1322"/>
      <c r="DJ1322"/>
      <c r="DK1322"/>
      <c r="DL1322"/>
      <c r="DM1322"/>
      <c r="DN1322"/>
      <c r="DO1322"/>
      <c r="DP1322"/>
      <c r="DQ1322"/>
      <c r="DR1322"/>
      <c r="DS1322"/>
      <c r="DT1322"/>
      <c r="DU1322"/>
      <c r="DV1322"/>
      <c r="DW1322"/>
      <c r="DX1322"/>
      <c r="DY1322"/>
      <c r="DZ1322"/>
      <c r="EA1322"/>
      <c r="EB1322"/>
      <c r="EC1322"/>
      <c r="ED1322"/>
      <c r="EE1322"/>
      <c r="EF1322"/>
      <c r="EG1322"/>
      <c r="EH1322"/>
      <c r="EI1322"/>
      <c r="EJ1322"/>
      <c r="EK1322"/>
      <c r="EL1322"/>
      <c r="EM1322"/>
      <c r="EN1322"/>
      <c r="EO1322"/>
      <c r="EP1322"/>
      <c r="EQ1322"/>
      <c r="ER1322"/>
      <c r="ES1322"/>
    </row>
    <row r="1323" spans="1:149">
      <c r="A1323"/>
      <c r="B1323"/>
      <c r="C1323"/>
      <c r="D1323"/>
      <c r="E1323"/>
      <c r="F1323"/>
      <c r="G1323"/>
      <c r="H1323"/>
      <c r="I1323"/>
      <c r="J1323"/>
      <c r="K1323"/>
      <c r="L1323"/>
      <c r="M1323"/>
      <c r="N1323"/>
      <c r="O1323"/>
      <c r="P1323"/>
      <c r="Q1323"/>
      <c r="R1323"/>
      <c r="S1323"/>
      <c r="T1323"/>
      <c r="U1323"/>
      <c r="V1323"/>
      <c r="W1323"/>
      <c r="X1323"/>
      <c r="Y1323"/>
      <c r="Z1323"/>
      <c r="AA1323"/>
      <c r="AB1323"/>
      <c r="AC1323"/>
      <c r="AD1323"/>
      <c r="AE1323"/>
      <c r="AF1323"/>
      <c r="AG1323"/>
      <c r="AH1323"/>
      <c r="AI1323"/>
      <c r="AJ1323"/>
      <c r="AK1323"/>
      <c r="AL1323"/>
      <c r="AM1323"/>
      <c r="AN1323"/>
      <c r="AO1323"/>
      <c r="AP1323"/>
      <c r="AQ1323"/>
      <c r="AR1323"/>
      <c r="AS1323"/>
      <c r="AT1323"/>
      <c r="AU1323"/>
      <c r="AV1323"/>
      <c r="AW1323"/>
      <c r="AX1323"/>
      <c r="AY1323"/>
      <c r="AZ1323"/>
      <c r="BA1323"/>
      <c r="BB1323"/>
      <c r="BC1323"/>
      <c r="BD1323"/>
      <c r="BE1323"/>
      <c r="BF1323"/>
      <c r="BG1323"/>
      <c r="BH1323"/>
      <c r="BI1323"/>
      <c r="BJ1323"/>
      <c r="BK1323"/>
      <c r="BL1323"/>
      <c r="BM1323"/>
      <c r="BN1323"/>
      <c r="BO1323"/>
      <c r="BP1323"/>
      <c r="BQ1323"/>
      <c r="BR1323"/>
      <c r="BS1323"/>
      <c r="BT1323"/>
      <c r="BU1323"/>
      <c r="BV1323"/>
      <c r="BW1323"/>
      <c r="BX1323"/>
      <c r="BY1323"/>
      <c r="BZ1323"/>
      <c r="CA1323"/>
      <c r="CB1323"/>
      <c r="CC1323"/>
      <c r="CD1323"/>
      <c r="CE1323"/>
      <c r="CF1323"/>
      <c r="CG1323"/>
      <c r="CH1323"/>
      <c r="CI1323"/>
      <c r="CJ1323"/>
      <c r="CK1323"/>
      <c r="CL1323"/>
      <c r="CM1323"/>
      <c r="CN1323"/>
      <c r="CO1323"/>
      <c r="CP1323"/>
      <c r="CQ1323"/>
      <c r="CR1323"/>
      <c r="CS1323"/>
      <c r="CT1323"/>
      <c r="CU1323"/>
      <c r="CV1323"/>
      <c r="CW1323"/>
      <c r="CX1323"/>
      <c r="CY1323"/>
      <c r="CZ1323"/>
      <c r="DA1323"/>
      <c r="DB1323"/>
      <c r="DC1323"/>
      <c r="DD1323"/>
      <c r="DE1323"/>
      <c r="DF1323"/>
      <c r="DG1323"/>
      <c r="DH1323"/>
      <c r="DI1323"/>
      <c r="DJ1323"/>
      <c r="DK1323"/>
      <c r="DL1323"/>
      <c r="DM1323"/>
      <c r="DN1323"/>
      <c r="DO1323"/>
      <c r="DP1323"/>
      <c r="DQ1323"/>
      <c r="DR1323"/>
      <c r="DS1323"/>
      <c r="DT1323"/>
      <c r="DU1323"/>
      <c r="DV1323"/>
      <c r="DW1323"/>
      <c r="DX1323"/>
      <c r="DY1323"/>
      <c r="DZ1323"/>
      <c r="EA1323"/>
      <c r="EB1323"/>
      <c r="EC1323"/>
      <c r="ED1323"/>
      <c r="EE1323"/>
      <c r="EF1323"/>
      <c r="EG1323"/>
      <c r="EH1323"/>
      <c r="EI1323"/>
      <c r="EJ1323"/>
      <c r="EK1323"/>
      <c r="EL1323"/>
      <c r="EM1323"/>
      <c r="EN1323"/>
      <c r="EO1323"/>
      <c r="EP1323"/>
      <c r="EQ1323"/>
      <c r="ER1323"/>
      <c r="ES1323"/>
    </row>
    <row r="1324" spans="1:149">
      <c r="A1324"/>
      <c r="B1324"/>
      <c r="C1324"/>
      <c r="D1324"/>
      <c r="E1324"/>
      <c r="F1324"/>
      <c r="G1324"/>
      <c r="H1324"/>
      <c r="I1324"/>
      <c r="J1324"/>
      <c r="K1324"/>
      <c r="L1324"/>
      <c r="M1324"/>
      <c r="N1324"/>
      <c r="O1324"/>
      <c r="P1324"/>
      <c r="Q1324"/>
      <c r="R1324"/>
      <c r="S1324"/>
      <c r="T1324"/>
      <c r="U1324"/>
      <c r="V1324"/>
      <c r="W1324"/>
      <c r="X1324"/>
      <c r="Y1324"/>
      <c r="Z1324"/>
      <c r="AA1324"/>
      <c r="AB1324"/>
      <c r="AC1324"/>
      <c r="AD1324"/>
      <c r="AE1324"/>
      <c r="AF1324"/>
      <c r="AG1324"/>
      <c r="AH1324"/>
      <c r="AI1324"/>
      <c r="AJ1324"/>
      <c r="AK1324"/>
      <c r="AL1324"/>
      <c r="AM1324"/>
      <c r="AN1324"/>
      <c r="AO1324"/>
      <c r="AP1324"/>
      <c r="AQ1324"/>
      <c r="AR1324"/>
      <c r="AS1324"/>
      <c r="AT1324"/>
      <c r="AU1324"/>
      <c r="AV1324"/>
      <c r="AW1324"/>
      <c r="AX1324"/>
      <c r="AY1324"/>
      <c r="AZ1324"/>
      <c r="BA1324"/>
      <c r="BB1324"/>
      <c r="BC1324"/>
      <c r="BD1324"/>
      <c r="BE1324"/>
      <c r="BF1324"/>
      <c r="BG1324"/>
      <c r="BH1324"/>
      <c r="BI1324"/>
      <c r="BJ1324"/>
      <c r="BK1324"/>
      <c r="BL1324"/>
      <c r="BM1324"/>
      <c r="BN1324"/>
      <c r="BO1324"/>
      <c r="BP1324"/>
      <c r="BQ1324"/>
      <c r="BR1324"/>
      <c r="BS1324"/>
      <c r="BT1324"/>
      <c r="BU1324"/>
      <c r="BV1324"/>
      <c r="BW1324"/>
      <c r="BX1324"/>
      <c r="BY1324"/>
      <c r="BZ1324"/>
      <c r="CA1324"/>
      <c r="CB1324"/>
      <c r="CC1324"/>
      <c r="CD1324"/>
      <c r="CE1324"/>
      <c r="CF1324"/>
      <c r="CG1324"/>
      <c r="CH1324"/>
      <c r="CI1324"/>
      <c r="CJ1324"/>
      <c r="CK1324"/>
      <c r="CL1324"/>
      <c r="CM1324"/>
      <c r="CN1324"/>
      <c r="CO1324"/>
      <c r="CP1324"/>
      <c r="CQ1324"/>
      <c r="CR1324"/>
      <c r="CS1324"/>
      <c r="CT1324"/>
      <c r="CU1324"/>
      <c r="CV1324"/>
      <c r="CW1324"/>
      <c r="CX1324"/>
      <c r="CY1324"/>
      <c r="CZ1324"/>
      <c r="DA1324"/>
      <c r="DB1324"/>
      <c r="DC1324"/>
      <c r="DD1324"/>
      <c r="DE1324"/>
      <c r="DF1324"/>
      <c r="DG1324"/>
      <c r="DH1324"/>
      <c r="DI1324"/>
      <c r="DJ1324"/>
      <c r="DK1324"/>
      <c r="DL1324"/>
      <c r="DM1324"/>
      <c r="DN1324"/>
      <c r="DO1324"/>
      <c r="DP1324"/>
      <c r="DQ1324"/>
      <c r="DR1324"/>
      <c r="DS1324"/>
      <c r="DT1324"/>
      <c r="DU1324"/>
      <c r="DV1324"/>
      <c r="DW1324"/>
      <c r="DX1324"/>
      <c r="DY1324"/>
      <c r="DZ1324"/>
      <c r="EA1324"/>
      <c r="EB1324"/>
      <c r="EC1324"/>
      <c r="ED1324"/>
      <c r="EE1324"/>
      <c r="EF1324"/>
      <c r="EG1324"/>
      <c r="EH1324"/>
      <c r="EI1324"/>
      <c r="EJ1324"/>
      <c r="EK1324"/>
      <c r="EL1324"/>
      <c r="EM1324"/>
      <c r="EN1324"/>
      <c r="EO1324"/>
      <c r="EP1324"/>
      <c r="EQ1324"/>
      <c r="ER1324"/>
      <c r="ES1324"/>
    </row>
    <row r="1325" spans="1:149">
      <c r="A1325"/>
      <c r="B1325"/>
      <c r="C1325"/>
      <c r="D1325"/>
      <c r="E1325"/>
      <c r="F1325"/>
      <c r="G1325"/>
      <c r="H1325"/>
      <c r="I1325"/>
      <c r="J1325"/>
      <c r="K1325"/>
      <c r="L1325"/>
      <c r="M1325"/>
      <c r="N1325"/>
      <c r="O1325"/>
      <c r="P1325"/>
      <c r="Q1325"/>
      <c r="R1325"/>
      <c r="S1325"/>
      <c r="T1325"/>
      <c r="U1325"/>
      <c r="V1325"/>
      <c r="W1325"/>
      <c r="X1325"/>
      <c r="Y1325"/>
      <c r="Z1325"/>
      <c r="AA1325"/>
      <c r="AB1325"/>
      <c r="AC1325"/>
      <c r="AD1325"/>
      <c r="AE1325"/>
      <c r="AF1325"/>
      <c r="AG1325"/>
      <c r="AH1325"/>
      <c r="AI1325"/>
      <c r="AJ1325"/>
      <c r="AK1325"/>
      <c r="AL1325"/>
      <c r="AM1325"/>
      <c r="AN1325"/>
      <c r="AO1325"/>
      <c r="AP1325"/>
      <c r="AQ1325"/>
      <c r="AR1325"/>
      <c r="AS1325"/>
      <c r="AT1325"/>
      <c r="AU1325"/>
      <c r="AV1325"/>
      <c r="AW1325"/>
      <c r="AX1325"/>
      <c r="AY1325"/>
      <c r="AZ1325"/>
      <c r="BA1325"/>
      <c r="BB1325"/>
      <c r="BC1325"/>
      <c r="BD1325"/>
      <c r="BE1325"/>
      <c r="BF1325"/>
      <c r="BG1325"/>
      <c r="BH1325"/>
      <c r="BI1325"/>
      <c r="BJ1325"/>
      <c r="BK1325"/>
      <c r="BL1325"/>
      <c r="BM1325"/>
      <c r="BN1325"/>
      <c r="BO1325"/>
      <c r="BP1325"/>
      <c r="BQ1325"/>
      <c r="BR1325"/>
      <c r="BS1325"/>
      <c r="BT1325"/>
      <c r="BU1325"/>
      <c r="BV1325"/>
      <c r="BW1325"/>
      <c r="BX1325"/>
      <c r="BY1325"/>
      <c r="BZ1325"/>
      <c r="CA1325"/>
      <c r="CB1325"/>
      <c r="CC1325"/>
      <c r="CD1325"/>
      <c r="CE1325"/>
      <c r="CF1325"/>
      <c r="CG1325"/>
      <c r="CH1325"/>
      <c r="CI1325"/>
      <c r="CJ1325"/>
      <c r="CK1325"/>
      <c r="CL1325"/>
      <c r="CM1325"/>
      <c r="CN1325"/>
      <c r="CO1325"/>
      <c r="CP1325"/>
      <c r="CQ1325"/>
      <c r="CR1325"/>
      <c r="CS1325"/>
      <c r="CT1325"/>
      <c r="CU1325"/>
      <c r="CV1325"/>
      <c r="CW1325"/>
      <c r="CX1325"/>
      <c r="CY1325"/>
      <c r="CZ1325"/>
      <c r="DA1325"/>
      <c r="DB1325"/>
      <c r="DC1325"/>
      <c r="DD1325"/>
      <c r="DE1325"/>
      <c r="DF1325"/>
      <c r="DG1325"/>
      <c r="DH1325"/>
      <c r="DI1325"/>
      <c r="DJ1325"/>
      <c r="DK1325"/>
      <c r="DL1325"/>
      <c r="DM1325"/>
      <c r="DN1325"/>
      <c r="DO1325"/>
      <c r="DP1325"/>
      <c r="DQ1325"/>
      <c r="DR1325"/>
      <c r="DS1325"/>
      <c r="DT1325"/>
      <c r="DU1325"/>
      <c r="DV1325"/>
      <c r="DW1325"/>
      <c r="DX1325"/>
      <c r="DY1325"/>
      <c r="DZ1325"/>
      <c r="EA1325"/>
      <c r="EB1325"/>
      <c r="EC1325"/>
      <c r="ED1325"/>
      <c r="EE1325"/>
      <c r="EF1325"/>
      <c r="EG1325"/>
      <c r="EH1325"/>
      <c r="EI1325"/>
      <c r="EJ1325"/>
      <c r="EK1325"/>
      <c r="EL1325"/>
      <c r="EM1325"/>
      <c r="EN1325"/>
      <c r="EO1325"/>
      <c r="EP1325"/>
      <c r="EQ1325"/>
      <c r="ER1325"/>
      <c r="ES1325"/>
    </row>
    <row r="1326" spans="1:149">
      <c r="A1326"/>
      <c r="B1326"/>
      <c r="C1326"/>
      <c r="D1326"/>
      <c r="E1326"/>
      <c r="F1326"/>
      <c r="G1326"/>
      <c r="H1326"/>
      <c r="I1326"/>
      <c r="J1326"/>
      <c r="K1326"/>
      <c r="L1326"/>
      <c r="M1326"/>
      <c r="N1326"/>
      <c r="O1326"/>
      <c r="P1326"/>
      <c r="Q1326"/>
      <c r="R1326"/>
      <c r="S1326"/>
      <c r="T1326"/>
      <c r="U1326"/>
      <c r="V1326"/>
      <c r="W1326"/>
      <c r="X1326"/>
      <c r="Y1326"/>
      <c r="Z1326"/>
      <c r="AA1326"/>
      <c r="AB1326"/>
      <c r="AC1326"/>
      <c r="AD1326"/>
      <c r="AE1326"/>
      <c r="AF1326"/>
      <c r="AG1326"/>
      <c r="AH1326"/>
      <c r="AI1326"/>
      <c r="AJ1326"/>
      <c r="AK1326"/>
      <c r="AL1326"/>
      <c r="AM1326"/>
      <c r="AN1326"/>
      <c r="AO1326"/>
      <c r="AP1326"/>
      <c r="AQ1326"/>
      <c r="AR1326"/>
      <c r="AS1326"/>
      <c r="AT1326"/>
      <c r="AU1326"/>
      <c r="AV1326"/>
      <c r="AW1326"/>
      <c r="AX1326"/>
      <c r="AY1326"/>
      <c r="AZ1326"/>
      <c r="BA1326"/>
      <c r="BB1326"/>
      <c r="BC1326"/>
      <c r="BD1326"/>
      <c r="BE1326"/>
      <c r="BF1326"/>
      <c r="BG1326"/>
      <c r="BH1326"/>
      <c r="BI1326"/>
      <c r="BJ1326"/>
      <c r="BK1326"/>
      <c r="BL1326"/>
      <c r="BM1326"/>
      <c r="BN1326"/>
      <c r="BO1326"/>
      <c r="BP1326"/>
      <c r="BQ1326"/>
      <c r="BR1326"/>
      <c r="BS1326"/>
      <c r="BT1326"/>
      <c r="BU1326"/>
      <c r="BV1326"/>
      <c r="BW1326"/>
      <c r="BX1326"/>
      <c r="BY1326"/>
      <c r="BZ1326"/>
      <c r="CA1326"/>
      <c r="CB1326"/>
      <c r="CC1326"/>
      <c r="CD1326"/>
      <c r="CE1326"/>
      <c r="CF1326"/>
      <c r="CG1326"/>
      <c r="CH1326"/>
      <c r="CI1326"/>
      <c r="CJ1326"/>
      <c r="CK1326"/>
      <c r="CL1326"/>
      <c r="CM1326"/>
      <c r="CN1326"/>
      <c r="CO1326"/>
      <c r="CP1326"/>
      <c r="CQ1326"/>
      <c r="CR1326"/>
      <c r="CS1326"/>
      <c r="CT1326"/>
      <c r="CU1326"/>
      <c r="CV1326"/>
      <c r="CW1326"/>
      <c r="CX1326"/>
      <c r="CY1326"/>
      <c r="CZ1326"/>
      <c r="DA1326"/>
      <c r="DB1326"/>
      <c r="DC1326"/>
      <c r="DD1326"/>
      <c r="DE1326"/>
      <c r="DF1326"/>
      <c r="DG1326"/>
      <c r="DH1326"/>
      <c r="DI1326"/>
      <c r="DJ1326"/>
      <c r="DK1326"/>
      <c r="DL1326"/>
      <c r="DM1326"/>
      <c r="DN1326"/>
      <c r="DO1326"/>
      <c r="DP1326"/>
      <c r="DQ1326"/>
      <c r="DR1326"/>
      <c r="DS1326"/>
      <c r="DT1326"/>
      <c r="DU1326"/>
      <c r="DV1326"/>
      <c r="DW1326"/>
      <c r="DX1326"/>
      <c r="DY1326"/>
      <c r="DZ1326"/>
      <c r="EA1326"/>
      <c r="EB1326"/>
      <c r="EC1326"/>
      <c r="ED1326"/>
      <c r="EE1326"/>
      <c r="EF1326"/>
      <c r="EG1326"/>
      <c r="EH1326"/>
      <c r="EI1326"/>
      <c r="EJ1326"/>
      <c r="EK1326"/>
      <c r="EL1326"/>
      <c r="EM1326"/>
      <c r="EN1326"/>
      <c r="EO1326"/>
      <c r="EP1326"/>
      <c r="EQ1326"/>
      <c r="ER1326"/>
      <c r="ES1326"/>
    </row>
    <row r="1327" spans="1:149">
      <c r="A1327"/>
      <c r="B1327"/>
      <c r="C1327"/>
      <c r="D1327"/>
      <c r="E1327"/>
      <c r="F1327"/>
      <c r="G1327"/>
      <c r="H1327"/>
      <c r="I1327"/>
      <c r="J1327"/>
      <c r="K1327"/>
      <c r="L1327"/>
      <c r="M1327"/>
      <c r="N1327"/>
      <c r="O1327"/>
      <c r="P1327"/>
      <c r="Q1327"/>
      <c r="R1327"/>
      <c r="S1327"/>
      <c r="T1327"/>
      <c r="U1327"/>
      <c r="V1327"/>
      <c r="W1327"/>
      <c r="X1327"/>
      <c r="Y1327"/>
      <c r="Z1327"/>
      <c r="AA1327"/>
      <c r="AB1327"/>
      <c r="AC1327"/>
      <c r="AD1327"/>
      <c r="AE1327"/>
      <c r="AF1327"/>
      <c r="AG1327"/>
      <c r="AH1327"/>
      <c r="AI1327"/>
      <c r="AJ1327"/>
      <c r="AK1327"/>
      <c r="AL1327"/>
      <c r="AM1327"/>
      <c r="AN1327"/>
      <c r="AO1327"/>
      <c r="AP1327"/>
      <c r="AQ1327"/>
      <c r="AR1327"/>
      <c r="AS1327"/>
      <c r="AT1327"/>
      <c r="AU1327"/>
      <c r="AV1327"/>
      <c r="AW1327"/>
      <c r="AX1327"/>
      <c r="AY1327"/>
      <c r="AZ1327"/>
      <c r="BA1327"/>
      <c r="BB1327"/>
      <c r="BC1327"/>
      <c r="BD1327"/>
      <c r="BE1327"/>
      <c r="BF1327"/>
      <c r="BG1327"/>
      <c r="BH1327"/>
      <c r="BI1327"/>
      <c r="BJ1327"/>
      <c r="BK1327"/>
      <c r="BL1327"/>
      <c r="BM1327"/>
      <c r="BN1327"/>
      <c r="BO1327"/>
      <c r="BP1327"/>
      <c r="BQ1327"/>
      <c r="BR1327"/>
      <c r="BS1327"/>
      <c r="BT1327"/>
      <c r="BU1327"/>
      <c r="BV1327"/>
      <c r="BW1327"/>
      <c r="BX1327"/>
      <c r="BY1327"/>
      <c r="BZ1327"/>
      <c r="CA1327"/>
      <c r="CB1327"/>
      <c r="CC1327"/>
      <c r="CD1327"/>
      <c r="CE1327"/>
      <c r="CF1327"/>
      <c r="CG1327"/>
      <c r="CH1327"/>
      <c r="CI1327"/>
      <c r="CJ1327"/>
      <c r="CK1327"/>
      <c r="CL1327"/>
      <c r="CM1327"/>
      <c r="CN1327"/>
      <c r="CO1327"/>
      <c r="CP1327"/>
      <c r="CQ1327"/>
      <c r="CR1327"/>
      <c r="CS1327"/>
      <c r="CT1327"/>
      <c r="CU1327"/>
      <c r="CV1327"/>
      <c r="CW1327"/>
      <c r="CX1327"/>
      <c r="CY1327"/>
      <c r="CZ1327"/>
      <c r="DA1327"/>
      <c r="DB1327"/>
      <c r="DC1327"/>
      <c r="DD1327"/>
      <c r="DE1327"/>
      <c r="DF1327"/>
      <c r="DG1327"/>
      <c r="DH1327"/>
      <c r="DI1327"/>
      <c r="DJ1327"/>
      <c r="DK1327"/>
      <c r="DL1327"/>
      <c r="DM1327"/>
      <c r="DN1327"/>
      <c r="DO1327"/>
      <c r="DP1327"/>
      <c r="DQ1327"/>
      <c r="DR1327"/>
      <c r="DS1327"/>
      <c r="DT1327"/>
      <c r="DU1327"/>
      <c r="DV1327"/>
      <c r="DW1327"/>
      <c r="DX1327"/>
      <c r="DY1327"/>
      <c r="DZ1327"/>
      <c r="EA1327"/>
      <c r="EB1327"/>
      <c r="EC1327"/>
      <c r="ED1327"/>
      <c r="EE1327"/>
      <c r="EF1327"/>
      <c r="EG1327"/>
      <c r="EH1327"/>
      <c r="EI1327"/>
      <c r="EJ1327"/>
      <c r="EK1327"/>
      <c r="EL1327"/>
      <c r="EM1327"/>
      <c r="EN1327"/>
      <c r="EO1327"/>
      <c r="EP1327"/>
      <c r="EQ1327"/>
      <c r="ER1327"/>
      <c r="ES1327"/>
    </row>
    <row r="1328" spans="1:149">
      <c r="A1328"/>
      <c r="B1328"/>
      <c r="C1328"/>
      <c r="D1328"/>
      <c r="E1328"/>
      <c r="F1328"/>
      <c r="G1328"/>
      <c r="H1328"/>
      <c r="I1328"/>
      <c r="J1328"/>
      <c r="K1328"/>
      <c r="L1328"/>
      <c r="M1328"/>
      <c r="N1328"/>
      <c r="O1328"/>
      <c r="P1328"/>
      <c r="Q1328"/>
      <c r="R1328"/>
      <c r="S1328"/>
      <c r="T1328"/>
      <c r="U1328"/>
      <c r="V1328"/>
      <c r="W1328"/>
      <c r="X1328"/>
      <c r="Y1328"/>
      <c r="Z1328"/>
      <c r="AA1328"/>
      <c r="AB1328"/>
      <c r="AC1328"/>
      <c r="AD1328"/>
      <c r="AE1328"/>
      <c r="AF1328"/>
      <c r="AG1328"/>
      <c r="AH1328"/>
      <c r="AI1328"/>
      <c r="AJ1328"/>
      <c r="AK1328"/>
      <c r="AL1328"/>
      <c r="AM1328"/>
      <c r="AN1328"/>
      <c r="AO1328"/>
      <c r="AP1328"/>
      <c r="AQ1328"/>
      <c r="AR1328"/>
      <c r="AS1328"/>
      <c r="AT1328"/>
      <c r="AU1328"/>
      <c r="AV1328"/>
      <c r="AW1328"/>
      <c r="AX1328"/>
      <c r="AY1328"/>
      <c r="AZ1328"/>
      <c r="BA1328"/>
      <c r="BB1328"/>
      <c r="BC1328"/>
      <c r="BD1328"/>
      <c r="BE1328"/>
      <c r="BF1328"/>
      <c r="BG1328"/>
      <c r="BH1328"/>
      <c r="BI1328"/>
      <c r="BJ1328"/>
      <c r="BK1328"/>
      <c r="BL1328"/>
      <c r="BM1328"/>
      <c r="BN1328"/>
      <c r="BO1328"/>
      <c r="BP1328"/>
      <c r="BQ1328"/>
      <c r="BR1328"/>
      <c r="BS1328"/>
      <c r="BT1328"/>
      <c r="BU1328"/>
      <c r="BV1328"/>
      <c r="BW1328"/>
      <c r="BX1328"/>
      <c r="BY1328"/>
      <c r="BZ1328"/>
      <c r="CA1328"/>
      <c r="CB1328"/>
      <c r="CC1328"/>
      <c r="CD1328"/>
      <c r="CE1328"/>
      <c r="CF1328"/>
      <c r="CG1328"/>
      <c r="CH1328"/>
      <c r="CI1328"/>
      <c r="CJ1328"/>
      <c r="CK1328"/>
      <c r="CL1328"/>
      <c r="CM1328"/>
      <c r="CN1328"/>
      <c r="CO1328"/>
      <c r="CP1328"/>
      <c r="CQ1328"/>
      <c r="CR1328"/>
      <c r="CS1328"/>
      <c r="CT1328"/>
      <c r="CU1328"/>
      <c r="CV1328"/>
      <c r="CW1328"/>
      <c r="CX1328"/>
      <c r="CY1328"/>
      <c r="CZ1328"/>
      <c r="DA1328"/>
      <c r="DB1328"/>
      <c r="DC1328"/>
      <c r="DD1328"/>
      <c r="DE1328"/>
      <c r="DF1328"/>
      <c r="DG1328"/>
      <c r="DH1328"/>
      <c r="DI1328"/>
      <c r="DJ1328"/>
      <c r="DK1328"/>
      <c r="DL1328"/>
      <c r="DM1328"/>
      <c r="DN1328"/>
      <c r="DO1328"/>
      <c r="DP1328"/>
      <c r="DQ1328"/>
      <c r="DR1328"/>
      <c r="DS1328"/>
      <c r="DT1328"/>
      <c r="DU1328"/>
      <c r="DV1328"/>
      <c r="DW1328"/>
      <c r="DX1328"/>
      <c r="DY1328"/>
      <c r="DZ1328"/>
      <c r="EA1328"/>
      <c r="EB1328"/>
      <c r="EC1328"/>
      <c r="ED1328"/>
      <c r="EE1328"/>
      <c r="EF1328"/>
      <c r="EG1328"/>
      <c r="EH1328"/>
      <c r="EI1328"/>
      <c r="EJ1328"/>
      <c r="EK1328"/>
      <c r="EL1328"/>
      <c r="EM1328"/>
      <c r="EN1328"/>
      <c r="EO1328"/>
      <c r="EP1328"/>
      <c r="EQ1328"/>
      <c r="ER1328"/>
      <c r="ES1328"/>
    </row>
    <row r="1329" spans="1:149">
      <c r="A1329"/>
      <c r="B1329"/>
      <c r="C1329"/>
      <c r="D1329"/>
      <c r="E1329"/>
      <c r="F1329"/>
      <c r="G1329"/>
      <c r="H1329"/>
      <c r="I1329"/>
      <c r="J1329"/>
      <c r="K1329"/>
      <c r="L1329"/>
      <c r="M1329"/>
      <c r="N1329"/>
      <c r="O1329"/>
      <c r="P1329"/>
      <c r="Q1329"/>
      <c r="R1329"/>
      <c r="S1329"/>
      <c r="T1329"/>
      <c r="U1329"/>
      <c r="V1329"/>
      <c r="W1329"/>
      <c r="X1329"/>
      <c r="Y1329"/>
      <c r="Z1329"/>
      <c r="AA1329"/>
      <c r="AB1329"/>
      <c r="AC1329"/>
      <c r="AD1329"/>
      <c r="AE1329"/>
      <c r="AF1329"/>
      <c r="AG1329"/>
      <c r="AH1329"/>
      <c r="AI1329"/>
      <c r="AJ1329"/>
      <c r="AK1329"/>
      <c r="AL1329"/>
      <c r="AM1329"/>
      <c r="AN1329"/>
      <c r="AO1329"/>
      <c r="AP1329"/>
      <c r="AQ1329"/>
      <c r="AR1329"/>
      <c r="AS1329"/>
      <c r="AT1329"/>
      <c r="AU1329"/>
      <c r="AV1329"/>
      <c r="AW1329"/>
      <c r="AX1329"/>
      <c r="AY1329"/>
      <c r="AZ1329"/>
      <c r="BA1329"/>
      <c r="BB1329"/>
      <c r="BC1329"/>
      <c r="BD1329"/>
      <c r="BE1329"/>
      <c r="BF1329"/>
      <c r="BG1329"/>
      <c r="BH1329"/>
      <c r="BI1329"/>
      <c r="BJ1329"/>
      <c r="BK1329"/>
      <c r="BL1329"/>
      <c r="BM1329"/>
      <c r="BN1329"/>
      <c r="BO1329"/>
      <c r="BP1329"/>
      <c r="BQ1329"/>
      <c r="BR1329"/>
      <c r="BS1329"/>
      <c r="BT1329"/>
      <c r="BU1329"/>
      <c r="BV1329"/>
      <c r="BW1329"/>
      <c r="BX1329"/>
      <c r="BY1329"/>
      <c r="BZ1329"/>
      <c r="CA1329"/>
      <c r="CB1329"/>
      <c r="CC1329"/>
      <c r="CD1329"/>
      <c r="CE1329"/>
      <c r="CF1329"/>
      <c r="CG1329"/>
      <c r="CH1329"/>
      <c r="CI1329"/>
      <c r="CJ1329"/>
      <c r="CK1329"/>
      <c r="CL1329"/>
      <c r="CM1329"/>
      <c r="CN1329"/>
      <c r="CO1329"/>
      <c r="CP1329"/>
      <c r="CQ1329"/>
      <c r="CR1329"/>
      <c r="CS1329"/>
      <c r="CT1329"/>
      <c r="CU1329"/>
      <c r="CV1329"/>
      <c r="CW1329"/>
      <c r="CX1329"/>
      <c r="CY1329"/>
      <c r="CZ1329"/>
      <c r="DA1329"/>
      <c r="DB1329"/>
      <c r="DC1329"/>
      <c r="DD1329"/>
      <c r="DE1329"/>
      <c r="DF1329"/>
      <c r="DG1329"/>
      <c r="DH1329"/>
      <c r="DI1329"/>
      <c r="DJ1329"/>
      <c r="DK1329"/>
      <c r="DL1329"/>
      <c r="DM1329"/>
      <c r="DN1329"/>
      <c r="DO1329"/>
      <c r="DP1329"/>
      <c r="DQ1329"/>
      <c r="DR1329"/>
      <c r="DS1329"/>
      <c r="DT1329"/>
      <c r="DU1329"/>
      <c r="DV1329"/>
      <c r="DW1329"/>
      <c r="DX1329"/>
      <c r="DY1329"/>
      <c r="DZ1329"/>
      <c r="EA1329"/>
      <c r="EB1329"/>
      <c r="EC1329"/>
      <c r="ED1329"/>
      <c r="EE1329"/>
      <c r="EF1329"/>
      <c r="EG1329"/>
      <c r="EH1329"/>
      <c r="EI1329"/>
      <c r="EJ1329"/>
      <c r="EK1329"/>
      <c r="EL1329"/>
      <c r="EM1329"/>
      <c r="EN1329"/>
      <c r="EO1329"/>
      <c r="EP1329"/>
      <c r="EQ1329"/>
      <c r="ER1329"/>
      <c r="ES1329"/>
    </row>
    <row r="1330" spans="1:149">
      <c r="A1330"/>
      <c r="B1330"/>
      <c r="C1330"/>
      <c r="D1330"/>
      <c r="E1330"/>
      <c r="F1330"/>
      <c r="G1330"/>
      <c r="H1330"/>
      <c r="I1330"/>
      <c r="J1330"/>
      <c r="K1330"/>
      <c r="L1330"/>
      <c r="M1330"/>
      <c r="N1330"/>
      <c r="O1330"/>
      <c r="P1330"/>
      <c r="Q1330"/>
      <c r="R1330"/>
      <c r="S1330"/>
      <c r="T1330"/>
      <c r="U1330"/>
      <c r="V1330"/>
      <c r="W1330"/>
      <c r="X1330"/>
      <c r="Y1330"/>
      <c r="Z1330"/>
      <c r="AA1330"/>
      <c r="AB1330"/>
      <c r="AC1330"/>
      <c r="AD1330"/>
      <c r="AE1330"/>
      <c r="AF1330"/>
      <c r="AG1330"/>
      <c r="AH1330"/>
      <c r="AI1330"/>
      <c r="AJ1330"/>
      <c r="AK1330"/>
      <c r="AL1330"/>
      <c r="AM1330"/>
      <c r="AN1330"/>
      <c r="AO1330"/>
      <c r="AP1330"/>
      <c r="AQ1330"/>
      <c r="AR1330"/>
      <c r="AS1330"/>
      <c r="AT1330"/>
      <c r="AU1330"/>
      <c r="AV1330"/>
      <c r="AW1330"/>
      <c r="AX1330"/>
      <c r="AY1330"/>
      <c r="AZ1330"/>
      <c r="BA1330"/>
      <c r="BB1330"/>
      <c r="BC1330"/>
      <c r="BD1330"/>
      <c r="BE1330"/>
      <c r="BF1330"/>
      <c r="BG1330"/>
      <c r="BH1330"/>
      <c r="BI1330"/>
      <c r="BJ1330"/>
      <c r="BK1330"/>
      <c r="BL1330"/>
      <c r="BM1330"/>
      <c r="BN1330"/>
      <c r="BO1330"/>
      <c r="BP1330"/>
      <c r="BQ1330"/>
      <c r="BR1330"/>
      <c r="BS1330"/>
      <c r="BT1330"/>
      <c r="BU1330"/>
      <c r="BV1330"/>
      <c r="BW1330"/>
      <c r="BX1330"/>
      <c r="BY1330"/>
      <c r="BZ1330"/>
      <c r="CA1330"/>
      <c r="CB1330"/>
      <c r="CC1330"/>
      <c r="CD1330"/>
      <c r="CE1330"/>
      <c r="CF1330"/>
      <c r="CG1330"/>
      <c r="CH1330"/>
      <c r="CI1330"/>
      <c r="CJ1330"/>
      <c r="CK1330"/>
      <c r="CL1330"/>
      <c r="CM1330"/>
      <c r="CN1330"/>
      <c r="CO1330"/>
      <c r="CP1330"/>
      <c r="CQ1330"/>
      <c r="CR1330"/>
      <c r="CS1330"/>
      <c r="CT1330"/>
      <c r="CU1330"/>
      <c r="CV1330"/>
      <c r="CW1330"/>
      <c r="CX1330"/>
      <c r="CY1330"/>
      <c r="CZ1330"/>
      <c r="DA1330"/>
      <c r="DB1330"/>
      <c r="DC1330"/>
      <c r="DD1330"/>
      <c r="DE1330"/>
      <c r="DF1330"/>
      <c r="DG1330"/>
      <c r="DH1330"/>
      <c r="DI1330"/>
      <c r="DJ1330"/>
      <c r="DK1330"/>
      <c r="DL1330"/>
      <c r="DM1330"/>
      <c r="DN1330"/>
      <c r="DO1330"/>
      <c r="DP1330"/>
      <c r="DQ1330"/>
      <c r="DR1330"/>
      <c r="DS1330"/>
      <c r="DT1330"/>
      <c r="DU1330"/>
      <c r="DV1330"/>
      <c r="DW1330"/>
      <c r="DX1330"/>
      <c r="DY1330"/>
      <c r="DZ1330"/>
      <c r="EA1330"/>
      <c r="EB1330"/>
      <c r="EC1330"/>
      <c r="ED1330"/>
      <c r="EE1330"/>
      <c r="EF1330"/>
      <c r="EG1330"/>
      <c r="EH1330"/>
      <c r="EI1330"/>
      <c r="EJ1330"/>
      <c r="EK1330"/>
      <c r="EL1330"/>
      <c r="EM1330"/>
      <c r="EN1330"/>
      <c r="EO1330"/>
      <c r="EP1330"/>
      <c r="EQ1330"/>
      <c r="ER1330"/>
      <c r="ES1330"/>
    </row>
    <row r="1331" spans="1:149">
      <c r="A1331"/>
      <c r="B1331"/>
      <c r="C1331"/>
      <c r="D1331"/>
      <c r="E1331"/>
      <c r="F1331"/>
      <c r="G1331"/>
      <c r="H1331"/>
      <c r="I1331"/>
      <c r="J1331"/>
      <c r="K1331"/>
      <c r="L1331"/>
      <c r="M1331"/>
      <c r="N1331"/>
      <c r="O1331"/>
      <c r="P1331"/>
      <c r="Q1331"/>
      <c r="R1331"/>
      <c r="S1331"/>
      <c r="T1331"/>
      <c r="U1331"/>
      <c r="V1331"/>
      <c r="W1331"/>
      <c r="X1331"/>
      <c r="Y1331"/>
      <c r="Z1331"/>
      <c r="AA1331"/>
      <c r="AB1331"/>
      <c r="AC1331"/>
      <c r="AD1331"/>
      <c r="AE1331"/>
      <c r="AF1331"/>
      <c r="AG1331"/>
      <c r="AH1331"/>
      <c r="AI1331"/>
      <c r="AJ1331"/>
      <c r="AK1331"/>
      <c r="AL1331"/>
      <c r="AM1331"/>
      <c r="AN1331"/>
      <c r="AO1331"/>
      <c r="AP1331"/>
      <c r="AQ1331"/>
      <c r="AR1331"/>
      <c r="AS1331"/>
      <c r="AT1331"/>
      <c r="AU1331"/>
      <c r="AV1331"/>
      <c r="AW1331"/>
      <c r="AX1331"/>
      <c r="AY1331"/>
      <c r="AZ1331"/>
      <c r="BA1331"/>
      <c r="BB1331"/>
      <c r="BC1331"/>
      <c r="BD1331"/>
      <c r="BE1331"/>
      <c r="BF1331"/>
      <c r="BG1331"/>
      <c r="BH1331"/>
      <c r="BI1331"/>
      <c r="BJ1331"/>
      <c r="BK1331"/>
      <c r="BL1331"/>
      <c r="BM1331"/>
      <c r="BN1331"/>
      <c r="BO1331"/>
      <c r="BP1331"/>
      <c r="BQ1331"/>
      <c r="BR1331"/>
      <c r="BS1331"/>
      <c r="BT1331"/>
      <c r="BU1331"/>
      <c r="BV1331"/>
      <c r="BW1331"/>
      <c r="BX1331"/>
      <c r="BY1331"/>
      <c r="BZ1331"/>
      <c r="CA1331"/>
      <c r="CB1331"/>
      <c r="CC1331"/>
      <c r="CD1331"/>
      <c r="CE1331"/>
      <c r="CF1331"/>
      <c r="CG1331"/>
      <c r="CH1331"/>
      <c r="CI1331"/>
      <c r="CJ1331"/>
      <c r="CK1331"/>
      <c r="CL1331"/>
      <c r="CM1331"/>
      <c r="CN1331"/>
      <c r="CO1331"/>
      <c r="CP1331"/>
      <c r="CQ1331"/>
      <c r="CR1331"/>
      <c r="CS1331"/>
      <c r="CT1331"/>
      <c r="CU1331"/>
      <c r="CV1331"/>
      <c r="CW1331"/>
      <c r="CX1331"/>
      <c r="CY1331"/>
      <c r="CZ1331"/>
      <c r="DA1331"/>
      <c r="DB1331"/>
      <c r="DC1331"/>
      <c r="DD1331"/>
      <c r="DE1331"/>
      <c r="DF1331"/>
      <c r="DG1331"/>
      <c r="DH1331"/>
      <c r="DI1331"/>
      <c r="DJ1331"/>
      <c r="DK1331"/>
      <c r="DL1331"/>
      <c r="DM1331"/>
      <c r="DN1331"/>
      <c r="DO1331"/>
      <c r="DP1331"/>
      <c r="DQ1331"/>
      <c r="DR1331"/>
      <c r="DS1331"/>
      <c r="DT1331"/>
      <c r="DU1331"/>
      <c r="DV1331"/>
      <c r="DW1331"/>
      <c r="DX1331"/>
      <c r="DY1331"/>
      <c r="DZ1331"/>
      <c r="EA1331"/>
      <c r="EB1331"/>
      <c r="EC1331"/>
      <c r="ED1331"/>
      <c r="EE1331"/>
      <c r="EF1331"/>
      <c r="EG1331"/>
      <c r="EH1331"/>
      <c r="EI1331"/>
      <c r="EJ1331"/>
      <c r="EK1331"/>
      <c r="EL1331"/>
      <c r="EM1331"/>
      <c r="EN1331"/>
      <c r="EO1331"/>
      <c r="EP1331"/>
      <c r="EQ1331"/>
      <c r="ER1331"/>
      <c r="ES1331"/>
    </row>
    <row r="1332" spans="1:149">
      <c r="A1332"/>
      <c r="B1332"/>
      <c r="C1332"/>
      <c r="D1332"/>
      <c r="E1332"/>
      <c r="F1332"/>
      <c r="G1332"/>
      <c r="H1332"/>
      <c r="I1332"/>
      <c r="J1332"/>
      <c r="K1332"/>
      <c r="L1332"/>
      <c r="M1332"/>
      <c r="N1332"/>
      <c r="O1332"/>
      <c r="P1332"/>
      <c r="Q1332"/>
      <c r="R1332"/>
      <c r="S1332"/>
      <c r="T1332"/>
      <c r="U1332"/>
      <c r="V1332"/>
      <c r="W1332"/>
      <c r="X1332"/>
      <c r="Y1332"/>
      <c r="Z1332"/>
      <c r="AA1332"/>
      <c r="AB1332"/>
      <c r="AC1332"/>
      <c r="AD1332"/>
      <c r="AE1332"/>
      <c r="AF1332"/>
      <c r="AG1332"/>
      <c r="AH1332"/>
      <c r="AI1332"/>
      <c r="AJ1332"/>
      <c r="AK1332"/>
      <c r="AL1332"/>
      <c r="AM1332"/>
      <c r="AN1332"/>
      <c r="AO1332"/>
      <c r="AP1332"/>
      <c r="AQ1332"/>
      <c r="AR1332"/>
      <c r="AS1332"/>
      <c r="AT1332"/>
      <c r="AU1332"/>
      <c r="AV1332"/>
      <c r="AW1332"/>
      <c r="AX1332"/>
      <c r="AY1332"/>
      <c r="AZ1332"/>
      <c r="BA1332"/>
      <c r="BB1332"/>
      <c r="BC1332"/>
      <c r="BD1332"/>
      <c r="BE1332"/>
      <c r="BF1332"/>
      <c r="BG1332"/>
      <c r="BH1332"/>
      <c r="BI1332"/>
      <c r="BJ1332"/>
      <c r="BK1332"/>
      <c r="BL1332"/>
      <c r="BM1332"/>
      <c r="BN1332"/>
      <c r="BO1332"/>
      <c r="BP1332"/>
      <c r="BQ1332"/>
      <c r="BR1332"/>
      <c r="BS1332"/>
      <c r="BT1332"/>
      <c r="BU1332"/>
      <c r="BV1332"/>
      <c r="BW1332"/>
      <c r="BX1332"/>
      <c r="BY1332"/>
      <c r="BZ1332"/>
      <c r="CA1332"/>
      <c r="CB1332"/>
      <c r="CC1332"/>
      <c r="CD1332"/>
      <c r="CE1332"/>
      <c r="CF1332"/>
      <c r="CG1332"/>
      <c r="CH1332"/>
      <c r="CI1332"/>
      <c r="CJ1332"/>
      <c r="CK1332"/>
      <c r="CL1332"/>
      <c r="CM1332"/>
      <c r="CN1332"/>
      <c r="CO1332"/>
      <c r="CP1332"/>
      <c r="CQ1332"/>
      <c r="CR1332"/>
      <c r="CS1332"/>
      <c r="CT1332"/>
      <c r="CU1332"/>
      <c r="CV1332"/>
      <c r="CW1332"/>
      <c r="CX1332"/>
      <c r="CY1332"/>
      <c r="CZ1332"/>
      <c r="DA1332"/>
      <c r="DB1332"/>
      <c r="DC1332"/>
      <c r="DD1332"/>
      <c r="DE1332"/>
      <c r="DF1332"/>
      <c r="DG1332"/>
      <c r="DH1332"/>
      <c r="DI1332"/>
      <c r="DJ1332"/>
      <c r="DK1332"/>
      <c r="DL1332"/>
      <c r="DM1332"/>
      <c r="DN1332"/>
      <c r="DO1332"/>
      <c r="DP1332"/>
      <c r="DQ1332"/>
      <c r="DR1332"/>
      <c r="DS1332"/>
      <c r="DT1332"/>
      <c r="DU1332"/>
      <c r="DV1332"/>
      <c r="DW1332"/>
      <c r="DX1332"/>
      <c r="DY1332"/>
      <c r="DZ1332"/>
      <c r="EA1332"/>
      <c r="EB1332"/>
      <c r="EC1332"/>
      <c r="ED1332"/>
      <c r="EE1332"/>
      <c r="EF1332"/>
      <c r="EG1332"/>
      <c r="EH1332"/>
      <c r="EI1332"/>
      <c r="EJ1332"/>
      <c r="EK1332"/>
      <c r="EL1332"/>
      <c r="EM1332"/>
      <c r="EN1332"/>
      <c r="EO1332"/>
      <c r="EP1332"/>
      <c r="EQ1332"/>
      <c r="ER1332"/>
      <c r="ES1332"/>
    </row>
    <row r="1333" spans="1:149">
      <c r="A1333"/>
      <c r="B1333"/>
      <c r="C1333"/>
      <c r="D1333"/>
      <c r="E1333"/>
      <c r="F1333"/>
      <c r="G1333"/>
      <c r="H1333"/>
      <c r="I1333"/>
      <c r="J1333"/>
      <c r="K1333"/>
      <c r="L1333"/>
      <c r="M1333"/>
      <c r="N1333"/>
      <c r="O1333"/>
      <c r="P1333"/>
      <c r="Q1333"/>
      <c r="R1333"/>
      <c r="S1333"/>
      <c r="T1333"/>
      <c r="U1333"/>
      <c r="V1333"/>
      <c r="W1333"/>
      <c r="X1333"/>
      <c r="Y1333"/>
      <c r="Z1333"/>
      <c r="AA1333"/>
      <c r="AB1333"/>
      <c r="AC1333"/>
      <c r="AD1333"/>
      <c r="AE1333"/>
      <c r="AF1333"/>
      <c r="AG1333"/>
      <c r="AH1333"/>
      <c r="AI1333"/>
      <c r="AJ1333"/>
      <c r="AK1333"/>
      <c r="AL1333"/>
      <c r="AM1333"/>
      <c r="AN1333"/>
      <c r="AO1333"/>
      <c r="AP1333"/>
      <c r="AQ1333"/>
      <c r="AR1333"/>
      <c r="AS1333"/>
      <c r="AT1333"/>
      <c r="AU1333"/>
      <c r="AV1333"/>
      <c r="AW1333"/>
      <c r="AX1333"/>
      <c r="AY1333"/>
      <c r="AZ1333"/>
      <c r="BA1333"/>
      <c r="BB1333"/>
      <c r="BC1333"/>
      <c r="BD1333"/>
      <c r="BE1333"/>
      <c r="BF1333"/>
      <c r="BG1333"/>
      <c r="BH1333"/>
      <c r="BI1333"/>
      <c r="BJ1333"/>
      <c r="BK1333"/>
      <c r="BL1333"/>
      <c r="BM1333"/>
      <c r="BN1333"/>
      <c r="BO1333"/>
      <c r="BP1333"/>
      <c r="BQ1333"/>
      <c r="BR1333"/>
      <c r="BS1333"/>
      <c r="BT1333"/>
      <c r="BU1333"/>
      <c r="BV1333"/>
      <c r="BW1333"/>
      <c r="BX1333"/>
      <c r="BY1333"/>
      <c r="BZ1333"/>
      <c r="CA1333"/>
      <c r="CB1333"/>
      <c r="CC1333"/>
      <c r="CD1333"/>
      <c r="CE1333"/>
      <c r="CF1333"/>
      <c r="CG1333"/>
      <c r="CH1333"/>
      <c r="CI1333"/>
      <c r="CJ1333"/>
      <c r="CK1333"/>
      <c r="CL1333"/>
      <c r="CM1333"/>
      <c r="CN1333"/>
      <c r="CO1333"/>
      <c r="CP1333"/>
      <c r="CQ1333"/>
      <c r="CR1333"/>
      <c r="CS1333"/>
      <c r="CT1333"/>
      <c r="CU1333"/>
      <c r="CV1333"/>
      <c r="CW1333"/>
      <c r="CX1333"/>
      <c r="CY1333"/>
      <c r="CZ1333"/>
      <c r="DA1333"/>
      <c r="DB1333"/>
      <c r="DC1333"/>
      <c r="DD1333"/>
      <c r="DE1333"/>
      <c r="DF1333"/>
      <c r="DG1333"/>
      <c r="DH1333"/>
      <c r="DI1333"/>
      <c r="DJ1333"/>
      <c r="DK1333"/>
      <c r="DL1333"/>
      <c r="DM1333"/>
      <c r="DN1333"/>
      <c r="DO1333"/>
      <c r="DP1333"/>
      <c r="DQ1333"/>
      <c r="DR1333"/>
      <c r="DS1333"/>
      <c r="DT1333"/>
      <c r="DU1333"/>
      <c r="DV1333"/>
      <c r="DW1333"/>
      <c r="DX1333"/>
      <c r="DY1333"/>
      <c r="DZ1333"/>
      <c r="EA1333"/>
      <c r="EB1333"/>
      <c r="EC1333"/>
      <c r="ED1333"/>
      <c r="EE1333"/>
      <c r="EF1333"/>
      <c r="EG1333"/>
      <c r="EH1333"/>
      <c r="EI1333"/>
      <c r="EJ1333"/>
      <c r="EK1333"/>
      <c r="EL1333"/>
      <c r="EM1333"/>
      <c r="EN1333"/>
      <c r="EO1333"/>
      <c r="EP1333"/>
      <c r="EQ1333"/>
      <c r="ER1333"/>
      <c r="ES1333"/>
    </row>
    <row r="1334" spans="1:149">
      <c r="A1334"/>
      <c r="B1334"/>
      <c r="C1334"/>
      <c r="D1334"/>
      <c r="E1334"/>
      <c r="F1334"/>
      <c r="G1334"/>
      <c r="H1334"/>
      <c r="I1334"/>
      <c r="J1334"/>
      <c r="K1334"/>
      <c r="L1334"/>
      <c r="M1334"/>
      <c r="N1334"/>
      <c r="O1334"/>
      <c r="P1334"/>
      <c r="Q1334"/>
      <c r="R1334"/>
      <c r="S1334"/>
      <c r="T1334"/>
      <c r="U1334"/>
      <c r="V1334"/>
      <c r="W1334"/>
      <c r="X1334"/>
      <c r="Y1334"/>
      <c r="Z1334"/>
      <c r="AA1334"/>
      <c r="AB1334"/>
      <c r="AC1334"/>
      <c r="AD1334"/>
      <c r="AE1334"/>
      <c r="AF1334"/>
      <c r="AG1334"/>
      <c r="AH1334"/>
      <c r="AI1334"/>
      <c r="AJ1334"/>
      <c r="AK1334"/>
      <c r="AL1334"/>
      <c r="AM1334"/>
      <c r="AN1334"/>
      <c r="AO1334"/>
      <c r="AP1334"/>
      <c r="AQ1334"/>
      <c r="AR1334"/>
      <c r="AS1334"/>
      <c r="AT1334"/>
      <c r="AU1334"/>
      <c r="AV1334"/>
      <c r="AW1334"/>
      <c r="AX1334"/>
      <c r="AY1334"/>
      <c r="AZ1334"/>
      <c r="BA1334"/>
      <c r="BB1334"/>
      <c r="BC1334"/>
      <c r="BD1334"/>
      <c r="BE1334"/>
      <c r="BF1334"/>
      <c r="BG1334"/>
      <c r="BH1334"/>
      <c r="BI1334"/>
      <c r="BJ1334"/>
      <c r="BK1334"/>
      <c r="BL1334"/>
      <c r="BM1334"/>
      <c r="BN1334"/>
      <c r="BO1334"/>
      <c r="BP1334"/>
      <c r="BQ1334"/>
      <c r="BR1334"/>
      <c r="BS1334"/>
      <c r="BT1334"/>
      <c r="BU1334"/>
      <c r="BV1334"/>
      <c r="BW1334"/>
      <c r="BX1334"/>
      <c r="BY1334"/>
      <c r="BZ1334"/>
      <c r="CA1334"/>
      <c r="CB1334"/>
      <c r="CC1334"/>
      <c r="CD1334"/>
      <c r="CE1334"/>
      <c r="CF1334"/>
      <c r="CG1334"/>
      <c r="CH1334"/>
      <c r="CI1334"/>
      <c r="CJ1334"/>
      <c r="CK1334"/>
      <c r="CL1334"/>
      <c r="CM1334"/>
      <c r="CN1334"/>
      <c r="CO1334"/>
      <c r="CP1334"/>
      <c r="CQ1334"/>
      <c r="CR1334"/>
      <c r="CS1334"/>
      <c r="CT1334"/>
      <c r="CU1334"/>
      <c r="CV1334"/>
      <c r="CW1334"/>
      <c r="CX1334"/>
      <c r="CY1334"/>
      <c r="CZ1334"/>
      <c r="DA1334"/>
      <c r="DB1334"/>
      <c r="DC1334"/>
      <c r="DD1334"/>
      <c r="DE1334"/>
      <c r="DF1334"/>
      <c r="DG1334"/>
      <c r="DH1334"/>
      <c r="DI1334"/>
      <c r="DJ1334"/>
      <c r="DK1334"/>
      <c r="DL1334"/>
      <c r="DM1334"/>
      <c r="DN1334"/>
      <c r="DO1334"/>
      <c r="DP1334"/>
      <c r="DQ1334"/>
      <c r="DR1334"/>
      <c r="DS1334"/>
      <c r="DT1334"/>
      <c r="DU1334"/>
      <c r="DV1334"/>
      <c r="DW1334"/>
      <c r="DX1334"/>
      <c r="DY1334"/>
      <c r="DZ1334"/>
      <c r="EA1334"/>
      <c r="EB1334"/>
      <c r="EC1334"/>
      <c r="ED1334"/>
      <c r="EE1334"/>
      <c r="EF1334"/>
      <c r="EG1334"/>
      <c r="EH1334"/>
      <c r="EI1334"/>
      <c r="EJ1334"/>
      <c r="EK1334"/>
      <c r="EL1334"/>
      <c r="EM1334"/>
      <c r="EN1334"/>
      <c r="EO1334"/>
      <c r="EP1334"/>
      <c r="EQ1334"/>
      <c r="ER1334"/>
      <c r="ES1334"/>
    </row>
    <row r="1335" spans="1:149">
      <c r="A1335"/>
      <c r="B1335"/>
      <c r="C1335"/>
      <c r="D1335"/>
      <c r="E1335"/>
      <c r="F1335"/>
      <c r="G1335"/>
      <c r="H1335"/>
      <c r="I1335"/>
      <c r="J1335"/>
      <c r="K1335"/>
      <c r="L1335"/>
      <c r="M1335"/>
      <c r="N1335"/>
      <c r="O1335"/>
      <c r="P1335"/>
      <c r="Q1335"/>
      <c r="R1335"/>
      <c r="S1335"/>
      <c r="T1335"/>
      <c r="U1335"/>
      <c r="V1335"/>
      <c r="W1335"/>
      <c r="X1335"/>
      <c r="Y1335"/>
      <c r="Z1335"/>
      <c r="AA1335"/>
      <c r="AB1335"/>
      <c r="AC1335"/>
      <c r="AD1335"/>
      <c r="AE1335"/>
      <c r="AF1335"/>
      <c r="AG1335"/>
      <c r="AH1335"/>
      <c r="AI1335"/>
      <c r="AJ1335"/>
      <c r="AK1335"/>
      <c r="AL1335"/>
      <c r="AM1335"/>
      <c r="AN1335"/>
      <c r="AO1335"/>
      <c r="AP1335"/>
      <c r="AQ1335"/>
      <c r="AR1335"/>
      <c r="AS1335"/>
      <c r="AT1335"/>
      <c r="AU1335"/>
      <c r="AV1335"/>
      <c r="AW1335"/>
      <c r="AX1335"/>
      <c r="AY1335"/>
      <c r="AZ1335"/>
      <c r="BA1335"/>
      <c r="BB1335"/>
      <c r="BC1335"/>
      <c r="BD1335"/>
      <c r="BE1335"/>
      <c r="BF1335"/>
      <c r="BG1335"/>
      <c r="BH1335"/>
      <c r="BI1335"/>
      <c r="BJ1335"/>
      <c r="BK1335"/>
      <c r="BL1335"/>
      <c r="BM1335"/>
      <c r="BN1335"/>
      <c r="BO1335"/>
      <c r="BP1335"/>
      <c r="BQ1335"/>
      <c r="BR1335"/>
      <c r="BS1335"/>
      <c r="BT1335"/>
      <c r="BU1335"/>
      <c r="BV1335"/>
      <c r="BW1335"/>
      <c r="BX1335"/>
      <c r="BY1335"/>
      <c r="BZ1335"/>
      <c r="CA1335"/>
      <c r="CB1335"/>
      <c r="CC1335"/>
      <c r="CD1335"/>
      <c r="CE1335"/>
      <c r="CF1335"/>
      <c r="CG1335"/>
      <c r="CH1335"/>
      <c r="CI1335"/>
      <c r="CJ1335"/>
      <c r="CK1335"/>
      <c r="CL1335"/>
      <c r="CM1335"/>
      <c r="CN1335"/>
      <c r="CO1335"/>
      <c r="CP1335"/>
      <c r="CQ1335"/>
      <c r="CR1335"/>
      <c r="CS1335"/>
      <c r="CT1335"/>
      <c r="CU1335"/>
      <c r="CV1335"/>
      <c r="CW1335"/>
      <c r="CX1335"/>
      <c r="CY1335"/>
      <c r="CZ1335"/>
      <c r="DA1335"/>
      <c r="DB1335"/>
      <c r="DC1335"/>
      <c r="DD1335"/>
      <c r="DE1335"/>
      <c r="DF1335"/>
      <c r="DG1335"/>
      <c r="DH1335"/>
      <c r="DI1335"/>
      <c r="DJ1335"/>
      <c r="DK1335"/>
      <c r="DL1335"/>
      <c r="DM1335"/>
      <c r="DN1335"/>
      <c r="DO1335"/>
      <c r="DP1335"/>
      <c r="DQ1335"/>
      <c r="DR1335"/>
      <c r="DS1335"/>
      <c r="DT1335"/>
      <c r="DU1335"/>
      <c r="DV1335"/>
      <c r="DW1335"/>
      <c r="DX1335"/>
      <c r="DY1335"/>
      <c r="DZ1335"/>
      <c r="EA1335"/>
      <c r="EB1335"/>
      <c r="EC1335"/>
      <c r="ED1335"/>
      <c r="EE1335"/>
      <c r="EF1335"/>
      <c r="EG1335"/>
      <c r="EH1335"/>
      <c r="EI1335"/>
      <c r="EJ1335"/>
      <c r="EK1335"/>
      <c r="EL1335"/>
      <c r="EM1335"/>
      <c r="EN1335"/>
      <c r="EO1335"/>
      <c r="EP1335"/>
      <c r="EQ1335"/>
      <c r="ER1335"/>
      <c r="ES1335"/>
    </row>
    <row r="1336" spans="1:149">
      <c r="A1336"/>
      <c r="B1336"/>
      <c r="C1336"/>
      <c r="D1336"/>
      <c r="E1336"/>
      <c r="F1336"/>
      <c r="G1336"/>
      <c r="H1336"/>
      <c r="I1336"/>
      <c r="J1336"/>
      <c r="K1336"/>
      <c r="L1336"/>
      <c r="M1336"/>
      <c r="N1336"/>
      <c r="O1336"/>
      <c r="P1336"/>
      <c r="Q1336"/>
      <c r="R1336"/>
      <c r="S1336"/>
      <c r="T1336"/>
      <c r="U1336"/>
      <c r="V1336"/>
      <c r="W1336"/>
      <c r="X1336"/>
      <c r="Y1336"/>
      <c r="Z1336"/>
      <c r="AA1336"/>
      <c r="AB1336"/>
      <c r="AC1336"/>
      <c r="AD1336"/>
      <c r="AE1336"/>
      <c r="AF1336"/>
      <c r="AG1336"/>
      <c r="AH1336"/>
      <c r="AI1336"/>
      <c r="AJ1336"/>
      <c r="AK1336"/>
      <c r="AL1336"/>
      <c r="AM1336"/>
      <c r="AN1336"/>
      <c r="AO1336"/>
      <c r="AP1336"/>
      <c r="AQ1336"/>
      <c r="AR1336"/>
      <c r="AS1336"/>
      <c r="AT1336"/>
      <c r="AU1336"/>
      <c r="AV1336"/>
      <c r="AW1336"/>
      <c r="AX1336"/>
      <c r="AY1336"/>
      <c r="AZ1336"/>
      <c r="BA1336"/>
      <c r="BB1336"/>
      <c r="BC1336"/>
      <c r="BD1336"/>
      <c r="BE1336"/>
      <c r="BF1336"/>
      <c r="BG1336"/>
      <c r="BH1336"/>
      <c r="BI1336"/>
      <c r="BJ1336"/>
      <c r="BK1336"/>
      <c r="BL1336"/>
      <c r="BM1336"/>
      <c r="BN1336"/>
      <c r="BO1336"/>
      <c r="BP1336"/>
      <c r="BQ1336"/>
      <c r="BR1336"/>
      <c r="BS1336"/>
      <c r="BT1336"/>
      <c r="BU1336"/>
      <c r="BV1336"/>
      <c r="BW1336"/>
      <c r="BX1336"/>
      <c r="BY1336"/>
      <c r="BZ1336"/>
      <c r="CA1336"/>
      <c r="CB1336"/>
      <c r="CC1336"/>
      <c r="CD1336"/>
      <c r="CE1336"/>
      <c r="CF1336"/>
      <c r="CG1336"/>
      <c r="CH1336"/>
      <c r="CI1336"/>
      <c r="CJ1336"/>
      <c r="CK1336"/>
      <c r="CL1336"/>
      <c r="CM1336"/>
      <c r="CN1336"/>
      <c r="CO1336"/>
      <c r="CP1336"/>
      <c r="CQ1336"/>
      <c r="CR1336"/>
      <c r="CS1336"/>
      <c r="CT1336"/>
      <c r="CU1336"/>
      <c r="CV1336"/>
      <c r="CW1336"/>
      <c r="CX1336"/>
      <c r="CY1336"/>
      <c r="CZ1336"/>
      <c r="DA1336"/>
      <c r="DB1336"/>
      <c r="DC1336"/>
      <c r="DD1336"/>
      <c r="DE1336"/>
      <c r="DF1336"/>
      <c r="DG1336"/>
      <c r="DH1336"/>
      <c r="DI1336"/>
      <c r="DJ1336"/>
      <c r="DK1336"/>
      <c r="DL1336"/>
      <c r="DM1336"/>
      <c r="DN1336"/>
      <c r="DO1336"/>
      <c r="DP1336"/>
      <c r="DQ1336"/>
      <c r="DR1336"/>
      <c r="DS1336"/>
      <c r="DT1336"/>
      <c r="DU1336"/>
      <c r="DV1336"/>
      <c r="DW1336"/>
      <c r="DX1336"/>
      <c r="DY1336"/>
      <c r="DZ1336"/>
      <c r="EA1336"/>
      <c r="EB1336"/>
      <c r="EC1336"/>
      <c r="ED1336"/>
      <c r="EE1336"/>
      <c r="EF1336"/>
      <c r="EG1336"/>
      <c r="EH1336"/>
      <c r="EI1336"/>
      <c r="EJ1336"/>
      <c r="EK1336"/>
      <c r="EL1336"/>
      <c r="EM1336"/>
      <c r="EN1336"/>
      <c r="EO1336"/>
      <c r="EP1336"/>
      <c r="EQ1336"/>
      <c r="ER1336"/>
      <c r="ES1336"/>
    </row>
    <row r="1337" spans="1:149">
      <c r="A1337"/>
      <c r="B1337"/>
      <c r="C1337"/>
      <c r="D1337"/>
      <c r="E1337"/>
      <c r="F1337"/>
      <c r="G1337"/>
      <c r="H1337"/>
      <c r="I1337"/>
      <c r="J1337"/>
      <c r="K1337"/>
      <c r="L1337"/>
      <c r="M1337"/>
      <c r="N1337"/>
      <c r="O1337"/>
      <c r="P1337"/>
      <c r="Q1337"/>
      <c r="R1337"/>
      <c r="S1337"/>
      <c r="T1337"/>
      <c r="U1337"/>
      <c r="V1337"/>
      <c r="W1337"/>
      <c r="X1337"/>
      <c r="Y1337"/>
      <c r="Z1337"/>
      <c r="AA1337"/>
      <c r="AB1337"/>
      <c r="AC1337"/>
      <c r="AD1337"/>
      <c r="AE1337"/>
      <c r="AF1337"/>
      <c r="AG1337"/>
      <c r="AH1337"/>
      <c r="AI1337"/>
      <c r="AJ1337"/>
      <c r="AK1337"/>
      <c r="AL1337"/>
      <c r="AM1337"/>
      <c r="AN1337"/>
      <c r="AO1337"/>
      <c r="AP1337"/>
      <c r="AQ1337"/>
      <c r="AR1337"/>
      <c r="AS1337"/>
      <c r="AT1337"/>
      <c r="AU1337"/>
      <c r="AV1337"/>
      <c r="AW1337"/>
      <c r="AX1337"/>
      <c r="AY1337"/>
      <c r="AZ1337"/>
      <c r="BA1337"/>
      <c r="BB1337"/>
      <c r="BC1337"/>
      <c r="BD1337"/>
      <c r="BE1337"/>
      <c r="BF1337"/>
      <c r="BG1337"/>
      <c r="BH1337"/>
      <c r="BI1337"/>
      <c r="BJ1337"/>
      <c r="BK1337"/>
      <c r="BL1337"/>
      <c r="BM1337"/>
      <c r="BN1337"/>
      <c r="BO1337"/>
      <c r="BP1337"/>
      <c r="BQ1337"/>
      <c r="BR1337"/>
      <c r="BS1337"/>
      <c r="BT1337"/>
      <c r="BU1337"/>
      <c r="BV1337"/>
      <c r="BW1337"/>
      <c r="BX1337"/>
      <c r="BY1337"/>
      <c r="BZ1337"/>
      <c r="CA1337"/>
      <c r="CB1337"/>
      <c r="CC1337"/>
      <c r="CD1337"/>
      <c r="CE1337"/>
      <c r="CF1337"/>
      <c r="CG1337"/>
      <c r="CH1337"/>
      <c r="CI1337"/>
      <c r="CJ1337"/>
      <c r="CK1337"/>
      <c r="CL1337"/>
      <c r="CM1337"/>
      <c r="CN1337"/>
      <c r="CO1337"/>
      <c r="CP1337"/>
      <c r="CQ1337"/>
      <c r="CR1337"/>
      <c r="CS1337"/>
      <c r="CT1337"/>
      <c r="CU1337"/>
      <c r="CV1337"/>
      <c r="CW1337"/>
      <c r="CX1337"/>
      <c r="CY1337"/>
      <c r="CZ1337"/>
      <c r="DA1337"/>
      <c r="DB1337"/>
      <c r="DC1337"/>
      <c r="DD1337"/>
      <c r="DE1337"/>
      <c r="DF1337"/>
      <c r="DG1337"/>
      <c r="DH1337"/>
      <c r="DI1337"/>
      <c r="DJ1337"/>
      <c r="DK1337"/>
      <c r="DL1337"/>
      <c r="DM1337"/>
      <c r="DN1337"/>
      <c r="DO1337"/>
      <c r="DP1337"/>
      <c r="DQ1337"/>
      <c r="DR1337"/>
      <c r="DS1337"/>
      <c r="DT1337"/>
      <c r="DU1337"/>
      <c r="DV1337"/>
      <c r="DW1337"/>
      <c r="DX1337"/>
      <c r="DY1337"/>
      <c r="DZ1337"/>
      <c r="EA1337"/>
      <c r="EB1337"/>
      <c r="EC1337"/>
      <c r="ED1337"/>
      <c r="EE1337"/>
      <c r="EF1337"/>
      <c r="EG1337"/>
      <c r="EH1337"/>
      <c r="EI1337"/>
      <c r="EJ1337"/>
      <c r="EK1337"/>
      <c r="EL1337"/>
      <c r="EM1337"/>
      <c r="EN1337"/>
      <c r="EO1337"/>
      <c r="EP1337"/>
      <c r="EQ1337"/>
      <c r="ER1337"/>
      <c r="ES1337"/>
    </row>
    <row r="1338" spans="1:149">
      <c r="A1338"/>
      <c r="B1338"/>
      <c r="C1338"/>
      <c r="D1338"/>
      <c r="E1338"/>
      <c r="F1338"/>
      <c r="G1338"/>
      <c r="H1338"/>
      <c r="I1338"/>
      <c r="J1338"/>
      <c r="K1338"/>
      <c r="L1338"/>
      <c r="M1338"/>
      <c r="N1338"/>
      <c r="O1338"/>
      <c r="P1338"/>
      <c r="Q1338"/>
      <c r="R1338"/>
      <c r="S1338"/>
      <c r="T1338"/>
      <c r="U1338"/>
      <c r="V1338"/>
      <c r="W1338"/>
      <c r="X1338"/>
      <c r="Y1338"/>
      <c r="Z1338"/>
      <c r="AA1338"/>
      <c r="AB1338"/>
      <c r="AC1338"/>
      <c r="AD1338"/>
      <c r="AE1338"/>
      <c r="AF1338"/>
      <c r="AG1338"/>
      <c r="AH1338"/>
      <c r="AI1338"/>
      <c r="AJ1338"/>
      <c r="AK1338"/>
      <c r="AL1338"/>
      <c r="AM1338"/>
      <c r="AN1338"/>
      <c r="AO1338"/>
      <c r="AP1338"/>
      <c r="AQ1338"/>
      <c r="AR1338"/>
      <c r="AS1338"/>
      <c r="AT1338"/>
      <c r="AU1338"/>
      <c r="AV1338"/>
      <c r="AW1338"/>
      <c r="AX1338"/>
      <c r="AY1338"/>
      <c r="AZ1338"/>
      <c r="BA1338"/>
      <c r="BB1338"/>
      <c r="BC1338"/>
      <c r="BD1338"/>
      <c r="BE1338"/>
      <c r="BF1338"/>
      <c r="BG1338"/>
      <c r="BH1338"/>
      <c r="BI1338"/>
      <c r="BJ1338"/>
      <c r="BK1338"/>
      <c r="BL1338"/>
      <c r="BM1338"/>
      <c r="BN1338"/>
      <c r="BO1338"/>
      <c r="BP1338"/>
      <c r="BQ1338"/>
      <c r="BR1338"/>
      <c r="BS1338"/>
      <c r="BT1338"/>
      <c r="BU1338"/>
      <c r="BV1338"/>
      <c r="BW1338"/>
      <c r="BX1338"/>
      <c r="BY1338"/>
      <c r="BZ1338"/>
      <c r="CA1338"/>
      <c r="CB1338"/>
      <c r="CC1338"/>
      <c r="CD1338"/>
      <c r="CE1338"/>
      <c r="CF1338"/>
      <c r="CG1338"/>
      <c r="CH1338"/>
      <c r="CI1338"/>
      <c r="CJ1338"/>
      <c r="CK1338"/>
      <c r="CL1338"/>
      <c r="CM1338"/>
      <c r="CN1338"/>
      <c r="CO1338"/>
      <c r="CP1338"/>
      <c r="CQ1338"/>
      <c r="CR1338"/>
      <c r="CS1338"/>
      <c r="CT1338"/>
      <c r="CU1338"/>
      <c r="CV1338"/>
      <c r="CW1338"/>
      <c r="CX1338"/>
      <c r="CY1338"/>
      <c r="CZ1338"/>
      <c r="DA1338"/>
      <c r="DB1338"/>
      <c r="DC1338"/>
      <c r="DD1338"/>
      <c r="DE1338"/>
      <c r="DF1338"/>
      <c r="DG1338"/>
      <c r="DH1338"/>
      <c r="DI1338"/>
      <c r="DJ1338"/>
      <c r="DK1338"/>
      <c r="DL1338"/>
      <c r="DM1338"/>
      <c r="DN1338"/>
      <c r="DO1338"/>
      <c r="DP1338"/>
      <c r="DQ1338"/>
      <c r="DR1338"/>
      <c r="DS1338"/>
      <c r="DT1338"/>
      <c r="DU1338"/>
      <c r="DV1338"/>
      <c r="DW1338"/>
      <c r="DX1338"/>
      <c r="DY1338"/>
      <c r="DZ1338"/>
      <c r="EA1338"/>
      <c r="EB1338"/>
      <c r="EC1338"/>
      <c r="ED1338"/>
      <c r="EE1338"/>
      <c r="EF1338"/>
      <c r="EG1338"/>
      <c r="EH1338"/>
      <c r="EI1338"/>
      <c r="EJ1338"/>
      <c r="EK1338"/>
      <c r="EL1338"/>
      <c r="EM1338"/>
      <c r="EN1338"/>
      <c r="EO1338"/>
      <c r="EP1338"/>
      <c r="EQ1338"/>
      <c r="ER1338"/>
      <c r="ES1338"/>
    </row>
    <row r="1339" spans="1:149">
      <c r="A1339"/>
      <c r="B1339"/>
      <c r="C1339"/>
      <c r="D1339"/>
      <c r="E1339"/>
      <c r="F1339"/>
      <c r="G1339"/>
      <c r="H1339"/>
      <c r="I1339"/>
      <c r="J1339"/>
      <c r="K1339"/>
      <c r="L1339"/>
      <c r="M1339"/>
      <c r="N1339"/>
      <c r="O1339"/>
      <c r="P1339"/>
      <c r="Q1339"/>
      <c r="R1339"/>
      <c r="S1339"/>
      <c r="T1339"/>
      <c r="U1339"/>
      <c r="V1339"/>
      <c r="W1339"/>
      <c r="X1339"/>
      <c r="Y1339"/>
      <c r="Z1339"/>
      <c r="AA1339"/>
      <c r="AB1339"/>
      <c r="AC1339"/>
      <c r="AD1339"/>
      <c r="AE1339"/>
      <c r="AF1339"/>
      <c r="AG1339"/>
      <c r="AH1339"/>
      <c r="AI1339"/>
      <c r="AJ1339"/>
      <c r="AK1339"/>
      <c r="AL1339"/>
      <c r="AM1339"/>
      <c r="AN1339"/>
      <c r="AO1339"/>
      <c r="AP1339"/>
      <c r="AQ1339"/>
      <c r="AR1339"/>
      <c r="AS1339"/>
      <c r="AT1339"/>
      <c r="AU1339"/>
      <c r="AV1339"/>
      <c r="AW1339"/>
      <c r="AX1339"/>
      <c r="AY1339"/>
      <c r="AZ1339"/>
      <c r="BA1339"/>
      <c r="BB1339"/>
      <c r="BC1339"/>
      <c r="BD1339"/>
      <c r="BE1339"/>
      <c r="BF1339"/>
      <c r="BG1339"/>
      <c r="BH1339"/>
      <c r="BI1339"/>
      <c r="BJ1339"/>
      <c r="BK1339"/>
      <c r="BL1339"/>
      <c r="BM1339"/>
      <c r="BN1339"/>
      <c r="BO1339"/>
      <c r="BP1339"/>
      <c r="BQ1339"/>
      <c r="BR1339"/>
      <c r="BS1339"/>
      <c r="BT1339"/>
      <c r="BU1339"/>
      <c r="BV1339"/>
      <c r="BW1339"/>
      <c r="BX1339"/>
      <c r="BY1339"/>
      <c r="BZ1339"/>
      <c r="CA1339"/>
      <c r="CB1339"/>
      <c r="CC1339"/>
      <c r="CD1339"/>
      <c r="CE1339"/>
      <c r="CF1339"/>
      <c r="CG1339"/>
      <c r="CH1339"/>
      <c r="CI1339"/>
      <c r="CJ1339"/>
      <c r="CK1339"/>
      <c r="CL1339"/>
      <c r="CM1339"/>
      <c r="CN1339"/>
      <c r="CO1339"/>
      <c r="CP1339"/>
      <c r="CQ1339"/>
      <c r="CR1339"/>
      <c r="CS1339"/>
      <c r="CT1339"/>
      <c r="CU1339"/>
      <c r="CV1339"/>
      <c r="CW1339"/>
      <c r="CX1339"/>
      <c r="CY1339"/>
      <c r="CZ1339"/>
      <c r="DA1339"/>
      <c r="DB1339"/>
      <c r="DC1339"/>
      <c r="DD1339"/>
      <c r="DE1339"/>
      <c r="DF1339"/>
      <c r="DG1339"/>
      <c r="DH1339"/>
      <c r="DI1339"/>
      <c r="DJ1339"/>
      <c r="DK1339"/>
      <c r="DL1339"/>
      <c r="DM1339"/>
      <c r="DN1339"/>
      <c r="DO1339"/>
      <c r="DP1339"/>
      <c r="DQ1339"/>
      <c r="DR1339"/>
      <c r="DS1339"/>
      <c r="DT1339"/>
      <c r="DU1339"/>
      <c r="DV1339"/>
      <c r="DW1339"/>
      <c r="DX1339"/>
      <c r="DY1339"/>
      <c r="DZ1339"/>
      <c r="EA1339"/>
      <c r="EB1339"/>
      <c r="EC1339"/>
      <c r="ED1339"/>
      <c r="EE1339"/>
      <c r="EF1339"/>
      <c r="EG1339"/>
      <c r="EH1339"/>
      <c r="EI1339"/>
      <c r="EJ1339"/>
      <c r="EK1339"/>
      <c r="EL1339"/>
      <c r="EM1339"/>
      <c r="EN1339"/>
      <c r="EO1339"/>
      <c r="EP1339"/>
      <c r="EQ1339"/>
      <c r="ER1339"/>
      <c r="ES1339"/>
    </row>
    <row r="1340" spans="1:149">
      <c r="A1340"/>
      <c r="B1340"/>
      <c r="C1340"/>
      <c r="D1340"/>
      <c r="E1340"/>
      <c r="F1340"/>
      <c r="G1340"/>
      <c r="H1340"/>
      <c r="I1340"/>
      <c r="J1340"/>
      <c r="K1340"/>
      <c r="L1340"/>
      <c r="M1340"/>
      <c r="N1340"/>
      <c r="O1340"/>
      <c r="P1340"/>
      <c r="Q1340"/>
      <c r="R1340"/>
      <c r="S1340"/>
      <c r="T1340"/>
      <c r="U1340"/>
      <c r="V1340"/>
      <c r="W1340"/>
      <c r="X1340"/>
      <c r="Y1340"/>
      <c r="Z1340"/>
      <c r="AA1340"/>
      <c r="AB1340"/>
      <c r="AC1340"/>
      <c r="AD1340"/>
      <c r="AE1340"/>
      <c r="AF1340"/>
      <c r="AG1340"/>
      <c r="AH1340"/>
      <c r="AI1340"/>
      <c r="AJ1340"/>
      <c r="AK1340"/>
      <c r="AL1340"/>
      <c r="AM1340"/>
      <c r="AN1340"/>
      <c r="AO1340"/>
      <c r="AP1340"/>
      <c r="AQ1340"/>
      <c r="AR1340"/>
      <c r="AS1340"/>
      <c r="AT1340"/>
      <c r="AU1340"/>
      <c r="AV1340"/>
      <c r="AW1340"/>
      <c r="AX1340"/>
      <c r="AY1340"/>
      <c r="AZ1340"/>
      <c r="BA1340"/>
      <c r="BB1340"/>
      <c r="BC1340"/>
      <c r="BD1340"/>
      <c r="BE1340"/>
      <c r="BF1340"/>
      <c r="BG1340"/>
      <c r="BH1340"/>
      <c r="BI1340"/>
      <c r="BJ1340"/>
      <c r="BK1340"/>
      <c r="BL1340"/>
      <c r="BM1340"/>
      <c r="BN1340"/>
      <c r="BO1340"/>
      <c r="BP1340"/>
      <c r="BQ1340"/>
      <c r="BR1340"/>
      <c r="BS1340"/>
      <c r="BT1340"/>
      <c r="BU1340"/>
      <c r="BV1340"/>
      <c r="BW1340"/>
      <c r="BX1340"/>
      <c r="BY1340"/>
      <c r="BZ1340"/>
      <c r="CA1340"/>
      <c r="CB1340"/>
      <c r="CC1340"/>
      <c r="CD1340"/>
      <c r="CE1340"/>
      <c r="CF1340"/>
      <c r="CG1340"/>
      <c r="CH1340"/>
      <c r="CI1340"/>
      <c r="CJ1340"/>
      <c r="CK1340"/>
      <c r="CL1340"/>
      <c r="CM1340"/>
      <c r="CN1340"/>
      <c r="CO1340"/>
      <c r="CP1340"/>
      <c r="CQ1340"/>
      <c r="CR1340"/>
      <c r="CS1340"/>
      <c r="CT1340"/>
      <c r="CU1340"/>
      <c r="CV1340"/>
      <c r="CW1340"/>
      <c r="CX1340"/>
      <c r="CY1340"/>
      <c r="CZ1340"/>
      <c r="DA1340"/>
      <c r="DB1340"/>
      <c r="DC1340"/>
      <c r="DD1340"/>
      <c r="DE1340"/>
      <c r="DF1340"/>
      <c r="DG1340"/>
      <c r="DH1340"/>
      <c r="DI1340"/>
      <c r="DJ1340"/>
      <c r="DK1340"/>
      <c r="DL1340"/>
      <c r="DM1340"/>
      <c r="DN1340"/>
      <c r="DO1340"/>
      <c r="DP1340"/>
      <c r="DQ1340"/>
      <c r="DR1340"/>
      <c r="DS1340"/>
      <c r="DT1340"/>
      <c r="DU1340"/>
      <c r="DV1340"/>
      <c r="DW1340"/>
      <c r="DX1340"/>
      <c r="DY1340"/>
      <c r="DZ1340"/>
      <c r="EA1340"/>
      <c r="EB1340"/>
      <c r="EC1340"/>
      <c r="ED1340"/>
      <c r="EE1340"/>
      <c r="EF1340"/>
      <c r="EG1340"/>
      <c r="EH1340"/>
      <c r="EI1340"/>
      <c r="EJ1340"/>
      <c r="EK1340"/>
      <c r="EL1340"/>
      <c r="EM1340"/>
      <c r="EN1340"/>
      <c r="EO1340"/>
      <c r="EP1340"/>
      <c r="EQ1340"/>
      <c r="ER1340"/>
      <c r="ES1340"/>
    </row>
    <row r="1341" spans="1:149">
      <c r="A1341"/>
      <c r="B1341"/>
      <c r="C1341"/>
      <c r="D1341"/>
      <c r="E1341"/>
      <c r="F1341"/>
      <c r="G1341"/>
      <c r="H1341"/>
      <c r="I1341"/>
      <c r="J1341"/>
      <c r="K1341"/>
      <c r="L1341"/>
      <c r="M1341"/>
      <c r="N1341"/>
      <c r="O1341"/>
      <c r="P1341"/>
      <c r="Q1341"/>
      <c r="R1341"/>
      <c r="S1341"/>
      <c r="T1341"/>
      <c r="U1341"/>
      <c r="V1341"/>
      <c r="W1341"/>
      <c r="X1341"/>
      <c r="Y1341"/>
      <c r="Z1341"/>
      <c r="AA1341"/>
      <c r="AB1341"/>
      <c r="AC1341"/>
      <c r="AD1341"/>
      <c r="AE1341"/>
      <c r="AF1341"/>
      <c r="AG1341"/>
      <c r="AH1341"/>
      <c r="AI1341"/>
      <c r="AJ1341"/>
      <c r="AK1341"/>
      <c r="AL1341"/>
      <c r="AM1341"/>
      <c r="AN1341"/>
      <c r="AO1341"/>
      <c r="AP1341"/>
      <c r="AQ1341"/>
      <c r="AR1341"/>
      <c r="AS1341"/>
      <c r="AT1341"/>
      <c r="AU1341"/>
      <c r="AV1341"/>
      <c r="AW1341"/>
      <c r="AX1341"/>
      <c r="AY1341"/>
      <c r="AZ1341"/>
      <c r="BA1341"/>
      <c r="BB1341"/>
      <c r="BC1341"/>
      <c r="BD1341"/>
      <c r="BE1341"/>
      <c r="BF1341"/>
      <c r="BG1341"/>
      <c r="BH1341"/>
      <c r="BI1341"/>
      <c r="BJ1341"/>
      <c r="BK1341"/>
      <c r="BL1341"/>
      <c r="BM1341"/>
      <c r="BN1341"/>
      <c r="BO1341"/>
      <c r="BP1341"/>
      <c r="BQ1341"/>
      <c r="BR1341"/>
      <c r="BS1341"/>
      <c r="BT1341"/>
      <c r="BU1341"/>
      <c r="BV1341"/>
      <c r="BW1341"/>
      <c r="BX1341"/>
      <c r="BY1341"/>
      <c r="BZ1341"/>
      <c r="CA1341"/>
      <c r="CB1341"/>
      <c r="CC1341"/>
      <c r="CD1341"/>
      <c r="CE1341"/>
      <c r="CF1341"/>
      <c r="CG1341"/>
      <c r="CH1341"/>
      <c r="CI1341"/>
      <c r="CJ1341"/>
      <c r="CK1341"/>
      <c r="CL1341"/>
      <c r="CM1341"/>
      <c r="CN1341"/>
      <c r="CO1341"/>
      <c r="CP1341"/>
      <c r="CQ1341"/>
      <c r="CR1341"/>
      <c r="CS1341"/>
      <c r="CT1341"/>
      <c r="CU1341"/>
      <c r="CV1341"/>
      <c r="CW1341"/>
      <c r="CX1341"/>
      <c r="CY1341"/>
      <c r="CZ1341"/>
      <c r="DA1341"/>
      <c r="DB1341"/>
      <c r="DC1341"/>
      <c r="DD1341"/>
      <c r="DE1341"/>
      <c r="DF1341"/>
      <c r="DG1341"/>
      <c r="DH1341"/>
      <c r="DI1341"/>
      <c r="DJ1341"/>
      <c r="DK1341"/>
      <c r="DL1341"/>
      <c r="DM1341"/>
      <c r="DN1341"/>
      <c r="DO1341"/>
      <c r="DP1341"/>
      <c r="DQ1341"/>
      <c r="DR1341"/>
      <c r="DS1341"/>
      <c r="DT1341"/>
      <c r="DU1341"/>
      <c r="DV1341"/>
      <c r="DW1341"/>
      <c r="DX1341"/>
      <c r="DY1341"/>
      <c r="DZ1341"/>
      <c r="EA1341"/>
      <c r="EB1341"/>
      <c r="EC1341"/>
      <c r="ED1341"/>
      <c r="EE1341"/>
      <c r="EF1341"/>
      <c r="EG1341"/>
      <c r="EH1341"/>
      <c r="EI1341"/>
      <c r="EJ1341"/>
      <c r="EK1341"/>
      <c r="EL1341"/>
      <c r="EM1341"/>
      <c r="EN1341"/>
      <c r="EO1341"/>
      <c r="EP1341"/>
      <c r="EQ1341"/>
      <c r="ER1341"/>
      <c r="ES1341"/>
    </row>
    <row r="1342" spans="1:149">
      <c r="A1342"/>
      <c r="B1342"/>
      <c r="C1342"/>
      <c r="D1342"/>
      <c r="E1342"/>
      <c r="F1342"/>
      <c r="G1342"/>
      <c r="H1342"/>
      <c r="I1342"/>
      <c r="J1342"/>
      <c r="K1342"/>
      <c r="L1342"/>
      <c r="M1342"/>
      <c r="N1342"/>
      <c r="O1342"/>
      <c r="P1342"/>
      <c r="Q1342"/>
      <c r="R1342"/>
      <c r="S1342"/>
      <c r="T1342"/>
      <c r="U1342"/>
      <c r="V1342"/>
      <c r="W1342"/>
      <c r="X1342"/>
      <c r="Y1342"/>
      <c r="Z1342"/>
      <c r="AA1342"/>
      <c r="AB1342"/>
      <c r="AC1342"/>
      <c r="AD1342"/>
      <c r="AE1342"/>
      <c r="AF1342"/>
      <c r="AG1342"/>
      <c r="AH1342"/>
      <c r="AI1342"/>
      <c r="AJ1342"/>
      <c r="AK1342"/>
      <c r="AL1342"/>
      <c r="AM1342"/>
      <c r="AN1342"/>
      <c r="AO1342"/>
      <c r="AP1342"/>
      <c r="AQ1342"/>
      <c r="AR1342"/>
      <c r="AS1342"/>
      <c r="AT1342"/>
      <c r="AU1342"/>
      <c r="AV1342"/>
      <c r="AW1342"/>
      <c r="AX1342"/>
      <c r="AY1342"/>
      <c r="AZ1342"/>
      <c r="BA1342"/>
      <c r="BB1342"/>
      <c r="BC1342"/>
      <c r="BD1342"/>
      <c r="BE1342"/>
      <c r="BF1342"/>
      <c r="BG1342"/>
      <c r="BH1342"/>
      <c r="BI1342"/>
      <c r="BJ1342"/>
      <c r="BK1342"/>
      <c r="BL1342"/>
      <c r="BM1342"/>
      <c r="BN1342"/>
      <c r="BO1342"/>
      <c r="BP1342"/>
      <c r="BQ1342"/>
      <c r="BR1342"/>
      <c r="BS1342"/>
      <c r="BT1342"/>
      <c r="BU1342"/>
      <c r="BV1342"/>
      <c r="BW1342"/>
      <c r="BX1342"/>
      <c r="BY1342"/>
      <c r="BZ1342"/>
      <c r="CA1342"/>
      <c r="CB1342"/>
      <c r="CC1342"/>
      <c r="CD1342"/>
      <c r="CE1342"/>
      <c r="CF1342"/>
      <c r="CG1342"/>
      <c r="CH1342"/>
      <c r="CI1342"/>
      <c r="CJ1342"/>
      <c r="CK1342"/>
      <c r="CL1342"/>
      <c r="CM1342"/>
      <c r="CN1342"/>
      <c r="CO1342"/>
      <c r="CP1342"/>
      <c r="CQ1342"/>
      <c r="CR1342"/>
      <c r="CS1342"/>
      <c r="CT1342"/>
      <c r="CU1342"/>
      <c r="CV1342"/>
      <c r="CW1342"/>
      <c r="CX1342"/>
      <c r="CY1342"/>
      <c r="CZ1342"/>
      <c r="DA1342"/>
      <c r="DB1342"/>
      <c r="DC1342"/>
      <c r="DD1342"/>
      <c r="DE1342"/>
      <c r="DF1342"/>
      <c r="DG1342"/>
      <c r="DH1342"/>
      <c r="DI1342"/>
      <c r="DJ1342"/>
      <c r="DK1342"/>
      <c r="DL1342"/>
      <c r="DM1342"/>
      <c r="DN1342"/>
      <c r="DO1342"/>
      <c r="DP1342"/>
      <c r="DQ1342"/>
      <c r="DR1342"/>
      <c r="DS1342"/>
      <c r="DT1342"/>
      <c r="DU1342"/>
      <c r="DV1342"/>
      <c r="DW1342"/>
      <c r="DX1342"/>
      <c r="DY1342"/>
      <c r="DZ1342"/>
      <c r="EA1342"/>
      <c r="EB1342"/>
      <c r="EC1342"/>
      <c r="ED1342"/>
      <c r="EE1342"/>
      <c r="EF1342"/>
      <c r="EG1342"/>
      <c r="EH1342"/>
      <c r="EI1342"/>
      <c r="EJ1342"/>
      <c r="EK1342"/>
      <c r="EL1342"/>
      <c r="EM1342"/>
      <c r="EN1342"/>
      <c r="EO1342"/>
      <c r="EP1342"/>
      <c r="EQ1342"/>
      <c r="ER1342"/>
      <c r="ES1342"/>
    </row>
    <row r="1343" spans="1:149">
      <c r="A1343"/>
      <c r="B1343"/>
      <c r="C1343"/>
      <c r="D1343"/>
      <c r="E1343"/>
      <c r="F1343"/>
      <c r="G1343"/>
      <c r="H1343"/>
      <c r="I1343"/>
      <c r="J1343"/>
      <c r="K1343"/>
      <c r="L1343"/>
      <c r="M1343"/>
      <c r="N1343"/>
      <c r="O1343"/>
      <c r="P1343"/>
      <c r="Q1343"/>
      <c r="R1343"/>
      <c r="S1343"/>
      <c r="T1343"/>
      <c r="U1343"/>
      <c r="V1343"/>
      <c r="W1343"/>
      <c r="X1343"/>
      <c r="Y1343"/>
      <c r="Z1343"/>
      <c r="AA1343"/>
      <c r="AB1343"/>
      <c r="AC1343"/>
      <c r="AD1343"/>
      <c r="AE1343"/>
      <c r="AF1343"/>
      <c r="AG1343"/>
      <c r="AH1343"/>
      <c r="AI1343"/>
      <c r="AJ1343"/>
      <c r="AK1343"/>
      <c r="AL1343"/>
      <c r="AM1343"/>
      <c r="AN1343"/>
      <c r="AO1343"/>
      <c r="AP1343"/>
      <c r="AQ1343"/>
      <c r="AR1343"/>
      <c r="AS1343"/>
      <c r="AT1343"/>
      <c r="AU1343"/>
      <c r="AV1343"/>
      <c r="AW1343"/>
      <c r="AX1343"/>
      <c r="AY1343"/>
      <c r="AZ1343"/>
      <c r="BA1343"/>
      <c r="BB1343"/>
      <c r="BC1343"/>
      <c r="BD1343"/>
      <c r="BE1343"/>
      <c r="BF1343"/>
      <c r="BG1343"/>
      <c r="BH1343"/>
      <c r="BI1343"/>
      <c r="BJ1343"/>
      <c r="BK1343"/>
      <c r="BL1343"/>
      <c r="BM1343"/>
      <c r="BN1343"/>
      <c r="BO1343"/>
      <c r="BP1343"/>
      <c r="BQ1343"/>
      <c r="BR1343"/>
      <c r="BS1343"/>
      <c r="BT1343"/>
      <c r="BU1343"/>
      <c r="BV1343"/>
      <c r="BW1343"/>
      <c r="BX1343"/>
      <c r="BY1343"/>
      <c r="BZ1343"/>
      <c r="CA1343"/>
      <c r="CB1343"/>
      <c r="CC1343"/>
      <c r="CD1343"/>
      <c r="CE1343"/>
      <c r="CF1343"/>
      <c r="CG1343"/>
      <c r="CH1343"/>
      <c r="CI1343"/>
      <c r="CJ1343"/>
      <c r="CK1343"/>
      <c r="CL1343"/>
      <c r="CM1343"/>
      <c r="CN1343"/>
      <c r="CO1343"/>
      <c r="CP1343"/>
      <c r="CQ1343"/>
      <c r="CR1343"/>
      <c r="CS1343"/>
      <c r="CT1343"/>
      <c r="CU1343"/>
      <c r="CV1343"/>
      <c r="CW1343"/>
      <c r="CX1343"/>
      <c r="CY1343"/>
      <c r="CZ1343"/>
      <c r="DA1343"/>
      <c r="DB1343"/>
      <c r="DC1343"/>
      <c r="DD1343"/>
      <c r="DE1343"/>
      <c r="DF1343"/>
      <c r="DG1343"/>
      <c r="DH1343"/>
      <c r="DI1343"/>
      <c r="DJ1343"/>
      <c r="DK1343"/>
      <c r="DL1343"/>
      <c r="DM1343"/>
      <c r="DN1343"/>
      <c r="DO1343"/>
      <c r="DP1343"/>
      <c r="DQ1343"/>
      <c r="DR1343"/>
      <c r="DS1343"/>
      <c r="DT1343"/>
      <c r="DU1343"/>
      <c r="DV1343"/>
      <c r="DW1343"/>
      <c r="DX1343"/>
      <c r="DY1343"/>
      <c r="DZ1343"/>
      <c r="EA1343"/>
      <c r="EB1343"/>
      <c r="EC1343"/>
      <c r="ED1343"/>
      <c r="EE1343"/>
      <c r="EF1343"/>
      <c r="EG1343"/>
      <c r="EH1343"/>
      <c r="EI1343"/>
      <c r="EJ1343"/>
      <c r="EK1343"/>
      <c r="EL1343"/>
      <c r="EM1343"/>
      <c r="EN1343"/>
      <c r="EO1343"/>
      <c r="EP1343"/>
      <c r="EQ1343"/>
      <c r="ER1343"/>
      <c r="ES1343"/>
    </row>
    <row r="1344" spans="1:149">
      <c r="A1344"/>
      <c r="B1344"/>
      <c r="C1344"/>
      <c r="D1344"/>
      <c r="E1344"/>
      <c r="F1344"/>
      <c r="G1344"/>
      <c r="H1344"/>
      <c r="I1344"/>
      <c r="J1344"/>
      <c r="K1344"/>
      <c r="L1344"/>
      <c r="M1344"/>
      <c r="N1344"/>
      <c r="O1344"/>
      <c r="P1344"/>
      <c r="Q1344"/>
      <c r="R1344"/>
      <c r="S1344"/>
      <c r="T1344"/>
      <c r="U1344"/>
      <c r="V1344"/>
      <c r="W1344"/>
      <c r="X1344"/>
      <c r="Y1344"/>
      <c r="Z1344"/>
      <c r="AA1344"/>
      <c r="AB1344"/>
      <c r="AC1344"/>
      <c r="AD1344"/>
      <c r="AE1344"/>
      <c r="AF1344"/>
      <c r="AG1344"/>
      <c r="AH1344"/>
      <c r="AI1344"/>
      <c r="AJ1344"/>
      <c r="AK1344"/>
      <c r="AL1344"/>
      <c r="AM1344"/>
      <c r="AN1344"/>
      <c r="AO1344"/>
      <c r="AP1344"/>
      <c r="AQ1344"/>
      <c r="AR1344"/>
      <c r="AS1344"/>
      <c r="AT1344"/>
      <c r="AU1344"/>
      <c r="AV1344"/>
      <c r="AW1344"/>
      <c r="AX1344"/>
      <c r="AY1344"/>
      <c r="AZ1344"/>
      <c r="BA1344"/>
      <c r="BB1344"/>
      <c r="BC1344"/>
      <c r="BD1344"/>
      <c r="BE1344"/>
      <c r="BF1344"/>
      <c r="BG1344"/>
      <c r="BH1344"/>
      <c r="BI1344"/>
      <c r="BJ1344"/>
      <c r="BK1344"/>
      <c r="BL1344"/>
      <c r="BM1344"/>
      <c r="BN1344"/>
      <c r="BO1344"/>
      <c r="BP1344"/>
      <c r="BQ1344"/>
      <c r="BR1344"/>
      <c r="BS1344"/>
      <c r="BT1344"/>
      <c r="BU1344"/>
      <c r="BV1344"/>
      <c r="BW1344"/>
      <c r="BX1344"/>
      <c r="BY1344"/>
      <c r="BZ1344"/>
      <c r="CA1344"/>
      <c r="CB1344"/>
      <c r="CC1344"/>
      <c r="CD1344"/>
      <c r="CE1344"/>
      <c r="CF1344"/>
      <c r="CG1344"/>
      <c r="CH1344"/>
      <c r="CI1344"/>
      <c r="CJ1344"/>
      <c r="CK1344"/>
      <c r="CL1344"/>
      <c r="CM1344"/>
      <c r="CN1344"/>
      <c r="CO1344"/>
      <c r="CP1344"/>
      <c r="CQ1344"/>
      <c r="CR1344"/>
      <c r="CS1344"/>
      <c r="CT1344"/>
      <c r="CU1344"/>
      <c r="CV1344"/>
      <c r="CW1344"/>
      <c r="CX1344"/>
      <c r="CY1344"/>
      <c r="CZ1344"/>
      <c r="DA1344"/>
      <c r="DB1344"/>
      <c r="DC1344"/>
      <c r="DD1344"/>
      <c r="DE1344"/>
      <c r="DF1344"/>
      <c r="DG1344"/>
      <c r="DH1344"/>
      <c r="DI1344"/>
      <c r="DJ1344"/>
      <c r="DK1344"/>
      <c r="DL1344"/>
      <c r="DM1344"/>
      <c r="DN1344"/>
      <c r="DO1344"/>
      <c r="DP1344"/>
      <c r="DQ1344"/>
      <c r="DR1344"/>
      <c r="DS1344"/>
      <c r="DT1344"/>
      <c r="DU1344"/>
      <c r="DV1344"/>
      <c r="DW1344"/>
      <c r="DX1344"/>
      <c r="DY1344"/>
      <c r="DZ1344"/>
      <c r="EA1344"/>
      <c r="EB1344"/>
      <c r="EC1344"/>
      <c r="ED1344"/>
      <c r="EE1344"/>
      <c r="EF1344"/>
      <c r="EG1344"/>
      <c r="EH1344"/>
      <c r="EI1344"/>
      <c r="EJ1344"/>
      <c r="EK1344"/>
      <c r="EL1344"/>
      <c r="EM1344"/>
      <c r="EN1344"/>
      <c r="EO1344"/>
      <c r="EP1344"/>
      <c r="EQ1344"/>
      <c r="ER1344"/>
      <c r="ES1344"/>
    </row>
    <row r="1345" spans="1:149">
      <c r="A1345"/>
      <c r="B1345"/>
      <c r="C1345"/>
      <c r="D1345"/>
      <c r="E1345"/>
      <c r="F1345"/>
      <c r="G1345"/>
      <c r="H1345"/>
      <c r="I1345"/>
      <c r="J1345"/>
      <c r="K1345"/>
      <c r="L1345"/>
      <c r="M1345"/>
      <c r="N1345"/>
      <c r="O1345"/>
      <c r="P1345"/>
      <c r="Q1345"/>
      <c r="R1345"/>
      <c r="S1345"/>
      <c r="T1345"/>
      <c r="U1345"/>
      <c r="V1345"/>
      <c r="W1345"/>
      <c r="X1345"/>
      <c r="Y1345"/>
      <c r="Z1345"/>
      <c r="AA1345"/>
      <c r="AB1345"/>
      <c r="AC1345"/>
      <c r="AD1345"/>
      <c r="AE1345"/>
      <c r="AF1345"/>
      <c r="AG1345"/>
      <c r="AH1345"/>
      <c r="AI1345"/>
      <c r="AJ1345"/>
      <c r="AK1345"/>
      <c r="AL1345"/>
      <c r="AM1345"/>
      <c r="AN1345"/>
      <c r="AO1345"/>
      <c r="AP1345"/>
      <c r="AQ1345"/>
      <c r="AR1345"/>
      <c r="AS1345"/>
      <c r="AT1345"/>
      <c r="AU1345"/>
      <c r="AV1345"/>
      <c r="AW1345"/>
      <c r="AX1345"/>
      <c r="AY1345"/>
      <c r="AZ1345"/>
      <c r="BA1345"/>
      <c r="BB1345"/>
      <c r="BC1345"/>
      <c r="BD1345"/>
      <c r="BE1345"/>
      <c r="BF1345"/>
      <c r="BG1345"/>
      <c r="BH1345"/>
      <c r="BI1345"/>
      <c r="BJ1345"/>
      <c r="BK1345"/>
      <c r="BL1345"/>
      <c r="BM1345"/>
      <c r="BN1345"/>
      <c r="BO1345"/>
      <c r="BP1345"/>
      <c r="BQ1345"/>
      <c r="BR1345"/>
      <c r="BS1345"/>
      <c r="BT1345"/>
      <c r="BU1345"/>
      <c r="BV1345"/>
      <c r="BW1345"/>
      <c r="BX1345"/>
      <c r="BY1345"/>
      <c r="BZ1345"/>
      <c r="CA1345"/>
      <c r="CB1345"/>
      <c r="CC1345"/>
      <c r="CD1345"/>
      <c r="CE1345"/>
      <c r="CF1345"/>
      <c r="CG1345"/>
      <c r="CH1345"/>
      <c r="CI1345"/>
      <c r="CJ1345"/>
      <c r="CK1345"/>
      <c r="CL1345"/>
      <c r="CM1345"/>
      <c r="CN1345"/>
      <c r="CO1345"/>
      <c r="CP1345"/>
      <c r="CQ1345"/>
      <c r="CR1345"/>
      <c r="CS1345"/>
      <c r="CT1345"/>
      <c r="CU1345"/>
      <c r="CV1345"/>
      <c r="CW1345"/>
      <c r="CX1345"/>
      <c r="CY1345"/>
      <c r="CZ1345"/>
      <c r="DA1345"/>
      <c r="DB1345"/>
      <c r="DC1345"/>
      <c r="DD1345"/>
      <c r="DE1345"/>
      <c r="DF1345"/>
      <c r="DG1345"/>
      <c r="DH1345"/>
      <c r="DI1345"/>
      <c r="DJ1345"/>
      <c r="DK1345"/>
      <c r="DL1345"/>
      <c r="DM1345"/>
      <c r="DN1345"/>
      <c r="DO1345"/>
      <c r="DP1345"/>
      <c r="DQ1345"/>
      <c r="DR1345"/>
      <c r="DS1345"/>
      <c r="DT1345"/>
      <c r="DU1345"/>
      <c r="DV1345"/>
      <c r="DW1345"/>
      <c r="DX1345"/>
      <c r="DY1345"/>
      <c r="DZ1345"/>
      <c r="EA1345"/>
      <c r="EB1345"/>
      <c r="EC1345"/>
      <c r="ED1345"/>
      <c r="EE1345"/>
      <c r="EF1345"/>
      <c r="EG1345"/>
      <c r="EH1345"/>
      <c r="EI1345"/>
      <c r="EJ1345"/>
      <c r="EK1345"/>
      <c r="EL1345"/>
      <c r="EM1345"/>
      <c r="EN1345"/>
      <c r="EO1345"/>
      <c r="EP1345"/>
      <c r="EQ1345"/>
      <c r="ER1345"/>
      <c r="ES1345"/>
    </row>
    <row r="1346" spans="1:149">
      <c r="A1346"/>
      <c r="B1346"/>
      <c r="C1346"/>
      <c r="D1346"/>
      <c r="E1346"/>
      <c r="F1346"/>
      <c r="G1346"/>
      <c r="H1346"/>
      <c r="I1346"/>
      <c r="J1346"/>
      <c r="K1346"/>
      <c r="L1346"/>
      <c r="M1346"/>
      <c r="N1346"/>
      <c r="O1346"/>
      <c r="P1346"/>
      <c r="Q1346"/>
      <c r="R1346"/>
      <c r="S1346"/>
      <c r="T1346"/>
      <c r="U1346"/>
      <c r="V1346"/>
      <c r="W1346"/>
      <c r="X1346"/>
      <c r="Y1346"/>
      <c r="Z1346"/>
      <c r="AA1346"/>
      <c r="AB1346"/>
      <c r="AC1346"/>
      <c r="AD1346"/>
      <c r="AE1346"/>
      <c r="AF1346"/>
      <c r="AG1346"/>
      <c r="AH1346"/>
      <c r="AI1346"/>
      <c r="AJ1346"/>
      <c r="AK1346"/>
      <c r="AL1346"/>
      <c r="AM1346"/>
      <c r="AN1346"/>
      <c r="AO1346"/>
      <c r="AP1346"/>
      <c r="AQ1346"/>
      <c r="AR1346"/>
      <c r="AS1346"/>
      <c r="AT1346"/>
      <c r="AU1346"/>
      <c r="AV1346"/>
      <c r="AW1346"/>
      <c r="AX1346"/>
      <c r="AY1346"/>
      <c r="AZ1346"/>
      <c r="BA1346"/>
      <c r="BB1346"/>
      <c r="BC1346"/>
      <c r="BD1346"/>
      <c r="BE1346"/>
      <c r="BF1346"/>
      <c r="BG1346"/>
      <c r="BH1346"/>
      <c r="BI1346"/>
      <c r="BJ1346"/>
      <c r="BK1346"/>
      <c r="BL1346"/>
      <c r="BM1346"/>
      <c r="BN1346"/>
      <c r="BO1346"/>
      <c r="BP1346"/>
      <c r="BQ1346"/>
      <c r="BR1346"/>
      <c r="BS1346"/>
      <c r="BT1346"/>
      <c r="BU1346"/>
      <c r="BV1346"/>
      <c r="BW1346"/>
      <c r="BX1346"/>
      <c r="BY1346"/>
      <c r="BZ1346"/>
      <c r="CA1346"/>
      <c r="CB1346"/>
      <c r="CC1346"/>
      <c r="CD1346"/>
      <c r="CE1346"/>
      <c r="CF1346"/>
      <c r="CG1346"/>
      <c r="CH1346"/>
      <c r="CI1346"/>
      <c r="CJ1346"/>
      <c r="CK1346"/>
      <c r="CL1346"/>
      <c r="CM1346"/>
      <c r="CN1346"/>
      <c r="CO1346"/>
      <c r="CP1346"/>
      <c r="CQ1346"/>
      <c r="CR1346"/>
      <c r="CS1346"/>
      <c r="CT1346"/>
      <c r="CU1346"/>
      <c r="CV1346"/>
      <c r="CW1346"/>
      <c r="CX1346"/>
      <c r="CY1346"/>
      <c r="CZ1346"/>
      <c r="DA1346"/>
      <c r="DB1346"/>
      <c r="DC1346"/>
      <c r="DD1346"/>
      <c r="DE1346"/>
      <c r="DF1346"/>
      <c r="DG1346"/>
      <c r="DH1346"/>
      <c r="DI1346"/>
      <c r="DJ1346"/>
      <c r="DK1346"/>
      <c r="DL1346"/>
      <c r="DM1346"/>
      <c r="DN1346"/>
      <c r="DO1346"/>
      <c r="DP1346"/>
      <c r="DQ1346"/>
      <c r="DR1346"/>
      <c r="DS1346"/>
      <c r="DT1346"/>
      <c r="DU1346"/>
      <c r="DV1346"/>
      <c r="DW1346"/>
      <c r="DX1346"/>
      <c r="DY1346"/>
      <c r="DZ1346"/>
      <c r="EA1346"/>
      <c r="EB1346"/>
      <c r="EC1346"/>
      <c r="ED1346"/>
      <c r="EE1346"/>
      <c r="EF1346"/>
      <c r="EG1346"/>
      <c r="EH1346"/>
      <c r="EI1346"/>
      <c r="EJ1346"/>
      <c r="EK1346"/>
      <c r="EL1346"/>
      <c r="EM1346"/>
      <c r="EN1346"/>
      <c r="EO1346"/>
      <c r="EP1346"/>
      <c r="EQ1346"/>
      <c r="ER1346"/>
      <c r="ES1346"/>
    </row>
    <row r="1347" spans="1:149">
      <c r="A1347"/>
      <c r="B1347"/>
      <c r="C1347"/>
      <c r="D1347"/>
      <c r="E1347"/>
      <c r="F1347"/>
      <c r="G1347"/>
      <c r="H1347"/>
      <c r="I1347"/>
      <c r="J1347"/>
      <c r="K1347"/>
      <c r="L1347"/>
      <c r="M1347"/>
      <c r="N1347"/>
      <c r="O1347"/>
      <c r="P1347"/>
      <c r="Q1347"/>
      <c r="R1347"/>
      <c r="S1347"/>
      <c r="T1347"/>
      <c r="U1347"/>
      <c r="V1347"/>
      <c r="W1347"/>
      <c r="X1347"/>
      <c r="Y1347"/>
      <c r="Z1347"/>
      <c r="AA1347"/>
      <c r="AB1347"/>
      <c r="AC1347"/>
      <c r="AD1347"/>
      <c r="AE1347"/>
      <c r="AF1347"/>
      <c r="AG1347"/>
      <c r="AH1347"/>
      <c r="AI1347"/>
      <c r="AJ1347"/>
      <c r="AK1347"/>
      <c r="AL1347"/>
      <c r="AM1347"/>
      <c r="AN1347"/>
      <c r="AO1347"/>
      <c r="AP1347"/>
      <c r="AQ1347"/>
      <c r="AR1347"/>
      <c r="AS1347"/>
      <c r="AT1347"/>
      <c r="AU1347"/>
      <c r="AV1347"/>
      <c r="AW1347"/>
      <c r="AX1347"/>
      <c r="AY1347"/>
      <c r="AZ1347"/>
      <c r="BA1347"/>
      <c r="BB1347"/>
      <c r="BC1347"/>
      <c r="BD1347"/>
      <c r="BE1347"/>
      <c r="BF1347"/>
      <c r="BG1347"/>
      <c r="BH1347"/>
      <c r="BI1347"/>
      <c r="BJ1347"/>
      <c r="BK1347"/>
      <c r="BL1347"/>
      <c r="BM1347"/>
      <c r="BN1347"/>
      <c r="BO1347"/>
      <c r="BP1347"/>
      <c r="BQ1347"/>
      <c r="BR1347"/>
      <c r="BS1347"/>
      <c r="BT1347"/>
      <c r="BU1347"/>
      <c r="BV1347"/>
      <c r="BW1347"/>
      <c r="BX1347"/>
      <c r="BY1347"/>
      <c r="BZ1347"/>
      <c r="CA1347"/>
      <c r="CB1347"/>
      <c r="CC1347"/>
      <c r="CD1347"/>
      <c r="CE1347"/>
      <c r="CF1347"/>
      <c r="CG1347"/>
      <c r="CH1347"/>
      <c r="CI1347"/>
      <c r="CJ1347"/>
      <c r="CK1347"/>
      <c r="CL1347"/>
      <c r="CM1347"/>
      <c r="CN1347"/>
      <c r="CO1347"/>
      <c r="CP1347"/>
      <c r="CQ1347"/>
      <c r="CR1347"/>
      <c r="CS1347"/>
      <c r="CT1347"/>
      <c r="CU1347"/>
      <c r="CV1347"/>
      <c r="CW1347"/>
      <c r="CX1347"/>
      <c r="CY1347"/>
      <c r="CZ1347"/>
      <c r="DA1347"/>
      <c r="DB1347"/>
      <c r="DC1347"/>
      <c r="DD1347"/>
      <c r="DE1347"/>
      <c r="DF1347"/>
      <c r="DG1347"/>
      <c r="DH1347"/>
      <c r="DI1347"/>
      <c r="DJ1347"/>
      <c r="DK1347"/>
      <c r="DL1347"/>
      <c r="DM1347"/>
      <c r="DN1347"/>
      <c r="DO1347"/>
      <c r="DP1347"/>
      <c r="DQ1347"/>
      <c r="DR1347"/>
      <c r="DS1347"/>
      <c r="DT1347"/>
      <c r="DU1347"/>
      <c r="DV1347"/>
      <c r="DW1347"/>
      <c r="DX1347"/>
      <c r="DY1347"/>
      <c r="DZ1347"/>
      <c r="EA1347"/>
      <c r="EB1347"/>
      <c r="EC1347"/>
      <c r="ED1347"/>
      <c r="EE1347"/>
      <c r="EF1347"/>
      <c r="EG1347"/>
      <c r="EH1347"/>
      <c r="EI1347"/>
      <c r="EJ1347"/>
      <c r="EK1347"/>
      <c r="EL1347"/>
      <c r="EM1347"/>
      <c r="EN1347"/>
      <c r="EO1347"/>
      <c r="EP1347"/>
      <c r="EQ1347"/>
      <c r="ER1347"/>
      <c r="ES1347"/>
    </row>
    <row r="1348" spans="1:149">
      <c r="A1348"/>
      <c r="B1348"/>
      <c r="C1348"/>
      <c r="D1348"/>
      <c r="E1348"/>
      <c r="F1348"/>
      <c r="G1348"/>
      <c r="H1348"/>
      <c r="I1348"/>
      <c r="J1348"/>
      <c r="K1348"/>
      <c r="L1348"/>
      <c r="M1348"/>
      <c r="N1348"/>
      <c r="O1348"/>
      <c r="P1348"/>
      <c r="Q1348"/>
      <c r="R1348"/>
      <c r="S1348"/>
      <c r="T1348"/>
      <c r="U1348"/>
      <c r="V1348"/>
      <c r="W1348"/>
      <c r="X1348"/>
      <c r="Y1348"/>
      <c r="Z1348"/>
      <c r="AA1348"/>
      <c r="AB1348"/>
      <c r="AC1348"/>
      <c r="AD1348"/>
      <c r="AE1348"/>
      <c r="AF1348"/>
      <c r="AG1348"/>
      <c r="AH1348"/>
      <c r="AI1348"/>
      <c r="AJ1348"/>
      <c r="AK1348"/>
      <c r="AL1348"/>
      <c r="AM1348"/>
      <c r="AN1348"/>
      <c r="AO1348"/>
      <c r="AP1348"/>
      <c r="AQ1348"/>
      <c r="AR1348"/>
      <c r="AS1348"/>
      <c r="AT1348"/>
      <c r="AU1348"/>
      <c r="AV1348"/>
      <c r="AW1348"/>
      <c r="AX1348"/>
      <c r="AY1348"/>
      <c r="AZ1348"/>
      <c r="BA1348"/>
      <c r="BB1348"/>
      <c r="BC1348"/>
      <c r="BD1348"/>
      <c r="BE1348"/>
      <c r="BF1348"/>
      <c r="BG1348"/>
      <c r="BH1348"/>
      <c r="BI1348"/>
      <c r="BJ1348"/>
      <c r="BK1348"/>
      <c r="BL1348"/>
      <c r="BM1348"/>
      <c r="BN1348"/>
      <c r="BO1348"/>
      <c r="BP1348"/>
      <c r="BQ1348"/>
      <c r="BR1348"/>
      <c r="BS1348"/>
      <c r="BT1348"/>
      <c r="BU1348"/>
      <c r="BV1348"/>
      <c r="BW1348"/>
      <c r="BX1348"/>
      <c r="BY1348"/>
      <c r="BZ1348"/>
      <c r="CA1348"/>
      <c r="CB1348"/>
      <c r="CC1348"/>
      <c r="CD1348"/>
      <c r="CE1348"/>
      <c r="CF1348"/>
      <c r="CG1348"/>
      <c r="CH1348"/>
      <c r="CI1348"/>
      <c r="CJ1348"/>
      <c r="CK1348"/>
      <c r="CL1348"/>
      <c r="CM1348"/>
      <c r="CN1348"/>
      <c r="CO1348"/>
      <c r="CP1348"/>
      <c r="CQ1348"/>
      <c r="CR1348"/>
      <c r="CS1348"/>
      <c r="CT1348"/>
      <c r="CU1348"/>
      <c r="CV1348"/>
      <c r="CW1348"/>
      <c r="CX1348"/>
      <c r="CY1348"/>
      <c r="CZ1348"/>
      <c r="DA1348"/>
      <c r="DB1348"/>
      <c r="DC1348"/>
      <c r="DD1348"/>
      <c r="DE1348"/>
      <c r="DF1348"/>
      <c r="DG1348"/>
      <c r="DH1348"/>
      <c r="DI1348"/>
      <c r="DJ1348"/>
      <c r="DK1348"/>
      <c r="DL1348"/>
      <c r="DM1348"/>
      <c r="DN1348"/>
      <c r="DO1348"/>
      <c r="DP1348"/>
      <c r="DQ1348"/>
      <c r="DR1348"/>
      <c r="DS1348"/>
      <c r="DT1348"/>
      <c r="DU1348"/>
      <c r="DV1348"/>
      <c r="DW1348"/>
      <c r="DX1348"/>
      <c r="DY1348"/>
      <c r="DZ1348"/>
      <c r="EA1348"/>
      <c r="EB1348"/>
      <c r="EC1348"/>
      <c r="ED1348"/>
      <c r="EE1348"/>
      <c r="EF1348"/>
      <c r="EG1348"/>
      <c r="EH1348"/>
      <c r="EI1348"/>
      <c r="EJ1348"/>
      <c r="EK1348"/>
      <c r="EL1348"/>
      <c r="EM1348"/>
      <c r="EN1348"/>
      <c r="EO1348"/>
      <c r="EP1348"/>
      <c r="EQ1348"/>
      <c r="ER1348"/>
      <c r="ES1348"/>
    </row>
    <row r="1349" spans="1:149">
      <c r="A1349"/>
      <c r="B1349"/>
      <c r="C1349"/>
      <c r="D1349"/>
      <c r="E1349"/>
      <c r="F1349"/>
      <c r="G1349"/>
      <c r="H1349"/>
      <c r="I1349"/>
      <c r="J1349"/>
      <c r="K1349"/>
      <c r="L1349"/>
      <c r="M1349"/>
      <c r="N1349"/>
      <c r="O1349"/>
      <c r="P1349"/>
      <c r="Q1349"/>
      <c r="R1349"/>
      <c r="S1349"/>
      <c r="T1349"/>
      <c r="U1349"/>
      <c r="V1349"/>
      <c r="W1349"/>
      <c r="X1349"/>
      <c r="Y1349"/>
      <c r="Z1349"/>
      <c r="AA1349"/>
      <c r="AB1349"/>
      <c r="AC1349"/>
      <c r="AD1349"/>
      <c r="AE1349"/>
      <c r="AF1349"/>
      <c r="AG1349"/>
      <c r="AH1349"/>
      <c r="AI1349"/>
      <c r="AJ1349"/>
      <c r="AK1349"/>
      <c r="AL1349"/>
      <c r="AM1349"/>
      <c r="AN1349"/>
      <c r="AO1349"/>
      <c r="AP1349"/>
      <c r="AQ1349"/>
      <c r="AR1349"/>
      <c r="AS1349"/>
      <c r="AT1349"/>
      <c r="AU1349"/>
      <c r="AV1349"/>
      <c r="AW1349"/>
      <c r="AX1349"/>
      <c r="AY1349"/>
      <c r="AZ1349"/>
      <c r="BA1349"/>
      <c r="BB1349"/>
      <c r="BC1349"/>
      <c r="BD1349"/>
      <c r="BE1349"/>
      <c r="BF1349"/>
      <c r="BG1349"/>
      <c r="BH1349"/>
      <c r="BI1349"/>
      <c r="BJ1349"/>
      <c r="BK1349"/>
      <c r="BL1349"/>
      <c r="BM1349"/>
      <c r="BN1349"/>
      <c r="BO1349"/>
      <c r="BP1349"/>
      <c r="BQ1349"/>
      <c r="BR1349"/>
      <c r="BS1349"/>
      <c r="BT1349"/>
      <c r="BU1349"/>
      <c r="BV1349"/>
      <c r="BW1349"/>
      <c r="BX1349"/>
      <c r="BY1349"/>
      <c r="BZ1349"/>
      <c r="CA1349"/>
      <c r="CB1349"/>
      <c r="CC1349"/>
      <c r="CD1349"/>
      <c r="CE1349"/>
      <c r="CF1349"/>
      <c r="CG1349"/>
      <c r="CH1349"/>
      <c r="CI1349"/>
      <c r="CJ1349"/>
      <c r="CK1349"/>
      <c r="CL1349"/>
      <c r="CM1349"/>
      <c r="CN1349"/>
      <c r="CO1349"/>
      <c r="CP1349"/>
      <c r="CQ1349"/>
      <c r="CR1349"/>
      <c r="CS1349"/>
      <c r="CT1349"/>
      <c r="CU1349"/>
      <c r="CV1349"/>
      <c r="CW1349"/>
      <c r="CX1349"/>
      <c r="CY1349"/>
      <c r="CZ1349"/>
      <c r="DA1349"/>
      <c r="DB1349"/>
      <c r="DC1349"/>
      <c r="DD1349"/>
      <c r="DE1349"/>
      <c r="DF1349"/>
      <c r="DG1349"/>
      <c r="DH1349"/>
      <c r="DI1349"/>
      <c r="DJ1349"/>
      <c r="DK1349"/>
      <c r="DL1349"/>
      <c r="DM1349"/>
      <c r="DN1349"/>
      <c r="DO1349"/>
      <c r="DP1349"/>
      <c r="DQ1349"/>
      <c r="DR1349"/>
      <c r="DS1349"/>
      <c r="DT1349"/>
      <c r="DU1349"/>
      <c r="DV1349"/>
      <c r="DW1349"/>
      <c r="DX1349"/>
      <c r="DY1349"/>
      <c r="DZ1349"/>
      <c r="EA1349"/>
      <c r="EB1349"/>
      <c r="EC1349"/>
      <c r="ED1349"/>
      <c r="EE1349"/>
      <c r="EF1349"/>
      <c r="EG1349"/>
      <c r="EH1349"/>
      <c r="EI1349"/>
      <c r="EJ1349"/>
      <c r="EK1349"/>
      <c r="EL1349"/>
      <c r="EM1349"/>
      <c r="EN1349"/>
      <c r="EO1349"/>
      <c r="EP1349"/>
      <c r="EQ1349"/>
      <c r="ER1349"/>
      <c r="ES1349"/>
    </row>
    <row r="1350" spans="1:149">
      <c r="A1350"/>
      <c r="B1350"/>
      <c r="C1350"/>
      <c r="D1350"/>
      <c r="E1350"/>
      <c r="F1350"/>
      <c r="G1350"/>
      <c r="H1350"/>
      <c r="I1350"/>
      <c r="J1350"/>
      <c r="K1350"/>
      <c r="L1350"/>
      <c r="M1350"/>
      <c r="N1350"/>
      <c r="O1350"/>
      <c r="P1350"/>
      <c r="Q1350"/>
      <c r="R1350"/>
      <c r="S1350"/>
      <c r="T1350"/>
      <c r="U1350"/>
      <c r="V1350"/>
      <c r="W1350"/>
      <c r="X1350"/>
      <c r="Y1350"/>
      <c r="Z1350"/>
      <c r="AA1350"/>
      <c r="AB1350"/>
      <c r="AC1350"/>
      <c r="AD1350"/>
      <c r="AE1350"/>
      <c r="AF1350"/>
      <c r="AG1350"/>
      <c r="AH1350"/>
      <c r="AI1350"/>
      <c r="AJ1350"/>
      <c r="AK1350"/>
      <c r="AL1350"/>
      <c r="AM1350"/>
      <c r="AN1350"/>
      <c r="AO1350"/>
      <c r="AP1350"/>
      <c r="AQ1350"/>
      <c r="AR1350"/>
      <c r="AS1350"/>
      <c r="AT1350"/>
      <c r="AU1350"/>
      <c r="AV1350"/>
      <c r="AW1350"/>
      <c r="AX1350"/>
      <c r="AY1350"/>
      <c r="AZ1350"/>
      <c r="BA1350"/>
      <c r="BB1350"/>
      <c r="BC1350"/>
      <c r="BD1350"/>
      <c r="BE1350"/>
      <c r="BF1350"/>
      <c r="BG1350"/>
      <c r="BH1350"/>
      <c r="BI1350"/>
      <c r="BJ1350"/>
      <c r="BK1350"/>
      <c r="BL1350"/>
      <c r="BM1350"/>
      <c r="BN1350"/>
      <c r="BO1350"/>
      <c r="BP1350"/>
      <c r="BQ1350"/>
      <c r="BR1350"/>
      <c r="BS1350"/>
      <c r="BT1350"/>
      <c r="BU1350"/>
      <c r="BV1350"/>
      <c r="BW1350"/>
      <c r="BX1350"/>
      <c r="BY1350"/>
      <c r="BZ1350"/>
      <c r="CA1350"/>
      <c r="CB1350"/>
      <c r="CC1350"/>
      <c r="CD1350"/>
      <c r="CE1350"/>
      <c r="CF1350"/>
      <c r="CG1350"/>
      <c r="CH1350"/>
      <c r="CI1350"/>
      <c r="CJ1350"/>
      <c r="CK1350"/>
      <c r="CL1350"/>
      <c r="CM1350"/>
      <c r="CN1350"/>
      <c r="CO1350"/>
      <c r="CP1350"/>
      <c r="CQ1350"/>
      <c r="CR1350"/>
      <c r="CS1350"/>
      <c r="CT1350"/>
      <c r="CU1350"/>
      <c r="CV1350"/>
      <c r="CW1350"/>
      <c r="CX1350"/>
      <c r="CY1350"/>
      <c r="CZ1350"/>
      <c r="DA1350"/>
      <c r="DB1350"/>
      <c r="DC1350"/>
      <c r="DD1350"/>
      <c r="DE1350"/>
      <c r="DF1350"/>
      <c r="DG1350"/>
      <c r="DH1350"/>
      <c r="DI1350"/>
      <c r="DJ1350"/>
      <c r="DK1350"/>
      <c r="DL1350"/>
      <c r="DM1350"/>
      <c r="DN1350"/>
      <c r="DO1350"/>
      <c r="DP1350"/>
      <c r="DQ1350"/>
      <c r="DR1350"/>
      <c r="DS1350"/>
      <c r="DT1350"/>
      <c r="DU1350"/>
      <c r="DV1350"/>
      <c r="DW1350"/>
      <c r="DX1350"/>
      <c r="DY1350"/>
      <c r="DZ1350"/>
      <c r="EA1350"/>
      <c r="EB1350"/>
      <c r="EC1350"/>
      <c r="ED1350"/>
      <c r="EE1350"/>
      <c r="EF1350"/>
      <c r="EG1350"/>
      <c r="EH1350"/>
      <c r="EI1350"/>
      <c r="EJ1350"/>
      <c r="EK1350"/>
      <c r="EL1350"/>
      <c r="EM1350"/>
      <c r="EN1350"/>
      <c r="EO1350"/>
      <c r="EP1350"/>
      <c r="EQ1350"/>
      <c r="ER1350"/>
      <c r="ES1350"/>
    </row>
    <row r="1351" spans="1:149">
      <c r="A1351"/>
      <c r="B1351"/>
      <c r="C1351"/>
      <c r="D1351"/>
      <c r="E1351"/>
      <c r="F1351"/>
      <c r="G1351"/>
      <c r="H1351"/>
      <c r="I1351"/>
      <c r="J1351"/>
      <c r="K1351"/>
      <c r="L1351"/>
      <c r="M1351"/>
      <c r="N1351"/>
      <c r="O1351"/>
      <c r="P1351"/>
      <c r="Q1351"/>
      <c r="R1351"/>
      <c r="S1351"/>
      <c r="T1351"/>
      <c r="U1351"/>
      <c r="V1351"/>
      <c r="W1351"/>
      <c r="X1351"/>
      <c r="Y1351"/>
      <c r="Z1351"/>
      <c r="AA1351"/>
      <c r="AB1351"/>
      <c r="AC1351"/>
      <c r="AD1351"/>
      <c r="AE1351"/>
      <c r="AF1351"/>
      <c r="AG1351"/>
      <c r="AH1351"/>
      <c r="AI1351"/>
      <c r="AJ1351"/>
      <c r="AK1351"/>
      <c r="AL1351"/>
      <c r="AM1351"/>
      <c r="AN1351"/>
      <c r="AO1351"/>
      <c r="AP1351"/>
      <c r="AQ1351"/>
      <c r="AR1351"/>
      <c r="AS1351"/>
      <c r="AT1351"/>
      <c r="AU1351"/>
      <c r="AV1351"/>
      <c r="AW1351"/>
      <c r="AX1351"/>
      <c r="AY1351"/>
      <c r="AZ1351"/>
      <c r="BA1351"/>
      <c r="BB1351"/>
      <c r="BC1351"/>
      <c r="BD1351"/>
      <c r="BE1351"/>
      <c r="BF1351"/>
      <c r="BG1351"/>
      <c r="BH1351"/>
      <c r="BI1351"/>
      <c r="BJ1351"/>
      <c r="BK1351"/>
      <c r="BL1351"/>
      <c r="BM1351"/>
      <c r="BN1351"/>
      <c r="BO1351"/>
      <c r="BP1351"/>
      <c r="BQ1351"/>
      <c r="BR1351"/>
      <c r="BS1351"/>
      <c r="BT1351"/>
      <c r="BU1351"/>
      <c r="BV1351"/>
      <c r="BW1351"/>
      <c r="BX1351"/>
      <c r="BY1351"/>
      <c r="BZ1351"/>
      <c r="CA1351"/>
      <c r="CB1351"/>
      <c r="CC1351"/>
      <c r="CD1351"/>
      <c r="CE1351"/>
      <c r="CF1351"/>
      <c r="CG1351"/>
      <c r="CH1351"/>
      <c r="CI1351"/>
      <c r="CJ1351"/>
      <c r="CK1351"/>
      <c r="CL1351"/>
      <c r="CM1351"/>
      <c r="CN1351"/>
      <c r="CO1351"/>
      <c r="CP1351"/>
      <c r="CQ1351"/>
      <c r="CR1351"/>
      <c r="CS1351"/>
      <c r="CT1351"/>
      <c r="CU1351"/>
      <c r="CV1351"/>
      <c r="CW1351"/>
      <c r="CX1351"/>
      <c r="CY1351"/>
      <c r="CZ1351"/>
      <c r="DA1351"/>
      <c r="DB1351"/>
      <c r="DC1351"/>
      <c r="DD1351"/>
      <c r="DE1351"/>
      <c r="DF1351"/>
      <c r="DG1351"/>
      <c r="DH1351"/>
      <c r="DI1351"/>
      <c r="DJ1351"/>
      <c r="DK1351"/>
      <c r="DL1351"/>
      <c r="DM1351"/>
      <c r="DN1351"/>
      <c r="DO1351"/>
      <c r="DP1351"/>
      <c r="DQ1351"/>
      <c r="DR1351"/>
      <c r="DS1351"/>
      <c r="DT1351"/>
      <c r="DU1351"/>
      <c r="DV1351"/>
      <c r="DW1351"/>
      <c r="DX1351"/>
      <c r="DY1351"/>
      <c r="DZ1351"/>
      <c r="EA1351"/>
      <c r="EB1351"/>
      <c r="EC1351"/>
      <c r="ED1351"/>
      <c r="EE1351"/>
      <c r="EF1351"/>
      <c r="EG1351"/>
      <c r="EH1351"/>
      <c r="EI1351"/>
      <c r="EJ1351"/>
      <c r="EK1351"/>
      <c r="EL1351"/>
      <c r="EM1351"/>
      <c r="EN1351"/>
      <c r="EO1351"/>
      <c r="EP1351"/>
      <c r="EQ1351"/>
      <c r="ER1351"/>
      <c r="ES1351"/>
    </row>
    <row r="1352" spans="1:149">
      <c r="A1352"/>
      <c r="B1352"/>
      <c r="C1352"/>
      <c r="D1352"/>
      <c r="E1352"/>
      <c r="F1352"/>
      <c r="G1352"/>
      <c r="H1352"/>
      <c r="I1352"/>
      <c r="J1352"/>
      <c r="K1352"/>
      <c r="L1352"/>
      <c r="M1352"/>
      <c r="N1352"/>
      <c r="O1352"/>
      <c r="P1352"/>
      <c r="Q1352"/>
      <c r="R1352"/>
      <c r="S1352"/>
      <c r="T1352"/>
      <c r="U1352"/>
      <c r="V1352"/>
      <c r="W1352"/>
      <c r="X1352"/>
      <c r="Y1352"/>
      <c r="Z1352"/>
      <c r="AA1352"/>
      <c r="AB1352"/>
      <c r="AC1352"/>
      <c r="AD1352"/>
      <c r="AE1352"/>
      <c r="AF1352"/>
      <c r="AG1352"/>
      <c r="AH1352"/>
      <c r="AI1352"/>
      <c r="AJ1352"/>
      <c r="AK1352"/>
      <c r="AL1352"/>
      <c r="AM1352"/>
      <c r="AN1352"/>
      <c r="AO1352"/>
      <c r="AP1352"/>
      <c r="AQ1352"/>
      <c r="AR1352"/>
      <c r="AS1352"/>
      <c r="AT1352"/>
      <c r="AU1352"/>
      <c r="AV1352"/>
      <c r="AW1352"/>
      <c r="AX1352"/>
      <c r="AY1352"/>
      <c r="AZ1352"/>
      <c r="BA1352"/>
      <c r="BB1352"/>
      <c r="BC1352"/>
      <c r="BD1352"/>
      <c r="BE1352"/>
      <c r="BF1352"/>
      <c r="BG1352"/>
      <c r="BH1352"/>
      <c r="BI1352"/>
      <c r="BJ1352"/>
      <c r="BK1352"/>
      <c r="BL1352"/>
      <c r="BM1352"/>
      <c r="BN1352"/>
      <c r="BO1352"/>
      <c r="BP1352"/>
      <c r="BQ1352"/>
      <c r="BR1352"/>
      <c r="BS1352"/>
      <c r="BT1352"/>
      <c r="BU1352"/>
      <c r="BV1352"/>
      <c r="BW1352"/>
      <c r="BX1352"/>
      <c r="BY1352"/>
      <c r="BZ1352"/>
      <c r="CA1352"/>
      <c r="CB1352"/>
      <c r="CC1352"/>
      <c r="CD1352"/>
      <c r="CE1352"/>
      <c r="CF1352"/>
      <c r="CG1352"/>
      <c r="CH1352"/>
      <c r="CI1352"/>
      <c r="CJ1352"/>
      <c r="CK1352"/>
      <c r="CL1352"/>
      <c r="CM1352"/>
      <c r="CN1352"/>
      <c r="CO1352"/>
      <c r="CP1352"/>
      <c r="CQ1352"/>
      <c r="CR1352"/>
      <c r="CS1352"/>
      <c r="CT1352"/>
      <c r="CU1352"/>
      <c r="CV1352"/>
      <c r="CW1352"/>
      <c r="CX1352"/>
      <c r="CY1352"/>
      <c r="CZ1352"/>
      <c r="DA1352"/>
      <c r="DB1352"/>
      <c r="DC1352"/>
      <c r="DD1352"/>
      <c r="DE1352"/>
      <c r="DF1352"/>
      <c r="DG1352"/>
      <c r="DH1352"/>
      <c r="DI1352"/>
      <c r="DJ1352"/>
      <c r="DK1352"/>
      <c r="DL1352"/>
      <c r="DM1352"/>
      <c r="DN1352"/>
      <c r="DO1352"/>
      <c r="DP1352"/>
      <c r="DQ1352"/>
      <c r="DR1352"/>
      <c r="DS1352"/>
      <c r="DT1352"/>
      <c r="DU1352"/>
      <c r="DV1352"/>
      <c r="DW1352"/>
      <c r="DX1352"/>
      <c r="DY1352"/>
      <c r="DZ1352"/>
      <c r="EA1352"/>
      <c r="EB1352"/>
      <c r="EC1352"/>
      <c r="ED1352"/>
      <c r="EE1352"/>
      <c r="EF1352"/>
      <c r="EG1352"/>
      <c r="EH1352"/>
      <c r="EI1352"/>
      <c r="EJ1352"/>
      <c r="EK1352"/>
      <c r="EL1352"/>
      <c r="EM1352"/>
      <c r="EN1352"/>
      <c r="EO1352"/>
      <c r="EP1352"/>
      <c r="EQ1352"/>
      <c r="ER1352"/>
      <c r="ES1352"/>
    </row>
    <row r="1353" spans="1:149">
      <c r="A1353"/>
      <c r="B1353"/>
      <c r="C1353"/>
      <c r="D1353"/>
      <c r="E1353"/>
      <c r="F1353"/>
      <c r="G1353"/>
      <c r="H1353"/>
      <c r="I1353"/>
      <c r="J1353"/>
      <c r="K1353"/>
      <c r="L1353"/>
      <c r="M1353"/>
      <c r="N1353"/>
      <c r="O1353"/>
      <c r="P1353"/>
      <c r="Q1353"/>
      <c r="R1353"/>
      <c r="S1353"/>
      <c r="T1353"/>
      <c r="U1353"/>
      <c r="V1353"/>
      <c r="W1353"/>
      <c r="X1353"/>
      <c r="Y1353"/>
      <c r="Z1353"/>
      <c r="AA1353"/>
      <c r="AB1353"/>
      <c r="AC1353"/>
      <c r="AD1353"/>
      <c r="AE1353"/>
      <c r="AF1353"/>
      <c r="AG1353"/>
      <c r="AH1353"/>
      <c r="AI1353"/>
      <c r="AJ1353"/>
      <c r="AK1353"/>
      <c r="AL1353"/>
      <c r="AM1353"/>
      <c r="AN1353"/>
      <c r="AO1353"/>
      <c r="AP1353"/>
      <c r="AQ1353"/>
      <c r="AR1353"/>
      <c r="AS1353"/>
      <c r="AT1353"/>
      <c r="AU1353"/>
      <c r="AV1353"/>
      <c r="AW1353"/>
      <c r="AX1353"/>
      <c r="AY1353"/>
      <c r="AZ1353"/>
      <c r="BA1353"/>
      <c r="BB1353"/>
      <c r="BC1353"/>
      <c r="BD1353"/>
      <c r="BE1353"/>
      <c r="BF1353"/>
      <c r="BG1353"/>
      <c r="BH1353"/>
      <c r="BI1353"/>
      <c r="BJ1353"/>
      <c r="BK1353"/>
      <c r="BL1353"/>
      <c r="BM1353"/>
      <c r="BN1353"/>
      <c r="BO1353"/>
      <c r="BP1353"/>
      <c r="BQ1353"/>
      <c r="BR1353"/>
      <c r="BS1353"/>
      <c r="BT1353"/>
      <c r="BU1353"/>
      <c r="BV1353"/>
      <c r="BW1353"/>
      <c r="BX1353"/>
      <c r="BY1353"/>
      <c r="BZ1353"/>
      <c r="CA1353"/>
      <c r="CB1353"/>
      <c r="CC1353"/>
      <c r="CD1353"/>
      <c r="CE1353"/>
      <c r="CF1353"/>
      <c r="CG1353"/>
      <c r="CH1353"/>
      <c r="CI1353"/>
      <c r="CJ1353"/>
      <c r="CK1353"/>
      <c r="CL1353"/>
      <c r="CM1353"/>
      <c r="CN1353"/>
      <c r="CO1353"/>
      <c r="CP1353"/>
      <c r="CQ1353"/>
      <c r="CR1353"/>
      <c r="CS1353"/>
      <c r="CT1353"/>
      <c r="CU1353"/>
      <c r="CV1353"/>
      <c r="CW1353"/>
      <c r="CX1353"/>
      <c r="CY1353"/>
      <c r="CZ1353"/>
      <c r="DA1353"/>
      <c r="DB1353"/>
      <c r="DC1353"/>
      <c r="DD1353"/>
      <c r="DE1353"/>
      <c r="DF1353"/>
      <c r="DG1353"/>
      <c r="DH1353"/>
      <c r="DI1353"/>
      <c r="DJ1353"/>
      <c r="DK1353"/>
      <c r="DL1353"/>
      <c r="DM1353"/>
      <c r="DN1353"/>
      <c r="DO1353"/>
      <c r="DP1353"/>
      <c r="DQ1353"/>
      <c r="DR1353"/>
      <c r="DS1353"/>
      <c r="DT1353"/>
      <c r="DU1353"/>
      <c r="DV1353"/>
      <c r="DW1353"/>
      <c r="DX1353"/>
      <c r="DY1353"/>
      <c r="DZ1353"/>
      <c r="EA1353"/>
      <c r="EB1353"/>
      <c r="EC1353"/>
      <c r="ED1353"/>
      <c r="EE1353"/>
      <c r="EF1353"/>
      <c r="EG1353"/>
      <c r="EH1353"/>
      <c r="EI1353"/>
      <c r="EJ1353"/>
      <c r="EK1353"/>
      <c r="EL1353"/>
      <c r="EM1353"/>
      <c r="EN1353"/>
      <c r="EO1353"/>
      <c r="EP1353"/>
      <c r="EQ1353"/>
      <c r="ER1353"/>
      <c r="ES1353"/>
    </row>
    <row r="1354" spans="1:149">
      <c r="A1354"/>
      <c r="B1354"/>
      <c r="C1354"/>
      <c r="D1354"/>
      <c r="E1354"/>
      <c r="F1354"/>
      <c r="G1354"/>
      <c r="H1354"/>
      <c r="I1354"/>
      <c r="J1354"/>
      <c r="K1354"/>
      <c r="L1354"/>
      <c r="M1354"/>
      <c r="N1354"/>
      <c r="O1354"/>
      <c r="P1354"/>
      <c r="Q1354"/>
      <c r="R1354"/>
      <c r="S1354"/>
      <c r="T1354"/>
      <c r="U1354"/>
      <c r="V1354"/>
      <c r="W1354"/>
      <c r="X1354"/>
      <c r="Y1354"/>
      <c r="Z1354"/>
      <c r="AA1354"/>
      <c r="AB1354"/>
      <c r="AC1354"/>
      <c r="AD1354"/>
      <c r="AE1354"/>
      <c r="AF1354"/>
      <c r="AG1354"/>
      <c r="AH1354"/>
      <c r="AI1354"/>
      <c r="AJ1354"/>
      <c r="AK1354"/>
      <c r="AL1354"/>
      <c r="AM1354"/>
      <c r="AN1354"/>
      <c r="AO1354"/>
      <c r="AP1354"/>
      <c r="AQ1354"/>
      <c r="AR1354"/>
      <c r="AS1354"/>
      <c r="AT1354"/>
      <c r="AU1354"/>
      <c r="AV1354"/>
      <c r="AW1354"/>
      <c r="AX1354"/>
      <c r="AY1354"/>
      <c r="AZ1354"/>
      <c r="BA1354"/>
      <c r="BB1354"/>
      <c r="BC1354"/>
      <c r="BD1354"/>
      <c r="BE1354"/>
      <c r="BF1354"/>
      <c r="BG1354"/>
      <c r="BH1354"/>
      <c r="BI1354"/>
      <c r="BJ1354"/>
      <c r="BK1354"/>
      <c r="BL1354"/>
      <c r="BM1354"/>
      <c r="BN1354"/>
      <c r="BO1354"/>
      <c r="BP1354"/>
      <c r="BQ1354"/>
      <c r="BR1354"/>
      <c r="BS1354"/>
      <c r="BT1354"/>
      <c r="BU1354"/>
      <c r="BV1354"/>
      <c r="BW1354"/>
      <c r="BX1354"/>
      <c r="BY1354"/>
      <c r="BZ1354"/>
      <c r="CA1354"/>
      <c r="CB1354"/>
      <c r="CC1354"/>
      <c r="CD1354"/>
      <c r="CE1354"/>
      <c r="CF1354"/>
      <c r="CG1354"/>
      <c r="CH1354"/>
      <c r="CI1354"/>
      <c r="CJ1354"/>
      <c r="CK1354"/>
      <c r="CL1354"/>
      <c r="CM1354"/>
      <c r="CN1354"/>
      <c r="CO1354"/>
      <c r="CP1354"/>
      <c r="CQ1354"/>
      <c r="CR1354"/>
      <c r="CS1354"/>
      <c r="CT1354"/>
      <c r="CU1354"/>
      <c r="CV1354"/>
      <c r="CW1354"/>
      <c r="CX1354"/>
      <c r="CY1354"/>
      <c r="CZ1354"/>
      <c r="DA1354"/>
      <c r="DB1354"/>
      <c r="DC1354"/>
      <c r="DD1354"/>
      <c r="DE1354"/>
      <c r="DF1354"/>
      <c r="DG1354"/>
      <c r="DH1354"/>
      <c r="DI1354"/>
      <c r="DJ1354"/>
      <c r="DK1354"/>
      <c r="DL1354"/>
      <c r="DM1354"/>
      <c r="DN1354"/>
      <c r="DO1354"/>
      <c r="DP1354"/>
      <c r="DQ1354"/>
      <c r="DR1354"/>
      <c r="DS1354"/>
      <c r="DT1354"/>
      <c r="DU1354"/>
      <c r="DV1354"/>
      <c r="DW1354"/>
      <c r="DX1354"/>
      <c r="DY1354"/>
      <c r="DZ1354"/>
      <c r="EA1354"/>
      <c r="EB1354"/>
      <c r="EC1354"/>
      <c r="ED1354"/>
      <c r="EE1354"/>
      <c r="EF1354"/>
      <c r="EG1354"/>
      <c r="EH1354"/>
      <c r="EI1354"/>
      <c r="EJ1354"/>
      <c r="EK1354"/>
      <c r="EL1354"/>
      <c r="EM1354"/>
      <c r="EN1354"/>
      <c r="EO1354"/>
      <c r="EP1354"/>
      <c r="EQ1354"/>
      <c r="ER1354"/>
      <c r="ES1354"/>
    </row>
    <row r="1355" spans="1:149">
      <c r="A1355"/>
      <c r="B1355"/>
      <c r="C1355"/>
      <c r="D1355"/>
      <c r="E1355"/>
      <c r="F1355"/>
      <c r="G1355"/>
      <c r="H1355"/>
      <c r="I1355"/>
      <c r="J1355"/>
      <c r="K1355"/>
      <c r="L1355"/>
      <c r="M1355"/>
      <c r="N1355"/>
      <c r="O1355"/>
      <c r="P1355"/>
      <c r="Q1355"/>
      <c r="R1355"/>
      <c r="S1355"/>
      <c r="T1355"/>
      <c r="U1355"/>
      <c r="V1355"/>
      <c r="W1355"/>
      <c r="X1355"/>
      <c r="Y1355"/>
      <c r="Z1355"/>
      <c r="AA1355"/>
      <c r="AB1355"/>
      <c r="AC1355"/>
      <c r="AD1355"/>
      <c r="AE1355"/>
      <c r="AF1355"/>
      <c r="AG1355"/>
      <c r="AH1355"/>
      <c r="AI1355"/>
      <c r="AJ1355"/>
      <c r="AK1355"/>
      <c r="AL1355"/>
      <c r="AM1355"/>
      <c r="AN1355"/>
      <c r="AO1355"/>
      <c r="AP1355"/>
      <c r="AQ1355"/>
      <c r="AR1355"/>
      <c r="AS1355"/>
      <c r="AT1355"/>
      <c r="AU1355"/>
      <c r="AV1355"/>
      <c r="AW1355"/>
      <c r="AX1355"/>
      <c r="AY1355"/>
      <c r="AZ1355"/>
      <c r="BA1355"/>
      <c r="BB1355"/>
      <c r="BC1355"/>
      <c r="BD1355"/>
      <c r="BE1355"/>
      <c r="BF1355"/>
      <c r="BG1355"/>
      <c r="BH1355"/>
      <c r="BI1355"/>
      <c r="BJ1355"/>
      <c r="BK1355"/>
      <c r="BL1355"/>
      <c r="BM1355"/>
      <c r="BN1355"/>
      <c r="BO1355"/>
      <c r="BP1355"/>
      <c r="BQ1355"/>
      <c r="BR1355"/>
      <c r="BS1355"/>
      <c r="BT1355"/>
      <c r="BU1355"/>
      <c r="BV1355"/>
      <c r="BW1355"/>
      <c r="BX1355"/>
      <c r="BY1355"/>
      <c r="BZ1355"/>
      <c r="CA1355"/>
      <c r="CB1355"/>
      <c r="CC1355"/>
      <c r="CD1355"/>
      <c r="CE1355"/>
      <c r="CF1355"/>
      <c r="CG1355"/>
      <c r="CH1355"/>
      <c r="CI1355"/>
      <c r="CJ1355"/>
      <c r="CK1355"/>
      <c r="CL1355"/>
      <c r="CM1355"/>
      <c r="CN1355"/>
      <c r="CO1355"/>
      <c r="CP1355"/>
      <c r="CQ1355"/>
      <c r="CR1355"/>
      <c r="CS1355"/>
      <c r="CT1355"/>
      <c r="CU1355"/>
      <c r="CV1355"/>
      <c r="CW1355"/>
      <c r="CX1355"/>
      <c r="CY1355"/>
      <c r="CZ1355"/>
      <c r="DA1355"/>
      <c r="DB1355"/>
      <c r="DC1355"/>
      <c r="DD1355"/>
      <c r="DE1355"/>
      <c r="DF1355"/>
      <c r="DG1355"/>
      <c r="DH1355"/>
      <c r="DI1355"/>
      <c r="DJ1355"/>
      <c r="DK1355"/>
      <c r="DL1355"/>
      <c r="DM1355"/>
      <c r="DN1355"/>
      <c r="DO1355"/>
      <c r="DP1355"/>
      <c r="DQ1355"/>
      <c r="DR1355"/>
      <c r="DS1355"/>
      <c r="DT1355"/>
      <c r="DU1355"/>
      <c r="DV1355"/>
      <c r="DW1355"/>
      <c r="DX1355"/>
      <c r="DY1355"/>
      <c r="DZ1355"/>
      <c r="EA1355"/>
      <c r="EB1355"/>
      <c r="EC1355"/>
      <c r="ED1355"/>
      <c r="EE1355"/>
      <c r="EF1355"/>
      <c r="EG1355"/>
      <c r="EH1355"/>
      <c r="EI1355"/>
      <c r="EJ1355"/>
      <c r="EK1355"/>
      <c r="EL1355"/>
      <c r="EM1355"/>
      <c r="EN1355"/>
      <c r="EO1355"/>
      <c r="EP1355"/>
      <c r="EQ1355"/>
      <c r="ER1355"/>
      <c r="ES1355"/>
    </row>
    <row r="1356" spans="1:149">
      <c r="A1356"/>
      <c r="B1356"/>
      <c r="C1356"/>
      <c r="D1356"/>
      <c r="E1356"/>
      <c r="F1356"/>
      <c r="G1356"/>
      <c r="H1356"/>
      <c r="I1356"/>
      <c r="J1356"/>
      <c r="K1356"/>
      <c r="L1356"/>
      <c r="M1356"/>
      <c r="N1356"/>
      <c r="O1356"/>
      <c r="P1356"/>
      <c r="Q1356"/>
      <c r="R1356"/>
      <c r="S1356"/>
      <c r="T1356"/>
      <c r="U1356"/>
      <c r="V1356"/>
      <c r="W1356"/>
      <c r="X1356"/>
      <c r="Y1356"/>
      <c r="Z1356"/>
      <c r="AA1356"/>
      <c r="AB1356"/>
      <c r="AC1356"/>
      <c r="AD1356"/>
      <c r="AE1356"/>
      <c r="AF1356"/>
      <c r="AG1356"/>
      <c r="AH1356"/>
      <c r="AI1356"/>
      <c r="AJ1356"/>
      <c r="AK1356"/>
      <c r="AL1356"/>
      <c r="AM1356"/>
      <c r="AN1356"/>
      <c r="AO1356"/>
      <c r="AP1356"/>
      <c r="AQ1356"/>
      <c r="AR1356"/>
      <c r="AS1356"/>
      <c r="AT1356"/>
      <c r="AU1356"/>
      <c r="AV1356"/>
      <c r="AW1356"/>
      <c r="AX1356"/>
      <c r="AY1356"/>
      <c r="AZ1356"/>
      <c r="BA1356"/>
      <c r="BB1356"/>
      <c r="BC1356"/>
      <c r="BD1356"/>
      <c r="BE1356"/>
      <c r="BF1356"/>
      <c r="BG1356"/>
      <c r="BH1356"/>
      <c r="BI1356"/>
      <c r="BJ1356"/>
      <c r="BK1356"/>
      <c r="BL1356"/>
      <c r="BM1356"/>
      <c r="BN1356"/>
      <c r="BO1356"/>
      <c r="BP1356"/>
      <c r="BQ1356"/>
      <c r="BR1356"/>
      <c r="BS1356"/>
      <c r="BT1356"/>
      <c r="BU1356"/>
      <c r="BV1356"/>
      <c r="BW1356"/>
      <c r="BX1356"/>
      <c r="BY1356"/>
      <c r="BZ1356"/>
      <c r="CA1356"/>
      <c r="CB1356"/>
      <c r="CC1356"/>
      <c r="CD1356"/>
      <c r="CE1356"/>
      <c r="CF1356"/>
      <c r="CG1356"/>
      <c r="CH1356"/>
      <c r="CI1356"/>
      <c r="CJ1356"/>
      <c r="CK1356"/>
      <c r="CL1356"/>
      <c r="CM1356"/>
      <c r="CN1356"/>
      <c r="CO1356"/>
      <c r="CP1356"/>
      <c r="CQ1356"/>
      <c r="CR1356"/>
      <c r="CS1356"/>
      <c r="CT1356"/>
      <c r="CU1356"/>
      <c r="CV1356"/>
      <c r="CW1356"/>
      <c r="CX1356"/>
      <c r="CY1356"/>
      <c r="CZ1356"/>
      <c r="DA1356"/>
      <c r="DB1356"/>
      <c r="DC1356"/>
      <c r="DD1356"/>
      <c r="DE1356"/>
      <c r="DF1356"/>
      <c r="DG1356"/>
      <c r="DH1356"/>
      <c r="DI1356"/>
      <c r="DJ1356"/>
      <c r="DK1356"/>
      <c r="DL1356"/>
      <c r="DM1356"/>
      <c r="DN1356"/>
      <c r="DO1356"/>
      <c r="DP1356"/>
      <c r="DQ1356"/>
      <c r="DR1356"/>
      <c r="DS1356"/>
      <c r="DT1356"/>
      <c r="DU1356"/>
      <c r="DV1356"/>
      <c r="DW1356"/>
      <c r="DX1356"/>
      <c r="DY1356"/>
      <c r="DZ1356"/>
      <c r="EA1356"/>
      <c r="EB1356"/>
      <c r="EC1356"/>
      <c r="ED1356"/>
      <c r="EE1356"/>
      <c r="EF1356"/>
      <c r="EG1356"/>
      <c r="EH1356"/>
      <c r="EI1356"/>
      <c r="EJ1356"/>
      <c r="EK1356"/>
      <c r="EL1356"/>
      <c r="EM1356"/>
      <c r="EN1356"/>
      <c r="EO1356"/>
      <c r="EP1356"/>
      <c r="EQ1356"/>
      <c r="ER1356"/>
      <c r="ES1356"/>
    </row>
    <row r="1357" spans="1:149">
      <c r="A1357"/>
      <c r="B1357"/>
      <c r="C1357"/>
      <c r="D1357"/>
      <c r="E1357"/>
      <c r="F1357"/>
      <c r="G1357"/>
      <c r="H1357"/>
      <c r="I1357"/>
      <c r="J1357"/>
      <c r="K1357"/>
      <c r="L1357"/>
      <c r="M1357"/>
      <c r="N1357"/>
      <c r="O1357"/>
      <c r="P1357"/>
      <c r="Q1357"/>
      <c r="R1357"/>
      <c r="S1357"/>
      <c r="T1357"/>
      <c r="U1357"/>
      <c r="V1357"/>
      <c r="W1357"/>
      <c r="X1357"/>
      <c r="Y1357"/>
      <c r="Z1357"/>
      <c r="AA1357"/>
      <c r="AB1357"/>
      <c r="AC1357"/>
      <c r="AD1357"/>
      <c r="AE1357"/>
      <c r="AF1357"/>
      <c r="AG1357"/>
      <c r="AH1357"/>
      <c r="AI1357"/>
      <c r="AJ1357"/>
      <c r="AK1357"/>
      <c r="AL1357"/>
      <c r="AM1357"/>
      <c r="AN1357"/>
      <c r="AO1357"/>
      <c r="AP1357"/>
      <c r="AQ1357"/>
      <c r="AR1357"/>
      <c r="AS1357"/>
      <c r="AT1357"/>
      <c r="AU1357"/>
      <c r="AV1357"/>
      <c r="AW1357"/>
      <c r="AX1357"/>
      <c r="AY1357"/>
      <c r="AZ1357"/>
      <c r="BA1357"/>
      <c r="BB1357"/>
      <c r="BC1357"/>
      <c r="BD1357"/>
      <c r="BE1357"/>
      <c r="BF1357"/>
      <c r="BG1357"/>
      <c r="BH1357"/>
      <c r="BI1357"/>
      <c r="BJ1357"/>
      <c r="BK1357"/>
      <c r="BL1357"/>
      <c r="BM1357"/>
      <c r="BN1357"/>
      <c r="BO1357"/>
      <c r="BP1357"/>
      <c r="BQ1357"/>
      <c r="BR1357"/>
      <c r="BS1357"/>
      <c r="BT1357"/>
      <c r="BU1357"/>
      <c r="BV1357"/>
      <c r="BW1357"/>
      <c r="BX1357"/>
      <c r="BY1357"/>
      <c r="BZ1357"/>
      <c r="CA1357"/>
      <c r="CB1357"/>
      <c r="CC1357"/>
      <c r="CD1357"/>
      <c r="CE1357"/>
      <c r="CF1357"/>
      <c r="CG1357"/>
      <c r="CH1357"/>
      <c r="CI1357"/>
      <c r="CJ1357"/>
      <c r="CK1357"/>
      <c r="CL1357"/>
      <c r="CM1357"/>
      <c r="CN1357"/>
      <c r="CO1357"/>
      <c r="CP1357"/>
      <c r="CQ1357"/>
      <c r="CR1357"/>
      <c r="CS1357"/>
      <c r="CT1357"/>
      <c r="CU1357"/>
      <c r="CV1357"/>
      <c r="CW1357"/>
      <c r="CX1357"/>
      <c r="CY1357"/>
      <c r="CZ1357"/>
      <c r="DA1357"/>
      <c r="DB1357"/>
      <c r="DC1357"/>
      <c r="DD1357"/>
      <c r="DE1357"/>
      <c r="DF1357"/>
      <c r="DG1357"/>
      <c r="DH1357"/>
      <c r="DI1357"/>
      <c r="DJ1357"/>
      <c r="DK1357"/>
      <c r="DL1357"/>
      <c r="DM1357"/>
      <c r="DN1357"/>
      <c r="DO1357"/>
      <c r="DP1357"/>
      <c r="DQ1357"/>
      <c r="DR1357"/>
      <c r="DS1357"/>
      <c r="DT1357"/>
      <c r="DU1357"/>
      <c r="DV1357"/>
      <c r="DW1357"/>
      <c r="DX1357"/>
      <c r="DY1357"/>
      <c r="DZ1357"/>
      <c r="EA1357"/>
      <c r="EB1357"/>
      <c r="EC1357"/>
      <c r="ED1357"/>
      <c r="EE1357"/>
      <c r="EF1357"/>
      <c r="EG1357"/>
      <c r="EH1357"/>
      <c r="EI1357"/>
      <c r="EJ1357"/>
      <c r="EK1357"/>
      <c r="EL1357"/>
      <c r="EM1357"/>
      <c r="EN1357"/>
      <c r="EO1357"/>
      <c r="EP1357"/>
      <c r="EQ1357"/>
      <c r="ER1357"/>
      <c r="ES1357"/>
    </row>
    <row r="1358" spans="1:149">
      <c r="A1358"/>
      <c r="B1358"/>
      <c r="C1358"/>
      <c r="D1358"/>
      <c r="E1358"/>
      <c r="F1358"/>
      <c r="G1358"/>
      <c r="H1358"/>
      <c r="I1358"/>
      <c r="J1358"/>
      <c r="K1358"/>
      <c r="L1358"/>
      <c r="M1358"/>
      <c r="N1358"/>
      <c r="O1358"/>
      <c r="P1358"/>
      <c r="Q1358"/>
      <c r="R1358"/>
      <c r="S1358"/>
      <c r="T1358"/>
      <c r="U1358"/>
      <c r="V1358"/>
      <c r="W1358"/>
      <c r="X1358"/>
      <c r="Y1358"/>
      <c r="Z1358"/>
      <c r="AA1358"/>
      <c r="AB1358"/>
      <c r="AC1358"/>
      <c r="AD1358"/>
      <c r="AE1358"/>
      <c r="AF1358"/>
      <c r="AG1358"/>
      <c r="AH1358"/>
      <c r="AI1358"/>
      <c r="AJ1358"/>
      <c r="AK1358"/>
      <c r="AL1358"/>
      <c r="AM1358"/>
      <c r="AN1358"/>
      <c r="AO1358"/>
      <c r="AP1358"/>
      <c r="AQ1358"/>
      <c r="AR1358"/>
      <c r="AS1358"/>
      <c r="AT1358"/>
      <c r="AU1358"/>
      <c r="AV1358"/>
      <c r="AW1358"/>
      <c r="AX1358"/>
      <c r="AY1358"/>
      <c r="AZ1358"/>
      <c r="BA1358"/>
      <c r="BB1358"/>
      <c r="BC1358"/>
      <c r="BD1358"/>
      <c r="BE1358"/>
      <c r="BF1358"/>
      <c r="BG1358"/>
      <c r="BH1358"/>
      <c r="BI1358"/>
      <c r="BJ1358"/>
      <c r="BK1358"/>
      <c r="BL1358"/>
      <c r="BM1358"/>
      <c r="BN1358"/>
      <c r="BO1358"/>
      <c r="BP1358"/>
      <c r="BQ1358"/>
      <c r="BR1358"/>
      <c r="BS1358"/>
      <c r="BT1358"/>
      <c r="BU1358"/>
      <c r="BV1358"/>
      <c r="BW1358"/>
      <c r="BX1358"/>
      <c r="BY1358"/>
      <c r="BZ1358"/>
      <c r="CA1358"/>
      <c r="CB1358"/>
      <c r="CC1358"/>
      <c r="CD1358"/>
      <c r="CE1358"/>
      <c r="CF1358"/>
      <c r="CG1358"/>
      <c r="CH1358"/>
      <c r="CI1358"/>
      <c r="CJ1358"/>
      <c r="CK1358"/>
      <c r="CL1358"/>
      <c r="CM1358"/>
      <c r="CN1358"/>
      <c r="CO1358"/>
      <c r="CP1358"/>
      <c r="CQ1358"/>
      <c r="CR1358"/>
      <c r="CS1358"/>
      <c r="CT1358"/>
      <c r="CU1358"/>
      <c r="CV1358"/>
      <c r="CW1358"/>
      <c r="CX1358"/>
      <c r="CY1358"/>
      <c r="CZ1358"/>
      <c r="DA1358"/>
      <c r="DB1358"/>
      <c r="DC1358"/>
      <c r="DD1358"/>
      <c r="DE1358"/>
      <c r="DF1358"/>
      <c r="DG1358"/>
      <c r="DH1358"/>
      <c r="DI1358"/>
      <c r="DJ1358"/>
      <c r="DK1358"/>
      <c r="DL1358"/>
      <c r="DM1358"/>
      <c r="DN1358"/>
      <c r="DO1358"/>
      <c r="DP1358"/>
      <c r="DQ1358"/>
      <c r="DR1358"/>
      <c r="DS1358"/>
      <c r="DT1358"/>
      <c r="DU1358"/>
      <c r="DV1358"/>
      <c r="DW1358"/>
      <c r="DX1358"/>
      <c r="DY1358"/>
      <c r="DZ1358"/>
      <c r="EA1358"/>
      <c r="EB1358"/>
      <c r="EC1358"/>
      <c r="ED1358"/>
      <c r="EE1358"/>
      <c r="EF1358"/>
      <c r="EG1358"/>
      <c r="EH1358"/>
      <c r="EI1358"/>
      <c r="EJ1358"/>
      <c r="EK1358"/>
      <c r="EL1358"/>
      <c r="EM1358"/>
      <c r="EN1358"/>
      <c r="EO1358"/>
      <c r="EP1358"/>
      <c r="EQ1358"/>
      <c r="ER1358"/>
      <c r="ES1358"/>
    </row>
    <row r="1359" spans="1:149">
      <c r="A1359"/>
      <c r="B1359"/>
      <c r="C1359"/>
      <c r="D1359"/>
      <c r="E1359"/>
      <c r="F1359"/>
      <c r="G1359"/>
      <c r="H1359"/>
      <c r="I1359"/>
      <c r="J1359"/>
      <c r="K1359"/>
      <c r="L1359"/>
      <c r="M1359"/>
      <c r="N1359"/>
      <c r="O1359"/>
      <c r="P1359"/>
      <c r="Q1359"/>
      <c r="R1359"/>
      <c r="S1359"/>
      <c r="T1359"/>
      <c r="U1359"/>
      <c r="V1359"/>
      <c r="W1359"/>
      <c r="X1359"/>
      <c r="Y1359"/>
      <c r="Z1359"/>
      <c r="AA1359"/>
      <c r="AB1359"/>
      <c r="AC1359"/>
      <c r="AD1359"/>
      <c r="AE1359"/>
      <c r="AF1359"/>
      <c r="AG1359"/>
      <c r="AH1359"/>
      <c r="AI1359"/>
      <c r="AJ1359"/>
      <c r="AK1359"/>
      <c r="AL1359"/>
      <c r="AM1359"/>
      <c r="AN1359"/>
      <c r="AO1359"/>
      <c r="AP1359"/>
      <c r="AQ1359"/>
      <c r="AR1359"/>
      <c r="AS1359"/>
      <c r="AT1359"/>
      <c r="AU1359"/>
      <c r="AV1359"/>
      <c r="AW1359"/>
      <c r="AX1359"/>
      <c r="AY1359"/>
      <c r="AZ1359"/>
      <c r="BA1359"/>
      <c r="BB1359"/>
      <c r="BC1359"/>
      <c r="BD1359"/>
      <c r="BE1359"/>
      <c r="BF1359"/>
      <c r="BG1359"/>
      <c r="BH1359"/>
      <c r="BI1359"/>
      <c r="BJ1359"/>
      <c r="BK1359"/>
      <c r="BL1359"/>
      <c r="BM1359"/>
      <c r="BN1359"/>
      <c r="BO1359"/>
      <c r="BP1359"/>
      <c r="BQ1359"/>
      <c r="BR1359"/>
      <c r="BS1359"/>
      <c r="BT1359"/>
      <c r="BU1359"/>
      <c r="BV1359"/>
      <c r="BW1359"/>
      <c r="BX1359"/>
      <c r="BY1359"/>
      <c r="BZ1359"/>
      <c r="CA1359"/>
      <c r="CB1359"/>
      <c r="CC1359"/>
      <c r="CD1359"/>
      <c r="CE1359"/>
      <c r="CF1359"/>
      <c r="CG1359"/>
      <c r="CH1359"/>
      <c r="CI1359"/>
      <c r="CJ1359"/>
      <c r="CK1359"/>
      <c r="CL1359"/>
      <c r="CM1359"/>
      <c r="CN1359"/>
      <c r="CO1359"/>
      <c r="CP1359"/>
      <c r="CQ1359"/>
      <c r="CR1359"/>
      <c r="CS1359"/>
      <c r="CT1359"/>
      <c r="CU1359"/>
      <c r="CV1359"/>
      <c r="CW1359"/>
      <c r="CX1359"/>
      <c r="CY1359"/>
      <c r="CZ1359"/>
      <c r="DA1359"/>
      <c r="DB1359"/>
      <c r="DC1359"/>
      <c r="DD1359"/>
      <c r="DE1359"/>
      <c r="DF1359"/>
      <c r="DG1359"/>
      <c r="DH1359"/>
      <c r="DI1359"/>
      <c r="DJ1359"/>
      <c r="DK1359"/>
      <c r="DL1359"/>
      <c r="DM1359"/>
      <c r="DN1359"/>
      <c r="DO1359"/>
      <c r="DP1359"/>
      <c r="DQ1359"/>
      <c r="DR1359"/>
      <c r="DS1359"/>
      <c r="DT1359"/>
      <c r="DU1359"/>
      <c r="DV1359"/>
      <c r="DW1359"/>
      <c r="DX1359"/>
      <c r="DY1359"/>
      <c r="DZ1359"/>
      <c r="EA1359"/>
      <c r="EB1359"/>
      <c r="EC1359"/>
      <c r="ED1359"/>
      <c r="EE1359"/>
      <c r="EF1359"/>
      <c r="EG1359"/>
      <c r="EH1359"/>
      <c r="EI1359"/>
      <c r="EJ1359"/>
      <c r="EK1359"/>
      <c r="EL1359"/>
      <c r="EM1359"/>
      <c r="EN1359"/>
      <c r="EO1359"/>
      <c r="EP1359"/>
      <c r="EQ1359"/>
      <c r="ER1359"/>
      <c r="ES1359"/>
    </row>
    <row r="1360" spans="1:149">
      <c r="A1360"/>
      <c r="B1360"/>
      <c r="C1360"/>
      <c r="D1360"/>
      <c r="E1360"/>
      <c r="F1360"/>
      <c r="G1360"/>
      <c r="H1360"/>
      <c r="I1360"/>
      <c r="J1360"/>
      <c r="K1360"/>
      <c r="L1360"/>
      <c r="M1360"/>
      <c r="N1360"/>
      <c r="O1360"/>
      <c r="P1360"/>
      <c r="Q1360"/>
      <c r="R1360"/>
      <c r="S1360"/>
      <c r="T1360"/>
      <c r="U1360"/>
      <c r="V1360"/>
      <c r="W1360"/>
      <c r="X1360"/>
      <c r="Y1360"/>
      <c r="Z1360"/>
      <c r="AA1360"/>
      <c r="AB1360"/>
      <c r="AC1360"/>
      <c r="AD1360"/>
      <c r="AE1360"/>
      <c r="AF1360"/>
      <c r="AG1360"/>
      <c r="AH1360"/>
      <c r="AI1360"/>
      <c r="AJ1360"/>
      <c r="AK1360"/>
      <c r="AL1360"/>
      <c r="AM1360"/>
      <c r="AN1360"/>
      <c r="AO1360"/>
      <c r="AP1360"/>
      <c r="AQ1360"/>
      <c r="AR1360"/>
      <c r="AS1360"/>
      <c r="AT1360"/>
      <c r="AU1360"/>
      <c r="AV1360"/>
      <c r="AW1360"/>
      <c r="AX1360"/>
      <c r="AY1360"/>
      <c r="AZ1360"/>
      <c r="BA1360"/>
      <c r="BB1360"/>
      <c r="BC1360"/>
      <c r="BD1360"/>
      <c r="BE1360"/>
      <c r="BF1360"/>
      <c r="BG1360"/>
      <c r="BH1360"/>
      <c r="BI1360"/>
      <c r="BJ1360"/>
      <c r="BK1360"/>
      <c r="BL1360"/>
      <c r="BM1360"/>
      <c r="BN1360"/>
      <c r="BO1360"/>
      <c r="BP1360"/>
      <c r="BQ1360"/>
      <c r="BR1360"/>
      <c r="BS1360"/>
      <c r="BT1360"/>
      <c r="BU1360"/>
      <c r="BV1360"/>
      <c r="BW1360"/>
      <c r="BX1360"/>
      <c r="BY1360"/>
      <c r="BZ1360"/>
      <c r="CA1360"/>
      <c r="CB1360"/>
      <c r="CC1360"/>
      <c r="CD1360"/>
      <c r="CE1360"/>
      <c r="CF1360"/>
      <c r="CG1360"/>
      <c r="CH1360"/>
      <c r="CI1360"/>
      <c r="CJ1360"/>
      <c r="CK1360"/>
      <c r="CL1360"/>
      <c r="CM1360"/>
      <c r="CN1360"/>
      <c r="CO1360"/>
      <c r="CP1360"/>
      <c r="CQ1360"/>
      <c r="CR1360"/>
      <c r="CS1360"/>
      <c r="CT1360"/>
      <c r="CU1360"/>
      <c r="CV1360"/>
      <c r="CW1360"/>
      <c r="CX1360"/>
      <c r="CY1360"/>
      <c r="CZ1360"/>
      <c r="DA1360"/>
      <c r="DB1360"/>
      <c r="DC1360"/>
      <c r="DD1360"/>
      <c r="DE1360"/>
      <c r="DF1360"/>
      <c r="DG1360"/>
      <c r="DH1360"/>
      <c r="DI1360"/>
      <c r="DJ1360"/>
      <c r="DK1360"/>
      <c r="DL1360"/>
      <c r="DM1360"/>
      <c r="DN1360"/>
      <c r="DO1360"/>
      <c r="DP1360"/>
      <c r="DQ1360"/>
      <c r="DR1360"/>
      <c r="DS1360"/>
      <c r="DT1360"/>
      <c r="DU1360"/>
      <c r="DV1360"/>
      <c r="DW1360"/>
      <c r="DX1360"/>
      <c r="DY1360"/>
      <c r="DZ1360"/>
      <c r="EA1360"/>
      <c r="EB1360"/>
      <c r="EC1360"/>
      <c r="ED1360"/>
      <c r="EE1360"/>
      <c r="EF1360"/>
      <c r="EG1360"/>
      <c r="EH1360"/>
      <c r="EI1360"/>
      <c r="EJ1360"/>
      <c r="EK1360"/>
      <c r="EL1360"/>
      <c r="EM1360"/>
      <c r="EN1360"/>
      <c r="EO1360"/>
      <c r="EP1360"/>
      <c r="EQ1360"/>
      <c r="ER1360"/>
      <c r="ES1360"/>
    </row>
    <row r="1361" spans="1:149">
      <c r="A1361"/>
      <c r="B1361"/>
      <c r="C1361"/>
      <c r="D1361"/>
      <c r="E1361"/>
      <c r="F1361"/>
      <c r="G1361"/>
      <c r="H1361"/>
      <c r="I1361"/>
      <c r="J1361"/>
      <c r="K1361"/>
      <c r="L1361"/>
      <c r="M1361"/>
      <c r="N1361"/>
      <c r="O1361"/>
      <c r="P1361"/>
      <c r="Q1361"/>
      <c r="R1361"/>
      <c r="S1361"/>
      <c r="T1361"/>
      <c r="U1361"/>
      <c r="V1361"/>
      <c r="W1361"/>
      <c r="X1361"/>
      <c r="Y1361"/>
      <c r="Z1361"/>
      <c r="AA1361"/>
      <c r="AB1361"/>
      <c r="AC1361"/>
      <c r="AD1361"/>
      <c r="AE1361"/>
      <c r="AF1361"/>
      <c r="AG1361"/>
      <c r="AH1361"/>
      <c r="AI1361"/>
      <c r="AJ1361"/>
      <c r="AK1361"/>
      <c r="AL1361"/>
      <c r="AM1361"/>
      <c r="AN1361"/>
      <c r="AO1361"/>
      <c r="AP1361"/>
      <c r="AQ1361"/>
      <c r="AR1361"/>
      <c r="AS1361"/>
      <c r="AT1361"/>
      <c r="AU1361"/>
      <c r="AV1361"/>
      <c r="AW1361"/>
      <c r="AX1361"/>
      <c r="AY1361"/>
      <c r="AZ1361"/>
      <c r="BA1361"/>
      <c r="BB1361"/>
      <c r="BC1361"/>
      <c r="BD1361"/>
      <c r="BE1361"/>
      <c r="BF1361"/>
      <c r="BG1361"/>
      <c r="BH1361"/>
      <c r="BI1361"/>
      <c r="BJ1361"/>
      <c r="BK1361"/>
      <c r="BL1361"/>
      <c r="BM1361"/>
      <c r="BN1361"/>
      <c r="BO1361"/>
      <c r="BP1361"/>
      <c r="BQ1361"/>
      <c r="BR1361"/>
      <c r="BS1361"/>
      <c r="BT1361"/>
      <c r="BU1361"/>
      <c r="BV1361"/>
      <c r="BW1361"/>
      <c r="BX1361"/>
      <c r="BY1361"/>
      <c r="BZ1361"/>
      <c r="CA1361"/>
      <c r="CB1361"/>
      <c r="CC1361"/>
      <c r="CD1361"/>
      <c r="CE1361"/>
      <c r="CF1361"/>
      <c r="CG1361"/>
      <c r="CH1361"/>
      <c r="CI1361"/>
      <c r="CJ1361"/>
      <c r="CK1361"/>
      <c r="CL1361"/>
      <c r="CM1361"/>
      <c r="CN1361"/>
      <c r="CO1361"/>
      <c r="CP1361"/>
      <c r="CQ1361"/>
      <c r="CR1361"/>
      <c r="CS1361"/>
      <c r="CT1361"/>
      <c r="CU1361"/>
      <c r="CV1361"/>
      <c r="CW1361"/>
      <c r="CX1361"/>
      <c r="CY1361"/>
      <c r="CZ1361"/>
      <c r="DA1361"/>
      <c r="DB1361"/>
      <c r="DC1361"/>
      <c r="DD1361"/>
      <c r="DE1361"/>
      <c r="DF1361"/>
      <c r="DG1361"/>
      <c r="DH1361"/>
      <c r="DI1361"/>
      <c r="DJ1361"/>
      <c r="DK1361"/>
      <c r="DL1361"/>
      <c r="DM1361"/>
      <c r="DN1361"/>
      <c r="DO1361"/>
      <c r="DP1361"/>
      <c r="DQ1361"/>
      <c r="DR1361"/>
      <c r="DS1361"/>
      <c r="DT1361"/>
      <c r="DU1361"/>
      <c r="DV1361"/>
      <c r="DW1361"/>
      <c r="DX1361"/>
      <c r="DY1361"/>
      <c r="DZ1361"/>
      <c r="EA1361"/>
      <c r="EB1361"/>
      <c r="EC1361"/>
      <c r="ED1361"/>
      <c r="EE1361"/>
      <c r="EF1361"/>
      <c r="EG1361"/>
      <c r="EH1361"/>
      <c r="EI1361"/>
      <c r="EJ1361"/>
      <c r="EK1361"/>
      <c r="EL1361"/>
      <c r="EM1361"/>
      <c r="EN1361"/>
      <c r="EO1361"/>
      <c r="EP1361"/>
      <c r="EQ1361"/>
      <c r="ER1361"/>
      <c r="ES1361"/>
    </row>
    <row r="1362" spans="1:149">
      <c r="A1362"/>
      <c r="B1362"/>
      <c r="C1362"/>
      <c r="D1362"/>
      <c r="E1362"/>
      <c r="F1362"/>
      <c r="G1362"/>
      <c r="H1362"/>
      <c r="I1362"/>
      <c r="J1362"/>
      <c r="K1362"/>
      <c r="L1362"/>
      <c r="M1362"/>
      <c r="N1362"/>
      <c r="O1362"/>
      <c r="P1362"/>
      <c r="Q1362"/>
      <c r="R1362"/>
      <c r="S1362"/>
      <c r="T1362"/>
      <c r="U1362"/>
      <c r="V1362"/>
      <c r="W1362"/>
      <c r="X1362"/>
      <c r="Y1362"/>
      <c r="Z1362"/>
      <c r="AA1362"/>
      <c r="AB1362"/>
      <c r="AC1362"/>
      <c r="AD1362"/>
      <c r="AE1362"/>
      <c r="AF1362"/>
      <c r="AG1362"/>
      <c r="AH1362"/>
      <c r="AI1362"/>
      <c r="AJ1362"/>
      <c r="AK1362"/>
      <c r="AL1362"/>
      <c r="AM1362"/>
      <c r="AN1362"/>
      <c r="AO1362"/>
      <c r="AP1362"/>
      <c r="AQ1362"/>
      <c r="AR1362"/>
      <c r="AS1362"/>
      <c r="AT1362"/>
      <c r="AU1362"/>
      <c r="AV1362"/>
      <c r="AW1362"/>
      <c r="AX1362"/>
      <c r="AY1362"/>
      <c r="AZ1362"/>
      <c r="BA1362"/>
      <c r="BB1362"/>
      <c r="BC1362"/>
      <c r="BD1362"/>
      <c r="BE1362"/>
      <c r="BF1362"/>
      <c r="BG1362"/>
      <c r="BH1362"/>
      <c r="BI1362"/>
      <c r="BJ1362"/>
      <c r="BK1362"/>
      <c r="BL1362"/>
      <c r="BM1362"/>
      <c r="BN1362"/>
      <c r="BO1362"/>
      <c r="BP1362"/>
      <c r="BQ1362"/>
      <c r="BR1362"/>
      <c r="BS1362"/>
      <c r="BT1362"/>
      <c r="BU1362"/>
      <c r="BV1362"/>
      <c r="BW1362"/>
      <c r="BX1362"/>
      <c r="BY1362"/>
      <c r="BZ1362"/>
      <c r="CA1362"/>
      <c r="CB1362"/>
      <c r="CC1362"/>
      <c r="CD1362"/>
      <c r="CE1362"/>
      <c r="CF1362"/>
      <c r="CG1362"/>
      <c r="CH1362"/>
      <c r="CI1362"/>
      <c r="CJ1362"/>
      <c r="CK1362"/>
      <c r="CL1362"/>
      <c r="CM1362"/>
      <c r="CN1362"/>
      <c r="CO1362"/>
      <c r="CP1362"/>
      <c r="CQ1362"/>
      <c r="CR1362"/>
      <c r="CS1362"/>
      <c r="CT1362"/>
      <c r="CU1362"/>
      <c r="CV1362"/>
      <c r="CW1362"/>
      <c r="CX1362"/>
      <c r="CY1362"/>
      <c r="CZ1362"/>
      <c r="DA1362"/>
      <c r="DB1362"/>
      <c r="DC1362"/>
      <c r="DD1362"/>
      <c r="DE1362"/>
      <c r="DF1362"/>
      <c r="DG1362"/>
      <c r="DH1362"/>
      <c r="DI1362"/>
      <c r="DJ1362"/>
      <c r="DK1362"/>
      <c r="DL1362"/>
      <c r="DM1362"/>
      <c r="DN1362"/>
      <c r="DO1362"/>
      <c r="DP1362"/>
      <c r="DQ1362"/>
      <c r="DR1362"/>
      <c r="DS1362"/>
      <c r="DT1362"/>
      <c r="DU1362"/>
      <c r="DV1362"/>
      <c r="DW1362"/>
      <c r="DX1362"/>
      <c r="DY1362"/>
      <c r="DZ1362"/>
      <c r="EA1362"/>
      <c r="EB1362"/>
      <c r="EC1362"/>
      <c r="ED1362"/>
      <c r="EE1362"/>
      <c r="EF1362"/>
      <c r="EG1362"/>
      <c r="EH1362"/>
      <c r="EI1362"/>
      <c r="EJ1362"/>
      <c r="EK1362"/>
      <c r="EL1362"/>
      <c r="EM1362"/>
      <c r="EN1362"/>
      <c r="EO1362"/>
      <c r="EP1362"/>
      <c r="EQ1362"/>
      <c r="ER1362"/>
      <c r="ES1362"/>
    </row>
    <row r="1363" spans="1:149">
      <c r="A1363"/>
      <c r="B1363"/>
      <c r="C1363"/>
      <c r="D1363"/>
      <c r="E1363"/>
      <c r="F1363"/>
      <c r="G1363"/>
      <c r="H1363"/>
      <c r="I1363"/>
      <c r="J1363"/>
      <c r="K1363"/>
      <c r="L1363"/>
      <c r="M1363"/>
      <c r="N1363"/>
      <c r="O1363"/>
      <c r="P1363"/>
      <c r="Q1363"/>
      <c r="R1363"/>
      <c r="S1363"/>
      <c r="T1363"/>
      <c r="U1363"/>
      <c r="V1363"/>
      <c r="W1363"/>
      <c r="X1363"/>
      <c r="Y1363"/>
      <c r="Z1363"/>
      <c r="AA1363"/>
      <c r="AB1363"/>
      <c r="AC1363"/>
      <c r="AD1363"/>
      <c r="AE1363"/>
      <c r="AF1363"/>
      <c r="AG1363"/>
      <c r="AH1363"/>
      <c r="AI1363"/>
      <c r="AJ1363"/>
      <c r="AK1363"/>
      <c r="AL1363"/>
      <c r="AM1363"/>
      <c r="AN1363"/>
      <c r="AO1363"/>
      <c r="AP1363"/>
      <c r="AQ1363"/>
      <c r="AR1363"/>
      <c r="AS1363"/>
      <c r="AT1363"/>
      <c r="AU1363"/>
      <c r="AV1363"/>
      <c r="AW1363"/>
      <c r="AX1363"/>
      <c r="AY1363"/>
      <c r="AZ1363"/>
      <c r="BA1363"/>
      <c r="BB1363"/>
      <c r="BC1363"/>
      <c r="BD1363"/>
      <c r="BE1363"/>
      <c r="BF1363"/>
      <c r="BG1363"/>
      <c r="BH1363"/>
      <c r="BI1363"/>
      <c r="BJ1363"/>
      <c r="BK1363"/>
      <c r="BL1363"/>
      <c r="BM1363"/>
      <c r="BN1363"/>
      <c r="BO1363"/>
      <c r="BP1363"/>
      <c r="BQ1363"/>
      <c r="BR1363"/>
      <c r="BS1363"/>
      <c r="BT1363"/>
      <c r="BU1363"/>
      <c r="BV1363"/>
      <c r="BW1363"/>
      <c r="BX1363"/>
      <c r="BY1363"/>
      <c r="BZ1363"/>
      <c r="CA1363"/>
      <c r="CB1363"/>
      <c r="CC1363"/>
      <c r="CD1363"/>
      <c r="CE1363"/>
      <c r="CF1363"/>
      <c r="CG1363"/>
      <c r="CH1363"/>
      <c r="CI1363"/>
      <c r="CJ1363"/>
      <c r="CK1363"/>
      <c r="CL1363"/>
      <c r="CM1363"/>
      <c r="CN1363"/>
      <c r="CO1363"/>
      <c r="CP1363"/>
      <c r="CQ1363"/>
      <c r="CR1363"/>
      <c r="CS1363"/>
      <c r="CT1363"/>
      <c r="CU1363"/>
      <c r="CV1363"/>
      <c r="CW1363"/>
      <c r="CX1363"/>
      <c r="CY1363"/>
      <c r="CZ1363"/>
      <c r="DA1363"/>
      <c r="DB1363"/>
      <c r="DC1363"/>
      <c r="DD1363"/>
      <c r="DE1363"/>
      <c r="DF1363"/>
      <c r="DG1363"/>
      <c r="DH1363"/>
      <c r="DI1363"/>
      <c r="DJ1363"/>
      <c r="DK1363"/>
      <c r="DL1363"/>
      <c r="DM1363"/>
      <c r="DN1363"/>
      <c r="DO1363"/>
      <c r="DP1363"/>
      <c r="DQ1363"/>
      <c r="DR1363"/>
      <c r="DS1363"/>
      <c r="DT1363"/>
      <c r="DU1363"/>
      <c r="DV1363"/>
      <c r="DW1363"/>
      <c r="DX1363"/>
      <c r="DY1363"/>
      <c r="DZ1363"/>
      <c r="EA1363"/>
      <c r="EB1363"/>
      <c r="EC1363"/>
      <c r="ED1363"/>
      <c r="EE1363"/>
      <c r="EF1363"/>
      <c r="EG1363"/>
      <c r="EH1363"/>
      <c r="EI1363"/>
      <c r="EJ1363"/>
      <c r="EK1363"/>
      <c r="EL1363"/>
      <c r="EM1363"/>
      <c r="EN1363"/>
      <c r="EO1363"/>
      <c r="EP1363"/>
      <c r="EQ1363"/>
      <c r="ER1363"/>
      <c r="ES1363"/>
    </row>
    <row r="1364" spans="1:149">
      <c r="A1364"/>
      <c r="B1364"/>
      <c r="C1364"/>
      <c r="D1364"/>
      <c r="E1364"/>
      <c r="F1364"/>
      <c r="G1364"/>
      <c r="H1364"/>
      <c r="I1364"/>
      <c r="J1364"/>
      <c r="K1364"/>
      <c r="L1364"/>
      <c r="M1364"/>
      <c r="N1364"/>
      <c r="O1364"/>
      <c r="P1364"/>
      <c r="Q1364"/>
      <c r="R1364"/>
      <c r="S1364"/>
      <c r="T1364"/>
      <c r="U1364"/>
      <c r="V1364"/>
      <c r="W1364"/>
      <c r="X1364"/>
      <c r="Y1364"/>
      <c r="Z1364"/>
      <c r="AA1364"/>
      <c r="AB1364"/>
      <c r="AC1364"/>
      <c r="AD1364"/>
      <c r="AE1364"/>
      <c r="AF1364"/>
      <c r="AG1364"/>
      <c r="AH1364"/>
      <c r="AI1364"/>
      <c r="AJ1364"/>
      <c r="AK1364"/>
      <c r="AL1364"/>
      <c r="AM1364"/>
      <c r="AN1364"/>
      <c r="AO1364"/>
      <c r="AP1364"/>
      <c r="AQ1364"/>
      <c r="AR1364"/>
      <c r="AS1364"/>
      <c r="AT1364"/>
      <c r="AU1364"/>
      <c r="AV1364"/>
      <c r="AW1364"/>
      <c r="AX1364"/>
      <c r="AY1364"/>
      <c r="AZ1364"/>
      <c r="BA1364"/>
      <c r="BB1364"/>
      <c r="BC1364"/>
      <c r="BD1364"/>
      <c r="BE1364"/>
      <c r="BF1364"/>
      <c r="BG1364"/>
      <c r="BH1364"/>
      <c r="BI1364"/>
      <c r="BJ1364"/>
      <c r="BK1364"/>
      <c r="BL1364"/>
      <c r="BM1364"/>
      <c r="BN1364"/>
      <c r="BO1364"/>
      <c r="BP1364"/>
      <c r="BQ1364"/>
      <c r="BR1364"/>
      <c r="BS1364"/>
      <c r="BT1364"/>
      <c r="BU1364"/>
      <c r="BV1364"/>
      <c r="BW1364"/>
      <c r="BX1364"/>
      <c r="BY1364"/>
      <c r="BZ1364"/>
      <c r="CA1364"/>
      <c r="CB1364"/>
      <c r="CC1364"/>
      <c r="CD1364"/>
      <c r="CE1364"/>
      <c r="CF1364"/>
      <c r="CG1364"/>
      <c r="CH1364"/>
      <c r="CI1364"/>
      <c r="CJ1364"/>
      <c r="CK1364"/>
      <c r="CL1364"/>
      <c r="CM1364"/>
      <c r="CN1364"/>
      <c r="CO1364"/>
      <c r="CP1364"/>
      <c r="CQ1364"/>
      <c r="CR1364"/>
      <c r="CS1364"/>
      <c r="CT1364"/>
      <c r="CU1364"/>
      <c r="CV1364"/>
      <c r="CW1364"/>
      <c r="CX1364"/>
      <c r="CY1364"/>
      <c r="CZ1364"/>
      <c r="DA1364"/>
      <c r="DB1364"/>
      <c r="DC1364"/>
      <c r="DD1364"/>
      <c r="DE1364"/>
      <c r="DF1364"/>
      <c r="DG1364"/>
      <c r="DH1364"/>
      <c r="DI1364"/>
      <c r="DJ1364"/>
      <c r="DK1364"/>
      <c r="DL1364"/>
      <c r="DM1364"/>
      <c r="DN1364"/>
      <c r="DO1364"/>
      <c r="DP1364"/>
      <c r="DQ1364"/>
      <c r="DR1364"/>
      <c r="DS1364"/>
      <c r="DT1364"/>
      <c r="DU1364"/>
      <c r="DV1364"/>
      <c r="DW1364"/>
      <c r="DX1364"/>
      <c r="DY1364"/>
      <c r="DZ1364"/>
      <c r="EA1364"/>
      <c r="EB1364"/>
      <c r="EC1364"/>
      <c r="ED1364"/>
      <c r="EE1364"/>
      <c r="EF1364"/>
      <c r="EG1364"/>
      <c r="EH1364"/>
      <c r="EI1364"/>
      <c r="EJ1364"/>
      <c r="EK1364"/>
      <c r="EL1364"/>
      <c r="EM1364"/>
      <c r="EN1364"/>
      <c r="EO1364"/>
      <c r="EP1364"/>
      <c r="EQ1364"/>
      <c r="ER1364"/>
      <c r="ES1364"/>
    </row>
    <row r="1365" spans="1:149">
      <c r="A1365"/>
      <c r="B1365"/>
      <c r="C1365"/>
      <c r="D1365"/>
      <c r="E1365"/>
      <c r="F1365"/>
      <c r="G1365"/>
      <c r="H1365"/>
      <c r="I1365"/>
      <c r="J1365"/>
      <c r="K1365"/>
      <c r="L1365"/>
      <c r="M1365"/>
      <c r="N1365"/>
      <c r="O1365"/>
      <c r="P1365"/>
      <c r="Q1365"/>
      <c r="R1365"/>
      <c r="S1365"/>
      <c r="T1365"/>
      <c r="U1365"/>
      <c r="V1365"/>
      <c r="W1365"/>
      <c r="X1365"/>
      <c r="Y1365"/>
      <c r="Z1365"/>
      <c r="AA1365"/>
      <c r="AB1365"/>
      <c r="AC1365"/>
      <c r="AD1365"/>
      <c r="AE1365"/>
      <c r="AF1365"/>
      <c r="AG1365"/>
      <c r="AH1365"/>
      <c r="AI1365"/>
      <c r="AJ1365"/>
      <c r="AK1365"/>
      <c r="AL1365"/>
      <c r="AM1365"/>
      <c r="AN1365"/>
      <c r="AO1365"/>
      <c r="AP1365"/>
      <c r="AQ1365"/>
      <c r="AR1365"/>
      <c r="AS1365"/>
      <c r="AT1365"/>
      <c r="AU1365"/>
      <c r="AV1365"/>
      <c r="AW1365"/>
      <c r="AX1365"/>
      <c r="AY1365"/>
      <c r="AZ1365"/>
      <c r="BA1365"/>
      <c r="BB1365"/>
      <c r="BC1365"/>
      <c r="BD1365"/>
      <c r="BE1365"/>
      <c r="BF1365"/>
      <c r="BG1365"/>
      <c r="BH1365"/>
      <c r="BI1365"/>
      <c r="BJ1365"/>
      <c r="BK1365"/>
      <c r="BL1365"/>
      <c r="BM1365"/>
      <c r="BN1365"/>
      <c r="BO1365"/>
      <c r="BP1365"/>
      <c r="BQ1365"/>
      <c r="BR1365"/>
      <c r="BS1365"/>
      <c r="BT1365"/>
      <c r="BU1365"/>
      <c r="BV1365"/>
      <c r="BW1365"/>
      <c r="BX1365"/>
      <c r="BY1365"/>
      <c r="BZ1365"/>
      <c r="CA1365"/>
      <c r="CB1365"/>
      <c r="CC1365"/>
      <c r="CD1365"/>
      <c r="CE1365"/>
      <c r="CF1365"/>
      <c r="CG1365"/>
      <c r="CH1365"/>
      <c r="CI1365"/>
      <c r="CJ1365"/>
      <c r="CK1365"/>
      <c r="CL1365"/>
      <c r="CM1365"/>
      <c r="CN1365"/>
      <c r="CO1365"/>
      <c r="CP1365"/>
      <c r="CQ1365"/>
      <c r="CR1365"/>
      <c r="CS1365"/>
      <c r="CT1365"/>
      <c r="CU1365"/>
      <c r="CV1365"/>
      <c r="CW1365"/>
      <c r="CX1365"/>
      <c r="CY1365"/>
      <c r="CZ1365"/>
      <c r="DA1365"/>
      <c r="DB1365"/>
      <c r="DC1365"/>
      <c r="DD1365"/>
      <c r="DE1365"/>
      <c r="DF1365"/>
      <c r="DG1365"/>
      <c r="DH1365"/>
      <c r="DI1365"/>
      <c r="DJ1365"/>
      <c r="DK1365"/>
      <c r="DL1365"/>
      <c r="DM1365"/>
      <c r="DN1365"/>
      <c r="DO1365"/>
      <c r="DP1365"/>
      <c r="DQ1365"/>
      <c r="DR1365"/>
      <c r="DS1365"/>
      <c r="DT1365"/>
      <c r="DU1365"/>
      <c r="DV1365"/>
      <c r="DW1365"/>
      <c r="DX1365"/>
      <c r="DY1365"/>
      <c r="DZ1365"/>
      <c r="EA1365"/>
      <c r="EB1365"/>
      <c r="EC1365"/>
      <c r="ED1365"/>
      <c r="EE1365"/>
      <c r="EF1365"/>
      <c r="EG1365"/>
      <c r="EH1365"/>
      <c r="EI1365"/>
      <c r="EJ1365"/>
      <c r="EK1365"/>
      <c r="EL1365"/>
      <c r="EM1365"/>
      <c r="EN1365"/>
      <c r="EO1365"/>
      <c r="EP1365"/>
      <c r="EQ1365"/>
      <c r="ER1365"/>
      <c r="ES1365"/>
    </row>
    <row r="1366" spans="1:149">
      <c r="A1366"/>
      <c r="B1366"/>
      <c r="C1366"/>
      <c r="D1366"/>
      <c r="E1366"/>
      <c r="F1366"/>
      <c r="G1366"/>
      <c r="H1366"/>
      <c r="I1366"/>
      <c r="J1366"/>
      <c r="K1366"/>
      <c r="L1366"/>
      <c r="M1366"/>
      <c r="N1366"/>
      <c r="O1366"/>
      <c r="P1366"/>
      <c r="Q1366"/>
      <c r="R1366"/>
      <c r="S1366"/>
      <c r="T1366"/>
      <c r="U1366"/>
      <c r="V1366"/>
      <c r="W1366"/>
      <c r="X1366"/>
      <c r="Y1366"/>
      <c r="Z1366"/>
      <c r="AA1366"/>
      <c r="AB1366"/>
      <c r="AC1366"/>
      <c r="AD1366"/>
      <c r="AE1366"/>
      <c r="AF1366"/>
      <c r="AG1366"/>
      <c r="AH1366"/>
      <c r="AI1366"/>
      <c r="AJ1366"/>
      <c r="AK1366"/>
      <c r="AL1366"/>
      <c r="AM1366"/>
      <c r="AN1366"/>
      <c r="AO1366"/>
      <c r="AP1366"/>
      <c r="AQ1366"/>
      <c r="AR1366"/>
      <c r="AS1366"/>
      <c r="AT1366"/>
      <c r="AU1366"/>
      <c r="AV1366"/>
      <c r="AW1366"/>
      <c r="AX1366"/>
      <c r="AY1366"/>
      <c r="AZ1366"/>
      <c r="BA1366"/>
      <c r="BB1366"/>
      <c r="BC1366"/>
      <c r="BD1366"/>
      <c r="BE1366"/>
      <c r="BF1366"/>
      <c r="BG1366"/>
      <c r="BH1366"/>
      <c r="BI1366"/>
      <c r="BJ1366"/>
      <c r="BK1366"/>
      <c r="BL1366"/>
      <c r="BM1366"/>
      <c r="BN1366"/>
      <c r="BO1366"/>
      <c r="BP1366"/>
      <c r="BQ1366"/>
      <c r="BR1366"/>
      <c r="BS1366"/>
      <c r="BT1366"/>
      <c r="BU1366"/>
      <c r="BV1366"/>
      <c r="BW1366"/>
      <c r="BX1366"/>
      <c r="BY1366"/>
      <c r="BZ1366"/>
      <c r="CA1366"/>
      <c r="CB1366"/>
      <c r="CC1366"/>
      <c r="CD1366"/>
      <c r="CE1366"/>
      <c r="CF1366"/>
      <c r="CG1366"/>
      <c r="CH1366"/>
      <c r="CI1366"/>
      <c r="CJ1366"/>
      <c r="CK1366"/>
      <c r="CL1366"/>
      <c r="CM1366"/>
      <c r="CN1366"/>
      <c r="CO1366"/>
      <c r="CP1366"/>
      <c r="CQ1366"/>
      <c r="CR1366"/>
      <c r="CS1366"/>
      <c r="CT1366"/>
      <c r="CU1366"/>
      <c r="CV1366"/>
      <c r="CW1366"/>
      <c r="CX1366"/>
      <c r="CY1366"/>
      <c r="CZ1366"/>
      <c r="DA1366"/>
      <c r="DB1366"/>
      <c r="DC1366"/>
      <c r="DD1366"/>
      <c r="DE1366"/>
      <c r="DF1366"/>
      <c r="DG1366"/>
      <c r="DH1366"/>
      <c r="DI1366"/>
      <c r="DJ1366"/>
      <c r="DK1366"/>
      <c r="DL1366"/>
      <c r="DM1366"/>
      <c r="DN1366"/>
      <c r="DO1366"/>
      <c r="DP1366"/>
      <c r="DQ1366"/>
      <c r="DR1366"/>
      <c r="DS1366"/>
      <c r="DT1366"/>
      <c r="DU1366"/>
      <c r="DV1366"/>
      <c r="DW1366"/>
      <c r="DX1366"/>
      <c r="DY1366"/>
      <c r="DZ1366"/>
      <c r="EA1366"/>
      <c r="EB1366"/>
      <c r="EC1366"/>
      <c r="ED1366"/>
      <c r="EE1366"/>
      <c r="EF1366"/>
      <c r="EG1366"/>
      <c r="EH1366"/>
      <c r="EI1366"/>
      <c r="EJ1366"/>
      <c r="EK1366"/>
      <c r="EL1366"/>
      <c r="EM1366"/>
      <c r="EN1366"/>
      <c r="EO1366"/>
      <c r="EP1366"/>
      <c r="EQ1366"/>
      <c r="ER1366"/>
      <c r="ES1366"/>
    </row>
    <row r="1367" spans="1:149">
      <c r="A1367"/>
      <c r="B1367"/>
      <c r="C1367"/>
      <c r="D1367"/>
      <c r="E1367"/>
      <c r="F1367"/>
      <c r="G1367"/>
      <c r="H1367"/>
      <c r="I1367"/>
      <c r="J1367"/>
      <c r="K1367"/>
      <c r="L1367"/>
      <c r="M1367"/>
      <c r="N1367"/>
      <c r="O1367"/>
      <c r="P1367"/>
      <c r="Q1367"/>
      <c r="R1367"/>
      <c r="S1367"/>
      <c r="T1367"/>
      <c r="U1367"/>
      <c r="V1367"/>
      <c r="W1367"/>
      <c r="X1367"/>
      <c r="Y1367"/>
      <c r="Z1367"/>
      <c r="AA1367"/>
      <c r="AB1367"/>
      <c r="AC1367"/>
      <c r="AD1367"/>
      <c r="AE1367"/>
      <c r="AF1367"/>
      <c r="AG1367"/>
      <c r="AH1367"/>
      <c r="AI1367"/>
      <c r="AJ1367"/>
      <c r="AK1367"/>
      <c r="AL1367"/>
      <c r="AM1367"/>
      <c r="AN1367"/>
      <c r="AO1367"/>
      <c r="AP1367"/>
      <c r="AQ1367"/>
      <c r="AR1367"/>
      <c r="AS1367"/>
      <c r="AT1367"/>
      <c r="AU1367"/>
      <c r="AV1367"/>
      <c r="AW1367"/>
      <c r="AX1367"/>
      <c r="AY1367"/>
      <c r="AZ1367"/>
      <c r="BA1367"/>
      <c r="BB1367"/>
      <c r="BC1367"/>
      <c r="BD1367"/>
      <c r="BE1367"/>
      <c r="BF1367"/>
      <c r="BG1367"/>
      <c r="BH1367"/>
      <c r="BI1367"/>
      <c r="BJ1367"/>
      <c r="BK1367"/>
      <c r="BL1367"/>
      <c r="BM1367"/>
      <c r="BN1367"/>
      <c r="BO1367"/>
      <c r="BP1367"/>
      <c r="BQ1367"/>
      <c r="BR1367"/>
      <c r="BS1367"/>
      <c r="BT1367"/>
      <c r="BU1367"/>
      <c r="BV1367"/>
      <c r="BW1367"/>
      <c r="BX1367"/>
      <c r="BY1367"/>
      <c r="BZ1367"/>
      <c r="CA1367"/>
      <c r="CB1367"/>
      <c r="CC1367"/>
      <c r="CD1367"/>
      <c r="CE1367"/>
      <c r="CF1367"/>
      <c r="CG1367"/>
      <c r="CH1367"/>
      <c r="CI1367"/>
      <c r="CJ1367"/>
      <c r="CK1367"/>
      <c r="CL1367"/>
      <c r="CM1367"/>
      <c r="CN1367"/>
      <c r="CO1367"/>
      <c r="CP1367"/>
      <c r="CQ1367"/>
      <c r="CR1367"/>
      <c r="CS1367"/>
      <c r="CT1367"/>
      <c r="CU1367"/>
      <c r="CV1367"/>
      <c r="CW1367"/>
      <c r="CX1367"/>
      <c r="CY1367"/>
      <c r="CZ1367"/>
      <c r="DA1367"/>
      <c r="DB1367"/>
      <c r="DC1367"/>
      <c r="DD1367"/>
      <c r="DE1367"/>
      <c r="DF1367"/>
      <c r="DG1367"/>
      <c r="DH1367"/>
      <c r="DI1367"/>
      <c r="DJ1367"/>
      <c r="DK1367"/>
      <c r="DL1367"/>
      <c r="DM1367"/>
      <c r="DN1367"/>
      <c r="DO1367"/>
      <c r="DP1367"/>
      <c r="DQ1367"/>
      <c r="DR1367"/>
      <c r="DS1367"/>
      <c r="DT1367"/>
      <c r="DU1367"/>
      <c r="DV1367"/>
      <c r="DW1367"/>
      <c r="DX1367"/>
      <c r="DY1367"/>
      <c r="DZ1367"/>
      <c r="EA1367"/>
      <c r="EB1367"/>
      <c r="EC1367"/>
      <c r="ED1367"/>
      <c r="EE1367"/>
      <c r="EF1367"/>
      <c r="EG1367"/>
      <c r="EH1367"/>
      <c r="EI1367"/>
      <c r="EJ1367"/>
      <c r="EK1367"/>
      <c r="EL1367"/>
      <c r="EM1367"/>
      <c r="EN1367"/>
      <c r="EO1367"/>
      <c r="EP1367"/>
      <c r="EQ1367"/>
      <c r="ER1367"/>
      <c r="ES1367"/>
    </row>
    <row r="1368" spans="1:149">
      <c r="A1368"/>
      <c r="B1368"/>
      <c r="C1368"/>
      <c r="D1368"/>
      <c r="E1368"/>
      <c r="F1368"/>
      <c r="G1368"/>
      <c r="H1368"/>
      <c r="I1368"/>
      <c r="J1368"/>
      <c r="K1368"/>
      <c r="L1368"/>
      <c r="M1368"/>
      <c r="N1368"/>
      <c r="O1368"/>
      <c r="P1368"/>
      <c r="Q1368"/>
      <c r="R1368"/>
      <c r="S1368"/>
      <c r="T1368"/>
      <c r="U1368"/>
      <c r="V1368"/>
      <c r="W1368"/>
      <c r="X1368"/>
      <c r="Y1368"/>
      <c r="Z1368"/>
      <c r="AA1368"/>
      <c r="AB1368"/>
      <c r="AC1368"/>
      <c r="AD1368"/>
      <c r="AE1368"/>
      <c r="AF1368"/>
      <c r="AG1368"/>
      <c r="AH1368"/>
      <c r="AI1368"/>
      <c r="AJ1368"/>
      <c r="AK1368"/>
      <c r="AL1368"/>
      <c r="AM1368"/>
      <c r="AN1368"/>
      <c r="AO1368"/>
      <c r="AP1368"/>
      <c r="AQ1368"/>
      <c r="AR1368"/>
      <c r="AS1368"/>
      <c r="AT1368"/>
      <c r="AU1368"/>
      <c r="AV1368"/>
      <c r="AW1368"/>
      <c r="AX1368"/>
      <c r="AY1368"/>
      <c r="AZ1368"/>
      <c r="BA1368"/>
      <c r="BB1368"/>
      <c r="BC1368"/>
      <c r="BD1368"/>
      <c r="BE1368"/>
      <c r="BF1368"/>
      <c r="BG1368"/>
      <c r="BH1368"/>
      <c r="BI1368"/>
      <c r="BJ1368"/>
      <c r="BK1368"/>
      <c r="BL1368"/>
      <c r="BM1368"/>
      <c r="BN1368"/>
      <c r="BO1368"/>
      <c r="BP1368"/>
      <c r="BQ1368"/>
      <c r="BR1368"/>
      <c r="BS1368"/>
      <c r="BT1368"/>
      <c r="BU1368"/>
      <c r="BV1368"/>
      <c r="BW1368"/>
      <c r="BX1368"/>
      <c r="BY1368"/>
      <c r="BZ1368"/>
      <c r="CA1368"/>
      <c r="CB1368"/>
      <c r="CC1368"/>
      <c r="CD1368"/>
      <c r="CE1368"/>
      <c r="CF1368"/>
      <c r="CG1368"/>
      <c r="CH1368"/>
      <c r="CI1368"/>
      <c r="CJ1368"/>
      <c r="CK1368"/>
      <c r="CL1368"/>
      <c r="CM1368"/>
      <c r="CN1368"/>
      <c r="CO1368"/>
      <c r="CP1368"/>
      <c r="CQ1368"/>
      <c r="CR1368"/>
      <c r="CS1368"/>
      <c r="CT1368"/>
      <c r="CU1368"/>
      <c r="CV1368"/>
      <c r="CW1368"/>
      <c r="CX1368"/>
      <c r="CY1368"/>
      <c r="CZ1368"/>
      <c r="DA1368"/>
      <c r="DB1368"/>
      <c r="DC1368"/>
      <c r="DD1368"/>
      <c r="DE1368"/>
      <c r="DF1368"/>
      <c r="DG1368"/>
      <c r="DH1368"/>
      <c r="DI1368"/>
      <c r="DJ1368"/>
      <c r="DK1368"/>
      <c r="DL1368"/>
      <c r="DM1368"/>
      <c r="DN1368"/>
      <c r="DO1368"/>
      <c r="DP1368"/>
      <c r="DQ1368"/>
      <c r="DR1368"/>
      <c r="DS1368"/>
      <c r="DT1368"/>
      <c r="DU1368"/>
      <c r="DV1368"/>
      <c r="DW1368"/>
      <c r="DX1368"/>
      <c r="DY1368"/>
      <c r="DZ1368"/>
      <c r="EA1368"/>
      <c r="EB1368"/>
      <c r="EC1368"/>
      <c r="ED1368"/>
      <c r="EE1368"/>
      <c r="EF1368"/>
      <c r="EG1368"/>
      <c r="EH1368"/>
      <c r="EI1368"/>
      <c r="EJ1368"/>
      <c r="EK1368"/>
      <c r="EL1368"/>
      <c r="EM1368"/>
      <c r="EN1368"/>
      <c r="EO1368"/>
      <c r="EP1368"/>
      <c r="EQ1368"/>
      <c r="ER1368"/>
      <c r="ES1368"/>
    </row>
    <row r="1369" spans="1:149">
      <c r="A1369"/>
      <c r="B1369"/>
      <c r="C1369"/>
      <c r="D1369"/>
      <c r="E1369"/>
      <c r="F1369"/>
      <c r="G1369"/>
      <c r="H1369"/>
      <c r="I1369"/>
      <c r="J1369"/>
      <c r="K1369"/>
      <c r="L1369"/>
      <c r="M1369"/>
      <c r="N1369"/>
      <c r="O1369"/>
      <c r="P1369"/>
      <c r="Q1369"/>
      <c r="R1369"/>
      <c r="S1369"/>
      <c r="T1369"/>
      <c r="U1369"/>
      <c r="V1369"/>
      <c r="W1369"/>
      <c r="X1369"/>
      <c r="Y1369"/>
      <c r="Z1369"/>
      <c r="AA1369"/>
      <c r="AB1369"/>
      <c r="AC1369"/>
      <c r="AD1369"/>
      <c r="AE1369"/>
      <c r="AF1369"/>
      <c r="AG1369"/>
      <c r="AH1369"/>
      <c r="AI1369"/>
      <c r="AJ1369"/>
      <c r="AK1369"/>
      <c r="AL1369"/>
      <c r="AM1369"/>
      <c r="AN1369"/>
      <c r="AO1369"/>
      <c r="AP1369"/>
      <c r="AQ1369"/>
      <c r="AR1369"/>
      <c r="AS1369"/>
      <c r="AT1369"/>
      <c r="AU1369"/>
      <c r="AV1369"/>
      <c r="AW1369"/>
      <c r="AX1369"/>
      <c r="AY1369"/>
      <c r="AZ1369"/>
      <c r="BA1369"/>
      <c r="BB1369"/>
      <c r="BC1369"/>
      <c r="BD1369"/>
      <c r="BE1369"/>
      <c r="BF1369"/>
      <c r="BG1369"/>
      <c r="BH1369"/>
      <c r="BI1369"/>
      <c r="BJ1369"/>
      <c r="BK1369"/>
      <c r="BL1369"/>
      <c r="BM1369"/>
      <c r="BN1369"/>
      <c r="BO1369"/>
      <c r="BP1369"/>
      <c r="BQ1369"/>
      <c r="BR1369"/>
      <c r="BS1369"/>
      <c r="BT1369"/>
      <c r="BU1369"/>
      <c r="BV1369"/>
      <c r="BW1369"/>
      <c r="BX1369"/>
      <c r="BY1369"/>
      <c r="BZ1369"/>
      <c r="CA1369"/>
      <c r="CB1369"/>
      <c r="CC1369"/>
      <c r="CD1369"/>
      <c r="CE1369"/>
      <c r="CF1369"/>
      <c r="CG1369"/>
      <c r="CH1369"/>
      <c r="CI1369"/>
      <c r="CJ1369"/>
      <c r="CK1369"/>
      <c r="CL1369"/>
      <c r="CM1369"/>
      <c r="CN1369"/>
      <c r="CO1369"/>
      <c r="CP1369"/>
      <c r="CQ1369"/>
      <c r="CR1369"/>
      <c r="CS1369"/>
      <c r="CT1369"/>
      <c r="CU1369"/>
      <c r="CV1369"/>
      <c r="CW1369"/>
      <c r="CX1369"/>
      <c r="CY1369"/>
      <c r="CZ1369"/>
      <c r="DA1369"/>
      <c r="DB1369"/>
      <c r="DC1369"/>
      <c r="DD1369"/>
      <c r="DE1369"/>
      <c r="DF1369"/>
      <c r="DG1369"/>
      <c r="DH1369"/>
      <c r="DI1369"/>
      <c r="DJ1369"/>
      <c r="DK1369"/>
      <c r="DL1369"/>
      <c r="DM1369"/>
      <c r="DN1369"/>
      <c r="DO1369"/>
      <c r="DP1369"/>
      <c r="DQ1369"/>
      <c r="DR1369"/>
      <c r="DS1369"/>
      <c r="DT1369"/>
      <c r="DU1369"/>
      <c r="DV1369"/>
      <c r="DW1369"/>
      <c r="DX1369"/>
      <c r="DY1369"/>
      <c r="DZ1369"/>
      <c r="EA1369"/>
      <c r="EB1369"/>
      <c r="EC1369"/>
      <c r="ED1369"/>
      <c r="EE1369"/>
      <c r="EF1369"/>
      <c r="EG1369"/>
      <c r="EH1369"/>
      <c r="EI1369"/>
      <c r="EJ1369"/>
      <c r="EK1369"/>
      <c r="EL1369"/>
      <c r="EM1369"/>
      <c r="EN1369"/>
      <c r="EO1369"/>
      <c r="EP1369"/>
      <c r="EQ1369"/>
      <c r="ER1369"/>
      <c r="ES1369"/>
    </row>
    <row r="1370" spans="1:149">
      <c r="A1370"/>
      <c r="B1370"/>
      <c r="C1370"/>
      <c r="D1370"/>
      <c r="E1370"/>
      <c r="F1370"/>
      <c r="G1370"/>
      <c r="H1370"/>
      <c r="I1370"/>
      <c r="J1370"/>
      <c r="K1370"/>
      <c r="L1370"/>
      <c r="M1370"/>
      <c r="N1370"/>
      <c r="O1370"/>
      <c r="P1370"/>
      <c r="Q1370"/>
      <c r="R1370"/>
      <c r="S1370"/>
      <c r="T1370"/>
      <c r="U1370"/>
      <c r="V1370"/>
      <c r="W1370"/>
      <c r="X1370"/>
      <c r="Y1370"/>
      <c r="Z1370"/>
      <c r="AA1370"/>
      <c r="AB1370"/>
      <c r="AC1370"/>
      <c r="AD1370"/>
      <c r="AE1370"/>
      <c r="AF1370"/>
      <c r="AG1370"/>
      <c r="AH1370"/>
      <c r="AI1370"/>
      <c r="AJ1370"/>
      <c r="AK1370"/>
      <c r="AL1370"/>
      <c r="AM1370"/>
      <c r="AN1370"/>
      <c r="AO1370"/>
      <c r="AP1370"/>
      <c r="AQ1370"/>
      <c r="AR1370"/>
      <c r="AS1370"/>
      <c r="AT1370"/>
      <c r="AU1370"/>
      <c r="AV1370"/>
      <c r="AW1370"/>
      <c r="AX1370"/>
      <c r="AY1370"/>
      <c r="AZ1370"/>
      <c r="BA1370"/>
      <c r="BB1370"/>
      <c r="BC1370"/>
      <c r="BD1370"/>
      <c r="BE1370"/>
      <c r="BF1370"/>
      <c r="BG1370"/>
      <c r="BH1370"/>
      <c r="BI1370"/>
      <c r="BJ1370"/>
      <c r="BK1370"/>
      <c r="BL1370"/>
      <c r="BM1370"/>
      <c r="BN1370"/>
      <c r="BO1370"/>
      <c r="BP1370"/>
      <c r="BQ1370"/>
      <c r="BR1370"/>
      <c r="BS1370"/>
      <c r="BT1370"/>
      <c r="BU1370"/>
      <c r="BV1370"/>
      <c r="BW1370"/>
      <c r="BX1370"/>
      <c r="BY1370"/>
      <c r="BZ1370"/>
      <c r="CA1370"/>
      <c r="CB1370"/>
      <c r="CC1370"/>
      <c r="CD1370"/>
      <c r="CE1370"/>
      <c r="CF1370"/>
      <c r="CG1370"/>
      <c r="CH1370"/>
      <c r="CI1370"/>
      <c r="CJ1370"/>
      <c r="CK1370"/>
      <c r="CL1370"/>
      <c r="CM1370"/>
      <c r="CN1370"/>
      <c r="CO1370"/>
      <c r="CP1370"/>
      <c r="CQ1370"/>
      <c r="CR1370"/>
      <c r="CS1370"/>
      <c r="CT1370"/>
      <c r="CU1370"/>
      <c r="CV1370"/>
      <c r="CW1370"/>
      <c r="CX1370"/>
      <c r="CY1370"/>
      <c r="CZ1370"/>
      <c r="DA1370"/>
      <c r="DB1370"/>
      <c r="DC1370"/>
      <c r="DD1370"/>
      <c r="DE1370"/>
      <c r="DF1370"/>
      <c r="DG1370"/>
      <c r="DH1370"/>
      <c r="DI1370"/>
      <c r="DJ1370"/>
      <c r="DK1370"/>
      <c r="DL1370"/>
      <c r="DM1370"/>
      <c r="DN1370"/>
      <c r="DO1370"/>
      <c r="DP1370"/>
      <c r="DQ1370"/>
      <c r="DR1370"/>
      <c r="DS1370"/>
      <c r="DT1370"/>
      <c r="DU1370"/>
      <c r="DV1370"/>
      <c r="DW1370"/>
      <c r="DX1370"/>
      <c r="DY1370"/>
      <c r="DZ1370"/>
      <c r="EA1370"/>
      <c r="EB1370"/>
      <c r="EC1370"/>
      <c r="ED1370"/>
      <c r="EE1370"/>
      <c r="EF1370"/>
      <c r="EG1370"/>
      <c r="EH1370"/>
      <c r="EI1370"/>
      <c r="EJ1370"/>
      <c r="EK1370"/>
      <c r="EL1370"/>
      <c r="EM1370"/>
      <c r="EN1370"/>
      <c r="EO1370"/>
      <c r="EP1370"/>
      <c r="EQ1370"/>
      <c r="ER1370"/>
      <c r="ES1370"/>
    </row>
    <row r="1371" spans="1:149">
      <c r="A1371"/>
      <c r="B1371"/>
      <c r="C1371"/>
      <c r="D1371"/>
      <c r="E1371"/>
      <c r="F1371"/>
      <c r="G1371"/>
      <c r="H1371"/>
      <c r="I1371"/>
      <c r="J1371"/>
      <c r="K1371"/>
      <c r="L1371"/>
      <c r="M1371"/>
      <c r="N1371"/>
      <c r="O1371"/>
      <c r="P1371"/>
      <c r="Q1371"/>
      <c r="R1371"/>
      <c r="S1371"/>
      <c r="T1371"/>
      <c r="U1371"/>
      <c r="V1371"/>
      <c r="W1371"/>
      <c r="X1371"/>
      <c r="Y1371"/>
      <c r="Z1371"/>
      <c r="AA1371"/>
      <c r="AB1371"/>
      <c r="AC1371"/>
      <c r="AD1371"/>
      <c r="AE1371"/>
      <c r="AF1371"/>
      <c r="AG1371"/>
      <c r="AH1371"/>
      <c r="AI1371"/>
      <c r="AJ1371"/>
      <c r="AK1371"/>
      <c r="AL1371"/>
      <c r="AM1371"/>
      <c r="AN1371"/>
      <c r="AO1371"/>
      <c r="AP1371"/>
      <c r="AQ1371"/>
      <c r="AR1371"/>
      <c r="AS1371"/>
      <c r="AT1371"/>
      <c r="AU1371"/>
      <c r="AV1371"/>
      <c r="AW1371"/>
      <c r="AX1371"/>
      <c r="AY1371"/>
      <c r="AZ1371"/>
      <c r="BA1371"/>
      <c r="BB1371"/>
      <c r="BC1371"/>
      <c r="BD1371"/>
      <c r="BE1371"/>
      <c r="BF1371"/>
      <c r="BG1371"/>
      <c r="BH1371"/>
      <c r="BI1371"/>
      <c r="BJ1371"/>
      <c r="BK1371"/>
      <c r="BL1371"/>
      <c r="BM1371"/>
      <c r="BN1371"/>
      <c r="BO1371"/>
      <c r="BP1371"/>
      <c r="BQ1371"/>
      <c r="BR1371"/>
      <c r="BS1371"/>
      <c r="BT1371"/>
      <c r="BU1371"/>
      <c r="BV1371"/>
      <c r="BW1371"/>
      <c r="BX1371"/>
      <c r="BY1371"/>
      <c r="BZ1371"/>
      <c r="CA1371"/>
      <c r="CB1371"/>
      <c r="CC1371"/>
      <c r="CD1371"/>
      <c r="CE1371"/>
      <c r="CF1371"/>
      <c r="CG1371"/>
      <c r="CH1371"/>
      <c r="CI1371"/>
      <c r="CJ1371"/>
      <c r="CK1371"/>
      <c r="CL1371"/>
      <c r="CM1371"/>
      <c r="CN1371"/>
      <c r="CO1371"/>
      <c r="CP1371"/>
      <c r="CQ1371"/>
      <c r="CR1371"/>
      <c r="CS1371"/>
      <c r="CT1371"/>
      <c r="CU1371"/>
      <c r="CV1371"/>
      <c r="CW1371"/>
      <c r="CX1371"/>
      <c r="CY1371"/>
      <c r="CZ1371"/>
      <c r="DA1371"/>
      <c r="DB1371"/>
      <c r="DC1371"/>
      <c r="DD1371"/>
      <c r="DE1371"/>
      <c r="DF1371"/>
      <c r="DG1371"/>
      <c r="DH1371"/>
      <c r="DI1371"/>
      <c r="DJ1371"/>
      <c r="DK1371"/>
      <c r="DL1371"/>
      <c r="DM1371"/>
      <c r="DN1371"/>
      <c r="DO1371"/>
      <c r="DP1371"/>
      <c r="DQ1371"/>
      <c r="DR1371"/>
      <c r="DS1371"/>
      <c r="DT1371"/>
      <c r="DU1371"/>
      <c r="DV1371"/>
      <c r="DW1371"/>
      <c r="DX1371"/>
      <c r="DY1371"/>
      <c r="DZ1371"/>
      <c r="EA1371"/>
      <c r="EB1371"/>
      <c r="EC1371"/>
      <c r="ED1371"/>
      <c r="EE1371"/>
      <c r="EF1371"/>
      <c r="EG1371"/>
      <c r="EH1371"/>
      <c r="EI1371"/>
      <c r="EJ1371"/>
      <c r="EK1371"/>
      <c r="EL1371"/>
      <c r="EM1371"/>
      <c r="EN1371"/>
      <c r="EO1371"/>
      <c r="EP1371"/>
      <c r="EQ1371"/>
      <c r="ER1371"/>
      <c r="ES1371"/>
    </row>
    <row r="1372" spans="1:149">
      <c r="A1372"/>
      <c r="B1372"/>
      <c r="C1372"/>
      <c r="D1372"/>
      <c r="E1372"/>
      <c r="F1372"/>
      <c r="G1372"/>
      <c r="H1372"/>
      <c r="I1372"/>
      <c r="J1372"/>
      <c r="K1372"/>
      <c r="L1372"/>
      <c r="M1372"/>
      <c r="N1372"/>
      <c r="O1372"/>
      <c r="P1372"/>
      <c r="Q1372"/>
      <c r="R1372"/>
      <c r="S1372"/>
      <c r="T1372"/>
      <c r="U1372"/>
      <c r="V1372"/>
      <c r="W1372"/>
      <c r="X1372"/>
      <c r="Y1372"/>
      <c r="Z1372"/>
      <c r="AA1372"/>
      <c r="AB1372"/>
      <c r="AC1372"/>
      <c r="AD1372"/>
      <c r="AE1372"/>
      <c r="AF1372"/>
      <c r="AG1372"/>
      <c r="AH1372"/>
      <c r="AI1372"/>
      <c r="AJ1372"/>
      <c r="AK1372"/>
      <c r="AL1372"/>
      <c r="AM1372"/>
      <c r="AN1372"/>
      <c r="AO1372"/>
      <c r="AP1372"/>
      <c r="AQ1372"/>
      <c r="AR1372"/>
      <c r="AS1372"/>
      <c r="AT1372"/>
      <c r="AU1372"/>
      <c r="AV1372"/>
      <c r="AW1372"/>
      <c r="AX1372"/>
      <c r="AY1372"/>
      <c r="AZ1372"/>
      <c r="BA1372"/>
      <c r="BB1372"/>
      <c r="BC1372"/>
      <c r="BD1372"/>
      <c r="BE1372"/>
      <c r="BF1372"/>
      <c r="BG1372"/>
      <c r="BH1372"/>
      <c r="BI1372"/>
      <c r="BJ1372"/>
      <c r="BK1372"/>
      <c r="BL1372"/>
      <c r="BM1372"/>
      <c r="BN1372"/>
      <c r="BO1372"/>
      <c r="BP1372"/>
      <c r="BQ1372"/>
      <c r="BR1372"/>
      <c r="BS1372"/>
      <c r="BT1372"/>
      <c r="BU1372"/>
      <c r="BV1372"/>
      <c r="BW1372"/>
      <c r="BX1372"/>
      <c r="BY1372"/>
      <c r="BZ1372"/>
      <c r="CA1372"/>
      <c r="CB1372"/>
      <c r="CC1372"/>
      <c r="CD1372"/>
      <c r="CE1372"/>
      <c r="CF1372"/>
      <c r="CG1372"/>
      <c r="CH1372"/>
      <c r="CI1372"/>
      <c r="CJ1372"/>
      <c r="CK1372"/>
      <c r="CL1372"/>
      <c r="CM1372"/>
      <c r="CN1372"/>
      <c r="CO1372"/>
      <c r="CP1372"/>
      <c r="CQ1372"/>
      <c r="CR1372"/>
      <c r="CS1372"/>
      <c r="CT1372"/>
      <c r="CU1372"/>
      <c r="CV1372"/>
      <c r="CW1372"/>
      <c r="CX1372"/>
      <c r="CY1372"/>
      <c r="CZ1372"/>
      <c r="DA1372"/>
      <c r="DB1372"/>
      <c r="DC1372"/>
      <c r="DD1372"/>
      <c r="DE1372"/>
      <c r="DF1372"/>
      <c r="DG1372"/>
      <c r="DH1372"/>
      <c r="DI1372"/>
      <c r="DJ1372"/>
      <c r="DK1372"/>
      <c r="DL1372"/>
      <c r="DM1372"/>
      <c r="DN1372"/>
      <c r="DO1372"/>
      <c r="DP1372"/>
      <c r="DQ1372"/>
      <c r="DR1372"/>
      <c r="DS1372"/>
      <c r="DT1372"/>
      <c r="DU1372"/>
      <c r="DV1372"/>
      <c r="DW1372"/>
      <c r="DX1372"/>
      <c r="DY1372"/>
      <c r="DZ1372"/>
      <c r="EA1372"/>
      <c r="EB1372"/>
      <c r="EC1372"/>
      <c r="ED1372"/>
      <c r="EE1372"/>
      <c r="EF1372"/>
      <c r="EG1372"/>
      <c r="EH1372"/>
      <c r="EI1372"/>
      <c r="EJ1372"/>
      <c r="EK1372"/>
      <c r="EL1372"/>
      <c r="EM1372"/>
      <c r="EN1372"/>
      <c r="EO1372"/>
      <c r="EP1372"/>
      <c r="EQ1372"/>
      <c r="ER1372"/>
      <c r="ES1372"/>
    </row>
    <row r="1373" spans="1:149">
      <c r="A1373"/>
      <c r="B1373"/>
      <c r="C1373"/>
      <c r="D1373"/>
      <c r="E1373"/>
      <c r="F1373"/>
      <c r="G1373"/>
      <c r="H1373"/>
      <c r="I1373"/>
      <c r="J1373"/>
      <c r="K1373"/>
      <c r="L1373"/>
      <c r="M1373"/>
      <c r="N1373"/>
      <c r="O1373"/>
      <c r="P1373"/>
      <c r="Q1373"/>
      <c r="R1373"/>
      <c r="S1373"/>
      <c r="T1373"/>
      <c r="U1373"/>
      <c r="V1373"/>
      <c r="W1373"/>
      <c r="X1373"/>
      <c r="Y1373"/>
      <c r="Z1373"/>
      <c r="AA1373"/>
      <c r="AB1373"/>
      <c r="AC1373"/>
      <c r="AD1373"/>
      <c r="AE1373"/>
      <c r="AF1373"/>
      <c r="AG1373"/>
      <c r="AH1373"/>
      <c r="AI1373"/>
      <c r="AJ1373"/>
      <c r="AK1373"/>
      <c r="AL1373"/>
      <c r="AM1373"/>
      <c r="AN1373"/>
      <c r="AO1373"/>
      <c r="AP1373"/>
      <c r="AQ1373"/>
      <c r="AR1373"/>
      <c r="AS1373"/>
      <c r="AT1373"/>
      <c r="AU1373"/>
      <c r="AV1373"/>
      <c r="AW1373"/>
      <c r="AX1373"/>
      <c r="AY1373"/>
      <c r="AZ1373"/>
      <c r="BA1373"/>
      <c r="BB1373"/>
      <c r="BC1373"/>
      <c r="BD1373"/>
      <c r="BE1373"/>
      <c r="BF1373"/>
      <c r="BG1373"/>
      <c r="BH1373"/>
      <c r="BI1373"/>
      <c r="BJ1373"/>
      <c r="BK1373"/>
      <c r="BL1373"/>
      <c r="BM1373"/>
      <c r="BN1373"/>
      <c r="BO1373"/>
      <c r="BP1373"/>
      <c r="BQ1373"/>
      <c r="BR1373"/>
      <c r="BS1373"/>
      <c r="BT1373"/>
      <c r="BU1373"/>
      <c r="BV1373"/>
      <c r="BW1373"/>
      <c r="BX1373"/>
      <c r="BY1373"/>
      <c r="BZ1373"/>
      <c r="CA1373"/>
      <c r="CB1373"/>
      <c r="CC1373"/>
      <c r="CD1373"/>
      <c r="CE1373"/>
      <c r="CF1373"/>
      <c r="CG1373"/>
      <c r="CH1373"/>
      <c r="CI1373"/>
      <c r="CJ1373"/>
      <c r="CK1373"/>
      <c r="CL1373"/>
      <c r="CM1373"/>
      <c r="CN1373"/>
      <c r="CO1373"/>
      <c r="CP1373"/>
      <c r="CQ1373"/>
      <c r="CR1373"/>
      <c r="CS1373"/>
      <c r="CT1373"/>
      <c r="CU1373"/>
      <c r="CV1373"/>
      <c r="CW1373"/>
      <c r="CX1373"/>
      <c r="CY1373"/>
      <c r="CZ1373"/>
      <c r="DA1373"/>
      <c r="DB1373"/>
      <c r="DC1373"/>
      <c r="DD1373"/>
      <c r="DE1373"/>
      <c r="DF1373"/>
      <c r="DG1373"/>
      <c r="DH1373"/>
      <c r="DI1373"/>
      <c r="DJ1373"/>
      <c r="DK1373"/>
      <c r="DL1373"/>
      <c r="DM1373"/>
      <c r="DN1373"/>
      <c r="DO1373"/>
      <c r="DP1373"/>
      <c r="DQ1373"/>
      <c r="DR1373"/>
      <c r="DS1373"/>
      <c r="DT1373"/>
      <c r="DU1373"/>
      <c r="DV1373"/>
      <c r="DW1373"/>
      <c r="DX1373"/>
      <c r="DY1373"/>
      <c r="DZ1373"/>
      <c r="EA1373"/>
      <c r="EB1373"/>
      <c r="EC1373"/>
      <c r="ED1373"/>
      <c r="EE1373"/>
      <c r="EF1373"/>
      <c r="EG1373"/>
      <c r="EH1373"/>
      <c r="EI1373"/>
      <c r="EJ1373"/>
      <c r="EK1373"/>
      <c r="EL1373"/>
      <c r="EM1373"/>
      <c r="EN1373"/>
      <c r="EO1373"/>
      <c r="EP1373"/>
      <c r="EQ1373"/>
      <c r="ER1373"/>
      <c r="ES1373"/>
    </row>
    <row r="1374" spans="1:149">
      <c r="A1374"/>
      <c r="B1374"/>
      <c r="C1374"/>
      <c r="D1374"/>
      <c r="E1374"/>
      <c r="F1374"/>
      <c r="G1374"/>
      <c r="H1374"/>
      <c r="I1374"/>
      <c r="J1374"/>
      <c r="K1374"/>
      <c r="L1374"/>
      <c r="M1374"/>
      <c r="N1374"/>
      <c r="O1374"/>
      <c r="P1374"/>
      <c r="Q1374"/>
      <c r="R1374"/>
      <c r="S1374"/>
      <c r="T1374"/>
      <c r="U1374"/>
      <c r="V1374"/>
      <c r="W1374"/>
      <c r="X1374"/>
      <c r="Y1374"/>
      <c r="Z1374"/>
      <c r="AA1374"/>
      <c r="AB1374"/>
      <c r="AC1374"/>
      <c r="AD1374"/>
      <c r="AE1374"/>
      <c r="AF1374"/>
      <c r="AG1374"/>
      <c r="AH1374"/>
      <c r="AI1374"/>
      <c r="AJ1374"/>
      <c r="AK1374"/>
      <c r="AL1374"/>
      <c r="AM1374"/>
      <c r="AN1374"/>
      <c r="AO1374"/>
      <c r="AP1374"/>
      <c r="AQ1374"/>
      <c r="AR1374"/>
      <c r="AS1374"/>
      <c r="AT1374"/>
      <c r="AU1374"/>
      <c r="AV1374"/>
      <c r="AW1374"/>
      <c r="AX1374"/>
      <c r="AY1374"/>
      <c r="AZ1374"/>
      <c r="BA1374"/>
      <c r="BB1374"/>
      <c r="BC1374"/>
      <c r="BD1374"/>
      <c r="BE1374"/>
      <c r="BF1374"/>
      <c r="BG1374"/>
      <c r="BH1374"/>
      <c r="BI1374"/>
      <c r="BJ1374"/>
      <c r="BK1374"/>
      <c r="BL1374"/>
      <c r="BM1374"/>
      <c r="BN1374"/>
      <c r="BO1374"/>
      <c r="BP1374"/>
      <c r="BQ1374"/>
      <c r="BR1374"/>
      <c r="BS1374"/>
      <c r="BT1374"/>
      <c r="BU1374"/>
      <c r="BV1374"/>
      <c r="BW1374"/>
      <c r="BX1374"/>
      <c r="BY1374"/>
      <c r="BZ1374"/>
      <c r="CA1374"/>
      <c r="CB1374"/>
      <c r="CC1374"/>
      <c r="CD1374"/>
      <c r="CE1374"/>
      <c r="CF1374"/>
      <c r="CG1374"/>
      <c r="CH1374"/>
      <c r="CI1374"/>
      <c r="CJ1374"/>
      <c r="CK1374"/>
      <c r="CL1374"/>
      <c r="CM1374"/>
      <c r="CN1374"/>
      <c r="CO1374"/>
      <c r="CP1374"/>
      <c r="CQ1374"/>
      <c r="CR1374"/>
      <c r="CS1374"/>
      <c r="CT1374"/>
      <c r="CU1374"/>
      <c r="CV1374"/>
      <c r="CW1374"/>
      <c r="CX1374"/>
      <c r="CY1374"/>
      <c r="CZ1374"/>
      <c r="DA1374"/>
      <c r="DB1374"/>
      <c r="DC1374"/>
      <c r="DD1374"/>
      <c r="DE1374"/>
      <c r="DF1374"/>
      <c r="DG1374"/>
      <c r="DH1374"/>
      <c r="DI1374"/>
      <c r="DJ1374"/>
      <c r="DK1374"/>
      <c r="DL1374"/>
      <c r="DM1374"/>
      <c r="DN1374"/>
      <c r="DO1374"/>
      <c r="DP1374"/>
      <c r="DQ1374"/>
      <c r="DR1374"/>
      <c r="DS1374"/>
      <c r="DT1374"/>
      <c r="DU1374"/>
      <c r="DV1374"/>
      <c r="DW1374"/>
      <c r="DX1374"/>
      <c r="DY1374"/>
      <c r="DZ1374"/>
      <c r="EA1374"/>
      <c r="EB1374"/>
      <c r="EC1374"/>
      <c r="ED1374"/>
      <c r="EE1374"/>
      <c r="EF1374"/>
      <c r="EG1374"/>
      <c r="EH1374"/>
      <c r="EI1374"/>
      <c r="EJ1374"/>
      <c r="EK1374"/>
      <c r="EL1374"/>
      <c r="EM1374"/>
      <c r="EN1374"/>
      <c r="EO1374"/>
      <c r="EP1374"/>
      <c r="EQ1374"/>
      <c r="ER1374"/>
      <c r="ES1374"/>
    </row>
    <row r="1375" spans="1:149">
      <c r="A1375"/>
      <c r="B1375"/>
      <c r="C1375"/>
      <c r="D1375"/>
      <c r="E1375"/>
      <c r="F1375"/>
      <c r="G1375"/>
      <c r="H1375"/>
      <c r="I1375"/>
      <c r="J1375"/>
      <c r="K1375"/>
      <c r="L1375"/>
      <c r="M1375"/>
      <c r="N1375"/>
      <c r="O1375"/>
      <c r="P1375"/>
      <c r="Q1375"/>
      <c r="R1375"/>
      <c r="S1375"/>
      <c r="T1375"/>
      <c r="U1375"/>
      <c r="V1375"/>
      <c r="W1375"/>
      <c r="X1375"/>
      <c r="Y1375"/>
      <c r="Z1375"/>
      <c r="AA1375"/>
      <c r="AB1375"/>
      <c r="AC1375"/>
      <c r="AD1375"/>
      <c r="AE1375"/>
      <c r="AF1375"/>
      <c r="AG1375"/>
      <c r="AH1375"/>
      <c r="AI1375"/>
      <c r="AJ1375"/>
      <c r="AK1375"/>
      <c r="AL1375"/>
      <c r="AM1375"/>
      <c r="AN1375"/>
      <c r="AO1375"/>
      <c r="AP1375"/>
      <c r="AQ1375"/>
      <c r="AR1375"/>
      <c r="AS1375"/>
      <c r="AT1375"/>
      <c r="AU1375"/>
      <c r="AV1375"/>
      <c r="AW1375"/>
      <c r="AX1375"/>
      <c r="AY1375"/>
      <c r="AZ1375"/>
      <c r="BA1375"/>
      <c r="BB1375"/>
      <c r="BC1375"/>
      <c r="BD1375"/>
      <c r="BE1375"/>
      <c r="BF1375"/>
      <c r="BG1375"/>
      <c r="BH1375"/>
      <c r="BI1375"/>
      <c r="BJ1375"/>
      <c r="BK1375"/>
      <c r="BL1375"/>
      <c r="BM1375"/>
      <c r="BN1375"/>
      <c r="BO1375"/>
      <c r="BP1375"/>
      <c r="BQ1375"/>
      <c r="BR1375"/>
      <c r="BS1375"/>
      <c r="BT1375"/>
      <c r="BU1375"/>
      <c r="BV1375"/>
      <c r="BW1375"/>
      <c r="BX1375"/>
      <c r="BY1375"/>
      <c r="BZ1375"/>
      <c r="CA1375"/>
      <c r="CB1375"/>
      <c r="CC1375"/>
      <c r="CD1375"/>
      <c r="CE1375"/>
      <c r="CF1375"/>
      <c r="CG1375"/>
      <c r="CH1375"/>
      <c r="CI1375"/>
      <c r="CJ1375"/>
      <c r="CK1375"/>
      <c r="CL1375"/>
      <c r="CM1375"/>
      <c r="CN1375"/>
      <c r="CO1375"/>
      <c r="CP1375"/>
      <c r="CQ1375"/>
      <c r="CR1375"/>
      <c r="CS1375"/>
      <c r="CT1375"/>
      <c r="CU1375"/>
      <c r="CV1375"/>
      <c r="CW1375"/>
      <c r="CX1375"/>
      <c r="CY1375"/>
      <c r="CZ1375"/>
      <c r="DA1375"/>
      <c r="DB1375"/>
      <c r="DC1375"/>
      <c r="DD1375"/>
      <c r="DE1375"/>
      <c r="DF1375"/>
      <c r="DG1375"/>
      <c r="DH1375"/>
      <c r="DI1375"/>
      <c r="DJ1375"/>
      <c r="DK1375"/>
      <c r="DL1375"/>
      <c r="DM1375"/>
      <c r="DN1375"/>
      <c r="DO1375"/>
      <c r="DP1375"/>
      <c r="DQ1375"/>
      <c r="DR1375"/>
      <c r="DS1375"/>
      <c r="DT1375"/>
      <c r="DU1375"/>
      <c r="DV1375"/>
      <c r="DW1375"/>
      <c r="DX1375"/>
      <c r="DY1375"/>
      <c r="DZ1375"/>
      <c r="EA1375"/>
      <c r="EB1375"/>
      <c r="EC1375"/>
      <c r="ED1375"/>
      <c r="EE1375"/>
      <c r="EF1375"/>
      <c r="EG1375"/>
      <c r="EH1375"/>
      <c r="EI1375"/>
      <c r="EJ1375"/>
      <c r="EK1375"/>
      <c r="EL1375"/>
      <c r="EM1375"/>
      <c r="EN1375"/>
      <c r="EO1375"/>
      <c r="EP1375"/>
      <c r="EQ1375"/>
      <c r="ER1375"/>
      <c r="ES1375"/>
    </row>
    <row r="1376" spans="1:149">
      <c r="A1376"/>
      <c r="B1376"/>
      <c r="C1376"/>
      <c r="D1376"/>
      <c r="E1376"/>
      <c r="F1376"/>
      <c r="G1376"/>
      <c r="H1376"/>
      <c r="I1376"/>
      <c r="J1376"/>
      <c r="K1376"/>
      <c r="L1376"/>
      <c r="M1376"/>
      <c r="N1376"/>
      <c r="O1376"/>
      <c r="P1376"/>
      <c r="Q1376"/>
      <c r="R1376"/>
      <c r="S1376"/>
      <c r="T1376"/>
      <c r="U1376"/>
      <c r="V1376"/>
      <c r="W1376"/>
      <c r="X1376"/>
      <c r="Y1376"/>
      <c r="Z1376"/>
      <c r="AA1376"/>
      <c r="AB1376"/>
      <c r="AC1376"/>
      <c r="AD1376"/>
      <c r="AE1376"/>
      <c r="AF1376"/>
      <c r="AG1376"/>
      <c r="AH1376"/>
      <c r="AI1376"/>
      <c r="AJ1376"/>
      <c r="AK1376"/>
      <c r="AL1376"/>
      <c r="AM1376"/>
      <c r="AN1376"/>
      <c r="AO1376"/>
      <c r="AP1376"/>
      <c r="AQ1376"/>
      <c r="AR1376"/>
      <c r="AS1376"/>
      <c r="AT1376"/>
      <c r="AU1376"/>
      <c r="AV1376"/>
      <c r="AW1376"/>
      <c r="AX1376"/>
      <c r="AY1376"/>
      <c r="AZ1376"/>
      <c r="BA1376"/>
      <c r="BB1376"/>
      <c r="BC1376"/>
      <c r="BD1376"/>
      <c r="BE1376"/>
      <c r="BF1376"/>
      <c r="BG1376"/>
      <c r="BH1376"/>
      <c r="BI1376"/>
      <c r="BJ1376"/>
      <c r="BK1376"/>
      <c r="BL1376"/>
      <c r="BM1376"/>
      <c r="BN1376"/>
      <c r="BO1376"/>
      <c r="BP1376"/>
      <c r="BQ1376"/>
      <c r="BR1376"/>
      <c r="BS1376"/>
      <c r="BT1376"/>
      <c r="BU1376"/>
      <c r="BV1376"/>
      <c r="BW1376"/>
      <c r="BX1376"/>
      <c r="BY1376"/>
      <c r="BZ1376"/>
      <c r="CA1376"/>
      <c r="CB1376"/>
      <c r="CC1376"/>
      <c r="CD1376"/>
      <c r="CE1376"/>
      <c r="CF1376"/>
      <c r="CG1376"/>
      <c r="CH1376"/>
      <c r="CI1376"/>
      <c r="CJ1376"/>
      <c r="CK1376"/>
      <c r="CL1376"/>
      <c r="CM1376"/>
      <c r="CN1376"/>
      <c r="CO1376"/>
      <c r="CP1376"/>
      <c r="CQ1376"/>
      <c r="CR1376"/>
      <c r="CS1376"/>
      <c r="CT1376"/>
      <c r="CU1376"/>
      <c r="CV1376"/>
      <c r="CW1376"/>
      <c r="CX1376"/>
      <c r="CY1376"/>
      <c r="CZ1376"/>
      <c r="DA1376"/>
      <c r="DB1376"/>
      <c r="DC1376"/>
      <c r="DD1376"/>
      <c r="DE1376"/>
      <c r="DF1376"/>
      <c r="DG1376"/>
      <c r="DH1376"/>
      <c r="DI1376"/>
      <c r="DJ1376"/>
      <c r="DK1376"/>
      <c r="DL1376"/>
      <c r="DM1376"/>
      <c r="DN1376"/>
      <c r="DO1376"/>
      <c r="DP1376"/>
      <c r="DQ1376"/>
      <c r="DR1376"/>
      <c r="DS1376"/>
      <c r="DT1376"/>
      <c r="DU1376"/>
      <c r="DV1376"/>
      <c r="DW1376"/>
      <c r="DX1376"/>
      <c r="DY1376"/>
      <c r="DZ1376"/>
      <c r="EA1376"/>
      <c r="EB1376"/>
      <c r="EC1376"/>
      <c r="ED1376"/>
      <c r="EE1376"/>
      <c r="EF1376"/>
      <c r="EG1376"/>
      <c r="EH1376"/>
      <c r="EI1376"/>
      <c r="EJ1376"/>
      <c r="EK1376"/>
      <c r="EL1376"/>
      <c r="EM1376"/>
      <c r="EN1376"/>
      <c r="EO1376"/>
      <c r="EP1376"/>
      <c r="EQ1376"/>
      <c r="ER1376"/>
      <c r="ES1376"/>
    </row>
    <row r="1377" spans="1:149">
      <c r="A1377"/>
      <c r="B1377"/>
      <c r="C1377"/>
      <c r="D1377"/>
      <c r="E1377"/>
      <c r="F1377"/>
      <c r="G1377"/>
      <c r="H1377"/>
      <c r="I1377"/>
      <c r="J1377"/>
      <c r="K1377"/>
      <c r="L1377"/>
      <c r="M1377"/>
      <c r="N1377"/>
      <c r="O1377"/>
      <c r="P1377"/>
      <c r="Q1377"/>
      <c r="R1377"/>
      <c r="S1377"/>
      <c r="T1377"/>
      <c r="U1377"/>
      <c r="V1377"/>
      <c r="W1377"/>
      <c r="X1377"/>
      <c r="Y1377"/>
      <c r="Z1377"/>
      <c r="AA1377"/>
      <c r="AB1377"/>
      <c r="AC1377"/>
      <c r="AD1377"/>
      <c r="AE1377"/>
      <c r="AF1377"/>
      <c r="AG1377"/>
      <c r="AH1377"/>
      <c r="AI1377"/>
      <c r="AJ1377"/>
      <c r="AK1377"/>
      <c r="AL1377"/>
      <c r="AM1377"/>
      <c r="AN1377"/>
      <c r="AO1377"/>
      <c r="AP1377"/>
      <c r="AQ1377"/>
      <c r="AR1377"/>
      <c r="AS1377"/>
      <c r="AT1377"/>
      <c r="AU1377"/>
      <c r="AV1377"/>
      <c r="AW1377"/>
      <c r="AX1377"/>
      <c r="AY1377"/>
      <c r="AZ1377"/>
      <c r="BA1377"/>
      <c r="BB1377"/>
      <c r="BC1377"/>
      <c r="BD1377"/>
      <c r="BE1377"/>
      <c r="BF1377"/>
      <c r="BG1377"/>
      <c r="BH1377"/>
      <c r="BI1377"/>
      <c r="BJ1377"/>
      <c r="BK1377"/>
      <c r="BL1377"/>
      <c r="BM1377"/>
      <c r="BN1377"/>
      <c r="BO1377"/>
      <c r="BP1377"/>
      <c r="BQ1377"/>
      <c r="BR1377"/>
      <c r="BS1377"/>
      <c r="BT1377"/>
      <c r="BU1377"/>
      <c r="BV1377"/>
      <c r="BW1377"/>
      <c r="BX1377"/>
      <c r="BY1377"/>
      <c r="BZ1377"/>
      <c r="CA1377"/>
      <c r="CB1377"/>
      <c r="CC1377"/>
      <c r="CD1377"/>
      <c r="CE1377"/>
      <c r="CF1377"/>
      <c r="CG1377"/>
      <c r="CH1377"/>
      <c r="CI1377"/>
      <c r="CJ1377"/>
      <c r="CK1377"/>
      <c r="CL1377"/>
      <c r="CM1377"/>
      <c r="CN1377"/>
      <c r="CO1377"/>
      <c r="CP1377"/>
      <c r="CQ1377"/>
      <c r="CR1377"/>
      <c r="CS1377"/>
      <c r="CT1377"/>
      <c r="CU1377"/>
      <c r="CV1377"/>
      <c r="CW1377"/>
      <c r="CX1377"/>
      <c r="CY1377"/>
      <c r="CZ1377"/>
      <c r="DA1377"/>
      <c r="DB1377"/>
      <c r="DC1377"/>
      <c r="DD1377"/>
      <c r="DE1377"/>
      <c r="DF1377"/>
      <c r="DG1377"/>
      <c r="DH1377"/>
      <c r="DI1377"/>
      <c r="DJ1377"/>
      <c r="DK1377"/>
      <c r="DL1377"/>
      <c r="DM1377"/>
      <c r="DN1377"/>
      <c r="DO1377"/>
      <c r="DP1377"/>
      <c r="DQ1377"/>
      <c r="DR1377"/>
      <c r="DS1377"/>
      <c r="DT1377"/>
      <c r="DU1377"/>
      <c r="DV1377"/>
      <c r="DW1377"/>
      <c r="DX1377"/>
      <c r="DY1377"/>
      <c r="DZ1377"/>
      <c r="EA1377"/>
      <c r="EB1377"/>
      <c r="EC1377"/>
      <c r="ED1377"/>
      <c r="EE1377"/>
      <c r="EF1377"/>
      <c r="EG1377"/>
      <c r="EH1377"/>
      <c r="EI1377"/>
      <c r="EJ1377"/>
      <c r="EK1377"/>
      <c r="EL1377"/>
      <c r="EM1377"/>
      <c r="EN1377"/>
      <c r="EO1377"/>
      <c r="EP1377"/>
      <c r="EQ1377"/>
      <c r="ER1377"/>
      <c r="ES1377"/>
    </row>
    <row r="1378" spans="1:149">
      <c r="A1378"/>
      <c r="B1378"/>
      <c r="C1378"/>
      <c r="D1378"/>
      <c r="E1378"/>
      <c r="F1378"/>
      <c r="G1378"/>
      <c r="H1378"/>
      <c r="I1378"/>
      <c r="J1378"/>
      <c r="K1378"/>
      <c r="L1378"/>
      <c r="M1378"/>
      <c r="N1378"/>
      <c r="O1378"/>
      <c r="P1378"/>
      <c r="Q1378"/>
      <c r="R1378"/>
      <c r="S1378"/>
      <c r="T1378"/>
      <c r="U1378"/>
      <c r="V1378"/>
      <c r="W1378"/>
      <c r="X1378"/>
      <c r="Y1378"/>
      <c r="Z1378"/>
      <c r="AA1378"/>
      <c r="AB1378"/>
      <c r="AC1378"/>
      <c r="AD1378"/>
      <c r="AE1378"/>
      <c r="AF1378"/>
      <c r="AG1378"/>
      <c r="AH1378"/>
      <c r="AI1378"/>
      <c r="AJ1378"/>
      <c r="AK1378"/>
      <c r="AL1378"/>
      <c r="AM1378"/>
      <c r="AN1378"/>
      <c r="AO1378"/>
      <c r="AP1378"/>
      <c r="AQ1378"/>
      <c r="AR1378"/>
      <c r="AS1378"/>
      <c r="AT1378"/>
      <c r="AU1378"/>
      <c r="AV1378"/>
      <c r="AW1378"/>
      <c r="AX1378"/>
      <c r="AY1378"/>
      <c r="AZ1378"/>
      <c r="BA1378"/>
      <c r="BB1378"/>
      <c r="BC1378"/>
      <c r="BD1378"/>
      <c r="BE1378"/>
      <c r="BF1378"/>
      <c r="BG1378"/>
      <c r="BH1378"/>
      <c r="BI1378"/>
      <c r="BJ1378"/>
      <c r="BK1378"/>
      <c r="BL1378"/>
      <c r="BM1378"/>
      <c r="BN1378"/>
      <c r="BO1378"/>
      <c r="BP1378"/>
      <c r="BQ1378"/>
      <c r="BR1378"/>
      <c r="BS1378"/>
      <c r="BT1378"/>
      <c r="BU1378"/>
      <c r="BV1378"/>
      <c r="BW1378"/>
      <c r="BX1378"/>
      <c r="BY1378"/>
      <c r="BZ1378"/>
      <c r="CA1378"/>
      <c r="CB1378"/>
      <c r="CC1378"/>
      <c r="CD1378"/>
      <c r="CE1378"/>
      <c r="CF1378"/>
      <c r="CG1378"/>
      <c r="CH1378"/>
      <c r="CI1378"/>
      <c r="CJ1378"/>
      <c r="CK1378"/>
      <c r="CL1378"/>
      <c r="CM1378"/>
      <c r="CN1378"/>
      <c r="CO1378"/>
      <c r="CP1378"/>
      <c r="CQ1378"/>
      <c r="CR1378"/>
      <c r="CS1378"/>
      <c r="CT1378"/>
      <c r="CU1378"/>
      <c r="CV1378"/>
      <c r="CW1378"/>
      <c r="CX1378"/>
      <c r="CY1378"/>
      <c r="CZ1378"/>
      <c r="DA1378"/>
      <c r="DB1378"/>
      <c r="DC1378"/>
      <c r="DD1378"/>
      <c r="DE1378"/>
      <c r="DF1378"/>
      <c r="DG1378"/>
      <c r="DH1378"/>
      <c r="DI1378"/>
      <c r="DJ1378"/>
      <c r="DK1378"/>
      <c r="DL1378"/>
      <c r="DM1378"/>
      <c r="DN1378"/>
      <c r="DO1378"/>
      <c r="DP1378"/>
      <c r="DQ1378"/>
      <c r="DR1378"/>
      <c r="DS1378"/>
      <c r="DT1378"/>
      <c r="DU1378"/>
      <c r="DV1378"/>
      <c r="DW1378"/>
      <c r="DX1378"/>
      <c r="DY1378"/>
      <c r="DZ1378"/>
      <c r="EA1378"/>
      <c r="EB1378"/>
      <c r="EC1378"/>
      <c r="ED1378"/>
      <c r="EE1378"/>
      <c r="EF1378"/>
      <c r="EG1378"/>
      <c r="EH1378"/>
      <c r="EI1378"/>
      <c r="EJ1378"/>
      <c r="EK1378"/>
      <c r="EL1378"/>
      <c r="EM1378"/>
      <c r="EN1378"/>
      <c r="EO1378"/>
      <c r="EP1378"/>
      <c r="EQ1378"/>
      <c r="ER1378"/>
      <c r="ES1378"/>
    </row>
    <row r="1379" spans="1:149">
      <c r="A1379"/>
      <c r="B1379"/>
      <c r="C1379"/>
      <c r="D1379"/>
      <c r="E1379"/>
      <c r="F1379"/>
      <c r="G1379"/>
      <c r="H1379"/>
      <c r="I1379"/>
      <c r="J1379"/>
      <c r="K1379"/>
      <c r="L1379"/>
      <c r="M1379"/>
      <c r="N1379"/>
      <c r="O1379"/>
      <c r="P1379"/>
      <c r="Q1379"/>
      <c r="R1379"/>
      <c r="S1379"/>
      <c r="T1379"/>
      <c r="U1379"/>
      <c r="V1379"/>
      <c r="W1379"/>
      <c r="X1379"/>
      <c r="Y1379"/>
      <c r="Z1379"/>
      <c r="AA1379"/>
      <c r="AB1379"/>
      <c r="AC1379"/>
      <c r="AD1379"/>
      <c r="AE1379"/>
      <c r="AF1379"/>
      <c r="AG1379"/>
      <c r="AH1379"/>
      <c r="AI1379"/>
      <c r="AJ1379"/>
      <c r="AK1379"/>
      <c r="AL1379"/>
      <c r="AM1379"/>
      <c r="AN1379"/>
      <c r="AO1379"/>
      <c r="AP1379"/>
      <c r="AQ1379"/>
      <c r="AR1379"/>
      <c r="AS1379"/>
      <c r="AT1379"/>
      <c r="AU1379"/>
      <c r="AV1379"/>
      <c r="AW1379"/>
      <c r="AX1379"/>
      <c r="AY1379"/>
      <c r="AZ1379"/>
      <c r="BA1379"/>
      <c r="BB1379"/>
      <c r="BC1379"/>
      <c r="BD1379"/>
      <c r="BE1379"/>
      <c r="BF1379"/>
      <c r="BG1379"/>
      <c r="BH1379"/>
      <c r="BI1379"/>
      <c r="BJ1379"/>
      <c r="BK1379"/>
      <c r="BL1379"/>
      <c r="BM1379"/>
      <c r="BN1379"/>
      <c r="BO1379"/>
      <c r="BP1379"/>
      <c r="BQ1379"/>
      <c r="BR1379"/>
      <c r="BS1379"/>
      <c r="BT1379"/>
      <c r="BU1379"/>
      <c r="BV1379"/>
      <c r="BW1379"/>
      <c r="BX1379"/>
      <c r="BY1379"/>
      <c r="BZ1379"/>
      <c r="CA1379"/>
      <c r="CB1379"/>
      <c r="CC1379"/>
      <c r="CD1379"/>
      <c r="CE1379"/>
      <c r="CF1379"/>
      <c r="CG1379"/>
      <c r="CH1379"/>
      <c r="CI1379"/>
      <c r="CJ1379"/>
      <c r="CK1379"/>
      <c r="CL1379"/>
      <c r="CM1379"/>
      <c r="CN1379"/>
      <c r="CO1379"/>
      <c r="CP1379"/>
      <c r="CQ1379"/>
      <c r="CR1379"/>
      <c r="CS1379"/>
      <c r="CT1379"/>
      <c r="CU1379"/>
      <c r="CV1379"/>
      <c r="CW1379"/>
      <c r="CX1379"/>
      <c r="CY1379"/>
      <c r="CZ1379"/>
      <c r="DA1379"/>
      <c r="DB1379"/>
      <c r="DC1379"/>
      <c r="DD1379"/>
      <c r="DE1379"/>
      <c r="DF1379"/>
      <c r="DG1379"/>
      <c r="DH1379"/>
      <c r="DI1379"/>
      <c r="DJ1379"/>
      <c r="DK1379"/>
      <c r="DL1379"/>
      <c r="DM1379"/>
      <c r="DN1379"/>
      <c r="DO1379"/>
      <c r="DP1379"/>
      <c r="DQ1379"/>
      <c r="DR1379"/>
      <c r="DS1379"/>
      <c r="DT1379"/>
      <c r="DU1379"/>
      <c r="DV1379"/>
      <c r="DW1379"/>
      <c r="DX1379"/>
      <c r="DY1379"/>
      <c r="DZ1379"/>
      <c r="EA1379"/>
      <c r="EB1379"/>
      <c r="EC1379"/>
      <c r="ED1379"/>
      <c r="EE1379"/>
      <c r="EF1379"/>
      <c r="EG1379"/>
      <c r="EH1379"/>
      <c r="EI1379"/>
      <c r="EJ1379"/>
      <c r="EK1379"/>
      <c r="EL1379"/>
      <c r="EM1379"/>
      <c r="EN1379"/>
      <c r="EO1379"/>
      <c r="EP1379"/>
      <c r="EQ1379"/>
      <c r="ER1379"/>
      <c r="ES1379"/>
    </row>
    <row r="1380" spans="1:149">
      <c r="A1380"/>
      <c r="B1380"/>
      <c r="C1380"/>
      <c r="D1380"/>
      <c r="E1380"/>
      <c r="F1380"/>
      <c r="G1380"/>
      <c r="H1380"/>
      <c r="I1380"/>
      <c r="J1380"/>
      <c r="K1380"/>
      <c r="L1380"/>
      <c r="M1380"/>
      <c r="N1380"/>
      <c r="O1380"/>
      <c r="P1380"/>
      <c r="Q1380"/>
      <c r="R1380"/>
      <c r="S1380"/>
      <c r="T1380"/>
      <c r="U1380"/>
      <c r="V1380"/>
      <c r="W1380"/>
      <c r="X1380"/>
      <c r="Y1380"/>
      <c r="Z1380"/>
      <c r="AA1380"/>
      <c r="AB1380"/>
      <c r="AC1380"/>
      <c r="AD1380"/>
      <c r="AE1380"/>
      <c r="AF1380"/>
      <c r="AG1380"/>
      <c r="AH1380"/>
      <c r="AI1380"/>
      <c r="AJ1380"/>
      <c r="AK1380"/>
      <c r="AL1380"/>
      <c r="AM1380"/>
      <c r="AN1380"/>
      <c r="AO1380"/>
      <c r="AP1380"/>
      <c r="AQ1380"/>
      <c r="AR1380"/>
      <c r="AS1380"/>
      <c r="AT1380"/>
      <c r="AU1380"/>
      <c r="AV1380"/>
      <c r="AW1380"/>
      <c r="AX1380"/>
      <c r="AY1380"/>
      <c r="AZ1380"/>
      <c r="BA1380"/>
      <c r="BB1380"/>
      <c r="BC1380"/>
      <c r="BD1380"/>
      <c r="BE1380"/>
      <c r="BF1380"/>
      <c r="BG1380"/>
      <c r="BH1380"/>
      <c r="BI1380"/>
      <c r="BJ1380"/>
      <c r="BK1380"/>
      <c r="BL1380"/>
      <c r="BM1380"/>
      <c r="BN1380"/>
      <c r="BO1380"/>
      <c r="BP1380"/>
      <c r="BQ1380"/>
      <c r="BR1380"/>
      <c r="BS1380"/>
      <c r="BT1380"/>
      <c r="BU1380"/>
      <c r="BV1380"/>
      <c r="BW1380"/>
      <c r="BX1380"/>
      <c r="BY1380"/>
      <c r="BZ1380"/>
      <c r="CA1380"/>
      <c r="CB1380"/>
      <c r="CC1380"/>
      <c r="CD1380"/>
      <c r="CE1380"/>
      <c r="CF1380"/>
      <c r="CG1380"/>
      <c r="CH1380"/>
      <c r="CI1380"/>
      <c r="CJ1380"/>
      <c r="CK1380"/>
      <c r="CL1380"/>
      <c r="CM1380"/>
      <c r="CN1380"/>
      <c r="CO1380"/>
      <c r="CP1380"/>
      <c r="CQ1380"/>
      <c r="CR1380"/>
      <c r="CS1380"/>
      <c r="CT1380"/>
      <c r="CU1380"/>
      <c r="CV1380"/>
      <c r="CW1380"/>
      <c r="CX1380"/>
      <c r="CY1380"/>
      <c r="CZ1380"/>
      <c r="DA1380"/>
      <c r="DB1380"/>
      <c r="DC1380"/>
      <c r="DD1380"/>
      <c r="DE1380"/>
      <c r="DF1380"/>
      <c r="DG1380"/>
      <c r="DH1380"/>
      <c r="DI1380"/>
      <c r="DJ1380"/>
      <c r="DK1380"/>
      <c r="DL1380"/>
      <c r="DM1380"/>
      <c r="DN1380"/>
      <c r="DO1380"/>
      <c r="DP1380"/>
      <c r="DQ1380"/>
      <c r="DR1380"/>
      <c r="DS1380"/>
      <c r="DT1380"/>
      <c r="DU1380"/>
      <c r="DV1380"/>
      <c r="DW1380"/>
      <c r="DX1380"/>
      <c r="DY1380"/>
      <c r="DZ1380"/>
      <c r="EA1380"/>
      <c r="EB1380"/>
      <c r="EC1380"/>
      <c r="ED1380"/>
      <c r="EE1380"/>
      <c r="EF1380"/>
      <c r="EG1380"/>
      <c r="EH1380"/>
      <c r="EI1380"/>
      <c r="EJ1380"/>
      <c r="EK1380"/>
      <c r="EL1380"/>
      <c r="EM1380"/>
      <c r="EN1380"/>
      <c r="EO1380"/>
      <c r="EP1380"/>
      <c r="EQ1380"/>
      <c r="ER1380"/>
      <c r="ES1380"/>
    </row>
    <row r="1381" spans="1:149">
      <c r="A1381"/>
      <c r="B1381"/>
      <c r="C1381"/>
      <c r="D1381"/>
      <c r="E1381"/>
      <c r="F1381"/>
      <c r="G1381"/>
      <c r="H1381"/>
      <c r="I1381"/>
      <c r="J1381"/>
      <c r="K1381"/>
      <c r="L1381"/>
      <c r="M1381"/>
      <c r="N1381"/>
      <c r="O1381"/>
      <c r="P1381"/>
      <c r="Q1381"/>
      <c r="R1381"/>
      <c r="S1381"/>
      <c r="T1381"/>
      <c r="U1381"/>
      <c r="V1381"/>
      <c r="W1381"/>
      <c r="X1381"/>
      <c r="Y1381"/>
      <c r="Z1381"/>
      <c r="AA1381"/>
      <c r="AB1381"/>
      <c r="AC1381"/>
      <c r="AD1381"/>
      <c r="AE1381"/>
      <c r="AF1381"/>
      <c r="AG1381"/>
      <c r="AH1381"/>
      <c r="AI1381"/>
      <c r="AJ1381"/>
      <c r="AK1381"/>
      <c r="AL1381"/>
      <c r="AM1381"/>
      <c r="AN1381"/>
      <c r="AO1381"/>
      <c r="AP1381"/>
      <c r="AQ1381"/>
      <c r="AR1381"/>
      <c r="AS1381"/>
      <c r="AT1381"/>
      <c r="AU1381"/>
      <c r="AV1381"/>
      <c r="AW1381"/>
      <c r="AX1381"/>
      <c r="AY1381"/>
      <c r="AZ1381"/>
      <c r="BA1381"/>
      <c r="BB1381"/>
      <c r="BC1381"/>
      <c r="BD1381"/>
      <c r="BE1381"/>
      <c r="BF1381"/>
      <c r="BG1381"/>
      <c r="BH1381"/>
      <c r="BI1381"/>
      <c r="BJ1381"/>
      <c r="BK1381"/>
      <c r="BL1381"/>
      <c r="BM1381"/>
      <c r="BN1381"/>
      <c r="BO1381"/>
      <c r="BP1381"/>
      <c r="BQ1381"/>
      <c r="BR1381"/>
      <c r="BS1381"/>
      <c r="BT1381"/>
      <c r="BU1381"/>
      <c r="BV1381"/>
      <c r="BW1381"/>
      <c r="BX1381"/>
      <c r="BY1381"/>
      <c r="BZ1381"/>
      <c r="CA1381"/>
      <c r="CB1381"/>
      <c r="CC1381"/>
      <c r="CD1381"/>
      <c r="CE1381"/>
      <c r="CF1381"/>
      <c r="CG1381"/>
      <c r="CH1381"/>
      <c r="CI1381"/>
      <c r="CJ1381"/>
      <c r="CK1381"/>
      <c r="CL1381"/>
      <c r="CM1381"/>
      <c r="CN1381"/>
      <c r="CO1381"/>
      <c r="CP1381"/>
      <c r="CQ1381"/>
      <c r="CR1381"/>
      <c r="CS1381"/>
      <c r="CT1381"/>
      <c r="CU1381"/>
      <c r="CV1381"/>
      <c r="CW1381"/>
      <c r="CX1381"/>
      <c r="CY1381"/>
      <c r="CZ1381"/>
      <c r="DA1381"/>
      <c r="DB1381"/>
      <c r="DC1381"/>
      <c r="DD1381"/>
      <c r="DE1381"/>
      <c r="DF1381"/>
      <c r="DG1381"/>
      <c r="DH1381"/>
      <c r="DI1381"/>
      <c r="DJ1381"/>
      <c r="DK1381"/>
      <c r="DL1381"/>
      <c r="DM1381"/>
      <c r="DN1381"/>
      <c r="DO1381"/>
      <c r="DP1381"/>
      <c r="DQ1381"/>
      <c r="DR1381"/>
      <c r="DS1381"/>
      <c r="DT1381"/>
      <c r="DU1381"/>
      <c r="DV1381"/>
      <c r="DW1381"/>
      <c r="DX1381"/>
      <c r="DY1381"/>
      <c r="DZ1381"/>
      <c r="EA1381"/>
      <c r="EB1381"/>
      <c r="EC1381"/>
      <c r="ED1381"/>
      <c r="EE1381"/>
      <c r="EF1381"/>
      <c r="EG1381"/>
      <c r="EH1381"/>
      <c r="EI1381"/>
      <c r="EJ1381"/>
      <c r="EK1381"/>
      <c r="EL1381"/>
      <c r="EM1381"/>
      <c r="EN1381"/>
      <c r="EO1381"/>
      <c r="EP1381"/>
      <c r="EQ1381"/>
      <c r="ER1381"/>
      <c r="ES1381"/>
    </row>
    <row r="1382" spans="1:149">
      <c r="A1382"/>
      <c r="B1382"/>
      <c r="C1382"/>
      <c r="D1382"/>
      <c r="E1382"/>
      <c r="F1382"/>
      <c r="G1382"/>
      <c r="H1382"/>
      <c r="I1382"/>
      <c r="J1382"/>
      <c r="K1382"/>
      <c r="L1382"/>
      <c r="M1382"/>
      <c r="N1382"/>
      <c r="O1382"/>
      <c r="P1382"/>
      <c r="Q1382"/>
      <c r="R1382"/>
      <c r="S1382"/>
      <c r="T1382"/>
      <c r="U1382"/>
      <c r="V1382"/>
      <c r="W1382"/>
      <c r="X1382"/>
      <c r="Y1382"/>
      <c r="Z1382"/>
      <c r="AA1382"/>
      <c r="AB1382"/>
      <c r="AC1382"/>
      <c r="AD1382"/>
      <c r="AE1382"/>
      <c r="AF1382"/>
      <c r="AG1382"/>
      <c r="AH1382"/>
      <c r="AI1382"/>
      <c r="AJ1382"/>
      <c r="AK1382"/>
      <c r="AL1382"/>
      <c r="AM1382"/>
      <c r="AN1382"/>
      <c r="AO1382"/>
      <c r="AP1382"/>
      <c r="AQ1382"/>
      <c r="AR1382"/>
      <c r="AS1382"/>
      <c r="AT1382"/>
      <c r="AU1382"/>
      <c r="AV1382"/>
      <c r="AW1382"/>
      <c r="AX1382"/>
      <c r="AY1382"/>
      <c r="AZ1382"/>
      <c r="BA1382"/>
      <c r="BB1382"/>
      <c r="BC1382"/>
      <c r="BD1382"/>
      <c r="BE1382"/>
      <c r="BF1382"/>
      <c r="BG1382"/>
      <c r="BH1382"/>
      <c r="BI1382"/>
      <c r="BJ1382"/>
      <c r="BK1382"/>
      <c r="BL1382"/>
      <c r="BM1382"/>
      <c r="BN1382"/>
      <c r="BO1382"/>
      <c r="BP1382"/>
      <c r="BQ1382"/>
      <c r="BR1382"/>
      <c r="BS1382"/>
      <c r="BT1382"/>
      <c r="BU1382"/>
      <c r="BV1382"/>
      <c r="BW1382"/>
      <c r="BX1382"/>
      <c r="BY1382"/>
      <c r="BZ1382"/>
      <c r="CA1382"/>
      <c r="CB1382"/>
      <c r="CC1382"/>
      <c r="CD1382"/>
      <c r="CE1382"/>
      <c r="CF1382"/>
      <c r="CG1382"/>
      <c r="CH1382"/>
      <c r="CI1382"/>
      <c r="CJ1382"/>
      <c r="CK1382"/>
      <c r="CL1382"/>
      <c r="CM1382"/>
      <c r="CN1382"/>
      <c r="CO1382"/>
      <c r="CP1382"/>
      <c r="CQ1382"/>
      <c r="CR1382"/>
      <c r="CS1382"/>
      <c r="CT1382"/>
      <c r="CU1382"/>
      <c r="CV1382"/>
      <c r="CW1382"/>
      <c r="CX1382"/>
      <c r="CY1382"/>
      <c r="CZ1382"/>
      <c r="DA1382"/>
      <c r="DB1382"/>
      <c r="DC1382"/>
      <c r="DD1382"/>
      <c r="DE1382"/>
      <c r="DF1382"/>
      <c r="DG1382"/>
      <c r="DH1382"/>
      <c r="DI1382"/>
      <c r="DJ1382"/>
      <c r="DK1382"/>
      <c r="DL1382"/>
      <c r="DM1382"/>
      <c r="DN1382"/>
      <c r="DO1382"/>
      <c r="DP1382"/>
      <c r="DQ1382"/>
      <c r="DR1382"/>
      <c r="DS1382"/>
      <c r="DT1382"/>
      <c r="DU1382"/>
      <c r="DV1382"/>
      <c r="DW1382"/>
      <c r="DX1382"/>
      <c r="DY1382"/>
      <c r="DZ1382"/>
      <c r="EA1382"/>
      <c r="EB1382"/>
      <c r="EC1382"/>
      <c r="ED1382"/>
      <c r="EE1382"/>
      <c r="EF1382"/>
      <c r="EG1382"/>
      <c r="EH1382"/>
      <c r="EI1382"/>
      <c r="EJ1382"/>
      <c r="EK1382"/>
      <c r="EL1382"/>
      <c r="EM1382"/>
      <c r="EN1382"/>
      <c r="EO1382"/>
      <c r="EP1382"/>
      <c r="EQ1382"/>
      <c r="ER1382"/>
      <c r="ES1382"/>
    </row>
    <row r="1383" spans="1:149">
      <c r="A1383"/>
      <c r="B1383"/>
      <c r="C1383"/>
      <c r="D1383"/>
      <c r="E1383"/>
      <c r="F1383"/>
      <c r="G1383"/>
      <c r="H1383"/>
      <c r="I1383"/>
      <c r="J1383"/>
      <c r="K1383"/>
      <c r="L1383"/>
      <c r="M1383"/>
      <c r="N1383"/>
      <c r="O1383"/>
      <c r="P1383"/>
      <c r="Q1383"/>
      <c r="R1383"/>
      <c r="S1383"/>
      <c r="T1383"/>
      <c r="U1383"/>
      <c r="V1383"/>
      <c r="W1383"/>
      <c r="X1383"/>
      <c r="Y1383"/>
      <c r="Z1383"/>
      <c r="AA1383"/>
      <c r="AB1383"/>
      <c r="AC1383"/>
      <c r="AD1383"/>
      <c r="AE1383"/>
      <c r="AF1383"/>
      <c r="AG1383"/>
      <c r="AH1383"/>
      <c r="AI1383"/>
      <c r="AJ1383"/>
      <c r="AK1383"/>
      <c r="AL1383"/>
      <c r="AM1383"/>
      <c r="AN1383"/>
      <c r="AO1383"/>
      <c r="AP1383"/>
      <c r="AQ1383"/>
      <c r="AR1383"/>
      <c r="AS1383"/>
      <c r="AT1383"/>
      <c r="AU1383"/>
      <c r="AV1383"/>
      <c r="AW1383"/>
      <c r="AX1383"/>
      <c r="AY1383"/>
      <c r="AZ1383"/>
      <c r="BA1383"/>
      <c r="BB1383"/>
      <c r="BC1383"/>
      <c r="BD1383"/>
      <c r="BE1383"/>
      <c r="BF1383"/>
      <c r="BG1383"/>
      <c r="BH1383"/>
      <c r="BI1383"/>
      <c r="BJ1383"/>
      <c r="BK1383"/>
      <c r="BL1383"/>
      <c r="BM1383"/>
      <c r="BN1383"/>
      <c r="BO1383"/>
      <c r="BP1383"/>
      <c r="BQ1383"/>
      <c r="BR1383"/>
      <c r="BS1383"/>
      <c r="BT1383"/>
      <c r="BU1383"/>
      <c r="BV1383"/>
      <c r="BW1383"/>
      <c r="BX1383"/>
      <c r="BY1383"/>
      <c r="BZ1383"/>
      <c r="CA1383"/>
      <c r="CB1383"/>
      <c r="CC1383"/>
      <c r="CD1383"/>
      <c r="CE1383"/>
      <c r="CF1383"/>
      <c r="CG1383"/>
      <c r="CH1383"/>
      <c r="CI1383"/>
      <c r="CJ1383"/>
      <c r="CK1383"/>
      <c r="CL1383"/>
      <c r="CM1383"/>
      <c r="CN1383"/>
      <c r="CO1383"/>
      <c r="CP1383"/>
      <c r="CQ1383"/>
      <c r="CR1383"/>
      <c r="CS1383"/>
      <c r="CT1383"/>
      <c r="CU1383"/>
      <c r="CV1383"/>
      <c r="CW1383"/>
      <c r="CX1383"/>
      <c r="CY1383"/>
      <c r="CZ1383"/>
      <c r="DA1383"/>
      <c r="DB1383"/>
      <c r="DC1383"/>
      <c r="DD1383"/>
      <c r="DE1383"/>
      <c r="DF1383"/>
      <c r="DG1383"/>
      <c r="DH1383"/>
      <c r="DI1383"/>
      <c r="DJ1383"/>
      <c r="DK1383"/>
      <c r="DL1383"/>
      <c r="DM1383"/>
      <c r="DN1383"/>
      <c r="DO1383"/>
      <c r="DP1383"/>
      <c r="DQ1383"/>
      <c r="DR1383"/>
      <c r="DS1383"/>
      <c r="DT1383"/>
      <c r="DU1383"/>
      <c r="DV1383"/>
      <c r="DW1383"/>
      <c r="DX1383"/>
      <c r="DY1383"/>
      <c r="DZ1383"/>
      <c r="EA1383"/>
      <c r="EB1383"/>
      <c r="EC1383"/>
      <c r="ED1383"/>
      <c r="EE1383"/>
      <c r="EF1383"/>
      <c r="EG1383"/>
      <c r="EH1383"/>
      <c r="EI1383"/>
      <c r="EJ1383"/>
      <c r="EK1383"/>
      <c r="EL1383"/>
      <c r="EM1383"/>
      <c r="EN1383"/>
      <c r="EO1383"/>
      <c r="EP1383"/>
      <c r="EQ1383"/>
      <c r="ER1383"/>
      <c r="ES1383"/>
    </row>
    <row r="1384" spans="1:149">
      <c r="A1384"/>
      <c r="B1384"/>
      <c r="C1384"/>
      <c r="D1384"/>
      <c r="E1384"/>
      <c r="F1384"/>
      <c r="G1384"/>
      <c r="H1384"/>
      <c r="I1384"/>
      <c r="J1384"/>
      <c r="K1384"/>
      <c r="L1384"/>
      <c r="M1384"/>
      <c r="N1384"/>
      <c r="O1384"/>
      <c r="P1384"/>
      <c r="Q1384"/>
      <c r="R1384"/>
      <c r="S1384"/>
      <c r="T1384"/>
      <c r="U1384"/>
      <c r="V1384"/>
      <c r="W1384"/>
      <c r="X1384"/>
      <c r="Y1384"/>
      <c r="Z1384"/>
      <c r="AA1384"/>
      <c r="AB1384"/>
      <c r="AC1384"/>
      <c r="AD1384"/>
      <c r="AE1384"/>
      <c r="AF1384"/>
      <c r="AG1384"/>
      <c r="AH1384"/>
      <c r="AI1384"/>
      <c r="AJ1384"/>
      <c r="AK1384"/>
      <c r="AL1384"/>
      <c r="AM1384"/>
      <c r="AN1384"/>
      <c r="AO1384"/>
      <c r="AP1384"/>
      <c r="AQ1384"/>
      <c r="AR1384"/>
      <c r="AS1384"/>
      <c r="AT1384"/>
      <c r="AU1384"/>
      <c r="AV1384"/>
      <c r="AW1384"/>
      <c r="AX1384"/>
      <c r="AY1384"/>
      <c r="AZ1384"/>
      <c r="BA1384"/>
      <c r="BB1384"/>
      <c r="BC1384"/>
      <c r="BD1384"/>
      <c r="BE1384"/>
      <c r="BF1384"/>
      <c r="BG1384"/>
      <c r="BH1384"/>
      <c r="BI1384"/>
      <c r="BJ1384"/>
      <c r="BK1384"/>
      <c r="BL1384"/>
      <c r="BM1384"/>
      <c r="BN1384"/>
      <c r="BO1384"/>
      <c r="BP1384"/>
      <c r="BQ1384"/>
      <c r="BR1384"/>
      <c r="BS1384"/>
      <c r="BT1384"/>
      <c r="BU1384"/>
      <c r="BV1384"/>
      <c r="BW1384"/>
      <c r="BX1384"/>
      <c r="BY1384"/>
      <c r="BZ1384"/>
      <c r="CA1384"/>
      <c r="CB1384"/>
      <c r="CC1384"/>
      <c r="CD1384"/>
      <c r="CE1384"/>
      <c r="CF1384"/>
      <c r="CG1384"/>
      <c r="CH1384"/>
      <c r="CI1384"/>
      <c r="CJ1384"/>
      <c r="CK1384"/>
      <c r="CL1384"/>
      <c r="CM1384"/>
      <c r="CN1384"/>
      <c r="CO1384"/>
      <c r="CP1384"/>
      <c r="CQ1384"/>
      <c r="CR1384"/>
      <c r="CS1384"/>
      <c r="CT1384"/>
      <c r="CU1384"/>
      <c r="CV1384"/>
      <c r="CW1384"/>
      <c r="CX1384"/>
      <c r="CY1384"/>
      <c r="CZ1384"/>
      <c r="DA1384"/>
      <c r="DB1384"/>
      <c r="DC1384"/>
      <c r="DD1384"/>
      <c r="DE1384"/>
      <c r="DF1384"/>
      <c r="DG1384"/>
      <c r="DH1384"/>
      <c r="DI1384"/>
      <c r="DJ1384"/>
      <c r="DK1384"/>
      <c r="DL1384"/>
      <c r="DM1384"/>
      <c r="DN1384"/>
      <c r="DO1384"/>
      <c r="DP1384"/>
      <c r="DQ1384"/>
      <c r="DR1384"/>
      <c r="DS1384"/>
      <c r="DT1384"/>
      <c r="DU1384"/>
      <c r="DV1384"/>
      <c r="DW1384"/>
      <c r="DX1384"/>
      <c r="DY1384"/>
      <c r="DZ1384"/>
      <c r="EA1384"/>
      <c r="EB1384"/>
      <c r="EC1384"/>
      <c r="ED1384"/>
      <c r="EE1384"/>
      <c r="EF1384"/>
      <c r="EG1384"/>
      <c r="EH1384"/>
      <c r="EI1384"/>
      <c r="EJ1384"/>
      <c r="EK1384"/>
      <c r="EL1384"/>
      <c r="EM1384"/>
      <c r="EN1384"/>
      <c r="EO1384"/>
      <c r="EP1384"/>
      <c r="EQ1384"/>
      <c r="ER1384"/>
      <c r="ES1384"/>
    </row>
    <row r="1385" spans="1:149">
      <c r="A1385"/>
      <c r="B1385"/>
      <c r="C1385"/>
      <c r="D1385"/>
      <c r="E1385"/>
      <c r="F1385"/>
      <c r="G1385"/>
      <c r="H1385"/>
      <c r="I1385"/>
      <c r="J1385"/>
      <c r="K1385"/>
      <c r="L1385"/>
      <c r="M1385"/>
      <c r="N1385"/>
      <c r="O1385"/>
      <c r="P1385"/>
      <c r="Q1385"/>
      <c r="R1385"/>
      <c r="S1385"/>
      <c r="T1385"/>
      <c r="U1385"/>
      <c r="V1385"/>
      <c r="W1385"/>
      <c r="X1385"/>
      <c r="Y1385"/>
      <c r="Z1385"/>
      <c r="AA1385"/>
      <c r="AB1385"/>
      <c r="AC1385"/>
      <c r="AD1385"/>
      <c r="AE1385"/>
      <c r="AF1385"/>
      <c r="AG1385"/>
      <c r="AH1385"/>
      <c r="AI1385"/>
      <c r="AJ1385"/>
      <c r="AK1385"/>
      <c r="AL1385"/>
      <c r="AM1385"/>
      <c r="AN1385"/>
      <c r="AO1385"/>
      <c r="AP1385"/>
      <c r="AQ1385"/>
      <c r="AR1385"/>
      <c r="AS1385"/>
      <c r="AT1385"/>
      <c r="AU1385"/>
      <c r="AV1385"/>
      <c r="AW1385"/>
      <c r="AX1385"/>
      <c r="AY1385"/>
      <c r="AZ1385"/>
      <c r="BA1385"/>
      <c r="BB1385"/>
      <c r="BC1385"/>
      <c r="BD1385"/>
      <c r="BE1385"/>
      <c r="BF1385"/>
      <c r="BG1385"/>
      <c r="BH1385"/>
      <c r="BI1385"/>
      <c r="BJ1385"/>
      <c r="BK1385"/>
      <c r="BL1385"/>
      <c r="BM1385"/>
      <c r="BN1385"/>
      <c r="BO1385"/>
      <c r="BP1385"/>
      <c r="BQ1385"/>
      <c r="BR1385"/>
      <c r="BS1385"/>
      <c r="BT1385"/>
      <c r="BU1385"/>
      <c r="BV1385"/>
      <c r="BW1385"/>
      <c r="BX1385"/>
      <c r="BY1385"/>
      <c r="BZ1385"/>
      <c r="CA1385"/>
      <c r="CB1385"/>
      <c r="CC1385"/>
      <c r="CD1385"/>
      <c r="CE1385"/>
      <c r="CF1385"/>
      <c r="CG1385"/>
      <c r="CH1385"/>
      <c r="CI1385"/>
      <c r="CJ1385"/>
      <c r="CK1385"/>
      <c r="CL1385"/>
      <c r="CM1385"/>
      <c r="CN1385"/>
      <c r="CO1385"/>
      <c r="CP1385"/>
      <c r="CQ1385"/>
      <c r="CR1385"/>
      <c r="CS1385"/>
      <c r="CT1385"/>
      <c r="CU1385"/>
      <c r="CV1385"/>
      <c r="CW1385"/>
      <c r="CX1385"/>
      <c r="CY1385"/>
      <c r="CZ1385"/>
      <c r="DA1385"/>
      <c r="DB1385"/>
      <c r="DC1385"/>
      <c r="DD1385"/>
      <c r="DE1385"/>
      <c r="DF1385"/>
      <c r="DG1385"/>
      <c r="DH1385"/>
      <c r="DI1385"/>
      <c r="DJ1385"/>
      <c r="DK1385"/>
      <c r="DL1385"/>
      <c r="DM1385"/>
      <c r="DN1385"/>
      <c r="DO1385"/>
      <c r="DP1385"/>
      <c r="DQ1385"/>
      <c r="DR1385"/>
      <c r="DS1385"/>
      <c r="DT1385"/>
      <c r="DU1385"/>
      <c r="DV1385"/>
      <c r="DW1385"/>
      <c r="DX1385"/>
      <c r="DY1385"/>
      <c r="DZ1385"/>
      <c r="EA1385"/>
      <c r="EB1385"/>
      <c r="EC1385"/>
      <c r="ED1385"/>
      <c r="EE1385"/>
      <c r="EF1385"/>
      <c r="EG1385"/>
      <c r="EH1385"/>
      <c r="EI1385"/>
      <c r="EJ1385"/>
      <c r="EK1385"/>
      <c r="EL1385"/>
      <c r="EM1385"/>
      <c r="EN1385"/>
      <c r="EO1385"/>
      <c r="EP1385"/>
      <c r="EQ1385"/>
      <c r="ER1385"/>
      <c r="ES1385"/>
    </row>
    <row r="1386" spans="1:149">
      <c r="A1386"/>
      <c r="B1386"/>
      <c r="C1386"/>
      <c r="D1386"/>
      <c r="E1386"/>
      <c r="F1386"/>
      <c r="G1386"/>
      <c r="H1386"/>
      <c r="I1386"/>
      <c r="J1386"/>
      <c r="K1386"/>
      <c r="L1386"/>
      <c r="M1386"/>
      <c r="N1386"/>
      <c r="O1386"/>
      <c r="P1386"/>
      <c r="Q1386"/>
      <c r="R1386"/>
      <c r="S1386"/>
      <c r="T1386"/>
      <c r="U1386"/>
      <c r="V1386"/>
      <c r="W1386"/>
      <c r="X1386"/>
      <c r="Y1386"/>
      <c r="Z1386"/>
      <c r="AA1386"/>
      <c r="AB1386"/>
      <c r="AC1386"/>
      <c r="AD1386"/>
      <c r="AE1386"/>
      <c r="AF1386"/>
      <c r="AG1386"/>
      <c r="AH1386"/>
      <c r="AI1386"/>
      <c r="AJ1386"/>
      <c r="AK1386"/>
      <c r="AL1386"/>
      <c r="AM1386"/>
      <c r="AN1386"/>
      <c r="AO1386"/>
      <c r="AP1386"/>
      <c r="AQ1386"/>
      <c r="AR1386"/>
      <c r="AS1386"/>
      <c r="AT1386"/>
      <c r="AU1386"/>
      <c r="AV1386"/>
      <c r="AW1386"/>
      <c r="AX1386"/>
      <c r="AY1386"/>
      <c r="AZ1386"/>
      <c r="BA1386"/>
      <c r="BB1386"/>
      <c r="BC1386"/>
      <c r="BD1386"/>
      <c r="BE1386"/>
      <c r="BF1386"/>
      <c r="BG1386"/>
      <c r="BH1386"/>
      <c r="BI1386"/>
      <c r="BJ1386"/>
      <c r="BK1386"/>
      <c r="BL1386"/>
      <c r="BM1386"/>
      <c r="BN1386"/>
      <c r="BO1386"/>
      <c r="BP1386"/>
      <c r="BQ1386"/>
      <c r="BR1386"/>
      <c r="BS1386"/>
      <c r="BT1386"/>
      <c r="BU1386"/>
      <c r="BV1386"/>
      <c r="BW1386"/>
      <c r="BX1386"/>
      <c r="BY1386"/>
      <c r="BZ1386"/>
      <c r="CA1386"/>
      <c r="CB1386"/>
      <c r="CC1386"/>
      <c r="CD1386"/>
      <c r="CE1386"/>
      <c r="CF1386"/>
      <c r="CG1386"/>
      <c r="CH1386"/>
      <c r="CI1386"/>
      <c r="CJ1386"/>
      <c r="CK1386"/>
      <c r="CL1386"/>
      <c r="CM1386"/>
      <c r="CN1386"/>
      <c r="CO1386"/>
      <c r="CP1386"/>
      <c r="CQ1386"/>
      <c r="CR1386"/>
      <c r="CS1386"/>
      <c r="CT1386"/>
      <c r="CU1386"/>
      <c r="CV1386"/>
      <c r="CW1386"/>
      <c r="CX1386"/>
      <c r="CY1386"/>
      <c r="CZ1386"/>
      <c r="DA1386"/>
      <c r="DB1386"/>
      <c r="DC1386"/>
      <c r="DD1386"/>
      <c r="DE1386"/>
      <c r="DF1386"/>
      <c r="DG1386"/>
      <c r="DH1386"/>
      <c r="DI1386"/>
      <c r="DJ1386"/>
      <c r="DK1386"/>
      <c r="DL1386"/>
      <c r="DM1386"/>
      <c r="DN1386"/>
      <c r="DO1386"/>
      <c r="DP1386"/>
      <c r="DQ1386"/>
      <c r="DR1386"/>
      <c r="DS1386"/>
      <c r="DT1386"/>
      <c r="DU1386"/>
      <c r="DV1386"/>
      <c r="DW1386"/>
      <c r="DX1386"/>
      <c r="DY1386"/>
      <c r="DZ1386"/>
      <c r="EA1386"/>
      <c r="EB1386"/>
      <c r="EC1386"/>
      <c r="ED1386"/>
      <c r="EE1386"/>
      <c r="EF1386"/>
      <c r="EG1386"/>
      <c r="EH1386"/>
      <c r="EI1386"/>
      <c r="EJ1386"/>
      <c r="EK1386"/>
      <c r="EL1386"/>
      <c r="EM1386"/>
      <c r="EN1386"/>
      <c r="EO1386"/>
      <c r="EP1386"/>
      <c r="EQ1386"/>
      <c r="ER1386"/>
      <c r="ES1386"/>
    </row>
    <row r="1387" spans="1:149">
      <c r="A1387"/>
      <c r="B1387"/>
      <c r="C1387"/>
      <c r="D1387"/>
      <c r="E1387"/>
      <c r="F1387"/>
      <c r="G1387"/>
      <c r="H1387"/>
      <c r="I1387"/>
      <c r="J1387"/>
      <c r="K1387"/>
      <c r="L1387"/>
      <c r="M1387"/>
      <c r="N1387"/>
      <c r="O1387"/>
      <c r="P1387"/>
      <c r="Q1387"/>
      <c r="R1387"/>
      <c r="S1387"/>
      <c r="T1387"/>
      <c r="U1387"/>
      <c r="V1387"/>
      <c r="W1387"/>
      <c r="X1387"/>
      <c r="Y1387"/>
      <c r="Z1387"/>
      <c r="AA1387"/>
      <c r="AB1387"/>
      <c r="AC1387"/>
      <c r="AD1387"/>
      <c r="AE1387"/>
      <c r="AF1387"/>
      <c r="AG1387"/>
      <c r="AH1387"/>
      <c r="AI1387"/>
      <c r="AJ1387"/>
      <c r="AK1387"/>
      <c r="AL1387"/>
      <c r="AM1387"/>
      <c r="AN1387"/>
      <c r="AO1387"/>
      <c r="AP1387"/>
      <c r="AQ1387"/>
      <c r="AR1387"/>
      <c r="AS1387"/>
      <c r="AT1387"/>
      <c r="AU1387"/>
      <c r="AV1387"/>
      <c r="AW1387"/>
      <c r="AX1387"/>
      <c r="AY1387"/>
      <c r="AZ1387"/>
      <c r="BA1387"/>
      <c r="BB1387"/>
      <c r="BC1387"/>
      <c r="BD1387"/>
      <c r="BE1387"/>
      <c r="BF1387"/>
      <c r="BG1387"/>
      <c r="BH1387"/>
      <c r="BI1387"/>
      <c r="BJ1387"/>
      <c r="BK1387"/>
      <c r="BL1387"/>
      <c r="BM1387"/>
      <c r="BN1387"/>
      <c r="BO1387"/>
      <c r="BP1387"/>
      <c r="BQ1387"/>
      <c r="BR1387"/>
      <c r="BS1387"/>
      <c r="BT1387"/>
      <c r="BU1387"/>
      <c r="BV1387"/>
      <c r="BW1387"/>
      <c r="BX1387"/>
      <c r="BY1387"/>
      <c r="BZ1387"/>
      <c r="CA1387"/>
      <c r="CB1387"/>
      <c r="CC1387"/>
      <c r="CD1387"/>
      <c r="CE1387"/>
      <c r="CF1387"/>
      <c r="CG1387"/>
      <c r="CH1387"/>
      <c r="CI1387"/>
      <c r="CJ1387"/>
      <c r="CK1387"/>
      <c r="CL1387"/>
      <c r="CM1387"/>
      <c r="CN1387"/>
      <c r="CO1387"/>
      <c r="CP1387"/>
      <c r="CQ1387"/>
      <c r="CR1387"/>
      <c r="CS1387"/>
      <c r="CT1387"/>
      <c r="CU1387"/>
      <c r="CV1387"/>
      <c r="CW1387"/>
      <c r="CX1387"/>
      <c r="CY1387"/>
      <c r="CZ1387"/>
      <c r="DA1387"/>
      <c r="DB1387"/>
      <c r="DC1387"/>
      <c r="DD1387"/>
      <c r="DE1387"/>
      <c r="DF1387"/>
      <c r="DG1387"/>
      <c r="DH1387"/>
      <c r="DI1387"/>
      <c r="DJ1387"/>
      <c r="DK1387"/>
      <c r="DL1387"/>
      <c r="DM1387"/>
      <c r="DN1387"/>
      <c r="DO1387"/>
      <c r="DP1387"/>
      <c r="DQ1387"/>
      <c r="DR1387"/>
      <c r="DS1387"/>
      <c r="DT1387"/>
      <c r="DU1387"/>
      <c r="DV1387"/>
      <c r="DW1387"/>
      <c r="DX1387"/>
      <c r="DY1387"/>
      <c r="DZ1387"/>
      <c r="EA1387"/>
      <c r="EB1387"/>
      <c r="EC1387"/>
      <c r="ED1387"/>
      <c r="EE1387"/>
      <c r="EF1387"/>
      <c r="EG1387"/>
      <c r="EH1387"/>
      <c r="EI1387"/>
      <c r="EJ1387"/>
      <c r="EK1387"/>
      <c r="EL1387"/>
      <c r="EM1387"/>
      <c r="EN1387"/>
      <c r="EO1387"/>
      <c r="EP1387"/>
      <c r="EQ1387"/>
      <c r="ER1387"/>
      <c r="ES1387"/>
    </row>
    <row r="1388" spans="1:149">
      <c r="A1388"/>
      <c r="B1388"/>
      <c r="C1388"/>
      <c r="D1388"/>
      <c r="E1388"/>
      <c r="F1388"/>
      <c r="G1388"/>
      <c r="H1388"/>
      <c r="I1388"/>
      <c r="J1388"/>
      <c r="K1388"/>
      <c r="L1388"/>
      <c r="M1388"/>
      <c r="N1388"/>
      <c r="O1388"/>
      <c r="P1388"/>
      <c r="Q1388"/>
      <c r="R1388"/>
      <c r="S1388"/>
      <c r="T1388"/>
      <c r="U1388"/>
      <c r="V1388"/>
      <c r="W1388"/>
      <c r="X1388"/>
      <c r="Y1388"/>
      <c r="Z1388"/>
      <c r="AA1388"/>
      <c r="AB1388"/>
      <c r="AC1388"/>
      <c r="AD1388"/>
      <c r="AE1388"/>
      <c r="AF1388"/>
      <c r="AG1388"/>
      <c r="AH1388"/>
      <c r="AI1388"/>
      <c r="AJ1388"/>
      <c r="AK1388"/>
      <c r="AL1388"/>
      <c r="AM1388"/>
      <c r="AN1388"/>
      <c r="AO1388"/>
      <c r="AP1388"/>
      <c r="AQ1388"/>
      <c r="AR1388"/>
      <c r="AS1388"/>
      <c r="AT1388"/>
      <c r="AU1388"/>
      <c r="AV1388"/>
      <c r="AW1388"/>
      <c r="AX1388"/>
      <c r="AY1388"/>
      <c r="AZ1388"/>
      <c r="BA1388"/>
      <c r="BB1388"/>
      <c r="BC1388"/>
      <c r="BD1388"/>
      <c r="BE1388"/>
      <c r="BF1388"/>
      <c r="BG1388"/>
      <c r="BH1388"/>
      <c r="BI1388"/>
      <c r="BJ1388"/>
      <c r="BK1388"/>
      <c r="BL1388"/>
      <c r="BM1388"/>
      <c r="BN1388"/>
      <c r="BO1388"/>
      <c r="BP1388"/>
      <c r="BQ1388"/>
      <c r="BR1388"/>
      <c r="BS1388"/>
      <c r="BT1388"/>
      <c r="BU1388"/>
      <c r="BV1388"/>
      <c r="BW1388"/>
      <c r="BX1388"/>
      <c r="BY1388"/>
      <c r="BZ1388"/>
      <c r="CA1388"/>
      <c r="CB1388"/>
      <c r="CC1388"/>
      <c r="CD1388"/>
      <c r="CE1388"/>
      <c r="CF1388"/>
      <c r="CG1388"/>
      <c r="CH1388"/>
      <c r="CI1388"/>
      <c r="CJ1388"/>
      <c r="CK1388"/>
      <c r="CL1388"/>
      <c r="CM1388"/>
      <c r="CN1388"/>
      <c r="CO1388"/>
      <c r="CP1388"/>
      <c r="CQ1388"/>
      <c r="CR1388"/>
      <c r="CS1388"/>
      <c r="CT1388"/>
      <c r="CU1388"/>
      <c r="CV1388"/>
      <c r="CW1388"/>
      <c r="CX1388"/>
      <c r="CY1388"/>
      <c r="CZ1388"/>
      <c r="DA1388"/>
      <c r="DB1388"/>
      <c r="DC1388"/>
      <c r="DD1388"/>
      <c r="DE1388"/>
      <c r="DF1388"/>
      <c r="DG1388"/>
      <c r="DH1388"/>
      <c r="DI1388"/>
      <c r="DJ1388"/>
      <c r="DK1388"/>
      <c r="DL1388"/>
      <c r="DM1388"/>
      <c r="DN1388"/>
      <c r="DO1388"/>
      <c r="DP1388"/>
      <c r="DQ1388"/>
      <c r="DR1388"/>
      <c r="DS1388"/>
      <c r="DT1388"/>
      <c r="DU1388"/>
      <c r="DV1388"/>
      <c r="DW1388"/>
      <c r="DX1388"/>
      <c r="DY1388"/>
      <c r="DZ1388"/>
      <c r="EA1388"/>
      <c r="EB1388"/>
      <c r="EC1388"/>
      <c r="ED1388"/>
      <c r="EE1388"/>
      <c r="EF1388"/>
      <c r="EG1388"/>
      <c r="EH1388"/>
      <c r="EI1388"/>
      <c r="EJ1388"/>
      <c r="EK1388"/>
      <c r="EL1388"/>
      <c r="EM1388"/>
      <c r="EN1388"/>
      <c r="EO1388"/>
      <c r="EP1388"/>
      <c r="EQ1388"/>
      <c r="ER1388"/>
      <c r="ES1388"/>
    </row>
    <row r="1389" spans="1:149">
      <c r="A1389"/>
      <c r="B1389"/>
      <c r="C1389"/>
      <c r="D1389"/>
      <c r="E1389"/>
      <c r="F1389"/>
      <c r="G1389"/>
      <c r="H1389"/>
      <c r="I1389"/>
      <c r="J1389"/>
      <c r="K1389"/>
      <c r="L1389"/>
      <c r="M1389"/>
      <c r="N1389"/>
      <c r="O1389"/>
      <c r="P1389"/>
      <c r="Q1389"/>
      <c r="R1389"/>
      <c r="S1389"/>
      <c r="T1389"/>
      <c r="U1389"/>
      <c r="V1389"/>
      <c r="W1389"/>
      <c r="X1389"/>
      <c r="Y1389"/>
      <c r="Z1389"/>
      <c r="AA1389"/>
      <c r="AB1389"/>
      <c r="AC1389"/>
      <c r="AD1389"/>
      <c r="AE1389"/>
      <c r="AF1389"/>
      <c r="AG1389"/>
      <c r="AH1389"/>
      <c r="AI1389"/>
      <c r="AJ1389"/>
      <c r="AK1389"/>
      <c r="AL1389"/>
      <c r="AM1389"/>
      <c r="AN1389"/>
      <c r="AO1389"/>
      <c r="AP1389"/>
      <c r="AQ1389"/>
      <c r="AR1389"/>
      <c r="AS1389"/>
      <c r="AT1389"/>
      <c r="AU1389"/>
      <c r="AV1389"/>
      <c r="AW1389"/>
      <c r="AX1389"/>
      <c r="AY1389"/>
      <c r="AZ1389"/>
      <c r="BA1389"/>
      <c r="BB1389"/>
      <c r="BC1389"/>
      <c r="BD1389"/>
      <c r="BE1389"/>
      <c r="BF1389"/>
      <c r="BG1389"/>
      <c r="BH1389"/>
      <c r="BI1389"/>
      <c r="BJ1389"/>
      <c r="BK1389"/>
      <c r="BL1389"/>
      <c r="BM1389"/>
      <c r="BN1389"/>
      <c r="BO1389"/>
      <c r="BP1389"/>
      <c r="BQ1389"/>
      <c r="BR1389"/>
      <c r="BS1389"/>
      <c r="BT1389"/>
      <c r="BU1389"/>
      <c r="BV1389"/>
      <c r="BW1389"/>
      <c r="BX1389"/>
      <c r="BY1389"/>
      <c r="BZ1389"/>
      <c r="CA1389"/>
      <c r="CB1389"/>
      <c r="CC1389"/>
      <c r="CD1389"/>
      <c r="CE1389"/>
      <c r="CF1389"/>
      <c r="CG1389"/>
      <c r="CH1389"/>
      <c r="CI1389"/>
      <c r="CJ1389"/>
      <c r="CK1389"/>
      <c r="CL1389"/>
      <c r="CM1389"/>
      <c r="CN1389"/>
      <c r="CO1389"/>
      <c r="CP1389"/>
      <c r="CQ1389"/>
      <c r="CR1389"/>
      <c r="CS1389"/>
      <c r="CT1389"/>
      <c r="CU1389"/>
      <c r="CV1389"/>
      <c r="CW1389"/>
      <c r="CX1389"/>
      <c r="CY1389"/>
      <c r="CZ1389"/>
      <c r="DA1389"/>
      <c r="DB1389"/>
      <c r="DC1389"/>
      <c r="DD1389"/>
      <c r="DE1389"/>
      <c r="DF1389"/>
      <c r="DG1389"/>
      <c r="DH1389"/>
      <c r="DI1389"/>
      <c r="DJ1389"/>
      <c r="DK1389"/>
      <c r="DL1389"/>
      <c r="DM1389"/>
      <c r="DN1389"/>
      <c r="DO1389"/>
      <c r="DP1389"/>
      <c r="DQ1389"/>
      <c r="DR1389"/>
      <c r="DS1389"/>
      <c r="DT1389"/>
      <c r="DU1389"/>
      <c r="DV1389"/>
      <c r="DW1389"/>
      <c r="DX1389"/>
      <c r="DY1389"/>
      <c r="DZ1389"/>
      <c r="EA1389"/>
      <c r="EB1389"/>
      <c r="EC1389"/>
      <c r="ED1389"/>
      <c r="EE1389"/>
      <c r="EF1389"/>
      <c r="EG1389"/>
      <c r="EH1389"/>
      <c r="EI1389"/>
      <c r="EJ1389"/>
      <c r="EK1389"/>
      <c r="EL1389"/>
      <c r="EM1389"/>
      <c r="EN1389"/>
      <c r="EO1389"/>
      <c r="EP1389"/>
      <c r="EQ1389"/>
      <c r="ER1389"/>
      <c r="ES1389"/>
    </row>
    <row r="1390" spans="1:149">
      <c r="A1390"/>
      <c r="B1390"/>
      <c r="C1390"/>
      <c r="D1390"/>
      <c r="E1390"/>
      <c r="F1390"/>
      <c r="G1390"/>
      <c r="H1390"/>
      <c r="I1390"/>
      <c r="J1390"/>
      <c r="K1390"/>
      <c r="L1390"/>
      <c r="M1390"/>
      <c r="N1390"/>
      <c r="O1390"/>
      <c r="P1390"/>
      <c r="Q1390"/>
      <c r="R1390"/>
      <c r="S1390"/>
      <c r="T1390"/>
      <c r="U1390"/>
      <c r="V1390"/>
      <c r="W1390"/>
      <c r="X1390"/>
      <c r="Y1390"/>
      <c r="Z1390"/>
      <c r="AA1390"/>
      <c r="AB1390"/>
      <c r="AC1390"/>
      <c r="AD1390"/>
      <c r="AE1390"/>
      <c r="AF1390"/>
      <c r="AG1390"/>
      <c r="AH1390"/>
      <c r="AI1390"/>
      <c r="AJ1390"/>
      <c r="AK1390"/>
      <c r="AL1390"/>
      <c r="AM1390"/>
      <c r="AN1390"/>
      <c r="AO1390"/>
      <c r="AP1390"/>
      <c r="AQ1390"/>
      <c r="AR1390"/>
      <c r="AS1390"/>
      <c r="AT1390"/>
      <c r="AU1390"/>
      <c r="AV1390"/>
      <c r="AW1390"/>
      <c r="AX1390"/>
      <c r="AY1390"/>
      <c r="AZ1390"/>
      <c r="BA1390"/>
      <c r="BB1390"/>
      <c r="BC1390"/>
      <c r="BD1390"/>
      <c r="BE1390"/>
      <c r="BF1390"/>
      <c r="BG1390"/>
      <c r="BH1390"/>
      <c r="BI1390"/>
      <c r="BJ1390"/>
      <c r="BK1390"/>
      <c r="BL1390"/>
      <c r="BM1390"/>
      <c r="BN1390"/>
      <c r="BO1390"/>
      <c r="BP1390"/>
      <c r="BQ1390"/>
      <c r="BR1390"/>
      <c r="BS1390"/>
      <c r="BT1390"/>
      <c r="BU1390"/>
      <c r="BV1390"/>
      <c r="BW1390"/>
      <c r="BX1390"/>
      <c r="BY1390"/>
      <c r="BZ1390"/>
      <c r="CA1390"/>
      <c r="CB1390"/>
      <c r="CC1390"/>
      <c r="CD1390"/>
      <c r="CE1390"/>
      <c r="CF1390"/>
      <c r="CG1390"/>
      <c r="CH1390"/>
      <c r="CI1390"/>
      <c r="CJ1390"/>
      <c r="CK1390"/>
      <c r="CL1390"/>
      <c r="CM1390"/>
      <c r="CN1390"/>
      <c r="CO1390"/>
      <c r="CP1390"/>
      <c r="CQ1390"/>
      <c r="CR1390"/>
      <c r="CS1390"/>
      <c r="CT1390"/>
      <c r="CU1390"/>
      <c r="CV1390"/>
      <c r="CW1390"/>
      <c r="CX1390"/>
      <c r="CY1390"/>
      <c r="CZ1390"/>
      <c r="DA1390"/>
      <c r="DB1390"/>
      <c r="DC1390"/>
      <c r="DD1390"/>
      <c r="DE1390"/>
      <c r="DF1390"/>
      <c r="DG1390"/>
      <c r="DH1390"/>
      <c r="DI1390"/>
      <c r="DJ1390"/>
      <c r="DK1390"/>
      <c r="DL1390"/>
      <c r="DM1390"/>
      <c r="DN1390"/>
      <c r="DO1390"/>
      <c r="DP1390"/>
      <c r="DQ1390"/>
      <c r="DR1390"/>
      <c r="DS1390"/>
      <c r="DT1390"/>
      <c r="DU1390"/>
      <c r="DV1390"/>
      <c r="DW1390"/>
      <c r="DX1390"/>
      <c r="DY1390"/>
      <c r="DZ1390"/>
      <c r="EA1390"/>
      <c r="EB1390"/>
      <c r="EC1390"/>
      <c r="ED1390"/>
      <c r="EE1390"/>
      <c r="EF1390"/>
      <c r="EG1390"/>
      <c r="EH1390"/>
      <c r="EI1390"/>
      <c r="EJ1390"/>
      <c r="EK1390"/>
      <c r="EL1390"/>
      <c r="EM1390"/>
      <c r="EN1390"/>
      <c r="EO1390"/>
      <c r="EP1390"/>
      <c r="EQ1390"/>
      <c r="ER1390"/>
      <c r="ES1390"/>
    </row>
    <row r="1391" spans="1:149">
      <c r="A1391"/>
      <c r="B1391"/>
      <c r="C1391"/>
      <c r="D1391"/>
      <c r="E1391"/>
      <c r="F1391"/>
      <c r="G1391"/>
      <c r="H1391"/>
      <c r="I1391"/>
      <c r="J1391"/>
      <c r="K1391"/>
      <c r="L1391"/>
      <c r="M1391"/>
      <c r="N1391"/>
      <c r="O1391"/>
      <c r="P1391"/>
      <c r="Q1391"/>
      <c r="R1391"/>
      <c r="S1391"/>
      <c r="T1391"/>
      <c r="U1391"/>
      <c r="V1391"/>
      <c r="W1391"/>
      <c r="X1391"/>
      <c r="Y1391"/>
      <c r="Z1391"/>
      <c r="AA1391"/>
      <c r="AB1391"/>
      <c r="AC1391"/>
      <c r="AD1391"/>
      <c r="AE1391"/>
      <c r="AF1391"/>
      <c r="AG1391"/>
      <c r="AH1391"/>
      <c r="AI1391"/>
      <c r="AJ1391"/>
      <c r="AK1391"/>
      <c r="AL1391"/>
      <c r="AM1391"/>
      <c r="AN1391"/>
      <c r="AO1391"/>
      <c r="AP1391"/>
      <c r="AQ1391"/>
      <c r="AR1391"/>
      <c r="AS1391"/>
      <c r="AT1391"/>
      <c r="AU1391"/>
      <c r="AV1391"/>
      <c r="AW1391"/>
      <c r="AX1391"/>
      <c r="AY1391"/>
      <c r="AZ1391"/>
      <c r="BA1391"/>
      <c r="BB1391"/>
      <c r="BC1391"/>
      <c r="BD1391"/>
      <c r="BE1391"/>
      <c r="BF1391"/>
      <c r="BG1391"/>
      <c r="BH1391"/>
      <c r="BI1391"/>
      <c r="BJ1391"/>
      <c r="BK1391"/>
      <c r="BL1391"/>
      <c r="BM1391"/>
      <c r="BN1391"/>
      <c r="BO1391"/>
      <c r="BP1391"/>
      <c r="BQ1391"/>
      <c r="BR1391"/>
      <c r="BS1391"/>
      <c r="BT1391"/>
      <c r="BU1391"/>
      <c r="BV1391"/>
      <c r="BW1391"/>
      <c r="BX1391"/>
      <c r="BY1391"/>
      <c r="BZ1391"/>
      <c r="CA1391"/>
      <c r="CB1391"/>
      <c r="CC1391"/>
      <c r="CD1391"/>
      <c r="CE1391"/>
      <c r="CF1391"/>
      <c r="CG1391"/>
      <c r="CH1391"/>
      <c r="CI1391"/>
      <c r="CJ1391"/>
      <c r="CK1391"/>
      <c r="CL1391"/>
      <c r="CM1391"/>
      <c r="CN1391"/>
      <c r="CO1391"/>
      <c r="CP1391"/>
      <c r="CQ1391"/>
      <c r="CR1391"/>
      <c r="CS1391"/>
      <c r="CT1391"/>
      <c r="CU1391"/>
      <c r="CV1391"/>
      <c r="CW1391"/>
      <c r="CX1391"/>
      <c r="CY1391"/>
      <c r="CZ1391"/>
      <c r="DA1391"/>
      <c r="DB1391"/>
      <c r="DC1391"/>
      <c r="DD1391"/>
      <c r="DE1391"/>
      <c r="DF1391"/>
      <c r="DG1391"/>
      <c r="DH1391"/>
      <c r="DI1391"/>
      <c r="DJ1391"/>
      <c r="DK1391"/>
      <c r="DL1391"/>
      <c r="DM1391"/>
      <c r="DN1391"/>
      <c r="DO1391"/>
      <c r="DP1391"/>
      <c r="DQ1391"/>
      <c r="DR1391"/>
      <c r="DS1391"/>
      <c r="DT1391"/>
      <c r="DU1391"/>
      <c r="DV1391"/>
      <c r="DW1391"/>
      <c r="DX1391"/>
      <c r="DY1391"/>
      <c r="DZ1391"/>
      <c r="EA1391"/>
      <c r="EB1391"/>
      <c r="EC1391"/>
      <c r="ED1391"/>
      <c r="EE1391"/>
      <c r="EF1391"/>
      <c r="EG1391"/>
      <c r="EH1391"/>
      <c r="EI1391"/>
      <c r="EJ1391"/>
      <c r="EK1391"/>
      <c r="EL1391"/>
      <c r="EM1391"/>
      <c r="EN1391"/>
      <c r="EO1391"/>
      <c r="EP1391"/>
      <c r="EQ1391"/>
      <c r="ER1391"/>
      <c r="ES1391"/>
    </row>
    <row r="1392" spans="1:149">
      <c r="A1392"/>
      <c r="B1392"/>
      <c r="C1392"/>
      <c r="D1392"/>
      <c r="E1392"/>
      <c r="F1392"/>
      <c r="G1392"/>
      <c r="H1392"/>
      <c r="I1392"/>
      <c r="J1392"/>
      <c r="K1392"/>
      <c r="L1392"/>
      <c r="M1392"/>
      <c r="N1392"/>
      <c r="O1392"/>
      <c r="P1392"/>
      <c r="Q1392"/>
      <c r="R1392"/>
      <c r="S1392"/>
      <c r="T1392"/>
      <c r="U1392"/>
      <c r="V1392"/>
      <c r="W1392"/>
      <c r="X1392"/>
      <c r="Y1392"/>
      <c r="Z1392"/>
      <c r="AA1392"/>
      <c r="AB1392"/>
      <c r="AC1392"/>
      <c r="AD1392"/>
      <c r="AE1392"/>
      <c r="AF1392"/>
      <c r="AG1392"/>
      <c r="AH1392"/>
      <c r="AI1392"/>
      <c r="AJ1392"/>
      <c r="AK1392"/>
      <c r="AL1392"/>
      <c r="AM1392"/>
      <c r="AN1392"/>
      <c r="AO1392"/>
      <c r="AP1392"/>
      <c r="AQ1392"/>
      <c r="AR1392"/>
      <c r="AS1392"/>
      <c r="AT1392"/>
      <c r="AU1392"/>
      <c r="AV1392"/>
      <c r="AW1392"/>
      <c r="AX1392"/>
      <c r="AY1392"/>
      <c r="AZ1392"/>
      <c r="BA1392"/>
      <c r="BB1392"/>
      <c r="BC1392"/>
      <c r="BD1392"/>
      <c r="BE1392"/>
      <c r="BF1392"/>
      <c r="BG1392"/>
      <c r="BH1392"/>
      <c r="BI1392"/>
      <c r="BJ1392"/>
      <c r="BK1392"/>
      <c r="BL1392"/>
      <c r="BM1392"/>
      <c r="BN1392"/>
      <c r="BO1392"/>
      <c r="BP1392"/>
      <c r="BQ1392"/>
      <c r="BR1392"/>
      <c r="BS1392"/>
      <c r="BT1392"/>
      <c r="BU1392"/>
      <c r="BV1392"/>
      <c r="BW1392"/>
      <c r="BX1392"/>
      <c r="BY1392"/>
      <c r="BZ1392"/>
      <c r="CA1392"/>
      <c r="CB1392"/>
      <c r="CC1392"/>
      <c r="CD1392"/>
      <c r="CE1392"/>
      <c r="CF1392"/>
      <c r="CG1392"/>
      <c r="CH1392"/>
      <c r="CI1392"/>
      <c r="CJ1392"/>
      <c r="CK1392"/>
      <c r="CL1392"/>
      <c r="CM1392"/>
      <c r="CN1392"/>
      <c r="CO1392"/>
      <c r="CP1392"/>
      <c r="CQ1392"/>
      <c r="CR1392"/>
      <c r="CS1392"/>
      <c r="CT1392"/>
      <c r="CU1392"/>
      <c r="CV1392"/>
      <c r="CW1392"/>
      <c r="CX1392"/>
      <c r="CY1392"/>
      <c r="CZ1392"/>
      <c r="DA1392"/>
      <c r="DB1392"/>
      <c r="DC1392"/>
      <c r="DD1392"/>
      <c r="DE1392"/>
      <c r="DF1392"/>
      <c r="DG1392"/>
      <c r="DH1392"/>
      <c r="DI1392"/>
      <c r="DJ1392"/>
      <c r="DK1392"/>
      <c r="DL1392"/>
      <c r="DM1392"/>
      <c r="DN1392"/>
      <c r="DO1392"/>
      <c r="DP1392"/>
      <c r="DQ1392"/>
      <c r="DR1392"/>
      <c r="DS1392"/>
      <c r="DT1392"/>
      <c r="DU1392"/>
      <c r="DV1392"/>
      <c r="DW1392"/>
      <c r="DX1392"/>
      <c r="DY1392"/>
      <c r="DZ1392"/>
      <c r="EA1392"/>
      <c r="EB1392"/>
      <c r="EC1392"/>
      <c r="ED1392"/>
      <c r="EE1392"/>
      <c r="EF1392"/>
      <c r="EG1392"/>
      <c r="EH1392"/>
      <c r="EI1392"/>
      <c r="EJ1392"/>
      <c r="EK1392"/>
      <c r="EL1392"/>
      <c r="EM1392"/>
      <c r="EN1392"/>
      <c r="EO1392"/>
      <c r="EP1392"/>
      <c r="EQ1392"/>
      <c r="ER1392"/>
      <c r="ES1392"/>
    </row>
    <row r="1393" spans="1:149">
      <c r="A1393"/>
      <c r="B1393"/>
      <c r="C1393"/>
      <c r="D1393"/>
      <c r="E1393"/>
      <c r="F1393"/>
      <c r="G1393"/>
      <c r="H1393"/>
      <c r="I1393"/>
      <c r="J1393"/>
      <c r="K1393"/>
      <c r="L1393"/>
      <c r="M1393"/>
      <c r="N1393"/>
      <c r="O1393"/>
      <c r="P1393"/>
      <c r="Q1393"/>
      <c r="R1393"/>
      <c r="S1393"/>
      <c r="T1393"/>
      <c r="U1393"/>
      <c r="V1393"/>
      <c r="W1393"/>
      <c r="X1393"/>
      <c r="Y1393"/>
      <c r="Z1393"/>
      <c r="AA1393"/>
      <c r="AB1393"/>
      <c r="AC1393"/>
      <c r="AD1393"/>
      <c r="AE1393"/>
      <c r="AF1393"/>
      <c r="AG1393"/>
      <c r="AH1393"/>
      <c r="AI1393"/>
      <c r="AJ1393"/>
      <c r="AK1393"/>
      <c r="AL1393"/>
      <c r="AM1393"/>
      <c r="AN1393"/>
      <c r="AO1393"/>
      <c r="AP1393"/>
      <c r="AQ1393"/>
      <c r="AR1393"/>
      <c r="AS1393"/>
      <c r="AT1393"/>
      <c r="AU1393"/>
      <c r="AV1393"/>
      <c r="AW1393"/>
      <c r="AX1393"/>
      <c r="AY1393"/>
      <c r="AZ1393"/>
      <c r="BA1393"/>
      <c r="BB1393"/>
      <c r="BC1393"/>
      <c r="BD1393"/>
      <c r="BE1393"/>
      <c r="BF1393"/>
      <c r="BG1393"/>
      <c r="BH1393"/>
      <c r="BI1393"/>
      <c r="BJ1393"/>
      <c r="BK1393"/>
      <c r="BL1393"/>
      <c r="BM1393"/>
      <c r="BN1393"/>
      <c r="BO1393"/>
      <c r="BP1393"/>
      <c r="BQ1393"/>
      <c r="BR1393"/>
      <c r="BS1393"/>
      <c r="BT1393"/>
      <c r="BU1393"/>
      <c r="BV1393"/>
      <c r="BW1393"/>
      <c r="BX1393"/>
      <c r="BY1393"/>
      <c r="BZ1393"/>
      <c r="CA1393"/>
      <c r="CB1393"/>
      <c r="CC1393"/>
      <c r="CD1393"/>
      <c r="CE1393"/>
      <c r="CF1393"/>
      <c r="CG1393"/>
      <c r="CH1393"/>
      <c r="CI1393"/>
      <c r="CJ1393"/>
      <c r="CK1393"/>
      <c r="CL1393"/>
      <c r="CM1393"/>
      <c r="CN1393"/>
      <c r="CO1393"/>
      <c r="CP1393"/>
      <c r="CQ1393"/>
      <c r="CR1393"/>
      <c r="CS1393"/>
      <c r="CT1393"/>
      <c r="CU1393"/>
      <c r="CV1393"/>
      <c r="CW1393"/>
      <c r="CX1393"/>
      <c r="CY1393"/>
      <c r="CZ1393"/>
      <c r="DA1393"/>
      <c r="DB1393"/>
      <c r="DC1393"/>
      <c r="DD1393"/>
      <c r="DE1393"/>
      <c r="DF1393"/>
      <c r="DG1393"/>
      <c r="DH1393"/>
      <c r="DI1393"/>
      <c r="DJ1393"/>
      <c r="DK1393"/>
      <c r="DL1393"/>
      <c r="DM1393"/>
      <c r="DN1393"/>
      <c r="DO1393"/>
      <c r="DP1393"/>
      <c r="DQ1393"/>
      <c r="DR1393"/>
      <c r="DS1393"/>
      <c r="DT1393"/>
      <c r="DU1393"/>
      <c r="DV1393"/>
      <c r="DW1393"/>
      <c r="DX1393"/>
      <c r="DY1393"/>
      <c r="DZ1393"/>
      <c r="EA1393"/>
      <c r="EB1393"/>
      <c r="EC1393"/>
      <c r="ED1393"/>
      <c r="EE1393"/>
      <c r="EF1393"/>
      <c r="EG1393"/>
      <c r="EH1393"/>
      <c r="EI1393"/>
      <c r="EJ1393"/>
      <c r="EK1393"/>
      <c r="EL1393"/>
      <c r="EM1393"/>
      <c r="EN1393"/>
      <c r="EO1393"/>
      <c r="EP1393"/>
      <c r="EQ1393"/>
      <c r="ER1393"/>
      <c r="ES1393"/>
    </row>
    <row r="1394" spans="1:149">
      <c r="A1394"/>
      <c r="B1394"/>
      <c r="C1394"/>
      <c r="D1394"/>
      <c r="E1394"/>
      <c r="F1394"/>
      <c r="G1394"/>
      <c r="H1394"/>
      <c r="I1394"/>
      <c r="J1394"/>
      <c r="K1394"/>
      <c r="L1394"/>
      <c r="M1394"/>
      <c r="N1394"/>
      <c r="O1394"/>
      <c r="P1394"/>
      <c r="Q1394"/>
      <c r="R1394"/>
      <c r="S1394"/>
      <c r="T1394"/>
      <c r="U1394"/>
      <c r="V1394"/>
      <c r="W1394"/>
      <c r="X1394"/>
      <c r="Y1394"/>
      <c r="Z1394"/>
      <c r="AA1394"/>
      <c r="AB1394"/>
      <c r="AC1394"/>
      <c r="AD1394"/>
      <c r="AE1394"/>
      <c r="AF1394"/>
      <c r="AG1394"/>
      <c r="AH1394"/>
      <c r="AI1394"/>
      <c r="AJ1394"/>
      <c r="AK1394"/>
      <c r="AL1394"/>
      <c r="AM1394"/>
      <c r="AN1394"/>
      <c r="AO1394"/>
      <c r="AP1394"/>
      <c r="AQ1394"/>
      <c r="AR1394"/>
      <c r="AS1394"/>
      <c r="AT1394"/>
      <c r="AU1394"/>
      <c r="AV1394"/>
      <c r="AW1394"/>
      <c r="AX1394"/>
      <c r="AY1394"/>
      <c r="AZ1394"/>
      <c r="BA1394"/>
      <c r="BB1394"/>
      <c r="BC1394"/>
      <c r="BD1394"/>
      <c r="BE1394"/>
      <c r="BF1394"/>
      <c r="BG1394"/>
      <c r="BH1394"/>
      <c r="BI1394"/>
      <c r="BJ1394"/>
      <c r="BK1394"/>
      <c r="BL1394"/>
      <c r="BM1394"/>
      <c r="BN1394"/>
      <c r="BO1394"/>
      <c r="BP1394"/>
      <c r="BQ1394"/>
      <c r="BR1394"/>
      <c r="BS1394"/>
      <c r="BT1394"/>
      <c r="BU1394"/>
      <c r="BV1394"/>
      <c r="BW1394"/>
      <c r="BX1394"/>
      <c r="BY1394"/>
      <c r="BZ1394"/>
      <c r="CA1394"/>
      <c r="CB1394"/>
      <c r="CC1394"/>
      <c r="CD1394"/>
      <c r="CE1394"/>
      <c r="CF1394"/>
      <c r="CG1394"/>
      <c r="CH1394"/>
      <c r="CI1394"/>
      <c r="CJ1394"/>
      <c r="CK1394"/>
      <c r="CL1394"/>
      <c r="CM1394"/>
      <c r="CN1394"/>
      <c r="CO1394"/>
      <c r="CP1394"/>
      <c r="CQ1394"/>
      <c r="CR1394"/>
      <c r="CS1394"/>
      <c r="CT1394"/>
      <c r="CU1394"/>
      <c r="CV1394"/>
      <c r="CW1394"/>
      <c r="CX1394"/>
      <c r="CY1394"/>
      <c r="CZ1394"/>
      <c r="DA1394"/>
      <c r="DB1394"/>
      <c r="DC1394"/>
      <c r="DD1394"/>
      <c r="DE1394"/>
      <c r="DF1394"/>
      <c r="DG1394"/>
      <c r="DH1394"/>
      <c r="DI1394"/>
      <c r="DJ1394"/>
      <c r="DK1394"/>
      <c r="DL1394"/>
      <c r="DM1394"/>
      <c r="DN1394"/>
      <c r="DO1394"/>
      <c r="DP1394"/>
      <c r="DQ1394"/>
      <c r="DR1394"/>
      <c r="DS1394"/>
      <c r="DT1394"/>
      <c r="DU1394"/>
      <c r="DV1394"/>
      <c r="DW1394"/>
      <c r="DX1394"/>
      <c r="DY1394"/>
      <c r="DZ1394"/>
      <c r="EA1394"/>
      <c r="EB1394"/>
      <c r="EC1394"/>
      <c r="ED1394"/>
      <c r="EE1394"/>
      <c r="EF1394"/>
      <c r="EG1394"/>
      <c r="EH1394"/>
      <c r="EI1394"/>
      <c r="EJ1394"/>
      <c r="EK1394"/>
      <c r="EL1394"/>
      <c r="EM1394"/>
      <c r="EN1394"/>
      <c r="EO1394"/>
      <c r="EP1394"/>
      <c r="EQ1394"/>
      <c r="ER1394"/>
      <c r="ES1394"/>
    </row>
    <row r="1395" spans="1:149">
      <c r="A1395"/>
      <c r="B1395"/>
      <c r="C1395"/>
      <c r="D1395"/>
      <c r="E1395"/>
      <c r="F1395"/>
      <c r="G1395"/>
      <c r="H1395"/>
      <c r="I1395"/>
      <c r="J1395"/>
      <c r="K1395"/>
      <c r="L1395"/>
      <c r="M1395"/>
      <c r="N1395"/>
      <c r="O1395"/>
      <c r="P1395"/>
      <c r="Q1395"/>
      <c r="R1395"/>
      <c r="S1395"/>
      <c r="T1395"/>
      <c r="U1395"/>
      <c r="V1395"/>
      <c r="W1395"/>
      <c r="X1395"/>
      <c r="Y1395"/>
      <c r="Z1395"/>
      <c r="AA1395"/>
      <c r="AB1395"/>
      <c r="AC1395"/>
      <c r="AD1395"/>
      <c r="AE1395"/>
      <c r="AF1395"/>
      <c r="AG1395"/>
      <c r="AH1395"/>
      <c r="AI1395"/>
      <c r="AJ1395"/>
      <c r="AK1395"/>
      <c r="AL1395"/>
      <c r="AM1395"/>
      <c r="AN1395"/>
      <c r="AO1395"/>
      <c r="AP1395"/>
      <c r="AQ1395"/>
      <c r="AR1395"/>
      <c r="AS1395"/>
      <c r="AT1395"/>
      <c r="AU1395"/>
      <c r="AV1395"/>
      <c r="AW1395"/>
      <c r="AX1395"/>
      <c r="AY1395"/>
      <c r="AZ1395"/>
      <c r="BA1395"/>
      <c r="BB1395"/>
      <c r="BC1395"/>
      <c r="BD1395"/>
      <c r="BE1395"/>
      <c r="BF1395"/>
      <c r="BG1395"/>
      <c r="BH1395"/>
      <c r="BI1395"/>
      <c r="BJ1395"/>
      <c r="BK1395"/>
      <c r="BL1395"/>
      <c r="BM1395"/>
      <c r="BN1395"/>
      <c r="BO1395"/>
      <c r="BP1395"/>
      <c r="BQ1395"/>
      <c r="BR1395"/>
      <c r="BS1395"/>
      <c r="BT1395"/>
      <c r="BU1395"/>
      <c r="BV1395"/>
      <c r="BW1395"/>
      <c r="BX1395"/>
      <c r="BY1395"/>
      <c r="BZ1395"/>
      <c r="CA1395"/>
      <c r="CB1395"/>
      <c r="CC1395"/>
      <c r="CD1395"/>
      <c r="CE1395"/>
      <c r="CF1395"/>
      <c r="CG1395"/>
      <c r="CH1395"/>
      <c r="CI1395"/>
      <c r="CJ1395"/>
      <c r="CK1395"/>
      <c r="CL1395"/>
      <c r="CM1395"/>
      <c r="CN1395"/>
      <c r="CO1395"/>
      <c r="CP1395"/>
      <c r="CQ1395"/>
      <c r="CR1395"/>
      <c r="CS1395"/>
      <c r="CT1395"/>
      <c r="CU1395"/>
      <c r="CV1395"/>
      <c r="CW1395"/>
      <c r="CX1395"/>
      <c r="CY1395"/>
      <c r="CZ1395"/>
      <c r="DA1395"/>
      <c r="DB1395"/>
      <c r="DC1395"/>
      <c r="DD1395"/>
      <c r="DE1395"/>
      <c r="DF1395"/>
      <c r="DG1395"/>
      <c r="DH1395"/>
      <c r="DI1395"/>
      <c r="DJ1395"/>
      <c r="DK1395"/>
      <c r="DL1395"/>
      <c r="DM1395"/>
      <c r="DN1395"/>
      <c r="DO1395"/>
      <c r="DP1395"/>
      <c r="DQ1395"/>
      <c r="DR1395"/>
      <c r="DS1395"/>
      <c r="DT1395"/>
      <c r="DU1395"/>
      <c r="DV1395"/>
      <c r="DW1395"/>
      <c r="DX1395"/>
      <c r="DY1395"/>
      <c r="DZ1395"/>
      <c r="EA1395"/>
      <c r="EB1395"/>
      <c r="EC1395"/>
      <c r="ED1395"/>
      <c r="EE1395"/>
      <c r="EF1395"/>
      <c r="EG1395"/>
      <c r="EH1395"/>
      <c r="EI1395"/>
      <c r="EJ1395"/>
      <c r="EK1395"/>
      <c r="EL1395"/>
      <c r="EM1395"/>
      <c r="EN1395"/>
      <c r="EO1395"/>
      <c r="EP1395"/>
      <c r="EQ1395"/>
      <c r="ER1395"/>
      <c r="ES1395"/>
    </row>
    <row r="1396" spans="1:149">
      <c r="A1396"/>
      <c r="B1396"/>
      <c r="C1396"/>
      <c r="D1396"/>
      <c r="E1396"/>
      <c r="F1396"/>
      <c r="G1396"/>
      <c r="H1396"/>
      <c r="I1396"/>
      <c r="J1396"/>
      <c r="K1396"/>
      <c r="L1396"/>
      <c r="M1396"/>
      <c r="N1396"/>
      <c r="O1396"/>
      <c r="P1396"/>
      <c r="Q1396"/>
      <c r="R1396"/>
      <c r="S1396"/>
      <c r="T1396"/>
      <c r="U1396"/>
      <c r="V1396"/>
      <c r="W1396"/>
      <c r="X1396"/>
      <c r="Y1396"/>
      <c r="Z1396"/>
      <c r="AA1396"/>
      <c r="AB1396"/>
      <c r="AC1396"/>
      <c r="AD1396"/>
      <c r="AE1396"/>
      <c r="AF1396"/>
      <c r="AG1396"/>
      <c r="AH1396"/>
      <c r="AI1396"/>
      <c r="AJ1396"/>
      <c r="AK1396"/>
      <c r="AL1396"/>
      <c r="AM1396"/>
      <c r="AN1396"/>
      <c r="AO1396"/>
      <c r="AP1396"/>
      <c r="AQ1396"/>
      <c r="AR1396"/>
      <c r="AS1396"/>
      <c r="AT1396"/>
      <c r="AU1396"/>
      <c r="AV1396"/>
      <c r="AW1396"/>
      <c r="AX1396"/>
      <c r="AY1396"/>
      <c r="AZ1396"/>
      <c r="BA1396"/>
      <c r="BB1396"/>
      <c r="BC1396"/>
      <c r="BD1396"/>
      <c r="BE1396"/>
      <c r="BF1396"/>
      <c r="BG1396"/>
      <c r="BH1396"/>
      <c r="BI1396"/>
      <c r="BJ1396"/>
      <c r="BK1396"/>
      <c r="BL1396"/>
      <c r="BM1396"/>
      <c r="BN1396"/>
      <c r="BO1396"/>
      <c r="BP1396"/>
      <c r="BQ1396"/>
      <c r="BR1396"/>
      <c r="BS1396"/>
      <c r="BT1396"/>
      <c r="BU1396"/>
      <c r="BV1396"/>
      <c r="BW1396"/>
      <c r="BX1396"/>
      <c r="BY1396"/>
      <c r="BZ1396"/>
      <c r="CA1396"/>
      <c r="CB1396"/>
      <c r="CC1396"/>
      <c r="CD1396"/>
      <c r="CE1396"/>
      <c r="CF1396"/>
      <c r="CG1396"/>
      <c r="CH1396"/>
      <c r="CI1396"/>
      <c r="CJ1396"/>
      <c r="CK1396"/>
      <c r="CL1396"/>
      <c r="CM1396"/>
      <c r="CN1396"/>
      <c r="CO1396"/>
      <c r="CP1396"/>
      <c r="CQ1396"/>
      <c r="CR1396"/>
      <c r="CS1396"/>
      <c r="CT1396"/>
      <c r="CU1396"/>
      <c r="CV1396"/>
      <c r="CW1396"/>
      <c r="CX1396"/>
      <c r="CY1396"/>
      <c r="CZ1396"/>
      <c r="DA1396"/>
      <c r="DB1396"/>
      <c r="DC1396"/>
      <c r="DD1396"/>
      <c r="DE1396"/>
      <c r="DF1396"/>
      <c r="DG1396"/>
      <c r="DH1396"/>
      <c r="DI1396"/>
      <c r="DJ1396"/>
      <c r="DK1396"/>
      <c r="DL1396"/>
      <c r="DM1396"/>
      <c r="DN1396"/>
      <c r="DO1396"/>
      <c r="DP1396"/>
      <c r="DQ1396"/>
      <c r="DR1396"/>
      <c r="DS1396"/>
      <c r="DT1396"/>
      <c r="DU1396"/>
      <c r="DV1396"/>
      <c r="DW1396"/>
      <c r="DX1396"/>
      <c r="DY1396"/>
      <c r="DZ1396"/>
      <c r="EA1396"/>
      <c r="EB1396"/>
      <c r="EC1396"/>
      <c r="ED1396"/>
      <c r="EE1396"/>
      <c r="EF1396"/>
      <c r="EG1396"/>
      <c r="EH1396"/>
      <c r="EI1396"/>
      <c r="EJ1396"/>
      <c r="EK1396"/>
      <c r="EL1396"/>
      <c r="EM1396"/>
      <c r="EN1396"/>
      <c r="EO1396"/>
      <c r="EP1396"/>
      <c r="EQ1396"/>
      <c r="ER1396"/>
      <c r="ES1396"/>
    </row>
    <row r="1397" spans="1:149">
      <c r="A1397"/>
      <c r="B1397"/>
      <c r="C1397"/>
      <c r="D1397"/>
      <c r="E1397"/>
      <c r="F1397"/>
      <c r="G1397"/>
      <c r="H1397"/>
      <c r="I1397"/>
      <c r="J1397"/>
      <c r="K1397"/>
      <c r="L1397"/>
      <c r="M1397"/>
      <c r="N1397"/>
      <c r="O1397"/>
      <c r="P1397"/>
      <c r="Q1397"/>
      <c r="R1397"/>
      <c r="S1397"/>
      <c r="T1397"/>
      <c r="U1397"/>
      <c r="V1397"/>
      <c r="W1397"/>
      <c r="X1397"/>
      <c r="Y1397"/>
      <c r="Z1397"/>
      <c r="AA1397"/>
      <c r="AB1397"/>
      <c r="AC1397"/>
      <c r="AD1397"/>
      <c r="AE1397"/>
      <c r="AF1397"/>
      <c r="AG1397"/>
      <c r="AH1397"/>
      <c r="AI1397"/>
      <c r="AJ1397"/>
      <c r="AK1397"/>
      <c r="AL1397"/>
      <c r="AM1397"/>
      <c r="AN1397"/>
      <c r="AO1397"/>
      <c r="AP1397"/>
      <c r="AQ1397"/>
      <c r="AR1397"/>
      <c r="AS1397"/>
      <c r="AT1397"/>
      <c r="AU1397"/>
      <c r="AV1397"/>
      <c r="AW1397"/>
      <c r="AX1397"/>
      <c r="AY1397"/>
      <c r="AZ1397"/>
      <c r="BA1397"/>
      <c r="BB1397"/>
      <c r="BC1397"/>
      <c r="BD1397"/>
      <c r="BE1397"/>
      <c r="BF1397"/>
      <c r="BG1397"/>
      <c r="BH1397"/>
      <c r="BI1397"/>
      <c r="BJ1397"/>
      <c r="BK1397"/>
      <c r="BL1397"/>
      <c r="BM1397"/>
      <c r="BN1397"/>
      <c r="BO1397"/>
      <c r="BP1397"/>
      <c r="BQ1397"/>
      <c r="BR1397"/>
      <c r="BS1397"/>
      <c r="BT1397"/>
      <c r="BU1397"/>
      <c r="BV1397"/>
      <c r="BW1397"/>
      <c r="BX1397"/>
      <c r="BY1397"/>
      <c r="BZ1397"/>
      <c r="CA1397"/>
      <c r="CB1397"/>
      <c r="CC1397"/>
      <c r="CD1397"/>
      <c r="CE1397"/>
      <c r="CF1397"/>
      <c r="CG1397"/>
      <c r="CH1397"/>
      <c r="CI1397"/>
      <c r="CJ1397"/>
      <c r="CK1397"/>
      <c r="CL1397"/>
      <c r="CM1397"/>
      <c r="CN1397"/>
      <c r="CO1397"/>
      <c r="CP1397"/>
      <c r="CQ1397"/>
      <c r="CR1397"/>
      <c r="CS1397"/>
      <c r="CT1397"/>
      <c r="CU1397"/>
      <c r="CV1397"/>
      <c r="CW1397"/>
      <c r="CX1397"/>
      <c r="CY1397"/>
      <c r="CZ1397"/>
      <c r="DA1397"/>
      <c r="DB1397"/>
      <c r="DC1397"/>
      <c r="DD1397"/>
      <c r="DE1397"/>
      <c r="DF1397"/>
      <c r="DG1397"/>
      <c r="DH1397"/>
      <c r="DI1397"/>
      <c r="DJ1397"/>
      <c r="DK1397"/>
      <c r="DL1397"/>
      <c r="DM1397"/>
      <c r="DN1397"/>
      <c r="DO1397"/>
      <c r="DP1397"/>
      <c r="DQ1397"/>
      <c r="DR1397"/>
      <c r="DS1397"/>
      <c r="DT1397"/>
      <c r="DU1397"/>
      <c r="DV1397"/>
      <c r="DW1397"/>
      <c r="DX1397"/>
      <c r="DY1397"/>
      <c r="DZ1397"/>
      <c r="EA1397"/>
      <c r="EB1397"/>
      <c r="EC1397"/>
      <c r="ED1397"/>
      <c r="EE1397"/>
      <c r="EF1397"/>
      <c r="EG1397"/>
      <c r="EH1397"/>
      <c r="EI1397"/>
      <c r="EJ1397"/>
      <c r="EK1397"/>
      <c r="EL1397"/>
      <c r="EM1397"/>
      <c r="EN1397"/>
      <c r="EO1397"/>
      <c r="EP1397"/>
      <c r="EQ1397"/>
      <c r="ER1397"/>
      <c r="ES1397"/>
    </row>
    <row r="1398" spans="1:149">
      <c r="A1398"/>
      <c r="B1398"/>
      <c r="C1398"/>
      <c r="D1398"/>
      <c r="E1398"/>
      <c r="F1398"/>
      <c r="G1398"/>
      <c r="H1398"/>
      <c r="I1398"/>
      <c r="J1398"/>
      <c r="K1398"/>
      <c r="L1398"/>
      <c r="M1398"/>
      <c r="N1398"/>
      <c r="O1398"/>
      <c r="P1398"/>
      <c r="Q1398"/>
      <c r="R1398"/>
      <c r="S1398"/>
      <c r="T1398"/>
      <c r="U1398"/>
      <c r="V1398"/>
      <c r="W1398"/>
      <c r="X1398"/>
      <c r="Y1398"/>
      <c r="Z1398"/>
      <c r="AA1398"/>
      <c r="AB1398"/>
      <c r="AC1398"/>
      <c r="AD1398"/>
      <c r="AE1398"/>
      <c r="AF1398"/>
      <c r="AG1398"/>
      <c r="AH1398"/>
      <c r="AI1398"/>
      <c r="AJ1398"/>
      <c r="AK1398"/>
      <c r="AL1398"/>
      <c r="AM1398"/>
      <c r="AN1398"/>
      <c r="AO1398"/>
      <c r="AP1398"/>
      <c r="AQ1398"/>
      <c r="AR1398"/>
      <c r="AS1398"/>
      <c r="AT1398"/>
      <c r="AU1398"/>
      <c r="AV1398"/>
      <c r="AW1398"/>
      <c r="AX1398"/>
      <c r="AY1398"/>
      <c r="AZ1398"/>
      <c r="BA1398"/>
      <c r="BB1398"/>
      <c r="BC1398"/>
      <c r="BD1398"/>
      <c r="BE1398"/>
      <c r="BF1398"/>
      <c r="BG1398"/>
      <c r="BH1398"/>
      <c r="BI1398"/>
      <c r="BJ1398"/>
      <c r="BK1398"/>
      <c r="BL1398"/>
      <c r="BM1398"/>
      <c r="BN1398"/>
      <c r="BO1398"/>
      <c r="BP1398"/>
      <c r="BQ1398"/>
      <c r="BR1398"/>
      <c r="BS1398"/>
      <c r="BT1398"/>
      <c r="BU1398"/>
      <c r="BV1398"/>
      <c r="BW1398"/>
      <c r="BX1398"/>
      <c r="BY1398"/>
      <c r="BZ1398"/>
      <c r="CA1398"/>
      <c r="CB1398"/>
      <c r="CC1398"/>
      <c r="CD1398"/>
      <c r="CE1398"/>
      <c r="CF1398"/>
      <c r="CG1398"/>
      <c r="CH1398"/>
      <c r="CI1398"/>
      <c r="CJ1398"/>
      <c r="CK1398"/>
      <c r="CL1398"/>
      <c r="CM1398"/>
      <c r="CN1398"/>
      <c r="CO1398"/>
      <c r="CP1398"/>
      <c r="CQ1398"/>
      <c r="CR1398"/>
      <c r="CS1398"/>
      <c r="CT1398"/>
      <c r="CU1398"/>
      <c r="CV1398"/>
      <c r="CW1398"/>
      <c r="CX1398"/>
      <c r="CY1398"/>
      <c r="CZ1398"/>
      <c r="DA1398"/>
      <c r="DB1398"/>
      <c r="DC1398"/>
      <c r="DD1398"/>
      <c r="DE1398"/>
      <c r="DF1398"/>
      <c r="DG1398"/>
      <c r="DH1398"/>
      <c r="DI1398"/>
      <c r="DJ1398"/>
      <c r="DK1398"/>
      <c r="DL1398"/>
      <c r="DM1398"/>
      <c r="DN1398"/>
      <c r="DO1398"/>
      <c r="DP1398"/>
      <c r="DQ1398"/>
      <c r="DR1398"/>
      <c r="DS1398"/>
      <c r="DT1398"/>
      <c r="DU1398"/>
      <c r="DV1398"/>
      <c r="DW1398"/>
      <c r="DX1398"/>
      <c r="DY1398"/>
      <c r="DZ1398"/>
      <c r="EA1398"/>
      <c r="EB1398"/>
      <c r="EC1398"/>
      <c r="ED1398"/>
      <c r="EE1398"/>
      <c r="EF1398"/>
      <c r="EG1398"/>
      <c r="EH1398"/>
      <c r="EI1398"/>
      <c r="EJ1398"/>
      <c r="EK1398"/>
      <c r="EL1398"/>
      <c r="EM1398"/>
      <c r="EN1398"/>
      <c r="EO1398"/>
      <c r="EP1398"/>
      <c r="EQ1398"/>
      <c r="ER1398"/>
      <c r="ES1398"/>
    </row>
    <row r="1399" spans="1:149">
      <c r="A1399"/>
      <c r="B1399"/>
      <c r="C1399"/>
      <c r="D1399"/>
      <c r="E1399"/>
      <c r="F1399"/>
      <c r="G1399"/>
      <c r="H1399"/>
      <c r="I1399"/>
      <c r="J1399"/>
      <c r="K1399"/>
      <c r="L1399"/>
      <c r="M1399"/>
      <c r="N1399"/>
      <c r="O1399"/>
      <c r="P1399"/>
      <c r="Q1399"/>
      <c r="R1399"/>
      <c r="S1399"/>
      <c r="T1399"/>
      <c r="U1399"/>
      <c r="V1399"/>
      <c r="W1399"/>
      <c r="X1399"/>
      <c r="Y1399"/>
      <c r="Z1399"/>
      <c r="AA1399"/>
      <c r="AB1399"/>
      <c r="AC1399"/>
      <c r="AD1399"/>
      <c r="AE1399"/>
      <c r="AF1399"/>
      <c r="AG1399"/>
      <c r="AH1399"/>
      <c r="AI1399"/>
      <c r="AJ1399"/>
      <c r="AK1399"/>
      <c r="AL1399"/>
      <c r="AM1399"/>
      <c r="AN1399"/>
      <c r="AO1399"/>
      <c r="AP1399"/>
      <c r="AQ1399"/>
      <c r="AR1399"/>
      <c r="AS1399"/>
      <c r="AT1399"/>
      <c r="AU1399"/>
      <c r="AV1399"/>
      <c r="AW1399"/>
      <c r="AX1399"/>
      <c r="AY1399"/>
      <c r="AZ1399"/>
      <c r="BA1399"/>
      <c r="BB1399"/>
      <c r="BC1399"/>
      <c r="BD1399"/>
      <c r="BE1399"/>
      <c r="BF1399"/>
      <c r="BG1399"/>
      <c r="BH1399"/>
      <c r="BI1399"/>
      <c r="BJ1399"/>
      <c r="BK1399"/>
      <c r="BL1399"/>
      <c r="BM1399"/>
      <c r="BN1399"/>
      <c r="BO1399"/>
      <c r="BP1399"/>
      <c r="BQ1399"/>
      <c r="BR1399"/>
      <c r="BS1399"/>
      <c r="BT1399"/>
      <c r="BU1399"/>
      <c r="BV1399"/>
      <c r="BW1399"/>
      <c r="BX1399"/>
      <c r="BY1399"/>
      <c r="BZ1399"/>
      <c r="CA1399"/>
      <c r="CB1399"/>
      <c r="CC1399"/>
      <c r="CD1399"/>
      <c r="CE1399"/>
      <c r="CF1399"/>
      <c r="CG1399"/>
      <c r="CH1399"/>
      <c r="CI1399"/>
      <c r="CJ1399"/>
      <c r="CK1399"/>
      <c r="CL1399"/>
      <c r="CM1399"/>
      <c r="CN1399"/>
      <c r="CO1399"/>
      <c r="CP1399"/>
      <c r="CQ1399"/>
      <c r="CR1399"/>
      <c r="CS1399"/>
      <c r="CT1399"/>
      <c r="CU1399"/>
      <c r="CV1399"/>
      <c r="CW1399"/>
      <c r="CX1399"/>
      <c r="CY1399"/>
      <c r="CZ1399"/>
      <c r="DA1399"/>
      <c r="DB1399"/>
      <c r="DC1399"/>
      <c r="DD1399"/>
      <c r="DE1399"/>
      <c r="DF1399"/>
      <c r="DG1399"/>
      <c r="DH1399"/>
      <c r="DI1399"/>
      <c r="DJ1399"/>
      <c r="DK1399"/>
      <c r="DL1399"/>
      <c r="DM1399"/>
      <c r="DN1399"/>
      <c r="DO1399"/>
      <c r="DP1399"/>
      <c r="DQ1399"/>
      <c r="DR1399"/>
      <c r="DS1399"/>
      <c r="DT1399"/>
      <c r="DU1399"/>
      <c r="DV1399"/>
      <c r="DW1399"/>
      <c r="DX1399"/>
      <c r="DY1399"/>
      <c r="DZ1399"/>
      <c r="EA1399"/>
      <c r="EB1399"/>
      <c r="EC1399"/>
      <c r="ED1399"/>
      <c r="EE1399"/>
      <c r="EF1399"/>
      <c r="EG1399"/>
      <c r="EH1399"/>
      <c r="EI1399"/>
      <c r="EJ1399"/>
      <c r="EK1399"/>
      <c r="EL1399"/>
      <c r="EM1399"/>
      <c r="EN1399"/>
      <c r="EO1399"/>
      <c r="EP1399"/>
      <c r="EQ1399"/>
      <c r="ER1399"/>
      <c r="ES1399"/>
    </row>
    <row r="1400" spans="1:149">
      <c r="A1400"/>
      <c r="B1400"/>
      <c r="C1400"/>
      <c r="D1400"/>
      <c r="E1400"/>
      <c r="F1400"/>
      <c r="G1400"/>
      <c r="H1400"/>
      <c r="I1400"/>
      <c r="J1400"/>
      <c r="K1400"/>
      <c r="L1400"/>
      <c r="M1400"/>
      <c r="N1400"/>
      <c r="O1400"/>
      <c r="P1400"/>
      <c r="Q1400"/>
      <c r="R1400"/>
      <c r="S1400"/>
      <c r="T1400"/>
      <c r="U1400"/>
      <c r="V1400"/>
      <c r="W1400"/>
      <c r="X1400"/>
      <c r="Y1400"/>
      <c r="Z1400"/>
      <c r="AA1400"/>
      <c r="AB1400"/>
      <c r="AC1400"/>
      <c r="AD1400"/>
      <c r="AE1400"/>
      <c r="AF1400"/>
      <c r="AG1400"/>
      <c r="AH1400"/>
      <c r="AI1400"/>
      <c r="AJ1400"/>
      <c r="AK1400"/>
      <c r="AL1400"/>
      <c r="AM1400"/>
      <c r="AN1400"/>
      <c r="AO1400"/>
      <c r="AP1400"/>
      <c r="AQ1400"/>
      <c r="AR1400"/>
      <c r="AS1400"/>
      <c r="AT1400"/>
      <c r="AU1400"/>
      <c r="AV1400"/>
      <c r="AW1400"/>
      <c r="AX1400"/>
      <c r="AY1400"/>
      <c r="AZ1400"/>
      <c r="BA1400"/>
      <c r="BB1400"/>
      <c r="BC1400"/>
      <c r="BD1400"/>
      <c r="BE1400"/>
      <c r="BF1400"/>
      <c r="BG1400"/>
      <c r="BH1400"/>
      <c r="BI1400"/>
      <c r="BJ1400"/>
      <c r="BK1400"/>
      <c r="BL1400"/>
      <c r="BM1400"/>
      <c r="BN1400"/>
      <c r="BO1400"/>
      <c r="BP1400"/>
      <c r="BQ1400"/>
      <c r="BR1400"/>
      <c r="BS1400"/>
      <c r="BT1400"/>
      <c r="BU1400"/>
      <c r="BV1400"/>
      <c r="BW1400"/>
      <c r="BX1400"/>
      <c r="BY1400"/>
      <c r="BZ1400"/>
      <c r="CA1400"/>
      <c r="CB1400"/>
      <c r="CC1400"/>
      <c r="CD1400"/>
      <c r="CE1400"/>
      <c r="CF1400"/>
      <c r="CG1400"/>
      <c r="CH1400"/>
      <c r="CI1400"/>
      <c r="CJ1400"/>
      <c r="CK1400"/>
      <c r="CL1400"/>
      <c r="CM1400"/>
      <c r="CN1400"/>
      <c r="CO1400"/>
      <c r="CP1400"/>
      <c r="CQ1400"/>
      <c r="CR1400"/>
      <c r="CS1400"/>
      <c r="CT1400"/>
      <c r="CU1400"/>
      <c r="CV1400"/>
      <c r="CW1400"/>
      <c r="CX1400"/>
      <c r="CY1400"/>
      <c r="CZ1400"/>
      <c r="DA1400"/>
      <c r="DB1400"/>
      <c r="DC1400"/>
      <c r="DD1400"/>
      <c r="DE1400"/>
      <c r="DF1400"/>
      <c r="DG1400"/>
      <c r="DH1400"/>
      <c r="DI1400"/>
      <c r="DJ1400"/>
      <c r="DK1400"/>
      <c r="DL1400"/>
      <c r="DM1400"/>
      <c r="DN1400"/>
      <c r="DO1400"/>
      <c r="DP1400"/>
      <c r="DQ1400"/>
      <c r="DR1400"/>
      <c r="DS1400"/>
      <c r="DT1400"/>
      <c r="DU1400"/>
      <c r="DV1400"/>
      <c r="DW1400"/>
      <c r="DX1400"/>
      <c r="DY1400"/>
      <c r="DZ1400"/>
      <c r="EA1400"/>
      <c r="EB1400"/>
      <c r="EC1400"/>
      <c r="ED1400"/>
      <c r="EE1400"/>
      <c r="EF1400"/>
      <c r="EG1400"/>
      <c r="EH1400"/>
      <c r="EI1400"/>
      <c r="EJ1400"/>
      <c r="EK1400"/>
      <c r="EL1400"/>
      <c r="EM1400"/>
      <c r="EN1400"/>
      <c r="EO1400"/>
      <c r="EP1400"/>
      <c r="EQ1400"/>
      <c r="ER1400"/>
      <c r="ES1400"/>
    </row>
    <row r="1401" spans="1:149">
      <c r="A1401"/>
      <c r="B1401"/>
      <c r="C1401"/>
      <c r="D1401"/>
      <c r="E1401"/>
      <c r="F1401"/>
      <c r="G1401"/>
      <c r="H1401"/>
      <c r="I1401"/>
      <c r="J1401"/>
      <c r="K1401"/>
      <c r="L1401"/>
      <c r="M1401"/>
      <c r="N1401"/>
      <c r="O1401"/>
      <c r="P1401"/>
      <c r="Q1401"/>
      <c r="R1401"/>
      <c r="S1401"/>
      <c r="T1401"/>
      <c r="U1401"/>
      <c r="V1401"/>
      <c r="W1401"/>
      <c r="X1401"/>
      <c r="Y1401"/>
      <c r="Z1401"/>
      <c r="AA1401"/>
      <c r="AB1401"/>
      <c r="AC1401"/>
      <c r="AD1401"/>
      <c r="AE1401"/>
      <c r="AF1401"/>
      <c r="AG1401"/>
      <c r="AH1401"/>
      <c r="AI1401"/>
      <c r="AJ1401"/>
      <c r="AK1401"/>
      <c r="AL1401"/>
      <c r="AM1401"/>
      <c r="AN1401"/>
      <c r="AO1401"/>
      <c r="AP1401"/>
      <c r="AQ1401"/>
      <c r="AR1401"/>
      <c r="AS1401"/>
      <c r="AT1401"/>
      <c r="AU1401"/>
      <c r="AV1401"/>
      <c r="AW1401"/>
      <c r="AX1401"/>
      <c r="AY1401"/>
      <c r="AZ1401"/>
      <c r="BA1401"/>
      <c r="BB1401"/>
      <c r="BC1401"/>
      <c r="BD1401"/>
      <c r="BE1401"/>
      <c r="BF1401"/>
      <c r="BG1401"/>
      <c r="BH1401"/>
      <c r="BI1401"/>
      <c r="BJ1401"/>
      <c r="BK1401"/>
      <c r="BL1401"/>
      <c r="BM1401"/>
      <c r="BN1401"/>
      <c r="BO1401"/>
      <c r="BP1401"/>
      <c r="BQ1401"/>
      <c r="BR1401"/>
      <c r="BS1401"/>
      <c r="BT1401"/>
      <c r="BU1401"/>
      <c r="BV1401"/>
      <c r="BW1401"/>
      <c r="BX1401"/>
      <c r="BY1401"/>
      <c r="BZ1401"/>
      <c r="CA1401"/>
      <c r="CB1401"/>
      <c r="CC1401"/>
      <c r="CD1401"/>
      <c r="CE1401"/>
      <c r="CF1401"/>
      <c r="CG1401"/>
      <c r="CH1401"/>
      <c r="CI1401"/>
      <c r="CJ1401"/>
      <c r="CK1401"/>
      <c r="CL1401"/>
      <c r="CM1401"/>
      <c r="CN1401"/>
      <c r="CO1401"/>
      <c r="CP1401"/>
      <c r="CQ1401"/>
      <c r="CR1401"/>
      <c r="CS1401"/>
      <c r="CT1401"/>
      <c r="CU1401"/>
      <c r="CV1401"/>
      <c r="CW1401"/>
      <c r="CX1401"/>
      <c r="CY1401"/>
      <c r="CZ1401"/>
      <c r="DA1401"/>
      <c r="DB1401"/>
      <c r="DC1401"/>
      <c r="DD1401"/>
      <c r="DE1401"/>
      <c r="DF1401"/>
      <c r="DG1401"/>
      <c r="DH1401"/>
      <c r="DI1401"/>
      <c r="DJ1401"/>
      <c r="DK1401"/>
      <c r="DL1401"/>
      <c r="DM1401"/>
      <c r="DN1401"/>
      <c r="DO1401"/>
      <c r="DP1401"/>
      <c r="DQ1401"/>
      <c r="DR1401"/>
      <c r="DS1401"/>
      <c r="DT1401"/>
      <c r="DU1401"/>
      <c r="DV1401"/>
      <c r="DW1401"/>
      <c r="DX1401"/>
      <c r="DY1401"/>
      <c r="DZ1401"/>
      <c r="EA1401"/>
      <c r="EB1401"/>
      <c r="EC1401"/>
      <c r="ED1401"/>
      <c r="EE1401"/>
      <c r="EF1401"/>
      <c r="EG1401"/>
      <c r="EH1401"/>
      <c r="EI1401"/>
      <c r="EJ1401"/>
      <c r="EK1401"/>
      <c r="EL1401"/>
      <c r="EM1401"/>
      <c r="EN1401"/>
      <c r="EO1401"/>
      <c r="EP1401"/>
      <c r="EQ1401"/>
      <c r="ER1401"/>
      <c r="ES1401"/>
    </row>
    <row r="1402" spans="1:149">
      <c r="A1402"/>
      <c r="B1402"/>
      <c r="C1402"/>
      <c r="D1402"/>
      <c r="E1402"/>
      <c r="F1402"/>
      <c r="G1402"/>
      <c r="H1402"/>
      <c r="I1402"/>
      <c r="J1402"/>
      <c r="K1402"/>
      <c r="L1402"/>
      <c r="M1402"/>
      <c r="N1402"/>
      <c r="O1402"/>
      <c r="P1402"/>
      <c r="Q1402"/>
      <c r="R1402"/>
      <c r="S1402"/>
      <c r="T1402"/>
      <c r="U1402"/>
      <c r="V1402"/>
      <c r="W1402"/>
      <c r="X1402"/>
      <c r="Y1402"/>
      <c r="Z1402"/>
      <c r="AA1402"/>
      <c r="AB1402"/>
      <c r="AC1402"/>
      <c r="AD1402"/>
      <c r="AE1402"/>
      <c r="AF1402"/>
      <c r="AG1402"/>
      <c r="AH1402"/>
      <c r="AI1402"/>
      <c r="AJ1402"/>
      <c r="AK1402"/>
      <c r="AL1402"/>
      <c r="AM1402"/>
      <c r="AN1402"/>
      <c r="AO1402"/>
      <c r="AP1402"/>
      <c r="AQ1402"/>
      <c r="AR1402"/>
      <c r="AS1402"/>
      <c r="AT1402"/>
      <c r="AU1402"/>
      <c r="AV1402"/>
      <c r="AW1402"/>
      <c r="AX1402"/>
      <c r="AY1402"/>
      <c r="AZ1402"/>
      <c r="BA1402"/>
      <c r="BB1402"/>
      <c r="BC1402"/>
      <c r="BD1402"/>
      <c r="BE1402"/>
      <c r="BF1402"/>
      <c r="BG1402"/>
      <c r="BH1402"/>
      <c r="BI1402"/>
      <c r="BJ1402"/>
      <c r="BK1402"/>
      <c r="BL1402"/>
      <c r="BM1402"/>
      <c r="BN1402"/>
      <c r="BO1402"/>
      <c r="BP1402"/>
      <c r="BQ1402"/>
      <c r="BR1402"/>
      <c r="BS1402"/>
      <c r="BT1402"/>
      <c r="BU1402"/>
      <c r="BV1402"/>
      <c r="BW1402"/>
      <c r="BX1402"/>
      <c r="BY1402"/>
      <c r="BZ1402"/>
      <c r="CA1402"/>
      <c r="CB1402"/>
      <c r="CC1402"/>
      <c r="CD1402"/>
      <c r="CE1402"/>
      <c r="CF1402"/>
      <c r="CG1402"/>
      <c r="CH1402"/>
      <c r="CI1402"/>
      <c r="CJ1402"/>
      <c r="CK1402"/>
      <c r="CL1402"/>
      <c r="CM1402"/>
      <c r="CN1402"/>
      <c r="CO1402"/>
      <c r="CP1402"/>
      <c r="CQ1402"/>
      <c r="CR1402"/>
      <c r="CS1402"/>
      <c r="CT1402"/>
      <c r="CU1402"/>
      <c r="CV1402"/>
      <c r="CW1402"/>
      <c r="CX1402"/>
      <c r="CY1402"/>
      <c r="CZ1402"/>
      <c r="DA1402"/>
      <c r="DB1402"/>
      <c r="DC1402"/>
      <c r="DD1402"/>
      <c r="DE1402"/>
      <c r="DF1402"/>
      <c r="DG1402"/>
      <c r="DH1402"/>
      <c r="DI1402"/>
      <c r="DJ1402"/>
      <c r="DK1402"/>
      <c r="DL1402"/>
      <c r="DM1402"/>
      <c r="DN1402"/>
      <c r="DO1402"/>
      <c r="DP1402"/>
      <c r="DQ1402"/>
      <c r="DR1402"/>
      <c r="DS1402"/>
      <c r="DT1402"/>
      <c r="DU1402"/>
      <c r="DV1402"/>
      <c r="DW1402"/>
      <c r="DX1402"/>
      <c r="DY1402"/>
      <c r="DZ1402"/>
      <c r="EA1402"/>
      <c r="EB1402"/>
      <c r="EC1402"/>
      <c r="ED1402"/>
      <c r="EE1402"/>
      <c r="EF1402"/>
      <c r="EG1402"/>
      <c r="EH1402"/>
      <c r="EI1402"/>
      <c r="EJ1402"/>
      <c r="EK1402"/>
      <c r="EL1402"/>
      <c r="EM1402"/>
      <c r="EN1402"/>
      <c r="EO1402"/>
      <c r="EP1402"/>
      <c r="EQ1402"/>
      <c r="ER1402"/>
      <c r="ES1402"/>
    </row>
    <row r="1403" spans="1:149">
      <c r="A1403"/>
      <c r="B1403"/>
      <c r="C1403"/>
      <c r="D1403"/>
      <c r="E1403"/>
      <c r="F1403"/>
      <c r="G1403"/>
      <c r="H1403"/>
      <c r="I1403"/>
      <c r="J1403"/>
      <c r="K1403"/>
      <c r="L1403"/>
      <c r="M1403"/>
      <c r="N1403"/>
      <c r="O1403"/>
      <c r="P1403"/>
      <c r="Q1403"/>
      <c r="R1403"/>
      <c r="S1403"/>
      <c r="T1403"/>
      <c r="U1403"/>
      <c r="V1403"/>
      <c r="W1403"/>
      <c r="X1403"/>
      <c r="Y1403"/>
      <c r="Z1403"/>
      <c r="AA1403"/>
      <c r="AB1403"/>
      <c r="AC1403"/>
      <c r="AD1403"/>
      <c r="AE1403"/>
      <c r="AF1403"/>
      <c r="AG1403"/>
      <c r="AH1403"/>
      <c r="AI1403"/>
      <c r="AJ1403"/>
      <c r="AK1403"/>
      <c r="AL1403"/>
      <c r="AM1403"/>
      <c r="AN1403"/>
      <c r="AO1403"/>
      <c r="AP1403"/>
      <c r="AQ1403"/>
      <c r="AR1403"/>
      <c r="AS1403"/>
      <c r="AT1403"/>
      <c r="AU1403"/>
      <c r="AV1403"/>
      <c r="AW1403"/>
      <c r="AX1403"/>
      <c r="AY1403"/>
      <c r="AZ1403"/>
      <c r="BA1403"/>
      <c r="BB1403"/>
      <c r="BC1403"/>
      <c r="BD1403"/>
      <c r="BE1403"/>
      <c r="BF1403"/>
      <c r="BG1403"/>
      <c r="BH1403"/>
      <c r="BI1403"/>
      <c r="BJ1403"/>
      <c r="BK1403"/>
      <c r="BL1403"/>
      <c r="BM1403"/>
      <c r="BN1403"/>
      <c r="BO1403"/>
      <c r="BP1403"/>
      <c r="BQ1403"/>
      <c r="BR1403"/>
      <c r="BS1403"/>
      <c r="BT1403"/>
      <c r="BU1403"/>
      <c r="BV1403"/>
      <c r="BW1403"/>
      <c r="BX1403"/>
      <c r="BY1403"/>
      <c r="BZ1403"/>
      <c r="CA1403"/>
      <c r="CB1403"/>
      <c r="CC1403"/>
      <c r="CD1403"/>
      <c r="CE1403"/>
      <c r="CF1403"/>
      <c r="CG1403"/>
      <c r="CH1403"/>
      <c r="CI1403"/>
      <c r="CJ1403"/>
      <c r="CK1403"/>
      <c r="CL1403"/>
      <c r="CM1403"/>
      <c r="CN1403"/>
      <c r="CO1403"/>
      <c r="CP1403"/>
      <c r="CQ1403"/>
      <c r="CR1403"/>
      <c r="CS1403"/>
      <c r="CT1403"/>
      <c r="CU1403"/>
      <c r="CV1403"/>
      <c r="CW1403"/>
      <c r="CX1403"/>
      <c r="CY1403"/>
      <c r="CZ1403"/>
      <c r="DA1403"/>
      <c r="DB1403"/>
      <c r="DC1403"/>
      <c r="DD1403"/>
      <c r="DE1403"/>
      <c r="DF1403"/>
      <c r="DG1403"/>
      <c r="DH1403"/>
      <c r="DI1403"/>
      <c r="DJ1403"/>
      <c r="DK1403"/>
      <c r="DL1403"/>
      <c r="DM1403"/>
      <c r="DN1403"/>
      <c r="DO1403"/>
      <c r="DP1403"/>
      <c r="DQ1403"/>
      <c r="DR1403"/>
      <c r="DS1403"/>
      <c r="DT1403"/>
      <c r="DU1403"/>
      <c r="DV1403"/>
      <c r="DW1403"/>
      <c r="DX1403"/>
      <c r="DY1403"/>
      <c r="DZ1403"/>
      <c r="EA1403"/>
      <c r="EB1403"/>
      <c r="EC1403"/>
      <c r="ED1403"/>
      <c r="EE1403"/>
      <c r="EF1403"/>
      <c r="EG1403"/>
      <c r="EH1403"/>
      <c r="EI1403"/>
      <c r="EJ1403"/>
      <c r="EK1403"/>
      <c r="EL1403"/>
      <c r="EM1403"/>
      <c r="EN1403"/>
      <c r="EO1403"/>
      <c r="EP1403"/>
      <c r="EQ1403"/>
      <c r="ER1403"/>
      <c r="ES1403"/>
    </row>
    <row r="1404" spans="1:149">
      <c r="A1404"/>
      <c r="B1404"/>
      <c r="C1404"/>
      <c r="D1404"/>
      <c r="E1404"/>
      <c r="F1404"/>
      <c r="G1404"/>
      <c r="H1404"/>
      <c r="I1404"/>
      <c r="J1404"/>
      <c r="K1404"/>
      <c r="L1404"/>
      <c r="M1404"/>
      <c r="N1404"/>
      <c r="O1404"/>
      <c r="P1404"/>
      <c r="Q1404"/>
      <c r="R1404"/>
      <c r="S1404"/>
      <c r="T1404"/>
      <c r="U1404"/>
      <c r="V1404"/>
      <c r="W1404"/>
      <c r="X1404"/>
      <c r="Y1404"/>
      <c r="Z1404"/>
      <c r="AA1404"/>
      <c r="AB1404"/>
      <c r="AC1404"/>
      <c r="AD1404"/>
      <c r="AE1404"/>
      <c r="AF1404"/>
      <c r="AG1404"/>
      <c r="AH1404"/>
      <c r="AI1404"/>
      <c r="AJ1404"/>
      <c r="AK1404"/>
      <c r="AL1404"/>
      <c r="AM1404"/>
      <c r="AN1404"/>
      <c r="AO1404"/>
      <c r="AP1404"/>
      <c r="AQ1404"/>
      <c r="AR1404"/>
      <c r="AS1404"/>
      <c r="AT1404"/>
      <c r="AU1404"/>
      <c r="AV1404"/>
      <c r="AW1404"/>
      <c r="AX1404"/>
      <c r="AY1404"/>
      <c r="AZ1404"/>
      <c r="BA1404"/>
      <c r="BB1404"/>
      <c r="BC1404"/>
      <c r="BD1404"/>
      <c r="BE1404"/>
      <c r="BF1404"/>
      <c r="BG1404"/>
      <c r="BH1404"/>
      <c r="BI1404"/>
      <c r="BJ1404"/>
      <c r="BK1404"/>
      <c r="BL1404"/>
      <c r="BM1404"/>
      <c r="BN1404"/>
      <c r="BO1404"/>
      <c r="BP1404"/>
      <c r="BQ1404"/>
      <c r="BR1404"/>
      <c r="BS1404"/>
      <c r="BT1404"/>
      <c r="BU1404"/>
      <c r="BV1404"/>
      <c r="BW1404"/>
      <c r="BX1404"/>
      <c r="BY1404"/>
      <c r="BZ1404"/>
      <c r="CA1404"/>
      <c r="CB1404"/>
      <c r="CC1404"/>
      <c r="CD1404"/>
      <c r="CE1404"/>
      <c r="CF1404"/>
      <c r="CG1404"/>
      <c r="CH1404"/>
      <c r="CI1404"/>
      <c r="CJ1404"/>
      <c r="CK1404"/>
      <c r="CL1404"/>
      <c r="CM1404"/>
      <c r="CN1404"/>
      <c r="CO1404"/>
      <c r="CP1404"/>
      <c r="CQ1404"/>
      <c r="CR1404"/>
      <c r="CS1404"/>
      <c r="CT1404"/>
      <c r="CU1404"/>
      <c r="CV1404"/>
      <c r="CW1404"/>
      <c r="CX1404"/>
      <c r="CY1404"/>
      <c r="CZ1404"/>
      <c r="DA1404"/>
      <c r="DB1404"/>
      <c r="DC1404"/>
      <c r="DD1404"/>
      <c r="DE1404"/>
      <c r="DF1404"/>
      <c r="DG1404"/>
      <c r="DH1404"/>
      <c r="DI1404"/>
      <c r="DJ1404"/>
      <c r="DK1404"/>
      <c r="DL1404"/>
      <c r="DM1404"/>
      <c r="DN1404"/>
      <c r="DO1404"/>
      <c r="DP1404"/>
      <c r="DQ1404"/>
      <c r="DR1404"/>
      <c r="DS1404"/>
      <c r="DT1404"/>
      <c r="DU1404"/>
      <c r="DV1404"/>
      <c r="DW1404"/>
      <c r="DX1404"/>
      <c r="DY1404"/>
      <c r="DZ1404"/>
      <c r="EA1404"/>
      <c r="EB1404"/>
      <c r="EC1404"/>
      <c r="ED1404"/>
      <c r="EE1404"/>
      <c r="EF1404"/>
      <c r="EG1404"/>
      <c r="EH1404"/>
      <c r="EI1404"/>
      <c r="EJ1404"/>
      <c r="EK1404"/>
      <c r="EL1404"/>
      <c r="EM1404"/>
      <c r="EN1404"/>
      <c r="EO1404"/>
      <c r="EP1404"/>
      <c r="EQ1404"/>
      <c r="ER1404"/>
      <c r="ES1404"/>
    </row>
    <row r="1405" spans="1:149">
      <c r="A1405"/>
      <c r="B1405"/>
      <c r="C1405"/>
      <c r="D1405"/>
      <c r="E1405"/>
      <c r="F1405"/>
      <c r="G1405"/>
      <c r="H1405"/>
      <c r="I1405"/>
      <c r="J1405"/>
      <c r="K1405"/>
      <c r="L1405"/>
      <c r="M1405"/>
      <c r="N1405"/>
      <c r="O1405"/>
      <c r="P1405"/>
      <c r="Q1405"/>
      <c r="R1405"/>
      <c r="S1405"/>
      <c r="T1405"/>
      <c r="U1405"/>
      <c r="V1405"/>
      <c r="W1405"/>
      <c r="X1405"/>
      <c r="Y1405"/>
      <c r="Z1405"/>
      <c r="AA1405"/>
      <c r="AB1405"/>
      <c r="AC1405"/>
      <c r="AD1405"/>
      <c r="AE1405"/>
      <c r="AF1405"/>
      <c r="AG1405"/>
      <c r="AH1405"/>
      <c r="AI1405"/>
      <c r="AJ1405"/>
      <c r="AK1405"/>
      <c r="AL1405"/>
      <c r="AM1405"/>
      <c r="AN1405"/>
      <c r="AO1405"/>
      <c r="AP1405"/>
      <c r="AQ1405"/>
      <c r="AR1405"/>
      <c r="AS1405"/>
      <c r="AT1405"/>
      <c r="AU1405"/>
      <c r="AV1405"/>
      <c r="AW1405"/>
      <c r="AX1405"/>
      <c r="AY1405"/>
      <c r="AZ1405"/>
      <c r="BA1405"/>
      <c r="BB1405"/>
      <c r="BC1405"/>
      <c r="BD1405"/>
      <c r="BE1405"/>
      <c r="BF1405"/>
      <c r="BG1405"/>
      <c r="BH1405"/>
      <c r="BI1405"/>
      <c r="BJ1405"/>
      <c r="BK1405"/>
      <c r="BL1405"/>
      <c r="BM1405"/>
      <c r="BN1405"/>
      <c r="BO1405"/>
      <c r="BP1405"/>
      <c r="BQ1405"/>
      <c r="BR1405"/>
      <c r="BS1405"/>
      <c r="BT1405"/>
      <c r="BU1405"/>
      <c r="BV1405"/>
      <c r="BW1405"/>
      <c r="BX1405"/>
      <c r="BY1405"/>
      <c r="BZ1405"/>
      <c r="CA1405"/>
      <c r="CB1405"/>
      <c r="CC1405"/>
      <c r="CD1405"/>
      <c r="CE1405"/>
      <c r="CF1405"/>
      <c r="CG1405"/>
      <c r="CH1405"/>
      <c r="CI1405"/>
      <c r="CJ1405"/>
      <c r="CK1405"/>
      <c r="CL1405"/>
      <c r="CM1405"/>
      <c r="CN1405"/>
      <c r="CO1405"/>
      <c r="CP1405"/>
      <c r="CQ1405"/>
      <c r="CR1405"/>
      <c r="CS1405"/>
      <c r="CT1405"/>
      <c r="CU1405"/>
      <c r="CV1405"/>
      <c r="CW1405"/>
      <c r="CX1405"/>
      <c r="CY1405"/>
      <c r="CZ1405"/>
      <c r="DA1405"/>
      <c r="DB1405"/>
      <c r="DC1405"/>
      <c r="DD1405"/>
      <c r="DE1405"/>
      <c r="DF1405"/>
      <c r="DG1405"/>
      <c r="DH1405"/>
      <c r="DI1405"/>
      <c r="DJ1405"/>
      <c r="DK1405"/>
      <c r="DL1405"/>
      <c r="DM1405"/>
      <c r="DN1405"/>
      <c r="DO1405"/>
      <c r="DP1405"/>
      <c r="DQ1405"/>
      <c r="DR1405"/>
      <c r="DS1405"/>
      <c r="DT1405"/>
      <c r="DU1405"/>
      <c r="DV1405"/>
      <c r="DW1405"/>
      <c r="DX1405"/>
      <c r="DY1405"/>
      <c r="DZ1405"/>
      <c r="EA1405"/>
      <c r="EB1405"/>
      <c r="EC1405"/>
      <c r="ED1405"/>
      <c r="EE1405"/>
      <c r="EF1405"/>
      <c r="EG1405"/>
      <c r="EH1405"/>
      <c r="EI1405"/>
      <c r="EJ1405"/>
      <c r="EK1405"/>
      <c r="EL1405"/>
      <c r="EM1405"/>
      <c r="EN1405"/>
      <c r="EO1405"/>
      <c r="EP1405"/>
      <c r="EQ1405"/>
      <c r="ER1405"/>
      <c r="ES1405"/>
    </row>
    <row r="1406" spans="1:149">
      <c r="A1406"/>
      <c r="B1406"/>
      <c r="C1406"/>
      <c r="D1406"/>
      <c r="E1406"/>
      <c r="F1406"/>
      <c r="G1406"/>
      <c r="H1406"/>
      <c r="I1406"/>
      <c r="J1406"/>
      <c r="K1406"/>
      <c r="L1406"/>
      <c r="M1406"/>
      <c r="N1406"/>
      <c r="O1406"/>
      <c r="P1406"/>
      <c r="Q1406"/>
      <c r="R1406"/>
      <c r="S1406"/>
      <c r="T1406"/>
      <c r="U1406"/>
      <c r="V1406"/>
      <c r="W1406"/>
      <c r="X1406"/>
      <c r="Y1406"/>
      <c r="Z1406"/>
      <c r="AA1406"/>
      <c r="AB1406"/>
      <c r="AC1406"/>
      <c r="AD1406"/>
      <c r="AE1406"/>
      <c r="AF1406"/>
      <c r="AG1406"/>
      <c r="AH1406"/>
      <c r="AI1406"/>
      <c r="AJ1406"/>
      <c r="AK1406"/>
      <c r="AL1406"/>
      <c r="AM1406"/>
      <c r="AN1406"/>
      <c r="AO1406"/>
      <c r="AP1406"/>
      <c r="AQ1406"/>
      <c r="AR1406"/>
      <c r="AS1406"/>
      <c r="AT1406"/>
      <c r="AU1406"/>
      <c r="AV1406"/>
      <c r="AW1406"/>
      <c r="AX1406"/>
      <c r="AY1406"/>
      <c r="AZ1406"/>
      <c r="BA1406"/>
      <c r="BB1406"/>
      <c r="BC1406"/>
      <c r="BD1406"/>
      <c r="BE1406"/>
      <c r="BF1406"/>
      <c r="BG1406"/>
      <c r="BH1406"/>
      <c r="BI1406"/>
      <c r="BJ1406"/>
      <c r="BK1406"/>
      <c r="BL1406"/>
      <c r="BM1406"/>
      <c r="BN1406"/>
      <c r="BO1406"/>
      <c r="BP1406"/>
      <c r="BQ1406"/>
      <c r="BR1406"/>
      <c r="BS1406"/>
      <c r="BT1406"/>
      <c r="BU1406"/>
      <c r="BV1406"/>
      <c r="BW1406"/>
      <c r="BX1406"/>
      <c r="BY1406"/>
      <c r="BZ1406"/>
      <c r="CA1406"/>
      <c r="CB1406"/>
      <c r="CC1406"/>
      <c r="CD1406"/>
      <c r="CE1406"/>
      <c r="CF1406"/>
      <c r="CG1406"/>
      <c r="CH1406"/>
      <c r="CI1406"/>
      <c r="CJ1406"/>
      <c r="CK1406"/>
      <c r="CL1406"/>
      <c r="CM1406"/>
      <c r="CN1406"/>
      <c r="CO1406"/>
      <c r="CP1406"/>
      <c r="CQ1406"/>
      <c r="CR1406"/>
      <c r="CS1406"/>
      <c r="CT1406"/>
      <c r="CU1406"/>
      <c r="CV1406"/>
      <c r="CW1406"/>
      <c r="CX1406"/>
      <c r="CY1406"/>
      <c r="CZ1406"/>
      <c r="DA1406"/>
      <c r="DB1406"/>
      <c r="DC1406"/>
      <c r="DD1406"/>
      <c r="DE1406"/>
      <c r="DF1406"/>
      <c r="DG1406"/>
      <c r="DH1406"/>
      <c r="DI1406"/>
      <c r="DJ1406"/>
      <c r="DK1406"/>
      <c r="DL1406"/>
      <c r="DM1406"/>
      <c r="DN1406"/>
      <c r="DO1406"/>
      <c r="DP1406"/>
      <c r="DQ1406"/>
      <c r="DR1406"/>
      <c r="DS1406"/>
      <c r="DT1406"/>
      <c r="DU1406"/>
      <c r="DV1406"/>
      <c r="DW1406"/>
      <c r="DX1406"/>
      <c r="DY1406"/>
      <c r="DZ1406"/>
      <c r="EA1406"/>
      <c r="EB1406"/>
      <c r="EC1406"/>
      <c r="ED1406"/>
      <c r="EE1406"/>
      <c r="EF1406"/>
      <c r="EG1406"/>
      <c r="EH1406"/>
      <c r="EI1406"/>
      <c r="EJ1406"/>
      <c r="EK1406"/>
      <c r="EL1406"/>
      <c r="EM1406"/>
      <c r="EN1406"/>
      <c r="EO1406"/>
      <c r="EP1406"/>
      <c r="EQ1406"/>
      <c r="ER1406"/>
      <c r="ES1406"/>
    </row>
    <row r="1407" spans="1:149">
      <c r="A1407"/>
      <c r="B1407"/>
      <c r="C1407"/>
      <c r="D1407"/>
      <c r="E1407"/>
      <c r="F1407"/>
      <c r="G1407"/>
      <c r="H1407"/>
      <c r="I1407"/>
      <c r="J1407"/>
      <c r="K1407"/>
      <c r="L1407"/>
      <c r="M1407"/>
      <c r="N1407"/>
      <c r="O1407"/>
      <c r="P1407"/>
      <c r="Q1407"/>
      <c r="R1407"/>
      <c r="S1407"/>
      <c r="T1407"/>
      <c r="U1407"/>
      <c r="V1407"/>
      <c r="W1407"/>
      <c r="X1407"/>
      <c r="Y1407"/>
      <c r="Z1407"/>
      <c r="AA1407"/>
      <c r="AB1407"/>
      <c r="AC1407"/>
      <c r="AD1407"/>
      <c r="AE1407"/>
      <c r="AF1407"/>
      <c r="AG1407"/>
      <c r="AH1407"/>
      <c r="AI1407"/>
      <c r="AJ1407"/>
      <c r="AK1407"/>
      <c r="AL1407"/>
      <c r="AM1407"/>
      <c r="AN1407"/>
      <c r="AO1407"/>
      <c r="AP1407"/>
      <c r="AQ1407"/>
      <c r="AR1407"/>
      <c r="AS1407"/>
      <c r="AT1407"/>
      <c r="AU1407"/>
      <c r="AV1407"/>
      <c r="AW1407"/>
      <c r="AX1407"/>
      <c r="AY1407"/>
      <c r="AZ1407"/>
      <c r="BA1407"/>
      <c r="BB1407"/>
      <c r="BC1407"/>
      <c r="BD1407"/>
      <c r="BE1407"/>
      <c r="BF1407"/>
      <c r="BG1407"/>
      <c r="BH1407"/>
      <c r="BI1407"/>
      <c r="BJ1407"/>
      <c r="BK1407"/>
      <c r="BL1407"/>
      <c r="BM1407"/>
      <c r="BN1407"/>
      <c r="BO1407"/>
      <c r="BP1407"/>
      <c r="BQ1407"/>
      <c r="BR1407"/>
      <c r="BS1407"/>
      <c r="BT1407"/>
      <c r="BU1407"/>
      <c r="BV1407"/>
      <c r="BW1407"/>
      <c r="BX1407"/>
      <c r="BY1407"/>
      <c r="BZ1407"/>
      <c r="CA1407"/>
      <c r="CB1407"/>
      <c r="CC1407"/>
      <c r="CD1407"/>
      <c r="CE1407"/>
      <c r="CF1407"/>
      <c r="CG1407"/>
      <c r="CH1407"/>
      <c r="CI1407"/>
      <c r="CJ1407"/>
      <c r="CK1407"/>
      <c r="CL1407"/>
      <c r="CM1407"/>
      <c r="CN1407"/>
      <c r="CO1407"/>
      <c r="CP1407"/>
      <c r="CQ1407"/>
      <c r="CR1407"/>
      <c r="CS1407"/>
      <c r="CT1407"/>
      <c r="CU1407"/>
      <c r="CV1407"/>
      <c r="CW1407"/>
      <c r="CX1407"/>
      <c r="CY1407"/>
      <c r="CZ1407"/>
      <c r="DA1407"/>
      <c r="DB1407"/>
      <c r="DC1407"/>
      <c r="DD1407"/>
      <c r="DE1407"/>
      <c r="DF1407"/>
      <c r="DG1407"/>
      <c r="DH1407"/>
      <c r="DI1407"/>
      <c r="DJ1407"/>
      <c r="DK1407"/>
      <c r="DL1407"/>
      <c r="DM1407"/>
      <c r="DN1407"/>
      <c r="DO1407"/>
      <c r="DP1407"/>
      <c r="DQ1407"/>
      <c r="DR1407"/>
      <c r="DS1407"/>
      <c r="DT1407"/>
      <c r="DU1407"/>
      <c r="DV1407"/>
      <c r="DW1407"/>
      <c r="DX1407"/>
      <c r="DY1407"/>
      <c r="DZ1407"/>
      <c r="EA1407"/>
      <c r="EB1407"/>
      <c r="EC1407"/>
      <c r="ED1407"/>
      <c r="EE1407"/>
      <c r="EF1407"/>
      <c r="EG1407"/>
      <c r="EH1407"/>
      <c r="EI1407"/>
      <c r="EJ1407"/>
      <c r="EK1407"/>
      <c r="EL1407"/>
      <c r="EM1407"/>
      <c r="EN1407"/>
      <c r="EO1407"/>
      <c r="EP1407"/>
      <c r="EQ1407"/>
      <c r="ER1407"/>
      <c r="ES1407"/>
    </row>
    <row r="1408" spans="1:149">
      <c r="A1408"/>
      <c r="B1408"/>
      <c r="C1408"/>
      <c r="D1408"/>
      <c r="E1408"/>
      <c r="F1408"/>
      <c r="G1408"/>
      <c r="H1408"/>
      <c r="I1408"/>
      <c r="J1408"/>
      <c r="K1408"/>
      <c r="L1408"/>
      <c r="M1408"/>
      <c r="N1408"/>
      <c r="O1408"/>
      <c r="P1408"/>
      <c r="Q1408"/>
      <c r="R1408"/>
      <c r="S1408"/>
      <c r="T1408"/>
      <c r="U1408"/>
      <c r="V1408"/>
      <c r="W1408"/>
      <c r="X1408"/>
      <c r="Y1408"/>
      <c r="Z1408"/>
      <c r="AA1408"/>
      <c r="AB1408"/>
      <c r="AC1408"/>
      <c r="AD1408"/>
      <c r="AE1408"/>
      <c r="AF1408"/>
      <c r="AG1408"/>
      <c r="AH1408"/>
      <c r="AI1408"/>
      <c r="AJ1408"/>
      <c r="AK1408"/>
      <c r="AL1408"/>
      <c r="AM1408"/>
      <c r="AN1408"/>
      <c r="AO1408"/>
      <c r="AP1408"/>
      <c r="AQ1408"/>
      <c r="AR1408"/>
      <c r="AS1408"/>
      <c r="AT1408"/>
      <c r="AU1408"/>
      <c r="AV1408"/>
      <c r="AW1408"/>
      <c r="AX1408"/>
      <c r="AY1408"/>
      <c r="AZ1408"/>
      <c r="BA1408"/>
      <c r="BB1408"/>
      <c r="BC1408"/>
      <c r="BD1408"/>
      <c r="BE1408"/>
      <c r="BF1408"/>
      <c r="BG1408"/>
      <c r="BH1408"/>
      <c r="BI1408"/>
      <c r="BJ1408"/>
      <c r="BK1408"/>
      <c r="BL1408"/>
      <c r="BM1408"/>
      <c r="BN1408"/>
      <c r="BO1408"/>
      <c r="BP1408"/>
      <c r="BQ1408"/>
      <c r="BR1408"/>
      <c r="BS1408"/>
      <c r="BT1408"/>
      <c r="BU1408"/>
      <c r="BV1408"/>
      <c r="BW1408"/>
      <c r="BX1408"/>
      <c r="BY1408"/>
      <c r="BZ1408"/>
      <c r="CA1408"/>
      <c r="CB1408"/>
      <c r="CC1408"/>
      <c r="CD1408"/>
      <c r="CE1408"/>
      <c r="CF1408"/>
      <c r="CG1408"/>
      <c r="CH1408"/>
      <c r="CI1408"/>
      <c r="CJ1408"/>
      <c r="CK1408"/>
      <c r="CL1408"/>
      <c r="CM1408"/>
      <c r="CN1408"/>
      <c r="CO1408"/>
      <c r="CP1408"/>
      <c r="CQ1408"/>
      <c r="CR1408"/>
      <c r="CS1408"/>
      <c r="CT1408"/>
      <c r="CU1408"/>
      <c r="CV1408"/>
      <c r="CW1408"/>
      <c r="CX1408"/>
      <c r="CY1408"/>
      <c r="CZ1408"/>
      <c r="DA1408"/>
      <c r="DB1408"/>
      <c r="DC1408"/>
      <c r="DD1408"/>
      <c r="DE1408"/>
      <c r="DF1408"/>
      <c r="DG1408"/>
      <c r="DH1408"/>
      <c r="DI1408"/>
      <c r="DJ1408"/>
      <c r="DK1408"/>
      <c r="DL1408"/>
      <c r="DM1408"/>
      <c r="DN1408"/>
      <c r="DO1408"/>
      <c r="DP1408"/>
      <c r="DQ1408"/>
      <c r="DR1408"/>
      <c r="DS1408"/>
      <c r="DT1408"/>
      <c r="DU1408"/>
      <c r="DV1408"/>
      <c r="DW1408"/>
      <c r="DX1408"/>
      <c r="DY1408"/>
      <c r="DZ1408"/>
      <c r="EA1408"/>
      <c r="EB1408"/>
      <c r="EC1408"/>
      <c r="ED1408"/>
      <c r="EE1408"/>
      <c r="EF1408"/>
      <c r="EG1408"/>
      <c r="EH1408"/>
      <c r="EI1408"/>
      <c r="EJ1408"/>
      <c r="EK1408"/>
      <c r="EL1408"/>
      <c r="EM1408"/>
      <c r="EN1408"/>
      <c r="EO1408"/>
      <c r="EP1408"/>
      <c r="EQ1408"/>
      <c r="ER1408"/>
      <c r="ES1408"/>
    </row>
    <row r="1409" spans="1:149">
      <c r="A1409"/>
      <c r="B1409"/>
      <c r="C1409"/>
      <c r="D1409"/>
      <c r="E1409"/>
      <c r="F1409"/>
      <c r="G1409"/>
      <c r="H1409"/>
      <c r="I1409"/>
      <c r="J1409"/>
      <c r="K1409"/>
      <c r="L1409"/>
      <c r="M1409"/>
      <c r="N1409"/>
      <c r="O1409"/>
      <c r="P1409"/>
      <c r="Q1409"/>
      <c r="R1409"/>
      <c r="S1409"/>
      <c r="T1409"/>
      <c r="U1409"/>
      <c r="V1409"/>
      <c r="W1409"/>
      <c r="X1409"/>
      <c r="Y1409"/>
      <c r="Z1409"/>
      <c r="AA1409"/>
      <c r="AB1409"/>
      <c r="AC1409"/>
      <c r="AD1409"/>
      <c r="AE1409"/>
      <c r="AF1409"/>
      <c r="AG1409"/>
      <c r="AH1409"/>
      <c r="AI1409"/>
      <c r="AJ1409"/>
      <c r="AK1409"/>
      <c r="AL1409"/>
      <c r="AM1409"/>
      <c r="AN1409"/>
      <c r="AO1409"/>
      <c r="AP1409"/>
      <c r="AQ1409"/>
      <c r="AR1409"/>
      <c r="AS1409"/>
      <c r="AT1409"/>
      <c r="AU1409"/>
      <c r="AV1409"/>
      <c r="AW1409"/>
      <c r="AX1409"/>
      <c r="AY1409"/>
      <c r="AZ1409"/>
      <c r="BA1409"/>
      <c r="BB1409"/>
      <c r="BC1409"/>
      <c r="BD1409"/>
      <c r="BE1409"/>
      <c r="BF1409"/>
      <c r="BG1409"/>
      <c r="BH1409"/>
      <c r="BI1409"/>
      <c r="BJ1409"/>
      <c r="BK1409"/>
      <c r="BL1409"/>
      <c r="BM1409"/>
      <c r="BN1409"/>
      <c r="BO1409"/>
      <c r="BP1409"/>
      <c r="BQ1409"/>
      <c r="BR1409"/>
      <c r="BS1409"/>
      <c r="BT1409"/>
      <c r="BU1409"/>
      <c r="BV1409"/>
      <c r="BW1409"/>
      <c r="BX1409"/>
      <c r="BY1409"/>
      <c r="BZ1409"/>
      <c r="CA1409"/>
      <c r="CB1409"/>
      <c r="CC1409"/>
      <c r="CD1409"/>
      <c r="CE1409"/>
      <c r="CF1409"/>
      <c r="CG1409"/>
      <c r="CH1409"/>
      <c r="CI1409"/>
      <c r="CJ1409"/>
      <c r="CK1409"/>
      <c r="CL1409"/>
      <c r="CM1409"/>
      <c r="CN1409"/>
      <c r="CO1409"/>
      <c r="CP1409"/>
      <c r="CQ1409"/>
      <c r="CR1409"/>
      <c r="CS1409"/>
      <c r="CT1409"/>
      <c r="CU1409"/>
      <c r="CV1409"/>
      <c r="CW1409"/>
      <c r="CX1409"/>
      <c r="CY1409"/>
      <c r="CZ1409"/>
      <c r="DA1409"/>
      <c r="DB1409"/>
      <c r="DC1409"/>
      <c r="DD1409"/>
      <c r="DE1409"/>
      <c r="DF1409"/>
      <c r="DG1409"/>
      <c r="DH1409"/>
      <c r="DI1409"/>
      <c r="DJ1409"/>
      <c r="DK1409"/>
      <c r="DL1409"/>
      <c r="DM1409"/>
      <c r="DN1409"/>
      <c r="DO1409"/>
      <c r="DP1409"/>
      <c r="DQ1409"/>
      <c r="DR1409"/>
      <c r="DS1409"/>
      <c r="DT1409"/>
      <c r="DU1409"/>
      <c r="DV1409"/>
      <c r="DW1409"/>
      <c r="DX1409"/>
      <c r="DY1409"/>
      <c r="DZ1409"/>
      <c r="EA1409"/>
      <c r="EB1409"/>
      <c r="EC1409"/>
      <c r="ED1409"/>
      <c r="EE1409"/>
      <c r="EF1409"/>
      <c r="EG1409"/>
      <c r="EH1409"/>
      <c r="EI1409"/>
      <c r="EJ1409"/>
      <c r="EK1409"/>
      <c r="EL1409"/>
      <c r="EM1409"/>
      <c r="EN1409"/>
      <c r="EO1409"/>
      <c r="EP1409"/>
      <c r="EQ1409"/>
      <c r="ER1409"/>
      <c r="ES1409"/>
    </row>
    <row r="1410" spans="1:149">
      <c r="A1410"/>
      <c r="B1410"/>
      <c r="C1410"/>
      <c r="D1410"/>
      <c r="E1410"/>
      <c r="F1410"/>
      <c r="G1410"/>
      <c r="H1410"/>
      <c r="I1410"/>
      <c r="J1410"/>
      <c r="K1410"/>
      <c r="L1410"/>
      <c r="M1410"/>
      <c r="N1410"/>
      <c r="O1410"/>
      <c r="P1410"/>
      <c r="Q1410"/>
      <c r="R1410"/>
      <c r="S1410"/>
      <c r="T1410"/>
      <c r="U1410"/>
      <c r="V1410"/>
      <c r="W1410"/>
      <c r="X1410"/>
      <c r="Y1410"/>
      <c r="Z1410"/>
      <c r="AA1410"/>
      <c r="AB1410"/>
      <c r="AC1410"/>
      <c r="AD1410"/>
      <c r="AE1410"/>
      <c r="AF1410"/>
      <c r="AG1410"/>
      <c r="AH1410"/>
      <c r="AI1410"/>
      <c r="AJ1410"/>
      <c r="AK1410"/>
      <c r="AL1410"/>
      <c r="AM1410"/>
      <c r="AN1410"/>
      <c r="AO1410"/>
      <c r="AP1410"/>
      <c r="AQ1410"/>
      <c r="AR1410"/>
      <c r="AS1410"/>
      <c r="AT1410"/>
      <c r="AU1410"/>
      <c r="AV1410"/>
      <c r="AW1410"/>
      <c r="AX1410"/>
      <c r="AY1410"/>
      <c r="AZ1410"/>
      <c r="BA1410"/>
      <c r="BB1410"/>
      <c r="BC1410"/>
      <c r="BD1410"/>
      <c r="BE1410"/>
      <c r="BF1410"/>
      <c r="BG1410"/>
      <c r="BH1410"/>
      <c r="BI1410"/>
      <c r="BJ1410"/>
      <c r="BK1410"/>
      <c r="BL1410"/>
      <c r="BM1410"/>
      <c r="BN1410"/>
      <c r="BO1410"/>
      <c r="BP1410"/>
      <c r="BQ1410"/>
      <c r="BR1410"/>
      <c r="BS1410"/>
      <c r="BT1410"/>
      <c r="BU1410"/>
      <c r="BV1410"/>
      <c r="BW1410"/>
      <c r="BX1410"/>
      <c r="BY1410"/>
      <c r="BZ1410"/>
      <c r="CA1410"/>
      <c r="CB1410"/>
      <c r="CC1410"/>
      <c r="CD1410"/>
      <c r="CE1410"/>
      <c r="CF1410"/>
      <c r="CG1410"/>
      <c r="CH1410"/>
      <c r="CI1410"/>
      <c r="CJ1410"/>
      <c r="CK1410"/>
      <c r="CL1410"/>
      <c r="CM1410"/>
      <c r="CN1410"/>
      <c r="CO1410"/>
      <c r="CP1410"/>
      <c r="CQ1410"/>
      <c r="CR1410"/>
      <c r="CS1410"/>
      <c r="CT1410"/>
      <c r="CU1410"/>
      <c r="CV1410"/>
      <c r="CW1410"/>
      <c r="CX1410"/>
      <c r="CY1410"/>
      <c r="CZ1410"/>
      <c r="DA1410"/>
      <c r="DB1410"/>
      <c r="DC1410"/>
      <c r="DD1410"/>
      <c r="DE1410"/>
      <c r="DF1410"/>
      <c r="DG1410"/>
      <c r="DH1410"/>
      <c r="DI1410"/>
      <c r="DJ1410"/>
      <c r="DK1410"/>
      <c r="DL1410"/>
      <c r="DM1410"/>
      <c r="DN1410"/>
      <c r="DO1410"/>
      <c r="DP1410"/>
      <c r="DQ1410"/>
      <c r="DR1410"/>
      <c r="DS1410"/>
      <c r="DT1410"/>
      <c r="DU1410"/>
      <c r="DV1410"/>
      <c r="DW1410"/>
      <c r="DX1410"/>
      <c r="DY1410"/>
      <c r="DZ1410"/>
      <c r="EA1410"/>
      <c r="EB1410"/>
      <c r="EC1410"/>
      <c r="ED1410"/>
      <c r="EE1410"/>
      <c r="EF1410"/>
      <c r="EG1410"/>
      <c r="EH1410"/>
      <c r="EI1410"/>
      <c r="EJ1410"/>
      <c r="EK1410"/>
      <c r="EL1410"/>
      <c r="EM1410"/>
      <c r="EN1410"/>
      <c r="EO1410"/>
      <c r="EP1410"/>
      <c r="EQ1410"/>
      <c r="ER1410"/>
      <c r="ES1410"/>
    </row>
    <row r="1411" spans="1:149">
      <c r="A1411"/>
      <c r="B1411"/>
      <c r="C1411"/>
      <c r="D1411"/>
      <c r="E1411"/>
      <c r="F1411"/>
      <c r="G1411"/>
      <c r="H1411"/>
      <c r="I1411"/>
      <c r="J1411"/>
      <c r="K1411"/>
      <c r="L1411"/>
      <c r="M1411"/>
      <c r="N1411"/>
      <c r="O1411"/>
      <c r="P1411"/>
      <c r="Q1411"/>
      <c r="R1411"/>
      <c r="S1411"/>
      <c r="T1411"/>
      <c r="U1411"/>
      <c r="V1411"/>
      <c r="W1411"/>
      <c r="X1411"/>
      <c r="Y1411"/>
      <c r="Z1411"/>
      <c r="AA1411"/>
      <c r="AB1411"/>
      <c r="AC1411"/>
      <c r="AD1411"/>
      <c r="AE1411"/>
      <c r="AF1411"/>
      <c r="AG1411"/>
      <c r="AH1411"/>
      <c r="AI1411"/>
      <c r="AJ1411"/>
      <c r="AK1411"/>
      <c r="AL1411"/>
      <c r="AM1411"/>
      <c r="AN1411"/>
      <c r="AO1411"/>
      <c r="AP1411"/>
      <c r="AQ1411"/>
      <c r="AR1411"/>
      <c r="AS1411"/>
      <c r="AT1411"/>
      <c r="AU1411"/>
      <c r="AV1411"/>
      <c r="AW1411"/>
      <c r="AX1411"/>
      <c r="AY1411"/>
      <c r="AZ1411"/>
      <c r="BA1411"/>
      <c r="BB1411"/>
      <c r="BC1411"/>
      <c r="BD1411"/>
      <c r="BE1411"/>
      <c r="BF1411"/>
      <c r="BG1411"/>
      <c r="BH1411"/>
      <c r="BI1411"/>
      <c r="BJ1411"/>
      <c r="BK1411"/>
      <c r="BL1411"/>
      <c r="BM1411"/>
      <c r="BN1411"/>
      <c r="BO1411"/>
      <c r="BP1411"/>
      <c r="BQ1411"/>
      <c r="BR1411"/>
      <c r="BS1411"/>
      <c r="BT1411"/>
      <c r="BU1411"/>
      <c r="BV1411"/>
      <c r="BW1411"/>
      <c r="BX1411"/>
      <c r="BY1411"/>
      <c r="BZ1411"/>
      <c r="CA1411"/>
      <c r="CB1411"/>
      <c r="CC1411"/>
      <c r="CD1411"/>
      <c r="CE1411"/>
      <c r="CF1411"/>
      <c r="CG1411"/>
      <c r="CH1411"/>
      <c r="CI1411"/>
      <c r="CJ1411"/>
      <c r="CK1411"/>
      <c r="CL1411"/>
      <c r="CM1411"/>
      <c r="CN1411"/>
      <c r="CO1411"/>
      <c r="CP1411"/>
      <c r="CQ1411"/>
      <c r="CR1411"/>
      <c r="CS1411"/>
      <c r="CT1411"/>
      <c r="CU1411"/>
      <c r="CV1411"/>
      <c r="CW1411"/>
      <c r="CX1411"/>
      <c r="CY1411"/>
      <c r="CZ1411"/>
      <c r="DA1411"/>
      <c r="DB1411"/>
      <c r="DC1411"/>
      <c r="DD1411"/>
      <c r="DE1411"/>
      <c r="DF1411"/>
      <c r="DG1411"/>
      <c r="DH1411"/>
      <c r="DI1411"/>
      <c r="DJ1411"/>
      <c r="DK1411"/>
      <c r="DL1411"/>
      <c r="DM1411"/>
      <c r="DN1411"/>
      <c r="DO1411"/>
      <c r="DP1411"/>
      <c r="DQ1411"/>
      <c r="DR1411"/>
      <c r="DS1411"/>
      <c r="DT1411"/>
      <c r="DU1411"/>
      <c r="DV1411"/>
      <c r="DW1411"/>
      <c r="DX1411"/>
      <c r="DY1411"/>
      <c r="DZ1411"/>
      <c r="EA1411"/>
      <c r="EB1411"/>
      <c r="EC1411"/>
      <c r="ED1411"/>
      <c r="EE1411"/>
      <c r="EF1411"/>
      <c r="EG1411"/>
      <c r="EH1411"/>
      <c r="EI1411"/>
      <c r="EJ1411"/>
      <c r="EK1411"/>
      <c r="EL1411"/>
      <c r="EM1411"/>
      <c r="EN1411"/>
      <c r="EO1411"/>
      <c r="EP1411"/>
      <c r="EQ1411"/>
      <c r="ER1411"/>
      <c r="ES1411"/>
    </row>
    <row r="1412" spans="1:149">
      <c r="A1412"/>
      <c r="B1412"/>
      <c r="C1412"/>
      <c r="D1412"/>
      <c r="E1412"/>
      <c r="F1412"/>
      <c r="G1412"/>
      <c r="H1412"/>
      <c r="I1412"/>
      <c r="J1412"/>
      <c r="K1412"/>
      <c r="L1412"/>
      <c r="M1412"/>
      <c r="N1412"/>
      <c r="O1412"/>
      <c r="P1412"/>
      <c r="Q1412"/>
      <c r="R1412"/>
      <c r="S1412"/>
      <c r="T1412"/>
      <c r="U1412"/>
      <c r="V1412"/>
      <c r="W1412"/>
      <c r="X1412"/>
      <c r="Y1412"/>
      <c r="Z1412"/>
      <c r="AA1412"/>
      <c r="AB1412"/>
      <c r="AC1412"/>
      <c r="AD1412"/>
      <c r="AE1412"/>
      <c r="AF1412"/>
      <c r="AG1412"/>
      <c r="AH1412"/>
      <c r="AI1412"/>
      <c r="AJ1412"/>
      <c r="AK1412"/>
      <c r="AL1412"/>
      <c r="AM1412"/>
      <c r="AN1412"/>
      <c r="AO1412"/>
      <c r="AP1412"/>
      <c r="AQ1412"/>
      <c r="AR1412"/>
      <c r="AS1412"/>
      <c r="AT1412"/>
      <c r="AU1412"/>
      <c r="AV1412"/>
      <c r="AW1412"/>
      <c r="AX1412"/>
      <c r="AY1412"/>
      <c r="AZ1412"/>
      <c r="BA1412"/>
      <c r="BB1412"/>
      <c r="BC1412"/>
      <c r="BD1412"/>
      <c r="BE1412"/>
      <c r="BF1412"/>
      <c r="BG1412"/>
      <c r="BH1412"/>
      <c r="BI1412"/>
      <c r="BJ1412"/>
      <c r="BK1412"/>
      <c r="BL1412"/>
      <c r="BM1412"/>
      <c r="BN1412"/>
      <c r="BO1412"/>
      <c r="BP1412"/>
      <c r="BQ1412"/>
      <c r="BR1412"/>
      <c r="BS1412"/>
      <c r="BT1412"/>
      <c r="BU1412"/>
      <c r="BV1412"/>
      <c r="BW1412"/>
      <c r="BX1412"/>
      <c r="BY1412"/>
      <c r="BZ1412"/>
      <c r="CA1412"/>
      <c r="CB1412"/>
      <c r="CC1412"/>
      <c r="CD1412"/>
      <c r="CE1412"/>
      <c r="CF1412"/>
      <c r="CG1412"/>
      <c r="CH1412"/>
      <c r="CI1412"/>
      <c r="CJ1412"/>
      <c r="CK1412"/>
      <c r="CL1412"/>
      <c r="CM1412"/>
      <c r="CN1412"/>
      <c r="CO1412"/>
      <c r="CP1412"/>
      <c r="CQ1412"/>
      <c r="CR1412"/>
      <c r="CS1412"/>
      <c r="CT1412"/>
      <c r="CU1412"/>
      <c r="CV1412"/>
      <c r="CW1412"/>
      <c r="CX1412"/>
      <c r="CY1412"/>
      <c r="CZ1412"/>
      <c r="DA1412"/>
      <c r="DB1412"/>
      <c r="DC1412"/>
      <c r="DD1412"/>
      <c r="DE1412"/>
      <c r="DF1412"/>
      <c r="DG1412"/>
      <c r="DH1412"/>
      <c r="DI1412"/>
      <c r="DJ1412"/>
      <c r="DK1412"/>
      <c r="DL1412"/>
      <c r="DM1412"/>
      <c r="DN1412"/>
      <c r="DO1412"/>
      <c r="DP1412"/>
      <c r="DQ1412"/>
      <c r="DR1412"/>
      <c r="DS1412"/>
      <c r="DT1412"/>
      <c r="DU1412"/>
      <c r="DV1412"/>
      <c r="DW1412"/>
      <c r="DX1412"/>
      <c r="DY1412"/>
      <c r="DZ1412"/>
      <c r="EA1412"/>
      <c r="EB1412"/>
      <c r="EC1412"/>
      <c r="ED1412"/>
      <c r="EE1412"/>
      <c r="EF1412"/>
      <c r="EG1412"/>
      <c r="EH1412"/>
      <c r="EI1412"/>
      <c r="EJ1412"/>
      <c r="EK1412"/>
      <c r="EL1412"/>
      <c r="EM1412"/>
      <c r="EN1412"/>
      <c r="EO1412"/>
      <c r="EP1412"/>
      <c r="EQ1412"/>
      <c r="ER1412"/>
      <c r="ES1412"/>
    </row>
    <row r="1413" spans="1:149">
      <c r="A1413"/>
      <c r="B1413"/>
      <c r="C1413"/>
      <c r="D1413"/>
      <c r="E1413"/>
      <c r="F1413"/>
      <c r="G1413"/>
      <c r="H1413"/>
      <c r="I1413"/>
      <c r="J1413"/>
      <c r="K1413"/>
      <c r="L1413"/>
      <c r="M1413"/>
      <c r="N1413"/>
      <c r="O1413"/>
      <c r="P1413"/>
      <c r="Q1413"/>
      <c r="R1413"/>
      <c r="S1413"/>
      <c r="T1413"/>
      <c r="U1413"/>
      <c r="V1413"/>
      <c r="W1413"/>
      <c r="X1413"/>
      <c r="Y1413"/>
      <c r="Z1413"/>
      <c r="AA1413"/>
      <c r="AB1413"/>
      <c r="AC1413"/>
      <c r="AD1413"/>
      <c r="AE1413"/>
      <c r="AF1413"/>
      <c r="AG1413"/>
      <c r="AH1413"/>
      <c r="AI1413"/>
      <c r="AJ1413"/>
      <c r="AK1413"/>
      <c r="AL1413"/>
      <c r="AM1413"/>
      <c r="AN1413"/>
      <c r="AO1413"/>
      <c r="AP1413"/>
      <c r="AQ1413"/>
      <c r="AR1413"/>
      <c r="AS1413"/>
      <c r="AT1413"/>
      <c r="AU1413"/>
      <c r="AV1413"/>
      <c r="AW1413"/>
      <c r="AX1413"/>
      <c r="AY1413"/>
      <c r="AZ1413"/>
      <c r="BA1413"/>
      <c r="BB1413"/>
      <c r="BC1413"/>
      <c r="BD1413"/>
      <c r="BE1413"/>
      <c r="BF1413"/>
      <c r="BG1413"/>
      <c r="BH1413"/>
      <c r="BI1413"/>
      <c r="BJ1413"/>
      <c r="BK1413"/>
      <c r="BL1413"/>
      <c r="BM1413"/>
      <c r="BN1413"/>
      <c r="BO1413"/>
      <c r="BP1413"/>
      <c r="BQ1413"/>
      <c r="BR1413"/>
      <c r="BS1413"/>
      <c r="BT1413"/>
      <c r="BU1413"/>
      <c r="BV1413"/>
      <c r="BW1413"/>
      <c r="BX1413"/>
      <c r="BY1413"/>
      <c r="BZ1413"/>
      <c r="CA1413"/>
      <c r="CB1413"/>
      <c r="CC1413"/>
      <c r="CD1413"/>
      <c r="CE1413"/>
      <c r="CF1413"/>
      <c r="CG1413"/>
      <c r="CH1413"/>
      <c r="CI1413"/>
      <c r="CJ1413"/>
      <c r="CK1413"/>
      <c r="CL1413"/>
      <c r="CM1413"/>
      <c r="CN1413"/>
      <c r="CO1413"/>
      <c r="CP1413"/>
      <c r="CQ1413"/>
      <c r="CR1413"/>
      <c r="CS1413"/>
      <c r="CT1413"/>
      <c r="CU1413"/>
      <c r="CV1413"/>
      <c r="CW1413"/>
      <c r="CX1413"/>
      <c r="CY1413"/>
      <c r="CZ1413"/>
      <c r="DA1413"/>
      <c r="DB1413"/>
      <c r="DC1413"/>
      <c r="DD1413"/>
      <c r="DE1413"/>
      <c r="DF1413"/>
      <c r="DG1413"/>
      <c r="DH1413"/>
      <c r="DI1413"/>
      <c r="DJ1413"/>
      <c r="DK1413"/>
      <c r="DL1413"/>
      <c r="DM1413"/>
      <c r="DN1413"/>
      <c r="DO1413"/>
      <c r="DP1413"/>
      <c r="DQ1413"/>
      <c r="DR1413"/>
      <c r="DS1413"/>
      <c r="DT1413"/>
      <c r="DU1413"/>
      <c r="DV1413"/>
      <c r="DW1413"/>
      <c r="DX1413"/>
      <c r="DY1413"/>
      <c r="DZ1413"/>
      <c r="EA1413"/>
      <c r="EB1413"/>
      <c r="EC1413"/>
      <c r="ED1413"/>
      <c r="EE1413"/>
      <c r="EF1413"/>
      <c r="EG1413"/>
      <c r="EH1413"/>
      <c r="EI1413"/>
      <c r="EJ1413"/>
      <c r="EK1413"/>
      <c r="EL1413"/>
      <c r="EM1413"/>
      <c r="EN1413"/>
      <c r="EO1413"/>
      <c r="EP1413"/>
      <c r="EQ1413"/>
      <c r="ER1413"/>
      <c r="ES1413"/>
    </row>
    <row r="1414" spans="1:149">
      <c r="A1414"/>
      <c r="B1414"/>
      <c r="C1414"/>
      <c r="D1414"/>
      <c r="E1414"/>
      <c r="F1414"/>
      <c r="G1414"/>
      <c r="H1414"/>
      <c r="I1414"/>
      <c r="J1414"/>
      <c r="K1414"/>
      <c r="L1414"/>
      <c r="M1414"/>
      <c r="N1414"/>
      <c r="O1414"/>
      <c r="P1414"/>
      <c r="Q1414"/>
      <c r="R1414"/>
      <c r="S1414"/>
      <c r="T1414"/>
      <c r="U1414"/>
      <c r="V1414"/>
      <c r="W1414"/>
      <c r="X1414"/>
      <c r="Y1414"/>
      <c r="Z1414"/>
      <c r="AA1414"/>
      <c r="AB1414"/>
      <c r="AC1414"/>
      <c r="AD1414"/>
      <c r="AE1414"/>
      <c r="AF1414"/>
      <c r="AG1414"/>
      <c r="AH1414"/>
      <c r="AI1414"/>
      <c r="AJ1414"/>
      <c r="AK1414"/>
      <c r="AL1414"/>
      <c r="AM1414"/>
      <c r="AN1414"/>
      <c r="AO1414"/>
      <c r="AP1414"/>
      <c r="AQ1414"/>
      <c r="AR1414"/>
      <c r="AS1414"/>
      <c r="AT1414"/>
      <c r="AU1414"/>
      <c r="AV1414"/>
      <c r="AW1414"/>
      <c r="AX1414"/>
      <c r="AY1414"/>
      <c r="AZ1414"/>
      <c r="BA1414"/>
      <c r="BB1414"/>
      <c r="BC1414"/>
      <c r="BD1414"/>
      <c r="BE1414"/>
      <c r="BF1414"/>
      <c r="BG1414"/>
      <c r="BH1414"/>
      <c r="BI1414"/>
      <c r="BJ1414"/>
      <c r="BK1414"/>
      <c r="BL1414"/>
      <c r="BM1414"/>
      <c r="BN1414"/>
      <c r="BO1414"/>
      <c r="BP1414"/>
      <c r="BQ1414"/>
      <c r="BR1414"/>
      <c r="BS1414"/>
      <c r="BT1414"/>
      <c r="BU1414"/>
      <c r="BV1414"/>
      <c r="BW1414"/>
      <c r="BX1414"/>
      <c r="BY1414"/>
      <c r="BZ1414"/>
      <c r="CA1414"/>
      <c r="CB1414"/>
      <c r="CC1414"/>
      <c r="CD1414"/>
      <c r="CE1414"/>
      <c r="CF1414"/>
      <c r="CG1414"/>
      <c r="CH1414"/>
      <c r="CI1414"/>
      <c r="CJ1414"/>
      <c r="CK1414"/>
      <c r="CL1414"/>
      <c r="CM1414"/>
      <c r="CN1414"/>
      <c r="CO1414"/>
      <c r="CP1414"/>
      <c r="CQ1414"/>
      <c r="CR1414"/>
      <c r="CS1414"/>
      <c r="CT1414"/>
      <c r="CU1414"/>
      <c r="CV1414"/>
      <c r="CW1414"/>
      <c r="CX1414"/>
      <c r="CY1414"/>
      <c r="CZ1414"/>
      <c r="DA1414"/>
      <c r="DB1414"/>
      <c r="DC1414"/>
      <c r="DD1414"/>
      <c r="DE1414"/>
      <c r="DF1414"/>
      <c r="DG1414"/>
      <c r="DH1414"/>
      <c r="DI1414"/>
      <c r="DJ1414"/>
      <c r="DK1414"/>
      <c r="DL1414"/>
      <c r="DM1414"/>
      <c r="DN1414"/>
      <c r="DO1414"/>
      <c r="DP1414"/>
      <c r="DQ1414"/>
      <c r="DR1414"/>
      <c r="DS1414"/>
      <c r="DT1414"/>
      <c r="DU1414"/>
      <c r="DV1414"/>
      <c r="DW1414"/>
      <c r="DX1414"/>
      <c r="DY1414"/>
      <c r="DZ1414"/>
      <c r="EA1414"/>
      <c r="EB1414"/>
      <c r="EC1414"/>
      <c r="ED1414"/>
      <c r="EE1414"/>
      <c r="EF1414"/>
      <c r="EG1414"/>
      <c r="EH1414"/>
      <c r="EI1414"/>
      <c r="EJ1414"/>
      <c r="EK1414"/>
      <c r="EL1414"/>
      <c r="EM1414"/>
      <c r="EN1414"/>
      <c r="EO1414"/>
      <c r="EP1414"/>
      <c r="EQ1414"/>
      <c r="ER1414"/>
      <c r="ES1414"/>
    </row>
    <row r="1415" spans="1:149">
      <c r="A1415"/>
      <c r="B1415"/>
      <c r="C1415"/>
      <c r="D1415"/>
      <c r="E1415"/>
      <c r="F1415"/>
      <c r="G1415"/>
      <c r="H1415"/>
      <c r="I1415"/>
      <c r="J1415"/>
      <c r="K1415"/>
      <c r="L1415"/>
      <c r="M1415"/>
      <c r="N1415"/>
      <c r="O1415"/>
      <c r="P1415"/>
      <c r="Q1415"/>
      <c r="R1415"/>
      <c r="S1415"/>
      <c r="T1415"/>
      <c r="U1415"/>
      <c r="V1415"/>
      <c r="W1415"/>
      <c r="X1415"/>
      <c r="Y1415"/>
      <c r="Z1415"/>
      <c r="AA1415"/>
      <c r="AB1415"/>
      <c r="AC1415"/>
      <c r="AD1415"/>
      <c r="AE1415"/>
      <c r="AF1415"/>
      <c r="AG1415"/>
      <c r="AH1415"/>
      <c r="AI1415"/>
      <c r="AJ1415"/>
      <c r="AK1415"/>
      <c r="AL1415"/>
      <c r="AM1415"/>
      <c r="AN1415"/>
      <c r="AO1415"/>
      <c r="AP1415"/>
      <c r="AQ1415"/>
      <c r="AR1415"/>
      <c r="AS1415"/>
      <c r="AT1415"/>
      <c r="AU1415"/>
      <c r="AV1415"/>
      <c r="AW1415"/>
      <c r="AX1415"/>
      <c r="AY1415"/>
      <c r="AZ1415"/>
      <c r="BA1415"/>
      <c r="BB1415"/>
      <c r="BC1415"/>
      <c r="BD1415"/>
      <c r="BE1415"/>
      <c r="BF1415"/>
      <c r="BG1415"/>
      <c r="BH1415"/>
      <c r="BI1415"/>
      <c r="BJ1415"/>
      <c r="BK1415"/>
      <c r="BL1415"/>
      <c r="BM1415"/>
      <c r="BN1415"/>
      <c r="BO1415"/>
      <c r="BP1415"/>
      <c r="BQ1415"/>
      <c r="BR1415"/>
      <c r="BS1415"/>
      <c r="BT1415"/>
      <c r="BU1415"/>
      <c r="BV1415"/>
      <c r="BW1415"/>
      <c r="BX1415"/>
      <c r="BY1415"/>
      <c r="BZ1415"/>
      <c r="CA1415"/>
      <c r="CB1415"/>
      <c r="CC1415"/>
      <c r="CD1415"/>
      <c r="CE1415"/>
      <c r="CF1415"/>
      <c r="CG1415"/>
      <c r="CH1415"/>
      <c r="CI1415"/>
      <c r="CJ1415"/>
      <c r="CK1415"/>
      <c r="CL1415"/>
      <c r="CM1415"/>
      <c r="CN1415"/>
      <c r="CO1415"/>
      <c r="CP1415"/>
      <c r="CQ1415"/>
      <c r="CR1415"/>
      <c r="CS1415"/>
      <c r="CT1415"/>
      <c r="CU1415"/>
      <c r="CV1415"/>
      <c r="CW1415"/>
      <c r="CX1415"/>
      <c r="CY1415"/>
      <c r="CZ1415"/>
      <c r="DA1415"/>
      <c r="DB1415"/>
      <c r="DC1415"/>
      <c r="DD1415"/>
      <c r="DE1415"/>
      <c r="DF1415"/>
      <c r="DG1415"/>
      <c r="DH1415"/>
      <c r="DI1415"/>
      <c r="DJ1415"/>
      <c r="DK1415"/>
      <c r="DL1415"/>
      <c r="DM1415"/>
      <c r="DN1415"/>
      <c r="DO1415"/>
      <c r="DP1415"/>
      <c r="DQ1415"/>
      <c r="DR1415"/>
      <c r="DS1415"/>
      <c r="DT1415"/>
      <c r="DU1415"/>
      <c r="DV1415"/>
      <c r="DW1415"/>
      <c r="DX1415"/>
      <c r="DY1415"/>
      <c r="DZ1415"/>
      <c r="EA1415"/>
      <c r="EB1415"/>
      <c r="EC1415"/>
      <c r="ED1415"/>
      <c r="EE1415"/>
      <c r="EF1415"/>
      <c r="EG1415"/>
      <c r="EH1415"/>
      <c r="EI1415"/>
      <c r="EJ1415"/>
      <c r="EK1415"/>
      <c r="EL1415"/>
      <c r="EM1415"/>
      <c r="EN1415"/>
      <c r="EO1415"/>
      <c r="EP1415"/>
      <c r="EQ1415"/>
      <c r="ER1415"/>
      <c r="ES1415"/>
    </row>
    <row r="1416" spans="1:149">
      <c r="A1416"/>
      <c r="B1416"/>
      <c r="C1416"/>
      <c r="D1416"/>
      <c r="E1416"/>
      <c r="F1416"/>
      <c r="G1416"/>
      <c r="H1416"/>
      <c r="I1416"/>
      <c r="J1416"/>
      <c r="K1416"/>
      <c r="L1416"/>
      <c r="M1416"/>
      <c r="N1416"/>
      <c r="O1416"/>
      <c r="P1416"/>
      <c r="Q1416"/>
      <c r="R1416"/>
      <c r="S1416"/>
      <c r="T1416"/>
      <c r="U1416"/>
      <c r="V1416"/>
      <c r="W1416"/>
      <c r="X1416"/>
      <c r="Y1416"/>
      <c r="Z1416"/>
      <c r="AA1416"/>
      <c r="AB1416"/>
      <c r="AC1416"/>
      <c r="AD1416"/>
      <c r="AE1416"/>
      <c r="AF1416"/>
      <c r="AG1416"/>
      <c r="AH1416"/>
      <c r="AI1416"/>
      <c r="AJ1416"/>
      <c r="AK1416"/>
      <c r="AL1416"/>
      <c r="AM1416"/>
      <c r="AN1416"/>
      <c r="AO1416"/>
      <c r="AP1416"/>
      <c r="AQ1416"/>
      <c r="AR1416"/>
      <c r="AS1416"/>
      <c r="AT1416"/>
      <c r="AU1416"/>
      <c r="AV1416"/>
      <c r="AW1416"/>
      <c r="AX1416"/>
      <c r="AY1416"/>
      <c r="AZ1416"/>
      <c r="BA1416"/>
      <c r="BB1416"/>
      <c r="BC1416"/>
      <c r="BD1416"/>
      <c r="BE1416"/>
      <c r="BF1416"/>
      <c r="BG1416"/>
      <c r="BH1416"/>
      <c r="BI1416"/>
      <c r="BJ1416"/>
      <c r="BK1416"/>
      <c r="BL1416"/>
      <c r="BM1416"/>
      <c r="BN1416"/>
      <c r="BO1416"/>
      <c r="BP1416"/>
      <c r="BQ1416"/>
      <c r="BR1416"/>
      <c r="BS1416"/>
      <c r="BT1416"/>
      <c r="BU1416"/>
      <c r="BV1416"/>
      <c r="BW1416"/>
      <c r="BX1416"/>
      <c r="BY1416"/>
      <c r="BZ1416"/>
      <c r="CA1416"/>
      <c r="CB1416"/>
      <c r="CC1416"/>
      <c r="CD1416"/>
      <c r="CE1416"/>
      <c r="CF1416"/>
      <c r="CG1416"/>
      <c r="CH1416"/>
      <c r="CI1416"/>
      <c r="CJ1416"/>
      <c r="CK1416"/>
      <c r="CL1416"/>
      <c r="CM1416"/>
      <c r="CN1416"/>
      <c r="CO1416"/>
      <c r="CP1416"/>
      <c r="CQ1416"/>
      <c r="CR1416"/>
      <c r="CS1416"/>
      <c r="CT1416"/>
      <c r="CU1416"/>
      <c r="CV1416"/>
      <c r="CW1416"/>
      <c r="CX1416"/>
      <c r="CY1416"/>
      <c r="CZ1416"/>
      <c r="DA1416"/>
      <c r="DB1416"/>
      <c r="DC1416"/>
      <c r="DD1416"/>
      <c r="DE1416"/>
      <c r="DF1416"/>
      <c r="DG1416"/>
      <c r="DH1416"/>
      <c r="DI1416"/>
      <c r="DJ1416"/>
      <c r="DK1416"/>
      <c r="DL1416"/>
      <c r="DM1416"/>
      <c r="DN1416"/>
      <c r="DO1416"/>
      <c r="DP1416"/>
      <c r="DQ1416"/>
      <c r="DR1416"/>
      <c r="DS1416"/>
      <c r="DT1416"/>
      <c r="DU1416"/>
      <c r="DV1416"/>
      <c r="DW1416"/>
      <c r="DX1416"/>
      <c r="DY1416"/>
      <c r="DZ1416"/>
      <c r="EA1416"/>
      <c r="EB1416"/>
      <c r="EC1416"/>
      <c r="ED1416"/>
      <c r="EE1416"/>
      <c r="EF1416"/>
      <c r="EG1416"/>
      <c r="EH1416"/>
      <c r="EI1416"/>
      <c r="EJ1416"/>
      <c r="EK1416"/>
      <c r="EL1416"/>
      <c r="EM1416"/>
      <c r="EN1416"/>
      <c r="EO1416"/>
      <c r="EP1416"/>
      <c r="EQ1416"/>
      <c r="ER1416"/>
      <c r="ES1416"/>
    </row>
    <row r="1417" spans="1:149">
      <c r="A1417"/>
      <c r="B1417"/>
      <c r="C1417"/>
      <c r="D1417"/>
      <c r="E1417"/>
      <c r="F1417"/>
      <c r="G1417"/>
      <c r="H1417"/>
      <c r="I1417"/>
      <c r="J1417"/>
      <c r="K1417"/>
      <c r="L1417"/>
      <c r="M1417"/>
      <c r="N1417"/>
      <c r="O1417"/>
      <c r="P1417"/>
      <c r="Q1417"/>
      <c r="R1417"/>
      <c r="S1417"/>
      <c r="T1417"/>
      <c r="U1417"/>
      <c r="V1417"/>
      <c r="W1417"/>
      <c r="X1417"/>
      <c r="Y1417"/>
      <c r="Z1417"/>
      <c r="AA1417"/>
      <c r="AB1417"/>
      <c r="AC1417"/>
      <c r="AD1417"/>
      <c r="AE1417"/>
      <c r="AF1417"/>
      <c r="AG1417"/>
      <c r="AH1417"/>
      <c r="AI1417"/>
      <c r="AJ1417"/>
      <c r="AK1417"/>
      <c r="AL1417"/>
      <c r="AM1417"/>
      <c r="AN1417"/>
      <c r="AO1417"/>
      <c r="AP1417"/>
      <c r="AQ1417"/>
      <c r="AR1417"/>
      <c r="AS1417"/>
      <c r="AT1417"/>
      <c r="AU1417"/>
      <c r="AV1417"/>
      <c r="AW1417"/>
      <c r="AX1417"/>
      <c r="AY1417"/>
      <c r="AZ1417"/>
      <c r="BA1417"/>
      <c r="BB1417"/>
      <c r="BC1417"/>
      <c r="BD1417"/>
      <c r="BE1417"/>
      <c r="BF1417"/>
      <c r="BG1417"/>
      <c r="BH1417"/>
      <c r="BI1417"/>
      <c r="BJ1417"/>
      <c r="BK1417"/>
      <c r="BL1417"/>
      <c r="BM1417"/>
      <c r="BN1417"/>
      <c r="BO1417"/>
      <c r="BP1417"/>
      <c r="BQ1417"/>
      <c r="BR1417"/>
      <c r="BS1417"/>
      <c r="BT1417"/>
      <c r="BU1417"/>
      <c r="BV1417"/>
      <c r="BW1417"/>
      <c r="BX1417"/>
      <c r="BY1417"/>
      <c r="BZ1417"/>
      <c r="CA1417"/>
      <c r="CB1417"/>
      <c r="CC1417"/>
      <c r="CD1417"/>
      <c r="CE1417"/>
      <c r="CF1417"/>
      <c r="CG1417"/>
      <c r="CH1417"/>
      <c r="CI1417"/>
      <c r="CJ1417"/>
      <c r="CK1417"/>
      <c r="CL1417"/>
      <c r="CM1417"/>
      <c r="CN1417"/>
      <c r="CO1417"/>
      <c r="CP1417"/>
      <c r="CQ1417"/>
      <c r="CR1417"/>
      <c r="CS1417"/>
      <c r="CT1417"/>
      <c r="CU1417"/>
      <c r="CV1417"/>
      <c r="CW1417"/>
      <c r="CX1417"/>
      <c r="CY1417"/>
      <c r="CZ1417"/>
      <c r="DA1417"/>
      <c r="DB1417"/>
      <c r="DC1417"/>
      <c r="DD1417"/>
      <c r="DE1417"/>
      <c r="DF1417"/>
      <c r="DG1417"/>
      <c r="DH1417"/>
      <c r="DI1417"/>
      <c r="DJ1417"/>
      <c r="DK1417"/>
      <c r="DL1417"/>
      <c r="DM1417"/>
      <c r="DN1417"/>
      <c r="DO1417"/>
      <c r="DP1417"/>
      <c r="DQ1417"/>
      <c r="DR1417"/>
      <c r="DS1417"/>
      <c r="DT1417"/>
      <c r="DU1417"/>
      <c r="DV1417"/>
      <c r="DW1417"/>
      <c r="DX1417"/>
      <c r="DY1417"/>
      <c r="DZ1417"/>
      <c r="EA1417"/>
      <c r="EB1417"/>
      <c r="EC1417"/>
      <c r="ED1417"/>
      <c r="EE1417"/>
      <c r="EF1417"/>
      <c r="EG1417"/>
      <c r="EH1417"/>
      <c r="EI1417"/>
      <c r="EJ1417"/>
      <c r="EK1417"/>
      <c r="EL1417"/>
      <c r="EM1417"/>
      <c r="EN1417"/>
      <c r="EO1417"/>
      <c r="EP1417"/>
      <c r="EQ1417"/>
      <c r="ER1417"/>
      <c r="ES1417"/>
    </row>
    <row r="1418" spans="1:149">
      <c r="A1418"/>
      <c r="B1418"/>
      <c r="C1418"/>
      <c r="D1418"/>
      <c r="E1418"/>
      <c r="F1418"/>
      <c r="G1418"/>
      <c r="H1418"/>
      <c r="I1418"/>
      <c r="J1418"/>
      <c r="K1418"/>
      <c r="L1418"/>
      <c r="M1418"/>
      <c r="N1418"/>
      <c r="O1418"/>
      <c r="P1418"/>
      <c r="Q1418"/>
      <c r="R1418"/>
      <c r="S1418"/>
      <c r="T1418"/>
      <c r="U1418"/>
      <c r="V1418"/>
      <c r="W1418"/>
      <c r="X1418"/>
      <c r="Y1418"/>
      <c r="Z1418"/>
      <c r="AA1418"/>
      <c r="AB1418"/>
      <c r="AC1418"/>
      <c r="AD1418"/>
      <c r="AE1418"/>
      <c r="AF1418"/>
      <c r="AG1418"/>
      <c r="AH1418"/>
      <c r="AI1418"/>
      <c r="AJ1418"/>
      <c r="AK1418"/>
      <c r="AL1418"/>
      <c r="AM1418"/>
      <c r="AN1418"/>
      <c r="AO1418"/>
      <c r="AP1418"/>
      <c r="AQ1418"/>
      <c r="AR1418"/>
      <c r="AS1418"/>
      <c r="AT1418"/>
      <c r="AU1418"/>
      <c r="AV1418"/>
      <c r="AW1418"/>
      <c r="AX1418"/>
      <c r="AY1418"/>
      <c r="AZ1418"/>
      <c r="BA1418"/>
      <c r="BB1418"/>
      <c r="BC1418"/>
      <c r="BD1418"/>
      <c r="BE1418"/>
      <c r="BF1418"/>
      <c r="BG1418"/>
      <c r="BH1418"/>
      <c r="BI1418"/>
      <c r="BJ1418"/>
      <c r="BK1418"/>
      <c r="BL1418"/>
      <c r="BM1418"/>
      <c r="BN1418"/>
      <c r="BO1418"/>
      <c r="BP1418"/>
      <c r="BQ1418"/>
      <c r="BR1418"/>
      <c r="BS1418"/>
      <c r="BT1418"/>
      <c r="BU1418"/>
      <c r="BV1418"/>
      <c r="BW1418"/>
      <c r="BX1418"/>
      <c r="BY1418"/>
      <c r="BZ1418"/>
      <c r="CA1418"/>
      <c r="CB1418"/>
      <c r="CC1418"/>
      <c r="CD1418"/>
      <c r="CE1418"/>
      <c r="CF1418"/>
      <c r="CG1418"/>
      <c r="CH1418"/>
      <c r="CI1418"/>
      <c r="CJ1418"/>
      <c r="CK1418"/>
      <c r="CL1418"/>
      <c r="CM1418"/>
      <c r="CN1418"/>
      <c r="CO1418"/>
      <c r="CP1418"/>
      <c r="CQ1418"/>
      <c r="CR1418"/>
      <c r="CS1418"/>
      <c r="CT1418"/>
      <c r="CU1418"/>
      <c r="CV1418"/>
      <c r="CW1418"/>
      <c r="CX1418"/>
      <c r="CY1418"/>
      <c r="CZ1418"/>
      <c r="DA1418"/>
      <c r="DB1418"/>
      <c r="DC1418"/>
      <c r="DD1418"/>
      <c r="DE1418"/>
      <c r="DF1418"/>
      <c r="DG1418"/>
      <c r="DH1418"/>
      <c r="DI1418"/>
      <c r="DJ1418"/>
      <c r="DK1418"/>
      <c r="DL1418"/>
      <c r="DM1418"/>
      <c r="DN1418"/>
      <c r="DO1418"/>
      <c r="DP1418"/>
      <c r="DQ1418"/>
      <c r="DR1418"/>
      <c r="DS1418"/>
      <c r="DT1418"/>
      <c r="DU1418"/>
      <c r="DV1418"/>
      <c r="DW1418"/>
      <c r="DX1418"/>
      <c r="DY1418"/>
      <c r="DZ1418"/>
      <c r="EA1418"/>
      <c r="EB1418"/>
      <c r="EC1418"/>
      <c r="ED1418"/>
      <c r="EE1418"/>
      <c r="EF1418"/>
      <c r="EG1418"/>
      <c r="EH1418"/>
      <c r="EI1418"/>
      <c r="EJ1418"/>
      <c r="EK1418"/>
      <c r="EL1418"/>
      <c r="EM1418"/>
      <c r="EN1418"/>
      <c r="EO1418"/>
      <c r="EP1418"/>
      <c r="EQ1418"/>
      <c r="ER1418"/>
      <c r="ES1418"/>
    </row>
    <row r="1419" spans="1:149">
      <c r="A1419"/>
      <c r="B1419"/>
      <c r="C1419"/>
      <c r="D1419"/>
      <c r="E1419"/>
      <c r="F1419"/>
      <c r="G1419"/>
      <c r="H1419"/>
      <c r="I1419"/>
      <c r="J1419"/>
      <c r="K1419"/>
      <c r="L1419"/>
      <c r="M1419"/>
      <c r="N1419"/>
      <c r="O1419"/>
      <c r="P1419"/>
      <c r="Q1419"/>
      <c r="R1419"/>
      <c r="S1419"/>
      <c r="T1419"/>
      <c r="U1419"/>
      <c r="V1419"/>
      <c r="W1419"/>
      <c r="X1419"/>
      <c r="Y1419"/>
      <c r="Z1419"/>
      <c r="AA1419"/>
      <c r="AB1419"/>
      <c r="AC1419"/>
      <c r="AD1419"/>
      <c r="AE1419"/>
      <c r="AF1419"/>
      <c r="AG1419"/>
      <c r="AH1419"/>
      <c r="AI1419"/>
      <c r="AJ1419"/>
      <c r="AK1419"/>
      <c r="AL1419"/>
      <c r="AM1419"/>
      <c r="AN1419"/>
      <c r="AO1419"/>
      <c r="AP1419"/>
      <c r="AQ1419"/>
      <c r="AR1419"/>
      <c r="AS1419"/>
      <c r="AT1419"/>
      <c r="AU1419"/>
      <c r="AV1419"/>
      <c r="AW1419"/>
      <c r="AX1419"/>
      <c r="AY1419"/>
      <c r="AZ1419"/>
      <c r="BA1419"/>
      <c r="BB1419"/>
      <c r="BC1419"/>
      <c r="BD1419"/>
      <c r="BE1419"/>
      <c r="BF1419"/>
      <c r="BG1419"/>
      <c r="BH1419"/>
      <c r="BI1419"/>
      <c r="BJ1419"/>
      <c r="BK1419"/>
      <c r="BL1419"/>
      <c r="BM1419"/>
      <c r="BN1419"/>
      <c r="BO1419"/>
      <c r="BP1419"/>
      <c r="BQ1419"/>
      <c r="BR1419"/>
      <c r="BS1419"/>
      <c r="BT1419"/>
      <c r="BU1419"/>
      <c r="BV1419"/>
      <c r="BW1419"/>
      <c r="BX1419"/>
      <c r="BY1419"/>
      <c r="BZ1419"/>
      <c r="CA1419"/>
      <c r="CB1419"/>
      <c r="CC1419"/>
      <c r="CD1419"/>
      <c r="CE1419"/>
      <c r="CF1419"/>
      <c r="CG1419"/>
      <c r="CH1419"/>
      <c r="CI1419"/>
      <c r="CJ1419"/>
      <c r="CK1419"/>
      <c r="CL1419"/>
      <c r="CM1419"/>
      <c r="CN1419"/>
      <c r="CO1419"/>
      <c r="CP1419"/>
      <c r="CQ1419"/>
      <c r="CR1419"/>
      <c r="CS1419"/>
      <c r="CT1419"/>
      <c r="CU1419"/>
      <c r="CV1419"/>
      <c r="CW1419"/>
      <c r="CX1419"/>
      <c r="CY1419"/>
      <c r="CZ1419"/>
      <c r="DA1419"/>
      <c r="DB1419"/>
      <c r="DC1419"/>
      <c r="DD1419"/>
      <c r="DE1419"/>
      <c r="DF1419"/>
      <c r="DG1419"/>
      <c r="DH1419"/>
      <c r="DI1419"/>
      <c r="DJ1419"/>
      <c r="DK1419"/>
      <c r="DL1419"/>
      <c r="DM1419"/>
      <c r="DN1419"/>
      <c r="DO1419"/>
      <c r="DP1419"/>
      <c r="DQ1419"/>
      <c r="DR1419"/>
      <c r="DS1419"/>
      <c r="DT1419"/>
      <c r="DU1419"/>
      <c r="DV1419"/>
      <c r="DW1419"/>
      <c r="DX1419"/>
      <c r="DY1419"/>
      <c r="DZ1419"/>
      <c r="EA1419"/>
      <c r="EB1419"/>
      <c r="EC1419"/>
      <c r="ED1419"/>
      <c r="EE1419"/>
      <c r="EF1419"/>
      <c r="EG1419"/>
      <c r="EH1419"/>
      <c r="EI1419"/>
      <c r="EJ1419"/>
      <c r="EK1419"/>
      <c r="EL1419"/>
      <c r="EM1419"/>
      <c r="EN1419"/>
      <c r="EO1419"/>
      <c r="EP1419"/>
      <c r="EQ1419"/>
      <c r="ER1419"/>
      <c r="ES1419"/>
    </row>
    <row r="1420" spans="1:149">
      <c r="A1420"/>
      <c r="B1420"/>
      <c r="C1420"/>
      <c r="D1420"/>
      <c r="E1420"/>
      <c r="F1420"/>
      <c r="G1420"/>
      <c r="H1420"/>
      <c r="I1420"/>
      <c r="J1420"/>
      <c r="K1420"/>
      <c r="L1420"/>
      <c r="M1420"/>
      <c r="N1420"/>
      <c r="O1420"/>
      <c r="P1420"/>
      <c r="Q1420"/>
      <c r="R1420"/>
      <c r="S1420"/>
      <c r="T1420"/>
      <c r="U1420"/>
      <c r="V1420"/>
      <c r="W1420"/>
      <c r="X1420"/>
      <c r="Y1420"/>
      <c r="Z1420"/>
      <c r="AA1420"/>
      <c r="AB1420"/>
      <c r="AC1420"/>
      <c r="AD1420"/>
      <c r="AE1420"/>
      <c r="AF1420"/>
      <c r="AG1420"/>
      <c r="AH1420"/>
      <c r="AI1420"/>
      <c r="AJ1420"/>
      <c r="AK1420"/>
      <c r="AL1420"/>
      <c r="AM1420"/>
      <c r="AN1420"/>
      <c r="AO1420"/>
      <c r="AP1420"/>
      <c r="AQ1420"/>
      <c r="AR1420"/>
      <c r="AS1420"/>
      <c r="AT1420"/>
      <c r="AU1420"/>
      <c r="AV1420"/>
      <c r="AW1420"/>
      <c r="AX1420"/>
      <c r="AY1420"/>
      <c r="AZ1420"/>
      <c r="BA1420"/>
      <c r="BB1420"/>
      <c r="BC1420"/>
      <c r="BD1420"/>
      <c r="BE1420"/>
      <c r="BF1420"/>
      <c r="BG1420"/>
      <c r="BH1420"/>
      <c r="BI1420"/>
      <c r="BJ1420"/>
      <c r="BK1420"/>
      <c r="BL1420"/>
      <c r="BM1420"/>
      <c r="BN1420"/>
      <c r="BO1420"/>
      <c r="BP1420"/>
      <c r="BQ1420"/>
      <c r="BR1420"/>
      <c r="BS1420"/>
      <c r="BT1420"/>
      <c r="BU1420"/>
      <c r="BV1420"/>
      <c r="BW1420"/>
      <c r="BX1420"/>
      <c r="BY1420"/>
      <c r="BZ1420"/>
      <c r="CA1420"/>
      <c r="CB1420"/>
      <c r="CC1420"/>
      <c r="CD1420"/>
      <c r="CE1420"/>
      <c r="CF1420"/>
      <c r="CG1420"/>
      <c r="CH1420"/>
      <c r="CI1420"/>
      <c r="CJ1420"/>
      <c r="CK1420"/>
      <c r="CL1420"/>
      <c r="CM1420"/>
      <c r="CN1420"/>
      <c r="CO1420"/>
      <c r="CP1420"/>
      <c r="CQ1420"/>
      <c r="CR1420"/>
      <c r="CS1420"/>
      <c r="CT1420"/>
      <c r="CU1420"/>
      <c r="CV1420"/>
      <c r="CW1420"/>
      <c r="CX1420"/>
      <c r="CY1420"/>
      <c r="CZ1420"/>
      <c r="DA1420"/>
      <c r="DB1420"/>
      <c r="DC1420"/>
      <c r="DD1420"/>
      <c r="DE1420"/>
      <c r="DF1420"/>
      <c r="DG1420"/>
      <c r="DH1420"/>
      <c r="DI1420"/>
      <c r="DJ1420"/>
      <c r="DK1420"/>
      <c r="DL1420"/>
      <c r="DM1420"/>
      <c r="DN1420"/>
      <c r="DO1420"/>
      <c r="DP1420"/>
      <c r="DQ1420"/>
      <c r="DR1420"/>
      <c r="DS1420"/>
      <c r="DT1420"/>
      <c r="DU1420"/>
      <c r="DV1420"/>
      <c r="DW1420"/>
      <c r="DX1420"/>
      <c r="DY1420"/>
      <c r="DZ1420"/>
      <c r="EA1420"/>
      <c r="EB1420"/>
      <c r="EC1420"/>
      <c r="ED1420"/>
      <c r="EE1420"/>
      <c r="EF1420"/>
      <c r="EG1420"/>
      <c r="EH1420"/>
      <c r="EI1420"/>
      <c r="EJ1420"/>
      <c r="EK1420"/>
      <c r="EL1420"/>
      <c r="EM1420"/>
      <c r="EN1420"/>
      <c r="EO1420"/>
      <c r="EP1420"/>
      <c r="EQ1420"/>
      <c r="ER1420"/>
      <c r="ES1420"/>
    </row>
    <row r="1421" spans="1:149">
      <c r="A1421"/>
      <c r="B1421"/>
      <c r="C1421"/>
      <c r="D1421"/>
      <c r="E1421"/>
      <c r="F1421"/>
      <c r="G1421"/>
      <c r="H1421"/>
      <c r="I1421"/>
      <c r="J1421"/>
      <c r="K1421"/>
      <c r="L1421"/>
      <c r="M1421"/>
      <c r="N1421"/>
      <c r="O1421"/>
      <c r="P1421"/>
      <c r="Q1421"/>
      <c r="R1421"/>
      <c r="S1421"/>
      <c r="T1421"/>
      <c r="U1421"/>
      <c r="V1421"/>
      <c r="W1421"/>
      <c r="X1421"/>
      <c r="Y1421"/>
      <c r="Z1421"/>
      <c r="AA1421"/>
      <c r="AB1421"/>
      <c r="AC1421"/>
      <c r="AD1421"/>
      <c r="AE1421"/>
      <c r="AF1421"/>
      <c r="AG1421"/>
      <c r="AH1421"/>
      <c r="AI1421"/>
      <c r="AJ1421"/>
      <c r="AK1421"/>
      <c r="AL1421"/>
      <c r="AM1421"/>
      <c r="AN1421"/>
      <c r="AO1421"/>
      <c r="AP1421"/>
      <c r="AQ1421"/>
      <c r="AR1421"/>
      <c r="AS1421"/>
      <c r="AT1421"/>
      <c r="AU1421"/>
      <c r="AV1421"/>
      <c r="AW1421"/>
      <c r="AX1421"/>
      <c r="AY1421"/>
      <c r="AZ1421"/>
      <c r="BA1421"/>
      <c r="BB1421"/>
      <c r="BC1421"/>
      <c r="BD1421"/>
      <c r="BE1421"/>
      <c r="BF1421"/>
      <c r="BG1421"/>
      <c r="BH1421"/>
      <c r="BI1421"/>
      <c r="BJ1421"/>
      <c r="BK1421"/>
      <c r="BL1421"/>
      <c r="BM1421"/>
      <c r="BN1421"/>
      <c r="BO1421"/>
      <c r="BP1421"/>
      <c r="BQ1421"/>
      <c r="BR1421"/>
      <c r="BS1421"/>
      <c r="BT1421"/>
      <c r="BU1421"/>
      <c r="BV1421"/>
      <c r="BW1421"/>
      <c r="BX1421"/>
      <c r="BY1421"/>
      <c r="BZ1421"/>
      <c r="CA1421"/>
      <c r="CB1421"/>
      <c r="CC1421"/>
      <c r="CD1421"/>
      <c r="CE1421"/>
      <c r="CF1421"/>
      <c r="CG1421"/>
      <c r="CH1421"/>
      <c r="CI1421"/>
      <c r="CJ1421"/>
      <c r="CK1421"/>
      <c r="CL1421"/>
      <c r="CM1421"/>
      <c r="CN1421"/>
      <c r="CO1421"/>
      <c r="CP1421"/>
      <c r="CQ1421"/>
      <c r="CR1421"/>
      <c r="CS1421"/>
      <c r="CT1421"/>
      <c r="CU1421"/>
      <c r="CV1421"/>
      <c r="CW1421"/>
      <c r="CX1421"/>
      <c r="CY1421"/>
      <c r="CZ1421"/>
      <c r="DA1421"/>
      <c r="DB1421"/>
      <c r="DC1421"/>
      <c r="DD1421"/>
      <c r="DE1421"/>
      <c r="DF1421"/>
      <c r="DG1421"/>
      <c r="DH1421"/>
      <c r="DI1421"/>
      <c r="DJ1421"/>
      <c r="DK1421"/>
      <c r="DL1421"/>
      <c r="DM1421"/>
      <c r="DN1421"/>
      <c r="DO1421"/>
      <c r="DP1421"/>
      <c r="DQ1421"/>
      <c r="DR1421"/>
      <c r="DS1421"/>
      <c r="DT1421"/>
      <c r="DU1421"/>
      <c r="DV1421"/>
      <c r="DW1421"/>
      <c r="DX1421"/>
      <c r="DY1421"/>
      <c r="DZ1421"/>
      <c r="EA1421"/>
      <c r="EB1421"/>
      <c r="EC1421"/>
      <c r="ED1421"/>
      <c r="EE1421"/>
      <c r="EF1421"/>
      <c r="EG1421"/>
      <c r="EH1421"/>
      <c r="EI1421"/>
      <c r="EJ1421"/>
      <c r="EK1421"/>
      <c r="EL1421"/>
      <c r="EM1421"/>
      <c r="EN1421"/>
      <c r="EO1421"/>
      <c r="EP1421"/>
      <c r="EQ1421"/>
      <c r="ER1421"/>
      <c r="ES1421"/>
    </row>
    <row r="1422" spans="1:149">
      <c r="A1422"/>
      <c r="B1422"/>
      <c r="C1422"/>
      <c r="D1422"/>
      <c r="E1422"/>
      <c r="F1422"/>
      <c r="G1422"/>
      <c r="H1422"/>
      <c r="I1422"/>
      <c r="J1422"/>
      <c r="K1422"/>
      <c r="L1422"/>
      <c r="M1422"/>
      <c r="N1422"/>
      <c r="O1422"/>
      <c r="P1422"/>
      <c r="Q1422"/>
      <c r="R1422"/>
      <c r="S1422"/>
      <c r="T1422"/>
      <c r="U1422"/>
      <c r="V1422"/>
      <c r="W1422"/>
      <c r="X1422"/>
      <c r="Y1422"/>
      <c r="Z1422"/>
      <c r="AA1422"/>
      <c r="AB1422"/>
      <c r="AC1422"/>
      <c r="AD1422"/>
      <c r="AE1422"/>
      <c r="AF1422"/>
      <c r="AG1422"/>
      <c r="AH1422"/>
      <c r="AI1422"/>
      <c r="AJ1422"/>
      <c r="AK1422"/>
      <c r="AL1422"/>
      <c r="AM1422"/>
      <c r="AN1422"/>
      <c r="AO1422"/>
      <c r="AP1422"/>
      <c r="AQ1422"/>
      <c r="AR1422"/>
      <c r="AS1422"/>
      <c r="AT1422"/>
      <c r="AU1422"/>
      <c r="AV1422"/>
      <c r="AW1422"/>
      <c r="AX1422"/>
      <c r="AY1422"/>
      <c r="AZ1422"/>
      <c r="BA1422"/>
      <c r="BB1422"/>
      <c r="BC1422"/>
      <c r="BD1422"/>
      <c r="BE1422"/>
      <c r="BF1422"/>
      <c r="BG1422"/>
      <c r="BH1422"/>
      <c r="BI1422"/>
      <c r="BJ1422"/>
      <c r="BK1422"/>
      <c r="BL1422"/>
      <c r="BM1422"/>
      <c r="BN1422"/>
      <c r="BO1422"/>
      <c r="BP1422"/>
      <c r="BQ1422"/>
      <c r="BR1422"/>
      <c r="BS1422"/>
      <c r="BT1422"/>
      <c r="BU1422"/>
      <c r="BV1422"/>
      <c r="BW1422"/>
      <c r="BX1422"/>
      <c r="BY1422"/>
      <c r="BZ1422"/>
      <c r="CA1422"/>
      <c r="CB1422"/>
      <c r="CC1422"/>
      <c r="CD1422"/>
      <c r="CE1422"/>
      <c r="CF1422"/>
      <c r="CG1422"/>
      <c r="CH1422"/>
      <c r="CI1422"/>
      <c r="CJ1422"/>
      <c r="CK1422"/>
      <c r="CL1422"/>
      <c r="CM1422"/>
      <c r="CN1422"/>
      <c r="CO1422"/>
      <c r="CP1422"/>
      <c r="CQ1422"/>
      <c r="CR1422"/>
      <c r="CS1422"/>
      <c r="CT1422"/>
      <c r="CU1422"/>
      <c r="CV1422"/>
      <c r="CW1422"/>
      <c r="CX1422"/>
      <c r="CY1422"/>
      <c r="CZ1422"/>
      <c r="DA1422"/>
      <c r="DB1422"/>
      <c r="DC1422"/>
      <c r="DD1422"/>
      <c r="DE1422"/>
      <c r="DF1422"/>
      <c r="DG1422"/>
      <c r="DH1422"/>
      <c r="DI1422"/>
      <c r="DJ1422"/>
      <c r="DK1422"/>
      <c r="DL1422"/>
      <c r="DM1422"/>
      <c r="DN1422"/>
      <c r="DO1422"/>
      <c r="DP1422"/>
      <c r="DQ1422"/>
      <c r="DR1422"/>
      <c r="DS1422"/>
      <c r="DT1422"/>
      <c r="DU1422"/>
      <c r="DV1422"/>
      <c r="DW1422"/>
      <c r="DX1422"/>
      <c r="DY1422"/>
      <c r="DZ1422"/>
      <c r="EA1422"/>
      <c r="EB1422"/>
      <c r="EC1422"/>
      <c r="ED1422"/>
      <c r="EE1422"/>
      <c r="EF1422"/>
      <c r="EG1422"/>
      <c r="EH1422"/>
      <c r="EI1422"/>
      <c r="EJ1422"/>
      <c r="EK1422"/>
      <c r="EL1422"/>
      <c r="EM1422"/>
      <c r="EN1422"/>
      <c r="EO1422"/>
      <c r="EP1422"/>
      <c r="EQ1422"/>
      <c r="ER1422"/>
      <c r="ES1422"/>
    </row>
    <row r="1423" spans="1:149">
      <c r="A1423"/>
      <c r="B1423"/>
      <c r="C1423"/>
      <c r="D1423"/>
      <c r="E1423"/>
      <c r="F1423"/>
      <c r="G1423"/>
      <c r="H1423"/>
      <c r="I1423"/>
      <c r="J1423"/>
      <c r="K1423"/>
      <c r="L1423"/>
      <c r="M1423"/>
      <c r="N1423"/>
      <c r="O1423"/>
      <c r="P1423"/>
      <c r="Q1423"/>
      <c r="R1423"/>
      <c r="S1423"/>
      <c r="T1423"/>
      <c r="U1423"/>
      <c r="V1423"/>
      <c r="W1423"/>
      <c r="X1423"/>
      <c r="Y1423"/>
      <c r="Z1423"/>
      <c r="AA1423"/>
      <c r="AB1423"/>
      <c r="AC1423"/>
      <c r="AD1423"/>
      <c r="AE1423"/>
      <c r="AF1423"/>
      <c r="AG1423"/>
      <c r="AH1423"/>
      <c r="AI1423"/>
      <c r="AJ1423"/>
      <c r="AK1423"/>
      <c r="AL1423"/>
      <c r="AM1423"/>
      <c r="AN1423"/>
      <c r="AO1423"/>
      <c r="AP1423"/>
      <c r="AQ1423"/>
      <c r="AR1423"/>
      <c r="AS1423"/>
      <c r="AT1423"/>
      <c r="AU1423"/>
      <c r="AV1423"/>
      <c r="AW1423"/>
      <c r="AX1423"/>
      <c r="AY1423"/>
      <c r="AZ1423"/>
      <c r="BA1423"/>
      <c r="BB1423"/>
      <c r="BC1423"/>
      <c r="BD1423"/>
      <c r="BE1423"/>
      <c r="BF1423"/>
      <c r="BG1423"/>
      <c r="BH1423"/>
      <c r="BI1423"/>
      <c r="BJ1423"/>
      <c r="BK1423"/>
      <c r="BL1423"/>
      <c r="BM1423"/>
      <c r="BN1423"/>
      <c r="BO1423"/>
      <c r="BP1423"/>
      <c r="BQ1423"/>
      <c r="BR1423"/>
      <c r="BS1423"/>
      <c r="BT1423"/>
      <c r="BU1423"/>
      <c r="BV1423"/>
      <c r="BW1423"/>
      <c r="BX1423"/>
      <c r="BY1423"/>
      <c r="BZ1423"/>
      <c r="CA1423"/>
      <c r="CB1423"/>
      <c r="CC1423"/>
      <c r="CD1423"/>
      <c r="CE1423"/>
      <c r="CF1423"/>
      <c r="CG1423"/>
      <c r="CH1423"/>
      <c r="CI1423"/>
      <c r="CJ1423"/>
      <c r="CK1423"/>
      <c r="CL1423"/>
      <c r="CM1423"/>
      <c r="CN1423"/>
      <c r="CO1423"/>
      <c r="CP1423"/>
      <c r="CQ1423"/>
      <c r="CR1423"/>
      <c r="CS1423"/>
      <c r="CT1423"/>
      <c r="CU1423"/>
      <c r="CV1423"/>
      <c r="CW1423"/>
      <c r="CX1423"/>
      <c r="CY1423"/>
      <c r="CZ1423"/>
      <c r="DA1423"/>
      <c r="DB1423"/>
      <c r="DC1423"/>
      <c r="DD1423"/>
      <c r="DE1423"/>
      <c r="DF1423"/>
      <c r="DG1423"/>
      <c r="DH1423"/>
      <c r="DI1423"/>
      <c r="DJ1423"/>
      <c r="DK1423"/>
      <c r="DL1423"/>
      <c r="DM1423"/>
      <c r="DN1423"/>
      <c r="DO1423"/>
      <c r="DP1423"/>
      <c r="DQ1423"/>
      <c r="DR1423"/>
      <c r="DS1423"/>
      <c r="DT1423"/>
      <c r="DU1423"/>
      <c r="DV1423"/>
      <c r="DW1423"/>
      <c r="DX1423"/>
      <c r="DY1423"/>
      <c r="DZ1423"/>
      <c r="EA1423"/>
      <c r="EB1423"/>
      <c r="EC1423"/>
      <c r="ED1423"/>
      <c r="EE1423"/>
      <c r="EF1423"/>
      <c r="EG1423"/>
      <c r="EH1423"/>
      <c r="EI1423"/>
      <c r="EJ1423"/>
      <c r="EK1423"/>
      <c r="EL1423"/>
      <c r="EM1423"/>
      <c r="EN1423"/>
      <c r="EO1423"/>
      <c r="EP1423"/>
      <c r="EQ1423"/>
      <c r="ER1423"/>
      <c r="ES1423"/>
    </row>
    <row r="1424" spans="1:149">
      <c r="A1424"/>
      <c r="B1424"/>
      <c r="C1424"/>
      <c r="D1424"/>
      <c r="E1424"/>
      <c r="F1424"/>
      <c r="G1424"/>
      <c r="H1424"/>
      <c r="I1424"/>
      <c r="J1424"/>
      <c r="K1424"/>
      <c r="L1424"/>
      <c r="M1424"/>
      <c r="N1424"/>
      <c r="O1424"/>
      <c r="P1424"/>
      <c r="Q1424"/>
      <c r="R1424"/>
      <c r="S1424"/>
      <c r="T1424"/>
      <c r="U1424"/>
      <c r="V1424"/>
      <c r="W1424"/>
      <c r="X1424"/>
      <c r="Y1424"/>
      <c r="Z1424"/>
      <c r="AA1424"/>
      <c r="AB1424"/>
      <c r="AC1424"/>
      <c r="AD1424"/>
      <c r="AE1424"/>
      <c r="AF1424"/>
      <c r="AG1424"/>
      <c r="AH1424"/>
      <c r="AI1424"/>
      <c r="AJ1424"/>
      <c r="AK1424"/>
      <c r="AL1424"/>
      <c r="AM1424"/>
      <c r="AN1424"/>
      <c r="AO1424"/>
      <c r="AP1424"/>
      <c r="AQ1424"/>
      <c r="AR1424"/>
      <c r="AS1424"/>
      <c r="AT1424"/>
      <c r="AU1424"/>
      <c r="AV1424"/>
      <c r="AW1424"/>
      <c r="AX1424"/>
      <c r="AY1424"/>
      <c r="AZ1424"/>
      <c r="BA1424"/>
      <c r="BB1424"/>
      <c r="BC1424"/>
      <c r="BD1424"/>
      <c r="BE1424"/>
      <c r="BF1424"/>
      <c r="BG1424"/>
      <c r="BH1424"/>
      <c r="BI1424"/>
      <c r="BJ1424"/>
      <c r="BK1424"/>
      <c r="BL1424"/>
      <c r="BM1424"/>
      <c r="BN1424"/>
      <c r="BO1424"/>
      <c r="BP1424"/>
      <c r="BQ1424"/>
      <c r="BR1424"/>
      <c r="BS1424"/>
      <c r="BT1424"/>
      <c r="BU1424"/>
      <c r="BV1424"/>
      <c r="BW1424"/>
      <c r="BX1424"/>
      <c r="BY1424"/>
      <c r="BZ1424"/>
      <c r="CA1424"/>
      <c r="CB1424"/>
      <c r="CC1424"/>
      <c r="CD1424"/>
      <c r="CE1424"/>
      <c r="CF1424"/>
      <c r="CG1424"/>
      <c r="CH1424"/>
      <c r="CI1424"/>
      <c r="CJ1424"/>
      <c r="CK1424"/>
      <c r="CL1424"/>
      <c r="CM1424"/>
      <c r="CN1424"/>
      <c r="CO1424"/>
      <c r="CP1424"/>
      <c r="CQ1424"/>
      <c r="CR1424"/>
      <c r="CS1424"/>
      <c r="CT1424"/>
      <c r="CU1424"/>
      <c r="CV1424"/>
      <c r="CW1424"/>
      <c r="CX1424"/>
      <c r="CY1424"/>
      <c r="CZ1424"/>
      <c r="DA1424"/>
      <c r="DB1424"/>
      <c r="DC1424"/>
      <c r="DD1424"/>
      <c r="DE1424"/>
      <c r="DF1424"/>
      <c r="DG1424"/>
      <c r="DH1424"/>
      <c r="DI1424"/>
      <c r="DJ1424"/>
      <c r="DK1424"/>
      <c r="DL1424"/>
      <c r="DM1424"/>
      <c r="DN1424"/>
      <c r="DO1424"/>
      <c r="DP1424"/>
      <c r="DQ1424"/>
      <c r="DR1424"/>
      <c r="DS1424"/>
      <c r="DT1424"/>
      <c r="DU1424"/>
      <c r="DV1424"/>
      <c r="DW1424"/>
      <c r="DX1424"/>
      <c r="DY1424"/>
      <c r="DZ1424"/>
      <c r="EA1424"/>
      <c r="EB1424"/>
      <c r="EC1424"/>
      <c r="ED1424"/>
      <c r="EE1424"/>
      <c r="EF1424"/>
      <c r="EG1424"/>
      <c r="EH1424"/>
      <c r="EI1424"/>
      <c r="EJ1424"/>
      <c r="EK1424"/>
      <c r="EL1424"/>
      <c r="EM1424"/>
      <c r="EN1424"/>
      <c r="EO1424"/>
      <c r="EP1424"/>
      <c r="EQ1424"/>
      <c r="ER1424"/>
      <c r="ES1424"/>
    </row>
    <row r="1425" spans="1:149">
      <c r="A1425"/>
      <c r="B1425"/>
      <c r="C1425"/>
      <c r="D1425"/>
      <c r="E1425"/>
      <c r="F1425"/>
      <c r="G1425"/>
      <c r="H1425"/>
      <c r="I1425"/>
      <c r="J1425"/>
      <c r="K1425"/>
      <c r="L1425"/>
      <c r="M1425"/>
      <c r="N1425"/>
      <c r="O1425"/>
      <c r="P1425"/>
      <c r="Q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M1425"/>
      <c r="CN1425"/>
      <c r="CO1425"/>
      <c r="CP1425"/>
      <c r="CQ1425"/>
      <c r="CR1425"/>
      <c r="CS1425"/>
      <c r="CT1425"/>
      <c r="CU1425"/>
      <c r="CV1425"/>
      <c r="CW1425"/>
      <c r="CX1425"/>
      <c r="CY1425"/>
      <c r="CZ1425"/>
      <c r="DA1425"/>
      <c r="DB1425"/>
      <c r="DC1425"/>
      <c r="DD1425"/>
      <c r="DE1425"/>
      <c r="DF1425"/>
      <c r="DG1425"/>
      <c r="DH1425"/>
      <c r="DI1425"/>
      <c r="DJ1425"/>
      <c r="DK1425"/>
      <c r="DL1425"/>
      <c r="DM1425"/>
      <c r="DN1425"/>
      <c r="DO1425"/>
      <c r="DP1425"/>
      <c r="DQ1425"/>
      <c r="DR1425"/>
      <c r="DS1425"/>
      <c r="DT1425"/>
      <c r="DU1425"/>
      <c r="DV1425"/>
      <c r="DW1425"/>
      <c r="DX1425"/>
      <c r="DY1425"/>
      <c r="DZ1425"/>
      <c r="EA1425"/>
      <c r="EB1425"/>
      <c r="EC1425"/>
      <c r="ED1425"/>
      <c r="EE1425"/>
      <c r="EF1425"/>
      <c r="EG1425"/>
      <c r="EH1425"/>
      <c r="EI1425"/>
      <c r="EJ1425"/>
      <c r="EK1425"/>
      <c r="EL1425"/>
      <c r="EM1425"/>
      <c r="EN1425"/>
      <c r="EO1425"/>
      <c r="EP1425"/>
      <c r="EQ1425"/>
      <c r="ER1425"/>
      <c r="ES1425"/>
    </row>
    <row r="1426" spans="1:149">
      <c r="A1426"/>
      <c r="B1426"/>
      <c r="C1426"/>
      <c r="D1426"/>
      <c r="E1426"/>
      <c r="F1426"/>
      <c r="G1426"/>
      <c r="H1426"/>
      <c r="I1426"/>
      <c r="J1426"/>
      <c r="K1426"/>
      <c r="L1426"/>
      <c r="M1426"/>
      <c r="N1426"/>
      <c r="O1426"/>
      <c r="P1426"/>
      <c r="Q1426"/>
      <c r="R1426"/>
      <c r="S1426"/>
      <c r="T1426"/>
      <c r="U1426"/>
      <c r="V1426"/>
      <c r="W1426"/>
      <c r="X1426"/>
      <c r="Y1426"/>
      <c r="Z1426"/>
      <c r="AA1426"/>
      <c r="AB1426"/>
      <c r="AC1426"/>
      <c r="AD1426"/>
      <c r="AE1426"/>
      <c r="AF1426"/>
      <c r="AG1426"/>
      <c r="AH1426"/>
      <c r="AI1426"/>
      <c r="AJ1426"/>
      <c r="AK1426"/>
      <c r="AL1426"/>
      <c r="AM1426"/>
      <c r="AN1426"/>
      <c r="AO1426"/>
      <c r="AP1426"/>
      <c r="AQ1426"/>
      <c r="AR1426"/>
      <c r="AS1426"/>
      <c r="AT1426"/>
      <c r="AU1426"/>
      <c r="AV1426"/>
      <c r="AW1426"/>
      <c r="AX1426"/>
      <c r="AY1426"/>
      <c r="AZ1426"/>
      <c r="BA1426"/>
      <c r="BB1426"/>
      <c r="BC1426"/>
      <c r="BD1426"/>
      <c r="BE1426"/>
      <c r="BF1426"/>
      <c r="BG1426"/>
      <c r="BH1426"/>
      <c r="BI1426"/>
      <c r="BJ1426"/>
      <c r="BK1426"/>
      <c r="BL1426"/>
      <c r="BM1426"/>
      <c r="BN1426"/>
      <c r="BO1426"/>
      <c r="BP1426"/>
      <c r="BQ1426"/>
      <c r="BR1426"/>
      <c r="BS1426"/>
      <c r="BT1426"/>
      <c r="BU1426"/>
      <c r="BV1426"/>
      <c r="BW1426"/>
      <c r="BX1426"/>
      <c r="BY1426"/>
      <c r="BZ1426"/>
      <c r="CA1426"/>
      <c r="CB1426"/>
      <c r="CC1426"/>
      <c r="CD1426"/>
      <c r="CE1426"/>
      <c r="CF1426"/>
      <c r="CG1426"/>
      <c r="CH1426"/>
      <c r="CI1426"/>
      <c r="CJ1426"/>
      <c r="CK1426"/>
      <c r="CL1426"/>
      <c r="CM1426"/>
      <c r="CN1426"/>
      <c r="CO1426"/>
      <c r="CP1426"/>
      <c r="CQ1426"/>
      <c r="CR1426"/>
      <c r="CS1426"/>
      <c r="CT1426"/>
      <c r="CU1426"/>
      <c r="CV1426"/>
      <c r="CW1426"/>
      <c r="CX1426"/>
      <c r="CY1426"/>
      <c r="CZ1426"/>
      <c r="DA1426"/>
      <c r="DB1426"/>
      <c r="DC1426"/>
      <c r="DD1426"/>
      <c r="DE1426"/>
      <c r="DF1426"/>
      <c r="DG1426"/>
      <c r="DH1426"/>
      <c r="DI1426"/>
      <c r="DJ1426"/>
      <c r="DK1426"/>
      <c r="DL1426"/>
      <c r="DM1426"/>
      <c r="DN1426"/>
      <c r="DO1426"/>
      <c r="DP1426"/>
      <c r="DQ1426"/>
      <c r="DR1426"/>
      <c r="DS1426"/>
      <c r="DT1426"/>
      <c r="DU1426"/>
      <c r="DV1426"/>
      <c r="DW1426"/>
      <c r="DX1426"/>
      <c r="DY1426"/>
      <c r="DZ1426"/>
      <c r="EA1426"/>
      <c r="EB1426"/>
      <c r="EC1426"/>
      <c r="ED1426"/>
      <c r="EE1426"/>
      <c r="EF1426"/>
      <c r="EG1426"/>
      <c r="EH1426"/>
      <c r="EI1426"/>
      <c r="EJ1426"/>
      <c r="EK1426"/>
      <c r="EL1426"/>
      <c r="EM1426"/>
      <c r="EN1426"/>
      <c r="EO1426"/>
      <c r="EP1426"/>
      <c r="EQ1426"/>
      <c r="ER1426"/>
      <c r="ES1426"/>
    </row>
    <row r="1427" spans="1:149">
      <c r="A1427"/>
      <c r="B1427"/>
      <c r="C1427"/>
      <c r="D1427"/>
      <c r="E1427"/>
      <c r="F1427"/>
      <c r="G1427"/>
      <c r="H1427"/>
      <c r="I1427"/>
      <c r="J1427"/>
      <c r="K1427"/>
      <c r="L1427"/>
      <c r="M1427"/>
      <c r="N1427"/>
      <c r="O1427"/>
      <c r="P1427"/>
      <c r="Q1427"/>
      <c r="R1427"/>
      <c r="S1427"/>
      <c r="T1427"/>
      <c r="U1427"/>
      <c r="V1427"/>
      <c r="W1427"/>
      <c r="X1427"/>
      <c r="Y1427"/>
      <c r="Z1427"/>
      <c r="AA1427"/>
      <c r="AB1427"/>
      <c r="AC1427"/>
      <c r="AD1427"/>
      <c r="AE1427"/>
      <c r="AF1427"/>
      <c r="AG1427"/>
      <c r="AH1427"/>
      <c r="AI1427"/>
      <c r="AJ1427"/>
      <c r="AK1427"/>
      <c r="AL1427"/>
      <c r="AM1427"/>
      <c r="AN1427"/>
      <c r="AO1427"/>
      <c r="AP1427"/>
      <c r="AQ1427"/>
      <c r="AR1427"/>
      <c r="AS1427"/>
      <c r="AT1427"/>
      <c r="AU1427"/>
      <c r="AV1427"/>
      <c r="AW1427"/>
      <c r="AX1427"/>
      <c r="AY1427"/>
      <c r="AZ1427"/>
      <c r="BA1427"/>
      <c r="BB1427"/>
      <c r="BC1427"/>
      <c r="BD1427"/>
      <c r="BE1427"/>
      <c r="BF1427"/>
      <c r="BG1427"/>
      <c r="BH1427"/>
      <c r="BI1427"/>
      <c r="BJ1427"/>
      <c r="BK1427"/>
      <c r="BL1427"/>
      <c r="BM1427"/>
      <c r="BN1427"/>
      <c r="BO1427"/>
      <c r="BP1427"/>
      <c r="BQ1427"/>
      <c r="BR1427"/>
      <c r="BS1427"/>
      <c r="BT1427"/>
      <c r="BU1427"/>
      <c r="BV1427"/>
      <c r="BW1427"/>
      <c r="BX1427"/>
      <c r="BY1427"/>
      <c r="BZ1427"/>
      <c r="CA1427"/>
      <c r="CB1427"/>
      <c r="CC1427"/>
      <c r="CD1427"/>
      <c r="CE1427"/>
      <c r="CF1427"/>
      <c r="CG1427"/>
      <c r="CH1427"/>
      <c r="CI1427"/>
      <c r="CJ1427"/>
      <c r="CK1427"/>
      <c r="CL1427"/>
      <c r="CM1427"/>
      <c r="CN1427"/>
      <c r="CO1427"/>
      <c r="CP1427"/>
      <c r="CQ1427"/>
      <c r="CR1427"/>
      <c r="CS1427"/>
      <c r="CT1427"/>
      <c r="CU1427"/>
      <c r="CV1427"/>
      <c r="CW1427"/>
      <c r="CX1427"/>
      <c r="CY1427"/>
      <c r="CZ1427"/>
      <c r="DA1427"/>
      <c r="DB1427"/>
      <c r="DC1427"/>
      <c r="DD1427"/>
      <c r="DE1427"/>
      <c r="DF1427"/>
      <c r="DG1427"/>
      <c r="DH1427"/>
      <c r="DI1427"/>
      <c r="DJ1427"/>
      <c r="DK1427"/>
      <c r="DL1427"/>
      <c r="DM1427"/>
      <c r="DN1427"/>
      <c r="DO1427"/>
      <c r="DP1427"/>
      <c r="DQ1427"/>
      <c r="DR1427"/>
      <c r="DS1427"/>
      <c r="DT1427"/>
      <c r="DU1427"/>
      <c r="DV1427"/>
      <c r="DW1427"/>
      <c r="DX1427"/>
      <c r="DY1427"/>
      <c r="DZ1427"/>
      <c r="EA1427"/>
      <c r="EB1427"/>
      <c r="EC1427"/>
      <c r="ED1427"/>
      <c r="EE1427"/>
      <c r="EF1427"/>
      <c r="EG1427"/>
      <c r="EH1427"/>
      <c r="EI1427"/>
      <c r="EJ1427"/>
      <c r="EK1427"/>
      <c r="EL1427"/>
      <c r="EM1427"/>
      <c r="EN1427"/>
      <c r="EO1427"/>
      <c r="EP1427"/>
      <c r="EQ1427"/>
      <c r="ER1427"/>
      <c r="ES1427"/>
    </row>
    <row r="1428" spans="1:149">
      <c r="A1428"/>
      <c r="B1428"/>
      <c r="C1428"/>
      <c r="D1428"/>
      <c r="E1428"/>
      <c r="F1428"/>
      <c r="G1428"/>
      <c r="H1428"/>
      <c r="I1428"/>
      <c r="J1428"/>
      <c r="K1428"/>
      <c r="L1428"/>
      <c r="M1428"/>
      <c r="N1428"/>
      <c r="O1428"/>
      <c r="P1428"/>
      <c r="Q1428"/>
      <c r="R1428"/>
      <c r="S1428"/>
      <c r="T1428"/>
      <c r="U1428"/>
      <c r="V1428"/>
      <c r="W1428"/>
      <c r="X1428"/>
      <c r="Y1428"/>
      <c r="Z1428"/>
      <c r="AA1428"/>
      <c r="AB1428"/>
      <c r="AC1428"/>
      <c r="AD1428"/>
      <c r="AE1428"/>
      <c r="AF1428"/>
      <c r="AG1428"/>
      <c r="AH1428"/>
      <c r="AI1428"/>
      <c r="AJ1428"/>
      <c r="AK1428"/>
      <c r="AL1428"/>
      <c r="AM1428"/>
      <c r="AN1428"/>
      <c r="AO1428"/>
      <c r="AP1428"/>
      <c r="AQ1428"/>
      <c r="AR1428"/>
      <c r="AS1428"/>
      <c r="AT1428"/>
      <c r="AU1428"/>
      <c r="AV1428"/>
      <c r="AW1428"/>
      <c r="AX1428"/>
      <c r="AY1428"/>
      <c r="AZ1428"/>
      <c r="BA1428"/>
      <c r="BB1428"/>
      <c r="BC1428"/>
      <c r="BD1428"/>
      <c r="BE1428"/>
      <c r="BF1428"/>
      <c r="BG1428"/>
      <c r="BH1428"/>
      <c r="BI1428"/>
      <c r="BJ1428"/>
      <c r="BK1428"/>
      <c r="BL1428"/>
      <c r="BM1428"/>
      <c r="BN1428"/>
      <c r="BO1428"/>
      <c r="BP1428"/>
      <c r="BQ1428"/>
      <c r="BR1428"/>
      <c r="BS1428"/>
      <c r="BT1428"/>
      <c r="BU1428"/>
      <c r="BV1428"/>
      <c r="BW1428"/>
      <c r="BX1428"/>
      <c r="BY1428"/>
      <c r="BZ1428"/>
      <c r="CA1428"/>
      <c r="CB1428"/>
      <c r="CC1428"/>
      <c r="CD1428"/>
      <c r="CE1428"/>
      <c r="CF1428"/>
      <c r="CG1428"/>
      <c r="CH1428"/>
      <c r="CI1428"/>
      <c r="CJ1428"/>
      <c r="CK1428"/>
      <c r="CL1428"/>
      <c r="CM1428"/>
      <c r="CN1428"/>
      <c r="CO1428"/>
      <c r="CP1428"/>
      <c r="CQ1428"/>
      <c r="CR1428"/>
      <c r="CS1428"/>
      <c r="CT1428"/>
      <c r="CU1428"/>
      <c r="CV1428"/>
      <c r="CW1428"/>
      <c r="CX1428"/>
      <c r="CY1428"/>
      <c r="CZ1428"/>
      <c r="DA1428"/>
      <c r="DB1428"/>
      <c r="DC1428"/>
      <c r="DD1428"/>
      <c r="DE1428"/>
      <c r="DF1428"/>
      <c r="DG1428"/>
      <c r="DH1428"/>
      <c r="DI1428"/>
      <c r="DJ1428"/>
      <c r="DK1428"/>
      <c r="DL1428"/>
      <c r="DM1428"/>
      <c r="DN1428"/>
      <c r="DO1428"/>
      <c r="DP1428"/>
      <c r="DQ1428"/>
      <c r="DR1428"/>
      <c r="DS1428"/>
      <c r="DT1428"/>
      <c r="DU1428"/>
      <c r="DV1428"/>
      <c r="DW1428"/>
      <c r="DX1428"/>
      <c r="DY1428"/>
      <c r="DZ1428"/>
      <c r="EA1428"/>
      <c r="EB1428"/>
      <c r="EC1428"/>
      <c r="ED1428"/>
      <c r="EE1428"/>
      <c r="EF1428"/>
      <c r="EG1428"/>
      <c r="EH1428"/>
      <c r="EI1428"/>
      <c r="EJ1428"/>
      <c r="EK1428"/>
      <c r="EL1428"/>
      <c r="EM1428"/>
      <c r="EN1428"/>
      <c r="EO1428"/>
      <c r="EP1428"/>
      <c r="EQ1428"/>
      <c r="ER1428"/>
      <c r="ES1428"/>
    </row>
    <row r="1429" spans="1:149">
      <c r="A1429"/>
      <c r="B1429"/>
      <c r="C1429"/>
      <c r="D1429"/>
      <c r="E1429"/>
      <c r="F1429"/>
      <c r="G1429"/>
      <c r="H1429"/>
      <c r="I1429"/>
      <c r="J1429"/>
      <c r="K1429"/>
      <c r="L1429"/>
      <c r="M1429"/>
      <c r="N1429"/>
      <c r="O1429"/>
      <c r="P1429"/>
      <c r="Q1429"/>
      <c r="R1429"/>
      <c r="S1429"/>
      <c r="T1429"/>
      <c r="U1429"/>
      <c r="V1429"/>
      <c r="W1429"/>
      <c r="X1429"/>
      <c r="Y1429"/>
      <c r="Z1429"/>
      <c r="AA1429"/>
      <c r="AB1429"/>
      <c r="AC1429"/>
      <c r="AD1429"/>
      <c r="AE1429"/>
      <c r="AF1429"/>
      <c r="AG1429"/>
      <c r="AH1429"/>
      <c r="AI1429"/>
      <c r="AJ1429"/>
      <c r="AK1429"/>
      <c r="AL1429"/>
      <c r="AM1429"/>
      <c r="AN1429"/>
      <c r="AO1429"/>
      <c r="AP1429"/>
      <c r="AQ1429"/>
      <c r="AR1429"/>
      <c r="AS1429"/>
      <c r="AT1429"/>
      <c r="AU1429"/>
      <c r="AV1429"/>
      <c r="AW1429"/>
      <c r="AX1429"/>
      <c r="AY1429"/>
      <c r="AZ1429"/>
      <c r="BA1429"/>
      <c r="BB1429"/>
      <c r="BC1429"/>
      <c r="BD1429"/>
      <c r="BE1429"/>
      <c r="BF1429"/>
      <c r="BG1429"/>
      <c r="BH1429"/>
      <c r="BI1429"/>
      <c r="BJ1429"/>
      <c r="BK1429"/>
      <c r="BL1429"/>
      <c r="BM1429"/>
      <c r="BN1429"/>
      <c r="BO1429"/>
      <c r="BP1429"/>
      <c r="BQ1429"/>
      <c r="BR1429"/>
      <c r="BS1429"/>
      <c r="BT1429"/>
      <c r="BU1429"/>
      <c r="BV1429"/>
      <c r="BW1429"/>
      <c r="BX1429"/>
      <c r="BY1429"/>
      <c r="BZ1429"/>
      <c r="CA1429"/>
      <c r="CB1429"/>
      <c r="CC1429"/>
      <c r="CD1429"/>
      <c r="CE1429"/>
      <c r="CF1429"/>
      <c r="CG1429"/>
      <c r="CH1429"/>
      <c r="CI1429"/>
      <c r="CJ1429"/>
      <c r="CK1429"/>
      <c r="CL1429"/>
      <c r="CM1429"/>
      <c r="CN1429"/>
      <c r="CO1429"/>
      <c r="CP1429"/>
      <c r="CQ1429"/>
      <c r="CR1429"/>
      <c r="CS1429"/>
      <c r="CT1429"/>
      <c r="CU1429"/>
      <c r="CV1429"/>
      <c r="CW1429"/>
      <c r="CX1429"/>
      <c r="CY1429"/>
      <c r="CZ1429"/>
      <c r="DA1429"/>
      <c r="DB1429"/>
      <c r="DC1429"/>
      <c r="DD1429"/>
      <c r="DE1429"/>
      <c r="DF1429"/>
      <c r="DG1429"/>
      <c r="DH1429"/>
      <c r="DI1429"/>
      <c r="DJ1429"/>
      <c r="DK1429"/>
      <c r="DL1429"/>
      <c r="DM1429"/>
      <c r="DN1429"/>
      <c r="DO1429"/>
      <c r="DP1429"/>
      <c r="DQ1429"/>
      <c r="DR1429"/>
      <c r="DS1429"/>
      <c r="DT1429"/>
      <c r="DU1429"/>
      <c r="DV1429"/>
      <c r="DW1429"/>
      <c r="DX1429"/>
      <c r="DY1429"/>
      <c r="DZ1429"/>
      <c r="EA1429"/>
      <c r="EB1429"/>
      <c r="EC1429"/>
      <c r="ED1429"/>
      <c r="EE1429"/>
      <c r="EF1429"/>
      <c r="EG1429"/>
      <c r="EH1429"/>
      <c r="EI1429"/>
      <c r="EJ1429"/>
      <c r="EK1429"/>
      <c r="EL1429"/>
      <c r="EM1429"/>
      <c r="EN1429"/>
      <c r="EO1429"/>
      <c r="EP1429"/>
      <c r="EQ1429"/>
      <c r="ER1429"/>
      <c r="ES1429"/>
    </row>
    <row r="1430" spans="1:149">
      <c r="A1430"/>
      <c r="B1430"/>
      <c r="C1430"/>
      <c r="D1430"/>
      <c r="E1430"/>
      <c r="F1430"/>
      <c r="G1430"/>
      <c r="H1430"/>
      <c r="I1430"/>
      <c r="J1430"/>
      <c r="K1430"/>
      <c r="L1430"/>
      <c r="M1430"/>
      <c r="N1430"/>
      <c r="O1430"/>
      <c r="P1430"/>
      <c r="Q1430"/>
      <c r="R1430"/>
      <c r="S1430"/>
      <c r="T1430"/>
      <c r="U1430"/>
      <c r="V1430"/>
      <c r="W1430"/>
      <c r="X1430"/>
      <c r="Y1430"/>
      <c r="Z1430"/>
      <c r="AA1430"/>
      <c r="AB1430"/>
      <c r="AC1430"/>
      <c r="AD1430"/>
      <c r="AE1430"/>
      <c r="AF1430"/>
      <c r="AG1430"/>
      <c r="AH1430"/>
      <c r="AI1430"/>
      <c r="AJ1430"/>
      <c r="AK1430"/>
      <c r="AL1430"/>
      <c r="AM1430"/>
      <c r="AN1430"/>
      <c r="AO1430"/>
      <c r="AP1430"/>
      <c r="AQ1430"/>
      <c r="AR1430"/>
      <c r="AS1430"/>
      <c r="AT1430"/>
      <c r="AU1430"/>
      <c r="AV1430"/>
      <c r="AW1430"/>
      <c r="AX1430"/>
      <c r="AY1430"/>
      <c r="AZ1430"/>
      <c r="BA1430"/>
      <c r="BB1430"/>
      <c r="BC1430"/>
      <c r="BD1430"/>
      <c r="BE1430"/>
      <c r="BF1430"/>
      <c r="BG1430"/>
      <c r="BH1430"/>
      <c r="BI1430"/>
      <c r="BJ1430"/>
      <c r="BK1430"/>
      <c r="BL1430"/>
      <c r="BM1430"/>
      <c r="BN1430"/>
      <c r="BO1430"/>
      <c r="BP1430"/>
      <c r="BQ1430"/>
      <c r="BR1430"/>
      <c r="BS1430"/>
      <c r="BT1430"/>
      <c r="BU1430"/>
      <c r="BV1430"/>
      <c r="BW1430"/>
      <c r="BX1430"/>
      <c r="BY1430"/>
      <c r="BZ1430"/>
      <c r="CA1430"/>
      <c r="CB1430"/>
      <c r="CC1430"/>
      <c r="CD1430"/>
      <c r="CE1430"/>
      <c r="CF1430"/>
      <c r="CG1430"/>
      <c r="CH1430"/>
      <c r="CI1430"/>
      <c r="CJ1430"/>
      <c r="CK1430"/>
      <c r="CL1430"/>
      <c r="CM1430"/>
      <c r="CN1430"/>
      <c r="CO1430"/>
      <c r="CP1430"/>
      <c r="CQ1430"/>
      <c r="CR1430"/>
      <c r="CS1430"/>
      <c r="CT1430"/>
      <c r="CU1430"/>
      <c r="CV1430"/>
      <c r="CW1430"/>
      <c r="CX1430"/>
      <c r="CY1430"/>
      <c r="CZ1430"/>
      <c r="DA1430"/>
      <c r="DB1430"/>
      <c r="DC1430"/>
      <c r="DD1430"/>
      <c r="DE1430"/>
      <c r="DF1430"/>
      <c r="DG1430"/>
      <c r="DH1430"/>
      <c r="DI1430"/>
      <c r="DJ1430"/>
      <c r="DK1430"/>
      <c r="DL1430"/>
      <c r="DM1430"/>
      <c r="DN1430"/>
      <c r="DO1430"/>
      <c r="DP1430"/>
      <c r="DQ1430"/>
      <c r="DR1430"/>
      <c r="DS1430"/>
      <c r="DT1430"/>
      <c r="DU1430"/>
      <c r="DV1430"/>
      <c r="DW1430"/>
      <c r="DX1430"/>
      <c r="DY1430"/>
      <c r="DZ1430"/>
      <c r="EA1430"/>
      <c r="EB1430"/>
      <c r="EC1430"/>
      <c r="ED1430"/>
      <c r="EE1430"/>
      <c r="EF1430"/>
      <c r="EG1430"/>
      <c r="EH1430"/>
      <c r="EI1430"/>
      <c r="EJ1430"/>
      <c r="EK1430"/>
      <c r="EL1430"/>
      <c r="EM1430"/>
      <c r="EN1430"/>
      <c r="EO1430"/>
      <c r="EP1430"/>
      <c r="EQ1430"/>
      <c r="ER1430"/>
      <c r="ES1430"/>
    </row>
    <row r="1431" spans="1:149">
      <c r="A1431"/>
      <c r="B1431"/>
      <c r="C1431"/>
      <c r="D1431"/>
      <c r="E1431"/>
      <c r="F1431"/>
      <c r="G1431"/>
      <c r="H1431"/>
      <c r="I1431"/>
      <c r="J1431"/>
      <c r="K1431"/>
      <c r="L1431"/>
      <c r="M1431"/>
      <c r="N1431"/>
      <c r="O1431"/>
      <c r="P1431"/>
      <c r="Q1431"/>
      <c r="R1431"/>
      <c r="S1431"/>
      <c r="T1431"/>
      <c r="U1431"/>
      <c r="V1431"/>
      <c r="W1431"/>
      <c r="X1431"/>
      <c r="Y1431"/>
      <c r="Z1431"/>
      <c r="AA1431"/>
      <c r="AB1431"/>
      <c r="AC1431"/>
      <c r="AD1431"/>
      <c r="AE1431"/>
      <c r="AF1431"/>
      <c r="AG1431"/>
      <c r="AH1431"/>
      <c r="AI1431"/>
      <c r="AJ1431"/>
      <c r="AK1431"/>
      <c r="AL1431"/>
      <c r="AM1431"/>
      <c r="AN1431"/>
      <c r="AO1431"/>
      <c r="AP1431"/>
      <c r="AQ1431"/>
      <c r="AR1431"/>
      <c r="AS1431"/>
      <c r="AT1431"/>
      <c r="AU1431"/>
      <c r="AV1431"/>
      <c r="AW1431"/>
      <c r="AX1431"/>
      <c r="AY1431"/>
      <c r="AZ1431"/>
      <c r="BA1431"/>
      <c r="BB1431"/>
      <c r="BC1431"/>
      <c r="BD1431"/>
      <c r="BE1431"/>
      <c r="BF1431"/>
      <c r="BG1431"/>
      <c r="BH1431"/>
      <c r="BI1431"/>
      <c r="BJ1431"/>
      <c r="BK1431"/>
      <c r="BL1431"/>
      <c r="BM1431"/>
      <c r="BN1431"/>
      <c r="BO1431"/>
      <c r="BP1431"/>
      <c r="BQ1431"/>
      <c r="BR1431"/>
      <c r="BS1431"/>
      <c r="BT1431"/>
      <c r="BU1431"/>
      <c r="BV1431"/>
      <c r="BW1431"/>
      <c r="BX1431"/>
      <c r="BY1431"/>
      <c r="BZ1431"/>
      <c r="CA1431"/>
      <c r="CB1431"/>
      <c r="CC1431"/>
      <c r="CD1431"/>
      <c r="CE1431"/>
      <c r="CF1431"/>
      <c r="CG1431"/>
      <c r="CH1431"/>
      <c r="CI1431"/>
      <c r="CJ1431"/>
      <c r="CK1431"/>
      <c r="CL1431"/>
      <c r="CM1431"/>
      <c r="CN1431"/>
      <c r="CO1431"/>
      <c r="CP1431"/>
      <c r="CQ1431"/>
      <c r="CR1431"/>
      <c r="CS1431"/>
      <c r="CT1431"/>
      <c r="CU1431"/>
      <c r="CV1431"/>
      <c r="CW1431"/>
      <c r="CX1431"/>
      <c r="CY1431"/>
      <c r="CZ1431"/>
      <c r="DA1431"/>
      <c r="DB1431"/>
      <c r="DC1431"/>
      <c r="DD1431"/>
      <c r="DE1431"/>
      <c r="DF1431"/>
      <c r="DG1431"/>
      <c r="DH1431"/>
      <c r="DI1431"/>
      <c r="DJ1431"/>
      <c r="DK1431"/>
      <c r="DL1431"/>
      <c r="DM1431"/>
      <c r="DN1431"/>
      <c r="DO1431"/>
      <c r="DP1431"/>
      <c r="DQ1431"/>
      <c r="DR1431"/>
      <c r="DS1431"/>
      <c r="DT1431"/>
      <c r="DU1431"/>
      <c r="DV1431"/>
      <c r="DW1431"/>
      <c r="DX1431"/>
      <c r="DY1431"/>
      <c r="DZ1431"/>
      <c r="EA1431"/>
      <c r="EB1431"/>
      <c r="EC1431"/>
      <c r="ED1431"/>
      <c r="EE1431"/>
      <c r="EF1431"/>
      <c r="EG1431"/>
      <c r="EH1431"/>
      <c r="EI1431"/>
      <c r="EJ1431"/>
      <c r="EK1431"/>
      <c r="EL1431"/>
      <c r="EM1431"/>
      <c r="EN1431"/>
      <c r="EO1431"/>
      <c r="EP1431"/>
      <c r="EQ1431"/>
      <c r="ER1431"/>
      <c r="ES1431"/>
    </row>
    <row r="1432" spans="1:149">
      <c r="A1432"/>
      <c r="B1432"/>
      <c r="C1432"/>
      <c r="D1432"/>
      <c r="E1432"/>
      <c r="F1432"/>
      <c r="G1432"/>
      <c r="H1432"/>
      <c r="I1432"/>
      <c r="J1432"/>
      <c r="K1432"/>
      <c r="L1432"/>
      <c r="M1432"/>
      <c r="N1432"/>
      <c r="O1432"/>
      <c r="P1432"/>
      <c r="Q1432"/>
      <c r="R1432"/>
      <c r="S1432"/>
      <c r="T1432"/>
      <c r="U1432"/>
      <c r="V1432"/>
      <c r="W1432"/>
      <c r="X1432"/>
      <c r="Y1432"/>
      <c r="Z1432"/>
      <c r="AA1432"/>
      <c r="AB1432"/>
      <c r="AC1432"/>
      <c r="AD1432"/>
      <c r="AE1432"/>
      <c r="AF1432"/>
      <c r="AG1432"/>
      <c r="AH1432"/>
      <c r="AI1432"/>
      <c r="AJ1432"/>
      <c r="AK1432"/>
      <c r="AL1432"/>
      <c r="AM1432"/>
      <c r="AN1432"/>
      <c r="AO1432"/>
      <c r="AP1432"/>
      <c r="AQ1432"/>
      <c r="AR1432"/>
      <c r="AS1432"/>
      <c r="AT1432"/>
      <c r="AU1432"/>
      <c r="AV1432"/>
      <c r="AW1432"/>
      <c r="AX1432"/>
      <c r="AY1432"/>
      <c r="AZ1432"/>
      <c r="BA1432"/>
      <c r="BB1432"/>
      <c r="BC1432"/>
      <c r="BD1432"/>
      <c r="BE1432"/>
      <c r="BF1432"/>
      <c r="BG1432"/>
      <c r="BH1432"/>
      <c r="BI1432"/>
      <c r="BJ1432"/>
      <c r="BK1432"/>
      <c r="BL1432"/>
      <c r="BM1432"/>
      <c r="BN1432"/>
      <c r="BO1432"/>
      <c r="BP1432"/>
      <c r="BQ1432"/>
      <c r="BR1432"/>
      <c r="BS1432"/>
      <c r="BT1432"/>
      <c r="BU1432"/>
      <c r="BV1432"/>
      <c r="BW1432"/>
      <c r="BX1432"/>
      <c r="BY1432"/>
      <c r="BZ1432"/>
      <c r="CA1432"/>
      <c r="CB1432"/>
      <c r="CC1432"/>
      <c r="CD1432"/>
      <c r="CE1432"/>
      <c r="CF1432"/>
      <c r="CG1432"/>
      <c r="CH1432"/>
      <c r="CI1432"/>
      <c r="CJ1432"/>
      <c r="CK1432"/>
      <c r="CL1432"/>
      <c r="CM1432"/>
      <c r="CN1432"/>
      <c r="CO1432"/>
      <c r="CP1432"/>
      <c r="CQ1432"/>
      <c r="CR1432"/>
      <c r="CS1432"/>
      <c r="CT1432"/>
      <c r="CU1432"/>
      <c r="CV1432"/>
      <c r="CW1432"/>
      <c r="CX1432"/>
      <c r="CY1432"/>
      <c r="CZ1432"/>
      <c r="DA1432"/>
      <c r="DB1432"/>
      <c r="DC1432"/>
      <c r="DD1432"/>
      <c r="DE1432"/>
      <c r="DF1432"/>
      <c r="DG1432"/>
      <c r="DH1432"/>
      <c r="DI1432"/>
      <c r="DJ1432"/>
      <c r="DK1432"/>
      <c r="DL1432"/>
      <c r="DM1432"/>
      <c r="DN1432"/>
      <c r="DO1432"/>
      <c r="DP1432"/>
      <c r="DQ1432"/>
      <c r="DR1432"/>
      <c r="DS1432"/>
      <c r="DT1432"/>
      <c r="DU1432"/>
      <c r="DV1432"/>
      <c r="DW1432"/>
      <c r="DX1432"/>
      <c r="DY1432"/>
      <c r="DZ1432"/>
      <c r="EA1432"/>
      <c r="EB1432"/>
      <c r="EC1432"/>
      <c r="ED1432"/>
      <c r="EE1432"/>
      <c r="EF1432"/>
      <c r="EG1432"/>
      <c r="EH1432"/>
      <c r="EI1432"/>
      <c r="EJ1432"/>
      <c r="EK1432"/>
      <c r="EL1432"/>
      <c r="EM1432"/>
      <c r="EN1432"/>
      <c r="EO1432"/>
      <c r="EP1432"/>
      <c r="EQ1432"/>
      <c r="ER1432"/>
      <c r="ES1432"/>
    </row>
    <row r="1433" spans="1:149">
      <c r="A1433"/>
      <c r="B1433"/>
      <c r="C1433"/>
      <c r="D1433"/>
      <c r="E1433"/>
      <c r="F1433"/>
      <c r="G1433"/>
      <c r="H1433"/>
      <c r="I1433"/>
      <c r="J1433"/>
      <c r="K1433"/>
      <c r="L1433"/>
      <c r="M1433"/>
      <c r="N1433"/>
      <c r="O1433"/>
      <c r="P1433"/>
      <c r="Q1433"/>
      <c r="R1433"/>
      <c r="S1433"/>
      <c r="T1433"/>
      <c r="U1433"/>
      <c r="V1433"/>
      <c r="W1433"/>
      <c r="X1433"/>
      <c r="Y1433"/>
      <c r="Z1433"/>
      <c r="AA1433"/>
      <c r="AB1433"/>
      <c r="AC1433"/>
      <c r="AD1433"/>
      <c r="AE1433"/>
      <c r="AF1433"/>
      <c r="AG1433"/>
      <c r="AH1433"/>
      <c r="AI1433"/>
      <c r="AJ1433"/>
      <c r="AK1433"/>
      <c r="AL1433"/>
      <c r="AM1433"/>
      <c r="AN1433"/>
      <c r="AO1433"/>
      <c r="AP1433"/>
      <c r="AQ1433"/>
      <c r="AR1433"/>
      <c r="AS1433"/>
      <c r="AT1433"/>
      <c r="AU1433"/>
      <c r="AV1433"/>
      <c r="AW1433"/>
      <c r="AX1433"/>
      <c r="AY1433"/>
      <c r="AZ1433"/>
      <c r="BA1433"/>
      <c r="BB1433"/>
      <c r="BC1433"/>
      <c r="BD1433"/>
      <c r="BE1433"/>
      <c r="BF1433"/>
      <c r="BG1433"/>
      <c r="BH1433"/>
      <c r="BI1433"/>
      <c r="BJ1433"/>
      <c r="BK1433"/>
      <c r="BL1433"/>
      <c r="BM1433"/>
      <c r="BN1433"/>
      <c r="BO1433"/>
      <c r="BP1433"/>
      <c r="BQ1433"/>
      <c r="BR1433"/>
      <c r="BS1433"/>
      <c r="BT1433"/>
      <c r="BU1433"/>
      <c r="BV1433"/>
      <c r="BW1433"/>
      <c r="BX1433"/>
      <c r="BY1433"/>
      <c r="BZ1433"/>
      <c r="CA1433"/>
      <c r="CB1433"/>
      <c r="CC1433"/>
      <c r="CD1433"/>
      <c r="CE1433"/>
      <c r="CF1433"/>
      <c r="CG1433"/>
      <c r="CH1433"/>
      <c r="CI1433"/>
      <c r="CJ1433"/>
      <c r="CK1433"/>
      <c r="CL1433"/>
      <c r="CM1433"/>
      <c r="CN1433"/>
      <c r="CO1433"/>
      <c r="CP1433"/>
      <c r="CQ1433"/>
      <c r="CR1433"/>
      <c r="CS1433"/>
      <c r="CT1433"/>
      <c r="CU1433"/>
      <c r="CV1433"/>
      <c r="CW1433"/>
      <c r="CX1433"/>
      <c r="CY1433"/>
      <c r="CZ1433"/>
      <c r="DA1433"/>
      <c r="DB1433"/>
      <c r="DC1433"/>
      <c r="DD1433"/>
      <c r="DE1433"/>
      <c r="DF1433"/>
      <c r="DG1433"/>
      <c r="DH1433"/>
      <c r="DI1433"/>
      <c r="DJ1433"/>
      <c r="DK1433"/>
      <c r="DL1433"/>
      <c r="DM1433"/>
      <c r="DN1433"/>
      <c r="DO1433"/>
      <c r="DP1433"/>
      <c r="DQ1433"/>
      <c r="DR1433"/>
      <c r="DS1433"/>
      <c r="DT1433"/>
      <c r="DU1433"/>
      <c r="DV1433"/>
      <c r="DW1433"/>
      <c r="DX1433"/>
      <c r="DY1433"/>
      <c r="DZ1433"/>
      <c r="EA1433"/>
      <c r="EB1433"/>
      <c r="EC1433"/>
      <c r="ED1433"/>
      <c r="EE1433"/>
      <c r="EF1433"/>
      <c r="EG1433"/>
      <c r="EH1433"/>
      <c r="EI1433"/>
      <c r="EJ1433"/>
      <c r="EK1433"/>
      <c r="EL1433"/>
      <c r="EM1433"/>
      <c r="EN1433"/>
      <c r="EO1433"/>
      <c r="EP1433"/>
      <c r="EQ1433"/>
      <c r="ER1433"/>
      <c r="ES1433"/>
    </row>
    <row r="1434" spans="1:149">
      <c r="A1434"/>
      <c r="B1434"/>
      <c r="C1434"/>
      <c r="D1434"/>
      <c r="E1434"/>
      <c r="F1434"/>
      <c r="G1434"/>
      <c r="H1434"/>
      <c r="I1434"/>
      <c r="J1434"/>
      <c r="K1434"/>
      <c r="L1434"/>
      <c r="M1434"/>
      <c r="N1434"/>
      <c r="O1434"/>
      <c r="P1434"/>
      <c r="Q1434"/>
      <c r="R1434"/>
      <c r="S1434"/>
      <c r="T1434"/>
      <c r="U1434"/>
      <c r="V1434"/>
      <c r="W1434"/>
      <c r="X1434"/>
      <c r="Y1434"/>
      <c r="Z1434"/>
      <c r="AA1434"/>
      <c r="AB1434"/>
      <c r="AC1434"/>
      <c r="AD1434"/>
      <c r="AE1434"/>
      <c r="AF1434"/>
      <c r="AG1434"/>
      <c r="AH1434"/>
      <c r="AI1434"/>
      <c r="AJ1434"/>
      <c r="AK1434"/>
      <c r="AL1434"/>
      <c r="AM1434"/>
      <c r="AN1434"/>
      <c r="AO1434"/>
      <c r="AP1434"/>
      <c r="AQ1434"/>
      <c r="AR1434"/>
      <c r="AS1434"/>
      <c r="AT1434"/>
      <c r="AU1434"/>
      <c r="AV1434"/>
      <c r="AW1434"/>
      <c r="AX1434"/>
      <c r="AY1434"/>
      <c r="AZ1434"/>
      <c r="BA1434"/>
      <c r="BB1434"/>
      <c r="BC1434"/>
      <c r="BD1434"/>
      <c r="BE1434"/>
      <c r="BF1434"/>
      <c r="BG1434"/>
      <c r="BH1434"/>
      <c r="BI1434"/>
      <c r="BJ1434"/>
      <c r="BK1434"/>
      <c r="BL1434"/>
      <c r="BM1434"/>
      <c r="BN1434"/>
      <c r="BO1434"/>
      <c r="BP1434"/>
      <c r="BQ1434"/>
      <c r="BR1434"/>
      <c r="BS1434"/>
      <c r="BT1434"/>
      <c r="BU1434"/>
      <c r="BV1434"/>
      <c r="BW1434"/>
      <c r="BX1434"/>
      <c r="BY1434"/>
      <c r="BZ1434"/>
      <c r="CA1434"/>
      <c r="CB1434"/>
      <c r="CC1434"/>
      <c r="CD1434"/>
      <c r="CE1434"/>
      <c r="CF1434"/>
      <c r="CG1434"/>
      <c r="CH1434"/>
      <c r="CI1434"/>
      <c r="CJ1434"/>
      <c r="CK1434"/>
      <c r="CL1434"/>
      <c r="CM1434"/>
      <c r="CN1434"/>
      <c r="CO1434"/>
      <c r="CP1434"/>
      <c r="CQ1434"/>
      <c r="CR1434"/>
      <c r="CS1434"/>
      <c r="CT1434"/>
      <c r="CU1434"/>
      <c r="CV1434"/>
      <c r="CW1434"/>
      <c r="CX1434"/>
      <c r="CY1434"/>
      <c r="CZ1434"/>
      <c r="DA1434"/>
      <c r="DB1434"/>
      <c r="DC1434"/>
      <c r="DD1434"/>
      <c r="DE1434"/>
      <c r="DF1434"/>
      <c r="DG1434"/>
      <c r="DH1434"/>
      <c r="DI1434"/>
      <c r="DJ1434"/>
      <c r="DK1434"/>
      <c r="DL1434"/>
      <c r="DM1434"/>
      <c r="DN1434"/>
      <c r="DO1434"/>
      <c r="DP1434"/>
      <c r="DQ1434"/>
      <c r="DR1434"/>
      <c r="DS1434"/>
      <c r="DT1434"/>
      <c r="DU1434"/>
      <c r="DV1434"/>
      <c r="DW1434"/>
      <c r="DX1434"/>
      <c r="DY1434"/>
      <c r="DZ1434"/>
      <c r="EA1434"/>
      <c r="EB1434"/>
      <c r="EC1434"/>
      <c r="ED1434"/>
      <c r="EE1434"/>
      <c r="EF1434"/>
      <c r="EG1434"/>
      <c r="EH1434"/>
      <c r="EI1434"/>
      <c r="EJ1434"/>
      <c r="EK1434"/>
      <c r="EL1434"/>
      <c r="EM1434"/>
      <c r="EN1434"/>
      <c r="EO1434"/>
      <c r="EP1434"/>
      <c r="EQ1434"/>
      <c r="ER1434"/>
      <c r="ES1434"/>
    </row>
    <row r="1435" spans="1:149">
      <c r="A1435"/>
      <c r="B1435"/>
      <c r="C1435"/>
      <c r="D1435"/>
      <c r="E1435"/>
      <c r="F1435"/>
      <c r="G1435"/>
      <c r="H1435"/>
      <c r="I1435"/>
      <c r="J1435"/>
      <c r="K1435"/>
      <c r="L1435"/>
      <c r="M1435"/>
      <c r="N1435"/>
      <c r="O1435"/>
      <c r="P1435"/>
      <c r="Q1435"/>
      <c r="R1435"/>
      <c r="S1435"/>
      <c r="T1435"/>
      <c r="U1435"/>
      <c r="V1435"/>
      <c r="W1435"/>
      <c r="X1435"/>
      <c r="Y1435"/>
      <c r="Z1435"/>
      <c r="AA1435"/>
      <c r="AB1435"/>
      <c r="AC1435"/>
      <c r="AD1435"/>
      <c r="AE1435"/>
      <c r="AF1435"/>
      <c r="AG1435"/>
      <c r="AH1435"/>
      <c r="AI1435"/>
      <c r="AJ1435"/>
      <c r="AK1435"/>
      <c r="AL1435"/>
      <c r="AM1435"/>
      <c r="AN1435"/>
      <c r="AO1435"/>
      <c r="AP1435"/>
      <c r="AQ1435"/>
      <c r="AR1435"/>
      <c r="AS1435"/>
      <c r="AT1435"/>
      <c r="AU1435"/>
      <c r="AV1435"/>
      <c r="AW1435"/>
      <c r="AX1435"/>
      <c r="AY1435"/>
      <c r="AZ1435"/>
      <c r="BA1435"/>
      <c r="BB1435"/>
      <c r="BC1435"/>
      <c r="BD1435"/>
      <c r="BE1435"/>
      <c r="BF1435"/>
      <c r="BG1435"/>
      <c r="BH1435"/>
      <c r="BI1435"/>
      <c r="BJ1435"/>
      <c r="BK1435"/>
      <c r="BL1435"/>
      <c r="BM1435"/>
      <c r="BN1435"/>
      <c r="BO1435"/>
      <c r="BP1435"/>
      <c r="BQ1435"/>
      <c r="BR1435"/>
      <c r="BS1435"/>
      <c r="BT1435"/>
      <c r="BU1435"/>
      <c r="BV1435"/>
      <c r="BW1435"/>
      <c r="BX1435"/>
      <c r="BY1435"/>
      <c r="BZ1435"/>
      <c r="CA1435"/>
      <c r="CB1435"/>
      <c r="CC1435"/>
      <c r="CD1435"/>
      <c r="CE1435"/>
      <c r="CF1435"/>
      <c r="CG1435"/>
      <c r="CH1435"/>
      <c r="CI1435"/>
      <c r="CJ1435"/>
      <c r="CK1435"/>
      <c r="CL1435"/>
      <c r="CM1435"/>
      <c r="CN1435"/>
      <c r="CO1435"/>
      <c r="CP1435"/>
      <c r="CQ1435"/>
      <c r="CR1435"/>
      <c r="CS1435"/>
      <c r="CT1435"/>
      <c r="CU1435"/>
      <c r="CV1435"/>
      <c r="CW1435"/>
      <c r="CX1435"/>
      <c r="CY1435"/>
      <c r="CZ1435"/>
      <c r="DA1435"/>
      <c r="DB1435"/>
      <c r="DC1435"/>
      <c r="DD1435"/>
      <c r="DE1435"/>
      <c r="DF1435"/>
      <c r="DG1435"/>
      <c r="DH1435"/>
      <c r="DI1435"/>
      <c r="DJ1435"/>
      <c r="DK1435"/>
      <c r="DL1435"/>
      <c r="DM1435"/>
      <c r="DN1435"/>
      <c r="DO1435"/>
      <c r="DP1435"/>
      <c r="DQ1435"/>
      <c r="DR1435"/>
      <c r="DS1435"/>
      <c r="DT1435"/>
      <c r="DU1435"/>
      <c r="DV1435"/>
      <c r="DW1435"/>
      <c r="DX1435"/>
      <c r="DY1435"/>
      <c r="DZ1435"/>
      <c r="EA1435"/>
      <c r="EB1435"/>
      <c r="EC1435"/>
      <c r="ED1435"/>
      <c r="EE1435"/>
      <c r="EF1435"/>
      <c r="EG1435"/>
      <c r="EH1435"/>
      <c r="EI1435"/>
      <c r="EJ1435"/>
      <c r="EK1435"/>
      <c r="EL1435"/>
      <c r="EM1435"/>
      <c r="EN1435"/>
      <c r="EO1435"/>
      <c r="EP1435"/>
      <c r="EQ1435"/>
      <c r="ER1435"/>
      <c r="ES1435"/>
    </row>
    <row r="1436" spans="1:149">
      <c r="A1436"/>
      <c r="B1436"/>
      <c r="C1436"/>
      <c r="D1436"/>
      <c r="E1436"/>
      <c r="F1436"/>
      <c r="G1436"/>
      <c r="H1436"/>
      <c r="I1436"/>
      <c r="J1436"/>
      <c r="K1436"/>
      <c r="L1436"/>
      <c r="M1436"/>
      <c r="N1436"/>
      <c r="O1436"/>
      <c r="P1436"/>
      <c r="Q1436"/>
      <c r="R1436"/>
      <c r="S1436"/>
      <c r="T1436"/>
      <c r="U1436"/>
      <c r="V1436"/>
      <c r="W1436"/>
      <c r="X1436"/>
      <c r="Y1436"/>
      <c r="Z1436"/>
      <c r="AA1436"/>
      <c r="AB1436"/>
      <c r="AC1436"/>
      <c r="AD1436"/>
      <c r="AE1436"/>
      <c r="AF1436"/>
      <c r="AG1436"/>
      <c r="AH1436"/>
      <c r="AI1436"/>
      <c r="AJ1436"/>
      <c r="AK1436"/>
      <c r="AL1436"/>
      <c r="AM1436"/>
      <c r="AN1436"/>
      <c r="AO1436"/>
      <c r="AP1436"/>
      <c r="AQ1436"/>
      <c r="AR1436"/>
      <c r="AS1436"/>
      <c r="AT1436"/>
      <c r="AU1436"/>
      <c r="AV1436"/>
      <c r="AW1436"/>
      <c r="AX1436"/>
      <c r="AY1436"/>
      <c r="AZ1436"/>
      <c r="BA1436"/>
      <c r="BB1436"/>
      <c r="BC1436"/>
      <c r="BD1436"/>
      <c r="BE1436"/>
      <c r="BF1436"/>
      <c r="BG1436"/>
      <c r="BH1436"/>
      <c r="BI1436"/>
      <c r="BJ1436"/>
      <c r="BK1436"/>
      <c r="BL1436"/>
      <c r="BM1436"/>
      <c r="BN1436"/>
      <c r="BO1436"/>
      <c r="BP1436"/>
      <c r="BQ1436"/>
      <c r="BR1436"/>
      <c r="BS1436"/>
      <c r="BT1436"/>
      <c r="BU1436"/>
      <c r="BV1436"/>
      <c r="BW1436"/>
      <c r="BX1436"/>
      <c r="BY1436"/>
      <c r="BZ1436"/>
      <c r="CA1436"/>
      <c r="CB1436"/>
      <c r="CC1436"/>
      <c r="CD1436"/>
      <c r="CE1436"/>
      <c r="CF1436"/>
      <c r="CG1436"/>
      <c r="CH1436"/>
      <c r="CI1436"/>
      <c r="CJ1436"/>
      <c r="CK1436"/>
      <c r="CL1436"/>
      <c r="CM1436"/>
      <c r="CN1436"/>
      <c r="CO1436"/>
      <c r="CP1436"/>
      <c r="CQ1436"/>
      <c r="CR1436"/>
      <c r="CS1436"/>
      <c r="CT1436"/>
      <c r="CU1436"/>
      <c r="CV1436"/>
      <c r="CW1436"/>
      <c r="CX1436"/>
      <c r="CY1436"/>
      <c r="CZ1436"/>
      <c r="DA1436"/>
      <c r="DB1436"/>
      <c r="DC1436"/>
      <c r="DD1436"/>
      <c r="DE1436"/>
      <c r="DF1436"/>
      <c r="DG1436"/>
      <c r="DH1436"/>
      <c r="DI1436"/>
      <c r="DJ1436"/>
      <c r="DK1436"/>
      <c r="DL1436"/>
      <c r="DM1436"/>
      <c r="DN1436"/>
      <c r="DO1436"/>
      <c r="DP1436"/>
      <c r="DQ1436"/>
      <c r="DR1436"/>
      <c r="DS1436"/>
      <c r="DT1436"/>
      <c r="DU1436"/>
      <c r="DV1436"/>
      <c r="DW1436"/>
      <c r="DX1436"/>
      <c r="DY1436"/>
      <c r="DZ1436"/>
      <c r="EA1436"/>
      <c r="EB1436"/>
      <c r="EC1436"/>
      <c r="ED1436"/>
      <c r="EE1436"/>
      <c r="EF1436"/>
      <c r="EG1436"/>
      <c r="EH1436"/>
      <c r="EI1436"/>
      <c r="EJ1436"/>
      <c r="EK1436"/>
      <c r="EL1436"/>
      <c r="EM1436"/>
      <c r="EN1436"/>
      <c r="EO1436"/>
      <c r="EP1436"/>
      <c r="EQ1436"/>
      <c r="ER1436"/>
      <c r="ES1436"/>
    </row>
    <row r="1437" spans="1:149">
      <c r="A1437"/>
      <c r="B1437"/>
      <c r="C1437"/>
      <c r="D1437"/>
      <c r="E1437"/>
      <c r="F1437"/>
      <c r="G1437"/>
      <c r="H1437"/>
      <c r="I1437"/>
      <c r="J1437"/>
      <c r="K1437"/>
      <c r="L1437"/>
      <c r="M1437"/>
      <c r="N1437"/>
      <c r="O1437"/>
      <c r="P1437"/>
      <c r="Q1437"/>
      <c r="R1437"/>
      <c r="S1437"/>
      <c r="T1437"/>
      <c r="U1437"/>
      <c r="V1437"/>
      <c r="W1437"/>
      <c r="X1437"/>
      <c r="Y1437"/>
      <c r="Z1437"/>
      <c r="AA1437"/>
      <c r="AB1437"/>
      <c r="AC1437"/>
      <c r="AD1437"/>
      <c r="AE1437"/>
      <c r="AF1437"/>
      <c r="AG1437"/>
      <c r="AH1437"/>
      <c r="AI1437"/>
      <c r="AJ1437"/>
      <c r="AK1437"/>
      <c r="AL1437"/>
      <c r="AM1437"/>
      <c r="AN1437"/>
      <c r="AO1437"/>
      <c r="AP1437"/>
      <c r="AQ1437"/>
      <c r="AR1437"/>
      <c r="AS1437"/>
      <c r="AT1437"/>
      <c r="AU1437"/>
      <c r="AV1437"/>
      <c r="AW1437"/>
      <c r="AX1437"/>
      <c r="AY1437"/>
      <c r="AZ1437"/>
      <c r="BA1437"/>
      <c r="BB1437"/>
      <c r="BC1437"/>
      <c r="BD1437"/>
      <c r="BE1437"/>
      <c r="BF1437"/>
      <c r="BG1437"/>
      <c r="BH1437"/>
      <c r="BI1437"/>
      <c r="BJ1437"/>
      <c r="BK1437"/>
      <c r="BL1437"/>
      <c r="BM1437"/>
      <c r="BN1437"/>
      <c r="BO1437"/>
      <c r="BP1437"/>
      <c r="BQ1437"/>
      <c r="BR1437"/>
      <c r="BS1437"/>
      <c r="BT1437"/>
      <c r="BU1437"/>
      <c r="BV1437"/>
      <c r="BW1437"/>
      <c r="BX1437"/>
      <c r="BY1437"/>
      <c r="BZ1437"/>
      <c r="CA1437"/>
      <c r="CB1437"/>
      <c r="CC1437"/>
      <c r="CD1437"/>
      <c r="CE1437"/>
      <c r="CF1437"/>
      <c r="CG1437"/>
      <c r="CH1437"/>
      <c r="CI1437"/>
      <c r="CJ1437"/>
      <c r="CK1437"/>
      <c r="CL1437"/>
      <c r="CM1437"/>
      <c r="CN1437"/>
      <c r="CO1437"/>
      <c r="CP1437"/>
      <c r="CQ1437"/>
      <c r="CR1437"/>
      <c r="CS1437"/>
      <c r="CT1437"/>
      <c r="CU1437"/>
      <c r="CV1437"/>
      <c r="CW1437"/>
      <c r="CX1437"/>
      <c r="CY1437"/>
      <c r="CZ1437"/>
      <c r="DA1437"/>
      <c r="DB1437"/>
      <c r="DC1437"/>
      <c r="DD1437"/>
      <c r="DE1437"/>
      <c r="DF1437"/>
      <c r="DG1437"/>
      <c r="DH1437"/>
      <c r="DI1437"/>
      <c r="DJ1437"/>
      <c r="DK1437"/>
      <c r="DL1437"/>
      <c r="DM1437"/>
      <c r="DN1437"/>
      <c r="DO1437"/>
      <c r="DP1437"/>
      <c r="DQ1437"/>
      <c r="DR1437"/>
      <c r="DS1437"/>
      <c r="DT1437"/>
      <c r="DU1437"/>
      <c r="DV1437"/>
      <c r="DW1437"/>
      <c r="DX1437"/>
      <c r="DY1437"/>
      <c r="DZ1437"/>
      <c r="EA1437"/>
      <c r="EB1437"/>
      <c r="EC1437"/>
      <c r="ED1437"/>
      <c r="EE1437"/>
      <c r="EF1437"/>
      <c r="EG1437"/>
      <c r="EH1437"/>
      <c r="EI1437"/>
      <c r="EJ1437"/>
      <c r="EK1437"/>
      <c r="EL1437"/>
      <c r="EM1437"/>
      <c r="EN1437"/>
      <c r="EO1437"/>
      <c r="EP1437"/>
      <c r="EQ1437"/>
      <c r="ER1437"/>
      <c r="ES1437"/>
    </row>
    <row r="1438" spans="1:149">
      <c r="A1438"/>
      <c r="B1438"/>
      <c r="C1438"/>
      <c r="D1438"/>
      <c r="E1438"/>
      <c r="F1438"/>
      <c r="G1438"/>
      <c r="H1438"/>
      <c r="I1438"/>
      <c r="J1438"/>
      <c r="K1438"/>
      <c r="L1438"/>
      <c r="M1438"/>
      <c r="N1438"/>
      <c r="O1438"/>
      <c r="P1438"/>
      <c r="Q1438"/>
      <c r="R1438"/>
      <c r="S1438"/>
      <c r="T1438"/>
      <c r="U1438"/>
      <c r="V1438"/>
      <c r="W1438"/>
      <c r="X1438"/>
      <c r="Y1438"/>
      <c r="Z1438"/>
      <c r="AA1438"/>
      <c r="AB1438"/>
      <c r="AC1438"/>
      <c r="AD1438"/>
      <c r="AE1438"/>
      <c r="AF1438"/>
      <c r="AG1438"/>
      <c r="AH1438"/>
      <c r="AI1438"/>
      <c r="AJ1438"/>
      <c r="AK1438"/>
      <c r="AL1438"/>
      <c r="AM1438"/>
      <c r="AN1438"/>
      <c r="AO1438"/>
      <c r="AP1438"/>
      <c r="AQ1438"/>
      <c r="AR1438"/>
      <c r="AS1438"/>
      <c r="AT1438"/>
      <c r="AU1438"/>
      <c r="AV1438"/>
      <c r="AW1438"/>
      <c r="AX1438"/>
      <c r="AY1438"/>
      <c r="AZ1438"/>
      <c r="BA1438"/>
      <c r="BB1438"/>
      <c r="BC1438"/>
      <c r="BD1438"/>
      <c r="BE1438"/>
      <c r="BF1438"/>
      <c r="BG1438"/>
      <c r="BH1438"/>
      <c r="BI1438"/>
      <c r="BJ1438"/>
      <c r="BK1438"/>
      <c r="BL1438"/>
      <c r="BM1438"/>
      <c r="BN1438"/>
      <c r="BO1438"/>
      <c r="BP1438"/>
      <c r="BQ1438"/>
      <c r="BR1438"/>
      <c r="BS1438"/>
      <c r="BT1438"/>
      <c r="BU1438"/>
      <c r="BV1438"/>
      <c r="BW1438"/>
      <c r="BX1438"/>
      <c r="BY1438"/>
      <c r="BZ1438"/>
      <c r="CA1438"/>
      <c r="CB1438"/>
      <c r="CC1438"/>
      <c r="CD1438"/>
      <c r="CE1438"/>
      <c r="CF1438"/>
      <c r="CG1438"/>
      <c r="CH1438"/>
      <c r="CI1438"/>
      <c r="CJ1438"/>
      <c r="CK1438"/>
      <c r="CL1438"/>
      <c r="CM1438"/>
      <c r="CN1438"/>
      <c r="CO1438"/>
      <c r="CP1438"/>
      <c r="CQ1438"/>
      <c r="CR1438"/>
      <c r="CS1438"/>
      <c r="CT1438"/>
      <c r="CU1438"/>
      <c r="CV1438"/>
      <c r="CW1438"/>
      <c r="CX1438"/>
      <c r="CY1438"/>
      <c r="CZ1438"/>
      <c r="DA1438"/>
      <c r="DB1438"/>
      <c r="DC1438"/>
      <c r="DD1438"/>
      <c r="DE1438"/>
      <c r="DF1438"/>
      <c r="DG1438"/>
      <c r="DH1438"/>
      <c r="DI1438"/>
      <c r="DJ1438"/>
      <c r="DK1438"/>
      <c r="DL1438"/>
      <c r="DM1438"/>
      <c r="DN1438"/>
      <c r="DO1438"/>
      <c r="DP1438"/>
      <c r="DQ1438"/>
      <c r="DR1438"/>
      <c r="DS1438"/>
      <c r="DT1438"/>
      <c r="DU1438"/>
      <c r="DV1438"/>
      <c r="DW1438"/>
      <c r="DX1438"/>
      <c r="DY1438"/>
      <c r="DZ1438"/>
      <c r="EA1438"/>
      <c r="EB1438"/>
      <c r="EC1438"/>
      <c r="ED1438"/>
      <c r="EE1438"/>
      <c r="EF1438"/>
      <c r="EG1438"/>
      <c r="EH1438"/>
      <c r="EI1438"/>
      <c r="EJ1438"/>
      <c r="EK1438"/>
      <c r="EL1438"/>
      <c r="EM1438"/>
      <c r="EN1438"/>
      <c r="EO1438"/>
      <c r="EP1438"/>
      <c r="EQ1438"/>
      <c r="ER1438"/>
      <c r="ES1438"/>
    </row>
    <row r="1439" spans="1:149">
      <c r="A1439"/>
      <c r="B1439"/>
      <c r="C1439"/>
      <c r="D1439"/>
      <c r="E1439"/>
      <c r="F1439"/>
      <c r="G1439"/>
      <c r="H1439"/>
      <c r="I1439"/>
      <c r="J1439"/>
      <c r="K1439"/>
      <c r="L1439"/>
      <c r="M1439"/>
      <c r="N1439"/>
      <c r="O1439"/>
      <c r="P1439"/>
      <c r="Q1439"/>
      <c r="R1439"/>
      <c r="S1439"/>
      <c r="T1439"/>
      <c r="U1439"/>
      <c r="V1439"/>
      <c r="W1439"/>
      <c r="X1439"/>
      <c r="Y1439"/>
      <c r="Z1439"/>
      <c r="AA1439"/>
      <c r="AB1439"/>
      <c r="AC1439"/>
      <c r="AD1439"/>
      <c r="AE1439"/>
      <c r="AF1439"/>
      <c r="AG1439"/>
      <c r="AH1439"/>
      <c r="AI1439"/>
      <c r="AJ1439"/>
      <c r="AK1439"/>
      <c r="AL1439"/>
      <c r="AM1439"/>
      <c r="AN1439"/>
      <c r="AO1439"/>
      <c r="AP1439"/>
      <c r="AQ1439"/>
      <c r="AR1439"/>
      <c r="AS1439"/>
      <c r="AT1439"/>
      <c r="AU1439"/>
      <c r="AV1439"/>
      <c r="AW1439"/>
      <c r="AX1439"/>
      <c r="AY1439"/>
      <c r="AZ1439"/>
      <c r="BA1439"/>
      <c r="BB1439"/>
      <c r="BC1439"/>
      <c r="BD1439"/>
      <c r="BE1439"/>
      <c r="BF1439"/>
      <c r="BG1439"/>
      <c r="BH1439"/>
      <c r="BI1439"/>
      <c r="BJ1439"/>
      <c r="BK1439"/>
      <c r="BL1439"/>
      <c r="BM1439"/>
      <c r="BN1439"/>
      <c r="BO1439"/>
      <c r="BP1439"/>
      <c r="BQ1439"/>
      <c r="BR1439"/>
      <c r="BS1439"/>
      <c r="BT1439"/>
      <c r="BU1439"/>
      <c r="BV1439"/>
      <c r="BW1439"/>
      <c r="BX1439"/>
      <c r="BY1439"/>
      <c r="BZ1439"/>
      <c r="CA1439"/>
      <c r="CB1439"/>
      <c r="CC1439"/>
      <c r="CD1439"/>
      <c r="CE1439"/>
      <c r="CF1439"/>
      <c r="CG1439"/>
      <c r="CH1439"/>
      <c r="CI1439"/>
      <c r="CJ1439"/>
      <c r="CK1439"/>
      <c r="CL1439"/>
      <c r="CM1439"/>
      <c r="CN1439"/>
      <c r="CO1439"/>
      <c r="CP1439"/>
      <c r="CQ1439"/>
      <c r="CR1439"/>
      <c r="CS1439"/>
      <c r="CT1439"/>
      <c r="CU1439"/>
      <c r="CV1439"/>
      <c r="CW1439"/>
      <c r="CX1439"/>
      <c r="CY1439"/>
      <c r="CZ1439"/>
      <c r="DA1439"/>
      <c r="DB1439"/>
      <c r="DC1439"/>
      <c r="DD1439"/>
      <c r="DE1439"/>
      <c r="DF1439"/>
      <c r="DG1439"/>
      <c r="DH1439"/>
      <c r="DI1439"/>
      <c r="DJ1439"/>
      <c r="DK1439"/>
      <c r="DL1439"/>
      <c r="DM1439"/>
      <c r="DN1439"/>
      <c r="DO1439"/>
      <c r="DP1439"/>
      <c r="DQ1439"/>
      <c r="DR1439"/>
      <c r="DS1439"/>
      <c r="DT1439"/>
      <c r="DU1439"/>
      <c r="DV1439"/>
      <c r="DW1439"/>
      <c r="DX1439"/>
      <c r="DY1439"/>
      <c r="DZ1439"/>
      <c r="EA1439"/>
      <c r="EB1439"/>
      <c r="EC1439"/>
      <c r="ED1439"/>
      <c r="EE1439"/>
      <c r="EF1439"/>
      <c r="EG1439"/>
      <c r="EH1439"/>
      <c r="EI1439"/>
      <c r="EJ1439"/>
      <c r="EK1439"/>
      <c r="EL1439"/>
      <c r="EM1439"/>
      <c r="EN1439"/>
      <c r="EO1439"/>
      <c r="EP1439"/>
      <c r="EQ1439"/>
      <c r="ER1439"/>
      <c r="ES1439"/>
    </row>
    <row r="1440" spans="1:149">
      <c r="A1440"/>
      <c r="B1440"/>
      <c r="C1440"/>
      <c r="D1440"/>
      <c r="E1440"/>
      <c r="F1440"/>
      <c r="G1440"/>
      <c r="H1440"/>
      <c r="I1440"/>
      <c r="J1440"/>
      <c r="K1440"/>
      <c r="L1440"/>
      <c r="M1440"/>
      <c r="N1440"/>
      <c r="O1440"/>
      <c r="P1440"/>
      <c r="Q1440"/>
      <c r="R1440"/>
      <c r="S1440"/>
      <c r="T1440"/>
      <c r="U1440"/>
      <c r="V1440"/>
      <c r="W1440"/>
      <c r="X1440"/>
      <c r="Y1440"/>
      <c r="Z1440"/>
      <c r="AA1440"/>
      <c r="AB1440"/>
      <c r="AC1440"/>
      <c r="AD1440"/>
      <c r="AE1440"/>
      <c r="AF1440"/>
      <c r="AG1440"/>
      <c r="AH1440"/>
      <c r="AI1440"/>
      <c r="AJ1440"/>
      <c r="AK1440"/>
      <c r="AL1440"/>
      <c r="AM1440"/>
      <c r="AN1440"/>
      <c r="AO1440"/>
      <c r="AP1440"/>
      <c r="AQ1440"/>
      <c r="AR1440"/>
      <c r="AS1440"/>
      <c r="AT1440"/>
      <c r="AU1440"/>
      <c r="AV1440"/>
      <c r="AW1440"/>
      <c r="AX1440"/>
      <c r="AY1440"/>
      <c r="AZ1440"/>
      <c r="BA1440"/>
      <c r="BB1440"/>
      <c r="BC1440"/>
      <c r="BD1440"/>
      <c r="BE1440"/>
      <c r="BF1440"/>
      <c r="BG1440"/>
      <c r="BH1440"/>
      <c r="BI1440"/>
      <c r="BJ1440"/>
      <c r="BK1440"/>
      <c r="BL1440"/>
      <c r="BM1440"/>
      <c r="BN1440"/>
      <c r="BO1440"/>
      <c r="BP1440"/>
      <c r="BQ1440"/>
      <c r="BR1440"/>
      <c r="BS1440"/>
      <c r="BT1440"/>
      <c r="BU1440"/>
      <c r="BV1440"/>
      <c r="BW1440"/>
      <c r="BX1440"/>
      <c r="BY1440"/>
      <c r="BZ1440"/>
      <c r="CA1440"/>
      <c r="CB1440"/>
      <c r="CC1440"/>
      <c r="CD1440"/>
      <c r="CE1440"/>
      <c r="CF1440"/>
      <c r="CG1440"/>
      <c r="CH1440"/>
      <c r="CI1440"/>
      <c r="CJ1440"/>
      <c r="CK1440"/>
      <c r="CL1440"/>
      <c r="CM1440"/>
      <c r="CN1440"/>
      <c r="CO1440"/>
      <c r="CP1440"/>
      <c r="CQ1440"/>
      <c r="CR1440"/>
      <c r="CS1440"/>
      <c r="CT1440"/>
      <c r="CU1440"/>
      <c r="CV1440"/>
      <c r="CW1440"/>
      <c r="CX1440"/>
      <c r="CY1440"/>
      <c r="CZ1440"/>
      <c r="DA1440"/>
      <c r="DB1440"/>
      <c r="DC1440"/>
      <c r="DD1440"/>
      <c r="DE1440"/>
      <c r="DF1440"/>
      <c r="DG1440"/>
      <c r="DH1440"/>
      <c r="DI1440"/>
      <c r="DJ1440"/>
      <c r="DK1440"/>
      <c r="DL1440"/>
      <c r="DM1440"/>
      <c r="DN1440"/>
      <c r="DO1440"/>
      <c r="DP1440"/>
      <c r="DQ1440"/>
      <c r="DR1440"/>
      <c r="DS1440"/>
      <c r="DT1440"/>
      <c r="DU1440"/>
      <c r="DV1440"/>
      <c r="DW1440"/>
      <c r="DX1440"/>
      <c r="DY1440"/>
      <c r="DZ1440"/>
      <c r="EA1440"/>
      <c r="EB1440"/>
      <c r="EC1440"/>
      <c r="ED1440"/>
      <c r="EE1440"/>
      <c r="EF1440"/>
      <c r="EG1440"/>
      <c r="EH1440"/>
      <c r="EI1440"/>
      <c r="EJ1440"/>
      <c r="EK1440"/>
      <c r="EL1440"/>
      <c r="EM1440"/>
      <c r="EN1440"/>
      <c r="EO1440"/>
      <c r="EP1440"/>
      <c r="EQ1440"/>
      <c r="ER1440"/>
      <c r="ES1440"/>
    </row>
    <row r="1441" spans="1:149">
      <c r="A1441"/>
      <c r="B1441"/>
      <c r="C1441"/>
      <c r="D1441"/>
      <c r="E1441"/>
      <c r="F1441"/>
      <c r="G1441"/>
      <c r="H1441"/>
      <c r="I1441"/>
      <c r="J1441"/>
      <c r="K1441"/>
      <c r="L1441"/>
      <c r="M1441"/>
      <c r="N1441"/>
      <c r="O1441"/>
      <c r="P1441"/>
      <c r="Q1441"/>
      <c r="R1441"/>
      <c r="S1441"/>
      <c r="T1441"/>
      <c r="U1441"/>
      <c r="V1441"/>
      <c r="W1441"/>
      <c r="X1441"/>
      <c r="Y1441"/>
      <c r="Z1441"/>
      <c r="AA1441"/>
      <c r="AB1441"/>
      <c r="AC1441"/>
      <c r="AD1441"/>
      <c r="AE1441"/>
      <c r="AF1441"/>
      <c r="AG1441"/>
      <c r="AH1441"/>
      <c r="AI1441"/>
      <c r="AJ1441"/>
      <c r="AK1441"/>
      <c r="AL1441"/>
      <c r="AM1441"/>
      <c r="AN1441"/>
      <c r="AO1441"/>
      <c r="AP1441"/>
      <c r="AQ1441"/>
      <c r="AR1441"/>
      <c r="AS1441"/>
      <c r="AT1441"/>
      <c r="AU1441"/>
      <c r="AV1441"/>
      <c r="AW1441"/>
      <c r="AX1441"/>
      <c r="AY1441"/>
      <c r="AZ1441"/>
      <c r="BA1441"/>
      <c r="BB1441"/>
      <c r="BC1441"/>
      <c r="BD1441"/>
      <c r="BE1441"/>
      <c r="BF1441"/>
      <c r="BG1441"/>
      <c r="BH1441"/>
      <c r="BI1441"/>
      <c r="BJ1441"/>
      <c r="BK1441"/>
      <c r="BL1441"/>
      <c r="BM1441"/>
      <c r="BN1441"/>
      <c r="BO1441"/>
      <c r="BP1441"/>
      <c r="BQ1441"/>
      <c r="BR1441"/>
      <c r="BS1441"/>
      <c r="BT1441"/>
      <c r="BU1441"/>
      <c r="BV1441"/>
      <c r="BW1441"/>
      <c r="BX1441"/>
      <c r="BY1441"/>
      <c r="BZ1441"/>
      <c r="CA1441"/>
      <c r="CB1441"/>
      <c r="CC1441"/>
      <c r="CD1441"/>
      <c r="CE1441"/>
      <c r="CF1441"/>
      <c r="CG1441"/>
      <c r="CH1441"/>
      <c r="CI1441"/>
      <c r="CJ1441"/>
      <c r="CK1441"/>
      <c r="CL1441"/>
      <c r="CM1441"/>
      <c r="CN1441"/>
      <c r="CO1441"/>
      <c r="CP1441"/>
      <c r="CQ1441"/>
      <c r="CR1441"/>
      <c r="CS1441"/>
      <c r="CT1441"/>
      <c r="CU1441"/>
      <c r="CV1441"/>
      <c r="CW1441"/>
      <c r="CX1441"/>
      <c r="CY1441"/>
      <c r="CZ1441"/>
      <c r="DA1441"/>
      <c r="DB1441"/>
      <c r="DC1441"/>
      <c r="DD1441"/>
      <c r="DE1441"/>
      <c r="DF1441"/>
      <c r="DG1441"/>
      <c r="DH1441"/>
      <c r="DI1441"/>
      <c r="DJ1441"/>
      <c r="DK1441"/>
      <c r="DL1441"/>
      <c r="DM1441"/>
      <c r="DN1441"/>
      <c r="DO1441"/>
      <c r="DP1441"/>
      <c r="DQ1441"/>
      <c r="DR1441"/>
      <c r="DS1441"/>
      <c r="DT1441"/>
      <c r="DU1441"/>
      <c r="DV1441"/>
      <c r="DW1441"/>
      <c r="DX1441"/>
      <c r="DY1441"/>
      <c r="DZ1441"/>
      <c r="EA1441"/>
      <c r="EB1441"/>
      <c r="EC1441"/>
      <c r="ED1441"/>
      <c r="EE1441"/>
      <c r="EF1441"/>
      <c r="EG1441"/>
      <c r="EH1441"/>
      <c r="EI1441"/>
      <c r="EJ1441"/>
      <c r="EK1441"/>
      <c r="EL1441"/>
      <c r="EM1441"/>
      <c r="EN1441"/>
      <c r="EO1441"/>
      <c r="EP1441"/>
      <c r="EQ1441"/>
      <c r="ER1441"/>
      <c r="ES1441"/>
    </row>
    <row r="1442" spans="1:149">
      <c r="A1442"/>
      <c r="B1442"/>
      <c r="C1442"/>
      <c r="D1442"/>
      <c r="E1442"/>
      <c r="F1442"/>
      <c r="G1442"/>
      <c r="H1442"/>
      <c r="I1442"/>
      <c r="J1442"/>
      <c r="K1442"/>
      <c r="L1442"/>
      <c r="M1442"/>
      <c r="N1442"/>
      <c r="O1442"/>
      <c r="P1442"/>
      <c r="Q1442"/>
      <c r="R1442"/>
      <c r="S1442"/>
      <c r="T1442"/>
      <c r="U1442"/>
      <c r="V1442"/>
      <c r="W1442"/>
      <c r="X1442"/>
      <c r="Y1442"/>
      <c r="Z1442"/>
      <c r="AA1442"/>
      <c r="AB1442"/>
      <c r="AC1442"/>
      <c r="AD1442"/>
      <c r="AE1442"/>
      <c r="AF1442"/>
      <c r="AG1442"/>
      <c r="AH1442"/>
      <c r="AI1442"/>
      <c r="AJ1442"/>
      <c r="AK1442"/>
      <c r="AL1442"/>
      <c r="AM1442"/>
      <c r="AN1442"/>
      <c r="AO1442"/>
      <c r="AP1442"/>
      <c r="AQ1442"/>
      <c r="AR1442"/>
      <c r="AS1442"/>
      <c r="AT1442"/>
      <c r="AU1442"/>
      <c r="AV1442"/>
      <c r="AW1442"/>
      <c r="AX1442"/>
      <c r="AY1442"/>
      <c r="AZ1442"/>
      <c r="BA1442"/>
      <c r="BB1442"/>
      <c r="BC1442"/>
      <c r="BD1442"/>
      <c r="BE1442"/>
      <c r="BF1442"/>
      <c r="BG1442"/>
      <c r="BH1442"/>
      <c r="BI1442"/>
      <c r="BJ1442"/>
      <c r="BK1442"/>
      <c r="BL1442"/>
      <c r="BM1442"/>
      <c r="BN1442"/>
      <c r="BO1442"/>
      <c r="BP1442"/>
      <c r="BQ1442"/>
      <c r="BR1442"/>
      <c r="BS1442"/>
      <c r="BT1442"/>
      <c r="BU1442"/>
      <c r="BV1442"/>
      <c r="BW1442"/>
      <c r="BX1442"/>
      <c r="BY1442"/>
      <c r="BZ1442"/>
      <c r="CA1442"/>
      <c r="CB1442"/>
      <c r="CC1442"/>
      <c r="CD1442"/>
      <c r="CE1442"/>
      <c r="CF1442"/>
      <c r="CG1442"/>
      <c r="CH1442"/>
      <c r="CI1442"/>
      <c r="CJ1442"/>
      <c r="CK1442"/>
      <c r="CL1442"/>
      <c r="CM1442"/>
      <c r="CN1442"/>
      <c r="CO1442"/>
      <c r="CP1442"/>
      <c r="CQ1442"/>
      <c r="CR1442"/>
      <c r="CS1442"/>
      <c r="CT1442"/>
      <c r="CU1442"/>
      <c r="CV1442"/>
      <c r="CW1442"/>
      <c r="CX1442"/>
      <c r="CY1442"/>
      <c r="CZ1442"/>
      <c r="DA1442"/>
      <c r="DB1442"/>
      <c r="DC1442"/>
      <c r="DD1442"/>
      <c r="DE1442"/>
      <c r="DF1442"/>
      <c r="DG1442"/>
      <c r="DH1442"/>
      <c r="DI1442"/>
      <c r="DJ1442"/>
      <c r="DK1442"/>
      <c r="DL1442"/>
      <c r="DM1442"/>
      <c r="DN1442"/>
      <c r="DO1442"/>
      <c r="DP1442"/>
      <c r="DQ1442"/>
      <c r="DR1442"/>
      <c r="DS1442"/>
      <c r="DT1442"/>
      <c r="DU1442"/>
      <c r="DV1442"/>
      <c r="DW1442"/>
      <c r="DX1442"/>
      <c r="DY1442"/>
      <c r="DZ1442"/>
      <c r="EA1442"/>
      <c r="EB1442"/>
      <c r="EC1442"/>
      <c r="ED1442"/>
      <c r="EE1442"/>
      <c r="EF1442"/>
      <c r="EG1442"/>
      <c r="EH1442"/>
      <c r="EI1442"/>
      <c r="EJ1442"/>
      <c r="EK1442"/>
      <c r="EL1442"/>
      <c r="EM1442"/>
      <c r="EN1442"/>
      <c r="EO1442"/>
      <c r="EP1442"/>
      <c r="EQ1442"/>
      <c r="ER1442"/>
      <c r="ES1442"/>
    </row>
    <row r="1443" spans="1:149">
      <c r="A1443"/>
      <c r="B1443"/>
      <c r="C1443"/>
      <c r="D1443"/>
      <c r="E1443"/>
      <c r="F1443"/>
      <c r="G1443"/>
      <c r="H1443"/>
      <c r="I1443"/>
      <c r="J1443"/>
      <c r="K1443"/>
      <c r="L1443"/>
      <c r="M1443"/>
      <c r="N1443"/>
      <c r="O1443"/>
      <c r="P1443"/>
      <c r="Q1443"/>
      <c r="R1443"/>
      <c r="S1443"/>
      <c r="T1443"/>
      <c r="U1443"/>
      <c r="V1443"/>
      <c r="W1443"/>
      <c r="X1443"/>
      <c r="Y1443"/>
      <c r="Z1443"/>
      <c r="AA1443"/>
      <c r="AB1443"/>
      <c r="AC1443"/>
      <c r="AD1443"/>
      <c r="AE1443"/>
      <c r="AF1443"/>
      <c r="AG1443"/>
      <c r="AH1443"/>
      <c r="AI1443"/>
      <c r="AJ1443"/>
      <c r="AK1443"/>
      <c r="AL1443"/>
      <c r="AM1443"/>
      <c r="AN1443"/>
      <c r="AO1443"/>
      <c r="AP1443"/>
      <c r="AQ1443"/>
      <c r="AR1443"/>
      <c r="AS1443"/>
      <c r="AT1443"/>
      <c r="AU1443"/>
      <c r="AV1443"/>
      <c r="AW1443"/>
      <c r="AX1443"/>
      <c r="AY1443"/>
      <c r="AZ1443"/>
      <c r="BA1443"/>
      <c r="BB1443"/>
      <c r="BC1443"/>
      <c r="BD1443"/>
      <c r="BE1443"/>
      <c r="BF1443"/>
      <c r="BG1443"/>
      <c r="BH1443"/>
      <c r="BI1443"/>
      <c r="BJ1443"/>
      <c r="BK1443"/>
      <c r="BL1443"/>
      <c r="BM1443"/>
      <c r="BN1443"/>
      <c r="BO1443"/>
      <c r="BP1443"/>
      <c r="BQ1443"/>
      <c r="BR1443"/>
      <c r="BS1443"/>
      <c r="BT1443"/>
      <c r="BU1443"/>
      <c r="BV1443"/>
      <c r="BW1443"/>
      <c r="BX1443"/>
      <c r="BY1443"/>
      <c r="BZ1443"/>
      <c r="CA1443"/>
      <c r="CB1443"/>
      <c r="CC1443"/>
      <c r="CD1443"/>
      <c r="CE1443"/>
      <c r="CF1443"/>
      <c r="CG1443"/>
      <c r="CH1443"/>
      <c r="CI1443"/>
      <c r="CJ1443"/>
      <c r="CK1443"/>
      <c r="CL1443"/>
      <c r="CM1443"/>
      <c r="CN1443"/>
      <c r="CO1443"/>
      <c r="CP1443"/>
      <c r="CQ1443"/>
      <c r="CR1443"/>
      <c r="CS1443"/>
      <c r="CT1443"/>
      <c r="CU1443"/>
      <c r="CV1443"/>
      <c r="CW1443"/>
      <c r="CX1443"/>
      <c r="CY1443"/>
      <c r="CZ1443"/>
      <c r="DA1443"/>
      <c r="DB1443"/>
      <c r="DC1443"/>
      <c r="DD1443"/>
      <c r="DE1443"/>
      <c r="DF1443"/>
      <c r="DG1443"/>
      <c r="DH1443"/>
      <c r="DI1443"/>
      <c r="DJ1443"/>
      <c r="DK1443"/>
      <c r="DL1443"/>
      <c r="DM1443"/>
      <c r="DN1443"/>
      <c r="DO1443"/>
      <c r="DP1443"/>
      <c r="DQ1443"/>
      <c r="DR1443"/>
      <c r="DS1443"/>
      <c r="DT1443"/>
      <c r="DU1443"/>
      <c r="DV1443"/>
      <c r="DW1443"/>
      <c r="DX1443"/>
      <c r="DY1443"/>
      <c r="DZ1443"/>
      <c r="EA1443"/>
      <c r="EB1443"/>
      <c r="EC1443"/>
      <c r="ED1443"/>
      <c r="EE1443"/>
      <c r="EF1443"/>
      <c r="EG1443"/>
      <c r="EH1443"/>
      <c r="EI1443"/>
      <c r="EJ1443"/>
      <c r="EK1443"/>
      <c r="EL1443"/>
      <c r="EM1443"/>
      <c r="EN1443"/>
      <c r="EO1443"/>
      <c r="EP1443"/>
      <c r="EQ1443"/>
      <c r="ER1443"/>
      <c r="ES1443"/>
    </row>
    <row r="1444" spans="1:149">
      <c r="A1444"/>
      <c r="B1444"/>
      <c r="C1444"/>
      <c r="D1444"/>
      <c r="E1444"/>
      <c r="F1444"/>
      <c r="G1444"/>
      <c r="H1444"/>
      <c r="I1444"/>
      <c r="J1444"/>
      <c r="K1444"/>
      <c r="L1444"/>
      <c r="M1444"/>
      <c r="N1444"/>
      <c r="O1444"/>
      <c r="P1444"/>
      <c r="Q1444"/>
      <c r="R1444"/>
      <c r="S1444"/>
      <c r="T1444"/>
      <c r="U1444"/>
      <c r="V1444"/>
      <c r="W1444"/>
      <c r="X1444"/>
      <c r="Y1444"/>
      <c r="Z1444"/>
      <c r="AA1444"/>
      <c r="AB1444"/>
      <c r="AC1444"/>
      <c r="AD1444"/>
      <c r="AE1444"/>
      <c r="AF1444"/>
      <c r="AG1444"/>
      <c r="AH1444"/>
      <c r="AI1444"/>
      <c r="AJ1444"/>
      <c r="AK1444"/>
      <c r="AL1444"/>
      <c r="AM1444"/>
      <c r="AN1444"/>
      <c r="AO1444"/>
      <c r="AP1444"/>
      <c r="AQ1444"/>
      <c r="AR1444"/>
      <c r="AS1444"/>
      <c r="AT1444"/>
      <c r="AU1444"/>
      <c r="AV1444"/>
      <c r="AW1444"/>
      <c r="AX1444"/>
      <c r="AY1444"/>
      <c r="AZ1444"/>
      <c r="BA1444"/>
      <c r="BB1444"/>
      <c r="BC1444"/>
      <c r="BD1444"/>
      <c r="BE1444"/>
      <c r="BF1444"/>
      <c r="BG1444"/>
      <c r="BH1444"/>
      <c r="BI1444"/>
      <c r="BJ1444"/>
      <c r="BK1444"/>
      <c r="BL1444"/>
      <c r="BM1444"/>
      <c r="BN1444"/>
      <c r="BO1444"/>
      <c r="BP1444"/>
      <c r="BQ1444"/>
      <c r="BR1444"/>
      <c r="BS1444"/>
      <c r="BT1444"/>
      <c r="BU1444"/>
      <c r="BV1444"/>
      <c r="BW1444"/>
      <c r="BX1444"/>
      <c r="BY1444"/>
      <c r="BZ1444"/>
      <c r="CA1444"/>
      <c r="CB1444"/>
      <c r="CC1444"/>
      <c r="CD1444"/>
      <c r="CE1444"/>
      <c r="CF1444"/>
      <c r="CG1444"/>
      <c r="CH1444"/>
      <c r="CI1444"/>
      <c r="CJ1444"/>
      <c r="CK1444"/>
      <c r="CL1444"/>
      <c r="CM1444"/>
      <c r="CN1444"/>
      <c r="CO1444"/>
      <c r="CP1444"/>
      <c r="CQ1444"/>
      <c r="CR1444"/>
      <c r="CS1444"/>
      <c r="CT1444"/>
      <c r="CU1444"/>
      <c r="CV1444"/>
      <c r="CW1444"/>
      <c r="CX1444"/>
      <c r="CY1444"/>
      <c r="CZ1444"/>
      <c r="DA1444"/>
      <c r="DB1444"/>
      <c r="DC1444"/>
      <c r="DD1444"/>
      <c r="DE1444"/>
      <c r="DF1444"/>
      <c r="DG1444"/>
      <c r="DH1444"/>
      <c r="DI1444"/>
      <c r="DJ1444"/>
      <c r="DK1444"/>
      <c r="DL1444"/>
      <c r="DM1444"/>
      <c r="DN1444"/>
      <c r="DO1444"/>
      <c r="DP1444"/>
      <c r="DQ1444"/>
      <c r="DR1444"/>
      <c r="DS1444"/>
      <c r="DT1444"/>
      <c r="DU1444"/>
      <c r="DV1444"/>
      <c r="DW1444"/>
      <c r="DX1444"/>
      <c r="DY1444"/>
      <c r="DZ1444"/>
      <c r="EA1444"/>
      <c r="EB1444"/>
      <c r="EC1444"/>
      <c r="ED1444"/>
      <c r="EE1444"/>
      <c r="EF1444"/>
      <c r="EG1444"/>
      <c r="EH1444"/>
      <c r="EI1444"/>
      <c r="EJ1444"/>
      <c r="EK1444"/>
      <c r="EL1444"/>
      <c r="EM1444"/>
      <c r="EN1444"/>
      <c r="EO1444"/>
      <c r="EP1444"/>
      <c r="EQ1444"/>
      <c r="ER1444"/>
      <c r="ES1444"/>
    </row>
    <row r="1445" spans="1:149">
      <c r="A1445"/>
      <c r="B1445"/>
      <c r="C1445"/>
      <c r="D1445"/>
      <c r="E1445"/>
      <c r="F1445"/>
      <c r="G1445"/>
      <c r="H1445"/>
      <c r="I1445"/>
      <c r="J1445"/>
      <c r="K1445"/>
      <c r="L1445"/>
      <c r="M1445"/>
      <c r="N1445"/>
      <c r="O1445"/>
      <c r="P1445"/>
      <c r="Q1445"/>
      <c r="R1445"/>
      <c r="S1445"/>
      <c r="T1445"/>
      <c r="U1445"/>
      <c r="V1445"/>
      <c r="W1445"/>
      <c r="X1445"/>
      <c r="Y1445"/>
      <c r="Z1445"/>
      <c r="AA1445"/>
      <c r="AB1445"/>
      <c r="AC1445"/>
      <c r="AD1445"/>
      <c r="AE1445"/>
      <c r="AF1445"/>
      <c r="AG1445"/>
      <c r="AH1445"/>
      <c r="AI1445"/>
      <c r="AJ1445"/>
      <c r="AK1445"/>
      <c r="AL1445"/>
      <c r="AM1445"/>
      <c r="AN1445"/>
      <c r="AO1445"/>
      <c r="AP1445"/>
      <c r="AQ1445"/>
      <c r="AR1445"/>
      <c r="AS1445"/>
      <c r="AT1445"/>
      <c r="AU1445"/>
      <c r="AV1445"/>
      <c r="AW1445"/>
      <c r="AX1445"/>
      <c r="AY1445"/>
      <c r="AZ1445"/>
      <c r="BA1445"/>
      <c r="BB1445"/>
      <c r="BC1445"/>
      <c r="BD1445"/>
      <c r="BE1445"/>
      <c r="BF1445"/>
      <c r="BG1445"/>
      <c r="BH1445"/>
      <c r="BI1445"/>
      <c r="BJ1445"/>
      <c r="BK1445"/>
      <c r="BL1445"/>
      <c r="BM1445"/>
      <c r="BN1445"/>
      <c r="BO1445"/>
      <c r="BP1445"/>
      <c r="BQ1445"/>
      <c r="BR1445"/>
      <c r="BS1445"/>
      <c r="BT1445"/>
      <c r="BU1445"/>
      <c r="BV1445"/>
      <c r="BW1445"/>
      <c r="BX1445"/>
      <c r="BY1445"/>
      <c r="BZ1445"/>
      <c r="CA1445"/>
      <c r="CB1445"/>
      <c r="CC1445"/>
      <c r="CD1445"/>
      <c r="CE1445"/>
      <c r="CF1445"/>
      <c r="CG1445"/>
      <c r="CH1445"/>
      <c r="CI1445"/>
      <c r="CJ1445"/>
      <c r="CK1445"/>
      <c r="CL1445"/>
      <c r="CM1445"/>
      <c r="CN1445"/>
      <c r="CO1445"/>
      <c r="CP1445"/>
      <c r="CQ1445"/>
      <c r="CR1445"/>
      <c r="CS1445"/>
      <c r="CT1445"/>
      <c r="CU1445"/>
      <c r="CV1445"/>
      <c r="CW1445"/>
      <c r="CX1445"/>
      <c r="CY1445"/>
      <c r="CZ1445"/>
      <c r="DA1445"/>
      <c r="DB1445"/>
      <c r="DC1445"/>
      <c r="DD1445"/>
      <c r="DE1445"/>
      <c r="DF1445"/>
      <c r="DG1445"/>
      <c r="DH1445"/>
      <c r="DI1445"/>
      <c r="DJ1445"/>
      <c r="DK1445"/>
      <c r="DL1445"/>
      <c r="DM1445"/>
      <c r="DN1445"/>
      <c r="DO1445"/>
      <c r="DP1445"/>
      <c r="DQ1445"/>
      <c r="DR1445"/>
      <c r="DS1445"/>
      <c r="DT1445"/>
      <c r="DU1445"/>
      <c r="DV1445"/>
      <c r="DW1445"/>
      <c r="DX1445"/>
      <c r="DY1445"/>
      <c r="DZ1445"/>
      <c r="EA1445"/>
      <c r="EB1445"/>
      <c r="EC1445"/>
      <c r="ED1445"/>
      <c r="EE1445"/>
      <c r="EF1445"/>
      <c r="EG1445"/>
      <c r="EH1445"/>
      <c r="EI1445"/>
      <c r="EJ1445"/>
      <c r="EK1445"/>
      <c r="EL1445"/>
      <c r="EM1445"/>
      <c r="EN1445"/>
      <c r="EO1445"/>
      <c r="EP1445"/>
      <c r="EQ1445"/>
      <c r="ER1445"/>
      <c r="ES1445"/>
    </row>
    <row r="1446" spans="1:149">
      <c r="A1446"/>
      <c r="B1446"/>
      <c r="C1446"/>
      <c r="D1446"/>
      <c r="E1446"/>
      <c r="F1446"/>
      <c r="G1446"/>
      <c r="H1446"/>
      <c r="I1446"/>
      <c r="J1446"/>
      <c r="K1446"/>
      <c r="L1446"/>
      <c r="M1446"/>
      <c r="N1446"/>
      <c r="O1446"/>
      <c r="P1446"/>
      <c r="Q1446"/>
      <c r="R1446"/>
      <c r="S1446"/>
      <c r="T1446"/>
      <c r="U1446"/>
      <c r="V1446"/>
      <c r="W1446"/>
      <c r="X1446"/>
      <c r="Y1446"/>
      <c r="Z1446"/>
      <c r="AA1446"/>
      <c r="AB1446"/>
      <c r="AC1446"/>
      <c r="AD1446"/>
      <c r="AE1446"/>
      <c r="AF1446"/>
      <c r="AG1446"/>
      <c r="AH1446"/>
      <c r="AI1446"/>
      <c r="AJ1446"/>
      <c r="AK1446"/>
      <c r="AL1446"/>
      <c r="AM1446"/>
      <c r="AN1446"/>
      <c r="AO1446"/>
      <c r="AP1446"/>
      <c r="AQ1446"/>
      <c r="AR1446"/>
      <c r="AS1446"/>
      <c r="AT1446"/>
      <c r="AU1446"/>
      <c r="AV1446"/>
      <c r="AW1446"/>
      <c r="AX1446"/>
      <c r="AY1446"/>
      <c r="AZ1446"/>
      <c r="BA1446"/>
      <c r="BB1446"/>
      <c r="BC1446"/>
      <c r="BD1446"/>
      <c r="BE1446"/>
      <c r="BF1446"/>
      <c r="BG1446"/>
      <c r="BH1446"/>
      <c r="BI1446"/>
      <c r="BJ1446"/>
      <c r="BK1446"/>
      <c r="BL1446"/>
      <c r="BM1446"/>
      <c r="BN1446"/>
      <c r="BO1446"/>
      <c r="BP1446"/>
      <c r="BQ1446"/>
      <c r="BR1446"/>
      <c r="BS1446"/>
      <c r="BT1446"/>
      <c r="BU1446"/>
      <c r="BV1446"/>
      <c r="BW1446"/>
      <c r="BX1446"/>
      <c r="BY1446"/>
      <c r="BZ1446"/>
      <c r="CA1446"/>
      <c r="CB1446"/>
      <c r="CC1446"/>
      <c r="CD1446"/>
      <c r="CE1446"/>
      <c r="CF1446"/>
      <c r="CG1446"/>
      <c r="CH1446"/>
      <c r="CI1446"/>
      <c r="CJ1446"/>
      <c r="CK1446"/>
      <c r="CL1446"/>
      <c r="CM1446"/>
      <c r="CN1446"/>
      <c r="CO1446"/>
      <c r="CP1446"/>
      <c r="CQ1446"/>
      <c r="CR1446"/>
      <c r="CS1446"/>
      <c r="CT1446"/>
      <c r="CU1446"/>
      <c r="CV1446"/>
      <c r="CW1446"/>
      <c r="CX1446"/>
      <c r="CY1446"/>
      <c r="CZ1446"/>
      <c r="DA1446"/>
      <c r="DB1446"/>
      <c r="DC1446"/>
      <c r="DD1446"/>
      <c r="DE1446"/>
      <c r="DF1446"/>
      <c r="DG1446"/>
      <c r="DH1446"/>
      <c r="DI1446"/>
      <c r="DJ1446"/>
      <c r="DK1446"/>
      <c r="DL1446"/>
      <c r="DM1446"/>
      <c r="DN1446"/>
      <c r="DO1446"/>
      <c r="DP1446"/>
      <c r="DQ1446"/>
      <c r="DR1446"/>
      <c r="DS1446"/>
      <c r="DT1446"/>
      <c r="DU1446"/>
      <c r="DV1446"/>
      <c r="DW1446"/>
      <c r="DX1446"/>
      <c r="DY1446"/>
      <c r="DZ1446"/>
      <c r="EA1446"/>
      <c r="EB1446"/>
      <c r="EC1446"/>
      <c r="ED1446"/>
      <c r="EE1446"/>
      <c r="EF1446"/>
      <c r="EG1446"/>
      <c r="EH1446"/>
      <c r="EI1446"/>
      <c r="EJ1446"/>
      <c r="EK1446"/>
      <c r="EL1446"/>
      <c r="EM1446"/>
      <c r="EN1446"/>
      <c r="EO1446"/>
      <c r="EP1446"/>
      <c r="EQ1446"/>
      <c r="ER1446"/>
      <c r="ES1446"/>
    </row>
    <row r="1447" spans="1:149">
      <c r="A1447"/>
      <c r="B1447"/>
      <c r="C1447"/>
      <c r="D1447"/>
      <c r="E1447"/>
      <c r="F1447"/>
      <c r="G1447"/>
      <c r="H1447"/>
      <c r="I1447"/>
      <c r="J1447"/>
      <c r="K1447"/>
      <c r="L1447"/>
      <c r="M1447"/>
      <c r="N1447"/>
      <c r="O1447"/>
      <c r="P1447"/>
      <c r="Q1447"/>
      <c r="R1447"/>
      <c r="S1447"/>
      <c r="T1447"/>
      <c r="U1447"/>
      <c r="V1447"/>
      <c r="W1447"/>
      <c r="X1447"/>
      <c r="Y1447"/>
      <c r="Z1447"/>
      <c r="AA1447"/>
      <c r="AB1447"/>
      <c r="AC1447"/>
      <c r="AD1447"/>
      <c r="AE1447"/>
      <c r="AF1447"/>
      <c r="AG1447"/>
      <c r="AH1447"/>
      <c r="AI1447"/>
      <c r="AJ1447"/>
      <c r="AK1447"/>
      <c r="AL1447"/>
      <c r="AM1447"/>
      <c r="AN1447"/>
      <c r="AO1447"/>
      <c r="AP1447"/>
      <c r="AQ1447"/>
      <c r="AR1447"/>
      <c r="AS1447"/>
      <c r="AT1447"/>
      <c r="AU1447"/>
      <c r="AV1447"/>
      <c r="AW1447"/>
      <c r="AX1447"/>
      <c r="AY1447"/>
      <c r="AZ1447"/>
      <c r="BA1447"/>
      <c r="BB1447"/>
      <c r="BC1447"/>
      <c r="BD1447"/>
      <c r="BE1447"/>
      <c r="BF1447"/>
      <c r="BG1447"/>
      <c r="BH1447"/>
      <c r="BI1447"/>
      <c r="BJ1447"/>
      <c r="BK1447"/>
      <c r="BL1447"/>
      <c r="BM1447"/>
      <c r="BN1447"/>
      <c r="BO1447"/>
      <c r="BP1447"/>
      <c r="BQ1447"/>
      <c r="BR1447"/>
      <c r="BS1447"/>
      <c r="BT1447"/>
      <c r="BU1447"/>
      <c r="BV1447"/>
      <c r="BW1447"/>
      <c r="BX1447"/>
      <c r="BY1447"/>
      <c r="BZ1447"/>
      <c r="CA1447"/>
      <c r="CB1447"/>
      <c r="CC1447"/>
      <c r="CD1447"/>
      <c r="CE1447"/>
      <c r="CF1447"/>
      <c r="CG1447"/>
      <c r="CH1447"/>
      <c r="CI1447"/>
      <c r="CJ1447"/>
      <c r="CK1447"/>
      <c r="CL1447"/>
      <c r="CM1447"/>
      <c r="CN1447"/>
      <c r="CO1447"/>
      <c r="CP1447"/>
      <c r="CQ1447"/>
      <c r="CR1447"/>
      <c r="CS1447"/>
      <c r="CT1447"/>
      <c r="CU1447"/>
      <c r="CV1447"/>
      <c r="CW1447"/>
      <c r="CX1447"/>
      <c r="CY1447"/>
      <c r="CZ1447"/>
      <c r="DA1447"/>
      <c r="DB1447"/>
      <c r="DC1447"/>
      <c r="DD1447"/>
      <c r="DE1447"/>
      <c r="DF1447"/>
      <c r="DG1447"/>
      <c r="DH1447"/>
      <c r="DI1447"/>
      <c r="DJ1447"/>
      <c r="DK1447"/>
      <c r="DL1447"/>
      <c r="DM1447"/>
      <c r="DN1447"/>
      <c r="DO1447"/>
      <c r="DP1447"/>
      <c r="DQ1447"/>
      <c r="DR1447"/>
      <c r="DS1447"/>
      <c r="DT1447"/>
      <c r="DU1447"/>
      <c r="DV1447"/>
      <c r="DW1447"/>
      <c r="DX1447"/>
      <c r="DY1447"/>
      <c r="DZ1447"/>
      <c r="EA1447"/>
      <c r="EB1447"/>
      <c r="EC1447"/>
      <c r="ED1447"/>
      <c r="EE1447"/>
      <c r="EF1447"/>
      <c r="EG1447"/>
      <c r="EH1447"/>
      <c r="EI1447"/>
      <c r="EJ1447"/>
      <c r="EK1447"/>
      <c r="EL1447"/>
      <c r="EM1447"/>
      <c r="EN1447"/>
      <c r="EO1447"/>
      <c r="EP1447"/>
      <c r="EQ1447"/>
      <c r="ER1447"/>
      <c r="ES1447"/>
    </row>
    <row r="1448" spans="1:149">
      <c r="A1448"/>
      <c r="B1448"/>
      <c r="C1448"/>
      <c r="D1448"/>
      <c r="E1448"/>
      <c r="F1448"/>
      <c r="G1448"/>
      <c r="H1448"/>
      <c r="I1448"/>
      <c r="J1448"/>
      <c r="K1448"/>
      <c r="L1448"/>
      <c r="M1448"/>
      <c r="N1448"/>
      <c r="O1448"/>
      <c r="P1448"/>
      <c r="Q1448"/>
      <c r="R1448"/>
      <c r="S1448"/>
      <c r="T1448"/>
      <c r="U1448"/>
      <c r="V1448"/>
      <c r="W1448"/>
      <c r="X1448"/>
      <c r="Y1448"/>
      <c r="Z1448"/>
      <c r="AA1448"/>
      <c r="AB1448"/>
      <c r="AC1448"/>
      <c r="AD1448"/>
      <c r="AE1448"/>
      <c r="AF1448"/>
      <c r="AG1448"/>
      <c r="AH1448"/>
      <c r="AI1448"/>
      <c r="AJ1448"/>
      <c r="AK1448"/>
      <c r="AL1448"/>
      <c r="AM1448"/>
      <c r="AN1448"/>
      <c r="AO1448"/>
      <c r="AP1448"/>
      <c r="AQ1448"/>
      <c r="AR1448"/>
      <c r="AS1448"/>
      <c r="AT1448"/>
      <c r="AU1448"/>
      <c r="AV1448"/>
      <c r="AW1448"/>
      <c r="AX1448"/>
      <c r="AY1448"/>
      <c r="AZ1448"/>
      <c r="BA1448"/>
      <c r="BB1448"/>
      <c r="BC1448"/>
      <c r="BD1448"/>
      <c r="BE1448"/>
      <c r="BF1448"/>
      <c r="BG1448"/>
      <c r="BH1448"/>
      <c r="BI1448"/>
      <c r="BJ1448"/>
      <c r="BK1448"/>
      <c r="BL1448"/>
      <c r="BM1448"/>
      <c r="BN1448"/>
      <c r="BO1448"/>
      <c r="BP1448"/>
      <c r="BQ1448"/>
      <c r="BR1448"/>
      <c r="BS1448"/>
      <c r="BT1448"/>
      <c r="BU1448"/>
      <c r="BV1448"/>
      <c r="BW1448"/>
      <c r="BX1448"/>
      <c r="BY1448"/>
      <c r="BZ1448"/>
      <c r="CA1448"/>
      <c r="CB1448"/>
      <c r="CC1448"/>
      <c r="CD1448"/>
      <c r="CE1448"/>
      <c r="CF1448"/>
      <c r="CG1448"/>
      <c r="CH1448"/>
      <c r="CI1448"/>
      <c r="CJ1448"/>
      <c r="CK1448"/>
      <c r="CL1448"/>
      <c r="CM1448"/>
      <c r="CN1448"/>
      <c r="CO1448"/>
      <c r="CP1448"/>
      <c r="CQ1448"/>
      <c r="CR1448"/>
      <c r="CS1448"/>
      <c r="CT1448"/>
      <c r="CU1448"/>
      <c r="CV1448"/>
      <c r="CW1448"/>
      <c r="CX1448"/>
      <c r="CY1448"/>
      <c r="CZ1448"/>
      <c r="DA1448"/>
      <c r="DB1448"/>
      <c r="DC1448"/>
      <c r="DD1448"/>
      <c r="DE1448"/>
      <c r="DF1448"/>
      <c r="DG1448"/>
      <c r="DH1448"/>
      <c r="DI1448"/>
      <c r="DJ1448"/>
      <c r="DK1448"/>
      <c r="DL1448"/>
      <c r="DM1448"/>
      <c r="DN1448"/>
      <c r="DO1448"/>
      <c r="DP1448"/>
      <c r="DQ1448"/>
      <c r="DR1448"/>
      <c r="DS1448"/>
      <c r="DT1448"/>
      <c r="DU1448"/>
      <c r="DV1448"/>
      <c r="DW1448"/>
      <c r="DX1448"/>
      <c r="DY1448"/>
      <c r="DZ1448"/>
      <c r="EA1448"/>
      <c r="EB1448"/>
      <c r="EC1448"/>
      <c r="ED1448"/>
      <c r="EE1448"/>
      <c r="EF1448"/>
      <c r="EG1448"/>
      <c r="EH1448"/>
      <c r="EI1448"/>
      <c r="EJ1448"/>
      <c r="EK1448"/>
      <c r="EL1448"/>
      <c r="EM1448"/>
      <c r="EN1448"/>
      <c r="EO1448"/>
      <c r="EP1448"/>
      <c r="EQ1448"/>
      <c r="ER1448"/>
      <c r="ES1448"/>
    </row>
    <row r="1449" spans="1:149">
      <c r="A1449"/>
      <c r="B1449"/>
      <c r="C1449"/>
      <c r="D1449"/>
      <c r="E1449"/>
      <c r="F1449"/>
      <c r="G1449"/>
      <c r="H1449"/>
      <c r="I1449"/>
      <c r="J1449"/>
      <c r="K1449"/>
      <c r="L1449"/>
      <c r="M1449"/>
      <c r="N1449"/>
      <c r="O1449"/>
      <c r="P1449"/>
      <c r="Q1449"/>
      <c r="R1449"/>
      <c r="S1449"/>
      <c r="T1449"/>
      <c r="U1449"/>
      <c r="V1449"/>
      <c r="W1449"/>
      <c r="X1449"/>
      <c r="Y1449"/>
      <c r="Z1449"/>
      <c r="AA1449"/>
      <c r="AB1449"/>
      <c r="AC1449"/>
      <c r="AD1449"/>
      <c r="AE1449"/>
      <c r="AF1449"/>
      <c r="AG1449"/>
      <c r="AH1449"/>
      <c r="AI1449"/>
      <c r="AJ1449"/>
      <c r="AK1449"/>
      <c r="AL1449"/>
      <c r="AM1449"/>
      <c r="AN1449"/>
      <c r="AO1449"/>
      <c r="AP1449"/>
      <c r="AQ1449"/>
      <c r="AR1449"/>
      <c r="AS1449"/>
      <c r="AT1449"/>
      <c r="AU1449"/>
      <c r="AV1449"/>
      <c r="AW1449"/>
      <c r="AX1449"/>
      <c r="AY1449"/>
      <c r="AZ1449"/>
      <c r="BA1449"/>
      <c r="BB1449"/>
      <c r="BC1449"/>
      <c r="BD1449"/>
      <c r="BE1449"/>
      <c r="BF1449"/>
      <c r="BG1449"/>
      <c r="BH1449"/>
      <c r="BI1449"/>
      <c r="BJ1449"/>
      <c r="BK1449"/>
      <c r="BL1449"/>
      <c r="BM1449"/>
      <c r="BN1449"/>
      <c r="BO1449"/>
      <c r="BP1449"/>
      <c r="BQ1449"/>
      <c r="BR1449"/>
      <c r="BS1449"/>
      <c r="BT1449"/>
      <c r="BU1449"/>
      <c r="BV1449"/>
      <c r="BW1449"/>
      <c r="BX1449"/>
      <c r="BY1449"/>
      <c r="BZ1449"/>
      <c r="CA1449"/>
      <c r="CB1449"/>
      <c r="CC1449"/>
      <c r="CD1449"/>
      <c r="CE1449"/>
      <c r="CF1449"/>
      <c r="CG1449"/>
      <c r="CH1449"/>
      <c r="CI1449"/>
      <c r="CJ1449"/>
      <c r="CK1449"/>
      <c r="CL1449"/>
      <c r="CM1449"/>
      <c r="CN1449"/>
      <c r="CO1449"/>
      <c r="CP1449"/>
      <c r="CQ1449"/>
      <c r="CR1449"/>
      <c r="CS1449"/>
      <c r="CT1449"/>
      <c r="CU1449"/>
      <c r="CV1449"/>
      <c r="CW1449"/>
      <c r="CX1449"/>
      <c r="CY1449"/>
      <c r="CZ1449"/>
      <c r="DA1449"/>
      <c r="DB1449"/>
      <c r="DC1449"/>
      <c r="DD1449"/>
      <c r="DE1449"/>
      <c r="DF1449"/>
      <c r="DG1449"/>
      <c r="DH1449"/>
      <c r="DI1449"/>
      <c r="DJ1449"/>
      <c r="DK1449"/>
      <c r="DL1449"/>
      <c r="DM1449"/>
      <c r="DN1449"/>
      <c r="DO1449"/>
      <c r="DP1449"/>
      <c r="DQ1449"/>
      <c r="DR1449"/>
      <c r="DS1449"/>
      <c r="DT1449"/>
      <c r="DU1449"/>
      <c r="DV1449"/>
      <c r="DW1449"/>
      <c r="DX1449"/>
      <c r="DY1449"/>
      <c r="DZ1449"/>
      <c r="EA1449"/>
      <c r="EB1449"/>
      <c r="EC1449"/>
      <c r="ED1449"/>
      <c r="EE1449"/>
      <c r="EF1449"/>
      <c r="EG1449"/>
      <c r="EH1449"/>
      <c r="EI1449"/>
      <c r="EJ1449"/>
      <c r="EK1449"/>
      <c r="EL1449"/>
      <c r="EM1449"/>
      <c r="EN1449"/>
      <c r="EO1449"/>
      <c r="EP1449"/>
      <c r="EQ1449"/>
      <c r="ER1449"/>
      <c r="ES1449"/>
    </row>
    <row r="1450" spans="1:149">
      <c r="A1450"/>
      <c r="B1450"/>
      <c r="C1450"/>
      <c r="D1450"/>
      <c r="E1450"/>
      <c r="F1450"/>
      <c r="G1450"/>
      <c r="H1450"/>
      <c r="I1450"/>
      <c r="J1450"/>
      <c r="K1450"/>
      <c r="L1450"/>
      <c r="M1450"/>
      <c r="N1450"/>
      <c r="O1450"/>
      <c r="P1450"/>
      <c r="Q1450"/>
      <c r="R1450"/>
      <c r="S1450"/>
      <c r="T1450"/>
      <c r="U1450"/>
      <c r="V1450"/>
      <c r="W1450"/>
      <c r="X1450"/>
      <c r="Y1450"/>
      <c r="Z1450"/>
      <c r="AA1450"/>
      <c r="AB1450"/>
      <c r="AC1450"/>
      <c r="AD1450"/>
      <c r="AE1450"/>
      <c r="AF1450"/>
      <c r="AG1450"/>
      <c r="AH1450"/>
      <c r="AI1450"/>
      <c r="AJ1450"/>
      <c r="AK1450"/>
      <c r="AL1450"/>
      <c r="AM1450"/>
      <c r="AN1450"/>
      <c r="AO1450"/>
      <c r="AP1450"/>
      <c r="AQ1450"/>
      <c r="AR1450"/>
      <c r="AS1450"/>
      <c r="AT1450"/>
      <c r="AU1450"/>
      <c r="AV1450"/>
      <c r="AW1450"/>
      <c r="AX1450"/>
      <c r="AY1450"/>
      <c r="AZ1450"/>
      <c r="BA1450"/>
      <c r="BB1450"/>
      <c r="BC1450"/>
      <c r="BD1450"/>
      <c r="BE1450"/>
      <c r="BF1450"/>
      <c r="BG1450"/>
      <c r="BH1450"/>
      <c r="BI1450"/>
      <c r="BJ1450"/>
      <c r="BK1450"/>
      <c r="BL1450"/>
      <c r="BM1450"/>
      <c r="BN1450"/>
      <c r="BO1450"/>
      <c r="BP1450"/>
      <c r="BQ1450"/>
      <c r="BR1450"/>
      <c r="BS1450"/>
      <c r="BT1450"/>
      <c r="BU1450"/>
      <c r="BV1450"/>
      <c r="BW1450"/>
      <c r="BX1450"/>
      <c r="BY1450"/>
      <c r="BZ1450"/>
      <c r="CA1450"/>
      <c r="CB1450"/>
      <c r="CC1450"/>
      <c r="CD1450"/>
      <c r="CE1450"/>
      <c r="CF1450"/>
      <c r="CG1450"/>
      <c r="CH1450"/>
      <c r="CI1450"/>
      <c r="CJ1450"/>
      <c r="CK1450"/>
      <c r="CL1450"/>
      <c r="CM1450"/>
      <c r="CN1450"/>
      <c r="CO1450"/>
      <c r="CP1450"/>
      <c r="CQ1450"/>
      <c r="CR1450"/>
      <c r="CS1450"/>
      <c r="CT1450"/>
      <c r="CU1450"/>
      <c r="CV1450"/>
      <c r="CW1450"/>
      <c r="CX1450"/>
      <c r="CY1450"/>
      <c r="CZ1450"/>
      <c r="DA1450"/>
      <c r="DB1450"/>
      <c r="DC1450"/>
      <c r="DD1450"/>
      <c r="DE1450"/>
      <c r="DF1450"/>
      <c r="DG1450"/>
      <c r="DH1450"/>
      <c r="DI1450"/>
      <c r="DJ1450"/>
      <c r="DK1450"/>
      <c r="DL1450"/>
      <c r="DM1450"/>
      <c r="DN1450"/>
      <c r="DO1450"/>
      <c r="DP1450"/>
      <c r="DQ1450"/>
      <c r="DR1450"/>
      <c r="DS1450"/>
      <c r="DT1450"/>
      <c r="DU1450"/>
      <c r="DV1450"/>
      <c r="DW1450"/>
      <c r="DX1450"/>
      <c r="DY1450"/>
      <c r="DZ1450"/>
      <c r="EA1450"/>
      <c r="EB1450"/>
      <c r="EC1450"/>
      <c r="ED1450"/>
      <c r="EE1450"/>
      <c r="EF1450"/>
      <c r="EG1450"/>
      <c r="EH1450"/>
      <c r="EI1450"/>
      <c r="EJ1450"/>
      <c r="EK1450"/>
      <c r="EL1450"/>
      <c r="EM1450"/>
      <c r="EN1450"/>
      <c r="EO1450"/>
      <c r="EP1450"/>
      <c r="EQ1450"/>
      <c r="ER1450"/>
      <c r="ES1450"/>
    </row>
    <row r="1451" spans="1:149">
      <c r="A1451"/>
      <c r="B1451"/>
      <c r="C1451"/>
      <c r="D1451"/>
      <c r="E1451"/>
      <c r="F1451"/>
      <c r="G1451"/>
      <c r="H1451"/>
      <c r="I1451"/>
      <c r="J1451"/>
      <c r="K1451"/>
      <c r="L1451"/>
      <c r="M1451"/>
      <c r="N1451"/>
      <c r="O1451"/>
      <c r="P1451"/>
      <c r="Q1451"/>
      <c r="R1451"/>
      <c r="S1451"/>
      <c r="T1451"/>
      <c r="U1451"/>
      <c r="V1451"/>
      <c r="W1451"/>
      <c r="X1451"/>
      <c r="Y1451"/>
      <c r="Z1451"/>
      <c r="AA1451"/>
      <c r="AB1451"/>
      <c r="AC1451"/>
      <c r="AD1451"/>
      <c r="AE1451"/>
      <c r="AF1451"/>
      <c r="AG1451"/>
      <c r="AH1451"/>
      <c r="AI1451"/>
      <c r="AJ1451"/>
      <c r="AK1451"/>
      <c r="AL1451"/>
      <c r="AM1451"/>
      <c r="AN1451"/>
      <c r="AO1451"/>
      <c r="AP1451"/>
      <c r="AQ1451"/>
      <c r="AR1451"/>
      <c r="AS1451"/>
      <c r="AT1451"/>
      <c r="AU1451"/>
      <c r="AV1451"/>
      <c r="AW1451"/>
      <c r="AX1451"/>
      <c r="AY1451"/>
      <c r="AZ1451"/>
      <c r="BA1451"/>
      <c r="BB1451"/>
      <c r="BC1451"/>
      <c r="BD1451"/>
      <c r="BE1451"/>
      <c r="BF1451"/>
      <c r="BG1451"/>
      <c r="BH1451"/>
      <c r="BI1451"/>
      <c r="BJ1451"/>
      <c r="BK1451"/>
      <c r="BL1451"/>
      <c r="BM1451"/>
      <c r="BN1451"/>
      <c r="BO1451"/>
      <c r="BP1451"/>
      <c r="BQ1451"/>
      <c r="BR1451"/>
      <c r="BS1451"/>
      <c r="BT1451"/>
      <c r="BU1451"/>
      <c r="BV1451"/>
      <c r="BW1451"/>
      <c r="BX1451"/>
      <c r="BY1451"/>
      <c r="BZ1451"/>
      <c r="CA1451"/>
      <c r="CB1451"/>
      <c r="CC1451"/>
      <c r="CD1451"/>
      <c r="CE1451"/>
      <c r="CF1451"/>
      <c r="CG1451"/>
      <c r="CH1451"/>
      <c r="CI1451"/>
      <c r="CJ1451"/>
      <c r="CK1451"/>
      <c r="CL1451"/>
      <c r="CM1451"/>
      <c r="CN1451"/>
      <c r="CO1451"/>
      <c r="CP1451"/>
      <c r="CQ1451"/>
      <c r="CR1451"/>
      <c r="CS1451"/>
      <c r="CT1451"/>
      <c r="CU1451"/>
      <c r="CV1451"/>
      <c r="CW1451"/>
      <c r="CX1451"/>
      <c r="CY1451"/>
      <c r="CZ1451"/>
      <c r="DA1451"/>
      <c r="DB1451"/>
      <c r="DC1451"/>
      <c r="DD1451"/>
      <c r="DE1451"/>
      <c r="DF1451"/>
      <c r="DG1451"/>
      <c r="DH1451"/>
      <c r="DI1451"/>
      <c r="DJ1451"/>
      <c r="DK1451"/>
      <c r="DL1451"/>
      <c r="DM1451"/>
      <c r="DN1451"/>
      <c r="DO1451"/>
      <c r="DP1451"/>
      <c r="DQ1451"/>
      <c r="DR1451"/>
      <c r="DS1451"/>
      <c r="DT1451"/>
      <c r="DU1451"/>
      <c r="DV1451"/>
      <c r="DW1451"/>
      <c r="DX1451"/>
      <c r="DY1451"/>
      <c r="DZ1451"/>
      <c r="EA1451"/>
      <c r="EB1451"/>
      <c r="EC1451"/>
      <c r="ED1451"/>
      <c r="EE1451"/>
      <c r="EF1451"/>
      <c r="EG1451"/>
      <c r="EH1451"/>
      <c r="EI1451"/>
      <c r="EJ1451"/>
      <c r="EK1451"/>
      <c r="EL1451"/>
      <c r="EM1451"/>
      <c r="EN1451"/>
      <c r="EO1451"/>
      <c r="EP1451"/>
      <c r="EQ1451"/>
      <c r="ER1451"/>
      <c r="ES1451"/>
    </row>
    <row r="1452" spans="1:149">
      <c r="A1452"/>
      <c r="B1452"/>
      <c r="C1452"/>
      <c r="D1452"/>
      <c r="E1452"/>
      <c r="F1452"/>
      <c r="G1452"/>
      <c r="H1452"/>
      <c r="I1452"/>
      <c r="J1452"/>
      <c r="K1452"/>
      <c r="L1452"/>
      <c r="M1452"/>
      <c r="N1452"/>
      <c r="O1452"/>
      <c r="P1452"/>
      <c r="Q1452"/>
      <c r="R1452"/>
      <c r="S1452"/>
      <c r="T1452"/>
      <c r="U1452"/>
      <c r="V1452"/>
      <c r="W1452"/>
      <c r="X1452"/>
      <c r="Y1452"/>
      <c r="Z1452"/>
      <c r="AA1452"/>
      <c r="AB1452"/>
      <c r="AC1452"/>
      <c r="AD1452"/>
      <c r="AE1452"/>
      <c r="AF1452"/>
      <c r="AG1452"/>
      <c r="AH1452"/>
      <c r="AI1452"/>
      <c r="AJ1452"/>
      <c r="AK1452"/>
      <c r="AL1452"/>
      <c r="AM1452"/>
      <c r="AN1452"/>
      <c r="AO1452"/>
      <c r="AP1452"/>
      <c r="AQ1452"/>
      <c r="AR1452"/>
      <c r="AS1452"/>
      <c r="AT1452"/>
      <c r="AU1452"/>
      <c r="AV1452"/>
      <c r="AW1452"/>
      <c r="AX1452"/>
      <c r="AY1452"/>
      <c r="AZ1452"/>
      <c r="BA1452"/>
      <c r="BB1452"/>
      <c r="BC1452"/>
      <c r="BD1452"/>
      <c r="BE1452"/>
      <c r="BF1452"/>
      <c r="BG1452"/>
      <c r="BH1452"/>
      <c r="BI1452"/>
      <c r="BJ1452"/>
      <c r="BK1452"/>
      <c r="BL1452"/>
      <c r="BM1452"/>
      <c r="BN1452"/>
      <c r="BO1452"/>
      <c r="BP1452"/>
      <c r="BQ1452"/>
      <c r="BR1452"/>
      <c r="BS1452"/>
      <c r="BT1452"/>
      <c r="BU1452"/>
      <c r="BV1452"/>
      <c r="BW1452"/>
      <c r="BX1452"/>
      <c r="BY1452"/>
      <c r="BZ1452"/>
      <c r="CA1452"/>
      <c r="CB1452"/>
      <c r="CC1452"/>
      <c r="CD1452"/>
      <c r="CE1452"/>
      <c r="CF1452"/>
      <c r="CG1452"/>
      <c r="CH1452"/>
      <c r="CI1452"/>
      <c r="CJ1452"/>
      <c r="CK1452"/>
      <c r="CL1452"/>
      <c r="CM1452"/>
      <c r="CN1452"/>
      <c r="CO1452"/>
      <c r="CP1452"/>
      <c r="CQ1452"/>
      <c r="CR1452"/>
      <c r="CS1452"/>
      <c r="CT1452"/>
      <c r="CU1452"/>
      <c r="CV1452"/>
      <c r="CW1452"/>
      <c r="CX1452"/>
      <c r="CY1452"/>
      <c r="CZ1452"/>
      <c r="DA1452"/>
      <c r="DB1452"/>
      <c r="DC1452"/>
      <c r="DD1452"/>
      <c r="DE1452"/>
      <c r="DF1452"/>
      <c r="DG1452"/>
      <c r="DH1452"/>
      <c r="DI1452"/>
      <c r="DJ1452"/>
      <c r="DK1452"/>
      <c r="DL1452"/>
      <c r="DM1452"/>
      <c r="DN1452"/>
      <c r="DO1452"/>
      <c r="DP1452"/>
      <c r="DQ1452"/>
      <c r="DR1452"/>
      <c r="DS1452"/>
      <c r="DT1452"/>
      <c r="DU1452"/>
      <c r="DV1452"/>
      <c r="DW1452"/>
      <c r="DX1452"/>
      <c r="DY1452"/>
      <c r="DZ1452"/>
      <c r="EA1452"/>
      <c r="EB1452"/>
      <c r="EC1452"/>
      <c r="ED1452"/>
      <c r="EE1452"/>
      <c r="EF1452"/>
      <c r="EG1452"/>
      <c r="EH1452"/>
      <c r="EI1452"/>
      <c r="EJ1452"/>
      <c r="EK1452"/>
      <c r="EL1452"/>
      <c r="EM1452"/>
      <c r="EN1452"/>
      <c r="EO1452"/>
      <c r="EP1452"/>
      <c r="EQ1452"/>
      <c r="ER1452"/>
      <c r="ES1452"/>
    </row>
    <row r="1453" spans="1:149">
      <c r="A1453"/>
      <c r="B1453"/>
      <c r="C1453"/>
      <c r="D1453"/>
      <c r="E1453"/>
      <c r="F1453"/>
      <c r="G1453"/>
      <c r="H1453"/>
      <c r="I1453"/>
      <c r="J1453"/>
      <c r="K1453"/>
      <c r="L1453"/>
      <c r="M1453"/>
      <c r="N1453"/>
      <c r="O1453"/>
      <c r="P1453"/>
      <c r="Q1453"/>
      <c r="R1453"/>
      <c r="S1453"/>
      <c r="T1453"/>
      <c r="U1453"/>
      <c r="V1453"/>
      <c r="W1453"/>
      <c r="X1453"/>
      <c r="Y1453"/>
      <c r="Z1453"/>
      <c r="AA1453"/>
      <c r="AB1453"/>
      <c r="AC1453"/>
      <c r="AD1453"/>
      <c r="AE1453"/>
      <c r="AF1453"/>
      <c r="AG1453"/>
      <c r="AH1453"/>
      <c r="AI1453"/>
      <c r="AJ1453"/>
      <c r="AK1453"/>
      <c r="AL1453"/>
      <c r="AM1453"/>
      <c r="AN1453"/>
      <c r="AO1453"/>
      <c r="AP1453"/>
      <c r="AQ1453"/>
      <c r="AR1453"/>
      <c r="AS1453"/>
      <c r="AT1453"/>
      <c r="AU1453"/>
      <c r="AV1453"/>
      <c r="AW1453"/>
      <c r="AX1453"/>
      <c r="AY1453"/>
      <c r="AZ1453"/>
      <c r="BA1453"/>
      <c r="BB1453"/>
      <c r="BC1453"/>
      <c r="BD1453"/>
      <c r="BE1453"/>
      <c r="BF1453"/>
      <c r="BG1453"/>
      <c r="BH1453"/>
      <c r="BI1453"/>
      <c r="BJ1453"/>
      <c r="BK1453"/>
      <c r="BL1453"/>
      <c r="BM1453"/>
      <c r="BN1453"/>
      <c r="BO1453"/>
      <c r="BP1453"/>
      <c r="BQ1453"/>
      <c r="BR1453"/>
      <c r="BS1453"/>
      <c r="BT1453"/>
      <c r="BU1453"/>
      <c r="BV1453"/>
      <c r="BW1453"/>
      <c r="BX1453"/>
      <c r="BY1453"/>
      <c r="BZ1453"/>
      <c r="CA1453"/>
      <c r="CB1453"/>
      <c r="CC1453"/>
      <c r="CD1453"/>
      <c r="CE1453"/>
      <c r="CF1453"/>
      <c r="CG1453"/>
      <c r="CH1453"/>
      <c r="CI1453"/>
      <c r="CJ1453"/>
      <c r="CK1453"/>
      <c r="CL1453"/>
      <c r="CM1453"/>
      <c r="CN1453"/>
      <c r="CO1453"/>
      <c r="CP1453"/>
      <c r="CQ1453"/>
      <c r="CR1453"/>
      <c r="CS1453"/>
      <c r="CT1453"/>
      <c r="CU1453"/>
      <c r="CV1453"/>
      <c r="CW1453"/>
      <c r="CX1453"/>
      <c r="CY1453"/>
      <c r="CZ1453"/>
      <c r="DA1453"/>
      <c r="DB1453"/>
      <c r="DC1453"/>
      <c r="DD1453"/>
      <c r="DE1453"/>
      <c r="DF1453"/>
      <c r="DG1453"/>
      <c r="DH1453"/>
      <c r="DI1453"/>
      <c r="DJ1453"/>
      <c r="DK1453"/>
      <c r="DL1453"/>
      <c r="DM1453"/>
      <c r="DN1453"/>
      <c r="DO1453"/>
      <c r="DP1453"/>
      <c r="DQ1453"/>
      <c r="DR1453"/>
      <c r="DS1453"/>
      <c r="DT1453"/>
      <c r="DU1453"/>
      <c r="DV1453"/>
      <c r="DW1453"/>
      <c r="DX1453"/>
      <c r="DY1453"/>
      <c r="DZ1453"/>
      <c r="EA1453"/>
      <c r="EB1453"/>
      <c r="EC1453"/>
      <c r="ED1453"/>
      <c r="EE1453"/>
      <c r="EF1453"/>
      <c r="EG1453"/>
      <c r="EH1453"/>
      <c r="EI1453"/>
      <c r="EJ1453"/>
      <c r="EK1453"/>
      <c r="EL1453"/>
      <c r="EM1453"/>
      <c r="EN1453"/>
      <c r="EO1453"/>
      <c r="EP1453"/>
      <c r="EQ1453"/>
      <c r="ER1453"/>
      <c r="ES1453"/>
    </row>
    <row r="1454" spans="1:149">
      <c r="A1454"/>
      <c r="B1454"/>
      <c r="C1454"/>
      <c r="D1454"/>
      <c r="E1454"/>
      <c r="F1454"/>
      <c r="G1454"/>
      <c r="H1454"/>
      <c r="I1454"/>
      <c r="J1454"/>
      <c r="K1454"/>
      <c r="L1454"/>
      <c r="M1454"/>
      <c r="N1454"/>
      <c r="O1454"/>
      <c r="P1454"/>
      <c r="Q1454"/>
      <c r="R1454"/>
      <c r="S1454"/>
      <c r="T1454"/>
      <c r="U1454"/>
      <c r="V1454"/>
      <c r="W1454"/>
      <c r="X1454"/>
      <c r="Y1454"/>
      <c r="Z1454"/>
      <c r="AA1454"/>
      <c r="AB1454"/>
      <c r="AC1454"/>
      <c r="AD1454"/>
      <c r="AE1454"/>
      <c r="AF1454"/>
      <c r="AG1454"/>
      <c r="AH1454"/>
      <c r="AI1454"/>
      <c r="AJ1454"/>
      <c r="AK1454"/>
      <c r="AL1454"/>
      <c r="AM1454"/>
      <c r="AN1454"/>
      <c r="AO1454"/>
      <c r="AP1454"/>
      <c r="AQ1454"/>
      <c r="AR1454"/>
      <c r="AS1454"/>
      <c r="AT1454"/>
      <c r="AU1454"/>
      <c r="AV1454"/>
      <c r="AW1454"/>
      <c r="AX1454"/>
      <c r="AY1454"/>
      <c r="AZ1454"/>
      <c r="BA1454"/>
      <c r="BB1454"/>
      <c r="BC1454"/>
      <c r="BD1454"/>
      <c r="BE1454"/>
      <c r="BF1454"/>
      <c r="BG1454"/>
      <c r="BH1454"/>
      <c r="BI1454"/>
      <c r="BJ1454"/>
      <c r="BK1454"/>
      <c r="BL1454"/>
      <c r="BM1454"/>
      <c r="BN1454"/>
      <c r="BO1454"/>
      <c r="BP1454"/>
      <c r="BQ1454"/>
      <c r="BR1454"/>
      <c r="BS1454"/>
      <c r="BT1454"/>
      <c r="BU1454"/>
      <c r="BV1454"/>
      <c r="BW1454"/>
      <c r="BX1454"/>
      <c r="BY1454"/>
      <c r="BZ1454"/>
      <c r="CA1454"/>
      <c r="CB1454"/>
      <c r="CC1454"/>
      <c r="CD1454"/>
      <c r="CE1454"/>
      <c r="CF1454"/>
      <c r="CG1454"/>
      <c r="CH1454"/>
      <c r="CI1454"/>
      <c r="CJ1454"/>
      <c r="CK1454"/>
      <c r="CL1454"/>
      <c r="CM1454"/>
      <c r="CN1454"/>
      <c r="CO1454"/>
      <c r="CP1454"/>
      <c r="CQ1454"/>
      <c r="CR1454"/>
      <c r="CS1454"/>
      <c r="CT1454"/>
      <c r="CU1454"/>
      <c r="CV1454"/>
      <c r="CW1454"/>
      <c r="CX1454"/>
      <c r="CY1454"/>
      <c r="CZ1454"/>
      <c r="DA1454"/>
      <c r="DB1454"/>
      <c r="DC1454"/>
      <c r="DD1454"/>
      <c r="DE1454"/>
      <c r="DF1454"/>
      <c r="DG1454"/>
      <c r="DH1454"/>
      <c r="DI1454"/>
      <c r="DJ1454"/>
      <c r="DK1454"/>
      <c r="DL1454"/>
      <c r="DM1454"/>
      <c r="DN1454"/>
      <c r="DO1454"/>
      <c r="DP1454"/>
      <c r="DQ1454"/>
      <c r="DR1454"/>
      <c r="DS1454"/>
      <c r="DT1454"/>
      <c r="DU1454"/>
      <c r="DV1454"/>
      <c r="DW1454"/>
      <c r="DX1454"/>
      <c r="DY1454"/>
      <c r="DZ1454"/>
      <c r="EA1454"/>
      <c r="EB1454"/>
      <c r="EC1454"/>
      <c r="ED1454"/>
      <c r="EE1454"/>
      <c r="EF1454"/>
      <c r="EG1454"/>
      <c r="EH1454"/>
      <c r="EI1454"/>
      <c r="EJ1454"/>
      <c r="EK1454"/>
      <c r="EL1454"/>
      <c r="EM1454"/>
      <c r="EN1454"/>
      <c r="EO1454"/>
      <c r="EP1454"/>
      <c r="EQ1454"/>
      <c r="ER1454"/>
      <c r="ES1454"/>
    </row>
    <row r="1455" spans="1:149">
      <c r="A1455"/>
      <c r="B1455"/>
      <c r="C1455"/>
      <c r="D1455"/>
      <c r="E1455"/>
      <c r="F1455"/>
      <c r="G1455"/>
      <c r="H1455"/>
      <c r="I1455"/>
      <c r="J1455"/>
      <c r="K1455"/>
      <c r="L1455"/>
      <c r="M1455"/>
      <c r="N1455"/>
      <c r="O1455"/>
      <c r="P1455"/>
      <c r="Q1455"/>
      <c r="R1455"/>
      <c r="S1455"/>
      <c r="T1455"/>
      <c r="U1455"/>
      <c r="V1455"/>
      <c r="W1455"/>
      <c r="X1455"/>
      <c r="Y1455"/>
      <c r="Z1455"/>
      <c r="AA1455"/>
      <c r="AB1455"/>
      <c r="AC1455"/>
      <c r="AD1455"/>
      <c r="AE1455"/>
      <c r="AF1455"/>
      <c r="AG1455"/>
      <c r="AH1455"/>
      <c r="AI1455"/>
      <c r="AJ1455"/>
      <c r="AK1455"/>
      <c r="AL1455"/>
      <c r="AM1455"/>
      <c r="AN1455"/>
      <c r="AO1455"/>
      <c r="AP1455"/>
      <c r="AQ1455"/>
      <c r="AR1455"/>
      <c r="AS1455"/>
      <c r="AT1455"/>
      <c r="AU1455"/>
      <c r="AV1455"/>
      <c r="AW1455"/>
      <c r="AX1455"/>
      <c r="AY1455"/>
      <c r="AZ1455"/>
      <c r="BA1455"/>
      <c r="BB1455"/>
      <c r="BC1455"/>
      <c r="BD1455"/>
      <c r="BE1455"/>
      <c r="BF1455"/>
      <c r="BG1455"/>
      <c r="BH1455"/>
      <c r="BI1455"/>
      <c r="BJ1455"/>
      <c r="BK1455"/>
      <c r="BL1455"/>
      <c r="BM1455"/>
      <c r="BN1455"/>
      <c r="BO1455"/>
      <c r="BP1455"/>
      <c r="BQ1455"/>
      <c r="BR1455"/>
      <c r="BS1455"/>
      <c r="BT1455"/>
      <c r="BU1455"/>
      <c r="BV1455"/>
      <c r="BW1455"/>
      <c r="BX1455"/>
      <c r="BY1455"/>
      <c r="BZ1455"/>
      <c r="CA1455"/>
      <c r="CB1455"/>
      <c r="CC1455"/>
      <c r="CD1455"/>
      <c r="CE1455"/>
      <c r="CF1455"/>
      <c r="CG1455"/>
      <c r="CH1455"/>
      <c r="CI1455"/>
      <c r="CJ1455"/>
      <c r="CK1455"/>
      <c r="CL1455"/>
      <c r="CM1455"/>
      <c r="CN1455"/>
      <c r="CO1455"/>
      <c r="CP1455"/>
      <c r="CQ1455"/>
      <c r="CR1455"/>
      <c r="CS1455"/>
      <c r="CT1455"/>
      <c r="CU1455"/>
      <c r="CV1455"/>
      <c r="CW1455"/>
      <c r="CX1455"/>
      <c r="CY1455"/>
      <c r="CZ1455"/>
      <c r="DA1455"/>
      <c r="DB1455"/>
      <c r="DC1455"/>
      <c r="DD1455"/>
      <c r="DE1455"/>
      <c r="DF1455"/>
      <c r="DG1455"/>
      <c r="DH1455"/>
      <c r="DI1455"/>
      <c r="DJ1455"/>
      <c r="DK1455"/>
      <c r="DL1455"/>
      <c r="DM1455"/>
      <c r="DN1455"/>
      <c r="DO1455"/>
      <c r="DP1455"/>
      <c r="DQ1455"/>
      <c r="DR1455"/>
      <c r="DS1455"/>
      <c r="DT1455"/>
      <c r="DU1455"/>
      <c r="DV1455"/>
      <c r="DW1455"/>
      <c r="DX1455"/>
      <c r="DY1455"/>
      <c r="DZ1455"/>
      <c r="EA1455"/>
      <c r="EB1455"/>
      <c r="EC1455"/>
      <c r="ED1455"/>
      <c r="EE1455"/>
      <c r="EF1455"/>
      <c r="EG1455"/>
      <c r="EH1455"/>
      <c r="EI1455"/>
      <c r="EJ1455"/>
      <c r="EK1455"/>
      <c r="EL1455"/>
      <c r="EM1455"/>
      <c r="EN1455"/>
      <c r="EO1455"/>
      <c r="EP1455"/>
      <c r="EQ1455"/>
      <c r="ER1455"/>
      <c r="ES1455"/>
    </row>
    <row r="1456" spans="1:149">
      <c r="A1456"/>
      <c r="B1456"/>
      <c r="C1456"/>
      <c r="D1456"/>
      <c r="E1456"/>
      <c r="F1456"/>
      <c r="G1456"/>
      <c r="H1456"/>
      <c r="I1456"/>
      <c r="J1456"/>
      <c r="K1456"/>
      <c r="L1456"/>
      <c r="M1456"/>
      <c r="N1456"/>
      <c r="O1456"/>
      <c r="P1456"/>
      <c r="Q1456"/>
      <c r="R1456"/>
      <c r="S1456"/>
      <c r="T1456"/>
      <c r="U1456"/>
      <c r="V1456"/>
      <c r="W1456"/>
      <c r="X1456"/>
      <c r="Y1456"/>
      <c r="Z1456"/>
      <c r="AA1456"/>
      <c r="AB1456"/>
      <c r="AC1456"/>
      <c r="AD1456"/>
      <c r="AE1456"/>
      <c r="AF1456"/>
      <c r="AG1456"/>
      <c r="AH1456"/>
      <c r="AI1456"/>
      <c r="AJ1456"/>
      <c r="AK1456"/>
      <c r="AL1456"/>
      <c r="AM1456"/>
      <c r="AN1456"/>
      <c r="AO1456"/>
      <c r="AP1456"/>
      <c r="AQ1456"/>
      <c r="AR1456"/>
      <c r="AS1456"/>
      <c r="AT1456"/>
      <c r="AU1456"/>
      <c r="AV1456"/>
      <c r="AW1456"/>
      <c r="AX1456"/>
      <c r="AY1456"/>
      <c r="AZ1456"/>
      <c r="BA1456"/>
      <c r="BB1456"/>
      <c r="BC1456"/>
      <c r="BD1456"/>
      <c r="BE1456"/>
      <c r="BF1456"/>
      <c r="BG1456"/>
      <c r="BH1456"/>
      <c r="BI1456"/>
      <c r="BJ1456"/>
      <c r="BK1456"/>
      <c r="BL1456"/>
      <c r="BM1456"/>
      <c r="BN1456"/>
      <c r="BO1456"/>
      <c r="BP1456"/>
      <c r="BQ1456"/>
      <c r="BR1456"/>
      <c r="BS1456"/>
      <c r="BT1456"/>
      <c r="BU1456"/>
      <c r="BV1456"/>
      <c r="BW1456"/>
      <c r="BX1456"/>
      <c r="BY1456"/>
      <c r="BZ1456"/>
      <c r="CA1456"/>
      <c r="CB1456"/>
      <c r="CC1456"/>
      <c r="CD1456"/>
      <c r="CE1456"/>
      <c r="CF1456"/>
      <c r="CG1456"/>
      <c r="CH1456"/>
      <c r="CI1456"/>
      <c r="CJ1456"/>
      <c r="CK1456"/>
      <c r="CL1456"/>
      <c r="CM1456"/>
      <c r="CN1456"/>
      <c r="CO1456"/>
      <c r="CP1456"/>
      <c r="CQ1456"/>
      <c r="CR1456"/>
      <c r="CS1456"/>
      <c r="CT1456"/>
      <c r="CU1456"/>
      <c r="CV1456"/>
      <c r="CW1456"/>
      <c r="CX1456"/>
      <c r="CY1456"/>
      <c r="CZ1456"/>
      <c r="DA1456"/>
      <c r="DB1456"/>
      <c r="DC1456"/>
      <c r="DD1456"/>
      <c r="DE1456"/>
      <c r="DF1456"/>
      <c r="DG1456"/>
      <c r="DH1456"/>
      <c r="DI1456"/>
      <c r="DJ1456"/>
      <c r="DK1456"/>
      <c r="DL1456"/>
      <c r="DM1456"/>
      <c r="DN1456"/>
      <c r="DO1456"/>
      <c r="DP1456"/>
      <c r="DQ1456"/>
      <c r="DR1456"/>
      <c r="DS1456"/>
      <c r="DT1456"/>
      <c r="DU1456"/>
      <c r="DV1456"/>
      <c r="DW1456"/>
      <c r="DX1456"/>
      <c r="DY1456"/>
      <c r="DZ1456"/>
      <c r="EA1456"/>
      <c r="EB1456"/>
      <c r="EC1456"/>
      <c r="ED1456"/>
      <c r="EE1456"/>
      <c r="EF1456"/>
      <c r="EG1456"/>
      <c r="EH1456"/>
      <c r="EI1456"/>
      <c r="EJ1456"/>
      <c r="EK1456"/>
      <c r="EL1456"/>
      <c r="EM1456"/>
      <c r="EN1456"/>
      <c r="EO1456"/>
      <c r="EP1456"/>
      <c r="EQ1456"/>
      <c r="ER1456"/>
      <c r="ES1456"/>
    </row>
    <row r="1457" spans="1:149">
      <c r="A1457"/>
      <c r="B1457"/>
      <c r="C1457"/>
      <c r="D1457"/>
      <c r="E1457"/>
      <c r="F1457"/>
      <c r="G1457"/>
      <c r="H1457"/>
      <c r="I1457"/>
      <c r="J1457"/>
      <c r="K1457"/>
      <c r="L1457"/>
      <c r="M1457"/>
      <c r="N1457"/>
      <c r="O1457"/>
      <c r="P1457"/>
      <c r="Q1457"/>
      <c r="R1457"/>
      <c r="S1457"/>
      <c r="T1457"/>
      <c r="U1457"/>
      <c r="V1457"/>
      <c r="W1457"/>
      <c r="X1457"/>
      <c r="Y1457"/>
      <c r="Z1457"/>
      <c r="AA1457"/>
      <c r="AB1457"/>
      <c r="AC1457"/>
      <c r="AD1457"/>
      <c r="AE1457"/>
      <c r="AF1457"/>
      <c r="AG1457"/>
      <c r="AH1457"/>
      <c r="AI1457"/>
      <c r="AJ1457"/>
      <c r="AK1457"/>
      <c r="AL1457"/>
      <c r="AM1457"/>
      <c r="AN1457"/>
      <c r="AO1457"/>
      <c r="AP1457"/>
      <c r="AQ1457"/>
      <c r="AR1457"/>
      <c r="AS1457"/>
      <c r="AT1457"/>
      <c r="AU1457"/>
      <c r="AV1457"/>
      <c r="AW1457"/>
      <c r="AX1457"/>
      <c r="AY1457"/>
      <c r="AZ1457"/>
      <c r="BA1457"/>
      <c r="BB1457"/>
      <c r="BC1457"/>
      <c r="BD1457"/>
      <c r="BE1457"/>
      <c r="BF1457"/>
      <c r="BG1457"/>
      <c r="BH1457"/>
      <c r="BI1457"/>
      <c r="BJ1457"/>
      <c r="BK1457"/>
      <c r="BL1457"/>
      <c r="BM1457"/>
      <c r="BN1457"/>
      <c r="BO1457"/>
      <c r="BP1457"/>
      <c r="BQ1457"/>
      <c r="BR1457"/>
      <c r="BS1457"/>
      <c r="BT1457"/>
      <c r="BU1457"/>
      <c r="BV1457"/>
      <c r="BW1457"/>
      <c r="BX1457"/>
      <c r="BY1457"/>
      <c r="BZ1457"/>
      <c r="CA1457"/>
      <c r="CB1457"/>
      <c r="CC1457"/>
      <c r="CD1457"/>
      <c r="CE1457"/>
      <c r="CF1457"/>
      <c r="CG1457"/>
      <c r="CH1457"/>
      <c r="CI1457"/>
      <c r="CJ1457"/>
      <c r="CK1457"/>
      <c r="CL1457"/>
      <c r="CM1457"/>
      <c r="CN1457"/>
      <c r="CO1457"/>
      <c r="CP1457"/>
      <c r="CQ1457"/>
      <c r="CR1457"/>
      <c r="CS1457"/>
      <c r="CT1457"/>
      <c r="CU1457"/>
      <c r="CV1457"/>
      <c r="CW1457"/>
      <c r="CX1457"/>
      <c r="CY1457"/>
      <c r="CZ1457"/>
      <c r="DA1457"/>
      <c r="DB1457"/>
      <c r="DC1457"/>
      <c r="DD1457"/>
      <c r="DE1457"/>
      <c r="DF1457"/>
      <c r="DG1457"/>
      <c r="DH1457"/>
      <c r="DI1457"/>
      <c r="DJ1457"/>
      <c r="DK1457"/>
      <c r="DL1457"/>
      <c r="DM1457"/>
      <c r="DN1457"/>
      <c r="DO1457"/>
      <c r="DP1457"/>
      <c r="DQ1457"/>
      <c r="DR1457"/>
      <c r="DS1457"/>
      <c r="DT1457"/>
      <c r="DU1457"/>
      <c r="DV1457"/>
      <c r="DW1457"/>
      <c r="DX1457"/>
      <c r="DY1457"/>
      <c r="DZ1457"/>
      <c r="EA1457"/>
      <c r="EB1457"/>
      <c r="EC1457"/>
      <c r="ED1457"/>
      <c r="EE1457"/>
      <c r="EF1457"/>
      <c r="EG1457"/>
      <c r="EH1457"/>
      <c r="EI1457"/>
      <c r="EJ1457"/>
      <c r="EK1457"/>
      <c r="EL1457"/>
      <c r="EM1457"/>
      <c r="EN1457"/>
      <c r="EO1457"/>
      <c r="EP1457"/>
      <c r="EQ1457"/>
      <c r="ER1457"/>
      <c r="ES1457"/>
    </row>
    <row r="1458" spans="1:149">
      <c r="A1458"/>
      <c r="B1458"/>
      <c r="C1458"/>
      <c r="D1458"/>
      <c r="E1458"/>
      <c r="F1458"/>
      <c r="G1458"/>
      <c r="H1458"/>
      <c r="I1458"/>
      <c r="J1458"/>
      <c r="K1458"/>
      <c r="L1458"/>
      <c r="M1458"/>
      <c r="N1458"/>
      <c r="O1458"/>
      <c r="P1458"/>
      <c r="Q1458"/>
      <c r="R1458"/>
      <c r="S1458"/>
      <c r="T1458"/>
      <c r="U1458"/>
      <c r="V1458"/>
      <c r="W1458"/>
      <c r="X1458"/>
      <c r="Y1458"/>
      <c r="Z1458"/>
      <c r="AA1458"/>
      <c r="AB1458"/>
      <c r="AC1458"/>
      <c r="AD1458"/>
      <c r="AE1458"/>
      <c r="AF1458"/>
      <c r="AG1458"/>
      <c r="AH1458"/>
      <c r="AI1458"/>
      <c r="AJ1458"/>
      <c r="AK1458"/>
      <c r="AL1458"/>
      <c r="AM1458"/>
      <c r="AN1458"/>
      <c r="AO1458"/>
      <c r="AP1458"/>
      <c r="AQ1458"/>
      <c r="AR1458"/>
      <c r="AS1458"/>
      <c r="AT1458"/>
      <c r="AU1458"/>
      <c r="AV1458"/>
      <c r="AW1458"/>
      <c r="AX1458"/>
      <c r="AY1458"/>
      <c r="AZ1458"/>
      <c r="BA1458"/>
      <c r="BB1458"/>
      <c r="BC1458"/>
      <c r="BD1458"/>
      <c r="BE1458"/>
      <c r="BF1458"/>
      <c r="BG1458"/>
      <c r="BH1458"/>
      <c r="BI1458"/>
      <c r="BJ1458"/>
      <c r="BK1458"/>
      <c r="BL1458"/>
      <c r="BM1458"/>
      <c r="BN1458"/>
      <c r="BO1458"/>
      <c r="BP1458"/>
      <c r="BQ1458"/>
      <c r="BR1458"/>
      <c r="BS1458"/>
      <c r="BT1458"/>
      <c r="BU1458"/>
      <c r="BV1458"/>
      <c r="BW1458"/>
      <c r="BX1458"/>
      <c r="BY1458"/>
      <c r="BZ1458"/>
      <c r="CA1458"/>
      <c r="CB1458"/>
      <c r="CC1458"/>
      <c r="CD1458"/>
      <c r="CE1458"/>
      <c r="CF1458"/>
      <c r="CG1458"/>
      <c r="CH1458"/>
      <c r="CI1458"/>
      <c r="CJ1458"/>
      <c r="CK1458"/>
      <c r="CL1458"/>
      <c r="CM1458"/>
      <c r="CN1458"/>
      <c r="CO1458"/>
      <c r="CP1458"/>
      <c r="CQ1458"/>
      <c r="CR1458"/>
      <c r="CS1458"/>
      <c r="CT1458"/>
      <c r="CU1458"/>
      <c r="CV1458"/>
      <c r="CW1458"/>
      <c r="CX1458"/>
      <c r="CY1458"/>
      <c r="CZ1458"/>
      <c r="DA1458"/>
      <c r="DB1458"/>
      <c r="DC1458"/>
      <c r="DD1458"/>
      <c r="DE1458"/>
      <c r="DF1458"/>
      <c r="DG1458"/>
      <c r="DH1458"/>
      <c r="DI1458"/>
      <c r="DJ1458"/>
      <c r="DK1458"/>
      <c r="DL1458"/>
      <c r="DM1458"/>
      <c r="DN1458"/>
      <c r="DO1458"/>
      <c r="DP1458"/>
      <c r="DQ1458"/>
      <c r="DR1458"/>
      <c r="DS1458"/>
      <c r="DT1458"/>
      <c r="DU1458"/>
      <c r="DV1458"/>
      <c r="DW1458"/>
      <c r="DX1458"/>
      <c r="DY1458"/>
      <c r="DZ1458"/>
      <c r="EA1458"/>
      <c r="EB1458"/>
      <c r="EC1458"/>
      <c r="ED1458"/>
      <c r="EE1458"/>
      <c r="EF1458"/>
      <c r="EG1458"/>
      <c r="EH1458"/>
      <c r="EI1458"/>
      <c r="EJ1458"/>
      <c r="EK1458"/>
      <c r="EL1458"/>
      <c r="EM1458"/>
      <c r="EN1458"/>
      <c r="EO1458"/>
      <c r="EP1458"/>
      <c r="EQ1458"/>
      <c r="ER1458"/>
      <c r="ES1458"/>
    </row>
    <row r="1459" spans="1:149">
      <c r="A1459"/>
      <c r="B1459"/>
      <c r="C1459"/>
      <c r="D1459"/>
      <c r="E1459"/>
      <c r="F1459"/>
      <c r="G1459"/>
      <c r="H1459"/>
      <c r="I1459"/>
      <c r="J1459"/>
      <c r="K1459"/>
      <c r="L1459"/>
      <c r="M1459"/>
      <c r="N1459"/>
      <c r="O1459"/>
      <c r="P1459"/>
      <c r="Q1459"/>
      <c r="R1459"/>
      <c r="S1459"/>
      <c r="T1459"/>
      <c r="U1459"/>
      <c r="V1459"/>
      <c r="W1459"/>
      <c r="X1459"/>
      <c r="Y1459"/>
      <c r="Z1459"/>
      <c r="AA1459"/>
      <c r="AB1459"/>
      <c r="AC1459"/>
      <c r="AD1459"/>
      <c r="AE1459"/>
      <c r="AF1459"/>
      <c r="AG1459"/>
      <c r="AH1459"/>
      <c r="AI1459"/>
      <c r="AJ1459"/>
      <c r="AK1459"/>
      <c r="AL1459"/>
      <c r="AM1459"/>
      <c r="AN1459"/>
      <c r="AO1459"/>
      <c r="AP1459"/>
      <c r="AQ1459"/>
      <c r="AR1459"/>
      <c r="AS1459"/>
      <c r="AT1459"/>
      <c r="AU1459"/>
      <c r="AV1459"/>
      <c r="AW1459"/>
      <c r="AX1459"/>
      <c r="AY1459"/>
      <c r="AZ1459"/>
      <c r="BA1459"/>
      <c r="BB1459"/>
      <c r="BC1459"/>
      <c r="BD1459"/>
      <c r="BE1459"/>
      <c r="BF1459"/>
      <c r="BG1459"/>
      <c r="BH1459"/>
      <c r="BI1459"/>
      <c r="BJ1459"/>
      <c r="BK1459"/>
      <c r="BL1459"/>
      <c r="BM1459"/>
      <c r="BN1459"/>
      <c r="BO1459"/>
      <c r="BP1459"/>
      <c r="BQ1459"/>
      <c r="BR1459"/>
      <c r="BS1459"/>
      <c r="BT1459"/>
      <c r="BU1459"/>
      <c r="BV1459"/>
      <c r="BW1459"/>
      <c r="BX1459"/>
      <c r="BY1459"/>
      <c r="BZ1459"/>
      <c r="CA1459"/>
      <c r="CB1459"/>
      <c r="CC1459"/>
      <c r="CD1459"/>
      <c r="CE1459"/>
      <c r="CF1459"/>
      <c r="CG1459"/>
      <c r="CH1459"/>
      <c r="CI1459"/>
      <c r="CJ1459"/>
      <c r="CK1459"/>
      <c r="CL1459"/>
      <c r="CM1459"/>
      <c r="CN1459"/>
      <c r="CO1459"/>
      <c r="CP1459"/>
      <c r="CQ1459"/>
      <c r="CR1459"/>
      <c r="CS1459"/>
      <c r="CT1459"/>
      <c r="CU1459"/>
      <c r="CV1459"/>
      <c r="CW1459"/>
      <c r="CX1459"/>
      <c r="CY1459"/>
      <c r="CZ1459"/>
      <c r="DA1459"/>
      <c r="DB1459"/>
      <c r="DC1459"/>
      <c r="DD1459"/>
      <c r="DE1459"/>
      <c r="DF1459"/>
      <c r="DG1459"/>
      <c r="DH1459"/>
      <c r="DI1459"/>
      <c r="DJ1459"/>
      <c r="DK1459"/>
      <c r="DL1459"/>
      <c r="DM1459"/>
      <c r="DN1459"/>
      <c r="DO1459"/>
      <c r="DP1459"/>
      <c r="DQ1459"/>
      <c r="DR1459"/>
      <c r="DS1459"/>
      <c r="DT1459"/>
      <c r="DU1459"/>
      <c r="DV1459"/>
      <c r="DW1459"/>
      <c r="DX1459"/>
      <c r="DY1459"/>
      <c r="DZ1459"/>
      <c r="EA1459"/>
      <c r="EB1459"/>
      <c r="EC1459"/>
      <c r="ED1459"/>
      <c r="EE1459"/>
      <c r="EF1459"/>
      <c r="EG1459"/>
      <c r="EH1459"/>
      <c r="EI1459"/>
      <c r="EJ1459"/>
      <c r="EK1459"/>
      <c r="EL1459"/>
      <c r="EM1459"/>
      <c r="EN1459"/>
      <c r="EO1459"/>
      <c r="EP1459"/>
      <c r="EQ1459"/>
      <c r="ER1459"/>
      <c r="ES1459"/>
    </row>
    <row r="1460" spans="1:149">
      <c r="A1460"/>
      <c r="B1460"/>
      <c r="C1460"/>
      <c r="D1460"/>
      <c r="E1460"/>
      <c r="F1460"/>
      <c r="G1460"/>
      <c r="H1460"/>
      <c r="I1460"/>
      <c r="J1460"/>
      <c r="K1460"/>
      <c r="L1460"/>
      <c r="M1460"/>
      <c r="N1460"/>
      <c r="O1460"/>
      <c r="P1460"/>
      <c r="Q1460"/>
      <c r="R1460"/>
      <c r="S1460"/>
      <c r="T1460"/>
      <c r="U1460"/>
      <c r="V1460"/>
      <c r="W1460"/>
      <c r="X1460"/>
      <c r="Y1460"/>
      <c r="Z1460"/>
      <c r="AA1460"/>
      <c r="AB1460"/>
      <c r="AC1460"/>
      <c r="AD1460"/>
      <c r="AE1460"/>
      <c r="AF1460"/>
      <c r="AG1460"/>
      <c r="AH1460"/>
      <c r="AI1460"/>
      <c r="AJ1460"/>
      <c r="AK1460"/>
      <c r="AL1460"/>
      <c r="AM1460"/>
      <c r="AN1460"/>
      <c r="AO1460"/>
      <c r="AP1460"/>
      <c r="AQ1460"/>
      <c r="AR1460"/>
      <c r="AS1460"/>
      <c r="AT1460"/>
      <c r="AU1460"/>
      <c r="AV1460"/>
      <c r="AW1460"/>
      <c r="AX1460"/>
      <c r="AY1460"/>
      <c r="AZ1460"/>
      <c r="BA1460"/>
      <c r="BB1460"/>
      <c r="BC1460"/>
      <c r="BD1460"/>
      <c r="BE1460"/>
      <c r="BF1460"/>
      <c r="BG1460"/>
      <c r="BH1460"/>
      <c r="BI1460"/>
      <c r="BJ1460"/>
      <c r="BK1460"/>
      <c r="BL1460"/>
      <c r="BM1460"/>
      <c r="BN1460"/>
      <c r="BO1460"/>
      <c r="BP1460"/>
      <c r="BQ1460"/>
      <c r="BR1460"/>
      <c r="BS1460"/>
      <c r="BT1460"/>
      <c r="BU1460"/>
      <c r="BV1460"/>
      <c r="BW1460"/>
      <c r="BX1460"/>
      <c r="BY1460"/>
      <c r="BZ1460"/>
      <c r="CA1460"/>
      <c r="CB1460"/>
      <c r="CC1460"/>
      <c r="CD1460"/>
      <c r="CE1460"/>
      <c r="CF1460"/>
      <c r="CG1460"/>
      <c r="CH1460"/>
      <c r="CI1460"/>
      <c r="CJ1460"/>
      <c r="CK1460"/>
      <c r="CL1460"/>
      <c r="CM1460"/>
      <c r="CN1460"/>
      <c r="CO1460"/>
      <c r="CP1460"/>
      <c r="CQ1460"/>
      <c r="CR1460"/>
      <c r="CS1460"/>
      <c r="CT1460"/>
      <c r="CU1460"/>
      <c r="CV1460"/>
      <c r="CW1460"/>
      <c r="CX1460"/>
      <c r="CY1460"/>
      <c r="CZ1460"/>
      <c r="DA1460"/>
      <c r="DB1460"/>
      <c r="DC1460"/>
      <c r="DD1460"/>
      <c r="DE1460"/>
      <c r="DF1460"/>
      <c r="DG1460"/>
      <c r="DH1460"/>
      <c r="DI1460"/>
      <c r="DJ1460"/>
      <c r="DK1460"/>
      <c r="DL1460"/>
      <c r="DM1460"/>
      <c r="DN1460"/>
      <c r="DO1460"/>
      <c r="DP1460"/>
      <c r="DQ1460"/>
      <c r="DR1460"/>
      <c r="DS1460"/>
      <c r="DT1460"/>
      <c r="DU1460"/>
      <c r="DV1460"/>
      <c r="DW1460"/>
      <c r="DX1460"/>
      <c r="DY1460"/>
      <c r="DZ1460"/>
      <c r="EA1460"/>
      <c r="EB1460"/>
      <c r="EC1460"/>
      <c r="ED1460"/>
      <c r="EE1460"/>
      <c r="EF1460"/>
      <c r="EG1460"/>
      <c r="EH1460"/>
      <c r="EI1460"/>
      <c r="EJ1460"/>
      <c r="EK1460"/>
      <c r="EL1460"/>
      <c r="EM1460"/>
      <c r="EN1460"/>
      <c r="EO1460"/>
      <c r="EP1460"/>
      <c r="EQ1460"/>
      <c r="ER1460"/>
      <c r="ES1460"/>
    </row>
    <row r="1461" spans="1:149">
      <c r="A1461"/>
      <c r="B1461"/>
      <c r="C1461"/>
      <c r="D1461"/>
      <c r="E1461"/>
      <c r="F1461"/>
      <c r="G1461"/>
      <c r="H1461"/>
      <c r="I1461"/>
      <c r="J1461"/>
      <c r="K1461"/>
      <c r="L1461"/>
      <c r="M1461"/>
      <c r="N1461"/>
      <c r="O1461"/>
      <c r="P1461"/>
      <c r="Q1461"/>
      <c r="R1461"/>
      <c r="S1461"/>
      <c r="T1461"/>
      <c r="U1461"/>
      <c r="V1461"/>
      <c r="W1461"/>
      <c r="X1461"/>
      <c r="Y1461"/>
      <c r="Z1461"/>
      <c r="AA1461"/>
      <c r="AB1461"/>
      <c r="AC1461"/>
      <c r="AD1461"/>
      <c r="AE1461"/>
      <c r="AF1461"/>
      <c r="AG1461"/>
      <c r="AH1461"/>
      <c r="AI1461"/>
      <c r="AJ1461"/>
      <c r="AK1461"/>
      <c r="AL1461"/>
      <c r="AM1461"/>
      <c r="AN1461"/>
      <c r="AO1461"/>
      <c r="AP1461"/>
      <c r="AQ1461"/>
      <c r="AR1461"/>
      <c r="AS1461"/>
      <c r="AT1461"/>
      <c r="AU1461"/>
      <c r="AV1461"/>
      <c r="AW1461"/>
      <c r="AX1461"/>
      <c r="AY1461"/>
      <c r="AZ1461"/>
      <c r="BA1461"/>
      <c r="BB1461"/>
      <c r="BC1461"/>
      <c r="BD1461"/>
      <c r="BE1461"/>
      <c r="BF1461"/>
      <c r="BG1461"/>
      <c r="BH1461"/>
      <c r="BI1461"/>
      <c r="BJ1461"/>
      <c r="BK1461"/>
      <c r="BL1461"/>
      <c r="BM1461"/>
      <c r="BN1461"/>
      <c r="BO1461"/>
      <c r="BP1461"/>
      <c r="BQ1461"/>
      <c r="BR1461"/>
      <c r="BS1461"/>
      <c r="BT1461"/>
      <c r="BU1461"/>
      <c r="BV1461"/>
      <c r="BW1461"/>
      <c r="BX1461"/>
      <c r="BY1461"/>
      <c r="BZ1461"/>
      <c r="CA1461"/>
      <c r="CB1461"/>
      <c r="CC1461"/>
      <c r="CD1461"/>
      <c r="CE1461"/>
      <c r="CF1461"/>
      <c r="CG1461"/>
      <c r="CH1461"/>
      <c r="CI1461"/>
      <c r="CJ1461"/>
      <c r="CK1461"/>
      <c r="CL1461"/>
      <c r="CM1461"/>
      <c r="CN1461"/>
      <c r="CO1461"/>
      <c r="CP1461"/>
      <c r="CQ1461"/>
      <c r="CR1461"/>
      <c r="CS1461"/>
      <c r="CT1461"/>
      <c r="CU1461"/>
      <c r="CV1461"/>
      <c r="CW1461"/>
      <c r="CX1461"/>
      <c r="CY1461"/>
      <c r="CZ1461"/>
      <c r="DA1461"/>
      <c r="DB1461"/>
      <c r="DC1461"/>
      <c r="DD1461"/>
      <c r="DE1461"/>
      <c r="DF1461"/>
      <c r="DG1461"/>
      <c r="DH1461"/>
      <c r="DI1461"/>
      <c r="DJ1461"/>
      <c r="DK1461"/>
      <c r="DL1461"/>
      <c r="DM1461"/>
      <c r="DN1461"/>
      <c r="DO1461"/>
      <c r="DP1461"/>
      <c r="DQ1461"/>
      <c r="DR1461"/>
      <c r="DS1461"/>
      <c r="DT1461"/>
      <c r="DU1461"/>
      <c r="DV1461"/>
      <c r="DW1461"/>
      <c r="DX1461"/>
      <c r="DY1461"/>
      <c r="DZ1461"/>
      <c r="EA1461"/>
      <c r="EB1461"/>
      <c r="EC1461"/>
      <c r="ED1461"/>
      <c r="EE1461"/>
      <c r="EF1461"/>
      <c r="EG1461"/>
      <c r="EH1461"/>
      <c r="EI1461"/>
      <c r="EJ1461"/>
      <c r="EK1461"/>
      <c r="EL1461"/>
      <c r="EM1461"/>
      <c r="EN1461"/>
      <c r="EO1461"/>
      <c r="EP1461"/>
      <c r="EQ1461"/>
      <c r="ER1461"/>
      <c r="ES1461"/>
    </row>
    <row r="1462" spans="1:149">
      <c r="A1462"/>
      <c r="B1462"/>
      <c r="C1462"/>
      <c r="D1462"/>
      <c r="E1462"/>
      <c r="F1462"/>
      <c r="G1462"/>
      <c r="H1462"/>
      <c r="I1462"/>
      <c r="J1462"/>
      <c r="K1462"/>
      <c r="L1462"/>
      <c r="M1462"/>
      <c r="N1462"/>
      <c r="O1462"/>
      <c r="P1462"/>
      <c r="Q1462"/>
      <c r="R1462"/>
      <c r="S1462"/>
      <c r="T1462"/>
      <c r="U1462"/>
      <c r="V1462"/>
      <c r="W1462"/>
      <c r="X1462"/>
      <c r="Y1462"/>
      <c r="Z1462"/>
      <c r="AA1462"/>
      <c r="AB1462"/>
      <c r="AC1462"/>
      <c r="AD1462"/>
      <c r="AE1462"/>
      <c r="AF1462"/>
      <c r="AG1462"/>
      <c r="AH1462"/>
      <c r="AI1462"/>
      <c r="AJ1462"/>
      <c r="AK1462"/>
      <c r="AL1462"/>
      <c r="AM1462"/>
      <c r="AN1462"/>
      <c r="AO1462"/>
      <c r="AP1462"/>
      <c r="AQ1462"/>
      <c r="AR1462"/>
      <c r="AS1462"/>
      <c r="AT1462"/>
      <c r="AU1462"/>
      <c r="AV1462"/>
      <c r="AW1462"/>
      <c r="AX1462"/>
      <c r="AY1462"/>
      <c r="AZ1462"/>
      <c r="BA1462"/>
      <c r="BB1462"/>
      <c r="BC1462"/>
      <c r="BD1462"/>
      <c r="BE1462"/>
      <c r="BF1462"/>
      <c r="BG1462"/>
      <c r="BH1462"/>
      <c r="BI1462"/>
      <c r="BJ1462"/>
      <c r="BK1462"/>
      <c r="BL1462"/>
      <c r="BM1462"/>
      <c r="BN1462"/>
      <c r="BO1462"/>
      <c r="BP1462"/>
      <c r="BQ1462"/>
      <c r="BR1462"/>
      <c r="BS1462"/>
      <c r="BT1462"/>
      <c r="BU1462"/>
      <c r="BV1462"/>
      <c r="BW1462"/>
      <c r="BX1462"/>
      <c r="BY1462"/>
      <c r="BZ1462"/>
      <c r="CA1462"/>
      <c r="CB1462"/>
      <c r="CC1462"/>
      <c r="CD1462"/>
      <c r="CE1462"/>
      <c r="CF1462"/>
      <c r="CG1462"/>
      <c r="CH1462"/>
      <c r="CI1462"/>
      <c r="CJ1462"/>
      <c r="CK1462"/>
      <c r="CL1462"/>
      <c r="CM1462"/>
      <c r="CN1462"/>
      <c r="CO1462"/>
      <c r="CP1462"/>
      <c r="CQ1462"/>
      <c r="CR1462"/>
      <c r="CS1462"/>
      <c r="CT1462"/>
      <c r="CU1462"/>
      <c r="CV1462"/>
      <c r="CW1462"/>
      <c r="CX1462"/>
      <c r="CY1462"/>
      <c r="CZ1462"/>
      <c r="DA1462"/>
      <c r="DB1462"/>
      <c r="DC1462"/>
      <c r="DD1462"/>
      <c r="DE1462"/>
      <c r="DF1462"/>
      <c r="DG1462"/>
      <c r="DH1462"/>
      <c r="DI1462"/>
      <c r="DJ1462"/>
      <c r="DK1462"/>
      <c r="DL1462"/>
      <c r="DM1462"/>
      <c r="DN1462"/>
      <c r="DO1462"/>
      <c r="DP1462"/>
      <c r="DQ1462"/>
      <c r="DR1462"/>
      <c r="DS1462"/>
      <c r="DT1462"/>
      <c r="DU1462"/>
      <c r="DV1462"/>
      <c r="DW1462"/>
      <c r="DX1462"/>
      <c r="DY1462"/>
      <c r="DZ1462"/>
      <c r="EA1462"/>
      <c r="EB1462"/>
      <c r="EC1462"/>
      <c r="ED1462"/>
      <c r="EE1462"/>
      <c r="EF1462"/>
      <c r="EG1462"/>
      <c r="EH1462"/>
      <c r="EI1462"/>
      <c r="EJ1462"/>
      <c r="EK1462"/>
      <c r="EL1462"/>
      <c r="EM1462"/>
      <c r="EN1462"/>
      <c r="EO1462"/>
      <c r="EP1462"/>
      <c r="EQ1462"/>
      <c r="ER1462"/>
      <c r="ES1462"/>
    </row>
    <row r="1463" spans="1:149">
      <c r="A1463"/>
      <c r="B1463"/>
      <c r="C1463"/>
      <c r="D1463"/>
      <c r="E1463"/>
      <c r="F1463"/>
      <c r="G1463"/>
      <c r="H1463"/>
      <c r="I1463"/>
      <c r="J1463"/>
      <c r="K1463"/>
      <c r="L1463"/>
      <c r="M1463"/>
      <c r="N1463"/>
      <c r="O1463"/>
      <c r="P1463"/>
      <c r="Q1463"/>
      <c r="R1463"/>
      <c r="S1463"/>
      <c r="T1463"/>
      <c r="U1463"/>
      <c r="V1463"/>
      <c r="W1463"/>
      <c r="X1463"/>
      <c r="Y1463"/>
      <c r="Z1463"/>
      <c r="AA1463"/>
      <c r="AB1463"/>
      <c r="AC1463"/>
      <c r="AD1463"/>
      <c r="AE1463"/>
      <c r="AF1463"/>
      <c r="AG1463"/>
      <c r="AH1463"/>
      <c r="AI1463"/>
      <c r="AJ1463"/>
      <c r="AK1463"/>
      <c r="AL1463"/>
      <c r="AM1463"/>
      <c r="AN1463"/>
      <c r="AO1463"/>
      <c r="AP1463"/>
      <c r="AQ1463"/>
      <c r="AR1463"/>
      <c r="AS1463"/>
      <c r="AT1463"/>
      <c r="AU1463"/>
      <c r="AV1463"/>
      <c r="AW1463"/>
      <c r="AX1463"/>
      <c r="AY1463"/>
      <c r="AZ1463"/>
      <c r="BA1463"/>
      <c r="BB1463"/>
      <c r="BC1463"/>
      <c r="BD1463"/>
      <c r="BE1463"/>
      <c r="BF1463"/>
      <c r="BG1463"/>
      <c r="BH1463"/>
      <c r="BI1463"/>
      <c r="BJ1463"/>
      <c r="BK1463"/>
      <c r="BL1463"/>
      <c r="BM1463"/>
      <c r="BN1463"/>
      <c r="BO1463"/>
      <c r="BP1463"/>
      <c r="BQ1463"/>
      <c r="BR1463"/>
      <c r="BS1463"/>
      <c r="BT1463"/>
      <c r="BU1463"/>
      <c r="BV1463"/>
      <c r="BW1463"/>
      <c r="BX1463"/>
      <c r="BY1463"/>
      <c r="BZ1463"/>
      <c r="CA1463"/>
      <c r="CB1463"/>
      <c r="CC1463"/>
      <c r="CD1463"/>
      <c r="CE1463"/>
      <c r="CF1463"/>
      <c r="CG1463"/>
      <c r="CH1463"/>
      <c r="CI1463"/>
      <c r="CJ1463"/>
      <c r="CK1463"/>
      <c r="CL1463"/>
      <c r="CM1463"/>
      <c r="CN1463"/>
      <c r="CO1463"/>
      <c r="CP1463"/>
      <c r="CQ1463"/>
      <c r="CR1463"/>
      <c r="CS1463"/>
      <c r="CT1463"/>
      <c r="CU1463"/>
      <c r="CV1463"/>
      <c r="CW1463"/>
      <c r="CX1463"/>
      <c r="CY1463"/>
      <c r="CZ1463"/>
      <c r="DA1463"/>
      <c r="DB1463"/>
      <c r="DC1463"/>
      <c r="DD1463"/>
      <c r="DE1463"/>
      <c r="DF1463"/>
      <c r="DG1463"/>
      <c r="DH1463"/>
      <c r="DI1463"/>
      <c r="DJ1463"/>
      <c r="DK1463"/>
      <c r="DL1463"/>
      <c r="DM1463"/>
      <c r="DN1463"/>
      <c r="DO1463"/>
      <c r="DP1463"/>
      <c r="DQ1463"/>
      <c r="DR1463"/>
      <c r="DS1463"/>
      <c r="DT1463"/>
      <c r="DU1463"/>
      <c r="DV1463"/>
      <c r="DW1463"/>
      <c r="DX1463"/>
      <c r="DY1463"/>
      <c r="DZ1463"/>
      <c r="EA1463"/>
      <c r="EB1463"/>
      <c r="EC1463"/>
      <c r="ED1463"/>
      <c r="EE1463"/>
      <c r="EF1463"/>
      <c r="EG1463"/>
      <c r="EH1463"/>
      <c r="EI1463"/>
      <c r="EJ1463"/>
      <c r="EK1463"/>
      <c r="EL1463"/>
      <c r="EM1463"/>
      <c r="EN1463"/>
      <c r="EO1463"/>
      <c r="EP1463"/>
      <c r="EQ1463"/>
      <c r="ER1463"/>
      <c r="ES1463"/>
    </row>
    <row r="1464" spans="1:149">
      <c r="A1464"/>
      <c r="B1464"/>
      <c r="C1464"/>
      <c r="D1464"/>
      <c r="E1464"/>
      <c r="F1464"/>
      <c r="G1464"/>
      <c r="H1464"/>
      <c r="I1464"/>
      <c r="J1464"/>
      <c r="K1464"/>
      <c r="L1464"/>
      <c r="M1464"/>
      <c r="N1464"/>
      <c r="O1464"/>
      <c r="P1464"/>
      <c r="Q1464"/>
      <c r="R1464"/>
      <c r="S1464"/>
      <c r="T1464"/>
      <c r="U1464"/>
      <c r="V1464"/>
      <c r="W1464"/>
      <c r="X1464"/>
      <c r="Y1464"/>
      <c r="Z1464"/>
      <c r="AA1464"/>
      <c r="AB1464"/>
      <c r="AC1464"/>
      <c r="AD1464"/>
      <c r="AE1464"/>
      <c r="AF1464"/>
      <c r="AG1464"/>
      <c r="AH1464"/>
      <c r="AI1464"/>
      <c r="AJ1464"/>
      <c r="AK1464"/>
      <c r="AL1464"/>
      <c r="AM1464"/>
      <c r="AN1464"/>
      <c r="AO1464"/>
      <c r="AP1464"/>
      <c r="AQ1464"/>
      <c r="AR1464"/>
      <c r="AS1464"/>
      <c r="AT1464"/>
      <c r="AU1464"/>
      <c r="AV1464"/>
      <c r="AW1464"/>
      <c r="AX1464"/>
      <c r="AY1464"/>
      <c r="AZ1464"/>
      <c r="BA1464"/>
      <c r="BB1464"/>
      <c r="BC1464"/>
      <c r="BD1464"/>
      <c r="BE1464"/>
      <c r="BF1464"/>
      <c r="BG1464"/>
      <c r="BH1464"/>
      <c r="BI1464"/>
      <c r="BJ1464"/>
      <c r="BK1464"/>
      <c r="BL1464"/>
      <c r="BM1464"/>
      <c r="BN1464"/>
      <c r="BO1464"/>
      <c r="BP1464"/>
      <c r="BQ1464"/>
      <c r="BR1464"/>
      <c r="BS1464"/>
      <c r="BT1464"/>
      <c r="BU1464"/>
      <c r="BV1464"/>
      <c r="BW1464"/>
      <c r="BX1464"/>
      <c r="BY1464"/>
      <c r="BZ1464"/>
      <c r="CA1464"/>
      <c r="CB1464"/>
      <c r="CC1464"/>
      <c r="CD1464"/>
      <c r="CE1464"/>
      <c r="CF1464"/>
      <c r="CG1464"/>
      <c r="CH1464"/>
      <c r="CI1464"/>
      <c r="CJ1464"/>
      <c r="CK1464"/>
      <c r="CL1464"/>
      <c r="CM1464"/>
      <c r="CN1464"/>
      <c r="CO1464"/>
      <c r="CP1464"/>
      <c r="CQ1464"/>
      <c r="CR1464"/>
      <c r="CS1464"/>
      <c r="CT1464"/>
      <c r="CU1464"/>
      <c r="CV1464"/>
      <c r="CW1464"/>
      <c r="CX1464"/>
      <c r="CY1464"/>
      <c r="CZ1464"/>
      <c r="DA1464"/>
      <c r="DB1464"/>
      <c r="DC1464"/>
      <c r="DD1464"/>
      <c r="DE1464"/>
      <c r="DF1464"/>
      <c r="DG1464"/>
      <c r="DH1464"/>
      <c r="DI1464"/>
      <c r="DJ1464"/>
      <c r="DK1464"/>
      <c r="DL1464"/>
      <c r="DM1464"/>
      <c r="DN1464"/>
      <c r="DO1464"/>
      <c r="DP1464"/>
      <c r="DQ1464"/>
      <c r="DR1464"/>
      <c r="DS1464"/>
      <c r="DT1464"/>
      <c r="DU1464"/>
      <c r="DV1464"/>
      <c r="DW1464"/>
      <c r="DX1464"/>
      <c r="DY1464"/>
      <c r="DZ1464"/>
      <c r="EA1464"/>
      <c r="EB1464"/>
      <c r="EC1464"/>
      <c r="ED1464"/>
      <c r="EE1464"/>
      <c r="EF1464"/>
      <c r="EG1464"/>
      <c r="EH1464"/>
      <c r="EI1464"/>
      <c r="EJ1464"/>
      <c r="EK1464"/>
      <c r="EL1464"/>
      <c r="EM1464"/>
      <c r="EN1464"/>
      <c r="EO1464"/>
      <c r="EP1464"/>
      <c r="EQ1464"/>
      <c r="ER1464"/>
      <c r="ES1464"/>
    </row>
    <row r="1465" spans="1:149">
      <c r="A1465"/>
      <c r="B1465"/>
      <c r="C1465"/>
      <c r="D1465"/>
      <c r="E1465"/>
      <c r="F1465"/>
      <c r="G1465"/>
      <c r="H1465"/>
      <c r="I1465"/>
      <c r="J1465"/>
      <c r="K1465"/>
      <c r="L1465"/>
      <c r="M1465"/>
      <c r="N1465"/>
      <c r="O1465"/>
      <c r="P1465"/>
      <c r="Q1465"/>
      <c r="R1465"/>
      <c r="S1465"/>
      <c r="T1465"/>
      <c r="U1465"/>
      <c r="V1465"/>
      <c r="W1465"/>
      <c r="X1465"/>
      <c r="Y1465"/>
      <c r="Z1465"/>
      <c r="AA1465"/>
      <c r="AB1465"/>
      <c r="AC1465"/>
      <c r="AD1465"/>
      <c r="AE1465"/>
      <c r="AF1465"/>
      <c r="AG1465"/>
      <c r="AH1465"/>
      <c r="AI1465"/>
      <c r="AJ1465"/>
      <c r="AK1465"/>
      <c r="AL1465"/>
      <c r="AM1465"/>
      <c r="AN1465"/>
      <c r="AO1465"/>
      <c r="AP1465"/>
      <c r="AQ1465"/>
      <c r="AR1465"/>
      <c r="AS1465"/>
      <c r="AT1465"/>
      <c r="AU1465"/>
      <c r="AV1465"/>
      <c r="AW1465"/>
      <c r="AX1465"/>
      <c r="AY1465"/>
      <c r="AZ1465"/>
      <c r="BA1465"/>
      <c r="BB1465"/>
      <c r="BC1465"/>
      <c r="BD1465"/>
      <c r="BE1465"/>
      <c r="BF1465"/>
      <c r="BG1465"/>
      <c r="BH1465"/>
      <c r="BI1465"/>
      <c r="BJ1465"/>
      <c r="BK1465"/>
      <c r="BL1465"/>
      <c r="BM1465"/>
      <c r="BN1465"/>
      <c r="BO1465"/>
      <c r="BP1465"/>
      <c r="BQ1465"/>
      <c r="BR1465"/>
      <c r="BS1465"/>
      <c r="BT1465"/>
      <c r="BU1465"/>
      <c r="BV1465"/>
      <c r="BW1465"/>
      <c r="BX1465"/>
      <c r="BY1465"/>
      <c r="BZ1465"/>
      <c r="CA1465"/>
      <c r="CB1465"/>
      <c r="CC1465"/>
      <c r="CD1465"/>
      <c r="CE1465"/>
      <c r="CF1465"/>
      <c r="CG1465"/>
      <c r="CH1465"/>
      <c r="CI1465"/>
      <c r="CJ1465"/>
      <c r="CK1465"/>
      <c r="CL1465"/>
      <c r="CM1465"/>
      <c r="CN1465"/>
      <c r="CO1465"/>
      <c r="CP1465"/>
      <c r="CQ1465"/>
      <c r="CR1465"/>
      <c r="CS1465"/>
      <c r="CT1465"/>
      <c r="CU1465"/>
      <c r="CV1465"/>
      <c r="CW1465"/>
      <c r="CX1465"/>
      <c r="CY1465"/>
      <c r="CZ1465"/>
      <c r="DA1465"/>
      <c r="DB1465"/>
      <c r="DC1465"/>
      <c r="DD1465"/>
      <c r="DE1465"/>
      <c r="DF1465"/>
      <c r="DG1465"/>
      <c r="DH1465"/>
      <c r="DI1465"/>
      <c r="DJ1465"/>
      <c r="DK1465"/>
      <c r="DL1465"/>
      <c r="DM1465"/>
      <c r="DN1465"/>
      <c r="DO1465"/>
      <c r="DP1465"/>
      <c r="DQ1465"/>
      <c r="DR1465"/>
      <c r="DS1465"/>
      <c r="DT1465"/>
      <c r="DU1465"/>
      <c r="DV1465"/>
      <c r="DW1465"/>
      <c r="DX1465"/>
      <c r="DY1465"/>
      <c r="DZ1465"/>
      <c r="EA1465"/>
      <c r="EB1465"/>
      <c r="EC1465"/>
      <c r="ED1465"/>
      <c r="EE1465"/>
      <c r="EF1465"/>
      <c r="EG1465"/>
      <c r="EH1465"/>
      <c r="EI1465"/>
      <c r="EJ1465"/>
      <c r="EK1465"/>
      <c r="EL1465"/>
      <c r="EM1465"/>
      <c r="EN1465"/>
      <c r="EO1465"/>
      <c r="EP1465"/>
      <c r="EQ1465"/>
      <c r="ER1465"/>
      <c r="ES1465"/>
    </row>
    <row r="1466" spans="1:149">
      <c r="A1466"/>
      <c r="B1466"/>
      <c r="C1466"/>
      <c r="D1466"/>
      <c r="E1466"/>
      <c r="F1466"/>
      <c r="G1466"/>
      <c r="H1466"/>
      <c r="I1466"/>
      <c r="J1466"/>
      <c r="K1466"/>
      <c r="L1466"/>
      <c r="M1466"/>
      <c r="N1466"/>
      <c r="O1466"/>
      <c r="P1466"/>
      <c r="Q1466"/>
      <c r="R1466"/>
      <c r="S1466"/>
      <c r="T1466"/>
      <c r="U1466"/>
      <c r="V1466"/>
      <c r="W1466"/>
      <c r="X1466"/>
      <c r="Y1466"/>
      <c r="Z1466"/>
      <c r="AA1466"/>
      <c r="AB1466"/>
      <c r="AC1466"/>
      <c r="AD1466"/>
      <c r="AE1466"/>
      <c r="AF1466"/>
      <c r="AG1466"/>
      <c r="AH1466"/>
      <c r="AI1466"/>
      <c r="AJ1466"/>
      <c r="AK1466"/>
      <c r="AL1466"/>
      <c r="AM1466"/>
      <c r="AN1466"/>
      <c r="AO1466"/>
      <c r="AP1466"/>
      <c r="AQ1466"/>
      <c r="AR1466"/>
      <c r="AS1466"/>
      <c r="AT1466"/>
      <c r="AU1466"/>
      <c r="AV1466"/>
      <c r="AW1466"/>
      <c r="AX1466"/>
      <c r="AY1466"/>
      <c r="AZ1466"/>
      <c r="BA1466"/>
      <c r="BB1466"/>
      <c r="BC1466"/>
      <c r="BD1466"/>
      <c r="BE1466"/>
      <c r="BF1466"/>
      <c r="BG1466"/>
      <c r="BH1466"/>
      <c r="BI1466"/>
      <c r="BJ1466"/>
      <c r="BK1466"/>
      <c r="BL1466"/>
      <c r="BM1466"/>
      <c r="BN1466"/>
      <c r="BO1466"/>
      <c r="BP1466"/>
      <c r="BQ1466"/>
      <c r="BR1466"/>
      <c r="BS1466"/>
      <c r="BT1466"/>
      <c r="BU1466"/>
      <c r="BV1466"/>
      <c r="BW1466"/>
      <c r="BX1466"/>
      <c r="BY1466"/>
      <c r="BZ1466"/>
      <c r="CA1466"/>
      <c r="CB1466"/>
      <c r="CC1466"/>
      <c r="CD1466"/>
      <c r="CE1466"/>
      <c r="CF1466"/>
      <c r="CG1466"/>
      <c r="CH1466"/>
      <c r="CI1466"/>
      <c r="CJ1466"/>
      <c r="CK1466"/>
      <c r="CL1466"/>
      <c r="CM1466"/>
      <c r="CN1466"/>
      <c r="CO1466"/>
      <c r="CP1466"/>
      <c r="CQ1466"/>
      <c r="CR1466"/>
      <c r="CS1466"/>
      <c r="CT1466"/>
      <c r="CU1466"/>
      <c r="CV1466"/>
      <c r="CW1466"/>
      <c r="CX1466"/>
      <c r="CY1466"/>
      <c r="CZ1466"/>
      <c r="DA1466"/>
      <c r="DB1466"/>
      <c r="DC1466"/>
      <c r="DD1466"/>
      <c r="DE1466"/>
      <c r="DF1466"/>
      <c r="DG1466"/>
      <c r="DH1466"/>
      <c r="DI1466"/>
      <c r="DJ1466"/>
      <c r="DK1466"/>
      <c r="DL1466"/>
      <c r="DM1466"/>
      <c r="DN1466"/>
      <c r="DO1466"/>
      <c r="DP1466"/>
      <c r="DQ1466"/>
      <c r="DR1466"/>
      <c r="DS1466"/>
      <c r="DT1466"/>
      <c r="DU1466"/>
      <c r="DV1466"/>
      <c r="DW1466"/>
      <c r="DX1466"/>
      <c r="DY1466"/>
      <c r="DZ1466"/>
      <c r="EA1466"/>
      <c r="EB1466"/>
      <c r="EC1466"/>
      <c r="ED1466"/>
      <c r="EE1466"/>
      <c r="EF1466"/>
      <c r="EG1466"/>
      <c r="EH1466"/>
      <c r="EI1466"/>
      <c r="EJ1466"/>
      <c r="EK1466"/>
      <c r="EL1466"/>
      <c r="EM1466"/>
      <c r="EN1466"/>
      <c r="EO1466"/>
      <c r="EP1466"/>
      <c r="EQ1466"/>
      <c r="ER1466"/>
      <c r="ES1466"/>
    </row>
    <row r="1467" spans="1:149">
      <c r="A1467"/>
      <c r="B1467"/>
      <c r="C1467"/>
      <c r="D1467"/>
      <c r="E1467"/>
      <c r="F1467"/>
      <c r="G1467"/>
      <c r="H1467"/>
      <c r="I1467"/>
      <c r="J1467"/>
      <c r="K1467"/>
      <c r="L1467"/>
      <c r="M1467"/>
      <c r="N1467"/>
      <c r="O1467"/>
      <c r="P1467"/>
      <c r="Q1467"/>
      <c r="R1467"/>
      <c r="S1467"/>
      <c r="T1467"/>
      <c r="U1467"/>
      <c r="V1467"/>
      <c r="W1467"/>
      <c r="X1467"/>
      <c r="Y1467"/>
      <c r="Z1467"/>
      <c r="AA1467"/>
      <c r="AB1467"/>
      <c r="AC1467"/>
      <c r="AD1467"/>
      <c r="AE1467"/>
      <c r="AF1467"/>
      <c r="AG1467"/>
      <c r="AH1467"/>
      <c r="AI1467"/>
      <c r="AJ1467"/>
      <c r="AK1467"/>
      <c r="AL1467"/>
      <c r="AM1467"/>
      <c r="AN1467"/>
      <c r="AO1467"/>
      <c r="AP1467"/>
      <c r="AQ1467"/>
      <c r="AR1467"/>
      <c r="AS1467"/>
      <c r="AT1467"/>
      <c r="AU1467"/>
      <c r="AV1467"/>
      <c r="AW1467"/>
      <c r="AX1467"/>
      <c r="AY1467"/>
      <c r="AZ1467"/>
      <c r="BA1467"/>
      <c r="BB1467"/>
      <c r="BC1467"/>
      <c r="BD1467"/>
      <c r="BE1467"/>
      <c r="BF1467"/>
      <c r="BG1467"/>
      <c r="BH1467"/>
      <c r="BI1467"/>
      <c r="BJ1467"/>
      <c r="BK1467"/>
      <c r="BL1467"/>
      <c r="BM1467"/>
      <c r="BN1467"/>
      <c r="BO1467"/>
      <c r="BP1467"/>
      <c r="BQ1467"/>
      <c r="BR1467"/>
      <c r="BS1467"/>
      <c r="BT1467"/>
      <c r="BU1467"/>
      <c r="BV1467"/>
      <c r="BW1467"/>
      <c r="BX1467"/>
      <c r="BY1467"/>
      <c r="BZ1467"/>
      <c r="CA1467"/>
      <c r="CB1467"/>
      <c r="CC1467"/>
      <c r="CD1467"/>
      <c r="CE1467"/>
      <c r="CF1467"/>
      <c r="CG1467"/>
      <c r="CH1467"/>
      <c r="CI1467"/>
      <c r="CJ1467"/>
      <c r="CK1467"/>
      <c r="CL1467"/>
      <c r="CM1467"/>
      <c r="CN1467"/>
      <c r="CO1467"/>
      <c r="CP1467"/>
      <c r="CQ1467"/>
      <c r="CR1467"/>
      <c r="CS1467"/>
      <c r="CT1467"/>
      <c r="CU1467"/>
      <c r="CV1467"/>
      <c r="CW1467"/>
      <c r="CX1467"/>
      <c r="CY1467"/>
      <c r="CZ1467"/>
      <c r="DA1467"/>
      <c r="DB1467"/>
      <c r="DC1467"/>
      <c r="DD1467"/>
      <c r="DE1467"/>
      <c r="DF1467"/>
      <c r="DG1467"/>
      <c r="DH1467"/>
      <c r="DI1467"/>
      <c r="DJ1467"/>
      <c r="DK1467"/>
      <c r="DL1467"/>
      <c r="DM1467"/>
      <c r="DN1467"/>
      <c r="DO1467"/>
      <c r="DP1467"/>
      <c r="DQ1467"/>
      <c r="DR1467"/>
      <c r="DS1467"/>
      <c r="DT1467"/>
      <c r="DU1467"/>
      <c r="DV1467"/>
      <c r="DW1467"/>
      <c r="DX1467"/>
      <c r="DY1467"/>
      <c r="DZ1467"/>
      <c r="EA1467"/>
      <c r="EB1467"/>
      <c r="EC1467"/>
      <c r="ED1467"/>
      <c r="EE1467"/>
      <c r="EF1467"/>
      <c r="EG1467"/>
      <c r="EH1467"/>
      <c r="EI1467"/>
      <c r="EJ1467"/>
      <c r="EK1467"/>
      <c r="EL1467"/>
      <c r="EM1467"/>
      <c r="EN1467"/>
      <c r="EO1467"/>
      <c r="EP1467"/>
      <c r="EQ1467"/>
      <c r="ER1467"/>
      <c r="ES1467"/>
    </row>
    <row r="1468" spans="1:149">
      <c r="A1468"/>
      <c r="B1468"/>
      <c r="C1468"/>
      <c r="D1468"/>
      <c r="E1468"/>
      <c r="F1468"/>
      <c r="G1468"/>
      <c r="H1468"/>
      <c r="I1468"/>
      <c r="J1468"/>
      <c r="K1468"/>
      <c r="L1468"/>
      <c r="M1468"/>
      <c r="N1468"/>
      <c r="O1468"/>
      <c r="P1468"/>
      <c r="Q1468"/>
      <c r="R1468"/>
      <c r="S1468"/>
      <c r="T1468"/>
      <c r="U1468"/>
      <c r="V1468"/>
      <c r="W1468"/>
      <c r="X1468"/>
      <c r="Y1468"/>
      <c r="Z1468"/>
      <c r="AA1468"/>
      <c r="AB1468"/>
      <c r="AC1468"/>
      <c r="AD1468"/>
      <c r="AE1468"/>
      <c r="AF1468"/>
      <c r="AG1468"/>
      <c r="AH1468"/>
      <c r="AI1468"/>
      <c r="AJ1468"/>
      <c r="AK1468"/>
      <c r="AL1468"/>
      <c r="AM1468"/>
      <c r="AN1468"/>
      <c r="AO1468"/>
      <c r="AP1468"/>
      <c r="AQ1468"/>
      <c r="AR1468"/>
      <c r="AS1468"/>
      <c r="AT1468"/>
      <c r="AU1468"/>
      <c r="AV1468"/>
      <c r="AW1468"/>
      <c r="AX1468"/>
      <c r="AY1468"/>
      <c r="AZ1468"/>
      <c r="BA1468"/>
      <c r="BB1468"/>
      <c r="BC1468"/>
      <c r="BD1468"/>
      <c r="BE1468"/>
      <c r="BF1468"/>
      <c r="BG1468"/>
      <c r="BH1468"/>
      <c r="BI1468"/>
      <c r="BJ1468"/>
      <c r="BK1468"/>
      <c r="BL1468"/>
      <c r="BM1468"/>
      <c r="BN1468"/>
      <c r="BO1468"/>
      <c r="BP1468"/>
      <c r="BQ1468"/>
      <c r="BR1468"/>
      <c r="BS1468"/>
      <c r="BT1468"/>
      <c r="BU1468"/>
      <c r="BV1468"/>
      <c r="BW1468"/>
      <c r="BX1468"/>
      <c r="BY1468"/>
      <c r="BZ1468"/>
      <c r="CA1468"/>
      <c r="CB1468"/>
      <c r="CC1468"/>
      <c r="CD1468"/>
      <c r="CE1468"/>
      <c r="CF1468"/>
      <c r="CG1468"/>
      <c r="CH1468"/>
      <c r="CI1468"/>
      <c r="CJ1468"/>
      <c r="CK1468"/>
      <c r="CL1468"/>
      <c r="CM1468"/>
      <c r="CN1468"/>
      <c r="CO1468"/>
      <c r="CP1468"/>
      <c r="CQ1468"/>
      <c r="CR1468"/>
      <c r="CS1468"/>
      <c r="CT1468"/>
      <c r="CU1468"/>
      <c r="CV1468"/>
      <c r="CW1468"/>
      <c r="CX1468"/>
      <c r="CY1468"/>
      <c r="CZ1468"/>
      <c r="DA1468"/>
      <c r="DB1468"/>
      <c r="DC1468"/>
      <c r="DD1468"/>
      <c r="DE1468"/>
      <c r="DF1468"/>
      <c r="DG1468"/>
      <c r="DH1468"/>
      <c r="DI1468"/>
      <c r="DJ1468"/>
      <c r="DK1468"/>
      <c r="DL1468"/>
      <c r="DM1468"/>
      <c r="DN1468"/>
      <c r="DO1468"/>
      <c r="DP1468"/>
      <c r="DQ1468"/>
      <c r="DR1468"/>
      <c r="DS1468"/>
      <c r="DT1468"/>
      <c r="DU1468"/>
      <c r="DV1468"/>
      <c r="DW1468"/>
      <c r="DX1468"/>
      <c r="DY1468"/>
      <c r="DZ1468"/>
      <c r="EA1468"/>
      <c r="EB1468"/>
      <c r="EC1468"/>
      <c r="ED1468"/>
      <c r="EE1468"/>
      <c r="EF1468"/>
      <c r="EG1468"/>
      <c r="EH1468"/>
      <c r="EI1468"/>
      <c r="EJ1468"/>
      <c r="EK1468"/>
      <c r="EL1468"/>
      <c r="EM1468"/>
      <c r="EN1468"/>
      <c r="EO1468"/>
      <c r="EP1468"/>
      <c r="EQ1468"/>
      <c r="ER1468"/>
      <c r="ES1468"/>
    </row>
    <row r="1469" spans="1:149">
      <c r="A1469"/>
      <c r="B1469"/>
      <c r="C1469"/>
      <c r="D1469"/>
      <c r="E1469"/>
      <c r="F1469"/>
      <c r="G1469"/>
      <c r="H1469"/>
      <c r="I1469"/>
      <c r="J1469"/>
      <c r="K1469"/>
      <c r="L1469"/>
      <c r="M1469"/>
      <c r="N1469"/>
      <c r="O1469"/>
      <c r="P1469"/>
      <c r="Q1469"/>
      <c r="R1469"/>
      <c r="S1469"/>
      <c r="T1469"/>
      <c r="U1469"/>
      <c r="V1469"/>
      <c r="W1469"/>
      <c r="X1469"/>
      <c r="Y1469"/>
      <c r="Z1469"/>
      <c r="AA1469"/>
      <c r="AB1469"/>
      <c r="AC1469"/>
      <c r="AD1469"/>
      <c r="AE1469"/>
      <c r="AF1469"/>
      <c r="AG1469"/>
      <c r="AH1469"/>
      <c r="AI1469"/>
      <c r="AJ1469"/>
      <c r="AK1469"/>
      <c r="AL1469"/>
      <c r="AM1469"/>
      <c r="AN1469"/>
      <c r="AO1469"/>
      <c r="AP1469"/>
      <c r="AQ1469"/>
      <c r="AR1469"/>
      <c r="AS1469"/>
      <c r="AT1469"/>
      <c r="AU1469"/>
      <c r="AV1469"/>
      <c r="AW1469"/>
      <c r="AX1469"/>
      <c r="AY1469"/>
      <c r="AZ1469"/>
      <c r="BA1469"/>
      <c r="BB1469"/>
      <c r="BC1469"/>
      <c r="BD1469"/>
      <c r="BE1469"/>
      <c r="BF1469"/>
      <c r="BG1469"/>
      <c r="BH1469"/>
      <c r="BI1469"/>
      <c r="BJ1469"/>
      <c r="BK1469"/>
      <c r="BL1469"/>
      <c r="BM1469"/>
      <c r="BN1469"/>
      <c r="BO1469"/>
      <c r="BP1469"/>
      <c r="BQ1469"/>
      <c r="BR1469"/>
      <c r="BS1469"/>
      <c r="BT1469"/>
      <c r="BU1469"/>
      <c r="BV1469"/>
      <c r="BW1469"/>
      <c r="BX1469"/>
      <c r="BY1469"/>
      <c r="BZ1469"/>
      <c r="CA1469"/>
      <c r="CB1469"/>
      <c r="CC1469"/>
      <c r="CD1469"/>
      <c r="CE1469"/>
      <c r="CF1469"/>
      <c r="CG1469"/>
      <c r="CH1469"/>
      <c r="CI1469"/>
      <c r="CJ1469"/>
      <c r="CK1469"/>
      <c r="CL1469"/>
      <c r="CM1469"/>
      <c r="CN1469"/>
      <c r="CO1469"/>
      <c r="CP1469"/>
      <c r="CQ1469"/>
      <c r="CR1469"/>
      <c r="CS1469"/>
      <c r="CT1469"/>
      <c r="CU1469"/>
      <c r="CV1469"/>
      <c r="CW1469"/>
      <c r="CX1469"/>
      <c r="CY1469"/>
      <c r="CZ1469"/>
      <c r="DA1469"/>
      <c r="DB1469"/>
      <c r="DC1469"/>
      <c r="DD1469"/>
      <c r="DE1469"/>
      <c r="DF1469"/>
      <c r="DG1469"/>
      <c r="DH1469"/>
      <c r="DI1469"/>
      <c r="DJ1469"/>
      <c r="DK1469"/>
      <c r="DL1469"/>
      <c r="DM1469"/>
      <c r="DN1469"/>
      <c r="DO1469"/>
      <c r="DP1469"/>
      <c r="DQ1469"/>
      <c r="DR1469"/>
      <c r="DS1469"/>
      <c r="DT1469"/>
      <c r="DU1469"/>
      <c r="DV1469"/>
      <c r="DW1469"/>
      <c r="DX1469"/>
      <c r="DY1469"/>
      <c r="DZ1469"/>
      <c r="EA1469"/>
      <c r="EB1469"/>
      <c r="EC1469"/>
      <c r="ED1469"/>
      <c r="EE1469"/>
      <c r="EF1469"/>
      <c r="EG1469"/>
      <c r="EH1469"/>
      <c r="EI1469"/>
      <c r="EJ1469"/>
      <c r="EK1469"/>
      <c r="EL1469"/>
      <c r="EM1469"/>
      <c r="EN1469"/>
      <c r="EO1469"/>
      <c r="EP1469"/>
      <c r="EQ1469"/>
      <c r="ER1469"/>
      <c r="ES1469"/>
    </row>
    <row r="1470" spans="1:149">
      <c r="A1470"/>
      <c r="B1470"/>
      <c r="C1470"/>
      <c r="D1470"/>
      <c r="E1470"/>
      <c r="F1470"/>
      <c r="G1470"/>
      <c r="H1470"/>
      <c r="I1470"/>
      <c r="J1470"/>
      <c r="K1470"/>
      <c r="L1470"/>
      <c r="M1470"/>
      <c r="N1470"/>
      <c r="O1470"/>
      <c r="P1470"/>
      <c r="Q1470"/>
      <c r="R1470"/>
      <c r="S1470"/>
      <c r="T1470"/>
      <c r="U1470"/>
      <c r="V1470"/>
      <c r="W1470"/>
      <c r="X1470"/>
      <c r="Y1470"/>
      <c r="Z1470"/>
      <c r="AA1470"/>
      <c r="AB1470"/>
      <c r="AC1470"/>
      <c r="AD1470"/>
      <c r="AE1470"/>
      <c r="AF1470"/>
      <c r="AG1470"/>
      <c r="AH1470"/>
      <c r="AI1470"/>
      <c r="AJ1470"/>
      <c r="AK1470"/>
      <c r="AL1470"/>
      <c r="AM1470"/>
      <c r="AN1470"/>
      <c r="AO1470"/>
      <c r="AP1470"/>
      <c r="AQ1470"/>
      <c r="AR1470"/>
      <c r="AS1470"/>
      <c r="AT1470"/>
      <c r="AU1470"/>
      <c r="AV1470"/>
      <c r="AW1470"/>
      <c r="AX1470"/>
      <c r="AY1470"/>
      <c r="AZ1470"/>
      <c r="BA1470"/>
      <c r="BB1470"/>
      <c r="BC1470"/>
      <c r="BD1470"/>
      <c r="BE1470"/>
      <c r="BF1470"/>
      <c r="BG1470"/>
      <c r="BH1470"/>
      <c r="BI1470"/>
      <c r="BJ1470"/>
      <c r="BK1470"/>
      <c r="BL1470"/>
      <c r="BM1470"/>
      <c r="BN1470"/>
      <c r="BO1470"/>
      <c r="BP1470"/>
      <c r="BQ1470"/>
      <c r="BR1470"/>
      <c r="BS1470"/>
      <c r="BT1470"/>
      <c r="BU1470"/>
      <c r="BV1470"/>
      <c r="BW1470"/>
      <c r="BX1470"/>
      <c r="BY1470"/>
      <c r="BZ1470"/>
      <c r="CA1470"/>
      <c r="CB1470"/>
      <c r="CC1470"/>
      <c r="CD1470"/>
      <c r="CE1470"/>
      <c r="CF1470"/>
      <c r="CG1470"/>
      <c r="CH1470"/>
      <c r="CI1470"/>
      <c r="CJ1470"/>
      <c r="CK1470"/>
      <c r="CL1470"/>
      <c r="CM1470"/>
      <c r="CN1470"/>
      <c r="CO1470"/>
      <c r="CP1470"/>
      <c r="CQ1470"/>
      <c r="CR1470"/>
      <c r="CS1470"/>
      <c r="CT1470"/>
      <c r="CU1470"/>
      <c r="CV1470"/>
      <c r="CW1470"/>
      <c r="CX1470"/>
      <c r="CY1470"/>
      <c r="CZ1470"/>
      <c r="DA1470"/>
      <c r="DB1470"/>
      <c r="DC1470"/>
      <c r="DD1470"/>
      <c r="DE1470"/>
      <c r="DF1470"/>
      <c r="DG1470"/>
      <c r="DH1470"/>
      <c r="DI1470"/>
      <c r="DJ1470"/>
      <c r="DK1470"/>
      <c r="DL1470"/>
      <c r="DM1470"/>
      <c r="DN1470"/>
      <c r="DO1470"/>
      <c r="DP1470"/>
      <c r="DQ1470"/>
      <c r="DR1470"/>
      <c r="DS1470"/>
      <c r="DT1470"/>
      <c r="DU1470"/>
      <c r="DV1470"/>
      <c r="DW1470"/>
      <c r="DX1470"/>
      <c r="DY1470"/>
      <c r="DZ1470"/>
      <c r="EA1470"/>
      <c r="EB1470"/>
      <c r="EC1470"/>
      <c r="ED1470"/>
      <c r="EE1470"/>
      <c r="EF1470"/>
      <c r="EG1470"/>
      <c r="EH1470"/>
      <c r="EI1470"/>
      <c r="EJ1470"/>
      <c r="EK1470"/>
      <c r="EL1470"/>
      <c r="EM1470"/>
      <c r="EN1470"/>
      <c r="EO1470"/>
      <c r="EP1470"/>
      <c r="EQ1470"/>
      <c r="ER1470"/>
      <c r="ES1470"/>
    </row>
    <row r="1471" spans="1:149">
      <c r="A1471"/>
      <c r="B1471"/>
      <c r="C1471"/>
      <c r="D1471"/>
      <c r="E1471"/>
      <c r="F1471"/>
      <c r="G1471"/>
      <c r="H1471"/>
      <c r="I1471"/>
      <c r="J1471"/>
      <c r="K1471"/>
      <c r="L1471"/>
      <c r="M1471"/>
      <c r="N1471"/>
      <c r="O1471"/>
      <c r="P1471"/>
      <c r="Q1471"/>
      <c r="R1471"/>
      <c r="S1471"/>
      <c r="T1471"/>
      <c r="U1471"/>
      <c r="V1471"/>
      <c r="W1471"/>
      <c r="X1471"/>
      <c r="Y1471"/>
      <c r="Z1471"/>
      <c r="AA1471"/>
      <c r="AB1471"/>
      <c r="AC1471"/>
      <c r="AD1471"/>
      <c r="AE1471"/>
      <c r="AF1471"/>
      <c r="AG1471"/>
      <c r="AH1471"/>
      <c r="AI1471"/>
      <c r="AJ1471"/>
      <c r="AK1471"/>
      <c r="AL1471"/>
      <c r="AM1471"/>
      <c r="AN1471"/>
      <c r="AO1471"/>
      <c r="AP1471"/>
      <c r="AQ1471"/>
      <c r="AR1471"/>
      <c r="AS1471"/>
      <c r="AT1471"/>
      <c r="AU1471"/>
      <c r="AV1471"/>
      <c r="AW1471"/>
      <c r="AX1471"/>
      <c r="AY1471"/>
      <c r="AZ1471"/>
      <c r="BA1471"/>
      <c r="BB1471"/>
      <c r="BC1471"/>
      <c r="BD1471"/>
      <c r="BE1471"/>
      <c r="BF1471"/>
      <c r="BG1471"/>
      <c r="BH1471"/>
      <c r="BI1471"/>
      <c r="BJ1471"/>
      <c r="BK1471"/>
      <c r="BL1471"/>
      <c r="BM1471"/>
      <c r="BN1471"/>
      <c r="BO1471"/>
      <c r="BP1471"/>
      <c r="BQ1471"/>
      <c r="BR1471"/>
      <c r="BS1471"/>
      <c r="BT1471"/>
      <c r="BU1471"/>
      <c r="BV1471"/>
      <c r="BW1471"/>
      <c r="BX1471"/>
      <c r="BY1471"/>
      <c r="BZ1471"/>
      <c r="CA1471"/>
      <c r="CB1471"/>
      <c r="CC1471"/>
      <c r="CD1471"/>
      <c r="CE1471"/>
      <c r="CF1471"/>
      <c r="CG1471"/>
      <c r="CH1471"/>
      <c r="CI1471"/>
      <c r="CJ1471"/>
      <c r="CK1471"/>
      <c r="CL1471"/>
      <c r="CM1471"/>
      <c r="CN1471"/>
      <c r="CO1471"/>
      <c r="CP1471"/>
      <c r="CQ1471"/>
      <c r="CR1471"/>
      <c r="CS1471"/>
      <c r="CT1471"/>
      <c r="CU1471"/>
      <c r="CV1471"/>
      <c r="CW1471"/>
      <c r="CX1471"/>
      <c r="CY1471"/>
      <c r="CZ1471"/>
      <c r="DA1471"/>
      <c r="DB1471"/>
      <c r="DC1471"/>
      <c r="DD1471"/>
      <c r="DE1471"/>
      <c r="DF1471"/>
      <c r="DG1471"/>
      <c r="DH1471"/>
      <c r="DI1471"/>
      <c r="DJ1471"/>
      <c r="DK1471"/>
      <c r="DL1471"/>
      <c r="DM1471"/>
      <c r="DN1471"/>
      <c r="DO1471"/>
      <c r="DP1471"/>
      <c r="DQ1471"/>
      <c r="DR1471"/>
      <c r="DS1471"/>
      <c r="DT1471"/>
      <c r="DU1471"/>
      <c r="DV1471"/>
      <c r="DW1471"/>
      <c r="DX1471"/>
      <c r="DY1471"/>
      <c r="DZ1471"/>
      <c r="EA1471"/>
      <c r="EB1471"/>
      <c r="EC1471"/>
      <c r="ED1471"/>
      <c r="EE1471"/>
      <c r="EF1471"/>
      <c r="EG1471"/>
      <c r="EH1471"/>
      <c r="EI1471"/>
      <c r="EJ1471"/>
      <c r="EK1471"/>
      <c r="EL1471"/>
      <c r="EM1471"/>
      <c r="EN1471"/>
      <c r="EO1471"/>
      <c r="EP1471"/>
      <c r="EQ1471"/>
      <c r="ER1471"/>
      <c r="ES1471"/>
    </row>
    <row r="1472" spans="1:149">
      <c r="A1472"/>
      <c r="B1472"/>
      <c r="C1472"/>
      <c r="D1472"/>
      <c r="E1472"/>
      <c r="F1472"/>
      <c r="G1472"/>
      <c r="H1472"/>
      <c r="I1472"/>
      <c r="J1472"/>
      <c r="K1472"/>
      <c r="L1472"/>
      <c r="M1472"/>
      <c r="N1472"/>
      <c r="O1472"/>
      <c r="P1472"/>
      <c r="Q1472"/>
      <c r="R1472"/>
      <c r="S1472"/>
      <c r="T1472"/>
      <c r="U1472"/>
      <c r="V1472"/>
      <c r="W1472"/>
      <c r="X1472"/>
      <c r="Y1472"/>
      <c r="Z1472"/>
      <c r="AA1472"/>
      <c r="AB1472"/>
      <c r="AC1472"/>
      <c r="AD1472"/>
      <c r="AE1472"/>
      <c r="AF1472"/>
      <c r="AG1472"/>
      <c r="AH1472"/>
      <c r="AI1472"/>
      <c r="AJ1472"/>
      <c r="AK1472"/>
      <c r="AL1472"/>
      <c r="AM1472"/>
      <c r="AN1472"/>
      <c r="AO1472"/>
      <c r="AP1472"/>
      <c r="AQ1472"/>
      <c r="AR1472"/>
      <c r="AS1472"/>
      <c r="AT1472"/>
      <c r="AU1472"/>
      <c r="AV1472"/>
      <c r="AW1472"/>
      <c r="AX1472"/>
      <c r="AY1472"/>
      <c r="AZ1472"/>
      <c r="BA1472"/>
      <c r="BB1472"/>
      <c r="BC1472"/>
      <c r="BD1472"/>
      <c r="BE1472"/>
      <c r="BF1472"/>
      <c r="BG1472"/>
      <c r="BH1472"/>
      <c r="BI1472"/>
      <c r="BJ1472"/>
      <c r="BK1472"/>
      <c r="BL1472"/>
      <c r="BM1472"/>
      <c r="BN1472"/>
      <c r="BO1472"/>
      <c r="BP1472"/>
      <c r="BQ1472"/>
      <c r="BR1472"/>
      <c r="BS1472"/>
      <c r="BT1472"/>
      <c r="BU1472"/>
      <c r="BV1472"/>
      <c r="BW1472"/>
      <c r="BX1472"/>
      <c r="BY1472"/>
      <c r="BZ1472"/>
      <c r="CA1472"/>
      <c r="CB1472"/>
      <c r="CC1472"/>
      <c r="CD1472"/>
      <c r="CE1472"/>
      <c r="CF1472"/>
      <c r="CG1472"/>
      <c r="CH1472"/>
      <c r="CI1472"/>
      <c r="CJ1472"/>
      <c r="CK1472"/>
      <c r="CL1472"/>
      <c r="CM1472"/>
      <c r="CN1472"/>
      <c r="CO1472"/>
      <c r="CP1472"/>
      <c r="CQ1472"/>
      <c r="CR1472"/>
      <c r="CS1472"/>
      <c r="CT1472"/>
      <c r="CU1472"/>
      <c r="CV1472"/>
      <c r="CW1472"/>
      <c r="CX1472"/>
      <c r="CY1472"/>
      <c r="CZ1472"/>
      <c r="DA1472"/>
      <c r="DB1472"/>
      <c r="DC1472"/>
      <c r="DD1472"/>
      <c r="DE1472"/>
      <c r="DF1472"/>
      <c r="DG1472"/>
      <c r="DH1472"/>
      <c r="DI1472"/>
      <c r="DJ1472"/>
      <c r="DK1472"/>
      <c r="DL1472"/>
      <c r="DM1472"/>
      <c r="DN1472"/>
      <c r="DO1472"/>
      <c r="DP1472"/>
      <c r="DQ1472"/>
      <c r="DR1472"/>
      <c r="DS1472"/>
      <c r="DT1472"/>
      <c r="DU1472"/>
      <c r="DV1472"/>
      <c r="DW1472"/>
      <c r="DX1472"/>
      <c r="DY1472"/>
      <c r="DZ1472"/>
      <c r="EA1472"/>
      <c r="EB1472"/>
      <c r="EC1472"/>
      <c r="ED1472"/>
      <c r="EE1472"/>
      <c r="EF1472"/>
      <c r="EG1472"/>
      <c r="EH1472"/>
      <c r="EI1472"/>
      <c r="EJ1472"/>
      <c r="EK1472"/>
      <c r="EL1472"/>
      <c r="EM1472"/>
      <c r="EN1472"/>
      <c r="EO1472"/>
      <c r="EP1472"/>
      <c r="EQ1472"/>
      <c r="ER1472"/>
      <c r="ES1472"/>
    </row>
    <row r="1473" spans="1:149">
      <c r="A1473"/>
      <c r="B1473"/>
      <c r="C1473"/>
      <c r="D1473"/>
      <c r="E1473"/>
      <c r="F1473"/>
      <c r="G1473"/>
      <c r="H1473"/>
      <c r="I1473"/>
      <c r="J1473"/>
      <c r="K1473"/>
      <c r="L1473"/>
      <c r="M1473"/>
      <c r="N1473"/>
      <c r="O1473"/>
      <c r="P1473"/>
      <c r="Q1473"/>
      <c r="R1473"/>
      <c r="S1473"/>
      <c r="T1473"/>
      <c r="U1473"/>
      <c r="V1473"/>
      <c r="W1473"/>
      <c r="X1473"/>
      <c r="Y1473"/>
      <c r="Z1473"/>
      <c r="AA1473"/>
      <c r="AB1473"/>
      <c r="AC1473"/>
      <c r="AD1473"/>
      <c r="AE1473"/>
      <c r="AF1473"/>
      <c r="AG1473"/>
      <c r="AH1473"/>
      <c r="AI1473"/>
      <c r="AJ1473"/>
      <c r="AK1473"/>
      <c r="AL1473"/>
      <c r="AM1473"/>
      <c r="AN1473"/>
      <c r="AO1473"/>
      <c r="AP1473"/>
      <c r="AQ1473"/>
      <c r="AR1473"/>
      <c r="AS1473"/>
      <c r="AT1473"/>
      <c r="AU1473"/>
      <c r="AV1473"/>
      <c r="AW1473"/>
      <c r="AX1473"/>
      <c r="AY1473"/>
      <c r="AZ1473"/>
      <c r="BA1473"/>
      <c r="BB1473"/>
      <c r="BC1473"/>
      <c r="BD1473"/>
      <c r="BE1473"/>
      <c r="BF1473"/>
      <c r="BG1473"/>
      <c r="BH1473"/>
      <c r="BI1473"/>
      <c r="BJ1473"/>
      <c r="BK1473"/>
      <c r="BL1473"/>
      <c r="BM1473"/>
      <c r="BN1473"/>
      <c r="BO1473"/>
      <c r="BP1473"/>
      <c r="BQ1473"/>
      <c r="BR1473"/>
      <c r="BS1473"/>
      <c r="BT1473"/>
      <c r="BU1473"/>
      <c r="BV1473"/>
      <c r="BW1473"/>
      <c r="BX1473"/>
      <c r="BY1473"/>
      <c r="BZ1473"/>
      <c r="CA1473"/>
      <c r="CB1473"/>
      <c r="CC1473"/>
      <c r="CD1473"/>
      <c r="CE1473"/>
      <c r="CF1473"/>
      <c r="CG1473"/>
      <c r="CH1473"/>
      <c r="CI1473"/>
      <c r="CJ1473"/>
      <c r="CK1473"/>
      <c r="CL1473"/>
      <c r="CM1473"/>
      <c r="CN1473"/>
      <c r="CO1473"/>
      <c r="CP1473"/>
      <c r="CQ1473"/>
      <c r="CR1473"/>
      <c r="CS1473"/>
      <c r="CT1473"/>
      <c r="CU1473"/>
      <c r="CV1473"/>
      <c r="CW1473"/>
      <c r="CX1473"/>
      <c r="CY1473"/>
      <c r="CZ1473"/>
      <c r="DA1473"/>
      <c r="DB1473"/>
      <c r="DC1473"/>
      <c r="DD1473"/>
      <c r="DE1473"/>
      <c r="DF1473"/>
      <c r="DG1473"/>
      <c r="DH1473"/>
      <c r="DI1473"/>
      <c r="DJ1473"/>
      <c r="DK1473"/>
      <c r="DL1473"/>
      <c r="DM1473"/>
      <c r="DN1473"/>
      <c r="DO1473"/>
      <c r="DP1473"/>
      <c r="DQ1473"/>
      <c r="DR1473"/>
      <c r="DS1473"/>
      <c r="DT1473"/>
      <c r="DU1473"/>
      <c r="DV1473"/>
      <c r="DW1473"/>
      <c r="DX1473"/>
      <c r="DY1473"/>
      <c r="DZ1473"/>
      <c r="EA1473"/>
      <c r="EB1473"/>
      <c r="EC1473"/>
      <c r="ED1473"/>
      <c r="EE1473"/>
      <c r="EF1473"/>
      <c r="EG1473"/>
      <c r="EH1473"/>
      <c r="EI1473"/>
      <c r="EJ1473"/>
      <c r="EK1473"/>
      <c r="EL1473"/>
      <c r="EM1473"/>
      <c r="EN1473"/>
      <c r="EO1473"/>
      <c r="EP1473"/>
      <c r="EQ1473"/>
      <c r="ER1473"/>
      <c r="ES1473"/>
    </row>
    <row r="1474" spans="1:149">
      <c r="A1474"/>
      <c r="B1474"/>
      <c r="C1474"/>
      <c r="D1474"/>
      <c r="E1474"/>
      <c r="F1474"/>
      <c r="G1474"/>
      <c r="H1474"/>
      <c r="I1474"/>
      <c r="J1474"/>
      <c r="K1474"/>
      <c r="L1474"/>
      <c r="M1474"/>
      <c r="N1474"/>
      <c r="O1474"/>
      <c r="P1474"/>
      <c r="Q1474"/>
      <c r="R1474"/>
      <c r="S1474"/>
      <c r="T1474"/>
      <c r="U1474"/>
      <c r="V1474"/>
      <c r="W1474"/>
      <c r="X1474"/>
      <c r="Y1474"/>
      <c r="Z1474"/>
      <c r="AA1474"/>
      <c r="AB1474"/>
      <c r="AC1474"/>
      <c r="AD1474"/>
      <c r="AE1474"/>
      <c r="AF1474"/>
      <c r="AG1474"/>
      <c r="AH1474"/>
      <c r="AI1474"/>
      <c r="AJ1474"/>
      <c r="AK1474"/>
      <c r="AL1474"/>
      <c r="AM1474"/>
      <c r="AN1474"/>
      <c r="AO1474"/>
      <c r="AP1474"/>
      <c r="AQ1474"/>
      <c r="AR1474"/>
      <c r="AS1474"/>
      <c r="AT1474"/>
      <c r="AU1474"/>
      <c r="AV1474"/>
      <c r="AW1474"/>
      <c r="AX1474"/>
      <c r="AY1474"/>
      <c r="AZ1474"/>
      <c r="BA1474"/>
      <c r="BB1474"/>
      <c r="BC1474"/>
      <c r="BD1474"/>
      <c r="BE1474"/>
      <c r="BF1474"/>
      <c r="BG1474"/>
      <c r="BH1474"/>
      <c r="BI1474"/>
      <c r="BJ1474"/>
      <c r="BK1474"/>
      <c r="BL1474"/>
      <c r="BM1474"/>
      <c r="BN1474"/>
      <c r="BO1474"/>
      <c r="BP1474"/>
      <c r="BQ1474"/>
      <c r="BR1474"/>
      <c r="BS1474"/>
      <c r="BT1474"/>
      <c r="BU1474"/>
      <c r="BV1474"/>
      <c r="BW1474"/>
      <c r="BX1474"/>
      <c r="BY1474"/>
      <c r="BZ1474"/>
      <c r="CA1474"/>
      <c r="CB1474"/>
      <c r="CC1474"/>
      <c r="CD1474"/>
      <c r="CE1474"/>
      <c r="CF1474"/>
      <c r="CG1474"/>
      <c r="CH1474"/>
      <c r="CI1474"/>
      <c r="CJ1474"/>
      <c r="CK1474"/>
      <c r="CL1474"/>
      <c r="CM1474"/>
      <c r="CN1474"/>
      <c r="CO1474"/>
      <c r="CP1474"/>
      <c r="CQ1474"/>
      <c r="CR1474"/>
      <c r="CS1474"/>
      <c r="CT1474"/>
      <c r="CU1474"/>
      <c r="CV1474"/>
      <c r="CW1474"/>
      <c r="CX1474"/>
      <c r="CY1474"/>
      <c r="CZ1474"/>
      <c r="DA1474"/>
      <c r="DB1474"/>
      <c r="DC1474"/>
      <c r="DD1474"/>
      <c r="DE1474"/>
      <c r="DF1474"/>
      <c r="DG1474"/>
      <c r="DH1474"/>
      <c r="DI1474"/>
      <c r="DJ1474"/>
      <c r="DK1474"/>
      <c r="DL1474"/>
      <c r="DM1474"/>
      <c r="DN1474"/>
      <c r="DO1474"/>
      <c r="DP1474"/>
      <c r="DQ1474"/>
      <c r="DR1474"/>
      <c r="DS1474"/>
      <c r="DT1474"/>
      <c r="DU1474"/>
      <c r="DV1474"/>
      <c r="DW1474"/>
      <c r="DX1474"/>
      <c r="DY1474"/>
      <c r="DZ1474"/>
      <c r="EA1474"/>
      <c r="EB1474"/>
      <c r="EC1474"/>
      <c r="ED1474"/>
      <c r="EE1474"/>
      <c r="EF1474"/>
      <c r="EG1474"/>
      <c r="EH1474"/>
      <c r="EI1474"/>
      <c r="EJ1474"/>
      <c r="EK1474"/>
      <c r="EL1474"/>
      <c r="EM1474"/>
      <c r="EN1474"/>
      <c r="EO1474"/>
      <c r="EP1474"/>
      <c r="EQ1474"/>
      <c r="ER1474"/>
      <c r="ES1474"/>
    </row>
    <row r="1475" spans="1:149">
      <c r="A1475"/>
      <c r="B1475"/>
      <c r="C1475"/>
      <c r="D1475"/>
      <c r="E1475"/>
      <c r="F1475"/>
      <c r="G1475"/>
      <c r="H1475"/>
      <c r="I1475"/>
      <c r="J1475"/>
      <c r="K1475"/>
      <c r="L1475"/>
      <c r="M1475"/>
      <c r="N1475"/>
      <c r="O1475"/>
      <c r="P1475"/>
      <c r="Q1475"/>
      <c r="R1475"/>
      <c r="S1475"/>
      <c r="T1475"/>
      <c r="U1475"/>
      <c r="V1475"/>
      <c r="W1475"/>
      <c r="X1475"/>
      <c r="Y1475"/>
      <c r="Z1475"/>
      <c r="AA1475"/>
      <c r="AB1475"/>
      <c r="AC1475"/>
      <c r="AD1475"/>
      <c r="AE1475"/>
      <c r="AF1475"/>
      <c r="AG1475"/>
      <c r="AH1475"/>
      <c r="AI1475"/>
      <c r="AJ1475"/>
      <c r="AK1475"/>
      <c r="AL1475"/>
      <c r="AM1475"/>
      <c r="AN1475"/>
      <c r="AO1475"/>
      <c r="AP1475"/>
      <c r="AQ1475"/>
      <c r="AR1475"/>
      <c r="AS1475"/>
      <c r="AT1475"/>
      <c r="AU1475"/>
      <c r="AV1475"/>
      <c r="AW1475"/>
      <c r="AX1475"/>
      <c r="AY1475"/>
      <c r="AZ1475"/>
      <c r="BA1475"/>
      <c r="BB1475"/>
      <c r="BC1475"/>
      <c r="BD1475"/>
      <c r="BE1475"/>
      <c r="BF1475"/>
      <c r="BG1475"/>
      <c r="BH1475"/>
      <c r="BI1475"/>
      <c r="BJ1475"/>
      <c r="BK1475"/>
      <c r="BL1475"/>
      <c r="BM1475"/>
      <c r="BN1475"/>
      <c r="BO1475"/>
      <c r="BP1475"/>
      <c r="BQ1475"/>
      <c r="BR1475"/>
      <c r="BS1475"/>
      <c r="BT1475"/>
      <c r="BU1475"/>
      <c r="BV1475"/>
      <c r="BW1475"/>
      <c r="BX1475"/>
      <c r="BY1475"/>
      <c r="BZ1475"/>
      <c r="CA1475"/>
      <c r="CB1475"/>
      <c r="CC1475"/>
      <c r="CD1475"/>
      <c r="CE1475"/>
      <c r="CF1475"/>
      <c r="CG1475"/>
      <c r="CH1475"/>
      <c r="CI1475"/>
      <c r="CJ1475"/>
      <c r="CK1475"/>
      <c r="CL1475"/>
      <c r="CM1475"/>
      <c r="CN1475"/>
      <c r="CO1475"/>
      <c r="CP1475"/>
      <c r="CQ1475"/>
      <c r="CR1475"/>
      <c r="CS1475"/>
      <c r="CT1475"/>
      <c r="CU1475"/>
      <c r="CV1475"/>
      <c r="CW1475"/>
      <c r="CX1475"/>
      <c r="CY1475"/>
      <c r="CZ1475"/>
      <c r="DA1475"/>
      <c r="DB1475"/>
      <c r="DC1475"/>
      <c r="DD1475"/>
      <c r="DE1475"/>
      <c r="DF1475"/>
      <c r="DG1475"/>
      <c r="DH1475"/>
      <c r="DI1475"/>
      <c r="DJ1475"/>
      <c r="DK1475"/>
      <c r="DL1475"/>
      <c r="DM1475"/>
      <c r="DN1475"/>
      <c r="DO1475"/>
      <c r="DP1475"/>
      <c r="DQ1475"/>
      <c r="DR1475"/>
      <c r="DS1475"/>
      <c r="DT1475"/>
      <c r="DU1475"/>
      <c r="DV1475"/>
      <c r="DW1475"/>
      <c r="DX1475"/>
      <c r="DY1475"/>
      <c r="DZ1475"/>
      <c r="EA1475"/>
      <c r="EB1475"/>
      <c r="EC1475"/>
      <c r="ED1475"/>
      <c r="EE1475"/>
      <c r="EF1475"/>
      <c r="EG1475"/>
      <c r="EH1475"/>
      <c r="EI1475"/>
      <c r="EJ1475"/>
      <c r="EK1475"/>
      <c r="EL1475"/>
      <c r="EM1475"/>
      <c r="EN1475"/>
      <c r="EO1475"/>
      <c r="EP1475"/>
      <c r="EQ1475"/>
      <c r="ER1475"/>
      <c r="ES1475"/>
    </row>
    <row r="1476" spans="1:149">
      <c r="A1476"/>
      <c r="B1476"/>
      <c r="C1476"/>
      <c r="D1476"/>
      <c r="E1476"/>
      <c r="F1476"/>
      <c r="G1476"/>
      <c r="H1476"/>
      <c r="I1476"/>
      <c r="J1476"/>
      <c r="K1476"/>
      <c r="L1476"/>
      <c r="M1476"/>
      <c r="N1476"/>
      <c r="O1476"/>
      <c r="P1476"/>
      <c r="Q1476"/>
      <c r="R1476"/>
      <c r="S1476"/>
      <c r="T1476"/>
      <c r="U1476"/>
      <c r="V1476"/>
      <c r="W1476"/>
      <c r="X1476"/>
      <c r="Y1476"/>
      <c r="Z1476"/>
      <c r="AA1476"/>
      <c r="AB1476"/>
      <c r="AC1476"/>
      <c r="AD1476"/>
      <c r="AE1476"/>
      <c r="AF1476"/>
      <c r="AG1476"/>
      <c r="AH1476"/>
      <c r="AI1476"/>
      <c r="AJ1476"/>
      <c r="AK1476"/>
      <c r="AL1476"/>
      <c r="AM1476"/>
      <c r="AN1476"/>
      <c r="AO1476"/>
      <c r="AP1476"/>
      <c r="AQ1476"/>
      <c r="AR1476"/>
      <c r="AS1476"/>
      <c r="AT1476"/>
      <c r="AU1476"/>
      <c r="AV1476"/>
      <c r="AW1476"/>
      <c r="AX1476"/>
      <c r="AY1476"/>
      <c r="AZ1476"/>
      <c r="BA1476"/>
      <c r="BB1476"/>
      <c r="BC1476"/>
      <c r="BD1476"/>
      <c r="BE1476"/>
      <c r="BF1476"/>
      <c r="BG1476"/>
      <c r="BH1476"/>
      <c r="BI1476"/>
      <c r="BJ1476"/>
      <c r="BK1476"/>
      <c r="BL1476"/>
      <c r="BM1476"/>
      <c r="BN1476"/>
      <c r="BO1476"/>
      <c r="BP1476"/>
      <c r="BQ1476"/>
      <c r="BR1476"/>
      <c r="BS1476"/>
      <c r="BT1476"/>
      <c r="BU1476"/>
      <c r="BV1476"/>
      <c r="BW1476"/>
      <c r="BX1476"/>
      <c r="BY1476"/>
      <c r="BZ1476"/>
      <c r="CA1476"/>
      <c r="CB1476"/>
      <c r="CC1476"/>
      <c r="CD1476"/>
      <c r="CE1476"/>
      <c r="CF1476"/>
      <c r="CG1476"/>
      <c r="CH1476"/>
      <c r="CI1476"/>
      <c r="CJ1476"/>
      <c r="CK1476"/>
      <c r="CL1476"/>
      <c r="CM1476"/>
      <c r="CN1476"/>
      <c r="CO1476"/>
      <c r="CP1476"/>
      <c r="CQ1476"/>
      <c r="CR1476"/>
      <c r="CS1476"/>
      <c r="CT1476"/>
      <c r="CU1476"/>
      <c r="CV1476"/>
      <c r="CW1476"/>
      <c r="CX1476"/>
      <c r="CY1476"/>
      <c r="CZ1476"/>
      <c r="DA1476"/>
      <c r="DB1476"/>
      <c r="DC1476"/>
      <c r="DD1476"/>
      <c r="DE1476"/>
      <c r="DF1476"/>
      <c r="DG1476"/>
      <c r="DH1476"/>
      <c r="DI1476"/>
      <c r="DJ1476"/>
      <c r="DK1476"/>
      <c r="DL1476"/>
      <c r="DM1476"/>
      <c r="DN1476"/>
      <c r="DO1476"/>
      <c r="DP1476"/>
      <c r="DQ1476"/>
      <c r="DR1476"/>
      <c r="DS1476"/>
      <c r="DT1476"/>
      <c r="DU1476"/>
      <c r="DV1476"/>
      <c r="DW1476"/>
      <c r="DX1476"/>
      <c r="DY1476"/>
      <c r="DZ1476"/>
      <c r="EA1476"/>
      <c r="EB1476"/>
      <c r="EC1476"/>
      <c r="ED1476"/>
      <c r="EE1476"/>
      <c r="EF1476"/>
      <c r="EG1476"/>
      <c r="EH1476"/>
      <c r="EI1476"/>
      <c r="EJ1476"/>
      <c r="EK1476"/>
      <c r="EL1476"/>
      <c r="EM1476"/>
      <c r="EN1476"/>
      <c r="EO1476"/>
      <c r="EP1476"/>
      <c r="EQ1476"/>
      <c r="ER1476"/>
      <c r="ES1476"/>
    </row>
    <row r="1477" spans="1:149">
      <c r="A1477"/>
      <c r="B1477"/>
      <c r="C1477"/>
      <c r="D1477"/>
      <c r="E1477"/>
      <c r="F1477"/>
      <c r="G1477"/>
      <c r="H1477"/>
      <c r="I1477"/>
      <c r="J1477"/>
      <c r="K1477"/>
      <c r="L1477"/>
      <c r="M1477"/>
      <c r="N1477"/>
      <c r="O1477"/>
      <c r="P1477"/>
      <c r="Q1477"/>
      <c r="R1477"/>
      <c r="S1477"/>
      <c r="T1477"/>
      <c r="U1477"/>
      <c r="V1477"/>
      <c r="W1477"/>
      <c r="X1477"/>
      <c r="Y1477"/>
      <c r="Z1477"/>
      <c r="AA1477"/>
      <c r="AB1477"/>
      <c r="AC1477"/>
      <c r="AD1477"/>
      <c r="AE1477"/>
      <c r="AF1477"/>
      <c r="AG1477"/>
      <c r="AH1477"/>
      <c r="AI1477"/>
      <c r="AJ1477"/>
      <c r="AK1477"/>
      <c r="AL1477"/>
      <c r="AM1477"/>
      <c r="AN1477"/>
      <c r="AO1477"/>
      <c r="AP1477"/>
      <c r="AQ1477"/>
      <c r="AR1477"/>
      <c r="AS1477"/>
      <c r="AT1477"/>
      <c r="AU1477"/>
      <c r="AV1477"/>
      <c r="AW1477"/>
      <c r="AX1477"/>
      <c r="AY1477"/>
      <c r="AZ1477"/>
      <c r="BA1477"/>
      <c r="BB1477"/>
      <c r="BC1477"/>
      <c r="BD1477"/>
      <c r="BE1477"/>
      <c r="BF1477"/>
      <c r="BG1477"/>
      <c r="BH1477"/>
      <c r="BI1477"/>
      <c r="BJ1477"/>
      <c r="BK1477"/>
      <c r="BL1477"/>
      <c r="BM1477"/>
      <c r="BN1477"/>
      <c r="BO1477"/>
      <c r="BP1477"/>
      <c r="BQ1477"/>
      <c r="BR1477"/>
      <c r="BS1477"/>
      <c r="BT1477"/>
      <c r="BU1477"/>
      <c r="BV1477"/>
      <c r="BW1477"/>
      <c r="BX1477"/>
      <c r="BY1477"/>
      <c r="BZ1477"/>
      <c r="CA1477"/>
      <c r="CB1477"/>
      <c r="CC1477"/>
      <c r="CD1477"/>
      <c r="CE1477"/>
      <c r="CF1477"/>
      <c r="CG1477"/>
      <c r="CH1477"/>
      <c r="CI1477"/>
      <c r="CJ1477"/>
      <c r="CK1477"/>
      <c r="CL1477"/>
      <c r="CM1477"/>
      <c r="CN1477"/>
      <c r="CO1477"/>
      <c r="CP1477"/>
      <c r="CQ1477"/>
      <c r="CR1477"/>
      <c r="CS1477"/>
      <c r="CT1477"/>
      <c r="CU1477"/>
      <c r="CV1477"/>
      <c r="CW1477"/>
      <c r="CX1477"/>
      <c r="CY1477"/>
      <c r="CZ1477"/>
      <c r="DA1477"/>
      <c r="DB1477"/>
      <c r="DC1477"/>
      <c r="DD1477"/>
      <c r="DE1477"/>
      <c r="DF1477"/>
      <c r="DG1477"/>
      <c r="DH1477"/>
      <c r="DI1477"/>
      <c r="DJ1477"/>
      <c r="DK1477"/>
      <c r="DL1477"/>
      <c r="DM1477"/>
      <c r="DN1477"/>
      <c r="DO1477"/>
      <c r="DP1477"/>
      <c r="DQ1477"/>
      <c r="DR1477"/>
      <c r="DS1477"/>
      <c r="DT1477"/>
      <c r="DU1477"/>
      <c r="DV1477"/>
      <c r="DW1477"/>
      <c r="DX1477"/>
      <c r="DY1477"/>
      <c r="DZ1477"/>
      <c r="EA1477"/>
      <c r="EB1477"/>
      <c r="EC1477"/>
      <c r="ED1477"/>
      <c r="EE1477"/>
      <c r="EF1477"/>
      <c r="EG1477"/>
      <c r="EH1477"/>
      <c r="EI1477"/>
      <c r="EJ1477"/>
      <c r="EK1477"/>
      <c r="EL1477"/>
      <c r="EM1477"/>
      <c r="EN1477"/>
      <c r="EO1477"/>
      <c r="EP1477"/>
      <c r="EQ1477"/>
      <c r="ER1477"/>
      <c r="ES1477"/>
    </row>
    <row r="1478" spans="1:149">
      <c r="A1478"/>
      <c r="B1478"/>
      <c r="C1478"/>
      <c r="D1478"/>
      <c r="E1478"/>
      <c r="F1478"/>
      <c r="G1478"/>
      <c r="H1478"/>
      <c r="I1478"/>
      <c r="J1478"/>
      <c r="K1478"/>
      <c r="L1478"/>
      <c r="M1478"/>
      <c r="N1478"/>
      <c r="O1478"/>
      <c r="P1478"/>
      <c r="Q1478"/>
      <c r="R1478"/>
      <c r="S1478"/>
      <c r="T1478"/>
      <c r="U1478"/>
      <c r="V1478"/>
      <c r="W1478"/>
      <c r="X1478"/>
      <c r="Y1478"/>
      <c r="Z1478"/>
      <c r="AA1478"/>
      <c r="AB1478"/>
      <c r="AC1478"/>
      <c r="AD1478"/>
      <c r="AE1478"/>
      <c r="AF1478"/>
      <c r="AG1478"/>
      <c r="AH1478"/>
      <c r="AI1478"/>
      <c r="AJ1478"/>
      <c r="AK1478"/>
      <c r="AL1478"/>
      <c r="AM1478"/>
      <c r="AN1478"/>
      <c r="AO1478"/>
      <c r="AP1478"/>
      <c r="AQ1478"/>
      <c r="AR1478"/>
      <c r="AS1478"/>
      <c r="AT1478"/>
      <c r="AU1478"/>
      <c r="AV1478"/>
      <c r="AW1478"/>
      <c r="AX1478"/>
      <c r="AY1478"/>
      <c r="AZ1478"/>
      <c r="BA1478"/>
      <c r="BB1478"/>
      <c r="BC1478"/>
      <c r="BD1478"/>
      <c r="BE1478"/>
      <c r="BF1478"/>
      <c r="BG1478"/>
      <c r="BH1478"/>
      <c r="BI1478"/>
      <c r="BJ1478"/>
      <c r="BK1478"/>
      <c r="BL1478"/>
      <c r="BM1478"/>
      <c r="BN1478"/>
      <c r="BO1478"/>
      <c r="BP1478"/>
      <c r="BQ1478"/>
      <c r="BR1478"/>
      <c r="BS1478"/>
      <c r="BT1478"/>
      <c r="BU1478"/>
      <c r="BV1478"/>
      <c r="BW1478"/>
      <c r="BX1478"/>
      <c r="BY1478"/>
      <c r="BZ1478"/>
      <c r="CA1478"/>
      <c r="CB1478"/>
      <c r="CC1478"/>
      <c r="CD1478"/>
      <c r="CE1478"/>
      <c r="CF1478"/>
      <c r="CG1478"/>
      <c r="CH1478"/>
      <c r="CI1478"/>
      <c r="CJ1478"/>
      <c r="CK1478"/>
      <c r="CL1478"/>
      <c r="CM1478"/>
      <c r="CN1478"/>
      <c r="CO1478"/>
      <c r="CP1478"/>
      <c r="CQ1478"/>
      <c r="CR1478"/>
      <c r="CS1478"/>
      <c r="CT1478"/>
      <c r="CU1478"/>
      <c r="CV1478"/>
      <c r="CW1478"/>
      <c r="CX1478"/>
      <c r="CY1478"/>
      <c r="CZ1478"/>
      <c r="DA1478"/>
      <c r="DB1478"/>
      <c r="DC1478"/>
      <c r="DD1478"/>
      <c r="DE1478"/>
      <c r="DF1478"/>
      <c r="DG1478"/>
      <c r="DH1478"/>
      <c r="DI1478"/>
      <c r="DJ1478"/>
      <c r="DK1478"/>
      <c r="DL1478"/>
      <c r="DM1478"/>
      <c r="DN1478"/>
      <c r="DO1478"/>
      <c r="DP1478"/>
      <c r="DQ1478"/>
      <c r="DR1478"/>
      <c r="DS1478"/>
      <c r="DT1478"/>
      <c r="DU1478"/>
      <c r="DV1478"/>
      <c r="DW1478"/>
      <c r="DX1478"/>
      <c r="DY1478"/>
      <c r="DZ1478"/>
      <c r="EA1478"/>
      <c r="EB1478"/>
      <c r="EC1478"/>
      <c r="ED1478"/>
      <c r="EE1478"/>
      <c r="EF1478"/>
      <c r="EG1478"/>
      <c r="EH1478"/>
      <c r="EI1478"/>
      <c r="EJ1478"/>
      <c r="EK1478"/>
      <c r="EL1478"/>
      <c r="EM1478"/>
      <c r="EN1478"/>
      <c r="EO1478"/>
      <c r="EP1478"/>
      <c r="EQ1478"/>
      <c r="ER1478"/>
      <c r="ES1478"/>
    </row>
    <row r="1479" spans="1:149">
      <c r="A1479"/>
      <c r="B1479"/>
      <c r="C1479"/>
      <c r="D1479"/>
      <c r="E1479"/>
      <c r="F1479"/>
      <c r="G1479"/>
      <c r="H1479"/>
      <c r="I1479"/>
      <c r="J1479"/>
      <c r="K1479"/>
      <c r="L1479"/>
      <c r="M1479"/>
      <c r="N1479"/>
      <c r="O1479"/>
      <c r="P1479"/>
      <c r="Q1479"/>
      <c r="R1479"/>
      <c r="S1479"/>
      <c r="T1479"/>
      <c r="U1479"/>
      <c r="V1479"/>
      <c r="W1479"/>
      <c r="X1479"/>
      <c r="Y1479"/>
      <c r="Z1479"/>
      <c r="AA1479"/>
      <c r="AB1479"/>
      <c r="AC1479"/>
      <c r="AD1479"/>
      <c r="AE1479"/>
      <c r="AF1479"/>
      <c r="AG1479"/>
      <c r="AH1479"/>
      <c r="AI1479"/>
      <c r="AJ1479"/>
      <c r="AK1479"/>
      <c r="AL1479"/>
      <c r="AM1479"/>
      <c r="AN1479"/>
      <c r="AO1479"/>
      <c r="AP1479"/>
      <c r="AQ1479"/>
      <c r="AR1479"/>
      <c r="AS1479"/>
      <c r="AT1479"/>
      <c r="AU1479"/>
      <c r="AV1479"/>
      <c r="AW1479"/>
      <c r="AX1479"/>
      <c r="AY1479"/>
      <c r="AZ1479"/>
      <c r="BA1479"/>
      <c r="BB1479"/>
      <c r="BC1479"/>
      <c r="BD1479"/>
      <c r="BE1479"/>
      <c r="BF1479"/>
      <c r="BG1479"/>
      <c r="BH1479"/>
      <c r="BI1479"/>
      <c r="BJ1479"/>
      <c r="BK1479"/>
      <c r="BL1479"/>
      <c r="BM1479"/>
      <c r="BN1479"/>
      <c r="BO1479"/>
      <c r="BP1479"/>
      <c r="BQ1479"/>
      <c r="BR1479"/>
      <c r="BS1479"/>
      <c r="BT1479"/>
      <c r="BU1479"/>
      <c r="BV1479"/>
      <c r="BW1479"/>
      <c r="BX1479"/>
      <c r="BY1479"/>
      <c r="BZ1479"/>
      <c r="CA1479"/>
      <c r="CB1479"/>
      <c r="CC1479"/>
      <c r="CD1479"/>
      <c r="CE1479"/>
      <c r="CF1479"/>
      <c r="CG1479"/>
      <c r="CH1479"/>
      <c r="CI1479"/>
      <c r="CJ1479"/>
      <c r="CK1479"/>
      <c r="CL1479"/>
      <c r="CM1479"/>
      <c r="CN1479"/>
      <c r="CO1479"/>
      <c r="CP1479"/>
      <c r="CQ1479"/>
      <c r="CR1479"/>
      <c r="CS1479"/>
      <c r="CT1479"/>
      <c r="CU1479"/>
      <c r="CV1479"/>
      <c r="CW1479"/>
      <c r="CX1479"/>
      <c r="CY1479"/>
      <c r="CZ1479"/>
      <c r="DA1479"/>
      <c r="DB1479"/>
      <c r="DC1479"/>
      <c r="DD1479"/>
      <c r="DE1479"/>
      <c r="DF1479"/>
      <c r="DG1479"/>
      <c r="DH1479"/>
      <c r="DI1479"/>
      <c r="DJ1479"/>
      <c r="DK1479"/>
      <c r="DL1479"/>
      <c r="DM1479"/>
      <c r="DN1479"/>
      <c r="DO1479"/>
      <c r="DP1479"/>
      <c r="DQ1479"/>
      <c r="DR1479"/>
      <c r="DS1479"/>
      <c r="DT1479"/>
      <c r="DU1479"/>
      <c r="DV1479"/>
      <c r="DW1479"/>
      <c r="DX1479"/>
      <c r="DY1479"/>
      <c r="DZ1479"/>
      <c r="EA1479"/>
      <c r="EB1479"/>
      <c r="EC1479"/>
      <c r="ED1479"/>
      <c r="EE1479"/>
      <c r="EF1479"/>
      <c r="EG1479"/>
      <c r="EH1479"/>
      <c r="EI1479"/>
      <c r="EJ1479"/>
      <c r="EK1479"/>
      <c r="EL1479"/>
      <c r="EM1479"/>
      <c r="EN1479"/>
      <c r="EO1479"/>
      <c r="EP1479"/>
      <c r="EQ1479"/>
      <c r="ER1479"/>
      <c r="ES1479"/>
    </row>
    <row r="1480" spans="1:149">
      <c r="A1480"/>
      <c r="B1480"/>
      <c r="C1480"/>
      <c r="D1480"/>
      <c r="E1480"/>
      <c r="F1480"/>
      <c r="G1480"/>
      <c r="H1480"/>
      <c r="I1480"/>
      <c r="J1480"/>
      <c r="K1480"/>
      <c r="L1480"/>
      <c r="M1480"/>
      <c r="N1480"/>
      <c r="O1480"/>
      <c r="P1480"/>
      <c r="Q1480"/>
      <c r="R1480"/>
      <c r="S1480"/>
      <c r="T1480"/>
      <c r="U1480"/>
      <c r="V1480"/>
      <c r="W1480"/>
      <c r="X1480"/>
      <c r="Y1480"/>
      <c r="Z1480"/>
      <c r="AA1480"/>
      <c r="AB1480"/>
      <c r="AC1480"/>
      <c r="AD1480"/>
      <c r="AE1480"/>
      <c r="AF1480"/>
      <c r="AG1480"/>
      <c r="AH1480"/>
      <c r="AI1480"/>
      <c r="AJ1480"/>
      <c r="AK1480"/>
      <c r="AL1480"/>
      <c r="AM1480"/>
      <c r="AN1480"/>
      <c r="AO1480"/>
      <c r="AP1480"/>
      <c r="AQ1480"/>
      <c r="AR1480"/>
      <c r="AS1480"/>
      <c r="AT1480"/>
      <c r="AU1480"/>
      <c r="AV1480"/>
      <c r="AW1480"/>
      <c r="AX1480"/>
      <c r="AY1480"/>
      <c r="AZ1480"/>
      <c r="BA1480"/>
      <c r="BB1480"/>
      <c r="BC1480"/>
      <c r="BD1480"/>
      <c r="BE1480"/>
      <c r="BF1480"/>
      <c r="BG1480"/>
      <c r="BH1480"/>
      <c r="BI1480"/>
      <c r="BJ1480"/>
      <c r="BK1480"/>
      <c r="BL1480"/>
      <c r="BM1480"/>
      <c r="BN1480"/>
      <c r="BO1480"/>
      <c r="BP1480"/>
      <c r="BQ1480"/>
      <c r="BR1480"/>
      <c r="BS1480"/>
      <c r="BT1480"/>
      <c r="BU1480"/>
      <c r="BV1480"/>
      <c r="BW1480"/>
      <c r="BX1480"/>
      <c r="BY1480"/>
      <c r="BZ1480"/>
      <c r="CA1480"/>
      <c r="CB1480"/>
      <c r="CC1480"/>
      <c r="CD1480"/>
      <c r="CE1480"/>
      <c r="CF1480"/>
      <c r="CG1480"/>
      <c r="CH1480"/>
      <c r="CI1480"/>
      <c r="CJ1480"/>
      <c r="CK1480"/>
      <c r="CL1480"/>
      <c r="CM1480"/>
      <c r="CN1480"/>
      <c r="CO1480"/>
      <c r="CP1480"/>
      <c r="CQ1480"/>
      <c r="CR1480"/>
      <c r="CS1480"/>
      <c r="CT1480"/>
      <c r="CU1480"/>
      <c r="CV1480"/>
      <c r="CW1480"/>
      <c r="CX1480"/>
      <c r="CY1480"/>
      <c r="CZ1480"/>
      <c r="DA1480"/>
      <c r="DB1480"/>
      <c r="DC1480"/>
      <c r="DD1480"/>
      <c r="DE1480"/>
      <c r="DF1480"/>
      <c r="DG1480"/>
      <c r="DH1480"/>
      <c r="DI1480"/>
      <c r="DJ1480"/>
      <c r="DK1480"/>
      <c r="DL1480"/>
      <c r="DM1480"/>
      <c r="DN1480"/>
      <c r="DO1480"/>
      <c r="DP1480"/>
      <c r="DQ1480"/>
      <c r="DR1480"/>
      <c r="DS1480"/>
      <c r="DT1480"/>
      <c r="DU1480"/>
      <c r="DV1480"/>
      <c r="DW1480"/>
      <c r="DX1480"/>
      <c r="DY1480"/>
      <c r="DZ1480"/>
      <c r="EA1480"/>
      <c r="EB1480"/>
      <c r="EC1480"/>
      <c r="ED1480"/>
      <c r="EE1480"/>
      <c r="EF1480"/>
      <c r="EG1480"/>
      <c r="EH1480"/>
      <c r="EI1480"/>
      <c r="EJ1480"/>
      <c r="EK1480"/>
      <c r="EL1480"/>
      <c r="EM1480"/>
      <c r="EN1480"/>
      <c r="EO1480"/>
      <c r="EP1480"/>
      <c r="EQ1480"/>
      <c r="ER1480"/>
      <c r="ES1480"/>
    </row>
    <row r="1481" spans="1:149">
      <c r="A1481"/>
      <c r="B1481"/>
      <c r="C1481"/>
      <c r="D1481"/>
      <c r="E1481"/>
      <c r="F1481"/>
      <c r="G1481"/>
      <c r="H1481"/>
      <c r="I1481"/>
      <c r="J1481"/>
      <c r="K1481"/>
      <c r="L1481"/>
      <c r="M1481"/>
      <c r="N1481"/>
      <c r="O1481"/>
      <c r="P1481"/>
      <c r="Q1481"/>
      <c r="R1481"/>
      <c r="S1481"/>
      <c r="T1481"/>
      <c r="U1481"/>
      <c r="V1481"/>
      <c r="W1481"/>
      <c r="X1481"/>
      <c r="Y1481"/>
      <c r="Z1481"/>
      <c r="AA1481"/>
      <c r="AB1481"/>
      <c r="AC1481"/>
      <c r="AD1481"/>
      <c r="AE1481"/>
      <c r="AF1481"/>
      <c r="AG1481"/>
      <c r="AH1481"/>
      <c r="AI1481"/>
      <c r="AJ1481"/>
      <c r="AK1481"/>
      <c r="AL1481"/>
      <c r="AM1481"/>
      <c r="AN1481"/>
      <c r="AO1481"/>
      <c r="AP1481"/>
      <c r="AQ1481"/>
      <c r="AR1481"/>
      <c r="AS1481"/>
      <c r="AT1481"/>
      <c r="AU1481"/>
      <c r="AV1481"/>
      <c r="AW1481"/>
      <c r="AX1481"/>
      <c r="AY1481"/>
      <c r="AZ1481"/>
      <c r="BA1481"/>
      <c r="BB1481"/>
      <c r="BC1481"/>
      <c r="BD1481"/>
      <c r="BE1481"/>
      <c r="BF1481"/>
      <c r="BG1481"/>
      <c r="BH1481"/>
      <c r="BI1481"/>
      <c r="BJ1481"/>
      <c r="BK1481"/>
      <c r="BL1481"/>
      <c r="BM1481"/>
      <c r="BN1481"/>
      <c r="BO1481"/>
      <c r="BP1481"/>
      <c r="BQ1481"/>
      <c r="BR1481"/>
      <c r="BS1481"/>
      <c r="BT1481"/>
      <c r="BU1481"/>
      <c r="BV1481"/>
      <c r="BW1481"/>
      <c r="BX1481"/>
      <c r="BY1481"/>
      <c r="BZ1481"/>
      <c r="CA1481"/>
      <c r="CB1481"/>
      <c r="CC1481"/>
      <c r="CD1481"/>
      <c r="CE1481"/>
      <c r="CF1481"/>
      <c r="CG1481"/>
      <c r="CH1481"/>
      <c r="CI1481"/>
      <c r="CJ1481"/>
      <c r="CK1481"/>
      <c r="CL1481"/>
      <c r="CM1481"/>
      <c r="CN1481"/>
      <c r="CO1481"/>
      <c r="CP1481"/>
      <c r="CQ1481"/>
      <c r="CR1481"/>
      <c r="CS1481"/>
      <c r="CT1481"/>
      <c r="CU1481"/>
      <c r="CV1481"/>
      <c r="CW1481"/>
      <c r="CX1481"/>
      <c r="CY1481"/>
      <c r="CZ1481"/>
      <c r="DA1481"/>
      <c r="DB1481"/>
      <c r="DC1481"/>
      <c r="DD1481"/>
      <c r="DE1481"/>
      <c r="DF1481"/>
      <c r="DG1481"/>
      <c r="DH1481"/>
      <c r="DI1481"/>
      <c r="DJ1481"/>
      <c r="DK1481"/>
      <c r="DL1481"/>
      <c r="DM1481"/>
      <c r="DN1481"/>
      <c r="DO1481"/>
      <c r="DP1481"/>
      <c r="DQ1481"/>
      <c r="DR1481"/>
      <c r="DS1481"/>
      <c r="DT1481"/>
      <c r="DU1481"/>
      <c r="DV1481"/>
      <c r="DW1481"/>
      <c r="DX1481"/>
      <c r="DY1481"/>
      <c r="DZ1481"/>
      <c r="EA1481"/>
      <c r="EB1481"/>
      <c r="EC1481"/>
      <c r="ED1481"/>
      <c r="EE1481"/>
      <c r="EF1481"/>
      <c r="EG1481"/>
      <c r="EH1481"/>
      <c r="EI1481"/>
      <c r="EJ1481"/>
      <c r="EK1481"/>
      <c r="EL1481"/>
      <c r="EM1481"/>
      <c r="EN1481"/>
      <c r="EO1481"/>
      <c r="EP1481"/>
      <c r="EQ1481"/>
      <c r="ER1481"/>
      <c r="ES1481"/>
    </row>
    <row r="1482" spans="1:149">
      <c r="A1482"/>
      <c r="B1482"/>
      <c r="C1482"/>
      <c r="D1482"/>
      <c r="E1482"/>
      <c r="F1482"/>
      <c r="G1482"/>
      <c r="H1482"/>
      <c r="I1482"/>
      <c r="J1482"/>
      <c r="K1482"/>
      <c r="L1482"/>
      <c r="M1482"/>
      <c r="N1482"/>
      <c r="O1482"/>
      <c r="P1482"/>
      <c r="Q1482"/>
      <c r="R1482"/>
      <c r="S1482"/>
      <c r="T1482"/>
      <c r="U1482"/>
      <c r="V1482"/>
      <c r="W1482"/>
      <c r="X1482"/>
      <c r="Y1482"/>
      <c r="Z1482"/>
      <c r="AA1482"/>
      <c r="AB1482"/>
      <c r="AC1482"/>
      <c r="AD1482"/>
      <c r="AE1482"/>
      <c r="AF1482"/>
      <c r="AG1482"/>
      <c r="AH1482"/>
      <c r="AI1482"/>
      <c r="AJ1482"/>
      <c r="AK1482"/>
      <c r="AL1482"/>
      <c r="AM1482"/>
      <c r="AN1482"/>
      <c r="AO1482"/>
      <c r="AP1482"/>
      <c r="AQ1482"/>
      <c r="AR1482"/>
      <c r="AS1482"/>
      <c r="AT1482"/>
      <c r="AU1482"/>
      <c r="AV1482"/>
      <c r="AW1482"/>
      <c r="AX1482"/>
      <c r="AY1482"/>
      <c r="AZ1482"/>
      <c r="BA1482"/>
      <c r="BB1482"/>
      <c r="BC1482"/>
      <c r="BD1482"/>
      <c r="BE1482"/>
      <c r="BF1482"/>
      <c r="BG1482"/>
      <c r="BH1482"/>
      <c r="BI1482"/>
      <c r="BJ1482"/>
      <c r="BK1482"/>
      <c r="BL1482"/>
      <c r="BM1482"/>
      <c r="BN1482"/>
      <c r="BO1482"/>
      <c r="BP1482"/>
      <c r="BQ1482"/>
      <c r="BR1482"/>
      <c r="BS1482"/>
      <c r="BT1482"/>
      <c r="BU1482"/>
      <c r="BV1482"/>
      <c r="BW1482"/>
      <c r="BX1482"/>
      <c r="BY1482"/>
      <c r="BZ1482"/>
      <c r="CA1482"/>
      <c r="CB1482"/>
      <c r="CC1482"/>
      <c r="CD1482"/>
      <c r="CE1482"/>
      <c r="CF1482"/>
      <c r="CG1482"/>
      <c r="CH1482"/>
      <c r="CI1482"/>
      <c r="CJ1482"/>
      <c r="CK1482"/>
      <c r="CL1482"/>
      <c r="CM1482"/>
      <c r="CN1482"/>
      <c r="CO1482"/>
      <c r="CP1482"/>
      <c r="CQ1482"/>
      <c r="CR1482"/>
      <c r="CS1482"/>
      <c r="CT1482"/>
      <c r="CU1482"/>
      <c r="CV1482"/>
      <c r="CW1482"/>
      <c r="CX1482"/>
      <c r="CY1482"/>
      <c r="CZ1482"/>
      <c r="DA1482"/>
      <c r="DB1482"/>
      <c r="DC1482"/>
      <c r="DD1482"/>
      <c r="DE1482"/>
      <c r="DF1482"/>
      <c r="DG1482"/>
      <c r="DH1482"/>
      <c r="DI1482"/>
      <c r="DJ1482"/>
      <c r="DK1482"/>
      <c r="DL1482"/>
      <c r="DM1482"/>
      <c r="DN1482"/>
      <c r="DO1482"/>
      <c r="DP1482"/>
      <c r="DQ1482"/>
      <c r="DR1482"/>
      <c r="DS1482"/>
      <c r="DT1482"/>
      <c r="DU1482"/>
      <c r="DV1482"/>
      <c r="DW1482"/>
      <c r="DX1482"/>
      <c r="DY1482"/>
      <c r="DZ1482"/>
      <c r="EA1482"/>
      <c r="EB1482"/>
      <c r="EC1482"/>
      <c r="ED1482"/>
      <c r="EE1482"/>
      <c r="EF1482"/>
      <c r="EG1482"/>
      <c r="EH1482"/>
      <c r="EI1482"/>
      <c r="EJ1482"/>
      <c r="EK1482"/>
      <c r="EL1482"/>
      <c r="EM1482"/>
      <c r="EN1482"/>
      <c r="EO1482"/>
      <c r="EP1482"/>
      <c r="EQ1482"/>
      <c r="ER1482"/>
      <c r="ES1482"/>
    </row>
    <row r="1483" spans="1:149">
      <c r="A1483"/>
      <c r="B1483"/>
      <c r="C1483"/>
      <c r="D1483"/>
      <c r="E1483"/>
      <c r="F1483"/>
      <c r="G1483"/>
      <c r="H1483"/>
      <c r="I1483"/>
      <c r="J1483"/>
      <c r="K1483"/>
      <c r="L1483"/>
      <c r="M1483"/>
      <c r="N1483"/>
      <c r="O1483"/>
      <c r="P1483"/>
      <c r="Q1483"/>
      <c r="R1483"/>
      <c r="S1483"/>
      <c r="T1483"/>
      <c r="U1483"/>
      <c r="V1483"/>
      <c r="W1483"/>
      <c r="X1483"/>
      <c r="Y1483"/>
      <c r="Z1483"/>
      <c r="AA1483"/>
      <c r="AB1483"/>
      <c r="AC1483"/>
      <c r="AD1483"/>
      <c r="AE1483"/>
      <c r="AF1483"/>
      <c r="AG1483"/>
      <c r="AH1483"/>
      <c r="AI1483"/>
      <c r="AJ1483"/>
      <c r="AK1483"/>
      <c r="AL1483"/>
      <c r="AM1483"/>
      <c r="AN1483"/>
      <c r="AO1483"/>
      <c r="AP1483"/>
      <c r="AQ1483"/>
      <c r="AR1483"/>
      <c r="AS1483"/>
      <c r="AT1483"/>
      <c r="AU1483"/>
      <c r="AV1483"/>
      <c r="AW1483"/>
      <c r="AX1483"/>
      <c r="AY1483"/>
      <c r="AZ1483"/>
      <c r="BA1483"/>
      <c r="BB1483"/>
      <c r="BC1483"/>
      <c r="BD1483"/>
      <c r="BE1483"/>
      <c r="BF1483"/>
      <c r="BG1483"/>
      <c r="BH1483"/>
      <c r="BI1483"/>
      <c r="BJ1483"/>
      <c r="BK1483"/>
      <c r="BL1483"/>
      <c r="BM1483"/>
      <c r="BN1483"/>
      <c r="BO1483"/>
      <c r="BP1483"/>
      <c r="BQ1483"/>
      <c r="BR1483"/>
      <c r="BS1483"/>
      <c r="BT1483"/>
      <c r="BU1483"/>
      <c r="BV1483"/>
      <c r="BW1483"/>
      <c r="BX1483"/>
      <c r="BY1483"/>
      <c r="BZ1483"/>
      <c r="CA1483"/>
      <c r="CB1483"/>
      <c r="CC1483"/>
      <c r="CD1483"/>
      <c r="CE1483"/>
      <c r="CF1483"/>
      <c r="CG1483"/>
      <c r="CH1483"/>
      <c r="CI1483"/>
      <c r="CJ1483"/>
      <c r="CK1483"/>
      <c r="CL1483"/>
      <c r="CM1483"/>
      <c r="CN1483"/>
      <c r="CO1483"/>
      <c r="CP1483"/>
      <c r="CQ1483"/>
      <c r="CR1483"/>
      <c r="CS1483"/>
      <c r="CT1483"/>
      <c r="CU1483"/>
      <c r="CV1483"/>
      <c r="CW1483"/>
      <c r="CX1483"/>
      <c r="CY1483"/>
      <c r="CZ1483"/>
      <c r="DA1483"/>
      <c r="DB1483"/>
      <c r="DC1483"/>
      <c r="DD1483"/>
      <c r="DE1483"/>
      <c r="DF1483"/>
      <c r="DG1483"/>
      <c r="DH1483"/>
      <c r="DI1483"/>
      <c r="DJ1483"/>
      <c r="DK1483"/>
      <c r="DL1483"/>
      <c r="DM1483"/>
      <c r="DN1483"/>
      <c r="DO1483"/>
      <c r="DP1483"/>
      <c r="DQ1483"/>
      <c r="DR1483"/>
      <c r="DS1483"/>
      <c r="DT1483"/>
      <c r="DU1483"/>
      <c r="DV1483"/>
      <c r="DW1483"/>
      <c r="DX1483"/>
      <c r="DY1483"/>
      <c r="DZ1483"/>
      <c r="EA1483"/>
      <c r="EB1483"/>
      <c r="EC1483"/>
      <c r="ED1483"/>
      <c r="EE1483"/>
      <c r="EF1483"/>
      <c r="EG1483"/>
      <c r="EH1483"/>
      <c r="EI1483"/>
      <c r="EJ1483"/>
      <c r="EK1483"/>
      <c r="EL1483"/>
      <c r="EM1483"/>
      <c r="EN1483"/>
      <c r="EO1483"/>
      <c r="EP1483"/>
      <c r="EQ1483"/>
      <c r="ER1483"/>
      <c r="ES1483"/>
    </row>
    <row r="1484" spans="1:149">
      <c r="A1484"/>
      <c r="B1484"/>
      <c r="C1484"/>
      <c r="D1484"/>
      <c r="E1484"/>
      <c r="F1484"/>
      <c r="G1484"/>
      <c r="H1484"/>
      <c r="I1484"/>
      <c r="J1484"/>
      <c r="K1484"/>
      <c r="L1484"/>
      <c r="M1484"/>
      <c r="N1484"/>
      <c r="O1484"/>
      <c r="P1484"/>
      <c r="Q1484"/>
      <c r="R1484"/>
      <c r="S1484"/>
      <c r="T1484"/>
      <c r="U1484"/>
      <c r="V1484"/>
      <c r="W1484"/>
      <c r="X1484"/>
      <c r="Y1484"/>
      <c r="Z1484"/>
      <c r="AA1484"/>
      <c r="AB1484"/>
      <c r="AC1484"/>
      <c r="AD1484"/>
      <c r="AE1484"/>
      <c r="AF1484"/>
      <c r="AG1484"/>
      <c r="AH1484"/>
      <c r="AI1484"/>
      <c r="AJ1484"/>
      <c r="AK1484"/>
      <c r="AL1484"/>
      <c r="AM1484"/>
      <c r="AN1484"/>
      <c r="AO1484"/>
      <c r="AP1484"/>
      <c r="AQ1484"/>
      <c r="AR1484"/>
      <c r="AS1484"/>
      <c r="AT1484"/>
      <c r="AU1484"/>
      <c r="AV1484"/>
      <c r="AW1484"/>
      <c r="AX1484"/>
      <c r="AY1484"/>
      <c r="AZ1484"/>
      <c r="BA1484"/>
      <c r="BB1484"/>
      <c r="BC1484"/>
      <c r="BD1484"/>
      <c r="BE1484"/>
      <c r="BF1484"/>
      <c r="BG1484"/>
      <c r="BH1484"/>
      <c r="BI1484"/>
      <c r="BJ1484"/>
      <c r="BK1484"/>
      <c r="BL1484"/>
      <c r="BM1484"/>
      <c r="BN1484"/>
      <c r="BO1484"/>
      <c r="BP1484"/>
      <c r="BQ1484"/>
      <c r="BR1484"/>
      <c r="BS1484"/>
      <c r="BT1484"/>
      <c r="BU1484"/>
      <c r="BV1484"/>
      <c r="BW1484"/>
      <c r="BX1484"/>
      <c r="BY1484"/>
      <c r="BZ1484"/>
      <c r="CA1484"/>
      <c r="CB1484"/>
      <c r="CC1484"/>
      <c r="CD1484"/>
      <c r="CE1484"/>
      <c r="CF1484"/>
      <c r="CG1484"/>
      <c r="CH1484"/>
      <c r="CI1484"/>
      <c r="CJ1484"/>
      <c r="CK1484"/>
      <c r="CL1484"/>
      <c r="CM1484"/>
      <c r="CN1484"/>
      <c r="CO1484"/>
      <c r="CP1484"/>
      <c r="CQ1484"/>
      <c r="CR1484"/>
      <c r="CS1484"/>
      <c r="CT1484"/>
      <c r="CU1484"/>
      <c r="CV1484"/>
      <c r="CW1484"/>
      <c r="CX1484"/>
      <c r="CY1484"/>
      <c r="CZ1484"/>
      <c r="DA1484"/>
      <c r="DB1484"/>
      <c r="DC1484"/>
      <c r="DD1484"/>
      <c r="DE1484"/>
      <c r="DF1484"/>
      <c r="DG1484"/>
      <c r="DH1484"/>
      <c r="DI1484"/>
      <c r="DJ1484"/>
      <c r="DK1484"/>
      <c r="DL1484"/>
      <c r="DM1484"/>
      <c r="DN1484"/>
      <c r="DO1484"/>
      <c r="DP1484"/>
      <c r="DQ1484"/>
      <c r="DR1484"/>
      <c r="DS1484"/>
      <c r="DT1484"/>
      <c r="DU1484"/>
      <c r="DV1484"/>
      <c r="DW1484"/>
      <c r="DX1484"/>
      <c r="DY1484"/>
      <c r="DZ1484"/>
      <c r="EA1484"/>
      <c r="EB1484"/>
      <c r="EC1484"/>
      <c r="ED1484"/>
      <c r="EE1484"/>
      <c r="EF1484"/>
      <c r="EG1484"/>
      <c r="EH1484"/>
      <c r="EI1484"/>
      <c r="EJ1484"/>
      <c r="EK1484"/>
      <c r="EL1484"/>
      <c r="EM1484"/>
      <c r="EN1484"/>
      <c r="EO1484"/>
      <c r="EP1484"/>
      <c r="EQ1484"/>
      <c r="ER1484"/>
      <c r="ES1484"/>
    </row>
    <row r="1485" spans="1:149">
      <c r="A1485"/>
      <c r="B1485"/>
      <c r="C1485"/>
      <c r="D1485"/>
      <c r="E1485"/>
      <c r="F1485"/>
      <c r="G1485"/>
      <c r="H1485"/>
      <c r="I1485"/>
      <c r="J1485"/>
      <c r="K1485"/>
      <c r="L1485"/>
      <c r="M1485"/>
      <c r="N1485"/>
      <c r="O1485"/>
      <c r="P1485"/>
      <c r="Q1485"/>
      <c r="R1485"/>
      <c r="S1485"/>
      <c r="T1485"/>
      <c r="U1485"/>
      <c r="V1485"/>
      <c r="W1485"/>
      <c r="X1485"/>
      <c r="Y1485"/>
      <c r="Z1485"/>
      <c r="AA1485"/>
      <c r="AB1485"/>
      <c r="AC1485"/>
      <c r="AD1485"/>
      <c r="AE1485"/>
      <c r="AF1485"/>
      <c r="AG1485"/>
      <c r="AH1485"/>
      <c r="AI1485"/>
      <c r="AJ1485"/>
      <c r="AK1485"/>
      <c r="AL1485"/>
      <c r="AM1485"/>
      <c r="AN1485"/>
      <c r="AO1485"/>
      <c r="AP1485"/>
      <c r="AQ1485"/>
      <c r="AR1485"/>
      <c r="AS1485"/>
      <c r="AT1485"/>
      <c r="AU1485"/>
      <c r="AV1485"/>
      <c r="AW1485"/>
      <c r="AX1485"/>
      <c r="AY1485"/>
      <c r="AZ1485"/>
      <c r="BA1485"/>
      <c r="BB1485"/>
      <c r="BC1485"/>
      <c r="BD1485"/>
      <c r="BE1485"/>
      <c r="BF1485"/>
      <c r="BG1485"/>
      <c r="BH1485"/>
      <c r="BI1485"/>
      <c r="BJ1485"/>
      <c r="BK1485"/>
      <c r="BL1485"/>
      <c r="BM1485"/>
      <c r="BN1485"/>
      <c r="BO1485"/>
      <c r="BP1485"/>
      <c r="BQ1485"/>
      <c r="BR1485"/>
      <c r="BS1485"/>
      <c r="BT1485"/>
      <c r="BU1485"/>
      <c r="BV1485"/>
      <c r="BW1485"/>
      <c r="BX1485"/>
      <c r="BY1485"/>
      <c r="BZ1485"/>
      <c r="CA1485"/>
      <c r="CB1485"/>
      <c r="CC1485"/>
      <c r="CD1485"/>
      <c r="CE1485"/>
      <c r="CF1485"/>
      <c r="CG1485"/>
      <c r="CH1485"/>
      <c r="CI1485"/>
      <c r="CJ1485"/>
      <c r="CK1485"/>
      <c r="CL1485"/>
      <c r="CM1485"/>
      <c r="CN1485"/>
      <c r="CO1485"/>
      <c r="CP1485"/>
      <c r="CQ1485"/>
      <c r="CR1485"/>
      <c r="CS1485"/>
      <c r="CT1485"/>
      <c r="CU1485"/>
      <c r="CV1485"/>
      <c r="CW1485"/>
      <c r="CX1485"/>
      <c r="CY1485"/>
      <c r="CZ1485"/>
      <c r="DA1485"/>
      <c r="DB1485"/>
      <c r="DC1485"/>
      <c r="DD1485"/>
      <c r="DE1485"/>
      <c r="DF1485"/>
      <c r="DG1485"/>
      <c r="DH1485"/>
      <c r="DI1485"/>
      <c r="DJ1485"/>
      <c r="DK1485"/>
      <c r="DL1485"/>
      <c r="DM1485"/>
      <c r="DN1485"/>
      <c r="DO1485"/>
      <c r="DP1485"/>
      <c r="DQ1485"/>
      <c r="DR1485"/>
      <c r="DS1485"/>
      <c r="DT1485"/>
      <c r="DU1485"/>
      <c r="DV1485"/>
      <c r="DW1485"/>
      <c r="DX1485"/>
      <c r="DY1485"/>
      <c r="DZ1485"/>
      <c r="EA1485"/>
      <c r="EB1485"/>
      <c r="EC1485"/>
      <c r="ED1485"/>
      <c r="EE1485"/>
      <c r="EF1485"/>
      <c r="EG1485"/>
      <c r="EH1485"/>
      <c r="EI1485"/>
      <c r="EJ1485"/>
      <c r="EK1485"/>
      <c r="EL1485"/>
      <c r="EM1485"/>
      <c r="EN1485"/>
      <c r="EO1485"/>
      <c r="EP1485"/>
      <c r="EQ1485"/>
      <c r="ER1485"/>
      <c r="ES1485"/>
    </row>
    <row r="1486" spans="1:149">
      <c r="A1486"/>
      <c r="B1486"/>
      <c r="C1486"/>
      <c r="D1486"/>
      <c r="E1486"/>
      <c r="F1486"/>
      <c r="G1486"/>
      <c r="H1486"/>
      <c r="I1486"/>
      <c r="J1486"/>
      <c r="K1486"/>
      <c r="L1486"/>
      <c r="M1486"/>
      <c r="N1486"/>
      <c r="O1486"/>
      <c r="P1486"/>
      <c r="Q1486"/>
      <c r="R1486"/>
      <c r="S1486"/>
      <c r="T1486"/>
      <c r="U1486"/>
      <c r="V1486"/>
      <c r="W1486"/>
      <c r="X1486"/>
      <c r="Y1486"/>
      <c r="Z1486"/>
      <c r="AA1486"/>
      <c r="AB1486"/>
      <c r="AC1486"/>
      <c r="AD1486"/>
      <c r="AE1486"/>
      <c r="AF1486"/>
      <c r="AG1486"/>
      <c r="AH1486"/>
      <c r="AI1486"/>
      <c r="AJ1486"/>
      <c r="AK1486"/>
      <c r="AL1486"/>
      <c r="AM1486"/>
      <c r="AN1486"/>
      <c r="AO1486"/>
      <c r="AP1486"/>
      <c r="AQ1486"/>
      <c r="AR1486"/>
      <c r="AS1486"/>
      <c r="AT1486"/>
      <c r="AU1486"/>
      <c r="AV1486"/>
      <c r="AW1486"/>
      <c r="AX1486"/>
      <c r="AY1486"/>
      <c r="AZ1486"/>
      <c r="BA1486"/>
      <c r="BB1486"/>
      <c r="BC1486"/>
      <c r="BD1486"/>
      <c r="BE1486"/>
      <c r="BF1486"/>
      <c r="BG1486"/>
      <c r="BH1486"/>
      <c r="BI1486"/>
      <c r="BJ1486"/>
      <c r="BK1486"/>
      <c r="BL1486"/>
      <c r="BM1486"/>
      <c r="BN1486"/>
      <c r="BO1486"/>
      <c r="BP1486"/>
      <c r="BQ1486"/>
      <c r="BR1486"/>
      <c r="BS1486"/>
      <c r="BT1486"/>
      <c r="BU1486"/>
      <c r="BV1486"/>
      <c r="BW1486"/>
      <c r="BX1486"/>
      <c r="BY1486"/>
      <c r="BZ1486"/>
      <c r="CA1486"/>
      <c r="CB1486"/>
      <c r="CC1486"/>
      <c r="CD1486"/>
      <c r="CE1486"/>
      <c r="CF1486"/>
      <c r="CG1486"/>
      <c r="CH1486"/>
      <c r="CI1486"/>
      <c r="CJ1486"/>
      <c r="CK1486"/>
      <c r="CL1486"/>
      <c r="CM1486"/>
      <c r="CN1486"/>
      <c r="CO1486"/>
      <c r="CP1486"/>
      <c r="CQ1486"/>
      <c r="CR1486"/>
      <c r="CS1486"/>
      <c r="CT1486"/>
      <c r="CU1486"/>
      <c r="CV1486"/>
      <c r="CW1486"/>
      <c r="CX1486"/>
      <c r="CY1486"/>
      <c r="CZ1486"/>
      <c r="DA1486"/>
      <c r="DB1486"/>
      <c r="DC1486"/>
      <c r="DD1486"/>
      <c r="DE1486"/>
      <c r="DF1486"/>
      <c r="DG1486"/>
      <c r="DH1486"/>
      <c r="DI1486"/>
      <c r="DJ1486"/>
      <c r="DK1486"/>
      <c r="DL1486"/>
      <c r="DM1486"/>
      <c r="DN1486"/>
      <c r="DO1486"/>
      <c r="DP1486"/>
      <c r="DQ1486"/>
      <c r="DR1486"/>
      <c r="DS1486"/>
      <c r="DT1486"/>
      <c r="DU1486"/>
      <c r="DV1486"/>
      <c r="DW1486"/>
      <c r="DX1486"/>
      <c r="DY1486"/>
      <c r="DZ1486"/>
      <c r="EA1486"/>
      <c r="EB1486"/>
      <c r="EC1486"/>
      <c r="ED1486"/>
      <c r="EE1486"/>
      <c r="EF1486"/>
      <c r="EG1486"/>
      <c r="EH1486"/>
      <c r="EI1486"/>
      <c r="EJ1486"/>
      <c r="EK1486"/>
      <c r="EL1486"/>
      <c r="EM1486"/>
      <c r="EN1486"/>
      <c r="EO1486"/>
      <c r="EP1486"/>
      <c r="EQ1486"/>
      <c r="ER1486"/>
      <c r="ES1486"/>
    </row>
    <row r="1487" spans="1:149">
      <c r="A1487"/>
      <c r="B1487"/>
      <c r="C1487"/>
      <c r="D1487"/>
      <c r="E1487"/>
      <c r="F1487"/>
      <c r="G1487"/>
      <c r="H1487"/>
      <c r="I1487"/>
      <c r="J1487"/>
      <c r="K1487"/>
      <c r="L1487"/>
      <c r="M1487"/>
      <c r="N1487"/>
      <c r="O1487"/>
      <c r="P1487"/>
      <c r="Q1487"/>
      <c r="R1487"/>
      <c r="S1487"/>
      <c r="T1487"/>
      <c r="U1487"/>
      <c r="V1487"/>
      <c r="W1487"/>
      <c r="X1487"/>
      <c r="Y1487"/>
      <c r="Z1487"/>
      <c r="AA1487"/>
      <c r="AB1487"/>
      <c r="AC1487"/>
      <c r="AD1487"/>
      <c r="AE1487"/>
      <c r="AF1487"/>
      <c r="AG1487"/>
      <c r="AH1487"/>
      <c r="AI1487"/>
      <c r="AJ1487"/>
      <c r="AK1487"/>
      <c r="AL1487"/>
      <c r="AM1487"/>
      <c r="AN1487"/>
      <c r="AO1487"/>
      <c r="AP1487"/>
      <c r="AQ1487"/>
      <c r="AR1487"/>
      <c r="AS1487"/>
      <c r="AT1487"/>
      <c r="AU1487"/>
      <c r="AV1487"/>
      <c r="AW1487"/>
      <c r="AX1487"/>
      <c r="AY1487"/>
      <c r="AZ1487"/>
      <c r="BA1487"/>
      <c r="BB1487"/>
      <c r="BC1487"/>
      <c r="BD1487"/>
      <c r="BE1487"/>
      <c r="BF1487"/>
      <c r="BG1487"/>
      <c r="BH1487"/>
      <c r="BI1487"/>
      <c r="BJ1487"/>
      <c r="BK1487"/>
      <c r="BL1487"/>
      <c r="BM1487"/>
      <c r="BN1487"/>
      <c r="BO1487"/>
      <c r="BP1487"/>
      <c r="BQ1487"/>
      <c r="BR1487"/>
      <c r="BS1487"/>
      <c r="BT1487"/>
      <c r="BU1487"/>
      <c r="BV1487"/>
      <c r="BW1487"/>
      <c r="BX1487"/>
      <c r="BY1487"/>
      <c r="BZ1487"/>
      <c r="CA1487"/>
      <c r="CB1487"/>
      <c r="CC1487"/>
      <c r="CD1487"/>
      <c r="CE1487"/>
      <c r="CF1487"/>
      <c r="CG1487"/>
      <c r="CH1487"/>
      <c r="CI1487"/>
      <c r="CJ1487"/>
      <c r="CK1487"/>
      <c r="CL1487"/>
      <c r="CM1487"/>
      <c r="CN1487"/>
      <c r="CO1487"/>
      <c r="CP1487"/>
      <c r="CQ1487"/>
      <c r="CR1487"/>
      <c r="CS1487"/>
      <c r="CT1487"/>
      <c r="CU1487"/>
      <c r="CV1487"/>
      <c r="CW1487"/>
      <c r="CX1487"/>
      <c r="CY1487"/>
      <c r="CZ1487"/>
      <c r="DA1487"/>
      <c r="DB1487"/>
      <c r="DC1487"/>
      <c r="DD1487"/>
      <c r="DE1487"/>
      <c r="DF1487"/>
      <c r="DG1487"/>
      <c r="DH1487"/>
      <c r="DI1487"/>
      <c r="DJ1487"/>
      <c r="DK1487"/>
      <c r="DL1487"/>
      <c r="DM1487"/>
      <c r="DN1487"/>
      <c r="DO1487"/>
      <c r="DP1487"/>
      <c r="DQ1487"/>
      <c r="DR1487"/>
      <c r="DS1487"/>
      <c r="DT1487"/>
      <c r="DU1487"/>
      <c r="DV1487"/>
      <c r="DW1487"/>
      <c r="DX1487"/>
      <c r="DY1487"/>
      <c r="DZ1487"/>
      <c r="EA1487"/>
      <c r="EB1487"/>
      <c r="EC1487"/>
      <c r="ED1487"/>
      <c r="EE1487"/>
      <c r="EF1487"/>
      <c r="EG1487"/>
      <c r="EH1487"/>
      <c r="EI1487"/>
      <c r="EJ1487"/>
      <c r="EK1487"/>
      <c r="EL1487"/>
      <c r="EM1487"/>
      <c r="EN1487"/>
      <c r="EO1487"/>
      <c r="EP1487"/>
      <c r="EQ1487"/>
      <c r="ER1487"/>
      <c r="ES1487"/>
    </row>
    <row r="1488" spans="1:149">
      <c r="A1488"/>
      <c r="B1488"/>
      <c r="C1488"/>
      <c r="D1488"/>
      <c r="E1488"/>
      <c r="F1488"/>
      <c r="G1488"/>
      <c r="H1488"/>
      <c r="I1488"/>
      <c r="J1488"/>
      <c r="K1488"/>
      <c r="L1488"/>
      <c r="M1488"/>
      <c r="N1488"/>
      <c r="O1488"/>
      <c r="P1488"/>
      <c r="Q1488"/>
      <c r="R1488"/>
      <c r="S1488"/>
      <c r="T1488"/>
      <c r="U1488"/>
      <c r="V1488"/>
      <c r="W1488"/>
      <c r="X1488"/>
      <c r="Y1488"/>
      <c r="Z1488"/>
      <c r="AA1488"/>
      <c r="AB1488"/>
      <c r="AC1488"/>
      <c r="AD1488"/>
      <c r="AE1488"/>
      <c r="AF1488"/>
      <c r="AG1488"/>
      <c r="AH1488"/>
      <c r="AI1488"/>
      <c r="AJ1488"/>
      <c r="AK1488"/>
      <c r="AL1488"/>
      <c r="AM1488"/>
      <c r="AN1488"/>
      <c r="AO1488"/>
      <c r="AP1488"/>
      <c r="AQ1488"/>
      <c r="AR1488"/>
      <c r="AS1488"/>
      <c r="AT1488"/>
      <c r="AU1488"/>
      <c r="AV1488"/>
      <c r="AW1488"/>
      <c r="AX1488"/>
      <c r="AY1488"/>
      <c r="AZ1488"/>
      <c r="BA1488"/>
      <c r="BB1488"/>
      <c r="BC1488"/>
      <c r="BD1488"/>
      <c r="BE1488"/>
      <c r="BF1488"/>
      <c r="BG1488"/>
      <c r="BH1488"/>
      <c r="BI1488"/>
      <c r="BJ1488"/>
      <c r="BK1488"/>
      <c r="BL1488"/>
      <c r="BM1488"/>
      <c r="BN1488"/>
      <c r="BO1488"/>
      <c r="BP1488"/>
      <c r="BQ1488"/>
      <c r="BR1488"/>
      <c r="BS1488"/>
      <c r="BT1488"/>
      <c r="BU1488"/>
      <c r="BV1488"/>
      <c r="BW1488"/>
      <c r="BX1488"/>
      <c r="BY1488"/>
      <c r="BZ1488"/>
      <c r="CA1488"/>
      <c r="CB1488"/>
      <c r="CC1488"/>
      <c r="CD1488"/>
      <c r="CE1488"/>
      <c r="CF1488"/>
      <c r="CG1488"/>
      <c r="CH1488"/>
      <c r="CI1488"/>
      <c r="CJ1488"/>
      <c r="CK1488"/>
      <c r="CL1488"/>
      <c r="CM1488"/>
      <c r="CN1488"/>
      <c r="CO1488"/>
      <c r="CP1488"/>
      <c r="CQ1488"/>
      <c r="CR1488"/>
      <c r="CS1488"/>
      <c r="CT1488"/>
      <c r="CU1488"/>
      <c r="CV1488"/>
      <c r="CW1488"/>
      <c r="CX1488"/>
      <c r="CY1488"/>
      <c r="CZ1488"/>
      <c r="DA1488"/>
      <c r="DB1488"/>
      <c r="DC1488"/>
      <c r="DD1488"/>
      <c r="DE1488"/>
      <c r="DF1488"/>
      <c r="DG1488"/>
      <c r="DH1488"/>
      <c r="DI1488"/>
      <c r="DJ1488"/>
      <c r="DK1488"/>
      <c r="DL1488"/>
      <c r="DM1488"/>
      <c r="DN1488"/>
      <c r="DO1488"/>
      <c r="DP1488"/>
      <c r="DQ1488"/>
      <c r="DR1488"/>
      <c r="DS1488"/>
      <c r="DT1488"/>
      <c r="DU1488"/>
      <c r="DV1488"/>
      <c r="DW1488"/>
      <c r="DX1488"/>
      <c r="DY1488"/>
      <c r="DZ1488"/>
      <c r="EA1488"/>
      <c r="EB1488"/>
      <c r="EC1488"/>
      <c r="ED1488"/>
      <c r="EE1488"/>
      <c r="EF1488"/>
      <c r="EG1488"/>
      <c r="EH1488"/>
      <c r="EI1488"/>
      <c r="EJ1488"/>
      <c r="EK1488"/>
      <c r="EL1488"/>
      <c r="EM1488"/>
      <c r="EN1488"/>
      <c r="EO1488"/>
      <c r="EP1488"/>
      <c r="EQ1488"/>
      <c r="ER1488"/>
      <c r="ES1488"/>
    </row>
    <row r="1489" spans="1:149">
      <c r="A1489"/>
      <c r="B1489"/>
      <c r="C1489"/>
      <c r="D1489"/>
      <c r="E1489"/>
      <c r="F1489"/>
      <c r="G1489"/>
      <c r="H1489"/>
      <c r="I1489"/>
      <c r="J1489"/>
      <c r="K1489"/>
      <c r="L1489"/>
      <c r="M1489"/>
      <c r="N1489"/>
      <c r="O1489"/>
      <c r="P1489"/>
      <c r="Q1489"/>
      <c r="R1489"/>
      <c r="S1489"/>
      <c r="T1489"/>
      <c r="U1489"/>
      <c r="V1489"/>
      <c r="W1489"/>
      <c r="X1489"/>
      <c r="Y1489"/>
      <c r="Z1489"/>
      <c r="AA1489"/>
      <c r="AB1489"/>
      <c r="AC1489"/>
      <c r="AD1489"/>
      <c r="AE1489"/>
      <c r="AF1489"/>
      <c r="AG1489"/>
      <c r="AH1489"/>
      <c r="AI1489"/>
      <c r="AJ1489"/>
      <c r="AK1489"/>
      <c r="AL1489"/>
      <c r="AM1489"/>
      <c r="AN1489"/>
      <c r="AO1489"/>
      <c r="AP1489"/>
      <c r="AQ1489"/>
      <c r="AR1489"/>
      <c r="AS1489"/>
      <c r="AT1489"/>
      <c r="AU1489"/>
      <c r="AV1489"/>
      <c r="AW1489"/>
      <c r="AX1489"/>
      <c r="AY1489"/>
      <c r="AZ1489"/>
      <c r="BA1489"/>
      <c r="BB1489"/>
      <c r="BC1489"/>
      <c r="BD1489"/>
      <c r="BE1489"/>
      <c r="BF1489"/>
      <c r="BG1489"/>
      <c r="BH1489"/>
      <c r="BI1489"/>
      <c r="BJ1489"/>
      <c r="BK1489"/>
      <c r="BL1489"/>
      <c r="BM1489"/>
      <c r="BN1489"/>
      <c r="BO1489"/>
      <c r="BP1489"/>
      <c r="BQ1489"/>
      <c r="BR1489"/>
      <c r="BS1489"/>
      <c r="BT1489"/>
      <c r="BU1489"/>
      <c r="BV1489"/>
      <c r="BW1489"/>
      <c r="BX1489"/>
      <c r="BY1489"/>
      <c r="BZ1489"/>
      <c r="CA1489"/>
      <c r="CB1489"/>
      <c r="CC1489"/>
      <c r="CD1489"/>
      <c r="CE1489"/>
      <c r="CF1489"/>
      <c r="CG1489"/>
      <c r="CH1489"/>
      <c r="CI1489"/>
      <c r="CJ1489"/>
      <c r="CK1489"/>
      <c r="CL1489"/>
      <c r="CM1489"/>
      <c r="CN1489"/>
      <c r="CO1489"/>
      <c r="CP1489"/>
      <c r="CQ1489"/>
      <c r="CR1489"/>
      <c r="CS1489"/>
      <c r="CT1489"/>
      <c r="CU1489"/>
      <c r="CV1489"/>
      <c r="CW1489"/>
      <c r="CX1489"/>
      <c r="CY1489"/>
      <c r="CZ1489"/>
      <c r="DA1489"/>
      <c r="DB1489"/>
      <c r="DC1489"/>
      <c r="DD1489"/>
      <c r="DE1489"/>
      <c r="DF1489"/>
      <c r="DG1489"/>
      <c r="DH1489"/>
      <c r="DI1489"/>
      <c r="DJ1489"/>
      <c r="DK1489"/>
      <c r="DL1489"/>
      <c r="DM1489"/>
      <c r="DN1489"/>
      <c r="DO1489"/>
      <c r="DP1489"/>
      <c r="DQ1489"/>
      <c r="DR1489"/>
      <c r="DS1489"/>
      <c r="DT1489"/>
      <c r="DU1489"/>
      <c r="DV1489"/>
      <c r="DW1489"/>
      <c r="DX1489"/>
      <c r="DY1489"/>
      <c r="DZ1489"/>
      <c r="EA1489"/>
      <c r="EB1489"/>
      <c r="EC1489"/>
      <c r="ED1489"/>
      <c r="EE1489"/>
      <c r="EF1489"/>
      <c r="EG1489"/>
      <c r="EH1489"/>
      <c r="EI1489"/>
      <c r="EJ1489"/>
      <c r="EK1489"/>
      <c r="EL1489"/>
      <c r="EM1489"/>
      <c r="EN1489"/>
      <c r="EO1489"/>
      <c r="EP1489"/>
      <c r="EQ1489"/>
      <c r="ER1489"/>
      <c r="ES1489"/>
    </row>
    <row r="1490" spans="1:149">
      <c r="A1490"/>
      <c r="B1490"/>
      <c r="C1490"/>
      <c r="D1490"/>
      <c r="E1490"/>
      <c r="F1490"/>
      <c r="G1490"/>
      <c r="H1490"/>
      <c r="I1490"/>
      <c r="J1490"/>
      <c r="K1490"/>
      <c r="L1490"/>
      <c r="M1490"/>
      <c r="N1490"/>
      <c r="O1490"/>
      <c r="P1490"/>
      <c r="Q1490"/>
      <c r="R1490"/>
      <c r="S1490"/>
      <c r="T1490"/>
      <c r="U1490"/>
      <c r="V1490"/>
      <c r="W1490"/>
      <c r="X1490"/>
      <c r="Y1490"/>
      <c r="Z1490"/>
      <c r="AA1490"/>
      <c r="AB1490"/>
      <c r="AC1490"/>
      <c r="AD1490"/>
      <c r="AE1490"/>
      <c r="AF1490"/>
      <c r="AG1490"/>
      <c r="AH1490"/>
      <c r="AI1490"/>
      <c r="AJ1490"/>
      <c r="AK1490"/>
      <c r="AL1490"/>
      <c r="AM1490"/>
      <c r="AN1490"/>
      <c r="AO1490"/>
      <c r="AP1490"/>
      <c r="AQ1490"/>
      <c r="AR1490"/>
      <c r="AS1490"/>
      <c r="AT1490"/>
      <c r="AU1490"/>
      <c r="AV1490"/>
      <c r="AW1490"/>
      <c r="AX1490"/>
      <c r="AY1490"/>
      <c r="AZ1490"/>
      <c r="BA1490"/>
      <c r="BB1490"/>
      <c r="BC1490"/>
      <c r="BD1490"/>
      <c r="BE1490"/>
      <c r="BF1490"/>
      <c r="BG1490"/>
      <c r="BH1490"/>
      <c r="BI1490"/>
      <c r="BJ1490"/>
      <c r="BK1490"/>
      <c r="BL1490"/>
      <c r="BM1490"/>
      <c r="BN1490"/>
      <c r="BO1490"/>
      <c r="BP1490"/>
      <c r="BQ1490"/>
      <c r="BR1490"/>
      <c r="BS1490"/>
      <c r="BT1490"/>
      <c r="BU1490"/>
      <c r="BV1490"/>
      <c r="BW1490"/>
      <c r="BX1490"/>
      <c r="BY1490"/>
      <c r="BZ1490"/>
      <c r="CA1490"/>
      <c r="CB1490"/>
      <c r="CC1490"/>
      <c r="CD1490"/>
      <c r="CE1490"/>
      <c r="CF1490"/>
      <c r="CG1490"/>
      <c r="CH1490"/>
      <c r="CI1490"/>
      <c r="CJ1490"/>
      <c r="CK1490"/>
      <c r="CL1490"/>
      <c r="CM1490"/>
      <c r="CN1490"/>
      <c r="CO1490"/>
      <c r="CP1490"/>
      <c r="CQ1490"/>
      <c r="CR1490"/>
      <c r="CS1490"/>
      <c r="CT1490"/>
      <c r="CU1490"/>
      <c r="CV1490"/>
      <c r="CW1490"/>
      <c r="CX1490"/>
      <c r="CY1490"/>
      <c r="CZ1490"/>
      <c r="DA1490"/>
      <c r="DB1490"/>
      <c r="DC1490"/>
      <c r="DD1490"/>
      <c r="DE1490"/>
      <c r="DF1490"/>
      <c r="DG1490"/>
      <c r="DH1490"/>
      <c r="DI1490"/>
      <c r="DJ1490"/>
      <c r="DK1490"/>
      <c r="DL1490"/>
      <c r="DM1490"/>
      <c r="DN1490"/>
      <c r="DO1490"/>
      <c r="DP1490"/>
      <c r="DQ1490"/>
      <c r="DR1490"/>
      <c r="DS1490"/>
      <c r="DT1490"/>
      <c r="DU1490"/>
      <c r="DV1490"/>
      <c r="DW1490"/>
      <c r="DX1490"/>
      <c r="DY1490"/>
      <c r="DZ1490"/>
      <c r="EA1490"/>
      <c r="EB1490"/>
      <c r="EC1490"/>
      <c r="ED1490"/>
      <c r="EE1490"/>
      <c r="EF1490"/>
      <c r="EG1490"/>
      <c r="EH1490"/>
      <c r="EI1490"/>
      <c r="EJ1490"/>
      <c r="EK1490"/>
      <c r="EL1490"/>
      <c r="EM1490"/>
      <c r="EN1490"/>
      <c r="EO1490"/>
      <c r="EP1490"/>
      <c r="EQ1490"/>
      <c r="ER1490"/>
      <c r="ES1490"/>
    </row>
    <row r="1491" spans="1:149">
      <c r="A1491"/>
      <c r="B1491"/>
      <c r="C1491"/>
      <c r="D1491"/>
      <c r="E1491"/>
      <c r="F1491"/>
      <c r="G1491"/>
      <c r="H1491"/>
      <c r="I1491"/>
      <c r="J1491"/>
      <c r="K1491"/>
      <c r="L1491"/>
      <c r="M1491"/>
      <c r="N1491"/>
      <c r="O1491"/>
      <c r="P1491"/>
      <c r="Q1491"/>
      <c r="R1491"/>
      <c r="S1491"/>
      <c r="T1491"/>
      <c r="U1491"/>
      <c r="V1491"/>
      <c r="W1491"/>
      <c r="X1491"/>
      <c r="Y1491"/>
      <c r="Z1491"/>
      <c r="AA1491"/>
      <c r="AB1491"/>
      <c r="AC1491"/>
      <c r="AD1491"/>
      <c r="AE1491"/>
      <c r="AF1491"/>
      <c r="AG1491"/>
      <c r="AH1491"/>
      <c r="AI1491"/>
      <c r="AJ1491"/>
      <c r="AK1491"/>
      <c r="AL1491"/>
      <c r="AM1491"/>
      <c r="AN1491"/>
      <c r="AO1491"/>
      <c r="AP1491"/>
      <c r="AQ1491"/>
      <c r="AR1491"/>
      <c r="AS1491"/>
      <c r="AT1491"/>
      <c r="AU1491"/>
      <c r="AV1491"/>
      <c r="AW1491"/>
      <c r="AX1491"/>
      <c r="AY1491"/>
      <c r="AZ1491"/>
      <c r="BA1491"/>
      <c r="BB1491"/>
      <c r="BC1491"/>
      <c r="BD1491"/>
      <c r="BE1491"/>
      <c r="BF1491"/>
      <c r="BG1491"/>
      <c r="BH1491"/>
      <c r="BI1491"/>
      <c r="BJ1491"/>
      <c r="BK1491"/>
      <c r="BL1491"/>
      <c r="BM1491"/>
      <c r="BN1491"/>
      <c r="BO1491"/>
      <c r="BP1491"/>
      <c r="BQ1491"/>
      <c r="BR1491"/>
      <c r="BS1491"/>
      <c r="BT1491"/>
      <c r="BU1491"/>
      <c r="BV1491"/>
      <c r="BW1491"/>
      <c r="BX1491"/>
      <c r="BY1491"/>
      <c r="BZ1491"/>
      <c r="CA1491"/>
      <c r="CB1491"/>
      <c r="CC1491"/>
      <c r="CD1491"/>
      <c r="CE1491"/>
      <c r="CF1491"/>
      <c r="CG1491"/>
      <c r="CH1491"/>
      <c r="CI1491"/>
      <c r="CJ1491"/>
      <c r="CK1491"/>
      <c r="CL1491"/>
      <c r="CM1491"/>
      <c r="CN1491"/>
      <c r="CO1491"/>
      <c r="CP1491"/>
      <c r="CQ1491"/>
      <c r="CR1491"/>
      <c r="CS1491"/>
      <c r="CT1491"/>
      <c r="CU1491"/>
      <c r="CV1491"/>
      <c r="CW1491"/>
      <c r="CX1491"/>
      <c r="CY1491"/>
      <c r="CZ1491"/>
      <c r="DA1491"/>
      <c r="DB1491"/>
      <c r="DC1491"/>
      <c r="DD1491"/>
      <c r="DE1491"/>
      <c r="DF1491"/>
      <c r="DG1491"/>
      <c r="DH1491"/>
      <c r="DI1491"/>
      <c r="DJ1491"/>
      <c r="DK1491"/>
      <c r="DL1491"/>
      <c r="DM1491"/>
      <c r="DN1491"/>
      <c r="DO1491"/>
      <c r="DP1491"/>
      <c r="DQ1491"/>
      <c r="DR1491"/>
      <c r="DS1491"/>
      <c r="DT1491"/>
      <c r="DU1491"/>
      <c r="DV1491"/>
      <c r="DW1491"/>
      <c r="DX1491"/>
      <c r="DY1491"/>
      <c r="DZ1491"/>
      <c r="EA1491"/>
      <c r="EB1491"/>
      <c r="EC1491"/>
      <c r="ED1491"/>
      <c r="EE1491"/>
      <c r="EF1491"/>
      <c r="EG1491"/>
      <c r="EH1491"/>
      <c r="EI1491"/>
      <c r="EJ1491"/>
      <c r="EK1491"/>
      <c r="EL1491"/>
      <c r="EM1491"/>
      <c r="EN1491"/>
      <c r="EO1491"/>
      <c r="EP1491"/>
      <c r="EQ1491"/>
      <c r="ER1491"/>
      <c r="ES1491"/>
    </row>
    <row r="1492" spans="1:149">
      <c r="A1492"/>
      <c r="B1492"/>
      <c r="C1492"/>
      <c r="D1492"/>
      <c r="E1492"/>
      <c r="F1492"/>
      <c r="G1492"/>
      <c r="H1492"/>
      <c r="I1492"/>
      <c r="J1492"/>
      <c r="K1492"/>
      <c r="L1492"/>
      <c r="M1492"/>
      <c r="N1492"/>
      <c r="O1492"/>
      <c r="P1492"/>
      <c r="Q1492"/>
      <c r="R1492"/>
      <c r="S1492"/>
      <c r="T1492"/>
      <c r="U1492"/>
      <c r="V1492"/>
      <c r="W1492"/>
      <c r="X1492"/>
      <c r="Y1492"/>
      <c r="Z1492"/>
      <c r="AA1492"/>
      <c r="AB1492"/>
      <c r="AC1492"/>
      <c r="AD1492"/>
      <c r="AE1492"/>
      <c r="AF1492"/>
      <c r="AG1492"/>
      <c r="AH1492"/>
      <c r="AI1492"/>
      <c r="AJ1492"/>
      <c r="AK1492"/>
      <c r="AL1492"/>
      <c r="AM1492"/>
      <c r="AN1492"/>
      <c r="AO1492"/>
      <c r="AP1492"/>
      <c r="AQ1492"/>
      <c r="AR1492"/>
      <c r="AS1492"/>
      <c r="AT1492"/>
      <c r="AU1492"/>
      <c r="AV1492"/>
      <c r="AW1492"/>
      <c r="AX1492"/>
      <c r="AY1492"/>
      <c r="AZ1492"/>
      <c r="BA1492"/>
      <c r="BB1492"/>
      <c r="BC1492"/>
      <c r="BD1492"/>
      <c r="BE1492"/>
      <c r="BF1492"/>
      <c r="BG1492"/>
      <c r="BH1492"/>
      <c r="BI1492"/>
      <c r="BJ1492"/>
      <c r="BK1492"/>
      <c r="BL1492"/>
      <c r="BM1492"/>
      <c r="BN1492"/>
      <c r="BO1492"/>
      <c r="BP1492"/>
      <c r="BQ1492"/>
      <c r="BR1492"/>
      <c r="BS1492"/>
      <c r="BT1492"/>
      <c r="BU1492"/>
      <c r="BV1492"/>
      <c r="BW1492"/>
      <c r="BX1492"/>
      <c r="BY1492"/>
      <c r="BZ1492"/>
      <c r="CA1492"/>
      <c r="CB1492"/>
      <c r="CC1492"/>
      <c r="CD1492"/>
      <c r="CE1492"/>
      <c r="CF1492"/>
      <c r="CG1492"/>
      <c r="CH1492"/>
      <c r="CI1492"/>
      <c r="CJ1492"/>
      <c r="CK1492"/>
      <c r="CL1492"/>
      <c r="CM1492"/>
      <c r="CN1492"/>
      <c r="CO1492"/>
      <c r="CP1492"/>
      <c r="CQ1492"/>
      <c r="CR1492"/>
      <c r="CS1492"/>
      <c r="CT1492"/>
      <c r="CU1492"/>
      <c r="CV1492"/>
      <c r="CW1492"/>
      <c r="CX1492"/>
      <c r="CY1492"/>
      <c r="CZ1492"/>
      <c r="DA1492"/>
      <c r="DB1492"/>
      <c r="DC1492"/>
      <c r="DD1492"/>
      <c r="DE1492"/>
      <c r="DF1492"/>
      <c r="DG1492"/>
      <c r="DH1492"/>
      <c r="DI1492"/>
      <c r="DJ1492"/>
      <c r="DK1492"/>
      <c r="DL1492"/>
      <c r="DM1492"/>
      <c r="DN1492"/>
      <c r="DO1492"/>
      <c r="DP1492"/>
      <c r="DQ1492"/>
      <c r="DR1492"/>
      <c r="DS1492"/>
      <c r="DT1492"/>
      <c r="DU1492"/>
      <c r="DV1492"/>
      <c r="DW1492"/>
      <c r="DX1492"/>
      <c r="DY1492"/>
      <c r="DZ1492"/>
      <c r="EA1492"/>
      <c r="EB1492"/>
      <c r="EC1492"/>
      <c r="ED1492"/>
      <c r="EE1492"/>
      <c r="EF1492"/>
      <c r="EG1492"/>
      <c r="EH1492"/>
      <c r="EI1492"/>
      <c r="EJ1492"/>
      <c r="EK1492"/>
      <c r="EL1492"/>
      <c r="EM1492"/>
      <c r="EN1492"/>
      <c r="EO1492"/>
      <c r="EP1492"/>
      <c r="EQ1492"/>
      <c r="ER1492"/>
      <c r="ES1492"/>
    </row>
    <row r="1493" spans="1:149">
      <c r="A1493"/>
      <c r="B1493"/>
      <c r="C1493"/>
      <c r="D1493"/>
      <c r="E1493"/>
      <c r="F1493"/>
      <c r="G1493"/>
      <c r="H1493"/>
      <c r="I1493"/>
      <c r="J1493"/>
      <c r="K1493"/>
      <c r="L1493"/>
      <c r="M1493"/>
      <c r="N1493"/>
      <c r="O1493"/>
      <c r="P1493"/>
      <c r="Q1493"/>
      <c r="R1493"/>
      <c r="S1493"/>
      <c r="T1493"/>
      <c r="U1493"/>
      <c r="V1493"/>
      <c r="W1493"/>
      <c r="X1493"/>
      <c r="Y1493"/>
      <c r="Z1493"/>
      <c r="AA1493"/>
      <c r="AB1493"/>
      <c r="AC1493"/>
      <c r="AD1493"/>
      <c r="AE1493"/>
      <c r="AF1493"/>
      <c r="AG1493"/>
      <c r="AH1493"/>
      <c r="AI1493"/>
      <c r="AJ1493"/>
      <c r="AK1493"/>
      <c r="AL1493"/>
      <c r="AM1493"/>
      <c r="AN1493"/>
      <c r="AO1493"/>
      <c r="AP1493"/>
      <c r="AQ1493"/>
      <c r="AR1493"/>
      <c r="AS1493"/>
      <c r="AT1493"/>
      <c r="AU1493"/>
      <c r="AV1493"/>
      <c r="AW1493"/>
      <c r="AX1493"/>
      <c r="AY1493"/>
      <c r="AZ1493"/>
      <c r="BA1493"/>
      <c r="BB1493"/>
      <c r="BC1493"/>
      <c r="BD1493"/>
      <c r="BE1493"/>
      <c r="BF1493"/>
      <c r="BG1493"/>
      <c r="BH1493"/>
      <c r="BI1493"/>
      <c r="BJ1493"/>
      <c r="BK1493"/>
      <c r="BL1493"/>
      <c r="BM1493"/>
      <c r="BN1493"/>
      <c r="BO1493"/>
      <c r="BP1493"/>
      <c r="BQ1493"/>
      <c r="BR1493"/>
      <c r="BS1493"/>
      <c r="BT1493"/>
      <c r="BU1493"/>
      <c r="BV1493"/>
      <c r="BW1493"/>
      <c r="BX1493"/>
      <c r="BY1493"/>
      <c r="BZ1493"/>
      <c r="CA1493"/>
      <c r="CB1493"/>
      <c r="CC1493"/>
      <c r="CD1493"/>
      <c r="CE1493"/>
      <c r="CF1493"/>
      <c r="CG1493"/>
      <c r="CH1493"/>
      <c r="CI1493"/>
      <c r="CJ1493"/>
      <c r="CK1493"/>
      <c r="CL1493"/>
      <c r="CM1493"/>
      <c r="CN1493"/>
      <c r="CO1493"/>
      <c r="CP1493"/>
      <c r="CQ1493"/>
      <c r="CR1493"/>
      <c r="CS1493"/>
      <c r="CT1493"/>
      <c r="CU1493"/>
      <c r="CV1493"/>
      <c r="CW1493"/>
      <c r="CX1493"/>
      <c r="CY1493"/>
      <c r="CZ1493"/>
      <c r="DA1493"/>
      <c r="DB1493"/>
      <c r="DC1493"/>
      <c r="DD1493"/>
      <c r="DE1493"/>
      <c r="DF1493"/>
      <c r="DG1493"/>
      <c r="DH1493"/>
      <c r="DI1493"/>
      <c r="DJ1493"/>
      <c r="DK1493"/>
      <c r="DL1493"/>
      <c r="DM1493"/>
      <c r="DN1493"/>
      <c r="DO1493"/>
      <c r="DP1493"/>
      <c r="DQ1493"/>
      <c r="DR1493"/>
      <c r="DS1493"/>
      <c r="DT1493"/>
      <c r="DU1493"/>
      <c r="DV1493"/>
      <c r="DW1493"/>
      <c r="DX1493"/>
      <c r="DY1493"/>
      <c r="DZ1493"/>
      <c r="EA1493"/>
      <c r="EB1493"/>
      <c r="EC1493"/>
      <c r="ED1493"/>
      <c r="EE1493"/>
      <c r="EF1493"/>
      <c r="EG1493"/>
      <c r="EH1493"/>
      <c r="EI1493"/>
      <c r="EJ1493"/>
      <c r="EK1493"/>
      <c r="EL1493"/>
      <c r="EM1493"/>
      <c r="EN1493"/>
      <c r="EO1493"/>
      <c r="EP1493"/>
      <c r="EQ1493"/>
      <c r="ER1493"/>
      <c r="ES1493"/>
    </row>
    <row r="1494" spans="1:149">
      <c r="A1494"/>
      <c r="B1494"/>
      <c r="C1494"/>
      <c r="D1494"/>
      <c r="E1494"/>
      <c r="F1494"/>
      <c r="G1494"/>
      <c r="H1494"/>
      <c r="I1494"/>
      <c r="J1494"/>
      <c r="K1494"/>
      <c r="L1494"/>
      <c r="M1494"/>
      <c r="N1494"/>
      <c r="O1494"/>
      <c r="P1494"/>
      <c r="Q1494"/>
      <c r="R1494"/>
      <c r="S1494"/>
      <c r="T1494"/>
      <c r="U1494"/>
      <c r="V1494"/>
      <c r="W1494"/>
      <c r="X1494"/>
      <c r="Y1494"/>
      <c r="Z1494"/>
      <c r="AA1494"/>
      <c r="AB1494"/>
      <c r="AC1494"/>
      <c r="AD1494"/>
      <c r="AE1494"/>
      <c r="AF1494"/>
      <c r="AG1494"/>
      <c r="AH1494"/>
      <c r="AI1494"/>
      <c r="AJ1494"/>
      <c r="AK1494"/>
      <c r="AL1494"/>
      <c r="AM1494"/>
      <c r="AN1494"/>
      <c r="AO1494"/>
      <c r="AP1494"/>
      <c r="AQ1494"/>
      <c r="AR1494"/>
      <c r="AS1494"/>
      <c r="AT1494"/>
      <c r="AU1494"/>
      <c r="AV1494"/>
      <c r="AW1494"/>
      <c r="AX1494"/>
      <c r="AY1494"/>
      <c r="AZ1494"/>
      <c r="BA1494"/>
      <c r="BB1494"/>
      <c r="BC1494"/>
      <c r="BD1494"/>
      <c r="BE1494"/>
      <c r="BF1494"/>
      <c r="BG1494"/>
      <c r="BH1494"/>
      <c r="BI1494"/>
      <c r="BJ1494"/>
      <c r="BK1494"/>
      <c r="BL1494"/>
      <c r="BM1494"/>
      <c r="BN1494"/>
      <c r="BO1494"/>
      <c r="BP1494"/>
      <c r="BQ1494"/>
      <c r="BR1494"/>
      <c r="BS1494"/>
      <c r="BT1494"/>
      <c r="BU1494"/>
      <c r="BV1494"/>
      <c r="BW1494"/>
      <c r="BX1494"/>
      <c r="BY1494"/>
      <c r="BZ1494"/>
      <c r="CA1494"/>
      <c r="CB1494"/>
      <c r="CC1494"/>
      <c r="CD1494"/>
      <c r="CE1494"/>
      <c r="CF1494"/>
      <c r="CG1494"/>
      <c r="CH1494"/>
      <c r="CI1494"/>
      <c r="CJ1494"/>
      <c r="CK1494"/>
      <c r="CL1494"/>
      <c r="CM1494"/>
      <c r="CN1494"/>
      <c r="CO1494"/>
      <c r="CP1494"/>
      <c r="CQ1494"/>
      <c r="CR1494"/>
      <c r="CS1494"/>
      <c r="CT1494"/>
      <c r="CU1494"/>
      <c r="CV1494"/>
      <c r="CW1494"/>
      <c r="CX1494"/>
      <c r="CY1494"/>
      <c r="CZ1494"/>
      <c r="DA1494"/>
      <c r="DB1494"/>
      <c r="DC1494"/>
      <c r="DD1494"/>
      <c r="DE1494"/>
      <c r="DF1494"/>
      <c r="DG1494"/>
      <c r="DH1494"/>
      <c r="DI1494"/>
      <c r="DJ1494"/>
      <c r="DK1494"/>
      <c r="DL1494"/>
      <c r="DM1494"/>
      <c r="DN1494"/>
      <c r="DO1494"/>
      <c r="DP1494"/>
      <c r="DQ1494"/>
      <c r="DR1494"/>
      <c r="DS1494"/>
      <c r="DT1494"/>
      <c r="DU1494"/>
      <c r="DV1494"/>
      <c r="DW1494"/>
      <c r="DX1494"/>
      <c r="DY1494"/>
      <c r="DZ1494"/>
      <c r="EA1494"/>
      <c r="EB1494"/>
      <c r="EC1494"/>
      <c r="ED1494"/>
      <c r="EE1494"/>
      <c r="EF1494"/>
      <c r="EG1494"/>
      <c r="EH1494"/>
      <c r="EI1494"/>
      <c r="EJ1494"/>
      <c r="EK1494"/>
      <c r="EL1494"/>
      <c r="EM1494"/>
      <c r="EN1494"/>
      <c r="EO1494"/>
      <c r="EP1494"/>
      <c r="EQ1494"/>
      <c r="ER1494"/>
      <c r="ES1494"/>
    </row>
    <row r="1495" spans="1:149">
      <c r="A1495"/>
      <c r="B1495"/>
      <c r="C1495"/>
      <c r="D1495"/>
      <c r="E1495"/>
      <c r="F1495"/>
      <c r="G1495"/>
      <c r="H1495"/>
      <c r="I1495"/>
      <c r="J1495"/>
      <c r="K1495"/>
      <c r="L1495"/>
      <c r="M1495"/>
      <c r="N1495"/>
      <c r="O1495"/>
      <c r="P1495"/>
      <c r="Q1495"/>
      <c r="R1495"/>
      <c r="S1495"/>
      <c r="T1495"/>
      <c r="U1495"/>
      <c r="V1495"/>
      <c r="W1495"/>
      <c r="X1495"/>
      <c r="Y1495"/>
      <c r="Z1495"/>
      <c r="AA1495"/>
      <c r="AB1495"/>
      <c r="AC1495"/>
      <c r="AD1495"/>
      <c r="AE1495"/>
      <c r="AF1495"/>
      <c r="AG1495"/>
      <c r="AH1495"/>
      <c r="AI1495"/>
      <c r="AJ1495"/>
      <c r="AK1495"/>
      <c r="AL1495"/>
      <c r="AM1495"/>
      <c r="AN1495"/>
      <c r="AO1495"/>
      <c r="AP1495"/>
      <c r="AQ1495"/>
      <c r="AR1495"/>
      <c r="AS1495"/>
      <c r="AT1495"/>
      <c r="AU1495"/>
      <c r="AV1495"/>
      <c r="AW1495"/>
      <c r="AX1495"/>
      <c r="AY1495"/>
      <c r="AZ1495"/>
      <c r="BA1495"/>
      <c r="BB1495"/>
      <c r="BC1495"/>
      <c r="BD1495"/>
      <c r="BE1495"/>
      <c r="BF1495"/>
      <c r="BG1495"/>
      <c r="BH1495"/>
      <c r="BI1495"/>
      <c r="BJ1495"/>
      <c r="BK1495"/>
      <c r="BL1495"/>
      <c r="BM1495"/>
      <c r="BN1495"/>
      <c r="BO1495"/>
      <c r="BP1495"/>
      <c r="BQ1495"/>
      <c r="BR1495"/>
      <c r="BS1495"/>
      <c r="BT1495"/>
      <c r="BU1495"/>
      <c r="BV1495"/>
      <c r="BW1495"/>
      <c r="BX1495"/>
      <c r="BY1495"/>
      <c r="BZ1495"/>
      <c r="CA1495"/>
      <c r="CB1495"/>
      <c r="CC1495"/>
      <c r="CD1495"/>
      <c r="CE1495"/>
      <c r="CF1495"/>
      <c r="CG1495"/>
      <c r="CH1495"/>
      <c r="CI1495"/>
      <c r="CJ1495"/>
      <c r="CK1495"/>
      <c r="CL1495"/>
      <c r="CM1495"/>
      <c r="CN1495"/>
      <c r="CO1495"/>
      <c r="CP1495"/>
      <c r="CQ1495"/>
      <c r="CR1495"/>
      <c r="CS1495"/>
      <c r="CT1495"/>
      <c r="CU1495"/>
      <c r="CV1495"/>
      <c r="CW1495"/>
      <c r="CX1495"/>
      <c r="CY1495"/>
      <c r="CZ1495"/>
      <c r="DA1495"/>
      <c r="DB1495"/>
      <c r="DC1495"/>
      <c r="DD1495"/>
      <c r="DE1495"/>
      <c r="DF1495"/>
      <c r="DG1495"/>
      <c r="DH1495"/>
      <c r="DI1495"/>
      <c r="DJ1495"/>
      <c r="DK1495"/>
      <c r="DL1495"/>
      <c r="DM1495"/>
      <c r="DN1495"/>
      <c r="DO1495"/>
      <c r="DP1495"/>
      <c r="DQ1495"/>
      <c r="DR1495"/>
      <c r="DS1495"/>
      <c r="DT1495"/>
      <c r="DU1495"/>
      <c r="DV1495"/>
      <c r="DW1495"/>
      <c r="DX1495"/>
      <c r="DY1495"/>
      <c r="DZ1495"/>
      <c r="EA1495"/>
      <c r="EB1495"/>
      <c r="EC1495"/>
      <c r="ED1495"/>
      <c r="EE1495"/>
      <c r="EF1495"/>
      <c r="EG1495"/>
      <c r="EH1495"/>
      <c r="EI1495"/>
      <c r="EJ1495"/>
      <c r="EK1495"/>
      <c r="EL1495"/>
      <c r="EM1495"/>
      <c r="EN1495"/>
      <c r="EO1495"/>
      <c r="EP1495"/>
      <c r="EQ1495"/>
      <c r="ER1495"/>
      <c r="ES1495"/>
    </row>
    <row r="1496" spans="1:149">
      <c r="A1496"/>
      <c r="B1496"/>
      <c r="C1496"/>
      <c r="D1496"/>
      <c r="E1496"/>
      <c r="F1496"/>
      <c r="G1496"/>
      <c r="H1496"/>
      <c r="I1496"/>
      <c r="J1496"/>
      <c r="K1496"/>
      <c r="L1496"/>
      <c r="M1496"/>
      <c r="N1496"/>
      <c r="O1496"/>
      <c r="P1496"/>
      <c r="Q1496"/>
      <c r="R1496"/>
      <c r="S1496"/>
      <c r="T1496"/>
      <c r="U1496"/>
      <c r="V1496"/>
      <c r="W1496"/>
      <c r="X1496"/>
      <c r="Y1496"/>
      <c r="Z1496"/>
      <c r="AA1496"/>
      <c r="AB1496"/>
      <c r="AC1496"/>
      <c r="AD1496"/>
      <c r="AE1496"/>
      <c r="AF1496"/>
      <c r="AG1496"/>
      <c r="AH1496"/>
      <c r="AI1496"/>
      <c r="AJ1496"/>
      <c r="AK1496"/>
      <c r="AL1496"/>
      <c r="AM1496"/>
      <c r="AN1496"/>
      <c r="AO1496"/>
      <c r="AP1496"/>
      <c r="AQ1496"/>
      <c r="AR1496"/>
      <c r="AS1496"/>
      <c r="AT1496"/>
      <c r="AU1496"/>
      <c r="AV1496"/>
      <c r="AW1496"/>
      <c r="AX1496"/>
      <c r="AY1496"/>
      <c r="AZ1496"/>
      <c r="BA1496"/>
      <c r="BB1496"/>
      <c r="BC1496"/>
      <c r="BD1496"/>
      <c r="BE1496"/>
      <c r="BF1496"/>
      <c r="BG1496"/>
      <c r="BH1496"/>
      <c r="BI1496"/>
      <c r="BJ1496"/>
      <c r="BK1496"/>
      <c r="BL1496"/>
      <c r="BM1496"/>
      <c r="BN1496"/>
      <c r="BO1496"/>
      <c r="BP1496"/>
      <c r="BQ1496"/>
      <c r="BR1496"/>
      <c r="BS1496"/>
      <c r="BT1496"/>
      <c r="BU1496"/>
      <c r="BV1496"/>
      <c r="BW1496"/>
      <c r="BX1496"/>
      <c r="BY1496"/>
      <c r="BZ1496"/>
      <c r="CA1496"/>
      <c r="CB1496"/>
      <c r="CC1496"/>
      <c r="CD1496"/>
      <c r="CE1496"/>
      <c r="CF1496"/>
      <c r="CG1496"/>
      <c r="CH1496"/>
      <c r="CI1496"/>
      <c r="CJ1496"/>
      <c r="CK1496"/>
      <c r="CL1496"/>
      <c r="CM1496"/>
      <c r="CN1496"/>
      <c r="CO1496"/>
      <c r="CP1496"/>
      <c r="CQ1496"/>
      <c r="CR1496"/>
      <c r="CS1496"/>
      <c r="CT1496"/>
      <c r="CU1496"/>
      <c r="CV1496"/>
      <c r="CW1496"/>
      <c r="CX1496"/>
      <c r="CY1496"/>
      <c r="CZ1496"/>
      <c r="DA1496"/>
      <c r="DB1496"/>
      <c r="DC1496"/>
      <c r="DD1496"/>
      <c r="DE1496"/>
      <c r="DF1496"/>
      <c r="DG1496"/>
      <c r="DH1496"/>
      <c r="DI1496"/>
      <c r="DJ1496"/>
      <c r="DK1496"/>
      <c r="DL1496"/>
      <c r="DM1496"/>
      <c r="DN1496"/>
      <c r="DO1496"/>
      <c r="DP1496"/>
      <c r="DQ1496"/>
      <c r="DR1496"/>
      <c r="DS1496"/>
      <c r="DT1496"/>
      <c r="DU1496"/>
      <c r="DV1496"/>
      <c r="DW1496"/>
      <c r="DX1496"/>
      <c r="DY1496"/>
      <c r="DZ1496"/>
      <c r="EA1496"/>
      <c r="EB1496"/>
      <c r="EC1496"/>
      <c r="ED1496"/>
      <c r="EE1496"/>
      <c r="EF1496"/>
      <c r="EG1496"/>
      <c r="EH1496"/>
      <c r="EI1496"/>
      <c r="EJ1496"/>
      <c r="EK1496"/>
      <c r="EL1496"/>
      <c r="EM1496"/>
      <c r="EN1496"/>
      <c r="EO1496"/>
      <c r="EP1496"/>
      <c r="EQ1496"/>
      <c r="ER1496"/>
      <c r="ES1496"/>
    </row>
    <row r="1497" spans="1:149">
      <c r="A1497"/>
      <c r="B1497"/>
      <c r="C1497"/>
      <c r="D1497"/>
      <c r="E1497"/>
      <c r="F1497"/>
      <c r="G1497"/>
      <c r="H1497"/>
      <c r="I1497"/>
      <c r="J1497"/>
      <c r="K1497"/>
      <c r="L1497"/>
      <c r="M1497"/>
      <c r="N1497"/>
      <c r="O1497"/>
      <c r="P1497"/>
      <c r="Q1497"/>
      <c r="R1497"/>
      <c r="S1497"/>
      <c r="T1497"/>
      <c r="U1497"/>
      <c r="V1497"/>
      <c r="W1497"/>
      <c r="X1497"/>
      <c r="Y1497"/>
      <c r="Z1497"/>
      <c r="AA1497"/>
      <c r="AB1497"/>
      <c r="AC1497"/>
      <c r="AD1497"/>
      <c r="AE1497"/>
      <c r="AF1497"/>
      <c r="AG1497"/>
      <c r="AH1497"/>
      <c r="AI1497"/>
      <c r="AJ1497"/>
      <c r="AK1497"/>
      <c r="AL1497"/>
      <c r="AM1497"/>
      <c r="AN1497"/>
      <c r="AO1497"/>
      <c r="AP1497"/>
      <c r="AQ1497"/>
      <c r="AR1497"/>
      <c r="AS1497"/>
      <c r="AT1497"/>
      <c r="AU1497"/>
      <c r="AV1497"/>
      <c r="AW1497"/>
      <c r="AX1497"/>
      <c r="AY1497"/>
      <c r="AZ1497"/>
      <c r="BA1497"/>
      <c r="BB1497"/>
      <c r="BC1497"/>
      <c r="BD1497"/>
      <c r="BE1497"/>
      <c r="BF1497"/>
      <c r="BG1497"/>
      <c r="BH1497"/>
      <c r="BI1497"/>
      <c r="BJ1497"/>
      <c r="BK1497"/>
      <c r="BL1497"/>
      <c r="BM1497"/>
      <c r="BN1497"/>
      <c r="BO1497"/>
      <c r="BP1497"/>
      <c r="BQ1497"/>
      <c r="BR1497"/>
      <c r="BS1497"/>
      <c r="BT1497"/>
      <c r="BU1497"/>
      <c r="BV1497"/>
      <c r="BW1497"/>
      <c r="BX1497"/>
      <c r="BY1497"/>
      <c r="BZ1497"/>
      <c r="CA1497"/>
      <c r="CB1497"/>
      <c r="CC1497"/>
      <c r="CD1497"/>
      <c r="CE1497"/>
      <c r="CF1497"/>
      <c r="CG1497"/>
      <c r="CH1497"/>
      <c r="CI1497"/>
      <c r="CJ1497"/>
      <c r="CK1497"/>
      <c r="CL1497"/>
      <c r="CM1497"/>
      <c r="CN1497"/>
      <c r="CO1497"/>
      <c r="CP1497"/>
      <c r="CQ1497"/>
      <c r="CR1497"/>
      <c r="CS1497"/>
      <c r="CT1497"/>
      <c r="CU1497"/>
      <c r="CV1497"/>
      <c r="CW1497"/>
      <c r="CX1497"/>
      <c r="CY1497"/>
      <c r="CZ1497"/>
      <c r="DA1497"/>
      <c r="DB1497"/>
      <c r="DC1497"/>
      <c r="DD1497"/>
      <c r="DE1497"/>
      <c r="DF1497"/>
      <c r="DG1497"/>
      <c r="DH1497"/>
      <c r="DI1497"/>
      <c r="DJ1497"/>
      <c r="DK1497"/>
      <c r="DL1497"/>
      <c r="DM1497"/>
      <c r="DN1497"/>
      <c r="DO1497"/>
      <c r="DP1497"/>
      <c r="DQ1497"/>
      <c r="DR1497"/>
      <c r="DS1497"/>
      <c r="DT1497"/>
      <c r="DU1497"/>
      <c r="DV1497"/>
      <c r="DW1497"/>
      <c r="DX1497"/>
      <c r="DY1497"/>
      <c r="DZ1497"/>
      <c r="EA1497"/>
      <c r="EB1497"/>
      <c r="EC1497"/>
      <c r="ED1497"/>
      <c r="EE1497"/>
      <c r="EF1497"/>
      <c r="EG1497"/>
      <c r="EH1497"/>
      <c r="EI1497"/>
      <c r="EJ1497"/>
      <c r="EK1497"/>
      <c r="EL1497"/>
      <c r="EM1497"/>
      <c r="EN1497"/>
      <c r="EO1497"/>
      <c r="EP1497"/>
      <c r="EQ1497"/>
      <c r="ER1497"/>
      <c r="ES1497"/>
    </row>
    <row r="1498" spans="1:149">
      <c r="A1498"/>
      <c r="B1498"/>
      <c r="C1498"/>
      <c r="D1498"/>
      <c r="E1498"/>
      <c r="F1498"/>
      <c r="G1498"/>
      <c r="H1498"/>
      <c r="I1498"/>
      <c r="J1498"/>
      <c r="K1498"/>
      <c r="L1498"/>
      <c r="M1498"/>
      <c r="N1498"/>
      <c r="O1498"/>
      <c r="P1498"/>
      <c r="Q1498"/>
      <c r="R1498"/>
      <c r="S1498"/>
      <c r="T1498"/>
      <c r="U1498"/>
      <c r="V1498"/>
      <c r="W1498"/>
      <c r="X1498"/>
      <c r="Y1498"/>
      <c r="Z1498"/>
      <c r="AA1498"/>
      <c r="AB1498"/>
      <c r="AC1498"/>
      <c r="AD1498"/>
      <c r="AE1498"/>
      <c r="AF1498"/>
      <c r="AG1498"/>
      <c r="AH1498"/>
      <c r="AI1498"/>
      <c r="AJ1498"/>
      <c r="AK1498"/>
      <c r="AL1498"/>
      <c r="AM1498"/>
      <c r="AN1498"/>
      <c r="AO1498"/>
      <c r="AP1498"/>
      <c r="AQ1498"/>
      <c r="AR1498"/>
      <c r="AS1498"/>
      <c r="AT1498"/>
      <c r="AU1498"/>
      <c r="AV1498"/>
      <c r="AW1498"/>
      <c r="AX1498"/>
      <c r="AY1498"/>
      <c r="AZ1498"/>
      <c r="BA1498"/>
      <c r="BB1498"/>
      <c r="BC1498"/>
      <c r="BD1498"/>
      <c r="BE1498"/>
      <c r="BF1498"/>
      <c r="BG1498"/>
      <c r="BH1498"/>
      <c r="BI1498"/>
      <c r="BJ1498"/>
      <c r="BK1498"/>
      <c r="BL1498"/>
      <c r="BM1498"/>
      <c r="BN1498"/>
      <c r="BO1498"/>
      <c r="BP1498"/>
      <c r="BQ1498"/>
      <c r="BR1498"/>
      <c r="BS1498"/>
      <c r="BT1498"/>
      <c r="BU1498"/>
      <c r="BV1498"/>
      <c r="BW1498"/>
      <c r="BX1498"/>
      <c r="BY1498"/>
      <c r="BZ1498"/>
      <c r="CA1498"/>
      <c r="CB1498"/>
      <c r="CC1498"/>
      <c r="CD1498"/>
      <c r="CE1498"/>
      <c r="CF1498"/>
      <c r="CG1498"/>
      <c r="CH1498"/>
      <c r="CI1498"/>
      <c r="CJ1498"/>
      <c r="CK1498"/>
      <c r="CL1498"/>
      <c r="CM1498"/>
      <c r="CN1498"/>
      <c r="CO1498"/>
      <c r="CP1498"/>
      <c r="CQ1498"/>
      <c r="CR1498"/>
      <c r="CS1498"/>
      <c r="CT1498"/>
      <c r="CU1498"/>
      <c r="CV1498"/>
      <c r="CW1498"/>
      <c r="CX1498"/>
      <c r="CY1498"/>
      <c r="CZ1498"/>
      <c r="DA1498"/>
      <c r="DB1498"/>
      <c r="DC1498"/>
      <c r="DD1498"/>
      <c r="DE1498"/>
      <c r="DF1498"/>
      <c r="DG1498"/>
      <c r="DH1498"/>
      <c r="DI1498"/>
      <c r="DJ1498"/>
      <c r="DK1498"/>
      <c r="DL1498"/>
      <c r="DM1498"/>
      <c r="DN1498"/>
      <c r="DO1498"/>
      <c r="DP1498"/>
      <c r="DQ1498"/>
      <c r="DR1498"/>
      <c r="DS1498"/>
      <c r="DT1498"/>
      <c r="DU1498"/>
      <c r="DV1498"/>
      <c r="DW1498"/>
      <c r="DX1498"/>
      <c r="DY1498"/>
      <c r="DZ1498"/>
      <c r="EA1498"/>
      <c r="EB1498"/>
      <c r="EC1498"/>
      <c r="ED1498"/>
      <c r="EE1498"/>
      <c r="EF1498"/>
      <c r="EG1498"/>
      <c r="EH1498"/>
      <c r="EI1498"/>
      <c r="EJ1498"/>
      <c r="EK1498"/>
      <c r="EL1498"/>
      <c r="EM1498"/>
      <c r="EN1498"/>
      <c r="EO1498"/>
      <c r="EP1498"/>
      <c r="EQ1498"/>
      <c r="ER1498"/>
      <c r="ES1498"/>
    </row>
    <row r="1499" spans="1:149">
      <c r="A1499"/>
      <c r="B1499"/>
      <c r="C1499"/>
      <c r="D1499"/>
      <c r="E1499"/>
      <c r="F1499"/>
      <c r="G1499"/>
      <c r="H1499"/>
      <c r="I1499"/>
      <c r="J1499"/>
      <c r="K1499"/>
      <c r="L1499"/>
      <c r="M1499"/>
      <c r="N1499"/>
      <c r="O1499"/>
      <c r="P1499"/>
      <c r="Q1499"/>
      <c r="R1499"/>
      <c r="S1499"/>
      <c r="T1499"/>
      <c r="U1499"/>
      <c r="V1499"/>
      <c r="W1499"/>
      <c r="X1499"/>
      <c r="Y1499"/>
      <c r="Z1499"/>
      <c r="AA1499"/>
      <c r="AB1499"/>
      <c r="AC1499"/>
      <c r="AD1499"/>
      <c r="AE1499"/>
      <c r="AF1499"/>
      <c r="AG1499"/>
      <c r="AH1499"/>
      <c r="AI1499"/>
      <c r="AJ1499"/>
      <c r="AK1499"/>
      <c r="AL1499"/>
      <c r="AM1499"/>
      <c r="AN1499"/>
      <c r="AO1499"/>
      <c r="AP1499"/>
      <c r="AQ1499"/>
      <c r="AR1499"/>
      <c r="AS1499"/>
      <c r="AT1499"/>
      <c r="AU1499"/>
      <c r="AV1499"/>
      <c r="AW1499"/>
      <c r="AX1499"/>
      <c r="AY1499"/>
      <c r="AZ1499"/>
      <c r="BA1499"/>
      <c r="BB1499"/>
      <c r="BC1499"/>
      <c r="BD1499"/>
      <c r="BE1499"/>
      <c r="BF1499"/>
      <c r="BG1499"/>
      <c r="BH1499"/>
      <c r="BI1499"/>
      <c r="BJ1499"/>
      <c r="BK1499"/>
      <c r="BL1499"/>
      <c r="BM1499"/>
      <c r="BN1499"/>
      <c r="BO1499"/>
      <c r="BP1499"/>
      <c r="BQ1499"/>
      <c r="BR1499"/>
      <c r="BS1499"/>
      <c r="BT1499"/>
      <c r="BU1499"/>
      <c r="BV1499"/>
      <c r="BW1499"/>
      <c r="BX1499"/>
      <c r="BY1499"/>
      <c r="BZ1499"/>
      <c r="CA1499"/>
      <c r="CB1499"/>
      <c r="CC1499"/>
      <c r="CD1499"/>
      <c r="CE1499"/>
      <c r="CF1499"/>
      <c r="CG1499"/>
      <c r="CH1499"/>
      <c r="CI1499"/>
      <c r="CJ1499"/>
      <c r="CK1499"/>
      <c r="CL1499"/>
      <c r="CM1499"/>
      <c r="CN1499"/>
      <c r="CO1499"/>
      <c r="CP1499"/>
      <c r="CQ1499"/>
      <c r="CR1499"/>
      <c r="CS1499"/>
      <c r="CT1499"/>
      <c r="CU1499"/>
      <c r="CV1499"/>
      <c r="CW1499"/>
      <c r="CX1499"/>
      <c r="CY1499"/>
      <c r="CZ1499"/>
      <c r="DA1499"/>
      <c r="DB1499"/>
      <c r="DC1499"/>
      <c r="DD1499"/>
      <c r="DE1499"/>
      <c r="DF1499"/>
      <c r="DG1499"/>
      <c r="DH1499"/>
      <c r="DI1499"/>
      <c r="DJ1499"/>
      <c r="DK1499"/>
      <c r="DL1499"/>
      <c r="DM1499"/>
      <c r="DN1499"/>
      <c r="DO1499"/>
      <c r="DP1499"/>
      <c r="DQ1499"/>
      <c r="DR1499"/>
      <c r="DS1499"/>
      <c r="DT1499"/>
      <c r="DU1499"/>
      <c r="DV1499"/>
      <c r="DW1499"/>
      <c r="DX1499"/>
      <c r="DY1499"/>
      <c r="DZ1499"/>
      <c r="EA1499"/>
      <c r="EB1499"/>
      <c r="EC1499"/>
      <c r="ED1499"/>
      <c r="EE1499"/>
      <c r="EF1499"/>
      <c r="EG1499"/>
      <c r="EH1499"/>
      <c r="EI1499"/>
      <c r="EJ1499"/>
      <c r="EK1499"/>
      <c r="EL1499"/>
      <c r="EM1499"/>
      <c r="EN1499"/>
      <c r="EO1499"/>
      <c r="EP1499"/>
      <c r="EQ1499"/>
      <c r="ER1499"/>
      <c r="ES1499"/>
    </row>
    <row r="1500" spans="1:149">
      <c r="A1500"/>
      <c r="B1500"/>
      <c r="C1500"/>
      <c r="D1500"/>
      <c r="E1500"/>
      <c r="F1500"/>
      <c r="G1500"/>
      <c r="H1500"/>
      <c r="I1500"/>
      <c r="J1500"/>
      <c r="K1500"/>
      <c r="L1500"/>
      <c r="M1500"/>
      <c r="N1500"/>
      <c r="O1500"/>
      <c r="P1500"/>
      <c r="Q1500"/>
      <c r="R1500"/>
      <c r="S1500"/>
      <c r="T1500"/>
      <c r="U1500"/>
      <c r="V1500"/>
      <c r="W1500"/>
      <c r="X1500"/>
      <c r="Y1500"/>
      <c r="Z1500"/>
      <c r="AA1500"/>
      <c r="AB1500"/>
      <c r="AC1500"/>
      <c r="AD1500"/>
      <c r="AE1500"/>
      <c r="AF1500"/>
      <c r="AG1500"/>
      <c r="AH1500"/>
      <c r="AI1500"/>
      <c r="AJ1500"/>
      <c r="AK1500"/>
      <c r="AL1500"/>
      <c r="AM1500"/>
      <c r="AN1500"/>
      <c r="AO1500"/>
      <c r="AP1500"/>
      <c r="AQ1500"/>
      <c r="AR1500"/>
      <c r="AS1500"/>
      <c r="AT1500"/>
      <c r="AU1500"/>
      <c r="AV1500"/>
      <c r="AW1500"/>
      <c r="AX1500"/>
      <c r="AY1500"/>
      <c r="AZ1500"/>
      <c r="BA1500"/>
      <c r="BB1500"/>
      <c r="BC1500"/>
      <c r="BD1500"/>
      <c r="BE1500"/>
      <c r="BF1500"/>
      <c r="BG1500"/>
      <c r="BH1500"/>
      <c r="BI1500"/>
      <c r="BJ1500"/>
      <c r="BK1500"/>
      <c r="BL1500"/>
      <c r="BM1500"/>
      <c r="BN1500"/>
      <c r="BO1500"/>
      <c r="BP1500"/>
      <c r="BQ1500"/>
      <c r="BR1500"/>
      <c r="BS1500"/>
      <c r="BT1500"/>
      <c r="BU1500"/>
      <c r="BV1500"/>
      <c r="BW1500"/>
      <c r="BX1500"/>
      <c r="BY1500"/>
      <c r="BZ1500"/>
      <c r="CA1500"/>
      <c r="CB1500"/>
      <c r="CC1500"/>
      <c r="CD1500"/>
      <c r="CE1500"/>
      <c r="CF1500"/>
      <c r="CG1500"/>
      <c r="CH1500"/>
      <c r="CI1500"/>
      <c r="CJ1500"/>
      <c r="CK1500"/>
      <c r="CL1500"/>
      <c r="CM1500"/>
      <c r="CN1500"/>
      <c r="CO1500"/>
      <c r="CP1500"/>
      <c r="CQ1500"/>
      <c r="CR1500"/>
      <c r="CS1500"/>
      <c r="CT1500"/>
      <c r="CU1500"/>
      <c r="CV1500"/>
      <c r="CW1500"/>
      <c r="CX1500"/>
      <c r="CY1500"/>
      <c r="CZ1500"/>
      <c r="DA1500"/>
      <c r="DB1500"/>
      <c r="DC1500"/>
      <c r="DD1500"/>
      <c r="DE1500"/>
      <c r="DF1500"/>
      <c r="DG1500"/>
      <c r="DH1500"/>
      <c r="DI1500"/>
      <c r="DJ1500"/>
      <c r="DK1500"/>
      <c r="DL1500"/>
      <c r="DM1500"/>
      <c r="DN1500"/>
      <c r="DO1500"/>
      <c r="DP1500"/>
      <c r="DQ1500"/>
      <c r="DR1500"/>
      <c r="DS1500"/>
      <c r="DT1500"/>
      <c r="DU1500"/>
      <c r="DV1500"/>
      <c r="DW1500"/>
      <c r="DX1500"/>
      <c r="DY1500"/>
      <c r="DZ1500"/>
      <c r="EA1500"/>
      <c r="EB1500"/>
      <c r="EC1500"/>
      <c r="ED1500"/>
      <c r="EE1500"/>
      <c r="EF1500"/>
      <c r="EG1500"/>
      <c r="EH1500"/>
      <c r="EI1500"/>
      <c r="EJ1500"/>
      <c r="EK1500"/>
      <c r="EL1500"/>
      <c r="EM1500"/>
      <c r="EN1500"/>
      <c r="EO1500"/>
      <c r="EP1500"/>
      <c r="EQ1500"/>
      <c r="ER1500"/>
      <c r="ES1500"/>
    </row>
    <row r="1501" spans="1:149">
      <c r="A1501"/>
      <c r="B1501"/>
      <c r="C1501"/>
      <c r="D1501"/>
      <c r="E1501"/>
      <c r="F1501"/>
      <c r="G1501"/>
      <c r="H1501"/>
      <c r="I1501"/>
      <c r="J1501"/>
      <c r="K1501"/>
      <c r="L1501"/>
      <c r="M1501"/>
      <c r="N1501"/>
      <c r="O1501"/>
      <c r="P1501"/>
      <c r="Q1501"/>
      <c r="R1501"/>
      <c r="S1501"/>
      <c r="T1501"/>
      <c r="U1501"/>
      <c r="V1501"/>
      <c r="W1501"/>
      <c r="X1501"/>
      <c r="Y1501"/>
      <c r="Z1501"/>
      <c r="AA1501"/>
      <c r="AB1501"/>
      <c r="AC1501"/>
      <c r="AD1501"/>
      <c r="AE1501"/>
      <c r="AF1501"/>
      <c r="AG1501"/>
      <c r="AH1501"/>
      <c r="AI1501"/>
      <c r="AJ1501"/>
      <c r="AK1501"/>
      <c r="AL1501"/>
      <c r="AM1501"/>
      <c r="AN1501"/>
      <c r="AO1501"/>
      <c r="AP1501"/>
      <c r="AQ1501"/>
      <c r="AR1501"/>
      <c r="AS1501"/>
      <c r="AT1501"/>
      <c r="AU1501"/>
      <c r="AV1501"/>
      <c r="AW1501"/>
      <c r="AX1501"/>
      <c r="AY1501"/>
      <c r="AZ1501"/>
      <c r="BA1501"/>
      <c r="BB1501"/>
      <c r="BC1501"/>
      <c r="BD1501"/>
      <c r="BE1501"/>
      <c r="BF1501"/>
      <c r="BG1501"/>
      <c r="BH1501"/>
      <c r="BI1501"/>
      <c r="BJ1501"/>
      <c r="BK1501"/>
      <c r="BL1501"/>
      <c r="BM1501"/>
      <c r="BN1501"/>
      <c r="BO1501"/>
      <c r="BP1501"/>
      <c r="BQ1501"/>
      <c r="BR1501"/>
      <c r="BS1501"/>
      <c r="BT1501"/>
      <c r="BU1501"/>
      <c r="BV1501"/>
      <c r="BW1501"/>
      <c r="BX1501"/>
      <c r="BY1501"/>
      <c r="BZ1501"/>
      <c r="CA1501"/>
      <c r="CB1501"/>
      <c r="CC1501"/>
      <c r="CD1501"/>
      <c r="CE1501"/>
      <c r="CF1501"/>
      <c r="CG1501"/>
      <c r="CH1501"/>
      <c r="CI1501"/>
      <c r="CJ1501"/>
      <c r="CK1501"/>
      <c r="CL1501"/>
      <c r="CM1501"/>
      <c r="CN1501"/>
      <c r="CO1501"/>
      <c r="CP1501"/>
      <c r="CQ1501"/>
      <c r="CR1501"/>
      <c r="CS1501"/>
      <c r="CT1501"/>
      <c r="CU1501"/>
      <c r="CV1501"/>
      <c r="CW1501"/>
      <c r="CX1501"/>
      <c r="CY1501"/>
      <c r="CZ1501"/>
      <c r="DA1501"/>
      <c r="DB1501"/>
      <c r="DC1501"/>
      <c r="DD1501"/>
      <c r="DE1501"/>
      <c r="DF1501"/>
      <c r="DG1501"/>
      <c r="DH1501"/>
      <c r="DI1501"/>
      <c r="DJ1501"/>
      <c r="DK1501"/>
      <c r="DL1501"/>
      <c r="DM1501"/>
      <c r="DN1501"/>
      <c r="DO1501"/>
      <c r="DP1501"/>
      <c r="DQ1501"/>
      <c r="DR1501"/>
      <c r="DS1501"/>
      <c r="DT1501"/>
      <c r="DU1501"/>
      <c r="DV1501"/>
      <c r="DW1501"/>
      <c r="DX1501"/>
      <c r="DY1501"/>
      <c r="DZ1501"/>
      <c r="EA1501"/>
      <c r="EB1501"/>
      <c r="EC1501"/>
      <c r="ED1501"/>
      <c r="EE1501"/>
      <c r="EF1501"/>
      <c r="EG1501"/>
      <c r="EH1501"/>
      <c r="EI1501"/>
      <c r="EJ1501"/>
      <c r="EK1501"/>
      <c r="EL1501"/>
      <c r="EM1501"/>
      <c r="EN1501"/>
      <c r="EO1501"/>
      <c r="EP1501"/>
      <c r="EQ1501"/>
      <c r="ER1501"/>
      <c r="ES1501"/>
    </row>
    <row r="1502" spans="1:149">
      <c r="A1502"/>
      <c r="B1502"/>
      <c r="C1502"/>
      <c r="D1502"/>
      <c r="E1502"/>
      <c r="F1502"/>
      <c r="G1502"/>
      <c r="H1502"/>
      <c r="I1502"/>
      <c r="J1502"/>
      <c r="K1502"/>
      <c r="L1502"/>
      <c r="M1502"/>
      <c r="N1502"/>
      <c r="O1502"/>
      <c r="P1502"/>
      <c r="Q1502"/>
      <c r="R1502"/>
      <c r="S1502"/>
      <c r="T1502"/>
      <c r="U1502"/>
      <c r="V1502"/>
      <c r="W1502"/>
      <c r="X1502"/>
      <c r="Y1502"/>
      <c r="Z1502"/>
      <c r="AA1502"/>
      <c r="AB1502"/>
      <c r="AC1502"/>
      <c r="AD1502"/>
      <c r="AE1502"/>
      <c r="AF1502"/>
      <c r="AG1502"/>
      <c r="AH1502"/>
      <c r="AI1502"/>
      <c r="AJ1502"/>
      <c r="AK1502"/>
      <c r="AL1502"/>
      <c r="AM1502"/>
      <c r="AN1502"/>
      <c r="AO1502"/>
      <c r="AP1502"/>
      <c r="AQ1502"/>
      <c r="AR1502"/>
      <c r="AS1502"/>
      <c r="AT1502"/>
      <c r="AU1502"/>
      <c r="AV1502"/>
      <c r="AW1502"/>
      <c r="AX1502"/>
      <c r="AY1502"/>
      <c r="AZ1502"/>
      <c r="BA1502"/>
      <c r="BB1502"/>
      <c r="BC1502"/>
      <c r="BD1502"/>
      <c r="BE1502"/>
      <c r="BF1502"/>
      <c r="BG1502"/>
      <c r="BH1502"/>
      <c r="BI1502"/>
      <c r="BJ1502"/>
      <c r="BK1502"/>
      <c r="BL1502"/>
      <c r="BM1502"/>
      <c r="BN1502"/>
      <c r="BO1502"/>
      <c r="BP1502"/>
      <c r="BQ1502"/>
      <c r="BR1502"/>
      <c r="BS1502"/>
      <c r="BT1502"/>
      <c r="BU1502"/>
      <c r="BV1502"/>
      <c r="BW1502"/>
      <c r="BX1502"/>
      <c r="BY1502"/>
      <c r="BZ1502"/>
      <c r="CA1502"/>
      <c r="CB1502"/>
      <c r="CC1502"/>
      <c r="CD1502"/>
      <c r="CE1502"/>
      <c r="CF1502"/>
      <c r="CG1502"/>
      <c r="CH1502"/>
      <c r="CI1502"/>
      <c r="CJ1502"/>
      <c r="CK1502"/>
      <c r="CL1502"/>
      <c r="CM1502"/>
      <c r="CN1502"/>
      <c r="CO1502"/>
      <c r="CP1502"/>
      <c r="CQ1502"/>
      <c r="CR1502"/>
      <c r="CS1502"/>
      <c r="CT1502"/>
      <c r="CU1502"/>
      <c r="CV1502"/>
      <c r="CW1502"/>
      <c r="CX1502"/>
      <c r="CY1502"/>
      <c r="CZ1502"/>
      <c r="DA1502"/>
      <c r="DB1502"/>
      <c r="DC1502"/>
      <c r="DD1502"/>
      <c r="DE1502"/>
      <c r="DF1502"/>
      <c r="DG1502"/>
      <c r="DH1502"/>
      <c r="DI1502"/>
      <c r="DJ1502"/>
      <c r="DK1502"/>
      <c r="DL1502"/>
      <c r="DM1502"/>
      <c r="DN1502"/>
      <c r="DO1502"/>
      <c r="DP1502"/>
      <c r="DQ1502"/>
      <c r="DR1502"/>
      <c r="DS1502"/>
      <c r="DT1502"/>
      <c r="DU1502"/>
      <c r="DV1502"/>
      <c r="DW1502"/>
      <c r="DX1502"/>
      <c r="DY1502"/>
      <c r="DZ1502"/>
      <c r="EA1502"/>
      <c r="EB1502"/>
      <c r="EC1502"/>
      <c r="ED1502"/>
      <c r="EE1502"/>
      <c r="EF1502"/>
      <c r="EG1502"/>
      <c r="EH1502"/>
      <c r="EI1502"/>
      <c r="EJ1502"/>
      <c r="EK1502"/>
      <c r="EL1502"/>
      <c r="EM1502"/>
      <c r="EN1502"/>
      <c r="EO1502"/>
      <c r="EP1502"/>
      <c r="EQ1502"/>
      <c r="ER1502"/>
      <c r="ES1502"/>
    </row>
    <row r="1503" spans="1:149">
      <c r="A1503"/>
      <c r="B1503"/>
      <c r="C1503"/>
      <c r="D1503"/>
      <c r="E1503"/>
      <c r="F1503"/>
      <c r="G1503"/>
      <c r="H1503"/>
      <c r="I1503"/>
      <c r="J1503"/>
      <c r="K1503"/>
      <c r="L1503"/>
      <c r="M1503"/>
      <c r="N1503"/>
      <c r="O1503"/>
      <c r="P1503"/>
      <c r="Q1503"/>
      <c r="R1503"/>
      <c r="S1503"/>
      <c r="T1503"/>
      <c r="U1503"/>
      <c r="V1503"/>
      <c r="W1503"/>
      <c r="X1503"/>
      <c r="Y1503"/>
      <c r="Z1503"/>
      <c r="AA1503"/>
      <c r="AB1503"/>
      <c r="AC1503"/>
      <c r="AD1503"/>
      <c r="AE1503"/>
      <c r="AF1503"/>
      <c r="AG1503"/>
      <c r="AH1503"/>
      <c r="AI1503"/>
      <c r="AJ1503"/>
      <c r="AK1503"/>
      <c r="AL1503"/>
      <c r="AM1503"/>
      <c r="AN1503"/>
      <c r="AO1503"/>
      <c r="AP1503"/>
      <c r="AQ1503"/>
      <c r="AR1503"/>
      <c r="AS1503"/>
      <c r="AT1503"/>
      <c r="AU1503"/>
      <c r="AV1503"/>
      <c r="AW1503"/>
      <c r="AX1503"/>
      <c r="AY1503"/>
      <c r="AZ1503"/>
      <c r="BA1503"/>
      <c r="BB1503"/>
      <c r="BC1503"/>
      <c r="BD1503"/>
      <c r="BE1503"/>
      <c r="BF1503"/>
      <c r="BG1503"/>
      <c r="BH1503"/>
      <c r="BI1503"/>
      <c r="BJ1503"/>
      <c r="BK1503"/>
      <c r="BL1503"/>
      <c r="BM1503"/>
      <c r="BN1503"/>
      <c r="BO1503"/>
      <c r="BP1503"/>
      <c r="BQ1503"/>
      <c r="BR1503"/>
      <c r="BS1503"/>
      <c r="BT1503"/>
      <c r="BU1503"/>
      <c r="BV1503"/>
      <c r="BW1503"/>
      <c r="BX1503"/>
      <c r="BY1503"/>
      <c r="BZ1503"/>
      <c r="CA1503"/>
      <c r="CB1503"/>
      <c r="CC1503"/>
      <c r="CD1503"/>
      <c r="CE1503"/>
      <c r="CF1503"/>
      <c r="CG1503"/>
      <c r="CH1503"/>
      <c r="CI1503"/>
      <c r="CJ1503"/>
      <c r="CK1503"/>
      <c r="CL1503"/>
      <c r="CM1503"/>
      <c r="CN1503"/>
      <c r="CO1503"/>
      <c r="CP1503"/>
      <c r="CQ1503"/>
      <c r="CR1503"/>
      <c r="CS1503"/>
      <c r="CT1503"/>
      <c r="CU1503"/>
      <c r="CV1503"/>
      <c r="CW1503"/>
      <c r="CX1503"/>
      <c r="CY1503"/>
      <c r="CZ1503"/>
      <c r="DA1503"/>
      <c r="DB1503"/>
      <c r="DC1503"/>
      <c r="DD1503"/>
      <c r="DE1503"/>
      <c r="DF1503"/>
      <c r="DG1503"/>
      <c r="DH1503"/>
      <c r="DI1503"/>
      <c r="DJ1503"/>
      <c r="DK1503"/>
      <c r="DL1503"/>
      <c r="DM1503"/>
      <c r="DN1503"/>
      <c r="DO1503"/>
      <c r="DP1503"/>
      <c r="DQ1503"/>
      <c r="DR1503"/>
      <c r="DS1503"/>
      <c r="DT1503"/>
      <c r="DU1503"/>
      <c r="DV1503"/>
      <c r="DW1503"/>
      <c r="DX1503"/>
      <c r="DY1503"/>
      <c r="DZ1503"/>
      <c r="EA1503"/>
      <c r="EB1503"/>
      <c r="EC1503"/>
      <c r="ED1503"/>
      <c r="EE1503"/>
      <c r="EF1503"/>
      <c r="EG1503"/>
      <c r="EH1503"/>
      <c r="EI1503"/>
      <c r="EJ1503"/>
      <c r="EK1503"/>
      <c r="EL1503"/>
      <c r="EM1503"/>
      <c r="EN1503"/>
      <c r="EO1503"/>
      <c r="EP1503"/>
      <c r="EQ1503"/>
      <c r="ER1503"/>
      <c r="ES1503"/>
    </row>
    <row r="1504" spans="1:149">
      <c r="A1504"/>
      <c r="B1504"/>
      <c r="C1504"/>
      <c r="D1504"/>
      <c r="E1504"/>
      <c r="F1504"/>
      <c r="G1504"/>
      <c r="H1504"/>
      <c r="I1504"/>
      <c r="J1504"/>
      <c r="K1504"/>
      <c r="L1504"/>
      <c r="M1504"/>
      <c r="N1504"/>
      <c r="O1504"/>
      <c r="P1504"/>
      <c r="Q1504"/>
      <c r="R1504"/>
      <c r="S1504"/>
      <c r="T1504"/>
      <c r="U1504"/>
      <c r="V1504"/>
      <c r="W1504"/>
      <c r="X1504"/>
      <c r="Y1504"/>
      <c r="Z1504"/>
      <c r="AA1504"/>
      <c r="AB1504"/>
      <c r="AC1504"/>
      <c r="AD1504"/>
      <c r="AE1504"/>
      <c r="AF1504"/>
      <c r="AG1504"/>
      <c r="AH1504"/>
      <c r="AI1504"/>
      <c r="AJ1504"/>
      <c r="AK1504"/>
      <c r="AL1504"/>
      <c r="AM1504"/>
      <c r="AN1504"/>
      <c r="AO1504"/>
      <c r="AP1504"/>
      <c r="AQ1504"/>
      <c r="AR1504"/>
      <c r="AS1504"/>
      <c r="AT1504"/>
      <c r="AU1504"/>
      <c r="AV1504"/>
      <c r="AW1504"/>
      <c r="AX1504"/>
      <c r="AY1504"/>
      <c r="AZ1504"/>
      <c r="BA1504"/>
      <c r="BB1504"/>
      <c r="BC1504"/>
      <c r="BD1504"/>
      <c r="BE1504"/>
      <c r="BF1504"/>
      <c r="BG1504"/>
      <c r="BH1504"/>
      <c r="BI1504"/>
      <c r="BJ1504"/>
      <c r="BK1504"/>
      <c r="BL1504"/>
      <c r="BM1504"/>
      <c r="BN1504"/>
      <c r="BO1504"/>
      <c r="BP1504"/>
      <c r="BQ1504"/>
      <c r="BR1504"/>
      <c r="BS1504"/>
      <c r="BT1504"/>
      <c r="BU1504"/>
      <c r="BV1504"/>
      <c r="BW1504"/>
      <c r="BX1504"/>
      <c r="BY1504"/>
      <c r="BZ1504"/>
      <c r="CA1504"/>
      <c r="CB1504"/>
      <c r="CC1504"/>
      <c r="CD1504"/>
      <c r="CE1504"/>
      <c r="CF1504"/>
      <c r="CG1504"/>
      <c r="CH1504"/>
      <c r="CI1504"/>
      <c r="CJ1504"/>
      <c r="CK1504"/>
      <c r="CL1504"/>
      <c r="CM1504"/>
      <c r="CN1504"/>
      <c r="CO1504"/>
      <c r="CP1504"/>
      <c r="CQ1504"/>
      <c r="CR1504"/>
      <c r="CS1504"/>
      <c r="CT1504"/>
      <c r="CU1504"/>
      <c r="CV1504"/>
      <c r="CW1504"/>
      <c r="CX1504"/>
      <c r="CY1504"/>
      <c r="CZ1504"/>
      <c r="DA1504"/>
      <c r="DB1504"/>
      <c r="DC1504"/>
      <c r="DD1504"/>
      <c r="DE1504"/>
      <c r="DF1504"/>
      <c r="DG1504"/>
      <c r="DH1504"/>
      <c r="DI1504"/>
      <c r="DJ1504"/>
      <c r="DK1504"/>
      <c r="DL1504"/>
      <c r="DM1504"/>
      <c r="DN1504"/>
      <c r="DO1504"/>
      <c r="DP1504"/>
      <c r="DQ1504"/>
      <c r="DR1504"/>
      <c r="DS1504"/>
      <c r="DT1504"/>
      <c r="DU1504"/>
      <c r="DV1504"/>
      <c r="DW1504"/>
      <c r="DX1504"/>
      <c r="DY1504"/>
      <c r="DZ1504"/>
      <c r="EA1504"/>
      <c r="EB1504"/>
      <c r="EC1504"/>
      <c r="ED1504"/>
      <c r="EE1504"/>
      <c r="EF1504"/>
      <c r="EG1504"/>
      <c r="EH1504"/>
      <c r="EI1504"/>
      <c r="EJ1504"/>
      <c r="EK1504"/>
      <c r="EL1504"/>
      <c r="EM1504"/>
      <c r="EN1504"/>
      <c r="EO1504"/>
      <c r="EP1504"/>
      <c r="EQ1504"/>
      <c r="ER1504"/>
      <c r="ES1504"/>
    </row>
    <row r="1505" spans="1:149">
      <c r="A1505"/>
      <c r="B1505"/>
      <c r="C1505"/>
      <c r="D1505"/>
      <c r="E1505"/>
      <c r="F1505"/>
      <c r="G1505"/>
      <c r="H1505"/>
      <c r="I1505"/>
      <c r="J1505"/>
      <c r="K1505"/>
      <c r="L1505"/>
      <c r="M1505"/>
      <c r="N1505"/>
      <c r="O1505"/>
      <c r="P1505"/>
      <c r="Q1505"/>
      <c r="R1505"/>
      <c r="S1505"/>
      <c r="T1505"/>
      <c r="U1505"/>
      <c r="V1505"/>
      <c r="W1505"/>
      <c r="X1505"/>
      <c r="Y1505"/>
      <c r="Z1505"/>
      <c r="AA1505"/>
      <c r="AB1505"/>
      <c r="AC1505"/>
      <c r="AD1505"/>
      <c r="AE1505"/>
      <c r="AF1505"/>
      <c r="AG1505"/>
      <c r="AH1505"/>
      <c r="AI1505"/>
      <c r="AJ1505"/>
      <c r="AK1505"/>
      <c r="AL1505"/>
      <c r="AM1505"/>
      <c r="AN1505"/>
      <c r="AO1505"/>
      <c r="AP1505"/>
      <c r="AQ1505"/>
      <c r="AR1505"/>
      <c r="AS1505"/>
      <c r="AT1505"/>
      <c r="AU1505"/>
      <c r="AV1505"/>
      <c r="AW1505"/>
      <c r="AX1505"/>
      <c r="AY1505"/>
      <c r="AZ1505"/>
      <c r="BA1505"/>
      <c r="BB1505"/>
      <c r="BC1505"/>
      <c r="BD1505"/>
      <c r="BE1505"/>
      <c r="BF1505"/>
      <c r="BG1505"/>
      <c r="BH1505"/>
      <c r="BI1505"/>
      <c r="BJ1505"/>
      <c r="BK1505"/>
      <c r="BL1505"/>
      <c r="BM1505"/>
      <c r="BN1505"/>
      <c r="BO1505"/>
      <c r="BP1505"/>
      <c r="BQ1505"/>
      <c r="BR1505"/>
      <c r="BS1505"/>
      <c r="BT1505"/>
      <c r="BU1505"/>
      <c r="BV1505"/>
      <c r="BW1505"/>
      <c r="BX1505"/>
      <c r="BY1505"/>
      <c r="BZ1505"/>
      <c r="CA1505"/>
      <c r="CB1505"/>
      <c r="CC1505"/>
      <c r="CD1505"/>
      <c r="CE1505"/>
      <c r="CF1505"/>
      <c r="CG1505"/>
      <c r="CH1505"/>
      <c r="CI1505"/>
      <c r="CJ1505"/>
      <c r="CK1505"/>
      <c r="CL1505"/>
      <c r="CM1505"/>
      <c r="CN1505"/>
      <c r="CO1505"/>
      <c r="CP1505"/>
      <c r="CQ1505"/>
      <c r="CR1505"/>
      <c r="CS1505"/>
      <c r="CT1505"/>
      <c r="CU1505"/>
      <c r="CV1505"/>
      <c r="CW1505"/>
      <c r="CX1505"/>
      <c r="CY1505"/>
      <c r="CZ1505"/>
      <c r="DA1505"/>
      <c r="DB1505"/>
      <c r="DC1505"/>
      <c r="DD1505"/>
      <c r="DE1505"/>
      <c r="DF1505"/>
      <c r="DG1505"/>
      <c r="DH1505"/>
      <c r="DI1505"/>
      <c r="DJ1505"/>
      <c r="DK1505"/>
      <c r="DL1505"/>
      <c r="DM1505"/>
      <c r="DN1505"/>
      <c r="DO1505"/>
      <c r="DP1505"/>
      <c r="DQ1505"/>
      <c r="DR1505"/>
      <c r="DS1505"/>
      <c r="DT1505"/>
      <c r="DU1505"/>
      <c r="DV1505"/>
      <c r="DW1505"/>
      <c r="DX1505"/>
      <c r="DY1505"/>
      <c r="DZ1505"/>
      <c r="EA1505"/>
      <c r="EB1505"/>
      <c r="EC1505"/>
      <c r="ED1505"/>
      <c r="EE1505"/>
      <c r="EF1505"/>
      <c r="EG1505"/>
      <c r="EH1505"/>
      <c r="EI1505"/>
      <c r="EJ1505"/>
      <c r="EK1505"/>
      <c r="EL1505"/>
      <c r="EM1505"/>
      <c r="EN1505"/>
      <c r="EO1505"/>
      <c r="EP1505"/>
      <c r="EQ1505"/>
      <c r="ER1505"/>
      <c r="ES1505"/>
    </row>
    <row r="1506" spans="1:149">
      <c r="A1506"/>
      <c r="B1506"/>
      <c r="C1506"/>
      <c r="D1506"/>
      <c r="E1506"/>
      <c r="F1506"/>
      <c r="G1506"/>
      <c r="H1506"/>
      <c r="I1506"/>
      <c r="J1506"/>
      <c r="K1506"/>
      <c r="L1506"/>
      <c r="M1506"/>
      <c r="N1506"/>
      <c r="O1506"/>
      <c r="P1506"/>
      <c r="Q1506"/>
      <c r="R1506"/>
      <c r="S1506"/>
      <c r="T1506"/>
      <c r="U1506"/>
      <c r="V1506"/>
      <c r="W1506"/>
      <c r="X1506"/>
      <c r="Y1506"/>
      <c r="Z1506"/>
      <c r="AA1506"/>
      <c r="AB1506"/>
      <c r="AC1506"/>
      <c r="AD1506"/>
      <c r="AE1506"/>
      <c r="AF1506"/>
      <c r="AG1506"/>
      <c r="AH1506"/>
      <c r="AI1506"/>
      <c r="AJ1506"/>
      <c r="AK1506"/>
      <c r="AL1506"/>
      <c r="AM1506"/>
      <c r="AN1506"/>
      <c r="AO1506"/>
      <c r="AP1506"/>
      <c r="AQ1506"/>
      <c r="AR1506"/>
      <c r="AS1506"/>
      <c r="AT1506"/>
      <c r="AU1506"/>
      <c r="AV1506"/>
      <c r="AW1506"/>
      <c r="AX1506"/>
      <c r="AY1506"/>
      <c r="AZ1506"/>
      <c r="BA1506"/>
      <c r="BB1506"/>
      <c r="BC1506"/>
      <c r="BD1506"/>
      <c r="BE1506"/>
      <c r="BF1506"/>
      <c r="BG1506"/>
      <c r="BH1506"/>
      <c r="BI1506"/>
      <c r="BJ1506"/>
      <c r="BK1506"/>
      <c r="BL1506"/>
      <c r="BM1506"/>
      <c r="BN1506"/>
      <c r="BO1506"/>
      <c r="BP1506"/>
      <c r="BQ1506"/>
      <c r="BR1506"/>
      <c r="BS1506"/>
      <c r="BT1506"/>
      <c r="BU1506"/>
      <c r="BV1506"/>
      <c r="BW1506"/>
      <c r="BX1506"/>
      <c r="BY1506"/>
      <c r="BZ1506"/>
      <c r="CA1506"/>
      <c r="CB1506"/>
      <c r="CC1506"/>
      <c r="CD1506"/>
      <c r="CE1506"/>
      <c r="CF1506"/>
      <c r="CG1506"/>
      <c r="CH1506"/>
      <c r="CI1506"/>
      <c r="CJ1506"/>
      <c r="CK1506"/>
      <c r="CL1506"/>
      <c r="CM1506"/>
      <c r="CN1506"/>
      <c r="CO1506"/>
      <c r="CP1506"/>
      <c r="CQ1506"/>
      <c r="CR1506"/>
      <c r="CS1506"/>
      <c r="CT1506"/>
      <c r="CU1506"/>
      <c r="CV1506"/>
      <c r="CW1506"/>
      <c r="CX1506"/>
      <c r="CY1506"/>
      <c r="CZ1506"/>
      <c r="DA1506"/>
      <c r="DB1506"/>
      <c r="DC1506"/>
      <c r="DD1506"/>
      <c r="DE1506"/>
      <c r="DF1506"/>
      <c r="DG1506"/>
      <c r="DH1506"/>
      <c r="DI1506"/>
      <c r="DJ1506"/>
      <c r="DK1506"/>
      <c r="DL1506"/>
      <c r="DM1506"/>
      <c r="DN1506"/>
      <c r="DO1506"/>
      <c r="DP1506"/>
      <c r="DQ1506"/>
      <c r="DR1506"/>
      <c r="DS1506"/>
      <c r="DT1506"/>
      <c r="DU1506"/>
      <c r="DV1506"/>
      <c r="DW1506"/>
      <c r="DX1506"/>
      <c r="DY1506"/>
      <c r="DZ1506"/>
      <c r="EA1506"/>
      <c r="EB1506"/>
      <c r="EC1506"/>
      <c r="ED1506"/>
      <c r="EE1506"/>
      <c r="EF1506"/>
      <c r="EG1506"/>
      <c r="EH1506"/>
      <c r="EI1506"/>
      <c r="EJ1506"/>
      <c r="EK1506"/>
      <c r="EL1506"/>
      <c r="EM1506"/>
      <c r="EN1506"/>
      <c r="EO1506"/>
      <c r="EP1506"/>
      <c r="EQ1506"/>
      <c r="ER1506"/>
      <c r="ES1506"/>
    </row>
    <row r="1507" spans="1:149">
      <c r="A1507"/>
      <c r="B1507"/>
      <c r="C1507"/>
      <c r="D1507"/>
      <c r="E1507"/>
      <c r="F1507"/>
      <c r="G1507"/>
      <c r="H1507"/>
      <c r="I1507"/>
      <c r="J1507"/>
      <c r="K1507"/>
      <c r="L1507"/>
      <c r="M1507"/>
      <c r="N1507"/>
      <c r="O1507"/>
      <c r="P1507"/>
      <c r="Q1507"/>
      <c r="R1507"/>
      <c r="S1507"/>
      <c r="T1507"/>
      <c r="U1507"/>
      <c r="V1507"/>
      <c r="W1507"/>
      <c r="X1507"/>
      <c r="Y1507"/>
      <c r="Z1507"/>
      <c r="AA1507"/>
      <c r="AB1507"/>
      <c r="AC1507"/>
      <c r="AD1507"/>
      <c r="AE1507"/>
      <c r="AF1507"/>
      <c r="AG1507"/>
      <c r="AH1507"/>
      <c r="AI1507"/>
      <c r="AJ1507"/>
      <c r="AK1507"/>
      <c r="AL1507"/>
      <c r="AM1507"/>
      <c r="AN1507"/>
      <c r="AO1507"/>
      <c r="AP1507"/>
      <c r="AQ1507"/>
      <c r="AR1507"/>
      <c r="AS1507"/>
      <c r="AT1507"/>
      <c r="AU1507"/>
      <c r="AV1507"/>
      <c r="AW1507"/>
      <c r="AX1507"/>
      <c r="AY1507"/>
      <c r="AZ1507"/>
      <c r="BA1507"/>
      <c r="BB1507"/>
      <c r="BC1507"/>
      <c r="BD1507"/>
      <c r="BE1507"/>
      <c r="BF1507"/>
      <c r="BG1507"/>
      <c r="BH1507"/>
      <c r="BI1507"/>
      <c r="BJ1507"/>
      <c r="BK1507"/>
      <c r="BL1507"/>
      <c r="BM1507"/>
      <c r="BN1507"/>
      <c r="BO1507"/>
      <c r="BP1507"/>
      <c r="BQ1507"/>
      <c r="BR1507"/>
      <c r="BS1507"/>
      <c r="BT1507"/>
      <c r="BU1507"/>
      <c r="BV1507"/>
      <c r="BW1507"/>
      <c r="BX1507"/>
      <c r="BY1507"/>
      <c r="BZ1507"/>
      <c r="CA1507"/>
      <c r="CB1507"/>
      <c r="CC1507"/>
      <c r="CD1507"/>
      <c r="CE1507"/>
      <c r="CF1507"/>
      <c r="CG1507"/>
      <c r="CH1507"/>
      <c r="CI1507"/>
      <c r="CJ1507"/>
      <c r="CK1507"/>
      <c r="CL1507"/>
      <c r="CM1507"/>
      <c r="CN1507"/>
      <c r="CO1507"/>
      <c r="CP1507"/>
      <c r="CQ1507"/>
      <c r="CR1507"/>
      <c r="CS1507"/>
      <c r="CT1507"/>
      <c r="CU1507"/>
      <c r="CV1507"/>
      <c r="CW1507"/>
      <c r="CX1507"/>
      <c r="CY1507"/>
      <c r="CZ1507"/>
      <c r="DA1507"/>
      <c r="DB1507"/>
      <c r="DC1507"/>
      <c r="DD1507"/>
      <c r="DE1507"/>
      <c r="DF1507"/>
      <c r="DG1507"/>
      <c r="DH1507"/>
      <c r="DI1507"/>
      <c r="DJ1507"/>
      <c r="DK1507"/>
      <c r="DL1507"/>
      <c r="DM1507"/>
      <c r="DN1507"/>
      <c r="DO1507"/>
      <c r="DP1507"/>
      <c r="DQ1507"/>
      <c r="DR1507"/>
      <c r="DS1507"/>
      <c r="DT1507"/>
      <c r="DU1507"/>
      <c r="DV1507"/>
      <c r="DW1507"/>
      <c r="DX1507"/>
      <c r="DY1507"/>
      <c r="DZ1507"/>
      <c r="EA1507"/>
      <c r="EB1507"/>
      <c r="EC1507"/>
      <c r="ED1507"/>
      <c r="EE1507"/>
      <c r="EF1507"/>
      <c r="EG1507"/>
      <c r="EH1507"/>
      <c r="EI1507"/>
      <c r="EJ1507"/>
      <c r="EK1507"/>
      <c r="EL1507"/>
      <c r="EM1507"/>
      <c r="EN1507"/>
      <c r="EO1507"/>
      <c r="EP1507"/>
      <c r="EQ1507"/>
      <c r="ER1507"/>
      <c r="ES1507"/>
    </row>
    <row r="1508" spans="1:149">
      <c r="A1508"/>
      <c r="B1508"/>
      <c r="C1508"/>
      <c r="D1508"/>
      <c r="E1508"/>
      <c r="F1508"/>
      <c r="G1508"/>
      <c r="H1508"/>
      <c r="I1508"/>
      <c r="J1508"/>
      <c r="K1508"/>
      <c r="L1508"/>
      <c r="M1508"/>
      <c r="N1508"/>
      <c r="O1508"/>
      <c r="P1508"/>
      <c r="Q1508"/>
      <c r="R1508"/>
      <c r="S1508"/>
      <c r="T1508"/>
      <c r="U1508"/>
      <c r="V1508"/>
      <c r="W1508"/>
      <c r="X1508"/>
      <c r="Y1508"/>
      <c r="Z1508"/>
      <c r="AA1508"/>
      <c r="AB1508"/>
      <c r="AC1508"/>
      <c r="AD1508"/>
      <c r="AE1508"/>
      <c r="AF1508"/>
      <c r="AG1508"/>
      <c r="AH1508"/>
      <c r="AI1508"/>
      <c r="AJ1508"/>
      <c r="AK1508"/>
      <c r="AL1508"/>
      <c r="AM1508"/>
      <c r="AN1508"/>
      <c r="AO1508"/>
      <c r="AP1508"/>
      <c r="AQ1508"/>
      <c r="AR1508"/>
      <c r="AS1508"/>
      <c r="AT1508"/>
      <c r="AU1508"/>
      <c r="AV1508"/>
      <c r="AW1508"/>
      <c r="AX1508"/>
      <c r="AY1508"/>
      <c r="AZ1508"/>
      <c r="BA1508"/>
      <c r="BB1508"/>
      <c r="BC1508"/>
      <c r="BD1508"/>
      <c r="BE1508"/>
      <c r="BF1508"/>
      <c r="BG1508"/>
      <c r="BH1508"/>
      <c r="BI1508"/>
      <c r="BJ1508"/>
      <c r="BK1508"/>
      <c r="BL1508"/>
      <c r="BM1508"/>
      <c r="BN1508"/>
      <c r="BO1508"/>
      <c r="BP1508"/>
      <c r="BQ1508"/>
      <c r="BR1508"/>
      <c r="BS1508"/>
      <c r="BT1508"/>
      <c r="BU1508"/>
      <c r="BV1508"/>
      <c r="BW1508"/>
      <c r="BX1508"/>
      <c r="BY1508"/>
      <c r="BZ1508"/>
      <c r="CA1508"/>
      <c r="CB1508"/>
      <c r="CC1508"/>
      <c r="CD1508"/>
      <c r="CE1508"/>
      <c r="CF1508"/>
      <c r="CG1508"/>
      <c r="CH1508"/>
      <c r="CI1508"/>
      <c r="CJ1508"/>
      <c r="CK1508"/>
      <c r="CL1508"/>
      <c r="CM1508"/>
      <c r="CN1508"/>
      <c r="CO1508"/>
      <c r="CP1508"/>
      <c r="CQ1508"/>
      <c r="CR1508"/>
      <c r="CS1508"/>
      <c r="CT1508"/>
      <c r="CU1508"/>
      <c r="CV1508"/>
      <c r="CW1508"/>
      <c r="CX1508"/>
      <c r="CY1508"/>
      <c r="CZ1508"/>
      <c r="DA1508"/>
      <c r="DB1508"/>
      <c r="DC1508"/>
      <c r="DD1508"/>
      <c r="DE1508"/>
      <c r="DF1508"/>
      <c r="DG1508"/>
      <c r="DH1508"/>
      <c r="DI1508"/>
      <c r="DJ1508"/>
      <c r="DK1508"/>
      <c r="DL1508"/>
      <c r="DM1508"/>
      <c r="DN1508"/>
      <c r="DO1508"/>
      <c r="DP1508"/>
      <c r="DQ1508"/>
      <c r="DR1508"/>
      <c r="DS1508"/>
      <c r="DT1508"/>
      <c r="DU1508"/>
      <c r="DV1508"/>
      <c r="DW1508"/>
      <c r="DX1508"/>
      <c r="DY1508"/>
      <c r="DZ1508"/>
      <c r="EA1508"/>
      <c r="EB1508"/>
      <c r="EC1508"/>
      <c r="ED1508"/>
      <c r="EE1508"/>
      <c r="EF1508"/>
      <c r="EG1508"/>
      <c r="EH1508"/>
      <c r="EI1508"/>
      <c r="EJ1508"/>
      <c r="EK1508"/>
      <c r="EL1508"/>
      <c r="EM1508"/>
      <c r="EN1508"/>
      <c r="EO1508"/>
      <c r="EP1508"/>
      <c r="EQ1508"/>
      <c r="ER1508"/>
      <c r="ES1508"/>
    </row>
    <row r="1509" spans="1:149">
      <c r="A1509"/>
      <c r="B1509"/>
      <c r="C1509"/>
      <c r="D1509"/>
      <c r="E1509"/>
      <c r="F1509"/>
      <c r="G1509"/>
      <c r="H1509"/>
      <c r="I1509"/>
      <c r="J1509"/>
      <c r="K1509"/>
      <c r="L1509"/>
      <c r="M1509"/>
      <c r="N1509"/>
      <c r="O1509"/>
      <c r="P1509"/>
      <c r="Q1509"/>
      <c r="R1509"/>
      <c r="S1509"/>
      <c r="T1509"/>
      <c r="U1509"/>
      <c r="V1509"/>
      <c r="W1509"/>
      <c r="X1509"/>
      <c r="Y1509"/>
      <c r="Z1509"/>
      <c r="AA1509"/>
      <c r="AB1509"/>
      <c r="AC1509"/>
      <c r="AD1509"/>
      <c r="AE1509"/>
      <c r="AF1509"/>
      <c r="AG1509"/>
      <c r="AH1509"/>
      <c r="AI1509"/>
      <c r="AJ1509"/>
      <c r="AK1509"/>
      <c r="AL1509"/>
      <c r="AM1509"/>
      <c r="AN1509"/>
      <c r="AO1509"/>
      <c r="AP1509"/>
      <c r="AQ1509"/>
      <c r="AR1509"/>
      <c r="AS1509"/>
      <c r="AT1509"/>
      <c r="AU1509"/>
      <c r="AV1509"/>
      <c r="AW1509"/>
      <c r="AX1509"/>
      <c r="AY1509"/>
      <c r="AZ1509"/>
      <c r="BA1509"/>
      <c r="BB1509"/>
      <c r="BC1509"/>
      <c r="BD1509"/>
      <c r="BE1509"/>
      <c r="BF1509"/>
      <c r="BG1509"/>
      <c r="BH1509"/>
      <c r="BI1509"/>
      <c r="BJ1509"/>
      <c r="BK1509"/>
      <c r="BL1509"/>
      <c r="BM1509"/>
      <c r="BN1509"/>
      <c r="BO1509"/>
      <c r="BP1509"/>
      <c r="BQ1509"/>
      <c r="BR1509"/>
      <c r="BS1509"/>
      <c r="BT1509"/>
      <c r="BU1509"/>
      <c r="BV1509"/>
      <c r="BW1509"/>
      <c r="BX1509"/>
      <c r="BY1509"/>
      <c r="BZ1509"/>
      <c r="CA1509"/>
      <c r="CB1509"/>
      <c r="CC1509"/>
      <c r="CD1509"/>
      <c r="CE1509"/>
      <c r="CF1509"/>
      <c r="CG1509"/>
      <c r="CH1509"/>
      <c r="CI1509"/>
      <c r="CJ1509"/>
      <c r="CK1509"/>
      <c r="CL1509"/>
      <c r="CM1509"/>
      <c r="CN1509"/>
      <c r="CO1509"/>
      <c r="CP1509"/>
      <c r="CQ1509"/>
      <c r="CR1509"/>
      <c r="CS1509"/>
      <c r="CT1509"/>
      <c r="CU1509"/>
      <c r="CV1509"/>
      <c r="CW1509"/>
      <c r="CX1509"/>
      <c r="CY1509"/>
      <c r="CZ1509"/>
      <c r="DA1509"/>
      <c r="DB1509"/>
      <c r="DC1509"/>
      <c r="DD1509"/>
      <c r="DE1509"/>
      <c r="DF1509"/>
      <c r="DG1509"/>
      <c r="DH1509"/>
      <c r="DI1509"/>
      <c r="DJ1509"/>
      <c r="DK1509"/>
      <c r="DL1509"/>
      <c r="DM1509"/>
      <c r="DN1509"/>
      <c r="DO1509"/>
      <c r="DP1509"/>
      <c r="DQ1509"/>
      <c r="DR1509"/>
      <c r="DS1509"/>
      <c r="DT1509"/>
      <c r="DU1509"/>
      <c r="DV1509"/>
      <c r="DW1509"/>
      <c r="DX1509"/>
      <c r="DY1509"/>
      <c r="DZ1509"/>
      <c r="EA1509"/>
      <c r="EB1509"/>
      <c r="EC1509"/>
      <c r="ED1509"/>
      <c r="EE1509"/>
      <c r="EF1509"/>
      <c r="EG1509"/>
      <c r="EH1509"/>
      <c r="EI1509"/>
      <c r="EJ1509"/>
      <c r="EK1509"/>
      <c r="EL1509"/>
      <c r="EM1509"/>
      <c r="EN1509"/>
      <c r="EO1509"/>
      <c r="EP1509"/>
      <c r="EQ1509"/>
      <c r="ER1509"/>
      <c r="ES1509"/>
    </row>
    <row r="1510" spans="1:149">
      <c r="A1510"/>
      <c r="B1510"/>
      <c r="C1510"/>
      <c r="D1510"/>
      <c r="E1510"/>
      <c r="F1510"/>
      <c r="G1510"/>
      <c r="H1510"/>
      <c r="I1510"/>
      <c r="J1510"/>
      <c r="K1510"/>
      <c r="L1510"/>
      <c r="M1510"/>
      <c r="N1510"/>
      <c r="O1510"/>
      <c r="P1510"/>
      <c r="Q1510"/>
      <c r="R1510"/>
      <c r="S1510"/>
      <c r="T1510"/>
      <c r="U1510"/>
      <c r="V1510"/>
      <c r="W1510"/>
      <c r="X1510"/>
      <c r="Y1510"/>
      <c r="Z1510"/>
      <c r="AA1510"/>
      <c r="AB1510"/>
      <c r="AC1510"/>
      <c r="AD1510"/>
      <c r="AE1510"/>
      <c r="AF1510"/>
      <c r="AG1510"/>
      <c r="AH1510"/>
      <c r="AI1510"/>
      <c r="AJ1510"/>
      <c r="AK1510"/>
      <c r="AL1510"/>
      <c r="AM1510"/>
      <c r="AN1510"/>
      <c r="AO1510"/>
      <c r="AP1510"/>
      <c r="AQ1510"/>
      <c r="AR1510"/>
      <c r="AS1510"/>
      <c r="AT1510"/>
      <c r="AU1510"/>
      <c r="AV1510"/>
      <c r="AW1510"/>
      <c r="AX1510"/>
      <c r="AY1510"/>
      <c r="AZ1510"/>
      <c r="BA1510"/>
      <c r="BB1510"/>
      <c r="BC1510"/>
      <c r="BD1510"/>
      <c r="BE1510"/>
      <c r="BF1510"/>
      <c r="BG1510"/>
      <c r="BH1510"/>
      <c r="BI1510"/>
      <c r="BJ1510"/>
      <c r="BK1510"/>
      <c r="BL1510"/>
      <c r="BM1510"/>
      <c r="BN1510"/>
      <c r="BO1510"/>
      <c r="BP1510"/>
      <c r="BQ1510"/>
      <c r="BR1510"/>
      <c r="BS1510"/>
      <c r="BT1510"/>
      <c r="BU1510"/>
      <c r="BV1510"/>
      <c r="BW1510"/>
      <c r="BX1510"/>
      <c r="BY1510"/>
      <c r="BZ1510"/>
      <c r="CA1510"/>
      <c r="CB1510"/>
      <c r="CC1510"/>
      <c r="CD1510"/>
      <c r="CE1510"/>
      <c r="CF1510"/>
      <c r="CG1510"/>
      <c r="CH1510"/>
      <c r="CI1510"/>
      <c r="CJ1510"/>
      <c r="CK1510"/>
      <c r="CL1510"/>
      <c r="CM1510"/>
      <c r="CN1510"/>
      <c r="CO1510"/>
      <c r="CP1510"/>
      <c r="CQ1510"/>
      <c r="CR1510"/>
      <c r="CS1510"/>
      <c r="CT1510"/>
      <c r="CU1510"/>
      <c r="CV1510"/>
      <c r="CW1510"/>
      <c r="CX1510"/>
      <c r="CY1510"/>
      <c r="CZ1510"/>
      <c r="DA1510"/>
      <c r="DB1510"/>
      <c r="DC1510"/>
      <c r="DD1510"/>
      <c r="DE1510"/>
      <c r="DF1510"/>
      <c r="DG1510"/>
      <c r="DH1510"/>
      <c r="DI1510"/>
      <c r="DJ1510"/>
      <c r="DK1510"/>
      <c r="DL1510"/>
      <c r="DM1510"/>
      <c r="DN1510"/>
      <c r="DO1510"/>
      <c r="DP1510"/>
      <c r="DQ1510"/>
      <c r="DR1510"/>
      <c r="DS1510"/>
      <c r="DT1510"/>
      <c r="DU1510"/>
      <c r="DV1510"/>
      <c r="DW1510"/>
      <c r="DX1510"/>
      <c r="DY1510"/>
      <c r="DZ1510"/>
      <c r="EA1510"/>
      <c r="EB1510"/>
      <c r="EC1510"/>
      <c r="ED1510"/>
      <c r="EE1510"/>
      <c r="EF1510"/>
      <c r="EG1510"/>
      <c r="EH1510"/>
      <c r="EI1510"/>
      <c r="EJ1510"/>
      <c r="EK1510"/>
      <c r="EL1510"/>
      <c r="EM1510"/>
      <c r="EN1510"/>
      <c r="EO1510"/>
      <c r="EP1510"/>
      <c r="EQ1510"/>
      <c r="ER1510"/>
      <c r="ES1510"/>
    </row>
    <row r="1511" spans="1:149">
      <c r="A1511"/>
      <c r="B1511"/>
      <c r="C1511"/>
      <c r="D1511"/>
      <c r="E1511"/>
      <c r="F1511"/>
      <c r="G1511"/>
      <c r="H1511"/>
      <c r="I1511"/>
      <c r="J1511"/>
      <c r="K1511"/>
      <c r="L1511"/>
      <c r="M1511"/>
      <c r="N1511"/>
      <c r="O1511"/>
      <c r="P1511"/>
      <c r="Q1511"/>
      <c r="R1511"/>
      <c r="S1511"/>
      <c r="T1511"/>
      <c r="U1511"/>
      <c r="V1511"/>
      <c r="W1511"/>
      <c r="X1511"/>
      <c r="Y1511"/>
      <c r="Z1511"/>
      <c r="AA1511"/>
      <c r="AB1511"/>
      <c r="AC1511"/>
      <c r="AD1511"/>
      <c r="AE1511"/>
      <c r="AF1511"/>
      <c r="AG1511"/>
      <c r="AH1511"/>
      <c r="AI1511"/>
      <c r="AJ1511"/>
      <c r="AK1511"/>
      <c r="AL1511"/>
      <c r="AM1511"/>
      <c r="AN1511"/>
      <c r="AO1511"/>
      <c r="AP1511"/>
      <c r="AQ1511"/>
      <c r="AR1511"/>
      <c r="AS1511"/>
      <c r="AT1511"/>
      <c r="AU1511"/>
      <c r="AV1511"/>
      <c r="AW1511"/>
      <c r="AX1511"/>
      <c r="AY1511"/>
      <c r="AZ1511"/>
      <c r="BA1511"/>
      <c r="BB1511"/>
      <c r="BC1511"/>
      <c r="BD1511"/>
      <c r="BE1511"/>
      <c r="BF1511"/>
      <c r="BG1511"/>
      <c r="BH1511"/>
      <c r="BI1511"/>
      <c r="BJ1511"/>
      <c r="BK1511"/>
      <c r="BL1511"/>
      <c r="BM1511"/>
      <c r="BN1511"/>
      <c r="BO1511"/>
      <c r="BP1511"/>
      <c r="BQ1511"/>
      <c r="BR1511"/>
      <c r="BS1511"/>
      <c r="BT1511"/>
      <c r="BU1511"/>
      <c r="BV1511"/>
      <c r="BW1511"/>
      <c r="BX1511"/>
      <c r="BY1511"/>
      <c r="BZ1511"/>
      <c r="CA1511"/>
      <c r="CB1511"/>
      <c r="CC1511"/>
      <c r="CD1511"/>
      <c r="CE1511"/>
      <c r="CF1511"/>
      <c r="CG1511"/>
      <c r="CH1511"/>
      <c r="CI1511"/>
      <c r="CJ1511"/>
      <c r="CK1511"/>
      <c r="CL1511"/>
      <c r="CM1511"/>
      <c r="CN1511"/>
      <c r="CO1511"/>
      <c r="CP1511"/>
      <c r="CQ1511"/>
      <c r="CR1511"/>
      <c r="CS1511"/>
      <c r="CT1511"/>
      <c r="CU1511"/>
      <c r="CV1511"/>
      <c r="CW1511"/>
      <c r="CX1511"/>
      <c r="CY1511"/>
      <c r="CZ1511"/>
      <c r="DA1511"/>
      <c r="DB1511"/>
      <c r="DC1511"/>
      <c r="DD1511"/>
      <c r="DE1511"/>
      <c r="DF1511"/>
      <c r="DG1511"/>
      <c r="DH1511"/>
      <c r="DI1511"/>
      <c r="DJ1511"/>
      <c r="DK1511"/>
      <c r="DL1511"/>
      <c r="DM1511"/>
      <c r="DN1511"/>
      <c r="DO1511"/>
      <c r="DP1511"/>
      <c r="DQ1511"/>
      <c r="DR1511"/>
      <c r="DS1511"/>
      <c r="DT1511"/>
      <c r="DU1511"/>
      <c r="DV1511"/>
      <c r="DW1511"/>
      <c r="DX1511"/>
      <c r="DY1511"/>
      <c r="DZ1511"/>
      <c r="EA1511"/>
      <c r="EB1511"/>
      <c r="EC1511"/>
      <c r="ED1511"/>
      <c r="EE1511"/>
      <c r="EF1511"/>
      <c r="EG1511"/>
      <c r="EH1511"/>
      <c r="EI1511"/>
      <c r="EJ1511"/>
      <c r="EK1511"/>
      <c r="EL1511"/>
      <c r="EM1511"/>
      <c r="EN1511"/>
      <c r="EO1511"/>
      <c r="EP1511"/>
      <c r="EQ1511"/>
      <c r="ER1511"/>
      <c r="ES1511"/>
    </row>
    <row r="1512" spans="1:149">
      <c r="A1512"/>
      <c r="B1512"/>
      <c r="C1512"/>
      <c r="D1512"/>
      <c r="E1512"/>
      <c r="F1512"/>
      <c r="G1512"/>
      <c r="H1512"/>
      <c r="I1512"/>
      <c r="J1512"/>
      <c r="K1512"/>
      <c r="L1512"/>
      <c r="M1512"/>
      <c r="N1512"/>
      <c r="O1512"/>
      <c r="P1512"/>
      <c r="Q1512"/>
      <c r="R1512"/>
      <c r="S1512"/>
      <c r="T1512"/>
      <c r="U1512"/>
      <c r="V1512"/>
      <c r="W1512"/>
      <c r="X1512"/>
      <c r="Y1512"/>
      <c r="Z1512"/>
      <c r="AA1512"/>
      <c r="AB1512"/>
      <c r="AC1512"/>
      <c r="AD1512"/>
      <c r="AE1512"/>
      <c r="AF1512"/>
      <c r="AG1512"/>
      <c r="AH1512"/>
      <c r="AI1512"/>
      <c r="AJ1512"/>
      <c r="AK1512"/>
      <c r="AL1512"/>
      <c r="AM1512"/>
      <c r="AN1512"/>
      <c r="AO1512"/>
      <c r="AP1512"/>
      <c r="AQ1512"/>
      <c r="AR1512"/>
      <c r="AS1512"/>
      <c r="AT1512"/>
      <c r="AU1512"/>
      <c r="AV1512"/>
      <c r="AW1512"/>
      <c r="AX1512"/>
      <c r="AY1512"/>
      <c r="AZ1512"/>
      <c r="BA1512"/>
      <c r="BB1512"/>
      <c r="BC1512"/>
      <c r="BD1512"/>
      <c r="BE1512"/>
      <c r="BF1512"/>
      <c r="BG1512"/>
      <c r="BH1512"/>
      <c r="BI1512"/>
      <c r="BJ1512"/>
      <c r="BK1512"/>
      <c r="BL1512"/>
      <c r="BM1512"/>
      <c r="BN1512"/>
      <c r="BO1512"/>
      <c r="BP1512"/>
      <c r="BQ1512"/>
      <c r="BR1512"/>
      <c r="BS1512"/>
      <c r="BT1512"/>
      <c r="BU1512"/>
      <c r="BV1512"/>
      <c r="BW1512"/>
      <c r="BX1512"/>
      <c r="BY1512"/>
      <c r="BZ1512"/>
      <c r="CA1512"/>
      <c r="CB1512"/>
      <c r="CC1512"/>
      <c r="CD1512"/>
      <c r="CE1512"/>
      <c r="CF1512"/>
      <c r="CG1512"/>
      <c r="CH1512"/>
      <c r="CI1512"/>
      <c r="CJ1512"/>
      <c r="CK1512"/>
      <c r="CL1512"/>
      <c r="CM1512"/>
      <c r="CN1512"/>
      <c r="CO1512"/>
      <c r="CP1512"/>
      <c r="CQ1512"/>
      <c r="CR1512"/>
      <c r="CS1512"/>
      <c r="CT1512"/>
      <c r="CU1512"/>
      <c r="CV1512"/>
      <c r="CW1512"/>
      <c r="CX1512"/>
      <c r="CY1512"/>
      <c r="CZ1512"/>
      <c r="DA1512"/>
      <c r="DB1512"/>
      <c r="DC1512"/>
      <c r="DD1512"/>
      <c r="DE1512"/>
      <c r="DF1512"/>
      <c r="DG1512"/>
      <c r="DH1512"/>
      <c r="DI1512"/>
      <c r="DJ1512"/>
      <c r="DK1512"/>
      <c r="DL1512"/>
      <c r="DM1512"/>
      <c r="DN1512"/>
      <c r="DO1512"/>
      <c r="DP1512"/>
      <c r="DQ1512"/>
      <c r="DR1512"/>
      <c r="DS1512"/>
      <c r="DT1512"/>
      <c r="DU1512"/>
      <c r="DV1512"/>
      <c r="DW1512"/>
      <c r="DX1512"/>
      <c r="DY1512"/>
      <c r="DZ1512"/>
      <c r="EA1512"/>
      <c r="EB1512"/>
      <c r="EC1512"/>
      <c r="ED1512"/>
      <c r="EE1512"/>
      <c r="EF1512"/>
      <c r="EG1512"/>
      <c r="EH1512"/>
      <c r="EI1512"/>
      <c r="EJ1512"/>
      <c r="EK1512"/>
      <c r="EL1512"/>
      <c r="EM1512"/>
      <c r="EN1512"/>
      <c r="EO1512"/>
      <c r="EP1512"/>
      <c r="EQ1512"/>
      <c r="ER1512"/>
      <c r="ES1512"/>
    </row>
    <row r="1513" spans="1:149">
      <c r="A1513"/>
      <c r="B1513"/>
      <c r="C1513"/>
      <c r="D1513"/>
      <c r="E1513"/>
      <c r="F1513"/>
      <c r="G1513"/>
      <c r="H1513"/>
      <c r="I1513"/>
      <c r="J1513"/>
      <c r="K1513"/>
      <c r="L1513"/>
      <c r="M1513"/>
      <c r="N1513"/>
      <c r="O1513"/>
      <c r="P1513"/>
      <c r="Q1513"/>
      <c r="R1513"/>
      <c r="S1513"/>
      <c r="T1513"/>
      <c r="U1513"/>
      <c r="V1513"/>
      <c r="W1513"/>
      <c r="X1513"/>
      <c r="Y1513"/>
      <c r="Z1513"/>
      <c r="AA1513"/>
      <c r="AB1513"/>
      <c r="AC1513"/>
      <c r="AD1513"/>
      <c r="AE1513"/>
      <c r="AF1513"/>
      <c r="AG1513"/>
      <c r="AH1513"/>
      <c r="AI1513"/>
      <c r="AJ1513"/>
      <c r="AK1513"/>
      <c r="AL1513"/>
      <c r="AM1513"/>
      <c r="AN1513"/>
      <c r="AO1513"/>
      <c r="AP1513"/>
      <c r="AQ1513"/>
      <c r="AR1513"/>
      <c r="AS1513"/>
      <c r="AT1513"/>
      <c r="AU1513"/>
      <c r="AV1513"/>
      <c r="AW1513"/>
      <c r="AX1513"/>
      <c r="AY1513"/>
      <c r="AZ1513"/>
      <c r="BA1513"/>
      <c r="BB1513"/>
      <c r="BC1513"/>
      <c r="BD1513"/>
      <c r="BE1513"/>
      <c r="BF1513"/>
      <c r="BG1513"/>
      <c r="BH1513"/>
      <c r="BI1513"/>
      <c r="BJ1513"/>
      <c r="BK1513"/>
      <c r="BL1513"/>
      <c r="BM1513"/>
      <c r="BN1513"/>
      <c r="BO1513"/>
      <c r="BP1513"/>
      <c r="BQ1513"/>
      <c r="BR1513"/>
      <c r="BS1513"/>
      <c r="BT1513"/>
      <c r="BU1513"/>
      <c r="BV1513"/>
      <c r="BW1513"/>
      <c r="BX1513"/>
      <c r="BY1513"/>
      <c r="BZ1513"/>
      <c r="CA1513"/>
      <c r="CB1513"/>
      <c r="CC1513"/>
      <c r="CD1513"/>
      <c r="CE1513"/>
      <c r="CF1513"/>
      <c r="CG1513"/>
      <c r="CH1513"/>
      <c r="CI1513"/>
      <c r="CJ1513"/>
      <c r="CK1513"/>
      <c r="CL1513"/>
      <c r="CM1513"/>
      <c r="CN1513"/>
      <c r="CO1513"/>
      <c r="CP1513"/>
      <c r="CQ1513"/>
      <c r="CR1513"/>
      <c r="CS1513"/>
      <c r="CT1513"/>
      <c r="CU1513"/>
      <c r="CV1513"/>
      <c r="CW1513"/>
      <c r="CX1513"/>
      <c r="CY1513"/>
      <c r="CZ1513"/>
      <c r="DA1513"/>
      <c r="DB1513"/>
      <c r="DC1513"/>
      <c r="DD1513"/>
      <c r="DE1513"/>
      <c r="DF1513"/>
      <c r="DG1513"/>
      <c r="DH1513"/>
      <c r="DI1513"/>
      <c r="DJ1513"/>
      <c r="DK1513"/>
      <c r="DL1513"/>
      <c r="DM1513"/>
      <c r="DN1513"/>
      <c r="DO1513"/>
      <c r="DP1513"/>
      <c r="DQ1513"/>
      <c r="DR1513"/>
      <c r="DS1513"/>
      <c r="DT1513"/>
      <c r="DU1513"/>
      <c r="DV1513"/>
      <c r="DW1513"/>
      <c r="DX1513"/>
      <c r="DY1513"/>
      <c r="DZ1513"/>
      <c r="EA1513"/>
      <c r="EB1513"/>
      <c r="EC1513"/>
      <c r="ED1513"/>
      <c r="EE1513"/>
      <c r="EF1513"/>
      <c r="EG1513"/>
      <c r="EH1513"/>
      <c r="EI1513"/>
      <c r="EJ1513"/>
      <c r="EK1513"/>
      <c r="EL1513"/>
      <c r="EM1513"/>
      <c r="EN1513"/>
      <c r="EO1513"/>
      <c r="EP1513"/>
      <c r="EQ1513"/>
      <c r="ER1513"/>
      <c r="ES1513"/>
    </row>
    <row r="1514" spans="1:149">
      <c r="A1514"/>
      <c r="B1514"/>
      <c r="C1514"/>
      <c r="D1514"/>
      <c r="E1514"/>
      <c r="F1514"/>
      <c r="G1514"/>
      <c r="H1514"/>
      <c r="I1514"/>
      <c r="J1514"/>
      <c r="K1514"/>
      <c r="L1514"/>
      <c r="M1514"/>
      <c r="N1514"/>
      <c r="O1514"/>
      <c r="P1514"/>
      <c r="Q1514"/>
      <c r="R1514"/>
      <c r="S1514"/>
      <c r="T1514"/>
      <c r="U1514"/>
      <c r="V1514"/>
      <c r="W1514"/>
      <c r="X1514"/>
      <c r="Y1514"/>
      <c r="Z1514"/>
      <c r="AA1514"/>
      <c r="AB1514"/>
      <c r="AC1514"/>
      <c r="AD1514"/>
      <c r="AE1514"/>
      <c r="AF1514"/>
      <c r="AG1514"/>
      <c r="AH1514"/>
      <c r="AI1514"/>
      <c r="AJ1514"/>
      <c r="AK1514"/>
      <c r="AL1514"/>
      <c r="AM1514"/>
      <c r="AN1514"/>
      <c r="AO1514"/>
      <c r="AP1514"/>
      <c r="AQ1514"/>
      <c r="AR1514"/>
      <c r="AS1514"/>
      <c r="AT1514"/>
      <c r="AU1514"/>
      <c r="AV1514"/>
      <c r="AW1514"/>
      <c r="AX1514"/>
      <c r="AY1514"/>
      <c r="AZ1514"/>
      <c r="BA1514"/>
      <c r="BB1514"/>
      <c r="BC1514"/>
      <c r="BD1514"/>
      <c r="BE1514"/>
      <c r="BF1514"/>
      <c r="BG1514"/>
      <c r="BH1514"/>
      <c r="BI1514"/>
      <c r="BJ1514"/>
      <c r="BK1514"/>
      <c r="BL1514"/>
      <c r="BM1514"/>
      <c r="BN1514"/>
      <c r="BO1514"/>
      <c r="BP1514"/>
      <c r="BQ1514"/>
      <c r="BR1514"/>
      <c r="BS1514"/>
      <c r="BT1514"/>
      <c r="BU1514"/>
      <c r="BV1514"/>
      <c r="BW1514"/>
      <c r="BX1514"/>
      <c r="BY1514"/>
      <c r="BZ1514"/>
      <c r="CA1514"/>
      <c r="CB1514"/>
      <c r="CC1514"/>
      <c r="CD1514"/>
      <c r="CE1514"/>
      <c r="CF1514"/>
      <c r="CG1514"/>
      <c r="CH1514"/>
      <c r="CI1514"/>
      <c r="CJ1514"/>
      <c r="CK1514"/>
      <c r="CL1514"/>
      <c r="CM1514"/>
      <c r="CN1514"/>
      <c r="CO1514"/>
      <c r="CP1514"/>
      <c r="CQ1514"/>
      <c r="CR1514"/>
      <c r="CS1514"/>
      <c r="CT1514"/>
      <c r="CU1514"/>
      <c r="CV1514"/>
      <c r="CW1514"/>
      <c r="CX1514"/>
      <c r="CY1514"/>
      <c r="CZ1514"/>
      <c r="DA1514"/>
      <c r="DB1514"/>
      <c r="DC1514"/>
      <c r="DD1514"/>
      <c r="DE1514"/>
      <c r="DF1514"/>
      <c r="DG1514"/>
      <c r="DH1514"/>
      <c r="DI1514"/>
      <c r="DJ1514"/>
      <c r="DK1514"/>
      <c r="DL1514"/>
      <c r="DM1514"/>
      <c r="DN1514"/>
      <c r="DO1514"/>
      <c r="DP1514"/>
      <c r="DQ1514"/>
      <c r="DR1514"/>
      <c r="DS1514"/>
      <c r="DT1514"/>
      <c r="DU1514"/>
      <c r="DV1514"/>
      <c r="DW1514"/>
      <c r="DX1514"/>
      <c r="DY1514"/>
      <c r="DZ1514"/>
      <c r="EA1514"/>
      <c r="EB1514"/>
      <c r="EC1514"/>
      <c r="ED1514"/>
      <c r="EE1514"/>
      <c r="EF1514"/>
      <c r="EG1514"/>
      <c r="EH1514"/>
      <c r="EI1514"/>
      <c r="EJ1514"/>
      <c r="EK1514"/>
      <c r="EL1514"/>
      <c r="EM1514"/>
      <c r="EN1514"/>
      <c r="EO1514"/>
      <c r="EP1514"/>
      <c r="EQ1514"/>
      <c r="ER1514"/>
      <c r="ES1514"/>
    </row>
    <row r="1515" spans="1:149">
      <c r="A1515"/>
      <c r="B1515"/>
      <c r="C1515"/>
      <c r="D1515"/>
      <c r="E1515"/>
      <c r="F1515"/>
      <c r="G1515"/>
      <c r="H1515"/>
      <c r="I1515"/>
      <c r="J1515"/>
      <c r="K1515"/>
      <c r="L1515"/>
      <c r="M1515"/>
      <c r="N1515"/>
      <c r="O1515"/>
      <c r="P1515"/>
      <c r="Q1515"/>
      <c r="R1515"/>
      <c r="S1515"/>
      <c r="T1515"/>
      <c r="U1515"/>
      <c r="V1515"/>
      <c r="W1515"/>
      <c r="X1515"/>
      <c r="Y1515"/>
      <c r="Z1515"/>
      <c r="AA1515"/>
      <c r="AB1515"/>
      <c r="AC1515"/>
      <c r="AD1515"/>
      <c r="AE1515"/>
      <c r="AF1515"/>
      <c r="AG1515"/>
      <c r="AH1515"/>
      <c r="AI1515"/>
      <c r="AJ1515"/>
      <c r="AK1515"/>
      <c r="AL1515"/>
      <c r="AM1515"/>
      <c r="AN1515"/>
      <c r="AO1515"/>
      <c r="AP1515"/>
      <c r="AQ1515"/>
      <c r="AR1515"/>
      <c r="AS1515"/>
      <c r="AT1515"/>
      <c r="AU1515"/>
      <c r="AV1515"/>
      <c r="AW1515"/>
      <c r="AX1515"/>
      <c r="AY1515"/>
      <c r="AZ1515"/>
      <c r="BA1515"/>
      <c r="BB1515"/>
      <c r="BC1515"/>
      <c r="BD1515"/>
      <c r="BE1515"/>
      <c r="BF1515"/>
      <c r="BG1515"/>
      <c r="BH1515"/>
      <c r="BI1515"/>
      <c r="BJ1515"/>
      <c r="BK1515"/>
      <c r="BL1515"/>
      <c r="BM1515"/>
      <c r="BN1515"/>
      <c r="BO1515"/>
      <c r="BP1515"/>
      <c r="BQ1515"/>
      <c r="BR1515"/>
      <c r="BS1515"/>
      <c r="BT1515"/>
      <c r="BU1515"/>
      <c r="BV1515"/>
      <c r="BW1515"/>
      <c r="BX1515"/>
      <c r="BY1515"/>
      <c r="BZ1515"/>
      <c r="CA1515"/>
      <c r="CB1515"/>
      <c r="CC1515"/>
      <c r="CD1515"/>
      <c r="CE1515"/>
      <c r="CF1515"/>
      <c r="CG1515"/>
      <c r="CH1515"/>
      <c r="CI1515"/>
      <c r="CJ1515"/>
      <c r="CK1515"/>
      <c r="CL1515"/>
      <c r="CM1515"/>
      <c r="CN1515"/>
      <c r="CO1515"/>
      <c r="CP1515"/>
      <c r="CQ1515"/>
      <c r="CR1515"/>
      <c r="CS1515"/>
      <c r="CT1515"/>
      <c r="CU1515"/>
      <c r="CV1515"/>
      <c r="CW1515"/>
      <c r="CX1515"/>
      <c r="CY1515"/>
      <c r="CZ1515"/>
      <c r="DA1515"/>
      <c r="DB1515"/>
      <c r="DC1515"/>
      <c r="DD1515"/>
      <c r="DE1515"/>
      <c r="DF1515"/>
      <c r="DG1515"/>
      <c r="DH1515"/>
      <c r="DI1515"/>
      <c r="DJ1515"/>
      <c r="DK1515"/>
      <c r="DL1515"/>
      <c r="DM1515"/>
      <c r="DN1515"/>
      <c r="DO1515"/>
      <c r="DP1515"/>
      <c r="DQ1515"/>
      <c r="DR1515"/>
      <c r="DS1515"/>
      <c r="DT1515"/>
      <c r="DU1515"/>
      <c r="DV1515"/>
      <c r="DW1515"/>
      <c r="DX1515"/>
      <c r="DY1515"/>
      <c r="DZ1515"/>
      <c r="EA1515"/>
      <c r="EB1515"/>
      <c r="EC1515"/>
      <c r="ED1515"/>
      <c r="EE1515"/>
      <c r="EF1515"/>
      <c r="EG1515"/>
      <c r="EH1515"/>
      <c r="EI1515"/>
      <c r="EJ1515"/>
      <c r="EK1515"/>
      <c r="EL1515"/>
      <c r="EM1515"/>
      <c r="EN1515"/>
      <c r="EO1515"/>
      <c r="EP1515"/>
      <c r="EQ1515"/>
      <c r="ER1515"/>
      <c r="ES1515"/>
    </row>
    <row r="1516" spans="1:149">
      <c r="A1516"/>
      <c r="B1516"/>
      <c r="C1516"/>
      <c r="D1516"/>
      <c r="E1516"/>
      <c r="F1516"/>
      <c r="G1516"/>
      <c r="H1516"/>
      <c r="I1516"/>
      <c r="J1516"/>
      <c r="K1516"/>
      <c r="L1516"/>
      <c r="M1516"/>
      <c r="N1516"/>
      <c r="O1516"/>
      <c r="P1516"/>
      <c r="Q1516"/>
      <c r="R1516"/>
      <c r="S1516"/>
      <c r="T1516"/>
      <c r="U1516"/>
      <c r="V1516"/>
      <c r="W1516"/>
      <c r="X1516"/>
      <c r="Y1516"/>
      <c r="Z1516"/>
      <c r="AA1516"/>
      <c r="AB1516"/>
      <c r="AC1516"/>
      <c r="AD1516"/>
      <c r="AE1516"/>
      <c r="AF1516"/>
      <c r="AG1516"/>
      <c r="AH1516"/>
      <c r="AI1516"/>
      <c r="AJ1516"/>
      <c r="AK1516"/>
      <c r="AL1516"/>
      <c r="AM1516"/>
      <c r="AN1516"/>
      <c r="AO1516"/>
      <c r="AP1516"/>
      <c r="AQ1516"/>
      <c r="AR1516"/>
      <c r="AS1516"/>
      <c r="AT1516"/>
      <c r="AU1516"/>
      <c r="AV1516"/>
      <c r="AW1516"/>
      <c r="AX1516"/>
      <c r="AY1516"/>
      <c r="AZ1516"/>
      <c r="BA1516"/>
      <c r="BB1516"/>
      <c r="BC1516"/>
      <c r="BD1516"/>
      <c r="BE1516"/>
      <c r="BF1516"/>
      <c r="BG1516"/>
      <c r="BH1516"/>
      <c r="BI1516"/>
      <c r="BJ1516"/>
      <c r="BK1516"/>
      <c r="BL1516"/>
      <c r="BM1516"/>
      <c r="BN1516"/>
      <c r="BO1516"/>
      <c r="BP1516"/>
      <c r="BQ1516"/>
      <c r="BR1516"/>
      <c r="BS1516"/>
      <c r="BT1516"/>
      <c r="BU1516"/>
      <c r="BV1516"/>
      <c r="BW1516"/>
      <c r="BX1516"/>
      <c r="BY1516"/>
      <c r="BZ1516"/>
      <c r="CA1516"/>
      <c r="CB1516"/>
      <c r="CC1516"/>
      <c r="CD1516"/>
      <c r="CE1516"/>
      <c r="CF1516"/>
      <c r="CG1516"/>
      <c r="CH1516"/>
      <c r="CI1516"/>
      <c r="CJ1516"/>
      <c r="CK1516"/>
      <c r="CL1516"/>
      <c r="CM1516"/>
      <c r="CN1516"/>
      <c r="CO1516"/>
      <c r="CP1516"/>
      <c r="CQ1516"/>
      <c r="CR1516"/>
      <c r="CS1516"/>
      <c r="CT1516"/>
      <c r="CU1516"/>
      <c r="CV1516"/>
      <c r="CW1516"/>
      <c r="CX1516"/>
      <c r="CY1516"/>
      <c r="CZ1516"/>
      <c r="DA1516"/>
      <c r="DB1516"/>
      <c r="DC1516"/>
      <c r="DD1516"/>
      <c r="DE1516"/>
      <c r="DF1516"/>
      <c r="DG1516"/>
      <c r="DH1516"/>
      <c r="DI1516"/>
      <c r="DJ1516"/>
      <c r="DK1516"/>
      <c r="DL1516"/>
      <c r="DM1516"/>
      <c r="DN1516"/>
      <c r="DO1516"/>
      <c r="DP1516"/>
      <c r="DQ1516"/>
      <c r="DR1516"/>
      <c r="DS1516"/>
      <c r="DT1516"/>
      <c r="DU1516"/>
      <c r="DV1516"/>
      <c r="DW1516"/>
      <c r="DX1516"/>
      <c r="DY1516"/>
      <c r="DZ1516"/>
      <c r="EA1516"/>
      <c r="EB1516"/>
      <c r="EC1516"/>
      <c r="ED1516"/>
      <c r="EE1516"/>
      <c r="EF1516"/>
      <c r="EG1516"/>
      <c r="EH1516"/>
      <c r="EI1516"/>
      <c r="EJ1516"/>
      <c r="EK1516"/>
      <c r="EL1516"/>
      <c r="EM1516"/>
      <c r="EN1516"/>
      <c r="EO1516"/>
      <c r="EP1516"/>
      <c r="EQ1516"/>
      <c r="ER1516"/>
      <c r="ES1516"/>
    </row>
    <row r="1517" spans="1:149">
      <c r="A1517"/>
      <c r="B1517"/>
      <c r="C1517"/>
      <c r="D1517"/>
      <c r="E1517"/>
      <c r="F1517"/>
      <c r="G1517"/>
      <c r="H1517"/>
      <c r="I1517"/>
      <c r="J1517"/>
      <c r="K1517"/>
      <c r="L1517"/>
      <c r="M1517"/>
      <c r="N1517"/>
      <c r="O1517"/>
      <c r="P1517"/>
      <c r="Q1517"/>
      <c r="R1517"/>
      <c r="S1517"/>
      <c r="T1517"/>
      <c r="U1517"/>
      <c r="V1517"/>
      <c r="W1517"/>
      <c r="X1517"/>
      <c r="Y1517"/>
      <c r="Z1517"/>
      <c r="AA1517"/>
      <c r="AB1517"/>
      <c r="AC1517"/>
      <c r="AD1517"/>
      <c r="AE1517"/>
      <c r="AF1517"/>
      <c r="AG1517"/>
      <c r="AH1517"/>
      <c r="AI1517"/>
      <c r="AJ1517"/>
      <c r="AK1517"/>
      <c r="AL1517"/>
      <c r="AM1517"/>
      <c r="AN1517"/>
      <c r="AO1517"/>
      <c r="AP1517"/>
      <c r="AQ1517"/>
      <c r="AR1517"/>
      <c r="AS1517"/>
      <c r="AT1517"/>
      <c r="AU1517"/>
      <c r="AV1517"/>
      <c r="AW1517"/>
      <c r="AX1517"/>
      <c r="AY1517"/>
      <c r="AZ1517"/>
      <c r="BA1517"/>
      <c r="BB1517"/>
      <c r="BC1517"/>
      <c r="BD1517"/>
      <c r="BE1517"/>
      <c r="BF1517"/>
      <c r="BG1517"/>
      <c r="BH1517"/>
      <c r="BI1517"/>
      <c r="BJ1517"/>
      <c r="BK1517"/>
      <c r="BL1517"/>
      <c r="BM1517"/>
      <c r="BN1517"/>
      <c r="BO1517"/>
      <c r="BP1517"/>
      <c r="BQ1517"/>
      <c r="BR1517"/>
      <c r="BS1517"/>
      <c r="BT1517"/>
      <c r="BU1517"/>
      <c r="BV1517"/>
      <c r="BW1517"/>
      <c r="BX1517"/>
      <c r="BY1517"/>
      <c r="BZ1517"/>
      <c r="CA1517"/>
      <c r="CB1517"/>
      <c r="CC1517"/>
      <c r="CD1517"/>
      <c r="CE1517"/>
      <c r="CF1517"/>
      <c r="CG1517"/>
      <c r="CH1517"/>
      <c r="CI1517"/>
      <c r="CJ1517"/>
      <c r="CK1517"/>
      <c r="CL1517"/>
      <c r="CM1517"/>
      <c r="CN1517"/>
      <c r="CO1517"/>
      <c r="CP1517"/>
      <c r="CQ1517"/>
      <c r="CR1517"/>
      <c r="CS1517"/>
      <c r="CT1517"/>
      <c r="CU1517"/>
      <c r="CV1517"/>
      <c r="CW1517"/>
      <c r="CX1517"/>
      <c r="CY1517"/>
      <c r="CZ1517"/>
      <c r="DA1517"/>
      <c r="DB1517"/>
      <c r="DC1517"/>
      <c r="DD1517"/>
      <c r="DE1517"/>
      <c r="DF1517"/>
      <c r="DG1517"/>
      <c r="DH1517"/>
      <c r="DI1517"/>
      <c r="DJ1517"/>
      <c r="DK1517"/>
      <c r="DL1517"/>
      <c r="DM1517"/>
      <c r="DN1517"/>
      <c r="DO1517"/>
      <c r="DP1517"/>
      <c r="DQ1517"/>
      <c r="DR1517"/>
      <c r="DS1517"/>
      <c r="DT1517"/>
      <c r="DU1517"/>
      <c r="DV1517"/>
      <c r="DW1517"/>
      <c r="DX1517"/>
      <c r="DY1517"/>
      <c r="DZ1517"/>
      <c r="EA1517"/>
      <c r="EB1517"/>
      <c r="EC1517"/>
      <c r="ED1517"/>
      <c r="EE1517"/>
      <c r="EF1517"/>
      <c r="EG1517"/>
      <c r="EH1517"/>
      <c r="EI1517"/>
      <c r="EJ1517"/>
      <c r="EK1517"/>
      <c r="EL1517"/>
      <c r="EM1517"/>
      <c r="EN1517"/>
      <c r="EO1517"/>
      <c r="EP1517"/>
      <c r="EQ1517"/>
      <c r="ER1517"/>
      <c r="ES1517"/>
    </row>
    <row r="1518" spans="1:149">
      <c r="A1518"/>
      <c r="B1518"/>
      <c r="C1518"/>
      <c r="D1518"/>
      <c r="E1518"/>
      <c r="F1518"/>
      <c r="G1518"/>
      <c r="H1518"/>
      <c r="I1518"/>
      <c r="J1518"/>
      <c r="K1518"/>
      <c r="L1518"/>
      <c r="M1518"/>
      <c r="N1518"/>
      <c r="O1518"/>
      <c r="P1518"/>
      <c r="Q1518"/>
      <c r="R1518"/>
      <c r="S1518"/>
      <c r="T1518"/>
      <c r="U1518"/>
      <c r="V1518"/>
      <c r="W1518"/>
      <c r="X1518"/>
      <c r="Y1518"/>
      <c r="Z1518"/>
      <c r="AA1518"/>
      <c r="AB1518"/>
      <c r="AC1518"/>
      <c r="AD1518"/>
      <c r="AE1518"/>
      <c r="AF1518"/>
      <c r="AG1518"/>
      <c r="AH1518"/>
      <c r="AI1518"/>
      <c r="AJ1518"/>
      <c r="AK1518"/>
      <c r="AL1518"/>
      <c r="AM1518"/>
      <c r="AN1518"/>
      <c r="AO1518"/>
      <c r="AP1518"/>
      <c r="AQ1518"/>
      <c r="AR1518"/>
      <c r="AS1518"/>
      <c r="AT1518"/>
      <c r="AU1518"/>
      <c r="AV1518"/>
      <c r="AW1518"/>
      <c r="AX1518"/>
      <c r="AY1518"/>
      <c r="AZ1518"/>
      <c r="BA1518"/>
      <c r="BB1518"/>
      <c r="BC1518"/>
      <c r="BD1518"/>
      <c r="BE1518"/>
      <c r="BF1518"/>
      <c r="BG1518"/>
      <c r="BH1518"/>
      <c r="BI1518"/>
      <c r="BJ1518"/>
      <c r="BK1518"/>
      <c r="BL1518"/>
      <c r="BM1518"/>
      <c r="BN1518"/>
      <c r="BO1518"/>
      <c r="BP1518"/>
      <c r="BQ1518"/>
      <c r="BR1518"/>
      <c r="BS1518"/>
      <c r="BT1518"/>
      <c r="BU1518"/>
      <c r="BV1518"/>
      <c r="BW1518"/>
      <c r="BX1518"/>
      <c r="BY1518"/>
      <c r="BZ1518"/>
      <c r="CA1518"/>
      <c r="CB1518"/>
      <c r="CC1518"/>
      <c r="CD1518"/>
      <c r="CE1518"/>
      <c r="CF1518"/>
      <c r="CG1518"/>
      <c r="CH1518"/>
      <c r="CI1518"/>
      <c r="CJ1518"/>
      <c r="CK1518"/>
      <c r="CL1518"/>
      <c r="CM1518"/>
      <c r="CN1518"/>
      <c r="CO1518"/>
      <c r="CP1518"/>
      <c r="CQ1518"/>
      <c r="CR1518"/>
      <c r="CS1518"/>
      <c r="CT1518"/>
      <c r="CU1518"/>
      <c r="CV1518"/>
      <c r="CW1518"/>
      <c r="CX1518"/>
      <c r="CY1518"/>
      <c r="CZ1518"/>
      <c r="DA1518"/>
      <c r="DB1518"/>
      <c r="DC1518"/>
      <c r="DD1518"/>
      <c r="DE1518"/>
      <c r="DF1518"/>
      <c r="DG1518"/>
      <c r="DH1518"/>
      <c r="DI1518"/>
      <c r="DJ1518"/>
      <c r="DK1518"/>
      <c r="DL1518"/>
      <c r="DM1518"/>
      <c r="DN1518"/>
      <c r="DO1518"/>
      <c r="DP1518"/>
      <c r="DQ1518"/>
      <c r="DR1518"/>
      <c r="DS1518"/>
      <c r="DT1518"/>
      <c r="DU1518"/>
      <c r="DV1518"/>
      <c r="DW1518"/>
      <c r="DX1518"/>
      <c r="DY1518"/>
      <c r="DZ1518"/>
      <c r="EA1518"/>
      <c r="EB1518"/>
      <c r="EC1518"/>
      <c r="ED1518"/>
      <c r="EE1518"/>
      <c r="EF1518"/>
      <c r="EG1518"/>
      <c r="EH1518"/>
      <c r="EI1518"/>
      <c r="EJ1518"/>
      <c r="EK1518"/>
      <c r="EL1518"/>
      <c r="EM1518"/>
      <c r="EN1518"/>
      <c r="EO1518"/>
      <c r="EP1518"/>
      <c r="EQ1518"/>
      <c r="ER1518"/>
      <c r="ES1518"/>
    </row>
    <row r="1519" spans="1:149">
      <c r="A1519"/>
      <c r="B1519"/>
      <c r="C1519"/>
      <c r="D1519"/>
      <c r="E1519"/>
      <c r="F1519"/>
      <c r="G1519"/>
      <c r="H1519"/>
      <c r="I1519"/>
      <c r="J1519"/>
      <c r="K1519"/>
      <c r="L1519"/>
      <c r="M1519"/>
      <c r="N1519"/>
      <c r="O1519"/>
      <c r="P1519"/>
      <c r="Q1519"/>
      <c r="R1519"/>
      <c r="S1519"/>
      <c r="T1519"/>
      <c r="U1519"/>
      <c r="V1519"/>
      <c r="W1519"/>
      <c r="X1519"/>
      <c r="Y1519"/>
      <c r="Z1519"/>
      <c r="AA1519"/>
      <c r="AB1519"/>
      <c r="AC1519"/>
      <c r="AD1519"/>
      <c r="AE1519"/>
      <c r="AF1519"/>
      <c r="AG1519"/>
      <c r="AH1519"/>
      <c r="AI1519"/>
      <c r="AJ1519"/>
      <c r="AK1519"/>
      <c r="AL1519"/>
      <c r="AM1519"/>
      <c r="AN1519"/>
      <c r="AO1519"/>
      <c r="AP1519"/>
      <c r="AQ1519"/>
      <c r="AR1519"/>
      <c r="AS1519"/>
      <c r="AT1519"/>
      <c r="AU1519"/>
      <c r="AV1519"/>
      <c r="AW1519"/>
      <c r="AX1519"/>
      <c r="AY1519"/>
      <c r="AZ1519"/>
      <c r="BA1519"/>
      <c r="BB1519"/>
      <c r="BC1519"/>
      <c r="BD1519"/>
      <c r="BE1519"/>
      <c r="BF1519"/>
      <c r="BG1519"/>
      <c r="BH1519"/>
      <c r="BI1519"/>
      <c r="BJ1519"/>
      <c r="BK1519"/>
      <c r="BL1519"/>
      <c r="BM1519"/>
      <c r="BN1519"/>
      <c r="BO1519"/>
      <c r="BP1519"/>
      <c r="BQ1519"/>
      <c r="BR1519"/>
      <c r="BS1519"/>
      <c r="BT1519"/>
      <c r="BU1519"/>
      <c r="BV1519"/>
      <c r="BW1519"/>
      <c r="BX1519"/>
      <c r="BY1519"/>
      <c r="BZ1519"/>
      <c r="CA1519"/>
      <c r="CB1519"/>
      <c r="CC1519"/>
      <c r="CD1519"/>
      <c r="CE1519"/>
      <c r="CF1519"/>
      <c r="CG1519"/>
      <c r="CH1519"/>
      <c r="CI1519"/>
      <c r="CJ1519"/>
      <c r="CK1519"/>
      <c r="CL1519"/>
      <c r="CM1519"/>
      <c r="CN1519"/>
      <c r="CO1519"/>
      <c r="CP1519"/>
      <c r="CQ1519"/>
      <c r="CR1519"/>
      <c r="CS1519"/>
      <c r="CT1519"/>
      <c r="CU1519"/>
      <c r="CV1519"/>
      <c r="CW1519"/>
      <c r="CX1519"/>
      <c r="CY1519"/>
      <c r="CZ1519"/>
      <c r="DA1519"/>
      <c r="DB1519"/>
      <c r="DC1519"/>
      <c r="DD1519"/>
      <c r="DE1519"/>
      <c r="DF1519"/>
      <c r="DG1519"/>
      <c r="DH1519"/>
      <c r="DI1519"/>
      <c r="DJ1519"/>
      <c r="DK1519"/>
      <c r="DL1519"/>
      <c r="DM1519"/>
      <c r="DN1519"/>
      <c r="DO1519"/>
      <c r="DP1519"/>
      <c r="DQ1519"/>
      <c r="DR1519"/>
      <c r="DS1519"/>
      <c r="DT1519"/>
      <c r="DU1519"/>
      <c r="DV1519"/>
      <c r="DW1519"/>
      <c r="DX1519"/>
      <c r="DY1519"/>
      <c r="DZ1519"/>
      <c r="EA1519"/>
      <c r="EB1519"/>
      <c r="EC1519"/>
      <c r="ED1519"/>
      <c r="EE1519"/>
      <c r="EF1519"/>
      <c r="EG1519"/>
      <c r="EH1519"/>
      <c r="EI1519"/>
      <c r="EJ1519"/>
      <c r="EK1519"/>
      <c r="EL1519"/>
      <c r="EM1519"/>
      <c r="EN1519"/>
      <c r="EO1519"/>
      <c r="EP1519"/>
      <c r="EQ1519"/>
      <c r="ER1519"/>
      <c r="ES1519"/>
    </row>
    <row r="1520" spans="1:149">
      <c r="A1520"/>
      <c r="B1520"/>
      <c r="C1520"/>
      <c r="D1520"/>
      <c r="E1520"/>
      <c r="F1520"/>
      <c r="G1520"/>
      <c r="H1520"/>
      <c r="I1520"/>
      <c r="J1520"/>
      <c r="K1520"/>
      <c r="L1520"/>
      <c r="M1520"/>
      <c r="N1520"/>
      <c r="O1520"/>
      <c r="P1520"/>
      <c r="Q1520"/>
      <c r="R1520"/>
      <c r="S1520"/>
      <c r="T1520"/>
      <c r="U1520"/>
      <c r="V1520"/>
      <c r="W1520"/>
      <c r="X1520"/>
      <c r="Y1520"/>
      <c r="Z1520"/>
      <c r="AA1520"/>
      <c r="AB1520"/>
      <c r="AC1520"/>
      <c r="AD1520"/>
      <c r="AE1520"/>
      <c r="AF1520"/>
      <c r="AG1520"/>
      <c r="AH1520"/>
      <c r="AI1520"/>
      <c r="AJ1520"/>
      <c r="AK1520"/>
      <c r="AL1520"/>
      <c r="AM1520"/>
      <c r="AN1520"/>
      <c r="AO1520"/>
      <c r="AP1520"/>
      <c r="AQ1520"/>
      <c r="AR1520"/>
      <c r="AS1520"/>
      <c r="AT1520"/>
      <c r="AU1520"/>
      <c r="AV1520"/>
      <c r="AW1520"/>
      <c r="AX1520"/>
      <c r="AY1520"/>
      <c r="AZ1520"/>
      <c r="BA1520"/>
      <c r="BB1520"/>
      <c r="BC1520"/>
      <c r="BD1520"/>
      <c r="BE1520"/>
      <c r="BF1520"/>
      <c r="BG1520"/>
      <c r="BH1520"/>
      <c r="BI1520"/>
      <c r="BJ1520"/>
      <c r="BK1520"/>
      <c r="BL1520"/>
      <c r="BM1520"/>
      <c r="BN1520"/>
      <c r="BO1520"/>
      <c r="BP1520"/>
      <c r="BQ1520"/>
      <c r="BR1520"/>
      <c r="BS1520"/>
      <c r="BT1520"/>
      <c r="BU1520"/>
      <c r="BV1520"/>
      <c r="BW1520"/>
      <c r="BX1520"/>
      <c r="BY1520"/>
      <c r="BZ1520"/>
      <c r="CA1520"/>
      <c r="CB1520"/>
      <c r="CC1520"/>
      <c r="CD1520"/>
      <c r="CE1520"/>
      <c r="CF1520"/>
      <c r="CG1520"/>
      <c r="CH1520"/>
      <c r="CI1520"/>
      <c r="CJ1520"/>
      <c r="CK1520"/>
      <c r="CL1520"/>
      <c r="CM1520"/>
      <c r="CN1520"/>
      <c r="CO1520"/>
      <c r="CP1520"/>
      <c r="CQ1520"/>
      <c r="CR1520"/>
      <c r="CS1520"/>
      <c r="CT1520"/>
      <c r="CU1520"/>
      <c r="CV1520"/>
      <c r="CW1520"/>
      <c r="CX1520"/>
      <c r="CY1520"/>
      <c r="CZ1520"/>
      <c r="DA1520"/>
      <c r="DB1520"/>
      <c r="DC1520"/>
      <c r="DD1520"/>
      <c r="DE1520"/>
      <c r="DF1520"/>
      <c r="DG1520"/>
      <c r="DH1520"/>
      <c r="DI1520"/>
      <c r="DJ1520"/>
      <c r="DK1520"/>
      <c r="DL1520"/>
      <c r="DM1520"/>
      <c r="DN1520"/>
      <c r="DO1520"/>
      <c r="DP1520"/>
      <c r="DQ1520"/>
      <c r="DR1520"/>
      <c r="DS1520"/>
      <c r="DT1520"/>
      <c r="DU1520"/>
      <c r="DV1520"/>
      <c r="DW1520"/>
      <c r="DX1520"/>
      <c r="DY1520"/>
      <c r="DZ1520"/>
      <c r="EA1520"/>
      <c r="EB1520"/>
      <c r="EC1520"/>
      <c r="ED1520"/>
      <c r="EE1520"/>
      <c r="EF1520"/>
      <c r="EG1520"/>
      <c r="EH1520"/>
      <c r="EI1520"/>
      <c r="EJ1520"/>
      <c r="EK1520"/>
      <c r="EL1520"/>
      <c r="EM1520"/>
      <c r="EN1520"/>
      <c r="EO1520"/>
      <c r="EP1520"/>
      <c r="EQ1520"/>
      <c r="ER1520"/>
      <c r="ES1520"/>
    </row>
    <row r="1521" spans="1:149">
      <c r="A1521"/>
      <c r="B1521"/>
      <c r="C1521"/>
      <c r="D1521"/>
      <c r="E1521"/>
      <c r="F1521"/>
      <c r="G1521"/>
      <c r="H1521"/>
      <c r="I1521"/>
      <c r="J1521"/>
      <c r="K1521"/>
      <c r="L1521"/>
      <c r="M1521"/>
      <c r="N1521"/>
      <c r="O1521"/>
      <c r="P1521"/>
      <c r="Q1521"/>
      <c r="R1521"/>
      <c r="S1521"/>
      <c r="T1521"/>
      <c r="U1521"/>
      <c r="V1521"/>
      <c r="W1521"/>
      <c r="X1521"/>
      <c r="Y1521"/>
      <c r="Z1521"/>
      <c r="AA1521"/>
      <c r="AB1521"/>
      <c r="AC1521"/>
      <c r="AD1521"/>
      <c r="AE1521"/>
      <c r="AF1521"/>
      <c r="AG1521"/>
      <c r="AH1521"/>
      <c r="AI1521"/>
      <c r="AJ1521"/>
      <c r="AK1521"/>
      <c r="AL1521"/>
      <c r="AM1521"/>
      <c r="AN1521"/>
      <c r="AO1521"/>
      <c r="AP1521"/>
      <c r="AQ1521"/>
      <c r="AR1521"/>
      <c r="AS1521"/>
      <c r="AT1521"/>
      <c r="AU1521"/>
      <c r="AV1521"/>
      <c r="AW1521"/>
      <c r="AX1521"/>
      <c r="AY1521"/>
      <c r="AZ1521"/>
      <c r="BA1521"/>
      <c r="BB1521"/>
      <c r="BC1521"/>
      <c r="BD1521"/>
      <c r="BE1521"/>
      <c r="BF1521"/>
      <c r="BG1521"/>
      <c r="BH1521"/>
      <c r="BI1521"/>
      <c r="BJ1521"/>
      <c r="BK1521"/>
      <c r="BL1521"/>
      <c r="BM1521"/>
      <c r="BN1521"/>
      <c r="BO1521"/>
      <c r="BP1521"/>
      <c r="BQ1521"/>
      <c r="BR1521"/>
      <c r="BS1521"/>
      <c r="BT1521"/>
      <c r="BU1521"/>
      <c r="BV1521"/>
      <c r="BW1521"/>
      <c r="BX1521"/>
      <c r="BY1521"/>
      <c r="BZ1521"/>
      <c r="CA1521"/>
      <c r="CB1521"/>
      <c r="CC1521"/>
      <c r="CD1521"/>
      <c r="CE1521"/>
      <c r="CF1521"/>
      <c r="CG1521"/>
      <c r="CH1521"/>
      <c r="CI1521"/>
      <c r="CJ1521"/>
      <c r="CK1521"/>
      <c r="CL1521"/>
      <c r="CM1521"/>
      <c r="CN1521"/>
      <c r="CO1521"/>
      <c r="CP1521"/>
      <c r="CQ1521"/>
      <c r="CR1521"/>
      <c r="CS1521"/>
      <c r="CT1521"/>
      <c r="CU1521"/>
      <c r="CV1521"/>
      <c r="CW1521"/>
      <c r="CX1521"/>
      <c r="CY1521"/>
      <c r="CZ1521"/>
      <c r="DA1521"/>
      <c r="DB1521"/>
      <c r="DC1521"/>
      <c r="DD1521"/>
      <c r="DE1521"/>
      <c r="DF1521"/>
      <c r="DG1521"/>
      <c r="DH1521"/>
      <c r="DI1521"/>
      <c r="DJ1521"/>
      <c r="DK1521"/>
      <c r="DL1521"/>
      <c r="DM1521"/>
      <c r="DN1521"/>
      <c r="DO1521"/>
      <c r="DP1521"/>
      <c r="DQ1521"/>
      <c r="DR1521"/>
      <c r="DS1521"/>
      <c r="DT1521"/>
      <c r="DU1521"/>
      <c r="DV1521"/>
      <c r="DW1521"/>
      <c r="DX1521"/>
      <c r="DY1521"/>
      <c r="DZ1521"/>
      <c r="EA1521"/>
      <c r="EB1521"/>
      <c r="EC1521"/>
      <c r="ED1521"/>
      <c r="EE1521"/>
      <c r="EF1521"/>
      <c r="EG1521"/>
      <c r="EH1521"/>
      <c r="EI1521"/>
      <c r="EJ1521"/>
      <c r="EK1521"/>
      <c r="EL1521"/>
      <c r="EM1521"/>
      <c r="EN1521"/>
      <c r="EO1521"/>
      <c r="EP1521"/>
      <c r="EQ1521"/>
      <c r="ER1521"/>
      <c r="ES1521"/>
    </row>
    <row r="1522" spans="1:149">
      <c r="A1522"/>
      <c r="B1522"/>
      <c r="C1522"/>
      <c r="D1522"/>
      <c r="E1522"/>
      <c r="F1522"/>
      <c r="G1522"/>
      <c r="H1522"/>
      <c r="I1522"/>
      <c r="J1522"/>
      <c r="K1522"/>
      <c r="L1522"/>
      <c r="M1522"/>
      <c r="N1522"/>
      <c r="O1522"/>
      <c r="P1522"/>
      <c r="Q1522"/>
      <c r="R1522"/>
      <c r="S1522"/>
      <c r="T1522"/>
      <c r="U1522"/>
      <c r="V1522"/>
      <c r="W1522"/>
      <c r="X1522"/>
      <c r="Y1522"/>
      <c r="Z1522"/>
      <c r="AA1522"/>
      <c r="AB1522"/>
      <c r="AC1522"/>
      <c r="AD1522"/>
      <c r="AE1522"/>
      <c r="AF1522"/>
      <c r="AG1522"/>
      <c r="AH1522"/>
      <c r="AI1522"/>
      <c r="AJ1522"/>
      <c r="AK1522"/>
      <c r="AL1522"/>
      <c r="AM1522"/>
      <c r="AN1522"/>
      <c r="AO1522"/>
      <c r="AP1522"/>
      <c r="AQ1522"/>
      <c r="AR1522"/>
      <c r="AS1522"/>
      <c r="AT1522"/>
      <c r="AU1522"/>
      <c r="AV1522"/>
      <c r="AW1522"/>
      <c r="AX1522"/>
      <c r="AY1522"/>
      <c r="AZ1522"/>
      <c r="BA1522"/>
      <c r="BB1522"/>
      <c r="BC1522"/>
      <c r="BD1522"/>
      <c r="BE1522"/>
      <c r="BF1522"/>
      <c r="BG1522"/>
      <c r="BH1522"/>
      <c r="BI1522"/>
      <c r="BJ1522"/>
      <c r="BK1522"/>
      <c r="BL1522"/>
      <c r="BM1522"/>
      <c r="BN1522"/>
      <c r="BO1522"/>
      <c r="BP1522"/>
      <c r="BQ1522"/>
      <c r="BR1522"/>
      <c r="BS1522"/>
      <c r="BT1522"/>
      <c r="BU1522"/>
      <c r="BV1522"/>
      <c r="BW1522"/>
      <c r="BX1522"/>
      <c r="BY1522"/>
      <c r="BZ1522"/>
      <c r="CA1522"/>
      <c r="CB1522"/>
      <c r="CC1522"/>
      <c r="CD1522"/>
      <c r="CE1522"/>
      <c r="CF1522"/>
      <c r="CG1522"/>
      <c r="CH1522"/>
      <c r="CI1522"/>
      <c r="CJ1522"/>
      <c r="CK1522"/>
      <c r="CL1522"/>
      <c r="CM1522"/>
      <c r="CN1522"/>
      <c r="CO1522"/>
      <c r="CP1522"/>
      <c r="CQ1522"/>
      <c r="CR1522"/>
      <c r="CS1522"/>
      <c r="CT1522"/>
      <c r="CU1522"/>
      <c r="CV1522"/>
      <c r="CW1522"/>
      <c r="CX1522"/>
      <c r="CY1522"/>
      <c r="CZ1522"/>
      <c r="DA1522"/>
      <c r="DB1522"/>
      <c r="DC1522"/>
      <c r="DD1522"/>
      <c r="DE1522"/>
      <c r="DF1522"/>
      <c r="DG1522"/>
      <c r="DH1522"/>
      <c r="DI1522"/>
      <c r="DJ1522"/>
      <c r="DK1522"/>
      <c r="DL1522"/>
      <c r="DM1522"/>
      <c r="DN1522"/>
      <c r="DO1522"/>
      <c r="DP1522"/>
      <c r="DQ1522"/>
      <c r="DR1522"/>
      <c r="DS1522"/>
      <c r="DT1522"/>
      <c r="DU1522"/>
      <c r="DV1522"/>
      <c r="DW1522"/>
      <c r="DX1522"/>
      <c r="DY1522"/>
      <c r="DZ1522"/>
      <c r="EA1522"/>
      <c r="EB1522"/>
      <c r="EC1522"/>
      <c r="ED1522"/>
      <c r="EE1522"/>
      <c r="EF1522"/>
      <c r="EG1522"/>
      <c r="EH1522"/>
      <c r="EI1522"/>
      <c r="EJ1522"/>
      <c r="EK1522"/>
      <c r="EL1522"/>
      <c r="EM1522"/>
      <c r="EN1522"/>
      <c r="EO1522"/>
      <c r="EP1522"/>
      <c r="EQ1522"/>
      <c r="ER1522"/>
      <c r="ES1522"/>
    </row>
    <row r="1523" spans="1:149">
      <c r="A1523"/>
      <c r="B1523"/>
      <c r="C1523"/>
      <c r="D1523"/>
      <c r="E1523"/>
      <c r="F1523"/>
      <c r="G1523"/>
      <c r="H1523"/>
      <c r="I1523"/>
      <c r="J1523"/>
      <c r="K1523"/>
      <c r="L1523"/>
      <c r="M1523"/>
      <c r="N1523"/>
      <c r="O1523"/>
      <c r="P1523"/>
      <c r="Q1523"/>
      <c r="R1523"/>
      <c r="S1523"/>
      <c r="T1523"/>
      <c r="U1523"/>
      <c r="V1523"/>
      <c r="W1523"/>
      <c r="X1523"/>
      <c r="Y1523"/>
      <c r="Z1523"/>
      <c r="AA1523"/>
      <c r="AB1523"/>
      <c r="AC1523"/>
      <c r="AD1523"/>
      <c r="AE1523"/>
      <c r="AF1523"/>
      <c r="AG1523"/>
      <c r="AH1523"/>
      <c r="AI1523"/>
      <c r="AJ1523"/>
      <c r="AK1523"/>
      <c r="AL1523"/>
      <c r="AM1523"/>
      <c r="AN1523"/>
      <c r="AO1523"/>
      <c r="AP1523"/>
      <c r="AQ1523"/>
      <c r="AR1523"/>
      <c r="AS1523"/>
      <c r="AT1523"/>
      <c r="AU1523"/>
      <c r="AV1523"/>
      <c r="AW1523"/>
      <c r="AX1523"/>
      <c r="AY1523"/>
      <c r="AZ1523"/>
      <c r="BA1523"/>
      <c r="BB1523"/>
      <c r="BC1523"/>
      <c r="BD1523"/>
      <c r="BE1523"/>
      <c r="BF1523"/>
      <c r="BG1523"/>
      <c r="BH1523"/>
      <c r="BI1523"/>
      <c r="BJ1523"/>
      <c r="BK1523"/>
      <c r="BL1523"/>
      <c r="BM1523"/>
      <c r="BN1523"/>
      <c r="BO1523"/>
      <c r="BP1523"/>
      <c r="BQ1523"/>
      <c r="BR1523"/>
      <c r="BS1523"/>
      <c r="BT1523"/>
      <c r="BU1523"/>
      <c r="BV1523"/>
      <c r="BW1523"/>
      <c r="BX1523"/>
      <c r="BY1523"/>
      <c r="BZ1523"/>
      <c r="CA1523"/>
      <c r="CB1523"/>
      <c r="CC1523"/>
      <c r="CD1523"/>
      <c r="CE1523"/>
      <c r="CF1523"/>
      <c r="CG1523"/>
      <c r="CH1523"/>
      <c r="CI1523"/>
      <c r="CJ1523"/>
      <c r="CK1523"/>
      <c r="CL1523"/>
      <c r="CM1523"/>
      <c r="CN1523"/>
      <c r="CO1523"/>
      <c r="CP1523"/>
      <c r="CQ1523"/>
      <c r="CR1523"/>
      <c r="CS1523"/>
      <c r="CT1523"/>
      <c r="CU1523"/>
      <c r="CV1523"/>
      <c r="CW1523"/>
      <c r="CX1523"/>
      <c r="CY1523"/>
      <c r="CZ1523"/>
      <c r="DA1523"/>
      <c r="DB1523"/>
      <c r="DC1523"/>
      <c r="DD1523"/>
      <c r="DE1523"/>
      <c r="DF1523"/>
      <c r="DG1523"/>
      <c r="DH1523"/>
      <c r="DI1523"/>
      <c r="DJ1523"/>
      <c r="DK1523"/>
      <c r="DL1523"/>
      <c r="DM1523"/>
      <c r="DN1523"/>
      <c r="DO1523"/>
      <c r="DP1523"/>
      <c r="DQ1523"/>
      <c r="DR1523"/>
      <c r="DS1523"/>
      <c r="DT1523"/>
      <c r="DU1523"/>
      <c r="DV1523"/>
      <c r="DW1523"/>
      <c r="DX1523"/>
      <c r="DY1523"/>
      <c r="DZ1523"/>
      <c r="EA1523"/>
      <c r="EB1523"/>
      <c r="EC1523"/>
      <c r="ED1523"/>
      <c r="EE1523"/>
      <c r="EF1523"/>
      <c r="EG1523"/>
      <c r="EH1523"/>
      <c r="EI1523"/>
      <c r="EJ1523"/>
      <c r="EK1523"/>
      <c r="EL1523"/>
      <c r="EM1523"/>
      <c r="EN1523"/>
      <c r="EO1523"/>
      <c r="EP1523"/>
      <c r="EQ1523"/>
      <c r="ER1523"/>
      <c r="ES1523"/>
    </row>
    <row r="1524" spans="1:149">
      <c r="A1524"/>
      <c r="B1524"/>
      <c r="C1524"/>
      <c r="D1524"/>
      <c r="E1524"/>
      <c r="F1524"/>
      <c r="G1524"/>
      <c r="H1524"/>
      <c r="I1524"/>
      <c r="J1524"/>
      <c r="K1524"/>
      <c r="L1524"/>
      <c r="M1524"/>
      <c r="N1524"/>
      <c r="O1524"/>
      <c r="P1524"/>
      <c r="Q1524"/>
      <c r="R1524"/>
      <c r="S1524"/>
      <c r="T1524"/>
      <c r="U1524"/>
      <c r="V1524"/>
      <c r="W1524"/>
      <c r="X1524"/>
      <c r="Y1524"/>
      <c r="Z1524"/>
      <c r="AA1524"/>
      <c r="AB1524"/>
      <c r="AC1524"/>
      <c r="AD1524"/>
      <c r="AE1524"/>
      <c r="AF1524"/>
      <c r="AG1524"/>
      <c r="AH1524"/>
      <c r="AI1524"/>
      <c r="AJ1524"/>
      <c r="AK1524"/>
      <c r="AL1524"/>
      <c r="AM1524"/>
      <c r="AN1524"/>
      <c r="AO1524"/>
      <c r="AP1524"/>
      <c r="AQ1524"/>
      <c r="AR1524"/>
      <c r="AS1524"/>
      <c r="AT1524"/>
      <c r="AU1524"/>
      <c r="AV1524"/>
      <c r="AW1524"/>
      <c r="AX1524"/>
      <c r="AY1524"/>
      <c r="AZ1524"/>
      <c r="BA1524"/>
      <c r="BB1524"/>
      <c r="BC1524"/>
      <c r="BD1524"/>
      <c r="BE1524"/>
      <c r="BF1524"/>
      <c r="BG1524"/>
      <c r="BH1524"/>
      <c r="BI1524"/>
      <c r="BJ1524"/>
      <c r="BK1524"/>
      <c r="BL1524"/>
      <c r="BM1524"/>
      <c r="BN1524"/>
      <c r="BO1524"/>
      <c r="BP1524"/>
      <c r="BQ1524"/>
      <c r="BR1524"/>
      <c r="BS1524"/>
      <c r="BT1524"/>
      <c r="BU1524"/>
      <c r="BV1524"/>
      <c r="BW1524"/>
      <c r="BX1524"/>
      <c r="BY1524"/>
      <c r="BZ1524"/>
      <c r="CA1524"/>
      <c r="CB1524"/>
      <c r="CC1524"/>
      <c r="CD1524"/>
      <c r="CE1524"/>
      <c r="CF1524"/>
      <c r="CG1524"/>
      <c r="CH1524"/>
      <c r="CI1524"/>
      <c r="CJ1524"/>
      <c r="CK1524"/>
      <c r="CL1524"/>
      <c r="CM1524"/>
      <c r="CN1524"/>
      <c r="CO1524"/>
      <c r="CP1524"/>
      <c r="CQ1524"/>
      <c r="CR1524"/>
      <c r="CS1524"/>
      <c r="CT1524"/>
      <c r="CU1524"/>
      <c r="CV1524"/>
      <c r="CW1524"/>
      <c r="CX1524"/>
      <c r="CY1524"/>
      <c r="CZ1524"/>
      <c r="DA1524"/>
      <c r="DB1524"/>
      <c r="DC1524"/>
      <c r="DD1524"/>
      <c r="DE1524"/>
      <c r="DF1524"/>
      <c r="DG1524"/>
      <c r="DH1524"/>
      <c r="DI1524"/>
      <c r="DJ1524"/>
      <c r="DK1524"/>
      <c r="DL1524"/>
      <c r="DM1524"/>
      <c r="DN1524"/>
      <c r="DO1524"/>
      <c r="DP1524"/>
      <c r="DQ1524"/>
      <c r="DR1524"/>
      <c r="DS1524"/>
      <c r="DT1524"/>
      <c r="DU1524"/>
      <c r="DV1524"/>
      <c r="DW1524"/>
      <c r="DX1524"/>
      <c r="DY1524"/>
      <c r="DZ1524"/>
      <c r="EA1524"/>
      <c r="EB1524"/>
      <c r="EC1524"/>
      <c r="ED1524"/>
      <c r="EE1524"/>
      <c r="EF1524"/>
      <c r="EG1524"/>
      <c r="EH1524"/>
      <c r="EI1524"/>
      <c r="EJ1524"/>
      <c r="EK1524"/>
      <c r="EL1524"/>
      <c r="EM1524"/>
      <c r="EN1524"/>
      <c r="EO1524"/>
      <c r="EP1524"/>
      <c r="EQ1524"/>
      <c r="ER1524"/>
      <c r="ES1524"/>
    </row>
    <row r="1525" spans="1:149">
      <c r="A1525"/>
      <c r="B1525"/>
      <c r="C1525"/>
      <c r="D1525"/>
      <c r="E1525"/>
      <c r="F1525"/>
      <c r="G1525"/>
      <c r="H1525"/>
      <c r="I1525"/>
      <c r="J1525"/>
      <c r="K1525"/>
      <c r="L1525"/>
      <c r="M1525"/>
      <c r="N1525"/>
      <c r="O1525"/>
      <c r="P1525"/>
      <c r="Q1525"/>
      <c r="R1525"/>
      <c r="S1525"/>
      <c r="T1525"/>
      <c r="U1525"/>
      <c r="V1525"/>
      <c r="W1525"/>
      <c r="X1525"/>
      <c r="Y1525"/>
      <c r="Z1525"/>
      <c r="AA1525"/>
      <c r="AB1525"/>
      <c r="AC1525"/>
      <c r="AD1525"/>
      <c r="AE1525"/>
      <c r="AF1525"/>
      <c r="AG1525"/>
      <c r="AH1525"/>
      <c r="AI1525"/>
      <c r="AJ1525"/>
      <c r="AK1525"/>
      <c r="AL1525"/>
      <c r="AM1525"/>
      <c r="AN1525"/>
      <c r="AO1525"/>
      <c r="AP1525"/>
      <c r="AQ1525"/>
      <c r="AR1525"/>
      <c r="AS1525"/>
      <c r="AT1525"/>
      <c r="AU1525"/>
      <c r="AV1525"/>
      <c r="AW1525"/>
      <c r="AX1525"/>
      <c r="AY1525"/>
      <c r="AZ1525"/>
      <c r="BA1525"/>
      <c r="BB1525"/>
      <c r="BC1525"/>
      <c r="BD1525"/>
      <c r="BE1525"/>
      <c r="BF1525"/>
      <c r="BG1525"/>
      <c r="BH1525"/>
      <c r="BI1525"/>
      <c r="BJ1525"/>
      <c r="BK1525"/>
      <c r="BL1525"/>
      <c r="BM1525"/>
      <c r="BN1525"/>
      <c r="BO1525"/>
      <c r="BP1525"/>
      <c r="BQ1525"/>
      <c r="BR1525"/>
      <c r="BS1525"/>
      <c r="BT1525"/>
      <c r="BU1525"/>
      <c r="BV1525"/>
      <c r="BW1525"/>
      <c r="BX1525"/>
      <c r="BY1525"/>
      <c r="BZ1525"/>
      <c r="CA1525"/>
      <c r="CB1525"/>
      <c r="CC1525"/>
      <c r="CD1525"/>
      <c r="CE1525"/>
      <c r="CF1525"/>
      <c r="CG1525"/>
      <c r="CH1525"/>
      <c r="CI1525"/>
      <c r="CJ1525"/>
      <c r="CK1525"/>
      <c r="CL1525"/>
      <c r="CM1525"/>
      <c r="CN1525"/>
      <c r="CO1525"/>
      <c r="CP1525"/>
      <c r="CQ1525"/>
      <c r="CR1525"/>
      <c r="CS1525"/>
      <c r="CT1525"/>
      <c r="CU1525"/>
      <c r="CV1525"/>
      <c r="CW1525"/>
      <c r="CX1525"/>
      <c r="CY1525"/>
      <c r="CZ1525"/>
      <c r="DA1525"/>
      <c r="DB1525"/>
      <c r="DC1525"/>
      <c r="DD1525"/>
      <c r="DE1525"/>
      <c r="DF1525"/>
      <c r="DG1525"/>
      <c r="DH1525"/>
      <c r="DI1525"/>
      <c r="DJ1525"/>
      <c r="DK1525"/>
      <c r="DL1525"/>
      <c r="DM1525"/>
      <c r="DN1525"/>
      <c r="DO1525"/>
      <c r="DP1525"/>
      <c r="DQ1525"/>
      <c r="DR1525"/>
      <c r="DS1525"/>
      <c r="DT1525"/>
      <c r="DU1525"/>
      <c r="DV1525"/>
      <c r="DW1525"/>
      <c r="DX1525"/>
      <c r="DY1525"/>
      <c r="DZ1525"/>
      <c r="EA1525"/>
      <c r="EB1525"/>
      <c r="EC1525"/>
      <c r="ED1525"/>
      <c r="EE1525"/>
      <c r="EF1525"/>
      <c r="EG1525"/>
      <c r="EH1525"/>
      <c r="EI1525"/>
      <c r="EJ1525"/>
      <c r="EK1525"/>
      <c r="EL1525"/>
      <c r="EM1525"/>
      <c r="EN1525"/>
      <c r="EO1525"/>
      <c r="EP1525"/>
      <c r="EQ1525"/>
      <c r="ER1525"/>
      <c r="ES1525"/>
    </row>
    <row r="1526" spans="1:149">
      <c r="A1526"/>
      <c r="B1526"/>
      <c r="C1526"/>
      <c r="D1526"/>
      <c r="E1526"/>
      <c r="F1526"/>
      <c r="G1526"/>
      <c r="H1526"/>
      <c r="I1526"/>
      <c r="J1526"/>
      <c r="K1526"/>
      <c r="L1526"/>
      <c r="M1526"/>
      <c r="N1526"/>
      <c r="O1526"/>
      <c r="P1526"/>
      <c r="Q1526"/>
      <c r="R1526"/>
      <c r="S1526"/>
      <c r="T1526"/>
      <c r="U1526"/>
      <c r="V1526"/>
      <c r="W1526"/>
      <c r="X1526"/>
      <c r="Y1526"/>
      <c r="Z1526"/>
      <c r="AA1526"/>
      <c r="AB1526"/>
      <c r="AC1526"/>
      <c r="AD1526"/>
      <c r="AE1526"/>
      <c r="AF1526"/>
      <c r="AG1526"/>
      <c r="AH1526"/>
      <c r="AI1526"/>
      <c r="AJ1526"/>
      <c r="AK1526"/>
      <c r="AL1526"/>
      <c r="AM1526"/>
      <c r="AN1526"/>
      <c r="AO1526"/>
      <c r="AP1526"/>
      <c r="AQ1526"/>
      <c r="AR1526"/>
      <c r="AS1526"/>
      <c r="AT1526"/>
      <c r="AU1526"/>
      <c r="AV1526"/>
      <c r="AW1526"/>
      <c r="AX1526"/>
      <c r="AY1526"/>
      <c r="AZ1526"/>
      <c r="BA1526"/>
      <c r="BB1526"/>
      <c r="BC1526"/>
      <c r="BD1526"/>
      <c r="BE1526"/>
      <c r="BF1526"/>
      <c r="BG1526"/>
      <c r="BH1526"/>
      <c r="BI1526"/>
      <c r="BJ1526"/>
      <c r="BK1526"/>
      <c r="BL1526"/>
      <c r="BM1526"/>
      <c r="BN1526"/>
      <c r="BO1526"/>
      <c r="BP1526"/>
      <c r="BQ1526"/>
      <c r="BR1526"/>
      <c r="BS1526"/>
      <c r="BT1526"/>
      <c r="BU1526"/>
      <c r="BV1526"/>
      <c r="BW1526"/>
      <c r="BX1526"/>
      <c r="BY1526"/>
      <c r="BZ1526"/>
      <c r="CA1526"/>
      <c r="CB1526"/>
      <c r="CC1526"/>
      <c r="CD1526"/>
      <c r="CE1526"/>
      <c r="CF1526"/>
      <c r="CG1526"/>
      <c r="CH1526"/>
      <c r="CI1526"/>
      <c r="CJ1526"/>
      <c r="CK1526"/>
      <c r="CL1526"/>
      <c r="CM1526"/>
      <c r="CN1526"/>
      <c r="CO1526"/>
      <c r="CP1526"/>
      <c r="CQ1526"/>
      <c r="CR1526"/>
      <c r="CS1526"/>
      <c r="CT1526"/>
      <c r="CU1526"/>
      <c r="CV1526"/>
      <c r="CW1526"/>
      <c r="CX1526"/>
      <c r="CY1526"/>
      <c r="CZ1526"/>
      <c r="DA1526"/>
      <c r="DB1526"/>
      <c r="DC1526"/>
      <c r="DD1526"/>
      <c r="DE1526"/>
      <c r="DF1526"/>
      <c r="DG1526"/>
      <c r="DH1526"/>
      <c r="DI1526"/>
      <c r="DJ1526"/>
      <c r="DK1526"/>
      <c r="DL1526"/>
      <c r="DM1526"/>
      <c r="DN1526"/>
      <c r="DO1526"/>
      <c r="DP1526"/>
      <c r="DQ1526"/>
      <c r="DR1526"/>
      <c r="DS1526"/>
      <c r="DT1526"/>
      <c r="DU1526"/>
      <c r="DV1526"/>
      <c r="DW1526"/>
      <c r="DX1526"/>
      <c r="DY1526"/>
      <c r="DZ1526"/>
      <c r="EA1526"/>
      <c r="EB1526"/>
      <c r="EC1526"/>
      <c r="ED1526"/>
      <c r="EE1526"/>
      <c r="EF1526"/>
      <c r="EG1526"/>
      <c r="EH1526"/>
      <c r="EI1526"/>
      <c r="EJ1526"/>
      <c r="EK1526"/>
      <c r="EL1526"/>
      <c r="EM1526"/>
      <c r="EN1526"/>
      <c r="EO1526"/>
      <c r="EP1526"/>
      <c r="EQ1526"/>
      <c r="ER1526"/>
      <c r="ES1526"/>
    </row>
    <row r="1527" spans="1:149">
      <c r="A1527"/>
      <c r="B1527"/>
      <c r="C1527"/>
      <c r="D1527"/>
      <c r="E1527"/>
      <c r="F1527"/>
      <c r="G1527"/>
      <c r="H1527"/>
      <c r="I1527"/>
      <c r="J1527"/>
      <c r="K1527"/>
      <c r="L1527"/>
      <c r="M1527"/>
      <c r="N1527"/>
      <c r="O1527"/>
      <c r="P1527"/>
      <c r="Q1527"/>
      <c r="R1527"/>
      <c r="S1527"/>
      <c r="T1527"/>
      <c r="U1527"/>
      <c r="V1527"/>
      <c r="W1527"/>
      <c r="X1527"/>
      <c r="Y1527"/>
      <c r="Z1527"/>
      <c r="AA1527"/>
      <c r="AB1527"/>
      <c r="AC1527"/>
      <c r="AD1527"/>
      <c r="AE1527"/>
      <c r="AF1527"/>
      <c r="AG1527"/>
      <c r="AH1527"/>
      <c r="AI1527"/>
      <c r="AJ1527"/>
      <c r="AK1527"/>
      <c r="AL1527"/>
      <c r="AM1527"/>
      <c r="AN1527"/>
      <c r="AO1527"/>
      <c r="AP1527"/>
      <c r="AQ1527"/>
      <c r="AR1527"/>
      <c r="AS1527"/>
      <c r="AT1527"/>
      <c r="AU1527"/>
      <c r="AV1527"/>
      <c r="AW1527"/>
      <c r="AX1527"/>
      <c r="AY1527"/>
      <c r="AZ1527"/>
      <c r="BA1527"/>
      <c r="BB1527"/>
      <c r="BC1527"/>
      <c r="BD1527"/>
      <c r="BE1527"/>
      <c r="BF1527"/>
      <c r="BG1527"/>
      <c r="BH1527"/>
      <c r="BI1527"/>
      <c r="BJ1527"/>
      <c r="BK1527"/>
      <c r="BL1527"/>
      <c r="BM1527"/>
      <c r="BN1527"/>
      <c r="BO1527"/>
      <c r="BP1527"/>
      <c r="BQ1527"/>
      <c r="BR1527"/>
      <c r="BS1527"/>
      <c r="BT1527"/>
      <c r="BU1527"/>
      <c r="BV1527"/>
      <c r="BW1527"/>
      <c r="BX1527"/>
      <c r="BY1527"/>
      <c r="BZ1527"/>
      <c r="CA1527"/>
      <c r="CB1527"/>
      <c r="CC1527"/>
      <c r="CD1527"/>
      <c r="CE1527"/>
      <c r="CF1527"/>
      <c r="CG1527"/>
      <c r="CH1527"/>
      <c r="CI1527"/>
      <c r="CJ1527"/>
      <c r="CK1527"/>
      <c r="CL1527"/>
      <c r="CM1527"/>
      <c r="CN1527"/>
      <c r="CO1527"/>
      <c r="CP1527"/>
      <c r="CQ1527"/>
      <c r="CR1527"/>
      <c r="CS1527"/>
      <c r="CT1527"/>
      <c r="CU1527"/>
      <c r="CV1527"/>
      <c r="CW1527"/>
      <c r="CX1527"/>
      <c r="CY1527"/>
      <c r="CZ1527"/>
      <c r="DA1527"/>
      <c r="DB1527"/>
      <c r="DC1527"/>
      <c r="DD1527"/>
      <c r="DE1527"/>
      <c r="DF1527"/>
      <c r="DG1527"/>
      <c r="DH1527"/>
      <c r="DI1527"/>
      <c r="DJ1527"/>
      <c r="DK1527"/>
      <c r="DL1527"/>
      <c r="DM1527"/>
      <c r="DN1527"/>
      <c r="DO1527"/>
      <c r="DP1527"/>
      <c r="DQ1527"/>
      <c r="DR1527"/>
      <c r="DS1527"/>
      <c r="DT1527"/>
      <c r="DU1527"/>
      <c r="DV1527"/>
      <c r="DW1527"/>
      <c r="DX1527"/>
      <c r="DY1527"/>
      <c r="DZ1527"/>
      <c r="EA1527"/>
      <c r="EB1527"/>
      <c r="EC1527"/>
      <c r="ED1527"/>
      <c r="EE1527"/>
      <c r="EF1527"/>
      <c r="EG1527"/>
      <c r="EH1527"/>
      <c r="EI1527"/>
      <c r="EJ1527"/>
      <c r="EK1527"/>
      <c r="EL1527"/>
      <c r="EM1527"/>
      <c r="EN1527"/>
      <c r="EO1527"/>
      <c r="EP1527"/>
      <c r="EQ1527"/>
      <c r="ER1527"/>
      <c r="ES1527"/>
    </row>
    <row r="1528" spans="1:149">
      <c r="A1528"/>
      <c r="B1528"/>
      <c r="C1528"/>
      <c r="D1528"/>
      <c r="E1528"/>
      <c r="F1528"/>
      <c r="G1528"/>
      <c r="H1528"/>
      <c r="I1528"/>
      <c r="J1528"/>
      <c r="K1528"/>
      <c r="L1528"/>
      <c r="M1528"/>
      <c r="N1528"/>
      <c r="O1528"/>
      <c r="P1528"/>
      <c r="Q1528"/>
      <c r="R1528"/>
      <c r="S1528"/>
      <c r="T1528"/>
      <c r="U1528"/>
      <c r="V1528"/>
      <c r="W1528"/>
      <c r="X1528"/>
      <c r="Y1528"/>
      <c r="Z1528"/>
      <c r="AA1528"/>
      <c r="AB1528"/>
      <c r="AC1528"/>
      <c r="AD1528"/>
      <c r="AE1528"/>
      <c r="AF1528"/>
      <c r="AG1528"/>
      <c r="AH1528"/>
      <c r="AI1528"/>
      <c r="AJ1528"/>
      <c r="AK1528"/>
      <c r="AL1528"/>
      <c r="AM1528"/>
      <c r="AN1528"/>
      <c r="AO1528"/>
      <c r="AP1528"/>
      <c r="AQ1528"/>
      <c r="AR1528"/>
      <c r="AS1528"/>
      <c r="AT1528"/>
      <c r="AU1528"/>
      <c r="AV1528"/>
      <c r="AW1528"/>
      <c r="AX1528"/>
      <c r="AY1528"/>
      <c r="AZ1528"/>
      <c r="BA1528"/>
      <c r="BB1528"/>
      <c r="BC1528"/>
      <c r="BD1528"/>
      <c r="BE1528"/>
      <c r="BF1528"/>
      <c r="BG1528"/>
      <c r="BH1528"/>
      <c r="BI1528"/>
      <c r="BJ1528"/>
      <c r="BK1528"/>
      <c r="BL1528"/>
      <c r="BM1528"/>
      <c r="BN1528"/>
      <c r="BO1528"/>
      <c r="BP1528"/>
      <c r="BQ1528"/>
      <c r="BR1528"/>
      <c r="BS1528"/>
      <c r="BT1528"/>
      <c r="BU1528"/>
      <c r="BV1528"/>
      <c r="BW1528"/>
      <c r="BX1528"/>
      <c r="BY1528"/>
      <c r="BZ1528"/>
      <c r="CA1528"/>
      <c r="CB1528"/>
      <c r="CC1528"/>
      <c r="CD1528"/>
      <c r="CE1528"/>
      <c r="CF1528"/>
      <c r="CG1528"/>
      <c r="CH1528"/>
      <c r="CI1528"/>
      <c r="CJ1528"/>
      <c r="CK1528"/>
      <c r="CL1528"/>
      <c r="CM1528"/>
      <c r="CN1528"/>
      <c r="CO1528"/>
      <c r="CP1528"/>
      <c r="CQ1528"/>
      <c r="CR1528"/>
      <c r="CS1528"/>
      <c r="CT1528"/>
      <c r="CU1528"/>
      <c r="CV1528"/>
      <c r="CW1528"/>
      <c r="CX1528"/>
      <c r="CY1528"/>
      <c r="CZ1528"/>
      <c r="DA1528"/>
      <c r="DB1528"/>
      <c r="DC1528"/>
      <c r="DD1528"/>
      <c r="DE1528"/>
      <c r="DF1528"/>
      <c r="DG1528"/>
      <c r="DH1528"/>
      <c r="DI1528"/>
      <c r="DJ1528"/>
      <c r="DK1528"/>
      <c r="DL1528"/>
      <c r="DM1528"/>
      <c r="DN1528"/>
      <c r="DO1528"/>
      <c r="DP1528"/>
      <c r="DQ1528"/>
      <c r="DR1528"/>
      <c r="DS1528"/>
      <c r="DT1528"/>
      <c r="DU1528"/>
      <c r="DV1528"/>
      <c r="DW1528"/>
      <c r="DX1528"/>
      <c r="DY1528"/>
      <c r="DZ1528"/>
      <c r="EA1528"/>
      <c r="EB1528"/>
      <c r="EC1528"/>
      <c r="ED1528"/>
      <c r="EE1528"/>
      <c r="EF1528"/>
      <c r="EG1528"/>
      <c r="EH1528"/>
      <c r="EI1528"/>
      <c r="EJ1528"/>
      <c r="EK1528"/>
      <c r="EL1528"/>
      <c r="EM1528"/>
      <c r="EN1528"/>
      <c r="EO1528"/>
      <c r="EP1528"/>
      <c r="EQ1528"/>
      <c r="ER1528"/>
      <c r="ES1528"/>
    </row>
    <row r="1529" spans="1:149">
      <c r="A1529"/>
      <c r="B1529"/>
      <c r="C1529"/>
      <c r="D1529"/>
      <c r="E1529"/>
      <c r="F1529"/>
      <c r="G1529"/>
      <c r="H1529"/>
      <c r="I1529"/>
      <c r="J1529"/>
      <c r="K1529"/>
      <c r="L1529"/>
      <c r="M1529"/>
      <c r="N1529"/>
      <c r="O1529"/>
      <c r="P1529"/>
      <c r="Q1529"/>
      <c r="R1529"/>
      <c r="S1529"/>
      <c r="T1529"/>
      <c r="U1529"/>
      <c r="V1529"/>
      <c r="W1529"/>
      <c r="X1529"/>
      <c r="Y1529"/>
      <c r="Z1529"/>
      <c r="AA1529"/>
      <c r="AB1529"/>
      <c r="AC1529"/>
      <c r="AD1529"/>
      <c r="AE1529"/>
      <c r="AF1529"/>
      <c r="AG1529"/>
      <c r="AH1529"/>
      <c r="AI1529"/>
      <c r="AJ1529"/>
      <c r="AK1529"/>
      <c r="AL1529"/>
      <c r="AM1529"/>
      <c r="AN1529"/>
      <c r="AO1529"/>
      <c r="AP1529"/>
      <c r="AQ1529"/>
      <c r="AR1529"/>
      <c r="AS1529"/>
      <c r="AT1529"/>
      <c r="AU1529"/>
      <c r="AV1529"/>
      <c r="AW1529"/>
      <c r="AX1529"/>
      <c r="AY1529"/>
      <c r="AZ1529"/>
      <c r="BA1529"/>
      <c r="BB1529"/>
      <c r="BC1529"/>
      <c r="BD1529"/>
      <c r="BE1529"/>
      <c r="BF1529"/>
      <c r="BG1529"/>
      <c r="BH1529"/>
      <c r="BI1529"/>
      <c r="BJ1529"/>
      <c r="BK1529"/>
      <c r="BL1529"/>
      <c r="BM1529"/>
      <c r="BN1529"/>
      <c r="BO1529"/>
      <c r="BP1529"/>
      <c r="BQ1529"/>
      <c r="BR1529"/>
      <c r="BS1529"/>
      <c r="BT1529"/>
      <c r="BU1529"/>
      <c r="BV1529"/>
      <c r="BW1529"/>
      <c r="BX1529"/>
      <c r="BY1529"/>
      <c r="BZ1529"/>
      <c r="CA1529"/>
      <c r="CB1529"/>
      <c r="CC1529"/>
      <c r="CD1529"/>
      <c r="CE1529"/>
      <c r="CF1529"/>
      <c r="CG1529"/>
      <c r="CH1529"/>
      <c r="CI1529"/>
      <c r="CJ1529"/>
      <c r="CK1529"/>
      <c r="CL1529"/>
      <c r="CM1529"/>
      <c r="CN1529"/>
      <c r="CO1529"/>
      <c r="CP1529"/>
      <c r="CQ1529"/>
      <c r="CR1529"/>
      <c r="CS1529"/>
      <c r="CT1529"/>
      <c r="CU1529"/>
      <c r="CV1529"/>
      <c r="CW1529"/>
      <c r="CX1529"/>
      <c r="CY1529"/>
      <c r="CZ1529"/>
      <c r="DA1529"/>
      <c r="DB1529"/>
      <c r="DC1529"/>
      <c r="DD1529"/>
      <c r="DE1529"/>
      <c r="DF1529"/>
      <c r="DG1529"/>
      <c r="DH1529"/>
      <c r="DI1529"/>
      <c r="DJ1529"/>
      <c r="DK1529"/>
      <c r="DL1529"/>
      <c r="DM1529"/>
      <c r="DN1529"/>
      <c r="DO1529"/>
      <c r="DP1529"/>
      <c r="DQ1529"/>
      <c r="DR1529"/>
      <c r="DS1529"/>
      <c r="DT1529"/>
      <c r="DU1529"/>
      <c r="DV1529"/>
      <c r="DW1529"/>
      <c r="DX1529"/>
      <c r="DY1529"/>
      <c r="DZ1529"/>
      <c r="EA1529"/>
      <c r="EB1529"/>
      <c r="EC1529"/>
      <c r="ED1529"/>
      <c r="EE1529"/>
      <c r="EF1529"/>
      <c r="EG1529"/>
      <c r="EH1529"/>
      <c r="EI1529"/>
      <c r="EJ1529"/>
      <c r="EK1529"/>
      <c r="EL1529"/>
      <c r="EM1529"/>
      <c r="EN1529"/>
      <c r="EO1529"/>
      <c r="EP1529"/>
      <c r="EQ1529"/>
      <c r="ER1529"/>
      <c r="ES1529"/>
    </row>
    <row r="1530" spans="1:149">
      <c r="A1530"/>
      <c r="B1530"/>
      <c r="C1530"/>
      <c r="D1530"/>
      <c r="E1530"/>
      <c r="F1530"/>
      <c r="G1530"/>
      <c r="H1530"/>
      <c r="I1530"/>
      <c r="J1530"/>
      <c r="K1530"/>
      <c r="L1530"/>
      <c r="M1530"/>
      <c r="N1530"/>
      <c r="O1530"/>
      <c r="P1530"/>
      <c r="Q1530"/>
      <c r="R1530"/>
      <c r="S1530"/>
      <c r="T1530"/>
      <c r="U1530"/>
      <c r="V1530"/>
      <c r="W1530"/>
      <c r="X1530"/>
      <c r="Y1530"/>
      <c r="Z1530"/>
      <c r="AA1530"/>
      <c r="AB1530"/>
      <c r="AC1530"/>
      <c r="AD1530"/>
      <c r="AE1530"/>
      <c r="AF1530"/>
      <c r="AG1530"/>
      <c r="AH1530"/>
      <c r="AI1530"/>
      <c r="AJ1530"/>
      <c r="AK1530"/>
      <c r="AL1530"/>
      <c r="AM1530"/>
      <c r="AN1530"/>
      <c r="AO1530"/>
      <c r="AP1530"/>
      <c r="AQ1530"/>
      <c r="AR1530"/>
      <c r="AS1530"/>
      <c r="AT1530"/>
      <c r="AU1530"/>
      <c r="AV1530"/>
      <c r="AW1530"/>
      <c r="AX1530"/>
      <c r="AY1530"/>
      <c r="AZ1530"/>
      <c r="BA1530"/>
      <c r="BB1530"/>
      <c r="BC1530"/>
      <c r="BD1530"/>
      <c r="BE1530"/>
      <c r="BF1530"/>
      <c r="BG1530"/>
      <c r="BH1530"/>
      <c r="BI1530"/>
      <c r="BJ1530"/>
      <c r="BK1530"/>
      <c r="BL1530"/>
      <c r="BM1530"/>
      <c r="BN1530"/>
      <c r="BO1530"/>
      <c r="BP1530"/>
      <c r="BQ1530"/>
      <c r="BR1530"/>
      <c r="BS1530"/>
      <c r="BT1530"/>
      <c r="BU1530"/>
      <c r="BV1530"/>
      <c r="BW1530"/>
      <c r="BX1530"/>
      <c r="BY1530"/>
      <c r="BZ1530"/>
      <c r="CA1530"/>
      <c r="CB1530"/>
      <c r="CC1530"/>
      <c r="CD1530"/>
      <c r="CE1530"/>
      <c r="CF1530"/>
      <c r="CG1530"/>
      <c r="CH1530"/>
      <c r="CI1530"/>
      <c r="CJ1530"/>
      <c r="CK1530"/>
      <c r="CL1530"/>
      <c r="CM1530"/>
      <c r="CN1530"/>
      <c r="CO1530"/>
      <c r="CP1530"/>
      <c r="CQ1530"/>
      <c r="CR1530"/>
      <c r="CS1530"/>
      <c r="CT1530"/>
      <c r="CU1530"/>
      <c r="CV1530"/>
      <c r="CW1530"/>
      <c r="CX1530"/>
      <c r="CY1530"/>
      <c r="CZ1530"/>
      <c r="DA1530"/>
      <c r="DB1530"/>
      <c r="DC1530"/>
      <c r="DD1530"/>
      <c r="DE1530"/>
      <c r="DF1530"/>
      <c r="DG1530"/>
      <c r="DH1530"/>
      <c r="DI1530"/>
      <c r="DJ1530"/>
      <c r="DK1530"/>
      <c r="DL1530"/>
      <c r="DM1530"/>
      <c r="DN1530"/>
      <c r="DO1530"/>
      <c r="DP1530"/>
      <c r="DQ1530"/>
      <c r="DR1530"/>
      <c r="DS1530"/>
      <c r="DT1530"/>
      <c r="DU1530"/>
      <c r="DV1530"/>
      <c r="DW1530"/>
      <c r="DX1530"/>
      <c r="DY1530"/>
      <c r="DZ1530"/>
      <c r="EA1530"/>
      <c r="EB1530"/>
      <c r="EC1530"/>
      <c r="ED1530"/>
      <c r="EE1530"/>
      <c r="EF1530"/>
      <c r="EG1530"/>
      <c r="EH1530"/>
      <c r="EI1530"/>
      <c r="EJ1530"/>
      <c r="EK1530"/>
      <c r="EL1530"/>
      <c r="EM1530"/>
      <c r="EN1530"/>
      <c r="EO1530"/>
      <c r="EP1530"/>
      <c r="EQ1530"/>
      <c r="ER1530"/>
      <c r="ES1530"/>
    </row>
    <row r="1531" spans="1:149">
      <c r="A1531"/>
      <c r="B1531"/>
      <c r="C1531"/>
      <c r="D1531"/>
      <c r="E1531"/>
      <c r="F1531"/>
      <c r="G1531"/>
      <c r="H1531"/>
      <c r="I1531"/>
      <c r="J1531"/>
      <c r="K1531"/>
      <c r="L1531"/>
      <c r="M1531"/>
      <c r="N1531"/>
      <c r="O1531"/>
      <c r="P1531"/>
      <c r="Q1531"/>
      <c r="R1531"/>
      <c r="S1531"/>
      <c r="T1531"/>
      <c r="U1531"/>
      <c r="V1531"/>
      <c r="W1531"/>
      <c r="X1531"/>
      <c r="Y1531"/>
      <c r="Z1531"/>
      <c r="AA1531"/>
      <c r="AB1531"/>
      <c r="AC1531"/>
      <c r="AD1531"/>
      <c r="AE1531"/>
      <c r="AF1531"/>
      <c r="AG1531"/>
      <c r="AH1531"/>
      <c r="AI1531"/>
      <c r="AJ1531"/>
      <c r="AK1531"/>
      <c r="AL1531"/>
      <c r="AM1531"/>
      <c r="AN1531"/>
      <c r="AO1531"/>
      <c r="AP1531"/>
      <c r="AQ1531"/>
      <c r="AR1531"/>
      <c r="AS1531"/>
      <c r="AT1531"/>
      <c r="AU1531"/>
      <c r="AV1531"/>
      <c r="AW1531"/>
      <c r="AX1531"/>
      <c r="AY1531"/>
      <c r="AZ1531"/>
      <c r="BA1531"/>
      <c r="BB1531"/>
      <c r="BC1531"/>
      <c r="BD1531"/>
      <c r="BE1531"/>
      <c r="BF1531"/>
      <c r="BG1531"/>
      <c r="BH1531"/>
      <c r="BI1531"/>
      <c r="BJ1531"/>
      <c r="BK1531"/>
      <c r="BL1531"/>
      <c r="BM1531"/>
      <c r="BN1531"/>
      <c r="BO1531"/>
      <c r="BP1531"/>
      <c r="BQ1531"/>
      <c r="BR1531"/>
      <c r="BS1531"/>
      <c r="BT1531"/>
      <c r="BU1531"/>
      <c r="BV1531"/>
      <c r="BW1531"/>
      <c r="BX1531"/>
      <c r="BY1531"/>
      <c r="BZ1531"/>
      <c r="CA1531"/>
      <c r="CB1531"/>
      <c r="CC1531"/>
      <c r="CD1531"/>
      <c r="CE1531"/>
      <c r="CF1531"/>
      <c r="CG1531"/>
      <c r="CH1531"/>
      <c r="CI1531"/>
      <c r="CJ1531"/>
      <c r="CK1531"/>
      <c r="CL1531"/>
      <c r="CM1531"/>
      <c r="CN1531"/>
      <c r="CO1531"/>
      <c r="CP1531"/>
      <c r="CQ1531"/>
      <c r="CR1531"/>
      <c r="CS1531"/>
      <c r="CT1531"/>
      <c r="CU1531"/>
      <c r="CV1531"/>
      <c r="CW1531"/>
      <c r="CX1531"/>
      <c r="CY1531"/>
      <c r="CZ1531"/>
      <c r="DA1531"/>
      <c r="DB1531"/>
      <c r="DC1531"/>
      <c r="DD1531"/>
      <c r="DE1531"/>
      <c r="DF1531"/>
      <c r="DG1531"/>
      <c r="DH1531"/>
      <c r="DI1531"/>
      <c r="DJ1531"/>
      <c r="DK1531"/>
      <c r="DL1531"/>
      <c r="DM1531"/>
      <c r="DN1531"/>
      <c r="DO1531"/>
      <c r="DP1531"/>
      <c r="DQ1531"/>
      <c r="DR1531"/>
      <c r="DS1531"/>
      <c r="DT1531"/>
      <c r="DU1531"/>
      <c r="DV1531"/>
      <c r="DW1531"/>
      <c r="DX1531"/>
      <c r="DY1531"/>
      <c r="DZ1531"/>
      <c r="EA1531"/>
      <c r="EB1531"/>
      <c r="EC1531"/>
      <c r="ED1531"/>
      <c r="EE1531"/>
      <c r="EF1531"/>
      <c r="EG1531"/>
      <c r="EH1531"/>
      <c r="EI1531"/>
      <c r="EJ1531"/>
      <c r="EK1531"/>
      <c r="EL1531"/>
      <c r="EM1531"/>
      <c r="EN1531"/>
      <c r="EO1531"/>
      <c r="EP1531"/>
      <c r="EQ1531"/>
      <c r="ER1531"/>
      <c r="ES1531"/>
    </row>
    <row r="1532" spans="1:149">
      <c r="A1532"/>
      <c r="B1532"/>
      <c r="C1532"/>
      <c r="D1532"/>
      <c r="E1532"/>
      <c r="F1532"/>
      <c r="G1532"/>
      <c r="H1532"/>
      <c r="I1532"/>
      <c r="J1532"/>
      <c r="K1532"/>
      <c r="L1532"/>
      <c r="M1532"/>
      <c r="N1532"/>
      <c r="O1532"/>
      <c r="P1532"/>
      <c r="Q1532"/>
      <c r="R1532"/>
      <c r="S1532"/>
      <c r="T1532"/>
      <c r="U1532"/>
      <c r="V1532"/>
      <c r="W1532"/>
      <c r="X1532"/>
      <c r="Y1532"/>
      <c r="Z1532"/>
      <c r="AA1532"/>
      <c r="AB1532"/>
      <c r="AC1532"/>
      <c r="AD1532"/>
      <c r="AE1532"/>
      <c r="AF1532"/>
      <c r="AG1532"/>
      <c r="AH1532"/>
      <c r="AI1532"/>
      <c r="AJ1532"/>
      <c r="AK1532"/>
      <c r="AL1532"/>
      <c r="AM1532"/>
      <c r="AN1532"/>
      <c r="AO1532"/>
      <c r="AP1532"/>
      <c r="AQ1532"/>
      <c r="AR1532"/>
      <c r="AS1532"/>
      <c r="AT1532"/>
      <c r="AU1532"/>
      <c r="AV1532"/>
      <c r="AW1532"/>
      <c r="AX1532"/>
      <c r="AY1532"/>
      <c r="AZ1532"/>
      <c r="BA1532"/>
      <c r="BB1532"/>
      <c r="BC1532"/>
      <c r="BD1532"/>
      <c r="BE1532"/>
      <c r="BF1532"/>
      <c r="BG1532"/>
      <c r="BH1532"/>
      <c r="BI1532"/>
      <c r="BJ1532"/>
      <c r="BK1532"/>
      <c r="BL1532"/>
      <c r="BM1532"/>
      <c r="BN1532"/>
      <c r="BO1532"/>
      <c r="BP1532"/>
      <c r="BQ1532"/>
      <c r="BR1532"/>
      <c r="BS1532"/>
      <c r="BT1532"/>
      <c r="BU1532"/>
      <c r="BV1532"/>
      <c r="BW1532"/>
      <c r="BX1532"/>
      <c r="BY1532"/>
      <c r="BZ1532"/>
      <c r="CA1532"/>
      <c r="CB1532"/>
      <c r="CC1532"/>
      <c r="CD1532"/>
      <c r="CE1532"/>
      <c r="CF1532"/>
      <c r="CG1532"/>
      <c r="CH1532"/>
      <c r="CI1532"/>
      <c r="CJ1532"/>
      <c r="CK1532"/>
      <c r="CL1532"/>
      <c r="CM1532"/>
      <c r="CN1532"/>
      <c r="CO1532"/>
      <c r="CP1532"/>
      <c r="CQ1532"/>
      <c r="CR1532"/>
      <c r="CS1532"/>
      <c r="CT1532"/>
      <c r="CU1532"/>
      <c r="CV1532"/>
      <c r="CW1532"/>
      <c r="CX1532"/>
      <c r="CY1532"/>
      <c r="CZ1532"/>
      <c r="DA1532"/>
      <c r="DB1532"/>
      <c r="DC1532"/>
      <c r="DD1532"/>
      <c r="DE1532"/>
      <c r="DF1532"/>
      <c r="DG1532"/>
      <c r="DH1532"/>
      <c r="DI1532"/>
      <c r="DJ1532"/>
      <c r="DK1532"/>
      <c r="DL1532"/>
      <c r="DM1532"/>
      <c r="DN1532"/>
      <c r="DO1532"/>
      <c r="DP1532"/>
      <c r="DQ1532"/>
      <c r="DR1532"/>
      <c r="DS1532"/>
      <c r="DT1532"/>
      <c r="DU1532"/>
      <c r="DV1532"/>
      <c r="DW1532"/>
      <c r="DX1532"/>
      <c r="DY1532"/>
      <c r="DZ1532"/>
      <c r="EA1532"/>
      <c r="EB1532"/>
      <c r="EC1532"/>
      <c r="ED1532"/>
      <c r="EE1532"/>
      <c r="EF1532"/>
      <c r="EG1532"/>
      <c r="EH1532"/>
      <c r="EI1532"/>
      <c r="EJ1532"/>
      <c r="EK1532"/>
      <c r="EL1532"/>
      <c r="EM1532"/>
      <c r="EN1532"/>
      <c r="EO1532"/>
      <c r="EP1532"/>
      <c r="EQ1532"/>
      <c r="ER1532"/>
      <c r="ES1532"/>
    </row>
    <row r="1533" spans="1:149">
      <c r="A1533"/>
      <c r="B1533"/>
      <c r="C1533"/>
      <c r="D1533"/>
      <c r="E1533"/>
      <c r="F1533"/>
      <c r="G1533"/>
      <c r="H1533"/>
      <c r="I1533"/>
      <c r="J1533"/>
      <c r="K1533"/>
      <c r="L1533"/>
      <c r="M1533"/>
      <c r="N1533"/>
      <c r="O1533"/>
      <c r="P1533"/>
      <c r="Q1533"/>
      <c r="R1533"/>
      <c r="S1533"/>
      <c r="T1533"/>
      <c r="U1533"/>
      <c r="V1533"/>
      <c r="W1533"/>
      <c r="X1533"/>
      <c r="Y1533"/>
      <c r="Z1533"/>
      <c r="AA1533"/>
      <c r="AB1533"/>
      <c r="AC1533"/>
      <c r="AD1533"/>
      <c r="AE1533"/>
      <c r="AF1533"/>
      <c r="AG1533"/>
      <c r="AH1533"/>
      <c r="AI1533"/>
      <c r="AJ1533"/>
      <c r="AK1533"/>
      <c r="AL1533"/>
      <c r="AM1533"/>
      <c r="AN1533"/>
      <c r="AO1533"/>
      <c r="AP1533"/>
      <c r="AQ1533"/>
      <c r="AR1533"/>
      <c r="AS1533"/>
      <c r="AT1533"/>
      <c r="AU1533"/>
      <c r="AV1533"/>
      <c r="AW1533"/>
      <c r="AX1533"/>
      <c r="AY1533"/>
      <c r="AZ1533"/>
      <c r="BA1533"/>
      <c r="BB1533"/>
      <c r="BC1533"/>
      <c r="BD1533"/>
      <c r="BE1533"/>
      <c r="BF1533"/>
      <c r="BG1533"/>
      <c r="BH1533"/>
      <c r="BI1533"/>
      <c r="BJ1533"/>
      <c r="BK1533"/>
      <c r="BL1533"/>
      <c r="BM1533"/>
      <c r="BN1533"/>
      <c r="BO1533"/>
      <c r="BP1533"/>
      <c r="BQ1533"/>
      <c r="BR1533"/>
      <c r="BS1533"/>
      <c r="BT1533"/>
      <c r="BU1533"/>
      <c r="BV1533"/>
      <c r="BW1533"/>
      <c r="BX1533"/>
      <c r="BY1533"/>
      <c r="BZ1533"/>
      <c r="CA1533"/>
      <c r="CB1533"/>
      <c r="CC1533"/>
      <c r="CD1533"/>
      <c r="CE1533"/>
      <c r="CF1533"/>
      <c r="CG1533"/>
      <c r="CH1533"/>
      <c r="CI1533"/>
      <c r="CJ1533"/>
      <c r="CK1533"/>
      <c r="CL1533"/>
      <c r="CM1533"/>
      <c r="CN1533"/>
      <c r="CO1533"/>
      <c r="CP1533"/>
      <c r="CQ1533"/>
      <c r="CR1533"/>
      <c r="CS1533"/>
      <c r="CT1533"/>
      <c r="CU1533"/>
      <c r="CV1533"/>
      <c r="CW1533"/>
      <c r="CX1533"/>
      <c r="CY1533"/>
      <c r="CZ1533"/>
      <c r="DA1533"/>
      <c r="DB1533"/>
      <c r="DC1533"/>
      <c r="DD1533"/>
      <c r="DE1533"/>
      <c r="DF1533"/>
      <c r="DG1533"/>
      <c r="DH1533"/>
      <c r="DI1533"/>
      <c r="DJ1533"/>
      <c r="DK1533"/>
      <c r="DL1533"/>
      <c r="DM1533"/>
      <c r="DN1533"/>
      <c r="DO1533"/>
      <c r="DP1533"/>
      <c r="DQ1533"/>
      <c r="DR1533"/>
      <c r="DS1533"/>
      <c r="DT1533"/>
      <c r="DU1533"/>
      <c r="DV1533"/>
      <c r="DW1533"/>
      <c r="DX1533"/>
      <c r="DY1533"/>
      <c r="DZ1533"/>
      <c r="EA1533"/>
      <c r="EB1533"/>
      <c r="EC1533"/>
      <c r="ED1533"/>
      <c r="EE1533"/>
      <c r="EF1533"/>
      <c r="EG1533"/>
      <c r="EH1533"/>
      <c r="EI1533"/>
      <c r="EJ1533"/>
      <c r="EK1533"/>
      <c r="EL1533"/>
      <c r="EM1533"/>
      <c r="EN1533"/>
      <c r="EO1533"/>
      <c r="EP1533"/>
      <c r="EQ1533"/>
      <c r="ER1533"/>
      <c r="ES1533"/>
    </row>
    <row r="1534" spans="1:149">
      <c r="A1534"/>
      <c r="B1534"/>
      <c r="C1534"/>
      <c r="D1534"/>
      <c r="E1534"/>
      <c r="F1534"/>
      <c r="G1534"/>
      <c r="H1534"/>
      <c r="I1534"/>
      <c r="J1534"/>
      <c r="K1534"/>
      <c r="L1534"/>
      <c r="M1534"/>
      <c r="N1534"/>
      <c r="O1534"/>
      <c r="P1534"/>
      <c r="Q1534"/>
      <c r="R1534"/>
      <c r="S1534"/>
      <c r="T1534"/>
      <c r="U1534"/>
      <c r="V1534"/>
      <c r="W1534"/>
      <c r="X1534"/>
      <c r="Y1534"/>
      <c r="Z1534"/>
      <c r="AA1534"/>
      <c r="AB1534"/>
      <c r="AC1534"/>
      <c r="AD1534"/>
      <c r="AE1534"/>
      <c r="AF1534"/>
      <c r="AG1534"/>
      <c r="AH1534"/>
      <c r="AI1534"/>
      <c r="AJ1534"/>
      <c r="AK1534"/>
      <c r="AL1534"/>
      <c r="AM1534"/>
      <c r="AN1534"/>
      <c r="AO1534"/>
      <c r="AP1534"/>
      <c r="AQ1534"/>
      <c r="AR1534"/>
      <c r="AS1534"/>
      <c r="AT1534"/>
      <c r="AU1534"/>
      <c r="AV1534"/>
      <c r="AW1534"/>
      <c r="AX1534"/>
      <c r="AY1534"/>
      <c r="AZ1534"/>
      <c r="BA1534"/>
      <c r="BB1534"/>
      <c r="BC1534"/>
      <c r="BD1534"/>
      <c r="BE1534"/>
      <c r="BF1534"/>
      <c r="BG1534"/>
      <c r="BH1534"/>
      <c r="BI1534"/>
      <c r="BJ1534"/>
      <c r="BK1534"/>
      <c r="BL1534"/>
      <c r="BM1534"/>
      <c r="BN1534"/>
      <c r="BO1534"/>
      <c r="BP1534"/>
      <c r="BQ1534"/>
      <c r="BR1534"/>
      <c r="BS1534"/>
      <c r="BT1534"/>
      <c r="BU1534"/>
      <c r="BV1534"/>
      <c r="BW1534"/>
      <c r="BX1534"/>
      <c r="BY1534"/>
      <c r="BZ1534"/>
      <c r="CA1534"/>
      <c r="CB1534"/>
      <c r="CC1534"/>
      <c r="CD1534"/>
      <c r="CE1534"/>
      <c r="CF1534"/>
      <c r="CG1534"/>
      <c r="CH1534"/>
      <c r="CI1534"/>
      <c r="CJ1534"/>
      <c r="CK1534"/>
      <c r="CL1534"/>
      <c r="CM1534"/>
      <c r="CN1534"/>
      <c r="CO1534"/>
      <c r="CP1534"/>
      <c r="CQ1534"/>
      <c r="CR1534"/>
      <c r="CS1534"/>
      <c r="CT1534"/>
      <c r="CU1534"/>
      <c r="CV1534"/>
      <c r="CW1534"/>
      <c r="CX1534"/>
      <c r="CY1534"/>
      <c r="CZ1534"/>
      <c r="DA1534"/>
      <c r="DB1534"/>
      <c r="DC1534"/>
      <c r="DD1534"/>
      <c r="DE1534"/>
      <c r="DF1534"/>
      <c r="DG1534"/>
      <c r="DH1534"/>
      <c r="DI1534"/>
      <c r="DJ1534"/>
      <c r="DK1534"/>
      <c r="DL1534"/>
      <c r="DM1534"/>
      <c r="DN1534"/>
      <c r="DO1534"/>
      <c r="DP1534"/>
      <c r="DQ1534"/>
      <c r="DR1534"/>
      <c r="DS1534"/>
      <c r="DT1534"/>
      <c r="DU1534"/>
      <c r="DV1534"/>
      <c r="DW1534"/>
      <c r="DX1534"/>
      <c r="DY1534"/>
      <c r="DZ1534"/>
      <c r="EA1534"/>
      <c r="EB1534"/>
      <c r="EC1534"/>
      <c r="ED1534"/>
      <c r="EE1534"/>
      <c r="EF1534"/>
      <c r="EG1534"/>
      <c r="EH1534"/>
      <c r="EI1534"/>
      <c r="EJ1534"/>
      <c r="EK1534"/>
      <c r="EL1534"/>
      <c r="EM1534"/>
      <c r="EN1534"/>
      <c r="EO1534"/>
      <c r="EP1534"/>
      <c r="EQ1534"/>
      <c r="ER1534"/>
      <c r="ES1534"/>
    </row>
    <row r="1535" spans="1:149">
      <c r="A1535"/>
      <c r="B1535"/>
      <c r="C1535"/>
      <c r="D1535"/>
      <c r="E1535"/>
      <c r="F1535"/>
      <c r="G1535"/>
      <c r="H1535"/>
      <c r="I1535"/>
      <c r="J1535"/>
      <c r="K1535"/>
      <c r="L1535"/>
      <c r="M1535"/>
      <c r="N1535"/>
      <c r="O1535"/>
      <c r="P1535"/>
      <c r="Q1535"/>
      <c r="R1535"/>
      <c r="S1535"/>
      <c r="T1535"/>
      <c r="U1535"/>
      <c r="V1535"/>
      <c r="W1535"/>
      <c r="X1535"/>
      <c r="Y1535"/>
      <c r="Z1535"/>
      <c r="AA1535"/>
      <c r="AB1535"/>
      <c r="AC1535"/>
      <c r="AD1535"/>
      <c r="AE1535"/>
      <c r="AF1535"/>
      <c r="AG1535"/>
      <c r="AH1535"/>
      <c r="AI1535"/>
      <c r="AJ1535"/>
      <c r="AK1535"/>
      <c r="AL1535"/>
      <c r="AM1535"/>
      <c r="AN1535"/>
      <c r="AO1535"/>
      <c r="AP1535"/>
      <c r="AQ1535"/>
      <c r="AR1535"/>
      <c r="AS1535"/>
      <c r="AT1535"/>
      <c r="AU1535"/>
      <c r="AV1535"/>
      <c r="AW1535"/>
      <c r="AX1535"/>
      <c r="AY1535"/>
      <c r="AZ1535"/>
      <c r="BA1535"/>
      <c r="BB1535"/>
      <c r="BC1535"/>
      <c r="BD1535"/>
      <c r="BE1535"/>
      <c r="BF1535"/>
      <c r="BG1535"/>
      <c r="BH1535"/>
      <c r="BI1535"/>
      <c r="BJ1535"/>
      <c r="BK1535"/>
      <c r="BL1535"/>
      <c r="BM1535"/>
      <c r="BN1535"/>
      <c r="BO1535"/>
      <c r="BP1535"/>
      <c r="BQ1535"/>
      <c r="BR1535"/>
      <c r="BS1535"/>
      <c r="BT1535"/>
      <c r="BU1535"/>
      <c r="BV1535"/>
      <c r="BW1535"/>
      <c r="BX1535"/>
      <c r="BY1535"/>
      <c r="BZ1535"/>
      <c r="CA1535"/>
      <c r="CB1535"/>
      <c r="CC1535"/>
      <c r="CD1535"/>
      <c r="CE1535"/>
      <c r="CF1535"/>
      <c r="CG1535"/>
      <c r="CH1535"/>
      <c r="CI1535"/>
      <c r="CJ1535"/>
      <c r="CK1535"/>
      <c r="CL1535"/>
      <c r="CM1535"/>
      <c r="CN1535"/>
      <c r="CO1535"/>
      <c r="CP1535"/>
      <c r="CQ1535"/>
      <c r="CR1535"/>
      <c r="CS1535"/>
      <c r="CT1535"/>
      <c r="CU1535"/>
      <c r="CV1535"/>
      <c r="CW1535"/>
      <c r="CX1535"/>
      <c r="CY1535"/>
      <c r="CZ1535"/>
      <c r="DA1535"/>
      <c r="DB1535"/>
      <c r="DC1535"/>
      <c r="DD1535"/>
      <c r="DE1535"/>
      <c r="DF1535"/>
      <c r="DG1535"/>
      <c r="DH1535"/>
      <c r="DI1535"/>
      <c r="DJ1535"/>
      <c r="DK1535"/>
      <c r="DL1535"/>
      <c r="DM1535"/>
      <c r="DN1535"/>
      <c r="DO1535"/>
      <c r="DP1535"/>
      <c r="DQ1535"/>
      <c r="DR1535"/>
      <c r="DS1535"/>
      <c r="DT1535"/>
      <c r="DU1535"/>
      <c r="DV1535"/>
      <c r="DW1535"/>
      <c r="DX1535"/>
      <c r="DY1535"/>
      <c r="DZ1535"/>
      <c r="EA1535"/>
      <c r="EB1535"/>
      <c r="EC1535"/>
      <c r="ED1535"/>
      <c r="EE1535"/>
      <c r="EF1535"/>
      <c r="EG1535"/>
      <c r="EH1535"/>
      <c r="EI1535"/>
      <c r="EJ1535"/>
      <c r="EK1535"/>
      <c r="EL1535"/>
      <c r="EM1535"/>
      <c r="EN1535"/>
      <c r="EO1535"/>
      <c r="EP1535"/>
      <c r="EQ1535"/>
      <c r="ER1535"/>
      <c r="ES1535"/>
    </row>
    <row r="1536" spans="1:149">
      <c r="A1536"/>
      <c r="B1536"/>
      <c r="C1536"/>
      <c r="D1536"/>
      <c r="E1536"/>
      <c r="F1536"/>
      <c r="G1536"/>
      <c r="H1536"/>
      <c r="I1536"/>
      <c r="J1536"/>
      <c r="K1536"/>
      <c r="L1536"/>
      <c r="M1536"/>
      <c r="N1536"/>
      <c r="O1536"/>
      <c r="P1536"/>
      <c r="Q1536"/>
      <c r="R1536"/>
      <c r="S1536"/>
      <c r="T1536"/>
      <c r="U1536"/>
      <c r="V1536"/>
      <c r="W1536"/>
      <c r="X1536"/>
      <c r="Y1536"/>
      <c r="Z1536"/>
      <c r="AA1536"/>
      <c r="AB1536"/>
      <c r="AC1536"/>
      <c r="AD1536"/>
      <c r="AE1536"/>
      <c r="AF1536"/>
      <c r="AG1536"/>
      <c r="AH1536"/>
      <c r="AI1536"/>
      <c r="AJ1536"/>
      <c r="AK1536"/>
      <c r="AL1536"/>
      <c r="AM1536"/>
      <c r="AN1536"/>
      <c r="AO1536"/>
      <c r="AP1536"/>
      <c r="AQ1536"/>
      <c r="AR1536"/>
      <c r="AS1536"/>
      <c r="AT1536"/>
      <c r="AU1536"/>
      <c r="AV1536"/>
      <c r="AW1536"/>
      <c r="AX1536"/>
      <c r="AY1536"/>
      <c r="AZ1536"/>
      <c r="BA1536"/>
      <c r="BB1536"/>
      <c r="BC1536"/>
      <c r="BD1536"/>
      <c r="BE1536"/>
      <c r="BF1536"/>
      <c r="BG1536"/>
      <c r="BH1536"/>
      <c r="BI1536"/>
      <c r="BJ1536"/>
      <c r="BK1536"/>
      <c r="BL1536"/>
      <c r="BM1536"/>
      <c r="BN1536"/>
      <c r="BO1536"/>
      <c r="BP1536"/>
      <c r="BQ1536"/>
      <c r="BR1536"/>
      <c r="BS1536"/>
      <c r="BT1536"/>
      <c r="BU1536"/>
      <c r="BV1536"/>
      <c r="BW1536"/>
      <c r="BX1536"/>
      <c r="BY1536"/>
      <c r="BZ1536"/>
      <c r="CA1536"/>
      <c r="CB1536"/>
      <c r="CC1536"/>
      <c r="CD1536"/>
      <c r="CE1536"/>
      <c r="CF1536"/>
      <c r="CG1536"/>
      <c r="CH1536"/>
      <c r="CI1536"/>
      <c r="CJ1536"/>
      <c r="CK1536"/>
      <c r="CL1536"/>
      <c r="CM1536"/>
      <c r="CN1536"/>
      <c r="CO1536"/>
      <c r="CP1536"/>
      <c r="CQ1536"/>
      <c r="CR1536"/>
      <c r="CS1536"/>
      <c r="CT1536"/>
      <c r="CU1536"/>
      <c r="CV1536"/>
      <c r="CW1536"/>
      <c r="CX1536"/>
      <c r="CY1536"/>
      <c r="CZ1536"/>
      <c r="DA1536"/>
      <c r="DB1536"/>
      <c r="DC1536"/>
      <c r="DD1536"/>
      <c r="DE1536"/>
      <c r="DF1536"/>
      <c r="DG1536"/>
      <c r="DH1536"/>
      <c r="DI1536"/>
      <c r="DJ1536"/>
      <c r="DK1536"/>
      <c r="DL1536"/>
      <c r="DM1536"/>
      <c r="DN1536"/>
      <c r="DO1536"/>
      <c r="DP1536"/>
      <c r="DQ1536"/>
      <c r="DR1536"/>
      <c r="DS1536"/>
      <c r="DT1536"/>
      <c r="DU1536"/>
      <c r="DV1536"/>
      <c r="DW1536"/>
      <c r="DX1536"/>
      <c r="DY1536"/>
      <c r="DZ1536"/>
      <c r="EA1536"/>
      <c r="EB1536"/>
      <c r="EC1536"/>
      <c r="ED1536"/>
      <c r="EE1536"/>
      <c r="EF1536"/>
      <c r="EG1536"/>
      <c r="EH1536"/>
      <c r="EI1536"/>
      <c r="EJ1536"/>
      <c r="EK1536"/>
      <c r="EL1536"/>
      <c r="EM1536"/>
      <c r="EN1536"/>
      <c r="EO1536"/>
      <c r="EP1536"/>
      <c r="EQ1536"/>
      <c r="ER1536"/>
      <c r="ES1536"/>
    </row>
    <row r="1537" spans="1:149">
      <c r="A1537"/>
      <c r="B1537"/>
      <c r="C1537"/>
      <c r="D1537"/>
      <c r="E1537"/>
      <c r="F1537"/>
      <c r="G1537"/>
      <c r="H1537"/>
      <c r="I1537"/>
      <c r="J1537"/>
      <c r="K1537"/>
      <c r="L1537"/>
      <c r="M1537"/>
      <c r="N1537"/>
      <c r="O1537"/>
      <c r="P1537"/>
      <c r="Q1537"/>
      <c r="R1537"/>
      <c r="S1537"/>
      <c r="T1537"/>
      <c r="U1537"/>
      <c r="V1537"/>
      <c r="W1537"/>
      <c r="X1537"/>
      <c r="Y1537"/>
      <c r="Z1537"/>
      <c r="AA1537"/>
      <c r="AB1537"/>
      <c r="AC1537"/>
      <c r="AD1537"/>
      <c r="AE1537"/>
      <c r="AF1537"/>
      <c r="AG1537"/>
      <c r="AH1537"/>
      <c r="AI1537"/>
      <c r="AJ1537"/>
      <c r="AK1537"/>
      <c r="AL1537"/>
      <c r="AM1537"/>
      <c r="AN1537"/>
      <c r="AO1537"/>
      <c r="AP1537"/>
      <c r="AQ1537"/>
      <c r="AR1537"/>
      <c r="AS1537"/>
      <c r="AT1537"/>
      <c r="AU1537"/>
      <c r="AV1537"/>
      <c r="AW1537"/>
      <c r="AX1537"/>
      <c r="AY1537"/>
      <c r="AZ1537"/>
      <c r="BA1537"/>
      <c r="BB1537"/>
      <c r="BC1537"/>
      <c r="BD1537"/>
      <c r="BE1537"/>
      <c r="BF1537"/>
      <c r="BG1537"/>
      <c r="BH1537"/>
      <c r="BI1537"/>
      <c r="BJ1537"/>
      <c r="BK1537"/>
      <c r="BL1537"/>
      <c r="BM1537"/>
      <c r="BN1537"/>
      <c r="BO1537"/>
      <c r="BP1537"/>
      <c r="BQ1537"/>
      <c r="BR1537"/>
      <c r="BS1537"/>
      <c r="BT1537"/>
      <c r="BU1537"/>
      <c r="BV1537"/>
      <c r="BW1537"/>
      <c r="BX1537"/>
      <c r="BY1537"/>
      <c r="BZ1537"/>
      <c r="CA1537"/>
      <c r="CB1537"/>
      <c r="CC1537"/>
      <c r="CD1537"/>
      <c r="CE1537"/>
      <c r="CF1537"/>
      <c r="CG1537"/>
      <c r="CH1537"/>
      <c r="CI1537"/>
      <c r="CJ1537"/>
      <c r="CK1537"/>
      <c r="CL1537"/>
      <c r="CM1537"/>
      <c r="CN1537"/>
      <c r="CO1537"/>
      <c r="CP1537"/>
      <c r="CQ1537"/>
      <c r="CR1537"/>
      <c r="CS1537"/>
      <c r="CT1537"/>
      <c r="CU1537"/>
      <c r="CV1537"/>
      <c r="CW1537"/>
      <c r="CX1537"/>
      <c r="CY1537"/>
      <c r="CZ1537"/>
      <c r="DA1537"/>
      <c r="DB1537"/>
      <c r="DC1537"/>
      <c r="DD1537"/>
      <c r="DE1537"/>
      <c r="DF1537"/>
      <c r="DG1537"/>
      <c r="DH1537"/>
      <c r="DI1537"/>
      <c r="DJ1537"/>
      <c r="DK1537"/>
      <c r="DL1537"/>
      <c r="DM1537"/>
      <c r="DN1537"/>
      <c r="DO1537"/>
      <c r="DP1537"/>
      <c r="DQ1537"/>
      <c r="DR1537"/>
      <c r="DS1537"/>
      <c r="DT1537"/>
      <c r="DU1537"/>
      <c r="DV1537"/>
      <c r="DW1537"/>
      <c r="DX1537"/>
      <c r="DY1537"/>
      <c r="DZ1537"/>
      <c r="EA1537"/>
      <c r="EB1537"/>
      <c r="EC1537"/>
      <c r="ED1537"/>
      <c r="EE1537"/>
      <c r="EF1537"/>
      <c r="EG1537"/>
      <c r="EH1537"/>
      <c r="EI1537"/>
      <c r="EJ1537"/>
      <c r="EK1537"/>
      <c r="EL1537"/>
      <c r="EM1537"/>
      <c r="EN1537"/>
      <c r="EO1537"/>
      <c r="EP1537"/>
      <c r="EQ1537"/>
      <c r="ER1537"/>
      <c r="ES1537"/>
    </row>
    <row r="1538" spans="1:149">
      <c r="A1538"/>
      <c r="B1538"/>
      <c r="C1538"/>
      <c r="D1538"/>
      <c r="E1538"/>
      <c r="F1538"/>
      <c r="G1538"/>
      <c r="H1538"/>
      <c r="I1538"/>
      <c r="J1538"/>
      <c r="K1538"/>
      <c r="L1538"/>
      <c r="M1538"/>
      <c r="N1538"/>
      <c r="O1538"/>
      <c r="P1538"/>
      <c r="Q1538"/>
      <c r="R1538"/>
      <c r="S1538"/>
      <c r="T1538"/>
      <c r="U1538"/>
      <c r="V1538"/>
      <c r="W1538"/>
      <c r="X1538"/>
      <c r="Y1538"/>
      <c r="Z1538"/>
      <c r="AA1538"/>
      <c r="AB1538"/>
      <c r="AC1538"/>
      <c r="AD1538"/>
      <c r="AE1538"/>
      <c r="AF1538"/>
      <c r="AG1538"/>
      <c r="AH1538"/>
      <c r="AI1538"/>
      <c r="AJ1538"/>
      <c r="AK1538"/>
      <c r="AL1538"/>
      <c r="AM1538"/>
      <c r="AN1538"/>
      <c r="AO1538"/>
      <c r="AP1538"/>
      <c r="AQ1538"/>
      <c r="AR1538"/>
      <c r="AS1538"/>
      <c r="AT1538"/>
      <c r="AU1538"/>
      <c r="AV1538"/>
      <c r="AW1538"/>
      <c r="AX1538"/>
      <c r="AY1538"/>
      <c r="AZ1538"/>
      <c r="BA1538"/>
      <c r="BB1538"/>
      <c r="BC1538"/>
      <c r="BD1538"/>
      <c r="BE1538"/>
      <c r="BF1538"/>
      <c r="BG1538"/>
      <c r="BH1538"/>
      <c r="BI1538"/>
      <c r="BJ1538"/>
      <c r="BK1538"/>
      <c r="BL1538"/>
      <c r="BM1538"/>
      <c r="BN1538"/>
      <c r="BO1538"/>
      <c r="BP1538"/>
      <c r="BQ1538"/>
      <c r="BR1538"/>
      <c r="BS1538"/>
      <c r="BT1538"/>
      <c r="BU1538"/>
      <c r="BV1538"/>
      <c r="BW1538"/>
      <c r="BX1538"/>
      <c r="BY1538"/>
      <c r="BZ1538"/>
      <c r="CA1538"/>
      <c r="CB1538"/>
      <c r="CC1538"/>
      <c r="CD1538"/>
      <c r="CE1538"/>
      <c r="CF1538"/>
      <c r="CG1538"/>
      <c r="CH1538"/>
      <c r="CI1538"/>
      <c r="CJ1538"/>
      <c r="CK1538"/>
      <c r="CL1538"/>
      <c r="CM1538"/>
      <c r="CN1538"/>
      <c r="CO1538"/>
      <c r="CP1538"/>
      <c r="CQ1538"/>
      <c r="CR1538"/>
      <c r="CS1538"/>
      <c r="CT1538"/>
      <c r="CU1538"/>
      <c r="CV1538"/>
      <c r="CW1538"/>
      <c r="CX1538"/>
      <c r="CY1538"/>
      <c r="CZ1538"/>
      <c r="DA1538"/>
      <c r="DB1538"/>
      <c r="DC1538"/>
      <c r="DD1538"/>
      <c r="DE1538"/>
      <c r="DF1538"/>
      <c r="DG1538"/>
      <c r="DH1538"/>
      <c r="DI1538"/>
      <c r="DJ1538"/>
      <c r="DK1538"/>
      <c r="DL1538"/>
      <c r="DM1538"/>
      <c r="DN1538"/>
      <c r="DO1538"/>
      <c r="DP1538"/>
      <c r="DQ1538"/>
      <c r="DR1538"/>
      <c r="DS1538"/>
      <c r="DT1538"/>
      <c r="DU1538"/>
      <c r="DV1538"/>
      <c r="DW1538"/>
      <c r="DX1538"/>
      <c r="DY1538"/>
      <c r="DZ1538"/>
      <c r="EA1538"/>
      <c r="EB1538"/>
      <c r="EC1538"/>
      <c r="ED1538"/>
      <c r="EE1538"/>
      <c r="EF1538"/>
      <c r="EG1538"/>
      <c r="EH1538"/>
      <c r="EI1538"/>
      <c r="EJ1538"/>
      <c r="EK1538"/>
      <c r="EL1538"/>
      <c r="EM1538"/>
      <c r="EN1538"/>
      <c r="EO1538"/>
      <c r="EP1538"/>
      <c r="EQ1538"/>
      <c r="ER1538"/>
      <c r="ES1538"/>
    </row>
    <row r="1539" spans="1:149">
      <c r="A1539"/>
      <c r="B1539"/>
      <c r="C1539"/>
      <c r="D1539"/>
      <c r="E1539"/>
      <c r="F1539"/>
      <c r="G1539"/>
      <c r="H1539"/>
      <c r="I1539"/>
      <c r="J1539"/>
      <c r="K1539"/>
      <c r="L1539"/>
      <c r="M1539"/>
      <c r="N1539"/>
      <c r="O1539"/>
      <c r="P1539"/>
      <c r="Q1539"/>
      <c r="R1539"/>
      <c r="S1539"/>
      <c r="T1539"/>
      <c r="U1539"/>
      <c r="V1539"/>
      <c r="W1539"/>
      <c r="X1539"/>
      <c r="Y1539"/>
      <c r="Z1539"/>
      <c r="AA1539"/>
      <c r="AB1539"/>
      <c r="AC1539"/>
      <c r="AD1539"/>
      <c r="AE1539"/>
      <c r="AF1539"/>
      <c r="AG1539"/>
      <c r="AH1539"/>
      <c r="AI1539"/>
      <c r="AJ1539"/>
      <c r="AK1539"/>
      <c r="AL1539"/>
      <c r="AM1539"/>
      <c r="AN1539"/>
      <c r="AO1539"/>
      <c r="AP1539"/>
      <c r="AQ1539"/>
      <c r="AR1539"/>
      <c r="AS1539"/>
      <c r="AT1539"/>
      <c r="AU1539"/>
      <c r="AV1539"/>
      <c r="AW1539"/>
      <c r="AX1539"/>
      <c r="AY1539"/>
      <c r="AZ1539"/>
      <c r="BA1539"/>
      <c r="BB1539"/>
      <c r="BC1539"/>
      <c r="BD1539"/>
      <c r="BE1539"/>
      <c r="BF1539"/>
      <c r="BG1539"/>
      <c r="BH1539"/>
      <c r="BI1539"/>
      <c r="BJ1539"/>
      <c r="BK1539"/>
      <c r="BL1539"/>
      <c r="BM1539"/>
      <c r="BN1539"/>
      <c r="BO1539"/>
      <c r="BP1539"/>
      <c r="BQ1539"/>
      <c r="BR1539"/>
      <c r="BS1539"/>
      <c r="BT1539"/>
      <c r="BU1539"/>
      <c r="BV1539"/>
      <c r="BW1539"/>
      <c r="BX1539"/>
      <c r="BY1539"/>
      <c r="BZ1539"/>
      <c r="CA1539"/>
      <c r="CB1539"/>
      <c r="CC1539"/>
      <c r="CD1539"/>
      <c r="CE1539"/>
      <c r="CF1539"/>
      <c r="CG1539"/>
      <c r="CH1539"/>
      <c r="CI1539"/>
      <c r="CJ1539"/>
      <c r="CK1539"/>
      <c r="CL1539"/>
      <c r="CM1539"/>
      <c r="CN1539"/>
      <c r="CO1539"/>
      <c r="CP1539"/>
      <c r="CQ1539"/>
      <c r="CR1539"/>
      <c r="CS1539"/>
      <c r="CT1539"/>
      <c r="CU1539"/>
      <c r="CV1539"/>
      <c r="CW1539"/>
      <c r="CX1539"/>
      <c r="CY1539"/>
      <c r="CZ1539"/>
      <c r="DA1539"/>
      <c r="DB1539"/>
      <c r="DC1539"/>
      <c r="DD1539"/>
      <c r="DE1539"/>
      <c r="DF1539"/>
      <c r="DG1539"/>
      <c r="DH1539"/>
      <c r="DI1539"/>
      <c r="DJ1539"/>
      <c r="DK1539"/>
      <c r="DL1539"/>
      <c r="DM1539"/>
      <c r="DN1539"/>
      <c r="DO1539"/>
      <c r="DP1539"/>
      <c r="DQ1539"/>
      <c r="DR1539"/>
      <c r="DS1539"/>
      <c r="DT1539"/>
      <c r="DU1539"/>
      <c r="DV1539"/>
      <c r="DW1539"/>
      <c r="DX1539"/>
      <c r="DY1539"/>
      <c r="DZ1539"/>
      <c r="EA1539"/>
      <c r="EB1539"/>
      <c r="EC1539"/>
      <c r="ED1539"/>
      <c r="EE1539"/>
      <c r="EF1539"/>
      <c r="EG1539"/>
      <c r="EH1539"/>
      <c r="EI1539"/>
      <c r="EJ1539"/>
      <c r="EK1539"/>
      <c r="EL1539"/>
      <c r="EM1539"/>
      <c r="EN1539"/>
      <c r="EO1539"/>
      <c r="EP1539"/>
      <c r="EQ1539"/>
      <c r="ER1539"/>
      <c r="ES1539"/>
    </row>
    <row r="1540" spans="1:149">
      <c r="A1540"/>
      <c r="B1540"/>
      <c r="C1540"/>
      <c r="D1540"/>
      <c r="E1540"/>
      <c r="F1540"/>
      <c r="G1540"/>
      <c r="H1540"/>
      <c r="I1540"/>
      <c r="J1540"/>
      <c r="K1540"/>
      <c r="L1540"/>
      <c r="M1540"/>
      <c r="N1540"/>
      <c r="O1540"/>
      <c r="P1540"/>
      <c r="Q1540"/>
      <c r="R1540"/>
      <c r="S1540"/>
      <c r="T1540"/>
      <c r="U1540"/>
      <c r="V1540"/>
      <c r="W1540"/>
      <c r="X1540"/>
      <c r="Y1540"/>
      <c r="Z1540"/>
      <c r="AA1540"/>
      <c r="AB1540"/>
      <c r="AC1540"/>
      <c r="AD1540"/>
      <c r="AE1540"/>
      <c r="AF1540"/>
      <c r="AG1540"/>
      <c r="AH1540"/>
      <c r="AI1540"/>
      <c r="AJ1540"/>
      <c r="AK1540"/>
      <c r="AL1540"/>
      <c r="AM1540"/>
      <c r="AN1540"/>
      <c r="AO1540"/>
      <c r="AP1540"/>
      <c r="AQ1540"/>
      <c r="AR1540"/>
      <c r="AS1540"/>
      <c r="AT1540"/>
      <c r="AU1540"/>
      <c r="AV1540"/>
      <c r="AW1540"/>
      <c r="AX1540"/>
      <c r="AY1540"/>
      <c r="AZ1540"/>
      <c r="BA1540"/>
      <c r="BB1540"/>
      <c r="BC1540"/>
      <c r="BD1540"/>
      <c r="BE1540"/>
      <c r="BF1540"/>
      <c r="BG1540"/>
      <c r="BH1540"/>
      <c r="BI1540"/>
      <c r="BJ1540"/>
      <c r="BK1540"/>
      <c r="BL1540"/>
      <c r="BM1540"/>
      <c r="BN1540"/>
      <c r="BO1540"/>
      <c r="BP1540"/>
      <c r="BQ1540"/>
      <c r="BR1540"/>
      <c r="BS1540"/>
      <c r="BT1540"/>
      <c r="BU1540"/>
      <c r="BV1540"/>
      <c r="BW1540"/>
      <c r="BX1540"/>
      <c r="BY1540"/>
      <c r="BZ1540"/>
      <c r="CA1540"/>
      <c r="CB1540"/>
      <c r="CC1540"/>
      <c r="CD1540"/>
      <c r="CE1540"/>
      <c r="CF1540"/>
      <c r="CG1540"/>
      <c r="CH1540"/>
      <c r="CI1540"/>
      <c r="CJ1540"/>
      <c r="CK1540"/>
      <c r="CL1540"/>
      <c r="CM1540"/>
      <c r="CN1540"/>
      <c r="CO1540"/>
      <c r="CP1540"/>
      <c r="CQ1540"/>
      <c r="CR1540"/>
      <c r="CS1540"/>
      <c r="CT1540"/>
      <c r="CU1540"/>
      <c r="CV1540"/>
      <c r="CW1540"/>
      <c r="CX1540"/>
      <c r="CY1540"/>
      <c r="CZ1540"/>
      <c r="DA1540"/>
      <c r="DB1540"/>
      <c r="DC1540"/>
      <c r="DD1540"/>
      <c r="DE1540"/>
      <c r="DF1540"/>
      <c r="DG1540"/>
      <c r="DH1540"/>
      <c r="DI1540"/>
      <c r="DJ1540"/>
      <c r="DK1540"/>
      <c r="DL1540"/>
      <c r="DM1540"/>
      <c r="DN1540"/>
      <c r="DO1540"/>
      <c r="DP1540"/>
      <c r="DQ1540"/>
      <c r="DR1540"/>
      <c r="DS1540"/>
      <c r="DT1540"/>
      <c r="DU1540"/>
      <c r="DV1540"/>
      <c r="DW1540"/>
      <c r="DX1540"/>
      <c r="DY1540"/>
      <c r="DZ1540"/>
      <c r="EA1540"/>
      <c r="EB1540"/>
      <c r="EC1540"/>
      <c r="ED1540"/>
      <c r="EE1540"/>
      <c r="EF1540"/>
      <c r="EG1540"/>
      <c r="EH1540"/>
      <c r="EI1540"/>
      <c r="EJ1540"/>
      <c r="EK1540"/>
      <c r="EL1540"/>
      <c r="EM1540"/>
      <c r="EN1540"/>
      <c r="EO1540"/>
      <c r="EP1540"/>
      <c r="EQ1540"/>
      <c r="ER1540"/>
      <c r="ES1540"/>
    </row>
    <row r="1541" spans="1:149">
      <c r="A1541"/>
      <c r="B1541"/>
      <c r="C1541"/>
      <c r="D1541"/>
      <c r="E1541"/>
      <c r="F1541"/>
      <c r="G1541"/>
      <c r="H1541"/>
      <c r="I1541"/>
      <c r="J1541"/>
      <c r="K1541"/>
      <c r="L1541"/>
      <c r="M1541"/>
      <c r="N1541"/>
      <c r="O1541"/>
      <c r="P1541"/>
      <c r="Q1541"/>
      <c r="R1541"/>
      <c r="S1541"/>
      <c r="T1541"/>
      <c r="U1541"/>
      <c r="V1541"/>
      <c r="W1541"/>
      <c r="X1541"/>
      <c r="Y1541"/>
      <c r="Z1541"/>
      <c r="AA1541"/>
      <c r="AB1541"/>
      <c r="AC1541"/>
      <c r="AD1541"/>
      <c r="AE1541"/>
      <c r="AF1541"/>
      <c r="AG1541"/>
      <c r="AH1541"/>
      <c r="AI1541"/>
      <c r="AJ1541"/>
      <c r="AK1541"/>
      <c r="AL1541"/>
      <c r="AM1541"/>
      <c r="AN1541"/>
      <c r="AO1541"/>
      <c r="AP1541"/>
      <c r="AQ1541"/>
      <c r="AR1541"/>
      <c r="AS1541"/>
      <c r="AT1541"/>
      <c r="AU1541"/>
      <c r="AV1541"/>
      <c r="AW1541"/>
      <c r="AX1541"/>
      <c r="AY1541"/>
      <c r="AZ1541"/>
      <c r="BA1541"/>
      <c r="BB1541"/>
      <c r="BC1541"/>
      <c r="BD1541"/>
      <c r="BE1541"/>
      <c r="BF1541"/>
      <c r="BG1541"/>
      <c r="BH1541"/>
      <c r="BI1541"/>
      <c r="BJ1541"/>
      <c r="BK1541"/>
      <c r="BL1541"/>
      <c r="BM1541"/>
      <c r="BN1541"/>
      <c r="BO1541"/>
      <c r="BP1541"/>
      <c r="BQ1541"/>
      <c r="BR1541"/>
      <c r="BS1541"/>
      <c r="BT1541"/>
      <c r="BU1541"/>
      <c r="BV1541"/>
      <c r="BW1541"/>
      <c r="BX1541"/>
      <c r="BY1541"/>
      <c r="BZ1541"/>
      <c r="CA1541"/>
      <c r="CB1541"/>
      <c r="CC1541"/>
      <c r="CD1541"/>
      <c r="CE1541"/>
      <c r="CF1541"/>
      <c r="CG1541"/>
      <c r="CH1541"/>
      <c r="CI1541"/>
      <c r="CJ1541"/>
      <c r="CK1541"/>
      <c r="CL1541"/>
      <c r="CM1541"/>
      <c r="CN1541"/>
      <c r="CO1541"/>
      <c r="CP1541"/>
      <c r="CQ1541"/>
      <c r="CR1541"/>
      <c r="CS1541"/>
      <c r="CT1541"/>
      <c r="CU1541"/>
      <c r="CV1541"/>
      <c r="CW1541"/>
      <c r="CX1541"/>
      <c r="CY1541"/>
      <c r="CZ1541"/>
      <c r="DA1541"/>
      <c r="DB1541"/>
      <c r="DC1541"/>
      <c r="DD1541"/>
      <c r="DE1541"/>
      <c r="DF1541"/>
      <c r="DG1541"/>
      <c r="DH1541"/>
      <c r="DI1541"/>
      <c r="DJ1541"/>
      <c r="DK1541"/>
      <c r="DL1541"/>
      <c r="DM1541"/>
      <c r="DN1541"/>
      <c r="DO1541"/>
      <c r="DP1541"/>
      <c r="DQ1541"/>
      <c r="DR1541"/>
      <c r="DS1541"/>
      <c r="DT1541"/>
      <c r="DU1541"/>
      <c r="DV1541"/>
      <c r="DW1541"/>
      <c r="DX1541"/>
      <c r="DY1541"/>
      <c r="DZ1541"/>
      <c r="EA1541"/>
      <c r="EB1541"/>
      <c r="EC1541"/>
      <c r="ED1541"/>
      <c r="EE1541"/>
      <c r="EF1541"/>
      <c r="EG1541"/>
      <c r="EH1541"/>
      <c r="EI1541"/>
      <c r="EJ1541"/>
      <c r="EK1541"/>
      <c r="EL1541"/>
      <c r="EM1541"/>
      <c r="EN1541"/>
      <c r="EO1541"/>
      <c r="EP1541"/>
      <c r="EQ1541"/>
      <c r="ER1541"/>
      <c r="ES1541"/>
    </row>
    <row r="1542" spans="1:149">
      <c r="A1542"/>
      <c r="B1542"/>
      <c r="C1542"/>
      <c r="D1542"/>
      <c r="E1542"/>
      <c r="F1542"/>
      <c r="G1542"/>
      <c r="H1542"/>
      <c r="I1542"/>
      <c r="J1542"/>
      <c r="K1542"/>
      <c r="L1542"/>
      <c r="M1542"/>
      <c r="N1542"/>
      <c r="O1542"/>
      <c r="P1542"/>
      <c r="Q1542"/>
      <c r="R1542"/>
      <c r="S1542"/>
      <c r="T1542"/>
      <c r="U1542"/>
      <c r="V1542"/>
      <c r="W1542"/>
      <c r="X1542"/>
      <c r="Y1542"/>
      <c r="Z1542"/>
      <c r="AA1542"/>
      <c r="AB1542"/>
      <c r="AC1542"/>
      <c r="AD1542"/>
      <c r="AE1542"/>
      <c r="AF1542"/>
      <c r="AG1542"/>
      <c r="AH1542"/>
      <c r="AI1542"/>
      <c r="AJ1542"/>
      <c r="AK1542"/>
      <c r="AL1542"/>
      <c r="AM1542"/>
      <c r="AN1542"/>
      <c r="AO1542"/>
      <c r="AP1542"/>
      <c r="AQ1542"/>
      <c r="AR1542"/>
      <c r="AS1542"/>
      <c r="AT1542"/>
      <c r="AU1542"/>
      <c r="AV1542"/>
      <c r="AW1542"/>
      <c r="AX1542"/>
      <c r="AY1542"/>
      <c r="AZ1542"/>
      <c r="BA1542"/>
      <c r="BB1542"/>
      <c r="BC1542"/>
      <c r="BD1542"/>
      <c r="BE1542"/>
      <c r="BF1542"/>
      <c r="BG1542"/>
      <c r="BH1542"/>
      <c r="BI1542"/>
      <c r="BJ1542"/>
      <c r="BK1542"/>
      <c r="BL1542"/>
      <c r="BM1542"/>
      <c r="BN1542"/>
      <c r="BO1542"/>
      <c r="BP1542"/>
      <c r="BQ1542"/>
      <c r="BR1542"/>
      <c r="BS1542"/>
      <c r="BT1542"/>
      <c r="BU1542"/>
      <c r="BV1542"/>
      <c r="BW1542"/>
      <c r="BX1542"/>
      <c r="BY1542"/>
      <c r="BZ1542"/>
      <c r="CA1542"/>
      <c r="CB1542"/>
      <c r="CC1542"/>
      <c r="CD1542"/>
      <c r="CE1542"/>
      <c r="CF1542"/>
      <c r="CG1542"/>
      <c r="CH1542"/>
      <c r="CI1542"/>
      <c r="CJ1542"/>
      <c r="CK1542"/>
      <c r="CL1542"/>
      <c r="CM1542"/>
      <c r="CN1542"/>
      <c r="CO1542"/>
      <c r="CP1542"/>
      <c r="CQ1542"/>
      <c r="CR1542"/>
      <c r="CS1542"/>
      <c r="CT1542"/>
      <c r="CU1542"/>
      <c r="CV1542"/>
      <c r="CW1542"/>
      <c r="CX1542"/>
      <c r="CY1542"/>
      <c r="CZ1542"/>
      <c r="DA1542"/>
      <c r="DB1542"/>
      <c r="DC1542"/>
      <c r="DD1542"/>
      <c r="DE1542"/>
      <c r="DF1542"/>
      <c r="DG1542"/>
      <c r="DH1542"/>
      <c r="DI1542"/>
      <c r="DJ1542"/>
      <c r="DK1542"/>
      <c r="DL1542"/>
      <c r="DM1542"/>
      <c r="DN1542"/>
      <c r="DO1542"/>
      <c r="DP1542"/>
      <c r="DQ1542"/>
      <c r="DR1542"/>
      <c r="DS1542"/>
      <c r="DT1542"/>
      <c r="DU1542"/>
      <c r="DV1542"/>
      <c r="DW1542"/>
      <c r="DX1542"/>
      <c r="DY1542"/>
      <c r="DZ1542"/>
      <c r="EA1542"/>
      <c r="EB1542"/>
      <c r="EC1542"/>
      <c r="ED1542"/>
      <c r="EE1542"/>
      <c r="EF1542"/>
      <c r="EG1542"/>
      <c r="EH1542"/>
      <c r="EI1542"/>
      <c r="EJ1542"/>
      <c r="EK1542"/>
      <c r="EL1542"/>
      <c r="EM1542"/>
      <c r="EN1542"/>
      <c r="EO1542"/>
      <c r="EP1542"/>
      <c r="EQ1542"/>
      <c r="ER1542"/>
      <c r="ES1542"/>
    </row>
    <row r="1543" spans="1:149">
      <c r="A1543"/>
      <c r="B1543"/>
      <c r="C1543"/>
      <c r="D1543"/>
      <c r="E1543"/>
      <c r="F1543"/>
      <c r="G1543"/>
      <c r="H1543"/>
      <c r="I1543"/>
      <c r="J1543"/>
      <c r="K1543"/>
      <c r="L1543"/>
      <c r="M1543"/>
      <c r="N1543"/>
      <c r="O1543"/>
      <c r="P1543"/>
      <c r="Q1543"/>
      <c r="R1543"/>
      <c r="S1543"/>
      <c r="T1543"/>
      <c r="U1543"/>
      <c r="V1543"/>
      <c r="W1543"/>
      <c r="X1543"/>
      <c r="Y1543"/>
      <c r="Z1543"/>
      <c r="AA1543"/>
      <c r="AB1543"/>
      <c r="AC1543"/>
      <c r="AD1543"/>
      <c r="AE1543"/>
      <c r="AF1543"/>
      <c r="AG1543"/>
      <c r="AH1543"/>
      <c r="AI1543"/>
      <c r="AJ1543"/>
      <c r="AK1543"/>
      <c r="AL1543"/>
      <c r="AM1543"/>
      <c r="AN1543"/>
      <c r="AO1543"/>
      <c r="AP1543"/>
      <c r="AQ1543"/>
      <c r="AR1543"/>
      <c r="AS1543"/>
      <c r="AT1543"/>
      <c r="AU1543"/>
      <c r="AV1543"/>
      <c r="AW1543"/>
      <c r="AX1543"/>
      <c r="AY1543"/>
      <c r="AZ1543"/>
      <c r="BA1543"/>
      <c r="BB1543"/>
      <c r="BC1543"/>
      <c r="BD1543"/>
      <c r="BE1543"/>
      <c r="BF1543"/>
      <c r="BG1543"/>
      <c r="BH1543"/>
      <c r="BI1543"/>
      <c r="BJ1543"/>
      <c r="BK1543"/>
      <c r="BL1543"/>
      <c r="BM1543"/>
      <c r="BN1543"/>
      <c r="BO1543"/>
      <c r="BP1543"/>
      <c r="BQ1543"/>
      <c r="BR1543"/>
      <c r="BS1543"/>
      <c r="BT1543"/>
      <c r="BU1543"/>
      <c r="BV1543"/>
      <c r="BW1543"/>
      <c r="BX1543"/>
      <c r="BY1543"/>
      <c r="BZ1543"/>
      <c r="CA1543"/>
      <c r="CB1543"/>
      <c r="CC1543"/>
      <c r="CD1543"/>
      <c r="CE1543"/>
      <c r="CF1543"/>
      <c r="CG1543"/>
      <c r="CH1543"/>
      <c r="CI1543"/>
      <c r="CJ1543"/>
      <c r="CK1543"/>
      <c r="CL1543"/>
      <c r="CM1543"/>
      <c r="CN1543"/>
      <c r="CO1543"/>
      <c r="CP1543"/>
      <c r="CQ1543"/>
      <c r="CR1543"/>
      <c r="CS1543"/>
      <c r="CT1543"/>
      <c r="CU1543"/>
      <c r="CV1543"/>
      <c r="CW1543"/>
      <c r="CX1543"/>
      <c r="CY1543"/>
      <c r="CZ1543"/>
      <c r="DA1543"/>
      <c r="DB1543"/>
      <c r="DC1543"/>
      <c r="DD1543"/>
      <c r="DE1543"/>
      <c r="DF1543"/>
      <c r="DG1543"/>
      <c r="DH1543"/>
      <c r="DI1543"/>
      <c r="DJ1543"/>
      <c r="DK1543"/>
      <c r="DL1543"/>
      <c r="DM1543"/>
      <c r="DN1543"/>
      <c r="DO1543"/>
      <c r="DP1543"/>
      <c r="DQ1543"/>
      <c r="DR1543"/>
      <c r="DS1543"/>
      <c r="DT1543"/>
      <c r="DU1543"/>
      <c r="DV1543"/>
      <c r="DW1543"/>
      <c r="DX1543"/>
      <c r="DY1543"/>
      <c r="DZ1543"/>
      <c r="EA1543"/>
      <c r="EB1543"/>
      <c r="EC1543"/>
      <c r="ED1543"/>
      <c r="EE1543"/>
      <c r="EF1543"/>
      <c r="EG1543"/>
      <c r="EH1543"/>
      <c r="EI1543"/>
      <c r="EJ1543"/>
      <c r="EK1543"/>
      <c r="EL1543"/>
      <c r="EM1543"/>
      <c r="EN1543"/>
      <c r="EO1543"/>
      <c r="EP1543"/>
      <c r="EQ1543"/>
      <c r="ER1543"/>
      <c r="ES1543"/>
    </row>
    <row r="1544" spans="1:149">
      <c r="A1544"/>
      <c r="B1544"/>
      <c r="C1544"/>
      <c r="D1544"/>
      <c r="E1544"/>
      <c r="F1544"/>
      <c r="G1544"/>
      <c r="H1544"/>
      <c r="I1544"/>
      <c r="J1544"/>
      <c r="K1544"/>
      <c r="L1544"/>
      <c r="M1544"/>
      <c r="N1544"/>
      <c r="O1544"/>
      <c r="P1544"/>
      <c r="Q1544"/>
      <c r="R1544"/>
      <c r="S1544"/>
      <c r="T1544"/>
      <c r="U1544"/>
      <c r="V1544"/>
      <c r="W1544"/>
      <c r="X1544"/>
      <c r="Y1544"/>
      <c r="Z1544"/>
      <c r="AA1544"/>
      <c r="AB1544"/>
      <c r="AC1544"/>
      <c r="AD1544"/>
      <c r="AE1544"/>
      <c r="AF1544"/>
      <c r="AG1544"/>
      <c r="AH1544"/>
      <c r="AI1544"/>
      <c r="AJ1544"/>
      <c r="AK1544"/>
      <c r="AL1544"/>
      <c r="AM1544"/>
      <c r="AN1544"/>
      <c r="AO1544"/>
      <c r="AP1544"/>
      <c r="AQ1544"/>
      <c r="AR1544"/>
      <c r="AS1544"/>
      <c r="AT1544"/>
      <c r="AU1544"/>
      <c r="AV1544"/>
      <c r="AW1544"/>
      <c r="AX1544"/>
      <c r="AY1544"/>
      <c r="AZ1544"/>
      <c r="BA1544"/>
      <c r="BB1544"/>
      <c r="BC1544"/>
      <c r="BD1544"/>
      <c r="BE1544"/>
      <c r="BF1544"/>
      <c r="BG1544"/>
      <c r="BH1544"/>
      <c r="BI1544"/>
      <c r="BJ1544"/>
      <c r="BK1544"/>
      <c r="BL1544"/>
      <c r="BM1544"/>
      <c r="BN1544"/>
      <c r="BO1544"/>
      <c r="BP1544"/>
      <c r="BQ1544"/>
      <c r="BR1544"/>
      <c r="BS1544"/>
      <c r="BT1544"/>
      <c r="BU1544"/>
      <c r="BV1544"/>
      <c r="BW1544"/>
      <c r="BX1544"/>
      <c r="BY1544"/>
      <c r="BZ1544"/>
      <c r="CA1544"/>
      <c r="CB1544"/>
      <c r="CC1544"/>
      <c r="CD1544"/>
      <c r="CE1544"/>
      <c r="CF1544"/>
      <c r="CG1544"/>
      <c r="CH1544"/>
      <c r="CI1544"/>
      <c r="CJ1544"/>
      <c r="CK1544"/>
      <c r="CL1544"/>
      <c r="CM1544"/>
      <c r="CN1544"/>
      <c r="CO1544"/>
      <c r="CP1544"/>
      <c r="CQ1544"/>
      <c r="CR1544"/>
      <c r="CS1544"/>
      <c r="CT1544"/>
      <c r="CU1544"/>
      <c r="CV1544"/>
      <c r="CW1544"/>
      <c r="CX1544"/>
      <c r="CY1544"/>
      <c r="CZ1544"/>
      <c r="DA1544"/>
      <c r="DB1544"/>
      <c r="DC1544"/>
      <c r="DD1544"/>
      <c r="DE1544"/>
      <c r="DF1544"/>
      <c r="DG1544"/>
      <c r="DH1544"/>
      <c r="DI1544"/>
      <c r="DJ1544"/>
      <c r="DK1544"/>
      <c r="DL1544"/>
      <c r="DM1544"/>
      <c r="DN1544"/>
      <c r="DO1544"/>
      <c r="DP1544"/>
      <c r="DQ1544"/>
      <c r="DR1544"/>
      <c r="DS1544"/>
      <c r="DT1544"/>
      <c r="DU1544"/>
      <c r="DV1544"/>
      <c r="DW1544"/>
      <c r="DX1544"/>
      <c r="DY1544"/>
      <c r="DZ1544"/>
      <c r="EA1544"/>
      <c r="EB1544"/>
      <c r="EC1544"/>
      <c r="ED1544"/>
      <c r="EE1544"/>
      <c r="EF1544"/>
      <c r="EG1544"/>
      <c r="EH1544"/>
      <c r="EI1544"/>
      <c r="EJ1544"/>
      <c r="EK1544"/>
      <c r="EL1544"/>
      <c r="EM1544"/>
      <c r="EN1544"/>
      <c r="EO1544"/>
      <c r="EP1544"/>
      <c r="EQ1544"/>
      <c r="ER1544"/>
      <c r="ES1544"/>
    </row>
    <row r="1545" spans="1:149">
      <c r="A1545"/>
      <c r="B1545"/>
      <c r="C1545"/>
      <c r="D1545"/>
      <c r="E1545"/>
      <c r="F1545"/>
      <c r="G1545"/>
      <c r="H1545"/>
      <c r="I1545"/>
      <c r="J1545"/>
      <c r="K1545"/>
      <c r="L1545"/>
      <c r="M1545"/>
      <c r="N1545"/>
      <c r="O1545"/>
      <c r="P1545"/>
      <c r="Q1545"/>
      <c r="R1545"/>
      <c r="S1545"/>
      <c r="T1545"/>
      <c r="U1545"/>
      <c r="V1545"/>
      <c r="W1545"/>
      <c r="X1545"/>
      <c r="Y1545"/>
      <c r="Z1545"/>
      <c r="AA1545"/>
      <c r="AB1545"/>
      <c r="AC1545"/>
      <c r="AD1545"/>
      <c r="AE1545"/>
      <c r="AF1545"/>
      <c r="AG1545"/>
      <c r="AH1545"/>
      <c r="AI1545"/>
      <c r="AJ1545"/>
      <c r="AK1545"/>
      <c r="AL1545"/>
      <c r="AM1545"/>
      <c r="AN1545"/>
      <c r="AO1545"/>
      <c r="AP1545"/>
      <c r="AQ1545"/>
      <c r="AR1545"/>
      <c r="AS1545"/>
      <c r="AT1545"/>
      <c r="AU1545"/>
      <c r="AV1545"/>
      <c r="AW1545"/>
      <c r="AX1545"/>
      <c r="AY1545"/>
      <c r="AZ1545"/>
      <c r="BA1545"/>
      <c r="BB1545"/>
      <c r="BC1545"/>
      <c r="BD1545"/>
      <c r="BE1545"/>
      <c r="BF1545"/>
      <c r="BG1545"/>
      <c r="BH1545"/>
      <c r="BI1545"/>
      <c r="BJ1545"/>
      <c r="BK1545"/>
      <c r="BL1545"/>
      <c r="BM1545"/>
      <c r="BN1545"/>
      <c r="BO1545"/>
      <c r="BP1545"/>
      <c r="BQ1545"/>
      <c r="BR1545"/>
      <c r="BS1545"/>
      <c r="BT1545"/>
      <c r="BU1545"/>
      <c r="BV1545"/>
      <c r="BW1545"/>
      <c r="BX1545"/>
      <c r="BY1545"/>
      <c r="BZ1545"/>
      <c r="CA1545"/>
      <c r="CB1545"/>
      <c r="CC1545"/>
      <c r="CD1545"/>
      <c r="CE1545"/>
      <c r="CF1545"/>
      <c r="CG1545"/>
      <c r="CH1545"/>
      <c r="CI1545"/>
      <c r="CJ1545"/>
      <c r="CK1545"/>
      <c r="CL1545"/>
      <c r="CM1545"/>
      <c r="CN1545"/>
      <c r="CO1545"/>
      <c r="CP1545"/>
      <c r="CQ1545"/>
      <c r="CR1545"/>
      <c r="CS1545"/>
      <c r="CT1545"/>
      <c r="CU1545"/>
      <c r="CV1545"/>
      <c r="CW1545"/>
      <c r="CX1545"/>
      <c r="CY1545"/>
      <c r="CZ1545"/>
      <c r="DA1545"/>
      <c r="DB1545"/>
      <c r="DC1545"/>
      <c r="DD1545"/>
      <c r="DE1545"/>
      <c r="DF1545"/>
      <c r="DG1545"/>
      <c r="DH1545"/>
      <c r="DI1545"/>
      <c r="DJ1545"/>
      <c r="DK1545"/>
      <c r="DL1545"/>
      <c r="DM1545"/>
      <c r="DN1545"/>
      <c r="DO1545"/>
      <c r="DP1545"/>
      <c r="DQ1545"/>
      <c r="DR1545"/>
      <c r="DS1545"/>
      <c r="DT1545"/>
      <c r="DU1545"/>
      <c r="DV1545"/>
      <c r="DW1545"/>
      <c r="DX1545"/>
      <c r="DY1545"/>
      <c r="DZ1545"/>
      <c r="EA1545"/>
      <c r="EB1545"/>
      <c r="EC1545"/>
      <c r="ED1545"/>
      <c r="EE1545"/>
      <c r="EF1545"/>
      <c r="EG1545"/>
      <c r="EH1545"/>
      <c r="EI1545"/>
      <c r="EJ1545"/>
      <c r="EK1545"/>
      <c r="EL1545"/>
      <c r="EM1545"/>
      <c r="EN1545"/>
      <c r="EO1545"/>
      <c r="EP1545"/>
      <c r="EQ1545"/>
      <c r="ER1545"/>
      <c r="ES1545"/>
    </row>
    <row r="1546" spans="1:149">
      <c r="A1546"/>
      <c r="B1546"/>
      <c r="C1546"/>
      <c r="D1546"/>
      <c r="E1546"/>
      <c r="F1546"/>
      <c r="G1546"/>
      <c r="H1546"/>
      <c r="I1546"/>
      <c r="J1546"/>
      <c r="K1546"/>
      <c r="L1546"/>
      <c r="M1546"/>
      <c r="N1546"/>
      <c r="O1546"/>
      <c r="P1546"/>
      <c r="Q1546"/>
      <c r="R1546"/>
      <c r="S1546"/>
      <c r="T1546"/>
      <c r="U1546"/>
      <c r="V1546"/>
      <c r="W1546"/>
      <c r="X1546"/>
      <c r="Y1546"/>
      <c r="Z1546"/>
      <c r="AA1546"/>
      <c r="AB1546"/>
      <c r="AC1546"/>
      <c r="AD1546"/>
      <c r="AE1546"/>
      <c r="AF1546"/>
      <c r="AG1546"/>
      <c r="AH1546"/>
      <c r="AI1546"/>
      <c r="AJ1546"/>
      <c r="AK1546"/>
      <c r="AL1546"/>
      <c r="AM1546"/>
      <c r="AN1546"/>
      <c r="AO1546"/>
      <c r="AP1546"/>
      <c r="AQ1546"/>
      <c r="AR1546"/>
      <c r="AS1546"/>
      <c r="AT1546"/>
      <c r="AU1546"/>
      <c r="AV1546"/>
      <c r="AW1546"/>
      <c r="AX1546"/>
      <c r="AY1546"/>
      <c r="AZ1546"/>
      <c r="BA1546"/>
      <c r="BB1546"/>
      <c r="BC1546"/>
      <c r="BD1546"/>
      <c r="BE1546"/>
      <c r="BF1546"/>
      <c r="BG1546"/>
      <c r="BH1546"/>
      <c r="BI1546"/>
      <c r="BJ1546"/>
      <c r="BK1546"/>
      <c r="BL1546"/>
      <c r="BM1546"/>
      <c r="BN1546"/>
      <c r="BO1546"/>
      <c r="BP1546"/>
      <c r="BQ1546"/>
      <c r="BR1546"/>
      <c r="BS1546"/>
      <c r="BT1546"/>
      <c r="BU1546"/>
      <c r="BV1546"/>
      <c r="BW1546"/>
      <c r="BX1546"/>
      <c r="BY1546"/>
      <c r="BZ1546"/>
      <c r="CA1546"/>
      <c r="CB1546"/>
      <c r="CC1546"/>
      <c r="CD1546"/>
      <c r="CE1546"/>
      <c r="CF1546"/>
      <c r="CG1546"/>
      <c r="CH1546"/>
      <c r="CI1546"/>
      <c r="CJ1546"/>
      <c r="CK1546"/>
      <c r="CL1546"/>
      <c r="CM1546"/>
      <c r="CN1546"/>
      <c r="CO1546"/>
      <c r="CP1546"/>
      <c r="CQ1546"/>
      <c r="CR1546"/>
      <c r="CS1546"/>
      <c r="CT1546"/>
      <c r="CU1546"/>
      <c r="CV1546"/>
      <c r="CW1546"/>
      <c r="CX1546"/>
      <c r="CY1546"/>
      <c r="CZ1546"/>
      <c r="DA1546"/>
      <c r="DB1546"/>
      <c r="DC1546"/>
      <c r="DD1546"/>
      <c r="DE1546"/>
      <c r="DF1546"/>
      <c r="DG1546"/>
      <c r="DH1546"/>
      <c r="DI1546"/>
      <c r="DJ1546"/>
      <c r="DK1546"/>
      <c r="DL1546"/>
      <c r="DM1546"/>
      <c r="DN1546"/>
      <c r="DO1546"/>
      <c r="DP1546"/>
      <c r="DQ1546"/>
      <c r="DR1546"/>
      <c r="DS1546"/>
      <c r="DT1546"/>
      <c r="DU1546"/>
      <c r="DV1546"/>
      <c r="DW1546"/>
      <c r="DX1546"/>
      <c r="DY1546"/>
      <c r="DZ1546"/>
      <c r="EA1546"/>
      <c r="EB1546"/>
      <c r="EC1546"/>
      <c r="ED1546"/>
      <c r="EE1546"/>
      <c r="EF1546"/>
      <c r="EG1546"/>
      <c r="EH1546"/>
      <c r="EI1546"/>
      <c r="EJ1546"/>
      <c r="EK1546"/>
      <c r="EL1546"/>
      <c r="EM1546"/>
      <c r="EN1546"/>
      <c r="EO1546"/>
      <c r="EP1546"/>
      <c r="EQ1546"/>
      <c r="ER1546"/>
      <c r="ES1546"/>
    </row>
    <row r="1547" spans="1:149">
      <c r="A1547"/>
      <c r="B1547"/>
      <c r="C1547"/>
      <c r="D1547"/>
      <c r="E1547"/>
      <c r="F1547"/>
      <c r="G1547"/>
      <c r="H1547"/>
      <c r="I1547"/>
      <c r="J1547"/>
      <c r="K1547"/>
      <c r="L1547"/>
      <c r="M1547"/>
      <c r="N1547"/>
      <c r="O1547"/>
      <c r="P1547"/>
      <c r="Q1547"/>
      <c r="R1547"/>
      <c r="S1547"/>
      <c r="T1547"/>
      <c r="U1547"/>
      <c r="V1547"/>
      <c r="W1547"/>
      <c r="X1547"/>
      <c r="Y1547"/>
      <c r="Z1547"/>
      <c r="AA1547"/>
      <c r="AB1547"/>
      <c r="AC1547"/>
      <c r="AD1547"/>
      <c r="AE1547"/>
      <c r="AF1547"/>
      <c r="AG1547"/>
      <c r="AH1547"/>
      <c r="AI1547"/>
      <c r="AJ1547"/>
      <c r="AK1547"/>
      <c r="AL1547"/>
      <c r="AM1547"/>
      <c r="AN1547"/>
      <c r="AO1547"/>
      <c r="AP1547"/>
      <c r="AQ1547"/>
      <c r="AR1547"/>
      <c r="AS1547"/>
      <c r="AT1547"/>
      <c r="AU1547"/>
      <c r="AV1547"/>
      <c r="AW1547"/>
      <c r="AX1547"/>
      <c r="AY1547"/>
      <c r="AZ1547"/>
      <c r="BA1547"/>
      <c r="BB1547"/>
      <c r="BC1547"/>
      <c r="BD1547"/>
      <c r="BE1547"/>
      <c r="BF1547"/>
      <c r="BG1547"/>
      <c r="BH1547"/>
      <c r="BI1547"/>
      <c r="BJ1547"/>
      <c r="BK1547"/>
      <c r="BL1547"/>
      <c r="BM1547"/>
      <c r="BN1547"/>
      <c r="BO1547"/>
      <c r="BP1547"/>
      <c r="BQ1547"/>
      <c r="BR1547"/>
      <c r="BS1547"/>
      <c r="BT1547"/>
      <c r="BU1547"/>
      <c r="BV1547"/>
      <c r="BW1547"/>
      <c r="BX1547"/>
      <c r="BY1547"/>
      <c r="BZ1547"/>
      <c r="CA1547"/>
      <c r="CB1547"/>
      <c r="CC1547"/>
      <c r="CD1547"/>
      <c r="CE1547"/>
      <c r="CF1547"/>
      <c r="CG1547"/>
      <c r="CH1547"/>
      <c r="CI1547"/>
      <c r="CJ1547"/>
      <c r="CK1547"/>
      <c r="CL1547"/>
      <c r="CM1547"/>
      <c r="CN1547"/>
      <c r="CO1547"/>
      <c r="CP1547"/>
      <c r="CQ1547"/>
      <c r="CR1547"/>
      <c r="CS1547"/>
      <c r="CT1547"/>
      <c r="CU1547"/>
      <c r="CV1547"/>
      <c r="CW1547"/>
      <c r="CX1547"/>
      <c r="CY1547"/>
      <c r="CZ1547"/>
      <c r="DA1547"/>
      <c r="DB1547"/>
      <c r="DC1547"/>
      <c r="DD1547"/>
      <c r="DE1547"/>
      <c r="DF1547"/>
      <c r="DG1547"/>
      <c r="DH1547"/>
      <c r="DI1547"/>
      <c r="DJ1547"/>
      <c r="DK1547"/>
      <c r="DL1547"/>
      <c r="DM1547"/>
      <c r="DN1547"/>
      <c r="DO1547"/>
      <c r="DP1547"/>
      <c r="DQ1547"/>
      <c r="DR1547"/>
      <c r="DS1547"/>
      <c r="DT1547"/>
      <c r="DU1547"/>
      <c r="DV1547"/>
      <c r="DW1547"/>
      <c r="DX1547"/>
      <c r="DY1547"/>
      <c r="DZ1547"/>
      <c r="EA1547"/>
      <c r="EB1547"/>
      <c r="EC1547"/>
      <c r="ED1547"/>
      <c r="EE1547"/>
      <c r="EF1547"/>
      <c r="EG1547"/>
      <c r="EH1547"/>
      <c r="EI1547"/>
      <c r="EJ1547"/>
      <c r="EK1547"/>
      <c r="EL1547"/>
      <c r="EM1547"/>
      <c r="EN1547"/>
      <c r="EO1547"/>
      <c r="EP1547"/>
      <c r="EQ1547"/>
      <c r="ER1547"/>
      <c r="ES1547"/>
    </row>
    <row r="1548" spans="1:149">
      <c r="A1548"/>
      <c r="B1548"/>
      <c r="C1548"/>
      <c r="D1548"/>
      <c r="E1548"/>
      <c r="F1548"/>
      <c r="G1548"/>
      <c r="H1548"/>
      <c r="I1548"/>
      <c r="J1548"/>
      <c r="K1548"/>
      <c r="L1548"/>
      <c r="M1548"/>
      <c r="N1548"/>
      <c r="O1548"/>
      <c r="P1548"/>
      <c r="Q1548"/>
      <c r="R1548"/>
      <c r="S1548"/>
      <c r="T1548"/>
      <c r="U1548"/>
      <c r="V1548"/>
      <c r="W1548"/>
      <c r="X1548"/>
      <c r="Y1548"/>
      <c r="Z1548"/>
      <c r="AA1548"/>
      <c r="AB1548"/>
      <c r="AC1548"/>
      <c r="AD1548"/>
      <c r="AE1548"/>
      <c r="AF1548"/>
      <c r="AG1548"/>
      <c r="AH1548"/>
      <c r="AI1548"/>
      <c r="AJ1548"/>
      <c r="AK1548"/>
      <c r="AL1548"/>
      <c r="AM1548"/>
      <c r="AN1548"/>
      <c r="AO1548"/>
      <c r="AP1548"/>
      <c r="AQ1548"/>
      <c r="AR1548"/>
      <c r="AS1548"/>
      <c r="AT1548"/>
      <c r="AU1548"/>
      <c r="AV1548"/>
      <c r="AW1548"/>
      <c r="AX1548"/>
      <c r="AY1548"/>
      <c r="AZ1548"/>
      <c r="BA1548"/>
      <c r="BB1548"/>
      <c r="BC1548"/>
      <c r="BD1548"/>
      <c r="BE1548"/>
      <c r="BF1548"/>
      <c r="BG1548"/>
      <c r="BH1548"/>
      <c r="BI1548"/>
      <c r="BJ1548"/>
      <c r="BK1548"/>
      <c r="BL1548"/>
      <c r="BM1548"/>
      <c r="BN1548"/>
      <c r="BO1548"/>
      <c r="BP1548"/>
      <c r="BQ1548"/>
      <c r="BR1548"/>
      <c r="BS1548"/>
      <c r="BT1548"/>
      <c r="BU1548"/>
      <c r="BV1548"/>
      <c r="BW1548"/>
      <c r="BX1548"/>
      <c r="BY1548"/>
      <c r="BZ1548"/>
      <c r="CA1548"/>
      <c r="CB1548"/>
      <c r="CC1548"/>
      <c r="CD1548"/>
      <c r="CE1548"/>
      <c r="CF1548"/>
      <c r="CG1548"/>
      <c r="CH1548"/>
      <c r="CI1548"/>
      <c r="CJ1548"/>
      <c r="CK1548"/>
      <c r="CL1548"/>
      <c r="CM1548"/>
      <c r="CN1548"/>
      <c r="CO1548"/>
      <c r="CP1548"/>
      <c r="CQ1548"/>
      <c r="CR1548"/>
      <c r="CS1548"/>
      <c r="CT1548"/>
      <c r="CU1548"/>
      <c r="CV1548"/>
      <c r="CW1548"/>
      <c r="CX1548"/>
      <c r="CY1548"/>
      <c r="CZ1548"/>
      <c r="DA1548"/>
      <c r="DB1548"/>
      <c r="DC1548"/>
      <c r="DD1548"/>
      <c r="DE1548"/>
      <c r="DF1548"/>
      <c r="DG1548"/>
      <c r="DH1548"/>
      <c r="DI1548"/>
      <c r="DJ1548"/>
      <c r="DK1548"/>
      <c r="DL1548"/>
      <c r="DM1548"/>
      <c r="DN1548"/>
      <c r="DO1548"/>
      <c r="DP1548"/>
      <c r="DQ1548"/>
      <c r="DR1548"/>
      <c r="DS1548"/>
      <c r="DT1548"/>
      <c r="DU1548"/>
      <c r="DV1548"/>
      <c r="DW1548"/>
      <c r="DX1548"/>
      <c r="DY1548"/>
      <c r="DZ1548"/>
      <c r="EA1548"/>
      <c r="EB1548"/>
      <c r="EC1548"/>
      <c r="ED1548"/>
      <c r="EE1548"/>
      <c r="EF1548"/>
      <c r="EG1548"/>
      <c r="EH1548"/>
      <c r="EI1548"/>
      <c r="EJ1548"/>
      <c r="EK1548"/>
      <c r="EL1548"/>
      <c r="EM1548"/>
      <c r="EN1548"/>
      <c r="EO1548"/>
      <c r="EP1548"/>
      <c r="EQ1548"/>
      <c r="ER1548"/>
      <c r="ES1548"/>
    </row>
    <row r="1549" spans="1:149">
      <c r="A1549"/>
      <c r="B1549"/>
      <c r="C1549"/>
      <c r="D1549"/>
      <c r="E1549"/>
      <c r="F1549"/>
      <c r="G1549"/>
      <c r="H1549"/>
      <c r="I1549"/>
      <c r="J1549"/>
      <c r="K1549"/>
      <c r="L1549"/>
      <c r="M1549"/>
      <c r="N1549"/>
      <c r="O1549"/>
      <c r="P1549"/>
      <c r="Q1549"/>
      <c r="R1549"/>
      <c r="S1549"/>
      <c r="T1549"/>
      <c r="U1549"/>
      <c r="V1549"/>
      <c r="W1549"/>
      <c r="X1549"/>
      <c r="Y1549"/>
      <c r="Z1549"/>
      <c r="AA1549"/>
      <c r="AB1549"/>
      <c r="AC1549"/>
      <c r="AD1549"/>
      <c r="AE1549"/>
      <c r="AF1549"/>
      <c r="AG1549"/>
      <c r="AH1549"/>
      <c r="AI1549"/>
      <c r="AJ1549"/>
      <c r="AK1549"/>
      <c r="AL1549"/>
      <c r="AM1549"/>
      <c r="AN1549"/>
      <c r="AO1549"/>
      <c r="AP1549"/>
      <c r="AQ1549"/>
      <c r="AR1549"/>
      <c r="AS1549"/>
      <c r="AT1549"/>
      <c r="AU1549"/>
      <c r="AV1549"/>
      <c r="AW1549"/>
      <c r="AX1549"/>
      <c r="AY1549"/>
      <c r="AZ1549"/>
      <c r="BA1549"/>
      <c r="BB1549"/>
      <c r="BC1549"/>
      <c r="BD1549"/>
      <c r="BE1549"/>
      <c r="BF1549"/>
      <c r="BG1549"/>
      <c r="BH1549"/>
      <c r="BI1549"/>
      <c r="BJ1549"/>
      <c r="BK1549"/>
      <c r="BL1549"/>
      <c r="BM1549"/>
      <c r="BN1549"/>
      <c r="BO1549"/>
      <c r="BP1549"/>
      <c r="BQ1549"/>
      <c r="BR1549"/>
      <c r="BS1549"/>
      <c r="BT1549"/>
      <c r="BU1549"/>
      <c r="BV1549"/>
      <c r="BW1549"/>
      <c r="BX1549"/>
      <c r="BY1549"/>
      <c r="BZ1549"/>
      <c r="CA1549"/>
      <c r="CB1549"/>
      <c r="CC1549"/>
      <c r="CD1549"/>
      <c r="CE1549"/>
      <c r="CF1549"/>
      <c r="CG1549"/>
      <c r="CH1549"/>
      <c r="CI1549"/>
      <c r="CJ1549"/>
      <c r="CK1549"/>
      <c r="CL1549"/>
      <c r="CM1549"/>
      <c r="CN1549"/>
      <c r="CO1549"/>
      <c r="CP1549"/>
      <c r="CQ1549"/>
      <c r="CR1549"/>
      <c r="CS1549"/>
      <c r="CT1549"/>
      <c r="CU1549"/>
      <c r="CV1549"/>
      <c r="CW1549"/>
      <c r="CX1549"/>
      <c r="CY1549"/>
      <c r="CZ1549"/>
      <c r="DA1549"/>
      <c r="DB1549"/>
      <c r="DC1549"/>
      <c r="DD1549"/>
      <c r="DE1549"/>
      <c r="DF1549"/>
      <c r="DG1549"/>
      <c r="DH1549"/>
      <c r="DI1549"/>
      <c r="DJ1549"/>
      <c r="DK1549"/>
      <c r="DL1549"/>
      <c r="DM1549"/>
      <c r="DN1549"/>
      <c r="DO1549"/>
      <c r="DP1549"/>
      <c r="DQ1549"/>
      <c r="DR1549"/>
      <c r="DS1549"/>
      <c r="DT1549"/>
      <c r="DU1549"/>
      <c r="DV1549"/>
      <c r="DW1549"/>
      <c r="DX1549"/>
      <c r="DY1549"/>
      <c r="DZ1549"/>
      <c r="EA1549"/>
      <c r="EB1549"/>
      <c r="EC1549"/>
      <c r="ED1549"/>
      <c r="EE1549"/>
      <c r="EF1549"/>
      <c r="EG1549"/>
      <c r="EH1549"/>
      <c r="EI1549"/>
      <c r="EJ1549"/>
      <c r="EK1549"/>
      <c r="EL1549"/>
      <c r="EM1549"/>
      <c r="EN1549"/>
      <c r="EO1549"/>
      <c r="EP1549"/>
      <c r="EQ1549"/>
      <c r="ER1549"/>
      <c r="ES1549"/>
    </row>
    <row r="1550" spans="1:149">
      <c r="A1550"/>
      <c r="B1550"/>
      <c r="C1550"/>
      <c r="D1550"/>
      <c r="E1550"/>
      <c r="F1550"/>
      <c r="G1550"/>
      <c r="H1550"/>
      <c r="I1550"/>
      <c r="J1550"/>
      <c r="K1550"/>
      <c r="L1550"/>
      <c r="M1550"/>
      <c r="N1550"/>
      <c r="O1550"/>
      <c r="P1550"/>
      <c r="Q1550"/>
      <c r="R1550"/>
      <c r="S1550"/>
      <c r="T1550"/>
      <c r="U1550"/>
      <c r="V1550"/>
      <c r="W1550"/>
      <c r="X1550"/>
      <c r="Y1550"/>
      <c r="Z1550"/>
      <c r="AA1550"/>
      <c r="AB1550"/>
      <c r="AC1550"/>
      <c r="AD1550"/>
      <c r="AE1550"/>
      <c r="AF1550"/>
      <c r="AG1550"/>
      <c r="AH1550"/>
      <c r="AI1550"/>
      <c r="AJ1550"/>
      <c r="AK1550"/>
      <c r="AL1550"/>
      <c r="AM1550"/>
      <c r="AN1550"/>
      <c r="AO1550"/>
      <c r="AP1550"/>
      <c r="AQ1550"/>
      <c r="AR1550"/>
      <c r="AS1550"/>
      <c r="AT1550"/>
      <c r="AU1550"/>
      <c r="AV1550"/>
      <c r="AW1550"/>
      <c r="AX1550"/>
      <c r="AY1550"/>
      <c r="AZ1550"/>
      <c r="BA1550"/>
      <c r="BB1550"/>
      <c r="BC1550"/>
      <c r="BD1550"/>
      <c r="BE1550"/>
      <c r="BF1550"/>
      <c r="BG1550"/>
      <c r="BH1550"/>
      <c r="BI1550"/>
      <c r="BJ1550"/>
      <c r="BK1550"/>
      <c r="BL1550"/>
      <c r="BM1550"/>
      <c r="BN1550"/>
      <c r="BO1550"/>
      <c r="BP1550"/>
      <c r="BQ1550"/>
      <c r="BR1550"/>
      <c r="BS1550"/>
      <c r="BT1550"/>
      <c r="BU1550"/>
      <c r="BV1550"/>
      <c r="BW1550"/>
      <c r="BX1550"/>
      <c r="BY1550"/>
      <c r="BZ1550"/>
      <c r="CA1550"/>
      <c r="CB1550"/>
      <c r="CC1550"/>
      <c r="CD1550"/>
      <c r="CE1550"/>
      <c r="CF1550"/>
      <c r="CG1550"/>
      <c r="CH1550"/>
      <c r="CI1550"/>
      <c r="CJ1550"/>
      <c r="CK1550"/>
      <c r="CL1550"/>
      <c r="CM1550"/>
      <c r="CN1550"/>
      <c r="CO1550"/>
      <c r="CP1550"/>
      <c r="CQ1550"/>
      <c r="CR1550"/>
      <c r="CS1550"/>
      <c r="CT1550"/>
      <c r="CU1550"/>
      <c r="CV1550"/>
      <c r="CW1550"/>
      <c r="CX1550"/>
      <c r="CY1550"/>
      <c r="CZ1550"/>
      <c r="DA1550"/>
      <c r="DB1550"/>
      <c r="DC1550"/>
      <c r="DD1550"/>
      <c r="DE1550"/>
      <c r="DF1550"/>
      <c r="DG1550"/>
      <c r="DH1550"/>
      <c r="DI1550"/>
      <c r="DJ1550"/>
      <c r="DK1550"/>
      <c r="DL1550"/>
      <c r="DM1550"/>
      <c r="DN1550"/>
      <c r="DO1550"/>
      <c r="DP1550"/>
      <c r="DQ1550"/>
      <c r="DR1550"/>
      <c r="DS1550"/>
      <c r="DT1550"/>
      <c r="DU1550"/>
      <c r="DV1550"/>
      <c r="DW1550"/>
      <c r="DX1550"/>
      <c r="DY1550"/>
      <c r="DZ1550"/>
      <c r="EA1550"/>
      <c r="EB1550"/>
      <c r="EC1550"/>
      <c r="ED1550"/>
      <c r="EE1550"/>
      <c r="EF1550"/>
      <c r="EG1550"/>
      <c r="EH1550"/>
      <c r="EI1550"/>
      <c r="EJ1550"/>
      <c r="EK1550"/>
      <c r="EL1550"/>
      <c r="EM1550"/>
      <c r="EN1550"/>
      <c r="EO1550"/>
      <c r="EP1550"/>
      <c r="EQ1550"/>
      <c r="ER1550"/>
      <c r="ES1550"/>
    </row>
    <row r="1551" spans="1:149">
      <c r="A1551"/>
      <c r="B1551"/>
      <c r="C1551"/>
      <c r="D1551"/>
      <c r="E1551"/>
      <c r="F1551"/>
      <c r="G1551"/>
      <c r="H1551"/>
      <c r="I1551"/>
      <c r="J1551"/>
      <c r="K1551"/>
      <c r="L1551"/>
      <c r="M1551"/>
      <c r="N1551"/>
      <c r="O1551"/>
      <c r="P1551"/>
      <c r="Q1551"/>
      <c r="R1551"/>
      <c r="S1551"/>
      <c r="T1551"/>
      <c r="U1551"/>
      <c r="V1551"/>
      <c r="W1551"/>
      <c r="X1551"/>
      <c r="Y1551"/>
      <c r="Z1551"/>
      <c r="AA1551"/>
      <c r="AB1551"/>
      <c r="AC1551"/>
      <c r="AD1551"/>
      <c r="AE1551"/>
      <c r="AF1551"/>
      <c r="AG1551"/>
      <c r="AH1551"/>
      <c r="AI1551"/>
      <c r="AJ1551"/>
      <c r="AK1551"/>
      <c r="AL1551"/>
      <c r="AM1551"/>
      <c r="AN1551"/>
      <c r="AO1551"/>
      <c r="AP1551"/>
      <c r="AQ1551"/>
      <c r="AR1551"/>
      <c r="AS1551"/>
      <c r="AT1551"/>
      <c r="AU1551"/>
      <c r="AV1551"/>
      <c r="AW1551"/>
      <c r="AX1551"/>
      <c r="AY1551"/>
      <c r="AZ1551"/>
      <c r="BA1551"/>
      <c r="BB1551"/>
      <c r="BC1551"/>
      <c r="BD1551"/>
      <c r="BE1551"/>
      <c r="BF1551"/>
      <c r="BG1551"/>
      <c r="BH1551"/>
      <c r="BI1551"/>
      <c r="BJ1551"/>
      <c r="BK1551"/>
      <c r="BL1551"/>
      <c r="BM1551"/>
      <c r="BN1551"/>
      <c r="BO1551"/>
      <c r="BP1551"/>
      <c r="BQ1551"/>
      <c r="BR1551"/>
      <c r="BS1551"/>
      <c r="BT1551"/>
      <c r="BU1551"/>
      <c r="BV1551"/>
      <c r="BW1551"/>
      <c r="BX1551"/>
      <c r="BY1551"/>
      <c r="BZ1551"/>
      <c r="CA1551"/>
      <c r="CB1551"/>
      <c r="CC1551"/>
      <c r="CD1551"/>
      <c r="CE1551"/>
      <c r="CF1551"/>
      <c r="CG1551"/>
      <c r="CH1551"/>
      <c r="CI1551"/>
      <c r="CJ1551"/>
      <c r="CK1551"/>
      <c r="CL1551"/>
      <c r="CM1551"/>
      <c r="CN1551"/>
      <c r="CO1551"/>
      <c r="CP1551"/>
      <c r="CQ1551"/>
      <c r="CR1551"/>
      <c r="CS1551"/>
      <c r="CT1551"/>
      <c r="CU1551"/>
      <c r="CV1551"/>
      <c r="CW1551"/>
      <c r="CX1551"/>
      <c r="CY1551"/>
      <c r="CZ1551"/>
      <c r="DA1551"/>
      <c r="DB1551"/>
      <c r="DC1551"/>
      <c r="DD1551"/>
      <c r="DE1551"/>
      <c r="DF1551"/>
      <c r="DG1551"/>
      <c r="DH1551"/>
      <c r="DI1551"/>
      <c r="DJ1551"/>
      <c r="DK1551"/>
      <c r="DL1551"/>
      <c r="DM1551"/>
      <c r="DN1551"/>
      <c r="DO1551"/>
      <c r="DP1551"/>
      <c r="DQ1551"/>
      <c r="DR1551"/>
      <c r="DS1551"/>
      <c r="DT1551"/>
      <c r="DU1551"/>
      <c r="DV1551"/>
      <c r="DW1551"/>
      <c r="DX1551"/>
      <c r="DY1551"/>
      <c r="DZ1551"/>
      <c r="EA1551"/>
      <c r="EB1551"/>
      <c r="EC1551"/>
      <c r="ED1551"/>
      <c r="EE1551"/>
      <c r="EF1551"/>
      <c r="EG1551"/>
      <c r="EH1551"/>
      <c r="EI1551"/>
      <c r="EJ1551"/>
      <c r="EK1551"/>
      <c r="EL1551"/>
      <c r="EM1551"/>
      <c r="EN1551"/>
      <c r="EO1551"/>
      <c r="EP1551"/>
      <c r="EQ1551"/>
      <c r="ER1551"/>
      <c r="ES1551"/>
    </row>
    <row r="1552" spans="1:149">
      <c r="A1552"/>
      <c r="B1552"/>
      <c r="C1552"/>
      <c r="D1552"/>
      <c r="E1552"/>
      <c r="F1552"/>
      <c r="G1552"/>
      <c r="H1552"/>
      <c r="I1552"/>
      <c r="J1552"/>
      <c r="K1552"/>
      <c r="L1552"/>
      <c r="M1552"/>
      <c r="N1552"/>
      <c r="O1552"/>
      <c r="P1552"/>
      <c r="Q1552"/>
      <c r="R1552"/>
      <c r="S1552"/>
      <c r="T1552"/>
      <c r="U1552"/>
      <c r="V1552"/>
      <c r="W1552"/>
      <c r="X1552"/>
      <c r="Y1552"/>
      <c r="Z1552"/>
      <c r="AA1552"/>
      <c r="AB1552"/>
      <c r="AC1552"/>
      <c r="AD1552"/>
      <c r="AE1552"/>
      <c r="AF1552"/>
      <c r="AG1552"/>
      <c r="AH1552"/>
      <c r="AI1552"/>
      <c r="AJ1552"/>
      <c r="AK1552"/>
      <c r="AL1552"/>
      <c r="AM1552"/>
      <c r="AN1552"/>
      <c r="AO1552"/>
      <c r="AP1552"/>
      <c r="AQ1552"/>
      <c r="AR1552"/>
      <c r="AS1552"/>
      <c r="AT1552"/>
      <c r="AU1552"/>
      <c r="AV1552"/>
      <c r="AW1552"/>
      <c r="AX1552"/>
      <c r="AY1552"/>
      <c r="AZ1552"/>
      <c r="BA1552"/>
      <c r="BB1552"/>
      <c r="BC1552"/>
      <c r="BD1552"/>
      <c r="BE1552"/>
      <c r="BF1552"/>
      <c r="BG1552"/>
      <c r="BH1552"/>
      <c r="BI1552"/>
      <c r="BJ1552"/>
      <c r="BK1552"/>
      <c r="BL1552"/>
      <c r="BM1552"/>
      <c r="BN1552"/>
      <c r="BO1552"/>
      <c r="BP1552"/>
      <c r="BQ1552"/>
      <c r="BR1552"/>
      <c r="BS1552"/>
      <c r="BT1552"/>
      <c r="BU1552"/>
      <c r="BV1552"/>
      <c r="BW1552"/>
      <c r="BX1552"/>
      <c r="BY1552"/>
      <c r="BZ1552"/>
      <c r="CA1552"/>
      <c r="CB1552"/>
      <c r="CC1552"/>
      <c r="CD1552"/>
      <c r="CE1552"/>
      <c r="CF1552"/>
      <c r="CG1552"/>
      <c r="CH1552"/>
      <c r="CI1552"/>
      <c r="CJ1552"/>
      <c r="CK1552"/>
      <c r="CL1552"/>
      <c r="CM1552"/>
      <c r="CN1552"/>
      <c r="CO1552"/>
      <c r="CP1552"/>
      <c r="CQ1552"/>
      <c r="CR1552"/>
      <c r="CS1552"/>
      <c r="CT1552"/>
      <c r="CU1552"/>
      <c r="CV1552"/>
      <c r="CW1552"/>
      <c r="CX1552"/>
      <c r="CY1552"/>
      <c r="CZ1552"/>
      <c r="DA1552"/>
      <c r="DB1552"/>
      <c r="DC1552"/>
      <c r="DD1552"/>
      <c r="DE1552"/>
      <c r="DF1552"/>
      <c r="DG1552"/>
      <c r="DH1552"/>
      <c r="DI1552"/>
      <c r="DJ1552"/>
      <c r="DK1552"/>
      <c r="DL1552"/>
      <c r="DM1552"/>
      <c r="DN1552"/>
      <c r="DO1552"/>
      <c r="DP1552"/>
      <c r="DQ1552"/>
      <c r="DR1552"/>
      <c r="DS1552"/>
      <c r="DT1552"/>
      <c r="DU1552"/>
      <c r="DV1552"/>
      <c r="DW1552"/>
      <c r="DX1552"/>
      <c r="DY1552"/>
      <c r="DZ1552"/>
      <c r="EA1552"/>
      <c r="EB1552"/>
      <c r="EC1552"/>
      <c r="ED1552"/>
      <c r="EE1552"/>
      <c r="EF1552"/>
      <c r="EG1552"/>
      <c r="EH1552"/>
      <c r="EI1552"/>
      <c r="EJ1552"/>
      <c r="EK1552"/>
      <c r="EL1552"/>
      <c r="EM1552"/>
      <c r="EN1552"/>
      <c r="EO1552"/>
      <c r="EP1552"/>
      <c r="EQ1552"/>
      <c r="ER1552"/>
      <c r="ES1552"/>
    </row>
    <row r="1553" spans="1:149">
      <c r="A1553"/>
      <c r="B1553"/>
      <c r="C1553"/>
      <c r="D1553"/>
      <c r="E1553"/>
      <c r="F1553"/>
      <c r="G1553"/>
      <c r="H1553"/>
      <c r="I1553"/>
      <c r="J1553"/>
      <c r="K1553"/>
      <c r="L1553"/>
      <c r="M1553"/>
      <c r="N1553"/>
      <c r="O1553"/>
      <c r="P1553"/>
      <c r="Q1553"/>
      <c r="R1553"/>
      <c r="S1553"/>
      <c r="T1553"/>
      <c r="U1553"/>
      <c r="V1553"/>
      <c r="W1553"/>
      <c r="X1553"/>
      <c r="Y1553"/>
      <c r="Z1553"/>
      <c r="AA1553"/>
      <c r="AB1553"/>
      <c r="AC1553"/>
      <c r="AD1553"/>
      <c r="AE1553"/>
      <c r="AF1553"/>
      <c r="AG1553"/>
      <c r="AH1553"/>
      <c r="AI1553"/>
      <c r="AJ1553"/>
      <c r="AK1553"/>
      <c r="AL1553"/>
      <c r="AM1553"/>
      <c r="AN1553"/>
      <c r="AO1553"/>
      <c r="AP1553"/>
      <c r="AQ1553"/>
      <c r="AR1553"/>
      <c r="AS1553"/>
      <c r="AT1553"/>
      <c r="AU1553"/>
      <c r="AV1553"/>
      <c r="AW1553"/>
      <c r="AX1553"/>
      <c r="AY1553"/>
      <c r="AZ1553"/>
      <c r="BA1553"/>
      <c r="BB1553"/>
      <c r="BC1553"/>
      <c r="BD1553"/>
      <c r="BE1553"/>
      <c r="BF1553"/>
      <c r="BG1553"/>
      <c r="BH1553"/>
      <c r="BI1553"/>
      <c r="BJ1553"/>
      <c r="BK1553"/>
      <c r="BL1553"/>
      <c r="BM1553"/>
      <c r="BN1553"/>
      <c r="BO1553"/>
      <c r="BP1553"/>
      <c r="BQ1553"/>
      <c r="BR1553"/>
      <c r="BS1553"/>
      <c r="BT1553"/>
      <c r="BU1553"/>
      <c r="BV1553"/>
      <c r="BW1553"/>
      <c r="BX1553"/>
      <c r="BY1553"/>
      <c r="BZ1553"/>
      <c r="CA1553"/>
      <c r="CB1553"/>
      <c r="CC1553"/>
      <c r="CD1553"/>
      <c r="CE1553"/>
      <c r="CF1553"/>
      <c r="CG1553"/>
      <c r="CH1553"/>
      <c r="CI1553"/>
      <c r="CJ1553"/>
      <c r="CK1553"/>
      <c r="CL1553"/>
      <c r="CM1553"/>
      <c r="CN1553"/>
      <c r="CO1553"/>
      <c r="CP1553"/>
      <c r="CQ1553"/>
      <c r="CR1553"/>
      <c r="CS1553"/>
      <c r="CT1553"/>
      <c r="CU1553"/>
      <c r="CV1553"/>
      <c r="CW1553"/>
      <c r="CX1553"/>
      <c r="CY1553"/>
      <c r="CZ1553"/>
      <c r="DA1553"/>
      <c r="DB1553"/>
      <c r="DC1553"/>
      <c r="DD1553"/>
      <c r="DE1553"/>
      <c r="DF1553"/>
      <c r="DG1553"/>
      <c r="DH1553"/>
      <c r="DI1553"/>
      <c r="DJ1553"/>
      <c r="DK1553"/>
      <c r="DL1553"/>
      <c r="DM1553"/>
      <c r="DN1553"/>
      <c r="DO1553"/>
      <c r="DP1553"/>
      <c r="DQ1553"/>
      <c r="DR1553"/>
      <c r="DS1553"/>
      <c r="DT1553"/>
      <c r="DU1553"/>
      <c r="DV1553"/>
      <c r="DW1553"/>
      <c r="DX1553"/>
      <c r="DY1553"/>
      <c r="DZ1553"/>
      <c r="EA1553"/>
      <c r="EB1553"/>
      <c r="EC1553"/>
      <c r="ED1553"/>
      <c r="EE1553"/>
      <c r="EF1553"/>
      <c r="EG1553"/>
      <c r="EH1553"/>
      <c r="EI1553"/>
      <c r="EJ1553"/>
      <c r="EK1553"/>
      <c r="EL1553"/>
      <c r="EM1553"/>
      <c r="EN1553"/>
      <c r="EO1553"/>
      <c r="EP1553"/>
      <c r="EQ1553"/>
      <c r="ER1553"/>
      <c r="ES1553"/>
    </row>
    <row r="1554" spans="1:149">
      <c r="A1554"/>
      <c r="B1554"/>
      <c r="C1554"/>
      <c r="D1554"/>
      <c r="E1554"/>
      <c r="F1554"/>
      <c r="G1554"/>
      <c r="H1554"/>
      <c r="I1554"/>
      <c r="J1554"/>
      <c r="K1554"/>
      <c r="L1554"/>
      <c r="M1554"/>
      <c r="N1554"/>
      <c r="O1554"/>
      <c r="P1554"/>
      <c r="Q1554"/>
      <c r="R1554"/>
      <c r="S1554"/>
      <c r="T1554"/>
      <c r="U1554"/>
      <c r="V1554"/>
      <c r="W1554"/>
      <c r="X1554"/>
      <c r="Y1554"/>
      <c r="Z1554"/>
      <c r="AA1554"/>
      <c r="AB1554"/>
      <c r="AC1554"/>
      <c r="AD1554"/>
      <c r="AE1554"/>
      <c r="AF1554"/>
      <c r="AG1554"/>
      <c r="AH1554"/>
      <c r="AI1554"/>
      <c r="AJ1554"/>
      <c r="AK1554"/>
      <c r="AL1554"/>
      <c r="AM1554"/>
      <c r="AN1554"/>
      <c r="AO1554"/>
      <c r="AP1554"/>
      <c r="AQ1554"/>
      <c r="AR1554"/>
      <c r="AS1554"/>
      <c r="AT1554"/>
      <c r="AU1554"/>
      <c r="AV1554"/>
      <c r="AW1554"/>
      <c r="AX1554"/>
      <c r="AY1554"/>
      <c r="AZ1554"/>
      <c r="BA1554"/>
      <c r="BB1554"/>
      <c r="BC1554"/>
      <c r="BD1554"/>
      <c r="BE1554"/>
      <c r="BF1554"/>
      <c r="BG1554"/>
      <c r="BH1554"/>
      <c r="BI1554"/>
      <c r="BJ1554"/>
      <c r="BK1554"/>
      <c r="BL1554"/>
      <c r="BM1554"/>
      <c r="BN1554"/>
      <c r="BO1554"/>
      <c r="BP1554"/>
      <c r="BQ1554"/>
      <c r="BR1554"/>
      <c r="BS1554"/>
      <c r="BT1554"/>
      <c r="BU1554"/>
      <c r="BV1554"/>
      <c r="BW1554"/>
      <c r="BX1554"/>
      <c r="BY1554"/>
      <c r="BZ1554"/>
      <c r="CA1554"/>
      <c r="CB1554"/>
      <c r="CC1554"/>
      <c r="CD1554"/>
      <c r="CE1554"/>
      <c r="CF1554"/>
      <c r="CG1554"/>
      <c r="CH1554"/>
      <c r="CI1554"/>
      <c r="CJ1554"/>
      <c r="CK1554"/>
      <c r="CL1554"/>
      <c r="CM1554"/>
      <c r="CN1554"/>
      <c r="CO1554"/>
      <c r="CP1554"/>
      <c r="CQ1554"/>
      <c r="CR1554"/>
      <c r="CS1554"/>
      <c r="CT1554"/>
      <c r="CU1554"/>
      <c r="CV1554"/>
      <c r="CW1554"/>
      <c r="CX1554"/>
      <c r="CY1554"/>
      <c r="CZ1554"/>
      <c r="DA1554"/>
      <c r="DB1554"/>
      <c r="DC1554"/>
      <c r="DD1554"/>
      <c r="DE1554"/>
      <c r="DF1554"/>
      <c r="DG1554"/>
      <c r="DH1554"/>
      <c r="DI1554"/>
      <c r="DJ1554"/>
      <c r="DK1554"/>
      <c r="DL1554"/>
      <c r="DM1554"/>
      <c r="DN1554"/>
      <c r="DO1554"/>
      <c r="DP1554"/>
      <c r="DQ1554"/>
      <c r="DR1554"/>
      <c r="DS1554"/>
      <c r="DT1554"/>
      <c r="DU1554"/>
      <c r="DV1554"/>
      <c r="DW1554"/>
      <c r="DX1554"/>
      <c r="DY1554"/>
      <c r="DZ1554"/>
      <c r="EA1554"/>
      <c r="EB1554"/>
      <c r="EC1554"/>
      <c r="ED1554"/>
      <c r="EE1554"/>
      <c r="EF1554"/>
      <c r="EG1554"/>
      <c r="EH1554"/>
      <c r="EI1554"/>
      <c r="EJ1554"/>
      <c r="EK1554"/>
      <c r="EL1554"/>
      <c r="EM1554"/>
      <c r="EN1554"/>
      <c r="EO1554"/>
      <c r="EP1554"/>
      <c r="EQ1554"/>
      <c r="ER1554"/>
      <c r="ES1554"/>
    </row>
    <row r="1555" spans="1:149">
      <c r="A1555"/>
      <c r="B1555"/>
      <c r="C1555"/>
      <c r="D1555"/>
      <c r="E1555"/>
      <c r="F1555"/>
      <c r="G1555"/>
      <c r="H1555"/>
      <c r="I1555"/>
      <c r="J1555"/>
      <c r="K1555"/>
      <c r="L1555"/>
      <c r="M1555"/>
      <c r="N1555"/>
      <c r="O1555"/>
      <c r="P1555"/>
      <c r="Q1555"/>
      <c r="R1555"/>
      <c r="S1555"/>
      <c r="T1555"/>
      <c r="U1555"/>
      <c r="V1555"/>
      <c r="W1555"/>
      <c r="X1555"/>
      <c r="Y1555"/>
      <c r="Z1555"/>
      <c r="AA1555"/>
      <c r="AB1555"/>
      <c r="AC1555"/>
      <c r="AD1555"/>
      <c r="AE1555"/>
      <c r="AF1555"/>
      <c r="AG1555"/>
      <c r="AH1555"/>
      <c r="AI1555"/>
      <c r="AJ1555"/>
      <c r="AK1555"/>
      <c r="AL1555"/>
      <c r="AM1555"/>
      <c r="AN1555"/>
      <c r="AO1555"/>
      <c r="AP1555"/>
      <c r="AQ1555"/>
      <c r="AR1555"/>
      <c r="AS1555"/>
      <c r="AT1555"/>
      <c r="AU1555"/>
      <c r="AV1555"/>
      <c r="AW1555"/>
      <c r="AX1555"/>
      <c r="AY1555"/>
      <c r="AZ1555"/>
      <c r="BA1555"/>
      <c r="BB1555"/>
      <c r="BC1555"/>
      <c r="BD1555"/>
      <c r="BE1555"/>
      <c r="BF1555"/>
      <c r="BG1555"/>
      <c r="BH1555"/>
      <c r="BI1555"/>
      <c r="BJ1555"/>
      <c r="BK1555"/>
      <c r="BL1555"/>
      <c r="BM1555"/>
      <c r="BN1555"/>
      <c r="BO1555"/>
      <c r="BP1555"/>
      <c r="BQ1555"/>
      <c r="BR1555"/>
      <c r="BS1555"/>
      <c r="BT1555"/>
      <c r="BU1555"/>
      <c r="BV1555"/>
      <c r="BW1555"/>
      <c r="BX1555"/>
      <c r="BY1555"/>
      <c r="BZ1555"/>
      <c r="CA1555"/>
      <c r="CB1555"/>
      <c r="CC1555"/>
      <c r="CD1555"/>
      <c r="CE1555"/>
      <c r="CF1555"/>
      <c r="CG1555"/>
      <c r="CH1555"/>
      <c r="CI1555"/>
      <c r="CJ1555"/>
      <c r="CK1555"/>
      <c r="CL1555"/>
      <c r="CM1555"/>
      <c r="CN1555"/>
      <c r="CO1555"/>
      <c r="CP1555"/>
      <c r="CQ1555"/>
      <c r="CR1555"/>
      <c r="CS1555"/>
      <c r="CT1555"/>
      <c r="CU1555"/>
      <c r="CV1555"/>
      <c r="CW1555"/>
      <c r="CX1555"/>
      <c r="CY1555"/>
      <c r="CZ1555"/>
      <c r="DA1555"/>
      <c r="DB1555"/>
      <c r="DC1555"/>
      <c r="DD1555"/>
      <c r="DE1555"/>
      <c r="DF1555"/>
      <c r="DG1555"/>
      <c r="DH1555"/>
      <c r="DI1555"/>
      <c r="DJ1555"/>
      <c r="DK1555"/>
      <c r="DL1555"/>
      <c r="DM1555"/>
      <c r="DN1555"/>
      <c r="DO1555"/>
      <c r="DP1555"/>
      <c r="DQ1555"/>
      <c r="DR1555"/>
      <c r="DS1555"/>
      <c r="DT1555"/>
      <c r="DU1555"/>
      <c r="DV1555"/>
      <c r="DW1555"/>
      <c r="DX1555"/>
      <c r="DY1555"/>
      <c r="DZ1555"/>
      <c r="EA1555"/>
      <c r="EB1555"/>
      <c r="EC1555"/>
      <c r="ED1555"/>
      <c r="EE1555"/>
      <c r="EF1555"/>
      <c r="EG1555"/>
      <c r="EH1555"/>
      <c r="EI1555"/>
      <c r="EJ1555"/>
      <c r="EK1555"/>
      <c r="EL1555"/>
      <c r="EM1555"/>
      <c r="EN1555"/>
      <c r="EO1555"/>
      <c r="EP1555"/>
      <c r="EQ1555"/>
      <c r="ER1555"/>
      <c r="ES1555"/>
    </row>
    <row r="1556" spans="1:149">
      <c r="A1556"/>
      <c r="B1556"/>
      <c r="C1556"/>
      <c r="D1556"/>
      <c r="E1556"/>
      <c r="F1556"/>
      <c r="G1556"/>
      <c r="H1556"/>
      <c r="I1556"/>
      <c r="J1556"/>
      <c r="K1556"/>
      <c r="L1556"/>
      <c r="M1556"/>
      <c r="N1556"/>
      <c r="O1556"/>
      <c r="P1556"/>
      <c r="Q1556"/>
      <c r="R1556"/>
      <c r="S1556"/>
      <c r="T1556"/>
      <c r="U1556"/>
      <c r="V1556"/>
      <c r="W1556"/>
      <c r="X1556"/>
      <c r="Y1556"/>
      <c r="Z1556"/>
      <c r="AA1556"/>
      <c r="AB1556"/>
      <c r="AC1556"/>
      <c r="AD1556"/>
      <c r="AE1556"/>
      <c r="AF1556"/>
      <c r="AG1556"/>
      <c r="AH1556"/>
      <c r="AI1556"/>
      <c r="AJ1556"/>
      <c r="AK1556"/>
      <c r="AL1556"/>
      <c r="AM1556"/>
      <c r="AN1556"/>
      <c r="AO1556"/>
      <c r="AP1556"/>
      <c r="AQ1556"/>
      <c r="AR1556"/>
      <c r="AS1556"/>
      <c r="AT1556"/>
      <c r="AU1556"/>
      <c r="AV1556"/>
      <c r="AW1556"/>
      <c r="AX1556"/>
      <c r="AY1556"/>
      <c r="AZ1556"/>
      <c r="BA1556"/>
      <c r="BB1556"/>
      <c r="BC1556"/>
      <c r="BD1556"/>
      <c r="BE1556"/>
      <c r="BF1556"/>
      <c r="BG1556"/>
      <c r="BH1556"/>
      <c r="BI1556"/>
      <c r="BJ1556"/>
      <c r="BK1556"/>
      <c r="BL1556"/>
      <c r="BM1556"/>
      <c r="BN1556"/>
      <c r="BO1556"/>
      <c r="BP1556"/>
      <c r="BQ1556"/>
      <c r="BR1556"/>
      <c r="BS1556"/>
      <c r="BT1556"/>
      <c r="BU1556"/>
      <c r="BV1556"/>
      <c r="BW1556"/>
      <c r="BX1556"/>
      <c r="BY1556"/>
      <c r="BZ1556"/>
      <c r="CA1556"/>
      <c r="CB1556"/>
      <c r="CC1556"/>
      <c r="CD1556"/>
      <c r="CE1556"/>
      <c r="CF1556"/>
      <c r="CG1556"/>
      <c r="CH1556"/>
      <c r="CI1556"/>
      <c r="CJ1556"/>
      <c r="CK1556"/>
      <c r="CL1556"/>
      <c r="CM1556"/>
      <c r="CN1556"/>
      <c r="CO1556"/>
      <c r="CP1556"/>
      <c r="CQ1556"/>
      <c r="CR1556"/>
      <c r="CS1556"/>
      <c r="CT1556"/>
      <c r="CU1556"/>
      <c r="CV1556"/>
      <c r="CW1556"/>
      <c r="CX1556"/>
      <c r="CY1556"/>
      <c r="CZ1556"/>
      <c r="DA1556"/>
      <c r="DB1556"/>
      <c r="DC1556"/>
      <c r="DD1556"/>
      <c r="DE1556"/>
      <c r="DF1556"/>
      <c r="DG1556"/>
      <c r="DH1556"/>
      <c r="DI1556"/>
      <c r="DJ1556"/>
      <c r="DK1556"/>
      <c r="DL1556"/>
      <c r="DM1556"/>
      <c r="DN1556"/>
      <c r="DO1556"/>
      <c r="DP1556"/>
      <c r="DQ1556"/>
      <c r="DR1556"/>
      <c r="DS1556"/>
      <c r="DT1556"/>
      <c r="DU1556"/>
      <c r="DV1556"/>
      <c r="DW1556"/>
      <c r="DX1556"/>
      <c r="DY1556"/>
      <c r="DZ1556"/>
      <c r="EA1556"/>
      <c r="EB1556"/>
      <c r="EC1556"/>
      <c r="ED1556"/>
      <c r="EE1556"/>
      <c r="EF1556"/>
      <c r="EG1556"/>
      <c r="EH1556"/>
      <c r="EI1556"/>
      <c r="EJ1556"/>
      <c r="EK1556"/>
      <c r="EL1556"/>
      <c r="EM1556"/>
      <c r="EN1556"/>
      <c r="EO1556"/>
      <c r="EP1556"/>
      <c r="EQ1556"/>
      <c r="ER1556"/>
      <c r="ES1556"/>
    </row>
    <row r="1557" spans="1:149">
      <c r="A1557"/>
      <c r="B1557"/>
      <c r="C1557"/>
      <c r="D1557"/>
      <c r="E1557"/>
      <c r="F1557"/>
      <c r="G1557"/>
      <c r="H1557"/>
      <c r="I1557"/>
      <c r="J1557"/>
      <c r="K1557"/>
      <c r="L1557"/>
      <c r="M1557"/>
      <c r="N1557"/>
      <c r="O1557"/>
      <c r="P1557"/>
      <c r="Q1557"/>
      <c r="R1557"/>
      <c r="S1557"/>
      <c r="T1557"/>
      <c r="U1557"/>
      <c r="V1557"/>
      <c r="W1557"/>
      <c r="X1557"/>
      <c r="Y1557"/>
      <c r="Z1557"/>
      <c r="AA1557"/>
      <c r="AB1557"/>
      <c r="AC1557"/>
      <c r="AD1557"/>
      <c r="AE1557"/>
      <c r="AF1557"/>
      <c r="AG1557"/>
      <c r="AH1557"/>
      <c r="AI1557"/>
      <c r="AJ1557"/>
      <c r="AK1557"/>
      <c r="AL1557"/>
      <c r="AM1557"/>
      <c r="AN1557"/>
      <c r="AO1557"/>
      <c r="AP1557"/>
      <c r="AQ1557"/>
      <c r="AR1557"/>
      <c r="AS1557"/>
      <c r="AT1557"/>
      <c r="AU1557"/>
      <c r="AV1557"/>
      <c r="AW1557"/>
      <c r="AX1557"/>
      <c r="AY1557"/>
      <c r="AZ1557"/>
      <c r="BA1557"/>
      <c r="BB1557"/>
      <c r="BC1557"/>
      <c r="BD1557"/>
      <c r="BE1557"/>
      <c r="BF1557"/>
      <c r="BG1557"/>
      <c r="BH1557"/>
      <c r="BI1557"/>
      <c r="BJ1557"/>
      <c r="BK1557"/>
      <c r="BL1557"/>
      <c r="BM1557"/>
      <c r="BN1557"/>
      <c r="BO1557"/>
      <c r="BP1557"/>
      <c r="BQ1557"/>
      <c r="BR1557"/>
      <c r="BS1557"/>
      <c r="BT1557"/>
      <c r="BU1557"/>
      <c r="BV1557"/>
      <c r="BW1557"/>
      <c r="BX1557"/>
      <c r="BY1557"/>
      <c r="BZ1557"/>
      <c r="CA1557"/>
      <c r="CB1557"/>
      <c r="CC1557"/>
      <c r="CD1557"/>
      <c r="CE1557"/>
      <c r="CF1557"/>
      <c r="CG1557"/>
      <c r="CH1557"/>
      <c r="CI1557"/>
      <c r="CJ1557"/>
      <c r="CK1557"/>
      <c r="CL1557"/>
      <c r="CM1557"/>
      <c r="CN1557"/>
      <c r="CO1557"/>
      <c r="CP1557"/>
      <c r="CQ1557"/>
      <c r="CR1557"/>
      <c r="CS1557"/>
      <c r="CT1557"/>
      <c r="CU1557"/>
      <c r="CV1557"/>
      <c r="CW1557"/>
      <c r="CX1557"/>
      <c r="CY1557"/>
      <c r="CZ1557"/>
      <c r="DA1557"/>
      <c r="DB1557"/>
      <c r="DC1557"/>
      <c r="DD1557"/>
      <c r="DE1557"/>
      <c r="DF1557"/>
      <c r="DG1557"/>
      <c r="DH1557"/>
      <c r="DI1557"/>
      <c r="DJ1557"/>
      <c r="DK1557"/>
      <c r="DL1557"/>
      <c r="DM1557"/>
      <c r="DN1557"/>
      <c r="DO1557"/>
      <c r="DP1557"/>
      <c r="DQ1557"/>
      <c r="DR1557"/>
      <c r="DS1557"/>
      <c r="DT1557"/>
      <c r="DU1557"/>
      <c r="DV1557"/>
      <c r="DW1557"/>
      <c r="DX1557"/>
      <c r="DY1557"/>
      <c r="DZ1557"/>
      <c r="EA1557"/>
      <c r="EB1557"/>
      <c r="EC1557"/>
      <c r="ED1557"/>
      <c r="EE1557"/>
      <c r="EF1557"/>
      <c r="EG1557"/>
      <c r="EH1557"/>
      <c r="EI1557"/>
      <c r="EJ1557"/>
      <c r="EK1557"/>
      <c r="EL1557"/>
      <c r="EM1557"/>
      <c r="EN1557"/>
      <c r="EO1557"/>
      <c r="EP1557"/>
      <c r="EQ1557"/>
      <c r="ER1557"/>
      <c r="ES1557"/>
    </row>
    <row r="1558" spans="1:149">
      <c r="A1558"/>
      <c r="B1558"/>
      <c r="C1558"/>
      <c r="D1558"/>
      <c r="E1558"/>
      <c r="F1558"/>
      <c r="G1558"/>
      <c r="H1558"/>
      <c r="I1558"/>
      <c r="J1558"/>
      <c r="K1558"/>
      <c r="L1558"/>
      <c r="M1558"/>
      <c r="N1558"/>
      <c r="O1558"/>
      <c r="P1558"/>
      <c r="Q1558"/>
      <c r="R1558"/>
      <c r="S1558"/>
      <c r="T1558"/>
      <c r="U1558"/>
      <c r="V1558"/>
      <c r="W1558"/>
      <c r="X1558"/>
      <c r="Y1558"/>
      <c r="Z1558"/>
      <c r="AA1558"/>
      <c r="AB1558"/>
      <c r="AC1558"/>
      <c r="AD1558"/>
      <c r="AE1558"/>
      <c r="AF1558"/>
      <c r="AG1558"/>
      <c r="AH1558"/>
      <c r="AI1558"/>
      <c r="AJ1558"/>
      <c r="AK1558"/>
      <c r="AL1558"/>
      <c r="AM1558"/>
      <c r="AN1558"/>
      <c r="AO1558"/>
      <c r="AP1558"/>
      <c r="AQ1558"/>
      <c r="AR1558"/>
      <c r="AS1558"/>
      <c r="AT1558"/>
      <c r="AU1558"/>
      <c r="AV1558"/>
      <c r="AW1558"/>
      <c r="AX1558"/>
      <c r="AY1558"/>
      <c r="AZ1558"/>
      <c r="BA1558"/>
      <c r="BB1558"/>
      <c r="BC1558"/>
      <c r="BD1558"/>
      <c r="BE1558"/>
      <c r="BF1558"/>
      <c r="BG1558"/>
      <c r="BH1558"/>
      <c r="BI1558"/>
      <c r="BJ1558"/>
      <c r="BK1558"/>
      <c r="BL1558"/>
      <c r="BM1558"/>
      <c r="BN1558"/>
      <c r="BO1558"/>
      <c r="BP1558"/>
      <c r="BQ1558"/>
      <c r="BR1558"/>
      <c r="BS1558"/>
      <c r="BT1558"/>
      <c r="BU1558"/>
      <c r="BV1558"/>
      <c r="BW1558"/>
      <c r="BX1558"/>
      <c r="BY1558"/>
      <c r="BZ1558"/>
      <c r="CA1558"/>
      <c r="CB1558"/>
      <c r="CC1558"/>
      <c r="CD1558"/>
      <c r="CE1558"/>
      <c r="CF1558"/>
      <c r="CG1558"/>
      <c r="CH1558"/>
      <c r="CI1558"/>
      <c r="CJ1558"/>
      <c r="CK1558"/>
      <c r="CL1558"/>
      <c r="CM1558"/>
      <c r="CN1558"/>
      <c r="CO1558"/>
      <c r="CP1558"/>
      <c r="CQ1558"/>
      <c r="CR1558"/>
      <c r="CS1558"/>
      <c r="CT1558"/>
      <c r="CU1558"/>
      <c r="CV1558"/>
      <c r="CW1558"/>
      <c r="CX1558"/>
      <c r="CY1558"/>
      <c r="CZ1558"/>
      <c r="DA1558"/>
      <c r="DB1558"/>
      <c r="DC1558"/>
      <c r="DD1558"/>
      <c r="DE1558"/>
      <c r="DF1558"/>
      <c r="DG1558"/>
      <c r="DH1558"/>
      <c r="DI1558"/>
      <c r="DJ1558"/>
      <c r="DK1558"/>
      <c r="DL1558"/>
      <c r="DM1558"/>
      <c r="DN1558"/>
      <c r="DO1558"/>
      <c r="DP1558"/>
      <c r="DQ1558"/>
      <c r="DR1558"/>
      <c r="DS1558"/>
      <c r="DT1558"/>
      <c r="DU1558"/>
      <c r="DV1558"/>
      <c r="DW1558"/>
      <c r="DX1558"/>
      <c r="DY1558"/>
      <c r="DZ1558"/>
      <c r="EA1558"/>
      <c r="EB1558"/>
      <c r="EC1558"/>
      <c r="ED1558"/>
      <c r="EE1558"/>
      <c r="EF1558"/>
      <c r="EG1558"/>
      <c r="EH1558"/>
      <c r="EI1558"/>
      <c r="EJ1558"/>
      <c r="EK1558"/>
      <c r="EL1558"/>
      <c r="EM1558"/>
      <c r="EN1558"/>
      <c r="EO1558"/>
      <c r="EP1558"/>
      <c r="EQ1558"/>
      <c r="ER1558"/>
      <c r="ES1558"/>
    </row>
    <row r="1559" spans="1:149">
      <c r="A1559"/>
      <c r="B1559"/>
      <c r="C1559"/>
      <c r="D1559"/>
      <c r="E1559"/>
      <c r="F1559"/>
      <c r="G1559"/>
      <c r="H1559"/>
      <c r="I1559"/>
      <c r="J1559"/>
      <c r="K1559"/>
      <c r="L1559"/>
      <c r="M1559"/>
      <c r="N1559"/>
      <c r="O1559"/>
      <c r="P1559"/>
      <c r="Q1559"/>
      <c r="R1559"/>
      <c r="S1559"/>
      <c r="T1559"/>
      <c r="U1559"/>
      <c r="V1559"/>
      <c r="W1559"/>
      <c r="X1559"/>
      <c r="Y1559"/>
      <c r="Z1559"/>
      <c r="AA1559"/>
      <c r="AB1559"/>
      <c r="AC1559"/>
      <c r="AD1559"/>
      <c r="AE1559"/>
      <c r="AF1559"/>
      <c r="AG1559"/>
      <c r="AH1559"/>
      <c r="AI1559"/>
      <c r="AJ1559"/>
      <c r="AK1559"/>
      <c r="AL1559"/>
      <c r="AM1559"/>
      <c r="AN1559"/>
      <c r="AO1559"/>
      <c r="AP1559"/>
      <c r="AQ1559"/>
      <c r="AR1559"/>
      <c r="AS1559"/>
      <c r="AT1559"/>
      <c r="AU1559"/>
      <c r="AV1559"/>
      <c r="AW1559"/>
      <c r="AX1559"/>
      <c r="AY1559"/>
      <c r="AZ1559"/>
      <c r="BA1559"/>
      <c r="BB1559"/>
      <c r="BC1559"/>
      <c r="BD1559"/>
      <c r="BE1559"/>
      <c r="BF1559"/>
      <c r="BG1559"/>
      <c r="BH1559"/>
      <c r="BI1559"/>
      <c r="BJ1559"/>
      <c r="BK1559"/>
      <c r="BL1559"/>
      <c r="BM1559"/>
      <c r="BN1559"/>
      <c r="BO1559"/>
      <c r="BP1559"/>
      <c r="BQ1559"/>
      <c r="BR1559"/>
      <c r="BS1559"/>
      <c r="BT1559"/>
      <c r="BU1559"/>
      <c r="BV1559"/>
      <c r="BW1559"/>
      <c r="BX1559"/>
      <c r="BY1559"/>
      <c r="BZ1559"/>
      <c r="CA1559"/>
      <c r="CB1559"/>
      <c r="CC1559"/>
      <c r="CD1559"/>
      <c r="CE1559"/>
      <c r="CF1559"/>
      <c r="CG1559"/>
      <c r="CH1559"/>
      <c r="CI1559"/>
      <c r="CJ1559"/>
      <c r="CK1559"/>
      <c r="CL1559"/>
      <c r="CM1559"/>
      <c r="CN1559"/>
      <c r="CO1559"/>
      <c r="CP1559"/>
      <c r="CQ1559"/>
      <c r="CR1559"/>
      <c r="CS1559"/>
      <c r="CT1559"/>
      <c r="CU1559"/>
      <c r="CV1559"/>
      <c r="CW1559"/>
      <c r="CX1559"/>
      <c r="CY1559"/>
      <c r="CZ1559"/>
      <c r="DA1559"/>
      <c r="DB1559"/>
      <c r="DC1559"/>
      <c r="DD1559"/>
      <c r="DE1559"/>
      <c r="DF1559"/>
      <c r="DG1559"/>
      <c r="DH1559"/>
      <c r="DI1559"/>
      <c r="DJ1559"/>
      <c r="DK1559"/>
      <c r="DL1559"/>
      <c r="DM1559"/>
      <c r="DN1559"/>
      <c r="DO1559"/>
      <c r="DP1559"/>
      <c r="DQ1559"/>
      <c r="DR1559"/>
      <c r="DS1559"/>
      <c r="DT1559"/>
      <c r="DU1559"/>
      <c r="DV1559"/>
      <c r="DW1559"/>
      <c r="DX1559"/>
      <c r="DY1559"/>
      <c r="DZ1559"/>
      <c r="EA1559"/>
      <c r="EB1559"/>
      <c r="EC1559"/>
      <c r="ED1559"/>
      <c r="EE1559"/>
      <c r="EF1559"/>
      <c r="EG1559"/>
      <c r="EH1559"/>
      <c r="EI1559"/>
      <c r="EJ1559"/>
      <c r="EK1559"/>
      <c r="EL1559"/>
      <c r="EM1559"/>
      <c r="EN1559"/>
      <c r="EO1559"/>
      <c r="EP1559"/>
      <c r="EQ1559"/>
      <c r="ER1559"/>
      <c r="ES1559"/>
    </row>
    <row r="1560" spans="1:149">
      <c r="A1560"/>
      <c r="B1560"/>
      <c r="C1560"/>
      <c r="D1560"/>
      <c r="E1560"/>
      <c r="F1560"/>
      <c r="G1560"/>
      <c r="H1560"/>
      <c r="I1560"/>
      <c r="J1560"/>
      <c r="K1560"/>
      <c r="L1560"/>
      <c r="M1560"/>
      <c r="N1560"/>
      <c r="O1560"/>
      <c r="P1560"/>
      <c r="Q1560"/>
      <c r="R1560"/>
      <c r="S1560"/>
      <c r="T1560"/>
      <c r="U1560"/>
      <c r="V1560"/>
      <c r="W1560"/>
      <c r="X1560"/>
      <c r="Y1560"/>
      <c r="Z1560"/>
      <c r="AA1560"/>
      <c r="AB1560"/>
      <c r="AC1560"/>
      <c r="AD1560"/>
      <c r="AE1560"/>
      <c r="AF1560"/>
      <c r="AG1560"/>
      <c r="AH1560"/>
      <c r="AI1560"/>
      <c r="AJ1560"/>
      <c r="AK1560"/>
      <c r="AL1560"/>
      <c r="AM1560"/>
      <c r="AN1560"/>
      <c r="AO1560"/>
      <c r="AP1560"/>
      <c r="AQ1560"/>
      <c r="AR1560"/>
      <c r="AS1560"/>
      <c r="AT1560"/>
      <c r="AU1560"/>
      <c r="AV1560"/>
      <c r="AW1560"/>
      <c r="AX1560"/>
      <c r="AY1560"/>
      <c r="AZ1560"/>
      <c r="BA1560"/>
      <c r="BB1560"/>
      <c r="BC1560"/>
      <c r="BD1560"/>
      <c r="BE1560"/>
      <c r="BF1560"/>
      <c r="BG1560"/>
      <c r="BH1560"/>
      <c r="BI1560"/>
      <c r="BJ1560"/>
      <c r="BK1560"/>
      <c r="BL1560"/>
      <c r="BM1560"/>
      <c r="BN1560"/>
      <c r="BO1560"/>
      <c r="BP1560"/>
      <c r="BQ1560"/>
      <c r="BR1560"/>
      <c r="BS1560"/>
      <c r="BT1560"/>
      <c r="BU1560"/>
      <c r="BV1560"/>
      <c r="BW1560"/>
      <c r="BX1560"/>
      <c r="BY1560"/>
      <c r="BZ1560"/>
      <c r="CA1560"/>
      <c r="CB1560"/>
      <c r="CC1560"/>
      <c r="CD1560"/>
      <c r="CE1560"/>
      <c r="CF1560"/>
      <c r="CG1560"/>
      <c r="CH1560"/>
      <c r="CI1560"/>
      <c r="CJ1560"/>
      <c r="CK1560"/>
      <c r="CL1560"/>
      <c r="CM1560"/>
      <c r="CN1560"/>
      <c r="CO1560"/>
      <c r="CP1560"/>
      <c r="CQ1560"/>
      <c r="CR1560"/>
      <c r="CS1560"/>
      <c r="CT1560"/>
      <c r="CU1560"/>
      <c r="CV1560"/>
      <c r="CW1560"/>
      <c r="CX1560"/>
      <c r="CY1560"/>
      <c r="CZ1560"/>
      <c r="DA1560"/>
      <c r="DB1560"/>
      <c r="DC1560"/>
      <c r="DD1560"/>
      <c r="DE1560"/>
      <c r="DF1560"/>
      <c r="DG1560"/>
      <c r="DH1560"/>
      <c r="DI1560"/>
      <c r="DJ1560"/>
      <c r="DK1560"/>
      <c r="DL1560"/>
      <c r="DM1560"/>
      <c r="DN1560"/>
      <c r="DO1560"/>
      <c r="DP1560"/>
      <c r="DQ1560"/>
      <c r="DR1560"/>
      <c r="DS1560"/>
      <c r="DT1560"/>
      <c r="DU1560"/>
      <c r="DV1560"/>
      <c r="DW1560"/>
      <c r="DX1560"/>
      <c r="DY1560"/>
      <c r="DZ1560"/>
      <c r="EA1560"/>
      <c r="EB1560"/>
      <c r="EC1560"/>
      <c r="ED1560"/>
      <c r="EE1560"/>
      <c r="EF1560"/>
      <c r="EG1560"/>
      <c r="EH1560"/>
      <c r="EI1560"/>
      <c r="EJ1560"/>
      <c r="EK1560"/>
      <c r="EL1560"/>
      <c r="EM1560"/>
      <c r="EN1560"/>
      <c r="EO1560"/>
      <c r="EP1560"/>
      <c r="EQ1560"/>
      <c r="ER1560"/>
      <c r="ES1560"/>
    </row>
    <row r="1561" spans="1:149">
      <c r="A1561"/>
      <c r="B1561"/>
      <c r="C1561"/>
      <c r="D1561"/>
      <c r="E1561"/>
      <c r="F1561"/>
      <c r="G1561"/>
      <c r="H1561"/>
      <c r="I1561"/>
      <c r="J1561"/>
      <c r="K1561"/>
      <c r="L1561"/>
      <c r="M1561"/>
      <c r="N1561"/>
      <c r="O1561"/>
      <c r="P1561"/>
      <c r="Q1561"/>
      <c r="R1561"/>
      <c r="S1561"/>
      <c r="T1561"/>
      <c r="U1561"/>
      <c r="V1561"/>
      <c r="W1561"/>
      <c r="X1561"/>
      <c r="Y1561"/>
      <c r="Z1561"/>
      <c r="AA1561"/>
      <c r="AB1561"/>
      <c r="AC1561"/>
      <c r="AD1561"/>
      <c r="AE1561"/>
      <c r="AF1561"/>
      <c r="AG1561"/>
      <c r="AH1561"/>
      <c r="AI1561"/>
      <c r="AJ1561"/>
      <c r="AK1561"/>
      <c r="AL1561"/>
      <c r="AM1561"/>
      <c r="AN1561"/>
      <c r="AO1561"/>
      <c r="AP1561"/>
      <c r="AQ1561"/>
      <c r="AR1561"/>
      <c r="AS1561"/>
      <c r="AT1561"/>
      <c r="AU1561"/>
      <c r="AV1561"/>
      <c r="AW1561"/>
      <c r="AX1561"/>
      <c r="AY1561"/>
      <c r="AZ1561"/>
      <c r="BA1561"/>
      <c r="BB1561"/>
      <c r="BC1561"/>
      <c r="BD1561"/>
      <c r="BE1561"/>
      <c r="BF1561"/>
      <c r="BG1561"/>
      <c r="BH1561"/>
      <c r="BI1561"/>
      <c r="BJ1561"/>
      <c r="BK1561"/>
      <c r="BL1561"/>
      <c r="BM1561"/>
      <c r="BN1561"/>
      <c r="BO1561"/>
      <c r="BP1561"/>
      <c r="BQ1561"/>
      <c r="BR1561"/>
      <c r="BS1561"/>
      <c r="BT1561"/>
      <c r="BU1561"/>
      <c r="BV1561"/>
      <c r="BW1561"/>
      <c r="BX1561"/>
      <c r="BY1561"/>
      <c r="BZ1561"/>
      <c r="CA1561"/>
      <c r="CB1561"/>
      <c r="CC1561"/>
      <c r="CD1561"/>
      <c r="CE1561"/>
      <c r="CF1561"/>
      <c r="CG1561"/>
      <c r="CH1561"/>
      <c r="CI1561"/>
      <c r="CJ1561"/>
      <c r="CK1561"/>
      <c r="CL1561"/>
      <c r="CM1561"/>
      <c r="CN1561"/>
      <c r="CO1561"/>
      <c r="CP1561"/>
      <c r="CQ1561"/>
      <c r="CR1561"/>
      <c r="CS1561"/>
      <c r="CT1561"/>
      <c r="CU1561"/>
      <c r="CV1561"/>
      <c r="CW1561"/>
      <c r="CX1561"/>
      <c r="CY1561"/>
      <c r="CZ1561"/>
      <c r="DA1561"/>
      <c r="DB1561"/>
      <c r="DC1561"/>
      <c r="DD1561"/>
      <c r="DE1561"/>
      <c r="DF1561"/>
      <c r="DG1561"/>
      <c r="DH1561"/>
      <c r="DI1561"/>
      <c r="DJ1561"/>
      <c r="DK1561"/>
      <c r="DL1561"/>
      <c r="DM1561"/>
      <c r="DN1561"/>
      <c r="DO1561"/>
      <c r="DP1561"/>
      <c r="DQ1561"/>
      <c r="DR1561"/>
      <c r="DS1561"/>
      <c r="DT1561"/>
      <c r="DU1561"/>
      <c r="DV1561"/>
      <c r="DW1561"/>
      <c r="DX1561"/>
      <c r="DY1561"/>
      <c r="DZ1561"/>
      <c r="EA1561"/>
      <c r="EB1561"/>
      <c r="EC1561"/>
      <c r="ED1561"/>
      <c r="EE1561"/>
      <c r="EF1561"/>
      <c r="EG1561"/>
      <c r="EH1561"/>
      <c r="EI1561"/>
      <c r="EJ1561"/>
      <c r="EK1561"/>
      <c r="EL1561"/>
      <c r="EM1561"/>
      <c r="EN1561"/>
      <c r="EO1561"/>
      <c r="EP1561"/>
      <c r="EQ1561"/>
      <c r="ER1561"/>
      <c r="ES1561"/>
    </row>
    <row r="1562" spans="1:149">
      <c r="A1562"/>
      <c r="B1562"/>
      <c r="C1562"/>
      <c r="D1562"/>
      <c r="E1562"/>
      <c r="F1562"/>
      <c r="G1562"/>
      <c r="H1562"/>
      <c r="I1562"/>
      <c r="J1562"/>
      <c r="K1562"/>
      <c r="L1562"/>
      <c r="M1562"/>
      <c r="N1562"/>
      <c r="O1562"/>
      <c r="P1562"/>
      <c r="Q1562"/>
      <c r="R1562"/>
      <c r="S1562"/>
      <c r="T1562"/>
      <c r="U1562"/>
      <c r="V1562"/>
      <c r="W1562"/>
      <c r="X1562"/>
      <c r="Y1562"/>
      <c r="Z1562"/>
      <c r="AA1562"/>
      <c r="AB1562"/>
      <c r="AC1562"/>
      <c r="AD1562"/>
      <c r="AE1562"/>
      <c r="AF1562"/>
      <c r="AG1562"/>
      <c r="AH1562"/>
      <c r="AI1562"/>
      <c r="AJ1562"/>
      <c r="AK1562"/>
      <c r="AL1562"/>
      <c r="AM1562"/>
      <c r="AN1562"/>
      <c r="AO1562"/>
      <c r="AP1562"/>
      <c r="AQ1562"/>
      <c r="AR1562"/>
      <c r="AS1562"/>
      <c r="AT1562"/>
      <c r="AU1562"/>
      <c r="AV1562"/>
      <c r="AW1562"/>
      <c r="AX1562"/>
      <c r="AY1562"/>
      <c r="AZ1562"/>
      <c r="BA1562"/>
      <c r="BB1562"/>
      <c r="BC1562"/>
      <c r="BD1562"/>
      <c r="BE1562"/>
      <c r="BF1562"/>
      <c r="BG1562"/>
      <c r="BH1562"/>
      <c r="BI1562"/>
      <c r="BJ1562"/>
      <c r="BK1562"/>
      <c r="BL1562"/>
      <c r="BM1562"/>
      <c r="BN1562"/>
      <c r="BO1562"/>
      <c r="BP1562"/>
      <c r="BQ1562"/>
      <c r="BR1562"/>
      <c r="BS1562"/>
      <c r="BT1562"/>
      <c r="BU1562"/>
      <c r="BV1562"/>
      <c r="BW1562"/>
      <c r="BX1562"/>
      <c r="BY1562"/>
      <c r="BZ1562"/>
      <c r="CA1562"/>
      <c r="CB1562"/>
      <c r="CC1562"/>
      <c r="CD1562"/>
      <c r="CE1562"/>
      <c r="CF1562"/>
      <c r="CG1562"/>
      <c r="CH1562"/>
      <c r="CI1562"/>
      <c r="CJ1562"/>
      <c r="CK1562"/>
      <c r="CL1562"/>
      <c r="CM1562"/>
      <c r="CN1562"/>
      <c r="CO1562"/>
      <c r="CP1562"/>
      <c r="CQ1562"/>
      <c r="CR1562"/>
      <c r="CS1562"/>
      <c r="CT1562"/>
      <c r="CU1562"/>
      <c r="CV1562"/>
      <c r="CW1562"/>
      <c r="CX1562"/>
      <c r="CY1562"/>
      <c r="CZ1562"/>
      <c r="DA1562"/>
      <c r="DB1562"/>
      <c r="DC1562"/>
      <c r="DD1562"/>
      <c r="DE1562"/>
      <c r="DF1562"/>
      <c r="DG1562"/>
      <c r="DH1562"/>
      <c r="DI1562"/>
      <c r="DJ1562"/>
      <c r="DK1562"/>
      <c r="DL1562"/>
      <c r="DM1562"/>
      <c r="DN1562"/>
      <c r="DO1562"/>
      <c r="DP1562"/>
      <c r="DQ1562"/>
      <c r="DR1562"/>
      <c r="DS1562"/>
      <c r="DT1562"/>
      <c r="DU1562"/>
      <c r="DV1562"/>
      <c r="DW1562"/>
      <c r="DX1562"/>
      <c r="DY1562"/>
      <c r="DZ1562"/>
      <c r="EA1562"/>
      <c r="EB1562"/>
      <c r="EC1562"/>
      <c r="ED1562"/>
      <c r="EE1562"/>
      <c r="EF1562"/>
      <c r="EG1562"/>
      <c r="EH1562"/>
      <c r="EI1562"/>
      <c r="EJ1562"/>
      <c r="EK1562"/>
      <c r="EL1562"/>
      <c r="EM1562"/>
      <c r="EN1562"/>
      <c r="EO1562"/>
      <c r="EP1562"/>
      <c r="EQ1562"/>
      <c r="ER1562"/>
      <c r="ES1562"/>
    </row>
    <row r="1563" spans="1:149">
      <c r="A1563"/>
      <c r="B1563"/>
      <c r="C1563"/>
      <c r="D1563"/>
      <c r="E1563"/>
      <c r="F1563"/>
      <c r="G1563"/>
      <c r="H1563"/>
      <c r="I1563"/>
      <c r="J1563"/>
      <c r="K1563"/>
      <c r="L1563"/>
      <c r="M1563"/>
      <c r="N1563"/>
      <c r="O1563"/>
      <c r="P1563"/>
      <c r="Q1563"/>
      <c r="R1563"/>
      <c r="S1563"/>
      <c r="T1563"/>
      <c r="U1563"/>
      <c r="V1563"/>
      <c r="W1563"/>
      <c r="X1563"/>
      <c r="Y1563"/>
      <c r="Z1563"/>
      <c r="AA1563"/>
      <c r="AB1563"/>
      <c r="AC1563"/>
      <c r="AD1563"/>
      <c r="AE1563"/>
      <c r="AF1563"/>
      <c r="AG1563"/>
      <c r="AH1563"/>
      <c r="AI1563"/>
      <c r="AJ1563"/>
      <c r="AK1563"/>
      <c r="AL1563"/>
      <c r="AM1563"/>
      <c r="AN1563"/>
      <c r="AO1563"/>
      <c r="AP1563"/>
      <c r="AQ1563"/>
      <c r="AR1563"/>
      <c r="AS1563"/>
      <c r="AT1563"/>
      <c r="AU1563"/>
      <c r="AV1563"/>
      <c r="AW1563"/>
      <c r="AX1563"/>
      <c r="AY1563"/>
      <c r="AZ1563"/>
      <c r="BA1563"/>
      <c r="BB1563"/>
      <c r="BC1563"/>
      <c r="BD1563"/>
      <c r="BE1563"/>
      <c r="BF1563"/>
      <c r="BG1563"/>
      <c r="BH1563"/>
      <c r="BI1563"/>
      <c r="BJ1563"/>
      <c r="BK1563"/>
      <c r="BL1563"/>
      <c r="BM1563"/>
      <c r="BN1563"/>
      <c r="BO1563"/>
      <c r="BP1563"/>
      <c r="BQ1563"/>
      <c r="BR1563"/>
      <c r="BS1563"/>
      <c r="BT1563"/>
      <c r="BU1563"/>
      <c r="BV1563"/>
      <c r="BW1563"/>
      <c r="BX1563"/>
      <c r="BY1563"/>
      <c r="BZ1563"/>
      <c r="CA1563"/>
      <c r="CB1563"/>
      <c r="CC1563"/>
      <c r="CD1563"/>
      <c r="CE1563"/>
      <c r="CF1563"/>
      <c r="CG1563"/>
      <c r="CH1563"/>
      <c r="CI1563"/>
      <c r="CJ1563"/>
      <c r="CK1563"/>
      <c r="CL1563"/>
      <c r="CM1563"/>
      <c r="CN1563"/>
      <c r="CO1563"/>
      <c r="CP1563"/>
      <c r="CQ1563"/>
      <c r="CR1563"/>
      <c r="CS1563"/>
      <c r="CT1563"/>
      <c r="CU1563"/>
      <c r="CV1563"/>
      <c r="CW1563"/>
      <c r="CX1563"/>
      <c r="CY1563"/>
      <c r="CZ1563"/>
      <c r="DA1563"/>
      <c r="DB1563"/>
      <c r="DC1563"/>
      <c r="DD1563"/>
      <c r="DE1563"/>
      <c r="DF1563"/>
      <c r="DG1563"/>
      <c r="DH1563"/>
      <c r="DI1563"/>
      <c r="DJ1563"/>
      <c r="DK1563"/>
      <c r="DL1563"/>
      <c r="DM1563"/>
      <c r="DN1563"/>
      <c r="DO1563"/>
      <c r="DP1563"/>
      <c r="DQ1563"/>
      <c r="DR1563"/>
      <c r="DS1563"/>
      <c r="DT1563"/>
      <c r="DU1563"/>
      <c r="DV1563"/>
      <c r="DW1563"/>
      <c r="DX1563"/>
      <c r="DY1563"/>
      <c r="DZ1563"/>
      <c r="EA1563"/>
      <c r="EB1563"/>
      <c r="EC1563"/>
      <c r="ED1563"/>
      <c r="EE1563"/>
      <c r="EF1563"/>
      <c r="EG1563"/>
      <c r="EH1563"/>
      <c r="EI1563"/>
      <c r="EJ1563"/>
      <c r="EK1563"/>
      <c r="EL1563"/>
      <c r="EM1563"/>
      <c r="EN1563"/>
      <c r="EO1563"/>
      <c r="EP1563"/>
      <c r="EQ1563"/>
      <c r="ER1563"/>
      <c r="ES1563"/>
    </row>
    <row r="1564" spans="1:149">
      <c r="A1564"/>
      <c r="B1564"/>
      <c r="C1564"/>
      <c r="D1564"/>
      <c r="E1564"/>
      <c r="F1564"/>
      <c r="G1564"/>
      <c r="H1564"/>
      <c r="I1564"/>
      <c r="J1564"/>
      <c r="K1564"/>
      <c r="L1564"/>
      <c r="M1564"/>
      <c r="N1564"/>
      <c r="O1564"/>
      <c r="P1564"/>
      <c r="Q1564"/>
      <c r="R1564"/>
      <c r="S1564"/>
      <c r="T1564"/>
      <c r="U1564"/>
      <c r="V1564"/>
      <c r="W1564"/>
      <c r="X1564"/>
      <c r="Y1564"/>
      <c r="Z1564"/>
      <c r="AA1564"/>
      <c r="AB1564"/>
      <c r="AC1564"/>
      <c r="AD1564"/>
      <c r="AE1564"/>
      <c r="AF1564"/>
      <c r="AG1564"/>
      <c r="AH1564"/>
      <c r="AI1564"/>
      <c r="AJ1564"/>
      <c r="AK1564"/>
      <c r="AL1564"/>
      <c r="AM1564"/>
      <c r="AN1564"/>
      <c r="AO1564"/>
      <c r="AP1564"/>
      <c r="AQ1564"/>
      <c r="AR1564"/>
      <c r="AS1564"/>
      <c r="AT1564"/>
      <c r="AU1564"/>
      <c r="AV1564"/>
      <c r="AW1564"/>
      <c r="AX1564"/>
      <c r="AY1564"/>
      <c r="AZ1564"/>
      <c r="BA1564"/>
      <c r="BB1564"/>
      <c r="BC1564"/>
      <c r="BD1564"/>
      <c r="BE1564"/>
      <c r="BF1564"/>
      <c r="BG1564"/>
      <c r="BH1564"/>
      <c r="BI1564"/>
      <c r="BJ1564"/>
      <c r="BK1564"/>
      <c r="BL1564"/>
      <c r="BM1564"/>
      <c r="BN1564"/>
      <c r="BO1564"/>
      <c r="BP1564"/>
      <c r="BQ1564"/>
      <c r="BR1564"/>
      <c r="BS1564"/>
      <c r="BT1564"/>
      <c r="BU1564"/>
      <c r="BV1564"/>
      <c r="BW1564"/>
      <c r="BX1564"/>
      <c r="BY1564"/>
      <c r="BZ1564"/>
      <c r="CA1564"/>
      <c r="CB1564"/>
      <c r="CC1564"/>
      <c r="CD1564"/>
      <c r="CE1564"/>
      <c r="CF1564"/>
      <c r="CG1564"/>
      <c r="CH1564"/>
      <c r="CI1564"/>
      <c r="CJ1564"/>
      <c r="CK1564"/>
      <c r="CL1564"/>
      <c r="CM1564"/>
      <c r="CN1564"/>
      <c r="CO1564"/>
      <c r="CP1564"/>
      <c r="CQ1564"/>
      <c r="CR1564"/>
      <c r="CS1564"/>
      <c r="CT1564"/>
      <c r="CU1564"/>
      <c r="CV1564"/>
      <c r="CW1564"/>
      <c r="CX1564"/>
      <c r="CY1564"/>
      <c r="CZ1564"/>
      <c r="DA1564"/>
      <c r="DB1564"/>
      <c r="DC1564"/>
      <c r="DD1564"/>
      <c r="DE1564"/>
      <c r="DF1564"/>
      <c r="DG1564"/>
      <c r="DH1564"/>
      <c r="DI1564"/>
      <c r="DJ1564"/>
      <c r="DK1564"/>
      <c r="DL1564"/>
      <c r="DM1564"/>
      <c r="DN1564"/>
      <c r="DO1564"/>
      <c r="DP1564"/>
      <c r="DQ1564"/>
      <c r="DR1564"/>
      <c r="DS1564"/>
      <c r="DT1564"/>
      <c r="DU1564"/>
      <c r="DV1564"/>
      <c r="DW1564"/>
      <c r="DX1564"/>
      <c r="DY1564"/>
      <c r="DZ1564"/>
      <c r="EA1564"/>
      <c r="EB1564"/>
      <c r="EC1564"/>
      <c r="ED1564"/>
      <c r="EE1564"/>
      <c r="EF1564"/>
      <c r="EG1564"/>
      <c r="EH1564"/>
      <c r="EI1564"/>
      <c r="EJ1564"/>
      <c r="EK1564"/>
      <c r="EL1564"/>
      <c r="EM1564"/>
      <c r="EN1564"/>
      <c r="EO1564"/>
      <c r="EP1564"/>
      <c r="EQ1564"/>
      <c r="ER1564"/>
      <c r="ES1564"/>
    </row>
    <row r="1565" spans="1:149">
      <c r="A1565"/>
      <c r="B1565"/>
      <c r="C1565"/>
      <c r="D1565"/>
      <c r="E1565"/>
      <c r="F1565"/>
      <c r="G1565"/>
      <c r="H1565"/>
      <c r="I1565"/>
      <c r="J1565"/>
      <c r="K1565"/>
      <c r="L1565"/>
      <c r="M1565"/>
      <c r="N1565"/>
      <c r="O1565"/>
      <c r="P1565"/>
      <c r="Q1565"/>
      <c r="R1565"/>
      <c r="S1565"/>
      <c r="T1565"/>
      <c r="U1565"/>
      <c r="V1565"/>
      <c r="W1565"/>
      <c r="X1565"/>
      <c r="Y1565"/>
      <c r="Z1565"/>
      <c r="AA1565"/>
      <c r="AB1565"/>
      <c r="AC1565"/>
      <c r="AD1565"/>
      <c r="AE1565"/>
      <c r="AF1565"/>
      <c r="AG1565"/>
      <c r="AH1565"/>
      <c r="AI1565"/>
      <c r="AJ1565"/>
      <c r="AK1565"/>
      <c r="AL1565"/>
      <c r="AM1565"/>
      <c r="AN1565"/>
      <c r="AO1565"/>
      <c r="AP1565"/>
      <c r="AQ1565"/>
      <c r="AR1565"/>
      <c r="AS1565"/>
      <c r="AT1565"/>
      <c r="AU1565"/>
      <c r="AV1565"/>
      <c r="AW1565"/>
      <c r="AX1565"/>
      <c r="AY1565"/>
      <c r="AZ1565"/>
      <c r="BA1565"/>
      <c r="BB1565"/>
      <c r="BC1565"/>
      <c r="BD1565"/>
      <c r="BE1565"/>
      <c r="BF1565"/>
      <c r="BG1565"/>
      <c r="BH1565"/>
      <c r="BI1565"/>
      <c r="BJ1565"/>
      <c r="BK1565"/>
      <c r="BL1565"/>
      <c r="BM1565"/>
      <c r="BN1565"/>
      <c r="BO1565"/>
      <c r="BP1565"/>
      <c r="BQ1565"/>
      <c r="BR1565"/>
      <c r="BS1565"/>
      <c r="BT1565"/>
      <c r="BU1565"/>
      <c r="BV1565"/>
      <c r="BW1565"/>
      <c r="BX1565"/>
      <c r="BY1565"/>
      <c r="BZ1565"/>
      <c r="CA1565"/>
      <c r="CB1565"/>
      <c r="CC1565"/>
      <c r="CD1565"/>
      <c r="CE1565"/>
      <c r="CF1565"/>
      <c r="CG1565"/>
      <c r="CH1565"/>
      <c r="CI1565"/>
      <c r="CJ1565"/>
      <c r="CK1565"/>
      <c r="CL1565"/>
      <c r="CM1565"/>
      <c r="CN1565"/>
      <c r="CO1565"/>
      <c r="CP1565"/>
      <c r="CQ1565"/>
      <c r="CR1565"/>
      <c r="CS1565"/>
      <c r="CT1565"/>
      <c r="CU1565"/>
      <c r="CV1565"/>
      <c r="CW1565"/>
      <c r="CX1565"/>
      <c r="CY1565"/>
      <c r="CZ1565"/>
      <c r="DA1565"/>
      <c r="DB1565"/>
      <c r="DC1565"/>
      <c r="DD1565"/>
      <c r="DE1565"/>
      <c r="DF1565"/>
      <c r="DG1565"/>
      <c r="DH1565"/>
      <c r="DI1565"/>
      <c r="DJ1565"/>
      <c r="DK1565"/>
      <c r="DL1565"/>
      <c r="DM1565"/>
      <c r="DN1565"/>
      <c r="DO1565"/>
      <c r="DP1565"/>
      <c r="DQ1565"/>
      <c r="DR1565"/>
      <c r="DS1565"/>
      <c r="DT1565"/>
      <c r="DU1565"/>
      <c r="DV1565"/>
      <c r="DW1565"/>
      <c r="DX1565"/>
      <c r="DY1565"/>
      <c r="DZ1565"/>
      <c r="EA1565"/>
      <c r="EB1565"/>
      <c r="EC1565"/>
      <c r="ED1565"/>
      <c r="EE1565"/>
      <c r="EF1565"/>
      <c r="EG1565"/>
      <c r="EH1565"/>
      <c r="EI1565"/>
      <c r="EJ1565"/>
      <c r="EK1565"/>
      <c r="EL1565"/>
      <c r="EM1565"/>
      <c r="EN1565"/>
      <c r="EO1565"/>
      <c r="EP1565"/>
      <c r="EQ1565"/>
      <c r="ER1565"/>
      <c r="ES1565"/>
    </row>
    <row r="1566" spans="1:149">
      <c r="A1566"/>
      <c r="B1566"/>
      <c r="C1566"/>
      <c r="D1566"/>
      <c r="E1566"/>
      <c r="F1566"/>
      <c r="G1566"/>
      <c r="H1566"/>
      <c r="I1566"/>
      <c r="J1566"/>
      <c r="K1566"/>
      <c r="L1566"/>
      <c r="M1566"/>
      <c r="N1566"/>
      <c r="O1566"/>
      <c r="P1566"/>
      <c r="Q1566"/>
      <c r="R1566"/>
      <c r="S1566"/>
      <c r="T1566"/>
      <c r="U1566"/>
      <c r="V1566"/>
      <c r="W1566"/>
      <c r="X1566"/>
      <c r="Y1566"/>
      <c r="Z1566"/>
      <c r="AA1566"/>
      <c r="AB1566"/>
      <c r="AC1566"/>
      <c r="AD1566"/>
      <c r="AE1566"/>
      <c r="AF1566"/>
      <c r="AG1566"/>
      <c r="AH1566"/>
      <c r="AI1566"/>
      <c r="AJ1566"/>
      <c r="AK1566"/>
      <c r="AL1566"/>
      <c r="AM1566"/>
      <c r="AN1566"/>
      <c r="AO1566"/>
      <c r="AP1566"/>
      <c r="AQ1566"/>
      <c r="AR1566"/>
      <c r="AS1566"/>
      <c r="AT1566"/>
      <c r="AU1566"/>
      <c r="AV1566"/>
      <c r="AW1566"/>
      <c r="AX1566"/>
      <c r="AY1566"/>
      <c r="AZ1566"/>
      <c r="BA1566"/>
      <c r="BB1566"/>
      <c r="BC1566"/>
      <c r="BD1566"/>
      <c r="BE1566"/>
      <c r="BF1566"/>
      <c r="BG1566"/>
      <c r="BH1566"/>
      <c r="BI1566"/>
      <c r="BJ1566"/>
      <c r="BK1566"/>
      <c r="BL1566"/>
      <c r="BM1566"/>
      <c r="BN1566"/>
      <c r="BO1566"/>
      <c r="BP1566"/>
      <c r="BQ1566"/>
      <c r="BR1566"/>
      <c r="BS1566"/>
      <c r="BT1566"/>
      <c r="BU1566"/>
      <c r="BV1566"/>
      <c r="BW1566"/>
      <c r="BX1566"/>
      <c r="BY1566"/>
      <c r="BZ1566"/>
      <c r="CA1566"/>
      <c r="CB1566"/>
      <c r="CC1566"/>
      <c r="CD1566"/>
      <c r="CE1566"/>
      <c r="CF1566"/>
      <c r="CG1566"/>
      <c r="CH1566"/>
      <c r="CI1566"/>
      <c r="CJ1566"/>
      <c r="CK1566"/>
      <c r="CL1566"/>
      <c r="CM1566"/>
      <c r="CN1566"/>
      <c r="CO1566"/>
      <c r="CP1566"/>
      <c r="CQ1566"/>
      <c r="CR1566"/>
      <c r="CS1566"/>
      <c r="CT1566"/>
      <c r="CU1566"/>
      <c r="CV1566"/>
      <c r="CW1566"/>
      <c r="CX1566"/>
      <c r="CY1566"/>
      <c r="CZ1566"/>
      <c r="DA1566"/>
      <c r="DB1566"/>
      <c r="DC1566"/>
      <c r="DD1566"/>
      <c r="DE1566"/>
      <c r="DF1566"/>
      <c r="DG1566"/>
      <c r="DH1566"/>
      <c r="DI1566"/>
      <c r="DJ1566"/>
      <c r="DK1566"/>
      <c r="DL1566"/>
      <c r="DM1566"/>
      <c r="DN1566"/>
      <c r="DO1566"/>
      <c r="DP1566"/>
      <c r="DQ1566"/>
      <c r="DR1566"/>
      <c r="DS1566"/>
      <c r="DT1566"/>
      <c r="DU1566"/>
      <c r="DV1566"/>
      <c r="DW1566"/>
      <c r="DX1566"/>
      <c r="DY1566"/>
      <c r="DZ1566"/>
      <c r="EA1566"/>
      <c r="EB1566"/>
      <c r="EC1566"/>
      <c r="ED1566"/>
      <c r="EE1566"/>
      <c r="EF1566"/>
      <c r="EG1566"/>
      <c r="EH1566"/>
      <c r="EI1566"/>
      <c r="EJ1566"/>
      <c r="EK1566"/>
      <c r="EL1566"/>
      <c r="EM1566"/>
      <c r="EN1566"/>
      <c r="EO1566"/>
      <c r="EP1566"/>
      <c r="EQ1566"/>
      <c r="ER1566"/>
      <c r="ES1566"/>
    </row>
    <row r="1567" spans="1:149">
      <c r="A1567"/>
      <c r="B1567"/>
      <c r="C1567"/>
      <c r="D1567"/>
      <c r="E1567"/>
      <c r="F1567"/>
      <c r="G1567"/>
      <c r="H1567"/>
      <c r="I1567"/>
      <c r="J1567"/>
      <c r="K1567"/>
      <c r="L1567"/>
      <c r="M1567"/>
      <c r="N1567"/>
      <c r="O1567"/>
      <c r="P1567"/>
      <c r="Q1567"/>
      <c r="R1567"/>
      <c r="S1567"/>
      <c r="T1567"/>
      <c r="U1567"/>
      <c r="V1567"/>
      <c r="W1567"/>
      <c r="X1567"/>
      <c r="Y1567"/>
      <c r="Z1567"/>
      <c r="AA1567"/>
      <c r="AB1567"/>
      <c r="AC1567"/>
      <c r="AD1567"/>
      <c r="AE1567"/>
      <c r="AF1567"/>
      <c r="AG1567"/>
      <c r="AH1567"/>
      <c r="AI1567"/>
      <c r="AJ1567"/>
      <c r="AK1567"/>
      <c r="AL1567"/>
      <c r="AM1567"/>
      <c r="AN1567"/>
      <c r="AO1567"/>
      <c r="AP1567"/>
      <c r="AQ1567"/>
      <c r="AR1567"/>
      <c r="AS1567"/>
      <c r="AT1567"/>
      <c r="AU1567"/>
      <c r="AV1567"/>
      <c r="AW1567"/>
      <c r="AX1567"/>
      <c r="AY1567"/>
      <c r="AZ1567"/>
      <c r="BA1567"/>
      <c r="BB1567"/>
      <c r="BC1567"/>
      <c r="BD1567"/>
      <c r="BE1567"/>
      <c r="BF1567"/>
      <c r="BG1567"/>
      <c r="BH1567"/>
      <c r="BI1567"/>
      <c r="BJ1567"/>
      <c r="BK1567"/>
      <c r="BL1567"/>
      <c r="BM1567"/>
      <c r="BN1567"/>
      <c r="BO1567"/>
      <c r="BP1567"/>
      <c r="BQ1567"/>
      <c r="BR1567"/>
      <c r="BS1567"/>
      <c r="BT1567"/>
      <c r="BU1567"/>
      <c r="BV1567"/>
      <c r="BW1567"/>
      <c r="BX1567"/>
      <c r="BY1567"/>
      <c r="BZ1567"/>
      <c r="CA1567"/>
      <c r="CB1567"/>
      <c r="CC1567"/>
      <c r="CD1567"/>
      <c r="CE1567"/>
      <c r="CF1567"/>
      <c r="CG1567"/>
      <c r="CH1567"/>
      <c r="CI1567"/>
      <c r="CJ1567"/>
      <c r="CK1567"/>
      <c r="CL1567"/>
      <c r="CM1567"/>
      <c r="CN1567"/>
      <c r="CO1567"/>
      <c r="CP1567"/>
      <c r="CQ1567"/>
      <c r="CR1567"/>
      <c r="CS1567"/>
      <c r="CT1567"/>
      <c r="CU1567"/>
      <c r="CV1567"/>
      <c r="CW1567"/>
      <c r="CX1567"/>
      <c r="CY1567"/>
      <c r="CZ1567"/>
      <c r="DA1567"/>
      <c r="DB1567"/>
      <c r="DC1567"/>
      <c r="DD1567"/>
      <c r="DE1567"/>
      <c r="DF1567"/>
      <c r="DG1567"/>
      <c r="DH1567"/>
      <c r="DI1567"/>
      <c r="DJ1567"/>
      <c r="DK1567"/>
      <c r="DL1567"/>
      <c r="DM1567"/>
      <c r="DN1567"/>
      <c r="DO1567"/>
      <c r="DP1567"/>
      <c r="DQ1567"/>
      <c r="DR1567"/>
      <c r="DS1567"/>
      <c r="DT1567"/>
      <c r="DU1567"/>
      <c r="DV1567"/>
      <c r="DW1567"/>
      <c r="DX1567"/>
      <c r="DY1567"/>
      <c r="DZ1567"/>
      <c r="EA1567"/>
      <c r="EB1567"/>
      <c r="EC1567"/>
      <c r="ED1567"/>
      <c r="EE1567"/>
      <c r="EF1567"/>
      <c r="EG1567"/>
      <c r="EH1567"/>
      <c r="EI1567"/>
      <c r="EJ1567"/>
      <c r="EK1567"/>
      <c r="EL1567"/>
      <c r="EM1567"/>
      <c r="EN1567"/>
      <c r="EO1567"/>
      <c r="EP1567"/>
      <c r="EQ1567"/>
      <c r="ER1567"/>
      <c r="ES1567"/>
    </row>
    <row r="1568" spans="1:149">
      <c r="A1568"/>
      <c r="B1568"/>
      <c r="C1568"/>
      <c r="D1568"/>
      <c r="E1568"/>
      <c r="F1568"/>
      <c r="G1568"/>
      <c r="H1568"/>
      <c r="I1568"/>
      <c r="J1568"/>
      <c r="K1568"/>
      <c r="L1568"/>
      <c r="M1568"/>
      <c r="N1568"/>
      <c r="O1568"/>
      <c r="P1568"/>
      <c r="Q1568"/>
      <c r="R1568"/>
      <c r="S1568"/>
      <c r="T1568"/>
      <c r="U1568"/>
      <c r="V1568"/>
      <c r="W1568"/>
      <c r="X1568"/>
      <c r="Y1568"/>
      <c r="Z1568"/>
      <c r="AA1568"/>
      <c r="AB1568"/>
      <c r="AC1568"/>
      <c r="AD1568"/>
      <c r="AE1568"/>
      <c r="AF1568"/>
      <c r="AG1568"/>
      <c r="AH1568"/>
      <c r="AI1568"/>
      <c r="AJ1568"/>
      <c r="AK1568"/>
      <c r="AL1568"/>
      <c r="AM1568"/>
      <c r="AN1568"/>
      <c r="AO1568"/>
      <c r="AP1568"/>
      <c r="AQ1568"/>
      <c r="AR1568"/>
      <c r="AS1568"/>
      <c r="AT1568"/>
      <c r="AU1568"/>
      <c r="AV1568"/>
      <c r="AW1568"/>
      <c r="AX1568"/>
      <c r="AY1568"/>
      <c r="AZ1568"/>
      <c r="BA1568"/>
      <c r="BB1568"/>
      <c r="BC1568"/>
      <c r="BD1568"/>
      <c r="BE1568"/>
      <c r="BF1568"/>
      <c r="BG1568"/>
      <c r="BH1568"/>
      <c r="BI1568"/>
      <c r="BJ1568"/>
      <c r="BK1568"/>
      <c r="BL1568"/>
      <c r="BM1568"/>
      <c r="BN1568"/>
      <c r="BO1568"/>
      <c r="BP1568"/>
      <c r="BQ1568"/>
      <c r="BR1568"/>
      <c r="BS1568"/>
      <c r="BT1568"/>
      <c r="BU1568"/>
      <c r="BV1568"/>
      <c r="BW1568"/>
      <c r="BX1568"/>
      <c r="BY1568"/>
      <c r="BZ1568"/>
      <c r="CA1568"/>
      <c r="CB1568"/>
      <c r="CC1568"/>
      <c r="CD1568"/>
      <c r="CE1568"/>
      <c r="CF1568"/>
      <c r="CG1568"/>
      <c r="CH1568"/>
      <c r="CI1568"/>
      <c r="CJ1568"/>
      <c r="CK1568"/>
      <c r="CL1568"/>
      <c r="CM1568"/>
      <c r="CN1568"/>
      <c r="CO1568"/>
      <c r="CP1568"/>
      <c r="CQ1568"/>
      <c r="CR1568"/>
      <c r="CS1568"/>
      <c r="CT1568"/>
      <c r="CU1568"/>
      <c r="CV1568"/>
      <c r="CW1568"/>
      <c r="CX1568"/>
      <c r="CY1568"/>
      <c r="CZ1568"/>
      <c r="DA1568"/>
      <c r="DB1568"/>
      <c r="DC1568"/>
      <c r="DD1568"/>
      <c r="DE1568"/>
      <c r="DF1568"/>
      <c r="DG1568"/>
      <c r="DH1568"/>
      <c r="DI1568"/>
      <c r="DJ1568"/>
      <c r="DK1568"/>
      <c r="DL1568"/>
      <c r="DM1568"/>
      <c r="DN1568"/>
      <c r="DO1568"/>
      <c r="DP1568"/>
      <c r="DQ1568"/>
      <c r="DR1568"/>
      <c r="DS1568"/>
      <c r="DT1568"/>
      <c r="DU1568"/>
      <c r="DV1568"/>
      <c r="DW1568"/>
      <c r="DX1568"/>
      <c r="DY1568"/>
      <c r="DZ1568"/>
      <c r="EA1568"/>
      <c r="EB1568"/>
      <c r="EC1568"/>
      <c r="ED1568"/>
      <c r="EE1568"/>
      <c r="EF1568"/>
      <c r="EG1568"/>
      <c r="EH1568"/>
      <c r="EI1568"/>
      <c r="EJ1568"/>
      <c r="EK1568"/>
      <c r="EL1568"/>
      <c r="EM1568"/>
      <c r="EN1568"/>
      <c r="EO1568"/>
      <c r="EP1568"/>
      <c r="EQ1568"/>
      <c r="ER1568"/>
      <c r="ES1568"/>
    </row>
    <row r="1569" spans="1:149">
      <c r="A1569"/>
      <c r="B1569"/>
      <c r="C1569"/>
      <c r="D1569"/>
      <c r="E1569"/>
      <c r="F1569"/>
      <c r="G1569"/>
      <c r="H1569"/>
      <c r="I1569"/>
      <c r="J1569"/>
      <c r="K1569"/>
      <c r="L1569"/>
      <c r="M1569"/>
      <c r="N1569"/>
      <c r="O1569"/>
      <c r="P1569"/>
      <c r="Q1569"/>
      <c r="R1569"/>
      <c r="S1569"/>
      <c r="T1569"/>
      <c r="U1569"/>
      <c r="V1569"/>
      <c r="W1569"/>
      <c r="X1569"/>
      <c r="Y1569"/>
      <c r="Z1569"/>
      <c r="AA1569"/>
      <c r="AB1569"/>
      <c r="AC1569"/>
      <c r="AD1569"/>
      <c r="AE1569"/>
      <c r="AF1569"/>
      <c r="AG1569"/>
      <c r="AH1569"/>
      <c r="AI1569"/>
      <c r="AJ1569"/>
      <c r="AK1569"/>
      <c r="AL1569"/>
      <c r="AM1569"/>
      <c r="AN1569"/>
      <c r="AO1569"/>
      <c r="AP1569"/>
      <c r="AQ1569"/>
      <c r="AR1569"/>
      <c r="AS1569"/>
      <c r="AT1569"/>
      <c r="AU1569"/>
      <c r="AV1569"/>
      <c r="AW1569"/>
      <c r="AX1569"/>
      <c r="AY1569"/>
      <c r="AZ1569"/>
      <c r="BA1569"/>
      <c r="BB1569"/>
      <c r="BC1569"/>
      <c r="BD1569"/>
      <c r="BE1569"/>
      <c r="BF1569"/>
      <c r="BG1569"/>
      <c r="BH1569"/>
      <c r="BI1569"/>
      <c r="BJ1569"/>
      <c r="BK1569"/>
      <c r="BL1569"/>
      <c r="BM1569"/>
      <c r="BN1569"/>
      <c r="BO1569"/>
      <c r="BP1569"/>
      <c r="BQ1569"/>
      <c r="BR1569"/>
      <c r="BS1569"/>
      <c r="BT1569"/>
      <c r="BU1569"/>
      <c r="BV1569"/>
      <c r="BW1569"/>
      <c r="BX1569"/>
      <c r="BY1569"/>
      <c r="BZ1569"/>
      <c r="CA1569"/>
      <c r="CB1569"/>
      <c r="CC1569"/>
      <c r="CD1569"/>
      <c r="CE1569"/>
      <c r="CF1569"/>
      <c r="CG1569"/>
      <c r="CH1569"/>
      <c r="CI1569"/>
      <c r="CJ1569"/>
      <c r="CK1569"/>
      <c r="CL1569"/>
      <c r="CM1569"/>
      <c r="CN1569"/>
      <c r="CO1569"/>
      <c r="CP1569"/>
      <c r="CQ1569"/>
      <c r="CR1569"/>
      <c r="CS1569"/>
      <c r="CT1569"/>
      <c r="CU1569"/>
      <c r="CV1569"/>
      <c r="CW1569"/>
      <c r="CX1569"/>
      <c r="CY1569"/>
      <c r="CZ1569"/>
      <c r="DA1569"/>
      <c r="DB1569"/>
      <c r="DC1569"/>
      <c r="DD1569"/>
      <c r="DE1569"/>
      <c r="DF1569"/>
      <c r="DG1569"/>
      <c r="DH1569"/>
      <c r="DI1569"/>
      <c r="DJ1569"/>
      <c r="DK1569"/>
      <c r="DL1569"/>
      <c r="DM1569"/>
      <c r="DN1569"/>
      <c r="DO1569"/>
      <c r="DP1569"/>
      <c r="DQ1569"/>
      <c r="DR1569"/>
      <c r="DS1569"/>
      <c r="DT1569"/>
      <c r="DU1569"/>
      <c r="DV1569"/>
      <c r="DW1569"/>
      <c r="DX1569"/>
      <c r="DY1569"/>
      <c r="DZ1569"/>
      <c r="EA1569"/>
      <c r="EB1569"/>
      <c r="EC1569"/>
      <c r="ED1569"/>
      <c r="EE1569"/>
      <c r="EF1569"/>
      <c r="EG1569"/>
      <c r="EH1569"/>
      <c r="EI1569"/>
      <c r="EJ1569"/>
      <c r="EK1569"/>
      <c r="EL1569"/>
      <c r="EM1569"/>
      <c r="EN1569"/>
      <c r="EO1569"/>
      <c r="EP1569"/>
      <c r="EQ1569"/>
      <c r="ER1569"/>
      <c r="ES1569"/>
    </row>
    <row r="1570" spans="1:149">
      <c r="A1570"/>
      <c r="B1570"/>
      <c r="C1570"/>
      <c r="D1570"/>
      <c r="E1570"/>
      <c r="F1570"/>
      <c r="G1570"/>
      <c r="H1570"/>
      <c r="I1570"/>
      <c r="J1570"/>
      <c r="K1570"/>
      <c r="L1570"/>
      <c r="M1570"/>
      <c r="N1570"/>
      <c r="O1570"/>
      <c r="P1570"/>
      <c r="Q1570"/>
      <c r="R1570"/>
      <c r="S1570"/>
      <c r="T1570"/>
      <c r="U1570"/>
      <c r="V1570"/>
      <c r="W1570"/>
      <c r="X1570"/>
      <c r="Y1570"/>
      <c r="Z1570"/>
      <c r="AA1570"/>
      <c r="AB1570"/>
      <c r="AC1570"/>
      <c r="AD1570"/>
      <c r="AE1570"/>
      <c r="AF1570"/>
      <c r="AG1570"/>
      <c r="AH1570"/>
      <c r="AI1570"/>
      <c r="AJ1570"/>
      <c r="AK1570"/>
      <c r="AL1570"/>
      <c r="AM1570"/>
      <c r="AN1570"/>
      <c r="AO1570"/>
      <c r="AP1570"/>
      <c r="AQ1570"/>
      <c r="AR1570"/>
      <c r="AS1570"/>
      <c r="AT1570"/>
      <c r="AU1570"/>
      <c r="AV1570"/>
      <c r="AW1570"/>
      <c r="AX1570"/>
      <c r="AY1570"/>
      <c r="AZ1570"/>
      <c r="BA1570"/>
      <c r="BB1570"/>
      <c r="BC1570"/>
      <c r="BD1570"/>
      <c r="BE1570"/>
      <c r="BF1570"/>
      <c r="BG1570"/>
      <c r="BH1570"/>
      <c r="BI1570"/>
      <c r="BJ1570"/>
      <c r="BK1570"/>
      <c r="BL1570"/>
      <c r="BM1570"/>
      <c r="BN1570"/>
      <c r="BO1570"/>
      <c r="BP1570"/>
      <c r="BQ1570"/>
      <c r="BR1570"/>
      <c r="BS1570"/>
      <c r="BT1570"/>
      <c r="BU1570"/>
      <c r="BV1570"/>
      <c r="BW1570"/>
      <c r="BX1570"/>
      <c r="BY1570"/>
      <c r="BZ1570"/>
      <c r="CA1570"/>
      <c r="CB1570"/>
      <c r="CC1570"/>
      <c r="CD1570"/>
      <c r="CE1570"/>
      <c r="CF1570"/>
      <c r="CG1570"/>
      <c r="CH1570"/>
      <c r="CI1570"/>
      <c r="CJ1570"/>
      <c r="CK1570"/>
      <c r="CL1570"/>
      <c r="CM1570"/>
      <c r="CN1570"/>
      <c r="CO1570"/>
      <c r="CP1570"/>
      <c r="CQ1570"/>
      <c r="CR1570"/>
      <c r="CS1570"/>
      <c r="CT1570"/>
      <c r="CU1570"/>
      <c r="CV1570"/>
      <c r="CW1570"/>
      <c r="CX1570"/>
      <c r="CY1570"/>
      <c r="CZ1570"/>
      <c r="DA1570"/>
      <c r="DB1570"/>
      <c r="DC1570"/>
      <c r="DD1570"/>
      <c r="DE1570"/>
      <c r="DF1570"/>
      <c r="DG1570"/>
      <c r="DH1570"/>
      <c r="DI1570"/>
      <c r="DJ1570"/>
      <c r="DK1570"/>
      <c r="DL1570"/>
      <c r="DM1570"/>
      <c r="DN1570"/>
      <c r="DO1570"/>
      <c r="DP1570"/>
      <c r="DQ1570"/>
      <c r="DR1570"/>
      <c r="DS1570"/>
      <c r="DT1570"/>
      <c r="DU1570"/>
      <c r="DV1570"/>
      <c r="DW1570"/>
      <c r="DX1570"/>
      <c r="DY1570"/>
      <c r="DZ1570"/>
      <c r="EA1570"/>
      <c r="EB1570"/>
      <c r="EC1570"/>
      <c r="ED1570"/>
      <c r="EE1570"/>
      <c r="EF1570"/>
      <c r="EG1570"/>
      <c r="EH1570"/>
      <c r="EI1570"/>
      <c r="EJ1570"/>
      <c r="EK1570"/>
      <c r="EL1570"/>
      <c r="EM1570"/>
      <c r="EN1570"/>
      <c r="EO1570"/>
      <c r="EP1570"/>
      <c r="EQ1570"/>
      <c r="ER1570"/>
      <c r="ES1570"/>
    </row>
    <row r="1571" spans="1:149">
      <c r="A1571"/>
      <c r="B1571"/>
      <c r="C1571"/>
      <c r="D1571"/>
      <c r="E1571"/>
      <c r="F1571"/>
      <c r="G1571"/>
      <c r="H1571"/>
      <c r="I1571"/>
      <c r="J1571"/>
      <c r="K1571"/>
      <c r="L1571"/>
      <c r="M1571"/>
      <c r="N1571"/>
      <c r="O1571"/>
      <c r="P1571"/>
      <c r="Q1571"/>
      <c r="R1571"/>
      <c r="S1571"/>
      <c r="T1571"/>
      <c r="U1571"/>
      <c r="V1571"/>
      <c r="W1571"/>
      <c r="X1571"/>
      <c r="Y1571"/>
      <c r="Z1571"/>
      <c r="AA1571"/>
      <c r="AB1571"/>
      <c r="AC1571"/>
      <c r="AD1571"/>
      <c r="AE1571"/>
      <c r="AF1571"/>
      <c r="AG1571"/>
      <c r="AH1571"/>
      <c r="AI1571"/>
      <c r="AJ1571"/>
      <c r="AK1571"/>
      <c r="AL1571"/>
      <c r="AM1571"/>
      <c r="AN1571"/>
      <c r="AO1571"/>
      <c r="AP1571"/>
      <c r="AQ1571"/>
      <c r="AR1571"/>
      <c r="AS1571"/>
      <c r="AT1571"/>
      <c r="AU1571"/>
      <c r="AV1571"/>
      <c r="AW1571"/>
      <c r="AX1571"/>
      <c r="AY1571"/>
      <c r="AZ1571"/>
      <c r="BA1571"/>
      <c r="BB1571"/>
      <c r="BC1571"/>
      <c r="BD1571"/>
      <c r="BE1571"/>
      <c r="BF1571"/>
      <c r="BG1571"/>
      <c r="BH1571"/>
      <c r="BI1571"/>
      <c r="BJ1571"/>
      <c r="BK1571"/>
      <c r="BL1571"/>
      <c r="BM1571"/>
      <c r="BN1571"/>
      <c r="BO1571"/>
      <c r="BP1571"/>
      <c r="BQ1571"/>
      <c r="BR1571"/>
      <c r="BS1571"/>
      <c r="BT1571"/>
      <c r="BU1571"/>
      <c r="BV1571"/>
      <c r="BW1571"/>
      <c r="BX1571"/>
      <c r="BY1571"/>
      <c r="BZ1571"/>
      <c r="CA1571"/>
      <c r="CB1571"/>
      <c r="CC1571"/>
      <c r="CD1571"/>
      <c r="CE1571"/>
      <c r="CF1571"/>
      <c r="CG1571"/>
      <c r="CH1571"/>
      <c r="CI1571"/>
      <c r="CJ1571"/>
      <c r="CK1571"/>
      <c r="CL1571"/>
      <c r="CM1571"/>
      <c r="CN1571"/>
      <c r="CO1571"/>
      <c r="CP1571"/>
      <c r="CQ1571"/>
      <c r="CR1571"/>
      <c r="CS1571"/>
      <c r="CT1571"/>
      <c r="CU1571"/>
      <c r="CV1571"/>
      <c r="CW1571"/>
      <c r="CX1571"/>
      <c r="CY1571"/>
      <c r="CZ1571"/>
      <c r="DA1571"/>
      <c r="DB1571"/>
      <c r="DC1571"/>
      <c r="DD1571"/>
      <c r="DE1571"/>
      <c r="DF1571"/>
      <c r="DG1571"/>
      <c r="DH1571"/>
      <c r="DI1571"/>
      <c r="DJ1571"/>
      <c r="DK1571"/>
      <c r="DL1571"/>
      <c r="DM1571"/>
      <c r="DN1571"/>
      <c r="DO1571"/>
      <c r="DP1571"/>
      <c r="DQ1571"/>
      <c r="DR1571"/>
      <c r="DS1571"/>
      <c r="DT1571"/>
      <c r="DU1571"/>
      <c r="DV1571"/>
      <c r="DW1571"/>
      <c r="DX1571"/>
      <c r="DY1571"/>
      <c r="DZ1571"/>
      <c r="EA1571"/>
      <c r="EB1571"/>
      <c r="EC1571"/>
      <c r="ED1571"/>
      <c r="EE1571"/>
      <c r="EF1571"/>
      <c r="EG1571"/>
      <c r="EH1571"/>
      <c r="EI1571"/>
      <c r="EJ1571"/>
      <c r="EK1571"/>
      <c r="EL1571"/>
      <c r="EM1571"/>
      <c r="EN1571"/>
      <c r="EO1571"/>
      <c r="EP1571"/>
      <c r="EQ1571"/>
      <c r="ER1571"/>
      <c r="ES1571"/>
    </row>
    <row r="1572" spans="1:149">
      <c r="A1572"/>
      <c r="B1572"/>
      <c r="C1572"/>
      <c r="D1572"/>
      <c r="E1572"/>
      <c r="F1572"/>
      <c r="G1572"/>
      <c r="H1572"/>
      <c r="I1572"/>
      <c r="J1572"/>
      <c r="K1572"/>
      <c r="L1572"/>
      <c r="M1572"/>
      <c r="N1572"/>
      <c r="O1572"/>
      <c r="P1572"/>
      <c r="Q1572"/>
      <c r="R1572"/>
      <c r="S1572"/>
      <c r="T1572"/>
      <c r="U1572"/>
      <c r="V1572"/>
      <c r="W1572"/>
      <c r="X1572"/>
      <c r="Y1572"/>
      <c r="Z1572"/>
      <c r="AA1572"/>
      <c r="AB1572"/>
      <c r="AC1572"/>
      <c r="AD1572"/>
      <c r="AE1572"/>
      <c r="AF1572"/>
      <c r="AG1572"/>
      <c r="AH1572"/>
      <c r="AI1572"/>
      <c r="AJ1572"/>
      <c r="AK1572"/>
      <c r="AL1572"/>
      <c r="AM1572"/>
      <c r="AN1572"/>
      <c r="AO1572"/>
      <c r="AP1572"/>
      <c r="AQ1572"/>
      <c r="AR1572"/>
      <c r="AS1572"/>
      <c r="AT1572"/>
      <c r="AU1572"/>
      <c r="AV1572"/>
      <c r="AW1572"/>
      <c r="AX1572"/>
      <c r="AY1572"/>
      <c r="AZ1572"/>
      <c r="BA1572"/>
      <c r="BB1572"/>
      <c r="BC1572"/>
      <c r="BD1572"/>
      <c r="BE1572"/>
      <c r="BF1572"/>
      <c r="BG1572"/>
      <c r="BH1572"/>
      <c r="BI1572"/>
      <c r="BJ1572"/>
      <c r="BK1572"/>
      <c r="BL1572"/>
      <c r="BM1572"/>
      <c r="BN1572"/>
      <c r="BO1572"/>
      <c r="BP1572"/>
      <c r="BQ1572"/>
      <c r="BR1572"/>
      <c r="BS1572"/>
      <c r="BT1572"/>
      <c r="BU1572"/>
      <c r="BV1572"/>
      <c r="BW1572"/>
      <c r="BX1572"/>
      <c r="BY1572"/>
      <c r="BZ1572"/>
      <c r="CA1572"/>
      <c r="CB1572"/>
      <c r="CC1572"/>
      <c r="CD1572"/>
      <c r="CE1572"/>
      <c r="CF1572"/>
      <c r="CG1572"/>
      <c r="CH1572"/>
      <c r="CI1572"/>
      <c r="CJ1572"/>
      <c r="CK1572"/>
      <c r="CL1572"/>
      <c r="CM1572"/>
      <c r="CN1572"/>
      <c r="CO1572"/>
      <c r="CP1572"/>
      <c r="CQ1572"/>
      <c r="CR1572"/>
      <c r="CS1572"/>
      <c r="CT1572"/>
      <c r="CU1572"/>
      <c r="CV1572"/>
      <c r="CW1572"/>
      <c r="CX1572"/>
      <c r="CY1572"/>
      <c r="CZ1572"/>
      <c r="DA1572"/>
      <c r="DB1572"/>
      <c r="DC1572"/>
      <c r="DD1572"/>
      <c r="DE1572"/>
      <c r="DF1572"/>
      <c r="DG1572"/>
      <c r="DH1572"/>
      <c r="DI1572"/>
      <c r="DJ1572"/>
      <c r="DK1572"/>
      <c r="DL1572"/>
      <c r="DM1572"/>
      <c r="DN1572"/>
      <c r="DO1572"/>
      <c r="DP1572"/>
      <c r="DQ1572"/>
      <c r="DR1572"/>
      <c r="DS1572"/>
      <c r="DT1572"/>
      <c r="DU1572"/>
      <c r="DV1572"/>
      <c r="DW1572"/>
      <c r="DX1572"/>
      <c r="DY1572"/>
      <c r="DZ1572"/>
      <c r="EA1572"/>
      <c r="EB1572"/>
      <c r="EC1572"/>
      <c r="ED1572"/>
      <c r="EE1572"/>
      <c r="EF1572"/>
      <c r="EG1572"/>
      <c r="EH1572"/>
      <c r="EI1572"/>
      <c r="EJ1572"/>
      <c r="EK1572"/>
      <c r="EL1572"/>
      <c r="EM1572"/>
      <c r="EN1572"/>
      <c r="EO1572"/>
      <c r="EP1572"/>
      <c r="EQ1572"/>
      <c r="ER1572"/>
      <c r="ES1572"/>
    </row>
    <row r="1573" spans="1:149">
      <c r="A1573"/>
      <c r="B1573"/>
      <c r="C1573"/>
      <c r="D1573"/>
      <c r="E1573"/>
      <c r="F1573"/>
      <c r="G1573"/>
      <c r="H1573"/>
      <c r="I1573"/>
      <c r="J1573"/>
      <c r="K1573"/>
      <c r="L1573"/>
      <c r="M1573"/>
      <c r="N1573"/>
      <c r="O1573"/>
      <c r="P1573"/>
      <c r="Q1573"/>
      <c r="R1573"/>
      <c r="S1573"/>
      <c r="T1573"/>
      <c r="U1573"/>
      <c r="V1573"/>
      <c r="W1573"/>
      <c r="X1573"/>
      <c r="Y1573"/>
      <c r="Z1573"/>
      <c r="AA1573"/>
      <c r="AB1573"/>
      <c r="AC1573"/>
      <c r="AD1573"/>
      <c r="AE1573"/>
      <c r="AF1573"/>
      <c r="AG1573"/>
      <c r="AH1573"/>
      <c r="AI1573"/>
      <c r="AJ1573"/>
      <c r="AK1573"/>
      <c r="AL1573"/>
      <c r="AM1573"/>
      <c r="AN1573"/>
      <c r="AO1573"/>
      <c r="AP1573"/>
      <c r="AQ1573"/>
      <c r="AR1573"/>
      <c r="AS1573"/>
      <c r="AT1573"/>
      <c r="AU1573"/>
      <c r="AV1573"/>
      <c r="AW1573"/>
      <c r="AX1573"/>
      <c r="AY1573"/>
      <c r="AZ1573"/>
      <c r="BA1573"/>
      <c r="BB1573"/>
      <c r="BC1573"/>
      <c r="BD1573"/>
      <c r="BE1573"/>
      <c r="BF1573"/>
      <c r="BG1573"/>
      <c r="BH1573"/>
      <c r="BI1573"/>
      <c r="BJ1573"/>
      <c r="BK1573"/>
      <c r="BL1573"/>
      <c r="BM1573"/>
      <c r="BN1573"/>
      <c r="BO1573"/>
      <c r="BP1573"/>
      <c r="BQ1573"/>
      <c r="BR1573"/>
      <c r="BS1573"/>
      <c r="BT1573"/>
      <c r="BU1573"/>
      <c r="BV1573"/>
      <c r="BW1573"/>
      <c r="BX1573"/>
      <c r="BY1573"/>
      <c r="BZ1573"/>
      <c r="CA1573"/>
      <c r="CB1573"/>
      <c r="CC1573"/>
      <c r="CD1573"/>
      <c r="CE1573"/>
      <c r="CF1573"/>
      <c r="CG1573"/>
      <c r="CH1573"/>
      <c r="CI1573"/>
      <c r="CJ1573"/>
      <c r="CK1573"/>
      <c r="CL1573"/>
      <c r="CM1573"/>
      <c r="CN1573"/>
      <c r="CO1573"/>
      <c r="CP1573"/>
      <c r="CQ1573"/>
      <c r="CR1573"/>
      <c r="CS1573"/>
      <c r="CT1573"/>
      <c r="CU1573"/>
      <c r="CV1573"/>
      <c r="CW1573"/>
      <c r="CX1573"/>
      <c r="CY1573"/>
      <c r="CZ1573"/>
      <c r="DA1573"/>
      <c r="DB1573"/>
      <c r="DC1573"/>
      <c r="DD1573"/>
      <c r="DE1573"/>
      <c r="DF1573"/>
      <c r="DG1573"/>
      <c r="DH1573"/>
      <c r="DI1573"/>
      <c r="DJ1573"/>
      <c r="DK1573"/>
      <c r="DL1573"/>
      <c r="DM1573"/>
      <c r="DN1573"/>
      <c r="DO1573"/>
      <c r="DP1573"/>
      <c r="DQ1573"/>
      <c r="DR1573"/>
      <c r="DS1573"/>
      <c r="DT1573"/>
      <c r="DU1573"/>
      <c r="DV1573"/>
      <c r="DW1573"/>
      <c r="DX1573"/>
      <c r="DY1573"/>
      <c r="DZ1573"/>
      <c r="EA1573"/>
      <c r="EB1573"/>
      <c r="EC1573"/>
      <c r="ED1573"/>
      <c r="EE1573"/>
      <c r="EF1573"/>
      <c r="EG1573"/>
      <c r="EH1573"/>
      <c r="EI1573"/>
      <c r="EJ1573"/>
      <c r="EK1573"/>
      <c r="EL1573"/>
      <c r="EM1573"/>
      <c r="EN1573"/>
      <c r="EO1573"/>
      <c r="EP1573"/>
      <c r="EQ1573"/>
      <c r="ER1573"/>
      <c r="ES1573"/>
    </row>
    <row r="1574" spans="1:149">
      <c r="A1574"/>
      <c r="B1574"/>
      <c r="C1574"/>
      <c r="D1574"/>
      <c r="E1574"/>
      <c r="F1574"/>
      <c r="G1574"/>
      <c r="H1574"/>
      <c r="I1574"/>
      <c r="J1574"/>
      <c r="K1574"/>
      <c r="L1574"/>
      <c r="M1574"/>
      <c r="N1574"/>
      <c r="O1574"/>
      <c r="P1574"/>
      <c r="Q1574"/>
      <c r="R1574"/>
      <c r="S1574"/>
      <c r="T1574"/>
      <c r="U1574"/>
      <c r="V1574"/>
      <c r="W1574"/>
      <c r="X1574"/>
      <c r="Y1574"/>
      <c r="Z1574"/>
      <c r="AA1574"/>
      <c r="AB1574"/>
      <c r="AC1574"/>
      <c r="AD1574"/>
      <c r="AE1574"/>
      <c r="AF1574"/>
      <c r="AG1574"/>
      <c r="AH1574"/>
      <c r="AI1574"/>
      <c r="AJ1574"/>
      <c r="AK1574"/>
      <c r="AL1574"/>
      <c r="AM1574"/>
      <c r="AN1574"/>
      <c r="AO1574"/>
      <c r="AP1574"/>
      <c r="AQ1574"/>
      <c r="AR1574"/>
      <c r="AS1574"/>
      <c r="AT1574"/>
      <c r="AU1574"/>
      <c r="AV1574"/>
      <c r="AW1574"/>
      <c r="AX1574"/>
      <c r="AY1574"/>
      <c r="AZ1574"/>
      <c r="BA1574"/>
      <c r="BB1574"/>
      <c r="BC1574"/>
      <c r="BD1574"/>
      <c r="BE1574"/>
      <c r="BF1574"/>
      <c r="BG1574"/>
      <c r="BH1574"/>
      <c r="BI1574"/>
      <c r="BJ1574"/>
      <c r="BK1574"/>
      <c r="BL1574"/>
      <c r="BM1574"/>
      <c r="BN1574"/>
      <c r="BO1574"/>
      <c r="BP1574"/>
      <c r="BQ1574"/>
      <c r="BR1574"/>
      <c r="BS1574"/>
      <c r="BT1574"/>
      <c r="BU1574"/>
      <c r="BV1574"/>
      <c r="BW1574"/>
      <c r="BX1574"/>
      <c r="BY1574"/>
      <c r="BZ1574"/>
      <c r="CA1574"/>
      <c r="CB1574"/>
      <c r="CC1574"/>
      <c r="CD1574"/>
      <c r="CE1574"/>
      <c r="CF1574"/>
      <c r="CG1574"/>
      <c r="CH1574"/>
      <c r="CI1574"/>
      <c r="CJ1574"/>
      <c r="CK1574"/>
      <c r="CL1574"/>
      <c r="CM1574"/>
      <c r="CN1574"/>
      <c r="CO1574"/>
      <c r="CP1574"/>
      <c r="CQ1574"/>
      <c r="CR1574"/>
      <c r="CS1574"/>
      <c r="CT1574"/>
      <c r="CU1574"/>
      <c r="CV1574"/>
      <c r="CW1574"/>
      <c r="CX1574"/>
      <c r="CY1574"/>
      <c r="CZ1574"/>
      <c r="DA1574"/>
      <c r="DB1574"/>
      <c r="DC1574"/>
      <c r="DD1574"/>
      <c r="DE1574"/>
      <c r="DF1574"/>
      <c r="DG1574"/>
      <c r="DH1574"/>
      <c r="DI1574"/>
      <c r="DJ1574"/>
      <c r="DK1574"/>
      <c r="DL1574"/>
      <c r="DM1574"/>
      <c r="DN1574"/>
      <c r="DO1574"/>
      <c r="DP1574"/>
      <c r="DQ1574"/>
      <c r="DR1574"/>
      <c r="DS1574"/>
      <c r="DT1574"/>
      <c r="DU1574"/>
      <c r="DV1574"/>
      <c r="DW1574"/>
      <c r="DX1574"/>
      <c r="DY1574"/>
      <c r="DZ1574"/>
      <c r="EA1574"/>
      <c r="EB1574"/>
      <c r="EC1574"/>
      <c r="ED1574"/>
      <c r="EE1574"/>
      <c r="EF1574"/>
      <c r="EG1574"/>
      <c r="EH1574"/>
      <c r="EI1574"/>
      <c r="EJ1574"/>
      <c r="EK1574"/>
      <c r="EL1574"/>
      <c r="EM1574"/>
      <c r="EN1574"/>
      <c r="EO1574"/>
      <c r="EP1574"/>
      <c r="EQ1574"/>
      <c r="ER1574"/>
      <c r="ES1574"/>
    </row>
    <row r="1575" spans="1:149">
      <c r="A1575"/>
      <c r="B1575"/>
      <c r="C1575"/>
      <c r="D1575"/>
      <c r="E1575"/>
      <c r="F1575"/>
      <c r="G1575"/>
      <c r="H1575"/>
      <c r="I1575"/>
      <c r="J1575"/>
      <c r="K1575"/>
      <c r="L1575"/>
      <c r="M1575"/>
      <c r="N1575"/>
      <c r="O1575"/>
      <c r="P1575"/>
      <c r="Q1575"/>
      <c r="R1575"/>
      <c r="S1575"/>
      <c r="T1575"/>
      <c r="U1575"/>
      <c r="V1575"/>
      <c r="W1575"/>
      <c r="X1575"/>
      <c r="Y1575"/>
      <c r="Z1575"/>
      <c r="AA1575"/>
      <c r="AB1575"/>
      <c r="AC1575"/>
      <c r="AD1575"/>
      <c r="AE1575"/>
      <c r="AF1575"/>
      <c r="AG1575"/>
      <c r="AH1575"/>
      <c r="AI1575"/>
      <c r="AJ1575"/>
      <c r="AK1575"/>
      <c r="AL1575"/>
      <c r="AM1575"/>
      <c r="AN1575"/>
      <c r="AO1575"/>
      <c r="AP1575"/>
      <c r="AQ1575"/>
      <c r="AR1575"/>
      <c r="AS1575"/>
      <c r="AT1575"/>
      <c r="AU1575"/>
      <c r="AV1575"/>
      <c r="AW1575"/>
      <c r="AX1575"/>
      <c r="AY1575"/>
      <c r="AZ1575"/>
      <c r="BA1575"/>
      <c r="BB1575"/>
      <c r="BC1575"/>
      <c r="BD1575"/>
      <c r="BE1575"/>
      <c r="BF1575"/>
      <c r="BG1575"/>
      <c r="BH1575"/>
      <c r="BI1575"/>
      <c r="BJ1575"/>
      <c r="BK1575"/>
      <c r="BL1575"/>
      <c r="BM1575"/>
      <c r="BN1575"/>
      <c r="BO1575"/>
      <c r="BP1575"/>
      <c r="BQ1575"/>
      <c r="BR1575"/>
      <c r="BS1575"/>
      <c r="BT1575"/>
      <c r="BU1575"/>
      <c r="BV1575"/>
      <c r="BW1575"/>
      <c r="BX1575"/>
      <c r="BY1575"/>
      <c r="BZ1575"/>
      <c r="CA1575"/>
      <c r="CB1575"/>
      <c r="CC1575"/>
      <c r="CD1575"/>
      <c r="CE1575"/>
      <c r="CF1575"/>
      <c r="CG1575"/>
      <c r="CH1575"/>
      <c r="CI1575"/>
      <c r="CJ1575"/>
      <c r="CK1575"/>
      <c r="CL1575"/>
      <c r="CM1575"/>
      <c r="CN1575"/>
      <c r="CO1575"/>
      <c r="CP1575"/>
      <c r="CQ1575"/>
      <c r="CR1575"/>
      <c r="CS1575"/>
      <c r="CT1575"/>
      <c r="CU1575"/>
      <c r="CV1575"/>
      <c r="CW1575"/>
      <c r="CX1575"/>
      <c r="CY1575"/>
      <c r="CZ1575"/>
      <c r="DA1575"/>
      <c r="DB1575"/>
      <c r="DC1575"/>
      <c r="DD1575"/>
      <c r="DE1575"/>
      <c r="DF1575"/>
      <c r="DG1575"/>
      <c r="DH1575"/>
      <c r="DI1575"/>
      <c r="DJ1575"/>
      <c r="DK1575"/>
      <c r="DL1575"/>
      <c r="DM1575"/>
      <c r="DN1575"/>
      <c r="DO1575"/>
      <c r="DP1575"/>
      <c r="DQ1575"/>
      <c r="DR1575"/>
      <c r="DS1575"/>
      <c r="DT1575"/>
      <c r="DU1575"/>
      <c r="DV1575"/>
      <c r="DW1575"/>
      <c r="DX1575"/>
      <c r="DY1575"/>
      <c r="DZ1575"/>
      <c r="EA1575"/>
      <c r="EB1575"/>
      <c r="EC1575"/>
      <c r="ED1575"/>
      <c r="EE1575"/>
      <c r="EF1575"/>
      <c r="EG1575"/>
      <c r="EH1575"/>
      <c r="EI1575"/>
      <c r="EJ1575"/>
      <c r="EK1575"/>
      <c r="EL1575"/>
      <c r="EM1575"/>
      <c r="EN1575"/>
      <c r="EO1575"/>
      <c r="EP1575"/>
      <c r="EQ1575"/>
      <c r="ER1575"/>
      <c r="ES1575"/>
    </row>
    <row r="1576" spans="1:149">
      <c r="A1576"/>
      <c r="B1576"/>
      <c r="C1576"/>
      <c r="D1576"/>
      <c r="E1576"/>
      <c r="F1576"/>
      <c r="G1576"/>
      <c r="H1576"/>
      <c r="I1576"/>
      <c r="J1576"/>
      <c r="K1576"/>
      <c r="L1576"/>
      <c r="M1576"/>
      <c r="N1576"/>
      <c r="O1576"/>
      <c r="P1576"/>
      <c r="Q1576"/>
      <c r="R1576"/>
      <c r="S1576"/>
      <c r="T1576"/>
      <c r="U1576"/>
      <c r="V1576"/>
      <c r="W1576"/>
      <c r="X1576"/>
      <c r="Y1576"/>
      <c r="Z1576"/>
      <c r="AA1576"/>
      <c r="AB1576"/>
      <c r="AC1576"/>
      <c r="AD1576"/>
      <c r="AE1576"/>
      <c r="AF1576"/>
      <c r="AG1576"/>
      <c r="AH1576"/>
      <c r="AI1576"/>
      <c r="AJ1576"/>
      <c r="AK1576"/>
      <c r="AL1576"/>
      <c r="AM1576"/>
      <c r="AN1576"/>
      <c r="AO1576"/>
      <c r="AP1576"/>
      <c r="AQ1576"/>
      <c r="AR1576"/>
      <c r="AS1576"/>
      <c r="AT1576"/>
      <c r="AU1576"/>
      <c r="AV1576"/>
      <c r="AW1576"/>
      <c r="AX1576"/>
      <c r="AY1576"/>
      <c r="AZ1576"/>
      <c r="BA1576"/>
      <c r="BB1576"/>
      <c r="BC1576"/>
      <c r="BD1576"/>
      <c r="BE1576"/>
      <c r="BF1576"/>
      <c r="BG1576"/>
      <c r="BH1576"/>
      <c r="BI1576"/>
      <c r="BJ1576"/>
      <c r="BK1576"/>
      <c r="BL1576"/>
      <c r="BM1576"/>
      <c r="BN1576"/>
      <c r="BO1576"/>
      <c r="BP1576"/>
      <c r="BQ1576"/>
      <c r="BR1576"/>
      <c r="BS1576"/>
      <c r="BT1576"/>
      <c r="BU1576"/>
      <c r="BV1576"/>
      <c r="BW1576"/>
      <c r="BX1576"/>
      <c r="BY1576"/>
      <c r="BZ1576"/>
      <c r="CA1576"/>
      <c r="CB1576"/>
      <c r="CC1576"/>
      <c r="CD1576"/>
      <c r="CE1576"/>
      <c r="CF1576"/>
      <c r="CG1576"/>
      <c r="CH1576"/>
      <c r="CI1576"/>
      <c r="CJ1576"/>
      <c r="CK1576"/>
      <c r="CL1576"/>
      <c r="CM1576"/>
      <c r="CN1576"/>
      <c r="CO1576"/>
      <c r="CP1576"/>
      <c r="CQ1576"/>
      <c r="CR1576"/>
      <c r="CS1576"/>
      <c r="CT1576"/>
      <c r="CU1576"/>
      <c r="CV1576"/>
      <c r="CW1576"/>
      <c r="CX1576"/>
      <c r="CY1576"/>
      <c r="CZ1576"/>
      <c r="DA1576"/>
      <c r="DB1576"/>
      <c r="DC1576"/>
      <c r="DD1576"/>
      <c r="DE1576"/>
      <c r="DF1576"/>
      <c r="DG1576"/>
      <c r="DH1576"/>
      <c r="DI1576"/>
      <c r="DJ1576"/>
      <c r="DK1576"/>
      <c r="DL1576"/>
      <c r="DM1576"/>
      <c r="DN1576"/>
      <c r="DO1576"/>
      <c r="DP1576"/>
      <c r="DQ1576"/>
      <c r="DR1576"/>
      <c r="DS1576"/>
      <c r="DT1576"/>
      <c r="DU1576"/>
      <c r="DV1576"/>
      <c r="DW1576"/>
      <c r="DX1576"/>
      <c r="DY1576"/>
      <c r="DZ1576"/>
      <c r="EA1576"/>
      <c r="EB1576"/>
      <c r="EC1576"/>
      <c r="ED1576"/>
      <c r="EE1576"/>
      <c r="EF1576"/>
      <c r="EG1576"/>
      <c r="EH1576"/>
      <c r="EI1576"/>
      <c r="EJ1576"/>
      <c r="EK1576"/>
      <c r="EL1576"/>
      <c r="EM1576"/>
      <c r="EN1576"/>
      <c r="EO1576"/>
      <c r="EP1576"/>
      <c r="EQ1576"/>
      <c r="ER1576"/>
      <c r="ES1576"/>
    </row>
    <row r="1577" spans="1:149">
      <c r="A1577"/>
      <c r="B1577"/>
      <c r="C1577"/>
      <c r="D1577"/>
      <c r="E1577"/>
      <c r="F1577"/>
      <c r="G1577"/>
      <c r="H1577"/>
      <c r="I1577"/>
      <c r="J1577"/>
      <c r="K1577"/>
      <c r="L1577"/>
      <c r="M1577"/>
      <c r="N1577"/>
      <c r="O1577"/>
      <c r="P1577"/>
      <c r="Q1577"/>
      <c r="R1577"/>
      <c r="S1577"/>
      <c r="T1577"/>
      <c r="U1577"/>
      <c r="V1577"/>
      <c r="W1577"/>
      <c r="X1577"/>
      <c r="Y1577"/>
      <c r="Z1577"/>
      <c r="AA1577"/>
      <c r="AB1577"/>
      <c r="AC1577"/>
      <c r="AD1577"/>
      <c r="AE1577"/>
      <c r="AF1577"/>
      <c r="AG1577"/>
      <c r="AH1577"/>
      <c r="AI1577"/>
      <c r="AJ1577"/>
      <c r="AK1577"/>
      <c r="AL1577"/>
      <c r="AM1577"/>
      <c r="AN1577"/>
      <c r="AO1577"/>
      <c r="AP1577"/>
      <c r="AQ1577"/>
      <c r="AR1577"/>
      <c r="AS1577"/>
      <c r="AT1577"/>
      <c r="AU1577"/>
      <c r="AV1577"/>
      <c r="AW1577"/>
      <c r="AX1577"/>
      <c r="AY1577"/>
      <c r="AZ1577"/>
      <c r="BA1577"/>
      <c r="BB1577"/>
      <c r="BC1577"/>
      <c r="BD1577"/>
      <c r="BE1577"/>
      <c r="BF1577"/>
      <c r="BG1577"/>
      <c r="BH1577"/>
      <c r="BI1577"/>
      <c r="BJ1577"/>
      <c r="BK1577"/>
      <c r="BL1577"/>
      <c r="BM1577"/>
      <c r="BN1577"/>
      <c r="BO1577"/>
      <c r="BP1577"/>
      <c r="BQ1577"/>
      <c r="BR1577"/>
      <c r="BS1577"/>
      <c r="BT1577"/>
      <c r="BU1577"/>
      <c r="BV1577"/>
      <c r="BW1577"/>
      <c r="BX1577"/>
      <c r="BY1577"/>
      <c r="BZ1577"/>
      <c r="CA1577"/>
      <c r="CB1577"/>
      <c r="CC1577"/>
      <c r="CD1577"/>
      <c r="CE1577"/>
      <c r="CF1577"/>
      <c r="CG1577"/>
      <c r="CH1577"/>
      <c r="CI1577"/>
      <c r="CJ1577"/>
      <c r="CK1577"/>
      <c r="CL1577"/>
      <c r="CM1577"/>
      <c r="CN1577"/>
      <c r="CO1577"/>
      <c r="CP1577"/>
      <c r="CQ1577"/>
      <c r="CR1577"/>
      <c r="CS1577"/>
      <c r="CT1577"/>
      <c r="CU1577"/>
      <c r="CV1577"/>
      <c r="CW1577"/>
      <c r="CX1577"/>
      <c r="CY1577"/>
      <c r="CZ1577"/>
      <c r="DA1577"/>
      <c r="DB1577"/>
      <c r="DC1577"/>
      <c r="DD1577"/>
      <c r="DE1577"/>
      <c r="DF1577"/>
      <c r="DG1577"/>
      <c r="DH1577"/>
      <c r="DI1577"/>
      <c r="DJ1577"/>
      <c r="DK1577"/>
      <c r="DL1577"/>
      <c r="DM1577"/>
      <c r="DN1577"/>
      <c r="DO1577"/>
      <c r="DP1577"/>
      <c r="DQ1577"/>
      <c r="DR1577"/>
      <c r="DS1577"/>
      <c r="DT1577"/>
      <c r="DU1577"/>
      <c r="DV1577"/>
      <c r="DW1577"/>
      <c r="DX1577"/>
      <c r="DY1577"/>
      <c r="DZ1577"/>
      <c r="EA1577"/>
      <c r="EB1577"/>
      <c r="EC1577"/>
      <c r="ED1577"/>
      <c r="EE1577"/>
      <c r="EF1577"/>
      <c r="EG1577"/>
      <c r="EH1577"/>
      <c r="EI1577"/>
      <c r="EJ1577"/>
      <c r="EK1577"/>
      <c r="EL1577"/>
      <c r="EM1577"/>
      <c r="EN1577"/>
      <c r="EO1577"/>
      <c r="EP1577"/>
      <c r="EQ1577"/>
      <c r="ER1577"/>
      <c r="ES1577"/>
    </row>
    <row r="1578" spans="1:149">
      <c r="A1578"/>
      <c r="B1578"/>
      <c r="C1578"/>
      <c r="D1578"/>
      <c r="E1578"/>
      <c r="F1578"/>
      <c r="G1578"/>
      <c r="H1578"/>
      <c r="I1578"/>
      <c r="J1578"/>
      <c r="K1578"/>
      <c r="L1578"/>
      <c r="M1578"/>
      <c r="N1578"/>
      <c r="O1578"/>
      <c r="P1578"/>
      <c r="Q1578"/>
      <c r="R1578"/>
      <c r="S1578"/>
      <c r="T1578"/>
      <c r="U1578"/>
      <c r="V1578"/>
      <c r="W1578"/>
      <c r="X1578"/>
      <c r="Y1578"/>
      <c r="Z1578"/>
      <c r="AA1578"/>
      <c r="AB1578"/>
      <c r="AC1578"/>
      <c r="AD1578"/>
      <c r="AE1578"/>
      <c r="AF1578"/>
      <c r="AG1578"/>
      <c r="AH1578"/>
      <c r="AI1578"/>
      <c r="AJ1578"/>
      <c r="AK1578"/>
      <c r="AL1578"/>
      <c r="AM1578"/>
      <c r="AN1578"/>
      <c r="AO1578"/>
      <c r="AP1578"/>
      <c r="AQ1578"/>
      <c r="AR1578"/>
      <c r="AS1578"/>
      <c r="AT1578"/>
      <c r="AU1578"/>
      <c r="AV1578"/>
      <c r="AW1578"/>
      <c r="AX1578"/>
      <c r="AY1578"/>
      <c r="AZ1578"/>
      <c r="BA1578"/>
      <c r="BB1578"/>
      <c r="BC1578"/>
      <c r="BD1578"/>
      <c r="BE1578"/>
      <c r="BF1578"/>
      <c r="BG1578"/>
      <c r="BH1578"/>
      <c r="BI1578"/>
      <c r="BJ1578"/>
      <c r="BK1578"/>
      <c r="BL1578"/>
      <c r="BM1578"/>
      <c r="BN1578"/>
      <c r="BO1578"/>
      <c r="BP1578"/>
      <c r="BQ1578"/>
      <c r="BR1578"/>
      <c r="BS1578"/>
      <c r="BT1578"/>
      <c r="BU1578"/>
      <c r="BV1578"/>
      <c r="BW1578"/>
      <c r="BX1578"/>
      <c r="BY1578"/>
      <c r="BZ1578"/>
      <c r="CA1578"/>
      <c r="CB1578"/>
      <c r="CC1578"/>
      <c r="CD1578"/>
      <c r="CE1578"/>
      <c r="CF1578"/>
      <c r="CG1578"/>
      <c r="CH1578"/>
      <c r="CI1578"/>
      <c r="CJ1578"/>
      <c r="CK1578"/>
      <c r="CL1578"/>
      <c r="CM1578"/>
      <c r="CN1578"/>
      <c r="CO1578"/>
      <c r="CP1578"/>
      <c r="CQ1578"/>
      <c r="CR1578"/>
      <c r="CS1578"/>
      <c r="CT1578"/>
      <c r="CU1578"/>
      <c r="CV1578"/>
      <c r="CW1578"/>
      <c r="CX1578"/>
      <c r="CY1578"/>
      <c r="CZ1578"/>
      <c r="DA1578"/>
      <c r="DB1578"/>
      <c r="DC1578"/>
      <c r="DD1578"/>
      <c r="DE1578"/>
      <c r="DF1578"/>
      <c r="DG1578"/>
      <c r="DH1578"/>
      <c r="DI1578"/>
      <c r="DJ1578"/>
      <c r="DK1578"/>
      <c r="DL1578"/>
      <c r="DM1578"/>
      <c r="DN1578"/>
      <c r="DO1578"/>
      <c r="DP1578"/>
      <c r="DQ1578"/>
      <c r="DR1578"/>
      <c r="DS1578"/>
      <c r="DT1578"/>
      <c r="DU1578"/>
      <c r="DV1578"/>
      <c r="DW1578"/>
      <c r="DX1578"/>
      <c r="DY1578"/>
      <c r="DZ1578"/>
      <c r="EA1578"/>
      <c r="EB1578"/>
      <c r="EC1578"/>
      <c r="ED1578"/>
      <c r="EE1578"/>
      <c r="EF1578"/>
      <c r="EG1578"/>
      <c r="EH1578"/>
      <c r="EI1578"/>
      <c r="EJ1578"/>
      <c r="EK1578"/>
      <c r="EL1578"/>
      <c r="EM1578"/>
      <c r="EN1578"/>
      <c r="EO1578"/>
      <c r="EP1578"/>
      <c r="EQ1578"/>
      <c r="ER1578"/>
      <c r="ES1578"/>
    </row>
    <row r="1579" spans="1:149">
      <c r="A1579"/>
      <c r="B1579"/>
      <c r="C1579"/>
      <c r="D1579"/>
      <c r="E1579"/>
      <c r="F1579"/>
      <c r="G1579"/>
      <c r="H1579"/>
      <c r="I1579"/>
      <c r="J1579"/>
      <c r="K1579"/>
      <c r="L1579"/>
      <c r="M1579"/>
      <c r="N1579"/>
      <c r="O1579"/>
      <c r="P1579"/>
      <c r="Q1579"/>
      <c r="R1579"/>
      <c r="S1579"/>
      <c r="T1579"/>
      <c r="U1579"/>
      <c r="V1579"/>
      <c r="W1579"/>
      <c r="X1579"/>
      <c r="Y1579"/>
      <c r="Z1579"/>
      <c r="AA1579"/>
      <c r="AB1579"/>
      <c r="AC1579"/>
      <c r="AD1579"/>
      <c r="AE1579"/>
      <c r="AF1579"/>
      <c r="AG1579"/>
      <c r="AH1579"/>
      <c r="AI1579"/>
      <c r="AJ1579"/>
      <c r="AK1579"/>
      <c r="AL1579"/>
      <c r="AM1579"/>
      <c r="AN1579"/>
      <c r="AO1579"/>
      <c r="AP1579"/>
      <c r="AQ1579"/>
      <c r="AR1579"/>
      <c r="AS1579"/>
      <c r="AT1579"/>
      <c r="AU1579"/>
      <c r="AV1579"/>
      <c r="AW1579"/>
      <c r="AX1579"/>
      <c r="AY1579"/>
      <c r="AZ1579"/>
      <c r="BA1579"/>
      <c r="BB1579"/>
      <c r="BC1579"/>
      <c r="BD1579"/>
      <c r="BE1579"/>
      <c r="BF1579"/>
      <c r="BG1579"/>
      <c r="BH1579"/>
      <c r="BI1579"/>
      <c r="BJ1579"/>
      <c r="BK1579"/>
      <c r="BL1579"/>
      <c r="BM1579"/>
      <c r="BN1579"/>
      <c r="BO1579"/>
      <c r="BP1579"/>
      <c r="BQ1579"/>
      <c r="BR1579"/>
      <c r="BS1579"/>
      <c r="BT1579"/>
      <c r="BU1579"/>
      <c r="BV1579"/>
      <c r="BW1579"/>
      <c r="BX1579"/>
      <c r="BY1579"/>
      <c r="BZ1579"/>
      <c r="CA1579"/>
      <c r="CB1579"/>
      <c r="CC1579"/>
      <c r="CD1579"/>
      <c r="CE1579"/>
      <c r="CF1579"/>
      <c r="CG1579"/>
      <c r="CH1579"/>
      <c r="CI1579"/>
      <c r="CJ1579"/>
      <c r="CK1579"/>
      <c r="CL1579"/>
      <c r="CM1579"/>
      <c r="CN1579"/>
      <c r="CO1579"/>
      <c r="CP1579"/>
      <c r="CQ1579"/>
      <c r="CR1579"/>
      <c r="CS1579"/>
      <c r="CT1579"/>
      <c r="CU1579"/>
      <c r="CV1579"/>
      <c r="CW1579"/>
      <c r="CX1579"/>
      <c r="CY1579"/>
      <c r="CZ1579"/>
      <c r="DA1579"/>
      <c r="DB1579"/>
      <c r="DC1579"/>
      <c r="DD1579"/>
      <c r="DE1579"/>
      <c r="DF1579"/>
      <c r="DG1579"/>
      <c r="DH1579"/>
      <c r="DI1579"/>
      <c r="DJ1579"/>
      <c r="DK1579"/>
      <c r="DL1579"/>
      <c r="DM1579"/>
      <c r="DN1579"/>
      <c r="DO1579"/>
      <c r="DP1579"/>
      <c r="DQ1579"/>
      <c r="DR1579"/>
      <c r="DS1579"/>
      <c r="DT1579"/>
      <c r="DU1579"/>
      <c r="DV1579"/>
      <c r="DW1579"/>
      <c r="DX1579"/>
      <c r="DY1579"/>
      <c r="DZ1579"/>
      <c r="EA1579"/>
      <c r="EB1579"/>
      <c r="EC1579"/>
      <c r="ED1579"/>
      <c r="EE1579"/>
      <c r="EF1579"/>
      <c r="EG1579"/>
      <c r="EH1579"/>
      <c r="EI1579"/>
      <c r="EJ1579"/>
      <c r="EK1579"/>
      <c r="EL1579"/>
      <c r="EM1579"/>
      <c r="EN1579"/>
      <c r="EO1579"/>
      <c r="EP1579"/>
      <c r="EQ1579"/>
      <c r="ER1579"/>
      <c r="ES1579"/>
    </row>
    <row r="1580" spans="1:149">
      <c r="A1580"/>
      <c r="B1580"/>
      <c r="C1580"/>
      <c r="D1580"/>
      <c r="E1580"/>
      <c r="F1580"/>
      <c r="G1580"/>
      <c r="H1580"/>
      <c r="I1580"/>
      <c r="J1580"/>
      <c r="K1580"/>
      <c r="L1580"/>
      <c r="M1580"/>
      <c r="N1580"/>
      <c r="O1580"/>
      <c r="P1580"/>
      <c r="Q1580"/>
      <c r="R1580"/>
      <c r="S1580"/>
      <c r="T1580"/>
      <c r="U1580"/>
      <c r="V1580"/>
      <c r="W1580"/>
      <c r="X1580"/>
      <c r="Y1580"/>
      <c r="Z1580"/>
      <c r="AA1580"/>
      <c r="AB1580"/>
      <c r="AC1580"/>
      <c r="AD1580"/>
      <c r="AE1580"/>
      <c r="AF1580"/>
      <c r="AG1580"/>
      <c r="AH1580"/>
      <c r="AI1580"/>
      <c r="AJ1580"/>
      <c r="AK1580"/>
      <c r="AL1580"/>
      <c r="AM1580"/>
      <c r="AN1580"/>
      <c r="AO1580"/>
      <c r="AP1580"/>
      <c r="AQ1580"/>
      <c r="AR1580"/>
      <c r="AS1580"/>
      <c r="AT1580"/>
      <c r="AU1580"/>
      <c r="AV1580"/>
      <c r="AW1580"/>
      <c r="AX1580"/>
      <c r="AY1580"/>
      <c r="AZ1580"/>
      <c r="BA1580"/>
      <c r="BB1580"/>
      <c r="BC1580"/>
      <c r="BD1580"/>
      <c r="BE1580"/>
      <c r="BF1580"/>
      <c r="BG1580"/>
      <c r="BH1580"/>
      <c r="BI1580"/>
      <c r="BJ1580"/>
      <c r="BK1580"/>
      <c r="BL1580"/>
      <c r="BM1580"/>
      <c r="BN1580"/>
      <c r="BO1580"/>
      <c r="BP1580"/>
      <c r="BQ1580"/>
      <c r="BR1580"/>
      <c r="BS1580"/>
      <c r="BT1580"/>
      <c r="BU1580"/>
      <c r="BV1580"/>
      <c r="BW1580"/>
      <c r="BX1580"/>
      <c r="BY1580"/>
      <c r="BZ1580"/>
      <c r="CA1580"/>
      <c r="CB1580"/>
      <c r="CC1580"/>
      <c r="CD1580"/>
      <c r="CE1580"/>
      <c r="CF1580"/>
      <c r="CG1580"/>
      <c r="CH1580"/>
      <c r="CI1580"/>
      <c r="CJ1580"/>
      <c r="CK1580"/>
      <c r="CL1580"/>
      <c r="CM1580"/>
      <c r="CN1580"/>
      <c r="CO1580"/>
      <c r="CP1580"/>
      <c r="CQ1580"/>
      <c r="CR1580"/>
      <c r="CS1580"/>
      <c r="CT1580"/>
      <c r="CU1580"/>
      <c r="CV1580"/>
      <c r="CW1580"/>
      <c r="CX1580"/>
      <c r="CY1580"/>
      <c r="CZ1580"/>
      <c r="DA1580"/>
      <c r="DB1580"/>
      <c r="DC1580"/>
      <c r="DD1580"/>
      <c r="DE1580"/>
      <c r="DF1580"/>
      <c r="DG1580"/>
      <c r="DH1580"/>
      <c r="DI1580"/>
      <c r="DJ1580"/>
      <c r="DK1580"/>
      <c r="DL1580"/>
      <c r="DM1580"/>
      <c r="DN1580"/>
      <c r="DO1580"/>
      <c r="DP1580"/>
      <c r="DQ1580"/>
      <c r="DR1580"/>
      <c r="DS1580"/>
      <c r="DT1580"/>
      <c r="DU1580"/>
      <c r="DV1580"/>
      <c r="DW1580"/>
      <c r="DX1580"/>
      <c r="DY1580"/>
      <c r="DZ1580"/>
      <c r="EA1580"/>
      <c r="EB1580"/>
      <c r="EC1580"/>
      <c r="ED1580"/>
      <c r="EE1580"/>
      <c r="EF1580"/>
      <c r="EG1580"/>
      <c r="EH1580"/>
      <c r="EI1580"/>
      <c r="EJ1580"/>
      <c r="EK1580"/>
      <c r="EL1580"/>
      <c r="EM1580"/>
      <c r="EN1580"/>
      <c r="EO1580"/>
      <c r="EP1580"/>
      <c r="EQ1580"/>
      <c r="ER1580"/>
      <c r="ES1580"/>
    </row>
    <row r="1581" spans="1:149">
      <c r="A1581"/>
      <c r="B1581"/>
      <c r="C1581"/>
      <c r="D1581"/>
      <c r="E1581"/>
      <c r="F1581"/>
      <c r="G1581"/>
      <c r="H1581"/>
      <c r="I1581"/>
      <c r="J1581"/>
      <c r="K1581"/>
      <c r="L1581"/>
      <c r="M1581"/>
      <c r="N1581"/>
      <c r="O1581"/>
      <c r="P1581"/>
      <c r="Q1581"/>
      <c r="R1581"/>
      <c r="S1581"/>
      <c r="T1581"/>
      <c r="U1581"/>
      <c r="V1581"/>
      <c r="W1581"/>
      <c r="X1581"/>
      <c r="Y1581"/>
      <c r="Z1581"/>
      <c r="AA1581"/>
      <c r="AB1581"/>
      <c r="AC1581"/>
      <c r="AD1581"/>
      <c r="AE1581"/>
      <c r="AF1581"/>
      <c r="AG1581"/>
      <c r="AH1581"/>
      <c r="AI1581"/>
      <c r="AJ1581"/>
      <c r="AK1581"/>
      <c r="AL1581"/>
      <c r="AM1581"/>
      <c r="AN1581"/>
      <c r="AO1581"/>
      <c r="AP1581"/>
      <c r="AQ1581"/>
      <c r="AR1581"/>
      <c r="AS1581"/>
      <c r="AT1581"/>
      <c r="AU1581"/>
      <c r="AV1581"/>
      <c r="AW1581"/>
      <c r="AX1581"/>
      <c r="AY1581"/>
      <c r="AZ1581"/>
      <c r="BA1581"/>
      <c r="BB1581"/>
      <c r="BC1581"/>
      <c r="BD1581"/>
      <c r="BE1581"/>
      <c r="BF1581"/>
      <c r="BG1581"/>
      <c r="BH1581"/>
      <c r="BI1581"/>
      <c r="BJ1581"/>
      <c r="BK1581"/>
      <c r="BL1581"/>
      <c r="BM1581"/>
      <c r="BN1581"/>
      <c r="BO1581"/>
      <c r="BP1581"/>
      <c r="BQ1581"/>
      <c r="BR1581"/>
      <c r="BS1581"/>
      <c r="BT1581"/>
      <c r="BU1581"/>
      <c r="BV1581"/>
      <c r="BW1581"/>
      <c r="BX1581"/>
      <c r="BY1581"/>
      <c r="BZ1581"/>
      <c r="CA1581"/>
      <c r="CB1581"/>
      <c r="CC1581"/>
      <c r="CD1581"/>
      <c r="CE1581"/>
      <c r="CF1581"/>
      <c r="CG1581"/>
      <c r="CH1581"/>
      <c r="CI1581"/>
      <c r="CJ1581"/>
      <c r="CK1581"/>
      <c r="CL1581"/>
      <c r="CM1581"/>
      <c r="CN1581"/>
      <c r="CO1581"/>
      <c r="CP1581"/>
      <c r="CQ1581"/>
      <c r="CR1581"/>
      <c r="CS1581"/>
      <c r="CT1581"/>
      <c r="CU1581"/>
      <c r="CV1581"/>
      <c r="CW1581"/>
      <c r="CX1581"/>
      <c r="CY1581"/>
      <c r="CZ1581"/>
      <c r="DA1581"/>
      <c r="DB1581"/>
      <c r="DC1581"/>
      <c r="DD1581"/>
      <c r="DE1581"/>
      <c r="DF1581"/>
      <c r="DG1581"/>
      <c r="DH1581"/>
      <c r="DI1581"/>
      <c r="DJ1581"/>
      <c r="DK1581"/>
      <c r="DL1581"/>
      <c r="DM1581"/>
      <c r="DN1581"/>
      <c r="DO1581"/>
      <c r="DP1581"/>
      <c r="DQ1581"/>
      <c r="DR1581"/>
      <c r="DS1581"/>
      <c r="DT1581"/>
      <c r="DU1581"/>
      <c r="DV1581"/>
      <c r="DW1581"/>
      <c r="DX1581"/>
      <c r="DY1581"/>
      <c r="DZ1581"/>
      <c r="EA1581"/>
      <c r="EB1581"/>
      <c r="EC1581"/>
      <c r="ED1581"/>
      <c r="EE1581"/>
      <c r="EF1581"/>
      <c r="EG1581"/>
      <c r="EH1581"/>
      <c r="EI1581"/>
      <c r="EJ1581"/>
      <c r="EK1581"/>
      <c r="EL1581"/>
      <c r="EM1581"/>
      <c r="EN1581"/>
      <c r="EO1581"/>
      <c r="EP1581"/>
      <c r="EQ1581"/>
      <c r="ER1581"/>
      <c r="ES1581"/>
    </row>
    <row r="1582" spans="1:149">
      <c r="A1582"/>
      <c r="B1582"/>
      <c r="C1582"/>
      <c r="D1582"/>
      <c r="E1582"/>
      <c r="F1582"/>
      <c r="G1582"/>
      <c r="H1582"/>
      <c r="I1582"/>
      <c r="J1582"/>
      <c r="K1582"/>
      <c r="L1582"/>
      <c r="M1582"/>
      <c r="N1582"/>
      <c r="O1582"/>
      <c r="P1582"/>
      <c r="Q1582"/>
      <c r="R1582"/>
      <c r="S1582"/>
      <c r="T1582"/>
      <c r="U1582"/>
      <c r="V1582"/>
      <c r="W1582"/>
      <c r="X1582"/>
      <c r="Y1582"/>
      <c r="Z1582"/>
      <c r="AA1582"/>
      <c r="AB1582"/>
      <c r="AC1582"/>
      <c r="AD1582"/>
      <c r="AE1582"/>
      <c r="AF1582"/>
      <c r="AG1582"/>
      <c r="AH1582"/>
      <c r="AI1582"/>
      <c r="AJ1582"/>
      <c r="AK1582"/>
      <c r="AL1582"/>
      <c r="AM1582"/>
      <c r="AN1582"/>
      <c r="AO1582"/>
      <c r="AP1582"/>
      <c r="AQ1582"/>
      <c r="AR1582"/>
      <c r="AS1582"/>
      <c r="AT1582"/>
      <c r="AU1582"/>
      <c r="AV1582"/>
      <c r="AW1582"/>
      <c r="AX1582"/>
      <c r="AY1582"/>
      <c r="AZ1582"/>
      <c r="BA1582"/>
      <c r="BB1582"/>
      <c r="BC1582"/>
      <c r="BD1582"/>
      <c r="BE1582"/>
      <c r="BF1582"/>
      <c r="BG1582"/>
      <c r="BH1582"/>
      <c r="BI1582"/>
      <c r="BJ1582"/>
      <c r="BK1582"/>
      <c r="BL1582"/>
      <c r="BM1582"/>
      <c r="BN1582"/>
      <c r="BO1582"/>
      <c r="BP1582"/>
      <c r="BQ1582"/>
      <c r="BR1582"/>
      <c r="BS1582"/>
      <c r="BT1582"/>
      <c r="BU1582"/>
      <c r="BV1582"/>
      <c r="BW1582"/>
      <c r="BX1582"/>
      <c r="BY1582"/>
      <c r="BZ1582"/>
      <c r="CA1582"/>
      <c r="CB1582"/>
      <c r="CC1582"/>
      <c r="CD1582"/>
      <c r="CE1582"/>
      <c r="CF1582"/>
      <c r="CG1582"/>
      <c r="CH1582"/>
      <c r="CI1582"/>
      <c r="CJ1582"/>
      <c r="CK1582"/>
      <c r="CL1582"/>
      <c r="CM1582"/>
      <c r="CN1582"/>
      <c r="CO1582"/>
      <c r="CP1582"/>
      <c r="CQ1582"/>
      <c r="CR1582"/>
      <c r="CS1582"/>
      <c r="CT1582"/>
      <c r="CU1582"/>
      <c r="CV1582"/>
      <c r="CW1582"/>
      <c r="CX1582"/>
      <c r="CY1582"/>
      <c r="CZ1582"/>
      <c r="DA1582"/>
      <c r="DB1582"/>
      <c r="DC1582"/>
      <c r="DD1582"/>
      <c r="DE1582"/>
      <c r="DF1582"/>
      <c r="DG1582"/>
      <c r="DH1582"/>
      <c r="DI1582"/>
      <c r="DJ1582"/>
      <c r="DK1582"/>
      <c r="DL1582"/>
      <c r="DM1582"/>
      <c r="DN1582"/>
      <c r="DO1582"/>
      <c r="DP1582"/>
      <c r="DQ1582"/>
      <c r="DR1582"/>
      <c r="DS1582"/>
      <c r="DT1582"/>
      <c r="DU1582"/>
      <c r="DV1582"/>
      <c r="DW1582"/>
      <c r="DX1582"/>
      <c r="DY1582"/>
      <c r="DZ1582"/>
      <c r="EA1582"/>
      <c r="EB1582"/>
      <c r="EC1582"/>
      <c r="ED1582"/>
      <c r="EE1582"/>
      <c r="EF1582"/>
      <c r="EG1582"/>
      <c r="EH1582"/>
      <c r="EI1582"/>
      <c r="EJ1582"/>
      <c r="EK1582"/>
      <c r="EL1582"/>
      <c r="EM1582"/>
      <c r="EN1582"/>
      <c r="EO1582"/>
      <c r="EP1582"/>
      <c r="EQ1582"/>
      <c r="ER1582"/>
      <c r="ES1582"/>
    </row>
    <row r="1583" spans="1:149">
      <c r="A1583"/>
      <c r="B1583"/>
      <c r="C1583"/>
      <c r="D1583"/>
      <c r="E1583"/>
      <c r="F1583"/>
      <c r="G1583"/>
      <c r="H1583"/>
      <c r="I1583"/>
      <c r="J1583"/>
      <c r="K1583"/>
      <c r="L1583"/>
      <c r="M1583"/>
      <c r="N1583"/>
      <c r="O1583"/>
      <c r="P1583"/>
      <c r="Q1583"/>
      <c r="R1583"/>
      <c r="S1583"/>
      <c r="T1583"/>
      <c r="U1583"/>
      <c r="V1583"/>
      <c r="W1583"/>
      <c r="X1583"/>
      <c r="Y1583"/>
      <c r="Z1583"/>
      <c r="AA1583"/>
      <c r="AB1583"/>
      <c r="AC1583"/>
      <c r="AD1583"/>
      <c r="AE1583"/>
      <c r="AF1583"/>
      <c r="AG1583"/>
      <c r="AH1583"/>
      <c r="AI1583"/>
      <c r="AJ1583"/>
      <c r="AK1583"/>
      <c r="AL1583"/>
      <c r="AM1583"/>
      <c r="AN1583"/>
      <c r="AO1583"/>
      <c r="AP1583"/>
      <c r="AQ1583"/>
      <c r="AR1583"/>
      <c r="AS1583"/>
      <c r="AT1583"/>
      <c r="AU1583"/>
      <c r="AV1583"/>
      <c r="AW1583"/>
      <c r="AX1583"/>
      <c r="AY1583"/>
      <c r="AZ1583"/>
      <c r="BA1583"/>
      <c r="BB1583"/>
      <c r="BC1583"/>
      <c r="BD1583"/>
      <c r="BE1583"/>
      <c r="BF1583"/>
      <c r="BG1583"/>
      <c r="BH1583"/>
      <c r="BI1583"/>
      <c r="BJ1583"/>
      <c r="BK1583"/>
      <c r="BL1583"/>
      <c r="BM1583"/>
      <c r="BN1583"/>
      <c r="BO1583"/>
      <c r="BP1583"/>
      <c r="BQ1583"/>
      <c r="BR1583"/>
      <c r="BS1583"/>
      <c r="BT1583"/>
      <c r="BU1583"/>
      <c r="BV1583"/>
      <c r="BW1583"/>
      <c r="BX1583"/>
      <c r="BY1583"/>
      <c r="BZ1583"/>
      <c r="CA1583"/>
      <c r="CB1583"/>
      <c r="CC1583"/>
      <c r="CD1583"/>
      <c r="CE1583"/>
      <c r="CF1583"/>
      <c r="CG1583"/>
      <c r="CH1583"/>
      <c r="CI1583"/>
      <c r="CJ1583"/>
      <c r="CK1583"/>
      <c r="CL1583"/>
      <c r="CM1583"/>
      <c r="CN1583"/>
      <c r="CO1583"/>
      <c r="CP1583"/>
      <c r="CQ1583"/>
      <c r="CR1583"/>
      <c r="CS1583"/>
      <c r="CT1583"/>
      <c r="CU1583"/>
      <c r="CV1583"/>
      <c r="CW1583"/>
      <c r="CX1583"/>
      <c r="CY1583"/>
      <c r="CZ1583"/>
      <c r="DA1583"/>
      <c r="DB1583"/>
      <c r="DC1583"/>
      <c r="DD1583"/>
      <c r="DE1583"/>
      <c r="DF1583"/>
      <c r="DG1583"/>
      <c r="DH1583"/>
      <c r="DI1583"/>
      <c r="DJ1583"/>
      <c r="DK1583"/>
      <c r="DL1583"/>
      <c r="DM1583"/>
      <c r="DN1583"/>
      <c r="DO1583"/>
      <c r="DP1583"/>
      <c r="DQ1583"/>
      <c r="DR1583"/>
      <c r="DS1583"/>
      <c r="DT1583"/>
      <c r="DU1583"/>
      <c r="DV1583"/>
      <c r="DW1583"/>
      <c r="DX1583"/>
      <c r="DY1583"/>
      <c r="DZ1583"/>
      <c r="EA1583"/>
      <c r="EB1583"/>
      <c r="EC1583"/>
      <c r="ED1583"/>
      <c r="EE1583"/>
      <c r="EF1583"/>
      <c r="EG1583"/>
      <c r="EH1583"/>
      <c r="EI1583"/>
      <c r="EJ1583"/>
      <c r="EK1583"/>
      <c r="EL1583"/>
      <c r="EM1583"/>
      <c r="EN1583"/>
      <c r="EO1583"/>
      <c r="EP1583"/>
      <c r="EQ1583"/>
      <c r="ER1583"/>
      <c r="ES1583"/>
    </row>
    <row r="1584" spans="1:149">
      <c r="A1584"/>
      <c r="B1584"/>
      <c r="C1584"/>
      <c r="D1584"/>
      <c r="E1584"/>
      <c r="F1584"/>
      <c r="G1584"/>
      <c r="H1584"/>
      <c r="I1584"/>
      <c r="J1584"/>
      <c r="K1584"/>
      <c r="L1584"/>
      <c r="M1584"/>
      <c r="N1584"/>
      <c r="O1584"/>
      <c r="P1584"/>
      <c r="Q1584"/>
      <c r="R1584"/>
      <c r="S1584"/>
      <c r="T1584"/>
      <c r="U1584"/>
      <c r="V1584"/>
      <c r="W1584"/>
      <c r="X1584"/>
      <c r="Y1584"/>
      <c r="Z1584"/>
      <c r="AA1584"/>
      <c r="AB1584"/>
      <c r="AC1584"/>
      <c r="AD1584"/>
      <c r="AE1584"/>
      <c r="AF1584"/>
      <c r="AG1584"/>
      <c r="AH1584"/>
      <c r="AI1584"/>
      <c r="AJ1584"/>
      <c r="AK1584"/>
      <c r="AL1584"/>
      <c r="AM1584"/>
      <c r="AN1584"/>
      <c r="AO1584"/>
      <c r="AP1584"/>
      <c r="AQ1584"/>
      <c r="AR1584"/>
      <c r="AS1584"/>
      <c r="AT1584"/>
      <c r="AU1584"/>
      <c r="AV1584"/>
      <c r="AW1584"/>
      <c r="AX1584"/>
      <c r="AY1584"/>
      <c r="AZ1584"/>
      <c r="BA1584"/>
      <c r="BB1584"/>
      <c r="BC1584"/>
      <c r="BD1584"/>
      <c r="BE1584"/>
      <c r="BF1584"/>
      <c r="BG1584"/>
      <c r="BH1584"/>
      <c r="BI1584"/>
      <c r="BJ1584"/>
      <c r="BK1584"/>
      <c r="BL1584"/>
      <c r="BM1584"/>
      <c r="BN1584"/>
      <c r="BO1584"/>
      <c r="BP1584"/>
      <c r="BQ1584"/>
      <c r="BR1584"/>
      <c r="BS1584"/>
      <c r="BT1584"/>
      <c r="BU1584"/>
      <c r="BV1584"/>
      <c r="BW1584"/>
      <c r="BX1584"/>
      <c r="BY1584"/>
      <c r="BZ1584"/>
      <c r="CA1584"/>
      <c r="CB1584"/>
      <c r="CC1584"/>
      <c r="CD1584"/>
      <c r="CE1584"/>
      <c r="CF1584"/>
      <c r="CG1584"/>
      <c r="CH1584"/>
      <c r="CI1584"/>
      <c r="CJ1584"/>
      <c r="CK1584"/>
      <c r="CL1584"/>
      <c r="CM1584"/>
      <c r="CN1584"/>
      <c r="CO1584"/>
      <c r="CP1584"/>
      <c r="CQ1584"/>
      <c r="CR1584"/>
      <c r="CS1584"/>
      <c r="CT1584"/>
      <c r="CU1584"/>
      <c r="CV1584"/>
      <c r="CW1584"/>
      <c r="CX1584"/>
      <c r="CY1584"/>
      <c r="CZ1584"/>
      <c r="DA1584"/>
      <c r="DB1584"/>
      <c r="DC1584"/>
      <c r="DD1584"/>
      <c r="DE1584"/>
      <c r="DF1584"/>
      <c r="DG1584"/>
      <c r="DH1584"/>
      <c r="DI1584"/>
      <c r="DJ1584"/>
      <c r="DK1584"/>
      <c r="DL1584"/>
      <c r="DM1584"/>
      <c r="DN1584"/>
      <c r="DO1584"/>
      <c r="DP1584"/>
      <c r="DQ1584"/>
      <c r="DR1584"/>
      <c r="DS1584"/>
      <c r="DT1584"/>
      <c r="DU1584"/>
      <c r="DV1584"/>
      <c r="DW1584"/>
      <c r="DX1584"/>
      <c r="DY1584"/>
      <c r="DZ1584"/>
      <c r="EA1584"/>
      <c r="EB1584"/>
      <c r="EC1584"/>
      <c r="ED1584"/>
      <c r="EE1584"/>
      <c r="EF1584"/>
      <c r="EG1584"/>
      <c r="EH1584"/>
      <c r="EI1584"/>
      <c r="EJ1584"/>
      <c r="EK1584"/>
      <c r="EL1584"/>
      <c r="EM1584"/>
      <c r="EN1584"/>
      <c r="EO1584"/>
      <c r="EP1584"/>
      <c r="EQ1584"/>
      <c r="ER1584"/>
      <c r="ES1584"/>
    </row>
    <row r="1585" spans="1:149">
      <c r="A1585"/>
      <c r="B1585"/>
      <c r="C1585"/>
      <c r="D1585"/>
      <c r="E1585"/>
      <c r="F1585"/>
      <c r="G1585"/>
      <c r="H1585"/>
      <c r="I1585"/>
      <c r="J1585"/>
      <c r="K1585"/>
      <c r="L1585"/>
      <c r="M1585"/>
      <c r="N1585"/>
      <c r="O1585"/>
      <c r="P1585"/>
      <c r="Q1585"/>
      <c r="R1585"/>
      <c r="S1585"/>
      <c r="T1585"/>
      <c r="U1585"/>
      <c r="V1585"/>
      <c r="W1585"/>
      <c r="X1585"/>
      <c r="Y1585"/>
      <c r="Z1585"/>
      <c r="AA1585"/>
      <c r="AB1585"/>
      <c r="AC1585"/>
      <c r="AD1585"/>
      <c r="AE1585"/>
      <c r="AF1585"/>
      <c r="AG1585"/>
      <c r="AH1585"/>
      <c r="AI1585"/>
      <c r="AJ1585"/>
      <c r="AK1585"/>
      <c r="AL1585"/>
      <c r="AM1585"/>
      <c r="AN1585"/>
      <c r="AO1585"/>
      <c r="AP1585"/>
      <c r="AQ1585"/>
      <c r="AR1585"/>
      <c r="AS1585"/>
      <c r="AT1585"/>
      <c r="AU1585"/>
      <c r="AV1585"/>
      <c r="AW1585"/>
      <c r="AX1585"/>
      <c r="AY1585"/>
      <c r="AZ1585"/>
      <c r="BA1585"/>
      <c r="BB1585"/>
      <c r="BC1585"/>
      <c r="BD1585"/>
      <c r="BE1585"/>
      <c r="BF1585"/>
      <c r="BG1585"/>
      <c r="BH1585"/>
      <c r="BI1585"/>
      <c r="BJ1585"/>
      <c r="BK1585"/>
      <c r="BL1585"/>
      <c r="BM1585"/>
      <c r="BN1585"/>
      <c r="BO1585"/>
      <c r="BP1585"/>
      <c r="BQ1585"/>
      <c r="BR1585"/>
      <c r="BS1585"/>
      <c r="BT1585"/>
      <c r="BU1585"/>
      <c r="BV1585"/>
      <c r="BW1585"/>
      <c r="BX1585"/>
      <c r="BY1585"/>
      <c r="BZ1585"/>
      <c r="CA1585"/>
      <c r="CB1585"/>
      <c r="CC1585"/>
      <c r="CD1585"/>
      <c r="CE1585"/>
      <c r="CF1585"/>
      <c r="CG1585"/>
      <c r="CH1585"/>
      <c r="CI1585"/>
      <c r="CJ1585"/>
      <c r="CK1585"/>
      <c r="CL1585"/>
      <c r="CM1585"/>
      <c r="CN1585"/>
      <c r="CO1585"/>
      <c r="CP1585"/>
      <c r="CQ1585"/>
      <c r="CR1585"/>
      <c r="CS1585"/>
      <c r="CT1585"/>
      <c r="CU1585"/>
      <c r="CV1585"/>
      <c r="CW1585"/>
      <c r="CX1585"/>
      <c r="CY1585"/>
      <c r="CZ1585"/>
      <c r="DA1585"/>
      <c r="DB1585"/>
      <c r="DC1585"/>
      <c r="DD1585"/>
      <c r="DE1585"/>
      <c r="DF1585"/>
      <c r="DG1585"/>
      <c r="DH1585"/>
      <c r="DI1585"/>
      <c r="DJ1585"/>
      <c r="DK1585"/>
      <c r="DL1585"/>
      <c r="DM1585"/>
      <c r="DN1585"/>
      <c r="DO1585"/>
      <c r="DP1585"/>
      <c r="DQ1585"/>
      <c r="DR1585"/>
      <c r="DS1585"/>
      <c r="DT1585"/>
      <c r="DU1585"/>
      <c r="DV1585"/>
      <c r="DW1585"/>
      <c r="DX1585"/>
      <c r="DY1585"/>
      <c r="DZ1585"/>
      <c r="EA1585"/>
      <c r="EB1585"/>
      <c r="EC1585"/>
      <c r="ED1585"/>
      <c r="EE1585"/>
      <c r="EF1585"/>
      <c r="EG1585"/>
      <c r="EH1585"/>
      <c r="EI1585"/>
      <c r="EJ1585"/>
      <c r="EK1585"/>
      <c r="EL1585"/>
      <c r="EM1585"/>
      <c r="EN1585"/>
      <c r="EO1585"/>
      <c r="EP1585"/>
      <c r="EQ1585"/>
      <c r="ER1585"/>
      <c r="ES1585"/>
    </row>
    <row r="1586" spans="1:149">
      <c r="A1586"/>
      <c r="B1586"/>
      <c r="C1586"/>
      <c r="D1586"/>
      <c r="E1586"/>
      <c r="F1586"/>
      <c r="G1586"/>
      <c r="H1586"/>
      <c r="I1586"/>
      <c r="J1586"/>
      <c r="K1586"/>
      <c r="L1586"/>
      <c r="M1586"/>
      <c r="N1586"/>
      <c r="O1586"/>
      <c r="P1586"/>
      <c r="Q1586"/>
      <c r="R1586"/>
      <c r="S1586"/>
      <c r="T1586"/>
      <c r="U1586"/>
      <c r="V1586"/>
      <c r="W1586"/>
      <c r="X1586"/>
      <c r="Y1586"/>
      <c r="Z1586"/>
      <c r="AA1586"/>
      <c r="AB1586"/>
      <c r="AC1586"/>
      <c r="AD1586"/>
      <c r="AE1586"/>
      <c r="AF1586"/>
      <c r="AG1586"/>
      <c r="AH1586"/>
      <c r="AI1586"/>
      <c r="AJ1586"/>
      <c r="AK1586"/>
      <c r="AL1586"/>
      <c r="AM1586"/>
      <c r="AN1586"/>
      <c r="AO1586"/>
      <c r="AP1586"/>
      <c r="AQ1586"/>
      <c r="AR1586"/>
      <c r="AS1586"/>
      <c r="AT1586"/>
      <c r="AU1586"/>
      <c r="AV1586"/>
      <c r="AW1586"/>
      <c r="AX1586"/>
      <c r="AY1586"/>
      <c r="AZ1586"/>
      <c r="BA1586"/>
      <c r="BB1586"/>
      <c r="BC1586"/>
      <c r="BD1586"/>
      <c r="BE1586"/>
      <c r="BF1586"/>
      <c r="BG1586"/>
      <c r="BH1586"/>
      <c r="BI1586"/>
      <c r="BJ1586"/>
      <c r="BK1586"/>
      <c r="BL1586"/>
      <c r="BM1586"/>
      <c r="BN1586"/>
      <c r="BO1586"/>
      <c r="BP1586"/>
      <c r="BQ1586"/>
      <c r="BR1586"/>
      <c r="BS1586"/>
      <c r="BT1586"/>
      <c r="BU1586"/>
      <c r="BV1586"/>
      <c r="BW1586"/>
      <c r="BX1586"/>
      <c r="BY1586"/>
      <c r="BZ1586"/>
      <c r="CA1586"/>
      <c r="CB1586"/>
      <c r="CC1586"/>
      <c r="CD1586"/>
      <c r="CE1586"/>
      <c r="CF1586"/>
      <c r="CG1586"/>
      <c r="CH1586"/>
      <c r="CI1586"/>
      <c r="CJ1586"/>
      <c r="CK1586"/>
      <c r="CL1586"/>
      <c r="CM1586"/>
      <c r="CN1586"/>
      <c r="CO1586"/>
      <c r="CP1586"/>
      <c r="CQ1586"/>
      <c r="CR1586"/>
      <c r="CS1586"/>
      <c r="CT1586"/>
      <c r="CU1586"/>
      <c r="CV1586"/>
      <c r="CW1586"/>
      <c r="CX1586"/>
      <c r="CY1586"/>
      <c r="CZ1586"/>
      <c r="DA1586"/>
      <c r="DB1586"/>
      <c r="DC1586"/>
      <c r="DD1586"/>
      <c r="DE1586"/>
      <c r="DF1586"/>
      <c r="DG1586"/>
      <c r="DH1586"/>
      <c r="DI1586"/>
      <c r="DJ1586"/>
      <c r="DK1586"/>
      <c r="DL1586"/>
      <c r="DM1586"/>
      <c r="DN1586"/>
      <c r="DO1586"/>
      <c r="DP1586"/>
      <c r="DQ1586"/>
      <c r="DR1586"/>
      <c r="DS1586"/>
      <c r="DT1586"/>
      <c r="DU1586"/>
      <c r="DV1586"/>
      <c r="DW1586"/>
      <c r="DX1586"/>
      <c r="DY1586"/>
      <c r="DZ1586"/>
      <c r="EA1586"/>
      <c r="EB1586"/>
      <c r="EC1586"/>
      <c r="ED1586"/>
      <c r="EE1586"/>
      <c r="EF1586"/>
      <c r="EG1586"/>
      <c r="EH1586"/>
      <c r="EI1586"/>
      <c r="EJ1586"/>
      <c r="EK1586"/>
      <c r="EL1586"/>
      <c r="EM1586"/>
      <c r="EN1586"/>
      <c r="EO1586"/>
      <c r="EP1586"/>
      <c r="EQ1586"/>
      <c r="ER1586"/>
      <c r="ES1586"/>
    </row>
    <row r="1587" spans="1:149">
      <c r="A1587"/>
      <c r="B1587"/>
      <c r="C1587"/>
      <c r="D1587"/>
      <c r="E1587"/>
      <c r="F1587"/>
      <c r="G1587"/>
      <c r="H1587"/>
      <c r="I1587"/>
      <c r="J1587"/>
      <c r="K1587"/>
      <c r="L1587"/>
      <c r="M1587"/>
      <c r="N1587"/>
      <c r="O1587"/>
      <c r="P1587"/>
      <c r="Q1587"/>
      <c r="R1587"/>
      <c r="S1587"/>
      <c r="T1587"/>
      <c r="U1587"/>
      <c r="V1587"/>
      <c r="W1587"/>
      <c r="X1587"/>
      <c r="Y1587"/>
      <c r="Z1587"/>
      <c r="AA1587"/>
      <c r="AB1587"/>
      <c r="AC1587"/>
      <c r="AD1587"/>
      <c r="AE1587"/>
      <c r="AF1587"/>
      <c r="AG1587"/>
      <c r="AH1587"/>
      <c r="AI1587"/>
      <c r="AJ1587"/>
      <c r="AK1587"/>
      <c r="AL1587"/>
      <c r="AM1587"/>
      <c r="AN1587"/>
      <c r="AO1587"/>
      <c r="AP1587"/>
      <c r="AQ1587"/>
      <c r="AR1587"/>
      <c r="AS1587"/>
      <c r="AT1587"/>
      <c r="AU1587"/>
      <c r="AV1587"/>
      <c r="AW1587"/>
      <c r="AX1587"/>
      <c r="AY1587"/>
      <c r="AZ1587"/>
      <c r="BA1587"/>
      <c r="BB1587"/>
      <c r="BC1587"/>
      <c r="BD1587"/>
      <c r="BE1587"/>
      <c r="BF1587"/>
      <c r="BG1587"/>
      <c r="BH1587"/>
      <c r="BI1587"/>
      <c r="BJ1587"/>
      <c r="BK1587"/>
      <c r="BL1587"/>
      <c r="BM1587"/>
      <c r="BN1587"/>
      <c r="BO1587"/>
      <c r="BP1587"/>
      <c r="BQ1587"/>
      <c r="BR1587"/>
      <c r="BS1587"/>
      <c r="BT1587"/>
      <c r="BU1587"/>
      <c r="BV1587"/>
      <c r="BW1587"/>
      <c r="BX1587"/>
      <c r="BY1587"/>
      <c r="BZ1587"/>
      <c r="CA1587"/>
      <c r="CB1587"/>
      <c r="CC1587"/>
      <c r="CD1587"/>
      <c r="CE1587"/>
      <c r="CF1587"/>
      <c r="CG1587"/>
      <c r="CH1587"/>
      <c r="CI1587"/>
      <c r="CJ1587"/>
      <c r="CK1587"/>
      <c r="CL1587"/>
      <c r="CM1587"/>
      <c r="CN1587"/>
      <c r="CO1587"/>
      <c r="CP1587"/>
      <c r="CQ1587"/>
      <c r="CR1587"/>
      <c r="CS1587"/>
      <c r="CT1587"/>
      <c r="CU1587"/>
      <c r="CV1587"/>
      <c r="CW1587"/>
      <c r="CX1587"/>
      <c r="CY1587"/>
      <c r="CZ1587"/>
      <c r="DA1587"/>
      <c r="DB1587"/>
      <c r="DC1587"/>
      <c r="DD1587"/>
      <c r="DE1587"/>
      <c r="DF1587"/>
      <c r="DG1587"/>
      <c r="DH1587"/>
      <c r="DI1587"/>
      <c r="DJ1587"/>
      <c r="DK1587"/>
      <c r="DL1587"/>
      <c r="DM1587"/>
      <c r="DN1587"/>
      <c r="DO1587"/>
      <c r="DP1587"/>
      <c r="DQ1587"/>
      <c r="DR1587"/>
      <c r="DS1587"/>
      <c r="DT1587"/>
      <c r="DU1587"/>
      <c r="DV1587"/>
      <c r="DW1587"/>
      <c r="DX1587"/>
      <c r="DY1587"/>
      <c r="DZ1587"/>
      <c r="EA1587"/>
      <c r="EB1587"/>
      <c r="EC1587"/>
      <c r="ED1587"/>
      <c r="EE1587"/>
      <c r="EF1587"/>
      <c r="EG1587"/>
      <c r="EH1587"/>
      <c r="EI1587"/>
      <c r="EJ1587"/>
      <c r="EK1587"/>
      <c r="EL1587"/>
      <c r="EM1587"/>
      <c r="EN1587"/>
      <c r="EO1587"/>
      <c r="EP1587"/>
      <c r="EQ1587"/>
      <c r="ER1587"/>
      <c r="ES1587"/>
    </row>
    <row r="1588" spans="1:149">
      <c r="A1588"/>
      <c r="B1588"/>
      <c r="C1588"/>
      <c r="D1588"/>
      <c r="E1588"/>
      <c r="F1588"/>
      <c r="G1588"/>
      <c r="H1588"/>
      <c r="I1588"/>
      <c r="J1588"/>
      <c r="K1588"/>
      <c r="L1588"/>
      <c r="M1588"/>
      <c r="N1588"/>
      <c r="O1588"/>
      <c r="P1588"/>
      <c r="Q1588"/>
      <c r="R1588"/>
      <c r="S1588"/>
      <c r="T1588"/>
      <c r="U1588"/>
      <c r="V1588"/>
      <c r="W1588"/>
      <c r="X1588"/>
      <c r="Y1588"/>
      <c r="Z1588"/>
      <c r="AA1588"/>
      <c r="AB1588"/>
      <c r="AC1588"/>
      <c r="AD1588"/>
      <c r="AE1588"/>
      <c r="AF1588"/>
      <c r="AG1588"/>
      <c r="AH1588"/>
      <c r="AI1588"/>
      <c r="AJ1588"/>
      <c r="AK1588"/>
      <c r="AL1588"/>
      <c r="AM1588"/>
      <c r="AN1588"/>
      <c r="AO1588"/>
      <c r="AP1588"/>
      <c r="AQ1588"/>
      <c r="AR1588"/>
      <c r="AS1588"/>
      <c r="AT1588"/>
      <c r="AU1588"/>
      <c r="AV1588"/>
      <c r="AW1588"/>
      <c r="AX1588"/>
      <c r="AY1588"/>
      <c r="AZ1588"/>
      <c r="BA1588"/>
      <c r="BB1588"/>
      <c r="BC1588"/>
      <c r="BD1588"/>
      <c r="BE1588"/>
      <c r="BF1588"/>
      <c r="BG1588"/>
      <c r="BH1588"/>
      <c r="BI1588"/>
      <c r="BJ1588"/>
      <c r="BK1588"/>
      <c r="BL1588"/>
      <c r="BM1588"/>
      <c r="BN1588"/>
      <c r="BO1588"/>
      <c r="BP1588"/>
      <c r="BQ1588"/>
      <c r="BR1588"/>
      <c r="BS1588"/>
      <c r="BT1588"/>
      <c r="BU1588"/>
      <c r="BV1588"/>
      <c r="BW1588"/>
      <c r="BX1588"/>
      <c r="BY1588"/>
      <c r="BZ1588"/>
      <c r="CA1588"/>
      <c r="CB1588"/>
      <c r="CC1588"/>
      <c r="CD1588"/>
      <c r="CE1588"/>
      <c r="CF1588"/>
      <c r="CG1588"/>
      <c r="CH1588"/>
      <c r="CI1588"/>
      <c r="CJ1588"/>
      <c r="CK1588"/>
      <c r="CL1588"/>
      <c r="CM1588"/>
      <c r="CN1588"/>
      <c r="CO1588"/>
      <c r="CP1588"/>
      <c r="CQ1588"/>
      <c r="CR1588"/>
      <c r="CS1588"/>
      <c r="CT1588"/>
      <c r="CU1588"/>
      <c r="CV1588"/>
      <c r="CW1588"/>
      <c r="CX1588"/>
      <c r="CY1588"/>
      <c r="CZ1588"/>
      <c r="DA1588"/>
      <c r="DB1588"/>
      <c r="DC1588"/>
      <c r="DD1588"/>
      <c r="DE1588"/>
      <c r="DF1588"/>
      <c r="DG1588"/>
      <c r="DH1588"/>
      <c r="DI1588"/>
      <c r="DJ1588"/>
      <c r="DK1588"/>
      <c r="DL1588"/>
      <c r="DM1588"/>
      <c r="DN1588"/>
      <c r="DO1588"/>
      <c r="DP1588"/>
      <c r="DQ1588"/>
      <c r="DR1588"/>
      <c r="DS1588"/>
      <c r="DT1588"/>
      <c r="DU1588"/>
      <c r="DV1588"/>
      <c r="DW1588"/>
      <c r="DX1588"/>
      <c r="DY1588"/>
      <c r="DZ1588"/>
      <c r="EA1588"/>
      <c r="EB1588"/>
      <c r="EC1588"/>
      <c r="ED1588"/>
      <c r="EE1588"/>
      <c r="EF1588"/>
      <c r="EG1588"/>
      <c r="EH1588"/>
      <c r="EI1588"/>
      <c r="EJ1588"/>
      <c r="EK1588"/>
      <c r="EL1588"/>
      <c r="EM1588"/>
      <c r="EN1588"/>
      <c r="EO1588"/>
      <c r="EP1588"/>
      <c r="EQ1588"/>
      <c r="ER1588"/>
      <c r="ES1588"/>
    </row>
    <row r="1589" spans="1:149">
      <c r="A1589"/>
      <c r="B1589"/>
      <c r="C1589"/>
      <c r="D1589"/>
      <c r="E1589"/>
      <c r="F1589"/>
      <c r="G1589"/>
      <c r="H1589"/>
      <c r="I1589"/>
      <c r="J1589"/>
      <c r="K1589"/>
      <c r="L1589"/>
      <c r="M1589"/>
      <c r="N1589"/>
      <c r="O1589"/>
      <c r="P1589"/>
      <c r="Q1589"/>
      <c r="R1589"/>
      <c r="S1589"/>
      <c r="T1589"/>
      <c r="U1589"/>
      <c r="V1589"/>
      <c r="W1589"/>
      <c r="X1589"/>
      <c r="Y1589"/>
      <c r="Z1589"/>
      <c r="AA1589"/>
      <c r="AB1589"/>
      <c r="AC1589"/>
      <c r="AD1589"/>
      <c r="AE1589"/>
      <c r="AF1589"/>
      <c r="AG1589"/>
      <c r="AH1589"/>
      <c r="AI1589"/>
      <c r="AJ1589"/>
      <c r="AK1589"/>
      <c r="AL1589"/>
      <c r="AM1589"/>
      <c r="AN1589"/>
      <c r="AO1589"/>
      <c r="AP1589"/>
      <c r="AQ1589"/>
      <c r="AR1589"/>
      <c r="AS1589"/>
      <c r="AT1589"/>
      <c r="AU1589"/>
      <c r="AV1589"/>
      <c r="AW1589"/>
      <c r="AX1589"/>
      <c r="AY1589"/>
      <c r="AZ1589"/>
      <c r="BA1589"/>
      <c r="BB1589"/>
      <c r="BC1589"/>
      <c r="BD1589"/>
      <c r="BE1589"/>
      <c r="BF1589"/>
      <c r="BG1589"/>
      <c r="BH1589"/>
      <c r="BI1589"/>
      <c r="BJ1589"/>
      <c r="BK1589"/>
      <c r="BL1589"/>
      <c r="BM1589"/>
      <c r="BN1589"/>
      <c r="BO1589"/>
      <c r="BP1589"/>
      <c r="BQ1589"/>
      <c r="BR1589"/>
      <c r="BS1589"/>
      <c r="BT1589"/>
      <c r="BU1589"/>
      <c r="BV1589"/>
      <c r="BW1589"/>
      <c r="BX1589"/>
      <c r="BY1589"/>
      <c r="BZ1589"/>
      <c r="CA1589"/>
      <c r="CB1589"/>
      <c r="CC1589"/>
      <c r="CD1589"/>
      <c r="CE1589"/>
      <c r="CF1589"/>
      <c r="CG1589"/>
      <c r="CH1589"/>
      <c r="CI1589"/>
      <c r="CJ1589"/>
      <c r="CK1589"/>
      <c r="CL1589"/>
      <c r="CM1589"/>
      <c r="CN1589"/>
      <c r="CO1589"/>
      <c r="CP1589"/>
      <c r="CQ1589"/>
      <c r="CR1589"/>
      <c r="CS1589"/>
      <c r="CT1589"/>
      <c r="CU1589"/>
      <c r="CV1589"/>
      <c r="CW1589"/>
      <c r="CX1589"/>
      <c r="CY1589"/>
      <c r="CZ1589"/>
      <c r="DA1589"/>
      <c r="DB1589"/>
      <c r="DC1589"/>
      <c r="DD1589"/>
      <c r="DE1589"/>
      <c r="DF1589"/>
      <c r="DG1589"/>
      <c r="DH1589"/>
      <c r="DI1589"/>
      <c r="DJ1589"/>
      <c r="DK1589"/>
      <c r="DL1589"/>
      <c r="DM1589"/>
      <c r="DN1589"/>
      <c r="DO1589"/>
      <c r="DP1589"/>
      <c r="DQ1589"/>
      <c r="DR1589"/>
      <c r="DS1589"/>
      <c r="DT1589"/>
      <c r="DU1589"/>
      <c r="DV1589"/>
      <c r="DW1589"/>
      <c r="DX1589"/>
      <c r="DY1589"/>
      <c r="DZ1589"/>
      <c r="EA1589"/>
      <c r="EB1589"/>
      <c r="EC1589"/>
      <c r="ED1589"/>
      <c r="EE1589"/>
      <c r="EF1589"/>
      <c r="EG1589"/>
      <c r="EH1589"/>
      <c r="EI1589"/>
      <c r="EJ1589"/>
      <c r="EK1589"/>
      <c r="EL1589"/>
      <c r="EM1589"/>
      <c r="EN1589"/>
      <c r="EO1589"/>
      <c r="EP1589"/>
      <c r="EQ1589"/>
      <c r="ER1589"/>
      <c r="ES1589"/>
    </row>
    <row r="1590" spans="1:149">
      <c r="A1590"/>
      <c r="B1590"/>
      <c r="C1590"/>
      <c r="D1590"/>
      <c r="E1590"/>
      <c r="F1590"/>
      <c r="G1590"/>
      <c r="H1590"/>
      <c r="I1590"/>
      <c r="J1590"/>
      <c r="K1590"/>
      <c r="L1590"/>
      <c r="M1590"/>
      <c r="N1590"/>
      <c r="O1590"/>
      <c r="P1590"/>
      <c r="Q1590"/>
      <c r="R1590"/>
      <c r="S1590"/>
      <c r="T1590"/>
      <c r="U1590"/>
      <c r="V1590"/>
      <c r="W1590"/>
      <c r="X1590"/>
      <c r="Y1590"/>
      <c r="Z1590"/>
      <c r="AA1590"/>
      <c r="AB1590"/>
      <c r="AC1590"/>
      <c r="AD1590"/>
      <c r="AE1590"/>
      <c r="AF1590"/>
      <c r="AG1590"/>
      <c r="AH1590"/>
      <c r="AI1590"/>
      <c r="AJ1590"/>
      <c r="AK1590"/>
      <c r="AL1590"/>
      <c r="AM1590"/>
      <c r="AN1590"/>
      <c r="AO1590"/>
      <c r="AP1590"/>
      <c r="AQ1590"/>
      <c r="AR1590"/>
      <c r="AS1590"/>
      <c r="AT1590"/>
      <c r="AU1590"/>
      <c r="AV1590"/>
      <c r="AW1590"/>
      <c r="AX1590"/>
      <c r="AY1590"/>
      <c r="AZ1590"/>
      <c r="BA1590"/>
      <c r="BB1590"/>
      <c r="BC1590"/>
      <c r="BD1590"/>
      <c r="BE1590"/>
      <c r="BF1590"/>
      <c r="BG1590"/>
      <c r="BH1590"/>
      <c r="BI1590"/>
      <c r="BJ1590"/>
      <c r="BK1590"/>
      <c r="BL1590"/>
      <c r="BM1590"/>
      <c r="BN1590"/>
      <c r="BO1590"/>
      <c r="BP1590"/>
      <c r="BQ1590"/>
      <c r="BR1590"/>
      <c r="BS1590"/>
      <c r="BT1590"/>
      <c r="BU1590"/>
      <c r="BV1590"/>
      <c r="BW1590"/>
      <c r="BX1590"/>
      <c r="BY1590"/>
      <c r="BZ1590"/>
      <c r="CA1590"/>
      <c r="CB1590"/>
      <c r="CC1590"/>
      <c r="CD1590"/>
      <c r="CE1590"/>
      <c r="CF1590"/>
      <c r="CG1590"/>
      <c r="CH1590"/>
      <c r="CI1590"/>
      <c r="CJ1590"/>
      <c r="CK1590"/>
      <c r="CL1590"/>
      <c r="CM1590"/>
      <c r="CN1590"/>
      <c r="CO1590"/>
      <c r="CP1590"/>
      <c r="CQ1590"/>
      <c r="CR1590"/>
      <c r="CS1590"/>
      <c r="CT1590"/>
      <c r="CU1590"/>
      <c r="CV1590"/>
      <c r="CW1590"/>
      <c r="CX1590"/>
      <c r="CY1590"/>
      <c r="CZ1590"/>
      <c r="DA1590"/>
      <c r="DB1590"/>
      <c r="DC1590"/>
      <c r="DD1590"/>
      <c r="DE1590"/>
      <c r="DF1590"/>
      <c r="DG1590"/>
      <c r="DH1590"/>
      <c r="DI1590"/>
      <c r="DJ1590"/>
      <c r="DK1590"/>
      <c r="DL1590"/>
      <c r="DM1590"/>
      <c r="DN1590"/>
      <c r="DO1590"/>
      <c r="DP1590"/>
      <c r="DQ1590"/>
      <c r="DR1590"/>
      <c r="DS1590"/>
      <c r="DT1590"/>
      <c r="DU1590"/>
      <c r="DV1590"/>
      <c r="DW1590"/>
      <c r="DX1590"/>
      <c r="DY1590"/>
      <c r="DZ1590"/>
      <c r="EA1590"/>
      <c r="EB1590"/>
      <c r="EC1590"/>
      <c r="ED1590"/>
      <c r="EE1590"/>
      <c r="EF1590"/>
      <c r="EG1590"/>
      <c r="EH1590"/>
      <c r="EI1590"/>
      <c r="EJ1590"/>
      <c r="EK1590"/>
      <c r="EL1590"/>
      <c r="EM1590"/>
      <c r="EN1590"/>
      <c r="EO1590"/>
      <c r="EP1590"/>
      <c r="EQ1590"/>
      <c r="ER1590"/>
      <c r="ES1590"/>
    </row>
    <row r="1591" spans="1:149">
      <c r="A1591"/>
      <c r="B1591"/>
      <c r="C1591"/>
      <c r="D1591"/>
      <c r="E1591"/>
      <c r="F1591"/>
      <c r="G1591"/>
      <c r="H1591"/>
      <c r="I1591"/>
      <c r="J1591"/>
      <c r="K1591"/>
      <c r="L1591"/>
      <c r="M1591"/>
      <c r="N1591"/>
      <c r="O1591"/>
      <c r="P1591"/>
      <c r="Q1591"/>
      <c r="R1591"/>
      <c r="S1591"/>
      <c r="T1591"/>
      <c r="U1591"/>
      <c r="V1591"/>
      <c r="W1591"/>
      <c r="X1591"/>
      <c r="Y1591"/>
      <c r="Z1591"/>
      <c r="AA1591"/>
      <c r="AB1591"/>
      <c r="AC1591"/>
      <c r="AD1591"/>
      <c r="AE1591"/>
      <c r="AF1591"/>
      <c r="AG1591"/>
      <c r="AH1591"/>
      <c r="AI1591"/>
      <c r="AJ1591"/>
      <c r="AK1591"/>
      <c r="AL1591"/>
      <c r="AM1591"/>
      <c r="AN1591"/>
      <c r="AO1591"/>
      <c r="AP1591"/>
      <c r="AQ1591"/>
      <c r="AR1591"/>
      <c r="AS1591"/>
      <c r="AT1591"/>
      <c r="AU1591"/>
      <c r="AV1591"/>
      <c r="AW1591"/>
      <c r="AX1591"/>
      <c r="AY1591"/>
      <c r="AZ1591"/>
      <c r="BA1591"/>
      <c r="BB1591"/>
      <c r="BC1591"/>
      <c r="BD1591"/>
      <c r="BE1591"/>
      <c r="BF1591"/>
      <c r="BG1591"/>
      <c r="BH1591"/>
      <c r="BI1591"/>
      <c r="BJ1591"/>
      <c r="BK1591"/>
      <c r="BL1591"/>
      <c r="BM1591"/>
      <c r="BN1591"/>
      <c r="BO1591"/>
      <c r="BP1591"/>
      <c r="BQ1591"/>
      <c r="BR1591"/>
      <c r="BS1591"/>
      <c r="BT1591"/>
      <c r="BU1591"/>
      <c r="BV1591"/>
      <c r="BW1591"/>
      <c r="BX1591"/>
      <c r="BY1591"/>
      <c r="BZ1591"/>
      <c r="CA1591"/>
      <c r="CB1591"/>
      <c r="CC1591"/>
      <c r="CD1591"/>
      <c r="CE1591"/>
      <c r="CF1591"/>
      <c r="CG1591"/>
      <c r="CH1591"/>
      <c r="CI1591"/>
      <c r="CJ1591"/>
      <c r="CK1591"/>
      <c r="CL1591"/>
      <c r="CM1591"/>
      <c r="CN1591"/>
      <c r="CO1591"/>
      <c r="CP1591"/>
      <c r="CQ1591"/>
      <c r="CR1591"/>
      <c r="CS1591"/>
      <c r="CT1591"/>
      <c r="CU1591"/>
      <c r="CV1591"/>
      <c r="CW1591"/>
      <c r="CX1591"/>
      <c r="CY1591"/>
      <c r="CZ1591"/>
      <c r="DA1591"/>
      <c r="DB1591"/>
      <c r="DC1591"/>
      <c r="DD1591"/>
      <c r="DE1591"/>
      <c r="DF1591"/>
      <c r="DG1591"/>
      <c r="DH1591"/>
      <c r="DI1591"/>
      <c r="DJ1591"/>
      <c r="DK1591"/>
      <c r="DL1591"/>
      <c r="DM1591"/>
      <c r="DN1591"/>
      <c r="DO1591"/>
      <c r="DP1591"/>
      <c r="DQ1591"/>
      <c r="DR1591"/>
      <c r="DS1591"/>
      <c r="DT1591"/>
      <c r="DU1591"/>
      <c r="DV1591"/>
      <c r="DW1591"/>
      <c r="DX1591"/>
      <c r="DY1591"/>
      <c r="DZ1591"/>
      <c r="EA1591"/>
      <c r="EB1591"/>
      <c r="EC1591"/>
      <c r="ED1591"/>
      <c r="EE1591"/>
      <c r="EF1591"/>
      <c r="EG1591"/>
      <c r="EH1591"/>
      <c r="EI1591"/>
      <c r="EJ1591"/>
      <c r="EK1591"/>
      <c r="EL1591"/>
      <c r="EM1591"/>
      <c r="EN1591"/>
      <c r="EO1591"/>
      <c r="EP1591"/>
      <c r="EQ1591"/>
      <c r="ER1591"/>
      <c r="ES1591"/>
    </row>
    <row r="1592" spans="1:149">
      <c r="A1592"/>
      <c r="B1592"/>
      <c r="C1592"/>
      <c r="D1592"/>
      <c r="E1592"/>
      <c r="F1592"/>
      <c r="G1592"/>
      <c r="H1592"/>
      <c r="I1592"/>
      <c r="J1592"/>
      <c r="K1592"/>
      <c r="L1592"/>
      <c r="M1592"/>
      <c r="N1592"/>
      <c r="O1592"/>
      <c r="P1592"/>
      <c r="Q1592"/>
      <c r="R1592"/>
      <c r="S1592"/>
      <c r="T1592"/>
      <c r="U1592"/>
      <c r="V1592"/>
      <c r="W1592"/>
      <c r="X1592"/>
      <c r="Y1592"/>
      <c r="Z1592"/>
      <c r="AA1592"/>
      <c r="AB1592"/>
      <c r="AC1592"/>
      <c r="AD1592"/>
      <c r="AE1592"/>
      <c r="AF1592"/>
      <c r="AG1592"/>
      <c r="AH1592"/>
      <c r="AI1592"/>
      <c r="AJ1592"/>
      <c r="AK1592"/>
      <c r="AL1592"/>
      <c r="AM1592"/>
      <c r="AN1592"/>
      <c r="AO1592"/>
      <c r="AP1592"/>
      <c r="AQ1592"/>
      <c r="AR1592"/>
      <c r="AS1592"/>
      <c r="AT1592"/>
      <c r="AU1592"/>
      <c r="AV1592"/>
      <c r="AW1592"/>
      <c r="AX1592"/>
      <c r="AY1592"/>
      <c r="AZ1592"/>
      <c r="BA1592"/>
      <c r="BB1592"/>
      <c r="BC1592"/>
      <c r="BD1592"/>
      <c r="BE1592"/>
      <c r="BF1592"/>
      <c r="BG1592"/>
      <c r="BH1592"/>
      <c r="BI1592"/>
      <c r="BJ1592"/>
      <c r="BK1592"/>
      <c r="BL1592"/>
      <c r="BM1592"/>
      <c r="BN1592"/>
      <c r="BO1592"/>
      <c r="BP1592"/>
      <c r="BQ1592"/>
      <c r="BR1592"/>
      <c r="BS1592"/>
      <c r="BT1592"/>
      <c r="BU1592"/>
      <c r="BV1592"/>
      <c r="BW1592"/>
      <c r="BX1592"/>
      <c r="BY1592"/>
      <c r="BZ1592"/>
      <c r="CA1592"/>
      <c r="CB1592"/>
      <c r="CC1592"/>
      <c r="CD1592"/>
      <c r="CE1592"/>
      <c r="CF1592"/>
      <c r="CG1592"/>
      <c r="CH1592"/>
      <c r="CI1592"/>
      <c r="CJ1592"/>
      <c r="CK1592"/>
      <c r="CL1592"/>
      <c r="CM1592"/>
      <c r="CN1592"/>
      <c r="CO1592"/>
      <c r="CP1592"/>
      <c r="CQ1592"/>
      <c r="CR1592"/>
      <c r="CS1592"/>
      <c r="CT1592"/>
      <c r="CU1592"/>
      <c r="CV1592"/>
      <c r="CW1592"/>
      <c r="CX1592"/>
      <c r="CY1592"/>
      <c r="CZ1592"/>
      <c r="DA1592"/>
      <c r="DB1592"/>
      <c r="DC1592"/>
      <c r="DD1592"/>
      <c r="DE1592"/>
      <c r="DF1592"/>
      <c r="DG1592"/>
      <c r="DH1592"/>
      <c r="DI1592"/>
      <c r="DJ1592"/>
      <c r="DK1592"/>
      <c r="DL1592"/>
      <c r="DM1592"/>
      <c r="DN1592"/>
      <c r="DO1592"/>
      <c r="DP1592"/>
      <c r="DQ1592"/>
      <c r="DR1592"/>
      <c r="DS1592"/>
      <c r="DT1592"/>
      <c r="DU1592"/>
      <c r="DV1592"/>
      <c r="DW1592"/>
      <c r="DX1592"/>
      <c r="DY1592"/>
      <c r="DZ1592"/>
      <c r="EA1592"/>
      <c r="EB1592"/>
      <c r="EC1592"/>
      <c r="ED1592"/>
      <c r="EE1592"/>
      <c r="EF1592"/>
      <c r="EG1592"/>
      <c r="EH1592"/>
      <c r="EI1592"/>
      <c r="EJ1592"/>
      <c r="EK1592"/>
      <c r="EL1592"/>
      <c r="EM1592"/>
      <c r="EN1592"/>
      <c r="EO1592"/>
      <c r="EP1592"/>
      <c r="EQ1592"/>
      <c r="ER1592"/>
      <c r="ES1592"/>
    </row>
    <row r="1593" spans="1:149">
      <c r="A1593"/>
      <c r="B1593"/>
      <c r="C1593"/>
      <c r="D1593"/>
      <c r="E1593"/>
      <c r="F1593"/>
      <c r="G1593"/>
      <c r="H1593"/>
      <c r="I1593"/>
      <c r="J1593"/>
      <c r="K1593"/>
      <c r="L1593"/>
      <c r="M1593"/>
      <c r="N1593"/>
      <c r="O1593"/>
      <c r="P1593"/>
      <c r="Q1593"/>
      <c r="R1593"/>
      <c r="S1593"/>
      <c r="T1593"/>
      <c r="U1593"/>
      <c r="V1593"/>
      <c r="W1593"/>
      <c r="X1593"/>
      <c r="Y1593"/>
      <c r="Z1593"/>
      <c r="AA1593"/>
      <c r="AB1593"/>
      <c r="AC1593"/>
      <c r="AD1593"/>
      <c r="AE1593"/>
      <c r="AF1593"/>
      <c r="AG1593"/>
      <c r="AH1593"/>
      <c r="AI1593"/>
      <c r="AJ1593"/>
      <c r="AK1593"/>
      <c r="AL1593"/>
      <c r="AM1593"/>
      <c r="AN1593"/>
      <c r="AO1593"/>
      <c r="AP1593"/>
      <c r="AQ1593"/>
      <c r="AR1593"/>
      <c r="AS1593"/>
      <c r="AT1593"/>
      <c r="AU1593"/>
      <c r="AV1593"/>
      <c r="AW1593"/>
      <c r="AX1593"/>
      <c r="AY1593"/>
      <c r="AZ1593"/>
      <c r="BA1593"/>
      <c r="BB1593"/>
      <c r="BC1593"/>
      <c r="BD1593"/>
      <c r="BE1593"/>
      <c r="BF1593"/>
      <c r="BG1593"/>
      <c r="BH1593"/>
      <c r="BI1593"/>
      <c r="BJ1593"/>
      <c r="BK1593"/>
      <c r="BL1593"/>
      <c r="BM1593"/>
      <c r="BN1593"/>
      <c r="BO1593"/>
      <c r="BP1593"/>
      <c r="BQ1593"/>
      <c r="BR1593"/>
      <c r="BS1593"/>
      <c r="BT1593"/>
      <c r="BU1593"/>
      <c r="BV1593"/>
      <c r="BW1593"/>
      <c r="BX1593"/>
      <c r="BY1593"/>
      <c r="BZ1593"/>
      <c r="CA1593"/>
      <c r="CB1593"/>
      <c r="CC1593"/>
      <c r="CD1593"/>
      <c r="CE1593"/>
      <c r="CF1593"/>
      <c r="CG1593"/>
      <c r="CH1593"/>
      <c r="CI1593"/>
      <c r="CJ1593"/>
      <c r="CK1593"/>
      <c r="CL1593"/>
      <c r="CM1593"/>
      <c r="CN1593"/>
      <c r="CO1593"/>
      <c r="CP1593"/>
      <c r="CQ1593"/>
      <c r="CR1593"/>
      <c r="CS1593"/>
      <c r="CT1593"/>
      <c r="CU1593"/>
      <c r="CV1593"/>
      <c r="CW1593"/>
      <c r="CX1593"/>
      <c r="CY1593"/>
      <c r="CZ1593"/>
      <c r="DA1593"/>
      <c r="DB1593"/>
      <c r="DC1593"/>
      <c r="DD1593"/>
      <c r="DE1593"/>
      <c r="DF1593"/>
      <c r="DG1593"/>
      <c r="DH1593"/>
      <c r="DI1593"/>
      <c r="DJ1593"/>
      <c r="DK1593"/>
      <c r="DL1593"/>
      <c r="DM1593"/>
      <c r="DN1593"/>
      <c r="DO1593"/>
      <c r="DP1593"/>
      <c r="DQ1593"/>
      <c r="DR1593"/>
      <c r="DS1593"/>
      <c r="DT1593"/>
      <c r="DU1593"/>
      <c r="DV1593"/>
      <c r="DW1593"/>
      <c r="DX1593"/>
      <c r="DY1593"/>
      <c r="DZ1593"/>
      <c r="EA1593"/>
      <c r="EB1593"/>
      <c r="EC1593"/>
      <c r="ED1593"/>
      <c r="EE1593"/>
      <c r="EF1593"/>
      <c r="EG1593"/>
      <c r="EH1593"/>
      <c r="EI1593"/>
      <c r="EJ1593"/>
      <c r="EK1593"/>
      <c r="EL1593"/>
      <c r="EM1593"/>
      <c r="EN1593"/>
      <c r="EO1593"/>
      <c r="EP1593"/>
      <c r="EQ1593"/>
      <c r="ER1593"/>
      <c r="ES1593"/>
    </row>
    <row r="1594" spans="1:149">
      <c r="A1594"/>
      <c r="B1594"/>
      <c r="C1594"/>
      <c r="D1594"/>
      <c r="E1594"/>
      <c r="F1594"/>
      <c r="G1594"/>
      <c r="H1594"/>
      <c r="I1594"/>
      <c r="J1594"/>
      <c r="K1594"/>
      <c r="L1594"/>
      <c r="M1594"/>
      <c r="N1594"/>
      <c r="O1594"/>
      <c r="P1594"/>
      <c r="Q1594"/>
      <c r="R1594"/>
      <c r="S1594"/>
      <c r="T1594"/>
      <c r="U1594"/>
      <c r="V1594"/>
      <c r="W1594"/>
      <c r="X1594"/>
      <c r="Y1594"/>
      <c r="Z1594"/>
      <c r="AA1594"/>
      <c r="AB1594"/>
      <c r="AC1594"/>
      <c r="AD1594"/>
      <c r="AE1594"/>
      <c r="AF1594"/>
      <c r="AG1594"/>
      <c r="AH1594"/>
      <c r="AI1594"/>
      <c r="AJ1594"/>
      <c r="AK1594"/>
      <c r="AL1594"/>
      <c r="AM1594"/>
      <c r="AN1594"/>
      <c r="AO1594"/>
      <c r="AP1594"/>
      <c r="AQ1594"/>
      <c r="AR1594"/>
      <c r="AS1594"/>
      <c r="AT1594"/>
      <c r="AU1594"/>
      <c r="AV1594"/>
      <c r="AW1594"/>
      <c r="AX1594"/>
      <c r="AY1594"/>
      <c r="AZ1594"/>
      <c r="BA1594"/>
      <c r="BB1594"/>
      <c r="BC1594"/>
      <c r="BD1594"/>
      <c r="BE1594"/>
      <c r="BF1594"/>
      <c r="BG1594"/>
      <c r="BH1594"/>
      <c r="BI1594"/>
      <c r="BJ1594"/>
      <c r="BK1594"/>
      <c r="BL1594"/>
      <c r="BM1594"/>
      <c r="BN1594"/>
      <c r="BO1594"/>
      <c r="BP1594"/>
      <c r="BQ1594"/>
      <c r="BR1594"/>
      <c r="BS1594"/>
      <c r="BT1594"/>
      <c r="BU1594"/>
      <c r="BV1594"/>
      <c r="BW1594"/>
      <c r="BX1594"/>
      <c r="BY1594"/>
      <c r="BZ1594"/>
      <c r="CA1594"/>
      <c r="CB1594"/>
      <c r="CC1594"/>
      <c r="CD1594"/>
      <c r="CE1594"/>
      <c r="CF1594"/>
      <c r="CG1594"/>
      <c r="CH1594"/>
      <c r="CI1594"/>
      <c r="CJ1594"/>
      <c r="CK1594"/>
      <c r="CL1594"/>
      <c r="CM1594"/>
      <c r="CN1594"/>
      <c r="CO1594"/>
      <c r="CP1594"/>
      <c r="CQ1594"/>
      <c r="CR1594"/>
      <c r="CS1594"/>
      <c r="CT1594"/>
      <c r="CU1594"/>
      <c r="CV1594"/>
      <c r="CW1594"/>
      <c r="CX1594"/>
      <c r="CY1594"/>
      <c r="CZ1594"/>
      <c r="DA1594"/>
      <c r="DB1594"/>
      <c r="DC1594"/>
      <c r="DD1594"/>
      <c r="DE1594"/>
      <c r="DF1594"/>
      <c r="DG1594"/>
      <c r="DH1594"/>
      <c r="DI1594"/>
      <c r="DJ1594"/>
      <c r="DK1594"/>
      <c r="DL1594"/>
      <c r="DM1594"/>
      <c r="DN1594"/>
      <c r="DO1594"/>
      <c r="DP1594"/>
      <c r="DQ1594"/>
      <c r="DR1594"/>
      <c r="DS1594"/>
      <c r="DT1594"/>
      <c r="DU1594"/>
      <c r="DV1594"/>
      <c r="DW1594"/>
      <c r="DX1594"/>
      <c r="DY1594"/>
      <c r="DZ1594"/>
      <c r="EA1594"/>
      <c r="EB1594"/>
      <c r="EC1594"/>
      <c r="ED1594"/>
      <c r="EE1594"/>
      <c r="EF1594"/>
      <c r="EG1594"/>
      <c r="EH1594"/>
      <c r="EI1594"/>
      <c r="EJ1594"/>
      <c r="EK1594"/>
      <c r="EL1594"/>
      <c r="EM1594"/>
      <c r="EN1594"/>
      <c r="EO1594"/>
      <c r="EP1594"/>
      <c r="EQ1594"/>
      <c r="ER1594"/>
      <c r="ES1594"/>
    </row>
    <row r="1595" spans="1:149">
      <c r="A1595"/>
      <c r="B1595"/>
      <c r="C1595"/>
      <c r="D1595"/>
      <c r="E1595"/>
      <c r="F1595"/>
      <c r="G1595"/>
      <c r="H1595"/>
      <c r="I1595"/>
      <c r="J1595"/>
      <c r="K1595"/>
      <c r="L1595"/>
      <c r="M1595"/>
      <c r="N1595"/>
      <c r="O1595"/>
      <c r="P1595"/>
      <c r="Q1595"/>
      <c r="R1595"/>
      <c r="S1595"/>
      <c r="T1595"/>
      <c r="U1595"/>
      <c r="V1595"/>
      <c r="W1595"/>
      <c r="X1595"/>
      <c r="Y1595"/>
      <c r="Z1595"/>
      <c r="AA1595"/>
      <c r="AB1595"/>
      <c r="AC1595"/>
      <c r="AD1595"/>
      <c r="AE1595"/>
      <c r="AF1595"/>
      <c r="AG1595"/>
      <c r="AH1595"/>
      <c r="AI1595"/>
      <c r="AJ1595"/>
      <c r="AK1595"/>
      <c r="AL1595"/>
      <c r="AM1595"/>
      <c r="AN1595"/>
      <c r="AO1595"/>
      <c r="AP1595"/>
      <c r="AQ1595"/>
      <c r="AR1595"/>
      <c r="AS1595"/>
      <c r="AT1595"/>
      <c r="AU1595"/>
      <c r="AV1595"/>
      <c r="AW1595"/>
      <c r="AX1595"/>
      <c r="AY1595"/>
      <c r="AZ1595"/>
      <c r="BA1595"/>
      <c r="BB1595"/>
      <c r="BC1595"/>
      <c r="BD1595"/>
      <c r="BE1595"/>
      <c r="BF1595"/>
      <c r="BG1595"/>
      <c r="BH1595"/>
      <c r="BI1595"/>
      <c r="BJ1595"/>
      <c r="BK1595"/>
      <c r="BL1595"/>
      <c r="BM1595"/>
      <c r="BN1595"/>
      <c r="BO1595"/>
      <c r="BP1595"/>
      <c r="BQ1595"/>
      <c r="BR1595"/>
      <c r="BS1595"/>
      <c r="BT1595"/>
      <c r="BU1595"/>
      <c r="BV1595"/>
      <c r="BW1595"/>
      <c r="BX1595"/>
      <c r="BY1595"/>
      <c r="BZ1595"/>
      <c r="CA1595"/>
      <c r="CB1595"/>
      <c r="CC1595"/>
      <c r="CD1595"/>
      <c r="CE1595"/>
      <c r="CF1595"/>
      <c r="CG1595"/>
      <c r="CH1595"/>
      <c r="CI1595"/>
      <c r="CJ1595"/>
      <c r="CK1595"/>
      <c r="CL1595"/>
      <c r="CM1595"/>
      <c r="CN1595"/>
      <c r="CO1595"/>
      <c r="CP1595"/>
      <c r="CQ1595"/>
      <c r="CR1595"/>
      <c r="CS1595"/>
      <c r="CT1595"/>
      <c r="CU1595"/>
      <c r="CV1595"/>
      <c r="CW1595"/>
      <c r="CX1595"/>
      <c r="CY1595"/>
      <c r="CZ1595"/>
      <c r="DA1595"/>
      <c r="DB1595"/>
      <c r="DC1595"/>
      <c r="DD1595"/>
      <c r="DE1595"/>
      <c r="DF1595"/>
      <c r="DG1595"/>
      <c r="DH1595"/>
      <c r="DI1595"/>
      <c r="DJ1595"/>
      <c r="DK1595"/>
      <c r="DL1595"/>
      <c r="DM1595"/>
      <c r="DN1595"/>
      <c r="DO1595"/>
      <c r="DP1595"/>
      <c r="DQ1595"/>
      <c r="DR1595"/>
      <c r="DS1595"/>
      <c r="DT1595"/>
      <c r="DU1595"/>
      <c r="DV1595"/>
      <c r="DW1595"/>
      <c r="DX1595"/>
      <c r="DY1595"/>
      <c r="DZ1595"/>
      <c r="EA1595"/>
      <c r="EB1595"/>
      <c r="EC1595"/>
      <c r="ED1595"/>
      <c r="EE1595"/>
      <c r="EF1595"/>
      <c r="EG1595"/>
      <c r="EH1595"/>
      <c r="EI1595"/>
      <c r="EJ1595"/>
      <c r="EK1595"/>
      <c r="EL1595"/>
      <c r="EM1595"/>
      <c r="EN1595"/>
      <c r="EO1595"/>
      <c r="EP1595"/>
      <c r="EQ1595"/>
      <c r="ER1595"/>
      <c r="ES1595"/>
    </row>
    <row r="1596" spans="1:149">
      <c r="A1596"/>
      <c r="B1596"/>
      <c r="C1596"/>
      <c r="D1596"/>
      <c r="E1596"/>
      <c r="F1596"/>
      <c r="G1596"/>
      <c r="H1596"/>
      <c r="I1596"/>
      <c r="J1596"/>
      <c r="K1596"/>
      <c r="L1596"/>
      <c r="M1596"/>
      <c r="N1596"/>
      <c r="O1596"/>
      <c r="P1596"/>
      <c r="Q1596"/>
      <c r="R1596"/>
      <c r="S1596"/>
      <c r="T1596"/>
      <c r="U1596"/>
      <c r="V1596"/>
      <c r="W1596"/>
      <c r="X1596"/>
      <c r="Y1596"/>
      <c r="Z1596"/>
      <c r="AA1596"/>
      <c r="AB1596"/>
      <c r="AC1596"/>
      <c r="AD1596"/>
      <c r="AE1596"/>
      <c r="AF1596"/>
      <c r="AG1596"/>
      <c r="AH1596"/>
      <c r="AI1596"/>
      <c r="AJ1596"/>
      <c r="AK1596"/>
      <c r="AL1596"/>
      <c r="AM1596"/>
      <c r="AN1596"/>
      <c r="AO1596"/>
      <c r="AP1596"/>
      <c r="AQ1596"/>
      <c r="AR1596"/>
      <c r="AS1596"/>
      <c r="AT1596"/>
      <c r="AU1596"/>
      <c r="AV1596"/>
      <c r="AW1596"/>
      <c r="AX1596"/>
      <c r="AY1596"/>
      <c r="AZ1596"/>
      <c r="BA1596"/>
      <c r="BB1596"/>
      <c r="BC1596"/>
      <c r="BD1596"/>
      <c r="BE1596"/>
      <c r="BF1596"/>
      <c r="BG1596"/>
      <c r="BH1596"/>
      <c r="BI1596"/>
      <c r="BJ1596"/>
      <c r="BK1596"/>
      <c r="BL1596"/>
      <c r="BM1596"/>
      <c r="BN1596"/>
      <c r="BO1596"/>
      <c r="BP1596"/>
      <c r="BQ1596"/>
      <c r="BR1596"/>
      <c r="BS1596"/>
      <c r="BT1596"/>
      <c r="BU1596"/>
      <c r="BV1596"/>
      <c r="BW1596"/>
      <c r="BX1596"/>
      <c r="BY1596"/>
      <c r="BZ1596"/>
      <c r="CA1596"/>
      <c r="CB1596"/>
      <c r="CC1596"/>
      <c r="CD1596"/>
      <c r="CE1596"/>
      <c r="CF1596"/>
      <c r="CG1596"/>
      <c r="CH1596"/>
      <c r="CI1596"/>
      <c r="CJ1596"/>
      <c r="CK1596"/>
      <c r="CL1596"/>
      <c r="CM1596"/>
      <c r="CN1596"/>
      <c r="CO1596"/>
      <c r="CP1596"/>
      <c r="CQ1596"/>
      <c r="CR1596"/>
      <c r="CS1596"/>
      <c r="CT1596"/>
      <c r="CU1596"/>
      <c r="CV1596"/>
      <c r="CW1596"/>
      <c r="CX1596"/>
      <c r="CY1596"/>
      <c r="CZ1596"/>
      <c r="DA1596"/>
      <c r="DB1596"/>
      <c r="DC1596"/>
      <c r="DD1596"/>
      <c r="DE1596"/>
      <c r="DF1596"/>
      <c r="DG1596"/>
      <c r="DH1596"/>
      <c r="DI1596"/>
      <c r="DJ1596"/>
      <c r="DK1596"/>
      <c r="DL1596"/>
      <c r="DM1596"/>
      <c r="DN1596"/>
      <c r="DO1596"/>
      <c r="DP1596"/>
      <c r="DQ1596"/>
      <c r="DR1596"/>
      <c r="DS1596"/>
      <c r="DT1596"/>
      <c r="DU1596"/>
      <c r="DV1596"/>
      <c r="DW1596"/>
      <c r="DX1596"/>
      <c r="DY1596"/>
      <c r="DZ1596"/>
      <c r="EA1596"/>
      <c r="EB1596"/>
      <c r="EC1596"/>
      <c r="ED1596"/>
      <c r="EE1596"/>
      <c r="EF1596"/>
      <c r="EG1596"/>
      <c r="EH1596"/>
      <c r="EI1596"/>
      <c r="EJ1596"/>
      <c r="EK1596"/>
      <c r="EL1596"/>
      <c r="EM1596"/>
      <c r="EN1596"/>
      <c r="EO1596"/>
      <c r="EP1596"/>
      <c r="EQ1596"/>
      <c r="ER1596"/>
      <c r="ES1596"/>
    </row>
    <row r="1597" spans="1:149">
      <c r="A1597"/>
      <c r="B1597"/>
      <c r="C1597"/>
      <c r="D1597"/>
      <c r="E1597"/>
      <c r="F1597"/>
      <c r="G1597"/>
      <c r="H1597"/>
      <c r="I1597"/>
      <c r="J1597"/>
      <c r="K1597"/>
      <c r="L1597"/>
      <c r="M1597"/>
      <c r="N1597"/>
      <c r="O1597"/>
      <c r="P1597"/>
      <c r="Q1597"/>
      <c r="R1597"/>
      <c r="S1597"/>
      <c r="T1597"/>
      <c r="U1597"/>
      <c r="V1597"/>
      <c r="W1597"/>
      <c r="X1597"/>
      <c r="Y1597"/>
      <c r="Z1597"/>
      <c r="AA1597"/>
      <c r="AB1597"/>
      <c r="AC1597"/>
      <c r="AD1597"/>
      <c r="AE1597"/>
      <c r="AF1597"/>
      <c r="AG1597"/>
      <c r="AH1597"/>
      <c r="AI1597"/>
      <c r="AJ1597"/>
      <c r="AK1597"/>
      <c r="AL1597"/>
      <c r="AM1597"/>
      <c r="AN1597"/>
      <c r="AO1597"/>
      <c r="AP1597"/>
      <c r="AQ1597"/>
      <c r="AR1597"/>
      <c r="AS1597"/>
      <c r="AT1597"/>
      <c r="AU1597"/>
      <c r="AV1597"/>
      <c r="AW1597"/>
      <c r="AX1597"/>
      <c r="AY1597"/>
      <c r="AZ1597"/>
      <c r="BA1597"/>
      <c r="BB1597"/>
      <c r="BC1597"/>
      <c r="BD1597"/>
      <c r="BE1597"/>
      <c r="BF1597"/>
      <c r="BG1597"/>
      <c r="BH1597"/>
      <c r="BI1597"/>
      <c r="BJ1597"/>
      <c r="BK1597"/>
      <c r="BL1597"/>
      <c r="BM1597"/>
      <c r="BN1597"/>
      <c r="BO1597"/>
      <c r="BP1597"/>
      <c r="BQ1597"/>
      <c r="BR1597"/>
      <c r="BS1597"/>
      <c r="BT1597"/>
      <c r="BU1597"/>
      <c r="BV1597"/>
      <c r="BW1597"/>
      <c r="BX1597"/>
      <c r="BY1597"/>
      <c r="BZ1597"/>
      <c r="CA1597"/>
      <c r="CB1597"/>
      <c r="CC1597"/>
      <c r="CD1597"/>
      <c r="CE1597"/>
      <c r="CF1597"/>
      <c r="CG1597"/>
      <c r="CH1597"/>
      <c r="CI1597"/>
      <c r="CJ1597"/>
      <c r="CK1597"/>
      <c r="CL1597"/>
      <c r="CM1597"/>
      <c r="CN1597"/>
      <c r="CO1597"/>
      <c r="CP1597"/>
      <c r="CQ1597"/>
      <c r="CR1597"/>
      <c r="CS1597"/>
      <c r="CT1597"/>
      <c r="CU1597"/>
      <c r="CV1597"/>
      <c r="CW1597"/>
      <c r="CX1597"/>
      <c r="CY1597"/>
      <c r="CZ1597"/>
      <c r="DA1597"/>
      <c r="DB1597"/>
      <c r="DC1597"/>
      <c r="DD1597"/>
      <c r="DE1597"/>
      <c r="DF1597"/>
      <c r="DG1597"/>
      <c r="DH1597"/>
      <c r="DI1597"/>
      <c r="DJ1597"/>
      <c r="DK1597"/>
      <c r="DL1597"/>
      <c r="DM1597"/>
      <c r="DN1597"/>
      <c r="DO1597"/>
      <c r="DP1597"/>
      <c r="DQ1597"/>
      <c r="DR1597"/>
      <c r="DS1597"/>
      <c r="DT1597"/>
      <c r="DU1597"/>
      <c r="DV1597"/>
      <c r="DW1597"/>
      <c r="DX1597"/>
      <c r="DY1597"/>
      <c r="DZ1597"/>
      <c r="EA1597"/>
      <c r="EB1597"/>
      <c r="EC1597"/>
      <c r="ED1597"/>
      <c r="EE1597"/>
      <c r="EF1597"/>
      <c r="EG1597"/>
      <c r="EH1597"/>
      <c r="EI1597"/>
      <c r="EJ1597"/>
      <c r="EK1597"/>
      <c r="EL1597"/>
      <c r="EM1597"/>
      <c r="EN1597"/>
      <c r="EO1597"/>
      <c r="EP1597"/>
      <c r="EQ1597"/>
      <c r="ER1597"/>
      <c r="ES1597"/>
    </row>
    <row r="1598" spans="1:149">
      <c r="A1598"/>
      <c r="B1598"/>
      <c r="C1598"/>
      <c r="D1598"/>
      <c r="E1598"/>
      <c r="F1598"/>
      <c r="G1598"/>
      <c r="H1598"/>
      <c r="I1598"/>
      <c r="J1598"/>
      <c r="K1598"/>
      <c r="L1598"/>
      <c r="M1598"/>
      <c r="N1598"/>
      <c r="O1598"/>
      <c r="P1598"/>
      <c r="Q1598"/>
      <c r="R1598"/>
      <c r="S1598"/>
      <c r="T1598"/>
      <c r="U1598"/>
      <c r="V1598"/>
      <c r="W1598"/>
      <c r="X1598"/>
      <c r="Y1598"/>
      <c r="Z1598"/>
      <c r="AA1598"/>
      <c r="AB1598"/>
      <c r="AC1598"/>
      <c r="AD1598"/>
      <c r="AE1598"/>
      <c r="AF1598"/>
      <c r="AG1598"/>
      <c r="AH1598"/>
      <c r="AI1598"/>
      <c r="AJ1598"/>
      <c r="AK1598"/>
      <c r="AL1598"/>
      <c r="AM1598"/>
      <c r="AN1598"/>
      <c r="AO1598"/>
      <c r="AP1598"/>
      <c r="AQ1598"/>
      <c r="AR1598"/>
      <c r="AS1598"/>
      <c r="AT1598"/>
      <c r="AU1598"/>
      <c r="AV1598"/>
      <c r="AW1598"/>
      <c r="AX1598"/>
      <c r="AY1598"/>
      <c r="AZ1598"/>
      <c r="BA1598"/>
      <c r="BB1598"/>
      <c r="BC1598"/>
      <c r="BD1598"/>
      <c r="BE1598"/>
      <c r="BF1598"/>
      <c r="BG1598"/>
      <c r="BH1598"/>
      <c r="BI1598"/>
      <c r="BJ1598"/>
      <c r="BK1598"/>
      <c r="BL1598"/>
      <c r="BM1598"/>
      <c r="BN1598"/>
      <c r="BO1598"/>
      <c r="BP1598"/>
      <c r="BQ1598"/>
      <c r="BR1598"/>
      <c r="BS1598"/>
      <c r="BT1598"/>
      <c r="BU1598"/>
      <c r="BV1598"/>
      <c r="BW1598"/>
      <c r="BX1598"/>
      <c r="BY1598"/>
      <c r="BZ1598"/>
      <c r="CA1598"/>
      <c r="CB1598"/>
      <c r="CC1598"/>
      <c r="CD1598"/>
      <c r="CE1598"/>
      <c r="CF1598"/>
      <c r="CG1598"/>
      <c r="CH1598"/>
      <c r="CI1598"/>
      <c r="CJ1598"/>
      <c r="CK1598"/>
      <c r="CL1598"/>
      <c r="CM1598"/>
      <c r="CN1598"/>
      <c r="CO1598"/>
      <c r="CP1598"/>
      <c r="CQ1598"/>
      <c r="CR1598"/>
      <c r="CS1598"/>
      <c r="CT1598"/>
      <c r="CU1598"/>
      <c r="CV1598"/>
      <c r="CW1598"/>
      <c r="CX1598"/>
      <c r="CY1598"/>
      <c r="CZ1598"/>
      <c r="DA1598"/>
      <c r="DB1598"/>
      <c r="DC1598"/>
      <c r="DD1598"/>
      <c r="DE1598"/>
      <c r="DF1598"/>
      <c r="DG1598"/>
      <c r="DH1598"/>
      <c r="DI1598"/>
      <c r="DJ1598"/>
      <c r="DK1598"/>
      <c r="DL1598"/>
      <c r="DM1598"/>
      <c r="DN1598"/>
      <c r="DO1598"/>
      <c r="DP1598"/>
      <c r="DQ1598"/>
      <c r="DR1598"/>
      <c r="DS1598"/>
      <c r="DT1598"/>
      <c r="DU1598"/>
      <c r="DV1598"/>
      <c r="DW1598"/>
      <c r="DX1598"/>
      <c r="DY1598"/>
      <c r="DZ1598"/>
      <c r="EA1598"/>
      <c r="EB1598"/>
      <c r="EC1598"/>
      <c r="ED1598"/>
      <c r="EE1598"/>
      <c r="EF1598"/>
      <c r="EG1598"/>
      <c r="EH1598"/>
      <c r="EI1598"/>
      <c r="EJ1598"/>
      <c r="EK1598"/>
      <c r="EL1598"/>
      <c r="EM1598"/>
      <c r="EN1598"/>
      <c r="EO1598"/>
      <c r="EP1598"/>
      <c r="EQ1598"/>
      <c r="ER1598"/>
      <c r="ES1598"/>
    </row>
    <row r="1599" spans="1:149">
      <c r="A1599"/>
      <c r="B1599"/>
      <c r="C1599"/>
      <c r="D1599"/>
      <c r="E1599"/>
      <c r="F1599"/>
      <c r="G1599"/>
      <c r="H1599"/>
      <c r="I1599"/>
      <c r="J1599"/>
      <c r="K1599"/>
      <c r="L1599"/>
      <c r="M1599"/>
      <c r="N1599"/>
      <c r="O1599"/>
      <c r="P1599"/>
      <c r="Q1599"/>
      <c r="R1599"/>
      <c r="S1599"/>
      <c r="T1599"/>
      <c r="U1599"/>
      <c r="V1599"/>
      <c r="W1599"/>
      <c r="X1599"/>
      <c r="Y1599"/>
      <c r="Z1599"/>
      <c r="AA1599"/>
      <c r="AB1599"/>
      <c r="AC1599"/>
      <c r="AD1599"/>
      <c r="AE1599"/>
      <c r="AF1599"/>
      <c r="AG1599"/>
      <c r="AH1599"/>
      <c r="AI1599"/>
      <c r="AJ1599"/>
      <c r="AK1599"/>
      <c r="AL1599"/>
      <c r="AM1599"/>
      <c r="AN1599"/>
      <c r="AO1599"/>
      <c r="AP1599"/>
      <c r="AQ1599"/>
      <c r="AR1599"/>
      <c r="AS1599"/>
      <c r="AT1599"/>
      <c r="AU1599"/>
      <c r="AV1599"/>
      <c r="AW1599"/>
      <c r="AX1599"/>
      <c r="AY1599"/>
      <c r="AZ1599"/>
      <c r="BA1599"/>
      <c r="BB1599"/>
      <c r="BC1599"/>
      <c r="BD1599"/>
      <c r="BE1599"/>
      <c r="BF1599"/>
      <c r="BG1599"/>
      <c r="BH1599"/>
      <c r="BI1599"/>
      <c r="BJ1599"/>
      <c r="BK1599"/>
      <c r="BL1599"/>
      <c r="BM1599"/>
      <c r="BN1599"/>
      <c r="BO1599"/>
      <c r="BP1599"/>
      <c r="BQ1599"/>
      <c r="BR1599"/>
      <c r="BS1599"/>
      <c r="BT1599"/>
      <c r="BU1599"/>
      <c r="BV1599"/>
      <c r="BW1599"/>
      <c r="BX1599"/>
      <c r="BY1599"/>
      <c r="BZ1599"/>
      <c r="CA1599"/>
      <c r="CB1599"/>
      <c r="CC1599"/>
      <c r="CD1599"/>
      <c r="CE1599"/>
      <c r="CF1599"/>
      <c r="CG1599"/>
      <c r="CH1599"/>
      <c r="CI1599"/>
      <c r="CJ1599"/>
      <c r="CK1599"/>
      <c r="CL1599"/>
      <c r="CM1599"/>
      <c r="CN1599"/>
      <c r="CO1599"/>
      <c r="CP1599"/>
      <c r="CQ1599"/>
      <c r="CR1599"/>
      <c r="CS1599"/>
      <c r="CT1599"/>
      <c r="CU1599"/>
      <c r="CV1599"/>
      <c r="CW1599"/>
      <c r="CX1599"/>
      <c r="CY1599"/>
      <c r="CZ1599"/>
      <c r="DA1599"/>
      <c r="DB1599"/>
      <c r="DC1599"/>
      <c r="DD1599"/>
      <c r="DE1599"/>
      <c r="DF1599"/>
      <c r="DG1599"/>
      <c r="DH1599"/>
      <c r="DI1599"/>
      <c r="DJ1599"/>
      <c r="DK1599"/>
      <c r="DL1599"/>
      <c r="DM1599"/>
      <c r="DN1599"/>
      <c r="DO1599"/>
      <c r="DP1599"/>
      <c r="DQ1599"/>
      <c r="DR1599"/>
      <c r="DS1599"/>
      <c r="DT1599"/>
      <c r="DU1599"/>
      <c r="DV1599"/>
      <c r="DW1599"/>
      <c r="DX1599"/>
      <c r="DY1599"/>
      <c r="DZ1599"/>
      <c r="EA1599"/>
      <c r="EB1599"/>
      <c r="EC1599"/>
      <c r="ED1599"/>
      <c r="EE1599"/>
      <c r="EF1599"/>
      <c r="EG1599"/>
      <c r="EH1599"/>
      <c r="EI1599"/>
      <c r="EJ1599"/>
      <c r="EK1599"/>
      <c r="EL1599"/>
      <c r="EM1599"/>
      <c r="EN1599"/>
      <c r="EO1599"/>
      <c r="EP1599"/>
      <c r="EQ1599"/>
      <c r="ER1599"/>
      <c r="ES1599"/>
    </row>
    <row r="1600" spans="1:149">
      <c r="A1600"/>
      <c r="B1600"/>
      <c r="C1600"/>
      <c r="D1600"/>
      <c r="E1600"/>
      <c r="F1600"/>
      <c r="G1600"/>
      <c r="H1600"/>
      <c r="I1600"/>
      <c r="J1600"/>
      <c r="K1600"/>
      <c r="L1600"/>
      <c r="M1600"/>
      <c r="N1600"/>
      <c r="O1600"/>
      <c r="P1600"/>
      <c r="Q1600"/>
      <c r="R1600"/>
      <c r="S1600"/>
      <c r="T1600"/>
      <c r="U1600"/>
      <c r="V1600"/>
      <c r="W1600"/>
      <c r="X1600"/>
      <c r="Y1600"/>
      <c r="Z1600"/>
      <c r="AA1600"/>
      <c r="AB1600"/>
      <c r="AC1600"/>
      <c r="AD1600"/>
      <c r="AE1600"/>
      <c r="AF1600"/>
      <c r="AG1600"/>
      <c r="AH1600"/>
      <c r="AI1600"/>
      <c r="AJ1600"/>
      <c r="AK1600"/>
      <c r="AL1600"/>
      <c r="AM1600"/>
      <c r="AN1600"/>
      <c r="AO1600"/>
      <c r="AP1600"/>
      <c r="AQ1600"/>
      <c r="AR1600"/>
      <c r="AS1600"/>
      <c r="AT1600"/>
      <c r="AU1600"/>
      <c r="AV1600"/>
      <c r="AW1600"/>
      <c r="AX1600"/>
      <c r="AY1600"/>
      <c r="AZ1600"/>
      <c r="BA1600"/>
      <c r="BB1600"/>
      <c r="BC1600"/>
      <c r="BD1600"/>
      <c r="BE1600"/>
      <c r="BF1600"/>
      <c r="BG1600"/>
      <c r="BH1600"/>
      <c r="BI1600"/>
      <c r="BJ1600"/>
      <c r="BK1600"/>
      <c r="BL1600"/>
      <c r="BM1600"/>
      <c r="BN1600"/>
      <c r="BO1600"/>
      <c r="BP1600"/>
      <c r="BQ1600"/>
      <c r="BR1600"/>
      <c r="BS1600"/>
      <c r="BT1600"/>
      <c r="BU1600"/>
      <c r="BV1600"/>
      <c r="BW1600"/>
      <c r="BX1600"/>
      <c r="BY1600"/>
      <c r="BZ1600"/>
      <c r="CA1600"/>
      <c r="CB1600"/>
      <c r="CC1600"/>
      <c r="CD1600"/>
      <c r="CE1600"/>
      <c r="CF1600"/>
      <c r="CG1600"/>
      <c r="CH1600"/>
      <c r="CI1600"/>
      <c r="CJ1600"/>
      <c r="CK1600"/>
      <c r="CL1600"/>
      <c r="CM1600"/>
      <c r="CN1600"/>
      <c r="CO1600"/>
      <c r="CP1600"/>
      <c r="CQ1600"/>
      <c r="CR1600"/>
      <c r="CS1600"/>
      <c r="CT1600"/>
      <c r="CU1600"/>
      <c r="CV1600"/>
      <c r="CW1600"/>
      <c r="CX1600"/>
      <c r="CY1600"/>
      <c r="CZ1600"/>
      <c r="DA1600"/>
      <c r="DB1600"/>
      <c r="DC1600"/>
      <c r="DD1600"/>
      <c r="DE1600"/>
      <c r="DF1600"/>
      <c r="DG1600"/>
      <c r="DH1600"/>
      <c r="DI1600"/>
      <c r="DJ1600"/>
      <c r="DK1600"/>
      <c r="DL1600"/>
      <c r="DM1600"/>
      <c r="DN1600"/>
      <c r="DO1600"/>
      <c r="DP1600"/>
      <c r="DQ1600"/>
      <c r="DR1600"/>
      <c r="DS1600"/>
      <c r="DT1600"/>
      <c r="DU1600"/>
      <c r="DV1600"/>
      <c r="DW1600"/>
      <c r="DX1600"/>
      <c r="DY1600"/>
      <c r="DZ1600"/>
      <c r="EA1600"/>
      <c r="EB1600"/>
      <c r="EC1600"/>
      <c r="ED1600"/>
      <c r="EE1600"/>
      <c r="EF1600"/>
      <c r="EG1600"/>
      <c r="EH1600"/>
      <c r="EI1600"/>
      <c r="EJ1600"/>
      <c r="EK1600"/>
      <c r="EL1600"/>
      <c r="EM1600"/>
      <c r="EN1600"/>
      <c r="EO1600"/>
      <c r="EP1600"/>
      <c r="EQ1600"/>
      <c r="ER1600"/>
      <c r="ES1600"/>
    </row>
    <row r="1601" spans="1:149">
      <c r="A1601"/>
      <c r="B1601"/>
      <c r="C1601"/>
      <c r="D1601"/>
      <c r="E1601"/>
      <c r="F1601"/>
      <c r="G1601"/>
      <c r="H1601"/>
      <c r="I1601"/>
      <c r="J1601"/>
      <c r="K1601"/>
      <c r="L1601"/>
      <c r="M1601"/>
      <c r="N1601"/>
      <c r="O1601"/>
      <c r="P1601"/>
      <c r="Q1601"/>
      <c r="R1601"/>
      <c r="S1601"/>
      <c r="T1601"/>
      <c r="U1601"/>
      <c r="V1601"/>
      <c r="W1601"/>
      <c r="X1601"/>
      <c r="Y1601"/>
      <c r="Z1601"/>
      <c r="AA1601"/>
      <c r="AB1601"/>
      <c r="AC1601"/>
      <c r="AD1601"/>
      <c r="AE1601"/>
      <c r="AF1601"/>
      <c r="AG1601"/>
      <c r="AH1601"/>
      <c r="AI1601"/>
      <c r="AJ1601"/>
      <c r="AK1601"/>
      <c r="AL1601"/>
      <c r="AM1601"/>
      <c r="AN1601"/>
      <c r="AO1601"/>
      <c r="AP1601"/>
      <c r="AQ1601"/>
      <c r="AR1601"/>
      <c r="AS1601"/>
      <c r="AT1601"/>
      <c r="AU1601"/>
      <c r="AV1601"/>
      <c r="AW1601"/>
      <c r="AX1601"/>
      <c r="AY1601"/>
      <c r="AZ1601"/>
      <c r="BA1601"/>
      <c r="BB1601"/>
      <c r="BC1601"/>
      <c r="BD1601"/>
      <c r="BE1601"/>
      <c r="BF1601"/>
      <c r="BG1601"/>
      <c r="BH1601"/>
      <c r="BI1601"/>
      <c r="BJ1601"/>
      <c r="BK1601"/>
      <c r="BL1601"/>
      <c r="BM1601"/>
      <c r="BN1601"/>
      <c r="BO1601"/>
      <c r="BP1601"/>
      <c r="BQ1601"/>
      <c r="BR1601"/>
      <c r="BS1601"/>
      <c r="BT1601"/>
      <c r="BU1601"/>
      <c r="BV1601"/>
      <c r="BW1601"/>
      <c r="BX1601"/>
      <c r="BY1601"/>
      <c r="BZ1601"/>
      <c r="CA1601"/>
      <c r="CB1601"/>
      <c r="CC1601"/>
      <c r="CD1601"/>
      <c r="CE1601"/>
      <c r="CF1601"/>
      <c r="CG1601"/>
      <c r="CH1601"/>
      <c r="CI1601"/>
      <c r="CJ1601"/>
      <c r="CK1601"/>
      <c r="CL1601"/>
      <c r="CM1601"/>
      <c r="CN1601"/>
      <c r="CO1601"/>
      <c r="CP1601"/>
      <c r="CQ1601"/>
      <c r="CR1601"/>
      <c r="CS1601"/>
      <c r="CT1601"/>
      <c r="CU1601"/>
      <c r="CV1601"/>
      <c r="CW1601"/>
      <c r="CX1601"/>
      <c r="CY1601"/>
      <c r="CZ1601"/>
      <c r="DA1601"/>
      <c r="DB1601"/>
      <c r="DC1601"/>
      <c r="DD1601"/>
      <c r="DE1601"/>
      <c r="DF1601"/>
      <c r="DG1601"/>
      <c r="DH1601"/>
      <c r="DI1601"/>
      <c r="DJ1601"/>
      <c r="DK1601"/>
      <c r="DL1601"/>
      <c r="DM1601"/>
      <c r="DN1601"/>
      <c r="DO1601"/>
      <c r="DP1601"/>
      <c r="DQ1601"/>
      <c r="DR1601"/>
      <c r="DS1601"/>
      <c r="DT1601"/>
      <c r="DU1601"/>
      <c r="DV1601"/>
      <c r="DW1601"/>
      <c r="DX1601"/>
      <c r="DY1601"/>
      <c r="DZ1601"/>
      <c r="EA1601"/>
      <c r="EB1601"/>
      <c r="EC1601"/>
      <c r="ED1601"/>
      <c r="EE1601"/>
      <c r="EF1601"/>
      <c r="EG1601"/>
      <c r="EH1601"/>
      <c r="EI1601"/>
      <c r="EJ1601"/>
      <c r="EK1601"/>
      <c r="EL1601"/>
      <c r="EM1601"/>
      <c r="EN1601"/>
      <c r="EO1601"/>
      <c r="EP1601"/>
      <c r="EQ1601"/>
      <c r="ER1601"/>
      <c r="ES1601"/>
    </row>
    <row r="1602" spans="1:149">
      <c r="A1602"/>
      <c r="B1602"/>
      <c r="C1602"/>
      <c r="D1602"/>
      <c r="E1602"/>
      <c r="F1602"/>
      <c r="G1602"/>
      <c r="H1602"/>
      <c r="I1602"/>
      <c r="J1602"/>
      <c r="K1602"/>
      <c r="L1602"/>
      <c r="M1602"/>
      <c r="N1602"/>
      <c r="O1602"/>
      <c r="P1602"/>
      <c r="Q1602"/>
      <c r="R1602"/>
      <c r="S1602"/>
      <c r="T1602"/>
      <c r="U1602"/>
      <c r="V1602"/>
      <c r="W1602"/>
      <c r="X1602"/>
      <c r="Y1602"/>
      <c r="Z1602"/>
      <c r="AA1602"/>
      <c r="AB1602"/>
      <c r="AC1602"/>
      <c r="AD1602"/>
      <c r="AE1602"/>
      <c r="AF1602"/>
      <c r="AG1602"/>
      <c r="AH1602"/>
      <c r="AI1602"/>
      <c r="AJ1602"/>
      <c r="AK1602"/>
      <c r="AL1602"/>
      <c r="AM1602"/>
      <c r="AN1602"/>
      <c r="AO1602"/>
      <c r="AP1602"/>
      <c r="AQ1602"/>
      <c r="AR1602"/>
      <c r="AS1602"/>
      <c r="AT1602"/>
      <c r="AU1602"/>
      <c r="AV1602"/>
      <c r="AW1602"/>
      <c r="AX1602"/>
      <c r="AY1602"/>
      <c r="AZ1602"/>
      <c r="BA1602"/>
      <c r="BB1602"/>
      <c r="BC1602"/>
      <c r="BD1602"/>
      <c r="BE1602"/>
      <c r="BF1602"/>
      <c r="BG1602"/>
      <c r="BH1602"/>
      <c r="BI1602"/>
      <c r="BJ1602"/>
      <c r="BK1602"/>
      <c r="BL1602"/>
      <c r="BM1602"/>
      <c r="BN1602"/>
      <c r="BO1602"/>
      <c r="BP1602"/>
      <c r="BQ1602"/>
      <c r="BR1602"/>
      <c r="BS1602"/>
      <c r="BT1602"/>
      <c r="BU1602"/>
      <c r="BV1602"/>
      <c r="BW1602"/>
      <c r="BX1602"/>
      <c r="BY1602"/>
      <c r="BZ1602"/>
      <c r="CA1602"/>
      <c r="CB1602"/>
      <c r="CC1602"/>
      <c r="CD1602"/>
      <c r="CE1602"/>
      <c r="CF1602"/>
      <c r="CG1602"/>
      <c r="CH1602"/>
      <c r="CI1602"/>
      <c r="CJ1602"/>
      <c r="CK1602"/>
      <c r="CL1602"/>
      <c r="CM1602"/>
      <c r="CN1602"/>
      <c r="CO1602"/>
      <c r="CP1602"/>
      <c r="CQ1602"/>
      <c r="CR1602"/>
      <c r="CS1602"/>
      <c r="CT1602"/>
      <c r="CU1602"/>
      <c r="CV1602"/>
      <c r="CW1602"/>
      <c r="CX1602"/>
      <c r="CY1602"/>
      <c r="CZ1602"/>
      <c r="DA1602"/>
      <c r="DB1602"/>
      <c r="DC1602"/>
      <c r="DD1602"/>
      <c r="DE1602"/>
      <c r="DF1602"/>
      <c r="DG1602"/>
      <c r="DH1602"/>
      <c r="DI1602"/>
      <c r="DJ1602"/>
      <c r="DK1602"/>
      <c r="DL1602"/>
      <c r="DM1602"/>
      <c r="DN1602"/>
      <c r="DO1602"/>
      <c r="DP1602"/>
      <c r="DQ1602"/>
      <c r="DR1602"/>
      <c r="DS1602"/>
      <c r="DT1602"/>
      <c r="DU1602"/>
      <c r="DV1602"/>
      <c r="DW1602"/>
      <c r="DX1602"/>
      <c r="DY1602"/>
      <c r="DZ1602"/>
      <c r="EA1602"/>
      <c r="EB1602"/>
      <c r="EC1602"/>
      <c r="ED1602"/>
      <c r="EE1602"/>
      <c r="EF1602"/>
      <c r="EG1602"/>
      <c r="EH1602"/>
      <c r="EI1602"/>
      <c r="EJ1602"/>
      <c r="EK1602"/>
      <c r="EL1602"/>
      <c r="EM1602"/>
      <c r="EN1602"/>
      <c r="EO1602"/>
      <c r="EP1602"/>
      <c r="EQ1602"/>
      <c r="ER1602"/>
      <c r="ES1602"/>
    </row>
    <row r="1603" spans="1:149">
      <c r="A1603"/>
      <c r="B1603"/>
      <c r="C1603"/>
      <c r="D1603"/>
      <c r="E1603"/>
      <c r="F1603"/>
      <c r="G1603"/>
      <c r="H1603"/>
      <c r="I1603"/>
      <c r="J1603"/>
      <c r="K1603"/>
      <c r="L1603"/>
      <c r="M1603"/>
      <c r="N1603"/>
      <c r="O1603"/>
      <c r="P1603"/>
      <c r="Q1603"/>
      <c r="R1603"/>
      <c r="S1603"/>
      <c r="T1603"/>
      <c r="U1603"/>
      <c r="V1603"/>
      <c r="W1603"/>
      <c r="X1603"/>
      <c r="Y1603"/>
      <c r="Z1603"/>
      <c r="AA1603"/>
      <c r="AB1603"/>
      <c r="AC1603"/>
      <c r="AD1603"/>
      <c r="AE1603"/>
      <c r="AF1603"/>
      <c r="AG1603"/>
      <c r="AH1603"/>
      <c r="AI1603"/>
      <c r="AJ1603"/>
      <c r="AK1603"/>
      <c r="AL1603"/>
      <c r="AM1603"/>
      <c r="AN1603"/>
      <c r="AO1603"/>
      <c r="AP1603"/>
      <c r="AQ1603"/>
      <c r="AR1603"/>
      <c r="AS1603"/>
      <c r="AT1603"/>
      <c r="AU1603"/>
      <c r="AV1603"/>
      <c r="AW1603"/>
      <c r="AX1603"/>
      <c r="AY1603"/>
      <c r="AZ1603"/>
      <c r="BA1603"/>
      <c r="BB1603"/>
      <c r="BC1603"/>
      <c r="BD1603"/>
      <c r="BE1603"/>
      <c r="BF1603"/>
      <c r="BG1603"/>
      <c r="BH1603"/>
      <c r="BI1603"/>
      <c r="BJ1603"/>
      <c r="BK1603"/>
      <c r="BL1603"/>
      <c r="BM1603"/>
      <c r="BN1603"/>
      <c r="BO1603"/>
      <c r="BP1603"/>
      <c r="BQ1603"/>
      <c r="BR1603"/>
      <c r="BS1603"/>
      <c r="BT1603"/>
      <c r="BU1603"/>
      <c r="BV1603"/>
      <c r="BW1603"/>
      <c r="BX1603"/>
      <c r="BY1603"/>
      <c r="BZ1603"/>
      <c r="CA1603"/>
      <c r="CB1603"/>
      <c r="CC1603"/>
      <c r="CD1603"/>
      <c r="CE1603"/>
      <c r="CF1603"/>
      <c r="CG1603"/>
      <c r="CH1603"/>
      <c r="CI1603"/>
      <c r="CJ1603"/>
      <c r="CK1603"/>
      <c r="CL1603"/>
      <c r="CM1603"/>
      <c r="CN1603"/>
      <c r="CO1603"/>
      <c r="CP1603"/>
      <c r="CQ1603"/>
      <c r="CR1603"/>
      <c r="CS1603"/>
      <c r="CT1603"/>
      <c r="CU1603"/>
      <c r="CV1603"/>
      <c r="CW1603"/>
      <c r="CX1603"/>
      <c r="CY1603"/>
      <c r="CZ1603"/>
      <c r="DA1603"/>
      <c r="DB1603"/>
      <c r="DC1603"/>
      <c r="DD1603"/>
      <c r="DE1603"/>
      <c r="DF1603"/>
      <c r="DG1603"/>
      <c r="DH1603"/>
      <c r="DI1603"/>
      <c r="DJ1603"/>
      <c r="DK1603"/>
      <c r="DL1603"/>
      <c r="DM1603"/>
      <c r="DN1603"/>
      <c r="DO1603"/>
      <c r="DP1603"/>
      <c r="DQ1603"/>
      <c r="DR1603"/>
      <c r="DS1603"/>
      <c r="DT1603"/>
      <c r="DU1603"/>
      <c r="DV1603"/>
      <c r="DW1603"/>
      <c r="DX1603"/>
      <c r="DY1603"/>
      <c r="DZ1603"/>
      <c r="EA1603"/>
      <c r="EB1603"/>
      <c r="EC1603"/>
      <c r="ED1603"/>
      <c r="EE1603"/>
      <c r="EF1603"/>
      <c r="EG1603"/>
      <c r="EH1603"/>
      <c r="EI1603"/>
      <c r="EJ1603"/>
      <c r="EK1603"/>
      <c r="EL1603"/>
      <c r="EM1603"/>
      <c r="EN1603"/>
      <c r="EO1603"/>
      <c r="EP1603"/>
      <c r="EQ1603"/>
      <c r="ER1603"/>
      <c r="ES1603"/>
    </row>
    <row r="1604" spans="1:149">
      <c r="A1604"/>
      <c r="B1604"/>
      <c r="C1604"/>
      <c r="D1604"/>
      <c r="E1604"/>
      <c r="F1604"/>
      <c r="G1604"/>
      <c r="H1604"/>
      <c r="I1604"/>
      <c r="J1604"/>
      <c r="K1604"/>
      <c r="L1604"/>
      <c r="M1604"/>
      <c r="N1604"/>
      <c r="O1604"/>
      <c r="P1604"/>
      <c r="Q1604"/>
      <c r="R1604"/>
      <c r="S1604"/>
      <c r="T1604"/>
      <c r="U1604"/>
      <c r="V1604"/>
      <c r="W1604"/>
      <c r="X1604"/>
      <c r="Y1604"/>
      <c r="Z1604"/>
      <c r="AA1604"/>
      <c r="AB1604"/>
      <c r="AC1604"/>
      <c r="AD1604"/>
      <c r="AE1604"/>
      <c r="AF1604"/>
      <c r="AG1604"/>
      <c r="AH1604"/>
      <c r="AI1604"/>
      <c r="AJ1604"/>
      <c r="AK1604"/>
      <c r="AL1604"/>
      <c r="AM1604"/>
      <c r="AN1604"/>
      <c r="AO1604"/>
      <c r="AP1604"/>
      <c r="AQ1604"/>
      <c r="AR1604"/>
      <c r="AS1604"/>
      <c r="AT1604"/>
      <c r="AU1604"/>
      <c r="AV1604"/>
      <c r="AW1604"/>
      <c r="AX1604"/>
      <c r="AY1604"/>
      <c r="AZ1604"/>
      <c r="BA1604"/>
      <c r="BB1604"/>
      <c r="BC1604"/>
      <c r="BD1604"/>
      <c r="BE1604"/>
      <c r="BF1604"/>
      <c r="BG1604"/>
      <c r="BH1604"/>
      <c r="BI1604"/>
      <c r="BJ1604"/>
      <c r="BK1604"/>
      <c r="BL1604"/>
      <c r="BM1604"/>
      <c r="BN1604"/>
      <c r="BO1604"/>
      <c r="BP1604"/>
      <c r="BQ1604"/>
      <c r="BR1604"/>
      <c r="BS1604"/>
      <c r="BT1604"/>
      <c r="BU1604"/>
      <c r="BV1604"/>
      <c r="BW1604"/>
      <c r="BX1604"/>
      <c r="BY1604"/>
      <c r="BZ1604"/>
      <c r="CA1604"/>
      <c r="CB1604"/>
      <c r="CC1604"/>
      <c r="CD1604"/>
      <c r="CE1604"/>
      <c r="CF1604"/>
      <c r="CG1604"/>
      <c r="CH1604"/>
      <c r="CI1604"/>
      <c r="CJ1604"/>
      <c r="CK1604"/>
      <c r="CL1604"/>
      <c r="CM1604"/>
      <c r="CN1604"/>
      <c r="CO1604"/>
      <c r="CP1604"/>
      <c r="CQ1604"/>
      <c r="CR1604"/>
      <c r="CS1604"/>
      <c r="CT1604"/>
      <c r="CU1604"/>
      <c r="CV1604"/>
      <c r="CW1604"/>
      <c r="CX1604"/>
      <c r="CY1604"/>
      <c r="CZ1604"/>
      <c r="DA1604"/>
      <c r="DB1604"/>
      <c r="DC1604"/>
      <c r="DD1604"/>
      <c r="DE1604"/>
      <c r="DF1604"/>
      <c r="DG1604"/>
      <c r="DH1604"/>
      <c r="DI1604"/>
      <c r="DJ1604"/>
      <c r="DK1604"/>
      <c r="DL1604"/>
      <c r="DM1604"/>
      <c r="DN1604"/>
      <c r="DO1604"/>
      <c r="DP1604"/>
      <c r="DQ1604"/>
      <c r="DR1604"/>
      <c r="DS1604"/>
      <c r="DT1604"/>
      <c r="DU1604"/>
      <c r="DV1604"/>
      <c r="DW1604"/>
      <c r="DX1604"/>
      <c r="DY1604"/>
      <c r="DZ1604"/>
      <c r="EA1604"/>
      <c r="EB1604"/>
      <c r="EC1604"/>
      <c r="ED1604"/>
      <c r="EE1604"/>
      <c r="EF1604"/>
      <c r="EG1604"/>
      <c r="EH1604"/>
      <c r="EI1604"/>
      <c r="EJ1604"/>
      <c r="EK1604"/>
      <c r="EL1604"/>
      <c r="EM1604"/>
      <c r="EN1604"/>
      <c r="EO1604"/>
      <c r="EP1604"/>
      <c r="EQ1604"/>
      <c r="ER1604"/>
      <c r="ES1604"/>
    </row>
    <row r="1605" spans="1:149">
      <c r="A1605"/>
      <c r="B1605"/>
      <c r="C1605"/>
      <c r="D1605"/>
      <c r="E1605"/>
      <c r="F1605"/>
      <c r="G1605"/>
      <c r="H1605"/>
      <c r="I1605"/>
      <c r="J1605"/>
      <c r="K1605"/>
      <c r="L1605"/>
      <c r="M1605"/>
      <c r="N1605"/>
      <c r="O1605"/>
      <c r="P1605"/>
      <c r="Q1605"/>
      <c r="R1605"/>
      <c r="S1605"/>
      <c r="T1605"/>
      <c r="U1605"/>
      <c r="V1605"/>
      <c r="W1605"/>
      <c r="X1605"/>
      <c r="Y1605"/>
      <c r="Z1605"/>
      <c r="AA1605"/>
      <c r="AB1605"/>
      <c r="AC1605"/>
      <c r="AD1605"/>
      <c r="AE1605"/>
      <c r="AF1605"/>
      <c r="AG1605"/>
      <c r="AH1605"/>
      <c r="AI1605"/>
      <c r="AJ1605"/>
      <c r="AK1605"/>
      <c r="AL1605"/>
      <c r="AM1605"/>
      <c r="AN1605"/>
      <c r="AO1605"/>
      <c r="AP1605"/>
      <c r="AQ1605"/>
      <c r="AR1605"/>
      <c r="AS1605"/>
      <c r="AT1605"/>
      <c r="AU1605"/>
      <c r="AV1605"/>
      <c r="AW1605"/>
      <c r="AX1605"/>
      <c r="AY1605"/>
      <c r="AZ1605"/>
      <c r="BA1605"/>
      <c r="BB1605"/>
      <c r="BC1605"/>
      <c r="BD1605"/>
      <c r="BE1605"/>
      <c r="BF1605"/>
      <c r="BG1605"/>
      <c r="BH1605"/>
      <c r="BI1605"/>
      <c r="BJ1605"/>
      <c r="BK1605"/>
      <c r="BL1605"/>
      <c r="BM1605"/>
      <c r="BN1605"/>
      <c r="BO1605"/>
      <c r="BP1605"/>
      <c r="BQ1605"/>
      <c r="BR1605"/>
      <c r="BS1605"/>
      <c r="BT1605"/>
      <c r="BU1605"/>
      <c r="BV1605"/>
      <c r="BW1605"/>
      <c r="BX1605"/>
      <c r="BY1605"/>
      <c r="BZ1605"/>
      <c r="CA1605"/>
      <c r="CB1605"/>
      <c r="CC1605"/>
      <c r="CD1605"/>
      <c r="CE1605"/>
      <c r="CF1605"/>
      <c r="CG1605"/>
      <c r="CH1605"/>
      <c r="CI1605"/>
      <c r="CJ1605"/>
      <c r="CK1605"/>
      <c r="CL1605"/>
      <c r="CM1605"/>
      <c r="CN1605"/>
      <c r="CO1605"/>
      <c r="CP1605"/>
      <c r="CQ1605"/>
      <c r="CR1605"/>
      <c r="CS1605"/>
      <c r="CT1605"/>
      <c r="CU1605"/>
      <c r="CV1605"/>
      <c r="CW1605"/>
      <c r="CX1605"/>
      <c r="CY1605"/>
      <c r="CZ1605"/>
      <c r="DA1605"/>
      <c r="DB1605"/>
      <c r="DC1605"/>
      <c r="DD1605"/>
      <c r="DE1605"/>
      <c r="DF1605"/>
      <c r="DG1605"/>
      <c r="DH1605"/>
      <c r="DI1605"/>
      <c r="DJ1605"/>
      <c r="DK1605"/>
      <c r="DL1605"/>
      <c r="DM1605"/>
      <c r="DN1605"/>
      <c r="DO1605"/>
      <c r="DP1605"/>
      <c r="DQ1605"/>
      <c r="DR1605"/>
      <c r="DS1605"/>
      <c r="DT1605"/>
      <c r="DU1605"/>
      <c r="DV1605"/>
      <c r="DW1605"/>
      <c r="DX1605"/>
      <c r="DY1605"/>
      <c r="DZ1605"/>
      <c r="EA1605"/>
      <c r="EB1605"/>
      <c r="EC1605"/>
      <c r="ED1605"/>
      <c r="EE1605"/>
      <c r="EF1605"/>
      <c r="EG1605"/>
      <c r="EH1605"/>
      <c r="EI1605"/>
      <c r="EJ1605"/>
      <c r="EK1605"/>
      <c r="EL1605"/>
      <c r="EM1605"/>
      <c r="EN1605"/>
      <c r="EO1605"/>
      <c r="EP1605"/>
      <c r="EQ1605"/>
      <c r="ER1605"/>
      <c r="ES1605"/>
    </row>
    <row r="1606" spans="1:149">
      <c r="A1606"/>
      <c r="B1606"/>
      <c r="C1606"/>
      <c r="D1606"/>
      <c r="E1606"/>
      <c r="F1606"/>
      <c r="G1606"/>
      <c r="H1606"/>
      <c r="I1606"/>
      <c r="J1606"/>
      <c r="K1606"/>
      <c r="L1606"/>
      <c r="M1606"/>
      <c r="N1606"/>
      <c r="O1606"/>
      <c r="P1606"/>
      <c r="Q1606"/>
      <c r="R1606"/>
      <c r="S1606"/>
      <c r="T1606"/>
      <c r="U1606"/>
      <c r="V1606"/>
      <c r="W1606"/>
      <c r="X1606"/>
      <c r="Y1606"/>
      <c r="Z1606"/>
      <c r="AA1606"/>
      <c r="AB1606"/>
      <c r="AC1606"/>
      <c r="AD1606"/>
      <c r="AE1606"/>
      <c r="AF1606"/>
      <c r="AG1606"/>
      <c r="AH1606"/>
      <c r="AI1606"/>
      <c r="AJ1606"/>
      <c r="AK1606"/>
      <c r="AL1606"/>
      <c r="AM1606"/>
      <c r="AN1606"/>
      <c r="AO1606"/>
      <c r="AP1606"/>
      <c r="AQ1606"/>
      <c r="AR1606"/>
      <c r="AS1606"/>
      <c r="AT1606"/>
      <c r="AU1606"/>
      <c r="AV1606"/>
      <c r="AW1606"/>
      <c r="AX1606"/>
      <c r="AY1606"/>
      <c r="AZ1606"/>
      <c r="BA1606"/>
      <c r="BB1606"/>
      <c r="BC1606"/>
      <c r="BD1606"/>
      <c r="BE1606"/>
      <c r="BF1606"/>
      <c r="BG1606"/>
      <c r="BH1606"/>
      <c r="BI1606"/>
      <c r="BJ1606"/>
      <c r="BK1606"/>
      <c r="BL1606"/>
      <c r="BM1606"/>
      <c r="BN1606"/>
      <c r="BO1606"/>
      <c r="BP1606"/>
      <c r="BQ1606"/>
      <c r="BR1606"/>
      <c r="BS1606"/>
      <c r="BT1606"/>
      <c r="BU1606"/>
      <c r="BV1606"/>
      <c r="BW1606"/>
      <c r="BX1606"/>
      <c r="BY1606"/>
      <c r="BZ1606"/>
      <c r="CA1606"/>
      <c r="CB1606"/>
      <c r="CC1606"/>
      <c r="CD1606"/>
      <c r="CE1606"/>
      <c r="CF1606"/>
      <c r="CG1606"/>
      <c r="CH1606"/>
      <c r="CI1606"/>
      <c r="CJ1606"/>
      <c r="CK1606"/>
      <c r="CL1606"/>
      <c r="CM1606"/>
      <c r="CN1606"/>
      <c r="CO1606"/>
      <c r="CP1606"/>
      <c r="CQ1606"/>
      <c r="CR1606"/>
      <c r="CS1606"/>
      <c r="CT1606"/>
      <c r="CU1606"/>
      <c r="CV1606"/>
      <c r="CW1606"/>
      <c r="CX1606"/>
      <c r="CY1606"/>
      <c r="CZ1606"/>
      <c r="DA1606"/>
      <c r="DB1606"/>
      <c r="DC1606"/>
      <c r="DD1606"/>
      <c r="DE1606"/>
      <c r="DF1606"/>
      <c r="DG1606"/>
      <c r="DH1606"/>
      <c r="DI1606"/>
      <c r="DJ1606"/>
      <c r="DK1606"/>
      <c r="DL1606"/>
      <c r="DM1606"/>
      <c r="DN1606"/>
      <c r="DO1606"/>
      <c r="DP1606"/>
      <c r="DQ1606"/>
      <c r="DR1606"/>
      <c r="DS1606"/>
      <c r="DT1606"/>
      <c r="DU1606"/>
      <c r="DV1606"/>
      <c r="DW1606"/>
      <c r="DX1606"/>
      <c r="DY1606"/>
      <c r="DZ1606"/>
      <c r="EA1606"/>
      <c r="EB1606"/>
      <c r="EC1606"/>
      <c r="ED1606"/>
      <c r="EE1606"/>
      <c r="EF1606"/>
      <c r="EG1606"/>
      <c r="EH1606"/>
      <c r="EI1606"/>
      <c r="EJ1606"/>
      <c r="EK1606"/>
      <c r="EL1606"/>
      <c r="EM1606"/>
      <c r="EN1606"/>
      <c r="EO1606"/>
      <c r="EP1606"/>
      <c r="EQ1606"/>
      <c r="ER1606"/>
      <c r="ES1606"/>
    </row>
    <row r="1607" spans="1:149">
      <c r="A1607"/>
      <c r="B1607"/>
      <c r="C1607"/>
      <c r="D1607"/>
      <c r="E1607"/>
      <c r="F1607"/>
      <c r="G1607"/>
      <c r="H1607"/>
      <c r="I1607"/>
      <c r="J1607"/>
      <c r="K1607"/>
      <c r="L1607"/>
      <c r="M1607"/>
      <c r="N1607"/>
      <c r="O1607"/>
      <c r="P1607"/>
      <c r="Q1607"/>
      <c r="R1607"/>
      <c r="S1607"/>
      <c r="T1607"/>
      <c r="U1607"/>
      <c r="V1607"/>
      <c r="W1607"/>
      <c r="X1607"/>
      <c r="Y1607"/>
      <c r="Z1607"/>
      <c r="AA1607"/>
      <c r="AB1607"/>
      <c r="AC1607"/>
      <c r="AD1607"/>
      <c r="AE1607"/>
      <c r="AF1607"/>
      <c r="AG1607"/>
      <c r="AH1607"/>
      <c r="AI1607"/>
      <c r="AJ1607"/>
      <c r="AK1607"/>
      <c r="AL1607"/>
      <c r="AM1607"/>
      <c r="AN1607"/>
      <c r="AO1607"/>
      <c r="AP1607"/>
      <c r="AQ1607"/>
      <c r="AR1607"/>
      <c r="AS1607"/>
      <c r="AT1607"/>
      <c r="AU1607"/>
      <c r="AV1607"/>
      <c r="AW1607"/>
      <c r="AX1607"/>
      <c r="AY1607"/>
      <c r="AZ1607"/>
      <c r="BA1607"/>
      <c r="BB1607"/>
      <c r="BC1607"/>
      <c r="BD1607"/>
      <c r="BE1607"/>
      <c r="BF1607"/>
      <c r="BG1607"/>
      <c r="BH1607"/>
      <c r="BI1607"/>
      <c r="BJ1607"/>
      <c r="BK1607"/>
      <c r="BL1607"/>
      <c r="BM1607"/>
      <c r="BN1607"/>
      <c r="BO1607"/>
      <c r="BP1607"/>
      <c r="BQ1607"/>
      <c r="BR1607"/>
      <c r="BS1607"/>
      <c r="BT1607"/>
      <c r="BU1607"/>
      <c r="BV1607"/>
      <c r="BW1607"/>
      <c r="BX1607"/>
      <c r="BY1607"/>
      <c r="BZ1607"/>
      <c r="CA1607"/>
      <c r="CB1607"/>
      <c r="CC1607"/>
      <c r="CD1607"/>
      <c r="CE1607"/>
      <c r="CF1607"/>
      <c r="CG1607"/>
      <c r="CH1607"/>
      <c r="CI1607"/>
      <c r="CJ1607"/>
      <c r="CK1607"/>
      <c r="CL1607"/>
      <c r="CM1607"/>
      <c r="CN1607"/>
      <c r="CO1607"/>
      <c r="CP1607"/>
      <c r="CQ1607"/>
      <c r="CR1607"/>
      <c r="CS1607"/>
      <c r="CT1607"/>
      <c r="CU1607"/>
      <c r="CV1607"/>
      <c r="CW1607"/>
      <c r="CX1607"/>
      <c r="CY1607"/>
      <c r="CZ1607"/>
      <c r="DA1607"/>
      <c r="DB1607"/>
      <c r="DC1607"/>
      <c r="DD1607"/>
      <c r="DE1607"/>
      <c r="DF1607"/>
      <c r="DG1607"/>
      <c r="DH1607"/>
      <c r="DI1607"/>
      <c r="DJ1607"/>
      <c r="DK1607"/>
      <c r="DL1607"/>
      <c r="DM1607"/>
      <c r="DN1607"/>
      <c r="DO1607"/>
      <c r="DP1607"/>
      <c r="DQ1607"/>
      <c r="DR1607"/>
      <c r="DS1607"/>
      <c r="DT1607"/>
      <c r="DU1607"/>
      <c r="DV1607"/>
      <c r="DW1607"/>
      <c r="DX1607"/>
      <c r="DY1607"/>
      <c r="DZ1607"/>
      <c r="EA1607"/>
      <c r="EB1607"/>
      <c r="EC1607"/>
      <c r="ED1607"/>
      <c r="EE1607"/>
      <c r="EF1607"/>
      <c r="EG1607"/>
      <c r="EH1607"/>
      <c r="EI1607"/>
      <c r="EJ1607"/>
      <c r="EK1607"/>
      <c r="EL1607"/>
      <c r="EM1607"/>
      <c r="EN1607"/>
      <c r="EO1607"/>
      <c r="EP1607"/>
      <c r="EQ1607"/>
      <c r="ER1607"/>
      <c r="ES1607"/>
    </row>
    <row r="1608" spans="1:149">
      <c r="A1608"/>
      <c r="B1608"/>
      <c r="C1608"/>
      <c r="D1608"/>
      <c r="E1608"/>
      <c r="F1608"/>
      <c r="G1608"/>
      <c r="H1608"/>
      <c r="I1608"/>
      <c r="J1608"/>
      <c r="K1608"/>
      <c r="L1608"/>
      <c r="M1608"/>
      <c r="N1608"/>
      <c r="O1608"/>
      <c r="P1608"/>
      <c r="Q1608"/>
      <c r="R1608"/>
      <c r="S1608"/>
      <c r="T1608"/>
      <c r="U1608"/>
      <c r="V1608"/>
      <c r="W1608"/>
      <c r="X1608"/>
      <c r="Y1608"/>
      <c r="Z1608"/>
      <c r="AA1608"/>
      <c r="AB1608"/>
      <c r="AC1608"/>
      <c r="AD1608"/>
      <c r="AE1608"/>
      <c r="AF1608"/>
      <c r="AG1608"/>
      <c r="AH1608"/>
      <c r="AI1608"/>
      <c r="AJ1608"/>
      <c r="AK1608"/>
      <c r="AL1608"/>
      <c r="AM1608"/>
      <c r="AN1608"/>
      <c r="AO1608"/>
      <c r="AP1608"/>
      <c r="AQ1608"/>
      <c r="AR1608"/>
      <c r="AS1608"/>
      <c r="AT1608"/>
      <c r="AU1608"/>
      <c r="AV1608"/>
      <c r="AW1608"/>
      <c r="AX1608"/>
      <c r="AY1608"/>
      <c r="AZ1608"/>
      <c r="BA1608"/>
      <c r="BB1608"/>
      <c r="BC1608"/>
      <c r="BD1608"/>
      <c r="BE1608"/>
      <c r="BF1608"/>
      <c r="BG1608"/>
      <c r="BH1608"/>
      <c r="BI1608"/>
      <c r="BJ1608"/>
      <c r="BK1608"/>
      <c r="BL1608"/>
      <c r="BM1608"/>
      <c r="BN1608"/>
      <c r="BO1608"/>
      <c r="BP1608"/>
      <c r="BQ1608"/>
      <c r="BR1608"/>
      <c r="BS1608"/>
      <c r="BT1608"/>
      <c r="BU1608"/>
      <c r="BV1608"/>
      <c r="BW1608"/>
      <c r="BX1608"/>
      <c r="BY1608"/>
      <c r="BZ1608"/>
      <c r="CA1608"/>
      <c r="CB1608"/>
      <c r="CC1608"/>
      <c r="CD1608"/>
      <c r="CE1608"/>
      <c r="CF1608"/>
      <c r="CG1608"/>
      <c r="CH1608"/>
      <c r="CI1608"/>
      <c r="CJ1608"/>
      <c r="CK1608"/>
      <c r="CL1608"/>
      <c r="CM1608"/>
      <c r="CN1608"/>
      <c r="CO1608"/>
      <c r="CP1608"/>
      <c r="CQ1608"/>
      <c r="CR1608"/>
      <c r="CS1608"/>
      <c r="CT1608"/>
      <c r="CU1608"/>
      <c r="CV1608"/>
      <c r="CW1608"/>
      <c r="CX1608"/>
      <c r="CY1608"/>
      <c r="CZ1608"/>
      <c r="DA1608"/>
      <c r="DB1608"/>
      <c r="DC1608"/>
      <c r="DD1608"/>
      <c r="DE1608"/>
      <c r="DF1608"/>
      <c r="DG1608"/>
      <c r="DH1608"/>
      <c r="DI1608"/>
      <c r="DJ1608"/>
      <c r="DK1608"/>
      <c r="DL1608"/>
      <c r="DM1608"/>
      <c r="DN1608"/>
      <c r="DO1608"/>
      <c r="DP1608"/>
      <c r="DQ1608"/>
      <c r="DR1608"/>
      <c r="DS1608"/>
      <c r="DT1608"/>
      <c r="DU1608"/>
      <c r="DV1608"/>
      <c r="DW1608"/>
      <c r="DX1608"/>
      <c r="DY1608"/>
      <c r="DZ1608"/>
      <c r="EA1608"/>
      <c r="EB1608"/>
      <c r="EC1608"/>
      <c r="ED1608"/>
      <c r="EE1608"/>
      <c r="EF1608"/>
      <c r="EG1608"/>
      <c r="EH1608"/>
      <c r="EI1608"/>
      <c r="EJ1608"/>
      <c r="EK1608"/>
      <c r="EL1608"/>
      <c r="EM1608"/>
      <c r="EN1608"/>
      <c r="EO1608"/>
      <c r="EP1608"/>
      <c r="EQ1608"/>
      <c r="ER1608"/>
      <c r="ES1608"/>
    </row>
    <row r="1609" spans="1:149">
      <c r="A1609"/>
      <c r="B1609"/>
      <c r="C1609"/>
      <c r="D1609"/>
      <c r="E1609"/>
      <c r="F1609"/>
      <c r="G1609"/>
      <c r="H1609"/>
      <c r="I1609"/>
      <c r="J1609"/>
      <c r="K1609"/>
      <c r="L1609"/>
      <c r="M1609"/>
      <c r="N1609"/>
      <c r="O1609"/>
      <c r="P1609"/>
      <c r="Q1609"/>
      <c r="R1609"/>
      <c r="S1609"/>
      <c r="T1609"/>
      <c r="U1609"/>
      <c r="V1609"/>
      <c r="W1609"/>
      <c r="X1609"/>
      <c r="Y1609"/>
      <c r="Z1609"/>
      <c r="AA1609"/>
      <c r="AB1609"/>
      <c r="AC1609"/>
      <c r="AD1609"/>
      <c r="AE1609"/>
      <c r="AF1609"/>
      <c r="AG1609"/>
      <c r="AH1609"/>
      <c r="AI1609"/>
      <c r="AJ1609"/>
      <c r="AK1609"/>
      <c r="AL1609"/>
      <c r="AM1609"/>
      <c r="AN1609"/>
      <c r="AO1609"/>
      <c r="AP1609"/>
      <c r="AQ1609"/>
      <c r="AR1609"/>
      <c r="AS1609"/>
      <c r="AT1609"/>
      <c r="AU1609"/>
      <c r="AV1609"/>
      <c r="AW1609"/>
      <c r="AX1609"/>
      <c r="AY1609"/>
      <c r="AZ1609"/>
      <c r="BA1609"/>
      <c r="BB1609"/>
      <c r="BC1609"/>
      <c r="BD1609"/>
      <c r="BE1609"/>
      <c r="BF1609"/>
      <c r="BG1609"/>
      <c r="BH1609"/>
      <c r="BI1609"/>
      <c r="BJ1609"/>
      <c r="BK1609"/>
      <c r="BL1609"/>
      <c r="BM1609"/>
      <c r="BN1609"/>
      <c r="BO1609"/>
      <c r="BP1609"/>
      <c r="BQ1609"/>
      <c r="BR1609"/>
      <c r="BS1609"/>
      <c r="BT1609"/>
      <c r="BU1609"/>
      <c r="BV1609"/>
      <c r="BW1609"/>
      <c r="BX1609"/>
      <c r="BY1609"/>
      <c r="BZ1609"/>
      <c r="CA1609"/>
      <c r="CB1609"/>
      <c r="CC1609"/>
      <c r="CD1609"/>
      <c r="CE1609"/>
      <c r="CF1609"/>
      <c r="CG1609"/>
      <c r="CH1609"/>
      <c r="CI1609"/>
      <c r="CJ1609"/>
      <c r="CK1609"/>
      <c r="CL1609"/>
      <c r="CM1609"/>
      <c r="CN1609"/>
      <c r="CO1609"/>
      <c r="CP1609"/>
      <c r="CQ1609"/>
      <c r="CR1609"/>
      <c r="CS1609"/>
      <c r="CT1609"/>
      <c r="CU1609"/>
      <c r="CV1609"/>
      <c r="CW1609"/>
      <c r="CX1609"/>
      <c r="CY1609"/>
      <c r="CZ1609"/>
      <c r="DA1609"/>
      <c r="DB1609"/>
      <c r="DC1609"/>
      <c r="DD1609"/>
      <c r="DE1609"/>
      <c r="DF1609"/>
      <c r="DG1609"/>
      <c r="DH1609"/>
      <c r="DI1609"/>
      <c r="DJ1609"/>
      <c r="DK1609"/>
      <c r="DL1609"/>
      <c r="DM1609"/>
      <c r="DN1609"/>
      <c r="DO1609"/>
      <c r="DP1609"/>
      <c r="DQ1609"/>
      <c r="DR1609"/>
      <c r="DS1609"/>
      <c r="DT1609"/>
      <c r="DU1609"/>
      <c r="DV1609"/>
      <c r="DW1609"/>
      <c r="DX1609"/>
      <c r="DY1609"/>
      <c r="DZ1609"/>
      <c r="EA1609"/>
      <c r="EB1609"/>
      <c r="EC1609"/>
      <c r="ED1609"/>
      <c r="EE1609"/>
      <c r="EF1609"/>
      <c r="EG1609"/>
      <c r="EH1609"/>
      <c r="EI1609"/>
      <c r="EJ1609"/>
      <c r="EK1609"/>
      <c r="EL1609"/>
      <c r="EM1609"/>
      <c r="EN1609"/>
      <c r="EO1609"/>
      <c r="EP1609"/>
      <c r="EQ1609"/>
      <c r="ER1609"/>
      <c r="ES1609"/>
    </row>
    <row r="1610" spans="1:149">
      <c r="A1610"/>
      <c r="B1610"/>
      <c r="C1610"/>
      <c r="D1610"/>
      <c r="E1610"/>
      <c r="F1610"/>
      <c r="G1610"/>
      <c r="H1610"/>
      <c r="I1610"/>
      <c r="J1610"/>
      <c r="K1610"/>
      <c r="L1610"/>
      <c r="M1610"/>
      <c r="N1610"/>
      <c r="O1610"/>
      <c r="P1610"/>
      <c r="Q1610"/>
      <c r="R1610"/>
      <c r="S1610"/>
      <c r="T1610"/>
      <c r="U1610"/>
      <c r="V1610"/>
      <c r="W1610"/>
      <c r="X1610"/>
      <c r="Y1610"/>
      <c r="Z1610"/>
      <c r="AA1610"/>
      <c r="AB1610"/>
      <c r="AC1610"/>
      <c r="AD1610"/>
      <c r="AE1610"/>
      <c r="AF1610"/>
      <c r="AG1610"/>
      <c r="AH1610"/>
      <c r="AI1610"/>
      <c r="AJ1610"/>
      <c r="AK1610"/>
      <c r="AL1610"/>
      <c r="AM1610"/>
      <c r="AN1610"/>
      <c r="AO1610"/>
      <c r="AP1610"/>
      <c r="AQ1610"/>
      <c r="AR1610"/>
      <c r="AS1610"/>
      <c r="AT1610"/>
      <c r="AU1610"/>
      <c r="AV1610"/>
      <c r="AW1610"/>
      <c r="AX1610"/>
      <c r="AY1610"/>
      <c r="AZ1610"/>
      <c r="BA1610"/>
      <c r="BB1610"/>
      <c r="BC1610"/>
      <c r="BD1610"/>
      <c r="BE1610"/>
      <c r="BF1610"/>
      <c r="BG1610"/>
      <c r="BH1610"/>
      <c r="BI1610"/>
      <c r="BJ1610"/>
      <c r="BK1610"/>
      <c r="BL1610"/>
      <c r="BM1610"/>
      <c r="BN1610"/>
      <c r="BO1610"/>
      <c r="BP1610"/>
      <c r="BQ1610"/>
      <c r="BR1610"/>
      <c r="BS1610"/>
      <c r="BT1610"/>
      <c r="BU1610"/>
      <c r="BV1610"/>
      <c r="BW1610"/>
      <c r="BX1610"/>
      <c r="BY1610"/>
      <c r="BZ1610"/>
      <c r="CA1610"/>
      <c r="CB1610"/>
      <c r="CC1610"/>
      <c r="CD1610"/>
      <c r="CE1610"/>
      <c r="CF1610"/>
      <c r="CG1610"/>
      <c r="CH1610"/>
      <c r="CI1610"/>
      <c r="CJ1610"/>
      <c r="CK1610"/>
      <c r="CL1610"/>
      <c r="CM1610"/>
      <c r="CN1610"/>
      <c r="CO1610"/>
      <c r="CP1610"/>
      <c r="CQ1610"/>
      <c r="CR1610"/>
      <c r="CS1610"/>
      <c r="CT1610"/>
      <c r="CU1610"/>
      <c r="CV1610"/>
      <c r="CW1610"/>
      <c r="CX1610"/>
      <c r="CY1610"/>
      <c r="CZ1610"/>
      <c r="DA1610"/>
      <c r="DB1610"/>
      <c r="DC1610"/>
      <c r="DD1610"/>
      <c r="DE1610"/>
      <c r="DF1610"/>
      <c r="DG1610"/>
      <c r="DH1610"/>
      <c r="DI1610"/>
      <c r="DJ1610"/>
      <c r="DK1610"/>
      <c r="DL1610"/>
      <c r="DM1610"/>
      <c r="DN1610"/>
      <c r="DO1610"/>
      <c r="DP1610"/>
      <c r="DQ1610"/>
      <c r="DR1610"/>
      <c r="DS1610"/>
      <c r="DT1610"/>
      <c r="DU1610"/>
      <c r="DV1610"/>
      <c r="DW1610"/>
      <c r="DX1610"/>
      <c r="DY1610"/>
      <c r="DZ1610"/>
      <c r="EA1610"/>
      <c r="EB1610"/>
      <c r="EC1610"/>
      <c r="ED1610"/>
      <c r="EE1610"/>
      <c r="EF1610"/>
      <c r="EG1610"/>
      <c r="EH1610"/>
      <c r="EI1610"/>
      <c r="EJ1610"/>
      <c r="EK1610"/>
      <c r="EL1610"/>
      <c r="EM1610"/>
      <c r="EN1610"/>
      <c r="EO1610"/>
      <c r="EP1610"/>
      <c r="EQ1610"/>
      <c r="ER1610"/>
      <c r="ES1610"/>
    </row>
    <row r="1611" spans="1:149">
      <c r="A1611"/>
      <c r="B1611"/>
      <c r="C1611"/>
      <c r="D1611"/>
      <c r="E1611"/>
      <c r="F1611"/>
      <c r="G1611"/>
      <c r="H1611"/>
      <c r="I1611"/>
      <c r="J1611"/>
      <c r="K1611"/>
      <c r="L1611"/>
      <c r="M1611"/>
      <c r="N1611"/>
      <c r="O1611"/>
      <c r="P1611"/>
      <c r="Q1611"/>
      <c r="R1611"/>
      <c r="S1611"/>
      <c r="T1611"/>
      <c r="U1611"/>
      <c r="V1611"/>
      <c r="W1611"/>
      <c r="X1611"/>
      <c r="Y1611"/>
      <c r="Z1611"/>
      <c r="AA1611"/>
      <c r="AB1611"/>
      <c r="AC1611"/>
      <c r="AD1611"/>
      <c r="AE1611"/>
      <c r="AF1611"/>
      <c r="AG1611"/>
      <c r="AH1611"/>
      <c r="AI1611"/>
      <c r="AJ1611"/>
      <c r="AK1611"/>
      <c r="AL1611"/>
      <c r="AM1611"/>
      <c r="AN1611"/>
      <c r="AO1611"/>
      <c r="AP1611"/>
      <c r="AQ1611"/>
      <c r="AR1611"/>
      <c r="AS1611"/>
      <c r="AT1611"/>
      <c r="AU1611"/>
      <c r="AV1611"/>
      <c r="AW1611"/>
      <c r="AX1611"/>
      <c r="AY1611"/>
      <c r="AZ1611"/>
      <c r="BA1611"/>
      <c r="BB1611"/>
      <c r="BC1611"/>
      <c r="BD1611"/>
      <c r="BE1611"/>
      <c r="BF1611"/>
      <c r="BG1611"/>
      <c r="BH1611"/>
      <c r="BI1611"/>
      <c r="BJ1611"/>
      <c r="BK1611"/>
      <c r="BL1611"/>
      <c r="BM1611"/>
      <c r="BN1611"/>
      <c r="BO1611"/>
      <c r="BP1611"/>
      <c r="BQ1611"/>
      <c r="BR1611"/>
      <c r="BS1611"/>
      <c r="BT1611"/>
      <c r="BU1611"/>
      <c r="BV1611"/>
      <c r="BW1611"/>
      <c r="BX1611"/>
      <c r="BY1611"/>
      <c r="BZ1611"/>
      <c r="CA1611"/>
      <c r="CB1611"/>
      <c r="CC1611"/>
      <c r="CD1611"/>
      <c r="CE1611"/>
      <c r="CF1611"/>
      <c r="CG1611"/>
      <c r="CH1611"/>
      <c r="CI1611"/>
      <c r="CJ1611"/>
      <c r="CK1611"/>
      <c r="CL1611"/>
      <c r="CM1611"/>
      <c r="CN1611"/>
      <c r="CO1611"/>
      <c r="CP1611"/>
      <c r="CQ1611"/>
      <c r="CR1611"/>
      <c r="CS1611"/>
      <c r="CT1611"/>
      <c r="CU1611"/>
      <c r="CV1611"/>
      <c r="CW1611"/>
      <c r="CX1611"/>
      <c r="CY1611"/>
      <c r="CZ1611"/>
      <c r="DA1611"/>
      <c r="DB1611"/>
      <c r="DC1611"/>
      <c r="DD1611"/>
      <c r="DE1611"/>
      <c r="DF1611"/>
      <c r="DG1611"/>
      <c r="DH1611"/>
      <c r="DI1611"/>
      <c r="DJ1611"/>
      <c r="DK1611"/>
      <c r="DL1611"/>
      <c r="DM1611"/>
      <c r="DN1611"/>
      <c r="DO1611"/>
      <c r="DP1611"/>
      <c r="DQ1611"/>
      <c r="DR1611"/>
      <c r="DS1611"/>
      <c r="DT1611"/>
      <c r="DU1611"/>
      <c r="DV1611"/>
      <c r="DW1611"/>
      <c r="DX1611"/>
      <c r="DY1611"/>
      <c r="DZ1611"/>
      <c r="EA1611"/>
      <c r="EB1611"/>
      <c r="EC1611"/>
      <c r="ED1611"/>
      <c r="EE1611"/>
      <c r="EF1611"/>
      <c r="EG1611"/>
      <c r="EH1611"/>
      <c r="EI1611"/>
      <c r="EJ1611"/>
      <c r="EK1611"/>
      <c r="EL1611"/>
      <c r="EM1611"/>
      <c r="EN1611"/>
      <c r="EO1611"/>
      <c r="EP1611"/>
      <c r="EQ1611"/>
      <c r="ER1611"/>
      <c r="ES1611"/>
    </row>
    <row r="1612" spans="1:149">
      <c r="A1612"/>
      <c r="B1612"/>
      <c r="C1612"/>
      <c r="D1612"/>
      <c r="E1612"/>
      <c r="F1612"/>
      <c r="G1612"/>
      <c r="H1612"/>
      <c r="I1612"/>
      <c r="J1612"/>
      <c r="K1612"/>
      <c r="L1612"/>
      <c r="M1612"/>
      <c r="N1612"/>
      <c r="O1612"/>
      <c r="P1612"/>
      <c r="Q1612"/>
      <c r="R1612"/>
      <c r="S1612"/>
      <c r="T1612"/>
      <c r="U1612"/>
      <c r="V1612"/>
      <c r="W1612"/>
      <c r="X1612"/>
      <c r="Y1612"/>
      <c r="Z1612"/>
      <c r="AA1612"/>
      <c r="AB1612"/>
      <c r="AC1612"/>
      <c r="AD1612"/>
      <c r="AE1612"/>
      <c r="AF1612"/>
      <c r="AG1612"/>
      <c r="AH1612"/>
      <c r="AI1612"/>
      <c r="AJ1612"/>
      <c r="AK1612"/>
      <c r="AL1612"/>
      <c r="AM1612"/>
      <c r="AN1612"/>
      <c r="AO1612"/>
      <c r="AP1612"/>
      <c r="AQ1612"/>
      <c r="AR1612"/>
      <c r="AS1612"/>
      <c r="AT1612"/>
      <c r="AU1612"/>
      <c r="AV1612"/>
      <c r="AW1612"/>
      <c r="AX1612"/>
      <c r="AY1612"/>
      <c r="AZ1612"/>
      <c r="BA1612"/>
      <c r="BB1612"/>
      <c r="BC1612"/>
      <c r="BD1612"/>
      <c r="BE1612"/>
      <c r="BF1612"/>
      <c r="BG1612"/>
      <c r="BH1612"/>
      <c r="BI1612"/>
      <c r="BJ1612"/>
      <c r="BK1612"/>
      <c r="BL1612"/>
      <c r="BM1612"/>
      <c r="BN1612"/>
      <c r="BO1612"/>
      <c r="BP1612"/>
      <c r="BQ1612"/>
      <c r="BR1612"/>
      <c r="BS1612"/>
      <c r="BT1612"/>
      <c r="BU1612"/>
      <c r="BV1612"/>
      <c r="BW1612"/>
      <c r="BX1612"/>
      <c r="BY1612"/>
      <c r="BZ1612"/>
      <c r="CA1612"/>
      <c r="CB1612"/>
      <c r="CC1612"/>
      <c r="CD1612"/>
      <c r="CE1612"/>
      <c r="CF1612"/>
      <c r="CG1612"/>
      <c r="CH1612"/>
      <c r="CI1612"/>
      <c r="CJ1612"/>
      <c r="CK1612"/>
      <c r="CL1612"/>
      <c r="CM1612"/>
      <c r="CN1612"/>
      <c r="CO1612"/>
      <c r="CP1612"/>
      <c r="CQ1612"/>
      <c r="CR1612"/>
      <c r="CS1612"/>
      <c r="CT1612"/>
      <c r="CU1612"/>
      <c r="CV1612"/>
      <c r="CW1612"/>
      <c r="CX1612"/>
      <c r="CY1612"/>
      <c r="CZ1612"/>
      <c r="DA1612"/>
      <c r="DB1612"/>
      <c r="DC1612"/>
      <c r="DD1612"/>
      <c r="DE1612"/>
      <c r="DF1612"/>
      <c r="DG1612"/>
      <c r="DH1612"/>
      <c r="DI1612"/>
      <c r="DJ1612"/>
      <c r="DK1612"/>
      <c r="DL1612"/>
      <c r="DM1612"/>
      <c r="DN1612"/>
      <c r="DO1612"/>
      <c r="DP1612"/>
      <c r="DQ1612"/>
      <c r="DR1612"/>
      <c r="DS1612"/>
      <c r="DT1612"/>
      <c r="DU1612"/>
      <c r="DV1612"/>
      <c r="DW1612"/>
      <c r="DX1612"/>
      <c r="DY1612"/>
      <c r="DZ1612"/>
      <c r="EA1612"/>
      <c r="EB1612"/>
      <c r="EC1612"/>
      <c r="ED1612"/>
      <c r="EE1612"/>
      <c r="EF1612"/>
      <c r="EG1612"/>
      <c r="EH1612"/>
      <c r="EI1612"/>
      <c r="EJ1612"/>
      <c r="EK1612"/>
      <c r="EL1612"/>
      <c r="EM1612"/>
      <c r="EN1612"/>
      <c r="EO1612"/>
      <c r="EP1612"/>
      <c r="EQ1612"/>
      <c r="ER1612"/>
      <c r="ES1612"/>
    </row>
    <row r="1613" spans="1:149">
      <c r="A1613"/>
      <c r="B1613"/>
      <c r="C1613"/>
      <c r="D1613"/>
      <c r="E1613"/>
      <c r="F1613"/>
      <c r="G1613"/>
      <c r="H1613"/>
      <c r="I1613"/>
      <c r="J1613"/>
      <c r="K1613"/>
      <c r="L1613"/>
      <c r="M1613"/>
      <c r="N1613"/>
      <c r="O1613"/>
      <c r="P1613"/>
      <c r="Q1613"/>
      <c r="R1613"/>
      <c r="S1613"/>
      <c r="T1613"/>
      <c r="U1613"/>
      <c r="V1613"/>
      <c r="W1613"/>
      <c r="X1613"/>
      <c r="Y1613"/>
      <c r="Z1613"/>
      <c r="AA1613"/>
      <c r="AB1613"/>
      <c r="AC1613"/>
      <c r="AD1613"/>
      <c r="AE1613"/>
      <c r="AF1613"/>
      <c r="AG1613"/>
      <c r="AH1613"/>
      <c r="AI1613"/>
      <c r="AJ1613"/>
      <c r="AK1613"/>
      <c r="AL1613"/>
      <c r="AM1613"/>
      <c r="AN1613"/>
      <c r="AO1613"/>
      <c r="AP1613"/>
      <c r="AQ1613"/>
      <c r="AR1613"/>
      <c r="AS1613"/>
      <c r="AT1613"/>
      <c r="AU1613"/>
      <c r="AV1613"/>
      <c r="AW1613"/>
      <c r="AX1613"/>
      <c r="AY1613"/>
      <c r="AZ1613"/>
      <c r="BA1613"/>
      <c r="BB1613"/>
      <c r="BC1613"/>
      <c r="BD1613"/>
      <c r="BE1613"/>
      <c r="BF1613"/>
      <c r="BG1613"/>
      <c r="BH1613"/>
      <c r="BI1613"/>
      <c r="BJ1613"/>
      <c r="BK1613"/>
      <c r="BL1613"/>
      <c r="BM1613"/>
      <c r="BN1613"/>
      <c r="BO1613"/>
      <c r="BP1613"/>
      <c r="BQ1613"/>
      <c r="BR1613"/>
      <c r="BS1613"/>
      <c r="BT1613"/>
      <c r="BU1613"/>
      <c r="BV1613"/>
      <c r="BW1613"/>
      <c r="BX1613"/>
      <c r="BY1613"/>
      <c r="BZ1613"/>
      <c r="CA1613"/>
      <c r="CB1613"/>
      <c r="CC1613"/>
      <c r="CD1613"/>
      <c r="CE1613"/>
      <c r="CF1613"/>
      <c r="CG1613"/>
      <c r="CH1613"/>
      <c r="CI1613"/>
      <c r="CJ1613"/>
      <c r="CK1613"/>
      <c r="CL1613"/>
      <c r="CM1613"/>
      <c r="CN1613"/>
      <c r="CO1613"/>
      <c r="CP1613"/>
      <c r="CQ1613"/>
      <c r="CR1613"/>
      <c r="CS1613"/>
      <c r="CT1613"/>
      <c r="CU1613"/>
      <c r="CV1613"/>
      <c r="CW1613"/>
      <c r="CX1613"/>
      <c r="CY1613"/>
      <c r="CZ1613"/>
      <c r="DA1613"/>
      <c r="DB1613"/>
      <c r="DC1613"/>
      <c r="DD1613"/>
      <c r="DE1613"/>
      <c r="DF1613"/>
      <c r="DG1613"/>
      <c r="DH1613"/>
      <c r="DI1613"/>
      <c r="DJ1613"/>
      <c r="DK1613"/>
      <c r="DL1613"/>
      <c r="DM1613"/>
      <c r="DN1613"/>
      <c r="DO1613"/>
      <c r="DP1613"/>
      <c r="DQ1613"/>
      <c r="DR1613"/>
      <c r="DS1613"/>
      <c r="DT1613"/>
      <c r="DU1613"/>
      <c r="DV1613"/>
      <c r="DW1613"/>
      <c r="DX1613"/>
      <c r="DY1613"/>
      <c r="DZ1613"/>
      <c r="EA1613"/>
      <c r="EB1613"/>
      <c r="EC1613"/>
      <c r="ED1613"/>
      <c r="EE1613"/>
      <c r="EF1613"/>
      <c r="EG1613"/>
      <c r="EH1613"/>
      <c r="EI1613"/>
      <c r="EJ1613"/>
      <c r="EK1613"/>
      <c r="EL1613"/>
      <c r="EM1613"/>
      <c r="EN1613"/>
      <c r="EO1613"/>
      <c r="EP1613"/>
      <c r="EQ1613"/>
      <c r="ER1613"/>
      <c r="ES1613"/>
    </row>
    <row r="1614" spans="1:149">
      <c r="A1614"/>
      <c r="B1614"/>
      <c r="C1614"/>
      <c r="D1614"/>
      <c r="E1614"/>
      <c r="F1614"/>
      <c r="G1614"/>
      <c r="H1614"/>
      <c r="I1614"/>
      <c r="J1614"/>
      <c r="K1614"/>
      <c r="L1614"/>
      <c r="M1614"/>
      <c r="N1614"/>
      <c r="O1614"/>
      <c r="P1614"/>
      <c r="Q1614"/>
      <c r="R1614"/>
      <c r="S1614"/>
      <c r="T1614"/>
      <c r="U1614"/>
      <c r="V1614"/>
      <c r="W1614"/>
      <c r="X1614"/>
      <c r="Y1614"/>
      <c r="Z1614"/>
      <c r="AA1614"/>
      <c r="AB1614"/>
      <c r="AC1614"/>
      <c r="AD1614"/>
      <c r="AE1614"/>
      <c r="AF1614"/>
      <c r="AG1614"/>
      <c r="AH1614"/>
      <c r="AI1614"/>
      <c r="AJ1614"/>
      <c r="AK1614"/>
      <c r="AL1614"/>
      <c r="AM1614"/>
      <c r="AN1614"/>
      <c r="AO1614"/>
      <c r="AP1614"/>
      <c r="AQ1614"/>
      <c r="AR1614"/>
      <c r="AS1614"/>
      <c r="AT1614"/>
      <c r="AU1614"/>
      <c r="AV1614"/>
      <c r="AW1614"/>
      <c r="AX1614"/>
      <c r="AY1614"/>
      <c r="AZ1614"/>
      <c r="BA1614"/>
      <c r="BB1614"/>
      <c r="BC1614"/>
      <c r="BD1614"/>
      <c r="BE1614"/>
      <c r="BF1614"/>
      <c r="BG1614"/>
      <c r="BH1614"/>
      <c r="BI1614"/>
      <c r="BJ1614"/>
      <c r="BK1614"/>
      <c r="BL1614"/>
      <c r="BM1614"/>
      <c r="BN1614"/>
      <c r="BO1614"/>
      <c r="BP1614"/>
      <c r="BQ1614"/>
      <c r="BR1614"/>
      <c r="BS1614"/>
      <c r="BT1614"/>
      <c r="BU1614"/>
      <c r="BV1614"/>
      <c r="BW1614"/>
      <c r="BX1614"/>
      <c r="BY1614"/>
      <c r="BZ1614"/>
      <c r="CA1614"/>
      <c r="CB1614"/>
      <c r="CC1614"/>
      <c r="CD1614"/>
      <c r="CE1614"/>
      <c r="CF1614"/>
      <c r="CG1614"/>
      <c r="CH1614"/>
      <c r="CI1614"/>
      <c r="CJ1614"/>
      <c r="CK1614"/>
      <c r="CL1614"/>
      <c r="CM1614"/>
      <c r="CN1614"/>
      <c r="CO1614"/>
      <c r="CP1614"/>
      <c r="CQ1614"/>
      <c r="CR1614"/>
      <c r="CS1614"/>
      <c r="CT1614"/>
      <c r="CU1614"/>
      <c r="CV1614"/>
      <c r="CW1614"/>
      <c r="CX1614"/>
      <c r="CY1614"/>
      <c r="CZ1614"/>
      <c r="DA1614"/>
      <c r="DB1614"/>
      <c r="DC1614"/>
      <c r="DD1614"/>
      <c r="DE1614"/>
      <c r="DF1614"/>
      <c r="DG1614"/>
      <c r="DH1614"/>
      <c r="DI1614"/>
      <c r="DJ1614"/>
      <c r="DK1614"/>
      <c r="DL1614"/>
      <c r="DM1614"/>
      <c r="DN1614"/>
      <c r="DO1614"/>
      <c r="DP1614"/>
      <c r="DQ1614"/>
      <c r="DR1614"/>
      <c r="DS1614"/>
      <c r="DT1614"/>
      <c r="DU1614"/>
      <c r="DV1614"/>
      <c r="DW1614"/>
      <c r="DX1614"/>
      <c r="DY1614"/>
      <c r="DZ1614"/>
      <c r="EA1614"/>
      <c r="EB1614"/>
      <c r="EC1614"/>
      <c r="ED1614"/>
      <c r="EE1614"/>
      <c r="EF1614"/>
      <c r="EG1614"/>
      <c r="EH1614"/>
      <c r="EI1614"/>
      <c r="EJ1614"/>
      <c r="EK1614"/>
      <c r="EL1614"/>
      <c r="EM1614"/>
      <c r="EN1614"/>
      <c r="EO1614"/>
      <c r="EP1614"/>
      <c r="EQ1614"/>
      <c r="ER1614"/>
      <c r="ES1614"/>
    </row>
    <row r="1615" spans="1:149">
      <c r="A1615"/>
      <c r="B1615"/>
      <c r="C1615"/>
      <c r="D1615"/>
      <c r="E1615"/>
      <c r="F1615"/>
      <c r="G1615"/>
      <c r="H1615"/>
      <c r="I1615"/>
      <c r="J1615"/>
      <c r="K1615"/>
      <c r="L1615"/>
      <c r="M1615"/>
      <c r="N1615"/>
      <c r="O1615"/>
      <c r="P1615"/>
      <c r="Q1615"/>
      <c r="R1615"/>
      <c r="S1615"/>
      <c r="T1615"/>
      <c r="U1615"/>
      <c r="V1615"/>
      <c r="W1615"/>
      <c r="X1615"/>
      <c r="Y1615"/>
      <c r="Z1615"/>
      <c r="AA1615"/>
      <c r="AB1615"/>
      <c r="AC1615"/>
      <c r="AD1615"/>
      <c r="AE1615"/>
      <c r="AF1615"/>
      <c r="AG1615"/>
      <c r="AH1615"/>
      <c r="AI1615"/>
      <c r="AJ1615"/>
      <c r="AK1615"/>
      <c r="AL1615"/>
      <c r="AM1615"/>
      <c r="AN1615"/>
      <c r="AO1615"/>
      <c r="AP1615"/>
      <c r="AQ1615"/>
      <c r="AR1615"/>
      <c r="AS1615"/>
      <c r="AT1615"/>
      <c r="AU1615"/>
      <c r="AV1615"/>
      <c r="AW1615"/>
      <c r="AX1615"/>
      <c r="AY1615"/>
      <c r="AZ1615"/>
      <c r="BA1615"/>
      <c r="BB1615"/>
      <c r="BC1615"/>
      <c r="BD1615"/>
      <c r="BE1615"/>
      <c r="BF1615"/>
      <c r="BG1615"/>
      <c r="BH1615"/>
      <c r="BI1615"/>
      <c r="BJ1615"/>
      <c r="BK1615"/>
      <c r="BL1615"/>
      <c r="BM1615"/>
      <c r="BN1615"/>
      <c r="BO1615"/>
      <c r="BP1615"/>
      <c r="BQ1615"/>
      <c r="BR1615"/>
      <c r="BS1615"/>
      <c r="BT1615"/>
      <c r="BU1615"/>
      <c r="BV1615"/>
      <c r="BW1615"/>
      <c r="BX1615"/>
      <c r="BY1615"/>
      <c r="BZ1615"/>
      <c r="CA1615"/>
      <c r="CB1615"/>
      <c r="CC1615"/>
      <c r="CD1615"/>
      <c r="CE1615"/>
      <c r="CF1615"/>
      <c r="CG1615"/>
      <c r="CH1615"/>
      <c r="CI1615"/>
      <c r="CJ1615"/>
      <c r="CK1615"/>
      <c r="CL1615"/>
      <c r="CM1615"/>
      <c r="CN1615"/>
      <c r="CO1615"/>
      <c r="CP1615"/>
      <c r="CQ1615"/>
      <c r="CR1615"/>
      <c r="CS1615"/>
      <c r="CT1615"/>
      <c r="CU1615"/>
      <c r="CV1615"/>
      <c r="CW1615"/>
      <c r="CX1615"/>
      <c r="CY1615"/>
      <c r="CZ1615"/>
      <c r="DA1615"/>
      <c r="DB1615"/>
      <c r="DC1615"/>
      <c r="DD1615"/>
      <c r="DE1615"/>
      <c r="DF1615"/>
      <c r="DG1615"/>
      <c r="DH1615"/>
      <c r="DI1615"/>
      <c r="DJ1615"/>
      <c r="DK1615"/>
      <c r="DL1615"/>
      <c r="DM1615"/>
      <c r="DN1615"/>
      <c r="DO1615"/>
      <c r="DP1615"/>
      <c r="DQ1615"/>
      <c r="DR1615"/>
      <c r="DS1615"/>
      <c r="DT1615"/>
      <c r="DU1615"/>
      <c r="DV1615"/>
      <c r="DW1615"/>
      <c r="DX1615"/>
      <c r="DY1615"/>
      <c r="DZ1615"/>
      <c r="EA1615"/>
      <c r="EB1615"/>
      <c r="EC1615"/>
      <c r="ED1615"/>
      <c r="EE1615"/>
      <c r="EF1615"/>
      <c r="EG1615"/>
      <c r="EH1615"/>
      <c r="EI1615"/>
      <c r="EJ1615"/>
      <c r="EK1615"/>
      <c r="EL1615"/>
      <c r="EM1615"/>
      <c r="EN1615"/>
      <c r="EO1615"/>
      <c r="EP1615"/>
      <c r="EQ1615"/>
      <c r="ER1615"/>
      <c r="ES1615"/>
    </row>
    <row r="1616" spans="1:149">
      <c r="A1616"/>
      <c r="B1616"/>
      <c r="C1616"/>
      <c r="D1616"/>
      <c r="E1616"/>
      <c r="F1616"/>
      <c r="G1616"/>
      <c r="H1616"/>
      <c r="I1616"/>
      <c r="J1616"/>
      <c r="K1616"/>
      <c r="L1616"/>
      <c r="M1616"/>
      <c r="N1616"/>
      <c r="O1616"/>
      <c r="P1616"/>
      <c r="Q1616"/>
      <c r="R1616"/>
      <c r="S1616"/>
      <c r="T1616"/>
      <c r="U1616"/>
      <c r="V1616"/>
      <c r="W1616"/>
      <c r="X1616"/>
      <c r="Y1616"/>
      <c r="Z1616"/>
      <c r="AA1616"/>
      <c r="AB1616"/>
      <c r="AC1616"/>
      <c r="AD1616"/>
      <c r="AE1616"/>
      <c r="AF1616"/>
      <c r="AG1616"/>
      <c r="AH1616"/>
      <c r="AI1616"/>
      <c r="AJ1616"/>
      <c r="AK1616"/>
      <c r="AL1616"/>
      <c r="AM1616"/>
      <c r="AN1616"/>
      <c r="AO1616"/>
      <c r="AP1616"/>
      <c r="AQ1616"/>
      <c r="AR1616"/>
      <c r="AS1616"/>
      <c r="AT1616"/>
      <c r="AU1616"/>
      <c r="AV1616"/>
      <c r="AW1616"/>
      <c r="AX1616"/>
      <c r="AY1616"/>
      <c r="AZ1616"/>
      <c r="BA1616"/>
      <c r="BB1616"/>
      <c r="BC1616"/>
      <c r="BD1616"/>
      <c r="BE1616"/>
      <c r="BF1616"/>
      <c r="BG1616"/>
      <c r="BH1616"/>
      <c r="BI1616"/>
      <c r="BJ1616"/>
      <c r="BK1616"/>
      <c r="BL1616"/>
      <c r="BM1616"/>
      <c r="BN1616"/>
      <c r="BO1616"/>
      <c r="BP1616"/>
      <c r="BQ1616"/>
      <c r="BR1616"/>
      <c r="BS1616"/>
      <c r="BT1616"/>
      <c r="BU1616"/>
      <c r="BV1616"/>
      <c r="BW1616"/>
      <c r="BX1616"/>
      <c r="BY1616"/>
      <c r="BZ1616"/>
      <c r="CA1616"/>
      <c r="CB1616"/>
      <c r="CC1616"/>
      <c r="CD1616"/>
      <c r="CE1616"/>
      <c r="CF1616"/>
      <c r="CG1616"/>
      <c r="CH1616"/>
      <c r="CI1616"/>
      <c r="CJ1616"/>
      <c r="CK1616"/>
      <c r="CL1616"/>
      <c r="CM1616"/>
      <c r="CN1616"/>
      <c r="CO1616"/>
      <c r="CP1616"/>
      <c r="CQ1616"/>
      <c r="CR1616"/>
      <c r="CS1616"/>
      <c r="CT1616"/>
      <c r="CU1616"/>
      <c r="CV1616"/>
      <c r="CW1616"/>
      <c r="CX1616"/>
      <c r="CY1616"/>
      <c r="CZ1616"/>
      <c r="DA1616"/>
      <c r="DB1616"/>
      <c r="DC1616"/>
      <c r="DD1616"/>
      <c r="DE1616"/>
      <c r="DF1616"/>
      <c r="DG1616"/>
      <c r="DH1616"/>
      <c r="DI1616"/>
      <c r="DJ1616"/>
      <c r="DK1616"/>
      <c r="DL1616"/>
      <c r="DM1616"/>
      <c r="DN1616"/>
      <c r="DO1616"/>
      <c r="DP1616"/>
      <c r="DQ1616"/>
      <c r="DR1616"/>
      <c r="DS1616"/>
      <c r="DT1616"/>
      <c r="DU1616"/>
      <c r="DV1616"/>
      <c r="DW1616"/>
      <c r="DX1616"/>
      <c r="DY1616"/>
      <c r="DZ1616"/>
      <c r="EA1616"/>
      <c r="EB1616"/>
      <c r="EC1616"/>
      <c r="ED1616"/>
      <c r="EE1616"/>
      <c r="EF1616"/>
      <c r="EG1616"/>
      <c r="EH1616"/>
      <c r="EI1616"/>
      <c r="EJ1616"/>
      <c r="EK1616"/>
      <c r="EL1616"/>
      <c r="EM1616"/>
      <c r="EN1616"/>
      <c r="EO1616"/>
      <c r="EP1616"/>
      <c r="EQ1616"/>
      <c r="ER1616"/>
      <c r="ES1616"/>
    </row>
    <row r="1617" spans="1:149">
      <c r="A1617"/>
      <c r="B1617"/>
      <c r="C1617"/>
      <c r="D1617"/>
      <c r="E1617"/>
      <c r="F1617"/>
      <c r="G1617"/>
      <c r="H1617"/>
      <c r="I1617"/>
      <c r="J1617"/>
      <c r="K1617"/>
      <c r="L1617"/>
      <c r="M1617"/>
      <c r="N1617"/>
      <c r="O1617"/>
      <c r="P1617"/>
      <c r="Q1617"/>
      <c r="R1617"/>
      <c r="S1617"/>
      <c r="T1617"/>
      <c r="U1617"/>
      <c r="V1617"/>
      <c r="W1617"/>
      <c r="X1617"/>
      <c r="Y1617"/>
      <c r="Z1617"/>
      <c r="AA1617"/>
      <c r="AB1617"/>
      <c r="AC1617"/>
      <c r="AD1617"/>
      <c r="AE1617"/>
      <c r="AF1617"/>
      <c r="AG1617"/>
      <c r="AH1617"/>
      <c r="AI1617"/>
      <c r="AJ1617"/>
      <c r="AK1617"/>
      <c r="AL1617"/>
      <c r="AM1617"/>
      <c r="AN1617"/>
      <c r="AO1617"/>
      <c r="AP1617"/>
      <c r="AQ1617"/>
      <c r="AR1617"/>
      <c r="AS1617"/>
      <c r="AT1617"/>
      <c r="AU1617"/>
      <c r="AV1617"/>
      <c r="AW1617"/>
      <c r="AX1617"/>
      <c r="AY1617"/>
      <c r="AZ1617"/>
      <c r="BA1617"/>
      <c r="BB1617"/>
      <c r="BC1617"/>
      <c r="BD1617"/>
      <c r="BE1617"/>
      <c r="BF1617"/>
      <c r="BG1617"/>
      <c r="BH1617"/>
      <c r="BI1617"/>
      <c r="BJ1617"/>
      <c r="BK1617"/>
      <c r="BL1617"/>
      <c r="BM1617"/>
      <c r="BN1617"/>
      <c r="BO1617"/>
      <c r="BP1617"/>
      <c r="BQ1617"/>
      <c r="BR1617"/>
      <c r="BS1617"/>
      <c r="BT1617"/>
      <c r="BU1617"/>
      <c r="BV1617"/>
      <c r="BW1617"/>
      <c r="BX1617"/>
      <c r="BY1617"/>
      <c r="BZ1617"/>
      <c r="CA1617"/>
      <c r="CB1617"/>
      <c r="CC1617"/>
      <c r="CD1617"/>
      <c r="CE1617"/>
      <c r="CF1617"/>
      <c r="CG1617"/>
      <c r="CH1617"/>
      <c r="CI1617"/>
      <c r="CJ1617"/>
      <c r="CK1617"/>
      <c r="CL1617"/>
      <c r="CM1617"/>
      <c r="CN1617"/>
      <c r="CO1617"/>
      <c r="CP1617"/>
      <c r="CQ1617"/>
      <c r="CR1617"/>
      <c r="CS1617"/>
      <c r="CT1617"/>
      <c r="CU1617"/>
      <c r="CV1617"/>
      <c r="CW1617"/>
      <c r="CX1617"/>
      <c r="CY1617"/>
      <c r="CZ1617"/>
      <c r="DA1617"/>
      <c r="DB1617"/>
      <c r="DC1617"/>
      <c r="DD1617"/>
      <c r="DE1617"/>
      <c r="DF1617"/>
      <c r="DG1617"/>
      <c r="DH1617"/>
      <c r="DI1617"/>
      <c r="DJ1617"/>
      <c r="DK1617"/>
      <c r="DL1617"/>
      <c r="DM1617"/>
      <c r="DN1617"/>
      <c r="DO1617"/>
      <c r="DP1617"/>
      <c r="DQ1617"/>
      <c r="DR1617"/>
      <c r="DS1617"/>
      <c r="DT1617"/>
      <c r="DU1617"/>
      <c r="DV1617"/>
      <c r="DW1617"/>
      <c r="DX1617"/>
      <c r="DY1617"/>
      <c r="DZ1617"/>
      <c r="EA1617"/>
      <c r="EB1617"/>
      <c r="EC1617"/>
      <c r="ED1617"/>
      <c r="EE1617"/>
      <c r="EF1617"/>
      <c r="EG1617"/>
      <c r="EH1617"/>
      <c r="EI1617"/>
      <c r="EJ1617"/>
      <c r="EK1617"/>
      <c r="EL1617"/>
      <c r="EM1617"/>
      <c r="EN1617"/>
      <c r="EO1617"/>
      <c r="EP1617"/>
      <c r="EQ1617"/>
      <c r="ER1617"/>
      <c r="ES1617"/>
    </row>
    <row r="1618" spans="1:149">
      <c r="A1618"/>
      <c r="B1618"/>
      <c r="C1618"/>
      <c r="D1618"/>
      <c r="E1618"/>
      <c r="F1618"/>
      <c r="G1618"/>
      <c r="H1618"/>
      <c r="I1618"/>
      <c r="J1618"/>
      <c r="K1618"/>
      <c r="L1618"/>
      <c r="M1618"/>
      <c r="N1618"/>
      <c r="O1618"/>
      <c r="P1618"/>
      <c r="Q1618"/>
      <c r="R1618"/>
      <c r="S1618"/>
      <c r="T1618"/>
      <c r="U1618"/>
      <c r="V1618"/>
      <c r="W1618"/>
      <c r="X1618"/>
      <c r="Y1618"/>
      <c r="Z1618"/>
      <c r="AA1618"/>
      <c r="AB1618"/>
      <c r="AC1618"/>
      <c r="AD1618"/>
      <c r="AE1618"/>
      <c r="AF1618"/>
      <c r="AG1618"/>
      <c r="AH1618"/>
      <c r="AI1618"/>
      <c r="AJ1618"/>
      <c r="AK1618"/>
      <c r="AL1618"/>
      <c r="AM1618"/>
      <c r="AN1618"/>
      <c r="AO1618"/>
      <c r="AP1618"/>
      <c r="AQ1618"/>
      <c r="AR1618"/>
      <c r="AS1618"/>
      <c r="AT1618"/>
      <c r="AU1618"/>
      <c r="AV1618"/>
      <c r="AW1618"/>
      <c r="AX1618"/>
      <c r="AY1618"/>
      <c r="AZ1618"/>
      <c r="BA1618"/>
      <c r="BB1618"/>
      <c r="BC1618"/>
      <c r="BD1618"/>
      <c r="BE1618"/>
      <c r="BF1618"/>
      <c r="BG1618"/>
      <c r="BH1618"/>
      <c r="BI1618"/>
      <c r="BJ1618"/>
      <c r="BK1618"/>
      <c r="BL1618"/>
      <c r="BM1618"/>
      <c r="BN1618"/>
      <c r="BO1618"/>
      <c r="BP1618"/>
      <c r="BQ1618"/>
      <c r="BR1618"/>
      <c r="BS1618"/>
      <c r="BT1618"/>
      <c r="BU1618"/>
      <c r="BV1618"/>
      <c r="BW1618"/>
      <c r="BX1618"/>
      <c r="BY1618"/>
      <c r="BZ1618"/>
      <c r="CA1618"/>
      <c r="CB1618"/>
      <c r="CC1618"/>
      <c r="CD1618"/>
      <c r="CE1618"/>
      <c r="CF1618"/>
      <c r="CG1618"/>
      <c r="CH1618"/>
      <c r="CI1618"/>
      <c r="CJ1618"/>
      <c r="CK1618"/>
      <c r="CL1618"/>
      <c r="CM1618"/>
      <c r="CN1618"/>
      <c r="CO1618"/>
      <c r="CP1618"/>
      <c r="CQ1618"/>
      <c r="CR1618"/>
      <c r="CS1618"/>
      <c r="CT1618"/>
      <c r="CU1618"/>
      <c r="CV1618"/>
      <c r="CW1618"/>
      <c r="CX1618"/>
      <c r="CY1618"/>
      <c r="CZ1618"/>
      <c r="DA1618"/>
      <c r="DB1618"/>
      <c r="DC1618"/>
      <c r="DD1618"/>
      <c r="DE1618"/>
      <c r="DF1618"/>
      <c r="DG1618"/>
      <c r="DH1618"/>
      <c r="DI1618"/>
      <c r="DJ1618"/>
      <c r="DK1618"/>
      <c r="DL1618"/>
      <c r="DM1618"/>
      <c r="DN1618"/>
      <c r="DO1618"/>
      <c r="DP1618"/>
      <c r="DQ1618"/>
      <c r="DR1618"/>
      <c r="DS1618"/>
      <c r="DT1618"/>
      <c r="DU1618"/>
      <c r="DV1618"/>
      <c r="DW1618"/>
      <c r="DX1618"/>
      <c r="DY1618"/>
      <c r="DZ1618"/>
      <c r="EA1618"/>
      <c r="EB1618"/>
      <c r="EC1618"/>
      <c r="ED1618"/>
      <c r="EE1618"/>
      <c r="EF1618"/>
      <c r="EG1618"/>
      <c r="EH1618"/>
      <c r="EI1618"/>
      <c r="EJ1618"/>
      <c r="EK1618"/>
      <c r="EL1618"/>
      <c r="EM1618"/>
      <c r="EN1618"/>
      <c r="EO1618"/>
      <c r="EP1618"/>
      <c r="EQ1618"/>
      <c r="ER1618"/>
      <c r="ES1618"/>
    </row>
    <row r="1619" spans="1:149">
      <c r="A1619"/>
      <c r="B1619"/>
      <c r="C1619"/>
      <c r="D1619"/>
      <c r="E1619"/>
      <c r="F1619"/>
      <c r="G1619"/>
      <c r="H1619"/>
      <c r="I1619"/>
      <c r="J1619"/>
      <c r="K1619"/>
      <c r="L1619"/>
      <c r="M1619"/>
      <c r="N1619"/>
      <c r="O1619"/>
      <c r="P1619"/>
      <c r="Q1619"/>
      <c r="R1619"/>
      <c r="S1619"/>
      <c r="T1619"/>
      <c r="U1619"/>
      <c r="V1619"/>
      <c r="W1619"/>
      <c r="X1619"/>
      <c r="Y1619"/>
      <c r="Z1619"/>
      <c r="AA1619"/>
      <c r="AB1619"/>
      <c r="AC1619"/>
      <c r="AD1619"/>
      <c r="AE1619"/>
      <c r="AF1619"/>
      <c r="AG1619"/>
      <c r="AH1619"/>
      <c r="AI1619"/>
      <c r="AJ1619"/>
      <c r="AK1619"/>
      <c r="AL1619"/>
      <c r="AM1619"/>
      <c r="AN1619"/>
      <c r="AO1619"/>
      <c r="AP1619"/>
      <c r="AQ1619"/>
      <c r="AR1619"/>
      <c r="AS1619"/>
      <c r="AT1619"/>
      <c r="AU1619"/>
      <c r="AV1619"/>
      <c r="AW1619"/>
      <c r="AX1619"/>
      <c r="AY1619"/>
      <c r="AZ1619"/>
      <c r="BA1619"/>
      <c r="BB1619"/>
      <c r="BC1619"/>
      <c r="BD1619"/>
      <c r="BE1619"/>
      <c r="BF1619"/>
      <c r="BG1619"/>
      <c r="BH1619"/>
      <c r="BI1619"/>
      <c r="BJ1619"/>
      <c r="BK1619"/>
      <c r="BL1619"/>
      <c r="BM1619"/>
      <c r="BN1619"/>
      <c r="BO1619"/>
      <c r="BP1619"/>
      <c r="BQ1619"/>
      <c r="BR1619"/>
      <c r="BS1619"/>
      <c r="BT1619"/>
      <c r="BU1619"/>
      <c r="BV1619"/>
      <c r="BW1619"/>
      <c r="BX1619"/>
      <c r="BY1619"/>
      <c r="BZ1619"/>
      <c r="CA1619"/>
      <c r="CB1619"/>
      <c r="CC1619"/>
      <c r="CD1619"/>
      <c r="CE1619"/>
      <c r="CF1619"/>
      <c r="CG1619"/>
      <c r="CH1619"/>
      <c r="CI1619"/>
      <c r="CJ1619"/>
      <c r="CK1619"/>
      <c r="CL1619"/>
      <c r="CM1619"/>
      <c r="CN1619"/>
      <c r="CO1619"/>
      <c r="CP1619"/>
      <c r="CQ1619"/>
      <c r="CR1619"/>
      <c r="CS1619"/>
      <c r="CT1619"/>
      <c r="CU1619"/>
      <c r="CV1619"/>
      <c r="CW1619"/>
      <c r="CX1619"/>
      <c r="CY1619"/>
      <c r="CZ1619"/>
      <c r="DA1619"/>
      <c r="DB1619"/>
      <c r="DC1619"/>
      <c r="DD1619"/>
      <c r="DE1619"/>
      <c r="DF1619"/>
      <c r="DG1619"/>
      <c r="DH1619"/>
      <c r="DI1619"/>
      <c r="DJ1619"/>
      <c r="DK1619"/>
      <c r="DL1619"/>
      <c r="DM1619"/>
      <c r="DN1619"/>
      <c r="DO1619"/>
      <c r="DP1619"/>
      <c r="DQ1619"/>
      <c r="DR1619"/>
      <c r="DS1619"/>
      <c r="DT1619"/>
      <c r="DU1619"/>
      <c r="DV1619"/>
      <c r="DW1619"/>
      <c r="DX1619"/>
      <c r="DY1619"/>
      <c r="DZ1619"/>
      <c r="EA1619"/>
      <c r="EB1619"/>
      <c r="EC1619"/>
      <c r="ED1619"/>
      <c r="EE1619"/>
      <c r="EF1619"/>
      <c r="EG1619"/>
      <c r="EH1619"/>
      <c r="EI1619"/>
      <c r="EJ1619"/>
      <c r="EK1619"/>
      <c r="EL1619"/>
      <c r="EM1619"/>
      <c r="EN1619"/>
      <c r="EO1619"/>
      <c r="EP1619"/>
      <c r="EQ1619"/>
      <c r="ER1619"/>
      <c r="ES1619"/>
    </row>
    <row r="1620" spans="1:149">
      <c r="A1620"/>
      <c r="B1620"/>
      <c r="C1620"/>
      <c r="D1620"/>
      <c r="E1620"/>
      <c r="F1620"/>
      <c r="G1620"/>
      <c r="H1620"/>
      <c r="I1620"/>
      <c r="J1620"/>
      <c r="K1620"/>
      <c r="L1620"/>
      <c r="M1620"/>
      <c r="N1620"/>
      <c r="O1620"/>
      <c r="P1620"/>
      <c r="Q1620"/>
      <c r="R1620"/>
      <c r="S1620"/>
      <c r="T1620"/>
      <c r="U1620"/>
      <c r="V1620"/>
      <c r="W1620"/>
      <c r="X1620"/>
      <c r="Y1620"/>
      <c r="Z1620"/>
      <c r="AA1620"/>
      <c r="AB1620"/>
      <c r="AC1620"/>
      <c r="AD1620"/>
      <c r="AE1620"/>
      <c r="AF1620"/>
      <c r="AG1620"/>
      <c r="AH1620"/>
      <c r="AI1620"/>
      <c r="AJ1620"/>
      <c r="AK1620"/>
      <c r="AL1620"/>
      <c r="AM1620"/>
      <c r="AN1620"/>
      <c r="AO1620"/>
      <c r="AP1620"/>
      <c r="AQ1620"/>
      <c r="AR1620"/>
      <c r="AS1620"/>
      <c r="AT1620"/>
      <c r="AU1620"/>
      <c r="AV1620"/>
      <c r="AW1620"/>
      <c r="AX1620"/>
      <c r="AY1620"/>
      <c r="AZ1620"/>
      <c r="BA1620"/>
      <c r="BB1620"/>
      <c r="BC1620"/>
      <c r="BD1620"/>
      <c r="BE1620"/>
      <c r="BF1620"/>
      <c r="BG1620"/>
      <c r="BH1620"/>
      <c r="BI1620"/>
      <c r="BJ1620"/>
      <c r="BK1620"/>
      <c r="BL1620"/>
      <c r="BM1620"/>
      <c r="BN1620"/>
      <c r="BO1620"/>
      <c r="BP1620"/>
      <c r="BQ1620"/>
      <c r="BR1620"/>
      <c r="BS1620"/>
      <c r="BT1620"/>
      <c r="BU1620"/>
      <c r="BV1620"/>
      <c r="BW1620"/>
      <c r="BX1620"/>
      <c r="BY1620"/>
      <c r="BZ1620"/>
      <c r="CA1620"/>
      <c r="CB1620"/>
      <c r="CC1620"/>
      <c r="CD1620"/>
      <c r="CE1620"/>
      <c r="CF1620"/>
      <c r="CG1620"/>
      <c r="CH1620"/>
      <c r="CI1620"/>
      <c r="CJ1620"/>
      <c r="CK1620"/>
      <c r="CL1620"/>
      <c r="CM1620"/>
      <c r="CN1620"/>
      <c r="CO1620"/>
      <c r="CP1620"/>
      <c r="CQ1620"/>
      <c r="CR1620"/>
      <c r="CS1620"/>
      <c r="CT1620"/>
      <c r="CU1620"/>
      <c r="CV1620"/>
      <c r="CW1620"/>
      <c r="CX1620"/>
      <c r="CY1620"/>
      <c r="CZ1620"/>
      <c r="DA1620"/>
      <c r="DB1620"/>
      <c r="DC1620"/>
      <c r="DD1620"/>
      <c r="DE1620"/>
      <c r="DF1620"/>
      <c r="DG1620"/>
      <c r="DH1620"/>
      <c r="DI1620"/>
      <c r="DJ1620"/>
      <c r="DK1620"/>
      <c r="DL1620"/>
      <c r="DM1620"/>
      <c r="DN1620"/>
      <c r="DO1620"/>
      <c r="DP1620"/>
      <c r="DQ1620"/>
      <c r="DR1620"/>
      <c r="DS1620"/>
      <c r="DT1620"/>
      <c r="DU1620"/>
      <c r="DV1620"/>
      <c r="DW1620"/>
      <c r="DX1620"/>
      <c r="DY1620"/>
      <c r="DZ1620"/>
      <c r="EA1620"/>
      <c r="EB1620"/>
      <c r="EC1620"/>
      <c r="ED1620"/>
      <c r="EE1620"/>
      <c r="EF1620"/>
      <c r="EG1620"/>
      <c r="EH1620"/>
      <c r="EI1620"/>
      <c r="EJ1620"/>
      <c r="EK1620"/>
      <c r="EL1620"/>
      <c r="EM1620"/>
      <c r="EN1620"/>
      <c r="EO1620"/>
      <c r="EP1620"/>
      <c r="EQ1620"/>
      <c r="ER1620"/>
      <c r="ES1620"/>
    </row>
    <row r="1621" spans="1:149">
      <c r="A1621"/>
      <c r="B1621"/>
      <c r="C1621"/>
      <c r="D1621"/>
      <c r="E1621"/>
      <c r="F1621"/>
      <c r="G1621"/>
      <c r="H1621"/>
      <c r="I1621"/>
      <c r="J1621"/>
      <c r="K1621"/>
      <c r="L1621"/>
      <c r="M1621"/>
      <c r="N1621"/>
      <c r="O1621"/>
      <c r="P1621"/>
      <c r="Q1621"/>
      <c r="R1621"/>
      <c r="S1621"/>
      <c r="T1621"/>
      <c r="U1621"/>
      <c r="V1621"/>
      <c r="W1621"/>
      <c r="X1621"/>
      <c r="Y1621"/>
      <c r="Z1621"/>
      <c r="AA1621"/>
      <c r="AB1621"/>
      <c r="AC1621"/>
      <c r="AD1621"/>
      <c r="AE1621"/>
      <c r="AF1621"/>
      <c r="AG1621"/>
      <c r="AH1621"/>
      <c r="AI1621"/>
      <c r="AJ1621"/>
      <c r="AK1621"/>
      <c r="AL1621"/>
      <c r="AM1621"/>
      <c r="AN1621"/>
      <c r="AO1621"/>
      <c r="AP1621"/>
      <c r="AQ1621"/>
      <c r="AR1621"/>
      <c r="AS1621"/>
      <c r="AT1621"/>
      <c r="AU1621"/>
      <c r="AV1621"/>
      <c r="AW1621"/>
      <c r="AX1621"/>
      <c r="AY1621"/>
      <c r="AZ1621"/>
      <c r="BA1621"/>
      <c r="BB1621"/>
      <c r="BC1621"/>
      <c r="BD1621"/>
      <c r="BE1621"/>
      <c r="BF1621"/>
      <c r="BG1621"/>
      <c r="BH1621"/>
      <c r="BI1621"/>
      <c r="BJ1621"/>
      <c r="BK1621"/>
      <c r="BL1621"/>
      <c r="BM1621"/>
      <c r="BN1621"/>
      <c r="BO1621"/>
      <c r="BP1621"/>
      <c r="BQ1621"/>
      <c r="BR1621"/>
      <c r="BS1621"/>
      <c r="BT1621"/>
      <c r="BU1621"/>
      <c r="BV1621"/>
      <c r="BW1621"/>
      <c r="BX1621"/>
      <c r="BY1621"/>
      <c r="BZ1621"/>
      <c r="CA1621"/>
      <c r="CB1621"/>
      <c r="CC1621"/>
      <c r="CD1621"/>
      <c r="CE1621"/>
      <c r="CF1621"/>
      <c r="CG1621"/>
      <c r="CH1621"/>
      <c r="CI1621"/>
      <c r="CJ1621"/>
      <c r="CK1621"/>
      <c r="CL1621"/>
      <c r="CM1621"/>
      <c r="CN1621"/>
      <c r="CO1621"/>
      <c r="CP1621"/>
      <c r="CQ1621"/>
      <c r="CR1621"/>
      <c r="CS1621"/>
      <c r="CT1621"/>
      <c r="CU1621"/>
      <c r="CV1621"/>
      <c r="CW1621"/>
      <c r="CX1621"/>
      <c r="CY1621"/>
      <c r="CZ1621"/>
      <c r="DA1621"/>
      <c r="DB1621"/>
      <c r="DC1621"/>
      <c r="DD1621"/>
      <c r="DE1621"/>
      <c r="DF1621"/>
      <c r="DG1621"/>
      <c r="DH1621"/>
      <c r="DI1621"/>
      <c r="DJ1621"/>
      <c r="DK1621"/>
      <c r="DL1621"/>
      <c r="DM1621"/>
      <c r="DN1621"/>
      <c r="DO1621"/>
      <c r="DP1621"/>
      <c r="DQ1621"/>
      <c r="DR1621"/>
      <c r="DS1621"/>
      <c r="DT1621"/>
      <c r="DU1621"/>
      <c r="DV1621"/>
      <c r="DW1621"/>
      <c r="DX1621"/>
      <c r="DY1621"/>
      <c r="DZ1621"/>
      <c r="EA1621"/>
      <c r="EB1621"/>
      <c r="EC1621"/>
      <c r="ED1621"/>
      <c r="EE1621"/>
      <c r="EF1621"/>
      <c r="EG1621"/>
      <c r="EH1621"/>
      <c r="EI1621"/>
      <c r="EJ1621"/>
      <c r="EK1621"/>
      <c r="EL1621"/>
      <c r="EM1621"/>
      <c r="EN1621"/>
      <c r="EO1621"/>
      <c r="EP1621"/>
      <c r="EQ1621"/>
      <c r="ER1621"/>
      <c r="ES1621"/>
    </row>
    <row r="1622" spans="1:149">
      <c r="A1622"/>
      <c r="B1622"/>
      <c r="C1622"/>
      <c r="D1622"/>
      <c r="E1622"/>
      <c r="F1622"/>
      <c r="G1622"/>
      <c r="H1622"/>
      <c r="I1622"/>
      <c r="J1622"/>
      <c r="K1622"/>
      <c r="L1622"/>
      <c r="M1622"/>
      <c r="N1622"/>
      <c r="O1622"/>
      <c r="P1622"/>
      <c r="Q1622"/>
      <c r="R1622"/>
      <c r="S1622"/>
      <c r="T1622"/>
      <c r="U1622"/>
      <c r="V1622"/>
      <c r="W1622"/>
      <c r="X1622"/>
      <c r="Y1622"/>
      <c r="Z1622"/>
      <c r="AA1622"/>
      <c r="AB1622"/>
      <c r="AC1622"/>
      <c r="AD1622"/>
      <c r="AE1622"/>
      <c r="AF1622"/>
      <c r="AG1622"/>
      <c r="AH1622"/>
      <c r="AI1622"/>
      <c r="AJ1622"/>
      <c r="AK1622"/>
      <c r="AL1622"/>
      <c r="AM1622"/>
      <c r="AN1622"/>
      <c r="AO1622"/>
      <c r="AP1622"/>
      <c r="AQ1622"/>
      <c r="AR1622"/>
      <c r="AS1622"/>
      <c r="AT1622"/>
      <c r="AU1622"/>
      <c r="AV1622"/>
      <c r="AW1622"/>
      <c r="AX1622"/>
      <c r="AY1622"/>
      <c r="AZ1622"/>
      <c r="BA1622"/>
      <c r="BB1622"/>
      <c r="BC1622"/>
      <c r="BD1622"/>
      <c r="BE1622"/>
      <c r="BF1622"/>
      <c r="BG1622"/>
      <c r="BH1622"/>
      <c r="BI1622"/>
      <c r="BJ1622"/>
      <c r="BK1622"/>
      <c r="BL1622"/>
      <c r="BM1622"/>
      <c r="BN1622"/>
      <c r="BO1622"/>
      <c r="BP1622"/>
      <c r="BQ1622"/>
      <c r="BR1622"/>
      <c r="BS1622"/>
      <c r="BT1622"/>
      <c r="BU1622"/>
      <c r="BV1622"/>
      <c r="BW1622"/>
      <c r="BX1622"/>
      <c r="BY1622"/>
      <c r="BZ1622"/>
      <c r="CA1622"/>
      <c r="CB1622"/>
      <c r="CC1622"/>
      <c r="CD1622"/>
      <c r="CE1622"/>
      <c r="CF1622"/>
      <c r="CG1622"/>
      <c r="CH1622"/>
      <c r="CI1622"/>
      <c r="CJ1622"/>
      <c r="CK1622"/>
      <c r="CL1622"/>
      <c r="CM1622"/>
      <c r="CN1622"/>
      <c r="CO1622"/>
      <c r="CP1622"/>
      <c r="CQ1622"/>
      <c r="CR1622"/>
      <c r="CS1622"/>
      <c r="CT1622"/>
      <c r="CU1622"/>
      <c r="CV1622"/>
      <c r="CW1622"/>
      <c r="CX1622"/>
      <c r="CY1622"/>
      <c r="CZ1622"/>
      <c r="DA1622"/>
      <c r="DB1622"/>
      <c r="DC1622"/>
      <c r="DD1622"/>
      <c r="DE1622"/>
      <c r="DF1622"/>
      <c r="DG1622"/>
      <c r="DH1622"/>
      <c r="DI1622"/>
      <c r="DJ1622"/>
      <c r="DK1622"/>
      <c r="DL1622"/>
      <c r="DM1622"/>
      <c r="DN1622"/>
      <c r="DO1622"/>
      <c r="DP1622"/>
      <c r="DQ1622"/>
      <c r="DR1622"/>
      <c r="DS1622"/>
      <c r="DT1622"/>
      <c r="DU1622"/>
      <c r="DV1622"/>
      <c r="DW1622"/>
      <c r="DX1622"/>
      <c r="DY1622"/>
      <c r="DZ1622"/>
      <c r="EA1622"/>
      <c r="EB1622"/>
      <c r="EC1622"/>
      <c r="ED1622"/>
      <c r="EE1622"/>
      <c r="EF1622"/>
      <c r="EG1622"/>
      <c r="EH1622"/>
      <c r="EI1622"/>
      <c r="EJ1622"/>
      <c r="EK1622"/>
      <c r="EL1622"/>
      <c r="EM1622"/>
      <c r="EN1622"/>
      <c r="EO1622"/>
      <c r="EP1622"/>
      <c r="EQ1622"/>
      <c r="ER1622"/>
      <c r="ES1622"/>
    </row>
    <row r="1623" spans="1:149">
      <c r="A1623"/>
      <c r="B1623"/>
      <c r="C1623"/>
      <c r="D1623"/>
      <c r="E1623"/>
      <c r="F1623"/>
      <c r="G1623"/>
      <c r="H1623"/>
      <c r="I1623"/>
      <c r="J1623"/>
      <c r="K1623"/>
      <c r="L1623"/>
      <c r="M1623"/>
      <c r="N1623"/>
      <c r="O1623"/>
      <c r="P1623"/>
      <c r="Q1623"/>
      <c r="R1623"/>
      <c r="S1623"/>
      <c r="T1623"/>
      <c r="U1623"/>
      <c r="V1623"/>
      <c r="W1623"/>
      <c r="X1623"/>
      <c r="Y1623"/>
      <c r="Z1623"/>
      <c r="AA1623"/>
      <c r="AB1623"/>
      <c r="AC1623"/>
      <c r="AD1623"/>
      <c r="AE1623"/>
      <c r="AF1623"/>
      <c r="AG1623"/>
      <c r="AH1623"/>
      <c r="AI1623"/>
      <c r="AJ1623"/>
      <c r="AK1623"/>
      <c r="AL1623"/>
      <c r="AM1623"/>
      <c r="AN1623"/>
      <c r="AO1623"/>
      <c r="AP1623"/>
      <c r="AQ1623"/>
      <c r="AR1623"/>
      <c r="AS1623"/>
      <c r="AT1623"/>
      <c r="AU1623"/>
      <c r="AV1623"/>
      <c r="AW1623"/>
      <c r="AX1623"/>
      <c r="AY1623"/>
      <c r="AZ1623"/>
      <c r="BA1623"/>
      <c r="BB1623"/>
      <c r="BC1623"/>
      <c r="BD1623"/>
      <c r="BE1623"/>
      <c r="BF1623"/>
      <c r="BG1623"/>
      <c r="BH1623"/>
      <c r="BI1623"/>
      <c r="BJ1623"/>
      <c r="BK1623"/>
      <c r="BL1623"/>
      <c r="BM1623"/>
      <c r="BN1623"/>
      <c r="BO1623"/>
      <c r="BP1623"/>
      <c r="BQ1623"/>
      <c r="BR1623"/>
      <c r="BS1623"/>
      <c r="BT1623"/>
      <c r="BU1623"/>
      <c r="BV1623"/>
      <c r="BW1623"/>
      <c r="BX1623"/>
      <c r="BY1623"/>
      <c r="BZ1623"/>
      <c r="CA1623"/>
      <c r="CB1623"/>
      <c r="CC1623"/>
      <c r="CD1623"/>
      <c r="CE1623"/>
      <c r="CF1623"/>
      <c r="CG1623"/>
      <c r="CH1623"/>
      <c r="CI1623"/>
      <c r="CJ1623"/>
      <c r="CK1623"/>
      <c r="CL1623"/>
      <c r="CM1623"/>
      <c r="CN1623"/>
      <c r="CO1623"/>
      <c r="CP1623"/>
      <c r="CQ1623"/>
      <c r="CR1623"/>
      <c r="CS1623"/>
      <c r="CT1623"/>
      <c r="CU1623"/>
      <c r="CV1623"/>
      <c r="CW1623"/>
      <c r="CX1623"/>
      <c r="CY1623"/>
      <c r="CZ1623"/>
      <c r="DA1623"/>
      <c r="DB1623"/>
      <c r="DC1623"/>
      <c r="DD1623"/>
      <c r="DE1623"/>
      <c r="DF1623"/>
      <c r="DG1623"/>
      <c r="DH1623"/>
      <c r="DI1623"/>
      <c r="DJ1623"/>
      <c r="DK1623"/>
      <c r="DL1623"/>
      <c r="DM1623"/>
      <c r="DN1623"/>
      <c r="DO1623"/>
      <c r="DP1623"/>
      <c r="DQ1623"/>
      <c r="DR1623"/>
      <c r="DS1623"/>
      <c r="DT1623"/>
      <c r="DU1623"/>
      <c r="DV1623"/>
      <c r="DW1623"/>
      <c r="DX1623"/>
      <c r="DY1623"/>
      <c r="DZ1623"/>
      <c r="EA1623"/>
      <c r="EB1623"/>
      <c r="EC1623"/>
      <c r="ED1623"/>
      <c r="EE1623"/>
      <c r="EF1623"/>
      <c r="EG1623"/>
      <c r="EH1623"/>
      <c r="EI1623"/>
      <c r="EJ1623"/>
      <c r="EK1623"/>
      <c r="EL1623"/>
      <c r="EM1623"/>
      <c r="EN1623"/>
      <c r="EO1623"/>
      <c r="EP1623"/>
      <c r="EQ1623"/>
      <c r="ER1623"/>
      <c r="ES1623"/>
    </row>
    <row r="1624" spans="1:149">
      <c r="A1624"/>
      <c r="B1624"/>
      <c r="C1624"/>
      <c r="D1624"/>
      <c r="E1624"/>
      <c r="F1624"/>
      <c r="G1624"/>
      <c r="H1624"/>
      <c r="I1624"/>
      <c r="J1624"/>
      <c r="K1624"/>
      <c r="L1624"/>
      <c r="M1624"/>
      <c r="N1624"/>
      <c r="O1624"/>
      <c r="P1624"/>
      <c r="Q1624"/>
      <c r="R1624"/>
      <c r="S1624"/>
      <c r="T1624"/>
      <c r="U1624"/>
      <c r="V1624"/>
      <c r="W1624"/>
      <c r="X1624"/>
      <c r="Y1624"/>
      <c r="Z1624"/>
      <c r="AA1624"/>
      <c r="AB1624"/>
      <c r="AC1624"/>
      <c r="AD1624"/>
      <c r="AE1624"/>
      <c r="AF1624"/>
      <c r="AG1624"/>
      <c r="AH1624"/>
      <c r="AI1624"/>
      <c r="AJ1624"/>
      <c r="AK1624"/>
      <c r="AL1624"/>
      <c r="AM1624"/>
      <c r="AN1624"/>
      <c r="AO1624"/>
      <c r="AP1624"/>
      <c r="AQ1624"/>
      <c r="AR1624"/>
      <c r="AS1624"/>
      <c r="AT1624"/>
      <c r="AU1624"/>
      <c r="AV1624"/>
      <c r="AW1624"/>
      <c r="AX1624"/>
      <c r="AY1624"/>
      <c r="AZ1624"/>
      <c r="BA1624"/>
      <c r="BB1624"/>
      <c r="BC1624"/>
      <c r="BD1624"/>
      <c r="BE1624"/>
      <c r="BF1624"/>
      <c r="BG1624"/>
      <c r="BH1624"/>
      <c r="BI1624"/>
      <c r="BJ1624"/>
      <c r="BK1624"/>
      <c r="BL1624"/>
      <c r="BM1624"/>
      <c r="BN1624"/>
      <c r="BO1624"/>
      <c r="BP1624"/>
      <c r="BQ1624"/>
      <c r="BR1624"/>
      <c r="BS1624"/>
      <c r="BT1624"/>
      <c r="BU1624"/>
      <c r="BV1624"/>
      <c r="BW1624"/>
      <c r="BX1624"/>
      <c r="BY1624"/>
      <c r="BZ1624"/>
      <c r="CA1624"/>
      <c r="CB1624"/>
      <c r="CC1624"/>
      <c r="CD1624"/>
      <c r="CE1624"/>
      <c r="CF1624"/>
      <c r="CG1624"/>
      <c r="CH1624"/>
      <c r="CI1624"/>
      <c r="CJ1624"/>
      <c r="CK1624"/>
      <c r="CL1624"/>
      <c r="CM1624"/>
      <c r="CN1624"/>
      <c r="CO1624"/>
      <c r="CP1624"/>
      <c r="CQ1624"/>
      <c r="CR1624"/>
      <c r="CS1624"/>
      <c r="CT1624"/>
      <c r="CU1624"/>
      <c r="CV1624"/>
      <c r="CW1624"/>
      <c r="CX1624"/>
      <c r="CY1624"/>
      <c r="CZ1624"/>
      <c r="DA1624"/>
      <c r="DB1624"/>
      <c r="DC1624"/>
      <c r="DD1624"/>
      <c r="DE1624"/>
      <c r="DF1624"/>
      <c r="DG1624"/>
      <c r="DH1624"/>
      <c r="DI1624"/>
      <c r="DJ1624"/>
      <c r="DK1624"/>
      <c r="DL1624"/>
      <c r="DM1624"/>
      <c r="DN1624"/>
      <c r="DO1624"/>
      <c r="DP1624"/>
      <c r="DQ1624"/>
      <c r="DR1624"/>
      <c r="DS1624"/>
      <c r="DT1624"/>
      <c r="DU1624"/>
      <c r="DV1624"/>
      <c r="DW1624"/>
      <c r="DX1624"/>
      <c r="DY1624"/>
      <c r="DZ1624"/>
      <c r="EA1624"/>
      <c r="EB1624"/>
      <c r="EC1624"/>
      <c r="ED1624"/>
      <c r="EE1624"/>
      <c r="EF1624"/>
      <c r="EG1624"/>
      <c r="EH1624"/>
      <c r="EI1624"/>
      <c r="EJ1624"/>
      <c r="EK1624"/>
      <c r="EL1624"/>
      <c r="EM1624"/>
      <c r="EN1624"/>
      <c r="EO1624"/>
      <c r="EP1624"/>
      <c r="EQ1624"/>
      <c r="ER1624"/>
      <c r="ES1624"/>
    </row>
    <row r="1625" spans="1:149">
      <c r="A1625"/>
      <c r="B1625"/>
      <c r="C1625"/>
      <c r="D1625"/>
      <c r="E1625"/>
      <c r="F1625"/>
      <c r="G1625"/>
      <c r="H1625"/>
      <c r="I1625"/>
      <c r="J1625"/>
      <c r="K1625"/>
      <c r="L1625"/>
      <c r="M1625"/>
      <c r="N1625"/>
      <c r="O1625"/>
      <c r="P1625"/>
      <c r="Q1625"/>
      <c r="R1625"/>
      <c r="S1625"/>
      <c r="T1625"/>
      <c r="U1625"/>
      <c r="V1625"/>
      <c r="W1625"/>
      <c r="X1625"/>
      <c r="Y1625"/>
      <c r="Z1625"/>
      <c r="AA1625"/>
      <c r="AB1625"/>
      <c r="AC1625"/>
      <c r="AD1625"/>
      <c r="AE1625"/>
      <c r="AF1625"/>
      <c r="AG1625"/>
      <c r="AH1625"/>
      <c r="AI1625"/>
      <c r="AJ1625"/>
      <c r="AK1625"/>
      <c r="AL1625"/>
      <c r="AM1625"/>
      <c r="AN1625"/>
      <c r="AO1625"/>
      <c r="AP1625"/>
      <c r="AQ1625"/>
      <c r="AR1625"/>
      <c r="AS1625"/>
      <c r="AT1625"/>
      <c r="AU1625"/>
      <c r="AV1625"/>
      <c r="AW1625"/>
      <c r="AX1625"/>
      <c r="AY1625"/>
      <c r="AZ1625"/>
      <c r="BA1625"/>
      <c r="BB1625"/>
      <c r="BC1625"/>
      <c r="BD1625"/>
      <c r="BE1625"/>
      <c r="BF1625"/>
      <c r="BG1625"/>
      <c r="BH1625"/>
      <c r="BI1625"/>
      <c r="BJ1625"/>
      <c r="BK1625"/>
      <c r="BL1625"/>
      <c r="BM1625"/>
      <c r="BN1625"/>
      <c r="BO1625"/>
      <c r="BP1625"/>
      <c r="BQ1625"/>
      <c r="BR1625"/>
      <c r="BS1625"/>
      <c r="BT1625"/>
      <c r="BU1625"/>
      <c r="BV1625"/>
      <c r="BW1625"/>
      <c r="BX1625"/>
      <c r="BY1625"/>
      <c r="BZ1625"/>
      <c r="CA1625"/>
      <c r="CB1625"/>
      <c r="CC1625"/>
      <c r="CD1625"/>
      <c r="CE1625"/>
      <c r="CF1625"/>
      <c r="CG1625"/>
      <c r="CH1625"/>
      <c r="CI1625"/>
      <c r="CJ1625"/>
      <c r="CK1625"/>
      <c r="CL1625"/>
      <c r="CM1625"/>
      <c r="CN1625"/>
      <c r="CO1625"/>
      <c r="CP1625"/>
      <c r="CQ1625"/>
      <c r="CR1625"/>
      <c r="CS1625"/>
      <c r="CT1625"/>
      <c r="CU1625"/>
      <c r="CV1625"/>
      <c r="CW1625"/>
      <c r="CX1625"/>
      <c r="CY1625"/>
      <c r="CZ1625"/>
      <c r="DA1625"/>
      <c r="DB1625"/>
      <c r="DC1625"/>
      <c r="DD1625"/>
      <c r="DE1625"/>
      <c r="DF1625"/>
      <c r="DG1625"/>
      <c r="DH1625"/>
      <c r="DI1625"/>
      <c r="DJ1625"/>
      <c r="DK1625"/>
      <c r="DL1625"/>
      <c r="DM1625"/>
      <c r="DN1625"/>
      <c r="DO1625"/>
      <c r="DP1625"/>
      <c r="DQ1625"/>
      <c r="DR1625"/>
      <c r="DS1625"/>
      <c r="DT1625"/>
      <c r="DU1625"/>
      <c r="DV1625"/>
      <c r="DW1625"/>
      <c r="DX1625"/>
      <c r="DY1625"/>
      <c r="DZ1625"/>
      <c r="EA1625"/>
      <c r="EB1625"/>
      <c r="EC1625"/>
      <c r="ED1625"/>
      <c r="EE1625"/>
      <c r="EF1625"/>
      <c r="EG1625"/>
      <c r="EH1625"/>
      <c r="EI1625"/>
      <c r="EJ1625"/>
      <c r="EK1625"/>
      <c r="EL1625"/>
      <c r="EM1625"/>
      <c r="EN1625"/>
      <c r="EO1625"/>
      <c r="EP1625"/>
      <c r="EQ1625"/>
      <c r="ER1625"/>
      <c r="ES1625"/>
    </row>
    <row r="1626" spans="1:149">
      <c r="A1626"/>
      <c r="B1626"/>
      <c r="C1626"/>
      <c r="D1626"/>
      <c r="E1626"/>
      <c r="F1626"/>
      <c r="G1626"/>
      <c r="H1626"/>
      <c r="I1626"/>
      <c r="J1626"/>
      <c r="K1626"/>
      <c r="L1626"/>
      <c r="M1626"/>
      <c r="N1626"/>
      <c r="O1626"/>
      <c r="P1626"/>
      <c r="Q1626"/>
      <c r="R1626"/>
      <c r="S1626"/>
      <c r="T1626"/>
      <c r="U1626"/>
      <c r="V1626"/>
      <c r="W1626"/>
      <c r="X1626"/>
      <c r="Y1626"/>
      <c r="Z1626"/>
      <c r="AA1626"/>
      <c r="AB1626"/>
      <c r="AC1626"/>
      <c r="AD1626"/>
      <c r="AE1626"/>
      <c r="AF1626"/>
      <c r="AG1626"/>
      <c r="AH1626"/>
      <c r="AI1626"/>
      <c r="AJ1626"/>
      <c r="AK1626"/>
      <c r="AL1626"/>
      <c r="AM1626"/>
      <c r="AN1626"/>
      <c r="AO1626"/>
      <c r="AP1626"/>
      <c r="AQ1626"/>
      <c r="AR1626"/>
      <c r="AS1626"/>
      <c r="AT1626"/>
      <c r="AU1626"/>
      <c r="AV1626"/>
      <c r="AW1626"/>
      <c r="AX1626"/>
      <c r="AY1626"/>
      <c r="AZ1626"/>
      <c r="BA1626"/>
      <c r="BB1626"/>
      <c r="BC1626"/>
      <c r="BD1626"/>
      <c r="BE1626"/>
      <c r="BF1626"/>
      <c r="BG1626"/>
      <c r="BH1626"/>
      <c r="BI1626"/>
      <c r="BJ1626"/>
      <c r="BK1626"/>
      <c r="BL1626"/>
      <c r="BM1626"/>
      <c r="BN1626"/>
      <c r="BO1626"/>
      <c r="BP1626"/>
      <c r="BQ1626"/>
      <c r="BR1626"/>
      <c r="BS1626"/>
      <c r="BT1626"/>
      <c r="BU1626"/>
      <c r="BV1626"/>
      <c r="BW1626"/>
      <c r="BX1626"/>
      <c r="BY1626"/>
      <c r="BZ1626"/>
      <c r="CA1626"/>
      <c r="CB1626"/>
      <c r="CC1626"/>
      <c r="CD1626"/>
      <c r="CE1626"/>
      <c r="CF1626"/>
      <c r="CG1626"/>
      <c r="CH1626"/>
      <c r="CI1626"/>
      <c r="CJ1626"/>
      <c r="CK1626"/>
      <c r="CL1626"/>
      <c r="CM1626"/>
      <c r="CN1626"/>
      <c r="CO1626"/>
      <c r="CP1626"/>
      <c r="CQ1626"/>
      <c r="CR1626"/>
      <c r="CS1626"/>
      <c r="CT1626"/>
      <c r="CU1626"/>
      <c r="CV1626"/>
      <c r="CW1626"/>
      <c r="CX1626"/>
      <c r="CY1626"/>
      <c r="CZ1626"/>
      <c r="DA1626"/>
      <c r="DB1626"/>
      <c r="DC1626"/>
      <c r="DD1626"/>
      <c r="DE1626"/>
      <c r="DF1626"/>
      <c r="DG1626"/>
      <c r="DH1626"/>
      <c r="DI1626"/>
      <c r="DJ1626"/>
      <c r="DK1626"/>
      <c r="DL1626"/>
      <c r="DM1626"/>
      <c r="DN1626"/>
      <c r="DO1626"/>
      <c r="DP1626"/>
      <c r="DQ1626"/>
      <c r="DR1626"/>
      <c r="DS1626"/>
      <c r="DT1626"/>
      <c r="DU1626"/>
      <c r="DV1626"/>
      <c r="DW1626"/>
      <c r="DX1626"/>
      <c r="DY1626"/>
      <c r="DZ1626"/>
      <c r="EA1626"/>
      <c r="EB1626"/>
      <c r="EC1626"/>
      <c r="ED1626"/>
      <c r="EE1626"/>
      <c r="EF1626"/>
      <c r="EG1626"/>
      <c r="EH1626"/>
      <c r="EI1626"/>
      <c r="EJ1626"/>
      <c r="EK1626"/>
      <c r="EL1626"/>
      <c r="EM1626"/>
      <c r="EN1626"/>
      <c r="EO1626"/>
      <c r="EP1626"/>
      <c r="EQ1626"/>
      <c r="ER1626"/>
      <c r="ES1626"/>
    </row>
    <row r="1627" spans="1:149">
      <c r="A1627"/>
      <c r="B1627"/>
      <c r="C1627"/>
      <c r="D1627"/>
      <c r="E1627"/>
      <c r="F1627"/>
      <c r="G1627"/>
      <c r="H1627"/>
      <c r="I1627"/>
      <c r="J1627"/>
      <c r="K1627"/>
      <c r="L1627"/>
      <c r="M1627"/>
      <c r="N1627"/>
      <c r="O1627"/>
      <c r="P1627"/>
      <c r="Q1627"/>
      <c r="R1627"/>
      <c r="S1627"/>
      <c r="T1627"/>
      <c r="U1627"/>
      <c r="V1627"/>
      <c r="W1627"/>
      <c r="X1627"/>
      <c r="Y1627"/>
      <c r="Z1627"/>
      <c r="AA1627"/>
      <c r="AB1627"/>
      <c r="AC1627"/>
      <c r="AD1627"/>
      <c r="AE1627"/>
      <c r="AF1627"/>
      <c r="AG1627"/>
      <c r="AH1627"/>
      <c r="AI1627"/>
      <c r="AJ1627"/>
      <c r="AK1627"/>
      <c r="AL1627"/>
      <c r="AM1627"/>
      <c r="AN1627"/>
      <c r="AO1627"/>
      <c r="AP1627"/>
      <c r="AQ1627"/>
      <c r="AR1627"/>
      <c r="AS1627"/>
      <c r="AT1627"/>
      <c r="AU1627"/>
      <c r="AV1627"/>
      <c r="AW1627"/>
      <c r="AX1627"/>
      <c r="AY1627"/>
      <c r="AZ1627"/>
      <c r="BA1627"/>
      <c r="BB1627"/>
      <c r="BC1627"/>
      <c r="BD1627"/>
      <c r="BE1627"/>
      <c r="BF1627"/>
      <c r="BG1627"/>
      <c r="BH1627"/>
      <c r="BI1627"/>
      <c r="BJ1627"/>
      <c r="BK1627"/>
      <c r="BL1627"/>
      <c r="BM1627"/>
      <c r="BN1627"/>
      <c r="BO1627"/>
      <c r="BP1627"/>
      <c r="BQ1627"/>
      <c r="BR1627"/>
      <c r="BS1627"/>
      <c r="BT1627"/>
      <c r="BU1627"/>
      <c r="BV1627"/>
      <c r="BW1627"/>
      <c r="BX1627"/>
      <c r="BY1627"/>
      <c r="BZ1627"/>
      <c r="CA1627"/>
      <c r="CB1627"/>
      <c r="CC1627"/>
      <c r="CD1627"/>
      <c r="CE1627"/>
      <c r="CF1627"/>
      <c r="CG1627"/>
      <c r="CH1627"/>
      <c r="CI1627"/>
      <c r="CJ1627"/>
      <c r="CK1627"/>
      <c r="CL1627"/>
      <c r="CM1627"/>
      <c r="CN1627"/>
      <c r="CO1627"/>
      <c r="CP1627"/>
      <c r="CQ1627"/>
      <c r="CR1627"/>
      <c r="CS1627"/>
      <c r="CT1627"/>
      <c r="CU1627"/>
      <c r="CV1627"/>
      <c r="CW1627"/>
      <c r="CX1627"/>
      <c r="CY1627"/>
      <c r="CZ1627"/>
      <c r="DA1627"/>
      <c r="DB1627"/>
      <c r="DC1627"/>
      <c r="DD1627"/>
      <c r="DE1627"/>
      <c r="DF1627"/>
      <c r="DG1627"/>
      <c r="DH1627"/>
      <c r="DI1627"/>
      <c r="DJ1627"/>
      <c r="DK1627"/>
      <c r="DL1627"/>
      <c r="DM1627"/>
      <c r="DN1627"/>
      <c r="DO1627"/>
      <c r="DP1627"/>
      <c r="DQ1627"/>
      <c r="DR1627"/>
      <c r="DS1627"/>
      <c r="DT1627"/>
      <c r="DU1627"/>
      <c r="DV1627"/>
      <c r="DW1627"/>
      <c r="DX1627"/>
      <c r="DY1627"/>
      <c r="DZ1627"/>
      <c r="EA1627"/>
      <c r="EB1627"/>
      <c r="EC1627"/>
      <c r="ED1627"/>
      <c r="EE1627"/>
      <c r="EF1627"/>
      <c r="EG1627"/>
      <c r="EH1627"/>
      <c r="EI1627"/>
      <c r="EJ1627"/>
      <c r="EK1627"/>
      <c r="EL1627"/>
      <c r="EM1627"/>
      <c r="EN1627"/>
      <c r="EO1627"/>
      <c r="EP1627"/>
      <c r="EQ1627"/>
      <c r="ER1627"/>
      <c r="ES1627"/>
    </row>
    <row r="1628" spans="1:149">
      <c r="A1628"/>
      <c r="B1628"/>
      <c r="C1628"/>
      <c r="D1628"/>
      <c r="E1628"/>
      <c r="F1628"/>
      <c r="G1628"/>
      <c r="H1628"/>
      <c r="I1628"/>
      <c r="J1628"/>
      <c r="K1628"/>
      <c r="L1628"/>
      <c r="M1628"/>
      <c r="N1628"/>
      <c r="O1628"/>
      <c r="P1628"/>
      <c r="Q1628"/>
      <c r="R1628"/>
      <c r="S1628"/>
      <c r="T1628"/>
      <c r="U1628"/>
      <c r="V1628"/>
      <c r="W1628"/>
      <c r="X1628"/>
      <c r="Y1628"/>
      <c r="Z1628"/>
      <c r="AA1628"/>
      <c r="AB1628"/>
      <c r="AC1628"/>
      <c r="AD1628"/>
      <c r="AE1628"/>
      <c r="AF1628"/>
      <c r="AG1628"/>
      <c r="AH1628"/>
      <c r="AI1628"/>
      <c r="AJ1628"/>
      <c r="AK1628"/>
      <c r="AL1628"/>
      <c r="AM1628"/>
      <c r="AN1628"/>
      <c r="AO1628"/>
      <c r="AP1628"/>
      <c r="AQ1628"/>
      <c r="AR1628"/>
      <c r="AS1628"/>
      <c r="AT1628"/>
      <c r="AU1628"/>
      <c r="AV1628"/>
      <c r="AW1628"/>
      <c r="AX1628"/>
      <c r="AY1628"/>
      <c r="AZ1628"/>
      <c r="BA1628"/>
      <c r="BB1628"/>
      <c r="BC1628"/>
      <c r="BD1628"/>
      <c r="BE1628"/>
      <c r="BF1628"/>
      <c r="BG1628"/>
      <c r="BH1628"/>
      <c r="BI1628"/>
      <c r="BJ1628"/>
      <c r="BK1628"/>
      <c r="BL1628"/>
      <c r="BM1628"/>
      <c r="BN1628"/>
      <c r="BO1628"/>
      <c r="BP1628"/>
      <c r="BQ1628"/>
      <c r="BR1628"/>
      <c r="BS1628"/>
      <c r="BT1628"/>
      <c r="BU1628"/>
      <c r="BV1628"/>
      <c r="BW1628"/>
      <c r="BX1628"/>
      <c r="BY1628"/>
      <c r="BZ1628"/>
      <c r="CA1628"/>
      <c r="CB1628"/>
      <c r="CC1628"/>
      <c r="CD1628"/>
      <c r="CE1628"/>
      <c r="CF1628"/>
      <c r="CG1628"/>
      <c r="CH1628"/>
      <c r="CI1628"/>
      <c r="CJ1628"/>
      <c r="CK1628"/>
      <c r="CL1628"/>
      <c r="CM1628"/>
      <c r="CN1628"/>
      <c r="CO1628"/>
      <c r="CP1628"/>
      <c r="CQ1628"/>
      <c r="CR1628"/>
      <c r="CS1628"/>
      <c r="CT1628"/>
      <c r="CU1628"/>
      <c r="CV1628"/>
      <c r="CW1628"/>
      <c r="CX1628"/>
      <c r="CY1628"/>
      <c r="CZ1628"/>
      <c r="DA1628"/>
      <c r="DB1628"/>
      <c r="DC1628"/>
      <c r="DD1628"/>
      <c r="DE1628"/>
      <c r="DF1628"/>
      <c r="DG1628"/>
      <c r="DH1628"/>
      <c r="DI1628"/>
      <c r="DJ1628"/>
      <c r="DK1628"/>
      <c r="DL1628"/>
      <c r="DM1628"/>
      <c r="DN1628"/>
      <c r="DO1628"/>
      <c r="DP1628"/>
      <c r="DQ1628"/>
      <c r="DR1628"/>
      <c r="DS1628"/>
      <c r="DT1628"/>
      <c r="DU1628"/>
      <c r="DV1628"/>
      <c r="DW1628"/>
      <c r="DX1628"/>
      <c r="DY1628"/>
      <c r="DZ1628"/>
      <c r="EA1628"/>
      <c r="EB1628"/>
      <c r="EC1628"/>
      <c r="ED1628"/>
      <c r="EE1628"/>
      <c r="EF1628"/>
      <c r="EG1628"/>
      <c r="EH1628"/>
      <c r="EI1628"/>
      <c r="EJ1628"/>
      <c r="EK1628"/>
      <c r="EL1628"/>
      <c r="EM1628"/>
      <c r="EN1628"/>
      <c r="EO1628"/>
      <c r="EP1628"/>
      <c r="EQ1628"/>
      <c r="ER1628"/>
      <c r="ES1628"/>
    </row>
    <row r="1629" spans="1:149">
      <c r="A1629"/>
      <c r="B1629"/>
      <c r="C1629"/>
      <c r="D1629"/>
      <c r="E1629"/>
      <c r="F1629"/>
      <c r="G1629"/>
      <c r="H1629"/>
      <c r="I1629"/>
      <c r="J1629"/>
      <c r="K1629"/>
      <c r="L1629"/>
      <c r="M1629"/>
      <c r="N1629"/>
      <c r="O1629"/>
      <c r="P1629"/>
      <c r="Q1629"/>
      <c r="R1629"/>
      <c r="S1629"/>
      <c r="T1629"/>
      <c r="U1629"/>
      <c r="V1629"/>
      <c r="W1629"/>
      <c r="X1629"/>
      <c r="Y1629"/>
      <c r="Z1629"/>
      <c r="AA1629"/>
      <c r="AB1629"/>
      <c r="AC1629"/>
      <c r="AD1629"/>
      <c r="AE1629"/>
      <c r="AF1629"/>
      <c r="AG1629"/>
      <c r="AH1629"/>
      <c r="AI1629"/>
      <c r="AJ1629"/>
      <c r="AK1629"/>
      <c r="AL1629"/>
      <c r="AM1629"/>
      <c r="AN1629"/>
      <c r="AO1629"/>
      <c r="AP1629"/>
      <c r="AQ1629"/>
      <c r="AR1629"/>
      <c r="AS1629"/>
      <c r="AT1629"/>
      <c r="AU1629"/>
      <c r="AV1629"/>
      <c r="AW1629"/>
      <c r="AX1629"/>
      <c r="AY1629"/>
      <c r="AZ1629"/>
      <c r="BA1629"/>
      <c r="BB1629"/>
      <c r="BC1629"/>
      <c r="BD1629"/>
      <c r="BE1629"/>
      <c r="BF1629"/>
      <c r="BG1629"/>
      <c r="BH1629"/>
      <c r="BI1629"/>
      <c r="BJ1629"/>
      <c r="BK1629"/>
      <c r="BL1629"/>
      <c r="BM1629"/>
      <c r="BN1629"/>
      <c r="BO1629"/>
      <c r="BP1629"/>
      <c r="BQ1629"/>
      <c r="BR1629"/>
      <c r="BS1629"/>
      <c r="BT1629"/>
      <c r="BU1629"/>
      <c r="BV1629"/>
      <c r="BW1629"/>
      <c r="BX1629"/>
      <c r="BY1629"/>
      <c r="BZ1629"/>
      <c r="CA1629"/>
      <c r="CB1629"/>
      <c r="CC1629"/>
      <c r="CD1629"/>
      <c r="CE1629"/>
      <c r="CF1629"/>
      <c r="CG1629"/>
      <c r="CH1629"/>
      <c r="CI1629"/>
      <c r="CJ1629"/>
      <c r="CK1629"/>
      <c r="CL1629"/>
      <c r="CM1629"/>
      <c r="CN1629"/>
      <c r="CO1629"/>
      <c r="CP1629"/>
      <c r="CQ1629"/>
      <c r="CR1629"/>
      <c r="CS1629"/>
      <c r="CT1629"/>
      <c r="CU1629"/>
      <c r="CV1629"/>
      <c r="CW1629"/>
      <c r="CX1629"/>
      <c r="CY1629"/>
      <c r="CZ1629"/>
      <c r="DA1629"/>
      <c r="DB1629"/>
      <c r="DC1629"/>
      <c r="DD1629"/>
      <c r="DE1629"/>
      <c r="DF1629"/>
      <c r="DG1629"/>
      <c r="DH1629"/>
      <c r="DI1629"/>
      <c r="DJ1629"/>
      <c r="DK1629"/>
      <c r="DL1629"/>
      <c r="DM1629"/>
      <c r="DN1629"/>
      <c r="DO1629"/>
      <c r="DP1629"/>
      <c r="DQ1629"/>
      <c r="DR1629"/>
      <c r="DS1629"/>
      <c r="DT1629"/>
      <c r="DU1629"/>
      <c r="DV1629"/>
      <c r="DW1629"/>
      <c r="DX1629"/>
      <c r="DY1629"/>
      <c r="DZ1629"/>
      <c r="EA1629"/>
      <c r="EB1629"/>
      <c r="EC1629"/>
      <c r="ED1629"/>
      <c r="EE1629"/>
      <c r="EF1629"/>
      <c r="EG1629"/>
      <c r="EH1629"/>
      <c r="EI1629"/>
      <c r="EJ1629"/>
      <c r="EK1629"/>
      <c r="EL1629"/>
      <c r="EM1629"/>
      <c r="EN1629"/>
      <c r="EO1629"/>
      <c r="EP1629"/>
      <c r="EQ1629"/>
      <c r="ER1629"/>
      <c r="ES1629"/>
    </row>
    <row r="1630" spans="1:149">
      <c r="A1630"/>
      <c r="B1630"/>
      <c r="C1630"/>
      <c r="D1630"/>
      <c r="E1630"/>
      <c r="F1630"/>
      <c r="G1630"/>
      <c r="H1630"/>
      <c r="I1630"/>
      <c r="J1630"/>
      <c r="K1630"/>
      <c r="L1630"/>
      <c r="M1630"/>
      <c r="N1630"/>
      <c r="O1630"/>
      <c r="P1630"/>
      <c r="Q1630"/>
      <c r="R1630"/>
      <c r="S1630"/>
      <c r="T1630"/>
      <c r="U1630"/>
      <c r="V1630"/>
      <c r="W1630"/>
      <c r="X1630"/>
      <c r="Y1630"/>
      <c r="Z1630"/>
      <c r="AA1630"/>
      <c r="AB1630"/>
      <c r="AC1630"/>
      <c r="AD1630"/>
      <c r="AE1630"/>
      <c r="AF1630"/>
      <c r="AG1630"/>
      <c r="AH1630"/>
      <c r="AI1630"/>
      <c r="AJ1630"/>
      <c r="AK1630"/>
      <c r="AL1630"/>
      <c r="AM1630"/>
      <c r="AN1630"/>
      <c r="AO1630"/>
      <c r="AP1630"/>
      <c r="AQ1630"/>
      <c r="AR1630"/>
      <c r="AS1630"/>
      <c r="AT1630"/>
      <c r="AU1630"/>
      <c r="AV1630"/>
      <c r="AW1630"/>
      <c r="AX1630"/>
      <c r="AY1630"/>
      <c r="AZ1630"/>
      <c r="BA1630"/>
      <c r="BB1630"/>
      <c r="BC1630"/>
      <c r="BD1630"/>
      <c r="BE1630"/>
      <c r="BF1630"/>
      <c r="BG1630"/>
      <c r="BH1630"/>
      <c r="BI1630"/>
      <c r="BJ1630"/>
      <c r="BK1630"/>
      <c r="BL1630"/>
      <c r="BM1630"/>
      <c r="BN1630"/>
      <c r="BO1630"/>
      <c r="BP1630"/>
      <c r="BQ1630"/>
      <c r="BR1630"/>
      <c r="BS1630"/>
      <c r="BT1630"/>
      <c r="BU1630"/>
      <c r="BV1630"/>
      <c r="BW1630"/>
      <c r="BX1630"/>
      <c r="BY1630"/>
      <c r="BZ1630"/>
      <c r="CA1630"/>
      <c r="CB1630"/>
      <c r="CC1630"/>
      <c r="CD1630"/>
      <c r="CE1630"/>
      <c r="CF1630"/>
      <c r="CG1630"/>
      <c r="CH1630"/>
      <c r="CI1630"/>
      <c r="CJ1630"/>
      <c r="CK1630"/>
      <c r="CL1630"/>
      <c r="CM1630"/>
      <c r="CN1630"/>
      <c r="CO1630"/>
      <c r="CP1630"/>
      <c r="CQ1630"/>
      <c r="CR1630"/>
      <c r="CS1630"/>
      <c r="CT1630"/>
      <c r="CU1630"/>
      <c r="CV1630"/>
      <c r="CW1630"/>
      <c r="CX1630"/>
      <c r="CY1630"/>
      <c r="CZ1630"/>
      <c r="DA1630"/>
      <c r="DB1630"/>
      <c r="DC1630"/>
      <c r="DD1630"/>
      <c r="DE1630"/>
      <c r="DF1630"/>
      <c r="DG1630"/>
      <c r="DH1630"/>
      <c r="DI1630"/>
      <c r="DJ1630"/>
      <c r="DK1630"/>
      <c r="DL1630"/>
      <c r="DM1630"/>
      <c r="DN1630"/>
      <c r="DO1630"/>
      <c r="DP1630"/>
      <c r="DQ1630"/>
      <c r="DR1630"/>
      <c r="DS1630"/>
      <c r="DT1630"/>
      <c r="DU1630"/>
      <c r="DV1630"/>
      <c r="DW1630"/>
      <c r="DX1630"/>
      <c r="DY1630"/>
      <c r="DZ1630"/>
      <c r="EA1630"/>
      <c r="EB1630"/>
      <c r="EC1630"/>
      <c r="ED1630"/>
      <c r="EE1630"/>
      <c r="EF1630"/>
      <c r="EG1630"/>
      <c r="EH1630"/>
      <c r="EI1630"/>
      <c r="EJ1630"/>
      <c r="EK1630"/>
      <c r="EL1630"/>
      <c r="EM1630"/>
      <c r="EN1630"/>
      <c r="EO1630"/>
      <c r="EP1630"/>
      <c r="EQ1630"/>
      <c r="ER1630"/>
      <c r="ES1630"/>
    </row>
    <row r="1631" spans="1:149">
      <c r="A1631"/>
      <c r="B1631"/>
      <c r="C1631"/>
      <c r="D1631"/>
      <c r="E1631"/>
      <c r="F1631"/>
      <c r="G1631"/>
      <c r="H1631"/>
      <c r="I1631"/>
      <c r="J1631"/>
      <c r="K1631"/>
      <c r="L1631"/>
      <c r="M1631"/>
      <c r="N1631"/>
      <c r="O1631"/>
      <c r="P1631"/>
      <c r="Q1631"/>
      <c r="R1631"/>
      <c r="S1631"/>
      <c r="T1631"/>
      <c r="U1631"/>
      <c r="V1631"/>
      <c r="W1631"/>
      <c r="X1631"/>
      <c r="Y1631"/>
      <c r="Z1631"/>
      <c r="AA1631"/>
      <c r="AB1631"/>
      <c r="AC1631"/>
      <c r="AD1631"/>
      <c r="AE1631"/>
      <c r="AF1631"/>
      <c r="AG1631"/>
      <c r="AH1631"/>
      <c r="AI1631"/>
      <c r="AJ1631"/>
      <c r="AK1631"/>
      <c r="AL1631"/>
      <c r="AM1631"/>
      <c r="AN1631"/>
      <c r="AO1631"/>
      <c r="AP1631"/>
      <c r="AQ1631"/>
      <c r="AR1631"/>
      <c r="AS1631"/>
      <c r="AT1631"/>
      <c r="AU1631"/>
      <c r="AV1631"/>
      <c r="AW1631"/>
      <c r="AX1631"/>
      <c r="AY1631"/>
      <c r="AZ1631"/>
      <c r="BA1631"/>
      <c r="BB1631"/>
      <c r="BC1631"/>
      <c r="BD1631"/>
      <c r="BE1631"/>
      <c r="BF1631"/>
      <c r="BG1631"/>
      <c r="BH1631"/>
      <c r="BI1631"/>
      <c r="BJ1631"/>
      <c r="BK1631"/>
      <c r="BL1631"/>
      <c r="BM1631"/>
      <c r="BN1631"/>
      <c r="BO1631"/>
      <c r="BP1631"/>
      <c r="BQ1631"/>
      <c r="BR1631"/>
      <c r="BS1631"/>
      <c r="BT1631"/>
      <c r="BU1631"/>
      <c r="BV1631"/>
      <c r="BW1631"/>
      <c r="BX1631"/>
      <c r="BY1631"/>
      <c r="BZ1631"/>
      <c r="CA1631"/>
      <c r="CB1631"/>
      <c r="CC1631"/>
      <c r="CD1631"/>
      <c r="CE1631"/>
      <c r="CF1631"/>
      <c r="CG1631"/>
      <c r="CH1631"/>
      <c r="CI1631"/>
      <c r="CJ1631"/>
      <c r="CK1631"/>
      <c r="CL1631"/>
      <c r="CM1631"/>
      <c r="CN1631"/>
      <c r="CO1631"/>
      <c r="CP1631"/>
      <c r="CQ1631"/>
      <c r="CR1631"/>
      <c r="CS1631"/>
      <c r="CT1631"/>
      <c r="CU1631"/>
      <c r="CV1631"/>
      <c r="CW1631"/>
      <c r="CX1631"/>
      <c r="CY1631"/>
      <c r="CZ1631"/>
      <c r="DA1631"/>
      <c r="DB1631"/>
      <c r="DC1631"/>
      <c r="DD1631"/>
      <c r="DE1631"/>
      <c r="DF1631"/>
      <c r="DG1631"/>
      <c r="DH1631"/>
      <c r="DI1631"/>
      <c r="DJ1631"/>
      <c r="DK1631"/>
      <c r="DL1631"/>
      <c r="DM1631"/>
      <c r="DN1631"/>
      <c r="DO1631"/>
      <c r="DP1631"/>
      <c r="DQ1631"/>
      <c r="DR1631"/>
      <c r="DS1631"/>
      <c r="DT1631"/>
      <c r="DU1631"/>
      <c r="DV1631"/>
      <c r="DW1631"/>
      <c r="DX1631"/>
      <c r="DY1631"/>
      <c r="DZ1631"/>
      <c r="EA1631"/>
      <c r="EB1631"/>
      <c r="EC1631"/>
      <c r="ED1631"/>
      <c r="EE1631"/>
      <c r="EF1631"/>
      <c r="EG1631"/>
      <c r="EH1631"/>
      <c r="EI1631"/>
      <c r="EJ1631"/>
      <c r="EK1631"/>
      <c r="EL1631"/>
      <c r="EM1631"/>
      <c r="EN1631"/>
      <c r="EO1631"/>
      <c r="EP1631"/>
      <c r="EQ1631"/>
      <c r="ER1631"/>
      <c r="ES1631"/>
    </row>
    <row r="1632" spans="1:149">
      <c r="A1632"/>
      <c r="B1632"/>
      <c r="C1632"/>
      <c r="D1632"/>
      <c r="E1632"/>
      <c r="F1632"/>
      <c r="G1632"/>
      <c r="H1632"/>
      <c r="I1632"/>
      <c r="J1632"/>
      <c r="K1632"/>
      <c r="L1632"/>
      <c r="M1632"/>
      <c r="N1632"/>
      <c r="O1632"/>
      <c r="P1632"/>
      <c r="Q1632"/>
      <c r="R1632"/>
      <c r="S1632"/>
      <c r="T1632"/>
      <c r="U1632"/>
      <c r="V1632"/>
      <c r="W1632"/>
      <c r="X1632"/>
      <c r="Y1632"/>
      <c r="Z1632"/>
      <c r="AA1632"/>
      <c r="AB1632"/>
      <c r="AC1632"/>
      <c r="AD1632"/>
      <c r="AE1632"/>
      <c r="AF1632"/>
      <c r="AG1632"/>
      <c r="AH1632"/>
      <c r="AI1632"/>
      <c r="AJ1632"/>
      <c r="AK1632"/>
      <c r="AL1632"/>
      <c r="AM1632"/>
      <c r="AN1632"/>
      <c r="AO1632"/>
      <c r="AP1632"/>
      <c r="AQ1632"/>
      <c r="AR1632"/>
      <c r="AS1632"/>
      <c r="AT1632"/>
      <c r="AU1632"/>
      <c r="AV1632"/>
      <c r="AW1632"/>
      <c r="AX1632"/>
      <c r="AY1632"/>
      <c r="AZ1632"/>
      <c r="BA1632"/>
      <c r="BB1632"/>
      <c r="BC1632"/>
      <c r="BD1632"/>
      <c r="BE1632"/>
      <c r="BF1632"/>
      <c r="BG1632"/>
      <c r="BH1632"/>
      <c r="BI1632"/>
      <c r="BJ1632"/>
      <c r="BK1632"/>
      <c r="BL1632"/>
      <c r="BM1632"/>
      <c r="BN1632"/>
      <c r="BO1632"/>
      <c r="BP1632"/>
      <c r="BQ1632"/>
      <c r="BR1632"/>
      <c r="BS1632"/>
      <c r="BT1632"/>
      <c r="BU1632"/>
      <c r="BV1632"/>
      <c r="BW1632"/>
      <c r="BX1632"/>
      <c r="BY1632"/>
      <c r="BZ1632"/>
      <c r="CA1632"/>
      <c r="CB1632"/>
      <c r="CC1632"/>
      <c r="CD1632"/>
      <c r="CE1632"/>
      <c r="CF1632"/>
      <c r="CG1632"/>
      <c r="CH1632"/>
      <c r="CI1632"/>
      <c r="CJ1632"/>
      <c r="CK1632"/>
      <c r="CL1632"/>
      <c r="CM1632"/>
      <c r="CN1632"/>
      <c r="CO1632"/>
      <c r="CP1632"/>
      <c r="CQ1632"/>
      <c r="CR1632"/>
      <c r="CS1632"/>
      <c r="CT1632"/>
      <c r="CU1632"/>
      <c r="CV1632"/>
      <c r="CW1632"/>
      <c r="CX1632"/>
      <c r="CY1632"/>
      <c r="CZ1632"/>
      <c r="DA1632"/>
      <c r="DB1632"/>
      <c r="DC1632"/>
      <c r="DD1632"/>
      <c r="DE1632"/>
      <c r="DF1632"/>
      <c r="DG1632"/>
      <c r="DH1632"/>
      <c r="DI1632"/>
      <c r="DJ1632"/>
      <c r="DK1632"/>
      <c r="DL1632"/>
      <c r="DM1632"/>
      <c r="DN1632"/>
      <c r="DO1632"/>
      <c r="DP1632"/>
      <c r="DQ1632"/>
      <c r="DR1632"/>
      <c r="DS1632"/>
      <c r="DT1632"/>
      <c r="DU1632"/>
      <c r="DV1632"/>
      <c r="DW1632"/>
      <c r="DX1632"/>
      <c r="DY1632"/>
      <c r="DZ1632"/>
      <c r="EA1632"/>
      <c r="EB1632"/>
      <c r="EC1632"/>
      <c r="ED1632"/>
      <c r="EE1632"/>
      <c r="EF1632"/>
      <c r="EG1632"/>
      <c r="EH1632"/>
      <c r="EI1632"/>
      <c r="EJ1632"/>
      <c r="EK1632"/>
      <c r="EL1632"/>
      <c r="EM1632"/>
      <c r="EN1632"/>
      <c r="EO1632"/>
      <c r="EP1632"/>
      <c r="EQ1632"/>
      <c r="ER1632"/>
      <c r="ES1632"/>
    </row>
    <row r="1633" spans="1:149">
      <c r="A1633"/>
      <c r="B1633"/>
      <c r="C1633"/>
      <c r="D1633"/>
      <c r="E1633"/>
      <c r="F1633"/>
      <c r="G1633"/>
      <c r="H1633"/>
      <c r="I1633"/>
      <c r="J1633"/>
      <c r="K1633"/>
      <c r="L1633"/>
      <c r="M1633"/>
      <c r="N1633"/>
      <c r="O1633"/>
      <c r="P1633"/>
      <c r="Q1633"/>
      <c r="R1633"/>
      <c r="S1633"/>
      <c r="T1633"/>
      <c r="U1633"/>
      <c r="V1633"/>
      <c r="W1633"/>
      <c r="X1633"/>
      <c r="Y1633"/>
      <c r="Z1633"/>
      <c r="AA1633"/>
      <c r="AB1633"/>
      <c r="AC1633"/>
      <c r="AD1633"/>
      <c r="AE1633"/>
      <c r="AF1633"/>
      <c r="AG1633"/>
      <c r="AH1633"/>
      <c r="AI1633"/>
      <c r="AJ1633"/>
      <c r="AK1633"/>
      <c r="AL1633"/>
      <c r="AM1633"/>
      <c r="AN1633"/>
      <c r="AO1633"/>
      <c r="AP1633"/>
      <c r="AQ1633"/>
      <c r="AR1633"/>
      <c r="AS1633"/>
      <c r="AT1633"/>
      <c r="AU1633"/>
      <c r="AV1633"/>
      <c r="AW1633"/>
      <c r="AX1633"/>
      <c r="AY1633"/>
      <c r="AZ1633"/>
      <c r="BA1633"/>
      <c r="BB1633"/>
      <c r="BC1633"/>
      <c r="BD1633"/>
      <c r="BE1633"/>
      <c r="BF1633"/>
      <c r="BG1633"/>
      <c r="BH1633"/>
      <c r="BI1633"/>
      <c r="BJ1633"/>
      <c r="BK1633"/>
      <c r="BL1633"/>
      <c r="BM1633"/>
      <c r="BN1633"/>
      <c r="BO1633"/>
      <c r="BP1633"/>
      <c r="BQ1633"/>
      <c r="BR1633"/>
      <c r="BS1633"/>
      <c r="BT1633"/>
      <c r="BU1633"/>
      <c r="BV1633"/>
      <c r="BW1633"/>
      <c r="BX1633"/>
      <c r="BY1633"/>
      <c r="BZ1633"/>
      <c r="CA1633"/>
      <c r="CB1633"/>
      <c r="CC1633"/>
      <c r="CD1633"/>
      <c r="CE1633"/>
      <c r="CF1633"/>
      <c r="CG1633"/>
      <c r="CH1633"/>
      <c r="CI1633"/>
      <c r="CJ1633"/>
      <c r="CK1633"/>
      <c r="CL1633"/>
      <c r="CM1633"/>
      <c r="CN1633"/>
      <c r="CO1633"/>
      <c r="CP1633"/>
      <c r="CQ1633"/>
      <c r="CR1633"/>
      <c r="CS1633"/>
      <c r="CT1633"/>
      <c r="CU1633"/>
      <c r="CV1633"/>
      <c r="CW1633"/>
      <c r="CX1633"/>
      <c r="CY1633"/>
      <c r="CZ1633"/>
      <c r="DA1633"/>
      <c r="DB1633"/>
      <c r="DC1633"/>
      <c r="DD1633"/>
      <c r="DE1633"/>
      <c r="DF1633"/>
      <c r="DG1633"/>
      <c r="DH1633"/>
      <c r="DI1633"/>
      <c r="DJ1633"/>
      <c r="DK1633"/>
      <c r="DL1633"/>
      <c r="DM1633"/>
      <c r="DN1633"/>
      <c r="DO1633"/>
      <c r="DP1633"/>
      <c r="DQ1633"/>
      <c r="DR1633"/>
      <c r="DS1633"/>
      <c r="DT1633"/>
      <c r="DU1633"/>
      <c r="DV1633"/>
      <c r="DW1633"/>
      <c r="DX1633"/>
      <c r="DY1633"/>
      <c r="DZ1633"/>
      <c r="EA1633"/>
      <c r="EB1633"/>
      <c r="EC1633"/>
      <c r="ED1633"/>
      <c r="EE1633"/>
      <c r="EF1633"/>
      <c r="EG1633"/>
      <c r="EH1633"/>
      <c r="EI1633"/>
      <c r="EJ1633"/>
      <c r="EK1633"/>
      <c r="EL1633"/>
      <c r="EM1633"/>
      <c r="EN1633"/>
      <c r="EO1633"/>
      <c r="EP1633"/>
      <c r="EQ1633"/>
      <c r="ER1633"/>
      <c r="ES1633"/>
    </row>
    <row r="1634" spans="1:149">
      <c r="A1634"/>
      <c r="B1634"/>
      <c r="C1634"/>
      <c r="D1634"/>
      <c r="E1634"/>
      <c r="F1634"/>
      <c r="G1634"/>
      <c r="H1634"/>
      <c r="I1634"/>
      <c r="J1634"/>
      <c r="K1634"/>
      <c r="L1634"/>
      <c r="M1634"/>
      <c r="N1634"/>
      <c r="O1634"/>
      <c r="P1634"/>
      <c r="Q1634"/>
      <c r="R1634"/>
      <c r="S1634"/>
      <c r="T1634"/>
      <c r="U1634"/>
      <c r="V1634"/>
      <c r="W1634"/>
      <c r="X1634"/>
      <c r="Y1634"/>
      <c r="Z1634"/>
      <c r="AA1634"/>
      <c r="AB1634"/>
      <c r="AC1634"/>
      <c r="AD1634"/>
      <c r="AE1634"/>
      <c r="AF1634"/>
      <c r="AG1634"/>
      <c r="AH1634"/>
      <c r="AI1634"/>
      <c r="AJ1634"/>
      <c r="AK1634"/>
      <c r="AL1634"/>
      <c r="AM1634"/>
      <c r="AN1634"/>
      <c r="AO1634"/>
      <c r="AP1634"/>
      <c r="AQ1634"/>
      <c r="AR1634"/>
      <c r="AS1634"/>
      <c r="AT1634"/>
      <c r="AU1634"/>
      <c r="AV1634"/>
      <c r="AW1634"/>
      <c r="AX1634"/>
      <c r="AY1634"/>
      <c r="AZ1634"/>
      <c r="BA1634"/>
      <c r="BB1634"/>
      <c r="BC1634"/>
      <c r="BD1634"/>
      <c r="BE1634"/>
      <c r="BF1634"/>
      <c r="BG1634"/>
      <c r="BH1634"/>
      <c r="BI1634"/>
      <c r="BJ1634"/>
      <c r="BK1634"/>
      <c r="BL1634"/>
      <c r="BM1634"/>
      <c r="BN1634"/>
      <c r="BO1634"/>
      <c r="BP1634"/>
      <c r="BQ1634"/>
      <c r="BR1634"/>
      <c r="BS1634"/>
      <c r="BT1634"/>
      <c r="BU1634"/>
      <c r="BV1634"/>
      <c r="BW1634"/>
      <c r="BX1634"/>
      <c r="BY1634"/>
      <c r="BZ1634"/>
      <c r="CA1634"/>
      <c r="CB1634"/>
      <c r="CC1634"/>
      <c r="CD1634"/>
      <c r="CE1634"/>
      <c r="CF1634"/>
      <c r="CG1634"/>
      <c r="CH1634"/>
      <c r="CI1634"/>
      <c r="CJ1634"/>
      <c r="CK1634"/>
      <c r="CL1634"/>
      <c r="CM1634"/>
      <c r="CN1634"/>
      <c r="CO1634"/>
      <c r="CP1634"/>
      <c r="CQ1634"/>
      <c r="CR1634"/>
      <c r="CS1634"/>
      <c r="CT1634"/>
      <c r="CU1634"/>
      <c r="CV1634"/>
      <c r="CW1634"/>
      <c r="CX1634"/>
      <c r="CY1634"/>
      <c r="CZ1634"/>
      <c r="DA1634"/>
      <c r="DB1634"/>
      <c r="DC1634"/>
      <c r="DD1634"/>
      <c r="DE1634"/>
      <c r="DF1634"/>
      <c r="DG1634"/>
      <c r="DH1634"/>
      <c r="DI1634"/>
      <c r="DJ1634"/>
      <c r="DK1634"/>
      <c r="DL1634"/>
      <c r="DM1634"/>
      <c r="DN1634"/>
      <c r="DO1634"/>
      <c r="DP1634"/>
      <c r="DQ1634"/>
      <c r="DR1634"/>
      <c r="DS1634"/>
      <c r="DT1634"/>
      <c r="DU1634"/>
      <c r="DV1634"/>
      <c r="DW1634"/>
      <c r="DX1634"/>
      <c r="DY1634"/>
      <c r="DZ1634"/>
      <c r="EA1634"/>
      <c r="EB1634"/>
      <c r="EC1634"/>
      <c r="ED1634"/>
      <c r="EE1634"/>
      <c r="EF1634"/>
      <c r="EG1634"/>
      <c r="EH1634"/>
      <c r="EI1634"/>
      <c r="EJ1634"/>
      <c r="EK1634"/>
      <c r="EL1634"/>
      <c r="EM1634"/>
      <c r="EN1634"/>
      <c r="EO1634"/>
      <c r="EP1634"/>
      <c r="EQ1634"/>
      <c r="ER1634"/>
      <c r="ES1634"/>
    </row>
    <row r="1635" spans="1:149">
      <c r="A1635"/>
      <c r="B1635"/>
      <c r="C1635"/>
      <c r="D1635"/>
      <c r="E1635"/>
      <c r="F1635"/>
      <c r="G1635"/>
      <c r="H1635"/>
      <c r="I1635"/>
      <c r="J1635"/>
      <c r="K1635"/>
      <c r="L1635"/>
      <c r="M1635"/>
      <c r="N1635"/>
      <c r="O1635"/>
      <c r="P1635"/>
      <c r="Q1635"/>
      <c r="R1635"/>
      <c r="S1635"/>
      <c r="T1635"/>
      <c r="U1635"/>
      <c r="V1635"/>
      <c r="W1635"/>
      <c r="X1635"/>
      <c r="Y1635"/>
      <c r="Z1635"/>
      <c r="AA1635"/>
      <c r="AB1635"/>
      <c r="AC1635"/>
      <c r="AD1635"/>
      <c r="AE1635"/>
      <c r="AF1635"/>
      <c r="AG1635"/>
      <c r="AH1635"/>
      <c r="AI1635"/>
      <c r="AJ1635"/>
      <c r="AK1635"/>
      <c r="AL1635"/>
      <c r="AM1635"/>
      <c r="AN1635"/>
      <c r="AO1635"/>
      <c r="AP1635"/>
      <c r="AQ1635"/>
      <c r="AR1635"/>
      <c r="AS1635"/>
      <c r="AT1635"/>
      <c r="AU1635"/>
      <c r="AV1635"/>
      <c r="AW1635"/>
      <c r="AX1635"/>
      <c r="AY1635"/>
      <c r="AZ1635"/>
      <c r="BA1635"/>
      <c r="BB1635"/>
      <c r="BC1635"/>
      <c r="BD1635"/>
      <c r="BE1635"/>
      <c r="BF1635"/>
      <c r="BG1635"/>
      <c r="BH1635"/>
      <c r="BI1635"/>
      <c r="BJ1635"/>
      <c r="BK1635"/>
      <c r="BL1635"/>
      <c r="BM1635"/>
      <c r="BN1635"/>
      <c r="BO1635"/>
      <c r="BP1635"/>
      <c r="BQ1635"/>
      <c r="BR1635"/>
      <c r="BS1635"/>
      <c r="BT1635"/>
      <c r="BU1635"/>
      <c r="BV1635"/>
      <c r="BW1635"/>
      <c r="BX1635"/>
      <c r="BY1635"/>
      <c r="BZ1635"/>
      <c r="CA1635"/>
      <c r="CB1635"/>
      <c r="CC1635"/>
      <c r="CD1635"/>
      <c r="CE1635"/>
      <c r="CF1635"/>
      <c r="CG1635"/>
      <c r="CH1635"/>
      <c r="CI1635"/>
      <c r="CJ1635"/>
      <c r="CK1635"/>
      <c r="CL1635"/>
      <c r="CM1635"/>
      <c r="CN1635"/>
      <c r="CO1635"/>
      <c r="CP1635"/>
      <c r="CQ1635"/>
      <c r="CR1635"/>
      <c r="CS1635"/>
      <c r="CT1635"/>
      <c r="CU1635"/>
      <c r="CV1635"/>
      <c r="CW1635"/>
      <c r="CX1635"/>
      <c r="CY1635"/>
      <c r="CZ1635"/>
      <c r="DA1635"/>
      <c r="DB1635"/>
      <c r="DC1635"/>
      <c r="DD1635"/>
      <c r="DE1635"/>
      <c r="DF1635"/>
      <c r="DG1635"/>
      <c r="DH1635"/>
      <c r="DI1635"/>
      <c r="DJ1635"/>
      <c r="DK1635"/>
      <c r="DL1635"/>
      <c r="DM1635"/>
      <c r="DN1635"/>
      <c r="DO1635"/>
      <c r="DP1635"/>
      <c r="DQ1635"/>
      <c r="DR1635"/>
      <c r="DS1635"/>
      <c r="DT1635"/>
      <c r="DU1635"/>
      <c r="DV1635"/>
      <c r="DW1635"/>
      <c r="DX1635"/>
      <c r="DY1635"/>
      <c r="DZ1635"/>
      <c r="EA1635"/>
      <c r="EB1635"/>
      <c r="EC1635"/>
      <c r="ED1635"/>
      <c r="EE1635"/>
      <c r="EF1635"/>
      <c r="EG1635"/>
      <c r="EH1635"/>
      <c r="EI1635"/>
      <c r="EJ1635"/>
      <c r="EK1635"/>
      <c r="EL1635"/>
      <c r="EM1635"/>
      <c r="EN1635"/>
      <c r="EO1635"/>
      <c r="EP1635"/>
      <c r="EQ1635"/>
      <c r="ER1635"/>
      <c r="ES1635"/>
    </row>
    <row r="1636" spans="1:149">
      <c r="A1636"/>
      <c r="B1636"/>
      <c r="C1636"/>
      <c r="D1636"/>
      <c r="E1636"/>
      <c r="F1636"/>
      <c r="G1636"/>
      <c r="H1636"/>
      <c r="I1636"/>
      <c r="J1636"/>
      <c r="K1636"/>
      <c r="L1636"/>
      <c r="M1636"/>
      <c r="N1636"/>
      <c r="O1636"/>
      <c r="P1636"/>
      <c r="Q1636"/>
      <c r="R1636"/>
      <c r="S1636"/>
      <c r="T1636"/>
      <c r="U1636"/>
      <c r="V1636"/>
      <c r="W1636"/>
      <c r="X1636"/>
      <c r="Y1636"/>
      <c r="Z1636"/>
      <c r="AA1636"/>
      <c r="AB1636"/>
      <c r="AC1636"/>
      <c r="AD1636"/>
      <c r="AE1636"/>
      <c r="AF1636"/>
      <c r="AG1636"/>
      <c r="AH1636"/>
      <c r="AI1636"/>
      <c r="AJ1636"/>
      <c r="AK1636"/>
      <c r="AL1636"/>
      <c r="AM1636"/>
      <c r="AN1636"/>
      <c r="AO1636"/>
      <c r="AP1636"/>
      <c r="AQ1636"/>
      <c r="AR1636"/>
      <c r="AS1636"/>
      <c r="AT1636"/>
      <c r="AU1636"/>
      <c r="AV1636"/>
      <c r="AW1636"/>
      <c r="AX1636"/>
      <c r="AY1636"/>
      <c r="AZ1636"/>
      <c r="BA1636"/>
      <c r="BB1636"/>
      <c r="BC1636"/>
      <c r="BD1636"/>
      <c r="BE1636"/>
      <c r="BF1636"/>
      <c r="BG1636"/>
      <c r="BH1636"/>
      <c r="BI1636"/>
      <c r="BJ1636"/>
      <c r="BK1636"/>
      <c r="BL1636"/>
      <c r="BM1636"/>
      <c r="BN1636"/>
      <c r="BO1636"/>
      <c r="BP1636"/>
      <c r="BQ1636"/>
      <c r="BR1636"/>
      <c r="BS1636"/>
      <c r="BT1636"/>
      <c r="BU1636"/>
      <c r="BV1636"/>
      <c r="BW1636"/>
      <c r="BX1636"/>
      <c r="BY1636"/>
      <c r="BZ1636"/>
      <c r="CA1636"/>
      <c r="CB1636"/>
      <c r="CC1636"/>
      <c r="CD1636"/>
      <c r="CE1636"/>
      <c r="CF1636"/>
      <c r="CG1636"/>
      <c r="CH1636"/>
      <c r="CI1636"/>
      <c r="CJ1636"/>
      <c r="CK1636"/>
      <c r="CL1636"/>
      <c r="CM1636"/>
      <c r="CN1636"/>
      <c r="CO1636"/>
      <c r="CP1636"/>
      <c r="CQ1636"/>
      <c r="CR1636"/>
      <c r="CS1636"/>
      <c r="CT1636"/>
      <c r="CU1636"/>
      <c r="CV1636"/>
      <c r="CW1636"/>
      <c r="CX1636"/>
      <c r="CY1636"/>
      <c r="CZ1636"/>
      <c r="DA1636"/>
      <c r="DB1636"/>
      <c r="DC1636"/>
      <c r="DD1636"/>
      <c r="DE1636"/>
      <c r="DF1636"/>
      <c r="DG1636"/>
      <c r="DH1636"/>
      <c r="DI1636"/>
      <c r="DJ1636"/>
      <c r="DK1636"/>
      <c r="DL1636"/>
      <c r="DM1636"/>
      <c r="DN1636"/>
      <c r="DO1636"/>
      <c r="DP1636"/>
      <c r="DQ1636"/>
      <c r="DR1636"/>
      <c r="DS1636"/>
      <c r="DT1636"/>
      <c r="DU1636"/>
      <c r="DV1636"/>
      <c r="DW1636"/>
      <c r="DX1636"/>
      <c r="DY1636"/>
      <c r="DZ1636"/>
      <c r="EA1636"/>
      <c r="EB1636"/>
      <c r="EC1636"/>
      <c r="ED1636"/>
      <c r="EE1636"/>
      <c r="EF1636"/>
      <c r="EG1636"/>
      <c r="EH1636"/>
      <c r="EI1636"/>
      <c r="EJ1636"/>
      <c r="EK1636"/>
      <c r="EL1636"/>
      <c r="EM1636"/>
      <c r="EN1636"/>
      <c r="EO1636"/>
      <c r="EP1636"/>
      <c r="EQ1636"/>
      <c r="ER1636"/>
      <c r="ES1636"/>
    </row>
    <row r="1637" spans="1:149">
      <c r="A1637"/>
      <c r="B1637"/>
      <c r="C1637"/>
      <c r="D1637"/>
      <c r="E1637"/>
      <c r="F1637"/>
      <c r="G1637"/>
      <c r="H1637"/>
      <c r="I1637"/>
      <c r="J1637"/>
      <c r="K1637"/>
      <c r="L1637"/>
      <c r="M1637"/>
      <c r="N1637"/>
      <c r="O1637"/>
      <c r="P1637"/>
      <c r="Q1637"/>
      <c r="R1637"/>
      <c r="S1637"/>
      <c r="T1637"/>
      <c r="U1637"/>
      <c r="V1637"/>
      <c r="W1637"/>
      <c r="X1637"/>
      <c r="Y1637"/>
      <c r="Z1637"/>
      <c r="AA1637"/>
      <c r="AB1637"/>
      <c r="AC1637"/>
      <c r="AD1637"/>
      <c r="AE1637"/>
      <c r="AF1637"/>
      <c r="AG1637"/>
      <c r="AH1637"/>
      <c r="AI1637"/>
      <c r="AJ1637"/>
      <c r="AK1637"/>
      <c r="AL1637"/>
      <c r="AM1637"/>
      <c r="AN1637"/>
      <c r="AO1637"/>
      <c r="AP1637"/>
      <c r="AQ1637"/>
      <c r="AR1637"/>
      <c r="AS1637"/>
      <c r="AT1637"/>
      <c r="AU1637"/>
      <c r="AV1637"/>
      <c r="AW1637"/>
      <c r="AX1637"/>
      <c r="AY1637"/>
      <c r="AZ1637"/>
      <c r="BA1637"/>
      <c r="BB1637"/>
      <c r="BC1637"/>
      <c r="BD1637"/>
      <c r="BE1637"/>
      <c r="BF1637"/>
      <c r="BG1637"/>
      <c r="BH1637"/>
      <c r="BI1637"/>
      <c r="BJ1637"/>
      <c r="BK1637"/>
      <c r="BL1637"/>
      <c r="BM1637"/>
      <c r="BN1637"/>
      <c r="BO1637"/>
      <c r="BP1637"/>
      <c r="BQ1637"/>
      <c r="BR1637"/>
      <c r="BS1637"/>
      <c r="BT1637"/>
      <c r="BU1637"/>
      <c r="BV1637"/>
      <c r="BW1637"/>
      <c r="BX1637"/>
      <c r="BY1637"/>
      <c r="BZ1637"/>
      <c r="CA1637"/>
      <c r="CB1637"/>
      <c r="CC1637"/>
      <c r="CD1637"/>
      <c r="CE1637"/>
      <c r="CF1637"/>
      <c r="CG1637"/>
      <c r="CH1637"/>
      <c r="CI1637"/>
      <c r="CJ1637"/>
      <c r="CK1637"/>
      <c r="CL1637"/>
      <c r="CM1637"/>
      <c r="CN1637"/>
      <c r="CO1637"/>
      <c r="CP1637"/>
      <c r="CQ1637"/>
      <c r="CR1637"/>
      <c r="CS1637"/>
      <c r="CT1637"/>
      <c r="CU1637"/>
      <c r="CV1637"/>
      <c r="CW1637"/>
      <c r="CX1637"/>
      <c r="CY1637"/>
      <c r="CZ1637"/>
      <c r="DA1637"/>
      <c r="DB1637"/>
      <c r="DC1637"/>
      <c r="DD1637"/>
      <c r="DE1637"/>
      <c r="DF1637"/>
      <c r="DG1637"/>
      <c r="DH1637"/>
      <c r="DI1637"/>
      <c r="DJ1637"/>
      <c r="DK1637"/>
      <c r="DL1637"/>
      <c r="DM1637"/>
      <c r="DN1637"/>
      <c r="DO1637"/>
      <c r="DP1637"/>
      <c r="DQ1637"/>
      <c r="DR1637"/>
      <c r="DS1637"/>
      <c r="DT1637"/>
      <c r="DU1637"/>
      <c r="DV1637"/>
      <c r="DW1637"/>
      <c r="DX1637"/>
      <c r="DY1637"/>
      <c r="DZ1637"/>
      <c r="EA1637"/>
      <c r="EB1637"/>
      <c r="EC1637"/>
      <c r="ED1637"/>
      <c r="EE1637"/>
      <c r="EF1637"/>
      <c r="EG1637"/>
      <c r="EH1637"/>
      <c r="EI1637"/>
      <c r="EJ1637"/>
      <c r="EK1637"/>
      <c r="EL1637"/>
      <c r="EM1637"/>
      <c r="EN1637"/>
      <c r="EO1637"/>
      <c r="EP1637"/>
      <c r="EQ1637"/>
      <c r="ER1637"/>
      <c r="ES1637"/>
    </row>
    <row r="1638" spans="1:149">
      <c r="A1638"/>
      <c r="B1638"/>
      <c r="C1638"/>
      <c r="D1638"/>
      <c r="E1638"/>
      <c r="F1638"/>
      <c r="G1638"/>
      <c r="H1638"/>
      <c r="I1638"/>
      <c r="J1638"/>
      <c r="K1638"/>
      <c r="L1638"/>
      <c r="M1638"/>
      <c r="N1638"/>
      <c r="O1638"/>
      <c r="P1638"/>
      <c r="Q1638"/>
      <c r="R1638"/>
      <c r="S1638"/>
      <c r="T1638"/>
      <c r="U1638"/>
      <c r="V1638"/>
      <c r="W1638"/>
      <c r="X1638"/>
      <c r="Y1638"/>
      <c r="Z1638"/>
      <c r="AA1638"/>
      <c r="AB1638"/>
      <c r="AC1638"/>
      <c r="AD1638"/>
      <c r="AE1638"/>
      <c r="AF1638"/>
      <c r="AG1638"/>
      <c r="AH1638"/>
      <c r="AI1638"/>
      <c r="AJ1638"/>
      <c r="AK1638"/>
      <c r="AL1638"/>
      <c r="AM1638"/>
      <c r="AN1638"/>
      <c r="AO1638"/>
      <c r="AP1638"/>
      <c r="AQ1638"/>
      <c r="AR1638"/>
      <c r="AS1638"/>
      <c r="AT1638"/>
      <c r="AU1638"/>
      <c r="AV1638"/>
      <c r="AW1638"/>
      <c r="AX1638"/>
      <c r="AY1638"/>
      <c r="AZ1638"/>
      <c r="BA1638"/>
      <c r="BB1638"/>
      <c r="BC1638"/>
      <c r="BD1638"/>
      <c r="BE1638"/>
      <c r="BF1638"/>
      <c r="BG1638"/>
      <c r="BH1638"/>
      <c r="BI1638"/>
      <c r="BJ1638"/>
      <c r="BK1638"/>
      <c r="BL1638"/>
      <c r="BM1638"/>
      <c r="BN1638"/>
      <c r="BO1638"/>
      <c r="BP1638"/>
      <c r="BQ1638"/>
      <c r="BR1638"/>
      <c r="BS1638"/>
      <c r="BT1638"/>
      <c r="BU1638"/>
      <c r="BV1638"/>
      <c r="BW1638"/>
      <c r="BX1638"/>
      <c r="BY1638"/>
      <c r="BZ1638"/>
      <c r="CA1638"/>
      <c r="CB1638"/>
      <c r="CC1638"/>
      <c r="CD1638"/>
      <c r="CE1638"/>
      <c r="CF1638"/>
      <c r="CG1638"/>
      <c r="CH1638"/>
      <c r="CI1638"/>
      <c r="CJ1638"/>
      <c r="CK1638"/>
      <c r="CL1638"/>
      <c r="CM1638"/>
      <c r="CN1638"/>
      <c r="CO1638"/>
      <c r="CP1638"/>
      <c r="CQ1638"/>
      <c r="CR1638"/>
      <c r="CS1638"/>
      <c r="CT1638"/>
      <c r="CU1638"/>
      <c r="CV1638"/>
      <c r="CW1638"/>
      <c r="CX1638"/>
      <c r="CY1638"/>
      <c r="CZ1638"/>
      <c r="DA1638"/>
      <c r="DB1638"/>
      <c r="DC1638"/>
      <c r="DD1638"/>
      <c r="DE1638"/>
      <c r="DF1638"/>
      <c r="DG1638"/>
      <c r="DH1638"/>
      <c r="DI1638"/>
      <c r="DJ1638"/>
      <c r="DK1638"/>
      <c r="DL1638"/>
      <c r="DM1638"/>
      <c r="DN1638"/>
      <c r="DO1638"/>
      <c r="DP1638"/>
      <c r="DQ1638"/>
      <c r="DR1638"/>
      <c r="DS1638"/>
      <c r="DT1638"/>
      <c r="DU1638"/>
      <c r="DV1638"/>
      <c r="DW1638"/>
      <c r="DX1638"/>
      <c r="DY1638"/>
      <c r="DZ1638"/>
      <c r="EA1638"/>
      <c r="EB1638"/>
      <c r="EC1638"/>
      <c r="ED1638"/>
      <c r="EE1638"/>
      <c r="EF1638"/>
      <c r="EG1638"/>
      <c r="EH1638"/>
      <c r="EI1638"/>
      <c r="EJ1638"/>
      <c r="EK1638"/>
      <c r="EL1638"/>
      <c r="EM1638"/>
      <c r="EN1638"/>
      <c r="EO1638"/>
      <c r="EP1638"/>
      <c r="EQ1638"/>
      <c r="ER1638"/>
      <c r="ES1638"/>
    </row>
    <row r="1639" spans="1:149">
      <c r="A1639"/>
      <c r="B1639"/>
      <c r="C1639"/>
      <c r="D1639"/>
      <c r="E1639"/>
      <c r="F1639"/>
      <c r="G1639"/>
      <c r="H1639"/>
      <c r="I1639"/>
      <c r="J1639"/>
      <c r="K1639"/>
      <c r="L1639"/>
      <c r="M1639"/>
      <c r="N1639"/>
      <c r="O1639"/>
      <c r="P1639"/>
      <c r="Q1639"/>
      <c r="R1639"/>
      <c r="S1639"/>
      <c r="T1639"/>
      <c r="U1639"/>
      <c r="V1639"/>
      <c r="W1639"/>
      <c r="X1639"/>
      <c r="Y1639"/>
      <c r="Z1639"/>
      <c r="AA1639"/>
      <c r="AB1639"/>
      <c r="AC1639"/>
      <c r="AD1639"/>
      <c r="AE1639"/>
      <c r="AF1639"/>
      <c r="AG1639"/>
      <c r="AH1639"/>
      <c r="AI1639"/>
      <c r="AJ1639"/>
      <c r="AK1639"/>
      <c r="AL1639"/>
      <c r="AM1639"/>
      <c r="AN1639"/>
      <c r="AO1639"/>
      <c r="AP1639"/>
      <c r="AQ1639"/>
      <c r="AR1639"/>
      <c r="AS1639"/>
      <c r="AT1639"/>
      <c r="AU1639"/>
      <c r="AV1639"/>
      <c r="AW1639"/>
      <c r="AX1639"/>
      <c r="AY1639"/>
      <c r="AZ1639"/>
      <c r="BA1639"/>
      <c r="BB1639"/>
      <c r="BC1639"/>
      <c r="BD1639"/>
      <c r="BE1639"/>
      <c r="BF1639"/>
      <c r="BG1639"/>
      <c r="BH1639"/>
      <c r="BI1639"/>
      <c r="BJ1639"/>
      <c r="BK1639"/>
      <c r="BL1639"/>
      <c r="BM1639"/>
      <c r="BN1639"/>
      <c r="BO1639"/>
      <c r="BP1639"/>
      <c r="BQ1639"/>
      <c r="BR1639"/>
      <c r="BS1639"/>
      <c r="BT1639"/>
      <c r="BU1639"/>
      <c r="BV1639"/>
      <c r="BW1639"/>
      <c r="BX1639"/>
      <c r="BY1639"/>
      <c r="BZ1639"/>
      <c r="CA1639"/>
      <c r="CB1639"/>
      <c r="CC1639"/>
      <c r="CD1639"/>
      <c r="CE1639"/>
      <c r="CF1639"/>
      <c r="CG1639"/>
      <c r="CH1639"/>
      <c r="CI1639"/>
      <c r="CJ1639"/>
      <c r="CK1639"/>
      <c r="CL1639"/>
      <c r="CM1639"/>
      <c r="CN1639"/>
      <c r="CO1639"/>
      <c r="CP1639"/>
      <c r="CQ1639"/>
      <c r="CR1639"/>
      <c r="CS1639"/>
      <c r="CT1639"/>
      <c r="CU1639"/>
      <c r="CV1639"/>
      <c r="CW1639"/>
      <c r="CX1639"/>
      <c r="CY1639"/>
      <c r="CZ1639"/>
      <c r="DA1639"/>
      <c r="DB1639"/>
      <c r="DC1639"/>
      <c r="DD1639"/>
      <c r="DE1639"/>
      <c r="DF1639"/>
      <c r="DG1639"/>
      <c r="DH1639"/>
      <c r="DI1639"/>
      <c r="DJ1639"/>
      <c r="DK1639"/>
      <c r="DL1639"/>
      <c r="DM1639"/>
      <c r="DN1639"/>
      <c r="DO1639"/>
      <c r="DP1639"/>
      <c r="DQ1639"/>
      <c r="DR1639"/>
      <c r="DS1639"/>
      <c r="DT1639"/>
      <c r="DU1639"/>
      <c r="DV1639"/>
      <c r="DW1639"/>
      <c r="DX1639"/>
      <c r="DY1639"/>
      <c r="DZ1639"/>
      <c r="EA1639"/>
      <c r="EB1639"/>
      <c r="EC1639"/>
      <c r="ED1639"/>
      <c r="EE1639"/>
      <c r="EF1639"/>
      <c r="EG1639"/>
      <c r="EH1639"/>
      <c r="EI1639"/>
      <c r="EJ1639"/>
      <c r="EK1639"/>
      <c r="EL1639"/>
      <c r="EM1639"/>
      <c r="EN1639"/>
      <c r="EO1639"/>
      <c r="EP1639"/>
      <c r="EQ1639"/>
      <c r="ER1639"/>
      <c r="ES1639"/>
    </row>
    <row r="1640" spans="1:149">
      <c r="A1640"/>
      <c r="B1640"/>
      <c r="C1640"/>
      <c r="D1640"/>
      <c r="E1640"/>
      <c r="F1640"/>
      <c r="G1640"/>
      <c r="H1640"/>
      <c r="I1640"/>
      <c r="J1640"/>
      <c r="K1640"/>
      <c r="L1640"/>
      <c r="M1640"/>
      <c r="N1640"/>
      <c r="O1640"/>
      <c r="P1640"/>
      <c r="Q1640"/>
      <c r="R1640"/>
      <c r="S1640"/>
      <c r="T1640"/>
      <c r="U1640"/>
      <c r="V1640"/>
      <c r="W1640"/>
      <c r="X1640"/>
      <c r="Y1640"/>
      <c r="Z1640"/>
      <c r="AA1640"/>
      <c r="AB1640"/>
      <c r="AC1640"/>
      <c r="AD1640"/>
      <c r="AE1640"/>
      <c r="AF1640"/>
      <c r="AG1640"/>
      <c r="AH1640"/>
      <c r="AI1640"/>
      <c r="AJ1640"/>
      <c r="AK1640"/>
      <c r="AL1640"/>
      <c r="AM1640"/>
      <c r="AN1640"/>
      <c r="AO1640"/>
      <c r="AP1640"/>
      <c r="AQ1640"/>
      <c r="AR1640"/>
      <c r="AS1640"/>
      <c r="AT1640"/>
      <c r="AU1640"/>
      <c r="AV1640"/>
      <c r="AW1640"/>
      <c r="AX1640"/>
      <c r="AY1640"/>
      <c r="AZ1640"/>
      <c r="BA1640"/>
      <c r="BB1640"/>
      <c r="BC1640"/>
      <c r="BD1640"/>
      <c r="BE1640"/>
      <c r="BF1640"/>
      <c r="BG1640"/>
      <c r="BH1640"/>
      <c r="BI1640"/>
      <c r="BJ1640"/>
      <c r="BK1640"/>
      <c r="BL1640"/>
      <c r="BM1640"/>
      <c r="BN1640"/>
      <c r="BO1640"/>
      <c r="BP1640"/>
      <c r="BQ1640"/>
      <c r="BR1640"/>
      <c r="BS1640"/>
      <c r="BT1640"/>
      <c r="BU1640"/>
      <c r="BV1640"/>
      <c r="BW1640"/>
      <c r="BX1640"/>
      <c r="BY1640"/>
      <c r="BZ1640"/>
      <c r="CA1640"/>
      <c r="CB1640"/>
      <c r="CC1640"/>
      <c r="CD1640"/>
      <c r="CE1640"/>
      <c r="CF1640"/>
      <c r="CG1640"/>
      <c r="CH1640"/>
      <c r="CI1640"/>
      <c r="CJ1640"/>
      <c r="CK1640"/>
      <c r="CL1640"/>
      <c r="CM1640"/>
      <c r="CN1640"/>
      <c r="CO1640"/>
      <c r="CP1640"/>
      <c r="CQ1640"/>
      <c r="CR1640"/>
      <c r="CS1640"/>
      <c r="CT1640"/>
      <c r="CU1640"/>
      <c r="CV1640"/>
      <c r="CW1640"/>
      <c r="CX1640"/>
      <c r="CY1640"/>
      <c r="CZ1640"/>
      <c r="DA1640"/>
      <c r="DB1640"/>
      <c r="DC1640"/>
      <c r="DD1640"/>
      <c r="DE1640"/>
      <c r="DF1640"/>
      <c r="DG1640"/>
      <c r="DH1640"/>
      <c r="DI1640"/>
      <c r="DJ1640"/>
      <c r="DK1640"/>
      <c r="DL1640"/>
      <c r="DM1640"/>
      <c r="DN1640"/>
      <c r="DO1640"/>
      <c r="DP1640"/>
      <c r="DQ1640"/>
      <c r="DR1640"/>
      <c r="DS1640"/>
      <c r="DT1640"/>
      <c r="DU1640"/>
      <c r="DV1640"/>
      <c r="DW1640"/>
      <c r="DX1640"/>
      <c r="DY1640"/>
      <c r="DZ1640"/>
      <c r="EA1640"/>
      <c r="EB1640"/>
      <c r="EC1640"/>
      <c r="ED1640"/>
      <c r="EE1640"/>
      <c r="EF1640"/>
      <c r="EG1640"/>
      <c r="EH1640"/>
      <c r="EI1640"/>
      <c r="EJ1640"/>
      <c r="EK1640"/>
      <c r="EL1640"/>
      <c r="EM1640"/>
      <c r="EN1640"/>
      <c r="EO1640"/>
      <c r="EP1640"/>
      <c r="EQ1640"/>
      <c r="ER1640"/>
      <c r="ES1640"/>
    </row>
    <row r="1641" spans="1:149">
      <c r="A1641"/>
      <c r="B1641"/>
      <c r="C1641"/>
      <c r="D1641"/>
      <c r="E1641"/>
      <c r="F1641"/>
      <c r="G1641"/>
      <c r="H1641"/>
      <c r="I1641"/>
      <c r="J1641"/>
      <c r="K1641"/>
      <c r="L1641"/>
      <c r="M1641"/>
      <c r="N1641"/>
      <c r="O1641"/>
      <c r="P1641"/>
      <c r="Q1641"/>
      <c r="R1641"/>
      <c r="S1641"/>
      <c r="T1641"/>
      <c r="U1641"/>
      <c r="V1641"/>
      <c r="W1641"/>
      <c r="X1641"/>
      <c r="Y1641"/>
      <c r="Z1641"/>
      <c r="AA1641"/>
      <c r="AB1641"/>
      <c r="AC1641"/>
      <c r="AD1641"/>
      <c r="AE1641"/>
      <c r="AF1641"/>
      <c r="AG1641"/>
      <c r="AH1641"/>
      <c r="AI1641"/>
      <c r="AJ1641"/>
      <c r="AK1641"/>
      <c r="AL1641"/>
      <c r="AM1641"/>
      <c r="AN1641"/>
      <c r="AO1641"/>
      <c r="AP1641"/>
      <c r="AQ1641"/>
      <c r="AR1641"/>
      <c r="AS1641"/>
      <c r="AT1641"/>
      <c r="AU1641"/>
      <c r="AV1641"/>
      <c r="AW1641"/>
      <c r="AX1641"/>
      <c r="AY1641"/>
      <c r="AZ1641"/>
      <c r="BA1641"/>
      <c r="BB1641"/>
      <c r="BC1641"/>
      <c r="BD1641"/>
      <c r="BE1641"/>
      <c r="BF1641"/>
      <c r="BG1641"/>
      <c r="BH1641"/>
      <c r="BI1641"/>
      <c r="BJ1641"/>
      <c r="BK1641"/>
      <c r="BL1641"/>
      <c r="BM1641"/>
      <c r="BN1641"/>
      <c r="BO1641"/>
      <c r="BP1641"/>
      <c r="BQ1641"/>
      <c r="BR1641"/>
      <c r="BS1641"/>
      <c r="BT1641"/>
      <c r="BU1641"/>
      <c r="BV1641"/>
      <c r="BW1641"/>
      <c r="BX1641"/>
      <c r="BY1641"/>
      <c r="BZ1641"/>
      <c r="CA1641"/>
      <c r="CB1641"/>
      <c r="CC1641"/>
      <c r="CD1641"/>
      <c r="CE1641"/>
      <c r="CF1641"/>
      <c r="CG1641"/>
      <c r="CH1641"/>
      <c r="CI1641"/>
      <c r="CJ1641"/>
      <c r="CK1641"/>
      <c r="CL1641"/>
      <c r="CM1641"/>
      <c r="CN1641"/>
      <c r="CO1641"/>
      <c r="CP1641"/>
      <c r="CQ1641"/>
      <c r="CR1641"/>
      <c r="CS1641"/>
      <c r="CT1641"/>
      <c r="CU1641"/>
      <c r="CV1641"/>
      <c r="CW1641"/>
      <c r="CX1641"/>
      <c r="CY1641"/>
      <c r="CZ1641"/>
      <c r="DA1641"/>
      <c r="DB1641"/>
      <c r="DC1641"/>
      <c r="DD1641"/>
      <c r="DE1641"/>
      <c r="DF1641"/>
      <c r="DG1641"/>
      <c r="DH1641"/>
      <c r="DI1641"/>
      <c r="DJ1641"/>
      <c r="DK1641"/>
      <c r="DL1641"/>
      <c r="DM1641"/>
      <c r="DN1641"/>
      <c r="DO1641"/>
      <c r="DP1641"/>
      <c r="DQ1641"/>
      <c r="DR1641"/>
      <c r="DS1641"/>
      <c r="DT1641"/>
      <c r="DU1641"/>
      <c r="DV1641"/>
      <c r="DW1641"/>
      <c r="DX1641"/>
      <c r="DY1641"/>
      <c r="DZ1641"/>
      <c r="EA1641"/>
      <c r="EB1641"/>
      <c r="EC1641"/>
      <c r="ED1641"/>
      <c r="EE1641"/>
      <c r="EF1641"/>
      <c r="EG1641"/>
      <c r="EH1641"/>
      <c r="EI1641"/>
      <c r="EJ1641"/>
      <c r="EK1641"/>
      <c r="EL1641"/>
      <c r="EM1641"/>
      <c r="EN1641"/>
      <c r="EO1641"/>
      <c r="EP1641"/>
      <c r="EQ1641"/>
      <c r="ER1641"/>
      <c r="ES1641"/>
    </row>
    <row r="1642" spans="1:149">
      <c r="A1642"/>
      <c r="B1642"/>
      <c r="C1642"/>
      <c r="D1642"/>
      <c r="E1642"/>
      <c r="F1642"/>
      <c r="G1642"/>
      <c r="H1642"/>
      <c r="I1642"/>
      <c r="J1642"/>
      <c r="K1642"/>
      <c r="L1642"/>
      <c r="M1642"/>
      <c r="N1642"/>
      <c r="O1642"/>
      <c r="P1642"/>
      <c r="Q1642"/>
      <c r="R1642"/>
      <c r="S1642"/>
      <c r="T1642"/>
      <c r="U1642"/>
      <c r="V1642"/>
      <c r="W1642"/>
      <c r="X1642"/>
      <c r="Y1642"/>
      <c r="Z1642"/>
      <c r="AA1642"/>
      <c r="AB1642"/>
      <c r="AC1642"/>
      <c r="AD1642"/>
      <c r="AE1642"/>
      <c r="AF1642"/>
      <c r="AG1642"/>
      <c r="AH1642"/>
      <c r="AI1642"/>
      <c r="AJ1642"/>
      <c r="AK1642"/>
      <c r="AL1642"/>
      <c r="AM1642"/>
      <c r="AN1642"/>
      <c r="AO1642"/>
      <c r="AP1642"/>
      <c r="AQ1642"/>
      <c r="AR1642"/>
      <c r="AS1642"/>
      <c r="AT1642"/>
      <c r="AU1642"/>
      <c r="AV1642"/>
      <c r="AW1642"/>
      <c r="AX1642"/>
      <c r="AY1642"/>
      <c r="AZ1642"/>
      <c r="BA1642"/>
      <c r="BB1642"/>
      <c r="BC1642"/>
      <c r="BD1642"/>
      <c r="BE1642"/>
      <c r="BF1642"/>
      <c r="BG1642"/>
      <c r="BH1642"/>
      <c r="BI1642"/>
      <c r="BJ1642"/>
      <c r="BK1642"/>
      <c r="BL1642"/>
      <c r="BM1642"/>
      <c r="BN1642"/>
      <c r="BO1642"/>
      <c r="BP1642"/>
      <c r="BQ1642"/>
      <c r="BR1642"/>
      <c r="BS1642"/>
      <c r="BT1642"/>
      <c r="BU1642"/>
      <c r="BV1642"/>
      <c r="BW1642"/>
      <c r="BX1642"/>
      <c r="BY1642"/>
      <c r="BZ1642"/>
      <c r="CA1642"/>
      <c r="CB1642"/>
      <c r="CC1642"/>
      <c r="CD1642"/>
      <c r="CE1642"/>
      <c r="CF1642"/>
      <c r="CG1642"/>
      <c r="CH1642"/>
      <c r="CI1642"/>
      <c r="CJ1642"/>
      <c r="CK1642"/>
      <c r="CL1642"/>
      <c r="CM1642"/>
      <c r="CN1642"/>
      <c r="CO1642"/>
      <c r="CP1642"/>
      <c r="CQ1642"/>
      <c r="CR1642"/>
      <c r="CS1642"/>
      <c r="CT1642"/>
      <c r="CU1642"/>
      <c r="CV1642"/>
      <c r="CW1642"/>
      <c r="CX1642"/>
      <c r="CY1642"/>
      <c r="CZ1642"/>
      <c r="DA1642"/>
      <c r="DB1642"/>
      <c r="DC1642"/>
      <c r="DD1642"/>
      <c r="DE1642"/>
      <c r="DF1642"/>
      <c r="DG1642"/>
      <c r="DH1642"/>
      <c r="DI1642"/>
      <c r="DJ1642"/>
      <c r="DK1642"/>
      <c r="DL1642"/>
      <c r="DM1642"/>
      <c r="DN1642"/>
      <c r="DO1642"/>
      <c r="DP1642"/>
      <c r="DQ1642"/>
      <c r="DR1642"/>
      <c r="DS1642"/>
      <c r="DT1642"/>
      <c r="DU1642"/>
      <c r="DV1642"/>
      <c r="DW1642"/>
      <c r="DX1642"/>
      <c r="DY1642"/>
      <c r="DZ1642"/>
      <c r="EA1642"/>
      <c r="EB1642"/>
      <c r="EC1642"/>
      <c r="ED1642"/>
      <c r="EE1642"/>
      <c r="EF1642"/>
      <c r="EG1642"/>
      <c r="EH1642"/>
      <c r="EI1642"/>
      <c r="EJ1642"/>
      <c r="EK1642"/>
      <c r="EL1642"/>
      <c r="EM1642"/>
      <c r="EN1642"/>
      <c r="EO1642"/>
      <c r="EP1642"/>
      <c r="EQ1642"/>
      <c r="ER1642"/>
      <c r="ES1642"/>
    </row>
    <row r="1643" spans="1:149">
      <c r="A1643"/>
      <c r="B1643"/>
      <c r="C1643"/>
      <c r="D1643"/>
      <c r="E1643"/>
      <c r="F1643"/>
      <c r="G1643"/>
      <c r="H1643"/>
      <c r="I1643"/>
      <c r="J1643"/>
      <c r="K1643"/>
      <c r="L1643"/>
      <c r="M1643"/>
      <c r="N1643"/>
      <c r="O1643"/>
      <c r="P1643"/>
      <c r="Q1643"/>
      <c r="R1643"/>
      <c r="S1643"/>
      <c r="T1643"/>
      <c r="U1643"/>
      <c r="V1643"/>
      <c r="W1643"/>
      <c r="X1643"/>
      <c r="Y1643"/>
      <c r="Z1643"/>
      <c r="AA1643"/>
      <c r="AB1643"/>
      <c r="AC1643"/>
      <c r="AD1643"/>
      <c r="AE1643"/>
      <c r="AF1643"/>
      <c r="AG1643"/>
      <c r="AH1643"/>
      <c r="AI1643"/>
      <c r="AJ1643"/>
      <c r="AK1643"/>
      <c r="AL1643"/>
      <c r="AM1643"/>
      <c r="AN1643"/>
      <c r="AO1643"/>
      <c r="AP1643"/>
      <c r="AQ1643"/>
      <c r="AR1643"/>
      <c r="AS1643"/>
      <c r="AT1643"/>
      <c r="AU1643"/>
      <c r="AV1643"/>
      <c r="AW1643"/>
      <c r="AX1643"/>
      <c r="AY1643"/>
      <c r="AZ1643"/>
      <c r="BA1643"/>
      <c r="BB1643"/>
      <c r="BC1643"/>
      <c r="BD1643"/>
      <c r="BE1643"/>
      <c r="BF1643"/>
      <c r="BG1643"/>
      <c r="BH1643"/>
      <c r="BI1643"/>
      <c r="BJ1643"/>
      <c r="BK1643"/>
      <c r="BL1643"/>
      <c r="BM1643"/>
      <c r="BN1643"/>
      <c r="BO1643"/>
      <c r="BP1643"/>
      <c r="BQ1643"/>
      <c r="BR1643"/>
      <c r="BS1643"/>
      <c r="BT1643"/>
      <c r="BU1643"/>
      <c r="BV1643"/>
      <c r="BW1643"/>
      <c r="BX1643"/>
      <c r="BY1643"/>
      <c r="BZ1643"/>
      <c r="CA1643"/>
      <c r="CB1643"/>
      <c r="CC1643"/>
      <c r="CD1643"/>
      <c r="CE1643"/>
      <c r="CF1643"/>
      <c r="CG1643"/>
      <c r="CH1643"/>
      <c r="CI1643"/>
      <c r="CJ1643"/>
      <c r="CK1643"/>
      <c r="CL1643"/>
      <c r="CM1643"/>
      <c r="CN1643"/>
      <c r="CO1643"/>
      <c r="CP1643"/>
      <c r="CQ1643"/>
      <c r="CR1643"/>
      <c r="CS1643"/>
      <c r="CT1643"/>
      <c r="CU1643"/>
      <c r="CV1643"/>
      <c r="CW1643"/>
      <c r="CX1643"/>
      <c r="CY1643"/>
      <c r="CZ1643"/>
      <c r="DA1643"/>
      <c r="DB1643"/>
      <c r="DC1643"/>
      <c r="DD1643"/>
      <c r="DE1643"/>
      <c r="DF1643"/>
      <c r="DG1643"/>
      <c r="DH1643"/>
      <c r="DI1643"/>
      <c r="DJ1643"/>
      <c r="DK1643"/>
      <c r="DL1643"/>
      <c r="DM1643"/>
      <c r="DN1643"/>
      <c r="DO1643"/>
      <c r="DP1643"/>
      <c r="DQ1643"/>
      <c r="DR1643"/>
      <c r="DS1643"/>
      <c r="DT1643"/>
      <c r="DU1643"/>
      <c r="DV1643"/>
      <c r="DW1643"/>
      <c r="DX1643"/>
      <c r="DY1643"/>
      <c r="DZ1643"/>
      <c r="EA1643"/>
      <c r="EB1643"/>
      <c r="EC1643"/>
      <c r="ED1643"/>
      <c r="EE1643"/>
      <c r="EF1643"/>
      <c r="EG1643"/>
      <c r="EH1643"/>
      <c r="EI1643"/>
      <c r="EJ1643"/>
      <c r="EK1643"/>
      <c r="EL1643"/>
      <c r="EM1643"/>
      <c r="EN1643"/>
      <c r="EO1643"/>
      <c r="EP1643"/>
      <c r="EQ1643"/>
      <c r="ER1643"/>
      <c r="ES1643"/>
    </row>
    <row r="1644" spans="1:149">
      <c r="A1644"/>
      <c r="B1644"/>
      <c r="C1644"/>
      <c r="D1644"/>
      <c r="E1644"/>
      <c r="F1644"/>
      <c r="G1644"/>
      <c r="H1644"/>
      <c r="I1644"/>
      <c r="J1644"/>
      <c r="K1644"/>
      <c r="L1644"/>
      <c r="M1644"/>
      <c r="N1644"/>
      <c r="O1644"/>
      <c r="P1644"/>
      <c r="Q1644"/>
      <c r="R1644"/>
      <c r="S1644"/>
      <c r="T1644"/>
      <c r="U1644"/>
      <c r="V1644"/>
      <c r="W1644"/>
      <c r="X1644"/>
      <c r="Y1644"/>
      <c r="Z1644"/>
      <c r="AA1644"/>
      <c r="AB1644"/>
      <c r="AC1644"/>
      <c r="AD1644"/>
      <c r="AE1644"/>
      <c r="AF1644"/>
      <c r="AG1644"/>
      <c r="AH1644"/>
      <c r="AI1644"/>
      <c r="AJ1644"/>
      <c r="AK1644"/>
      <c r="AL1644"/>
      <c r="AM1644"/>
      <c r="AN1644"/>
      <c r="AO1644"/>
      <c r="AP1644"/>
      <c r="AQ1644"/>
      <c r="AR1644"/>
      <c r="AS1644"/>
      <c r="AT1644"/>
      <c r="AU1644"/>
      <c r="AV1644"/>
      <c r="AW1644"/>
      <c r="AX1644"/>
      <c r="AY1644"/>
      <c r="AZ1644"/>
      <c r="BA1644"/>
      <c r="BB1644"/>
      <c r="BC1644"/>
      <c r="BD1644"/>
      <c r="BE1644"/>
      <c r="BF1644"/>
      <c r="BG1644"/>
      <c r="BH1644"/>
      <c r="BI1644"/>
      <c r="BJ1644"/>
      <c r="BK1644"/>
      <c r="BL1644"/>
      <c r="BM1644"/>
      <c r="BN1644"/>
      <c r="BO1644"/>
      <c r="BP1644"/>
      <c r="BQ1644"/>
      <c r="BR1644"/>
      <c r="BS1644"/>
      <c r="BT1644"/>
      <c r="BU1644"/>
      <c r="BV1644"/>
      <c r="BW1644"/>
      <c r="BX1644"/>
      <c r="BY1644"/>
      <c r="BZ1644"/>
      <c r="CA1644"/>
      <c r="CB1644"/>
      <c r="CC1644"/>
      <c r="CD1644"/>
      <c r="CE1644"/>
      <c r="CF1644"/>
      <c r="CG1644"/>
      <c r="CH1644"/>
      <c r="CI1644"/>
      <c r="CJ1644"/>
      <c r="CK1644"/>
      <c r="CL1644"/>
      <c r="CM1644"/>
      <c r="CN1644"/>
      <c r="CO1644"/>
      <c r="CP1644"/>
      <c r="CQ1644"/>
      <c r="CR1644"/>
      <c r="CS1644"/>
      <c r="CT1644"/>
      <c r="CU1644"/>
      <c r="CV1644"/>
      <c r="CW1644"/>
      <c r="CX1644"/>
      <c r="CY1644"/>
      <c r="CZ1644"/>
      <c r="DA1644"/>
      <c r="DB1644"/>
      <c r="DC1644"/>
      <c r="DD1644"/>
      <c r="DE1644"/>
      <c r="DF1644"/>
      <c r="DG1644"/>
      <c r="DH1644"/>
      <c r="DI1644"/>
      <c r="DJ1644"/>
      <c r="DK1644"/>
      <c r="DL1644"/>
      <c r="DM1644"/>
      <c r="DN1644"/>
      <c r="DO1644"/>
      <c r="DP1644"/>
      <c r="DQ1644"/>
      <c r="DR1644"/>
      <c r="DS1644"/>
      <c r="DT1644"/>
      <c r="DU1644"/>
      <c r="DV1644"/>
      <c r="DW1644"/>
      <c r="DX1644"/>
      <c r="DY1644"/>
      <c r="DZ1644"/>
      <c r="EA1644"/>
      <c r="EB1644"/>
      <c r="EC1644"/>
      <c r="ED1644"/>
      <c r="EE1644"/>
      <c r="EF1644"/>
      <c r="EG1644"/>
      <c r="EH1644"/>
      <c r="EI1644"/>
      <c r="EJ1644"/>
      <c r="EK1644"/>
      <c r="EL1644"/>
      <c r="EM1644"/>
      <c r="EN1644"/>
      <c r="EO1644"/>
      <c r="EP1644"/>
      <c r="EQ1644"/>
      <c r="ER1644"/>
      <c r="ES1644"/>
    </row>
    <row r="1645" spans="1:149">
      <c r="A1645"/>
      <c r="B1645"/>
      <c r="C1645"/>
      <c r="D1645"/>
      <c r="E1645"/>
      <c r="F1645"/>
      <c r="G1645"/>
      <c r="H1645"/>
      <c r="I1645"/>
      <c r="J1645"/>
      <c r="K1645"/>
      <c r="L1645"/>
      <c r="M1645"/>
      <c r="N1645"/>
      <c r="O1645"/>
      <c r="P1645"/>
      <c r="Q1645"/>
      <c r="R1645"/>
      <c r="S1645"/>
      <c r="T1645"/>
      <c r="U1645"/>
      <c r="V1645"/>
      <c r="W1645"/>
      <c r="X1645"/>
      <c r="Y1645"/>
      <c r="Z1645"/>
      <c r="AA1645"/>
      <c r="AB1645"/>
      <c r="AC1645"/>
      <c r="AD1645"/>
      <c r="AE1645"/>
      <c r="AF1645"/>
      <c r="AG1645"/>
      <c r="AH1645"/>
      <c r="AI1645"/>
      <c r="AJ1645"/>
      <c r="AK1645"/>
      <c r="AL1645"/>
      <c r="AM1645"/>
      <c r="AN1645"/>
      <c r="AO1645"/>
      <c r="AP1645"/>
      <c r="AQ1645"/>
      <c r="AR1645"/>
      <c r="AS1645"/>
      <c r="AT1645"/>
      <c r="AU1645"/>
      <c r="AV1645"/>
      <c r="AW1645"/>
      <c r="AX1645"/>
      <c r="AY1645"/>
      <c r="AZ1645"/>
      <c r="BA1645"/>
      <c r="BB1645"/>
      <c r="BC1645"/>
      <c r="BD1645"/>
      <c r="BE1645"/>
      <c r="BF1645"/>
      <c r="BG1645"/>
      <c r="BH1645"/>
      <c r="BI1645"/>
      <c r="BJ1645"/>
      <c r="BK1645"/>
      <c r="BL1645"/>
      <c r="BM1645"/>
      <c r="BN1645"/>
      <c r="BO1645"/>
      <c r="BP1645"/>
      <c r="BQ1645"/>
      <c r="BR1645"/>
      <c r="BS1645"/>
      <c r="BT1645"/>
      <c r="BU1645"/>
      <c r="BV1645"/>
      <c r="BW1645"/>
      <c r="BX1645"/>
      <c r="BY1645"/>
      <c r="BZ1645"/>
      <c r="CA1645"/>
      <c r="CB1645"/>
      <c r="CC1645"/>
      <c r="CD1645"/>
      <c r="CE1645"/>
      <c r="CF1645"/>
      <c r="CG1645"/>
      <c r="CH1645"/>
      <c r="CI1645"/>
      <c r="CJ1645"/>
      <c r="CK1645"/>
      <c r="CL1645"/>
      <c r="CM1645"/>
      <c r="CN1645"/>
      <c r="CO1645"/>
      <c r="CP1645"/>
      <c r="CQ1645"/>
      <c r="CR1645"/>
      <c r="CS1645"/>
      <c r="CT1645"/>
      <c r="CU1645"/>
      <c r="CV1645"/>
      <c r="CW1645"/>
      <c r="CX1645"/>
      <c r="CY1645"/>
      <c r="CZ1645"/>
      <c r="DA1645"/>
      <c r="DB1645"/>
      <c r="DC1645"/>
      <c r="DD1645"/>
      <c r="DE1645"/>
      <c r="DF1645"/>
      <c r="DG1645"/>
      <c r="DH1645"/>
      <c r="DI1645"/>
      <c r="DJ1645"/>
      <c r="DK1645"/>
      <c r="DL1645"/>
      <c r="DM1645"/>
      <c r="DN1645"/>
      <c r="DO1645"/>
      <c r="DP1645"/>
      <c r="DQ1645"/>
      <c r="DR1645"/>
      <c r="DS1645"/>
      <c r="DT1645"/>
      <c r="DU1645"/>
      <c r="DV1645"/>
      <c r="DW1645"/>
      <c r="DX1645"/>
      <c r="DY1645"/>
      <c r="DZ1645"/>
      <c r="EA1645"/>
      <c r="EB1645"/>
      <c r="EC1645"/>
      <c r="ED1645"/>
      <c r="EE1645"/>
      <c r="EF1645"/>
      <c r="EG1645"/>
      <c r="EH1645"/>
      <c r="EI1645"/>
      <c r="EJ1645"/>
      <c r="EK1645"/>
      <c r="EL1645"/>
      <c r="EM1645"/>
      <c r="EN1645"/>
      <c r="EO1645"/>
      <c r="EP1645"/>
      <c r="EQ1645"/>
      <c r="ER1645"/>
      <c r="ES1645"/>
    </row>
    <row r="1646" spans="1:149">
      <c r="A1646"/>
      <c r="B1646"/>
      <c r="C1646"/>
      <c r="D1646"/>
      <c r="E1646"/>
      <c r="F1646"/>
      <c r="G1646"/>
      <c r="H1646"/>
      <c r="I1646"/>
      <c r="J1646"/>
      <c r="K1646"/>
      <c r="L1646"/>
      <c r="M1646"/>
      <c r="N1646"/>
      <c r="O1646"/>
      <c r="P1646"/>
      <c r="Q1646"/>
      <c r="R1646"/>
      <c r="S1646"/>
      <c r="T1646"/>
      <c r="U1646"/>
      <c r="V1646"/>
      <c r="W1646"/>
      <c r="X1646"/>
      <c r="Y1646"/>
      <c r="Z1646"/>
      <c r="AA1646"/>
      <c r="AB1646"/>
      <c r="AC1646"/>
      <c r="AD1646"/>
      <c r="AE1646"/>
      <c r="AF1646"/>
      <c r="AG1646"/>
      <c r="AH1646"/>
      <c r="AI1646"/>
      <c r="AJ1646"/>
      <c r="AK1646"/>
      <c r="AL1646"/>
      <c r="AM1646"/>
      <c r="AN1646"/>
      <c r="AO1646"/>
      <c r="AP1646"/>
      <c r="AQ1646"/>
      <c r="AR1646"/>
      <c r="AS1646"/>
      <c r="AT1646"/>
      <c r="AU1646"/>
      <c r="AV1646"/>
      <c r="AW1646"/>
      <c r="AX1646"/>
      <c r="AY1646"/>
      <c r="AZ1646"/>
      <c r="BA1646"/>
      <c r="BB1646"/>
      <c r="BC1646"/>
      <c r="BD1646"/>
      <c r="BE1646"/>
      <c r="BF1646"/>
      <c r="BG1646"/>
      <c r="BH1646"/>
      <c r="BI1646"/>
      <c r="BJ1646"/>
      <c r="BK1646"/>
      <c r="BL1646"/>
      <c r="BM1646"/>
      <c r="BN1646"/>
      <c r="BO1646"/>
      <c r="BP1646"/>
      <c r="BQ1646"/>
      <c r="BR1646"/>
      <c r="BS1646"/>
      <c r="BT1646"/>
      <c r="BU1646"/>
      <c r="BV1646"/>
      <c r="BW1646"/>
      <c r="BX1646"/>
      <c r="BY1646"/>
      <c r="BZ1646"/>
      <c r="CA1646"/>
      <c r="CB1646"/>
      <c r="CC1646"/>
      <c r="CD1646"/>
      <c r="CE1646"/>
      <c r="CF1646"/>
      <c r="CG1646"/>
      <c r="CH1646"/>
      <c r="CI1646"/>
      <c r="CJ1646"/>
      <c r="CK1646"/>
      <c r="CL1646"/>
      <c r="CM1646"/>
      <c r="CN1646"/>
      <c r="CO1646"/>
      <c r="CP1646"/>
      <c r="CQ1646"/>
      <c r="CR1646"/>
      <c r="CS1646"/>
      <c r="CT1646"/>
      <c r="CU1646"/>
      <c r="CV1646"/>
      <c r="CW1646"/>
      <c r="CX1646"/>
      <c r="CY1646"/>
      <c r="CZ1646"/>
      <c r="DA1646"/>
      <c r="DB1646"/>
      <c r="DC1646"/>
      <c r="DD1646"/>
      <c r="DE1646"/>
      <c r="DF1646"/>
      <c r="DG1646"/>
      <c r="DH1646"/>
      <c r="DI1646"/>
      <c r="DJ1646"/>
      <c r="DK1646"/>
      <c r="DL1646"/>
      <c r="DM1646"/>
      <c r="DN1646"/>
      <c r="DO1646"/>
      <c r="DP1646"/>
      <c r="DQ1646"/>
      <c r="DR1646"/>
      <c r="DS1646"/>
      <c r="DT1646"/>
      <c r="DU1646"/>
      <c r="DV1646"/>
      <c r="DW1646"/>
      <c r="DX1646"/>
      <c r="DY1646"/>
      <c r="DZ1646"/>
      <c r="EA1646"/>
      <c r="EB1646"/>
      <c r="EC1646"/>
      <c r="ED1646"/>
      <c r="EE1646"/>
      <c r="EF1646"/>
      <c r="EG1646"/>
      <c r="EH1646"/>
      <c r="EI1646"/>
      <c r="EJ1646"/>
      <c r="EK1646"/>
      <c r="EL1646"/>
      <c r="EM1646"/>
      <c r="EN1646"/>
      <c r="EO1646"/>
      <c r="EP1646"/>
      <c r="EQ1646"/>
      <c r="ER1646"/>
      <c r="ES1646"/>
    </row>
    <row r="1647" spans="1:149">
      <c r="A1647"/>
      <c r="B1647"/>
      <c r="C1647"/>
      <c r="D1647"/>
      <c r="E1647"/>
      <c r="F1647"/>
      <c r="G1647"/>
      <c r="H1647"/>
      <c r="I1647"/>
      <c r="J1647"/>
      <c r="K1647"/>
      <c r="L1647"/>
      <c r="M1647"/>
      <c r="N1647"/>
      <c r="O1647"/>
      <c r="P1647"/>
      <c r="Q1647"/>
      <c r="R1647"/>
      <c r="S1647"/>
      <c r="T1647"/>
      <c r="U1647"/>
      <c r="V1647"/>
      <c r="W1647"/>
      <c r="X1647"/>
      <c r="Y1647"/>
      <c r="Z1647"/>
      <c r="AA1647"/>
      <c r="AB1647"/>
      <c r="AC1647"/>
      <c r="AD1647"/>
      <c r="AE1647"/>
      <c r="AF1647"/>
      <c r="AG1647"/>
      <c r="AH1647"/>
      <c r="AI1647"/>
      <c r="AJ1647"/>
      <c r="AK1647"/>
      <c r="AL1647"/>
      <c r="AM1647"/>
      <c r="AN1647"/>
      <c r="AO1647"/>
      <c r="AP1647"/>
      <c r="AQ1647"/>
      <c r="AR1647"/>
      <c r="AS1647"/>
      <c r="AT1647"/>
      <c r="AU1647"/>
      <c r="AV1647"/>
      <c r="AW1647"/>
      <c r="AX1647"/>
      <c r="AY1647"/>
      <c r="AZ1647"/>
      <c r="BA1647"/>
      <c r="BB1647"/>
      <c r="BC1647"/>
      <c r="BD1647"/>
      <c r="BE1647"/>
      <c r="BF1647"/>
      <c r="BG1647"/>
      <c r="BH1647"/>
      <c r="BI1647"/>
      <c r="BJ1647"/>
      <c r="BK1647"/>
      <c r="BL1647"/>
      <c r="BM1647"/>
      <c r="BN1647"/>
      <c r="BO1647"/>
      <c r="BP1647"/>
      <c r="BQ1647"/>
      <c r="BR1647"/>
      <c r="BS1647"/>
      <c r="BT1647"/>
      <c r="BU1647"/>
      <c r="BV1647"/>
      <c r="BW1647"/>
      <c r="BX1647"/>
      <c r="BY1647"/>
      <c r="BZ1647"/>
      <c r="CA1647"/>
      <c r="CB1647"/>
      <c r="CC1647"/>
      <c r="CD1647"/>
      <c r="CE1647"/>
      <c r="CF1647"/>
      <c r="CG1647"/>
      <c r="CH1647"/>
      <c r="CI1647"/>
      <c r="CJ1647"/>
      <c r="CK1647"/>
      <c r="CL1647"/>
      <c r="CM1647"/>
      <c r="CN1647"/>
      <c r="CO1647"/>
      <c r="CP1647"/>
      <c r="CQ1647"/>
      <c r="CR1647"/>
      <c r="CS1647"/>
      <c r="CT1647"/>
      <c r="CU1647"/>
      <c r="CV1647"/>
      <c r="CW1647"/>
      <c r="CX1647"/>
      <c r="CY1647"/>
      <c r="CZ1647"/>
      <c r="DA1647"/>
      <c r="DB1647"/>
      <c r="DC1647"/>
      <c r="DD1647"/>
      <c r="DE1647"/>
      <c r="DF1647"/>
      <c r="DG1647"/>
      <c r="DH1647"/>
      <c r="DI1647"/>
      <c r="DJ1647"/>
      <c r="DK1647"/>
      <c r="DL1647"/>
      <c r="DM1647"/>
      <c r="DN1647"/>
      <c r="DO1647"/>
      <c r="DP1647"/>
      <c r="DQ1647"/>
      <c r="DR1647"/>
      <c r="DS1647"/>
      <c r="DT1647"/>
      <c r="DU1647"/>
      <c r="DV1647"/>
      <c r="DW1647"/>
      <c r="DX1647"/>
      <c r="DY1647"/>
      <c r="DZ1647"/>
      <c r="EA1647"/>
      <c r="EB1647"/>
      <c r="EC1647"/>
      <c r="ED1647"/>
      <c r="EE1647"/>
      <c r="EF1647"/>
      <c r="EG1647"/>
      <c r="EH1647"/>
      <c r="EI1647"/>
      <c r="EJ1647"/>
      <c r="EK1647"/>
      <c r="EL1647"/>
      <c r="EM1647"/>
      <c r="EN1647"/>
      <c r="EO1647"/>
      <c r="EP1647"/>
      <c r="EQ1647"/>
      <c r="ER1647"/>
      <c r="ES1647"/>
    </row>
    <row r="1648" spans="1:149">
      <c r="A1648"/>
      <c r="B1648"/>
      <c r="C1648"/>
      <c r="D1648"/>
      <c r="E1648"/>
      <c r="F1648"/>
      <c r="G1648"/>
      <c r="H1648"/>
      <c r="I1648"/>
      <c r="J1648"/>
      <c r="K1648"/>
      <c r="L1648"/>
      <c r="M1648"/>
      <c r="N1648"/>
      <c r="O1648"/>
      <c r="P1648"/>
      <c r="Q1648"/>
      <c r="R1648"/>
      <c r="S1648"/>
      <c r="T1648"/>
      <c r="U1648"/>
      <c r="V1648"/>
      <c r="W1648"/>
      <c r="X1648"/>
      <c r="Y1648"/>
      <c r="Z1648"/>
      <c r="AA1648"/>
      <c r="AB1648"/>
      <c r="AC1648"/>
      <c r="AD1648"/>
      <c r="AE1648"/>
      <c r="AF1648"/>
      <c r="AG1648"/>
      <c r="AH1648"/>
      <c r="AI1648"/>
      <c r="AJ1648"/>
      <c r="AK1648"/>
      <c r="AL1648"/>
      <c r="AM1648"/>
      <c r="AN1648"/>
      <c r="AO1648"/>
      <c r="AP1648"/>
      <c r="AQ1648"/>
      <c r="AR1648"/>
      <c r="AS1648"/>
      <c r="AT1648"/>
      <c r="AU1648"/>
      <c r="AV1648"/>
      <c r="AW1648"/>
      <c r="AX1648"/>
      <c r="AY1648"/>
      <c r="AZ1648"/>
      <c r="BA1648"/>
      <c r="BB1648"/>
      <c r="BC1648"/>
      <c r="BD1648"/>
      <c r="BE1648"/>
      <c r="BF1648"/>
      <c r="BG1648"/>
      <c r="BH1648"/>
      <c r="BI1648"/>
      <c r="BJ1648"/>
      <c r="BK1648"/>
      <c r="BL1648"/>
      <c r="BM1648"/>
      <c r="BN1648"/>
      <c r="BO1648"/>
      <c r="BP1648"/>
      <c r="BQ1648"/>
      <c r="BR1648"/>
      <c r="BS1648"/>
      <c r="BT1648"/>
      <c r="BU1648"/>
      <c r="BV1648"/>
      <c r="BW1648"/>
      <c r="BX1648"/>
      <c r="BY1648"/>
      <c r="BZ1648"/>
      <c r="CA1648"/>
      <c r="CB1648"/>
      <c r="CC1648"/>
      <c r="CD1648"/>
      <c r="CE1648"/>
      <c r="CF1648"/>
      <c r="CG1648"/>
      <c r="CH1648"/>
      <c r="CI1648"/>
      <c r="CJ1648"/>
      <c r="CK1648"/>
      <c r="CL1648"/>
      <c r="CM1648"/>
      <c r="CN1648"/>
      <c r="CO1648"/>
      <c r="CP1648"/>
      <c r="CQ1648"/>
      <c r="CR1648"/>
      <c r="CS1648"/>
      <c r="CT1648"/>
      <c r="CU1648"/>
      <c r="CV1648"/>
      <c r="CW1648"/>
      <c r="CX1648"/>
      <c r="CY1648"/>
      <c r="CZ1648"/>
      <c r="DA1648"/>
      <c r="DB1648"/>
      <c r="DC1648"/>
      <c r="DD1648"/>
      <c r="DE1648"/>
      <c r="DF1648"/>
      <c r="DG1648"/>
      <c r="DH1648"/>
      <c r="DI1648"/>
      <c r="DJ1648"/>
      <c r="DK1648"/>
      <c r="DL1648"/>
      <c r="DM1648"/>
      <c r="DN1648"/>
      <c r="DO1648"/>
      <c r="DP1648"/>
      <c r="DQ1648"/>
      <c r="DR1648"/>
      <c r="DS1648"/>
      <c r="DT1648"/>
      <c r="DU1648"/>
      <c r="DV1648"/>
      <c r="DW1648"/>
      <c r="DX1648"/>
      <c r="DY1648"/>
      <c r="DZ1648"/>
      <c r="EA1648"/>
      <c r="EB1648"/>
      <c r="EC1648"/>
      <c r="ED1648"/>
      <c r="EE1648"/>
      <c r="EF1648"/>
      <c r="EG1648"/>
      <c r="EH1648"/>
      <c r="EI1648"/>
      <c r="EJ1648"/>
      <c r="EK1648"/>
      <c r="EL1648"/>
      <c r="EM1648"/>
      <c r="EN1648"/>
      <c r="EO1648"/>
      <c r="EP1648"/>
      <c r="EQ1648"/>
      <c r="ER1648"/>
      <c r="ES1648"/>
    </row>
    <row r="1649" spans="1:149">
      <c r="A1649"/>
      <c r="B1649"/>
      <c r="C1649"/>
      <c r="D1649"/>
      <c r="E1649"/>
      <c r="F1649"/>
      <c r="G1649"/>
      <c r="H1649"/>
      <c r="I1649"/>
      <c r="J1649"/>
      <c r="K1649"/>
      <c r="L1649"/>
      <c r="M1649"/>
      <c r="N1649"/>
      <c r="O1649"/>
      <c r="P1649"/>
      <c r="Q1649"/>
      <c r="R1649"/>
      <c r="S1649"/>
      <c r="T1649"/>
      <c r="U1649"/>
      <c r="V1649"/>
      <c r="W1649"/>
      <c r="X1649"/>
      <c r="Y1649"/>
      <c r="Z1649"/>
      <c r="AA1649"/>
      <c r="AB1649"/>
      <c r="AC1649"/>
      <c r="AD1649"/>
      <c r="AE1649"/>
      <c r="AF1649"/>
      <c r="AG1649"/>
      <c r="AH1649"/>
      <c r="AI1649"/>
      <c r="AJ1649"/>
      <c r="AK1649"/>
      <c r="AL1649"/>
      <c r="AM1649"/>
      <c r="AN1649"/>
      <c r="AO1649"/>
      <c r="AP1649"/>
      <c r="AQ1649"/>
      <c r="AR1649"/>
      <c r="AS1649"/>
      <c r="AT1649"/>
      <c r="AU1649"/>
      <c r="AV1649"/>
      <c r="AW1649"/>
      <c r="AX1649"/>
      <c r="AY1649"/>
      <c r="AZ1649"/>
      <c r="BA1649"/>
      <c r="BB1649"/>
      <c r="BC1649"/>
      <c r="BD1649"/>
      <c r="BE1649"/>
      <c r="BF1649"/>
      <c r="BG1649"/>
      <c r="BH1649"/>
      <c r="BI1649"/>
      <c r="BJ1649"/>
      <c r="BK1649"/>
      <c r="BL1649"/>
      <c r="BM1649"/>
      <c r="BN1649"/>
      <c r="BO1649"/>
      <c r="BP1649"/>
      <c r="BQ1649"/>
      <c r="BR1649"/>
      <c r="BS1649"/>
      <c r="BT1649"/>
      <c r="BU1649"/>
      <c r="BV1649"/>
      <c r="BW1649"/>
      <c r="BX1649"/>
      <c r="BY1649"/>
      <c r="BZ1649"/>
      <c r="CA1649"/>
      <c r="CB1649"/>
      <c r="CC1649"/>
      <c r="CD1649"/>
      <c r="CE1649"/>
      <c r="CF1649"/>
      <c r="CG1649"/>
      <c r="CH1649"/>
      <c r="CI1649"/>
      <c r="CJ1649"/>
      <c r="CK1649"/>
      <c r="CL1649"/>
      <c r="CM1649"/>
      <c r="CN1649"/>
      <c r="CO1649"/>
      <c r="CP1649"/>
      <c r="CQ1649"/>
      <c r="CR1649"/>
      <c r="CS1649"/>
      <c r="CT1649"/>
      <c r="CU1649"/>
      <c r="CV1649"/>
      <c r="CW1649"/>
      <c r="CX1649"/>
      <c r="CY1649"/>
      <c r="CZ1649"/>
      <c r="DA1649"/>
      <c r="DB1649"/>
      <c r="DC1649"/>
      <c r="DD1649"/>
      <c r="DE1649"/>
      <c r="DF1649"/>
      <c r="DG1649"/>
      <c r="DH1649"/>
      <c r="DI1649"/>
      <c r="DJ1649"/>
      <c r="DK1649"/>
      <c r="DL1649"/>
      <c r="DM1649"/>
      <c r="DN1649"/>
      <c r="DO1649"/>
      <c r="DP1649"/>
      <c r="DQ1649"/>
      <c r="DR1649"/>
      <c r="DS1649"/>
      <c r="DT1649"/>
      <c r="DU1649"/>
      <c r="DV1649"/>
      <c r="DW1649"/>
      <c r="DX1649"/>
      <c r="DY1649"/>
      <c r="DZ1649"/>
      <c r="EA1649"/>
      <c r="EB1649"/>
      <c r="EC1649"/>
      <c r="ED1649"/>
      <c r="EE1649"/>
      <c r="EF1649"/>
      <c r="EG1649"/>
      <c r="EH1649"/>
      <c r="EI1649"/>
      <c r="EJ1649"/>
      <c r="EK1649"/>
      <c r="EL1649"/>
      <c r="EM1649"/>
      <c r="EN1649"/>
      <c r="EO1649"/>
      <c r="EP1649"/>
      <c r="EQ1649"/>
      <c r="ER1649"/>
      <c r="ES1649"/>
    </row>
    <row r="1650" spans="1:149">
      <c r="A1650"/>
      <c r="B1650"/>
      <c r="C1650"/>
      <c r="D1650"/>
      <c r="E1650"/>
      <c r="F1650"/>
      <c r="G1650"/>
      <c r="H1650"/>
      <c r="I1650"/>
      <c r="J1650"/>
      <c r="K1650"/>
      <c r="L1650"/>
      <c r="M1650"/>
      <c r="N1650"/>
      <c r="O1650"/>
      <c r="P1650"/>
      <c r="Q1650"/>
      <c r="R1650"/>
      <c r="S1650"/>
      <c r="T1650"/>
      <c r="U1650"/>
      <c r="V1650"/>
      <c r="W1650"/>
      <c r="X1650"/>
      <c r="Y1650"/>
      <c r="Z1650"/>
      <c r="AA1650"/>
      <c r="AB1650"/>
      <c r="AC1650"/>
      <c r="AD1650"/>
      <c r="AE1650"/>
      <c r="AF1650"/>
      <c r="AG1650"/>
      <c r="AH1650"/>
      <c r="AI1650"/>
      <c r="AJ1650"/>
      <c r="AK1650"/>
      <c r="AL1650"/>
      <c r="AM1650"/>
      <c r="AN1650"/>
      <c r="AO1650"/>
      <c r="AP1650"/>
      <c r="AQ1650"/>
      <c r="AR1650"/>
      <c r="AS1650"/>
      <c r="AT1650"/>
      <c r="AU1650"/>
      <c r="AV1650"/>
      <c r="AW1650"/>
      <c r="AX1650"/>
      <c r="AY1650"/>
      <c r="AZ1650"/>
      <c r="BA1650"/>
      <c r="BB1650"/>
      <c r="BC1650"/>
      <c r="BD1650"/>
      <c r="BE1650"/>
      <c r="BF1650"/>
      <c r="BG1650"/>
      <c r="BH1650"/>
      <c r="BI1650"/>
      <c r="BJ1650"/>
      <c r="BK1650"/>
      <c r="BL1650"/>
      <c r="BM1650"/>
      <c r="BN1650"/>
      <c r="BO1650"/>
      <c r="BP1650"/>
      <c r="BQ1650"/>
      <c r="BR1650"/>
      <c r="BS1650"/>
      <c r="BT1650"/>
      <c r="BU1650"/>
      <c r="BV1650"/>
      <c r="BW1650"/>
      <c r="BX1650"/>
      <c r="BY1650"/>
      <c r="BZ1650"/>
      <c r="CA1650"/>
      <c r="CB1650"/>
      <c r="CC1650"/>
      <c r="CD1650"/>
      <c r="CE1650"/>
      <c r="CF1650"/>
      <c r="CG1650"/>
      <c r="CH1650"/>
      <c r="CI1650"/>
      <c r="CJ1650"/>
      <c r="CK1650"/>
      <c r="CL1650"/>
      <c r="CM1650"/>
      <c r="CN1650"/>
      <c r="CO1650"/>
      <c r="CP1650"/>
      <c r="CQ1650"/>
      <c r="CR1650"/>
      <c r="CS1650"/>
      <c r="CT1650"/>
      <c r="CU1650"/>
      <c r="CV1650"/>
      <c r="CW1650"/>
      <c r="CX1650"/>
      <c r="CY1650"/>
      <c r="CZ1650"/>
      <c r="DA1650"/>
      <c r="DB1650"/>
      <c r="DC1650"/>
      <c r="DD1650"/>
      <c r="DE1650"/>
      <c r="DF1650"/>
      <c r="DG1650"/>
      <c r="DH1650"/>
      <c r="DI1650"/>
      <c r="DJ1650"/>
      <c r="DK1650"/>
      <c r="DL1650"/>
      <c r="DM1650"/>
      <c r="DN1650"/>
      <c r="DO1650"/>
      <c r="DP1650"/>
      <c r="DQ1650"/>
      <c r="DR1650"/>
      <c r="DS1650"/>
      <c r="DT1650"/>
      <c r="DU1650"/>
      <c r="DV1650"/>
      <c r="DW1650"/>
      <c r="DX1650"/>
      <c r="DY1650"/>
      <c r="DZ1650"/>
      <c r="EA1650"/>
      <c r="EB1650"/>
      <c r="EC1650"/>
      <c r="ED1650"/>
      <c r="EE1650"/>
      <c r="EF1650"/>
      <c r="EG1650"/>
      <c r="EH1650"/>
      <c r="EI1650"/>
      <c r="EJ1650"/>
      <c r="EK1650"/>
      <c r="EL1650"/>
      <c r="EM1650"/>
      <c r="EN1650"/>
      <c r="EO1650"/>
      <c r="EP1650"/>
      <c r="EQ1650"/>
      <c r="ER1650"/>
      <c r="ES1650"/>
    </row>
    <row r="1651" spans="1:149">
      <c r="A1651"/>
      <c r="B1651"/>
      <c r="C1651"/>
      <c r="D1651"/>
      <c r="E1651"/>
      <c r="F1651"/>
      <c r="G1651"/>
      <c r="H1651"/>
      <c r="I1651"/>
      <c r="J1651"/>
      <c r="K1651"/>
      <c r="L1651"/>
      <c r="M1651"/>
      <c r="N1651"/>
      <c r="O1651"/>
      <c r="P1651"/>
      <c r="Q1651"/>
      <c r="R1651"/>
      <c r="S1651"/>
      <c r="T1651"/>
      <c r="U1651"/>
      <c r="V1651"/>
      <c r="W1651"/>
      <c r="X1651"/>
      <c r="Y1651"/>
      <c r="Z1651"/>
      <c r="AA1651"/>
      <c r="AB1651"/>
      <c r="AC1651"/>
      <c r="AD1651"/>
      <c r="AE1651"/>
      <c r="AF1651"/>
      <c r="AG1651"/>
      <c r="AH1651"/>
      <c r="AI1651"/>
      <c r="AJ1651"/>
      <c r="AK1651"/>
      <c r="AL1651"/>
      <c r="AM1651"/>
      <c r="AN1651"/>
      <c r="AO1651"/>
      <c r="AP1651"/>
      <c r="AQ1651"/>
      <c r="AR1651"/>
      <c r="AS1651"/>
      <c r="AT1651"/>
      <c r="AU1651"/>
      <c r="AV1651"/>
      <c r="AW1651"/>
      <c r="AX1651"/>
      <c r="AY1651"/>
      <c r="AZ1651"/>
      <c r="BA1651"/>
      <c r="BB1651"/>
      <c r="BC1651"/>
      <c r="BD1651"/>
      <c r="BE1651"/>
      <c r="BF1651"/>
      <c r="BG1651"/>
      <c r="BH1651"/>
      <c r="BI1651"/>
      <c r="BJ1651"/>
      <c r="BK1651"/>
      <c r="BL1651"/>
      <c r="BM1651"/>
      <c r="BN1651"/>
      <c r="BO1651"/>
      <c r="BP1651"/>
      <c r="BQ1651"/>
      <c r="BR1651"/>
      <c r="BS1651"/>
      <c r="BT1651"/>
      <c r="BU1651"/>
      <c r="BV1651"/>
      <c r="BW1651"/>
      <c r="BX1651"/>
      <c r="BY1651"/>
      <c r="BZ1651"/>
      <c r="CA1651"/>
      <c r="CB1651"/>
      <c r="CC1651"/>
      <c r="CD1651"/>
      <c r="CE1651"/>
      <c r="CF1651"/>
      <c r="CG1651"/>
      <c r="CH1651"/>
      <c r="CI1651"/>
      <c r="CJ1651"/>
      <c r="CK1651"/>
      <c r="CL1651"/>
      <c r="CM1651"/>
      <c r="CN1651"/>
      <c r="CO1651"/>
      <c r="CP1651"/>
      <c r="CQ1651"/>
      <c r="CR1651"/>
      <c r="CS1651"/>
      <c r="CT1651"/>
      <c r="CU1651"/>
      <c r="CV1651"/>
      <c r="CW1651"/>
      <c r="CX1651"/>
      <c r="CY1651"/>
      <c r="CZ1651"/>
      <c r="DA1651"/>
      <c r="DB1651"/>
      <c r="DC1651"/>
      <c r="DD1651"/>
      <c r="DE1651"/>
      <c r="DF1651"/>
      <c r="DG1651"/>
      <c r="DH1651"/>
      <c r="DI1651"/>
      <c r="DJ1651"/>
      <c r="DK1651"/>
      <c r="DL1651"/>
      <c r="DM1651"/>
      <c r="DN1651"/>
      <c r="DO1651"/>
      <c r="DP1651"/>
      <c r="DQ1651"/>
      <c r="DR1651"/>
      <c r="DS1651"/>
      <c r="DT1651"/>
      <c r="DU1651"/>
      <c r="DV1651"/>
      <c r="DW1651"/>
      <c r="DX1651"/>
      <c r="DY1651"/>
      <c r="DZ1651"/>
      <c r="EA1651"/>
      <c r="EB1651"/>
      <c r="EC1651"/>
      <c r="ED1651"/>
      <c r="EE1651"/>
      <c r="EF1651"/>
      <c r="EG1651"/>
      <c r="EH1651"/>
      <c r="EI1651"/>
      <c r="EJ1651"/>
      <c r="EK1651"/>
      <c r="EL1651"/>
      <c r="EM1651"/>
      <c r="EN1651"/>
      <c r="EO1651"/>
      <c r="EP1651"/>
      <c r="EQ1651"/>
      <c r="ER1651"/>
      <c r="ES1651"/>
    </row>
    <row r="1652" spans="1:149">
      <c r="A1652"/>
      <c r="B1652"/>
      <c r="C1652"/>
      <c r="D1652"/>
      <c r="E1652"/>
      <c r="F1652"/>
      <c r="G1652"/>
      <c r="H1652"/>
      <c r="I1652"/>
      <c r="J1652"/>
      <c r="K1652"/>
      <c r="L1652"/>
      <c r="M1652"/>
      <c r="N1652"/>
      <c r="O1652"/>
      <c r="P1652"/>
      <c r="Q1652"/>
      <c r="R1652"/>
      <c r="S1652"/>
      <c r="T1652"/>
      <c r="U1652"/>
      <c r="V1652"/>
      <c r="W1652"/>
      <c r="X1652"/>
      <c r="Y1652"/>
      <c r="Z1652"/>
      <c r="AA1652"/>
      <c r="AB1652"/>
      <c r="AC1652"/>
      <c r="AD1652"/>
      <c r="AE1652"/>
      <c r="AF1652"/>
      <c r="AG1652"/>
      <c r="AH1652"/>
      <c r="AI1652"/>
      <c r="AJ1652"/>
      <c r="AK1652"/>
      <c r="AL1652"/>
      <c r="AM1652"/>
      <c r="AN1652"/>
      <c r="AO1652"/>
      <c r="AP1652"/>
      <c r="AQ1652"/>
      <c r="AR1652"/>
      <c r="AS1652"/>
      <c r="AT1652"/>
      <c r="AU1652"/>
      <c r="AV1652"/>
      <c r="AW1652"/>
      <c r="AX1652"/>
      <c r="AY1652"/>
      <c r="AZ1652"/>
      <c r="BA1652"/>
      <c r="BB1652"/>
      <c r="BC1652"/>
      <c r="BD1652"/>
      <c r="BE1652"/>
      <c r="BF1652"/>
      <c r="BG1652"/>
      <c r="BH1652"/>
      <c r="BI1652"/>
      <c r="BJ1652"/>
      <c r="BK1652"/>
      <c r="BL1652"/>
      <c r="BM1652"/>
      <c r="BN1652"/>
      <c r="BO1652"/>
      <c r="BP1652"/>
      <c r="BQ1652"/>
      <c r="BR1652"/>
      <c r="BS1652"/>
      <c r="BT1652"/>
      <c r="BU1652"/>
      <c r="BV1652"/>
      <c r="BW1652"/>
      <c r="BX1652"/>
      <c r="BY1652"/>
      <c r="BZ1652"/>
      <c r="CA1652"/>
      <c r="CB1652"/>
      <c r="CC1652"/>
      <c r="CD1652"/>
      <c r="CE1652"/>
      <c r="CF1652"/>
      <c r="CG1652"/>
      <c r="CH1652"/>
      <c r="CI1652"/>
      <c r="CJ1652"/>
      <c r="CK1652"/>
      <c r="CL1652"/>
      <c r="CM1652"/>
      <c r="CN1652"/>
      <c r="CO1652"/>
      <c r="CP1652"/>
      <c r="CQ1652"/>
      <c r="CR1652"/>
      <c r="CS1652"/>
      <c r="CT1652"/>
      <c r="CU1652"/>
      <c r="CV1652"/>
      <c r="CW1652"/>
      <c r="CX1652"/>
      <c r="CY1652"/>
      <c r="CZ1652"/>
      <c r="DA1652"/>
      <c r="DB1652"/>
      <c r="DC1652"/>
      <c r="DD1652"/>
      <c r="DE1652"/>
      <c r="DF1652"/>
      <c r="DG1652"/>
      <c r="DH1652"/>
      <c r="DI1652"/>
      <c r="DJ1652"/>
      <c r="DK1652"/>
      <c r="DL1652"/>
      <c r="DM1652"/>
      <c r="DN1652"/>
      <c r="DO1652"/>
      <c r="DP1652"/>
      <c r="DQ1652"/>
      <c r="DR1652"/>
      <c r="DS1652"/>
      <c r="DT1652"/>
      <c r="DU1652"/>
      <c r="DV1652"/>
      <c r="DW1652"/>
      <c r="DX1652"/>
      <c r="DY1652"/>
      <c r="DZ1652"/>
      <c r="EA1652"/>
      <c r="EB1652"/>
      <c r="EC1652"/>
      <c r="ED1652"/>
      <c r="EE1652"/>
      <c r="EF1652"/>
      <c r="EG1652"/>
      <c r="EH1652"/>
      <c r="EI1652"/>
      <c r="EJ1652"/>
      <c r="EK1652"/>
      <c r="EL1652"/>
      <c r="EM1652"/>
      <c r="EN1652"/>
      <c r="EO1652"/>
      <c r="EP1652"/>
      <c r="EQ1652"/>
      <c r="ER1652"/>
      <c r="ES1652"/>
    </row>
    <row r="1653" spans="1:149">
      <c r="A1653"/>
      <c r="B1653"/>
      <c r="C1653"/>
      <c r="D1653"/>
      <c r="E1653"/>
      <c r="F1653"/>
      <c r="G1653"/>
      <c r="H1653"/>
      <c r="I1653"/>
      <c r="J1653"/>
      <c r="K1653"/>
      <c r="L1653"/>
      <c r="M1653"/>
      <c r="N1653"/>
      <c r="O1653"/>
      <c r="P1653"/>
      <c r="Q1653"/>
      <c r="R1653"/>
      <c r="S1653"/>
      <c r="T1653"/>
      <c r="U1653"/>
      <c r="V1653"/>
      <c r="W1653"/>
      <c r="X1653"/>
      <c r="Y1653"/>
      <c r="Z1653"/>
      <c r="AA1653"/>
      <c r="AB1653"/>
      <c r="AC1653"/>
      <c r="AD1653"/>
      <c r="AE1653"/>
      <c r="AF1653"/>
      <c r="AG1653"/>
      <c r="AH1653"/>
      <c r="AI1653"/>
      <c r="AJ1653"/>
      <c r="AK1653"/>
      <c r="AL1653"/>
      <c r="AM1653"/>
      <c r="AN1653"/>
      <c r="AO1653"/>
      <c r="AP1653"/>
      <c r="AQ1653"/>
      <c r="AR1653"/>
      <c r="AS1653"/>
      <c r="AT1653"/>
      <c r="AU1653"/>
      <c r="AV1653"/>
      <c r="AW1653"/>
      <c r="AX1653"/>
      <c r="AY1653"/>
      <c r="AZ1653"/>
      <c r="BA1653"/>
      <c r="BB1653"/>
      <c r="BC1653"/>
      <c r="BD1653"/>
      <c r="BE1653"/>
      <c r="BF1653"/>
      <c r="BG1653"/>
      <c r="BH1653"/>
      <c r="BI1653"/>
      <c r="BJ1653"/>
      <c r="BK1653"/>
      <c r="BL1653"/>
      <c r="BM1653"/>
      <c r="BN1653"/>
      <c r="BO1653"/>
      <c r="BP1653"/>
      <c r="BQ1653"/>
      <c r="BR1653"/>
      <c r="BS1653"/>
      <c r="BT1653"/>
      <c r="BU1653"/>
      <c r="BV1653"/>
      <c r="BW1653"/>
      <c r="BX1653"/>
      <c r="BY1653"/>
      <c r="BZ1653"/>
      <c r="CA1653"/>
      <c r="CB1653"/>
      <c r="CC1653"/>
      <c r="CD1653"/>
      <c r="CE1653"/>
      <c r="CF1653"/>
      <c r="CG1653"/>
      <c r="CH1653"/>
      <c r="CI1653"/>
      <c r="CJ1653"/>
      <c r="CK1653"/>
      <c r="CL1653"/>
      <c r="CM1653"/>
      <c r="CN1653"/>
      <c r="CO1653"/>
      <c r="CP1653"/>
      <c r="CQ1653"/>
      <c r="CR1653"/>
      <c r="CS1653"/>
      <c r="CT1653"/>
      <c r="CU1653"/>
      <c r="CV1653"/>
      <c r="CW1653"/>
      <c r="CX1653"/>
      <c r="CY1653"/>
      <c r="CZ1653"/>
      <c r="DA1653"/>
      <c r="DB1653"/>
      <c r="DC1653"/>
      <c r="DD1653"/>
      <c r="DE1653"/>
      <c r="DF1653"/>
      <c r="DG1653"/>
      <c r="DH1653"/>
      <c r="DI1653"/>
      <c r="DJ1653"/>
      <c r="DK1653"/>
      <c r="DL1653"/>
      <c r="DM1653"/>
      <c r="DN1653"/>
      <c r="DO1653"/>
      <c r="DP1653"/>
      <c r="DQ1653"/>
      <c r="DR1653"/>
      <c r="DS1653"/>
      <c r="DT1653"/>
      <c r="DU1653"/>
      <c r="DV1653"/>
      <c r="DW1653"/>
      <c r="DX1653"/>
      <c r="DY1653"/>
      <c r="DZ1653"/>
      <c r="EA1653"/>
      <c r="EB1653"/>
      <c r="EC1653"/>
      <c r="ED1653"/>
      <c r="EE1653"/>
      <c r="EF1653"/>
      <c r="EG1653"/>
      <c r="EH1653"/>
      <c r="EI1653"/>
      <c r="EJ1653"/>
      <c r="EK1653"/>
      <c r="EL1653"/>
      <c r="EM1653"/>
      <c r="EN1653"/>
      <c r="EO1653"/>
      <c r="EP1653"/>
      <c r="EQ1653"/>
      <c r="ER1653"/>
      <c r="ES1653"/>
    </row>
    <row r="1654" spans="1:149">
      <c r="A1654"/>
      <c r="B1654"/>
      <c r="C1654"/>
      <c r="D1654"/>
      <c r="E1654"/>
      <c r="F1654"/>
      <c r="G1654"/>
      <c r="H1654"/>
      <c r="I1654"/>
      <c r="J1654"/>
      <c r="K1654"/>
      <c r="L1654"/>
      <c r="M1654"/>
      <c r="N1654"/>
      <c r="O1654"/>
      <c r="P1654"/>
      <c r="Q1654"/>
      <c r="R1654"/>
      <c r="S1654"/>
      <c r="T1654"/>
      <c r="U1654"/>
      <c r="V1654"/>
      <c r="W1654"/>
      <c r="X1654"/>
      <c r="Y1654"/>
      <c r="Z1654"/>
      <c r="AA1654"/>
      <c r="AB1654"/>
      <c r="AC1654"/>
      <c r="AD1654"/>
      <c r="AE1654"/>
      <c r="AF1654"/>
      <c r="AG1654"/>
      <c r="AH1654"/>
      <c r="AI1654"/>
      <c r="AJ1654"/>
      <c r="AK1654"/>
      <c r="AL1654"/>
      <c r="AM1654"/>
      <c r="AN1654"/>
      <c r="AO1654"/>
      <c r="AP1654"/>
      <c r="AQ1654"/>
      <c r="AR1654"/>
      <c r="AS1654"/>
      <c r="AT1654"/>
      <c r="AU1654"/>
      <c r="AV1654"/>
      <c r="AW1654"/>
      <c r="AX1654"/>
      <c r="AY1654"/>
      <c r="AZ1654"/>
      <c r="BA1654"/>
      <c r="BB1654"/>
      <c r="BC1654"/>
      <c r="BD1654"/>
      <c r="BE1654"/>
      <c r="BF1654"/>
      <c r="BG1654"/>
      <c r="BH1654"/>
      <c r="BI1654"/>
      <c r="BJ1654"/>
      <c r="BK1654"/>
      <c r="BL1654"/>
      <c r="BM1654"/>
      <c r="BN1654"/>
      <c r="BO1654"/>
      <c r="BP1654"/>
      <c r="BQ1654"/>
      <c r="BR1654"/>
      <c r="BS1654"/>
      <c r="BT1654"/>
      <c r="BU1654"/>
      <c r="BV1654"/>
      <c r="BW1654"/>
      <c r="BX1654"/>
      <c r="BY1654"/>
      <c r="BZ1654"/>
      <c r="CA1654"/>
      <c r="CB1654"/>
      <c r="CC1654"/>
      <c r="CD1654"/>
      <c r="CE1654"/>
      <c r="CF1654"/>
      <c r="CG1654"/>
      <c r="CH1654"/>
      <c r="CI1654"/>
      <c r="CJ1654"/>
      <c r="CK1654"/>
      <c r="CL1654"/>
      <c r="CM1654"/>
      <c r="CN1654"/>
      <c r="CO1654"/>
      <c r="CP1654"/>
      <c r="CQ1654"/>
      <c r="CR1654"/>
      <c r="CS1654"/>
      <c r="CT1654"/>
      <c r="CU1654"/>
      <c r="CV1654"/>
      <c r="CW1654"/>
      <c r="CX1654"/>
      <c r="CY1654"/>
      <c r="CZ1654"/>
      <c r="DA1654"/>
      <c r="DB1654"/>
      <c r="DC1654"/>
      <c r="DD1654"/>
      <c r="DE1654"/>
      <c r="DF1654"/>
      <c r="DG1654"/>
      <c r="DH1654"/>
      <c r="DI1654"/>
      <c r="DJ1654"/>
      <c r="DK1654"/>
      <c r="DL1654"/>
      <c r="DM1654"/>
      <c r="DN1654"/>
      <c r="DO1654"/>
      <c r="DP1654"/>
      <c r="DQ1654"/>
      <c r="DR1654"/>
      <c r="DS1654"/>
      <c r="DT1654"/>
      <c r="DU1654"/>
      <c r="DV1654"/>
      <c r="DW1654"/>
      <c r="DX1654"/>
      <c r="DY1654"/>
      <c r="DZ1654"/>
      <c r="EA1654"/>
      <c r="EB1654"/>
      <c r="EC1654"/>
      <c r="ED1654"/>
      <c r="EE1654"/>
      <c r="EF1654"/>
      <c r="EG1654"/>
      <c r="EH1654"/>
      <c r="EI1654"/>
      <c r="EJ1654"/>
      <c r="EK1654"/>
      <c r="EL1654"/>
      <c r="EM1654"/>
      <c r="EN1654"/>
      <c r="EO1654"/>
      <c r="EP1654"/>
      <c r="EQ1654"/>
      <c r="ER1654"/>
      <c r="ES1654"/>
    </row>
    <row r="1655" spans="1:149">
      <c r="A1655"/>
      <c r="B1655"/>
      <c r="C1655"/>
      <c r="D1655"/>
      <c r="E1655"/>
      <c r="F1655"/>
      <c r="G1655"/>
      <c r="H1655"/>
      <c r="I1655"/>
      <c r="J1655"/>
      <c r="K1655"/>
      <c r="L1655"/>
      <c r="M1655"/>
      <c r="N1655"/>
      <c r="O1655"/>
      <c r="P1655"/>
      <c r="Q1655"/>
      <c r="R1655"/>
      <c r="S1655"/>
      <c r="T1655"/>
      <c r="U1655"/>
      <c r="V1655"/>
      <c r="W1655"/>
      <c r="X1655"/>
      <c r="Y1655"/>
      <c r="Z1655"/>
      <c r="AA1655"/>
      <c r="AB1655"/>
      <c r="AC1655"/>
      <c r="AD1655"/>
      <c r="AE1655"/>
      <c r="AF1655"/>
      <c r="AG1655"/>
      <c r="AH1655"/>
      <c r="AI1655"/>
      <c r="AJ1655"/>
      <c r="AK1655"/>
      <c r="AL1655"/>
      <c r="AM1655"/>
      <c r="AN1655"/>
      <c r="AO1655"/>
      <c r="AP1655"/>
      <c r="AQ1655"/>
      <c r="AR1655"/>
      <c r="AS1655"/>
      <c r="AT1655"/>
      <c r="AU1655"/>
      <c r="AV1655"/>
      <c r="AW1655"/>
      <c r="AX1655"/>
      <c r="AY1655"/>
      <c r="AZ1655"/>
      <c r="BA1655"/>
      <c r="BB1655"/>
      <c r="BC1655"/>
      <c r="BD1655"/>
      <c r="BE1655"/>
      <c r="BF1655"/>
      <c r="BG1655"/>
      <c r="BH1655"/>
      <c r="BI1655"/>
      <c r="BJ1655"/>
      <c r="BK1655"/>
      <c r="BL1655"/>
      <c r="BM1655"/>
      <c r="BN1655"/>
      <c r="BO1655"/>
      <c r="BP1655"/>
      <c r="BQ1655"/>
      <c r="BR1655"/>
      <c r="BS1655"/>
      <c r="BT1655"/>
      <c r="BU1655"/>
      <c r="BV1655"/>
      <c r="BW1655"/>
      <c r="BX1655"/>
      <c r="BY1655"/>
      <c r="BZ1655"/>
      <c r="CA1655"/>
      <c r="CB1655"/>
      <c r="CC1655"/>
      <c r="CD1655"/>
      <c r="CE1655"/>
      <c r="CF1655"/>
      <c r="CG1655"/>
      <c r="CH1655"/>
      <c r="CI1655"/>
      <c r="CJ1655"/>
      <c r="CK1655"/>
      <c r="CL1655"/>
      <c r="CM1655"/>
      <c r="CN1655"/>
      <c r="CO1655"/>
      <c r="CP1655"/>
      <c r="CQ1655"/>
      <c r="CR1655"/>
      <c r="CS1655"/>
      <c r="CT1655"/>
      <c r="CU1655"/>
      <c r="CV1655"/>
      <c r="CW1655"/>
      <c r="CX1655"/>
      <c r="CY1655"/>
      <c r="CZ1655"/>
      <c r="DA1655"/>
      <c r="DB1655"/>
      <c r="DC1655"/>
      <c r="DD1655"/>
      <c r="DE1655"/>
      <c r="DF1655"/>
      <c r="DG1655"/>
      <c r="DH1655"/>
      <c r="DI1655"/>
      <c r="DJ1655"/>
      <c r="DK1655"/>
      <c r="DL1655"/>
      <c r="DM1655"/>
      <c r="DN1655"/>
      <c r="DO1655"/>
      <c r="DP1655"/>
      <c r="DQ1655"/>
      <c r="DR1655"/>
      <c r="DS1655"/>
      <c r="DT1655"/>
      <c r="DU1655"/>
      <c r="DV1655"/>
      <c r="DW1655"/>
      <c r="DX1655"/>
      <c r="DY1655"/>
      <c r="DZ1655"/>
      <c r="EA1655"/>
      <c r="EB1655"/>
      <c r="EC1655"/>
      <c r="ED1655"/>
      <c r="EE1655"/>
      <c r="EF1655"/>
      <c r="EG1655"/>
      <c r="EH1655"/>
      <c r="EI1655"/>
      <c r="EJ1655"/>
      <c r="EK1655"/>
      <c r="EL1655"/>
      <c r="EM1655"/>
      <c r="EN1655"/>
      <c r="EO1655"/>
      <c r="EP1655"/>
      <c r="EQ1655"/>
      <c r="ER1655"/>
      <c r="ES1655"/>
    </row>
    <row r="1656" spans="1:149">
      <c r="A1656"/>
      <c r="B1656"/>
      <c r="C1656"/>
      <c r="D1656"/>
      <c r="E1656"/>
      <c r="F1656"/>
      <c r="G1656"/>
      <c r="H1656"/>
      <c r="I1656"/>
      <c r="J1656"/>
      <c r="K1656"/>
      <c r="L1656"/>
      <c r="M1656"/>
      <c r="N1656"/>
      <c r="O1656"/>
      <c r="P1656"/>
      <c r="Q1656"/>
      <c r="R1656"/>
      <c r="S1656"/>
      <c r="T1656"/>
      <c r="U1656"/>
      <c r="V1656"/>
      <c r="W1656"/>
      <c r="X1656"/>
      <c r="Y1656"/>
      <c r="Z1656"/>
      <c r="AA1656"/>
      <c r="AB1656"/>
      <c r="AC1656"/>
      <c r="AD1656"/>
      <c r="AE1656"/>
      <c r="AF1656"/>
      <c r="AG1656"/>
      <c r="AH1656"/>
      <c r="AI1656"/>
      <c r="AJ1656"/>
      <c r="AK1656"/>
      <c r="AL1656"/>
      <c r="AM1656"/>
      <c r="AN1656"/>
      <c r="AO1656"/>
      <c r="AP1656"/>
      <c r="AQ1656"/>
      <c r="AR1656"/>
      <c r="AS1656"/>
      <c r="AT1656"/>
      <c r="AU1656"/>
      <c r="AV1656"/>
      <c r="AW1656"/>
      <c r="AX1656"/>
      <c r="AY1656"/>
      <c r="AZ1656"/>
      <c r="BA1656"/>
      <c r="BB1656"/>
      <c r="BC1656"/>
      <c r="BD1656"/>
      <c r="BE1656"/>
      <c r="BF1656"/>
      <c r="BG1656"/>
      <c r="BH1656"/>
      <c r="BI1656"/>
      <c r="BJ1656"/>
      <c r="BK1656"/>
      <c r="BL1656"/>
      <c r="BM1656"/>
      <c r="BN1656"/>
      <c r="BO1656"/>
      <c r="BP1656"/>
      <c r="BQ1656"/>
      <c r="BR1656"/>
      <c r="BS1656"/>
      <c r="BT1656"/>
      <c r="BU1656"/>
      <c r="BV1656"/>
      <c r="BW1656"/>
      <c r="BX1656"/>
      <c r="BY1656"/>
      <c r="BZ1656"/>
      <c r="CA1656"/>
      <c r="CB1656"/>
      <c r="CC1656"/>
      <c r="CD1656"/>
      <c r="CE1656"/>
      <c r="CF1656"/>
      <c r="CG1656"/>
      <c r="CH1656"/>
      <c r="CI1656"/>
      <c r="CJ1656"/>
      <c r="CK1656"/>
      <c r="CL1656"/>
      <c r="CM1656"/>
      <c r="CN1656"/>
      <c r="CO1656"/>
      <c r="CP1656"/>
      <c r="CQ1656"/>
      <c r="CR1656"/>
      <c r="CS1656"/>
      <c r="CT1656"/>
      <c r="CU1656"/>
      <c r="CV1656"/>
      <c r="CW1656"/>
      <c r="CX1656"/>
      <c r="CY1656"/>
      <c r="CZ1656"/>
      <c r="DA1656"/>
      <c r="DB1656"/>
      <c r="DC1656"/>
      <c r="DD1656"/>
      <c r="DE1656"/>
      <c r="DF1656"/>
      <c r="DG1656"/>
      <c r="DH1656"/>
      <c r="DI1656"/>
      <c r="DJ1656"/>
      <c r="DK1656"/>
      <c r="DL1656"/>
      <c r="DM1656"/>
      <c r="DN1656"/>
      <c r="DO1656"/>
      <c r="DP1656"/>
      <c r="DQ1656"/>
      <c r="DR1656"/>
      <c r="DS1656"/>
      <c r="DT1656"/>
      <c r="DU1656"/>
      <c r="DV1656"/>
      <c r="DW1656"/>
      <c r="DX1656"/>
      <c r="DY1656"/>
      <c r="DZ1656"/>
      <c r="EA1656"/>
      <c r="EB1656"/>
      <c r="EC1656"/>
      <c r="ED1656"/>
      <c r="EE1656"/>
      <c r="EF1656"/>
      <c r="EG1656"/>
      <c r="EH1656"/>
      <c r="EI1656"/>
      <c r="EJ1656"/>
      <c r="EK1656"/>
      <c r="EL1656"/>
      <c r="EM1656"/>
      <c r="EN1656"/>
      <c r="EO1656"/>
      <c r="EP1656"/>
      <c r="EQ1656"/>
      <c r="ER1656"/>
      <c r="ES1656"/>
    </row>
    <row r="1657" spans="1:149">
      <c r="A1657"/>
      <c r="B1657"/>
      <c r="C1657"/>
      <c r="D1657"/>
      <c r="E1657"/>
      <c r="F1657"/>
      <c r="G1657"/>
      <c r="H1657"/>
      <c r="I1657"/>
      <c r="J1657"/>
      <c r="K1657"/>
      <c r="L1657"/>
      <c r="M1657"/>
      <c r="N1657"/>
      <c r="O1657"/>
      <c r="P1657"/>
      <c r="Q1657"/>
      <c r="R1657"/>
      <c r="S1657"/>
      <c r="T1657"/>
      <c r="U1657"/>
      <c r="V1657"/>
      <c r="W1657"/>
      <c r="X1657"/>
      <c r="Y1657"/>
      <c r="Z1657"/>
      <c r="AA1657"/>
      <c r="AB1657"/>
      <c r="AC1657"/>
      <c r="AD1657"/>
      <c r="AE1657"/>
      <c r="AF1657"/>
      <c r="AG1657"/>
      <c r="AH1657"/>
      <c r="AI1657"/>
      <c r="AJ1657"/>
      <c r="AK1657"/>
      <c r="AL1657"/>
      <c r="AM1657"/>
      <c r="AN1657"/>
      <c r="AO1657"/>
      <c r="AP1657"/>
      <c r="AQ1657"/>
      <c r="AR1657"/>
      <c r="AS1657"/>
      <c r="AT1657"/>
      <c r="AU1657"/>
      <c r="AV1657"/>
      <c r="AW1657"/>
      <c r="AX1657"/>
      <c r="AY1657"/>
      <c r="AZ1657"/>
      <c r="BA1657"/>
      <c r="BB1657"/>
      <c r="BC1657"/>
      <c r="BD1657"/>
      <c r="BE1657"/>
      <c r="BF1657"/>
      <c r="BG1657"/>
      <c r="BH1657"/>
      <c r="BI1657"/>
      <c r="BJ1657"/>
      <c r="BK1657"/>
      <c r="BL1657"/>
      <c r="BM1657"/>
      <c r="BN1657"/>
      <c r="BO1657"/>
      <c r="BP1657"/>
      <c r="BQ1657"/>
      <c r="BR1657"/>
      <c r="BS1657"/>
      <c r="BT1657"/>
      <c r="BU1657"/>
      <c r="BV1657"/>
      <c r="BW1657"/>
      <c r="BX1657"/>
      <c r="BY1657"/>
      <c r="BZ1657"/>
      <c r="CA1657"/>
      <c r="CB1657"/>
      <c r="CC1657"/>
      <c r="CD1657"/>
      <c r="CE1657"/>
      <c r="CF1657"/>
      <c r="CG1657"/>
      <c r="CH1657"/>
      <c r="CI1657"/>
      <c r="CJ1657"/>
      <c r="CK1657"/>
      <c r="CL1657"/>
      <c r="CM1657"/>
      <c r="CN1657"/>
      <c r="CO1657"/>
      <c r="CP1657"/>
      <c r="CQ1657"/>
      <c r="CR1657"/>
      <c r="CS1657"/>
      <c r="CT1657"/>
      <c r="CU1657"/>
      <c r="CV1657"/>
      <c r="CW1657"/>
      <c r="CX1657"/>
      <c r="CY1657"/>
      <c r="CZ1657"/>
      <c r="DA1657"/>
      <c r="DB1657"/>
      <c r="DC1657"/>
      <c r="DD1657"/>
      <c r="DE1657"/>
      <c r="DF1657"/>
      <c r="DG1657"/>
      <c r="DH1657"/>
      <c r="DI1657"/>
      <c r="DJ1657"/>
      <c r="DK1657"/>
      <c r="DL1657"/>
      <c r="DM1657"/>
      <c r="DN1657"/>
      <c r="DO1657"/>
      <c r="DP1657"/>
      <c r="DQ1657"/>
      <c r="DR1657"/>
      <c r="DS1657"/>
      <c r="DT1657"/>
      <c r="DU1657"/>
      <c r="DV1657"/>
      <c r="DW1657"/>
      <c r="DX1657"/>
      <c r="DY1657"/>
      <c r="DZ1657"/>
      <c r="EA1657"/>
      <c r="EB1657"/>
      <c r="EC1657"/>
      <c r="ED1657"/>
      <c r="EE1657"/>
      <c r="EF1657"/>
      <c r="EG1657"/>
      <c r="EH1657"/>
      <c r="EI1657"/>
      <c r="EJ1657"/>
      <c r="EK1657"/>
      <c r="EL1657"/>
      <c r="EM1657"/>
      <c r="EN1657"/>
      <c r="EO1657"/>
      <c r="EP1657"/>
      <c r="EQ1657"/>
      <c r="ER1657"/>
      <c r="ES1657"/>
    </row>
    <row r="1658" spans="1:149">
      <c r="A1658"/>
      <c r="B1658"/>
      <c r="C1658"/>
      <c r="D1658"/>
      <c r="E1658"/>
      <c r="F1658"/>
      <c r="G1658"/>
      <c r="H1658"/>
      <c r="I1658"/>
      <c r="J1658"/>
      <c r="K1658"/>
      <c r="L1658"/>
      <c r="M1658"/>
      <c r="N1658"/>
      <c r="O1658"/>
      <c r="P1658"/>
      <c r="Q1658"/>
      <c r="R1658"/>
      <c r="S1658"/>
      <c r="T1658"/>
      <c r="U1658"/>
      <c r="V1658"/>
      <c r="W1658"/>
      <c r="X1658"/>
      <c r="Y1658"/>
      <c r="Z1658"/>
      <c r="AA1658"/>
      <c r="AB1658"/>
      <c r="AC1658"/>
      <c r="AD1658"/>
      <c r="AE1658"/>
      <c r="AF1658"/>
      <c r="AG1658"/>
      <c r="AH1658"/>
      <c r="AI1658"/>
      <c r="AJ1658"/>
      <c r="AK1658"/>
      <c r="AL1658"/>
      <c r="AM1658"/>
      <c r="AN1658"/>
      <c r="AO1658"/>
      <c r="AP1658"/>
      <c r="AQ1658"/>
      <c r="AR1658"/>
      <c r="AS1658"/>
      <c r="AT1658"/>
      <c r="AU1658"/>
      <c r="AV1658"/>
      <c r="AW1658"/>
      <c r="AX1658"/>
      <c r="AY1658"/>
      <c r="AZ1658"/>
      <c r="BA1658"/>
      <c r="BB1658"/>
      <c r="BC1658"/>
      <c r="BD1658"/>
      <c r="BE1658"/>
      <c r="BF1658"/>
      <c r="BG1658"/>
      <c r="BH1658"/>
      <c r="BI1658"/>
      <c r="BJ1658"/>
      <c r="BK1658"/>
      <c r="BL1658"/>
      <c r="BM1658"/>
      <c r="BN1658"/>
      <c r="BO1658"/>
      <c r="BP1658"/>
      <c r="BQ1658"/>
      <c r="BR1658"/>
      <c r="BS1658"/>
      <c r="BT1658"/>
      <c r="BU1658"/>
      <c r="BV1658"/>
      <c r="BW1658"/>
      <c r="BX1658"/>
      <c r="BY1658"/>
      <c r="BZ1658"/>
      <c r="CA1658"/>
      <c r="CB1658"/>
      <c r="CC1658"/>
      <c r="CD1658"/>
      <c r="CE1658"/>
      <c r="CF1658"/>
      <c r="CG1658"/>
      <c r="CH1658"/>
      <c r="CI1658"/>
      <c r="CJ1658"/>
      <c r="CK1658"/>
      <c r="CL1658"/>
      <c r="CM1658"/>
      <c r="CN1658"/>
      <c r="CO1658"/>
      <c r="CP1658"/>
      <c r="CQ1658"/>
      <c r="CR1658"/>
      <c r="CS1658"/>
      <c r="CT1658"/>
      <c r="CU1658"/>
      <c r="CV1658"/>
      <c r="CW1658"/>
      <c r="CX1658"/>
      <c r="CY1658"/>
      <c r="CZ1658"/>
      <c r="DA1658"/>
      <c r="DB1658"/>
      <c r="DC1658"/>
      <c r="DD1658"/>
      <c r="DE1658"/>
      <c r="DF1658"/>
      <c r="DG1658"/>
      <c r="DH1658"/>
      <c r="DI1658"/>
      <c r="DJ1658"/>
      <c r="DK1658"/>
      <c r="DL1658"/>
      <c r="DM1658"/>
      <c r="DN1658"/>
      <c r="DO1658"/>
      <c r="DP1658"/>
      <c r="DQ1658"/>
      <c r="DR1658"/>
      <c r="DS1658"/>
      <c r="DT1658"/>
      <c r="DU1658"/>
      <c r="DV1658"/>
      <c r="DW1658"/>
      <c r="DX1658"/>
      <c r="DY1658"/>
      <c r="DZ1658"/>
      <c r="EA1658"/>
      <c r="EB1658"/>
      <c r="EC1658"/>
      <c r="ED1658"/>
      <c r="EE1658"/>
      <c r="EF1658"/>
      <c r="EG1658"/>
      <c r="EH1658"/>
      <c r="EI1658"/>
      <c r="EJ1658"/>
      <c r="EK1658"/>
      <c r="EL1658"/>
      <c r="EM1658"/>
      <c r="EN1658"/>
      <c r="EO1658"/>
      <c r="EP1658"/>
      <c r="EQ1658"/>
      <c r="ER1658"/>
      <c r="ES1658"/>
    </row>
    <row r="1659" spans="1:149">
      <c r="A1659"/>
      <c r="B1659"/>
      <c r="C1659"/>
      <c r="D1659"/>
      <c r="E1659"/>
      <c r="F1659"/>
      <c r="G1659"/>
      <c r="H1659"/>
      <c r="I1659"/>
      <c r="J1659"/>
      <c r="K1659"/>
      <c r="L1659"/>
      <c r="M1659"/>
      <c r="N1659"/>
      <c r="O1659"/>
      <c r="P1659"/>
      <c r="Q1659"/>
      <c r="R1659"/>
      <c r="S1659"/>
      <c r="T1659"/>
      <c r="U1659"/>
      <c r="V1659"/>
      <c r="W1659"/>
      <c r="X1659"/>
      <c r="Y1659"/>
      <c r="Z1659"/>
      <c r="AA1659"/>
      <c r="AB1659"/>
      <c r="AC1659"/>
      <c r="AD1659"/>
      <c r="AE1659"/>
      <c r="AF1659"/>
      <c r="AG1659"/>
      <c r="AH1659"/>
      <c r="AI1659"/>
      <c r="AJ1659"/>
      <c r="AK1659"/>
      <c r="AL1659"/>
      <c r="AM1659"/>
      <c r="AN1659"/>
      <c r="AO1659"/>
      <c r="AP1659"/>
      <c r="AQ1659"/>
      <c r="AR1659"/>
      <c r="AS1659"/>
      <c r="AT1659"/>
      <c r="AU1659"/>
      <c r="AV1659"/>
      <c r="AW1659"/>
      <c r="AX1659"/>
      <c r="AY1659"/>
      <c r="AZ1659"/>
      <c r="BA1659"/>
      <c r="BB1659"/>
      <c r="BC1659"/>
      <c r="BD1659"/>
      <c r="BE1659"/>
      <c r="BF1659"/>
      <c r="BG1659"/>
      <c r="BH1659"/>
      <c r="BI1659"/>
      <c r="BJ1659"/>
      <c r="BK1659"/>
      <c r="BL1659"/>
      <c r="BM1659"/>
      <c r="BN1659"/>
      <c r="BO1659"/>
      <c r="BP1659"/>
      <c r="BQ1659"/>
      <c r="BR1659"/>
      <c r="BS1659"/>
      <c r="BT1659"/>
      <c r="BU1659"/>
      <c r="BV1659"/>
      <c r="BW1659"/>
      <c r="BX1659"/>
      <c r="BY1659"/>
      <c r="BZ1659"/>
      <c r="CA1659"/>
      <c r="CB1659"/>
      <c r="CC1659"/>
      <c r="CD1659"/>
      <c r="CE1659"/>
      <c r="CF1659"/>
      <c r="CG1659"/>
      <c r="CH1659"/>
      <c r="CI1659"/>
      <c r="CJ1659"/>
      <c r="CK1659"/>
      <c r="CL1659"/>
      <c r="CM1659"/>
      <c r="CN1659"/>
      <c r="CO1659"/>
      <c r="CP1659"/>
      <c r="CQ1659"/>
      <c r="CR1659"/>
      <c r="CS1659"/>
      <c r="CT1659"/>
      <c r="CU1659"/>
      <c r="CV1659"/>
      <c r="CW1659"/>
      <c r="CX1659"/>
      <c r="CY1659"/>
      <c r="CZ1659"/>
      <c r="DA1659"/>
      <c r="DB1659"/>
      <c r="DC1659"/>
      <c r="DD1659"/>
      <c r="DE1659"/>
      <c r="DF1659"/>
      <c r="DG1659"/>
      <c r="DH1659"/>
      <c r="DI1659"/>
      <c r="DJ1659"/>
      <c r="DK1659"/>
      <c r="DL1659"/>
      <c r="DM1659"/>
      <c r="DN1659"/>
      <c r="DO1659"/>
      <c r="DP1659"/>
      <c r="DQ1659"/>
      <c r="DR1659"/>
      <c r="DS1659"/>
      <c r="DT1659"/>
      <c r="DU1659"/>
      <c r="DV1659"/>
      <c r="DW1659"/>
      <c r="DX1659"/>
      <c r="DY1659"/>
      <c r="DZ1659"/>
      <c r="EA1659"/>
      <c r="EB1659"/>
      <c r="EC1659"/>
      <c r="ED1659"/>
      <c r="EE1659"/>
      <c r="EF1659"/>
      <c r="EG1659"/>
      <c r="EH1659"/>
      <c r="EI1659"/>
      <c r="EJ1659"/>
      <c r="EK1659"/>
      <c r="EL1659"/>
      <c r="EM1659"/>
      <c r="EN1659"/>
      <c r="EO1659"/>
      <c r="EP1659"/>
      <c r="EQ1659"/>
      <c r="ER1659"/>
      <c r="ES1659"/>
    </row>
    <row r="1660" spans="1:149">
      <c r="A1660"/>
      <c r="B1660"/>
      <c r="C1660"/>
      <c r="D1660"/>
      <c r="E1660"/>
      <c r="F1660"/>
      <c r="G1660"/>
      <c r="H1660"/>
      <c r="I1660"/>
      <c r="J1660"/>
      <c r="K1660"/>
      <c r="L1660"/>
      <c r="M1660"/>
      <c r="N1660"/>
      <c r="O1660"/>
      <c r="P1660"/>
      <c r="Q1660"/>
      <c r="R1660"/>
      <c r="S1660"/>
      <c r="T1660"/>
      <c r="U1660"/>
      <c r="V1660"/>
      <c r="W1660"/>
      <c r="X1660"/>
      <c r="Y1660"/>
      <c r="Z1660"/>
      <c r="AA1660"/>
      <c r="AB1660"/>
      <c r="AC1660"/>
      <c r="AD1660"/>
      <c r="AE1660"/>
      <c r="AF1660"/>
      <c r="AG1660"/>
      <c r="AH1660"/>
      <c r="AI1660"/>
      <c r="AJ1660"/>
      <c r="AK1660"/>
      <c r="AL1660"/>
      <c r="AM1660"/>
      <c r="AN1660"/>
      <c r="AO1660"/>
      <c r="AP1660"/>
      <c r="AQ1660"/>
      <c r="AR1660"/>
      <c r="AS1660"/>
      <c r="AT1660"/>
      <c r="AU1660"/>
      <c r="AV1660"/>
      <c r="AW1660"/>
      <c r="AX1660"/>
      <c r="AY1660"/>
      <c r="AZ1660"/>
      <c r="BA1660"/>
      <c r="BB1660"/>
      <c r="BC1660"/>
      <c r="BD1660"/>
      <c r="BE1660"/>
      <c r="BF1660"/>
      <c r="BG1660"/>
      <c r="BH1660"/>
      <c r="BI1660"/>
      <c r="BJ1660"/>
      <c r="BK1660"/>
      <c r="BL1660"/>
      <c r="BM1660"/>
      <c r="BN1660"/>
      <c r="BO1660"/>
      <c r="BP1660"/>
      <c r="BQ1660"/>
      <c r="BR1660"/>
      <c r="BS1660"/>
      <c r="BT1660"/>
      <c r="BU1660"/>
      <c r="BV1660"/>
      <c r="BW1660"/>
      <c r="BX1660"/>
      <c r="BY1660"/>
      <c r="BZ1660"/>
      <c r="CA1660"/>
      <c r="CB1660"/>
      <c r="CC1660"/>
      <c r="CD1660"/>
      <c r="CE1660"/>
      <c r="CF1660"/>
      <c r="CG1660"/>
      <c r="CH1660"/>
      <c r="CI1660"/>
      <c r="CJ1660"/>
      <c r="CK1660"/>
      <c r="CL1660"/>
      <c r="CM1660"/>
      <c r="CN1660"/>
      <c r="CO1660"/>
      <c r="CP1660"/>
      <c r="CQ1660"/>
      <c r="CR1660"/>
      <c r="CS1660"/>
      <c r="CT1660"/>
      <c r="CU1660"/>
      <c r="CV1660"/>
      <c r="CW1660"/>
      <c r="CX1660"/>
      <c r="CY1660"/>
      <c r="CZ1660"/>
      <c r="DA1660"/>
      <c r="DB1660"/>
      <c r="DC1660"/>
      <c r="DD1660"/>
      <c r="DE1660"/>
      <c r="DF1660"/>
      <c r="DG1660"/>
      <c r="DH1660"/>
      <c r="DI1660"/>
      <c r="DJ1660"/>
      <c r="DK1660"/>
      <c r="DL1660"/>
      <c r="DM1660"/>
      <c r="DN1660"/>
      <c r="DO1660"/>
      <c r="DP1660"/>
      <c r="DQ1660"/>
      <c r="DR1660"/>
      <c r="DS1660"/>
      <c r="DT1660"/>
      <c r="DU1660"/>
      <c r="DV1660"/>
      <c r="DW1660"/>
      <c r="DX1660"/>
      <c r="DY1660"/>
      <c r="DZ1660"/>
      <c r="EA1660"/>
      <c r="EB1660"/>
      <c r="EC1660"/>
      <c r="ED1660"/>
      <c r="EE1660"/>
      <c r="EF1660"/>
      <c r="EG1660"/>
      <c r="EH1660"/>
      <c r="EI1660"/>
      <c r="EJ1660"/>
      <c r="EK1660"/>
      <c r="EL1660"/>
      <c r="EM1660"/>
      <c r="EN1660"/>
      <c r="EO1660"/>
      <c r="EP1660"/>
      <c r="EQ1660"/>
      <c r="ER1660"/>
      <c r="ES1660"/>
    </row>
    <row r="1661" spans="1:149">
      <c r="A1661"/>
      <c r="B1661"/>
      <c r="C1661"/>
      <c r="D1661"/>
      <c r="E1661"/>
      <c r="F1661"/>
      <c r="G1661"/>
      <c r="H1661"/>
      <c r="I1661"/>
      <c r="J1661"/>
      <c r="K1661"/>
      <c r="L1661"/>
      <c r="M1661"/>
      <c r="N1661"/>
      <c r="O1661"/>
      <c r="P1661"/>
      <c r="Q1661"/>
      <c r="R1661"/>
      <c r="S1661"/>
      <c r="T1661"/>
      <c r="U1661"/>
      <c r="V1661"/>
      <c r="W1661"/>
      <c r="X1661"/>
      <c r="Y1661"/>
      <c r="Z1661"/>
      <c r="AA1661"/>
      <c r="AB1661"/>
      <c r="AC1661"/>
      <c r="AD1661"/>
      <c r="AE1661"/>
      <c r="AF1661"/>
      <c r="AG1661"/>
      <c r="AH1661"/>
      <c r="AI1661"/>
      <c r="AJ1661"/>
      <c r="AK1661"/>
      <c r="AL1661"/>
      <c r="AM1661"/>
      <c r="AN1661"/>
      <c r="AO1661"/>
      <c r="AP1661"/>
      <c r="AQ1661"/>
      <c r="AR1661"/>
      <c r="AS1661"/>
      <c r="AT1661"/>
      <c r="AU1661"/>
      <c r="AV1661"/>
      <c r="AW1661"/>
      <c r="AX1661"/>
      <c r="AY1661"/>
      <c r="AZ1661"/>
      <c r="BA1661"/>
      <c r="BB1661"/>
      <c r="BC1661"/>
      <c r="BD1661"/>
      <c r="BE1661"/>
      <c r="BF1661"/>
      <c r="BG1661"/>
      <c r="BH1661"/>
      <c r="BI1661"/>
      <c r="BJ1661"/>
      <c r="BK1661"/>
      <c r="BL1661"/>
      <c r="BM1661"/>
      <c r="BN1661"/>
      <c r="BO1661"/>
      <c r="BP1661"/>
      <c r="BQ1661"/>
      <c r="BR1661"/>
      <c r="BS1661"/>
      <c r="BT1661"/>
      <c r="BU1661"/>
      <c r="BV1661"/>
      <c r="BW1661"/>
      <c r="BX1661"/>
      <c r="BY1661"/>
      <c r="BZ1661"/>
      <c r="CA1661"/>
      <c r="CB1661"/>
      <c r="CC1661"/>
      <c r="CD1661"/>
      <c r="CE1661"/>
      <c r="CF1661"/>
      <c r="CG1661"/>
      <c r="CH1661"/>
      <c r="CI1661"/>
      <c r="CJ1661"/>
      <c r="CK1661"/>
      <c r="CL1661"/>
      <c r="CM1661"/>
      <c r="CN1661"/>
      <c r="CO1661"/>
      <c r="CP1661"/>
      <c r="CQ1661"/>
      <c r="CR1661"/>
      <c r="CS1661"/>
      <c r="CT1661"/>
      <c r="CU1661"/>
      <c r="CV1661"/>
      <c r="CW1661"/>
      <c r="CX1661"/>
      <c r="CY1661"/>
      <c r="CZ1661"/>
      <c r="DA1661"/>
      <c r="DB1661"/>
      <c r="DC1661"/>
      <c r="DD1661"/>
      <c r="DE1661"/>
      <c r="DF1661"/>
      <c r="DG1661"/>
      <c r="DH1661"/>
      <c r="DI1661"/>
      <c r="DJ1661"/>
      <c r="DK1661"/>
      <c r="DL1661"/>
      <c r="DM1661"/>
      <c r="DN1661"/>
      <c r="DO1661"/>
      <c r="DP1661"/>
      <c r="DQ1661"/>
      <c r="DR1661"/>
      <c r="DS1661"/>
      <c r="DT1661"/>
      <c r="DU1661"/>
      <c r="DV1661"/>
      <c r="DW1661"/>
      <c r="DX1661"/>
      <c r="DY1661"/>
      <c r="DZ1661"/>
      <c r="EA1661"/>
      <c r="EB1661"/>
      <c r="EC1661"/>
      <c r="ED1661"/>
      <c r="EE1661"/>
      <c r="EF1661"/>
      <c r="EG1661"/>
      <c r="EH1661"/>
      <c r="EI1661"/>
      <c r="EJ1661"/>
      <c r="EK1661"/>
      <c r="EL1661"/>
      <c r="EM1661"/>
      <c r="EN1661"/>
      <c r="EO1661"/>
      <c r="EP1661"/>
      <c r="EQ1661"/>
      <c r="ER1661"/>
      <c r="ES1661"/>
    </row>
    <row r="1662" spans="1:149">
      <c r="A1662"/>
      <c r="B1662"/>
      <c r="C1662"/>
      <c r="D1662"/>
      <c r="E1662"/>
      <c r="F1662"/>
      <c r="G1662"/>
      <c r="H1662"/>
      <c r="I1662"/>
      <c r="J1662"/>
      <c r="K1662"/>
      <c r="L1662"/>
      <c r="M1662"/>
      <c r="N1662"/>
      <c r="O1662"/>
      <c r="P1662"/>
      <c r="Q1662"/>
      <c r="R1662"/>
      <c r="S1662"/>
      <c r="T1662"/>
      <c r="U1662"/>
      <c r="V1662"/>
      <c r="W1662"/>
      <c r="X1662"/>
      <c r="Y1662"/>
      <c r="Z1662"/>
      <c r="AA1662"/>
      <c r="AB1662"/>
      <c r="AC1662"/>
      <c r="AD1662"/>
      <c r="AE1662"/>
      <c r="AF1662"/>
      <c r="AG1662"/>
      <c r="AH1662"/>
      <c r="AI1662"/>
      <c r="AJ1662"/>
      <c r="AK1662"/>
      <c r="AL1662"/>
      <c r="AM1662"/>
      <c r="AN1662"/>
      <c r="AO1662"/>
      <c r="AP1662"/>
      <c r="AQ1662"/>
      <c r="AR1662"/>
      <c r="AS1662"/>
      <c r="AT1662"/>
      <c r="AU1662"/>
      <c r="AV1662"/>
      <c r="AW1662"/>
      <c r="AX1662"/>
      <c r="AY1662"/>
      <c r="AZ1662"/>
      <c r="BA1662"/>
      <c r="BB1662"/>
      <c r="BC1662"/>
      <c r="BD1662"/>
      <c r="BE1662"/>
      <c r="BF1662"/>
      <c r="BG1662"/>
      <c r="BH1662"/>
      <c r="BI1662"/>
      <c r="BJ1662"/>
      <c r="BK1662"/>
      <c r="BL1662"/>
      <c r="BM1662"/>
      <c r="BN1662"/>
      <c r="BO1662"/>
      <c r="BP1662"/>
      <c r="BQ1662"/>
      <c r="BR1662"/>
      <c r="BS1662"/>
      <c r="BT1662"/>
      <c r="BU1662"/>
      <c r="BV1662"/>
      <c r="BW1662"/>
      <c r="BX1662"/>
      <c r="BY1662"/>
      <c r="BZ1662"/>
      <c r="CA1662"/>
      <c r="CB1662"/>
      <c r="CC1662"/>
      <c r="CD1662"/>
      <c r="CE1662"/>
      <c r="CF1662"/>
      <c r="CG1662"/>
      <c r="CH1662"/>
      <c r="CI1662"/>
      <c r="CJ1662"/>
      <c r="CK1662"/>
      <c r="CL1662"/>
      <c r="CM1662"/>
      <c r="CN1662"/>
      <c r="CO1662"/>
      <c r="CP1662"/>
      <c r="CQ1662"/>
      <c r="CR1662"/>
      <c r="CS1662"/>
      <c r="CT1662"/>
      <c r="CU1662"/>
      <c r="CV1662"/>
      <c r="CW1662"/>
      <c r="CX1662"/>
      <c r="CY1662"/>
      <c r="CZ1662"/>
      <c r="DA1662"/>
      <c r="DB1662"/>
      <c r="DC1662"/>
      <c r="DD1662"/>
      <c r="DE1662"/>
      <c r="DF1662"/>
      <c r="DG1662"/>
      <c r="DH1662"/>
      <c r="DI1662"/>
      <c r="DJ1662"/>
      <c r="DK1662"/>
      <c r="DL1662"/>
      <c r="DM1662"/>
      <c r="DN1662"/>
      <c r="DO1662"/>
      <c r="DP1662"/>
      <c r="DQ1662"/>
      <c r="DR1662"/>
      <c r="DS1662"/>
      <c r="DT1662"/>
      <c r="DU1662"/>
      <c r="DV1662"/>
      <c r="DW1662"/>
      <c r="DX1662"/>
      <c r="DY1662"/>
      <c r="DZ1662"/>
      <c r="EA1662"/>
      <c r="EB1662"/>
      <c r="EC1662"/>
      <c r="ED1662"/>
      <c r="EE1662"/>
      <c r="EF1662"/>
      <c r="EG1662"/>
      <c r="EH1662"/>
      <c r="EI1662"/>
      <c r="EJ1662"/>
      <c r="EK1662"/>
      <c r="EL1662"/>
      <c r="EM1662"/>
      <c r="EN1662"/>
      <c r="EO1662"/>
      <c r="EP1662"/>
      <c r="EQ1662"/>
      <c r="ER1662"/>
      <c r="ES1662"/>
    </row>
    <row r="1663" spans="1:149">
      <c r="A1663"/>
      <c r="B1663"/>
      <c r="C1663"/>
      <c r="D1663"/>
      <c r="E1663"/>
      <c r="F1663"/>
      <c r="G1663"/>
      <c r="H1663"/>
      <c r="I1663"/>
      <c r="J1663"/>
      <c r="K1663"/>
      <c r="L1663"/>
      <c r="M1663"/>
      <c r="N1663"/>
      <c r="O1663"/>
      <c r="P1663"/>
      <c r="Q1663"/>
      <c r="R1663"/>
      <c r="S1663"/>
      <c r="T1663"/>
      <c r="U1663"/>
      <c r="V1663"/>
      <c r="W1663"/>
      <c r="X1663"/>
      <c r="Y1663"/>
      <c r="Z1663"/>
      <c r="AA1663"/>
      <c r="AB1663"/>
      <c r="AC1663"/>
      <c r="AD1663"/>
      <c r="AE1663"/>
      <c r="AF1663"/>
      <c r="AG1663"/>
      <c r="AH1663"/>
      <c r="AI1663"/>
      <c r="AJ1663"/>
      <c r="AK1663"/>
      <c r="AL1663"/>
      <c r="AM1663"/>
      <c r="AN1663"/>
      <c r="AO1663"/>
      <c r="AP1663"/>
      <c r="AQ1663"/>
      <c r="AR1663"/>
      <c r="AS1663"/>
      <c r="AT1663"/>
      <c r="AU1663"/>
      <c r="AV1663"/>
      <c r="AW1663"/>
      <c r="AX1663"/>
      <c r="AY1663"/>
      <c r="AZ1663"/>
      <c r="BA1663"/>
      <c r="BB1663"/>
      <c r="BC1663"/>
      <c r="BD1663"/>
      <c r="BE1663"/>
      <c r="BF1663"/>
      <c r="BG1663"/>
      <c r="BH1663"/>
      <c r="BI1663"/>
      <c r="BJ1663"/>
      <c r="BK1663"/>
      <c r="BL1663"/>
      <c r="BM1663"/>
      <c r="BN1663"/>
      <c r="BO1663"/>
      <c r="BP1663"/>
      <c r="BQ1663"/>
      <c r="BR1663"/>
      <c r="BS1663"/>
      <c r="BT1663"/>
      <c r="BU1663"/>
      <c r="BV1663"/>
      <c r="BW1663"/>
      <c r="BX1663"/>
      <c r="BY1663"/>
      <c r="BZ1663"/>
      <c r="CA1663"/>
      <c r="CB1663"/>
      <c r="CC1663"/>
      <c r="CD1663"/>
      <c r="CE1663"/>
      <c r="CF1663"/>
      <c r="CG1663"/>
      <c r="CH1663"/>
      <c r="CI1663"/>
      <c r="CJ1663"/>
      <c r="CK1663"/>
      <c r="CL1663"/>
      <c r="CM1663"/>
      <c r="CN1663"/>
      <c r="CO1663"/>
      <c r="CP1663"/>
      <c r="CQ1663"/>
      <c r="CR1663"/>
      <c r="CS1663"/>
      <c r="CT1663"/>
      <c r="CU1663"/>
      <c r="CV1663"/>
      <c r="CW1663"/>
      <c r="CX1663"/>
      <c r="CY1663"/>
      <c r="CZ1663"/>
      <c r="DA1663"/>
      <c r="DB1663"/>
      <c r="DC1663"/>
      <c r="DD1663"/>
      <c r="DE1663"/>
      <c r="DF1663"/>
      <c r="DG1663"/>
      <c r="DH1663"/>
      <c r="DI1663"/>
      <c r="DJ1663"/>
      <c r="DK1663"/>
      <c r="DL1663"/>
      <c r="DM1663"/>
      <c r="DN1663"/>
      <c r="DO1663"/>
      <c r="DP1663"/>
      <c r="DQ1663"/>
      <c r="DR1663"/>
      <c r="DS1663"/>
      <c r="DT1663"/>
      <c r="DU1663"/>
      <c r="DV1663"/>
      <c r="DW1663"/>
      <c r="DX1663"/>
      <c r="DY1663"/>
      <c r="DZ1663"/>
      <c r="EA1663"/>
      <c r="EB1663"/>
      <c r="EC1663"/>
      <c r="ED1663"/>
      <c r="EE1663"/>
      <c r="EF1663"/>
      <c r="EG1663"/>
      <c r="EH1663"/>
      <c r="EI1663"/>
      <c r="EJ1663"/>
      <c r="EK1663"/>
      <c r="EL1663"/>
      <c r="EM1663"/>
      <c r="EN1663"/>
      <c r="EO1663"/>
      <c r="EP1663"/>
      <c r="EQ1663"/>
      <c r="ER1663"/>
      <c r="ES1663"/>
    </row>
    <row r="1664" spans="1:149">
      <c r="A1664"/>
      <c r="B1664"/>
      <c r="C1664"/>
      <c r="D1664"/>
      <c r="E1664"/>
      <c r="F1664"/>
      <c r="G1664"/>
      <c r="H1664"/>
      <c r="I1664"/>
      <c r="J1664"/>
      <c r="K1664"/>
      <c r="L1664"/>
      <c r="M1664"/>
      <c r="N1664"/>
      <c r="O1664"/>
      <c r="P1664"/>
      <c r="Q1664"/>
      <c r="R1664"/>
      <c r="S1664"/>
      <c r="T1664"/>
      <c r="U1664"/>
      <c r="V1664"/>
      <c r="W1664"/>
      <c r="X1664"/>
      <c r="Y1664"/>
      <c r="Z1664"/>
      <c r="AA1664"/>
      <c r="AB1664"/>
      <c r="AC1664"/>
      <c r="AD1664"/>
      <c r="AE1664"/>
      <c r="AF1664"/>
      <c r="AG1664"/>
      <c r="AH1664"/>
      <c r="AI1664"/>
      <c r="AJ1664"/>
      <c r="AK1664"/>
      <c r="AL1664"/>
      <c r="AM1664"/>
      <c r="AN1664"/>
      <c r="AO1664"/>
      <c r="AP1664"/>
      <c r="AQ1664"/>
      <c r="AR1664"/>
      <c r="AS1664"/>
      <c r="AT1664"/>
      <c r="AU1664"/>
      <c r="AV1664"/>
      <c r="AW1664"/>
      <c r="AX1664"/>
      <c r="AY1664"/>
      <c r="AZ1664"/>
      <c r="BA1664"/>
      <c r="BB1664"/>
      <c r="BC1664"/>
      <c r="BD1664"/>
      <c r="BE1664"/>
      <c r="BF1664"/>
      <c r="BG1664"/>
      <c r="BH1664"/>
      <c r="BI1664"/>
      <c r="BJ1664"/>
      <c r="BK1664"/>
      <c r="BL1664"/>
      <c r="BM1664"/>
      <c r="BN1664"/>
      <c r="BO1664"/>
      <c r="BP1664"/>
      <c r="BQ1664"/>
      <c r="BR1664"/>
      <c r="BS1664"/>
      <c r="BT1664"/>
      <c r="BU1664"/>
      <c r="BV1664"/>
      <c r="BW1664"/>
      <c r="BX1664"/>
      <c r="BY1664"/>
      <c r="BZ1664"/>
      <c r="CA1664"/>
      <c r="CB1664"/>
      <c r="CC1664"/>
      <c r="CD1664"/>
      <c r="CE1664"/>
      <c r="CF1664"/>
      <c r="CG1664"/>
      <c r="CH1664"/>
      <c r="CI1664"/>
      <c r="CJ1664"/>
      <c r="CK1664"/>
      <c r="CL1664"/>
      <c r="CM1664"/>
      <c r="CN1664"/>
      <c r="CO1664"/>
      <c r="CP1664"/>
      <c r="CQ1664"/>
      <c r="CR1664"/>
      <c r="CS1664"/>
      <c r="CT1664"/>
      <c r="CU1664"/>
      <c r="CV1664"/>
      <c r="CW1664"/>
      <c r="CX1664"/>
      <c r="CY1664"/>
      <c r="CZ1664"/>
      <c r="DA1664"/>
      <c r="DB1664"/>
      <c r="DC1664"/>
      <c r="DD1664"/>
      <c r="DE1664"/>
      <c r="DF1664"/>
      <c r="DG1664"/>
      <c r="DH1664"/>
      <c r="DI1664"/>
      <c r="DJ1664"/>
      <c r="DK1664"/>
      <c r="DL1664"/>
      <c r="DM1664"/>
      <c r="DN1664"/>
      <c r="DO1664"/>
      <c r="DP1664"/>
      <c r="DQ1664"/>
      <c r="DR1664"/>
      <c r="DS1664"/>
      <c r="DT1664"/>
      <c r="DU1664"/>
      <c r="DV1664"/>
      <c r="DW1664"/>
      <c r="DX1664"/>
      <c r="DY1664"/>
      <c r="DZ1664"/>
      <c r="EA1664"/>
      <c r="EB1664"/>
      <c r="EC1664"/>
      <c r="ED1664"/>
      <c r="EE1664"/>
      <c r="EF1664"/>
      <c r="EG1664"/>
      <c r="EH1664"/>
      <c r="EI1664"/>
      <c r="EJ1664"/>
      <c r="EK1664"/>
      <c r="EL1664"/>
      <c r="EM1664"/>
      <c r="EN1664"/>
      <c r="EO1664"/>
      <c r="EP1664"/>
      <c r="EQ1664"/>
      <c r="ER1664"/>
      <c r="ES1664"/>
    </row>
    <row r="1665" spans="1:149">
      <c r="A1665"/>
      <c r="B1665"/>
      <c r="C1665"/>
      <c r="D1665"/>
      <c r="E1665"/>
      <c r="F1665"/>
      <c r="G1665"/>
      <c r="H1665"/>
      <c r="I1665"/>
      <c r="J1665"/>
      <c r="K1665"/>
      <c r="L1665"/>
      <c r="M1665"/>
      <c r="N1665"/>
      <c r="O1665"/>
      <c r="P1665"/>
      <c r="Q1665"/>
      <c r="R1665"/>
      <c r="S1665"/>
      <c r="T1665"/>
      <c r="U1665"/>
      <c r="V1665"/>
      <c r="W1665"/>
      <c r="X1665"/>
      <c r="Y1665"/>
      <c r="Z1665"/>
      <c r="AA1665"/>
      <c r="AB1665"/>
      <c r="AC1665"/>
      <c r="AD1665"/>
      <c r="AE1665"/>
      <c r="AF1665"/>
      <c r="AG1665"/>
      <c r="AH1665"/>
      <c r="AI1665"/>
      <c r="AJ1665"/>
      <c r="AK1665"/>
      <c r="AL1665"/>
      <c r="AM1665"/>
      <c r="AN1665"/>
      <c r="AO1665"/>
      <c r="AP1665"/>
      <c r="AQ1665"/>
      <c r="AR1665"/>
      <c r="AS1665"/>
      <c r="AT1665"/>
      <c r="AU1665"/>
      <c r="AV1665"/>
      <c r="AW1665"/>
      <c r="AX1665"/>
      <c r="AY1665"/>
      <c r="AZ1665"/>
      <c r="BA1665"/>
      <c r="BB1665"/>
      <c r="BC1665"/>
      <c r="BD1665"/>
      <c r="BE1665"/>
      <c r="BF1665"/>
      <c r="BG1665"/>
      <c r="BH1665"/>
      <c r="BI1665"/>
      <c r="BJ1665"/>
      <c r="BK1665"/>
      <c r="BL1665"/>
      <c r="BM1665"/>
      <c r="BN1665"/>
      <c r="BO1665"/>
      <c r="BP1665"/>
      <c r="BQ1665"/>
      <c r="BR1665"/>
      <c r="BS1665"/>
      <c r="BT1665"/>
      <c r="BU1665"/>
      <c r="BV1665"/>
      <c r="BW1665"/>
      <c r="BX1665"/>
      <c r="BY1665"/>
      <c r="BZ1665"/>
      <c r="CA1665"/>
      <c r="CB1665"/>
      <c r="CC1665"/>
      <c r="CD1665"/>
      <c r="CE1665"/>
      <c r="CF1665"/>
      <c r="CG1665"/>
      <c r="CH1665"/>
      <c r="CI1665"/>
      <c r="CJ1665"/>
      <c r="CK1665"/>
      <c r="CL1665"/>
      <c r="CM1665"/>
      <c r="CN1665"/>
      <c r="CO1665"/>
      <c r="CP1665"/>
      <c r="CQ1665"/>
      <c r="CR1665"/>
      <c r="CS1665"/>
      <c r="CT1665"/>
      <c r="CU1665"/>
      <c r="CV1665"/>
      <c r="CW1665"/>
      <c r="CX1665"/>
      <c r="CY1665"/>
      <c r="CZ1665"/>
      <c r="DA1665"/>
      <c r="DB1665"/>
      <c r="DC1665"/>
      <c r="DD1665"/>
      <c r="DE1665"/>
      <c r="DF1665"/>
      <c r="DG1665"/>
      <c r="DH1665"/>
      <c r="DI1665"/>
      <c r="DJ1665"/>
      <c r="DK1665"/>
      <c r="DL1665"/>
      <c r="DM1665"/>
      <c r="DN1665"/>
      <c r="DO1665"/>
      <c r="DP1665"/>
      <c r="DQ1665"/>
      <c r="DR1665"/>
      <c r="DS1665"/>
      <c r="DT1665"/>
      <c r="DU1665"/>
      <c r="DV1665"/>
      <c r="DW1665"/>
      <c r="DX1665"/>
      <c r="DY1665"/>
      <c r="DZ1665"/>
      <c r="EA1665"/>
      <c r="EB1665"/>
      <c r="EC1665"/>
      <c r="ED1665"/>
      <c r="EE1665"/>
      <c r="EF1665"/>
      <c r="EG1665"/>
      <c r="EH1665"/>
      <c r="EI1665"/>
      <c r="EJ1665"/>
      <c r="EK1665"/>
      <c r="EL1665"/>
      <c r="EM1665"/>
      <c r="EN1665"/>
      <c r="EO1665"/>
      <c r="EP1665"/>
      <c r="EQ1665"/>
      <c r="ER1665"/>
      <c r="ES1665"/>
    </row>
    <row r="1666" spans="1:149">
      <c r="A1666"/>
      <c r="B1666"/>
      <c r="C1666"/>
      <c r="D1666"/>
      <c r="E1666"/>
      <c r="F1666"/>
      <c r="G1666"/>
      <c r="H1666"/>
      <c r="I1666"/>
      <c r="J1666"/>
      <c r="K1666"/>
      <c r="L1666"/>
      <c r="M1666"/>
      <c r="N1666"/>
      <c r="O1666"/>
      <c r="P1666"/>
      <c r="Q1666"/>
      <c r="R1666"/>
      <c r="S1666"/>
      <c r="T1666"/>
      <c r="U1666"/>
      <c r="V1666"/>
      <c r="W1666"/>
      <c r="X1666"/>
      <c r="Y1666"/>
      <c r="Z1666"/>
      <c r="AA1666"/>
      <c r="AB1666"/>
      <c r="AC1666"/>
      <c r="AD1666"/>
      <c r="AE1666"/>
      <c r="AF1666"/>
      <c r="AG1666"/>
      <c r="AH1666"/>
      <c r="AI1666"/>
      <c r="AJ1666"/>
      <c r="AK1666"/>
      <c r="AL1666"/>
      <c r="AM1666"/>
      <c r="AN1666"/>
      <c r="AO1666"/>
      <c r="AP1666"/>
      <c r="AQ1666"/>
      <c r="AR1666"/>
      <c r="AS1666"/>
      <c r="AT1666"/>
      <c r="AU1666"/>
      <c r="AV1666"/>
      <c r="AW1666"/>
      <c r="AX1666"/>
      <c r="AY1666"/>
      <c r="AZ1666"/>
      <c r="BA1666"/>
      <c r="BB1666"/>
      <c r="BC1666"/>
      <c r="BD1666"/>
      <c r="BE1666"/>
      <c r="BF1666"/>
      <c r="BG1666"/>
      <c r="BH1666"/>
      <c r="BI1666"/>
      <c r="BJ1666"/>
      <c r="BK1666"/>
      <c r="BL1666"/>
      <c r="BM1666"/>
      <c r="BN1666"/>
      <c r="BO1666"/>
      <c r="BP1666"/>
      <c r="BQ1666"/>
      <c r="BR1666"/>
      <c r="BS1666"/>
      <c r="BT1666"/>
      <c r="BU1666"/>
      <c r="BV1666"/>
      <c r="BW1666"/>
      <c r="BX1666"/>
      <c r="BY1666"/>
      <c r="BZ1666"/>
      <c r="CA1666"/>
      <c r="CB1666"/>
      <c r="CC1666"/>
      <c r="CD1666"/>
      <c r="CE1666"/>
      <c r="CF1666"/>
      <c r="CG1666"/>
      <c r="CH1666"/>
      <c r="CI1666"/>
      <c r="CJ1666"/>
      <c r="CK1666"/>
      <c r="CL1666"/>
      <c r="CM1666"/>
      <c r="CN1666"/>
      <c r="CO1666"/>
      <c r="CP1666"/>
      <c r="CQ1666"/>
      <c r="CR1666"/>
      <c r="CS1666"/>
      <c r="CT1666"/>
      <c r="CU1666"/>
      <c r="CV1666"/>
      <c r="CW1666"/>
      <c r="CX1666"/>
      <c r="CY1666"/>
      <c r="CZ1666"/>
      <c r="DA1666"/>
      <c r="DB1666"/>
      <c r="DC1666"/>
      <c r="DD1666"/>
      <c r="DE1666"/>
      <c r="DF1666"/>
      <c r="DG1666"/>
      <c r="DH1666"/>
      <c r="DI1666"/>
      <c r="DJ1666"/>
      <c r="DK1666"/>
      <c r="DL1666"/>
      <c r="DM1666"/>
      <c r="DN1666"/>
      <c r="DO1666"/>
      <c r="DP1666"/>
      <c r="DQ1666"/>
      <c r="DR1666"/>
      <c r="DS1666"/>
      <c r="DT1666"/>
      <c r="DU1666"/>
      <c r="DV1666"/>
      <c r="DW1666"/>
      <c r="DX1666"/>
      <c r="DY1666"/>
      <c r="DZ1666"/>
      <c r="EA1666"/>
      <c r="EB1666"/>
      <c r="EC1666"/>
      <c r="ED1666"/>
      <c r="EE1666"/>
      <c r="EF1666"/>
      <c r="EG1666"/>
      <c r="EH1666"/>
      <c r="EI1666"/>
      <c r="EJ1666"/>
      <c r="EK1666"/>
      <c r="EL1666"/>
      <c r="EM1666"/>
      <c r="EN1666"/>
      <c r="EO1666"/>
      <c r="EP1666"/>
      <c r="EQ1666"/>
      <c r="ER1666"/>
      <c r="ES1666"/>
    </row>
    <row r="1667" spans="1:149">
      <c r="A1667"/>
      <c r="B1667"/>
      <c r="C1667"/>
      <c r="D1667"/>
      <c r="E1667"/>
      <c r="F1667"/>
      <c r="G1667"/>
      <c r="H1667"/>
      <c r="I1667"/>
      <c r="J1667"/>
      <c r="K1667"/>
      <c r="L1667"/>
      <c r="M1667"/>
      <c r="N1667"/>
      <c r="O1667"/>
      <c r="P1667"/>
      <c r="Q1667"/>
      <c r="R1667"/>
      <c r="S1667"/>
      <c r="T1667"/>
      <c r="U1667"/>
      <c r="V1667"/>
      <c r="W1667"/>
      <c r="X1667"/>
      <c r="Y1667"/>
      <c r="Z1667"/>
      <c r="AA1667"/>
      <c r="AB1667"/>
      <c r="AC1667"/>
      <c r="AD1667"/>
      <c r="AE1667"/>
      <c r="AF1667"/>
      <c r="AG1667"/>
      <c r="AH1667"/>
      <c r="AI1667"/>
      <c r="AJ1667"/>
      <c r="AK1667"/>
      <c r="AL1667"/>
      <c r="AM1667"/>
      <c r="AN1667"/>
      <c r="AO1667"/>
      <c r="AP1667"/>
      <c r="AQ1667"/>
      <c r="AR1667"/>
      <c r="AS1667"/>
      <c r="AT1667"/>
      <c r="AU1667"/>
      <c r="AV1667"/>
      <c r="AW1667"/>
      <c r="AX1667"/>
      <c r="AY1667"/>
      <c r="AZ1667"/>
      <c r="BA1667"/>
      <c r="BB1667"/>
      <c r="BC1667"/>
      <c r="BD1667"/>
      <c r="BE1667"/>
      <c r="BF1667"/>
      <c r="BG1667"/>
      <c r="BH1667"/>
      <c r="BI1667"/>
      <c r="BJ1667"/>
      <c r="BK1667"/>
      <c r="BL1667"/>
      <c r="BM1667"/>
      <c r="BN1667"/>
      <c r="BO1667"/>
      <c r="BP1667"/>
      <c r="BQ1667"/>
      <c r="BR1667"/>
      <c r="BS1667"/>
      <c r="BT1667"/>
      <c r="BU1667"/>
      <c r="BV1667"/>
      <c r="BW1667"/>
      <c r="BX1667"/>
      <c r="BY1667"/>
      <c r="BZ1667"/>
      <c r="CA1667"/>
      <c r="CB1667"/>
      <c r="CC1667"/>
      <c r="CD1667"/>
      <c r="CE1667"/>
      <c r="CF1667"/>
      <c r="CG1667"/>
      <c r="CH1667"/>
      <c r="CI1667"/>
      <c r="CJ1667"/>
      <c r="CK1667"/>
      <c r="CL1667"/>
      <c r="CM1667"/>
      <c r="CN1667"/>
      <c r="CO1667"/>
      <c r="CP1667"/>
      <c r="CQ1667"/>
      <c r="CR1667"/>
      <c r="CS1667"/>
      <c r="CT1667"/>
      <c r="CU1667"/>
      <c r="CV1667"/>
      <c r="CW1667"/>
      <c r="CX1667"/>
      <c r="CY1667"/>
      <c r="CZ1667"/>
      <c r="DA1667"/>
      <c r="DB1667"/>
      <c r="DC1667"/>
      <c r="DD1667"/>
      <c r="DE1667"/>
      <c r="DF1667"/>
      <c r="DG1667"/>
      <c r="DH1667"/>
      <c r="DI1667"/>
      <c r="DJ1667"/>
      <c r="DK1667"/>
      <c r="DL1667"/>
      <c r="DM1667"/>
      <c r="DN1667"/>
      <c r="DO1667"/>
      <c r="DP1667"/>
      <c r="DQ1667"/>
      <c r="DR1667"/>
      <c r="DS1667"/>
      <c r="DT1667"/>
      <c r="DU1667"/>
      <c r="DV1667"/>
      <c r="DW1667"/>
      <c r="DX1667"/>
      <c r="DY1667"/>
      <c r="DZ1667"/>
      <c r="EA1667"/>
      <c r="EB1667"/>
      <c r="EC1667"/>
      <c r="ED1667"/>
      <c r="EE1667"/>
      <c r="EF1667"/>
      <c r="EG1667"/>
      <c r="EH1667"/>
      <c r="EI1667"/>
      <c r="EJ1667"/>
      <c r="EK1667"/>
      <c r="EL1667"/>
      <c r="EM1667"/>
      <c r="EN1667"/>
      <c r="EO1667"/>
      <c r="EP1667"/>
      <c r="EQ1667"/>
      <c r="ER1667"/>
      <c r="ES1667"/>
    </row>
    <row r="1668" spans="1:149">
      <c r="A1668"/>
      <c r="B1668"/>
      <c r="C1668"/>
      <c r="D1668"/>
      <c r="E1668"/>
      <c r="F1668"/>
      <c r="G1668"/>
      <c r="H1668"/>
      <c r="I1668"/>
      <c r="J1668"/>
      <c r="K1668"/>
      <c r="L1668"/>
      <c r="M1668"/>
      <c r="N1668"/>
      <c r="O1668"/>
      <c r="P1668"/>
      <c r="Q1668"/>
      <c r="R1668"/>
      <c r="S1668"/>
      <c r="T1668"/>
      <c r="U1668"/>
      <c r="V1668"/>
      <c r="W1668"/>
      <c r="X1668"/>
      <c r="Y1668"/>
      <c r="Z1668"/>
      <c r="AA1668"/>
      <c r="AB1668"/>
      <c r="AC1668"/>
      <c r="AD1668"/>
      <c r="AE1668"/>
      <c r="AF1668"/>
      <c r="AG1668"/>
      <c r="AH1668"/>
      <c r="AI1668"/>
      <c r="AJ1668"/>
      <c r="AK1668"/>
      <c r="AL1668"/>
      <c r="AM1668"/>
      <c r="AN1668"/>
      <c r="AO1668"/>
      <c r="AP1668"/>
      <c r="AQ1668"/>
      <c r="AR1668"/>
      <c r="AS1668"/>
      <c r="AT1668"/>
      <c r="AU1668"/>
      <c r="AV1668"/>
      <c r="AW1668"/>
      <c r="AX1668"/>
      <c r="AY1668"/>
      <c r="AZ1668"/>
      <c r="BA1668"/>
      <c r="BB1668"/>
      <c r="BC1668"/>
      <c r="BD1668"/>
      <c r="BE1668"/>
      <c r="BF1668"/>
      <c r="BG1668"/>
      <c r="BH1668"/>
      <c r="BI1668"/>
      <c r="BJ1668"/>
      <c r="BK1668"/>
      <c r="BL1668"/>
      <c r="BM1668"/>
      <c r="BN1668"/>
      <c r="BO1668"/>
      <c r="BP1668"/>
      <c r="BQ1668"/>
      <c r="BR1668"/>
      <c r="BS1668"/>
      <c r="BT1668"/>
      <c r="BU1668"/>
      <c r="BV1668"/>
      <c r="BW1668"/>
      <c r="BX1668"/>
      <c r="BY1668"/>
      <c r="BZ1668"/>
      <c r="CA1668"/>
      <c r="CB1668"/>
      <c r="CC1668"/>
      <c r="CD1668"/>
      <c r="CE1668"/>
      <c r="CF1668"/>
      <c r="CG1668"/>
      <c r="CH1668"/>
      <c r="CI1668"/>
      <c r="CJ1668"/>
      <c r="CK1668"/>
      <c r="CL1668"/>
      <c r="CM1668"/>
      <c r="CN1668"/>
      <c r="CO1668"/>
      <c r="CP1668"/>
      <c r="CQ1668"/>
      <c r="CR1668"/>
      <c r="CS1668"/>
      <c r="CT1668"/>
      <c r="CU1668"/>
      <c r="CV1668"/>
      <c r="CW1668"/>
      <c r="CX1668"/>
      <c r="CY1668"/>
      <c r="CZ1668"/>
      <c r="DA1668"/>
      <c r="DB1668"/>
      <c r="DC1668"/>
      <c r="DD1668"/>
      <c r="DE1668"/>
      <c r="DF1668"/>
      <c r="DG1668"/>
      <c r="DH1668"/>
      <c r="DI1668"/>
      <c r="DJ1668"/>
      <c r="DK1668"/>
      <c r="DL1668"/>
      <c r="DM1668"/>
      <c r="DN1668"/>
      <c r="DO1668"/>
      <c r="DP1668"/>
      <c r="DQ1668"/>
      <c r="DR1668"/>
      <c r="DS1668"/>
      <c r="DT1668"/>
      <c r="DU1668"/>
      <c r="DV1668"/>
      <c r="DW1668"/>
      <c r="DX1668"/>
      <c r="DY1668"/>
      <c r="DZ1668"/>
      <c r="EA1668"/>
      <c r="EB1668"/>
      <c r="EC1668"/>
      <c r="ED1668"/>
      <c r="EE1668"/>
      <c r="EF1668"/>
      <c r="EG1668"/>
      <c r="EH1668"/>
      <c r="EI1668"/>
      <c r="EJ1668"/>
      <c r="EK1668"/>
      <c r="EL1668"/>
      <c r="EM1668"/>
      <c r="EN1668"/>
      <c r="EO1668"/>
      <c r="EP1668"/>
      <c r="EQ1668"/>
      <c r="ER1668"/>
      <c r="ES1668"/>
    </row>
    <row r="1669" spans="1:149">
      <c r="A1669"/>
      <c r="B1669"/>
      <c r="C1669"/>
      <c r="D1669"/>
      <c r="E1669"/>
      <c r="F1669"/>
      <c r="G1669"/>
      <c r="H1669"/>
      <c r="I1669"/>
      <c r="J1669"/>
      <c r="K1669"/>
      <c r="L1669"/>
      <c r="M1669"/>
      <c r="N1669"/>
      <c r="O1669"/>
      <c r="P1669"/>
      <c r="Q1669"/>
      <c r="R1669"/>
      <c r="S1669"/>
      <c r="T1669"/>
      <c r="U1669"/>
      <c r="V1669"/>
      <c r="W1669"/>
      <c r="X1669"/>
      <c r="Y1669"/>
      <c r="Z1669"/>
      <c r="AA1669"/>
      <c r="AB1669"/>
      <c r="AC1669"/>
      <c r="AD1669"/>
      <c r="AE1669"/>
      <c r="AF1669"/>
      <c r="AG1669"/>
      <c r="AH1669"/>
      <c r="AI1669"/>
      <c r="AJ1669"/>
      <c r="AK1669"/>
      <c r="AL1669"/>
      <c r="AM1669"/>
      <c r="AN1669"/>
      <c r="AO1669"/>
      <c r="AP1669"/>
      <c r="AQ1669"/>
      <c r="AR1669"/>
      <c r="AS1669"/>
      <c r="AT1669"/>
      <c r="AU1669"/>
      <c r="AV1669"/>
      <c r="AW1669"/>
      <c r="AX1669"/>
      <c r="AY1669"/>
      <c r="AZ1669"/>
      <c r="BA1669"/>
      <c r="BB1669"/>
      <c r="BC1669"/>
      <c r="BD1669"/>
      <c r="BE1669"/>
      <c r="BF1669"/>
      <c r="BG1669"/>
      <c r="BH1669"/>
      <c r="BI1669"/>
      <c r="BJ1669"/>
      <c r="BK1669"/>
      <c r="BL1669"/>
      <c r="BM1669"/>
      <c r="BN1669"/>
      <c r="BO1669"/>
      <c r="BP1669"/>
      <c r="BQ1669"/>
      <c r="BR1669"/>
      <c r="BS1669"/>
      <c r="BT1669"/>
      <c r="BU1669"/>
      <c r="BV1669"/>
      <c r="BW1669"/>
      <c r="BX1669"/>
      <c r="BY1669"/>
      <c r="BZ1669"/>
      <c r="CA1669"/>
      <c r="CB1669"/>
      <c r="CC1669"/>
      <c r="CD1669"/>
      <c r="CE1669"/>
      <c r="CF1669"/>
      <c r="CG1669"/>
      <c r="CH1669"/>
      <c r="CI1669"/>
      <c r="CJ1669"/>
      <c r="CK1669"/>
      <c r="CL1669"/>
      <c r="CM1669"/>
      <c r="CN1669"/>
      <c r="CO1669"/>
      <c r="CP1669"/>
      <c r="CQ1669"/>
      <c r="CR1669"/>
      <c r="CS1669"/>
      <c r="CT1669"/>
      <c r="CU1669"/>
      <c r="CV1669"/>
      <c r="CW1669"/>
      <c r="CX1669"/>
      <c r="CY1669"/>
      <c r="CZ1669"/>
      <c r="DA1669"/>
      <c r="DB1669"/>
      <c r="DC1669"/>
      <c r="DD1669"/>
      <c r="DE1669"/>
      <c r="DF1669"/>
      <c r="DG1669"/>
      <c r="DH1669"/>
      <c r="DI1669"/>
      <c r="DJ1669"/>
      <c r="DK1669"/>
      <c r="DL1669"/>
      <c r="DM1669"/>
      <c r="DN1669"/>
      <c r="DO1669"/>
      <c r="DP1669"/>
      <c r="DQ1669"/>
      <c r="DR1669"/>
      <c r="DS1669"/>
      <c r="DT1669"/>
      <c r="DU1669"/>
      <c r="DV1669"/>
      <c r="DW1669"/>
      <c r="DX1669"/>
      <c r="DY1669"/>
      <c r="DZ1669"/>
      <c r="EA1669"/>
      <c r="EB1669"/>
      <c r="EC1669"/>
      <c r="ED1669"/>
      <c r="EE1669"/>
      <c r="EF1669"/>
      <c r="EG1669"/>
      <c r="EH1669"/>
      <c r="EI1669"/>
      <c r="EJ1669"/>
      <c r="EK1669"/>
      <c r="EL1669"/>
      <c r="EM1669"/>
      <c r="EN1669"/>
      <c r="EO1669"/>
      <c r="EP1669"/>
      <c r="EQ1669"/>
      <c r="ER1669"/>
      <c r="ES1669"/>
    </row>
    <row r="1670" spans="1:149">
      <c r="A1670"/>
      <c r="B1670"/>
      <c r="C1670"/>
      <c r="D1670"/>
      <c r="E1670"/>
      <c r="F1670"/>
      <c r="G1670"/>
      <c r="H1670"/>
      <c r="I1670"/>
      <c r="J1670"/>
      <c r="K1670"/>
      <c r="L1670"/>
      <c r="M1670"/>
      <c r="N1670"/>
      <c r="O1670"/>
      <c r="P1670"/>
      <c r="Q1670"/>
      <c r="R1670"/>
      <c r="S1670"/>
      <c r="T1670"/>
      <c r="U1670"/>
      <c r="V1670"/>
      <c r="W1670"/>
      <c r="X1670"/>
      <c r="Y1670"/>
      <c r="Z1670"/>
      <c r="AA1670"/>
      <c r="AB1670"/>
      <c r="AC1670"/>
      <c r="AD1670"/>
      <c r="AE1670"/>
      <c r="AF1670"/>
      <c r="AG1670"/>
      <c r="AH1670"/>
      <c r="AI1670"/>
      <c r="AJ1670"/>
      <c r="AK1670"/>
      <c r="AL1670"/>
      <c r="AM1670"/>
      <c r="AN1670"/>
      <c r="AO1670"/>
      <c r="AP1670"/>
      <c r="AQ1670"/>
      <c r="AR1670"/>
      <c r="AS1670"/>
      <c r="AT1670"/>
      <c r="AU1670"/>
      <c r="AV1670"/>
      <c r="AW1670"/>
      <c r="AX1670"/>
      <c r="AY1670"/>
      <c r="AZ1670"/>
      <c r="BA1670"/>
      <c r="BB1670"/>
      <c r="BC1670"/>
      <c r="BD1670"/>
      <c r="BE1670"/>
      <c r="BF1670"/>
      <c r="BG1670"/>
      <c r="BH1670"/>
      <c r="BI1670"/>
      <c r="BJ1670"/>
      <c r="BK1670"/>
      <c r="BL1670"/>
      <c r="BM1670"/>
      <c r="BN1670"/>
      <c r="BO1670"/>
      <c r="BP1670"/>
      <c r="BQ1670"/>
      <c r="BR1670"/>
      <c r="BS1670"/>
      <c r="BT1670"/>
      <c r="BU1670"/>
      <c r="BV1670"/>
      <c r="BW1670"/>
      <c r="BX1670"/>
      <c r="BY1670"/>
      <c r="BZ1670"/>
      <c r="CA1670"/>
      <c r="CB1670"/>
      <c r="CC1670"/>
      <c r="CD1670"/>
      <c r="CE1670"/>
      <c r="CF1670"/>
      <c r="CG1670"/>
      <c r="CH1670"/>
      <c r="CI1670"/>
      <c r="CJ1670"/>
      <c r="CK1670"/>
      <c r="CL1670"/>
      <c r="CM1670"/>
      <c r="CN1670"/>
      <c r="CO1670"/>
      <c r="CP1670"/>
      <c r="CQ1670"/>
      <c r="CR1670"/>
      <c r="CS1670"/>
      <c r="CT1670"/>
      <c r="CU1670"/>
      <c r="CV1670"/>
      <c r="CW1670"/>
      <c r="CX1670"/>
      <c r="CY1670"/>
      <c r="CZ1670"/>
      <c r="DA1670"/>
      <c r="DB1670"/>
      <c r="DC1670"/>
      <c r="DD1670"/>
      <c r="DE1670"/>
      <c r="DF1670"/>
      <c r="DG1670"/>
      <c r="DH1670"/>
      <c r="DI1670"/>
      <c r="DJ1670"/>
      <c r="DK1670"/>
      <c r="DL1670"/>
      <c r="DM1670"/>
      <c r="DN1670"/>
      <c r="DO1670"/>
      <c r="DP1670"/>
      <c r="DQ1670"/>
      <c r="DR1670"/>
      <c r="DS1670"/>
      <c r="DT1670"/>
      <c r="DU1670"/>
      <c r="DV1670"/>
      <c r="DW1670"/>
      <c r="DX1670"/>
      <c r="DY1670"/>
      <c r="DZ1670"/>
      <c r="EA1670"/>
      <c r="EB1670"/>
      <c r="EC1670"/>
      <c r="ED1670"/>
      <c r="EE1670"/>
      <c r="EF1670"/>
      <c r="EG1670"/>
      <c r="EH1670"/>
      <c r="EI1670"/>
      <c r="EJ1670"/>
      <c r="EK1670"/>
      <c r="EL1670"/>
      <c r="EM1670"/>
      <c r="EN1670"/>
      <c r="EO1670"/>
      <c r="EP1670"/>
      <c r="EQ1670"/>
      <c r="ER1670"/>
      <c r="ES1670"/>
    </row>
    <row r="1671" spans="1:149">
      <c r="A1671"/>
      <c r="B1671"/>
      <c r="C1671"/>
      <c r="D1671"/>
      <c r="E1671"/>
      <c r="F1671"/>
      <c r="G1671"/>
      <c r="H1671"/>
      <c r="I1671"/>
      <c r="J1671"/>
      <c r="K1671"/>
      <c r="L1671"/>
      <c r="M1671"/>
      <c r="N1671"/>
      <c r="O1671"/>
      <c r="P1671"/>
      <c r="Q1671"/>
      <c r="R1671"/>
      <c r="S1671"/>
      <c r="T1671"/>
      <c r="U1671"/>
      <c r="V1671"/>
      <c r="W1671"/>
      <c r="X1671"/>
      <c r="Y1671"/>
      <c r="Z1671"/>
      <c r="AA1671"/>
      <c r="AB1671"/>
      <c r="AC1671"/>
      <c r="AD1671"/>
      <c r="AE1671"/>
      <c r="AF1671"/>
      <c r="AG1671"/>
      <c r="AH1671"/>
      <c r="AI1671"/>
      <c r="AJ1671"/>
      <c r="AK1671"/>
      <c r="AL1671"/>
      <c r="AM1671"/>
      <c r="AN1671"/>
      <c r="AO1671"/>
      <c r="AP1671"/>
      <c r="AQ1671"/>
      <c r="AR1671"/>
      <c r="AS1671"/>
      <c r="AT1671"/>
      <c r="AU1671"/>
      <c r="AV1671"/>
      <c r="AW1671"/>
      <c r="AX1671"/>
      <c r="AY1671"/>
      <c r="AZ1671"/>
      <c r="BA1671"/>
      <c r="BB1671"/>
      <c r="BC1671"/>
      <c r="BD1671"/>
      <c r="BE1671"/>
      <c r="BF1671"/>
      <c r="BG1671"/>
      <c r="BH1671"/>
      <c r="BI1671"/>
      <c r="BJ1671"/>
      <c r="BK1671"/>
      <c r="BL1671"/>
      <c r="BM1671"/>
      <c r="BN1671"/>
      <c r="BO1671"/>
      <c r="BP1671"/>
      <c r="BQ1671"/>
      <c r="BR1671"/>
      <c r="BS1671"/>
      <c r="BT1671"/>
      <c r="BU1671"/>
      <c r="BV1671"/>
      <c r="BW1671"/>
      <c r="BX1671"/>
      <c r="BY1671"/>
      <c r="BZ1671"/>
      <c r="CA1671"/>
      <c r="CB1671"/>
      <c r="CC1671"/>
      <c r="CD1671"/>
      <c r="CE1671"/>
      <c r="CF1671"/>
      <c r="CG1671"/>
      <c r="CH1671"/>
      <c r="CI1671"/>
      <c r="CJ1671"/>
      <c r="CK1671"/>
      <c r="CL1671"/>
      <c r="CM1671"/>
      <c r="CN1671"/>
      <c r="CO1671"/>
      <c r="CP1671"/>
      <c r="CQ1671"/>
      <c r="CR1671"/>
      <c r="CS1671"/>
      <c r="CT1671"/>
      <c r="CU1671"/>
      <c r="CV1671"/>
      <c r="CW1671"/>
      <c r="CX1671"/>
      <c r="CY1671"/>
      <c r="CZ1671"/>
      <c r="DA1671"/>
      <c r="DB1671"/>
      <c r="DC1671"/>
      <c r="DD1671"/>
      <c r="DE1671"/>
      <c r="DF1671"/>
      <c r="DG1671"/>
      <c r="DH1671"/>
      <c r="DI1671"/>
      <c r="DJ1671"/>
      <c r="DK1671"/>
      <c r="DL1671"/>
      <c r="DM1671"/>
      <c r="DN1671"/>
      <c r="DO1671"/>
      <c r="DP1671"/>
      <c r="DQ1671"/>
      <c r="DR1671"/>
      <c r="DS1671"/>
      <c r="DT1671"/>
      <c r="DU1671"/>
      <c r="DV1671"/>
      <c r="DW1671"/>
      <c r="DX1671"/>
      <c r="DY1671"/>
      <c r="DZ1671"/>
      <c r="EA1671"/>
      <c r="EB1671"/>
      <c r="EC1671"/>
      <c r="ED1671"/>
      <c r="EE1671"/>
      <c r="EF1671"/>
      <c r="EG1671"/>
      <c r="EH1671"/>
      <c r="EI1671"/>
      <c r="EJ1671"/>
      <c r="EK1671"/>
      <c r="EL1671"/>
      <c r="EM1671"/>
      <c r="EN1671"/>
      <c r="EO1671"/>
      <c r="EP1671"/>
      <c r="EQ1671"/>
      <c r="ER1671"/>
      <c r="ES1671"/>
    </row>
    <row r="1672" spans="1:149">
      <c r="A1672"/>
      <c r="B1672"/>
      <c r="C1672"/>
      <c r="D1672"/>
      <c r="E1672"/>
      <c r="F1672"/>
      <c r="G1672"/>
      <c r="H1672"/>
      <c r="I1672"/>
      <c r="J1672"/>
      <c r="K1672"/>
      <c r="L1672"/>
      <c r="M1672"/>
      <c r="N1672"/>
      <c r="O1672"/>
      <c r="P1672"/>
      <c r="Q1672"/>
      <c r="R1672"/>
      <c r="S1672"/>
      <c r="T1672"/>
      <c r="U1672"/>
      <c r="V1672"/>
      <c r="W1672"/>
      <c r="X1672"/>
      <c r="Y1672"/>
      <c r="Z1672"/>
      <c r="AA1672"/>
      <c r="AB1672"/>
      <c r="AC1672"/>
      <c r="AD1672"/>
      <c r="AE1672"/>
      <c r="AF1672"/>
      <c r="AG1672"/>
      <c r="AH1672"/>
      <c r="AI1672"/>
      <c r="AJ1672"/>
      <c r="AK1672"/>
      <c r="AL1672"/>
      <c r="AM1672"/>
      <c r="AN1672"/>
      <c r="AO1672"/>
      <c r="AP1672"/>
      <c r="AQ1672"/>
      <c r="AR1672"/>
      <c r="AS1672"/>
      <c r="AT1672"/>
      <c r="AU1672"/>
      <c r="AV1672"/>
      <c r="AW1672"/>
      <c r="AX1672"/>
      <c r="AY1672"/>
      <c r="AZ1672"/>
      <c r="BA1672"/>
      <c r="BB1672"/>
      <c r="BC1672"/>
      <c r="BD1672"/>
      <c r="BE1672"/>
      <c r="BF1672"/>
      <c r="BG1672"/>
      <c r="BH1672"/>
      <c r="BI1672"/>
      <c r="BJ1672"/>
      <c r="BK1672"/>
      <c r="BL1672"/>
      <c r="BM1672"/>
      <c r="BN1672"/>
      <c r="BO1672"/>
      <c r="BP1672"/>
      <c r="BQ1672"/>
      <c r="BR1672"/>
      <c r="BS1672"/>
      <c r="BT1672"/>
      <c r="BU1672"/>
      <c r="BV1672"/>
      <c r="BW1672"/>
      <c r="BX1672"/>
      <c r="BY1672"/>
      <c r="BZ1672"/>
      <c r="CA1672"/>
      <c r="CB1672"/>
      <c r="CC1672"/>
      <c r="CD1672"/>
      <c r="CE1672"/>
      <c r="CF1672"/>
      <c r="CG1672"/>
      <c r="CH1672"/>
      <c r="CI1672"/>
      <c r="CJ1672"/>
      <c r="CK1672"/>
      <c r="CL1672"/>
      <c r="CM1672"/>
      <c r="CN1672"/>
      <c r="CO1672"/>
      <c r="CP1672"/>
      <c r="CQ1672"/>
      <c r="CR1672"/>
      <c r="CS1672"/>
      <c r="CT1672"/>
      <c r="CU1672"/>
      <c r="CV1672"/>
      <c r="CW1672"/>
      <c r="CX1672"/>
      <c r="CY1672"/>
      <c r="CZ1672"/>
      <c r="DA1672"/>
      <c r="DB1672"/>
      <c r="DC1672"/>
      <c r="DD1672"/>
      <c r="DE1672"/>
      <c r="DF1672"/>
      <c r="DG1672"/>
      <c r="DH1672"/>
      <c r="DI1672"/>
      <c r="DJ1672"/>
      <c r="DK1672"/>
      <c r="DL1672"/>
      <c r="DM1672"/>
      <c r="DN1672"/>
      <c r="DO1672"/>
      <c r="DP1672"/>
      <c r="DQ1672"/>
      <c r="DR1672"/>
      <c r="DS1672"/>
      <c r="DT1672"/>
      <c r="DU1672"/>
      <c r="DV1672"/>
      <c r="DW1672"/>
      <c r="DX1672"/>
      <c r="DY1672"/>
      <c r="DZ1672"/>
      <c r="EA1672"/>
      <c r="EB1672"/>
      <c r="EC1672"/>
      <c r="ED1672"/>
      <c r="EE1672"/>
      <c r="EF1672"/>
      <c r="EG1672"/>
      <c r="EH1672"/>
      <c r="EI1672"/>
      <c r="EJ1672"/>
      <c r="EK1672"/>
      <c r="EL1672"/>
      <c r="EM1672"/>
      <c r="EN1672"/>
      <c r="EO1672"/>
      <c r="EP1672"/>
      <c r="EQ1672"/>
      <c r="ER1672"/>
      <c r="ES1672"/>
    </row>
    <row r="1673" spans="1:149">
      <c r="A1673"/>
      <c r="B1673"/>
      <c r="C1673"/>
      <c r="D1673"/>
      <c r="E1673"/>
      <c r="F1673"/>
      <c r="G1673"/>
      <c r="H1673"/>
      <c r="I1673"/>
      <c r="J1673"/>
      <c r="K1673"/>
      <c r="L1673"/>
      <c r="M1673"/>
      <c r="N1673"/>
      <c r="O1673"/>
      <c r="P1673"/>
      <c r="Q1673"/>
      <c r="R1673"/>
      <c r="S1673"/>
      <c r="T1673"/>
      <c r="U1673"/>
      <c r="V1673"/>
      <c r="W1673"/>
      <c r="X1673"/>
      <c r="Y1673"/>
      <c r="Z1673"/>
      <c r="AA1673"/>
      <c r="AB1673"/>
      <c r="AC1673"/>
      <c r="AD1673"/>
      <c r="AE1673"/>
      <c r="AF1673"/>
      <c r="AG1673"/>
      <c r="AH1673"/>
      <c r="AI1673"/>
      <c r="AJ1673"/>
      <c r="AK1673"/>
      <c r="AL1673"/>
      <c r="AM1673"/>
      <c r="AN1673"/>
      <c r="AO1673"/>
      <c r="AP1673"/>
      <c r="AQ1673"/>
      <c r="AR1673"/>
      <c r="AS1673"/>
      <c r="AT1673"/>
      <c r="AU1673"/>
      <c r="AV1673"/>
      <c r="AW1673"/>
      <c r="AX1673"/>
      <c r="AY1673"/>
      <c r="AZ1673"/>
      <c r="BA1673"/>
      <c r="BB1673"/>
      <c r="BC1673"/>
      <c r="BD1673"/>
      <c r="BE1673"/>
      <c r="BF1673"/>
      <c r="BG1673"/>
      <c r="BH1673"/>
      <c r="BI1673"/>
      <c r="BJ1673"/>
      <c r="BK1673"/>
      <c r="BL1673"/>
      <c r="BM1673"/>
      <c r="BN1673"/>
      <c r="BO1673"/>
      <c r="BP1673"/>
      <c r="BQ1673"/>
      <c r="BR1673"/>
      <c r="BS1673"/>
      <c r="BT1673"/>
      <c r="BU1673"/>
      <c r="BV1673"/>
      <c r="BW1673"/>
      <c r="BX1673"/>
      <c r="BY1673"/>
      <c r="BZ1673"/>
      <c r="CA1673"/>
      <c r="CB1673"/>
      <c r="CC1673"/>
      <c r="CD1673"/>
      <c r="CE1673"/>
      <c r="CF1673"/>
      <c r="CG1673"/>
      <c r="CH1673"/>
      <c r="CI1673"/>
      <c r="CJ1673"/>
      <c r="CK1673"/>
      <c r="CL1673"/>
      <c r="CM1673"/>
      <c r="CN1673"/>
      <c r="CO1673"/>
      <c r="CP1673"/>
      <c r="CQ1673"/>
      <c r="CR1673"/>
      <c r="CS1673"/>
      <c r="CT1673"/>
      <c r="CU1673"/>
      <c r="CV1673"/>
      <c r="CW1673"/>
      <c r="CX1673"/>
      <c r="CY1673"/>
      <c r="CZ1673"/>
      <c r="DA1673"/>
      <c r="DB1673"/>
      <c r="DC1673"/>
      <c r="DD1673"/>
      <c r="DE1673"/>
      <c r="DF1673"/>
      <c r="DG1673"/>
      <c r="DH1673"/>
      <c r="DI1673"/>
      <c r="DJ1673"/>
      <c r="DK1673"/>
      <c r="DL1673"/>
      <c r="DM1673"/>
      <c r="DN1673"/>
      <c r="DO1673"/>
      <c r="DP1673"/>
      <c r="DQ1673"/>
      <c r="DR1673"/>
      <c r="DS1673"/>
      <c r="DT1673"/>
      <c r="DU1673"/>
      <c r="DV1673"/>
      <c r="DW1673"/>
      <c r="DX1673"/>
      <c r="DY1673"/>
      <c r="DZ1673"/>
      <c r="EA1673"/>
      <c r="EB1673"/>
      <c r="EC1673"/>
      <c r="ED1673"/>
      <c r="EE1673"/>
      <c r="EF1673"/>
      <c r="EG1673"/>
      <c r="EH1673"/>
      <c r="EI1673"/>
      <c r="EJ1673"/>
      <c r="EK1673"/>
      <c r="EL1673"/>
      <c r="EM1673"/>
      <c r="EN1673"/>
      <c r="EO1673"/>
      <c r="EP1673"/>
      <c r="EQ1673"/>
      <c r="ER1673"/>
      <c r="ES1673"/>
    </row>
    <row r="1674" spans="1:149">
      <c r="A1674"/>
      <c r="B1674"/>
      <c r="C1674"/>
      <c r="D1674"/>
      <c r="E1674"/>
      <c r="F1674"/>
      <c r="G1674"/>
      <c r="H1674"/>
      <c r="I1674"/>
      <c r="J1674"/>
      <c r="K1674"/>
      <c r="L1674"/>
      <c r="M1674"/>
      <c r="N1674"/>
      <c r="O1674"/>
      <c r="P1674"/>
      <c r="Q1674"/>
      <c r="R1674"/>
      <c r="S1674"/>
      <c r="T1674"/>
      <c r="U1674"/>
      <c r="V1674"/>
      <c r="W1674"/>
      <c r="X1674"/>
      <c r="Y1674"/>
      <c r="Z1674"/>
      <c r="AA1674"/>
      <c r="AB1674"/>
      <c r="AC1674"/>
      <c r="AD1674"/>
      <c r="AE1674"/>
      <c r="AF1674"/>
      <c r="AG1674"/>
      <c r="AH1674"/>
      <c r="AI1674"/>
      <c r="AJ1674"/>
      <c r="AK1674"/>
      <c r="AL1674"/>
      <c r="AM1674"/>
      <c r="AN1674"/>
      <c r="AO1674"/>
      <c r="AP1674"/>
      <c r="AQ1674"/>
      <c r="AR1674"/>
      <c r="AS1674"/>
      <c r="AT1674"/>
      <c r="AU1674"/>
      <c r="AV1674"/>
      <c r="AW1674"/>
      <c r="AX1674"/>
      <c r="AY1674"/>
      <c r="AZ1674"/>
      <c r="BA1674"/>
      <c r="BB1674"/>
      <c r="BC1674"/>
      <c r="BD1674"/>
      <c r="BE1674"/>
      <c r="BF1674"/>
      <c r="BG1674"/>
      <c r="BH1674"/>
      <c r="BI1674"/>
      <c r="BJ1674"/>
      <c r="BK1674"/>
      <c r="BL1674"/>
      <c r="BM1674"/>
      <c r="BN1674"/>
      <c r="BO1674"/>
      <c r="BP1674"/>
      <c r="BQ1674"/>
      <c r="BR1674"/>
      <c r="BS1674"/>
      <c r="BT1674"/>
      <c r="BU1674"/>
      <c r="BV1674"/>
      <c r="BW1674"/>
      <c r="BX1674"/>
      <c r="BY1674"/>
      <c r="BZ1674"/>
      <c r="CA1674"/>
      <c r="CB1674"/>
      <c r="CC1674"/>
      <c r="CD1674"/>
      <c r="CE1674"/>
      <c r="CF1674"/>
      <c r="CG1674"/>
      <c r="CH1674"/>
      <c r="CI1674"/>
      <c r="CJ1674"/>
      <c r="CK1674"/>
      <c r="CL1674"/>
      <c r="CM1674"/>
      <c r="CN1674"/>
      <c r="CO1674"/>
      <c r="CP1674"/>
      <c r="CQ1674"/>
      <c r="CR1674"/>
      <c r="CS1674"/>
      <c r="CT1674"/>
      <c r="CU1674"/>
      <c r="CV1674"/>
      <c r="CW1674"/>
      <c r="CX1674"/>
      <c r="CY1674"/>
      <c r="CZ1674"/>
      <c r="DA1674"/>
      <c r="DB1674"/>
      <c r="DC1674"/>
      <c r="DD1674"/>
      <c r="DE1674"/>
      <c r="DF1674"/>
      <c r="DG1674"/>
      <c r="DH1674"/>
      <c r="DI1674"/>
      <c r="DJ1674"/>
      <c r="DK1674"/>
      <c r="DL1674"/>
      <c r="DM1674"/>
      <c r="DN1674"/>
      <c r="DO1674"/>
      <c r="DP1674"/>
      <c r="DQ1674"/>
      <c r="DR1674"/>
      <c r="DS1674"/>
      <c r="DT1674"/>
      <c r="DU1674"/>
      <c r="DV1674"/>
      <c r="DW1674"/>
      <c r="DX1674"/>
      <c r="DY1674"/>
      <c r="DZ1674"/>
      <c r="EA1674"/>
      <c r="EB1674"/>
      <c r="EC1674"/>
      <c r="ED1674"/>
      <c r="EE1674"/>
      <c r="EF1674"/>
      <c r="EG1674"/>
      <c r="EH1674"/>
      <c r="EI1674"/>
      <c r="EJ1674"/>
      <c r="EK1674"/>
      <c r="EL1674"/>
      <c r="EM1674"/>
      <c r="EN1674"/>
      <c r="EO1674"/>
      <c r="EP1674"/>
      <c r="EQ1674"/>
      <c r="ER1674"/>
      <c r="ES1674"/>
    </row>
    <row r="1675" spans="1:149">
      <c r="A1675"/>
      <c r="B1675"/>
      <c r="C1675"/>
      <c r="D1675"/>
      <c r="E1675"/>
      <c r="F1675"/>
      <c r="G1675"/>
      <c r="H1675"/>
      <c r="I1675"/>
      <c r="J1675"/>
      <c r="K1675"/>
      <c r="L1675"/>
      <c r="M1675"/>
      <c r="N1675"/>
      <c r="O1675"/>
      <c r="P1675"/>
      <c r="Q1675"/>
      <c r="R1675"/>
      <c r="S1675"/>
      <c r="T1675"/>
      <c r="U1675"/>
      <c r="V1675"/>
      <c r="W1675"/>
      <c r="X1675"/>
      <c r="Y1675"/>
      <c r="Z1675"/>
      <c r="AA1675"/>
      <c r="AB1675"/>
      <c r="AC1675"/>
      <c r="AD1675"/>
      <c r="AE1675"/>
      <c r="AF1675"/>
      <c r="AG1675"/>
      <c r="AH1675"/>
      <c r="AI1675"/>
      <c r="AJ1675"/>
      <c r="AK1675"/>
      <c r="AL1675"/>
      <c r="AM1675"/>
      <c r="AN1675"/>
      <c r="AO1675"/>
      <c r="AP1675"/>
      <c r="AQ1675"/>
      <c r="AR1675"/>
      <c r="AS1675"/>
      <c r="AT1675"/>
      <c r="AU1675"/>
      <c r="AV1675"/>
      <c r="AW1675"/>
      <c r="AX1675"/>
      <c r="AY1675"/>
      <c r="AZ1675"/>
      <c r="BA1675"/>
      <c r="BB1675"/>
      <c r="BC1675"/>
      <c r="BD1675"/>
      <c r="BE1675"/>
      <c r="BF1675"/>
      <c r="BG1675"/>
      <c r="BH1675"/>
      <c r="BI1675"/>
      <c r="BJ1675"/>
      <c r="BK1675"/>
      <c r="BL1675"/>
      <c r="BM1675"/>
      <c r="BN1675"/>
      <c r="BO1675"/>
      <c r="BP1675"/>
      <c r="BQ1675"/>
      <c r="BR1675"/>
      <c r="BS1675"/>
      <c r="BT1675"/>
      <c r="BU1675"/>
      <c r="BV1675"/>
      <c r="BW1675"/>
      <c r="BX1675"/>
      <c r="BY1675"/>
      <c r="BZ1675"/>
      <c r="CA1675"/>
      <c r="CB1675"/>
      <c r="CC1675"/>
      <c r="CD1675"/>
      <c r="CE1675"/>
      <c r="CF1675"/>
      <c r="CG1675"/>
      <c r="CH1675"/>
      <c r="CI1675"/>
      <c r="CJ1675"/>
      <c r="CK1675"/>
      <c r="CL1675"/>
      <c r="CM1675"/>
      <c r="CN1675"/>
      <c r="CO1675"/>
      <c r="CP1675"/>
      <c r="CQ1675"/>
      <c r="CR1675"/>
      <c r="CS1675"/>
      <c r="CT1675"/>
      <c r="CU1675"/>
      <c r="CV1675"/>
      <c r="CW1675"/>
      <c r="CX1675"/>
      <c r="CY1675"/>
      <c r="CZ1675"/>
      <c r="DA1675"/>
      <c r="DB1675"/>
      <c r="DC1675"/>
      <c r="DD1675"/>
      <c r="DE1675"/>
      <c r="DF1675"/>
      <c r="DG1675"/>
      <c r="DH1675"/>
      <c r="DI1675"/>
      <c r="DJ1675"/>
      <c r="DK1675"/>
      <c r="DL1675"/>
      <c r="DM1675"/>
      <c r="DN1675"/>
      <c r="DO1675"/>
      <c r="DP1675"/>
      <c r="DQ1675"/>
      <c r="DR1675"/>
      <c r="DS1675"/>
      <c r="DT1675"/>
      <c r="DU1675"/>
      <c r="DV1675"/>
      <c r="DW1675"/>
      <c r="DX1675"/>
      <c r="DY1675"/>
      <c r="DZ1675"/>
      <c r="EA1675"/>
      <c r="EB1675"/>
      <c r="EC1675"/>
      <c r="ED1675"/>
      <c r="EE1675"/>
      <c r="EF1675"/>
      <c r="EG1675"/>
      <c r="EH1675"/>
      <c r="EI1675"/>
      <c r="EJ1675"/>
      <c r="EK1675"/>
      <c r="EL1675"/>
      <c r="EM1675"/>
      <c r="EN1675"/>
      <c r="EO1675"/>
      <c r="EP1675"/>
      <c r="EQ1675"/>
      <c r="ER1675"/>
      <c r="ES1675"/>
    </row>
    <row r="1676" spans="1:149">
      <c r="A1676"/>
      <c r="B1676"/>
      <c r="C1676"/>
      <c r="D1676"/>
      <c r="E1676"/>
      <c r="F1676"/>
      <c r="G1676"/>
      <c r="H1676"/>
      <c r="I1676"/>
      <c r="J1676"/>
      <c r="K1676"/>
      <c r="L1676"/>
      <c r="M1676"/>
      <c r="N1676"/>
      <c r="O1676"/>
      <c r="P1676"/>
      <c r="Q1676"/>
      <c r="R1676"/>
      <c r="S1676"/>
      <c r="T1676"/>
      <c r="U1676"/>
      <c r="V1676"/>
      <c r="W1676"/>
      <c r="X1676"/>
      <c r="Y1676"/>
      <c r="Z1676"/>
      <c r="AA1676"/>
      <c r="AB1676"/>
      <c r="AC1676"/>
      <c r="AD1676"/>
      <c r="AE1676"/>
      <c r="AF1676"/>
      <c r="AG1676"/>
      <c r="AH1676"/>
      <c r="AI1676"/>
      <c r="AJ1676"/>
      <c r="AK1676"/>
      <c r="AL1676"/>
      <c r="AM1676"/>
      <c r="AN1676"/>
      <c r="AO1676"/>
      <c r="AP1676"/>
      <c r="AQ1676"/>
      <c r="AR1676"/>
      <c r="AS1676"/>
      <c r="AT1676"/>
      <c r="AU1676"/>
      <c r="AV1676"/>
      <c r="AW1676"/>
      <c r="AX1676"/>
      <c r="AY1676"/>
      <c r="AZ1676"/>
      <c r="BA1676"/>
      <c r="BB1676"/>
      <c r="BC1676"/>
      <c r="BD1676"/>
      <c r="BE1676"/>
      <c r="BF1676"/>
      <c r="BG1676"/>
      <c r="BH1676"/>
      <c r="BI1676"/>
      <c r="BJ1676"/>
      <c r="BK1676"/>
      <c r="BL1676"/>
      <c r="BM1676"/>
      <c r="BN1676"/>
      <c r="BO1676"/>
      <c r="BP1676"/>
      <c r="BQ1676"/>
      <c r="BR1676"/>
      <c r="BS1676"/>
      <c r="BT1676"/>
      <c r="BU1676"/>
      <c r="BV1676"/>
      <c r="BW1676"/>
      <c r="BX1676"/>
      <c r="BY1676"/>
      <c r="BZ1676"/>
      <c r="CA1676"/>
      <c r="CB1676"/>
      <c r="CC1676"/>
      <c r="CD1676"/>
      <c r="CE1676"/>
      <c r="CF1676"/>
      <c r="CG1676"/>
      <c r="CH1676"/>
      <c r="CI1676"/>
      <c r="CJ1676"/>
      <c r="CK1676"/>
      <c r="CL1676"/>
      <c r="CM1676"/>
      <c r="CN1676"/>
      <c r="CO1676"/>
      <c r="CP1676"/>
      <c r="CQ1676"/>
      <c r="CR1676"/>
      <c r="CS1676"/>
      <c r="CT1676"/>
      <c r="CU1676"/>
      <c r="CV1676"/>
      <c r="CW1676"/>
      <c r="CX1676"/>
      <c r="CY1676"/>
      <c r="CZ1676"/>
      <c r="DA1676"/>
      <c r="DB1676"/>
      <c r="DC1676"/>
      <c r="DD1676"/>
      <c r="DE1676"/>
      <c r="DF1676"/>
      <c r="DG1676"/>
      <c r="DH1676"/>
      <c r="DI1676"/>
      <c r="DJ1676"/>
      <c r="DK1676"/>
      <c r="DL1676"/>
      <c r="DM1676"/>
      <c r="DN1676"/>
      <c r="DO1676"/>
      <c r="DP1676"/>
      <c r="DQ1676"/>
      <c r="DR1676"/>
      <c r="DS1676"/>
      <c r="DT1676"/>
      <c r="DU1676"/>
      <c r="DV1676"/>
      <c r="DW1676"/>
      <c r="DX1676"/>
      <c r="DY1676"/>
      <c r="DZ1676"/>
      <c r="EA1676"/>
      <c r="EB1676"/>
      <c r="EC1676"/>
      <c r="ED1676"/>
      <c r="EE1676"/>
      <c r="EF1676"/>
      <c r="EG1676"/>
      <c r="EH1676"/>
      <c r="EI1676"/>
      <c r="EJ1676"/>
      <c r="EK1676"/>
      <c r="EL1676"/>
      <c r="EM1676"/>
      <c r="EN1676"/>
      <c r="EO1676"/>
      <c r="EP1676"/>
      <c r="EQ1676"/>
      <c r="ER1676"/>
      <c r="ES1676"/>
    </row>
    <row r="1677" spans="1:149">
      <c r="A1677"/>
      <c r="B1677"/>
      <c r="C1677"/>
      <c r="D1677"/>
      <c r="E1677"/>
      <c r="F1677"/>
      <c r="G1677"/>
      <c r="H1677"/>
      <c r="I1677"/>
      <c r="J1677"/>
      <c r="K1677"/>
      <c r="L1677"/>
      <c r="M1677"/>
      <c r="N1677"/>
      <c r="O1677"/>
      <c r="P1677"/>
      <c r="Q1677"/>
      <c r="R1677"/>
      <c r="S1677"/>
      <c r="T1677"/>
      <c r="U1677"/>
      <c r="V1677"/>
      <c r="W1677"/>
      <c r="X1677"/>
      <c r="Y1677"/>
      <c r="Z1677"/>
      <c r="AA1677"/>
      <c r="AB1677"/>
      <c r="AC1677"/>
      <c r="AD1677"/>
      <c r="AE1677"/>
      <c r="AF1677"/>
      <c r="AG1677"/>
      <c r="AH1677"/>
      <c r="AI1677"/>
      <c r="AJ1677"/>
      <c r="AK1677"/>
      <c r="AL1677"/>
      <c r="AM1677"/>
      <c r="AN1677"/>
      <c r="AO1677"/>
      <c r="AP1677"/>
      <c r="AQ1677"/>
      <c r="AR1677"/>
      <c r="AS1677"/>
      <c r="AT1677"/>
      <c r="AU1677"/>
      <c r="AV1677"/>
      <c r="AW1677"/>
      <c r="AX1677"/>
      <c r="AY1677"/>
      <c r="AZ1677"/>
      <c r="BA1677"/>
      <c r="BB1677"/>
      <c r="BC1677"/>
      <c r="BD1677"/>
      <c r="BE1677"/>
      <c r="BF1677"/>
      <c r="BG1677"/>
      <c r="BH1677"/>
      <c r="BI1677"/>
      <c r="BJ1677"/>
      <c r="BK1677"/>
      <c r="BL1677"/>
      <c r="BM1677"/>
      <c r="BN1677"/>
      <c r="BO1677"/>
      <c r="BP1677"/>
      <c r="BQ1677"/>
      <c r="BR1677"/>
      <c r="BS1677"/>
      <c r="BT1677"/>
      <c r="BU1677"/>
      <c r="BV1677"/>
      <c r="BW1677"/>
      <c r="BX1677"/>
      <c r="BY1677"/>
      <c r="BZ1677"/>
      <c r="CA1677"/>
      <c r="CB1677"/>
      <c r="CC1677"/>
      <c r="CD1677"/>
      <c r="CE1677"/>
      <c r="CF1677"/>
      <c r="CG1677"/>
      <c r="CH1677"/>
      <c r="CI1677"/>
      <c r="CJ1677"/>
      <c r="CK1677"/>
      <c r="CL1677"/>
      <c r="CM1677"/>
      <c r="CN1677"/>
      <c r="CO1677"/>
      <c r="CP1677"/>
      <c r="CQ1677"/>
      <c r="CR1677"/>
      <c r="CS1677"/>
      <c r="CT1677"/>
      <c r="CU1677"/>
      <c r="CV1677"/>
      <c r="CW1677"/>
      <c r="CX1677"/>
      <c r="CY1677"/>
      <c r="CZ1677"/>
      <c r="DA1677"/>
      <c r="DB1677"/>
      <c r="DC1677"/>
      <c r="DD1677"/>
      <c r="DE1677"/>
      <c r="DF1677"/>
      <c r="DG1677"/>
      <c r="DH1677"/>
      <c r="DI1677"/>
      <c r="DJ1677"/>
      <c r="DK1677"/>
      <c r="DL1677"/>
      <c r="DM1677"/>
      <c r="DN1677"/>
      <c r="DO1677"/>
      <c r="DP1677"/>
      <c r="DQ1677"/>
      <c r="DR1677"/>
      <c r="DS1677"/>
      <c r="DT1677"/>
      <c r="DU1677"/>
      <c r="DV1677"/>
      <c r="DW1677"/>
      <c r="DX1677"/>
      <c r="DY1677"/>
      <c r="DZ1677"/>
      <c r="EA1677"/>
      <c r="EB1677"/>
      <c r="EC1677"/>
      <c r="ED1677"/>
      <c r="EE1677"/>
      <c r="EF1677"/>
      <c r="EG1677"/>
      <c r="EH1677"/>
      <c r="EI1677"/>
      <c r="EJ1677"/>
      <c r="EK1677"/>
      <c r="EL1677"/>
      <c r="EM1677"/>
      <c r="EN1677"/>
      <c r="EO1677"/>
      <c r="EP1677"/>
      <c r="EQ1677"/>
      <c r="ER1677"/>
      <c r="ES1677"/>
    </row>
    <row r="1678" spans="1:149">
      <c r="A1678"/>
      <c r="B1678"/>
      <c r="C1678"/>
      <c r="D1678"/>
      <c r="E1678"/>
      <c r="F1678"/>
      <c r="G1678"/>
      <c r="H1678"/>
      <c r="I1678"/>
      <c r="J1678"/>
      <c r="K1678"/>
      <c r="L1678"/>
      <c r="M1678"/>
      <c r="N1678"/>
      <c r="O1678"/>
      <c r="P1678"/>
      <c r="Q1678"/>
      <c r="R1678"/>
      <c r="S1678"/>
      <c r="T1678"/>
      <c r="U1678"/>
      <c r="V1678"/>
      <c r="W1678"/>
      <c r="X1678"/>
      <c r="Y1678"/>
      <c r="Z1678"/>
      <c r="AA1678"/>
      <c r="AB1678"/>
      <c r="AC1678"/>
      <c r="AD1678"/>
      <c r="AE1678"/>
      <c r="AF1678"/>
      <c r="AG1678"/>
      <c r="AH1678"/>
      <c r="AI1678"/>
      <c r="AJ1678"/>
      <c r="AK1678"/>
      <c r="AL1678"/>
      <c r="AM1678"/>
      <c r="AN1678"/>
      <c r="AO1678"/>
      <c r="AP1678"/>
      <c r="AQ1678"/>
      <c r="AR1678"/>
      <c r="AS1678"/>
      <c r="AT1678"/>
      <c r="AU1678"/>
      <c r="AV1678"/>
      <c r="AW1678"/>
      <c r="AX1678"/>
      <c r="AY1678"/>
      <c r="AZ1678"/>
      <c r="BA1678"/>
      <c r="BB1678"/>
      <c r="BC1678"/>
      <c r="BD1678"/>
      <c r="BE1678"/>
      <c r="BF1678"/>
      <c r="BG1678"/>
      <c r="BH1678"/>
      <c r="BI1678"/>
      <c r="BJ1678"/>
      <c r="BK1678"/>
      <c r="BL1678"/>
      <c r="BM1678"/>
      <c r="BN1678"/>
      <c r="BO1678"/>
      <c r="BP1678"/>
      <c r="BQ1678"/>
      <c r="BR1678"/>
      <c r="BS1678"/>
      <c r="BT1678"/>
      <c r="BU1678"/>
      <c r="BV1678"/>
      <c r="BW1678"/>
      <c r="BX1678"/>
      <c r="BY1678"/>
      <c r="BZ1678"/>
      <c r="CA1678"/>
      <c r="CB1678"/>
      <c r="CC1678"/>
      <c r="CD1678"/>
      <c r="CE1678"/>
      <c r="CF1678"/>
      <c r="CG1678"/>
      <c r="CH1678"/>
      <c r="CI1678"/>
      <c r="CJ1678"/>
      <c r="CK1678"/>
      <c r="CL1678"/>
      <c r="CM1678"/>
      <c r="CN1678"/>
      <c r="CO1678"/>
      <c r="CP1678"/>
      <c r="CQ1678"/>
      <c r="CR1678"/>
      <c r="CS1678"/>
      <c r="CT1678"/>
      <c r="CU1678"/>
      <c r="CV1678"/>
      <c r="CW1678"/>
      <c r="CX1678"/>
      <c r="CY1678"/>
      <c r="CZ1678"/>
      <c r="DA1678"/>
      <c r="DB1678"/>
      <c r="DC1678"/>
      <c r="DD1678"/>
      <c r="DE1678"/>
      <c r="DF1678"/>
      <c r="DG1678"/>
      <c r="DH1678"/>
      <c r="DI1678"/>
      <c r="DJ1678"/>
      <c r="DK1678"/>
      <c r="DL1678"/>
      <c r="DM1678"/>
      <c r="DN1678"/>
      <c r="DO1678"/>
      <c r="DP1678"/>
      <c r="DQ1678"/>
      <c r="DR1678"/>
      <c r="DS1678"/>
      <c r="DT1678"/>
      <c r="DU1678"/>
      <c r="DV1678"/>
      <c r="DW1678"/>
      <c r="DX1678"/>
      <c r="DY1678"/>
      <c r="DZ1678"/>
      <c r="EA1678"/>
      <c r="EB1678"/>
      <c r="EC1678"/>
      <c r="ED1678"/>
      <c r="EE1678"/>
      <c r="EF1678"/>
      <c r="EG1678"/>
      <c r="EH1678"/>
      <c r="EI1678"/>
      <c r="EJ1678"/>
      <c r="EK1678"/>
      <c r="EL1678"/>
      <c r="EM1678"/>
      <c r="EN1678"/>
      <c r="EO1678"/>
      <c r="EP1678"/>
      <c r="EQ1678"/>
      <c r="ER1678"/>
      <c r="ES1678"/>
    </row>
    <row r="1679" spans="1:149">
      <c r="A1679"/>
      <c r="B1679"/>
      <c r="C1679"/>
      <c r="D1679"/>
      <c r="E1679"/>
      <c r="F1679"/>
      <c r="G1679"/>
      <c r="H1679"/>
      <c r="I1679"/>
      <c r="J1679"/>
      <c r="K1679"/>
      <c r="L1679"/>
      <c r="M1679"/>
      <c r="N1679"/>
      <c r="O1679"/>
      <c r="P1679"/>
      <c r="Q1679"/>
      <c r="R1679"/>
      <c r="S1679"/>
      <c r="T1679"/>
      <c r="U1679"/>
      <c r="V1679"/>
      <c r="W1679"/>
      <c r="X1679"/>
      <c r="Y1679"/>
      <c r="Z1679"/>
      <c r="AA1679"/>
      <c r="AB1679"/>
      <c r="AC1679"/>
      <c r="AD1679"/>
      <c r="AE1679"/>
      <c r="AF1679"/>
      <c r="AG1679"/>
      <c r="AH1679"/>
      <c r="AI1679"/>
      <c r="AJ1679"/>
      <c r="AK1679"/>
      <c r="AL1679"/>
      <c r="AM1679"/>
      <c r="AN1679"/>
      <c r="AO1679"/>
      <c r="AP1679"/>
      <c r="AQ1679"/>
      <c r="AR1679"/>
      <c r="AS1679"/>
      <c r="AT1679"/>
      <c r="AU1679"/>
      <c r="AV1679"/>
      <c r="AW1679"/>
      <c r="AX1679"/>
      <c r="AY1679"/>
      <c r="AZ1679"/>
      <c r="BA1679"/>
      <c r="BB1679"/>
      <c r="BC1679"/>
      <c r="BD1679"/>
      <c r="BE1679"/>
      <c r="BF1679"/>
      <c r="BG1679"/>
      <c r="BH1679"/>
      <c r="BI1679"/>
      <c r="BJ1679"/>
      <c r="BK1679"/>
      <c r="BL1679"/>
      <c r="BM1679"/>
      <c r="BN1679"/>
      <c r="BO1679"/>
      <c r="BP1679"/>
      <c r="BQ1679"/>
      <c r="BR1679"/>
      <c r="BS1679"/>
      <c r="BT1679"/>
      <c r="BU1679"/>
      <c r="BV1679"/>
      <c r="BW1679"/>
      <c r="BX1679"/>
      <c r="BY1679"/>
      <c r="BZ1679"/>
      <c r="CA1679"/>
      <c r="CB1679"/>
      <c r="CC1679"/>
      <c r="CD1679"/>
      <c r="CE1679"/>
      <c r="CF1679"/>
      <c r="CG1679"/>
      <c r="CH1679"/>
      <c r="CI1679"/>
      <c r="CJ1679"/>
      <c r="CK1679"/>
      <c r="CL1679"/>
      <c r="CM1679"/>
      <c r="CN1679"/>
      <c r="CO1679"/>
      <c r="CP1679"/>
      <c r="CQ1679"/>
      <c r="CR1679"/>
      <c r="CS1679"/>
      <c r="CT1679"/>
      <c r="CU1679"/>
      <c r="CV1679"/>
      <c r="CW1679"/>
      <c r="CX1679"/>
      <c r="CY1679"/>
      <c r="CZ1679"/>
      <c r="DA1679"/>
      <c r="DB1679"/>
      <c r="DC1679"/>
      <c r="DD1679"/>
      <c r="DE1679"/>
      <c r="DF1679"/>
      <c r="DG1679"/>
      <c r="DH1679"/>
      <c r="DI1679"/>
      <c r="DJ1679"/>
      <c r="DK1679"/>
      <c r="DL1679"/>
      <c r="DM1679"/>
      <c r="DN1679"/>
      <c r="DO1679"/>
      <c r="DP1679"/>
      <c r="DQ1679"/>
      <c r="DR1679"/>
      <c r="DS1679"/>
      <c r="DT1679"/>
      <c r="DU1679"/>
      <c r="DV1679"/>
      <c r="DW1679"/>
      <c r="DX1679"/>
      <c r="DY1679"/>
      <c r="DZ1679"/>
      <c r="EA1679"/>
      <c r="EB1679"/>
      <c r="EC1679"/>
      <c r="ED1679"/>
      <c r="EE1679"/>
      <c r="EF1679"/>
      <c r="EG1679"/>
      <c r="EH1679"/>
      <c r="EI1679"/>
      <c r="EJ1679"/>
      <c r="EK1679"/>
      <c r="EL1679"/>
      <c r="EM1679"/>
      <c r="EN1679"/>
      <c r="EO1679"/>
      <c r="EP1679"/>
      <c r="EQ1679"/>
      <c r="ER1679"/>
      <c r="ES1679"/>
    </row>
    <row r="1680" spans="1:149">
      <c r="A1680"/>
      <c r="B1680"/>
      <c r="C1680"/>
      <c r="D1680"/>
      <c r="E1680"/>
      <c r="F1680"/>
      <c r="G1680"/>
      <c r="H1680"/>
      <c r="I1680"/>
      <c r="J1680"/>
      <c r="K1680"/>
      <c r="L1680"/>
      <c r="M1680"/>
      <c r="N1680"/>
      <c r="O1680"/>
      <c r="P1680"/>
      <c r="Q1680"/>
      <c r="R1680"/>
      <c r="S1680"/>
      <c r="T1680"/>
      <c r="U1680"/>
      <c r="V1680"/>
      <c r="W1680"/>
      <c r="X1680"/>
      <c r="Y1680"/>
      <c r="Z1680"/>
      <c r="AA1680"/>
      <c r="AB1680"/>
      <c r="AC1680"/>
      <c r="AD1680"/>
      <c r="AE1680"/>
      <c r="AF1680"/>
      <c r="AG1680"/>
      <c r="AH1680"/>
      <c r="AI1680"/>
      <c r="AJ1680"/>
      <c r="AK1680"/>
      <c r="AL1680"/>
      <c r="AM1680"/>
      <c r="AN1680"/>
      <c r="AO1680"/>
      <c r="AP1680"/>
      <c r="AQ1680"/>
      <c r="AR1680"/>
      <c r="AS1680"/>
      <c r="AT1680"/>
      <c r="AU1680"/>
      <c r="AV1680"/>
      <c r="AW1680"/>
      <c r="AX1680"/>
      <c r="AY1680"/>
      <c r="AZ1680"/>
      <c r="BA1680"/>
      <c r="BB1680"/>
      <c r="BC1680"/>
      <c r="BD1680"/>
      <c r="BE1680"/>
      <c r="BF1680"/>
      <c r="BG1680"/>
      <c r="BH1680"/>
      <c r="BI1680"/>
      <c r="BJ1680"/>
      <c r="BK1680"/>
      <c r="BL1680"/>
      <c r="BM1680"/>
      <c r="BN1680"/>
      <c r="BO1680"/>
      <c r="BP1680"/>
      <c r="BQ1680"/>
      <c r="BR1680"/>
      <c r="BS1680"/>
      <c r="BT1680"/>
      <c r="BU1680"/>
      <c r="BV1680"/>
      <c r="BW1680"/>
      <c r="BX1680"/>
      <c r="BY1680"/>
      <c r="BZ1680"/>
      <c r="CA1680"/>
      <c r="CB1680"/>
      <c r="CC1680"/>
      <c r="CD1680"/>
      <c r="CE1680"/>
      <c r="CF1680"/>
      <c r="CG1680"/>
      <c r="CH1680"/>
      <c r="CI1680"/>
      <c r="CJ1680"/>
      <c r="CK1680"/>
      <c r="CL1680"/>
      <c r="CM1680"/>
      <c r="CN1680"/>
      <c r="CO1680"/>
      <c r="CP1680"/>
      <c r="CQ1680"/>
      <c r="CR1680"/>
      <c r="CS1680"/>
      <c r="CT1680"/>
      <c r="CU1680"/>
      <c r="CV1680"/>
      <c r="CW1680"/>
      <c r="CX1680"/>
      <c r="CY1680"/>
      <c r="CZ1680"/>
      <c r="DA1680"/>
      <c r="DB1680"/>
      <c r="DC1680"/>
      <c r="DD1680"/>
      <c r="DE1680"/>
      <c r="DF1680"/>
      <c r="DG1680"/>
      <c r="DH1680"/>
      <c r="DI1680"/>
      <c r="DJ1680"/>
      <c r="DK1680"/>
      <c r="DL1680"/>
      <c r="DM1680"/>
      <c r="DN1680"/>
      <c r="DO1680"/>
      <c r="DP1680"/>
      <c r="DQ1680"/>
      <c r="DR1680"/>
      <c r="DS1680"/>
      <c r="DT1680"/>
      <c r="DU1680"/>
      <c r="DV1680"/>
      <c r="DW1680"/>
      <c r="DX1680"/>
      <c r="DY1680"/>
      <c r="DZ1680"/>
      <c r="EA1680"/>
      <c r="EB1680"/>
      <c r="EC1680"/>
      <c r="ED1680"/>
      <c r="EE1680"/>
      <c r="EF1680"/>
      <c r="EG1680"/>
      <c r="EH1680"/>
      <c r="EI1680"/>
      <c r="EJ1680"/>
      <c r="EK1680"/>
      <c r="EL1680"/>
      <c r="EM1680"/>
      <c r="EN1680"/>
      <c r="EO1680"/>
      <c r="EP1680"/>
      <c r="EQ1680"/>
      <c r="ER1680"/>
      <c r="ES1680"/>
    </row>
    <row r="1681" spans="1:149">
      <c r="A1681"/>
      <c r="B1681"/>
      <c r="C1681"/>
      <c r="D1681"/>
      <c r="E1681"/>
      <c r="F1681"/>
      <c r="G1681"/>
      <c r="H1681"/>
      <c r="I1681"/>
      <c r="J1681"/>
      <c r="K1681"/>
      <c r="L1681"/>
      <c r="M1681"/>
      <c r="N1681"/>
      <c r="O1681"/>
      <c r="P1681"/>
      <c r="Q1681"/>
      <c r="R1681"/>
      <c r="S1681"/>
      <c r="T1681"/>
      <c r="U1681"/>
      <c r="V1681"/>
      <c r="W1681"/>
      <c r="X1681"/>
      <c r="Y1681"/>
      <c r="Z1681"/>
      <c r="AA1681"/>
      <c r="AB1681"/>
      <c r="AC1681"/>
      <c r="AD1681"/>
      <c r="AE1681"/>
      <c r="AF1681"/>
      <c r="AG1681"/>
      <c r="AH1681"/>
      <c r="AI1681"/>
      <c r="AJ1681"/>
      <c r="AK1681"/>
      <c r="AL1681"/>
      <c r="AM1681"/>
      <c r="AN1681"/>
      <c r="AO1681"/>
      <c r="AP1681"/>
      <c r="AQ1681"/>
      <c r="AR1681"/>
      <c r="AS1681"/>
      <c r="AT1681"/>
      <c r="AU1681"/>
      <c r="AV1681"/>
      <c r="AW1681"/>
      <c r="AX1681"/>
      <c r="AY1681"/>
      <c r="AZ1681"/>
      <c r="BA1681"/>
      <c r="BB1681"/>
      <c r="BC1681"/>
      <c r="BD1681"/>
      <c r="BE1681"/>
      <c r="BF1681"/>
      <c r="BG1681"/>
      <c r="BH1681"/>
      <c r="BI1681"/>
      <c r="BJ1681"/>
      <c r="BK1681"/>
      <c r="BL1681"/>
      <c r="BM1681"/>
      <c r="BN1681"/>
      <c r="BO1681"/>
      <c r="BP1681"/>
      <c r="BQ1681"/>
      <c r="BR1681"/>
      <c r="BS1681"/>
      <c r="BT1681"/>
      <c r="BU1681"/>
      <c r="BV1681"/>
      <c r="BW1681"/>
      <c r="BX1681"/>
      <c r="BY1681"/>
      <c r="BZ1681"/>
      <c r="CA1681"/>
      <c r="CB1681"/>
      <c r="CC1681"/>
      <c r="CD1681"/>
      <c r="CE1681"/>
      <c r="CF1681"/>
      <c r="CG1681"/>
      <c r="CH1681"/>
      <c r="CI1681"/>
      <c r="CJ1681"/>
      <c r="CK1681"/>
      <c r="CL1681"/>
      <c r="CM1681"/>
      <c r="CN1681"/>
      <c r="CO1681"/>
      <c r="CP1681"/>
      <c r="CQ1681"/>
      <c r="CR1681"/>
      <c r="CS1681"/>
      <c r="CT1681"/>
      <c r="CU1681"/>
      <c r="CV1681"/>
      <c r="CW1681"/>
      <c r="CX1681"/>
      <c r="CY1681"/>
      <c r="CZ1681"/>
      <c r="DA1681"/>
      <c r="DB1681"/>
      <c r="DC1681"/>
      <c r="DD1681"/>
      <c r="DE1681"/>
      <c r="DF1681"/>
      <c r="DG1681"/>
      <c r="DH1681"/>
      <c r="DI1681"/>
      <c r="DJ1681"/>
      <c r="DK1681"/>
      <c r="DL1681"/>
      <c r="DM1681"/>
      <c r="DN1681"/>
      <c r="DO1681"/>
      <c r="DP1681"/>
      <c r="DQ1681"/>
      <c r="DR1681"/>
      <c r="DS1681"/>
      <c r="DT1681"/>
      <c r="DU1681"/>
      <c r="DV1681"/>
      <c r="DW1681"/>
      <c r="DX1681"/>
      <c r="DY1681"/>
      <c r="DZ1681"/>
      <c r="EA1681"/>
      <c r="EB1681"/>
      <c r="EC1681"/>
      <c r="ED1681"/>
      <c r="EE1681"/>
      <c r="EF1681"/>
      <c r="EG1681"/>
      <c r="EH1681"/>
      <c r="EI1681"/>
      <c r="EJ1681"/>
      <c r="EK1681"/>
      <c r="EL1681"/>
      <c r="EM1681"/>
      <c r="EN1681"/>
      <c r="EO1681"/>
      <c r="EP1681"/>
      <c r="EQ1681"/>
      <c r="ER1681"/>
      <c r="ES1681"/>
    </row>
    <row r="1682" spans="1:149">
      <c r="A1682"/>
      <c r="B1682"/>
      <c r="C1682"/>
      <c r="D1682"/>
      <c r="E1682"/>
      <c r="F1682"/>
      <c r="G1682"/>
      <c r="H1682"/>
      <c r="I1682"/>
      <c r="J1682"/>
      <c r="K1682"/>
      <c r="L1682"/>
      <c r="M1682"/>
      <c r="N1682"/>
      <c r="O1682"/>
      <c r="P1682"/>
      <c r="Q1682"/>
      <c r="R1682"/>
      <c r="S1682"/>
      <c r="T1682"/>
      <c r="U1682"/>
      <c r="V1682"/>
      <c r="W1682"/>
      <c r="X1682"/>
      <c r="Y1682"/>
      <c r="Z1682"/>
      <c r="AA1682"/>
      <c r="AB1682"/>
      <c r="AC1682"/>
      <c r="AD1682"/>
      <c r="AE1682"/>
      <c r="AF1682"/>
      <c r="AG1682"/>
      <c r="AH1682"/>
      <c r="AI1682"/>
      <c r="AJ1682"/>
      <c r="AK1682"/>
      <c r="AL1682"/>
      <c r="AM1682"/>
      <c r="AN1682"/>
      <c r="AO1682"/>
      <c r="AP1682"/>
      <c r="AQ1682"/>
      <c r="AR1682"/>
      <c r="AS1682"/>
      <c r="AT1682"/>
      <c r="AU1682"/>
      <c r="AV1682"/>
      <c r="AW1682"/>
      <c r="AX1682"/>
      <c r="AY1682"/>
      <c r="AZ1682"/>
      <c r="BA1682"/>
      <c r="BB1682"/>
      <c r="BC1682"/>
      <c r="BD1682"/>
      <c r="BE1682"/>
      <c r="BF1682"/>
      <c r="BG1682"/>
      <c r="BH1682"/>
      <c r="BI1682"/>
      <c r="BJ1682"/>
      <c r="BK1682"/>
      <c r="BL1682"/>
      <c r="BM1682"/>
      <c r="BN1682"/>
      <c r="BO1682"/>
      <c r="BP1682"/>
      <c r="BQ1682"/>
      <c r="BR1682"/>
      <c r="BS1682"/>
      <c r="BT1682"/>
      <c r="BU1682"/>
      <c r="BV1682"/>
      <c r="BW1682"/>
      <c r="BX1682"/>
      <c r="BY1682"/>
      <c r="BZ1682"/>
      <c r="CA1682"/>
      <c r="CB1682"/>
      <c r="CC1682"/>
      <c r="CD1682"/>
      <c r="CE1682"/>
      <c r="CF1682"/>
      <c r="CG1682"/>
      <c r="CH1682"/>
      <c r="CI1682"/>
      <c r="CJ1682"/>
      <c r="CK1682"/>
      <c r="CL1682"/>
      <c r="CM1682"/>
      <c r="CN1682"/>
      <c r="CO1682"/>
      <c r="CP1682"/>
      <c r="CQ1682"/>
      <c r="CR1682"/>
      <c r="CS1682"/>
      <c r="CT1682"/>
      <c r="CU1682"/>
      <c r="CV1682"/>
      <c r="CW1682"/>
      <c r="CX1682"/>
      <c r="CY1682"/>
      <c r="CZ1682"/>
      <c r="DA1682"/>
      <c r="DB1682"/>
      <c r="DC1682"/>
      <c r="DD1682"/>
      <c r="DE1682"/>
      <c r="DF1682"/>
      <c r="DG1682"/>
      <c r="DH1682"/>
      <c r="DI1682"/>
      <c r="DJ1682"/>
      <c r="DK1682"/>
      <c r="DL1682"/>
      <c r="DM1682"/>
      <c r="DN1682"/>
      <c r="DO1682"/>
      <c r="DP1682"/>
      <c r="DQ1682"/>
      <c r="DR1682"/>
      <c r="DS1682"/>
      <c r="DT1682"/>
      <c r="DU1682"/>
      <c r="DV1682"/>
      <c r="DW1682"/>
      <c r="DX1682"/>
      <c r="DY1682"/>
      <c r="DZ1682"/>
      <c r="EA1682"/>
      <c r="EB1682"/>
      <c r="EC1682"/>
      <c r="ED1682"/>
      <c r="EE1682"/>
      <c r="EF1682"/>
      <c r="EG1682"/>
      <c r="EH1682"/>
      <c r="EI1682"/>
      <c r="EJ1682"/>
      <c r="EK1682"/>
      <c r="EL1682"/>
      <c r="EM1682"/>
      <c r="EN1682"/>
      <c r="EO1682"/>
      <c r="EP1682"/>
      <c r="EQ1682"/>
      <c r="ER1682"/>
      <c r="ES1682"/>
    </row>
    <row r="1683" spans="1:149">
      <c r="A1683"/>
      <c r="B1683"/>
      <c r="C1683"/>
      <c r="D1683"/>
      <c r="E1683"/>
      <c r="F1683"/>
      <c r="G1683"/>
      <c r="H1683"/>
      <c r="I1683"/>
      <c r="J1683"/>
      <c r="K1683"/>
      <c r="L1683"/>
      <c r="M1683"/>
      <c r="N1683"/>
      <c r="O1683"/>
      <c r="P1683"/>
      <c r="Q1683"/>
      <c r="R1683"/>
      <c r="S1683"/>
      <c r="T1683"/>
      <c r="U1683"/>
      <c r="V1683"/>
      <c r="W1683"/>
      <c r="X1683"/>
      <c r="Y1683"/>
      <c r="Z1683"/>
      <c r="AA1683"/>
      <c r="AB1683"/>
      <c r="AC1683"/>
      <c r="AD1683"/>
      <c r="AE1683"/>
      <c r="AF1683"/>
      <c r="AG1683"/>
      <c r="AH1683"/>
      <c r="AI1683"/>
      <c r="AJ1683"/>
      <c r="AK1683"/>
      <c r="AL1683"/>
      <c r="AM1683"/>
      <c r="AN1683"/>
      <c r="AO1683"/>
      <c r="AP1683"/>
      <c r="AQ1683"/>
      <c r="AR1683"/>
      <c r="AS1683"/>
      <c r="AT1683"/>
      <c r="AU1683"/>
      <c r="AV1683"/>
      <c r="AW1683"/>
      <c r="AX1683"/>
      <c r="AY1683"/>
      <c r="AZ1683"/>
      <c r="BA1683"/>
      <c r="BB1683"/>
      <c r="BC1683"/>
      <c r="BD1683"/>
      <c r="BE1683"/>
      <c r="BF1683"/>
      <c r="BG1683"/>
      <c r="BH1683"/>
      <c r="BI1683"/>
      <c r="BJ1683"/>
      <c r="BK1683"/>
      <c r="BL1683"/>
      <c r="BM1683"/>
      <c r="BN1683"/>
      <c r="BO1683"/>
      <c r="BP1683"/>
      <c r="BQ1683"/>
      <c r="BR1683"/>
      <c r="BS1683"/>
      <c r="BT1683"/>
      <c r="BU1683"/>
      <c r="BV1683"/>
      <c r="BW1683"/>
      <c r="BX1683"/>
      <c r="BY1683"/>
      <c r="BZ1683"/>
      <c r="CA1683"/>
      <c r="CB1683"/>
      <c r="CC1683"/>
      <c r="CD1683"/>
      <c r="CE1683"/>
      <c r="CF1683"/>
      <c r="CG1683"/>
      <c r="CH1683"/>
      <c r="CI1683"/>
      <c r="CJ1683"/>
      <c r="CK1683"/>
      <c r="CL1683"/>
      <c r="CM1683"/>
      <c r="CN1683"/>
      <c r="CO1683"/>
      <c r="CP1683"/>
      <c r="CQ1683"/>
      <c r="CR1683"/>
      <c r="CS1683"/>
      <c r="CT1683"/>
      <c r="CU1683"/>
      <c r="CV1683"/>
      <c r="CW1683"/>
      <c r="CX1683"/>
      <c r="CY1683"/>
      <c r="CZ1683"/>
      <c r="DA1683"/>
      <c r="DB1683"/>
      <c r="DC1683"/>
      <c r="DD1683"/>
      <c r="DE1683"/>
      <c r="DF1683"/>
      <c r="DG1683"/>
      <c r="DH1683"/>
      <c r="DI1683"/>
      <c r="DJ1683"/>
      <c r="DK1683"/>
      <c r="DL1683"/>
      <c r="DM1683"/>
      <c r="DN1683"/>
      <c r="DO1683"/>
      <c r="DP1683"/>
      <c r="DQ1683"/>
      <c r="DR1683"/>
      <c r="DS1683"/>
      <c r="DT1683"/>
      <c r="DU1683"/>
      <c r="DV1683"/>
      <c r="DW1683"/>
      <c r="DX1683"/>
      <c r="DY1683"/>
      <c r="DZ1683"/>
      <c r="EA1683"/>
      <c r="EB1683"/>
      <c r="EC1683"/>
      <c r="ED1683"/>
      <c r="EE1683"/>
      <c r="EF1683"/>
      <c r="EG1683"/>
      <c r="EH1683"/>
      <c r="EI1683"/>
      <c r="EJ1683"/>
      <c r="EK1683"/>
      <c r="EL1683"/>
      <c r="EM1683"/>
      <c r="EN1683"/>
      <c r="EO1683"/>
      <c r="EP1683"/>
      <c r="EQ1683"/>
      <c r="ER1683"/>
      <c r="ES1683"/>
    </row>
    <row r="1684" spans="1:149">
      <c r="A1684"/>
      <c r="B1684"/>
      <c r="C1684"/>
      <c r="D1684"/>
      <c r="E1684"/>
      <c r="F1684"/>
      <c r="G1684"/>
      <c r="H1684"/>
      <c r="I1684"/>
      <c r="J1684"/>
      <c r="K1684"/>
      <c r="L1684"/>
      <c r="M1684"/>
      <c r="N1684"/>
      <c r="O1684"/>
      <c r="P1684"/>
      <c r="Q1684"/>
      <c r="R1684"/>
      <c r="S1684"/>
      <c r="T1684"/>
      <c r="U1684"/>
      <c r="V1684"/>
      <c r="W1684"/>
      <c r="X1684"/>
      <c r="Y1684"/>
      <c r="Z1684"/>
      <c r="AA1684"/>
      <c r="AB1684"/>
      <c r="AC1684"/>
      <c r="AD1684"/>
      <c r="AE1684"/>
      <c r="AF1684"/>
      <c r="AG1684"/>
      <c r="AH1684"/>
      <c r="AI1684"/>
      <c r="AJ1684"/>
      <c r="AK1684"/>
      <c r="AL1684"/>
      <c r="AM1684"/>
      <c r="AN1684"/>
      <c r="AO1684"/>
      <c r="AP1684"/>
      <c r="AQ1684"/>
      <c r="AR1684"/>
      <c r="AS1684"/>
      <c r="AT1684"/>
      <c r="AU1684"/>
      <c r="AV1684"/>
      <c r="AW1684"/>
      <c r="AX1684"/>
      <c r="AY1684"/>
      <c r="AZ1684"/>
      <c r="BA1684"/>
      <c r="BB1684"/>
      <c r="BC1684"/>
      <c r="BD1684"/>
      <c r="BE1684"/>
      <c r="BF1684"/>
      <c r="BG1684"/>
      <c r="BH1684"/>
      <c r="BI1684"/>
      <c r="BJ1684"/>
      <c r="BK1684"/>
      <c r="BL1684"/>
      <c r="BM1684"/>
      <c r="BN1684"/>
      <c r="BO1684"/>
      <c r="BP1684"/>
      <c r="BQ1684"/>
      <c r="BR1684"/>
      <c r="BS1684"/>
      <c r="BT1684"/>
      <c r="BU1684"/>
      <c r="BV1684"/>
      <c r="BW1684"/>
      <c r="BX1684"/>
      <c r="BY1684"/>
      <c r="BZ1684"/>
      <c r="CA1684"/>
      <c r="CB1684"/>
      <c r="CC1684"/>
      <c r="CD1684"/>
      <c r="CE1684"/>
      <c r="CF1684"/>
      <c r="CG1684"/>
      <c r="CH1684"/>
      <c r="CI1684"/>
      <c r="CJ1684"/>
      <c r="CK1684"/>
      <c r="CL1684"/>
      <c r="CM1684"/>
      <c r="CN1684"/>
      <c r="CO1684"/>
      <c r="CP1684"/>
      <c r="CQ1684"/>
      <c r="CR1684"/>
      <c r="CS1684"/>
      <c r="CT1684"/>
      <c r="CU1684"/>
      <c r="CV1684"/>
      <c r="CW1684"/>
      <c r="CX1684"/>
      <c r="CY1684"/>
      <c r="CZ1684"/>
      <c r="DA1684"/>
      <c r="DB1684"/>
      <c r="DC1684"/>
      <c r="DD1684"/>
      <c r="DE1684"/>
      <c r="DF1684"/>
      <c r="DG1684"/>
      <c r="DH1684"/>
      <c r="DI1684"/>
      <c r="DJ1684"/>
      <c r="DK1684"/>
      <c r="DL1684"/>
      <c r="DM1684"/>
      <c r="DN1684"/>
      <c r="DO1684"/>
      <c r="DP1684"/>
      <c r="DQ1684"/>
      <c r="DR1684"/>
      <c r="DS1684"/>
      <c r="DT1684"/>
      <c r="DU1684"/>
      <c r="DV1684"/>
      <c r="DW1684"/>
      <c r="DX1684"/>
      <c r="DY1684"/>
      <c r="DZ1684"/>
      <c r="EA1684"/>
      <c r="EB1684"/>
      <c r="EC1684"/>
      <c r="ED1684"/>
      <c r="EE1684"/>
      <c r="EF1684"/>
      <c r="EG1684"/>
      <c r="EH1684"/>
      <c r="EI1684"/>
      <c r="EJ1684"/>
      <c r="EK1684"/>
      <c r="EL1684"/>
      <c r="EM1684"/>
      <c r="EN1684"/>
      <c r="EO1684"/>
      <c r="EP1684"/>
      <c r="EQ1684"/>
      <c r="ER1684"/>
      <c r="ES1684"/>
    </row>
    <row r="1685" spans="1:149">
      <c r="A1685"/>
      <c r="B1685"/>
      <c r="C1685"/>
      <c r="D1685"/>
      <c r="E1685"/>
      <c r="F1685"/>
      <c r="G1685"/>
      <c r="H1685"/>
      <c r="I1685"/>
      <c r="J1685"/>
      <c r="K1685"/>
      <c r="L1685"/>
      <c r="M1685"/>
      <c r="N1685"/>
      <c r="O1685"/>
      <c r="P1685"/>
      <c r="Q1685"/>
      <c r="R1685"/>
      <c r="S1685"/>
      <c r="T1685"/>
      <c r="U1685"/>
      <c r="V1685"/>
      <c r="W1685"/>
      <c r="X1685"/>
      <c r="Y1685"/>
      <c r="Z1685"/>
      <c r="AA1685"/>
      <c r="AB1685"/>
      <c r="AC1685"/>
      <c r="AD1685"/>
      <c r="AE1685"/>
      <c r="AF1685"/>
      <c r="AG1685"/>
      <c r="AH1685"/>
      <c r="AI1685"/>
      <c r="AJ1685"/>
      <c r="AK1685"/>
      <c r="AL1685"/>
      <c r="AM1685"/>
      <c r="AN1685"/>
      <c r="AO1685"/>
      <c r="AP1685"/>
      <c r="AQ1685"/>
      <c r="AR1685"/>
      <c r="AS1685"/>
      <c r="AT1685"/>
      <c r="AU1685"/>
      <c r="AV1685"/>
      <c r="AW1685"/>
      <c r="AX1685"/>
      <c r="AY1685"/>
      <c r="AZ1685"/>
      <c r="BA1685"/>
      <c r="BB1685"/>
      <c r="BC1685"/>
      <c r="BD1685"/>
      <c r="BE1685"/>
      <c r="BF1685"/>
      <c r="BG1685"/>
      <c r="BH1685"/>
      <c r="BI1685"/>
      <c r="BJ1685"/>
      <c r="BK1685"/>
      <c r="BL1685"/>
      <c r="BM1685"/>
      <c r="BN1685"/>
      <c r="BO1685"/>
      <c r="BP1685"/>
      <c r="BQ1685"/>
      <c r="BR1685"/>
      <c r="BS1685"/>
      <c r="BT1685"/>
      <c r="BU1685"/>
      <c r="BV1685"/>
      <c r="BW1685"/>
      <c r="BX1685"/>
      <c r="BY1685"/>
      <c r="BZ1685"/>
      <c r="CA1685"/>
      <c r="CB1685"/>
      <c r="CC1685"/>
      <c r="CD1685"/>
      <c r="CE1685"/>
      <c r="CF1685"/>
      <c r="CG1685"/>
      <c r="CH1685"/>
      <c r="CI1685"/>
      <c r="CJ1685"/>
      <c r="CK1685"/>
      <c r="CL1685"/>
      <c r="CM1685"/>
      <c r="CN1685"/>
      <c r="CO1685"/>
      <c r="CP1685"/>
      <c r="CQ1685"/>
      <c r="CR1685"/>
      <c r="CS1685"/>
      <c r="CT1685"/>
      <c r="CU1685"/>
      <c r="CV1685"/>
      <c r="CW1685"/>
      <c r="CX1685"/>
      <c r="CY1685"/>
      <c r="CZ1685"/>
      <c r="DA1685"/>
      <c r="DB1685"/>
      <c r="DC1685"/>
      <c r="DD1685"/>
      <c r="DE1685"/>
      <c r="DF1685"/>
      <c r="DG1685"/>
      <c r="DH1685"/>
      <c r="DI1685"/>
      <c r="DJ1685"/>
      <c r="DK1685"/>
      <c r="DL1685"/>
      <c r="DM1685"/>
      <c r="DN1685"/>
      <c r="DO1685"/>
      <c r="DP1685"/>
      <c r="DQ1685"/>
      <c r="DR1685"/>
      <c r="DS1685"/>
      <c r="DT1685"/>
      <c r="DU1685"/>
      <c r="DV1685"/>
      <c r="DW1685"/>
      <c r="DX1685"/>
      <c r="DY1685"/>
      <c r="DZ1685"/>
      <c r="EA1685"/>
      <c r="EB1685"/>
      <c r="EC1685"/>
      <c r="ED1685"/>
      <c r="EE1685"/>
      <c r="EF1685"/>
      <c r="EG1685"/>
      <c r="EH1685"/>
      <c r="EI1685"/>
      <c r="EJ1685"/>
      <c r="EK1685"/>
      <c r="EL1685"/>
      <c r="EM1685"/>
      <c r="EN1685"/>
      <c r="EO1685"/>
      <c r="EP1685"/>
      <c r="EQ1685"/>
      <c r="ER1685"/>
      <c r="ES1685"/>
    </row>
    <row r="1686" spans="1:149">
      <c r="A1686"/>
      <c r="B1686"/>
      <c r="C1686"/>
      <c r="D1686"/>
      <c r="E1686"/>
      <c r="F1686"/>
      <c r="G1686"/>
      <c r="H1686"/>
      <c r="I1686"/>
      <c r="J1686"/>
      <c r="K1686"/>
      <c r="L1686"/>
      <c r="M1686"/>
      <c r="N1686"/>
      <c r="O1686"/>
      <c r="P1686"/>
      <c r="Q1686"/>
      <c r="R1686"/>
      <c r="S1686"/>
      <c r="T1686"/>
      <c r="U1686"/>
      <c r="V1686"/>
      <c r="W1686"/>
      <c r="X1686"/>
      <c r="Y1686"/>
      <c r="Z1686"/>
      <c r="AA1686"/>
      <c r="AB1686"/>
      <c r="AC1686"/>
      <c r="AD1686"/>
      <c r="AE1686"/>
      <c r="AF1686"/>
      <c r="AG1686"/>
      <c r="AH1686"/>
      <c r="AI1686"/>
      <c r="AJ1686"/>
      <c r="AK1686"/>
      <c r="AL1686"/>
      <c r="AM1686"/>
      <c r="AN1686"/>
      <c r="AO1686"/>
      <c r="AP1686"/>
      <c r="AQ1686"/>
      <c r="AR1686"/>
      <c r="AS1686"/>
      <c r="AT1686"/>
      <c r="AU1686"/>
      <c r="AV1686"/>
      <c r="AW1686"/>
      <c r="AX1686"/>
      <c r="AY1686"/>
      <c r="AZ1686"/>
      <c r="BA1686"/>
      <c r="BB1686"/>
      <c r="BC1686"/>
      <c r="BD1686"/>
      <c r="BE1686"/>
      <c r="BF1686"/>
      <c r="BG1686"/>
      <c r="BH1686"/>
      <c r="BI1686"/>
      <c r="BJ1686"/>
      <c r="BK1686"/>
      <c r="BL1686"/>
      <c r="BM1686"/>
      <c r="BN1686"/>
      <c r="BO1686"/>
      <c r="BP1686"/>
      <c r="BQ1686"/>
      <c r="BR1686"/>
      <c r="BS1686"/>
      <c r="BT1686"/>
      <c r="BU1686"/>
      <c r="BV1686"/>
      <c r="BW1686"/>
      <c r="BX1686"/>
      <c r="BY1686"/>
      <c r="BZ1686"/>
      <c r="CA1686"/>
      <c r="CB1686"/>
      <c r="CC1686"/>
      <c r="CD1686"/>
      <c r="CE1686"/>
      <c r="CF1686"/>
      <c r="CG1686"/>
      <c r="CH1686"/>
      <c r="CI1686"/>
      <c r="CJ1686"/>
      <c r="CK1686"/>
      <c r="CL1686"/>
      <c r="CM1686"/>
      <c r="CN1686"/>
      <c r="CO1686"/>
      <c r="CP1686"/>
      <c r="CQ1686"/>
      <c r="CR1686"/>
      <c r="CS1686"/>
      <c r="CT1686"/>
      <c r="CU1686"/>
      <c r="CV1686"/>
      <c r="CW1686"/>
      <c r="CX1686"/>
      <c r="CY1686"/>
      <c r="CZ1686"/>
      <c r="DA1686"/>
      <c r="DB1686"/>
      <c r="DC1686"/>
      <c r="DD1686"/>
      <c r="DE1686"/>
      <c r="DF1686"/>
      <c r="DG1686"/>
      <c r="DH1686"/>
      <c r="DI1686"/>
      <c r="DJ1686"/>
      <c r="DK1686"/>
      <c r="DL1686"/>
      <c r="DM1686"/>
      <c r="DN1686"/>
      <c r="DO1686"/>
      <c r="DP1686"/>
      <c r="DQ1686"/>
      <c r="DR1686"/>
      <c r="DS1686"/>
      <c r="DT1686"/>
      <c r="DU1686"/>
      <c r="DV1686"/>
      <c r="DW1686"/>
      <c r="DX1686"/>
      <c r="DY1686"/>
      <c r="DZ1686"/>
      <c r="EA1686"/>
      <c r="EB1686"/>
      <c r="EC1686"/>
      <c r="ED1686"/>
      <c r="EE1686"/>
      <c r="EF1686"/>
      <c r="EG1686"/>
      <c r="EH1686"/>
      <c r="EI1686"/>
      <c r="EJ1686"/>
      <c r="EK1686"/>
      <c r="EL1686"/>
      <c r="EM1686"/>
      <c r="EN1686"/>
      <c r="EO1686"/>
      <c r="EP1686"/>
      <c r="EQ1686"/>
      <c r="ER1686"/>
      <c r="ES1686"/>
    </row>
    <row r="1687" spans="1:149">
      <c r="A1687"/>
      <c r="B1687"/>
      <c r="C1687"/>
      <c r="D1687"/>
      <c r="E1687"/>
      <c r="F1687"/>
      <c r="G1687"/>
      <c r="H1687"/>
      <c r="I1687"/>
      <c r="J1687"/>
      <c r="K1687"/>
      <c r="L1687"/>
      <c r="M1687"/>
      <c r="N1687"/>
      <c r="O1687"/>
      <c r="P1687"/>
      <c r="Q1687"/>
      <c r="R1687"/>
      <c r="S1687"/>
      <c r="T1687"/>
      <c r="U1687"/>
      <c r="V1687"/>
      <c r="W1687"/>
      <c r="X1687"/>
      <c r="Y1687"/>
      <c r="Z1687"/>
      <c r="AA1687"/>
      <c r="AB1687"/>
      <c r="AC1687"/>
      <c r="AD1687"/>
      <c r="AE1687"/>
      <c r="AF1687"/>
      <c r="AG1687"/>
      <c r="AH1687"/>
      <c r="AI1687"/>
      <c r="AJ1687"/>
      <c r="AK1687"/>
      <c r="AL1687"/>
      <c r="AM1687"/>
      <c r="AN1687"/>
      <c r="AO1687"/>
      <c r="AP1687"/>
      <c r="AQ1687"/>
      <c r="AR1687"/>
      <c r="AS1687"/>
      <c r="AT1687"/>
      <c r="AU1687"/>
      <c r="AV1687"/>
      <c r="AW1687"/>
      <c r="AX1687"/>
      <c r="AY1687"/>
      <c r="AZ1687"/>
      <c r="BA1687"/>
      <c r="BB1687"/>
      <c r="BC1687"/>
      <c r="BD1687"/>
      <c r="BE1687"/>
      <c r="BF1687"/>
      <c r="BG1687"/>
      <c r="BH1687"/>
      <c r="BI1687"/>
      <c r="BJ1687"/>
      <c r="BK1687"/>
      <c r="BL1687"/>
      <c r="BM1687"/>
      <c r="BN1687"/>
      <c r="BO1687"/>
      <c r="BP1687"/>
      <c r="BQ1687"/>
      <c r="BR1687"/>
      <c r="BS1687"/>
      <c r="BT1687"/>
      <c r="BU1687"/>
      <c r="BV1687"/>
      <c r="BW1687"/>
      <c r="BX1687"/>
      <c r="BY1687"/>
      <c r="BZ1687"/>
      <c r="CA1687"/>
      <c r="CB1687"/>
      <c r="CC1687"/>
      <c r="CD1687"/>
      <c r="CE1687"/>
      <c r="CF1687"/>
      <c r="CG1687"/>
      <c r="CH1687"/>
      <c r="CI1687"/>
      <c r="CJ1687"/>
      <c r="CK1687"/>
      <c r="CL1687"/>
      <c r="CM1687"/>
      <c r="CN1687"/>
      <c r="CO1687"/>
      <c r="CP1687"/>
      <c r="CQ1687"/>
      <c r="CR1687"/>
      <c r="CS1687"/>
      <c r="CT1687"/>
      <c r="CU1687"/>
      <c r="CV1687"/>
      <c r="CW1687"/>
      <c r="CX1687"/>
      <c r="CY1687"/>
      <c r="CZ1687"/>
      <c r="DA1687"/>
      <c r="DB1687"/>
      <c r="DC1687"/>
      <c r="DD1687"/>
      <c r="DE1687"/>
      <c r="DF1687"/>
      <c r="DG1687"/>
      <c r="DH1687"/>
      <c r="DI1687"/>
      <c r="DJ1687"/>
      <c r="DK1687"/>
      <c r="DL1687"/>
      <c r="DM1687"/>
      <c r="DN1687"/>
      <c r="DO1687"/>
      <c r="DP1687"/>
      <c r="DQ1687"/>
      <c r="DR1687"/>
      <c r="DS1687"/>
      <c r="DT1687"/>
      <c r="DU1687"/>
      <c r="DV1687"/>
      <c r="DW1687"/>
      <c r="DX1687"/>
      <c r="DY1687"/>
      <c r="DZ1687"/>
      <c r="EA1687"/>
      <c r="EB1687"/>
      <c r="EC1687"/>
      <c r="ED1687"/>
      <c r="EE1687"/>
      <c r="EF1687"/>
      <c r="EG1687"/>
      <c r="EH1687"/>
      <c r="EI1687"/>
      <c r="EJ1687"/>
      <c r="EK1687"/>
      <c r="EL1687"/>
      <c r="EM1687"/>
      <c r="EN1687"/>
      <c r="EO1687"/>
      <c r="EP1687"/>
      <c r="EQ1687"/>
      <c r="ER1687"/>
      <c r="ES1687"/>
    </row>
    <row r="1688" spans="1:149">
      <c r="A1688"/>
      <c r="B1688"/>
      <c r="C1688"/>
      <c r="D1688"/>
      <c r="E1688"/>
      <c r="F1688"/>
      <c r="G1688"/>
      <c r="H1688"/>
      <c r="I1688"/>
      <c r="J1688"/>
      <c r="K1688"/>
      <c r="L1688"/>
      <c r="M1688"/>
      <c r="N1688"/>
      <c r="O1688"/>
      <c r="P1688"/>
      <c r="Q1688"/>
      <c r="R1688"/>
      <c r="S1688"/>
      <c r="T1688"/>
      <c r="U1688"/>
      <c r="V1688"/>
      <c r="W1688"/>
      <c r="X1688"/>
      <c r="Y1688"/>
      <c r="Z1688"/>
      <c r="AA1688"/>
      <c r="AB1688"/>
      <c r="AC1688"/>
      <c r="AD1688"/>
      <c r="AE1688"/>
      <c r="AF1688"/>
      <c r="AG1688"/>
      <c r="AH1688"/>
      <c r="AI1688"/>
      <c r="AJ1688"/>
      <c r="AK1688"/>
      <c r="AL1688"/>
      <c r="AM1688"/>
      <c r="AN1688"/>
      <c r="AO1688"/>
      <c r="AP1688"/>
      <c r="AQ1688"/>
      <c r="AR1688"/>
      <c r="AS1688"/>
      <c r="AT1688"/>
      <c r="AU1688"/>
      <c r="AV1688"/>
      <c r="AW1688"/>
      <c r="AX1688"/>
      <c r="AY1688"/>
      <c r="AZ1688"/>
      <c r="BA1688"/>
      <c r="BB1688"/>
      <c r="BC1688"/>
      <c r="BD1688"/>
      <c r="BE1688"/>
      <c r="BF1688"/>
      <c r="BG1688"/>
      <c r="BH1688"/>
      <c r="BI1688"/>
      <c r="BJ1688"/>
      <c r="BK1688"/>
      <c r="BL1688"/>
      <c r="BM1688"/>
      <c r="BN1688"/>
      <c r="BO1688"/>
      <c r="BP1688"/>
      <c r="BQ1688"/>
      <c r="BR1688"/>
      <c r="BS1688"/>
      <c r="BT1688"/>
      <c r="BU1688"/>
      <c r="BV1688"/>
      <c r="BW1688"/>
      <c r="BX1688"/>
      <c r="BY1688"/>
      <c r="BZ1688"/>
      <c r="CA1688"/>
      <c r="CB1688"/>
      <c r="CC1688"/>
      <c r="CD1688"/>
      <c r="CE1688"/>
      <c r="CF1688"/>
      <c r="CG1688"/>
      <c r="CH1688"/>
      <c r="CI1688"/>
      <c r="CJ1688"/>
      <c r="CK1688"/>
      <c r="CL1688"/>
      <c r="CM1688"/>
      <c r="CN1688"/>
      <c r="CO1688"/>
      <c r="CP1688"/>
      <c r="CQ1688"/>
      <c r="CR1688"/>
      <c r="CS1688"/>
      <c r="CT1688"/>
      <c r="CU1688"/>
      <c r="CV1688"/>
      <c r="CW1688"/>
      <c r="CX1688"/>
      <c r="CY1688"/>
      <c r="CZ1688"/>
      <c r="DA1688"/>
      <c r="DB1688"/>
      <c r="DC1688"/>
      <c r="DD1688"/>
      <c r="DE1688"/>
      <c r="DF1688"/>
      <c r="DG1688"/>
      <c r="DH1688"/>
      <c r="DI1688"/>
      <c r="DJ1688"/>
      <c r="DK1688"/>
      <c r="DL1688"/>
      <c r="DM1688"/>
      <c r="DN1688"/>
      <c r="DO1688"/>
      <c r="DP1688"/>
      <c r="DQ1688"/>
      <c r="DR1688"/>
      <c r="DS1688"/>
      <c r="DT1688"/>
      <c r="DU1688"/>
      <c r="DV1688"/>
      <c r="DW1688"/>
      <c r="DX1688"/>
      <c r="DY1688"/>
      <c r="DZ1688"/>
      <c r="EA1688"/>
      <c r="EB1688"/>
      <c r="EC1688"/>
      <c r="ED1688"/>
      <c r="EE1688"/>
      <c r="EF1688"/>
      <c r="EG1688"/>
      <c r="EH1688"/>
      <c r="EI1688"/>
      <c r="EJ1688"/>
      <c r="EK1688"/>
      <c r="EL1688"/>
      <c r="EM1688"/>
      <c r="EN1688"/>
      <c r="EO1688"/>
      <c r="EP1688"/>
      <c r="EQ1688"/>
      <c r="ER1688"/>
      <c r="ES1688"/>
    </row>
    <row r="1689" spans="1:149">
      <c r="A1689"/>
      <c r="B1689"/>
      <c r="C1689"/>
      <c r="D1689"/>
      <c r="E1689"/>
      <c r="F1689"/>
      <c r="G1689"/>
      <c r="H1689"/>
      <c r="I1689"/>
      <c r="J1689"/>
      <c r="K1689"/>
      <c r="L1689"/>
      <c r="M1689"/>
      <c r="N1689"/>
      <c r="O1689"/>
      <c r="P1689"/>
      <c r="Q1689"/>
      <c r="R1689"/>
      <c r="S1689"/>
      <c r="T1689"/>
      <c r="U1689"/>
      <c r="V1689"/>
      <c r="W1689"/>
      <c r="X1689"/>
      <c r="Y1689"/>
      <c r="Z1689"/>
      <c r="AA1689"/>
      <c r="AB1689"/>
      <c r="AC1689"/>
      <c r="AD1689"/>
      <c r="AE1689"/>
      <c r="AF1689"/>
      <c r="AG1689"/>
      <c r="AH1689"/>
      <c r="AI1689"/>
      <c r="AJ1689"/>
      <c r="AK1689"/>
      <c r="AL1689"/>
      <c r="AM1689"/>
      <c r="AN1689"/>
      <c r="AO1689"/>
      <c r="AP1689"/>
      <c r="AQ1689"/>
      <c r="AR1689"/>
      <c r="AS1689"/>
      <c r="AT1689"/>
      <c r="AU1689"/>
      <c r="AV1689"/>
      <c r="AW1689"/>
      <c r="AX1689"/>
      <c r="AY1689"/>
      <c r="AZ1689"/>
      <c r="BA1689"/>
      <c r="BB1689"/>
      <c r="BC1689"/>
      <c r="BD1689"/>
      <c r="BE1689"/>
      <c r="BF1689"/>
      <c r="BG1689"/>
      <c r="BH1689"/>
      <c r="BI1689"/>
      <c r="BJ1689"/>
      <c r="BK1689"/>
      <c r="BL1689"/>
      <c r="BM1689"/>
      <c r="BN1689"/>
      <c r="BO1689"/>
      <c r="BP1689"/>
      <c r="BQ1689"/>
      <c r="BR1689"/>
      <c r="BS1689"/>
      <c r="BT1689"/>
      <c r="BU1689"/>
      <c r="BV1689"/>
      <c r="BW1689"/>
      <c r="BX1689"/>
      <c r="BY1689"/>
      <c r="BZ1689"/>
      <c r="CA1689"/>
      <c r="CB1689"/>
      <c r="CC1689"/>
      <c r="CD1689"/>
      <c r="CE1689"/>
      <c r="CF1689"/>
      <c r="CG1689"/>
      <c r="CH1689"/>
      <c r="CI1689"/>
      <c r="CJ1689"/>
      <c r="CK1689"/>
      <c r="CL1689"/>
      <c r="CM1689"/>
      <c r="CN1689"/>
      <c r="CO1689"/>
      <c r="CP1689"/>
      <c r="CQ1689"/>
      <c r="CR1689"/>
      <c r="CS1689"/>
      <c r="CT1689"/>
      <c r="CU1689"/>
      <c r="CV1689"/>
      <c r="CW1689"/>
      <c r="CX1689"/>
      <c r="CY1689"/>
      <c r="CZ1689"/>
      <c r="DA1689"/>
      <c r="DB1689"/>
      <c r="DC1689"/>
      <c r="DD1689"/>
      <c r="DE1689"/>
      <c r="DF1689"/>
      <c r="DG1689"/>
      <c r="DH1689"/>
      <c r="DI1689"/>
      <c r="DJ1689"/>
      <c r="DK1689"/>
      <c r="DL1689"/>
      <c r="DM1689"/>
      <c r="DN1689"/>
      <c r="DO1689"/>
      <c r="DP1689"/>
      <c r="DQ1689"/>
      <c r="DR1689"/>
      <c r="DS1689"/>
      <c r="DT1689"/>
      <c r="DU1689"/>
      <c r="DV1689"/>
      <c r="DW1689"/>
      <c r="DX1689"/>
      <c r="DY1689"/>
      <c r="DZ1689"/>
      <c r="EA1689"/>
      <c r="EB1689"/>
      <c r="EC1689"/>
      <c r="ED1689"/>
      <c r="EE1689"/>
      <c r="EF1689"/>
      <c r="EG1689"/>
      <c r="EH1689"/>
      <c r="EI1689"/>
      <c r="EJ1689"/>
      <c r="EK1689"/>
      <c r="EL1689"/>
      <c r="EM1689"/>
      <c r="EN1689"/>
      <c r="EO1689"/>
      <c r="EP1689"/>
      <c r="EQ1689"/>
      <c r="ER1689"/>
      <c r="ES1689"/>
    </row>
    <row r="1690" spans="1:149">
      <c r="A1690"/>
      <c r="B1690"/>
      <c r="C1690"/>
      <c r="D1690"/>
      <c r="E1690"/>
      <c r="F1690"/>
      <c r="G1690"/>
      <c r="H1690"/>
      <c r="I1690"/>
      <c r="J1690"/>
      <c r="K1690"/>
      <c r="L1690"/>
      <c r="M1690"/>
      <c r="N1690"/>
      <c r="O1690"/>
      <c r="P1690"/>
      <c r="Q1690"/>
      <c r="R1690"/>
      <c r="S1690"/>
      <c r="T1690"/>
      <c r="U1690"/>
      <c r="V1690"/>
      <c r="W1690"/>
      <c r="X1690"/>
      <c r="Y1690"/>
      <c r="Z1690"/>
      <c r="AA1690"/>
      <c r="AB1690"/>
      <c r="AC1690"/>
      <c r="AD1690"/>
      <c r="AE1690"/>
      <c r="AF1690"/>
      <c r="AG1690"/>
      <c r="AH1690"/>
      <c r="AI1690"/>
      <c r="AJ1690"/>
      <c r="AK1690"/>
      <c r="AL1690"/>
      <c r="AM1690"/>
      <c r="AN1690"/>
      <c r="AO1690"/>
      <c r="AP1690"/>
      <c r="AQ1690"/>
      <c r="AR1690"/>
      <c r="AS1690"/>
      <c r="AT1690"/>
      <c r="AU1690"/>
      <c r="AV1690"/>
      <c r="AW1690"/>
      <c r="AX1690"/>
      <c r="AY1690"/>
      <c r="AZ1690"/>
      <c r="BA1690"/>
      <c r="BB1690"/>
      <c r="BC1690"/>
      <c r="BD1690"/>
      <c r="BE1690"/>
      <c r="BF1690"/>
      <c r="BG1690"/>
      <c r="BH1690"/>
      <c r="BI1690"/>
      <c r="BJ1690"/>
      <c r="BK1690"/>
      <c r="BL1690"/>
      <c r="BM1690"/>
      <c r="BN1690"/>
      <c r="BO1690"/>
      <c r="BP1690"/>
      <c r="BQ1690"/>
      <c r="BR1690"/>
      <c r="BS1690"/>
      <c r="BT1690"/>
      <c r="BU1690"/>
      <c r="BV1690"/>
      <c r="BW1690"/>
      <c r="BX1690"/>
      <c r="BY1690"/>
      <c r="BZ1690"/>
      <c r="CA1690"/>
      <c r="CB1690"/>
      <c r="CC1690"/>
      <c r="CD1690"/>
      <c r="CE1690"/>
      <c r="CF1690"/>
      <c r="CG1690"/>
      <c r="CH1690"/>
      <c r="CI1690"/>
      <c r="CJ1690"/>
      <c r="CK1690"/>
      <c r="CL1690"/>
      <c r="CM1690"/>
      <c r="CN1690"/>
      <c r="CO1690"/>
      <c r="CP1690"/>
      <c r="CQ1690"/>
      <c r="CR1690"/>
      <c r="CS1690"/>
      <c r="CT1690"/>
      <c r="CU1690"/>
      <c r="CV1690"/>
      <c r="CW1690"/>
      <c r="CX1690"/>
      <c r="CY1690"/>
      <c r="CZ1690"/>
      <c r="DA1690"/>
      <c r="DB1690"/>
      <c r="DC1690"/>
      <c r="DD1690"/>
      <c r="DE1690"/>
      <c r="DF1690"/>
      <c r="DG1690"/>
      <c r="DH1690"/>
      <c r="DI1690"/>
      <c r="DJ1690"/>
      <c r="DK1690"/>
      <c r="DL1690"/>
      <c r="DM1690"/>
      <c r="DN1690"/>
      <c r="DO1690"/>
      <c r="DP1690"/>
      <c r="DQ1690"/>
      <c r="DR1690"/>
      <c r="DS1690"/>
      <c r="DT1690"/>
      <c r="DU1690"/>
      <c r="DV1690"/>
      <c r="DW1690"/>
      <c r="DX1690"/>
      <c r="DY1690"/>
      <c r="DZ1690"/>
      <c r="EA1690"/>
      <c r="EB1690"/>
      <c r="EC1690"/>
      <c r="ED1690"/>
      <c r="EE1690"/>
      <c r="EF1690"/>
      <c r="EG1690"/>
      <c r="EH1690"/>
      <c r="EI1690"/>
      <c r="EJ1690"/>
      <c r="EK1690"/>
      <c r="EL1690"/>
      <c r="EM1690"/>
      <c r="EN1690"/>
      <c r="EO1690"/>
      <c r="EP1690"/>
      <c r="EQ1690"/>
      <c r="ER1690"/>
      <c r="ES1690"/>
    </row>
    <row r="1691" spans="1:149">
      <c r="A1691"/>
      <c r="B1691"/>
      <c r="C1691"/>
      <c r="D1691"/>
      <c r="E1691"/>
      <c r="F1691"/>
      <c r="G1691"/>
      <c r="H1691"/>
      <c r="I1691"/>
      <c r="J1691"/>
      <c r="K1691"/>
      <c r="L1691"/>
      <c r="M1691"/>
      <c r="N1691"/>
      <c r="O1691"/>
      <c r="P1691"/>
      <c r="Q1691"/>
      <c r="R1691"/>
      <c r="S1691"/>
      <c r="T1691"/>
      <c r="U1691"/>
      <c r="V1691"/>
      <c r="W1691"/>
      <c r="X1691"/>
      <c r="Y1691"/>
      <c r="Z1691"/>
      <c r="AA1691"/>
      <c r="AB1691"/>
      <c r="AC1691"/>
      <c r="AD1691"/>
      <c r="AE1691"/>
      <c r="AF1691"/>
      <c r="AG1691"/>
      <c r="AH1691"/>
      <c r="AI1691"/>
      <c r="AJ1691"/>
      <c r="AK1691"/>
      <c r="AL1691"/>
      <c r="AM1691"/>
      <c r="AN1691"/>
      <c r="AO1691"/>
      <c r="AP1691"/>
      <c r="AQ1691"/>
      <c r="AR1691"/>
      <c r="AS1691"/>
      <c r="AT1691"/>
      <c r="AU1691"/>
      <c r="AV1691"/>
      <c r="AW1691"/>
      <c r="AX1691"/>
      <c r="AY1691"/>
      <c r="AZ1691"/>
      <c r="BA1691"/>
      <c r="BB1691"/>
      <c r="BC1691"/>
      <c r="BD1691"/>
      <c r="BE1691"/>
      <c r="BF1691"/>
      <c r="BG1691"/>
      <c r="BH1691"/>
      <c r="BI1691"/>
      <c r="BJ1691"/>
      <c r="BK1691"/>
      <c r="BL1691"/>
      <c r="BM1691"/>
      <c r="BN1691"/>
      <c r="BO1691"/>
      <c r="BP1691"/>
      <c r="BQ1691"/>
      <c r="BR1691"/>
      <c r="BS1691"/>
      <c r="BT1691"/>
      <c r="BU1691"/>
      <c r="BV1691"/>
      <c r="BW1691"/>
      <c r="BX1691"/>
      <c r="BY1691"/>
      <c r="BZ1691"/>
      <c r="CA1691"/>
      <c r="CB1691"/>
      <c r="CC1691"/>
      <c r="CD1691"/>
      <c r="CE1691"/>
      <c r="CF1691"/>
      <c r="CG1691"/>
      <c r="CH1691"/>
      <c r="CI1691"/>
      <c r="CJ1691"/>
      <c r="CK1691"/>
      <c r="CL1691"/>
      <c r="CM1691"/>
      <c r="CN1691"/>
      <c r="CO1691"/>
      <c r="CP1691"/>
      <c r="CQ1691"/>
      <c r="CR1691"/>
      <c r="CS1691"/>
      <c r="CT1691"/>
      <c r="CU1691"/>
      <c r="CV1691"/>
      <c r="CW1691"/>
      <c r="CX1691"/>
      <c r="CY1691"/>
      <c r="CZ1691"/>
      <c r="DA1691"/>
      <c r="DB1691"/>
      <c r="DC1691"/>
      <c r="DD1691"/>
      <c r="DE1691"/>
      <c r="DF1691"/>
      <c r="DG1691"/>
      <c r="DH1691"/>
      <c r="DI1691"/>
      <c r="DJ1691"/>
      <c r="DK1691"/>
      <c r="DL1691"/>
      <c r="DM1691"/>
      <c r="DN1691"/>
      <c r="DO1691"/>
      <c r="DP1691"/>
      <c r="DQ1691"/>
      <c r="DR1691"/>
      <c r="DS1691"/>
      <c r="DT1691"/>
      <c r="DU1691"/>
      <c r="DV1691"/>
      <c r="DW1691"/>
      <c r="DX1691"/>
      <c r="DY1691"/>
      <c r="DZ1691"/>
      <c r="EA1691"/>
      <c r="EB1691"/>
      <c r="EC1691"/>
      <c r="ED1691"/>
      <c r="EE1691"/>
      <c r="EF1691"/>
      <c r="EG1691"/>
      <c r="EH1691"/>
      <c r="EI1691"/>
      <c r="EJ1691"/>
      <c r="EK1691"/>
      <c r="EL1691"/>
      <c r="EM1691"/>
      <c r="EN1691"/>
      <c r="EO1691"/>
      <c r="EP1691"/>
      <c r="EQ1691"/>
      <c r="ER1691"/>
      <c r="ES1691"/>
    </row>
    <row r="1692" spans="1:149">
      <c r="A1692"/>
      <c r="B1692"/>
      <c r="C1692"/>
      <c r="D1692"/>
      <c r="E1692"/>
      <c r="F1692"/>
      <c r="G1692"/>
      <c r="H1692"/>
      <c r="I1692"/>
      <c r="J1692"/>
      <c r="K1692"/>
      <c r="L1692"/>
      <c r="M1692"/>
      <c r="N1692"/>
      <c r="O1692"/>
      <c r="P1692"/>
      <c r="Q1692"/>
      <c r="R1692"/>
      <c r="S1692"/>
      <c r="T1692"/>
      <c r="U1692"/>
      <c r="V1692"/>
      <c r="W1692"/>
      <c r="X1692"/>
      <c r="Y1692"/>
      <c r="Z1692"/>
      <c r="AA1692"/>
      <c r="AB1692"/>
      <c r="AC1692"/>
      <c r="AD1692"/>
      <c r="AE1692"/>
      <c r="AF1692"/>
      <c r="AG1692"/>
      <c r="AH1692"/>
      <c r="AI1692"/>
      <c r="AJ1692"/>
      <c r="AK1692"/>
      <c r="AL1692"/>
      <c r="AM1692"/>
      <c r="AN1692"/>
      <c r="AO1692"/>
      <c r="AP1692"/>
      <c r="AQ1692"/>
      <c r="AR1692"/>
      <c r="AS1692"/>
      <c r="AT1692"/>
      <c r="AU1692"/>
      <c r="AV1692"/>
      <c r="AW1692"/>
      <c r="AX1692"/>
      <c r="AY1692"/>
      <c r="AZ1692"/>
      <c r="BA1692"/>
      <c r="BB1692"/>
      <c r="BC1692"/>
      <c r="BD1692"/>
      <c r="BE1692"/>
      <c r="BF1692"/>
      <c r="BG1692"/>
      <c r="BH1692"/>
      <c r="BI1692"/>
      <c r="BJ1692"/>
      <c r="BK1692"/>
      <c r="BL1692"/>
      <c r="BM1692"/>
      <c r="BN1692"/>
      <c r="BO1692"/>
      <c r="BP1692"/>
      <c r="BQ1692"/>
      <c r="BR1692"/>
      <c r="BS1692"/>
      <c r="BT1692"/>
      <c r="BU1692"/>
      <c r="BV1692"/>
      <c r="BW1692"/>
      <c r="BX1692"/>
      <c r="BY1692"/>
      <c r="BZ1692"/>
      <c r="CA1692"/>
      <c r="CB1692"/>
      <c r="CC1692"/>
      <c r="CD1692"/>
      <c r="CE1692"/>
      <c r="CF1692"/>
      <c r="CG1692"/>
      <c r="CH1692"/>
      <c r="CI1692"/>
      <c r="CJ1692"/>
      <c r="CK1692"/>
      <c r="CL1692"/>
      <c r="CM1692"/>
      <c r="CN1692"/>
      <c r="CO1692"/>
      <c r="CP1692"/>
      <c r="CQ1692"/>
      <c r="CR1692"/>
      <c r="CS1692"/>
      <c r="CT1692"/>
      <c r="CU1692"/>
      <c r="CV1692"/>
      <c r="CW1692"/>
      <c r="CX1692"/>
      <c r="CY1692"/>
      <c r="CZ1692"/>
      <c r="DA1692"/>
      <c r="DB1692"/>
      <c r="DC1692"/>
      <c r="DD1692"/>
      <c r="DE1692"/>
      <c r="DF1692"/>
      <c r="DG1692"/>
      <c r="DH1692"/>
      <c r="DI1692"/>
      <c r="DJ1692"/>
      <c r="DK1692"/>
      <c r="DL1692"/>
      <c r="DM1692"/>
      <c r="DN1692"/>
      <c r="DO1692"/>
      <c r="DP1692"/>
      <c r="DQ1692"/>
      <c r="DR1692"/>
      <c r="DS1692"/>
      <c r="DT1692"/>
      <c r="DU1692"/>
      <c r="DV1692"/>
      <c r="DW1692"/>
      <c r="DX1692"/>
      <c r="DY1692"/>
      <c r="DZ1692"/>
      <c r="EA1692"/>
      <c r="EB1692"/>
      <c r="EC1692"/>
      <c r="ED1692"/>
      <c r="EE1692"/>
      <c r="EF1692"/>
      <c r="EG1692"/>
      <c r="EH1692"/>
      <c r="EI1692"/>
      <c r="EJ1692"/>
      <c r="EK1692"/>
      <c r="EL1692"/>
      <c r="EM1692"/>
      <c r="EN1692"/>
      <c r="EO1692"/>
      <c r="EP1692"/>
      <c r="EQ1692"/>
      <c r="ER1692"/>
      <c r="ES1692"/>
    </row>
    <row r="1693" spans="1:149">
      <c r="A1693"/>
      <c r="B1693"/>
      <c r="C1693"/>
      <c r="D1693"/>
      <c r="E1693"/>
      <c r="F1693"/>
      <c r="G1693"/>
      <c r="H1693"/>
      <c r="I1693"/>
      <c r="J1693"/>
      <c r="K1693"/>
      <c r="L1693"/>
      <c r="M1693"/>
      <c r="N1693"/>
      <c r="O1693"/>
      <c r="P1693"/>
      <c r="Q1693"/>
      <c r="R1693"/>
      <c r="S1693"/>
      <c r="T1693"/>
      <c r="U1693"/>
      <c r="V1693"/>
      <c r="W1693"/>
      <c r="X1693"/>
      <c r="Y1693"/>
      <c r="Z1693"/>
      <c r="AA1693"/>
      <c r="AB1693"/>
      <c r="AC1693"/>
      <c r="AD1693"/>
      <c r="AE1693"/>
      <c r="AF1693"/>
      <c r="AG1693"/>
      <c r="AH1693"/>
      <c r="AI1693"/>
      <c r="AJ1693"/>
      <c r="AK1693"/>
      <c r="AL1693"/>
      <c r="AM1693"/>
      <c r="AN1693"/>
      <c r="AO1693"/>
      <c r="AP1693"/>
      <c r="AQ1693"/>
      <c r="AR1693"/>
      <c r="AS1693"/>
      <c r="AT1693"/>
      <c r="AU1693"/>
      <c r="AV1693"/>
      <c r="AW1693"/>
      <c r="AX1693"/>
      <c r="AY1693"/>
      <c r="AZ1693"/>
      <c r="BA1693"/>
      <c r="BB1693"/>
      <c r="BC1693"/>
      <c r="BD1693"/>
      <c r="BE1693"/>
      <c r="BF1693"/>
      <c r="BG1693"/>
      <c r="BH1693"/>
      <c r="BI1693"/>
      <c r="BJ1693"/>
      <c r="BK1693"/>
      <c r="BL1693"/>
      <c r="BM1693"/>
      <c r="BN1693"/>
      <c r="BO1693"/>
      <c r="BP1693"/>
      <c r="BQ1693"/>
      <c r="BR1693"/>
      <c r="BS1693"/>
      <c r="BT1693"/>
      <c r="BU1693"/>
      <c r="BV1693"/>
      <c r="BW1693"/>
      <c r="BX1693"/>
      <c r="BY1693"/>
      <c r="BZ1693"/>
      <c r="CA1693"/>
      <c r="CB1693"/>
      <c r="CC1693"/>
      <c r="CD1693"/>
      <c r="CE1693"/>
      <c r="CF1693"/>
      <c r="CG1693"/>
      <c r="CH1693"/>
      <c r="CI1693"/>
      <c r="CJ1693"/>
      <c r="CK1693"/>
      <c r="CL1693"/>
      <c r="CM1693"/>
      <c r="CN1693"/>
      <c r="CO1693"/>
      <c r="CP1693"/>
      <c r="CQ1693"/>
      <c r="CR1693"/>
      <c r="CS1693"/>
      <c r="CT1693"/>
      <c r="CU1693"/>
      <c r="CV1693"/>
      <c r="CW1693"/>
      <c r="CX1693"/>
      <c r="CY1693"/>
      <c r="CZ1693"/>
      <c r="DA1693"/>
      <c r="DB1693"/>
      <c r="DC1693"/>
      <c r="DD1693"/>
      <c r="DE1693"/>
      <c r="DF1693"/>
      <c r="DG1693"/>
      <c r="DH1693"/>
      <c r="DI1693"/>
      <c r="DJ1693"/>
      <c r="DK1693"/>
      <c r="DL1693"/>
      <c r="DM1693"/>
      <c r="DN1693"/>
      <c r="DO1693"/>
      <c r="DP1693"/>
      <c r="DQ1693"/>
      <c r="DR1693"/>
      <c r="DS1693"/>
      <c r="DT1693"/>
      <c r="DU1693"/>
      <c r="DV1693"/>
      <c r="DW1693"/>
      <c r="DX1693"/>
      <c r="DY1693"/>
      <c r="DZ1693"/>
      <c r="EA1693"/>
      <c r="EB1693"/>
      <c r="EC1693"/>
      <c r="ED1693"/>
      <c r="EE1693"/>
      <c r="EF1693"/>
      <c r="EG1693"/>
      <c r="EH1693"/>
      <c r="EI1693"/>
      <c r="EJ1693"/>
      <c r="EK1693"/>
      <c r="EL1693"/>
      <c r="EM1693"/>
      <c r="EN1693"/>
      <c r="EO1693"/>
      <c r="EP1693"/>
      <c r="EQ1693"/>
      <c r="ER1693"/>
      <c r="ES1693"/>
    </row>
    <row r="1694" spans="1:149">
      <c r="A1694"/>
      <c r="B1694"/>
      <c r="C1694"/>
      <c r="D1694"/>
      <c r="E1694"/>
      <c r="F1694"/>
      <c r="G1694"/>
      <c r="H1694"/>
      <c r="I1694"/>
      <c r="J1694"/>
      <c r="K1694"/>
      <c r="L1694"/>
      <c r="M1694"/>
      <c r="N1694"/>
      <c r="O1694"/>
      <c r="P1694"/>
      <c r="Q1694"/>
      <c r="R1694"/>
      <c r="S1694"/>
      <c r="T1694"/>
      <c r="U1694"/>
      <c r="V1694"/>
      <c r="W1694"/>
      <c r="X1694"/>
      <c r="Y1694"/>
      <c r="Z1694"/>
      <c r="AA1694"/>
      <c r="AB1694"/>
      <c r="AC1694"/>
      <c r="AD1694"/>
      <c r="AE1694"/>
      <c r="AF1694"/>
      <c r="AG1694"/>
      <c r="AH1694"/>
      <c r="AI1694"/>
      <c r="AJ1694"/>
      <c r="AK1694"/>
      <c r="AL1694"/>
      <c r="AM1694"/>
      <c r="AN1694"/>
      <c r="AO1694"/>
      <c r="AP1694"/>
      <c r="AQ1694"/>
      <c r="AR1694"/>
      <c r="AS1694"/>
      <c r="AT1694"/>
      <c r="AU1694"/>
      <c r="AV1694"/>
      <c r="AW1694"/>
      <c r="AX1694"/>
      <c r="AY1694"/>
      <c r="AZ1694"/>
      <c r="BA1694"/>
      <c r="BB1694"/>
      <c r="BC1694"/>
      <c r="BD1694"/>
      <c r="BE1694"/>
      <c r="BF1694"/>
      <c r="BG1694"/>
      <c r="BH1694"/>
      <c r="BI1694"/>
      <c r="BJ1694"/>
      <c r="BK1694"/>
      <c r="BL1694"/>
      <c r="BM1694"/>
      <c r="BN1694"/>
      <c r="BO1694"/>
      <c r="BP1694"/>
      <c r="BQ1694"/>
      <c r="BR1694"/>
      <c r="BS1694"/>
      <c r="BT1694"/>
      <c r="BU1694"/>
      <c r="BV1694"/>
      <c r="BW1694"/>
      <c r="BX1694"/>
      <c r="BY1694"/>
      <c r="BZ1694"/>
      <c r="CA1694"/>
      <c r="CB1694"/>
      <c r="CC1694"/>
      <c r="CD1694"/>
      <c r="CE1694"/>
      <c r="CF1694"/>
      <c r="CG1694"/>
      <c r="CH1694"/>
      <c r="CI1694"/>
      <c r="CJ1694"/>
      <c r="CK1694"/>
      <c r="CL1694"/>
      <c r="CM1694"/>
      <c r="CN1694"/>
      <c r="CO1694"/>
      <c r="CP1694"/>
      <c r="CQ1694"/>
      <c r="CR1694"/>
      <c r="CS1694"/>
      <c r="CT1694"/>
      <c r="CU1694"/>
      <c r="CV1694"/>
      <c r="CW1694"/>
      <c r="CX1694"/>
      <c r="CY1694"/>
      <c r="CZ1694"/>
      <c r="DA1694"/>
      <c r="DB1694"/>
      <c r="DC1694"/>
      <c r="DD1694"/>
      <c r="DE1694"/>
      <c r="DF1694"/>
      <c r="DG1694"/>
      <c r="DH1694"/>
      <c r="DI1694"/>
      <c r="DJ1694"/>
      <c r="DK1694"/>
      <c r="DL1694"/>
      <c r="DM1694"/>
      <c r="DN1694"/>
      <c r="DO1694"/>
      <c r="DP1694"/>
      <c r="DQ1694"/>
      <c r="DR1694"/>
      <c r="DS1694"/>
      <c r="DT1694"/>
      <c r="DU1694"/>
      <c r="DV1694"/>
      <c r="DW1694"/>
      <c r="DX1694"/>
      <c r="DY1694"/>
      <c r="DZ1694"/>
      <c r="EA1694"/>
      <c r="EB1694"/>
      <c r="EC1694"/>
      <c r="ED1694"/>
      <c r="EE1694"/>
      <c r="EF1694"/>
      <c r="EG1694"/>
      <c r="EH1694"/>
      <c r="EI1694"/>
      <c r="EJ1694"/>
      <c r="EK1694"/>
      <c r="EL1694"/>
      <c r="EM1694"/>
      <c r="EN1694"/>
      <c r="EO1694"/>
      <c r="EP1694"/>
      <c r="EQ1694"/>
      <c r="ER1694"/>
      <c r="ES1694"/>
    </row>
    <row r="1695" spans="1:149">
      <c r="A1695"/>
      <c r="B1695"/>
      <c r="C1695"/>
      <c r="D1695"/>
      <c r="E1695"/>
      <c r="F1695"/>
      <c r="G1695"/>
      <c r="H1695"/>
      <c r="I1695"/>
      <c r="J1695"/>
      <c r="K1695"/>
      <c r="L1695"/>
      <c r="M1695"/>
      <c r="N1695"/>
      <c r="O1695"/>
      <c r="P1695"/>
      <c r="Q1695"/>
      <c r="R1695"/>
      <c r="S1695"/>
      <c r="T1695"/>
      <c r="U1695"/>
      <c r="V1695"/>
      <c r="W1695"/>
      <c r="X1695"/>
      <c r="Y1695"/>
      <c r="Z1695"/>
      <c r="AA1695"/>
      <c r="AB1695"/>
      <c r="AC1695"/>
      <c r="AD1695"/>
      <c r="AE1695"/>
      <c r="AF1695"/>
      <c r="AG1695"/>
      <c r="AH1695"/>
      <c r="AI1695"/>
      <c r="AJ1695"/>
      <c r="AK1695"/>
      <c r="AL1695"/>
      <c r="AM1695"/>
      <c r="AN1695"/>
      <c r="AO1695"/>
      <c r="AP1695"/>
      <c r="AQ1695"/>
      <c r="AR1695"/>
      <c r="AS1695"/>
      <c r="AT1695"/>
      <c r="AU1695"/>
      <c r="AV1695"/>
      <c r="AW1695"/>
      <c r="AX1695"/>
      <c r="AY1695"/>
      <c r="AZ1695"/>
      <c r="BA1695"/>
      <c r="BB1695"/>
      <c r="BC1695"/>
      <c r="BD1695"/>
      <c r="BE1695"/>
      <c r="BF1695"/>
      <c r="BG1695"/>
      <c r="BH1695"/>
      <c r="BI1695"/>
      <c r="BJ1695"/>
      <c r="BK1695"/>
      <c r="BL1695"/>
      <c r="BM1695"/>
      <c r="BN1695"/>
      <c r="BO1695"/>
      <c r="BP1695"/>
      <c r="BQ1695"/>
      <c r="BR1695"/>
      <c r="BS1695"/>
      <c r="BT1695"/>
      <c r="BU1695"/>
      <c r="BV1695"/>
      <c r="BW1695"/>
      <c r="BX1695"/>
      <c r="BY1695"/>
      <c r="BZ1695"/>
      <c r="CA1695"/>
      <c r="CB1695"/>
      <c r="CC1695"/>
      <c r="CD1695"/>
      <c r="CE1695"/>
      <c r="CF1695"/>
      <c r="CG1695"/>
      <c r="CH1695"/>
      <c r="CI1695"/>
      <c r="CJ1695"/>
      <c r="CK1695"/>
      <c r="CL1695"/>
      <c r="CM1695"/>
      <c r="CN1695"/>
      <c r="CO1695"/>
      <c r="CP1695"/>
      <c r="CQ1695"/>
      <c r="CR1695"/>
      <c r="CS1695"/>
      <c r="CT1695"/>
      <c r="CU1695"/>
      <c r="CV1695"/>
      <c r="CW1695"/>
      <c r="CX1695"/>
      <c r="CY1695"/>
      <c r="CZ1695"/>
      <c r="DA1695"/>
      <c r="DB1695"/>
      <c r="DC1695"/>
      <c r="DD1695"/>
      <c r="DE1695"/>
      <c r="DF1695"/>
      <c r="DG1695"/>
      <c r="DH1695"/>
      <c r="DI1695"/>
      <c r="DJ1695"/>
      <c r="DK1695"/>
      <c r="DL1695"/>
      <c r="DM1695"/>
      <c r="DN1695"/>
      <c r="DO1695"/>
      <c r="DP1695"/>
      <c r="DQ1695"/>
      <c r="DR1695"/>
      <c r="DS1695"/>
      <c r="DT1695"/>
      <c r="DU1695"/>
      <c r="DV1695"/>
      <c r="DW1695"/>
      <c r="DX1695"/>
      <c r="DY1695"/>
      <c r="DZ1695"/>
      <c r="EA1695"/>
      <c r="EB1695"/>
      <c r="EC1695"/>
      <c r="ED1695"/>
      <c r="EE1695"/>
      <c r="EF1695"/>
      <c r="EG1695"/>
      <c r="EH1695"/>
      <c r="EI1695"/>
      <c r="EJ1695"/>
      <c r="EK1695"/>
      <c r="EL1695"/>
      <c r="EM1695"/>
      <c r="EN1695"/>
      <c r="EO1695"/>
      <c r="EP1695"/>
      <c r="EQ1695"/>
      <c r="ER1695"/>
      <c r="ES1695"/>
    </row>
    <row r="1696" spans="1:149">
      <c r="A1696"/>
      <c r="B1696"/>
      <c r="C1696"/>
      <c r="D1696"/>
      <c r="E1696"/>
      <c r="F1696"/>
      <c r="G1696"/>
      <c r="H1696"/>
      <c r="I1696"/>
      <c r="J1696"/>
      <c r="K1696"/>
      <c r="L1696"/>
      <c r="M1696"/>
      <c r="N1696"/>
      <c r="O1696"/>
      <c r="P1696"/>
      <c r="Q1696"/>
      <c r="R1696"/>
      <c r="S1696"/>
      <c r="T1696"/>
      <c r="U1696"/>
      <c r="V1696"/>
      <c r="W1696"/>
      <c r="X1696"/>
      <c r="Y1696"/>
      <c r="Z1696"/>
      <c r="AA1696"/>
      <c r="AB1696"/>
      <c r="AC1696"/>
      <c r="AD1696"/>
      <c r="AE1696"/>
      <c r="AF1696"/>
      <c r="AG1696"/>
      <c r="AH1696"/>
      <c r="AI1696"/>
      <c r="AJ1696"/>
      <c r="AK1696"/>
      <c r="AL1696"/>
      <c r="AM1696"/>
      <c r="AN1696"/>
      <c r="AO1696"/>
      <c r="AP1696"/>
      <c r="AQ1696"/>
      <c r="AR1696"/>
      <c r="AS1696"/>
      <c r="AT1696"/>
      <c r="AU1696"/>
      <c r="AV1696"/>
      <c r="AW1696"/>
      <c r="AX1696"/>
      <c r="AY1696"/>
      <c r="AZ1696"/>
      <c r="BA1696"/>
      <c r="BB1696"/>
      <c r="BC1696"/>
      <c r="BD1696"/>
      <c r="BE1696"/>
      <c r="BF1696"/>
      <c r="BG1696"/>
      <c r="BH1696"/>
      <c r="BI1696"/>
      <c r="BJ1696"/>
      <c r="BK1696"/>
      <c r="BL1696"/>
      <c r="BM1696"/>
      <c r="BN1696"/>
      <c r="BO1696"/>
      <c r="BP1696"/>
      <c r="BQ1696"/>
      <c r="BR1696"/>
      <c r="BS1696"/>
      <c r="BT1696"/>
      <c r="BU1696"/>
      <c r="BV1696"/>
      <c r="BW1696"/>
      <c r="BX1696"/>
      <c r="BY1696"/>
      <c r="BZ1696"/>
      <c r="CA1696"/>
      <c r="CB1696"/>
      <c r="CC1696"/>
      <c r="CD1696"/>
      <c r="CE1696"/>
      <c r="CF1696"/>
      <c r="CG1696"/>
      <c r="CH1696"/>
      <c r="CI1696"/>
      <c r="CJ1696"/>
      <c r="CK1696"/>
      <c r="CL1696"/>
      <c r="CM1696"/>
      <c r="CN1696"/>
      <c r="CO1696"/>
      <c r="CP1696"/>
      <c r="CQ1696"/>
      <c r="CR1696"/>
      <c r="CS1696"/>
      <c r="CT1696"/>
      <c r="CU1696"/>
      <c r="CV1696"/>
      <c r="CW1696"/>
      <c r="CX1696"/>
      <c r="CY1696"/>
      <c r="CZ1696"/>
      <c r="DA1696"/>
      <c r="DB1696"/>
      <c r="DC1696"/>
      <c r="DD1696"/>
      <c r="DE1696"/>
      <c r="DF1696"/>
      <c r="DG1696"/>
      <c r="DH1696"/>
      <c r="DI1696"/>
      <c r="DJ1696"/>
      <c r="DK1696"/>
      <c r="DL1696"/>
      <c r="DM1696"/>
      <c r="DN1696"/>
      <c r="DO1696"/>
      <c r="DP1696"/>
      <c r="DQ1696"/>
      <c r="DR1696"/>
      <c r="DS1696"/>
      <c r="DT1696"/>
      <c r="DU1696"/>
      <c r="DV1696"/>
      <c r="DW1696"/>
      <c r="DX1696"/>
      <c r="DY1696"/>
      <c r="DZ1696"/>
      <c r="EA1696"/>
      <c r="EB1696"/>
      <c r="EC1696"/>
      <c r="ED1696"/>
      <c r="EE1696"/>
      <c r="EF1696"/>
      <c r="EG1696"/>
      <c r="EH1696"/>
      <c r="EI1696"/>
      <c r="EJ1696"/>
      <c r="EK1696"/>
      <c r="EL1696"/>
      <c r="EM1696"/>
      <c r="EN1696"/>
      <c r="EO1696"/>
      <c r="EP1696"/>
      <c r="EQ1696"/>
      <c r="ER1696"/>
      <c r="ES1696"/>
    </row>
    <row r="1697" spans="1:149">
      <c r="A1697"/>
      <c r="B1697"/>
      <c r="C1697"/>
      <c r="D1697"/>
      <c r="E1697"/>
      <c r="F1697"/>
      <c r="G1697"/>
      <c r="H1697"/>
      <c r="I1697"/>
      <c r="J1697"/>
      <c r="K1697"/>
      <c r="L1697"/>
      <c r="M1697"/>
      <c r="N1697"/>
      <c r="O1697"/>
      <c r="P1697"/>
      <c r="Q1697"/>
      <c r="R1697"/>
      <c r="S1697"/>
      <c r="T1697"/>
      <c r="U1697"/>
      <c r="V1697"/>
      <c r="W1697"/>
      <c r="X1697"/>
      <c r="Y1697"/>
      <c r="Z1697"/>
      <c r="AA1697"/>
      <c r="AB1697"/>
      <c r="AC1697"/>
      <c r="AD1697"/>
      <c r="AE1697"/>
      <c r="AF1697"/>
      <c r="AG1697"/>
      <c r="AH1697"/>
      <c r="AI1697"/>
      <c r="AJ1697"/>
      <c r="AK1697"/>
      <c r="AL1697"/>
      <c r="AM1697"/>
      <c r="AN1697"/>
      <c r="AO1697"/>
      <c r="AP1697"/>
      <c r="AQ1697"/>
      <c r="AR1697"/>
      <c r="AS1697"/>
      <c r="AT1697"/>
      <c r="AU1697"/>
      <c r="AV1697"/>
      <c r="AW1697"/>
      <c r="AX1697"/>
      <c r="AY1697"/>
      <c r="AZ1697"/>
      <c r="BA1697"/>
      <c r="BB1697"/>
      <c r="BC1697"/>
      <c r="BD1697"/>
      <c r="BE1697"/>
      <c r="BF1697"/>
      <c r="BG1697"/>
      <c r="BH1697"/>
      <c r="BI1697"/>
      <c r="BJ1697"/>
      <c r="BK1697"/>
      <c r="BL1697"/>
      <c r="BM1697"/>
      <c r="BN1697"/>
      <c r="BO1697"/>
      <c r="BP1697"/>
      <c r="BQ1697"/>
      <c r="BR1697"/>
      <c r="BS1697"/>
      <c r="BT1697"/>
      <c r="BU1697"/>
      <c r="BV1697"/>
      <c r="BW1697"/>
      <c r="BX1697"/>
      <c r="BY1697"/>
      <c r="BZ1697"/>
      <c r="CA1697"/>
      <c r="CB1697"/>
      <c r="CC1697"/>
      <c r="CD1697"/>
      <c r="CE1697"/>
      <c r="CF1697"/>
      <c r="CG1697"/>
      <c r="CH1697"/>
      <c r="CI1697"/>
      <c r="CJ1697"/>
      <c r="CK1697"/>
      <c r="CL1697"/>
      <c r="CM1697"/>
      <c r="CN1697"/>
      <c r="CO1697"/>
      <c r="CP1697"/>
      <c r="CQ1697"/>
      <c r="CR1697"/>
      <c r="CS1697"/>
      <c r="CT1697"/>
      <c r="CU1697"/>
      <c r="CV1697"/>
      <c r="CW1697"/>
      <c r="CX1697"/>
      <c r="CY1697"/>
      <c r="CZ1697"/>
      <c r="DA1697"/>
      <c r="DB1697"/>
      <c r="DC1697"/>
      <c r="DD1697"/>
      <c r="DE1697"/>
      <c r="DF1697"/>
      <c r="DG1697"/>
      <c r="DH1697"/>
      <c r="DI1697"/>
      <c r="DJ1697"/>
      <c r="DK1697"/>
      <c r="DL1697"/>
      <c r="DM1697"/>
      <c r="DN1697"/>
      <c r="DO1697"/>
      <c r="DP1697"/>
      <c r="DQ1697"/>
      <c r="DR1697"/>
      <c r="DS1697"/>
      <c r="DT1697"/>
      <c r="DU1697"/>
      <c r="DV1697"/>
      <c r="DW1697"/>
      <c r="DX1697"/>
      <c r="DY1697"/>
      <c r="DZ1697"/>
      <c r="EA1697"/>
      <c r="EB1697"/>
      <c r="EC1697"/>
      <c r="ED1697"/>
      <c r="EE1697"/>
      <c r="EF1697"/>
      <c r="EG1697"/>
      <c r="EH1697"/>
      <c r="EI1697"/>
      <c r="EJ1697"/>
      <c r="EK1697"/>
      <c r="EL1697"/>
      <c r="EM1697"/>
      <c r="EN1697"/>
      <c r="EO1697"/>
      <c r="EP1697"/>
      <c r="EQ1697"/>
      <c r="ER1697"/>
      <c r="ES1697"/>
    </row>
    <row r="1698" spans="1:149">
      <c r="A1698"/>
      <c r="B1698"/>
      <c r="C1698"/>
      <c r="D1698"/>
      <c r="E1698"/>
      <c r="F1698"/>
      <c r="G1698"/>
      <c r="H1698"/>
      <c r="I1698"/>
      <c r="J1698"/>
      <c r="K1698"/>
      <c r="L1698"/>
      <c r="M1698"/>
      <c r="N1698"/>
      <c r="O1698"/>
      <c r="P1698"/>
      <c r="Q1698"/>
      <c r="R1698"/>
      <c r="S1698"/>
      <c r="T1698"/>
      <c r="U1698"/>
      <c r="V1698"/>
      <c r="W1698"/>
      <c r="X1698"/>
      <c r="Y1698"/>
      <c r="Z1698"/>
      <c r="AA1698"/>
      <c r="AB1698"/>
      <c r="AC1698"/>
      <c r="AD1698"/>
      <c r="AE1698"/>
      <c r="AF1698"/>
      <c r="AG1698"/>
      <c r="AH1698"/>
      <c r="AI1698"/>
      <c r="AJ1698"/>
      <c r="AK1698"/>
      <c r="AL1698"/>
      <c r="AM1698"/>
      <c r="AN1698"/>
      <c r="AO1698"/>
      <c r="AP1698"/>
      <c r="AQ1698"/>
      <c r="AR1698"/>
      <c r="AS1698"/>
      <c r="AT1698"/>
      <c r="AU1698"/>
      <c r="AV1698"/>
      <c r="AW1698"/>
      <c r="AX1698"/>
      <c r="AY1698"/>
      <c r="AZ1698"/>
      <c r="BA1698"/>
      <c r="BB1698"/>
      <c r="BC1698"/>
      <c r="BD1698"/>
      <c r="BE1698"/>
      <c r="BF1698"/>
      <c r="BG1698"/>
      <c r="BH1698"/>
      <c r="BI1698"/>
      <c r="BJ1698"/>
      <c r="BK1698"/>
      <c r="BL1698"/>
      <c r="BM1698"/>
      <c r="BN1698"/>
      <c r="BO1698"/>
      <c r="BP1698"/>
      <c r="BQ1698"/>
      <c r="BR1698"/>
      <c r="BS1698"/>
      <c r="BT1698"/>
      <c r="BU1698"/>
      <c r="BV1698"/>
      <c r="BW1698"/>
      <c r="BX1698"/>
      <c r="BY1698"/>
      <c r="BZ1698"/>
      <c r="CA1698"/>
      <c r="CB1698"/>
      <c r="CC1698"/>
      <c r="CD1698"/>
      <c r="CE1698"/>
      <c r="CF1698"/>
      <c r="CG1698"/>
      <c r="CH1698"/>
      <c r="CI1698"/>
      <c r="CJ1698"/>
      <c r="CK1698"/>
      <c r="CL1698"/>
      <c r="CM1698"/>
      <c r="CN1698"/>
      <c r="CO1698"/>
      <c r="CP1698"/>
      <c r="CQ1698"/>
      <c r="CR1698"/>
      <c r="CS1698"/>
      <c r="CT1698"/>
      <c r="CU1698"/>
      <c r="CV1698"/>
      <c r="CW1698"/>
      <c r="CX1698"/>
      <c r="CY1698"/>
      <c r="CZ1698"/>
      <c r="DA1698"/>
      <c r="DB1698"/>
      <c r="DC1698"/>
      <c r="DD1698"/>
      <c r="DE1698"/>
      <c r="DF1698"/>
      <c r="DG1698"/>
      <c r="DH1698"/>
      <c r="DI1698"/>
      <c r="DJ1698"/>
      <c r="DK1698"/>
      <c r="DL1698"/>
      <c r="DM1698"/>
      <c r="DN1698"/>
      <c r="DO1698"/>
      <c r="DP1698"/>
      <c r="DQ1698"/>
      <c r="DR1698"/>
      <c r="DS1698"/>
      <c r="DT1698"/>
      <c r="DU1698"/>
      <c r="DV1698"/>
      <c r="DW1698"/>
      <c r="DX1698"/>
      <c r="DY1698"/>
      <c r="DZ1698"/>
      <c r="EA1698"/>
      <c r="EB1698"/>
      <c r="EC1698"/>
      <c r="ED1698"/>
      <c r="EE1698"/>
      <c r="EF1698"/>
      <c r="EG1698"/>
      <c r="EH1698"/>
      <c r="EI1698"/>
      <c r="EJ1698"/>
      <c r="EK1698"/>
      <c r="EL1698"/>
      <c r="EM1698"/>
      <c r="EN1698"/>
      <c r="EO1698"/>
      <c r="EP1698"/>
      <c r="EQ1698"/>
      <c r="ER1698"/>
      <c r="ES1698"/>
    </row>
    <row r="1699" spans="1:149">
      <c r="A1699"/>
      <c r="B1699"/>
      <c r="C1699"/>
      <c r="D1699"/>
      <c r="E1699"/>
      <c r="F1699"/>
      <c r="G1699"/>
      <c r="H1699"/>
      <c r="I1699"/>
      <c r="J1699"/>
      <c r="K1699"/>
      <c r="L1699"/>
      <c r="M1699"/>
      <c r="N1699"/>
      <c r="O1699"/>
      <c r="P1699"/>
      <c r="Q1699"/>
      <c r="R1699"/>
      <c r="S1699"/>
      <c r="T1699"/>
      <c r="U1699"/>
      <c r="V1699"/>
      <c r="W1699"/>
      <c r="X1699"/>
      <c r="Y1699"/>
      <c r="Z1699"/>
      <c r="AA1699"/>
      <c r="AB1699"/>
      <c r="AC1699"/>
      <c r="AD1699"/>
      <c r="AE1699"/>
      <c r="AF1699"/>
      <c r="AG1699"/>
      <c r="AH1699"/>
      <c r="AI1699"/>
      <c r="AJ1699"/>
      <c r="AK1699"/>
      <c r="AL1699"/>
      <c r="AM1699"/>
      <c r="AN1699"/>
      <c r="AO1699"/>
      <c r="AP1699"/>
      <c r="AQ1699"/>
      <c r="AR1699"/>
      <c r="AS1699"/>
      <c r="AT1699"/>
      <c r="AU1699"/>
      <c r="AV1699"/>
      <c r="AW1699"/>
      <c r="AX1699"/>
      <c r="AY1699"/>
      <c r="AZ1699"/>
      <c r="BA1699"/>
      <c r="BB1699"/>
      <c r="BC1699"/>
      <c r="BD1699"/>
      <c r="BE1699"/>
      <c r="BF1699"/>
      <c r="BG1699"/>
      <c r="BH1699"/>
      <c r="BI1699"/>
      <c r="BJ1699"/>
      <c r="BK1699"/>
      <c r="BL1699"/>
      <c r="BM1699"/>
      <c r="BN1699"/>
      <c r="BO1699"/>
      <c r="BP1699"/>
      <c r="BQ1699"/>
      <c r="BR1699"/>
      <c r="BS1699"/>
      <c r="BT1699"/>
      <c r="BU1699"/>
      <c r="BV1699"/>
      <c r="BW1699"/>
      <c r="BX1699"/>
      <c r="BY1699"/>
      <c r="BZ1699"/>
      <c r="CA1699"/>
      <c r="CB1699"/>
      <c r="CC1699"/>
      <c r="CD1699"/>
      <c r="CE1699"/>
      <c r="CF1699"/>
      <c r="CG1699"/>
      <c r="CH1699"/>
      <c r="CI1699"/>
      <c r="CJ1699"/>
      <c r="CK1699"/>
      <c r="CL1699"/>
      <c r="CM1699"/>
      <c r="CN1699"/>
      <c r="CO1699"/>
      <c r="CP1699"/>
      <c r="CQ1699"/>
      <c r="CR1699"/>
      <c r="CS1699"/>
      <c r="CT1699"/>
      <c r="CU1699"/>
      <c r="CV1699"/>
      <c r="CW1699"/>
      <c r="CX1699"/>
      <c r="CY1699"/>
      <c r="CZ1699"/>
      <c r="DA1699"/>
      <c r="DB1699"/>
      <c r="DC1699"/>
      <c r="DD1699"/>
      <c r="DE1699"/>
      <c r="DF1699"/>
      <c r="DG1699"/>
      <c r="DH1699"/>
      <c r="DI1699"/>
      <c r="DJ1699"/>
      <c r="DK1699"/>
      <c r="DL1699"/>
      <c r="DM1699"/>
      <c r="DN1699"/>
      <c r="DO1699"/>
      <c r="DP1699"/>
      <c r="DQ1699"/>
      <c r="DR1699"/>
      <c r="DS1699"/>
      <c r="DT1699"/>
      <c r="DU1699"/>
      <c r="DV1699"/>
      <c r="DW1699"/>
      <c r="DX1699"/>
      <c r="DY1699"/>
      <c r="DZ1699"/>
      <c r="EA1699"/>
      <c r="EB1699"/>
      <c r="EC1699"/>
      <c r="ED1699"/>
      <c r="EE1699"/>
      <c r="EF1699"/>
      <c r="EG1699"/>
      <c r="EH1699"/>
      <c r="EI1699"/>
      <c r="EJ1699"/>
      <c r="EK1699"/>
      <c r="EL1699"/>
      <c r="EM1699"/>
      <c r="EN1699"/>
      <c r="EO1699"/>
      <c r="EP1699"/>
      <c r="EQ1699"/>
      <c r="ER1699"/>
      <c r="ES1699"/>
    </row>
    <row r="1700" spans="1:149">
      <c r="A1700"/>
      <c r="B1700"/>
      <c r="C1700"/>
      <c r="D1700"/>
      <c r="E1700"/>
      <c r="F1700"/>
      <c r="G1700"/>
      <c r="H1700"/>
      <c r="I1700"/>
      <c r="J1700"/>
      <c r="K1700"/>
      <c r="L1700"/>
      <c r="M1700"/>
      <c r="N1700"/>
      <c r="O1700"/>
      <c r="P1700"/>
      <c r="Q1700"/>
      <c r="R1700"/>
      <c r="S1700"/>
      <c r="T1700"/>
      <c r="U1700"/>
      <c r="V1700"/>
      <c r="W1700"/>
      <c r="X1700"/>
      <c r="Y1700"/>
      <c r="Z1700"/>
      <c r="AA1700"/>
      <c r="AB1700"/>
      <c r="AC1700"/>
      <c r="AD1700"/>
      <c r="AE1700"/>
      <c r="AF1700"/>
      <c r="AG1700"/>
      <c r="AH1700"/>
      <c r="AI1700"/>
      <c r="AJ1700"/>
      <c r="AK1700"/>
      <c r="AL1700"/>
      <c r="AM1700"/>
      <c r="AN1700"/>
      <c r="AO1700"/>
      <c r="AP1700"/>
      <c r="AQ1700"/>
      <c r="AR1700"/>
      <c r="AS1700"/>
      <c r="AT1700"/>
      <c r="AU1700"/>
      <c r="AV1700"/>
      <c r="AW1700"/>
      <c r="AX1700"/>
      <c r="AY1700"/>
      <c r="AZ1700"/>
      <c r="BA1700"/>
      <c r="BB1700"/>
      <c r="BC1700"/>
      <c r="BD1700"/>
      <c r="BE1700"/>
      <c r="BF1700"/>
      <c r="BG1700"/>
      <c r="BH1700"/>
      <c r="BI1700"/>
      <c r="BJ1700"/>
      <c r="BK1700"/>
      <c r="BL1700"/>
      <c r="BM1700"/>
      <c r="BN1700"/>
      <c r="BO1700"/>
      <c r="BP1700"/>
      <c r="BQ1700"/>
      <c r="BR1700"/>
      <c r="BS1700"/>
      <c r="BT1700"/>
      <c r="BU1700"/>
      <c r="BV1700"/>
      <c r="BW1700"/>
      <c r="BX1700"/>
      <c r="BY1700"/>
      <c r="BZ1700"/>
      <c r="CA1700"/>
      <c r="CB1700"/>
      <c r="CC1700"/>
      <c r="CD1700"/>
      <c r="CE1700"/>
      <c r="CF1700"/>
      <c r="CG1700"/>
      <c r="CH1700"/>
      <c r="CI1700"/>
      <c r="CJ1700"/>
      <c r="CK1700"/>
      <c r="CL1700"/>
      <c r="CM1700"/>
      <c r="CN1700"/>
      <c r="CO1700"/>
      <c r="CP1700"/>
      <c r="CQ1700"/>
      <c r="CR1700"/>
      <c r="CS1700"/>
      <c r="CT1700"/>
      <c r="CU1700"/>
      <c r="CV1700"/>
      <c r="CW1700"/>
      <c r="CX1700"/>
      <c r="CY1700"/>
      <c r="CZ1700"/>
      <c r="DA1700"/>
      <c r="DB1700"/>
      <c r="DC1700"/>
      <c r="DD1700"/>
      <c r="DE1700"/>
      <c r="DF1700"/>
      <c r="DG1700"/>
      <c r="DH1700"/>
      <c r="DI1700"/>
      <c r="DJ1700"/>
      <c r="DK1700"/>
      <c r="DL1700"/>
      <c r="DM1700"/>
      <c r="DN1700"/>
      <c r="DO1700"/>
      <c r="DP1700"/>
      <c r="DQ1700"/>
      <c r="DR1700"/>
      <c r="DS1700"/>
      <c r="DT1700"/>
      <c r="DU1700"/>
      <c r="DV1700"/>
      <c r="DW1700"/>
      <c r="DX1700"/>
      <c r="DY1700"/>
      <c r="DZ1700"/>
      <c r="EA1700"/>
      <c r="EB1700"/>
      <c r="EC1700"/>
      <c r="ED1700"/>
      <c r="EE1700"/>
      <c r="EF1700"/>
      <c r="EG1700"/>
      <c r="EH1700"/>
      <c r="EI1700"/>
      <c r="EJ1700"/>
      <c r="EK1700"/>
      <c r="EL1700"/>
      <c r="EM1700"/>
      <c r="EN1700"/>
      <c r="EO1700"/>
      <c r="EP1700"/>
      <c r="EQ1700"/>
      <c r="ER1700"/>
      <c r="ES1700"/>
    </row>
    <row r="1701" spans="1:149">
      <c r="A1701"/>
      <c r="B1701"/>
      <c r="C1701"/>
      <c r="D1701"/>
      <c r="E1701"/>
      <c r="F1701"/>
      <c r="G1701"/>
      <c r="H1701"/>
      <c r="I1701"/>
      <c r="J1701"/>
      <c r="K1701"/>
      <c r="L1701"/>
      <c r="M1701"/>
      <c r="N1701"/>
      <c r="O1701"/>
      <c r="P1701"/>
      <c r="Q1701"/>
      <c r="R1701"/>
      <c r="S1701"/>
      <c r="T1701"/>
      <c r="U1701"/>
      <c r="V1701"/>
      <c r="W1701"/>
      <c r="X1701"/>
      <c r="Y1701"/>
      <c r="Z1701"/>
      <c r="AA1701"/>
      <c r="AB1701"/>
      <c r="AC1701"/>
      <c r="AD1701"/>
      <c r="AE1701"/>
      <c r="AF1701"/>
      <c r="AG1701"/>
      <c r="AH1701"/>
      <c r="AI1701"/>
      <c r="AJ1701"/>
      <c r="AK1701"/>
      <c r="AL1701"/>
      <c r="AM1701"/>
      <c r="AN1701"/>
      <c r="AO1701"/>
      <c r="AP1701"/>
      <c r="AQ1701"/>
      <c r="AR1701"/>
      <c r="AS1701"/>
      <c r="AT1701"/>
      <c r="AU1701"/>
      <c r="AV1701"/>
      <c r="AW1701"/>
      <c r="AX1701"/>
      <c r="AY1701"/>
      <c r="AZ1701"/>
      <c r="BA1701"/>
      <c r="BB1701"/>
      <c r="BC1701"/>
      <c r="BD1701"/>
      <c r="BE1701"/>
      <c r="BF1701"/>
      <c r="BG1701"/>
      <c r="BH1701"/>
      <c r="BI1701"/>
      <c r="BJ1701"/>
      <c r="BK1701"/>
      <c r="BL1701"/>
      <c r="BM1701"/>
      <c r="BN1701"/>
      <c r="BO1701"/>
      <c r="BP1701"/>
      <c r="BQ1701"/>
      <c r="BR1701"/>
      <c r="BS1701"/>
      <c r="BT1701"/>
      <c r="BU1701"/>
      <c r="BV1701"/>
      <c r="BW1701"/>
      <c r="BX1701"/>
      <c r="BY1701"/>
      <c r="BZ1701"/>
      <c r="CA1701"/>
      <c r="CB1701"/>
      <c r="CC1701"/>
      <c r="CD1701"/>
      <c r="CE1701"/>
      <c r="CF1701"/>
      <c r="CG1701"/>
      <c r="CH1701"/>
      <c r="CI1701"/>
      <c r="CJ1701"/>
      <c r="CK1701"/>
      <c r="CL1701"/>
      <c r="CM1701"/>
      <c r="CN1701"/>
      <c r="CO1701"/>
      <c r="CP1701"/>
      <c r="CQ1701"/>
      <c r="CR1701"/>
      <c r="CS1701"/>
      <c r="CT1701"/>
      <c r="CU1701"/>
      <c r="CV1701"/>
      <c r="CW1701"/>
      <c r="CX1701"/>
      <c r="CY1701"/>
      <c r="CZ1701"/>
      <c r="DA1701"/>
      <c r="DB1701"/>
      <c r="DC1701"/>
      <c r="DD1701"/>
      <c r="DE1701"/>
      <c r="DF1701"/>
      <c r="DG1701"/>
      <c r="DH1701"/>
      <c r="DI1701"/>
      <c r="DJ1701"/>
      <c r="DK1701"/>
      <c r="DL1701"/>
      <c r="DM1701"/>
      <c r="DN1701"/>
      <c r="DO1701"/>
      <c r="DP1701"/>
      <c r="DQ1701"/>
      <c r="DR1701"/>
      <c r="DS1701"/>
      <c r="DT1701"/>
      <c r="DU1701"/>
      <c r="DV1701"/>
      <c r="DW1701"/>
      <c r="DX1701"/>
      <c r="DY1701"/>
      <c r="DZ1701"/>
      <c r="EA1701"/>
      <c r="EB1701"/>
      <c r="EC1701"/>
      <c r="ED1701"/>
      <c r="EE1701"/>
      <c r="EF1701"/>
      <c r="EG1701"/>
      <c r="EH1701"/>
      <c r="EI1701"/>
      <c r="EJ1701"/>
      <c r="EK1701"/>
      <c r="EL1701"/>
      <c r="EM1701"/>
      <c r="EN1701"/>
      <c r="EO1701"/>
      <c r="EP1701"/>
      <c r="EQ1701"/>
      <c r="ER1701"/>
      <c r="ES1701"/>
    </row>
    <row r="1702" spans="1:149">
      <c r="A1702"/>
      <c r="B1702"/>
      <c r="C1702"/>
      <c r="D1702"/>
      <c r="E1702"/>
      <c r="F1702"/>
      <c r="G1702"/>
      <c r="H1702"/>
      <c r="I1702"/>
      <c r="J1702"/>
      <c r="K1702"/>
      <c r="L1702"/>
      <c r="M1702"/>
      <c r="N1702"/>
      <c r="O1702"/>
      <c r="P1702"/>
      <c r="Q1702"/>
      <c r="R1702"/>
      <c r="S1702"/>
      <c r="T1702"/>
      <c r="U1702"/>
      <c r="V1702"/>
      <c r="W1702"/>
      <c r="X1702"/>
      <c r="Y1702"/>
      <c r="Z1702"/>
      <c r="AA1702"/>
      <c r="AB1702"/>
      <c r="AC1702"/>
      <c r="AD1702"/>
      <c r="AE1702"/>
      <c r="AF1702"/>
      <c r="AG1702"/>
      <c r="AH1702"/>
      <c r="AI1702"/>
      <c r="AJ1702"/>
      <c r="AK1702"/>
      <c r="AL1702"/>
      <c r="AM1702"/>
      <c r="AN1702"/>
      <c r="AO1702"/>
      <c r="AP1702"/>
      <c r="AQ1702"/>
      <c r="AR1702"/>
      <c r="AS1702"/>
      <c r="AT1702"/>
      <c r="AU1702"/>
      <c r="AV1702"/>
      <c r="AW1702"/>
      <c r="AX1702"/>
      <c r="AY1702"/>
      <c r="AZ1702"/>
      <c r="BA1702"/>
      <c r="BB1702"/>
      <c r="BC1702"/>
      <c r="BD1702"/>
      <c r="BE1702"/>
      <c r="BF1702"/>
      <c r="BG1702"/>
      <c r="BH1702"/>
      <c r="BI1702"/>
      <c r="BJ1702"/>
      <c r="BK1702"/>
      <c r="BL1702"/>
      <c r="BM1702"/>
      <c r="BN1702"/>
      <c r="BO1702"/>
      <c r="BP1702"/>
      <c r="BQ1702"/>
      <c r="BR1702"/>
      <c r="BS1702"/>
      <c r="BT1702"/>
      <c r="BU1702"/>
      <c r="BV1702"/>
      <c r="BW1702"/>
      <c r="BX1702"/>
      <c r="BY1702"/>
      <c r="BZ1702"/>
      <c r="CA1702"/>
      <c r="CB1702"/>
      <c r="CC1702"/>
      <c r="CD1702"/>
      <c r="CE1702"/>
      <c r="CF1702"/>
      <c r="CG1702"/>
      <c r="CH1702"/>
      <c r="CI1702"/>
      <c r="CJ1702"/>
      <c r="CK1702"/>
      <c r="CL1702"/>
      <c r="CM1702"/>
      <c r="CN1702"/>
      <c r="CO1702"/>
      <c r="CP1702"/>
      <c r="CQ1702"/>
      <c r="CR1702"/>
      <c r="CS1702"/>
      <c r="CT1702"/>
      <c r="CU1702"/>
      <c r="CV1702"/>
      <c r="CW1702"/>
      <c r="CX1702"/>
      <c r="CY1702"/>
      <c r="CZ1702"/>
      <c r="DA1702"/>
      <c r="DB1702"/>
      <c r="DC1702"/>
      <c r="DD1702"/>
      <c r="DE1702"/>
      <c r="DF1702"/>
      <c r="DG1702"/>
      <c r="DH1702"/>
      <c r="DI1702"/>
      <c r="DJ1702"/>
      <c r="DK1702"/>
      <c r="DL1702"/>
      <c r="DM1702"/>
      <c r="DN1702"/>
      <c r="DO1702"/>
      <c r="DP1702"/>
      <c r="DQ1702"/>
      <c r="DR1702"/>
      <c r="DS1702"/>
      <c r="DT1702"/>
      <c r="DU1702"/>
      <c r="DV1702"/>
      <c r="DW1702"/>
      <c r="DX1702"/>
      <c r="DY1702"/>
      <c r="DZ1702"/>
      <c r="EA1702"/>
      <c r="EB1702"/>
      <c r="EC1702"/>
      <c r="ED1702"/>
      <c r="EE1702"/>
      <c r="EF1702"/>
      <c r="EG1702"/>
      <c r="EH1702"/>
      <c r="EI1702"/>
      <c r="EJ1702"/>
      <c r="EK1702"/>
      <c r="EL1702"/>
      <c r="EM1702"/>
      <c r="EN1702"/>
      <c r="EO1702"/>
      <c r="EP1702"/>
      <c r="EQ1702"/>
      <c r="ER1702"/>
      <c r="ES1702"/>
    </row>
    <row r="1703" spans="1:149">
      <c r="A1703"/>
      <c r="B1703"/>
      <c r="C1703"/>
      <c r="D1703"/>
      <c r="E1703"/>
      <c r="F1703"/>
      <c r="G1703"/>
      <c r="H1703"/>
      <c r="I1703"/>
      <c r="J1703"/>
      <c r="K1703"/>
      <c r="L1703"/>
      <c r="M1703"/>
      <c r="N1703"/>
      <c r="O1703"/>
      <c r="P1703"/>
      <c r="Q1703"/>
      <c r="R1703"/>
      <c r="S1703"/>
      <c r="T1703"/>
      <c r="U1703"/>
      <c r="V1703"/>
      <c r="W1703"/>
      <c r="X1703"/>
      <c r="Y1703"/>
      <c r="Z1703"/>
      <c r="AA1703"/>
      <c r="AB1703"/>
      <c r="AC1703"/>
      <c r="AD1703"/>
      <c r="AE1703"/>
      <c r="AF1703"/>
      <c r="AG1703"/>
      <c r="AH1703"/>
      <c r="AI1703"/>
      <c r="AJ1703"/>
      <c r="AK1703"/>
      <c r="AL1703"/>
      <c r="AM1703"/>
      <c r="AN1703"/>
      <c r="AO1703"/>
      <c r="AP1703"/>
      <c r="AQ1703"/>
      <c r="AR1703"/>
      <c r="AS1703"/>
      <c r="AT1703"/>
      <c r="AU1703"/>
      <c r="AV1703"/>
      <c r="AW1703"/>
      <c r="AX1703"/>
      <c r="AY1703"/>
      <c r="AZ1703"/>
      <c r="BA1703"/>
      <c r="BB1703"/>
      <c r="BC1703"/>
      <c r="BD1703"/>
      <c r="BE1703"/>
      <c r="BF1703"/>
      <c r="BG1703"/>
      <c r="BH1703"/>
      <c r="BI1703"/>
      <c r="BJ1703"/>
      <c r="BK1703"/>
      <c r="BL1703"/>
      <c r="BM1703"/>
      <c r="BN1703"/>
      <c r="BO1703"/>
      <c r="BP1703"/>
      <c r="BQ1703"/>
      <c r="BR1703"/>
      <c r="BS1703"/>
      <c r="BT1703"/>
      <c r="BU1703"/>
      <c r="BV1703"/>
      <c r="BW1703"/>
      <c r="BX1703"/>
      <c r="BY1703"/>
      <c r="BZ1703"/>
      <c r="CA1703"/>
      <c r="CB1703"/>
      <c r="CC1703"/>
      <c r="CD1703"/>
      <c r="CE1703"/>
      <c r="CF1703"/>
      <c r="CG1703"/>
      <c r="CH1703"/>
      <c r="CI1703"/>
      <c r="CJ1703"/>
      <c r="CK1703"/>
      <c r="CL1703"/>
      <c r="CM1703"/>
      <c r="CN1703"/>
      <c r="CO1703"/>
      <c r="CP1703"/>
      <c r="CQ1703"/>
      <c r="CR1703"/>
      <c r="CS1703"/>
      <c r="CT1703"/>
      <c r="CU1703"/>
      <c r="CV1703"/>
      <c r="CW1703"/>
      <c r="CX1703"/>
      <c r="CY1703"/>
      <c r="CZ1703"/>
      <c r="DA1703"/>
      <c r="DB1703"/>
      <c r="DC1703"/>
      <c r="DD1703"/>
      <c r="DE1703"/>
      <c r="DF1703"/>
      <c r="DG1703"/>
      <c r="DH1703"/>
      <c r="DI1703"/>
      <c r="DJ1703"/>
      <c r="DK1703"/>
      <c r="DL1703"/>
      <c r="DM1703"/>
      <c r="DN1703"/>
      <c r="DO1703"/>
      <c r="DP1703"/>
      <c r="DQ1703"/>
      <c r="DR1703"/>
      <c r="DS1703"/>
      <c r="DT1703"/>
      <c r="DU1703"/>
      <c r="DV1703"/>
      <c r="DW1703"/>
      <c r="DX1703"/>
      <c r="DY1703"/>
      <c r="DZ1703"/>
      <c r="EA1703"/>
      <c r="EB1703"/>
      <c r="EC1703"/>
      <c r="ED1703"/>
      <c r="EE1703"/>
      <c r="EF1703"/>
      <c r="EG1703"/>
      <c r="EH1703"/>
      <c r="EI1703"/>
      <c r="EJ1703"/>
      <c r="EK1703"/>
      <c r="EL1703"/>
      <c r="EM1703"/>
      <c r="EN1703"/>
      <c r="EO1703"/>
      <c r="EP1703"/>
      <c r="EQ1703"/>
      <c r="ER1703"/>
      <c r="ES1703"/>
    </row>
    <row r="1704" spans="1:149">
      <c r="A1704"/>
      <c r="B1704"/>
      <c r="C1704"/>
      <c r="D1704"/>
      <c r="E1704"/>
      <c r="F1704"/>
      <c r="G1704"/>
      <c r="H1704"/>
      <c r="I1704"/>
      <c r="J1704"/>
      <c r="K1704"/>
      <c r="L1704"/>
      <c r="M1704"/>
      <c r="N1704"/>
      <c r="O1704"/>
      <c r="P1704"/>
      <c r="Q1704"/>
      <c r="R1704"/>
      <c r="S1704"/>
      <c r="T1704"/>
      <c r="U1704"/>
      <c r="V1704"/>
      <c r="W1704"/>
      <c r="X1704"/>
      <c r="Y1704"/>
      <c r="Z1704"/>
      <c r="AA1704"/>
      <c r="AB1704"/>
      <c r="AC1704"/>
      <c r="AD1704"/>
      <c r="AE1704"/>
      <c r="AF1704"/>
      <c r="AG1704"/>
      <c r="AH1704"/>
      <c r="AI1704"/>
      <c r="AJ1704"/>
      <c r="AK1704"/>
      <c r="AL1704"/>
      <c r="AM1704"/>
      <c r="AN1704"/>
      <c r="AO1704"/>
      <c r="AP1704"/>
      <c r="AQ1704"/>
      <c r="AR1704"/>
      <c r="AS1704"/>
      <c r="AT1704"/>
      <c r="AU1704"/>
      <c r="AV1704"/>
      <c r="AW1704"/>
      <c r="AX1704"/>
      <c r="AY1704"/>
      <c r="AZ1704"/>
      <c r="BA1704"/>
      <c r="BB1704"/>
      <c r="BC1704"/>
      <c r="BD1704"/>
      <c r="BE1704"/>
      <c r="BF1704"/>
      <c r="BG1704"/>
      <c r="BH1704"/>
      <c r="BI1704"/>
      <c r="BJ1704"/>
      <c r="BK1704"/>
      <c r="BL1704"/>
      <c r="BM1704"/>
      <c r="BN1704"/>
      <c r="BO1704"/>
      <c r="BP1704"/>
      <c r="BQ1704"/>
      <c r="BR1704"/>
      <c r="BS1704"/>
      <c r="BT1704"/>
      <c r="BU1704"/>
      <c r="BV1704"/>
      <c r="BW1704"/>
      <c r="BX1704"/>
      <c r="BY1704"/>
      <c r="BZ1704"/>
      <c r="CA1704"/>
      <c r="CB1704"/>
      <c r="CC1704"/>
      <c r="CD1704"/>
      <c r="CE1704"/>
      <c r="CF1704"/>
      <c r="CG1704"/>
      <c r="CH1704"/>
      <c r="CI1704"/>
      <c r="CJ1704"/>
      <c r="CK1704"/>
      <c r="CL1704"/>
      <c r="CM1704"/>
      <c r="CN1704"/>
      <c r="CO1704"/>
      <c r="CP1704"/>
      <c r="CQ1704"/>
      <c r="CR1704"/>
      <c r="CS1704"/>
      <c r="CT1704"/>
      <c r="CU1704"/>
      <c r="CV1704"/>
      <c r="CW1704"/>
      <c r="CX1704"/>
      <c r="CY1704"/>
      <c r="CZ1704"/>
      <c r="DA1704"/>
      <c r="DB1704"/>
      <c r="DC1704"/>
      <c r="DD1704"/>
      <c r="DE1704"/>
      <c r="DF1704"/>
      <c r="DG1704"/>
      <c r="DH1704"/>
      <c r="DI1704"/>
      <c r="DJ1704"/>
      <c r="DK1704"/>
      <c r="DL1704"/>
      <c r="DM1704"/>
      <c r="DN1704"/>
      <c r="DO1704"/>
      <c r="DP1704"/>
      <c r="DQ1704"/>
      <c r="DR1704"/>
      <c r="DS1704"/>
      <c r="DT1704"/>
      <c r="DU1704"/>
      <c r="DV1704"/>
      <c r="DW1704"/>
      <c r="DX1704"/>
      <c r="DY1704"/>
      <c r="DZ1704"/>
      <c r="EA1704"/>
      <c r="EB1704"/>
      <c r="EC1704"/>
      <c r="ED1704"/>
      <c r="EE1704"/>
      <c r="EF1704"/>
      <c r="EG1704"/>
      <c r="EH1704"/>
      <c r="EI1704"/>
      <c r="EJ1704"/>
      <c r="EK1704"/>
      <c r="EL1704"/>
      <c r="EM1704"/>
      <c r="EN1704"/>
      <c r="EO1704"/>
      <c r="EP1704"/>
      <c r="EQ1704"/>
      <c r="ER1704"/>
      <c r="ES1704"/>
    </row>
    <row r="1705" spans="1:149">
      <c r="A1705"/>
      <c r="B1705"/>
      <c r="C1705"/>
      <c r="D1705"/>
      <c r="E1705"/>
      <c r="F1705"/>
      <c r="G1705"/>
      <c r="H1705"/>
      <c r="I1705"/>
      <c r="J1705"/>
      <c r="K1705"/>
      <c r="L1705"/>
      <c r="M1705"/>
      <c r="N1705"/>
      <c r="O1705"/>
      <c r="P1705"/>
      <c r="Q1705"/>
      <c r="R1705"/>
      <c r="S1705"/>
      <c r="T1705"/>
      <c r="U1705"/>
      <c r="V1705"/>
      <c r="W1705"/>
      <c r="X1705"/>
      <c r="Y1705"/>
      <c r="Z1705"/>
      <c r="AA1705"/>
      <c r="AB1705"/>
      <c r="AC1705"/>
      <c r="AD1705"/>
      <c r="AE1705"/>
      <c r="AF1705"/>
      <c r="AG1705"/>
      <c r="AH1705"/>
      <c r="AI1705"/>
      <c r="AJ1705"/>
      <c r="AK1705"/>
      <c r="AL1705"/>
      <c r="AM1705"/>
      <c r="AN1705"/>
      <c r="AO1705"/>
      <c r="AP1705"/>
      <c r="AQ1705"/>
      <c r="AR1705"/>
      <c r="AS1705"/>
      <c r="AT1705"/>
      <c r="AU1705"/>
      <c r="AV1705"/>
      <c r="AW1705"/>
      <c r="AX1705"/>
      <c r="AY1705"/>
      <c r="AZ1705"/>
      <c r="BA1705"/>
      <c r="BB1705"/>
      <c r="BC1705"/>
      <c r="BD1705"/>
      <c r="BE1705"/>
      <c r="BF1705"/>
      <c r="BG1705"/>
      <c r="BH1705"/>
      <c r="BI1705"/>
      <c r="BJ1705"/>
      <c r="BK1705"/>
      <c r="BL1705"/>
      <c r="BM1705"/>
      <c r="BN1705"/>
      <c r="BO1705"/>
      <c r="BP1705"/>
      <c r="BQ1705"/>
      <c r="BR1705"/>
      <c r="BS1705"/>
      <c r="BT1705"/>
      <c r="BU1705"/>
      <c r="BV1705"/>
      <c r="BW1705"/>
      <c r="BX1705"/>
      <c r="BY1705"/>
      <c r="BZ1705"/>
      <c r="CA1705"/>
      <c r="CB1705"/>
      <c r="CC1705"/>
      <c r="CD1705"/>
      <c r="CE1705"/>
      <c r="CF1705"/>
      <c r="CG1705"/>
      <c r="CH1705"/>
      <c r="CI1705"/>
      <c r="CJ1705"/>
      <c r="CK1705"/>
      <c r="CL1705"/>
      <c r="CM1705"/>
      <c r="CN1705"/>
      <c r="CO1705"/>
      <c r="CP1705"/>
      <c r="CQ1705"/>
      <c r="CR1705"/>
      <c r="CS1705"/>
      <c r="CT1705"/>
      <c r="CU1705"/>
      <c r="CV1705"/>
      <c r="CW1705"/>
      <c r="CX1705"/>
      <c r="CY1705"/>
      <c r="CZ1705"/>
      <c r="DA1705"/>
      <c r="DB1705"/>
      <c r="DC1705"/>
      <c r="DD1705"/>
      <c r="DE1705"/>
      <c r="DF1705"/>
      <c r="DG1705"/>
      <c r="DH1705"/>
      <c r="DI1705"/>
      <c r="DJ1705"/>
      <c r="DK1705"/>
      <c r="DL1705"/>
      <c r="DM1705"/>
      <c r="DN1705"/>
      <c r="DO1705"/>
      <c r="DP1705"/>
      <c r="DQ1705"/>
      <c r="DR1705"/>
      <c r="DS1705"/>
      <c r="DT1705"/>
      <c r="DU1705"/>
      <c r="DV1705"/>
      <c r="DW1705"/>
      <c r="DX1705"/>
      <c r="DY1705"/>
      <c r="DZ1705"/>
      <c r="EA1705"/>
      <c r="EB1705"/>
      <c r="EC1705"/>
      <c r="ED1705"/>
      <c r="EE1705"/>
      <c r="EF1705"/>
      <c r="EG1705"/>
      <c r="EH1705"/>
      <c r="EI1705"/>
      <c r="EJ1705"/>
      <c r="EK1705"/>
      <c r="EL1705"/>
      <c r="EM1705"/>
      <c r="EN1705"/>
      <c r="EO1705"/>
      <c r="EP1705"/>
      <c r="EQ1705"/>
      <c r="ER1705"/>
      <c r="ES1705"/>
    </row>
    <row r="1706" spans="1:149">
      <c r="A1706"/>
      <c r="B1706"/>
      <c r="C1706"/>
      <c r="D1706"/>
      <c r="E1706"/>
      <c r="F1706"/>
      <c r="G1706"/>
      <c r="H1706"/>
      <c r="I1706"/>
      <c r="J1706"/>
      <c r="K1706"/>
      <c r="L1706"/>
      <c r="M1706"/>
      <c r="N1706"/>
      <c r="O1706"/>
      <c r="P1706"/>
      <c r="Q1706"/>
      <c r="R1706"/>
      <c r="S1706"/>
      <c r="T1706"/>
      <c r="U1706"/>
      <c r="V1706"/>
      <c r="W1706"/>
      <c r="X1706"/>
      <c r="Y1706"/>
      <c r="Z1706"/>
      <c r="AA1706"/>
      <c r="AB1706"/>
      <c r="AC1706"/>
      <c r="AD1706"/>
      <c r="AE1706"/>
      <c r="AF1706"/>
      <c r="AG1706"/>
      <c r="AH1706"/>
      <c r="AI1706"/>
      <c r="AJ1706"/>
      <c r="AK1706"/>
      <c r="AL1706"/>
      <c r="AM1706"/>
      <c r="AN1706"/>
      <c r="AO1706"/>
      <c r="AP1706"/>
      <c r="AQ1706"/>
      <c r="AR1706"/>
      <c r="AS1706"/>
      <c r="AT1706"/>
      <c r="AU1706"/>
      <c r="AV1706"/>
      <c r="AW1706"/>
      <c r="AX1706"/>
      <c r="AY1706"/>
      <c r="AZ1706"/>
      <c r="BA1706"/>
      <c r="BB1706"/>
      <c r="BC1706"/>
      <c r="BD1706"/>
      <c r="BE1706"/>
      <c r="BF1706"/>
      <c r="BG1706"/>
      <c r="BH1706"/>
      <c r="BI1706"/>
      <c r="BJ1706"/>
      <c r="BK1706"/>
      <c r="BL1706"/>
      <c r="BM1706"/>
      <c r="BN1706"/>
      <c r="BO1706"/>
      <c r="BP1706"/>
      <c r="BQ1706"/>
      <c r="BR1706"/>
      <c r="BS1706"/>
      <c r="BT1706"/>
      <c r="BU1706"/>
      <c r="BV1706"/>
      <c r="BW1706"/>
      <c r="BX1706"/>
      <c r="BY1706"/>
      <c r="BZ1706"/>
      <c r="CA1706"/>
      <c r="CB1706"/>
      <c r="CC1706"/>
      <c r="CD1706"/>
      <c r="CE1706"/>
      <c r="CF1706"/>
      <c r="CG1706"/>
      <c r="CH1706"/>
      <c r="CI1706"/>
      <c r="CJ1706"/>
      <c r="CK1706"/>
      <c r="CL1706"/>
      <c r="CM1706"/>
      <c r="CN1706"/>
      <c r="CO1706"/>
      <c r="CP1706"/>
      <c r="CQ1706"/>
      <c r="CR1706"/>
      <c r="CS1706"/>
      <c r="CT1706"/>
      <c r="CU1706"/>
      <c r="CV1706"/>
      <c r="CW1706"/>
      <c r="CX1706"/>
      <c r="CY1706"/>
      <c r="CZ1706"/>
      <c r="DA1706"/>
      <c r="DB1706"/>
      <c r="DC1706"/>
      <c r="DD1706"/>
      <c r="DE1706"/>
      <c r="DF1706"/>
      <c r="DG1706"/>
      <c r="DH1706"/>
      <c r="DI1706"/>
      <c r="DJ1706"/>
      <c r="DK1706"/>
      <c r="DL1706"/>
      <c r="DM1706"/>
      <c r="DN1706"/>
      <c r="DO1706"/>
      <c r="DP1706"/>
      <c r="DQ1706"/>
      <c r="DR1706"/>
      <c r="DS1706"/>
      <c r="DT1706"/>
      <c r="DU1706"/>
      <c r="DV1706"/>
      <c r="DW1706"/>
      <c r="DX1706"/>
      <c r="DY1706"/>
      <c r="DZ1706"/>
      <c r="EA1706"/>
      <c r="EB1706"/>
      <c r="EC1706"/>
      <c r="ED1706"/>
      <c r="EE1706"/>
      <c r="EF1706"/>
      <c r="EG1706"/>
      <c r="EH1706"/>
      <c r="EI1706"/>
      <c r="EJ1706"/>
      <c r="EK1706"/>
      <c r="EL1706"/>
      <c r="EM1706"/>
      <c r="EN1706"/>
      <c r="EO1706"/>
      <c r="EP1706"/>
      <c r="EQ1706"/>
      <c r="ER1706"/>
      <c r="ES1706"/>
    </row>
    <row r="1707" spans="1:149">
      <c r="A1707"/>
      <c r="B1707"/>
      <c r="C1707"/>
      <c r="D1707"/>
      <c r="E1707"/>
      <c r="F1707"/>
      <c r="G1707"/>
      <c r="H1707"/>
      <c r="I1707"/>
      <c r="J1707"/>
      <c r="K1707"/>
      <c r="L1707"/>
      <c r="M1707"/>
      <c r="N1707"/>
      <c r="O1707"/>
      <c r="P1707"/>
      <c r="Q1707"/>
      <c r="R1707"/>
      <c r="S1707"/>
      <c r="T1707"/>
      <c r="U1707"/>
      <c r="V1707"/>
      <c r="W1707"/>
      <c r="X1707"/>
      <c r="Y1707"/>
      <c r="Z1707"/>
      <c r="AA1707"/>
      <c r="AB1707"/>
      <c r="AC1707"/>
      <c r="AD1707"/>
      <c r="AE1707"/>
      <c r="AF1707"/>
      <c r="AG1707"/>
      <c r="AH1707"/>
      <c r="AI1707"/>
      <c r="AJ1707"/>
      <c r="AK1707"/>
      <c r="AL1707"/>
      <c r="AM1707"/>
      <c r="AN1707"/>
      <c r="AO1707"/>
      <c r="AP1707"/>
      <c r="AQ1707"/>
      <c r="AR1707"/>
      <c r="AS1707"/>
      <c r="AT1707"/>
      <c r="AU1707"/>
      <c r="AV1707"/>
      <c r="AW1707"/>
      <c r="AX1707"/>
      <c r="AY1707"/>
      <c r="AZ1707"/>
      <c r="BA1707"/>
      <c r="BB1707"/>
      <c r="BC1707"/>
      <c r="BD1707"/>
      <c r="BE1707"/>
      <c r="BF1707"/>
      <c r="BG1707"/>
      <c r="BH1707"/>
      <c r="BI1707"/>
      <c r="BJ1707"/>
      <c r="BK1707"/>
      <c r="BL1707"/>
      <c r="BM1707"/>
      <c r="BN1707"/>
      <c r="BO1707"/>
      <c r="BP1707"/>
      <c r="BQ1707"/>
      <c r="BR1707"/>
      <c r="BS1707"/>
      <c r="BT1707"/>
      <c r="BU1707"/>
      <c r="BV1707"/>
      <c r="BW1707"/>
      <c r="BX1707"/>
      <c r="BY1707"/>
      <c r="BZ1707"/>
      <c r="CA1707"/>
      <c r="CB1707"/>
      <c r="CC1707"/>
      <c r="CD1707"/>
      <c r="CE1707"/>
      <c r="CF1707"/>
      <c r="CG1707"/>
      <c r="CH1707"/>
      <c r="CI1707"/>
      <c r="CJ1707"/>
      <c r="CK1707"/>
      <c r="CL1707"/>
      <c r="CM1707"/>
      <c r="CN1707"/>
      <c r="CO1707"/>
      <c r="CP1707"/>
      <c r="CQ1707"/>
      <c r="CR1707"/>
      <c r="CS1707"/>
      <c r="CT1707"/>
      <c r="CU1707"/>
      <c r="CV1707"/>
      <c r="CW1707"/>
      <c r="CX1707"/>
      <c r="CY1707"/>
      <c r="CZ1707"/>
      <c r="DA1707"/>
      <c r="DB1707"/>
      <c r="DC1707"/>
      <c r="DD1707"/>
      <c r="DE1707"/>
      <c r="DF1707"/>
      <c r="DG1707"/>
      <c r="DH1707"/>
      <c r="DI1707"/>
      <c r="DJ1707"/>
      <c r="DK1707"/>
      <c r="DL1707"/>
      <c r="DM1707"/>
      <c r="DN1707"/>
      <c r="DO1707"/>
      <c r="DP1707"/>
      <c r="DQ1707"/>
      <c r="DR1707"/>
      <c r="DS1707"/>
      <c r="DT1707"/>
      <c r="DU1707"/>
      <c r="DV1707"/>
      <c r="DW1707"/>
      <c r="DX1707"/>
      <c r="DY1707"/>
      <c r="DZ1707"/>
      <c r="EA1707"/>
      <c r="EB1707"/>
      <c r="EC1707"/>
      <c r="ED1707"/>
      <c r="EE1707"/>
      <c r="EF1707"/>
      <c r="EG1707"/>
      <c r="EH1707"/>
      <c r="EI1707"/>
      <c r="EJ1707"/>
      <c r="EK1707"/>
      <c r="EL1707"/>
      <c r="EM1707"/>
      <c r="EN1707"/>
      <c r="EO1707"/>
      <c r="EP1707"/>
      <c r="EQ1707"/>
      <c r="ER1707"/>
      <c r="ES1707"/>
    </row>
    <row r="1708" spans="1:149">
      <c r="A1708"/>
      <c r="B1708"/>
      <c r="C1708"/>
      <c r="D1708"/>
      <c r="E1708"/>
      <c r="F1708"/>
      <c r="G1708"/>
      <c r="H1708"/>
      <c r="I1708"/>
      <c r="J1708"/>
      <c r="K1708"/>
      <c r="L1708"/>
      <c r="M1708"/>
      <c r="N1708"/>
      <c r="O1708"/>
      <c r="P1708"/>
      <c r="Q1708"/>
      <c r="R1708"/>
      <c r="S1708"/>
      <c r="T1708"/>
      <c r="U1708"/>
      <c r="V1708"/>
      <c r="W1708"/>
      <c r="X1708"/>
      <c r="Y1708"/>
      <c r="Z1708"/>
      <c r="AA1708"/>
      <c r="AB1708"/>
      <c r="AC1708"/>
      <c r="AD1708"/>
      <c r="AE1708"/>
      <c r="AF1708"/>
      <c r="AG1708"/>
      <c r="AH1708"/>
      <c r="AI1708"/>
      <c r="AJ1708"/>
      <c r="AK1708"/>
      <c r="AL1708"/>
      <c r="AM1708"/>
      <c r="AN1708"/>
      <c r="AO1708"/>
      <c r="AP1708"/>
      <c r="AQ1708"/>
      <c r="AR1708"/>
      <c r="AS1708"/>
      <c r="AT1708"/>
      <c r="AU1708"/>
      <c r="AV1708"/>
      <c r="AW1708"/>
      <c r="AX1708"/>
      <c r="AY1708"/>
      <c r="AZ1708"/>
      <c r="BA1708"/>
      <c r="BB1708"/>
      <c r="BC1708"/>
      <c r="BD1708"/>
      <c r="BE1708"/>
      <c r="BF1708"/>
      <c r="BG1708"/>
      <c r="BH1708"/>
      <c r="BI1708"/>
      <c r="BJ1708"/>
      <c r="BK1708"/>
      <c r="BL1708"/>
      <c r="BM1708"/>
      <c r="BN1708"/>
      <c r="BO1708"/>
      <c r="BP1708"/>
      <c r="BQ1708"/>
      <c r="BR1708"/>
      <c r="BS1708"/>
      <c r="BT1708"/>
      <c r="BU1708"/>
      <c r="BV1708"/>
      <c r="BW1708"/>
      <c r="BX1708"/>
      <c r="BY1708"/>
      <c r="BZ1708"/>
      <c r="CA1708"/>
      <c r="CB1708"/>
      <c r="CC1708"/>
      <c r="CD1708"/>
      <c r="CE1708"/>
      <c r="CF1708"/>
      <c r="CG1708"/>
      <c r="CH1708"/>
      <c r="CI1708"/>
      <c r="CJ1708"/>
      <c r="CK1708"/>
      <c r="CL1708"/>
      <c r="CM1708"/>
      <c r="CN1708"/>
      <c r="CO1708"/>
      <c r="CP1708"/>
      <c r="CQ1708"/>
      <c r="CR1708"/>
      <c r="CS1708"/>
      <c r="CT1708"/>
      <c r="CU1708"/>
      <c r="CV1708"/>
      <c r="CW1708"/>
      <c r="CX1708"/>
      <c r="CY1708"/>
      <c r="CZ1708"/>
      <c r="DA1708"/>
      <c r="DB1708"/>
      <c r="DC1708"/>
      <c r="DD1708"/>
      <c r="DE1708"/>
      <c r="DF1708"/>
      <c r="DG1708"/>
      <c r="DH1708"/>
      <c r="DI1708"/>
      <c r="DJ1708"/>
      <c r="DK1708"/>
      <c r="DL1708"/>
      <c r="DM1708"/>
      <c r="DN1708"/>
      <c r="DO1708"/>
      <c r="DP1708"/>
      <c r="DQ1708"/>
      <c r="DR1708"/>
      <c r="DS1708"/>
      <c r="DT1708"/>
      <c r="DU1708"/>
      <c r="DV1708"/>
      <c r="DW1708"/>
      <c r="DX1708"/>
      <c r="DY1708"/>
      <c r="DZ1708"/>
      <c r="EA1708"/>
      <c r="EB1708"/>
      <c r="EC1708"/>
      <c r="ED1708"/>
      <c r="EE1708"/>
      <c r="EF1708"/>
      <c r="EG1708"/>
      <c r="EH1708"/>
      <c r="EI1708"/>
      <c r="EJ1708"/>
      <c r="EK1708"/>
      <c r="EL1708"/>
      <c r="EM1708"/>
      <c r="EN1708"/>
      <c r="EO1708"/>
      <c r="EP1708"/>
      <c r="EQ1708"/>
      <c r="ER1708"/>
      <c r="ES1708"/>
    </row>
    <row r="1709" spans="1:149">
      <c r="A1709"/>
      <c r="B1709"/>
      <c r="C1709"/>
      <c r="D1709"/>
      <c r="E1709"/>
      <c r="F1709"/>
      <c r="G1709"/>
      <c r="H1709"/>
      <c r="I1709"/>
      <c r="J1709"/>
      <c r="K1709"/>
      <c r="L1709"/>
      <c r="M1709"/>
      <c r="N1709"/>
      <c r="O1709"/>
      <c r="P1709"/>
      <c r="Q1709"/>
      <c r="R1709"/>
      <c r="S1709"/>
      <c r="T1709"/>
      <c r="U1709"/>
      <c r="V1709"/>
      <c r="W1709"/>
      <c r="X1709"/>
      <c r="Y1709"/>
      <c r="Z1709"/>
      <c r="AA1709"/>
      <c r="AB1709"/>
      <c r="AC1709"/>
      <c r="AD1709"/>
      <c r="AE1709"/>
      <c r="AF1709"/>
      <c r="AG1709"/>
      <c r="AH1709"/>
      <c r="AI1709"/>
      <c r="AJ1709"/>
      <c r="AK1709"/>
      <c r="AL1709"/>
      <c r="AM1709"/>
      <c r="AN1709"/>
      <c r="AO1709"/>
      <c r="AP1709"/>
      <c r="AQ1709"/>
      <c r="AR1709"/>
      <c r="AS1709"/>
      <c r="AT1709"/>
      <c r="AU1709"/>
      <c r="AV1709"/>
      <c r="AW1709"/>
      <c r="AX1709"/>
      <c r="AY1709"/>
      <c r="AZ1709"/>
      <c r="BA1709"/>
      <c r="BB1709"/>
      <c r="BC1709"/>
      <c r="BD1709"/>
      <c r="BE1709"/>
      <c r="BF1709"/>
      <c r="BG1709"/>
      <c r="BH1709"/>
      <c r="BI1709"/>
      <c r="BJ1709"/>
      <c r="BK1709"/>
      <c r="BL1709"/>
      <c r="BM1709"/>
      <c r="BN1709"/>
      <c r="BO1709"/>
      <c r="BP1709"/>
      <c r="BQ1709"/>
      <c r="BR1709"/>
      <c r="BS1709"/>
      <c r="BT1709"/>
      <c r="BU1709"/>
      <c r="BV1709"/>
      <c r="BW1709"/>
      <c r="BX1709"/>
      <c r="BY1709"/>
      <c r="BZ1709"/>
      <c r="CA1709"/>
      <c r="CB1709"/>
      <c r="CC1709"/>
      <c r="CD1709"/>
      <c r="CE1709"/>
      <c r="CF1709"/>
      <c r="CG1709"/>
      <c r="CH1709"/>
      <c r="CI1709"/>
      <c r="CJ1709"/>
      <c r="CK1709"/>
      <c r="CL1709"/>
      <c r="CM1709"/>
      <c r="CN1709"/>
      <c r="CO1709"/>
      <c r="CP1709"/>
      <c r="CQ1709"/>
      <c r="CR1709"/>
      <c r="CS1709"/>
      <c r="CT1709"/>
      <c r="CU1709"/>
      <c r="CV1709"/>
      <c r="CW1709"/>
      <c r="CX1709"/>
      <c r="CY1709"/>
      <c r="CZ1709"/>
      <c r="DA1709"/>
      <c r="DB1709"/>
      <c r="DC1709"/>
      <c r="DD1709"/>
      <c r="DE1709"/>
      <c r="DF1709"/>
      <c r="DG1709"/>
      <c r="DH1709"/>
      <c r="DI1709"/>
      <c r="DJ1709"/>
      <c r="DK1709"/>
      <c r="DL1709"/>
      <c r="DM1709"/>
      <c r="DN1709"/>
      <c r="DO1709"/>
      <c r="DP1709"/>
      <c r="DQ1709"/>
      <c r="DR1709"/>
      <c r="DS1709"/>
      <c r="DT1709"/>
      <c r="DU1709"/>
      <c r="DV1709"/>
      <c r="DW1709"/>
      <c r="DX1709"/>
      <c r="DY1709"/>
      <c r="DZ1709"/>
      <c r="EA1709"/>
      <c r="EB1709"/>
      <c r="EC1709"/>
      <c r="ED1709"/>
      <c r="EE1709"/>
      <c r="EF1709"/>
      <c r="EG1709"/>
      <c r="EH1709"/>
      <c r="EI1709"/>
      <c r="EJ1709"/>
      <c r="EK1709"/>
      <c r="EL1709"/>
      <c r="EM1709"/>
      <c r="EN1709"/>
      <c r="EO1709"/>
      <c r="EP1709"/>
      <c r="EQ1709"/>
      <c r="ER1709"/>
      <c r="ES1709"/>
    </row>
    <row r="1710" spans="1:149">
      <c r="A1710"/>
      <c r="B1710"/>
      <c r="C1710"/>
      <c r="D1710"/>
      <c r="E1710"/>
      <c r="F1710"/>
      <c r="G1710"/>
      <c r="H1710"/>
      <c r="I1710"/>
      <c r="J1710"/>
      <c r="K1710"/>
      <c r="L1710"/>
      <c r="M1710"/>
      <c r="N1710"/>
      <c r="O1710"/>
      <c r="P1710"/>
      <c r="Q1710"/>
      <c r="R1710"/>
      <c r="S1710"/>
      <c r="T1710"/>
      <c r="U1710"/>
      <c r="V1710"/>
      <c r="W1710"/>
      <c r="X1710"/>
      <c r="Y1710"/>
      <c r="Z1710"/>
      <c r="AA1710"/>
      <c r="AB1710"/>
      <c r="AC1710"/>
      <c r="AD1710"/>
      <c r="AE1710"/>
      <c r="AF1710"/>
      <c r="AG1710"/>
      <c r="AH1710"/>
      <c r="AI1710"/>
      <c r="AJ1710"/>
      <c r="AK1710"/>
      <c r="AL1710"/>
      <c r="AM1710"/>
      <c r="AN1710"/>
      <c r="AO1710"/>
      <c r="AP1710"/>
      <c r="AQ1710"/>
      <c r="AR1710"/>
      <c r="AS1710"/>
      <c r="AT1710"/>
      <c r="AU1710"/>
      <c r="AV1710"/>
      <c r="AW1710"/>
      <c r="AX1710"/>
      <c r="AY1710"/>
      <c r="AZ1710"/>
      <c r="BA1710"/>
      <c r="BB1710"/>
      <c r="BC1710"/>
      <c r="BD1710"/>
      <c r="BE1710"/>
      <c r="BF1710"/>
      <c r="BG1710"/>
      <c r="BH1710"/>
      <c r="BI1710"/>
      <c r="BJ1710"/>
      <c r="BK1710"/>
      <c r="BL1710"/>
      <c r="BM1710"/>
      <c r="BN1710"/>
      <c r="BO1710"/>
      <c r="BP1710"/>
      <c r="BQ1710"/>
      <c r="BR1710"/>
      <c r="BS1710"/>
      <c r="BT1710"/>
      <c r="BU1710"/>
      <c r="BV1710"/>
      <c r="BW1710"/>
      <c r="BX1710"/>
      <c r="BY1710"/>
      <c r="BZ1710"/>
      <c r="CA1710"/>
      <c r="CB1710"/>
      <c r="CC1710"/>
      <c r="CD1710"/>
      <c r="CE1710"/>
      <c r="CF1710"/>
      <c r="CG1710"/>
      <c r="CH1710"/>
      <c r="CI1710"/>
      <c r="CJ1710"/>
      <c r="CK1710"/>
      <c r="CL1710"/>
      <c r="CM1710"/>
      <c r="CN1710"/>
      <c r="CO1710"/>
      <c r="CP1710"/>
      <c r="CQ1710"/>
      <c r="CR1710"/>
      <c r="CS1710"/>
      <c r="CT1710"/>
      <c r="CU1710"/>
      <c r="CV1710"/>
      <c r="CW1710"/>
      <c r="CX1710"/>
      <c r="CY1710"/>
      <c r="CZ1710"/>
      <c r="DA1710"/>
      <c r="DB1710"/>
      <c r="DC1710"/>
      <c r="DD1710"/>
      <c r="DE1710"/>
      <c r="DF1710"/>
      <c r="DG1710"/>
      <c r="DH1710"/>
      <c r="DI1710"/>
      <c r="DJ1710"/>
      <c r="DK1710"/>
      <c r="DL1710"/>
      <c r="DM1710"/>
      <c r="DN1710"/>
      <c r="DO1710"/>
      <c r="DP1710"/>
      <c r="DQ1710"/>
      <c r="DR1710"/>
      <c r="DS1710"/>
      <c r="DT1710"/>
      <c r="DU1710"/>
      <c r="DV1710"/>
      <c r="DW1710"/>
      <c r="DX1710"/>
      <c r="DY1710"/>
      <c r="DZ1710"/>
      <c r="EA1710"/>
      <c r="EB1710"/>
      <c r="EC1710"/>
      <c r="ED1710"/>
      <c r="EE1710"/>
      <c r="EF1710"/>
      <c r="EG1710"/>
      <c r="EH1710"/>
      <c r="EI1710"/>
      <c r="EJ1710"/>
      <c r="EK1710"/>
      <c r="EL1710"/>
      <c r="EM1710"/>
      <c r="EN1710"/>
      <c r="EO1710"/>
      <c r="EP1710"/>
      <c r="EQ1710"/>
      <c r="ER1710"/>
      <c r="ES1710"/>
    </row>
    <row r="1711" spans="1:149">
      <c r="A1711"/>
      <c r="B1711"/>
      <c r="C1711"/>
      <c r="D1711"/>
      <c r="E1711"/>
      <c r="F1711"/>
      <c r="G1711"/>
      <c r="H1711"/>
      <c r="I1711"/>
      <c r="J1711"/>
      <c r="K1711"/>
      <c r="L1711"/>
      <c r="M1711"/>
      <c r="N1711"/>
      <c r="O1711"/>
      <c r="P1711"/>
      <c r="Q1711"/>
      <c r="R1711"/>
      <c r="S1711"/>
      <c r="T1711"/>
      <c r="U1711"/>
      <c r="V1711"/>
      <c r="W1711"/>
      <c r="X1711"/>
      <c r="Y1711"/>
      <c r="Z1711"/>
      <c r="AA1711"/>
      <c r="AB1711"/>
      <c r="AC1711"/>
      <c r="AD1711"/>
      <c r="AE1711"/>
      <c r="AF1711"/>
      <c r="AG1711"/>
      <c r="AH1711"/>
      <c r="AI1711"/>
      <c r="AJ1711"/>
      <c r="AK1711"/>
      <c r="AL1711"/>
      <c r="AM1711"/>
      <c r="AN1711"/>
      <c r="AO1711"/>
      <c r="AP1711"/>
      <c r="AQ1711"/>
      <c r="AR1711"/>
      <c r="AS1711"/>
      <c r="AT1711"/>
      <c r="AU1711"/>
      <c r="AV1711"/>
      <c r="AW1711"/>
      <c r="AX1711"/>
      <c r="AY1711"/>
      <c r="AZ1711"/>
      <c r="BA1711"/>
      <c r="BB1711"/>
      <c r="BC1711"/>
      <c r="BD1711"/>
      <c r="BE1711"/>
      <c r="BF1711"/>
      <c r="BG1711"/>
      <c r="BH1711"/>
      <c r="BI1711"/>
      <c r="BJ1711"/>
      <c r="BK1711"/>
      <c r="BL1711"/>
      <c r="BM1711"/>
      <c r="BN1711"/>
      <c r="BO1711"/>
      <c r="BP1711"/>
      <c r="BQ1711"/>
      <c r="BR1711"/>
      <c r="BS1711"/>
      <c r="BT1711"/>
      <c r="BU1711"/>
      <c r="BV1711"/>
      <c r="BW1711"/>
      <c r="BX1711"/>
      <c r="BY1711"/>
      <c r="BZ1711"/>
      <c r="CA1711"/>
      <c r="CB1711"/>
      <c r="CC1711"/>
      <c r="CD1711"/>
      <c r="CE1711"/>
      <c r="CF1711"/>
      <c r="CG1711"/>
      <c r="CH1711"/>
      <c r="CI1711"/>
      <c r="CJ1711"/>
      <c r="CK1711"/>
      <c r="CL1711"/>
      <c r="CM1711"/>
      <c r="CN1711"/>
      <c r="CO1711"/>
      <c r="CP1711"/>
      <c r="CQ1711"/>
      <c r="CR1711"/>
      <c r="CS1711"/>
      <c r="CT1711"/>
      <c r="CU1711"/>
      <c r="CV1711"/>
      <c r="CW1711"/>
      <c r="CX1711"/>
      <c r="CY1711"/>
      <c r="CZ1711"/>
      <c r="DA1711"/>
      <c r="DB1711"/>
      <c r="DC1711"/>
      <c r="DD1711"/>
      <c r="DE1711"/>
      <c r="DF1711"/>
      <c r="DG1711"/>
      <c r="DH1711"/>
      <c r="DI1711"/>
      <c r="DJ1711"/>
      <c r="DK1711"/>
      <c r="DL1711"/>
      <c r="DM1711"/>
      <c r="DN1711"/>
      <c r="DO1711"/>
      <c r="DP1711"/>
      <c r="DQ1711"/>
      <c r="DR1711"/>
      <c r="DS1711"/>
      <c r="DT1711"/>
      <c r="DU1711"/>
      <c r="DV1711"/>
      <c r="DW1711"/>
      <c r="DX1711"/>
      <c r="DY1711"/>
      <c r="DZ1711"/>
      <c r="EA1711"/>
      <c r="EB1711"/>
      <c r="EC1711"/>
      <c r="ED1711"/>
      <c r="EE1711"/>
      <c r="EF1711"/>
      <c r="EG1711"/>
      <c r="EH1711"/>
      <c r="EI1711"/>
      <c r="EJ1711"/>
      <c r="EK1711"/>
      <c r="EL1711"/>
      <c r="EM1711"/>
      <c r="EN1711"/>
      <c r="EO1711"/>
      <c r="EP1711"/>
      <c r="EQ1711"/>
      <c r="ER1711"/>
      <c r="ES1711"/>
    </row>
    <row r="1712" spans="1:149">
      <c r="A1712"/>
      <c r="B1712"/>
      <c r="C1712"/>
      <c r="D1712"/>
      <c r="E1712"/>
      <c r="F1712"/>
      <c r="G1712"/>
      <c r="H1712"/>
      <c r="I1712"/>
      <c r="J1712"/>
      <c r="K1712"/>
      <c r="L1712"/>
      <c r="M1712"/>
      <c r="N1712"/>
      <c r="O1712"/>
      <c r="P1712"/>
      <c r="Q1712"/>
      <c r="R1712"/>
      <c r="S1712"/>
      <c r="T1712"/>
      <c r="U1712"/>
      <c r="V1712"/>
      <c r="W1712"/>
      <c r="X1712"/>
      <c r="Y1712"/>
      <c r="Z1712"/>
      <c r="AA1712"/>
      <c r="AB1712"/>
      <c r="AC1712"/>
      <c r="AD1712"/>
      <c r="AE1712"/>
      <c r="AF1712"/>
      <c r="AG1712"/>
      <c r="AH1712"/>
      <c r="AI1712"/>
      <c r="AJ1712"/>
      <c r="AK1712"/>
      <c r="AL1712"/>
      <c r="AM1712"/>
      <c r="AN1712"/>
      <c r="AO1712"/>
      <c r="AP1712"/>
      <c r="AQ1712"/>
      <c r="AR1712"/>
      <c r="AS1712"/>
      <c r="AT1712"/>
      <c r="AU1712"/>
      <c r="AV1712"/>
      <c r="AW1712"/>
      <c r="AX1712"/>
      <c r="AY1712"/>
      <c r="AZ1712"/>
      <c r="BA1712"/>
      <c r="BB1712"/>
      <c r="BC1712"/>
      <c r="BD1712"/>
      <c r="BE1712"/>
      <c r="BF1712"/>
      <c r="BG1712"/>
      <c r="BH1712"/>
      <c r="BI1712"/>
      <c r="BJ1712"/>
      <c r="BK1712"/>
      <c r="BL1712"/>
      <c r="BM1712"/>
      <c r="BN1712"/>
      <c r="BO1712"/>
      <c r="BP1712"/>
      <c r="BQ1712"/>
      <c r="BR1712"/>
      <c r="BS1712"/>
      <c r="BT1712"/>
      <c r="BU1712"/>
      <c r="BV1712"/>
      <c r="BW1712"/>
      <c r="BX1712"/>
      <c r="BY1712"/>
      <c r="BZ1712"/>
      <c r="CA1712"/>
      <c r="CB1712"/>
      <c r="CC1712"/>
      <c r="CD1712"/>
      <c r="CE1712"/>
      <c r="CF1712"/>
      <c r="CG1712"/>
      <c r="CH1712"/>
      <c r="CI1712"/>
      <c r="CJ1712"/>
      <c r="CK1712"/>
      <c r="CL1712"/>
      <c r="CM1712"/>
      <c r="CN1712"/>
      <c r="CO1712"/>
      <c r="CP1712"/>
      <c r="CQ1712"/>
      <c r="CR1712"/>
      <c r="CS1712"/>
      <c r="CT1712"/>
      <c r="CU1712"/>
      <c r="CV1712"/>
      <c r="CW1712"/>
      <c r="CX1712"/>
      <c r="CY1712"/>
      <c r="CZ1712"/>
      <c r="DA1712"/>
      <c r="DB1712"/>
      <c r="DC1712"/>
      <c r="DD1712"/>
      <c r="DE1712"/>
      <c r="DF1712"/>
      <c r="DG1712"/>
      <c r="DH1712"/>
      <c r="DI1712"/>
      <c r="DJ1712"/>
      <c r="DK1712"/>
      <c r="DL1712"/>
      <c r="DM1712"/>
      <c r="DN1712"/>
      <c r="DO1712"/>
      <c r="DP1712"/>
      <c r="DQ1712"/>
      <c r="DR1712"/>
      <c r="DS1712"/>
      <c r="DT1712"/>
      <c r="DU1712"/>
      <c r="DV1712"/>
      <c r="DW1712"/>
      <c r="DX1712"/>
      <c r="DY1712"/>
      <c r="DZ1712"/>
      <c r="EA1712"/>
      <c r="EB1712"/>
      <c r="EC1712"/>
      <c r="ED1712"/>
      <c r="EE1712"/>
      <c r="EF1712"/>
      <c r="EG1712"/>
      <c r="EH1712"/>
      <c r="EI1712"/>
      <c r="EJ1712"/>
      <c r="EK1712"/>
      <c r="EL1712"/>
      <c r="EM1712"/>
      <c r="EN1712"/>
      <c r="EO1712"/>
      <c r="EP1712"/>
      <c r="EQ1712"/>
      <c r="ER1712"/>
      <c r="ES1712"/>
    </row>
    <row r="1713" spans="1:149">
      <c r="A1713"/>
      <c r="B1713"/>
      <c r="C1713"/>
      <c r="D1713"/>
      <c r="E1713"/>
      <c r="F1713"/>
      <c r="G1713"/>
      <c r="H1713"/>
      <c r="I1713"/>
      <c r="J1713"/>
      <c r="K1713"/>
      <c r="L1713"/>
      <c r="M1713"/>
      <c r="N1713"/>
      <c r="O1713"/>
      <c r="P1713"/>
      <c r="Q1713"/>
      <c r="R1713"/>
      <c r="S1713"/>
      <c r="T1713"/>
      <c r="U1713"/>
      <c r="V1713"/>
      <c r="W1713"/>
      <c r="X1713"/>
      <c r="Y1713"/>
      <c r="Z1713"/>
      <c r="AA1713"/>
      <c r="AB1713"/>
      <c r="AC1713"/>
      <c r="AD1713"/>
      <c r="AE1713"/>
      <c r="AF1713"/>
      <c r="AG1713"/>
      <c r="AH1713"/>
      <c r="AI1713"/>
      <c r="AJ1713"/>
      <c r="AK1713"/>
      <c r="AL1713"/>
      <c r="AM1713"/>
      <c r="AN1713"/>
      <c r="AO1713"/>
      <c r="AP1713"/>
      <c r="AQ1713"/>
      <c r="AR1713"/>
      <c r="AS1713"/>
      <c r="AT1713"/>
      <c r="AU1713"/>
      <c r="AV1713"/>
      <c r="AW1713"/>
      <c r="AX1713"/>
      <c r="AY1713"/>
      <c r="AZ1713"/>
      <c r="BA1713"/>
      <c r="BB1713"/>
      <c r="BC1713"/>
      <c r="BD1713"/>
      <c r="BE1713"/>
      <c r="BF1713"/>
      <c r="BG1713"/>
      <c r="BH1713"/>
      <c r="BI1713"/>
      <c r="BJ1713"/>
      <c r="BK1713"/>
      <c r="BL1713"/>
      <c r="BM1713"/>
      <c r="BN1713"/>
      <c r="BO1713"/>
      <c r="BP1713"/>
      <c r="BQ1713"/>
      <c r="BR1713"/>
      <c r="BS1713"/>
      <c r="BT1713"/>
      <c r="BU1713"/>
      <c r="BV1713"/>
      <c r="BW1713"/>
      <c r="BX1713"/>
      <c r="BY1713"/>
      <c r="BZ1713"/>
      <c r="CA1713"/>
      <c r="CB1713"/>
      <c r="CC1713"/>
      <c r="CD1713"/>
      <c r="CE1713"/>
      <c r="CF1713"/>
      <c r="CG1713"/>
      <c r="CH1713"/>
      <c r="CI1713"/>
      <c r="CJ1713"/>
      <c r="CK1713"/>
      <c r="CL1713"/>
      <c r="CM1713"/>
      <c r="CN1713"/>
      <c r="CO1713"/>
      <c r="CP1713"/>
      <c r="CQ1713"/>
      <c r="CR1713"/>
      <c r="CS1713"/>
      <c r="CT1713"/>
      <c r="CU1713"/>
      <c r="CV1713"/>
      <c r="CW1713"/>
      <c r="CX1713"/>
      <c r="CY1713"/>
      <c r="CZ1713"/>
      <c r="DA1713"/>
      <c r="DB1713"/>
      <c r="DC1713"/>
      <c r="DD1713"/>
      <c r="DE1713"/>
      <c r="DF1713"/>
      <c r="DG1713"/>
      <c r="DH1713"/>
      <c r="DI1713"/>
      <c r="DJ1713"/>
      <c r="DK1713"/>
      <c r="DL1713"/>
      <c r="DM1713"/>
      <c r="DN1713"/>
      <c r="DO1713"/>
      <c r="DP1713"/>
      <c r="DQ1713"/>
      <c r="DR1713"/>
      <c r="DS1713"/>
      <c r="DT1713"/>
      <c r="DU1713"/>
      <c r="DV1713"/>
      <c r="DW1713"/>
      <c r="DX1713"/>
      <c r="DY1713"/>
      <c r="DZ1713"/>
      <c r="EA1713"/>
      <c r="EB1713"/>
      <c r="EC1713"/>
      <c r="ED1713"/>
      <c r="EE1713"/>
      <c r="EF1713"/>
      <c r="EG1713"/>
      <c r="EH1713"/>
      <c r="EI1713"/>
      <c r="EJ1713"/>
      <c r="EK1713"/>
      <c r="EL1713"/>
      <c r="EM1713"/>
      <c r="EN1713"/>
      <c r="EO1713"/>
      <c r="EP1713"/>
      <c r="EQ1713"/>
      <c r="ER1713"/>
      <c r="ES1713"/>
    </row>
    <row r="1714" spans="1:149">
      <c r="A1714"/>
      <c r="B1714"/>
      <c r="C1714"/>
      <c r="D1714"/>
      <c r="E1714"/>
      <c r="F1714"/>
      <c r="G1714"/>
      <c r="H1714"/>
      <c r="I1714"/>
      <c r="J1714"/>
      <c r="K1714"/>
      <c r="L1714"/>
      <c r="M1714"/>
      <c r="N1714"/>
      <c r="O1714"/>
      <c r="P1714"/>
      <c r="Q1714"/>
      <c r="R1714"/>
      <c r="S1714"/>
      <c r="T1714"/>
      <c r="U1714"/>
      <c r="V1714"/>
      <c r="W1714"/>
      <c r="X1714"/>
      <c r="Y1714"/>
      <c r="Z1714"/>
      <c r="AA1714"/>
      <c r="AB1714"/>
      <c r="AC1714"/>
      <c r="AD1714"/>
      <c r="AE1714"/>
      <c r="AF1714"/>
      <c r="AG1714"/>
      <c r="AH1714"/>
      <c r="AI1714"/>
      <c r="AJ1714"/>
      <c r="AK1714"/>
      <c r="AL1714"/>
      <c r="AM1714"/>
      <c r="AN1714"/>
      <c r="AO1714"/>
      <c r="AP1714"/>
      <c r="AQ1714"/>
      <c r="AR1714"/>
      <c r="AS1714"/>
      <c r="AT1714"/>
      <c r="AU1714"/>
      <c r="AV1714"/>
      <c r="AW1714"/>
      <c r="AX1714"/>
      <c r="AY1714"/>
      <c r="AZ1714"/>
      <c r="BA1714"/>
      <c r="BB1714"/>
      <c r="BC1714"/>
      <c r="BD1714"/>
      <c r="BE1714"/>
      <c r="BF1714"/>
      <c r="BG1714"/>
      <c r="BH1714"/>
      <c r="BI1714"/>
      <c r="BJ1714"/>
      <c r="BK1714"/>
      <c r="BL1714"/>
      <c r="BM1714"/>
      <c r="BN1714"/>
      <c r="BO1714"/>
      <c r="BP1714"/>
      <c r="BQ1714"/>
      <c r="BR1714"/>
      <c r="BS1714"/>
      <c r="BT1714"/>
      <c r="BU1714"/>
      <c r="BV1714"/>
      <c r="BW1714"/>
      <c r="BX1714"/>
      <c r="BY1714"/>
      <c r="BZ1714"/>
      <c r="CA1714"/>
      <c r="CB1714"/>
      <c r="CC1714"/>
      <c r="CD1714"/>
      <c r="CE1714"/>
      <c r="CF1714"/>
      <c r="CG1714"/>
      <c r="CH1714"/>
      <c r="CI1714"/>
      <c r="CJ1714"/>
      <c r="CK1714"/>
      <c r="CL1714"/>
      <c r="CM1714"/>
      <c r="CN1714"/>
      <c r="CO1714"/>
      <c r="CP1714"/>
      <c r="CQ1714"/>
      <c r="CR1714"/>
      <c r="CS1714"/>
      <c r="CT1714"/>
      <c r="CU1714"/>
      <c r="CV1714"/>
      <c r="CW1714"/>
      <c r="CX1714"/>
      <c r="CY1714"/>
      <c r="CZ1714"/>
      <c r="DA1714"/>
      <c r="DB1714"/>
      <c r="DC1714"/>
      <c r="DD1714"/>
      <c r="DE1714"/>
      <c r="DF1714"/>
      <c r="DG1714"/>
      <c r="DH1714"/>
      <c r="DI1714"/>
      <c r="DJ1714"/>
      <c r="DK1714"/>
      <c r="DL1714"/>
      <c r="DM1714"/>
      <c r="DN1714"/>
      <c r="DO1714"/>
      <c r="DP1714"/>
      <c r="DQ1714"/>
      <c r="DR1714"/>
      <c r="DS1714"/>
      <c r="DT1714"/>
      <c r="DU1714"/>
      <c r="DV1714"/>
      <c r="DW1714"/>
      <c r="DX1714"/>
      <c r="DY1714"/>
      <c r="DZ1714"/>
      <c r="EA1714"/>
      <c r="EB1714"/>
      <c r="EC1714"/>
      <c r="ED1714"/>
      <c r="EE1714"/>
      <c r="EF1714"/>
      <c r="EG1714"/>
      <c r="EH1714"/>
      <c r="EI1714"/>
      <c r="EJ1714"/>
      <c r="EK1714"/>
      <c r="EL1714"/>
      <c r="EM1714"/>
      <c r="EN1714"/>
      <c r="EO1714"/>
      <c r="EP1714"/>
      <c r="EQ1714"/>
      <c r="ER1714"/>
      <c r="ES1714"/>
    </row>
    <row r="1715" spans="1:149">
      <c r="A1715"/>
      <c r="B1715"/>
      <c r="C1715"/>
      <c r="D1715"/>
      <c r="E1715"/>
      <c r="F1715"/>
      <c r="G1715"/>
      <c r="H1715"/>
      <c r="I1715"/>
      <c r="J1715"/>
      <c r="K1715"/>
      <c r="L1715"/>
      <c r="M1715"/>
      <c r="N1715"/>
      <c r="O1715"/>
      <c r="P1715"/>
      <c r="Q1715"/>
      <c r="R1715"/>
      <c r="S1715"/>
      <c r="T1715"/>
      <c r="U1715"/>
      <c r="V1715"/>
      <c r="W1715"/>
      <c r="X1715"/>
      <c r="Y1715"/>
      <c r="Z1715"/>
      <c r="AA1715"/>
      <c r="AB1715"/>
      <c r="AC1715"/>
      <c r="AD1715"/>
      <c r="AE1715"/>
      <c r="AF1715"/>
      <c r="AG1715"/>
      <c r="AH1715"/>
      <c r="AI1715"/>
      <c r="AJ1715"/>
      <c r="AK1715"/>
      <c r="AL1715"/>
      <c r="AM1715"/>
      <c r="AN1715"/>
      <c r="AO1715"/>
      <c r="AP1715"/>
      <c r="AQ1715"/>
      <c r="AR1715"/>
      <c r="AS1715"/>
      <c r="AT1715"/>
      <c r="AU1715"/>
      <c r="AV1715"/>
      <c r="AW1715"/>
      <c r="AX1715"/>
      <c r="AY1715"/>
      <c r="AZ1715"/>
      <c r="BA1715"/>
      <c r="BB1715"/>
      <c r="BC1715"/>
      <c r="BD1715"/>
      <c r="BE1715"/>
      <c r="BF1715"/>
      <c r="BG1715"/>
      <c r="BH1715"/>
      <c r="BI1715"/>
      <c r="BJ1715"/>
      <c r="BK1715"/>
      <c r="BL1715"/>
      <c r="BM1715"/>
      <c r="BN1715"/>
      <c r="BO1715"/>
      <c r="BP1715"/>
      <c r="BQ1715"/>
      <c r="BR1715"/>
      <c r="BS1715"/>
      <c r="BT1715"/>
      <c r="BU1715"/>
      <c r="BV1715"/>
      <c r="BW1715"/>
      <c r="BX1715"/>
      <c r="BY1715"/>
      <c r="BZ1715"/>
      <c r="CA1715"/>
      <c r="CB1715"/>
      <c r="CC1715"/>
      <c r="CD1715"/>
      <c r="CE1715"/>
      <c r="CF1715"/>
      <c r="CG1715"/>
      <c r="CH1715"/>
      <c r="CI1715"/>
      <c r="CJ1715"/>
      <c r="CK1715"/>
      <c r="CL1715"/>
      <c r="CM1715"/>
      <c r="CN1715"/>
      <c r="CO1715"/>
      <c r="CP1715"/>
      <c r="CQ1715"/>
      <c r="CR1715"/>
      <c r="CS1715"/>
      <c r="CT1715"/>
      <c r="CU1715"/>
      <c r="CV1715"/>
      <c r="CW1715"/>
      <c r="CX1715"/>
      <c r="CY1715"/>
      <c r="CZ1715"/>
      <c r="DA1715"/>
      <c r="DB1715"/>
      <c r="DC1715"/>
      <c r="DD1715"/>
      <c r="DE1715"/>
      <c r="DF1715"/>
      <c r="DG1715"/>
      <c r="DH1715"/>
      <c r="DI1715"/>
      <c r="DJ1715"/>
      <c r="DK1715"/>
      <c r="DL1715"/>
      <c r="DM1715"/>
      <c r="DN1715"/>
      <c r="DO1715"/>
      <c r="DP1715"/>
      <c r="DQ1715"/>
      <c r="DR1715"/>
      <c r="DS1715"/>
      <c r="DT1715"/>
      <c r="DU1715"/>
      <c r="DV1715"/>
      <c r="DW1715"/>
      <c r="DX1715"/>
      <c r="DY1715"/>
      <c r="DZ1715"/>
      <c r="EA1715"/>
      <c r="EB1715"/>
      <c r="EC1715"/>
      <c r="ED1715"/>
      <c r="EE1715"/>
      <c r="EF1715"/>
      <c r="EG1715"/>
      <c r="EH1715"/>
      <c r="EI1715"/>
      <c r="EJ1715"/>
      <c r="EK1715"/>
      <c r="EL1715"/>
      <c r="EM1715"/>
      <c r="EN1715"/>
      <c r="EO1715"/>
      <c r="EP1715"/>
      <c r="EQ1715"/>
      <c r="ER1715"/>
      <c r="ES1715"/>
    </row>
    <row r="1716" spans="1:149">
      <c r="A1716"/>
      <c r="B1716"/>
      <c r="C1716"/>
      <c r="D1716"/>
      <c r="E1716"/>
      <c r="F1716"/>
      <c r="G1716"/>
      <c r="H1716"/>
      <c r="I1716"/>
      <c r="J1716"/>
      <c r="K1716"/>
      <c r="L1716"/>
      <c r="M1716"/>
      <c r="N1716"/>
      <c r="O1716"/>
      <c r="P1716"/>
      <c r="Q1716"/>
      <c r="R1716"/>
      <c r="S1716"/>
      <c r="T1716"/>
      <c r="U1716"/>
      <c r="V1716"/>
      <c r="W1716"/>
      <c r="X1716"/>
      <c r="Y1716"/>
      <c r="Z1716"/>
      <c r="AA1716"/>
      <c r="AB1716"/>
      <c r="AC1716"/>
      <c r="AD1716"/>
      <c r="AE1716"/>
      <c r="AF1716"/>
      <c r="AG1716"/>
      <c r="AH1716"/>
      <c r="AI1716"/>
      <c r="AJ1716"/>
      <c r="AK1716"/>
      <c r="AL1716"/>
      <c r="AM1716"/>
      <c r="AN1716"/>
      <c r="AO1716"/>
      <c r="AP1716"/>
      <c r="AQ1716"/>
      <c r="AR1716"/>
      <c r="AS1716"/>
      <c r="AT1716"/>
      <c r="AU1716"/>
      <c r="AV1716"/>
      <c r="AW1716"/>
      <c r="AX1716"/>
      <c r="AY1716"/>
      <c r="AZ1716"/>
      <c r="BA1716"/>
      <c r="BB1716"/>
      <c r="BC1716"/>
      <c r="BD1716"/>
      <c r="BE1716"/>
      <c r="BF1716"/>
      <c r="BG1716"/>
      <c r="BH1716"/>
      <c r="BI1716"/>
      <c r="BJ1716"/>
      <c r="BK1716"/>
      <c r="BL1716"/>
      <c r="BM1716"/>
      <c r="BN1716"/>
      <c r="BO1716"/>
      <c r="BP1716"/>
      <c r="BQ1716"/>
      <c r="BR1716"/>
      <c r="BS1716"/>
      <c r="BT1716"/>
      <c r="BU1716"/>
      <c r="BV1716"/>
      <c r="BW1716"/>
      <c r="BX1716"/>
      <c r="BY1716"/>
      <c r="BZ1716"/>
      <c r="CA1716"/>
      <c r="CB1716"/>
      <c r="CC1716"/>
      <c r="CD1716"/>
      <c r="CE1716"/>
      <c r="CF1716"/>
      <c r="CG1716"/>
      <c r="CH1716"/>
      <c r="CI1716"/>
      <c r="CJ1716"/>
      <c r="CK1716"/>
      <c r="CL1716"/>
      <c r="CM1716"/>
      <c r="CN1716"/>
      <c r="CO1716"/>
      <c r="CP1716"/>
      <c r="CQ1716"/>
      <c r="CR1716"/>
      <c r="CS1716"/>
      <c r="CT1716"/>
      <c r="CU1716"/>
      <c r="CV1716"/>
      <c r="CW1716"/>
      <c r="CX1716"/>
      <c r="CY1716"/>
      <c r="CZ1716"/>
      <c r="DA1716"/>
      <c r="DB1716"/>
      <c r="DC1716"/>
      <c r="DD1716"/>
      <c r="DE1716"/>
      <c r="DF1716"/>
      <c r="DG1716"/>
      <c r="DH1716"/>
      <c r="DI1716"/>
      <c r="DJ1716"/>
      <c r="DK1716"/>
      <c r="DL1716"/>
      <c r="DM1716"/>
      <c r="DN1716"/>
      <c r="DO1716"/>
      <c r="DP1716"/>
      <c r="DQ1716"/>
      <c r="DR1716"/>
      <c r="DS1716"/>
      <c r="DT1716"/>
      <c r="DU1716"/>
      <c r="DV1716"/>
      <c r="DW1716"/>
      <c r="DX1716"/>
      <c r="DY1716"/>
      <c r="DZ1716"/>
      <c r="EA1716"/>
      <c r="EB1716"/>
      <c r="EC1716"/>
      <c r="ED1716"/>
      <c r="EE1716"/>
      <c r="EF1716"/>
      <c r="EG1716"/>
      <c r="EH1716"/>
      <c r="EI1716"/>
      <c r="EJ1716"/>
      <c r="EK1716"/>
      <c r="EL1716"/>
      <c r="EM1716"/>
      <c r="EN1716"/>
      <c r="EO1716"/>
      <c r="EP1716"/>
      <c r="EQ1716"/>
      <c r="ER1716"/>
      <c r="ES1716"/>
    </row>
    <row r="1717" spans="1:149">
      <c r="A1717"/>
      <c r="B1717"/>
      <c r="C1717"/>
      <c r="D1717"/>
      <c r="E1717"/>
      <c r="F1717"/>
      <c r="G1717"/>
      <c r="H1717"/>
      <c r="I1717"/>
      <c r="J1717"/>
      <c r="K1717"/>
      <c r="L1717"/>
      <c r="M1717"/>
      <c r="N1717"/>
      <c r="O1717"/>
      <c r="P1717"/>
      <c r="Q1717"/>
      <c r="R1717"/>
      <c r="S1717"/>
      <c r="T1717"/>
      <c r="U1717"/>
      <c r="V1717"/>
      <c r="W1717"/>
      <c r="X1717"/>
      <c r="Y1717"/>
      <c r="Z1717"/>
      <c r="AA1717"/>
      <c r="AB1717"/>
      <c r="AC1717"/>
      <c r="AD1717"/>
      <c r="AE1717"/>
      <c r="AF1717"/>
      <c r="AG1717"/>
      <c r="AH1717"/>
      <c r="AI1717"/>
      <c r="AJ1717"/>
      <c r="AK1717"/>
      <c r="AL1717"/>
      <c r="AM1717"/>
      <c r="AN1717"/>
      <c r="AO1717"/>
      <c r="AP1717"/>
      <c r="AQ1717"/>
      <c r="AR1717"/>
      <c r="AS1717"/>
      <c r="AT1717"/>
      <c r="AU1717"/>
      <c r="AV1717"/>
      <c r="AW1717"/>
      <c r="AX1717"/>
      <c r="AY1717"/>
      <c r="AZ1717"/>
      <c r="BA1717"/>
      <c r="BB1717"/>
      <c r="BC1717"/>
      <c r="BD1717"/>
      <c r="BE1717"/>
      <c r="BF1717"/>
      <c r="BG1717"/>
      <c r="BH1717"/>
      <c r="BI1717"/>
      <c r="BJ1717"/>
      <c r="BK1717"/>
      <c r="BL1717"/>
      <c r="BM1717"/>
      <c r="BN1717"/>
      <c r="BO1717"/>
      <c r="BP1717"/>
      <c r="BQ1717"/>
      <c r="BR1717"/>
      <c r="BS1717"/>
      <c r="BT1717"/>
      <c r="BU1717"/>
      <c r="BV1717"/>
      <c r="BW1717"/>
      <c r="BX1717"/>
      <c r="BY1717"/>
      <c r="BZ1717"/>
      <c r="CA1717"/>
      <c r="CB1717"/>
      <c r="CC1717"/>
      <c r="CD1717"/>
      <c r="CE1717"/>
      <c r="CF1717"/>
      <c r="CG1717"/>
      <c r="CH1717"/>
      <c r="CI1717"/>
      <c r="CJ1717"/>
      <c r="CK1717"/>
      <c r="CL1717"/>
      <c r="CM1717"/>
      <c r="CN1717"/>
      <c r="CO1717"/>
      <c r="CP1717"/>
      <c r="CQ1717"/>
      <c r="CR1717"/>
      <c r="CS1717"/>
      <c r="CT1717"/>
      <c r="CU1717"/>
      <c r="CV1717"/>
      <c r="CW1717"/>
      <c r="CX1717"/>
      <c r="CY1717"/>
      <c r="CZ1717"/>
      <c r="DA1717"/>
      <c r="DB1717"/>
      <c r="DC1717"/>
      <c r="DD1717"/>
      <c r="DE1717"/>
      <c r="DF1717"/>
      <c r="DG1717"/>
      <c r="DH1717"/>
      <c r="DI1717"/>
      <c r="DJ1717"/>
      <c r="DK1717"/>
      <c r="DL1717"/>
      <c r="DM1717"/>
      <c r="DN1717"/>
      <c r="DO1717"/>
      <c r="DP1717"/>
      <c r="DQ1717"/>
      <c r="DR1717"/>
      <c r="DS1717"/>
      <c r="DT1717"/>
      <c r="DU1717"/>
      <c r="DV1717"/>
      <c r="DW1717"/>
      <c r="DX1717"/>
      <c r="DY1717"/>
      <c r="DZ1717"/>
      <c r="EA1717"/>
      <c r="EB1717"/>
      <c r="EC1717"/>
      <c r="ED1717"/>
      <c r="EE1717"/>
      <c r="EF1717"/>
      <c r="EG1717"/>
      <c r="EH1717"/>
      <c r="EI1717"/>
      <c r="EJ1717"/>
      <c r="EK1717"/>
      <c r="EL1717"/>
      <c r="EM1717"/>
      <c r="EN1717"/>
      <c r="EO1717"/>
      <c r="EP1717"/>
      <c r="EQ1717"/>
      <c r="ER1717"/>
      <c r="ES1717"/>
    </row>
    <row r="1718" spans="1:149">
      <c r="A1718"/>
      <c r="B1718"/>
      <c r="C1718"/>
      <c r="D1718"/>
      <c r="E1718"/>
      <c r="F1718"/>
      <c r="G1718"/>
      <c r="H1718"/>
      <c r="I1718"/>
      <c r="J1718"/>
      <c r="K1718"/>
      <c r="L1718"/>
      <c r="M1718"/>
      <c r="N1718"/>
      <c r="O1718"/>
      <c r="P1718"/>
      <c r="Q1718"/>
      <c r="R1718"/>
      <c r="S1718"/>
      <c r="T1718"/>
      <c r="U1718"/>
      <c r="V1718"/>
      <c r="W1718"/>
      <c r="X1718"/>
      <c r="Y1718"/>
      <c r="Z1718"/>
      <c r="AA1718"/>
      <c r="AB1718"/>
      <c r="AC1718"/>
      <c r="AD1718"/>
      <c r="AE1718"/>
      <c r="AF1718"/>
      <c r="AG1718"/>
      <c r="AH1718"/>
      <c r="AI1718"/>
      <c r="AJ1718"/>
      <c r="AK1718"/>
      <c r="AL1718"/>
      <c r="AM1718"/>
      <c r="AN1718"/>
      <c r="AO1718"/>
      <c r="AP1718"/>
      <c r="AQ1718"/>
      <c r="AR1718"/>
      <c r="AS1718"/>
      <c r="AT1718"/>
      <c r="AU1718"/>
      <c r="AV1718"/>
      <c r="AW1718"/>
      <c r="AX1718"/>
      <c r="AY1718"/>
      <c r="AZ1718"/>
      <c r="BA1718"/>
      <c r="BB1718"/>
      <c r="BC1718"/>
      <c r="BD1718"/>
      <c r="BE1718"/>
      <c r="BF1718"/>
      <c r="BG1718"/>
      <c r="BH1718"/>
      <c r="BI1718"/>
      <c r="BJ1718"/>
      <c r="BK1718"/>
      <c r="BL1718"/>
      <c r="BM1718"/>
      <c r="BN1718"/>
      <c r="BO1718"/>
      <c r="BP1718"/>
      <c r="BQ1718"/>
      <c r="BR1718"/>
      <c r="BS1718"/>
      <c r="BT1718"/>
      <c r="BU1718"/>
      <c r="BV1718"/>
      <c r="BW1718"/>
      <c r="BX1718"/>
      <c r="BY1718"/>
      <c r="BZ1718"/>
      <c r="CA1718"/>
      <c r="CB1718"/>
      <c r="CC1718"/>
      <c r="CD1718"/>
      <c r="CE1718"/>
      <c r="CF1718"/>
      <c r="CG1718"/>
      <c r="CH1718"/>
      <c r="CI1718"/>
      <c r="CJ1718"/>
      <c r="CK1718"/>
      <c r="CL1718"/>
      <c r="CM1718"/>
      <c r="CN1718"/>
      <c r="CO1718"/>
      <c r="CP1718"/>
      <c r="CQ1718"/>
      <c r="CR1718"/>
      <c r="CS1718"/>
      <c r="CT1718"/>
      <c r="CU1718"/>
      <c r="CV1718"/>
      <c r="CW1718"/>
      <c r="CX1718"/>
      <c r="CY1718"/>
      <c r="CZ1718"/>
      <c r="DA1718"/>
      <c r="DB1718"/>
      <c r="DC1718"/>
      <c r="DD1718"/>
      <c r="DE1718"/>
      <c r="DF1718"/>
      <c r="DG1718"/>
      <c r="DH1718"/>
      <c r="DI1718"/>
      <c r="DJ1718"/>
      <c r="DK1718"/>
      <c r="DL1718"/>
      <c r="DM1718"/>
      <c r="DN1718"/>
      <c r="DO1718"/>
      <c r="DP1718"/>
      <c r="DQ1718"/>
      <c r="DR1718"/>
      <c r="DS1718"/>
      <c r="DT1718"/>
      <c r="DU1718"/>
      <c r="DV1718"/>
      <c r="DW1718"/>
      <c r="DX1718"/>
      <c r="DY1718"/>
      <c r="DZ1718"/>
      <c r="EA1718"/>
      <c r="EB1718"/>
      <c r="EC1718"/>
      <c r="ED1718"/>
      <c r="EE1718"/>
      <c r="EF1718"/>
      <c r="EG1718"/>
      <c r="EH1718"/>
      <c r="EI1718"/>
      <c r="EJ1718"/>
      <c r="EK1718"/>
      <c r="EL1718"/>
      <c r="EM1718"/>
      <c r="EN1718"/>
      <c r="EO1718"/>
      <c r="EP1718"/>
      <c r="EQ1718"/>
      <c r="ER1718"/>
      <c r="ES1718"/>
    </row>
    <row r="1719" spans="1:149">
      <c r="A1719"/>
      <c r="B1719"/>
      <c r="C1719"/>
      <c r="D1719"/>
      <c r="E1719"/>
      <c r="F1719"/>
      <c r="G1719"/>
      <c r="H1719"/>
      <c r="I1719"/>
      <c r="J1719"/>
      <c r="K1719"/>
      <c r="L1719"/>
      <c r="M1719"/>
      <c r="N1719"/>
      <c r="O1719"/>
      <c r="P1719"/>
      <c r="Q1719"/>
      <c r="R1719"/>
      <c r="S1719"/>
      <c r="T1719"/>
      <c r="U1719"/>
      <c r="V1719"/>
      <c r="W1719"/>
      <c r="X1719"/>
      <c r="Y1719"/>
      <c r="Z1719"/>
      <c r="AA1719"/>
      <c r="AB1719"/>
      <c r="AC1719"/>
      <c r="AD1719"/>
      <c r="AE1719"/>
      <c r="AF1719"/>
      <c r="AG1719"/>
      <c r="AH1719"/>
      <c r="AI1719"/>
      <c r="AJ1719"/>
      <c r="AK1719"/>
      <c r="AL1719"/>
      <c r="AM1719"/>
      <c r="AN1719"/>
      <c r="AO1719"/>
      <c r="AP1719"/>
      <c r="AQ1719"/>
      <c r="AR1719"/>
      <c r="AS1719"/>
      <c r="AT1719"/>
      <c r="AU1719"/>
      <c r="AV1719"/>
      <c r="AW1719"/>
      <c r="AX1719"/>
      <c r="AY1719"/>
      <c r="AZ1719"/>
      <c r="BA1719"/>
      <c r="BB1719"/>
      <c r="BC1719"/>
      <c r="BD1719"/>
      <c r="BE1719"/>
      <c r="BF1719"/>
      <c r="BG1719"/>
      <c r="BH1719"/>
      <c r="BI1719"/>
      <c r="BJ1719"/>
      <c r="BK1719"/>
      <c r="BL1719"/>
      <c r="BM1719"/>
      <c r="BN1719"/>
      <c r="BO1719"/>
      <c r="BP1719"/>
      <c r="BQ1719"/>
      <c r="BR1719"/>
      <c r="BS1719"/>
      <c r="BT1719"/>
      <c r="BU1719"/>
      <c r="BV1719"/>
      <c r="BW1719"/>
      <c r="BX1719"/>
      <c r="BY1719"/>
      <c r="BZ1719"/>
      <c r="CA1719"/>
      <c r="CB1719"/>
      <c r="CC1719"/>
      <c r="CD1719"/>
      <c r="CE1719"/>
      <c r="CF1719"/>
      <c r="CG1719"/>
      <c r="CH1719"/>
      <c r="CI1719"/>
      <c r="CJ1719"/>
      <c r="CK1719"/>
      <c r="CL1719"/>
      <c r="CM1719"/>
      <c r="CN1719"/>
      <c r="CO1719"/>
      <c r="CP1719"/>
      <c r="CQ1719"/>
      <c r="CR1719"/>
      <c r="CS1719"/>
      <c r="CT1719"/>
      <c r="CU1719"/>
      <c r="CV1719"/>
      <c r="CW1719"/>
      <c r="CX1719"/>
      <c r="CY1719"/>
      <c r="CZ1719"/>
      <c r="DA1719"/>
      <c r="DB1719"/>
      <c r="DC1719"/>
      <c r="DD1719"/>
      <c r="DE1719"/>
      <c r="DF1719"/>
      <c r="DG1719"/>
      <c r="DH1719"/>
      <c r="DI1719"/>
      <c r="DJ1719"/>
      <c r="DK1719"/>
      <c r="DL1719"/>
      <c r="DM1719"/>
      <c r="DN1719"/>
      <c r="DO1719"/>
      <c r="DP1719"/>
      <c r="DQ1719"/>
      <c r="DR1719"/>
      <c r="DS1719"/>
      <c r="DT1719"/>
      <c r="DU1719"/>
      <c r="DV1719"/>
      <c r="DW1719"/>
      <c r="DX1719"/>
      <c r="DY1719"/>
      <c r="DZ1719"/>
      <c r="EA1719"/>
      <c r="EB1719"/>
      <c r="EC1719"/>
      <c r="ED1719"/>
      <c r="EE1719"/>
      <c r="EF1719"/>
      <c r="EG1719"/>
      <c r="EH1719"/>
      <c r="EI1719"/>
      <c r="EJ1719"/>
      <c r="EK1719"/>
      <c r="EL1719"/>
      <c r="EM1719"/>
      <c r="EN1719"/>
      <c r="EO1719"/>
      <c r="EP1719"/>
      <c r="EQ1719"/>
      <c r="ER1719"/>
      <c r="ES1719"/>
    </row>
    <row r="1720" spans="1:149">
      <c r="A1720"/>
      <c r="B1720"/>
      <c r="C1720"/>
      <c r="D1720"/>
      <c r="E1720"/>
      <c r="F1720"/>
      <c r="G1720"/>
      <c r="H1720"/>
      <c r="I1720"/>
      <c r="J1720"/>
      <c r="K1720"/>
      <c r="L1720"/>
      <c r="M1720"/>
      <c r="N1720"/>
      <c r="O1720"/>
      <c r="P1720"/>
      <c r="Q1720"/>
      <c r="R1720"/>
      <c r="S1720"/>
      <c r="T1720"/>
      <c r="U1720"/>
      <c r="V1720"/>
      <c r="W1720"/>
      <c r="X1720"/>
      <c r="Y1720"/>
      <c r="Z1720"/>
      <c r="AA1720"/>
      <c r="AB1720"/>
      <c r="AC1720"/>
      <c r="AD1720"/>
      <c r="AE1720"/>
      <c r="AF1720"/>
      <c r="AG1720"/>
      <c r="AH1720"/>
      <c r="AI1720"/>
      <c r="AJ1720"/>
      <c r="AK1720"/>
      <c r="AL1720"/>
      <c r="AM1720"/>
      <c r="AN1720"/>
      <c r="AO1720"/>
      <c r="AP1720"/>
      <c r="AQ1720"/>
      <c r="AR1720"/>
      <c r="AS1720"/>
      <c r="AT1720"/>
      <c r="AU1720"/>
      <c r="AV1720"/>
      <c r="AW1720"/>
      <c r="AX1720"/>
      <c r="AY1720"/>
      <c r="AZ1720"/>
      <c r="BA1720"/>
      <c r="BB1720"/>
      <c r="BC1720"/>
      <c r="BD1720"/>
      <c r="BE1720"/>
      <c r="BF1720"/>
      <c r="BG1720"/>
      <c r="BH1720"/>
      <c r="BI1720"/>
      <c r="BJ1720"/>
      <c r="BK1720"/>
      <c r="BL1720"/>
      <c r="BM1720"/>
      <c r="BN1720"/>
      <c r="BO1720"/>
      <c r="BP1720"/>
      <c r="BQ1720"/>
      <c r="BR1720"/>
      <c r="BS1720"/>
      <c r="BT1720"/>
      <c r="BU1720"/>
      <c r="BV1720"/>
      <c r="BW1720"/>
      <c r="BX1720"/>
      <c r="BY1720"/>
      <c r="BZ1720"/>
      <c r="CA1720"/>
      <c r="CB1720"/>
      <c r="CC1720"/>
      <c r="CD1720"/>
      <c r="CE1720"/>
      <c r="CF1720"/>
      <c r="CG1720"/>
      <c r="CH1720"/>
      <c r="CI1720"/>
      <c r="CJ1720"/>
      <c r="CK1720"/>
      <c r="CL1720"/>
      <c r="CM1720"/>
      <c r="CN1720"/>
      <c r="CO1720"/>
      <c r="CP1720"/>
      <c r="CQ1720"/>
      <c r="CR1720"/>
      <c r="CS1720"/>
      <c r="CT1720"/>
      <c r="CU1720"/>
      <c r="CV1720"/>
      <c r="CW1720"/>
      <c r="CX1720"/>
      <c r="CY1720"/>
      <c r="CZ1720"/>
      <c r="DA1720"/>
      <c r="DB1720"/>
      <c r="DC1720"/>
      <c r="DD1720"/>
      <c r="DE1720"/>
      <c r="DF1720"/>
      <c r="DG1720"/>
      <c r="DH1720"/>
      <c r="DI1720"/>
      <c r="DJ1720"/>
      <c r="DK1720"/>
      <c r="DL1720"/>
      <c r="DM1720"/>
      <c r="DN1720"/>
      <c r="DO1720"/>
      <c r="DP1720"/>
      <c r="DQ1720"/>
      <c r="DR1720"/>
      <c r="DS1720"/>
      <c r="DT1720"/>
      <c r="DU1720"/>
      <c r="DV1720"/>
      <c r="DW1720"/>
      <c r="DX1720"/>
      <c r="DY1720"/>
      <c r="DZ1720"/>
      <c r="EA1720"/>
      <c r="EB1720"/>
      <c r="EC1720"/>
      <c r="ED1720"/>
      <c r="EE1720"/>
      <c r="EF1720"/>
      <c r="EG1720"/>
      <c r="EH1720"/>
      <c r="EI1720"/>
      <c r="EJ1720"/>
      <c r="EK1720"/>
      <c r="EL1720"/>
      <c r="EM1720"/>
      <c r="EN1720"/>
      <c r="EO1720"/>
      <c r="EP1720"/>
      <c r="EQ1720"/>
      <c r="ER1720"/>
      <c r="ES1720"/>
    </row>
    <row r="1721" spans="1:149">
      <c r="A1721"/>
      <c r="B1721"/>
      <c r="C1721"/>
      <c r="D1721"/>
      <c r="E1721"/>
      <c r="F1721"/>
      <c r="G1721"/>
      <c r="H1721"/>
      <c r="I1721"/>
      <c r="J1721"/>
      <c r="K1721"/>
      <c r="L1721"/>
      <c r="M1721"/>
      <c r="N1721"/>
      <c r="O1721"/>
      <c r="P1721"/>
      <c r="Q1721"/>
      <c r="R1721"/>
      <c r="S1721"/>
      <c r="T1721"/>
      <c r="U1721"/>
      <c r="V1721"/>
      <c r="W1721"/>
      <c r="X1721"/>
      <c r="Y1721"/>
      <c r="Z1721"/>
      <c r="AA1721"/>
      <c r="AB1721"/>
      <c r="AC1721"/>
      <c r="AD1721"/>
      <c r="AE1721"/>
      <c r="AF1721"/>
      <c r="AG1721"/>
      <c r="AH1721"/>
      <c r="AI1721"/>
      <c r="AJ1721"/>
      <c r="AK1721"/>
      <c r="AL1721"/>
      <c r="AM1721"/>
      <c r="AN1721"/>
      <c r="AO1721"/>
      <c r="AP1721"/>
      <c r="AQ1721"/>
      <c r="AR1721"/>
      <c r="AS1721"/>
      <c r="AT1721"/>
      <c r="AU1721"/>
      <c r="AV1721"/>
      <c r="AW1721"/>
      <c r="AX1721"/>
      <c r="AY1721"/>
      <c r="AZ1721"/>
      <c r="BA1721"/>
      <c r="BB1721"/>
      <c r="BC1721"/>
      <c r="BD1721"/>
      <c r="BE1721"/>
      <c r="BF1721"/>
      <c r="BG1721"/>
      <c r="BH1721"/>
      <c r="BI1721"/>
      <c r="BJ1721"/>
      <c r="BK1721"/>
      <c r="BL1721"/>
      <c r="BM1721"/>
      <c r="BN1721"/>
      <c r="BO1721"/>
      <c r="BP1721"/>
      <c r="BQ1721"/>
      <c r="BR1721"/>
      <c r="BS1721"/>
      <c r="BT1721"/>
      <c r="BU1721"/>
      <c r="BV1721"/>
      <c r="BW1721"/>
      <c r="BX1721"/>
      <c r="BY1721"/>
      <c r="BZ1721"/>
      <c r="CA1721"/>
      <c r="CB1721"/>
      <c r="CC1721"/>
      <c r="CD1721"/>
      <c r="CE1721"/>
      <c r="CF1721"/>
      <c r="CG1721"/>
      <c r="CH1721"/>
      <c r="CI1721"/>
      <c r="CJ1721"/>
      <c r="CK1721"/>
      <c r="CL1721"/>
      <c r="CM1721"/>
      <c r="CN1721"/>
      <c r="CO1721"/>
      <c r="CP1721"/>
      <c r="CQ1721"/>
      <c r="CR1721"/>
      <c r="CS1721"/>
      <c r="CT1721"/>
      <c r="CU1721"/>
      <c r="CV1721"/>
      <c r="CW1721"/>
      <c r="CX1721"/>
      <c r="CY1721"/>
      <c r="CZ1721"/>
      <c r="DA1721"/>
      <c r="DB1721"/>
      <c r="DC1721"/>
      <c r="DD1721"/>
      <c r="DE1721"/>
      <c r="DF1721"/>
      <c r="DG1721"/>
      <c r="DH1721"/>
      <c r="DI1721"/>
      <c r="DJ1721"/>
      <c r="DK1721"/>
      <c r="DL1721"/>
      <c r="DM1721"/>
      <c r="DN1721"/>
      <c r="DO1721"/>
      <c r="DP1721"/>
      <c r="DQ1721"/>
      <c r="DR1721"/>
      <c r="DS1721"/>
      <c r="DT1721"/>
      <c r="DU1721"/>
      <c r="DV1721"/>
      <c r="DW1721"/>
      <c r="DX1721"/>
      <c r="DY1721"/>
      <c r="DZ1721"/>
      <c r="EA1721"/>
      <c r="EB1721"/>
      <c r="EC1721"/>
      <c r="ED1721"/>
      <c r="EE1721"/>
      <c r="EF1721"/>
      <c r="EG1721"/>
      <c r="EH1721"/>
      <c r="EI1721"/>
      <c r="EJ1721"/>
      <c r="EK1721"/>
      <c r="EL1721"/>
      <c r="EM1721"/>
      <c r="EN1721"/>
      <c r="EO1721"/>
      <c r="EP1721"/>
      <c r="EQ1721"/>
      <c r="ER1721"/>
      <c r="ES1721"/>
    </row>
    <row r="1722" spans="1:149">
      <c r="A1722"/>
      <c r="B1722"/>
      <c r="C1722"/>
      <c r="D1722"/>
      <c r="E1722"/>
      <c r="F1722"/>
      <c r="G1722"/>
      <c r="H1722"/>
      <c r="I1722"/>
      <c r="J1722"/>
      <c r="K1722"/>
      <c r="L1722"/>
      <c r="M1722"/>
      <c r="N1722"/>
      <c r="O1722"/>
      <c r="P1722"/>
      <c r="Q1722"/>
      <c r="R1722"/>
      <c r="S1722"/>
      <c r="T1722"/>
      <c r="U1722"/>
      <c r="V1722"/>
      <c r="W1722"/>
      <c r="X1722"/>
      <c r="Y1722"/>
      <c r="Z1722"/>
      <c r="AA1722"/>
      <c r="AB1722"/>
      <c r="AC1722"/>
      <c r="AD1722"/>
      <c r="AE1722"/>
      <c r="AF1722"/>
      <c r="AG1722"/>
      <c r="AH1722"/>
      <c r="AI1722"/>
      <c r="AJ1722"/>
      <c r="AK1722"/>
      <c r="AL1722"/>
      <c r="AM1722"/>
      <c r="AN1722"/>
      <c r="AO1722"/>
      <c r="AP1722"/>
      <c r="AQ1722"/>
      <c r="AR1722"/>
      <c r="AS1722"/>
      <c r="AT1722"/>
      <c r="AU1722"/>
      <c r="AV1722"/>
      <c r="AW1722"/>
      <c r="AX1722"/>
      <c r="AY1722"/>
      <c r="AZ1722"/>
      <c r="BA1722"/>
      <c r="BB1722"/>
      <c r="BC1722"/>
      <c r="BD1722"/>
      <c r="BE1722"/>
      <c r="BF1722"/>
      <c r="BG1722"/>
      <c r="BH1722"/>
      <c r="BI1722"/>
      <c r="BJ1722"/>
      <c r="BK1722"/>
      <c r="BL1722"/>
      <c r="BM1722"/>
      <c r="BN1722"/>
      <c r="BO1722"/>
      <c r="BP1722"/>
      <c r="BQ1722"/>
      <c r="BR1722"/>
      <c r="BS1722"/>
      <c r="BT1722"/>
      <c r="BU1722"/>
      <c r="BV1722"/>
      <c r="BW1722"/>
      <c r="BX1722"/>
      <c r="BY1722"/>
      <c r="BZ1722"/>
      <c r="CA1722"/>
      <c r="CB1722"/>
      <c r="CC1722"/>
      <c r="CD1722"/>
      <c r="CE1722"/>
      <c r="CF1722"/>
      <c r="CG1722"/>
      <c r="CH1722"/>
      <c r="CI1722"/>
      <c r="CJ1722"/>
      <c r="CK1722"/>
      <c r="CL1722"/>
      <c r="CM1722"/>
      <c r="CN1722"/>
      <c r="CO1722"/>
      <c r="CP1722"/>
      <c r="CQ1722"/>
      <c r="CR1722"/>
      <c r="CS1722"/>
      <c r="CT1722"/>
      <c r="CU1722"/>
      <c r="CV1722"/>
      <c r="CW1722"/>
      <c r="CX1722"/>
      <c r="CY1722"/>
      <c r="CZ1722"/>
      <c r="DA1722"/>
      <c r="DB1722"/>
      <c r="DC1722"/>
      <c r="DD1722"/>
      <c r="DE1722"/>
      <c r="DF1722"/>
      <c r="DG1722"/>
      <c r="DH1722"/>
      <c r="DI1722"/>
      <c r="DJ1722"/>
      <c r="DK1722"/>
      <c r="DL1722"/>
      <c r="DM1722"/>
      <c r="DN1722"/>
      <c r="DO1722"/>
      <c r="DP1722"/>
      <c r="DQ1722"/>
      <c r="DR1722"/>
      <c r="DS1722"/>
      <c r="DT1722"/>
      <c r="DU1722"/>
      <c r="DV1722"/>
      <c r="DW1722"/>
      <c r="DX1722"/>
      <c r="DY1722"/>
      <c r="DZ1722"/>
      <c r="EA1722"/>
      <c r="EB1722"/>
      <c r="EC1722"/>
      <c r="ED1722"/>
      <c r="EE1722"/>
      <c r="EF1722"/>
      <c r="EG1722"/>
      <c r="EH1722"/>
      <c r="EI1722"/>
      <c r="EJ1722"/>
      <c r="EK1722"/>
      <c r="EL1722"/>
      <c r="EM1722"/>
      <c r="EN1722"/>
      <c r="EO1722"/>
      <c r="EP1722"/>
      <c r="EQ1722"/>
      <c r="ER1722"/>
      <c r="ES1722"/>
    </row>
    <row r="1723" spans="1:149">
      <c r="A1723"/>
      <c r="B1723"/>
      <c r="C1723"/>
      <c r="D1723"/>
      <c r="E1723"/>
      <c r="F1723"/>
      <c r="G1723"/>
      <c r="H1723"/>
      <c r="I1723"/>
      <c r="J1723"/>
      <c r="K1723"/>
      <c r="L1723"/>
      <c r="M1723"/>
      <c r="N1723"/>
      <c r="O1723"/>
      <c r="P1723"/>
      <c r="Q1723"/>
      <c r="R1723"/>
      <c r="S1723"/>
      <c r="T1723"/>
      <c r="U1723"/>
      <c r="V1723"/>
      <c r="W1723"/>
      <c r="X1723"/>
      <c r="Y1723"/>
      <c r="Z1723"/>
      <c r="AA1723"/>
      <c r="AB1723"/>
      <c r="AC1723"/>
      <c r="AD1723"/>
      <c r="AE1723"/>
      <c r="AF1723"/>
      <c r="AG1723"/>
      <c r="AH1723"/>
      <c r="AI1723"/>
      <c r="AJ1723"/>
      <c r="AK1723"/>
      <c r="AL1723"/>
      <c r="AM1723"/>
      <c r="AN1723"/>
      <c r="AO1723"/>
      <c r="AP1723"/>
      <c r="AQ1723"/>
      <c r="AR1723"/>
      <c r="AS1723"/>
      <c r="AT1723"/>
      <c r="AU1723"/>
      <c r="AV1723"/>
      <c r="AW1723"/>
      <c r="AX1723"/>
      <c r="AY1723"/>
      <c r="AZ1723"/>
      <c r="BA1723"/>
      <c r="BB1723"/>
      <c r="BC1723"/>
      <c r="BD1723"/>
      <c r="BE1723"/>
      <c r="BF1723"/>
      <c r="BG1723"/>
      <c r="BH1723"/>
      <c r="BI1723"/>
      <c r="BJ1723"/>
      <c r="BK1723"/>
      <c r="BL1723"/>
      <c r="BM1723"/>
      <c r="BN1723"/>
      <c r="BO1723"/>
      <c r="BP1723"/>
      <c r="BQ1723"/>
      <c r="BR1723"/>
      <c r="BS1723"/>
      <c r="BT1723"/>
      <c r="BU1723"/>
      <c r="BV1723"/>
      <c r="BW1723"/>
      <c r="BX1723"/>
      <c r="BY1723"/>
      <c r="BZ1723"/>
      <c r="CA1723"/>
      <c r="CB1723"/>
      <c r="CC1723"/>
      <c r="CD1723"/>
      <c r="CE1723"/>
      <c r="CF1723"/>
      <c r="CG1723"/>
      <c r="CH1723"/>
      <c r="CI1723"/>
      <c r="CJ1723"/>
      <c r="CK1723"/>
      <c r="CL1723"/>
      <c r="CM1723"/>
      <c r="CN1723"/>
      <c r="CO1723"/>
      <c r="CP1723"/>
      <c r="CQ1723"/>
      <c r="CR1723"/>
      <c r="CS1723"/>
      <c r="CT1723"/>
      <c r="CU1723"/>
      <c r="CV1723"/>
      <c r="CW1723"/>
      <c r="CX1723"/>
      <c r="CY1723"/>
      <c r="CZ1723"/>
      <c r="DA1723"/>
      <c r="DB1723"/>
      <c r="DC1723"/>
      <c r="DD1723"/>
      <c r="DE1723"/>
      <c r="DF1723"/>
      <c r="DG1723"/>
      <c r="DH1723"/>
      <c r="DI1723"/>
      <c r="DJ1723"/>
      <c r="DK1723"/>
      <c r="DL1723"/>
      <c r="DM1723"/>
      <c r="DN1723"/>
      <c r="DO1723"/>
      <c r="DP1723"/>
      <c r="DQ1723"/>
      <c r="DR1723"/>
      <c r="DS1723"/>
      <c r="DT1723"/>
      <c r="DU1723"/>
      <c r="DV1723"/>
      <c r="DW1723"/>
      <c r="DX1723"/>
      <c r="DY1723"/>
      <c r="DZ1723"/>
      <c r="EA1723"/>
      <c r="EB1723"/>
      <c r="EC1723"/>
      <c r="ED1723"/>
      <c r="EE1723"/>
      <c r="EF1723"/>
      <c r="EG1723"/>
      <c r="EH1723"/>
      <c r="EI1723"/>
      <c r="EJ1723"/>
      <c r="EK1723"/>
      <c r="EL1723"/>
      <c r="EM1723"/>
      <c r="EN1723"/>
      <c r="EO1723"/>
      <c r="EP1723"/>
      <c r="EQ1723"/>
      <c r="ER1723"/>
      <c r="ES1723"/>
    </row>
    <row r="1724" spans="1:149">
      <c r="A1724"/>
      <c r="B1724"/>
      <c r="C1724"/>
      <c r="D1724"/>
      <c r="E1724"/>
      <c r="F1724"/>
      <c r="G1724"/>
      <c r="H1724"/>
      <c r="I1724"/>
      <c r="J1724"/>
      <c r="K1724"/>
      <c r="L1724"/>
      <c r="M1724"/>
      <c r="N1724"/>
      <c r="O1724"/>
      <c r="P1724"/>
      <c r="Q1724"/>
      <c r="R1724"/>
      <c r="S1724"/>
      <c r="T1724"/>
      <c r="U1724"/>
      <c r="V1724"/>
      <c r="W1724"/>
      <c r="X1724"/>
      <c r="Y1724"/>
      <c r="Z1724"/>
      <c r="AA1724"/>
      <c r="AB1724"/>
      <c r="AC1724"/>
      <c r="AD1724"/>
      <c r="AE1724"/>
      <c r="AF1724"/>
      <c r="AG1724"/>
      <c r="AH1724"/>
      <c r="AI1724"/>
      <c r="AJ1724"/>
      <c r="AK1724"/>
      <c r="AL1724"/>
      <c r="AM1724"/>
      <c r="AN1724"/>
      <c r="AO1724"/>
      <c r="AP1724"/>
      <c r="AQ1724"/>
      <c r="AR1724"/>
      <c r="AS1724"/>
      <c r="AT1724"/>
      <c r="AU1724"/>
      <c r="AV1724"/>
      <c r="AW1724"/>
      <c r="AX1724"/>
      <c r="AY1724"/>
      <c r="AZ1724"/>
      <c r="BA1724"/>
      <c r="BB1724"/>
      <c r="BC1724"/>
      <c r="BD1724"/>
      <c r="BE1724"/>
      <c r="BF1724"/>
      <c r="BG1724"/>
      <c r="BH1724"/>
      <c r="BI1724"/>
      <c r="BJ1724"/>
      <c r="BK1724"/>
      <c r="BL1724"/>
      <c r="BM1724"/>
      <c r="BN1724"/>
      <c r="BO1724"/>
      <c r="BP1724"/>
      <c r="BQ1724"/>
      <c r="BR1724"/>
      <c r="BS1724"/>
      <c r="BT1724"/>
      <c r="BU1724"/>
      <c r="BV1724"/>
      <c r="BW1724"/>
      <c r="BX1724"/>
      <c r="BY1724"/>
      <c r="BZ1724"/>
      <c r="CA1724"/>
      <c r="CB1724"/>
      <c r="CC1724"/>
      <c r="CD1724"/>
      <c r="CE1724"/>
      <c r="CF1724"/>
      <c r="CG1724"/>
      <c r="CH1724"/>
      <c r="CI1724"/>
      <c r="CJ1724"/>
      <c r="CK1724"/>
      <c r="CL1724"/>
      <c r="CM1724"/>
      <c r="CN1724"/>
      <c r="CO1724"/>
      <c r="CP1724"/>
      <c r="CQ1724"/>
      <c r="CR1724"/>
      <c r="CS1724"/>
      <c r="CT1724"/>
      <c r="CU1724"/>
      <c r="CV1724"/>
      <c r="CW1724"/>
      <c r="CX1724"/>
      <c r="CY1724"/>
      <c r="CZ1724"/>
      <c r="DA1724"/>
      <c r="DB1724"/>
      <c r="DC1724"/>
      <c r="DD1724"/>
      <c r="DE1724"/>
      <c r="DF1724"/>
      <c r="DG1724"/>
      <c r="DH1724"/>
      <c r="DI1724"/>
      <c r="DJ1724"/>
      <c r="DK1724"/>
      <c r="DL1724"/>
      <c r="DM1724"/>
      <c r="DN1724"/>
      <c r="DO1724"/>
      <c r="DP1724"/>
      <c r="DQ1724"/>
      <c r="DR1724"/>
      <c r="DS1724"/>
      <c r="DT1724"/>
      <c r="DU1724"/>
      <c r="DV1724"/>
      <c r="DW1724"/>
      <c r="DX1724"/>
      <c r="DY1724"/>
      <c r="DZ1724"/>
      <c r="EA1724"/>
      <c r="EB1724"/>
      <c r="EC1724"/>
      <c r="ED1724"/>
      <c r="EE1724"/>
      <c r="EF1724"/>
      <c r="EG1724"/>
      <c r="EH1724"/>
      <c r="EI1724"/>
      <c r="EJ1724"/>
      <c r="EK1724"/>
      <c r="EL1724"/>
      <c r="EM1724"/>
      <c r="EN1724"/>
      <c r="EO1724"/>
      <c r="EP1724"/>
      <c r="EQ1724"/>
      <c r="ER1724"/>
      <c r="ES1724"/>
    </row>
    <row r="1725" spans="1:149">
      <c r="A1725"/>
      <c r="B1725"/>
      <c r="C1725"/>
      <c r="D1725"/>
      <c r="E1725"/>
      <c r="F1725"/>
      <c r="G1725"/>
      <c r="H1725"/>
      <c r="I1725"/>
      <c r="J1725"/>
      <c r="K1725"/>
      <c r="L1725"/>
      <c r="M1725"/>
      <c r="N1725"/>
      <c r="O1725"/>
      <c r="P1725"/>
      <c r="Q1725"/>
      <c r="R1725"/>
      <c r="S1725"/>
      <c r="T1725"/>
      <c r="U1725"/>
      <c r="V1725"/>
      <c r="W1725"/>
      <c r="X1725"/>
      <c r="Y1725"/>
      <c r="Z1725"/>
      <c r="AA1725"/>
      <c r="AB1725"/>
      <c r="AC1725"/>
      <c r="AD1725"/>
      <c r="AE1725"/>
      <c r="AF1725"/>
      <c r="AG1725"/>
      <c r="AH1725"/>
      <c r="AI1725"/>
      <c r="AJ1725"/>
      <c r="AK1725"/>
      <c r="AL1725"/>
      <c r="AM1725"/>
      <c r="AN1725"/>
      <c r="AO1725"/>
      <c r="AP1725"/>
      <c r="AQ1725"/>
      <c r="AR1725"/>
      <c r="AS1725"/>
      <c r="AT1725"/>
      <c r="AU1725"/>
      <c r="AV1725"/>
      <c r="AW1725"/>
      <c r="AX1725"/>
      <c r="AY1725"/>
      <c r="AZ1725"/>
      <c r="BA1725"/>
      <c r="BB1725"/>
      <c r="BC1725"/>
      <c r="BD1725"/>
      <c r="BE1725"/>
      <c r="BF1725"/>
      <c r="BG1725"/>
      <c r="BH1725"/>
      <c r="BI1725"/>
      <c r="BJ1725"/>
      <c r="BK1725"/>
      <c r="BL1725"/>
      <c r="BM1725"/>
      <c r="BN1725"/>
      <c r="BO1725"/>
      <c r="BP1725"/>
      <c r="BQ1725"/>
      <c r="BR1725"/>
      <c r="BS1725"/>
      <c r="BT1725"/>
      <c r="BU1725"/>
      <c r="BV1725"/>
      <c r="BW1725"/>
      <c r="BX1725"/>
      <c r="BY1725"/>
      <c r="BZ1725"/>
      <c r="CA1725"/>
      <c r="CB1725"/>
      <c r="CC1725"/>
      <c r="CD1725"/>
      <c r="CE1725"/>
      <c r="CF1725"/>
      <c r="CG1725"/>
      <c r="CH1725"/>
      <c r="CI1725"/>
      <c r="CJ1725"/>
      <c r="CK1725"/>
      <c r="CL1725"/>
      <c r="CM1725"/>
      <c r="CN1725"/>
      <c r="CO1725"/>
      <c r="CP1725"/>
      <c r="CQ1725"/>
      <c r="CR1725"/>
      <c r="CS1725"/>
      <c r="CT1725"/>
      <c r="CU1725"/>
      <c r="CV1725"/>
      <c r="CW1725"/>
      <c r="CX1725"/>
      <c r="CY1725"/>
      <c r="CZ1725"/>
      <c r="DA1725"/>
      <c r="DB1725"/>
      <c r="DC1725"/>
      <c r="DD1725"/>
      <c r="DE1725"/>
      <c r="DF1725"/>
      <c r="DG1725"/>
      <c r="DH1725"/>
      <c r="DI1725"/>
      <c r="DJ1725"/>
      <c r="DK1725"/>
      <c r="DL1725"/>
      <c r="DM1725"/>
      <c r="DN1725"/>
      <c r="DO1725"/>
      <c r="DP1725"/>
      <c r="DQ1725"/>
      <c r="DR1725"/>
      <c r="DS1725"/>
      <c r="DT1725"/>
      <c r="DU1725"/>
      <c r="DV1725"/>
      <c r="DW1725"/>
      <c r="DX1725"/>
      <c r="DY1725"/>
      <c r="DZ1725"/>
      <c r="EA1725"/>
      <c r="EB1725"/>
      <c r="EC1725"/>
      <c r="ED1725"/>
      <c r="EE1725"/>
      <c r="EF1725"/>
      <c r="EG1725"/>
      <c r="EH1725"/>
      <c r="EI1725"/>
      <c r="EJ1725"/>
      <c r="EK1725"/>
      <c r="EL1725"/>
      <c r="EM1725"/>
      <c r="EN1725"/>
      <c r="EO1725"/>
      <c r="EP1725"/>
      <c r="EQ1725"/>
      <c r="ER1725"/>
      <c r="ES1725"/>
    </row>
    <row r="1726" spans="1:149">
      <c r="A1726"/>
      <c r="B1726"/>
      <c r="C1726"/>
      <c r="D1726"/>
      <c r="E1726"/>
      <c r="F1726"/>
      <c r="G1726"/>
      <c r="H1726"/>
      <c r="I1726"/>
      <c r="J1726"/>
      <c r="K1726"/>
      <c r="L1726"/>
      <c r="M1726"/>
      <c r="N1726"/>
      <c r="O1726"/>
      <c r="P1726"/>
      <c r="Q1726"/>
      <c r="R1726"/>
      <c r="S1726"/>
      <c r="T1726"/>
      <c r="U1726"/>
      <c r="V1726"/>
      <c r="W1726"/>
      <c r="X1726"/>
      <c r="Y1726"/>
      <c r="Z1726"/>
      <c r="AA1726"/>
      <c r="AB1726"/>
      <c r="AC1726"/>
      <c r="AD1726"/>
      <c r="AE1726"/>
      <c r="AF1726"/>
      <c r="AG1726"/>
      <c r="AH1726"/>
      <c r="AI1726"/>
      <c r="AJ1726"/>
      <c r="AK1726"/>
      <c r="AL1726"/>
      <c r="AM1726"/>
      <c r="AN1726"/>
      <c r="AO1726"/>
      <c r="AP1726"/>
      <c r="AQ1726"/>
      <c r="AR1726"/>
      <c r="AS1726"/>
      <c r="AT1726"/>
      <c r="AU1726"/>
      <c r="AV1726"/>
      <c r="AW1726"/>
      <c r="AX1726"/>
      <c r="AY1726"/>
      <c r="AZ1726"/>
      <c r="BA1726"/>
      <c r="BB1726"/>
      <c r="BC1726"/>
      <c r="BD1726"/>
      <c r="BE1726"/>
      <c r="BF1726"/>
      <c r="BG1726"/>
      <c r="BH1726"/>
      <c r="BI1726"/>
      <c r="BJ1726"/>
      <c r="BK1726"/>
      <c r="BL1726"/>
      <c r="BM1726"/>
      <c r="BN1726"/>
      <c r="BO1726"/>
      <c r="BP1726"/>
      <c r="BQ1726"/>
      <c r="BR1726"/>
      <c r="BS1726"/>
      <c r="BT1726"/>
      <c r="BU1726"/>
      <c r="BV1726"/>
      <c r="BW1726"/>
      <c r="BX1726"/>
      <c r="BY1726"/>
      <c r="BZ1726"/>
      <c r="CA1726"/>
      <c r="CB1726"/>
      <c r="CC1726"/>
      <c r="CD1726"/>
      <c r="CE1726"/>
      <c r="CF1726"/>
      <c r="CG1726"/>
      <c r="CH1726"/>
      <c r="CI1726"/>
      <c r="CJ1726"/>
      <c r="CK1726"/>
      <c r="CL1726"/>
      <c r="CM1726"/>
      <c r="CN1726"/>
      <c r="CO1726"/>
      <c r="CP1726"/>
      <c r="CQ1726"/>
      <c r="CR1726"/>
      <c r="CS1726"/>
      <c r="CT1726"/>
      <c r="CU1726"/>
      <c r="CV1726"/>
      <c r="CW1726"/>
      <c r="CX1726"/>
      <c r="CY1726"/>
      <c r="CZ1726"/>
      <c r="DA1726"/>
      <c r="DB1726"/>
      <c r="DC1726"/>
      <c r="DD1726"/>
      <c r="DE1726"/>
      <c r="DF1726"/>
      <c r="DG1726"/>
      <c r="DH1726"/>
      <c r="DI1726"/>
      <c r="DJ1726"/>
      <c r="DK1726"/>
      <c r="DL1726"/>
      <c r="DM1726"/>
      <c r="DN1726"/>
      <c r="DO1726"/>
      <c r="DP1726"/>
      <c r="DQ1726"/>
      <c r="DR1726"/>
      <c r="DS1726"/>
      <c r="DT1726"/>
      <c r="DU1726"/>
      <c r="DV1726"/>
      <c r="DW1726"/>
      <c r="DX1726"/>
      <c r="DY1726"/>
      <c r="DZ1726"/>
      <c r="EA1726"/>
      <c r="EB1726"/>
      <c r="EC1726"/>
      <c r="ED1726"/>
      <c r="EE1726"/>
      <c r="EF1726"/>
      <c r="EG1726"/>
      <c r="EH1726"/>
      <c r="EI1726"/>
      <c r="EJ1726"/>
      <c r="EK1726"/>
      <c r="EL1726"/>
      <c r="EM1726"/>
      <c r="EN1726"/>
      <c r="EO1726"/>
      <c r="EP1726"/>
      <c r="EQ1726"/>
      <c r="ER1726"/>
      <c r="ES1726"/>
    </row>
    <row r="1727" spans="1:149">
      <c r="A1727"/>
      <c r="B1727"/>
      <c r="C1727"/>
      <c r="D1727"/>
      <c r="E1727"/>
      <c r="F1727"/>
      <c r="G1727"/>
      <c r="H1727"/>
      <c r="I1727"/>
      <c r="J1727"/>
      <c r="K1727"/>
      <c r="L1727"/>
      <c r="M1727"/>
      <c r="N1727"/>
      <c r="O1727"/>
      <c r="P1727"/>
      <c r="Q1727"/>
      <c r="R1727"/>
      <c r="S1727"/>
      <c r="T1727"/>
      <c r="U1727"/>
      <c r="V1727"/>
      <c r="W1727"/>
      <c r="X1727"/>
      <c r="Y1727"/>
      <c r="Z1727"/>
      <c r="AA1727"/>
      <c r="AB1727"/>
      <c r="AC1727"/>
      <c r="AD1727"/>
      <c r="AE1727"/>
      <c r="AF1727"/>
      <c r="AG1727"/>
      <c r="AH1727"/>
      <c r="AI1727"/>
      <c r="AJ1727"/>
      <c r="AK1727"/>
      <c r="AL1727"/>
      <c r="AM1727"/>
      <c r="AN1727"/>
      <c r="AO1727"/>
      <c r="AP1727"/>
      <c r="AQ1727"/>
      <c r="AR1727"/>
      <c r="AS1727"/>
      <c r="AT1727"/>
      <c r="AU1727"/>
      <c r="AV1727"/>
      <c r="AW1727"/>
      <c r="AX1727"/>
      <c r="AY1727"/>
      <c r="AZ1727"/>
      <c r="BA1727"/>
      <c r="BB1727"/>
      <c r="BC1727"/>
      <c r="BD1727"/>
      <c r="BE1727"/>
      <c r="BF1727"/>
      <c r="BG1727"/>
      <c r="BH1727"/>
      <c r="BI1727"/>
      <c r="BJ1727"/>
      <c r="BK1727"/>
      <c r="BL1727"/>
      <c r="BM1727"/>
      <c r="BN1727"/>
      <c r="BO1727"/>
      <c r="BP1727"/>
      <c r="BQ1727"/>
      <c r="BR1727"/>
      <c r="BS1727"/>
      <c r="BT1727"/>
      <c r="BU1727"/>
      <c r="BV1727"/>
      <c r="BW1727"/>
      <c r="BX1727"/>
      <c r="BY1727"/>
      <c r="BZ1727"/>
      <c r="CA1727"/>
      <c r="CB1727"/>
      <c r="CC1727"/>
      <c r="CD1727"/>
      <c r="CE1727"/>
      <c r="CF1727"/>
      <c r="CG1727"/>
      <c r="CH1727"/>
      <c r="CI1727"/>
      <c r="CJ1727"/>
      <c r="CK1727"/>
      <c r="CL1727"/>
      <c r="CM1727"/>
      <c r="CN1727"/>
      <c r="CO1727"/>
      <c r="CP1727"/>
      <c r="CQ1727"/>
      <c r="CR1727"/>
      <c r="CS1727"/>
      <c r="CT1727"/>
      <c r="CU1727"/>
      <c r="CV1727"/>
      <c r="CW1727"/>
      <c r="CX1727"/>
      <c r="CY1727"/>
      <c r="CZ1727"/>
      <c r="DA1727"/>
      <c r="DB1727"/>
      <c r="DC1727"/>
      <c r="DD1727"/>
      <c r="DE1727"/>
      <c r="DF1727"/>
      <c r="DG1727"/>
      <c r="DH1727"/>
      <c r="DI1727"/>
      <c r="DJ1727"/>
      <c r="DK1727"/>
      <c r="DL1727"/>
      <c r="DM1727"/>
      <c r="DN1727"/>
      <c r="DO1727"/>
      <c r="DP1727"/>
      <c r="DQ1727"/>
      <c r="DR1727"/>
      <c r="DS1727"/>
      <c r="DT1727"/>
      <c r="DU1727"/>
      <c r="DV1727"/>
      <c r="DW1727"/>
      <c r="DX1727"/>
      <c r="DY1727"/>
      <c r="DZ1727"/>
      <c r="EA1727"/>
      <c r="EB1727"/>
      <c r="EC1727"/>
      <c r="ED1727"/>
      <c r="EE1727"/>
      <c r="EF1727"/>
      <c r="EG1727"/>
      <c r="EH1727"/>
      <c r="EI1727"/>
      <c r="EJ1727"/>
      <c r="EK1727"/>
      <c r="EL1727"/>
      <c r="EM1727"/>
      <c r="EN1727"/>
      <c r="EO1727"/>
      <c r="EP1727"/>
      <c r="EQ1727"/>
      <c r="ER1727"/>
      <c r="ES1727"/>
    </row>
    <row r="1728" spans="1:149">
      <c r="A1728"/>
      <c r="B1728"/>
      <c r="C1728"/>
      <c r="D1728"/>
      <c r="E1728"/>
      <c r="F1728"/>
      <c r="G1728"/>
      <c r="H1728"/>
      <c r="I1728"/>
      <c r="J1728"/>
      <c r="K1728"/>
      <c r="L1728"/>
      <c r="M1728"/>
      <c r="N1728"/>
      <c r="O1728"/>
      <c r="P1728"/>
      <c r="Q1728"/>
      <c r="R1728"/>
      <c r="S1728"/>
      <c r="T1728"/>
      <c r="U1728"/>
      <c r="V1728"/>
      <c r="W1728"/>
      <c r="X1728"/>
      <c r="Y1728"/>
      <c r="Z1728"/>
      <c r="AA1728"/>
      <c r="AB1728"/>
      <c r="AC1728"/>
      <c r="AD1728"/>
      <c r="AE1728"/>
      <c r="AF1728"/>
      <c r="AG1728"/>
      <c r="AH1728"/>
      <c r="AI1728"/>
      <c r="AJ1728"/>
      <c r="AK1728"/>
      <c r="AL1728"/>
      <c r="AM1728"/>
      <c r="AN1728"/>
      <c r="AO1728"/>
      <c r="AP1728"/>
      <c r="AQ1728"/>
      <c r="AR1728"/>
      <c r="AS1728"/>
      <c r="AT1728"/>
      <c r="AU1728"/>
      <c r="AV1728"/>
      <c r="AW1728"/>
      <c r="AX1728"/>
      <c r="AY1728"/>
      <c r="AZ1728"/>
      <c r="BA1728"/>
      <c r="BB1728"/>
      <c r="BC1728"/>
      <c r="BD1728"/>
      <c r="BE1728"/>
      <c r="BF1728"/>
      <c r="BG1728"/>
      <c r="BH1728"/>
      <c r="BI1728"/>
      <c r="BJ1728"/>
      <c r="BK1728"/>
      <c r="BL1728"/>
      <c r="BM1728"/>
      <c r="BN1728"/>
      <c r="BO1728"/>
      <c r="BP1728"/>
      <c r="BQ1728"/>
      <c r="BR1728"/>
      <c r="BS1728"/>
      <c r="BT1728"/>
      <c r="BU1728"/>
      <c r="BV1728"/>
      <c r="BW1728"/>
      <c r="BX1728"/>
      <c r="BY1728"/>
      <c r="BZ1728"/>
      <c r="CA1728"/>
      <c r="CB1728"/>
      <c r="CC1728"/>
      <c r="CD1728"/>
      <c r="CE1728"/>
      <c r="CF1728"/>
      <c r="CG1728"/>
      <c r="CH1728"/>
      <c r="CI1728"/>
      <c r="CJ1728"/>
      <c r="CK1728"/>
      <c r="CL1728"/>
      <c r="CM1728"/>
      <c r="CN1728"/>
      <c r="CO1728"/>
      <c r="CP1728"/>
      <c r="CQ1728"/>
      <c r="CR1728"/>
      <c r="CS1728"/>
      <c r="CT1728"/>
      <c r="CU1728"/>
      <c r="CV1728"/>
      <c r="CW1728"/>
      <c r="CX1728"/>
      <c r="CY1728"/>
      <c r="CZ1728"/>
      <c r="DA1728"/>
      <c r="DB1728"/>
      <c r="DC1728"/>
      <c r="DD1728"/>
      <c r="DE1728"/>
      <c r="DF1728"/>
      <c r="DG1728"/>
      <c r="DH1728"/>
      <c r="DI1728"/>
      <c r="DJ1728"/>
      <c r="DK1728"/>
      <c r="DL1728"/>
      <c r="DM1728"/>
      <c r="DN1728"/>
      <c r="DO1728"/>
      <c r="DP1728"/>
      <c r="DQ1728"/>
      <c r="DR1728"/>
      <c r="DS1728"/>
      <c r="DT1728"/>
      <c r="DU1728"/>
      <c r="DV1728"/>
      <c r="DW1728"/>
      <c r="DX1728"/>
      <c r="DY1728"/>
      <c r="DZ1728"/>
      <c r="EA1728"/>
      <c r="EB1728"/>
      <c r="EC1728"/>
      <c r="ED1728"/>
      <c r="EE1728"/>
      <c r="EF1728"/>
      <c r="EG1728"/>
      <c r="EH1728"/>
      <c r="EI1728"/>
      <c r="EJ1728"/>
      <c r="EK1728"/>
      <c r="EL1728"/>
      <c r="EM1728"/>
      <c r="EN1728"/>
      <c r="EO1728"/>
      <c r="EP1728"/>
      <c r="EQ1728"/>
      <c r="ER1728"/>
      <c r="ES1728"/>
    </row>
    <row r="1729" spans="1:149">
      <c r="A1729"/>
      <c r="B1729"/>
      <c r="C1729"/>
      <c r="D1729"/>
      <c r="E1729"/>
      <c r="F1729"/>
      <c r="G1729"/>
      <c r="H1729"/>
      <c r="I1729"/>
      <c r="J1729"/>
      <c r="K1729"/>
      <c r="L1729"/>
      <c r="M1729"/>
      <c r="N1729"/>
      <c r="O1729"/>
      <c r="P1729"/>
      <c r="Q1729"/>
      <c r="R1729"/>
      <c r="S1729"/>
      <c r="T1729"/>
      <c r="U1729"/>
      <c r="V1729"/>
      <c r="W1729"/>
      <c r="X1729"/>
      <c r="Y1729"/>
      <c r="Z1729"/>
      <c r="AA1729"/>
      <c r="AB1729"/>
      <c r="AC1729"/>
      <c r="AD1729"/>
      <c r="AE1729"/>
      <c r="AF1729"/>
      <c r="AG1729"/>
      <c r="AH1729"/>
      <c r="AI1729"/>
      <c r="AJ1729"/>
      <c r="AK1729"/>
      <c r="AL1729"/>
      <c r="AM1729"/>
      <c r="AN1729"/>
      <c r="AO1729"/>
      <c r="AP1729"/>
      <c r="AQ1729"/>
      <c r="AR1729"/>
      <c r="AS1729"/>
      <c r="AT1729"/>
      <c r="AU1729"/>
      <c r="AV1729"/>
      <c r="AW1729"/>
      <c r="AX1729"/>
      <c r="AY1729"/>
      <c r="AZ1729"/>
      <c r="BA1729"/>
      <c r="BB1729"/>
      <c r="BC1729"/>
      <c r="BD1729"/>
      <c r="BE1729"/>
      <c r="BF1729"/>
      <c r="BG1729"/>
      <c r="BH1729"/>
      <c r="BI1729"/>
      <c r="BJ1729"/>
      <c r="BK1729"/>
      <c r="BL1729"/>
      <c r="BM1729"/>
      <c r="BN1729"/>
      <c r="BO1729"/>
      <c r="BP1729"/>
      <c r="BQ1729"/>
      <c r="BR1729"/>
      <c r="BS1729"/>
      <c r="BT1729"/>
      <c r="BU1729"/>
      <c r="BV1729"/>
      <c r="BW1729"/>
      <c r="BX1729"/>
      <c r="BY1729"/>
      <c r="BZ1729"/>
      <c r="CA1729"/>
      <c r="CB1729"/>
      <c r="CC1729"/>
      <c r="CD1729"/>
      <c r="CE1729"/>
      <c r="CF1729"/>
      <c r="CG1729"/>
      <c r="CH1729"/>
      <c r="CI1729"/>
      <c r="CJ1729"/>
      <c r="CK1729"/>
      <c r="CL1729"/>
      <c r="CM1729"/>
      <c r="CN1729"/>
      <c r="CO1729"/>
      <c r="CP1729"/>
      <c r="CQ1729"/>
      <c r="CR1729"/>
      <c r="CS1729"/>
      <c r="CT1729"/>
      <c r="CU1729"/>
      <c r="CV1729"/>
      <c r="CW1729"/>
      <c r="CX1729"/>
      <c r="CY1729"/>
      <c r="CZ1729"/>
      <c r="DA1729"/>
      <c r="DB1729"/>
      <c r="DC1729"/>
      <c r="DD1729"/>
      <c r="DE1729"/>
      <c r="DF1729"/>
      <c r="DG1729"/>
      <c r="DH1729"/>
      <c r="DI1729"/>
      <c r="DJ1729"/>
      <c r="DK1729"/>
      <c r="DL1729"/>
      <c r="DM1729"/>
      <c r="DN1729"/>
      <c r="DO1729"/>
      <c r="DP1729"/>
      <c r="DQ1729"/>
      <c r="DR1729"/>
      <c r="DS1729"/>
      <c r="DT1729"/>
      <c r="DU1729"/>
      <c r="DV1729"/>
      <c r="DW1729"/>
      <c r="DX1729"/>
      <c r="DY1729"/>
      <c r="DZ1729"/>
      <c r="EA1729"/>
      <c r="EB1729"/>
      <c r="EC1729"/>
      <c r="ED1729"/>
      <c r="EE1729"/>
      <c r="EF1729"/>
      <c r="EG1729"/>
      <c r="EH1729"/>
      <c r="EI1729"/>
      <c r="EJ1729"/>
      <c r="EK1729"/>
      <c r="EL1729"/>
      <c r="EM1729"/>
      <c r="EN1729"/>
      <c r="EO1729"/>
      <c r="EP1729"/>
      <c r="EQ1729"/>
      <c r="ER1729"/>
      <c r="ES1729"/>
    </row>
    <row r="1730" spans="1:149">
      <c r="A1730"/>
      <c r="B1730"/>
      <c r="C1730"/>
      <c r="D1730"/>
      <c r="E1730"/>
      <c r="F1730"/>
      <c r="G1730"/>
      <c r="H1730"/>
      <c r="I1730"/>
      <c r="J1730"/>
      <c r="K1730"/>
      <c r="L1730"/>
      <c r="M1730"/>
      <c r="N1730"/>
      <c r="O1730"/>
      <c r="P1730"/>
      <c r="Q1730"/>
      <c r="R1730"/>
      <c r="S1730"/>
      <c r="T1730"/>
      <c r="U1730"/>
      <c r="V1730"/>
      <c r="W1730"/>
      <c r="X1730"/>
      <c r="Y1730"/>
      <c r="Z1730"/>
      <c r="AA1730"/>
      <c r="AB1730"/>
      <c r="AC1730"/>
      <c r="AD1730"/>
      <c r="AE1730"/>
      <c r="AF1730"/>
      <c r="AG1730"/>
      <c r="AH1730"/>
      <c r="AI1730"/>
      <c r="AJ1730"/>
      <c r="AK1730"/>
      <c r="AL1730"/>
      <c r="AM1730"/>
      <c r="AN1730"/>
      <c r="AO1730"/>
      <c r="AP1730"/>
      <c r="AQ1730"/>
      <c r="AR1730"/>
      <c r="AS1730"/>
      <c r="AT1730"/>
      <c r="AU1730"/>
      <c r="AV1730"/>
      <c r="AW1730"/>
      <c r="AX1730"/>
      <c r="AY1730"/>
      <c r="AZ1730"/>
      <c r="BA1730"/>
      <c r="BB1730"/>
      <c r="BC1730"/>
      <c r="BD1730"/>
      <c r="BE1730"/>
      <c r="BF1730"/>
      <c r="BG1730"/>
      <c r="BH1730"/>
      <c r="BI1730"/>
      <c r="BJ1730"/>
      <c r="BK1730"/>
      <c r="BL1730"/>
      <c r="BM1730"/>
      <c r="BN1730"/>
      <c r="BO1730"/>
      <c r="BP1730"/>
      <c r="BQ1730"/>
      <c r="BR1730"/>
      <c r="BS1730"/>
      <c r="BT1730"/>
      <c r="BU1730"/>
      <c r="BV1730"/>
      <c r="BW1730"/>
      <c r="BX1730"/>
      <c r="BY1730"/>
      <c r="BZ1730"/>
      <c r="CA1730"/>
      <c r="CB1730"/>
      <c r="CC1730"/>
      <c r="CD1730"/>
      <c r="CE1730"/>
      <c r="CF1730"/>
      <c r="CG1730"/>
      <c r="CH1730"/>
      <c r="CI1730"/>
      <c r="CJ1730"/>
      <c r="CK1730"/>
      <c r="CL1730"/>
      <c r="CM1730"/>
      <c r="CN1730"/>
      <c r="CO1730"/>
      <c r="CP1730"/>
      <c r="CQ1730"/>
      <c r="CR1730"/>
      <c r="CS1730"/>
      <c r="CT1730"/>
      <c r="CU1730"/>
      <c r="CV1730"/>
      <c r="CW1730"/>
      <c r="CX1730"/>
      <c r="CY1730"/>
      <c r="CZ1730"/>
      <c r="DA1730"/>
      <c r="DB1730"/>
      <c r="DC1730"/>
      <c r="DD1730"/>
      <c r="DE1730"/>
      <c r="DF1730"/>
      <c r="DG1730"/>
      <c r="DH1730"/>
      <c r="DI1730"/>
      <c r="DJ1730"/>
      <c r="DK1730"/>
      <c r="DL1730"/>
      <c r="DM1730"/>
      <c r="DN1730"/>
      <c r="DO1730"/>
      <c r="DP1730"/>
      <c r="DQ1730"/>
      <c r="DR1730"/>
      <c r="DS1730"/>
      <c r="DT1730"/>
      <c r="DU1730"/>
      <c r="DV1730"/>
      <c r="DW1730"/>
      <c r="DX1730"/>
      <c r="DY1730"/>
      <c r="DZ1730"/>
      <c r="EA1730"/>
      <c r="EB1730"/>
      <c r="EC1730"/>
      <c r="ED1730"/>
      <c r="EE1730"/>
      <c r="EF1730"/>
      <c r="EG1730"/>
      <c r="EH1730"/>
      <c r="EI1730"/>
      <c r="EJ1730"/>
      <c r="EK1730"/>
      <c r="EL1730"/>
      <c r="EM1730"/>
      <c r="EN1730"/>
      <c r="EO1730"/>
      <c r="EP1730"/>
      <c r="EQ1730"/>
      <c r="ER1730"/>
      <c r="ES1730"/>
    </row>
    <row r="1731" spans="1:149">
      <c r="A1731"/>
      <c r="B1731"/>
      <c r="C1731"/>
      <c r="D1731"/>
      <c r="E1731"/>
      <c r="F1731"/>
      <c r="G1731"/>
      <c r="H1731"/>
      <c r="I1731"/>
      <c r="J1731"/>
      <c r="K1731"/>
      <c r="L1731"/>
      <c r="M1731"/>
      <c r="N1731"/>
      <c r="O1731"/>
      <c r="P1731"/>
      <c r="Q1731"/>
      <c r="R1731"/>
      <c r="S1731"/>
      <c r="T1731"/>
      <c r="U1731"/>
      <c r="V1731"/>
      <c r="W1731"/>
      <c r="X1731"/>
      <c r="Y1731"/>
      <c r="Z1731"/>
      <c r="AA1731"/>
      <c r="AB1731"/>
      <c r="AC1731"/>
      <c r="AD1731"/>
      <c r="AE1731"/>
      <c r="AF1731"/>
      <c r="AG1731"/>
      <c r="AH1731"/>
      <c r="AI1731"/>
      <c r="AJ1731"/>
      <c r="AK1731"/>
      <c r="AL1731"/>
      <c r="AM1731"/>
      <c r="AN1731"/>
      <c r="AO1731"/>
      <c r="AP1731"/>
      <c r="AQ1731"/>
      <c r="AR1731"/>
      <c r="AS1731"/>
      <c r="AT1731"/>
      <c r="AU1731"/>
      <c r="AV1731"/>
      <c r="AW1731"/>
      <c r="AX1731"/>
      <c r="AY1731"/>
      <c r="AZ1731"/>
      <c r="BA1731"/>
      <c r="BB1731"/>
      <c r="BC1731"/>
      <c r="BD1731"/>
      <c r="BE1731"/>
      <c r="BF1731"/>
      <c r="BG1731"/>
      <c r="BH1731"/>
      <c r="BI1731"/>
      <c r="BJ1731"/>
      <c r="BK1731"/>
      <c r="BL1731"/>
      <c r="BM1731"/>
      <c r="BN1731"/>
      <c r="BO1731"/>
      <c r="BP1731"/>
      <c r="BQ1731"/>
      <c r="BR1731"/>
      <c r="BS1731"/>
      <c r="BT1731"/>
      <c r="BU1731"/>
      <c r="BV1731"/>
      <c r="BW1731"/>
      <c r="BX1731"/>
      <c r="BY1731"/>
      <c r="BZ1731"/>
      <c r="CA1731"/>
      <c r="CB1731"/>
      <c r="CC1731"/>
      <c r="CD1731"/>
      <c r="CE1731"/>
      <c r="CF1731"/>
      <c r="CG1731"/>
      <c r="CH1731"/>
      <c r="CI1731"/>
      <c r="CJ1731"/>
      <c r="CK1731"/>
      <c r="CL1731"/>
      <c r="CM1731"/>
      <c r="CN1731"/>
      <c r="CO1731"/>
      <c r="CP1731"/>
      <c r="CQ1731"/>
      <c r="CR1731"/>
      <c r="CS1731"/>
      <c r="CT1731"/>
      <c r="CU1731"/>
      <c r="CV1731"/>
      <c r="CW1731"/>
      <c r="CX1731"/>
      <c r="CY1731"/>
      <c r="CZ1731"/>
      <c r="DA1731"/>
      <c r="DB1731"/>
      <c r="DC1731"/>
      <c r="DD1731"/>
      <c r="DE1731"/>
      <c r="DF1731"/>
      <c r="DG1731"/>
      <c r="DH1731"/>
      <c r="DI1731"/>
      <c r="DJ1731"/>
      <c r="DK1731"/>
      <c r="DL1731"/>
      <c r="DM1731"/>
      <c r="DN1731"/>
      <c r="DO1731"/>
      <c r="DP1731"/>
      <c r="DQ1731"/>
      <c r="DR1731"/>
      <c r="DS1731"/>
      <c r="DT1731"/>
      <c r="DU1731"/>
      <c r="DV1731"/>
      <c r="DW1731"/>
      <c r="DX1731"/>
      <c r="DY1731"/>
      <c r="DZ1731"/>
      <c r="EA1731"/>
      <c r="EB1731"/>
      <c r="EC1731"/>
      <c r="ED1731"/>
      <c r="EE1731"/>
      <c r="EF1731"/>
      <c r="EG1731"/>
      <c r="EH1731"/>
      <c r="EI1731"/>
      <c r="EJ1731"/>
      <c r="EK1731"/>
      <c r="EL1731"/>
      <c r="EM1731"/>
      <c r="EN1731"/>
      <c r="EO1731"/>
      <c r="EP1731"/>
      <c r="EQ1731"/>
      <c r="ER1731"/>
      <c r="ES1731"/>
    </row>
    <row r="1732" spans="1:149">
      <c r="A1732"/>
      <c r="B1732"/>
      <c r="C1732"/>
      <c r="D1732"/>
      <c r="E1732"/>
      <c r="F1732"/>
      <c r="G1732"/>
      <c r="H1732"/>
      <c r="I1732"/>
      <c r="J1732"/>
      <c r="K1732"/>
      <c r="L1732"/>
      <c r="M1732"/>
      <c r="N1732"/>
      <c r="O1732"/>
      <c r="P1732"/>
      <c r="Q1732"/>
      <c r="R1732"/>
      <c r="S1732"/>
      <c r="T1732"/>
      <c r="U1732"/>
      <c r="V1732"/>
      <c r="W1732"/>
      <c r="X1732"/>
      <c r="Y1732"/>
      <c r="Z1732"/>
      <c r="AA1732"/>
      <c r="AB1732"/>
      <c r="AC1732"/>
      <c r="AD1732"/>
      <c r="AE1732"/>
      <c r="AF1732"/>
      <c r="AG1732"/>
      <c r="AH1732"/>
      <c r="AI1732"/>
      <c r="AJ1732"/>
      <c r="AK1732"/>
      <c r="AL1732"/>
      <c r="AM1732"/>
      <c r="AN1732"/>
      <c r="AO1732"/>
      <c r="AP1732"/>
      <c r="AQ1732"/>
      <c r="AR1732"/>
      <c r="AS1732"/>
      <c r="AT1732"/>
      <c r="AU1732"/>
      <c r="AV1732"/>
      <c r="AW1732"/>
      <c r="AX1732"/>
      <c r="AY1732"/>
      <c r="AZ1732"/>
      <c r="BA1732"/>
      <c r="BB1732"/>
      <c r="BC1732"/>
      <c r="BD1732"/>
      <c r="BE1732"/>
      <c r="BF1732"/>
      <c r="BG1732"/>
      <c r="BH1732"/>
      <c r="BI1732"/>
      <c r="BJ1732"/>
      <c r="BK1732"/>
      <c r="BL1732"/>
      <c r="BM1732"/>
      <c r="BN1732"/>
      <c r="BO1732"/>
      <c r="BP1732"/>
      <c r="BQ1732"/>
      <c r="BR1732"/>
      <c r="BS1732"/>
      <c r="BT1732"/>
      <c r="BU1732"/>
      <c r="BV1732"/>
      <c r="BW1732"/>
      <c r="BX1732"/>
      <c r="BY1732"/>
      <c r="BZ1732"/>
      <c r="CA1732"/>
      <c r="CB1732"/>
      <c r="CC1732"/>
      <c r="CD1732"/>
      <c r="CE1732"/>
      <c r="CF1732"/>
      <c r="CG1732"/>
      <c r="CH1732"/>
      <c r="CI1732"/>
      <c r="CJ1732"/>
      <c r="CK1732"/>
      <c r="CL1732"/>
      <c r="CM1732"/>
      <c r="CN1732"/>
      <c r="CO1732"/>
      <c r="CP1732"/>
      <c r="CQ1732"/>
      <c r="CR1732"/>
      <c r="CS1732"/>
      <c r="CT1732"/>
      <c r="CU1732"/>
      <c r="CV1732"/>
      <c r="CW1732"/>
      <c r="CX1732"/>
      <c r="CY1732"/>
      <c r="CZ1732"/>
      <c r="DA1732"/>
      <c r="DB1732"/>
      <c r="DC1732"/>
      <c r="DD1732"/>
      <c r="DE1732"/>
      <c r="DF1732"/>
      <c r="DG1732"/>
      <c r="DH1732"/>
      <c r="DI1732"/>
      <c r="DJ1732"/>
      <c r="DK1732"/>
      <c r="DL1732"/>
      <c r="DM1732"/>
      <c r="DN1732"/>
      <c r="DO1732"/>
      <c r="DP1732"/>
      <c r="DQ1732"/>
      <c r="DR1732"/>
      <c r="DS1732"/>
      <c r="DT1732"/>
      <c r="DU1732"/>
      <c r="DV1732"/>
      <c r="DW1732"/>
      <c r="DX1732"/>
      <c r="DY1732"/>
      <c r="DZ1732"/>
      <c r="EA1732"/>
      <c r="EB1732"/>
      <c r="EC1732"/>
      <c r="ED1732"/>
      <c r="EE1732"/>
      <c r="EF1732"/>
      <c r="EG1732"/>
      <c r="EH1732"/>
      <c r="EI1732"/>
      <c r="EJ1732"/>
      <c r="EK1732"/>
      <c r="EL1732"/>
      <c r="EM1732"/>
      <c r="EN1732"/>
      <c r="EO1732"/>
      <c r="EP1732"/>
      <c r="EQ1732"/>
      <c r="ER1732"/>
      <c r="ES1732"/>
    </row>
    <row r="1733" spans="1:149">
      <c r="A1733"/>
      <c r="B1733"/>
      <c r="C1733"/>
      <c r="D1733"/>
      <c r="E1733"/>
      <c r="F1733"/>
      <c r="G1733"/>
      <c r="H1733"/>
      <c r="I1733"/>
      <c r="J1733"/>
      <c r="K1733"/>
      <c r="L1733"/>
      <c r="M1733"/>
      <c r="N1733"/>
      <c r="O1733"/>
      <c r="P1733"/>
      <c r="Q1733"/>
      <c r="R1733"/>
      <c r="S1733"/>
      <c r="T1733"/>
      <c r="U1733"/>
      <c r="V1733"/>
      <c r="W1733"/>
      <c r="X1733"/>
      <c r="Y1733"/>
      <c r="Z1733"/>
      <c r="AA1733"/>
      <c r="AB1733"/>
      <c r="AC1733"/>
      <c r="AD1733"/>
      <c r="AE1733"/>
      <c r="AF1733"/>
      <c r="AG1733"/>
      <c r="AH1733"/>
      <c r="AI1733"/>
      <c r="AJ1733"/>
      <c r="AK1733"/>
      <c r="AL1733"/>
      <c r="AM1733"/>
      <c r="AN1733"/>
      <c r="AO1733"/>
      <c r="AP1733"/>
      <c r="AQ1733"/>
      <c r="AR1733"/>
      <c r="AS1733"/>
      <c r="AT1733"/>
      <c r="AU1733"/>
      <c r="AV1733"/>
      <c r="AW1733"/>
      <c r="AX1733"/>
      <c r="AY1733"/>
      <c r="AZ1733"/>
      <c r="BA1733"/>
      <c r="BB1733"/>
      <c r="BC1733"/>
      <c r="BD1733"/>
      <c r="BE1733"/>
      <c r="BF1733"/>
      <c r="BG1733"/>
      <c r="BH1733"/>
      <c r="BI1733"/>
      <c r="BJ1733"/>
      <c r="BK1733"/>
      <c r="BL1733"/>
      <c r="BM1733"/>
      <c r="BN1733"/>
      <c r="BO1733"/>
      <c r="BP1733"/>
      <c r="BQ1733"/>
      <c r="BR1733"/>
      <c r="BS1733"/>
      <c r="BT1733"/>
      <c r="BU1733"/>
      <c r="BV1733"/>
      <c r="BW1733"/>
      <c r="BX1733"/>
      <c r="BY1733"/>
      <c r="BZ1733"/>
      <c r="CA1733"/>
      <c r="CB1733"/>
      <c r="CC1733"/>
      <c r="CD1733"/>
      <c r="CE1733"/>
      <c r="CF1733"/>
      <c r="CG1733"/>
      <c r="CH1733"/>
      <c r="CI1733"/>
      <c r="CJ1733"/>
      <c r="CK1733"/>
      <c r="CL1733"/>
      <c r="CM1733"/>
      <c r="CN1733"/>
      <c r="CO1733"/>
      <c r="CP1733"/>
      <c r="CQ1733"/>
      <c r="CR1733"/>
      <c r="CS1733"/>
      <c r="CT1733"/>
      <c r="CU1733"/>
      <c r="CV1733"/>
      <c r="CW1733"/>
      <c r="CX1733"/>
      <c r="CY1733"/>
      <c r="CZ1733"/>
      <c r="DA1733"/>
      <c r="DB1733"/>
      <c r="DC1733"/>
      <c r="DD1733"/>
      <c r="DE1733"/>
      <c r="DF1733"/>
      <c r="DG1733"/>
      <c r="DH1733"/>
      <c r="DI1733"/>
      <c r="DJ1733"/>
      <c r="DK1733"/>
      <c r="DL1733"/>
      <c r="DM1733"/>
      <c r="DN1733"/>
      <c r="DO1733"/>
      <c r="DP1733"/>
      <c r="DQ1733"/>
      <c r="DR1733"/>
      <c r="DS1733"/>
      <c r="DT1733"/>
      <c r="DU1733"/>
      <c r="DV1733"/>
      <c r="DW1733"/>
      <c r="DX1733"/>
      <c r="DY1733"/>
      <c r="DZ1733"/>
      <c r="EA1733"/>
      <c r="EB1733"/>
      <c r="EC1733"/>
      <c r="ED1733"/>
      <c r="EE1733"/>
      <c r="EF1733"/>
      <c r="EG1733"/>
      <c r="EH1733"/>
      <c r="EI1733"/>
      <c r="EJ1733"/>
      <c r="EK1733"/>
      <c r="EL1733"/>
      <c r="EM1733"/>
      <c r="EN1733"/>
      <c r="EO1733"/>
      <c r="EP1733"/>
      <c r="EQ1733"/>
      <c r="ER1733"/>
      <c r="ES1733"/>
    </row>
    <row r="1734" spans="1:149">
      <c r="A1734"/>
      <c r="B1734"/>
      <c r="C1734"/>
      <c r="D1734"/>
      <c r="E1734"/>
      <c r="F1734"/>
      <c r="G1734"/>
      <c r="H1734"/>
      <c r="I1734"/>
      <c r="J1734"/>
      <c r="K1734"/>
      <c r="L1734"/>
      <c r="M1734"/>
      <c r="N1734"/>
      <c r="O1734"/>
      <c r="P1734"/>
      <c r="Q1734"/>
      <c r="R1734"/>
      <c r="S1734"/>
      <c r="T1734"/>
      <c r="U1734"/>
      <c r="V1734"/>
      <c r="W1734"/>
      <c r="X1734"/>
      <c r="Y1734"/>
      <c r="Z1734"/>
      <c r="AA1734"/>
      <c r="AB1734"/>
      <c r="AC1734"/>
      <c r="AD1734"/>
      <c r="AE1734"/>
      <c r="AF1734"/>
      <c r="AG1734"/>
      <c r="AH1734"/>
      <c r="AI1734"/>
      <c r="AJ1734"/>
      <c r="AK1734"/>
      <c r="AL1734"/>
      <c r="AM1734"/>
      <c r="AN1734"/>
      <c r="AO1734"/>
      <c r="AP1734"/>
      <c r="AQ1734"/>
      <c r="AR1734"/>
      <c r="AS1734"/>
      <c r="AT1734"/>
      <c r="AU1734"/>
      <c r="AV1734"/>
      <c r="AW1734"/>
      <c r="AX1734"/>
      <c r="AY1734"/>
      <c r="AZ1734"/>
      <c r="BA1734"/>
      <c r="BB1734"/>
      <c r="BC1734"/>
      <c r="BD1734"/>
      <c r="BE1734"/>
      <c r="BF1734"/>
      <c r="BG1734"/>
      <c r="BH1734"/>
      <c r="BI1734"/>
      <c r="BJ1734"/>
      <c r="BK1734"/>
      <c r="BL1734"/>
      <c r="BM1734"/>
      <c r="BN1734"/>
      <c r="BO1734"/>
      <c r="BP1734"/>
      <c r="BQ1734"/>
      <c r="BR1734"/>
      <c r="BS1734"/>
      <c r="BT1734"/>
      <c r="BU1734"/>
      <c r="BV1734"/>
      <c r="BW1734"/>
      <c r="BX1734"/>
      <c r="BY1734"/>
      <c r="BZ1734"/>
      <c r="CA1734"/>
      <c r="CB1734"/>
      <c r="CC1734"/>
      <c r="CD1734"/>
      <c r="CE1734"/>
      <c r="CF1734"/>
      <c r="CG1734"/>
      <c r="CH1734"/>
      <c r="CI1734"/>
      <c r="CJ1734"/>
      <c r="CK1734"/>
      <c r="CL1734"/>
      <c r="CM1734"/>
      <c r="CN1734"/>
      <c r="CO1734"/>
      <c r="CP1734"/>
      <c r="CQ1734"/>
      <c r="CR1734"/>
      <c r="CS1734"/>
      <c r="CT1734"/>
      <c r="CU1734"/>
      <c r="CV1734"/>
      <c r="CW1734"/>
      <c r="CX1734"/>
      <c r="CY1734"/>
      <c r="CZ1734"/>
      <c r="DA1734"/>
      <c r="DB1734"/>
      <c r="DC1734"/>
      <c r="DD1734"/>
      <c r="DE1734"/>
      <c r="DF1734"/>
      <c r="DG1734"/>
      <c r="DH1734"/>
      <c r="DI1734"/>
      <c r="DJ1734"/>
      <c r="DK1734"/>
      <c r="DL1734"/>
      <c r="DM1734"/>
      <c r="DN1734"/>
      <c r="DO1734"/>
      <c r="DP1734"/>
      <c r="DQ1734"/>
      <c r="DR1734"/>
      <c r="DS1734"/>
      <c r="DT1734"/>
      <c r="DU1734"/>
      <c r="DV1734"/>
      <c r="DW1734"/>
      <c r="DX1734"/>
      <c r="DY1734"/>
      <c r="DZ1734"/>
      <c r="EA1734"/>
      <c r="EB1734"/>
      <c r="EC1734"/>
      <c r="ED1734"/>
      <c r="EE1734"/>
      <c r="EF1734"/>
      <c r="EG1734"/>
      <c r="EH1734"/>
      <c r="EI1734"/>
      <c r="EJ1734"/>
      <c r="EK1734"/>
      <c r="EL1734"/>
      <c r="EM1734"/>
      <c r="EN1734"/>
      <c r="EO1734"/>
      <c r="EP1734"/>
      <c r="EQ1734"/>
      <c r="ER1734"/>
      <c r="ES1734"/>
    </row>
    <row r="1735" spans="1:149">
      <c r="A1735"/>
      <c r="B1735"/>
      <c r="C1735"/>
      <c r="D1735"/>
      <c r="E1735"/>
      <c r="F1735"/>
      <c r="G1735"/>
      <c r="H1735"/>
      <c r="I1735"/>
      <c r="J1735"/>
      <c r="K1735"/>
      <c r="L1735"/>
      <c r="M1735"/>
      <c r="N1735"/>
      <c r="O1735"/>
      <c r="P1735"/>
      <c r="Q1735"/>
      <c r="R1735"/>
      <c r="S1735"/>
      <c r="T1735"/>
      <c r="U1735"/>
      <c r="V1735"/>
      <c r="W1735"/>
      <c r="X1735"/>
      <c r="Y1735"/>
      <c r="Z1735"/>
      <c r="AA1735"/>
      <c r="AB1735"/>
      <c r="AC1735"/>
      <c r="AD1735"/>
      <c r="AE1735"/>
      <c r="AF1735"/>
      <c r="AG1735"/>
      <c r="AH1735"/>
      <c r="AI1735"/>
      <c r="AJ1735"/>
      <c r="AK1735"/>
      <c r="AL1735"/>
      <c r="AM1735"/>
      <c r="AN1735"/>
      <c r="AO1735"/>
      <c r="AP1735"/>
      <c r="AQ1735"/>
      <c r="AR1735"/>
      <c r="AS1735"/>
      <c r="AT1735"/>
      <c r="AU1735"/>
      <c r="AV1735"/>
      <c r="AW1735"/>
      <c r="AX1735"/>
      <c r="AY1735"/>
      <c r="AZ1735"/>
      <c r="BA1735"/>
      <c r="BB1735"/>
      <c r="BC1735"/>
      <c r="BD1735"/>
      <c r="BE1735"/>
      <c r="BF1735"/>
      <c r="BG1735"/>
      <c r="BH1735"/>
      <c r="BI1735"/>
      <c r="BJ1735"/>
      <c r="BK1735"/>
      <c r="BL1735"/>
      <c r="BM1735"/>
      <c r="BN1735"/>
      <c r="BO1735"/>
      <c r="BP1735"/>
      <c r="BQ1735"/>
      <c r="BR1735"/>
      <c r="BS1735"/>
      <c r="BT1735"/>
      <c r="BU1735"/>
      <c r="BV1735"/>
      <c r="BW1735"/>
      <c r="BX1735"/>
      <c r="BY1735"/>
      <c r="BZ1735"/>
      <c r="CA1735"/>
      <c r="CB1735"/>
      <c r="CC1735"/>
      <c r="CD1735"/>
      <c r="CE1735"/>
      <c r="CF1735"/>
      <c r="CG1735"/>
      <c r="CH1735"/>
      <c r="CI1735"/>
      <c r="CJ1735"/>
      <c r="CK1735"/>
      <c r="CL1735"/>
      <c r="CM1735"/>
      <c r="CN1735"/>
      <c r="CO1735"/>
      <c r="CP1735"/>
      <c r="CQ1735"/>
      <c r="CR1735"/>
      <c r="CS1735"/>
      <c r="CT1735"/>
      <c r="CU1735"/>
      <c r="CV1735"/>
      <c r="CW1735"/>
      <c r="CX1735"/>
      <c r="CY1735"/>
      <c r="CZ1735"/>
      <c r="DA1735"/>
      <c r="DB1735"/>
      <c r="DC1735"/>
      <c r="DD1735"/>
      <c r="DE1735"/>
      <c r="DF1735"/>
      <c r="DG1735"/>
      <c r="DH1735"/>
      <c r="DI1735"/>
      <c r="DJ1735"/>
      <c r="DK1735"/>
      <c r="DL1735"/>
      <c r="DM1735"/>
      <c r="DN1735"/>
      <c r="DO1735"/>
      <c r="DP1735"/>
      <c r="DQ1735"/>
      <c r="DR1735"/>
      <c r="DS1735"/>
      <c r="DT1735"/>
      <c r="DU1735"/>
      <c r="DV1735"/>
      <c r="DW1735"/>
      <c r="DX1735"/>
      <c r="DY1735"/>
      <c r="DZ1735"/>
      <c r="EA1735"/>
      <c r="EB1735"/>
      <c r="EC1735"/>
      <c r="ED1735"/>
      <c r="EE1735"/>
      <c r="EF1735"/>
      <c r="EG1735"/>
      <c r="EH1735"/>
      <c r="EI1735"/>
      <c r="EJ1735"/>
      <c r="EK1735"/>
      <c r="EL1735"/>
      <c r="EM1735"/>
      <c r="EN1735"/>
      <c r="EO1735"/>
      <c r="EP1735"/>
      <c r="EQ1735"/>
      <c r="ER1735"/>
      <c r="ES1735"/>
    </row>
    <row r="1736" spans="1:149">
      <c r="A1736"/>
      <c r="B1736"/>
      <c r="C1736"/>
      <c r="D1736"/>
      <c r="E1736"/>
      <c r="F1736"/>
      <c r="G1736"/>
      <c r="H1736"/>
      <c r="I1736"/>
      <c r="J1736"/>
      <c r="K1736"/>
      <c r="L1736"/>
      <c r="M1736"/>
      <c r="N1736"/>
      <c r="O1736"/>
      <c r="P1736"/>
      <c r="Q1736"/>
      <c r="R1736"/>
      <c r="S1736"/>
      <c r="T1736"/>
      <c r="U1736"/>
      <c r="V1736"/>
      <c r="W1736"/>
      <c r="X1736"/>
      <c r="Y1736"/>
      <c r="Z1736"/>
      <c r="AA1736"/>
      <c r="AB1736"/>
      <c r="AC1736"/>
      <c r="AD1736"/>
      <c r="AE1736"/>
      <c r="AF1736"/>
      <c r="AG1736"/>
      <c r="AH1736"/>
      <c r="AI1736"/>
      <c r="AJ1736"/>
      <c r="AK1736"/>
      <c r="AL1736"/>
      <c r="AM1736"/>
      <c r="AN1736"/>
      <c r="AO1736"/>
      <c r="AP1736"/>
      <c r="AQ1736"/>
      <c r="AR1736"/>
      <c r="AS1736"/>
      <c r="AT1736"/>
      <c r="AU1736"/>
      <c r="AV1736"/>
      <c r="AW1736"/>
      <c r="AX1736"/>
      <c r="AY1736"/>
      <c r="AZ1736"/>
      <c r="BA1736"/>
      <c r="BB1736"/>
      <c r="BC1736"/>
      <c r="BD1736"/>
      <c r="BE1736"/>
      <c r="BF1736"/>
      <c r="BG1736"/>
      <c r="BH1736"/>
      <c r="BI1736"/>
      <c r="BJ1736"/>
      <c r="BK1736"/>
      <c r="BL1736"/>
      <c r="BM1736"/>
      <c r="BN1736"/>
      <c r="BO1736"/>
      <c r="BP1736"/>
      <c r="BQ1736"/>
      <c r="BR1736"/>
      <c r="BS1736"/>
      <c r="BT1736"/>
      <c r="BU1736"/>
      <c r="BV1736"/>
      <c r="BW1736"/>
      <c r="BX1736"/>
      <c r="BY1736"/>
      <c r="BZ1736"/>
      <c r="CA1736"/>
      <c r="CB1736"/>
      <c r="CC1736"/>
      <c r="CD1736"/>
      <c r="CE1736"/>
      <c r="CF1736"/>
      <c r="CG1736"/>
      <c r="CH1736"/>
      <c r="CI1736"/>
      <c r="CJ1736"/>
      <c r="CK1736"/>
      <c r="CL1736"/>
      <c r="CM1736"/>
      <c r="CN1736"/>
      <c r="CO1736"/>
      <c r="CP1736"/>
      <c r="CQ1736"/>
      <c r="CR1736"/>
      <c r="CS1736"/>
      <c r="CT1736"/>
      <c r="CU1736"/>
      <c r="CV1736"/>
      <c r="CW1736"/>
      <c r="CX1736"/>
      <c r="CY1736"/>
      <c r="CZ1736"/>
      <c r="DA1736"/>
      <c r="DB1736"/>
      <c r="DC1736"/>
      <c r="DD1736"/>
      <c r="DE1736"/>
      <c r="DF1736"/>
      <c r="DG1736"/>
      <c r="DH1736"/>
      <c r="DI1736"/>
      <c r="DJ1736"/>
      <c r="DK1736"/>
      <c r="DL1736"/>
      <c r="DM1736"/>
      <c r="DN1736"/>
      <c r="DO1736"/>
      <c r="DP1736"/>
      <c r="DQ1736"/>
      <c r="DR1736"/>
      <c r="DS1736"/>
      <c r="DT1736"/>
      <c r="DU1736"/>
      <c r="DV1736"/>
      <c r="DW1736"/>
      <c r="DX1736"/>
      <c r="DY1736"/>
      <c r="DZ1736"/>
      <c r="EA1736"/>
      <c r="EB1736"/>
      <c r="EC1736"/>
      <c r="ED1736"/>
      <c r="EE1736"/>
      <c r="EF1736"/>
      <c r="EG1736"/>
      <c r="EH1736"/>
      <c r="EI1736"/>
      <c r="EJ1736"/>
      <c r="EK1736"/>
      <c r="EL1736"/>
      <c r="EM1736"/>
      <c r="EN1736"/>
      <c r="EO1736"/>
      <c r="EP1736"/>
      <c r="EQ1736"/>
      <c r="ER1736"/>
      <c r="ES1736"/>
    </row>
    <row r="1737" spans="1:149">
      <c r="A1737"/>
      <c r="B1737"/>
      <c r="C1737"/>
      <c r="D1737"/>
      <c r="E1737"/>
      <c r="F1737"/>
      <c r="G1737"/>
      <c r="H1737"/>
      <c r="I1737"/>
      <c r="J1737"/>
      <c r="K1737"/>
      <c r="L1737"/>
      <c r="M1737"/>
      <c r="N1737"/>
      <c r="O1737"/>
      <c r="P1737"/>
      <c r="Q1737"/>
      <c r="R1737"/>
      <c r="S1737"/>
      <c r="T1737"/>
      <c r="U1737"/>
      <c r="V1737"/>
      <c r="W1737"/>
      <c r="X1737"/>
      <c r="Y1737"/>
      <c r="Z1737"/>
      <c r="AA1737"/>
      <c r="AB1737"/>
      <c r="AC1737"/>
      <c r="AD1737"/>
      <c r="AE1737"/>
      <c r="AF1737"/>
      <c r="AG1737"/>
      <c r="AH1737"/>
      <c r="AI1737"/>
      <c r="AJ1737"/>
      <c r="AK1737"/>
      <c r="AL1737"/>
      <c r="AM1737"/>
      <c r="AN1737"/>
      <c r="AO1737"/>
      <c r="AP1737"/>
      <c r="AQ1737"/>
      <c r="AR1737"/>
      <c r="AS1737"/>
      <c r="AT1737"/>
      <c r="AU1737"/>
      <c r="AV1737"/>
      <c r="AW1737"/>
      <c r="AX1737"/>
      <c r="AY1737"/>
      <c r="AZ1737"/>
      <c r="BA1737"/>
      <c r="BB1737"/>
      <c r="BC1737"/>
      <c r="BD1737"/>
      <c r="BE1737"/>
      <c r="BF1737"/>
      <c r="BG1737"/>
      <c r="BH1737"/>
      <c r="BI1737"/>
      <c r="BJ1737"/>
      <c r="BK1737"/>
      <c r="BL1737"/>
      <c r="BM1737"/>
      <c r="BN1737"/>
      <c r="BO1737"/>
      <c r="BP1737"/>
      <c r="BQ1737"/>
      <c r="BR1737"/>
      <c r="BS1737"/>
      <c r="BT1737"/>
      <c r="BU1737"/>
      <c r="BV1737"/>
      <c r="BW1737"/>
      <c r="BX1737"/>
      <c r="BY1737"/>
      <c r="BZ1737"/>
      <c r="CA1737"/>
      <c r="CB1737"/>
      <c r="CC1737"/>
      <c r="CD1737"/>
      <c r="CE1737"/>
      <c r="CF1737"/>
      <c r="CG1737"/>
      <c r="CH1737"/>
      <c r="CI1737"/>
      <c r="CJ1737"/>
      <c r="CK1737"/>
      <c r="CL1737"/>
      <c r="CM1737"/>
      <c r="CN1737"/>
      <c r="CO1737"/>
      <c r="CP1737"/>
      <c r="CQ1737"/>
      <c r="CR1737"/>
      <c r="CS1737"/>
      <c r="CT1737"/>
      <c r="CU1737"/>
      <c r="CV1737"/>
      <c r="CW1737"/>
      <c r="CX1737"/>
      <c r="CY1737"/>
      <c r="CZ1737"/>
      <c r="DA1737"/>
      <c r="DB1737"/>
      <c r="DC1737"/>
      <c r="DD1737"/>
      <c r="DE1737"/>
      <c r="DF1737"/>
      <c r="DG1737"/>
      <c r="DH1737"/>
      <c r="DI1737"/>
      <c r="DJ1737"/>
      <c r="DK1737"/>
      <c r="DL1737"/>
      <c r="DM1737"/>
      <c r="DN1737"/>
      <c r="DO1737"/>
      <c r="DP1737"/>
      <c r="DQ1737"/>
      <c r="DR1737"/>
      <c r="DS1737"/>
      <c r="DT1737"/>
      <c r="DU1737"/>
      <c r="DV1737"/>
      <c r="DW1737"/>
      <c r="DX1737"/>
      <c r="DY1737"/>
      <c r="DZ1737"/>
      <c r="EA1737"/>
      <c r="EB1737"/>
      <c r="EC1737"/>
      <c r="ED1737"/>
      <c r="EE1737"/>
      <c r="EF1737"/>
      <c r="EG1737"/>
      <c r="EH1737"/>
      <c r="EI1737"/>
      <c r="EJ1737"/>
      <c r="EK1737"/>
      <c r="EL1737"/>
      <c r="EM1737"/>
      <c r="EN1737"/>
      <c r="EO1737"/>
      <c r="EP1737"/>
      <c r="EQ1737"/>
      <c r="ER1737"/>
      <c r="ES1737"/>
    </row>
    <row r="1738" spans="1:149">
      <c r="A1738"/>
      <c r="B1738"/>
      <c r="C1738"/>
      <c r="D1738"/>
      <c r="E1738"/>
      <c r="F1738"/>
      <c r="G1738"/>
      <c r="H1738"/>
      <c r="I1738"/>
      <c r="J1738"/>
      <c r="K1738"/>
      <c r="L1738"/>
      <c r="M1738"/>
      <c r="N1738"/>
      <c r="O1738"/>
      <c r="P1738"/>
      <c r="Q1738"/>
      <c r="R1738"/>
      <c r="S1738"/>
      <c r="T1738"/>
      <c r="U1738"/>
      <c r="V1738"/>
      <c r="W1738"/>
      <c r="X1738"/>
      <c r="Y1738"/>
      <c r="Z1738"/>
      <c r="AA1738"/>
      <c r="AB1738"/>
      <c r="AC1738"/>
      <c r="AD1738"/>
      <c r="AE1738"/>
      <c r="AF1738"/>
      <c r="AG1738"/>
      <c r="AH1738"/>
      <c r="AI1738"/>
      <c r="AJ1738"/>
      <c r="AK1738"/>
      <c r="AL1738"/>
      <c r="AM1738"/>
      <c r="AN1738"/>
      <c r="AO1738"/>
      <c r="AP1738"/>
      <c r="AQ1738"/>
      <c r="AR1738"/>
      <c r="AS1738"/>
      <c r="AT1738"/>
      <c r="AU1738"/>
      <c r="AV1738"/>
      <c r="AW1738"/>
      <c r="AX1738"/>
      <c r="AY1738"/>
      <c r="AZ1738"/>
      <c r="BA1738"/>
      <c r="BB1738"/>
      <c r="BC1738"/>
      <c r="BD1738"/>
      <c r="BE1738"/>
      <c r="BF1738"/>
      <c r="BG1738"/>
      <c r="BH1738"/>
      <c r="BI1738"/>
      <c r="BJ1738"/>
      <c r="BK1738"/>
      <c r="BL1738"/>
      <c r="BM1738"/>
      <c r="BN1738"/>
      <c r="BO1738"/>
      <c r="BP1738"/>
      <c r="BQ1738"/>
      <c r="BR1738"/>
      <c r="BS1738"/>
      <c r="BT1738"/>
      <c r="BU1738"/>
      <c r="BV1738"/>
      <c r="BW1738"/>
      <c r="BX1738"/>
      <c r="BY1738"/>
      <c r="BZ1738"/>
      <c r="CA1738"/>
      <c r="CB1738"/>
      <c r="CC1738"/>
      <c r="CD1738"/>
      <c r="CE1738"/>
      <c r="CF1738"/>
      <c r="CG1738"/>
      <c r="CH1738"/>
      <c r="CI1738"/>
      <c r="CJ1738"/>
      <c r="CK1738"/>
      <c r="CL1738"/>
      <c r="CM1738"/>
      <c r="CN1738"/>
      <c r="CO1738"/>
      <c r="CP1738"/>
      <c r="CQ1738"/>
      <c r="CR1738"/>
      <c r="CS1738"/>
      <c r="CT1738"/>
      <c r="CU1738"/>
      <c r="CV1738"/>
      <c r="CW1738"/>
      <c r="CX1738"/>
      <c r="CY1738"/>
      <c r="CZ1738"/>
      <c r="DA1738"/>
      <c r="DB1738"/>
      <c r="DC1738"/>
      <c r="DD1738"/>
      <c r="DE1738"/>
      <c r="DF1738"/>
      <c r="DG1738"/>
      <c r="DH1738"/>
      <c r="DI1738"/>
      <c r="DJ1738"/>
      <c r="DK1738"/>
      <c r="DL1738"/>
      <c r="DM1738"/>
      <c r="DN1738"/>
      <c r="DO1738"/>
      <c r="DP1738"/>
      <c r="DQ1738"/>
      <c r="DR1738"/>
      <c r="DS1738"/>
      <c r="DT1738"/>
      <c r="DU1738"/>
      <c r="DV1738"/>
      <c r="DW1738"/>
      <c r="DX1738"/>
      <c r="DY1738"/>
      <c r="DZ1738"/>
      <c r="EA1738"/>
      <c r="EB1738"/>
      <c r="EC1738"/>
      <c r="ED1738"/>
      <c r="EE1738"/>
      <c r="EF1738"/>
      <c r="EG1738"/>
      <c r="EH1738"/>
      <c r="EI1738"/>
      <c r="EJ1738"/>
      <c r="EK1738"/>
      <c r="EL1738"/>
      <c r="EM1738"/>
      <c r="EN1738"/>
      <c r="EO1738"/>
      <c r="EP1738"/>
      <c r="EQ1738"/>
      <c r="ER1738"/>
      <c r="ES1738"/>
    </row>
    <row r="1739" spans="1:149">
      <c r="A1739"/>
      <c r="B1739"/>
      <c r="C1739"/>
      <c r="D1739"/>
      <c r="E1739"/>
      <c r="F1739"/>
      <c r="G1739"/>
      <c r="H1739"/>
      <c r="I1739"/>
      <c r="J1739"/>
      <c r="K1739"/>
      <c r="L1739"/>
      <c r="M1739"/>
      <c r="N1739"/>
      <c r="O1739"/>
      <c r="P1739"/>
      <c r="Q1739"/>
      <c r="R1739"/>
      <c r="S1739"/>
      <c r="T1739"/>
      <c r="U1739"/>
      <c r="V1739"/>
      <c r="W1739"/>
      <c r="X1739"/>
      <c r="Y1739"/>
      <c r="Z1739"/>
      <c r="AA1739"/>
      <c r="AB1739"/>
      <c r="AC1739"/>
      <c r="AD1739"/>
      <c r="AE1739"/>
      <c r="AF1739"/>
      <c r="AG1739"/>
      <c r="AH1739"/>
      <c r="AI1739"/>
      <c r="AJ1739"/>
      <c r="AK1739"/>
      <c r="AL1739"/>
      <c r="AM1739"/>
      <c r="AN1739"/>
      <c r="AO1739"/>
      <c r="AP1739"/>
      <c r="AQ1739"/>
      <c r="AR1739"/>
      <c r="AS1739"/>
      <c r="AT1739"/>
      <c r="AU1739"/>
      <c r="AV1739"/>
      <c r="AW1739"/>
      <c r="AX1739"/>
      <c r="AY1739"/>
      <c r="AZ1739"/>
      <c r="BA1739"/>
      <c r="BB1739"/>
      <c r="BC1739"/>
      <c r="BD1739"/>
      <c r="BE1739"/>
      <c r="BF1739"/>
      <c r="BG1739"/>
      <c r="BH1739"/>
      <c r="BI1739"/>
      <c r="BJ1739"/>
      <c r="BK1739"/>
      <c r="BL1739"/>
      <c r="BM1739"/>
      <c r="BN1739"/>
      <c r="BO1739"/>
      <c r="BP1739"/>
      <c r="BQ1739"/>
      <c r="BR1739"/>
      <c r="BS1739"/>
      <c r="BT1739"/>
      <c r="BU1739"/>
      <c r="BV1739"/>
      <c r="BW1739"/>
      <c r="BX1739"/>
      <c r="BY1739"/>
      <c r="BZ1739"/>
      <c r="CA1739"/>
      <c r="CB1739"/>
      <c r="CC1739"/>
      <c r="CD1739"/>
      <c r="CE1739"/>
      <c r="CF1739"/>
      <c r="CG1739"/>
      <c r="CH1739"/>
      <c r="CI1739"/>
      <c r="CJ1739"/>
      <c r="CK1739"/>
      <c r="CL1739"/>
      <c r="CM1739"/>
      <c r="CN1739"/>
      <c r="CO1739"/>
      <c r="CP1739"/>
      <c r="CQ1739"/>
      <c r="CR1739"/>
      <c r="CS1739"/>
      <c r="CT1739"/>
      <c r="CU1739"/>
      <c r="CV1739"/>
      <c r="CW1739"/>
      <c r="CX1739"/>
      <c r="CY1739"/>
      <c r="CZ1739"/>
      <c r="DA1739"/>
      <c r="DB1739"/>
      <c r="DC1739"/>
      <c r="DD1739"/>
      <c r="DE1739"/>
      <c r="DF1739"/>
      <c r="DG1739"/>
      <c r="DH1739"/>
      <c r="DI1739"/>
      <c r="DJ1739"/>
      <c r="DK1739"/>
      <c r="DL1739"/>
      <c r="DM1739"/>
      <c r="DN1739"/>
      <c r="DO1739"/>
      <c r="DP1739"/>
      <c r="DQ1739"/>
      <c r="DR1739"/>
      <c r="DS1739"/>
      <c r="DT1739"/>
      <c r="DU1739"/>
      <c r="DV1739"/>
      <c r="DW1739"/>
      <c r="DX1739"/>
      <c r="DY1739"/>
      <c r="DZ1739"/>
      <c r="EA1739"/>
      <c r="EB1739"/>
      <c r="EC1739"/>
      <c r="ED1739"/>
      <c r="EE1739"/>
      <c r="EF1739"/>
      <c r="EG1739"/>
      <c r="EH1739"/>
      <c r="EI1739"/>
      <c r="EJ1739"/>
      <c r="EK1739"/>
      <c r="EL1739"/>
      <c r="EM1739"/>
      <c r="EN1739"/>
      <c r="EO1739"/>
      <c r="EP1739"/>
      <c r="EQ1739"/>
      <c r="ER1739"/>
      <c r="ES1739"/>
    </row>
    <row r="1740" spans="1:149">
      <c r="A1740"/>
      <c r="B1740"/>
      <c r="C1740"/>
      <c r="D1740"/>
      <c r="E1740"/>
      <c r="F1740"/>
      <c r="G1740"/>
      <c r="H1740"/>
      <c r="I1740"/>
      <c r="J1740"/>
      <c r="K1740"/>
      <c r="L1740"/>
      <c r="M1740"/>
      <c r="N1740"/>
      <c r="O1740"/>
      <c r="P1740"/>
      <c r="Q1740"/>
      <c r="R1740"/>
      <c r="S1740"/>
      <c r="T1740"/>
      <c r="U1740"/>
      <c r="V1740"/>
      <c r="W1740"/>
      <c r="X1740"/>
      <c r="Y1740"/>
      <c r="Z1740"/>
      <c r="AA1740"/>
      <c r="AB1740"/>
      <c r="AC1740"/>
      <c r="AD1740"/>
      <c r="AE1740"/>
      <c r="AF1740"/>
      <c r="AG1740"/>
      <c r="AH1740"/>
      <c r="AI1740"/>
      <c r="AJ1740"/>
      <c r="AK1740"/>
      <c r="AL1740"/>
      <c r="AM1740"/>
      <c r="AN1740"/>
      <c r="AO1740"/>
      <c r="AP1740"/>
      <c r="AQ1740"/>
      <c r="AR1740"/>
      <c r="AS1740"/>
      <c r="AT1740"/>
      <c r="AU1740"/>
      <c r="AV1740"/>
      <c r="AW1740"/>
      <c r="AX1740"/>
      <c r="AY1740"/>
      <c r="AZ1740"/>
      <c r="BA1740"/>
      <c r="BB1740"/>
      <c r="BC1740"/>
      <c r="BD1740"/>
      <c r="BE1740"/>
      <c r="BF1740"/>
      <c r="BG1740"/>
      <c r="BH1740"/>
      <c r="BI1740"/>
      <c r="BJ1740"/>
      <c r="BK1740"/>
      <c r="BL1740"/>
      <c r="BM1740"/>
      <c r="BN1740"/>
      <c r="BO1740"/>
      <c r="BP1740"/>
      <c r="BQ1740"/>
      <c r="BR1740"/>
      <c r="BS1740"/>
      <c r="BT1740"/>
      <c r="BU1740"/>
      <c r="BV1740"/>
      <c r="BW1740"/>
      <c r="BX1740"/>
      <c r="BY1740"/>
      <c r="BZ1740"/>
      <c r="CA1740"/>
      <c r="CB1740"/>
      <c r="CC1740"/>
      <c r="CD1740"/>
      <c r="CE1740"/>
      <c r="CF1740"/>
      <c r="CG1740"/>
      <c r="CH1740"/>
      <c r="CI1740"/>
      <c r="CJ1740"/>
      <c r="CK1740"/>
      <c r="CL1740"/>
      <c r="CM1740"/>
      <c r="CN1740"/>
      <c r="CO1740"/>
      <c r="CP1740"/>
      <c r="CQ1740"/>
      <c r="CR1740"/>
      <c r="CS1740"/>
      <c r="CT1740"/>
      <c r="CU1740"/>
      <c r="CV1740"/>
      <c r="CW1740"/>
      <c r="CX1740"/>
      <c r="CY1740"/>
      <c r="CZ1740"/>
      <c r="DA1740"/>
      <c r="DB1740"/>
      <c r="DC1740"/>
      <c r="DD1740"/>
      <c r="DE1740"/>
      <c r="DF1740"/>
      <c r="DG1740"/>
      <c r="DH1740"/>
      <c r="DI1740"/>
      <c r="DJ1740"/>
      <c r="DK1740"/>
      <c r="DL1740"/>
      <c r="DM1740"/>
      <c r="DN1740"/>
      <c r="DO1740"/>
      <c r="DP1740"/>
      <c r="DQ1740"/>
      <c r="DR1740"/>
      <c r="DS1740"/>
      <c r="DT1740"/>
      <c r="DU1740"/>
      <c r="DV1740"/>
      <c r="DW1740"/>
      <c r="DX1740"/>
      <c r="DY1740"/>
      <c r="DZ1740"/>
      <c r="EA1740"/>
      <c r="EB1740"/>
      <c r="EC1740"/>
      <c r="ED1740"/>
      <c r="EE1740"/>
      <c r="EF1740"/>
      <c r="EG1740"/>
      <c r="EH1740"/>
      <c r="EI1740"/>
      <c r="EJ1740"/>
      <c r="EK1740"/>
      <c r="EL1740"/>
      <c r="EM1740"/>
      <c r="EN1740"/>
      <c r="EO1740"/>
      <c r="EP1740"/>
      <c r="EQ1740"/>
      <c r="ER1740"/>
      <c r="ES1740"/>
    </row>
    <row r="1741" spans="1:149">
      <c r="A1741"/>
      <c r="B1741"/>
      <c r="C1741"/>
      <c r="D1741"/>
      <c r="E1741"/>
      <c r="F1741"/>
      <c r="G1741"/>
      <c r="H1741"/>
      <c r="I1741"/>
      <c r="J1741"/>
      <c r="K1741"/>
      <c r="L1741"/>
      <c r="M1741"/>
      <c r="N1741"/>
      <c r="O1741"/>
      <c r="P1741"/>
      <c r="Q1741"/>
      <c r="R1741"/>
      <c r="S1741"/>
      <c r="T1741"/>
      <c r="U1741"/>
      <c r="V1741"/>
      <c r="W1741"/>
      <c r="X1741"/>
      <c r="Y1741"/>
      <c r="Z1741"/>
      <c r="AA1741"/>
      <c r="AB1741"/>
      <c r="AC1741"/>
      <c r="AD1741"/>
      <c r="AE1741"/>
      <c r="AF1741"/>
      <c r="AG1741"/>
      <c r="AH1741"/>
      <c r="AI1741"/>
      <c r="AJ1741"/>
      <c r="AK1741"/>
      <c r="AL1741"/>
      <c r="AM1741"/>
      <c r="AN1741"/>
      <c r="AO1741"/>
      <c r="AP1741"/>
      <c r="AQ1741"/>
      <c r="AR1741"/>
      <c r="AS1741"/>
      <c r="AT1741"/>
      <c r="AU1741"/>
      <c r="AV1741"/>
      <c r="AW1741"/>
      <c r="AX1741"/>
      <c r="AY1741"/>
      <c r="AZ1741"/>
      <c r="BA1741"/>
      <c r="BB1741"/>
      <c r="BC1741"/>
      <c r="BD1741"/>
      <c r="BE1741"/>
      <c r="BF1741"/>
      <c r="BG1741"/>
      <c r="BH1741"/>
      <c r="BI1741"/>
      <c r="BJ1741"/>
      <c r="BK1741"/>
      <c r="BL1741"/>
      <c r="BM1741"/>
      <c r="BN1741"/>
      <c r="BO1741"/>
      <c r="BP1741"/>
      <c r="BQ1741"/>
      <c r="BR1741"/>
      <c r="BS1741"/>
      <c r="BT1741"/>
      <c r="BU1741"/>
      <c r="BV1741"/>
      <c r="BW1741"/>
      <c r="BX1741"/>
      <c r="BY1741"/>
      <c r="BZ1741"/>
      <c r="CA1741"/>
      <c r="CB1741"/>
      <c r="CC1741"/>
      <c r="CD1741"/>
      <c r="CE1741"/>
      <c r="CF1741"/>
      <c r="CG1741"/>
      <c r="CH1741"/>
      <c r="CI1741"/>
      <c r="CJ1741"/>
      <c r="CK1741"/>
      <c r="CL1741"/>
      <c r="CM1741"/>
      <c r="CN1741"/>
      <c r="CO1741"/>
      <c r="CP1741"/>
      <c r="CQ1741"/>
      <c r="CR1741"/>
      <c r="CS1741"/>
      <c r="CT1741"/>
      <c r="CU1741"/>
      <c r="CV1741"/>
      <c r="CW1741"/>
      <c r="CX1741"/>
      <c r="CY1741"/>
      <c r="CZ1741"/>
      <c r="DA1741"/>
      <c r="DB1741"/>
      <c r="DC1741"/>
      <c r="DD1741"/>
      <c r="DE1741"/>
      <c r="DF1741"/>
      <c r="DG1741"/>
      <c r="DH1741"/>
      <c r="DI1741"/>
      <c r="DJ1741"/>
      <c r="DK1741"/>
      <c r="DL1741"/>
      <c r="DM1741"/>
      <c r="DN1741"/>
      <c r="DO1741"/>
      <c r="DP1741"/>
      <c r="DQ1741"/>
      <c r="DR1741"/>
      <c r="DS1741"/>
      <c r="DT1741"/>
      <c r="DU1741"/>
      <c r="DV1741"/>
      <c r="DW1741"/>
      <c r="DX1741"/>
      <c r="DY1741"/>
      <c r="DZ1741"/>
      <c r="EA1741"/>
      <c r="EB1741"/>
      <c r="EC1741"/>
      <c r="ED1741"/>
      <c r="EE1741"/>
      <c r="EF1741"/>
      <c r="EG1741"/>
      <c r="EH1741"/>
      <c r="EI1741"/>
      <c r="EJ1741"/>
      <c r="EK1741"/>
      <c r="EL1741"/>
      <c r="EM1741"/>
      <c r="EN1741"/>
      <c r="EO1741"/>
      <c r="EP1741"/>
      <c r="EQ1741"/>
      <c r="ER1741"/>
      <c r="ES1741"/>
    </row>
    <row r="1742" spans="1:149">
      <c r="A1742"/>
      <c r="B1742"/>
      <c r="C1742"/>
      <c r="D1742"/>
      <c r="E1742"/>
      <c r="F1742"/>
      <c r="G1742"/>
      <c r="H1742"/>
      <c r="I1742"/>
      <c r="J1742"/>
      <c r="K1742"/>
      <c r="L1742"/>
      <c r="M1742"/>
      <c r="N1742"/>
      <c r="O1742"/>
      <c r="P1742"/>
      <c r="Q1742"/>
      <c r="R1742"/>
      <c r="S1742"/>
      <c r="T1742"/>
      <c r="U1742"/>
      <c r="V1742"/>
      <c r="W1742"/>
      <c r="X1742"/>
      <c r="Y1742"/>
      <c r="Z1742"/>
      <c r="AA1742"/>
      <c r="AB1742"/>
      <c r="AC1742"/>
      <c r="AD1742"/>
      <c r="AE1742"/>
      <c r="AF1742"/>
      <c r="AG1742"/>
      <c r="AH1742"/>
      <c r="AI1742"/>
      <c r="AJ1742"/>
      <c r="AK1742"/>
      <c r="AL1742"/>
      <c r="AM1742"/>
      <c r="AN1742"/>
      <c r="AO1742"/>
      <c r="AP1742"/>
      <c r="AQ1742"/>
      <c r="AR1742"/>
      <c r="AS1742"/>
      <c r="AT1742"/>
      <c r="AU1742"/>
      <c r="AV1742"/>
      <c r="AW1742"/>
      <c r="AX1742"/>
      <c r="AY1742"/>
      <c r="AZ1742"/>
      <c r="BA1742"/>
      <c r="BB1742"/>
      <c r="BC1742"/>
      <c r="BD1742"/>
      <c r="BE1742"/>
      <c r="BF1742"/>
      <c r="BG1742"/>
      <c r="BH1742"/>
      <c r="BI1742"/>
      <c r="BJ1742"/>
      <c r="BK1742"/>
      <c r="BL1742"/>
      <c r="BM1742"/>
      <c r="BN1742"/>
      <c r="BO1742"/>
      <c r="BP1742"/>
      <c r="BQ1742"/>
      <c r="BR1742"/>
      <c r="BS1742"/>
      <c r="BT1742"/>
      <c r="BU1742"/>
      <c r="BV1742"/>
      <c r="BW1742"/>
      <c r="BX1742"/>
      <c r="BY1742"/>
      <c r="BZ1742"/>
      <c r="CA1742"/>
      <c r="CB1742"/>
      <c r="CC1742"/>
      <c r="CD1742"/>
      <c r="CE1742"/>
      <c r="CF1742"/>
      <c r="CG1742"/>
      <c r="CH1742"/>
      <c r="CI1742"/>
      <c r="CJ1742"/>
      <c r="CK1742"/>
      <c r="CL1742"/>
      <c r="CM1742"/>
      <c r="CN1742"/>
      <c r="CO1742"/>
      <c r="CP1742"/>
      <c r="CQ1742"/>
      <c r="CR1742"/>
      <c r="CS1742"/>
      <c r="CT1742"/>
      <c r="CU1742"/>
      <c r="CV1742"/>
      <c r="CW1742"/>
      <c r="CX1742"/>
      <c r="CY1742"/>
      <c r="CZ1742"/>
      <c r="DA1742"/>
      <c r="DB1742"/>
      <c r="DC1742"/>
      <c r="DD1742"/>
      <c r="DE1742"/>
      <c r="DF1742"/>
      <c r="DG1742"/>
      <c r="DH1742"/>
      <c r="DI1742"/>
      <c r="DJ1742"/>
      <c r="DK1742"/>
      <c r="DL1742"/>
      <c r="DM1742"/>
      <c r="DN1742"/>
      <c r="DO1742"/>
      <c r="DP1742"/>
      <c r="DQ1742"/>
      <c r="DR1742"/>
      <c r="DS1742"/>
      <c r="DT1742"/>
      <c r="DU1742"/>
      <c r="DV1742"/>
      <c r="DW1742"/>
      <c r="DX1742"/>
      <c r="DY1742"/>
      <c r="DZ1742"/>
      <c r="EA1742"/>
      <c r="EB1742"/>
      <c r="EC1742"/>
      <c r="ED1742"/>
      <c r="EE1742"/>
      <c r="EF1742"/>
      <c r="EG1742"/>
      <c r="EH1742"/>
      <c r="EI1742"/>
      <c r="EJ1742"/>
      <c r="EK1742"/>
      <c r="EL1742"/>
      <c r="EM1742"/>
      <c r="EN1742"/>
      <c r="EO1742"/>
      <c r="EP1742"/>
      <c r="EQ1742"/>
      <c r="ER1742"/>
      <c r="ES1742"/>
    </row>
    <row r="1743" spans="1:149">
      <c r="A1743"/>
      <c r="B1743"/>
      <c r="C1743"/>
      <c r="D1743"/>
      <c r="E1743"/>
      <c r="F1743"/>
      <c r="G1743"/>
      <c r="H1743"/>
      <c r="I1743"/>
      <c r="J1743"/>
      <c r="K1743"/>
      <c r="L1743"/>
      <c r="M1743"/>
      <c r="N1743"/>
      <c r="O1743"/>
      <c r="P1743"/>
      <c r="Q1743"/>
      <c r="R1743"/>
      <c r="S1743"/>
      <c r="T1743"/>
      <c r="U1743"/>
      <c r="V1743"/>
      <c r="W1743"/>
      <c r="X1743"/>
      <c r="Y1743"/>
      <c r="Z1743"/>
      <c r="AA1743"/>
      <c r="AB1743"/>
      <c r="AC1743"/>
      <c r="AD1743"/>
      <c r="AE1743"/>
      <c r="AF1743"/>
      <c r="AG1743"/>
      <c r="AH1743"/>
      <c r="AI1743"/>
      <c r="AJ1743"/>
      <c r="AK1743"/>
      <c r="AL1743"/>
      <c r="AM1743"/>
      <c r="AN1743"/>
      <c r="AO1743"/>
      <c r="AP1743"/>
      <c r="AQ1743"/>
      <c r="AR1743"/>
      <c r="AS1743"/>
      <c r="AT1743"/>
      <c r="AU1743"/>
      <c r="AV1743"/>
      <c r="AW1743"/>
      <c r="AX1743"/>
      <c r="AY1743"/>
      <c r="AZ1743"/>
      <c r="BA1743"/>
      <c r="BB1743"/>
      <c r="BC1743"/>
      <c r="BD1743"/>
      <c r="BE1743"/>
      <c r="BF1743"/>
      <c r="BG1743"/>
      <c r="BH1743"/>
      <c r="BI1743"/>
      <c r="BJ1743"/>
      <c r="BK1743"/>
      <c r="BL1743"/>
      <c r="BM1743"/>
      <c r="BN1743"/>
      <c r="BO1743"/>
      <c r="BP1743"/>
      <c r="BQ1743"/>
      <c r="BR1743"/>
      <c r="BS1743"/>
      <c r="BT1743"/>
      <c r="BU1743"/>
      <c r="BV1743"/>
      <c r="BW1743"/>
      <c r="BX1743"/>
      <c r="BY1743"/>
      <c r="BZ1743"/>
      <c r="CA1743"/>
      <c r="CB1743"/>
      <c r="CC1743"/>
      <c r="CD1743"/>
      <c r="CE1743"/>
      <c r="CF1743"/>
      <c r="CG1743"/>
      <c r="CH1743"/>
      <c r="CI1743"/>
      <c r="CJ1743"/>
      <c r="CK1743"/>
      <c r="CL1743"/>
      <c r="CM1743"/>
      <c r="CN1743"/>
      <c r="CO1743"/>
      <c r="CP1743"/>
      <c r="CQ1743"/>
      <c r="CR1743"/>
      <c r="CS1743"/>
      <c r="CT1743"/>
      <c r="CU1743"/>
      <c r="CV1743"/>
      <c r="CW1743"/>
      <c r="CX1743"/>
      <c r="CY1743"/>
      <c r="CZ1743"/>
      <c r="DA1743"/>
      <c r="DB1743"/>
      <c r="DC1743"/>
      <c r="DD1743"/>
      <c r="DE1743"/>
      <c r="DF1743"/>
      <c r="DG1743"/>
      <c r="DH1743"/>
      <c r="DI1743"/>
      <c r="DJ1743"/>
      <c r="DK1743"/>
      <c r="DL1743"/>
      <c r="DM1743"/>
      <c r="DN1743"/>
      <c r="DO1743"/>
      <c r="DP1743"/>
      <c r="DQ1743"/>
      <c r="DR1743"/>
      <c r="DS1743"/>
      <c r="DT1743"/>
      <c r="DU1743"/>
      <c r="DV1743"/>
      <c r="DW1743"/>
      <c r="DX1743"/>
      <c r="DY1743"/>
      <c r="DZ1743"/>
      <c r="EA1743"/>
      <c r="EB1743"/>
      <c r="EC1743"/>
      <c r="ED1743"/>
      <c r="EE1743"/>
      <c r="EF1743"/>
      <c r="EG1743"/>
      <c r="EH1743"/>
      <c r="EI1743"/>
      <c r="EJ1743"/>
      <c r="EK1743"/>
      <c r="EL1743"/>
      <c r="EM1743"/>
      <c r="EN1743"/>
      <c r="EO1743"/>
      <c r="EP1743"/>
      <c r="EQ1743"/>
      <c r="ER1743"/>
      <c r="ES1743"/>
    </row>
    <row r="1744" spans="1:149">
      <c r="A1744"/>
      <c r="B1744"/>
      <c r="C1744"/>
      <c r="D1744"/>
      <c r="E1744"/>
      <c r="F1744"/>
      <c r="G1744"/>
      <c r="H1744"/>
      <c r="I1744"/>
      <c r="J1744"/>
      <c r="K1744"/>
      <c r="L1744"/>
      <c r="M1744"/>
      <c r="N1744"/>
      <c r="O1744"/>
      <c r="P1744"/>
      <c r="Q1744"/>
      <c r="R1744"/>
      <c r="S1744"/>
      <c r="T1744"/>
      <c r="U1744"/>
      <c r="V1744"/>
      <c r="W1744"/>
      <c r="X1744"/>
      <c r="Y1744"/>
      <c r="Z1744"/>
      <c r="AA1744"/>
      <c r="AB1744"/>
      <c r="AC1744"/>
      <c r="AD1744"/>
      <c r="AE1744"/>
      <c r="AF1744"/>
      <c r="AG1744"/>
      <c r="AH1744"/>
      <c r="AI1744"/>
      <c r="AJ1744"/>
      <c r="AK1744"/>
      <c r="AL1744"/>
      <c r="AM1744"/>
      <c r="AN1744"/>
      <c r="AO1744"/>
      <c r="AP1744"/>
      <c r="AQ1744"/>
      <c r="AR1744"/>
      <c r="AS1744"/>
      <c r="AT1744"/>
      <c r="AU1744"/>
      <c r="AV1744"/>
      <c r="AW1744"/>
      <c r="AX1744"/>
      <c r="AY1744"/>
      <c r="AZ1744"/>
      <c r="BA1744"/>
      <c r="BB1744"/>
      <c r="BC1744"/>
      <c r="BD1744"/>
      <c r="BE1744"/>
      <c r="BF1744"/>
      <c r="BG1744"/>
      <c r="BH1744"/>
      <c r="BI1744"/>
      <c r="BJ1744"/>
      <c r="BK1744"/>
      <c r="BL1744"/>
      <c r="BM1744"/>
      <c r="BN1744"/>
      <c r="BO1744"/>
      <c r="BP1744"/>
      <c r="BQ1744"/>
      <c r="BR1744"/>
      <c r="BS1744"/>
      <c r="BT1744"/>
      <c r="BU1744"/>
      <c r="BV1744"/>
      <c r="BW1744"/>
      <c r="BX1744"/>
      <c r="BY1744"/>
      <c r="BZ1744"/>
      <c r="CA1744"/>
      <c r="CB1744"/>
      <c r="CC1744"/>
      <c r="CD1744"/>
      <c r="CE1744"/>
      <c r="CF1744"/>
      <c r="CG1744"/>
      <c r="CH1744"/>
      <c r="CI1744"/>
      <c r="CJ1744"/>
      <c r="CK1744"/>
      <c r="CL1744"/>
      <c r="CM1744"/>
      <c r="CN1744"/>
      <c r="CO1744"/>
      <c r="CP1744"/>
      <c r="CQ1744"/>
      <c r="CR1744"/>
      <c r="CS1744"/>
      <c r="CT1744"/>
      <c r="CU1744"/>
      <c r="CV1744"/>
      <c r="CW1744"/>
      <c r="CX1744"/>
      <c r="CY1744"/>
      <c r="CZ1744"/>
      <c r="DA1744"/>
      <c r="DB1744"/>
      <c r="DC1744"/>
      <c r="DD1744"/>
      <c r="DE1744"/>
      <c r="DF1744"/>
      <c r="DG1744"/>
      <c r="DH1744"/>
      <c r="DI1744"/>
      <c r="DJ1744"/>
      <c r="DK1744"/>
      <c r="DL1744"/>
      <c r="DM1744"/>
      <c r="DN1744"/>
      <c r="DO1744"/>
      <c r="DP1744"/>
      <c r="DQ1744"/>
      <c r="DR1744"/>
      <c r="DS1744"/>
      <c r="DT1744"/>
      <c r="DU1744"/>
      <c r="DV1744"/>
      <c r="DW1744"/>
      <c r="DX1744"/>
      <c r="DY1744"/>
      <c r="DZ1744"/>
      <c r="EA1744"/>
      <c r="EB1744"/>
      <c r="EC1744"/>
      <c r="ED1744"/>
      <c r="EE1744"/>
      <c r="EF1744"/>
      <c r="EG1744"/>
      <c r="EH1744"/>
      <c r="EI1744"/>
      <c r="EJ1744"/>
      <c r="EK1744"/>
      <c r="EL1744"/>
      <c r="EM1744"/>
      <c r="EN1744"/>
      <c r="EO1744"/>
      <c r="EP1744"/>
      <c r="EQ1744"/>
      <c r="ER1744"/>
      <c r="ES1744"/>
    </row>
    <row r="1745" spans="1:149">
      <c r="A1745"/>
      <c r="B1745"/>
      <c r="C1745"/>
      <c r="D1745"/>
      <c r="E1745"/>
      <c r="F1745"/>
      <c r="G1745"/>
      <c r="H1745"/>
      <c r="I1745"/>
      <c r="J1745"/>
      <c r="K1745"/>
      <c r="L1745"/>
      <c r="M1745"/>
      <c r="N1745"/>
      <c r="O1745"/>
      <c r="P1745"/>
      <c r="Q1745"/>
      <c r="R1745"/>
      <c r="S1745"/>
      <c r="T1745"/>
      <c r="U1745"/>
      <c r="V1745"/>
      <c r="W1745"/>
      <c r="X1745"/>
      <c r="Y1745"/>
      <c r="Z1745"/>
      <c r="AA1745"/>
      <c r="AB1745"/>
      <c r="AC1745"/>
      <c r="AD1745"/>
      <c r="AE1745"/>
      <c r="AF1745"/>
      <c r="AG1745"/>
      <c r="AH1745"/>
      <c r="AI1745"/>
      <c r="AJ1745"/>
      <c r="AK1745"/>
      <c r="AL1745"/>
      <c r="AM1745"/>
      <c r="AN1745"/>
      <c r="AO1745"/>
      <c r="AP1745"/>
      <c r="AQ1745"/>
      <c r="AR1745"/>
      <c r="AS1745"/>
      <c r="AT1745"/>
      <c r="AU1745"/>
      <c r="AV1745"/>
      <c r="AW1745"/>
      <c r="AX1745"/>
      <c r="AY1745"/>
      <c r="AZ1745"/>
      <c r="BA1745"/>
      <c r="BB1745"/>
      <c r="BC1745"/>
      <c r="BD1745"/>
      <c r="BE1745"/>
      <c r="BF1745"/>
      <c r="BG1745"/>
      <c r="BH1745"/>
      <c r="BI1745"/>
      <c r="BJ1745"/>
      <c r="BK1745"/>
      <c r="BL1745"/>
      <c r="BM1745"/>
      <c r="BN1745"/>
      <c r="BO1745"/>
      <c r="BP1745"/>
      <c r="BQ1745"/>
      <c r="BR1745"/>
      <c r="BS1745"/>
      <c r="BT1745"/>
      <c r="BU1745"/>
      <c r="BV1745"/>
      <c r="BW1745"/>
      <c r="BX1745"/>
      <c r="BY1745"/>
      <c r="BZ1745"/>
      <c r="CA1745"/>
      <c r="CB1745"/>
      <c r="CC1745"/>
      <c r="CD1745"/>
      <c r="CE1745"/>
      <c r="CF1745"/>
      <c r="CG1745"/>
      <c r="CH1745"/>
      <c r="CI1745"/>
      <c r="CJ1745"/>
      <c r="CK1745"/>
      <c r="CL1745"/>
      <c r="CM1745"/>
      <c r="CN1745"/>
      <c r="CO1745"/>
      <c r="CP1745"/>
      <c r="CQ1745"/>
      <c r="CR1745"/>
      <c r="CS1745"/>
      <c r="CT1745"/>
      <c r="CU1745"/>
      <c r="CV1745"/>
      <c r="CW1745"/>
      <c r="CX1745"/>
      <c r="CY1745"/>
      <c r="CZ1745"/>
      <c r="DA1745"/>
      <c r="DB1745"/>
      <c r="DC1745"/>
      <c r="DD1745"/>
      <c r="DE1745"/>
      <c r="DF1745"/>
      <c r="DG1745"/>
      <c r="DH1745"/>
      <c r="DI1745"/>
      <c r="DJ1745"/>
      <c r="DK1745"/>
      <c r="DL1745"/>
      <c r="DM1745"/>
      <c r="DN1745"/>
      <c r="DO1745"/>
      <c r="DP1745"/>
      <c r="DQ1745"/>
      <c r="DR1745"/>
      <c r="DS1745"/>
      <c r="DT1745"/>
      <c r="DU1745"/>
      <c r="DV1745"/>
      <c r="DW1745"/>
      <c r="DX1745"/>
      <c r="DY1745"/>
      <c r="DZ1745"/>
      <c r="EA1745"/>
      <c r="EB1745"/>
      <c r="EC1745"/>
      <c r="ED1745"/>
      <c r="EE1745"/>
      <c r="EF1745"/>
      <c r="EG1745"/>
      <c r="EH1745"/>
      <c r="EI1745"/>
      <c r="EJ1745"/>
      <c r="EK1745"/>
      <c r="EL1745"/>
      <c r="EM1745"/>
      <c r="EN1745"/>
      <c r="EO1745"/>
      <c r="EP1745"/>
      <c r="EQ1745"/>
      <c r="ER1745"/>
      <c r="ES1745"/>
    </row>
    <row r="1746" spans="1:149">
      <c r="A1746"/>
      <c r="B1746"/>
      <c r="C1746"/>
      <c r="D1746"/>
      <c r="E1746"/>
      <c r="F1746"/>
      <c r="G1746"/>
      <c r="H1746"/>
      <c r="I1746"/>
      <c r="J1746"/>
      <c r="K1746"/>
      <c r="L1746"/>
      <c r="M1746"/>
      <c r="N1746"/>
      <c r="O1746"/>
      <c r="P1746"/>
      <c r="Q1746"/>
      <c r="R1746"/>
      <c r="S1746"/>
      <c r="T1746"/>
      <c r="U1746"/>
      <c r="V1746"/>
      <c r="W1746"/>
      <c r="X1746"/>
      <c r="Y1746"/>
      <c r="Z1746"/>
      <c r="AA1746"/>
      <c r="AB1746"/>
      <c r="AC1746"/>
      <c r="AD1746"/>
      <c r="AE1746"/>
      <c r="AF1746"/>
      <c r="AG1746"/>
      <c r="AH1746"/>
      <c r="AI1746"/>
      <c r="AJ1746"/>
      <c r="AK1746"/>
      <c r="AL1746"/>
      <c r="AM1746"/>
      <c r="AN1746"/>
      <c r="AO1746"/>
      <c r="AP1746"/>
      <c r="AQ1746"/>
      <c r="AR1746"/>
      <c r="AS1746"/>
      <c r="AT1746"/>
      <c r="AU1746"/>
      <c r="AV1746"/>
      <c r="AW1746"/>
      <c r="AX1746"/>
      <c r="AY1746"/>
      <c r="AZ1746"/>
      <c r="BA1746"/>
      <c r="BB1746"/>
      <c r="BC1746"/>
      <c r="BD1746"/>
      <c r="BE1746"/>
      <c r="BF1746"/>
      <c r="BG1746"/>
      <c r="BH1746"/>
      <c r="BI1746"/>
      <c r="BJ1746"/>
      <c r="BK1746"/>
      <c r="BL1746"/>
      <c r="BM1746"/>
      <c r="BN1746"/>
      <c r="BO1746"/>
      <c r="BP1746"/>
      <c r="BQ1746"/>
      <c r="BR1746"/>
      <c r="BS1746"/>
      <c r="BT1746"/>
      <c r="BU1746"/>
      <c r="BV1746"/>
      <c r="BW1746"/>
      <c r="BX1746"/>
      <c r="BY1746"/>
      <c r="BZ1746"/>
      <c r="CA1746"/>
      <c r="CB1746"/>
      <c r="CC1746"/>
      <c r="CD1746"/>
      <c r="CE1746"/>
      <c r="CF1746"/>
      <c r="CG1746"/>
      <c r="CH1746"/>
      <c r="CI1746"/>
      <c r="CJ1746"/>
      <c r="CK1746"/>
      <c r="CL1746"/>
      <c r="CM1746"/>
      <c r="CN1746"/>
      <c r="CO1746"/>
      <c r="CP1746"/>
      <c r="CQ1746"/>
      <c r="CR1746"/>
      <c r="CS1746"/>
      <c r="CT1746"/>
      <c r="CU1746"/>
      <c r="CV1746"/>
      <c r="CW1746"/>
      <c r="CX1746"/>
      <c r="CY1746"/>
      <c r="CZ1746"/>
      <c r="DA1746"/>
      <c r="DB1746"/>
      <c r="DC1746"/>
      <c r="DD1746"/>
      <c r="DE1746"/>
      <c r="DF1746"/>
      <c r="DG1746"/>
      <c r="DH1746"/>
      <c r="DI1746"/>
      <c r="DJ1746"/>
      <c r="DK1746"/>
      <c r="DL1746"/>
      <c r="DM1746"/>
      <c r="DN1746"/>
      <c r="DO1746"/>
      <c r="DP1746"/>
      <c r="DQ1746"/>
      <c r="DR1746"/>
      <c r="DS1746"/>
      <c r="DT1746"/>
      <c r="DU1746"/>
      <c r="DV1746"/>
      <c r="DW1746"/>
      <c r="DX1746"/>
      <c r="DY1746"/>
      <c r="DZ1746"/>
      <c r="EA1746"/>
      <c r="EB1746"/>
      <c r="EC1746"/>
      <c r="ED1746"/>
      <c r="EE1746"/>
      <c r="EF1746"/>
      <c r="EG1746"/>
      <c r="EH1746"/>
      <c r="EI1746"/>
      <c r="EJ1746"/>
      <c r="EK1746"/>
      <c r="EL1746"/>
      <c r="EM1746"/>
      <c r="EN1746"/>
      <c r="EO1746"/>
      <c r="EP1746"/>
      <c r="EQ1746"/>
      <c r="ER1746"/>
      <c r="ES1746"/>
    </row>
    <row r="1747" spans="1:149">
      <c r="A1747"/>
      <c r="B1747"/>
      <c r="C1747"/>
      <c r="D1747"/>
      <c r="E1747"/>
      <c r="F1747"/>
      <c r="G1747"/>
      <c r="H1747"/>
      <c r="I1747"/>
      <c r="J1747"/>
      <c r="K1747"/>
      <c r="L1747"/>
      <c r="M1747"/>
      <c r="N1747"/>
      <c r="O1747"/>
      <c r="P1747"/>
      <c r="Q1747"/>
      <c r="R1747"/>
      <c r="S1747"/>
      <c r="T1747"/>
      <c r="U1747"/>
      <c r="V1747"/>
      <c r="W1747"/>
      <c r="X1747"/>
      <c r="Y1747"/>
      <c r="Z1747"/>
      <c r="AA1747"/>
      <c r="AB1747"/>
      <c r="AC1747"/>
      <c r="AD1747"/>
      <c r="AE1747"/>
      <c r="AF1747"/>
      <c r="AG1747"/>
      <c r="AH1747"/>
      <c r="AI1747"/>
      <c r="AJ1747"/>
      <c r="AK1747"/>
      <c r="AL1747"/>
      <c r="AM1747"/>
      <c r="AN1747"/>
      <c r="AO1747"/>
      <c r="AP1747"/>
      <c r="AQ1747"/>
      <c r="AR1747"/>
      <c r="AS1747"/>
      <c r="AT1747"/>
      <c r="AU1747"/>
      <c r="AV1747"/>
      <c r="AW1747"/>
      <c r="AX1747"/>
      <c r="AY1747"/>
      <c r="AZ1747"/>
      <c r="BA1747"/>
      <c r="BB1747"/>
      <c r="BC1747"/>
      <c r="BD1747"/>
      <c r="BE1747"/>
      <c r="BF1747"/>
      <c r="BG1747"/>
      <c r="BH1747"/>
      <c r="BI1747"/>
      <c r="BJ1747"/>
      <c r="BK1747"/>
      <c r="BL1747"/>
      <c r="BM1747"/>
      <c r="BN1747"/>
      <c r="BO1747"/>
      <c r="BP1747"/>
      <c r="BQ1747"/>
      <c r="BR1747"/>
      <c r="BS1747"/>
      <c r="BT1747"/>
      <c r="BU1747"/>
      <c r="BV1747"/>
      <c r="BW1747"/>
      <c r="BX1747"/>
      <c r="BY1747"/>
      <c r="BZ1747"/>
      <c r="CA1747"/>
      <c r="CB1747"/>
      <c r="CC1747"/>
      <c r="CD1747"/>
      <c r="CE1747"/>
      <c r="CF1747"/>
      <c r="CG1747"/>
      <c r="CH1747"/>
      <c r="CI1747"/>
      <c r="CJ1747"/>
      <c r="CK1747"/>
      <c r="CL1747"/>
      <c r="CM1747"/>
      <c r="CN1747"/>
      <c r="CO1747"/>
      <c r="CP1747"/>
      <c r="CQ1747"/>
      <c r="CR1747"/>
      <c r="CS1747"/>
      <c r="CT1747"/>
      <c r="CU1747"/>
      <c r="CV1747"/>
      <c r="CW1747"/>
      <c r="CX1747"/>
      <c r="CY1747"/>
      <c r="CZ1747"/>
      <c r="DA1747"/>
      <c r="DB1747"/>
      <c r="DC1747"/>
      <c r="DD1747"/>
      <c r="DE1747"/>
      <c r="DF1747"/>
      <c r="DG1747"/>
      <c r="DH1747"/>
      <c r="DI1747"/>
      <c r="DJ1747"/>
      <c r="DK1747"/>
      <c r="DL1747"/>
      <c r="DM1747"/>
      <c r="DN1747"/>
      <c r="DO1747"/>
      <c r="DP1747"/>
      <c r="DQ1747"/>
      <c r="DR1747"/>
      <c r="DS1747"/>
      <c r="DT1747"/>
      <c r="DU1747"/>
      <c r="DV1747"/>
      <c r="DW1747"/>
      <c r="DX1747"/>
      <c r="DY1747"/>
      <c r="DZ1747"/>
      <c r="EA1747"/>
      <c r="EB1747"/>
      <c r="EC1747"/>
      <c r="ED1747"/>
      <c r="EE1747"/>
      <c r="EF1747"/>
      <c r="EG1747"/>
      <c r="EH1747"/>
      <c r="EI1747"/>
      <c r="EJ1747"/>
      <c r="EK1747"/>
      <c r="EL1747"/>
      <c r="EM1747"/>
      <c r="EN1747"/>
      <c r="EO1747"/>
      <c r="EP1747"/>
      <c r="EQ1747"/>
      <c r="ER1747"/>
      <c r="ES1747"/>
    </row>
    <row r="1748" spans="1:149">
      <c r="A1748"/>
      <c r="B1748"/>
      <c r="C1748"/>
      <c r="D1748"/>
      <c r="E1748"/>
      <c r="F1748"/>
      <c r="G1748"/>
      <c r="H1748"/>
      <c r="I1748"/>
      <c r="J1748"/>
      <c r="K1748"/>
      <c r="L1748"/>
      <c r="M1748"/>
      <c r="N1748"/>
      <c r="O1748"/>
      <c r="P1748"/>
      <c r="Q1748"/>
      <c r="R1748"/>
      <c r="S1748"/>
      <c r="T1748"/>
      <c r="U1748"/>
      <c r="V1748"/>
      <c r="W1748"/>
      <c r="X1748"/>
      <c r="Y1748"/>
      <c r="Z1748"/>
      <c r="AA1748"/>
      <c r="AB1748"/>
      <c r="AC1748"/>
      <c r="AD1748"/>
      <c r="AE1748"/>
      <c r="AF1748"/>
      <c r="AG1748"/>
      <c r="AH1748"/>
      <c r="AI1748"/>
      <c r="AJ1748"/>
      <c r="AK1748"/>
      <c r="AL1748"/>
      <c r="AM1748"/>
      <c r="AN1748"/>
      <c r="AO1748"/>
      <c r="AP1748"/>
      <c r="AQ1748"/>
      <c r="AR1748"/>
      <c r="AS1748"/>
      <c r="AT1748"/>
      <c r="AU1748"/>
      <c r="AV1748"/>
      <c r="AW1748"/>
      <c r="AX1748"/>
      <c r="AY1748"/>
      <c r="AZ1748"/>
      <c r="BA1748"/>
      <c r="BB1748"/>
      <c r="BC1748"/>
      <c r="BD1748"/>
      <c r="BE1748"/>
      <c r="BF1748"/>
      <c r="BG1748"/>
      <c r="BH1748"/>
      <c r="BI1748"/>
      <c r="BJ1748"/>
      <c r="BK1748"/>
      <c r="BL1748"/>
      <c r="BM1748"/>
      <c r="BN1748"/>
      <c r="BO1748"/>
      <c r="BP1748"/>
      <c r="BQ1748"/>
      <c r="BR1748"/>
      <c r="BS1748"/>
      <c r="BT1748"/>
      <c r="BU1748"/>
      <c r="BV1748"/>
      <c r="BW1748"/>
      <c r="BX1748"/>
      <c r="BY1748"/>
      <c r="BZ1748"/>
      <c r="CA1748"/>
      <c r="CB1748"/>
      <c r="CC1748"/>
      <c r="CD1748"/>
      <c r="CE1748"/>
      <c r="CF1748"/>
      <c r="CG1748"/>
      <c r="CH1748"/>
      <c r="CI1748"/>
      <c r="CJ1748"/>
      <c r="CK1748"/>
      <c r="CL1748"/>
      <c r="CM1748"/>
      <c r="CN1748"/>
      <c r="CO1748"/>
      <c r="CP1748"/>
      <c r="CQ1748"/>
      <c r="CR1748"/>
      <c r="CS1748"/>
      <c r="CT1748"/>
      <c r="CU1748"/>
      <c r="CV1748"/>
      <c r="CW1748"/>
      <c r="CX1748"/>
      <c r="CY1748"/>
      <c r="CZ1748"/>
      <c r="DA1748"/>
      <c r="DB1748"/>
      <c r="DC1748"/>
      <c r="DD1748"/>
      <c r="DE1748"/>
      <c r="DF1748"/>
      <c r="DG1748"/>
      <c r="DH1748"/>
      <c r="DI1748"/>
      <c r="DJ1748"/>
      <c r="DK1748"/>
      <c r="DL1748"/>
      <c r="DM1748"/>
      <c r="DN1748"/>
      <c r="DO1748"/>
      <c r="DP1748"/>
      <c r="DQ1748"/>
      <c r="DR1748"/>
      <c r="DS1748"/>
      <c r="DT1748"/>
      <c r="DU1748"/>
      <c r="DV1748"/>
      <c r="DW1748"/>
      <c r="DX1748"/>
      <c r="DY1748"/>
      <c r="DZ1748"/>
      <c r="EA1748"/>
      <c r="EB1748"/>
      <c r="EC1748"/>
      <c r="ED1748"/>
      <c r="EE1748"/>
      <c r="EF1748"/>
      <c r="EG1748"/>
      <c r="EH1748"/>
      <c r="EI1748"/>
      <c r="EJ1748"/>
      <c r="EK1748"/>
      <c r="EL1748"/>
      <c r="EM1748"/>
      <c r="EN1748"/>
      <c r="EO1748"/>
      <c r="EP1748"/>
      <c r="EQ1748"/>
      <c r="ER1748"/>
      <c r="ES1748"/>
    </row>
    <row r="1749" spans="1:149">
      <c r="A1749"/>
      <c r="B1749"/>
      <c r="C1749"/>
      <c r="D1749"/>
      <c r="E1749"/>
      <c r="F1749"/>
      <c r="G1749"/>
      <c r="H1749"/>
      <c r="I1749"/>
      <c r="J1749"/>
      <c r="K1749"/>
      <c r="L1749"/>
      <c r="M1749"/>
      <c r="N1749"/>
      <c r="O1749"/>
      <c r="P1749"/>
      <c r="Q1749"/>
      <c r="R1749"/>
      <c r="S1749"/>
      <c r="T1749"/>
      <c r="U1749"/>
      <c r="V1749"/>
      <c r="W1749"/>
      <c r="X1749"/>
      <c r="Y1749"/>
      <c r="Z1749"/>
      <c r="AA1749"/>
      <c r="AB1749"/>
      <c r="AC1749"/>
      <c r="AD1749"/>
      <c r="AE1749"/>
      <c r="AF1749"/>
      <c r="AG1749"/>
      <c r="AH1749"/>
      <c r="AI1749"/>
      <c r="AJ1749"/>
      <c r="AK1749"/>
      <c r="AL1749"/>
      <c r="AM1749"/>
      <c r="AN1749"/>
      <c r="AO1749"/>
      <c r="AP1749"/>
      <c r="AQ1749"/>
      <c r="AR1749"/>
      <c r="AS1749"/>
      <c r="AT1749"/>
      <c r="AU1749"/>
      <c r="AV1749"/>
      <c r="AW1749"/>
      <c r="AX1749"/>
      <c r="AY1749"/>
      <c r="AZ1749"/>
      <c r="BA1749"/>
      <c r="BB1749"/>
      <c r="BC1749"/>
      <c r="BD1749"/>
      <c r="BE1749"/>
      <c r="BF1749"/>
      <c r="BG1749"/>
      <c r="BH1749"/>
      <c r="BI1749"/>
      <c r="BJ1749"/>
      <c r="BK1749"/>
      <c r="BL1749"/>
      <c r="BM1749"/>
      <c r="BN1749"/>
      <c r="BO1749"/>
      <c r="BP1749"/>
      <c r="BQ1749"/>
      <c r="BR1749"/>
      <c r="BS1749"/>
      <c r="BT1749"/>
      <c r="BU1749"/>
      <c r="BV1749"/>
      <c r="BW1749"/>
      <c r="BX1749"/>
      <c r="BY1749"/>
      <c r="BZ1749"/>
      <c r="CA1749"/>
      <c r="CB1749"/>
      <c r="CC1749"/>
      <c r="CD1749"/>
      <c r="CE1749"/>
      <c r="CF1749"/>
      <c r="CG1749"/>
      <c r="CH1749"/>
      <c r="CI1749"/>
      <c r="CJ1749"/>
      <c r="CK1749"/>
      <c r="CL1749"/>
      <c r="CM1749"/>
      <c r="CN1749"/>
      <c r="CO1749"/>
      <c r="CP1749"/>
      <c r="CQ1749"/>
      <c r="CR1749"/>
      <c r="CS1749"/>
      <c r="CT1749"/>
      <c r="CU1749"/>
      <c r="CV1749"/>
      <c r="CW1749"/>
      <c r="CX1749"/>
      <c r="CY1749"/>
      <c r="CZ1749"/>
      <c r="DA1749"/>
      <c r="DB1749"/>
      <c r="DC1749"/>
      <c r="DD1749"/>
      <c r="DE1749"/>
      <c r="DF1749"/>
      <c r="DG1749"/>
      <c r="DH1749"/>
      <c r="DI1749"/>
      <c r="DJ1749"/>
      <c r="DK1749"/>
      <c r="DL1749"/>
      <c r="DM1749"/>
      <c r="DN1749"/>
      <c r="DO1749"/>
      <c r="DP1749"/>
      <c r="DQ1749"/>
      <c r="DR1749"/>
      <c r="DS1749"/>
      <c r="DT1749"/>
      <c r="DU1749"/>
      <c r="DV1749"/>
      <c r="DW1749"/>
      <c r="DX1749"/>
      <c r="DY1749"/>
      <c r="DZ1749"/>
      <c r="EA1749"/>
      <c r="EB1749"/>
      <c r="EC1749"/>
      <c r="ED1749"/>
      <c r="EE1749"/>
      <c r="EF1749"/>
      <c r="EG1749"/>
      <c r="EH1749"/>
      <c r="EI1749"/>
      <c r="EJ1749"/>
      <c r="EK1749"/>
      <c r="EL1749"/>
      <c r="EM1749"/>
      <c r="EN1749"/>
      <c r="EO1749"/>
      <c r="EP1749"/>
      <c r="EQ1749"/>
      <c r="ER1749"/>
      <c r="ES1749"/>
    </row>
    <row r="1750" spans="1:149">
      <c r="A1750"/>
      <c r="B1750"/>
      <c r="C1750"/>
      <c r="D1750"/>
      <c r="E1750"/>
      <c r="F1750"/>
      <c r="G1750"/>
      <c r="H1750"/>
      <c r="I1750"/>
      <c r="J1750"/>
      <c r="K1750"/>
      <c r="L1750"/>
      <c r="M1750"/>
      <c r="N1750"/>
      <c r="O1750"/>
      <c r="P1750"/>
      <c r="Q1750"/>
      <c r="R1750"/>
      <c r="S1750"/>
      <c r="T1750"/>
      <c r="U1750"/>
      <c r="V1750"/>
      <c r="W1750"/>
      <c r="X1750"/>
      <c r="Y1750"/>
      <c r="Z1750"/>
      <c r="AA1750"/>
      <c r="AB1750"/>
      <c r="AC1750"/>
      <c r="AD1750"/>
      <c r="AE1750"/>
      <c r="AF1750"/>
      <c r="AG1750"/>
      <c r="AH1750"/>
      <c r="AI1750"/>
      <c r="AJ1750"/>
      <c r="AK1750"/>
      <c r="AL1750"/>
      <c r="AM1750"/>
      <c r="AN1750"/>
      <c r="AO1750"/>
      <c r="AP1750"/>
      <c r="AQ1750"/>
      <c r="AR1750"/>
      <c r="AS1750"/>
      <c r="AT1750"/>
      <c r="AU1750"/>
      <c r="AV1750"/>
      <c r="AW1750"/>
      <c r="AX1750"/>
      <c r="AY1750"/>
      <c r="AZ1750"/>
      <c r="BA1750"/>
      <c r="BB1750"/>
      <c r="BC1750"/>
      <c r="BD1750"/>
      <c r="BE1750"/>
      <c r="BF1750"/>
      <c r="BG1750"/>
      <c r="BH1750"/>
      <c r="BI1750"/>
      <c r="BJ1750"/>
      <c r="BK1750"/>
      <c r="BL1750"/>
      <c r="BM1750"/>
      <c r="BN1750"/>
      <c r="BO1750"/>
      <c r="BP1750"/>
      <c r="BQ1750"/>
      <c r="BR1750"/>
      <c r="BS1750"/>
      <c r="BT1750"/>
      <c r="BU1750"/>
      <c r="BV1750"/>
      <c r="BW1750"/>
      <c r="BX1750"/>
      <c r="BY1750"/>
      <c r="BZ1750"/>
      <c r="CA1750"/>
      <c r="CB1750"/>
      <c r="CC1750"/>
      <c r="CD1750"/>
      <c r="CE1750"/>
      <c r="CF1750"/>
      <c r="CG1750"/>
      <c r="CH1750"/>
      <c r="CI1750"/>
      <c r="CJ1750"/>
      <c r="CK1750"/>
      <c r="CL1750"/>
      <c r="CM1750"/>
      <c r="CN1750"/>
      <c r="CO1750"/>
      <c r="CP1750"/>
      <c r="CQ1750"/>
      <c r="CR1750"/>
      <c r="CS1750"/>
      <c r="CT1750"/>
      <c r="CU1750"/>
      <c r="CV1750"/>
      <c r="CW1750"/>
      <c r="CX1750"/>
      <c r="CY1750"/>
      <c r="CZ1750"/>
      <c r="DA1750"/>
      <c r="DB1750"/>
      <c r="DC1750"/>
      <c r="DD1750"/>
      <c r="DE1750"/>
      <c r="DF1750"/>
      <c r="DG1750"/>
      <c r="DH1750"/>
      <c r="DI1750"/>
      <c r="DJ1750"/>
      <c r="DK1750"/>
      <c r="DL1750"/>
      <c r="DM1750"/>
      <c r="DN1750"/>
      <c r="DO1750"/>
      <c r="DP1750"/>
      <c r="DQ1750"/>
      <c r="DR1750"/>
      <c r="DS1750"/>
      <c r="DT1750"/>
      <c r="DU1750"/>
      <c r="DV1750"/>
      <c r="DW1750"/>
      <c r="DX1750"/>
      <c r="DY1750"/>
      <c r="DZ1750"/>
      <c r="EA1750"/>
      <c r="EB1750"/>
      <c r="EC1750"/>
      <c r="ED1750"/>
      <c r="EE1750"/>
      <c r="EF1750"/>
      <c r="EG1750"/>
      <c r="EH1750"/>
      <c r="EI1750"/>
      <c r="EJ1750"/>
      <c r="EK1750"/>
      <c r="EL1750"/>
      <c r="EM1750"/>
      <c r="EN1750"/>
      <c r="EO1750"/>
      <c r="EP1750"/>
      <c r="EQ1750"/>
      <c r="ER1750"/>
      <c r="ES1750"/>
    </row>
    <row r="1751" spans="1:149">
      <c r="A1751"/>
      <c r="B1751"/>
      <c r="C1751"/>
      <c r="D1751"/>
      <c r="E1751"/>
      <c r="F1751"/>
      <c r="G1751"/>
      <c r="H1751"/>
      <c r="I1751"/>
      <c r="J1751"/>
      <c r="K1751"/>
      <c r="L1751"/>
      <c r="M1751"/>
      <c r="N1751"/>
      <c r="O1751"/>
      <c r="P1751"/>
      <c r="Q1751"/>
      <c r="R1751"/>
      <c r="S1751"/>
      <c r="T1751"/>
      <c r="U1751"/>
      <c r="V1751"/>
      <c r="W1751"/>
      <c r="X1751"/>
      <c r="Y1751"/>
      <c r="Z1751"/>
      <c r="AA1751"/>
      <c r="AB1751"/>
      <c r="AC1751"/>
      <c r="AD1751"/>
      <c r="AE1751"/>
      <c r="AF1751"/>
      <c r="AG1751"/>
      <c r="AH1751"/>
      <c r="AI1751"/>
      <c r="AJ1751"/>
      <c r="AK1751"/>
      <c r="AL1751"/>
      <c r="AM1751"/>
      <c r="AN1751"/>
      <c r="AO1751"/>
      <c r="AP1751"/>
      <c r="AQ1751"/>
      <c r="AR1751"/>
      <c r="AS1751"/>
      <c r="AT1751"/>
      <c r="AU1751"/>
      <c r="AV1751"/>
      <c r="AW1751"/>
      <c r="AX1751"/>
      <c r="AY1751"/>
      <c r="AZ1751"/>
      <c r="BA1751"/>
      <c r="BB1751"/>
      <c r="BC1751"/>
      <c r="BD1751"/>
      <c r="BE1751"/>
      <c r="BF1751"/>
      <c r="BG1751"/>
      <c r="BH1751"/>
      <c r="BI1751"/>
      <c r="BJ1751"/>
      <c r="BK1751"/>
      <c r="BL1751"/>
      <c r="BM1751"/>
      <c r="BN1751"/>
      <c r="BO1751"/>
      <c r="BP1751"/>
      <c r="BQ1751"/>
      <c r="BR1751"/>
      <c r="BS1751"/>
      <c r="BT1751"/>
      <c r="BU1751"/>
      <c r="BV1751"/>
      <c r="BW1751"/>
      <c r="BX1751"/>
      <c r="BY1751"/>
      <c r="BZ1751"/>
      <c r="CA1751"/>
      <c r="CB1751"/>
      <c r="CC1751"/>
      <c r="CD1751"/>
      <c r="CE1751"/>
      <c r="CF1751"/>
      <c r="CG1751"/>
      <c r="CH1751"/>
      <c r="CI1751"/>
      <c r="CJ1751"/>
      <c r="CK1751"/>
      <c r="CL1751"/>
      <c r="CM1751"/>
      <c r="CN1751"/>
      <c r="CO1751"/>
      <c r="CP1751"/>
      <c r="CQ1751"/>
      <c r="CR1751"/>
      <c r="CS1751"/>
      <c r="CT1751"/>
      <c r="CU1751"/>
      <c r="CV1751"/>
      <c r="CW1751"/>
      <c r="CX1751"/>
      <c r="CY1751"/>
      <c r="CZ1751"/>
      <c r="DA1751"/>
      <c r="DB1751"/>
      <c r="DC1751"/>
      <c r="DD1751"/>
      <c r="DE1751"/>
      <c r="DF1751"/>
      <c r="DG1751"/>
      <c r="DH1751"/>
      <c r="DI1751"/>
      <c r="DJ1751"/>
      <c r="DK1751"/>
      <c r="DL1751"/>
      <c r="DM1751"/>
      <c r="DN1751"/>
      <c r="DO1751"/>
      <c r="DP1751"/>
      <c r="DQ1751"/>
      <c r="DR1751"/>
      <c r="DS1751"/>
      <c r="DT1751"/>
      <c r="DU1751"/>
      <c r="DV1751"/>
      <c r="DW1751"/>
      <c r="DX1751"/>
      <c r="DY1751"/>
      <c r="DZ1751"/>
      <c r="EA1751"/>
      <c r="EB1751"/>
      <c r="EC1751"/>
      <c r="ED1751"/>
      <c r="EE1751"/>
      <c r="EF1751"/>
      <c r="EG1751"/>
      <c r="EH1751"/>
      <c r="EI1751"/>
      <c r="EJ1751"/>
      <c r="EK1751"/>
      <c r="EL1751"/>
      <c r="EM1751"/>
      <c r="EN1751"/>
      <c r="EO1751"/>
      <c r="EP1751"/>
      <c r="EQ1751"/>
      <c r="ER1751"/>
      <c r="ES1751"/>
    </row>
    <row r="1752" spans="1:149">
      <c r="A1752"/>
      <c r="B1752"/>
      <c r="C1752"/>
      <c r="D1752"/>
      <c r="E1752"/>
      <c r="F1752"/>
      <c r="G1752"/>
      <c r="H1752"/>
      <c r="I1752"/>
      <c r="J1752"/>
      <c r="K1752"/>
      <c r="L1752"/>
      <c r="M1752"/>
      <c r="N1752"/>
      <c r="O1752"/>
      <c r="P1752"/>
      <c r="Q1752"/>
      <c r="R1752"/>
      <c r="S1752"/>
      <c r="T1752"/>
      <c r="U1752"/>
      <c r="V1752"/>
      <c r="W1752"/>
      <c r="X1752"/>
      <c r="Y1752"/>
      <c r="Z1752"/>
      <c r="AA1752"/>
      <c r="AB1752"/>
      <c r="AC1752"/>
      <c r="AD1752"/>
      <c r="AE1752"/>
      <c r="AF1752"/>
      <c r="AG1752"/>
      <c r="AH1752"/>
      <c r="AI1752"/>
      <c r="AJ1752"/>
      <c r="AK1752"/>
      <c r="AL1752"/>
      <c r="AM1752"/>
      <c r="AN1752"/>
      <c r="AO1752"/>
      <c r="AP1752"/>
      <c r="AQ1752"/>
      <c r="AR1752"/>
      <c r="AS1752"/>
      <c r="AT1752"/>
      <c r="AU1752"/>
      <c r="AV1752"/>
      <c r="AW1752"/>
      <c r="AX1752"/>
      <c r="AY1752"/>
      <c r="AZ1752"/>
      <c r="BA1752"/>
      <c r="BB1752"/>
      <c r="BC1752"/>
      <c r="BD1752"/>
      <c r="BE1752"/>
      <c r="BF1752"/>
      <c r="BG1752"/>
      <c r="BH1752"/>
      <c r="BI1752"/>
      <c r="BJ1752"/>
      <c r="BK1752"/>
      <c r="BL1752"/>
      <c r="BM1752"/>
      <c r="BN1752"/>
      <c r="BO1752"/>
      <c r="BP1752"/>
      <c r="BQ1752"/>
      <c r="BR1752"/>
      <c r="BS1752"/>
      <c r="BT1752"/>
      <c r="BU1752"/>
      <c r="BV1752"/>
      <c r="BW1752"/>
      <c r="BX1752"/>
      <c r="BY1752"/>
      <c r="BZ1752"/>
      <c r="CA1752"/>
      <c r="CB1752"/>
      <c r="CC1752"/>
      <c r="CD1752"/>
      <c r="CE1752"/>
      <c r="CF1752"/>
      <c r="CG1752"/>
      <c r="CH1752"/>
      <c r="CI1752"/>
      <c r="CJ1752"/>
      <c r="CK1752"/>
      <c r="CL1752"/>
      <c r="CM1752"/>
      <c r="CN1752"/>
      <c r="CO1752"/>
      <c r="CP1752"/>
      <c r="CQ1752"/>
      <c r="CR1752"/>
      <c r="CS1752"/>
      <c r="CT1752"/>
      <c r="CU1752"/>
      <c r="CV1752"/>
      <c r="CW1752"/>
      <c r="CX1752"/>
      <c r="CY1752"/>
      <c r="CZ1752"/>
      <c r="DA1752"/>
      <c r="DB1752"/>
      <c r="DC1752"/>
      <c r="DD1752"/>
      <c r="DE1752"/>
      <c r="DF1752"/>
      <c r="DG1752"/>
      <c r="DH1752"/>
      <c r="DI1752"/>
      <c r="DJ1752"/>
      <c r="DK1752"/>
      <c r="DL1752"/>
      <c r="DM1752"/>
      <c r="DN1752"/>
      <c r="DO1752"/>
      <c r="DP1752"/>
      <c r="DQ1752"/>
      <c r="DR1752"/>
      <c r="DS1752"/>
      <c r="DT1752"/>
      <c r="DU1752"/>
      <c r="DV1752"/>
      <c r="DW1752"/>
      <c r="DX1752"/>
      <c r="DY1752"/>
      <c r="DZ1752"/>
      <c r="EA1752"/>
      <c r="EB1752"/>
      <c r="EC1752"/>
      <c r="ED1752"/>
      <c r="EE1752"/>
      <c r="EF1752"/>
      <c r="EG1752"/>
      <c r="EH1752"/>
      <c r="EI1752"/>
      <c r="EJ1752"/>
      <c r="EK1752"/>
      <c r="EL1752"/>
      <c r="EM1752"/>
      <c r="EN1752"/>
      <c r="EO1752"/>
      <c r="EP1752"/>
      <c r="EQ1752"/>
      <c r="ER1752"/>
      <c r="ES1752"/>
    </row>
    <row r="1753" spans="1:149">
      <c r="A1753"/>
      <c r="B1753"/>
      <c r="C1753"/>
      <c r="D1753"/>
      <c r="E1753"/>
      <c r="F1753"/>
      <c r="G1753"/>
      <c r="H1753"/>
      <c r="I1753"/>
      <c r="J1753"/>
      <c r="K1753"/>
      <c r="L1753"/>
      <c r="M1753"/>
      <c r="N1753"/>
      <c r="O1753"/>
      <c r="P1753"/>
      <c r="Q1753"/>
      <c r="R1753"/>
      <c r="S1753"/>
      <c r="T1753"/>
      <c r="U1753"/>
      <c r="V1753"/>
      <c r="W1753"/>
      <c r="X1753"/>
      <c r="Y1753"/>
      <c r="Z1753"/>
      <c r="AA1753"/>
      <c r="AB1753"/>
      <c r="AC1753"/>
      <c r="AD1753"/>
      <c r="AE1753"/>
      <c r="AF1753"/>
      <c r="AG1753"/>
      <c r="AH1753"/>
      <c r="AI1753"/>
      <c r="AJ1753"/>
      <c r="AK1753"/>
      <c r="AL1753"/>
      <c r="AM1753"/>
      <c r="AN1753"/>
      <c r="AO1753"/>
      <c r="AP1753"/>
      <c r="AQ1753"/>
      <c r="AR1753"/>
      <c r="AS1753"/>
      <c r="AT1753"/>
      <c r="AU1753"/>
      <c r="AV1753"/>
      <c r="AW1753"/>
      <c r="AX1753"/>
      <c r="AY1753"/>
      <c r="AZ1753"/>
      <c r="BA1753"/>
      <c r="BB1753"/>
      <c r="BC1753"/>
      <c r="BD1753"/>
      <c r="BE1753"/>
      <c r="BF1753"/>
      <c r="BG1753"/>
      <c r="BH1753"/>
      <c r="BI1753"/>
      <c r="BJ1753"/>
      <c r="BK1753"/>
      <c r="BL1753"/>
      <c r="BM1753"/>
      <c r="BN1753"/>
      <c r="BO1753"/>
      <c r="BP1753"/>
      <c r="BQ1753"/>
      <c r="BR1753"/>
      <c r="BS1753"/>
      <c r="BT1753"/>
      <c r="BU1753"/>
      <c r="BV1753"/>
      <c r="BW1753"/>
      <c r="BX1753"/>
      <c r="BY1753"/>
      <c r="BZ1753"/>
      <c r="CA1753"/>
      <c r="CB1753"/>
      <c r="CC1753"/>
      <c r="CD1753"/>
      <c r="CE1753"/>
      <c r="CF1753"/>
      <c r="CG1753"/>
      <c r="CH1753"/>
      <c r="CI1753"/>
      <c r="CJ1753"/>
      <c r="CK1753"/>
      <c r="CL1753"/>
      <c r="CM1753"/>
      <c r="CN1753"/>
      <c r="CO1753"/>
      <c r="CP1753"/>
      <c r="CQ1753"/>
      <c r="CR1753"/>
      <c r="CS1753"/>
      <c r="CT1753"/>
      <c r="CU1753"/>
      <c r="CV1753"/>
      <c r="CW1753"/>
      <c r="CX1753"/>
      <c r="CY1753"/>
      <c r="CZ1753"/>
      <c r="DA1753"/>
      <c r="DB1753"/>
      <c r="DC1753"/>
      <c r="DD1753"/>
      <c r="DE1753"/>
      <c r="DF1753"/>
      <c r="DG1753"/>
      <c r="DH1753"/>
      <c r="DI1753"/>
      <c r="DJ1753"/>
      <c r="DK1753"/>
      <c r="DL1753"/>
      <c r="DM1753"/>
      <c r="DN1753"/>
      <c r="DO1753"/>
      <c r="DP1753"/>
      <c r="DQ1753"/>
      <c r="DR1753"/>
      <c r="DS1753"/>
      <c r="DT1753"/>
      <c r="DU1753"/>
      <c r="DV1753"/>
      <c r="DW1753"/>
      <c r="DX1753"/>
      <c r="DY1753"/>
      <c r="DZ1753"/>
      <c r="EA1753"/>
      <c r="EB1753"/>
      <c r="EC1753"/>
      <c r="ED1753"/>
      <c r="EE1753"/>
      <c r="EF1753"/>
      <c r="EG1753"/>
      <c r="EH1753"/>
      <c r="EI1753"/>
      <c r="EJ1753"/>
      <c r="EK1753"/>
      <c r="EL1753"/>
      <c r="EM1753"/>
      <c r="EN1753"/>
      <c r="EO1753"/>
      <c r="EP1753"/>
      <c r="EQ1753"/>
      <c r="ER1753"/>
      <c r="ES1753"/>
    </row>
    <row r="1754" spans="1:149">
      <c r="A1754"/>
      <c r="B1754"/>
      <c r="C1754"/>
      <c r="D1754"/>
      <c r="E1754"/>
      <c r="F1754"/>
      <c r="G1754"/>
      <c r="H1754"/>
      <c r="I1754"/>
      <c r="J1754"/>
      <c r="K1754"/>
      <c r="L1754"/>
      <c r="M1754"/>
      <c r="N1754"/>
      <c r="O1754"/>
      <c r="P1754"/>
      <c r="Q1754"/>
      <c r="R1754"/>
      <c r="S1754"/>
      <c r="T1754"/>
      <c r="U1754"/>
      <c r="V1754"/>
      <c r="W1754"/>
      <c r="X1754"/>
      <c r="Y1754"/>
      <c r="Z1754"/>
      <c r="AA1754"/>
      <c r="AB1754"/>
      <c r="AC1754"/>
      <c r="AD1754"/>
      <c r="AE1754"/>
      <c r="AF1754"/>
      <c r="AG1754"/>
      <c r="AH1754"/>
      <c r="AI1754"/>
      <c r="AJ1754"/>
      <c r="AK1754"/>
      <c r="AL1754"/>
      <c r="AM1754"/>
      <c r="AN1754"/>
      <c r="AO1754"/>
      <c r="AP1754"/>
      <c r="AQ1754"/>
      <c r="AR1754"/>
      <c r="AS1754"/>
      <c r="AT1754"/>
      <c r="AU1754"/>
      <c r="AV1754"/>
      <c r="AW1754"/>
      <c r="AX1754"/>
      <c r="AY1754"/>
      <c r="AZ1754"/>
      <c r="BA1754"/>
      <c r="BB1754"/>
      <c r="BC1754"/>
      <c r="BD1754"/>
      <c r="BE1754"/>
      <c r="BF1754"/>
      <c r="BG1754"/>
      <c r="BH1754"/>
      <c r="BI1754"/>
      <c r="BJ1754"/>
      <c r="BK1754"/>
      <c r="BL1754"/>
      <c r="BM1754"/>
      <c r="BN1754"/>
      <c r="BO1754"/>
      <c r="BP1754"/>
      <c r="BQ1754"/>
      <c r="BR1754"/>
      <c r="BS1754"/>
      <c r="BT1754"/>
      <c r="BU1754"/>
      <c r="BV1754"/>
      <c r="BW1754"/>
      <c r="BX1754"/>
      <c r="BY1754"/>
      <c r="BZ1754"/>
      <c r="CA1754"/>
      <c r="CB1754"/>
      <c r="CC1754"/>
      <c r="CD1754"/>
      <c r="CE1754"/>
      <c r="CF1754"/>
      <c r="CG1754"/>
      <c r="CH1754"/>
      <c r="CI1754"/>
      <c r="CJ1754"/>
      <c r="CK1754"/>
      <c r="CL1754"/>
      <c r="CM1754"/>
      <c r="CN1754"/>
      <c r="CO1754"/>
      <c r="CP1754"/>
      <c r="CQ1754"/>
      <c r="CR1754"/>
      <c r="CS1754"/>
      <c r="CT1754"/>
      <c r="CU1754"/>
      <c r="CV1754"/>
      <c r="CW1754"/>
      <c r="CX1754"/>
      <c r="CY1754"/>
      <c r="CZ1754"/>
      <c r="DA1754"/>
      <c r="DB1754"/>
      <c r="DC1754"/>
      <c r="DD1754"/>
      <c r="DE1754"/>
      <c r="DF1754"/>
      <c r="DG1754"/>
      <c r="DH1754"/>
      <c r="DI1754"/>
      <c r="DJ1754"/>
      <c r="DK1754"/>
      <c r="DL1754"/>
      <c r="DM1754"/>
      <c r="DN1754"/>
      <c r="DO1754"/>
      <c r="DP1754"/>
      <c r="DQ1754"/>
      <c r="DR1754"/>
      <c r="DS1754"/>
      <c r="DT1754"/>
      <c r="DU1754"/>
      <c r="DV1754"/>
      <c r="DW1754"/>
      <c r="DX1754"/>
      <c r="DY1754"/>
      <c r="DZ1754"/>
      <c r="EA1754"/>
      <c r="EB1754"/>
      <c r="EC1754"/>
      <c r="ED1754"/>
      <c r="EE1754"/>
      <c r="EF1754"/>
      <c r="EG1754"/>
      <c r="EH1754"/>
      <c r="EI1754"/>
      <c r="EJ1754"/>
      <c r="EK1754"/>
      <c r="EL1754"/>
      <c r="EM1754"/>
      <c r="EN1754"/>
      <c r="EO1754"/>
      <c r="EP1754"/>
      <c r="EQ1754"/>
      <c r="ER1754"/>
      <c r="ES1754"/>
    </row>
    <row r="1755" spans="1:149">
      <c r="A1755"/>
      <c r="B1755"/>
      <c r="C1755"/>
      <c r="D1755"/>
      <c r="E1755"/>
      <c r="F1755"/>
      <c r="G1755"/>
      <c r="H1755"/>
      <c r="I1755"/>
      <c r="J1755"/>
      <c r="K1755"/>
      <c r="L1755"/>
      <c r="M1755"/>
      <c r="N1755"/>
      <c r="O1755"/>
      <c r="P1755"/>
      <c r="Q1755"/>
      <c r="R1755"/>
      <c r="S1755"/>
      <c r="T1755"/>
      <c r="U1755"/>
      <c r="V1755"/>
      <c r="W1755"/>
      <c r="X1755"/>
      <c r="Y1755"/>
      <c r="Z1755"/>
      <c r="AA1755"/>
      <c r="AB1755"/>
      <c r="AC1755"/>
      <c r="AD1755"/>
      <c r="AE1755"/>
      <c r="AF1755"/>
      <c r="AG1755"/>
      <c r="AH1755"/>
      <c r="AI1755"/>
      <c r="AJ1755"/>
      <c r="AK1755"/>
      <c r="AL1755"/>
      <c r="AM1755"/>
      <c r="AN1755"/>
      <c r="AO1755"/>
      <c r="AP1755"/>
      <c r="AQ1755"/>
      <c r="AR1755"/>
      <c r="AS1755"/>
      <c r="AT1755"/>
      <c r="AU1755"/>
      <c r="AV1755"/>
      <c r="AW1755"/>
      <c r="AX1755"/>
      <c r="AY1755"/>
      <c r="AZ1755"/>
      <c r="BA1755"/>
      <c r="BB1755"/>
      <c r="BC1755"/>
      <c r="BD1755"/>
      <c r="BE1755"/>
      <c r="BF1755"/>
      <c r="BG1755"/>
      <c r="BH1755"/>
      <c r="BI1755"/>
      <c r="BJ1755"/>
      <c r="BK1755"/>
      <c r="BL1755"/>
      <c r="BM1755"/>
      <c r="BN1755"/>
      <c r="BO1755"/>
      <c r="BP1755"/>
      <c r="BQ1755"/>
      <c r="BR1755"/>
      <c r="BS1755"/>
      <c r="BT1755"/>
      <c r="BU1755"/>
      <c r="BV1755"/>
      <c r="BW1755"/>
      <c r="BX1755"/>
      <c r="BY1755"/>
      <c r="BZ1755"/>
      <c r="CA1755"/>
      <c r="CB1755"/>
      <c r="CC1755"/>
      <c r="CD1755"/>
      <c r="CE1755"/>
      <c r="CF1755"/>
      <c r="CG1755"/>
      <c r="CH1755"/>
      <c r="CI1755"/>
      <c r="CJ1755"/>
      <c r="CK1755"/>
      <c r="CL1755"/>
      <c r="CM1755"/>
      <c r="CN1755"/>
      <c r="CO1755"/>
      <c r="CP1755"/>
      <c r="CQ1755"/>
      <c r="CR1755"/>
      <c r="CS1755"/>
      <c r="CT1755"/>
      <c r="CU1755"/>
      <c r="CV1755"/>
      <c r="CW1755"/>
      <c r="CX1755"/>
      <c r="CY1755"/>
      <c r="CZ1755"/>
      <c r="DA1755"/>
      <c r="DB1755"/>
      <c r="DC1755"/>
      <c r="DD1755"/>
      <c r="DE1755"/>
      <c r="DF1755"/>
      <c r="DG1755"/>
      <c r="DH1755"/>
      <c r="DI1755"/>
      <c r="DJ1755"/>
      <c r="DK1755"/>
      <c r="DL1755"/>
      <c r="DM1755"/>
      <c r="DN1755"/>
      <c r="DO1755"/>
      <c r="DP1755"/>
      <c r="DQ1755"/>
      <c r="DR1755"/>
      <c r="DS1755"/>
      <c r="DT1755"/>
      <c r="DU1755"/>
      <c r="DV1755"/>
      <c r="DW1755"/>
      <c r="DX1755"/>
      <c r="DY1755"/>
      <c r="DZ1755"/>
      <c r="EA1755"/>
      <c r="EB1755"/>
      <c r="EC1755"/>
      <c r="ED1755"/>
      <c r="EE1755"/>
      <c r="EF1755"/>
      <c r="EG1755"/>
      <c r="EH1755"/>
      <c r="EI1755"/>
      <c r="EJ1755"/>
      <c r="EK1755"/>
      <c r="EL1755"/>
      <c r="EM1755"/>
      <c r="EN1755"/>
      <c r="EO1755"/>
      <c r="EP1755"/>
      <c r="EQ1755"/>
      <c r="ER1755"/>
      <c r="ES1755"/>
    </row>
    <row r="1756" spans="1:149">
      <c r="A1756"/>
      <c r="B1756"/>
      <c r="C1756"/>
      <c r="D1756"/>
      <c r="E1756"/>
      <c r="F1756"/>
      <c r="G1756"/>
      <c r="H1756"/>
      <c r="I1756"/>
      <c r="J1756"/>
      <c r="K1756"/>
      <c r="L1756"/>
      <c r="M1756"/>
      <c r="N1756"/>
      <c r="O1756"/>
      <c r="P1756"/>
      <c r="Q1756"/>
      <c r="R1756"/>
      <c r="S1756"/>
      <c r="T1756"/>
      <c r="U1756"/>
      <c r="V1756"/>
      <c r="W1756"/>
      <c r="X1756"/>
      <c r="Y1756"/>
      <c r="Z1756"/>
      <c r="AA1756"/>
      <c r="AB1756"/>
      <c r="AC1756"/>
      <c r="AD1756"/>
      <c r="AE1756"/>
      <c r="AF1756"/>
      <c r="AG1756"/>
      <c r="AH1756"/>
      <c r="AI1756"/>
      <c r="AJ1756"/>
      <c r="AK1756"/>
      <c r="AL1756"/>
      <c r="AM1756"/>
      <c r="AN1756"/>
      <c r="AO1756"/>
      <c r="AP1756"/>
      <c r="AQ1756"/>
      <c r="AR1756"/>
      <c r="AS1756"/>
      <c r="AT1756"/>
      <c r="AU1756"/>
      <c r="AV1756"/>
      <c r="AW1756"/>
      <c r="AX1756"/>
      <c r="AY1756"/>
      <c r="AZ1756"/>
      <c r="BA1756"/>
      <c r="BB1756"/>
      <c r="BC1756"/>
      <c r="BD1756"/>
      <c r="BE1756"/>
      <c r="BF1756"/>
      <c r="BG1756"/>
      <c r="BH1756"/>
      <c r="BI1756"/>
      <c r="BJ1756"/>
      <c r="BK1756"/>
      <c r="BL1756"/>
      <c r="BM1756"/>
      <c r="BN1756"/>
      <c r="BO1756"/>
      <c r="BP1756"/>
      <c r="BQ1756"/>
      <c r="BR1756"/>
      <c r="BS1756"/>
      <c r="BT1756"/>
      <c r="BU1756"/>
      <c r="BV1756"/>
      <c r="BW1756"/>
      <c r="BX1756"/>
      <c r="BY1756"/>
      <c r="BZ1756"/>
      <c r="CA1756"/>
      <c r="CB1756"/>
      <c r="CC1756"/>
      <c r="CD1756"/>
      <c r="CE1756"/>
      <c r="CF1756"/>
      <c r="CG1756"/>
      <c r="CH1756"/>
      <c r="CI1756"/>
      <c r="CJ1756"/>
      <c r="CK1756"/>
      <c r="CL1756"/>
      <c r="CM1756"/>
      <c r="CN1756"/>
      <c r="CO1756"/>
      <c r="CP1756"/>
      <c r="CQ1756"/>
      <c r="CR1756"/>
      <c r="CS1756"/>
      <c r="CT1756"/>
      <c r="CU1756"/>
      <c r="CV1756"/>
      <c r="CW1756"/>
      <c r="CX1756"/>
      <c r="CY1756"/>
      <c r="CZ1756"/>
      <c r="DA1756"/>
      <c r="DB1756"/>
      <c r="DC1756"/>
      <c r="DD1756"/>
      <c r="DE1756"/>
      <c r="DF1756"/>
      <c r="DG1756"/>
      <c r="DH1756"/>
      <c r="DI1756"/>
      <c r="DJ1756"/>
      <c r="DK1756"/>
      <c r="DL1756"/>
      <c r="DM1756"/>
      <c r="DN1756"/>
      <c r="DO1756"/>
      <c r="DP1756"/>
      <c r="DQ1756"/>
      <c r="DR1756"/>
      <c r="DS1756"/>
      <c r="DT1756"/>
      <c r="DU1756"/>
      <c r="DV1756"/>
      <c r="DW1756"/>
      <c r="DX1756"/>
      <c r="DY1756"/>
      <c r="DZ1756"/>
      <c r="EA1756"/>
      <c r="EB1756"/>
      <c r="EC1756"/>
      <c r="ED1756"/>
      <c r="EE1756"/>
      <c r="EF1756"/>
      <c r="EG1756"/>
      <c r="EH1756"/>
      <c r="EI1756"/>
      <c r="EJ1756"/>
      <c r="EK1756"/>
      <c r="EL1756"/>
      <c r="EM1756"/>
      <c r="EN1756"/>
      <c r="EO1756"/>
      <c r="EP1756"/>
      <c r="EQ1756"/>
      <c r="ER1756"/>
      <c r="ES1756"/>
    </row>
    <row r="1757" spans="1:149">
      <c r="A1757"/>
      <c r="B1757"/>
      <c r="C1757"/>
      <c r="D1757"/>
      <c r="E1757"/>
      <c r="F1757"/>
      <c r="G1757"/>
      <c r="H1757"/>
      <c r="I1757"/>
      <c r="J1757"/>
      <c r="K1757"/>
      <c r="L1757"/>
      <c r="M1757"/>
      <c r="N1757"/>
      <c r="O1757"/>
      <c r="P1757"/>
      <c r="Q1757"/>
      <c r="R1757"/>
      <c r="S1757"/>
      <c r="T1757"/>
      <c r="U1757"/>
      <c r="V1757"/>
      <c r="W1757"/>
      <c r="X1757"/>
      <c r="Y1757"/>
      <c r="Z1757"/>
      <c r="AA1757"/>
      <c r="AB1757"/>
      <c r="AC1757"/>
      <c r="AD1757"/>
      <c r="AE1757"/>
      <c r="AF1757"/>
      <c r="AG1757"/>
      <c r="AH1757"/>
      <c r="AI1757"/>
      <c r="AJ1757"/>
      <c r="AK1757"/>
      <c r="AL1757"/>
      <c r="AM1757"/>
      <c r="AN1757"/>
      <c r="AO1757"/>
      <c r="AP1757"/>
      <c r="AQ1757"/>
      <c r="AR1757"/>
      <c r="AS1757"/>
      <c r="AT1757"/>
      <c r="AU1757"/>
      <c r="AV1757"/>
      <c r="AW1757"/>
      <c r="AX1757"/>
      <c r="AY1757"/>
      <c r="AZ1757"/>
      <c r="BA1757"/>
      <c r="BB1757"/>
      <c r="BC1757"/>
      <c r="BD1757"/>
      <c r="BE1757"/>
      <c r="BF1757"/>
      <c r="BG1757"/>
      <c r="BH1757"/>
      <c r="BI1757"/>
      <c r="BJ1757"/>
      <c r="BK1757"/>
      <c r="BL1757"/>
      <c r="BM1757"/>
      <c r="BN1757"/>
      <c r="BO1757"/>
      <c r="BP1757"/>
      <c r="BQ1757"/>
      <c r="BR1757"/>
      <c r="BS1757"/>
      <c r="BT1757"/>
      <c r="BU1757"/>
      <c r="BV1757"/>
      <c r="BW1757"/>
      <c r="BX1757"/>
      <c r="BY1757"/>
      <c r="BZ1757"/>
      <c r="CA1757"/>
      <c r="CB1757"/>
      <c r="CC1757"/>
      <c r="CD1757"/>
      <c r="CE1757"/>
      <c r="CF1757"/>
      <c r="CG1757"/>
      <c r="CH1757"/>
      <c r="CI1757"/>
      <c r="CJ1757"/>
      <c r="CK1757"/>
      <c r="CL1757"/>
      <c r="CM1757"/>
      <c r="CN1757"/>
      <c r="CO1757"/>
      <c r="CP1757"/>
      <c r="CQ1757"/>
      <c r="CR1757"/>
      <c r="CS1757"/>
      <c r="CT1757"/>
      <c r="CU1757"/>
      <c r="CV1757"/>
      <c r="CW1757"/>
      <c r="CX1757"/>
      <c r="CY1757"/>
      <c r="CZ1757"/>
      <c r="DA1757"/>
      <c r="DB1757"/>
      <c r="DC1757"/>
      <c r="DD1757"/>
      <c r="DE1757"/>
      <c r="DF1757"/>
      <c r="DG1757"/>
      <c r="DH1757"/>
      <c r="DI1757"/>
      <c r="DJ1757"/>
      <c r="DK1757"/>
      <c r="DL1757"/>
      <c r="DM1757"/>
      <c r="DN1757"/>
      <c r="DO1757"/>
      <c r="DP1757"/>
      <c r="DQ1757"/>
      <c r="DR1757"/>
      <c r="DS1757"/>
      <c r="DT1757"/>
      <c r="DU1757"/>
      <c r="DV1757"/>
      <c r="DW1757"/>
      <c r="DX1757"/>
      <c r="DY1757"/>
      <c r="DZ1757"/>
      <c r="EA1757"/>
      <c r="EB1757"/>
      <c r="EC1757"/>
      <c r="ED1757"/>
      <c r="EE1757"/>
      <c r="EF1757"/>
      <c r="EG1757"/>
      <c r="EH1757"/>
      <c r="EI1757"/>
      <c r="EJ1757"/>
      <c r="EK1757"/>
      <c r="EL1757"/>
      <c r="EM1757"/>
      <c r="EN1757"/>
      <c r="EO1757"/>
      <c r="EP1757"/>
      <c r="EQ1757"/>
      <c r="ER1757"/>
      <c r="ES1757"/>
    </row>
    <row r="1758" spans="1:149">
      <c r="A1758"/>
      <c r="B1758"/>
      <c r="C1758"/>
      <c r="D1758"/>
      <c r="E1758"/>
      <c r="F1758"/>
      <c r="G1758"/>
      <c r="H1758"/>
      <c r="I1758"/>
      <c r="J1758"/>
      <c r="K1758"/>
      <c r="L1758"/>
      <c r="M1758"/>
      <c r="N1758"/>
      <c r="O1758"/>
      <c r="P1758"/>
      <c r="Q1758"/>
      <c r="R1758"/>
      <c r="S1758"/>
      <c r="T1758"/>
      <c r="U1758"/>
      <c r="V1758"/>
      <c r="W1758"/>
      <c r="X1758"/>
      <c r="Y1758"/>
      <c r="Z1758"/>
      <c r="AA1758"/>
      <c r="AB1758"/>
      <c r="AC1758"/>
      <c r="AD1758"/>
      <c r="AE1758"/>
      <c r="AF1758"/>
      <c r="AG1758"/>
      <c r="AH1758"/>
      <c r="AI1758"/>
      <c r="AJ1758"/>
      <c r="AK1758"/>
      <c r="AL1758"/>
      <c r="AM1758"/>
      <c r="AN1758"/>
      <c r="AO1758"/>
      <c r="AP1758"/>
      <c r="AQ1758"/>
      <c r="AR1758"/>
      <c r="AS1758"/>
      <c r="AT1758"/>
      <c r="AU1758"/>
      <c r="AV1758"/>
      <c r="AW1758"/>
      <c r="AX1758"/>
      <c r="AY1758"/>
      <c r="AZ1758"/>
      <c r="BA1758"/>
      <c r="BB1758"/>
      <c r="BC1758"/>
      <c r="BD1758"/>
      <c r="BE1758"/>
      <c r="BF1758"/>
      <c r="BG1758"/>
      <c r="BH1758"/>
      <c r="BI1758"/>
      <c r="BJ1758"/>
      <c r="BK1758"/>
      <c r="BL1758"/>
      <c r="BM1758"/>
      <c r="BN1758"/>
      <c r="BO1758"/>
      <c r="BP1758"/>
      <c r="BQ1758"/>
      <c r="BR1758"/>
      <c r="BS1758"/>
      <c r="BT1758"/>
      <c r="BU1758"/>
      <c r="BV1758"/>
      <c r="BW1758"/>
      <c r="BX1758"/>
      <c r="BY1758"/>
      <c r="BZ1758"/>
      <c r="CA1758"/>
      <c r="CB1758"/>
      <c r="CC1758"/>
      <c r="CD1758"/>
      <c r="CE1758"/>
      <c r="CF1758"/>
      <c r="CG1758"/>
      <c r="CH1758"/>
      <c r="CI1758"/>
      <c r="CJ1758"/>
      <c r="CK1758"/>
      <c r="CL1758"/>
      <c r="CM1758"/>
      <c r="CN1758"/>
      <c r="CO1758"/>
      <c r="CP1758"/>
      <c r="CQ1758"/>
      <c r="CR1758"/>
      <c r="CS1758"/>
      <c r="CT1758"/>
      <c r="CU1758"/>
      <c r="CV1758"/>
      <c r="CW1758"/>
      <c r="CX1758"/>
      <c r="CY1758"/>
      <c r="CZ1758"/>
      <c r="DA1758"/>
      <c r="DB1758"/>
      <c r="DC1758"/>
      <c r="DD1758"/>
      <c r="DE1758"/>
      <c r="DF1758"/>
      <c r="DG1758"/>
      <c r="DH1758"/>
      <c r="DI1758"/>
      <c r="DJ1758"/>
      <c r="DK1758"/>
      <c r="DL1758"/>
      <c r="DM1758"/>
      <c r="DN1758"/>
      <c r="DO1758"/>
      <c r="DP1758"/>
      <c r="DQ1758"/>
      <c r="DR1758"/>
      <c r="DS1758"/>
      <c r="DT1758"/>
      <c r="DU1758"/>
      <c r="DV1758"/>
      <c r="DW1758"/>
      <c r="DX1758"/>
      <c r="DY1758"/>
      <c r="DZ1758"/>
      <c r="EA1758"/>
      <c r="EB1758"/>
      <c r="EC1758"/>
      <c r="ED1758"/>
      <c r="EE1758"/>
      <c r="EF1758"/>
      <c r="EG1758"/>
      <c r="EH1758"/>
      <c r="EI1758"/>
      <c r="EJ1758"/>
      <c r="EK1758"/>
      <c r="EL1758"/>
      <c r="EM1758"/>
      <c r="EN1758"/>
      <c r="EO1758"/>
      <c r="EP1758"/>
      <c r="EQ1758"/>
      <c r="ER1758"/>
      <c r="ES1758"/>
    </row>
    <row r="1759" spans="1:149">
      <c r="A1759"/>
      <c r="B1759"/>
      <c r="C1759"/>
      <c r="D1759"/>
      <c r="E1759"/>
      <c r="F1759"/>
      <c r="G1759"/>
      <c r="H1759"/>
      <c r="I1759"/>
      <c r="J1759"/>
      <c r="K1759"/>
      <c r="L1759"/>
      <c r="M1759"/>
      <c r="N1759"/>
      <c r="O1759"/>
      <c r="P1759"/>
      <c r="Q1759"/>
      <c r="R1759"/>
      <c r="S1759"/>
      <c r="T1759"/>
      <c r="U1759"/>
      <c r="V1759"/>
      <c r="W1759"/>
      <c r="X1759"/>
      <c r="Y1759"/>
      <c r="Z1759"/>
      <c r="AA1759"/>
      <c r="AB1759"/>
      <c r="AC1759"/>
      <c r="AD1759"/>
      <c r="AE1759"/>
      <c r="AF1759"/>
      <c r="AG1759"/>
      <c r="AH1759"/>
      <c r="AI1759"/>
      <c r="AJ1759"/>
      <c r="AK1759"/>
      <c r="AL1759"/>
      <c r="AM1759"/>
      <c r="AN1759"/>
      <c r="AO1759"/>
      <c r="AP1759"/>
      <c r="AQ1759"/>
      <c r="AR1759"/>
      <c r="AS1759"/>
      <c r="AT1759"/>
      <c r="AU1759"/>
      <c r="AV1759"/>
      <c r="AW1759"/>
      <c r="AX1759"/>
      <c r="AY1759"/>
      <c r="AZ1759"/>
      <c r="BA1759"/>
      <c r="BB1759"/>
      <c r="BC1759"/>
      <c r="BD1759"/>
      <c r="BE1759"/>
      <c r="BF1759"/>
      <c r="BG1759"/>
      <c r="BH1759"/>
      <c r="BI1759"/>
      <c r="BJ1759"/>
      <c r="BK1759"/>
      <c r="BL1759"/>
      <c r="BM1759"/>
      <c r="BN1759"/>
      <c r="BO1759"/>
      <c r="BP1759"/>
      <c r="BQ1759"/>
      <c r="BR1759"/>
      <c r="BS1759"/>
      <c r="BT1759"/>
      <c r="BU1759"/>
      <c r="BV1759"/>
      <c r="BW1759"/>
      <c r="BX1759"/>
      <c r="BY1759"/>
      <c r="BZ1759"/>
      <c r="CA1759"/>
      <c r="CB1759"/>
      <c r="CC1759"/>
      <c r="CD1759"/>
      <c r="CE1759"/>
      <c r="CF1759"/>
      <c r="CG1759"/>
      <c r="CH1759"/>
      <c r="CI1759"/>
      <c r="CJ1759"/>
      <c r="CK1759"/>
      <c r="CL1759"/>
      <c r="CM1759"/>
      <c r="CN1759"/>
      <c r="CO1759"/>
      <c r="CP1759"/>
      <c r="CQ1759"/>
      <c r="CR1759"/>
      <c r="CS1759"/>
      <c r="CT1759"/>
      <c r="CU1759"/>
      <c r="CV1759"/>
      <c r="CW1759"/>
      <c r="CX1759"/>
      <c r="CY1759"/>
      <c r="CZ1759"/>
      <c r="DA1759"/>
      <c r="DB1759"/>
      <c r="DC1759"/>
      <c r="DD1759"/>
      <c r="DE1759"/>
      <c r="DF1759"/>
      <c r="DG1759"/>
      <c r="DH1759"/>
      <c r="DI1759"/>
      <c r="DJ1759"/>
      <c r="DK1759"/>
      <c r="DL1759"/>
      <c r="DM1759"/>
      <c r="DN1759"/>
      <c r="DO1759"/>
      <c r="DP1759"/>
      <c r="DQ1759"/>
      <c r="DR1759"/>
      <c r="DS1759"/>
      <c r="DT1759"/>
      <c r="DU1759"/>
      <c r="DV1759"/>
      <c r="DW1759"/>
      <c r="DX1759"/>
      <c r="DY1759"/>
      <c r="DZ1759"/>
      <c r="EA1759"/>
      <c r="EB1759"/>
      <c r="EC1759"/>
      <c r="ED1759"/>
      <c r="EE1759"/>
      <c r="EF1759"/>
      <c r="EG1759"/>
      <c r="EH1759"/>
      <c r="EI1759"/>
      <c r="EJ1759"/>
      <c r="EK1759"/>
      <c r="EL1759"/>
      <c r="EM1759"/>
      <c r="EN1759"/>
      <c r="EO1759"/>
      <c r="EP1759"/>
      <c r="EQ1759"/>
      <c r="ER1759"/>
      <c r="ES1759"/>
    </row>
    <row r="1760" spans="1:149">
      <c r="A1760"/>
      <c r="B1760"/>
      <c r="C1760"/>
      <c r="D1760"/>
      <c r="E1760"/>
      <c r="F1760"/>
      <c r="G1760"/>
      <c r="H1760"/>
      <c r="I1760"/>
      <c r="J1760"/>
      <c r="K1760"/>
      <c r="L1760"/>
      <c r="M1760"/>
      <c r="N1760"/>
      <c r="O1760"/>
      <c r="P1760"/>
      <c r="Q1760"/>
      <c r="R1760"/>
      <c r="S1760"/>
      <c r="T1760"/>
      <c r="U1760"/>
      <c r="V1760"/>
      <c r="W1760"/>
      <c r="X1760"/>
      <c r="Y1760"/>
      <c r="Z1760"/>
      <c r="AA1760"/>
      <c r="AB1760"/>
      <c r="AC1760"/>
      <c r="AD1760"/>
      <c r="AE1760"/>
      <c r="AF1760"/>
      <c r="AG1760"/>
      <c r="AH1760"/>
      <c r="AI1760"/>
      <c r="AJ1760"/>
      <c r="AK1760"/>
      <c r="AL1760"/>
      <c r="AM1760"/>
      <c r="AN1760"/>
      <c r="AO1760"/>
      <c r="AP1760"/>
      <c r="AQ1760"/>
      <c r="AR1760"/>
      <c r="AS1760"/>
      <c r="AT1760"/>
      <c r="AU1760"/>
      <c r="AV1760"/>
      <c r="AW1760"/>
      <c r="AX1760"/>
      <c r="AY1760"/>
      <c r="AZ1760"/>
      <c r="BA1760"/>
      <c r="BB1760"/>
      <c r="BC1760"/>
      <c r="BD1760"/>
      <c r="BE1760"/>
      <c r="BF1760"/>
      <c r="BG1760"/>
      <c r="BH1760"/>
      <c r="BI1760"/>
      <c r="BJ1760"/>
      <c r="BK1760"/>
      <c r="BL1760"/>
      <c r="BM1760"/>
      <c r="BN1760"/>
      <c r="BO1760"/>
      <c r="BP1760"/>
      <c r="BQ1760"/>
      <c r="BR1760"/>
      <c r="BS1760"/>
      <c r="BT1760"/>
      <c r="BU1760"/>
      <c r="BV1760"/>
      <c r="BW1760"/>
      <c r="BX1760"/>
      <c r="BY1760"/>
      <c r="BZ1760"/>
      <c r="CA1760"/>
      <c r="CB1760"/>
      <c r="CC1760"/>
      <c r="CD1760"/>
      <c r="CE1760"/>
      <c r="CF1760"/>
      <c r="CG1760"/>
      <c r="CH1760"/>
      <c r="CI1760"/>
      <c r="CJ1760"/>
      <c r="CK1760"/>
      <c r="CL1760"/>
      <c r="CM1760"/>
      <c r="CN1760"/>
      <c r="CO1760"/>
      <c r="CP1760"/>
      <c r="CQ1760"/>
      <c r="CR1760"/>
      <c r="CS1760"/>
      <c r="CT1760"/>
      <c r="CU1760"/>
      <c r="CV1760"/>
      <c r="CW1760"/>
      <c r="CX1760"/>
      <c r="CY1760"/>
      <c r="CZ1760"/>
      <c r="DA1760"/>
      <c r="DB1760"/>
      <c r="DC1760"/>
      <c r="DD1760"/>
      <c r="DE1760"/>
      <c r="DF1760"/>
      <c r="DG1760"/>
      <c r="DH1760"/>
      <c r="DI1760"/>
      <c r="DJ1760"/>
      <c r="DK1760"/>
      <c r="DL1760"/>
      <c r="DM1760"/>
      <c r="DN1760"/>
      <c r="DO1760"/>
      <c r="DP1760"/>
      <c r="DQ1760"/>
      <c r="DR1760"/>
      <c r="DS1760"/>
      <c r="DT1760"/>
      <c r="DU1760"/>
      <c r="DV1760"/>
      <c r="DW1760"/>
      <c r="DX1760"/>
      <c r="DY1760"/>
      <c r="DZ1760"/>
      <c r="EA1760"/>
      <c r="EB1760"/>
      <c r="EC1760"/>
      <c r="ED1760"/>
      <c r="EE1760"/>
      <c r="EF1760"/>
      <c r="EG1760"/>
      <c r="EH1760"/>
      <c r="EI1760"/>
      <c r="EJ1760"/>
      <c r="EK1760"/>
      <c r="EL1760"/>
      <c r="EM1760"/>
      <c r="EN1760"/>
      <c r="EO1760"/>
      <c r="EP1760"/>
      <c r="EQ1760"/>
      <c r="ER1760"/>
      <c r="ES1760"/>
    </row>
    <row r="1761" spans="1:149">
      <c r="A1761"/>
      <c r="B1761"/>
      <c r="C1761"/>
      <c r="D1761"/>
      <c r="E1761"/>
      <c r="F1761"/>
      <c r="G1761"/>
      <c r="H1761"/>
      <c r="I1761"/>
      <c r="J1761"/>
      <c r="K1761"/>
      <c r="L1761"/>
      <c r="M1761"/>
      <c r="N1761"/>
      <c r="O1761"/>
      <c r="P1761"/>
      <c r="Q1761"/>
      <c r="R1761"/>
      <c r="S1761"/>
      <c r="T1761"/>
      <c r="U1761"/>
      <c r="V1761"/>
      <c r="W1761"/>
      <c r="X1761"/>
      <c r="Y1761"/>
      <c r="Z1761"/>
      <c r="AA1761"/>
      <c r="AB1761"/>
      <c r="AC1761"/>
      <c r="AD1761"/>
      <c r="AE1761"/>
      <c r="AF1761"/>
      <c r="AG1761"/>
      <c r="AH1761"/>
      <c r="AI1761"/>
      <c r="AJ1761"/>
      <c r="AK1761"/>
      <c r="AL1761"/>
      <c r="AM1761"/>
      <c r="AN1761"/>
      <c r="AO1761"/>
      <c r="AP1761"/>
      <c r="AQ1761"/>
      <c r="AR1761"/>
      <c r="AS1761"/>
      <c r="AT1761"/>
      <c r="AU1761"/>
      <c r="AV1761"/>
      <c r="AW1761"/>
      <c r="AX1761"/>
      <c r="AY1761"/>
      <c r="AZ1761"/>
      <c r="BA1761"/>
      <c r="BB1761"/>
      <c r="BC1761"/>
      <c r="BD1761"/>
      <c r="BE1761"/>
      <c r="BF1761"/>
      <c r="BG1761"/>
      <c r="BH1761"/>
      <c r="BI1761"/>
      <c r="BJ1761"/>
      <c r="BK1761"/>
      <c r="BL1761"/>
      <c r="BM1761"/>
      <c r="BN1761"/>
      <c r="BO1761"/>
      <c r="BP1761"/>
      <c r="BQ1761"/>
      <c r="BR1761"/>
      <c r="BS1761"/>
      <c r="BT1761"/>
      <c r="BU1761"/>
      <c r="BV1761"/>
      <c r="BW1761"/>
      <c r="BX1761"/>
      <c r="BY1761"/>
      <c r="BZ1761"/>
      <c r="CA1761"/>
      <c r="CB1761"/>
      <c r="CC1761"/>
      <c r="CD1761"/>
      <c r="CE1761"/>
      <c r="CF1761"/>
      <c r="CG1761"/>
      <c r="CH1761"/>
      <c r="CI1761"/>
      <c r="CJ1761"/>
      <c r="CK1761"/>
      <c r="CL1761"/>
      <c r="CM1761"/>
      <c r="CN1761"/>
      <c r="CO1761"/>
      <c r="CP1761"/>
      <c r="CQ1761"/>
      <c r="CR1761"/>
      <c r="CS1761"/>
      <c r="CT1761"/>
      <c r="CU1761"/>
      <c r="CV1761"/>
      <c r="CW1761"/>
      <c r="CX1761"/>
      <c r="CY1761"/>
      <c r="CZ1761"/>
      <c r="DA1761"/>
      <c r="DB1761"/>
      <c r="DC1761"/>
      <c r="DD1761"/>
      <c r="DE1761"/>
      <c r="DF1761"/>
      <c r="DG1761"/>
      <c r="DH1761"/>
      <c r="DI1761"/>
      <c r="DJ1761"/>
      <c r="DK1761"/>
      <c r="DL1761"/>
      <c r="DM1761"/>
      <c r="DN1761"/>
      <c r="DO1761"/>
      <c r="DP1761"/>
      <c r="DQ1761"/>
      <c r="DR1761"/>
      <c r="DS1761"/>
      <c r="DT1761"/>
      <c r="DU1761"/>
      <c r="DV1761"/>
      <c r="DW1761"/>
      <c r="DX1761"/>
      <c r="DY1761"/>
      <c r="DZ1761"/>
      <c r="EA1761"/>
      <c r="EB1761"/>
      <c r="EC1761"/>
      <c r="ED1761"/>
      <c r="EE1761"/>
      <c r="EF1761"/>
      <c r="EG1761"/>
      <c r="EH1761"/>
      <c r="EI1761"/>
      <c r="EJ1761"/>
      <c r="EK1761"/>
      <c r="EL1761"/>
      <c r="EM1761"/>
      <c r="EN1761"/>
      <c r="EO1761"/>
      <c r="EP1761"/>
      <c r="EQ1761"/>
      <c r="ER1761"/>
      <c r="ES1761"/>
    </row>
    <row r="1762" spans="1:149">
      <c r="A1762"/>
      <c r="B1762"/>
      <c r="C1762"/>
      <c r="D1762"/>
      <c r="E1762"/>
      <c r="F1762"/>
      <c r="G1762"/>
      <c r="H1762"/>
      <c r="I1762"/>
      <c r="J1762"/>
      <c r="K1762"/>
      <c r="L1762"/>
      <c r="M1762"/>
      <c r="N1762"/>
      <c r="O1762"/>
      <c r="P1762"/>
      <c r="Q1762"/>
      <c r="R1762"/>
      <c r="S1762"/>
      <c r="T1762"/>
      <c r="U1762"/>
      <c r="V1762"/>
      <c r="W1762"/>
      <c r="X1762"/>
      <c r="Y1762"/>
      <c r="Z1762"/>
      <c r="AA1762"/>
      <c r="AB1762"/>
      <c r="AC1762"/>
      <c r="AD1762"/>
      <c r="AE1762"/>
      <c r="AF1762"/>
      <c r="AG1762"/>
      <c r="AH1762"/>
      <c r="AI1762"/>
      <c r="AJ1762"/>
      <c r="AK1762"/>
      <c r="AL1762"/>
      <c r="AM1762"/>
      <c r="AN1762"/>
      <c r="AO1762"/>
      <c r="AP1762"/>
      <c r="AQ1762"/>
      <c r="AR1762"/>
      <c r="AS1762"/>
      <c r="AT1762"/>
      <c r="AU1762"/>
      <c r="AV1762"/>
      <c r="AW1762"/>
      <c r="AX1762"/>
      <c r="AY1762"/>
      <c r="AZ1762"/>
      <c r="BA1762"/>
      <c r="BB1762"/>
      <c r="BC1762"/>
      <c r="BD1762"/>
      <c r="BE1762"/>
      <c r="BF1762"/>
      <c r="BG1762"/>
      <c r="BH1762"/>
      <c r="BI1762"/>
      <c r="BJ1762"/>
      <c r="BK1762"/>
      <c r="BL1762"/>
      <c r="BM1762"/>
      <c r="BN1762"/>
      <c r="BO1762"/>
      <c r="BP1762"/>
      <c r="BQ1762"/>
      <c r="BR1762"/>
      <c r="BS1762"/>
      <c r="BT1762"/>
      <c r="BU1762"/>
      <c r="BV1762"/>
      <c r="BW1762"/>
      <c r="BX1762"/>
      <c r="BY1762"/>
      <c r="BZ1762"/>
      <c r="CA1762"/>
      <c r="CB1762"/>
      <c r="CC1762"/>
      <c r="CD1762"/>
      <c r="CE1762"/>
      <c r="CF1762"/>
      <c r="CG1762"/>
      <c r="CH1762"/>
      <c r="CI1762"/>
      <c r="CJ1762"/>
      <c r="CK1762"/>
      <c r="CL1762"/>
      <c r="CM1762"/>
      <c r="CN1762"/>
      <c r="CO1762"/>
      <c r="CP1762"/>
      <c r="CQ1762"/>
      <c r="CR1762"/>
      <c r="CS1762"/>
      <c r="CT1762"/>
      <c r="CU1762"/>
      <c r="CV1762"/>
      <c r="CW1762"/>
      <c r="CX1762"/>
      <c r="CY1762"/>
      <c r="CZ1762"/>
      <c r="DA1762"/>
      <c r="DB1762"/>
      <c r="DC1762"/>
      <c r="DD1762"/>
      <c r="DE1762"/>
      <c r="DF1762"/>
      <c r="DG1762"/>
      <c r="DH1762"/>
      <c r="DI1762"/>
      <c r="DJ1762"/>
      <c r="DK1762"/>
      <c r="DL1762"/>
      <c r="DM1762"/>
      <c r="DN1762"/>
      <c r="DO1762"/>
      <c r="DP1762"/>
      <c r="DQ1762"/>
      <c r="DR1762"/>
      <c r="DS1762"/>
      <c r="DT1762"/>
      <c r="DU1762"/>
      <c r="DV1762"/>
      <c r="DW1762"/>
      <c r="DX1762"/>
      <c r="DY1762"/>
      <c r="DZ1762"/>
      <c r="EA1762"/>
      <c r="EB1762"/>
      <c r="EC1762"/>
      <c r="ED1762"/>
      <c r="EE1762"/>
      <c r="EF1762"/>
      <c r="EG1762"/>
      <c r="EH1762"/>
      <c r="EI1762"/>
      <c r="EJ1762"/>
      <c r="EK1762"/>
      <c r="EL1762"/>
      <c r="EM1762"/>
      <c r="EN1762"/>
      <c r="EO1762"/>
      <c r="EP1762"/>
      <c r="EQ1762"/>
      <c r="ER1762"/>
      <c r="ES1762"/>
    </row>
    <row r="1763" spans="1:149">
      <c r="A1763"/>
      <c r="B1763"/>
      <c r="C1763"/>
      <c r="D1763"/>
      <c r="E1763"/>
      <c r="F1763"/>
      <c r="G1763"/>
      <c r="H1763"/>
      <c r="I1763"/>
      <c r="J1763"/>
      <c r="K1763"/>
      <c r="L1763"/>
      <c r="M1763"/>
      <c r="N1763"/>
      <c r="O1763"/>
      <c r="P1763"/>
      <c r="Q1763"/>
      <c r="R1763"/>
      <c r="S1763"/>
      <c r="T1763"/>
      <c r="U1763"/>
      <c r="V1763"/>
      <c r="W1763"/>
      <c r="X1763"/>
      <c r="Y1763"/>
      <c r="Z1763"/>
      <c r="AA1763"/>
      <c r="AB1763"/>
      <c r="AC1763"/>
      <c r="AD1763"/>
      <c r="AE1763"/>
      <c r="AF1763"/>
      <c r="AG1763"/>
      <c r="AH1763"/>
      <c r="AI1763"/>
      <c r="AJ1763"/>
      <c r="AK1763"/>
      <c r="AL1763"/>
      <c r="AM1763"/>
      <c r="AN1763"/>
      <c r="AO1763"/>
      <c r="AP1763"/>
      <c r="AQ1763"/>
      <c r="AR1763"/>
      <c r="AS1763"/>
      <c r="AT1763"/>
      <c r="AU1763"/>
      <c r="AV1763"/>
      <c r="AW1763"/>
      <c r="AX1763"/>
      <c r="AY1763"/>
      <c r="AZ1763"/>
      <c r="BA1763"/>
      <c r="BB1763"/>
      <c r="BC1763"/>
      <c r="BD1763"/>
      <c r="BE1763"/>
      <c r="BF1763"/>
      <c r="BG1763"/>
      <c r="BH1763"/>
      <c r="BI1763"/>
      <c r="BJ1763"/>
      <c r="BK1763"/>
      <c r="BL1763"/>
      <c r="BM1763"/>
      <c r="BN1763"/>
      <c r="BO1763"/>
      <c r="BP1763"/>
      <c r="BQ1763"/>
      <c r="BR1763"/>
      <c r="BS1763"/>
      <c r="BT1763"/>
      <c r="BU1763"/>
      <c r="BV1763"/>
      <c r="BW1763"/>
      <c r="BX1763"/>
      <c r="BY1763"/>
      <c r="BZ1763"/>
      <c r="CA1763"/>
      <c r="CB1763"/>
      <c r="CC1763"/>
      <c r="CD1763"/>
      <c r="CE1763"/>
      <c r="CF1763"/>
      <c r="CG1763"/>
      <c r="CH1763"/>
      <c r="CI1763"/>
      <c r="CJ1763"/>
      <c r="CK1763"/>
      <c r="CL1763"/>
      <c r="CM1763"/>
      <c r="CN1763"/>
      <c r="CO1763"/>
      <c r="CP1763"/>
      <c r="CQ1763"/>
      <c r="CR1763"/>
      <c r="CS1763"/>
      <c r="CT1763"/>
      <c r="CU1763"/>
      <c r="CV1763"/>
      <c r="CW1763"/>
      <c r="CX1763"/>
      <c r="CY1763"/>
      <c r="CZ1763"/>
      <c r="DA1763"/>
      <c r="DB1763"/>
      <c r="DC1763"/>
      <c r="DD1763"/>
      <c r="DE1763"/>
      <c r="DF1763"/>
      <c r="DG1763"/>
      <c r="DH1763"/>
      <c r="DI1763"/>
      <c r="DJ1763"/>
      <c r="DK1763"/>
      <c r="DL1763"/>
      <c r="DM1763"/>
      <c r="DN1763"/>
      <c r="DO1763"/>
      <c r="DP1763"/>
      <c r="DQ1763"/>
      <c r="DR1763"/>
      <c r="DS1763"/>
      <c r="DT1763"/>
      <c r="DU1763"/>
      <c r="DV1763"/>
      <c r="DW1763"/>
      <c r="DX1763"/>
      <c r="DY1763"/>
      <c r="DZ1763"/>
      <c r="EA1763"/>
      <c r="EB1763"/>
      <c r="EC1763"/>
      <c r="ED1763"/>
      <c r="EE1763"/>
      <c r="EF1763"/>
      <c r="EG1763"/>
      <c r="EH1763"/>
      <c r="EI1763"/>
      <c r="EJ1763"/>
      <c r="EK1763"/>
      <c r="EL1763"/>
      <c r="EM1763"/>
      <c r="EN1763"/>
      <c r="EO1763"/>
      <c r="EP1763"/>
      <c r="EQ1763"/>
      <c r="ER1763"/>
      <c r="ES1763"/>
    </row>
    <row r="1764" spans="1:149">
      <c r="A1764"/>
      <c r="B1764"/>
      <c r="C1764"/>
      <c r="D1764"/>
      <c r="E1764"/>
      <c r="F1764"/>
      <c r="G1764"/>
      <c r="H1764"/>
      <c r="I1764"/>
      <c r="J1764"/>
      <c r="K1764"/>
      <c r="L1764"/>
      <c r="M1764"/>
      <c r="N1764"/>
      <c r="O1764"/>
      <c r="P1764"/>
      <c r="Q1764"/>
      <c r="R1764"/>
      <c r="S1764"/>
      <c r="T1764"/>
      <c r="U1764"/>
      <c r="V1764"/>
      <c r="W1764"/>
      <c r="X1764"/>
      <c r="Y1764"/>
      <c r="Z1764"/>
      <c r="AA1764"/>
      <c r="AB1764"/>
      <c r="AC1764"/>
      <c r="AD1764"/>
      <c r="AE1764"/>
      <c r="AF1764"/>
      <c r="AG1764"/>
      <c r="AH1764"/>
      <c r="AI1764"/>
      <c r="AJ1764"/>
      <c r="AK1764"/>
      <c r="AL1764"/>
      <c r="AM1764"/>
      <c r="AN1764"/>
      <c r="AO1764"/>
      <c r="AP1764"/>
      <c r="AQ1764"/>
      <c r="AR1764"/>
      <c r="AS1764"/>
      <c r="AT1764"/>
      <c r="AU1764"/>
      <c r="AV1764"/>
      <c r="AW1764"/>
      <c r="AX1764"/>
      <c r="AY1764"/>
      <c r="AZ1764"/>
      <c r="BA1764"/>
      <c r="BB1764"/>
      <c r="BC1764"/>
      <c r="BD1764"/>
      <c r="BE1764"/>
      <c r="BF1764"/>
      <c r="BG1764"/>
      <c r="BH1764"/>
      <c r="BI1764"/>
      <c r="BJ1764"/>
      <c r="BK1764"/>
      <c r="BL1764"/>
      <c r="BM1764"/>
      <c r="BN1764"/>
      <c r="BO1764"/>
      <c r="BP1764"/>
      <c r="BQ1764"/>
      <c r="BR1764"/>
      <c r="BS1764"/>
      <c r="BT1764"/>
      <c r="BU1764"/>
      <c r="BV1764"/>
      <c r="BW1764"/>
      <c r="BX1764"/>
      <c r="BY1764"/>
      <c r="BZ1764"/>
      <c r="CA1764"/>
      <c r="CB1764"/>
      <c r="CC1764"/>
      <c r="CD1764"/>
      <c r="CE1764"/>
      <c r="CF1764"/>
      <c r="CG1764"/>
      <c r="CH1764"/>
      <c r="CI1764"/>
      <c r="CJ1764"/>
      <c r="CK1764"/>
      <c r="CL1764"/>
      <c r="CM1764"/>
      <c r="CN1764"/>
      <c r="CO1764"/>
      <c r="CP1764"/>
      <c r="CQ1764"/>
      <c r="CR1764"/>
      <c r="CS1764"/>
      <c r="CT1764"/>
      <c r="CU1764"/>
      <c r="CV1764"/>
      <c r="CW1764"/>
      <c r="CX1764"/>
      <c r="CY1764"/>
      <c r="CZ1764"/>
      <c r="DA1764"/>
      <c r="DB1764"/>
      <c r="DC1764"/>
      <c r="DD1764"/>
      <c r="DE1764"/>
      <c r="DF1764"/>
      <c r="DG1764"/>
      <c r="DH1764"/>
      <c r="DI1764"/>
      <c r="DJ1764"/>
      <c r="DK1764"/>
      <c r="DL1764"/>
      <c r="DM1764"/>
      <c r="DN1764"/>
      <c r="DO1764"/>
      <c r="DP1764"/>
      <c r="DQ1764"/>
      <c r="DR1764"/>
      <c r="DS1764"/>
      <c r="DT1764"/>
      <c r="DU1764"/>
      <c r="DV1764"/>
      <c r="DW1764"/>
      <c r="DX1764"/>
      <c r="DY1764"/>
      <c r="DZ1764"/>
      <c r="EA1764"/>
      <c r="EB1764"/>
      <c r="EC1764"/>
      <c r="ED1764"/>
      <c r="EE1764"/>
      <c r="EF1764"/>
      <c r="EG1764"/>
      <c r="EH1764"/>
      <c r="EI1764"/>
      <c r="EJ1764"/>
      <c r="EK1764"/>
      <c r="EL1764"/>
      <c r="EM1764"/>
      <c r="EN1764"/>
      <c r="EO1764"/>
      <c r="EP1764"/>
      <c r="EQ1764"/>
      <c r="ER1764"/>
      <c r="ES1764"/>
    </row>
    <row r="1765" spans="1:149">
      <c r="A1765"/>
      <c r="B1765"/>
      <c r="C1765"/>
      <c r="D1765"/>
      <c r="E1765"/>
      <c r="F1765"/>
      <c r="G1765"/>
      <c r="H1765"/>
      <c r="I1765"/>
      <c r="J1765"/>
      <c r="K1765"/>
      <c r="L1765"/>
      <c r="M1765"/>
      <c r="N1765"/>
      <c r="O1765"/>
      <c r="P1765"/>
      <c r="Q1765"/>
      <c r="R1765"/>
      <c r="S1765"/>
      <c r="T1765"/>
      <c r="U1765"/>
      <c r="V1765"/>
      <c r="W1765"/>
      <c r="X1765"/>
      <c r="Y1765"/>
      <c r="Z1765"/>
      <c r="AA1765"/>
      <c r="AB1765"/>
      <c r="AC1765"/>
      <c r="AD1765"/>
      <c r="AE1765"/>
      <c r="AF1765"/>
      <c r="AG1765"/>
      <c r="AH1765"/>
      <c r="AI1765"/>
      <c r="AJ1765"/>
      <c r="AK1765"/>
      <c r="AL1765"/>
      <c r="AM1765"/>
      <c r="AN1765"/>
      <c r="AO1765"/>
      <c r="AP1765"/>
      <c r="AQ1765"/>
      <c r="AR1765"/>
      <c r="AS1765"/>
      <c r="AT1765"/>
      <c r="AU1765"/>
      <c r="AV1765"/>
      <c r="AW1765"/>
      <c r="AX1765"/>
      <c r="AY1765"/>
      <c r="AZ1765"/>
      <c r="BA1765"/>
      <c r="BB1765"/>
      <c r="BC1765"/>
      <c r="BD1765"/>
      <c r="BE1765"/>
      <c r="BF1765"/>
      <c r="BG1765"/>
      <c r="BH1765"/>
      <c r="BI1765"/>
      <c r="BJ1765"/>
      <c r="BK1765"/>
      <c r="BL1765"/>
      <c r="BM1765"/>
      <c r="BN1765"/>
      <c r="BO1765"/>
      <c r="BP1765"/>
      <c r="BQ1765"/>
      <c r="BR1765"/>
      <c r="BS1765"/>
      <c r="BT1765"/>
      <c r="BU1765"/>
      <c r="BV1765"/>
      <c r="BW1765"/>
      <c r="BX1765"/>
      <c r="BY1765"/>
      <c r="BZ1765"/>
      <c r="CA1765"/>
      <c r="CB1765"/>
      <c r="CC1765"/>
      <c r="CD1765"/>
      <c r="CE1765"/>
      <c r="CF1765"/>
      <c r="CG1765"/>
      <c r="CH1765"/>
      <c r="CI1765"/>
      <c r="CJ1765"/>
      <c r="CK1765"/>
      <c r="CL1765"/>
      <c r="CM1765"/>
      <c r="CN1765"/>
      <c r="CO1765"/>
      <c r="CP1765"/>
      <c r="CQ1765"/>
      <c r="CR1765"/>
      <c r="CS1765"/>
      <c r="CT1765"/>
      <c r="CU1765"/>
      <c r="CV1765"/>
      <c r="CW1765"/>
      <c r="CX1765"/>
      <c r="CY1765"/>
      <c r="CZ1765"/>
      <c r="DA1765"/>
      <c r="DB1765"/>
      <c r="DC1765"/>
      <c r="DD1765"/>
      <c r="DE1765"/>
      <c r="DF1765"/>
      <c r="DG1765"/>
      <c r="DH1765"/>
      <c r="DI1765"/>
      <c r="DJ1765"/>
      <c r="DK1765"/>
      <c r="DL1765"/>
      <c r="DM1765"/>
      <c r="DN1765"/>
      <c r="DO1765"/>
      <c r="DP1765"/>
      <c r="DQ1765"/>
      <c r="DR1765"/>
      <c r="DS1765"/>
      <c r="DT1765"/>
      <c r="DU1765"/>
      <c r="DV1765"/>
      <c r="DW1765"/>
      <c r="DX1765"/>
      <c r="DY1765"/>
      <c r="DZ1765"/>
      <c r="EA1765"/>
      <c r="EB1765"/>
      <c r="EC1765"/>
      <c r="ED1765"/>
      <c r="EE1765"/>
      <c r="EF1765"/>
      <c r="EG1765"/>
      <c r="EH1765"/>
      <c r="EI1765"/>
      <c r="EJ1765"/>
      <c r="EK1765"/>
      <c r="EL1765"/>
      <c r="EM1765"/>
      <c r="EN1765"/>
      <c r="EO1765"/>
      <c r="EP1765"/>
      <c r="EQ1765"/>
      <c r="ER1765"/>
      <c r="ES1765"/>
    </row>
    <row r="1766" spans="1:149">
      <c r="A1766"/>
      <c r="B1766"/>
      <c r="C1766"/>
      <c r="D1766"/>
      <c r="E1766"/>
      <c r="F1766"/>
      <c r="G1766"/>
      <c r="H1766"/>
      <c r="I1766"/>
      <c r="J1766"/>
      <c r="K1766"/>
      <c r="L1766"/>
      <c r="M1766"/>
      <c r="N1766"/>
      <c r="O1766"/>
      <c r="P1766"/>
      <c r="Q1766"/>
      <c r="R1766"/>
      <c r="S1766"/>
      <c r="T1766"/>
      <c r="U1766"/>
      <c r="V1766"/>
      <c r="W1766"/>
      <c r="X1766"/>
      <c r="Y1766"/>
      <c r="Z1766"/>
      <c r="AA1766"/>
      <c r="AB1766"/>
      <c r="AC1766"/>
      <c r="AD1766"/>
      <c r="AE1766"/>
      <c r="AF1766"/>
      <c r="AG1766"/>
      <c r="AH1766"/>
      <c r="AI1766"/>
      <c r="AJ1766"/>
      <c r="AK1766"/>
      <c r="AL1766"/>
      <c r="AM1766"/>
      <c r="AN1766"/>
      <c r="AO1766"/>
      <c r="AP1766"/>
      <c r="AQ1766"/>
      <c r="AR1766"/>
      <c r="AS1766"/>
      <c r="AT1766"/>
      <c r="AU1766"/>
      <c r="AV1766"/>
      <c r="AW1766"/>
      <c r="AX1766"/>
      <c r="AY1766"/>
      <c r="AZ1766"/>
      <c r="BA1766"/>
      <c r="BB1766"/>
      <c r="BC1766"/>
      <c r="BD1766"/>
      <c r="BE1766"/>
      <c r="BF1766"/>
      <c r="BG1766"/>
      <c r="BH1766"/>
      <c r="BI1766"/>
      <c r="BJ1766"/>
      <c r="BK1766"/>
      <c r="BL1766"/>
      <c r="BM1766"/>
      <c r="BN1766"/>
      <c r="BO1766"/>
      <c r="BP1766"/>
      <c r="BQ1766"/>
      <c r="BR1766"/>
      <c r="BS1766"/>
      <c r="BT1766"/>
      <c r="BU1766"/>
      <c r="BV1766"/>
      <c r="BW1766"/>
      <c r="BX1766"/>
      <c r="BY1766"/>
      <c r="BZ1766"/>
      <c r="CA1766"/>
      <c r="CB1766"/>
      <c r="CC1766"/>
      <c r="CD1766"/>
      <c r="CE1766"/>
      <c r="CF1766"/>
      <c r="CG1766"/>
      <c r="CH1766"/>
      <c r="CI1766"/>
      <c r="CJ1766"/>
      <c r="CK1766"/>
      <c r="CL1766"/>
      <c r="CM1766"/>
      <c r="CN1766"/>
      <c r="CO1766"/>
      <c r="CP1766"/>
      <c r="CQ1766"/>
      <c r="CR1766"/>
      <c r="CS1766"/>
      <c r="CT1766"/>
      <c r="CU1766"/>
      <c r="CV1766"/>
      <c r="CW1766"/>
      <c r="CX1766"/>
      <c r="CY1766"/>
      <c r="CZ1766"/>
      <c r="DA1766"/>
      <c r="DB1766"/>
      <c r="DC1766"/>
      <c r="DD1766"/>
      <c r="DE1766"/>
      <c r="DF1766"/>
      <c r="DG1766"/>
      <c r="DH1766"/>
      <c r="DI1766"/>
      <c r="DJ1766"/>
      <c r="DK1766"/>
      <c r="DL1766"/>
      <c r="DM1766"/>
      <c r="DN1766"/>
      <c r="DO1766"/>
      <c r="DP1766"/>
      <c r="DQ1766"/>
      <c r="DR1766"/>
      <c r="DS1766"/>
      <c r="DT1766"/>
      <c r="DU1766"/>
      <c r="DV1766"/>
      <c r="DW1766"/>
      <c r="DX1766"/>
      <c r="DY1766"/>
      <c r="DZ1766"/>
      <c r="EA1766"/>
      <c r="EB1766"/>
      <c r="EC1766"/>
      <c r="ED1766"/>
      <c r="EE1766"/>
      <c r="EF1766"/>
      <c r="EG1766"/>
      <c r="EH1766"/>
      <c r="EI1766"/>
      <c r="EJ1766"/>
      <c r="EK1766"/>
      <c r="EL1766"/>
      <c r="EM1766"/>
      <c r="EN1766"/>
      <c r="EO1766"/>
      <c r="EP1766"/>
      <c r="EQ1766"/>
      <c r="ER1766"/>
      <c r="ES1766"/>
    </row>
    <row r="1767" spans="1:149">
      <c r="A1767"/>
      <c r="B1767"/>
      <c r="C1767"/>
      <c r="D1767"/>
      <c r="E1767"/>
      <c r="F1767"/>
      <c r="G1767"/>
      <c r="H1767"/>
      <c r="I1767"/>
      <c r="J1767"/>
      <c r="K1767"/>
      <c r="L1767"/>
      <c r="M1767"/>
      <c r="N1767"/>
      <c r="O1767"/>
      <c r="P1767"/>
      <c r="Q1767"/>
      <c r="R1767"/>
      <c r="S1767"/>
      <c r="T1767"/>
      <c r="U1767"/>
      <c r="V1767"/>
      <c r="W1767"/>
      <c r="X1767"/>
      <c r="Y1767"/>
      <c r="Z1767"/>
      <c r="AA1767"/>
      <c r="AB1767"/>
      <c r="AC1767"/>
      <c r="AD1767"/>
      <c r="AE1767"/>
      <c r="AF1767"/>
      <c r="AG1767"/>
      <c r="AH1767"/>
      <c r="AI1767"/>
      <c r="AJ1767"/>
      <c r="AK1767"/>
      <c r="AL1767"/>
      <c r="AM1767"/>
      <c r="AN1767"/>
      <c r="AO1767"/>
      <c r="AP1767"/>
      <c r="AQ1767"/>
      <c r="AR1767"/>
      <c r="AS1767"/>
      <c r="AT1767"/>
      <c r="AU1767"/>
      <c r="AV1767"/>
      <c r="AW1767"/>
      <c r="AX1767"/>
      <c r="AY1767"/>
      <c r="AZ1767"/>
      <c r="BA1767"/>
      <c r="BB1767"/>
      <c r="BC1767"/>
      <c r="BD1767"/>
      <c r="BE1767"/>
      <c r="BF1767"/>
      <c r="BG1767"/>
      <c r="BH1767"/>
      <c r="BI1767"/>
      <c r="BJ1767"/>
      <c r="BK1767"/>
      <c r="BL1767"/>
      <c r="BM1767"/>
      <c r="BN1767"/>
      <c r="BO1767"/>
      <c r="BP1767"/>
      <c r="BQ1767"/>
      <c r="BR1767"/>
      <c r="BS1767"/>
      <c r="BT1767"/>
      <c r="BU1767"/>
      <c r="BV1767"/>
      <c r="BW1767"/>
      <c r="BX1767"/>
      <c r="BY1767"/>
      <c r="BZ1767"/>
      <c r="CA1767"/>
      <c r="CB1767"/>
      <c r="CC1767"/>
      <c r="CD1767"/>
      <c r="CE1767"/>
      <c r="CF1767"/>
      <c r="CG1767"/>
      <c r="CH1767"/>
      <c r="CI1767"/>
      <c r="CJ1767"/>
      <c r="CK1767"/>
      <c r="CL1767"/>
      <c r="CM1767"/>
      <c r="CN1767"/>
      <c r="CO1767"/>
      <c r="CP1767"/>
      <c r="CQ1767"/>
      <c r="CR1767"/>
      <c r="CS1767"/>
      <c r="CT1767"/>
      <c r="CU1767"/>
      <c r="CV1767"/>
      <c r="CW1767"/>
      <c r="CX1767"/>
      <c r="CY1767"/>
      <c r="CZ1767"/>
      <c r="DA1767"/>
      <c r="DB1767"/>
      <c r="DC1767"/>
      <c r="DD1767"/>
      <c r="DE1767"/>
      <c r="DF1767"/>
      <c r="DG1767"/>
      <c r="DH1767"/>
      <c r="DI1767"/>
      <c r="DJ1767"/>
      <c r="DK1767"/>
      <c r="DL1767"/>
      <c r="DM1767"/>
      <c r="DN1767"/>
      <c r="DO1767"/>
      <c r="DP1767"/>
      <c r="DQ1767"/>
      <c r="DR1767"/>
      <c r="DS1767"/>
      <c r="DT1767"/>
      <c r="DU1767"/>
      <c r="DV1767"/>
      <c r="DW1767"/>
      <c r="DX1767"/>
      <c r="DY1767"/>
      <c r="DZ1767"/>
      <c r="EA1767"/>
      <c r="EB1767"/>
      <c r="EC1767"/>
      <c r="ED1767"/>
      <c r="EE1767"/>
      <c r="EF1767"/>
      <c r="EG1767"/>
      <c r="EH1767"/>
      <c r="EI1767"/>
      <c r="EJ1767"/>
      <c r="EK1767"/>
      <c r="EL1767"/>
      <c r="EM1767"/>
      <c r="EN1767"/>
      <c r="EO1767"/>
      <c r="EP1767"/>
      <c r="EQ1767"/>
      <c r="ER1767"/>
      <c r="ES1767"/>
    </row>
    <row r="1768" spans="1:149">
      <c r="A1768"/>
      <c r="B1768"/>
      <c r="C1768"/>
      <c r="D1768"/>
      <c r="E1768"/>
      <c r="F1768"/>
      <c r="G1768"/>
      <c r="H1768"/>
      <c r="I1768"/>
      <c r="J1768"/>
      <c r="K1768"/>
      <c r="L1768"/>
      <c r="M1768"/>
      <c r="N1768"/>
      <c r="O1768"/>
      <c r="P1768"/>
      <c r="Q1768"/>
      <c r="R1768"/>
      <c r="S1768"/>
      <c r="T1768"/>
      <c r="U1768"/>
      <c r="V1768"/>
      <c r="W1768"/>
      <c r="X1768"/>
      <c r="Y1768"/>
      <c r="Z1768"/>
      <c r="AA1768"/>
      <c r="AB1768"/>
      <c r="AC1768"/>
      <c r="AD1768"/>
      <c r="AE1768"/>
      <c r="AF1768"/>
      <c r="AG1768"/>
      <c r="AH1768"/>
      <c r="AI1768"/>
      <c r="AJ1768"/>
      <c r="AK1768"/>
      <c r="AL1768"/>
      <c r="AM1768"/>
      <c r="AN1768"/>
      <c r="AO1768"/>
      <c r="AP1768"/>
      <c r="AQ1768"/>
      <c r="AR1768"/>
      <c r="AS1768"/>
      <c r="AT1768"/>
      <c r="AU1768"/>
      <c r="AV1768"/>
      <c r="AW1768"/>
      <c r="AX1768"/>
      <c r="AY1768"/>
      <c r="AZ1768"/>
      <c r="BA1768"/>
      <c r="BB1768"/>
      <c r="BC1768"/>
      <c r="BD1768"/>
      <c r="BE1768"/>
      <c r="BF1768"/>
      <c r="BG1768"/>
      <c r="BH1768"/>
      <c r="BI1768"/>
      <c r="BJ1768"/>
      <c r="BK1768"/>
      <c r="BL1768"/>
      <c r="BM1768"/>
      <c r="BN1768"/>
      <c r="BO1768"/>
      <c r="BP1768"/>
      <c r="BQ1768"/>
      <c r="BR1768"/>
      <c r="BS1768"/>
      <c r="BT1768"/>
      <c r="BU1768"/>
      <c r="BV1768"/>
      <c r="BW1768"/>
      <c r="BX1768"/>
      <c r="BY1768"/>
      <c r="BZ1768"/>
      <c r="CA1768"/>
      <c r="CB1768"/>
      <c r="CC1768"/>
      <c r="CD1768"/>
      <c r="CE1768"/>
      <c r="CF1768"/>
      <c r="CG1768"/>
      <c r="CH1768"/>
      <c r="CI1768"/>
      <c r="CJ1768"/>
      <c r="CK1768"/>
      <c r="CL1768"/>
      <c r="CM1768"/>
      <c r="CN1768"/>
      <c r="CO1768"/>
      <c r="CP1768"/>
      <c r="CQ1768"/>
      <c r="CR1768"/>
      <c r="CS1768"/>
      <c r="CT1768"/>
      <c r="CU1768"/>
      <c r="CV1768"/>
      <c r="CW1768"/>
      <c r="CX1768"/>
      <c r="CY1768"/>
      <c r="CZ1768"/>
      <c r="DA1768"/>
      <c r="DB1768"/>
      <c r="DC1768"/>
      <c r="DD1768"/>
      <c r="DE1768"/>
      <c r="DF1768"/>
      <c r="DG1768"/>
      <c r="DH1768"/>
      <c r="DI1768"/>
      <c r="DJ1768"/>
      <c r="DK1768"/>
      <c r="DL1768"/>
      <c r="DM1768"/>
      <c r="DN1768"/>
      <c r="DO1768"/>
      <c r="DP1768"/>
      <c r="DQ1768"/>
      <c r="DR1768"/>
      <c r="DS1768"/>
      <c r="DT1768"/>
      <c r="DU1768"/>
      <c r="DV1768"/>
      <c r="DW1768"/>
      <c r="DX1768"/>
      <c r="DY1768"/>
      <c r="DZ1768"/>
      <c r="EA1768"/>
      <c r="EB1768"/>
      <c r="EC1768"/>
      <c r="ED1768"/>
      <c r="EE1768"/>
      <c r="EF1768"/>
      <c r="EG1768"/>
      <c r="EH1768"/>
      <c r="EI1768"/>
      <c r="EJ1768"/>
      <c r="EK1768"/>
      <c r="EL1768"/>
      <c r="EM1768"/>
      <c r="EN1768"/>
      <c r="EO1768"/>
      <c r="EP1768"/>
      <c r="EQ1768"/>
      <c r="ER1768"/>
      <c r="ES1768"/>
    </row>
    <row r="1769" spans="1:149">
      <c r="A1769"/>
      <c r="B1769"/>
      <c r="C1769"/>
      <c r="D1769"/>
      <c r="E1769"/>
      <c r="F1769"/>
      <c r="G1769"/>
      <c r="H1769"/>
      <c r="I1769"/>
      <c r="J1769"/>
      <c r="K1769"/>
      <c r="L1769"/>
      <c r="M1769"/>
      <c r="N1769"/>
      <c r="O1769"/>
      <c r="P1769"/>
      <c r="Q1769"/>
      <c r="R1769"/>
      <c r="S1769"/>
      <c r="T1769"/>
      <c r="U1769"/>
      <c r="V1769"/>
      <c r="W1769"/>
      <c r="X1769"/>
      <c r="Y1769"/>
      <c r="Z1769"/>
      <c r="AA1769"/>
      <c r="AB1769"/>
      <c r="AC1769"/>
      <c r="AD1769"/>
      <c r="AE1769"/>
      <c r="AF1769"/>
      <c r="AG1769"/>
      <c r="AH1769"/>
      <c r="AI1769"/>
      <c r="AJ1769"/>
      <c r="AK1769"/>
      <c r="AL1769"/>
      <c r="AM1769"/>
      <c r="AN1769"/>
      <c r="AO1769"/>
      <c r="AP1769"/>
      <c r="AQ1769"/>
      <c r="AR1769"/>
      <c r="AS1769"/>
      <c r="AT1769"/>
      <c r="AU1769"/>
      <c r="AV1769"/>
      <c r="AW1769"/>
      <c r="AX1769"/>
      <c r="AY1769"/>
      <c r="AZ1769"/>
      <c r="BA1769"/>
      <c r="BB1769"/>
      <c r="BC1769"/>
      <c r="BD1769"/>
      <c r="BE1769"/>
      <c r="BF1769"/>
      <c r="BG1769"/>
      <c r="BH1769"/>
      <c r="BI1769"/>
      <c r="BJ1769"/>
      <c r="BK1769"/>
      <c r="BL1769"/>
      <c r="BM1769"/>
      <c r="BN1769"/>
      <c r="BO1769"/>
      <c r="BP1769"/>
      <c r="BQ1769"/>
      <c r="BR1769"/>
      <c r="BS1769"/>
      <c r="BT1769"/>
      <c r="BU1769"/>
      <c r="BV1769"/>
      <c r="BW1769"/>
      <c r="BX1769"/>
      <c r="BY1769"/>
      <c r="BZ1769"/>
      <c r="CA1769"/>
      <c r="CB1769"/>
      <c r="CC1769"/>
      <c r="CD1769"/>
      <c r="CE1769"/>
      <c r="CF1769"/>
      <c r="CG1769"/>
      <c r="CH1769"/>
      <c r="CI1769"/>
      <c r="CJ1769"/>
      <c r="CK1769"/>
      <c r="CL1769"/>
      <c r="CM1769"/>
      <c r="CN1769"/>
      <c r="CO1769"/>
      <c r="CP1769"/>
      <c r="CQ1769"/>
      <c r="CR1769"/>
      <c r="CS1769"/>
      <c r="CT1769"/>
      <c r="CU1769"/>
      <c r="CV1769"/>
      <c r="CW1769"/>
      <c r="CX1769"/>
      <c r="CY1769"/>
      <c r="CZ1769"/>
      <c r="DA1769"/>
      <c r="DB1769"/>
      <c r="DC1769"/>
      <c r="DD1769"/>
      <c r="DE1769"/>
      <c r="DF1769"/>
      <c r="DG1769"/>
      <c r="DH1769"/>
      <c r="DI1769"/>
      <c r="DJ1769"/>
      <c r="DK1769"/>
      <c r="DL1769"/>
      <c r="DM1769"/>
      <c r="DN1769"/>
      <c r="DO1769"/>
      <c r="DP1769"/>
      <c r="DQ1769"/>
      <c r="DR1769"/>
      <c r="DS1769"/>
      <c r="DT1769"/>
      <c r="DU1769"/>
      <c r="DV1769"/>
      <c r="DW1769"/>
      <c r="DX1769"/>
      <c r="DY1769"/>
      <c r="DZ1769"/>
      <c r="EA1769"/>
      <c r="EB1769"/>
      <c r="EC1769"/>
      <c r="ED1769"/>
      <c r="EE1769"/>
      <c r="EF1769"/>
      <c r="EG1769"/>
      <c r="EH1769"/>
      <c r="EI1769"/>
      <c r="EJ1769"/>
      <c r="EK1769"/>
      <c r="EL1769"/>
      <c r="EM1769"/>
      <c r="EN1769"/>
      <c r="EO1769"/>
      <c r="EP1769"/>
      <c r="EQ1769"/>
      <c r="ER1769"/>
      <c r="ES1769"/>
    </row>
    <row r="1770" spans="1:149">
      <c r="A1770"/>
      <c r="B1770"/>
      <c r="C1770"/>
      <c r="D1770"/>
      <c r="E1770"/>
      <c r="F1770"/>
      <c r="G1770"/>
      <c r="H1770"/>
      <c r="I1770"/>
      <c r="J1770"/>
      <c r="K1770"/>
      <c r="L1770"/>
      <c r="M1770"/>
      <c r="N1770"/>
      <c r="O1770"/>
      <c r="P1770"/>
      <c r="Q1770"/>
      <c r="R1770"/>
      <c r="S1770"/>
      <c r="T1770"/>
      <c r="U1770"/>
      <c r="V1770"/>
      <c r="W1770"/>
      <c r="X1770"/>
      <c r="Y1770"/>
      <c r="Z1770"/>
      <c r="AA1770"/>
      <c r="AB1770"/>
      <c r="AC1770"/>
      <c r="AD1770"/>
      <c r="AE1770"/>
      <c r="AF1770"/>
      <c r="AG1770"/>
      <c r="AH1770"/>
      <c r="AI1770"/>
      <c r="AJ1770"/>
      <c r="AK1770"/>
      <c r="AL1770"/>
      <c r="AM1770"/>
      <c r="AN1770"/>
      <c r="AO1770"/>
      <c r="AP1770"/>
      <c r="AQ1770"/>
      <c r="AR1770"/>
      <c r="AS1770"/>
      <c r="AT1770"/>
      <c r="AU1770"/>
      <c r="AV1770"/>
      <c r="AW1770"/>
      <c r="AX1770"/>
      <c r="AY1770"/>
      <c r="AZ1770"/>
      <c r="BA1770"/>
      <c r="BB1770"/>
      <c r="BC1770"/>
      <c r="BD1770"/>
      <c r="BE1770"/>
      <c r="BF1770"/>
      <c r="BG1770"/>
      <c r="BH1770"/>
      <c r="BI1770"/>
      <c r="BJ1770"/>
      <c r="BK1770"/>
      <c r="BL1770"/>
      <c r="BM1770"/>
      <c r="BN1770"/>
      <c r="BO1770"/>
      <c r="BP1770"/>
      <c r="BQ1770"/>
      <c r="BR1770"/>
      <c r="BS1770"/>
      <c r="BT1770"/>
      <c r="BU1770"/>
      <c r="BV1770"/>
      <c r="BW1770"/>
      <c r="BX1770"/>
      <c r="BY1770"/>
      <c r="BZ1770"/>
      <c r="CA1770"/>
      <c r="CB1770"/>
      <c r="CC1770"/>
      <c r="CD1770"/>
      <c r="CE1770"/>
      <c r="CF1770"/>
      <c r="CG1770"/>
      <c r="CH1770"/>
      <c r="CI1770"/>
      <c r="CJ1770"/>
      <c r="CK1770"/>
      <c r="CL1770"/>
      <c r="CM1770"/>
      <c r="CN1770"/>
      <c r="CO1770"/>
      <c r="CP1770"/>
      <c r="CQ1770"/>
      <c r="CR1770"/>
      <c r="CS1770"/>
      <c r="CT1770"/>
      <c r="CU1770"/>
      <c r="CV1770"/>
      <c r="CW1770"/>
      <c r="CX1770"/>
      <c r="CY1770"/>
      <c r="CZ1770"/>
      <c r="DA1770"/>
      <c r="DB1770"/>
      <c r="DC1770"/>
      <c r="DD1770"/>
      <c r="DE1770"/>
      <c r="DF1770"/>
      <c r="DG1770"/>
      <c r="DH1770"/>
      <c r="DI1770"/>
      <c r="DJ1770"/>
      <c r="DK1770"/>
      <c r="DL1770"/>
      <c r="DM1770"/>
      <c r="DN1770"/>
      <c r="DO1770"/>
      <c r="DP1770"/>
      <c r="DQ1770"/>
      <c r="DR1770"/>
      <c r="DS1770"/>
      <c r="DT1770"/>
      <c r="DU1770"/>
      <c r="DV1770"/>
      <c r="DW1770"/>
      <c r="DX1770"/>
      <c r="DY1770"/>
      <c r="DZ1770"/>
      <c r="EA1770"/>
      <c r="EB1770"/>
      <c r="EC1770"/>
      <c r="ED1770"/>
      <c r="EE1770"/>
      <c r="EF1770"/>
      <c r="EG1770"/>
      <c r="EH1770"/>
      <c r="EI1770"/>
      <c r="EJ1770"/>
      <c r="EK1770"/>
      <c r="EL1770"/>
      <c r="EM1770"/>
      <c r="EN1770"/>
      <c r="EO1770"/>
      <c r="EP1770"/>
      <c r="EQ1770"/>
      <c r="ER1770"/>
      <c r="ES1770"/>
    </row>
    <row r="1771" spans="1:149">
      <c r="A1771"/>
      <c r="B1771"/>
      <c r="C1771"/>
      <c r="D1771"/>
      <c r="E1771"/>
      <c r="F1771"/>
      <c r="G1771"/>
      <c r="H1771"/>
      <c r="I1771"/>
      <c r="J1771"/>
      <c r="K1771"/>
      <c r="L1771"/>
      <c r="M1771"/>
      <c r="N1771"/>
      <c r="O1771"/>
      <c r="P1771"/>
      <c r="Q1771"/>
      <c r="R1771"/>
      <c r="S1771"/>
      <c r="T1771"/>
      <c r="U1771"/>
      <c r="V1771"/>
      <c r="W1771"/>
      <c r="X1771"/>
      <c r="Y1771"/>
      <c r="Z1771"/>
      <c r="AA1771"/>
      <c r="AB1771"/>
      <c r="AC1771"/>
      <c r="AD1771"/>
      <c r="AE1771"/>
      <c r="AF1771"/>
      <c r="AG1771"/>
      <c r="AH1771"/>
      <c r="AI1771"/>
      <c r="AJ1771"/>
      <c r="AK1771"/>
      <c r="AL1771"/>
      <c r="AM1771"/>
      <c r="AN1771"/>
      <c r="AO1771"/>
      <c r="AP1771"/>
      <c r="AQ1771"/>
      <c r="AR1771"/>
      <c r="AS1771"/>
      <c r="AT1771"/>
      <c r="AU1771"/>
      <c r="AV1771"/>
      <c r="AW1771"/>
      <c r="AX1771"/>
      <c r="AY1771"/>
      <c r="AZ1771"/>
      <c r="BA1771"/>
      <c r="BB1771"/>
      <c r="BC1771"/>
      <c r="BD1771"/>
      <c r="BE1771"/>
      <c r="BF1771"/>
      <c r="BG1771"/>
      <c r="BH1771"/>
      <c r="BI1771"/>
      <c r="BJ1771"/>
      <c r="BK1771"/>
      <c r="BL1771"/>
      <c r="BM1771"/>
      <c r="BN1771"/>
      <c r="BO1771"/>
      <c r="BP1771"/>
      <c r="BQ1771"/>
      <c r="BR1771"/>
      <c r="BS1771"/>
      <c r="BT1771"/>
      <c r="BU1771"/>
      <c r="BV1771"/>
      <c r="BW1771"/>
      <c r="BX1771"/>
      <c r="BY1771"/>
      <c r="BZ1771"/>
      <c r="CA1771"/>
      <c r="CB1771"/>
      <c r="CC1771"/>
      <c r="CD1771"/>
      <c r="CE1771"/>
      <c r="CF1771"/>
      <c r="CG1771"/>
      <c r="CH1771"/>
      <c r="CI1771"/>
      <c r="CJ1771"/>
      <c r="CK1771"/>
      <c r="CL1771"/>
      <c r="CM1771"/>
      <c r="CN1771"/>
      <c r="CO1771"/>
      <c r="CP1771"/>
      <c r="CQ1771"/>
      <c r="CR1771"/>
      <c r="CS1771"/>
      <c r="CT1771"/>
      <c r="CU1771"/>
      <c r="CV1771"/>
      <c r="CW1771"/>
      <c r="CX1771"/>
      <c r="CY1771"/>
      <c r="CZ1771"/>
      <c r="DA1771"/>
      <c r="DB1771"/>
      <c r="DC1771"/>
      <c r="DD1771"/>
      <c r="DE1771"/>
      <c r="DF1771"/>
      <c r="DG1771"/>
      <c r="DH1771"/>
      <c r="DI1771"/>
      <c r="DJ1771"/>
      <c r="DK1771"/>
      <c r="DL1771"/>
      <c r="DM1771"/>
      <c r="DN1771"/>
      <c r="DO1771"/>
      <c r="DP1771"/>
      <c r="DQ1771"/>
      <c r="DR1771"/>
      <c r="DS1771"/>
      <c r="DT1771"/>
      <c r="DU1771"/>
      <c r="DV1771"/>
      <c r="DW1771"/>
      <c r="DX1771"/>
      <c r="DY1771"/>
      <c r="DZ1771"/>
      <c r="EA1771"/>
      <c r="EB1771"/>
      <c r="EC1771"/>
      <c r="ED1771"/>
      <c r="EE1771"/>
      <c r="EF1771"/>
      <c r="EG1771"/>
      <c r="EH1771"/>
      <c r="EI1771"/>
      <c r="EJ1771"/>
      <c r="EK1771"/>
      <c r="EL1771"/>
      <c r="EM1771"/>
      <c r="EN1771"/>
      <c r="EO1771"/>
      <c r="EP1771"/>
      <c r="EQ1771"/>
      <c r="ER1771"/>
      <c r="ES1771"/>
    </row>
    <row r="1772" spans="1:149">
      <c r="A1772"/>
      <c r="B1772"/>
      <c r="C1772"/>
      <c r="D1772"/>
      <c r="E1772"/>
      <c r="F1772"/>
      <c r="G1772"/>
      <c r="H1772"/>
      <c r="I1772"/>
      <c r="J1772"/>
      <c r="K1772"/>
      <c r="L1772"/>
      <c r="M1772"/>
      <c r="N1772"/>
      <c r="O1772"/>
      <c r="P1772"/>
      <c r="Q1772"/>
      <c r="R1772"/>
      <c r="S1772"/>
      <c r="T1772"/>
      <c r="U1772"/>
      <c r="V1772"/>
      <c r="W1772"/>
      <c r="X1772"/>
      <c r="Y1772"/>
      <c r="Z1772"/>
      <c r="AA1772"/>
      <c r="AB1772"/>
      <c r="AC1772"/>
      <c r="AD1772"/>
      <c r="AE1772"/>
      <c r="AF1772"/>
      <c r="AG1772"/>
      <c r="AH1772"/>
      <c r="AI1772"/>
      <c r="AJ1772"/>
      <c r="AK1772"/>
      <c r="AL1772"/>
      <c r="AM1772"/>
      <c r="AN1772"/>
      <c r="AO1772"/>
      <c r="AP1772"/>
      <c r="AQ1772"/>
      <c r="AR1772"/>
      <c r="AS1772"/>
      <c r="AT1772"/>
      <c r="AU1772"/>
      <c r="AV1772"/>
      <c r="AW1772"/>
      <c r="AX1772"/>
      <c r="AY1772"/>
      <c r="AZ1772"/>
      <c r="BA1772"/>
      <c r="BB1772"/>
      <c r="BC1772"/>
      <c r="BD1772"/>
      <c r="BE1772"/>
      <c r="BF1772"/>
      <c r="BG1772"/>
      <c r="BH1772"/>
      <c r="BI1772"/>
      <c r="BJ1772"/>
      <c r="BK1772"/>
      <c r="BL1772"/>
      <c r="BM1772"/>
      <c r="BN1772"/>
      <c r="BO1772"/>
      <c r="BP1772"/>
      <c r="BQ1772"/>
      <c r="BR1772"/>
      <c r="BS1772"/>
      <c r="BT1772"/>
      <c r="BU1772"/>
      <c r="BV1772"/>
      <c r="BW1772"/>
      <c r="BX1772"/>
      <c r="BY1772"/>
      <c r="BZ1772"/>
      <c r="CA1772"/>
      <c r="CB1772"/>
      <c r="CC1772"/>
      <c r="CD1772"/>
      <c r="CE1772"/>
      <c r="CF1772"/>
      <c r="CG1772"/>
      <c r="CH1772"/>
      <c r="CI1772"/>
      <c r="CJ1772"/>
      <c r="CK1772"/>
      <c r="CL1772"/>
      <c r="CM1772"/>
      <c r="CN1772"/>
      <c r="CO1772"/>
      <c r="CP1772"/>
      <c r="CQ1772"/>
      <c r="CR1772"/>
      <c r="CS1772"/>
      <c r="CT1772"/>
      <c r="CU1772"/>
      <c r="CV1772"/>
      <c r="CW1772"/>
      <c r="CX1772"/>
      <c r="CY1772"/>
      <c r="CZ1772"/>
      <c r="DA1772"/>
      <c r="DB1772"/>
      <c r="DC1772"/>
      <c r="DD1772"/>
      <c r="DE1772"/>
      <c r="DF1772"/>
      <c r="DG1772"/>
      <c r="DH1772"/>
      <c r="DI1772"/>
      <c r="DJ1772"/>
      <c r="DK1772"/>
      <c r="DL1772"/>
      <c r="DM1772"/>
      <c r="DN1772"/>
      <c r="DO1772"/>
      <c r="DP1772"/>
      <c r="DQ1772"/>
      <c r="DR1772"/>
      <c r="DS1772"/>
      <c r="DT1772"/>
      <c r="DU1772"/>
      <c r="DV1772"/>
      <c r="DW1772"/>
      <c r="DX1772"/>
      <c r="DY1772"/>
      <c r="DZ1772"/>
      <c r="EA1772"/>
      <c r="EB1772"/>
      <c r="EC1772"/>
      <c r="ED1772"/>
      <c r="EE1772"/>
      <c r="EF1772"/>
      <c r="EG1772"/>
      <c r="EH1772"/>
      <c r="EI1772"/>
      <c r="EJ1772"/>
      <c r="EK1772"/>
      <c r="EL1772"/>
      <c r="EM1772"/>
      <c r="EN1772"/>
      <c r="EO1772"/>
      <c r="EP1772"/>
      <c r="EQ1772"/>
      <c r="ER1772"/>
      <c r="ES1772"/>
    </row>
    <row r="1773" spans="1:149">
      <c r="A1773"/>
      <c r="B1773"/>
      <c r="C1773"/>
      <c r="D1773"/>
      <c r="E1773"/>
      <c r="F1773"/>
      <c r="G1773"/>
      <c r="H1773"/>
      <c r="I1773"/>
      <c r="J1773"/>
      <c r="K1773"/>
      <c r="L1773"/>
      <c r="M1773"/>
      <c r="N1773"/>
      <c r="O1773"/>
      <c r="P1773"/>
      <c r="Q1773"/>
      <c r="R1773"/>
      <c r="S1773"/>
      <c r="T1773"/>
      <c r="U1773"/>
      <c r="V1773"/>
      <c r="W1773"/>
      <c r="X1773"/>
      <c r="Y1773"/>
      <c r="Z1773"/>
      <c r="AA1773"/>
      <c r="AB1773"/>
      <c r="AC1773"/>
      <c r="AD1773"/>
      <c r="AE1773"/>
      <c r="AF1773"/>
      <c r="AG1773"/>
      <c r="AH1773"/>
      <c r="AI1773"/>
      <c r="AJ1773"/>
      <c r="AK1773"/>
      <c r="AL1773"/>
      <c r="AM1773"/>
      <c r="AN1773"/>
      <c r="AO1773"/>
      <c r="AP1773"/>
      <c r="AQ1773"/>
      <c r="AR1773"/>
      <c r="AS1773"/>
      <c r="AT1773"/>
      <c r="AU1773"/>
      <c r="AV1773"/>
      <c r="AW1773"/>
      <c r="AX1773"/>
      <c r="AY1773"/>
      <c r="AZ1773"/>
      <c r="BA1773"/>
      <c r="BB1773"/>
      <c r="BC1773"/>
      <c r="BD1773"/>
      <c r="BE1773"/>
      <c r="BF1773"/>
      <c r="BG1773"/>
      <c r="BH1773"/>
      <c r="BI1773"/>
      <c r="BJ1773"/>
      <c r="BK1773"/>
      <c r="BL1773"/>
      <c r="BM1773"/>
      <c r="BN1773"/>
      <c r="BO1773"/>
      <c r="BP1773"/>
      <c r="BQ1773"/>
      <c r="BR1773"/>
      <c r="BS1773"/>
      <c r="BT1773"/>
      <c r="BU1773"/>
      <c r="BV1773"/>
      <c r="BW1773"/>
      <c r="BX1773"/>
      <c r="BY1773"/>
      <c r="BZ1773"/>
      <c r="CA1773"/>
      <c r="CB1773"/>
      <c r="CC1773"/>
      <c r="CD1773"/>
      <c r="CE1773"/>
      <c r="CF1773"/>
      <c r="CG1773"/>
      <c r="CH1773"/>
      <c r="CI1773"/>
      <c r="CJ1773"/>
      <c r="CK1773"/>
      <c r="CL1773"/>
      <c r="CM1773"/>
      <c r="CN1773"/>
      <c r="CO1773"/>
      <c r="CP1773"/>
      <c r="CQ1773"/>
      <c r="CR1773"/>
      <c r="CS1773"/>
      <c r="CT1773"/>
      <c r="CU1773"/>
      <c r="CV1773"/>
      <c r="CW1773"/>
      <c r="CX1773"/>
      <c r="CY1773"/>
      <c r="CZ1773"/>
      <c r="DA1773"/>
      <c r="DB1773"/>
      <c r="DC1773"/>
      <c r="DD1773"/>
      <c r="DE1773"/>
      <c r="DF1773"/>
      <c r="DG1773"/>
      <c r="DH1773"/>
      <c r="DI1773"/>
      <c r="DJ1773"/>
      <c r="DK1773"/>
      <c r="DL1773"/>
      <c r="DM1773"/>
      <c r="DN1773"/>
      <c r="DO1773"/>
      <c r="DP1773"/>
      <c r="DQ1773"/>
      <c r="DR1773"/>
      <c r="DS1773"/>
      <c r="DT1773"/>
      <c r="DU1773"/>
      <c r="DV1773"/>
      <c r="DW1773"/>
      <c r="DX1773"/>
      <c r="DY1773"/>
      <c r="DZ1773"/>
      <c r="EA1773"/>
      <c r="EB1773"/>
      <c r="EC1773"/>
      <c r="ED1773"/>
      <c r="EE1773"/>
      <c r="EF1773"/>
      <c r="EG1773"/>
      <c r="EH1773"/>
      <c r="EI1773"/>
      <c r="EJ1773"/>
      <c r="EK1773"/>
      <c r="EL1773"/>
      <c r="EM1773"/>
      <c r="EN1773"/>
      <c r="EO1773"/>
      <c r="EP1773"/>
      <c r="EQ1773"/>
      <c r="ER1773"/>
      <c r="ES1773"/>
    </row>
    <row r="1774" spans="1:149">
      <c r="A1774"/>
      <c r="B1774"/>
      <c r="C1774"/>
      <c r="D1774"/>
      <c r="E1774"/>
      <c r="F1774"/>
      <c r="G1774"/>
      <c r="H1774"/>
      <c r="I1774"/>
      <c r="J1774"/>
      <c r="K1774"/>
      <c r="L1774"/>
      <c r="M1774"/>
      <c r="N1774"/>
      <c r="O1774"/>
      <c r="P1774"/>
      <c r="Q1774"/>
      <c r="R1774"/>
      <c r="S1774"/>
      <c r="T1774"/>
      <c r="U1774"/>
      <c r="V1774"/>
      <c r="W1774"/>
      <c r="X1774"/>
      <c r="Y1774"/>
      <c r="Z1774"/>
      <c r="AA1774"/>
      <c r="AB1774"/>
      <c r="AC1774"/>
      <c r="AD1774"/>
      <c r="AE1774"/>
      <c r="AF1774"/>
      <c r="AG1774"/>
      <c r="AH1774"/>
      <c r="AI1774"/>
      <c r="AJ1774"/>
      <c r="AK1774"/>
      <c r="AL1774"/>
      <c r="AM1774"/>
      <c r="AN1774"/>
      <c r="AO1774"/>
      <c r="AP1774"/>
      <c r="AQ1774"/>
      <c r="AR1774"/>
      <c r="AS1774"/>
      <c r="AT1774"/>
      <c r="AU1774"/>
      <c r="AV1774"/>
      <c r="AW1774"/>
      <c r="AX1774"/>
      <c r="AY1774"/>
      <c r="AZ1774"/>
      <c r="BA1774"/>
      <c r="BB1774"/>
      <c r="BC1774"/>
      <c r="BD1774"/>
      <c r="BE1774"/>
      <c r="BF1774"/>
      <c r="BG1774"/>
      <c r="BH1774"/>
      <c r="BI1774"/>
      <c r="BJ1774"/>
      <c r="BK1774"/>
      <c r="BL1774"/>
      <c r="BM1774"/>
      <c r="BN1774"/>
      <c r="BO1774"/>
      <c r="BP1774"/>
      <c r="BQ1774"/>
      <c r="BR1774"/>
      <c r="BS1774"/>
      <c r="BT1774"/>
      <c r="BU1774"/>
      <c r="BV1774"/>
      <c r="BW1774"/>
      <c r="BX1774"/>
      <c r="BY1774"/>
      <c r="BZ1774"/>
      <c r="CA1774"/>
      <c r="CB1774"/>
      <c r="CC1774"/>
      <c r="CD1774"/>
      <c r="CE1774"/>
      <c r="CF1774"/>
      <c r="CG1774"/>
      <c r="CH1774"/>
      <c r="CI1774"/>
      <c r="CJ1774"/>
      <c r="CK1774"/>
      <c r="CL1774"/>
      <c r="CM1774"/>
      <c r="CN1774"/>
      <c r="CO1774"/>
      <c r="CP1774"/>
      <c r="CQ1774"/>
      <c r="CR1774"/>
      <c r="CS1774"/>
      <c r="CT1774"/>
      <c r="CU1774"/>
      <c r="CV1774"/>
      <c r="CW1774"/>
      <c r="CX1774"/>
      <c r="CY1774"/>
      <c r="CZ1774"/>
      <c r="DA1774"/>
      <c r="DB1774"/>
      <c r="DC1774"/>
      <c r="DD1774"/>
      <c r="DE1774"/>
      <c r="DF1774"/>
      <c r="DG1774"/>
      <c r="DH1774"/>
      <c r="DI1774"/>
      <c r="DJ1774"/>
      <c r="DK1774"/>
      <c r="DL1774"/>
      <c r="DM1774"/>
      <c r="DN1774"/>
      <c r="DO1774"/>
      <c r="DP1774"/>
      <c r="DQ1774"/>
      <c r="DR1774"/>
      <c r="DS1774"/>
      <c r="DT1774"/>
      <c r="DU1774"/>
      <c r="DV1774"/>
      <c r="DW1774"/>
      <c r="DX1774"/>
      <c r="DY1774"/>
      <c r="DZ1774"/>
      <c r="EA1774"/>
      <c r="EB1774"/>
      <c r="EC1774"/>
      <c r="ED1774"/>
      <c r="EE1774"/>
      <c r="EF1774"/>
      <c r="EG1774"/>
      <c r="EH1774"/>
      <c r="EI1774"/>
      <c r="EJ1774"/>
      <c r="EK1774"/>
      <c r="EL1774"/>
      <c r="EM1774"/>
      <c r="EN1774"/>
      <c r="EO1774"/>
      <c r="EP1774"/>
      <c r="EQ1774"/>
      <c r="ER1774"/>
      <c r="ES1774"/>
    </row>
    <row r="1775" spans="1:149">
      <c r="A1775"/>
      <c r="B1775"/>
      <c r="C1775"/>
      <c r="D1775"/>
      <c r="E1775"/>
      <c r="F1775"/>
      <c r="G1775"/>
      <c r="H1775"/>
      <c r="I1775"/>
      <c r="J1775"/>
      <c r="K1775"/>
      <c r="L1775"/>
      <c r="M1775"/>
      <c r="N1775"/>
      <c r="O1775"/>
      <c r="P1775"/>
      <c r="Q1775"/>
      <c r="R1775"/>
      <c r="S1775"/>
      <c r="T1775"/>
      <c r="U1775"/>
      <c r="V1775"/>
      <c r="W1775"/>
      <c r="X1775"/>
      <c r="Y1775"/>
      <c r="Z1775"/>
      <c r="AA1775"/>
      <c r="AB1775"/>
      <c r="AC1775"/>
      <c r="AD1775"/>
      <c r="AE1775"/>
      <c r="AF1775"/>
      <c r="AG1775"/>
      <c r="AH1775"/>
      <c r="AI1775"/>
      <c r="AJ1775"/>
      <c r="AK1775"/>
      <c r="AL1775"/>
      <c r="AM1775"/>
      <c r="AN1775"/>
      <c r="AO1775"/>
      <c r="AP1775"/>
      <c r="AQ1775"/>
      <c r="AR1775"/>
      <c r="AS1775"/>
      <c r="AT1775"/>
      <c r="AU1775"/>
      <c r="AV1775"/>
      <c r="AW1775"/>
      <c r="AX1775"/>
      <c r="AY1775"/>
      <c r="AZ1775"/>
      <c r="BA1775"/>
      <c r="BB1775"/>
      <c r="BC1775"/>
      <c r="BD1775"/>
      <c r="BE1775"/>
      <c r="BF1775"/>
      <c r="BG1775"/>
      <c r="BH1775"/>
      <c r="BI1775"/>
      <c r="BJ1775"/>
      <c r="BK1775"/>
      <c r="BL1775"/>
      <c r="BM1775"/>
      <c r="BN1775"/>
      <c r="BO1775"/>
      <c r="BP1775"/>
      <c r="BQ1775"/>
      <c r="BR1775"/>
      <c r="BS1775"/>
      <c r="BT1775"/>
      <c r="BU1775"/>
      <c r="BV1775"/>
      <c r="BW1775"/>
      <c r="BX1775"/>
      <c r="BY1775"/>
      <c r="BZ1775"/>
      <c r="CA1775"/>
      <c r="CB1775"/>
      <c r="CC1775"/>
      <c r="CD1775"/>
      <c r="CE1775"/>
      <c r="CF1775"/>
      <c r="CG1775"/>
      <c r="CH1775"/>
      <c r="CI1775"/>
      <c r="CJ1775"/>
      <c r="CK1775"/>
      <c r="CL1775"/>
      <c r="CM1775"/>
      <c r="CN1775"/>
      <c r="CO1775"/>
      <c r="CP1775"/>
      <c r="CQ1775"/>
      <c r="CR1775"/>
      <c r="CS1775"/>
      <c r="CT1775"/>
      <c r="CU1775"/>
      <c r="CV1775"/>
      <c r="CW1775"/>
      <c r="CX1775"/>
      <c r="CY1775"/>
      <c r="CZ1775"/>
      <c r="DA1775"/>
      <c r="DB1775"/>
      <c r="DC1775"/>
      <c r="DD1775"/>
      <c r="DE1775"/>
      <c r="DF1775"/>
      <c r="DG1775"/>
      <c r="DH1775"/>
      <c r="DI1775"/>
      <c r="DJ1775"/>
      <c r="DK1775"/>
      <c r="DL1775"/>
      <c r="DM1775"/>
      <c r="DN1775"/>
      <c r="DO1775"/>
      <c r="DP1775"/>
      <c r="DQ1775"/>
      <c r="DR1775"/>
      <c r="DS1775"/>
      <c r="DT1775"/>
      <c r="DU1775"/>
      <c r="DV1775"/>
      <c r="DW1775"/>
      <c r="DX1775"/>
      <c r="DY1775"/>
      <c r="DZ1775"/>
      <c r="EA1775"/>
      <c r="EB1775"/>
      <c r="EC1775"/>
      <c r="ED1775"/>
      <c r="EE1775"/>
      <c r="EF1775"/>
      <c r="EG1775"/>
      <c r="EH1775"/>
      <c r="EI1775"/>
      <c r="EJ1775"/>
      <c r="EK1775"/>
      <c r="EL1775"/>
      <c r="EM1775"/>
      <c r="EN1775"/>
      <c r="EO1775"/>
      <c r="EP1775"/>
      <c r="EQ1775"/>
      <c r="ER1775"/>
      <c r="ES1775"/>
    </row>
    <row r="1776" spans="1:149">
      <c r="A1776"/>
      <c r="B1776"/>
      <c r="C1776"/>
      <c r="D1776"/>
      <c r="E1776"/>
      <c r="F1776"/>
      <c r="G1776"/>
      <c r="H1776"/>
      <c r="I1776"/>
      <c r="J1776"/>
      <c r="K1776"/>
      <c r="L1776"/>
      <c r="M1776"/>
      <c r="N1776"/>
      <c r="O1776"/>
      <c r="P1776"/>
      <c r="Q1776"/>
      <c r="R1776"/>
      <c r="S1776"/>
      <c r="T1776"/>
      <c r="U1776"/>
      <c r="V1776"/>
      <c r="W1776"/>
      <c r="X1776"/>
      <c r="Y1776"/>
      <c r="Z1776"/>
      <c r="AA1776"/>
      <c r="AB1776"/>
      <c r="AC1776"/>
      <c r="AD1776"/>
      <c r="AE1776"/>
      <c r="AF1776"/>
      <c r="AG1776"/>
      <c r="AH1776"/>
      <c r="AI1776"/>
      <c r="AJ1776"/>
      <c r="AK1776"/>
      <c r="AL1776"/>
      <c r="AM1776"/>
      <c r="AN1776"/>
      <c r="AO1776"/>
      <c r="AP1776"/>
      <c r="AQ1776"/>
      <c r="AR1776"/>
      <c r="AS1776"/>
      <c r="AT1776"/>
      <c r="AU1776"/>
      <c r="AV1776"/>
      <c r="AW1776"/>
      <c r="AX1776"/>
      <c r="AY1776"/>
      <c r="AZ1776"/>
      <c r="BA1776"/>
      <c r="BB1776"/>
      <c r="BC1776"/>
      <c r="BD1776"/>
      <c r="BE1776"/>
      <c r="BF1776"/>
      <c r="BG1776"/>
      <c r="BH1776"/>
      <c r="BI1776"/>
      <c r="BJ1776"/>
      <c r="BK1776"/>
      <c r="BL1776"/>
      <c r="BM1776"/>
      <c r="BN1776"/>
      <c r="BO1776"/>
      <c r="BP1776"/>
      <c r="BQ1776"/>
      <c r="BR1776"/>
      <c r="BS1776"/>
      <c r="BT1776"/>
      <c r="BU1776"/>
      <c r="BV1776"/>
      <c r="BW1776"/>
      <c r="BX1776"/>
      <c r="BY1776"/>
      <c r="BZ1776"/>
      <c r="CA1776"/>
      <c r="CB1776"/>
      <c r="CC1776"/>
      <c r="CD1776"/>
      <c r="CE1776"/>
      <c r="CF1776"/>
      <c r="CG1776"/>
      <c r="CH1776"/>
      <c r="CI1776"/>
      <c r="CJ1776"/>
      <c r="CK1776"/>
      <c r="CL1776"/>
      <c r="CM1776"/>
      <c r="CN1776"/>
      <c r="CO1776"/>
      <c r="CP1776"/>
      <c r="CQ1776"/>
      <c r="CR1776"/>
      <c r="CS1776"/>
      <c r="CT1776"/>
      <c r="CU1776"/>
      <c r="CV1776"/>
      <c r="CW1776"/>
      <c r="CX1776"/>
      <c r="CY1776"/>
      <c r="CZ1776"/>
      <c r="DA1776"/>
      <c r="DB1776"/>
      <c r="DC1776"/>
      <c r="DD1776"/>
      <c r="DE1776"/>
      <c r="DF1776"/>
      <c r="DG1776"/>
      <c r="DH1776"/>
      <c r="DI1776"/>
      <c r="DJ1776"/>
      <c r="DK1776"/>
      <c r="DL1776"/>
      <c r="DM1776"/>
      <c r="DN1776"/>
      <c r="DO1776"/>
      <c r="DP1776"/>
      <c r="DQ1776"/>
      <c r="DR1776"/>
      <c r="DS1776"/>
      <c r="DT1776"/>
      <c r="DU1776"/>
      <c r="DV1776"/>
      <c r="DW1776"/>
      <c r="DX1776"/>
      <c r="DY1776"/>
      <c r="DZ1776"/>
      <c r="EA1776"/>
      <c r="EB1776"/>
      <c r="EC1776"/>
      <c r="ED1776"/>
      <c r="EE1776"/>
      <c r="EF1776"/>
      <c r="EG1776"/>
      <c r="EH1776"/>
      <c r="EI1776"/>
      <c r="EJ1776"/>
      <c r="EK1776"/>
      <c r="EL1776"/>
      <c r="EM1776"/>
      <c r="EN1776"/>
      <c r="EO1776"/>
      <c r="EP1776"/>
      <c r="EQ1776"/>
      <c r="ER1776"/>
      <c r="ES1776"/>
    </row>
    <row r="1777" spans="1:149">
      <c r="A1777"/>
      <c r="B1777"/>
      <c r="C1777"/>
      <c r="D1777"/>
      <c r="E1777"/>
      <c r="F1777"/>
      <c r="G1777"/>
      <c r="H1777"/>
      <c r="I1777"/>
      <c r="J1777"/>
      <c r="K1777"/>
      <c r="L1777"/>
      <c r="M1777"/>
      <c r="N1777"/>
      <c r="O1777"/>
      <c r="P1777"/>
      <c r="Q1777"/>
      <c r="R1777"/>
      <c r="S1777"/>
      <c r="T1777"/>
      <c r="U1777"/>
      <c r="V1777"/>
      <c r="W1777"/>
      <c r="X1777"/>
      <c r="Y1777"/>
      <c r="Z1777"/>
      <c r="AA1777"/>
      <c r="AB1777"/>
      <c r="AC1777"/>
      <c r="AD1777"/>
      <c r="AE1777"/>
      <c r="AF1777"/>
      <c r="AG1777"/>
      <c r="AH1777"/>
      <c r="AI1777"/>
      <c r="AJ1777"/>
      <c r="AK1777"/>
      <c r="AL1777"/>
      <c r="AM1777"/>
      <c r="AN1777"/>
      <c r="AO1777"/>
      <c r="AP1777"/>
      <c r="AQ1777"/>
      <c r="AR1777"/>
      <c r="AS1777"/>
      <c r="AT1777"/>
      <c r="AU1777"/>
      <c r="AV1777"/>
      <c r="AW1777"/>
      <c r="AX1777"/>
      <c r="AY1777"/>
      <c r="AZ1777"/>
      <c r="BA1777"/>
      <c r="BB1777"/>
      <c r="BC1777"/>
      <c r="BD1777"/>
      <c r="BE1777"/>
      <c r="BF1777"/>
      <c r="BG1777"/>
      <c r="BH1777"/>
      <c r="BI1777"/>
      <c r="BJ1777"/>
      <c r="BK1777"/>
      <c r="BL1777"/>
      <c r="BM1777"/>
      <c r="BN1777"/>
      <c r="BO1777"/>
      <c r="BP1777"/>
      <c r="BQ1777"/>
      <c r="BR1777"/>
      <c r="BS1777"/>
      <c r="BT1777"/>
      <c r="BU1777"/>
      <c r="BV1777"/>
      <c r="BW1777"/>
      <c r="BX1777"/>
      <c r="BY1777"/>
      <c r="BZ1777"/>
      <c r="CA1777"/>
      <c r="CB1777"/>
      <c r="CC1777"/>
      <c r="CD1777"/>
      <c r="CE1777"/>
      <c r="CF1777"/>
      <c r="CG1777"/>
      <c r="CH1777"/>
      <c r="CI1777"/>
      <c r="CJ1777"/>
      <c r="CK1777"/>
      <c r="CL1777"/>
      <c r="CM1777"/>
      <c r="CN1777"/>
      <c r="CO1777"/>
      <c r="CP1777"/>
      <c r="CQ1777"/>
      <c r="CR1777"/>
      <c r="CS1777"/>
      <c r="CT1777"/>
      <c r="CU1777"/>
      <c r="CV1777"/>
      <c r="CW1777"/>
      <c r="CX1777"/>
      <c r="CY1777"/>
      <c r="CZ1777"/>
      <c r="DA1777"/>
      <c r="DB1777"/>
      <c r="DC1777"/>
      <c r="DD1777"/>
      <c r="DE1777"/>
      <c r="DF1777"/>
      <c r="DG1777"/>
      <c r="DH1777"/>
      <c r="DI1777"/>
      <c r="DJ1777"/>
      <c r="DK1777"/>
      <c r="DL1777"/>
      <c r="DM1777"/>
      <c r="DN1777"/>
      <c r="DO1777"/>
      <c r="DP1777"/>
      <c r="DQ1777"/>
      <c r="DR1777"/>
      <c r="DS1777"/>
      <c r="DT1777"/>
      <c r="DU1777"/>
      <c r="DV1777"/>
      <c r="DW1777"/>
      <c r="DX1777"/>
      <c r="DY1777"/>
      <c r="DZ1777"/>
      <c r="EA1777"/>
      <c r="EB1777"/>
      <c r="EC1777"/>
      <c r="ED1777"/>
      <c r="EE1777"/>
      <c r="EF1777"/>
      <c r="EG1777"/>
      <c r="EH1777"/>
      <c r="EI1777"/>
      <c r="EJ1777"/>
      <c r="EK1777"/>
      <c r="EL1777"/>
      <c r="EM1777"/>
      <c r="EN1777"/>
      <c r="EO1777"/>
      <c r="EP1777"/>
      <c r="EQ1777"/>
      <c r="ER1777"/>
      <c r="ES1777"/>
    </row>
    <row r="1778" spans="1:149">
      <c r="A1778"/>
      <c r="B1778"/>
      <c r="C1778"/>
      <c r="D1778"/>
      <c r="E1778"/>
      <c r="F1778"/>
      <c r="G1778"/>
      <c r="H1778"/>
      <c r="I1778"/>
      <c r="J1778"/>
      <c r="K1778"/>
      <c r="L1778"/>
      <c r="M1778"/>
      <c r="N1778"/>
      <c r="O1778"/>
      <c r="P1778"/>
      <c r="Q1778"/>
      <c r="R1778"/>
      <c r="S1778"/>
      <c r="T1778"/>
      <c r="U1778"/>
      <c r="V1778"/>
      <c r="W1778"/>
      <c r="X1778"/>
      <c r="Y1778"/>
      <c r="Z1778"/>
      <c r="AA1778"/>
      <c r="AB1778"/>
      <c r="AC1778"/>
      <c r="AD1778"/>
      <c r="AE1778"/>
      <c r="AF1778"/>
      <c r="AG1778"/>
      <c r="AH1778"/>
      <c r="AI1778"/>
      <c r="AJ1778"/>
      <c r="AK1778"/>
      <c r="AL1778"/>
      <c r="AM1778"/>
      <c r="AN1778"/>
      <c r="AO1778"/>
      <c r="AP1778"/>
      <c r="AQ1778"/>
      <c r="AR1778"/>
      <c r="AS1778"/>
      <c r="AT1778"/>
      <c r="AU1778"/>
      <c r="AV1778"/>
      <c r="AW1778"/>
      <c r="AX1778"/>
      <c r="AY1778"/>
      <c r="AZ1778"/>
      <c r="BA1778"/>
      <c r="BB1778"/>
      <c r="BC1778"/>
      <c r="BD1778"/>
      <c r="BE1778"/>
      <c r="BF1778"/>
      <c r="BG1778"/>
      <c r="BH1778"/>
      <c r="BI1778"/>
      <c r="BJ1778"/>
      <c r="BK1778"/>
      <c r="BL1778"/>
      <c r="BM1778"/>
      <c r="BN1778"/>
      <c r="BO1778"/>
      <c r="BP1778"/>
      <c r="BQ1778"/>
      <c r="BR1778"/>
      <c r="BS1778"/>
      <c r="BT1778"/>
      <c r="BU1778"/>
      <c r="BV1778"/>
      <c r="BW1778"/>
      <c r="BX1778"/>
      <c r="BY1778"/>
      <c r="BZ1778"/>
      <c r="CA1778"/>
      <c r="CB1778"/>
      <c r="CC1778"/>
      <c r="CD1778"/>
      <c r="CE1778"/>
      <c r="CF1778"/>
      <c r="CG1778"/>
      <c r="CH1778"/>
      <c r="CI1778"/>
      <c r="CJ1778"/>
      <c r="CK1778"/>
      <c r="CL1778"/>
      <c r="CM1778"/>
      <c r="CN1778"/>
      <c r="CO1778"/>
      <c r="CP1778"/>
      <c r="CQ1778"/>
      <c r="CR1778"/>
      <c r="CS1778"/>
      <c r="CT1778"/>
      <c r="CU1778"/>
      <c r="CV1778"/>
      <c r="CW1778"/>
      <c r="CX1778"/>
      <c r="CY1778"/>
      <c r="CZ1778"/>
      <c r="DA1778"/>
      <c r="DB1778"/>
      <c r="DC1778"/>
      <c r="DD1778"/>
      <c r="DE1778"/>
      <c r="DF1778"/>
      <c r="DG1778"/>
      <c r="DH1778"/>
      <c r="DI1778"/>
      <c r="DJ1778"/>
      <c r="DK1778"/>
      <c r="DL1778"/>
      <c r="DM1778"/>
      <c r="DN1778"/>
      <c r="DO1778"/>
      <c r="DP1778"/>
      <c r="DQ1778"/>
      <c r="DR1778"/>
      <c r="DS1778"/>
      <c r="DT1778"/>
      <c r="DU1778"/>
      <c r="DV1778"/>
      <c r="DW1778"/>
      <c r="DX1778"/>
      <c r="DY1778"/>
      <c r="DZ1778"/>
      <c r="EA1778"/>
      <c r="EB1778"/>
      <c r="EC1778"/>
      <c r="ED1778"/>
      <c r="EE1778"/>
      <c r="EF1778"/>
      <c r="EG1778"/>
      <c r="EH1778"/>
      <c r="EI1778"/>
      <c r="EJ1778"/>
      <c r="EK1778"/>
      <c r="EL1778"/>
      <c r="EM1778"/>
      <c r="EN1778"/>
      <c r="EO1778"/>
      <c r="EP1778"/>
      <c r="EQ1778"/>
      <c r="ER1778"/>
      <c r="ES1778"/>
    </row>
    <row r="1779" spans="1:149">
      <c r="A1779"/>
      <c r="B1779"/>
      <c r="C1779"/>
      <c r="D1779"/>
      <c r="E1779"/>
      <c r="F1779"/>
      <c r="G1779"/>
      <c r="H1779"/>
      <c r="I1779"/>
      <c r="J1779"/>
      <c r="K1779"/>
      <c r="L1779"/>
      <c r="M1779"/>
      <c r="N1779"/>
      <c r="O1779"/>
      <c r="P1779"/>
      <c r="Q1779"/>
      <c r="R1779"/>
      <c r="S1779"/>
      <c r="T1779"/>
      <c r="U1779"/>
      <c r="V1779"/>
      <c r="W1779"/>
      <c r="X1779"/>
      <c r="Y1779"/>
      <c r="Z1779"/>
      <c r="AA1779"/>
      <c r="AB1779"/>
      <c r="AC1779"/>
      <c r="AD1779"/>
      <c r="AE1779"/>
      <c r="AF1779"/>
      <c r="AG1779"/>
      <c r="AH1779"/>
      <c r="AI1779"/>
      <c r="AJ1779"/>
      <c r="AK1779"/>
      <c r="AL1779"/>
      <c r="AM1779"/>
      <c r="AN1779"/>
      <c r="AO1779"/>
      <c r="AP1779"/>
      <c r="AQ1779"/>
      <c r="AR1779"/>
      <c r="AS1779"/>
      <c r="AT1779"/>
      <c r="AU1779"/>
      <c r="AV1779"/>
      <c r="AW1779"/>
      <c r="AX1779"/>
      <c r="AY1779"/>
      <c r="AZ1779"/>
      <c r="BA1779"/>
      <c r="BB1779"/>
      <c r="BC1779"/>
      <c r="BD1779"/>
      <c r="BE1779"/>
      <c r="BF1779"/>
      <c r="BG1779"/>
      <c r="BH1779"/>
      <c r="BI1779"/>
      <c r="BJ1779"/>
      <c r="BK1779"/>
      <c r="BL1779"/>
      <c r="BM1779"/>
      <c r="BN1779"/>
      <c r="BO1779"/>
      <c r="BP1779"/>
      <c r="BQ1779"/>
      <c r="BR1779"/>
      <c r="BS1779"/>
      <c r="BT1779"/>
      <c r="BU1779"/>
      <c r="BV1779"/>
      <c r="BW1779"/>
      <c r="BX1779"/>
      <c r="BY1779"/>
      <c r="BZ1779"/>
      <c r="CA1779"/>
      <c r="CB1779"/>
      <c r="CC1779"/>
      <c r="CD1779"/>
      <c r="CE1779"/>
      <c r="CF1779"/>
      <c r="CG1779"/>
      <c r="CH1779"/>
      <c r="CI1779"/>
      <c r="CJ1779"/>
      <c r="CK1779"/>
      <c r="CL1779"/>
      <c r="CM1779"/>
      <c r="CN1779"/>
      <c r="CO1779"/>
      <c r="CP1779"/>
      <c r="CQ1779"/>
      <c r="CR1779"/>
      <c r="CS1779"/>
      <c r="CT1779"/>
      <c r="CU1779"/>
      <c r="CV1779"/>
      <c r="CW1779"/>
      <c r="CX1779"/>
      <c r="CY1779"/>
      <c r="CZ1779"/>
      <c r="DA1779"/>
      <c r="DB1779"/>
      <c r="DC1779"/>
      <c r="DD1779"/>
      <c r="DE1779"/>
      <c r="DF1779"/>
      <c r="DG1779"/>
      <c r="DH1779"/>
      <c r="DI1779"/>
      <c r="DJ1779"/>
      <c r="DK1779"/>
      <c r="DL1779"/>
      <c r="DM1779"/>
      <c r="DN1779"/>
      <c r="DO1779"/>
      <c r="DP1779"/>
      <c r="DQ1779"/>
      <c r="DR1779"/>
      <c r="DS1779"/>
      <c r="DT1779"/>
      <c r="DU1779"/>
      <c r="DV1779"/>
      <c r="DW1779"/>
      <c r="DX1779"/>
      <c r="DY1779"/>
      <c r="DZ1779"/>
      <c r="EA1779"/>
      <c r="EB1779"/>
      <c r="EC1779"/>
      <c r="ED1779"/>
      <c r="EE1779"/>
      <c r="EF1779"/>
      <c r="EG1779"/>
      <c r="EH1779"/>
      <c r="EI1779"/>
      <c r="EJ1779"/>
      <c r="EK1779"/>
      <c r="EL1779"/>
      <c r="EM1779"/>
      <c r="EN1779"/>
      <c r="EO1779"/>
      <c r="EP1779"/>
      <c r="EQ1779"/>
      <c r="ER1779"/>
      <c r="ES1779"/>
    </row>
    <row r="1780" spans="1:149">
      <c r="A1780"/>
      <c r="B1780"/>
      <c r="C1780"/>
      <c r="D1780"/>
      <c r="E1780"/>
      <c r="F1780"/>
      <c r="G1780"/>
      <c r="H1780"/>
      <c r="I1780"/>
      <c r="J1780"/>
      <c r="K1780"/>
      <c r="L1780"/>
      <c r="M1780"/>
      <c r="N1780"/>
      <c r="O1780"/>
      <c r="P1780"/>
      <c r="Q1780"/>
      <c r="R1780"/>
      <c r="S1780"/>
      <c r="T1780"/>
      <c r="U1780"/>
      <c r="V1780"/>
      <c r="W1780"/>
      <c r="X1780"/>
      <c r="Y1780"/>
      <c r="Z1780"/>
      <c r="AA1780"/>
      <c r="AB1780"/>
      <c r="AC1780"/>
      <c r="AD1780"/>
      <c r="AE1780"/>
      <c r="AF1780"/>
      <c r="AG1780"/>
      <c r="AH1780"/>
      <c r="AI1780"/>
      <c r="AJ1780"/>
      <c r="AK1780"/>
      <c r="AL1780"/>
      <c r="AM1780"/>
      <c r="AN1780"/>
      <c r="AO1780"/>
      <c r="AP1780"/>
      <c r="AQ1780"/>
      <c r="AR1780"/>
      <c r="AS1780"/>
      <c r="AT1780"/>
      <c r="AU1780"/>
      <c r="AV1780"/>
      <c r="AW1780"/>
      <c r="AX1780"/>
      <c r="AY1780"/>
      <c r="AZ1780"/>
      <c r="BA1780"/>
      <c r="BB1780"/>
      <c r="BC1780"/>
      <c r="BD1780"/>
      <c r="BE1780"/>
      <c r="BF1780"/>
      <c r="BG1780"/>
      <c r="BH1780"/>
      <c r="BI1780"/>
      <c r="BJ1780"/>
      <c r="BK1780"/>
      <c r="BL1780"/>
      <c r="BM1780"/>
      <c r="BN1780"/>
      <c r="BO1780"/>
      <c r="BP1780"/>
      <c r="BQ1780"/>
      <c r="BR1780"/>
      <c r="BS1780"/>
      <c r="BT1780"/>
      <c r="BU1780"/>
      <c r="BV1780"/>
      <c r="BW1780"/>
      <c r="BX1780"/>
      <c r="BY1780"/>
      <c r="BZ1780"/>
      <c r="CA1780"/>
      <c r="CB1780"/>
      <c r="CC1780"/>
      <c r="CD1780"/>
      <c r="CE1780"/>
      <c r="CF1780"/>
      <c r="CG1780"/>
      <c r="CH1780"/>
      <c r="CI1780"/>
      <c r="CJ1780"/>
      <c r="CK1780"/>
      <c r="CL1780"/>
      <c r="CM1780"/>
      <c r="CN1780"/>
      <c r="CO1780"/>
      <c r="CP1780"/>
      <c r="CQ1780"/>
      <c r="CR1780"/>
      <c r="CS1780"/>
      <c r="CT1780"/>
      <c r="CU1780"/>
      <c r="CV1780"/>
      <c r="CW1780"/>
      <c r="CX1780"/>
      <c r="CY1780"/>
      <c r="CZ1780"/>
      <c r="DA1780"/>
      <c r="DB1780"/>
      <c r="DC1780"/>
      <c r="DD1780"/>
      <c r="DE1780"/>
      <c r="DF1780"/>
      <c r="DG1780"/>
      <c r="DH1780"/>
      <c r="DI1780"/>
      <c r="DJ1780"/>
      <c r="DK1780"/>
      <c r="DL1780"/>
      <c r="DM1780"/>
      <c r="DN1780"/>
      <c r="DO1780"/>
      <c r="DP1780"/>
      <c r="DQ1780"/>
      <c r="DR1780"/>
      <c r="DS1780"/>
      <c r="DT1780"/>
      <c r="DU1780"/>
      <c r="DV1780"/>
      <c r="DW1780"/>
      <c r="DX1780"/>
      <c r="DY1780"/>
      <c r="DZ1780"/>
      <c r="EA1780"/>
      <c r="EB1780"/>
      <c r="EC1780"/>
      <c r="ED1780"/>
      <c r="EE1780"/>
      <c r="EF1780"/>
      <c r="EG1780"/>
      <c r="EH1780"/>
      <c r="EI1780"/>
      <c r="EJ1780"/>
      <c r="EK1780"/>
      <c r="EL1780"/>
      <c r="EM1780"/>
      <c r="EN1780"/>
      <c r="EO1780"/>
      <c r="EP1780"/>
      <c r="EQ1780"/>
      <c r="ER1780"/>
      <c r="ES1780"/>
    </row>
    <row r="1781" spans="1:149">
      <c r="A1781"/>
      <c r="B1781"/>
      <c r="C1781"/>
      <c r="D1781"/>
      <c r="E1781"/>
      <c r="F1781"/>
      <c r="G1781"/>
      <c r="H1781"/>
      <c r="I1781"/>
      <c r="J1781"/>
      <c r="K1781"/>
      <c r="L1781"/>
      <c r="M1781"/>
      <c r="N1781"/>
      <c r="O1781"/>
      <c r="P1781"/>
      <c r="Q1781"/>
      <c r="R1781"/>
      <c r="S1781"/>
      <c r="T1781"/>
      <c r="U1781"/>
      <c r="V1781"/>
      <c r="W1781"/>
      <c r="X1781"/>
      <c r="Y1781"/>
      <c r="Z1781"/>
      <c r="AA1781"/>
      <c r="AB1781"/>
      <c r="AC1781"/>
      <c r="AD1781"/>
      <c r="AE1781"/>
      <c r="AF1781"/>
      <c r="AG1781"/>
      <c r="AH1781"/>
      <c r="AI1781"/>
      <c r="AJ1781"/>
      <c r="AK1781"/>
      <c r="AL1781"/>
      <c r="AM1781"/>
      <c r="AN1781"/>
      <c r="AO1781"/>
      <c r="AP1781"/>
      <c r="AQ1781"/>
      <c r="AR1781"/>
      <c r="AS1781"/>
      <c r="AT1781"/>
      <c r="AU1781"/>
      <c r="AV1781"/>
      <c r="AW1781"/>
      <c r="AX1781"/>
      <c r="AY1781"/>
      <c r="AZ1781"/>
      <c r="BA1781"/>
      <c r="BB1781"/>
      <c r="BC1781"/>
      <c r="BD1781"/>
      <c r="BE1781"/>
      <c r="BF1781"/>
      <c r="BG1781"/>
      <c r="BH1781"/>
      <c r="BI1781"/>
      <c r="BJ1781"/>
      <c r="BK1781"/>
      <c r="BL1781"/>
      <c r="BM1781"/>
      <c r="BN1781"/>
      <c r="BO1781"/>
      <c r="BP1781"/>
      <c r="BQ1781"/>
      <c r="BR1781"/>
      <c r="BS1781"/>
      <c r="BT1781"/>
      <c r="BU1781"/>
      <c r="BV1781"/>
      <c r="BW1781"/>
      <c r="BX1781"/>
      <c r="BY1781"/>
      <c r="BZ1781"/>
      <c r="CA1781"/>
      <c r="CB1781"/>
      <c r="CC1781"/>
      <c r="CD1781"/>
      <c r="CE1781"/>
      <c r="CF1781"/>
      <c r="CG1781"/>
      <c r="CH1781"/>
      <c r="CI1781"/>
      <c r="CJ1781"/>
      <c r="CK1781"/>
      <c r="CL1781"/>
      <c r="CM1781"/>
      <c r="CN1781"/>
      <c r="CO1781"/>
      <c r="CP1781"/>
      <c r="CQ1781"/>
      <c r="CR1781"/>
      <c r="CS1781"/>
      <c r="CT1781"/>
      <c r="CU1781"/>
      <c r="CV1781"/>
      <c r="CW1781"/>
      <c r="CX1781"/>
      <c r="CY1781"/>
      <c r="CZ1781"/>
      <c r="DA1781"/>
      <c r="DB1781"/>
      <c r="DC1781"/>
      <c r="DD1781"/>
      <c r="DE1781"/>
      <c r="DF1781"/>
      <c r="DG1781"/>
      <c r="DH1781"/>
      <c r="DI1781"/>
      <c r="DJ1781"/>
      <c r="DK1781"/>
      <c r="DL1781"/>
      <c r="DM1781"/>
      <c r="DN1781"/>
      <c r="DO1781"/>
      <c r="DP1781"/>
      <c r="DQ1781"/>
      <c r="DR1781"/>
      <c r="DS1781"/>
      <c r="DT1781"/>
      <c r="DU1781"/>
      <c r="DV1781"/>
      <c r="DW1781"/>
      <c r="DX1781"/>
      <c r="DY1781"/>
      <c r="DZ1781"/>
      <c r="EA1781"/>
      <c r="EB1781"/>
      <c r="EC1781"/>
      <c r="ED1781"/>
      <c r="EE1781"/>
      <c r="EF1781"/>
      <c r="EG1781"/>
      <c r="EH1781"/>
      <c r="EI1781"/>
      <c r="EJ1781"/>
      <c r="EK1781"/>
      <c r="EL1781"/>
      <c r="EM1781"/>
      <c r="EN1781"/>
      <c r="EO1781"/>
      <c r="EP1781"/>
      <c r="EQ1781"/>
      <c r="ER1781"/>
      <c r="ES1781"/>
    </row>
    <row r="1782" spans="1:149">
      <c r="A1782"/>
      <c r="B1782"/>
      <c r="C1782"/>
      <c r="D1782"/>
      <c r="E1782"/>
      <c r="F1782"/>
      <c r="G1782"/>
      <c r="H1782"/>
      <c r="I1782"/>
      <c r="J1782"/>
      <c r="K1782"/>
      <c r="L1782"/>
      <c r="M1782"/>
      <c r="N1782"/>
      <c r="O1782"/>
      <c r="P1782"/>
      <c r="Q1782"/>
      <c r="R1782"/>
      <c r="S1782"/>
      <c r="T1782"/>
      <c r="U1782"/>
      <c r="V1782"/>
      <c r="W1782"/>
      <c r="X1782"/>
      <c r="Y1782"/>
      <c r="Z1782"/>
      <c r="AA1782"/>
      <c r="AB1782"/>
      <c r="AC1782"/>
      <c r="AD1782"/>
      <c r="AE1782"/>
      <c r="AF1782"/>
      <c r="AG1782"/>
      <c r="AH1782"/>
      <c r="AI1782"/>
      <c r="AJ1782"/>
      <c r="AK1782"/>
      <c r="AL1782"/>
      <c r="AM1782"/>
      <c r="AN1782"/>
      <c r="AO1782"/>
      <c r="AP1782"/>
      <c r="AQ1782"/>
      <c r="AR1782"/>
      <c r="AS1782"/>
      <c r="AT1782"/>
      <c r="AU1782"/>
      <c r="AV1782"/>
      <c r="AW1782"/>
      <c r="AX1782"/>
      <c r="AY1782"/>
      <c r="AZ1782"/>
      <c r="BA1782"/>
      <c r="BB1782"/>
      <c r="BC1782"/>
      <c r="BD1782"/>
      <c r="BE1782"/>
      <c r="BF1782"/>
      <c r="BG1782"/>
      <c r="BH1782"/>
      <c r="BI1782"/>
      <c r="BJ1782"/>
      <c r="BK1782"/>
      <c r="BL1782"/>
      <c r="BM1782"/>
      <c r="BN1782"/>
      <c r="BO1782"/>
      <c r="BP1782"/>
      <c r="BQ1782"/>
      <c r="BR1782"/>
      <c r="BS1782"/>
      <c r="BT1782"/>
      <c r="BU1782"/>
      <c r="BV1782"/>
      <c r="BW1782"/>
      <c r="BX1782"/>
      <c r="BY1782"/>
      <c r="BZ1782"/>
      <c r="CA1782"/>
      <c r="CB1782"/>
      <c r="CC1782"/>
      <c r="CD1782"/>
      <c r="CE1782"/>
      <c r="CF1782"/>
      <c r="CG1782"/>
      <c r="CH1782"/>
      <c r="CI1782"/>
      <c r="CJ1782"/>
      <c r="CK1782"/>
      <c r="CL1782"/>
      <c r="CM1782"/>
      <c r="CN1782"/>
      <c r="CO1782"/>
      <c r="CP1782"/>
      <c r="CQ1782"/>
      <c r="CR1782"/>
      <c r="CS1782"/>
      <c r="CT1782"/>
      <c r="CU1782"/>
      <c r="CV1782"/>
      <c r="CW1782"/>
      <c r="CX1782"/>
      <c r="CY1782"/>
      <c r="CZ1782"/>
      <c r="DA1782"/>
      <c r="DB1782"/>
      <c r="DC1782"/>
      <c r="DD1782"/>
      <c r="DE1782"/>
      <c r="DF1782"/>
      <c r="DG1782"/>
      <c r="DH1782"/>
      <c r="DI1782"/>
      <c r="DJ1782"/>
      <c r="DK1782"/>
      <c r="DL1782"/>
      <c r="DM1782"/>
      <c r="DN1782"/>
      <c r="DO1782"/>
      <c r="DP1782"/>
      <c r="DQ1782"/>
      <c r="DR1782"/>
      <c r="DS1782"/>
      <c r="DT1782"/>
      <c r="DU1782"/>
      <c r="DV1782"/>
      <c r="DW1782"/>
      <c r="DX1782"/>
      <c r="DY1782"/>
      <c r="DZ1782"/>
      <c r="EA1782"/>
      <c r="EB1782"/>
      <c r="EC1782"/>
      <c r="ED1782"/>
      <c r="EE1782"/>
      <c r="EF1782"/>
      <c r="EG1782"/>
      <c r="EH1782"/>
      <c r="EI1782"/>
      <c r="EJ1782"/>
      <c r="EK1782"/>
      <c r="EL1782"/>
      <c r="EM1782"/>
      <c r="EN1782"/>
      <c r="EO1782"/>
      <c r="EP1782"/>
      <c r="EQ1782"/>
      <c r="ER1782"/>
      <c r="ES1782"/>
    </row>
    <row r="1783" spans="1:149">
      <c r="A1783"/>
      <c r="B1783"/>
      <c r="C1783"/>
      <c r="D1783"/>
      <c r="E1783"/>
      <c r="F1783"/>
      <c r="G1783"/>
      <c r="H1783"/>
      <c r="I1783"/>
      <c r="J1783"/>
      <c r="K1783"/>
      <c r="L1783"/>
      <c r="M1783"/>
      <c r="N1783"/>
      <c r="O1783"/>
      <c r="P1783"/>
      <c r="Q1783"/>
      <c r="R1783"/>
      <c r="S1783"/>
      <c r="T1783"/>
      <c r="U1783"/>
      <c r="V1783"/>
      <c r="W1783"/>
      <c r="X1783"/>
      <c r="Y1783"/>
      <c r="Z1783"/>
      <c r="AA1783"/>
      <c r="AB1783"/>
      <c r="AC1783"/>
      <c r="AD1783"/>
      <c r="AE1783"/>
      <c r="AF1783"/>
      <c r="AG1783"/>
      <c r="AH1783"/>
      <c r="AI1783"/>
      <c r="AJ1783"/>
      <c r="AK1783"/>
      <c r="AL1783"/>
      <c r="AM1783"/>
      <c r="AN1783"/>
      <c r="AO1783"/>
      <c r="AP1783"/>
      <c r="AQ1783"/>
      <c r="AR1783"/>
      <c r="AS1783"/>
      <c r="AT1783"/>
      <c r="AU1783"/>
      <c r="AV1783"/>
      <c r="AW1783"/>
      <c r="AX1783"/>
      <c r="AY1783"/>
      <c r="AZ1783"/>
      <c r="BA1783"/>
      <c r="BB1783"/>
      <c r="BC1783"/>
      <c r="BD1783"/>
      <c r="BE1783"/>
      <c r="BF1783"/>
      <c r="BG1783"/>
      <c r="BH1783"/>
      <c r="BI1783"/>
      <c r="BJ1783"/>
      <c r="BK1783"/>
      <c r="BL1783"/>
      <c r="BM1783"/>
      <c r="BN1783"/>
      <c r="BO1783"/>
      <c r="BP1783"/>
      <c r="BQ1783"/>
      <c r="BR1783"/>
      <c r="BS1783"/>
      <c r="BT1783"/>
      <c r="BU1783"/>
      <c r="BV1783"/>
      <c r="BW1783"/>
      <c r="BX1783"/>
      <c r="BY1783"/>
      <c r="BZ1783"/>
      <c r="CA1783"/>
      <c r="CB1783"/>
      <c r="CC1783"/>
      <c r="CD1783"/>
      <c r="CE1783"/>
      <c r="CF1783"/>
      <c r="CG1783"/>
      <c r="CH1783"/>
      <c r="CI1783"/>
      <c r="CJ1783"/>
      <c r="CK1783"/>
      <c r="CL1783"/>
      <c r="CM1783"/>
      <c r="CN1783"/>
      <c r="CO1783"/>
      <c r="CP1783"/>
      <c r="CQ1783"/>
      <c r="CR1783"/>
      <c r="CS1783"/>
      <c r="CT1783"/>
      <c r="CU1783"/>
      <c r="CV1783"/>
      <c r="CW1783"/>
      <c r="CX1783"/>
      <c r="CY1783"/>
      <c r="CZ1783"/>
      <c r="DA1783"/>
      <c r="DB1783"/>
      <c r="DC1783"/>
      <c r="DD1783"/>
      <c r="DE1783"/>
      <c r="DF1783"/>
      <c r="DG1783"/>
      <c r="DH1783"/>
      <c r="DI1783"/>
      <c r="DJ1783"/>
      <c r="DK1783"/>
      <c r="DL1783"/>
      <c r="DM1783"/>
      <c r="DN1783"/>
      <c r="DO1783"/>
      <c r="DP1783"/>
      <c r="DQ1783"/>
      <c r="DR1783"/>
      <c r="DS1783"/>
      <c r="DT1783"/>
      <c r="DU1783"/>
      <c r="DV1783"/>
      <c r="DW1783"/>
      <c r="DX1783"/>
      <c r="DY1783"/>
      <c r="DZ1783"/>
      <c r="EA1783"/>
      <c r="EB1783"/>
      <c r="EC1783"/>
      <c r="ED1783"/>
      <c r="EE1783"/>
      <c r="EF1783"/>
      <c r="EG1783"/>
      <c r="EH1783"/>
      <c r="EI1783"/>
      <c r="EJ1783"/>
      <c r="EK1783"/>
      <c r="EL1783"/>
      <c r="EM1783"/>
      <c r="EN1783"/>
      <c r="EO1783"/>
      <c r="EP1783"/>
      <c r="EQ1783"/>
      <c r="ER1783"/>
      <c r="ES1783"/>
    </row>
    <row r="1784" spans="1:149">
      <c r="A1784"/>
      <c r="B1784"/>
      <c r="C1784"/>
      <c r="D1784"/>
      <c r="E1784"/>
      <c r="F1784"/>
      <c r="G1784"/>
      <c r="H1784"/>
      <c r="I1784"/>
      <c r="J1784"/>
      <c r="K1784"/>
      <c r="L1784"/>
      <c r="M1784"/>
      <c r="N1784"/>
      <c r="O1784"/>
      <c r="P1784"/>
      <c r="Q1784"/>
      <c r="R1784"/>
      <c r="S1784"/>
      <c r="T1784"/>
      <c r="U1784"/>
      <c r="V1784"/>
      <c r="W1784"/>
      <c r="X1784"/>
      <c r="Y1784"/>
      <c r="Z1784"/>
      <c r="AA1784"/>
      <c r="AB1784"/>
      <c r="AC1784"/>
      <c r="AD1784"/>
      <c r="AE1784"/>
      <c r="AF1784"/>
      <c r="AG1784"/>
      <c r="AH1784"/>
      <c r="AI1784"/>
      <c r="AJ1784"/>
      <c r="AK1784"/>
      <c r="AL1784"/>
      <c r="AM1784"/>
      <c r="AN1784"/>
      <c r="AO1784"/>
      <c r="AP1784"/>
      <c r="AQ1784"/>
      <c r="AR1784"/>
      <c r="AS1784"/>
      <c r="AT1784"/>
      <c r="AU1784"/>
      <c r="AV1784"/>
      <c r="AW1784"/>
      <c r="AX1784"/>
      <c r="AY1784"/>
      <c r="AZ1784"/>
      <c r="BA1784"/>
      <c r="BB1784"/>
      <c r="BC1784"/>
      <c r="BD1784"/>
      <c r="BE1784"/>
      <c r="BF1784"/>
      <c r="BG1784"/>
      <c r="BH1784"/>
      <c r="BI1784"/>
      <c r="BJ1784"/>
      <c r="BK1784"/>
      <c r="BL1784"/>
      <c r="BM1784"/>
      <c r="BN1784"/>
      <c r="BO1784"/>
      <c r="BP1784"/>
      <c r="BQ1784"/>
      <c r="BR1784"/>
      <c r="BS1784"/>
      <c r="BT1784"/>
      <c r="BU1784"/>
      <c r="BV1784"/>
      <c r="BW1784"/>
      <c r="BX1784"/>
      <c r="BY1784"/>
      <c r="BZ1784"/>
      <c r="CA1784"/>
      <c r="CB1784"/>
      <c r="CC1784"/>
      <c r="CD1784"/>
      <c r="CE1784"/>
      <c r="CF1784"/>
      <c r="CG1784"/>
      <c r="CH1784"/>
      <c r="CI1784"/>
      <c r="CJ1784"/>
      <c r="CK1784"/>
      <c r="CL1784"/>
      <c r="CM1784"/>
      <c r="CN1784"/>
      <c r="CO1784"/>
      <c r="CP1784"/>
      <c r="CQ1784"/>
      <c r="CR1784"/>
      <c r="CS1784"/>
      <c r="CT1784"/>
      <c r="CU1784"/>
      <c r="CV1784"/>
      <c r="CW1784"/>
      <c r="CX1784"/>
      <c r="CY1784"/>
      <c r="CZ1784"/>
      <c r="DA1784"/>
      <c r="DB1784"/>
      <c r="DC1784"/>
      <c r="DD1784"/>
      <c r="DE1784"/>
      <c r="DF1784"/>
      <c r="DG1784"/>
      <c r="DH1784"/>
      <c r="DI1784"/>
      <c r="DJ1784"/>
      <c r="DK1784"/>
      <c r="DL1784"/>
      <c r="DM1784"/>
      <c r="DN1784"/>
      <c r="DO1784"/>
      <c r="DP1784"/>
      <c r="DQ1784"/>
      <c r="DR1784"/>
      <c r="DS1784"/>
      <c r="DT1784"/>
      <c r="DU1784"/>
      <c r="DV1784"/>
      <c r="DW1784"/>
      <c r="DX1784"/>
      <c r="DY1784"/>
      <c r="DZ1784"/>
      <c r="EA1784"/>
      <c r="EB1784"/>
      <c r="EC1784"/>
      <c r="ED1784"/>
      <c r="EE1784"/>
      <c r="EF1784"/>
      <c r="EG1784"/>
      <c r="EH1784"/>
      <c r="EI1784"/>
      <c r="EJ1784"/>
      <c r="EK1784"/>
      <c r="EL1784"/>
      <c r="EM1784"/>
      <c r="EN1784"/>
      <c r="EO1784"/>
      <c r="EP1784"/>
      <c r="EQ1784"/>
      <c r="ER1784"/>
      <c r="ES1784"/>
    </row>
    <row r="1785" spans="1:149">
      <c r="A1785"/>
      <c r="B1785"/>
      <c r="C1785"/>
      <c r="D1785"/>
      <c r="E1785"/>
      <c r="F1785"/>
      <c r="G1785"/>
      <c r="H1785"/>
      <c r="I1785"/>
      <c r="J1785"/>
      <c r="K1785"/>
      <c r="L1785"/>
      <c r="M1785"/>
      <c r="N1785"/>
      <c r="O1785"/>
      <c r="P1785"/>
      <c r="Q1785"/>
      <c r="R1785"/>
      <c r="S1785"/>
      <c r="T1785"/>
      <c r="U1785"/>
      <c r="V1785"/>
      <c r="W1785"/>
      <c r="X1785"/>
      <c r="Y1785"/>
      <c r="Z1785"/>
      <c r="AA1785"/>
      <c r="AB1785"/>
      <c r="AC1785"/>
      <c r="AD1785"/>
      <c r="AE1785"/>
      <c r="AF1785"/>
      <c r="AG1785"/>
      <c r="AH1785"/>
      <c r="AI1785"/>
      <c r="AJ1785"/>
      <c r="AK1785"/>
      <c r="AL1785"/>
      <c r="AM1785"/>
      <c r="AN1785"/>
      <c r="AO1785"/>
      <c r="AP1785"/>
      <c r="AQ1785"/>
      <c r="AR1785"/>
      <c r="AS1785"/>
      <c r="AT1785"/>
      <c r="AU1785"/>
      <c r="AV1785"/>
      <c r="AW1785"/>
      <c r="AX1785"/>
      <c r="AY1785"/>
      <c r="AZ1785"/>
      <c r="BA1785"/>
      <c r="BB1785"/>
      <c r="BC1785"/>
      <c r="BD1785"/>
      <c r="BE1785"/>
      <c r="BF1785"/>
      <c r="BG1785"/>
      <c r="BH1785"/>
      <c r="BI1785"/>
      <c r="BJ1785"/>
      <c r="BK1785"/>
      <c r="BL1785"/>
      <c r="BM1785"/>
      <c r="BN1785"/>
      <c r="BO1785"/>
      <c r="BP1785"/>
      <c r="BQ1785"/>
      <c r="BR1785"/>
      <c r="BS1785"/>
      <c r="BT1785"/>
      <c r="BU1785"/>
      <c r="BV1785"/>
      <c r="BW1785"/>
      <c r="BX1785"/>
      <c r="BY1785"/>
      <c r="BZ1785"/>
      <c r="CA1785"/>
      <c r="CB1785"/>
      <c r="CC1785"/>
      <c r="CD1785"/>
      <c r="CE1785"/>
      <c r="CF1785"/>
      <c r="CG1785"/>
      <c r="CH1785"/>
      <c r="CI1785"/>
      <c r="CJ1785"/>
      <c r="CK1785"/>
      <c r="CL1785"/>
      <c r="CM1785"/>
      <c r="CN1785"/>
      <c r="CO1785"/>
      <c r="CP1785"/>
      <c r="CQ1785"/>
      <c r="CR1785"/>
      <c r="CS1785"/>
      <c r="CT1785"/>
      <c r="CU1785"/>
      <c r="CV1785"/>
      <c r="CW1785"/>
      <c r="CX1785"/>
      <c r="CY1785"/>
      <c r="CZ1785"/>
      <c r="DA1785"/>
      <c r="DB1785"/>
      <c r="DC1785"/>
      <c r="DD1785"/>
      <c r="DE1785"/>
      <c r="DF1785"/>
      <c r="DG1785"/>
      <c r="DH1785"/>
      <c r="DI1785"/>
      <c r="DJ1785"/>
      <c r="DK1785"/>
      <c r="DL1785"/>
      <c r="DM1785"/>
      <c r="DN1785"/>
      <c r="DO1785"/>
      <c r="DP1785"/>
      <c r="DQ1785"/>
      <c r="DR1785"/>
      <c r="DS1785"/>
      <c r="DT1785"/>
      <c r="DU1785"/>
      <c r="DV1785"/>
      <c r="DW1785"/>
      <c r="DX1785"/>
      <c r="DY1785"/>
      <c r="DZ1785"/>
      <c r="EA1785"/>
      <c r="EB1785"/>
      <c r="EC1785"/>
      <c r="ED1785"/>
      <c r="EE1785"/>
      <c r="EF1785"/>
      <c r="EG1785"/>
      <c r="EH1785"/>
      <c r="EI1785"/>
      <c r="EJ1785"/>
      <c r="EK1785"/>
      <c r="EL1785"/>
      <c r="EM1785"/>
      <c r="EN1785"/>
      <c r="EO1785"/>
      <c r="EP1785"/>
      <c r="EQ1785"/>
      <c r="ER1785"/>
      <c r="ES1785"/>
    </row>
    <row r="1786" spans="1:149">
      <c r="A1786"/>
      <c r="B1786"/>
      <c r="C1786"/>
      <c r="D1786"/>
      <c r="E1786"/>
      <c r="F1786"/>
      <c r="G1786"/>
      <c r="H1786"/>
      <c r="I1786"/>
      <c r="J1786"/>
      <c r="K1786"/>
      <c r="L1786"/>
      <c r="M1786"/>
      <c r="N1786"/>
      <c r="O1786"/>
      <c r="P1786"/>
      <c r="Q1786"/>
      <c r="R1786"/>
      <c r="S1786"/>
      <c r="T1786"/>
      <c r="U1786"/>
      <c r="V1786"/>
      <c r="W1786"/>
      <c r="X1786"/>
      <c r="Y1786"/>
      <c r="Z1786"/>
      <c r="AA1786"/>
      <c r="AB1786"/>
      <c r="AC1786"/>
      <c r="AD1786"/>
      <c r="AE1786"/>
      <c r="AF1786"/>
      <c r="AG1786"/>
      <c r="AH1786"/>
      <c r="AI1786"/>
      <c r="AJ1786"/>
      <c r="AK1786"/>
      <c r="AL1786"/>
      <c r="AM1786"/>
      <c r="AN1786"/>
      <c r="AO1786"/>
      <c r="AP1786"/>
      <c r="AQ1786"/>
      <c r="AR1786"/>
      <c r="AS1786"/>
      <c r="AT1786"/>
      <c r="AU1786"/>
      <c r="AV1786"/>
      <c r="AW1786"/>
      <c r="AX1786"/>
      <c r="AY1786"/>
      <c r="AZ1786"/>
      <c r="BA1786"/>
      <c r="BB1786"/>
      <c r="BC1786"/>
      <c r="BD1786"/>
      <c r="BE1786"/>
      <c r="BF1786"/>
      <c r="BG1786"/>
      <c r="BH1786"/>
      <c r="BI1786"/>
      <c r="BJ1786"/>
      <c r="BK1786"/>
      <c r="BL1786"/>
      <c r="BM1786"/>
      <c r="BN1786"/>
      <c r="BO1786"/>
      <c r="BP1786"/>
      <c r="BQ1786"/>
      <c r="BR1786"/>
      <c r="BS1786"/>
      <c r="BT1786"/>
      <c r="BU1786"/>
      <c r="BV1786"/>
      <c r="BW1786"/>
      <c r="BX1786"/>
      <c r="BY1786"/>
      <c r="BZ1786"/>
      <c r="CA1786"/>
      <c r="CB1786"/>
      <c r="CC1786"/>
      <c r="CD1786"/>
      <c r="CE1786"/>
      <c r="CF1786"/>
      <c r="CG1786"/>
      <c r="CH1786"/>
      <c r="CI1786"/>
      <c r="CJ1786"/>
      <c r="CK1786"/>
      <c r="CL1786"/>
      <c r="CM1786"/>
      <c r="CN1786"/>
      <c r="CO1786"/>
      <c r="CP1786"/>
      <c r="CQ1786"/>
      <c r="CR1786"/>
      <c r="CS1786"/>
      <c r="CT1786"/>
      <c r="CU1786"/>
      <c r="CV1786"/>
      <c r="CW1786"/>
      <c r="CX1786"/>
      <c r="CY1786"/>
      <c r="CZ1786"/>
      <c r="DA1786"/>
      <c r="DB1786"/>
      <c r="DC1786"/>
      <c r="DD1786"/>
      <c r="DE1786"/>
      <c r="DF1786"/>
      <c r="DG1786"/>
      <c r="DH1786"/>
      <c r="DI1786"/>
      <c r="DJ1786"/>
      <c r="DK1786"/>
      <c r="DL1786"/>
      <c r="DM1786"/>
      <c r="DN1786"/>
      <c r="DO1786"/>
      <c r="DP1786"/>
      <c r="DQ1786"/>
      <c r="DR1786"/>
      <c r="DS1786"/>
      <c r="DT1786"/>
      <c r="DU1786"/>
      <c r="DV1786"/>
      <c r="DW1786"/>
      <c r="DX1786"/>
      <c r="DY1786"/>
      <c r="DZ1786"/>
      <c r="EA1786"/>
      <c r="EB1786"/>
      <c r="EC1786"/>
      <c r="ED1786"/>
      <c r="EE1786"/>
      <c r="EF1786"/>
      <c r="EG1786"/>
      <c r="EH1786"/>
      <c r="EI1786"/>
      <c r="EJ1786"/>
      <c r="EK1786"/>
      <c r="EL1786"/>
      <c r="EM1786"/>
      <c r="EN1786"/>
      <c r="EO1786"/>
      <c r="EP1786"/>
      <c r="EQ1786"/>
      <c r="ER1786"/>
      <c r="ES1786"/>
    </row>
    <row r="1787" spans="1:149">
      <c r="A1787"/>
      <c r="B1787"/>
      <c r="C1787"/>
      <c r="D1787"/>
      <c r="E1787"/>
      <c r="F1787"/>
      <c r="G1787"/>
      <c r="H1787"/>
      <c r="I1787"/>
      <c r="J1787"/>
      <c r="K1787"/>
      <c r="L1787"/>
      <c r="M1787"/>
      <c r="N1787"/>
      <c r="O1787"/>
      <c r="P1787"/>
      <c r="Q1787"/>
      <c r="R1787"/>
      <c r="S1787"/>
      <c r="T1787"/>
      <c r="U1787"/>
      <c r="V1787"/>
      <c r="W1787"/>
      <c r="X1787"/>
      <c r="Y1787"/>
      <c r="Z1787"/>
      <c r="AA1787"/>
      <c r="AB1787"/>
      <c r="AC1787"/>
      <c r="AD1787"/>
      <c r="AE1787"/>
      <c r="AF1787"/>
      <c r="AG1787"/>
      <c r="AH1787"/>
      <c r="AI1787"/>
      <c r="AJ1787"/>
      <c r="AK1787"/>
      <c r="AL1787"/>
      <c r="AM1787"/>
      <c r="AN1787"/>
      <c r="AO1787"/>
      <c r="AP1787"/>
      <c r="AQ1787"/>
      <c r="AR1787"/>
      <c r="AS1787"/>
      <c r="AT1787"/>
      <c r="AU1787"/>
      <c r="AV1787"/>
      <c r="AW1787"/>
      <c r="AX1787"/>
      <c r="AY1787"/>
      <c r="AZ1787"/>
      <c r="BA1787"/>
      <c r="BB1787"/>
      <c r="BC1787"/>
      <c r="BD1787"/>
      <c r="BE1787"/>
      <c r="BF1787"/>
      <c r="BG1787"/>
      <c r="BH1787"/>
      <c r="BI1787"/>
      <c r="BJ1787"/>
      <c r="BK1787"/>
      <c r="BL1787"/>
      <c r="BM1787"/>
      <c r="BN1787"/>
      <c r="BO1787"/>
      <c r="BP1787"/>
      <c r="BQ1787"/>
      <c r="BR1787"/>
      <c r="BS1787"/>
      <c r="BT1787"/>
      <c r="BU1787"/>
      <c r="BV1787"/>
      <c r="BW1787"/>
      <c r="BX1787"/>
      <c r="BY1787"/>
      <c r="BZ1787"/>
      <c r="CA1787"/>
      <c r="CB1787"/>
      <c r="CC1787"/>
      <c r="CD1787"/>
      <c r="CE1787"/>
      <c r="CF1787"/>
      <c r="CG1787"/>
      <c r="CH1787"/>
      <c r="CI1787"/>
      <c r="CJ1787"/>
      <c r="CK1787"/>
      <c r="CL1787"/>
      <c r="CM1787"/>
      <c r="CN1787"/>
      <c r="CO1787"/>
      <c r="CP1787"/>
      <c r="CQ1787"/>
      <c r="CR1787"/>
      <c r="CS1787"/>
      <c r="CT1787"/>
      <c r="CU1787"/>
      <c r="CV1787"/>
      <c r="CW1787"/>
      <c r="CX1787"/>
      <c r="CY1787"/>
      <c r="CZ1787"/>
      <c r="DA1787"/>
      <c r="DB1787"/>
      <c r="DC1787"/>
      <c r="DD1787"/>
      <c r="DE1787"/>
      <c r="DF1787"/>
      <c r="DG1787"/>
      <c r="DH1787"/>
      <c r="DI1787"/>
      <c r="DJ1787"/>
      <c r="DK1787"/>
      <c r="DL1787"/>
      <c r="DM1787"/>
      <c r="DN1787"/>
      <c r="DO1787"/>
      <c r="DP1787"/>
      <c r="DQ1787"/>
      <c r="DR1787"/>
      <c r="DS1787"/>
      <c r="DT1787"/>
      <c r="DU1787"/>
      <c r="DV1787"/>
      <c r="DW1787"/>
      <c r="DX1787"/>
      <c r="DY1787"/>
      <c r="DZ1787"/>
      <c r="EA1787"/>
      <c r="EB1787"/>
      <c r="EC1787"/>
      <c r="ED1787"/>
      <c r="EE1787"/>
      <c r="EF1787"/>
      <c r="EG1787"/>
      <c r="EH1787"/>
      <c r="EI1787"/>
      <c r="EJ1787"/>
      <c r="EK1787"/>
      <c r="EL1787"/>
      <c r="EM1787"/>
      <c r="EN1787"/>
      <c r="EO1787"/>
      <c r="EP1787"/>
      <c r="EQ1787"/>
      <c r="ER1787"/>
      <c r="ES1787"/>
    </row>
    <row r="1788" spans="1:149">
      <c r="A1788"/>
      <c r="B1788"/>
      <c r="C1788"/>
      <c r="D1788"/>
      <c r="E1788"/>
      <c r="F1788"/>
      <c r="G1788"/>
      <c r="H1788"/>
      <c r="I1788"/>
      <c r="J1788"/>
      <c r="K1788"/>
      <c r="L1788"/>
      <c r="M1788"/>
      <c r="N1788"/>
      <c r="O1788"/>
      <c r="P1788"/>
      <c r="Q1788"/>
      <c r="R1788"/>
      <c r="S1788"/>
      <c r="T1788"/>
      <c r="U1788"/>
      <c r="V1788"/>
      <c r="W1788"/>
      <c r="X1788"/>
      <c r="Y1788"/>
      <c r="Z1788"/>
      <c r="AA1788"/>
      <c r="AB1788"/>
      <c r="AC1788"/>
      <c r="AD1788"/>
      <c r="AE1788"/>
      <c r="AF1788"/>
      <c r="AG1788"/>
      <c r="AH1788"/>
      <c r="AI1788"/>
      <c r="AJ1788"/>
      <c r="AK1788"/>
      <c r="AL1788"/>
      <c r="AM1788"/>
      <c r="AN1788"/>
      <c r="AO1788"/>
      <c r="AP1788"/>
      <c r="AQ1788"/>
      <c r="AR1788"/>
      <c r="AS1788"/>
      <c r="AT1788"/>
      <c r="AU1788"/>
      <c r="AV1788"/>
      <c r="AW1788"/>
      <c r="AX1788"/>
      <c r="AY1788"/>
      <c r="AZ1788"/>
      <c r="BA1788"/>
      <c r="BB1788"/>
      <c r="BC1788"/>
      <c r="BD1788"/>
      <c r="BE1788"/>
      <c r="BF1788"/>
      <c r="BG1788"/>
      <c r="BH1788"/>
      <c r="BI1788"/>
      <c r="BJ1788"/>
      <c r="BK1788"/>
      <c r="BL1788"/>
      <c r="BM1788"/>
      <c r="BN1788"/>
      <c r="BO1788"/>
      <c r="BP1788"/>
      <c r="BQ1788"/>
      <c r="BR1788"/>
      <c r="BS1788"/>
      <c r="BT1788"/>
      <c r="BU1788"/>
      <c r="BV1788"/>
      <c r="BW1788"/>
      <c r="BX1788"/>
      <c r="BY1788"/>
      <c r="BZ1788"/>
      <c r="CA1788"/>
      <c r="CB1788"/>
      <c r="CC1788"/>
      <c r="CD1788"/>
      <c r="CE1788"/>
      <c r="CF1788"/>
      <c r="CG1788"/>
      <c r="CH1788"/>
      <c r="CI1788"/>
      <c r="CJ1788"/>
      <c r="CK1788"/>
      <c r="CL1788"/>
      <c r="CM1788"/>
      <c r="CN1788"/>
      <c r="CO1788"/>
      <c r="CP1788"/>
      <c r="CQ1788"/>
      <c r="CR1788"/>
      <c r="CS1788"/>
      <c r="CT1788"/>
      <c r="CU1788"/>
      <c r="CV1788"/>
      <c r="CW1788"/>
      <c r="CX1788"/>
      <c r="CY1788"/>
      <c r="CZ1788"/>
      <c r="DA1788"/>
      <c r="DB1788"/>
      <c r="DC1788"/>
      <c r="DD1788"/>
      <c r="DE1788"/>
      <c r="DF1788"/>
      <c r="DG1788"/>
      <c r="DH1788"/>
      <c r="DI1788"/>
      <c r="DJ1788"/>
      <c r="DK1788"/>
      <c r="DL1788"/>
      <c r="DM1788"/>
      <c r="DN1788"/>
      <c r="DO1788"/>
      <c r="DP1788"/>
      <c r="DQ1788"/>
      <c r="DR1788"/>
      <c r="DS1788"/>
      <c r="DT1788"/>
      <c r="DU1788"/>
      <c r="DV1788"/>
      <c r="DW1788"/>
      <c r="DX1788"/>
      <c r="DY1788"/>
      <c r="DZ1788"/>
      <c r="EA1788"/>
      <c r="EB1788"/>
      <c r="EC1788"/>
      <c r="ED1788"/>
      <c r="EE1788"/>
      <c r="EF1788"/>
      <c r="EG1788"/>
      <c r="EH1788"/>
      <c r="EI1788"/>
      <c r="EJ1788"/>
      <c r="EK1788"/>
      <c r="EL1788"/>
      <c r="EM1788"/>
      <c r="EN1788"/>
      <c r="EO1788"/>
      <c r="EP1788"/>
      <c r="EQ1788"/>
      <c r="ER1788"/>
      <c r="ES1788"/>
    </row>
    <row r="1789" spans="1:149">
      <c r="A1789"/>
      <c r="B1789"/>
      <c r="C1789"/>
      <c r="D1789"/>
      <c r="E1789"/>
      <c r="F1789"/>
      <c r="G1789"/>
      <c r="H1789"/>
      <c r="I1789"/>
      <c r="J1789"/>
      <c r="K1789"/>
      <c r="L1789"/>
      <c r="M1789"/>
      <c r="N1789"/>
      <c r="O1789"/>
      <c r="P1789"/>
      <c r="Q1789"/>
      <c r="R1789"/>
      <c r="S1789"/>
      <c r="T1789"/>
      <c r="U1789"/>
      <c r="V1789"/>
      <c r="W1789"/>
      <c r="X1789"/>
      <c r="Y1789"/>
      <c r="Z1789"/>
      <c r="AA1789"/>
      <c r="AB1789"/>
      <c r="AC1789"/>
      <c r="AD1789"/>
      <c r="AE1789"/>
      <c r="AF1789"/>
      <c r="AG1789"/>
      <c r="AH1789"/>
      <c r="AI1789"/>
      <c r="AJ1789"/>
      <c r="AK1789"/>
      <c r="AL1789"/>
      <c r="AM1789"/>
      <c r="AN1789"/>
      <c r="AO1789"/>
      <c r="AP1789"/>
      <c r="AQ1789"/>
      <c r="AR1789"/>
      <c r="AS1789"/>
      <c r="AT1789"/>
      <c r="AU1789"/>
      <c r="AV1789"/>
      <c r="AW1789"/>
      <c r="AX1789"/>
      <c r="AY1789"/>
      <c r="AZ1789"/>
      <c r="BA1789"/>
      <c r="BB1789"/>
      <c r="BC1789"/>
      <c r="BD1789"/>
      <c r="BE1789"/>
      <c r="BF1789"/>
      <c r="BG1789"/>
      <c r="BH1789"/>
      <c r="BI1789"/>
      <c r="BJ1789"/>
      <c r="BK1789"/>
      <c r="BL1789"/>
      <c r="BM1789"/>
      <c r="BN1789"/>
      <c r="BO1789"/>
      <c r="BP1789"/>
      <c r="BQ1789"/>
      <c r="BR1789"/>
      <c r="BS1789"/>
      <c r="BT1789"/>
      <c r="BU1789"/>
      <c r="BV1789"/>
      <c r="BW1789"/>
      <c r="BX1789"/>
      <c r="BY1789"/>
      <c r="BZ1789"/>
      <c r="CA1789"/>
      <c r="CB1789"/>
      <c r="CC1789"/>
      <c r="CD1789"/>
      <c r="CE1789"/>
      <c r="CF1789"/>
      <c r="CG1789"/>
      <c r="CH1789"/>
      <c r="CI1789"/>
      <c r="CJ1789"/>
      <c r="CK1789"/>
      <c r="CL1789"/>
      <c r="CM1789"/>
      <c r="CN1789"/>
      <c r="CO1789"/>
      <c r="CP1789"/>
      <c r="CQ1789"/>
      <c r="CR1789"/>
      <c r="CS1789"/>
      <c r="CT1789"/>
      <c r="CU1789"/>
      <c r="CV1789"/>
      <c r="CW1789"/>
      <c r="CX1789"/>
      <c r="CY1789"/>
      <c r="CZ1789"/>
      <c r="DA1789"/>
      <c r="DB1789"/>
      <c r="DC1789"/>
      <c r="DD1789"/>
      <c r="DE1789"/>
      <c r="DF1789"/>
      <c r="DG1789"/>
      <c r="DH1789"/>
      <c r="DI1789"/>
      <c r="DJ1789"/>
      <c r="DK1789"/>
      <c r="DL1789"/>
      <c r="DM1789"/>
      <c r="DN1789"/>
      <c r="DO1789"/>
      <c r="DP1789"/>
      <c r="DQ1789"/>
      <c r="DR1789"/>
      <c r="DS1789"/>
      <c r="DT1789"/>
      <c r="DU1789"/>
      <c r="DV1789"/>
      <c r="DW1789"/>
      <c r="DX1789"/>
      <c r="DY1789"/>
      <c r="DZ1789"/>
      <c r="EA1789"/>
      <c r="EB1789"/>
      <c r="EC1789"/>
      <c r="ED1789"/>
      <c r="EE1789"/>
      <c r="EF1789"/>
      <c r="EG1789"/>
      <c r="EH1789"/>
      <c r="EI1789"/>
      <c r="EJ1789"/>
      <c r="EK1789"/>
      <c r="EL1789"/>
      <c r="EM1789"/>
      <c r="EN1789"/>
      <c r="EO1789"/>
      <c r="EP1789"/>
      <c r="EQ1789"/>
      <c r="ER1789"/>
      <c r="ES1789"/>
    </row>
    <row r="1790" spans="1:149">
      <c r="A1790"/>
      <c r="B1790"/>
      <c r="C1790"/>
      <c r="D1790"/>
      <c r="E1790"/>
      <c r="F1790"/>
      <c r="G1790"/>
      <c r="H1790"/>
      <c r="I1790"/>
      <c r="J1790"/>
      <c r="K1790"/>
      <c r="L1790"/>
      <c r="M1790"/>
      <c r="N1790"/>
      <c r="O1790"/>
      <c r="P1790"/>
      <c r="Q1790"/>
      <c r="R1790"/>
      <c r="S1790"/>
      <c r="T1790"/>
      <c r="U1790"/>
      <c r="V1790"/>
      <c r="W1790"/>
      <c r="X1790"/>
      <c r="Y1790"/>
      <c r="Z1790"/>
      <c r="AA1790"/>
      <c r="AB1790"/>
      <c r="AC1790"/>
      <c r="AD1790"/>
      <c r="AE1790"/>
      <c r="AF1790"/>
      <c r="AG1790"/>
      <c r="AH1790"/>
      <c r="AI1790"/>
      <c r="AJ1790"/>
      <c r="AK1790"/>
      <c r="AL1790"/>
      <c r="AM1790"/>
      <c r="AN1790"/>
      <c r="AO1790"/>
      <c r="AP1790"/>
      <c r="AQ1790"/>
      <c r="AR1790"/>
      <c r="AS1790"/>
      <c r="AT1790"/>
      <c r="AU1790"/>
      <c r="AV1790"/>
      <c r="AW1790"/>
      <c r="AX1790"/>
      <c r="AY1790"/>
      <c r="AZ1790"/>
      <c r="BA1790"/>
      <c r="BB1790"/>
      <c r="BC1790"/>
      <c r="BD1790"/>
      <c r="BE1790"/>
      <c r="BF1790"/>
      <c r="BG1790"/>
      <c r="BH1790"/>
      <c r="BI1790"/>
      <c r="BJ1790"/>
      <c r="BK1790"/>
      <c r="BL1790"/>
      <c r="BM1790"/>
      <c r="BN1790"/>
      <c r="BO1790"/>
      <c r="BP1790"/>
      <c r="BQ1790"/>
      <c r="BR1790"/>
      <c r="BS1790"/>
      <c r="BT1790"/>
      <c r="BU1790"/>
      <c r="BV1790"/>
      <c r="BW1790"/>
      <c r="BX1790"/>
      <c r="BY1790"/>
      <c r="BZ1790"/>
      <c r="CA1790"/>
      <c r="CB1790"/>
      <c r="CC1790"/>
      <c r="CD1790"/>
      <c r="CE1790"/>
      <c r="CF1790"/>
      <c r="CG1790"/>
      <c r="CH1790"/>
      <c r="CI1790"/>
      <c r="CJ1790"/>
      <c r="CK1790"/>
      <c r="CL1790"/>
      <c r="CM1790"/>
      <c r="CN1790"/>
      <c r="CO1790"/>
      <c r="CP1790"/>
      <c r="CQ1790"/>
      <c r="CR1790"/>
      <c r="CS1790"/>
      <c r="CT1790"/>
      <c r="CU1790"/>
      <c r="CV1790"/>
      <c r="CW1790"/>
      <c r="CX1790"/>
      <c r="CY1790"/>
      <c r="CZ1790"/>
      <c r="DA1790"/>
      <c r="DB1790"/>
      <c r="DC1790"/>
      <c r="DD1790"/>
      <c r="DE1790"/>
      <c r="DF1790"/>
      <c r="DG1790"/>
      <c r="DH1790"/>
      <c r="DI1790"/>
      <c r="DJ1790"/>
      <c r="DK1790"/>
      <c r="DL1790"/>
      <c r="DM1790"/>
      <c r="DN1790"/>
      <c r="DO1790"/>
      <c r="DP1790"/>
      <c r="DQ1790"/>
      <c r="DR1790"/>
      <c r="DS1790"/>
      <c r="DT1790"/>
      <c r="DU1790"/>
      <c r="DV1790"/>
      <c r="DW1790"/>
      <c r="DX1790"/>
      <c r="DY1790"/>
      <c r="DZ1790"/>
      <c r="EA1790"/>
      <c r="EB1790"/>
      <c r="EC1790"/>
      <c r="ED1790"/>
      <c r="EE1790"/>
      <c r="EF1790"/>
      <c r="EG1790"/>
      <c r="EH1790"/>
      <c r="EI1790"/>
      <c r="EJ1790"/>
      <c r="EK1790"/>
      <c r="EL1790"/>
      <c r="EM1790"/>
      <c r="EN1790"/>
      <c r="EO1790"/>
      <c r="EP1790"/>
      <c r="EQ1790"/>
      <c r="ER1790"/>
      <c r="ES1790"/>
    </row>
    <row r="1791" spans="1:149">
      <c r="A1791"/>
      <c r="B1791"/>
      <c r="C1791"/>
      <c r="D1791"/>
      <c r="E1791"/>
      <c r="F1791"/>
      <c r="G1791"/>
      <c r="H1791"/>
      <c r="I1791"/>
      <c r="J1791"/>
      <c r="K1791"/>
      <c r="L1791"/>
      <c r="M1791"/>
      <c r="N1791"/>
      <c r="O1791"/>
      <c r="P1791"/>
      <c r="Q1791"/>
      <c r="R1791"/>
      <c r="S1791"/>
      <c r="T1791"/>
      <c r="U1791"/>
      <c r="V1791"/>
      <c r="W1791"/>
      <c r="X1791"/>
      <c r="Y1791"/>
      <c r="Z1791"/>
      <c r="AA1791"/>
      <c r="AB1791"/>
      <c r="AC1791"/>
      <c r="AD1791"/>
      <c r="AE1791"/>
      <c r="AF1791"/>
      <c r="AG1791"/>
      <c r="AH1791"/>
      <c r="AI1791"/>
      <c r="AJ1791"/>
      <c r="AK1791"/>
      <c r="AL1791"/>
      <c r="AM1791"/>
      <c r="AN1791"/>
      <c r="AO1791"/>
      <c r="AP1791"/>
      <c r="AQ1791"/>
      <c r="AR1791"/>
      <c r="AS1791"/>
      <c r="AT1791"/>
      <c r="AU1791"/>
      <c r="AV1791"/>
      <c r="AW1791"/>
      <c r="AX1791"/>
      <c r="AY1791"/>
      <c r="AZ1791"/>
      <c r="BA1791"/>
      <c r="BB1791"/>
      <c r="BC1791"/>
      <c r="BD1791"/>
      <c r="BE1791"/>
      <c r="BF1791"/>
      <c r="BG1791"/>
      <c r="BH1791"/>
      <c r="BI1791"/>
      <c r="BJ1791"/>
      <c r="BK1791"/>
      <c r="BL1791"/>
      <c r="BM1791"/>
      <c r="BN1791"/>
      <c r="BO1791"/>
      <c r="BP1791"/>
      <c r="BQ1791"/>
      <c r="BR1791"/>
      <c r="BS1791"/>
      <c r="BT1791"/>
      <c r="BU1791"/>
      <c r="BV1791"/>
      <c r="BW1791"/>
      <c r="BX1791"/>
      <c r="BY1791"/>
      <c r="BZ1791"/>
      <c r="CA1791"/>
      <c r="CB1791"/>
      <c r="CC1791"/>
      <c r="CD1791"/>
      <c r="CE1791"/>
      <c r="CF1791"/>
      <c r="CG1791"/>
      <c r="CH1791"/>
      <c r="CI1791"/>
      <c r="CJ1791"/>
      <c r="CK1791"/>
      <c r="CL1791"/>
      <c r="CM1791"/>
      <c r="CN1791"/>
      <c r="CO1791"/>
      <c r="CP1791"/>
      <c r="CQ1791"/>
      <c r="CR1791"/>
      <c r="CS1791"/>
      <c r="CT1791"/>
      <c r="CU1791"/>
      <c r="CV1791"/>
      <c r="CW1791"/>
      <c r="CX1791"/>
      <c r="CY1791"/>
      <c r="CZ1791"/>
      <c r="DA1791"/>
      <c r="DB1791"/>
      <c r="DC1791"/>
      <c r="DD1791"/>
      <c r="DE1791"/>
      <c r="DF1791"/>
      <c r="DG1791"/>
      <c r="DH1791"/>
      <c r="DI1791"/>
      <c r="DJ1791"/>
      <c r="DK1791"/>
      <c r="DL1791"/>
      <c r="DM1791"/>
      <c r="DN1791"/>
      <c r="DO1791"/>
      <c r="DP1791"/>
      <c r="DQ1791"/>
      <c r="DR1791"/>
      <c r="DS1791"/>
      <c r="DT1791"/>
      <c r="DU1791"/>
      <c r="DV1791"/>
      <c r="DW1791"/>
      <c r="DX1791"/>
      <c r="DY1791"/>
      <c r="DZ1791"/>
      <c r="EA1791"/>
      <c r="EB1791"/>
      <c r="EC1791"/>
      <c r="ED1791"/>
      <c r="EE1791"/>
      <c r="EF1791"/>
      <c r="EG1791"/>
      <c r="EH1791"/>
      <c r="EI1791"/>
      <c r="EJ1791"/>
      <c r="EK1791"/>
      <c r="EL1791"/>
      <c r="EM1791"/>
      <c r="EN1791"/>
      <c r="EO1791"/>
      <c r="EP1791"/>
      <c r="EQ1791"/>
      <c r="ER1791"/>
      <c r="ES1791"/>
    </row>
    <row r="1792" spans="1:149">
      <c r="A1792"/>
      <c r="B1792"/>
      <c r="C1792"/>
      <c r="D1792"/>
      <c r="E1792"/>
      <c r="F1792"/>
      <c r="G1792"/>
      <c r="H1792"/>
      <c r="I1792"/>
      <c r="J1792"/>
      <c r="K1792"/>
      <c r="L1792"/>
      <c r="M1792"/>
      <c r="N1792"/>
      <c r="O1792"/>
      <c r="P1792"/>
      <c r="Q1792"/>
      <c r="R1792"/>
      <c r="S1792"/>
      <c r="T1792"/>
      <c r="U1792"/>
      <c r="V1792"/>
      <c r="W1792"/>
      <c r="X1792"/>
      <c r="Y1792"/>
      <c r="Z1792"/>
      <c r="AA1792"/>
      <c r="AB1792"/>
      <c r="AC1792"/>
      <c r="AD1792"/>
      <c r="AE1792"/>
      <c r="AF1792"/>
      <c r="AG1792"/>
      <c r="AH1792"/>
      <c r="AI1792"/>
      <c r="AJ1792"/>
      <c r="AK1792"/>
      <c r="AL1792"/>
      <c r="AM1792"/>
      <c r="AN1792"/>
      <c r="AO1792"/>
      <c r="AP1792"/>
      <c r="AQ1792"/>
      <c r="AR1792"/>
      <c r="AS1792"/>
      <c r="AT1792"/>
      <c r="AU1792"/>
      <c r="AV1792"/>
      <c r="AW1792"/>
      <c r="AX1792"/>
      <c r="AY1792"/>
      <c r="AZ1792"/>
      <c r="BA1792"/>
      <c r="BB1792"/>
      <c r="BC1792"/>
      <c r="BD1792"/>
      <c r="BE1792"/>
      <c r="BF1792"/>
      <c r="BG1792"/>
      <c r="BH1792"/>
      <c r="BI1792"/>
      <c r="BJ1792"/>
      <c r="BK1792"/>
      <c r="BL1792"/>
      <c r="BM1792"/>
      <c r="BN1792"/>
      <c r="BO1792"/>
      <c r="BP1792"/>
      <c r="BQ1792"/>
      <c r="BR1792"/>
      <c r="BS1792"/>
      <c r="BT1792"/>
      <c r="BU1792"/>
      <c r="BV1792"/>
      <c r="BW1792"/>
      <c r="BX1792"/>
      <c r="BY1792"/>
      <c r="BZ1792"/>
      <c r="CA1792"/>
      <c r="CB1792"/>
      <c r="CC1792"/>
      <c r="CD1792"/>
      <c r="CE1792"/>
      <c r="CF1792"/>
      <c r="CG1792"/>
      <c r="CH1792"/>
      <c r="CI1792"/>
      <c r="CJ1792"/>
      <c r="CK1792"/>
      <c r="CL1792"/>
      <c r="CM1792"/>
      <c r="CN1792"/>
      <c r="CO1792"/>
      <c r="CP1792"/>
      <c r="CQ1792"/>
      <c r="CR1792"/>
      <c r="CS1792"/>
      <c r="CT1792"/>
      <c r="CU1792"/>
      <c r="CV1792"/>
      <c r="CW1792"/>
      <c r="CX1792"/>
      <c r="CY1792"/>
      <c r="CZ1792"/>
      <c r="DA1792"/>
      <c r="DB1792"/>
      <c r="DC1792"/>
      <c r="DD1792"/>
      <c r="DE1792"/>
      <c r="DF1792"/>
      <c r="DG1792"/>
      <c r="DH1792"/>
      <c r="DI1792"/>
      <c r="DJ1792"/>
      <c r="DK1792"/>
      <c r="DL1792"/>
      <c r="DM1792"/>
      <c r="DN1792"/>
      <c r="DO1792"/>
      <c r="DP1792"/>
      <c r="DQ1792"/>
      <c r="DR1792"/>
      <c r="DS1792"/>
      <c r="DT1792"/>
      <c r="DU1792"/>
      <c r="DV1792"/>
      <c r="DW1792"/>
      <c r="DX1792"/>
      <c r="DY1792"/>
      <c r="DZ1792"/>
      <c r="EA1792"/>
      <c r="EB1792"/>
      <c r="EC1792"/>
      <c r="ED1792"/>
      <c r="EE1792"/>
      <c r="EF1792"/>
      <c r="EG1792"/>
      <c r="EH1792"/>
      <c r="EI1792"/>
      <c r="EJ1792"/>
      <c r="EK1792"/>
      <c r="EL1792"/>
      <c r="EM1792"/>
      <c r="EN1792"/>
      <c r="EO1792"/>
      <c r="EP1792"/>
      <c r="EQ1792"/>
      <c r="ER1792"/>
      <c r="ES1792"/>
    </row>
    <row r="1793" spans="1:149">
      <c r="A1793"/>
      <c r="B1793"/>
      <c r="C1793"/>
      <c r="D1793"/>
      <c r="E1793"/>
      <c r="F1793"/>
      <c r="G1793"/>
      <c r="H1793"/>
      <c r="I1793"/>
      <c r="J1793"/>
      <c r="K1793"/>
      <c r="L1793"/>
      <c r="M1793"/>
      <c r="N1793"/>
      <c r="O1793"/>
      <c r="P1793"/>
      <c r="Q1793"/>
      <c r="R1793"/>
      <c r="S1793"/>
      <c r="T1793"/>
      <c r="U1793"/>
      <c r="V1793"/>
      <c r="W1793"/>
      <c r="X1793"/>
      <c r="Y1793"/>
      <c r="Z1793"/>
      <c r="AA1793"/>
      <c r="AB1793"/>
      <c r="AC1793"/>
      <c r="AD1793"/>
      <c r="AE1793"/>
      <c r="AF1793"/>
      <c r="AG1793"/>
      <c r="AH1793"/>
      <c r="AI1793"/>
      <c r="AJ1793"/>
      <c r="AK1793"/>
      <c r="AL1793"/>
      <c r="AM1793"/>
      <c r="AN1793"/>
      <c r="AO1793"/>
      <c r="AP1793"/>
      <c r="AQ1793"/>
      <c r="AR1793"/>
      <c r="AS1793"/>
      <c r="AT1793"/>
      <c r="AU1793"/>
      <c r="AV1793"/>
      <c r="AW1793"/>
      <c r="AX1793"/>
      <c r="AY1793"/>
      <c r="AZ1793"/>
      <c r="BA1793"/>
      <c r="BB1793"/>
      <c r="BC1793"/>
      <c r="BD1793"/>
      <c r="BE1793"/>
      <c r="BF1793"/>
      <c r="BG1793"/>
      <c r="BH1793"/>
      <c r="BI1793"/>
      <c r="BJ1793"/>
      <c r="BK1793"/>
      <c r="BL1793"/>
      <c r="BM1793"/>
      <c r="BN1793"/>
      <c r="BO1793"/>
      <c r="BP1793"/>
      <c r="BQ1793"/>
      <c r="BR1793"/>
      <c r="BS1793"/>
      <c r="BT1793"/>
      <c r="BU1793"/>
      <c r="BV1793"/>
      <c r="BW1793"/>
      <c r="BX1793"/>
      <c r="BY1793"/>
      <c r="BZ1793"/>
      <c r="CA1793"/>
      <c r="CB1793"/>
      <c r="CC1793"/>
      <c r="CD1793"/>
      <c r="CE1793"/>
      <c r="CF1793"/>
      <c r="CG1793"/>
      <c r="CH1793"/>
      <c r="CI1793"/>
      <c r="CJ1793"/>
      <c r="CK1793"/>
      <c r="CL1793"/>
      <c r="CM1793"/>
      <c r="CN1793"/>
      <c r="CO1793"/>
      <c r="CP1793"/>
      <c r="CQ1793"/>
      <c r="CR1793"/>
      <c r="CS1793"/>
      <c r="CT1793"/>
      <c r="CU1793"/>
      <c r="CV1793"/>
      <c r="CW1793"/>
      <c r="CX1793"/>
      <c r="CY1793"/>
      <c r="CZ1793"/>
      <c r="DA1793"/>
      <c r="DB1793"/>
      <c r="DC1793"/>
      <c r="DD1793"/>
      <c r="DE1793"/>
      <c r="DF1793"/>
      <c r="DG1793"/>
      <c r="DH1793"/>
      <c r="DI1793"/>
      <c r="DJ1793"/>
      <c r="DK1793"/>
      <c r="DL1793"/>
      <c r="DM1793"/>
      <c r="DN1793"/>
      <c r="DO1793"/>
      <c r="DP1793"/>
      <c r="DQ1793"/>
      <c r="DR1793"/>
      <c r="DS1793"/>
      <c r="DT1793"/>
      <c r="DU1793"/>
      <c r="DV1793"/>
      <c r="DW1793"/>
      <c r="DX1793"/>
      <c r="DY1793"/>
      <c r="DZ1793"/>
      <c r="EA1793"/>
      <c r="EB1793"/>
      <c r="EC1793"/>
      <c r="ED1793"/>
      <c r="EE1793"/>
      <c r="EF1793"/>
      <c r="EG1793"/>
      <c r="EH1793"/>
      <c r="EI1793"/>
      <c r="EJ1793"/>
      <c r="EK1793"/>
      <c r="EL1793"/>
      <c r="EM1793"/>
      <c r="EN1793"/>
      <c r="EO1793"/>
      <c r="EP1793"/>
      <c r="EQ1793"/>
      <c r="ER1793"/>
      <c r="ES1793"/>
    </row>
    <row r="1794" spans="1:149">
      <c r="A1794"/>
      <c r="B1794"/>
      <c r="C1794"/>
      <c r="D1794"/>
      <c r="E1794"/>
      <c r="F1794"/>
      <c r="G1794"/>
      <c r="H1794"/>
      <c r="I1794"/>
      <c r="J1794"/>
      <c r="K1794"/>
      <c r="L1794"/>
      <c r="M1794"/>
      <c r="N1794"/>
      <c r="O1794"/>
      <c r="P1794"/>
      <c r="Q1794"/>
      <c r="R1794"/>
      <c r="S1794"/>
      <c r="T1794"/>
      <c r="U1794"/>
      <c r="V1794"/>
      <c r="W1794"/>
      <c r="X1794"/>
      <c r="Y1794"/>
      <c r="Z1794"/>
      <c r="AA1794"/>
      <c r="AB1794"/>
      <c r="AC1794"/>
      <c r="AD1794"/>
      <c r="AE1794"/>
      <c r="AF1794"/>
      <c r="AG1794"/>
      <c r="AH1794"/>
      <c r="AI1794"/>
      <c r="AJ1794"/>
      <c r="AK1794"/>
      <c r="AL1794"/>
      <c r="AM1794"/>
      <c r="AN1794"/>
      <c r="AO1794"/>
      <c r="AP1794"/>
      <c r="AQ1794"/>
      <c r="AR1794"/>
      <c r="AS1794"/>
      <c r="AT1794"/>
      <c r="AU1794"/>
      <c r="AV1794"/>
      <c r="AW1794"/>
      <c r="AX1794"/>
      <c r="AY1794"/>
      <c r="AZ1794"/>
      <c r="BA1794"/>
      <c r="BB1794"/>
      <c r="BC1794"/>
      <c r="BD1794"/>
      <c r="BE1794"/>
      <c r="BF1794"/>
      <c r="BG1794"/>
      <c r="BH1794"/>
      <c r="BI1794"/>
      <c r="BJ1794"/>
      <c r="BK1794"/>
      <c r="BL1794"/>
      <c r="BM1794"/>
      <c r="BN1794"/>
      <c r="BO1794"/>
      <c r="BP1794"/>
      <c r="BQ1794"/>
      <c r="BR1794"/>
      <c r="BS1794"/>
      <c r="BT1794"/>
      <c r="BU1794"/>
      <c r="BV1794"/>
      <c r="BW1794"/>
      <c r="BX1794"/>
      <c r="BY1794"/>
      <c r="BZ1794"/>
      <c r="CA1794"/>
      <c r="CB1794"/>
      <c r="CC1794"/>
      <c r="CD1794"/>
      <c r="CE1794"/>
      <c r="CF1794"/>
      <c r="CG1794"/>
      <c r="CH1794"/>
      <c r="CI1794"/>
      <c r="CJ1794"/>
      <c r="CK1794"/>
      <c r="CL1794"/>
      <c r="CM1794"/>
      <c r="CN1794"/>
      <c r="CO1794"/>
      <c r="CP1794"/>
      <c r="CQ1794"/>
      <c r="CR1794"/>
      <c r="CS1794"/>
      <c r="CT1794"/>
      <c r="CU1794"/>
      <c r="CV1794"/>
      <c r="CW1794"/>
      <c r="CX1794"/>
      <c r="CY1794"/>
      <c r="CZ1794"/>
      <c r="DA1794"/>
      <c r="DB1794"/>
      <c r="DC1794"/>
      <c r="DD1794"/>
      <c r="DE1794"/>
      <c r="DF1794"/>
      <c r="DG1794"/>
      <c r="DH1794"/>
      <c r="DI1794"/>
      <c r="DJ1794"/>
      <c r="DK1794"/>
      <c r="DL1794"/>
      <c r="DM1794"/>
      <c r="DN1794"/>
      <c r="DO1794"/>
      <c r="DP1794"/>
      <c r="DQ1794"/>
      <c r="DR1794"/>
      <c r="DS1794"/>
      <c r="DT1794"/>
      <c r="DU1794"/>
      <c r="DV1794"/>
      <c r="DW1794"/>
      <c r="DX1794"/>
      <c r="DY1794"/>
      <c r="DZ1794"/>
      <c r="EA1794"/>
      <c r="EB1794"/>
      <c r="EC1794"/>
      <c r="ED1794"/>
      <c r="EE1794"/>
      <c r="EF1794"/>
      <c r="EG1794"/>
      <c r="EH1794"/>
      <c r="EI1794"/>
      <c r="EJ1794"/>
      <c r="EK1794"/>
      <c r="EL1794"/>
      <c r="EM1794"/>
      <c r="EN1794"/>
      <c r="EO1794"/>
      <c r="EP1794"/>
      <c r="EQ1794"/>
      <c r="ER1794"/>
      <c r="ES1794"/>
    </row>
    <row r="1795" spans="1:149">
      <c r="A1795"/>
      <c r="B1795"/>
      <c r="C1795"/>
      <c r="D1795"/>
      <c r="E1795"/>
      <c r="F1795"/>
      <c r="G1795"/>
      <c r="H1795"/>
      <c r="I1795"/>
      <c r="J1795"/>
      <c r="K1795"/>
      <c r="L1795"/>
      <c r="M1795"/>
      <c r="N1795"/>
      <c r="O1795"/>
      <c r="P1795"/>
      <c r="Q1795"/>
      <c r="R1795"/>
      <c r="S1795"/>
      <c r="T1795"/>
      <c r="U1795"/>
      <c r="V1795"/>
      <c r="W1795"/>
      <c r="X1795"/>
      <c r="Y1795"/>
      <c r="Z1795"/>
      <c r="AA1795"/>
      <c r="AB1795"/>
      <c r="AC1795"/>
      <c r="AD1795"/>
      <c r="AE1795"/>
      <c r="AF1795"/>
      <c r="AG1795"/>
      <c r="AH1795"/>
      <c r="AI1795"/>
      <c r="AJ1795"/>
      <c r="AK1795"/>
      <c r="AL1795"/>
      <c r="AM1795"/>
      <c r="AN1795"/>
      <c r="AO1795"/>
      <c r="AP1795"/>
      <c r="AQ1795"/>
      <c r="AR1795"/>
      <c r="AS1795"/>
      <c r="AT1795"/>
      <c r="AU1795"/>
      <c r="AV1795"/>
      <c r="AW1795"/>
      <c r="AX1795"/>
      <c r="AY1795"/>
      <c r="AZ1795"/>
      <c r="BA1795"/>
      <c r="BB1795"/>
      <c r="BC1795"/>
      <c r="BD1795"/>
      <c r="BE1795"/>
      <c r="BF1795"/>
      <c r="BG1795"/>
      <c r="BH1795"/>
      <c r="BI1795"/>
      <c r="BJ1795"/>
      <c r="BK1795"/>
      <c r="BL1795"/>
      <c r="BM1795"/>
      <c r="BN1795"/>
      <c r="BO1795"/>
      <c r="BP1795"/>
      <c r="BQ1795"/>
      <c r="BR1795"/>
      <c r="BS1795"/>
      <c r="BT1795"/>
      <c r="BU1795"/>
      <c r="BV1795"/>
      <c r="BW1795"/>
      <c r="BX1795"/>
      <c r="BY1795"/>
      <c r="BZ1795"/>
      <c r="CA1795"/>
      <c r="CB1795"/>
      <c r="CC1795"/>
      <c r="CD1795"/>
      <c r="CE1795"/>
      <c r="CF1795"/>
      <c r="CG1795"/>
      <c r="CH1795"/>
      <c r="CI1795"/>
      <c r="CJ1795"/>
      <c r="CK1795"/>
      <c r="CL1795"/>
      <c r="CM1795"/>
      <c r="CN1795"/>
      <c r="CO1795"/>
      <c r="CP1795"/>
      <c r="CQ1795"/>
      <c r="CR1795"/>
      <c r="CS1795"/>
      <c r="CT1795"/>
      <c r="CU1795"/>
      <c r="CV1795"/>
      <c r="CW1795"/>
      <c r="CX1795"/>
      <c r="CY1795"/>
      <c r="CZ1795"/>
      <c r="DA1795"/>
      <c r="DB1795"/>
      <c r="DC1795"/>
      <c r="DD1795"/>
      <c r="DE1795"/>
      <c r="DF1795"/>
      <c r="DG1795"/>
      <c r="DH1795"/>
      <c r="DI1795"/>
      <c r="DJ1795"/>
      <c r="DK1795"/>
      <c r="DL1795"/>
      <c r="DM1795"/>
      <c r="DN1795"/>
      <c r="DO1795"/>
      <c r="DP1795"/>
      <c r="DQ1795"/>
      <c r="DR1795"/>
      <c r="DS1795"/>
      <c r="DT1795"/>
      <c r="DU1795"/>
      <c r="DV1795"/>
      <c r="DW1795"/>
      <c r="DX1795"/>
      <c r="DY1795"/>
      <c r="DZ1795"/>
      <c r="EA1795"/>
      <c r="EB1795"/>
      <c r="EC1795"/>
      <c r="ED1795"/>
      <c r="EE1795"/>
      <c r="EF1795"/>
      <c r="EG1795"/>
      <c r="EH1795"/>
      <c r="EI1795"/>
      <c r="EJ1795"/>
      <c r="EK1795"/>
      <c r="EL1795"/>
      <c r="EM1795"/>
      <c r="EN1795"/>
      <c r="EO1795"/>
      <c r="EP1795"/>
      <c r="EQ1795"/>
      <c r="ER1795"/>
      <c r="ES1795"/>
    </row>
    <row r="1796" spans="1:149">
      <c r="A1796"/>
      <c r="B1796"/>
      <c r="C1796"/>
      <c r="D1796"/>
      <c r="E1796"/>
      <c r="F1796"/>
      <c r="G1796"/>
      <c r="H1796"/>
      <c r="I1796"/>
      <c r="J1796"/>
      <c r="K1796"/>
      <c r="L1796"/>
      <c r="M1796"/>
      <c r="N1796"/>
      <c r="O1796"/>
      <c r="P1796"/>
      <c r="Q1796"/>
      <c r="R1796"/>
      <c r="S1796"/>
      <c r="T1796"/>
      <c r="U1796"/>
      <c r="V1796"/>
      <c r="W1796"/>
      <c r="X1796"/>
      <c r="Y1796"/>
      <c r="Z1796"/>
      <c r="AA1796"/>
      <c r="AB1796"/>
      <c r="AC1796"/>
      <c r="AD1796"/>
      <c r="AE1796"/>
      <c r="AF1796"/>
      <c r="AG1796"/>
      <c r="AH1796"/>
      <c r="AI1796"/>
      <c r="AJ1796"/>
      <c r="AK1796"/>
      <c r="AL1796"/>
      <c r="AM1796"/>
      <c r="AN1796"/>
      <c r="AO1796"/>
      <c r="AP1796"/>
      <c r="AQ1796"/>
      <c r="AR1796"/>
      <c r="AS1796"/>
      <c r="AT1796"/>
      <c r="AU1796"/>
      <c r="AV1796"/>
      <c r="AW1796"/>
      <c r="AX1796"/>
      <c r="AY1796"/>
      <c r="AZ1796"/>
      <c r="BA1796"/>
      <c r="BB1796"/>
      <c r="BC1796"/>
      <c r="BD1796"/>
      <c r="BE1796"/>
      <c r="BF1796"/>
      <c r="BG1796"/>
      <c r="BH1796"/>
      <c r="BI1796"/>
      <c r="BJ1796"/>
      <c r="BK1796"/>
      <c r="BL1796"/>
      <c r="BM1796"/>
      <c r="BN1796"/>
      <c r="BO1796"/>
      <c r="BP1796"/>
      <c r="BQ1796"/>
      <c r="BR1796"/>
      <c r="BS1796"/>
      <c r="BT1796"/>
      <c r="BU1796"/>
      <c r="BV1796"/>
      <c r="BW1796"/>
      <c r="BX1796"/>
      <c r="BY1796"/>
      <c r="BZ1796"/>
      <c r="CA1796"/>
      <c r="CB1796"/>
      <c r="CC1796"/>
      <c r="CD1796"/>
      <c r="CE1796"/>
      <c r="CF1796"/>
      <c r="CG1796"/>
      <c r="CH1796"/>
      <c r="CI1796"/>
      <c r="CJ1796"/>
      <c r="CK1796"/>
      <c r="CL1796"/>
      <c r="CM1796"/>
      <c r="CN1796"/>
      <c r="CO1796"/>
      <c r="CP1796"/>
      <c r="CQ1796"/>
      <c r="CR1796"/>
      <c r="CS1796"/>
      <c r="CT1796"/>
      <c r="CU1796"/>
      <c r="CV1796"/>
      <c r="CW1796"/>
      <c r="CX1796"/>
      <c r="CY1796"/>
      <c r="CZ1796"/>
      <c r="DA1796"/>
      <c r="DB1796"/>
      <c r="DC1796"/>
      <c r="DD1796"/>
      <c r="DE1796"/>
      <c r="DF1796"/>
      <c r="DG1796"/>
      <c r="DH1796"/>
      <c r="DI1796"/>
      <c r="DJ1796"/>
      <c r="DK1796"/>
      <c r="DL1796"/>
      <c r="DM1796"/>
      <c r="DN1796"/>
      <c r="DO1796"/>
      <c r="DP1796"/>
      <c r="DQ1796"/>
      <c r="DR1796"/>
      <c r="DS1796"/>
      <c r="DT1796"/>
      <c r="DU1796"/>
      <c r="DV1796"/>
      <c r="DW1796"/>
      <c r="DX1796"/>
      <c r="DY1796"/>
      <c r="DZ1796"/>
      <c r="EA1796"/>
      <c r="EB1796"/>
      <c r="EC1796"/>
      <c r="ED1796"/>
      <c r="EE1796"/>
      <c r="EF1796"/>
      <c r="EG1796"/>
      <c r="EH1796"/>
      <c r="EI1796"/>
      <c r="EJ1796"/>
      <c r="EK1796"/>
      <c r="EL1796"/>
      <c r="EM1796"/>
      <c r="EN1796"/>
      <c r="EO1796"/>
      <c r="EP1796"/>
      <c r="EQ1796"/>
      <c r="ER1796"/>
      <c r="ES1796"/>
    </row>
    <row r="1797" spans="1:149">
      <c r="A1797"/>
      <c r="B1797"/>
      <c r="C1797"/>
      <c r="D1797"/>
      <c r="E1797"/>
      <c r="F1797"/>
      <c r="G1797"/>
      <c r="H1797"/>
      <c r="I1797"/>
      <c r="J1797"/>
      <c r="K1797"/>
      <c r="L1797"/>
      <c r="M1797"/>
      <c r="N1797"/>
      <c r="O1797"/>
      <c r="P1797"/>
      <c r="Q1797"/>
      <c r="R1797"/>
      <c r="S1797"/>
      <c r="T1797"/>
      <c r="U1797"/>
      <c r="V1797"/>
      <c r="W1797"/>
      <c r="X1797"/>
      <c r="Y1797"/>
      <c r="Z1797"/>
      <c r="AA1797"/>
      <c r="AB1797"/>
      <c r="AC1797"/>
      <c r="AD1797"/>
      <c r="AE1797"/>
      <c r="AF1797"/>
      <c r="AG1797"/>
      <c r="AH1797"/>
      <c r="AI1797"/>
      <c r="AJ1797"/>
      <c r="AK1797"/>
      <c r="AL1797"/>
      <c r="AM1797"/>
      <c r="AN1797"/>
      <c r="AO1797"/>
      <c r="AP1797"/>
      <c r="AQ1797"/>
      <c r="AR1797"/>
      <c r="AS1797"/>
      <c r="AT1797"/>
      <c r="AU1797"/>
      <c r="AV1797"/>
      <c r="AW1797"/>
      <c r="AX1797"/>
      <c r="AY1797"/>
      <c r="AZ1797"/>
      <c r="BA1797"/>
      <c r="BB1797"/>
      <c r="BC1797"/>
      <c r="BD1797"/>
      <c r="BE1797"/>
      <c r="BF1797"/>
      <c r="BG1797"/>
      <c r="BH1797"/>
      <c r="BI1797"/>
      <c r="BJ1797"/>
      <c r="BK1797"/>
      <c r="BL1797"/>
      <c r="BM1797"/>
      <c r="BN1797"/>
      <c r="BO1797"/>
      <c r="BP1797"/>
      <c r="BQ1797"/>
      <c r="BR1797"/>
      <c r="BS1797"/>
      <c r="BT1797"/>
      <c r="BU1797"/>
      <c r="BV1797"/>
      <c r="BW1797"/>
      <c r="BX1797"/>
      <c r="BY1797"/>
      <c r="BZ1797"/>
      <c r="CA1797"/>
      <c r="CB1797"/>
      <c r="CC1797"/>
      <c r="CD1797"/>
      <c r="CE1797"/>
      <c r="CF1797"/>
      <c r="CG1797"/>
      <c r="CH1797"/>
      <c r="CI1797"/>
      <c r="CJ1797"/>
      <c r="CK1797"/>
      <c r="CL1797"/>
      <c r="CM1797"/>
      <c r="CN1797"/>
      <c r="CO1797"/>
      <c r="CP1797"/>
      <c r="CQ1797"/>
      <c r="CR1797"/>
      <c r="CS1797"/>
      <c r="CT1797"/>
      <c r="CU1797"/>
      <c r="CV1797"/>
      <c r="CW1797"/>
      <c r="CX1797"/>
      <c r="CY1797"/>
      <c r="CZ1797"/>
      <c r="DA1797"/>
      <c r="DB1797"/>
      <c r="DC1797"/>
      <c r="DD1797"/>
      <c r="DE1797"/>
      <c r="DF1797"/>
      <c r="DG1797"/>
      <c r="DH1797"/>
      <c r="DI1797"/>
      <c r="DJ1797"/>
      <c r="DK1797"/>
      <c r="DL1797"/>
      <c r="DM1797"/>
      <c r="DN1797"/>
      <c r="DO1797"/>
      <c r="DP1797"/>
      <c r="DQ1797"/>
      <c r="DR1797"/>
      <c r="DS1797"/>
      <c r="DT1797"/>
      <c r="DU1797"/>
      <c r="DV1797"/>
      <c r="DW1797"/>
      <c r="DX1797"/>
      <c r="DY1797"/>
      <c r="DZ1797"/>
      <c r="EA1797"/>
      <c r="EB1797"/>
      <c r="EC1797"/>
      <c r="ED1797"/>
      <c r="EE1797"/>
      <c r="EF1797"/>
      <c r="EG1797"/>
      <c r="EH1797"/>
      <c r="EI1797"/>
      <c r="EJ1797"/>
      <c r="EK1797"/>
      <c r="EL1797"/>
      <c r="EM1797"/>
      <c r="EN1797"/>
      <c r="EO1797"/>
      <c r="EP1797"/>
      <c r="EQ1797"/>
      <c r="ER1797"/>
      <c r="ES1797"/>
    </row>
    <row r="1798" spans="1:149">
      <c r="A1798"/>
      <c r="B1798"/>
      <c r="C1798"/>
      <c r="D1798"/>
      <c r="E1798"/>
      <c r="F1798"/>
      <c r="G1798"/>
      <c r="H1798"/>
      <c r="I1798"/>
      <c r="J1798"/>
      <c r="K1798"/>
      <c r="L1798"/>
      <c r="M1798"/>
      <c r="N1798"/>
      <c r="O1798"/>
      <c r="P1798"/>
      <c r="Q1798"/>
      <c r="R1798"/>
      <c r="S1798"/>
      <c r="T1798"/>
      <c r="U1798"/>
      <c r="V1798"/>
      <c r="W1798"/>
      <c r="X1798"/>
      <c r="Y1798"/>
      <c r="Z1798"/>
      <c r="AA1798"/>
      <c r="AB1798"/>
      <c r="AC1798"/>
      <c r="AD1798"/>
      <c r="AE1798"/>
      <c r="AF1798"/>
      <c r="AG1798"/>
      <c r="AH1798"/>
      <c r="AI1798"/>
      <c r="AJ1798"/>
      <c r="AK1798"/>
      <c r="AL1798"/>
      <c r="AM1798"/>
      <c r="AN1798"/>
      <c r="AO1798"/>
      <c r="AP1798"/>
      <c r="AQ1798"/>
      <c r="AR1798"/>
      <c r="AS1798"/>
      <c r="AT1798"/>
      <c r="AU1798"/>
      <c r="AV1798"/>
      <c r="AW1798"/>
      <c r="AX1798"/>
      <c r="AY1798"/>
      <c r="AZ1798"/>
      <c r="BA1798"/>
      <c r="BB1798"/>
      <c r="BC1798"/>
      <c r="BD1798"/>
      <c r="BE1798"/>
      <c r="BF1798"/>
      <c r="BG1798"/>
      <c r="BH1798"/>
      <c r="BI1798"/>
      <c r="BJ1798"/>
      <c r="BK1798"/>
      <c r="BL1798"/>
      <c r="BM1798"/>
      <c r="BN1798"/>
      <c r="BO1798"/>
      <c r="BP1798"/>
      <c r="BQ1798"/>
      <c r="BR1798"/>
      <c r="BS1798"/>
      <c r="BT1798"/>
      <c r="BU1798"/>
      <c r="BV1798"/>
      <c r="BW1798"/>
      <c r="BX1798"/>
      <c r="BY1798"/>
      <c r="BZ1798"/>
      <c r="CA1798"/>
      <c r="CB1798"/>
      <c r="CC1798"/>
      <c r="CD1798"/>
      <c r="CE1798"/>
      <c r="CF1798"/>
      <c r="CG1798"/>
      <c r="CH1798"/>
      <c r="CI1798"/>
      <c r="CJ1798"/>
      <c r="CK1798"/>
      <c r="CL1798"/>
      <c r="CM1798"/>
      <c r="CN1798"/>
      <c r="CO1798"/>
      <c r="CP1798"/>
      <c r="CQ1798"/>
      <c r="CR1798"/>
      <c r="CS1798"/>
      <c r="CT1798"/>
      <c r="CU1798"/>
      <c r="CV1798"/>
      <c r="CW1798"/>
      <c r="CX1798"/>
      <c r="CY1798"/>
      <c r="CZ1798"/>
      <c r="DA1798"/>
      <c r="DB1798"/>
      <c r="DC1798"/>
      <c r="DD1798"/>
      <c r="DE1798"/>
      <c r="DF1798"/>
      <c r="DG1798"/>
      <c r="DH1798"/>
      <c r="DI1798"/>
      <c r="DJ1798"/>
      <c r="DK1798"/>
      <c r="DL1798"/>
      <c r="DM1798"/>
      <c r="DN1798"/>
      <c r="DO1798"/>
      <c r="DP1798"/>
      <c r="DQ1798"/>
      <c r="DR1798"/>
      <c r="DS1798"/>
      <c r="DT1798"/>
      <c r="DU1798"/>
      <c r="DV1798"/>
      <c r="DW1798"/>
      <c r="DX1798"/>
      <c r="DY1798"/>
      <c r="DZ1798"/>
      <c r="EA1798"/>
      <c r="EB1798"/>
      <c r="EC1798"/>
      <c r="ED1798"/>
      <c r="EE1798"/>
      <c r="EF1798"/>
      <c r="EG1798"/>
      <c r="EH1798"/>
      <c r="EI1798"/>
      <c r="EJ1798"/>
      <c r="EK1798"/>
      <c r="EL1798"/>
      <c r="EM1798"/>
      <c r="EN1798"/>
      <c r="EO1798"/>
      <c r="EP1798"/>
      <c r="EQ1798"/>
      <c r="ER1798"/>
      <c r="ES1798"/>
    </row>
    <row r="1799" spans="1:149">
      <c r="A1799"/>
      <c r="B1799"/>
      <c r="C1799"/>
      <c r="D1799"/>
      <c r="E1799"/>
      <c r="F1799"/>
      <c r="G1799"/>
      <c r="H1799"/>
      <c r="I1799"/>
      <c r="J1799"/>
      <c r="K1799"/>
      <c r="L1799"/>
      <c r="M1799"/>
      <c r="N1799"/>
      <c r="O1799"/>
      <c r="P1799"/>
      <c r="Q1799"/>
      <c r="R1799"/>
      <c r="S1799"/>
      <c r="T1799"/>
      <c r="U1799"/>
      <c r="V1799"/>
      <c r="W1799"/>
      <c r="X1799"/>
      <c r="Y1799"/>
      <c r="Z1799"/>
      <c r="AA1799"/>
      <c r="AB1799"/>
      <c r="AC1799"/>
      <c r="AD1799"/>
      <c r="AE1799"/>
      <c r="AF1799"/>
      <c r="AG1799"/>
      <c r="AH1799"/>
      <c r="AI1799"/>
      <c r="AJ1799"/>
      <c r="AK1799"/>
      <c r="AL1799"/>
      <c r="AM1799"/>
      <c r="AN1799"/>
      <c r="AO1799"/>
      <c r="AP1799"/>
      <c r="AQ1799"/>
      <c r="AR1799"/>
      <c r="AS1799"/>
      <c r="AT1799"/>
      <c r="AU1799"/>
      <c r="AV1799"/>
      <c r="AW1799"/>
      <c r="AX1799"/>
      <c r="AY1799"/>
      <c r="AZ1799"/>
      <c r="BA1799"/>
      <c r="BB1799"/>
      <c r="BC1799"/>
      <c r="BD1799"/>
      <c r="BE1799"/>
      <c r="BF1799"/>
      <c r="BG1799"/>
      <c r="BH1799"/>
      <c r="BI1799"/>
      <c r="BJ1799"/>
      <c r="BK1799"/>
      <c r="BL1799"/>
      <c r="BM1799"/>
      <c r="BN1799"/>
      <c r="BO1799"/>
      <c r="BP1799"/>
      <c r="BQ1799"/>
      <c r="BR1799"/>
      <c r="BS1799"/>
      <c r="BT1799"/>
      <c r="BU1799"/>
      <c r="BV1799"/>
      <c r="BW1799"/>
      <c r="BX1799"/>
      <c r="BY1799"/>
      <c r="BZ1799"/>
      <c r="CA1799"/>
      <c r="CB1799"/>
      <c r="CC1799"/>
      <c r="CD1799"/>
      <c r="CE1799"/>
      <c r="CF1799"/>
      <c r="CG1799"/>
      <c r="CH1799"/>
      <c r="CI1799"/>
      <c r="CJ1799"/>
      <c r="CK1799"/>
      <c r="CL1799"/>
      <c r="CM1799"/>
      <c r="CN1799"/>
      <c r="CO1799"/>
      <c r="CP1799"/>
      <c r="CQ1799"/>
      <c r="CR1799"/>
      <c r="CS1799"/>
      <c r="CT1799"/>
      <c r="CU1799"/>
      <c r="CV1799"/>
      <c r="CW1799"/>
      <c r="CX1799"/>
      <c r="CY1799"/>
      <c r="CZ1799"/>
      <c r="DA1799"/>
      <c r="DB1799"/>
      <c r="DC1799"/>
      <c r="DD1799"/>
      <c r="DE1799"/>
      <c r="DF1799"/>
      <c r="DG1799"/>
      <c r="DH1799"/>
      <c r="DI1799"/>
      <c r="DJ1799"/>
      <c r="DK1799"/>
      <c r="DL1799"/>
      <c r="DM1799"/>
      <c r="DN1799"/>
      <c r="DO1799"/>
      <c r="DP1799"/>
      <c r="DQ1799"/>
      <c r="DR1799"/>
      <c r="DS1799"/>
      <c r="DT1799"/>
      <c r="DU1799"/>
      <c r="DV1799"/>
      <c r="DW1799"/>
      <c r="DX1799"/>
      <c r="DY1799"/>
      <c r="DZ1799"/>
      <c r="EA1799"/>
      <c r="EB1799"/>
      <c r="EC1799"/>
      <c r="ED1799"/>
      <c r="EE1799"/>
      <c r="EF1799"/>
      <c r="EG1799"/>
      <c r="EH1799"/>
      <c r="EI1799"/>
      <c r="EJ1799"/>
      <c r="EK1799"/>
      <c r="EL1799"/>
      <c r="EM1799"/>
      <c r="EN1799"/>
      <c r="EO1799"/>
      <c r="EP1799"/>
      <c r="EQ1799"/>
      <c r="ER1799"/>
      <c r="ES1799"/>
    </row>
    <row r="1800" spans="1:149">
      <c r="A1800"/>
      <c r="B1800"/>
      <c r="C1800"/>
      <c r="D1800"/>
      <c r="E1800"/>
      <c r="F1800"/>
      <c r="G1800"/>
      <c r="H1800"/>
      <c r="I1800"/>
      <c r="J1800"/>
      <c r="K1800"/>
      <c r="L1800"/>
      <c r="M1800"/>
      <c r="N1800"/>
      <c r="O1800"/>
      <c r="P1800"/>
      <c r="Q1800"/>
      <c r="R1800"/>
      <c r="S1800"/>
      <c r="T1800"/>
      <c r="U1800"/>
      <c r="V1800"/>
      <c r="W1800"/>
      <c r="X1800"/>
      <c r="Y1800"/>
      <c r="Z1800"/>
      <c r="AA1800"/>
      <c r="AB1800"/>
      <c r="AC1800"/>
      <c r="AD1800"/>
      <c r="AE1800"/>
      <c r="AF1800"/>
      <c r="AG1800"/>
      <c r="AH1800"/>
      <c r="AI1800"/>
      <c r="AJ1800"/>
      <c r="AK1800"/>
      <c r="AL1800"/>
      <c r="AM1800"/>
      <c r="AN1800"/>
      <c r="AO1800"/>
      <c r="AP1800"/>
      <c r="AQ1800"/>
      <c r="AR1800"/>
      <c r="AS1800"/>
      <c r="AT1800"/>
      <c r="AU1800"/>
      <c r="AV1800"/>
      <c r="AW1800"/>
      <c r="AX1800"/>
      <c r="AY1800"/>
      <c r="AZ1800"/>
      <c r="BA1800"/>
      <c r="BB1800"/>
      <c r="BC1800"/>
      <c r="BD1800"/>
      <c r="BE1800"/>
      <c r="BF1800"/>
      <c r="BG1800"/>
      <c r="BH1800"/>
      <c r="BI1800"/>
      <c r="BJ1800"/>
      <c r="BK1800"/>
      <c r="BL1800"/>
      <c r="BM1800"/>
      <c r="BN1800"/>
      <c r="BO1800"/>
      <c r="BP1800"/>
      <c r="BQ1800"/>
      <c r="BR1800"/>
      <c r="BS1800"/>
      <c r="BT1800"/>
      <c r="BU1800"/>
      <c r="BV1800"/>
      <c r="BW1800"/>
      <c r="BX1800"/>
      <c r="BY1800"/>
      <c r="BZ1800"/>
      <c r="CA1800"/>
      <c r="CB1800"/>
      <c r="CC1800"/>
      <c r="CD1800"/>
      <c r="CE1800"/>
      <c r="CF1800"/>
      <c r="CG1800"/>
      <c r="CH1800"/>
      <c r="CI1800"/>
      <c r="CJ1800"/>
      <c r="CK1800"/>
      <c r="CL1800"/>
      <c r="CM1800"/>
      <c r="CN1800"/>
      <c r="CO1800"/>
      <c r="CP1800"/>
      <c r="CQ1800"/>
      <c r="CR1800"/>
      <c r="CS1800"/>
      <c r="CT1800"/>
      <c r="CU1800"/>
      <c r="CV1800"/>
      <c r="CW1800"/>
      <c r="CX1800"/>
      <c r="CY1800"/>
      <c r="CZ1800"/>
      <c r="DA1800"/>
      <c r="DB1800"/>
      <c r="DC1800"/>
      <c r="DD1800"/>
      <c r="DE1800"/>
      <c r="DF1800"/>
      <c r="DG1800"/>
      <c r="DH1800"/>
      <c r="DI1800"/>
      <c r="DJ1800"/>
      <c r="DK1800"/>
      <c r="DL1800"/>
      <c r="DM1800"/>
      <c r="DN1800"/>
      <c r="DO1800"/>
      <c r="DP1800"/>
      <c r="DQ1800"/>
      <c r="DR1800"/>
      <c r="DS1800"/>
      <c r="DT1800"/>
      <c r="DU1800"/>
      <c r="DV1800"/>
      <c r="DW1800"/>
      <c r="DX1800"/>
      <c r="DY1800"/>
      <c r="DZ1800"/>
      <c r="EA1800"/>
      <c r="EB1800"/>
      <c r="EC1800"/>
      <c r="ED1800"/>
      <c r="EE1800"/>
      <c r="EF1800"/>
      <c r="EG1800"/>
      <c r="EH1800"/>
      <c r="EI1800"/>
      <c r="EJ1800"/>
      <c r="EK1800"/>
      <c r="EL1800"/>
      <c r="EM1800"/>
      <c r="EN1800"/>
      <c r="EO1800"/>
      <c r="EP1800"/>
      <c r="EQ1800"/>
      <c r="ER1800"/>
      <c r="ES1800"/>
    </row>
    <row r="1801" spans="1:149">
      <c r="A1801"/>
      <c r="B1801"/>
      <c r="C1801"/>
      <c r="D1801"/>
      <c r="E1801"/>
      <c r="F1801"/>
      <c r="G1801"/>
      <c r="H1801"/>
      <c r="I1801"/>
      <c r="J1801"/>
      <c r="K1801"/>
      <c r="L1801"/>
      <c r="M1801"/>
      <c r="N1801"/>
      <c r="O1801"/>
      <c r="P1801"/>
      <c r="Q1801"/>
      <c r="R1801"/>
      <c r="S1801"/>
      <c r="T1801"/>
      <c r="U1801"/>
      <c r="V1801"/>
      <c r="W1801"/>
      <c r="X1801"/>
      <c r="Y1801"/>
      <c r="Z1801"/>
      <c r="AA1801"/>
      <c r="AB1801"/>
      <c r="AC1801"/>
      <c r="AD1801"/>
      <c r="AE1801"/>
      <c r="AF1801"/>
      <c r="AG1801"/>
      <c r="AH1801"/>
      <c r="AI1801"/>
      <c r="AJ1801"/>
      <c r="AK1801"/>
      <c r="AL1801"/>
      <c r="AM1801"/>
      <c r="AN1801"/>
      <c r="AO1801"/>
      <c r="AP1801"/>
      <c r="AQ1801"/>
      <c r="AR1801"/>
      <c r="AS1801"/>
      <c r="AT1801"/>
      <c r="AU1801"/>
      <c r="AV1801"/>
      <c r="AW1801"/>
      <c r="AX1801"/>
      <c r="AY1801"/>
      <c r="AZ1801"/>
      <c r="BA1801"/>
      <c r="BB1801"/>
      <c r="BC1801"/>
      <c r="BD1801"/>
      <c r="BE1801"/>
      <c r="BF1801"/>
      <c r="BG1801"/>
      <c r="BH1801"/>
      <c r="BI1801"/>
      <c r="BJ1801"/>
      <c r="BK1801"/>
      <c r="BL1801"/>
      <c r="BM1801"/>
      <c r="BN1801"/>
      <c r="BO1801"/>
      <c r="BP1801"/>
      <c r="BQ1801"/>
      <c r="BR1801"/>
      <c r="BS1801"/>
      <c r="BT1801"/>
      <c r="BU1801"/>
      <c r="BV1801"/>
      <c r="BW1801"/>
      <c r="BX1801"/>
      <c r="BY1801"/>
      <c r="BZ1801"/>
      <c r="CA1801"/>
      <c r="CB1801"/>
      <c r="CC1801"/>
      <c r="CD1801"/>
      <c r="CE1801"/>
      <c r="CF1801"/>
      <c r="CG1801"/>
      <c r="CH1801"/>
      <c r="CI1801"/>
      <c r="CJ1801"/>
      <c r="CK1801"/>
      <c r="CL1801"/>
      <c r="CM1801"/>
      <c r="CN1801"/>
      <c r="CO1801"/>
      <c r="CP1801"/>
      <c r="CQ1801"/>
      <c r="CR1801"/>
      <c r="CS1801"/>
      <c r="CT1801"/>
      <c r="CU1801"/>
      <c r="CV1801"/>
      <c r="CW1801"/>
      <c r="CX1801"/>
      <c r="CY1801"/>
      <c r="CZ1801"/>
      <c r="DA1801"/>
      <c r="DB1801"/>
      <c r="DC1801"/>
      <c r="DD1801"/>
      <c r="DE1801"/>
      <c r="DF1801"/>
      <c r="DG1801"/>
      <c r="DH1801"/>
      <c r="DI1801"/>
      <c r="DJ1801"/>
      <c r="DK1801"/>
      <c r="DL1801"/>
      <c r="DM1801"/>
      <c r="DN1801"/>
      <c r="DO1801"/>
      <c r="DP1801"/>
      <c r="DQ1801"/>
      <c r="DR1801"/>
      <c r="DS1801"/>
      <c r="DT1801"/>
      <c r="DU1801"/>
      <c r="DV1801"/>
      <c r="DW1801"/>
      <c r="DX1801"/>
      <c r="DY1801"/>
      <c r="DZ1801"/>
      <c r="EA1801"/>
      <c r="EB1801"/>
      <c r="EC1801"/>
      <c r="ED1801"/>
      <c r="EE1801"/>
      <c r="EF1801"/>
      <c r="EG1801"/>
      <c r="EH1801"/>
      <c r="EI1801"/>
      <c r="EJ1801"/>
      <c r="EK1801"/>
      <c r="EL1801"/>
      <c r="EM1801"/>
      <c r="EN1801"/>
      <c r="EO1801"/>
      <c r="EP1801"/>
      <c r="EQ1801"/>
      <c r="ER1801"/>
      <c r="ES1801"/>
    </row>
    <row r="1802" spans="1:149">
      <c r="A1802"/>
      <c r="B1802"/>
      <c r="C1802"/>
      <c r="D1802"/>
      <c r="E1802"/>
      <c r="F1802"/>
      <c r="G1802"/>
      <c r="H1802"/>
      <c r="I1802"/>
      <c r="J1802"/>
      <c r="K1802"/>
      <c r="L1802"/>
      <c r="M1802"/>
      <c r="N1802"/>
      <c r="O1802"/>
      <c r="P1802"/>
      <c r="Q1802"/>
      <c r="R1802"/>
      <c r="S1802"/>
      <c r="T1802"/>
      <c r="U1802"/>
      <c r="V1802"/>
      <c r="W1802"/>
      <c r="X1802"/>
      <c r="Y1802"/>
      <c r="Z1802"/>
      <c r="AA1802"/>
      <c r="AB1802"/>
      <c r="AC1802"/>
      <c r="AD1802"/>
      <c r="AE1802"/>
      <c r="AF1802"/>
      <c r="AG1802"/>
      <c r="AH1802"/>
      <c r="AI1802"/>
      <c r="AJ1802"/>
      <c r="AK1802"/>
      <c r="AL1802"/>
      <c r="AM1802"/>
      <c r="AN1802"/>
      <c r="AO1802"/>
      <c r="AP1802"/>
      <c r="AQ1802"/>
      <c r="AR1802"/>
      <c r="AS1802"/>
      <c r="AT1802"/>
      <c r="AU1802"/>
      <c r="AV1802"/>
      <c r="AW1802"/>
      <c r="AX1802"/>
      <c r="AY1802"/>
      <c r="AZ1802"/>
      <c r="BA1802"/>
      <c r="BB1802"/>
      <c r="BC1802"/>
      <c r="BD1802"/>
      <c r="BE1802"/>
      <c r="BF1802"/>
      <c r="BG1802"/>
      <c r="BH1802"/>
      <c r="BI1802"/>
      <c r="BJ1802"/>
      <c r="BK1802"/>
      <c r="BL1802"/>
      <c r="BM1802"/>
      <c r="BN1802"/>
      <c r="BO1802"/>
      <c r="BP1802"/>
      <c r="BQ1802"/>
      <c r="BR1802"/>
      <c r="BS1802"/>
      <c r="BT1802"/>
      <c r="BU1802"/>
      <c r="BV1802"/>
      <c r="BW1802"/>
      <c r="BX1802"/>
      <c r="BY1802"/>
      <c r="BZ1802"/>
      <c r="CA1802"/>
      <c r="CB1802"/>
      <c r="CC1802"/>
      <c r="CD1802"/>
      <c r="CE1802"/>
      <c r="CF1802"/>
      <c r="CG1802"/>
      <c r="CH1802"/>
      <c r="CI1802"/>
      <c r="CJ1802"/>
      <c r="CK1802"/>
      <c r="CL1802"/>
      <c r="CM1802"/>
      <c r="CN1802"/>
      <c r="CO1802"/>
      <c r="CP1802"/>
      <c r="CQ1802"/>
      <c r="CR1802"/>
      <c r="CS1802"/>
      <c r="CT1802"/>
      <c r="CU1802"/>
      <c r="CV1802"/>
      <c r="CW1802"/>
      <c r="CX1802"/>
      <c r="CY1802"/>
      <c r="CZ1802"/>
      <c r="DA1802"/>
      <c r="DB1802"/>
      <c r="DC1802"/>
      <c r="DD1802"/>
      <c r="DE1802"/>
      <c r="DF1802"/>
      <c r="DG1802"/>
      <c r="DH1802"/>
      <c r="DI1802"/>
      <c r="DJ1802"/>
      <c r="DK1802"/>
      <c r="DL1802"/>
      <c r="DM1802"/>
      <c r="DN1802"/>
      <c r="DO1802"/>
      <c r="DP1802"/>
      <c r="DQ1802"/>
      <c r="DR1802"/>
      <c r="DS1802"/>
      <c r="DT1802"/>
      <c r="DU1802"/>
      <c r="DV1802"/>
      <c r="DW1802"/>
      <c r="DX1802"/>
      <c r="DY1802"/>
      <c r="DZ1802"/>
      <c r="EA1802"/>
      <c r="EB1802"/>
      <c r="EC1802"/>
      <c r="ED1802"/>
      <c r="EE1802"/>
      <c r="EF1802"/>
      <c r="EG1802"/>
      <c r="EH1802"/>
      <c r="EI1802"/>
      <c r="EJ1802"/>
      <c r="EK1802"/>
      <c r="EL1802"/>
      <c r="EM1802"/>
      <c r="EN1802"/>
      <c r="EO1802"/>
      <c r="EP1802"/>
      <c r="EQ1802"/>
      <c r="ER1802"/>
      <c r="ES1802"/>
    </row>
    <row r="1803" spans="1:149">
      <c r="A1803"/>
      <c r="B1803"/>
      <c r="C1803"/>
      <c r="D1803"/>
      <c r="E1803"/>
      <c r="F1803"/>
      <c r="G1803"/>
      <c r="H1803"/>
      <c r="I1803"/>
      <c r="J1803"/>
      <c r="K1803"/>
      <c r="L1803"/>
      <c r="M1803"/>
      <c r="N1803"/>
      <c r="O1803"/>
      <c r="P1803"/>
      <c r="Q1803"/>
      <c r="R1803"/>
      <c r="S1803"/>
      <c r="T1803"/>
      <c r="U1803"/>
      <c r="V1803"/>
      <c r="W1803"/>
      <c r="X1803"/>
      <c r="Y1803"/>
      <c r="Z1803"/>
      <c r="AA1803"/>
      <c r="AB1803"/>
      <c r="AC1803"/>
      <c r="AD1803"/>
      <c r="AE1803"/>
      <c r="AF1803"/>
      <c r="AG1803"/>
      <c r="AH1803"/>
      <c r="AI1803"/>
      <c r="AJ1803"/>
      <c r="AK1803"/>
      <c r="AL1803"/>
      <c r="AM1803"/>
      <c r="AN1803"/>
      <c r="AO1803"/>
      <c r="AP1803"/>
      <c r="AQ1803"/>
      <c r="AR1803"/>
      <c r="AS1803"/>
      <c r="AT1803"/>
      <c r="AU1803"/>
      <c r="AV1803"/>
      <c r="AW1803"/>
      <c r="AX1803"/>
      <c r="AY1803"/>
      <c r="AZ1803"/>
      <c r="BA1803"/>
      <c r="BB1803"/>
      <c r="BC1803"/>
      <c r="BD1803"/>
      <c r="BE1803"/>
      <c r="BF1803"/>
      <c r="BG1803"/>
      <c r="BH1803"/>
      <c r="BI1803"/>
      <c r="BJ1803"/>
      <c r="BK1803"/>
      <c r="BL1803"/>
      <c r="BM1803"/>
      <c r="BN1803"/>
      <c r="BO1803"/>
      <c r="BP1803"/>
      <c r="BQ1803"/>
      <c r="BR1803"/>
      <c r="BS1803"/>
      <c r="BT1803"/>
      <c r="BU1803"/>
      <c r="BV1803"/>
      <c r="BW1803"/>
      <c r="BX1803"/>
      <c r="BY1803"/>
      <c r="BZ1803"/>
      <c r="CA1803"/>
      <c r="CB1803"/>
      <c r="CC1803"/>
      <c r="CD1803"/>
      <c r="CE1803"/>
      <c r="CF1803"/>
      <c r="CG1803"/>
      <c r="CH1803"/>
      <c r="CI1803"/>
      <c r="CJ1803"/>
      <c r="CK1803"/>
      <c r="CL1803"/>
      <c r="CM1803"/>
      <c r="CN1803"/>
      <c r="CO1803"/>
      <c r="CP1803"/>
      <c r="CQ1803"/>
      <c r="CR1803"/>
      <c r="CS1803"/>
      <c r="CT1803"/>
      <c r="CU1803"/>
      <c r="CV1803"/>
      <c r="CW1803"/>
      <c r="CX1803"/>
      <c r="CY1803"/>
      <c r="CZ1803"/>
      <c r="DA1803"/>
      <c r="DB1803"/>
      <c r="DC1803"/>
      <c r="DD1803"/>
      <c r="DE1803"/>
      <c r="DF1803"/>
      <c r="DG1803"/>
      <c r="DH1803"/>
      <c r="DI1803"/>
      <c r="DJ1803"/>
      <c r="DK1803"/>
      <c r="DL1803"/>
      <c r="DM1803"/>
      <c r="DN1803"/>
      <c r="DO1803"/>
      <c r="DP1803"/>
      <c r="DQ1803"/>
      <c r="DR1803"/>
      <c r="DS1803"/>
      <c r="DT1803"/>
      <c r="DU1803"/>
      <c r="DV1803"/>
      <c r="DW1803"/>
      <c r="DX1803"/>
      <c r="DY1803"/>
      <c r="DZ1803"/>
      <c r="EA1803"/>
      <c r="EB1803"/>
      <c r="EC1803"/>
      <c r="ED1803"/>
      <c r="EE1803"/>
      <c r="EF1803"/>
      <c r="EG1803"/>
      <c r="EH1803"/>
      <c r="EI1803"/>
      <c r="EJ1803"/>
      <c r="EK1803"/>
      <c r="EL1803"/>
      <c r="EM1803"/>
      <c r="EN1803"/>
      <c r="EO1803"/>
      <c r="EP1803"/>
      <c r="EQ1803"/>
      <c r="ER1803"/>
      <c r="ES1803"/>
    </row>
    <row r="1804" spans="1:149">
      <c r="A1804"/>
      <c r="B1804"/>
      <c r="C1804"/>
      <c r="D1804"/>
      <c r="E1804"/>
      <c r="F1804"/>
      <c r="G1804"/>
      <c r="H1804"/>
      <c r="I1804"/>
      <c r="J1804"/>
      <c r="K1804"/>
      <c r="L1804"/>
      <c r="M1804"/>
      <c r="N1804"/>
      <c r="O1804"/>
      <c r="P1804"/>
      <c r="Q1804"/>
      <c r="R1804"/>
      <c r="S1804"/>
      <c r="T1804"/>
      <c r="U1804"/>
      <c r="V1804"/>
      <c r="W1804"/>
      <c r="X1804"/>
      <c r="Y1804"/>
      <c r="Z1804"/>
      <c r="AA1804"/>
      <c r="AB1804"/>
      <c r="AC1804"/>
      <c r="AD1804"/>
      <c r="AE1804"/>
      <c r="AF1804"/>
      <c r="AG1804"/>
      <c r="AH1804"/>
      <c r="AI1804"/>
      <c r="AJ1804"/>
      <c r="AK1804"/>
      <c r="AL1804"/>
      <c r="AM1804"/>
      <c r="AN1804"/>
      <c r="AO1804"/>
      <c r="AP1804"/>
      <c r="AQ1804"/>
      <c r="AR1804"/>
      <c r="AS1804"/>
      <c r="AT1804"/>
      <c r="AU1804"/>
      <c r="AV1804"/>
      <c r="AW1804"/>
      <c r="AX1804"/>
      <c r="AY1804"/>
      <c r="AZ1804"/>
      <c r="BA1804"/>
      <c r="BB1804"/>
      <c r="BC1804"/>
      <c r="BD1804"/>
      <c r="BE1804"/>
      <c r="BF1804"/>
      <c r="BG1804"/>
      <c r="BH1804"/>
      <c r="BI1804"/>
      <c r="BJ1804"/>
      <c r="BK1804"/>
      <c r="BL1804"/>
      <c r="BM1804"/>
      <c r="BN1804"/>
      <c r="BO1804"/>
      <c r="BP1804"/>
      <c r="BQ1804"/>
      <c r="BR1804"/>
      <c r="BS1804"/>
      <c r="BT1804"/>
      <c r="BU1804"/>
      <c r="BV1804"/>
      <c r="BW1804"/>
      <c r="BX1804"/>
      <c r="BY1804"/>
      <c r="BZ1804"/>
      <c r="CA1804"/>
      <c r="CB1804"/>
      <c r="CC1804"/>
      <c r="CD1804"/>
      <c r="CE1804"/>
      <c r="CF1804"/>
      <c r="CG1804"/>
      <c r="CH1804"/>
      <c r="CI1804"/>
      <c r="CJ1804"/>
      <c r="CK1804"/>
      <c r="CL1804"/>
      <c r="CM1804"/>
      <c r="CN1804"/>
      <c r="CO1804"/>
      <c r="CP1804"/>
      <c r="CQ1804"/>
      <c r="CR1804"/>
      <c r="CS1804"/>
      <c r="CT1804"/>
      <c r="CU1804"/>
      <c r="CV1804"/>
      <c r="CW1804"/>
      <c r="CX1804"/>
      <c r="CY1804"/>
      <c r="CZ1804"/>
      <c r="DA1804"/>
      <c r="DB1804"/>
      <c r="DC1804"/>
      <c r="DD1804"/>
      <c r="DE1804"/>
      <c r="DF1804"/>
      <c r="DG1804"/>
      <c r="DH1804"/>
      <c r="DI1804"/>
      <c r="DJ1804"/>
      <c r="DK1804"/>
      <c r="DL1804"/>
      <c r="DM1804"/>
      <c r="DN1804"/>
      <c r="DO1804"/>
      <c r="DP1804"/>
      <c r="DQ1804"/>
      <c r="DR1804"/>
      <c r="DS1804"/>
      <c r="DT1804"/>
      <c r="DU1804"/>
      <c r="DV1804"/>
      <c r="DW1804"/>
      <c r="DX1804"/>
      <c r="DY1804"/>
      <c r="DZ1804"/>
      <c r="EA1804"/>
      <c r="EB1804"/>
      <c r="EC1804"/>
      <c r="ED1804"/>
      <c r="EE1804"/>
      <c r="EF1804"/>
      <c r="EG1804"/>
      <c r="EH1804"/>
      <c r="EI1804"/>
      <c r="EJ1804"/>
      <c r="EK1804"/>
      <c r="EL1804"/>
      <c r="EM1804"/>
      <c r="EN1804"/>
      <c r="EO1804"/>
      <c r="EP1804"/>
      <c r="EQ1804"/>
      <c r="ER1804"/>
      <c r="ES1804"/>
    </row>
    <row r="1805" spans="1:149">
      <c r="A1805"/>
      <c r="B1805"/>
      <c r="C1805"/>
      <c r="D1805"/>
      <c r="E1805"/>
      <c r="F1805"/>
      <c r="G1805"/>
      <c r="H1805"/>
      <c r="I1805"/>
      <c r="J1805"/>
      <c r="K1805"/>
      <c r="L1805"/>
      <c r="M1805"/>
      <c r="N1805"/>
      <c r="O1805"/>
      <c r="P1805"/>
      <c r="Q1805"/>
      <c r="R1805"/>
      <c r="S1805"/>
      <c r="T1805"/>
      <c r="U1805"/>
      <c r="V1805"/>
      <c r="W1805"/>
      <c r="X1805"/>
      <c r="Y1805"/>
      <c r="Z1805"/>
      <c r="AA1805"/>
      <c r="AB1805"/>
      <c r="AC1805"/>
      <c r="AD1805"/>
      <c r="AE1805"/>
      <c r="AF1805"/>
      <c r="AG1805"/>
      <c r="AH1805"/>
      <c r="AI1805"/>
      <c r="AJ1805"/>
      <c r="AK1805"/>
      <c r="AL1805"/>
      <c r="AM1805"/>
      <c r="AN1805"/>
      <c r="AO1805"/>
      <c r="AP1805"/>
      <c r="AQ1805"/>
      <c r="AR1805"/>
      <c r="AS1805"/>
      <c r="AT1805"/>
      <c r="AU1805"/>
      <c r="AV1805"/>
      <c r="AW1805"/>
      <c r="AX1805"/>
      <c r="AY1805"/>
      <c r="AZ1805"/>
      <c r="BA1805"/>
      <c r="BB1805"/>
      <c r="BC1805"/>
      <c r="BD1805"/>
      <c r="BE1805"/>
      <c r="BF1805"/>
      <c r="BG1805"/>
      <c r="BH1805"/>
      <c r="BI1805"/>
      <c r="BJ1805"/>
      <c r="BK1805"/>
      <c r="BL1805"/>
      <c r="BM1805"/>
      <c r="BN1805"/>
      <c r="BO1805"/>
      <c r="BP1805"/>
      <c r="BQ1805"/>
      <c r="BR1805"/>
      <c r="BS1805"/>
      <c r="BT1805"/>
      <c r="BU1805"/>
      <c r="BV1805"/>
      <c r="BW1805"/>
      <c r="BX1805"/>
      <c r="BY1805"/>
      <c r="BZ1805"/>
      <c r="CA1805"/>
      <c r="CB1805"/>
      <c r="CC1805"/>
      <c r="CD1805"/>
      <c r="CE1805"/>
      <c r="CF1805"/>
      <c r="CG1805"/>
      <c r="CH1805"/>
      <c r="CI1805"/>
      <c r="CJ1805"/>
      <c r="CK1805"/>
      <c r="CL1805"/>
      <c r="CM1805"/>
      <c r="CN1805"/>
      <c r="CO1805"/>
      <c r="CP1805"/>
      <c r="CQ1805"/>
      <c r="CR1805"/>
      <c r="CS1805"/>
      <c r="CT1805"/>
      <c r="CU1805"/>
      <c r="CV1805"/>
      <c r="CW1805"/>
      <c r="CX1805"/>
      <c r="CY1805"/>
      <c r="CZ1805"/>
      <c r="DA1805"/>
      <c r="DB1805"/>
      <c r="DC1805"/>
      <c r="DD1805"/>
      <c r="DE1805"/>
      <c r="DF1805"/>
      <c r="DG1805"/>
      <c r="DH1805"/>
      <c r="DI1805"/>
      <c r="DJ1805"/>
      <c r="DK1805"/>
      <c r="DL1805"/>
      <c r="DM1805"/>
      <c r="DN1805"/>
      <c r="DO1805"/>
      <c r="DP1805"/>
      <c r="DQ1805"/>
      <c r="DR1805"/>
      <c r="DS1805"/>
      <c r="DT1805"/>
      <c r="DU1805"/>
      <c r="DV1805"/>
      <c r="DW1805"/>
      <c r="DX1805"/>
      <c r="DY1805"/>
      <c r="DZ1805"/>
      <c r="EA1805"/>
      <c r="EB1805"/>
      <c r="EC1805"/>
      <c r="ED1805"/>
      <c r="EE1805"/>
      <c r="EF1805"/>
      <c r="EG1805"/>
      <c r="EH1805"/>
      <c r="EI1805"/>
      <c r="EJ1805"/>
      <c r="EK1805"/>
      <c r="EL1805"/>
      <c r="EM1805"/>
      <c r="EN1805"/>
      <c r="EO1805"/>
      <c r="EP1805"/>
      <c r="EQ1805"/>
      <c r="ER1805"/>
      <c r="ES1805"/>
    </row>
    <row r="1806" spans="1:149">
      <c r="A1806"/>
      <c r="B1806"/>
      <c r="C1806"/>
      <c r="D1806"/>
      <c r="E1806"/>
      <c r="F1806"/>
      <c r="G1806"/>
      <c r="H1806"/>
      <c r="I1806"/>
      <c r="J1806"/>
      <c r="K1806"/>
      <c r="L1806"/>
      <c r="M1806"/>
      <c r="N1806"/>
      <c r="O1806"/>
      <c r="P1806"/>
      <c r="Q1806"/>
      <c r="R1806"/>
      <c r="S1806"/>
      <c r="T1806"/>
      <c r="U1806"/>
      <c r="V1806"/>
      <c r="W1806"/>
      <c r="X1806"/>
      <c r="Y1806"/>
      <c r="Z1806"/>
      <c r="AA1806"/>
      <c r="AB1806"/>
      <c r="AC1806"/>
      <c r="AD1806"/>
      <c r="AE1806"/>
      <c r="AF1806"/>
      <c r="AG1806"/>
      <c r="AH1806"/>
      <c r="AI1806"/>
      <c r="AJ1806"/>
      <c r="AK1806"/>
      <c r="AL1806"/>
      <c r="AM1806"/>
      <c r="AN1806"/>
      <c r="AO1806"/>
      <c r="AP1806"/>
      <c r="AQ1806"/>
      <c r="AR1806"/>
      <c r="AS1806"/>
      <c r="AT1806"/>
      <c r="AU1806"/>
      <c r="AV1806"/>
      <c r="AW1806"/>
      <c r="AX1806"/>
      <c r="AY1806"/>
      <c r="AZ1806"/>
      <c r="BA1806"/>
      <c r="BB1806"/>
      <c r="BC1806"/>
      <c r="BD1806"/>
      <c r="BE1806"/>
      <c r="BF1806"/>
      <c r="BG1806"/>
      <c r="BH1806"/>
      <c r="BI1806"/>
      <c r="BJ1806"/>
      <c r="BK1806"/>
      <c r="BL1806"/>
      <c r="BM1806"/>
      <c r="BN1806"/>
      <c r="BO1806"/>
      <c r="BP1806"/>
      <c r="BQ1806"/>
      <c r="BR1806"/>
      <c r="BS1806"/>
      <c r="BT1806"/>
      <c r="BU1806"/>
      <c r="BV1806"/>
      <c r="BW1806"/>
      <c r="BX1806"/>
      <c r="BY1806"/>
      <c r="BZ1806"/>
      <c r="CA1806"/>
      <c r="CB1806"/>
      <c r="CC1806"/>
      <c r="CD1806"/>
      <c r="CE1806"/>
      <c r="CF1806"/>
      <c r="CG1806"/>
      <c r="CH1806"/>
      <c r="CI1806"/>
      <c r="CJ1806"/>
      <c r="CK1806"/>
      <c r="CL1806"/>
      <c r="CM1806"/>
      <c r="CN1806"/>
      <c r="CO1806"/>
      <c r="CP1806"/>
      <c r="CQ1806"/>
      <c r="CR1806"/>
      <c r="CS1806"/>
      <c r="CT1806"/>
      <c r="CU1806"/>
      <c r="CV1806"/>
      <c r="CW1806"/>
      <c r="CX1806"/>
      <c r="CY1806"/>
      <c r="CZ1806"/>
      <c r="DA1806"/>
      <c r="DB1806"/>
      <c r="DC1806"/>
      <c r="DD1806"/>
      <c r="DE1806"/>
      <c r="DF1806"/>
      <c r="DG1806"/>
      <c r="DH1806"/>
      <c r="DI1806"/>
      <c r="DJ1806"/>
      <c r="DK1806"/>
      <c r="DL1806"/>
      <c r="DM1806"/>
      <c r="DN1806"/>
      <c r="DO1806"/>
      <c r="DP1806"/>
      <c r="DQ1806"/>
      <c r="DR1806"/>
      <c r="DS1806"/>
      <c r="DT1806"/>
      <c r="DU1806"/>
      <c r="DV1806"/>
      <c r="DW1806"/>
      <c r="DX1806"/>
      <c r="DY1806"/>
      <c r="DZ1806"/>
      <c r="EA1806"/>
      <c r="EB1806"/>
      <c r="EC1806"/>
      <c r="ED1806"/>
      <c r="EE1806"/>
      <c r="EF1806"/>
      <c r="EG1806"/>
      <c r="EH1806"/>
      <c r="EI1806"/>
      <c r="EJ1806"/>
      <c r="EK1806"/>
      <c r="EL1806"/>
      <c r="EM1806"/>
      <c r="EN1806"/>
      <c r="EO1806"/>
      <c r="EP1806"/>
      <c r="EQ1806"/>
      <c r="ER1806"/>
      <c r="ES1806"/>
    </row>
    <row r="1807" spans="1:149">
      <c r="A1807"/>
      <c r="B1807"/>
      <c r="C1807"/>
      <c r="D1807"/>
      <c r="E1807"/>
      <c r="F1807"/>
      <c r="G1807"/>
      <c r="H1807"/>
      <c r="I1807"/>
      <c r="J1807"/>
      <c r="K1807"/>
      <c r="L1807"/>
      <c r="M1807"/>
      <c r="N1807"/>
      <c r="O1807"/>
      <c r="P1807"/>
      <c r="Q1807"/>
      <c r="R1807"/>
      <c r="S1807"/>
      <c r="T1807"/>
      <c r="U1807"/>
      <c r="V1807"/>
      <c r="W1807"/>
      <c r="X1807"/>
      <c r="Y1807"/>
      <c r="Z1807"/>
      <c r="AA1807"/>
      <c r="AB1807"/>
      <c r="AC1807"/>
      <c r="AD1807"/>
      <c r="AE1807"/>
      <c r="AF1807"/>
      <c r="AG1807"/>
      <c r="AH1807"/>
      <c r="AI1807"/>
      <c r="AJ1807"/>
      <c r="AK1807"/>
      <c r="AL1807"/>
      <c r="AM1807"/>
      <c r="AN1807"/>
      <c r="AO1807"/>
      <c r="AP1807"/>
      <c r="AQ1807"/>
      <c r="AR1807"/>
      <c r="AS1807"/>
      <c r="AT1807"/>
      <c r="AU1807"/>
      <c r="AV1807"/>
      <c r="AW1807"/>
      <c r="AX1807"/>
      <c r="AY1807"/>
      <c r="AZ1807"/>
      <c r="BA1807"/>
      <c r="BB1807"/>
      <c r="BC1807"/>
      <c r="BD1807"/>
      <c r="BE1807"/>
      <c r="BF1807"/>
      <c r="BG1807"/>
      <c r="BH1807"/>
      <c r="BI1807"/>
      <c r="BJ1807"/>
      <c r="BK1807"/>
      <c r="BL1807"/>
      <c r="BM1807"/>
      <c r="BN1807"/>
      <c r="BO1807"/>
      <c r="BP1807"/>
      <c r="BQ1807"/>
      <c r="BR1807"/>
      <c r="BS1807"/>
      <c r="BT1807"/>
      <c r="BU1807"/>
      <c r="BV1807"/>
      <c r="BW1807"/>
      <c r="BX1807"/>
      <c r="BY1807"/>
      <c r="BZ1807"/>
      <c r="CA1807"/>
      <c r="CB1807"/>
      <c r="CC1807"/>
      <c r="CD1807"/>
      <c r="CE1807"/>
      <c r="CF1807"/>
      <c r="CG1807"/>
      <c r="CH1807"/>
      <c r="CI1807"/>
      <c r="CJ1807"/>
      <c r="CK1807"/>
      <c r="CL1807"/>
      <c r="CM1807"/>
      <c r="CN1807"/>
      <c r="CO1807"/>
      <c r="CP1807"/>
      <c r="CQ1807"/>
      <c r="CR1807"/>
      <c r="CS1807"/>
      <c r="CT1807"/>
      <c r="CU1807"/>
      <c r="CV1807"/>
      <c r="CW1807"/>
      <c r="CX1807"/>
      <c r="CY1807"/>
      <c r="CZ1807"/>
      <c r="DA1807"/>
      <c r="DB1807"/>
      <c r="DC1807"/>
      <c r="DD1807"/>
      <c r="DE1807"/>
      <c r="DF1807"/>
      <c r="DG1807"/>
      <c r="DH1807"/>
      <c r="DI1807"/>
      <c r="DJ1807"/>
      <c r="DK1807"/>
      <c r="DL1807"/>
      <c r="DM1807"/>
      <c r="DN1807"/>
      <c r="DO1807"/>
      <c r="DP1807"/>
      <c r="DQ1807"/>
      <c r="DR1807"/>
      <c r="DS1807"/>
      <c r="DT1807"/>
      <c r="DU1807"/>
      <c r="DV1807"/>
      <c r="DW1807"/>
      <c r="DX1807"/>
      <c r="DY1807"/>
      <c r="DZ1807"/>
      <c r="EA1807"/>
      <c r="EB1807"/>
      <c r="EC1807"/>
      <c r="ED1807"/>
      <c r="EE1807"/>
      <c r="EF1807"/>
      <c r="EG1807"/>
      <c r="EH1807"/>
      <c r="EI1807"/>
      <c r="EJ1807"/>
      <c r="EK1807"/>
      <c r="EL1807"/>
      <c r="EM1807"/>
      <c r="EN1807"/>
      <c r="EO1807"/>
      <c r="EP1807"/>
      <c r="EQ1807"/>
      <c r="ER1807"/>
      <c r="ES1807"/>
    </row>
    <row r="1808" spans="1:149">
      <c r="A1808"/>
      <c r="B1808"/>
      <c r="C1808"/>
      <c r="D1808"/>
      <c r="E1808"/>
      <c r="F1808"/>
      <c r="G1808"/>
      <c r="H1808"/>
      <c r="I1808"/>
      <c r="J1808"/>
      <c r="K1808"/>
      <c r="L1808"/>
      <c r="M1808"/>
      <c r="N1808"/>
      <c r="O1808"/>
      <c r="P1808"/>
      <c r="Q1808"/>
      <c r="R1808"/>
      <c r="S1808"/>
      <c r="T1808"/>
      <c r="U1808"/>
      <c r="V1808"/>
      <c r="W1808"/>
      <c r="X1808"/>
      <c r="Y1808"/>
      <c r="Z1808"/>
      <c r="AA1808"/>
      <c r="AB1808"/>
      <c r="AC1808"/>
      <c r="AD1808"/>
      <c r="AE1808"/>
      <c r="AF1808"/>
      <c r="AG1808"/>
      <c r="AH1808"/>
      <c r="AI1808"/>
      <c r="AJ1808"/>
      <c r="AK1808"/>
      <c r="AL1808"/>
      <c r="AM1808"/>
      <c r="AN1808"/>
      <c r="AO1808"/>
      <c r="AP1808"/>
      <c r="AQ1808"/>
      <c r="AR1808"/>
      <c r="AS1808"/>
      <c r="AT1808"/>
      <c r="AU1808"/>
      <c r="AV1808"/>
      <c r="AW1808"/>
      <c r="AX1808"/>
      <c r="AY1808"/>
      <c r="AZ1808"/>
      <c r="BA1808"/>
      <c r="BB1808"/>
      <c r="BC1808"/>
      <c r="BD1808"/>
      <c r="BE1808"/>
      <c r="BF1808"/>
      <c r="BG1808"/>
      <c r="BH1808"/>
      <c r="BI1808"/>
      <c r="BJ1808"/>
      <c r="BK1808"/>
      <c r="BL1808"/>
      <c r="BM1808"/>
      <c r="BN1808"/>
      <c r="BO1808"/>
      <c r="BP1808"/>
      <c r="BQ1808"/>
      <c r="BR1808"/>
      <c r="BS1808"/>
      <c r="BT1808"/>
      <c r="BU1808"/>
      <c r="BV1808"/>
      <c r="BW1808"/>
      <c r="BX1808"/>
      <c r="BY1808"/>
      <c r="BZ1808"/>
      <c r="CA1808"/>
      <c r="CB1808"/>
      <c r="CC1808"/>
      <c r="CD1808"/>
      <c r="CE1808"/>
      <c r="CF1808"/>
      <c r="CG1808"/>
      <c r="CH1808"/>
      <c r="CI1808"/>
      <c r="CJ1808"/>
      <c r="CK1808"/>
      <c r="CL1808"/>
      <c r="CM1808"/>
      <c r="CN1808"/>
      <c r="CO1808"/>
      <c r="CP1808"/>
      <c r="CQ1808"/>
      <c r="CR1808"/>
      <c r="CS1808"/>
      <c r="CT1808"/>
      <c r="CU1808"/>
      <c r="CV1808"/>
      <c r="CW1808"/>
      <c r="CX1808"/>
      <c r="CY1808"/>
      <c r="CZ1808"/>
      <c r="DA1808"/>
      <c r="DB1808"/>
      <c r="DC1808"/>
      <c r="DD1808"/>
      <c r="DE1808"/>
      <c r="DF1808"/>
      <c r="DG1808"/>
      <c r="DH1808"/>
      <c r="DI1808"/>
      <c r="DJ1808"/>
      <c r="DK1808"/>
      <c r="DL1808"/>
      <c r="DM1808"/>
      <c r="DN1808"/>
      <c r="DO1808"/>
      <c r="DP1808"/>
      <c r="DQ1808"/>
      <c r="DR1808"/>
      <c r="DS1808"/>
      <c r="DT1808"/>
      <c r="DU1808"/>
      <c r="DV1808"/>
      <c r="DW1808"/>
      <c r="DX1808"/>
      <c r="DY1808"/>
      <c r="DZ1808"/>
      <c r="EA1808"/>
      <c r="EB1808"/>
      <c r="EC1808"/>
      <c r="ED1808"/>
      <c r="EE1808"/>
      <c r="EF1808"/>
      <c r="EG1808"/>
      <c r="EH1808"/>
      <c r="EI1808"/>
      <c r="EJ1808"/>
      <c r="EK1808"/>
      <c r="EL1808"/>
      <c r="EM1808"/>
      <c r="EN1808"/>
      <c r="EO1808"/>
      <c r="EP1808"/>
      <c r="EQ1808"/>
      <c r="ER1808"/>
      <c r="ES1808"/>
    </row>
    <row r="1809" spans="1:149">
      <c r="A1809"/>
      <c r="B1809"/>
      <c r="C1809"/>
      <c r="D1809"/>
      <c r="E1809"/>
      <c r="F1809"/>
      <c r="G1809"/>
      <c r="H1809"/>
      <c r="I1809"/>
      <c r="J1809"/>
      <c r="K1809"/>
      <c r="L1809"/>
      <c r="M1809"/>
      <c r="N1809"/>
      <c r="O1809"/>
      <c r="P1809"/>
      <c r="Q1809"/>
      <c r="R1809"/>
      <c r="S1809"/>
      <c r="T1809"/>
      <c r="U1809"/>
      <c r="V1809"/>
      <c r="W1809"/>
      <c r="X1809"/>
      <c r="Y1809"/>
      <c r="Z1809"/>
      <c r="AA1809"/>
      <c r="AB1809"/>
      <c r="AC1809"/>
      <c r="AD1809"/>
      <c r="AE1809"/>
      <c r="AF1809"/>
      <c r="AG1809"/>
      <c r="AH1809"/>
      <c r="AI1809"/>
      <c r="AJ1809"/>
      <c r="AK1809"/>
      <c r="AL1809"/>
      <c r="AM1809"/>
      <c r="AN1809"/>
      <c r="AO1809"/>
      <c r="AP1809"/>
      <c r="AQ1809"/>
      <c r="AR1809"/>
      <c r="AS1809"/>
      <c r="AT1809"/>
      <c r="AU1809"/>
      <c r="AV1809"/>
      <c r="AW1809"/>
      <c r="AX1809"/>
      <c r="AY1809"/>
      <c r="AZ1809"/>
      <c r="BA1809"/>
      <c r="BB1809"/>
      <c r="BC1809"/>
      <c r="BD1809"/>
      <c r="BE1809"/>
      <c r="BF1809"/>
      <c r="BG1809"/>
      <c r="BH1809"/>
      <c r="BI1809"/>
      <c r="BJ1809"/>
      <c r="BK1809"/>
      <c r="BL1809"/>
      <c r="BM1809"/>
      <c r="BN1809"/>
      <c r="BO1809"/>
      <c r="BP1809"/>
      <c r="BQ1809"/>
      <c r="BR1809"/>
      <c r="BS1809"/>
      <c r="BT1809"/>
      <c r="BU1809"/>
      <c r="BV1809"/>
      <c r="BW1809"/>
      <c r="BX1809"/>
      <c r="BY1809"/>
      <c r="BZ1809"/>
      <c r="CA1809"/>
      <c r="CB1809"/>
      <c r="CC1809"/>
      <c r="CD1809"/>
      <c r="CE1809"/>
      <c r="CF1809"/>
      <c r="CG1809"/>
      <c r="CH1809"/>
      <c r="CI1809"/>
      <c r="CJ1809"/>
      <c r="CK1809"/>
      <c r="CL1809"/>
      <c r="CM1809"/>
      <c r="CN1809"/>
      <c r="CO1809"/>
      <c r="CP1809"/>
      <c r="CQ1809"/>
      <c r="CR1809"/>
      <c r="CS1809"/>
      <c r="CT1809"/>
      <c r="CU1809"/>
      <c r="CV1809"/>
      <c r="CW1809"/>
      <c r="CX1809"/>
      <c r="CY1809"/>
      <c r="CZ1809"/>
      <c r="DA1809"/>
      <c r="DB1809"/>
      <c r="DC1809"/>
      <c r="DD1809"/>
      <c r="DE1809"/>
      <c r="DF1809"/>
      <c r="DG1809"/>
      <c r="DH1809"/>
      <c r="DI1809"/>
      <c r="DJ1809"/>
      <c r="DK1809"/>
      <c r="DL1809"/>
      <c r="DM1809"/>
      <c r="DN1809"/>
      <c r="DO1809"/>
      <c r="DP1809"/>
      <c r="DQ1809"/>
      <c r="DR1809"/>
      <c r="DS1809"/>
      <c r="DT1809"/>
      <c r="DU1809"/>
      <c r="DV1809"/>
      <c r="DW1809"/>
      <c r="DX1809"/>
      <c r="DY1809"/>
      <c r="DZ1809"/>
      <c r="EA1809"/>
      <c r="EB1809"/>
      <c r="EC1809"/>
      <c r="ED1809"/>
      <c r="EE1809"/>
      <c r="EF1809"/>
      <c r="EG1809"/>
      <c r="EH1809"/>
      <c r="EI1809"/>
      <c r="EJ1809"/>
      <c r="EK1809"/>
      <c r="EL1809"/>
      <c r="EM1809"/>
      <c r="EN1809"/>
      <c r="EO1809"/>
      <c r="EP1809"/>
      <c r="EQ1809"/>
      <c r="ER1809"/>
      <c r="ES1809"/>
    </row>
    <row r="1810" spans="1:149">
      <c r="A1810"/>
      <c r="B1810"/>
      <c r="C1810"/>
      <c r="D1810"/>
      <c r="E1810"/>
      <c r="F1810"/>
      <c r="G1810"/>
      <c r="H1810"/>
      <c r="I1810"/>
      <c r="J1810"/>
      <c r="K1810"/>
      <c r="L1810"/>
      <c r="M1810"/>
      <c r="N1810"/>
      <c r="O1810"/>
      <c r="P1810"/>
      <c r="Q1810"/>
      <c r="R1810"/>
      <c r="S1810"/>
      <c r="T1810"/>
      <c r="U1810"/>
      <c r="V1810"/>
      <c r="W1810"/>
      <c r="X1810"/>
      <c r="Y1810"/>
      <c r="Z1810"/>
      <c r="AA1810"/>
      <c r="AB1810"/>
      <c r="AC1810"/>
      <c r="AD1810"/>
      <c r="AE1810"/>
      <c r="AF1810"/>
      <c r="AG1810"/>
      <c r="AH1810"/>
      <c r="AI1810"/>
      <c r="AJ1810"/>
      <c r="AK1810"/>
      <c r="AL1810"/>
      <c r="AM1810"/>
      <c r="AN1810"/>
      <c r="AO1810"/>
      <c r="AP1810"/>
      <c r="AQ1810"/>
      <c r="AR1810"/>
      <c r="AS1810"/>
      <c r="AT1810"/>
      <c r="AU1810"/>
      <c r="AV1810"/>
      <c r="AW1810"/>
      <c r="AX1810"/>
      <c r="AY1810"/>
      <c r="AZ1810"/>
      <c r="BA1810"/>
      <c r="BB1810"/>
      <c r="BC1810"/>
      <c r="BD1810"/>
      <c r="BE1810"/>
      <c r="BF1810"/>
      <c r="BG1810"/>
      <c r="BH1810"/>
      <c r="BI1810"/>
      <c r="BJ1810"/>
      <c r="BK1810"/>
      <c r="BL1810"/>
      <c r="BM1810"/>
      <c r="BN1810"/>
      <c r="BO1810"/>
      <c r="BP1810"/>
      <c r="BQ1810"/>
      <c r="BR1810"/>
      <c r="BS1810"/>
      <c r="BT1810"/>
      <c r="BU1810"/>
      <c r="BV1810"/>
      <c r="BW1810"/>
      <c r="BX1810"/>
      <c r="BY1810"/>
      <c r="BZ1810"/>
      <c r="CA1810"/>
      <c r="CB1810"/>
      <c r="CC1810"/>
      <c r="CD1810"/>
      <c r="CE1810"/>
      <c r="CF1810"/>
      <c r="CG1810"/>
      <c r="CH1810"/>
      <c r="CI1810"/>
      <c r="CJ1810"/>
      <c r="CK1810"/>
      <c r="CL1810"/>
      <c r="CM1810"/>
      <c r="CN1810"/>
      <c r="CO1810"/>
      <c r="CP1810"/>
      <c r="CQ1810"/>
      <c r="CR1810"/>
      <c r="CS1810"/>
      <c r="CT1810"/>
      <c r="CU1810"/>
      <c r="CV1810"/>
      <c r="CW1810"/>
      <c r="CX1810"/>
      <c r="CY1810"/>
      <c r="CZ1810"/>
      <c r="DA1810"/>
      <c r="DB1810"/>
      <c r="DC1810"/>
      <c r="DD1810"/>
      <c r="DE1810"/>
      <c r="DF1810"/>
      <c r="DG1810"/>
      <c r="DH1810"/>
      <c r="DI1810"/>
      <c r="DJ1810"/>
      <c r="DK1810"/>
      <c r="DL1810"/>
      <c r="DM1810"/>
      <c r="DN1810"/>
      <c r="DO1810"/>
      <c r="DP1810"/>
      <c r="DQ1810"/>
      <c r="DR1810"/>
      <c r="DS1810"/>
      <c r="DT1810"/>
      <c r="DU1810"/>
      <c r="DV1810"/>
      <c r="DW1810"/>
      <c r="DX1810"/>
      <c r="DY1810"/>
      <c r="DZ1810"/>
      <c r="EA1810"/>
      <c r="EB1810"/>
      <c r="EC1810"/>
      <c r="ED1810"/>
      <c r="EE1810"/>
      <c r="EF1810"/>
      <c r="EG1810"/>
      <c r="EH1810"/>
      <c r="EI1810"/>
      <c r="EJ1810"/>
      <c r="EK1810"/>
      <c r="EL1810"/>
      <c r="EM1810"/>
      <c r="EN1810"/>
      <c r="EO1810"/>
      <c r="EP1810"/>
      <c r="EQ1810"/>
      <c r="ER1810"/>
      <c r="ES1810"/>
    </row>
    <row r="1811" spans="1:149">
      <c r="A1811"/>
      <c r="B1811"/>
      <c r="C1811"/>
      <c r="D1811"/>
      <c r="E1811"/>
      <c r="F1811"/>
      <c r="G1811"/>
      <c r="H1811"/>
      <c r="I1811"/>
      <c r="J1811"/>
      <c r="K1811"/>
      <c r="L1811"/>
      <c r="M1811"/>
      <c r="N1811"/>
      <c r="O1811"/>
      <c r="P1811"/>
      <c r="Q1811"/>
      <c r="R1811"/>
      <c r="S1811"/>
      <c r="T1811"/>
      <c r="U1811"/>
      <c r="V1811"/>
      <c r="W1811"/>
      <c r="X1811"/>
      <c r="Y1811"/>
      <c r="Z1811"/>
      <c r="AA1811"/>
      <c r="AB1811"/>
      <c r="AC1811"/>
      <c r="AD1811"/>
      <c r="AE1811"/>
      <c r="AF1811"/>
      <c r="AG1811"/>
      <c r="AH1811"/>
      <c r="AI1811"/>
      <c r="AJ1811"/>
      <c r="AK1811"/>
      <c r="AL1811"/>
      <c r="AM1811"/>
      <c r="AN1811"/>
      <c r="AO1811"/>
      <c r="AP1811"/>
      <c r="AQ1811"/>
      <c r="AR1811"/>
      <c r="AS1811"/>
      <c r="AT1811"/>
      <c r="AU1811"/>
      <c r="AV1811"/>
      <c r="AW1811"/>
      <c r="AX1811"/>
      <c r="AY1811"/>
      <c r="AZ1811"/>
      <c r="BA1811"/>
      <c r="BB1811"/>
      <c r="BC1811"/>
      <c r="BD1811"/>
      <c r="BE1811"/>
      <c r="BF1811"/>
      <c r="BG1811"/>
      <c r="BH1811"/>
      <c r="BI1811"/>
      <c r="BJ1811"/>
      <c r="BK1811"/>
      <c r="BL1811"/>
      <c r="BM1811"/>
      <c r="BN1811"/>
      <c r="BO1811"/>
      <c r="BP1811"/>
      <c r="BQ1811"/>
      <c r="BR1811"/>
      <c r="BS1811"/>
      <c r="BT1811"/>
      <c r="BU1811"/>
      <c r="BV1811"/>
      <c r="BW1811"/>
      <c r="BX1811"/>
      <c r="BY1811"/>
      <c r="BZ1811"/>
      <c r="CA1811"/>
      <c r="CB1811"/>
      <c r="CC1811"/>
      <c r="CD1811"/>
      <c r="CE1811"/>
      <c r="CF1811"/>
      <c r="CG1811"/>
      <c r="CH1811"/>
      <c r="CI1811"/>
      <c r="CJ1811"/>
      <c r="CK1811"/>
      <c r="CL1811"/>
      <c r="CM1811"/>
      <c r="CN1811"/>
      <c r="CO1811"/>
      <c r="CP1811"/>
      <c r="CQ1811"/>
      <c r="CR1811"/>
      <c r="CS1811"/>
      <c r="CT1811"/>
      <c r="CU1811"/>
      <c r="CV1811"/>
      <c r="CW1811"/>
      <c r="CX1811"/>
      <c r="CY1811"/>
      <c r="CZ1811"/>
      <c r="DA1811"/>
      <c r="DB1811"/>
      <c r="DC1811"/>
      <c r="DD1811"/>
      <c r="DE1811"/>
      <c r="DF1811"/>
      <c r="DG1811"/>
      <c r="DH1811"/>
      <c r="DI1811"/>
      <c r="DJ1811"/>
      <c r="DK1811"/>
      <c r="DL1811"/>
      <c r="DM1811"/>
      <c r="DN1811"/>
      <c r="DO1811"/>
      <c r="DP1811"/>
      <c r="DQ1811"/>
      <c r="DR1811"/>
      <c r="DS1811"/>
      <c r="DT1811"/>
      <c r="DU1811"/>
      <c r="DV1811"/>
      <c r="DW1811"/>
      <c r="DX1811"/>
      <c r="DY1811"/>
      <c r="DZ1811"/>
      <c r="EA1811"/>
      <c r="EB1811"/>
      <c r="EC1811"/>
      <c r="ED1811"/>
      <c r="EE1811"/>
      <c r="EF1811"/>
      <c r="EG1811"/>
      <c r="EH1811"/>
      <c r="EI1811"/>
      <c r="EJ1811"/>
      <c r="EK1811"/>
      <c r="EL1811"/>
      <c r="EM1811"/>
      <c r="EN1811"/>
      <c r="EO1811"/>
      <c r="EP1811"/>
      <c r="EQ1811"/>
      <c r="ER1811"/>
      <c r="ES1811"/>
    </row>
    <row r="1812" spans="1:149">
      <c r="A1812"/>
      <c r="B1812"/>
      <c r="C1812"/>
      <c r="D1812"/>
      <c r="E1812"/>
      <c r="F1812"/>
      <c r="G1812"/>
      <c r="H1812"/>
      <c r="I1812"/>
      <c r="J1812"/>
      <c r="K1812"/>
      <c r="L1812"/>
      <c r="M1812"/>
      <c r="N1812"/>
      <c r="O1812"/>
      <c r="P1812"/>
      <c r="Q1812"/>
      <c r="R1812"/>
      <c r="S1812"/>
      <c r="T1812"/>
      <c r="U1812"/>
      <c r="V1812"/>
      <c r="W1812"/>
      <c r="X1812"/>
      <c r="Y1812"/>
      <c r="Z1812"/>
      <c r="AA1812"/>
      <c r="AB1812"/>
      <c r="AC1812"/>
      <c r="AD1812"/>
      <c r="AE1812"/>
      <c r="AF1812"/>
      <c r="AG1812"/>
      <c r="AH1812"/>
      <c r="AI1812"/>
      <c r="AJ1812"/>
      <c r="AK1812"/>
      <c r="AL1812"/>
      <c r="AM1812"/>
      <c r="AN1812"/>
      <c r="AO1812"/>
      <c r="AP1812"/>
      <c r="AQ1812"/>
      <c r="AR1812"/>
      <c r="AS1812"/>
      <c r="AT1812"/>
      <c r="AU1812"/>
      <c r="AV1812"/>
      <c r="AW1812"/>
      <c r="AX1812"/>
      <c r="AY1812"/>
      <c r="AZ1812"/>
      <c r="BA1812"/>
      <c r="BB1812"/>
      <c r="BC1812"/>
      <c r="BD1812"/>
      <c r="BE1812"/>
      <c r="BF1812"/>
      <c r="BG1812"/>
      <c r="BH1812"/>
      <c r="BI1812"/>
      <c r="BJ1812"/>
      <c r="BK1812"/>
      <c r="BL1812"/>
      <c r="BM1812"/>
      <c r="BN1812"/>
      <c r="BO1812"/>
      <c r="BP1812"/>
      <c r="BQ1812"/>
      <c r="BR1812"/>
      <c r="BS1812"/>
      <c r="BT1812"/>
      <c r="BU1812"/>
      <c r="BV1812"/>
      <c r="BW1812"/>
      <c r="BX1812"/>
      <c r="BY1812"/>
      <c r="BZ1812"/>
      <c r="CA1812"/>
      <c r="CB1812"/>
      <c r="CC1812"/>
      <c r="CD1812"/>
      <c r="CE1812"/>
      <c r="CF1812"/>
      <c r="CG1812"/>
      <c r="CH1812"/>
      <c r="CI1812"/>
      <c r="CJ1812"/>
      <c r="CK1812"/>
      <c r="CL1812"/>
      <c r="CM1812"/>
      <c r="CN1812"/>
      <c r="CO1812"/>
      <c r="CP1812"/>
      <c r="CQ1812"/>
      <c r="CR1812"/>
      <c r="CS1812"/>
      <c r="CT1812"/>
      <c r="CU1812"/>
      <c r="CV1812"/>
      <c r="CW1812"/>
      <c r="CX1812"/>
      <c r="CY1812"/>
      <c r="CZ1812"/>
      <c r="DA1812"/>
      <c r="DB1812"/>
      <c r="DC1812"/>
      <c r="DD1812"/>
      <c r="DE1812"/>
      <c r="DF1812"/>
      <c r="DG1812"/>
      <c r="DH1812"/>
      <c r="DI1812"/>
      <c r="DJ1812"/>
      <c r="DK1812"/>
      <c r="DL1812"/>
      <c r="DM1812"/>
      <c r="DN1812"/>
      <c r="DO1812"/>
      <c r="DP1812"/>
      <c r="DQ1812"/>
      <c r="DR1812"/>
      <c r="DS1812"/>
      <c r="DT1812"/>
      <c r="DU1812"/>
      <c r="DV1812"/>
      <c r="DW1812"/>
      <c r="DX1812"/>
      <c r="DY1812"/>
      <c r="DZ1812"/>
      <c r="EA1812"/>
      <c r="EB1812"/>
      <c r="EC1812"/>
      <c r="ED1812"/>
      <c r="EE1812"/>
      <c r="EF1812"/>
      <c r="EG1812"/>
      <c r="EH1812"/>
      <c r="EI1812"/>
      <c r="EJ1812"/>
      <c r="EK1812"/>
      <c r="EL1812"/>
      <c r="EM1812"/>
      <c r="EN1812"/>
      <c r="EO1812"/>
      <c r="EP1812"/>
      <c r="EQ1812"/>
      <c r="ER1812"/>
      <c r="ES1812"/>
    </row>
    <row r="1813" spans="1:149">
      <c r="A1813"/>
      <c r="B1813"/>
      <c r="C1813"/>
      <c r="D1813"/>
      <c r="E1813"/>
      <c r="F1813"/>
      <c r="G1813"/>
      <c r="H1813"/>
      <c r="I1813"/>
      <c r="J1813"/>
      <c r="K1813"/>
      <c r="L1813"/>
      <c r="M1813"/>
      <c r="N1813"/>
      <c r="O1813"/>
      <c r="P1813"/>
      <c r="Q1813"/>
      <c r="R1813"/>
      <c r="S1813"/>
      <c r="T1813"/>
      <c r="U1813"/>
      <c r="V1813"/>
      <c r="W1813"/>
      <c r="X1813"/>
      <c r="Y1813"/>
      <c r="Z1813"/>
      <c r="AA1813"/>
      <c r="AB1813"/>
      <c r="AC1813"/>
      <c r="AD1813"/>
      <c r="AE1813"/>
      <c r="AF1813"/>
      <c r="AG1813"/>
      <c r="AH1813"/>
      <c r="AI1813"/>
      <c r="AJ1813"/>
      <c r="AK1813"/>
      <c r="AL1813"/>
      <c r="AM1813"/>
      <c r="AN1813"/>
      <c r="AO1813"/>
      <c r="AP1813"/>
      <c r="AQ1813"/>
      <c r="AR1813"/>
      <c r="AS1813"/>
      <c r="AT1813"/>
      <c r="AU1813"/>
      <c r="AV1813"/>
      <c r="AW1813"/>
      <c r="AX1813"/>
      <c r="AY1813"/>
      <c r="AZ1813"/>
      <c r="BA1813"/>
      <c r="BB1813"/>
      <c r="BC1813"/>
      <c r="BD1813"/>
      <c r="BE1813"/>
      <c r="BF1813"/>
      <c r="BG1813"/>
      <c r="BH1813"/>
      <c r="BI1813"/>
      <c r="BJ1813"/>
      <c r="BK1813"/>
      <c r="BL1813"/>
      <c r="BM1813"/>
      <c r="BN1813"/>
      <c r="BO1813"/>
      <c r="BP1813"/>
      <c r="BQ1813"/>
      <c r="BR1813"/>
      <c r="BS1813"/>
      <c r="BT1813"/>
      <c r="BU1813"/>
      <c r="BV1813"/>
      <c r="BW1813"/>
      <c r="BX1813"/>
      <c r="BY1813"/>
      <c r="BZ1813"/>
      <c r="CA1813"/>
      <c r="CB1813"/>
      <c r="CC1813"/>
      <c r="CD1813"/>
      <c r="CE1813"/>
      <c r="CF1813"/>
      <c r="CG1813"/>
      <c r="CH1813"/>
      <c r="CI1813"/>
      <c r="CJ1813"/>
      <c r="CK1813"/>
      <c r="CL1813"/>
      <c r="CM1813"/>
      <c r="CN1813"/>
      <c r="CO1813"/>
      <c r="CP1813"/>
      <c r="CQ1813"/>
      <c r="CR1813"/>
      <c r="CS1813"/>
      <c r="CT1813"/>
      <c r="CU1813"/>
      <c r="CV1813"/>
      <c r="CW1813"/>
      <c r="CX1813"/>
      <c r="CY1813"/>
      <c r="CZ1813"/>
      <c r="DA1813"/>
      <c r="DB1813"/>
      <c r="DC1813"/>
      <c r="DD1813"/>
      <c r="DE1813"/>
      <c r="DF1813"/>
      <c r="DG1813"/>
      <c r="DH1813"/>
      <c r="DI1813"/>
      <c r="DJ1813"/>
      <c r="DK1813"/>
      <c r="DL1813"/>
      <c r="DM1813"/>
      <c r="DN1813"/>
      <c r="DO1813"/>
      <c r="DP1813"/>
      <c r="DQ1813"/>
      <c r="DR1813"/>
      <c r="DS1813"/>
      <c r="DT1813"/>
      <c r="DU1813"/>
      <c r="DV1813"/>
      <c r="DW1813"/>
      <c r="DX1813"/>
      <c r="DY1813"/>
      <c r="DZ1813"/>
      <c r="EA1813"/>
      <c r="EB1813"/>
      <c r="EC1813"/>
      <c r="ED1813"/>
      <c r="EE1813"/>
      <c r="EF1813"/>
      <c r="EG1813"/>
      <c r="EH1813"/>
      <c r="EI1813"/>
      <c r="EJ1813"/>
      <c r="EK1813"/>
      <c r="EL1813"/>
      <c r="EM1813"/>
      <c r="EN1813"/>
      <c r="EO1813"/>
      <c r="EP1813"/>
      <c r="EQ1813"/>
      <c r="ER1813"/>
      <c r="ES1813"/>
    </row>
    <row r="1814" spans="1:149">
      <c r="A1814"/>
      <c r="B1814"/>
      <c r="C1814"/>
      <c r="D1814"/>
      <c r="E1814"/>
      <c r="F1814"/>
      <c r="G1814"/>
      <c r="H1814"/>
      <c r="I1814"/>
      <c r="J1814"/>
      <c r="K1814"/>
      <c r="L1814"/>
      <c r="M1814"/>
      <c r="N1814"/>
      <c r="O1814"/>
      <c r="P1814"/>
      <c r="Q1814"/>
      <c r="R1814"/>
      <c r="S1814"/>
      <c r="T1814"/>
      <c r="U1814"/>
      <c r="V1814"/>
      <c r="W1814"/>
      <c r="X1814"/>
      <c r="Y1814"/>
      <c r="Z1814"/>
      <c r="AA1814"/>
      <c r="AB1814"/>
      <c r="AC1814"/>
      <c r="AD1814"/>
      <c r="AE1814"/>
      <c r="AF1814"/>
      <c r="AG1814"/>
      <c r="AH1814"/>
      <c r="AI1814"/>
      <c r="AJ1814"/>
      <c r="AK1814"/>
      <c r="AL1814"/>
      <c r="AM1814"/>
      <c r="AN1814"/>
      <c r="AO1814"/>
      <c r="AP1814"/>
      <c r="AQ1814"/>
      <c r="AR1814"/>
      <c r="AS1814"/>
      <c r="AT1814"/>
      <c r="AU1814"/>
      <c r="AV1814"/>
      <c r="AW1814"/>
      <c r="AX1814"/>
      <c r="AY1814"/>
      <c r="AZ1814"/>
      <c r="BA1814"/>
      <c r="BB1814"/>
      <c r="BC1814"/>
      <c r="BD1814"/>
      <c r="BE1814"/>
      <c r="BF1814"/>
      <c r="BG1814"/>
      <c r="BH1814"/>
      <c r="BI1814"/>
      <c r="BJ1814"/>
      <c r="BK1814"/>
      <c r="BL1814"/>
      <c r="BM1814"/>
      <c r="BN1814"/>
      <c r="BO1814"/>
      <c r="BP1814"/>
      <c r="BQ1814"/>
      <c r="BR1814"/>
      <c r="BS1814"/>
      <c r="BT1814"/>
      <c r="BU1814"/>
      <c r="BV1814"/>
      <c r="BW1814"/>
      <c r="BX1814"/>
      <c r="BY1814"/>
      <c r="BZ1814"/>
      <c r="CA1814"/>
      <c r="CB1814"/>
      <c r="CC1814"/>
      <c r="CD1814"/>
      <c r="CE1814"/>
      <c r="CF1814"/>
      <c r="CG1814"/>
      <c r="CH1814"/>
      <c r="CI1814"/>
      <c r="CJ1814"/>
      <c r="CK1814"/>
      <c r="CL1814"/>
      <c r="CM1814"/>
      <c r="CN1814"/>
      <c r="CO1814"/>
      <c r="CP1814"/>
      <c r="CQ1814"/>
      <c r="CR1814"/>
      <c r="CS1814"/>
      <c r="CT1814"/>
      <c r="CU1814"/>
      <c r="CV1814"/>
      <c r="CW1814"/>
      <c r="CX1814"/>
      <c r="CY1814"/>
      <c r="CZ1814"/>
      <c r="DA1814"/>
      <c r="DB1814"/>
      <c r="DC1814"/>
      <c r="DD1814"/>
      <c r="DE1814"/>
      <c r="DF1814"/>
      <c r="DG1814"/>
      <c r="DH1814"/>
      <c r="DI1814"/>
      <c r="DJ1814"/>
      <c r="DK1814"/>
      <c r="DL1814"/>
      <c r="DM1814"/>
      <c r="DN1814"/>
      <c r="DO1814"/>
      <c r="DP1814"/>
      <c r="DQ1814"/>
      <c r="DR1814"/>
      <c r="DS1814"/>
      <c r="DT1814"/>
      <c r="DU1814"/>
      <c r="DV1814"/>
      <c r="DW1814"/>
      <c r="DX1814"/>
      <c r="DY1814"/>
      <c r="DZ1814"/>
      <c r="EA1814"/>
      <c r="EB1814"/>
      <c r="EC1814"/>
      <c r="ED1814"/>
      <c r="EE1814"/>
      <c r="EF1814"/>
      <c r="EG1814"/>
      <c r="EH1814"/>
      <c r="EI1814"/>
      <c r="EJ1814"/>
      <c r="EK1814"/>
      <c r="EL1814"/>
      <c r="EM1814"/>
      <c r="EN1814"/>
      <c r="EO1814"/>
      <c r="EP1814"/>
      <c r="EQ1814"/>
      <c r="ER1814"/>
      <c r="ES1814"/>
    </row>
    <row r="1815" spans="1:149">
      <c r="A1815"/>
      <c r="B1815"/>
      <c r="C1815"/>
      <c r="D1815"/>
      <c r="E1815"/>
      <c r="F1815"/>
      <c r="G1815"/>
      <c r="H1815"/>
      <c r="I1815"/>
      <c r="J1815"/>
      <c r="K1815"/>
      <c r="L1815"/>
      <c r="M1815"/>
      <c r="N1815"/>
      <c r="O1815"/>
      <c r="P1815"/>
      <c r="Q1815"/>
      <c r="R1815"/>
      <c r="S1815"/>
      <c r="T1815"/>
      <c r="U1815"/>
      <c r="V1815"/>
      <c r="W1815"/>
      <c r="X1815"/>
      <c r="Y1815"/>
      <c r="Z1815"/>
      <c r="AA1815"/>
      <c r="AB1815"/>
      <c r="AC1815"/>
      <c r="AD1815"/>
      <c r="AE1815"/>
      <c r="AF1815"/>
      <c r="AG1815"/>
      <c r="AH1815"/>
      <c r="AI1815"/>
      <c r="AJ1815"/>
      <c r="AK1815"/>
      <c r="AL1815"/>
      <c r="AM1815"/>
      <c r="AN1815"/>
      <c r="AO1815"/>
      <c r="AP1815"/>
      <c r="AQ1815"/>
      <c r="AR1815"/>
      <c r="AS1815"/>
      <c r="AT1815"/>
      <c r="AU1815"/>
      <c r="AV1815"/>
      <c r="AW1815"/>
      <c r="AX1815"/>
      <c r="AY1815"/>
      <c r="AZ1815"/>
      <c r="BA1815"/>
      <c r="BB1815"/>
      <c r="BC1815"/>
      <c r="BD1815"/>
      <c r="BE1815"/>
      <c r="BF1815"/>
      <c r="BG1815"/>
      <c r="BH1815"/>
      <c r="BI1815"/>
      <c r="BJ1815"/>
      <c r="BK1815"/>
      <c r="BL1815"/>
      <c r="BM1815"/>
      <c r="BN1815"/>
      <c r="BO1815"/>
      <c r="BP1815"/>
      <c r="BQ1815"/>
      <c r="BR1815"/>
      <c r="BS1815"/>
      <c r="BT1815"/>
      <c r="BU1815"/>
      <c r="BV1815"/>
      <c r="BW1815"/>
      <c r="BX1815"/>
      <c r="BY1815"/>
      <c r="BZ1815"/>
      <c r="CA1815"/>
      <c r="CB1815"/>
      <c r="CC1815"/>
      <c r="CD1815"/>
      <c r="CE1815"/>
      <c r="CF1815"/>
      <c r="CG1815"/>
      <c r="CH1815"/>
      <c r="CI1815"/>
      <c r="CJ1815"/>
      <c r="CK1815"/>
      <c r="CL1815"/>
      <c r="CM1815"/>
      <c r="CN1815"/>
      <c r="CO1815"/>
      <c r="CP1815"/>
      <c r="CQ1815"/>
      <c r="CR1815"/>
      <c r="CS1815"/>
      <c r="CT1815"/>
      <c r="CU1815"/>
      <c r="CV1815"/>
      <c r="CW1815"/>
      <c r="CX1815"/>
      <c r="CY1815"/>
      <c r="CZ1815"/>
      <c r="DA1815"/>
      <c r="DB1815"/>
      <c r="DC1815"/>
      <c r="DD1815"/>
      <c r="DE1815"/>
      <c r="DF1815"/>
      <c r="DG1815"/>
      <c r="DH1815"/>
      <c r="DI1815"/>
      <c r="DJ1815"/>
      <c r="DK1815"/>
      <c r="DL1815"/>
      <c r="DM1815"/>
      <c r="DN1815"/>
      <c r="DO1815"/>
      <c r="DP1815"/>
      <c r="DQ1815"/>
      <c r="DR1815"/>
      <c r="DS1815"/>
      <c r="DT1815"/>
      <c r="DU1815"/>
      <c r="DV1815"/>
      <c r="DW1815"/>
      <c r="DX1815"/>
      <c r="DY1815"/>
      <c r="DZ1815"/>
      <c r="EA1815"/>
      <c r="EB1815"/>
      <c r="EC1815"/>
      <c r="ED1815"/>
      <c r="EE1815"/>
      <c r="EF1815"/>
      <c r="EG1815"/>
      <c r="EH1815"/>
      <c r="EI1815"/>
      <c r="EJ1815"/>
      <c r="EK1815"/>
      <c r="EL1815"/>
      <c r="EM1815"/>
      <c r="EN1815"/>
      <c r="EO1815"/>
      <c r="EP1815"/>
      <c r="EQ1815"/>
      <c r="ER1815"/>
      <c r="ES1815"/>
    </row>
    <row r="1816" spans="1:149">
      <c r="A1816"/>
      <c r="B1816"/>
      <c r="C1816"/>
      <c r="D1816"/>
      <c r="E1816"/>
      <c r="F1816"/>
      <c r="G1816"/>
      <c r="H1816"/>
      <c r="I1816"/>
      <c r="J1816"/>
      <c r="K1816"/>
      <c r="L1816"/>
      <c r="M1816"/>
      <c r="N1816"/>
      <c r="O1816"/>
      <c r="P1816"/>
      <c r="Q1816"/>
      <c r="R1816"/>
      <c r="S1816"/>
      <c r="T1816"/>
      <c r="U1816"/>
      <c r="V1816"/>
      <c r="W1816"/>
      <c r="X1816"/>
      <c r="Y1816"/>
      <c r="Z1816"/>
      <c r="AA1816"/>
      <c r="AB1816"/>
      <c r="AC1816"/>
      <c r="AD1816"/>
      <c r="AE1816"/>
      <c r="AF1816"/>
      <c r="AG1816"/>
      <c r="AH1816"/>
      <c r="AI1816"/>
      <c r="AJ1816"/>
      <c r="AK1816"/>
      <c r="AL1816"/>
      <c r="AM1816"/>
      <c r="AN1816"/>
      <c r="AO1816"/>
      <c r="AP1816"/>
      <c r="AQ1816"/>
      <c r="AR1816"/>
      <c r="AS1816"/>
      <c r="AT1816"/>
      <c r="AU1816"/>
      <c r="AV1816"/>
      <c r="AW1816"/>
      <c r="AX1816"/>
      <c r="AY1816"/>
      <c r="AZ1816"/>
      <c r="BA1816"/>
      <c r="BB1816"/>
      <c r="BC1816"/>
      <c r="BD1816"/>
      <c r="BE1816"/>
      <c r="BF1816"/>
      <c r="BG1816"/>
      <c r="BH1816"/>
      <c r="BI1816"/>
      <c r="BJ1816"/>
      <c r="BK1816"/>
      <c r="BL1816"/>
      <c r="BM1816"/>
      <c r="BN1816"/>
      <c r="BO1816"/>
      <c r="BP1816"/>
      <c r="BQ1816"/>
      <c r="BR1816"/>
      <c r="BS1816"/>
      <c r="BT1816"/>
      <c r="BU1816"/>
      <c r="BV1816"/>
      <c r="BW1816"/>
      <c r="BX1816"/>
      <c r="BY1816"/>
      <c r="BZ1816"/>
      <c r="CA1816"/>
      <c r="CB1816"/>
      <c r="CC1816"/>
      <c r="CD1816"/>
      <c r="CE1816"/>
      <c r="CF1816"/>
      <c r="CG1816"/>
      <c r="CH1816"/>
      <c r="CI1816"/>
      <c r="CJ1816"/>
      <c r="CK1816"/>
      <c r="CL1816"/>
      <c r="CM1816"/>
      <c r="CN1816"/>
      <c r="CO1816"/>
      <c r="CP1816"/>
      <c r="CQ1816"/>
      <c r="CR1816"/>
      <c r="CS1816"/>
      <c r="CT1816"/>
      <c r="CU1816"/>
      <c r="CV1816"/>
      <c r="CW1816"/>
      <c r="CX1816"/>
      <c r="CY1816"/>
      <c r="CZ1816"/>
      <c r="DA1816"/>
      <c r="DB1816"/>
      <c r="DC1816"/>
      <c r="DD1816"/>
      <c r="DE1816"/>
      <c r="DF1816"/>
      <c r="DG1816"/>
      <c r="DH1816"/>
      <c r="DI1816"/>
      <c r="DJ1816"/>
      <c r="DK1816"/>
      <c r="DL1816"/>
      <c r="DM1816"/>
      <c r="DN1816"/>
      <c r="DO1816"/>
      <c r="DP1816"/>
      <c r="DQ1816"/>
      <c r="DR1816"/>
      <c r="DS1816"/>
      <c r="DT1816"/>
      <c r="DU1816"/>
      <c r="DV1816"/>
      <c r="DW1816"/>
      <c r="DX1816"/>
      <c r="DY1816"/>
      <c r="DZ1816"/>
      <c r="EA1816"/>
      <c r="EB1816"/>
      <c r="EC1816"/>
      <c r="ED1816"/>
      <c r="EE1816"/>
      <c r="EF1816"/>
      <c r="EG1816"/>
      <c r="EH1816"/>
      <c r="EI1816"/>
      <c r="EJ1816"/>
      <c r="EK1816"/>
      <c r="EL1816"/>
      <c r="EM1816"/>
      <c r="EN1816"/>
      <c r="EO1816"/>
      <c r="EP1816"/>
      <c r="EQ1816"/>
      <c r="ER1816"/>
      <c r="ES1816"/>
    </row>
    <row r="1817" spans="1:149">
      <c r="A1817"/>
      <c r="B1817"/>
      <c r="C1817"/>
      <c r="D1817"/>
      <c r="E1817"/>
      <c r="F1817"/>
      <c r="G1817"/>
      <c r="H1817"/>
      <c r="I1817"/>
      <c r="J1817"/>
      <c r="K1817"/>
      <c r="L1817"/>
      <c r="M1817"/>
      <c r="N1817"/>
      <c r="O1817"/>
      <c r="P1817"/>
      <c r="Q1817"/>
      <c r="R1817"/>
      <c r="S1817"/>
      <c r="T1817"/>
      <c r="U1817"/>
      <c r="V1817"/>
      <c r="W1817"/>
      <c r="X1817"/>
      <c r="Y1817"/>
      <c r="Z1817"/>
      <c r="AA1817"/>
      <c r="AB1817"/>
      <c r="AC1817"/>
      <c r="AD1817"/>
      <c r="AE1817"/>
      <c r="AF1817"/>
      <c r="AG1817"/>
      <c r="AH1817"/>
      <c r="AI1817"/>
      <c r="AJ1817"/>
      <c r="AK1817"/>
      <c r="AL1817"/>
      <c r="AM1817"/>
      <c r="AN1817"/>
      <c r="AO1817"/>
      <c r="AP1817"/>
      <c r="AQ1817"/>
      <c r="AR1817"/>
      <c r="AS1817"/>
      <c r="AT1817"/>
      <c r="AU1817"/>
      <c r="AV1817"/>
      <c r="AW1817"/>
      <c r="AX1817"/>
      <c r="AY1817"/>
      <c r="AZ1817"/>
      <c r="BA1817"/>
      <c r="BB1817"/>
      <c r="BC1817"/>
      <c r="BD1817"/>
      <c r="BE1817"/>
      <c r="BF1817"/>
      <c r="BG1817"/>
      <c r="BH1817"/>
      <c r="BI1817"/>
      <c r="BJ1817"/>
      <c r="BK1817"/>
      <c r="BL1817"/>
      <c r="BM1817"/>
      <c r="BN1817"/>
      <c r="BO1817"/>
      <c r="BP1817"/>
      <c r="BQ1817"/>
      <c r="BR1817"/>
      <c r="BS1817"/>
      <c r="BT1817"/>
      <c r="BU1817"/>
      <c r="BV1817"/>
      <c r="BW1817"/>
      <c r="BX1817"/>
      <c r="BY1817"/>
      <c r="BZ1817"/>
      <c r="CA1817"/>
      <c r="CB1817"/>
      <c r="CC1817"/>
      <c r="CD1817"/>
      <c r="CE1817"/>
      <c r="CF1817"/>
      <c r="CG1817"/>
      <c r="CH1817"/>
      <c r="CI1817"/>
      <c r="CJ1817"/>
      <c r="CK1817"/>
      <c r="CL1817"/>
      <c r="CM1817"/>
      <c r="CN1817"/>
      <c r="CO1817"/>
      <c r="CP1817"/>
      <c r="CQ1817"/>
      <c r="CR1817"/>
      <c r="CS1817"/>
      <c r="CT1817"/>
      <c r="CU1817"/>
      <c r="CV1817"/>
      <c r="CW1817"/>
      <c r="CX1817"/>
      <c r="CY1817"/>
      <c r="CZ1817"/>
      <c r="DA1817"/>
      <c r="DB1817"/>
      <c r="DC1817"/>
      <c r="DD1817"/>
      <c r="DE1817"/>
      <c r="DF1817"/>
      <c r="DG1817"/>
      <c r="DH1817"/>
      <c r="DI1817"/>
      <c r="DJ1817"/>
      <c r="DK1817"/>
      <c r="DL1817"/>
      <c r="DM1817"/>
      <c r="DN1817"/>
      <c r="DO1817"/>
      <c r="DP1817"/>
      <c r="DQ1817"/>
      <c r="DR1817"/>
      <c r="DS1817"/>
      <c r="DT1817"/>
      <c r="DU1817"/>
      <c r="DV1817"/>
      <c r="DW1817"/>
      <c r="DX1817"/>
      <c r="DY1817"/>
      <c r="DZ1817"/>
      <c r="EA1817"/>
      <c r="EB1817"/>
      <c r="EC1817"/>
      <c r="ED1817"/>
      <c r="EE1817"/>
      <c r="EF1817"/>
      <c r="EG1817"/>
      <c r="EH1817"/>
      <c r="EI1817"/>
      <c r="EJ1817"/>
      <c r="EK1817"/>
      <c r="EL1817"/>
      <c r="EM1817"/>
      <c r="EN1817"/>
      <c r="EO1817"/>
      <c r="EP1817"/>
      <c r="EQ1817"/>
      <c r="ER1817"/>
      <c r="ES1817"/>
    </row>
    <row r="1818" spans="1:149">
      <c r="A1818"/>
      <c r="B1818"/>
      <c r="C1818"/>
      <c r="D1818"/>
      <c r="E1818"/>
      <c r="F1818"/>
      <c r="G1818"/>
      <c r="H1818"/>
      <c r="I1818"/>
      <c r="J1818"/>
      <c r="K1818"/>
      <c r="L1818"/>
      <c r="M1818"/>
      <c r="N1818"/>
      <c r="O1818"/>
      <c r="P1818"/>
      <c r="Q1818"/>
      <c r="R1818"/>
      <c r="S1818"/>
      <c r="T1818"/>
      <c r="U1818"/>
      <c r="V1818"/>
      <c r="W1818"/>
      <c r="X1818"/>
      <c r="Y1818"/>
      <c r="Z1818"/>
      <c r="AA1818"/>
      <c r="AB1818"/>
      <c r="AC1818"/>
      <c r="AD1818"/>
      <c r="AE1818"/>
      <c r="AF1818"/>
      <c r="AG1818"/>
      <c r="AH1818"/>
      <c r="AI1818"/>
      <c r="AJ1818"/>
      <c r="AK1818"/>
      <c r="AL1818"/>
      <c r="AM1818"/>
      <c r="AN1818"/>
      <c r="AO1818"/>
      <c r="AP1818"/>
      <c r="AQ1818"/>
      <c r="AR1818"/>
      <c r="AS1818"/>
      <c r="AT1818"/>
      <c r="AU1818"/>
      <c r="AV1818"/>
      <c r="AW1818"/>
      <c r="AX1818"/>
      <c r="AY1818"/>
      <c r="AZ1818"/>
      <c r="BA1818"/>
      <c r="BB1818"/>
      <c r="BC1818"/>
      <c r="BD1818"/>
      <c r="BE1818"/>
      <c r="BF1818"/>
      <c r="BG1818"/>
      <c r="BH1818"/>
      <c r="BI1818"/>
      <c r="BJ1818"/>
      <c r="BK1818"/>
      <c r="BL1818"/>
      <c r="BM1818"/>
      <c r="BN1818"/>
      <c r="BO1818"/>
      <c r="BP1818"/>
      <c r="BQ1818"/>
      <c r="BR1818"/>
      <c r="BS1818"/>
      <c r="BT1818"/>
      <c r="BU1818"/>
      <c r="BV1818"/>
      <c r="BW1818"/>
      <c r="BX1818"/>
      <c r="BY1818"/>
      <c r="BZ1818"/>
      <c r="CA1818"/>
      <c r="CB1818"/>
      <c r="CC1818"/>
      <c r="CD1818"/>
      <c r="CE1818"/>
      <c r="CF1818"/>
      <c r="CG1818"/>
      <c r="CH1818"/>
      <c r="CI1818"/>
      <c r="CJ1818"/>
      <c r="CK1818"/>
      <c r="CL1818"/>
      <c r="CM1818"/>
      <c r="CN1818"/>
      <c r="CO1818"/>
      <c r="CP1818"/>
      <c r="CQ1818"/>
      <c r="CR1818"/>
      <c r="CS1818"/>
      <c r="CT1818"/>
      <c r="CU1818"/>
      <c r="CV1818"/>
      <c r="CW1818"/>
      <c r="CX1818"/>
      <c r="CY1818"/>
      <c r="CZ1818"/>
      <c r="DA1818"/>
      <c r="DB1818"/>
      <c r="DC1818"/>
      <c r="DD1818"/>
      <c r="DE1818"/>
      <c r="DF1818"/>
      <c r="DG1818"/>
      <c r="DH1818"/>
      <c r="DI1818"/>
      <c r="DJ1818"/>
      <c r="DK1818"/>
      <c r="DL1818"/>
      <c r="DM1818"/>
      <c r="DN1818"/>
      <c r="DO1818"/>
      <c r="DP1818"/>
      <c r="DQ1818"/>
      <c r="DR1818"/>
      <c r="DS1818"/>
      <c r="DT1818"/>
      <c r="DU1818"/>
      <c r="DV1818"/>
      <c r="DW1818"/>
      <c r="DX1818"/>
      <c r="DY1818"/>
      <c r="DZ1818"/>
      <c r="EA1818"/>
      <c r="EB1818"/>
      <c r="EC1818"/>
      <c r="ED1818"/>
      <c r="EE1818"/>
      <c r="EF1818"/>
      <c r="EG1818"/>
      <c r="EH1818"/>
      <c r="EI1818"/>
      <c r="EJ1818"/>
      <c r="EK1818"/>
      <c r="EL1818"/>
      <c r="EM1818"/>
      <c r="EN1818"/>
      <c r="EO1818"/>
      <c r="EP1818"/>
      <c r="EQ1818"/>
      <c r="ER1818"/>
      <c r="ES1818"/>
    </row>
    <row r="1819" spans="1:149">
      <c r="A1819"/>
      <c r="B1819"/>
      <c r="C1819"/>
      <c r="D1819"/>
      <c r="E1819"/>
      <c r="F1819"/>
      <c r="G1819"/>
      <c r="H1819"/>
      <c r="I1819"/>
      <c r="J1819"/>
      <c r="K1819"/>
      <c r="L1819"/>
      <c r="M1819"/>
      <c r="N1819"/>
      <c r="O1819"/>
      <c r="P1819"/>
      <c r="Q1819"/>
      <c r="R1819"/>
      <c r="S1819"/>
      <c r="T1819"/>
      <c r="U1819"/>
      <c r="V1819"/>
      <c r="W1819"/>
      <c r="X1819"/>
      <c r="Y1819"/>
      <c r="Z1819"/>
      <c r="AA1819"/>
      <c r="AB1819"/>
      <c r="AC1819"/>
      <c r="AD1819"/>
      <c r="AE1819"/>
      <c r="AF1819"/>
      <c r="AG1819"/>
      <c r="AH1819"/>
      <c r="AI1819"/>
      <c r="AJ1819"/>
      <c r="AK1819"/>
      <c r="AL1819"/>
      <c r="AM1819"/>
      <c r="AN1819"/>
      <c r="AO1819"/>
      <c r="AP1819"/>
      <c r="AQ1819"/>
      <c r="AR1819"/>
      <c r="AS1819"/>
      <c r="AT1819"/>
      <c r="AU1819"/>
      <c r="AV1819"/>
      <c r="AW1819"/>
      <c r="AX1819"/>
      <c r="AY1819"/>
      <c r="AZ1819"/>
      <c r="BA1819"/>
      <c r="BB1819"/>
      <c r="BC1819"/>
      <c r="BD1819"/>
      <c r="BE1819"/>
      <c r="BF1819"/>
      <c r="BG1819"/>
      <c r="BH1819"/>
      <c r="BI1819"/>
      <c r="BJ1819"/>
      <c r="BK1819"/>
      <c r="BL1819"/>
      <c r="BM1819"/>
      <c r="BN1819"/>
      <c r="BO1819"/>
      <c r="BP1819"/>
      <c r="BQ1819"/>
      <c r="BR1819"/>
      <c r="BS1819"/>
      <c r="BT1819"/>
      <c r="BU1819"/>
      <c r="BV1819"/>
      <c r="BW1819"/>
      <c r="BX1819"/>
      <c r="BY1819"/>
      <c r="BZ1819"/>
      <c r="CA1819"/>
      <c r="CB1819"/>
      <c r="CC1819"/>
      <c r="CD1819"/>
      <c r="CE1819"/>
      <c r="CF1819"/>
      <c r="CG1819"/>
      <c r="CH1819"/>
      <c r="CI1819"/>
      <c r="CJ1819"/>
      <c r="CK1819"/>
      <c r="CL1819"/>
      <c r="CM1819"/>
      <c r="CN1819"/>
      <c r="CO1819"/>
      <c r="CP1819"/>
      <c r="CQ1819"/>
      <c r="CR1819"/>
      <c r="CS1819"/>
      <c r="CT1819"/>
      <c r="CU1819"/>
      <c r="CV1819"/>
      <c r="CW1819"/>
      <c r="CX1819"/>
      <c r="CY1819"/>
      <c r="CZ1819"/>
      <c r="DA1819"/>
      <c r="DB1819"/>
      <c r="DC1819"/>
      <c r="DD1819"/>
      <c r="DE1819"/>
      <c r="DF1819"/>
      <c r="DG1819"/>
      <c r="DH1819"/>
      <c r="DI1819"/>
      <c r="DJ1819"/>
      <c r="DK1819"/>
      <c r="DL1819"/>
      <c r="DM1819"/>
      <c r="DN1819"/>
      <c r="DO1819"/>
      <c r="DP1819"/>
      <c r="DQ1819"/>
      <c r="DR1819"/>
      <c r="DS1819"/>
      <c r="DT1819"/>
      <c r="DU1819"/>
      <c r="DV1819"/>
      <c r="DW1819"/>
      <c r="DX1819"/>
      <c r="DY1819"/>
      <c r="DZ1819"/>
      <c r="EA1819"/>
      <c r="EB1819"/>
      <c r="EC1819"/>
      <c r="ED1819"/>
      <c r="EE1819"/>
      <c r="EF1819"/>
      <c r="EG1819"/>
      <c r="EH1819"/>
      <c r="EI1819"/>
      <c r="EJ1819"/>
      <c r="EK1819"/>
      <c r="EL1819"/>
      <c r="EM1819"/>
      <c r="EN1819"/>
      <c r="EO1819"/>
      <c r="EP1819"/>
      <c r="EQ1819"/>
      <c r="ER1819"/>
      <c r="ES1819"/>
    </row>
    <row r="1820" spans="1:149">
      <c r="A1820"/>
      <c r="B1820"/>
      <c r="C1820"/>
      <c r="D1820"/>
      <c r="E1820"/>
      <c r="F1820"/>
      <c r="G1820"/>
      <c r="H1820"/>
      <c r="I1820"/>
      <c r="J1820"/>
      <c r="K1820"/>
      <c r="L1820"/>
      <c r="M1820"/>
      <c r="N1820"/>
      <c r="O1820"/>
      <c r="P1820"/>
      <c r="Q1820"/>
      <c r="R1820"/>
      <c r="S1820"/>
      <c r="T1820"/>
      <c r="U1820"/>
      <c r="V1820"/>
      <c r="W1820"/>
      <c r="X1820"/>
      <c r="Y1820"/>
      <c r="Z1820"/>
      <c r="AA1820"/>
      <c r="AB1820"/>
      <c r="AC1820"/>
      <c r="AD1820"/>
      <c r="AE1820"/>
      <c r="AF1820"/>
      <c r="AG1820"/>
      <c r="AH1820"/>
      <c r="AI1820"/>
      <c r="AJ1820"/>
      <c r="AK1820"/>
      <c r="AL1820"/>
      <c r="AM1820"/>
      <c r="AN1820"/>
      <c r="AO1820"/>
      <c r="AP1820"/>
      <c r="AQ1820"/>
      <c r="AR1820"/>
      <c r="AS1820"/>
      <c r="AT1820"/>
      <c r="AU1820"/>
      <c r="AV1820"/>
      <c r="AW1820"/>
      <c r="AX1820"/>
      <c r="AY1820"/>
      <c r="AZ1820"/>
      <c r="BA1820"/>
      <c r="BB1820"/>
      <c r="BC1820"/>
      <c r="BD1820"/>
      <c r="BE1820"/>
      <c r="BF1820"/>
      <c r="BG1820"/>
      <c r="BH1820"/>
      <c r="BI1820"/>
      <c r="BJ1820"/>
      <c r="BK1820"/>
      <c r="BL1820"/>
      <c r="BM1820"/>
      <c r="BN1820"/>
      <c r="BO1820"/>
      <c r="BP1820"/>
      <c r="BQ1820"/>
      <c r="BR1820"/>
      <c r="BS1820"/>
      <c r="BT1820"/>
      <c r="BU1820"/>
      <c r="BV1820"/>
      <c r="BW1820"/>
      <c r="BX1820"/>
      <c r="BY1820"/>
      <c r="BZ1820"/>
      <c r="CA1820"/>
      <c r="CB1820"/>
      <c r="CC1820"/>
      <c r="CD1820"/>
      <c r="CE1820"/>
      <c r="CF1820"/>
      <c r="CG1820"/>
      <c r="CH1820"/>
      <c r="CI1820"/>
      <c r="CJ1820"/>
      <c r="CK1820"/>
      <c r="CL1820"/>
      <c r="CM1820"/>
      <c r="CN1820"/>
      <c r="CO1820"/>
      <c r="CP1820"/>
      <c r="CQ1820"/>
      <c r="CR1820"/>
      <c r="CS1820"/>
      <c r="CT1820"/>
      <c r="CU1820"/>
      <c r="CV1820"/>
      <c r="CW1820"/>
      <c r="CX1820"/>
      <c r="CY1820"/>
      <c r="CZ1820"/>
      <c r="DA1820"/>
      <c r="DB1820"/>
      <c r="DC1820"/>
      <c r="DD1820"/>
      <c r="DE1820"/>
      <c r="DF1820"/>
      <c r="DG1820"/>
      <c r="DH1820"/>
      <c r="DI1820"/>
      <c r="DJ1820"/>
      <c r="DK1820"/>
      <c r="DL1820"/>
      <c r="DM1820"/>
      <c r="DN1820"/>
      <c r="DO1820"/>
      <c r="DP1820"/>
      <c r="DQ1820"/>
      <c r="DR1820"/>
      <c r="DS1820"/>
      <c r="DT1820"/>
      <c r="DU1820"/>
      <c r="DV1820"/>
      <c r="DW1820"/>
      <c r="DX1820"/>
      <c r="DY1820"/>
      <c r="DZ1820"/>
      <c r="EA1820"/>
      <c r="EB1820"/>
      <c r="EC1820"/>
      <c r="ED1820"/>
      <c r="EE1820"/>
      <c r="EF1820"/>
      <c r="EG1820"/>
      <c r="EH1820"/>
      <c r="EI1820"/>
      <c r="EJ1820"/>
      <c r="EK1820"/>
      <c r="EL1820"/>
      <c r="EM1820"/>
      <c r="EN1820"/>
      <c r="EO1820"/>
      <c r="EP1820"/>
      <c r="EQ1820"/>
      <c r="ER1820"/>
      <c r="ES1820"/>
    </row>
    <row r="1821" spans="1:149">
      <c r="A1821"/>
      <c r="B1821"/>
      <c r="C1821"/>
      <c r="D1821"/>
      <c r="E1821"/>
      <c r="F1821"/>
      <c r="G1821"/>
      <c r="H1821"/>
      <c r="I1821"/>
      <c r="J1821"/>
      <c r="K1821"/>
      <c r="L1821"/>
      <c r="M1821"/>
      <c r="N1821"/>
      <c r="O1821"/>
      <c r="P1821"/>
      <c r="Q1821"/>
      <c r="R1821"/>
      <c r="S1821"/>
      <c r="T1821"/>
      <c r="U1821"/>
      <c r="V1821"/>
      <c r="W1821"/>
      <c r="X1821"/>
      <c r="Y1821"/>
      <c r="Z1821"/>
      <c r="AA1821"/>
      <c r="AB1821"/>
      <c r="AC1821"/>
      <c r="AD1821"/>
      <c r="AE1821"/>
      <c r="AF1821"/>
      <c r="AG1821"/>
      <c r="AH1821"/>
      <c r="AI1821"/>
      <c r="AJ1821"/>
      <c r="AK1821"/>
      <c r="AL1821"/>
      <c r="AM1821"/>
      <c r="AN1821"/>
      <c r="AO1821"/>
      <c r="AP1821"/>
      <c r="AQ1821"/>
      <c r="AR1821"/>
      <c r="AS1821"/>
      <c r="AT1821"/>
      <c r="AU1821"/>
      <c r="AV1821"/>
      <c r="AW1821"/>
      <c r="AX1821"/>
      <c r="AY1821"/>
      <c r="AZ1821"/>
      <c r="BA1821"/>
      <c r="BB1821"/>
      <c r="BC1821"/>
      <c r="BD1821"/>
      <c r="BE1821"/>
      <c r="BF1821"/>
      <c r="BG1821"/>
      <c r="BH1821"/>
      <c r="BI1821"/>
      <c r="BJ1821"/>
      <c r="BK1821"/>
      <c r="BL1821"/>
      <c r="BM1821"/>
      <c r="BN1821"/>
      <c r="BO1821"/>
      <c r="BP1821"/>
      <c r="BQ1821"/>
      <c r="BR1821"/>
      <c r="BS1821"/>
      <c r="BT1821"/>
      <c r="BU1821"/>
      <c r="BV1821"/>
      <c r="BW1821"/>
      <c r="BX1821"/>
      <c r="BY1821"/>
      <c r="BZ1821"/>
      <c r="CA1821"/>
      <c r="CB1821"/>
      <c r="CC1821"/>
      <c r="CD1821"/>
      <c r="CE1821"/>
      <c r="CF1821"/>
      <c r="CG1821"/>
      <c r="CH1821"/>
      <c r="CI1821"/>
      <c r="CJ1821"/>
      <c r="CK1821"/>
      <c r="CL1821"/>
      <c r="CM1821"/>
      <c r="CN1821"/>
      <c r="CO1821"/>
      <c r="CP1821"/>
      <c r="CQ1821"/>
      <c r="CR1821"/>
      <c r="CS1821"/>
      <c r="CT1821"/>
      <c r="CU1821"/>
      <c r="CV1821"/>
      <c r="CW1821"/>
      <c r="CX1821"/>
      <c r="CY1821"/>
      <c r="CZ1821"/>
      <c r="DA1821"/>
      <c r="DB1821"/>
      <c r="DC1821"/>
      <c r="DD1821"/>
      <c r="DE1821"/>
      <c r="DF1821"/>
      <c r="DG1821"/>
      <c r="DH1821"/>
      <c r="DI1821"/>
      <c r="DJ1821"/>
      <c r="DK1821"/>
      <c r="DL1821"/>
      <c r="DM1821"/>
      <c r="DN1821"/>
      <c r="DO1821"/>
      <c r="DP1821"/>
      <c r="DQ1821"/>
      <c r="DR1821"/>
      <c r="DS1821"/>
      <c r="DT1821"/>
      <c r="DU1821"/>
      <c r="DV1821"/>
      <c r="DW1821"/>
      <c r="DX1821"/>
      <c r="DY1821"/>
      <c r="DZ1821"/>
      <c r="EA1821"/>
      <c r="EB1821"/>
      <c r="EC1821"/>
      <c r="ED1821"/>
      <c r="EE1821"/>
      <c r="EF1821"/>
      <c r="EG1821"/>
      <c r="EH1821"/>
      <c r="EI1821"/>
      <c r="EJ1821"/>
      <c r="EK1821"/>
      <c r="EL1821"/>
      <c r="EM1821"/>
      <c r="EN1821"/>
      <c r="EO1821"/>
      <c r="EP1821"/>
      <c r="EQ1821"/>
      <c r="ER1821"/>
      <c r="ES1821"/>
    </row>
    <row r="1822" spans="1:149">
      <c r="A1822"/>
      <c r="B1822"/>
      <c r="C1822"/>
      <c r="D1822"/>
      <c r="E1822"/>
      <c r="F1822"/>
      <c r="G1822"/>
      <c r="H1822"/>
      <c r="I1822"/>
      <c r="J1822"/>
      <c r="K1822"/>
      <c r="L1822"/>
      <c r="M1822"/>
      <c r="N1822"/>
      <c r="O1822"/>
      <c r="P1822"/>
      <c r="Q1822"/>
      <c r="R1822"/>
      <c r="S1822"/>
      <c r="T1822"/>
      <c r="U1822"/>
      <c r="V1822"/>
      <c r="W1822"/>
      <c r="X1822"/>
      <c r="Y1822"/>
      <c r="Z1822"/>
      <c r="AA1822"/>
      <c r="AB1822"/>
      <c r="AC1822"/>
      <c r="AD1822"/>
      <c r="AE1822"/>
      <c r="AF1822"/>
      <c r="AG1822"/>
      <c r="AH1822"/>
      <c r="AI1822"/>
      <c r="AJ1822"/>
      <c r="AK1822"/>
      <c r="AL1822"/>
      <c r="AM1822"/>
      <c r="AN1822"/>
      <c r="AO1822"/>
      <c r="AP1822"/>
      <c r="AQ1822"/>
      <c r="AR1822"/>
      <c r="AS1822"/>
      <c r="AT1822"/>
      <c r="AU1822"/>
      <c r="AV1822"/>
      <c r="AW1822"/>
      <c r="AX1822"/>
      <c r="AY1822"/>
      <c r="AZ1822"/>
      <c r="BA1822"/>
      <c r="BB1822"/>
      <c r="BC1822"/>
      <c r="BD1822"/>
      <c r="BE1822"/>
      <c r="BF1822"/>
      <c r="BG1822"/>
      <c r="BH1822"/>
      <c r="BI1822"/>
      <c r="BJ1822"/>
      <c r="BK1822"/>
      <c r="BL1822"/>
      <c r="BM1822"/>
      <c r="BN1822"/>
      <c r="BO1822"/>
      <c r="BP1822"/>
      <c r="BQ1822"/>
      <c r="BR1822"/>
      <c r="BS1822"/>
      <c r="BT1822"/>
      <c r="BU1822"/>
      <c r="BV1822"/>
      <c r="BW1822"/>
      <c r="BX1822"/>
      <c r="BY1822"/>
      <c r="BZ1822"/>
      <c r="CA1822"/>
      <c r="CB1822"/>
      <c r="CC1822"/>
      <c r="CD1822"/>
      <c r="CE1822"/>
      <c r="CF1822"/>
      <c r="CG1822"/>
      <c r="CH1822"/>
      <c r="CI1822"/>
      <c r="CJ1822"/>
      <c r="CK1822"/>
      <c r="CL1822"/>
      <c r="CM1822"/>
      <c r="CN1822"/>
      <c r="CO1822"/>
      <c r="CP1822"/>
      <c r="CQ1822"/>
      <c r="CR1822"/>
      <c r="CS1822"/>
      <c r="CT1822"/>
      <c r="CU1822"/>
      <c r="CV1822"/>
      <c r="CW1822"/>
      <c r="CX1822"/>
      <c r="CY1822"/>
      <c r="CZ1822"/>
      <c r="DA1822"/>
      <c r="DB1822"/>
      <c r="DC1822"/>
      <c r="DD1822"/>
      <c r="DE1822"/>
      <c r="DF1822"/>
      <c r="DG1822"/>
      <c r="DH1822"/>
      <c r="DI1822"/>
      <c r="DJ1822"/>
      <c r="DK1822"/>
      <c r="DL1822"/>
      <c r="DM1822"/>
      <c r="DN1822"/>
      <c r="DO1822"/>
      <c r="DP1822"/>
      <c r="DQ1822"/>
      <c r="DR1822"/>
      <c r="DS1822"/>
      <c r="DT1822"/>
      <c r="DU1822"/>
      <c r="DV1822"/>
      <c r="DW1822"/>
      <c r="DX1822"/>
      <c r="DY1822"/>
      <c r="DZ1822"/>
      <c r="EA1822"/>
      <c r="EB1822"/>
      <c r="EC1822"/>
      <c r="ED1822"/>
      <c r="EE1822"/>
      <c r="EF1822"/>
      <c r="EG1822"/>
      <c r="EH1822"/>
      <c r="EI1822"/>
      <c r="EJ1822"/>
      <c r="EK1822"/>
      <c r="EL1822"/>
      <c r="EM1822"/>
      <c r="EN1822"/>
      <c r="EO1822"/>
      <c r="EP1822"/>
      <c r="EQ1822"/>
      <c r="ER1822"/>
      <c r="ES1822"/>
    </row>
    <row r="1823" spans="1:149">
      <c r="A1823"/>
      <c r="B1823"/>
      <c r="C1823"/>
      <c r="D1823"/>
      <c r="E1823"/>
      <c r="F1823"/>
      <c r="G1823"/>
      <c r="H1823"/>
      <c r="I1823"/>
      <c r="J1823"/>
      <c r="K1823"/>
      <c r="L1823"/>
      <c r="M1823"/>
      <c r="N1823"/>
      <c r="O1823"/>
      <c r="P1823"/>
      <c r="Q1823"/>
      <c r="R1823"/>
      <c r="S1823"/>
      <c r="T1823"/>
      <c r="U1823"/>
      <c r="V1823"/>
      <c r="W1823"/>
      <c r="X1823"/>
      <c r="Y1823"/>
      <c r="Z1823"/>
      <c r="AA1823"/>
      <c r="AB1823"/>
      <c r="AC1823"/>
      <c r="AD1823"/>
      <c r="AE1823"/>
      <c r="AF1823"/>
      <c r="AG1823"/>
      <c r="AH1823"/>
      <c r="AI1823"/>
      <c r="AJ1823"/>
      <c r="AK1823"/>
      <c r="AL1823"/>
      <c r="AM1823"/>
      <c r="AN1823"/>
      <c r="AO1823"/>
      <c r="AP1823"/>
      <c r="AQ1823"/>
      <c r="AR1823"/>
      <c r="AS1823"/>
      <c r="AT1823"/>
      <c r="AU1823"/>
      <c r="AV1823"/>
      <c r="AW1823"/>
      <c r="AX1823"/>
      <c r="AY1823"/>
      <c r="AZ1823"/>
      <c r="BA1823"/>
      <c r="BB1823"/>
      <c r="BC1823"/>
      <c r="BD1823"/>
      <c r="BE1823"/>
      <c r="BF1823"/>
      <c r="BG1823"/>
      <c r="BH1823"/>
      <c r="BI1823"/>
      <c r="BJ1823"/>
      <c r="BK1823"/>
      <c r="BL1823"/>
      <c r="BM1823"/>
      <c r="BN1823"/>
      <c r="BO1823"/>
      <c r="BP1823"/>
      <c r="BQ1823"/>
      <c r="BR1823"/>
      <c r="BS1823"/>
      <c r="BT1823"/>
      <c r="BU1823"/>
      <c r="BV1823"/>
      <c r="BW1823"/>
      <c r="BX1823"/>
      <c r="BY1823"/>
      <c r="BZ1823"/>
      <c r="CA1823"/>
      <c r="CB1823"/>
      <c r="CC1823"/>
      <c r="CD1823"/>
      <c r="CE1823"/>
      <c r="CF1823"/>
      <c r="CG1823"/>
      <c r="CH1823"/>
      <c r="CI1823"/>
      <c r="CJ1823"/>
      <c r="CK1823"/>
      <c r="CL1823"/>
      <c r="CM1823"/>
      <c r="CN1823"/>
      <c r="CO1823"/>
      <c r="CP1823"/>
      <c r="CQ1823"/>
      <c r="CR1823"/>
      <c r="CS1823"/>
      <c r="CT1823"/>
      <c r="CU1823"/>
      <c r="CV1823"/>
      <c r="CW1823"/>
      <c r="CX1823"/>
      <c r="CY1823"/>
      <c r="CZ1823"/>
      <c r="DA1823"/>
      <c r="DB1823"/>
      <c r="DC1823"/>
      <c r="DD1823"/>
      <c r="DE1823"/>
      <c r="DF1823"/>
      <c r="DG1823"/>
      <c r="DH1823"/>
      <c r="DI1823"/>
      <c r="DJ1823"/>
      <c r="DK1823"/>
      <c r="DL1823"/>
      <c r="DM1823"/>
      <c r="DN1823"/>
      <c r="DO1823"/>
      <c r="DP1823"/>
      <c r="DQ1823"/>
      <c r="DR1823"/>
      <c r="DS1823"/>
      <c r="DT1823"/>
      <c r="DU1823"/>
      <c r="DV1823"/>
      <c r="DW1823"/>
      <c r="DX1823"/>
      <c r="DY1823"/>
      <c r="DZ1823"/>
      <c r="EA1823"/>
      <c r="EB1823"/>
      <c r="EC1823"/>
      <c r="ED1823"/>
      <c r="EE1823"/>
      <c r="EF1823"/>
      <c r="EG1823"/>
      <c r="EH1823"/>
      <c r="EI1823"/>
      <c r="EJ1823"/>
      <c r="EK1823"/>
      <c r="EL1823"/>
      <c r="EM1823"/>
      <c r="EN1823"/>
      <c r="EO1823"/>
      <c r="EP1823"/>
      <c r="EQ1823"/>
      <c r="ER1823"/>
      <c r="ES1823"/>
    </row>
    <row r="1824" spans="1:149">
      <c r="A1824"/>
      <c r="B1824"/>
      <c r="C1824"/>
      <c r="D1824"/>
      <c r="E1824"/>
      <c r="F1824"/>
      <c r="G1824"/>
      <c r="H1824"/>
      <c r="I1824"/>
      <c r="J1824"/>
      <c r="K1824"/>
      <c r="L1824"/>
      <c r="M1824"/>
      <c r="N1824"/>
      <c r="O1824"/>
      <c r="P1824"/>
      <c r="Q1824"/>
      <c r="R1824"/>
      <c r="S1824"/>
      <c r="T1824"/>
      <c r="U1824"/>
      <c r="V1824"/>
      <c r="W1824"/>
      <c r="X1824"/>
      <c r="Y1824"/>
      <c r="Z1824"/>
      <c r="AA1824"/>
      <c r="AB1824"/>
      <c r="AC1824"/>
      <c r="AD1824"/>
      <c r="AE1824"/>
      <c r="AF1824"/>
      <c r="AG1824"/>
      <c r="AH1824"/>
      <c r="AI1824"/>
      <c r="AJ1824"/>
      <c r="AK1824"/>
      <c r="AL1824"/>
      <c r="AM1824"/>
      <c r="AN1824"/>
      <c r="AO1824"/>
      <c r="AP1824"/>
      <c r="AQ1824"/>
      <c r="AR1824"/>
      <c r="AS1824"/>
      <c r="AT1824"/>
      <c r="AU1824"/>
      <c r="AV1824"/>
      <c r="AW1824"/>
      <c r="AX1824"/>
      <c r="AY1824"/>
      <c r="AZ1824"/>
      <c r="BA1824"/>
      <c r="BB1824"/>
      <c r="BC1824"/>
      <c r="BD1824"/>
      <c r="BE1824"/>
      <c r="BF1824"/>
      <c r="BG1824"/>
      <c r="BH1824"/>
      <c r="BI1824"/>
      <c r="BJ1824"/>
      <c r="BK1824"/>
      <c r="BL1824"/>
      <c r="BM1824"/>
      <c r="BN1824"/>
      <c r="BO1824"/>
      <c r="BP1824"/>
      <c r="BQ1824"/>
      <c r="BR1824"/>
      <c r="BS1824"/>
      <c r="BT1824"/>
      <c r="BU1824"/>
      <c r="BV1824"/>
      <c r="BW1824"/>
      <c r="BX1824"/>
      <c r="BY1824"/>
      <c r="BZ1824"/>
      <c r="CA1824"/>
      <c r="CB1824"/>
      <c r="CC1824"/>
      <c r="CD1824"/>
      <c r="CE1824"/>
      <c r="CF1824"/>
      <c r="CG1824"/>
      <c r="CH1824"/>
      <c r="CI1824"/>
      <c r="CJ1824"/>
      <c r="CK1824"/>
      <c r="CL1824"/>
      <c r="CM1824"/>
      <c r="CN1824"/>
      <c r="CO1824"/>
      <c r="CP1824"/>
      <c r="CQ1824"/>
      <c r="CR1824"/>
      <c r="CS1824"/>
      <c r="CT1824"/>
      <c r="CU1824"/>
      <c r="CV1824"/>
      <c r="CW1824"/>
      <c r="CX1824"/>
      <c r="CY1824"/>
      <c r="CZ1824"/>
      <c r="DA1824"/>
      <c r="DB1824"/>
      <c r="DC1824"/>
      <c r="DD1824"/>
      <c r="DE1824"/>
      <c r="DF1824"/>
      <c r="DG1824"/>
      <c r="DH1824"/>
      <c r="DI1824"/>
      <c r="DJ1824"/>
      <c r="DK1824"/>
      <c r="DL1824"/>
      <c r="DM1824"/>
      <c r="DN1824"/>
      <c r="DO1824"/>
      <c r="DP1824"/>
      <c r="DQ1824"/>
      <c r="DR1824"/>
      <c r="DS1824"/>
      <c r="DT1824"/>
      <c r="DU1824"/>
      <c r="DV1824"/>
      <c r="DW1824"/>
      <c r="DX1824"/>
      <c r="DY1824"/>
      <c r="DZ1824"/>
      <c r="EA1824"/>
      <c r="EB1824"/>
      <c r="EC1824"/>
      <c r="ED1824"/>
      <c r="EE1824"/>
      <c r="EF1824"/>
      <c r="EG1824"/>
      <c r="EH1824"/>
      <c r="EI1824"/>
      <c r="EJ1824"/>
      <c r="EK1824"/>
      <c r="EL1824"/>
      <c r="EM1824"/>
      <c r="EN1824"/>
      <c r="EO1824"/>
      <c r="EP1824"/>
      <c r="EQ1824"/>
      <c r="ER1824"/>
      <c r="ES1824"/>
    </row>
    <row r="1825" spans="1:149">
      <c r="A1825"/>
      <c r="B1825"/>
      <c r="C1825"/>
      <c r="D1825"/>
      <c r="E1825"/>
      <c r="F1825"/>
      <c r="G1825"/>
      <c r="H1825"/>
      <c r="I1825"/>
      <c r="J1825"/>
      <c r="K1825"/>
      <c r="L1825"/>
      <c r="M1825"/>
      <c r="N1825"/>
      <c r="O1825"/>
      <c r="P1825"/>
      <c r="Q1825"/>
      <c r="R1825"/>
      <c r="S1825"/>
      <c r="T1825"/>
      <c r="U1825"/>
      <c r="V1825"/>
      <c r="W1825"/>
      <c r="X1825"/>
      <c r="Y1825"/>
      <c r="Z1825"/>
      <c r="AA1825"/>
      <c r="AB1825"/>
      <c r="AC1825"/>
      <c r="AD1825"/>
      <c r="AE1825"/>
      <c r="AF1825"/>
      <c r="AG1825"/>
      <c r="AH1825"/>
      <c r="AI1825"/>
      <c r="AJ1825"/>
      <c r="AK1825"/>
      <c r="AL1825"/>
      <c r="AM1825"/>
      <c r="AN1825"/>
      <c r="AO1825"/>
      <c r="AP1825"/>
      <c r="AQ1825"/>
      <c r="AR1825"/>
      <c r="AS1825"/>
      <c r="AT1825"/>
      <c r="AU1825"/>
      <c r="AV1825"/>
      <c r="AW1825"/>
      <c r="AX1825"/>
      <c r="AY1825"/>
      <c r="AZ1825"/>
      <c r="BA1825"/>
      <c r="BB1825"/>
      <c r="BC1825"/>
      <c r="BD1825"/>
      <c r="BE1825"/>
      <c r="BF1825"/>
      <c r="BG1825"/>
      <c r="BH1825"/>
      <c r="BI1825"/>
      <c r="BJ1825"/>
      <c r="BK1825"/>
      <c r="BL1825"/>
      <c r="BM1825"/>
      <c r="BN1825"/>
      <c r="BO1825"/>
      <c r="BP1825"/>
      <c r="BQ1825"/>
      <c r="BR1825"/>
      <c r="BS1825"/>
      <c r="BT1825"/>
      <c r="BU1825"/>
      <c r="BV1825"/>
      <c r="BW1825"/>
      <c r="BX1825"/>
      <c r="BY1825"/>
      <c r="BZ1825"/>
      <c r="CA1825"/>
      <c r="CB1825"/>
      <c r="CC1825"/>
      <c r="CD1825"/>
      <c r="CE1825"/>
      <c r="CF1825"/>
      <c r="CG1825"/>
      <c r="CH1825"/>
      <c r="CI1825"/>
      <c r="CJ1825"/>
      <c r="CK1825"/>
      <c r="CL1825"/>
      <c r="CM1825"/>
      <c r="CN1825"/>
      <c r="CO1825"/>
      <c r="CP1825"/>
      <c r="CQ1825"/>
      <c r="CR1825"/>
      <c r="CS1825"/>
      <c r="CT1825"/>
      <c r="CU1825"/>
      <c r="CV1825"/>
      <c r="CW1825"/>
      <c r="CX1825"/>
      <c r="CY1825"/>
      <c r="CZ1825"/>
      <c r="DA1825"/>
      <c r="DB1825"/>
      <c r="DC1825"/>
      <c r="DD1825"/>
      <c r="DE1825"/>
      <c r="DF1825"/>
      <c r="DG1825"/>
      <c r="DH1825"/>
      <c r="DI1825"/>
      <c r="DJ1825"/>
      <c r="DK1825"/>
      <c r="DL1825"/>
      <c r="DM1825"/>
      <c r="DN1825"/>
      <c r="DO1825"/>
      <c r="DP1825"/>
      <c r="DQ1825"/>
      <c r="DR1825"/>
      <c r="DS1825"/>
      <c r="DT1825"/>
      <c r="DU1825"/>
      <c r="DV1825"/>
      <c r="DW1825"/>
      <c r="DX1825"/>
      <c r="DY1825"/>
      <c r="DZ1825"/>
      <c r="EA1825"/>
      <c r="EB1825"/>
      <c r="EC1825"/>
      <c r="ED1825"/>
      <c r="EE1825"/>
      <c r="EF1825"/>
      <c r="EG1825"/>
      <c r="EH1825"/>
      <c r="EI1825"/>
      <c r="EJ1825"/>
      <c r="EK1825"/>
      <c r="EL1825"/>
      <c r="EM1825"/>
      <c r="EN1825"/>
      <c r="EO1825"/>
      <c r="EP1825"/>
      <c r="EQ1825"/>
      <c r="ER1825"/>
      <c r="ES1825"/>
    </row>
    <row r="1826" spans="1:149">
      <c r="A1826"/>
      <c r="B1826"/>
      <c r="C1826"/>
      <c r="D1826"/>
      <c r="E1826"/>
      <c r="F1826"/>
      <c r="G1826"/>
      <c r="H1826"/>
      <c r="I1826"/>
      <c r="J1826"/>
      <c r="K1826"/>
      <c r="L1826"/>
      <c r="M1826"/>
      <c r="N1826"/>
      <c r="O1826"/>
      <c r="P1826"/>
      <c r="Q1826"/>
      <c r="R1826"/>
      <c r="S1826"/>
      <c r="T1826"/>
      <c r="U1826"/>
      <c r="V1826"/>
      <c r="W1826"/>
      <c r="X1826"/>
      <c r="Y1826"/>
      <c r="Z1826"/>
      <c r="AA1826"/>
      <c r="AB1826"/>
      <c r="AC1826"/>
      <c r="AD1826"/>
      <c r="AE1826"/>
      <c r="AF1826"/>
      <c r="AG1826"/>
      <c r="AH1826"/>
      <c r="AI1826"/>
      <c r="AJ1826"/>
      <c r="AK1826"/>
      <c r="AL1826"/>
      <c r="AM1826"/>
      <c r="AN1826"/>
      <c r="AO1826"/>
      <c r="AP1826"/>
      <c r="AQ1826"/>
      <c r="AR1826"/>
      <c r="AS1826"/>
      <c r="AT1826"/>
      <c r="AU1826"/>
      <c r="AV1826"/>
      <c r="AW1826"/>
      <c r="AX1826"/>
      <c r="AY1826"/>
      <c r="AZ1826"/>
      <c r="BA1826"/>
      <c r="BB1826"/>
      <c r="BC1826"/>
      <c r="BD1826"/>
      <c r="BE1826"/>
      <c r="BF1826"/>
      <c r="BG1826"/>
      <c r="BH1826"/>
      <c r="BI1826"/>
      <c r="BJ1826"/>
      <c r="BK1826"/>
      <c r="BL1826"/>
      <c r="BM1826"/>
      <c r="BN1826"/>
      <c r="BO1826"/>
      <c r="BP1826"/>
      <c r="BQ1826"/>
      <c r="BR1826"/>
      <c r="BS1826"/>
      <c r="BT1826"/>
      <c r="BU1826"/>
      <c r="BV1826"/>
      <c r="BW1826"/>
      <c r="BX1826"/>
      <c r="BY1826"/>
      <c r="BZ1826"/>
      <c r="CA1826"/>
      <c r="CB1826"/>
      <c r="CC1826"/>
      <c r="CD1826"/>
      <c r="CE1826"/>
      <c r="CF1826"/>
      <c r="CG1826"/>
      <c r="CH1826"/>
      <c r="CI1826"/>
      <c r="CJ1826"/>
      <c r="CK1826"/>
      <c r="CL1826"/>
      <c r="CM1826"/>
      <c r="CN1826"/>
      <c r="CO1826"/>
      <c r="CP1826"/>
      <c r="CQ1826"/>
      <c r="CR1826"/>
      <c r="CS1826"/>
      <c r="CT1826"/>
      <c r="CU1826"/>
      <c r="CV1826"/>
      <c r="CW1826"/>
      <c r="CX1826"/>
      <c r="CY1826"/>
      <c r="CZ1826"/>
      <c r="DA1826"/>
      <c r="DB1826"/>
      <c r="DC1826"/>
      <c r="DD1826"/>
      <c r="DE1826"/>
      <c r="DF1826"/>
      <c r="DG1826"/>
      <c r="DH1826"/>
      <c r="DI1826"/>
      <c r="DJ1826"/>
      <c r="DK1826"/>
      <c r="DL1826"/>
      <c r="DM1826"/>
      <c r="DN1826"/>
      <c r="DO1826"/>
      <c r="DP1826"/>
      <c r="DQ1826"/>
      <c r="DR1826"/>
      <c r="DS1826"/>
      <c r="DT1826"/>
      <c r="DU1826"/>
      <c r="DV1826"/>
      <c r="DW1826"/>
      <c r="DX1826"/>
      <c r="DY1826"/>
      <c r="DZ1826"/>
      <c r="EA1826"/>
      <c r="EB1826"/>
      <c r="EC1826"/>
      <c r="ED1826"/>
      <c r="EE1826"/>
      <c r="EF1826"/>
      <c r="EG1826"/>
      <c r="EH1826"/>
      <c r="EI1826"/>
      <c r="EJ1826"/>
      <c r="EK1826"/>
      <c r="EL1826"/>
      <c r="EM1826"/>
      <c r="EN1826"/>
      <c r="EO1826"/>
      <c r="EP1826"/>
      <c r="EQ1826"/>
      <c r="ER1826"/>
      <c r="ES1826"/>
    </row>
    <row r="1827" spans="1:149">
      <c r="A1827"/>
      <c r="B1827"/>
      <c r="C1827"/>
      <c r="D1827"/>
      <c r="E1827"/>
      <c r="F1827"/>
      <c r="G1827"/>
      <c r="H1827"/>
      <c r="I1827"/>
      <c r="J1827"/>
      <c r="K1827"/>
      <c r="L1827"/>
      <c r="M1827"/>
      <c r="N1827"/>
      <c r="O1827"/>
      <c r="P1827"/>
      <c r="Q1827"/>
      <c r="R1827"/>
      <c r="S1827"/>
      <c r="T1827"/>
      <c r="U1827"/>
      <c r="V1827"/>
      <c r="W1827"/>
      <c r="X1827"/>
      <c r="Y1827"/>
      <c r="Z1827"/>
      <c r="AA1827"/>
      <c r="AB1827"/>
      <c r="AC1827"/>
      <c r="AD1827"/>
      <c r="AE1827"/>
      <c r="AF1827"/>
      <c r="AG1827"/>
      <c r="AH1827"/>
      <c r="AI1827"/>
      <c r="AJ1827"/>
      <c r="AK1827"/>
      <c r="AL1827"/>
      <c r="AM1827"/>
      <c r="AN1827"/>
      <c r="AO1827"/>
      <c r="AP1827"/>
      <c r="AQ1827"/>
      <c r="AR1827"/>
      <c r="AS1827"/>
      <c r="AT1827"/>
      <c r="AU1827"/>
      <c r="AV1827"/>
      <c r="AW1827"/>
      <c r="AX1827"/>
      <c r="AY1827"/>
      <c r="AZ1827"/>
      <c r="BA1827"/>
      <c r="BB1827"/>
      <c r="BC1827"/>
      <c r="BD1827"/>
      <c r="BE1827"/>
      <c r="BF1827"/>
      <c r="BG1827"/>
      <c r="BH1827"/>
      <c r="BI1827"/>
      <c r="BJ1827"/>
      <c r="BK1827"/>
      <c r="BL1827"/>
      <c r="BM1827"/>
      <c r="BN1827"/>
      <c r="BO1827"/>
      <c r="BP1827"/>
      <c r="BQ1827"/>
      <c r="BR1827"/>
      <c r="BS1827"/>
      <c r="BT1827"/>
      <c r="BU1827"/>
      <c r="BV1827"/>
      <c r="BW1827"/>
      <c r="BX1827"/>
      <c r="BY1827"/>
      <c r="BZ1827"/>
      <c r="CA1827"/>
      <c r="CB1827"/>
      <c r="CC1827"/>
      <c r="CD1827"/>
      <c r="CE1827"/>
      <c r="CF1827"/>
      <c r="CG1827"/>
      <c r="CH1827"/>
      <c r="CI1827"/>
      <c r="CJ1827"/>
      <c r="CK1827"/>
      <c r="CL1827"/>
      <c r="CM1827"/>
      <c r="CN1827"/>
      <c r="CO1827"/>
      <c r="CP1827"/>
      <c r="CQ1827"/>
      <c r="CR1827"/>
      <c r="CS1827"/>
      <c r="CT1827"/>
      <c r="CU1827"/>
      <c r="CV1827"/>
      <c r="CW1827"/>
      <c r="CX1827"/>
      <c r="CY1827"/>
      <c r="CZ1827"/>
      <c r="DA1827"/>
      <c r="DB1827"/>
      <c r="DC1827"/>
      <c r="DD1827"/>
      <c r="DE1827"/>
      <c r="DF1827"/>
      <c r="DG1827"/>
      <c r="DH1827"/>
      <c r="DI1827"/>
      <c r="DJ1827"/>
      <c r="DK1827"/>
      <c r="DL1827"/>
      <c r="DM1827"/>
      <c r="DN1827"/>
      <c r="DO1827"/>
      <c r="DP1827"/>
      <c r="DQ1827"/>
      <c r="DR1827"/>
      <c r="DS1827"/>
      <c r="DT1827"/>
      <c r="DU1827"/>
      <c r="DV1827"/>
      <c r="DW1827"/>
      <c r="DX1827"/>
      <c r="DY1827"/>
      <c r="DZ1827"/>
      <c r="EA1827"/>
      <c r="EB1827"/>
      <c r="EC1827"/>
      <c r="ED1827"/>
      <c r="EE1827"/>
      <c r="EF1827"/>
      <c r="EG1827"/>
      <c r="EH1827"/>
      <c r="EI1827"/>
      <c r="EJ1827"/>
      <c r="EK1827"/>
      <c r="EL1827"/>
      <c r="EM1827"/>
      <c r="EN1827"/>
      <c r="EO1827"/>
      <c r="EP1827"/>
      <c r="EQ1827"/>
      <c r="ER1827"/>
      <c r="ES1827"/>
    </row>
    <row r="1828" spans="1:149">
      <c r="A1828"/>
      <c r="B1828"/>
      <c r="C1828"/>
      <c r="D1828"/>
      <c r="E1828"/>
      <c r="F1828"/>
      <c r="G1828"/>
      <c r="H1828"/>
      <c r="I1828"/>
      <c r="J1828"/>
      <c r="K1828"/>
      <c r="L1828"/>
      <c r="M1828"/>
      <c r="N1828"/>
      <c r="O1828"/>
      <c r="P1828"/>
      <c r="Q1828"/>
      <c r="R1828"/>
      <c r="S1828"/>
      <c r="T1828"/>
      <c r="U1828"/>
      <c r="V1828"/>
      <c r="W1828"/>
      <c r="X1828"/>
      <c r="Y1828"/>
      <c r="Z1828"/>
      <c r="AA1828"/>
      <c r="AB1828"/>
      <c r="AC1828"/>
      <c r="AD1828"/>
      <c r="AE1828"/>
      <c r="AF1828"/>
      <c r="AG1828"/>
      <c r="AH1828"/>
      <c r="AI1828"/>
      <c r="AJ1828"/>
      <c r="AK1828"/>
      <c r="AL1828"/>
      <c r="AM1828"/>
      <c r="AN1828"/>
      <c r="AO1828"/>
      <c r="AP1828"/>
      <c r="AQ1828"/>
      <c r="AR1828"/>
      <c r="AS1828"/>
      <c r="AT1828"/>
      <c r="AU1828"/>
      <c r="AV1828"/>
      <c r="AW1828"/>
      <c r="AX1828"/>
      <c r="AY1828"/>
      <c r="AZ1828"/>
      <c r="BA1828"/>
      <c r="BB1828"/>
      <c r="BC1828"/>
      <c r="BD1828"/>
      <c r="BE1828"/>
      <c r="BF1828"/>
      <c r="BG1828"/>
      <c r="BH1828"/>
      <c r="BI1828"/>
      <c r="BJ1828"/>
      <c r="BK1828"/>
      <c r="BL1828"/>
      <c r="BM1828"/>
      <c r="BN1828"/>
      <c r="BO1828"/>
      <c r="BP1828"/>
      <c r="BQ1828"/>
      <c r="BR1828"/>
      <c r="BS1828"/>
      <c r="BT1828"/>
      <c r="BU1828"/>
      <c r="BV1828"/>
      <c r="BW1828"/>
      <c r="BX1828"/>
      <c r="BY1828"/>
      <c r="BZ1828"/>
      <c r="CA1828"/>
      <c r="CB1828"/>
      <c r="CC1828"/>
      <c r="CD1828"/>
      <c r="CE1828"/>
      <c r="CF1828"/>
      <c r="CG1828"/>
      <c r="CH1828"/>
      <c r="CI1828"/>
      <c r="CJ1828"/>
      <c r="CK1828"/>
      <c r="CL1828"/>
      <c r="CM1828"/>
      <c r="CN1828"/>
      <c r="CO1828"/>
      <c r="CP1828"/>
      <c r="CQ1828"/>
      <c r="CR1828"/>
      <c r="CS1828"/>
      <c r="CT1828"/>
      <c r="CU1828"/>
      <c r="CV1828"/>
      <c r="CW1828"/>
      <c r="CX1828"/>
      <c r="CY1828"/>
      <c r="CZ1828"/>
      <c r="DA1828"/>
      <c r="DB1828"/>
      <c r="DC1828"/>
      <c r="DD1828"/>
      <c r="DE1828"/>
      <c r="DF1828"/>
      <c r="DG1828"/>
      <c r="DH1828"/>
      <c r="DI1828"/>
      <c r="DJ1828"/>
      <c r="DK1828"/>
      <c r="DL1828"/>
      <c r="DM1828"/>
      <c r="DN1828"/>
      <c r="DO1828"/>
      <c r="DP1828"/>
      <c r="DQ1828"/>
      <c r="DR1828"/>
      <c r="DS1828"/>
      <c r="DT1828"/>
      <c r="DU1828"/>
      <c r="DV1828"/>
      <c r="DW1828"/>
      <c r="DX1828"/>
      <c r="DY1828"/>
      <c r="DZ1828"/>
      <c r="EA1828"/>
      <c r="EB1828"/>
      <c r="EC1828"/>
      <c r="ED1828"/>
      <c r="EE1828"/>
      <c r="EF1828"/>
      <c r="EG1828"/>
      <c r="EH1828"/>
      <c r="EI1828"/>
      <c r="EJ1828"/>
      <c r="EK1828"/>
      <c r="EL1828"/>
      <c r="EM1828"/>
      <c r="EN1828"/>
      <c r="EO1828"/>
      <c r="EP1828"/>
      <c r="EQ1828"/>
      <c r="ER1828"/>
      <c r="ES1828"/>
    </row>
    <row r="1829" spans="1:149">
      <c r="A1829"/>
      <c r="B1829"/>
      <c r="C1829"/>
      <c r="D1829"/>
      <c r="E1829"/>
      <c r="F1829"/>
      <c r="G1829"/>
      <c r="H1829"/>
      <c r="I1829"/>
      <c r="J1829"/>
      <c r="K1829"/>
      <c r="L1829"/>
      <c r="M1829"/>
      <c r="N1829"/>
      <c r="O1829"/>
      <c r="P1829"/>
      <c r="Q1829"/>
      <c r="R1829"/>
      <c r="S1829"/>
      <c r="T1829"/>
      <c r="U1829"/>
      <c r="V1829"/>
      <c r="W1829"/>
      <c r="X1829"/>
      <c r="Y1829"/>
      <c r="Z1829"/>
      <c r="AA1829"/>
      <c r="AB1829"/>
      <c r="AC1829"/>
      <c r="AD1829"/>
      <c r="AE1829"/>
      <c r="AF1829"/>
      <c r="AG1829"/>
      <c r="AH1829"/>
      <c r="AI1829"/>
      <c r="AJ1829"/>
      <c r="AK1829"/>
      <c r="AL1829"/>
      <c r="AM1829"/>
      <c r="AN1829"/>
      <c r="AO1829"/>
      <c r="AP1829"/>
      <c r="AQ1829"/>
      <c r="AR1829"/>
      <c r="AS1829"/>
      <c r="AT1829"/>
      <c r="AU1829"/>
      <c r="AV1829"/>
      <c r="AW1829"/>
      <c r="AX1829"/>
      <c r="AY1829"/>
      <c r="AZ1829"/>
      <c r="BA1829"/>
      <c r="BB1829"/>
      <c r="BC1829"/>
      <c r="BD1829"/>
      <c r="BE1829"/>
      <c r="BF1829"/>
      <c r="BG1829"/>
      <c r="BH1829"/>
      <c r="BI1829"/>
      <c r="BJ1829"/>
      <c r="BK1829"/>
      <c r="BL1829"/>
      <c r="BM1829"/>
      <c r="BN1829"/>
      <c r="BO1829"/>
      <c r="BP1829"/>
      <c r="BQ1829"/>
      <c r="BR1829"/>
      <c r="BS1829"/>
      <c r="BT1829"/>
      <c r="BU1829"/>
      <c r="BV1829"/>
      <c r="BW1829"/>
      <c r="BX1829"/>
      <c r="BY1829"/>
      <c r="BZ1829"/>
      <c r="CA1829"/>
      <c r="CB1829"/>
      <c r="CC1829"/>
      <c r="CD1829"/>
      <c r="CE1829"/>
      <c r="CF1829"/>
      <c r="CG1829"/>
      <c r="CH1829"/>
      <c r="CI1829"/>
      <c r="CJ1829"/>
      <c r="CK1829"/>
      <c r="CL1829"/>
      <c r="CM1829"/>
      <c r="CN1829"/>
      <c r="CO1829"/>
      <c r="CP1829"/>
      <c r="CQ1829"/>
      <c r="CR1829"/>
      <c r="CS1829"/>
      <c r="CT1829"/>
      <c r="CU1829"/>
      <c r="CV1829"/>
      <c r="CW1829"/>
      <c r="CX1829"/>
      <c r="CY1829"/>
      <c r="CZ1829"/>
      <c r="DA1829"/>
      <c r="DB1829"/>
      <c r="DC1829"/>
      <c r="DD1829"/>
      <c r="DE1829"/>
      <c r="DF1829"/>
      <c r="DG1829"/>
      <c r="DH1829"/>
      <c r="DI1829"/>
      <c r="DJ1829"/>
      <c r="DK1829"/>
      <c r="DL1829"/>
      <c r="DM1829"/>
      <c r="DN1829"/>
      <c r="DO1829"/>
      <c r="DP1829"/>
      <c r="DQ1829"/>
      <c r="DR1829"/>
      <c r="DS1829"/>
      <c r="DT1829"/>
      <c r="DU1829"/>
      <c r="DV1829"/>
      <c r="DW1829"/>
      <c r="DX1829"/>
      <c r="DY1829"/>
      <c r="DZ1829"/>
      <c r="EA1829"/>
      <c r="EB1829"/>
      <c r="EC1829"/>
      <c r="ED1829"/>
      <c r="EE1829"/>
      <c r="EF1829"/>
      <c r="EG1829"/>
      <c r="EH1829"/>
      <c r="EI1829"/>
      <c r="EJ1829"/>
      <c r="EK1829"/>
      <c r="EL1829"/>
      <c r="EM1829"/>
      <c r="EN1829"/>
      <c r="EO1829"/>
      <c r="EP1829"/>
      <c r="EQ1829"/>
      <c r="ER1829"/>
      <c r="ES1829"/>
    </row>
    <row r="1830" spans="1:149">
      <c r="A1830"/>
      <c r="B1830"/>
      <c r="C1830"/>
      <c r="D1830"/>
      <c r="E1830"/>
      <c r="F1830"/>
      <c r="G1830"/>
      <c r="H1830"/>
      <c r="I1830"/>
      <c r="J1830"/>
      <c r="K1830"/>
      <c r="L1830"/>
      <c r="M1830"/>
      <c r="N1830"/>
      <c r="O1830"/>
      <c r="P1830"/>
      <c r="Q1830"/>
      <c r="R1830"/>
      <c r="S1830"/>
      <c r="T1830"/>
      <c r="U1830"/>
      <c r="V1830"/>
      <c r="W1830"/>
      <c r="X1830"/>
      <c r="Y1830"/>
      <c r="Z1830"/>
      <c r="AA1830"/>
      <c r="AB1830"/>
      <c r="AC1830"/>
      <c r="AD1830"/>
      <c r="AE1830"/>
      <c r="AF1830"/>
      <c r="AG1830"/>
      <c r="AH1830"/>
      <c r="AI1830"/>
      <c r="AJ1830"/>
      <c r="AK1830"/>
      <c r="AL1830"/>
      <c r="AM1830"/>
      <c r="AN1830"/>
      <c r="AO1830"/>
      <c r="AP1830"/>
      <c r="AQ1830"/>
      <c r="AR1830"/>
      <c r="AS1830"/>
      <c r="AT1830"/>
      <c r="AU1830"/>
      <c r="AV1830"/>
      <c r="AW1830"/>
      <c r="AX1830"/>
      <c r="AY1830"/>
      <c r="AZ1830"/>
      <c r="BA1830"/>
      <c r="BB1830"/>
      <c r="BC1830"/>
      <c r="BD1830"/>
      <c r="BE1830"/>
      <c r="BF1830"/>
      <c r="BG1830"/>
      <c r="BH1830"/>
      <c r="BI1830"/>
      <c r="BJ1830"/>
      <c r="BK1830"/>
      <c r="BL1830"/>
      <c r="BM1830"/>
      <c r="BN1830"/>
      <c r="BO1830"/>
      <c r="BP1830"/>
      <c r="BQ1830"/>
      <c r="BR1830"/>
      <c r="BS1830"/>
      <c r="BT1830"/>
      <c r="BU1830"/>
      <c r="BV1830"/>
      <c r="BW1830"/>
      <c r="BX1830"/>
      <c r="BY1830"/>
      <c r="BZ1830"/>
      <c r="CA1830"/>
      <c r="CB1830"/>
      <c r="CC1830"/>
      <c r="CD1830"/>
      <c r="CE1830"/>
      <c r="CF1830"/>
      <c r="CG1830"/>
      <c r="CH1830"/>
      <c r="CI1830"/>
      <c r="CJ1830"/>
      <c r="CK1830"/>
      <c r="CL1830"/>
      <c r="CM1830"/>
      <c r="CN1830"/>
      <c r="CO1830"/>
      <c r="CP1830"/>
      <c r="CQ1830"/>
      <c r="CR1830"/>
      <c r="CS1830"/>
      <c r="CT1830"/>
      <c r="CU1830"/>
      <c r="CV1830"/>
      <c r="CW1830"/>
      <c r="CX1830"/>
      <c r="CY1830"/>
      <c r="CZ1830"/>
      <c r="DA1830"/>
      <c r="DB1830"/>
      <c r="DC1830"/>
      <c r="DD1830"/>
      <c r="DE1830"/>
      <c r="DF1830"/>
      <c r="DG1830"/>
      <c r="DH1830"/>
      <c r="DI1830"/>
      <c r="DJ1830"/>
      <c r="DK1830"/>
      <c r="DL1830"/>
      <c r="DM1830"/>
      <c r="DN1830"/>
      <c r="DO1830"/>
      <c r="DP1830"/>
      <c r="DQ1830"/>
      <c r="DR1830"/>
      <c r="DS1830"/>
      <c r="DT1830"/>
      <c r="DU1830"/>
      <c r="DV1830"/>
      <c r="DW1830"/>
      <c r="DX1830"/>
      <c r="DY1830"/>
      <c r="DZ1830"/>
      <c r="EA1830"/>
      <c r="EB1830"/>
      <c r="EC1830"/>
      <c r="ED1830"/>
      <c r="EE1830"/>
      <c r="EF1830"/>
      <c r="EG1830"/>
      <c r="EH1830"/>
      <c r="EI1830"/>
      <c r="EJ1830"/>
      <c r="EK1830"/>
      <c r="EL1830"/>
      <c r="EM1830"/>
      <c r="EN1830"/>
      <c r="EO1830"/>
      <c r="EP1830"/>
      <c r="EQ1830"/>
      <c r="ER1830"/>
      <c r="ES1830"/>
    </row>
    <row r="1831" spans="1:149">
      <c r="A1831"/>
      <c r="B1831"/>
      <c r="C1831"/>
      <c r="D1831"/>
      <c r="E1831"/>
      <c r="F1831"/>
      <c r="G1831"/>
      <c r="H1831"/>
      <c r="I1831"/>
      <c r="J1831"/>
      <c r="K1831"/>
      <c r="L1831"/>
      <c r="M1831"/>
      <c r="N1831"/>
      <c r="O1831"/>
      <c r="P1831"/>
      <c r="Q1831"/>
      <c r="R1831"/>
      <c r="S1831"/>
      <c r="T1831"/>
      <c r="U1831"/>
      <c r="V1831"/>
      <c r="W1831"/>
      <c r="X1831"/>
      <c r="Y1831"/>
      <c r="Z1831"/>
      <c r="AA1831"/>
      <c r="AB1831"/>
      <c r="AC1831"/>
      <c r="AD1831"/>
      <c r="AE1831"/>
      <c r="AF1831"/>
      <c r="AG1831"/>
      <c r="AH1831"/>
      <c r="AI1831"/>
      <c r="AJ1831"/>
      <c r="AK1831"/>
      <c r="AL1831"/>
      <c r="AM1831"/>
      <c r="AN1831"/>
      <c r="AO1831"/>
      <c r="AP1831"/>
      <c r="AQ1831"/>
      <c r="AR1831"/>
      <c r="AS1831"/>
      <c r="AT1831"/>
      <c r="AU1831"/>
      <c r="AV1831"/>
      <c r="AW1831"/>
      <c r="AX1831"/>
      <c r="AY1831"/>
      <c r="AZ1831"/>
      <c r="BA1831"/>
      <c r="BB1831"/>
      <c r="BC1831"/>
      <c r="BD1831"/>
      <c r="BE1831"/>
      <c r="BF1831"/>
      <c r="BG1831"/>
      <c r="BH1831"/>
      <c r="BI1831"/>
      <c r="BJ1831"/>
      <c r="BK1831"/>
      <c r="BL1831"/>
      <c r="BM1831"/>
      <c r="BN1831"/>
      <c r="BO1831"/>
      <c r="BP1831"/>
      <c r="BQ1831"/>
      <c r="BR1831"/>
      <c r="BS1831"/>
      <c r="BT1831"/>
      <c r="BU1831"/>
      <c r="BV1831"/>
      <c r="BW1831"/>
      <c r="BX1831"/>
      <c r="BY1831"/>
      <c r="BZ1831"/>
      <c r="CA1831"/>
      <c r="CB1831"/>
      <c r="CC1831"/>
      <c r="CD1831"/>
      <c r="CE1831"/>
      <c r="CF1831"/>
      <c r="CG1831"/>
      <c r="CH1831"/>
      <c r="CI1831"/>
      <c r="CJ1831"/>
      <c r="CK1831"/>
      <c r="CL1831"/>
      <c r="CM1831"/>
      <c r="CN1831"/>
      <c r="CO1831"/>
      <c r="CP1831"/>
      <c r="CQ1831"/>
      <c r="CR1831"/>
      <c r="CS1831"/>
      <c r="CT1831"/>
      <c r="CU1831"/>
      <c r="CV1831"/>
      <c r="CW1831"/>
      <c r="CX1831"/>
      <c r="CY1831"/>
      <c r="CZ1831"/>
      <c r="DA1831"/>
      <c r="DB1831"/>
      <c r="DC1831"/>
      <c r="DD1831"/>
      <c r="DE1831"/>
      <c r="DF1831"/>
      <c r="DG1831"/>
      <c r="DH1831"/>
      <c r="DI1831"/>
      <c r="DJ1831"/>
      <c r="DK1831"/>
      <c r="DL1831"/>
      <c r="DM1831"/>
      <c r="DN1831"/>
      <c r="DO1831"/>
      <c r="DP1831"/>
      <c r="DQ1831"/>
      <c r="DR1831"/>
      <c r="DS1831"/>
      <c r="DT1831"/>
      <c r="DU1831"/>
      <c r="DV1831"/>
      <c r="DW1831"/>
      <c r="DX1831"/>
      <c r="DY1831"/>
      <c r="DZ1831"/>
      <c r="EA1831"/>
      <c r="EB1831"/>
      <c r="EC1831"/>
      <c r="ED1831"/>
      <c r="EE1831"/>
      <c r="EF1831"/>
      <c r="EG1831"/>
      <c r="EH1831"/>
      <c r="EI1831"/>
      <c r="EJ1831"/>
      <c r="EK1831"/>
      <c r="EL1831"/>
      <c r="EM1831"/>
      <c r="EN1831"/>
      <c r="EO1831"/>
      <c r="EP1831"/>
      <c r="EQ1831"/>
      <c r="ER1831"/>
      <c r="ES1831"/>
    </row>
    <row r="1832" spans="1:149">
      <c r="A1832"/>
      <c r="B1832"/>
      <c r="C1832"/>
      <c r="D1832"/>
      <c r="E1832"/>
      <c r="F1832"/>
      <c r="G1832"/>
      <c r="H1832"/>
      <c r="I1832"/>
      <c r="J1832"/>
      <c r="K1832"/>
      <c r="L1832"/>
      <c r="M1832"/>
      <c r="N1832"/>
      <c r="O1832"/>
      <c r="P1832"/>
      <c r="Q1832"/>
      <c r="R1832"/>
      <c r="S1832"/>
      <c r="T1832"/>
      <c r="U1832"/>
      <c r="V1832"/>
      <c r="W1832"/>
      <c r="X1832"/>
      <c r="Y1832"/>
      <c r="Z1832"/>
      <c r="AA1832"/>
      <c r="AB1832"/>
      <c r="AC1832"/>
      <c r="AD1832"/>
      <c r="AE1832"/>
      <c r="AF1832"/>
      <c r="AG1832"/>
      <c r="AH1832"/>
      <c r="AI1832"/>
      <c r="AJ1832"/>
      <c r="AK1832"/>
      <c r="AL1832"/>
      <c r="AM1832"/>
      <c r="AN1832"/>
      <c r="AO1832"/>
      <c r="AP1832"/>
      <c r="AQ1832"/>
      <c r="AR1832"/>
      <c r="AS1832"/>
      <c r="AT1832"/>
      <c r="AU1832"/>
      <c r="AV1832"/>
      <c r="AW1832"/>
      <c r="AX1832"/>
      <c r="AY1832"/>
      <c r="AZ1832"/>
      <c r="BA1832"/>
      <c r="BB1832"/>
      <c r="BC1832"/>
      <c r="BD1832"/>
      <c r="BE1832"/>
      <c r="BF1832"/>
      <c r="BG1832"/>
      <c r="BH1832"/>
      <c r="BI1832"/>
      <c r="BJ1832"/>
      <c r="BK1832"/>
      <c r="BL1832"/>
      <c r="BM1832"/>
      <c r="BN1832"/>
      <c r="BO1832"/>
      <c r="BP1832"/>
      <c r="BQ1832"/>
      <c r="BR1832"/>
      <c r="BS1832"/>
      <c r="BT1832"/>
      <c r="BU1832"/>
      <c r="BV1832"/>
      <c r="BW1832"/>
      <c r="BX1832"/>
      <c r="BY1832"/>
      <c r="BZ1832"/>
      <c r="CA1832"/>
      <c r="CB1832"/>
      <c r="CC1832"/>
      <c r="CD1832"/>
      <c r="CE1832"/>
      <c r="CF1832"/>
      <c r="CG1832"/>
      <c r="CH1832"/>
      <c r="CI1832"/>
      <c r="CJ1832"/>
      <c r="CK1832"/>
      <c r="CL1832"/>
      <c r="CM1832"/>
      <c r="CN1832"/>
      <c r="CO1832"/>
      <c r="CP1832"/>
      <c r="CQ1832"/>
      <c r="CR1832"/>
      <c r="CS1832"/>
      <c r="CT1832"/>
      <c r="CU1832"/>
      <c r="CV1832"/>
      <c r="CW1832"/>
      <c r="CX1832"/>
      <c r="CY1832"/>
      <c r="CZ1832"/>
      <c r="DA1832"/>
      <c r="DB1832"/>
      <c r="DC1832"/>
      <c r="DD1832"/>
      <c r="DE1832"/>
      <c r="DF1832"/>
      <c r="DG1832"/>
      <c r="DH1832"/>
      <c r="DI1832"/>
      <c r="DJ1832"/>
      <c r="DK1832"/>
      <c r="DL1832"/>
      <c r="DM1832"/>
      <c r="DN1832"/>
      <c r="DO1832"/>
      <c r="DP1832"/>
      <c r="DQ1832"/>
      <c r="DR1832"/>
      <c r="DS1832"/>
      <c r="DT1832"/>
      <c r="DU1832"/>
      <c r="DV1832"/>
      <c r="DW1832"/>
      <c r="DX1832"/>
      <c r="DY1832"/>
      <c r="DZ1832"/>
      <c r="EA1832"/>
      <c r="EB1832"/>
      <c r="EC1832"/>
      <c r="ED1832"/>
      <c r="EE1832"/>
      <c r="EF1832"/>
      <c r="EG1832"/>
      <c r="EH1832"/>
      <c r="EI1832"/>
      <c r="EJ1832"/>
      <c r="EK1832"/>
      <c r="EL1832"/>
      <c r="EM1832"/>
      <c r="EN1832"/>
      <c r="EO1832"/>
      <c r="EP1832"/>
      <c r="EQ1832"/>
      <c r="ER1832"/>
      <c r="ES1832"/>
    </row>
    <row r="1833" spans="1:149">
      <c r="A1833"/>
      <c r="B1833"/>
      <c r="C1833"/>
      <c r="D1833"/>
      <c r="E1833"/>
      <c r="F1833"/>
      <c r="G1833"/>
      <c r="H1833"/>
      <c r="I1833"/>
      <c r="J1833"/>
      <c r="K1833"/>
      <c r="L1833"/>
      <c r="M1833"/>
      <c r="N1833"/>
      <c r="O1833"/>
      <c r="P1833"/>
      <c r="Q1833"/>
      <c r="R1833"/>
      <c r="S1833"/>
      <c r="T1833"/>
      <c r="U1833"/>
      <c r="V1833"/>
      <c r="W1833"/>
      <c r="X1833"/>
      <c r="Y1833"/>
      <c r="Z1833"/>
      <c r="AA1833"/>
      <c r="AB1833"/>
      <c r="AC1833"/>
      <c r="AD1833"/>
      <c r="AE1833"/>
      <c r="AF1833"/>
      <c r="AG1833"/>
      <c r="AH1833"/>
      <c r="AI1833"/>
      <c r="AJ1833"/>
      <c r="AK1833"/>
      <c r="AL1833"/>
      <c r="AM1833"/>
      <c r="AN1833"/>
      <c r="AO1833"/>
      <c r="AP1833"/>
      <c r="AQ1833"/>
      <c r="AR1833"/>
      <c r="AS1833"/>
      <c r="AT1833"/>
      <c r="AU1833"/>
      <c r="AV1833"/>
      <c r="AW1833"/>
      <c r="AX1833"/>
      <c r="AY1833"/>
      <c r="AZ1833"/>
      <c r="BA1833"/>
      <c r="BB1833"/>
      <c r="BC1833"/>
      <c r="BD1833"/>
      <c r="BE1833"/>
      <c r="BF1833"/>
      <c r="BG1833"/>
      <c r="BH1833"/>
      <c r="BI1833"/>
      <c r="BJ1833"/>
      <c r="BK1833"/>
      <c r="BL1833"/>
      <c r="BM1833"/>
      <c r="BN1833"/>
      <c r="BO1833"/>
      <c r="BP1833"/>
      <c r="BQ1833"/>
      <c r="BR1833"/>
      <c r="BS1833"/>
      <c r="BT1833"/>
      <c r="BU1833"/>
      <c r="BV1833"/>
      <c r="BW1833"/>
      <c r="BX1833"/>
      <c r="BY1833"/>
      <c r="BZ1833"/>
      <c r="CA1833"/>
      <c r="CB1833"/>
      <c r="CC1833"/>
      <c r="CD1833"/>
      <c r="CE1833"/>
      <c r="CF1833"/>
      <c r="CG1833"/>
      <c r="CH1833"/>
      <c r="CI1833"/>
      <c r="CJ1833"/>
      <c r="CK1833"/>
      <c r="CL1833"/>
      <c r="CM1833"/>
      <c r="CN1833"/>
      <c r="CO1833"/>
      <c r="CP1833"/>
      <c r="CQ1833"/>
      <c r="CR1833"/>
      <c r="CS1833"/>
      <c r="CT1833"/>
      <c r="CU1833"/>
      <c r="CV1833"/>
      <c r="CW1833"/>
      <c r="CX1833"/>
      <c r="CY1833"/>
      <c r="CZ1833"/>
      <c r="DA1833"/>
      <c r="DB1833"/>
      <c r="DC1833"/>
      <c r="DD1833"/>
      <c r="DE1833"/>
      <c r="DF1833"/>
      <c r="DG1833"/>
      <c r="DH1833"/>
      <c r="DI1833"/>
      <c r="DJ1833"/>
      <c r="DK1833"/>
      <c r="DL1833"/>
      <c r="DM1833"/>
      <c r="DN1833"/>
      <c r="DO1833"/>
      <c r="DP1833"/>
      <c r="DQ1833"/>
      <c r="DR1833"/>
      <c r="DS1833"/>
      <c r="DT1833"/>
      <c r="DU1833"/>
      <c r="DV1833"/>
      <c r="DW1833"/>
      <c r="DX1833"/>
      <c r="DY1833"/>
      <c r="DZ1833"/>
      <c r="EA1833"/>
      <c r="EB1833"/>
      <c r="EC1833"/>
      <c r="ED1833"/>
      <c r="EE1833"/>
      <c r="EF1833"/>
      <c r="EG1833"/>
      <c r="EH1833"/>
      <c r="EI1833"/>
      <c r="EJ1833"/>
      <c r="EK1833"/>
      <c r="EL1833"/>
      <c r="EM1833"/>
      <c r="EN1833"/>
      <c r="EO1833"/>
      <c r="EP1833"/>
      <c r="EQ1833"/>
      <c r="ER1833"/>
      <c r="ES1833"/>
    </row>
    <row r="1834" spans="1:149">
      <c r="A1834"/>
      <c r="B1834"/>
      <c r="C1834"/>
      <c r="D1834"/>
      <c r="E1834"/>
      <c r="F1834"/>
      <c r="G1834"/>
      <c r="H1834"/>
      <c r="I1834"/>
      <c r="J1834"/>
      <c r="K1834"/>
      <c r="L1834"/>
      <c r="M1834"/>
      <c r="N1834"/>
      <c r="O1834"/>
      <c r="P1834"/>
      <c r="Q1834"/>
      <c r="R1834"/>
      <c r="S1834"/>
      <c r="T1834"/>
      <c r="U1834"/>
      <c r="V1834"/>
      <c r="W1834"/>
      <c r="X1834"/>
      <c r="Y1834"/>
      <c r="Z1834"/>
      <c r="AA1834"/>
      <c r="AB1834"/>
      <c r="AC1834"/>
      <c r="AD1834"/>
      <c r="AE1834"/>
      <c r="AF1834"/>
      <c r="AG1834"/>
      <c r="AH1834"/>
      <c r="AI1834"/>
      <c r="AJ1834"/>
      <c r="AK1834"/>
      <c r="AL1834"/>
      <c r="AM1834"/>
      <c r="AN1834"/>
      <c r="AO1834"/>
      <c r="AP1834"/>
      <c r="AQ1834"/>
      <c r="AR1834"/>
      <c r="AS1834"/>
      <c r="AT1834"/>
      <c r="AU1834"/>
      <c r="AV1834"/>
      <c r="AW1834"/>
      <c r="AX1834"/>
      <c r="AY1834"/>
      <c r="AZ1834"/>
      <c r="BA1834"/>
      <c r="BB1834"/>
      <c r="BC1834"/>
      <c r="BD1834"/>
      <c r="BE1834"/>
      <c r="BF1834"/>
      <c r="BG1834"/>
      <c r="BH1834"/>
      <c r="BI1834"/>
      <c r="BJ1834"/>
      <c r="BK1834"/>
      <c r="BL1834"/>
      <c r="BM1834"/>
      <c r="BN1834"/>
      <c r="BO1834"/>
      <c r="BP1834"/>
      <c r="BQ1834"/>
      <c r="BR1834"/>
      <c r="BS1834"/>
      <c r="BT1834"/>
      <c r="BU1834"/>
      <c r="BV1834"/>
      <c r="BW1834"/>
      <c r="BX1834"/>
      <c r="BY1834"/>
      <c r="BZ1834"/>
      <c r="CA1834"/>
      <c r="CB1834"/>
      <c r="CC1834"/>
      <c r="CD1834"/>
      <c r="CE1834"/>
      <c r="CF1834"/>
      <c r="CG1834"/>
      <c r="CH1834"/>
      <c r="CI1834"/>
      <c r="CJ1834"/>
      <c r="CK1834"/>
      <c r="CL1834"/>
      <c r="CM1834"/>
      <c r="CN1834"/>
      <c r="CO1834"/>
      <c r="CP1834"/>
      <c r="CQ1834"/>
      <c r="CR1834"/>
      <c r="CS1834"/>
      <c r="CT1834"/>
      <c r="CU1834"/>
      <c r="CV1834"/>
      <c r="CW1834"/>
      <c r="CX1834"/>
      <c r="CY1834"/>
      <c r="CZ1834"/>
      <c r="DA1834"/>
      <c r="DB1834"/>
      <c r="DC1834"/>
      <c r="DD1834"/>
      <c r="DE1834"/>
      <c r="DF1834"/>
      <c r="DG1834"/>
      <c r="DH1834"/>
      <c r="DI1834"/>
      <c r="DJ1834"/>
      <c r="DK1834"/>
      <c r="DL1834"/>
      <c r="DM1834"/>
      <c r="DN1834"/>
      <c r="DO1834"/>
      <c r="DP1834"/>
      <c r="DQ1834"/>
      <c r="DR1834"/>
      <c r="DS1834"/>
      <c r="DT1834"/>
      <c r="DU1834"/>
      <c r="DV1834"/>
      <c r="DW1834"/>
      <c r="DX1834"/>
      <c r="DY1834"/>
      <c r="DZ1834"/>
      <c r="EA1834"/>
      <c r="EB1834"/>
      <c r="EC1834"/>
      <c r="ED1834"/>
      <c r="EE1834"/>
      <c r="EF1834"/>
      <c r="EG1834"/>
      <c r="EH1834"/>
      <c r="EI1834"/>
      <c r="EJ1834"/>
      <c r="EK1834"/>
      <c r="EL1834"/>
      <c r="EM1834"/>
      <c r="EN1834"/>
      <c r="EO1834"/>
      <c r="EP1834"/>
      <c r="EQ1834"/>
      <c r="ER1834"/>
      <c r="ES1834"/>
    </row>
    <row r="1835" spans="1:149">
      <c r="A1835"/>
      <c r="B1835"/>
      <c r="C1835"/>
      <c r="D1835"/>
      <c r="E1835"/>
      <c r="F1835"/>
      <c r="G1835"/>
      <c r="H1835"/>
      <c r="I1835"/>
      <c r="J1835"/>
      <c r="K1835"/>
      <c r="L1835"/>
      <c r="M1835"/>
      <c r="N1835"/>
      <c r="O1835"/>
      <c r="P1835"/>
      <c r="Q1835"/>
      <c r="R1835"/>
      <c r="S1835"/>
      <c r="T1835"/>
      <c r="U1835"/>
      <c r="V1835"/>
      <c r="W1835"/>
      <c r="X1835"/>
      <c r="Y1835"/>
      <c r="Z1835"/>
      <c r="AA1835"/>
      <c r="AB1835"/>
      <c r="AC1835"/>
      <c r="AD1835"/>
      <c r="AE1835"/>
      <c r="AF1835"/>
      <c r="AG1835"/>
      <c r="AH1835"/>
      <c r="AI1835"/>
      <c r="AJ1835"/>
      <c r="AK1835"/>
      <c r="AL1835"/>
      <c r="AM1835"/>
      <c r="AN1835"/>
      <c r="AO1835"/>
      <c r="AP1835"/>
      <c r="AQ1835"/>
      <c r="AR1835"/>
      <c r="AS1835"/>
      <c r="AT1835"/>
      <c r="AU1835"/>
      <c r="AV1835"/>
      <c r="AW1835"/>
      <c r="AX1835"/>
      <c r="AY1835"/>
      <c r="AZ1835"/>
      <c r="BA1835"/>
      <c r="BB1835"/>
      <c r="BC1835"/>
      <c r="BD1835"/>
      <c r="BE1835"/>
      <c r="BF1835"/>
      <c r="BG1835"/>
      <c r="BH1835"/>
      <c r="BI1835"/>
      <c r="BJ1835"/>
      <c r="BK1835"/>
      <c r="BL1835"/>
      <c r="BM1835"/>
      <c r="BN1835"/>
      <c r="BO1835"/>
      <c r="BP1835"/>
      <c r="BQ1835"/>
      <c r="BR1835"/>
      <c r="BS1835"/>
      <c r="BT1835"/>
      <c r="BU1835"/>
      <c r="BV1835"/>
      <c r="BW1835"/>
      <c r="BX1835"/>
      <c r="BY1835"/>
      <c r="BZ1835"/>
      <c r="CA1835"/>
      <c r="CB1835"/>
      <c r="CC1835"/>
      <c r="CD1835"/>
      <c r="CE1835"/>
      <c r="CF1835"/>
      <c r="CG1835"/>
      <c r="CH1835"/>
      <c r="CI1835"/>
      <c r="CJ1835"/>
      <c r="CK1835"/>
      <c r="CL1835"/>
      <c r="CM1835"/>
      <c r="CN1835"/>
      <c r="CO1835"/>
      <c r="CP1835"/>
      <c r="CQ1835"/>
      <c r="CR1835"/>
      <c r="CS1835"/>
      <c r="CT1835"/>
      <c r="CU1835"/>
      <c r="CV1835"/>
      <c r="CW1835"/>
      <c r="CX1835"/>
      <c r="CY1835"/>
      <c r="CZ1835"/>
      <c r="DA1835"/>
      <c r="DB1835"/>
      <c r="DC1835"/>
      <c r="DD1835"/>
      <c r="DE1835"/>
      <c r="DF1835"/>
      <c r="DG1835"/>
      <c r="DH1835"/>
      <c r="DI1835"/>
      <c r="DJ1835"/>
      <c r="DK1835"/>
      <c r="DL1835"/>
      <c r="DM1835"/>
      <c r="DN1835"/>
      <c r="DO1835"/>
      <c r="DP1835"/>
      <c r="DQ1835"/>
      <c r="DR1835"/>
      <c r="DS1835"/>
      <c r="DT1835"/>
      <c r="DU1835"/>
      <c r="DV1835"/>
      <c r="DW1835"/>
      <c r="DX1835"/>
      <c r="DY1835"/>
      <c r="DZ1835"/>
      <c r="EA1835"/>
      <c r="EB1835"/>
      <c r="EC1835"/>
      <c r="ED1835"/>
      <c r="EE1835"/>
      <c r="EF1835"/>
      <c r="EG1835"/>
      <c r="EH1835"/>
      <c r="EI1835"/>
      <c r="EJ1835"/>
      <c r="EK1835"/>
      <c r="EL1835"/>
      <c r="EM1835"/>
      <c r="EN1835"/>
      <c r="EO1835"/>
      <c r="EP1835"/>
      <c r="EQ1835"/>
      <c r="ER1835"/>
      <c r="ES1835"/>
    </row>
    <row r="1836" spans="1:149">
      <c r="A1836"/>
      <c r="B1836"/>
      <c r="C1836"/>
      <c r="D1836"/>
      <c r="E1836"/>
      <c r="F1836"/>
      <c r="G1836"/>
      <c r="H1836"/>
      <c r="I1836"/>
      <c r="J1836"/>
      <c r="K1836"/>
      <c r="L1836"/>
      <c r="M1836"/>
      <c r="N1836"/>
      <c r="O1836"/>
      <c r="P1836"/>
      <c r="Q1836"/>
      <c r="R1836"/>
      <c r="S1836"/>
      <c r="T1836"/>
      <c r="U1836"/>
      <c r="V1836"/>
      <c r="W1836"/>
      <c r="X1836"/>
      <c r="Y1836"/>
      <c r="Z1836"/>
      <c r="AA1836"/>
      <c r="AB1836"/>
      <c r="AC1836"/>
      <c r="AD1836"/>
      <c r="AE1836"/>
      <c r="AF1836"/>
      <c r="AG1836"/>
      <c r="AH1836"/>
      <c r="AI1836"/>
      <c r="AJ1836"/>
      <c r="AK1836"/>
      <c r="AL1836"/>
      <c r="AM1836"/>
      <c r="AN1836"/>
      <c r="AO1836"/>
      <c r="AP1836"/>
      <c r="AQ1836"/>
      <c r="AR1836"/>
      <c r="AS1836"/>
      <c r="AT1836"/>
      <c r="AU1836"/>
      <c r="AV1836"/>
      <c r="AW1836"/>
      <c r="AX1836"/>
      <c r="AY1836"/>
      <c r="AZ1836"/>
      <c r="BA1836"/>
      <c r="BB1836"/>
      <c r="BC1836"/>
      <c r="BD1836"/>
      <c r="BE1836"/>
      <c r="BF1836"/>
      <c r="BG1836"/>
      <c r="BH1836"/>
      <c r="BI1836"/>
      <c r="BJ1836"/>
      <c r="BK1836"/>
      <c r="BL1836"/>
      <c r="BM1836"/>
      <c r="BN1836"/>
      <c r="BO1836"/>
      <c r="BP1836"/>
      <c r="BQ1836"/>
      <c r="BR1836"/>
      <c r="BS1836"/>
      <c r="BT1836"/>
      <c r="BU1836"/>
      <c r="BV1836"/>
      <c r="BW1836"/>
      <c r="BX1836"/>
      <c r="BY1836"/>
      <c r="BZ1836"/>
      <c r="CA1836"/>
      <c r="CB1836"/>
      <c r="CC1836"/>
      <c r="CD1836"/>
      <c r="CE1836"/>
      <c r="CF1836"/>
      <c r="CG1836"/>
      <c r="CH1836"/>
      <c r="CI1836"/>
      <c r="CJ1836"/>
      <c r="CK1836"/>
      <c r="CL1836"/>
      <c r="CM1836"/>
      <c r="CN1836"/>
      <c r="CO1836"/>
      <c r="CP1836"/>
      <c r="CQ1836"/>
      <c r="CR1836"/>
      <c r="CS1836"/>
      <c r="CT1836"/>
      <c r="CU1836"/>
      <c r="CV1836"/>
      <c r="CW1836"/>
      <c r="CX1836"/>
      <c r="CY1836"/>
      <c r="CZ1836"/>
      <c r="DA1836"/>
      <c r="DB1836"/>
      <c r="DC1836"/>
      <c r="DD1836"/>
      <c r="DE1836"/>
      <c r="DF1836"/>
      <c r="DG1836"/>
      <c r="DH1836"/>
      <c r="DI1836"/>
      <c r="DJ1836"/>
      <c r="DK1836"/>
      <c r="DL1836"/>
      <c r="DM1836"/>
      <c r="DN1836"/>
      <c r="DO1836"/>
      <c r="DP1836"/>
      <c r="DQ1836"/>
      <c r="DR1836"/>
      <c r="DS1836"/>
      <c r="DT1836"/>
      <c r="DU1836"/>
      <c r="DV1836"/>
      <c r="DW1836"/>
      <c r="DX1836"/>
      <c r="DY1836"/>
      <c r="DZ1836"/>
      <c r="EA1836"/>
      <c r="EB1836"/>
      <c r="EC1836"/>
      <c r="ED1836"/>
      <c r="EE1836"/>
      <c r="EF1836"/>
      <c r="EG1836"/>
      <c r="EH1836"/>
      <c r="EI1836"/>
      <c r="EJ1836"/>
      <c r="EK1836"/>
      <c r="EL1836"/>
      <c r="EM1836"/>
      <c r="EN1836"/>
      <c r="EO1836"/>
      <c r="EP1836"/>
      <c r="EQ1836"/>
      <c r="ER1836"/>
      <c r="ES1836"/>
    </row>
    <row r="1837" spans="1:149">
      <c r="A1837"/>
      <c r="B1837"/>
      <c r="C1837"/>
      <c r="D1837"/>
      <c r="E1837"/>
      <c r="F1837"/>
      <c r="G1837"/>
      <c r="H1837"/>
      <c r="I1837"/>
      <c r="J1837"/>
      <c r="K1837"/>
      <c r="L1837"/>
      <c r="M1837"/>
      <c r="N1837"/>
      <c r="O1837"/>
      <c r="P1837"/>
      <c r="Q1837"/>
      <c r="R1837"/>
      <c r="S1837"/>
      <c r="T1837"/>
      <c r="U1837"/>
      <c r="V1837"/>
      <c r="W1837"/>
      <c r="X1837"/>
      <c r="Y1837"/>
      <c r="Z1837"/>
      <c r="AA1837"/>
      <c r="AB1837"/>
      <c r="AC1837"/>
      <c r="AD1837"/>
      <c r="AE1837"/>
      <c r="AF1837"/>
      <c r="AG1837"/>
      <c r="AH1837"/>
      <c r="AI1837"/>
      <c r="AJ1837"/>
      <c r="AK1837"/>
      <c r="AL1837"/>
      <c r="AM1837"/>
      <c r="AN1837"/>
      <c r="AO1837"/>
      <c r="AP1837"/>
      <c r="AQ1837"/>
      <c r="AR1837"/>
      <c r="AS1837"/>
      <c r="AT1837"/>
      <c r="AU1837"/>
      <c r="AV1837"/>
      <c r="AW1837"/>
      <c r="AX1837"/>
      <c r="AY1837"/>
      <c r="AZ1837"/>
      <c r="BA1837"/>
      <c r="BB1837"/>
      <c r="BC1837"/>
      <c r="BD1837"/>
      <c r="BE1837"/>
      <c r="BF1837"/>
      <c r="BG1837"/>
      <c r="BH1837"/>
      <c r="BI1837"/>
      <c r="BJ1837"/>
      <c r="BK1837"/>
      <c r="BL1837"/>
      <c r="BM1837"/>
      <c r="BN1837"/>
      <c r="BO1837"/>
      <c r="BP1837"/>
      <c r="BQ1837"/>
      <c r="BR1837"/>
      <c r="BS1837"/>
      <c r="BT1837"/>
      <c r="BU1837"/>
      <c r="BV1837"/>
      <c r="BW1837"/>
      <c r="BX1837"/>
      <c r="BY1837"/>
      <c r="BZ1837"/>
      <c r="CA1837"/>
      <c r="CB1837"/>
      <c r="CC1837"/>
      <c r="CD1837"/>
      <c r="CE1837"/>
      <c r="CF1837"/>
      <c r="CG1837"/>
      <c r="CH1837"/>
      <c r="CI1837"/>
      <c r="CJ1837"/>
      <c r="CK1837"/>
      <c r="CL1837"/>
      <c r="CM1837"/>
      <c r="CN1837"/>
      <c r="CO1837"/>
      <c r="CP1837"/>
      <c r="CQ1837"/>
      <c r="CR1837"/>
      <c r="CS1837"/>
      <c r="CT1837"/>
      <c r="CU1837"/>
      <c r="CV1837"/>
      <c r="CW1837"/>
      <c r="CX1837"/>
      <c r="CY1837"/>
      <c r="CZ1837"/>
      <c r="DA1837"/>
      <c r="DB1837"/>
      <c r="DC1837"/>
      <c r="DD1837"/>
      <c r="DE1837"/>
      <c r="DF1837"/>
      <c r="DG1837"/>
      <c r="DH1837"/>
      <c r="DI1837"/>
      <c r="DJ1837"/>
      <c r="DK1837"/>
      <c r="DL1837"/>
      <c r="DM1837"/>
      <c r="DN1837"/>
      <c r="DO1837"/>
      <c r="DP1837"/>
      <c r="DQ1837"/>
      <c r="DR1837"/>
      <c r="DS1837"/>
      <c r="DT1837"/>
      <c r="DU1837"/>
      <c r="DV1837"/>
      <c r="DW1837"/>
      <c r="DX1837"/>
      <c r="DY1837"/>
      <c r="DZ1837"/>
      <c r="EA1837"/>
      <c r="EB1837"/>
      <c r="EC1837"/>
      <c r="ED1837"/>
      <c r="EE1837"/>
      <c r="EF1837"/>
      <c r="EG1837"/>
      <c r="EH1837"/>
      <c r="EI1837"/>
      <c r="EJ1837"/>
      <c r="EK1837"/>
      <c r="EL1837"/>
      <c r="EM1837"/>
      <c r="EN1837"/>
      <c r="EO1837"/>
      <c r="EP1837"/>
      <c r="EQ1837"/>
      <c r="ER1837"/>
      <c r="ES1837"/>
    </row>
    <row r="1838" spans="1:149">
      <c r="A1838"/>
      <c r="B1838"/>
      <c r="C1838"/>
      <c r="D1838"/>
      <c r="E1838"/>
      <c r="F1838"/>
      <c r="G1838"/>
      <c r="H1838"/>
      <c r="I1838"/>
      <c r="J1838"/>
      <c r="K1838"/>
      <c r="L1838"/>
      <c r="M1838"/>
      <c r="N1838"/>
      <c r="O1838"/>
      <c r="P1838"/>
      <c r="Q1838"/>
      <c r="R1838"/>
      <c r="S1838"/>
      <c r="T1838"/>
      <c r="U1838"/>
      <c r="V1838"/>
      <c r="W1838"/>
      <c r="X1838"/>
      <c r="Y1838"/>
      <c r="Z1838"/>
      <c r="AA1838"/>
      <c r="AB1838"/>
      <c r="AC1838"/>
      <c r="AD1838"/>
      <c r="AE1838"/>
      <c r="AF1838"/>
      <c r="AG1838"/>
      <c r="AH1838"/>
      <c r="AI1838"/>
      <c r="AJ1838"/>
      <c r="AK1838"/>
      <c r="AL1838"/>
      <c r="AM1838"/>
      <c r="AN1838"/>
      <c r="AO1838"/>
      <c r="AP1838"/>
      <c r="AQ1838"/>
      <c r="AR1838"/>
      <c r="AS1838"/>
      <c r="AT1838"/>
      <c r="AU1838"/>
      <c r="AV1838"/>
      <c r="AW1838"/>
      <c r="AX1838"/>
      <c r="AY1838"/>
      <c r="AZ1838"/>
      <c r="BA1838"/>
      <c r="BB1838"/>
      <c r="BC1838"/>
      <c r="BD1838"/>
      <c r="BE1838"/>
      <c r="BF1838"/>
      <c r="BG1838"/>
      <c r="BH1838"/>
      <c r="BI1838"/>
      <c r="BJ1838"/>
      <c r="BK1838"/>
      <c r="BL1838"/>
      <c r="BM1838"/>
      <c r="BN1838"/>
      <c r="BO1838"/>
      <c r="BP1838"/>
      <c r="BQ1838"/>
      <c r="BR1838"/>
      <c r="BS1838"/>
      <c r="BT1838"/>
      <c r="BU1838"/>
      <c r="BV1838"/>
      <c r="BW1838"/>
      <c r="BX1838"/>
      <c r="BY1838"/>
      <c r="BZ1838"/>
      <c r="CA1838"/>
      <c r="CB1838"/>
      <c r="CC1838"/>
      <c r="CD1838"/>
      <c r="CE1838"/>
      <c r="CF1838"/>
      <c r="CG1838"/>
      <c r="CH1838"/>
      <c r="CI1838"/>
      <c r="CJ1838"/>
      <c r="CK1838"/>
      <c r="CL1838"/>
      <c r="CM1838"/>
      <c r="CN1838"/>
      <c r="CO1838"/>
      <c r="CP1838"/>
      <c r="CQ1838"/>
      <c r="CR1838"/>
      <c r="CS1838"/>
      <c r="CT1838"/>
      <c r="CU1838"/>
      <c r="CV1838"/>
      <c r="CW1838"/>
      <c r="CX1838"/>
      <c r="CY1838"/>
      <c r="CZ1838"/>
      <c r="DA1838"/>
      <c r="DB1838"/>
      <c r="DC1838"/>
      <c r="DD1838"/>
      <c r="DE1838"/>
      <c r="DF1838"/>
      <c r="DG1838"/>
      <c r="DH1838"/>
      <c r="DI1838"/>
      <c r="DJ1838"/>
      <c r="DK1838"/>
      <c r="DL1838"/>
      <c r="DM1838"/>
      <c r="DN1838"/>
      <c r="DO1838"/>
      <c r="DP1838"/>
      <c r="DQ1838"/>
      <c r="DR1838"/>
      <c r="DS1838"/>
      <c r="DT1838"/>
      <c r="DU1838"/>
      <c r="DV1838"/>
      <c r="DW1838"/>
      <c r="DX1838"/>
      <c r="DY1838"/>
      <c r="DZ1838"/>
      <c r="EA1838"/>
      <c r="EB1838"/>
      <c r="EC1838"/>
      <c r="ED1838"/>
      <c r="EE1838"/>
      <c r="EF1838"/>
      <c r="EG1838"/>
      <c r="EH1838"/>
      <c r="EI1838"/>
      <c r="EJ1838"/>
      <c r="EK1838"/>
      <c r="EL1838"/>
      <c r="EM1838"/>
      <c r="EN1838"/>
      <c r="EO1838"/>
      <c r="EP1838"/>
      <c r="EQ1838"/>
      <c r="ER1838"/>
      <c r="ES1838"/>
    </row>
    <row r="1839" spans="1:149">
      <c r="A1839"/>
      <c r="B1839"/>
      <c r="C1839"/>
      <c r="D1839"/>
      <c r="E1839"/>
      <c r="F1839"/>
      <c r="G1839"/>
      <c r="H1839"/>
      <c r="I1839"/>
      <c r="J1839"/>
      <c r="K1839"/>
      <c r="L1839"/>
      <c r="M1839"/>
      <c r="N1839"/>
      <c r="O1839"/>
      <c r="P1839"/>
      <c r="Q1839"/>
      <c r="R1839"/>
      <c r="S1839"/>
      <c r="T1839"/>
      <c r="U1839"/>
      <c r="V1839"/>
      <c r="W1839"/>
      <c r="X1839"/>
      <c r="Y1839"/>
      <c r="Z1839"/>
      <c r="AA1839"/>
      <c r="AB1839"/>
      <c r="AC1839"/>
      <c r="AD1839"/>
      <c r="AE1839"/>
      <c r="AF1839"/>
      <c r="AG1839"/>
      <c r="AH1839"/>
      <c r="AI1839"/>
      <c r="AJ1839"/>
      <c r="AK1839"/>
      <c r="AL1839"/>
      <c r="AM1839"/>
      <c r="AN1839"/>
      <c r="AO1839"/>
      <c r="AP1839"/>
      <c r="AQ1839"/>
      <c r="AR1839"/>
      <c r="AS1839"/>
      <c r="AT1839"/>
      <c r="AU1839"/>
      <c r="AV1839"/>
      <c r="AW1839"/>
      <c r="AX1839"/>
      <c r="AY1839"/>
      <c r="AZ1839"/>
      <c r="BA1839"/>
      <c r="BB1839"/>
      <c r="BC1839"/>
      <c r="BD1839"/>
      <c r="BE1839"/>
      <c r="BF1839"/>
      <c r="BG1839"/>
      <c r="BH1839"/>
      <c r="BI1839"/>
      <c r="BJ1839"/>
      <c r="BK1839"/>
      <c r="BL1839"/>
      <c r="BM1839"/>
      <c r="BN1839"/>
      <c r="BO1839"/>
      <c r="BP1839"/>
      <c r="BQ1839"/>
      <c r="BR1839"/>
      <c r="BS1839"/>
      <c r="BT1839"/>
      <c r="BU1839"/>
      <c r="BV1839"/>
      <c r="BW1839"/>
      <c r="BX1839"/>
      <c r="BY1839"/>
      <c r="BZ1839"/>
      <c r="CA1839"/>
      <c r="CB1839"/>
      <c r="CC1839"/>
      <c r="CD1839"/>
      <c r="CE1839"/>
      <c r="CF1839"/>
      <c r="CG1839"/>
      <c r="CH1839"/>
      <c r="CI1839"/>
      <c r="CJ1839"/>
      <c r="CK1839"/>
      <c r="CL1839"/>
      <c r="CM1839"/>
      <c r="CN1839"/>
      <c r="CO1839"/>
      <c r="CP1839"/>
      <c r="CQ1839"/>
      <c r="CR1839"/>
      <c r="CS1839"/>
      <c r="CT1839"/>
      <c r="CU1839"/>
      <c r="CV1839"/>
      <c r="CW1839"/>
      <c r="CX1839"/>
      <c r="CY1839"/>
      <c r="CZ1839"/>
      <c r="DA1839"/>
      <c r="DB1839"/>
      <c r="DC1839"/>
      <c r="DD1839"/>
      <c r="DE1839"/>
      <c r="DF1839"/>
      <c r="DG1839"/>
      <c r="DH1839"/>
      <c r="DI1839"/>
      <c r="DJ1839"/>
      <c r="DK1839"/>
      <c r="DL1839"/>
      <c r="DM1839"/>
      <c r="DN1839"/>
      <c r="DO1839"/>
      <c r="DP1839"/>
      <c r="DQ1839"/>
      <c r="DR1839"/>
      <c r="DS1839"/>
      <c r="DT1839"/>
      <c r="DU1839"/>
      <c r="DV1839"/>
      <c r="DW1839"/>
      <c r="DX1839"/>
      <c r="DY1839"/>
      <c r="DZ1839"/>
      <c r="EA1839"/>
      <c r="EB1839"/>
      <c r="EC1839"/>
      <c r="ED1839"/>
      <c r="EE1839"/>
      <c r="EF1839"/>
      <c r="EG1839"/>
      <c r="EH1839"/>
      <c r="EI1839"/>
      <c r="EJ1839"/>
      <c r="EK1839"/>
      <c r="EL1839"/>
      <c r="EM1839"/>
      <c r="EN1839"/>
      <c r="EO1839"/>
      <c r="EP1839"/>
      <c r="EQ1839"/>
      <c r="ER1839"/>
      <c r="ES1839"/>
    </row>
    <row r="1840" spans="1:149">
      <c r="A1840"/>
      <c r="B1840"/>
      <c r="C1840"/>
      <c r="D1840"/>
      <c r="E1840"/>
      <c r="F1840"/>
      <c r="G1840"/>
      <c r="H1840"/>
      <c r="I1840"/>
      <c r="J1840"/>
      <c r="K1840"/>
      <c r="L1840"/>
      <c r="M1840"/>
      <c r="N1840"/>
      <c r="O1840"/>
      <c r="P1840"/>
      <c r="Q1840"/>
      <c r="R1840"/>
      <c r="S1840"/>
      <c r="T1840"/>
      <c r="U1840"/>
      <c r="V1840"/>
      <c r="W1840"/>
      <c r="X1840"/>
      <c r="Y1840"/>
      <c r="Z1840"/>
      <c r="AA1840"/>
      <c r="AB1840"/>
      <c r="AC1840"/>
      <c r="AD1840"/>
      <c r="AE1840"/>
      <c r="AF1840"/>
      <c r="AG1840"/>
      <c r="AH1840"/>
      <c r="AI1840"/>
      <c r="AJ1840"/>
      <c r="AK1840"/>
      <c r="AL1840"/>
      <c r="AM1840"/>
      <c r="AN1840"/>
      <c r="AO1840"/>
      <c r="AP1840"/>
      <c r="AQ1840"/>
      <c r="AR1840"/>
      <c r="AS1840"/>
      <c r="AT1840"/>
      <c r="AU1840"/>
      <c r="AV1840"/>
      <c r="AW1840"/>
      <c r="AX1840"/>
      <c r="AY1840"/>
      <c r="AZ1840"/>
      <c r="BA1840"/>
      <c r="BB1840"/>
      <c r="BC1840"/>
      <c r="BD1840"/>
      <c r="BE1840"/>
      <c r="BF1840"/>
      <c r="BG1840"/>
      <c r="BH1840"/>
      <c r="BI1840"/>
      <c r="BJ1840"/>
      <c r="BK1840"/>
      <c r="BL1840"/>
      <c r="BM1840"/>
      <c r="BN1840"/>
      <c r="BO1840"/>
      <c r="BP1840"/>
      <c r="BQ1840"/>
      <c r="BR1840"/>
      <c r="BS1840"/>
      <c r="BT1840"/>
      <c r="BU1840"/>
      <c r="BV1840"/>
      <c r="BW1840"/>
      <c r="BX1840"/>
      <c r="BY1840"/>
      <c r="BZ1840"/>
      <c r="CA1840"/>
      <c r="CB1840"/>
      <c r="CC1840"/>
      <c r="CD1840"/>
      <c r="CE1840"/>
      <c r="CF1840"/>
      <c r="CG1840"/>
      <c r="CH1840"/>
      <c r="CI1840"/>
      <c r="CJ1840"/>
      <c r="CK1840"/>
      <c r="CL1840"/>
      <c r="CM1840"/>
      <c r="CN1840"/>
      <c r="CO1840"/>
      <c r="CP1840"/>
      <c r="CQ1840"/>
      <c r="CR1840"/>
      <c r="CS1840"/>
      <c r="CT1840"/>
      <c r="CU1840"/>
      <c r="CV1840"/>
      <c r="CW1840"/>
      <c r="CX1840"/>
      <c r="CY1840"/>
      <c r="CZ1840"/>
      <c r="DA1840"/>
      <c r="DB1840"/>
      <c r="DC1840"/>
      <c r="DD1840"/>
      <c r="DE1840"/>
      <c r="DF1840"/>
      <c r="DG1840"/>
      <c r="DH1840"/>
      <c r="DI1840"/>
      <c r="DJ1840"/>
      <c r="DK1840"/>
      <c r="DL1840"/>
      <c r="DM1840"/>
      <c r="DN1840"/>
      <c r="DO1840"/>
      <c r="DP1840"/>
      <c r="DQ1840"/>
      <c r="DR1840"/>
      <c r="DS1840"/>
      <c r="DT1840"/>
      <c r="DU1840"/>
      <c r="DV1840"/>
      <c r="DW1840"/>
      <c r="DX1840"/>
      <c r="DY1840"/>
      <c r="DZ1840"/>
      <c r="EA1840"/>
      <c r="EB1840"/>
      <c r="EC1840"/>
      <c r="ED1840"/>
      <c r="EE1840"/>
      <c r="EF1840"/>
      <c r="EG1840"/>
      <c r="EH1840"/>
      <c r="EI1840"/>
      <c r="EJ1840"/>
      <c r="EK1840"/>
      <c r="EL1840"/>
      <c r="EM1840"/>
      <c r="EN1840"/>
      <c r="EO1840"/>
      <c r="EP1840"/>
      <c r="EQ1840"/>
      <c r="ER1840"/>
      <c r="ES1840"/>
    </row>
    <row r="1841" spans="1:149">
      <c r="A1841"/>
      <c r="B1841"/>
      <c r="C1841"/>
      <c r="D1841"/>
      <c r="E1841"/>
      <c r="F1841"/>
      <c r="G1841"/>
      <c r="H1841"/>
      <c r="I1841"/>
      <c r="J1841"/>
      <c r="K1841"/>
      <c r="L1841"/>
      <c r="M1841"/>
      <c r="N1841"/>
      <c r="O1841"/>
      <c r="P1841"/>
      <c r="Q1841"/>
      <c r="R1841"/>
      <c r="S1841"/>
      <c r="T1841"/>
      <c r="U1841"/>
      <c r="V1841"/>
      <c r="W1841"/>
      <c r="X1841"/>
      <c r="Y1841"/>
      <c r="Z1841"/>
      <c r="AA1841"/>
      <c r="AB1841"/>
      <c r="AC1841"/>
      <c r="AD1841"/>
      <c r="AE1841"/>
      <c r="AF1841"/>
      <c r="AG1841"/>
      <c r="AH1841"/>
      <c r="AI1841"/>
      <c r="AJ1841"/>
      <c r="AK1841"/>
      <c r="AL1841"/>
      <c r="AM1841"/>
      <c r="AN1841"/>
      <c r="AO1841"/>
      <c r="AP1841"/>
      <c r="AQ1841"/>
      <c r="AR1841"/>
      <c r="AS1841"/>
      <c r="AT1841"/>
      <c r="AU1841"/>
      <c r="AV1841"/>
      <c r="AW1841"/>
      <c r="AX1841"/>
      <c r="AY1841"/>
      <c r="AZ1841"/>
      <c r="BA1841"/>
      <c r="BB1841"/>
      <c r="BC1841"/>
      <c r="BD1841"/>
      <c r="BE1841"/>
      <c r="BF1841"/>
      <c r="BG1841"/>
      <c r="BH1841"/>
      <c r="BI1841"/>
      <c r="BJ1841"/>
      <c r="BK1841"/>
      <c r="BL1841"/>
      <c r="BM1841"/>
      <c r="BN1841"/>
      <c r="BO1841"/>
      <c r="BP1841"/>
      <c r="BQ1841"/>
      <c r="BR1841"/>
      <c r="BS1841"/>
      <c r="BT1841"/>
      <c r="BU1841"/>
      <c r="BV1841"/>
      <c r="BW1841"/>
      <c r="BX1841"/>
      <c r="BY1841"/>
      <c r="BZ1841"/>
      <c r="CA1841"/>
      <c r="CB1841"/>
      <c r="CC1841"/>
      <c r="CD1841"/>
      <c r="CE1841"/>
      <c r="CF1841"/>
      <c r="CG1841"/>
      <c r="CH1841"/>
      <c r="CI1841"/>
      <c r="CJ1841"/>
      <c r="CK1841"/>
      <c r="CL1841"/>
      <c r="CM1841"/>
      <c r="CN1841"/>
      <c r="CO1841"/>
      <c r="CP1841"/>
      <c r="CQ1841"/>
      <c r="CR1841"/>
      <c r="CS1841"/>
      <c r="CT1841"/>
      <c r="CU1841"/>
      <c r="CV1841"/>
      <c r="CW1841"/>
      <c r="CX1841"/>
      <c r="CY1841"/>
      <c r="CZ1841"/>
      <c r="DA1841"/>
      <c r="DB1841"/>
      <c r="DC1841"/>
      <c r="DD1841"/>
      <c r="DE1841"/>
      <c r="DF1841"/>
      <c r="DG1841"/>
      <c r="DH1841"/>
      <c r="DI1841"/>
      <c r="DJ1841"/>
      <c r="DK1841"/>
      <c r="DL1841"/>
      <c r="DM1841"/>
      <c r="DN1841"/>
      <c r="DO1841"/>
      <c r="DP1841"/>
      <c r="DQ1841"/>
      <c r="DR1841"/>
      <c r="DS1841"/>
      <c r="DT1841"/>
      <c r="DU1841"/>
      <c r="DV1841"/>
      <c r="DW1841"/>
      <c r="DX1841"/>
      <c r="DY1841"/>
      <c r="DZ1841"/>
      <c r="EA1841"/>
      <c r="EB1841"/>
      <c r="EC1841"/>
      <c r="ED1841"/>
      <c r="EE1841"/>
      <c r="EF1841"/>
      <c r="EG1841"/>
      <c r="EH1841"/>
      <c r="EI1841"/>
      <c r="EJ1841"/>
      <c r="EK1841"/>
      <c r="EL1841"/>
      <c r="EM1841"/>
      <c r="EN1841"/>
      <c r="EO1841"/>
      <c r="EP1841"/>
      <c r="EQ1841"/>
      <c r="ER1841"/>
      <c r="ES1841"/>
    </row>
    <row r="1842" spans="1:149">
      <c r="A1842"/>
      <c r="B1842"/>
      <c r="C1842"/>
      <c r="D1842"/>
      <c r="E1842"/>
      <c r="F1842"/>
      <c r="G1842"/>
      <c r="H1842"/>
      <c r="I1842"/>
      <c r="J1842"/>
      <c r="K1842"/>
      <c r="L1842"/>
      <c r="M1842"/>
      <c r="N1842"/>
      <c r="O1842"/>
      <c r="P1842"/>
      <c r="Q1842"/>
      <c r="R1842"/>
      <c r="S1842"/>
      <c r="T1842"/>
      <c r="U1842"/>
      <c r="V1842"/>
      <c r="W1842"/>
      <c r="X1842"/>
      <c r="Y1842"/>
      <c r="Z1842"/>
      <c r="AA1842"/>
      <c r="AB1842"/>
      <c r="AC1842"/>
      <c r="AD1842"/>
      <c r="AE1842"/>
      <c r="AF1842"/>
      <c r="AG1842"/>
      <c r="AH1842"/>
      <c r="AI1842"/>
      <c r="AJ1842"/>
      <c r="AK1842"/>
      <c r="AL1842"/>
      <c r="AM1842"/>
      <c r="AN1842"/>
      <c r="AO1842"/>
      <c r="AP1842"/>
      <c r="AQ1842"/>
      <c r="AR1842"/>
      <c r="AS1842"/>
      <c r="AT1842"/>
      <c r="AU1842"/>
      <c r="AV1842"/>
      <c r="AW1842"/>
      <c r="AX1842"/>
      <c r="AY1842"/>
      <c r="AZ1842"/>
      <c r="BA1842"/>
      <c r="BB1842"/>
      <c r="BC1842"/>
      <c r="BD1842"/>
      <c r="BE1842"/>
      <c r="BF1842"/>
      <c r="BG1842"/>
      <c r="BH1842"/>
      <c r="BI1842"/>
      <c r="BJ1842"/>
      <c r="BK1842"/>
      <c r="BL1842"/>
      <c r="BM1842"/>
      <c r="BN1842"/>
      <c r="BO1842"/>
      <c r="BP1842"/>
      <c r="BQ1842"/>
      <c r="BR1842"/>
      <c r="BS1842"/>
      <c r="BT1842"/>
      <c r="BU1842"/>
      <c r="BV1842"/>
      <c r="BW1842"/>
      <c r="BX1842"/>
      <c r="BY1842"/>
      <c r="BZ1842"/>
      <c r="CA1842"/>
      <c r="CB1842"/>
      <c r="CC1842"/>
      <c r="CD1842"/>
      <c r="CE1842"/>
      <c r="CF1842"/>
      <c r="CG1842"/>
      <c r="CH1842"/>
      <c r="CI1842"/>
      <c r="CJ1842"/>
      <c r="CK1842"/>
      <c r="CL1842"/>
      <c r="CM1842"/>
      <c r="CN1842"/>
      <c r="CO1842"/>
      <c r="CP1842"/>
      <c r="CQ1842"/>
      <c r="CR1842"/>
      <c r="CS1842"/>
      <c r="CT1842"/>
      <c r="CU1842"/>
      <c r="CV1842"/>
      <c r="CW1842"/>
      <c r="CX1842"/>
      <c r="CY1842"/>
      <c r="CZ1842"/>
      <c r="DA1842"/>
      <c r="DB1842"/>
      <c r="DC1842"/>
      <c r="DD1842"/>
      <c r="DE1842"/>
      <c r="DF1842"/>
      <c r="DG1842"/>
      <c r="DH1842"/>
      <c r="DI1842"/>
      <c r="DJ1842"/>
      <c r="DK1842"/>
      <c r="DL1842"/>
      <c r="DM1842"/>
      <c r="DN1842"/>
      <c r="DO1842"/>
      <c r="DP1842"/>
      <c r="DQ1842"/>
      <c r="DR1842"/>
      <c r="DS1842"/>
      <c r="DT1842"/>
      <c r="DU1842"/>
      <c r="DV1842"/>
      <c r="DW1842"/>
      <c r="DX1842"/>
      <c r="DY1842"/>
      <c r="DZ1842"/>
      <c r="EA1842"/>
      <c r="EB1842"/>
      <c r="EC1842"/>
      <c r="ED1842"/>
      <c r="EE1842"/>
      <c r="EF1842"/>
      <c r="EG1842"/>
      <c r="EH1842"/>
      <c r="EI1842"/>
      <c r="EJ1842"/>
      <c r="EK1842"/>
      <c r="EL1842"/>
      <c r="EM1842"/>
      <c r="EN1842"/>
      <c r="EO1842"/>
      <c r="EP1842"/>
      <c r="EQ1842"/>
      <c r="ER1842"/>
      <c r="ES1842"/>
    </row>
    <row r="1843" spans="1:149">
      <c r="A1843"/>
      <c r="B1843"/>
      <c r="C1843"/>
      <c r="D1843"/>
      <c r="E1843"/>
      <c r="F1843"/>
      <c r="G1843"/>
      <c r="H1843"/>
      <c r="I1843"/>
      <c r="J1843"/>
      <c r="K1843"/>
      <c r="L1843"/>
      <c r="M1843"/>
      <c r="N1843"/>
      <c r="O1843"/>
      <c r="P1843"/>
      <c r="Q1843"/>
      <c r="R1843"/>
      <c r="S1843"/>
      <c r="T1843"/>
      <c r="U1843"/>
      <c r="V1843"/>
      <c r="W1843"/>
      <c r="X1843"/>
      <c r="Y1843"/>
      <c r="Z1843"/>
      <c r="AA1843"/>
      <c r="AB1843"/>
      <c r="AC1843"/>
      <c r="AD1843"/>
      <c r="AE1843"/>
      <c r="AF1843"/>
      <c r="AG1843"/>
      <c r="AH1843"/>
      <c r="AI1843"/>
      <c r="AJ1843"/>
      <c r="AK1843"/>
      <c r="AL1843"/>
      <c r="AM1843"/>
      <c r="AN1843"/>
      <c r="AO1843"/>
      <c r="AP1843"/>
      <c r="AQ1843"/>
      <c r="AR1843"/>
      <c r="AS1843"/>
      <c r="AT1843"/>
      <c r="AU1843"/>
      <c r="AV1843"/>
      <c r="AW1843"/>
      <c r="AX1843"/>
      <c r="AY1843"/>
      <c r="AZ1843"/>
      <c r="BA1843"/>
      <c r="BB1843"/>
      <c r="BC1843"/>
      <c r="BD1843"/>
      <c r="BE1843"/>
      <c r="BF1843"/>
      <c r="BG1843"/>
      <c r="BH1843"/>
      <c r="BI1843"/>
      <c r="BJ1843"/>
      <c r="BK1843"/>
      <c r="BL1843"/>
      <c r="BM1843"/>
      <c r="BN1843"/>
      <c r="BO1843"/>
      <c r="BP1843"/>
      <c r="BQ1843"/>
      <c r="BR1843"/>
      <c r="BS1843"/>
      <c r="BT1843"/>
      <c r="BU1843"/>
      <c r="BV1843"/>
      <c r="BW1843"/>
      <c r="BX1843"/>
      <c r="BY1843"/>
      <c r="BZ1843"/>
      <c r="CA1843"/>
      <c r="CB1843"/>
      <c r="CC1843"/>
      <c r="CD1843"/>
      <c r="CE1843"/>
      <c r="CF1843"/>
      <c r="CG1843"/>
      <c r="CH1843"/>
      <c r="CI1843"/>
      <c r="CJ1843"/>
      <c r="CK1843"/>
      <c r="CL1843"/>
      <c r="CM1843"/>
      <c r="CN1843"/>
      <c r="CO1843"/>
      <c r="CP1843"/>
      <c r="CQ1843"/>
      <c r="CR1843"/>
      <c r="CS1843"/>
      <c r="CT1843"/>
      <c r="CU1843"/>
      <c r="CV1843"/>
      <c r="CW1843"/>
      <c r="CX1843"/>
      <c r="CY1843"/>
      <c r="CZ1843"/>
      <c r="DA1843"/>
      <c r="DB1843"/>
      <c r="DC1843"/>
      <c r="DD1843"/>
      <c r="DE1843"/>
      <c r="DF1843"/>
      <c r="DG1843"/>
      <c r="DH1843"/>
      <c r="DI1843"/>
      <c r="DJ1843"/>
      <c r="DK1843"/>
      <c r="DL1843"/>
      <c r="DM1843"/>
      <c r="DN1843"/>
      <c r="DO1843"/>
      <c r="DP1843"/>
      <c r="DQ1843"/>
      <c r="DR1843"/>
      <c r="DS1843"/>
      <c r="DT1843"/>
      <c r="DU1843"/>
      <c r="DV1843"/>
      <c r="DW1843"/>
      <c r="DX1843"/>
      <c r="DY1843"/>
      <c r="DZ1843"/>
      <c r="EA1843"/>
      <c r="EB1843"/>
      <c r="EC1843"/>
      <c r="ED1843"/>
      <c r="EE1843"/>
      <c r="EF1843"/>
      <c r="EG1843"/>
      <c r="EH1843"/>
      <c r="EI1843"/>
      <c r="EJ1843"/>
      <c r="EK1843"/>
      <c r="EL1843"/>
      <c r="EM1843"/>
      <c r="EN1843"/>
      <c r="EO1843"/>
      <c r="EP1843"/>
      <c r="EQ1843"/>
      <c r="ER1843"/>
      <c r="ES1843"/>
    </row>
    <row r="1844" spans="1:149">
      <c r="A1844"/>
      <c r="B1844"/>
      <c r="C1844"/>
      <c r="D1844"/>
      <c r="E1844"/>
      <c r="F1844"/>
      <c r="G1844"/>
      <c r="H1844"/>
      <c r="I1844"/>
      <c r="J1844"/>
      <c r="K1844"/>
      <c r="L1844"/>
      <c r="M1844"/>
      <c r="N1844"/>
      <c r="O1844"/>
      <c r="P1844"/>
      <c r="Q1844"/>
      <c r="R1844"/>
      <c r="S1844"/>
      <c r="T1844"/>
      <c r="U1844"/>
      <c r="V1844"/>
      <c r="W1844"/>
      <c r="X1844"/>
      <c r="Y1844"/>
      <c r="Z1844"/>
      <c r="AA1844"/>
      <c r="AB1844"/>
      <c r="AC1844"/>
      <c r="AD1844"/>
      <c r="AE1844"/>
      <c r="AF1844"/>
      <c r="AG1844"/>
      <c r="AH1844"/>
      <c r="AI1844"/>
      <c r="AJ1844"/>
      <c r="AK1844"/>
      <c r="AL1844"/>
      <c r="AM1844"/>
      <c r="AN1844"/>
      <c r="AO1844"/>
      <c r="AP1844"/>
      <c r="AQ1844"/>
      <c r="AR1844"/>
      <c r="AS1844"/>
      <c r="AT1844"/>
      <c r="AU1844"/>
      <c r="AV1844"/>
      <c r="AW1844"/>
      <c r="AX1844"/>
      <c r="AY1844"/>
      <c r="AZ1844"/>
      <c r="BA1844"/>
      <c r="BB1844"/>
      <c r="BC1844"/>
      <c r="BD1844"/>
      <c r="BE1844"/>
      <c r="BF1844"/>
      <c r="BG1844"/>
      <c r="BH1844"/>
      <c r="BI1844"/>
      <c r="BJ1844"/>
      <c r="BK1844"/>
      <c r="BL1844"/>
      <c r="BM1844"/>
      <c r="BN1844"/>
      <c r="BO1844"/>
      <c r="BP1844"/>
      <c r="BQ1844"/>
      <c r="BR1844"/>
      <c r="BS1844"/>
      <c r="BT1844"/>
      <c r="BU1844"/>
      <c r="BV1844"/>
      <c r="BW1844"/>
      <c r="BX1844"/>
      <c r="BY1844"/>
      <c r="BZ1844"/>
      <c r="CA1844"/>
      <c r="CB1844"/>
      <c r="CC1844"/>
      <c r="CD1844"/>
      <c r="CE1844"/>
      <c r="CF1844"/>
      <c r="CG1844"/>
      <c r="CH1844"/>
      <c r="CI1844"/>
      <c r="CJ1844"/>
      <c r="CK1844"/>
      <c r="CL1844"/>
      <c r="CM1844"/>
      <c r="CN1844"/>
      <c r="CO1844"/>
      <c r="CP1844"/>
      <c r="CQ1844"/>
      <c r="CR1844"/>
      <c r="CS1844"/>
      <c r="CT1844"/>
      <c r="CU1844"/>
      <c r="CV1844"/>
      <c r="CW1844"/>
      <c r="CX1844"/>
      <c r="CY1844"/>
      <c r="CZ1844"/>
      <c r="DA1844"/>
      <c r="DB1844"/>
      <c r="DC1844"/>
      <c r="DD1844"/>
      <c r="DE1844"/>
      <c r="DF1844"/>
      <c r="DG1844"/>
      <c r="DH1844"/>
      <c r="DI1844"/>
      <c r="DJ1844"/>
      <c r="DK1844"/>
      <c r="DL1844"/>
      <c r="DM1844"/>
      <c r="DN1844"/>
      <c r="DO1844"/>
      <c r="DP1844"/>
      <c r="DQ1844"/>
      <c r="DR1844"/>
      <c r="DS1844"/>
      <c r="DT1844"/>
      <c r="DU1844"/>
      <c r="DV1844"/>
      <c r="DW1844"/>
      <c r="DX1844"/>
      <c r="DY1844"/>
      <c r="DZ1844"/>
      <c r="EA1844"/>
      <c r="EB1844"/>
      <c r="EC1844"/>
      <c r="ED1844"/>
      <c r="EE1844"/>
      <c r="EF1844"/>
      <c r="EG1844"/>
      <c r="EH1844"/>
      <c r="EI1844"/>
      <c r="EJ1844"/>
      <c r="EK1844"/>
      <c r="EL1844"/>
      <c r="EM1844"/>
      <c r="EN1844"/>
      <c r="EO1844"/>
      <c r="EP1844"/>
      <c r="EQ1844"/>
      <c r="ER1844"/>
      <c r="ES1844"/>
    </row>
    <row r="1845" spans="1:149">
      <c r="A1845"/>
      <c r="B1845"/>
      <c r="C1845"/>
      <c r="D1845"/>
      <c r="E1845"/>
      <c r="F1845"/>
      <c r="G1845"/>
      <c r="H1845"/>
      <c r="I1845"/>
      <c r="J1845"/>
      <c r="K1845"/>
      <c r="L1845"/>
      <c r="M1845"/>
      <c r="N1845"/>
      <c r="O1845"/>
      <c r="P1845"/>
      <c r="Q1845"/>
      <c r="R1845"/>
      <c r="S1845"/>
      <c r="T1845"/>
      <c r="U1845"/>
      <c r="V1845"/>
      <c r="W1845"/>
      <c r="X1845"/>
      <c r="Y1845"/>
      <c r="Z1845"/>
      <c r="AA1845"/>
      <c r="AB1845"/>
      <c r="AC1845"/>
      <c r="AD1845"/>
      <c r="AE1845"/>
      <c r="AF1845"/>
      <c r="AG1845"/>
      <c r="AH1845"/>
      <c r="AI1845"/>
      <c r="AJ1845"/>
      <c r="AK1845"/>
      <c r="AL1845"/>
      <c r="AM1845"/>
      <c r="AN1845"/>
      <c r="AO1845"/>
      <c r="AP1845"/>
      <c r="AQ1845"/>
      <c r="AR1845"/>
      <c r="AS1845"/>
      <c r="AT1845"/>
      <c r="AU1845"/>
      <c r="AV1845"/>
      <c r="AW1845"/>
      <c r="AX1845"/>
      <c r="AY1845"/>
      <c r="AZ1845"/>
      <c r="BA1845"/>
      <c r="BB1845"/>
      <c r="BC1845"/>
      <c r="BD1845"/>
      <c r="BE1845"/>
      <c r="BF1845"/>
      <c r="BG1845"/>
      <c r="BH1845"/>
      <c r="BI1845"/>
      <c r="BJ1845"/>
      <c r="BK1845"/>
      <c r="BL1845"/>
      <c r="BM1845"/>
      <c r="BN1845"/>
      <c r="BO1845"/>
      <c r="BP1845"/>
      <c r="BQ1845"/>
      <c r="BR1845"/>
      <c r="BS1845"/>
      <c r="BT1845"/>
      <c r="BU1845"/>
      <c r="BV1845"/>
      <c r="BW1845"/>
      <c r="BX1845"/>
      <c r="BY1845"/>
      <c r="BZ1845"/>
      <c r="CA1845"/>
      <c r="CB1845"/>
      <c r="CC1845"/>
      <c r="CD1845"/>
      <c r="CE1845"/>
      <c r="CF1845"/>
      <c r="CG1845"/>
      <c r="CH1845"/>
      <c r="CI1845"/>
      <c r="CJ1845"/>
      <c r="CK1845"/>
      <c r="CL1845"/>
      <c r="CM1845"/>
      <c r="CN1845"/>
      <c r="CO1845"/>
      <c r="CP1845"/>
      <c r="CQ1845"/>
      <c r="CR1845"/>
      <c r="CS1845"/>
      <c r="CT1845"/>
      <c r="CU1845"/>
      <c r="CV1845"/>
      <c r="CW1845"/>
      <c r="CX1845"/>
      <c r="CY1845"/>
      <c r="CZ1845"/>
      <c r="DA1845"/>
      <c r="DB1845"/>
      <c r="DC1845"/>
      <c r="DD1845"/>
      <c r="DE1845"/>
      <c r="DF1845"/>
      <c r="DG1845"/>
      <c r="DH1845"/>
      <c r="DI1845"/>
      <c r="DJ1845"/>
      <c r="DK1845"/>
      <c r="DL1845"/>
      <c r="DM1845"/>
      <c r="DN1845"/>
      <c r="DO1845"/>
      <c r="DP1845"/>
      <c r="DQ1845"/>
      <c r="DR1845"/>
      <c r="DS1845"/>
      <c r="DT1845"/>
      <c r="DU1845"/>
      <c r="DV1845"/>
      <c r="DW1845"/>
      <c r="DX1845"/>
      <c r="DY1845"/>
      <c r="DZ1845"/>
      <c r="EA1845"/>
      <c r="EB1845"/>
      <c r="EC1845"/>
      <c r="ED1845"/>
      <c r="EE1845"/>
      <c r="EF1845"/>
      <c r="EG1845"/>
      <c r="EH1845"/>
      <c r="EI1845"/>
      <c r="EJ1845"/>
      <c r="EK1845"/>
      <c r="EL1845"/>
      <c r="EM1845"/>
      <c r="EN1845"/>
      <c r="EO1845"/>
      <c r="EP1845"/>
      <c r="EQ1845"/>
      <c r="ER1845"/>
      <c r="ES1845"/>
    </row>
    <row r="1846" spans="1:149">
      <c r="A1846"/>
      <c r="B1846"/>
      <c r="C1846"/>
      <c r="D1846"/>
      <c r="E1846"/>
      <c r="F1846"/>
      <c r="G1846"/>
      <c r="H1846"/>
      <c r="I1846"/>
      <c r="J1846"/>
      <c r="K1846"/>
      <c r="L1846"/>
      <c r="M1846"/>
      <c r="N1846"/>
      <c r="O1846"/>
      <c r="P1846"/>
      <c r="Q1846"/>
      <c r="R1846"/>
      <c r="S1846"/>
      <c r="T1846"/>
      <c r="U1846"/>
      <c r="V1846"/>
      <c r="W1846"/>
      <c r="X1846"/>
      <c r="Y1846"/>
      <c r="Z1846"/>
      <c r="AA1846"/>
      <c r="AB1846"/>
      <c r="AC1846"/>
      <c r="AD1846"/>
      <c r="AE1846"/>
      <c r="AF1846"/>
      <c r="AG1846"/>
      <c r="AH1846"/>
      <c r="AI1846"/>
      <c r="AJ1846"/>
      <c r="AK1846"/>
      <c r="AL1846"/>
      <c r="AM1846"/>
      <c r="AN1846"/>
      <c r="AO1846"/>
      <c r="AP1846"/>
      <c r="AQ1846"/>
      <c r="AR1846"/>
      <c r="AS1846"/>
      <c r="AT1846"/>
      <c r="AU1846"/>
      <c r="AV1846"/>
      <c r="AW1846"/>
      <c r="AX1846"/>
      <c r="AY1846"/>
      <c r="AZ1846"/>
      <c r="BA1846"/>
      <c r="BB1846"/>
      <c r="BC1846"/>
      <c r="BD1846"/>
      <c r="BE1846"/>
      <c r="BF1846"/>
      <c r="BG1846"/>
      <c r="BH1846"/>
      <c r="BI1846"/>
      <c r="BJ1846"/>
      <c r="BK1846"/>
      <c r="BL1846"/>
      <c r="BM1846"/>
      <c r="BN1846"/>
      <c r="BO1846"/>
      <c r="BP1846"/>
      <c r="BQ1846"/>
      <c r="BR1846"/>
      <c r="BS1846"/>
      <c r="BT1846"/>
      <c r="BU1846"/>
      <c r="BV1846"/>
      <c r="BW1846"/>
      <c r="BX1846"/>
      <c r="BY1846"/>
      <c r="BZ1846"/>
      <c r="CA1846"/>
      <c r="CB1846"/>
      <c r="CC1846"/>
      <c r="CD1846"/>
      <c r="CE1846"/>
      <c r="CF1846"/>
      <c r="CG1846"/>
      <c r="CH1846"/>
      <c r="CI1846"/>
      <c r="CJ1846"/>
      <c r="CK1846"/>
      <c r="CL1846"/>
      <c r="CM1846"/>
      <c r="CN1846"/>
      <c r="CO1846"/>
      <c r="CP1846"/>
      <c r="CQ1846"/>
      <c r="CR1846"/>
      <c r="CS1846"/>
      <c r="CT1846"/>
      <c r="CU1846"/>
      <c r="CV1846"/>
      <c r="CW1846"/>
      <c r="CX1846"/>
      <c r="CY1846"/>
      <c r="CZ1846"/>
      <c r="DA1846"/>
      <c r="DB1846"/>
      <c r="DC1846"/>
      <c r="DD1846"/>
      <c r="DE1846"/>
      <c r="DF1846"/>
      <c r="DG1846"/>
      <c r="DH1846"/>
      <c r="DI1846"/>
      <c r="DJ1846"/>
      <c r="DK1846"/>
      <c r="DL1846"/>
      <c r="DM1846"/>
      <c r="DN1846"/>
      <c r="DO1846"/>
      <c r="DP1846"/>
      <c r="DQ1846"/>
      <c r="DR1846"/>
      <c r="DS1846"/>
      <c r="DT1846"/>
      <c r="DU1846"/>
      <c r="DV1846"/>
      <c r="DW1846"/>
      <c r="DX1846"/>
      <c r="DY1846"/>
      <c r="DZ1846"/>
      <c r="EA1846"/>
      <c r="EB1846"/>
      <c r="EC1846"/>
      <c r="ED1846"/>
      <c r="EE1846"/>
      <c r="EF1846"/>
      <c r="EG1846"/>
      <c r="EH1846"/>
      <c r="EI1846"/>
      <c r="EJ1846"/>
      <c r="EK1846"/>
      <c r="EL1846"/>
      <c r="EM1846"/>
      <c r="EN1846"/>
      <c r="EO1846"/>
      <c r="EP1846"/>
      <c r="EQ1846"/>
      <c r="ER1846"/>
      <c r="ES1846"/>
    </row>
    <row r="1847" spans="1:149">
      <c r="A1847"/>
      <c r="B1847"/>
      <c r="C1847"/>
      <c r="D1847"/>
      <c r="E1847"/>
      <c r="F1847"/>
      <c r="G1847"/>
      <c r="H1847"/>
      <c r="I1847"/>
      <c r="J1847"/>
      <c r="K1847"/>
      <c r="L1847"/>
      <c r="M1847"/>
      <c r="N1847"/>
      <c r="O1847"/>
      <c r="P1847"/>
      <c r="Q1847"/>
      <c r="R1847"/>
      <c r="S1847"/>
      <c r="T1847"/>
      <c r="U1847"/>
      <c r="V1847"/>
      <c r="W1847"/>
      <c r="X1847"/>
      <c r="Y1847"/>
      <c r="Z1847"/>
      <c r="AA1847"/>
      <c r="AB1847"/>
      <c r="AC1847"/>
      <c r="AD1847"/>
      <c r="AE1847"/>
      <c r="AF1847"/>
      <c r="AG1847"/>
      <c r="AH1847"/>
      <c r="AI1847"/>
      <c r="AJ1847"/>
      <c r="AK1847"/>
      <c r="AL1847"/>
      <c r="AM1847"/>
      <c r="AN1847"/>
      <c r="AO1847"/>
      <c r="AP1847"/>
      <c r="AQ1847"/>
      <c r="AR1847"/>
      <c r="AS1847"/>
      <c r="AT1847"/>
      <c r="AU1847"/>
      <c r="AV1847"/>
      <c r="AW1847"/>
      <c r="AX1847"/>
      <c r="AY1847"/>
      <c r="AZ1847"/>
      <c r="BA1847"/>
      <c r="BB1847"/>
      <c r="BC1847"/>
      <c r="BD1847"/>
      <c r="BE1847"/>
      <c r="BF1847"/>
      <c r="BG1847"/>
      <c r="BH1847"/>
      <c r="BI1847"/>
      <c r="BJ1847"/>
      <c r="BK1847"/>
      <c r="BL1847"/>
      <c r="BM1847"/>
      <c r="BN1847"/>
      <c r="BO1847"/>
      <c r="BP1847"/>
      <c r="BQ1847"/>
      <c r="BR1847"/>
      <c r="BS1847"/>
      <c r="BT1847"/>
      <c r="BU1847"/>
      <c r="BV1847"/>
      <c r="BW1847"/>
      <c r="BX1847"/>
      <c r="BY1847"/>
      <c r="BZ1847"/>
      <c r="CA1847"/>
      <c r="CB1847"/>
      <c r="CC1847"/>
      <c r="CD1847"/>
      <c r="CE1847"/>
      <c r="CF1847"/>
      <c r="CG1847"/>
      <c r="CH1847"/>
      <c r="CI1847"/>
      <c r="CJ1847"/>
      <c r="CK1847"/>
      <c r="CL1847"/>
      <c r="CM1847"/>
      <c r="CN1847"/>
      <c r="CO1847"/>
      <c r="CP1847"/>
      <c r="CQ1847"/>
      <c r="CR1847"/>
      <c r="CS1847"/>
      <c r="CT1847"/>
      <c r="CU1847"/>
      <c r="CV1847"/>
      <c r="CW1847"/>
      <c r="CX1847"/>
      <c r="CY1847"/>
      <c r="CZ1847"/>
      <c r="DA1847"/>
      <c r="DB1847"/>
      <c r="DC1847"/>
      <c r="DD1847"/>
      <c r="DE1847"/>
      <c r="DF1847"/>
      <c r="DG1847"/>
      <c r="DH1847"/>
      <c r="DI1847"/>
      <c r="DJ1847"/>
      <c r="DK1847"/>
      <c r="DL1847"/>
      <c r="DM1847"/>
      <c r="DN1847"/>
      <c r="DO1847"/>
      <c r="DP1847"/>
      <c r="DQ1847"/>
      <c r="DR1847"/>
      <c r="DS1847"/>
      <c r="DT1847"/>
      <c r="DU1847"/>
      <c r="DV1847"/>
      <c r="DW1847"/>
      <c r="DX1847"/>
      <c r="DY1847"/>
      <c r="DZ1847"/>
      <c r="EA1847"/>
      <c r="EB1847"/>
      <c r="EC1847"/>
      <c r="ED1847"/>
      <c r="EE1847"/>
      <c r="EF1847"/>
      <c r="EG1847"/>
      <c r="EH1847"/>
      <c r="EI1847"/>
      <c r="EJ1847"/>
      <c r="EK1847"/>
      <c r="EL1847"/>
      <c r="EM1847"/>
      <c r="EN1847"/>
      <c r="EO1847"/>
      <c r="EP1847"/>
      <c r="EQ1847"/>
      <c r="ER1847"/>
      <c r="ES1847"/>
    </row>
    <row r="1848" spans="1:149">
      <c r="A1848"/>
      <c r="B1848"/>
      <c r="C1848"/>
      <c r="D1848"/>
      <c r="E1848"/>
      <c r="F1848"/>
      <c r="G1848"/>
      <c r="H1848"/>
      <c r="I1848"/>
      <c r="J1848"/>
      <c r="K1848"/>
      <c r="L1848"/>
      <c r="M1848"/>
      <c r="N1848"/>
      <c r="O1848"/>
      <c r="P1848"/>
      <c r="Q1848"/>
      <c r="R1848"/>
      <c r="S1848"/>
      <c r="T1848"/>
      <c r="U1848"/>
      <c r="V1848"/>
      <c r="W1848"/>
      <c r="X1848"/>
      <c r="Y1848"/>
      <c r="Z1848"/>
      <c r="AA1848"/>
      <c r="AB1848"/>
      <c r="AC1848"/>
      <c r="AD1848"/>
      <c r="AE1848"/>
      <c r="AF1848"/>
      <c r="AG1848"/>
      <c r="AH1848"/>
      <c r="AI1848"/>
      <c r="AJ1848"/>
      <c r="AK1848"/>
      <c r="AL1848"/>
      <c r="AM1848"/>
      <c r="AN1848"/>
      <c r="AO1848"/>
      <c r="AP1848"/>
      <c r="AQ1848"/>
      <c r="AR1848"/>
      <c r="AS1848"/>
      <c r="AT1848"/>
      <c r="AU1848"/>
      <c r="AV1848"/>
      <c r="AW1848"/>
      <c r="AX1848"/>
      <c r="AY1848"/>
      <c r="AZ1848"/>
      <c r="BA1848"/>
      <c r="BB1848"/>
      <c r="BC1848"/>
      <c r="BD1848"/>
      <c r="BE1848"/>
      <c r="BF1848"/>
      <c r="BG1848"/>
      <c r="BH1848"/>
      <c r="BI1848"/>
      <c r="BJ1848"/>
      <c r="BK1848"/>
      <c r="BL1848"/>
      <c r="BM1848"/>
      <c r="BN1848"/>
      <c r="BO1848"/>
      <c r="BP1848"/>
      <c r="BQ1848"/>
      <c r="BR1848"/>
      <c r="BS1848"/>
      <c r="BT1848"/>
      <c r="BU1848"/>
      <c r="BV1848"/>
      <c r="BW1848"/>
      <c r="BX1848"/>
      <c r="BY1848"/>
      <c r="BZ1848"/>
      <c r="CA1848"/>
      <c r="CB1848"/>
      <c r="CC1848"/>
      <c r="CD1848"/>
      <c r="CE1848"/>
      <c r="CF1848"/>
      <c r="CG1848"/>
      <c r="CH1848"/>
      <c r="CI1848"/>
      <c r="CJ1848"/>
      <c r="CK1848"/>
      <c r="CL1848"/>
      <c r="CM1848"/>
      <c r="CN1848"/>
      <c r="CO1848"/>
      <c r="CP1848"/>
      <c r="CQ1848"/>
      <c r="CR1848"/>
      <c r="CS1848"/>
      <c r="CT1848"/>
      <c r="CU1848"/>
      <c r="CV1848"/>
      <c r="CW1848"/>
      <c r="CX1848"/>
      <c r="CY1848"/>
      <c r="CZ1848"/>
      <c r="DA1848"/>
      <c r="DB1848"/>
      <c r="DC1848"/>
      <c r="DD1848"/>
      <c r="DE1848"/>
      <c r="DF1848"/>
      <c r="DG1848"/>
      <c r="DH1848"/>
      <c r="DI1848"/>
      <c r="DJ1848"/>
      <c r="DK1848"/>
      <c r="DL1848"/>
      <c r="DM1848"/>
      <c r="DN1848"/>
      <c r="DO1848"/>
      <c r="DP1848"/>
      <c r="DQ1848"/>
      <c r="DR1848"/>
      <c r="DS1848"/>
      <c r="DT1848"/>
      <c r="DU1848"/>
      <c r="DV1848"/>
      <c r="DW1848"/>
      <c r="DX1848"/>
      <c r="DY1848"/>
      <c r="DZ1848"/>
      <c r="EA1848"/>
      <c r="EB1848"/>
      <c r="EC1848"/>
      <c r="ED1848"/>
      <c r="EE1848"/>
      <c r="EF1848"/>
      <c r="EG1848"/>
      <c r="EH1848"/>
      <c r="EI1848"/>
      <c r="EJ1848"/>
      <c r="EK1848"/>
      <c r="EL1848"/>
      <c r="EM1848"/>
      <c r="EN1848"/>
      <c r="EO1848"/>
      <c r="EP1848"/>
      <c r="EQ1848"/>
      <c r="ER1848"/>
      <c r="ES1848"/>
    </row>
    <row r="1849" spans="1:149">
      <c r="A1849"/>
      <c r="B1849"/>
      <c r="C1849"/>
      <c r="D1849"/>
      <c r="E1849"/>
      <c r="F1849"/>
      <c r="G1849"/>
      <c r="H1849"/>
      <c r="I1849"/>
      <c r="J1849"/>
      <c r="K1849"/>
      <c r="L1849"/>
      <c r="M1849"/>
      <c r="N1849"/>
      <c r="O1849"/>
      <c r="P1849"/>
      <c r="Q1849"/>
      <c r="R1849"/>
      <c r="S1849"/>
      <c r="T1849"/>
      <c r="U1849"/>
      <c r="V1849"/>
      <c r="W1849"/>
      <c r="X1849"/>
      <c r="Y1849"/>
      <c r="Z1849"/>
      <c r="AA1849"/>
      <c r="AB1849"/>
      <c r="AC1849"/>
      <c r="AD1849"/>
      <c r="AE1849"/>
      <c r="AF1849"/>
      <c r="AG1849"/>
      <c r="AH1849"/>
      <c r="AI1849"/>
      <c r="AJ1849"/>
      <c r="AK1849"/>
      <c r="AL1849"/>
      <c r="AM1849"/>
      <c r="AN1849"/>
      <c r="AO1849"/>
      <c r="AP1849"/>
      <c r="AQ1849"/>
      <c r="AR1849"/>
      <c r="AS1849"/>
      <c r="AT1849"/>
      <c r="AU1849"/>
      <c r="AV1849"/>
      <c r="AW1849"/>
      <c r="AX1849"/>
      <c r="AY1849"/>
      <c r="AZ1849"/>
      <c r="BA1849"/>
      <c r="BB1849"/>
      <c r="BC1849"/>
      <c r="BD1849"/>
      <c r="BE1849"/>
      <c r="BF1849"/>
      <c r="BG1849"/>
      <c r="BH1849"/>
      <c r="BI1849"/>
      <c r="BJ1849"/>
      <c r="BK1849"/>
      <c r="BL1849"/>
      <c r="BM1849"/>
      <c r="BN1849"/>
      <c r="BO1849"/>
      <c r="BP1849"/>
      <c r="BQ1849"/>
      <c r="BR1849"/>
      <c r="BS1849"/>
      <c r="BT1849"/>
      <c r="BU1849"/>
      <c r="BV1849"/>
      <c r="BW1849"/>
      <c r="BX1849"/>
      <c r="BY1849"/>
      <c r="BZ1849"/>
      <c r="CA1849"/>
      <c r="CB1849"/>
      <c r="CC1849"/>
      <c r="CD1849"/>
      <c r="CE1849"/>
      <c r="CF1849"/>
      <c r="CG1849"/>
      <c r="CH1849"/>
      <c r="CI1849"/>
      <c r="CJ1849"/>
      <c r="CK1849"/>
      <c r="CL1849"/>
      <c r="CM1849"/>
      <c r="CN1849"/>
      <c r="CO1849"/>
      <c r="CP1849"/>
      <c r="CQ1849"/>
      <c r="CR1849"/>
      <c r="CS1849"/>
      <c r="CT1849"/>
      <c r="CU1849"/>
      <c r="CV1849"/>
      <c r="CW1849"/>
      <c r="CX1849"/>
      <c r="CY1849"/>
      <c r="CZ1849"/>
      <c r="DA1849"/>
      <c r="DB1849"/>
      <c r="DC1849"/>
      <c r="DD1849"/>
      <c r="DE1849"/>
      <c r="DF1849"/>
      <c r="DG1849"/>
      <c r="DH1849"/>
      <c r="DI1849"/>
      <c r="DJ1849"/>
      <c r="DK1849"/>
      <c r="DL1849"/>
      <c r="DM1849"/>
      <c r="DN1849"/>
      <c r="DO1849"/>
      <c r="DP1849"/>
      <c r="DQ1849"/>
      <c r="DR1849"/>
      <c r="DS1849"/>
      <c r="DT1849"/>
      <c r="DU1849"/>
      <c r="DV1849"/>
      <c r="DW1849"/>
      <c r="DX1849"/>
      <c r="DY1849"/>
      <c r="DZ1849"/>
      <c r="EA1849"/>
      <c r="EB1849"/>
      <c r="EC1849"/>
      <c r="ED1849"/>
      <c r="EE1849"/>
      <c r="EF1849"/>
      <c r="EG1849"/>
      <c r="EH1849"/>
      <c r="EI1849"/>
      <c r="EJ1849"/>
      <c r="EK1849"/>
      <c r="EL1849"/>
      <c r="EM1849"/>
      <c r="EN1849"/>
      <c r="EO1849"/>
      <c r="EP1849"/>
      <c r="EQ1849"/>
      <c r="ER1849"/>
      <c r="ES1849"/>
    </row>
    <row r="1850" spans="1:149">
      <c r="A1850"/>
      <c r="B1850"/>
      <c r="C1850"/>
      <c r="D1850"/>
      <c r="E1850"/>
      <c r="F1850"/>
      <c r="G1850"/>
      <c r="H1850"/>
      <c r="I1850"/>
      <c r="J1850"/>
      <c r="K1850"/>
      <c r="L1850"/>
      <c r="M1850"/>
      <c r="N1850"/>
      <c r="O1850"/>
      <c r="P1850"/>
      <c r="Q1850"/>
      <c r="R1850"/>
      <c r="S1850"/>
      <c r="T1850"/>
      <c r="U1850"/>
      <c r="V1850"/>
      <c r="W1850"/>
      <c r="X1850"/>
      <c r="Y1850"/>
      <c r="Z1850"/>
      <c r="AA1850"/>
      <c r="AB1850"/>
      <c r="AC1850"/>
      <c r="AD1850"/>
      <c r="AE1850"/>
      <c r="AF1850"/>
      <c r="AG1850"/>
      <c r="AH1850"/>
      <c r="AI1850"/>
      <c r="AJ1850"/>
      <c r="AK1850"/>
      <c r="AL1850"/>
      <c r="AM1850"/>
      <c r="AN1850"/>
      <c r="AO1850"/>
      <c r="AP1850"/>
      <c r="AQ1850"/>
      <c r="AR1850"/>
      <c r="AS1850"/>
      <c r="AT1850"/>
      <c r="AU1850"/>
      <c r="AV1850"/>
      <c r="AW1850"/>
      <c r="AX1850"/>
      <c r="AY1850"/>
      <c r="AZ1850"/>
      <c r="BA1850"/>
      <c r="BB1850"/>
      <c r="BC1850"/>
      <c r="BD1850"/>
      <c r="BE1850"/>
      <c r="BF1850"/>
      <c r="BG1850"/>
      <c r="BH1850"/>
      <c r="BI1850"/>
      <c r="BJ1850"/>
      <c r="BK1850"/>
      <c r="BL1850"/>
      <c r="BM1850"/>
      <c r="BN1850"/>
      <c r="BO1850"/>
      <c r="BP1850"/>
      <c r="BQ1850"/>
      <c r="BR1850"/>
      <c r="BS1850"/>
      <c r="BT1850"/>
      <c r="BU1850"/>
      <c r="BV1850"/>
      <c r="BW1850"/>
      <c r="BX1850"/>
      <c r="BY1850"/>
      <c r="BZ1850"/>
      <c r="CA1850"/>
      <c r="CB1850"/>
      <c r="CC1850"/>
      <c r="CD1850"/>
      <c r="CE1850"/>
      <c r="CF1850"/>
      <c r="CG1850"/>
      <c r="CH1850"/>
      <c r="CI1850"/>
      <c r="CJ1850"/>
      <c r="CK1850"/>
      <c r="CL1850"/>
      <c r="CM1850"/>
      <c r="CN1850"/>
      <c r="CO1850"/>
      <c r="CP1850"/>
      <c r="CQ1850"/>
      <c r="CR1850"/>
      <c r="CS1850"/>
      <c r="CT1850"/>
      <c r="CU1850"/>
      <c r="CV1850"/>
      <c r="CW1850"/>
      <c r="CX1850"/>
      <c r="CY1850"/>
      <c r="CZ1850"/>
      <c r="DA1850"/>
      <c r="DB1850"/>
      <c r="DC1850"/>
      <c r="DD1850"/>
      <c r="DE1850"/>
      <c r="DF1850"/>
      <c r="DG1850"/>
      <c r="DH1850"/>
      <c r="DI1850"/>
      <c r="DJ1850"/>
      <c r="DK1850"/>
      <c r="DL1850"/>
      <c r="DM1850"/>
      <c r="DN1850"/>
      <c r="DO1850"/>
      <c r="DP1850"/>
      <c r="DQ1850"/>
      <c r="DR1850"/>
      <c r="DS1850"/>
      <c r="DT1850"/>
      <c r="DU1850"/>
      <c r="DV1850"/>
      <c r="DW1850"/>
      <c r="DX1850"/>
      <c r="DY1850"/>
      <c r="DZ1850"/>
      <c r="EA1850"/>
      <c r="EB1850"/>
      <c r="EC1850"/>
      <c r="ED1850"/>
      <c r="EE1850"/>
      <c r="EF1850"/>
      <c r="EG1850"/>
      <c r="EH1850"/>
      <c r="EI1850"/>
      <c r="EJ1850"/>
      <c r="EK1850"/>
      <c r="EL1850"/>
      <c r="EM1850"/>
      <c r="EN1850"/>
      <c r="EO1850"/>
      <c r="EP1850"/>
      <c r="EQ1850"/>
      <c r="ER1850"/>
      <c r="ES1850"/>
    </row>
    <row r="1851" spans="1:149">
      <c r="A1851"/>
      <c r="B1851"/>
      <c r="C1851"/>
      <c r="D1851"/>
      <c r="E1851"/>
      <c r="F1851"/>
      <c r="G1851"/>
      <c r="H1851"/>
      <c r="I1851"/>
      <c r="J1851"/>
      <c r="K1851"/>
      <c r="L1851"/>
      <c r="M1851"/>
      <c r="N1851"/>
      <c r="O1851"/>
      <c r="P1851"/>
      <c r="Q1851"/>
      <c r="R1851"/>
      <c r="S1851"/>
      <c r="T1851"/>
      <c r="U1851"/>
      <c r="V1851"/>
      <c r="W1851"/>
      <c r="X1851"/>
      <c r="Y1851"/>
      <c r="Z1851"/>
      <c r="AA1851"/>
      <c r="AB1851"/>
      <c r="AC1851"/>
      <c r="AD1851"/>
      <c r="AE1851"/>
      <c r="AF1851"/>
      <c r="AG1851"/>
      <c r="AH1851"/>
      <c r="AI1851"/>
      <c r="AJ1851"/>
      <c r="AK1851"/>
      <c r="AL1851"/>
      <c r="AM1851"/>
      <c r="AN1851"/>
      <c r="AO1851"/>
      <c r="AP1851"/>
      <c r="AQ1851"/>
      <c r="AR1851"/>
      <c r="AS1851"/>
      <c r="AT1851"/>
      <c r="AU1851"/>
      <c r="AV1851"/>
      <c r="AW1851"/>
      <c r="AX1851"/>
      <c r="AY1851"/>
      <c r="AZ1851"/>
      <c r="BA1851"/>
      <c r="BB1851"/>
      <c r="BC1851"/>
      <c r="BD1851"/>
      <c r="BE1851"/>
      <c r="BF1851"/>
      <c r="BG1851"/>
      <c r="BH1851"/>
      <c r="BI1851"/>
      <c r="BJ1851"/>
      <c r="BK1851"/>
      <c r="BL1851"/>
      <c r="BM1851"/>
      <c r="BN1851"/>
      <c r="BO1851"/>
      <c r="BP1851"/>
      <c r="BQ1851"/>
      <c r="BR1851"/>
      <c r="BS1851"/>
      <c r="BT1851"/>
      <c r="BU1851"/>
      <c r="BV1851"/>
      <c r="BW1851"/>
      <c r="BX1851"/>
      <c r="BY1851"/>
      <c r="BZ1851"/>
      <c r="CA1851"/>
      <c r="CB1851"/>
      <c r="CC1851"/>
      <c r="CD1851"/>
      <c r="CE1851"/>
      <c r="CF1851"/>
      <c r="CG1851"/>
      <c r="CH1851"/>
      <c r="CI1851"/>
      <c r="CJ1851"/>
      <c r="CK1851"/>
      <c r="CL1851"/>
      <c r="CM1851"/>
      <c r="CN1851"/>
      <c r="CO1851"/>
      <c r="CP1851"/>
      <c r="CQ1851"/>
      <c r="CR1851"/>
      <c r="CS1851"/>
      <c r="CT1851"/>
      <c r="CU1851"/>
      <c r="CV1851"/>
      <c r="CW1851"/>
      <c r="CX1851"/>
      <c r="CY1851"/>
      <c r="CZ1851"/>
      <c r="DA1851"/>
      <c r="DB1851"/>
      <c r="DC1851"/>
      <c r="DD1851"/>
      <c r="DE1851"/>
      <c r="DF1851"/>
      <c r="DG1851"/>
      <c r="DH1851"/>
      <c r="DI1851"/>
      <c r="DJ1851"/>
      <c r="DK1851"/>
      <c r="DL1851"/>
      <c r="DM1851"/>
      <c r="DN1851"/>
      <c r="DO1851"/>
      <c r="DP1851"/>
      <c r="DQ1851"/>
      <c r="DR1851"/>
      <c r="DS1851"/>
      <c r="DT1851"/>
      <c r="DU1851"/>
      <c r="DV1851"/>
      <c r="DW1851"/>
      <c r="DX1851"/>
      <c r="DY1851"/>
      <c r="DZ1851"/>
      <c r="EA1851"/>
      <c r="EB1851"/>
      <c r="EC1851"/>
      <c r="ED1851"/>
      <c r="EE1851"/>
      <c r="EF1851"/>
      <c r="EG1851"/>
      <c r="EH1851"/>
      <c r="EI1851"/>
      <c r="EJ1851"/>
      <c r="EK1851"/>
      <c r="EL1851"/>
      <c r="EM1851"/>
      <c r="EN1851"/>
      <c r="EO1851"/>
      <c r="EP1851"/>
      <c r="EQ1851"/>
      <c r="ER1851"/>
      <c r="ES1851"/>
    </row>
    <row r="1852" spans="1:149">
      <c r="A1852"/>
      <c r="B1852"/>
      <c r="C1852"/>
      <c r="D1852"/>
      <c r="E1852"/>
      <c r="F1852"/>
      <c r="G1852"/>
      <c r="H1852"/>
      <c r="I1852"/>
      <c r="J1852"/>
      <c r="K1852"/>
      <c r="L1852"/>
      <c r="M1852"/>
      <c r="N1852"/>
      <c r="O1852"/>
      <c r="P1852"/>
      <c r="Q1852"/>
      <c r="R1852"/>
      <c r="S1852"/>
      <c r="T1852"/>
      <c r="U1852"/>
      <c r="V1852"/>
      <c r="W1852"/>
      <c r="X1852"/>
      <c r="Y1852"/>
      <c r="Z1852"/>
      <c r="AA1852"/>
      <c r="AB1852"/>
      <c r="AC1852"/>
      <c r="AD1852"/>
      <c r="AE1852"/>
      <c r="AF1852"/>
      <c r="AG1852"/>
      <c r="AH1852"/>
      <c r="AI1852"/>
      <c r="AJ1852"/>
      <c r="AK1852"/>
      <c r="AL1852"/>
      <c r="AM1852"/>
      <c r="AN1852"/>
      <c r="AO1852"/>
      <c r="AP1852"/>
      <c r="AQ1852"/>
      <c r="AR1852"/>
      <c r="AS1852"/>
      <c r="AT1852"/>
      <c r="AU1852"/>
      <c r="AV1852"/>
      <c r="AW1852"/>
      <c r="AX1852"/>
      <c r="AY1852"/>
      <c r="AZ1852"/>
      <c r="BA1852"/>
      <c r="BB1852"/>
      <c r="BC1852"/>
      <c r="BD1852"/>
      <c r="BE1852"/>
      <c r="BF1852"/>
      <c r="BG1852"/>
      <c r="BH1852"/>
      <c r="BI1852"/>
      <c r="BJ1852"/>
      <c r="BK1852"/>
      <c r="BL1852"/>
      <c r="BM1852"/>
      <c r="BN1852"/>
      <c r="BO1852"/>
      <c r="BP1852"/>
      <c r="BQ1852"/>
      <c r="BR1852"/>
      <c r="BS1852"/>
      <c r="BT1852"/>
      <c r="BU1852"/>
      <c r="BV1852"/>
      <c r="BW1852"/>
      <c r="BX1852"/>
      <c r="BY1852"/>
      <c r="BZ1852"/>
      <c r="CA1852"/>
      <c r="CB1852"/>
      <c r="CC1852"/>
      <c r="CD1852"/>
      <c r="CE1852"/>
      <c r="CF1852"/>
      <c r="CG1852"/>
      <c r="CH1852"/>
      <c r="CI1852"/>
      <c r="CJ1852"/>
      <c r="CK1852"/>
      <c r="CL1852"/>
      <c r="CM1852"/>
      <c r="CN1852"/>
      <c r="CO1852"/>
      <c r="CP1852"/>
      <c r="CQ1852"/>
      <c r="CR1852"/>
      <c r="CS1852"/>
      <c r="CT1852"/>
      <c r="CU1852"/>
      <c r="CV1852"/>
      <c r="CW1852"/>
      <c r="CX1852"/>
      <c r="CY1852"/>
      <c r="CZ1852"/>
      <c r="DA1852"/>
      <c r="DB1852"/>
      <c r="DC1852"/>
      <c r="DD1852"/>
      <c r="DE1852"/>
      <c r="DF1852"/>
      <c r="DG1852"/>
      <c r="DH1852"/>
      <c r="DI1852"/>
      <c r="DJ1852"/>
      <c r="DK1852"/>
      <c r="DL1852"/>
      <c r="DM1852"/>
      <c r="DN1852"/>
      <c r="DO1852"/>
      <c r="DP1852"/>
      <c r="DQ1852"/>
      <c r="DR1852"/>
      <c r="DS1852"/>
      <c r="DT1852"/>
      <c r="DU1852"/>
      <c r="DV1852"/>
      <c r="DW1852"/>
      <c r="DX1852"/>
      <c r="DY1852"/>
      <c r="DZ1852"/>
      <c r="EA1852"/>
      <c r="EB1852"/>
      <c r="EC1852"/>
      <c r="ED1852"/>
      <c r="EE1852"/>
      <c r="EF1852"/>
      <c r="EG1852"/>
      <c r="EH1852"/>
      <c r="EI1852"/>
      <c r="EJ1852"/>
      <c r="EK1852"/>
      <c r="EL1852"/>
      <c r="EM1852"/>
      <c r="EN1852"/>
      <c r="EO1852"/>
      <c r="EP1852"/>
      <c r="EQ1852"/>
      <c r="ER1852"/>
      <c r="ES1852"/>
    </row>
    <row r="1853" spans="1:149">
      <c r="A1853"/>
      <c r="B1853"/>
      <c r="C1853"/>
      <c r="D1853"/>
      <c r="E1853"/>
      <c r="F1853"/>
      <c r="G1853"/>
      <c r="H1853"/>
      <c r="I1853"/>
      <c r="J1853"/>
      <c r="K1853"/>
      <c r="L1853"/>
      <c r="M1853"/>
      <c r="N1853"/>
      <c r="O1853"/>
      <c r="P1853"/>
      <c r="Q1853"/>
      <c r="R1853"/>
      <c r="S1853"/>
      <c r="T1853"/>
      <c r="U1853"/>
      <c r="V1853"/>
      <c r="W1853"/>
      <c r="X1853"/>
      <c r="Y1853"/>
      <c r="Z1853"/>
      <c r="AA1853"/>
      <c r="AB1853"/>
      <c r="AC1853"/>
      <c r="AD1853"/>
      <c r="AE1853"/>
      <c r="AF1853"/>
      <c r="AG1853"/>
      <c r="AH1853"/>
      <c r="AI1853"/>
      <c r="AJ1853"/>
      <c r="AK1853"/>
      <c r="AL1853"/>
      <c r="AM1853"/>
      <c r="AN1853"/>
      <c r="AO1853"/>
      <c r="AP1853"/>
      <c r="AQ1853"/>
      <c r="AR1853"/>
      <c r="AS1853"/>
      <c r="AT1853"/>
      <c r="AU1853"/>
      <c r="AV1853"/>
      <c r="AW1853"/>
      <c r="AX1853"/>
      <c r="AY1853"/>
      <c r="AZ1853"/>
      <c r="BA1853"/>
      <c r="BB1853"/>
      <c r="BC1853"/>
      <c r="BD1853"/>
      <c r="BE1853"/>
      <c r="BF1853"/>
      <c r="BG1853"/>
      <c r="BH1853"/>
      <c r="BI1853"/>
      <c r="BJ1853"/>
      <c r="BK1853"/>
      <c r="BL1853"/>
      <c r="BM1853"/>
      <c r="BN1853"/>
      <c r="BO1853"/>
      <c r="BP1853"/>
      <c r="BQ1853"/>
      <c r="BR1853"/>
      <c r="BS1853"/>
      <c r="BT1853"/>
      <c r="BU1853"/>
      <c r="BV1853"/>
      <c r="BW1853"/>
      <c r="BX1853"/>
      <c r="BY1853"/>
      <c r="BZ1853"/>
      <c r="CA1853"/>
      <c r="CB1853"/>
      <c r="CC1853"/>
      <c r="CD1853"/>
      <c r="CE1853"/>
      <c r="CF1853"/>
      <c r="CG1853"/>
      <c r="CH1853"/>
      <c r="CI1853"/>
      <c r="CJ1853"/>
      <c r="CK1853"/>
      <c r="CL1853"/>
      <c r="CM1853"/>
      <c r="CN1853"/>
      <c r="CO1853"/>
      <c r="CP1853"/>
      <c r="CQ1853"/>
      <c r="CR1853"/>
      <c r="CS1853"/>
      <c r="CT1853"/>
      <c r="CU1853"/>
      <c r="CV1853"/>
      <c r="CW1853"/>
      <c r="CX1853"/>
      <c r="CY1853"/>
      <c r="CZ1853"/>
      <c r="DA1853"/>
      <c r="DB1853"/>
      <c r="DC1853"/>
      <c r="DD1853"/>
      <c r="DE1853"/>
      <c r="DF1853"/>
      <c r="DG1853"/>
      <c r="DH1853"/>
      <c r="DI1853"/>
      <c r="DJ1853"/>
      <c r="DK1853"/>
      <c r="DL1853"/>
      <c r="DM1853"/>
      <c r="DN1853"/>
      <c r="DO1853"/>
      <c r="DP1853"/>
      <c r="DQ1853"/>
      <c r="DR1853"/>
      <c r="DS1853"/>
      <c r="DT1853"/>
      <c r="DU1853"/>
      <c r="DV1853"/>
      <c r="DW1853"/>
      <c r="DX1853"/>
      <c r="DY1853"/>
      <c r="DZ1853"/>
      <c r="EA1853"/>
      <c r="EB1853"/>
      <c r="EC1853"/>
      <c r="ED1853"/>
      <c r="EE1853"/>
      <c r="EF1853"/>
      <c r="EG1853"/>
      <c r="EH1853"/>
      <c r="EI1853"/>
      <c r="EJ1853"/>
      <c r="EK1853"/>
      <c r="EL1853"/>
      <c r="EM1853"/>
      <c r="EN1853"/>
      <c r="EO1853"/>
      <c r="EP1853"/>
      <c r="EQ1853"/>
      <c r="ER1853"/>
      <c r="ES1853"/>
    </row>
    <row r="1854" spans="1:149">
      <c r="A1854"/>
      <c r="B1854"/>
      <c r="C1854"/>
      <c r="D1854"/>
      <c r="E1854"/>
      <c r="F1854"/>
      <c r="G1854"/>
      <c r="H1854"/>
      <c r="I1854"/>
      <c r="J1854"/>
      <c r="K1854"/>
      <c r="L1854"/>
      <c r="M1854"/>
      <c r="N1854"/>
      <c r="O1854"/>
      <c r="P1854"/>
      <c r="Q1854"/>
      <c r="R1854"/>
      <c r="S1854"/>
      <c r="T1854"/>
      <c r="U1854"/>
      <c r="V1854"/>
      <c r="W1854"/>
      <c r="X1854"/>
      <c r="Y1854"/>
      <c r="Z1854"/>
      <c r="AA1854"/>
      <c r="AB1854"/>
      <c r="AC1854"/>
      <c r="AD1854"/>
      <c r="AE1854"/>
      <c r="AF1854"/>
      <c r="AG1854"/>
      <c r="AH1854"/>
      <c r="AI1854"/>
      <c r="AJ1854"/>
      <c r="AK1854"/>
      <c r="AL1854"/>
      <c r="AM1854"/>
      <c r="AN1854"/>
      <c r="AO1854"/>
      <c r="AP1854"/>
      <c r="AQ1854"/>
      <c r="AR1854"/>
      <c r="AS1854"/>
      <c r="AT1854"/>
      <c r="AU1854"/>
      <c r="AV1854"/>
      <c r="AW1854"/>
      <c r="AX1854"/>
      <c r="AY1854"/>
      <c r="AZ1854"/>
      <c r="BA1854"/>
      <c r="BB1854"/>
      <c r="BC1854"/>
      <c r="BD1854"/>
      <c r="BE1854"/>
      <c r="BF1854"/>
      <c r="BG1854"/>
      <c r="BH1854"/>
      <c r="BI1854"/>
      <c r="BJ1854"/>
      <c r="BK1854"/>
      <c r="BL1854"/>
      <c r="BM1854"/>
      <c r="BN1854"/>
      <c r="BO1854"/>
      <c r="BP1854"/>
      <c r="BQ1854"/>
      <c r="BR1854"/>
      <c r="BS1854"/>
      <c r="BT1854"/>
      <c r="BU1854"/>
      <c r="BV1854"/>
      <c r="BW1854"/>
      <c r="BX1854"/>
      <c r="BY1854"/>
      <c r="BZ1854"/>
      <c r="CA1854"/>
      <c r="CB1854"/>
      <c r="CC1854"/>
      <c r="CD1854"/>
      <c r="CE1854"/>
      <c r="CF1854"/>
      <c r="CG1854"/>
      <c r="CH1854"/>
      <c r="CI1854"/>
      <c r="CJ1854"/>
      <c r="CK1854"/>
      <c r="CL1854"/>
      <c r="CM1854"/>
      <c r="CN1854"/>
      <c r="CO1854"/>
      <c r="CP1854"/>
      <c r="CQ1854"/>
      <c r="CR1854"/>
      <c r="CS1854"/>
      <c r="CT1854"/>
      <c r="CU1854"/>
      <c r="CV1854"/>
      <c r="CW1854"/>
      <c r="CX1854"/>
      <c r="CY1854"/>
      <c r="CZ1854"/>
      <c r="DA1854"/>
      <c r="DB1854"/>
      <c r="DC1854"/>
      <c r="DD1854"/>
      <c r="DE1854"/>
      <c r="DF1854"/>
      <c r="DG1854"/>
      <c r="DH1854"/>
      <c r="DI1854"/>
      <c r="DJ1854"/>
      <c r="DK1854"/>
      <c r="DL1854"/>
      <c r="DM1854"/>
      <c r="DN1854"/>
      <c r="DO1854"/>
      <c r="DP1854"/>
      <c r="DQ1854"/>
      <c r="DR1854"/>
      <c r="DS1854"/>
      <c r="DT1854"/>
      <c r="DU1854"/>
      <c r="DV1854"/>
      <c r="DW1854"/>
      <c r="DX1854"/>
      <c r="DY1854"/>
      <c r="DZ1854"/>
      <c r="EA1854"/>
      <c r="EB1854"/>
      <c r="EC1854"/>
      <c r="ED1854"/>
      <c r="EE1854"/>
      <c r="EF1854"/>
      <c r="EG1854"/>
      <c r="EH1854"/>
      <c r="EI1854"/>
      <c r="EJ1854"/>
      <c r="EK1854"/>
      <c r="EL1854"/>
      <c r="EM1854"/>
      <c r="EN1854"/>
      <c r="EO1854"/>
      <c r="EP1854"/>
      <c r="EQ1854"/>
      <c r="ER1854"/>
      <c r="ES1854"/>
    </row>
    <row r="1855" spans="1:149">
      <c r="A1855"/>
      <c r="B1855"/>
      <c r="C1855"/>
      <c r="D1855"/>
      <c r="E1855"/>
      <c r="F1855"/>
      <c r="G1855"/>
      <c r="H1855"/>
      <c r="I1855"/>
      <c r="J1855"/>
      <c r="K1855"/>
      <c r="L1855"/>
      <c r="M1855"/>
      <c r="N1855"/>
      <c r="O1855"/>
      <c r="P1855"/>
      <c r="Q1855"/>
      <c r="R1855"/>
      <c r="S1855"/>
      <c r="T1855"/>
      <c r="U1855"/>
      <c r="V1855"/>
      <c r="W1855"/>
      <c r="X1855"/>
      <c r="Y1855"/>
      <c r="Z1855"/>
      <c r="AA1855"/>
      <c r="AB1855"/>
      <c r="AC1855"/>
      <c r="AD1855"/>
      <c r="AE1855"/>
      <c r="AF1855"/>
      <c r="AG1855"/>
      <c r="AH1855"/>
      <c r="AI1855"/>
      <c r="AJ1855"/>
      <c r="AK1855"/>
      <c r="AL1855"/>
      <c r="AM1855"/>
      <c r="AN1855"/>
      <c r="AO1855"/>
      <c r="AP1855"/>
      <c r="AQ1855"/>
      <c r="AR1855"/>
      <c r="AS1855"/>
      <c r="AT1855"/>
      <c r="AU1855"/>
      <c r="AV1855"/>
      <c r="AW1855"/>
      <c r="AX1855"/>
      <c r="AY1855"/>
      <c r="AZ1855"/>
      <c r="BA1855"/>
      <c r="BB1855"/>
      <c r="BC1855"/>
      <c r="BD1855"/>
      <c r="BE1855"/>
      <c r="BF1855"/>
      <c r="BG1855"/>
      <c r="BH1855"/>
      <c r="BI1855"/>
      <c r="BJ1855"/>
      <c r="BK1855"/>
      <c r="BL1855"/>
      <c r="BM1855"/>
      <c r="BN1855"/>
      <c r="BO1855"/>
      <c r="BP1855"/>
      <c r="BQ1855"/>
      <c r="BR1855"/>
      <c r="BS1855"/>
      <c r="BT1855"/>
      <c r="BU1855"/>
      <c r="BV1855"/>
      <c r="BW1855"/>
      <c r="BX1855"/>
      <c r="BY1855"/>
      <c r="BZ1855"/>
      <c r="CA1855"/>
      <c r="CB1855"/>
      <c r="CC1855"/>
      <c r="CD1855"/>
      <c r="CE1855"/>
      <c r="CF1855"/>
      <c r="CG1855"/>
      <c r="CH1855"/>
      <c r="CI1855"/>
      <c r="CJ1855"/>
      <c r="CK1855"/>
      <c r="CL1855"/>
      <c r="CM1855"/>
      <c r="CN1855"/>
      <c r="CO1855"/>
      <c r="CP1855"/>
      <c r="CQ1855"/>
      <c r="CR1855"/>
      <c r="CS1855"/>
      <c r="CT1855"/>
      <c r="CU1855"/>
      <c r="CV1855"/>
      <c r="CW1855"/>
      <c r="CX1855"/>
      <c r="CY1855"/>
      <c r="CZ1855"/>
      <c r="DA1855"/>
      <c r="DB1855"/>
      <c r="DC1855"/>
      <c r="DD1855"/>
      <c r="DE1855"/>
      <c r="DF1855"/>
      <c r="DG1855"/>
      <c r="DH1855"/>
      <c r="DI1855"/>
      <c r="DJ1855"/>
      <c r="DK1855"/>
      <c r="DL1855"/>
      <c r="DM1855"/>
      <c r="DN1855"/>
      <c r="DO1855"/>
      <c r="DP1855"/>
      <c r="DQ1855"/>
      <c r="DR1855"/>
      <c r="DS1855"/>
      <c r="DT1855"/>
      <c r="DU1855"/>
      <c r="DV1855"/>
      <c r="DW1855"/>
      <c r="DX1855"/>
      <c r="DY1855"/>
      <c r="DZ1855"/>
      <c r="EA1855"/>
      <c r="EB1855"/>
      <c r="EC1855"/>
      <c r="ED1855"/>
      <c r="EE1855"/>
      <c r="EF1855"/>
      <c r="EG1855"/>
      <c r="EH1855"/>
      <c r="EI1855"/>
      <c r="EJ1855"/>
      <c r="EK1855"/>
      <c r="EL1855"/>
      <c r="EM1855"/>
      <c r="EN1855"/>
      <c r="EO1855"/>
      <c r="EP1855"/>
      <c r="EQ1855"/>
      <c r="ER1855"/>
      <c r="ES1855"/>
    </row>
    <row r="1856" spans="1:149">
      <c r="A1856"/>
      <c r="B1856"/>
      <c r="C1856"/>
      <c r="D1856"/>
      <c r="E1856"/>
      <c r="F1856"/>
      <c r="G1856"/>
      <c r="H1856"/>
      <c r="I1856"/>
      <c r="J1856"/>
      <c r="K1856"/>
      <c r="L1856"/>
      <c r="M1856"/>
      <c r="N1856"/>
      <c r="O1856"/>
      <c r="P1856"/>
      <c r="Q1856"/>
      <c r="R1856"/>
      <c r="S1856"/>
      <c r="T1856"/>
      <c r="U1856"/>
      <c r="V1856"/>
      <c r="W1856"/>
      <c r="X1856"/>
      <c r="Y1856"/>
      <c r="Z1856"/>
      <c r="AA1856"/>
      <c r="AB1856"/>
      <c r="AC1856"/>
      <c r="AD1856"/>
      <c r="AE1856"/>
      <c r="AF1856"/>
      <c r="AG1856"/>
      <c r="AH1856"/>
      <c r="AI1856"/>
      <c r="AJ1856"/>
      <c r="AK1856"/>
      <c r="AL1856"/>
      <c r="AM1856"/>
      <c r="AN1856"/>
      <c r="AO1856"/>
      <c r="AP1856"/>
      <c r="AQ1856"/>
      <c r="AR1856"/>
      <c r="AS1856"/>
      <c r="AT1856"/>
      <c r="AU1856"/>
      <c r="AV1856"/>
      <c r="AW1856"/>
      <c r="AX1856"/>
      <c r="AY1856"/>
      <c r="AZ1856"/>
      <c r="BA1856"/>
      <c r="BB1856"/>
      <c r="BC1856"/>
      <c r="BD1856"/>
      <c r="BE1856"/>
      <c r="BF1856"/>
      <c r="BG1856"/>
      <c r="BH1856"/>
      <c r="BI1856"/>
      <c r="BJ1856"/>
      <c r="BK1856"/>
      <c r="BL1856"/>
      <c r="BM1856"/>
      <c r="BN1856"/>
      <c r="BO1856"/>
      <c r="BP1856"/>
      <c r="BQ1856"/>
      <c r="BR1856"/>
      <c r="BS1856"/>
      <c r="BT1856"/>
      <c r="BU1856"/>
      <c r="BV1856"/>
      <c r="BW1856"/>
      <c r="BX1856"/>
      <c r="BY1856"/>
      <c r="BZ1856"/>
      <c r="CA1856"/>
      <c r="CB1856"/>
      <c r="CC1856"/>
      <c r="CD1856"/>
      <c r="CE1856"/>
      <c r="CF1856"/>
      <c r="CG1856"/>
      <c r="CH1856"/>
      <c r="CI1856"/>
      <c r="CJ1856"/>
      <c r="CK1856"/>
      <c r="CL1856"/>
      <c r="CM1856"/>
      <c r="CN1856"/>
      <c r="CO1856"/>
      <c r="CP1856"/>
      <c r="CQ1856"/>
      <c r="CR1856"/>
      <c r="CS1856"/>
      <c r="CT1856"/>
      <c r="CU1856"/>
      <c r="CV1856"/>
      <c r="CW1856"/>
      <c r="CX1856"/>
      <c r="CY1856"/>
      <c r="CZ1856"/>
      <c r="DA1856"/>
      <c r="DB1856"/>
      <c r="DC1856"/>
      <c r="DD1856"/>
      <c r="DE1856"/>
      <c r="DF1856"/>
      <c r="DG1856"/>
      <c r="DH1856"/>
      <c r="DI1856"/>
      <c r="DJ1856"/>
      <c r="DK1856"/>
      <c r="DL1856"/>
      <c r="DM1856"/>
      <c r="DN1856"/>
      <c r="DO1856"/>
      <c r="DP1856"/>
      <c r="DQ1856"/>
      <c r="DR1856"/>
      <c r="DS1856"/>
      <c r="DT1856"/>
      <c r="DU1856"/>
      <c r="DV1856"/>
      <c r="DW1856"/>
      <c r="DX1856"/>
      <c r="DY1856"/>
      <c r="DZ1856"/>
      <c r="EA1856"/>
      <c r="EB1856"/>
      <c r="EC1856"/>
      <c r="ED1856"/>
      <c r="EE1856"/>
      <c r="EF1856"/>
      <c r="EG1856"/>
      <c r="EH1856"/>
      <c r="EI1856"/>
      <c r="EJ1856"/>
      <c r="EK1856"/>
      <c r="EL1856"/>
      <c r="EM1856"/>
      <c r="EN1856"/>
      <c r="EO1856"/>
      <c r="EP1856"/>
      <c r="EQ1856"/>
      <c r="ER1856"/>
      <c r="ES1856"/>
    </row>
    <row r="1857" spans="1:149">
      <c r="A1857"/>
      <c r="B1857"/>
      <c r="C1857"/>
      <c r="D1857"/>
      <c r="E1857"/>
      <c r="F1857"/>
      <c r="G1857"/>
      <c r="H1857"/>
      <c r="I1857"/>
      <c r="J1857"/>
      <c r="K1857"/>
      <c r="L1857"/>
      <c r="M1857"/>
      <c r="N1857"/>
      <c r="O1857"/>
      <c r="P1857"/>
      <c r="Q1857"/>
      <c r="R1857"/>
      <c r="S1857"/>
      <c r="T1857"/>
      <c r="U1857"/>
      <c r="V1857"/>
      <c r="W1857"/>
      <c r="X1857"/>
      <c r="Y1857"/>
      <c r="Z1857"/>
      <c r="AA1857"/>
      <c r="AB1857"/>
      <c r="AC1857"/>
      <c r="AD1857"/>
      <c r="AE1857"/>
      <c r="AF1857"/>
      <c r="AG1857"/>
      <c r="AH1857"/>
      <c r="AI1857"/>
      <c r="AJ1857"/>
      <c r="AK1857"/>
      <c r="AL1857"/>
      <c r="AM1857"/>
      <c r="AN1857"/>
      <c r="AO1857"/>
      <c r="AP1857"/>
      <c r="AQ1857"/>
      <c r="AR1857"/>
      <c r="AS1857"/>
      <c r="AT1857"/>
      <c r="AU1857"/>
      <c r="AV1857"/>
      <c r="AW1857"/>
      <c r="AX1857"/>
      <c r="AY1857"/>
      <c r="AZ1857"/>
      <c r="BA1857"/>
      <c r="BB1857"/>
      <c r="BC1857"/>
      <c r="BD1857"/>
      <c r="BE1857"/>
      <c r="BF1857"/>
      <c r="BG1857"/>
      <c r="BH1857"/>
      <c r="BI1857"/>
      <c r="BJ1857"/>
      <c r="BK1857"/>
      <c r="BL1857"/>
      <c r="BM1857"/>
      <c r="BN1857"/>
      <c r="BO1857"/>
      <c r="BP1857"/>
      <c r="BQ1857"/>
      <c r="BR1857"/>
      <c r="BS1857"/>
      <c r="BT1857"/>
      <c r="BU1857"/>
      <c r="BV1857"/>
      <c r="BW1857"/>
      <c r="BX1857"/>
      <c r="BY1857"/>
      <c r="BZ1857"/>
      <c r="CA1857"/>
      <c r="CB1857"/>
      <c r="CC1857"/>
      <c r="CD1857"/>
      <c r="CE1857"/>
      <c r="CF1857"/>
      <c r="CG1857"/>
      <c r="CH1857"/>
      <c r="CI1857"/>
      <c r="CJ1857"/>
      <c r="CK1857"/>
      <c r="CL1857"/>
      <c r="CM1857"/>
      <c r="CN1857"/>
      <c r="CO1857"/>
      <c r="CP1857"/>
      <c r="CQ1857"/>
      <c r="CR1857"/>
      <c r="CS1857"/>
      <c r="CT1857"/>
      <c r="CU1857"/>
      <c r="CV1857"/>
      <c r="CW1857"/>
      <c r="CX1857"/>
      <c r="CY1857"/>
      <c r="CZ1857"/>
      <c r="DA1857"/>
      <c r="DB1857"/>
      <c r="DC1857"/>
      <c r="DD1857"/>
      <c r="DE1857"/>
      <c r="DF1857"/>
      <c r="DG1857"/>
      <c r="DH1857"/>
      <c r="DI1857"/>
      <c r="DJ1857"/>
      <c r="DK1857"/>
      <c r="DL1857"/>
      <c r="DM1857"/>
      <c r="DN1857"/>
      <c r="DO1857"/>
      <c r="DP1857"/>
      <c r="DQ1857"/>
      <c r="DR1857"/>
      <c r="DS1857"/>
      <c r="DT1857"/>
      <c r="DU1857"/>
      <c r="DV1857"/>
      <c r="DW1857"/>
      <c r="DX1857"/>
      <c r="DY1857"/>
      <c r="DZ1857"/>
      <c r="EA1857"/>
      <c r="EB1857"/>
      <c r="EC1857"/>
      <c r="ED1857"/>
      <c r="EE1857"/>
      <c r="EF1857"/>
      <c r="EG1857"/>
      <c r="EH1857"/>
      <c r="EI1857"/>
      <c r="EJ1857"/>
      <c r="EK1857"/>
      <c r="EL1857"/>
      <c r="EM1857"/>
      <c r="EN1857"/>
      <c r="EO1857"/>
      <c r="EP1857"/>
      <c r="EQ1857"/>
      <c r="ER1857"/>
      <c r="ES1857"/>
    </row>
    <row r="1858" spans="1:149">
      <c r="A1858"/>
      <c r="B1858"/>
      <c r="C1858"/>
      <c r="D1858"/>
      <c r="E1858"/>
      <c r="F1858"/>
      <c r="G1858"/>
      <c r="H1858"/>
      <c r="I1858"/>
      <c r="J1858"/>
      <c r="K1858"/>
      <c r="L1858"/>
      <c r="M1858"/>
      <c r="N1858"/>
      <c r="O1858"/>
      <c r="P1858"/>
      <c r="Q1858"/>
      <c r="R1858"/>
      <c r="S1858"/>
      <c r="T1858"/>
      <c r="U1858"/>
      <c r="V1858"/>
      <c r="W1858"/>
      <c r="X1858"/>
      <c r="Y1858"/>
      <c r="Z1858"/>
      <c r="AA1858"/>
      <c r="AB1858"/>
      <c r="AC1858"/>
      <c r="AD1858"/>
      <c r="AE1858"/>
      <c r="AF1858"/>
      <c r="AG1858"/>
      <c r="AH1858"/>
      <c r="AI1858"/>
      <c r="AJ1858"/>
      <c r="AK1858"/>
      <c r="AL1858"/>
      <c r="AM1858"/>
      <c r="AN1858"/>
      <c r="AO1858"/>
      <c r="AP1858"/>
      <c r="AQ1858"/>
      <c r="AR1858"/>
      <c r="AS1858"/>
      <c r="AT1858"/>
      <c r="AU1858"/>
      <c r="AV1858"/>
      <c r="AW1858"/>
      <c r="AX1858"/>
      <c r="AY1858"/>
      <c r="AZ1858"/>
      <c r="BA1858"/>
      <c r="BB1858"/>
      <c r="BC1858"/>
      <c r="BD1858"/>
      <c r="BE1858"/>
      <c r="BF1858"/>
      <c r="BG1858"/>
      <c r="BH1858"/>
      <c r="BI1858"/>
      <c r="BJ1858"/>
      <c r="BK1858"/>
      <c r="BL1858"/>
      <c r="BM1858"/>
      <c r="BN1858"/>
      <c r="BO1858"/>
      <c r="BP1858"/>
      <c r="BQ1858"/>
      <c r="BR1858"/>
      <c r="BS1858"/>
      <c r="BT1858"/>
      <c r="BU1858"/>
      <c r="BV1858"/>
      <c r="BW1858"/>
      <c r="BX1858"/>
      <c r="BY1858"/>
      <c r="BZ1858"/>
      <c r="CA1858"/>
      <c r="CB1858"/>
      <c r="CC1858"/>
      <c r="CD1858"/>
      <c r="CE1858"/>
      <c r="CF1858"/>
      <c r="CG1858"/>
      <c r="CH1858"/>
      <c r="CI1858"/>
      <c r="CJ1858"/>
      <c r="CK1858"/>
      <c r="CL1858"/>
      <c r="CM1858"/>
      <c r="CN1858"/>
      <c r="CO1858"/>
      <c r="CP1858"/>
      <c r="CQ1858"/>
      <c r="CR1858"/>
      <c r="CS1858"/>
      <c r="CT1858"/>
      <c r="CU1858"/>
      <c r="CV1858"/>
      <c r="CW1858"/>
      <c r="CX1858"/>
      <c r="CY1858"/>
      <c r="CZ1858"/>
      <c r="DA1858"/>
      <c r="DB1858"/>
      <c r="DC1858"/>
      <c r="DD1858"/>
      <c r="DE1858"/>
      <c r="DF1858"/>
      <c r="DG1858"/>
      <c r="DH1858"/>
      <c r="DI1858"/>
      <c r="DJ1858"/>
      <c r="DK1858"/>
      <c r="DL1858"/>
      <c r="DM1858"/>
      <c r="DN1858"/>
      <c r="DO1858"/>
      <c r="DP1858"/>
      <c r="DQ1858"/>
      <c r="DR1858"/>
      <c r="DS1858"/>
      <c r="DT1858"/>
      <c r="DU1858"/>
      <c r="DV1858"/>
      <c r="DW1858"/>
      <c r="DX1858"/>
      <c r="DY1858"/>
      <c r="DZ1858"/>
      <c r="EA1858"/>
      <c r="EB1858"/>
      <c r="EC1858"/>
      <c r="ED1858"/>
      <c r="EE1858"/>
      <c r="EF1858"/>
      <c r="EG1858"/>
      <c r="EH1858"/>
      <c r="EI1858"/>
      <c r="EJ1858"/>
      <c r="EK1858"/>
      <c r="EL1858"/>
      <c r="EM1858"/>
      <c r="EN1858"/>
      <c r="EO1858"/>
      <c r="EP1858"/>
      <c r="EQ1858"/>
      <c r="ER1858"/>
      <c r="ES1858"/>
    </row>
    <row r="1859" spans="1:149">
      <c r="A1859"/>
      <c r="B1859"/>
      <c r="C1859"/>
      <c r="D1859"/>
      <c r="E1859"/>
      <c r="F1859"/>
      <c r="G1859"/>
      <c r="H1859"/>
      <c r="I1859"/>
      <c r="J1859"/>
      <c r="K1859"/>
      <c r="L1859"/>
      <c r="M1859"/>
      <c r="N1859"/>
      <c r="O1859"/>
      <c r="P1859"/>
      <c r="Q1859"/>
      <c r="R1859"/>
      <c r="S1859"/>
      <c r="T1859"/>
      <c r="U1859"/>
      <c r="V1859"/>
      <c r="W1859"/>
      <c r="X1859"/>
      <c r="Y1859"/>
      <c r="Z1859"/>
      <c r="AA1859"/>
      <c r="AB1859"/>
      <c r="AC1859"/>
      <c r="AD1859"/>
      <c r="AE1859"/>
      <c r="AF1859"/>
      <c r="AG1859"/>
      <c r="AH1859"/>
      <c r="AI1859"/>
      <c r="AJ1859"/>
      <c r="AK1859"/>
      <c r="AL1859"/>
      <c r="AM1859"/>
      <c r="AN1859"/>
      <c r="AO1859"/>
      <c r="AP1859"/>
      <c r="AQ1859"/>
      <c r="AR1859"/>
      <c r="AS1859"/>
      <c r="AT1859"/>
      <c r="AU1859"/>
      <c r="AV1859"/>
      <c r="AW1859"/>
      <c r="AX1859"/>
      <c r="AY1859"/>
      <c r="AZ1859"/>
      <c r="BA1859"/>
      <c r="BB1859"/>
      <c r="BC1859"/>
      <c r="BD1859"/>
      <c r="BE1859"/>
      <c r="BF1859"/>
      <c r="BG1859"/>
      <c r="BH1859"/>
      <c r="BI1859"/>
      <c r="BJ1859"/>
      <c r="BK1859"/>
      <c r="BL1859"/>
      <c r="BM1859"/>
      <c r="BN1859"/>
      <c r="BO1859"/>
      <c r="BP1859"/>
      <c r="BQ1859"/>
      <c r="BR1859"/>
      <c r="BS1859"/>
      <c r="BT1859"/>
      <c r="BU1859"/>
      <c r="BV1859"/>
      <c r="BW1859"/>
      <c r="BX1859"/>
      <c r="BY1859"/>
      <c r="BZ1859"/>
      <c r="CA1859"/>
      <c r="CB1859"/>
      <c r="CC1859"/>
      <c r="CD1859"/>
      <c r="CE1859"/>
      <c r="CF1859"/>
      <c r="CG1859"/>
      <c r="CH1859"/>
      <c r="CI1859"/>
      <c r="CJ1859"/>
      <c r="CK1859"/>
      <c r="CL1859"/>
      <c r="CM1859"/>
      <c r="CN1859"/>
      <c r="CO1859"/>
      <c r="CP1859"/>
      <c r="CQ1859"/>
      <c r="CR1859"/>
      <c r="CS1859"/>
      <c r="CT1859"/>
      <c r="CU1859"/>
      <c r="CV1859"/>
      <c r="CW1859"/>
      <c r="CX1859"/>
      <c r="CY1859"/>
      <c r="CZ1859"/>
      <c r="DA1859"/>
      <c r="DB1859"/>
      <c r="DC1859"/>
      <c r="DD1859"/>
      <c r="DE1859"/>
      <c r="DF1859"/>
      <c r="DG1859"/>
      <c r="DH1859"/>
      <c r="DI1859"/>
      <c r="DJ1859"/>
      <c r="DK1859"/>
      <c r="DL1859"/>
      <c r="DM1859"/>
      <c r="DN1859"/>
      <c r="DO1859"/>
      <c r="DP1859"/>
      <c r="DQ1859"/>
      <c r="DR1859"/>
      <c r="DS1859"/>
      <c r="DT1859"/>
      <c r="DU1859"/>
      <c r="DV1859"/>
      <c r="DW1859"/>
      <c r="DX1859"/>
      <c r="DY1859"/>
      <c r="DZ1859"/>
      <c r="EA1859"/>
      <c r="EB1859"/>
      <c r="EC1859"/>
      <c r="ED1859"/>
      <c r="EE1859"/>
      <c r="EF1859"/>
      <c r="EG1859"/>
      <c r="EH1859"/>
      <c r="EI1859"/>
      <c r="EJ1859"/>
      <c r="EK1859"/>
      <c r="EL1859"/>
      <c r="EM1859"/>
      <c r="EN1859"/>
      <c r="EO1859"/>
      <c r="EP1859"/>
      <c r="EQ1859"/>
      <c r="ER1859"/>
      <c r="ES1859"/>
    </row>
    <row r="1860" spans="1:149">
      <c r="A1860"/>
      <c r="B1860"/>
      <c r="C1860"/>
      <c r="D1860"/>
      <c r="E1860"/>
      <c r="F1860"/>
      <c r="G1860"/>
      <c r="H1860"/>
      <c r="I1860"/>
      <c r="J1860"/>
      <c r="K1860"/>
      <c r="L1860"/>
      <c r="M1860"/>
      <c r="N1860"/>
      <c r="O1860"/>
      <c r="P1860"/>
      <c r="Q1860"/>
      <c r="R1860"/>
      <c r="S1860"/>
      <c r="T1860"/>
      <c r="U1860"/>
      <c r="V1860"/>
      <c r="W1860"/>
      <c r="X1860"/>
      <c r="Y1860"/>
      <c r="Z1860"/>
      <c r="AA1860"/>
      <c r="AB1860"/>
      <c r="AC1860"/>
      <c r="AD1860"/>
      <c r="AE1860"/>
      <c r="AF1860"/>
      <c r="AG1860"/>
      <c r="AH1860"/>
      <c r="AI1860"/>
      <c r="AJ1860"/>
      <c r="AK1860"/>
      <c r="AL1860"/>
      <c r="AM1860"/>
      <c r="AN1860"/>
      <c r="AO1860"/>
      <c r="AP1860"/>
      <c r="AQ1860"/>
      <c r="AR1860"/>
      <c r="AS1860"/>
      <c r="AT1860"/>
      <c r="AU1860"/>
      <c r="AV1860"/>
      <c r="AW1860"/>
      <c r="AX1860"/>
      <c r="AY1860"/>
      <c r="AZ1860"/>
      <c r="BA1860"/>
      <c r="BB1860"/>
      <c r="BC1860"/>
      <c r="BD1860"/>
      <c r="BE1860"/>
      <c r="BF1860"/>
      <c r="BG1860"/>
      <c r="BH1860"/>
      <c r="BI1860"/>
      <c r="BJ1860"/>
      <c r="BK1860"/>
      <c r="BL1860"/>
      <c r="BM1860"/>
      <c r="BN1860"/>
      <c r="BO1860"/>
      <c r="BP1860"/>
      <c r="BQ1860"/>
      <c r="BR1860"/>
      <c r="BS1860"/>
      <c r="BT1860"/>
      <c r="BU1860"/>
      <c r="BV1860"/>
      <c r="BW1860"/>
      <c r="BX1860"/>
      <c r="BY1860"/>
      <c r="BZ1860"/>
      <c r="CA1860"/>
      <c r="CB1860"/>
      <c r="CC1860"/>
      <c r="CD1860"/>
      <c r="CE1860"/>
      <c r="CF1860"/>
      <c r="CG1860"/>
      <c r="CH1860"/>
      <c r="CI1860"/>
      <c r="CJ1860"/>
      <c r="CK1860"/>
      <c r="CL1860"/>
      <c r="CM1860"/>
      <c r="CN1860"/>
      <c r="CO1860"/>
      <c r="CP1860"/>
      <c r="CQ1860"/>
      <c r="CR1860"/>
      <c r="CS1860"/>
      <c r="CT1860"/>
      <c r="CU1860"/>
      <c r="CV1860"/>
      <c r="CW1860"/>
      <c r="CX1860"/>
      <c r="CY1860"/>
      <c r="CZ1860"/>
      <c r="DA1860"/>
      <c r="DB1860"/>
      <c r="DC1860"/>
      <c r="DD1860"/>
      <c r="DE1860"/>
      <c r="DF1860"/>
      <c r="DG1860"/>
      <c r="DH1860"/>
      <c r="DI1860"/>
      <c r="DJ1860"/>
      <c r="DK1860"/>
      <c r="DL1860"/>
      <c r="DM1860"/>
      <c r="DN1860"/>
      <c r="DO1860"/>
      <c r="DP1860"/>
      <c r="DQ1860"/>
      <c r="DR1860"/>
      <c r="DS1860"/>
      <c r="DT1860"/>
      <c r="DU1860"/>
      <c r="DV1860"/>
      <c r="DW1860"/>
      <c r="DX1860"/>
      <c r="DY1860"/>
      <c r="DZ1860"/>
      <c r="EA1860"/>
      <c r="EB1860"/>
      <c r="EC1860"/>
      <c r="ED1860"/>
      <c r="EE1860"/>
      <c r="EF1860"/>
      <c r="EG1860"/>
      <c r="EH1860"/>
      <c r="EI1860"/>
      <c r="EJ1860"/>
      <c r="EK1860"/>
      <c r="EL1860"/>
      <c r="EM1860"/>
      <c r="EN1860"/>
      <c r="EO1860"/>
      <c r="EP1860"/>
      <c r="EQ1860"/>
      <c r="ER1860"/>
      <c r="ES1860"/>
    </row>
    <row r="1861" spans="1:149">
      <c r="A1861"/>
      <c r="B1861"/>
      <c r="C1861"/>
      <c r="D1861"/>
      <c r="E1861"/>
      <c r="F1861"/>
      <c r="G1861"/>
      <c r="H1861"/>
      <c r="I1861"/>
      <c r="J1861"/>
      <c r="K1861"/>
      <c r="L1861"/>
      <c r="M1861"/>
      <c r="N1861"/>
      <c r="O1861"/>
      <c r="P1861"/>
      <c r="Q1861"/>
      <c r="R1861"/>
      <c r="S1861"/>
      <c r="T1861"/>
      <c r="U1861"/>
      <c r="V1861"/>
      <c r="W1861"/>
      <c r="X1861"/>
      <c r="Y1861"/>
      <c r="Z1861"/>
      <c r="AA1861"/>
      <c r="AB1861"/>
      <c r="AC1861"/>
      <c r="AD1861"/>
      <c r="AE1861"/>
      <c r="AF1861"/>
      <c r="AG1861"/>
      <c r="AH1861"/>
      <c r="AI1861"/>
      <c r="AJ1861"/>
      <c r="AK1861"/>
      <c r="AL1861"/>
      <c r="AM1861"/>
      <c r="AN1861"/>
      <c r="AO1861"/>
      <c r="AP1861"/>
      <c r="AQ1861"/>
      <c r="AR1861"/>
      <c r="AS1861"/>
      <c r="AT1861"/>
      <c r="AU1861"/>
      <c r="AV1861"/>
      <c r="AW1861"/>
      <c r="AX1861"/>
      <c r="AY1861"/>
      <c r="AZ1861"/>
      <c r="BA1861"/>
      <c r="BB1861"/>
      <c r="BC1861"/>
      <c r="BD1861"/>
      <c r="BE1861"/>
      <c r="BF1861"/>
      <c r="BG1861"/>
      <c r="BH1861"/>
      <c r="BI1861"/>
      <c r="BJ1861"/>
      <c r="BK1861"/>
      <c r="BL1861"/>
      <c r="BM1861"/>
      <c r="BN1861"/>
      <c r="BO1861"/>
      <c r="BP1861"/>
      <c r="BQ1861"/>
      <c r="BR1861"/>
      <c r="BS1861"/>
      <c r="BT1861"/>
      <c r="BU1861"/>
      <c r="BV1861"/>
      <c r="BW1861"/>
      <c r="BX1861"/>
      <c r="BY1861"/>
      <c r="BZ1861"/>
      <c r="CA1861"/>
      <c r="CB1861"/>
      <c r="CC1861"/>
      <c r="CD1861"/>
      <c r="CE1861"/>
      <c r="CF1861"/>
      <c r="CG1861"/>
      <c r="CH1861"/>
      <c r="CI1861"/>
      <c r="CJ1861"/>
      <c r="CK1861"/>
      <c r="CL1861"/>
      <c r="CM1861"/>
      <c r="CN1861"/>
      <c r="CO1861"/>
      <c r="CP1861"/>
      <c r="CQ1861"/>
      <c r="CR1861"/>
      <c r="CS1861"/>
      <c r="CT1861"/>
      <c r="CU1861"/>
      <c r="CV1861"/>
      <c r="CW1861"/>
      <c r="CX1861"/>
      <c r="CY1861"/>
      <c r="CZ1861"/>
      <c r="DA1861"/>
      <c r="DB1861"/>
      <c r="DC1861"/>
      <c r="DD1861"/>
      <c r="DE1861"/>
      <c r="DF1861"/>
      <c r="DG1861"/>
      <c r="DH1861"/>
      <c r="DI1861"/>
      <c r="DJ1861"/>
      <c r="DK1861"/>
      <c r="DL1861"/>
      <c r="DM1861"/>
      <c r="DN1861"/>
      <c r="DO1861"/>
      <c r="DP1861"/>
      <c r="DQ1861"/>
      <c r="DR1861"/>
      <c r="DS1861"/>
      <c r="DT1861"/>
      <c r="DU1861"/>
      <c r="DV1861"/>
      <c r="DW1861"/>
      <c r="DX1861"/>
      <c r="DY1861"/>
      <c r="DZ1861"/>
      <c r="EA1861"/>
      <c r="EB1861"/>
      <c r="EC1861"/>
      <c r="ED1861"/>
      <c r="EE1861"/>
      <c r="EF1861"/>
      <c r="EG1861"/>
      <c r="EH1861"/>
      <c r="EI1861"/>
      <c r="EJ1861"/>
      <c r="EK1861"/>
      <c r="EL1861"/>
      <c r="EM1861"/>
      <c r="EN1861"/>
      <c r="EO1861"/>
      <c r="EP1861"/>
      <c r="EQ1861"/>
      <c r="ER1861"/>
      <c r="ES1861"/>
    </row>
    <row r="1862" spans="1:149">
      <c r="A1862"/>
      <c r="B1862"/>
      <c r="C1862"/>
      <c r="D1862"/>
      <c r="E1862"/>
      <c r="F1862"/>
      <c r="G1862"/>
      <c r="H1862"/>
      <c r="I1862"/>
      <c r="J1862"/>
      <c r="K1862"/>
      <c r="L1862"/>
      <c r="M1862"/>
      <c r="N1862"/>
      <c r="O1862"/>
      <c r="P1862"/>
      <c r="Q1862"/>
      <c r="R1862"/>
      <c r="S1862"/>
      <c r="T1862"/>
      <c r="U1862"/>
      <c r="V1862"/>
      <c r="W1862"/>
      <c r="X1862"/>
      <c r="Y1862"/>
      <c r="Z1862"/>
      <c r="AA1862"/>
      <c r="AB1862"/>
      <c r="AC1862"/>
      <c r="AD1862"/>
      <c r="AE1862"/>
      <c r="AF1862"/>
      <c r="AG1862"/>
      <c r="AH1862"/>
      <c r="AI1862"/>
      <c r="AJ1862"/>
      <c r="AK1862"/>
      <c r="AL1862"/>
      <c r="AM1862"/>
      <c r="AN1862"/>
      <c r="AO1862"/>
      <c r="AP1862"/>
      <c r="AQ1862"/>
      <c r="AR1862"/>
      <c r="AS1862"/>
      <c r="AT1862"/>
      <c r="AU1862"/>
      <c r="AV1862"/>
      <c r="AW1862"/>
      <c r="AX1862"/>
      <c r="AY1862"/>
      <c r="AZ1862"/>
      <c r="BA1862"/>
      <c r="BB1862"/>
      <c r="BC1862"/>
      <c r="BD1862"/>
      <c r="BE1862"/>
      <c r="BF1862"/>
      <c r="BG1862"/>
      <c r="BH1862"/>
      <c r="BI1862"/>
      <c r="BJ1862"/>
      <c r="BK1862"/>
      <c r="BL1862"/>
      <c r="BM1862"/>
      <c r="BN1862"/>
      <c r="BO1862"/>
      <c r="BP1862"/>
      <c r="BQ1862"/>
      <c r="BR1862"/>
      <c r="BS1862"/>
      <c r="BT1862"/>
      <c r="BU1862"/>
      <c r="BV1862"/>
      <c r="BW1862"/>
      <c r="BX1862"/>
      <c r="BY1862"/>
      <c r="BZ1862"/>
      <c r="CA1862"/>
      <c r="CB1862"/>
      <c r="CC1862"/>
      <c r="CD1862"/>
      <c r="CE1862"/>
      <c r="CF1862"/>
      <c r="CG1862"/>
      <c r="CH1862"/>
      <c r="CI1862"/>
      <c r="CJ1862"/>
      <c r="CK1862"/>
      <c r="CL1862"/>
      <c r="CM1862"/>
      <c r="CN1862"/>
      <c r="CO1862"/>
      <c r="CP1862"/>
      <c r="CQ1862"/>
      <c r="CR1862"/>
      <c r="CS1862"/>
      <c r="CT1862"/>
      <c r="CU1862"/>
      <c r="CV1862"/>
      <c r="CW1862"/>
      <c r="CX1862"/>
      <c r="CY1862"/>
      <c r="CZ1862"/>
      <c r="DA1862"/>
      <c r="DB1862"/>
      <c r="DC1862"/>
      <c r="DD1862"/>
      <c r="DE1862"/>
      <c r="DF1862"/>
      <c r="DG1862"/>
      <c r="DH1862"/>
      <c r="DI1862"/>
      <c r="DJ1862"/>
      <c r="DK1862"/>
      <c r="DL1862"/>
      <c r="DM1862"/>
      <c r="DN1862"/>
      <c r="DO1862"/>
      <c r="DP1862"/>
      <c r="DQ1862"/>
      <c r="DR1862"/>
      <c r="DS1862"/>
      <c r="DT1862"/>
      <c r="DU1862"/>
      <c r="DV1862"/>
      <c r="DW1862"/>
      <c r="DX1862"/>
      <c r="DY1862"/>
      <c r="DZ1862"/>
      <c r="EA1862"/>
      <c r="EB1862"/>
      <c r="EC1862"/>
      <c r="ED1862"/>
      <c r="EE1862"/>
      <c r="EF1862"/>
      <c r="EG1862"/>
      <c r="EH1862"/>
      <c r="EI1862"/>
      <c r="EJ1862"/>
      <c r="EK1862"/>
      <c r="EL1862"/>
      <c r="EM1862"/>
      <c r="EN1862"/>
      <c r="EO1862"/>
      <c r="EP1862"/>
      <c r="EQ1862"/>
      <c r="ER1862"/>
      <c r="ES1862"/>
    </row>
    <row r="1863" spans="1:149">
      <c r="A1863"/>
      <c r="B1863"/>
      <c r="C1863"/>
      <c r="D1863"/>
      <c r="E1863"/>
      <c r="F1863"/>
      <c r="G1863"/>
      <c r="H1863"/>
      <c r="I1863"/>
      <c r="J1863"/>
      <c r="K1863"/>
      <c r="L1863"/>
      <c r="M1863"/>
      <c r="N1863"/>
      <c r="O1863"/>
      <c r="P1863"/>
      <c r="Q1863"/>
      <c r="R1863"/>
      <c r="S1863"/>
      <c r="T1863"/>
      <c r="U1863"/>
      <c r="V1863"/>
      <c r="W1863"/>
      <c r="X1863"/>
      <c r="Y1863"/>
      <c r="Z1863"/>
      <c r="AA1863"/>
      <c r="AB1863"/>
      <c r="AC1863"/>
      <c r="AD1863"/>
      <c r="AE1863"/>
      <c r="AF1863"/>
      <c r="AG1863"/>
      <c r="AH1863"/>
      <c r="AI1863"/>
      <c r="AJ1863"/>
      <c r="AK1863"/>
      <c r="AL1863"/>
      <c r="AM1863"/>
      <c r="AN1863"/>
      <c r="AO1863"/>
      <c r="AP1863"/>
      <c r="AQ1863"/>
      <c r="AR1863"/>
      <c r="AS1863"/>
      <c r="AT1863"/>
      <c r="AU1863"/>
      <c r="AV1863"/>
      <c r="AW1863"/>
      <c r="AX1863"/>
      <c r="AY1863"/>
      <c r="AZ1863"/>
      <c r="BA1863"/>
      <c r="BB1863"/>
      <c r="BC1863"/>
      <c r="BD1863"/>
      <c r="BE1863"/>
      <c r="BF1863"/>
      <c r="BG1863"/>
      <c r="BH1863"/>
      <c r="BI1863"/>
      <c r="BJ1863"/>
      <c r="BK1863"/>
      <c r="BL1863"/>
      <c r="BM1863"/>
      <c r="BN1863"/>
      <c r="BO1863"/>
      <c r="BP1863"/>
      <c r="BQ1863"/>
      <c r="BR1863"/>
      <c r="BS1863"/>
      <c r="BT1863"/>
      <c r="BU1863"/>
      <c r="BV1863"/>
      <c r="BW1863"/>
      <c r="BX1863"/>
      <c r="BY1863"/>
      <c r="BZ1863"/>
      <c r="CA1863"/>
      <c r="CB1863"/>
      <c r="CC1863"/>
      <c r="CD1863"/>
      <c r="CE1863"/>
      <c r="CF1863"/>
      <c r="CG1863"/>
      <c r="CH1863"/>
      <c r="CI1863"/>
      <c r="CJ1863"/>
      <c r="CK1863"/>
      <c r="CL1863"/>
      <c r="CM1863"/>
      <c r="CN1863"/>
      <c r="CO1863"/>
      <c r="CP1863"/>
      <c r="CQ1863"/>
      <c r="CR1863"/>
      <c r="CS1863"/>
      <c r="CT1863"/>
      <c r="CU1863"/>
      <c r="CV1863"/>
      <c r="CW1863"/>
      <c r="CX1863"/>
      <c r="CY1863"/>
      <c r="CZ1863"/>
      <c r="DA1863"/>
      <c r="DB1863"/>
      <c r="DC1863"/>
      <c r="DD1863"/>
      <c r="DE1863"/>
      <c r="DF1863"/>
      <c r="DG1863"/>
      <c r="DH1863"/>
      <c r="DI1863"/>
      <c r="DJ1863"/>
      <c r="DK1863"/>
      <c r="DL1863"/>
      <c r="DM1863"/>
      <c r="DN1863"/>
      <c r="DO1863"/>
      <c r="DP1863"/>
      <c r="DQ1863"/>
      <c r="DR1863"/>
      <c r="DS1863"/>
      <c r="DT1863"/>
      <c r="DU1863"/>
      <c r="DV1863"/>
      <c r="DW1863"/>
      <c r="DX1863"/>
      <c r="DY1863"/>
      <c r="DZ1863"/>
      <c r="EA1863"/>
      <c r="EB1863"/>
      <c r="EC1863"/>
      <c r="ED1863"/>
      <c r="EE1863"/>
      <c r="EF1863"/>
      <c r="EG1863"/>
      <c r="EH1863"/>
      <c r="EI1863"/>
      <c r="EJ1863"/>
      <c r="EK1863"/>
      <c r="EL1863"/>
      <c r="EM1863"/>
      <c r="EN1863"/>
      <c r="EO1863"/>
      <c r="EP1863"/>
      <c r="EQ1863"/>
      <c r="ER1863"/>
      <c r="ES1863"/>
    </row>
    <row r="1864" spans="1:149">
      <c r="A1864"/>
      <c r="B1864"/>
      <c r="C1864"/>
      <c r="D1864"/>
      <c r="E1864"/>
      <c r="F1864"/>
      <c r="G1864"/>
      <c r="H1864"/>
      <c r="I1864"/>
      <c r="J1864"/>
      <c r="K1864"/>
      <c r="L1864"/>
      <c r="M1864"/>
      <c r="N1864"/>
      <c r="O1864"/>
      <c r="P1864"/>
      <c r="Q1864"/>
      <c r="R1864"/>
      <c r="S1864"/>
      <c r="T1864"/>
      <c r="U1864"/>
      <c r="V1864"/>
      <c r="W1864"/>
      <c r="X1864"/>
      <c r="Y1864"/>
      <c r="Z1864"/>
      <c r="AA1864"/>
      <c r="AB1864"/>
      <c r="AC1864"/>
      <c r="AD1864"/>
      <c r="AE1864"/>
      <c r="AF1864"/>
      <c r="AG1864"/>
      <c r="AH1864"/>
      <c r="AI1864"/>
      <c r="AJ1864"/>
      <c r="AK1864"/>
      <c r="AL1864"/>
      <c r="AM1864"/>
      <c r="AN1864"/>
      <c r="AO1864"/>
      <c r="AP1864"/>
      <c r="AQ1864"/>
      <c r="AR1864"/>
      <c r="AS1864"/>
      <c r="AT1864"/>
      <c r="AU1864"/>
      <c r="AV1864"/>
      <c r="AW1864"/>
      <c r="AX1864"/>
      <c r="AY1864"/>
      <c r="AZ1864"/>
      <c r="BA1864"/>
      <c r="BB1864"/>
      <c r="BC1864"/>
      <c r="BD1864"/>
      <c r="BE1864"/>
      <c r="BF1864"/>
      <c r="BG1864"/>
      <c r="BH1864"/>
      <c r="BI1864"/>
      <c r="BJ1864"/>
      <c r="BK1864"/>
      <c r="BL1864"/>
      <c r="BM1864"/>
      <c r="BN1864"/>
      <c r="BO1864"/>
      <c r="BP1864"/>
      <c r="BQ1864"/>
      <c r="BR1864"/>
      <c r="BS1864"/>
      <c r="BT1864"/>
      <c r="BU1864"/>
      <c r="BV1864"/>
      <c r="BW1864"/>
      <c r="BX1864"/>
      <c r="BY1864"/>
      <c r="BZ1864"/>
      <c r="CA1864"/>
      <c r="CB1864"/>
      <c r="CC1864"/>
      <c r="CD1864"/>
      <c r="CE1864"/>
      <c r="CF1864"/>
      <c r="CG1864"/>
      <c r="CH1864"/>
      <c r="CI1864"/>
      <c r="CJ1864"/>
      <c r="CK1864"/>
      <c r="CL1864"/>
      <c r="CM1864"/>
      <c r="CN1864"/>
      <c r="CO1864"/>
      <c r="CP1864"/>
      <c r="CQ1864"/>
      <c r="CR1864"/>
      <c r="CS1864"/>
      <c r="CT1864"/>
      <c r="CU1864"/>
      <c r="CV1864"/>
      <c r="CW1864"/>
      <c r="CX1864"/>
      <c r="CY1864"/>
      <c r="CZ1864"/>
      <c r="DA1864"/>
      <c r="DB1864"/>
      <c r="DC1864"/>
      <c r="DD1864"/>
      <c r="DE1864"/>
      <c r="DF1864"/>
      <c r="DG1864"/>
      <c r="DH1864"/>
      <c r="DI1864"/>
      <c r="DJ1864"/>
      <c r="DK1864"/>
      <c r="DL1864"/>
      <c r="DM1864"/>
      <c r="DN1864"/>
      <c r="DO1864"/>
      <c r="DP1864"/>
      <c r="DQ1864"/>
      <c r="DR1864"/>
      <c r="DS1864"/>
      <c r="DT1864"/>
      <c r="DU1864"/>
      <c r="DV1864"/>
      <c r="DW1864"/>
      <c r="DX1864"/>
      <c r="DY1864"/>
      <c r="DZ1864"/>
      <c r="EA1864"/>
      <c r="EB1864"/>
      <c r="EC1864"/>
      <c r="ED1864"/>
      <c r="EE1864"/>
      <c r="EF1864"/>
      <c r="EG1864"/>
      <c r="EH1864"/>
      <c r="EI1864"/>
      <c r="EJ1864"/>
      <c r="EK1864"/>
      <c r="EL1864"/>
      <c r="EM1864"/>
      <c r="EN1864"/>
      <c r="EO1864"/>
      <c r="EP1864"/>
      <c r="EQ1864"/>
      <c r="ER1864"/>
      <c r="ES1864"/>
    </row>
    <row r="1865" spans="1:149">
      <c r="A1865"/>
      <c r="B1865"/>
      <c r="C1865"/>
      <c r="D1865"/>
      <c r="E1865"/>
      <c r="F1865"/>
      <c r="G1865"/>
      <c r="H1865"/>
      <c r="I1865"/>
      <c r="J1865"/>
      <c r="K1865"/>
      <c r="L1865"/>
      <c r="M1865"/>
      <c r="N1865"/>
      <c r="O1865"/>
      <c r="P1865"/>
      <c r="Q1865"/>
      <c r="R1865"/>
      <c r="S1865"/>
      <c r="T1865"/>
      <c r="U1865"/>
      <c r="V1865"/>
      <c r="W1865"/>
      <c r="X1865"/>
      <c r="Y1865"/>
      <c r="Z1865"/>
      <c r="AA1865"/>
      <c r="AB1865"/>
      <c r="AC1865"/>
      <c r="AD1865"/>
      <c r="AE1865"/>
      <c r="AF1865"/>
      <c r="AG1865"/>
      <c r="AH1865"/>
      <c r="AI1865"/>
      <c r="AJ1865"/>
      <c r="AK1865"/>
      <c r="AL1865"/>
      <c r="AM1865"/>
      <c r="AN1865"/>
      <c r="AO1865"/>
      <c r="AP1865"/>
      <c r="AQ1865"/>
      <c r="AR1865"/>
      <c r="AS1865"/>
      <c r="AT1865"/>
      <c r="AU1865"/>
      <c r="AV1865"/>
      <c r="AW1865"/>
      <c r="AX1865"/>
      <c r="AY1865"/>
      <c r="AZ1865"/>
      <c r="BA1865"/>
      <c r="BB1865"/>
      <c r="BC1865"/>
      <c r="BD1865"/>
      <c r="BE1865"/>
      <c r="BF1865"/>
      <c r="BG1865"/>
      <c r="BH1865"/>
      <c r="BI1865"/>
      <c r="BJ1865"/>
      <c r="BK1865"/>
      <c r="BL1865"/>
      <c r="BM1865"/>
      <c r="BN1865"/>
      <c r="BO1865"/>
      <c r="BP1865"/>
      <c r="BQ1865"/>
      <c r="BR1865"/>
      <c r="BS1865"/>
      <c r="BT1865"/>
      <c r="BU1865"/>
      <c r="BV1865"/>
      <c r="BW1865"/>
      <c r="BX1865"/>
      <c r="BY1865"/>
      <c r="BZ1865"/>
      <c r="CA1865"/>
      <c r="CB1865"/>
      <c r="CC1865"/>
      <c r="CD1865"/>
      <c r="CE1865"/>
      <c r="CF1865"/>
      <c r="CG1865"/>
      <c r="CH1865"/>
      <c r="CI1865"/>
      <c r="CJ1865"/>
      <c r="CK1865"/>
      <c r="CL1865"/>
      <c r="CM1865"/>
      <c r="CN1865"/>
      <c r="CO1865"/>
      <c r="CP1865"/>
      <c r="CQ1865"/>
      <c r="CR1865"/>
      <c r="CS1865"/>
      <c r="CT1865"/>
      <c r="CU1865"/>
      <c r="CV1865"/>
      <c r="CW1865"/>
      <c r="CX1865"/>
      <c r="CY1865"/>
      <c r="CZ1865"/>
      <c r="DA1865"/>
      <c r="DB1865"/>
      <c r="DC1865"/>
      <c r="DD1865"/>
      <c r="DE1865"/>
      <c r="DF1865"/>
      <c r="DG1865"/>
      <c r="DH1865"/>
      <c r="DI1865"/>
      <c r="DJ1865"/>
      <c r="DK1865"/>
      <c r="DL1865"/>
      <c r="DM1865"/>
      <c r="DN1865"/>
      <c r="DO1865"/>
      <c r="DP1865"/>
      <c r="DQ1865"/>
      <c r="DR1865"/>
      <c r="DS1865"/>
      <c r="DT1865"/>
      <c r="DU1865"/>
      <c r="DV1865"/>
      <c r="DW1865"/>
      <c r="DX1865"/>
      <c r="DY1865"/>
      <c r="DZ1865"/>
      <c r="EA1865"/>
      <c r="EB1865"/>
      <c r="EC1865"/>
      <c r="ED1865"/>
      <c r="EE1865"/>
      <c r="EF1865"/>
      <c r="EG1865"/>
      <c r="EH1865"/>
      <c r="EI1865"/>
      <c r="EJ1865"/>
      <c r="EK1865"/>
      <c r="EL1865"/>
      <c r="EM1865"/>
      <c r="EN1865"/>
      <c r="EO1865"/>
      <c r="EP1865"/>
      <c r="EQ1865"/>
      <c r="ER1865"/>
      <c r="ES1865"/>
    </row>
    <row r="1866" spans="1:149">
      <c r="A1866"/>
      <c r="B1866"/>
      <c r="C1866"/>
      <c r="D1866"/>
      <c r="E1866"/>
      <c r="F1866"/>
      <c r="G1866"/>
      <c r="H1866"/>
      <c r="I1866"/>
      <c r="J1866"/>
      <c r="K1866"/>
      <c r="L1866"/>
      <c r="M1866"/>
      <c r="N1866"/>
      <c r="O1866"/>
      <c r="P1866"/>
      <c r="Q1866"/>
      <c r="R1866"/>
      <c r="S1866"/>
      <c r="T1866"/>
      <c r="U1866"/>
      <c r="V1866"/>
      <c r="W1866"/>
      <c r="X1866"/>
      <c r="Y1866"/>
      <c r="Z1866"/>
      <c r="AA1866"/>
      <c r="AB1866"/>
      <c r="AC1866"/>
      <c r="AD1866"/>
      <c r="AE1866"/>
      <c r="AF1866"/>
      <c r="AG1866"/>
      <c r="AH1866"/>
      <c r="AI1866"/>
      <c r="AJ1866"/>
      <c r="AK1866"/>
      <c r="AL1866"/>
      <c r="AM1866"/>
      <c r="AN1866"/>
      <c r="AO1866"/>
      <c r="AP1866"/>
      <c r="AQ1866"/>
      <c r="AR1866"/>
      <c r="AS1866"/>
      <c r="AT1866"/>
      <c r="AU1866"/>
      <c r="AV1866"/>
      <c r="AW1866"/>
      <c r="AX1866"/>
      <c r="AY1866"/>
      <c r="AZ1866"/>
      <c r="BA1866"/>
      <c r="BB1866"/>
      <c r="BC1866"/>
      <c r="BD1866"/>
      <c r="BE1866"/>
      <c r="BF1866"/>
      <c r="BG1866"/>
      <c r="BH1866"/>
      <c r="BI1866"/>
      <c r="BJ1866"/>
      <c r="BK1866"/>
      <c r="BL1866"/>
      <c r="BM1866"/>
      <c r="BN1866"/>
      <c r="BO1866"/>
      <c r="BP1866"/>
      <c r="BQ1866"/>
      <c r="BR1866"/>
      <c r="BS1866"/>
      <c r="BT1866"/>
      <c r="BU1866"/>
      <c r="BV1866"/>
      <c r="BW1866"/>
      <c r="BX1866"/>
      <c r="BY1866"/>
      <c r="BZ1866"/>
      <c r="CA1866"/>
      <c r="CB1866"/>
      <c r="CC1866"/>
      <c r="CD1866"/>
      <c r="CE1866"/>
      <c r="CF1866"/>
      <c r="CG1866"/>
      <c r="CH1866"/>
      <c r="CI1866"/>
      <c r="CJ1866"/>
      <c r="CK1866"/>
      <c r="CL1866"/>
      <c r="CM1866"/>
      <c r="CN1866"/>
      <c r="CO1866"/>
      <c r="CP1866"/>
      <c r="CQ1866"/>
      <c r="CR1866"/>
      <c r="CS1866"/>
      <c r="CT1866"/>
      <c r="CU1866"/>
      <c r="CV1866"/>
      <c r="CW1866"/>
      <c r="CX1866"/>
      <c r="CY1866"/>
      <c r="CZ1866"/>
      <c r="DA1866"/>
      <c r="DB1866"/>
      <c r="DC1866"/>
      <c r="DD1866"/>
      <c r="DE1866"/>
      <c r="DF1866"/>
      <c r="DG1866"/>
      <c r="DH1866"/>
      <c r="DI1866"/>
      <c r="DJ1866"/>
      <c r="DK1866"/>
      <c r="DL1866"/>
      <c r="DM1866"/>
      <c r="DN1866"/>
      <c r="DO1866"/>
      <c r="DP1866"/>
      <c r="DQ1866"/>
      <c r="DR1866"/>
      <c r="DS1866"/>
      <c r="DT1866"/>
      <c r="DU1866"/>
      <c r="DV1866"/>
      <c r="DW1866"/>
      <c r="DX1866"/>
      <c r="DY1866"/>
      <c r="DZ1866"/>
      <c r="EA1866"/>
      <c r="EB1866"/>
      <c r="EC1866"/>
      <c r="ED1866"/>
      <c r="EE1866"/>
      <c r="EF1866"/>
      <c r="EG1866"/>
      <c r="EH1866"/>
      <c r="EI1866"/>
      <c r="EJ1866"/>
      <c r="EK1866"/>
      <c r="EL1866"/>
      <c r="EM1866"/>
      <c r="EN1866"/>
      <c r="EO1866"/>
      <c r="EP1866"/>
      <c r="EQ1866"/>
      <c r="ER1866"/>
      <c r="ES1866"/>
    </row>
    <row r="1867" spans="1:149">
      <c r="A1867"/>
      <c r="B1867"/>
      <c r="C1867"/>
      <c r="D1867"/>
      <c r="E1867"/>
      <c r="F1867"/>
      <c r="G1867"/>
      <c r="H1867"/>
      <c r="I1867"/>
      <c r="J1867"/>
      <c r="K1867"/>
      <c r="L1867"/>
      <c r="M1867"/>
      <c r="N1867"/>
      <c r="O1867"/>
      <c r="P1867"/>
      <c r="Q1867"/>
      <c r="R1867"/>
      <c r="S1867"/>
      <c r="T1867"/>
      <c r="U1867"/>
      <c r="V1867"/>
      <c r="W1867"/>
      <c r="X1867"/>
      <c r="Y1867"/>
      <c r="Z1867"/>
      <c r="AA1867"/>
      <c r="AB1867"/>
      <c r="AC1867"/>
      <c r="AD1867"/>
      <c r="AE1867"/>
      <c r="AF1867"/>
      <c r="AG1867"/>
      <c r="AH1867"/>
      <c r="AI1867"/>
      <c r="AJ1867"/>
      <c r="AK1867"/>
      <c r="AL1867"/>
      <c r="AM1867"/>
      <c r="AN1867"/>
      <c r="AO1867"/>
      <c r="AP1867"/>
      <c r="AQ1867"/>
      <c r="AR1867"/>
      <c r="AS1867"/>
      <c r="AT1867"/>
      <c r="AU1867"/>
      <c r="AV1867"/>
      <c r="AW1867"/>
      <c r="AX1867"/>
      <c r="AY1867"/>
      <c r="AZ1867"/>
      <c r="BA1867"/>
      <c r="BB1867"/>
      <c r="BC1867"/>
      <c r="BD1867"/>
      <c r="BE1867"/>
      <c r="BF1867"/>
      <c r="BG1867"/>
      <c r="BH1867"/>
      <c r="BI1867"/>
      <c r="BJ1867"/>
      <c r="BK1867"/>
      <c r="BL1867"/>
      <c r="BM1867"/>
      <c r="BN1867"/>
      <c r="BO1867"/>
      <c r="BP1867"/>
      <c r="BQ1867"/>
      <c r="BR1867"/>
      <c r="BS1867"/>
      <c r="BT1867"/>
      <c r="BU1867"/>
      <c r="BV1867"/>
      <c r="BW1867"/>
      <c r="BX1867"/>
      <c r="BY1867"/>
      <c r="BZ1867"/>
      <c r="CA1867"/>
      <c r="CB1867"/>
      <c r="CC1867"/>
      <c r="CD1867"/>
      <c r="CE1867"/>
      <c r="CF1867"/>
      <c r="CG1867"/>
      <c r="CH1867"/>
      <c r="CI1867"/>
      <c r="CJ1867"/>
      <c r="CK1867"/>
      <c r="CL1867"/>
      <c r="CM1867"/>
      <c r="CN1867"/>
      <c r="CO1867"/>
      <c r="CP1867"/>
      <c r="CQ1867"/>
      <c r="CR1867"/>
      <c r="CS1867"/>
      <c r="CT1867"/>
      <c r="CU1867"/>
      <c r="CV1867"/>
      <c r="CW1867"/>
      <c r="CX1867"/>
      <c r="CY1867"/>
      <c r="CZ1867"/>
      <c r="DA1867"/>
      <c r="DB1867"/>
      <c r="DC1867"/>
      <c r="DD1867"/>
      <c r="DE1867"/>
      <c r="DF1867"/>
      <c r="DG1867"/>
      <c r="DH1867"/>
      <c r="DI1867"/>
      <c r="DJ1867"/>
      <c r="DK1867"/>
      <c r="DL1867"/>
      <c r="DM1867"/>
      <c r="DN1867"/>
      <c r="DO1867"/>
      <c r="DP1867"/>
      <c r="DQ1867"/>
      <c r="DR1867"/>
      <c r="DS1867"/>
      <c r="DT1867"/>
      <c r="DU1867"/>
      <c r="DV1867"/>
      <c r="DW1867"/>
      <c r="DX1867"/>
      <c r="DY1867"/>
      <c r="DZ1867"/>
      <c r="EA1867"/>
      <c r="EB1867"/>
      <c r="EC1867"/>
      <c r="ED1867"/>
      <c r="EE1867"/>
      <c r="EF1867"/>
      <c r="EG1867"/>
      <c r="EH1867"/>
      <c r="EI1867"/>
      <c r="EJ1867"/>
      <c r="EK1867"/>
      <c r="EL1867"/>
      <c r="EM1867"/>
      <c r="EN1867"/>
      <c r="EO1867"/>
      <c r="EP1867"/>
      <c r="EQ1867"/>
      <c r="ER1867"/>
      <c r="ES1867"/>
    </row>
    <row r="1868" spans="1:149">
      <c r="A1868"/>
      <c r="B1868"/>
      <c r="C1868"/>
      <c r="D1868"/>
      <c r="E1868"/>
      <c r="F1868"/>
      <c r="G1868"/>
      <c r="H1868"/>
      <c r="I1868"/>
      <c r="J1868"/>
      <c r="K1868"/>
      <c r="L1868"/>
      <c r="M1868"/>
      <c r="N1868"/>
      <c r="O1868"/>
      <c r="P1868"/>
      <c r="Q1868"/>
      <c r="R1868"/>
      <c r="S1868"/>
      <c r="T1868"/>
      <c r="U1868"/>
      <c r="V1868"/>
      <c r="W1868"/>
      <c r="X1868"/>
      <c r="Y1868"/>
      <c r="Z1868"/>
      <c r="AA1868"/>
      <c r="AB1868"/>
      <c r="AC1868"/>
      <c r="AD1868"/>
      <c r="AE1868"/>
      <c r="AF1868"/>
      <c r="AG1868"/>
      <c r="AH1868"/>
      <c r="AI1868"/>
      <c r="AJ1868"/>
      <c r="AK1868"/>
      <c r="AL1868"/>
      <c r="AM1868"/>
      <c r="AN1868"/>
      <c r="AO1868"/>
      <c r="AP1868"/>
      <c r="AQ1868"/>
      <c r="AR1868"/>
      <c r="AS1868"/>
      <c r="AT1868"/>
      <c r="AU1868"/>
      <c r="AV1868"/>
      <c r="AW1868"/>
      <c r="AX1868"/>
      <c r="AY1868"/>
      <c r="AZ1868"/>
      <c r="BA1868"/>
      <c r="BB1868"/>
      <c r="BC1868"/>
      <c r="BD1868"/>
      <c r="BE1868"/>
      <c r="BF1868"/>
      <c r="BG1868"/>
      <c r="BH1868"/>
      <c r="BI1868"/>
      <c r="BJ1868"/>
      <c r="BK1868"/>
      <c r="BL1868"/>
      <c r="BM1868"/>
      <c r="BN1868"/>
      <c r="BO1868"/>
      <c r="BP1868"/>
      <c r="BQ1868"/>
      <c r="BR1868"/>
      <c r="BS1868"/>
      <c r="BT1868"/>
      <c r="BU1868"/>
      <c r="BV1868"/>
      <c r="BW1868"/>
      <c r="BX1868"/>
      <c r="BY1868"/>
      <c r="BZ1868"/>
      <c r="CA1868"/>
      <c r="CB1868"/>
      <c r="CC1868"/>
      <c r="CD1868"/>
      <c r="CE1868"/>
      <c r="CF1868"/>
      <c r="CG1868"/>
      <c r="CH1868"/>
      <c r="CI1868"/>
      <c r="CJ1868"/>
      <c r="CK1868"/>
      <c r="CL1868"/>
      <c r="CM1868"/>
      <c r="CN1868"/>
      <c r="CO1868"/>
      <c r="CP1868"/>
      <c r="CQ1868"/>
      <c r="CR1868"/>
      <c r="CS1868"/>
      <c r="CT1868"/>
      <c r="CU1868"/>
      <c r="CV1868"/>
      <c r="CW1868"/>
      <c r="CX1868"/>
      <c r="CY1868"/>
      <c r="CZ1868"/>
      <c r="DA1868"/>
      <c r="DB1868"/>
      <c r="DC1868"/>
      <c r="DD1868"/>
      <c r="DE1868"/>
      <c r="DF1868"/>
      <c r="DG1868"/>
      <c r="DH1868"/>
      <c r="DI1868"/>
      <c r="DJ1868"/>
      <c r="DK1868"/>
      <c r="DL1868"/>
      <c r="DM1868"/>
      <c r="DN1868"/>
      <c r="DO1868"/>
      <c r="DP1868"/>
      <c r="DQ1868"/>
      <c r="DR1868"/>
      <c r="DS1868"/>
      <c r="DT1868"/>
      <c r="DU1868"/>
      <c r="DV1868"/>
      <c r="DW1868"/>
      <c r="DX1868"/>
      <c r="DY1868"/>
      <c r="DZ1868"/>
      <c r="EA1868"/>
      <c r="EB1868"/>
      <c r="EC1868"/>
      <c r="ED1868"/>
      <c r="EE1868"/>
      <c r="EF1868"/>
      <c r="EG1868"/>
      <c r="EH1868"/>
      <c r="EI1868"/>
      <c r="EJ1868"/>
      <c r="EK1868"/>
      <c r="EL1868"/>
      <c r="EM1868"/>
      <c r="EN1868"/>
      <c r="EO1868"/>
      <c r="EP1868"/>
      <c r="EQ1868"/>
      <c r="ER1868"/>
      <c r="ES1868"/>
    </row>
    <row r="1869" spans="1:149">
      <c r="A1869"/>
      <c r="B1869"/>
      <c r="C1869"/>
      <c r="D1869"/>
      <c r="E1869"/>
      <c r="F1869"/>
      <c r="G1869"/>
      <c r="H1869"/>
      <c r="I1869"/>
      <c r="J1869"/>
      <c r="K1869"/>
      <c r="L1869"/>
      <c r="M1869"/>
      <c r="N1869"/>
      <c r="O1869"/>
      <c r="P1869"/>
      <c r="Q1869"/>
      <c r="R1869"/>
      <c r="S1869"/>
      <c r="T1869"/>
      <c r="U1869"/>
      <c r="V1869"/>
      <c r="W1869"/>
      <c r="X1869"/>
      <c r="Y1869"/>
      <c r="Z1869"/>
      <c r="AA1869"/>
      <c r="AB1869"/>
      <c r="AC1869"/>
      <c r="AD1869"/>
      <c r="AE1869"/>
      <c r="AF1869"/>
      <c r="AG1869"/>
      <c r="AH1869"/>
      <c r="AI1869"/>
      <c r="AJ1869"/>
      <c r="AK1869"/>
      <c r="AL1869"/>
      <c r="AM1869"/>
      <c r="AN1869"/>
      <c r="AO1869"/>
      <c r="AP1869"/>
      <c r="AQ1869"/>
      <c r="AR1869"/>
      <c r="AS1869"/>
      <c r="AT1869"/>
      <c r="AU1869"/>
      <c r="AV1869"/>
      <c r="AW1869"/>
      <c r="AX1869"/>
      <c r="AY1869"/>
      <c r="AZ1869"/>
      <c r="BA1869"/>
      <c r="BB1869"/>
      <c r="BC1869"/>
      <c r="BD1869"/>
      <c r="BE1869"/>
      <c r="BF1869"/>
      <c r="BG1869"/>
      <c r="BH1869"/>
      <c r="BI1869"/>
      <c r="BJ1869"/>
      <c r="BK1869"/>
      <c r="BL1869"/>
      <c r="BM1869"/>
      <c r="BN1869"/>
      <c r="BO1869"/>
      <c r="BP1869"/>
      <c r="BQ1869"/>
      <c r="BR1869"/>
      <c r="BS1869"/>
      <c r="BT1869"/>
      <c r="BU1869"/>
      <c r="BV1869"/>
      <c r="BW1869"/>
      <c r="BX1869"/>
      <c r="BY1869"/>
      <c r="BZ1869"/>
      <c r="CA1869"/>
      <c r="CB1869"/>
      <c r="CC1869"/>
      <c r="CD1869"/>
      <c r="CE1869"/>
      <c r="CF1869"/>
      <c r="CG1869"/>
      <c r="CH1869"/>
      <c r="CI1869"/>
      <c r="CJ1869"/>
      <c r="CK1869"/>
      <c r="CL1869"/>
      <c r="CM1869"/>
      <c r="CN1869"/>
      <c r="CO1869"/>
      <c r="CP1869"/>
      <c r="CQ1869"/>
      <c r="CR1869"/>
      <c r="CS1869"/>
      <c r="CT1869"/>
      <c r="CU1869"/>
      <c r="CV1869"/>
      <c r="CW1869"/>
      <c r="CX1869"/>
      <c r="CY1869"/>
      <c r="CZ1869"/>
      <c r="DA1869"/>
      <c r="DB1869"/>
      <c r="DC1869"/>
      <c r="DD1869"/>
      <c r="DE1869"/>
      <c r="DF1869"/>
      <c r="DG1869"/>
      <c r="DH1869"/>
      <c r="DI1869"/>
      <c r="DJ1869"/>
      <c r="DK1869"/>
      <c r="DL1869"/>
      <c r="DM1869"/>
      <c r="DN1869"/>
      <c r="DO1869"/>
      <c r="DP1869"/>
      <c r="DQ1869"/>
      <c r="DR1869"/>
      <c r="DS1869"/>
      <c r="DT1869"/>
      <c r="DU1869"/>
      <c r="DV1869"/>
      <c r="DW1869"/>
      <c r="DX1869"/>
      <c r="DY1869"/>
      <c r="DZ1869"/>
      <c r="EA1869"/>
      <c r="EB1869"/>
      <c r="EC1869"/>
      <c r="ED1869"/>
      <c r="EE1869"/>
      <c r="EF1869"/>
      <c r="EG1869"/>
      <c r="EH1869"/>
      <c r="EI1869"/>
      <c r="EJ1869"/>
      <c r="EK1869"/>
      <c r="EL1869"/>
      <c r="EM1869"/>
      <c r="EN1869"/>
      <c r="EO1869"/>
      <c r="EP1869"/>
      <c r="EQ1869"/>
      <c r="ER1869"/>
      <c r="ES1869"/>
    </row>
    <row r="1870" spans="1:149">
      <c r="A1870"/>
      <c r="B1870"/>
      <c r="C1870"/>
      <c r="D1870"/>
      <c r="E1870"/>
      <c r="F1870"/>
      <c r="G1870"/>
      <c r="H1870"/>
      <c r="I1870"/>
      <c r="J1870"/>
      <c r="K1870"/>
      <c r="L1870"/>
      <c r="M1870"/>
      <c r="N1870"/>
      <c r="O1870"/>
      <c r="P1870"/>
      <c r="Q1870"/>
      <c r="R1870"/>
      <c r="S1870"/>
      <c r="T1870"/>
      <c r="U1870"/>
      <c r="V1870"/>
      <c r="W1870"/>
      <c r="X1870"/>
      <c r="Y1870"/>
      <c r="Z1870"/>
      <c r="AA1870"/>
      <c r="AB1870"/>
      <c r="AC1870"/>
      <c r="AD1870"/>
      <c r="AE1870"/>
      <c r="AF1870"/>
      <c r="AG1870"/>
      <c r="AH1870"/>
      <c r="AI1870"/>
      <c r="AJ1870"/>
      <c r="AK1870"/>
      <c r="AL1870"/>
      <c r="AM1870"/>
      <c r="AN1870"/>
      <c r="AO1870"/>
      <c r="AP1870"/>
      <c r="AQ1870"/>
      <c r="AR1870"/>
      <c r="AS1870"/>
      <c r="AT1870"/>
      <c r="AU1870"/>
      <c r="AV1870"/>
      <c r="AW1870"/>
      <c r="AX1870"/>
      <c r="AY1870"/>
      <c r="AZ1870"/>
      <c r="BA1870"/>
      <c r="BB1870"/>
      <c r="BC1870"/>
      <c r="BD1870"/>
      <c r="BE1870"/>
      <c r="BF1870"/>
      <c r="BG1870"/>
      <c r="BH1870"/>
      <c r="BI1870"/>
      <c r="BJ1870"/>
      <c r="BK1870"/>
      <c r="BL1870"/>
      <c r="BM1870"/>
      <c r="BN1870"/>
      <c r="BO1870"/>
      <c r="BP1870"/>
      <c r="BQ1870"/>
      <c r="BR1870"/>
      <c r="BS1870"/>
      <c r="BT1870"/>
      <c r="BU1870"/>
      <c r="BV1870"/>
      <c r="BW1870"/>
      <c r="BX1870"/>
      <c r="BY1870"/>
      <c r="BZ1870"/>
      <c r="CA1870"/>
      <c r="CB1870"/>
      <c r="CC1870"/>
      <c r="CD1870"/>
      <c r="CE1870"/>
      <c r="CF1870"/>
      <c r="CG1870"/>
      <c r="CH1870"/>
      <c r="CI1870"/>
      <c r="CJ1870"/>
      <c r="CK1870"/>
      <c r="CL1870"/>
      <c r="CM1870"/>
      <c r="CN1870"/>
      <c r="CO1870"/>
      <c r="CP1870"/>
      <c r="CQ1870"/>
      <c r="CR1870"/>
      <c r="CS1870"/>
      <c r="CT1870"/>
      <c r="CU1870"/>
      <c r="CV1870"/>
      <c r="CW1870"/>
      <c r="CX1870"/>
      <c r="CY1870"/>
      <c r="CZ1870"/>
      <c r="DA1870"/>
      <c r="DB1870"/>
      <c r="DC1870"/>
      <c r="DD1870"/>
      <c r="DE1870"/>
      <c r="DF1870"/>
      <c r="DG1870"/>
      <c r="DH1870"/>
      <c r="DI1870"/>
      <c r="DJ1870"/>
      <c r="DK1870"/>
      <c r="DL1870"/>
      <c r="DM1870"/>
      <c r="DN1870"/>
      <c r="DO1870"/>
      <c r="DP1870"/>
      <c r="DQ1870"/>
      <c r="DR1870"/>
      <c r="DS1870"/>
      <c r="DT1870"/>
      <c r="DU1870"/>
      <c r="DV1870"/>
      <c r="DW1870"/>
      <c r="DX1870"/>
      <c r="DY1870"/>
      <c r="DZ1870"/>
      <c r="EA1870"/>
      <c r="EB1870"/>
      <c r="EC1870"/>
      <c r="ED1870"/>
      <c r="EE1870"/>
      <c r="EF1870"/>
      <c r="EG1870"/>
      <c r="EH1870"/>
      <c r="EI1870"/>
      <c r="EJ1870"/>
      <c r="EK1870"/>
      <c r="EL1870"/>
      <c r="EM1870"/>
      <c r="EN1870"/>
      <c r="EO1870"/>
      <c r="EP1870"/>
      <c r="EQ1870"/>
      <c r="ER1870"/>
      <c r="ES1870"/>
    </row>
    <row r="1871" spans="1:149">
      <c r="A1871"/>
      <c r="B1871"/>
      <c r="C1871"/>
      <c r="D1871"/>
      <c r="E1871"/>
      <c r="F1871"/>
      <c r="G1871"/>
      <c r="H1871"/>
      <c r="I1871"/>
      <c r="J1871"/>
      <c r="K1871"/>
      <c r="L1871"/>
      <c r="M1871"/>
      <c r="N1871"/>
      <c r="O1871"/>
      <c r="P1871"/>
      <c r="Q1871"/>
      <c r="R1871"/>
      <c r="S1871"/>
      <c r="T1871"/>
      <c r="U1871"/>
      <c r="V1871"/>
      <c r="W1871"/>
      <c r="X1871"/>
      <c r="Y1871"/>
      <c r="Z1871"/>
      <c r="AA1871"/>
      <c r="AB1871"/>
      <c r="AC1871"/>
      <c r="AD1871"/>
      <c r="AE1871"/>
      <c r="AF1871"/>
      <c r="AG1871"/>
      <c r="AH1871"/>
      <c r="AI1871"/>
      <c r="AJ1871"/>
      <c r="AK1871"/>
      <c r="AL1871"/>
      <c r="AM1871"/>
      <c r="AN1871"/>
      <c r="AO1871"/>
      <c r="AP1871"/>
      <c r="AQ1871"/>
      <c r="AR1871"/>
      <c r="AS1871"/>
      <c r="AT1871"/>
      <c r="AU1871"/>
      <c r="AV1871"/>
      <c r="AW1871"/>
      <c r="AX1871"/>
      <c r="AY1871"/>
      <c r="AZ1871"/>
      <c r="BA1871"/>
      <c r="BB1871"/>
      <c r="BC1871"/>
      <c r="BD1871"/>
      <c r="BE1871"/>
      <c r="BF1871"/>
      <c r="BG1871"/>
      <c r="BH1871"/>
      <c r="BI1871"/>
      <c r="BJ1871"/>
      <c r="BK1871"/>
      <c r="BL1871"/>
      <c r="BM1871"/>
      <c r="BN1871"/>
      <c r="BO1871"/>
      <c r="BP1871"/>
      <c r="BQ1871"/>
      <c r="BR1871"/>
      <c r="BS1871"/>
      <c r="BT1871"/>
      <c r="BU1871"/>
      <c r="BV1871"/>
      <c r="BW1871"/>
      <c r="BX1871"/>
      <c r="BY1871"/>
      <c r="BZ1871"/>
      <c r="CA1871"/>
      <c r="CB1871"/>
      <c r="CC1871"/>
      <c r="CD1871"/>
      <c r="CE1871"/>
      <c r="CF1871"/>
      <c r="CG1871"/>
      <c r="CH1871"/>
      <c r="CI1871"/>
      <c r="CJ1871"/>
      <c r="CK1871"/>
      <c r="CL1871"/>
      <c r="CM1871"/>
      <c r="CN1871"/>
      <c r="CO1871"/>
      <c r="CP1871"/>
      <c r="CQ1871"/>
      <c r="CR1871"/>
      <c r="CS1871"/>
      <c r="CT1871"/>
      <c r="CU1871"/>
      <c r="CV1871"/>
      <c r="CW1871"/>
      <c r="CX1871"/>
      <c r="CY1871"/>
      <c r="CZ1871"/>
      <c r="DA1871"/>
      <c r="DB1871"/>
      <c r="DC1871"/>
      <c r="DD1871"/>
      <c r="DE1871"/>
      <c r="DF1871"/>
      <c r="DG1871"/>
      <c r="DH1871"/>
      <c r="DI1871"/>
      <c r="DJ1871"/>
      <c r="DK1871"/>
      <c r="DL1871"/>
      <c r="DM1871"/>
      <c r="DN1871"/>
      <c r="DO1871"/>
      <c r="DP1871"/>
      <c r="DQ1871"/>
      <c r="DR1871"/>
      <c r="DS1871"/>
      <c r="DT1871"/>
      <c r="DU1871"/>
      <c r="DV1871"/>
      <c r="DW1871"/>
      <c r="DX1871"/>
      <c r="DY1871"/>
      <c r="DZ1871"/>
      <c r="EA1871"/>
      <c r="EB1871"/>
      <c r="EC1871"/>
      <c r="ED1871"/>
      <c r="EE1871"/>
      <c r="EF1871"/>
      <c r="EG1871"/>
      <c r="EH1871"/>
      <c r="EI1871"/>
      <c r="EJ1871"/>
      <c r="EK1871"/>
      <c r="EL1871"/>
      <c r="EM1871"/>
      <c r="EN1871"/>
      <c r="EO1871"/>
      <c r="EP1871"/>
      <c r="EQ1871"/>
      <c r="ER1871"/>
      <c r="ES1871"/>
    </row>
    <row r="1872" spans="1:149">
      <c r="A1872"/>
      <c r="B1872"/>
      <c r="C1872"/>
      <c r="D1872"/>
      <c r="E1872"/>
      <c r="F1872"/>
      <c r="G1872"/>
      <c r="H1872"/>
      <c r="I1872"/>
      <c r="J1872"/>
      <c r="K1872"/>
      <c r="L1872"/>
      <c r="M1872"/>
      <c r="N1872"/>
      <c r="O1872"/>
      <c r="P1872"/>
      <c r="Q1872"/>
      <c r="R1872"/>
      <c r="S1872"/>
      <c r="T1872"/>
      <c r="U1872"/>
      <c r="V1872"/>
      <c r="W1872"/>
      <c r="X1872"/>
      <c r="Y1872"/>
      <c r="Z1872"/>
      <c r="AA1872"/>
      <c r="AB1872"/>
      <c r="AC1872"/>
      <c r="AD1872"/>
      <c r="AE1872"/>
      <c r="AF1872"/>
      <c r="AG1872"/>
      <c r="AH1872"/>
      <c r="AI1872"/>
      <c r="AJ1872"/>
      <c r="AK1872"/>
      <c r="AL1872"/>
      <c r="AM1872"/>
      <c r="AN1872"/>
      <c r="AO1872"/>
      <c r="AP1872"/>
      <c r="AQ1872"/>
      <c r="AR1872"/>
      <c r="AS1872"/>
      <c r="AT1872"/>
      <c r="AU1872"/>
      <c r="AV1872"/>
      <c r="AW1872"/>
      <c r="AX1872"/>
      <c r="AY1872"/>
      <c r="AZ1872"/>
      <c r="BA1872"/>
      <c r="BB1872"/>
      <c r="BC1872"/>
      <c r="BD1872"/>
      <c r="BE1872"/>
      <c r="BF1872"/>
      <c r="BG1872"/>
      <c r="BH1872"/>
      <c r="BI1872"/>
      <c r="BJ1872"/>
      <c r="BK1872"/>
      <c r="BL1872"/>
      <c r="BM1872"/>
      <c r="BN1872"/>
      <c r="BO1872"/>
      <c r="BP1872"/>
      <c r="BQ1872"/>
      <c r="BR1872"/>
      <c r="BS1872"/>
      <c r="BT1872"/>
      <c r="BU1872"/>
      <c r="BV1872"/>
      <c r="BW1872"/>
      <c r="BX1872"/>
      <c r="BY1872"/>
      <c r="BZ1872"/>
      <c r="CA1872"/>
      <c r="CB1872"/>
      <c r="CC1872"/>
      <c r="CD1872"/>
      <c r="CE1872"/>
      <c r="CF1872"/>
      <c r="CG1872"/>
      <c r="CH1872"/>
      <c r="CI1872"/>
      <c r="CJ1872"/>
      <c r="CK1872"/>
      <c r="CL1872"/>
      <c r="CM1872"/>
      <c r="CN1872"/>
      <c r="CO1872"/>
      <c r="CP1872"/>
      <c r="CQ1872"/>
      <c r="CR1872"/>
      <c r="CS1872"/>
      <c r="CT1872"/>
      <c r="CU1872"/>
      <c r="CV1872"/>
      <c r="CW1872"/>
      <c r="CX1872"/>
      <c r="CY1872"/>
      <c r="CZ1872"/>
      <c r="DA1872"/>
      <c r="DB1872"/>
      <c r="DC1872"/>
      <c r="DD1872"/>
      <c r="DE1872"/>
      <c r="DF1872"/>
      <c r="DG1872"/>
      <c r="DH1872"/>
      <c r="DI1872"/>
      <c r="DJ1872"/>
      <c r="DK1872"/>
      <c r="DL1872"/>
      <c r="DM1872"/>
      <c r="DN1872"/>
      <c r="DO1872"/>
      <c r="DP1872"/>
      <c r="DQ1872"/>
      <c r="DR1872"/>
      <c r="DS1872"/>
      <c r="DT1872"/>
      <c r="DU1872"/>
      <c r="DV1872"/>
      <c r="DW1872"/>
      <c r="DX1872"/>
      <c r="DY1872"/>
      <c r="DZ1872"/>
      <c r="EA1872"/>
      <c r="EB1872"/>
      <c r="EC1872"/>
      <c r="ED1872"/>
      <c r="EE1872"/>
      <c r="EF1872"/>
      <c r="EG1872"/>
      <c r="EH1872"/>
      <c r="EI1872"/>
      <c r="EJ1872"/>
      <c r="EK1872"/>
      <c r="EL1872"/>
      <c r="EM1872"/>
      <c r="EN1872"/>
      <c r="EO1872"/>
      <c r="EP1872"/>
      <c r="EQ1872"/>
      <c r="ER1872"/>
      <c r="ES1872"/>
    </row>
    <row r="1873" spans="1:149">
      <c r="A1873"/>
      <c r="B1873"/>
      <c r="C1873"/>
      <c r="D1873"/>
      <c r="E1873"/>
      <c r="F1873"/>
      <c r="G1873"/>
      <c r="H1873"/>
      <c r="I1873"/>
      <c r="J1873"/>
      <c r="K1873"/>
      <c r="L1873"/>
      <c r="M1873"/>
      <c r="N1873"/>
      <c r="O1873"/>
      <c r="P1873"/>
      <c r="Q1873"/>
      <c r="R1873"/>
      <c r="S1873"/>
      <c r="T1873"/>
      <c r="U1873"/>
      <c r="V1873"/>
      <c r="W1873"/>
      <c r="X1873"/>
      <c r="Y1873"/>
      <c r="Z1873"/>
      <c r="AA1873"/>
      <c r="AB1873"/>
      <c r="AC1873"/>
      <c r="AD1873"/>
      <c r="AE1873"/>
      <c r="AF1873"/>
      <c r="AG1873"/>
      <c r="AH1873"/>
      <c r="AI1873"/>
      <c r="AJ1873"/>
      <c r="AK1873"/>
      <c r="AL1873"/>
      <c r="AM1873"/>
      <c r="AN1873"/>
      <c r="AO1873"/>
      <c r="AP1873"/>
      <c r="AQ1873"/>
      <c r="AR1873"/>
      <c r="AS1873"/>
      <c r="AT1873"/>
      <c r="AU1873"/>
      <c r="AV1873"/>
      <c r="AW1873"/>
      <c r="AX1873"/>
      <c r="AY1873"/>
      <c r="AZ1873"/>
      <c r="BA1873"/>
      <c r="BB1873"/>
      <c r="BC1873"/>
      <c r="BD1873"/>
      <c r="BE1873"/>
      <c r="BF1873"/>
      <c r="BG1873"/>
      <c r="BH1873"/>
      <c r="BI1873"/>
      <c r="BJ1873"/>
      <c r="BK1873"/>
      <c r="BL1873"/>
      <c r="BM1873"/>
      <c r="BN1873"/>
      <c r="BO1873"/>
      <c r="BP1873"/>
      <c r="BQ1873"/>
      <c r="BR1873"/>
      <c r="BS1873"/>
      <c r="BT1873"/>
      <c r="BU1873"/>
      <c r="BV1873"/>
      <c r="BW1873"/>
      <c r="BX1873"/>
      <c r="BY1873"/>
      <c r="BZ1873"/>
      <c r="CA1873"/>
      <c r="CB1873"/>
      <c r="CC1873"/>
      <c r="CD1873"/>
      <c r="CE1873"/>
      <c r="CF1873"/>
      <c r="CG1873"/>
      <c r="CH1873"/>
      <c r="CI1873"/>
      <c r="CJ1873"/>
      <c r="CK1873"/>
      <c r="CL1873"/>
      <c r="CM1873"/>
      <c r="CN1873"/>
      <c r="CO1873"/>
      <c r="CP1873"/>
      <c r="CQ1873"/>
      <c r="CR1873"/>
      <c r="CS1873"/>
      <c r="CT1873"/>
      <c r="CU1873"/>
      <c r="CV1873"/>
      <c r="CW1873"/>
      <c r="CX1873"/>
      <c r="CY1873"/>
      <c r="CZ1873"/>
      <c r="DA1873"/>
      <c r="DB1873"/>
      <c r="DC1873"/>
      <c r="DD1873"/>
      <c r="DE1873"/>
      <c r="DF1873"/>
      <c r="DG1873"/>
      <c r="DH1873"/>
      <c r="DI1873"/>
      <c r="DJ1873"/>
      <c r="DK1873"/>
      <c r="DL1873"/>
      <c r="DM1873"/>
      <c r="DN1873"/>
      <c r="DO1873"/>
      <c r="DP1873"/>
      <c r="DQ1873"/>
      <c r="DR1873"/>
      <c r="DS1873"/>
      <c r="DT1873"/>
      <c r="DU1873"/>
      <c r="DV1873"/>
      <c r="DW1873"/>
      <c r="DX1873"/>
      <c r="DY1873"/>
      <c r="DZ1873"/>
      <c r="EA1873"/>
      <c r="EB1873"/>
      <c r="EC1873"/>
      <c r="ED1873"/>
      <c r="EE1873"/>
      <c r="EF1873"/>
      <c r="EG1873"/>
      <c r="EH1873"/>
      <c r="EI1873"/>
      <c r="EJ1873"/>
      <c r="EK1873"/>
      <c r="EL1873"/>
      <c r="EM1873"/>
      <c r="EN1873"/>
      <c r="EO1873"/>
      <c r="EP1873"/>
      <c r="EQ1873"/>
      <c r="ER1873"/>
      <c r="ES1873"/>
    </row>
    <row r="1874" spans="1:149">
      <c r="A1874"/>
      <c r="B1874"/>
      <c r="C1874"/>
      <c r="D1874"/>
      <c r="E1874"/>
      <c r="F1874"/>
      <c r="G1874"/>
      <c r="H1874"/>
      <c r="I1874"/>
      <c r="J1874"/>
      <c r="K1874"/>
      <c r="L1874"/>
      <c r="M1874"/>
      <c r="N1874"/>
      <c r="O1874"/>
      <c r="P1874"/>
      <c r="Q1874"/>
      <c r="R1874"/>
      <c r="S1874"/>
      <c r="T1874"/>
      <c r="U1874"/>
      <c r="V1874"/>
      <c r="W1874"/>
      <c r="X1874"/>
      <c r="Y1874"/>
      <c r="Z1874"/>
      <c r="AA1874"/>
      <c r="AB1874"/>
      <c r="AC1874"/>
      <c r="AD1874"/>
      <c r="AE1874"/>
      <c r="AF1874"/>
      <c r="AG1874"/>
      <c r="AH1874"/>
      <c r="AI1874"/>
      <c r="AJ1874"/>
      <c r="AK1874"/>
      <c r="AL1874"/>
      <c r="AM1874"/>
      <c r="AN1874"/>
      <c r="AO1874"/>
      <c r="AP1874"/>
      <c r="AQ1874"/>
      <c r="AR1874"/>
      <c r="AS1874"/>
      <c r="AT1874"/>
      <c r="AU1874"/>
      <c r="AV1874"/>
      <c r="AW1874"/>
      <c r="AX1874"/>
      <c r="AY1874"/>
      <c r="AZ1874"/>
      <c r="BA1874"/>
      <c r="BB1874"/>
      <c r="BC1874"/>
      <c r="BD1874"/>
      <c r="BE1874"/>
      <c r="BF1874"/>
      <c r="BG1874"/>
      <c r="BH1874"/>
      <c r="BI1874"/>
      <c r="BJ1874"/>
      <c r="BK1874"/>
      <c r="BL1874"/>
      <c r="BM1874"/>
      <c r="BN1874"/>
      <c r="BO1874"/>
      <c r="BP1874"/>
      <c r="BQ1874"/>
      <c r="BR1874"/>
      <c r="BS1874"/>
      <c r="BT1874"/>
      <c r="BU1874"/>
      <c r="BV1874"/>
      <c r="BW1874"/>
      <c r="BX1874"/>
      <c r="BY1874"/>
      <c r="BZ1874"/>
      <c r="CA1874"/>
      <c r="CB1874"/>
      <c r="CC1874"/>
      <c r="CD1874"/>
      <c r="CE1874"/>
      <c r="CF1874"/>
      <c r="CG1874"/>
      <c r="CH1874"/>
      <c r="CI1874"/>
      <c r="CJ1874"/>
      <c r="CK1874"/>
      <c r="CL1874"/>
      <c r="CM1874"/>
      <c r="CN1874"/>
      <c r="CO1874"/>
      <c r="CP1874"/>
      <c r="CQ1874"/>
      <c r="CR1874"/>
      <c r="CS1874"/>
      <c r="CT1874"/>
      <c r="CU1874"/>
      <c r="CV1874"/>
      <c r="CW1874"/>
      <c r="CX1874"/>
      <c r="CY1874"/>
      <c r="CZ1874"/>
      <c r="DA1874"/>
      <c r="DB1874"/>
      <c r="DC1874"/>
      <c r="DD1874"/>
      <c r="DE1874"/>
      <c r="DF1874"/>
      <c r="DG1874"/>
      <c r="DH1874"/>
      <c r="DI1874"/>
      <c r="DJ1874"/>
      <c r="DK1874"/>
      <c r="DL1874"/>
      <c r="DM1874"/>
      <c r="DN1874"/>
      <c r="DO1874"/>
      <c r="DP1874"/>
      <c r="DQ1874"/>
      <c r="DR1874"/>
      <c r="DS1874"/>
      <c r="DT1874"/>
      <c r="DU1874"/>
      <c r="DV1874"/>
      <c r="DW1874"/>
      <c r="DX1874"/>
      <c r="DY1874"/>
      <c r="DZ1874"/>
      <c r="EA1874"/>
      <c r="EB1874"/>
      <c r="EC1874"/>
      <c r="ED1874"/>
      <c r="EE1874"/>
      <c r="EF1874"/>
      <c r="EG1874"/>
      <c r="EH1874"/>
      <c r="EI1874"/>
      <c r="EJ1874"/>
      <c r="EK1874"/>
      <c r="EL1874"/>
      <c r="EM1874"/>
      <c r="EN1874"/>
      <c r="EO1874"/>
      <c r="EP1874"/>
      <c r="EQ1874"/>
      <c r="ER1874"/>
      <c r="ES1874"/>
    </row>
    <row r="1875" spans="1:149">
      <c r="A1875"/>
      <c r="B1875"/>
      <c r="C1875"/>
      <c r="D1875"/>
      <c r="E1875"/>
      <c r="F1875"/>
      <c r="G1875"/>
      <c r="H1875"/>
      <c r="I1875"/>
      <c r="J1875"/>
      <c r="K1875"/>
      <c r="L1875"/>
      <c r="M1875"/>
      <c r="N1875"/>
      <c r="O1875"/>
      <c r="P1875"/>
      <c r="Q1875"/>
      <c r="R1875"/>
      <c r="S1875"/>
      <c r="T1875"/>
      <c r="U1875"/>
      <c r="V1875"/>
      <c r="W1875"/>
      <c r="X1875"/>
      <c r="Y1875"/>
      <c r="Z1875"/>
      <c r="AA1875"/>
      <c r="AB1875"/>
      <c r="AC1875"/>
      <c r="AD1875"/>
      <c r="AE1875"/>
      <c r="AF1875"/>
      <c r="AG1875"/>
      <c r="AH1875"/>
      <c r="AI1875"/>
      <c r="AJ1875"/>
      <c r="AK1875"/>
      <c r="AL1875"/>
      <c r="AM1875"/>
      <c r="AN1875"/>
      <c r="AO1875"/>
      <c r="AP1875"/>
      <c r="AQ1875"/>
      <c r="AR1875"/>
      <c r="AS1875"/>
      <c r="AT1875"/>
      <c r="AU1875"/>
      <c r="AV1875"/>
      <c r="AW1875"/>
      <c r="AX1875"/>
      <c r="AY1875"/>
      <c r="AZ1875"/>
      <c r="BA1875"/>
      <c r="BB1875"/>
      <c r="BC1875"/>
      <c r="BD1875"/>
      <c r="BE1875"/>
      <c r="BF1875"/>
      <c r="BG1875"/>
      <c r="BH1875"/>
      <c r="BI1875"/>
      <c r="BJ1875"/>
      <c r="BK1875"/>
      <c r="BL1875"/>
      <c r="BM1875"/>
      <c r="BN1875"/>
      <c r="BO1875"/>
      <c r="BP1875"/>
      <c r="BQ1875"/>
      <c r="BR1875"/>
      <c r="BS1875"/>
      <c r="BT1875"/>
      <c r="BU1875"/>
      <c r="BV1875"/>
      <c r="BW1875"/>
      <c r="BX1875"/>
      <c r="BY1875"/>
      <c r="BZ1875"/>
      <c r="CA1875"/>
      <c r="CB1875"/>
      <c r="CC1875"/>
      <c r="CD1875"/>
      <c r="CE1875"/>
      <c r="CF1875"/>
      <c r="CG1875"/>
      <c r="CH1875"/>
      <c r="CI1875"/>
      <c r="CJ1875"/>
      <c r="CK1875"/>
      <c r="CL1875"/>
      <c r="CM1875"/>
      <c r="CN1875"/>
      <c r="CO1875"/>
      <c r="CP1875"/>
      <c r="CQ1875"/>
      <c r="CR1875"/>
      <c r="CS1875"/>
      <c r="CT1875"/>
      <c r="CU1875"/>
      <c r="CV1875"/>
      <c r="CW1875"/>
      <c r="CX1875"/>
      <c r="CY1875"/>
      <c r="CZ1875"/>
      <c r="DA1875"/>
      <c r="DB1875"/>
      <c r="DC1875"/>
      <c r="DD1875"/>
      <c r="DE1875"/>
      <c r="DF1875"/>
      <c r="DG1875"/>
      <c r="DH1875"/>
      <c r="DI1875"/>
      <c r="DJ1875"/>
      <c r="DK1875"/>
      <c r="DL1875"/>
      <c r="DM1875"/>
      <c r="DN1875"/>
      <c r="DO1875"/>
      <c r="DP1875"/>
      <c r="DQ1875"/>
      <c r="DR1875"/>
      <c r="DS1875"/>
      <c r="DT1875"/>
      <c r="DU1875"/>
      <c r="DV1875"/>
      <c r="DW1875"/>
      <c r="DX1875"/>
      <c r="DY1875"/>
      <c r="DZ1875"/>
      <c r="EA1875"/>
      <c r="EB1875"/>
      <c r="EC1875"/>
      <c r="ED1875"/>
      <c r="EE1875"/>
      <c r="EF1875"/>
      <c r="EG1875"/>
      <c r="EH1875"/>
      <c r="EI1875"/>
      <c r="EJ1875"/>
      <c r="EK1875"/>
      <c r="EL1875"/>
      <c r="EM1875"/>
      <c r="EN1875"/>
      <c r="EO1875"/>
      <c r="EP1875"/>
      <c r="EQ1875"/>
      <c r="ER1875"/>
      <c r="ES1875"/>
    </row>
    <row r="1876" spans="1:149">
      <c r="A1876"/>
      <c r="B1876"/>
      <c r="C1876"/>
      <c r="D1876"/>
      <c r="E1876"/>
      <c r="F1876"/>
      <c r="G1876"/>
      <c r="H1876"/>
      <c r="I1876"/>
      <c r="J1876"/>
      <c r="K1876"/>
      <c r="L1876"/>
      <c r="M1876"/>
      <c r="N1876"/>
      <c r="O1876"/>
      <c r="P1876"/>
      <c r="Q1876"/>
      <c r="R1876"/>
      <c r="S1876"/>
      <c r="T1876"/>
      <c r="U1876"/>
      <c r="V1876"/>
      <c r="W1876"/>
      <c r="X1876"/>
      <c r="Y1876"/>
      <c r="Z1876"/>
      <c r="AA1876"/>
      <c r="AB1876"/>
      <c r="AC1876"/>
      <c r="AD1876"/>
      <c r="AE1876"/>
      <c r="AF1876"/>
      <c r="AG1876"/>
      <c r="AH1876"/>
      <c r="AI1876"/>
      <c r="AJ1876"/>
      <c r="AK1876"/>
      <c r="AL1876"/>
      <c r="AM1876"/>
      <c r="AN1876"/>
      <c r="AO1876"/>
      <c r="AP1876"/>
      <c r="AQ1876"/>
      <c r="AR1876"/>
      <c r="AS1876"/>
      <c r="AT1876"/>
      <c r="AU1876"/>
      <c r="AV1876"/>
      <c r="AW1876"/>
      <c r="AX1876"/>
      <c r="AY1876"/>
      <c r="AZ1876"/>
      <c r="BA1876"/>
      <c r="BB1876"/>
      <c r="BC1876"/>
      <c r="BD1876"/>
      <c r="BE1876"/>
      <c r="BF1876"/>
      <c r="BG1876"/>
      <c r="BH1876"/>
      <c r="BI1876"/>
      <c r="BJ1876"/>
      <c r="BK1876"/>
      <c r="BL1876"/>
      <c r="BM1876"/>
      <c r="BN1876"/>
      <c r="BO1876"/>
      <c r="BP1876"/>
      <c r="BQ1876"/>
      <c r="BR1876"/>
      <c r="BS1876"/>
      <c r="BT1876"/>
      <c r="BU1876"/>
      <c r="BV1876"/>
      <c r="BW1876"/>
      <c r="BX1876"/>
      <c r="BY1876"/>
      <c r="BZ1876"/>
      <c r="CA1876"/>
      <c r="CB1876"/>
      <c r="CC1876"/>
      <c r="CD1876"/>
      <c r="CE1876"/>
      <c r="CF1876"/>
      <c r="CG1876"/>
      <c r="CH1876"/>
      <c r="CI1876"/>
      <c r="CJ1876"/>
      <c r="CK1876"/>
      <c r="CL1876"/>
      <c r="CM1876"/>
      <c r="CN1876"/>
      <c r="CO1876"/>
      <c r="CP1876"/>
      <c r="CQ1876"/>
      <c r="CR1876"/>
      <c r="CS1876"/>
      <c r="CT1876"/>
      <c r="CU1876"/>
      <c r="CV1876"/>
      <c r="CW1876"/>
      <c r="CX1876"/>
      <c r="CY1876"/>
      <c r="CZ1876"/>
      <c r="DA1876"/>
      <c r="DB1876"/>
      <c r="DC1876"/>
      <c r="DD1876"/>
      <c r="DE1876"/>
      <c r="DF1876"/>
      <c r="DG1876"/>
      <c r="DH1876"/>
      <c r="DI1876"/>
      <c r="DJ1876"/>
      <c r="DK1876"/>
      <c r="DL1876"/>
      <c r="DM1876"/>
      <c r="DN1876"/>
      <c r="DO1876"/>
      <c r="DP1876"/>
      <c r="DQ1876"/>
      <c r="DR1876"/>
      <c r="DS1876"/>
      <c r="DT1876"/>
      <c r="DU1876"/>
      <c r="DV1876"/>
      <c r="DW1876"/>
      <c r="DX1876"/>
      <c r="DY1876"/>
      <c r="DZ1876"/>
      <c r="EA1876"/>
      <c r="EB1876"/>
      <c r="EC1876"/>
      <c r="ED1876"/>
      <c r="EE1876"/>
      <c r="EF1876"/>
      <c r="EG1876"/>
      <c r="EH1876"/>
      <c r="EI1876"/>
      <c r="EJ1876"/>
      <c r="EK1876"/>
      <c r="EL1876"/>
      <c r="EM1876"/>
      <c r="EN1876"/>
      <c r="EO1876"/>
      <c r="EP1876"/>
      <c r="EQ1876"/>
      <c r="ER1876"/>
      <c r="ES1876"/>
    </row>
    <row r="1877" spans="1:149">
      <c r="A1877"/>
      <c r="B1877"/>
      <c r="C1877"/>
      <c r="D1877"/>
      <c r="E1877"/>
      <c r="F1877"/>
      <c r="G1877"/>
      <c r="H1877"/>
      <c r="I1877"/>
      <c r="J1877"/>
      <c r="K1877"/>
      <c r="L1877"/>
      <c r="M1877"/>
      <c r="N1877"/>
      <c r="O1877"/>
      <c r="P1877"/>
      <c r="Q1877"/>
      <c r="R1877"/>
      <c r="S1877"/>
      <c r="T1877"/>
      <c r="U1877"/>
      <c r="V1877"/>
      <c r="W1877"/>
      <c r="X1877"/>
      <c r="Y1877"/>
      <c r="Z1877"/>
      <c r="AA1877"/>
      <c r="AB1877"/>
      <c r="AC1877"/>
      <c r="AD1877"/>
      <c r="AE1877"/>
      <c r="AF1877"/>
      <c r="AG1877"/>
      <c r="AH1877"/>
      <c r="AI1877"/>
      <c r="AJ1877"/>
      <c r="AK1877"/>
      <c r="AL1877"/>
      <c r="AM1877"/>
      <c r="AN1877"/>
      <c r="AO1877"/>
      <c r="AP1877"/>
      <c r="AQ1877"/>
      <c r="AR1877"/>
      <c r="AS1877"/>
      <c r="AT1877"/>
      <c r="AU1877"/>
      <c r="AV1877"/>
      <c r="AW1877"/>
      <c r="AX1877"/>
      <c r="AY1877"/>
      <c r="AZ1877"/>
      <c r="BA1877"/>
      <c r="BB1877"/>
      <c r="BC1877"/>
      <c r="BD1877"/>
      <c r="BE1877"/>
      <c r="BF1877"/>
      <c r="BG1877"/>
      <c r="BH1877"/>
      <c r="BI1877"/>
      <c r="BJ1877"/>
      <c r="BK1877"/>
      <c r="BL1877"/>
      <c r="BM1877"/>
      <c r="BN1877"/>
      <c r="BO1877"/>
      <c r="BP1877"/>
      <c r="BQ1877"/>
      <c r="BR1877"/>
      <c r="BS1877"/>
      <c r="BT1877"/>
      <c r="BU1877"/>
      <c r="BV1877"/>
      <c r="BW1877"/>
      <c r="BX1877"/>
      <c r="BY1877"/>
      <c r="BZ1877"/>
      <c r="CA1877"/>
      <c r="CB1877"/>
      <c r="CC1877"/>
      <c r="CD1877"/>
      <c r="CE1877"/>
      <c r="CF1877"/>
      <c r="CG1877"/>
      <c r="CH1877"/>
      <c r="CI1877"/>
      <c r="CJ1877"/>
      <c r="CK1877"/>
      <c r="CL1877"/>
      <c r="CM1877"/>
      <c r="CN1877"/>
      <c r="CO1877"/>
      <c r="CP1877"/>
      <c r="CQ1877"/>
      <c r="CR1877"/>
      <c r="CS1877"/>
      <c r="CT1877"/>
      <c r="CU1877"/>
      <c r="CV1877"/>
      <c r="CW1877"/>
      <c r="CX1877"/>
      <c r="CY1877"/>
      <c r="CZ1877"/>
      <c r="DA1877"/>
      <c r="DB1877"/>
      <c r="DC1877"/>
      <c r="DD1877"/>
      <c r="DE1877"/>
      <c r="DF1877"/>
      <c r="DG1877"/>
      <c r="DH1877"/>
      <c r="DI1877"/>
      <c r="DJ1877"/>
      <c r="DK1877"/>
      <c r="DL1877"/>
      <c r="DM1877"/>
      <c r="DN1877"/>
      <c r="DO1877"/>
      <c r="DP1877"/>
      <c r="DQ1877"/>
      <c r="DR1877"/>
      <c r="DS1877"/>
      <c r="DT1877"/>
      <c r="DU1877"/>
      <c r="DV1877"/>
      <c r="DW1877"/>
      <c r="DX1877"/>
      <c r="DY1877"/>
      <c r="DZ1877"/>
      <c r="EA1877"/>
      <c r="EB1877"/>
      <c r="EC1877"/>
      <c r="ED1877"/>
      <c r="EE1877"/>
      <c r="EF1877"/>
      <c r="EG1877"/>
      <c r="EH1877"/>
      <c r="EI1877"/>
      <c r="EJ1877"/>
      <c r="EK1877"/>
      <c r="EL1877"/>
      <c r="EM1877"/>
      <c r="EN1877"/>
      <c r="EO1877"/>
      <c r="EP1877"/>
      <c r="EQ1877"/>
      <c r="ER1877"/>
      <c r="ES1877"/>
    </row>
    <row r="1878" spans="1:149">
      <c r="A1878"/>
      <c r="B1878"/>
      <c r="C1878"/>
      <c r="D1878"/>
      <c r="E1878"/>
      <c r="F1878"/>
      <c r="G1878"/>
      <c r="H1878"/>
      <c r="I1878"/>
      <c r="J1878"/>
      <c r="K1878"/>
      <c r="L1878"/>
      <c r="M1878"/>
      <c r="N1878"/>
      <c r="O1878"/>
      <c r="P1878"/>
      <c r="Q1878"/>
      <c r="R1878"/>
      <c r="S1878"/>
      <c r="T1878"/>
      <c r="U1878"/>
      <c r="V1878"/>
      <c r="W1878"/>
      <c r="X1878"/>
      <c r="Y1878"/>
      <c r="Z1878"/>
      <c r="AA1878"/>
      <c r="AB1878"/>
      <c r="AC1878"/>
      <c r="AD1878"/>
      <c r="AE1878"/>
      <c r="AF1878"/>
      <c r="AG1878"/>
      <c r="AH1878"/>
      <c r="AI1878"/>
      <c r="AJ1878"/>
      <c r="AK1878"/>
      <c r="AL1878"/>
      <c r="AM1878"/>
      <c r="AN1878"/>
      <c r="AO1878"/>
      <c r="AP1878"/>
      <c r="AQ1878"/>
      <c r="AR1878"/>
      <c r="AS1878"/>
      <c r="AT1878"/>
      <c r="AU1878"/>
      <c r="AV1878"/>
      <c r="AW1878"/>
      <c r="AX1878"/>
      <c r="AY1878"/>
      <c r="AZ1878"/>
      <c r="BA1878"/>
      <c r="BB1878"/>
      <c r="BC1878"/>
      <c r="BD1878"/>
      <c r="BE1878"/>
      <c r="BF1878"/>
      <c r="BG1878"/>
      <c r="BH1878"/>
      <c r="BI1878"/>
      <c r="BJ1878"/>
      <c r="BK1878"/>
      <c r="BL1878"/>
      <c r="BM1878"/>
      <c r="BN1878"/>
      <c r="BO1878"/>
      <c r="BP1878"/>
      <c r="BQ1878"/>
      <c r="BR1878"/>
      <c r="BS1878"/>
      <c r="BT1878"/>
      <c r="BU1878"/>
      <c r="BV1878"/>
      <c r="BW1878"/>
      <c r="BX1878"/>
      <c r="BY1878"/>
      <c r="BZ1878"/>
      <c r="CA1878"/>
      <c r="CB1878"/>
      <c r="CC1878"/>
      <c r="CD1878"/>
      <c r="CE1878"/>
      <c r="CF1878"/>
      <c r="CG1878"/>
      <c r="CH1878"/>
      <c r="CI1878"/>
      <c r="CJ1878"/>
      <c r="CK1878"/>
      <c r="CL1878"/>
      <c r="CM1878"/>
      <c r="CN1878"/>
      <c r="CO1878"/>
      <c r="CP1878"/>
      <c r="CQ1878"/>
      <c r="CR1878"/>
      <c r="CS1878"/>
      <c r="CT1878"/>
      <c r="CU1878"/>
      <c r="CV1878"/>
      <c r="CW1878"/>
      <c r="CX1878"/>
      <c r="CY1878"/>
      <c r="CZ1878"/>
      <c r="DA1878"/>
      <c r="DB1878"/>
      <c r="DC1878"/>
      <c r="DD1878"/>
      <c r="DE1878"/>
      <c r="DF1878"/>
      <c r="DG1878"/>
      <c r="DH1878"/>
      <c r="DI1878"/>
      <c r="DJ1878"/>
      <c r="DK1878"/>
      <c r="DL1878"/>
      <c r="DM1878"/>
      <c r="DN1878"/>
      <c r="DO1878"/>
      <c r="DP1878"/>
      <c r="DQ1878"/>
      <c r="DR1878"/>
      <c r="DS1878"/>
      <c r="DT1878"/>
      <c r="DU1878"/>
      <c r="DV1878"/>
      <c r="DW1878"/>
      <c r="DX1878"/>
      <c r="DY1878"/>
      <c r="DZ1878"/>
      <c r="EA1878"/>
      <c r="EB1878"/>
      <c r="EC1878"/>
      <c r="ED1878"/>
      <c r="EE1878"/>
      <c r="EF1878"/>
      <c r="EG1878"/>
      <c r="EH1878"/>
      <c r="EI1878"/>
      <c r="EJ1878"/>
      <c r="EK1878"/>
      <c r="EL1878"/>
      <c r="EM1878"/>
      <c r="EN1878"/>
      <c r="EO1878"/>
      <c r="EP1878"/>
      <c r="EQ1878"/>
      <c r="ER1878"/>
      <c r="ES1878"/>
    </row>
    <row r="1879" spans="1:149">
      <c r="A1879"/>
      <c r="B1879"/>
      <c r="C1879"/>
      <c r="D1879"/>
      <c r="E1879"/>
      <c r="F1879"/>
      <c r="G1879"/>
      <c r="H1879"/>
      <c r="I1879"/>
      <c r="J1879"/>
      <c r="K1879"/>
      <c r="L1879"/>
      <c r="M1879"/>
      <c r="N1879"/>
      <c r="O1879"/>
      <c r="P1879"/>
      <c r="Q1879"/>
      <c r="R1879"/>
      <c r="S1879"/>
      <c r="T1879"/>
      <c r="U1879"/>
      <c r="V1879"/>
      <c r="W1879"/>
      <c r="X1879"/>
      <c r="Y1879"/>
      <c r="Z1879"/>
      <c r="AA1879"/>
      <c r="AB1879"/>
      <c r="AC1879"/>
      <c r="AD1879"/>
      <c r="AE1879"/>
      <c r="AF1879"/>
      <c r="AG1879"/>
      <c r="AH1879"/>
      <c r="AI1879"/>
      <c r="AJ1879"/>
      <c r="AK1879"/>
      <c r="AL1879"/>
      <c r="AM1879"/>
      <c r="AN1879"/>
      <c r="AO1879"/>
      <c r="AP1879"/>
      <c r="AQ1879"/>
      <c r="AR1879"/>
      <c r="AS1879"/>
      <c r="AT1879"/>
      <c r="AU1879"/>
      <c r="AV1879"/>
      <c r="AW1879"/>
      <c r="AX1879"/>
      <c r="AY1879"/>
      <c r="AZ1879"/>
      <c r="BA1879"/>
      <c r="BB1879"/>
      <c r="BC1879"/>
      <c r="BD1879"/>
      <c r="BE1879"/>
      <c r="BF1879"/>
      <c r="BG1879"/>
      <c r="BH1879"/>
      <c r="BI1879"/>
      <c r="BJ1879"/>
      <c r="BK1879"/>
      <c r="BL1879"/>
      <c r="BM1879"/>
      <c r="BN1879"/>
      <c r="BO1879"/>
      <c r="BP1879"/>
      <c r="BQ1879"/>
      <c r="BR1879"/>
      <c r="BS1879"/>
      <c r="BT1879"/>
      <c r="BU1879"/>
      <c r="BV1879"/>
      <c r="BW1879"/>
      <c r="BX1879"/>
      <c r="BY1879"/>
      <c r="BZ1879"/>
      <c r="CA1879"/>
      <c r="CB1879"/>
      <c r="CC1879"/>
      <c r="CD1879"/>
      <c r="CE1879"/>
      <c r="CF1879"/>
      <c r="CG1879"/>
      <c r="CH1879"/>
      <c r="CI1879"/>
      <c r="CJ1879"/>
      <c r="CK1879"/>
      <c r="CL1879"/>
      <c r="CM1879"/>
      <c r="CN1879"/>
      <c r="CO1879"/>
      <c r="CP1879"/>
      <c r="CQ1879"/>
      <c r="CR1879"/>
      <c r="CS1879"/>
      <c r="CT1879"/>
      <c r="CU1879"/>
      <c r="CV1879"/>
      <c r="CW1879"/>
      <c r="CX1879"/>
      <c r="CY1879"/>
      <c r="CZ1879"/>
      <c r="DA1879"/>
      <c r="DB1879"/>
      <c r="DC1879"/>
      <c r="DD1879"/>
      <c r="DE1879"/>
      <c r="DF1879"/>
      <c r="DG1879"/>
      <c r="DH1879"/>
      <c r="DI1879"/>
      <c r="DJ1879"/>
      <c r="DK1879"/>
      <c r="DL1879"/>
      <c r="DM1879"/>
      <c r="DN1879"/>
      <c r="DO1879"/>
      <c r="DP1879"/>
      <c r="DQ1879"/>
      <c r="DR1879"/>
      <c r="DS1879"/>
      <c r="DT1879"/>
      <c r="DU1879"/>
      <c r="DV1879"/>
      <c r="DW1879"/>
      <c r="DX1879"/>
      <c r="DY1879"/>
      <c r="DZ1879"/>
      <c r="EA1879"/>
      <c r="EB1879"/>
      <c r="EC1879"/>
      <c r="ED1879"/>
      <c r="EE1879"/>
      <c r="EF1879"/>
      <c r="EG1879"/>
      <c r="EH1879"/>
      <c r="EI1879"/>
      <c r="EJ1879"/>
      <c r="EK1879"/>
      <c r="EL1879"/>
      <c r="EM1879"/>
      <c r="EN1879"/>
      <c r="EO1879"/>
      <c r="EP1879"/>
      <c r="EQ1879"/>
      <c r="ER1879"/>
      <c r="ES1879"/>
    </row>
    <row r="1880" spans="1:149">
      <c r="A1880"/>
      <c r="B1880"/>
      <c r="C1880"/>
      <c r="D1880"/>
      <c r="E1880"/>
      <c r="F1880"/>
      <c r="G1880"/>
      <c r="H1880"/>
      <c r="I1880"/>
      <c r="J1880"/>
      <c r="K1880"/>
      <c r="L1880"/>
      <c r="M1880"/>
      <c r="N1880"/>
      <c r="O1880"/>
      <c r="P1880"/>
      <c r="Q1880"/>
      <c r="R1880"/>
      <c r="S1880"/>
      <c r="T1880"/>
      <c r="U1880"/>
      <c r="V1880"/>
      <c r="W1880"/>
      <c r="X1880"/>
      <c r="Y1880"/>
      <c r="Z1880"/>
      <c r="AA1880"/>
      <c r="AB1880"/>
      <c r="AC1880"/>
      <c r="AD1880"/>
      <c r="AE1880"/>
      <c r="AF1880"/>
      <c r="AG1880"/>
      <c r="AH1880"/>
      <c r="AI1880"/>
      <c r="AJ1880"/>
      <c r="AK1880"/>
      <c r="AL1880"/>
      <c r="AM1880"/>
      <c r="AN1880"/>
      <c r="AO1880"/>
      <c r="AP1880"/>
      <c r="AQ1880"/>
      <c r="AR1880"/>
      <c r="AS1880"/>
      <c r="AT1880"/>
      <c r="AU1880"/>
      <c r="AV1880"/>
      <c r="AW1880"/>
      <c r="AX1880"/>
      <c r="AY1880"/>
      <c r="AZ1880"/>
      <c r="BA1880"/>
      <c r="BB1880"/>
      <c r="BC1880"/>
      <c r="BD1880"/>
      <c r="BE1880"/>
      <c r="BF1880"/>
      <c r="BG1880"/>
      <c r="BH1880"/>
      <c r="BI1880"/>
      <c r="BJ1880"/>
      <c r="BK1880"/>
      <c r="BL1880"/>
      <c r="BM1880"/>
      <c r="BN1880"/>
      <c r="BO1880"/>
      <c r="BP1880"/>
      <c r="BQ1880"/>
      <c r="BR1880"/>
      <c r="BS1880"/>
      <c r="BT1880"/>
      <c r="BU1880"/>
      <c r="BV1880"/>
      <c r="BW1880"/>
      <c r="BX1880"/>
      <c r="BY1880"/>
      <c r="BZ1880"/>
      <c r="CA1880"/>
      <c r="CB1880"/>
      <c r="CC1880"/>
      <c r="CD1880"/>
      <c r="CE1880"/>
      <c r="CF1880"/>
      <c r="CG1880"/>
      <c r="CH1880"/>
      <c r="CI1880"/>
      <c r="CJ1880"/>
      <c r="CK1880"/>
      <c r="CL1880"/>
      <c r="CM1880"/>
      <c r="CN1880"/>
      <c r="CO1880"/>
      <c r="CP1880"/>
      <c r="CQ1880"/>
      <c r="CR1880"/>
      <c r="CS1880"/>
      <c r="CT1880"/>
      <c r="CU1880"/>
      <c r="CV1880"/>
      <c r="CW1880"/>
      <c r="CX1880"/>
      <c r="CY1880"/>
      <c r="CZ1880"/>
      <c r="DA1880"/>
      <c r="DB1880"/>
      <c r="DC1880"/>
      <c r="DD1880"/>
      <c r="DE1880"/>
      <c r="DF1880"/>
      <c r="DG1880"/>
      <c r="DH1880"/>
      <c r="DI1880"/>
      <c r="DJ1880"/>
      <c r="DK1880"/>
      <c r="DL1880"/>
      <c r="DM1880"/>
      <c r="DN1880"/>
      <c r="DO1880"/>
      <c r="DP1880"/>
      <c r="DQ1880"/>
      <c r="DR1880"/>
      <c r="DS1880"/>
      <c r="DT1880"/>
      <c r="DU1880"/>
      <c r="DV1880"/>
      <c r="DW1880"/>
      <c r="DX1880"/>
      <c r="DY1880"/>
      <c r="DZ1880"/>
      <c r="EA1880"/>
      <c r="EB1880"/>
      <c r="EC1880"/>
      <c r="ED1880"/>
      <c r="EE1880"/>
      <c r="EF1880"/>
      <c r="EG1880"/>
      <c r="EH1880"/>
      <c r="EI1880"/>
      <c r="EJ1880"/>
      <c r="EK1880"/>
      <c r="EL1880"/>
      <c r="EM1880"/>
      <c r="EN1880"/>
      <c r="EO1880"/>
      <c r="EP1880"/>
      <c r="EQ1880"/>
      <c r="ER1880"/>
      <c r="ES1880"/>
    </row>
    <row r="1881" spans="1:149">
      <c r="A1881"/>
      <c r="B1881"/>
      <c r="C1881"/>
      <c r="D1881"/>
      <c r="E1881"/>
      <c r="F1881"/>
      <c r="G1881"/>
      <c r="H1881"/>
      <c r="I1881"/>
      <c r="J1881"/>
      <c r="K1881"/>
      <c r="L1881"/>
      <c r="M1881"/>
      <c r="N1881"/>
      <c r="O1881"/>
      <c r="P1881"/>
      <c r="Q1881"/>
      <c r="R1881"/>
      <c r="S1881"/>
      <c r="T1881"/>
      <c r="U1881"/>
      <c r="V1881"/>
      <c r="W1881"/>
      <c r="X1881"/>
      <c r="Y1881"/>
      <c r="Z1881"/>
      <c r="AA1881"/>
      <c r="AB1881"/>
      <c r="AC1881"/>
      <c r="AD1881"/>
      <c r="AE1881"/>
      <c r="AF1881"/>
      <c r="AG1881"/>
      <c r="AH1881"/>
      <c r="AI1881"/>
      <c r="AJ1881"/>
      <c r="AK1881"/>
      <c r="AL1881"/>
      <c r="AM1881"/>
      <c r="AN1881"/>
      <c r="AO1881"/>
      <c r="AP1881"/>
      <c r="AQ1881"/>
      <c r="AR1881"/>
      <c r="AS1881"/>
      <c r="AT1881"/>
      <c r="AU1881"/>
      <c r="AV1881"/>
      <c r="AW1881"/>
      <c r="AX1881"/>
      <c r="AY1881"/>
      <c r="AZ1881"/>
      <c r="BA1881"/>
      <c r="BB1881"/>
      <c r="BC1881"/>
      <c r="BD1881"/>
      <c r="BE1881"/>
      <c r="BF1881"/>
      <c r="BG1881"/>
      <c r="BH1881"/>
      <c r="BI1881"/>
      <c r="BJ1881"/>
      <c r="BK1881"/>
      <c r="BL1881"/>
      <c r="BM1881"/>
      <c r="BN1881"/>
      <c r="BO1881"/>
      <c r="BP1881"/>
      <c r="BQ1881"/>
      <c r="BR1881"/>
      <c r="BS1881"/>
      <c r="BT1881"/>
      <c r="BU1881"/>
      <c r="BV1881"/>
      <c r="BW1881"/>
      <c r="BX1881"/>
      <c r="BY1881"/>
      <c r="BZ1881"/>
      <c r="CA1881"/>
      <c r="CB1881"/>
      <c r="CC1881"/>
      <c r="CD1881"/>
      <c r="CE1881"/>
      <c r="CF1881"/>
      <c r="CG1881"/>
      <c r="CH1881"/>
      <c r="CI1881"/>
      <c r="CJ1881"/>
      <c r="CK1881"/>
      <c r="CL1881"/>
      <c r="CM1881"/>
      <c r="CN1881"/>
      <c r="CO1881"/>
      <c r="CP1881"/>
      <c r="CQ1881"/>
      <c r="CR1881"/>
      <c r="CS1881"/>
      <c r="CT1881"/>
      <c r="CU1881"/>
      <c r="CV1881"/>
      <c r="CW1881"/>
      <c r="CX1881"/>
      <c r="CY1881"/>
      <c r="CZ1881"/>
      <c r="DA1881"/>
      <c r="DB1881"/>
      <c r="DC1881"/>
      <c r="DD1881"/>
      <c r="DE1881"/>
      <c r="DF1881"/>
      <c r="DG1881"/>
      <c r="DH1881"/>
      <c r="DI1881"/>
      <c r="DJ1881"/>
      <c r="DK1881"/>
      <c r="DL1881"/>
      <c r="DM1881"/>
      <c r="DN1881"/>
      <c r="DO1881"/>
      <c r="DP1881"/>
      <c r="DQ1881"/>
      <c r="DR1881"/>
      <c r="DS1881"/>
      <c r="DT1881"/>
      <c r="DU1881"/>
      <c r="DV1881"/>
      <c r="DW1881"/>
      <c r="DX1881"/>
      <c r="DY1881"/>
      <c r="DZ1881"/>
      <c r="EA1881"/>
      <c r="EB1881"/>
      <c r="EC1881"/>
      <c r="ED1881"/>
      <c r="EE1881"/>
      <c r="EF1881"/>
      <c r="EG1881"/>
      <c r="EH1881"/>
      <c r="EI1881"/>
      <c r="EJ1881"/>
      <c r="EK1881"/>
      <c r="EL1881"/>
      <c r="EM1881"/>
      <c r="EN1881"/>
      <c r="EO1881"/>
      <c r="EP1881"/>
      <c r="EQ1881"/>
      <c r="ER1881"/>
      <c r="ES1881"/>
    </row>
    <row r="1882" spans="1:149">
      <c r="A1882"/>
      <c r="B1882"/>
      <c r="C1882"/>
      <c r="D1882"/>
      <c r="E1882"/>
      <c r="F1882"/>
      <c r="G1882"/>
      <c r="H1882"/>
      <c r="I1882"/>
      <c r="J1882"/>
      <c r="K1882"/>
      <c r="L1882"/>
      <c r="M1882"/>
      <c r="N1882"/>
      <c r="O1882"/>
      <c r="P1882"/>
      <c r="Q1882"/>
      <c r="R1882"/>
      <c r="S1882"/>
      <c r="T1882"/>
      <c r="U1882"/>
      <c r="V1882"/>
      <c r="W1882"/>
      <c r="X1882"/>
      <c r="Y1882"/>
      <c r="Z1882"/>
      <c r="AA1882"/>
      <c r="AB1882"/>
      <c r="AC1882"/>
      <c r="AD1882"/>
      <c r="AE1882"/>
      <c r="AF1882"/>
      <c r="AG1882"/>
      <c r="AH1882"/>
      <c r="AI1882"/>
      <c r="AJ1882"/>
      <c r="AK1882"/>
      <c r="AL1882"/>
      <c r="AM1882"/>
      <c r="AN1882"/>
      <c r="AO1882"/>
      <c r="AP1882"/>
      <c r="AQ1882"/>
      <c r="AR1882"/>
      <c r="AS1882"/>
      <c r="AT1882"/>
      <c r="AU1882"/>
      <c r="AV1882"/>
      <c r="AW1882"/>
      <c r="AX1882"/>
      <c r="AY1882"/>
      <c r="AZ1882"/>
      <c r="BA1882"/>
      <c r="BB1882"/>
      <c r="BC1882"/>
      <c r="BD1882"/>
      <c r="BE1882"/>
      <c r="BF1882"/>
      <c r="BG1882"/>
      <c r="BH1882"/>
      <c r="BI1882"/>
      <c r="BJ1882"/>
      <c r="BK1882"/>
      <c r="BL1882"/>
      <c r="BM1882"/>
      <c r="BN1882"/>
      <c r="BO1882"/>
      <c r="BP1882"/>
      <c r="BQ1882"/>
      <c r="BR1882"/>
      <c r="BS1882"/>
      <c r="BT1882"/>
      <c r="BU1882"/>
      <c r="BV1882"/>
      <c r="BW1882"/>
      <c r="BX1882"/>
      <c r="BY1882"/>
      <c r="BZ1882"/>
      <c r="CA1882"/>
      <c r="CB1882"/>
      <c r="CC1882"/>
      <c r="CD1882"/>
      <c r="CE1882"/>
      <c r="CF1882"/>
      <c r="CG1882"/>
      <c r="CH1882"/>
      <c r="CI1882"/>
      <c r="CJ1882"/>
      <c r="CK1882"/>
      <c r="CL1882"/>
      <c r="CM1882"/>
      <c r="CN1882"/>
      <c r="CO1882"/>
      <c r="CP1882"/>
      <c r="CQ1882"/>
      <c r="CR1882"/>
      <c r="CS1882"/>
      <c r="CT1882"/>
      <c r="CU1882"/>
      <c r="CV1882"/>
      <c r="CW1882"/>
      <c r="CX1882"/>
      <c r="CY1882"/>
      <c r="CZ1882"/>
      <c r="DA1882"/>
      <c r="DB1882"/>
      <c r="DC1882"/>
      <c r="DD1882"/>
      <c r="DE1882"/>
      <c r="DF1882"/>
      <c r="DG1882"/>
      <c r="DH1882"/>
      <c r="DI1882"/>
      <c r="DJ1882"/>
      <c r="DK1882"/>
      <c r="DL1882"/>
      <c r="DM1882"/>
      <c r="DN1882"/>
      <c r="DO1882"/>
      <c r="DP1882"/>
      <c r="DQ1882"/>
      <c r="DR1882"/>
      <c r="DS1882"/>
      <c r="DT1882"/>
      <c r="DU1882"/>
      <c r="DV1882"/>
      <c r="DW1882"/>
      <c r="DX1882"/>
      <c r="DY1882"/>
      <c r="DZ1882"/>
      <c r="EA1882"/>
      <c r="EB1882"/>
      <c r="EC1882"/>
      <c r="ED1882"/>
      <c r="EE1882"/>
      <c r="EF1882"/>
      <c r="EG1882"/>
      <c r="EH1882"/>
      <c r="EI1882"/>
      <c r="EJ1882"/>
      <c r="EK1882"/>
      <c r="EL1882"/>
      <c r="EM1882"/>
      <c r="EN1882"/>
      <c r="EO1882"/>
      <c r="EP1882"/>
      <c r="EQ1882"/>
      <c r="ER1882"/>
      <c r="ES1882"/>
    </row>
    <row r="1883" spans="1:149">
      <c r="A1883"/>
      <c r="B1883"/>
      <c r="C1883"/>
      <c r="D1883"/>
      <c r="E1883"/>
      <c r="F1883"/>
      <c r="G1883"/>
      <c r="H1883"/>
      <c r="I1883"/>
      <c r="J1883"/>
      <c r="K1883"/>
      <c r="L1883"/>
      <c r="M1883"/>
      <c r="N1883"/>
      <c r="O1883"/>
      <c r="P1883"/>
      <c r="Q1883"/>
      <c r="R1883"/>
      <c r="S1883"/>
      <c r="T1883"/>
      <c r="U1883"/>
      <c r="V1883"/>
      <c r="W1883"/>
      <c r="X1883"/>
      <c r="Y1883"/>
      <c r="Z1883"/>
      <c r="AA1883"/>
      <c r="AB1883"/>
      <c r="AC1883"/>
      <c r="AD1883"/>
      <c r="AE1883"/>
      <c r="AF1883"/>
      <c r="AG1883"/>
      <c r="AH1883"/>
      <c r="AI1883"/>
      <c r="AJ1883"/>
      <c r="AK1883"/>
      <c r="AL1883"/>
      <c r="AM1883"/>
      <c r="AN1883"/>
      <c r="AO1883"/>
      <c r="AP1883"/>
      <c r="AQ1883"/>
      <c r="AR1883"/>
      <c r="AS1883"/>
      <c r="AT1883"/>
      <c r="AU1883"/>
      <c r="AV1883"/>
      <c r="AW1883"/>
      <c r="AX1883"/>
      <c r="AY1883"/>
      <c r="AZ1883"/>
      <c r="BA1883"/>
      <c r="BB1883"/>
      <c r="BC1883"/>
      <c r="BD1883"/>
      <c r="BE1883"/>
      <c r="BF1883"/>
      <c r="BG1883"/>
      <c r="BH1883"/>
      <c r="BI1883"/>
      <c r="BJ1883"/>
      <c r="BK1883"/>
      <c r="BL1883"/>
      <c r="BM1883"/>
      <c r="BN1883"/>
      <c r="BO1883"/>
      <c r="BP1883"/>
      <c r="BQ1883"/>
      <c r="BR1883"/>
      <c r="BS1883"/>
      <c r="BT1883"/>
      <c r="BU1883"/>
      <c r="BV1883"/>
      <c r="BW1883"/>
      <c r="BX1883"/>
      <c r="BY1883"/>
      <c r="BZ1883"/>
      <c r="CA1883"/>
      <c r="CB1883"/>
      <c r="CC1883"/>
      <c r="CD1883"/>
      <c r="CE1883"/>
      <c r="CF1883"/>
      <c r="CG1883"/>
      <c r="CH1883"/>
      <c r="CI1883"/>
      <c r="CJ1883"/>
      <c r="CK1883"/>
      <c r="CL1883"/>
      <c r="CM1883"/>
      <c r="CN1883"/>
      <c r="CO1883"/>
      <c r="CP1883"/>
      <c r="CQ1883"/>
      <c r="CR1883"/>
      <c r="CS1883"/>
      <c r="CT1883"/>
      <c r="CU1883"/>
      <c r="CV1883"/>
      <c r="CW1883"/>
      <c r="CX1883"/>
      <c r="CY1883"/>
      <c r="CZ1883"/>
      <c r="DA1883"/>
      <c r="DB1883"/>
      <c r="DC1883"/>
      <c r="DD1883"/>
      <c r="DE1883"/>
      <c r="DF1883"/>
      <c r="DG1883"/>
      <c r="DH1883"/>
      <c r="DI1883"/>
      <c r="DJ1883"/>
      <c r="DK1883"/>
      <c r="DL1883"/>
      <c r="DM1883"/>
      <c r="DN1883"/>
      <c r="DO1883"/>
      <c r="DP1883"/>
      <c r="DQ1883"/>
      <c r="DR1883"/>
      <c r="DS1883"/>
      <c r="DT1883"/>
      <c r="DU1883"/>
      <c r="DV1883"/>
      <c r="DW1883"/>
      <c r="DX1883"/>
      <c r="DY1883"/>
      <c r="DZ1883"/>
      <c r="EA1883"/>
      <c r="EB1883"/>
      <c r="EC1883"/>
      <c r="ED1883"/>
      <c r="EE1883"/>
      <c r="EF1883"/>
      <c r="EG1883"/>
      <c r="EH1883"/>
      <c r="EI1883"/>
      <c r="EJ1883"/>
      <c r="EK1883"/>
      <c r="EL1883"/>
      <c r="EM1883"/>
      <c r="EN1883"/>
      <c r="EO1883"/>
      <c r="EP1883"/>
      <c r="EQ1883"/>
      <c r="ER1883"/>
      <c r="ES1883"/>
    </row>
    <row r="1884" spans="1:149">
      <c r="A1884"/>
      <c r="B1884"/>
      <c r="C1884"/>
      <c r="D1884"/>
      <c r="E1884"/>
      <c r="F1884"/>
      <c r="G1884"/>
      <c r="H1884"/>
      <c r="I1884"/>
      <c r="J1884"/>
      <c r="K1884"/>
      <c r="L1884"/>
      <c r="M1884"/>
      <c r="N1884"/>
      <c r="O1884"/>
      <c r="P1884"/>
      <c r="Q1884"/>
      <c r="R1884"/>
      <c r="S1884"/>
      <c r="T1884"/>
      <c r="U1884"/>
      <c r="V1884"/>
      <c r="W1884"/>
      <c r="X1884"/>
      <c r="Y1884"/>
      <c r="Z1884"/>
      <c r="AA1884"/>
      <c r="AB1884"/>
      <c r="AC1884"/>
      <c r="AD1884"/>
      <c r="AE1884"/>
      <c r="AF1884"/>
      <c r="AG1884"/>
      <c r="AH1884"/>
      <c r="AI1884"/>
      <c r="AJ1884"/>
      <c r="AK1884"/>
      <c r="AL1884"/>
      <c r="AM1884"/>
      <c r="AN1884"/>
      <c r="AO1884"/>
      <c r="AP1884"/>
      <c r="AQ1884"/>
      <c r="AR1884"/>
      <c r="AS1884"/>
      <c r="AT1884"/>
      <c r="AU1884"/>
      <c r="AV1884"/>
      <c r="AW1884"/>
      <c r="AX1884"/>
      <c r="AY1884"/>
      <c r="AZ1884"/>
      <c r="BA1884"/>
      <c r="BB1884"/>
      <c r="BC1884"/>
      <c r="BD1884"/>
      <c r="BE1884"/>
      <c r="BF1884"/>
      <c r="BG1884"/>
      <c r="BH1884"/>
      <c r="BI1884"/>
      <c r="BJ1884"/>
      <c r="BK1884"/>
      <c r="BL1884"/>
      <c r="BM1884"/>
      <c r="BN1884"/>
      <c r="BO1884"/>
      <c r="BP1884"/>
      <c r="BQ1884"/>
      <c r="BR1884"/>
      <c r="BS1884"/>
      <c r="BT1884"/>
      <c r="BU1884"/>
      <c r="BV1884"/>
      <c r="BW1884"/>
      <c r="BX1884"/>
      <c r="BY1884"/>
      <c r="BZ1884"/>
      <c r="CA1884"/>
      <c r="CB1884"/>
      <c r="CC1884"/>
      <c r="CD1884"/>
      <c r="CE1884"/>
      <c r="CF1884"/>
      <c r="CG1884"/>
      <c r="CH1884"/>
      <c r="CI1884"/>
      <c r="CJ1884"/>
      <c r="CK1884"/>
      <c r="CL1884"/>
      <c r="CM1884"/>
      <c r="CN1884"/>
      <c r="CO1884"/>
      <c r="CP1884"/>
      <c r="CQ1884"/>
      <c r="CR1884"/>
      <c r="CS1884"/>
      <c r="CT1884"/>
      <c r="CU1884"/>
      <c r="CV1884"/>
      <c r="CW1884"/>
      <c r="CX1884"/>
      <c r="CY1884"/>
      <c r="CZ1884"/>
      <c r="DA1884"/>
      <c r="DB1884"/>
      <c r="DC1884"/>
      <c r="DD1884"/>
      <c r="DE1884"/>
      <c r="DF1884"/>
      <c r="DG1884"/>
      <c r="DH1884"/>
      <c r="DI1884"/>
      <c r="DJ1884"/>
      <c r="DK1884"/>
      <c r="DL1884"/>
      <c r="DM1884"/>
      <c r="DN1884"/>
      <c r="DO1884"/>
      <c r="DP1884"/>
      <c r="DQ1884"/>
      <c r="DR1884"/>
      <c r="DS1884"/>
      <c r="DT1884"/>
      <c r="DU1884"/>
      <c r="DV1884"/>
      <c r="DW1884"/>
      <c r="DX1884"/>
      <c r="DY1884"/>
      <c r="DZ1884"/>
      <c r="EA1884"/>
      <c r="EB1884"/>
      <c r="EC1884"/>
      <c r="ED1884"/>
      <c r="EE1884"/>
      <c r="EF1884"/>
      <c r="EG1884"/>
      <c r="EH1884"/>
      <c r="EI1884"/>
      <c r="EJ1884"/>
      <c r="EK1884"/>
      <c r="EL1884"/>
      <c r="EM1884"/>
      <c r="EN1884"/>
      <c r="EO1884"/>
      <c r="EP1884"/>
      <c r="EQ1884"/>
      <c r="ER1884"/>
      <c r="ES1884"/>
    </row>
    <row r="1885" spans="1:149">
      <c r="A1885"/>
      <c r="B1885"/>
      <c r="C1885"/>
      <c r="D1885"/>
      <c r="E1885"/>
      <c r="F1885"/>
      <c r="G1885"/>
      <c r="H1885"/>
      <c r="I1885"/>
      <c r="J1885"/>
      <c r="K1885"/>
      <c r="L1885"/>
      <c r="M1885"/>
      <c r="N1885"/>
      <c r="O1885"/>
      <c r="P1885"/>
      <c r="Q1885"/>
      <c r="R1885"/>
      <c r="S1885"/>
      <c r="T1885"/>
      <c r="U1885"/>
      <c r="V1885"/>
      <c r="W1885"/>
      <c r="X1885"/>
      <c r="Y1885"/>
      <c r="Z1885"/>
      <c r="AA1885"/>
      <c r="AB1885"/>
      <c r="AC1885"/>
      <c r="AD1885"/>
      <c r="AE1885"/>
      <c r="AF1885"/>
      <c r="AG1885"/>
      <c r="AH1885"/>
      <c r="AI1885"/>
      <c r="AJ1885"/>
      <c r="AK1885"/>
      <c r="AL1885"/>
      <c r="AM1885"/>
      <c r="AN1885"/>
      <c r="AO1885"/>
      <c r="AP1885"/>
      <c r="AQ1885"/>
      <c r="AR1885"/>
      <c r="AS1885"/>
      <c r="AT1885"/>
      <c r="AU1885"/>
      <c r="AV1885"/>
      <c r="AW1885"/>
      <c r="AX1885"/>
      <c r="AY1885"/>
      <c r="AZ1885"/>
      <c r="BA1885"/>
      <c r="BB1885"/>
      <c r="BC1885"/>
      <c r="BD1885"/>
      <c r="BE1885"/>
      <c r="BF1885"/>
      <c r="BG1885"/>
      <c r="BH1885"/>
      <c r="BI1885"/>
      <c r="BJ1885"/>
      <c r="BK1885"/>
      <c r="BL1885"/>
      <c r="BM1885"/>
      <c r="BN1885"/>
      <c r="BO1885"/>
      <c r="BP1885"/>
      <c r="BQ1885"/>
      <c r="BR1885"/>
      <c r="BS1885"/>
      <c r="BT1885"/>
      <c r="BU1885"/>
      <c r="BV1885"/>
      <c r="BW1885"/>
      <c r="BX1885"/>
      <c r="BY1885"/>
      <c r="BZ1885"/>
      <c r="CA1885"/>
      <c r="CB1885"/>
      <c r="CC1885"/>
      <c r="CD1885"/>
      <c r="CE1885"/>
      <c r="CF1885"/>
      <c r="CG1885"/>
      <c r="CH1885"/>
      <c r="CI1885"/>
      <c r="CJ1885"/>
      <c r="CK1885"/>
      <c r="CL1885"/>
      <c r="CM1885"/>
      <c r="CN1885"/>
      <c r="CO1885"/>
      <c r="CP1885"/>
      <c r="CQ1885"/>
      <c r="CR1885"/>
      <c r="CS1885"/>
      <c r="CT1885"/>
      <c r="CU1885"/>
      <c r="CV1885"/>
      <c r="CW1885"/>
      <c r="CX1885"/>
      <c r="CY1885"/>
      <c r="CZ1885"/>
      <c r="DA1885"/>
      <c r="DB1885"/>
      <c r="DC1885"/>
      <c r="DD1885"/>
      <c r="DE1885"/>
      <c r="DF1885"/>
      <c r="DG1885"/>
      <c r="DH1885"/>
      <c r="DI1885"/>
      <c r="DJ1885"/>
      <c r="DK1885"/>
      <c r="DL1885"/>
      <c r="DM1885"/>
      <c r="DN1885"/>
      <c r="DO1885"/>
      <c r="DP1885"/>
      <c r="DQ1885"/>
      <c r="DR1885"/>
      <c r="DS1885"/>
      <c r="DT1885"/>
      <c r="DU1885"/>
      <c r="DV1885"/>
      <c r="DW1885"/>
      <c r="DX1885"/>
      <c r="DY1885"/>
      <c r="DZ1885"/>
      <c r="EA1885"/>
      <c r="EB1885"/>
      <c r="EC1885"/>
      <c r="ED1885"/>
      <c r="EE1885"/>
      <c r="EF1885"/>
      <c r="EG1885"/>
      <c r="EH1885"/>
      <c r="EI1885"/>
      <c r="EJ1885"/>
      <c r="EK1885"/>
      <c r="EL1885"/>
      <c r="EM1885"/>
      <c r="EN1885"/>
      <c r="EO1885"/>
      <c r="EP1885"/>
      <c r="EQ1885"/>
      <c r="ER1885"/>
      <c r="ES1885"/>
    </row>
    <row r="1886" spans="1:149">
      <c r="A1886"/>
      <c r="B1886"/>
      <c r="C1886"/>
      <c r="D1886"/>
      <c r="E1886"/>
      <c r="F1886"/>
      <c r="G1886"/>
      <c r="H1886"/>
      <c r="I1886"/>
      <c r="J1886"/>
      <c r="K1886"/>
      <c r="L1886"/>
      <c r="M1886"/>
      <c r="N1886"/>
      <c r="O1886"/>
      <c r="P1886"/>
      <c r="Q1886"/>
      <c r="R1886"/>
      <c r="S1886"/>
      <c r="T1886"/>
      <c r="U1886"/>
      <c r="V1886"/>
      <c r="W1886"/>
      <c r="X1886"/>
      <c r="Y1886"/>
      <c r="Z1886"/>
      <c r="AA1886"/>
      <c r="AB1886"/>
      <c r="AC1886"/>
      <c r="AD1886"/>
      <c r="AE1886"/>
      <c r="AF1886"/>
      <c r="AG1886"/>
      <c r="AH1886"/>
      <c r="AI1886"/>
      <c r="AJ1886"/>
      <c r="AK1886"/>
      <c r="AL1886"/>
      <c r="AM1886"/>
      <c r="AN1886"/>
      <c r="AO1886"/>
      <c r="AP1886"/>
      <c r="AQ1886"/>
      <c r="AR1886"/>
      <c r="AS1886"/>
      <c r="AT1886"/>
      <c r="AU1886"/>
      <c r="AV1886"/>
      <c r="AW1886"/>
      <c r="AX1886"/>
      <c r="AY1886"/>
      <c r="AZ1886"/>
      <c r="BA1886"/>
      <c r="BB1886"/>
      <c r="BC1886"/>
      <c r="BD1886"/>
      <c r="BE1886"/>
      <c r="BF1886"/>
      <c r="BG1886"/>
      <c r="BH1886"/>
      <c r="BI1886"/>
      <c r="BJ1886"/>
      <c r="BK1886"/>
      <c r="BL1886"/>
      <c r="BM1886"/>
      <c r="BN1886"/>
      <c r="BO1886"/>
      <c r="BP1886"/>
      <c r="BQ1886"/>
      <c r="BR1886"/>
      <c r="BS1886"/>
      <c r="BT1886"/>
      <c r="BU1886"/>
      <c r="BV1886"/>
      <c r="BW1886"/>
      <c r="BX1886"/>
      <c r="BY1886"/>
      <c r="BZ1886"/>
      <c r="CA1886"/>
      <c r="CB1886"/>
      <c r="CC1886"/>
      <c r="CD1886"/>
      <c r="CE1886"/>
      <c r="CF1886"/>
      <c r="CG1886"/>
      <c r="CH1886"/>
      <c r="CI1886"/>
      <c r="CJ1886"/>
      <c r="CK1886"/>
      <c r="CL1886"/>
      <c r="CM1886"/>
      <c r="CN1886"/>
      <c r="CO1886"/>
      <c r="CP1886"/>
      <c r="CQ1886"/>
      <c r="CR1886"/>
      <c r="CS1886"/>
      <c r="CT1886"/>
      <c r="CU1886"/>
      <c r="CV1886"/>
      <c r="CW1886"/>
      <c r="CX1886"/>
      <c r="CY1886"/>
      <c r="CZ1886"/>
      <c r="DA1886"/>
      <c r="DB1886"/>
      <c r="DC1886"/>
      <c r="DD1886"/>
      <c r="DE1886"/>
      <c r="DF1886"/>
      <c r="DG1886"/>
      <c r="DH1886"/>
      <c r="DI1886"/>
      <c r="DJ1886"/>
      <c r="DK1886"/>
      <c r="DL1886"/>
      <c r="DM1886"/>
      <c r="DN1886"/>
      <c r="DO1886"/>
      <c r="DP1886"/>
      <c r="DQ1886"/>
      <c r="DR1886"/>
      <c r="DS1886"/>
      <c r="DT1886"/>
      <c r="DU1886"/>
      <c r="DV1886"/>
      <c r="DW1886"/>
      <c r="DX1886"/>
      <c r="DY1886"/>
      <c r="DZ1886"/>
      <c r="EA1886"/>
      <c r="EB1886"/>
      <c r="EC1886"/>
      <c r="ED1886"/>
      <c r="EE1886"/>
      <c r="EF1886"/>
      <c r="EG1886"/>
      <c r="EH1886"/>
      <c r="EI1886"/>
      <c r="EJ1886"/>
      <c r="EK1886"/>
      <c r="EL1886"/>
      <c r="EM1886"/>
      <c r="EN1886"/>
      <c r="EO1886"/>
      <c r="EP1886"/>
      <c r="EQ1886"/>
      <c r="ER1886"/>
      <c r="ES1886"/>
    </row>
    <row r="1887" spans="1:149">
      <c r="A1887"/>
      <c r="B1887"/>
      <c r="C1887"/>
      <c r="D1887"/>
      <c r="E1887"/>
      <c r="F1887"/>
      <c r="G1887"/>
      <c r="H1887"/>
      <c r="I1887"/>
      <c r="J1887"/>
      <c r="K1887"/>
      <c r="L1887"/>
      <c r="M1887"/>
      <c r="N1887"/>
      <c r="O1887"/>
      <c r="P1887"/>
      <c r="Q1887"/>
      <c r="R1887"/>
      <c r="S1887"/>
      <c r="T1887"/>
      <c r="U1887"/>
      <c r="V1887"/>
      <c r="W1887"/>
      <c r="X1887"/>
      <c r="Y1887"/>
      <c r="Z1887"/>
      <c r="AA1887"/>
      <c r="AB1887"/>
      <c r="AC1887"/>
      <c r="AD1887"/>
      <c r="AE1887"/>
      <c r="AF1887"/>
      <c r="AG1887"/>
      <c r="AH1887"/>
      <c r="AI1887"/>
      <c r="AJ1887"/>
      <c r="AK1887"/>
      <c r="AL1887"/>
      <c r="AM1887"/>
      <c r="AN1887"/>
      <c r="AO1887"/>
      <c r="AP1887"/>
      <c r="AQ1887"/>
      <c r="AR1887"/>
      <c r="AS1887"/>
      <c r="AT1887"/>
      <c r="AU1887"/>
      <c r="AV1887"/>
      <c r="AW1887"/>
      <c r="AX1887"/>
      <c r="AY1887"/>
      <c r="AZ1887"/>
      <c r="BA1887"/>
      <c r="BB1887"/>
      <c r="BC1887"/>
      <c r="BD1887"/>
      <c r="BE1887"/>
      <c r="BF1887"/>
      <c r="BG1887"/>
      <c r="BH1887"/>
      <c r="BI1887"/>
      <c r="BJ1887"/>
      <c r="BK1887"/>
      <c r="BL1887"/>
      <c r="BM1887"/>
      <c r="BN1887"/>
      <c r="BO1887"/>
      <c r="BP1887"/>
      <c r="BQ1887"/>
      <c r="BR1887"/>
      <c r="BS1887"/>
      <c r="BT1887"/>
      <c r="BU1887"/>
      <c r="BV1887"/>
      <c r="BW1887"/>
      <c r="BX1887"/>
      <c r="BY1887"/>
      <c r="BZ1887"/>
      <c r="CA1887"/>
      <c r="CB1887"/>
      <c r="CC1887"/>
      <c r="CD1887"/>
      <c r="CE1887"/>
      <c r="CF1887"/>
      <c r="CG1887"/>
      <c r="CH1887"/>
      <c r="CI1887"/>
      <c r="CJ1887"/>
      <c r="CK1887"/>
      <c r="CL1887"/>
      <c r="CM1887"/>
      <c r="CN1887"/>
      <c r="CO1887"/>
      <c r="CP1887"/>
      <c r="CQ1887"/>
      <c r="CR1887"/>
      <c r="CS1887"/>
      <c r="CT1887"/>
      <c r="CU1887"/>
      <c r="CV1887"/>
      <c r="CW1887"/>
      <c r="CX1887"/>
      <c r="CY1887"/>
      <c r="CZ1887"/>
      <c r="DA1887"/>
      <c r="DB1887"/>
      <c r="DC1887"/>
      <c r="DD1887"/>
      <c r="DE1887"/>
      <c r="DF1887"/>
      <c r="DG1887"/>
      <c r="DH1887"/>
      <c r="DI1887"/>
      <c r="DJ1887"/>
      <c r="DK1887"/>
      <c r="DL1887"/>
      <c r="DM1887"/>
      <c r="DN1887"/>
      <c r="DO1887"/>
      <c r="DP1887"/>
      <c r="DQ1887"/>
      <c r="DR1887"/>
      <c r="DS1887"/>
      <c r="DT1887"/>
      <c r="DU1887"/>
      <c r="DV1887"/>
      <c r="DW1887"/>
      <c r="DX1887"/>
      <c r="DY1887"/>
      <c r="DZ1887"/>
      <c r="EA1887"/>
      <c r="EB1887"/>
      <c r="EC1887"/>
      <c r="ED1887"/>
      <c r="EE1887"/>
      <c r="EF1887"/>
      <c r="EG1887"/>
      <c r="EH1887"/>
      <c r="EI1887"/>
      <c r="EJ1887"/>
      <c r="EK1887"/>
      <c r="EL1887"/>
      <c r="EM1887"/>
      <c r="EN1887"/>
      <c r="EO1887"/>
      <c r="EP1887"/>
      <c r="EQ1887"/>
      <c r="ER1887"/>
      <c r="ES1887"/>
    </row>
    <row r="1888" spans="1:149">
      <c r="A1888"/>
      <c r="B1888"/>
      <c r="C1888"/>
      <c r="D1888"/>
      <c r="E1888"/>
      <c r="F1888"/>
      <c r="G1888"/>
      <c r="H1888"/>
      <c r="I1888"/>
      <c r="J1888"/>
      <c r="K1888"/>
      <c r="L1888"/>
      <c r="M1888"/>
      <c r="N1888"/>
      <c r="O1888"/>
      <c r="P1888"/>
      <c r="Q1888"/>
      <c r="R1888"/>
      <c r="S1888"/>
      <c r="T1888"/>
      <c r="U1888"/>
      <c r="V1888"/>
      <c r="W1888"/>
      <c r="X1888"/>
      <c r="Y1888"/>
      <c r="Z1888"/>
      <c r="AA1888"/>
      <c r="AB1888"/>
      <c r="AC1888"/>
      <c r="AD1888"/>
      <c r="AE1888"/>
      <c r="AF1888"/>
      <c r="AG1888"/>
      <c r="AH1888"/>
      <c r="AI1888"/>
      <c r="AJ1888"/>
      <c r="AK1888"/>
      <c r="AL1888"/>
      <c r="AM1888"/>
      <c r="AN1888"/>
      <c r="AO1888"/>
      <c r="AP1888"/>
      <c r="AQ1888"/>
      <c r="AR1888"/>
      <c r="AS1888"/>
      <c r="AT1888"/>
      <c r="AU1888"/>
      <c r="AV1888"/>
      <c r="AW1888"/>
      <c r="AX1888"/>
      <c r="AY1888"/>
      <c r="AZ1888"/>
      <c r="BA1888"/>
      <c r="BB1888"/>
      <c r="BC1888"/>
      <c r="BD1888"/>
      <c r="BE1888"/>
      <c r="BF1888"/>
      <c r="BG1888"/>
      <c r="BH1888"/>
      <c r="BI1888"/>
      <c r="BJ1888"/>
      <c r="BK1888"/>
      <c r="BL1888"/>
      <c r="BM1888"/>
      <c r="BN1888"/>
      <c r="BO1888"/>
      <c r="BP1888"/>
      <c r="BQ1888"/>
      <c r="BR1888"/>
      <c r="BS1888"/>
      <c r="BT1888"/>
      <c r="BU1888"/>
      <c r="BV1888"/>
      <c r="BW1888"/>
      <c r="BX1888"/>
      <c r="BY1888"/>
      <c r="BZ1888"/>
      <c r="CA1888"/>
      <c r="CB1888"/>
      <c r="CC1888"/>
      <c r="CD1888"/>
      <c r="CE1888"/>
      <c r="CF1888"/>
      <c r="CG1888"/>
      <c r="CH1888"/>
      <c r="CI1888"/>
      <c r="CJ1888"/>
      <c r="CK1888"/>
      <c r="CL1888"/>
      <c r="CM1888"/>
      <c r="CN1888"/>
      <c r="CO1888"/>
      <c r="CP1888"/>
      <c r="CQ1888"/>
      <c r="CR1888"/>
      <c r="CS1888"/>
      <c r="CT1888"/>
      <c r="CU1888"/>
      <c r="CV1888"/>
      <c r="CW1888"/>
      <c r="CX1888"/>
      <c r="CY1888"/>
      <c r="CZ1888"/>
      <c r="DA1888"/>
      <c r="DB1888"/>
      <c r="DC1888"/>
      <c r="DD1888"/>
      <c r="DE1888"/>
      <c r="DF1888"/>
      <c r="DG1888"/>
      <c r="DH1888"/>
      <c r="DI1888"/>
      <c r="DJ1888"/>
      <c r="DK1888"/>
      <c r="DL1888"/>
      <c r="DM1888"/>
      <c r="DN1888"/>
      <c r="DO1888"/>
      <c r="DP1888"/>
      <c r="DQ1888"/>
      <c r="DR1888"/>
      <c r="DS1888"/>
      <c r="DT1888"/>
      <c r="DU1888"/>
      <c r="DV1888"/>
      <c r="DW1888"/>
      <c r="DX1888"/>
      <c r="DY1888"/>
      <c r="DZ1888"/>
      <c r="EA1888"/>
      <c r="EB1888"/>
      <c r="EC1888"/>
      <c r="ED1888"/>
      <c r="EE1888"/>
      <c r="EF1888"/>
      <c r="EG1888"/>
      <c r="EH1888"/>
      <c r="EI1888"/>
      <c r="EJ1888"/>
      <c r="EK1888"/>
      <c r="EL1888"/>
      <c r="EM1888"/>
      <c r="EN1888"/>
      <c r="EO1888"/>
      <c r="EP1888"/>
      <c r="EQ1888"/>
      <c r="ER1888"/>
      <c r="ES1888"/>
    </row>
    <row r="1889" spans="1:149">
      <c r="A1889"/>
      <c r="B1889"/>
      <c r="C1889"/>
      <c r="D1889"/>
      <c r="E1889"/>
      <c r="F1889"/>
      <c r="G1889"/>
      <c r="H1889"/>
      <c r="I1889"/>
      <c r="J1889"/>
      <c r="K1889"/>
      <c r="L1889"/>
      <c r="M1889"/>
      <c r="N1889"/>
      <c r="O1889"/>
      <c r="P1889"/>
      <c r="Q1889"/>
      <c r="R1889"/>
      <c r="S1889"/>
      <c r="T1889"/>
      <c r="U1889"/>
      <c r="V1889"/>
      <c r="W1889"/>
      <c r="X1889"/>
      <c r="Y1889"/>
      <c r="Z1889"/>
      <c r="AA1889"/>
      <c r="AB1889"/>
      <c r="AC1889"/>
      <c r="AD1889"/>
      <c r="AE1889"/>
      <c r="AF1889"/>
      <c r="AG1889"/>
      <c r="AH1889"/>
      <c r="AI1889"/>
      <c r="AJ1889"/>
      <c r="AK1889"/>
      <c r="AL1889"/>
      <c r="AM1889"/>
      <c r="AN1889"/>
      <c r="AO1889"/>
      <c r="AP1889"/>
      <c r="AQ1889"/>
      <c r="AR1889"/>
      <c r="AS1889"/>
      <c r="AT1889"/>
      <c r="AU1889"/>
      <c r="AV1889"/>
      <c r="AW1889"/>
      <c r="AX1889"/>
      <c r="AY1889"/>
      <c r="AZ1889"/>
      <c r="BA1889"/>
      <c r="BB1889"/>
      <c r="BC1889"/>
      <c r="BD1889"/>
      <c r="BE1889"/>
      <c r="BF1889"/>
      <c r="BG1889"/>
      <c r="BH1889"/>
      <c r="BI1889"/>
      <c r="BJ1889"/>
      <c r="BK1889"/>
      <c r="BL1889"/>
      <c r="BM1889"/>
      <c r="BN1889"/>
      <c r="BO1889"/>
      <c r="BP1889"/>
      <c r="BQ1889"/>
      <c r="BR1889"/>
      <c r="BS1889"/>
      <c r="BT1889"/>
      <c r="BU1889"/>
      <c r="BV1889"/>
      <c r="BW1889"/>
      <c r="BX1889"/>
      <c r="BY1889"/>
      <c r="BZ1889"/>
      <c r="CA1889"/>
      <c r="CB1889"/>
      <c r="CC1889"/>
      <c r="CD1889"/>
      <c r="CE1889"/>
      <c r="CF1889"/>
      <c r="CG1889"/>
      <c r="CH1889"/>
      <c r="CI1889"/>
      <c r="CJ1889"/>
      <c r="CK1889"/>
      <c r="CL1889"/>
      <c r="CM1889"/>
      <c r="CN1889"/>
      <c r="CO1889"/>
      <c r="CP1889"/>
      <c r="CQ1889"/>
      <c r="CR1889"/>
      <c r="CS1889"/>
      <c r="CT1889"/>
      <c r="CU1889"/>
      <c r="CV1889"/>
      <c r="CW1889"/>
      <c r="CX1889"/>
      <c r="CY1889"/>
      <c r="CZ1889"/>
      <c r="DA1889"/>
      <c r="DB1889"/>
      <c r="DC1889"/>
      <c r="DD1889"/>
      <c r="DE1889"/>
      <c r="DF1889"/>
      <c r="DG1889"/>
      <c r="DH1889"/>
      <c r="DI1889"/>
      <c r="DJ1889"/>
      <c r="DK1889"/>
      <c r="DL1889"/>
      <c r="DM1889"/>
      <c r="DN1889"/>
      <c r="DO1889"/>
      <c r="DP1889"/>
      <c r="DQ1889"/>
      <c r="DR1889"/>
      <c r="DS1889"/>
      <c r="DT1889"/>
      <c r="DU1889"/>
      <c r="DV1889"/>
      <c r="DW1889"/>
      <c r="DX1889"/>
      <c r="DY1889"/>
      <c r="DZ1889"/>
      <c r="EA1889"/>
      <c r="EB1889"/>
      <c r="EC1889"/>
      <c r="ED1889"/>
      <c r="EE1889"/>
      <c r="EF1889"/>
      <c r="EG1889"/>
      <c r="EH1889"/>
      <c r="EI1889"/>
      <c r="EJ1889"/>
      <c r="EK1889"/>
      <c r="EL1889"/>
      <c r="EM1889"/>
      <c r="EN1889"/>
      <c r="EO1889"/>
      <c r="EP1889"/>
      <c r="EQ1889"/>
      <c r="ER1889"/>
      <c r="ES1889"/>
    </row>
    <row r="1890" spans="1:149">
      <c r="A1890"/>
      <c r="B1890"/>
      <c r="C1890"/>
      <c r="D1890"/>
      <c r="E1890"/>
      <c r="F1890"/>
      <c r="G1890"/>
      <c r="H1890"/>
      <c r="I1890"/>
      <c r="J1890"/>
      <c r="K1890"/>
      <c r="L1890"/>
      <c r="M1890"/>
      <c r="N1890"/>
      <c r="O1890"/>
      <c r="P1890"/>
      <c r="Q1890"/>
      <c r="R1890"/>
      <c r="S1890"/>
      <c r="T1890"/>
      <c r="U1890"/>
      <c r="V1890"/>
      <c r="W1890"/>
      <c r="X1890"/>
      <c r="Y1890"/>
      <c r="Z1890"/>
      <c r="AA1890"/>
      <c r="AB1890"/>
      <c r="AC1890"/>
      <c r="AD1890"/>
      <c r="AE1890"/>
      <c r="AF1890"/>
      <c r="AG1890"/>
      <c r="AH1890"/>
      <c r="AI1890"/>
      <c r="AJ1890"/>
      <c r="AK1890"/>
      <c r="AL1890"/>
      <c r="AM1890"/>
      <c r="AN1890"/>
      <c r="AO1890"/>
      <c r="AP1890"/>
      <c r="AQ1890"/>
      <c r="AR1890"/>
      <c r="AS1890"/>
      <c r="AT1890"/>
      <c r="AU1890"/>
      <c r="AV1890"/>
      <c r="AW1890"/>
      <c r="AX1890"/>
      <c r="AY1890"/>
      <c r="AZ1890"/>
      <c r="BA1890"/>
      <c r="BB1890"/>
      <c r="BC1890"/>
      <c r="BD1890"/>
      <c r="BE1890"/>
      <c r="BF1890"/>
      <c r="BG1890"/>
      <c r="BH1890"/>
      <c r="BI1890"/>
      <c r="BJ1890"/>
      <c r="BK1890"/>
      <c r="BL1890"/>
      <c r="BM1890"/>
      <c r="BN1890"/>
      <c r="BO1890"/>
      <c r="BP1890"/>
      <c r="BQ1890"/>
      <c r="BR1890"/>
      <c r="BS1890"/>
      <c r="BT1890"/>
      <c r="BU1890"/>
      <c r="BV1890"/>
      <c r="BW1890"/>
      <c r="BX1890"/>
      <c r="BY1890"/>
      <c r="BZ1890"/>
      <c r="CA1890"/>
      <c r="CB1890"/>
      <c r="CC1890"/>
      <c r="CD1890"/>
      <c r="CE1890"/>
      <c r="CF1890"/>
      <c r="CG1890"/>
      <c r="CH1890"/>
      <c r="CI1890"/>
      <c r="CJ1890"/>
      <c r="CK1890"/>
      <c r="CL1890"/>
      <c r="CM1890"/>
      <c r="CN1890"/>
      <c r="CO1890"/>
      <c r="CP1890"/>
      <c r="CQ1890"/>
      <c r="CR1890"/>
      <c r="CS1890"/>
      <c r="CT1890"/>
      <c r="CU1890"/>
      <c r="CV1890"/>
      <c r="CW1890"/>
      <c r="CX1890"/>
      <c r="CY1890"/>
      <c r="CZ1890"/>
      <c r="DA1890"/>
      <c r="DB1890"/>
      <c r="DC1890"/>
      <c r="DD1890"/>
      <c r="DE1890"/>
      <c r="DF1890"/>
      <c r="DG1890"/>
      <c r="DH1890"/>
      <c r="DI1890"/>
      <c r="DJ1890"/>
      <c r="DK1890"/>
      <c r="DL1890"/>
      <c r="DM1890"/>
      <c r="DN1890"/>
      <c r="DO1890"/>
      <c r="DP1890"/>
      <c r="DQ1890"/>
      <c r="DR1890"/>
      <c r="DS1890"/>
      <c r="DT1890"/>
      <c r="DU1890"/>
      <c r="DV1890"/>
      <c r="DW1890"/>
      <c r="DX1890"/>
      <c r="DY1890"/>
      <c r="DZ1890"/>
      <c r="EA1890"/>
      <c r="EB1890"/>
      <c r="EC1890"/>
      <c r="ED1890"/>
      <c r="EE1890"/>
      <c r="EF1890"/>
      <c r="EG1890"/>
      <c r="EH1890"/>
      <c r="EI1890"/>
      <c r="EJ1890"/>
      <c r="EK1890"/>
      <c r="EL1890"/>
      <c r="EM1890"/>
      <c r="EN1890"/>
      <c r="EO1890"/>
      <c r="EP1890"/>
      <c r="EQ1890"/>
      <c r="ER1890"/>
      <c r="ES1890"/>
    </row>
    <row r="1891" spans="1:149">
      <c r="A1891"/>
      <c r="B1891"/>
      <c r="C1891"/>
      <c r="D1891"/>
      <c r="E1891"/>
      <c r="F1891"/>
      <c r="G1891"/>
      <c r="H1891"/>
      <c r="I1891"/>
      <c r="J1891"/>
      <c r="K1891"/>
      <c r="L1891"/>
      <c r="M1891"/>
      <c r="N1891"/>
      <c r="O1891"/>
      <c r="P1891"/>
      <c r="Q1891"/>
      <c r="R1891"/>
      <c r="S1891"/>
      <c r="T1891"/>
      <c r="U1891"/>
      <c r="V1891"/>
      <c r="W1891"/>
      <c r="X1891"/>
      <c r="Y1891"/>
      <c r="Z1891"/>
      <c r="AA1891"/>
      <c r="AB1891"/>
      <c r="AC1891"/>
      <c r="AD1891"/>
      <c r="AE1891"/>
      <c r="AF1891"/>
      <c r="AG1891"/>
      <c r="AH1891"/>
      <c r="AI1891"/>
      <c r="AJ1891"/>
      <c r="AK1891"/>
      <c r="AL1891"/>
      <c r="AM1891"/>
      <c r="AN1891"/>
      <c r="AO1891"/>
      <c r="AP1891"/>
      <c r="AQ1891"/>
      <c r="AR1891"/>
      <c r="AS1891"/>
      <c r="AT1891"/>
      <c r="AU1891"/>
      <c r="AV1891"/>
      <c r="AW1891"/>
      <c r="AX1891"/>
      <c r="AY1891"/>
      <c r="AZ1891"/>
      <c r="BA1891"/>
      <c r="BB1891"/>
      <c r="BC1891"/>
      <c r="BD1891"/>
      <c r="BE1891"/>
      <c r="BF1891"/>
      <c r="BG1891"/>
      <c r="BH1891"/>
      <c r="BI1891"/>
      <c r="BJ1891"/>
      <c r="BK1891"/>
      <c r="BL1891"/>
      <c r="BM1891"/>
      <c r="BN1891"/>
      <c r="BO1891"/>
      <c r="BP1891"/>
      <c r="BQ1891"/>
      <c r="BR1891"/>
      <c r="BS1891"/>
      <c r="BT1891"/>
      <c r="BU1891"/>
      <c r="BV1891"/>
      <c r="BW1891"/>
      <c r="BX1891"/>
      <c r="BY1891"/>
      <c r="BZ1891"/>
      <c r="CA1891"/>
      <c r="CB1891"/>
      <c r="CC1891"/>
      <c r="CD1891"/>
      <c r="CE1891"/>
      <c r="CF1891"/>
      <c r="CG1891"/>
      <c r="CH1891"/>
      <c r="CI1891"/>
      <c r="CJ1891"/>
      <c r="CK1891"/>
      <c r="CL1891"/>
      <c r="CM1891"/>
      <c r="CN1891"/>
      <c r="CO1891"/>
      <c r="CP1891"/>
      <c r="CQ1891"/>
      <c r="CR1891"/>
      <c r="CS1891"/>
      <c r="CT1891"/>
      <c r="CU1891"/>
      <c r="CV1891"/>
      <c r="CW1891"/>
      <c r="CX1891"/>
      <c r="CY1891"/>
      <c r="CZ1891"/>
      <c r="DA1891"/>
      <c r="DB1891"/>
      <c r="DC1891"/>
      <c r="DD1891"/>
      <c r="DE1891"/>
      <c r="DF1891"/>
      <c r="DG1891"/>
      <c r="DH1891"/>
      <c r="DI1891"/>
      <c r="DJ1891"/>
      <c r="DK1891"/>
      <c r="DL1891"/>
      <c r="DM1891"/>
      <c r="DN1891"/>
      <c r="DO1891"/>
      <c r="DP1891"/>
      <c r="DQ1891"/>
      <c r="DR1891"/>
      <c r="DS1891"/>
      <c r="DT1891"/>
      <c r="DU1891"/>
      <c r="DV1891"/>
      <c r="DW1891"/>
      <c r="DX1891"/>
      <c r="DY1891"/>
      <c r="DZ1891"/>
      <c r="EA1891"/>
      <c r="EB1891"/>
      <c r="EC1891"/>
      <c r="ED1891"/>
      <c r="EE1891"/>
      <c r="EF1891"/>
      <c r="EG1891"/>
      <c r="EH1891"/>
      <c r="EI1891"/>
      <c r="EJ1891"/>
      <c r="EK1891"/>
      <c r="EL1891"/>
      <c r="EM1891"/>
      <c r="EN1891"/>
      <c r="EO1891"/>
      <c r="EP1891"/>
      <c r="EQ1891"/>
      <c r="ER1891"/>
      <c r="ES1891"/>
    </row>
    <row r="1892" spans="1:149">
      <c r="A1892"/>
      <c r="B1892"/>
      <c r="C1892"/>
      <c r="D1892"/>
      <c r="E1892"/>
      <c r="F1892"/>
      <c r="G1892"/>
      <c r="H1892"/>
      <c r="I1892"/>
      <c r="J1892"/>
      <c r="K1892"/>
      <c r="L1892"/>
      <c r="M1892"/>
      <c r="N1892"/>
      <c r="O1892"/>
      <c r="P1892"/>
      <c r="Q1892"/>
      <c r="R1892"/>
      <c r="S1892"/>
      <c r="T1892"/>
      <c r="U1892"/>
      <c r="V1892"/>
      <c r="W1892"/>
      <c r="X1892"/>
      <c r="Y1892"/>
      <c r="Z1892"/>
      <c r="AA1892"/>
      <c r="AB1892"/>
      <c r="AC1892"/>
      <c r="AD1892"/>
      <c r="AE1892"/>
      <c r="AF1892"/>
      <c r="AG1892"/>
      <c r="AH1892"/>
      <c r="AI1892"/>
      <c r="AJ1892"/>
      <c r="AK1892"/>
      <c r="AL1892"/>
      <c r="AM1892"/>
      <c r="AN1892"/>
      <c r="AO1892"/>
      <c r="AP1892"/>
      <c r="AQ1892"/>
      <c r="AR1892"/>
      <c r="AS1892"/>
      <c r="AT1892"/>
      <c r="AU1892"/>
      <c r="AV1892"/>
      <c r="AW1892"/>
      <c r="AX1892"/>
      <c r="AY1892"/>
      <c r="AZ1892"/>
      <c r="BA1892"/>
      <c r="BB1892"/>
      <c r="BC1892"/>
      <c r="BD1892"/>
      <c r="BE1892"/>
      <c r="BF1892"/>
      <c r="BG1892"/>
      <c r="BH1892"/>
      <c r="BI1892"/>
      <c r="BJ1892"/>
      <c r="BK1892"/>
      <c r="BL1892"/>
      <c r="BM1892"/>
      <c r="BN1892"/>
      <c r="BO1892"/>
      <c r="BP1892"/>
      <c r="BQ1892"/>
      <c r="BR1892"/>
      <c r="BS1892"/>
      <c r="BT1892"/>
      <c r="BU1892"/>
      <c r="BV1892"/>
      <c r="BW1892"/>
      <c r="BX1892"/>
      <c r="BY1892"/>
      <c r="BZ1892"/>
      <c r="CA1892"/>
      <c r="CB1892"/>
      <c r="CC1892"/>
      <c r="CD1892"/>
      <c r="CE1892"/>
      <c r="CF1892"/>
      <c r="CG1892"/>
      <c r="CH1892"/>
      <c r="CI1892"/>
      <c r="CJ1892"/>
      <c r="CK1892"/>
      <c r="CL1892"/>
      <c r="CM1892"/>
      <c r="CN1892"/>
      <c r="CO1892"/>
      <c r="CP1892"/>
      <c r="CQ1892"/>
      <c r="CR1892"/>
      <c r="CS1892"/>
      <c r="CT1892"/>
      <c r="CU1892"/>
      <c r="CV1892"/>
      <c r="CW1892"/>
      <c r="CX1892"/>
      <c r="CY1892"/>
      <c r="CZ1892"/>
      <c r="DA1892"/>
      <c r="DB1892"/>
      <c r="DC1892"/>
      <c r="DD1892"/>
      <c r="DE1892"/>
      <c r="DF1892"/>
      <c r="DG1892"/>
      <c r="DH1892"/>
      <c r="DI1892"/>
      <c r="DJ1892"/>
      <c r="DK1892"/>
      <c r="DL1892"/>
      <c r="DM1892"/>
      <c r="DN1892"/>
      <c r="DO1892"/>
      <c r="DP1892"/>
      <c r="DQ1892"/>
      <c r="DR1892"/>
      <c r="DS1892"/>
      <c r="DT1892"/>
      <c r="DU1892"/>
      <c r="DV1892"/>
      <c r="DW1892"/>
      <c r="DX1892"/>
      <c r="DY1892"/>
      <c r="DZ1892"/>
      <c r="EA1892"/>
      <c r="EB1892"/>
      <c r="EC1892"/>
      <c r="ED1892"/>
      <c r="EE1892"/>
      <c r="EF1892"/>
      <c r="EG1892"/>
      <c r="EH1892"/>
      <c r="EI1892"/>
      <c r="EJ1892"/>
      <c r="EK1892"/>
      <c r="EL1892"/>
      <c r="EM1892"/>
      <c r="EN1892"/>
      <c r="EO1892"/>
      <c r="EP1892"/>
      <c r="EQ1892"/>
      <c r="ER1892"/>
      <c r="ES1892"/>
    </row>
    <row r="1893" spans="1:149">
      <c r="A1893"/>
      <c r="B1893"/>
      <c r="C1893"/>
      <c r="D1893"/>
      <c r="E1893"/>
      <c r="F1893"/>
      <c r="G1893"/>
      <c r="H1893"/>
      <c r="I1893"/>
      <c r="J1893"/>
      <c r="K1893"/>
      <c r="L1893"/>
      <c r="M1893"/>
      <c r="N1893"/>
      <c r="O1893"/>
      <c r="P1893"/>
      <c r="Q1893"/>
      <c r="R1893"/>
      <c r="S1893"/>
      <c r="T1893"/>
      <c r="U1893"/>
      <c r="V1893"/>
      <c r="W1893"/>
      <c r="X1893"/>
      <c r="Y1893"/>
      <c r="Z1893"/>
      <c r="AA1893"/>
      <c r="AB1893"/>
      <c r="AC1893"/>
      <c r="AD1893"/>
      <c r="AE1893"/>
      <c r="AF1893"/>
      <c r="AG1893"/>
      <c r="AH1893"/>
      <c r="AI1893"/>
      <c r="AJ1893"/>
      <c r="AK1893"/>
      <c r="AL1893"/>
      <c r="AM1893"/>
      <c r="AN1893"/>
      <c r="AO1893"/>
      <c r="AP1893"/>
      <c r="AQ1893"/>
      <c r="AR1893"/>
      <c r="AS1893"/>
      <c r="AT1893"/>
      <c r="AU1893"/>
      <c r="AV1893"/>
      <c r="AW1893"/>
      <c r="AX1893"/>
      <c r="AY1893"/>
      <c r="AZ1893"/>
      <c r="BA1893"/>
      <c r="BB1893"/>
      <c r="BC1893"/>
      <c r="BD1893"/>
      <c r="BE1893"/>
      <c r="BF1893"/>
      <c r="BG1893"/>
      <c r="BH1893"/>
      <c r="BI1893"/>
      <c r="BJ1893"/>
      <c r="BK1893"/>
      <c r="BL1893"/>
      <c r="BM1893"/>
      <c r="BN1893"/>
      <c r="BO1893"/>
      <c r="BP1893"/>
      <c r="BQ1893"/>
      <c r="BR1893"/>
      <c r="BS1893"/>
      <c r="BT1893"/>
      <c r="BU1893"/>
      <c r="BV1893"/>
      <c r="BW1893"/>
      <c r="BX1893"/>
      <c r="BY1893"/>
      <c r="BZ1893"/>
      <c r="CA1893"/>
      <c r="CB1893"/>
      <c r="CC1893"/>
      <c r="CD1893"/>
      <c r="CE1893"/>
      <c r="CF1893"/>
      <c r="CG1893"/>
      <c r="CH1893"/>
      <c r="CI1893"/>
      <c r="CJ1893"/>
      <c r="CK1893"/>
      <c r="CL1893"/>
      <c r="CM1893"/>
      <c r="CN1893"/>
      <c r="CO1893"/>
      <c r="CP1893"/>
      <c r="CQ1893"/>
      <c r="CR1893"/>
      <c r="CS1893"/>
      <c r="CT1893"/>
      <c r="CU1893"/>
      <c r="CV1893"/>
      <c r="CW1893"/>
      <c r="CX1893"/>
      <c r="CY1893"/>
      <c r="CZ1893"/>
      <c r="DA1893"/>
      <c r="DB1893"/>
      <c r="DC1893"/>
      <c r="DD1893"/>
      <c r="DE1893"/>
      <c r="DF1893"/>
      <c r="DG1893"/>
      <c r="DH1893"/>
      <c r="DI1893"/>
      <c r="DJ1893"/>
      <c r="DK1893"/>
      <c r="DL1893"/>
      <c r="DM1893"/>
      <c r="DN1893"/>
      <c r="DO1893"/>
      <c r="DP1893"/>
      <c r="DQ1893"/>
      <c r="DR1893"/>
      <c r="DS1893"/>
      <c r="DT1893"/>
      <c r="DU1893"/>
      <c r="DV1893"/>
      <c r="DW1893"/>
      <c r="DX1893"/>
      <c r="DY1893"/>
      <c r="DZ1893"/>
      <c r="EA1893"/>
      <c r="EB1893"/>
      <c r="EC1893"/>
      <c r="ED1893"/>
      <c r="EE1893"/>
      <c r="EF1893"/>
      <c r="EG1893"/>
      <c r="EH1893"/>
      <c r="EI1893"/>
      <c r="EJ1893"/>
      <c r="EK1893"/>
      <c r="EL1893"/>
      <c r="EM1893"/>
      <c r="EN1893"/>
      <c r="EO1893"/>
      <c r="EP1893"/>
      <c r="EQ1893"/>
      <c r="ER1893"/>
      <c r="ES1893"/>
    </row>
    <row r="1894" spans="1:149">
      <c r="A1894"/>
      <c r="B1894"/>
      <c r="C1894"/>
      <c r="D1894"/>
      <c r="E1894"/>
      <c r="F1894"/>
      <c r="G1894"/>
      <c r="H1894"/>
      <c r="I1894"/>
      <c r="J1894"/>
      <c r="K1894"/>
      <c r="L1894"/>
      <c r="M1894"/>
      <c r="N1894"/>
      <c r="O1894"/>
      <c r="P1894"/>
      <c r="Q1894"/>
      <c r="R1894"/>
      <c r="S1894"/>
      <c r="T1894"/>
      <c r="U1894"/>
      <c r="V1894"/>
      <c r="W1894"/>
      <c r="X1894"/>
      <c r="Y1894"/>
      <c r="Z1894"/>
      <c r="AA1894"/>
      <c r="AB1894"/>
      <c r="AC1894"/>
      <c r="AD1894"/>
      <c r="AE1894"/>
      <c r="AF1894"/>
      <c r="AG1894"/>
      <c r="AH1894"/>
      <c r="AI1894"/>
      <c r="AJ1894"/>
      <c r="AK1894"/>
      <c r="AL1894"/>
      <c r="AM1894"/>
      <c r="AN1894"/>
      <c r="AO1894"/>
      <c r="AP1894"/>
      <c r="AQ1894"/>
      <c r="AR1894"/>
      <c r="AS1894"/>
      <c r="AT1894"/>
      <c r="AU1894"/>
      <c r="AV1894"/>
      <c r="AW1894"/>
      <c r="AX1894"/>
      <c r="AY1894"/>
      <c r="AZ1894"/>
      <c r="BA1894"/>
      <c r="BB1894"/>
      <c r="BC1894"/>
      <c r="BD1894"/>
      <c r="BE1894"/>
      <c r="BF1894"/>
      <c r="BG1894"/>
      <c r="BH1894"/>
      <c r="BI1894"/>
      <c r="BJ1894"/>
      <c r="BK1894"/>
      <c r="BL1894"/>
      <c r="BM1894"/>
      <c r="BN1894"/>
      <c r="BO1894"/>
      <c r="BP1894"/>
      <c r="BQ1894"/>
      <c r="BR1894"/>
      <c r="BS1894"/>
      <c r="BT1894"/>
      <c r="BU1894"/>
      <c r="BV1894"/>
      <c r="BW1894"/>
      <c r="BX1894"/>
      <c r="BY1894"/>
      <c r="BZ1894"/>
      <c r="CA1894"/>
      <c r="CB1894"/>
      <c r="CC1894"/>
      <c r="CD1894"/>
      <c r="CE1894"/>
      <c r="CF1894"/>
      <c r="CG1894"/>
      <c r="CH1894"/>
      <c r="CI1894"/>
      <c r="CJ1894"/>
      <c r="CK1894"/>
      <c r="CL1894"/>
      <c r="CM1894"/>
      <c r="CN1894"/>
      <c r="CO1894"/>
      <c r="CP1894"/>
      <c r="CQ1894"/>
      <c r="CR1894"/>
      <c r="CS1894"/>
      <c r="CT1894"/>
      <c r="CU1894"/>
      <c r="CV1894"/>
      <c r="CW1894"/>
      <c r="CX1894"/>
      <c r="CY1894"/>
      <c r="CZ1894"/>
      <c r="DA1894"/>
      <c r="DB1894"/>
      <c r="DC1894"/>
      <c r="DD1894"/>
      <c r="DE1894"/>
      <c r="DF1894"/>
      <c r="DG1894"/>
      <c r="DH1894"/>
      <c r="DI1894"/>
      <c r="DJ1894"/>
      <c r="DK1894"/>
      <c r="DL1894"/>
      <c r="DM1894"/>
      <c r="DN1894"/>
      <c r="DO1894"/>
      <c r="DP1894"/>
      <c r="DQ1894"/>
      <c r="DR1894"/>
      <c r="DS1894"/>
      <c r="DT1894"/>
      <c r="DU1894"/>
      <c r="DV1894"/>
      <c r="DW1894"/>
      <c r="DX1894"/>
      <c r="DY1894"/>
      <c r="DZ1894"/>
      <c r="EA1894"/>
      <c r="EB1894"/>
      <c r="EC1894"/>
      <c r="ED1894"/>
      <c r="EE1894"/>
      <c r="EF1894"/>
      <c r="EG1894"/>
      <c r="EH1894"/>
      <c r="EI1894"/>
      <c r="EJ1894"/>
      <c r="EK1894"/>
      <c r="EL1894"/>
      <c r="EM1894"/>
      <c r="EN1894"/>
      <c r="EO1894"/>
      <c r="EP1894"/>
      <c r="EQ1894"/>
      <c r="ER1894"/>
      <c r="ES1894"/>
    </row>
    <row r="1895" spans="1:149">
      <c r="A1895"/>
      <c r="B1895"/>
      <c r="C1895"/>
      <c r="D1895"/>
      <c r="E1895"/>
      <c r="F1895"/>
      <c r="G1895"/>
      <c r="H1895"/>
      <c r="I1895"/>
      <c r="J1895"/>
      <c r="K1895"/>
      <c r="L1895"/>
      <c r="M1895"/>
      <c r="N1895"/>
      <c r="O1895"/>
      <c r="P1895"/>
      <c r="Q1895"/>
      <c r="R1895"/>
      <c r="S1895"/>
      <c r="T1895"/>
      <c r="U1895"/>
      <c r="V1895"/>
      <c r="W1895"/>
      <c r="X1895"/>
      <c r="Y1895"/>
      <c r="Z1895"/>
      <c r="AA1895"/>
      <c r="AB1895"/>
      <c r="AC1895"/>
      <c r="AD1895"/>
      <c r="AE1895"/>
      <c r="AF1895"/>
      <c r="AG1895"/>
      <c r="AH1895"/>
      <c r="AI1895"/>
      <c r="AJ1895"/>
      <c r="AK1895"/>
      <c r="AL1895"/>
      <c r="AM1895"/>
      <c r="AN1895"/>
      <c r="AO1895"/>
      <c r="AP1895"/>
      <c r="AQ1895"/>
      <c r="AR1895"/>
      <c r="AS1895"/>
      <c r="AT1895"/>
      <c r="AU1895"/>
      <c r="AV1895"/>
      <c r="AW1895"/>
      <c r="AX1895"/>
      <c r="AY1895"/>
      <c r="AZ1895"/>
      <c r="BA1895"/>
      <c r="BB1895"/>
      <c r="BC1895"/>
      <c r="BD1895"/>
      <c r="BE1895"/>
      <c r="BF1895"/>
      <c r="BG1895"/>
      <c r="BH1895"/>
      <c r="BI1895"/>
      <c r="BJ1895"/>
      <c r="BK1895"/>
      <c r="BL1895"/>
      <c r="BM1895"/>
      <c r="BN1895"/>
      <c r="BO1895"/>
      <c r="BP1895"/>
      <c r="BQ1895"/>
      <c r="BR1895"/>
      <c r="BS1895"/>
      <c r="BT1895"/>
      <c r="BU1895"/>
      <c r="BV1895"/>
      <c r="BW1895"/>
      <c r="BX1895"/>
      <c r="BY1895"/>
      <c r="BZ1895"/>
      <c r="CA1895"/>
      <c r="CB1895"/>
      <c r="CC1895"/>
      <c r="CD1895"/>
      <c r="CE1895"/>
      <c r="CF1895"/>
      <c r="CG1895"/>
      <c r="CH1895"/>
      <c r="CI1895"/>
      <c r="CJ1895"/>
      <c r="CK1895"/>
      <c r="CL1895"/>
      <c r="CM1895"/>
      <c r="CN1895"/>
      <c r="CO1895"/>
      <c r="CP1895"/>
      <c r="CQ1895"/>
      <c r="CR1895"/>
      <c r="CS1895"/>
      <c r="CT1895"/>
      <c r="CU1895"/>
      <c r="CV1895"/>
      <c r="CW1895"/>
      <c r="CX1895"/>
      <c r="CY1895"/>
      <c r="CZ1895"/>
      <c r="DA1895"/>
      <c r="DB1895"/>
      <c r="DC1895"/>
      <c r="DD1895"/>
      <c r="DE1895"/>
      <c r="DF1895"/>
      <c r="DG1895"/>
      <c r="DH1895"/>
      <c r="DI1895"/>
      <c r="DJ1895"/>
      <c r="DK1895"/>
      <c r="DL1895"/>
      <c r="DM1895"/>
      <c r="DN1895"/>
      <c r="DO1895"/>
      <c r="DP1895"/>
      <c r="DQ1895"/>
      <c r="DR1895"/>
      <c r="DS1895"/>
      <c r="DT1895"/>
      <c r="DU1895"/>
      <c r="DV1895"/>
      <c r="DW1895"/>
      <c r="DX1895"/>
      <c r="DY1895"/>
      <c r="DZ1895"/>
      <c r="EA1895"/>
      <c r="EB1895"/>
      <c r="EC1895"/>
      <c r="ED1895"/>
      <c r="EE1895"/>
      <c r="EF1895"/>
      <c r="EG1895"/>
      <c r="EH1895"/>
      <c r="EI1895"/>
      <c r="EJ1895"/>
      <c r="EK1895"/>
      <c r="EL1895"/>
      <c r="EM1895"/>
      <c r="EN1895"/>
      <c r="EO1895"/>
      <c r="EP1895"/>
      <c r="EQ1895"/>
      <c r="ER1895"/>
      <c r="ES1895"/>
    </row>
    <row r="1896" spans="1:149">
      <c r="A1896"/>
      <c r="B1896"/>
      <c r="C1896"/>
      <c r="D1896"/>
      <c r="E1896"/>
      <c r="F1896"/>
      <c r="G1896"/>
      <c r="H1896"/>
      <c r="I1896"/>
      <c r="J1896"/>
      <c r="K1896"/>
      <c r="L1896"/>
      <c r="M1896"/>
      <c r="N1896"/>
      <c r="O1896"/>
      <c r="P1896"/>
      <c r="Q1896"/>
      <c r="R1896"/>
      <c r="S1896"/>
      <c r="T1896"/>
      <c r="U1896"/>
      <c r="V1896"/>
      <c r="W1896"/>
      <c r="X1896"/>
      <c r="Y1896"/>
      <c r="Z1896"/>
      <c r="AA1896"/>
      <c r="AB1896"/>
      <c r="AC1896"/>
      <c r="AD1896"/>
      <c r="AE1896"/>
      <c r="AF1896"/>
      <c r="AG1896"/>
      <c r="AH1896"/>
      <c r="AI1896"/>
      <c r="AJ1896"/>
      <c r="AK1896"/>
      <c r="AL1896"/>
      <c r="AM1896"/>
      <c r="AN1896"/>
      <c r="AO1896"/>
      <c r="AP1896"/>
      <c r="AQ1896"/>
      <c r="AR1896"/>
      <c r="AS1896"/>
      <c r="AT1896"/>
      <c r="AU1896"/>
      <c r="AV1896"/>
      <c r="AW1896"/>
      <c r="AX1896"/>
      <c r="AY1896"/>
      <c r="AZ1896"/>
      <c r="BA1896"/>
      <c r="BB1896"/>
      <c r="BC1896"/>
      <c r="BD1896"/>
      <c r="BE1896"/>
      <c r="BF1896"/>
      <c r="BG1896"/>
      <c r="BH1896"/>
      <c r="BI1896"/>
      <c r="BJ1896"/>
      <c r="BK1896"/>
      <c r="BL1896"/>
      <c r="BM1896"/>
      <c r="BN1896"/>
      <c r="BO1896"/>
      <c r="BP1896"/>
      <c r="BQ1896"/>
      <c r="BR1896"/>
      <c r="BS1896"/>
      <c r="BT1896"/>
      <c r="BU1896"/>
      <c r="BV1896"/>
      <c r="BW1896"/>
      <c r="BX1896"/>
      <c r="BY1896"/>
      <c r="BZ1896"/>
      <c r="CA1896"/>
      <c r="CB1896"/>
      <c r="CC1896"/>
      <c r="CD1896"/>
      <c r="CE1896"/>
      <c r="CF1896"/>
      <c r="CG1896"/>
      <c r="CH1896"/>
      <c r="CI1896"/>
      <c r="CJ1896"/>
      <c r="CK1896"/>
      <c r="CL1896"/>
      <c r="CM1896"/>
      <c r="CN1896"/>
      <c r="CO1896"/>
      <c r="CP1896"/>
      <c r="CQ1896"/>
      <c r="CR1896"/>
      <c r="CS1896"/>
      <c r="CT1896"/>
      <c r="CU1896"/>
      <c r="CV1896"/>
      <c r="CW1896"/>
      <c r="CX1896"/>
      <c r="CY1896"/>
      <c r="CZ1896"/>
      <c r="DA1896"/>
      <c r="DB1896"/>
      <c r="DC1896"/>
      <c r="DD1896"/>
      <c r="DE1896"/>
      <c r="DF1896"/>
      <c r="DG1896"/>
      <c r="DH1896"/>
      <c r="DI1896"/>
      <c r="DJ1896"/>
      <c r="DK1896"/>
      <c r="DL1896"/>
      <c r="DM1896"/>
      <c r="DN1896"/>
      <c r="DO1896"/>
      <c r="DP1896"/>
      <c r="DQ1896"/>
      <c r="DR1896"/>
      <c r="DS1896"/>
      <c r="DT1896"/>
      <c r="DU1896"/>
      <c r="DV1896"/>
      <c r="DW1896"/>
      <c r="DX1896"/>
      <c r="DY1896"/>
      <c r="DZ1896"/>
      <c r="EA1896"/>
      <c r="EB1896"/>
      <c r="EC1896"/>
      <c r="ED1896"/>
      <c r="EE1896"/>
      <c r="EF1896"/>
      <c r="EG1896"/>
      <c r="EH1896"/>
      <c r="EI1896"/>
      <c r="EJ1896"/>
      <c r="EK1896"/>
      <c r="EL1896"/>
      <c r="EM1896"/>
      <c r="EN1896"/>
      <c r="EO1896"/>
      <c r="EP1896"/>
      <c r="EQ1896"/>
      <c r="ER1896"/>
      <c r="ES1896"/>
    </row>
    <row r="1897" spans="1:149">
      <c r="A1897"/>
      <c r="B1897"/>
      <c r="C1897"/>
      <c r="D1897"/>
      <c r="E1897"/>
      <c r="F1897"/>
      <c r="G1897"/>
      <c r="H1897"/>
      <c r="I1897"/>
      <c r="J1897"/>
      <c r="K1897"/>
      <c r="L1897"/>
      <c r="M1897"/>
      <c r="N1897"/>
      <c r="O1897"/>
      <c r="P1897"/>
      <c r="Q1897"/>
      <c r="R1897"/>
      <c r="S1897"/>
      <c r="T1897"/>
      <c r="U1897"/>
      <c r="V1897"/>
      <c r="W1897"/>
      <c r="X1897"/>
      <c r="Y1897"/>
      <c r="Z1897"/>
      <c r="AA1897"/>
      <c r="AB1897"/>
      <c r="AC1897"/>
      <c r="AD1897"/>
      <c r="AE1897"/>
      <c r="AF1897"/>
      <c r="AG1897"/>
      <c r="AH1897"/>
      <c r="AI1897"/>
      <c r="AJ1897"/>
      <c r="AK1897"/>
      <c r="AL1897"/>
      <c r="AM1897"/>
      <c r="AN1897"/>
      <c r="AO1897"/>
      <c r="AP1897"/>
      <c r="AQ1897"/>
      <c r="AR1897"/>
      <c r="AS1897"/>
      <c r="AT1897"/>
      <c r="AU1897"/>
      <c r="AV1897"/>
      <c r="AW1897"/>
      <c r="AX1897"/>
      <c r="AY1897"/>
      <c r="AZ1897"/>
      <c r="BA1897"/>
      <c r="BB1897"/>
      <c r="BC1897"/>
      <c r="BD1897"/>
      <c r="BE1897"/>
      <c r="BF1897"/>
      <c r="BG1897"/>
      <c r="BH1897"/>
      <c r="BI1897"/>
      <c r="BJ1897"/>
      <c r="BK1897"/>
      <c r="BL1897"/>
      <c r="BM1897"/>
      <c r="BN1897"/>
      <c r="BO1897"/>
      <c r="BP1897"/>
      <c r="BQ1897"/>
      <c r="BR1897"/>
      <c r="BS1897"/>
      <c r="BT1897"/>
      <c r="BU1897"/>
      <c r="BV1897"/>
      <c r="BW1897"/>
      <c r="BX1897"/>
      <c r="BY1897"/>
      <c r="BZ1897"/>
      <c r="CA1897"/>
      <c r="CB1897"/>
      <c r="CC1897"/>
      <c r="CD1897"/>
      <c r="CE1897"/>
      <c r="CF1897"/>
      <c r="CG1897"/>
      <c r="CH1897"/>
      <c r="CI1897"/>
      <c r="CJ1897"/>
      <c r="CK1897"/>
      <c r="CL1897"/>
      <c r="CM1897"/>
      <c r="CN1897"/>
      <c r="CO1897"/>
      <c r="CP1897"/>
      <c r="CQ1897"/>
      <c r="CR1897"/>
      <c r="CS1897"/>
      <c r="CT1897"/>
      <c r="CU1897"/>
      <c r="CV1897"/>
      <c r="CW1897"/>
      <c r="CX1897"/>
      <c r="CY1897"/>
      <c r="CZ1897"/>
      <c r="DA1897"/>
      <c r="DB1897"/>
      <c r="DC1897"/>
      <c r="DD1897"/>
      <c r="DE1897"/>
      <c r="DF1897"/>
      <c r="DG1897"/>
      <c r="DH1897"/>
      <c r="DI1897"/>
      <c r="DJ1897"/>
      <c r="DK1897"/>
      <c r="DL1897"/>
      <c r="DM1897"/>
      <c r="DN1897"/>
      <c r="DO1897"/>
      <c r="DP1897"/>
      <c r="DQ1897"/>
      <c r="DR1897"/>
      <c r="DS1897"/>
      <c r="DT1897"/>
      <c r="DU1897"/>
      <c r="DV1897"/>
      <c r="DW1897"/>
      <c r="DX1897"/>
      <c r="DY1897"/>
      <c r="DZ1897"/>
      <c r="EA1897"/>
      <c r="EB1897"/>
      <c r="EC1897"/>
      <c r="ED1897"/>
      <c r="EE1897"/>
      <c r="EF1897"/>
      <c r="EG1897"/>
      <c r="EH1897"/>
      <c r="EI1897"/>
      <c r="EJ1897"/>
      <c r="EK1897"/>
      <c r="EL1897"/>
      <c r="EM1897"/>
      <c r="EN1897"/>
      <c r="EO1897"/>
      <c r="EP1897"/>
      <c r="EQ1897"/>
      <c r="ER1897"/>
      <c r="ES1897"/>
    </row>
    <row r="1898" spans="1:149">
      <c r="A1898"/>
      <c r="B1898"/>
      <c r="C1898"/>
      <c r="D1898"/>
      <c r="E1898"/>
      <c r="F1898"/>
      <c r="G1898"/>
      <c r="H1898"/>
      <c r="I1898"/>
      <c r="J1898"/>
      <c r="K1898"/>
      <c r="L1898"/>
      <c r="M1898"/>
      <c r="N1898"/>
      <c r="O1898"/>
      <c r="P1898"/>
      <c r="Q1898"/>
      <c r="R1898"/>
      <c r="S1898"/>
      <c r="T1898"/>
      <c r="U1898"/>
      <c r="V1898"/>
      <c r="W1898"/>
      <c r="X1898"/>
      <c r="Y1898"/>
      <c r="Z1898"/>
      <c r="AA1898"/>
      <c r="AB1898"/>
      <c r="AC1898"/>
      <c r="AD1898"/>
      <c r="AE1898"/>
      <c r="AF1898"/>
      <c r="AG1898"/>
      <c r="AH1898"/>
      <c r="AI1898"/>
      <c r="AJ1898"/>
      <c r="AK1898"/>
      <c r="AL1898"/>
      <c r="AM1898"/>
      <c r="AN1898"/>
      <c r="AO1898"/>
      <c r="AP1898"/>
      <c r="AQ1898"/>
      <c r="AR1898"/>
      <c r="AS1898"/>
      <c r="AT1898"/>
      <c r="AU1898"/>
      <c r="AV1898"/>
      <c r="AW1898"/>
      <c r="AX1898"/>
      <c r="AY1898"/>
      <c r="AZ1898"/>
      <c r="BA1898"/>
      <c r="BB1898"/>
      <c r="BC1898"/>
      <c r="BD1898"/>
      <c r="BE1898"/>
      <c r="BF1898"/>
      <c r="BG1898"/>
      <c r="BH1898"/>
      <c r="BI1898"/>
      <c r="BJ1898"/>
      <c r="BK1898"/>
      <c r="BL1898"/>
      <c r="BM1898"/>
      <c r="BN1898"/>
      <c r="BO1898"/>
      <c r="BP1898"/>
      <c r="BQ1898"/>
      <c r="BR1898"/>
      <c r="BS1898"/>
      <c r="BT1898"/>
      <c r="BU1898"/>
      <c r="BV1898"/>
      <c r="BW1898"/>
      <c r="BX1898"/>
      <c r="BY1898"/>
      <c r="BZ1898"/>
      <c r="CA1898"/>
      <c r="CB1898"/>
      <c r="CC1898"/>
      <c r="CD1898"/>
      <c r="CE1898"/>
      <c r="CF1898"/>
      <c r="CG1898"/>
      <c r="CH1898"/>
      <c r="CI1898"/>
      <c r="CJ1898"/>
      <c r="CK1898"/>
      <c r="CL1898"/>
      <c r="CM1898"/>
      <c r="CN1898"/>
      <c r="CO1898"/>
      <c r="CP1898"/>
      <c r="CQ1898"/>
      <c r="CR1898"/>
      <c r="CS1898"/>
      <c r="CT1898"/>
      <c r="CU1898"/>
      <c r="CV1898"/>
      <c r="CW1898"/>
      <c r="CX1898"/>
      <c r="CY1898"/>
      <c r="CZ1898"/>
      <c r="DA1898"/>
      <c r="DB1898"/>
      <c r="DC1898"/>
      <c r="DD1898"/>
      <c r="DE1898"/>
      <c r="DF1898"/>
      <c r="DG1898"/>
      <c r="DH1898"/>
      <c r="DI1898"/>
      <c r="DJ1898"/>
      <c r="DK1898"/>
      <c r="DL1898"/>
      <c r="DM1898"/>
      <c r="DN1898"/>
      <c r="DO1898"/>
      <c r="DP1898"/>
      <c r="DQ1898"/>
      <c r="DR1898"/>
      <c r="DS1898"/>
      <c r="DT1898"/>
      <c r="DU1898"/>
      <c r="DV1898"/>
      <c r="DW1898"/>
      <c r="DX1898"/>
      <c r="DY1898"/>
      <c r="DZ1898"/>
      <c r="EA1898"/>
      <c r="EB1898"/>
      <c r="EC1898"/>
      <c r="ED1898"/>
      <c r="EE1898"/>
      <c r="EF1898"/>
      <c r="EG1898"/>
      <c r="EH1898"/>
      <c r="EI1898"/>
      <c r="EJ1898"/>
      <c r="EK1898"/>
      <c r="EL1898"/>
      <c r="EM1898"/>
      <c r="EN1898"/>
      <c r="EO1898"/>
      <c r="EP1898"/>
      <c r="EQ1898"/>
      <c r="ER1898"/>
      <c r="ES1898"/>
    </row>
    <row r="1899" spans="1:149">
      <c r="A1899"/>
      <c r="B1899"/>
      <c r="C1899"/>
      <c r="D1899"/>
      <c r="E1899"/>
      <c r="F1899"/>
      <c r="G1899"/>
      <c r="H1899"/>
      <c r="I1899"/>
      <c r="J1899"/>
      <c r="K1899"/>
      <c r="L1899"/>
      <c r="M1899"/>
      <c r="N1899"/>
      <c r="O1899"/>
      <c r="P1899"/>
      <c r="Q1899"/>
      <c r="R1899"/>
      <c r="S1899"/>
      <c r="T1899"/>
      <c r="U1899"/>
      <c r="V1899"/>
      <c r="W1899"/>
      <c r="X1899"/>
      <c r="Y1899"/>
      <c r="Z1899"/>
      <c r="AA1899"/>
      <c r="AB1899"/>
      <c r="AC1899"/>
      <c r="AD1899"/>
      <c r="AE1899"/>
      <c r="AF1899"/>
      <c r="AG1899"/>
      <c r="AH1899"/>
      <c r="AI1899"/>
      <c r="AJ1899"/>
      <c r="AK1899"/>
      <c r="AL1899"/>
      <c r="AM1899"/>
      <c r="AN1899"/>
      <c r="AO1899"/>
      <c r="AP1899"/>
      <c r="AQ1899"/>
      <c r="AR1899"/>
      <c r="AS1899"/>
      <c r="AT1899"/>
      <c r="AU1899"/>
      <c r="AV1899"/>
      <c r="AW1899"/>
      <c r="AX1899"/>
      <c r="AY1899"/>
      <c r="AZ1899"/>
      <c r="BA1899"/>
      <c r="BB1899"/>
      <c r="BC1899"/>
      <c r="BD1899"/>
      <c r="BE1899"/>
      <c r="BF1899"/>
      <c r="BG1899"/>
      <c r="BH1899"/>
      <c r="BI1899"/>
      <c r="BJ1899"/>
      <c r="BK1899"/>
      <c r="BL1899"/>
      <c r="BM1899"/>
      <c r="BN1899"/>
      <c r="BO1899"/>
      <c r="BP1899"/>
      <c r="BQ1899"/>
      <c r="BR1899"/>
      <c r="BS1899"/>
      <c r="BT1899"/>
      <c r="BU1899"/>
      <c r="BV1899"/>
      <c r="BW1899"/>
      <c r="BX1899"/>
      <c r="BY1899"/>
      <c r="BZ1899"/>
      <c r="CA1899"/>
      <c r="CB1899"/>
      <c r="CC1899"/>
      <c r="CD1899"/>
      <c r="CE1899"/>
      <c r="CF1899"/>
      <c r="CG1899"/>
      <c r="CH1899"/>
      <c r="CI1899"/>
      <c r="CJ1899"/>
      <c r="CK1899"/>
      <c r="CL1899"/>
      <c r="CM1899"/>
      <c r="CN1899"/>
      <c r="CO1899"/>
      <c r="CP1899"/>
      <c r="CQ1899"/>
      <c r="CR1899"/>
      <c r="CS1899"/>
      <c r="CT1899"/>
      <c r="CU1899"/>
      <c r="CV1899"/>
      <c r="CW1899"/>
      <c r="CX1899"/>
      <c r="CY1899"/>
      <c r="CZ1899"/>
      <c r="DA1899"/>
      <c r="DB1899"/>
      <c r="DC1899"/>
      <c r="DD1899"/>
      <c r="DE1899"/>
      <c r="DF1899"/>
      <c r="DG1899"/>
      <c r="DH1899"/>
      <c r="DI1899"/>
      <c r="DJ1899"/>
      <c r="DK1899"/>
      <c r="DL1899"/>
      <c r="DM1899"/>
      <c r="DN1899"/>
      <c r="DO1899"/>
      <c r="DP1899"/>
      <c r="DQ1899"/>
      <c r="DR1899"/>
      <c r="DS1899"/>
      <c r="DT1899"/>
      <c r="DU1899"/>
      <c r="DV1899"/>
      <c r="DW1899"/>
      <c r="DX1899"/>
      <c r="DY1899"/>
      <c r="DZ1899"/>
      <c r="EA1899"/>
      <c r="EB1899"/>
      <c r="EC1899"/>
      <c r="ED1899"/>
      <c r="EE1899"/>
      <c r="EF1899"/>
      <c r="EG1899"/>
      <c r="EH1899"/>
      <c r="EI1899"/>
      <c r="EJ1899"/>
      <c r="EK1899"/>
      <c r="EL1899"/>
      <c r="EM1899"/>
      <c r="EN1899"/>
      <c r="EO1899"/>
      <c r="EP1899"/>
      <c r="EQ1899"/>
      <c r="ER1899"/>
      <c r="ES1899"/>
    </row>
    <row r="1900" spans="1:149">
      <c r="A1900"/>
      <c r="B1900"/>
      <c r="C1900"/>
      <c r="D1900"/>
      <c r="E1900"/>
      <c r="F1900"/>
      <c r="G1900"/>
      <c r="H1900"/>
      <c r="I1900"/>
      <c r="J1900"/>
      <c r="K1900"/>
      <c r="L1900"/>
      <c r="M1900"/>
      <c r="N1900"/>
      <c r="O1900"/>
      <c r="P1900"/>
      <c r="Q1900"/>
      <c r="R1900"/>
      <c r="S1900"/>
      <c r="T1900"/>
      <c r="U1900"/>
      <c r="V1900"/>
      <c r="W1900"/>
      <c r="X1900"/>
      <c r="Y1900"/>
      <c r="Z1900"/>
      <c r="AA1900"/>
      <c r="AB1900"/>
      <c r="AC1900"/>
      <c r="AD1900"/>
      <c r="AE1900"/>
      <c r="AF1900"/>
      <c r="AG1900"/>
      <c r="AH1900"/>
      <c r="AI1900"/>
      <c r="AJ1900"/>
      <c r="AK1900"/>
      <c r="AL1900"/>
      <c r="AM1900"/>
      <c r="AN1900"/>
      <c r="AO1900"/>
      <c r="AP1900"/>
      <c r="AQ1900"/>
      <c r="AR1900"/>
      <c r="AS1900"/>
      <c r="AT1900"/>
      <c r="AU1900"/>
      <c r="AV1900"/>
      <c r="AW1900"/>
      <c r="AX1900"/>
      <c r="AY1900"/>
      <c r="AZ1900"/>
      <c r="BA1900"/>
      <c r="BB1900"/>
      <c r="BC1900"/>
      <c r="BD1900"/>
      <c r="BE1900"/>
      <c r="BF1900"/>
      <c r="BG1900"/>
      <c r="BH1900"/>
      <c r="BI1900"/>
      <c r="BJ1900"/>
      <c r="BK1900"/>
      <c r="BL1900"/>
      <c r="BM1900"/>
      <c r="BN1900"/>
      <c r="BO1900"/>
      <c r="BP1900"/>
      <c r="BQ1900"/>
      <c r="BR1900"/>
      <c r="BS1900"/>
      <c r="BT1900"/>
      <c r="BU1900"/>
      <c r="BV1900"/>
      <c r="BW1900"/>
      <c r="BX1900"/>
      <c r="BY1900"/>
      <c r="BZ1900"/>
      <c r="CA1900"/>
      <c r="CB1900"/>
      <c r="CC1900"/>
      <c r="CD1900"/>
      <c r="CE1900"/>
      <c r="CF1900"/>
      <c r="CG1900"/>
      <c r="CH1900"/>
      <c r="CI1900"/>
      <c r="CJ1900"/>
      <c r="CK1900"/>
      <c r="CL1900"/>
      <c r="CM1900"/>
      <c r="CN1900"/>
      <c r="CO1900"/>
      <c r="CP1900"/>
      <c r="CQ1900"/>
      <c r="CR1900"/>
      <c r="CS1900"/>
      <c r="CT1900"/>
      <c r="CU1900"/>
      <c r="CV1900"/>
      <c r="CW1900"/>
      <c r="CX1900"/>
      <c r="CY1900"/>
      <c r="CZ1900"/>
      <c r="DA1900"/>
      <c r="DB1900"/>
      <c r="DC1900"/>
      <c r="DD1900"/>
      <c r="DE1900"/>
      <c r="DF1900"/>
      <c r="DG1900"/>
      <c r="DH1900"/>
      <c r="DI1900"/>
      <c r="DJ1900"/>
      <c r="DK1900"/>
      <c r="DL1900"/>
      <c r="DM1900"/>
      <c r="DN1900"/>
      <c r="DO1900"/>
      <c r="DP1900"/>
      <c r="DQ1900"/>
      <c r="DR1900"/>
      <c r="DS1900"/>
      <c r="DT1900"/>
      <c r="DU1900"/>
      <c r="DV1900"/>
      <c r="DW1900"/>
      <c r="DX1900"/>
      <c r="DY1900"/>
      <c r="DZ1900"/>
      <c r="EA1900"/>
      <c r="EB1900"/>
      <c r="EC1900"/>
      <c r="ED1900"/>
      <c r="EE1900"/>
      <c r="EF1900"/>
      <c r="EG1900"/>
      <c r="EH1900"/>
      <c r="EI1900"/>
      <c r="EJ1900"/>
      <c r="EK1900"/>
      <c r="EL1900"/>
      <c r="EM1900"/>
      <c r="EN1900"/>
      <c r="EO1900"/>
      <c r="EP1900"/>
      <c r="EQ1900"/>
      <c r="ER1900"/>
      <c r="ES1900"/>
    </row>
    <row r="1901" spans="1:149">
      <c r="A1901"/>
      <c r="B1901"/>
      <c r="C1901"/>
      <c r="D1901"/>
      <c r="E1901"/>
      <c r="F1901"/>
      <c r="G1901"/>
      <c r="H1901"/>
      <c r="I1901"/>
      <c r="J1901"/>
      <c r="K1901"/>
      <c r="L1901"/>
      <c r="M1901"/>
      <c r="N1901"/>
      <c r="O1901"/>
      <c r="P1901"/>
      <c r="Q1901"/>
      <c r="R1901"/>
      <c r="S1901"/>
      <c r="T1901"/>
      <c r="U1901"/>
      <c r="V1901"/>
      <c r="W1901"/>
      <c r="X1901"/>
      <c r="Y1901"/>
      <c r="Z1901"/>
      <c r="AA1901"/>
      <c r="AB1901"/>
      <c r="AC1901"/>
      <c r="AD1901"/>
      <c r="AE1901"/>
      <c r="AF1901"/>
      <c r="AG1901"/>
      <c r="AH1901"/>
      <c r="AI1901"/>
      <c r="AJ1901"/>
      <c r="AK1901"/>
      <c r="AL1901"/>
      <c r="AM1901"/>
      <c r="AN1901"/>
      <c r="AO1901"/>
      <c r="AP1901"/>
      <c r="AQ1901"/>
      <c r="AR1901"/>
      <c r="AS1901"/>
      <c r="AT1901"/>
      <c r="AU1901"/>
      <c r="AV1901"/>
      <c r="AW1901"/>
      <c r="AX1901"/>
      <c r="AY1901"/>
      <c r="AZ1901"/>
      <c r="BA1901"/>
      <c r="BB1901"/>
      <c r="BC1901"/>
      <c r="BD1901"/>
      <c r="BE1901"/>
      <c r="BF1901"/>
      <c r="BG1901"/>
      <c r="BH1901"/>
      <c r="BI1901"/>
      <c r="BJ1901"/>
      <c r="BK1901"/>
      <c r="BL1901"/>
      <c r="BM1901"/>
      <c r="BN1901"/>
      <c r="BO1901"/>
      <c r="BP1901"/>
      <c r="BQ1901"/>
      <c r="BR1901"/>
      <c r="BS1901"/>
      <c r="BT1901"/>
      <c r="BU1901"/>
      <c r="BV1901"/>
      <c r="BW1901"/>
      <c r="BX1901"/>
      <c r="BY1901"/>
      <c r="BZ1901"/>
      <c r="CA1901"/>
      <c r="CB1901"/>
      <c r="CC1901"/>
      <c r="CD1901"/>
      <c r="CE1901"/>
      <c r="CF1901"/>
      <c r="CG1901"/>
      <c r="CH1901"/>
      <c r="CI1901"/>
      <c r="CJ1901"/>
      <c r="CK1901"/>
      <c r="CL1901"/>
      <c r="CM1901"/>
      <c r="CN1901"/>
      <c r="CO1901"/>
      <c r="CP1901"/>
      <c r="CQ1901"/>
      <c r="CR1901"/>
      <c r="CS1901"/>
      <c r="CT1901"/>
      <c r="CU1901"/>
      <c r="CV1901"/>
      <c r="CW1901"/>
      <c r="CX1901"/>
      <c r="CY1901"/>
      <c r="CZ1901"/>
      <c r="DA1901"/>
      <c r="DB1901"/>
      <c r="DC1901"/>
      <c r="DD1901"/>
      <c r="DE1901"/>
      <c r="DF1901"/>
      <c r="DG1901"/>
      <c r="DH1901"/>
      <c r="DI1901"/>
      <c r="DJ1901"/>
      <c r="DK1901"/>
      <c r="DL1901"/>
      <c r="DM1901"/>
      <c r="DN1901"/>
      <c r="DO1901"/>
      <c r="DP1901"/>
      <c r="DQ1901"/>
      <c r="DR1901"/>
      <c r="DS1901"/>
      <c r="DT1901"/>
      <c r="DU1901"/>
      <c r="DV1901"/>
      <c r="DW1901"/>
      <c r="DX1901"/>
      <c r="DY1901"/>
      <c r="DZ1901"/>
      <c r="EA1901"/>
      <c r="EB1901"/>
      <c r="EC1901"/>
      <c r="ED1901"/>
      <c r="EE1901"/>
      <c r="EF1901"/>
      <c r="EG1901"/>
      <c r="EH1901"/>
      <c r="EI1901"/>
      <c r="EJ1901"/>
      <c r="EK1901"/>
      <c r="EL1901"/>
      <c r="EM1901"/>
      <c r="EN1901"/>
      <c r="EO1901"/>
      <c r="EP1901"/>
      <c r="EQ1901"/>
      <c r="ER1901"/>
      <c r="ES1901"/>
    </row>
    <row r="1902" spans="1:149">
      <c r="A1902"/>
      <c r="B1902"/>
      <c r="C1902"/>
      <c r="D1902"/>
      <c r="E1902"/>
      <c r="F1902"/>
      <c r="G1902"/>
      <c r="H1902"/>
      <c r="I1902"/>
      <c r="J1902"/>
      <c r="K1902"/>
      <c r="L1902"/>
      <c r="M1902"/>
      <c r="N1902"/>
      <c r="O1902"/>
      <c r="P1902"/>
      <c r="Q1902"/>
      <c r="R1902"/>
      <c r="S1902"/>
      <c r="T1902"/>
      <c r="U1902"/>
      <c r="V1902"/>
      <c r="W1902"/>
      <c r="X1902"/>
      <c r="Y1902"/>
      <c r="Z1902"/>
      <c r="AA1902"/>
      <c r="AB1902"/>
      <c r="AC1902"/>
      <c r="AD1902"/>
      <c r="AE1902"/>
      <c r="AF1902"/>
      <c r="AG1902"/>
      <c r="AH1902"/>
      <c r="AI1902"/>
      <c r="AJ1902"/>
      <c r="AK1902"/>
      <c r="AL1902"/>
      <c r="AM1902"/>
      <c r="AN1902"/>
      <c r="AO1902"/>
      <c r="AP1902"/>
      <c r="AQ1902"/>
      <c r="AR1902"/>
      <c r="AS1902"/>
      <c r="AT1902"/>
      <c r="AU1902"/>
      <c r="AV1902"/>
      <c r="AW1902"/>
      <c r="AX1902"/>
      <c r="AY1902"/>
      <c r="AZ1902"/>
      <c r="BA1902"/>
      <c r="BB1902"/>
      <c r="BC1902"/>
      <c r="BD1902"/>
      <c r="BE1902"/>
      <c r="BF1902"/>
      <c r="BG1902"/>
      <c r="BH1902"/>
      <c r="BI1902"/>
      <c r="BJ1902"/>
      <c r="BK1902"/>
      <c r="BL1902"/>
      <c r="BM1902"/>
      <c r="BN1902"/>
      <c r="BO1902"/>
      <c r="BP1902"/>
      <c r="BQ1902"/>
      <c r="BR1902"/>
      <c r="BS1902"/>
      <c r="BT1902"/>
      <c r="BU1902"/>
      <c r="BV1902"/>
      <c r="BW1902"/>
      <c r="BX1902"/>
      <c r="BY1902"/>
      <c r="BZ1902"/>
      <c r="CA1902"/>
      <c r="CB1902"/>
      <c r="CC1902"/>
      <c r="CD1902"/>
      <c r="CE1902"/>
      <c r="CF1902"/>
      <c r="CG1902"/>
      <c r="CH1902"/>
      <c r="CI1902"/>
      <c r="CJ1902"/>
      <c r="CK1902"/>
      <c r="CL1902"/>
      <c r="CM1902"/>
      <c r="CN1902"/>
      <c r="CO1902"/>
      <c r="CP1902"/>
      <c r="CQ1902"/>
      <c r="CR1902"/>
      <c r="CS1902"/>
      <c r="CT1902"/>
      <c r="CU1902"/>
      <c r="CV1902"/>
      <c r="CW1902"/>
      <c r="CX1902"/>
      <c r="CY1902"/>
      <c r="CZ1902"/>
      <c r="DA1902"/>
      <c r="DB1902"/>
      <c r="DC1902"/>
      <c r="DD1902"/>
      <c r="DE1902"/>
      <c r="DF1902"/>
      <c r="DG1902"/>
      <c r="DH1902"/>
      <c r="DI1902"/>
      <c r="DJ1902"/>
      <c r="DK1902"/>
      <c r="DL1902"/>
      <c r="DM1902"/>
      <c r="DN1902"/>
      <c r="DO1902"/>
      <c r="DP1902"/>
      <c r="DQ1902"/>
      <c r="DR1902"/>
      <c r="DS1902"/>
      <c r="DT1902"/>
      <c r="DU1902"/>
      <c r="DV1902"/>
      <c r="DW1902"/>
      <c r="DX1902"/>
      <c r="DY1902"/>
      <c r="DZ1902"/>
      <c r="EA1902"/>
      <c r="EB1902"/>
      <c r="EC1902"/>
      <c r="ED1902"/>
      <c r="EE1902"/>
      <c r="EF1902"/>
      <c r="EG1902"/>
      <c r="EH1902"/>
      <c r="EI1902"/>
      <c r="EJ1902"/>
      <c r="EK1902"/>
      <c r="EL1902"/>
      <c r="EM1902"/>
      <c r="EN1902"/>
      <c r="EO1902"/>
      <c r="EP1902"/>
      <c r="EQ1902"/>
      <c r="ER1902"/>
      <c r="ES1902"/>
    </row>
    <row r="1903" spans="1:149">
      <c r="A1903"/>
      <c r="B1903"/>
      <c r="C1903"/>
      <c r="D1903"/>
      <c r="E1903"/>
      <c r="F1903"/>
      <c r="G1903"/>
      <c r="H1903"/>
      <c r="I1903"/>
      <c r="J1903"/>
      <c r="K1903"/>
      <c r="L1903"/>
      <c r="M1903"/>
      <c r="N1903"/>
      <c r="O1903"/>
      <c r="P1903"/>
      <c r="Q1903"/>
      <c r="R1903"/>
      <c r="S1903"/>
      <c r="T1903"/>
      <c r="U1903"/>
      <c r="V1903"/>
      <c r="W1903"/>
      <c r="X1903"/>
      <c r="Y1903"/>
      <c r="Z1903"/>
      <c r="AA1903"/>
      <c r="AB1903"/>
      <c r="AC1903"/>
      <c r="AD1903"/>
      <c r="AE1903"/>
      <c r="AF1903"/>
      <c r="AG1903"/>
      <c r="AH1903"/>
      <c r="AI1903"/>
      <c r="AJ1903"/>
      <c r="AK1903"/>
      <c r="AL1903"/>
      <c r="AM1903"/>
      <c r="AN1903"/>
      <c r="AO1903"/>
      <c r="AP1903"/>
      <c r="AQ1903"/>
      <c r="AR1903"/>
      <c r="AS1903"/>
      <c r="AT1903"/>
      <c r="AU1903"/>
      <c r="AV1903"/>
      <c r="AW1903"/>
      <c r="AX1903"/>
      <c r="AY1903"/>
      <c r="AZ1903"/>
      <c r="BA1903"/>
      <c r="BB1903"/>
      <c r="BC1903"/>
      <c r="BD1903"/>
      <c r="BE1903"/>
      <c r="BF1903"/>
      <c r="BG1903"/>
      <c r="BH1903"/>
      <c r="BI1903"/>
      <c r="BJ1903"/>
      <c r="BK1903"/>
      <c r="BL1903"/>
      <c r="BM1903"/>
      <c r="BN1903"/>
      <c r="BO1903"/>
      <c r="BP1903"/>
      <c r="BQ1903"/>
      <c r="BR1903"/>
      <c r="BS1903"/>
      <c r="BT1903"/>
      <c r="BU1903"/>
      <c r="BV1903"/>
      <c r="BW1903"/>
      <c r="BX1903"/>
      <c r="BY1903"/>
      <c r="BZ1903"/>
      <c r="CA1903"/>
      <c r="CB1903"/>
      <c r="CC1903"/>
      <c r="CD1903"/>
      <c r="CE1903"/>
      <c r="CF1903"/>
      <c r="CG1903"/>
      <c r="CH1903"/>
      <c r="CI1903"/>
      <c r="CJ1903"/>
      <c r="CK1903"/>
      <c r="CL1903"/>
      <c r="CM1903"/>
      <c r="CN1903"/>
      <c r="CO1903"/>
      <c r="CP1903"/>
      <c r="CQ1903"/>
      <c r="CR1903"/>
      <c r="CS1903"/>
      <c r="CT1903"/>
      <c r="CU1903"/>
      <c r="CV1903"/>
      <c r="CW1903"/>
      <c r="CX1903"/>
      <c r="CY1903"/>
      <c r="CZ1903"/>
      <c r="DA1903"/>
      <c r="DB1903"/>
      <c r="DC1903"/>
      <c r="DD1903"/>
      <c r="DE1903"/>
      <c r="DF1903"/>
      <c r="DG1903"/>
      <c r="DH1903"/>
      <c r="DI1903"/>
      <c r="DJ1903"/>
      <c r="DK1903"/>
      <c r="DL1903"/>
      <c r="DM1903"/>
      <c r="DN1903"/>
      <c r="DO1903"/>
      <c r="DP1903"/>
      <c r="DQ1903"/>
      <c r="DR1903"/>
      <c r="DS1903"/>
      <c r="DT1903"/>
      <c r="DU1903"/>
      <c r="DV1903"/>
      <c r="DW1903"/>
      <c r="DX1903"/>
      <c r="DY1903"/>
      <c r="DZ1903"/>
      <c r="EA1903"/>
      <c r="EB1903"/>
      <c r="EC1903"/>
      <c r="ED1903"/>
      <c r="EE1903"/>
      <c r="EF1903"/>
      <c r="EG1903"/>
      <c r="EH1903"/>
      <c r="EI1903"/>
      <c r="EJ1903"/>
      <c r="EK1903"/>
      <c r="EL1903"/>
      <c r="EM1903"/>
      <c r="EN1903"/>
      <c r="EO1903"/>
      <c r="EP1903"/>
      <c r="EQ1903"/>
      <c r="ER1903"/>
      <c r="ES1903"/>
    </row>
    <row r="1904" spans="1:149">
      <c r="A1904"/>
      <c r="B1904"/>
      <c r="C1904"/>
      <c r="D1904"/>
      <c r="E1904"/>
      <c r="F1904"/>
      <c r="G1904"/>
      <c r="H1904"/>
      <c r="I1904"/>
      <c r="J1904"/>
      <c r="K1904"/>
      <c r="L1904"/>
      <c r="M1904"/>
      <c r="N1904"/>
      <c r="O1904"/>
      <c r="P1904"/>
      <c r="Q1904"/>
      <c r="R1904"/>
      <c r="S1904"/>
      <c r="T1904"/>
      <c r="U1904"/>
      <c r="V1904"/>
      <c r="W1904"/>
      <c r="X1904"/>
      <c r="Y1904"/>
      <c r="Z1904"/>
      <c r="AA1904"/>
      <c r="AB1904"/>
      <c r="AC1904"/>
      <c r="AD1904"/>
      <c r="AE1904"/>
      <c r="AF1904"/>
      <c r="AG1904"/>
      <c r="AH1904"/>
      <c r="AI1904"/>
      <c r="AJ1904"/>
      <c r="AK1904"/>
      <c r="AL1904"/>
      <c r="AM1904"/>
      <c r="AN1904"/>
      <c r="AO1904"/>
      <c r="AP1904"/>
      <c r="AQ1904"/>
      <c r="AR1904"/>
      <c r="AS1904"/>
      <c r="AT1904"/>
      <c r="AU1904"/>
      <c r="AV1904"/>
      <c r="AW1904"/>
      <c r="AX1904"/>
      <c r="AY1904"/>
      <c r="AZ1904"/>
      <c r="BA1904"/>
      <c r="BB1904"/>
      <c r="BC1904"/>
      <c r="BD1904"/>
      <c r="BE1904"/>
      <c r="BF1904"/>
      <c r="BG1904"/>
      <c r="BH1904"/>
      <c r="BI1904"/>
      <c r="BJ1904"/>
      <c r="BK1904"/>
      <c r="BL1904"/>
      <c r="BM1904"/>
      <c r="BN1904"/>
      <c r="BO1904"/>
      <c r="BP1904"/>
      <c r="BQ1904"/>
      <c r="BR1904"/>
      <c r="BS1904"/>
      <c r="BT1904"/>
      <c r="BU1904"/>
      <c r="BV1904"/>
      <c r="BW1904"/>
      <c r="BX1904"/>
      <c r="BY1904"/>
      <c r="BZ1904"/>
      <c r="CA1904"/>
      <c r="CB1904"/>
      <c r="CC1904"/>
      <c r="CD1904"/>
      <c r="CE1904"/>
      <c r="CF1904"/>
      <c r="CG1904"/>
      <c r="CH1904"/>
      <c r="CI1904"/>
      <c r="CJ1904"/>
      <c r="CK1904"/>
      <c r="CL1904"/>
      <c r="CM1904"/>
      <c r="CN1904"/>
      <c r="CO1904"/>
      <c r="CP1904"/>
      <c r="CQ1904"/>
      <c r="CR1904"/>
      <c r="CS1904"/>
      <c r="CT1904"/>
      <c r="CU1904"/>
      <c r="CV1904"/>
      <c r="CW1904"/>
      <c r="CX1904"/>
      <c r="CY1904"/>
      <c r="CZ1904"/>
      <c r="DA1904"/>
      <c r="DB1904"/>
      <c r="DC1904"/>
      <c r="DD1904"/>
      <c r="DE1904"/>
      <c r="DF1904"/>
      <c r="DG1904"/>
      <c r="DH1904"/>
      <c r="DI1904"/>
      <c r="DJ1904"/>
      <c r="DK1904"/>
      <c r="DL1904"/>
      <c r="DM1904"/>
      <c r="DN1904"/>
      <c r="DO1904"/>
      <c r="DP1904"/>
      <c r="DQ1904"/>
      <c r="DR1904"/>
      <c r="DS1904"/>
      <c r="DT1904"/>
      <c r="DU1904"/>
      <c r="DV1904"/>
      <c r="DW1904"/>
      <c r="DX1904"/>
      <c r="DY1904"/>
      <c r="DZ1904"/>
      <c r="EA1904"/>
      <c r="EB1904"/>
      <c r="EC1904"/>
      <c r="ED1904"/>
      <c r="EE1904"/>
      <c r="EF1904"/>
      <c r="EG1904"/>
      <c r="EH1904"/>
      <c r="EI1904"/>
      <c r="EJ1904"/>
      <c r="EK1904"/>
      <c r="EL1904"/>
      <c r="EM1904"/>
      <c r="EN1904"/>
      <c r="EO1904"/>
      <c r="EP1904"/>
      <c r="EQ1904"/>
      <c r="ER1904"/>
      <c r="ES1904"/>
    </row>
    <row r="1905" spans="1:149">
      <c r="A1905"/>
      <c r="B1905"/>
      <c r="C1905"/>
      <c r="D1905"/>
      <c r="E1905"/>
      <c r="F1905"/>
      <c r="G1905"/>
      <c r="H1905"/>
      <c r="I1905"/>
      <c r="J1905"/>
      <c r="K1905"/>
      <c r="L1905"/>
      <c r="M1905"/>
      <c r="N1905"/>
      <c r="O1905"/>
      <c r="P1905"/>
      <c r="Q1905"/>
      <c r="R1905"/>
      <c r="S1905"/>
      <c r="T1905"/>
      <c r="U1905"/>
      <c r="V1905"/>
      <c r="W1905"/>
      <c r="X1905"/>
      <c r="Y1905"/>
      <c r="Z1905"/>
      <c r="AA1905"/>
      <c r="AB1905"/>
      <c r="AC1905"/>
      <c r="AD1905"/>
      <c r="AE1905"/>
      <c r="AF1905"/>
      <c r="AG1905"/>
      <c r="AH1905"/>
      <c r="AI1905"/>
      <c r="AJ1905"/>
      <c r="AK1905"/>
      <c r="AL1905"/>
      <c r="AM1905"/>
      <c r="AN1905"/>
      <c r="AO1905"/>
      <c r="AP1905"/>
      <c r="AQ1905"/>
      <c r="AR1905"/>
      <c r="AS1905"/>
      <c r="AT1905"/>
      <c r="AU1905"/>
      <c r="AV1905"/>
      <c r="AW1905"/>
      <c r="AX1905"/>
      <c r="AY1905"/>
      <c r="AZ1905"/>
      <c r="BA1905"/>
      <c r="BB1905"/>
      <c r="BC1905"/>
      <c r="BD1905"/>
      <c r="BE1905"/>
      <c r="BF1905"/>
      <c r="BG1905"/>
      <c r="BH1905"/>
      <c r="BI1905"/>
      <c r="BJ1905"/>
      <c r="BK1905"/>
      <c r="BL1905"/>
      <c r="BM1905"/>
      <c r="BN1905"/>
      <c r="BO1905"/>
      <c r="BP1905"/>
      <c r="BQ1905"/>
      <c r="BR1905"/>
      <c r="BS1905"/>
      <c r="BT1905"/>
      <c r="BU1905"/>
      <c r="BV1905"/>
      <c r="BW1905"/>
      <c r="BX1905"/>
      <c r="BY1905"/>
      <c r="BZ1905"/>
      <c r="CA1905"/>
      <c r="CB1905"/>
      <c r="CC1905"/>
      <c r="CD1905"/>
      <c r="CE1905"/>
      <c r="CF1905"/>
      <c r="CG1905"/>
      <c r="CH1905"/>
      <c r="CI1905"/>
      <c r="CJ1905"/>
      <c r="CK1905"/>
      <c r="CL1905"/>
      <c r="CM1905"/>
      <c r="CN1905"/>
      <c r="CO1905"/>
      <c r="CP1905"/>
      <c r="CQ1905"/>
      <c r="CR1905"/>
      <c r="CS1905"/>
      <c r="CT1905"/>
      <c r="CU1905"/>
      <c r="CV1905"/>
      <c r="CW1905"/>
      <c r="CX1905"/>
      <c r="CY1905"/>
      <c r="CZ1905"/>
      <c r="DA1905"/>
      <c r="DB1905"/>
      <c r="DC1905"/>
      <c r="DD1905"/>
      <c r="DE1905"/>
      <c r="DF1905"/>
      <c r="DG1905"/>
      <c r="DH1905"/>
      <c r="DI1905"/>
      <c r="DJ1905"/>
      <c r="DK1905"/>
      <c r="DL1905"/>
      <c r="DM1905"/>
      <c r="DN1905"/>
      <c r="DO1905"/>
      <c r="DP1905"/>
      <c r="DQ1905"/>
      <c r="DR1905"/>
      <c r="DS1905"/>
      <c r="DT1905"/>
      <c r="DU1905"/>
      <c r="DV1905"/>
      <c r="DW1905"/>
      <c r="DX1905"/>
      <c r="DY1905"/>
      <c r="DZ1905"/>
      <c r="EA1905"/>
      <c r="EB1905"/>
      <c r="EC1905"/>
      <c r="ED1905"/>
      <c r="EE1905"/>
      <c r="EF1905"/>
      <c r="EG1905"/>
      <c r="EH1905"/>
      <c r="EI1905"/>
      <c r="EJ1905"/>
      <c r="EK1905"/>
      <c r="EL1905"/>
      <c r="EM1905"/>
      <c r="EN1905"/>
      <c r="EO1905"/>
      <c r="EP1905"/>
      <c r="EQ1905"/>
      <c r="ER1905"/>
      <c r="ES1905"/>
    </row>
    <row r="1906" spans="1:149">
      <c r="A1906"/>
      <c r="B1906"/>
      <c r="C1906"/>
      <c r="D1906"/>
      <c r="E1906"/>
      <c r="F1906"/>
      <c r="G1906"/>
      <c r="H1906"/>
      <c r="I1906"/>
      <c r="J1906"/>
      <c r="K1906"/>
      <c r="L1906"/>
      <c r="M1906"/>
      <c r="N1906"/>
      <c r="O1906"/>
      <c r="P1906"/>
      <c r="Q1906"/>
      <c r="R1906"/>
      <c r="S1906"/>
      <c r="T1906"/>
      <c r="U1906"/>
      <c r="V1906"/>
      <c r="W1906"/>
      <c r="X1906"/>
      <c r="Y1906"/>
      <c r="Z1906"/>
      <c r="AA1906"/>
      <c r="AB1906"/>
      <c r="AC1906"/>
      <c r="AD1906"/>
      <c r="AE1906"/>
      <c r="AF1906"/>
      <c r="AG1906"/>
      <c r="AH1906"/>
      <c r="AI1906"/>
      <c r="AJ1906"/>
      <c r="AK1906"/>
      <c r="AL1906"/>
      <c r="AM1906"/>
      <c r="AN1906"/>
      <c r="AO1906"/>
      <c r="AP1906"/>
      <c r="AQ1906"/>
      <c r="AR1906"/>
      <c r="AS1906"/>
      <c r="AT1906"/>
      <c r="AU1906"/>
      <c r="AV1906"/>
      <c r="AW1906"/>
      <c r="AX1906"/>
      <c r="AY1906"/>
      <c r="AZ1906"/>
      <c r="BA1906"/>
      <c r="BB1906"/>
      <c r="BC1906"/>
      <c r="BD1906"/>
      <c r="BE1906"/>
      <c r="BF1906"/>
      <c r="BG1906"/>
      <c r="BH1906"/>
      <c r="BI1906"/>
      <c r="BJ1906"/>
      <c r="BK1906"/>
      <c r="BL1906"/>
      <c r="BM1906"/>
      <c r="BN1906"/>
      <c r="BO1906"/>
      <c r="BP1906"/>
      <c r="BQ1906"/>
      <c r="BR1906"/>
      <c r="BS1906"/>
      <c r="BT1906"/>
      <c r="BU1906"/>
      <c r="BV1906"/>
      <c r="BW1906"/>
      <c r="BX1906"/>
      <c r="BY1906"/>
      <c r="BZ1906"/>
      <c r="CA1906"/>
      <c r="CB1906"/>
      <c r="CC1906"/>
      <c r="CD1906"/>
      <c r="CE1906"/>
      <c r="CF1906"/>
      <c r="CG1906"/>
      <c r="CH1906"/>
      <c r="CI1906"/>
      <c r="CJ1906"/>
      <c r="CK1906"/>
      <c r="CL1906"/>
      <c r="CM1906"/>
      <c r="CN1906"/>
      <c r="CO1906"/>
      <c r="CP1906"/>
      <c r="CQ1906"/>
      <c r="CR1906"/>
      <c r="CS1906"/>
      <c r="CT1906"/>
      <c r="CU1906"/>
      <c r="CV1906"/>
      <c r="CW1906"/>
      <c r="CX1906"/>
      <c r="CY1906"/>
      <c r="CZ1906"/>
      <c r="DA1906"/>
      <c r="DB1906"/>
      <c r="DC1906"/>
      <c r="DD1906"/>
      <c r="DE1906"/>
      <c r="DF1906"/>
      <c r="DG1906"/>
      <c r="DH1906"/>
      <c r="DI1906"/>
      <c r="DJ1906"/>
      <c r="DK1906"/>
      <c r="DL1906"/>
      <c r="DM1906"/>
      <c r="DN1906"/>
      <c r="DO1906"/>
      <c r="DP1906"/>
      <c r="DQ1906"/>
      <c r="DR1906"/>
      <c r="DS1906"/>
      <c r="DT1906"/>
      <c r="DU1906"/>
      <c r="DV1906"/>
      <c r="DW1906"/>
      <c r="DX1906"/>
      <c r="DY1906"/>
      <c r="DZ1906"/>
      <c r="EA1906"/>
      <c r="EB1906"/>
      <c r="EC1906"/>
      <c r="ED1906"/>
      <c r="EE1906"/>
      <c r="EF1906"/>
      <c r="EG1906"/>
      <c r="EH1906"/>
      <c r="EI1906"/>
      <c r="EJ1906"/>
      <c r="EK1906"/>
      <c r="EL1906"/>
      <c r="EM1906"/>
      <c r="EN1906"/>
      <c r="EO1906"/>
      <c r="EP1906"/>
      <c r="EQ1906"/>
      <c r="ER1906"/>
      <c r="ES1906"/>
    </row>
    <row r="1907" spans="1:149">
      <c r="A1907"/>
      <c r="B1907"/>
      <c r="C1907"/>
      <c r="D1907"/>
      <c r="E1907"/>
      <c r="F1907"/>
      <c r="G1907"/>
      <c r="H1907"/>
      <c r="I1907"/>
      <c r="J1907"/>
      <c r="K1907"/>
      <c r="L1907"/>
      <c r="M1907"/>
      <c r="N1907"/>
      <c r="O1907"/>
      <c r="P1907"/>
      <c r="Q1907"/>
      <c r="R1907"/>
      <c r="S1907"/>
      <c r="T1907"/>
      <c r="U1907"/>
      <c r="V1907"/>
      <c r="W1907"/>
      <c r="X1907"/>
      <c r="Y1907"/>
      <c r="Z1907"/>
      <c r="AA1907"/>
      <c r="AB1907"/>
      <c r="AC1907"/>
      <c r="AD1907"/>
      <c r="AE1907"/>
      <c r="AF1907"/>
      <c r="AG1907"/>
      <c r="AH1907"/>
      <c r="AI1907"/>
      <c r="AJ1907"/>
      <c r="AK1907"/>
      <c r="AL1907"/>
      <c r="AM1907"/>
      <c r="AN1907"/>
      <c r="AO1907"/>
      <c r="AP1907"/>
      <c r="AQ1907"/>
      <c r="AR1907"/>
      <c r="AS1907"/>
      <c r="AT1907"/>
      <c r="AU1907"/>
      <c r="AV1907"/>
      <c r="AW1907"/>
      <c r="AX1907"/>
      <c r="AY1907"/>
      <c r="AZ1907"/>
      <c r="BA1907"/>
      <c r="BB1907"/>
      <c r="BC1907"/>
      <c r="BD1907"/>
      <c r="BE1907"/>
      <c r="BF1907"/>
      <c r="BG1907"/>
      <c r="BH1907"/>
      <c r="BI1907"/>
      <c r="BJ1907"/>
      <c r="BK1907"/>
      <c r="BL1907"/>
      <c r="BM1907"/>
      <c r="BN1907"/>
      <c r="BO1907"/>
      <c r="BP1907"/>
      <c r="BQ1907"/>
      <c r="BR1907"/>
      <c r="BS1907"/>
      <c r="BT1907"/>
      <c r="BU1907"/>
      <c r="BV1907"/>
      <c r="BW1907"/>
      <c r="BX1907"/>
      <c r="BY1907"/>
      <c r="BZ1907"/>
      <c r="CA1907"/>
      <c r="CB1907"/>
      <c r="CC1907"/>
      <c r="CD1907"/>
      <c r="CE1907"/>
      <c r="CF1907"/>
      <c r="CG1907"/>
      <c r="CH1907"/>
      <c r="CI1907"/>
      <c r="CJ1907"/>
      <c r="CK1907"/>
      <c r="CL1907"/>
      <c r="CM1907"/>
      <c r="CN1907"/>
      <c r="CO1907"/>
      <c r="CP1907"/>
      <c r="CQ1907"/>
      <c r="CR1907"/>
      <c r="CS1907"/>
      <c r="CT1907"/>
      <c r="CU1907"/>
      <c r="CV1907"/>
      <c r="CW1907"/>
      <c r="CX1907"/>
      <c r="CY1907"/>
      <c r="CZ1907"/>
      <c r="DA1907"/>
      <c r="DB1907"/>
      <c r="DC1907"/>
      <c r="DD1907"/>
      <c r="DE1907"/>
      <c r="DF1907"/>
      <c r="DG1907"/>
      <c r="DH1907"/>
      <c r="DI1907"/>
      <c r="DJ1907"/>
      <c r="DK1907"/>
      <c r="DL1907"/>
      <c r="DM1907"/>
      <c r="DN1907"/>
      <c r="DO1907"/>
      <c r="DP1907"/>
      <c r="DQ1907"/>
      <c r="DR1907"/>
      <c r="DS1907"/>
      <c r="DT1907"/>
      <c r="DU1907"/>
      <c r="DV1907"/>
      <c r="DW1907"/>
      <c r="DX1907"/>
      <c r="DY1907"/>
      <c r="DZ1907"/>
      <c r="EA1907"/>
      <c r="EB1907"/>
      <c r="EC1907"/>
      <c r="ED1907"/>
      <c r="EE1907"/>
      <c r="EF1907"/>
      <c r="EG1907"/>
      <c r="EH1907"/>
      <c r="EI1907"/>
      <c r="EJ1907"/>
      <c r="EK1907"/>
      <c r="EL1907"/>
      <c r="EM1907"/>
      <c r="EN1907"/>
      <c r="EO1907"/>
      <c r="EP1907"/>
      <c r="EQ1907"/>
      <c r="ER1907"/>
      <c r="ES1907"/>
    </row>
    <row r="1908" spans="1:149">
      <c r="A1908"/>
      <c r="B1908"/>
      <c r="C1908"/>
      <c r="D1908"/>
      <c r="E1908"/>
      <c r="F1908"/>
      <c r="G1908"/>
      <c r="H1908"/>
      <c r="I1908"/>
      <c r="J1908"/>
      <c r="K1908"/>
      <c r="L1908"/>
      <c r="M1908"/>
      <c r="N1908"/>
      <c r="O1908"/>
      <c r="P1908"/>
      <c r="Q1908"/>
      <c r="R1908"/>
      <c r="S1908"/>
      <c r="T1908"/>
      <c r="U1908"/>
      <c r="V1908"/>
      <c r="W1908"/>
      <c r="X1908"/>
      <c r="Y1908"/>
      <c r="Z1908"/>
      <c r="AA1908"/>
      <c r="AB1908"/>
      <c r="AC1908"/>
      <c r="AD1908"/>
      <c r="AE1908"/>
      <c r="AF1908"/>
      <c r="AG1908"/>
      <c r="AH1908"/>
      <c r="AI1908"/>
      <c r="AJ1908"/>
      <c r="AK1908"/>
      <c r="AL1908"/>
      <c r="AM1908"/>
      <c r="AN1908"/>
      <c r="AO1908"/>
      <c r="AP1908"/>
      <c r="AQ1908"/>
      <c r="AR1908"/>
      <c r="AS1908"/>
      <c r="AT1908"/>
      <c r="AU1908"/>
      <c r="AV1908"/>
      <c r="AW1908"/>
      <c r="AX1908"/>
      <c r="AY1908"/>
      <c r="AZ1908"/>
      <c r="BA1908"/>
      <c r="BB1908"/>
      <c r="BC1908"/>
      <c r="BD1908"/>
      <c r="BE1908"/>
      <c r="BF1908"/>
      <c r="BG1908"/>
      <c r="BH1908"/>
      <c r="BI1908"/>
      <c r="BJ1908"/>
      <c r="BK1908"/>
      <c r="BL1908"/>
      <c r="BM1908"/>
      <c r="BN1908"/>
      <c r="BO1908"/>
      <c r="BP1908"/>
      <c r="BQ1908"/>
      <c r="BR1908"/>
      <c r="BS1908"/>
      <c r="BT1908"/>
      <c r="BU1908"/>
      <c r="BV1908"/>
      <c r="BW1908"/>
      <c r="BX1908"/>
      <c r="BY1908"/>
      <c r="BZ1908"/>
      <c r="CA1908"/>
      <c r="CB1908"/>
      <c r="CC1908"/>
      <c r="CD1908"/>
      <c r="CE1908"/>
      <c r="CF1908"/>
      <c r="CG1908"/>
      <c r="CH1908"/>
      <c r="CI1908"/>
      <c r="CJ1908"/>
      <c r="CK1908"/>
      <c r="CL1908"/>
      <c r="CM1908"/>
      <c r="CN1908"/>
      <c r="CO1908"/>
      <c r="CP1908"/>
      <c r="CQ1908"/>
      <c r="CR1908"/>
      <c r="CS1908"/>
      <c r="CT1908"/>
      <c r="CU1908"/>
      <c r="CV1908"/>
      <c r="CW1908"/>
      <c r="CX1908"/>
      <c r="CY1908"/>
      <c r="CZ1908"/>
      <c r="DA1908"/>
      <c r="DB1908"/>
      <c r="DC1908"/>
      <c r="DD1908"/>
      <c r="DE1908"/>
      <c r="DF1908"/>
      <c r="DG1908"/>
      <c r="DH1908"/>
      <c r="DI1908"/>
      <c r="DJ1908"/>
      <c r="DK1908"/>
      <c r="DL1908"/>
      <c r="DM1908"/>
      <c r="DN1908"/>
      <c r="DO1908"/>
      <c r="DP1908"/>
      <c r="DQ1908"/>
      <c r="DR1908"/>
      <c r="DS1908"/>
      <c r="DT1908"/>
      <c r="DU1908"/>
      <c r="DV1908"/>
      <c r="DW1908"/>
      <c r="DX1908"/>
      <c r="DY1908"/>
      <c r="DZ1908"/>
      <c r="EA1908"/>
      <c r="EB1908"/>
      <c r="EC1908"/>
      <c r="ED1908"/>
      <c r="EE1908"/>
      <c r="EF1908"/>
      <c r="EG1908"/>
      <c r="EH1908"/>
      <c r="EI1908"/>
      <c r="EJ1908"/>
      <c r="EK1908"/>
      <c r="EL1908"/>
      <c r="EM1908"/>
      <c r="EN1908"/>
      <c r="EO1908"/>
      <c r="EP1908"/>
      <c r="EQ1908"/>
      <c r="ER1908"/>
      <c r="ES1908"/>
    </row>
    <row r="1909" spans="1:149">
      <c r="A1909"/>
      <c r="B1909"/>
      <c r="C1909"/>
      <c r="D1909"/>
      <c r="E1909"/>
      <c r="F1909"/>
      <c r="G1909"/>
      <c r="H1909"/>
      <c r="I1909"/>
      <c r="J1909"/>
      <c r="K1909"/>
      <c r="L1909"/>
      <c r="M1909"/>
      <c r="N1909"/>
      <c r="O1909"/>
      <c r="P1909"/>
      <c r="Q1909"/>
      <c r="R1909"/>
      <c r="S1909"/>
      <c r="T1909"/>
      <c r="U1909"/>
      <c r="V1909"/>
      <c r="W1909"/>
      <c r="X1909"/>
      <c r="Y1909"/>
      <c r="Z1909"/>
      <c r="AA1909"/>
      <c r="AB1909"/>
      <c r="AC1909"/>
      <c r="AD1909"/>
      <c r="AE1909"/>
      <c r="AF1909"/>
      <c r="AG1909"/>
      <c r="AH1909"/>
      <c r="AI1909"/>
      <c r="AJ1909"/>
      <c r="AK1909"/>
      <c r="AL1909"/>
      <c r="AM1909"/>
      <c r="AN1909"/>
      <c r="AO1909"/>
      <c r="AP1909"/>
      <c r="AQ1909"/>
      <c r="AR1909"/>
      <c r="AS1909"/>
      <c r="AT1909"/>
      <c r="AU1909"/>
      <c r="AV1909"/>
      <c r="AW1909"/>
      <c r="AX1909"/>
      <c r="AY1909"/>
      <c r="AZ1909"/>
      <c r="BA1909"/>
      <c r="BB1909"/>
      <c r="BC1909"/>
      <c r="BD1909"/>
      <c r="BE1909"/>
      <c r="BF1909"/>
      <c r="BG1909"/>
      <c r="BH1909"/>
      <c r="BI1909"/>
      <c r="BJ1909"/>
      <c r="BK1909"/>
      <c r="BL1909"/>
      <c r="BM1909"/>
      <c r="BN1909"/>
      <c r="BO1909"/>
      <c r="BP1909"/>
      <c r="BQ1909"/>
      <c r="BR1909"/>
      <c r="BS1909"/>
      <c r="BT1909"/>
      <c r="BU1909"/>
      <c r="BV1909"/>
      <c r="BW1909"/>
      <c r="BX1909"/>
      <c r="BY1909"/>
      <c r="BZ1909"/>
      <c r="CA1909"/>
      <c r="CB1909"/>
      <c r="CC1909"/>
      <c r="CD1909"/>
      <c r="CE1909"/>
      <c r="CF1909"/>
      <c r="CG1909"/>
      <c r="CH1909"/>
      <c r="CI1909"/>
      <c r="CJ1909"/>
      <c r="CK1909"/>
      <c r="CL1909"/>
      <c r="CM1909"/>
      <c r="CN1909"/>
      <c r="CO1909"/>
      <c r="CP1909"/>
      <c r="CQ1909"/>
      <c r="CR1909"/>
      <c r="CS1909"/>
      <c r="CT1909"/>
      <c r="CU1909"/>
      <c r="CV1909"/>
      <c r="CW1909"/>
      <c r="CX1909"/>
      <c r="CY1909"/>
      <c r="CZ1909"/>
      <c r="DA1909"/>
      <c r="DB1909"/>
      <c r="DC1909"/>
      <c r="DD1909"/>
      <c r="DE1909"/>
      <c r="DF1909"/>
      <c r="DG1909"/>
      <c r="DH1909"/>
      <c r="DI1909"/>
      <c r="DJ1909"/>
      <c r="DK1909"/>
      <c r="DL1909"/>
      <c r="DM1909"/>
      <c r="DN1909"/>
      <c r="DO1909"/>
      <c r="DP1909"/>
      <c r="DQ1909"/>
      <c r="DR1909"/>
      <c r="DS1909"/>
      <c r="DT1909"/>
      <c r="DU1909"/>
      <c r="DV1909"/>
      <c r="DW1909"/>
      <c r="DX1909"/>
      <c r="DY1909"/>
      <c r="DZ1909"/>
      <c r="EA1909"/>
      <c r="EB1909"/>
      <c r="EC1909"/>
      <c r="ED1909"/>
      <c r="EE1909"/>
      <c r="EF1909"/>
      <c r="EG1909"/>
      <c r="EH1909"/>
      <c r="EI1909"/>
      <c r="EJ1909"/>
      <c r="EK1909"/>
      <c r="EL1909"/>
      <c r="EM1909"/>
      <c r="EN1909"/>
      <c r="EO1909"/>
      <c r="EP1909"/>
      <c r="EQ1909"/>
      <c r="ER1909"/>
      <c r="ES1909"/>
    </row>
    <row r="1910" spans="1:149">
      <c r="A1910"/>
      <c r="B1910"/>
      <c r="C1910"/>
      <c r="D1910"/>
      <c r="E1910"/>
      <c r="F1910"/>
      <c r="G1910"/>
      <c r="H1910"/>
      <c r="I1910"/>
      <c r="J1910"/>
      <c r="K1910"/>
      <c r="L1910"/>
      <c r="M1910"/>
      <c r="N1910"/>
      <c r="O1910"/>
      <c r="P1910"/>
      <c r="Q1910"/>
      <c r="R1910"/>
      <c r="S1910"/>
      <c r="T1910"/>
      <c r="U1910"/>
      <c r="V1910"/>
      <c r="W1910"/>
      <c r="X1910"/>
      <c r="Y1910"/>
      <c r="Z1910"/>
      <c r="AA1910"/>
      <c r="AB1910"/>
      <c r="AC1910"/>
      <c r="AD1910"/>
      <c r="AE1910"/>
      <c r="AF1910"/>
      <c r="AG1910"/>
      <c r="AH1910"/>
      <c r="AI1910"/>
      <c r="AJ1910"/>
      <c r="AK1910"/>
      <c r="AL1910"/>
      <c r="AM1910"/>
      <c r="AN1910"/>
      <c r="AO1910"/>
      <c r="AP1910"/>
      <c r="AQ1910"/>
      <c r="AR1910"/>
      <c r="AS1910"/>
      <c r="AT1910"/>
      <c r="AU1910"/>
      <c r="AV1910"/>
      <c r="AW1910"/>
      <c r="AX1910"/>
      <c r="AY1910"/>
      <c r="AZ1910"/>
      <c r="BA1910"/>
      <c r="BB1910"/>
      <c r="BC1910"/>
      <c r="BD1910"/>
      <c r="BE1910"/>
      <c r="BF1910"/>
      <c r="BG1910"/>
      <c r="BH1910"/>
      <c r="BI1910"/>
      <c r="BJ1910"/>
      <c r="BK1910"/>
      <c r="BL1910"/>
      <c r="BM1910"/>
      <c r="BN1910"/>
      <c r="BO1910"/>
      <c r="BP1910"/>
      <c r="BQ1910"/>
      <c r="BR1910"/>
      <c r="BS1910"/>
      <c r="BT1910"/>
      <c r="BU1910"/>
      <c r="BV1910"/>
      <c r="BW1910"/>
      <c r="BX1910"/>
      <c r="BY1910"/>
      <c r="BZ1910"/>
      <c r="CA1910"/>
      <c r="CB1910"/>
      <c r="CC1910"/>
      <c r="CD1910"/>
      <c r="CE1910"/>
      <c r="CF1910"/>
      <c r="CG1910"/>
      <c r="CH1910"/>
      <c r="CI1910"/>
      <c r="CJ1910"/>
      <c r="CK1910"/>
      <c r="CL1910"/>
      <c r="CM1910"/>
      <c r="CN1910"/>
      <c r="CO1910"/>
      <c r="CP1910"/>
      <c r="CQ1910"/>
      <c r="CR1910"/>
      <c r="CS1910"/>
      <c r="CT1910"/>
      <c r="CU1910"/>
      <c r="CV1910"/>
      <c r="CW1910"/>
      <c r="CX1910"/>
      <c r="CY1910"/>
      <c r="CZ1910"/>
      <c r="DA1910"/>
      <c r="DB1910"/>
      <c r="DC1910"/>
      <c r="DD1910"/>
      <c r="DE1910"/>
      <c r="DF1910"/>
      <c r="DG1910"/>
      <c r="DH1910"/>
      <c r="DI1910"/>
      <c r="DJ1910"/>
      <c r="DK1910"/>
      <c r="DL1910"/>
      <c r="DM1910"/>
      <c r="DN1910"/>
      <c r="DO1910"/>
      <c r="DP1910"/>
      <c r="DQ1910"/>
      <c r="DR1910"/>
      <c r="DS1910"/>
      <c r="DT1910"/>
      <c r="DU1910"/>
      <c r="DV1910"/>
      <c r="DW1910"/>
      <c r="DX1910"/>
      <c r="DY1910"/>
      <c r="DZ1910"/>
      <c r="EA1910"/>
      <c r="EB1910"/>
      <c r="EC1910"/>
      <c r="ED1910"/>
      <c r="EE1910"/>
      <c r="EF1910"/>
      <c r="EG1910"/>
      <c r="EH1910"/>
      <c r="EI1910"/>
      <c r="EJ1910"/>
      <c r="EK1910"/>
      <c r="EL1910"/>
      <c r="EM1910"/>
      <c r="EN1910"/>
      <c r="EO1910"/>
      <c r="EP1910"/>
      <c r="EQ1910"/>
      <c r="ER1910"/>
      <c r="ES1910"/>
    </row>
    <row r="1911" spans="1:149">
      <c r="A1911"/>
      <c r="B1911"/>
      <c r="C1911"/>
      <c r="D1911"/>
      <c r="E1911"/>
      <c r="F1911"/>
      <c r="G1911"/>
      <c r="H1911"/>
      <c r="I1911"/>
      <c r="J1911"/>
      <c r="K1911"/>
      <c r="L1911"/>
      <c r="M1911"/>
      <c r="N1911"/>
      <c r="O1911"/>
      <c r="P1911"/>
      <c r="Q1911"/>
      <c r="R1911"/>
      <c r="S1911"/>
      <c r="T1911"/>
      <c r="U1911"/>
      <c r="V1911"/>
      <c r="W1911"/>
      <c r="X1911"/>
      <c r="Y1911"/>
      <c r="Z1911"/>
      <c r="AA1911"/>
      <c r="AB1911"/>
      <c r="AC1911"/>
      <c r="AD1911"/>
      <c r="AE1911"/>
      <c r="AF1911"/>
      <c r="AG1911"/>
      <c r="AH1911"/>
      <c r="AI1911"/>
      <c r="AJ1911"/>
      <c r="AK1911"/>
      <c r="AL1911"/>
      <c r="AM1911"/>
      <c r="AN1911"/>
      <c r="AO1911"/>
      <c r="AP1911"/>
      <c r="AQ1911"/>
      <c r="AR1911"/>
      <c r="AS1911"/>
      <c r="AT1911"/>
      <c r="AU1911"/>
      <c r="AV1911"/>
      <c r="AW1911"/>
      <c r="AX1911"/>
      <c r="AY1911"/>
      <c r="AZ1911"/>
      <c r="BA1911"/>
      <c r="BB1911"/>
      <c r="BC1911"/>
      <c r="BD1911"/>
      <c r="BE1911"/>
      <c r="BF1911"/>
      <c r="BG1911"/>
      <c r="BH1911"/>
      <c r="BI1911"/>
      <c r="BJ1911"/>
      <c r="BK1911"/>
      <c r="BL1911"/>
      <c r="BM1911"/>
      <c r="BN1911"/>
      <c r="BO1911"/>
      <c r="BP1911"/>
      <c r="BQ1911"/>
      <c r="BR1911"/>
      <c r="BS1911"/>
      <c r="BT1911"/>
      <c r="BU1911"/>
      <c r="BV1911"/>
      <c r="BW1911"/>
      <c r="BX1911"/>
      <c r="BY1911"/>
      <c r="BZ1911"/>
      <c r="CA1911"/>
      <c r="CB1911"/>
      <c r="CC1911"/>
      <c r="CD1911"/>
      <c r="CE1911"/>
      <c r="CF1911"/>
      <c r="CG1911"/>
      <c r="CH1911"/>
      <c r="CI1911"/>
      <c r="CJ1911"/>
      <c r="CK1911"/>
      <c r="CL1911"/>
      <c r="CM1911"/>
      <c r="CN1911"/>
      <c r="CO1911"/>
      <c r="CP1911"/>
      <c r="CQ1911"/>
      <c r="CR1911"/>
      <c r="CS1911"/>
      <c r="CT1911"/>
      <c r="CU1911"/>
      <c r="CV1911"/>
      <c r="CW1911"/>
      <c r="CX1911"/>
      <c r="CY1911"/>
      <c r="CZ1911"/>
      <c r="DA1911"/>
      <c r="DB1911"/>
      <c r="DC1911"/>
      <c r="DD1911"/>
      <c r="DE1911"/>
      <c r="DF1911"/>
      <c r="DG1911"/>
      <c r="DH1911"/>
      <c r="DI1911"/>
      <c r="DJ1911"/>
      <c r="DK1911"/>
      <c r="DL1911"/>
      <c r="DM1911"/>
      <c r="DN1911"/>
      <c r="DO1911"/>
      <c r="DP1911"/>
      <c r="DQ1911"/>
      <c r="DR1911"/>
      <c r="DS1911"/>
      <c r="DT1911"/>
      <c r="DU1911"/>
      <c r="DV1911"/>
      <c r="DW1911"/>
      <c r="DX1911"/>
      <c r="DY1911"/>
      <c r="DZ1911"/>
      <c r="EA1911"/>
      <c r="EB1911"/>
      <c r="EC1911"/>
      <c r="ED1911"/>
      <c r="EE1911"/>
      <c r="EF1911"/>
      <c r="EG1911"/>
      <c r="EH1911"/>
      <c r="EI1911"/>
      <c r="EJ1911"/>
      <c r="EK1911"/>
      <c r="EL1911"/>
      <c r="EM1911"/>
      <c r="EN1911"/>
      <c r="EO1911"/>
      <c r="EP1911"/>
      <c r="EQ1911"/>
      <c r="ER1911"/>
      <c r="ES1911"/>
    </row>
    <row r="1912" spans="1:149">
      <c r="A1912"/>
      <c r="B1912"/>
      <c r="C1912"/>
      <c r="D1912"/>
      <c r="E1912"/>
      <c r="F1912"/>
      <c r="G1912"/>
      <c r="H1912"/>
      <c r="I1912"/>
      <c r="J1912"/>
      <c r="K1912"/>
      <c r="L1912"/>
      <c r="M1912"/>
      <c r="N1912"/>
      <c r="O1912"/>
      <c r="P1912"/>
      <c r="Q1912"/>
      <c r="R1912"/>
      <c r="S1912"/>
      <c r="T1912"/>
      <c r="U1912"/>
      <c r="V1912"/>
      <c r="W1912"/>
      <c r="X1912"/>
      <c r="Y1912"/>
      <c r="Z1912"/>
      <c r="AA1912"/>
      <c r="AB1912"/>
      <c r="AC1912"/>
      <c r="AD1912"/>
      <c r="AE1912"/>
      <c r="AF1912"/>
      <c r="AG1912"/>
      <c r="AH1912"/>
      <c r="AI1912"/>
      <c r="AJ1912"/>
      <c r="AK1912"/>
      <c r="AL1912"/>
      <c r="AM1912"/>
      <c r="AN1912"/>
      <c r="AO1912"/>
      <c r="AP1912"/>
      <c r="AQ1912"/>
      <c r="AR1912"/>
      <c r="AS1912"/>
      <c r="AT1912"/>
      <c r="AU1912"/>
      <c r="AV1912"/>
      <c r="AW1912"/>
      <c r="AX1912"/>
      <c r="AY1912"/>
      <c r="AZ1912"/>
      <c r="BA1912"/>
      <c r="BB1912"/>
      <c r="BC1912"/>
      <c r="BD1912"/>
      <c r="BE1912"/>
      <c r="BF1912"/>
      <c r="BG1912"/>
      <c r="BH1912"/>
      <c r="BI1912"/>
      <c r="BJ1912"/>
      <c r="BK1912"/>
      <c r="BL1912"/>
      <c r="BM1912"/>
      <c r="BN1912"/>
      <c r="BO1912"/>
      <c r="BP1912"/>
      <c r="BQ1912"/>
      <c r="BR1912"/>
      <c r="BS1912"/>
      <c r="BT1912"/>
      <c r="BU1912"/>
      <c r="BV1912"/>
      <c r="BW1912"/>
      <c r="BX1912"/>
      <c r="BY1912"/>
      <c r="BZ1912"/>
      <c r="CA1912"/>
      <c r="CB1912"/>
      <c r="CC1912"/>
      <c r="CD1912"/>
      <c r="CE1912"/>
      <c r="CF1912"/>
      <c r="CG1912"/>
      <c r="CH1912"/>
      <c r="CI1912"/>
      <c r="CJ1912"/>
      <c r="CK1912"/>
      <c r="CL1912"/>
      <c r="CM1912"/>
      <c r="CN1912"/>
      <c r="CO1912"/>
      <c r="CP1912"/>
      <c r="CQ1912"/>
      <c r="CR1912"/>
      <c r="CS1912"/>
      <c r="CT1912"/>
      <c r="CU1912"/>
      <c r="CV1912"/>
      <c r="CW1912"/>
      <c r="CX1912"/>
      <c r="CY1912"/>
      <c r="CZ1912"/>
      <c r="DA1912"/>
      <c r="DB1912"/>
      <c r="DC1912"/>
      <c r="DD1912"/>
      <c r="DE1912"/>
      <c r="DF1912"/>
      <c r="DG1912"/>
      <c r="DH1912"/>
      <c r="DI1912"/>
      <c r="DJ1912"/>
      <c r="DK1912"/>
      <c r="DL1912"/>
      <c r="DM1912"/>
      <c r="DN1912"/>
      <c r="DO1912"/>
      <c r="DP1912"/>
      <c r="DQ1912"/>
      <c r="DR1912"/>
      <c r="DS1912"/>
      <c r="DT1912"/>
      <c r="DU1912"/>
      <c r="DV1912"/>
      <c r="DW1912"/>
      <c r="DX1912"/>
      <c r="DY1912"/>
      <c r="DZ1912"/>
      <c r="EA1912"/>
      <c r="EB1912"/>
      <c r="EC1912"/>
      <c r="ED1912"/>
      <c r="EE1912"/>
      <c r="EF1912"/>
      <c r="EG1912"/>
      <c r="EH1912"/>
      <c r="EI1912"/>
      <c r="EJ1912"/>
      <c r="EK1912"/>
      <c r="EL1912"/>
      <c r="EM1912"/>
      <c r="EN1912"/>
      <c r="EO1912"/>
      <c r="EP1912"/>
      <c r="EQ1912"/>
      <c r="ER1912"/>
      <c r="ES1912"/>
    </row>
    <row r="1913" spans="1:149">
      <c r="A1913"/>
      <c r="B1913"/>
      <c r="C1913"/>
      <c r="D1913"/>
      <c r="E1913"/>
      <c r="F1913"/>
      <c r="G1913"/>
      <c r="H1913"/>
      <c r="I1913"/>
      <c r="J1913"/>
      <c r="K1913"/>
      <c r="L1913"/>
      <c r="M1913"/>
      <c r="N1913"/>
      <c r="O1913"/>
      <c r="P1913"/>
      <c r="Q1913"/>
      <c r="R1913"/>
      <c r="S1913"/>
      <c r="T1913"/>
      <c r="U1913"/>
      <c r="V1913"/>
      <c r="W1913"/>
      <c r="X1913"/>
      <c r="Y1913"/>
      <c r="Z1913"/>
      <c r="AA1913"/>
      <c r="AB1913"/>
      <c r="AC1913"/>
      <c r="AD1913"/>
      <c r="AE1913"/>
      <c r="AF1913"/>
      <c r="AG1913"/>
      <c r="AH1913"/>
      <c r="AI1913"/>
      <c r="AJ1913"/>
      <c r="AK1913"/>
      <c r="AL1913"/>
      <c r="AM1913"/>
      <c r="AN1913"/>
      <c r="AO1913"/>
      <c r="AP1913"/>
      <c r="AQ1913"/>
      <c r="AR1913"/>
      <c r="AS1913"/>
      <c r="AT1913"/>
      <c r="AU1913"/>
      <c r="AV1913"/>
      <c r="AW1913"/>
      <c r="AX1913"/>
      <c r="AY1913"/>
      <c r="AZ1913"/>
      <c r="BA1913"/>
      <c r="BB1913"/>
      <c r="BC1913"/>
      <c r="BD1913"/>
      <c r="BE1913"/>
      <c r="BF1913"/>
      <c r="BG1913"/>
      <c r="BH1913"/>
      <c r="BI1913"/>
      <c r="BJ1913"/>
      <c r="BK1913"/>
      <c r="BL1913"/>
      <c r="BM1913"/>
      <c r="BN1913"/>
      <c r="BO1913"/>
      <c r="BP1913"/>
      <c r="BQ1913"/>
      <c r="BR1913"/>
      <c r="BS1913"/>
      <c r="BT1913"/>
      <c r="BU1913"/>
      <c r="BV1913"/>
      <c r="BW1913"/>
      <c r="BX1913"/>
      <c r="BY1913"/>
      <c r="BZ1913"/>
      <c r="CA1913"/>
      <c r="CB1913"/>
      <c r="CC1913"/>
      <c r="CD1913"/>
      <c r="CE1913"/>
      <c r="CF1913"/>
      <c r="CG1913"/>
      <c r="CH1913"/>
      <c r="CI1913"/>
      <c r="CJ1913"/>
      <c r="CK1913"/>
      <c r="CL1913"/>
      <c r="CM1913"/>
      <c r="CN1913"/>
      <c r="CO1913"/>
      <c r="CP1913"/>
      <c r="CQ1913"/>
      <c r="CR1913"/>
      <c r="CS1913"/>
      <c r="CT1913"/>
      <c r="CU1913"/>
      <c r="CV1913"/>
      <c r="CW1913"/>
      <c r="CX1913"/>
      <c r="CY1913"/>
      <c r="CZ1913"/>
      <c r="DA1913"/>
      <c r="DB1913"/>
      <c r="DC1913"/>
      <c r="DD1913"/>
      <c r="DE1913"/>
      <c r="DF1913"/>
      <c r="DG1913"/>
      <c r="DH1913"/>
      <c r="DI1913"/>
      <c r="DJ1913"/>
      <c r="DK1913"/>
      <c r="DL1913"/>
      <c r="DM1913"/>
      <c r="DN1913"/>
      <c r="DO1913"/>
      <c r="DP1913"/>
      <c r="DQ1913"/>
      <c r="DR1913"/>
      <c r="DS1913"/>
      <c r="DT1913"/>
      <c r="DU1913"/>
      <c r="DV1913"/>
      <c r="DW1913"/>
      <c r="DX1913"/>
      <c r="DY1913"/>
      <c r="DZ1913"/>
      <c r="EA1913"/>
      <c r="EB1913"/>
      <c r="EC1913"/>
      <c r="ED1913"/>
      <c r="EE1913"/>
      <c r="EF1913"/>
      <c r="EG1913"/>
      <c r="EH1913"/>
      <c r="EI1913"/>
      <c r="EJ1913"/>
      <c r="EK1913"/>
      <c r="EL1913"/>
      <c r="EM1913"/>
      <c r="EN1913"/>
      <c r="EO1913"/>
      <c r="EP1913"/>
      <c r="EQ1913"/>
      <c r="ER1913"/>
      <c r="ES1913"/>
    </row>
    <row r="1914" spans="1:149">
      <c r="A1914"/>
      <c r="B1914"/>
      <c r="C1914"/>
      <c r="D1914"/>
      <c r="E1914"/>
      <c r="F1914"/>
      <c r="G1914"/>
      <c r="H1914"/>
      <c r="I1914"/>
      <c r="J1914"/>
      <c r="K1914"/>
      <c r="L1914"/>
      <c r="M1914"/>
      <c r="N1914"/>
      <c r="O1914"/>
      <c r="P1914"/>
      <c r="Q1914"/>
      <c r="R1914"/>
      <c r="S1914"/>
      <c r="T1914"/>
      <c r="U1914"/>
      <c r="V1914"/>
      <c r="W1914"/>
      <c r="X1914"/>
      <c r="Y1914"/>
      <c r="Z1914"/>
      <c r="AA1914"/>
      <c r="AB1914"/>
      <c r="AC1914"/>
      <c r="AD1914"/>
      <c r="AE1914"/>
      <c r="AF1914"/>
      <c r="AG1914"/>
      <c r="AH1914"/>
      <c r="AI1914"/>
      <c r="AJ1914"/>
      <c r="AK1914"/>
      <c r="AL1914"/>
      <c r="AM1914"/>
      <c r="AN1914"/>
      <c r="AO1914"/>
      <c r="AP1914"/>
      <c r="AQ1914"/>
      <c r="AR1914"/>
      <c r="AS1914"/>
      <c r="AT1914"/>
      <c r="AU1914"/>
      <c r="AV1914"/>
      <c r="AW1914"/>
      <c r="AX1914"/>
      <c r="AY1914"/>
      <c r="AZ1914"/>
      <c r="BA1914"/>
      <c r="BB1914"/>
      <c r="BC1914"/>
      <c r="BD1914"/>
      <c r="BE1914"/>
      <c r="BF1914"/>
      <c r="BG1914"/>
      <c r="BH1914"/>
      <c r="BI1914"/>
      <c r="BJ1914"/>
      <c r="BK1914"/>
      <c r="BL1914"/>
      <c r="BM1914"/>
      <c r="BN1914"/>
      <c r="BO1914"/>
      <c r="BP1914"/>
      <c r="BQ1914"/>
      <c r="BR1914"/>
      <c r="BS1914"/>
      <c r="BT1914"/>
      <c r="BU1914"/>
      <c r="BV1914"/>
      <c r="BW1914"/>
      <c r="BX1914"/>
      <c r="BY1914"/>
      <c r="BZ1914"/>
      <c r="CA1914"/>
      <c r="CB1914"/>
      <c r="CC1914"/>
      <c r="CD1914"/>
      <c r="CE1914"/>
      <c r="CF1914"/>
      <c r="CG1914"/>
      <c r="CH1914"/>
      <c r="CI1914"/>
      <c r="CJ1914"/>
      <c r="CK1914"/>
      <c r="CL1914"/>
      <c r="CM1914"/>
      <c r="CN1914"/>
      <c r="CO1914"/>
      <c r="CP1914"/>
      <c r="CQ1914"/>
      <c r="CR1914"/>
      <c r="CS1914"/>
      <c r="CT1914"/>
      <c r="CU1914"/>
      <c r="CV1914"/>
      <c r="CW1914"/>
      <c r="CX1914"/>
      <c r="CY1914"/>
      <c r="CZ1914"/>
      <c r="DA1914"/>
      <c r="DB1914"/>
      <c r="DC1914"/>
      <c r="DD1914"/>
      <c r="DE1914"/>
      <c r="DF1914"/>
      <c r="DG1914"/>
      <c r="DH1914"/>
      <c r="DI1914"/>
      <c r="DJ1914"/>
      <c r="DK1914"/>
      <c r="DL1914"/>
      <c r="DM1914"/>
      <c r="DN1914"/>
      <c r="DO1914"/>
      <c r="DP1914"/>
      <c r="DQ1914"/>
      <c r="DR1914"/>
      <c r="DS1914"/>
      <c r="DT1914"/>
      <c r="DU1914"/>
      <c r="DV1914"/>
      <c r="DW1914"/>
      <c r="DX1914"/>
      <c r="DY1914"/>
      <c r="DZ1914"/>
      <c r="EA1914"/>
      <c r="EB1914"/>
      <c r="EC1914"/>
      <c r="ED1914"/>
      <c r="EE1914"/>
      <c r="EF1914"/>
      <c r="EG1914"/>
      <c r="EH1914"/>
      <c r="EI1914"/>
      <c r="EJ1914"/>
      <c r="EK1914"/>
      <c r="EL1914"/>
      <c r="EM1914"/>
      <c r="EN1914"/>
      <c r="EO1914"/>
      <c r="EP1914"/>
      <c r="EQ1914"/>
      <c r="ER1914"/>
      <c r="ES1914"/>
    </row>
    <row r="1915" spans="1:149">
      <c r="A1915"/>
      <c r="B1915"/>
      <c r="C1915"/>
      <c r="D1915"/>
      <c r="E1915"/>
      <c r="F1915"/>
      <c r="G1915"/>
      <c r="H1915"/>
      <c r="I1915"/>
      <c r="J1915"/>
      <c r="K1915"/>
      <c r="L1915"/>
      <c r="M1915"/>
      <c r="N1915"/>
      <c r="O1915"/>
      <c r="P1915"/>
      <c r="Q1915"/>
      <c r="R1915"/>
      <c r="S1915"/>
      <c r="T1915"/>
      <c r="U1915"/>
      <c r="V1915"/>
      <c r="W1915"/>
      <c r="X1915"/>
      <c r="Y1915"/>
      <c r="Z1915"/>
      <c r="AA1915"/>
      <c r="AB1915"/>
      <c r="AC1915"/>
      <c r="AD1915"/>
      <c r="AE1915"/>
      <c r="AF1915"/>
      <c r="AG1915"/>
      <c r="AH1915"/>
      <c r="AI1915"/>
      <c r="AJ1915"/>
      <c r="AK1915"/>
      <c r="AL1915"/>
      <c r="AM1915"/>
      <c r="AN1915"/>
      <c r="AO1915"/>
      <c r="AP1915"/>
      <c r="AQ1915"/>
      <c r="AR1915"/>
      <c r="AS1915"/>
      <c r="AT1915"/>
      <c r="AU1915"/>
      <c r="AV1915"/>
      <c r="AW1915"/>
      <c r="AX1915"/>
      <c r="AY1915"/>
      <c r="AZ1915"/>
      <c r="BA1915"/>
      <c r="BB1915"/>
      <c r="BC1915"/>
      <c r="BD1915"/>
      <c r="BE1915"/>
      <c r="BF1915"/>
      <c r="BG1915"/>
      <c r="BH1915"/>
      <c r="BI1915"/>
      <c r="BJ1915"/>
      <c r="BK1915"/>
      <c r="BL1915"/>
      <c r="BM1915"/>
      <c r="BN1915"/>
      <c r="BO1915"/>
      <c r="BP1915"/>
      <c r="BQ1915"/>
      <c r="BR1915"/>
      <c r="BS1915"/>
      <c r="BT1915"/>
      <c r="BU1915"/>
      <c r="BV1915"/>
      <c r="BW1915"/>
      <c r="BX1915"/>
      <c r="BY1915"/>
      <c r="BZ1915"/>
      <c r="CA1915"/>
      <c r="CB1915"/>
      <c r="CC1915"/>
      <c r="CD1915"/>
      <c r="CE1915"/>
      <c r="CF1915"/>
      <c r="CG1915"/>
      <c r="CH1915"/>
      <c r="CI1915"/>
      <c r="CJ1915"/>
      <c r="CK1915"/>
      <c r="CL1915"/>
      <c r="CM1915"/>
      <c r="CN1915"/>
      <c r="CO1915"/>
      <c r="CP1915"/>
      <c r="CQ1915"/>
      <c r="CR1915"/>
      <c r="CS1915"/>
      <c r="CT1915"/>
      <c r="CU1915"/>
      <c r="CV1915"/>
      <c r="CW1915"/>
      <c r="CX1915"/>
      <c r="CY1915"/>
      <c r="CZ1915"/>
      <c r="DA1915"/>
      <c r="DB1915"/>
      <c r="DC1915"/>
      <c r="DD1915"/>
      <c r="DE1915"/>
      <c r="DF1915"/>
      <c r="DG1915"/>
      <c r="DH1915"/>
      <c r="DI1915"/>
      <c r="DJ1915"/>
      <c r="DK1915"/>
      <c r="DL1915"/>
      <c r="DM1915"/>
      <c r="DN1915"/>
      <c r="DO1915"/>
      <c r="DP1915"/>
      <c r="DQ1915"/>
      <c r="DR1915"/>
      <c r="DS1915"/>
      <c r="DT1915"/>
      <c r="DU1915"/>
      <c r="DV1915"/>
      <c r="DW1915"/>
      <c r="DX1915"/>
      <c r="DY1915"/>
      <c r="DZ1915"/>
      <c r="EA1915"/>
      <c r="EB1915"/>
      <c r="EC1915"/>
      <c r="ED1915"/>
      <c r="EE1915"/>
      <c r="EF1915"/>
      <c r="EG1915"/>
      <c r="EH1915"/>
      <c r="EI1915"/>
      <c r="EJ1915"/>
      <c r="EK1915"/>
      <c r="EL1915"/>
      <c r="EM1915"/>
      <c r="EN1915"/>
      <c r="EO1915"/>
      <c r="EP1915"/>
      <c r="EQ1915"/>
      <c r="ER1915"/>
      <c r="ES1915"/>
    </row>
    <row r="1916" spans="1:149">
      <c r="A1916"/>
      <c r="B1916"/>
      <c r="C1916"/>
      <c r="D1916"/>
      <c r="E1916"/>
      <c r="F1916"/>
      <c r="G1916"/>
      <c r="H1916"/>
      <c r="I1916"/>
      <c r="J1916"/>
      <c r="K1916"/>
      <c r="L1916"/>
      <c r="M1916"/>
      <c r="N1916"/>
      <c r="O1916"/>
      <c r="P1916"/>
      <c r="Q1916"/>
      <c r="R1916"/>
      <c r="S1916"/>
      <c r="T1916"/>
      <c r="U1916"/>
      <c r="V1916"/>
      <c r="W1916"/>
      <c r="X1916"/>
      <c r="Y1916"/>
      <c r="Z1916"/>
      <c r="AA1916"/>
      <c r="AB1916"/>
      <c r="AC1916"/>
      <c r="AD1916"/>
      <c r="AE1916"/>
      <c r="AF1916"/>
      <c r="AG1916"/>
      <c r="AH1916"/>
      <c r="AI1916"/>
      <c r="AJ1916"/>
      <c r="AK1916"/>
      <c r="AL1916"/>
      <c r="AM1916"/>
      <c r="AN1916"/>
      <c r="AO1916"/>
      <c r="AP1916"/>
      <c r="AQ1916"/>
      <c r="AR1916"/>
      <c r="AS1916"/>
      <c r="AT1916"/>
      <c r="AU1916"/>
      <c r="AV1916"/>
      <c r="AW1916"/>
      <c r="AX1916"/>
      <c r="AY1916"/>
      <c r="AZ1916"/>
      <c r="BA1916"/>
      <c r="BB1916"/>
      <c r="BC1916"/>
      <c r="BD1916"/>
      <c r="BE1916"/>
      <c r="BF1916"/>
      <c r="BG1916"/>
      <c r="BH1916"/>
      <c r="BI1916"/>
      <c r="BJ1916"/>
      <c r="BK1916"/>
      <c r="BL1916"/>
      <c r="BM1916"/>
      <c r="BN1916"/>
      <c r="BO1916"/>
      <c r="BP1916"/>
      <c r="BQ1916"/>
      <c r="BR1916"/>
      <c r="BS1916"/>
      <c r="BT1916"/>
      <c r="BU1916"/>
      <c r="BV1916"/>
      <c r="BW1916"/>
      <c r="BX1916"/>
      <c r="BY1916"/>
      <c r="BZ1916"/>
      <c r="CA1916"/>
      <c r="CB1916"/>
      <c r="CC1916"/>
      <c r="CD1916"/>
      <c r="CE1916"/>
      <c r="CF1916"/>
      <c r="CG1916"/>
      <c r="CH1916"/>
      <c r="CI1916"/>
      <c r="CJ1916"/>
      <c r="CK1916"/>
      <c r="CL1916"/>
      <c r="CM1916"/>
      <c r="CN1916"/>
      <c r="CO1916"/>
      <c r="CP1916"/>
      <c r="CQ1916"/>
      <c r="CR1916"/>
      <c r="CS1916"/>
      <c r="CT1916"/>
      <c r="CU1916"/>
      <c r="CV1916"/>
      <c r="CW1916"/>
      <c r="CX1916"/>
      <c r="CY1916"/>
      <c r="CZ1916"/>
      <c r="DA1916"/>
      <c r="DB1916"/>
      <c r="DC1916"/>
      <c r="DD1916"/>
      <c r="DE1916"/>
      <c r="DF1916"/>
      <c r="DG1916"/>
      <c r="DH1916"/>
      <c r="DI1916"/>
      <c r="DJ1916"/>
      <c r="DK1916"/>
      <c r="DL1916"/>
      <c r="DM1916"/>
      <c r="DN1916"/>
      <c r="DO1916"/>
      <c r="DP1916"/>
      <c r="DQ1916"/>
      <c r="DR1916"/>
      <c r="DS1916"/>
      <c r="DT1916"/>
      <c r="DU1916"/>
      <c r="DV1916"/>
      <c r="DW1916"/>
      <c r="DX1916"/>
      <c r="DY1916"/>
      <c r="DZ1916"/>
      <c r="EA1916"/>
      <c r="EB1916"/>
      <c r="EC1916"/>
      <c r="ED1916"/>
      <c r="EE1916"/>
      <c r="EF1916"/>
      <c r="EG1916"/>
      <c r="EH1916"/>
      <c r="EI1916"/>
      <c r="EJ1916"/>
      <c r="EK1916"/>
      <c r="EL1916"/>
      <c r="EM1916"/>
      <c r="EN1916"/>
      <c r="EO1916"/>
      <c r="EP1916"/>
      <c r="EQ1916"/>
      <c r="ER1916"/>
      <c r="ES1916"/>
    </row>
    <row r="1917" spans="1:149">
      <c r="A1917"/>
      <c r="B1917"/>
      <c r="C1917"/>
      <c r="D1917"/>
      <c r="E1917"/>
      <c r="F1917"/>
      <c r="G1917"/>
      <c r="H1917"/>
      <c r="I1917"/>
      <c r="J1917"/>
      <c r="K1917"/>
      <c r="L1917"/>
      <c r="M1917"/>
      <c r="N1917"/>
      <c r="O1917"/>
      <c r="P1917"/>
      <c r="Q1917"/>
      <c r="R1917"/>
      <c r="S1917"/>
      <c r="T1917"/>
      <c r="U1917"/>
      <c r="V1917"/>
      <c r="W1917"/>
      <c r="X1917"/>
      <c r="Y1917"/>
      <c r="Z1917"/>
      <c r="AA1917"/>
      <c r="AB1917"/>
      <c r="AC1917"/>
      <c r="AD1917"/>
      <c r="AE1917"/>
      <c r="AF1917"/>
      <c r="AG1917"/>
      <c r="AH1917"/>
      <c r="AI1917"/>
      <c r="AJ1917"/>
      <c r="AK1917"/>
      <c r="AL1917"/>
      <c r="AM1917"/>
      <c r="AN1917"/>
      <c r="AO1917"/>
      <c r="AP1917"/>
      <c r="AQ1917"/>
      <c r="AR1917"/>
      <c r="AS1917"/>
      <c r="AT1917"/>
      <c r="AU1917"/>
      <c r="AV1917"/>
      <c r="AW1917"/>
      <c r="AX1917"/>
      <c r="AY1917"/>
      <c r="AZ1917"/>
      <c r="BA1917"/>
      <c r="BB1917"/>
      <c r="BC1917"/>
      <c r="BD1917"/>
      <c r="BE1917"/>
      <c r="BF1917"/>
      <c r="BG1917"/>
      <c r="BH1917"/>
      <c r="BI1917"/>
      <c r="BJ1917"/>
      <c r="BK1917"/>
      <c r="BL1917"/>
      <c r="BM1917"/>
      <c r="BN1917"/>
      <c r="BO1917"/>
      <c r="BP1917"/>
      <c r="BQ1917"/>
      <c r="BR1917"/>
      <c r="BS1917"/>
      <c r="BT1917"/>
      <c r="BU1917"/>
      <c r="BV1917"/>
      <c r="BW1917"/>
      <c r="BX1917"/>
      <c r="BY1917"/>
      <c r="BZ1917"/>
      <c r="CA1917"/>
      <c r="CB1917"/>
      <c r="CC1917"/>
      <c r="CD1917"/>
      <c r="CE1917"/>
      <c r="CF1917"/>
      <c r="CG1917"/>
      <c r="CH1917"/>
      <c r="CI1917"/>
      <c r="CJ1917"/>
      <c r="CK1917"/>
      <c r="CL1917"/>
      <c r="CM1917"/>
      <c r="CN1917"/>
      <c r="CO1917"/>
      <c r="CP1917"/>
      <c r="CQ1917"/>
      <c r="CR1917"/>
      <c r="CS1917"/>
      <c r="CT1917"/>
      <c r="CU1917"/>
      <c r="CV1917"/>
      <c r="CW1917"/>
      <c r="CX1917"/>
      <c r="CY1917"/>
      <c r="CZ1917"/>
      <c r="DA1917"/>
      <c r="DB1917"/>
      <c r="DC1917"/>
      <c r="DD1917"/>
      <c r="DE1917"/>
      <c r="DF1917"/>
      <c r="DG1917"/>
      <c r="DH1917"/>
      <c r="DI1917"/>
      <c r="DJ1917"/>
      <c r="DK1917"/>
      <c r="DL1917"/>
      <c r="DM1917"/>
      <c r="DN1917"/>
      <c r="DO1917"/>
      <c r="DP1917"/>
      <c r="DQ1917"/>
      <c r="DR1917"/>
      <c r="DS1917"/>
      <c r="DT1917"/>
      <c r="DU1917"/>
      <c r="DV1917"/>
      <c r="DW1917"/>
      <c r="DX1917"/>
      <c r="DY1917"/>
      <c r="DZ1917"/>
      <c r="EA1917"/>
      <c r="EB1917"/>
      <c r="EC1917"/>
      <c r="ED1917"/>
      <c r="EE1917"/>
      <c r="EF1917"/>
      <c r="EG1917"/>
      <c r="EH1917"/>
      <c r="EI1917"/>
      <c r="EJ1917"/>
      <c r="EK1917"/>
      <c r="EL1917"/>
      <c r="EM1917"/>
      <c r="EN1917"/>
      <c r="EO1917"/>
      <c r="EP1917"/>
      <c r="EQ1917"/>
      <c r="ER1917"/>
      <c r="ES1917"/>
    </row>
    <row r="1918" spans="1:149">
      <c r="A1918"/>
      <c r="B1918"/>
      <c r="C1918"/>
      <c r="D1918"/>
      <c r="E1918"/>
      <c r="F1918"/>
      <c r="G1918"/>
      <c r="H1918"/>
      <c r="I1918"/>
      <c r="J1918"/>
      <c r="K1918"/>
      <c r="L1918"/>
      <c r="M1918"/>
      <c r="N1918"/>
      <c r="O1918"/>
      <c r="P1918"/>
      <c r="Q1918"/>
      <c r="R1918"/>
      <c r="S1918"/>
      <c r="T1918"/>
      <c r="U1918"/>
      <c r="V1918"/>
      <c r="W1918"/>
      <c r="X1918"/>
      <c r="Y1918"/>
      <c r="Z1918"/>
      <c r="AA1918"/>
      <c r="AB1918"/>
      <c r="AC1918"/>
      <c r="AD1918"/>
      <c r="AE1918"/>
      <c r="AF1918"/>
      <c r="AG1918"/>
      <c r="AH1918"/>
      <c r="AI1918"/>
      <c r="AJ1918"/>
      <c r="AK1918"/>
      <c r="AL1918"/>
      <c r="AM1918"/>
      <c r="AN1918"/>
      <c r="AO1918"/>
      <c r="AP1918"/>
      <c r="AQ1918"/>
      <c r="AR1918"/>
      <c r="AS1918"/>
      <c r="AT1918"/>
      <c r="AU1918"/>
      <c r="AV1918"/>
      <c r="AW1918"/>
      <c r="AX1918"/>
      <c r="AY1918"/>
      <c r="AZ1918"/>
      <c r="BA1918"/>
      <c r="BB1918"/>
      <c r="BC1918"/>
      <c r="BD1918"/>
      <c r="BE1918"/>
      <c r="BF1918"/>
      <c r="BG1918"/>
      <c r="BH1918"/>
      <c r="BI1918"/>
      <c r="BJ1918"/>
      <c r="BK1918"/>
      <c r="BL1918"/>
      <c r="BM1918"/>
      <c r="BN1918"/>
      <c r="BO1918"/>
      <c r="BP1918"/>
      <c r="BQ1918"/>
      <c r="BR1918"/>
      <c r="BS1918"/>
      <c r="BT1918"/>
      <c r="BU1918"/>
      <c r="BV1918"/>
      <c r="BW1918"/>
      <c r="BX1918"/>
      <c r="BY1918"/>
      <c r="BZ1918"/>
      <c r="CA1918"/>
      <c r="CB1918"/>
      <c r="CC1918"/>
      <c r="CD1918"/>
      <c r="CE1918"/>
      <c r="CF1918"/>
      <c r="CG1918"/>
      <c r="CH1918"/>
      <c r="CI1918"/>
      <c r="CJ1918"/>
      <c r="CK1918"/>
      <c r="CL1918"/>
      <c r="CM1918"/>
      <c r="CN1918"/>
      <c r="CO1918"/>
      <c r="CP1918"/>
      <c r="CQ1918"/>
      <c r="CR1918"/>
      <c r="CS1918"/>
      <c r="CT1918"/>
      <c r="CU1918"/>
      <c r="CV1918"/>
      <c r="CW1918"/>
      <c r="CX1918"/>
      <c r="CY1918"/>
      <c r="CZ1918"/>
      <c r="DA1918"/>
      <c r="DB1918"/>
      <c r="DC1918"/>
      <c r="DD1918"/>
      <c r="DE1918"/>
      <c r="DF1918"/>
      <c r="DG1918"/>
      <c r="DH1918"/>
      <c r="DI1918"/>
      <c r="DJ1918"/>
      <c r="DK1918"/>
      <c r="DL1918"/>
      <c r="DM1918"/>
      <c r="DN1918"/>
      <c r="DO1918"/>
      <c r="DP1918"/>
      <c r="DQ1918"/>
      <c r="DR1918"/>
      <c r="DS1918"/>
      <c r="DT1918"/>
      <c r="DU1918"/>
      <c r="DV1918"/>
      <c r="DW1918"/>
      <c r="DX1918"/>
      <c r="DY1918"/>
      <c r="DZ1918"/>
      <c r="EA1918"/>
      <c r="EB1918"/>
      <c r="EC1918"/>
      <c r="ED1918"/>
      <c r="EE1918"/>
      <c r="EF1918"/>
      <c r="EG1918"/>
      <c r="EH1918"/>
      <c r="EI1918"/>
      <c r="EJ1918"/>
      <c r="EK1918"/>
      <c r="EL1918"/>
      <c r="EM1918"/>
      <c r="EN1918"/>
      <c r="EO1918"/>
      <c r="EP1918"/>
      <c r="EQ1918"/>
      <c r="ER1918"/>
      <c r="ES1918"/>
    </row>
    <row r="1919" spans="1:149">
      <c r="A1919"/>
      <c r="B1919"/>
      <c r="C1919"/>
      <c r="D1919"/>
      <c r="E1919"/>
      <c r="F1919"/>
      <c r="G1919"/>
      <c r="H1919"/>
      <c r="I1919"/>
      <c r="J1919"/>
      <c r="K1919"/>
      <c r="L1919"/>
      <c r="M1919"/>
      <c r="N1919"/>
      <c r="O1919"/>
      <c r="P1919"/>
      <c r="Q1919"/>
      <c r="R1919"/>
      <c r="S1919"/>
      <c r="T1919"/>
      <c r="U1919"/>
      <c r="V1919"/>
      <c r="W1919"/>
      <c r="X1919"/>
      <c r="Y1919"/>
      <c r="Z1919"/>
      <c r="AA1919"/>
      <c r="AB1919"/>
      <c r="AC1919"/>
      <c r="AD1919"/>
      <c r="AE1919"/>
      <c r="AF1919"/>
      <c r="AG1919"/>
      <c r="AH1919"/>
      <c r="AI1919"/>
      <c r="AJ1919"/>
      <c r="AK1919"/>
      <c r="AL1919"/>
      <c r="AM1919"/>
      <c r="AN1919"/>
      <c r="AO1919"/>
      <c r="AP1919"/>
      <c r="AQ1919"/>
      <c r="AR1919"/>
      <c r="AS1919"/>
      <c r="AT1919"/>
      <c r="AU1919"/>
      <c r="AV1919"/>
      <c r="AW1919"/>
      <c r="AX1919"/>
      <c r="AY1919"/>
      <c r="AZ1919"/>
      <c r="BA1919"/>
      <c r="BB1919"/>
      <c r="BC1919"/>
      <c r="BD1919"/>
      <c r="BE1919"/>
      <c r="BF1919"/>
      <c r="BG1919"/>
      <c r="BH1919"/>
      <c r="BI1919"/>
      <c r="BJ1919"/>
      <c r="BK1919"/>
      <c r="BL1919"/>
      <c r="BM1919"/>
      <c r="BN1919"/>
      <c r="BO1919"/>
      <c r="BP1919"/>
      <c r="BQ1919"/>
      <c r="BR1919"/>
      <c r="BS1919"/>
      <c r="BT1919"/>
      <c r="BU1919"/>
      <c r="BV1919"/>
      <c r="BW1919"/>
      <c r="BX1919"/>
      <c r="BY1919"/>
      <c r="BZ1919"/>
      <c r="CA1919"/>
      <c r="CB1919"/>
      <c r="CC1919"/>
      <c r="CD1919"/>
      <c r="CE1919"/>
      <c r="CF1919"/>
      <c r="CG1919"/>
      <c r="CH1919"/>
      <c r="CI1919"/>
      <c r="CJ1919"/>
      <c r="CK1919"/>
      <c r="CL1919"/>
      <c r="CM1919"/>
      <c r="CN1919"/>
      <c r="CO1919"/>
      <c r="CP1919"/>
      <c r="CQ1919"/>
      <c r="CR1919"/>
      <c r="CS1919"/>
      <c r="CT1919"/>
      <c r="CU1919"/>
      <c r="CV1919"/>
      <c r="CW1919"/>
      <c r="CX1919"/>
      <c r="CY1919"/>
      <c r="CZ1919"/>
      <c r="DA1919"/>
      <c r="DB1919"/>
      <c r="DC1919"/>
      <c r="DD1919"/>
      <c r="DE1919"/>
      <c r="DF1919"/>
      <c r="DG1919"/>
      <c r="DH1919"/>
      <c r="DI1919"/>
      <c r="DJ1919"/>
      <c r="DK1919"/>
      <c r="DL1919"/>
      <c r="DM1919"/>
      <c r="DN1919"/>
      <c r="DO1919"/>
      <c r="DP1919"/>
      <c r="DQ1919"/>
      <c r="DR1919"/>
      <c r="DS1919"/>
      <c r="DT1919"/>
      <c r="DU1919"/>
      <c r="DV1919"/>
      <c r="DW1919"/>
      <c r="DX1919"/>
      <c r="DY1919"/>
      <c r="DZ1919"/>
      <c r="EA1919"/>
      <c r="EB1919"/>
      <c r="EC1919"/>
      <c r="ED1919"/>
      <c r="EE1919"/>
      <c r="EF1919"/>
      <c r="EG1919"/>
      <c r="EH1919"/>
      <c r="EI1919"/>
      <c r="EJ1919"/>
      <c r="EK1919"/>
      <c r="EL1919"/>
      <c r="EM1919"/>
      <c r="EN1919"/>
      <c r="EO1919"/>
      <c r="EP1919"/>
      <c r="EQ1919"/>
      <c r="ER1919"/>
      <c r="ES1919"/>
    </row>
    <row r="1920" spans="1:149">
      <c r="A1920"/>
      <c r="B1920"/>
      <c r="C1920"/>
      <c r="D1920"/>
      <c r="E1920"/>
      <c r="F1920"/>
      <c r="G1920"/>
      <c r="H1920"/>
      <c r="I1920"/>
      <c r="J1920"/>
      <c r="K1920"/>
      <c r="L1920"/>
      <c r="M1920"/>
      <c r="N1920"/>
      <c r="O1920"/>
      <c r="P1920"/>
      <c r="Q1920"/>
      <c r="R1920"/>
      <c r="S1920"/>
      <c r="T1920"/>
      <c r="U1920"/>
      <c r="V1920"/>
      <c r="W1920"/>
      <c r="X1920"/>
      <c r="Y1920"/>
      <c r="Z1920"/>
      <c r="AA1920"/>
      <c r="AB1920"/>
      <c r="AC1920"/>
      <c r="AD1920"/>
      <c r="AE1920"/>
      <c r="AF1920"/>
      <c r="AG1920"/>
      <c r="AH1920"/>
      <c r="AI1920"/>
      <c r="AJ1920"/>
      <c r="AK1920"/>
      <c r="AL1920"/>
      <c r="AM1920"/>
      <c r="AN1920"/>
      <c r="AO1920"/>
      <c r="AP1920"/>
      <c r="AQ1920"/>
      <c r="AR1920"/>
      <c r="AS1920"/>
      <c r="AT1920"/>
      <c r="AU1920"/>
      <c r="AV1920"/>
      <c r="AW1920"/>
      <c r="AX1920"/>
      <c r="AY1920"/>
      <c r="AZ1920"/>
      <c r="BA1920"/>
      <c r="BB1920"/>
      <c r="BC1920"/>
      <c r="BD1920"/>
      <c r="BE1920"/>
      <c r="BF1920"/>
      <c r="BG1920"/>
      <c r="BH1920"/>
      <c r="BI1920"/>
      <c r="BJ1920"/>
      <c r="BK1920"/>
      <c r="BL1920"/>
      <c r="BM1920"/>
      <c r="BN1920"/>
      <c r="BO1920"/>
      <c r="BP1920"/>
      <c r="BQ1920"/>
      <c r="BR1920"/>
      <c r="BS1920"/>
      <c r="BT1920"/>
      <c r="BU1920"/>
      <c r="BV1920"/>
      <c r="BW1920"/>
      <c r="BX1920"/>
      <c r="BY1920"/>
      <c r="BZ1920"/>
      <c r="CA1920"/>
      <c r="CB1920"/>
      <c r="CC1920"/>
      <c r="CD1920"/>
      <c r="CE1920"/>
      <c r="CF1920"/>
      <c r="CG1920"/>
      <c r="CH1920"/>
      <c r="CI1920"/>
      <c r="CJ1920"/>
      <c r="CK1920"/>
      <c r="CL1920"/>
      <c r="CM1920"/>
      <c r="CN1920"/>
      <c r="CO1920"/>
      <c r="CP1920"/>
      <c r="CQ1920"/>
      <c r="CR1920"/>
      <c r="CS1920"/>
      <c r="CT1920"/>
      <c r="CU1920"/>
      <c r="CV1920"/>
      <c r="CW1920"/>
      <c r="CX1920"/>
      <c r="CY1920"/>
      <c r="CZ1920"/>
      <c r="DA1920"/>
      <c r="DB1920"/>
      <c r="DC1920"/>
      <c r="DD1920"/>
      <c r="DE1920"/>
      <c r="DF1920"/>
      <c r="DG1920"/>
      <c r="DH1920"/>
      <c r="DI1920"/>
      <c r="DJ1920"/>
      <c r="DK1920"/>
      <c r="DL1920"/>
      <c r="DM1920"/>
      <c r="DN1920"/>
      <c r="DO1920"/>
      <c r="DP1920"/>
      <c r="DQ1920"/>
      <c r="DR1920"/>
      <c r="DS1920"/>
      <c r="DT1920"/>
      <c r="DU1920"/>
      <c r="DV1920"/>
      <c r="DW1920"/>
      <c r="DX1920"/>
      <c r="DY1920"/>
      <c r="DZ1920"/>
      <c r="EA1920"/>
      <c r="EB1920"/>
      <c r="EC1920"/>
      <c r="ED1920"/>
      <c r="EE1920"/>
      <c r="EF1920"/>
      <c r="EG1920"/>
      <c r="EH1920"/>
      <c r="EI1920"/>
      <c r="EJ1920"/>
      <c r="EK1920"/>
      <c r="EL1920"/>
      <c r="EM1920"/>
      <c r="EN1920"/>
      <c r="EO1920"/>
      <c r="EP1920"/>
      <c r="EQ1920"/>
      <c r="ER1920"/>
      <c r="ES1920"/>
    </row>
    <row r="1921" spans="1:149">
      <c r="A1921"/>
      <c r="B1921"/>
      <c r="C1921"/>
      <c r="D1921"/>
      <c r="E1921"/>
      <c r="F1921"/>
      <c r="G1921"/>
      <c r="H1921"/>
      <c r="I1921"/>
      <c r="J1921"/>
      <c r="K1921"/>
      <c r="L1921"/>
      <c r="M1921"/>
      <c r="N1921"/>
      <c r="O1921"/>
      <c r="P1921"/>
      <c r="Q1921"/>
      <c r="R1921"/>
      <c r="S1921"/>
      <c r="T1921"/>
      <c r="U1921"/>
      <c r="V1921"/>
      <c r="W1921"/>
      <c r="X1921"/>
      <c r="Y1921"/>
      <c r="Z1921"/>
      <c r="AA1921"/>
      <c r="AB1921"/>
      <c r="AC1921"/>
      <c r="AD1921"/>
      <c r="AE1921"/>
      <c r="AF1921"/>
      <c r="AG1921"/>
      <c r="AH1921"/>
      <c r="AI1921"/>
      <c r="AJ1921"/>
      <c r="AK1921"/>
      <c r="AL1921"/>
      <c r="AM1921"/>
      <c r="AN1921"/>
      <c r="AO1921"/>
      <c r="AP1921"/>
      <c r="AQ1921"/>
      <c r="AR1921"/>
      <c r="AS1921"/>
      <c r="AT1921"/>
      <c r="AU1921"/>
      <c r="AV1921"/>
      <c r="AW1921"/>
      <c r="AX1921"/>
      <c r="AY1921"/>
      <c r="AZ1921"/>
      <c r="BA1921"/>
      <c r="BB1921"/>
      <c r="BC1921"/>
      <c r="BD1921"/>
      <c r="BE1921"/>
      <c r="BF1921"/>
      <c r="BG1921"/>
      <c r="BH1921"/>
      <c r="BI1921"/>
      <c r="BJ1921"/>
      <c r="BK1921"/>
      <c r="BL1921"/>
      <c r="BM1921"/>
      <c r="BN1921"/>
      <c r="BO1921"/>
      <c r="BP1921"/>
      <c r="BQ1921"/>
      <c r="BR1921"/>
      <c r="BS1921"/>
      <c r="BT1921"/>
      <c r="BU1921"/>
      <c r="BV1921"/>
      <c r="BW1921"/>
      <c r="BX1921"/>
      <c r="BY1921"/>
      <c r="BZ1921"/>
      <c r="CA1921"/>
      <c r="CB1921"/>
      <c r="CC1921"/>
      <c r="CD1921"/>
      <c r="CE1921"/>
      <c r="CF1921"/>
      <c r="CG1921"/>
      <c r="CH1921"/>
      <c r="CI1921"/>
      <c r="CJ1921"/>
      <c r="CK1921"/>
      <c r="CL1921"/>
      <c r="CM1921"/>
      <c r="CN1921"/>
      <c r="CO1921"/>
      <c r="CP1921"/>
      <c r="CQ1921"/>
      <c r="CR1921"/>
      <c r="CS1921"/>
      <c r="CT1921"/>
      <c r="CU1921"/>
      <c r="CV1921"/>
      <c r="CW1921"/>
      <c r="CX1921"/>
      <c r="CY1921"/>
      <c r="CZ1921"/>
      <c r="DA1921"/>
      <c r="DB1921"/>
      <c r="DC1921"/>
      <c r="DD1921"/>
      <c r="DE1921"/>
      <c r="DF1921"/>
      <c r="DG1921"/>
      <c r="DH1921"/>
      <c r="DI1921"/>
      <c r="DJ1921"/>
      <c r="DK1921"/>
      <c r="DL1921"/>
      <c r="DM1921"/>
      <c r="DN1921"/>
      <c r="DO1921"/>
      <c r="DP1921"/>
      <c r="DQ1921"/>
      <c r="DR1921"/>
      <c r="DS1921"/>
      <c r="DT1921"/>
      <c r="DU1921"/>
      <c r="DV1921"/>
      <c r="DW1921"/>
      <c r="DX1921"/>
      <c r="DY1921"/>
      <c r="DZ1921"/>
      <c r="EA1921"/>
      <c r="EB1921"/>
      <c r="EC1921"/>
      <c r="ED1921"/>
      <c r="EE1921"/>
      <c r="EF1921"/>
      <c r="EG1921"/>
      <c r="EH1921"/>
      <c r="EI1921"/>
      <c r="EJ1921"/>
      <c r="EK1921"/>
      <c r="EL1921"/>
      <c r="EM1921"/>
      <c r="EN1921"/>
      <c r="EO1921"/>
      <c r="EP1921"/>
      <c r="EQ1921"/>
      <c r="ER1921"/>
      <c r="ES1921"/>
    </row>
    <row r="1922" spans="1:149">
      <c r="A1922"/>
      <c r="B1922"/>
      <c r="C1922"/>
      <c r="D1922"/>
      <c r="E1922"/>
      <c r="F1922"/>
      <c r="G1922"/>
      <c r="H1922"/>
      <c r="I1922"/>
      <c r="J1922"/>
      <c r="K1922"/>
      <c r="L1922"/>
      <c r="M1922"/>
      <c r="N1922"/>
      <c r="O1922"/>
      <c r="P1922"/>
      <c r="Q1922"/>
      <c r="R1922"/>
      <c r="S1922"/>
      <c r="T1922"/>
      <c r="U1922"/>
      <c r="V1922"/>
      <c r="W1922"/>
      <c r="X1922"/>
      <c r="Y1922"/>
      <c r="Z1922"/>
      <c r="AA1922"/>
      <c r="AB1922"/>
      <c r="AC1922"/>
      <c r="AD1922"/>
      <c r="AE1922"/>
      <c r="AF1922"/>
      <c r="AG1922"/>
      <c r="AH1922"/>
      <c r="AI1922"/>
      <c r="AJ1922"/>
      <c r="AK1922"/>
      <c r="AL1922"/>
      <c r="AM1922"/>
      <c r="AN1922"/>
      <c r="AO1922"/>
      <c r="AP1922"/>
      <c r="AQ1922"/>
      <c r="AR1922"/>
      <c r="AS1922"/>
      <c r="AT1922"/>
      <c r="AU1922"/>
      <c r="AV1922"/>
      <c r="AW1922"/>
      <c r="AX1922"/>
      <c r="AY1922"/>
      <c r="AZ1922"/>
      <c r="BA1922"/>
      <c r="BB1922"/>
      <c r="BC1922"/>
      <c r="BD1922"/>
      <c r="BE1922"/>
      <c r="BF1922"/>
      <c r="BG1922"/>
      <c r="BH1922"/>
      <c r="BI1922"/>
      <c r="BJ1922"/>
      <c r="BK1922"/>
      <c r="BL1922"/>
      <c r="BM1922"/>
      <c r="BN1922"/>
      <c r="BO1922"/>
      <c r="BP1922"/>
      <c r="BQ1922"/>
      <c r="BR1922"/>
      <c r="BS1922"/>
      <c r="BT1922"/>
      <c r="BU1922"/>
      <c r="BV1922"/>
      <c r="BW1922"/>
      <c r="BX1922"/>
      <c r="BY1922"/>
      <c r="BZ1922"/>
      <c r="CA1922"/>
      <c r="CB1922"/>
      <c r="CC1922"/>
      <c r="CD1922"/>
      <c r="CE1922"/>
      <c r="CF1922"/>
      <c r="CG1922"/>
      <c r="CH1922"/>
      <c r="CI1922"/>
      <c r="CJ1922"/>
      <c r="CK1922"/>
      <c r="CL1922"/>
      <c r="CM1922"/>
      <c r="CN1922"/>
      <c r="CO1922"/>
      <c r="CP1922"/>
      <c r="CQ1922"/>
      <c r="CR1922"/>
      <c r="CS1922"/>
      <c r="CT1922"/>
      <c r="CU1922"/>
      <c r="CV1922"/>
      <c r="CW1922"/>
      <c r="CX1922"/>
      <c r="CY1922"/>
      <c r="CZ1922"/>
      <c r="DA1922"/>
      <c r="DB1922"/>
      <c r="DC1922"/>
      <c r="DD1922"/>
      <c r="DE1922"/>
      <c r="DF1922"/>
      <c r="DG1922"/>
      <c r="DH1922"/>
      <c r="DI1922"/>
      <c r="DJ1922"/>
      <c r="DK1922"/>
      <c r="DL1922"/>
      <c r="DM1922"/>
      <c r="DN1922"/>
      <c r="DO1922"/>
      <c r="DP1922"/>
      <c r="DQ1922"/>
      <c r="DR1922"/>
      <c r="DS1922"/>
      <c r="DT1922"/>
      <c r="DU1922"/>
      <c r="DV1922"/>
      <c r="DW1922"/>
      <c r="DX1922"/>
      <c r="DY1922"/>
      <c r="DZ1922"/>
      <c r="EA1922"/>
      <c r="EB1922"/>
      <c r="EC1922"/>
      <c r="ED1922"/>
      <c r="EE1922"/>
      <c r="EF1922"/>
      <c r="EG1922"/>
      <c r="EH1922"/>
      <c r="EI1922"/>
      <c r="EJ1922"/>
      <c r="EK1922"/>
      <c r="EL1922"/>
      <c r="EM1922"/>
      <c r="EN1922"/>
      <c r="EO1922"/>
      <c r="EP1922"/>
      <c r="EQ1922"/>
      <c r="ER1922"/>
      <c r="ES1922"/>
    </row>
    <row r="1923" spans="1:149">
      <c r="A1923"/>
      <c r="B1923"/>
      <c r="C1923"/>
      <c r="D1923"/>
      <c r="E1923"/>
      <c r="F1923"/>
      <c r="G1923"/>
      <c r="H1923"/>
      <c r="I1923"/>
      <c r="J1923"/>
      <c r="K1923"/>
      <c r="L1923"/>
      <c r="M1923"/>
      <c r="N1923"/>
      <c r="O1923"/>
      <c r="P1923"/>
      <c r="Q1923"/>
      <c r="R1923"/>
      <c r="S1923"/>
      <c r="T1923"/>
      <c r="U1923"/>
      <c r="V1923"/>
      <c r="W1923"/>
      <c r="X1923"/>
      <c r="Y1923"/>
      <c r="Z1923"/>
      <c r="AA1923"/>
      <c r="AB1923"/>
      <c r="AC1923"/>
      <c r="AD1923"/>
      <c r="AE1923"/>
      <c r="AF1923"/>
      <c r="AG1923"/>
      <c r="AH1923"/>
      <c r="AI1923"/>
      <c r="AJ1923"/>
      <c r="AK1923"/>
      <c r="AL1923"/>
      <c r="AM1923"/>
      <c r="AN1923"/>
      <c r="AO1923"/>
      <c r="AP1923"/>
      <c r="AQ1923"/>
      <c r="AR1923"/>
      <c r="AS1923"/>
      <c r="AT1923"/>
      <c r="AU1923"/>
      <c r="AV1923"/>
      <c r="AW1923"/>
      <c r="AX1923"/>
      <c r="AY1923"/>
      <c r="AZ1923"/>
      <c r="BA1923"/>
      <c r="BB1923"/>
      <c r="BC1923"/>
      <c r="BD1923"/>
      <c r="BE1923"/>
      <c r="BF1923"/>
      <c r="BG1923"/>
      <c r="BH1923"/>
      <c r="BI1923"/>
      <c r="BJ1923"/>
      <c r="BK1923"/>
      <c r="BL1923"/>
      <c r="BM1923"/>
      <c r="BN1923"/>
      <c r="BO1923"/>
      <c r="BP1923"/>
      <c r="BQ1923"/>
      <c r="BR1923"/>
      <c r="BS1923"/>
      <c r="BT1923"/>
      <c r="BU1923"/>
      <c r="BV1923"/>
      <c r="BW1923"/>
      <c r="BX1923"/>
      <c r="BY1923"/>
      <c r="BZ1923"/>
      <c r="CA1923"/>
      <c r="CB1923"/>
      <c r="CC1923"/>
      <c r="CD1923"/>
      <c r="CE1923"/>
      <c r="CF1923"/>
      <c r="CG1923"/>
      <c r="CH1923"/>
      <c r="CI1923"/>
      <c r="CJ1923"/>
      <c r="CK1923"/>
      <c r="CL1923"/>
      <c r="CM1923"/>
      <c r="CN1923"/>
      <c r="CO1923"/>
      <c r="CP1923"/>
      <c r="CQ1923"/>
      <c r="CR1923"/>
      <c r="CS1923"/>
      <c r="CT1923"/>
      <c r="CU1923"/>
      <c r="CV1923"/>
      <c r="CW1923"/>
      <c r="CX1923"/>
      <c r="CY1923"/>
      <c r="CZ1923"/>
      <c r="DA1923"/>
      <c r="DB1923"/>
      <c r="DC1923"/>
      <c r="DD1923"/>
      <c r="DE1923"/>
      <c r="DF1923"/>
      <c r="DG1923"/>
      <c r="DH1923"/>
      <c r="DI1923"/>
      <c r="DJ1923"/>
      <c r="DK1923"/>
      <c r="DL1923"/>
      <c r="DM1923"/>
      <c r="DN1923"/>
      <c r="DO1923"/>
      <c r="DP1923"/>
      <c r="DQ1923"/>
      <c r="DR1923"/>
      <c r="DS1923"/>
      <c r="DT1923"/>
      <c r="DU1923"/>
      <c r="DV1923"/>
      <c r="DW1923"/>
      <c r="DX1923"/>
      <c r="DY1923"/>
      <c r="DZ1923"/>
      <c r="EA1923"/>
      <c r="EB1923"/>
      <c r="EC1923"/>
      <c r="ED1923"/>
      <c r="EE1923"/>
      <c r="EF1923"/>
      <c r="EG1923"/>
      <c r="EH1923"/>
      <c r="EI1923"/>
      <c r="EJ1923"/>
      <c r="EK1923"/>
      <c r="EL1923"/>
      <c r="EM1923"/>
      <c r="EN1923"/>
      <c r="EO1923"/>
      <c r="EP1923"/>
      <c r="EQ1923"/>
      <c r="ER1923"/>
      <c r="ES1923"/>
    </row>
    <row r="1924" spans="1:149">
      <c r="A1924"/>
      <c r="B1924"/>
      <c r="C1924"/>
      <c r="D1924"/>
      <c r="E1924"/>
      <c r="F1924"/>
      <c r="G1924"/>
      <c r="H1924"/>
      <c r="I1924"/>
      <c r="J1924"/>
      <c r="K1924"/>
      <c r="L1924"/>
      <c r="M1924"/>
      <c r="N1924"/>
      <c r="O1924"/>
      <c r="P1924"/>
      <c r="Q1924"/>
      <c r="R1924"/>
      <c r="S1924"/>
      <c r="T1924"/>
      <c r="U1924"/>
      <c r="V1924"/>
      <c r="W1924"/>
      <c r="X1924"/>
      <c r="Y1924"/>
      <c r="Z1924"/>
      <c r="AA1924"/>
      <c r="AB1924"/>
      <c r="AC1924"/>
      <c r="AD1924"/>
      <c r="AE1924"/>
      <c r="AF1924"/>
      <c r="AG1924"/>
      <c r="AH1924"/>
      <c r="AI1924"/>
      <c r="AJ1924"/>
      <c r="AK1924"/>
      <c r="AL1924"/>
      <c r="AM1924"/>
      <c r="AN1924"/>
      <c r="AO1924"/>
      <c r="AP1924"/>
      <c r="AQ1924"/>
      <c r="AR1924"/>
      <c r="AS1924"/>
      <c r="AT1924"/>
      <c r="AU1924"/>
      <c r="AV1924"/>
      <c r="AW1924"/>
      <c r="AX1924"/>
      <c r="AY1924"/>
      <c r="AZ1924"/>
      <c r="BA1924"/>
      <c r="BB1924"/>
      <c r="BC1924"/>
      <c r="BD1924"/>
      <c r="BE1924"/>
      <c r="BF1924"/>
      <c r="BG1924"/>
      <c r="BH1924"/>
      <c r="BI1924"/>
      <c r="BJ1924"/>
      <c r="BK1924"/>
      <c r="BL1924"/>
      <c r="BM1924"/>
      <c r="BN1924"/>
      <c r="BO1924"/>
      <c r="BP1924"/>
      <c r="BQ1924"/>
      <c r="BR1924"/>
      <c r="BS1924"/>
      <c r="BT1924"/>
      <c r="BU1924"/>
      <c r="BV1924"/>
      <c r="BW1924"/>
      <c r="BX1924"/>
      <c r="BY1924"/>
      <c r="BZ1924"/>
      <c r="CA1924"/>
      <c r="CB1924"/>
      <c r="CC1924"/>
      <c r="CD1924"/>
      <c r="CE1924"/>
      <c r="CF1924"/>
      <c r="CG1924"/>
      <c r="CH1924"/>
      <c r="CI1924"/>
      <c r="CJ1924"/>
      <c r="CK1924"/>
      <c r="CL1924"/>
      <c r="CM1924"/>
      <c r="CN1924"/>
      <c r="CO1924"/>
      <c r="CP1924"/>
      <c r="CQ1924"/>
      <c r="CR1924"/>
      <c r="CS1924"/>
      <c r="CT1924"/>
      <c r="CU1924"/>
      <c r="CV1924"/>
      <c r="CW1924"/>
      <c r="CX1924"/>
      <c r="CY1924"/>
      <c r="CZ1924"/>
      <c r="DA1924"/>
      <c r="DB1924"/>
      <c r="DC1924"/>
      <c r="DD1924"/>
      <c r="DE1924"/>
      <c r="DF1924"/>
      <c r="DG1924"/>
      <c r="DH1924"/>
      <c r="DI1924"/>
      <c r="DJ1924"/>
      <c r="DK1924"/>
      <c r="DL1924"/>
      <c r="DM1924"/>
      <c r="DN1924"/>
      <c r="DO1924"/>
      <c r="DP1924"/>
      <c r="DQ1924"/>
      <c r="DR1924"/>
      <c r="DS1924"/>
      <c r="DT1924"/>
      <c r="DU1924"/>
      <c r="DV1924"/>
      <c r="DW1924"/>
      <c r="DX1924"/>
      <c r="DY1924"/>
      <c r="DZ1924"/>
      <c r="EA1924"/>
      <c r="EB1924"/>
      <c r="EC1924"/>
      <c r="ED1924"/>
      <c r="EE1924"/>
      <c r="EF1924"/>
      <c r="EG1924"/>
      <c r="EH1924"/>
      <c r="EI1924"/>
      <c r="EJ1924"/>
      <c r="EK1924"/>
      <c r="EL1924"/>
      <c r="EM1924"/>
      <c r="EN1924"/>
      <c r="EO1924"/>
      <c r="EP1924"/>
      <c r="EQ1924"/>
      <c r="ER1924"/>
      <c r="ES1924"/>
    </row>
    <row r="1925" spans="1:149">
      <c r="A1925"/>
      <c r="B1925"/>
      <c r="C1925"/>
      <c r="D1925"/>
      <c r="E1925"/>
      <c r="F1925"/>
      <c r="G1925"/>
      <c r="H1925"/>
      <c r="I1925"/>
      <c r="J1925"/>
      <c r="K1925"/>
      <c r="L1925"/>
      <c r="M1925"/>
      <c r="N1925"/>
      <c r="O1925"/>
      <c r="P1925"/>
      <c r="Q1925"/>
      <c r="R1925"/>
      <c r="S1925"/>
      <c r="T1925"/>
      <c r="U1925"/>
      <c r="V1925"/>
      <c r="W1925"/>
      <c r="X1925"/>
      <c r="Y1925"/>
      <c r="Z1925"/>
      <c r="AA1925"/>
      <c r="AB1925"/>
      <c r="AC1925"/>
      <c r="AD1925"/>
      <c r="AE1925"/>
      <c r="AF1925"/>
      <c r="AG1925"/>
      <c r="AH1925"/>
      <c r="AI1925"/>
      <c r="AJ1925"/>
      <c r="AK1925"/>
      <c r="AL1925"/>
      <c r="AM1925"/>
      <c r="AN1925"/>
      <c r="AO1925"/>
      <c r="AP1925"/>
      <c r="AQ1925"/>
      <c r="AR1925"/>
      <c r="AS1925"/>
      <c r="AT1925"/>
      <c r="AU1925"/>
      <c r="AV1925"/>
      <c r="AW1925"/>
      <c r="AX1925"/>
      <c r="AY1925"/>
      <c r="AZ1925"/>
      <c r="BA1925"/>
      <c r="BB1925"/>
      <c r="BC1925"/>
      <c r="BD1925"/>
      <c r="BE1925"/>
      <c r="BF1925"/>
      <c r="BG1925"/>
      <c r="BH1925"/>
      <c r="BI1925"/>
      <c r="BJ1925"/>
      <c r="BK1925"/>
      <c r="BL1925"/>
      <c r="BM1925"/>
      <c r="BN1925"/>
      <c r="BO1925"/>
      <c r="BP1925"/>
      <c r="BQ1925"/>
      <c r="BR1925"/>
      <c r="BS1925"/>
      <c r="BT1925"/>
      <c r="BU1925"/>
      <c r="BV1925"/>
      <c r="BW1925"/>
      <c r="BX1925"/>
      <c r="BY1925"/>
      <c r="BZ1925"/>
      <c r="CA1925"/>
      <c r="CB1925"/>
      <c r="CC1925"/>
      <c r="CD1925"/>
      <c r="CE1925"/>
      <c r="CF1925"/>
      <c r="CG1925"/>
      <c r="CH1925"/>
      <c r="CI1925"/>
      <c r="CJ1925"/>
      <c r="CK1925"/>
      <c r="CL1925"/>
      <c r="CM1925"/>
      <c r="CN1925"/>
      <c r="CO1925"/>
      <c r="CP1925"/>
      <c r="CQ1925"/>
      <c r="CR1925"/>
      <c r="CS1925"/>
      <c r="CT1925"/>
      <c r="CU1925"/>
      <c r="CV1925"/>
      <c r="CW1925"/>
      <c r="CX1925"/>
      <c r="CY1925"/>
      <c r="CZ1925"/>
      <c r="DA1925"/>
      <c r="DB1925"/>
      <c r="DC1925"/>
      <c r="DD1925"/>
      <c r="DE1925"/>
      <c r="DF1925"/>
      <c r="DG1925"/>
      <c r="DH1925"/>
      <c r="DI1925"/>
      <c r="DJ1925"/>
      <c r="DK1925"/>
      <c r="DL1925"/>
      <c r="DM1925"/>
      <c r="DN1925"/>
      <c r="DO1925"/>
      <c r="DP1925"/>
      <c r="DQ1925"/>
      <c r="DR1925"/>
      <c r="DS1925"/>
      <c r="DT1925"/>
      <c r="DU1925"/>
      <c r="DV1925"/>
      <c r="DW1925"/>
      <c r="DX1925"/>
      <c r="DY1925"/>
      <c r="DZ1925"/>
      <c r="EA1925"/>
      <c r="EB1925"/>
      <c r="EC1925"/>
      <c r="ED1925"/>
      <c r="EE1925"/>
      <c r="EF1925"/>
      <c r="EG1925"/>
      <c r="EH1925"/>
      <c r="EI1925"/>
      <c r="EJ1925"/>
      <c r="EK1925"/>
      <c r="EL1925"/>
      <c r="EM1925"/>
      <c r="EN1925"/>
      <c r="EO1925"/>
      <c r="EP1925"/>
      <c r="EQ1925"/>
      <c r="ER1925"/>
      <c r="ES1925"/>
    </row>
    <row r="1926" spans="1:149">
      <c r="A1926"/>
      <c r="B1926"/>
      <c r="C1926"/>
      <c r="D1926"/>
      <c r="E1926"/>
      <c r="F1926"/>
      <c r="G1926"/>
      <c r="H1926"/>
      <c r="I1926"/>
      <c r="J1926"/>
      <c r="K1926"/>
      <c r="L1926"/>
      <c r="M1926"/>
      <c r="N1926"/>
      <c r="O1926"/>
      <c r="P1926"/>
      <c r="Q1926"/>
      <c r="R1926"/>
      <c r="S1926"/>
      <c r="T1926"/>
      <c r="U1926"/>
      <c r="V1926"/>
      <c r="W1926"/>
      <c r="X1926"/>
      <c r="Y1926"/>
      <c r="Z1926"/>
      <c r="AA1926"/>
      <c r="AB1926"/>
      <c r="AC1926"/>
      <c r="AD1926"/>
      <c r="AE1926"/>
      <c r="AF1926"/>
      <c r="AG1926"/>
      <c r="AH1926"/>
      <c r="AI1926"/>
      <c r="AJ1926"/>
      <c r="AK1926"/>
      <c r="AL1926"/>
      <c r="AM1926"/>
      <c r="AN1926"/>
      <c r="AO1926"/>
      <c r="AP1926"/>
      <c r="AQ1926"/>
      <c r="AR1926"/>
      <c r="AS1926"/>
      <c r="AT1926"/>
      <c r="AU1926"/>
      <c r="AV1926"/>
      <c r="AW1926"/>
      <c r="AX1926"/>
      <c r="AY1926"/>
      <c r="AZ1926"/>
      <c r="BA1926"/>
      <c r="BB1926"/>
      <c r="BC1926"/>
      <c r="BD1926"/>
      <c r="BE1926"/>
      <c r="BF1926"/>
      <c r="BG1926"/>
      <c r="BH1926"/>
      <c r="BI1926"/>
      <c r="BJ1926"/>
      <c r="BK1926"/>
      <c r="BL1926"/>
      <c r="BM1926"/>
      <c r="BN1926"/>
      <c r="BO1926"/>
      <c r="BP1926"/>
      <c r="BQ1926"/>
      <c r="BR1926"/>
      <c r="BS1926"/>
      <c r="BT1926"/>
      <c r="BU1926"/>
      <c r="BV1926"/>
      <c r="BW1926"/>
      <c r="BX1926"/>
      <c r="BY1926"/>
      <c r="BZ1926"/>
      <c r="CA1926"/>
      <c r="CB1926"/>
      <c r="CC1926"/>
      <c r="CD1926"/>
      <c r="CE1926"/>
      <c r="CF1926"/>
      <c r="CG1926"/>
      <c r="CH1926"/>
      <c r="CI1926"/>
      <c r="CJ1926"/>
      <c r="CK1926"/>
      <c r="CL1926"/>
      <c r="CM1926"/>
      <c r="CN1926"/>
      <c r="CO1926"/>
      <c r="CP1926"/>
      <c r="CQ1926"/>
      <c r="CR1926"/>
      <c r="CS1926"/>
      <c r="CT1926"/>
      <c r="CU1926"/>
      <c r="CV1926"/>
      <c r="CW1926"/>
      <c r="CX1926"/>
      <c r="CY1926"/>
      <c r="CZ1926"/>
      <c r="DA1926"/>
      <c r="DB1926"/>
      <c r="DC1926"/>
      <c r="DD1926"/>
      <c r="DE1926"/>
      <c r="DF1926"/>
      <c r="DG1926"/>
      <c r="DH1926"/>
      <c r="DI1926"/>
      <c r="DJ1926"/>
      <c r="DK1926"/>
      <c r="DL1926"/>
      <c r="DM1926"/>
      <c r="DN1926"/>
      <c r="DO1926"/>
      <c r="DP1926"/>
      <c r="DQ1926"/>
      <c r="DR1926"/>
      <c r="DS1926"/>
      <c r="DT1926"/>
      <c r="DU1926"/>
      <c r="DV1926"/>
      <c r="DW1926"/>
      <c r="DX1926"/>
      <c r="DY1926"/>
      <c r="DZ1926"/>
      <c r="EA1926"/>
      <c r="EB1926"/>
      <c r="EC1926"/>
      <c r="ED1926"/>
      <c r="EE1926"/>
      <c r="EF1926"/>
      <c r="EG1926"/>
      <c r="EH1926"/>
      <c r="EI1926"/>
      <c r="EJ1926"/>
      <c r="EK1926"/>
      <c r="EL1926"/>
      <c r="EM1926"/>
      <c r="EN1926"/>
      <c r="EO1926"/>
      <c r="EP1926"/>
      <c r="EQ1926"/>
      <c r="ER1926"/>
      <c r="ES1926"/>
    </row>
    <row r="1927" spans="1:149">
      <c r="A1927"/>
      <c r="B1927"/>
      <c r="C1927"/>
      <c r="D1927"/>
      <c r="E1927"/>
      <c r="F1927"/>
      <c r="G1927"/>
      <c r="H1927"/>
      <c r="I1927"/>
      <c r="J1927"/>
      <c r="K1927"/>
      <c r="L1927"/>
      <c r="M1927"/>
      <c r="N1927"/>
      <c r="O1927"/>
      <c r="P1927"/>
      <c r="Q1927"/>
      <c r="R1927"/>
      <c r="S1927"/>
      <c r="T1927"/>
      <c r="U1927"/>
      <c r="V1927"/>
      <c r="W1927"/>
      <c r="X1927"/>
      <c r="Y1927"/>
      <c r="Z1927"/>
      <c r="AA1927"/>
      <c r="AB1927"/>
      <c r="AC1927"/>
      <c r="AD1927"/>
      <c r="AE1927"/>
      <c r="AF1927"/>
      <c r="AG1927"/>
      <c r="AH1927"/>
      <c r="AI1927"/>
      <c r="AJ1927"/>
      <c r="AK1927"/>
      <c r="AL1927"/>
      <c r="AM1927"/>
      <c r="AN1927"/>
      <c r="AO1927"/>
      <c r="AP1927"/>
      <c r="AQ1927"/>
      <c r="AR1927"/>
      <c r="AS1927"/>
      <c r="AT1927"/>
      <c r="AU1927"/>
      <c r="AV1927"/>
      <c r="AW1927"/>
      <c r="AX1927"/>
      <c r="AY1927"/>
      <c r="AZ1927"/>
      <c r="BA1927"/>
      <c r="BB1927"/>
      <c r="BC1927"/>
      <c r="BD1927"/>
      <c r="BE1927"/>
      <c r="BF1927"/>
      <c r="BG1927"/>
      <c r="BH1927"/>
      <c r="BI1927"/>
      <c r="BJ1927"/>
      <c r="BK1927"/>
      <c r="BL1927"/>
      <c r="BM1927"/>
      <c r="BN1927"/>
      <c r="BO1927"/>
      <c r="BP1927"/>
      <c r="BQ1927"/>
      <c r="BR1927"/>
      <c r="BS1927"/>
      <c r="BT1927"/>
      <c r="BU1927"/>
      <c r="BV1927"/>
      <c r="BW1927"/>
      <c r="BX1927"/>
      <c r="BY1927"/>
      <c r="BZ1927"/>
      <c r="CA1927"/>
      <c r="CB1927"/>
      <c r="CC1927"/>
      <c r="CD1927"/>
      <c r="CE1927"/>
      <c r="CF1927"/>
      <c r="CG1927"/>
      <c r="CH1927"/>
      <c r="CI1927"/>
      <c r="CJ1927"/>
      <c r="CK1927"/>
      <c r="CL1927"/>
      <c r="CM1927"/>
      <c r="CN1927"/>
      <c r="CO1927"/>
      <c r="CP1927"/>
      <c r="CQ1927"/>
      <c r="CR1927"/>
      <c r="CS1927"/>
      <c r="CT1927"/>
      <c r="CU1927"/>
      <c r="CV1927"/>
      <c r="CW1927"/>
      <c r="CX1927"/>
      <c r="CY1927"/>
      <c r="CZ1927"/>
      <c r="DA1927"/>
      <c r="DB1927"/>
      <c r="DC1927"/>
      <c r="DD1927"/>
      <c r="DE1927"/>
      <c r="DF1927"/>
      <c r="DG1927"/>
      <c r="DH1927"/>
      <c r="DI1927"/>
      <c r="DJ1927"/>
      <c r="DK1927"/>
      <c r="DL1927"/>
      <c r="DM1927"/>
      <c r="DN1927"/>
      <c r="DO1927"/>
      <c r="DP1927"/>
      <c r="DQ1927"/>
      <c r="DR1927"/>
      <c r="DS1927"/>
      <c r="DT1927"/>
      <c r="DU1927"/>
      <c r="DV1927"/>
      <c r="DW1927"/>
      <c r="DX1927"/>
      <c r="DY1927"/>
      <c r="DZ1927"/>
      <c r="EA1927"/>
      <c r="EB1927"/>
      <c r="EC1927"/>
      <c r="ED1927"/>
      <c r="EE1927"/>
      <c r="EF1927"/>
      <c r="EG1927"/>
      <c r="EH1927"/>
      <c r="EI1927"/>
      <c r="EJ1927"/>
      <c r="EK1927"/>
      <c r="EL1927"/>
      <c r="EM1927"/>
      <c r="EN1927"/>
      <c r="EO1927"/>
      <c r="EP1927"/>
      <c r="EQ1927"/>
      <c r="ER1927"/>
      <c r="ES1927"/>
    </row>
    <row r="1928" spans="1:149">
      <c r="A1928"/>
      <c r="B1928"/>
      <c r="C1928"/>
      <c r="D1928"/>
      <c r="E1928"/>
      <c r="F1928"/>
      <c r="G1928"/>
      <c r="H1928"/>
      <c r="I1928"/>
      <c r="J1928"/>
      <c r="K1928"/>
      <c r="L1928"/>
      <c r="M1928"/>
      <c r="N1928"/>
      <c r="O1928"/>
      <c r="P1928"/>
      <c r="Q1928"/>
      <c r="R1928"/>
      <c r="S1928"/>
      <c r="T1928"/>
      <c r="U1928"/>
      <c r="V1928"/>
      <c r="W1928"/>
      <c r="X1928"/>
      <c r="Y1928"/>
      <c r="Z1928"/>
      <c r="AA1928"/>
      <c r="AB1928"/>
      <c r="AC1928"/>
      <c r="AD1928"/>
      <c r="AE1928"/>
      <c r="AF1928"/>
      <c r="AG1928"/>
      <c r="AH1928"/>
      <c r="AI1928"/>
      <c r="AJ1928"/>
      <c r="AK1928"/>
      <c r="AL1928"/>
      <c r="AM1928"/>
      <c r="AN1928"/>
      <c r="AO1928"/>
      <c r="AP1928"/>
      <c r="AQ1928"/>
      <c r="AR1928"/>
      <c r="AS1928"/>
      <c r="AT1928"/>
      <c r="AU1928"/>
      <c r="AV1928"/>
      <c r="AW1928"/>
      <c r="AX1928"/>
      <c r="AY1928"/>
      <c r="AZ1928"/>
      <c r="BA1928"/>
      <c r="BB1928"/>
      <c r="BC1928"/>
      <c r="BD1928"/>
      <c r="BE1928"/>
      <c r="BF1928"/>
      <c r="BG1928"/>
      <c r="BH1928"/>
      <c r="BI1928"/>
      <c r="BJ1928"/>
      <c r="BK1928"/>
      <c r="BL1928"/>
      <c r="BM1928"/>
      <c r="BN1928"/>
      <c r="BO1928"/>
      <c r="BP1928"/>
      <c r="BQ1928"/>
      <c r="BR1928"/>
      <c r="BS1928"/>
      <c r="BT1928"/>
      <c r="BU1928"/>
      <c r="BV1928"/>
      <c r="BW1928"/>
      <c r="BX1928"/>
      <c r="BY1928"/>
      <c r="BZ1928"/>
      <c r="CA1928"/>
      <c r="CB1928"/>
      <c r="CC1928"/>
      <c r="CD1928"/>
      <c r="CE1928"/>
      <c r="CF1928"/>
      <c r="CG1928"/>
      <c r="CH1928"/>
      <c r="CI1928"/>
      <c r="CJ1928"/>
      <c r="CK1928"/>
      <c r="CL1928"/>
      <c r="CM1928"/>
      <c r="CN1928"/>
      <c r="CO1928"/>
      <c r="CP1928"/>
      <c r="CQ1928"/>
      <c r="CR1928"/>
      <c r="CS1928"/>
      <c r="CT1928"/>
      <c r="CU1928"/>
      <c r="CV1928"/>
      <c r="CW1928"/>
      <c r="CX1928"/>
      <c r="CY1928"/>
      <c r="CZ1928"/>
      <c r="DA1928"/>
      <c r="DB1928"/>
      <c r="DC1928"/>
      <c r="DD1928"/>
      <c r="DE1928"/>
      <c r="DF1928"/>
      <c r="DG1928"/>
      <c r="DH1928"/>
      <c r="DI1928"/>
      <c r="DJ1928"/>
      <c r="DK1928"/>
      <c r="DL1928"/>
      <c r="DM1928"/>
      <c r="DN1928"/>
      <c r="DO1928"/>
      <c r="DP1928"/>
      <c r="DQ1928"/>
      <c r="DR1928"/>
      <c r="DS1928"/>
      <c r="DT1928"/>
      <c r="DU1928"/>
      <c r="DV1928"/>
      <c r="DW1928"/>
      <c r="DX1928"/>
      <c r="DY1928"/>
      <c r="DZ1928"/>
      <c r="EA1928"/>
      <c r="EB1928"/>
      <c r="EC1928"/>
      <c r="ED1928"/>
      <c r="EE1928"/>
      <c r="EF1928"/>
      <c r="EG1928"/>
      <c r="EH1928"/>
      <c r="EI1928"/>
      <c r="EJ1928"/>
      <c r="EK1928"/>
      <c r="EL1928"/>
      <c r="EM1928"/>
      <c r="EN1928"/>
      <c r="EO1928"/>
      <c r="EP1928"/>
      <c r="EQ1928"/>
      <c r="ER1928"/>
      <c r="ES1928"/>
    </row>
    <row r="1929" spans="1:149">
      <c r="A1929"/>
      <c r="B1929"/>
      <c r="C1929"/>
      <c r="D1929"/>
      <c r="E1929"/>
      <c r="F1929"/>
      <c r="G1929"/>
      <c r="H1929"/>
      <c r="I1929"/>
      <c r="J1929"/>
      <c r="K1929"/>
      <c r="L1929"/>
      <c r="M1929"/>
      <c r="N1929"/>
      <c r="O1929"/>
      <c r="P1929"/>
      <c r="Q1929"/>
      <c r="R1929"/>
      <c r="S1929"/>
      <c r="T1929"/>
      <c r="U1929"/>
      <c r="V1929"/>
      <c r="W1929"/>
      <c r="X1929"/>
      <c r="Y1929"/>
      <c r="Z1929"/>
      <c r="AA1929"/>
      <c r="AB1929"/>
      <c r="AC1929"/>
      <c r="AD1929"/>
      <c r="AE1929"/>
      <c r="AF1929"/>
      <c r="AG1929"/>
      <c r="AH1929"/>
      <c r="AI1929"/>
      <c r="AJ1929"/>
      <c r="AK1929"/>
      <c r="AL1929"/>
      <c r="AM1929"/>
      <c r="AN1929"/>
      <c r="AO1929"/>
      <c r="AP1929"/>
      <c r="AQ1929"/>
      <c r="AR1929"/>
      <c r="AS1929"/>
      <c r="AT1929"/>
      <c r="AU1929"/>
      <c r="AV1929"/>
      <c r="AW1929"/>
      <c r="AX1929"/>
      <c r="AY1929"/>
      <c r="AZ1929"/>
      <c r="BA1929"/>
      <c r="BB1929"/>
      <c r="BC1929"/>
      <c r="BD1929"/>
      <c r="BE1929"/>
      <c r="BF1929"/>
      <c r="BG1929"/>
      <c r="BH1929"/>
      <c r="BI1929"/>
      <c r="BJ1929"/>
      <c r="BK1929"/>
      <c r="BL1929"/>
      <c r="BM1929"/>
      <c r="BN1929"/>
      <c r="BO1929"/>
      <c r="BP1929"/>
      <c r="BQ1929"/>
      <c r="BR1929"/>
      <c r="BS1929"/>
      <c r="BT1929"/>
      <c r="BU1929"/>
      <c r="BV1929"/>
      <c r="BW1929"/>
      <c r="BX1929"/>
      <c r="BY1929"/>
      <c r="BZ1929"/>
      <c r="CA1929"/>
      <c r="CB1929"/>
      <c r="CC1929"/>
      <c r="CD1929"/>
      <c r="CE1929"/>
      <c r="CF1929"/>
      <c r="CG1929"/>
      <c r="CH1929"/>
      <c r="CI1929"/>
      <c r="CJ1929"/>
      <c r="CK1929"/>
      <c r="CL1929"/>
      <c r="CM1929"/>
      <c r="CN1929"/>
      <c r="CO1929"/>
      <c r="CP1929"/>
      <c r="CQ1929"/>
      <c r="CR1929"/>
      <c r="CS1929"/>
      <c r="CT1929"/>
      <c r="CU1929"/>
      <c r="CV1929"/>
      <c r="CW1929"/>
      <c r="CX1929"/>
      <c r="CY1929"/>
      <c r="CZ1929"/>
      <c r="DA1929"/>
      <c r="DB1929"/>
      <c r="DC1929"/>
      <c r="DD1929"/>
      <c r="DE1929"/>
      <c r="DF1929"/>
      <c r="DG1929"/>
      <c r="DH1929"/>
      <c r="DI1929"/>
      <c r="DJ1929"/>
      <c r="DK1929"/>
      <c r="DL1929"/>
      <c r="DM1929"/>
      <c r="DN1929"/>
      <c r="DO1929"/>
      <c r="DP1929"/>
      <c r="DQ1929"/>
      <c r="DR1929"/>
      <c r="DS1929"/>
      <c r="DT1929"/>
      <c r="DU1929"/>
      <c r="DV1929"/>
      <c r="DW1929"/>
      <c r="DX1929"/>
      <c r="DY1929"/>
      <c r="DZ1929"/>
      <c r="EA1929"/>
      <c r="EB1929"/>
      <c r="EC1929"/>
      <c r="ED1929"/>
      <c r="EE1929"/>
      <c r="EF1929"/>
      <c r="EG1929"/>
      <c r="EH1929"/>
      <c r="EI1929"/>
      <c r="EJ1929"/>
      <c r="EK1929"/>
      <c r="EL1929"/>
      <c r="EM1929"/>
      <c r="EN1929"/>
      <c r="EO1929"/>
      <c r="EP1929"/>
      <c r="EQ1929"/>
      <c r="ER1929"/>
      <c r="ES1929"/>
    </row>
    <row r="1930" spans="1:149">
      <c r="A1930"/>
      <c r="B1930"/>
      <c r="C1930"/>
      <c r="D1930"/>
      <c r="E1930"/>
      <c r="F1930"/>
      <c r="G1930"/>
      <c r="H1930"/>
      <c r="I1930"/>
      <c r="J1930"/>
      <c r="K1930"/>
      <c r="L1930"/>
      <c r="M1930"/>
      <c r="N1930"/>
      <c r="O1930"/>
      <c r="P1930"/>
      <c r="Q1930"/>
      <c r="R1930"/>
      <c r="S1930"/>
      <c r="T1930"/>
      <c r="U1930"/>
      <c r="V1930"/>
      <c r="W1930"/>
      <c r="X1930"/>
      <c r="Y1930"/>
      <c r="Z1930"/>
      <c r="AA1930"/>
      <c r="AB1930"/>
      <c r="AC1930"/>
      <c r="AD1930"/>
      <c r="AE1930"/>
      <c r="AF1930"/>
      <c r="AG1930"/>
      <c r="AH1930"/>
      <c r="AI1930"/>
      <c r="AJ1930"/>
      <c r="AK1930"/>
      <c r="AL1930"/>
      <c r="AM1930"/>
      <c r="AN1930"/>
      <c r="AO1930"/>
      <c r="AP1930"/>
      <c r="AQ1930"/>
      <c r="AR1930"/>
      <c r="AS1930"/>
      <c r="AT1930"/>
      <c r="AU1930"/>
      <c r="AV1930"/>
      <c r="AW1930"/>
      <c r="AX1930"/>
      <c r="AY1930"/>
      <c r="AZ1930"/>
      <c r="BA1930"/>
      <c r="BB1930"/>
      <c r="BC1930"/>
      <c r="BD1930"/>
      <c r="BE1930"/>
      <c r="BF1930"/>
      <c r="BG1930"/>
      <c r="BH1930"/>
      <c r="BI1930"/>
      <c r="BJ1930"/>
      <c r="BK1930"/>
      <c r="BL1930"/>
      <c r="BM1930"/>
      <c r="BN1930"/>
      <c r="BO1930"/>
      <c r="BP1930"/>
      <c r="BQ1930"/>
      <c r="BR1930"/>
      <c r="BS1930"/>
      <c r="BT1930"/>
      <c r="BU1930"/>
      <c r="BV1930"/>
      <c r="BW1930"/>
      <c r="BX1930"/>
      <c r="BY1930"/>
      <c r="BZ1930"/>
      <c r="CA1930"/>
      <c r="CB1930"/>
      <c r="CC1930"/>
      <c r="CD1930"/>
      <c r="CE1930"/>
      <c r="CF1930"/>
      <c r="CG1930"/>
      <c r="CH1930"/>
      <c r="CI1930"/>
      <c r="CJ1930"/>
      <c r="CK1930"/>
      <c r="CL1930"/>
      <c r="CM1930"/>
      <c r="CN1930"/>
      <c r="CO1930"/>
      <c r="CP1930"/>
      <c r="CQ1930"/>
      <c r="CR1930"/>
      <c r="CS1930"/>
      <c r="CT1930"/>
      <c r="CU1930"/>
      <c r="CV1930"/>
      <c r="CW1930"/>
      <c r="CX1930"/>
      <c r="CY1930"/>
      <c r="CZ1930"/>
      <c r="DA1930"/>
      <c r="DB1930"/>
      <c r="DC1930"/>
      <c r="DD1930"/>
      <c r="DE1930"/>
      <c r="DF1930"/>
      <c r="DG1930"/>
      <c r="DH1930"/>
      <c r="DI1930"/>
      <c r="DJ1930"/>
      <c r="DK1930"/>
      <c r="DL1930"/>
      <c r="DM1930"/>
      <c r="DN1930"/>
      <c r="DO1930"/>
      <c r="DP1930"/>
      <c r="DQ1930"/>
      <c r="DR1930"/>
      <c r="DS1930"/>
      <c r="DT1930"/>
      <c r="DU1930"/>
      <c r="DV1930"/>
      <c r="DW1930"/>
      <c r="DX1930"/>
      <c r="DY1930"/>
      <c r="DZ1930"/>
      <c r="EA1930"/>
      <c r="EB1930"/>
      <c r="EC1930"/>
      <c r="ED1930"/>
      <c r="EE1930"/>
      <c r="EF1930"/>
      <c r="EG1930"/>
      <c r="EH1930"/>
      <c r="EI1930"/>
      <c r="EJ1930"/>
      <c r="EK1930"/>
      <c r="EL1930"/>
      <c r="EM1930"/>
      <c r="EN1930"/>
      <c r="EO1930"/>
      <c r="EP1930"/>
      <c r="EQ1930"/>
      <c r="ER1930"/>
      <c r="ES1930"/>
    </row>
    <row r="1931" spans="1:149">
      <c r="A1931"/>
      <c r="B1931"/>
      <c r="C1931"/>
      <c r="D1931"/>
      <c r="E1931"/>
      <c r="F1931"/>
      <c r="G1931"/>
      <c r="H1931"/>
      <c r="I1931"/>
      <c r="J1931"/>
      <c r="K1931"/>
      <c r="L1931"/>
      <c r="M1931"/>
      <c r="N1931"/>
      <c r="O1931"/>
      <c r="P1931"/>
      <c r="Q1931"/>
      <c r="R1931"/>
      <c r="S1931"/>
      <c r="T1931"/>
      <c r="U1931"/>
      <c r="V1931"/>
      <c r="W1931"/>
      <c r="X1931"/>
      <c r="Y1931"/>
      <c r="Z1931"/>
      <c r="AA1931"/>
      <c r="AB1931"/>
      <c r="AC1931"/>
      <c r="AD1931"/>
      <c r="AE1931"/>
      <c r="AF1931"/>
      <c r="AG1931"/>
      <c r="AH1931"/>
      <c r="AI1931"/>
      <c r="AJ1931"/>
      <c r="AK1931"/>
      <c r="AL1931"/>
      <c r="AM1931"/>
      <c r="AN1931"/>
      <c r="AO1931"/>
      <c r="AP1931"/>
      <c r="AQ1931"/>
      <c r="AR1931"/>
      <c r="AS1931"/>
      <c r="AT1931"/>
      <c r="AU1931"/>
      <c r="AV1931"/>
      <c r="AW1931"/>
      <c r="AX1931"/>
      <c r="AY1931"/>
      <c r="AZ1931"/>
      <c r="BA1931"/>
      <c r="BB1931"/>
      <c r="BC1931"/>
      <c r="BD1931"/>
      <c r="BE1931"/>
      <c r="BF1931"/>
      <c r="BG1931"/>
      <c r="BH1931"/>
      <c r="BI1931"/>
      <c r="BJ1931"/>
      <c r="BK1931"/>
      <c r="BL1931"/>
      <c r="BM1931"/>
      <c r="BN1931"/>
      <c r="BO1931"/>
      <c r="BP1931"/>
      <c r="BQ1931"/>
      <c r="BR1931"/>
      <c r="BS1931"/>
      <c r="BT1931"/>
      <c r="BU1931"/>
      <c r="BV1931"/>
      <c r="BW1931"/>
      <c r="BX1931"/>
      <c r="BY1931"/>
      <c r="BZ1931"/>
      <c r="CA1931"/>
      <c r="CB1931"/>
      <c r="CC1931"/>
      <c r="CD1931"/>
      <c r="CE1931"/>
      <c r="CF1931"/>
      <c r="CG1931"/>
      <c r="CH1931"/>
      <c r="CI1931"/>
      <c r="CJ1931"/>
      <c r="CK1931"/>
      <c r="CL1931"/>
      <c r="CM1931"/>
      <c r="CN1931"/>
      <c r="CO1931"/>
      <c r="CP1931"/>
      <c r="CQ1931"/>
      <c r="CR1931"/>
      <c r="CS1931"/>
      <c r="CT1931"/>
      <c r="CU1931"/>
      <c r="CV1931"/>
      <c r="CW1931"/>
      <c r="CX1931"/>
      <c r="CY1931"/>
      <c r="CZ1931"/>
      <c r="DA1931"/>
      <c r="DB1931"/>
      <c r="DC1931"/>
      <c r="DD1931"/>
      <c r="DE1931"/>
      <c r="DF1931"/>
      <c r="DG1931"/>
      <c r="DH1931"/>
      <c r="DI1931"/>
      <c r="DJ1931"/>
      <c r="DK1931"/>
      <c r="DL1931"/>
      <c r="DM1931"/>
      <c r="DN1931"/>
      <c r="DO1931"/>
      <c r="DP1931"/>
      <c r="DQ1931"/>
      <c r="DR1931"/>
      <c r="DS1931"/>
      <c r="DT1931"/>
      <c r="DU1931"/>
      <c r="DV1931"/>
      <c r="DW1931"/>
      <c r="DX1931"/>
      <c r="DY1931"/>
      <c r="DZ1931"/>
      <c r="EA1931"/>
      <c r="EB1931"/>
      <c r="EC1931"/>
      <c r="ED1931"/>
      <c r="EE1931"/>
      <c r="EF1931"/>
      <c r="EG1931"/>
      <c r="EH1931"/>
      <c r="EI1931"/>
      <c r="EJ1931"/>
      <c r="EK1931"/>
      <c r="EL1931"/>
      <c r="EM1931"/>
      <c r="EN1931"/>
      <c r="EO1931"/>
      <c r="EP1931"/>
      <c r="EQ1931"/>
      <c r="ER1931"/>
      <c r="ES1931"/>
    </row>
    <row r="1932" spans="1:149">
      <c r="A1932"/>
      <c r="B1932"/>
      <c r="C1932"/>
      <c r="D1932"/>
      <c r="E1932"/>
      <c r="F1932"/>
      <c r="G1932"/>
      <c r="H1932"/>
      <c r="I1932"/>
      <c r="J1932"/>
      <c r="K1932"/>
      <c r="L1932"/>
      <c r="M1932"/>
      <c r="N1932"/>
      <c r="O1932"/>
      <c r="P1932"/>
      <c r="Q1932"/>
      <c r="R1932"/>
      <c r="S1932"/>
      <c r="T1932"/>
      <c r="U1932"/>
      <c r="V1932"/>
      <c r="W1932"/>
      <c r="X1932"/>
      <c r="Y1932"/>
      <c r="Z1932"/>
      <c r="AA1932"/>
      <c r="AB1932"/>
      <c r="AC1932"/>
      <c r="AD1932"/>
      <c r="AE1932"/>
      <c r="AF1932"/>
      <c r="AG1932"/>
      <c r="AH1932"/>
      <c r="AI1932"/>
      <c r="AJ1932"/>
      <c r="AK1932"/>
      <c r="AL1932"/>
      <c r="AM1932"/>
      <c r="AN1932"/>
      <c r="AO1932"/>
      <c r="AP1932"/>
      <c r="AQ1932"/>
      <c r="AR1932"/>
      <c r="AS1932"/>
      <c r="AT1932"/>
      <c r="AU1932"/>
      <c r="AV1932"/>
      <c r="AW1932"/>
      <c r="AX1932"/>
      <c r="AY1932"/>
      <c r="AZ1932"/>
      <c r="BA1932"/>
      <c r="BB1932"/>
      <c r="BC1932"/>
      <c r="BD1932"/>
      <c r="BE1932"/>
      <c r="BF1932"/>
      <c r="BG1932"/>
      <c r="BH1932"/>
      <c r="BI1932"/>
      <c r="BJ1932"/>
      <c r="BK1932"/>
      <c r="BL1932"/>
      <c r="BM1932"/>
      <c r="BN1932"/>
      <c r="BO1932"/>
      <c r="BP1932"/>
      <c r="BQ1932"/>
      <c r="BR1932"/>
      <c r="BS1932"/>
      <c r="BT1932"/>
      <c r="BU1932"/>
      <c r="BV1932"/>
      <c r="BW1932"/>
      <c r="BX1932"/>
      <c r="BY1932"/>
      <c r="BZ1932"/>
      <c r="CA1932"/>
      <c r="CB1932"/>
      <c r="CC1932"/>
      <c r="CD1932"/>
      <c r="CE1932"/>
      <c r="CF1932"/>
      <c r="CG1932"/>
      <c r="CH1932"/>
      <c r="CI1932"/>
      <c r="CJ1932"/>
      <c r="CK1932"/>
      <c r="CL1932"/>
      <c r="CM1932"/>
      <c r="CN1932"/>
      <c r="CO1932"/>
      <c r="CP1932"/>
      <c r="CQ1932"/>
      <c r="CR1932"/>
      <c r="CS1932"/>
      <c r="CT1932"/>
      <c r="CU1932"/>
      <c r="CV1932"/>
      <c r="CW1932"/>
      <c r="CX1932"/>
      <c r="CY1932"/>
      <c r="CZ1932"/>
      <c r="DA1932"/>
      <c r="DB1932"/>
      <c r="DC1932"/>
      <c r="DD1932"/>
      <c r="DE1932"/>
      <c r="DF1932"/>
      <c r="DG1932"/>
      <c r="DH1932"/>
      <c r="DI1932"/>
      <c r="DJ1932"/>
      <c r="DK1932"/>
      <c r="DL1932"/>
      <c r="DM1932"/>
      <c r="DN1932"/>
      <c r="DO1932"/>
      <c r="DP1932"/>
      <c r="DQ1932"/>
      <c r="DR1932"/>
      <c r="DS1932"/>
      <c r="DT1932"/>
      <c r="DU1932"/>
      <c r="DV1932"/>
      <c r="DW1932"/>
      <c r="DX1932"/>
      <c r="DY1932"/>
      <c r="DZ1932"/>
      <c r="EA1932"/>
      <c r="EB1932"/>
      <c r="EC1932"/>
      <c r="ED1932"/>
      <c r="EE1932"/>
      <c r="EF1932"/>
      <c r="EG1932"/>
      <c r="EH1932"/>
      <c r="EI1932"/>
      <c r="EJ1932"/>
      <c r="EK1932"/>
      <c r="EL1932"/>
      <c r="EM1932"/>
      <c r="EN1932"/>
      <c r="EO1932"/>
      <c r="EP1932"/>
      <c r="EQ1932"/>
      <c r="ER1932"/>
      <c r="ES1932"/>
    </row>
    <row r="1933" spans="1:149">
      <c r="A1933"/>
      <c r="B1933"/>
      <c r="C1933"/>
      <c r="D1933"/>
      <c r="E1933"/>
      <c r="F1933"/>
      <c r="G1933"/>
      <c r="H1933"/>
      <c r="I1933"/>
      <c r="J1933"/>
      <c r="K1933"/>
      <c r="L1933"/>
      <c r="M1933"/>
      <c r="N1933"/>
      <c r="O1933"/>
      <c r="P1933"/>
      <c r="Q1933"/>
      <c r="R1933"/>
      <c r="S1933"/>
      <c r="T1933"/>
      <c r="U1933"/>
      <c r="V1933"/>
      <c r="W1933"/>
      <c r="X1933"/>
      <c r="Y1933"/>
      <c r="Z1933"/>
      <c r="AA1933"/>
      <c r="AB1933"/>
      <c r="AC1933"/>
      <c r="AD1933"/>
      <c r="AE1933"/>
      <c r="AF1933"/>
      <c r="AG1933"/>
      <c r="AH1933"/>
      <c r="AI1933"/>
      <c r="AJ1933"/>
      <c r="AK1933"/>
      <c r="AL1933"/>
      <c r="AM1933"/>
      <c r="AN1933"/>
      <c r="AO1933"/>
      <c r="AP1933"/>
      <c r="AQ1933"/>
      <c r="AR1933"/>
      <c r="AS1933"/>
      <c r="AT1933"/>
      <c r="AU1933"/>
      <c r="AV1933"/>
      <c r="AW1933"/>
      <c r="AX1933"/>
      <c r="AY1933"/>
      <c r="AZ1933"/>
      <c r="BA1933"/>
      <c r="BB1933"/>
      <c r="BC1933"/>
      <c r="BD1933"/>
      <c r="BE1933"/>
      <c r="BF1933"/>
      <c r="BG1933"/>
      <c r="BH1933"/>
      <c r="BI1933"/>
      <c r="BJ1933"/>
      <c r="BK1933"/>
      <c r="BL1933"/>
      <c r="BM1933"/>
      <c r="BN1933"/>
      <c r="BO1933"/>
      <c r="BP1933"/>
      <c r="BQ1933"/>
      <c r="BR1933"/>
      <c r="BS1933"/>
      <c r="BT1933"/>
      <c r="BU1933"/>
      <c r="BV1933"/>
      <c r="BW1933"/>
      <c r="BX1933"/>
      <c r="BY1933"/>
      <c r="BZ1933"/>
      <c r="CA1933"/>
      <c r="CB1933"/>
      <c r="CC1933"/>
      <c r="CD1933"/>
      <c r="CE1933"/>
      <c r="CF1933"/>
      <c r="CG1933"/>
      <c r="CH1933"/>
      <c r="CI1933"/>
      <c r="CJ1933"/>
      <c r="CK1933"/>
      <c r="CL1933"/>
      <c r="CM1933"/>
      <c r="CN1933"/>
      <c r="CO1933"/>
      <c r="CP1933"/>
      <c r="CQ1933"/>
      <c r="CR1933"/>
      <c r="CS1933"/>
      <c r="CT1933"/>
      <c r="CU1933"/>
      <c r="CV1933"/>
      <c r="CW1933"/>
      <c r="CX1933"/>
      <c r="CY1933"/>
      <c r="CZ1933"/>
      <c r="DA1933"/>
      <c r="DB1933"/>
      <c r="DC1933"/>
      <c r="DD1933"/>
      <c r="DE1933"/>
      <c r="DF1933"/>
      <c r="DG1933"/>
      <c r="DH1933"/>
      <c r="DI1933"/>
      <c r="DJ1933"/>
      <c r="DK1933"/>
      <c r="DL1933"/>
      <c r="DM1933"/>
      <c r="DN1933"/>
      <c r="DO1933"/>
      <c r="DP1933"/>
      <c r="DQ1933"/>
      <c r="DR1933"/>
      <c r="DS1933"/>
      <c r="DT1933"/>
      <c r="DU1933"/>
      <c r="DV1933"/>
      <c r="DW1933"/>
      <c r="DX1933"/>
      <c r="DY1933"/>
      <c r="DZ1933"/>
      <c r="EA1933"/>
      <c r="EB1933"/>
      <c r="EC1933"/>
      <c r="ED1933"/>
      <c r="EE1933"/>
      <c r="EF1933"/>
      <c r="EG1933"/>
      <c r="EH1933"/>
      <c r="EI1933"/>
      <c r="EJ1933"/>
      <c r="EK1933"/>
      <c r="EL1933"/>
      <c r="EM1933"/>
      <c r="EN1933"/>
      <c r="EO1933"/>
      <c r="EP1933"/>
      <c r="EQ1933"/>
      <c r="ER1933"/>
      <c r="ES1933"/>
    </row>
    <row r="1934" spans="1:149">
      <c r="A1934"/>
      <c r="B1934"/>
      <c r="C1934"/>
      <c r="D1934"/>
      <c r="E1934"/>
      <c r="F1934"/>
      <c r="G1934"/>
      <c r="H1934"/>
      <c r="I1934"/>
      <c r="J1934"/>
      <c r="K1934"/>
      <c r="L1934"/>
      <c r="M1934"/>
      <c r="N1934"/>
      <c r="O1934"/>
      <c r="P1934"/>
      <c r="Q1934"/>
      <c r="R1934"/>
      <c r="S1934"/>
      <c r="T1934"/>
      <c r="U1934"/>
      <c r="V1934"/>
      <c r="W1934"/>
      <c r="X1934"/>
      <c r="Y1934"/>
      <c r="Z1934"/>
      <c r="AA1934"/>
      <c r="AB1934"/>
      <c r="AC1934"/>
      <c r="AD1934"/>
      <c r="AE1934"/>
      <c r="AF1934"/>
      <c r="AG1934"/>
      <c r="AH1934"/>
      <c r="AI1934"/>
      <c r="AJ1934"/>
      <c r="AK1934"/>
      <c r="AL1934"/>
      <c r="AM1934"/>
      <c r="AN1934"/>
      <c r="AO1934"/>
      <c r="AP1934"/>
      <c r="AQ1934"/>
      <c r="AR1934"/>
      <c r="AS1934"/>
      <c r="AT1934"/>
      <c r="AU1934"/>
      <c r="AV1934"/>
      <c r="AW1934"/>
      <c r="AX1934"/>
      <c r="AY1934"/>
      <c r="AZ1934"/>
      <c r="BA1934"/>
      <c r="BB1934"/>
      <c r="BC1934"/>
      <c r="BD1934"/>
      <c r="BE1934"/>
      <c r="BF1934"/>
      <c r="BG1934"/>
      <c r="BH1934"/>
      <c r="BI1934"/>
      <c r="BJ1934"/>
      <c r="BK1934"/>
      <c r="BL1934"/>
      <c r="BM1934"/>
      <c r="BN1934"/>
      <c r="BO1934"/>
      <c r="BP1934"/>
      <c r="BQ1934"/>
      <c r="BR1934"/>
      <c r="BS1934"/>
      <c r="BT1934"/>
      <c r="BU1934"/>
      <c r="BV1934"/>
      <c r="BW1934"/>
      <c r="BX1934"/>
      <c r="BY1934"/>
      <c r="BZ1934"/>
      <c r="CA1934"/>
      <c r="CB1934"/>
      <c r="CC1934"/>
      <c r="CD1934"/>
      <c r="CE1934"/>
      <c r="CF1934"/>
      <c r="CG1934"/>
      <c r="CH1934"/>
      <c r="CI1934"/>
      <c r="CJ1934"/>
      <c r="CK1934"/>
      <c r="CL1934"/>
      <c r="CM1934"/>
      <c r="CN1934"/>
      <c r="CO1934"/>
      <c r="CP1934"/>
      <c r="CQ1934"/>
      <c r="CR1934"/>
      <c r="CS1934"/>
      <c r="CT1934"/>
      <c r="CU1934"/>
      <c r="CV1934"/>
      <c r="CW1934"/>
      <c r="CX1934"/>
      <c r="CY1934"/>
      <c r="CZ1934"/>
      <c r="DA1934"/>
      <c r="DB1934"/>
      <c r="DC1934"/>
      <c r="DD1934"/>
      <c r="DE1934"/>
      <c r="DF1934"/>
      <c r="DG1934"/>
      <c r="DH1934"/>
      <c r="DI1934"/>
      <c r="DJ1934"/>
      <c r="DK1934"/>
      <c r="DL1934"/>
      <c r="DM1934"/>
      <c r="DN1934"/>
      <c r="DO1934"/>
      <c r="DP1934"/>
      <c r="DQ1934"/>
      <c r="DR1934"/>
      <c r="DS1934"/>
      <c r="DT1934"/>
      <c r="DU1934"/>
      <c r="DV1934"/>
      <c r="DW1934"/>
      <c r="DX1934"/>
      <c r="DY1934"/>
      <c r="DZ1934"/>
      <c r="EA1934"/>
      <c r="EB1934"/>
      <c r="EC1934"/>
      <c r="ED1934"/>
      <c r="EE1934"/>
      <c r="EF1934"/>
      <c r="EG1934"/>
      <c r="EH1934"/>
      <c r="EI1934"/>
      <c r="EJ1934"/>
      <c r="EK1934"/>
      <c r="EL1934"/>
      <c r="EM1934"/>
      <c r="EN1934"/>
      <c r="EO1934"/>
      <c r="EP1934"/>
      <c r="EQ1934"/>
      <c r="ER1934"/>
      <c r="ES1934"/>
    </row>
    <row r="1935" spans="1:149">
      <c r="A1935"/>
      <c r="B1935"/>
      <c r="C1935"/>
      <c r="D1935"/>
      <c r="E1935"/>
      <c r="F1935"/>
      <c r="G1935"/>
      <c r="H1935"/>
      <c r="I1935"/>
      <c r="J1935"/>
      <c r="K1935"/>
      <c r="L1935"/>
      <c r="M1935"/>
      <c r="N1935"/>
      <c r="O1935"/>
      <c r="P1935"/>
      <c r="Q1935"/>
      <c r="R1935"/>
      <c r="S1935"/>
      <c r="T1935"/>
      <c r="U1935"/>
      <c r="V1935"/>
      <c r="W1935"/>
      <c r="X1935"/>
      <c r="Y1935"/>
      <c r="Z1935"/>
      <c r="AA1935"/>
      <c r="AB1935"/>
      <c r="AC1935"/>
      <c r="AD1935"/>
      <c r="AE1935"/>
      <c r="AF1935"/>
      <c r="AG1935"/>
      <c r="AH1935"/>
      <c r="AI1935"/>
      <c r="AJ1935"/>
      <c r="AK1935"/>
      <c r="AL1935"/>
      <c r="AM1935"/>
      <c r="AN1935"/>
      <c r="AO1935"/>
      <c r="AP1935"/>
      <c r="AQ1935"/>
      <c r="AR1935"/>
      <c r="AS1935"/>
      <c r="AT1935"/>
      <c r="AU1935"/>
      <c r="AV1935"/>
      <c r="AW1935"/>
      <c r="AX1935"/>
      <c r="AY1935"/>
      <c r="AZ1935"/>
      <c r="BA1935"/>
      <c r="BB1935"/>
      <c r="BC1935"/>
      <c r="BD1935"/>
      <c r="BE1935"/>
      <c r="BF1935"/>
      <c r="BG1935"/>
      <c r="BH1935"/>
      <c r="BI1935"/>
      <c r="BJ1935"/>
      <c r="BK1935"/>
      <c r="BL1935"/>
      <c r="BM1935"/>
      <c r="BN1935"/>
      <c r="BO1935"/>
      <c r="BP1935"/>
      <c r="BQ1935"/>
      <c r="BR1935"/>
      <c r="BS1935"/>
      <c r="BT1935"/>
      <c r="BU1935"/>
      <c r="BV1935"/>
      <c r="BW1935"/>
      <c r="BX1935"/>
      <c r="BY1935"/>
      <c r="BZ1935"/>
      <c r="CA1935"/>
      <c r="CB1935"/>
      <c r="CC1935"/>
      <c r="CD1935"/>
      <c r="CE1935"/>
      <c r="CF1935"/>
      <c r="CG1935"/>
      <c r="CH1935"/>
      <c r="CI1935"/>
      <c r="CJ1935"/>
      <c r="CK1935"/>
      <c r="CL1935"/>
      <c r="CM1935"/>
      <c r="CN1935"/>
      <c r="CO1935"/>
      <c r="CP1935"/>
      <c r="CQ1935"/>
      <c r="CR1935"/>
      <c r="CS1935"/>
      <c r="CT1935"/>
      <c r="CU1935"/>
      <c r="CV1935"/>
      <c r="CW1935"/>
      <c r="CX1935"/>
      <c r="CY1935"/>
      <c r="CZ1935"/>
      <c r="DA1935"/>
      <c r="DB1935"/>
      <c r="DC1935"/>
      <c r="DD1935"/>
      <c r="DE1935"/>
      <c r="DF1935"/>
      <c r="DG1935"/>
      <c r="DH1935"/>
      <c r="DI1935"/>
      <c r="DJ1935"/>
      <c r="DK1935"/>
      <c r="DL1935"/>
      <c r="DM1935"/>
      <c r="DN1935"/>
      <c r="DO1935"/>
      <c r="DP1935"/>
      <c r="DQ1935"/>
      <c r="DR1935"/>
      <c r="DS1935"/>
      <c r="DT1935"/>
      <c r="DU1935"/>
      <c r="DV1935"/>
      <c r="DW1935"/>
      <c r="DX1935"/>
      <c r="DY1935"/>
      <c r="DZ1935"/>
      <c r="EA1935"/>
      <c r="EB1935"/>
      <c r="EC1935"/>
      <c r="ED1935"/>
      <c r="EE1935"/>
      <c r="EF1935"/>
      <c r="EG1935"/>
      <c r="EH1935"/>
      <c r="EI1935"/>
      <c r="EJ1935"/>
      <c r="EK1935"/>
      <c r="EL1935"/>
      <c r="EM1935"/>
      <c r="EN1935"/>
      <c r="EO1935"/>
      <c r="EP1935"/>
      <c r="EQ1935"/>
      <c r="ER1935"/>
      <c r="ES1935"/>
    </row>
    <row r="1936" spans="1:149">
      <c r="A1936"/>
      <c r="B1936"/>
      <c r="C1936"/>
      <c r="D1936"/>
      <c r="E1936"/>
      <c r="F1936"/>
      <c r="G1936"/>
      <c r="H1936"/>
      <c r="I1936"/>
      <c r="J1936"/>
      <c r="K1936"/>
      <c r="L1936"/>
      <c r="M1936"/>
      <c r="N1936"/>
      <c r="O1936"/>
      <c r="P1936"/>
      <c r="Q1936"/>
      <c r="R1936"/>
      <c r="S1936"/>
      <c r="T1936"/>
      <c r="U1936"/>
      <c r="V1936"/>
      <c r="W1936"/>
      <c r="X1936"/>
      <c r="Y1936"/>
      <c r="Z1936"/>
      <c r="AA1936"/>
      <c r="AB1936"/>
      <c r="AC1936"/>
      <c r="AD1936"/>
      <c r="AE1936"/>
      <c r="AF1936"/>
      <c r="AG1936"/>
      <c r="AH1936"/>
      <c r="AI1936"/>
      <c r="AJ1936"/>
      <c r="AK1936"/>
      <c r="AL1936"/>
      <c r="AM1936"/>
      <c r="AN1936"/>
      <c r="AO1936"/>
      <c r="AP1936"/>
      <c r="AQ1936"/>
      <c r="AR1936"/>
      <c r="AS1936"/>
      <c r="AT1936"/>
      <c r="AU1936"/>
      <c r="AV1936"/>
      <c r="AW1936"/>
      <c r="AX1936"/>
      <c r="AY1936"/>
      <c r="AZ1936"/>
      <c r="BA1936"/>
      <c r="BB1936"/>
      <c r="BC1936"/>
      <c r="BD1936"/>
      <c r="BE1936"/>
      <c r="BF1936"/>
      <c r="BG1936"/>
      <c r="BH1936"/>
      <c r="BI1936"/>
      <c r="BJ1936"/>
      <c r="BK1936"/>
      <c r="BL1936"/>
      <c r="BM1936"/>
      <c r="BN1936"/>
      <c r="BO1936"/>
      <c r="BP1936"/>
      <c r="BQ1936"/>
      <c r="BR1936"/>
      <c r="BS1936"/>
      <c r="BT1936"/>
      <c r="BU1936"/>
      <c r="BV1936"/>
      <c r="BW1936"/>
      <c r="BX1936"/>
      <c r="BY1936"/>
      <c r="BZ1936"/>
      <c r="CA1936"/>
      <c r="CB1936"/>
      <c r="CC1936"/>
      <c r="CD1936"/>
      <c r="CE1936"/>
      <c r="CF1936"/>
      <c r="CG1936"/>
      <c r="CH1936"/>
      <c r="CI1936"/>
      <c r="CJ1936"/>
      <c r="CK1936"/>
      <c r="CL1936"/>
      <c r="CM1936"/>
      <c r="CN1936"/>
      <c r="CO1936"/>
      <c r="CP1936"/>
      <c r="CQ1936"/>
      <c r="CR1936"/>
      <c r="CS1936"/>
      <c r="CT1936"/>
      <c r="CU1936"/>
      <c r="CV1936"/>
      <c r="CW1936"/>
      <c r="CX1936"/>
      <c r="CY1936"/>
      <c r="CZ1936"/>
      <c r="DA1936"/>
      <c r="DB1936"/>
      <c r="DC1936"/>
      <c r="DD1936"/>
      <c r="DE1936"/>
      <c r="DF1936"/>
      <c r="DG1936"/>
      <c r="DH1936"/>
      <c r="DI1936"/>
      <c r="DJ1936"/>
      <c r="DK1936"/>
      <c r="DL1936"/>
      <c r="DM1936"/>
      <c r="DN1936"/>
      <c r="DO1936"/>
      <c r="DP1936"/>
      <c r="DQ1936"/>
      <c r="DR1936"/>
      <c r="DS1936"/>
      <c r="DT1936"/>
      <c r="DU1936"/>
      <c r="DV1936"/>
      <c r="DW1936"/>
      <c r="DX1936"/>
      <c r="DY1936"/>
      <c r="DZ1936"/>
      <c r="EA1936"/>
      <c r="EB1936"/>
      <c r="EC1936"/>
      <c r="ED1936"/>
      <c r="EE1936"/>
      <c r="EF1936"/>
      <c r="EG1936"/>
      <c r="EH1936"/>
      <c r="EI1936"/>
      <c r="EJ1936"/>
      <c r="EK1936"/>
      <c r="EL1936"/>
      <c r="EM1936"/>
      <c r="EN1936"/>
      <c r="EO1936"/>
      <c r="EP1936"/>
      <c r="EQ1936"/>
      <c r="ER1936"/>
      <c r="ES1936"/>
    </row>
    <row r="1937" spans="1:149">
      <c r="A1937"/>
      <c r="B1937"/>
      <c r="C1937"/>
      <c r="D1937"/>
      <c r="E1937"/>
      <c r="F1937"/>
      <c r="G1937"/>
      <c r="H1937"/>
      <c r="I1937"/>
      <c r="J1937"/>
      <c r="K1937"/>
      <c r="L1937"/>
      <c r="M1937"/>
      <c r="N1937"/>
      <c r="O1937"/>
      <c r="P1937"/>
      <c r="Q1937"/>
      <c r="R1937"/>
      <c r="S1937"/>
      <c r="T1937"/>
      <c r="U1937"/>
      <c r="V1937"/>
      <c r="W1937"/>
      <c r="X1937"/>
      <c r="Y1937"/>
      <c r="Z1937"/>
      <c r="AA1937"/>
      <c r="AB1937"/>
      <c r="AC1937"/>
      <c r="AD1937"/>
      <c r="AE1937"/>
      <c r="AF1937"/>
      <c r="AG1937"/>
      <c r="AH1937"/>
      <c r="AI1937"/>
      <c r="AJ1937"/>
      <c r="AK1937"/>
      <c r="AL1937"/>
      <c r="AM1937"/>
      <c r="AN1937"/>
      <c r="AO1937"/>
      <c r="AP1937"/>
      <c r="AQ1937"/>
      <c r="AR1937"/>
      <c r="AS1937"/>
      <c r="AT1937"/>
      <c r="AU1937"/>
      <c r="AV1937"/>
      <c r="AW1937"/>
      <c r="AX1937"/>
      <c r="AY1937"/>
      <c r="AZ1937"/>
      <c r="BA1937"/>
      <c r="BB1937"/>
      <c r="BC1937"/>
      <c r="BD1937"/>
      <c r="BE1937"/>
      <c r="BF1937"/>
      <c r="BG1937"/>
      <c r="BH1937"/>
      <c r="BI1937"/>
      <c r="BJ1937"/>
      <c r="BK1937"/>
      <c r="BL1937"/>
      <c r="BM1937"/>
      <c r="BN1937"/>
      <c r="BO1937"/>
      <c r="BP1937"/>
      <c r="BQ1937"/>
      <c r="BR1937"/>
      <c r="BS1937"/>
      <c r="BT1937"/>
      <c r="BU1937"/>
      <c r="BV1937"/>
      <c r="BW1937"/>
      <c r="BX1937"/>
      <c r="BY1937"/>
      <c r="BZ1937"/>
      <c r="CA1937"/>
      <c r="CB1937"/>
      <c r="CC1937"/>
      <c r="CD1937"/>
      <c r="CE1937"/>
      <c r="CF1937"/>
      <c r="CG1937"/>
      <c r="CH1937"/>
      <c r="CI1937"/>
      <c r="CJ1937"/>
      <c r="CK1937"/>
      <c r="CL1937"/>
      <c r="CM1937"/>
      <c r="CN1937"/>
      <c r="CO1937"/>
      <c r="CP1937"/>
      <c r="CQ1937"/>
      <c r="CR1937"/>
      <c r="CS1937"/>
      <c r="CT1937"/>
      <c r="CU1937"/>
      <c r="CV1937"/>
      <c r="CW1937"/>
      <c r="CX1937"/>
      <c r="CY1937"/>
      <c r="CZ1937"/>
      <c r="DA1937"/>
      <c r="DB1937"/>
      <c r="DC1937"/>
      <c r="DD1937"/>
      <c r="DE1937"/>
      <c r="DF1937"/>
      <c r="DG1937"/>
      <c r="DH1937"/>
      <c r="DI1937"/>
      <c r="DJ1937"/>
      <c r="DK1937"/>
      <c r="DL1937"/>
      <c r="DM1937"/>
      <c r="DN1937"/>
      <c r="DO1937"/>
      <c r="DP1937"/>
      <c r="DQ1937"/>
      <c r="DR1937"/>
      <c r="DS1937"/>
      <c r="DT1937"/>
      <c r="DU1937"/>
      <c r="DV1937"/>
      <c r="DW1937"/>
      <c r="DX1937"/>
      <c r="DY1937"/>
      <c r="DZ1937"/>
      <c r="EA1937"/>
      <c r="EB1937"/>
      <c r="EC1937"/>
      <c r="ED1937"/>
      <c r="EE1937"/>
      <c r="EF1937"/>
      <c r="EG1937"/>
      <c r="EH1937"/>
      <c r="EI1937"/>
      <c r="EJ1937"/>
      <c r="EK1937"/>
      <c r="EL1937"/>
      <c r="EM1937"/>
      <c r="EN1937"/>
      <c r="EO1937"/>
      <c r="EP1937"/>
      <c r="EQ1937"/>
      <c r="ER1937"/>
      <c r="ES1937"/>
    </row>
    <row r="1938" spans="1:149">
      <c r="A1938"/>
      <c r="B1938"/>
      <c r="C1938"/>
      <c r="D1938"/>
      <c r="E1938"/>
      <c r="F1938"/>
      <c r="G1938"/>
      <c r="H1938"/>
      <c r="I1938"/>
      <c r="J1938"/>
      <c r="K1938"/>
      <c r="L1938"/>
      <c r="M1938"/>
      <c r="N1938"/>
      <c r="O1938"/>
      <c r="P1938"/>
      <c r="Q1938"/>
      <c r="R1938"/>
      <c r="S1938"/>
      <c r="T1938"/>
      <c r="U1938"/>
      <c r="V1938"/>
      <c r="W1938"/>
      <c r="X1938"/>
      <c r="Y1938"/>
      <c r="Z1938"/>
      <c r="AA1938"/>
      <c r="AB1938"/>
      <c r="AC1938"/>
      <c r="AD1938"/>
      <c r="AE1938"/>
      <c r="AF1938"/>
      <c r="AG1938"/>
      <c r="AH1938"/>
      <c r="AI1938"/>
      <c r="AJ1938"/>
      <c r="AK1938"/>
      <c r="AL1938"/>
      <c r="AM1938"/>
      <c r="AN1938"/>
      <c r="AO1938"/>
      <c r="AP1938"/>
      <c r="AQ1938"/>
      <c r="AR1938"/>
      <c r="AS1938"/>
      <c r="AT1938"/>
      <c r="AU1938"/>
      <c r="AV1938"/>
      <c r="AW1938"/>
      <c r="AX1938"/>
      <c r="AY1938"/>
      <c r="AZ1938"/>
      <c r="BA1938"/>
      <c r="BB1938"/>
      <c r="BC1938"/>
      <c r="BD1938"/>
      <c r="BE1938"/>
      <c r="BF1938"/>
      <c r="BG1938"/>
      <c r="BH1938"/>
      <c r="BI1938"/>
      <c r="BJ1938"/>
      <c r="BK1938"/>
      <c r="BL1938"/>
      <c r="BM1938"/>
      <c r="BN1938"/>
      <c r="BO1938"/>
      <c r="BP1938"/>
      <c r="BQ1938"/>
      <c r="BR1938"/>
      <c r="BS1938"/>
      <c r="BT1938"/>
      <c r="BU1938"/>
      <c r="BV1938"/>
      <c r="BW1938"/>
      <c r="BX1938"/>
      <c r="BY1938"/>
      <c r="BZ1938"/>
      <c r="CA1938"/>
      <c r="CB1938"/>
      <c r="CC1938"/>
      <c r="CD1938"/>
      <c r="CE1938"/>
      <c r="CF1938"/>
      <c r="CG1938"/>
      <c r="CH1938"/>
      <c r="CI1938"/>
      <c r="CJ1938"/>
      <c r="CK1938"/>
      <c r="CL1938"/>
      <c r="CM1938"/>
      <c r="CN1938"/>
      <c r="CO1938"/>
      <c r="CP1938"/>
      <c r="CQ1938"/>
      <c r="CR1938"/>
      <c r="CS1938"/>
      <c r="CT1938"/>
      <c r="CU1938"/>
      <c r="CV1938"/>
      <c r="CW1938"/>
      <c r="CX1938"/>
      <c r="CY1938"/>
      <c r="CZ1938"/>
      <c r="DA1938"/>
      <c r="DB1938"/>
      <c r="DC1938"/>
      <c r="DD1938"/>
      <c r="DE1938"/>
      <c r="DF1938"/>
      <c r="DG1938"/>
      <c r="DH1938"/>
      <c r="DI1938"/>
      <c r="DJ1938"/>
      <c r="DK1938"/>
      <c r="DL1938"/>
      <c r="DM1938"/>
      <c r="DN1938"/>
      <c r="DO1938"/>
      <c r="DP1938"/>
      <c r="DQ1938"/>
      <c r="DR1938"/>
      <c r="DS1938"/>
      <c r="DT1938"/>
      <c r="DU1938"/>
      <c r="DV1938"/>
      <c r="DW1938"/>
      <c r="DX1938"/>
      <c r="DY1938"/>
      <c r="DZ1938"/>
      <c r="EA1938"/>
      <c r="EB1938"/>
      <c r="EC1938"/>
      <c r="ED1938"/>
      <c r="EE1938"/>
      <c r="EF1938"/>
      <c r="EG1938"/>
      <c r="EH1938"/>
      <c r="EI1938"/>
      <c r="EJ1938"/>
      <c r="EK1938"/>
      <c r="EL1938"/>
      <c r="EM1938"/>
      <c r="EN1938"/>
      <c r="EO1938"/>
      <c r="EP1938"/>
      <c r="EQ1938"/>
      <c r="ER1938"/>
      <c r="ES1938"/>
    </row>
    <row r="1939" spans="1:149">
      <c r="A1939"/>
      <c r="B1939"/>
      <c r="C1939"/>
      <c r="D1939"/>
      <c r="E1939"/>
      <c r="F1939"/>
      <c r="G1939"/>
      <c r="H1939"/>
      <c r="I1939"/>
      <c r="J1939"/>
      <c r="K1939"/>
      <c r="L1939"/>
      <c r="M1939"/>
      <c r="N1939"/>
      <c r="O1939"/>
      <c r="P1939"/>
      <c r="Q1939"/>
      <c r="R1939"/>
      <c r="S1939"/>
      <c r="T1939"/>
      <c r="U1939"/>
      <c r="V1939"/>
      <c r="W1939"/>
      <c r="X1939"/>
      <c r="Y1939"/>
      <c r="Z1939"/>
      <c r="AA1939"/>
      <c r="AB1939"/>
      <c r="AC1939"/>
      <c r="AD1939"/>
      <c r="AE1939"/>
      <c r="AF1939"/>
      <c r="AG1939"/>
      <c r="AH1939"/>
      <c r="AI1939"/>
      <c r="AJ1939"/>
      <c r="AK1939"/>
      <c r="AL1939"/>
      <c r="AM1939"/>
      <c r="AN1939"/>
      <c r="AO1939"/>
      <c r="AP1939"/>
      <c r="AQ1939"/>
      <c r="AR1939"/>
      <c r="AS1939"/>
      <c r="AT1939"/>
      <c r="AU1939"/>
      <c r="AV1939"/>
      <c r="AW1939"/>
      <c r="AX1939"/>
      <c r="AY1939"/>
      <c r="AZ1939"/>
      <c r="BA1939"/>
      <c r="BB1939"/>
      <c r="BC1939"/>
      <c r="BD1939"/>
      <c r="BE1939"/>
      <c r="BF1939"/>
      <c r="BG1939"/>
      <c r="BH1939"/>
      <c r="BI1939"/>
      <c r="BJ1939"/>
      <c r="BK1939"/>
      <c r="BL1939"/>
      <c r="BM1939"/>
      <c r="BN1939"/>
      <c r="BO1939"/>
      <c r="BP1939"/>
      <c r="BQ1939"/>
      <c r="BR1939"/>
      <c r="BS1939"/>
      <c r="BT1939"/>
      <c r="BU1939"/>
      <c r="BV1939"/>
      <c r="BW1939"/>
      <c r="BX1939"/>
      <c r="BY1939"/>
      <c r="BZ1939"/>
      <c r="CA1939"/>
      <c r="CB1939"/>
      <c r="CC1939"/>
      <c r="CD1939"/>
      <c r="CE1939"/>
      <c r="CF1939"/>
      <c r="CG1939"/>
      <c r="CH1939"/>
      <c r="CI1939"/>
      <c r="CJ1939"/>
      <c r="CK1939"/>
      <c r="CL1939"/>
      <c r="CM1939"/>
      <c r="CN1939"/>
      <c r="CO1939"/>
      <c r="CP1939"/>
      <c r="CQ1939"/>
      <c r="CR1939"/>
      <c r="CS1939"/>
      <c r="CT1939"/>
      <c r="CU1939"/>
      <c r="CV1939"/>
      <c r="CW1939"/>
      <c r="CX1939"/>
      <c r="CY1939"/>
      <c r="CZ1939"/>
      <c r="DA1939"/>
      <c r="DB1939"/>
      <c r="DC1939"/>
      <c r="DD1939"/>
      <c r="DE1939"/>
      <c r="DF1939"/>
      <c r="DG1939"/>
      <c r="DH1939"/>
      <c r="DI1939"/>
      <c r="DJ1939"/>
      <c r="DK1939"/>
      <c r="DL1939"/>
      <c r="DM1939"/>
      <c r="DN1939"/>
      <c r="DO1939"/>
      <c r="DP1939"/>
      <c r="DQ1939"/>
      <c r="DR1939"/>
      <c r="DS1939"/>
      <c r="DT1939"/>
      <c r="DU1939"/>
      <c r="DV1939"/>
      <c r="DW1939"/>
      <c r="DX1939"/>
      <c r="DY1939"/>
      <c r="DZ1939"/>
      <c r="EA1939"/>
      <c r="EB1939"/>
      <c r="EC1939"/>
      <c r="ED1939"/>
      <c r="EE1939"/>
      <c r="EF1939"/>
      <c r="EG1939"/>
      <c r="EH1939"/>
      <c r="EI1939"/>
      <c r="EJ1939"/>
      <c r="EK1939"/>
      <c r="EL1939"/>
      <c r="EM1939"/>
      <c r="EN1939"/>
      <c r="EO1939"/>
      <c r="EP1939"/>
      <c r="EQ1939"/>
      <c r="ER1939"/>
      <c r="ES1939"/>
    </row>
    <row r="1940" spans="1:149">
      <c r="A1940"/>
      <c r="B1940"/>
      <c r="C1940"/>
      <c r="D1940"/>
      <c r="E1940"/>
      <c r="F1940"/>
      <c r="G1940"/>
      <c r="H1940"/>
      <c r="I1940"/>
      <c r="J1940"/>
      <c r="K1940"/>
      <c r="L1940"/>
      <c r="M1940"/>
      <c r="N1940"/>
      <c r="O1940"/>
      <c r="P1940"/>
      <c r="Q1940"/>
      <c r="R1940"/>
      <c r="S1940"/>
      <c r="T1940"/>
      <c r="U1940"/>
      <c r="V1940"/>
      <c r="W1940"/>
      <c r="X1940"/>
      <c r="Y1940"/>
      <c r="Z1940"/>
      <c r="AA1940"/>
      <c r="AB1940"/>
      <c r="AC1940"/>
      <c r="AD1940"/>
      <c r="AE1940"/>
      <c r="AF1940"/>
      <c r="AG1940"/>
      <c r="AH1940"/>
      <c r="AI1940"/>
      <c r="AJ1940"/>
      <c r="AK1940"/>
      <c r="AL1940"/>
      <c r="AM1940"/>
      <c r="AN1940"/>
      <c r="AO1940"/>
      <c r="AP1940"/>
      <c r="AQ1940"/>
      <c r="AR1940"/>
      <c r="AS1940"/>
      <c r="AT1940"/>
      <c r="AU1940"/>
      <c r="AV1940"/>
      <c r="AW1940"/>
      <c r="AX1940"/>
      <c r="AY1940"/>
      <c r="AZ1940"/>
      <c r="BA1940"/>
      <c r="BB1940"/>
      <c r="BC1940"/>
      <c r="BD1940"/>
      <c r="BE1940"/>
      <c r="BF1940"/>
      <c r="BG1940"/>
      <c r="BH1940"/>
      <c r="BI1940"/>
      <c r="BJ1940"/>
      <c r="BK1940"/>
      <c r="BL1940"/>
      <c r="BM1940"/>
      <c r="BN1940"/>
      <c r="BO1940"/>
      <c r="BP1940"/>
      <c r="BQ1940"/>
      <c r="BR1940"/>
      <c r="BS1940"/>
      <c r="BT1940"/>
      <c r="BU1940"/>
      <c r="BV1940"/>
      <c r="BW1940"/>
      <c r="BX1940"/>
      <c r="BY1940"/>
      <c r="BZ1940"/>
      <c r="CA1940"/>
      <c r="CB1940"/>
      <c r="CC1940"/>
      <c r="CD1940"/>
      <c r="CE1940"/>
      <c r="CF1940"/>
      <c r="CG1940"/>
      <c r="CH1940"/>
      <c r="CI1940"/>
      <c r="CJ1940"/>
      <c r="CK1940"/>
      <c r="CL1940"/>
      <c r="CM1940"/>
      <c r="CN1940"/>
      <c r="CO1940"/>
      <c r="CP1940"/>
      <c r="CQ1940"/>
      <c r="CR1940"/>
      <c r="CS1940"/>
      <c r="CT1940"/>
      <c r="CU1940"/>
      <c r="CV1940"/>
      <c r="CW1940"/>
      <c r="CX1940"/>
      <c r="CY1940"/>
      <c r="CZ1940"/>
      <c r="DA1940"/>
      <c r="DB1940"/>
      <c r="DC1940"/>
      <c r="DD1940"/>
      <c r="DE1940"/>
      <c r="DF1940"/>
      <c r="DG1940"/>
      <c r="DH1940"/>
      <c r="DI1940"/>
      <c r="DJ1940"/>
      <c r="DK1940"/>
      <c r="DL1940"/>
      <c r="DM1940"/>
      <c r="DN1940"/>
      <c r="DO1940"/>
      <c r="DP1940"/>
      <c r="DQ1940"/>
      <c r="DR1940"/>
      <c r="DS1940"/>
      <c r="DT1940"/>
      <c r="DU1940"/>
      <c r="DV1940"/>
      <c r="DW1940"/>
      <c r="DX1940"/>
      <c r="DY1940"/>
      <c r="DZ1940"/>
      <c r="EA1940"/>
      <c r="EB1940"/>
      <c r="EC1940"/>
      <c r="ED1940"/>
      <c r="EE1940"/>
      <c r="EF1940"/>
      <c r="EG1940"/>
      <c r="EH1940"/>
      <c r="EI1940"/>
      <c r="EJ1940"/>
      <c r="EK1940"/>
      <c r="EL1940"/>
      <c r="EM1940"/>
      <c r="EN1940"/>
      <c r="EO1940"/>
      <c r="EP1940"/>
      <c r="EQ1940"/>
      <c r="ER1940"/>
      <c r="ES1940"/>
    </row>
    <row r="1941" spans="1:149">
      <c r="A1941"/>
      <c r="B1941"/>
      <c r="C1941"/>
      <c r="D1941"/>
      <c r="E1941"/>
      <c r="F1941"/>
      <c r="G1941"/>
      <c r="H1941"/>
      <c r="I1941"/>
      <c r="J1941"/>
      <c r="K1941"/>
      <c r="L1941"/>
      <c r="M1941"/>
      <c r="N1941"/>
      <c r="O1941"/>
      <c r="P1941"/>
      <c r="Q1941"/>
      <c r="R1941"/>
      <c r="S1941"/>
      <c r="T1941"/>
      <c r="U1941"/>
      <c r="V1941"/>
      <c r="W1941"/>
      <c r="X1941"/>
      <c r="Y1941"/>
      <c r="Z1941"/>
      <c r="AA1941"/>
      <c r="AB1941"/>
      <c r="AC1941"/>
      <c r="AD1941"/>
      <c r="AE1941"/>
      <c r="AF1941"/>
      <c r="AG1941"/>
      <c r="AH1941"/>
      <c r="AI1941"/>
      <c r="AJ1941"/>
      <c r="AK1941"/>
      <c r="AL1941"/>
      <c r="AM1941"/>
      <c r="AN1941"/>
      <c r="AO1941"/>
      <c r="AP1941"/>
      <c r="AQ1941"/>
      <c r="AR1941"/>
      <c r="AS1941"/>
      <c r="AT1941"/>
      <c r="AU1941"/>
      <c r="AV1941"/>
      <c r="AW1941"/>
      <c r="AX1941"/>
      <c r="AY1941"/>
      <c r="AZ1941"/>
      <c r="BA1941"/>
      <c r="BB1941"/>
      <c r="BC1941"/>
      <c r="BD1941"/>
      <c r="BE1941"/>
      <c r="BF1941"/>
      <c r="BG1941"/>
      <c r="BH1941"/>
      <c r="BI1941"/>
      <c r="BJ1941"/>
      <c r="BK1941"/>
      <c r="BL1941"/>
      <c r="BM1941"/>
      <c r="BN1941"/>
      <c r="BO1941"/>
      <c r="BP1941"/>
      <c r="BQ1941"/>
      <c r="BR1941"/>
      <c r="BS1941"/>
      <c r="BT1941"/>
      <c r="BU1941"/>
      <c r="BV1941"/>
      <c r="BW1941"/>
      <c r="BX1941"/>
      <c r="BY1941"/>
      <c r="BZ1941"/>
      <c r="CA1941"/>
      <c r="CB1941"/>
      <c r="CC1941"/>
      <c r="CD1941"/>
      <c r="CE1941"/>
      <c r="CF1941"/>
      <c r="CG1941"/>
      <c r="CH1941"/>
      <c r="CI1941"/>
      <c r="CJ1941"/>
      <c r="CK1941"/>
      <c r="CL1941"/>
      <c r="CM1941"/>
      <c r="CN1941"/>
      <c r="CO1941"/>
      <c r="CP1941"/>
      <c r="CQ1941"/>
      <c r="CR1941"/>
      <c r="CS1941"/>
      <c r="CT1941"/>
      <c r="CU1941"/>
      <c r="CV1941"/>
      <c r="CW1941"/>
      <c r="CX1941"/>
      <c r="CY1941"/>
      <c r="CZ1941"/>
      <c r="DA1941"/>
      <c r="DB1941"/>
      <c r="DC1941"/>
      <c r="DD1941"/>
      <c r="DE1941"/>
      <c r="DF1941"/>
      <c r="DG1941"/>
      <c r="DH1941"/>
      <c r="DI1941"/>
      <c r="DJ1941"/>
      <c r="DK1941"/>
      <c r="DL1941"/>
      <c r="DM1941"/>
      <c r="DN1941"/>
      <c r="DO1941"/>
      <c r="DP1941"/>
      <c r="DQ1941"/>
      <c r="DR1941"/>
      <c r="DS1941"/>
      <c r="DT1941"/>
      <c r="DU1941"/>
      <c r="DV1941"/>
      <c r="DW1941"/>
      <c r="DX1941"/>
      <c r="DY1941"/>
      <c r="DZ1941"/>
      <c r="EA1941"/>
      <c r="EB1941"/>
      <c r="EC1941"/>
      <c r="ED1941"/>
      <c r="EE1941"/>
      <c r="EF1941"/>
      <c r="EG1941"/>
      <c r="EH1941"/>
      <c r="EI1941"/>
      <c r="EJ1941"/>
      <c r="EK1941"/>
      <c r="EL1941"/>
      <c r="EM1941"/>
      <c r="EN1941"/>
      <c r="EO1941"/>
      <c r="EP1941"/>
      <c r="EQ1941"/>
      <c r="ER1941"/>
      <c r="ES1941"/>
    </row>
    <row r="1942" spans="1:149">
      <c r="A1942"/>
      <c r="B1942"/>
      <c r="C1942"/>
      <c r="D1942"/>
      <c r="E1942"/>
      <c r="F1942"/>
      <c r="G1942"/>
      <c r="H1942"/>
      <c r="I1942"/>
      <c r="J1942"/>
      <c r="K1942"/>
      <c r="L1942"/>
      <c r="M1942"/>
      <c r="N1942"/>
      <c r="O1942"/>
      <c r="P1942"/>
      <c r="Q1942"/>
      <c r="R1942"/>
      <c r="S1942"/>
      <c r="T1942"/>
      <c r="U1942"/>
      <c r="V1942"/>
      <c r="W1942"/>
      <c r="X1942"/>
      <c r="Y1942"/>
      <c r="Z1942"/>
      <c r="AA1942"/>
      <c r="AB1942"/>
      <c r="AC1942"/>
      <c r="AD1942"/>
      <c r="AE1942"/>
      <c r="AF1942"/>
      <c r="AG1942"/>
      <c r="AH1942"/>
      <c r="AI1942"/>
      <c r="AJ1942"/>
      <c r="AK1942"/>
      <c r="AL1942"/>
      <c r="AM1942"/>
      <c r="AN1942"/>
      <c r="AO1942"/>
      <c r="AP1942"/>
      <c r="AQ1942"/>
      <c r="AR1942"/>
      <c r="AS1942"/>
      <c r="AT1942"/>
      <c r="AU1942"/>
      <c r="AV1942"/>
      <c r="AW1942"/>
      <c r="AX1942"/>
      <c r="AY1942"/>
      <c r="AZ1942"/>
      <c r="BA1942"/>
      <c r="BB1942"/>
      <c r="BC1942"/>
      <c r="BD1942"/>
      <c r="BE1942"/>
      <c r="BF1942"/>
      <c r="BG1942"/>
      <c r="BH1942"/>
      <c r="BI1942"/>
      <c r="BJ1942"/>
      <c r="BK1942"/>
      <c r="BL1942"/>
      <c r="BM1942"/>
      <c r="BN1942"/>
      <c r="BO1942"/>
      <c r="BP1942"/>
      <c r="BQ1942"/>
      <c r="BR1942"/>
      <c r="BS1942"/>
      <c r="BT1942"/>
      <c r="BU1942"/>
      <c r="BV1942"/>
      <c r="BW1942"/>
      <c r="BX1942"/>
      <c r="BY1942"/>
      <c r="BZ1942"/>
      <c r="CA1942"/>
      <c r="CB1942"/>
      <c r="CC1942"/>
      <c r="CD1942"/>
      <c r="CE1942"/>
      <c r="CF1942"/>
      <c r="CG1942"/>
      <c r="CH1942"/>
      <c r="CI1942"/>
      <c r="CJ1942"/>
      <c r="CK1942"/>
      <c r="CL1942"/>
      <c r="CM1942"/>
      <c r="CN1942"/>
      <c r="CO1942"/>
      <c r="CP1942"/>
      <c r="CQ1942"/>
      <c r="CR1942"/>
      <c r="CS1942"/>
      <c r="CT1942"/>
      <c r="CU1942"/>
      <c r="CV1942"/>
      <c r="CW1942"/>
      <c r="CX1942"/>
      <c r="CY1942"/>
      <c r="CZ1942"/>
      <c r="DA1942"/>
      <c r="DB1942"/>
      <c r="DC1942"/>
      <c r="DD1942"/>
      <c r="DE1942"/>
      <c r="DF1942"/>
      <c r="DG1942"/>
      <c r="DH1942"/>
      <c r="DI1942"/>
      <c r="DJ1942"/>
      <c r="DK1942"/>
      <c r="DL1942"/>
      <c r="DM1942"/>
      <c r="DN1942"/>
      <c r="DO1942"/>
      <c r="DP1942"/>
      <c r="DQ1942"/>
      <c r="DR1942"/>
      <c r="DS1942"/>
      <c r="DT1942"/>
      <c r="DU1942"/>
      <c r="DV1942"/>
      <c r="DW1942"/>
      <c r="DX1942"/>
      <c r="DY1942"/>
      <c r="DZ1942"/>
      <c r="EA1942"/>
      <c r="EB1942"/>
      <c r="EC1942"/>
      <c r="ED1942"/>
      <c r="EE1942"/>
      <c r="EF1942"/>
      <c r="EG1942"/>
      <c r="EH1942"/>
      <c r="EI1942"/>
      <c r="EJ1942"/>
      <c r="EK1942"/>
      <c r="EL1942"/>
      <c r="EM1942"/>
      <c r="EN1942"/>
      <c r="EO1942"/>
      <c r="EP1942"/>
      <c r="EQ1942"/>
      <c r="ER1942"/>
      <c r="ES1942"/>
    </row>
    <row r="1943" spans="1:149">
      <c r="A1943"/>
      <c r="B1943"/>
      <c r="C1943"/>
      <c r="D1943"/>
      <c r="E1943"/>
      <c r="F1943"/>
      <c r="G1943"/>
      <c r="H1943"/>
      <c r="I1943"/>
      <c r="J1943"/>
      <c r="K1943"/>
      <c r="L1943"/>
      <c r="M1943"/>
      <c r="N1943"/>
      <c r="O1943"/>
      <c r="P1943"/>
      <c r="Q1943"/>
      <c r="R1943"/>
      <c r="S1943"/>
      <c r="T1943"/>
      <c r="U1943"/>
      <c r="V1943"/>
      <c r="W1943"/>
      <c r="X1943"/>
      <c r="Y1943"/>
      <c r="Z1943"/>
      <c r="AA1943"/>
      <c r="AB1943"/>
      <c r="AC1943"/>
      <c r="AD1943"/>
      <c r="AE1943"/>
      <c r="AF1943"/>
      <c r="AG1943"/>
      <c r="AH1943"/>
      <c r="AI1943"/>
      <c r="AJ1943"/>
      <c r="AK1943"/>
      <c r="AL1943"/>
      <c r="AM1943"/>
      <c r="AN1943"/>
      <c r="AO1943"/>
      <c r="AP1943"/>
      <c r="AQ1943"/>
      <c r="AR1943"/>
      <c r="AS1943"/>
      <c r="AT1943"/>
      <c r="AU1943"/>
      <c r="AV1943"/>
      <c r="AW1943"/>
      <c r="AX1943"/>
      <c r="AY1943"/>
      <c r="AZ1943"/>
      <c r="BA1943"/>
      <c r="BB1943"/>
      <c r="BC1943"/>
      <c r="BD1943"/>
      <c r="BE1943"/>
      <c r="BF1943"/>
      <c r="BG1943"/>
      <c r="BH1943"/>
      <c r="BI1943"/>
      <c r="BJ1943"/>
      <c r="BK1943"/>
      <c r="BL1943"/>
      <c r="BM1943"/>
      <c r="BN1943"/>
      <c r="BO1943"/>
      <c r="BP1943"/>
      <c r="BQ1943"/>
      <c r="BR1943"/>
      <c r="BS1943"/>
      <c r="BT1943"/>
      <c r="BU1943"/>
      <c r="BV1943"/>
      <c r="BW1943"/>
      <c r="BX1943"/>
      <c r="BY1943"/>
      <c r="BZ1943"/>
      <c r="CA1943"/>
      <c r="CB1943"/>
      <c r="CC1943"/>
      <c r="CD1943"/>
      <c r="CE1943"/>
      <c r="CF1943"/>
      <c r="CG1943"/>
      <c r="CH1943"/>
      <c r="CI1943"/>
      <c r="CJ1943"/>
      <c r="CK1943"/>
      <c r="CL1943"/>
      <c r="CM1943"/>
      <c r="CN1943"/>
      <c r="CO1943"/>
      <c r="CP1943"/>
      <c r="CQ1943"/>
      <c r="CR1943"/>
      <c r="CS1943"/>
      <c r="CT1943"/>
      <c r="CU1943"/>
      <c r="CV1943"/>
      <c r="CW1943"/>
      <c r="CX1943"/>
      <c r="CY1943"/>
      <c r="CZ1943"/>
      <c r="DA1943"/>
      <c r="DB1943"/>
      <c r="DC1943"/>
      <c r="DD1943"/>
      <c r="DE1943"/>
      <c r="DF1943"/>
      <c r="DG1943"/>
      <c r="DH1943"/>
      <c r="DI1943"/>
      <c r="DJ1943"/>
      <c r="DK1943"/>
      <c r="DL1943"/>
      <c r="DM1943"/>
      <c r="DN1943"/>
      <c r="DO1943"/>
      <c r="DP1943"/>
      <c r="DQ1943"/>
      <c r="DR1943"/>
      <c r="DS1943"/>
      <c r="DT1943"/>
      <c r="DU1943"/>
      <c r="DV1943"/>
      <c r="DW1943"/>
      <c r="DX1943"/>
      <c r="DY1943"/>
      <c r="DZ1943"/>
      <c r="EA1943"/>
      <c r="EB1943"/>
      <c r="EC1943"/>
      <c r="ED1943"/>
      <c r="EE1943"/>
      <c r="EF1943"/>
      <c r="EG1943"/>
      <c r="EH1943"/>
      <c r="EI1943"/>
      <c r="EJ1943"/>
      <c r="EK1943"/>
      <c r="EL1943"/>
      <c r="EM1943"/>
      <c r="EN1943"/>
      <c r="EO1943"/>
      <c r="EP1943"/>
      <c r="EQ1943"/>
      <c r="ER1943"/>
      <c r="ES1943"/>
    </row>
    <row r="1944" spans="1:149">
      <c r="A1944"/>
      <c r="B1944"/>
      <c r="C1944"/>
      <c r="D1944"/>
      <c r="E1944"/>
      <c r="F1944"/>
      <c r="G1944"/>
      <c r="H1944"/>
      <c r="I1944"/>
      <c r="J1944"/>
      <c r="K1944"/>
      <c r="L1944"/>
      <c r="M1944"/>
      <c r="N1944"/>
      <c r="O1944"/>
      <c r="P1944"/>
      <c r="Q1944"/>
      <c r="R1944"/>
      <c r="S1944"/>
      <c r="T1944"/>
      <c r="U1944"/>
      <c r="V1944"/>
      <c r="W1944"/>
      <c r="X1944"/>
      <c r="Y1944"/>
      <c r="Z1944"/>
      <c r="AA1944"/>
      <c r="AB1944"/>
      <c r="AC1944"/>
      <c r="AD1944"/>
      <c r="AE1944"/>
      <c r="AF1944"/>
      <c r="AG1944"/>
      <c r="AH1944"/>
      <c r="AI1944"/>
      <c r="AJ1944"/>
      <c r="AK1944"/>
      <c r="AL1944"/>
      <c r="AM1944"/>
      <c r="AN1944"/>
      <c r="AO1944"/>
      <c r="AP1944"/>
      <c r="AQ1944"/>
      <c r="AR1944"/>
      <c r="AS1944"/>
      <c r="AT1944"/>
      <c r="AU1944"/>
      <c r="AV1944"/>
      <c r="AW1944"/>
      <c r="AX1944"/>
      <c r="AY1944"/>
      <c r="AZ1944"/>
      <c r="BA1944"/>
      <c r="BB1944"/>
      <c r="BC1944"/>
      <c r="BD1944"/>
      <c r="BE1944"/>
      <c r="BF1944"/>
      <c r="BG1944"/>
      <c r="BH1944"/>
      <c r="BI1944"/>
      <c r="BJ1944"/>
      <c r="BK1944"/>
      <c r="BL1944"/>
      <c r="BM1944"/>
      <c r="BN1944"/>
      <c r="BO1944"/>
      <c r="BP1944"/>
      <c r="BQ1944"/>
      <c r="BR1944"/>
      <c r="BS1944"/>
      <c r="BT1944"/>
      <c r="BU1944"/>
      <c r="BV1944"/>
      <c r="BW1944"/>
      <c r="BX1944"/>
      <c r="BY1944"/>
      <c r="BZ1944"/>
      <c r="CA1944"/>
      <c r="CB1944"/>
      <c r="CC1944"/>
      <c r="CD1944"/>
      <c r="CE1944"/>
      <c r="CF1944"/>
      <c r="CG1944"/>
      <c r="CH1944"/>
      <c r="CI1944"/>
      <c r="CJ1944"/>
      <c r="CK1944"/>
      <c r="CL1944"/>
      <c r="CM1944"/>
      <c r="CN1944"/>
      <c r="CO1944"/>
      <c r="CP1944"/>
      <c r="CQ1944"/>
      <c r="CR1944"/>
      <c r="CS1944"/>
      <c r="CT1944"/>
      <c r="CU1944"/>
      <c r="CV1944"/>
      <c r="CW1944"/>
      <c r="CX1944"/>
      <c r="CY1944"/>
      <c r="CZ1944"/>
      <c r="DA1944"/>
      <c r="DB1944"/>
      <c r="DC1944"/>
      <c r="DD1944"/>
      <c r="DE1944"/>
      <c r="DF1944"/>
      <c r="DG1944"/>
      <c r="DH1944"/>
      <c r="DI1944"/>
      <c r="DJ1944"/>
      <c r="DK1944"/>
      <c r="DL1944"/>
      <c r="DM1944"/>
      <c r="DN1944"/>
      <c r="DO1944"/>
      <c r="DP1944"/>
      <c r="DQ1944"/>
      <c r="DR1944"/>
      <c r="DS1944"/>
      <c r="DT1944"/>
      <c r="DU1944"/>
      <c r="DV1944"/>
      <c r="DW1944"/>
      <c r="DX1944"/>
      <c r="DY1944"/>
      <c r="DZ1944"/>
      <c r="EA1944"/>
      <c r="EB1944"/>
      <c r="EC1944"/>
      <c r="ED1944"/>
      <c r="EE1944"/>
      <c r="EF1944"/>
      <c r="EG1944"/>
      <c r="EH1944"/>
      <c r="EI1944"/>
      <c r="EJ1944"/>
      <c r="EK1944"/>
      <c r="EL1944"/>
      <c r="EM1944"/>
      <c r="EN1944"/>
      <c r="EO1944"/>
      <c r="EP1944"/>
      <c r="EQ1944"/>
      <c r="ER1944"/>
      <c r="ES1944"/>
    </row>
    <row r="1945" spans="1:149">
      <c r="A1945"/>
      <c r="B1945"/>
      <c r="C1945"/>
      <c r="D1945"/>
      <c r="E1945"/>
      <c r="F1945"/>
      <c r="G1945"/>
      <c r="H1945"/>
      <c r="I1945"/>
      <c r="J1945"/>
      <c r="K1945"/>
      <c r="L1945"/>
      <c r="M1945"/>
      <c r="N1945"/>
      <c r="O1945"/>
      <c r="P1945"/>
      <c r="Q1945"/>
      <c r="R1945"/>
      <c r="S1945"/>
      <c r="T1945"/>
      <c r="U1945"/>
      <c r="V1945"/>
      <c r="W1945"/>
      <c r="X1945"/>
      <c r="Y1945"/>
      <c r="Z1945"/>
      <c r="AA1945"/>
      <c r="AB1945"/>
      <c r="AC1945"/>
      <c r="AD1945"/>
      <c r="AE1945"/>
      <c r="AF1945"/>
      <c r="AG1945"/>
      <c r="AH1945"/>
      <c r="AI1945"/>
      <c r="AJ1945"/>
      <c r="AK1945"/>
      <c r="AL1945"/>
      <c r="AM1945"/>
      <c r="AN1945"/>
      <c r="AO1945"/>
      <c r="AP1945"/>
      <c r="AQ1945"/>
      <c r="AR1945"/>
      <c r="AS1945"/>
      <c r="AT1945"/>
      <c r="AU1945"/>
      <c r="AV1945"/>
      <c r="AW1945"/>
      <c r="AX1945"/>
      <c r="AY1945"/>
      <c r="AZ1945"/>
      <c r="BA1945"/>
      <c r="BB1945"/>
      <c r="BC1945"/>
      <c r="BD1945"/>
      <c r="BE1945"/>
      <c r="BF1945"/>
      <c r="BG1945"/>
      <c r="BH1945"/>
      <c r="BI1945"/>
      <c r="BJ1945"/>
      <c r="BK1945"/>
      <c r="BL1945"/>
      <c r="BM1945"/>
      <c r="BN1945"/>
      <c r="BO1945"/>
      <c r="BP1945"/>
      <c r="BQ1945"/>
      <c r="BR1945"/>
      <c r="BS1945"/>
      <c r="BT1945"/>
      <c r="BU1945"/>
      <c r="BV1945"/>
      <c r="BW1945"/>
      <c r="BX1945"/>
      <c r="BY1945"/>
      <c r="BZ1945"/>
      <c r="CA1945"/>
      <c r="CB1945"/>
      <c r="CC1945"/>
      <c r="CD1945"/>
      <c r="CE1945"/>
      <c r="CF1945"/>
      <c r="CG1945"/>
      <c r="CH1945"/>
      <c r="CI1945"/>
      <c r="CJ1945"/>
      <c r="CK1945"/>
      <c r="CL1945"/>
      <c r="CM1945"/>
      <c r="CN1945"/>
      <c r="CO1945"/>
      <c r="CP1945"/>
      <c r="CQ1945"/>
      <c r="CR1945"/>
      <c r="CS1945"/>
      <c r="CT1945"/>
      <c r="CU1945"/>
      <c r="CV1945"/>
      <c r="CW1945"/>
      <c r="CX1945"/>
      <c r="CY1945"/>
      <c r="CZ1945"/>
      <c r="DA1945"/>
      <c r="DB1945"/>
      <c r="DC1945"/>
      <c r="DD1945"/>
      <c r="DE1945"/>
      <c r="DF1945"/>
      <c r="DG1945"/>
      <c r="DH1945"/>
      <c r="DI1945"/>
      <c r="DJ1945"/>
      <c r="DK1945"/>
      <c r="DL1945"/>
      <c r="DM1945"/>
      <c r="DN1945"/>
      <c r="DO1945"/>
      <c r="DP1945"/>
      <c r="DQ1945"/>
      <c r="DR1945"/>
      <c r="DS1945"/>
      <c r="DT1945"/>
      <c r="DU1945"/>
      <c r="DV1945"/>
      <c r="DW1945"/>
      <c r="DX1945"/>
      <c r="DY1945"/>
      <c r="DZ1945"/>
      <c r="EA1945"/>
      <c r="EB1945"/>
      <c r="EC1945"/>
      <c r="ED1945"/>
      <c r="EE1945"/>
      <c r="EF1945"/>
      <c r="EG1945"/>
      <c r="EH1945"/>
      <c r="EI1945"/>
      <c r="EJ1945"/>
      <c r="EK1945"/>
      <c r="EL1945"/>
      <c r="EM1945"/>
      <c r="EN1945"/>
      <c r="EO1945"/>
      <c r="EP1945"/>
      <c r="EQ1945"/>
      <c r="ER1945"/>
      <c r="ES1945"/>
    </row>
    <row r="1946" spans="1:149">
      <c r="A1946"/>
      <c r="B1946"/>
      <c r="C1946"/>
      <c r="D1946"/>
      <c r="E1946"/>
      <c r="F1946"/>
      <c r="G1946"/>
      <c r="H1946"/>
      <c r="I1946"/>
      <c r="J1946"/>
      <c r="K1946"/>
      <c r="L1946"/>
      <c r="M1946"/>
      <c r="N1946"/>
      <c r="O1946"/>
      <c r="P1946"/>
      <c r="Q1946"/>
      <c r="R1946"/>
      <c r="S1946"/>
      <c r="T1946"/>
      <c r="U1946"/>
      <c r="V1946"/>
      <c r="W1946"/>
      <c r="X1946"/>
      <c r="Y1946"/>
      <c r="Z1946"/>
      <c r="AA1946"/>
      <c r="AB1946"/>
      <c r="AC1946"/>
      <c r="AD1946"/>
      <c r="AE1946"/>
      <c r="AF1946"/>
      <c r="AG1946"/>
      <c r="AH1946"/>
      <c r="AI1946"/>
      <c r="AJ1946"/>
      <c r="AK1946"/>
      <c r="AL1946"/>
      <c r="AM1946"/>
      <c r="AN1946"/>
      <c r="AO1946"/>
      <c r="AP1946"/>
      <c r="AQ1946"/>
      <c r="AR1946"/>
      <c r="AS1946"/>
      <c r="AT1946"/>
      <c r="AU1946"/>
      <c r="AV1946"/>
      <c r="AW1946"/>
      <c r="AX1946"/>
      <c r="AY1946"/>
      <c r="AZ1946"/>
      <c r="BA1946"/>
      <c r="BB1946"/>
      <c r="BC1946"/>
      <c r="BD1946"/>
      <c r="BE1946"/>
      <c r="BF1946"/>
      <c r="BG1946"/>
      <c r="BH1946"/>
      <c r="BI1946"/>
      <c r="BJ1946"/>
      <c r="BK1946"/>
      <c r="BL1946"/>
      <c r="BM1946"/>
      <c r="BN1946"/>
      <c r="BO1946"/>
      <c r="BP1946"/>
      <c r="BQ1946"/>
      <c r="BR1946"/>
      <c r="BS1946"/>
      <c r="BT1946"/>
      <c r="BU1946"/>
      <c r="BV1946"/>
      <c r="BW1946"/>
      <c r="BX1946"/>
      <c r="BY1946"/>
      <c r="BZ1946"/>
      <c r="CA1946"/>
      <c r="CB1946"/>
      <c r="CC1946"/>
      <c r="CD1946"/>
      <c r="CE1946"/>
      <c r="CF1946"/>
      <c r="CG1946"/>
      <c r="CH1946"/>
      <c r="CI1946"/>
      <c r="CJ1946"/>
      <c r="CK1946"/>
      <c r="CL1946"/>
      <c r="CM1946"/>
      <c r="CN1946"/>
      <c r="CO1946"/>
      <c r="CP1946"/>
      <c r="CQ1946"/>
      <c r="CR1946"/>
      <c r="CS1946"/>
      <c r="CT1946"/>
      <c r="CU1946"/>
      <c r="CV1946"/>
      <c r="CW1946"/>
      <c r="CX1946"/>
      <c r="CY1946"/>
      <c r="CZ1946"/>
      <c r="DA1946"/>
      <c r="DB1946"/>
      <c r="DC1946"/>
      <c r="DD1946"/>
      <c r="DE1946"/>
      <c r="DF1946"/>
      <c r="DG1946"/>
      <c r="DH1946"/>
      <c r="DI1946"/>
      <c r="DJ1946"/>
      <c r="DK1946"/>
      <c r="DL1946"/>
      <c r="DM1946"/>
      <c r="DN1946"/>
      <c r="DO1946"/>
      <c r="DP1946"/>
      <c r="DQ1946"/>
      <c r="DR1946"/>
      <c r="DS1946"/>
      <c r="DT1946"/>
      <c r="DU1946"/>
      <c r="DV1946"/>
      <c r="DW1946"/>
      <c r="DX1946"/>
      <c r="DY1946"/>
      <c r="DZ1946"/>
      <c r="EA1946"/>
      <c r="EB1946"/>
      <c r="EC1946"/>
      <c r="ED1946"/>
      <c r="EE1946"/>
      <c r="EF1946"/>
      <c r="EG1946"/>
      <c r="EH1946"/>
      <c r="EI1946"/>
      <c r="EJ1946"/>
      <c r="EK1946"/>
      <c r="EL1946"/>
      <c r="EM1946"/>
      <c r="EN1946"/>
      <c r="EO1946"/>
      <c r="EP1946"/>
      <c r="EQ1946"/>
      <c r="ER1946"/>
      <c r="ES1946"/>
    </row>
    <row r="1947" spans="1:149">
      <c r="A1947"/>
      <c r="B1947"/>
      <c r="C1947"/>
      <c r="D1947"/>
      <c r="E1947"/>
      <c r="F1947"/>
      <c r="G1947"/>
      <c r="H1947"/>
      <c r="I1947"/>
      <c r="J1947"/>
      <c r="K1947"/>
      <c r="L1947"/>
      <c r="M1947"/>
      <c r="N1947"/>
      <c r="O1947"/>
      <c r="P1947"/>
      <c r="Q1947"/>
      <c r="R1947"/>
      <c r="S1947"/>
      <c r="T1947"/>
      <c r="U1947"/>
      <c r="V1947"/>
      <c r="W1947"/>
      <c r="X1947"/>
      <c r="Y1947"/>
      <c r="Z1947"/>
      <c r="AA1947"/>
      <c r="AB1947"/>
      <c r="AC1947"/>
      <c r="AD1947"/>
      <c r="AE1947"/>
      <c r="AF1947"/>
      <c r="AG1947"/>
      <c r="AH1947"/>
      <c r="AI1947"/>
      <c r="AJ1947"/>
      <c r="AK1947"/>
      <c r="AL1947"/>
      <c r="AM1947"/>
      <c r="AN1947"/>
      <c r="AO1947"/>
      <c r="AP1947"/>
      <c r="AQ1947"/>
      <c r="AR1947"/>
      <c r="AS1947"/>
      <c r="AT1947"/>
      <c r="AU1947"/>
      <c r="AV1947"/>
      <c r="AW1947"/>
      <c r="AX1947"/>
      <c r="AY1947"/>
      <c r="AZ1947"/>
      <c r="BA1947"/>
      <c r="BB1947"/>
      <c r="BC1947"/>
      <c r="BD1947"/>
      <c r="BE1947"/>
      <c r="BF1947"/>
      <c r="BG1947"/>
      <c r="BH1947"/>
      <c r="BI1947"/>
      <c r="BJ1947"/>
      <c r="BK1947"/>
      <c r="BL1947"/>
      <c r="BM1947"/>
      <c r="BN1947"/>
      <c r="BO1947"/>
      <c r="BP1947"/>
      <c r="BQ1947"/>
      <c r="BR1947"/>
      <c r="BS1947"/>
      <c r="BT1947"/>
      <c r="BU1947"/>
      <c r="BV1947"/>
      <c r="BW1947"/>
      <c r="BX1947"/>
      <c r="BY1947"/>
      <c r="BZ1947"/>
      <c r="CA1947"/>
      <c r="CB1947"/>
      <c r="CC1947"/>
      <c r="CD1947"/>
      <c r="CE1947"/>
      <c r="CF1947"/>
      <c r="CG1947"/>
      <c r="CH1947"/>
      <c r="CI1947"/>
      <c r="CJ1947"/>
      <c r="CK1947"/>
      <c r="CL1947"/>
      <c r="CM1947"/>
      <c r="CN1947"/>
      <c r="CO1947"/>
      <c r="CP1947"/>
      <c r="CQ1947"/>
      <c r="CR1947"/>
      <c r="CS1947"/>
      <c r="CT1947"/>
      <c r="CU1947"/>
      <c r="CV1947"/>
      <c r="CW1947"/>
      <c r="CX1947"/>
      <c r="CY1947"/>
      <c r="CZ1947"/>
      <c r="DA1947"/>
      <c r="DB1947"/>
      <c r="DC1947"/>
      <c r="DD1947"/>
      <c r="DE1947"/>
      <c r="DF1947"/>
      <c r="DG1947"/>
      <c r="DH1947"/>
      <c r="DI1947"/>
      <c r="DJ1947"/>
      <c r="DK1947"/>
      <c r="DL1947"/>
      <c r="DM1947"/>
      <c r="DN1947"/>
      <c r="DO1947"/>
      <c r="DP1947"/>
      <c r="DQ1947"/>
      <c r="DR1947"/>
      <c r="DS1947"/>
      <c r="DT1947"/>
      <c r="DU1947"/>
      <c r="DV1947"/>
      <c r="DW1947"/>
      <c r="DX1947"/>
      <c r="DY1947"/>
      <c r="DZ1947"/>
      <c r="EA1947"/>
      <c r="EB1947"/>
      <c r="EC1947"/>
      <c r="ED1947"/>
      <c r="EE1947"/>
      <c r="EF1947"/>
      <c r="EG1947"/>
      <c r="EH1947"/>
      <c r="EI1947"/>
      <c r="EJ1947"/>
      <c r="EK1947"/>
      <c r="EL1947"/>
      <c r="EM1947"/>
      <c r="EN1947"/>
      <c r="EO1947"/>
      <c r="EP1947"/>
      <c r="EQ1947"/>
      <c r="ER1947"/>
      <c r="ES1947"/>
    </row>
    <row r="1948" spans="1:149">
      <c r="A1948"/>
      <c r="B1948"/>
      <c r="C1948"/>
      <c r="D1948"/>
      <c r="E1948"/>
      <c r="F1948"/>
      <c r="G1948"/>
      <c r="H1948"/>
      <c r="I1948"/>
      <c r="J1948"/>
      <c r="K1948"/>
      <c r="L1948"/>
      <c r="M1948"/>
      <c r="N1948"/>
      <c r="O1948"/>
      <c r="P1948"/>
      <c r="Q1948"/>
      <c r="R1948"/>
      <c r="S1948"/>
      <c r="T1948"/>
      <c r="U1948"/>
      <c r="V1948"/>
      <c r="W1948"/>
      <c r="X1948"/>
      <c r="Y1948"/>
      <c r="Z1948"/>
      <c r="AA1948"/>
      <c r="AB1948"/>
      <c r="AC1948"/>
      <c r="AD1948"/>
      <c r="AE1948"/>
      <c r="AF1948"/>
      <c r="AG1948"/>
      <c r="AH1948"/>
      <c r="AI1948"/>
      <c r="AJ1948"/>
      <c r="AK1948"/>
      <c r="AL1948"/>
      <c r="AM1948"/>
      <c r="AN1948"/>
      <c r="AO1948"/>
      <c r="AP1948"/>
      <c r="AQ1948"/>
      <c r="AR1948"/>
      <c r="AS1948"/>
      <c r="AT1948"/>
      <c r="AU1948"/>
      <c r="AV1948"/>
      <c r="AW1948"/>
      <c r="AX1948"/>
      <c r="AY1948"/>
      <c r="AZ1948"/>
      <c r="BA1948"/>
      <c r="BB1948"/>
      <c r="BC1948"/>
      <c r="BD1948"/>
      <c r="BE1948"/>
      <c r="BF1948"/>
      <c r="BG1948"/>
      <c r="BH1948"/>
      <c r="BI1948"/>
      <c r="BJ1948"/>
      <c r="BK1948"/>
      <c r="BL1948"/>
      <c r="BM1948"/>
      <c r="BN1948"/>
      <c r="BO1948"/>
      <c r="BP1948"/>
      <c r="BQ1948"/>
      <c r="BR1948"/>
      <c r="BS1948"/>
      <c r="BT1948"/>
      <c r="BU1948"/>
      <c r="BV1948"/>
      <c r="BW1948"/>
      <c r="BX1948"/>
      <c r="BY1948"/>
      <c r="BZ1948"/>
      <c r="CA1948"/>
      <c r="CB1948"/>
      <c r="CC1948"/>
      <c r="CD1948"/>
      <c r="CE1948"/>
      <c r="CF1948"/>
      <c r="CG1948"/>
      <c r="CH1948"/>
      <c r="CI1948"/>
      <c r="CJ1948"/>
      <c r="CK1948"/>
      <c r="CL1948"/>
      <c r="CM1948"/>
      <c r="CN1948"/>
      <c r="CO1948"/>
      <c r="CP1948"/>
      <c r="CQ1948"/>
      <c r="CR1948"/>
      <c r="CS1948"/>
      <c r="CT1948"/>
      <c r="CU1948"/>
      <c r="CV1948"/>
      <c r="CW1948"/>
      <c r="CX1948"/>
      <c r="CY1948"/>
      <c r="CZ1948"/>
      <c r="DA1948"/>
      <c r="DB1948"/>
      <c r="DC1948"/>
      <c r="DD1948"/>
      <c r="DE1948"/>
      <c r="DF1948"/>
      <c r="DG1948"/>
      <c r="DH1948"/>
      <c r="DI1948"/>
      <c r="DJ1948"/>
      <c r="DK1948"/>
      <c r="DL1948"/>
      <c r="DM1948"/>
      <c r="DN1948"/>
      <c r="DO1948"/>
      <c r="DP1948"/>
      <c r="DQ1948"/>
      <c r="DR1948"/>
      <c r="DS1948"/>
      <c r="DT1948"/>
      <c r="DU1948"/>
      <c r="DV1948"/>
      <c r="DW1948"/>
      <c r="DX1948"/>
      <c r="DY1948"/>
      <c r="DZ1948"/>
      <c r="EA1948"/>
      <c r="EB1948"/>
      <c r="EC1948"/>
      <c r="ED1948"/>
      <c r="EE1948"/>
      <c r="EF1948"/>
      <c r="EG1948"/>
      <c r="EH1948"/>
      <c r="EI1948"/>
      <c r="EJ1948"/>
      <c r="EK1948"/>
      <c r="EL1948"/>
      <c r="EM1948"/>
      <c r="EN1948"/>
      <c r="EO1948"/>
      <c r="EP1948"/>
      <c r="EQ1948"/>
      <c r="ER1948"/>
      <c r="ES1948"/>
    </row>
    <row r="1949" spans="1:149">
      <c r="A1949"/>
      <c r="B1949"/>
      <c r="C1949"/>
      <c r="D1949"/>
      <c r="E1949"/>
      <c r="F1949"/>
      <c r="G1949"/>
      <c r="H1949"/>
      <c r="I1949"/>
      <c r="J1949"/>
      <c r="K1949"/>
      <c r="L1949"/>
      <c r="M1949"/>
      <c r="N1949"/>
      <c r="O1949"/>
      <c r="P1949"/>
      <c r="Q1949"/>
      <c r="R1949"/>
      <c r="S1949"/>
      <c r="T1949"/>
      <c r="U1949"/>
      <c r="V1949"/>
      <c r="W1949"/>
      <c r="X1949"/>
      <c r="Y1949"/>
      <c r="Z1949"/>
      <c r="AA1949"/>
      <c r="AB1949"/>
      <c r="AC1949"/>
      <c r="AD1949"/>
      <c r="AE1949"/>
      <c r="AF1949"/>
      <c r="AG1949"/>
      <c r="AH1949"/>
      <c r="AI1949"/>
      <c r="AJ1949"/>
      <c r="AK1949"/>
      <c r="AL1949"/>
      <c r="AM1949"/>
      <c r="AN1949"/>
      <c r="AO1949"/>
      <c r="AP1949"/>
      <c r="AQ1949"/>
      <c r="AR1949"/>
      <c r="AS1949"/>
      <c r="AT1949"/>
      <c r="AU1949"/>
      <c r="AV1949"/>
      <c r="AW1949"/>
      <c r="AX1949"/>
      <c r="AY1949"/>
      <c r="AZ1949"/>
      <c r="BA1949"/>
      <c r="BB1949"/>
      <c r="BC1949"/>
      <c r="BD1949"/>
      <c r="BE1949"/>
      <c r="BF1949"/>
      <c r="BG1949"/>
      <c r="BH1949"/>
      <c r="BI1949"/>
      <c r="BJ1949"/>
      <c r="BK1949"/>
      <c r="BL1949"/>
      <c r="BM1949"/>
      <c r="BN1949"/>
      <c r="BO1949"/>
      <c r="BP1949"/>
      <c r="BQ1949"/>
      <c r="BR1949"/>
      <c r="BS1949"/>
      <c r="BT1949"/>
      <c r="BU1949"/>
      <c r="BV1949"/>
      <c r="BW1949"/>
      <c r="BX1949"/>
      <c r="BY1949"/>
      <c r="BZ1949"/>
      <c r="CA1949"/>
      <c r="CB1949"/>
      <c r="CC1949"/>
      <c r="CD1949"/>
      <c r="CE1949"/>
      <c r="CF1949"/>
      <c r="CG1949"/>
      <c r="CH1949"/>
      <c r="CI1949"/>
      <c r="CJ1949"/>
      <c r="CK1949"/>
      <c r="CL1949"/>
      <c r="CM1949"/>
      <c r="CN1949"/>
      <c r="CO1949"/>
      <c r="CP1949"/>
      <c r="CQ1949"/>
      <c r="CR1949"/>
      <c r="CS1949"/>
      <c r="CT1949"/>
      <c r="CU1949"/>
      <c r="CV1949"/>
      <c r="CW1949"/>
      <c r="CX1949"/>
      <c r="CY1949"/>
      <c r="CZ1949"/>
      <c r="DA1949"/>
      <c r="DB1949"/>
      <c r="DC1949"/>
      <c r="DD1949"/>
      <c r="DE1949"/>
      <c r="DF1949"/>
      <c r="DG1949"/>
      <c r="DH1949"/>
      <c r="DI1949"/>
      <c r="DJ1949"/>
      <c r="DK1949"/>
      <c r="DL1949"/>
      <c r="DM1949"/>
      <c r="DN1949"/>
      <c r="DO1949"/>
      <c r="DP1949"/>
      <c r="DQ1949"/>
      <c r="DR1949"/>
      <c r="DS1949"/>
      <c r="DT1949"/>
      <c r="DU1949"/>
      <c r="DV1949"/>
      <c r="DW1949"/>
      <c r="DX1949"/>
      <c r="DY1949"/>
      <c r="DZ1949"/>
      <c r="EA1949"/>
      <c r="EB1949"/>
      <c r="EC1949"/>
      <c r="ED1949"/>
      <c r="EE1949"/>
      <c r="EF1949"/>
      <c r="EG1949"/>
      <c r="EH1949"/>
      <c r="EI1949"/>
      <c r="EJ1949"/>
      <c r="EK1949"/>
      <c r="EL1949"/>
      <c r="EM1949"/>
      <c r="EN1949"/>
      <c r="EO1949"/>
      <c r="EP1949"/>
      <c r="EQ1949"/>
      <c r="ER1949"/>
      <c r="ES1949"/>
    </row>
    <row r="1950" spans="1:149">
      <c r="A1950"/>
      <c r="B1950"/>
      <c r="C1950"/>
      <c r="D1950"/>
      <c r="E1950"/>
      <c r="F1950"/>
      <c r="G1950"/>
      <c r="H1950"/>
      <c r="I1950"/>
      <c r="J1950"/>
      <c r="K1950"/>
      <c r="L1950"/>
      <c r="M1950"/>
      <c r="N1950"/>
      <c r="O1950"/>
      <c r="P1950"/>
      <c r="Q1950"/>
      <c r="R1950"/>
      <c r="S1950"/>
      <c r="T1950"/>
      <c r="U1950"/>
      <c r="V1950"/>
      <c r="W1950"/>
      <c r="X1950"/>
      <c r="Y1950"/>
      <c r="Z1950"/>
      <c r="AA1950"/>
      <c r="AB1950"/>
      <c r="AC1950"/>
      <c r="AD1950"/>
      <c r="AE1950"/>
      <c r="AF1950"/>
      <c r="AG1950"/>
      <c r="AH1950"/>
      <c r="AI1950"/>
      <c r="AJ1950"/>
      <c r="AK1950"/>
      <c r="AL1950"/>
      <c r="AM1950"/>
      <c r="AN1950"/>
      <c r="AO1950"/>
      <c r="AP1950"/>
      <c r="AQ1950"/>
      <c r="AR1950"/>
      <c r="AS1950"/>
      <c r="AT1950"/>
      <c r="AU1950"/>
      <c r="AV1950"/>
      <c r="AW1950"/>
      <c r="AX1950"/>
      <c r="AY1950"/>
      <c r="AZ1950"/>
      <c r="BA1950"/>
      <c r="BB1950"/>
      <c r="BC1950"/>
      <c r="BD1950"/>
      <c r="BE1950"/>
      <c r="BF1950"/>
      <c r="BG1950"/>
      <c r="BH1950"/>
      <c r="BI1950"/>
      <c r="BJ1950"/>
      <c r="BK1950"/>
      <c r="BL1950"/>
      <c r="BM1950"/>
      <c r="BN1950"/>
      <c r="BO1950"/>
      <c r="BP1950"/>
      <c r="BQ1950"/>
      <c r="BR1950"/>
      <c r="BS1950"/>
      <c r="BT1950"/>
      <c r="BU1950"/>
      <c r="BV1950"/>
      <c r="BW1950"/>
      <c r="BX1950"/>
      <c r="BY1950"/>
      <c r="BZ1950"/>
      <c r="CA1950"/>
      <c r="CB1950"/>
      <c r="CC1950"/>
      <c r="CD1950"/>
      <c r="CE1950"/>
      <c r="CF1950"/>
      <c r="CG1950"/>
      <c r="CH1950"/>
      <c r="CI1950"/>
      <c r="CJ1950"/>
      <c r="CK1950"/>
      <c r="CL1950"/>
      <c r="CM1950"/>
      <c r="CN1950"/>
      <c r="CO1950"/>
      <c r="CP1950"/>
      <c r="CQ1950"/>
      <c r="CR1950"/>
      <c r="CS1950"/>
      <c r="CT1950"/>
      <c r="CU1950"/>
      <c r="CV1950"/>
      <c r="CW1950"/>
      <c r="CX1950"/>
      <c r="CY1950"/>
      <c r="CZ1950"/>
      <c r="DA1950"/>
      <c r="DB1950"/>
      <c r="DC1950"/>
      <c r="DD1950"/>
      <c r="DE1950"/>
      <c r="DF1950"/>
      <c r="DG1950"/>
      <c r="DH1950"/>
      <c r="DI1950"/>
      <c r="DJ1950"/>
      <c r="DK1950"/>
      <c r="DL1950"/>
      <c r="DM1950"/>
      <c r="DN1950"/>
      <c r="DO1950"/>
      <c r="DP1950"/>
      <c r="DQ1950"/>
      <c r="DR1950"/>
      <c r="DS1950"/>
      <c r="DT1950"/>
      <c r="DU1950"/>
      <c r="DV1950"/>
      <c r="DW1950"/>
      <c r="DX1950"/>
      <c r="DY1950"/>
      <c r="DZ1950"/>
      <c r="EA1950"/>
      <c r="EB1950"/>
      <c r="EC1950"/>
      <c r="ED1950"/>
      <c r="EE1950"/>
      <c r="EF1950"/>
      <c r="EG1950"/>
      <c r="EH1950"/>
      <c r="EI1950"/>
      <c r="EJ1950"/>
      <c r="EK1950"/>
      <c r="EL1950"/>
      <c r="EM1950"/>
      <c r="EN1950"/>
      <c r="EO1950"/>
      <c r="EP1950"/>
      <c r="EQ1950"/>
      <c r="ER1950"/>
      <c r="ES1950"/>
    </row>
    <row r="1951" spans="1:149">
      <c r="A1951"/>
      <c r="B1951"/>
      <c r="C1951"/>
      <c r="D1951"/>
      <c r="E1951"/>
      <c r="F1951"/>
      <c r="G1951"/>
      <c r="H1951"/>
      <c r="I1951"/>
      <c r="J1951"/>
      <c r="K1951"/>
      <c r="L1951"/>
      <c r="M1951"/>
      <c r="N1951"/>
      <c r="O1951"/>
      <c r="P1951"/>
      <c r="Q1951"/>
      <c r="R1951"/>
      <c r="S1951"/>
      <c r="T1951"/>
      <c r="U1951"/>
      <c r="V1951"/>
      <c r="W1951"/>
      <c r="X1951"/>
      <c r="Y1951"/>
      <c r="Z1951"/>
      <c r="AA1951"/>
      <c r="AB1951"/>
      <c r="AC1951"/>
      <c r="AD1951"/>
      <c r="AE1951"/>
      <c r="AF1951"/>
      <c r="AG1951"/>
      <c r="AH1951"/>
      <c r="AI1951"/>
      <c r="AJ1951"/>
      <c r="AK1951"/>
      <c r="AL1951"/>
      <c r="AM1951"/>
      <c r="AN1951"/>
      <c r="AO1951"/>
      <c r="AP1951"/>
      <c r="AQ1951"/>
      <c r="AR1951"/>
      <c r="AS1951"/>
      <c r="AT1951"/>
      <c r="AU1951"/>
      <c r="AV1951"/>
      <c r="AW1951"/>
      <c r="AX1951"/>
      <c r="AY1951"/>
      <c r="AZ1951"/>
      <c r="BA1951"/>
      <c r="BB1951"/>
      <c r="BC1951"/>
      <c r="BD1951"/>
      <c r="BE1951"/>
      <c r="BF1951"/>
      <c r="BG1951"/>
      <c r="BH1951"/>
      <c r="BI1951"/>
      <c r="BJ1951"/>
      <c r="BK1951"/>
      <c r="BL1951"/>
      <c r="BM1951"/>
      <c r="BN1951"/>
      <c r="BO1951"/>
      <c r="BP1951"/>
      <c r="BQ1951"/>
      <c r="BR1951"/>
      <c r="BS1951"/>
      <c r="BT1951"/>
      <c r="BU1951"/>
      <c r="BV1951"/>
      <c r="BW1951"/>
      <c r="BX1951"/>
      <c r="BY1951"/>
      <c r="BZ1951"/>
      <c r="CA1951"/>
      <c r="CB1951"/>
      <c r="CC1951"/>
      <c r="CD1951"/>
      <c r="CE1951"/>
      <c r="CF1951"/>
      <c r="CG1951"/>
      <c r="CH1951"/>
      <c r="CI1951"/>
      <c r="CJ1951"/>
      <c r="CK1951"/>
      <c r="CL1951"/>
      <c r="CM1951"/>
      <c r="CN1951"/>
      <c r="CO1951"/>
      <c r="CP1951"/>
      <c r="CQ1951"/>
      <c r="CR1951"/>
      <c r="CS1951"/>
      <c r="CT1951"/>
      <c r="CU1951"/>
      <c r="CV1951"/>
      <c r="CW1951"/>
      <c r="CX1951"/>
      <c r="CY1951"/>
      <c r="CZ1951"/>
      <c r="DA1951"/>
      <c r="DB1951"/>
      <c r="DC1951"/>
      <c r="DD1951"/>
      <c r="DE1951"/>
      <c r="DF1951"/>
      <c r="DG1951"/>
      <c r="DH1951"/>
      <c r="DI1951"/>
      <c r="DJ1951"/>
      <c r="DK1951"/>
      <c r="DL1951"/>
      <c r="DM1951"/>
      <c r="DN1951"/>
      <c r="DO1951"/>
      <c r="DP1951"/>
      <c r="DQ1951"/>
      <c r="DR1951"/>
      <c r="DS1951"/>
      <c r="DT1951"/>
      <c r="DU1951"/>
      <c r="DV1951"/>
      <c r="DW1951"/>
      <c r="DX1951"/>
      <c r="DY1951"/>
      <c r="DZ1951"/>
      <c r="EA1951"/>
      <c r="EB1951"/>
      <c r="EC1951"/>
      <c r="ED1951"/>
      <c r="EE1951"/>
      <c r="EF1951"/>
      <c r="EG1951"/>
      <c r="EH1951"/>
      <c r="EI1951"/>
      <c r="EJ1951"/>
      <c r="EK1951"/>
      <c r="EL1951"/>
      <c r="EM1951"/>
      <c r="EN1951"/>
      <c r="EO1951"/>
      <c r="EP1951"/>
      <c r="EQ1951"/>
      <c r="ER1951"/>
      <c r="ES1951"/>
    </row>
    <row r="1952" spans="1:149">
      <c r="A1952"/>
      <c r="B1952"/>
      <c r="C1952"/>
      <c r="D1952"/>
      <c r="E1952"/>
      <c r="F1952"/>
      <c r="G1952"/>
      <c r="H1952"/>
      <c r="I1952"/>
      <c r="J1952"/>
      <c r="K1952"/>
      <c r="L1952"/>
      <c r="M1952"/>
      <c r="N1952"/>
      <c r="O1952"/>
      <c r="P1952"/>
      <c r="Q1952"/>
      <c r="R1952"/>
      <c r="S1952"/>
      <c r="T1952"/>
      <c r="U1952"/>
      <c r="V1952"/>
      <c r="W1952"/>
      <c r="X1952"/>
      <c r="Y1952"/>
      <c r="Z1952"/>
      <c r="AA1952"/>
      <c r="AB1952"/>
      <c r="AC1952"/>
      <c r="AD1952"/>
      <c r="AE1952"/>
      <c r="AF1952"/>
      <c r="AG1952"/>
      <c r="AH1952"/>
      <c r="AI1952"/>
      <c r="AJ1952"/>
      <c r="AK1952"/>
      <c r="AL1952"/>
      <c r="AM1952"/>
      <c r="AN1952"/>
      <c r="AO1952"/>
      <c r="AP1952"/>
      <c r="AQ1952"/>
      <c r="AR1952"/>
      <c r="AS1952"/>
      <c r="AT1952"/>
      <c r="AU1952"/>
      <c r="AV1952"/>
      <c r="AW1952"/>
      <c r="AX1952"/>
      <c r="AY1952"/>
      <c r="AZ1952"/>
      <c r="BA1952"/>
      <c r="BB1952"/>
      <c r="BC1952"/>
      <c r="BD1952"/>
      <c r="BE1952"/>
      <c r="BF1952"/>
      <c r="BG1952"/>
      <c r="BH1952"/>
      <c r="BI1952"/>
      <c r="BJ1952"/>
      <c r="BK1952"/>
      <c r="BL1952"/>
      <c r="BM1952"/>
      <c r="BN1952"/>
      <c r="BO1952"/>
      <c r="BP1952"/>
      <c r="BQ1952"/>
      <c r="BR1952"/>
      <c r="BS1952"/>
      <c r="BT1952"/>
      <c r="BU1952"/>
      <c r="BV1952"/>
      <c r="BW1952"/>
      <c r="BX1952"/>
      <c r="BY1952"/>
      <c r="BZ1952"/>
      <c r="CA1952"/>
      <c r="CB1952"/>
      <c r="CC1952"/>
      <c r="CD1952"/>
      <c r="CE1952"/>
      <c r="CF1952"/>
      <c r="CG1952"/>
      <c r="CH1952"/>
      <c r="CI1952"/>
      <c r="CJ1952"/>
      <c r="CK1952"/>
      <c r="CL1952"/>
      <c r="CM1952"/>
      <c r="CN1952"/>
      <c r="CO1952"/>
      <c r="CP1952"/>
      <c r="CQ1952"/>
      <c r="CR1952"/>
      <c r="CS1952"/>
      <c r="CT1952"/>
      <c r="CU1952"/>
      <c r="CV1952"/>
      <c r="CW1952"/>
      <c r="CX1952"/>
      <c r="CY1952"/>
      <c r="CZ1952"/>
      <c r="DA1952"/>
      <c r="DB1952"/>
      <c r="DC1952"/>
      <c r="DD1952"/>
      <c r="DE1952"/>
      <c r="DF1952"/>
      <c r="DG1952"/>
      <c r="DH1952"/>
      <c r="DI1952"/>
      <c r="DJ1952"/>
      <c r="DK1952"/>
      <c r="DL1952"/>
      <c r="DM1952"/>
      <c r="DN1952"/>
      <c r="DO1952"/>
      <c r="DP1952"/>
      <c r="DQ1952"/>
      <c r="DR1952"/>
      <c r="DS1952"/>
      <c r="DT1952"/>
      <c r="DU1952"/>
      <c r="DV1952"/>
      <c r="DW1952"/>
      <c r="DX1952"/>
      <c r="DY1952"/>
      <c r="DZ1952"/>
      <c r="EA1952"/>
      <c r="EB1952"/>
      <c r="EC1952"/>
      <c r="ED1952"/>
      <c r="EE1952"/>
      <c r="EF1952"/>
      <c r="EG1952"/>
      <c r="EH1952"/>
      <c r="EI1952"/>
      <c r="EJ1952"/>
      <c r="EK1952"/>
      <c r="EL1952"/>
      <c r="EM1952"/>
      <c r="EN1952"/>
      <c r="EO1952"/>
      <c r="EP1952"/>
      <c r="EQ1952"/>
      <c r="ER1952"/>
      <c r="ES1952"/>
    </row>
    <row r="1953" spans="1:149">
      <c r="A1953"/>
      <c r="B1953"/>
      <c r="C1953"/>
      <c r="D1953"/>
      <c r="E1953"/>
      <c r="F1953"/>
      <c r="G1953"/>
      <c r="H1953"/>
      <c r="I1953"/>
      <c r="J1953"/>
      <c r="K1953"/>
      <c r="L1953"/>
      <c r="M1953"/>
      <c r="N1953"/>
      <c r="O1953"/>
      <c r="P1953"/>
      <c r="Q1953"/>
      <c r="R1953"/>
      <c r="S1953"/>
      <c r="T1953"/>
      <c r="U1953"/>
      <c r="V1953"/>
      <c r="W1953"/>
      <c r="X1953"/>
      <c r="Y1953"/>
      <c r="Z1953"/>
      <c r="AA1953"/>
      <c r="AB1953"/>
      <c r="AC1953"/>
      <c r="AD1953"/>
      <c r="AE1953"/>
      <c r="AF1953"/>
      <c r="AG1953"/>
      <c r="AH1953"/>
      <c r="AI1953"/>
      <c r="AJ1953"/>
      <c r="AK1953"/>
      <c r="AL1953"/>
      <c r="AM1953"/>
      <c r="AN1953"/>
      <c r="AO1953"/>
      <c r="AP1953"/>
      <c r="AQ1953"/>
      <c r="AR1953"/>
      <c r="AS1953"/>
      <c r="AT1953"/>
      <c r="AU1953"/>
      <c r="AV1953"/>
      <c r="AW1953"/>
      <c r="AX1953"/>
      <c r="AY1953"/>
      <c r="AZ1953"/>
      <c r="BA1953"/>
      <c r="BB1953"/>
      <c r="BC1953"/>
      <c r="BD1953"/>
      <c r="BE1953"/>
      <c r="BF1953"/>
      <c r="BG1953"/>
      <c r="BH1953"/>
      <c r="BI1953"/>
      <c r="BJ1953"/>
      <c r="BK1953"/>
      <c r="BL1953"/>
      <c r="BM1953"/>
      <c r="BN1953"/>
      <c r="BO1953"/>
      <c r="BP1953"/>
      <c r="BQ1953"/>
      <c r="BR1953"/>
      <c r="BS1953"/>
      <c r="BT1953"/>
      <c r="BU1953"/>
      <c r="BV1953"/>
      <c r="BW1953"/>
      <c r="BX1953"/>
      <c r="BY1953"/>
      <c r="BZ1953"/>
      <c r="CA1953"/>
      <c r="CB1953"/>
      <c r="CC1953"/>
      <c r="CD1953"/>
      <c r="CE1953"/>
      <c r="CF1953"/>
      <c r="CG1953"/>
      <c r="CH1953"/>
      <c r="CI1953"/>
      <c r="CJ1953"/>
      <c r="CK1953"/>
      <c r="CL1953"/>
      <c r="CM1953"/>
      <c r="CN1953"/>
      <c r="CO1953"/>
      <c r="CP1953"/>
      <c r="CQ1953"/>
      <c r="CR1953"/>
      <c r="CS1953"/>
      <c r="CT1953"/>
      <c r="CU1953"/>
      <c r="CV1953"/>
      <c r="CW1953"/>
      <c r="CX1953"/>
      <c r="CY1953"/>
      <c r="CZ1953"/>
      <c r="DA1953"/>
      <c r="DB1953"/>
      <c r="DC1953"/>
      <c r="DD1953"/>
      <c r="DE1953"/>
      <c r="DF1953"/>
      <c r="DG1953"/>
      <c r="DH1953"/>
      <c r="DI1953"/>
      <c r="DJ1953"/>
      <c r="DK1953"/>
      <c r="DL1953"/>
      <c r="DM1953"/>
      <c r="DN1953"/>
      <c r="DO1953"/>
      <c r="DP1953"/>
      <c r="DQ1953"/>
      <c r="DR1953"/>
      <c r="DS1953"/>
      <c r="DT1953"/>
      <c r="DU1953"/>
      <c r="DV1953"/>
      <c r="DW1953"/>
      <c r="DX1953"/>
      <c r="DY1953"/>
      <c r="DZ1953"/>
      <c r="EA1953"/>
      <c r="EB1953"/>
      <c r="EC1953"/>
      <c r="ED1953"/>
      <c r="EE1953"/>
      <c r="EF1953"/>
      <c r="EG1953"/>
      <c r="EH1953"/>
      <c r="EI1953"/>
      <c r="EJ1953"/>
      <c r="EK1953"/>
      <c r="EL1953"/>
      <c r="EM1953"/>
      <c r="EN1953"/>
      <c r="EO1953"/>
      <c r="EP1953"/>
      <c r="EQ1953"/>
      <c r="ER1953"/>
      <c r="ES1953"/>
    </row>
    <row r="1954" spans="1:149">
      <c r="A1954"/>
      <c r="B1954"/>
      <c r="C1954"/>
      <c r="D1954"/>
      <c r="E1954"/>
      <c r="F1954"/>
      <c r="G1954"/>
      <c r="H1954"/>
      <c r="I1954"/>
      <c r="J1954"/>
      <c r="K1954"/>
      <c r="L1954"/>
      <c r="M1954"/>
      <c r="N1954"/>
      <c r="O1954"/>
      <c r="P1954"/>
      <c r="Q1954"/>
      <c r="R1954"/>
      <c r="S1954"/>
      <c r="T1954"/>
      <c r="U1954"/>
      <c r="V1954"/>
      <c r="W1954"/>
      <c r="X1954"/>
      <c r="Y1954"/>
      <c r="Z1954"/>
      <c r="AA1954"/>
      <c r="AB1954"/>
      <c r="AC1954"/>
      <c r="AD1954"/>
      <c r="AE1954"/>
      <c r="AF1954"/>
      <c r="AG1954"/>
      <c r="AH1954"/>
      <c r="AI1954"/>
      <c r="AJ1954"/>
      <c r="AK1954"/>
      <c r="AL1954"/>
      <c r="AM1954"/>
      <c r="AN1954"/>
      <c r="AO1954"/>
      <c r="AP1954"/>
      <c r="AQ1954"/>
      <c r="AR1954"/>
      <c r="AS1954"/>
      <c r="AT1954"/>
      <c r="AU1954"/>
      <c r="AV1954"/>
      <c r="AW1954"/>
      <c r="AX1954"/>
      <c r="AY1954"/>
      <c r="AZ1954"/>
      <c r="BA1954"/>
      <c r="BB1954"/>
      <c r="BC1954"/>
      <c r="BD1954"/>
      <c r="BE1954"/>
      <c r="BF1954"/>
      <c r="BG1954"/>
      <c r="BH1954"/>
      <c r="BI1954"/>
      <c r="BJ1954"/>
      <c r="BK1954"/>
      <c r="BL1954"/>
      <c r="BM1954"/>
      <c r="BN1954"/>
      <c r="BO1954"/>
      <c r="BP1954"/>
      <c r="BQ1954"/>
      <c r="BR1954"/>
      <c r="BS1954"/>
      <c r="BT1954"/>
      <c r="BU1954"/>
      <c r="BV1954"/>
      <c r="BW1954"/>
      <c r="BX1954"/>
      <c r="BY1954"/>
      <c r="BZ1954"/>
      <c r="CA1954"/>
      <c r="CB1954"/>
      <c r="CC1954"/>
      <c r="CD1954"/>
      <c r="CE1954"/>
      <c r="CF1954"/>
      <c r="CG1954"/>
      <c r="CH1954"/>
      <c r="CI1954"/>
      <c r="CJ1954"/>
      <c r="CK1954"/>
      <c r="CL1954"/>
      <c r="CM1954"/>
      <c r="CN1954"/>
      <c r="CO1954"/>
      <c r="CP1954"/>
      <c r="CQ1954"/>
      <c r="CR1954"/>
      <c r="CS1954"/>
      <c r="CT1954"/>
      <c r="CU1954"/>
      <c r="CV1954"/>
      <c r="CW1954"/>
      <c r="CX1954"/>
      <c r="CY1954"/>
      <c r="CZ1954"/>
      <c r="DA1954"/>
      <c r="DB1954"/>
      <c r="DC1954"/>
      <c r="DD1954"/>
      <c r="DE1954"/>
      <c r="DF1954"/>
      <c r="DG1954"/>
      <c r="DH1954"/>
      <c r="DI1954"/>
      <c r="DJ1954"/>
      <c r="DK1954"/>
      <c r="DL1954"/>
      <c r="DM1954"/>
      <c r="DN1954"/>
      <c r="DO1954"/>
      <c r="DP1954"/>
      <c r="DQ1954"/>
      <c r="DR1954"/>
      <c r="DS1954"/>
      <c r="DT1954"/>
      <c r="DU1954"/>
      <c r="DV1954"/>
      <c r="DW1954"/>
      <c r="DX1954"/>
      <c r="DY1954"/>
      <c r="DZ1954"/>
      <c r="EA1954"/>
      <c r="EB1954"/>
      <c r="EC1954"/>
      <c r="ED1954"/>
      <c r="EE1954"/>
      <c r="EF1954"/>
      <c r="EG1954"/>
      <c r="EH1954"/>
      <c r="EI1954"/>
      <c r="EJ1954"/>
      <c r="EK1954"/>
      <c r="EL1954"/>
      <c r="EM1954"/>
      <c r="EN1954"/>
      <c r="EO1954"/>
      <c r="EP1954"/>
      <c r="EQ1954"/>
      <c r="ER1954"/>
      <c r="ES1954"/>
    </row>
    <row r="1955" spans="1:149">
      <c r="A1955"/>
      <c r="B1955"/>
      <c r="C1955"/>
      <c r="D1955"/>
      <c r="E1955"/>
      <c r="F1955"/>
      <c r="G1955"/>
      <c r="H1955"/>
      <c r="I1955"/>
      <c r="J1955"/>
      <c r="K1955"/>
      <c r="L1955"/>
      <c r="M1955"/>
      <c r="N1955"/>
      <c r="O1955"/>
      <c r="P1955"/>
      <c r="Q1955"/>
      <c r="R1955"/>
      <c r="S1955"/>
      <c r="T1955"/>
      <c r="U1955"/>
      <c r="V1955"/>
      <c r="W1955"/>
      <c r="X1955"/>
      <c r="Y1955"/>
      <c r="Z1955"/>
      <c r="AA1955"/>
      <c r="AB1955"/>
      <c r="AC1955"/>
      <c r="AD1955"/>
      <c r="AE1955"/>
      <c r="AF1955"/>
      <c r="AG1955"/>
      <c r="AH1955"/>
      <c r="AI1955"/>
      <c r="AJ1955"/>
      <c r="AK1955"/>
      <c r="AL1955"/>
      <c r="AM1955"/>
      <c r="AN1955"/>
      <c r="AO1955"/>
      <c r="AP1955"/>
      <c r="AQ1955"/>
      <c r="AR1955"/>
      <c r="AS1955"/>
      <c r="AT1955"/>
      <c r="AU1955"/>
      <c r="AV1955"/>
      <c r="AW1955"/>
      <c r="AX1955"/>
      <c r="AY1955"/>
      <c r="AZ1955"/>
      <c r="BA1955"/>
      <c r="BB1955"/>
      <c r="BC1955"/>
      <c r="BD1955"/>
      <c r="BE1955"/>
      <c r="BF1955"/>
      <c r="BG1955"/>
      <c r="BH1955"/>
      <c r="BI1955"/>
      <c r="BJ1955"/>
      <c r="BK1955"/>
      <c r="BL1955"/>
      <c r="BM1955"/>
      <c r="BN1955"/>
      <c r="BO1955"/>
      <c r="BP1955"/>
      <c r="BQ1955"/>
      <c r="BR1955"/>
      <c r="BS1955"/>
      <c r="BT1955"/>
      <c r="BU1955"/>
      <c r="BV1955"/>
      <c r="BW1955"/>
      <c r="BX1955"/>
      <c r="BY1955"/>
      <c r="BZ1955"/>
      <c r="CA1955"/>
      <c r="CB1955"/>
      <c r="CC1955"/>
      <c r="CD1955"/>
      <c r="CE1955"/>
      <c r="CF1955"/>
      <c r="CG1955"/>
      <c r="CH1955"/>
      <c r="CI1955"/>
      <c r="CJ1955"/>
      <c r="CK1955"/>
      <c r="CL1955"/>
      <c r="CM1955"/>
      <c r="CN1955"/>
      <c r="CO1955"/>
      <c r="CP1955"/>
      <c r="CQ1955"/>
      <c r="CR1955"/>
      <c r="CS1955"/>
      <c r="CT1955"/>
      <c r="CU1955"/>
      <c r="CV1955"/>
      <c r="CW1955"/>
      <c r="CX1955"/>
      <c r="CY1955"/>
      <c r="CZ1955"/>
      <c r="DA1955"/>
      <c r="DB1955"/>
      <c r="DC1955"/>
      <c r="DD1955"/>
      <c r="DE1955"/>
      <c r="DF1955"/>
      <c r="DG1955"/>
      <c r="DH1955"/>
      <c r="DI1955"/>
      <c r="DJ1955"/>
      <c r="DK1955"/>
      <c r="DL1955"/>
      <c r="DM1955"/>
      <c r="DN1955"/>
      <c r="DO1955"/>
      <c r="DP1955"/>
      <c r="DQ1955"/>
      <c r="DR1955"/>
      <c r="DS1955"/>
      <c r="DT1955"/>
      <c r="DU1955"/>
      <c r="DV1955"/>
      <c r="DW1955"/>
      <c r="DX1955"/>
      <c r="DY1955"/>
      <c r="DZ1955"/>
      <c r="EA1955"/>
      <c r="EB1955"/>
      <c r="EC1955"/>
      <c r="ED1955"/>
      <c r="EE1955"/>
      <c r="EF1955"/>
      <c r="EG1955"/>
      <c r="EH1955"/>
      <c r="EI1955"/>
      <c r="EJ1955"/>
      <c r="EK1955"/>
      <c r="EL1955"/>
      <c r="EM1955"/>
      <c r="EN1955"/>
      <c r="EO1955"/>
      <c r="EP1955"/>
      <c r="EQ1955"/>
      <c r="ER1955"/>
      <c r="ES1955"/>
    </row>
    <row r="1956" spans="1:149">
      <c r="A1956"/>
      <c r="B1956"/>
      <c r="C1956"/>
      <c r="D1956"/>
      <c r="E1956"/>
      <c r="F1956"/>
      <c r="G1956"/>
      <c r="H1956"/>
      <c r="I1956"/>
      <c r="J1956"/>
      <c r="K1956"/>
      <c r="L1956"/>
      <c r="M1956"/>
      <c r="N1956"/>
      <c r="O1956"/>
      <c r="P1956"/>
      <c r="Q1956"/>
      <c r="R1956"/>
      <c r="S1956"/>
      <c r="T1956"/>
      <c r="U1956"/>
      <c r="V1956"/>
      <c r="W1956"/>
      <c r="X1956"/>
      <c r="Y1956"/>
      <c r="Z1956"/>
      <c r="AA1956"/>
      <c r="AB1956"/>
      <c r="AC1956"/>
      <c r="AD1956"/>
      <c r="AE1956"/>
      <c r="AF1956"/>
      <c r="AG1956"/>
      <c r="AH1956"/>
      <c r="AI1956"/>
      <c r="AJ1956"/>
      <c r="AK1956"/>
      <c r="AL1956"/>
      <c r="AM1956"/>
      <c r="AN1956"/>
      <c r="AO1956"/>
      <c r="AP1956"/>
      <c r="AQ1956"/>
      <c r="AR1956"/>
      <c r="AS1956"/>
      <c r="AT1956"/>
      <c r="AU1956"/>
      <c r="AV1956"/>
      <c r="AW1956"/>
      <c r="AX1956"/>
      <c r="AY1956"/>
      <c r="AZ1956"/>
      <c r="BA1956"/>
      <c r="BB1956"/>
      <c r="BC1956"/>
      <c r="BD1956"/>
      <c r="BE1956"/>
      <c r="BF1956"/>
      <c r="BG1956"/>
      <c r="BH1956"/>
      <c r="BI1956"/>
      <c r="BJ1956"/>
      <c r="BK1956"/>
      <c r="BL1956"/>
      <c r="BM1956"/>
      <c r="BN1956"/>
      <c r="BO1956"/>
      <c r="BP1956"/>
      <c r="BQ1956"/>
      <c r="BR1956"/>
      <c r="BS1956"/>
      <c r="BT1956"/>
      <c r="BU1956"/>
      <c r="BV1956"/>
      <c r="BW1956"/>
      <c r="BX1956"/>
      <c r="BY1956"/>
      <c r="BZ1956"/>
      <c r="CA1956"/>
      <c r="CB1956"/>
      <c r="CC1956"/>
      <c r="CD1956"/>
      <c r="CE1956"/>
      <c r="CF1956"/>
      <c r="CG1956"/>
      <c r="CH1956"/>
      <c r="CI1956"/>
      <c r="CJ1956"/>
      <c r="CK1956"/>
      <c r="CL1956"/>
      <c r="CM1956"/>
      <c r="CN1956"/>
      <c r="CO1956"/>
      <c r="CP1956"/>
      <c r="CQ1956"/>
      <c r="CR1956"/>
      <c r="CS1956"/>
      <c r="CT1956"/>
      <c r="CU1956"/>
      <c r="CV1956"/>
      <c r="CW1956"/>
      <c r="CX1956"/>
      <c r="CY1956"/>
      <c r="CZ1956"/>
      <c r="DA1956"/>
      <c r="DB1956"/>
      <c r="DC1956"/>
      <c r="DD1956"/>
      <c r="DE1956"/>
      <c r="DF1956"/>
      <c r="DG1956"/>
      <c r="DH1956"/>
      <c r="DI1956"/>
      <c r="DJ1956"/>
      <c r="DK1956"/>
      <c r="DL1956"/>
      <c r="DM1956"/>
      <c r="DN1956"/>
      <c r="DO1956"/>
      <c r="DP1956"/>
      <c r="DQ1956"/>
      <c r="DR1956"/>
      <c r="DS1956"/>
      <c r="DT1956"/>
      <c r="DU1956"/>
      <c r="DV1956"/>
      <c r="DW1956"/>
      <c r="DX1956"/>
      <c r="DY1956"/>
      <c r="DZ1956"/>
      <c r="EA1956"/>
      <c r="EB1956"/>
      <c r="EC1956"/>
      <c r="ED1956"/>
      <c r="EE1956"/>
      <c r="EF1956"/>
      <c r="EG1956"/>
      <c r="EH1956"/>
      <c r="EI1956"/>
      <c r="EJ1956"/>
      <c r="EK1956"/>
      <c r="EL1956"/>
      <c r="EM1956"/>
      <c r="EN1956"/>
      <c r="EO1956"/>
      <c r="EP1956"/>
      <c r="EQ1956"/>
      <c r="ER1956"/>
      <c r="ES1956"/>
    </row>
    <row r="1957" spans="1:149">
      <c r="A1957"/>
      <c r="B1957"/>
      <c r="C1957"/>
      <c r="D1957"/>
      <c r="E1957"/>
      <c r="F1957"/>
      <c r="G1957"/>
      <c r="H1957"/>
      <c r="I1957"/>
      <c r="J1957"/>
      <c r="K1957"/>
      <c r="L1957"/>
      <c r="M1957"/>
      <c r="N1957"/>
      <c r="O1957"/>
      <c r="P1957"/>
      <c r="Q1957"/>
      <c r="R1957"/>
      <c r="S1957"/>
      <c r="T1957"/>
      <c r="U1957"/>
      <c r="V1957"/>
      <c r="W1957"/>
      <c r="X1957"/>
      <c r="Y1957"/>
      <c r="Z1957"/>
      <c r="AA1957"/>
      <c r="AB1957"/>
      <c r="AC1957"/>
      <c r="AD1957"/>
      <c r="AE1957"/>
      <c r="AF1957"/>
      <c r="AG1957"/>
      <c r="AH1957"/>
      <c r="AI1957"/>
      <c r="AJ1957"/>
      <c r="AK1957"/>
      <c r="AL1957"/>
      <c r="AM1957"/>
      <c r="AN1957"/>
      <c r="AO1957"/>
      <c r="AP1957"/>
      <c r="AQ1957"/>
      <c r="AR1957"/>
      <c r="AS1957"/>
      <c r="AT1957"/>
      <c r="AU1957"/>
      <c r="AV1957"/>
      <c r="AW1957"/>
      <c r="AX1957"/>
      <c r="AY1957"/>
      <c r="AZ1957"/>
      <c r="BA1957"/>
      <c r="BB1957"/>
      <c r="BC1957"/>
      <c r="BD1957"/>
      <c r="BE1957"/>
      <c r="BF1957"/>
      <c r="BG1957"/>
      <c r="BH1957"/>
      <c r="BI1957"/>
      <c r="BJ1957"/>
      <c r="BK1957"/>
      <c r="BL1957"/>
      <c r="BM1957"/>
      <c r="BN1957"/>
      <c r="BO1957"/>
      <c r="BP1957"/>
      <c r="BQ1957"/>
      <c r="BR1957"/>
      <c r="BS1957"/>
      <c r="BT1957"/>
      <c r="BU1957"/>
      <c r="BV1957"/>
      <c r="BW1957"/>
      <c r="BX1957"/>
      <c r="BY1957"/>
      <c r="BZ1957"/>
      <c r="CA1957"/>
      <c r="CB1957"/>
      <c r="CC1957"/>
      <c r="CD1957"/>
      <c r="CE1957"/>
      <c r="CF1957"/>
      <c r="CG1957"/>
      <c r="CH1957"/>
      <c r="CI1957"/>
      <c r="CJ1957"/>
      <c r="CK1957"/>
      <c r="CL1957"/>
      <c r="CM1957"/>
      <c r="CN1957"/>
      <c r="CO1957"/>
      <c r="CP1957"/>
      <c r="CQ1957"/>
      <c r="CR1957"/>
      <c r="CS1957"/>
      <c r="CT1957"/>
      <c r="CU1957"/>
      <c r="CV1957"/>
      <c r="CW1957"/>
      <c r="CX1957"/>
      <c r="CY1957"/>
      <c r="CZ1957"/>
      <c r="DA1957"/>
      <c r="DB1957"/>
      <c r="DC1957"/>
      <c r="DD1957"/>
      <c r="DE1957"/>
      <c r="DF1957"/>
      <c r="DG1957"/>
      <c r="DH1957"/>
      <c r="DI1957"/>
      <c r="DJ1957"/>
      <c r="DK1957"/>
      <c r="DL1957"/>
      <c r="DM1957"/>
      <c r="DN1957"/>
      <c r="DO1957"/>
      <c r="DP1957"/>
      <c r="DQ1957"/>
      <c r="DR1957"/>
      <c r="DS1957"/>
      <c r="DT1957"/>
      <c r="DU1957"/>
      <c r="DV1957"/>
      <c r="DW1957"/>
      <c r="DX1957"/>
      <c r="DY1957"/>
      <c r="DZ1957"/>
      <c r="EA1957"/>
      <c r="EB1957"/>
      <c r="EC1957"/>
      <c r="ED1957"/>
      <c r="EE1957"/>
      <c r="EF1957"/>
      <c r="EG1957"/>
      <c r="EH1957"/>
      <c r="EI1957"/>
      <c r="EJ1957"/>
      <c r="EK1957"/>
      <c r="EL1957"/>
      <c r="EM1957"/>
      <c r="EN1957"/>
      <c r="EO1957"/>
      <c r="EP1957"/>
      <c r="EQ1957"/>
      <c r="ER1957"/>
      <c r="ES1957"/>
    </row>
    <row r="1958" spans="1:149">
      <c r="A1958"/>
      <c r="B1958"/>
      <c r="C1958"/>
      <c r="D1958"/>
      <c r="E1958"/>
      <c r="F1958"/>
      <c r="G1958"/>
      <c r="H1958"/>
      <c r="I1958"/>
      <c r="J1958"/>
      <c r="K1958"/>
      <c r="L1958"/>
      <c r="M1958"/>
      <c r="N1958"/>
      <c r="O1958"/>
      <c r="P1958"/>
      <c r="Q1958"/>
      <c r="R1958"/>
      <c r="S1958"/>
      <c r="T1958"/>
      <c r="U1958"/>
      <c r="V1958"/>
      <c r="W1958"/>
      <c r="X1958"/>
      <c r="Y1958"/>
      <c r="Z1958"/>
      <c r="AA1958"/>
      <c r="AB1958"/>
      <c r="AC1958"/>
      <c r="AD1958"/>
      <c r="AE1958"/>
      <c r="AF1958"/>
      <c r="AG1958"/>
      <c r="AH1958"/>
      <c r="AI1958"/>
      <c r="AJ1958"/>
      <c r="AK1958"/>
      <c r="AL1958"/>
      <c r="AM1958"/>
      <c r="AN1958"/>
      <c r="AO1958"/>
      <c r="AP1958"/>
      <c r="AQ1958"/>
      <c r="AR1958"/>
      <c r="AS1958"/>
      <c r="AT1958"/>
      <c r="AU1958"/>
      <c r="AV1958"/>
      <c r="AW1958"/>
      <c r="AX1958"/>
      <c r="AY1958"/>
      <c r="AZ1958"/>
      <c r="BA1958"/>
      <c r="BB1958"/>
      <c r="BC1958"/>
      <c r="BD1958"/>
      <c r="BE1958"/>
      <c r="BF1958"/>
      <c r="BG1958"/>
      <c r="BH1958"/>
      <c r="BI1958"/>
      <c r="BJ1958"/>
      <c r="BK1958"/>
      <c r="BL1958"/>
      <c r="BM1958"/>
      <c r="BN1958"/>
      <c r="BO1958"/>
      <c r="BP1958"/>
      <c r="BQ1958"/>
      <c r="BR1958"/>
      <c r="BS1958"/>
      <c r="BT1958"/>
      <c r="BU1958"/>
      <c r="BV1958"/>
      <c r="BW1958"/>
      <c r="BX1958"/>
      <c r="BY1958"/>
      <c r="BZ1958"/>
      <c r="CA1958"/>
      <c r="CB1958"/>
      <c r="CC1958"/>
      <c r="CD1958"/>
      <c r="CE1958"/>
      <c r="CF1958"/>
      <c r="CG1958"/>
      <c r="CH1958"/>
      <c r="CI1958"/>
      <c r="CJ1958"/>
      <c r="CK1958"/>
      <c r="CL1958"/>
      <c r="CM1958"/>
      <c r="CN1958"/>
      <c r="CO1958"/>
      <c r="CP1958"/>
      <c r="CQ1958"/>
      <c r="CR1958"/>
      <c r="CS1958"/>
      <c r="CT1958"/>
      <c r="CU1958"/>
      <c r="CV1958"/>
      <c r="CW1958"/>
      <c r="CX1958"/>
      <c r="CY1958"/>
      <c r="CZ1958"/>
      <c r="DA1958"/>
      <c r="DB1958"/>
      <c r="DC1958"/>
      <c r="DD1958"/>
      <c r="DE1958"/>
      <c r="DF1958"/>
      <c r="DG1958"/>
      <c r="DH1958"/>
      <c r="DI1958"/>
      <c r="DJ1958"/>
      <c r="DK1958"/>
      <c r="DL1958"/>
      <c r="DM1958"/>
      <c r="DN1958"/>
      <c r="DO1958"/>
      <c r="DP1958"/>
      <c r="DQ1958"/>
      <c r="DR1958"/>
      <c r="DS1958"/>
      <c r="DT1958"/>
      <c r="DU1958"/>
      <c r="DV1958"/>
      <c r="DW1958"/>
      <c r="DX1958"/>
      <c r="DY1958"/>
      <c r="DZ1958"/>
      <c r="EA1958"/>
      <c r="EB1958"/>
      <c r="EC1958"/>
      <c r="ED1958"/>
      <c r="EE1958"/>
      <c r="EF1958"/>
      <c r="EG1958"/>
      <c r="EH1958"/>
      <c r="EI1958"/>
      <c r="EJ1958"/>
      <c r="EK1958"/>
      <c r="EL1958"/>
      <c r="EM1958"/>
      <c r="EN1958"/>
      <c r="EO1958"/>
      <c r="EP1958"/>
      <c r="EQ1958"/>
      <c r="ER1958"/>
      <c r="ES1958"/>
    </row>
    <row r="1959" spans="1:149">
      <c r="A1959"/>
      <c r="B1959"/>
      <c r="C1959"/>
      <c r="D1959"/>
      <c r="E1959"/>
      <c r="F1959"/>
      <c r="G1959"/>
      <c r="H1959"/>
      <c r="I1959"/>
      <c r="J1959"/>
      <c r="K1959"/>
      <c r="L1959"/>
      <c r="M1959"/>
      <c r="N1959"/>
      <c r="O1959"/>
      <c r="P1959"/>
      <c r="Q1959"/>
      <c r="R1959"/>
      <c r="S1959"/>
      <c r="T1959"/>
      <c r="U1959"/>
      <c r="V1959"/>
      <c r="W1959"/>
      <c r="X1959"/>
      <c r="Y1959"/>
      <c r="Z1959"/>
      <c r="AA1959"/>
      <c r="AB1959"/>
      <c r="AC1959"/>
      <c r="AD1959"/>
      <c r="AE1959"/>
      <c r="AF1959"/>
      <c r="AG1959"/>
      <c r="AH1959"/>
      <c r="AI1959"/>
      <c r="AJ1959"/>
      <c r="AK1959"/>
      <c r="AL1959"/>
      <c r="AM1959"/>
      <c r="AN1959"/>
      <c r="AO1959"/>
      <c r="AP1959"/>
      <c r="AQ1959"/>
      <c r="AR1959"/>
      <c r="AS1959"/>
      <c r="AT1959"/>
      <c r="AU1959"/>
      <c r="AV1959"/>
      <c r="AW1959"/>
      <c r="AX1959"/>
      <c r="AY1959"/>
      <c r="AZ1959"/>
      <c r="BA1959"/>
      <c r="BB1959"/>
      <c r="BC1959"/>
      <c r="BD1959"/>
      <c r="BE1959"/>
      <c r="BF1959"/>
      <c r="BG1959"/>
      <c r="BH1959"/>
      <c r="BI1959"/>
      <c r="BJ1959"/>
      <c r="BK1959"/>
      <c r="BL1959"/>
      <c r="BM1959"/>
      <c r="BN1959"/>
      <c r="BO1959"/>
      <c r="BP1959"/>
      <c r="BQ1959"/>
      <c r="BR1959"/>
      <c r="BS1959"/>
      <c r="BT1959"/>
      <c r="BU1959"/>
      <c r="BV1959"/>
      <c r="BW1959"/>
      <c r="BX1959"/>
      <c r="BY1959"/>
      <c r="BZ1959"/>
      <c r="CA1959"/>
      <c r="CB1959"/>
      <c r="CC1959"/>
      <c r="CD1959"/>
      <c r="CE1959"/>
      <c r="CF1959"/>
      <c r="CG1959"/>
      <c r="CH1959"/>
      <c r="CI1959"/>
      <c r="CJ1959"/>
      <c r="CK1959"/>
      <c r="CL1959"/>
      <c r="CM1959"/>
      <c r="CN1959"/>
      <c r="CO1959"/>
      <c r="CP1959"/>
      <c r="CQ1959"/>
      <c r="CR1959"/>
      <c r="CS1959"/>
      <c r="CT1959"/>
      <c r="CU1959"/>
      <c r="CV1959"/>
      <c r="CW1959"/>
      <c r="CX1959"/>
      <c r="CY1959"/>
      <c r="CZ1959"/>
      <c r="DA1959"/>
      <c r="DB1959"/>
      <c r="DC1959"/>
      <c r="DD1959"/>
      <c r="DE1959"/>
      <c r="DF1959"/>
      <c r="DG1959"/>
      <c r="DH1959"/>
      <c r="DI1959"/>
      <c r="DJ1959"/>
      <c r="DK1959"/>
      <c r="DL1959"/>
      <c r="DM1959"/>
      <c r="DN1959"/>
      <c r="DO1959"/>
      <c r="DP1959"/>
      <c r="DQ1959"/>
      <c r="DR1959"/>
      <c r="DS1959"/>
      <c r="DT1959"/>
      <c r="DU1959"/>
      <c r="DV1959"/>
      <c r="DW1959"/>
      <c r="DX1959"/>
      <c r="DY1959"/>
      <c r="DZ1959"/>
      <c r="EA1959"/>
      <c r="EB1959"/>
      <c r="EC1959"/>
      <c r="ED1959"/>
      <c r="EE1959"/>
      <c r="EF1959"/>
      <c r="EG1959"/>
      <c r="EH1959"/>
      <c r="EI1959"/>
      <c r="EJ1959"/>
      <c r="EK1959"/>
      <c r="EL1959"/>
      <c r="EM1959"/>
      <c r="EN1959"/>
      <c r="EO1959"/>
      <c r="EP1959"/>
      <c r="EQ1959"/>
      <c r="ER1959"/>
      <c r="ES1959"/>
    </row>
    <row r="1960" spans="1:149">
      <c r="A1960"/>
      <c r="B1960"/>
      <c r="C1960"/>
      <c r="D1960"/>
      <c r="E1960"/>
      <c r="F1960"/>
      <c r="G1960"/>
      <c r="H1960"/>
      <c r="I1960"/>
      <c r="J1960"/>
      <c r="K1960"/>
      <c r="L1960"/>
      <c r="M1960"/>
      <c r="N1960"/>
      <c r="O1960"/>
      <c r="P1960"/>
      <c r="Q1960"/>
      <c r="R1960"/>
      <c r="S1960"/>
      <c r="T1960"/>
      <c r="U1960"/>
      <c r="V1960"/>
      <c r="W1960"/>
      <c r="X1960"/>
      <c r="Y1960"/>
      <c r="Z1960"/>
      <c r="AA1960"/>
      <c r="AB1960"/>
      <c r="AC1960"/>
      <c r="AD1960"/>
      <c r="AE1960"/>
      <c r="AF1960"/>
      <c r="AG1960"/>
      <c r="AH1960"/>
      <c r="AI1960"/>
      <c r="AJ1960"/>
      <c r="AK1960"/>
      <c r="AL1960"/>
      <c r="AM1960"/>
      <c r="AN1960"/>
      <c r="AO1960"/>
      <c r="AP1960"/>
      <c r="AQ1960"/>
      <c r="AR1960"/>
      <c r="AS1960"/>
      <c r="AT1960"/>
      <c r="AU1960"/>
      <c r="AV1960"/>
      <c r="AW1960"/>
      <c r="AX1960"/>
      <c r="AY1960"/>
      <c r="AZ1960"/>
      <c r="BA1960"/>
      <c r="BB1960"/>
      <c r="BC1960"/>
      <c r="BD1960"/>
      <c r="BE1960"/>
      <c r="BF1960"/>
      <c r="BG1960"/>
      <c r="BH1960"/>
      <c r="BI1960"/>
      <c r="BJ1960"/>
      <c r="BK1960"/>
      <c r="BL1960"/>
      <c r="BM1960"/>
      <c r="BN1960"/>
      <c r="BO1960"/>
      <c r="BP1960"/>
      <c r="BQ1960"/>
      <c r="BR1960"/>
      <c r="BS1960"/>
      <c r="BT1960"/>
      <c r="BU1960"/>
      <c r="BV1960"/>
      <c r="BW1960"/>
      <c r="BX1960"/>
      <c r="BY1960"/>
      <c r="BZ1960"/>
      <c r="CA1960"/>
      <c r="CB1960"/>
      <c r="CC1960"/>
      <c r="CD1960"/>
      <c r="CE1960"/>
      <c r="CF1960"/>
      <c r="CG1960"/>
      <c r="CH1960"/>
      <c r="CI1960"/>
      <c r="CJ1960"/>
      <c r="CK1960"/>
      <c r="CL1960"/>
      <c r="CM1960"/>
      <c r="CN1960"/>
      <c r="CO1960"/>
      <c r="CP1960"/>
      <c r="CQ1960"/>
      <c r="CR1960"/>
      <c r="CS1960"/>
      <c r="CT1960"/>
      <c r="CU1960"/>
      <c r="CV1960"/>
      <c r="CW1960"/>
      <c r="CX1960"/>
      <c r="CY1960"/>
      <c r="CZ1960"/>
      <c r="DA1960"/>
      <c r="DB1960"/>
      <c r="DC1960"/>
      <c r="DD1960"/>
      <c r="DE1960"/>
      <c r="DF1960"/>
      <c r="DG1960"/>
      <c r="DH1960"/>
      <c r="DI1960"/>
      <c r="DJ1960"/>
      <c r="DK1960"/>
      <c r="DL1960"/>
      <c r="DM1960"/>
      <c r="DN1960"/>
      <c r="DO1960"/>
      <c r="DP1960"/>
      <c r="DQ1960"/>
      <c r="DR1960"/>
      <c r="DS1960"/>
      <c r="DT1960"/>
      <c r="DU1960"/>
      <c r="DV1960"/>
      <c r="DW1960"/>
      <c r="DX1960"/>
      <c r="DY1960"/>
      <c r="DZ1960"/>
      <c r="EA1960"/>
      <c r="EB1960"/>
      <c r="EC1960"/>
      <c r="ED1960"/>
      <c r="EE1960"/>
      <c r="EF1960"/>
      <c r="EG1960"/>
      <c r="EH1960"/>
      <c r="EI1960"/>
      <c r="EJ1960"/>
      <c r="EK1960"/>
      <c r="EL1960"/>
      <c r="EM1960"/>
      <c r="EN1960"/>
      <c r="EO1960"/>
      <c r="EP1960"/>
      <c r="EQ1960"/>
      <c r="ER1960"/>
      <c r="ES1960"/>
    </row>
    <row r="1961" spans="1:149">
      <c r="A1961"/>
      <c r="B1961"/>
      <c r="C1961"/>
      <c r="D1961"/>
      <c r="E1961"/>
      <c r="F1961"/>
      <c r="G1961"/>
      <c r="H1961"/>
      <c r="I1961"/>
      <c r="J1961"/>
      <c r="K1961"/>
      <c r="L1961"/>
      <c r="M1961"/>
      <c r="N1961"/>
      <c r="O1961"/>
      <c r="P1961"/>
      <c r="Q1961"/>
      <c r="R1961"/>
      <c r="S1961"/>
      <c r="T1961"/>
      <c r="U1961"/>
      <c r="V1961"/>
      <c r="W1961"/>
      <c r="X1961"/>
      <c r="Y1961"/>
      <c r="Z1961"/>
      <c r="AA1961"/>
      <c r="AB1961"/>
      <c r="AC1961"/>
      <c r="AD1961"/>
      <c r="AE1961"/>
      <c r="AF1961"/>
      <c r="AG1961"/>
      <c r="AH1961"/>
      <c r="AI1961"/>
      <c r="AJ1961"/>
      <c r="AK1961"/>
      <c r="AL1961"/>
      <c r="AM1961"/>
      <c r="AN1961"/>
      <c r="AO1961"/>
      <c r="AP1961"/>
      <c r="AQ1961"/>
      <c r="AR1961"/>
      <c r="AS1961"/>
      <c r="AT1961"/>
      <c r="AU1961"/>
      <c r="AV1961"/>
      <c r="AW1961"/>
      <c r="AX1961"/>
      <c r="AY1961"/>
      <c r="AZ1961"/>
      <c r="BA1961"/>
      <c r="BB1961"/>
      <c r="BC1961"/>
      <c r="BD1961"/>
      <c r="BE1961"/>
      <c r="BF1961"/>
      <c r="BG1961"/>
      <c r="BH1961"/>
      <c r="BI1961"/>
      <c r="BJ1961"/>
      <c r="BK1961"/>
      <c r="BL1961"/>
      <c r="BM1961"/>
      <c r="BN1961"/>
      <c r="BO1961"/>
      <c r="BP1961"/>
      <c r="BQ1961"/>
      <c r="BR1961"/>
      <c r="BS1961"/>
      <c r="BT1961"/>
      <c r="BU1961"/>
      <c r="BV1961"/>
      <c r="BW1961"/>
      <c r="BX1961"/>
      <c r="BY1961"/>
      <c r="BZ1961"/>
      <c r="CA1961"/>
      <c r="CB1961"/>
      <c r="CC1961"/>
      <c r="CD1961"/>
      <c r="CE1961"/>
      <c r="CF1961"/>
      <c r="CG1961"/>
      <c r="CH1961"/>
      <c r="CI1961"/>
      <c r="CJ1961"/>
      <c r="CK1961"/>
      <c r="CL1961"/>
      <c r="CM1961"/>
      <c r="CN1961"/>
      <c r="CO1961"/>
      <c r="CP1961"/>
      <c r="CQ1961"/>
      <c r="CR1961"/>
      <c r="CS1961"/>
      <c r="CT1961"/>
      <c r="CU1961"/>
      <c r="CV1961"/>
      <c r="CW1961"/>
      <c r="CX1961"/>
      <c r="CY1961"/>
      <c r="CZ1961"/>
      <c r="DA1961"/>
      <c r="DB1961"/>
      <c r="DC1961"/>
      <c r="DD1961"/>
      <c r="DE1961"/>
      <c r="DF1961"/>
      <c r="DG1961"/>
      <c r="DH1961"/>
      <c r="DI1961"/>
      <c r="DJ1961"/>
      <c r="DK1961"/>
      <c r="DL1961"/>
      <c r="DM1961"/>
      <c r="DN1961"/>
      <c r="DO1961"/>
      <c r="DP1961"/>
      <c r="DQ1961"/>
      <c r="DR1961"/>
      <c r="DS1961"/>
      <c r="DT1961"/>
      <c r="DU1961"/>
      <c r="DV1961"/>
      <c r="DW1961"/>
      <c r="DX1961"/>
      <c r="DY1961"/>
      <c r="DZ1961"/>
      <c r="EA1961"/>
      <c r="EB1961"/>
      <c r="EC1961"/>
      <c r="ED1961"/>
      <c r="EE1961"/>
      <c r="EF1961"/>
      <c r="EG1961"/>
      <c r="EH1961"/>
      <c r="EI1961"/>
      <c r="EJ1961"/>
      <c r="EK1961"/>
      <c r="EL1961"/>
      <c r="EM1961"/>
      <c r="EN1961"/>
      <c r="EO1961"/>
      <c r="EP1961"/>
      <c r="EQ1961"/>
      <c r="ER1961"/>
      <c r="ES1961"/>
    </row>
    <row r="1962" spans="1:149">
      <c r="A1962"/>
      <c r="B1962"/>
      <c r="C1962"/>
      <c r="D1962"/>
      <c r="E1962"/>
      <c r="F1962"/>
      <c r="G1962"/>
      <c r="H1962"/>
      <c r="I1962"/>
      <c r="J1962"/>
      <c r="K1962"/>
      <c r="L1962"/>
      <c r="M1962"/>
      <c r="N1962"/>
      <c r="O1962"/>
      <c r="P1962"/>
      <c r="Q1962"/>
      <c r="R1962"/>
      <c r="S1962"/>
      <c r="T1962"/>
      <c r="U1962"/>
      <c r="V1962"/>
      <c r="W1962"/>
      <c r="X1962"/>
      <c r="Y1962"/>
      <c r="Z1962"/>
      <c r="AA1962"/>
      <c r="AB1962"/>
      <c r="AC1962"/>
      <c r="AD1962"/>
      <c r="AE1962"/>
      <c r="AF1962"/>
      <c r="AG1962"/>
      <c r="AH1962"/>
      <c r="AI1962"/>
      <c r="AJ1962"/>
      <c r="AK1962"/>
      <c r="AL1962"/>
      <c r="AM1962"/>
      <c r="AN1962"/>
      <c r="AO1962"/>
      <c r="AP1962"/>
      <c r="AQ1962"/>
      <c r="AR1962"/>
      <c r="AS1962"/>
      <c r="AT1962"/>
      <c r="AU1962"/>
      <c r="AV1962"/>
      <c r="AW1962"/>
      <c r="AX1962"/>
      <c r="AY1962"/>
      <c r="AZ1962"/>
      <c r="BA1962"/>
      <c r="BB1962"/>
      <c r="BC1962"/>
      <c r="BD1962"/>
      <c r="BE1962"/>
      <c r="BF1962"/>
      <c r="BG1962"/>
      <c r="BH1962"/>
      <c r="BI1962"/>
      <c r="BJ1962"/>
      <c r="BK1962"/>
      <c r="BL1962"/>
      <c r="BM1962"/>
      <c r="BN1962"/>
      <c r="BO1962"/>
      <c r="BP1962"/>
      <c r="BQ1962"/>
      <c r="BR1962"/>
      <c r="BS1962"/>
      <c r="BT1962"/>
      <c r="BU1962"/>
      <c r="BV1962"/>
      <c r="BW1962"/>
      <c r="BX1962"/>
      <c r="BY1962"/>
      <c r="BZ1962"/>
      <c r="CA1962"/>
      <c r="CB1962"/>
      <c r="CC1962"/>
      <c r="CD1962"/>
      <c r="CE1962"/>
      <c r="CF1962"/>
      <c r="CG1962"/>
      <c r="CH1962"/>
      <c r="CI1962"/>
      <c r="CJ1962"/>
      <c r="CK1962"/>
      <c r="CL1962"/>
      <c r="CM1962"/>
      <c r="CN1962"/>
      <c r="CO1962"/>
      <c r="CP1962"/>
      <c r="CQ1962"/>
      <c r="CR1962"/>
      <c r="CS1962"/>
      <c r="CT1962"/>
      <c r="CU1962"/>
      <c r="CV1962"/>
      <c r="CW1962"/>
      <c r="CX1962"/>
      <c r="CY1962"/>
      <c r="CZ1962"/>
      <c r="DA1962"/>
      <c r="DB1962"/>
      <c r="DC1962"/>
      <c r="DD1962"/>
      <c r="DE1962"/>
      <c r="DF1962"/>
      <c r="DG1962"/>
      <c r="DH1962"/>
      <c r="DI1962"/>
      <c r="DJ1962"/>
      <c r="DK1962"/>
      <c r="DL1962"/>
      <c r="DM1962"/>
      <c r="DN1962"/>
      <c r="DO1962"/>
      <c r="DP1962"/>
      <c r="DQ1962"/>
      <c r="DR1962"/>
      <c r="DS1962"/>
      <c r="DT1962"/>
      <c r="DU1962"/>
      <c r="DV1962"/>
      <c r="DW1962"/>
      <c r="DX1962"/>
      <c r="DY1962"/>
      <c r="DZ1962"/>
      <c r="EA1962"/>
      <c r="EB1962"/>
      <c r="EC1962"/>
      <c r="ED1962"/>
      <c r="EE1962"/>
      <c r="EF1962"/>
      <c r="EG1962"/>
      <c r="EH1962"/>
      <c r="EI1962"/>
      <c r="EJ1962"/>
      <c r="EK1962"/>
      <c r="EL1962"/>
      <c r="EM1962"/>
      <c r="EN1962"/>
      <c r="EO1962"/>
      <c r="EP1962"/>
      <c r="EQ1962"/>
      <c r="ER1962"/>
      <c r="ES1962"/>
    </row>
    <row r="1963" spans="1:149">
      <c r="A1963"/>
      <c r="B1963"/>
      <c r="C1963"/>
      <c r="D1963"/>
      <c r="E1963"/>
      <c r="F1963"/>
      <c r="G1963"/>
      <c r="H1963"/>
      <c r="I1963"/>
      <c r="J1963"/>
      <c r="K1963"/>
      <c r="L1963"/>
      <c r="M1963"/>
      <c r="N1963"/>
      <c r="O1963"/>
      <c r="P1963"/>
      <c r="Q1963"/>
      <c r="R1963"/>
      <c r="S1963"/>
      <c r="T1963"/>
      <c r="U1963"/>
      <c r="V1963"/>
      <c r="W1963"/>
      <c r="X1963"/>
      <c r="Y1963"/>
      <c r="Z1963"/>
      <c r="AA1963"/>
      <c r="AB1963"/>
      <c r="AC1963"/>
      <c r="AD1963"/>
      <c r="AE1963"/>
      <c r="AF1963"/>
      <c r="AG1963"/>
      <c r="AH1963"/>
      <c r="AI1963"/>
      <c r="AJ1963"/>
      <c r="AK1963"/>
      <c r="AL1963"/>
      <c r="AM1963"/>
      <c r="AN1963"/>
      <c r="AO1963"/>
      <c r="AP1963"/>
      <c r="AQ1963"/>
      <c r="AR1963"/>
      <c r="AS1963"/>
      <c r="AT1963"/>
      <c r="AU1963"/>
      <c r="AV1963"/>
      <c r="AW1963"/>
      <c r="AX1963"/>
      <c r="AY1963"/>
      <c r="AZ1963"/>
      <c r="BA1963"/>
      <c r="BB1963"/>
      <c r="BC1963"/>
      <c r="BD1963"/>
      <c r="BE1963"/>
      <c r="BF1963"/>
      <c r="BG1963"/>
      <c r="BH1963"/>
      <c r="BI1963"/>
      <c r="BJ1963"/>
      <c r="BK1963"/>
      <c r="BL1963"/>
      <c r="BM1963"/>
      <c r="BN1963"/>
      <c r="BO1963"/>
      <c r="BP1963"/>
      <c r="BQ1963"/>
      <c r="BR1963"/>
      <c r="BS1963"/>
      <c r="BT1963"/>
      <c r="BU1963"/>
      <c r="BV1963"/>
      <c r="BW1963"/>
      <c r="BX1963"/>
      <c r="BY1963"/>
      <c r="BZ1963"/>
      <c r="CA1963"/>
      <c r="CB1963"/>
      <c r="CC1963"/>
      <c r="CD1963"/>
      <c r="CE1963"/>
      <c r="CF1963"/>
      <c r="CG1963"/>
      <c r="CH1963"/>
      <c r="CI1963"/>
      <c r="CJ1963"/>
      <c r="CK1963"/>
      <c r="CL1963"/>
      <c r="CM1963"/>
      <c r="CN1963"/>
      <c r="CO1963"/>
      <c r="CP1963"/>
      <c r="CQ1963"/>
      <c r="CR1963"/>
      <c r="CS1963"/>
      <c r="CT1963"/>
      <c r="CU1963"/>
      <c r="CV1963"/>
      <c r="CW1963"/>
      <c r="CX1963"/>
      <c r="CY1963"/>
      <c r="CZ1963"/>
      <c r="DA1963"/>
      <c r="DB1963"/>
      <c r="DC1963"/>
      <c r="DD1963"/>
      <c r="DE1963"/>
      <c r="DF1963"/>
      <c r="DG1963"/>
      <c r="DH1963"/>
      <c r="DI1963"/>
      <c r="DJ1963"/>
      <c r="DK1963"/>
      <c r="DL1963"/>
      <c r="DM1963"/>
      <c r="DN1963"/>
      <c r="DO1963"/>
      <c r="DP1963"/>
      <c r="DQ1963"/>
      <c r="DR1963"/>
      <c r="DS1963"/>
      <c r="DT1963"/>
      <c r="DU1963"/>
      <c r="DV1963"/>
      <c r="DW1963"/>
      <c r="DX1963"/>
      <c r="DY1963"/>
      <c r="DZ1963"/>
      <c r="EA1963"/>
      <c r="EB1963"/>
      <c r="EC1963"/>
      <c r="ED1963"/>
      <c r="EE1963"/>
      <c r="EF1963"/>
      <c r="EG1963"/>
      <c r="EH1963"/>
      <c r="EI1963"/>
      <c r="EJ1963"/>
      <c r="EK1963"/>
      <c r="EL1963"/>
      <c r="EM1963"/>
      <c r="EN1963"/>
      <c r="EO1963"/>
      <c r="EP1963"/>
      <c r="EQ1963"/>
      <c r="ER1963"/>
      <c r="ES1963"/>
    </row>
    <row r="1964" spans="1:149">
      <c r="A1964"/>
      <c r="B1964"/>
      <c r="C1964"/>
      <c r="D1964"/>
      <c r="E1964"/>
      <c r="F1964"/>
      <c r="G1964"/>
      <c r="H1964"/>
      <c r="I1964"/>
      <c r="J1964"/>
      <c r="K1964"/>
      <c r="L1964"/>
      <c r="M1964"/>
      <c r="N1964"/>
      <c r="O1964"/>
      <c r="P1964"/>
      <c r="Q1964"/>
      <c r="R1964"/>
      <c r="S1964"/>
      <c r="T1964"/>
      <c r="U1964"/>
      <c r="V1964"/>
      <c r="W1964"/>
      <c r="X1964"/>
      <c r="Y1964"/>
      <c r="Z1964"/>
      <c r="AA1964"/>
      <c r="AB1964"/>
      <c r="AC1964"/>
      <c r="AD1964"/>
      <c r="AE1964"/>
      <c r="AF1964"/>
      <c r="AG1964"/>
      <c r="AH1964"/>
      <c r="AI1964"/>
      <c r="AJ1964"/>
      <c r="AK1964"/>
      <c r="AL1964"/>
      <c r="AM1964"/>
      <c r="AN1964"/>
      <c r="AO1964"/>
      <c r="AP1964"/>
      <c r="AQ1964"/>
      <c r="AR1964"/>
      <c r="AS1964"/>
      <c r="AT1964"/>
      <c r="AU1964"/>
      <c r="AV1964"/>
      <c r="AW1964"/>
      <c r="AX1964"/>
      <c r="AY1964"/>
      <c r="AZ1964"/>
      <c r="BA1964"/>
      <c r="BB1964"/>
      <c r="BC1964"/>
      <c r="BD1964"/>
      <c r="BE1964"/>
      <c r="BF1964"/>
      <c r="BG1964"/>
      <c r="BH1964"/>
      <c r="BI1964"/>
      <c r="BJ1964"/>
      <c r="BK1964"/>
      <c r="BL1964"/>
      <c r="BM1964"/>
      <c r="BN1964"/>
      <c r="BO1964"/>
      <c r="BP1964"/>
      <c r="BQ1964"/>
      <c r="BR1964"/>
      <c r="BS1964"/>
      <c r="BT1964"/>
      <c r="BU1964"/>
      <c r="BV1964"/>
      <c r="BW1964"/>
      <c r="BX1964"/>
      <c r="BY1964"/>
      <c r="BZ1964"/>
      <c r="CA1964"/>
      <c r="CB1964"/>
      <c r="CC1964"/>
      <c r="CD1964"/>
      <c r="CE1964"/>
      <c r="CF1964"/>
      <c r="CG1964"/>
      <c r="CH1964"/>
      <c r="CI1964"/>
      <c r="CJ1964"/>
      <c r="CK1964"/>
      <c r="CL1964"/>
      <c r="CM1964"/>
      <c r="CN1964"/>
      <c r="CO1964"/>
      <c r="CP1964"/>
      <c r="CQ1964"/>
      <c r="CR1964"/>
      <c r="CS1964"/>
      <c r="CT1964"/>
      <c r="CU1964"/>
      <c r="CV1964"/>
      <c r="CW1964"/>
      <c r="CX1964"/>
      <c r="CY1964"/>
      <c r="CZ1964"/>
      <c r="DA1964"/>
      <c r="DB1964"/>
      <c r="DC1964"/>
      <c r="DD1964"/>
      <c r="DE1964"/>
      <c r="DF1964"/>
      <c r="DG1964"/>
      <c r="DH1964"/>
      <c r="DI1964"/>
      <c r="DJ1964"/>
      <c r="DK1964"/>
      <c r="DL1964"/>
      <c r="DM1964"/>
      <c r="DN1964"/>
      <c r="DO1964"/>
      <c r="DP1964"/>
      <c r="DQ1964"/>
      <c r="DR1964"/>
      <c r="DS1964"/>
      <c r="DT1964"/>
      <c r="DU1964"/>
      <c r="DV1964"/>
      <c r="DW1964"/>
      <c r="DX1964"/>
      <c r="DY1964"/>
      <c r="DZ1964"/>
      <c r="EA1964"/>
      <c r="EB1964"/>
      <c r="EC1964"/>
      <c r="ED1964"/>
      <c r="EE1964"/>
      <c r="EF1964"/>
      <c r="EG1964"/>
      <c r="EH1964"/>
      <c r="EI1964"/>
      <c r="EJ1964"/>
      <c r="EK1964"/>
      <c r="EL1964"/>
      <c r="EM1964"/>
      <c r="EN1964"/>
      <c r="EO1964"/>
      <c r="EP1964"/>
      <c r="EQ1964"/>
      <c r="ER1964"/>
      <c r="ES1964"/>
    </row>
    <row r="1965" spans="1:149">
      <c r="A1965"/>
      <c r="B1965"/>
      <c r="C1965"/>
      <c r="D1965"/>
      <c r="E1965"/>
      <c r="F1965"/>
      <c r="G1965"/>
      <c r="H1965"/>
      <c r="I1965"/>
      <c r="J1965"/>
      <c r="K1965"/>
      <c r="L1965"/>
      <c r="M1965"/>
      <c r="N1965"/>
      <c r="O1965"/>
      <c r="P1965"/>
      <c r="Q1965"/>
      <c r="R1965"/>
      <c r="S1965"/>
      <c r="T1965"/>
      <c r="U1965"/>
      <c r="V1965"/>
      <c r="W1965"/>
      <c r="X1965"/>
      <c r="Y1965"/>
      <c r="Z1965"/>
      <c r="AA1965"/>
      <c r="AB1965"/>
      <c r="AC1965"/>
      <c r="AD1965"/>
      <c r="AE1965"/>
      <c r="AF1965"/>
      <c r="AG1965"/>
      <c r="AH1965"/>
      <c r="AI1965"/>
      <c r="AJ1965"/>
      <c r="AK1965"/>
      <c r="AL1965"/>
      <c r="AM1965"/>
      <c r="AN1965"/>
      <c r="AO1965"/>
      <c r="AP1965"/>
      <c r="AQ1965"/>
      <c r="AR1965"/>
      <c r="AS1965"/>
      <c r="AT1965"/>
      <c r="AU1965"/>
      <c r="AV1965"/>
      <c r="AW1965"/>
      <c r="AX1965"/>
      <c r="AY1965"/>
      <c r="AZ1965"/>
      <c r="BA1965"/>
      <c r="BB1965"/>
      <c r="BC1965"/>
      <c r="BD1965"/>
      <c r="BE1965"/>
      <c r="BF1965"/>
      <c r="BG1965"/>
      <c r="BH1965"/>
      <c r="BI1965"/>
      <c r="BJ1965"/>
      <c r="BK1965"/>
      <c r="BL1965"/>
      <c r="BM1965"/>
      <c r="BN1965"/>
      <c r="BO1965"/>
      <c r="BP1965"/>
      <c r="BQ1965"/>
      <c r="BR1965"/>
      <c r="BS1965"/>
      <c r="BT1965"/>
      <c r="BU1965"/>
      <c r="BV1965"/>
      <c r="BW1965"/>
      <c r="BX1965"/>
      <c r="BY1965"/>
      <c r="BZ1965"/>
      <c r="CA1965"/>
      <c r="CB1965"/>
      <c r="CC1965"/>
      <c r="CD1965"/>
      <c r="CE1965"/>
      <c r="CF1965"/>
      <c r="CG1965"/>
      <c r="CH1965"/>
      <c r="CI1965"/>
      <c r="CJ1965"/>
      <c r="CK1965"/>
      <c r="CL1965"/>
      <c r="CM1965"/>
      <c r="CN1965"/>
      <c r="CO1965"/>
      <c r="CP1965"/>
      <c r="CQ1965"/>
      <c r="CR1965"/>
      <c r="CS1965"/>
      <c r="CT1965"/>
      <c r="CU1965"/>
      <c r="CV1965"/>
      <c r="CW1965"/>
      <c r="CX1965"/>
      <c r="CY1965"/>
      <c r="CZ1965"/>
      <c r="DA1965"/>
      <c r="DB1965"/>
      <c r="DC1965"/>
      <c r="DD1965"/>
      <c r="DE1965"/>
      <c r="DF1965"/>
      <c r="DG1965"/>
      <c r="DH1965"/>
      <c r="DI1965"/>
      <c r="DJ1965"/>
      <c r="DK1965"/>
      <c r="DL1965"/>
      <c r="DM1965"/>
      <c r="DN1965"/>
      <c r="DO1965"/>
      <c r="DP1965"/>
      <c r="DQ1965"/>
      <c r="DR1965"/>
      <c r="DS1965"/>
      <c r="DT1965"/>
      <c r="DU1965"/>
      <c r="DV1965"/>
      <c r="DW1965"/>
      <c r="DX1965"/>
      <c r="DY1965"/>
      <c r="DZ1965"/>
      <c r="EA1965"/>
      <c r="EB1965"/>
      <c r="EC1965"/>
      <c r="ED1965"/>
      <c r="EE1965"/>
      <c r="EF1965"/>
      <c r="EG1965"/>
      <c r="EH1965"/>
      <c r="EI1965"/>
      <c r="EJ1965"/>
      <c r="EK1965"/>
      <c r="EL1965"/>
      <c r="EM1965"/>
      <c r="EN1965"/>
      <c r="EO1965"/>
      <c r="EP1965"/>
      <c r="EQ1965"/>
      <c r="ER1965"/>
      <c r="ES1965"/>
    </row>
    <row r="1966" spans="1:149">
      <c r="A1966"/>
      <c r="B1966"/>
      <c r="C1966"/>
      <c r="D1966"/>
      <c r="E1966"/>
      <c r="F1966"/>
      <c r="G1966"/>
      <c r="H1966"/>
      <c r="I1966"/>
      <c r="J1966"/>
      <c r="K1966"/>
      <c r="L1966"/>
      <c r="M1966"/>
      <c r="N1966"/>
      <c r="O1966"/>
      <c r="P1966"/>
      <c r="Q1966"/>
      <c r="R1966"/>
      <c r="S1966"/>
      <c r="T1966"/>
      <c r="U1966"/>
      <c r="V1966"/>
      <c r="W1966"/>
      <c r="X1966"/>
      <c r="Y1966"/>
      <c r="Z1966"/>
      <c r="AA1966"/>
      <c r="AB1966"/>
      <c r="AC1966"/>
      <c r="AD1966"/>
      <c r="AE1966"/>
      <c r="AF1966"/>
      <c r="AG1966"/>
      <c r="AH1966"/>
      <c r="AI1966"/>
      <c r="AJ1966"/>
      <c r="AK1966"/>
      <c r="AL1966"/>
      <c r="AM1966"/>
      <c r="AN1966"/>
      <c r="AO1966"/>
      <c r="AP1966"/>
      <c r="AQ1966"/>
      <c r="AR1966"/>
      <c r="AS1966"/>
      <c r="AT1966"/>
      <c r="AU1966"/>
      <c r="AV1966"/>
      <c r="AW1966"/>
      <c r="AX1966"/>
      <c r="AY1966"/>
      <c r="AZ1966"/>
      <c r="BA1966"/>
      <c r="BB1966"/>
      <c r="BC1966"/>
      <c r="BD1966"/>
      <c r="BE1966"/>
      <c r="BF1966"/>
      <c r="BG1966"/>
      <c r="BH1966"/>
      <c r="BI1966"/>
      <c r="BJ1966"/>
      <c r="BK1966"/>
      <c r="BL1966"/>
      <c r="BM1966"/>
      <c r="BN1966"/>
      <c r="BO1966"/>
      <c r="BP1966"/>
      <c r="BQ1966"/>
      <c r="BR1966"/>
      <c r="BS1966"/>
      <c r="BT1966"/>
      <c r="BU1966"/>
      <c r="BV1966"/>
      <c r="BW1966"/>
      <c r="BX1966"/>
      <c r="BY1966"/>
      <c r="BZ1966"/>
      <c r="CA1966"/>
      <c r="CB1966"/>
      <c r="CC1966"/>
      <c r="CD1966"/>
      <c r="CE1966"/>
      <c r="CF1966"/>
      <c r="CG1966"/>
      <c r="CH1966"/>
      <c r="CI1966"/>
      <c r="CJ1966"/>
      <c r="CK1966"/>
      <c r="CL1966"/>
      <c r="CM1966"/>
      <c r="CN1966"/>
      <c r="CO1966"/>
      <c r="CP1966"/>
      <c r="CQ1966"/>
      <c r="CR1966"/>
      <c r="CS1966"/>
      <c r="CT1966"/>
      <c r="CU1966"/>
      <c r="CV1966"/>
      <c r="CW1966"/>
      <c r="CX1966"/>
      <c r="CY1966"/>
      <c r="CZ1966"/>
      <c r="DA1966"/>
      <c r="DB1966"/>
      <c r="DC1966"/>
      <c r="DD1966"/>
      <c r="DE1966"/>
      <c r="DF1966"/>
      <c r="DG1966"/>
      <c r="DH1966"/>
      <c r="DI1966"/>
      <c r="DJ1966"/>
      <c r="DK1966"/>
      <c r="DL1966"/>
      <c r="DM1966"/>
      <c r="DN1966"/>
      <c r="DO1966"/>
      <c r="DP1966"/>
      <c r="DQ1966"/>
      <c r="DR1966"/>
      <c r="DS1966"/>
      <c r="DT1966"/>
      <c r="DU1966"/>
      <c r="DV1966"/>
      <c r="DW1966"/>
      <c r="DX1966"/>
      <c r="DY1966"/>
      <c r="DZ1966"/>
      <c r="EA1966"/>
      <c r="EB1966"/>
      <c r="EC1966"/>
      <c r="ED1966"/>
      <c r="EE1966"/>
      <c r="EF1966"/>
      <c r="EG1966"/>
      <c r="EH1966"/>
      <c r="EI1966"/>
      <c r="EJ1966"/>
      <c r="EK1966"/>
      <c r="EL1966"/>
      <c r="EM1966"/>
      <c r="EN1966"/>
      <c r="EO1966"/>
      <c r="EP1966"/>
      <c r="EQ1966"/>
      <c r="ER1966"/>
      <c r="ES1966"/>
    </row>
    <row r="1967" spans="1:149">
      <c r="A1967"/>
      <c r="B1967"/>
      <c r="C1967"/>
      <c r="D1967"/>
      <c r="E1967"/>
      <c r="F1967"/>
      <c r="G1967"/>
      <c r="H1967"/>
      <c r="I1967"/>
      <c r="J1967"/>
      <c r="K1967"/>
      <c r="L1967"/>
      <c r="M1967"/>
      <c r="N1967"/>
      <c r="O1967"/>
      <c r="P1967"/>
      <c r="Q1967"/>
      <c r="R1967"/>
      <c r="S1967"/>
      <c r="T1967"/>
      <c r="U1967"/>
      <c r="V1967"/>
      <c r="W1967"/>
      <c r="X1967"/>
      <c r="Y1967"/>
      <c r="Z1967"/>
      <c r="AA1967"/>
      <c r="AB1967"/>
      <c r="AC1967"/>
      <c r="AD1967"/>
      <c r="AE1967"/>
      <c r="AF1967"/>
      <c r="AG1967"/>
      <c r="AH1967"/>
      <c r="AI1967"/>
      <c r="AJ1967"/>
      <c r="AK1967"/>
      <c r="AL1967"/>
      <c r="AM1967"/>
      <c r="AN1967"/>
      <c r="AO1967"/>
      <c r="AP1967"/>
      <c r="AQ1967"/>
      <c r="AR1967"/>
      <c r="AS1967"/>
      <c r="AT1967"/>
      <c r="AU1967"/>
      <c r="AV1967"/>
      <c r="AW1967"/>
      <c r="AX1967"/>
      <c r="AY1967"/>
      <c r="AZ1967"/>
      <c r="BA1967"/>
      <c r="BB1967"/>
      <c r="BC1967"/>
      <c r="BD1967"/>
      <c r="BE1967"/>
      <c r="BF1967"/>
      <c r="BG1967"/>
      <c r="BH1967"/>
      <c r="BI1967"/>
      <c r="BJ1967"/>
      <c r="BK1967"/>
      <c r="BL1967"/>
      <c r="BM1967"/>
      <c r="BN1967"/>
      <c r="BO1967"/>
      <c r="BP1967"/>
      <c r="BQ1967"/>
      <c r="BR1967"/>
      <c r="BS1967"/>
      <c r="BT1967"/>
      <c r="BU1967"/>
      <c r="BV1967"/>
      <c r="BW1967"/>
      <c r="BX1967"/>
      <c r="BY1967"/>
      <c r="BZ1967"/>
      <c r="CA1967"/>
      <c r="CB1967"/>
      <c r="CC1967"/>
      <c r="CD1967"/>
      <c r="CE1967"/>
      <c r="CF1967"/>
      <c r="CG1967"/>
      <c r="CH1967"/>
      <c r="CI1967"/>
      <c r="CJ1967"/>
      <c r="CK1967"/>
      <c r="CL1967"/>
      <c r="CM1967"/>
      <c r="CN1967"/>
      <c r="CO1967"/>
      <c r="CP1967"/>
      <c r="CQ1967"/>
      <c r="CR1967"/>
      <c r="CS1967"/>
      <c r="CT1967"/>
      <c r="CU1967"/>
      <c r="CV1967"/>
      <c r="CW1967"/>
      <c r="CX1967"/>
      <c r="CY1967"/>
      <c r="CZ1967"/>
      <c r="DA1967"/>
      <c r="DB1967"/>
      <c r="DC1967"/>
      <c r="DD1967"/>
      <c r="DE1967"/>
      <c r="DF1967"/>
      <c r="DG1967"/>
      <c r="DH1967"/>
      <c r="DI1967"/>
      <c r="DJ1967"/>
      <c r="DK1967"/>
      <c r="DL1967"/>
      <c r="DM1967"/>
      <c r="DN1967"/>
      <c r="DO1967"/>
      <c r="DP1967"/>
      <c r="DQ1967"/>
      <c r="DR1967"/>
      <c r="DS1967"/>
      <c r="DT1967"/>
      <c r="DU1967"/>
      <c r="DV1967"/>
      <c r="DW1967"/>
      <c r="DX1967"/>
      <c r="DY1967"/>
      <c r="DZ1967"/>
      <c r="EA1967"/>
      <c r="EB1967"/>
      <c r="EC1967"/>
      <c r="ED1967"/>
      <c r="EE1967"/>
      <c r="EF1967"/>
      <c r="EG1967"/>
      <c r="EH1967"/>
      <c r="EI1967"/>
      <c r="EJ1967"/>
      <c r="EK1967"/>
      <c r="EL1967"/>
      <c r="EM1967"/>
      <c r="EN1967"/>
      <c r="EO1967"/>
      <c r="EP1967"/>
      <c r="EQ1967"/>
      <c r="ER1967"/>
      <c r="ES1967"/>
    </row>
    <row r="1968" spans="1:149">
      <c r="A1968"/>
      <c r="B1968"/>
      <c r="C1968"/>
      <c r="D1968"/>
      <c r="E1968"/>
      <c r="F1968"/>
      <c r="G1968"/>
      <c r="H1968"/>
      <c r="I1968"/>
      <c r="J1968"/>
      <c r="K1968"/>
      <c r="L1968"/>
      <c r="M1968"/>
      <c r="N1968"/>
      <c r="O1968"/>
      <c r="P1968"/>
      <c r="Q1968"/>
      <c r="R1968"/>
      <c r="S1968"/>
      <c r="T1968"/>
      <c r="U1968"/>
      <c r="V1968"/>
      <c r="W1968"/>
      <c r="X1968"/>
      <c r="Y1968"/>
      <c r="Z1968"/>
      <c r="AA1968"/>
      <c r="AB1968"/>
      <c r="AC1968"/>
      <c r="AD1968"/>
      <c r="AE1968"/>
      <c r="AF1968"/>
      <c r="AG1968"/>
      <c r="AH1968"/>
      <c r="AI1968"/>
      <c r="AJ1968"/>
      <c r="AK1968"/>
      <c r="AL1968"/>
      <c r="AM1968"/>
      <c r="AN1968"/>
      <c r="AO1968"/>
      <c r="AP1968"/>
      <c r="AQ1968"/>
      <c r="AR1968"/>
      <c r="AS1968"/>
      <c r="AT1968"/>
      <c r="AU1968"/>
      <c r="AV1968"/>
      <c r="AW1968"/>
      <c r="AX1968"/>
      <c r="AY1968"/>
      <c r="AZ1968"/>
      <c r="BA1968"/>
      <c r="BB1968"/>
      <c r="BC1968"/>
      <c r="BD1968"/>
      <c r="BE1968"/>
      <c r="BF1968"/>
      <c r="BG1968"/>
      <c r="BH1968"/>
      <c r="BI1968"/>
      <c r="BJ1968"/>
      <c r="BK1968"/>
      <c r="BL1968"/>
      <c r="BM1968"/>
      <c r="BN1968"/>
      <c r="BO1968"/>
      <c r="BP1968"/>
      <c r="BQ1968"/>
      <c r="BR1968"/>
      <c r="BS1968"/>
      <c r="BT1968"/>
      <c r="BU1968"/>
      <c r="BV1968"/>
      <c r="BW1968"/>
      <c r="BX1968"/>
      <c r="BY1968"/>
      <c r="BZ1968"/>
      <c r="CA1968"/>
      <c r="CB1968"/>
      <c r="CC1968"/>
      <c r="CD1968"/>
      <c r="CE1968"/>
      <c r="CF1968"/>
      <c r="CG1968"/>
      <c r="CH1968"/>
      <c r="CI1968"/>
      <c r="CJ1968"/>
      <c r="CK1968"/>
      <c r="CL1968"/>
      <c r="CM1968"/>
      <c r="CN1968"/>
      <c r="CO1968"/>
      <c r="CP1968"/>
      <c r="CQ1968"/>
      <c r="CR1968"/>
      <c r="CS1968"/>
      <c r="CT1968"/>
      <c r="CU1968"/>
      <c r="CV1968"/>
      <c r="CW1968"/>
      <c r="CX1968"/>
      <c r="CY1968"/>
      <c r="CZ1968"/>
      <c r="DA1968"/>
      <c r="DB1968"/>
      <c r="DC1968"/>
      <c r="DD1968"/>
      <c r="DE1968"/>
      <c r="DF1968"/>
      <c r="DG1968"/>
      <c r="DH1968"/>
      <c r="DI1968"/>
      <c r="DJ1968"/>
      <c r="DK1968"/>
      <c r="DL1968"/>
      <c r="DM1968"/>
      <c r="DN1968"/>
      <c r="DO1968"/>
      <c r="DP1968"/>
      <c r="DQ1968"/>
      <c r="DR1968"/>
      <c r="DS1968"/>
      <c r="DT1968"/>
      <c r="DU1968"/>
      <c r="DV1968"/>
      <c r="DW1968"/>
      <c r="DX1968"/>
      <c r="DY1968"/>
      <c r="DZ1968"/>
      <c r="EA1968"/>
      <c r="EB1968"/>
      <c r="EC1968"/>
      <c r="ED1968"/>
      <c r="EE1968"/>
      <c r="EF1968"/>
      <c r="EG1968"/>
      <c r="EH1968"/>
      <c r="EI1968"/>
      <c r="EJ1968"/>
      <c r="EK1968"/>
      <c r="EL1968"/>
      <c r="EM1968"/>
      <c r="EN1968"/>
      <c r="EO1968"/>
      <c r="EP1968"/>
      <c r="EQ1968"/>
      <c r="ER1968"/>
      <c r="ES1968"/>
    </row>
    <row r="1969" spans="1:149">
      <c r="A1969"/>
      <c r="B1969"/>
      <c r="C1969"/>
      <c r="D1969"/>
      <c r="E1969"/>
      <c r="F1969"/>
      <c r="G1969"/>
      <c r="H1969"/>
      <c r="I1969"/>
      <c r="J1969"/>
      <c r="K1969"/>
      <c r="L1969"/>
      <c r="M1969"/>
      <c r="N1969"/>
      <c r="O1969"/>
      <c r="P1969"/>
      <c r="Q1969"/>
      <c r="R1969"/>
      <c r="S1969"/>
      <c r="T1969"/>
      <c r="U1969"/>
      <c r="V1969"/>
      <c r="W1969"/>
      <c r="X1969"/>
      <c r="Y1969"/>
      <c r="Z1969"/>
      <c r="AA1969"/>
      <c r="AB1969"/>
      <c r="AC1969"/>
      <c r="AD1969"/>
      <c r="AE1969"/>
      <c r="AF1969"/>
      <c r="AG1969"/>
      <c r="AH1969"/>
      <c r="AI1969"/>
      <c r="AJ1969"/>
      <c r="AK1969"/>
      <c r="AL1969"/>
      <c r="AM1969"/>
      <c r="AN1969"/>
      <c r="AO1969"/>
      <c r="AP1969"/>
      <c r="AQ1969"/>
      <c r="AR1969"/>
      <c r="AS1969"/>
      <c r="AT1969"/>
      <c r="AU1969"/>
      <c r="AV1969"/>
      <c r="AW1969"/>
      <c r="AX1969"/>
      <c r="AY1969"/>
      <c r="AZ1969"/>
      <c r="BA1969"/>
      <c r="BB1969"/>
      <c r="BC1969"/>
      <c r="BD1969"/>
      <c r="BE1969"/>
      <c r="BF1969"/>
      <c r="BG1969"/>
      <c r="BH1969"/>
      <c r="BI1969"/>
      <c r="BJ1969"/>
      <c r="BK1969"/>
      <c r="BL1969"/>
      <c r="BM1969"/>
      <c r="BN1969"/>
      <c r="BO1969"/>
      <c r="BP1969"/>
      <c r="BQ1969"/>
      <c r="BR1969"/>
      <c r="BS1969"/>
      <c r="BT1969"/>
      <c r="BU1969"/>
      <c r="BV1969"/>
      <c r="BW1969"/>
      <c r="BX1969"/>
      <c r="BY1969"/>
      <c r="BZ1969"/>
      <c r="CA1969"/>
      <c r="CB1969"/>
      <c r="CC1969"/>
      <c r="CD1969"/>
      <c r="CE1969"/>
      <c r="CF1969"/>
      <c r="CG1969"/>
      <c r="CH1969"/>
      <c r="CI1969"/>
      <c r="CJ1969"/>
      <c r="CK1969"/>
      <c r="CL1969"/>
      <c r="CM1969"/>
      <c r="CN1969"/>
      <c r="CO1969"/>
      <c r="CP1969"/>
      <c r="CQ1969"/>
      <c r="CR1969"/>
      <c r="CS1969"/>
      <c r="CT1969"/>
      <c r="CU1969"/>
      <c r="CV1969"/>
      <c r="CW1969"/>
      <c r="CX1969"/>
      <c r="CY1969"/>
      <c r="CZ1969"/>
      <c r="DA1969"/>
      <c r="DB1969"/>
      <c r="DC1969"/>
      <c r="DD1969"/>
      <c r="DE1969"/>
      <c r="DF1969"/>
      <c r="DG1969"/>
      <c r="DH1969"/>
      <c r="DI1969"/>
      <c r="DJ1969"/>
      <c r="DK1969"/>
      <c r="DL1969"/>
      <c r="DM1969"/>
      <c r="DN1969"/>
      <c r="DO1969"/>
      <c r="DP1969"/>
      <c r="DQ1969"/>
      <c r="DR1969"/>
      <c r="DS1969"/>
      <c r="DT1969"/>
      <c r="DU1969"/>
      <c r="DV1969"/>
      <c r="DW1969"/>
      <c r="DX1969"/>
      <c r="DY1969"/>
      <c r="DZ1969"/>
      <c r="EA1969"/>
      <c r="EB1969"/>
      <c r="EC1969"/>
      <c r="ED1969"/>
      <c r="EE1969"/>
      <c r="EF1969"/>
      <c r="EG1969"/>
      <c r="EH1969"/>
      <c r="EI1969"/>
      <c r="EJ1969"/>
      <c r="EK1969"/>
      <c r="EL1969"/>
      <c r="EM1969"/>
      <c r="EN1969"/>
      <c r="EO1969"/>
      <c r="EP1969"/>
      <c r="EQ1969"/>
      <c r="ER1969"/>
      <c r="ES1969"/>
    </row>
    <row r="1970" spans="1:149">
      <c r="A1970"/>
      <c r="B1970"/>
      <c r="C1970"/>
      <c r="D1970"/>
      <c r="E1970"/>
      <c r="F1970"/>
      <c r="G1970"/>
      <c r="H1970"/>
      <c r="I1970"/>
      <c r="J1970"/>
      <c r="K1970"/>
      <c r="L1970"/>
      <c r="M1970"/>
      <c r="N1970"/>
      <c r="O1970"/>
      <c r="P1970"/>
      <c r="Q1970"/>
      <c r="R1970"/>
      <c r="S1970"/>
      <c r="T1970"/>
      <c r="U1970"/>
      <c r="V1970"/>
      <c r="W1970"/>
      <c r="X1970"/>
      <c r="Y1970"/>
      <c r="Z1970"/>
      <c r="AA1970"/>
      <c r="AB1970"/>
      <c r="AC1970"/>
      <c r="AD1970"/>
      <c r="AE1970"/>
      <c r="AF1970"/>
      <c r="AG1970"/>
      <c r="AH1970"/>
      <c r="AI1970"/>
      <c r="AJ1970"/>
      <c r="AK1970"/>
      <c r="AL1970"/>
      <c r="AM1970"/>
      <c r="AN1970"/>
      <c r="AO1970"/>
      <c r="AP1970"/>
      <c r="AQ1970"/>
      <c r="AR1970"/>
      <c r="AS1970"/>
      <c r="AT1970"/>
      <c r="AU1970"/>
      <c r="AV1970"/>
      <c r="AW1970"/>
      <c r="AX1970"/>
      <c r="AY1970"/>
      <c r="AZ1970"/>
      <c r="BA1970"/>
      <c r="BB1970"/>
      <c r="BC1970"/>
      <c r="BD1970"/>
      <c r="BE1970"/>
      <c r="BF1970"/>
      <c r="BG1970"/>
      <c r="BH1970"/>
      <c r="BI1970"/>
      <c r="BJ1970"/>
      <c r="BK1970"/>
      <c r="BL1970"/>
      <c r="BM1970"/>
      <c r="BN1970"/>
      <c r="BO1970"/>
      <c r="BP1970"/>
      <c r="BQ1970"/>
      <c r="BR1970"/>
      <c r="BS1970"/>
      <c r="BT1970"/>
      <c r="BU1970"/>
      <c r="BV1970"/>
      <c r="BW1970"/>
      <c r="BX1970"/>
      <c r="BY1970"/>
      <c r="BZ1970"/>
      <c r="CA1970"/>
      <c r="CB1970"/>
      <c r="CC1970"/>
      <c r="CD1970"/>
      <c r="CE1970"/>
      <c r="CF1970"/>
      <c r="CG1970"/>
      <c r="CH1970"/>
      <c r="CI1970"/>
      <c r="CJ1970"/>
      <c r="CK1970"/>
      <c r="CL1970"/>
      <c r="CM1970"/>
      <c r="CN1970"/>
      <c r="CO1970"/>
      <c r="CP1970"/>
      <c r="CQ1970"/>
      <c r="CR1970"/>
      <c r="CS1970"/>
      <c r="CT1970"/>
      <c r="CU1970"/>
      <c r="CV1970"/>
      <c r="CW1970"/>
      <c r="CX1970"/>
      <c r="CY1970"/>
      <c r="CZ1970"/>
      <c r="DA1970"/>
      <c r="DB1970"/>
      <c r="DC1970"/>
      <c r="DD1970"/>
      <c r="DE1970"/>
      <c r="DF1970"/>
      <c r="DG1970"/>
      <c r="DH1970"/>
      <c r="DI1970"/>
      <c r="DJ1970"/>
      <c r="DK1970"/>
      <c r="DL1970"/>
      <c r="DM1970"/>
      <c r="DN1970"/>
      <c r="DO1970"/>
      <c r="DP1970"/>
      <c r="DQ1970"/>
      <c r="DR1970"/>
      <c r="DS1970"/>
      <c r="DT1970"/>
      <c r="DU1970"/>
      <c r="DV1970"/>
      <c r="DW1970"/>
      <c r="DX1970"/>
      <c r="DY1970"/>
      <c r="DZ1970"/>
      <c r="EA1970"/>
      <c r="EB1970"/>
      <c r="EC1970"/>
      <c r="ED1970"/>
      <c r="EE1970"/>
      <c r="EF1970"/>
      <c r="EG1970"/>
      <c r="EH1970"/>
      <c r="EI1970"/>
      <c r="EJ1970"/>
      <c r="EK1970"/>
      <c r="EL1970"/>
      <c r="EM1970"/>
      <c r="EN1970"/>
      <c r="EO1970"/>
      <c r="EP1970"/>
      <c r="EQ1970"/>
      <c r="ER1970"/>
      <c r="ES1970"/>
    </row>
    <row r="1971" spans="1:149">
      <c r="A1971"/>
      <c r="B1971"/>
      <c r="C1971"/>
      <c r="D1971"/>
      <c r="E1971"/>
      <c r="F1971"/>
      <c r="G1971"/>
      <c r="H1971"/>
      <c r="I1971"/>
      <c r="J1971"/>
      <c r="K1971"/>
      <c r="L1971"/>
      <c r="M1971"/>
      <c r="N1971"/>
      <c r="O1971"/>
      <c r="P1971"/>
      <c r="Q1971"/>
      <c r="R1971"/>
      <c r="S1971"/>
      <c r="T1971"/>
      <c r="U1971"/>
      <c r="V1971"/>
      <c r="W1971"/>
      <c r="X1971"/>
      <c r="Y1971"/>
      <c r="Z1971"/>
      <c r="AA1971"/>
      <c r="AB1971"/>
      <c r="AC1971"/>
      <c r="AD1971"/>
      <c r="AE1971"/>
      <c r="AF1971"/>
      <c r="AG1971"/>
      <c r="AH1971"/>
      <c r="AI1971"/>
      <c r="AJ1971"/>
      <c r="AK1971"/>
      <c r="AL1971"/>
      <c r="AM1971"/>
      <c r="AN1971"/>
      <c r="AO1971"/>
      <c r="AP1971"/>
      <c r="AQ1971"/>
      <c r="AR1971"/>
      <c r="AS1971"/>
      <c r="AT1971"/>
      <c r="AU1971"/>
      <c r="AV1971"/>
      <c r="AW1971"/>
      <c r="AX1971"/>
      <c r="AY1971"/>
      <c r="AZ1971"/>
      <c r="BA1971"/>
      <c r="BB1971"/>
      <c r="BC1971"/>
      <c r="BD1971"/>
      <c r="BE1971"/>
      <c r="BF1971"/>
      <c r="BG1971"/>
      <c r="BH1971"/>
      <c r="BI1971"/>
      <c r="BJ1971"/>
      <c r="BK1971"/>
      <c r="BL1971"/>
      <c r="BM1971"/>
      <c r="BN1971"/>
      <c r="BO1971"/>
      <c r="BP1971"/>
      <c r="BQ1971"/>
      <c r="BR1971"/>
      <c r="BS1971"/>
      <c r="BT1971"/>
      <c r="BU1971"/>
      <c r="BV1971"/>
      <c r="BW1971"/>
      <c r="BX1971"/>
      <c r="BY1971"/>
      <c r="BZ1971"/>
      <c r="CA1971"/>
      <c r="CB1971"/>
      <c r="CC1971"/>
      <c r="CD1971"/>
      <c r="CE1971"/>
      <c r="CF1971"/>
      <c r="CG1971"/>
      <c r="CH1971"/>
      <c r="CI1971"/>
      <c r="CJ1971"/>
      <c r="CK1971"/>
      <c r="CL1971"/>
      <c r="CM1971"/>
      <c r="CN1971"/>
      <c r="CO1971"/>
      <c r="CP1971"/>
      <c r="CQ1971"/>
      <c r="CR1971"/>
      <c r="CS1971"/>
      <c r="CT1971"/>
      <c r="CU1971"/>
      <c r="CV1971"/>
      <c r="CW1971"/>
      <c r="CX1971"/>
      <c r="CY1971"/>
      <c r="CZ1971"/>
      <c r="DA1971"/>
      <c r="DB1971"/>
      <c r="DC1971"/>
      <c r="DD1971"/>
      <c r="DE1971"/>
      <c r="DF1971"/>
      <c r="DG1971"/>
      <c r="DH1971"/>
      <c r="DI1971"/>
      <c r="DJ1971"/>
      <c r="DK1971"/>
      <c r="DL1971"/>
      <c r="DM1971"/>
      <c r="DN1971"/>
      <c r="DO1971"/>
      <c r="DP1971"/>
      <c r="DQ1971"/>
      <c r="DR1971"/>
      <c r="DS1971"/>
      <c r="DT1971"/>
      <c r="DU1971"/>
      <c r="DV1971"/>
      <c r="DW1971"/>
      <c r="DX1971"/>
      <c r="DY1971"/>
      <c r="DZ1971"/>
      <c r="EA1971"/>
      <c r="EB1971"/>
      <c r="EC1971"/>
      <c r="ED1971"/>
      <c r="EE1971"/>
      <c r="EF1971"/>
      <c r="EG1971"/>
      <c r="EH1971"/>
      <c r="EI1971"/>
      <c r="EJ1971"/>
      <c r="EK1971"/>
      <c r="EL1971"/>
      <c r="EM1971"/>
      <c r="EN1971"/>
      <c r="EO1971"/>
      <c r="EP1971"/>
      <c r="EQ1971"/>
      <c r="ER1971"/>
      <c r="ES1971"/>
    </row>
    <row r="1972" spans="1:149">
      <c r="A1972"/>
      <c r="B1972"/>
      <c r="C1972"/>
      <c r="D1972"/>
      <c r="E1972"/>
      <c r="F1972"/>
      <c r="G1972"/>
      <c r="H1972"/>
      <c r="I1972"/>
      <c r="J1972"/>
      <c r="K1972"/>
      <c r="L1972"/>
      <c r="M1972"/>
      <c r="N1972"/>
      <c r="O1972"/>
      <c r="P1972"/>
      <c r="Q1972"/>
      <c r="R1972"/>
      <c r="S1972"/>
      <c r="T1972"/>
      <c r="U1972"/>
      <c r="V1972"/>
      <c r="W1972"/>
      <c r="X1972"/>
      <c r="Y1972"/>
      <c r="Z1972"/>
      <c r="AA1972"/>
      <c r="AB1972"/>
      <c r="AC1972"/>
      <c r="AD1972"/>
      <c r="AE1972"/>
      <c r="AF1972"/>
      <c r="AG1972"/>
      <c r="AH1972"/>
      <c r="AI1972"/>
      <c r="AJ1972"/>
      <c r="AK1972"/>
      <c r="AL1972"/>
      <c r="AM1972"/>
      <c r="AN1972"/>
      <c r="AO1972"/>
      <c r="AP1972"/>
      <c r="AQ1972"/>
      <c r="AR1972"/>
      <c r="AS1972"/>
      <c r="AT1972"/>
      <c r="AU1972"/>
      <c r="AV1972"/>
      <c r="AW1972"/>
      <c r="AX1972"/>
      <c r="AY1972"/>
      <c r="AZ1972"/>
      <c r="BA1972"/>
      <c r="BB1972"/>
      <c r="BC1972"/>
      <c r="BD1972"/>
      <c r="BE1972"/>
      <c r="BF1972"/>
      <c r="BG1972"/>
      <c r="BH1972"/>
      <c r="BI1972"/>
      <c r="BJ1972"/>
      <c r="BK1972"/>
      <c r="BL1972"/>
      <c r="BM1972"/>
      <c r="BN1972"/>
      <c r="BO1972"/>
      <c r="BP1972"/>
      <c r="BQ1972"/>
      <c r="BR1972"/>
      <c r="BS1972"/>
      <c r="BT1972"/>
      <c r="BU1972"/>
      <c r="BV1972"/>
      <c r="BW1972"/>
      <c r="BX1972"/>
      <c r="BY1972"/>
      <c r="BZ1972"/>
      <c r="CA1972"/>
      <c r="CB1972"/>
      <c r="CC1972"/>
      <c r="CD1972"/>
      <c r="CE1972"/>
      <c r="CF1972"/>
      <c r="CG1972"/>
      <c r="CH1972"/>
      <c r="CI1972"/>
      <c r="CJ1972"/>
      <c r="CK1972"/>
      <c r="CL1972"/>
      <c r="CM1972"/>
      <c r="CN1972"/>
      <c r="CO1972"/>
      <c r="CP1972"/>
      <c r="CQ1972"/>
      <c r="CR1972"/>
      <c r="CS1972"/>
      <c r="CT1972"/>
      <c r="CU1972"/>
      <c r="CV1972"/>
      <c r="CW1972"/>
      <c r="CX1972"/>
      <c r="CY1972"/>
      <c r="CZ1972"/>
      <c r="DA1972"/>
      <c r="DB1972"/>
      <c r="DC1972"/>
      <c r="DD1972"/>
      <c r="DE1972"/>
      <c r="DF1972"/>
      <c r="DG1972"/>
      <c r="DH1972"/>
      <c r="DI1972"/>
      <c r="DJ1972"/>
      <c r="DK1972"/>
      <c r="DL1972"/>
      <c r="DM1972"/>
      <c r="DN1972"/>
      <c r="DO1972"/>
      <c r="DP1972"/>
      <c r="DQ1972"/>
      <c r="DR1972"/>
      <c r="DS1972"/>
      <c r="DT1972"/>
      <c r="DU1972"/>
      <c r="DV1972"/>
      <c r="DW1972"/>
      <c r="DX1972"/>
      <c r="DY1972"/>
      <c r="DZ1972"/>
      <c r="EA1972"/>
      <c r="EB1972"/>
      <c r="EC1972"/>
      <c r="ED1972"/>
      <c r="EE1972"/>
      <c r="EF1972"/>
      <c r="EG1972"/>
      <c r="EH1972"/>
      <c r="EI1972"/>
      <c r="EJ1972"/>
      <c r="EK1972"/>
      <c r="EL1972"/>
      <c r="EM1972"/>
      <c r="EN1972"/>
      <c r="EO1972"/>
      <c r="EP1972"/>
      <c r="EQ1972"/>
      <c r="ER1972"/>
      <c r="ES1972"/>
    </row>
    <row r="1973" spans="1:149">
      <c r="A1973"/>
      <c r="B1973"/>
      <c r="C1973"/>
      <c r="D1973"/>
      <c r="E1973"/>
      <c r="F1973"/>
      <c r="G1973"/>
      <c r="H1973"/>
      <c r="I1973"/>
      <c r="J1973"/>
      <c r="K1973"/>
      <c r="L1973"/>
      <c r="M1973"/>
      <c r="N1973"/>
      <c r="O1973"/>
      <c r="P1973"/>
      <c r="Q1973"/>
      <c r="R1973"/>
      <c r="S1973"/>
      <c r="T1973"/>
      <c r="U1973"/>
      <c r="V1973"/>
      <c r="W1973"/>
      <c r="X1973"/>
      <c r="Y1973"/>
      <c r="Z1973"/>
      <c r="AA1973"/>
      <c r="AB1973"/>
      <c r="AC1973"/>
      <c r="AD1973"/>
      <c r="AE1973"/>
      <c r="AF1973"/>
      <c r="AG1973"/>
      <c r="AH1973"/>
      <c r="AI1973"/>
      <c r="AJ1973"/>
      <c r="AK1973"/>
      <c r="AL1973"/>
      <c r="AM1973"/>
      <c r="AN1973"/>
      <c r="AO1973"/>
      <c r="AP1973"/>
      <c r="AQ1973"/>
      <c r="AR1973"/>
      <c r="AS1973"/>
      <c r="AT1973"/>
      <c r="AU1973"/>
      <c r="AV1973"/>
      <c r="AW1973"/>
      <c r="AX1973"/>
      <c r="AY1973"/>
      <c r="AZ1973"/>
      <c r="BA1973"/>
      <c r="BB1973"/>
      <c r="BC1973"/>
      <c r="BD1973"/>
      <c r="BE1973"/>
      <c r="BF1973"/>
      <c r="BG1973"/>
      <c r="BH1973"/>
      <c r="BI1973"/>
      <c r="BJ1973"/>
      <c r="BK1973"/>
      <c r="BL1973"/>
      <c r="BM1973"/>
      <c r="BN1973"/>
      <c r="BO1973"/>
      <c r="BP1973"/>
      <c r="BQ1973"/>
      <c r="BR1973"/>
      <c r="BS1973"/>
      <c r="BT1973"/>
      <c r="BU1973"/>
      <c r="BV1973"/>
      <c r="BW1973"/>
      <c r="BX1973"/>
      <c r="BY1973"/>
      <c r="BZ1973"/>
      <c r="CA1973"/>
      <c r="CB1973"/>
      <c r="CC1973"/>
      <c r="CD1973"/>
      <c r="CE1973"/>
      <c r="CF1973"/>
      <c r="CG1973"/>
      <c r="CH1973"/>
      <c r="CI1973"/>
      <c r="CJ1973"/>
      <c r="CK1973"/>
      <c r="CL1973"/>
      <c r="CM1973"/>
      <c r="CN1973"/>
      <c r="CO1973"/>
      <c r="CP1973"/>
      <c r="CQ1973"/>
      <c r="CR1973"/>
      <c r="CS1973"/>
      <c r="CT1973"/>
      <c r="CU1973"/>
      <c r="CV1973"/>
      <c r="CW1973"/>
      <c r="CX1973"/>
      <c r="CY1973"/>
      <c r="CZ1973"/>
      <c r="DA1973"/>
      <c r="DB1973"/>
      <c r="DC1973"/>
      <c r="DD1973"/>
      <c r="DE1973"/>
      <c r="DF1973"/>
      <c r="DG1973"/>
      <c r="DH1973"/>
      <c r="DI1973"/>
      <c r="DJ1973"/>
      <c r="DK1973"/>
      <c r="DL1973"/>
      <c r="DM1973"/>
      <c r="DN1973"/>
      <c r="DO1973"/>
      <c r="DP1973"/>
      <c r="DQ1973"/>
      <c r="DR1973"/>
      <c r="DS1973"/>
      <c r="DT1973"/>
      <c r="DU1973"/>
      <c r="DV1973"/>
      <c r="DW1973"/>
      <c r="DX1973"/>
      <c r="DY1973"/>
      <c r="DZ1973"/>
      <c r="EA1973"/>
      <c r="EB1973"/>
      <c r="EC1973"/>
      <c r="ED1973"/>
      <c r="EE1973"/>
      <c r="EF1973"/>
      <c r="EG1973"/>
      <c r="EH1973"/>
      <c r="EI1973"/>
      <c r="EJ1973"/>
      <c r="EK1973"/>
      <c r="EL1973"/>
      <c r="EM1973"/>
      <c r="EN1973"/>
      <c r="EO1973"/>
      <c r="EP1973"/>
      <c r="EQ1973"/>
      <c r="ER1973"/>
      <c r="ES1973"/>
    </row>
    <row r="1974" spans="1:149">
      <c r="A1974"/>
      <c r="B1974"/>
      <c r="C1974"/>
      <c r="D1974"/>
      <c r="E1974"/>
      <c r="F1974"/>
      <c r="G1974"/>
      <c r="H1974"/>
      <c r="I1974"/>
      <c r="J1974"/>
      <c r="K1974"/>
      <c r="L1974"/>
      <c r="M1974"/>
      <c r="N1974"/>
      <c r="O1974"/>
      <c r="P1974"/>
      <c r="Q1974"/>
      <c r="R1974"/>
      <c r="S1974"/>
      <c r="T1974"/>
      <c r="U1974"/>
      <c r="V1974"/>
      <c r="W1974"/>
      <c r="X1974"/>
      <c r="Y1974"/>
      <c r="Z1974"/>
      <c r="AA1974"/>
      <c r="AB1974"/>
      <c r="AC1974"/>
      <c r="AD1974"/>
      <c r="AE1974"/>
      <c r="AF1974"/>
      <c r="AG1974"/>
      <c r="AH1974"/>
      <c r="AI1974"/>
      <c r="AJ1974"/>
      <c r="AK1974"/>
      <c r="AL1974"/>
      <c r="AM1974"/>
      <c r="AN1974"/>
      <c r="AO1974"/>
      <c r="AP1974"/>
      <c r="AQ1974"/>
      <c r="AR1974"/>
      <c r="AS1974"/>
      <c r="AT1974"/>
      <c r="AU1974"/>
      <c r="AV1974"/>
      <c r="AW1974"/>
      <c r="AX1974"/>
      <c r="AY1974"/>
      <c r="AZ1974"/>
      <c r="BA1974"/>
      <c r="BB1974"/>
      <c r="BC1974"/>
      <c r="BD1974"/>
      <c r="BE1974"/>
      <c r="BF1974"/>
      <c r="BG1974"/>
      <c r="BH1974"/>
      <c r="BI1974"/>
      <c r="BJ1974"/>
      <c r="BK1974"/>
      <c r="BL1974"/>
      <c r="BM1974"/>
      <c r="BN1974"/>
      <c r="BO1974"/>
      <c r="BP1974"/>
      <c r="BQ1974"/>
      <c r="BR1974"/>
      <c r="BS1974"/>
      <c r="BT1974"/>
      <c r="BU1974"/>
      <c r="BV1974"/>
      <c r="BW1974"/>
      <c r="BX1974"/>
      <c r="BY1974"/>
      <c r="BZ1974"/>
      <c r="CA1974"/>
      <c r="CB1974"/>
      <c r="CC1974"/>
      <c r="CD1974"/>
      <c r="CE1974"/>
      <c r="CF1974"/>
      <c r="CG1974"/>
      <c r="CH1974"/>
      <c r="CI1974"/>
      <c r="CJ1974"/>
      <c r="CK1974"/>
      <c r="CL1974"/>
      <c r="CM1974"/>
      <c r="CN1974"/>
      <c r="CO1974"/>
      <c r="CP1974"/>
      <c r="CQ1974"/>
      <c r="CR1974"/>
      <c r="CS1974"/>
      <c r="CT1974"/>
      <c r="CU1974"/>
      <c r="CV1974"/>
      <c r="CW1974"/>
      <c r="CX1974"/>
      <c r="CY1974"/>
      <c r="CZ1974"/>
      <c r="DA1974"/>
      <c r="DB1974"/>
      <c r="DC1974"/>
      <c r="DD1974"/>
      <c r="DE1974"/>
      <c r="DF1974"/>
      <c r="DG1974"/>
      <c r="DH1974"/>
      <c r="DI1974"/>
      <c r="DJ1974"/>
      <c r="DK1974"/>
      <c r="DL1974"/>
      <c r="DM1974"/>
      <c r="DN1974"/>
      <c r="DO1974"/>
      <c r="DP1974"/>
      <c r="DQ1974"/>
      <c r="DR1974"/>
      <c r="DS1974"/>
      <c r="DT1974"/>
      <c r="DU1974"/>
      <c r="DV1974"/>
      <c r="DW1974"/>
      <c r="DX1974"/>
      <c r="DY1974"/>
      <c r="DZ1974"/>
      <c r="EA1974"/>
      <c r="EB1974"/>
      <c r="EC1974"/>
      <c r="ED1974"/>
      <c r="EE1974"/>
      <c r="EF1974"/>
      <c r="EG1974"/>
      <c r="EH1974"/>
      <c r="EI1974"/>
      <c r="EJ1974"/>
      <c r="EK1974"/>
      <c r="EL1974"/>
      <c r="EM1974"/>
      <c r="EN1974"/>
      <c r="EO1974"/>
      <c r="EP1974"/>
      <c r="EQ1974"/>
      <c r="ER1974"/>
      <c r="ES1974"/>
    </row>
    <row r="1975" spans="1:149">
      <c r="A1975"/>
      <c r="B1975"/>
      <c r="C1975"/>
      <c r="D1975"/>
      <c r="E1975"/>
      <c r="F1975"/>
      <c r="G1975"/>
      <c r="H1975"/>
      <c r="I1975"/>
      <c r="J1975"/>
      <c r="K1975"/>
      <c r="L1975"/>
      <c r="M1975"/>
      <c r="N1975"/>
      <c r="O1975"/>
      <c r="P1975"/>
      <c r="Q1975"/>
      <c r="R1975"/>
      <c r="S1975"/>
      <c r="T1975"/>
      <c r="U1975"/>
      <c r="V1975"/>
      <c r="W1975"/>
      <c r="X1975"/>
      <c r="Y1975"/>
      <c r="Z1975"/>
      <c r="AA1975"/>
      <c r="AB1975"/>
      <c r="AC1975"/>
      <c r="AD1975"/>
      <c r="AE1975"/>
      <c r="AF1975"/>
      <c r="AG1975"/>
      <c r="AH1975"/>
      <c r="AI1975"/>
      <c r="AJ1975"/>
      <c r="AK1975"/>
      <c r="AL1975"/>
      <c r="AM1975"/>
      <c r="AN1975"/>
      <c r="AO1975"/>
      <c r="AP1975"/>
      <c r="AQ1975"/>
      <c r="AR1975"/>
      <c r="AS1975"/>
      <c r="AT1975"/>
      <c r="AU1975"/>
      <c r="AV1975"/>
      <c r="AW1975"/>
      <c r="AX1975"/>
      <c r="AY1975"/>
      <c r="AZ1975"/>
      <c r="BA1975"/>
      <c r="BB1975"/>
      <c r="BC1975"/>
      <c r="BD1975"/>
      <c r="BE1975"/>
      <c r="BF1975"/>
      <c r="BG1975"/>
      <c r="BH1975"/>
      <c r="BI1975"/>
      <c r="BJ1975"/>
      <c r="BK1975"/>
      <c r="BL1975"/>
      <c r="BM1975"/>
      <c r="BN1975"/>
      <c r="BO1975"/>
      <c r="BP1975"/>
      <c r="BQ1975"/>
      <c r="BR1975"/>
      <c r="BS1975"/>
      <c r="BT1975"/>
      <c r="BU1975"/>
      <c r="BV1975"/>
      <c r="BW1975"/>
      <c r="BX1975"/>
      <c r="BY1975"/>
      <c r="BZ1975"/>
      <c r="CA1975"/>
      <c r="CB1975"/>
      <c r="CC1975"/>
      <c r="CD1975"/>
      <c r="CE1975"/>
      <c r="CF1975"/>
      <c r="CG1975"/>
      <c r="CH1975"/>
      <c r="CI1975"/>
      <c r="CJ1975"/>
      <c r="CK1975"/>
      <c r="CL1975"/>
      <c r="CM1975"/>
      <c r="CN1975"/>
      <c r="CO1975"/>
      <c r="CP1975"/>
      <c r="CQ1975"/>
      <c r="CR1975"/>
      <c r="CS1975"/>
      <c r="CT1975"/>
      <c r="CU1975"/>
      <c r="CV1975"/>
      <c r="CW1975"/>
      <c r="CX1975"/>
      <c r="CY1975"/>
      <c r="CZ1975"/>
      <c r="DA1975"/>
      <c r="DB1975"/>
      <c r="DC1975"/>
      <c r="DD1975"/>
      <c r="DE1975"/>
      <c r="DF1975"/>
      <c r="DG1975"/>
      <c r="DH1975"/>
      <c r="DI1975"/>
      <c r="DJ1975"/>
      <c r="DK1975"/>
      <c r="DL1975"/>
      <c r="DM1975"/>
      <c r="DN1975"/>
      <c r="DO1975"/>
      <c r="DP1975"/>
      <c r="DQ1975"/>
      <c r="DR1975"/>
      <c r="DS1975"/>
      <c r="DT1975"/>
      <c r="DU1975"/>
      <c r="DV1975"/>
      <c r="DW1975"/>
      <c r="DX1975"/>
      <c r="DY1975"/>
      <c r="DZ1975"/>
      <c r="EA1975"/>
      <c r="EB1975"/>
      <c r="EC1975"/>
      <c r="ED1975"/>
      <c r="EE1975"/>
      <c r="EF1975"/>
      <c r="EG1975"/>
      <c r="EH1975"/>
      <c r="EI1975"/>
      <c r="EJ1975"/>
      <c r="EK1975"/>
      <c r="EL1975"/>
      <c r="EM1975"/>
      <c r="EN1975"/>
      <c r="EO1975"/>
      <c r="EP1975"/>
      <c r="EQ1975"/>
      <c r="ER1975"/>
      <c r="ES1975"/>
    </row>
    <row r="1976" spans="1:149">
      <c r="A1976"/>
      <c r="B1976"/>
      <c r="C1976"/>
      <c r="D1976"/>
      <c r="E1976"/>
      <c r="F1976"/>
      <c r="G1976"/>
      <c r="H1976"/>
      <c r="I1976"/>
      <c r="J1976"/>
      <c r="K1976"/>
      <c r="L1976"/>
      <c r="M1976"/>
      <c r="N1976"/>
      <c r="O1976"/>
      <c r="P1976"/>
      <c r="Q1976"/>
      <c r="R1976"/>
      <c r="S1976"/>
      <c r="T1976"/>
      <c r="U1976"/>
      <c r="V1976"/>
      <c r="W1976"/>
      <c r="X1976"/>
      <c r="Y1976"/>
      <c r="Z1976"/>
      <c r="AA1976"/>
      <c r="AB1976"/>
      <c r="AC1976"/>
      <c r="AD1976"/>
      <c r="AE1976"/>
      <c r="AF1976"/>
      <c r="AG1976"/>
      <c r="AH1976"/>
      <c r="AI1976"/>
      <c r="AJ1976"/>
      <c r="AK1976"/>
      <c r="AL1976"/>
      <c r="AM1976"/>
      <c r="AN1976"/>
      <c r="AO1976"/>
      <c r="AP1976"/>
      <c r="AQ1976"/>
      <c r="AR1976"/>
      <c r="AS1976"/>
      <c r="AT1976"/>
      <c r="AU1976"/>
      <c r="AV1976"/>
      <c r="AW1976"/>
      <c r="AX1976"/>
      <c r="AY1976"/>
      <c r="AZ1976"/>
      <c r="BA1976"/>
      <c r="BB1976"/>
      <c r="BC1976"/>
      <c r="BD1976"/>
      <c r="BE1976"/>
      <c r="BF1976"/>
      <c r="BG1976"/>
      <c r="BH1976"/>
      <c r="BI1976"/>
      <c r="BJ1976"/>
      <c r="BK1976"/>
      <c r="BL1976"/>
      <c r="BM1976"/>
      <c r="BN1976"/>
      <c r="BO1976"/>
      <c r="BP1976"/>
      <c r="BQ1976"/>
      <c r="BR1976"/>
      <c r="BS1976"/>
      <c r="BT1976"/>
      <c r="BU1976"/>
      <c r="BV1976"/>
      <c r="BW1976"/>
      <c r="BX1976"/>
      <c r="BY1976"/>
      <c r="BZ1976"/>
      <c r="CA1976"/>
      <c r="CB1976"/>
      <c r="CC1976"/>
      <c r="CD1976"/>
      <c r="CE1976"/>
      <c r="CF1976"/>
      <c r="CG1976"/>
      <c r="CH1976"/>
      <c r="CI1976"/>
      <c r="CJ1976"/>
      <c r="CK1976"/>
      <c r="CL1976"/>
      <c r="CM1976"/>
      <c r="CN1976"/>
      <c r="CO1976"/>
      <c r="CP1976"/>
      <c r="CQ1976"/>
      <c r="CR1976"/>
      <c r="CS1976"/>
      <c r="CT1976"/>
      <c r="CU1976"/>
      <c r="CV1976"/>
      <c r="CW1976"/>
      <c r="CX1976"/>
      <c r="CY1976"/>
      <c r="CZ1976"/>
      <c r="DA1976"/>
      <c r="DB1976"/>
      <c r="DC1976"/>
      <c r="DD1976"/>
      <c r="DE1976"/>
      <c r="DF1976"/>
      <c r="DG1976"/>
      <c r="DH1976"/>
      <c r="DI1976"/>
      <c r="DJ1976"/>
      <c r="DK1976"/>
      <c r="DL1976"/>
      <c r="DM1976"/>
      <c r="DN1976"/>
      <c r="DO1976"/>
      <c r="DP1976"/>
      <c r="DQ1976"/>
      <c r="DR1976"/>
      <c r="DS1976"/>
      <c r="DT1976"/>
      <c r="DU1976"/>
      <c r="DV1976"/>
      <c r="DW1976"/>
      <c r="DX1976"/>
      <c r="DY1976"/>
      <c r="DZ1976"/>
      <c r="EA1976"/>
      <c r="EB1976"/>
      <c r="EC1976"/>
      <c r="ED1976"/>
      <c r="EE1976"/>
      <c r="EF1976"/>
      <c r="EG1976"/>
      <c r="EH1976"/>
      <c r="EI1976"/>
      <c r="EJ1976"/>
      <c r="EK1976"/>
      <c r="EL1976"/>
      <c r="EM1976"/>
      <c r="EN1976"/>
      <c r="EO1976"/>
      <c r="EP1976"/>
      <c r="EQ1976"/>
      <c r="ER1976"/>
      <c r="ES1976"/>
    </row>
    <row r="1977" spans="1:149">
      <c r="A1977"/>
      <c r="B1977"/>
      <c r="C1977"/>
      <c r="D1977"/>
      <c r="E1977"/>
      <c r="F1977"/>
      <c r="G1977"/>
      <c r="H1977"/>
      <c r="I1977"/>
      <c r="J1977"/>
      <c r="K1977"/>
      <c r="L1977"/>
      <c r="M1977"/>
      <c r="N1977"/>
      <c r="O1977"/>
      <c r="P1977"/>
      <c r="Q1977"/>
      <c r="R1977"/>
      <c r="S1977"/>
      <c r="T1977"/>
      <c r="U1977"/>
      <c r="V1977"/>
      <c r="W1977"/>
      <c r="X1977"/>
      <c r="Y1977"/>
      <c r="Z1977"/>
      <c r="AA1977"/>
      <c r="AB1977"/>
      <c r="AC1977"/>
      <c r="AD1977"/>
      <c r="AE1977"/>
      <c r="AF1977"/>
      <c r="AG1977"/>
      <c r="AH1977"/>
      <c r="AI1977"/>
      <c r="AJ1977"/>
      <c r="AK1977"/>
      <c r="AL1977"/>
      <c r="AM1977"/>
      <c r="AN1977"/>
      <c r="AO1977"/>
      <c r="AP1977"/>
      <c r="AQ1977"/>
      <c r="AR1977"/>
      <c r="AS1977"/>
      <c r="AT1977"/>
      <c r="AU1977"/>
      <c r="AV1977"/>
      <c r="AW1977"/>
      <c r="AX1977"/>
      <c r="AY1977"/>
      <c r="AZ1977"/>
      <c r="BA1977"/>
      <c r="BB1977"/>
      <c r="BC1977"/>
      <c r="BD1977"/>
      <c r="BE1977"/>
      <c r="BF1977"/>
      <c r="BG1977"/>
      <c r="BH1977"/>
      <c r="BI1977"/>
      <c r="BJ1977"/>
      <c r="BK1977"/>
      <c r="BL1977"/>
      <c r="BM1977"/>
      <c r="BN1977"/>
      <c r="BO1977"/>
      <c r="BP1977"/>
      <c r="BQ1977"/>
      <c r="BR1977"/>
      <c r="BS1977"/>
      <c r="BT1977"/>
      <c r="BU1977"/>
      <c r="BV1977"/>
      <c r="BW1977"/>
      <c r="BX1977"/>
      <c r="BY1977"/>
      <c r="BZ1977"/>
      <c r="CA1977"/>
      <c r="CB1977"/>
      <c r="CC1977"/>
      <c r="CD1977"/>
      <c r="CE1977"/>
      <c r="CF1977"/>
      <c r="CG1977"/>
      <c r="CH1977"/>
      <c r="CI1977"/>
      <c r="CJ1977"/>
      <c r="CK1977"/>
      <c r="CL1977"/>
      <c r="CM1977"/>
      <c r="CN1977"/>
      <c r="CO1977"/>
      <c r="CP1977"/>
      <c r="CQ1977"/>
      <c r="CR1977"/>
      <c r="CS1977"/>
      <c r="CT1977"/>
      <c r="CU1977"/>
      <c r="CV1977"/>
      <c r="CW1977"/>
      <c r="CX1977"/>
      <c r="CY1977"/>
      <c r="CZ1977"/>
      <c r="DA1977"/>
      <c r="DB1977"/>
      <c r="DC1977"/>
      <c r="DD1977"/>
      <c r="DE1977"/>
      <c r="DF1977"/>
      <c r="DG1977"/>
      <c r="DH1977"/>
      <c r="DI1977"/>
      <c r="DJ1977"/>
      <c r="DK1977"/>
      <c r="DL1977"/>
      <c r="DM1977"/>
      <c r="DN1977"/>
      <c r="DO1977"/>
      <c r="DP1977"/>
      <c r="DQ1977"/>
      <c r="DR1977"/>
      <c r="DS1977"/>
      <c r="DT1977"/>
      <c r="DU1977"/>
      <c r="DV1977"/>
      <c r="DW1977"/>
      <c r="DX1977"/>
      <c r="DY1977"/>
      <c r="DZ1977"/>
      <c r="EA1977"/>
      <c r="EB1977"/>
      <c r="EC1977"/>
      <c r="ED1977"/>
      <c r="EE1977"/>
      <c r="EF1977"/>
      <c r="EG1977"/>
      <c r="EH1977"/>
      <c r="EI1977"/>
      <c r="EJ1977"/>
      <c r="EK1977"/>
      <c r="EL1977"/>
      <c r="EM1977"/>
      <c r="EN1977"/>
      <c r="EO1977"/>
      <c r="EP1977"/>
      <c r="EQ1977"/>
      <c r="ER1977"/>
      <c r="ES1977"/>
    </row>
    <row r="1978" spans="1:149">
      <c r="A1978"/>
      <c r="B1978"/>
      <c r="C1978"/>
      <c r="D1978"/>
      <c r="E1978"/>
      <c r="F1978"/>
      <c r="G1978"/>
      <c r="H1978"/>
      <c r="I1978"/>
      <c r="J1978"/>
      <c r="K1978"/>
      <c r="L1978"/>
      <c r="M1978"/>
      <c r="N1978"/>
      <c r="O1978"/>
      <c r="P1978"/>
      <c r="Q1978"/>
      <c r="R1978"/>
      <c r="S1978"/>
      <c r="T1978"/>
      <c r="U1978"/>
      <c r="V1978"/>
      <c r="W1978"/>
      <c r="X1978"/>
      <c r="Y1978"/>
      <c r="Z1978"/>
      <c r="AA1978"/>
      <c r="AB1978"/>
      <c r="AC1978"/>
      <c r="AD1978"/>
      <c r="AE1978"/>
      <c r="AF1978"/>
      <c r="AG1978"/>
      <c r="AH1978"/>
      <c r="AI1978"/>
      <c r="AJ1978"/>
      <c r="AK1978"/>
      <c r="AL1978"/>
      <c r="AM1978"/>
      <c r="AN1978"/>
      <c r="AO1978"/>
      <c r="AP1978"/>
      <c r="AQ1978"/>
      <c r="AR1978"/>
      <c r="AS1978"/>
      <c r="AT1978"/>
      <c r="AU1978"/>
      <c r="AV1978"/>
      <c r="AW1978"/>
      <c r="AX1978"/>
      <c r="AY1978"/>
      <c r="AZ1978"/>
      <c r="BA1978"/>
      <c r="BB1978"/>
      <c r="BC1978"/>
      <c r="BD1978"/>
      <c r="BE1978"/>
      <c r="BF1978"/>
      <c r="BG1978"/>
      <c r="BH1978"/>
      <c r="BI1978"/>
      <c r="BJ1978"/>
      <c r="BK1978"/>
      <c r="BL1978"/>
      <c r="BM1978"/>
      <c r="BN1978"/>
      <c r="BO1978"/>
      <c r="BP1978"/>
      <c r="BQ1978"/>
      <c r="BR1978"/>
      <c r="BS1978"/>
      <c r="BT1978"/>
      <c r="BU1978"/>
      <c r="BV1978"/>
      <c r="BW1978"/>
      <c r="BX1978"/>
      <c r="BY1978"/>
      <c r="BZ1978"/>
      <c r="CA1978"/>
      <c r="CB1978"/>
      <c r="CC1978"/>
      <c r="CD1978"/>
      <c r="CE1978"/>
      <c r="CF1978"/>
      <c r="CG1978"/>
      <c r="CH1978"/>
      <c r="CI1978"/>
      <c r="CJ1978"/>
      <c r="CK1978"/>
      <c r="CL1978"/>
      <c r="CM1978"/>
      <c r="CN1978"/>
      <c r="CO1978"/>
      <c r="CP1978"/>
      <c r="CQ1978"/>
      <c r="CR1978"/>
      <c r="CS1978"/>
      <c r="CT1978"/>
      <c r="CU1978"/>
      <c r="CV1978"/>
      <c r="CW1978"/>
      <c r="CX1978"/>
      <c r="CY1978"/>
      <c r="CZ1978"/>
      <c r="DA1978"/>
      <c r="DB1978"/>
      <c r="DC1978"/>
      <c r="DD1978"/>
      <c r="DE1978"/>
      <c r="DF1978"/>
      <c r="DG1978"/>
      <c r="DH1978"/>
      <c r="DI1978"/>
      <c r="DJ1978"/>
      <c r="DK1978"/>
      <c r="DL1978"/>
      <c r="DM1978"/>
      <c r="DN1978"/>
      <c r="DO1978"/>
      <c r="DP1978"/>
      <c r="DQ1978"/>
      <c r="DR1978"/>
      <c r="DS1978"/>
      <c r="DT1978"/>
      <c r="DU1978"/>
      <c r="DV1978"/>
      <c r="DW1978"/>
      <c r="DX1978"/>
      <c r="DY1978"/>
      <c r="DZ1978"/>
      <c r="EA1978"/>
      <c r="EB1978"/>
      <c r="EC1978"/>
      <c r="ED1978"/>
      <c r="EE1978"/>
      <c r="EF1978"/>
      <c r="EG1978"/>
      <c r="EH1978"/>
      <c r="EI1978"/>
      <c r="EJ1978"/>
      <c r="EK1978"/>
      <c r="EL1978"/>
      <c r="EM1978"/>
      <c r="EN1978"/>
      <c r="EO1978"/>
      <c r="EP1978"/>
      <c r="EQ1978"/>
      <c r="ER1978"/>
      <c r="ES1978"/>
    </row>
    <row r="1979" spans="1:149">
      <c r="A1979"/>
      <c r="B1979"/>
      <c r="C1979"/>
      <c r="D1979"/>
      <c r="E1979"/>
      <c r="F1979"/>
      <c r="G1979"/>
      <c r="H1979"/>
      <c r="I1979"/>
      <c r="J1979"/>
      <c r="K1979"/>
      <c r="L1979"/>
      <c r="M1979"/>
      <c r="N1979"/>
      <c r="O1979"/>
      <c r="P1979"/>
      <c r="Q1979"/>
      <c r="R1979"/>
      <c r="S1979"/>
      <c r="T1979"/>
      <c r="U1979"/>
      <c r="V1979"/>
      <c r="W1979"/>
      <c r="X1979"/>
      <c r="Y1979"/>
      <c r="Z1979"/>
      <c r="AA1979"/>
      <c r="AB1979"/>
      <c r="AC1979"/>
      <c r="AD1979"/>
      <c r="AE1979"/>
      <c r="AF1979"/>
      <c r="AG1979"/>
      <c r="AH1979"/>
      <c r="AI1979"/>
      <c r="AJ1979"/>
      <c r="AK1979"/>
      <c r="AL1979"/>
      <c r="AM1979"/>
      <c r="AN1979"/>
      <c r="AO1979"/>
      <c r="AP1979"/>
      <c r="AQ1979"/>
      <c r="AR1979"/>
      <c r="AS1979"/>
      <c r="AT1979"/>
      <c r="AU1979"/>
      <c r="AV1979"/>
      <c r="AW1979"/>
      <c r="AX1979"/>
      <c r="AY1979"/>
      <c r="AZ1979"/>
      <c r="BA1979"/>
      <c r="BB1979"/>
      <c r="BC1979"/>
      <c r="BD1979"/>
      <c r="BE1979"/>
      <c r="BF1979"/>
      <c r="BG1979"/>
      <c r="BH1979"/>
      <c r="BI1979"/>
      <c r="BJ1979"/>
      <c r="BK1979"/>
      <c r="BL1979"/>
      <c r="BM1979"/>
      <c r="BN1979"/>
      <c r="BO1979"/>
      <c r="BP1979"/>
      <c r="BQ1979"/>
      <c r="BR1979"/>
      <c r="BS1979"/>
      <c r="BT1979"/>
      <c r="BU1979"/>
      <c r="BV1979"/>
      <c r="BW1979"/>
      <c r="BX1979"/>
      <c r="BY1979"/>
      <c r="BZ1979"/>
      <c r="CA1979"/>
      <c r="CB1979"/>
      <c r="CC1979"/>
      <c r="CD1979"/>
      <c r="CE1979"/>
      <c r="CF1979"/>
      <c r="CG1979"/>
      <c r="CH1979"/>
      <c r="CI1979"/>
      <c r="CJ1979"/>
      <c r="CK1979"/>
      <c r="CL1979"/>
      <c r="CM1979"/>
      <c r="CN1979"/>
      <c r="CO1979"/>
      <c r="CP1979"/>
      <c r="CQ1979"/>
      <c r="CR1979"/>
      <c r="CS1979"/>
      <c r="CT1979"/>
      <c r="CU1979"/>
      <c r="CV1979"/>
      <c r="CW1979"/>
      <c r="CX1979"/>
      <c r="CY1979"/>
      <c r="CZ1979"/>
      <c r="DA1979"/>
      <c r="DB1979"/>
      <c r="DC1979"/>
      <c r="DD1979"/>
      <c r="DE1979"/>
      <c r="DF1979"/>
      <c r="DG1979"/>
      <c r="DH1979"/>
      <c r="DI1979"/>
      <c r="DJ1979"/>
      <c r="DK1979"/>
      <c r="DL1979"/>
      <c r="DM1979"/>
      <c r="DN1979"/>
      <c r="DO1979"/>
      <c r="DP1979"/>
      <c r="DQ1979"/>
      <c r="DR1979"/>
      <c r="DS1979"/>
      <c r="DT1979"/>
      <c r="DU1979"/>
      <c r="DV1979"/>
      <c r="DW1979"/>
      <c r="DX1979"/>
      <c r="DY1979"/>
      <c r="DZ1979"/>
      <c r="EA1979"/>
      <c r="EB1979"/>
      <c r="EC1979"/>
      <c r="ED1979"/>
      <c r="EE1979"/>
      <c r="EF1979"/>
      <c r="EG1979"/>
      <c r="EH1979"/>
      <c r="EI1979"/>
      <c r="EJ1979"/>
      <c r="EK1979"/>
      <c r="EL1979"/>
      <c r="EM1979"/>
      <c r="EN1979"/>
      <c r="EO1979"/>
      <c r="EP1979"/>
      <c r="EQ1979"/>
      <c r="ER1979"/>
      <c r="ES1979"/>
    </row>
    <row r="1980" spans="1:149">
      <c r="A1980"/>
      <c r="B1980"/>
      <c r="C1980"/>
      <c r="D1980"/>
      <c r="E1980"/>
      <c r="F1980"/>
      <c r="G1980"/>
      <c r="H1980"/>
      <c r="I1980"/>
      <c r="J1980"/>
      <c r="K1980"/>
      <c r="L1980"/>
      <c r="M1980"/>
      <c r="N1980"/>
      <c r="O1980"/>
      <c r="P1980"/>
      <c r="Q1980"/>
      <c r="R1980"/>
      <c r="S1980"/>
      <c r="T1980"/>
      <c r="U1980"/>
      <c r="V1980"/>
      <c r="W1980"/>
      <c r="X1980"/>
      <c r="Y1980"/>
      <c r="Z1980"/>
      <c r="AA1980"/>
      <c r="AB1980"/>
      <c r="AC1980"/>
      <c r="AD1980"/>
      <c r="AE1980"/>
      <c r="AF1980"/>
      <c r="AG1980"/>
      <c r="AH1980"/>
      <c r="AI1980"/>
      <c r="AJ1980"/>
      <c r="AK1980"/>
      <c r="AL1980"/>
      <c r="AM1980"/>
      <c r="AN1980"/>
      <c r="AO1980"/>
      <c r="AP1980"/>
      <c r="AQ1980"/>
      <c r="AR1980"/>
      <c r="AS1980"/>
      <c r="AT1980"/>
      <c r="AU1980"/>
      <c r="AV1980"/>
      <c r="AW1980"/>
      <c r="AX1980"/>
      <c r="AY1980"/>
      <c r="AZ1980"/>
      <c r="BA1980"/>
      <c r="BB1980"/>
      <c r="BC1980"/>
      <c r="BD1980"/>
      <c r="BE1980"/>
      <c r="BF1980"/>
      <c r="BG1980"/>
      <c r="BH1980"/>
      <c r="BI1980"/>
      <c r="BJ1980"/>
      <c r="BK1980"/>
      <c r="BL1980"/>
      <c r="BM1980"/>
      <c r="BN1980"/>
      <c r="BO1980"/>
      <c r="BP1980"/>
      <c r="BQ1980"/>
      <c r="BR1980"/>
      <c r="BS1980"/>
      <c r="BT1980"/>
      <c r="BU1980"/>
      <c r="BV1980"/>
      <c r="BW1980"/>
      <c r="BX1980"/>
      <c r="BY1980"/>
      <c r="BZ1980"/>
      <c r="CA1980"/>
      <c r="CB1980"/>
      <c r="CC1980"/>
      <c r="CD1980"/>
      <c r="CE1980"/>
      <c r="CF1980"/>
      <c r="CG1980"/>
      <c r="CH1980"/>
      <c r="CI1980"/>
      <c r="CJ1980"/>
      <c r="CK1980"/>
      <c r="CL1980"/>
      <c r="CM1980"/>
      <c r="CN1980"/>
      <c r="CO1980"/>
      <c r="CP1980"/>
      <c r="CQ1980"/>
      <c r="CR1980"/>
      <c r="CS1980"/>
      <c r="CT1980"/>
      <c r="CU1980"/>
      <c r="CV1980"/>
      <c r="CW1980"/>
      <c r="CX1980"/>
      <c r="CY1980"/>
      <c r="CZ1980"/>
      <c r="DA1980"/>
      <c r="DB1980"/>
      <c r="DC1980"/>
      <c r="DD1980"/>
      <c r="DE1980"/>
      <c r="DF1980"/>
      <c r="DG1980"/>
      <c r="DH1980"/>
      <c r="DI1980"/>
      <c r="DJ1980"/>
      <c r="DK1980"/>
      <c r="DL1980"/>
      <c r="DM1980"/>
      <c r="DN1980"/>
      <c r="DO1980"/>
      <c r="DP1980"/>
      <c r="DQ1980"/>
      <c r="DR1980"/>
      <c r="DS1980"/>
      <c r="DT1980"/>
      <c r="DU1980"/>
      <c r="DV1980"/>
      <c r="DW1980"/>
      <c r="DX1980"/>
      <c r="DY1980"/>
      <c r="DZ1980"/>
      <c r="EA1980"/>
      <c r="EB1980"/>
      <c r="EC1980"/>
      <c r="ED1980"/>
      <c r="EE1980"/>
      <c r="EF1980"/>
      <c r="EG1980"/>
      <c r="EH1980"/>
      <c r="EI1980"/>
      <c r="EJ1980"/>
      <c r="EK1980"/>
      <c r="EL1980"/>
      <c r="EM1980"/>
      <c r="EN1980"/>
      <c r="EO1980"/>
      <c r="EP1980"/>
      <c r="EQ1980"/>
      <c r="ER1980"/>
      <c r="ES1980"/>
    </row>
    <row r="1981" spans="1:149">
      <c r="A1981"/>
      <c r="B1981"/>
      <c r="C1981"/>
      <c r="D1981"/>
      <c r="E1981"/>
      <c r="F1981"/>
      <c r="G1981"/>
      <c r="H1981"/>
      <c r="I1981"/>
      <c r="J1981"/>
      <c r="K1981"/>
      <c r="L1981"/>
      <c r="M1981"/>
      <c r="N1981"/>
      <c r="O1981"/>
      <c r="P1981"/>
      <c r="Q1981"/>
      <c r="R1981"/>
      <c r="S1981"/>
      <c r="T1981"/>
      <c r="U1981"/>
      <c r="V1981"/>
      <c r="W1981"/>
      <c r="X1981"/>
      <c r="Y1981"/>
      <c r="Z1981"/>
      <c r="AA1981"/>
      <c r="AB1981"/>
      <c r="AC1981"/>
      <c r="AD1981"/>
      <c r="AE1981"/>
      <c r="AF1981"/>
      <c r="AG1981"/>
      <c r="AH1981"/>
      <c r="AI1981"/>
      <c r="AJ1981"/>
      <c r="AK1981"/>
      <c r="AL1981"/>
      <c r="AM1981"/>
      <c r="AN1981"/>
      <c r="AO1981"/>
      <c r="AP1981"/>
      <c r="AQ1981"/>
      <c r="AR1981"/>
      <c r="AS1981"/>
      <c r="AT1981"/>
      <c r="AU1981"/>
      <c r="AV1981"/>
      <c r="AW1981"/>
      <c r="AX1981"/>
      <c r="AY1981"/>
      <c r="AZ1981"/>
      <c r="BA1981"/>
      <c r="BB1981"/>
      <c r="BC1981"/>
      <c r="BD1981"/>
      <c r="BE1981"/>
      <c r="BF1981"/>
      <c r="BG1981"/>
      <c r="BH1981"/>
      <c r="BI1981"/>
      <c r="BJ1981"/>
      <c r="BK1981"/>
      <c r="BL1981"/>
      <c r="BM1981"/>
      <c r="BN1981"/>
      <c r="BO1981"/>
      <c r="BP1981"/>
      <c r="BQ1981"/>
      <c r="BR1981"/>
      <c r="BS1981"/>
      <c r="BT1981"/>
      <c r="BU1981"/>
      <c r="BV1981"/>
      <c r="BW1981"/>
      <c r="BX1981"/>
      <c r="BY1981"/>
      <c r="BZ1981"/>
      <c r="CA1981"/>
      <c r="CB1981"/>
      <c r="CC1981"/>
      <c r="CD1981"/>
      <c r="CE1981"/>
      <c r="CF1981"/>
      <c r="CG1981"/>
      <c r="CH1981"/>
      <c r="CI1981"/>
      <c r="CJ1981"/>
      <c r="CK1981"/>
      <c r="CL1981"/>
      <c r="CM1981"/>
      <c r="CN1981"/>
      <c r="CO1981"/>
      <c r="CP1981"/>
      <c r="CQ1981"/>
      <c r="CR1981"/>
      <c r="CS1981"/>
      <c r="CT1981"/>
      <c r="CU1981"/>
      <c r="CV1981"/>
      <c r="CW1981"/>
      <c r="CX1981"/>
      <c r="CY1981"/>
      <c r="CZ1981"/>
      <c r="DA1981"/>
      <c r="DB1981"/>
      <c r="DC1981"/>
      <c r="DD1981"/>
      <c r="DE1981"/>
      <c r="DF1981"/>
      <c r="DG1981"/>
      <c r="DH1981"/>
      <c r="DI1981"/>
      <c r="DJ1981"/>
      <c r="DK1981"/>
      <c r="DL1981"/>
      <c r="DM1981"/>
      <c r="DN1981"/>
      <c r="DO1981"/>
      <c r="DP1981"/>
      <c r="DQ1981"/>
      <c r="DR1981"/>
      <c r="DS1981"/>
      <c r="DT1981"/>
      <c r="DU1981"/>
      <c r="DV1981"/>
      <c r="DW1981"/>
      <c r="DX1981"/>
      <c r="DY1981"/>
      <c r="DZ1981"/>
      <c r="EA1981"/>
      <c r="EB1981"/>
      <c r="EC1981"/>
      <c r="ED1981"/>
      <c r="EE1981"/>
      <c r="EF1981"/>
      <c r="EG1981"/>
      <c r="EH1981"/>
      <c r="EI1981"/>
      <c r="EJ1981"/>
      <c r="EK1981"/>
      <c r="EL1981"/>
      <c r="EM1981"/>
      <c r="EN1981"/>
      <c r="EO1981"/>
      <c r="EP1981"/>
      <c r="EQ1981"/>
      <c r="ER1981"/>
      <c r="ES1981"/>
    </row>
    <row r="1982" spans="1:149">
      <c r="A1982"/>
      <c r="B1982"/>
      <c r="C1982"/>
      <c r="D1982"/>
      <c r="E1982"/>
      <c r="F1982"/>
      <c r="G1982"/>
      <c r="H1982"/>
      <c r="I1982"/>
      <c r="J1982"/>
      <c r="K1982"/>
      <c r="L1982"/>
      <c r="M1982"/>
      <c r="N1982"/>
      <c r="O1982"/>
      <c r="P1982"/>
      <c r="Q1982"/>
      <c r="R1982"/>
      <c r="S1982"/>
      <c r="T1982"/>
      <c r="U1982"/>
      <c r="V1982"/>
      <c r="W1982"/>
      <c r="X1982"/>
      <c r="Y1982"/>
      <c r="Z1982"/>
      <c r="AA1982"/>
      <c r="AB1982"/>
      <c r="AC1982"/>
      <c r="AD1982"/>
      <c r="AE1982"/>
      <c r="AF1982"/>
      <c r="AG1982"/>
      <c r="AH1982"/>
      <c r="AI1982"/>
      <c r="AJ1982"/>
      <c r="AK1982"/>
      <c r="AL1982"/>
      <c r="AM1982"/>
      <c r="AN1982"/>
      <c r="AO1982"/>
      <c r="AP1982"/>
      <c r="AQ1982"/>
      <c r="AR1982"/>
      <c r="AS1982"/>
      <c r="AT1982"/>
      <c r="AU1982"/>
      <c r="AV1982"/>
      <c r="AW1982"/>
      <c r="AX1982"/>
      <c r="AY1982"/>
      <c r="AZ1982"/>
      <c r="BA1982"/>
      <c r="BB1982"/>
      <c r="BC1982"/>
      <c r="BD1982"/>
      <c r="BE1982"/>
      <c r="BF1982"/>
      <c r="BG1982"/>
      <c r="BH1982"/>
      <c r="BI1982"/>
      <c r="BJ1982"/>
      <c r="BK1982"/>
      <c r="BL1982"/>
      <c r="BM1982"/>
      <c r="BN1982"/>
      <c r="BO1982"/>
      <c r="BP1982"/>
      <c r="BQ1982"/>
      <c r="BR1982"/>
      <c r="BS1982"/>
      <c r="BT1982"/>
      <c r="BU1982"/>
      <c r="BV1982"/>
      <c r="BW1982"/>
      <c r="BX1982"/>
      <c r="BY1982"/>
      <c r="BZ1982"/>
      <c r="CA1982"/>
      <c r="CB1982"/>
      <c r="CC1982"/>
      <c r="CD1982"/>
      <c r="CE1982"/>
      <c r="CF1982"/>
      <c r="CG1982"/>
      <c r="CH1982"/>
      <c r="CI1982"/>
      <c r="CJ1982"/>
      <c r="CK1982"/>
      <c r="CL1982"/>
      <c r="CM1982"/>
      <c r="CN1982"/>
      <c r="CO1982"/>
      <c r="CP1982"/>
      <c r="CQ1982"/>
      <c r="CR1982"/>
      <c r="CS1982"/>
      <c r="CT1982"/>
      <c r="CU1982"/>
      <c r="CV1982"/>
      <c r="CW1982"/>
      <c r="CX1982"/>
      <c r="CY1982"/>
      <c r="CZ1982"/>
      <c r="DA1982"/>
      <c r="DB1982"/>
      <c r="DC1982"/>
      <c r="DD1982"/>
      <c r="DE1982"/>
      <c r="DF1982"/>
      <c r="DG1982"/>
      <c r="DH1982"/>
      <c r="DI1982"/>
      <c r="DJ1982"/>
      <c r="DK1982"/>
      <c r="DL1982"/>
      <c r="DM1982"/>
      <c r="DN1982"/>
      <c r="DO1982"/>
      <c r="DP1982"/>
      <c r="DQ1982"/>
      <c r="DR1982"/>
      <c r="DS1982"/>
      <c r="DT1982"/>
      <c r="DU1982"/>
      <c r="DV1982"/>
      <c r="DW1982"/>
      <c r="DX1982"/>
      <c r="DY1982"/>
      <c r="DZ1982"/>
      <c r="EA1982"/>
      <c r="EB1982"/>
      <c r="EC1982"/>
      <c r="ED1982"/>
      <c r="EE1982"/>
      <c r="EF1982"/>
      <c r="EG1982"/>
      <c r="EH1982"/>
      <c r="EI1982"/>
      <c r="EJ1982"/>
      <c r="EK1982"/>
      <c r="EL1982"/>
      <c r="EM1982"/>
      <c r="EN1982"/>
      <c r="EO1982"/>
      <c r="EP1982"/>
      <c r="EQ1982"/>
      <c r="ER1982"/>
      <c r="ES1982"/>
    </row>
    <row r="1983" spans="1:149">
      <c r="A1983"/>
      <c r="B1983"/>
      <c r="C1983"/>
      <c r="D1983"/>
      <c r="E1983"/>
      <c r="F1983"/>
      <c r="G1983"/>
      <c r="H1983"/>
      <c r="I1983"/>
      <c r="J1983"/>
      <c r="K1983"/>
      <c r="L1983"/>
      <c r="M1983"/>
      <c r="N1983"/>
      <c r="O1983"/>
      <c r="P1983"/>
      <c r="Q1983"/>
      <c r="R1983"/>
      <c r="S1983"/>
      <c r="T1983"/>
      <c r="U1983"/>
      <c r="V1983"/>
      <c r="W1983"/>
      <c r="X1983"/>
      <c r="Y1983"/>
      <c r="Z1983"/>
      <c r="AA1983"/>
      <c r="AB1983"/>
      <c r="AC1983"/>
      <c r="AD1983"/>
      <c r="AE1983"/>
      <c r="AF1983"/>
      <c r="AG1983"/>
      <c r="AH1983"/>
      <c r="AI1983"/>
      <c r="AJ1983"/>
      <c r="AK1983"/>
      <c r="AL1983"/>
      <c r="AM1983"/>
      <c r="AN1983"/>
      <c r="AO1983"/>
      <c r="AP1983"/>
      <c r="AQ1983"/>
      <c r="AR1983"/>
      <c r="AS1983"/>
      <c r="AT1983"/>
      <c r="AU1983"/>
      <c r="AV1983"/>
      <c r="AW1983"/>
      <c r="AX1983"/>
      <c r="AY1983"/>
      <c r="AZ1983"/>
      <c r="BA1983"/>
      <c r="BB1983"/>
      <c r="BC1983"/>
      <c r="BD1983"/>
      <c r="BE1983"/>
      <c r="BF1983"/>
      <c r="BG1983"/>
      <c r="BH1983"/>
      <c r="BI1983"/>
      <c r="BJ1983"/>
      <c r="BK1983"/>
      <c r="BL1983"/>
      <c r="BM1983"/>
      <c r="BN1983"/>
      <c r="BO1983"/>
      <c r="BP1983"/>
      <c r="BQ1983"/>
      <c r="BR1983"/>
      <c r="BS1983"/>
      <c r="BT1983"/>
      <c r="BU1983"/>
      <c r="BV1983"/>
      <c r="BW1983"/>
      <c r="BX1983"/>
      <c r="BY1983"/>
      <c r="BZ1983"/>
      <c r="CA1983"/>
      <c r="CB1983"/>
      <c r="CC1983"/>
      <c r="CD1983"/>
      <c r="CE1983"/>
      <c r="CF1983"/>
      <c r="CG1983"/>
      <c r="CH1983"/>
      <c r="CI1983"/>
      <c r="CJ1983"/>
      <c r="CK1983"/>
      <c r="CL1983"/>
      <c r="CM1983"/>
      <c r="CN1983"/>
      <c r="CO1983"/>
      <c r="CP1983"/>
      <c r="CQ1983"/>
      <c r="CR1983"/>
      <c r="CS1983"/>
      <c r="CT1983"/>
      <c r="CU1983"/>
      <c r="CV1983"/>
      <c r="CW1983"/>
      <c r="CX1983"/>
      <c r="CY1983"/>
      <c r="CZ1983"/>
      <c r="DA1983"/>
      <c r="DB1983"/>
      <c r="DC1983"/>
      <c r="DD1983"/>
      <c r="DE1983"/>
      <c r="DF1983"/>
      <c r="DG1983"/>
      <c r="DH1983"/>
      <c r="DI1983"/>
      <c r="DJ1983"/>
      <c r="DK1983"/>
      <c r="DL1983"/>
      <c r="DM1983"/>
      <c r="DN1983"/>
      <c r="DO1983"/>
      <c r="DP1983"/>
      <c r="DQ1983"/>
      <c r="DR1983"/>
      <c r="DS1983"/>
      <c r="DT1983"/>
      <c r="DU1983"/>
      <c r="DV1983"/>
      <c r="DW1983"/>
      <c r="DX1983"/>
      <c r="DY1983"/>
      <c r="DZ1983"/>
      <c r="EA1983"/>
      <c r="EB1983"/>
      <c r="EC1983"/>
      <c r="ED1983"/>
      <c r="EE1983"/>
      <c r="EF1983"/>
      <c r="EG1983"/>
      <c r="EH1983"/>
      <c r="EI1983"/>
      <c r="EJ1983"/>
      <c r="EK1983"/>
      <c r="EL1983"/>
      <c r="EM1983"/>
      <c r="EN1983"/>
      <c r="EO1983"/>
      <c r="EP1983"/>
      <c r="EQ1983"/>
      <c r="ER1983"/>
      <c r="ES1983"/>
    </row>
    <row r="1984" spans="1:149">
      <c r="A1984"/>
      <c r="B1984"/>
      <c r="C1984"/>
      <c r="D1984"/>
      <c r="E1984"/>
      <c r="F1984"/>
      <c r="G1984"/>
      <c r="H1984"/>
      <c r="I1984"/>
      <c r="J1984"/>
      <c r="K1984"/>
      <c r="L1984"/>
      <c r="M1984"/>
      <c r="N1984"/>
      <c r="O1984"/>
      <c r="P1984"/>
      <c r="Q1984"/>
      <c r="R1984"/>
      <c r="S1984"/>
      <c r="T1984"/>
      <c r="U1984"/>
      <c r="V1984"/>
      <c r="W1984"/>
      <c r="X1984"/>
      <c r="Y1984"/>
      <c r="Z1984"/>
      <c r="AA1984"/>
      <c r="AB1984"/>
      <c r="AC1984"/>
      <c r="AD1984"/>
      <c r="AE1984"/>
      <c r="AF1984"/>
      <c r="AG1984"/>
      <c r="AH1984"/>
      <c r="AI1984"/>
      <c r="AJ1984"/>
      <c r="AK1984"/>
      <c r="AL1984"/>
      <c r="AM1984"/>
      <c r="AN1984"/>
      <c r="AO1984"/>
      <c r="AP1984"/>
      <c r="AQ1984"/>
      <c r="AR1984"/>
      <c r="AS1984"/>
      <c r="AT1984"/>
      <c r="AU1984"/>
      <c r="AV1984"/>
      <c r="AW1984"/>
      <c r="AX1984"/>
      <c r="AY1984"/>
      <c r="AZ1984"/>
      <c r="BA1984"/>
      <c r="BB1984"/>
      <c r="BC1984"/>
      <c r="BD1984"/>
      <c r="BE1984"/>
      <c r="BF1984"/>
      <c r="BG1984"/>
      <c r="BH1984"/>
      <c r="BI1984"/>
      <c r="BJ1984"/>
      <c r="BK1984"/>
      <c r="BL1984"/>
      <c r="BM1984"/>
      <c r="BN1984"/>
      <c r="BO1984"/>
      <c r="BP1984"/>
      <c r="BQ1984"/>
      <c r="BR1984"/>
      <c r="BS1984"/>
      <c r="BT1984"/>
      <c r="BU1984"/>
      <c r="BV1984"/>
      <c r="BW1984"/>
      <c r="BX1984"/>
      <c r="BY1984"/>
      <c r="BZ1984"/>
      <c r="CA1984"/>
      <c r="CB1984"/>
      <c r="CC1984"/>
      <c r="CD1984"/>
      <c r="CE1984"/>
      <c r="CF1984"/>
      <c r="CG1984"/>
      <c r="CH1984"/>
      <c r="CI1984"/>
      <c r="CJ1984"/>
      <c r="CK1984"/>
      <c r="CL1984"/>
      <c r="CM1984"/>
      <c r="CN1984"/>
      <c r="CO1984"/>
      <c r="CP1984"/>
      <c r="CQ1984"/>
      <c r="CR1984"/>
      <c r="CS1984"/>
      <c r="CT1984"/>
      <c r="CU1984"/>
      <c r="CV1984"/>
      <c r="CW1984"/>
      <c r="CX1984"/>
      <c r="CY1984"/>
      <c r="CZ1984"/>
      <c r="DA1984"/>
      <c r="DB1984"/>
      <c r="DC1984"/>
      <c r="DD1984"/>
      <c r="DE1984"/>
      <c r="DF1984"/>
      <c r="DG1984"/>
      <c r="DH1984"/>
      <c r="DI1984"/>
      <c r="DJ1984"/>
      <c r="DK1984"/>
      <c r="DL1984"/>
      <c r="DM1984"/>
      <c r="DN1984"/>
      <c r="DO1984"/>
      <c r="DP1984"/>
      <c r="DQ1984"/>
      <c r="DR1984"/>
      <c r="DS1984"/>
      <c r="DT1984"/>
      <c r="DU1984"/>
      <c r="DV1984"/>
      <c r="DW1984"/>
      <c r="DX1984"/>
      <c r="DY1984"/>
      <c r="DZ1984"/>
      <c r="EA1984"/>
      <c r="EB1984"/>
      <c r="EC1984"/>
      <c r="ED1984"/>
      <c r="EE1984"/>
      <c r="EF1984"/>
      <c r="EG1984"/>
      <c r="EH1984"/>
      <c r="EI1984"/>
      <c r="EJ1984"/>
      <c r="EK1984"/>
      <c r="EL1984"/>
      <c r="EM1984"/>
      <c r="EN1984"/>
      <c r="EO1984"/>
      <c r="EP1984"/>
      <c r="EQ1984"/>
      <c r="ER1984"/>
      <c r="ES1984"/>
    </row>
    <row r="1985" spans="1:149">
      <c r="A1985"/>
      <c r="B1985"/>
      <c r="C1985"/>
      <c r="D1985"/>
      <c r="E1985"/>
      <c r="F1985"/>
      <c r="G1985"/>
      <c r="H1985"/>
      <c r="I1985"/>
      <c r="J1985"/>
      <c r="K1985"/>
      <c r="L1985"/>
      <c r="M1985"/>
      <c r="N1985"/>
      <c r="O1985"/>
      <c r="P1985"/>
      <c r="Q1985"/>
      <c r="R1985"/>
      <c r="S1985"/>
      <c r="T1985"/>
      <c r="U1985"/>
      <c r="V1985"/>
      <c r="W1985"/>
      <c r="X1985"/>
      <c r="Y1985"/>
      <c r="Z1985"/>
      <c r="AA1985"/>
      <c r="AB1985"/>
      <c r="AC1985"/>
      <c r="AD1985"/>
      <c r="AE1985"/>
      <c r="AF1985"/>
      <c r="AG1985"/>
      <c r="AH1985"/>
      <c r="AI1985"/>
      <c r="AJ1985"/>
      <c r="AK1985"/>
      <c r="AL1985"/>
      <c r="AM1985"/>
      <c r="AN1985"/>
      <c r="AO1985"/>
      <c r="AP1985"/>
      <c r="AQ1985"/>
      <c r="AR1985"/>
      <c r="AS1985"/>
      <c r="AT1985"/>
      <c r="AU1985"/>
      <c r="AV1985"/>
      <c r="AW1985"/>
      <c r="AX1985"/>
      <c r="AY1985"/>
      <c r="AZ1985"/>
      <c r="BA1985"/>
      <c r="BB1985"/>
      <c r="BC1985"/>
      <c r="BD1985"/>
      <c r="BE1985"/>
      <c r="BF1985"/>
      <c r="BG1985"/>
      <c r="BH1985"/>
      <c r="BI1985"/>
      <c r="BJ1985"/>
      <c r="BK1985"/>
      <c r="BL1985"/>
      <c r="BM1985"/>
      <c r="BN1985"/>
      <c r="BO1985"/>
      <c r="BP1985"/>
      <c r="BQ1985"/>
      <c r="BR1985"/>
      <c r="BS1985"/>
      <c r="BT1985"/>
      <c r="BU1985"/>
      <c r="BV1985"/>
      <c r="BW1985"/>
      <c r="BX1985"/>
      <c r="BY1985"/>
      <c r="BZ1985"/>
      <c r="CA1985"/>
      <c r="CB1985"/>
      <c r="CC1985"/>
      <c r="CD1985"/>
      <c r="CE1985"/>
      <c r="CF1985"/>
      <c r="CG1985"/>
      <c r="CH1985"/>
      <c r="CI1985"/>
      <c r="CJ1985"/>
      <c r="CK1985"/>
      <c r="CL1985"/>
      <c r="CM1985"/>
      <c r="CN1985"/>
      <c r="CO1985"/>
      <c r="CP1985"/>
      <c r="CQ1985"/>
      <c r="CR1985"/>
      <c r="CS1985"/>
      <c r="CT1985"/>
      <c r="CU1985"/>
      <c r="CV1985"/>
      <c r="CW1985"/>
      <c r="CX1985"/>
      <c r="CY1985"/>
      <c r="CZ1985"/>
      <c r="DA1985"/>
      <c r="DB1985"/>
      <c r="DC1985"/>
      <c r="DD1985"/>
      <c r="DE1985"/>
      <c r="DF1985"/>
      <c r="DG1985"/>
      <c r="DH1985"/>
      <c r="DI1985"/>
      <c r="DJ1985"/>
      <c r="DK1985"/>
      <c r="DL1985"/>
      <c r="DM1985"/>
      <c r="DN1985"/>
      <c r="DO1985"/>
      <c r="DP1985"/>
      <c r="DQ1985"/>
      <c r="DR1985"/>
      <c r="DS1985"/>
      <c r="DT1985"/>
      <c r="DU1985"/>
      <c r="DV1985"/>
      <c r="DW1985"/>
      <c r="DX1985"/>
      <c r="DY1985"/>
      <c r="DZ1985"/>
      <c r="EA1985"/>
      <c r="EB1985"/>
      <c r="EC1985"/>
      <c r="ED1985"/>
      <c r="EE1985"/>
      <c r="EF1985"/>
      <c r="EG1985"/>
      <c r="EH1985"/>
      <c r="EI1985"/>
      <c r="EJ1985"/>
      <c r="EK1985"/>
      <c r="EL1985"/>
      <c r="EM1985"/>
      <c r="EN1985"/>
      <c r="EO1985"/>
      <c r="EP1985"/>
      <c r="EQ1985"/>
      <c r="ER1985"/>
      <c r="ES1985"/>
    </row>
    <row r="1986" spans="1:149">
      <c r="A1986"/>
      <c r="B1986"/>
      <c r="C1986"/>
      <c r="D1986"/>
      <c r="E1986"/>
      <c r="F1986"/>
      <c r="G1986"/>
      <c r="H1986"/>
      <c r="I1986"/>
      <c r="J1986"/>
      <c r="K1986"/>
      <c r="L1986"/>
      <c r="M1986"/>
      <c r="N1986"/>
      <c r="O1986"/>
      <c r="P1986"/>
      <c r="Q1986"/>
      <c r="R1986"/>
      <c r="S1986"/>
      <c r="T1986"/>
      <c r="U1986"/>
      <c r="V1986"/>
      <c r="W1986"/>
      <c r="X1986"/>
      <c r="Y1986"/>
      <c r="Z1986"/>
      <c r="AA1986"/>
      <c r="AB1986"/>
      <c r="AC1986"/>
      <c r="AD1986"/>
      <c r="AE1986"/>
      <c r="AF1986"/>
      <c r="AG1986"/>
      <c r="AH1986"/>
      <c r="AI1986"/>
      <c r="AJ1986"/>
      <c r="AK1986"/>
      <c r="AL1986"/>
      <c r="AM1986"/>
      <c r="AN1986"/>
      <c r="AO1986"/>
      <c r="AP1986"/>
      <c r="AQ1986"/>
      <c r="AR1986"/>
      <c r="AS1986"/>
      <c r="AT1986"/>
      <c r="AU1986"/>
      <c r="AV1986"/>
      <c r="AW1986"/>
      <c r="AX1986"/>
      <c r="AY1986"/>
      <c r="AZ1986"/>
      <c r="BA1986"/>
      <c r="BB1986"/>
      <c r="BC1986"/>
      <c r="BD1986"/>
      <c r="BE1986"/>
      <c r="BF1986"/>
      <c r="BG1986"/>
      <c r="BH1986"/>
      <c r="BI1986"/>
      <c r="BJ1986"/>
      <c r="BK1986"/>
      <c r="BL1986"/>
      <c r="BM1986"/>
      <c r="BN1986"/>
      <c r="BO1986"/>
      <c r="BP1986"/>
      <c r="BQ1986"/>
      <c r="BR1986"/>
      <c r="BS1986"/>
      <c r="BT1986"/>
      <c r="BU1986"/>
      <c r="BV1986"/>
      <c r="BW1986"/>
      <c r="BX1986"/>
      <c r="BY1986"/>
      <c r="BZ1986"/>
      <c r="CA1986"/>
      <c r="CB1986"/>
      <c r="CC1986"/>
      <c r="CD1986"/>
      <c r="CE1986"/>
      <c r="CF1986"/>
      <c r="CG1986"/>
      <c r="CH1986"/>
      <c r="CI1986"/>
      <c r="CJ1986"/>
      <c r="CK1986"/>
      <c r="CL1986"/>
      <c r="CM1986"/>
      <c r="CN1986"/>
      <c r="CO1986"/>
      <c r="CP1986"/>
      <c r="CQ1986"/>
      <c r="CR1986"/>
      <c r="CS1986"/>
      <c r="CT1986"/>
      <c r="CU1986"/>
      <c r="CV1986"/>
      <c r="CW1986"/>
      <c r="CX1986"/>
      <c r="CY1986"/>
      <c r="CZ1986"/>
      <c r="DA1986"/>
      <c r="DB1986"/>
      <c r="DC1986"/>
      <c r="DD1986"/>
      <c r="DE1986"/>
      <c r="DF1986"/>
      <c r="DG1986"/>
      <c r="DH1986"/>
      <c r="DI1986"/>
      <c r="DJ1986"/>
      <c r="DK1986"/>
      <c r="DL1986"/>
      <c r="DM1986"/>
      <c r="DN1986"/>
      <c r="DO1986"/>
      <c r="DP1986"/>
      <c r="DQ1986"/>
      <c r="DR1986"/>
      <c r="DS1986"/>
      <c r="DT1986"/>
      <c r="DU1986"/>
      <c r="DV1986"/>
      <c r="DW1986"/>
      <c r="DX1986"/>
      <c r="DY1986"/>
      <c r="DZ1986"/>
      <c r="EA1986"/>
      <c r="EB1986"/>
      <c r="EC1986"/>
      <c r="ED1986"/>
      <c r="EE1986"/>
      <c r="EF1986"/>
      <c r="EG1986"/>
      <c r="EH1986"/>
      <c r="EI1986"/>
      <c r="EJ1986"/>
      <c r="EK1986"/>
      <c r="EL1986"/>
      <c r="EM1986"/>
      <c r="EN1986"/>
      <c r="EO1986"/>
      <c r="EP1986"/>
      <c r="EQ1986"/>
      <c r="ER1986"/>
      <c r="ES1986"/>
    </row>
    <row r="1987" spans="1:149">
      <c r="A1987"/>
      <c r="B1987"/>
      <c r="C1987"/>
      <c r="D1987"/>
      <c r="E1987"/>
      <c r="F1987"/>
      <c r="G1987"/>
      <c r="H1987"/>
      <c r="I1987"/>
      <c r="J1987"/>
      <c r="K1987"/>
      <c r="L1987"/>
      <c r="M1987"/>
      <c r="N1987"/>
      <c r="O1987"/>
      <c r="P1987"/>
      <c r="Q1987"/>
      <c r="R1987"/>
      <c r="S1987"/>
      <c r="T1987"/>
      <c r="U1987"/>
      <c r="V1987"/>
      <c r="W1987"/>
      <c r="X1987"/>
      <c r="Y1987"/>
      <c r="Z1987"/>
      <c r="AA1987"/>
      <c r="AB1987"/>
      <c r="AC1987"/>
      <c r="AD1987"/>
      <c r="AE1987"/>
      <c r="AF1987"/>
      <c r="AG1987"/>
      <c r="AH1987"/>
      <c r="AI1987"/>
      <c r="AJ1987"/>
      <c r="AK1987"/>
      <c r="AL1987"/>
      <c r="AM1987"/>
      <c r="AN1987"/>
      <c r="AO1987"/>
      <c r="AP1987"/>
      <c r="AQ1987"/>
      <c r="AR1987"/>
      <c r="AS1987"/>
      <c r="AT1987"/>
      <c r="AU1987"/>
      <c r="AV1987"/>
      <c r="AW1987"/>
      <c r="AX1987"/>
      <c r="AY1987"/>
      <c r="AZ1987"/>
      <c r="BA1987"/>
      <c r="BB1987"/>
      <c r="BC1987"/>
      <c r="BD1987"/>
      <c r="BE1987"/>
      <c r="BF1987"/>
      <c r="BG1987"/>
      <c r="BH1987"/>
      <c r="BI1987"/>
      <c r="BJ1987"/>
      <c r="BK1987"/>
      <c r="BL1987"/>
      <c r="BM1987"/>
      <c r="BN1987"/>
      <c r="BO1987"/>
      <c r="BP1987"/>
      <c r="BQ1987"/>
      <c r="BR1987"/>
      <c r="BS1987"/>
      <c r="BT1987"/>
      <c r="BU1987"/>
      <c r="BV1987"/>
      <c r="BW1987"/>
      <c r="BX1987"/>
      <c r="BY1987"/>
      <c r="BZ1987"/>
      <c r="CA1987"/>
      <c r="CB1987"/>
      <c r="CC1987"/>
      <c r="CD1987"/>
      <c r="CE1987"/>
      <c r="CF1987"/>
      <c r="CG1987"/>
      <c r="CH1987"/>
      <c r="CI1987"/>
      <c r="CJ1987"/>
      <c r="CK1987"/>
      <c r="CL1987"/>
      <c r="CM1987"/>
      <c r="CN1987"/>
      <c r="CO1987"/>
      <c r="CP1987"/>
      <c r="CQ1987"/>
      <c r="CR1987"/>
      <c r="CS1987"/>
      <c r="CT1987"/>
      <c r="CU1987"/>
      <c r="CV1987"/>
      <c r="CW1987"/>
      <c r="CX1987"/>
      <c r="CY1987"/>
      <c r="CZ1987"/>
      <c r="DA1987"/>
      <c r="DB1987"/>
      <c r="DC1987"/>
      <c r="DD1987"/>
      <c r="DE1987"/>
      <c r="DF1987"/>
      <c r="DG1987"/>
      <c r="DH1987"/>
      <c r="DI1987"/>
      <c r="DJ1987"/>
      <c r="DK1987"/>
      <c r="DL1987"/>
      <c r="DM1987"/>
      <c r="DN1987"/>
      <c r="DO1987"/>
      <c r="DP1987"/>
      <c r="DQ1987"/>
      <c r="DR1987"/>
      <c r="DS1987"/>
      <c r="DT1987"/>
      <c r="DU1987"/>
      <c r="DV1987"/>
      <c r="DW1987"/>
      <c r="DX1987"/>
      <c r="DY1987"/>
      <c r="DZ1987"/>
      <c r="EA1987"/>
      <c r="EB1987"/>
      <c r="EC1987"/>
      <c r="ED1987"/>
      <c r="EE1987"/>
      <c r="EF1987"/>
      <c r="EG1987"/>
      <c r="EH1987"/>
      <c r="EI1987"/>
      <c r="EJ1987"/>
      <c r="EK1987"/>
      <c r="EL1987"/>
      <c r="EM1987"/>
      <c r="EN1987"/>
      <c r="EO1987"/>
      <c r="EP1987"/>
      <c r="EQ1987"/>
      <c r="ER1987"/>
      <c r="ES1987"/>
    </row>
    <row r="1988" spans="1:149">
      <c r="A1988"/>
      <c r="B1988"/>
      <c r="C1988"/>
      <c r="D1988"/>
      <c r="E1988"/>
      <c r="F1988"/>
      <c r="G1988"/>
      <c r="H1988"/>
      <c r="I1988"/>
      <c r="J1988"/>
      <c r="K1988"/>
      <c r="L1988"/>
      <c r="M1988"/>
      <c r="N1988"/>
      <c r="O1988"/>
      <c r="P1988"/>
      <c r="Q1988"/>
      <c r="R1988"/>
      <c r="S1988"/>
      <c r="T1988"/>
      <c r="U1988"/>
      <c r="V1988"/>
      <c r="W1988"/>
      <c r="X1988"/>
      <c r="Y1988"/>
      <c r="Z1988"/>
      <c r="AA1988"/>
      <c r="AB1988"/>
      <c r="AC1988"/>
      <c r="AD1988"/>
      <c r="AE1988"/>
      <c r="AF1988"/>
      <c r="AG1988"/>
      <c r="AH1988"/>
      <c r="AI1988"/>
      <c r="AJ1988"/>
      <c r="AK1988"/>
      <c r="AL1988"/>
      <c r="AM1988"/>
      <c r="AN1988"/>
      <c r="AO1988"/>
      <c r="AP1988"/>
      <c r="AQ1988"/>
      <c r="AR1988"/>
      <c r="AS1988"/>
      <c r="AT1988"/>
      <c r="AU1988"/>
      <c r="AV1988"/>
      <c r="AW1988"/>
      <c r="AX1988"/>
      <c r="AY1988"/>
      <c r="AZ1988"/>
      <c r="BA1988"/>
      <c r="BB1988"/>
      <c r="BC1988"/>
      <c r="BD1988"/>
      <c r="BE1988"/>
      <c r="BF1988"/>
      <c r="BG1988"/>
      <c r="BH1988"/>
      <c r="BI1988"/>
      <c r="BJ1988"/>
      <c r="BK1988"/>
      <c r="BL1988"/>
      <c r="BM1988"/>
      <c r="BN1988"/>
      <c r="BO1988"/>
      <c r="BP1988"/>
      <c r="BQ1988"/>
      <c r="BR1988"/>
      <c r="BS1988"/>
      <c r="BT1988"/>
      <c r="BU1988"/>
      <c r="BV1988"/>
      <c r="BW1988"/>
      <c r="BX1988"/>
      <c r="BY1988"/>
      <c r="BZ1988"/>
      <c r="CA1988"/>
      <c r="CB1988"/>
      <c r="CC1988"/>
      <c r="CD1988"/>
      <c r="CE1988"/>
      <c r="CF1988"/>
      <c r="CG1988"/>
      <c r="CH1988"/>
      <c r="CI1988"/>
      <c r="CJ1988"/>
      <c r="CK1988"/>
      <c r="CL1988"/>
      <c r="CM1988"/>
      <c r="CN1988"/>
      <c r="CO1988"/>
      <c r="CP1988"/>
      <c r="CQ1988"/>
      <c r="CR1988"/>
      <c r="CS1988"/>
      <c r="CT1988"/>
      <c r="CU1988"/>
      <c r="CV1988"/>
      <c r="CW1988"/>
      <c r="CX1988"/>
      <c r="CY1988"/>
      <c r="CZ1988"/>
      <c r="DA1988"/>
      <c r="DB1988"/>
      <c r="DC1988"/>
      <c r="DD1988"/>
      <c r="DE1988"/>
      <c r="DF1988"/>
      <c r="DG1988"/>
      <c r="DH1988"/>
      <c r="DI1988"/>
      <c r="DJ1988"/>
      <c r="DK1988"/>
      <c r="DL1988"/>
      <c r="DM1988"/>
      <c r="DN1988"/>
      <c r="DO1988"/>
      <c r="DP1988"/>
      <c r="DQ1988"/>
      <c r="DR1988"/>
      <c r="DS1988"/>
      <c r="DT1988"/>
      <c r="DU1988"/>
      <c r="DV1988"/>
      <c r="DW1988"/>
      <c r="DX1988"/>
      <c r="DY1988"/>
      <c r="DZ1988"/>
      <c r="EA1988"/>
      <c r="EB1988"/>
      <c r="EC1988"/>
      <c r="ED1988"/>
      <c r="EE1988"/>
      <c r="EF1988"/>
      <c r="EG1988"/>
      <c r="EH1988"/>
      <c r="EI1988"/>
      <c r="EJ1988"/>
      <c r="EK1988"/>
      <c r="EL1988"/>
      <c r="EM1988"/>
      <c r="EN1988"/>
      <c r="EO1988"/>
      <c r="EP1988"/>
      <c r="EQ1988"/>
      <c r="ER1988"/>
      <c r="ES1988"/>
    </row>
    <row r="1989" spans="1:149">
      <c r="A1989"/>
      <c r="B1989"/>
      <c r="C1989"/>
      <c r="D1989"/>
      <c r="E1989"/>
      <c r="F1989"/>
      <c r="G1989"/>
      <c r="H1989"/>
      <c r="I1989"/>
      <c r="J1989"/>
      <c r="K1989"/>
      <c r="L1989"/>
      <c r="M1989"/>
      <c r="N1989"/>
      <c r="O1989"/>
      <c r="P1989"/>
      <c r="Q1989"/>
      <c r="R1989"/>
      <c r="S1989"/>
      <c r="T1989"/>
      <c r="U1989"/>
      <c r="V1989"/>
      <c r="W1989"/>
      <c r="X1989"/>
      <c r="Y1989"/>
      <c r="Z1989"/>
      <c r="AA1989"/>
      <c r="AB1989"/>
      <c r="AC1989"/>
      <c r="AD1989"/>
      <c r="AE1989"/>
      <c r="AF1989"/>
      <c r="AG1989"/>
      <c r="AH1989"/>
      <c r="AI1989"/>
      <c r="AJ1989"/>
      <c r="AK1989"/>
      <c r="AL1989"/>
      <c r="AM1989"/>
      <c r="AN1989"/>
      <c r="AO1989"/>
      <c r="AP1989"/>
      <c r="AQ1989"/>
      <c r="AR1989"/>
      <c r="AS1989"/>
      <c r="AT1989"/>
      <c r="AU1989"/>
      <c r="AV1989"/>
      <c r="AW1989"/>
      <c r="AX1989"/>
      <c r="AY1989"/>
      <c r="AZ1989"/>
      <c r="BA1989"/>
      <c r="BB1989"/>
      <c r="BC1989"/>
      <c r="BD1989"/>
      <c r="BE1989"/>
      <c r="BF1989"/>
      <c r="BG1989"/>
      <c r="BH1989"/>
      <c r="BI1989"/>
      <c r="BJ1989"/>
      <c r="BK1989"/>
      <c r="BL1989"/>
      <c r="BM1989"/>
      <c r="BN1989"/>
      <c r="BO1989"/>
      <c r="BP1989"/>
      <c r="BQ1989"/>
      <c r="BR1989"/>
      <c r="BS1989"/>
      <c r="BT1989"/>
      <c r="BU1989"/>
      <c r="BV1989"/>
      <c r="BW1989"/>
      <c r="BX1989"/>
      <c r="BY1989"/>
      <c r="BZ1989"/>
      <c r="CA1989"/>
      <c r="CB1989"/>
      <c r="CC1989"/>
      <c r="CD1989"/>
      <c r="CE1989"/>
      <c r="CF1989"/>
      <c r="CG1989"/>
      <c r="CH1989"/>
      <c r="CI1989"/>
      <c r="CJ1989"/>
      <c r="CK1989"/>
      <c r="CL1989"/>
      <c r="CM1989"/>
      <c r="CN1989"/>
      <c r="CO1989"/>
      <c r="CP1989"/>
      <c r="CQ1989"/>
      <c r="CR1989"/>
      <c r="CS1989"/>
      <c r="CT1989"/>
      <c r="CU1989"/>
      <c r="CV1989"/>
      <c r="CW1989"/>
      <c r="CX1989"/>
      <c r="CY1989"/>
      <c r="CZ1989"/>
      <c r="DA1989"/>
      <c r="DB1989"/>
      <c r="DC1989"/>
      <c r="DD1989"/>
      <c r="DE1989"/>
      <c r="DF1989"/>
      <c r="DG1989"/>
      <c r="DH1989"/>
      <c r="DI1989"/>
      <c r="DJ1989"/>
      <c r="DK1989"/>
      <c r="DL1989"/>
      <c r="DM1989"/>
      <c r="DN1989"/>
      <c r="DO1989"/>
      <c r="DP1989"/>
      <c r="DQ1989"/>
      <c r="DR1989"/>
      <c r="DS1989"/>
      <c r="DT1989"/>
      <c r="DU1989"/>
      <c r="DV1989"/>
      <c r="DW1989"/>
      <c r="DX1989"/>
      <c r="DY1989"/>
      <c r="DZ1989"/>
      <c r="EA1989"/>
      <c r="EB1989"/>
      <c r="EC1989"/>
      <c r="ED1989"/>
      <c r="EE1989"/>
      <c r="EF1989"/>
      <c r="EG1989"/>
      <c r="EH1989"/>
      <c r="EI1989"/>
      <c r="EJ1989"/>
      <c r="EK1989"/>
      <c r="EL1989"/>
      <c r="EM1989"/>
      <c r="EN1989"/>
      <c r="EO1989"/>
      <c r="EP1989"/>
      <c r="EQ1989"/>
      <c r="ER1989"/>
      <c r="ES1989"/>
    </row>
    <row r="1990" spans="1:149">
      <c r="A1990"/>
      <c r="B1990"/>
      <c r="C1990"/>
      <c r="D1990"/>
      <c r="E1990"/>
      <c r="F1990"/>
      <c r="G1990"/>
      <c r="H1990"/>
      <c r="I1990"/>
      <c r="J1990"/>
      <c r="K1990"/>
      <c r="L1990"/>
      <c r="M1990"/>
      <c r="N1990"/>
      <c r="O1990"/>
      <c r="P1990"/>
      <c r="Q1990"/>
      <c r="R1990"/>
      <c r="S1990"/>
      <c r="T1990"/>
      <c r="U1990"/>
      <c r="V1990"/>
      <c r="W1990"/>
      <c r="X1990"/>
      <c r="Y1990"/>
      <c r="Z1990"/>
      <c r="AA1990"/>
      <c r="AB1990"/>
      <c r="AC1990"/>
      <c r="AD1990"/>
      <c r="AE1990"/>
      <c r="AF1990"/>
      <c r="AG1990"/>
      <c r="AH1990"/>
      <c r="AI1990"/>
      <c r="AJ1990"/>
      <c r="AK1990"/>
      <c r="AL1990"/>
      <c r="AM1990"/>
      <c r="AN1990"/>
      <c r="AO1990"/>
      <c r="AP1990"/>
      <c r="AQ1990"/>
      <c r="AR1990"/>
      <c r="AS1990"/>
      <c r="AT1990"/>
      <c r="AU1990"/>
      <c r="AV1990"/>
      <c r="AW1990"/>
      <c r="AX1990"/>
      <c r="AY1990"/>
      <c r="AZ1990"/>
      <c r="BA1990"/>
      <c r="BB1990"/>
      <c r="BC1990"/>
      <c r="BD1990"/>
      <c r="BE1990"/>
      <c r="BF1990"/>
      <c r="BG1990"/>
      <c r="BH1990"/>
      <c r="BI1990"/>
      <c r="BJ1990"/>
      <c r="BK1990"/>
      <c r="BL1990"/>
      <c r="BM1990"/>
      <c r="BN1990"/>
      <c r="BO1990"/>
      <c r="BP1990"/>
      <c r="BQ1990"/>
      <c r="BR1990"/>
      <c r="BS1990"/>
      <c r="BT1990"/>
      <c r="BU1990"/>
      <c r="BV1990"/>
      <c r="BW1990"/>
      <c r="BX1990"/>
      <c r="BY1990"/>
      <c r="BZ1990"/>
      <c r="CA1990"/>
      <c r="CB1990"/>
      <c r="CC1990"/>
      <c r="CD1990"/>
      <c r="CE1990"/>
      <c r="CF1990"/>
      <c r="CG1990"/>
      <c r="CH1990"/>
      <c r="CI1990"/>
      <c r="CJ1990"/>
      <c r="CK1990"/>
      <c r="CL1990"/>
      <c r="CM1990"/>
      <c r="CN1990"/>
      <c r="CO1990"/>
      <c r="CP1990"/>
      <c r="CQ1990"/>
      <c r="CR1990"/>
      <c r="CS1990"/>
      <c r="CT1990"/>
      <c r="CU1990"/>
      <c r="CV1990"/>
      <c r="CW1990"/>
      <c r="CX1990"/>
      <c r="CY1990"/>
      <c r="CZ1990"/>
      <c r="DA1990"/>
      <c r="DB1990"/>
      <c r="DC1990"/>
      <c r="DD1990"/>
      <c r="DE1990"/>
      <c r="DF1990"/>
      <c r="DG1990"/>
      <c r="DH1990"/>
      <c r="DI1990"/>
      <c r="DJ1990"/>
      <c r="DK1990"/>
      <c r="DL1990"/>
      <c r="DM1990"/>
      <c r="DN1990"/>
      <c r="DO1990"/>
      <c r="DP1990"/>
      <c r="DQ1990"/>
      <c r="DR1990"/>
      <c r="DS1990"/>
      <c r="DT1990"/>
      <c r="DU1990"/>
      <c r="DV1990"/>
      <c r="DW1990"/>
      <c r="DX1990"/>
      <c r="DY1990"/>
      <c r="DZ1990"/>
      <c r="EA1990"/>
      <c r="EB1990"/>
      <c r="EC1990"/>
      <c r="ED1990"/>
      <c r="EE1990"/>
      <c r="EF1990"/>
      <c r="EG1990"/>
      <c r="EH1990"/>
      <c r="EI1990"/>
      <c r="EJ1990"/>
      <c r="EK1990"/>
      <c r="EL1990"/>
      <c r="EM1990"/>
      <c r="EN1990"/>
      <c r="EO1990"/>
      <c r="EP1990"/>
      <c r="EQ1990"/>
      <c r="ER1990"/>
      <c r="ES1990"/>
    </row>
    <row r="1991" spans="1:149">
      <c r="A1991"/>
      <c r="B1991"/>
      <c r="C1991"/>
      <c r="D1991"/>
      <c r="E1991"/>
      <c r="F1991"/>
      <c r="G1991"/>
      <c r="H1991"/>
      <c r="I1991"/>
      <c r="J1991"/>
      <c r="K1991"/>
      <c r="L1991"/>
      <c r="M1991"/>
      <c r="N1991"/>
      <c r="O1991"/>
      <c r="P1991"/>
      <c r="Q1991"/>
      <c r="R1991"/>
      <c r="S1991"/>
      <c r="T1991"/>
      <c r="U1991"/>
      <c r="V1991"/>
      <c r="W1991"/>
      <c r="X1991"/>
      <c r="Y1991"/>
      <c r="Z1991"/>
      <c r="AA1991"/>
      <c r="AB1991"/>
      <c r="AC1991"/>
      <c r="AD1991"/>
      <c r="AE1991"/>
      <c r="AF1991"/>
      <c r="AG1991"/>
      <c r="AH1991"/>
      <c r="AI1991"/>
      <c r="AJ1991"/>
      <c r="AK1991"/>
      <c r="AL1991"/>
      <c r="AM1991"/>
      <c r="AN1991"/>
      <c r="AO1991"/>
      <c r="AP1991"/>
      <c r="AQ1991"/>
      <c r="AR1991"/>
      <c r="AS1991"/>
      <c r="AT1991"/>
      <c r="AU1991"/>
      <c r="AV1991"/>
      <c r="AW1991"/>
      <c r="AX1991"/>
      <c r="AY1991"/>
      <c r="AZ1991"/>
      <c r="BA1991"/>
      <c r="BB1991"/>
      <c r="BC1991"/>
      <c r="BD1991"/>
      <c r="BE1991"/>
      <c r="BF1991"/>
      <c r="BG1991"/>
      <c r="BH1991"/>
      <c r="BI1991"/>
      <c r="BJ1991"/>
      <c r="BK1991"/>
      <c r="BL1991"/>
      <c r="BM1991"/>
      <c r="BN1991"/>
      <c r="BO1991"/>
      <c r="BP1991"/>
      <c r="BQ1991"/>
      <c r="BR1991"/>
      <c r="BS1991"/>
      <c r="BT1991"/>
      <c r="BU1991"/>
      <c r="BV1991"/>
      <c r="BW1991"/>
      <c r="BX1991"/>
      <c r="BY1991"/>
      <c r="BZ1991"/>
      <c r="CA1991"/>
      <c r="CB1991"/>
      <c r="CC1991"/>
      <c r="CD1991"/>
      <c r="CE1991"/>
      <c r="CF1991"/>
      <c r="CG1991"/>
      <c r="CH1991"/>
      <c r="CI1991"/>
      <c r="CJ1991"/>
      <c r="CK1991"/>
      <c r="CL1991"/>
      <c r="CM1991"/>
      <c r="CN1991"/>
      <c r="CO1991"/>
      <c r="CP1991"/>
      <c r="CQ1991"/>
      <c r="CR1991"/>
      <c r="CS1991"/>
      <c r="CT1991"/>
      <c r="CU1991"/>
      <c r="CV1991"/>
      <c r="CW1991"/>
      <c r="CX1991"/>
      <c r="CY1991"/>
      <c r="CZ1991"/>
      <c r="DA1991"/>
      <c r="DB1991"/>
      <c r="DC1991"/>
      <c r="DD1991"/>
      <c r="DE1991"/>
      <c r="DF1991"/>
      <c r="DG1991"/>
      <c r="DH1991"/>
      <c r="DI1991"/>
      <c r="DJ1991"/>
      <c r="DK1991"/>
      <c r="DL1991"/>
      <c r="DM1991"/>
      <c r="DN1991"/>
      <c r="DO1991"/>
      <c r="DP1991"/>
      <c r="DQ1991"/>
      <c r="DR1991"/>
      <c r="DS1991"/>
      <c r="DT1991"/>
      <c r="DU1991"/>
      <c r="DV1991"/>
      <c r="DW1991"/>
      <c r="DX1991"/>
      <c r="DY1991"/>
      <c r="DZ1991"/>
      <c r="EA1991"/>
      <c r="EB1991"/>
      <c r="EC1991"/>
      <c r="ED1991"/>
      <c r="EE1991"/>
      <c r="EF1991"/>
      <c r="EG1991"/>
      <c r="EH1991"/>
      <c r="EI1991"/>
      <c r="EJ1991"/>
      <c r="EK1991"/>
      <c r="EL1991"/>
      <c r="EM1991"/>
      <c r="EN1991"/>
      <c r="EO1991"/>
      <c r="EP1991"/>
      <c r="EQ1991"/>
      <c r="ER1991"/>
      <c r="ES1991"/>
    </row>
    <row r="1992" spans="1:149">
      <c r="A1992"/>
      <c r="B1992"/>
      <c r="C1992"/>
      <c r="D1992"/>
      <c r="E1992"/>
      <c r="F1992"/>
      <c r="G1992"/>
      <c r="H1992"/>
      <c r="I1992"/>
      <c r="J1992"/>
      <c r="K1992"/>
      <c r="L1992"/>
      <c r="M1992"/>
      <c r="N1992"/>
      <c r="O1992"/>
      <c r="P1992"/>
      <c r="Q1992"/>
      <c r="R1992"/>
      <c r="S1992"/>
      <c r="T1992"/>
      <c r="U1992"/>
      <c r="V1992"/>
      <c r="W1992"/>
      <c r="X1992"/>
      <c r="Y1992"/>
      <c r="Z1992"/>
      <c r="AA1992"/>
      <c r="AB1992"/>
      <c r="AC1992"/>
      <c r="AD1992"/>
      <c r="AE1992"/>
      <c r="AF1992"/>
      <c r="AG1992"/>
      <c r="AH1992"/>
      <c r="AI1992"/>
      <c r="AJ1992"/>
      <c r="AK1992"/>
      <c r="AL1992"/>
      <c r="AM1992"/>
      <c r="AN1992"/>
      <c r="AO1992"/>
      <c r="AP1992"/>
      <c r="AQ1992"/>
      <c r="AR1992"/>
      <c r="AS1992"/>
      <c r="AT1992"/>
      <c r="AU1992"/>
      <c r="AV1992"/>
      <c r="AW1992"/>
      <c r="AX1992"/>
      <c r="AY1992"/>
      <c r="AZ1992"/>
      <c r="BA1992"/>
      <c r="BB1992"/>
      <c r="BC1992"/>
      <c r="BD1992"/>
      <c r="BE1992"/>
      <c r="BF1992"/>
      <c r="BG1992"/>
      <c r="BH1992"/>
      <c r="BI1992"/>
      <c r="BJ1992"/>
      <c r="BK1992"/>
      <c r="BL1992"/>
      <c r="BM1992"/>
      <c r="BN1992"/>
      <c r="BO1992"/>
      <c r="BP1992"/>
      <c r="BQ1992"/>
      <c r="BR1992"/>
      <c r="BS1992"/>
      <c r="BT1992"/>
      <c r="BU1992"/>
      <c r="BV1992"/>
      <c r="BW1992"/>
      <c r="BX1992"/>
      <c r="BY1992"/>
      <c r="BZ1992"/>
      <c r="CA1992"/>
      <c r="CB1992"/>
      <c r="CC1992"/>
      <c r="CD1992"/>
      <c r="CE1992"/>
      <c r="CF1992"/>
      <c r="CG1992"/>
      <c r="CH1992"/>
      <c r="CI1992"/>
      <c r="CJ1992"/>
      <c r="CK1992"/>
      <c r="CL1992"/>
      <c r="CM1992"/>
      <c r="CN1992"/>
      <c r="CO1992"/>
      <c r="CP1992"/>
      <c r="CQ1992"/>
      <c r="CR1992"/>
      <c r="CS1992"/>
      <c r="CT1992"/>
      <c r="CU1992"/>
      <c r="CV1992"/>
      <c r="CW1992"/>
      <c r="CX1992"/>
      <c r="CY1992"/>
      <c r="CZ1992"/>
      <c r="DA1992"/>
      <c r="DB1992"/>
      <c r="DC1992"/>
      <c r="DD1992"/>
      <c r="DE1992"/>
      <c r="DF1992"/>
      <c r="DG1992"/>
      <c r="DH1992"/>
      <c r="DI1992"/>
      <c r="DJ1992"/>
      <c r="DK1992"/>
      <c r="DL1992"/>
      <c r="DM1992"/>
      <c r="DN1992"/>
      <c r="DO1992"/>
      <c r="DP1992"/>
      <c r="DQ1992"/>
      <c r="DR1992"/>
      <c r="DS1992"/>
      <c r="DT1992"/>
      <c r="DU1992"/>
      <c r="DV1992"/>
      <c r="DW1992"/>
      <c r="DX1992"/>
      <c r="DY1992"/>
      <c r="DZ1992"/>
      <c r="EA1992"/>
      <c r="EB1992"/>
      <c r="EC1992"/>
      <c r="ED1992"/>
      <c r="EE1992"/>
      <c r="EF1992"/>
      <c r="EG1992"/>
      <c r="EH1992"/>
      <c r="EI1992"/>
      <c r="EJ1992"/>
      <c r="EK1992"/>
      <c r="EL1992"/>
      <c r="EM1992"/>
      <c r="EN1992"/>
      <c r="EO1992"/>
      <c r="EP1992"/>
      <c r="EQ1992"/>
      <c r="ER1992"/>
      <c r="ES1992"/>
    </row>
    <row r="1993" spans="1:149">
      <c r="A1993"/>
      <c r="B1993"/>
      <c r="C1993"/>
      <c r="D1993"/>
      <c r="E1993"/>
      <c r="F1993"/>
      <c r="G1993"/>
      <c r="H1993"/>
      <c r="I1993"/>
      <c r="J1993"/>
      <c r="K1993"/>
      <c r="L1993"/>
      <c r="M1993"/>
      <c r="N1993"/>
      <c r="O1993"/>
      <c r="P1993"/>
      <c r="Q1993"/>
      <c r="R1993"/>
      <c r="S1993"/>
      <c r="T1993"/>
      <c r="U1993"/>
      <c r="V1993"/>
      <c r="W1993"/>
      <c r="X1993"/>
      <c r="Y1993"/>
      <c r="Z1993"/>
      <c r="AA1993"/>
      <c r="AB1993"/>
      <c r="AC1993"/>
      <c r="AD1993"/>
      <c r="AE1993"/>
      <c r="AF1993"/>
      <c r="AG1993"/>
      <c r="AH1993"/>
      <c r="AI1993"/>
      <c r="AJ1993"/>
      <c r="AK1993"/>
      <c r="AL1993"/>
      <c r="AM1993"/>
      <c r="AN1993"/>
      <c r="AO1993"/>
      <c r="AP1993"/>
      <c r="AQ1993"/>
      <c r="AR1993"/>
      <c r="AS1993"/>
      <c r="AT1993"/>
      <c r="AU1993"/>
      <c r="AV1993"/>
      <c r="AW1993"/>
      <c r="AX1993"/>
      <c r="AY1993"/>
      <c r="AZ1993"/>
      <c r="BA1993"/>
      <c r="BB1993"/>
      <c r="BC1993"/>
      <c r="BD1993"/>
      <c r="BE1993"/>
      <c r="BF1993"/>
      <c r="BG1993"/>
      <c r="BH1993"/>
      <c r="BI1993"/>
      <c r="BJ1993"/>
      <c r="BK1993"/>
      <c r="BL1993"/>
      <c r="BM1993"/>
      <c r="BN1993"/>
      <c r="BO1993"/>
      <c r="BP1993"/>
      <c r="BQ1993"/>
      <c r="BR1993"/>
      <c r="BS1993"/>
      <c r="BT1993"/>
      <c r="BU1993"/>
      <c r="BV1993"/>
      <c r="BW1993"/>
      <c r="BX1993"/>
      <c r="BY1993"/>
      <c r="BZ1993"/>
      <c r="CA1993"/>
      <c r="CB1993"/>
      <c r="CC1993"/>
      <c r="CD1993"/>
      <c r="CE1993"/>
      <c r="CF1993"/>
      <c r="CG1993"/>
      <c r="CH1993"/>
      <c r="CI1993"/>
      <c r="CJ1993"/>
      <c r="CK1993"/>
      <c r="CL1993"/>
      <c r="CM1993"/>
      <c r="CN1993"/>
      <c r="CO1993"/>
      <c r="CP1993"/>
      <c r="CQ1993"/>
      <c r="CR1993"/>
      <c r="CS1993"/>
      <c r="CT1993"/>
      <c r="CU1993"/>
      <c r="CV1993"/>
      <c r="CW1993"/>
      <c r="CX1993"/>
      <c r="CY1993"/>
      <c r="CZ1993"/>
      <c r="DA1993"/>
      <c r="DB1993"/>
      <c r="DC1993"/>
      <c r="DD1993"/>
      <c r="DE1993"/>
      <c r="DF1993"/>
      <c r="DG1993"/>
      <c r="DH1993"/>
      <c r="DI1993"/>
      <c r="DJ1993"/>
      <c r="DK1993"/>
      <c r="DL1993"/>
      <c r="DM1993"/>
      <c r="DN1993"/>
      <c r="DO1993"/>
      <c r="DP1993"/>
      <c r="DQ1993"/>
      <c r="DR1993"/>
      <c r="DS1993"/>
      <c r="DT1993"/>
      <c r="DU1993"/>
      <c r="DV1993"/>
      <c r="DW1993"/>
      <c r="DX1993"/>
      <c r="DY1993"/>
      <c r="DZ1993"/>
      <c r="EA1993"/>
      <c r="EB1993"/>
      <c r="EC1993"/>
      <c r="ED1993"/>
      <c r="EE1993"/>
      <c r="EF1993"/>
      <c r="EG1993"/>
      <c r="EH1993"/>
      <c r="EI1993"/>
      <c r="EJ1993"/>
      <c r="EK1993"/>
      <c r="EL1993"/>
      <c r="EM1993"/>
      <c r="EN1993"/>
      <c r="EO1993"/>
      <c r="EP1993"/>
      <c r="EQ1993"/>
      <c r="ER1993"/>
      <c r="ES1993"/>
    </row>
    <row r="1994" spans="1:149">
      <c r="A1994"/>
      <c r="B1994"/>
      <c r="C1994"/>
      <c r="D1994"/>
      <c r="E1994"/>
      <c r="F1994"/>
      <c r="G1994"/>
      <c r="H1994"/>
      <c r="I1994"/>
      <c r="J1994"/>
      <c r="K1994"/>
      <c r="L1994"/>
      <c r="M1994"/>
      <c r="N1994"/>
      <c r="O1994"/>
      <c r="P1994"/>
      <c r="Q1994"/>
      <c r="R1994"/>
      <c r="S1994"/>
      <c r="T1994"/>
      <c r="U1994"/>
      <c r="V1994"/>
      <c r="W1994"/>
      <c r="X1994"/>
      <c r="Y1994"/>
      <c r="Z1994"/>
      <c r="AA1994"/>
      <c r="AB1994"/>
      <c r="AC1994"/>
      <c r="AD1994"/>
      <c r="AE1994"/>
      <c r="AF1994"/>
      <c r="AG1994"/>
      <c r="AH1994"/>
      <c r="AI1994"/>
      <c r="AJ1994"/>
      <c r="AK1994"/>
      <c r="AL1994"/>
      <c r="AM1994"/>
      <c r="AN1994"/>
      <c r="AO1994"/>
      <c r="AP1994"/>
      <c r="AQ1994"/>
      <c r="AR1994"/>
      <c r="AS1994"/>
      <c r="AT1994"/>
      <c r="AU1994"/>
      <c r="AV1994"/>
      <c r="AW1994"/>
      <c r="AX1994"/>
      <c r="AY1994"/>
      <c r="AZ1994"/>
      <c r="BA1994"/>
      <c r="BB1994"/>
      <c r="BC1994"/>
      <c r="BD1994"/>
      <c r="BE1994"/>
      <c r="BF1994"/>
      <c r="BG1994"/>
      <c r="BH1994"/>
      <c r="BI1994"/>
      <c r="BJ1994"/>
      <c r="BK1994"/>
      <c r="BL1994"/>
      <c r="BM1994"/>
      <c r="BN1994"/>
      <c r="BO1994"/>
      <c r="BP1994"/>
      <c r="BQ1994"/>
      <c r="BR1994"/>
      <c r="BS1994"/>
      <c r="BT1994"/>
      <c r="BU1994"/>
      <c r="BV1994"/>
      <c r="BW1994"/>
      <c r="BX1994"/>
      <c r="BY1994"/>
      <c r="BZ1994"/>
      <c r="CA1994"/>
      <c r="CB1994"/>
      <c r="CC1994"/>
      <c r="CD1994"/>
      <c r="CE1994"/>
      <c r="CF1994"/>
      <c r="CG1994"/>
      <c r="CH1994"/>
      <c r="CI1994"/>
      <c r="CJ1994"/>
      <c r="CK1994"/>
      <c r="CL1994"/>
      <c r="CM1994"/>
      <c r="CN1994"/>
      <c r="CO1994"/>
      <c r="CP1994"/>
      <c r="CQ1994"/>
      <c r="CR1994"/>
      <c r="CS1994"/>
      <c r="CT1994"/>
      <c r="CU1994"/>
      <c r="CV1994"/>
      <c r="CW1994"/>
      <c r="CX1994"/>
      <c r="CY1994"/>
      <c r="CZ1994"/>
      <c r="DA1994"/>
      <c r="DB1994"/>
      <c r="DC1994"/>
      <c r="DD1994"/>
      <c r="DE1994"/>
      <c r="DF1994"/>
      <c r="DG1994"/>
      <c r="DH1994"/>
      <c r="DI1994"/>
      <c r="DJ1994"/>
      <c r="DK1994"/>
      <c r="DL1994"/>
      <c r="DM1994"/>
      <c r="DN1994"/>
      <c r="DO1994"/>
      <c r="DP1994"/>
      <c r="DQ1994"/>
      <c r="DR1994"/>
      <c r="DS1994"/>
      <c r="DT1994"/>
      <c r="DU1994"/>
      <c r="DV1994"/>
      <c r="DW1994"/>
      <c r="DX1994"/>
      <c r="DY1994"/>
      <c r="DZ1994"/>
      <c r="EA1994"/>
      <c r="EB1994"/>
      <c r="EC1994"/>
      <c r="ED1994"/>
      <c r="EE1994"/>
      <c r="EF1994"/>
      <c r="EG1994"/>
      <c r="EH1994"/>
      <c r="EI1994"/>
      <c r="EJ1994"/>
      <c r="EK1994"/>
      <c r="EL1994"/>
      <c r="EM1994"/>
      <c r="EN1994"/>
      <c r="EO1994"/>
      <c r="EP1994"/>
      <c r="EQ1994"/>
      <c r="ER1994"/>
      <c r="ES1994"/>
    </row>
    <row r="1995" spans="1:149">
      <c r="A1995"/>
      <c r="B1995"/>
      <c r="C1995"/>
      <c r="D1995"/>
      <c r="E1995"/>
      <c r="F1995"/>
      <c r="G1995"/>
      <c r="H1995"/>
      <c r="I1995"/>
      <c r="J1995"/>
      <c r="K1995"/>
      <c r="L1995"/>
      <c r="M1995"/>
      <c r="N1995"/>
      <c r="O1995"/>
      <c r="P1995"/>
      <c r="Q1995"/>
      <c r="R1995"/>
      <c r="S1995"/>
      <c r="T1995"/>
      <c r="U1995"/>
      <c r="V1995"/>
      <c r="W1995"/>
      <c r="X1995"/>
      <c r="Y1995"/>
      <c r="Z1995"/>
      <c r="AA1995"/>
      <c r="AB1995"/>
      <c r="AC1995"/>
      <c r="AD1995"/>
      <c r="AE1995"/>
      <c r="AF1995"/>
      <c r="AG1995"/>
      <c r="AH1995"/>
      <c r="AI1995"/>
      <c r="AJ1995"/>
      <c r="AK1995"/>
      <c r="AL1995"/>
      <c r="AM1995"/>
      <c r="AN1995"/>
      <c r="AO1995"/>
      <c r="AP1995"/>
      <c r="AQ1995"/>
      <c r="AR1995"/>
      <c r="AS1995"/>
      <c r="AT1995"/>
      <c r="AU1995"/>
      <c r="AV1995"/>
      <c r="AW1995"/>
      <c r="AX1995"/>
      <c r="AY1995"/>
      <c r="AZ1995"/>
      <c r="BA1995"/>
      <c r="BB1995"/>
      <c r="BC1995"/>
      <c r="BD1995"/>
      <c r="BE1995"/>
      <c r="BF1995"/>
      <c r="BG1995"/>
      <c r="BH1995"/>
      <c r="BI1995"/>
      <c r="BJ1995"/>
      <c r="BK1995"/>
      <c r="BL1995"/>
      <c r="BM1995"/>
      <c r="BN1995"/>
      <c r="BO1995"/>
      <c r="BP1995"/>
      <c r="BQ1995"/>
      <c r="BR1995"/>
      <c r="BS1995"/>
      <c r="BT1995"/>
      <c r="BU1995"/>
      <c r="BV1995"/>
      <c r="BW1995"/>
      <c r="BX1995"/>
      <c r="BY1995"/>
      <c r="BZ1995"/>
      <c r="CA1995"/>
      <c r="CB1995"/>
      <c r="CC1995"/>
      <c r="CD1995"/>
      <c r="CE1995"/>
      <c r="CF1995"/>
      <c r="CG1995"/>
      <c r="CH1995"/>
      <c r="CI1995"/>
      <c r="CJ1995"/>
      <c r="CK1995"/>
      <c r="CL1995"/>
      <c r="CM1995"/>
      <c r="CN1995"/>
      <c r="CO1995"/>
      <c r="CP1995"/>
      <c r="CQ1995"/>
      <c r="CR1995"/>
      <c r="CS1995"/>
      <c r="CT1995"/>
      <c r="CU1995"/>
      <c r="CV1995"/>
      <c r="CW1995"/>
      <c r="CX1995"/>
      <c r="CY1995"/>
      <c r="CZ1995"/>
      <c r="DA1995"/>
      <c r="DB1995"/>
      <c r="DC1995"/>
      <c r="DD1995"/>
      <c r="DE1995"/>
      <c r="DF1995"/>
      <c r="DG1995"/>
      <c r="DH1995"/>
      <c r="DI1995"/>
      <c r="DJ1995"/>
      <c r="DK1995"/>
      <c r="DL1995"/>
      <c r="DM1995"/>
      <c r="DN1995"/>
      <c r="DO1995"/>
      <c r="DP1995"/>
      <c r="DQ1995"/>
      <c r="DR1995"/>
      <c r="DS1995"/>
      <c r="DT1995"/>
      <c r="DU1995"/>
      <c r="DV1995"/>
      <c r="DW1995"/>
      <c r="DX1995"/>
      <c r="DY1995"/>
      <c r="DZ1995"/>
      <c r="EA1995"/>
      <c r="EB1995"/>
      <c r="EC1995"/>
      <c r="ED1995"/>
      <c r="EE1995"/>
      <c r="EF1995"/>
      <c r="EG1995"/>
      <c r="EH1995"/>
      <c r="EI1995"/>
      <c r="EJ1995"/>
      <c r="EK1995"/>
      <c r="EL1995"/>
      <c r="EM1995"/>
      <c r="EN1995"/>
      <c r="EO1995"/>
      <c r="EP1995"/>
      <c r="EQ1995"/>
      <c r="ER1995"/>
      <c r="ES1995"/>
    </row>
    <row r="1996" spans="1:149">
      <c r="A1996"/>
      <c r="B1996"/>
      <c r="C1996"/>
      <c r="D1996"/>
      <c r="E1996"/>
      <c r="F1996"/>
      <c r="G1996"/>
      <c r="H1996"/>
      <c r="I1996"/>
      <c r="J1996"/>
      <c r="K1996"/>
      <c r="L1996"/>
      <c r="M1996"/>
      <c r="N1996"/>
      <c r="O1996"/>
      <c r="P1996"/>
      <c r="Q1996"/>
      <c r="R1996"/>
      <c r="S1996"/>
      <c r="T1996"/>
      <c r="U1996"/>
      <c r="V1996"/>
      <c r="W1996"/>
      <c r="X1996"/>
      <c r="Y1996"/>
      <c r="Z1996"/>
      <c r="AA1996"/>
      <c r="AB1996"/>
      <c r="AC1996"/>
      <c r="AD1996"/>
      <c r="AE1996"/>
      <c r="AF1996"/>
      <c r="AG1996"/>
      <c r="AH1996"/>
      <c r="AI1996"/>
      <c r="AJ1996"/>
      <c r="AK1996"/>
      <c r="AL1996"/>
      <c r="AM1996"/>
      <c r="AN1996"/>
      <c r="AO1996"/>
      <c r="AP1996"/>
      <c r="AQ1996"/>
      <c r="AR1996"/>
      <c r="AS1996"/>
      <c r="AT1996"/>
      <c r="AU1996"/>
      <c r="AV1996"/>
      <c r="AW1996"/>
      <c r="AX1996"/>
      <c r="AY1996"/>
      <c r="AZ1996"/>
      <c r="BA1996"/>
      <c r="BB1996"/>
      <c r="BC1996"/>
      <c r="BD1996"/>
      <c r="BE1996"/>
      <c r="BF1996"/>
      <c r="BG1996"/>
      <c r="BH1996"/>
      <c r="BI1996"/>
      <c r="BJ1996"/>
      <c r="BK1996"/>
      <c r="BL1996"/>
      <c r="BM1996"/>
      <c r="BN1996"/>
      <c r="BO1996"/>
      <c r="BP1996"/>
      <c r="BQ1996"/>
      <c r="BR1996"/>
      <c r="BS1996"/>
      <c r="BT1996"/>
      <c r="BU1996"/>
      <c r="BV1996"/>
      <c r="BW1996"/>
      <c r="BX1996"/>
      <c r="BY1996"/>
      <c r="BZ1996"/>
      <c r="CA1996"/>
      <c r="CB1996"/>
      <c r="CC1996"/>
      <c r="CD1996"/>
      <c r="CE1996"/>
      <c r="CF1996"/>
      <c r="CG1996"/>
      <c r="CH1996"/>
      <c r="CI1996"/>
      <c r="CJ1996"/>
      <c r="CK1996"/>
      <c r="CL1996"/>
      <c r="CM1996"/>
      <c r="CN1996"/>
      <c r="CO1996"/>
      <c r="CP1996"/>
      <c r="CQ1996"/>
      <c r="CR1996"/>
      <c r="CS1996"/>
      <c r="CT1996"/>
      <c r="CU1996"/>
      <c r="CV1996"/>
      <c r="CW1996"/>
      <c r="CX1996"/>
      <c r="CY1996"/>
      <c r="CZ1996"/>
      <c r="DA1996"/>
      <c r="DB1996"/>
      <c r="DC1996"/>
      <c r="DD1996"/>
      <c r="DE1996"/>
      <c r="DF1996"/>
      <c r="DG1996"/>
      <c r="DH1996"/>
      <c r="DI1996"/>
      <c r="DJ1996"/>
      <c r="DK1996"/>
      <c r="DL1996"/>
      <c r="DM1996"/>
      <c r="DN1996"/>
      <c r="DO1996"/>
      <c r="DP1996"/>
      <c r="DQ1996"/>
      <c r="DR1996"/>
      <c r="DS1996"/>
      <c r="DT1996"/>
      <c r="DU1996"/>
      <c r="DV1996"/>
      <c r="DW1996"/>
      <c r="DX1996"/>
      <c r="DY1996"/>
      <c r="DZ1996"/>
      <c r="EA1996"/>
      <c r="EB1996"/>
      <c r="EC1996"/>
      <c r="ED1996"/>
      <c r="EE1996"/>
      <c r="EF1996"/>
      <c r="EG1996"/>
      <c r="EH1996"/>
      <c r="EI1996"/>
      <c r="EJ1996"/>
      <c r="EK1996"/>
      <c r="EL1996"/>
      <c r="EM1996"/>
      <c r="EN1996"/>
      <c r="EO1996"/>
      <c r="EP1996"/>
      <c r="EQ1996"/>
      <c r="ER1996"/>
      <c r="ES1996"/>
    </row>
    <row r="1997" spans="1:149">
      <c r="A1997"/>
      <c r="B1997"/>
      <c r="C1997"/>
      <c r="D1997"/>
      <c r="E1997"/>
      <c r="F1997"/>
      <c r="G1997"/>
      <c r="H1997"/>
      <c r="I1997"/>
      <c r="J1997"/>
      <c r="K1997"/>
      <c r="L1997"/>
      <c r="M1997"/>
      <c r="N1997"/>
      <c r="O1997"/>
      <c r="P1997"/>
      <c r="Q1997"/>
      <c r="R1997"/>
      <c r="S1997"/>
      <c r="T1997"/>
      <c r="U1997"/>
      <c r="V1997"/>
      <c r="W1997"/>
      <c r="X1997"/>
      <c r="Y1997"/>
      <c r="Z1997"/>
      <c r="AA1997"/>
      <c r="AB1997"/>
      <c r="AC1997"/>
      <c r="AD1997"/>
      <c r="AE1997"/>
      <c r="AF1997"/>
      <c r="AG1997"/>
      <c r="AH1997"/>
      <c r="AI1997"/>
      <c r="AJ1997"/>
      <c r="AK1997"/>
      <c r="AL1997"/>
      <c r="AM1997"/>
      <c r="AN1997"/>
      <c r="AO1997"/>
      <c r="AP1997"/>
      <c r="AQ1997"/>
      <c r="AR1997"/>
      <c r="AS1997"/>
      <c r="AT1997"/>
      <c r="AU1997"/>
      <c r="AV1997"/>
      <c r="AW1997"/>
      <c r="AX1997"/>
      <c r="AY1997"/>
      <c r="AZ1997"/>
      <c r="BA1997"/>
      <c r="BB1997"/>
      <c r="BC1997"/>
      <c r="BD1997"/>
      <c r="BE1997"/>
      <c r="BF1997"/>
      <c r="BG1997"/>
      <c r="BH1997"/>
      <c r="BI1997"/>
      <c r="BJ1997"/>
      <c r="BK1997"/>
      <c r="BL1997"/>
      <c r="BM1997"/>
      <c r="BN1997"/>
      <c r="BO1997"/>
      <c r="BP1997"/>
      <c r="BQ1997"/>
      <c r="BR1997"/>
      <c r="BS1997"/>
      <c r="BT1997"/>
      <c r="BU1997"/>
      <c r="BV1997"/>
      <c r="BW1997"/>
      <c r="BX1997"/>
      <c r="BY1997"/>
      <c r="BZ1997"/>
      <c r="CA1997"/>
      <c r="CB1997"/>
      <c r="CC1997"/>
      <c r="CD1997"/>
      <c r="CE1997"/>
      <c r="CF1997"/>
      <c r="CG1997"/>
      <c r="CH1997"/>
      <c r="CI1997"/>
      <c r="CJ1997"/>
      <c r="CK1997"/>
      <c r="CL1997"/>
      <c r="CM1997"/>
      <c r="CN1997"/>
      <c r="CO1997"/>
      <c r="CP1997"/>
      <c r="CQ1997"/>
      <c r="CR1997"/>
      <c r="CS1997"/>
      <c r="CT1997"/>
      <c r="CU1997"/>
      <c r="CV1997"/>
      <c r="CW1997"/>
      <c r="CX1997"/>
      <c r="CY1997"/>
      <c r="CZ1997"/>
      <c r="DA1997"/>
      <c r="DB1997"/>
      <c r="DC1997"/>
      <c r="DD1997"/>
      <c r="DE1997"/>
      <c r="DF1997"/>
      <c r="DG1997"/>
      <c r="DH1997"/>
      <c r="DI1997"/>
      <c r="DJ1997"/>
      <c r="DK1997"/>
      <c r="DL1997"/>
      <c r="DM1997"/>
      <c r="DN1997"/>
      <c r="DO1997"/>
      <c r="DP1997"/>
      <c r="DQ1997"/>
      <c r="DR1997"/>
      <c r="DS1997"/>
      <c r="DT1997"/>
      <c r="DU1997"/>
      <c r="DV1997"/>
      <c r="DW1997"/>
      <c r="DX1997"/>
      <c r="DY1997"/>
      <c r="DZ1997"/>
      <c r="EA1997"/>
      <c r="EB1997"/>
      <c r="EC1997"/>
      <c r="ED1997"/>
      <c r="EE1997"/>
      <c r="EF1997"/>
      <c r="EG1997"/>
      <c r="EH1997"/>
      <c r="EI1997"/>
      <c r="EJ1997"/>
      <c r="EK1997"/>
      <c r="EL1997"/>
      <c r="EM1997"/>
      <c r="EN1997"/>
      <c r="EO1997"/>
      <c r="EP1997"/>
      <c r="EQ1997"/>
      <c r="ER1997"/>
      <c r="ES1997"/>
    </row>
    <row r="1998" spans="1:149">
      <c r="A1998"/>
      <c r="B1998"/>
      <c r="C1998"/>
      <c r="D1998"/>
      <c r="E1998"/>
      <c r="F1998"/>
      <c r="G1998"/>
      <c r="H1998"/>
      <c r="I1998"/>
      <c r="J1998"/>
      <c r="K1998"/>
      <c r="L1998"/>
      <c r="M1998"/>
      <c r="N1998"/>
      <c r="O1998"/>
      <c r="P1998"/>
      <c r="Q1998"/>
      <c r="R1998"/>
      <c r="S1998"/>
      <c r="T1998"/>
      <c r="U1998"/>
      <c r="V1998"/>
      <c r="W1998"/>
      <c r="X1998"/>
      <c r="Y1998"/>
      <c r="Z1998"/>
      <c r="AA1998"/>
      <c r="AB1998"/>
      <c r="AC1998"/>
      <c r="AD1998"/>
      <c r="AE1998"/>
      <c r="AF1998"/>
      <c r="AG1998"/>
      <c r="AH1998"/>
      <c r="AI1998"/>
      <c r="AJ1998"/>
      <c r="AK1998"/>
      <c r="AL1998"/>
      <c r="AM1998"/>
      <c r="AN1998"/>
      <c r="AO1998"/>
      <c r="AP1998"/>
      <c r="AQ1998"/>
      <c r="AR1998"/>
      <c r="AS1998"/>
      <c r="AT1998"/>
      <c r="AU1998"/>
      <c r="AV1998"/>
      <c r="AW1998"/>
      <c r="AX1998"/>
      <c r="AY1998"/>
      <c r="AZ1998"/>
      <c r="BA1998"/>
      <c r="BB1998"/>
      <c r="BC1998"/>
      <c r="BD1998"/>
      <c r="BE1998"/>
      <c r="BF1998"/>
      <c r="BG1998"/>
      <c r="BH1998"/>
      <c r="BI1998"/>
      <c r="BJ1998"/>
      <c r="BK1998"/>
      <c r="BL1998"/>
      <c r="BM1998"/>
      <c r="BN1998"/>
      <c r="BO1998"/>
      <c r="BP1998"/>
      <c r="BQ1998"/>
      <c r="BR1998"/>
      <c r="BS1998"/>
      <c r="BT1998"/>
      <c r="BU1998"/>
      <c r="BV1998"/>
      <c r="BW1998"/>
      <c r="BX1998"/>
      <c r="BY1998"/>
      <c r="BZ1998"/>
      <c r="CA1998"/>
      <c r="CB1998"/>
      <c r="CC1998"/>
      <c r="CD1998"/>
      <c r="CE1998"/>
      <c r="CF1998"/>
      <c r="CG1998"/>
      <c r="CH1998"/>
      <c r="CI1998"/>
      <c r="CJ1998"/>
      <c r="CK1998"/>
      <c r="CL1998"/>
      <c r="CM1998"/>
      <c r="CN1998"/>
      <c r="CO1998"/>
      <c r="CP1998"/>
      <c r="CQ1998"/>
      <c r="CR1998"/>
      <c r="CS1998"/>
      <c r="CT1998"/>
      <c r="CU1998"/>
      <c r="CV1998"/>
      <c r="CW1998"/>
      <c r="CX1998"/>
      <c r="CY1998"/>
      <c r="CZ1998"/>
      <c r="DA1998"/>
      <c r="DB1998"/>
      <c r="DC1998"/>
      <c r="DD1998"/>
      <c r="DE1998"/>
      <c r="DF1998"/>
      <c r="DG1998"/>
      <c r="DH1998"/>
      <c r="DI1998"/>
      <c r="DJ1998"/>
      <c r="DK1998"/>
      <c r="DL1998"/>
      <c r="DM1998"/>
      <c r="DN1998"/>
      <c r="DO1998"/>
      <c r="DP1998"/>
      <c r="DQ1998"/>
      <c r="DR1998"/>
      <c r="DS1998"/>
      <c r="DT1998"/>
      <c r="DU1998"/>
      <c r="DV1998"/>
      <c r="DW1998"/>
      <c r="DX1998"/>
      <c r="DY1998"/>
      <c r="DZ1998"/>
      <c r="EA1998"/>
      <c r="EB1998"/>
      <c r="EC1998"/>
      <c r="ED1998"/>
      <c r="EE1998"/>
      <c r="EF1998"/>
      <c r="EG1998"/>
      <c r="EH1998"/>
      <c r="EI1998"/>
      <c r="EJ1998"/>
      <c r="EK1998"/>
      <c r="EL1998"/>
      <c r="EM1998"/>
      <c r="EN1998"/>
      <c r="EO1998"/>
      <c r="EP1998"/>
      <c r="EQ1998"/>
      <c r="ER1998"/>
      <c r="ES1998"/>
    </row>
    <row r="1999" spans="1:149">
      <c r="A1999"/>
      <c r="B1999"/>
      <c r="C1999"/>
      <c r="D1999"/>
      <c r="E1999"/>
      <c r="F1999"/>
      <c r="G1999"/>
      <c r="H1999"/>
      <c r="I1999"/>
      <c r="J1999"/>
      <c r="K1999"/>
      <c r="L1999"/>
      <c r="M1999"/>
      <c r="N1999"/>
      <c r="O1999"/>
      <c r="P1999"/>
      <c r="Q1999"/>
      <c r="R1999"/>
      <c r="S1999"/>
      <c r="T1999"/>
      <c r="U1999"/>
      <c r="V1999"/>
      <c r="W1999"/>
      <c r="X1999"/>
      <c r="Y1999"/>
      <c r="Z1999"/>
      <c r="AA1999"/>
      <c r="AB1999"/>
      <c r="AC1999"/>
      <c r="AD1999"/>
      <c r="AE1999"/>
      <c r="AF1999"/>
      <c r="AG1999"/>
      <c r="AH1999"/>
      <c r="AI1999"/>
      <c r="AJ1999"/>
      <c r="AK1999"/>
      <c r="AL1999"/>
      <c r="AM1999"/>
      <c r="AN1999"/>
      <c r="AO1999"/>
      <c r="AP1999"/>
      <c r="AQ1999"/>
      <c r="AR1999"/>
      <c r="AS1999"/>
      <c r="AT1999"/>
      <c r="AU1999"/>
      <c r="AV1999"/>
      <c r="AW1999"/>
      <c r="AX1999"/>
      <c r="AY1999"/>
      <c r="AZ1999"/>
      <c r="BA1999"/>
      <c r="BB1999"/>
      <c r="BC1999"/>
      <c r="BD1999"/>
      <c r="BE1999"/>
      <c r="BF1999"/>
      <c r="BG1999"/>
      <c r="BH1999"/>
      <c r="BI1999"/>
      <c r="BJ1999"/>
      <c r="BK1999"/>
      <c r="BL1999"/>
      <c r="BM1999"/>
      <c r="BN1999"/>
      <c r="BO1999"/>
      <c r="BP1999"/>
      <c r="BQ1999"/>
      <c r="BR1999"/>
      <c r="BS1999"/>
      <c r="BT1999"/>
      <c r="BU1999"/>
      <c r="BV1999"/>
      <c r="BW1999"/>
      <c r="BX1999"/>
      <c r="BY1999"/>
      <c r="BZ1999"/>
      <c r="CA1999"/>
      <c r="CB1999"/>
      <c r="CC1999"/>
      <c r="CD1999"/>
      <c r="CE1999"/>
      <c r="CF1999"/>
      <c r="CG1999"/>
      <c r="CH1999"/>
      <c r="CI1999"/>
      <c r="CJ1999"/>
      <c r="CK1999"/>
      <c r="CL1999"/>
      <c r="CM1999"/>
      <c r="CN1999"/>
      <c r="CO1999"/>
      <c r="CP1999"/>
      <c r="CQ1999"/>
      <c r="CR1999"/>
      <c r="CS1999"/>
      <c r="CT1999"/>
      <c r="CU1999"/>
      <c r="CV1999"/>
      <c r="CW1999"/>
      <c r="CX1999"/>
      <c r="CY1999"/>
      <c r="CZ1999"/>
      <c r="DA1999"/>
      <c r="DB1999"/>
      <c r="DC1999"/>
      <c r="DD1999"/>
      <c r="DE1999"/>
      <c r="DF1999"/>
      <c r="DG1999"/>
      <c r="DH1999"/>
      <c r="DI1999"/>
      <c r="DJ1999"/>
      <c r="DK1999"/>
      <c r="DL1999"/>
      <c r="DM1999"/>
      <c r="DN1999"/>
      <c r="DO1999"/>
      <c r="DP1999"/>
      <c r="DQ1999"/>
      <c r="DR1999"/>
      <c r="DS1999"/>
      <c r="DT1999"/>
      <c r="DU1999"/>
      <c r="DV1999"/>
      <c r="DW1999"/>
      <c r="DX1999"/>
      <c r="DY1999"/>
      <c r="DZ1999"/>
      <c r="EA1999"/>
      <c r="EB1999"/>
      <c r="EC1999"/>
      <c r="ED1999"/>
      <c r="EE1999"/>
      <c r="EF1999"/>
      <c r="EG1999"/>
      <c r="EH1999"/>
      <c r="EI1999"/>
      <c r="EJ1999"/>
      <c r="EK1999"/>
      <c r="EL1999"/>
      <c r="EM1999"/>
      <c r="EN1999"/>
      <c r="EO1999"/>
      <c r="EP1999"/>
      <c r="EQ1999"/>
      <c r="ER1999"/>
      <c r="ES1999"/>
    </row>
    <row r="2000" spans="1:149">
      <c r="A2000"/>
      <c r="B2000"/>
      <c r="C2000"/>
      <c r="D2000"/>
      <c r="E2000"/>
      <c r="F2000"/>
      <c r="G2000"/>
      <c r="H2000"/>
      <c r="I2000"/>
      <c r="J2000"/>
      <c r="K2000"/>
      <c r="L2000"/>
      <c r="M2000"/>
      <c r="N2000"/>
      <c r="O2000"/>
      <c r="P2000"/>
      <c r="Q2000"/>
      <c r="R2000"/>
      <c r="S2000"/>
      <c r="T2000"/>
      <c r="U2000"/>
      <c r="V2000"/>
      <c r="W2000"/>
      <c r="X2000"/>
      <c r="Y2000"/>
      <c r="Z2000"/>
      <c r="AA2000"/>
      <c r="AB2000"/>
      <c r="AC2000"/>
      <c r="AD2000"/>
      <c r="AE2000"/>
      <c r="AF2000"/>
      <c r="AG2000"/>
      <c r="AH2000"/>
      <c r="AI2000"/>
      <c r="AJ2000"/>
      <c r="AK2000"/>
      <c r="AL2000"/>
      <c r="AM2000"/>
      <c r="AN2000"/>
      <c r="AO2000"/>
      <c r="AP2000"/>
      <c r="AQ2000"/>
      <c r="AR2000"/>
      <c r="AS2000"/>
      <c r="AT2000"/>
      <c r="AU2000"/>
      <c r="AV2000"/>
      <c r="AW2000"/>
      <c r="AX2000"/>
      <c r="AY2000"/>
      <c r="AZ2000"/>
      <c r="BA2000"/>
      <c r="BB2000"/>
      <c r="BC2000"/>
      <c r="BD2000"/>
      <c r="BE2000"/>
      <c r="BF2000"/>
      <c r="BG2000"/>
      <c r="BH2000"/>
      <c r="BI2000"/>
      <c r="BJ2000"/>
      <c r="BK2000"/>
      <c r="BL2000"/>
      <c r="BM2000"/>
      <c r="BN2000"/>
      <c r="BO2000"/>
      <c r="BP2000"/>
      <c r="BQ2000"/>
      <c r="BR2000"/>
      <c r="BS2000"/>
      <c r="BT2000"/>
      <c r="BU2000"/>
      <c r="BV2000"/>
      <c r="BW2000"/>
      <c r="BX2000"/>
      <c r="BY2000"/>
      <c r="BZ2000"/>
      <c r="CA2000"/>
      <c r="CB2000"/>
      <c r="CC2000"/>
      <c r="CD2000"/>
      <c r="CE2000"/>
      <c r="CF2000"/>
      <c r="CG2000"/>
      <c r="CH2000"/>
      <c r="CI2000"/>
      <c r="CJ2000"/>
      <c r="CK2000"/>
      <c r="CL2000"/>
      <c r="CM2000"/>
      <c r="CN2000"/>
      <c r="CO2000"/>
      <c r="CP2000"/>
      <c r="CQ2000"/>
      <c r="CR2000"/>
      <c r="CS2000"/>
      <c r="CT2000"/>
      <c r="CU2000"/>
      <c r="CV2000"/>
      <c r="CW2000"/>
      <c r="CX2000"/>
      <c r="CY2000"/>
      <c r="CZ2000"/>
      <c r="DA2000"/>
      <c r="DB2000"/>
      <c r="DC2000"/>
      <c r="DD2000"/>
      <c r="DE2000"/>
      <c r="DF2000"/>
      <c r="DG2000"/>
      <c r="DH2000"/>
      <c r="DI2000"/>
      <c r="DJ2000"/>
      <c r="DK2000"/>
      <c r="DL2000"/>
      <c r="DM2000"/>
      <c r="DN2000"/>
      <c r="DO2000"/>
      <c r="DP2000"/>
      <c r="DQ2000"/>
      <c r="DR2000"/>
      <c r="DS2000"/>
      <c r="DT2000"/>
      <c r="DU2000"/>
      <c r="DV2000"/>
      <c r="DW2000"/>
      <c r="DX2000"/>
      <c r="DY2000"/>
      <c r="DZ2000"/>
      <c r="EA2000"/>
      <c r="EB2000"/>
      <c r="EC2000"/>
      <c r="ED2000"/>
      <c r="EE2000"/>
      <c r="EF2000"/>
      <c r="EG2000"/>
      <c r="EH2000"/>
      <c r="EI2000"/>
      <c r="EJ2000"/>
      <c r="EK2000"/>
      <c r="EL2000"/>
      <c r="EM2000"/>
      <c r="EN2000"/>
      <c r="EO2000"/>
      <c r="EP2000"/>
      <c r="EQ2000"/>
      <c r="ER2000"/>
      <c r="ES2000"/>
    </row>
    <row r="2001" spans="1:149">
      <c r="A2001"/>
      <c r="B2001"/>
      <c r="C2001"/>
      <c r="D2001"/>
      <c r="E2001"/>
      <c r="F2001"/>
      <c r="G2001"/>
      <c r="H2001"/>
      <c r="I2001"/>
      <c r="J2001"/>
      <c r="K2001"/>
      <c r="L2001"/>
      <c r="M2001"/>
      <c r="N2001"/>
      <c r="O2001"/>
      <c r="P2001"/>
      <c r="Q2001"/>
      <c r="R2001"/>
      <c r="S2001"/>
      <c r="T2001"/>
      <c r="U2001"/>
      <c r="V2001"/>
      <c r="W2001"/>
      <c r="X2001"/>
      <c r="Y2001"/>
      <c r="Z2001"/>
      <c r="AA2001"/>
      <c r="AB2001"/>
      <c r="AC2001"/>
      <c r="AD2001"/>
      <c r="AE2001"/>
      <c r="AF2001"/>
      <c r="AG2001"/>
      <c r="AH2001"/>
      <c r="AI2001"/>
      <c r="AJ2001"/>
      <c r="AK2001"/>
      <c r="AL2001"/>
      <c r="AM2001"/>
      <c r="AN2001"/>
      <c r="AO2001"/>
      <c r="AP2001"/>
      <c r="AQ2001"/>
      <c r="AR2001"/>
      <c r="AS2001"/>
      <c r="AT2001"/>
      <c r="AU2001"/>
      <c r="AV2001"/>
      <c r="AW2001"/>
      <c r="AX2001"/>
      <c r="AY2001"/>
      <c r="AZ2001"/>
      <c r="BA2001"/>
      <c r="BB2001"/>
      <c r="BC2001"/>
      <c r="BD2001"/>
      <c r="BE2001"/>
      <c r="BF2001"/>
      <c r="BG2001"/>
      <c r="BH2001"/>
      <c r="BI2001"/>
      <c r="BJ2001"/>
      <c r="BK2001"/>
      <c r="BL2001"/>
      <c r="BM2001"/>
      <c r="BN2001"/>
      <c r="BO2001"/>
      <c r="BP2001"/>
      <c r="BQ2001"/>
      <c r="BR2001"/>
      <c r="BS2001"/>
      <c r="BT2001"/>
      <c r="BU2001"/>
      <c r="BV2001"/>
      <c r="BW2001"/>
      <c r="BX2001"/>
      <c r="BY2001"/>
      <c r="BZ2001"/>
      <c r="CA2001"/>
      <c r="CB2001"/>
      <c r="CC2001"/>
      <c r="CD2001"/>
      <c r="CE2001"/>
      <c r="CF2001"/>
      <c r="CG2001"/>
      <c r="CH2001"/>
      <c r="CI2001"/>
      <c r="CJ2001"/>
      <c r="CK2001"/>
      <c r="CL2001"/>
      <c r="CM2001"/>
      <c r="CN2001"/>
      <c r="CO2001"/>
      <c r="CP2001"/>
      <c r="CQ2001"/>
      <c r="CR2001"/>
      <c r="CS2001"/>
      <c r="CT2001"/>
      <c r="CU2001"/>
      <c r="CV2001"/>
      <c r="CW2001"/>
      <c r="CX2001"/>
      <c r="CY2001"/>
      <c r="CZ2001"/>
      <c r="DA2001"/>
      <c r="DB2001"/>
      <c r="DC2001"/>
      <c r="DD2001"/>
      <c r="DE2001"/>
      <c r="DF2001"/>
      <c r="DG2001"/>
      <c r="DH2001"/>
      <c r="DI2001"/>
      <c r="DJ2001"/>
      <c r="DK2001"/>
      <c r="DL2001"/>
      <c r="DM2001"/>
      <c r="DN2001"/>
      <c r="DO2001"/>
      <c r="DP2001"/>
      <c r="DQ2001"/>
      <c r="DR2001"/>
      <c r="DS2001"/>
      <c r="DT2001"/>
      <c r="DU2001"/>
      <c r="DV2001"/>
      <c r="DW2001"/>
      <c r="DX2001"/>
      <c r="DY2001"/>
      <c r="DZ2001"/>
      <c r="EA2001"/>
      <c r="EB2001"/>
      <c r="EC2001"/>
      <c r="ED2001"/>
      <c r="EE2001"/>
      <c r="EF2001"/>
      <c r="EG2001"/>
      <c r="EH2001"/>
      <c r="EI2001"/>
      <c r="EJ2001"/>
      <c r="EK2001"/>
      <c r="EL2001"/>
      <c r="EM2001"/>
      <c r="EN2001"/>
      <c r="EO2001"/>
      <c r="EP2001"/>
      <c r="EQ2001"/>
      <c r="ER2001"/>
      <c r="ES2001"/>
    </row>
    <row r="2002" spans="1:149">
      <c r="A2002"/>
      <c r="B2002"/>
      <c r="C2002"/>
      <c r="D2002"/>
      <c r="E2002"/>
      <c r="F2002"/>
      <c r="G2002"/>
      <c r="H2002"/>
      <c r="I2002"/>
      <c r="J2002"/>
      <c r="K2002"/>
      <c r="L2002"/>
      <c r="M2002"/>
      <c r="N2002"/>
      <c r="O2002"/>
      <c r="P2002"/>
      <c r="Q2002"/>
      <c r="R2002"/>
      <c r="S2002"/>
      <c r="T2002"/>
      <c r="U2002"/>
      <c r="V2002"/>
      <c r="W2002"/>
      <c r="X2002"/>
      <c r="Y2002"/>
      <c r="Z2002"/>
      <c r="AA2002"/>
      <c r="AB2002"/>
      <c r="AC2002"/>
      <c r="AD2002"/>
      <c r="AE2002"/>
      <c r="AF2002"/>
      <c r="AG2002"/>
      <c r="AH2002"/>
      <c r="AI2002"/>
      <c r="AJ2002"/>
      <c r="AK2002"/>
      <c r="AL2002"/>
      <c r="AM2002"/>
      <c r="AN2002"/>
      <c r="AO2002"/>
      <c r="AP2002"/>
      <c r="AQ2002"/>
      <c r="AR2002"/>
      <c r="AS2002"/>
      <c r="AT2002"/>
      <c r="AU2002"/>
      <c r="AV2002"/>
      <c r="AW2002"/>
      <c r="AX2002"/>
      <c r="AY2002"/>
      <c r="AZ2002"/>
      <c r="BA2002"/>
      <c r="BB2002"/>
      <c r="BC2002"/>
      <c r="BD2002"/>
      <c r="BE2002"/>
      <c r="BF2002"/>
      <c r="BG2002"/>
      <c r="BH2002"/>
      <c r="BI2002"/>
      <c r="BJ2002"/>
      <c r="BK2002"/>
      <c r="BL2002"/>
      <c r="BM2002"/>
      <c r="BN2002"/>
      <c r="BO2002"/>
      <c r="BP2002"/>
      <c r="BQ2002"/>
      <c r="BR2002"/>
      <c r="BS2002"/>
      <c r="BT2002"/>
      <c r="BU2002"/>
      <c r="BV2002"/>
      <c r="BW2002"/>
      <c r="BX2002"/>
      <c r="BY2002"/>
      <c r="BZ2002"/>
      <c r="CA2002"/>
      <c r="CB2002"/>
      <c r="CC2002"/>
      <c r="CD2002"/>
      <c r="CE2002"/>
      <c r="CF2002"/>
      <c r="CG2002"/>
      <c r="CH2002"/>
      <c r="CI2002"/>
      <c r="CJ2002"/>
      <c r="CK2002"/>
      <c r="CL2002"/>
      <c r="CM2002"/>
      <c r="CN2002"/>
      <c r="CO2002"/>
      <c r="CP2002"/>
      <c r="CQ2002"/>
      <c r="CR2002"/>
      <c r="CS2002"/>
      <c r="CT2002"/>
      <c r="CU2002"/>
      <c r="CV2002"/>
      <c r="CW2002"/>
      <c r="CX2002"/>
      <c r="CY2002"/>
      <c r="CZ2002"/>
      <c r="DA2002"/>
      <c r="DB2002"/>
      <c r="DC2002"/>
      <c r="DD2002"/>
      <c r="DE2002"/>
      <c r="DF2002"/>
      <c r="DG2002"/>
      <c r="DH2002"/>
      <c r="DI2002"/>
      <c r="DJ2002"/>
      <c r="DK2002"/>
      <c r="DL2002"/>
      <c r="DM2002"/>
      <c r="DN2002"/>
      <c r="DO2002"/>
      <c r="DP2002"/>
      <c r="DQ2002"/>
      <c r="DR2002"/>
      <c r="DS2002"/>
      <c r="DT2002"/>
      <c r="DU2002"/>
      <c r="DV2002"/>
      <c r="DW2002"/>
      <c r="DX2002"/>
      <c r="DY2002"/>
      <c r="DZ2002"/>
      <c r="EA2002"/>
      <c r="EB2002"/>
      <c r="EC2002"/>
      <c r="ED2002"/>
      <c r="EE2002"/>
      <c r="EF2002"/>
      <c r="EG2002"/>
      <c r="EH2002"/>
      <c r="EI2002"/>
      <c r="EJ2002"/>
      <c r="EK2002"/>
      <c r="EL2002"/>
      <c r="EM2002"/>
      <c r="EN2002"/>
      <c r="EO2002"/>
      <c r="EP2002"/>
      <c r="EQ2002"/>
      <c r="ER2002"/>
      <c r="ES2002"/>
    </row>
    <row r="2003" spans="1:149">
      <c r="A2003"/>
      <c r="B2003"/>
      <c r="C2003"/>
      <c r="D2003"/>
      <c r="E2003"/>
      <c r="F2003"/>
      <c r="G2003"/>
      <c r="H2003"/>
      <c r="I2003"/>
      <c r="J2003"/>
      <c r="K2003"/>
      <c r="L2003"/>
      <c r="M2003"/>
      <c r="N2003"/>
      <c r="O2003"/>
      <c r="P2003"/>
      <c r="Q2003"/>
      <c r="R2003"/>
      <c r="S2003"/>
      <c r="T2003"/>
      <c r="U2003"/>
      <c r="V2003"/>
      <c r="W2003"/>
      <c r="X2003"/>
      <c r="Y2003"/>
      <c r="Z2003"/>
      <c r="AA2003"/>
      <c r="AB2003"/>
      <c r="AC2003"/>
      <c r="AD2003"/>
      <c r="AE2003"/>
      <c r="AF2003"/>
      <c r="AG2003"/>
      <c r="AH2003"/>
      <c r="AI2003"/>
      <c r="AJ2003"/>
      <c r="AK2003"/>
      <c r="AL2003"/>
      <c r="AM2003"/>
      <c r="AN2003"/>
      <c r="AO2003"/>
      <c r="AP2003"/>
      <c r="AQ2003"/>
      <c r="AR2003"/>
      <c r="AS2003"/>
      <c r="AT2003"/>
      <c r="AU2003"/>
      <c r="AV2003"/>
      <c r="AW2003"/>
      <c r="AX2003"/>
      <c r="AY2003"/>
      <c r="AZ2003"/>
      <c r="BA2003"/>
      <c r="BB2003"/>
      <c r="BC2003"/>
      <c r="BD2003"/>
      <c r="BE2003"/>
      <c r="BF2003"/>
      <c r="BG2003"/>
      <c r="BH2003"/>
      <c r="BI2003"/>
      <c r="BJ2003"/>
      <c r="BK2003"/>
      <c r="BL2003"/>
      <c r="BM2003"/>
      <c r="BN2003"/>
      <c r="BO2003"/>
      <c r="BP2003"/>
      <c r="BQ2003"/>
      <c r="BR2003"/>
      <c r="BS2003"/>
      <c r="BT2003"/>
      <c r="BU2003"/>
      <c r="BV2003"/>
      <c r="BW2003"/>
      <c r="BX2003"/>
      <c r="BY2003"/>
      <c r="BZ2003"/>
      <c r="CA2003"/>
      <c r="CB2003"/>
      <c r="CC2003"/>
      <c r="CD2003"/>
      <c r="CE2003"/>
      <c r="CF2003"/>
      <c r="CG2003"/>
      <c r="CH2003"/>
      <c r="CI2003"/>
      <c r="CJ2003"/>
      <c r="CK2003"/>
      <c r="CL2003"/>
      <c r="CM2003"/>
      <c r="CN2003"/>
      <c r="CO2003"/>
      <c r="CP2003"/>
      <c r="CQ2003"/>
      <c r="CR2003"/>
      <c r="CS2003"/>
      <c r="CT2003"/>
      <c r="CU2003"/>
      <c r="CV2003"/>
      <c r="CW2003"/>
      <c r="CX2003"/>
      <c r="CY2003"/>
      <c r="CZ2003"/>
      <c r="DA2003"/>
      <c r="DB2003"/>
      <c r="DC2003"/>
      <c r="DD2003"/>
      <c r="DE2003"/>
      <c r="DF2003"/>
      <c r="DG2003"/>
      <c r="DH2003"/>
      <c r="DI2003"/>
      <c r="DJ2003"/>
      <c r="DK2003"/>
      <c r="DL2003"/>
      <c r="DM2003"/>
      <c r="DN2003"/>
      <c r="DO2003"/>
      <c r="DP2003"/>
      <c r="DQ2003"/>
      <c r="DR2003"/>
      <c r="DS2003"/>
      <c r="DT2003"/>
      <c r="DU2003"/>
      <c r="DV2003"/>
      <c r="DW2003"/>
      <c r="DX2003"/>
      <c r="DY2003"/>
      <c r="DZ2003"/>
      <c r="EA2003"/>
      <c r="EB2003"/>
      <c r="EC2003"/>
      <c r="ED2003"/>
      <c r="EE2003"/>
      <c r="EF2003"/>
      <c r="EG2003"/>
      <c r="EH2003"/>
      <c r="EI2003"/>
      <c r="EJ2003"/>
      <c r="EK2003"/>
      <c r="EL2003"/>
      <c r="EM2003"/>
      <c r="EN2003"/>
      <c r="EO2003"/>
      <c r="EP2003"/>
      <c r="EQ2003"/>
      <c r="ER2003"/>
      <c r="ES2003"/>
    </row>
    <row r="2004" spans="1:149">
      <c r="A2004"/>
      <c r="B2004"/>
      <c r="C2004"/>
      <c r="D2004"/>
      <c r="E2004"/>
      <c r="F2004"/>
      <c r="G2004"/>
      <c r="H2004"/>
      <c r="I2004"/>
      <c r="J2004"/>
      <c r="K2004"/>
      <c r="L2004"/>
      <c r="M2004"/>
      <c r="N2004"/>
      <c r="O2004"/>
      <c r="P2004"/>
      <c r="Q2004"/>
      <c r="R2004"/>
      <c r="S2004"/>
      <c r="T2004"/>
      <c r="U2004"/>
      <c r="V2004"/>
      <c r="W2004"/>
      <c r="X2004"/>
      <c r="Y2004"/>
      <c r="Z2004"/>
      <c r="AA2004"/>
      <c r="AB2004"/>
      <c r="AC2004"/>
      <c r="AD2004"/>
      <c r="AE2004"/>
      <c r="AF2004"/>
      <c r="AG2004"/>
      <c r="AH2004"/>
      <c r="AI2004"/>
      <c r="AJ2004"/>
      <c r="AK2004"/>
      <c r="AL2004"/>
      <c r="AM2004"/>
      <c r="AN2004"/>
      <c r="AO2004"/>
      <c r="AP2004"/>
      <c r="AQ2004"/>
      <c r="AR2004"/>
      <c r="AS2004"/>
      <c r="AT2004"/>
      <c r="AU2004"/>
      <c r="AV2004"/>
      <c r="AW2004"/>
      <c r="AX2004"/>
      <c r="AY2004"/>
      <c r="AZ2004"/>
      <c r="BA2004"/>
      <c r="BB2004"/>
      <c r="BC2004"/>
      <c r="BD2004"/>
      <c r="BE2004"/>
      <c r="BF2004"/>
      <c r="BG2004"/>
      <c r="BH2004"/>
      <c r="BI2004"/>
      <c r="BJ2004"/>
      <c r="BK2004"/>
      <c r="BL2004"/>
      <c r="BM2004"/>
      <c r="BN2004"/>
      <c r="BO2004"/>
      <c r="BP2004"/>
      <c r="BQ2004"/>
      <c r="BR2004"/>
      <c r="BS2004"/>
      <c r="BT2004"/>
      <c r="BU2004"/>
      <c r="BV2004"/>
      <c r="BW2004"/>
      <c r="BX2004"/>
      <c r="BY2004"/>
      <c r="BZ2004"/>
      <c r="CA2004"/>
      <c r="CB2004"/>
      <c r="CC2004"/>
      <c r="CD2004"/>
      <c r="CE2004"/>
      <c r="CF2004"/>
      <c r="CG2004"/>
      <c r="CH2004"/>
      <c r="CI2004"/>
      <c r="CJ2004"/>
      <c r="CK2004"/>
      <c r="CL2004"/>
      <c r="CM2004"/>
      <c r="CN2004"/>
      <c r="CO2004"/>
      <c r="CP2004"/>
      <c r="CQ2004"/>
      <c r="CR2004"/>
      <c r="CS2004"/>
      <c r="CT2004"/>
      <c r="CU2004"/>
      <c r="CV2004"/>
      <c r="CW2004"/>
      <c r="CX2004"/>
      <c r="CY2004"/>
      <c r="CZ2004"/>
      <c r="DA2004"/>
      <c r="DB2004"/>
      <c r="DC2004"/>
      <c r="DD2004"/>
      <c r="DE2004"/>
      <c r="DF2004"/>
      <c r="DG2004"/>
      <c r="DH2004"/>
      <c r="DI2004"/>
      <c r="DJ2004"/>
      <c r="DK2004"/>
      <c r="DL2004"/>
      <c r="DM2004"/>
      <c r="DN2004"/>
      <c r="DO2004"/>
      <c r="DP2004"/>
      <c r="DQ2004"/>
      <c r="DR2004"/>
      <c r="DS2004"/>
      <c r="DT2004"/>
      <c r="DU2004"/>
      <c r="DV2004"/>
      <c r="DW2004"/>
      <c r="DX2004"/>
      <c r="DY2004"/>
      <c r="DZ2004"/>
      <c r="EA2004"/>
      <c r="EB2004"/>
      <c r="EC2004"/>
      <c r="ED2004"/>
      <c r="EE2004"/>
      <c r="EF2004"/>
      <c r="EG2004"/>
      <c r="EH2004"/>
      <c r="EI2004"/>
      <c r="EJ2004"/>
      <c r="EK2004"/>
      <c r="EL2004"/>
      <c r="EM2004"/>
      <c r="EN2004"/>
      <c r="EO2004"/>
      <c r="EP2004"/>
      <c r="EQ2004"/>
      <c r="ER2004"/>
      <c r="ES2004"/>
    </row>
    <row r="2005" spans="1:149">
      <c r="A2005"/>
      <c r="B2005"/>
      <c r="C2005"/>
      <c r="D2005"/>
      <c r="E2005"/>
      <c r="F2005"/>
      <c r="G2005"/>
      <c r="H2005"/>
      <c r="I2005"/>
      <c r="J2005"/>
      <c r="K2005"/>
      <c r="L2005"/>
      <c r="M2005"/>
      <c r="N2005"/>
      <c r="O2005"/>
      <c r="P2005"/>
      <c r="Q2005"/>
      <c r="R2005"/>
      <c r="S2005"/>
      <c r="T2005"/>
      <c r="U2005"/>
      <c r="V2005"/>
      <c r="W2005"/>
      <c r="X2005"/>
      <c r="Y2005"/>
      <c r="Z2005"/>
      <c r="AA2005"/>
      <c r="AB2005"/>
      <c r="AC2005"/>
      <c r="AD2005"/>
      <c r="AE2005"/>
      <c r="AF2005"/>
      <c r="AG2005"/>
      <c r="AH2005"/>
      <c r="AI2005"/>
      <c r="AJ2005"/>
      <c r="AK2005"/>
      <c r="AL2005"/>
      <c r="AM2005"/>
      <c r="AN2005"/>
      <c r="AO2005"/>
      <c r="AP2005"/>
      <c r="AQ2005"/>
      <c r="AR2005"/>
      <c r="AS2005"/>
      <c r="AT2005"/>
      <c r="AU2005"/>
      <c r="AV2005"/>
      <c r="AW2005"/>
      <c r="AX2005"/>
      <c r="AY2005"/>
      <c r="AZ2005"/>
      <c r="BA2005"/>
      <c r="BB2005"/>
      <c r="BC2005"/>
      <c r="BD2005"/>
      <c r="BE2005"/>
      <c r="BF2005"/>
      <c r="BG2005"/>
      <c r="BH2005"/>
      <c r="BI2005"/>
      <c r="BJ2005"/>
      <c r="BK2005"/>
      <c r="BL2005"/>
      <c r="BM2005"/>
      <c r="BN2005"/>
      <c r="BO2005"/>
      <c r="BP2005"/>
      <c r="BQ2005"/>
      <c r="BR2005"/>
      <c r="BS2005"/>
      <c r="BT2005"/>
      <c r="BU2005"/>
      <c r="BV2005"/>
      <c r="BW2005"/>
      <c r="BX2005"/>
      <c r="BY2005"/>
      <c r="BZ2005"/>
      <c r="CA2005"/>
      <c r="CB2005"/>
      <c r="CC2005"/>
      <c r="CD2005"/>
      <c r="CE2005"/>
      <c r="CF2005"/>
      <c r="CG2005"/>
      <c r="CH2005"/>
      <c r="CI2005"/>
      <c r="CJ2005"/>
      <c r="CK2005"/>
      <c r="CL2005"/>
      <c r="CM2005"/>
      <c r="CN2005"/>
      <c r="CO2005"/>
      <c r="CP2005"/>
      <c r="CQ2005"/>
      <c r="CR2005"/>
      <c r="CS2005"/>
      <c r="CT2005"/>
      <c r="CU2005"/>
      <c r="CV2005"/>
      <c r="CW2005"/>
      <c r="CX2005"/>
      <c r="CY2005"/>
      <c r="CZ2005"/>
      <c r="DA2005"/>
      <c r="DB2005"/>
      <c r="DC2005"/>
      <c r="DD2005"/>
      <c r="DE2005"/>
      <c r="DF2005"/>
      <c r="DG2005"/>
      <c r="DH2005"/>
      <c r="DI2005"/>
      <c r="DJ2005"/>
      <c r="DK2005"/>
      <c r="DL2005"/>
      <c r="DM2005"/>
      <c r="DN2005"/>
      <c r="DO2005"/>
      <c r="DP2005"/>
      <c r="DQ2005"/>
      <c r="DR2005"/>
      <c r="DS2005"/>
      <c r="DT2005"/>
      <c r="DU2005"/>
      <c r="DV2005"/>
      <c r="DW2005"/>
      <c r="DX2005"/>
      <c r="DY2005"/>
      <c r="DZ2005"/>
      <c r="EA2005"/>
      <c r="EB2005"/>
      <c r="EC2005"/>
      <c r="ED2005"/>
      <c r="EE2005"/>
      <c r="EF2005"/>
      <c r="EG2005"/>
      <c r="EH2005"/>
      <c r="EI2005"/>
      <c r="EJ2005"/>
      <c r="EK2005"/>
      <c r="EL2005"/>
      <c r="EM2005"/>
      <c r="EN2005"/>
      <c r="EO2005"/>
      <c r="EP2005"/>
      <c r="EQ2005"/>
      <c r="ER2005"/>
      <c r="ES2005"/>
    </row>
    <row r="2006" spans="1:149">
      <c r="A2006"/>
      <c r="B2006"/>
      <c r="C2006"/>
      <c r="D2006"/>
      <c r="E2006"/>
      <c r="F2006"/>
      <c r="G2006"/>
      <c r="H2006"/>
      <c r="I2006"/>
      <c r="J2006"/>
      <c r="K2006"/>
      <c r="L2006"/>
      <c r="M2006"/>
      <c r="N2006"/>
      <c r="O2006"/>
      <c r="P2006"/>
      <c r="Q2006"/>
      <c r="R2006"/>
      <c r="S2006"/>
      <c r="T2006"/>
      <c r="U2006"/>
      <c r="V2006"/>
      <c r="W2006"/>
      <c r="X2006"/>
      <c r="Y2006"/>
      <c r="Z2006"/>
      <c r="AA2006"/>
      <c r="AB2006"/>
      <c r="AC2006"/>
      <c r="AD2006"/>
      <c r="AE2006"/>
      <c r="AF2006"/>
      <c r="AG2006"/>
      <c r="AH2006"/>
      <c r="AI2006"/>
      <c r="AJ2006"/>
      <c r="AK2006"/>
      <c r="AL2006"/>
      <c r="AM2006"/>
      <c r="AN2006"/>
      <c r="AO2006"/>
      <c r="AP2006"/>
      <c r="AQ2006"/>
      <c r="AR2006"/>
      <c r="AS2006"/>
      <c r="AT2006"/>
      <c r="AU2006"/>
      <c r="AV2006"/>
      <c r="AW2006"/>
      <c r="AX2006"/>
      <c r="AY2006"/>
      <c r="AZ2006"/>
      <c r="BA2006"/>
      <c r="BB2006"/>
      <c r="BC2006"/>
      <c r="BD2006"/>
      <c r="BE2006"/>
      <c r="BF2006"/>
      <c r="BG2006"/>
      <c r="BH2006"/>
      <c r="BI2006"/>
      <c r="BJ2006"/>
      <c r="BK2006"/>
      <c r="BL2006"/>
      <c r="BM2006"/>
      <c r="BN2006"/>
      <c r="BO2006"/>
      <c r="BP2006"/>
      <c r="BQ2006"/>
      <c r="BR2006"/>
      <c r="BS2006"/>
      <c r="BT2006"/>
      <c r="BU2006"/>
      <c r="BV2006"/>
      <c r="BW2006"/>
      <c r="BX2006"/>
      <c r="BY2006"/>
      <c r="BZ2006"/>
      <c r="CA2006"/>
      <c r="CB2006"/>
      <c r="CC2006"/>
      <c r="CD2006"/>
      <c r="CE2006"/>
      <c r="CF2006"/>
      <c r="CG2006"/>
      <c r="CH2006"/>
      <c r="CI2006"/>
      <c r="CJ2006"/>
      <c r="CK2006"/>
      <c r="CL2006"/>
      <c r="CM2006"/>
      <c r="CN2006"/>
      <c r="CO2006"/>
      <c r="CP2006"/>
      <c r="CQ2006"/>
      <c r="CR2006"/>
      <c r="CS2006"/>
      <c r="CT2006"/>
      <c r="CU2006"/>
      <c r="CV2006"/>
      <c r="CW2006"/>
      <c r="CX2006"/>
      <c r="CY2006"/>
      <c r="CZ2006"/>
      <c r="DA2006"/>
      <c r="DB2006"/>
      <c r="DC2006"/>
      <c r="DD2006"/>
      <c r="DE2006"/>
      <c r="DF2006"/>
      <c r="DG2006"/>
      <c r="DH2006"/>
      <c r="DI2006"/>
      <c r="DJ2006"/>
      <c r="DK2006"/>
      <c r="DL2006"/>
      <c r="DM2006"/>
      <c r="DN2006"/>
      <c r="DO2006"/>
      <c r="DP2006"/>
      <c r="DQ2006"/>
      <c r="DR2006"/>
      <c r="DS2006"/>
      <c r="DT2006"/>
      <c r="DU2006"/>
      <c r="DV2006"/>
      <c r="DW2006"/>
      <c r="DX2006"/>
      <c r="DY2006"/>
      <c r="DZ2006"/>
      <c r="EA2006"/>
      <c r="EB2006"/>
      <c r="EC2006"/>
      <c r="ED2006"/>
      <c r="EE2006"/>
      <c r="EF2006"/>
      <c r="EG2006"/>
      <c r="EH2006"/>
      <c r="EI2006"/>
      <c r="EJ2006"/>
      <c r="EK2006"/>
      <c r="EL2006"/>
      <c r="EM2006"/>
      <c r="EN2006"/>
      <c r="EO2006"/>
      <c r="EP2006"/>
      <c r="EQ2006"/>
      <c r="ER2006"/>
      <c r="ES2006"/>
    </row>
    <row r="2007" spans="1:149">
      <c r="A2007"/>
      <c r="B2007"/>
      <c r="C2007"/>
      <c r="D2007"/>
      <c r="E2007"/>
      <c r="F2007"/>
      <c r="G2007"/>
      <c r="H2007"/>
      <c r="I2007"/>
      <c r="J2007"/>
      <c r="K2007"/>
      <c r="L2007"/>
      <c r="M2007"/>
      <c r="N2007"/>
      <c r="O2007"/>
      <c r="P2007"/>
      <c r="Q2007"/>
      <c r="R2007"/>
      <c r="S2007"/>
      <c r="T2007"/>
      <c r="U2007"/>
      <c r="V2007"/>
      <c r="W2007"/>
      <c r="X2007"/>
      <c r="Y2007"/>
      <c r="Z2007"/>
      <c r="AA2007"/>
      <c r="AB2007"/>
      <c r="AC2007"/>
      <c r="AD2007"/>
      <c r="AE2007"/>
      <c r="AF2007"/>
      <c r="AG2007"/>
      <c r="AH2007"/>
      <c r="AI2007"/>
      <c r="AJ2007"/>
      <c r="AK2007"/>
      <c r="AL2007"/>
      <c r="AM2007"/>
      <c r="AN2007"/>
      <c r="AO2007"/>
      <c r="AP2007"/>
      <c r="AQ2007"/>
      <c r="AR2007"/>
      <c r="AS2007"/>
      <c r="AT2007"/>
      <c r="AU2007"/>
      <c r="AV2007"/>
      <c r="AW2007"/>
      <c r="AX2007"/>
      <c r="AY2007"/>
      <c r="AZ2007"/>
      <c r="BA2007"/>
      <c r="BB2007"/>
      <c r="BC2007"/>
      <c r="BD2007"/>
      <c r="BE2007"/>
      <c r="BF2007"/>
      <c r="BG2007"/>
      <c r="BH2007"/>
      <c r="BI2007"/>
      <c r="BJ2007"/>
      <c r="BK2007"/>
      <c r="BL2007"/>
      <c r="BM2007"/>
      <c r="BN2007"/>
      <c r="BO2007"/>
      <c r="BP2007"/>
      <c r="BQ2007"/>
      <c r="BR2007"/>
      <c r="BS2007"/>
      <c r="BT2007"/>
      <c r="BU2007"/>
      <c r="BV2007"/>
      <c r="BW2007"/>
      <c r="BX2007"/>
      <c r="BY2007"/>
      <c r="BZ2007"/>
      <c r="CA2007"/>
      <c r="CB2007"/>
      <c r="CC2007"/>
      <c r="CD2007"/>
      <c r="CE2007"/>
      <c r="CF2007"/>
      <c r="CG2007"/>
      <c r="CH2007"/>
      <c r="CI2007"/>
      <c r="CJ2007"/>
      <c r="CK2007"/>
      <c r="CL2007"/>
      <c r="CM2007"/>
      <c r="CN2007"/>
      <c r="CO2007"/>
      <c r="CP2007"/>
      <c r="CQ2007"/>
      <c r="CR2007"/>
      <c r="CS2007"/>
      <c r="CT2007"/>
      <c r="CU2007"/>
      <c r="CV2007"/>
      <c r="CW2007"/>
      <c r="CX2007"/>
      <c r="CY2007"/>
      <c r="CZ2007"/>
      <c r="DA2007"/>
      <c r="DB2007"/>
      <c r="DC2007"/>
      <c r="DD2007"/>
      <c r="DE2007"/>
      <c r="DF2007"/>
      <c r="DG2007"/>
      <c r="DH2007"/>
      <c r="DI2007"/>
      <c r="DJ2007"/>
      <c r="DK2007"/>
      <c r="DL2007"/>
      <c r="DM2007"/>
      <c r="DN2007"/>
      <c r="DO2007"/>
      <c r="DP2007"/>
      <c r="DQ2007"/>
      <c r="DR2007"/>
      <c r="DS2007"/>
      <c r="DT2007"/>
      <c r="DU2007"/>
      <c r="DV2007"/>
      <c r="DW2007"/>
      <c r="DX2007"/>
      <c r="DY2007"/>
      <c r="DZ2007"/>
      <c r="EA2007"/>
      <c r="EB2007"/>
      <c r="EC2007"/>
      <c r="ED2007"/>
      <c r="EE2007"/>
      <c r="EF2007"/>
      <c r="EG2007"/>
      <c r="EH2007"/>
      <c r="EI2007"/>
      <c r="EJ2007"/>
      <c r="EK2007"/>
      <c r="EL2007"/>
      <c r="EM2007"/>
      <c r="EN2007"/>
      <c r="EO2007"/>
      <c r="EP2007"/>
      <c r="EQ2007"/>
      <c r="ER2007"/>
      <c r="ES2007"/>
    </row>
    <row r="2008" spans="1:149">
      <c r="A2008"/>
      <c r="B2008"/>
      <c r="C2008"/>
      <c r="D2008"/>
      <c r="E2008"/>
      <c r="F2008"/>
      <c r="G2008"/>
      <c r="H2008"/>
      <c r="I2008"/>
      <c r="J2008"/>
      <c r="K2008"/>
      <c r="L2008"/>
      <c r="M2008"/>
      <c r="N2008"/>
      <c r="O2008"/>
      <c r="P2008"/>
      <c r="Q2008"/>
      <c r="R2008"/>
      <c r="S2008"/>
      <c r="T2008"/>
      <c r="U2008"/>
      <c r="V2008"/>
      <c r="W2008"/>
      <c r="X2008"/>
      <c r="Y2008"/>
      <c r="Z2008"/>
      <c r="AA2008"/>
      <c r="AB2008"/>
      <c r="AC2008"/>
      <c r="AD2008"/>
      <c r="AE2008"/>
      <c r="AF2008"/>
      <c r="AG2008"/>
      <c r="AH2008"/>
      <c r="AI2008"/>
      <c r="AJ2008"/>
      <c r="AK2008"/>
      <c r="AL2008"/>
      <c r="AM2008"/>
      <c r="AN2008"/>
      <c r="AO2008"/>
      <c r="AP2008"/>
      <c r="AQ2008"/>
      <c r="AR2008"/>
      <c r="AS2008"/>
      <c r="AT2008"/>
      <c r="AU2008"/>
      <c r="AV2008"/>
      <c r="AW2008"/>
      <c r="AX2008"/>
      <c r="AY2008"/>
      <c r="AZ2008"/>
      <c r="BA2008"/>
      <c r="BB2008"/>
      <c r="BC2008"/>
      <c r="BD2008"/>
      <c r="BE2008"/>
      <c r="BF2008"/>
      <c r="BG2008"/>
      <c r="BH2008"/>
      <c r="BI2008"/>
      <c r="BJ2008"/>
      <c r="BK2008"/>
      <c r="BL2008"/>
      <c r="BM2008"/>
      <c r="BN2008"/>
      <c r="BO2008"/>
      <c r="BP2008"/>
      <c r="BQ2008"/>
      <c r="BR2008"/>
      <c r="BS2008"/>
      <c r="BT2008"/>
      <c r="BU2008"/>
      <c r="BV2008"/>
      <c r="BW2008"/>
      <c r="BX2008"/>
      <c r="BY2008"/>
      <c r="BZ2008"/>
      <c r="CA2008"/>
      <c r="CB2008"/>
      <c r="CC2008"/>
      <c r="CD2008"/>
      <c r="CE2008"/>
      <c r="CF2008"/>
      <c r="CG2008"/>
      <c r="CH2008"/>
      <c r="CI2008"/>
      <c r="CJ2008"/>
      <c r="CK2008"/>
      <c r="CL2008"/>
      <c r="CM2008"/>
      <c r="CN2008"/>
      <c r="CO2008"/>
      <c r="CP2008"/>
      <c r="CQ2008"/>
      <c r="CR2008"/>
      <c r="CS2008"/>
      <c r="CT2008"/>
      <c r="CU2008"/>
      <c r="CV2008"/>
      <c r="CW2008"/>
      <c r="CX2008"/>
      <c r="CY2008"/>
      <c r="CZ2008"/>
      <c r="DA2008"/>
      <c r="DB2008"/>
      <c r="DC2008"/>
      <c r="DD2008"/>
      <c r="DE2008"/>
      <c r="DF2008"/>
      <c r="DG2008"/>
      <c r="DH2008"/>
      <c r="DI2008"/>
      <c r="DJ2008"/>
      <c r="DK2008"/>
      <c r="DL2008"/>
      <c r="DM2008"/>
      <c r="DN2008"/>
      <c r="DO2008"/>
      <c r="DP2008"/>
      <c r="DQ2008"/>
      <c r="DR2008"/>
      <c r="DS2008"/>
      <c r="DT2008"/>
      <c r="DU2008"/>
      <c r="DV2008"/>
      <c r="DW2008"/>
      <c r="DX2008"/>
      <c r="DY2008"/>
      <c r="DZ2008"/>
      <c r="EA2008"/>
      <c r="EB2008"/>
      <c r="EC2008"/>
      <c r="ED2008"/>
      <c r="EE2008"/>
      <c r="EF2008"/>
      <c r="EG2008"/>
      <c r="EH2008"/>
      <c r="EI2008"/>
      <c r="EJ2008"/>
      <c r="EK2008"/>
      <c r="EL2008"/>
      <c r="EM2008"/>
      <c r="EN2008"/>
      <c r="EO2008"/>
      <c r="EP2008"/>
      <c r="EQ2008"/>
      <c r="ER2008"/>
      <c r="ES2008"/>
    </row>
    <row r="2009" spans="1:149">
      <c r="A2009"/>
      <c r="B2009"/>
      <c r="C2009"/>
      <c r="D2009"/>
      <c r="E2009"/>
      <c r="F2009"/>
      <c r="G2009"/>
      <c r="H2009"/>
      <c r="I2009"/>
      <c r="J2009"/>
      <c r="K2009"/>
      <c r="L2009"/>
      <c r="M2009"/>
      <c r="N2009"/>
      <c r="O2009"/>
      <c r="P2009"/>
      <c r="Q2009"/>
      <c r="R2009"/>
      <c r="S2009"/>
      <c r="T2009"/>
      <c r="U2009"/>
      <c r="V2009"/>
      <c r="W2009"/>
      <c r="X2009"/>
      <c r="Y2009"/>
      <c r="Z2009"/>
      <c r="AA2009"/>
      <c r="AB2009"/>
      <c r="AC2009"/>
      <c r="AD2009"/>
      <c r="AE2009"/>
      <c r="AF2009"/>
      <c r="AG2009"/>
      <c r="AH2009"/>
      <c r="AI2009"/>
      <c r="AJ2009"/>
      <c r="AK2009"/>
      <c r="AL2009"/>
      <c r="AM2009"/>
      <c r="AN2009"/>
      <c r="AO2009"/>
      <c r="AP2009"/>
      <c r="AQ2009"/>
      <c r="AR2009"/>
      <c r="AS2009"/>
      <c r="AT2009"/>
      <c r="AU2009"/>
      <c r="AV2009"/>
      <c r="AW2009"/>
      <c r="AX2009"/>
      <c r="AY2009"/>
      <c r="AZ2009"/>
      <c r="BA2009"/>
      <c r="BB2009"/>
      <c r="BC2009"/>
      <c r="BD2009"/>
      <c r="BE2009"/>
      <c r="BF2009"/>
      <c r="BG2009"/>
      <c r="BH2009"/>
      <c r="BI2009"/>
      <c r="BJ2009"/>
      <c r="BK2009"/>
      <c r="BL2009"/>
      <c r="BM2009"/>
      <c r="BN2009"/>
      <c r="BO2009"/>
      <c r="BP2009"/>
      <c r="BQ2009"/>
      <c r="BR2009"/>
      <c r="BS2009"/>
      <c r="BT2009"/>
      <c r="BU2009"/>
      <c r="BV2009"/>
      <c r="BW2009"/>
      <c r="BX2009"/>
      <c r="BY2009"/>
      <c r="BZ2009"/>
      <c r="CA2009"/>
      <c r="CB2009"/>
      <c r="CC2009"/>
      <c r="CD2009"/>
      <c r="CE2009"/>
      <c r="CF2009"/>
      <c r="CG2009"/>
      <c r="CH2009"/>
      <c r="CI2009"/>
      <c r="CJ2009"/>
      <c r="CK2009"/>
      <c r="CL2009"/>
      <c r="CM2009"/>
      <c r="CN2009"/>
      <c r="CO2009"/>
      <c r="CP2009"/>
      <c r="CQ2009"/>
      <c r="CR2009"/>
      <c r="CS2009"/>
      <c r="CT2009"/>
      <c r="CU2009"/>
      <c r="CV2009"/>
      <c r="CW2009"/>
      <c r="CX2009"/>
      <c r="CY2009"/>
      <c r="CZ2009"/>
      <c r="DA2009"/>
      <c r="DB2009"/>
      <c r="DC2009"/>
      <c r="DD2009"/>
      <c r="DE2009"/>
      <c r="DF2009"/>
      <c r="DG2009"/>
      <c r="DH2009"/>
      <c r="DI2009"/>
      <c r="DJ2009"/>
      <c r="DK2009"/>
      <c r="DL2009"/>
      <c r="DM2009"/>
      <c r="DN2009"/>
      <c r="DO2009"/>
      <c r="DP2009"/>
      <c r="DQ2009"/>
      <c r="DR2009"/>
      <c r="DS2009"/>
      <c r="DT2009"/>
      <c r="DU2009"/>
      <c r="DV2009"/>
      <c r="DW2009"/>
      <c r="DX2009"/>
      <c r="DY2009"/>
      <c r="DZ2009"/>
      <c r="EA2009"/>
      <c r="EB2009"/>
      <c r="EC2009"/>
      <c r="ED2009"/>
      <c r="EE2009"/>
      <c r="EF2009"/>
      <c r="EG2009"/>
      <c r="EH2009"/>
      <c r="EI2009"/>
      <c r="EJ2009"/>
      <c r="EK2009"/>
      <c r="EL2009"/>
      <c r="EM2009"/>
      <c r="EN2009"/>
      <c r="EO2009"/>
      <c r="EP2009"/>
      <c r="EQ2009"/>
      <c r="ER2009"/>
      <c r="ES2009"/>
    </row>
    <row r="2010" spans="1:149">
      <c r="A2010"/>
      <c r="B2010"/>
      <c r="C2010"/>
      <c r="D2010"/>
      <c r="E2010"/>
      <c r="F2010"/>
      <c r="G2010"/>
      <c r="H2010"/>
      <c r="I2010"/>
      <c r="J2010"/>
      <c r="K2010"/>
      <c r="L2010"/>
      <c r="M2010"/>
      <c r="N2010"/>
      <c r="O2010"/>
      <c r="P2010"/>
      <c r="Q2010"/>
      <c r="R2010"/>
      <c r="S2010"/>
      <c r="T2010"/>
      <c r="U2010"/>
      <c r="V2010"/>
      <c r="W2010"/>
      <c r="X2010"/>
      <c r="Y2010"/>
      <c r="Z2010"/>
      <c r="AA2010"/>
      <c r="AB2010"/>
      <c r="AC2010"/>
      <c r="AD2010"/>
      <c r="AE2010"/>
      <c r="AF2010"/>
      <c r="AG2010"/>
      <c r="AH2010"/>
      <c r="AI2010"/>
      <c r="AJ2010"/>
      <c r="AK2010"/>
      <c r="AL2010"/>
      <c r="AM2010"/>
      <c r="AN2010"/>
      <c r="AO2010"/>
      <c r="AP2010"/>
      <c r="AQ2010"/>
      <c r="AR2010"/>
      <c r="AS2010"/>
      <c r="AT2010"/>
      <c r="AU2010"/>
      <c r="AV2010"/>
      <c r="AW2010"/>
      <c r="AX2010"/>
      <c r="AY2010"/>
      <c r="AZ2010"/>
      <c r="BA2010"/>
      <c r="BB2010"/>
      <c r="BC2010"/>
      <c r="BD2010"/>
      <c r="BE2010"/>
      <c r="BF2010"/>
      <c r="BG2010"/>
      <c r="BH2010"/>
      <c r="BI2010"/>
      <c r="BJ2010"/>
      <c r="BK2010"/>
      <c r="BL2010"/>
      <c r="BM2010"/>
      <c r="BN2010"/>
      <c r="BO2010"/>
      <c r="BP2010"/>
      <c r="BQ2010"/>
      <c r="BR2010"/>
      <c r="BS2010"/>
      <c r="BT2010"/>
      <c r="BU2010"/>
      <c r="BV2010"/>
      <c r="BW2010"/>
      <c r="BX2010"/>
      <c r="BY2010"/>
      <c r="BZ2010"/>
      <c r="CA2010"/>
      <c r="CB2010"/>
      <c r="CC2010"/>
      <c r="CD2010"/>
      <c r="CE2010"/>
      <c r="CF2010"/>
      <c r="CG2010"/>
      <c r="CH2010"/>
      <c r="CI2010"/>
      <c r="CJ2010"/>
      <c r="CK2010"/>
      <c r="CL2010"/>
      <c r="CM2010"/>
      <c r="CN2010"/>
      <c r="CO2010"/>
      <c r="CP2010"/>
      <c r="CQ2010"/>
      <c r="CR2010"/>
      <c r="CS2010"/>
      <c r="CT2010"/>
      <c r="CU2010"/>
      <c r="CV2010"/>
      <c r="CW2010"/>
      <c r="CX2010"/>
      <c r="CY2010"/>
      <c r="CZ2010"/>
      <c r="DA2010"/>
      <c r="DB2010"/>
      <c r="DC2010"/>
      <c r="DD2010"/>
      <c r="DE2010"/>
      <c r="DF2010"/>
      <c r="DG2010"/>
      <c r="DH2010"/>
      <c r="DI2010"/>
      <c r="DJ2010"/>
      <c r="DK2010"/>
      <c r="DL2010"/>
      <c r="DM2010"/>
      <c r="DN2010"/>
      <c r="DO2010"/>
      <c r="DP2010"/>
      <c r="DQ2010"/>
      <c r="DR2010"/>
      <c r="DS2010"/>
      <c r="DT2010"/>
      <c r="DU2010"/>
      <c r="DV2010"/>
      <c r="DW2010"/>
      <c r="DX2010"/>
      <c r="DY2010"/>
      <c r="DZ2010"/>
      <c r="EA2010"/>
      <c r="EB2010"/>
      <c r="EC2010"/>
      <c r="ED2010"/>
      <c r="EE2010"/>
      <c r="EF2010"/>
      <c r="EG2010"/>
      <c r="EH2010"/>
      <c r="EI2010"/>
      <c r="EJ2010"/>
      <c r="EK2010"/>
      <c r="EL2010"/>
      <c r="EM2010"/>
      <c r="EN2010"/>
      <c r="EO2010"/>
      <c r="EP2010"/>
      <c r="EQ2010"/>
      <c r="ER2010"/>
      <c r="ES2010"/>
    </row>
    <row r="2011" spans="1:149">
      <c r="A2011"/>
      <c r="B2011"/>
      <c r="C2011"/>
      <c r="D2011"/>
      <c r="E2011"/>
      <c r="F2011"/>
      <c r="G2011"/>
      <c r="H2011"/>
      <c r="I2011"/>
      <c r="J2011"/>
      <c r="K2011"/>
      <c r="L2011"/>
      <c r="M2011"/>
      <c r="N2011"/>
      <c r="O2011"/>
      <c r="P2011"/>
      <c r="Q2011"/>
      <c r="R2011"/>
      <c r="S2011"/>
      <c r="T2011"/>
      <c r="U2011"/>
      <c r="V2011"/>
      <c r="W2011"/>
      <c r="X2011"/>
      <c r="Y2011"/>
      <c r="Z2011"/>
      <c r="AA2011"/>
      <c r="AB2011"/>
      <c r="AC2011"/>
      <c r="AD2011"/>
      <c r="AE2011"/>
      <c r="AF2011"/>
      <c r="AG2011"/>
      <c r="AH2011"/>
      <c r="AI2011"/>
      <c r="AJ2011"/>
      <c r="AK2011"/>
      <c r="AL2011"/>
      <c r="AM2011"/>
      <c r="AN2011"/>
      <c r="AO2011"/>
      <c r="AP2011"/>
      <c r="AQ2011"/>
      <c r="AR2011"/>
      <c r="AS2011"/>
      <c r="AT2011"/>
      <c r="AU2011"/>
      <c r="AV2011"/>
      <c r="AW2011"/>
      <c r="AX2011"/>
      <c r="AY2011"/>
      <c r="AZ2011"/>
      <c r="BA2011"/>
      <c r="BB2011"/>
      <c r="BC2011"/>
      <c r="BD2011"/>
      <c r="BE2011"/>
      <c r="BF2011"/>
      <c r="BG2011"/>
      <c r="BH2011"/>
      <c r="BI2011"/>
      <c r="BJ2011"/>
      <c r="BK2011"/>
      <c r="BL2011"/>
      <c r="BM2011"/>
      <c r="BN2011"/>
      <c r="BO2011"/>
      <c r="BP2011"/>
      <c r="BQ2011"/>
      <c r="BR2011"/>
      <c r="BS2011"/>
      <c r="BT2011"/>
      <c r="BU2011"/>
      <c r="BV2011"/>
      <c r="BW2011"/>
      <c r="BX2011"/>
      <c r="BY2011"/>
      <c r="BZ2011"/>
      <c r="CA2011"/>
      <c r="CB2011"/>
      <c r="CC2011"/>
      <c r="CD2011"/>
      <c r="CE2011"/>
      <c r="CF2011"/>
      <c r="CG2011"/>
      <c r="CH2011"/>
      <c r="CI2011"/>
      <c r="CJ2011"/>
      <c r="CK2011"/>
      <c r="CL2011"/>
      <c r="CM2011"/>
      <c r="CN2011"/>
      <c r="CO2011"/>
      <c r="CP2011"/>
      <c r="CQ2011"/>
      <c r="CR2011"/>
      <c r="CS2011"/>
      <c r="CT2011"/>
      <c r="CU2011"/>
      <c r="CV2011"/>
      <c r="CW2011"/>
      <c r="CX2011"/>
      <c r="CY2011"/>
      <c r="CZ2011"/>
      <c r="DA2011"/>
      <c r="DB2011"/>
      <c r="DC2011"/>
      <c r="DD2011"/>
      <c r="DE2011"/>
      <c r="DF2011"/>
      <c r="DG2011"/>
      <c r="DH2011"/>
      <c r="DI2011"/>
      <c r="DJ2011"/>
      <c r="DK2011"/>
      <c r="DL2011"/>
      <c r="DM2011"/>
      <c r="DN2011"/>
      <c r="DO2011"/>
      <c r="DP2011"/>
      <c r="DQ2011"/>
      <c r="DR2011"/>
      <c r="DS2011"/>
      <c r="DT2011"/>
      <c r="DU2011"/>
      <c r="DV2011"/>
      <c r="DW2011"/>
      <c r="DX2011"/>
      <c r="DY2011"/>
      <c r="DZ2011"/>
      <c r="EA2011"/>
      <c r="EB2011"/>
      <c r="EC2011"/>
      <c r="ED2011"/>
      <c r="EE2011"/>
      <c r="EF2011"/>
      <c r="EG2011"/>
      <c r="EH2011"/>
      <c r="EI2011"/>
      <c r="EJ2011"/>
      <c r="EK2011"/>
      <c r="EL2011"/>
      <c r="EM2011"/>
      <c r="EN2011"/>
      <c r="EO2011"/>
      <c r="EP2011"/>
      <c r="EQ2011"/>
      <c r="ER2011"/>
      <c r="ES2011"/>
    </row>
    <row r="2012" spans="1:149">
      <c r="A2012"/>
      <c r="B2012"/>
      <c r="C2012"/>
      <c r="D2012"/>
      <c r="E2012"/>
      <c r="F2012"/>
      <c r="G2012"/>
      <c r="H2012"/>
      <c r="I2012"/>
      <c r="J2012"/>
      <c r="K2012"/>
      <c r="L2012"/>
      <c r="M2012"/>
      <c r="N2012"/>
      <c r="O2012"/>
      <c r="P2012"/>
      <c r="Q2012"/>
      <c r="R2012"/>
      <c r="S2012"/>
      <c r="T2012"/>
      <c r="U2012"/>
      <c r="V2012"/>
      <c r="W2012"/>
      <c r="X2012"/>
      <c r="Y2012"/>
      <c r="Z2012"/>
      <c r="AA2012"/>
      <c r="AB2012"/>
      <c r="AC2012"/>
      <c r="AD2012"/>
      <c r="AE2012"/>
      <c r="AF2012"/>
      <c r="AG2012"/>
      <c r="AH2012"/>
      <c r="AI2012"/>
      <c r="AJ2012"/>
      <c r="AK2012"/>
      <c r="AL2012"/>
      <c r="AM2012"/>
      <c r="AN2012"/>
      <c r="AO2012"/>
      <c r="AP2012"/>
      <c r="AQ2012"/>
      <c r="AR2012"/>
      <c r="AS2012"/>
      <c r="AT2012"/>
      <c r="AU2012"/>
      <c r="AV2012"/>
      <c r="AW2012"/>
      <c r="AX2012"/>
      <c r="AY2012"/>
      <c r="AZ2012"/>
      <c r="BA2012"/>
      <c r="BB2012"/>
      <c r="BC2012"/>
      <c r="BD2012"/>
      <c r="BE2012"/>
      <c r="BF2012"/>
      <c r="BG2012"/>
      <c r="BH2012"/>
      <c r="BI2012"/>
      <c r="BJ2012"/>
      <c r="BK2012"/>
      <c r="BL2012"/>
      <c r="BM2012"/>
      <c r="BN2012"/>
      <c r="BO2012"/>
      <c r="BP2012"/>
      <c r="BQ2012"/>
      <c r="BR2012"/>
      <c r="BS2012"/>
      <c r="BT2012"/>
      <c r="BU2012"/>
      <c r="BV2012"/>
      <c r="BW2012"/>
      <c r="BX2012"/>
      <c r="BY2012"/>
      <c r="BZ2012"/>
      <c r="CA2012"/>
      <c r="CB2012"/>
      <c r="CC2012"/>
      <c r="CD2012"/>
      <c r="CE2012"/>
      <c r="CF2012"/>
      <c r="CG2012"/>
      <c r="CH2012"/>
      <c r="CI2012"/>
      <c r="CJ2012"/>
      <c r="CK2012"/>
      <c r="CL2012"/>
      <c r="CM2012"/>
      <c r="CN2012"/>
      <c r="CO2012"/>
      <c r="CP2012"/>
      <c r="CQ2012"/>
      <c r="CR2012"/>
      <c r="CS2012"/>
      <c r="CT2012"/>
      <c r="CU2012"/>
      <c r="CV2012"/>
      <c r="CW2012"/>
      <c r="CX2012"/>
      <c r="CY2012"/>
      <c r="CZ2012"/>
      <c r="DA2012"/>
      <c r="DB2012"/>
      <c r="DC2012"/>
      <c r="DD2012"/>
      <c r="DE2012"/>
      <c r="DF2012"/>
      <c r="DG2012"/>
      <c r="DH2012"/>
      <c r="DI2012"/>
      <c r="DJ2012"/>
      <c r="DK2012"/>
      <c r="DL2012"/>
      <c r="DM2012"/>
      <c r="DN2012"/>
      <c r="DO2012"/>
      <c r="DP2012"/>
      <c r="DQ2012"/>
      <c r="DR2012"/>
      <c r="DS2012"/>
      <c r="DT2012"/>
      <c r="DU2012"/>
      <c r="DV2012"/>
      <c r="DW2012"/>
      <c r="DX2012"/>
      <c r="DY2012"/>
      <c r="DZ2012"/>
      <c r="EA2012"/>
      <c r="EB2012"/>
      <c r="EC2012"/>
      <c r="ED2012"/>
      <c r="EE2012"/>
      <c r="EF2012"/>
      <c r="EG2012"/>
      <c r="EH2012"/>
      <c r="EI2012"/>
      <c r="EJ2012"/>
      <c r="EK2012"/>
      <c r="EL2012"/>
      <c r="EM2012"/>
      <c r="EN2012"/>
      <c r="EO2012"/>
      <c r="EP2012"/>
      <c r="EQ2012"/>
      <c r="ER2012"/>
      <c r="ES2012"/>
    </row>
    <row r="2013" spans="1:149">
      <c r="A2013"/>
      <c r="B2013"/>
      <c r="C2013"/>
      <c r="D2013"/>
      <c r="E2013"/>
      <c r="F2013"/>
      <c r="G2013"/>
      <c r="H2013"/>
      <c r="I2013"/>
      <c r="J2013"/>
      <c r="K2013"/>
      <c r="L2013"/>
      <c r="M2013"/>
      <c r="N2013"/>
      <c r="O2013"/>
      <c r="P2013"/>
      <c r="Q2013"/>
      <c r="R2013"/>
      <c r="S2013"/>
      <c r="T2013"/>
      <c r="U2013"/>
      <c r="V2013"/>
      <c r="W2013"/>
      <c r="X2013"/>
      <c r="Y2013"/>
      <c r="Z2013"/>
      <c r="AA2013"/>
      <c r="AB2013"/>
      <c r="AC2013"/>
      <c r="AD2013"/>
      <c r="AE2013"/>
      <c r="AF2013"/>
      <c r="AG2013"/>
      <c r="AH2013"/>
      <c r="AI2013"/>
      <c r="AJ2013"/>
      <c r="AK2013"/>
      <c r="AL2013"/>
      <c r="AM2013"/>
      <c r="AN2013"/>
      <c r="AO2013"/>
      <c r="AP2013"/>
      <c r="AQ2013"/>
      <c r="AR2013"/>
      <c r="AS2013"/>
      <c r="AT2013"/>
      <c r="AU2013"/>
      <c r="AV2013"/>
      <c r="AW2013"/>
      <c r="AX2013"/>
      <c r="AY2013"/>
      <c r="AZ2013"/>
      <c r="BA2013"/>
      <c r="BB2013"/>
      <c r="BC2013"/>
      <c r="BD2013"/>
      <c r="BE2013"/>
      <c r="BF2013"/>
      <c r="BG2013"/>
      <c r="BH2013"/>
      <c r="BI2013"/>
      <c r="BJ2013"/>
      <c r="BK2013"/>
      <c r="BL2013"/>
      <c r="BM2013"/>
      <c r="BN2013"/>
      <c r="BO2013"/>
      <c r="BP2013"/>
      <c r="BQ2013"/>
      <c r="BR2013"/>
      <c r="BS2013"/>
      <c r="BT2013"/>
      <c r="BU2013"/>
      <c r="BV2013"/>
      <c r="BW2013"/>
      <c r="BX2013"/>
      <c r="BY2013"/>
      <c r="BZ2013"/>
      <c r="CA2013"/>
      <c r="CB2013"/>
      <c r="CC2013"/>
      <c r="CD2013"/>
      <c r="CE2013"/>
      <c r="CF2013"/>
      <c r="CG2013"/>
      <c r="CH2013"/>
      <c r="CI2013"/>
      <c r="CJ2013"/>
      <c r="CK2013"/>
      <c r="CL2013"/>
      <c r="CM2013"/>
      <c r="CN2013"/>
      <c r="CO2013"/>
      <c r="CP2013"/>
      <c r="CQ2013"/>
      <c r="CR2013"/>
      <c r="CS2013"/>
      <c r="CT2013"/>
      <c r="CU2013"/>
      <c r="CV2013"/>
      <c r="CW2013"/>
      <c r="CX2013"/>
      <c r="CY2013"/>
      <c r="CZ2013"/>
      <c r="DA2013"/>
      <c r="DB2013"/>
      <c r="DC2013"/>
      <c r="DD2013"/>
      <c r="DE2013"/>
      <c r="DF2013"/>
      <c r="DG2013"/>
      <c r="DH2013"/>
      <c r="DI2013"/>
      <c r="DJ2013"/>
      <c r="DK2013"/>
      <c r="DL2013"/>
      <c r="DM2013"/>
      <c r="DN2013"/>
      <c r="DO2013"/>
      <c r="DP2013"/>
      <c r="DQ2013"/>
      <c r="DR2013"/>
      <c r="DS2013"/>
      <c r="DT2013"/>
      <c r="DU2013"/>
      <c r="DV2013"/>
      <c r="DW2013"/>
      <c r="DX2013"/>
      <c r="DY2013"/>
      <c r="DZ2013"/>
      <c r="EA2013"/>
      <c r="EB2013"/>
      <c r="EC2013"/>
      <c r="ED2013"/>
      <c r="EE2013"/>
      <c r="EF2013"/>
      <c r="EG2013"/>
      <c r="EH2013"/>
      <c r="EI2013"/>
      <c r="EJ2013"/>
      <c r="EK2013"/>
      <c r="EL2013"/>
      <c r="EM2013"/>
      <c r="EN2013"/>
      <c r="EO2013"/>
      <c r="EP2013"/>
      <c r="EQ2013"/>
      <c r="ER2013"/>
      <c r="ES2013"/>
    </row>
    <row r="2014" spans="1:149">
      <c r="A2014"/>
      <c r="B2014"/>
      <c r="C2014"/>
      <c r="D2014"/>
      <c r="E2014"/>
      <c r="F2014"/>
      <c r="G2014"/>
      <c r="H2014"/>
      <c r="I2014"/>
      <c r="J2014"/>
      <c r="K2014"/>
      <c r="L2014"/>
      <c r="M2014"/>
      <c r="N2014"/>
      <c r="O2014"/>
      <c r="P2014"/>
      <c r="Q2014"/>
      <c r="R2014"/>
      <c r="S2014"/>
      <c r="T2014"/>
      <c r="U2014"/>
      <c r="V2014"/>
      <c r="W2014"/>
      <c r="X2014"/>
      <c r="Y2014"/>
      <c r="Z2014"/>
      <c r="AA2014"/>
      <c r="AB2014"/>
      <c r="AC2014"/>
      <c r="AD2014"/>
      <c r="AE2014"/>
      <c r="AF2014"/>
      <c r="AG2014"/>
      <c r="AH2014"/>
      <c r="AI2014"/>
      <c r="AJ2014"/>
      <c r="AK2014"/>
      <c r="AL2014"/>
      <c r="AM2014"/>
      <c r="AN2014"/>
      <c r="AO2014"/>
      <c r="AP2014"/>
      <c r="AQ2014"/>
      <c r="AR2014"/>
      <c r="AS2014"/>
      <c r="AT2014"/>
      <c r="AU2014"/>
      <c r="AV2014"/>
      <c r="AW2014"/>
      <c r="AX2014"/>
      <c r="AY2014"/>
      <c r="AZ2014"/>
      <c r="BA2014"/>
      <c r="BB2014"/>
      <c r="BC2014"/>
      <c r="BD2014"/>
      <c r="BE2014"/>
      <c r="BF2014"/>
      <c r="BG2014"/>
      <c r="BH2014"/>
      <c r="BI2014"/>
      <c r="BJ2014"/>
      <c r="BK2014"/>
      <c r="BL2014"/>
      <c r="BM2014"/>
      <c r="BN2014"/>
      <c r="BO2014"/>
      <c r="BP2014"/>
      <c r="BQ2014"/>
      <c r="BR2014"/>
      <c r="BS2014"/>
      <c r="BT2014"/>
      <c r="BU2014"/>
      <c r="BV2014"/>
      <c r="BW2014"/>
      <c r="BX2014"/>
      <c r="BY2014"/>
      <c r="BZ2014"/>
      <c r="CA2014"/>
      <c r="CB2014"/>
      <c r="CC2014"/>
      <c r="CD2014"/>
      <c r="CE2014"/>
      <c r="CF2014"/>
      <c r="CG2014"/>
      <c r="CH2014"/>
      <c r="CI2014"/>
      <c r="CJ2014"/>
      <c r="CK2014"/>
      <c r="CL2014"/>
      <c r="CM2014"/>
      <c r="CN2014"/>
      <c r="CO2014"/>
      <c r="CP2014"/>
      <c r="CQ2014"/>
      <c r="CR2014"/>
      <c r="CS2014"/>
      <c r="CT2014"/>
      <c r="CU2014"/>
      <c r="CV2014"/>
      <c r="CW2014"/>
      <c r="CX2014"/>
      <c r="CY2014"/>
      <c r="CZ2014"/>
      <c r="DA2014"/>
      <c r="DB2014"/>
      <c r="DC2014"/>
      <c r="DD2014"/>
      <c r="DE2014"/>
      <c r="DF2014"/>
      <c r="DG2014"/>
      <c r="DH2014"/>
      <c r="DI2014"/>
      <c r="DJ2014"/>
      <c r="DK2014"/>
      <c r="DL2014"/>
      <c r="DM2014"/>
      <c r="DN2014"/>
      <c r="DO2014"/>
      <c r="DP2014"/>
      <c r="DQ2014"/>
      <c r="DR2014"/>
      <c r="DS2014"/>
      <c r="DT2014"/>
      <c r="DU2014"/>
      <c r="DV2014"/>
      <c r="DW2014"/>
      <c r="DX2014"/>
      <c r="DY2014"/>
      <c r="DZ2014"/>
      <c r="EA2014"/>
      <c r="EB2014"/>
      <c r="EC2014"/>
      <c r="ED2014"/>
      <c r="EE2014"/>
      <c r="EF2014"/>
      <c r="EG2014"/>
      <c r="EH2014"/>
      <c r="EI2014"/>
      <c r="EJ2014"/>
      <c r="EK2014"/>
      <c r="EL2014"/>
      <c r="EM2014"/>
      <c r="EN2014"/>
      <c r="EO2014"/>
      <c r="EP2014"/>
      <c r="EQ2014"/>
      <c r="ER2014"/>
      <c r="ES2014"/>
    </row>
    <row r="2015" spans="1:149">
      <c r="A2015"/>
      <c r="B2015"/>
      <c r="C2015"/>
      <c r="D2015"/>
      <c r="E2015"/>
      <c r="F2015"/>
      <c r="G2015"/>
      <c r="H2015"/>
      <c r="I2015"/>
      <c r="J2015"/>
      <c r="K2015"/>
      <c r="L2015"/>
      <c r="M2015"/>
      <c r="N2015"/>
      <c r="O2015"/>
      <c r="P2015"/>
      <c r="Q2015"/>
      <c r="R2015"/>
      <c r="S2015"/>
      <c r="T2015"/>
      <c r="U2015"/>
      <c r="V2015"/>
      <c r="W2015"/>
      <c r="X2015"/>
      <c r="Y2015"/>
      <c r="Z2015"/>
      <c r="AA2015"/>
      <c r="AB2015"/>
      <c r="AC2015"/>
      <c r="AD2015"/>
      <c r="AE2015"/>
      <c r="AF2015"/>
      <c r="AG2015"/>
      <c r="AH2015"/>
      <c r="AI2015"/>
      <c r="AJ2015"/>
      <c r="AK2015"/>
      <c r="AL2015"/>
      <c r="AM2015"/>
      <c r="AN2015"/>
      <c r="AO2015"/>
      <c r="AP2015"/>
      <c r="AQ2015"/>
      <c r="AR2015"/>
      <c r="AS2015"/>
      <c r="AT2015"/>
      <c r="AU2015"/>
      <c r="AV2015"/>
      <c r="AW2015"/>
      <c r="AX2015"/>
      <c r="AY2015"/>
      <c r="AZ2015"/>
      <c r="BA2015"/>
      <c r="BB2015"/>
      <c r="BC2015"/>
      <c r="BD2015"/>
      <c r="BE2015"/>
      <c r="BF2015"/>
      <c r="BG2015"/>
      <c r="BH2015"/>
      <c r="BI2015"/>
      <c r="BJ2015"/>
      <c r="BK2015"/>
      <c r="BL2015"/>
      <c r="BM2015"/>
      <c r="BN2015"/>
      <c r="BO2015"/>
      <c r="BP2015"/>
      <c r="BQ2015"/>
      <c r="BR2015"/>
      <c r="BS2015"/>
      <c r="BT2015"/>
      <c r="BU2015"/>
      <c r="BV2015"/>
      <c r="BW2015"/>
      <c r="BX2015"/>
      <c r="BY2015"/>
      <c r="BZ2015"/>
      <c r="CA2015"/>
      <c r="CB2015"/>
      <c r="CC2015"/>
      <c r="CD2015"/>
      <c r="CE2015"/>
      <c r="CF2015"/>
      <c r="CG2015"/>
      <c r="CH2015"/>
      <c r="CI2015"/>
      <c r="CJ2015"/>
      <c r="CK2015"/>
      <c r="CL2015"/>
      <c r="CM2015"/>
      <c r="CN2015"/>
      <c r="CO2015"/>
      <c r="CP2015"/>
      <c r="CQ2015"/>
      <c r="CR2015"/>
      <c r="CS2015"/>
      <c r="CT2015"/>
      <c r="CU2015"/>
      <c r="CV2015"/>
      <c r="CW2015"/>
      <c r="CX2015"/>
      <c r="CY2015"/>
      <c r="CZ2015"/>
      <c r="DA2015"/>
      <c r="DB2015"/>
      <c r="DC2015"/>
      <c r="DD2015"/>
      <c r="DE2015"/>
      <c r="DF2015"/>
      <c r="DG2015"/>
      <c r="DH2015"/>
      <c r="DI2015"/>
      <c r="DJ2015"/>
      <c r="DK2015"/>
      <c r="DL2015"/>
      <c r="DM2015"/>
      <c r="DN2015"/>
      <c r="DO2015"/>
      <c r="DP2015"/>
      <c r="DQ2015"/>
      <c r="DR2015"/>
      <c r="DS2015"/>
      <c r="DT2015"/>
      <c r="DU2015"/>
      <c r="DV2015"/>
      <c r="DW2015"/>
      <c r="DX2015"/>
      <c r="DY2015"/>
      <c r="DZ2015"/>
      <c r="EA2015"/>
      <c r="EB2015"/>
      <c r="EC2015"/>
      <c r="ED2015"/>
      <c r="EE2015"/>
      <c r="EF2015"/>
      <c r="EG2015"/>
      <c r="EH2015"/>
      <c r="EI2015"/>
      <c r="EJ2015"/>
      <c r="EK2015"/>
      <c r="EL2015"/>
      <c r="EM2015"/>
      <c r="EN2015"/>
      <c r="EO2015"/>
      <c r="EP2015"/>
      <c r="EQ2015"/>
      <c r="ER2015"/>
      <c r="ES2015"/>
    </row>
    <row r="2016" spans="1:149">
      <c r="A2016"/>
      <c r="B2016"/>
      <c r="C2016"/>
      <c r="D2016"/>
      <c r="E2016"/>
      <c r="F2016"/>
      <c r="G2016"/>
      <c r="H2016"/>
      <c r="I2016"/>
      <c r="J2016"/>
      <c r="K2016"/>
      <c r="L2016"/>
      <c r="M2016"/>
      <c r="N2016"/>
      <c r="O2016"/>
      <c r="P2016"/>
      <c r="Q2016"/>
      <c r="R2016"/>
      <c r="S2016"/>
      <c r="T2016"/>
      <c r="U2016"/>
      <c r="V2016"/>
      <c r="W2016"/>
      <c r="X2016"/>
      <c r="Y2016"/>
      <c r="Z2016"/>
      <c r="AA2016"/>
      <c r="AB2016"/>
      <c r="AC2016"/>
      <c r="AD2016"/>
      <c r="AE2016"/>
      <c r="AF2016"/>
      <c r="AG2016"/>
      <c r="AH2016"/>
      <c r="AI2016"/>
      <c r="AJ2016"/>
      <c r="AK2016"/>
      <c r="AL2016"/>
      <c r="AM2016"/>
      <c r="AN2016"/>
      <c r="AO2016"/>
      <c r="AP2016"/>
      <c r="AQ2016"/>
      <c r="AR2016"/>
      <c r="AS2016"/>
      <c r="AT2016"/>
      <c r="AU2016"/>
      <c r="AV2016"/>
      <c r="AW2016"/>
      <c r="AX2016"/>
      <c r="AY2016"/>
      <c r="AZ2016"/>
      <c r="BA2016"/>
      <c r="BB2016"/>
      <c r="BC2016"/>
      <c r="BD2016"/>
      <c r="BE2016"/>
      <c r="BF2016"/>
      <c r="BG2016"/>
      <c r="BH2016"/>
      <c r="BI2016"/>
      <c r="BJ2016"/>
      <c r="BK2016"/>
      <c r="BL2016"/>
      <c r="BM2016"/>
      <c r="BN2016"/>
      <c r="BO2016"/>
      <c r="BP2016"/>
      <c r="BQ2016"/>
      <c r="BR2016"/>
      <c r="BS2016"/>
      <c r="BT2016"/>
      <c r="BU2016"/>
      <c r="BV2016"/>
      <c r="BW2016"/>
      <c r="BX2016"/>
      <c r="BY2016"/>
      <c r="BZ2016"/>
      <c r="CA2016"/>
      <c r="CB2016"/>
      <c r="CC2016"/>
      <c r="CD2016"/>
      <c r="CE2016"/>
      <c r="CF2016"/>
      <c r="CG2016"/>
      <c r="CH2016"/>
      <c r="CI2016"/>
      <c r="CJ2016"/>
      <c r="CK2016"/>
      <c r="CL2016"/>
      <c r="CM2016"/>
      <c r="CN2016"/>
      <c r="CO2016"/>
      <c r="CP2016"/>
      <c r="CQ2016"/>
      <c r="CR2016"/>
      <c r="CS2016"/>
      <c r="CT2016"/>
      <c r="CU2016"/>
      <c r="CV2016"/>
      <c r="CW2016"/>
      <c r="CX2016"/>
      <c r="CY2016"/>
      <c r="CZ2016"/>
      <c r="DA2016"/>
      <c r="DB2016"/>
      <c r="DC2016"/>
      <c r="DD2016"/>
      <c r="DE2016"/>
      <c r="DF2016"/>
      <c r="DG2016"/>
      <c r="DH2016"/>
      <c r="DI2016"/>
      <c r="DJ2016"/>
      <c r="DK2016"/>
      <c r="DL2016"/>
      <c r="DM2016"/>
      <c r="DN2016"/>
      <c r="DO2016"/>
      <c r="DP2016"/>
      <c r="DQ2016"/>
      <c r="DR2016"/>
      <c r="DS2016"/>
      <c r="DT2016"/>
      <c r="DU2016"/>
      <c r="DV2016"/>
      <c r="DW2016"/>
      <c r="DX2016"/>
      <c r="DY2016"/>
      <c r="DZ2016"/>
      <c r="EA2016"/>
      <c r="EB2016"/>
      <c r="EC2016"/>
      <c r="ED2016"/>
      <c r="EE2016"/>
      <c r="EF2016"/>
      <c r="EG2016"/>
      <c r="EH2016"/>
      <c r="EI2016"/>
      <c r="EJ2016"/>
      <c r="EK2016"/>
      <c r="EL2016"/>
      <c r="EM2016"/>
      <c r="EN2016"/>
      <c r="EO2016"/>
      <c r="EP2016"/>
      <c r="EQ2016"/>
      <c r="ER2016"/>
      <c r="ES2016"/>
    </row>
    <row r="2017" spans="1:149">
      <c r="A2017"/>
      <c r="B2017"/>
      <c r="C2017"/>
      <c r="D2017"/>
      <c r="E2017"/>
      <c r="F2017"/>
      <c r="G2017"/>
      <c r="H2017"/>
      <c r="I2017"/>
      <c r="J2017"/>
      <c r="K2017"/>
      <c r="L2017"/>
      <c r="M2017"/>
      <c r="N2017"/>
      <c r="O2017"/>
      <c r="P2017"/>
      <c r="Q2017"/>
      <c r="R2017"/>
      <c r="S2017"/>
      <c r="T2017"/>
      <c r="U2017"/>
      <c r="V2017"/>
      <c r="W2017"/>
      <c r="X2017"/>
      <c r="Y2017"/>
      <c r="Z2017"/>
      <c r="AA2017"/>
      <c r="AB2017"/>
      <c r="AC2017"/>
      <c r="AD2017"/>
      <c r="AE2017"/>
      <c r="AF2017"/>
      <c r="AG2017"/>
      <c r="AH2017"/>
      <c r="AI2017"/>
      <c r="AJ2017"/>
      <c r="AK2017"/>
      <c r="AL2017"/>
      <c r="AM2017"/>
      <c r="AN2017"/>
      <c r="AO2017"/>
      <c r="AP2017"/>
      <c r="AQ2017"/>
      <c r="AR2017"/>
      <c r="AS2017"/>
      <c r="AT2017"/>
      <c r="AU2017"/>
      <c r="AV2017"/>
      <c r="AW2017"/>
      <c r="AX2017"/>
      <c r="AY2017"/>
      <c r="AZ2017"/>
      <c r="BA2017"/>
      <c r="BB2017"/>
      <c r="BC2017"/>
      <c r="BD2017"/>
      <c r="BE2017"/>
      <c r="BF2017"/>
      <c r="BG2017"/>
      <c r="BH2017"/>
      <c r="BI2017"/>
      <c r="BJ2017"/>
      <c r="BK2017"/>
      <c r="BL2017"/>
      <c r="BM2017"/>
      <c r="BN2017"/>
      <c r="BO2017"/>
      <c r="BP2017"/>
      <c r="BQ2017"/>
      <c r="BR2017"/>
      <c r="BS2017"/>
      <c r="BT2017"/>
      <c r="BU2017"/>
      <c r="BV2017"/>
      <c r="BW2017"/>
      <c r="BX2017"/>
      <c r="BY2017"/>
      <c r="BZ2017"/>
      <c r="CA2017"/>
      <c r="CB2017"/>
      <c r="CC2017"/>
      <c r="CD2017"/>
      <c r="CE2017"/>
      <c r="CF2017"/>
      <c r="CG2017"/>
      <c r="CH2017"/>
      <c r="CI2017"/>
      <c r="CJ2017"/>
      <c r="CK2017"/>
      <c r="CL2017"/>
      <c r="CM2017"/>
      <c r="CN2017"/>
      <c r="CO2017"/>
      <c r="CP2017"/>
      <c r="CQ2017"/>
      <c r="CR2017"/>
      <c r="CS2017"/>
      <c r="CT2017"/>
      <c r="CU2017"/>
      <c r="CV2017"/>
      <c r="CW2017"/>
      <c r="CX2017"/>
      <c r="CY2017"/>
      <c r="CZ2017"/>
      <c r="DA2017"/>
      <c r="DB2017"/>
      <c r="DC2017"/>
      <c r="DD2017"/>
      <c r="DE2017"/>
      <c r="DF2017"/>
      <c r="DG2017"/>
      <c r="DH2017"/>
      <c r="DI2017"/>
      <c r="DJ2017"/>
      <c r="DK2017"/>
      <c r="DL2017"/>
      <c r="DM2017"/>
      <c r="DN2017"/>
      <c r="DO2017"/>
      <c r="DP2017"/>
      <c r="DQ2017"/>
      <c r="DR2017"/>
      <c r="DS2017"/>
      <c r="DT2017"/>
      <c r="DU2017"/>
      <c r="DV2017"/>
      <c r="DW2017"/>
      <c r="DX2017"/>
      <c r="DY2017"/>
      <c r="DZ2017"/>
      <c r="EA2017"/>
      <c r="EB2017"/>
      <c r="EC2017"/>
      <c r="ED2017"/>
      <c r="EE2017"/>
      <c r="EF2017"/>
      <c r="EG2017"/>
      <c r="EH2017"/>
      <c r="EI2017"/>
      <c r="EJ2017"/>
      <c r="EK2017"/>
      <c r="EL2017"/>
      <c r="EM2017"/>
      <c r="EN2017"/>
      <c r="EO2017"/>
      <c r="EP2017"/>
      <c r="EQ2017"/>
      <c r="ER2017"/>
      <c r="ES2017"/>
    </row>
    <row r="2018" spans="1:149">
      <c r="A2018"/>
      <c r="B2018"/>
      <c r="C2018"/>
      <c r="D2018"/>
      <c r="E2018"/>
      <c r="F2018"/>
      <c r="G2018"/>
      <c r="H2018"/>
      <c r="I2018"/>
      <c r="J2018"/>
      <c r="K2018"/>
      <c r="L2018"/>
      <c r="M2018"/>
      <c r="N2018"/>
      <c r="O2018"/>
      <c r="P2018"/>
      <c r="Q2018"/>
      <c r="R2018"/>
      <c r="S2018"/>
      <c r="T2018"/>
      <c r="U2018"/>
      <c r="V2018"/>
      <c r="W2018"/>
      <c r="X2018"/>
      <c r="Y2018"/>
      <c r="Z2018"/>
      <c r="AA2018"/>
      <c r="AB2018"/>
      <c r="AC2018"/>
      <c r="AD2018"/>
      <c r="AE2018"/>
      <c r="AF2018"/>
      <c r="AG2018"/>
      <c r="AH2018"/>
      <c r="AI2018"/>
      <c r="AJ2018"/>
      <c r="AK2018"/>
      <c r="AL2018"/>
      <c r="AM2018"/>
      <c r="AN2018"/>
      <c r="AO2018"/>
      <c r="AP2018"/>
      <c r="AQ2018"/>
      <c r="AR2018"/>
      <c r="AS2018"/>
      <c r="AT2018"/>
      <c r="AU2018"/>
      <c r="AV2018"/>
      <c r="AW2018"/>
      <c r="AX2018"/>
      <c r="AY2018"/>
      <c r="AZ2018"/>
      <c r="BA2018"/>
      <c r="BB2018"/>
      <c r="BC2018"/>
      <c r="BD2018"/>
      <c r="BE2018"/>
      <c r="BF2018"/>
      <c r="BG2018"/>
      <c r="BH2018"/>
      <c r="BI2018"/>
      <c r="BJ2018"/>
      <c r="BK2018"/>
      <c r="BL2018"/>
      <c r="BM2018"/>
      <c r="BN2018"/>
      <c r="BO2018"/>
      <c r="BP2018"/>
      <c r="BQ2018"/>
      <c r="BR2018"/>
      <c r="BS2018"/>
      <c r="BT2018"/>
      <c r="BU2018"/>
      <c r="BV2018"/>
      <c r="BW2018"/>
      <c r="BX2018"/>
      <c r="BY2018"/>
      <c r="BZ2018"/>
      <c r="CA2018"/>
      <c r="CB2018"/>
      <c r="CC2018"/>
      <c r="CD2018"/>
      <c r="CE2018"/>
      <c r="CF2018"/>
      <c r="CG2018"/>
      <c r="CH2018"/>
      <c r="CI2018"/>
      <c r="CJ2018"/>
      <c r="CK2018"/>
      <c r="CL2018"/>
      <c r="CM2018"/>
      <c r="CN2018"/>
      <c r="CO2018"/>
      <c r="CP2018"/>
      <c r="CQ2018"/>
      <c r="CR2018"/>
      <c r="CS2018"/>
      <c r="CT2018"/>
      <c r="CU2018"/>
      <c r="CV2018"/>
      <c r="CW2018"/>
      <c r="CX2018"/>
      <c r="CY2018"/>
      <c r="CZ2018"/>
      <c r="DA2018"/>
      <c r="DB2018"/>
      <c r="DC2018"/>
      <c r="DD2018"/>
      <c r="DE2018"/>
      <c r="DF2018"/>
      <c r="DG2018"/>
      <c r="DH2018"/>
      <c r="DI2018"/>
      <c r="DJ2018"/>
      <c r="DK2018"/>
      <c r="DL2018"/>
      <c r="DM2018"/>
      <c r="DN2018"/>
      <c r="DO2018"/>
      <c r="DP2018"/>
      <c r="DQ2018"/>
      <c r="DR2018"/>
      <c r="DS2018"/>
      <c r="DT2018"/>
      <c r="DU2018"/>
      <c r="DV2018"/>
      <c r="DW2018"/>
      <c r="DX2018"/>
      <c r="DY2018"/>
      <c r="DZ2018"/>
      <c r="EA2018"/>
      <c r="EB2018"/>
      <c r="EC2018"/>
      <c r="ED2018"/>
      <c r="EE2018"/>
      <c r="EF2018"/>
      <c r="EG2018"/>
      <c r="EH2018"/>
      <c r="EI2018"/>
      <c r="EJ2018"/>
      <c r="EK2018"/>
      <c r="EL2018"/>
      <c r="EM2018"/>
      <c r="EN2018"/>
      <c r="EO2018"/>
      <c r="EP2018"/>
      <c r="EQ2018"/>
      <c r="ER2018"/>
      <c r="ES2018"/>
    </row>
    <row r="2019" spans="1:149">
      <c r="A2019"/>
      <c r="B2019"/>
      <c r="C2019"/>
      <c r="D2019"/>
      <c r="E2019"/>
      <c r="F2019"/>
      <c r="G2019"/>
      <c r="H2019"/>
      <c r="I2019"/>
      <c r="J2019"/>
      <c r="K2019"/>
      <c r="L2019"/>
      <c r="M2019"/>
      <c r="N2019"/>
      <c r="O2019"/>
      <c r="P2019"/>
      <c r="Q2019"/>
      <c r="R2019"/>
      <c r="S2019"/>
      <c r="T2019"/>
      <c r="U2019"/>
      <c r="V2019"/>
      <c r="W2019"/>
      <c r="X2019"/>
      <c r="Y2019"/>
      <c r="Z2019"/>
      <c r="AA2019"/>
      <c r="AB2019"/>
      <c r="AC2019"/>
      <c r="AD2019"/>
      <c r="AE2019"/>
      <c r="AF2019"/>
      <c r="AG2019"/>
      <c r="AH2019"/>
      <c r="AI2019"/>
      <c r="AJ2019"/>
      <c r="AK2019"/>
      <c r="AL2019"/>
      <c r="AM2019"/>
      <c r="AN2019"/>
      <c r="AO2019"/>
      <c r="AP2019"/>
      <c r="AQ2019"/>
      <c r="AR2019"/>
      <c r="AS2019"/>
      <c r="AT2019"/>
      <c r="AU2019"/>
      <c r="AV2019"/>
      <c r="AW2019"/>
      <c r="AX2019"/>
      <c r="AY2019"/>
      <c r="AZ2019"/>
      <c r="BA2019"/>
      <c r="BB2019"/>
      <c r="BC2019"/>
      <c r="BD2019"/>
      <c r="BE2019"/>
      <c r="BF2019"/>
      <c r="BG2019"/>
      <c r="BH2019"/>
      <c r="BI2019"/>
      <c r="BJ2019"/>
      <c r="BK2019"/>
      <c r="BL2019"/>
      <c r="BM2019"/>
      <c r="BN2019"/>
      <c r="BO2019"/>
      <c r="BP2019"/>
      <c r="BQ2019"/>
      <c r="BR2019"/>
      <c r="BS2019"/>
      <c r="BT2019"/>
      <c r="BU2019"/>
      <c r="BV2019"/>
      <c r="BW2019"/>
      <c r="BX2019"/>
      <c r="BY2019"/>
      <c r="BZ2019"/>
      <c r="CA2019"/>
      <c r="CB2019"/>
      <c r="CC2019"/>
      <c r="CD2019"/>
      <c r="CE2019"/>
      <c r="CF2019"/>
      <c r="CG2019"/>
      <c r="CH2019"/>
      <c r="CI2019"/>
      <c r="CJ2019"/>
      <c r="CK2019"/>
      <c r="CL2019"/>
      <c r="CM2019"/>
      <c r="CN2019"/>
      <c r="CO2019"/>
      <c r="CP2019"/>
      <c r="CQ2019"/>
      <c r="CR2019"/>
      <c r="CS2019"/>
      <c r="CT2019"/>
      <c r="CU2019"/>
      <c r="CV2019"/>
      <c r="CW2019"/>
      <c r="CX2019"/>
      <c r="CY2019"/>
      <c r="CZ2019"/>
      <c r="DA2019"/>
      <c r="DB2019"/>
      <c r="DC2019"/>
      <c r="DD2019"/>
      <c r="DE2019"/>
      <c r="DF2019"/>
      <c r="DG2019"/>
      <c r="DH2019"/>
      <c r="DI2019"/>
      <c r="DJ2019"/>
      <c r="DK2019"/>
      <c r="DL2019"/>
      <c r="DM2019"/>
      <c r="DN2019"/>
      <c r="DO2019"/>
      <c r="DP2019"/>
      <c r="DQ2019"/>
      <c r="DR2019"/>
      <c r="DS2019"/>
      <c r="DT2019"/>
      <c r="DU2019"/>
      <c r="DV2019"/>
      <c r="DW2019"/>
      <c r="DX2019"/>
      <c r="DY2019"/>
      <c r="DZ2019"/>
      <c r="EA2019"/>
      <c r="EB2019"/>
      <c r="EC2019"/>
      <c r="ED2019"/>
      <c r="EE2019"/>
      <c r="EF2019"/>
      <c r="EG2019"/>
      <c r="EH2019"/>
      <c r="EI2019"/>
      <c r="EJ2019"/>
      <c r="EK2019"/>
      <c r="EL2019"/>
      <c r="EM2019"/>
      <c r="EN2019"/>
      <c r="EO2019"/>
      <c r="EP2019"/>
      <c r="EQ2019"/>
      <c r="ER2019"/>
      <c r="ES2019"/>
    </row>
    <row r="2020" spans="1:149">
      <c r="A2020"/>
      <c r="B2020"/>
      <c r="C2020"/>
      <c r="D2020"/>
      <c r="E2020"/>
      <c r="F2020"/>
      <c r="G2020"/>
      <c r="H2020"/>
      <c r="I2020"/>
      <c r="J2020"/>
      <c r="K2020"/>
      <c r="L2020"/>
      <c r="M2020"/>
      <c r="N2020"/>
      <c r="O2020"/>
      <c r="P2020"/>
      <c r="Q2020"/>
      <c r="R2020"/>
      <c r="S2020"/>
      <c r="T2020"/>
      <c r="U2020"/>
      <c r="V2020"/>
      <c r="W2020"/>
      <c r="X2020"/>
      <c r="Y2020"/>
      <c r="Z2020"/>
      <c r="AA2020"/>
      <c r="AB2020"/>
      <c r="AC2020"/>
      <c r="AD2020"/>
      <c r="AE2020"/>
      <c r="AF2020"/>
      <c r="AG2020"/>
      <c r="AH2020"/>
      <c r="AI2020"/>
      <c r="AJ2020"/>
      <c r="AK2020"/>
      <c r="AL2020"/>
      <c r="AM2020"/>
      <c r="AN2020"/>
      <c r="AO2020"/>
      <c r="AP2020"/>
      <c r="AQ2020"/>
      <c r="AR2020"/>
      <c r="AS2020"/>
      <c r="AT2020"/>
      <c r="AU2020"/>
      <c r="AV2020"/>
      <c r="AW2020"/>
      <c r="AX2020"/>
      <c r="AY2020"/>
      <c r="AZ2020"/>
      <c r="BA2020"/>
      <c r="BB2020"/>
      <c r="BC2020"/>
      <c r="BD2020"/>
      <c r="BE2020"/>
      <c r="BF2020"/>
      <c r="BG2020"/>
      <c r="BH2020"/>
      <c r="BI2020"/>
      <c r="BJ2020"/>
      <c r="BK2020"/>
      <c r="BL2020"/>
      <c r="BM2020"/>
      <c r="BN2020"/>
      <c r="BO2020"/>
      <c r="BP2020"/>
      <c r="BQ2020"/>
      <c r="BR2020"/>
      <c r="BS2020"/>
      <c r="BT2020"/>
      <c r="BU2020"/>
      <c r="BV2020"/>
      <c r="BW2020"/>
      <c r="BX2020"/>
      <c r="BY2020"/>
      <c r="BZ2020"/>
      <c r="CA2020"/>
      <c r="CB2020"/>
      <c r="CC2020"/>
      <c r="CD2020"/>
      <c r="CE2020"/>
      <c r="CF2020"/>
      <c r="CG2020"/>
      <c r="CH2020"/>
      <c r="CI2020"/>
      <c r="CJ2020"/>
      <c r="CK2020"/>
      <c r="CL2020"/>
      <c r="CM2020"/>
      <c r="CN2020"/>
      <c r="CO2020"/>
      <c r="CP2020"/>
      <c r="CQ2020"/>
      <c r="CR2020"/>
      <c r="CS2020"/>
      <c r="CT2020"/>
      <c r="CU2020"/>
      <c r="CV2020"/>
      <c r="CW2020"/>
      <c r="CX2020"/>
      <c r="CY2020"/>
      <c r="CZ2020"/>
      <c r="DA2020"/>
      <c r="DB2020"/>
      <c r="DC2020"/>
      <c r="DD2020"/>
      <c r="DE2020"/>
      <c r="DF2020"/>
      <c r="DG2020"/>
      <c r="DH2020"/>
      <c r="DI2020"/>
      <c r="DJ2020"/>
      <c r="DK2020"/>
      <c r="DL2020"/>
      <c r="DM2020"/>
      <c r="DN2020"/>
      <c r="DO2020"/>
      <c r="DP2020"/>
      <c r="DQ2020"/>
      <c r="DR2020"/>
      <c r="DS2020"/>
      <c r="DT2020"/>
      <c r="DU2020"/>
      <c r="DV2020"/>
      <c r="DW2020"/>
      <c r="DX2020"/>
      <c r="DY2020"/>
      <c r="DZ2020"/>
      <c r="EA2020"/>
      <c r="EB2020"/>
      <c r="EC2020"/>
      <c r="ED2020"/>
      <c r="EE2020"/>
      <c r="EF2020"/>
      <c r="EG2020"/>
      <c r="EH2020"/>
      <c r="EI2020"/>
      <c r="EJ2020"/>
      <c r="EK2020"/>
      <c r="EL2020"/>
      <c r="EM2020"/>
      <c r="EN2020"/>
      <c r="EO2020"/>
      <c r="EP2020"/>
      <c r="EQ2020"/>
      <c r="ER2020"/>
      <c r="ES2020"/>
    </row>
    <row r="2021" spans="1:149">
      <c r="A2021"/>
      <c r="B2021"/>
      <c r="C2021"/>
      <c r="D2021"/>
      <c r="E2021"/>
      <c r="F2021"/>
      <c r="G2021"/>
      <c r="H2021"/>
      <c r="I2021"/>
      <c r="J2021"/>
      <c r="K2021"/>
      <c r="L2021"/>
      <c r="M2021"/>
      <c r="N2021"/>
      <c r="O2021"/>
      <c r="P2021"/>
      <c r="Q2021"/>
      <c r="R2021"/>
      <c r="S2021"/>
      <c r="T2021"/>
      <c r="U2021"/>
      <c r="V2021"/>
      <c r="W2021"/>
      <c r="X2021"/>
      <c r="Y2021"/>
      <c r="Z2021"/>
      <c r="AA2021"/>
      <c r="AB2021"/>
      <c r="AC2021"/>
      <c r="AD2021"/>
      <c r="AE2021"/>
      <c r="AF2021"/>
      <c r="AG2021"/>
      <c r="AH2021"/>
      <c r="AI2021"/>
      <c r="AJ2021"/>
      <c r="AK2021"/>
      <c r="AL2021"/>
      <c r="AM2021"/>
      <c r="AN2021"/>
      <c r="AO2021"/>
      <c r="AP2021"/>
      <c r="AQ2021"/>
      <c r="AR2021"/>
      <c r="AS2021"/>
      <c r="AT2021"/>
      <c r="AU2021"/>
      <c r="AV2021"/>
      <c r="AW2021"/>
      <c r="AX2021"/>
      <c r="AY2021"/>
      <c r="AZ2021"/>
      <c r="BA2021"/>
      <c r="BB2021"/>
      <c r="BC2021"/>
      <c r="BD2021"/>
      <c r="BE2021"/>
      <c r="BF2021"/>
      <c r="BG2021"/>
      <c r="BH2021"/>
      <c r="BI2021"/>
      <c r="BJ2021"/>
      <c r="BK2021"/>
      <c r="BL2021"/>
      <c r="BM2021"/>
      <c r="BN2021"/>
      <c r="BO2021"/>
      <c r="BP2021"/>
      <c r="BQ2021"/>
      <c r="BR2021"/>
      <c r="BS2021"/>
      <c r="BT2021"/>
      <c r="BU2021"/>
      <c r="BV2021"/>
      <c r="BW2021"/>
      <c r="BX2021"/>
      <c r="BY2021"/>
      <c r="BZ2021"/>
      <c r="CA2021"/>
      <c r="CB2021"/>
      <c r="CC2021"/>
      <c r="CD2021"/>
      <c r="CE2021"/>
      <c r="CF2021"/>
      <c r="CG2021"/>
      <c r="CH2021"/>
      <c r="CI2021"/>
      <c r="CJ2021"/>
      <c r="CK2021"/>
      <c r="CL2021"/>
      <c r="CM2021"/>
      <c r="CN2021"/>
      <c r="CO2021"/>
      <c r="CP2021"/>
      <c r="CQ2021"/>
      <c r="CR2021"/>
      <c r="CS2021"/>
      <c r="CT2021"/>
      <c r="CU2021"/>
      <c r="CV2021"/>
      <c r="CW2021"/>
      <c r="CX2021"/>
      <c r="CY2021"/>
      <c r="CZ2021"/>
      <c r="DA2021"/>
      <c r="DB2021"/>
      <c r="DC2021"/>
      <c r="DD2021"/>
      <c r="DE2021"/>
      <c r="DF2021"/>
      <c r="DG2021"/>
      <c r="DH2021"/>
      <c r="DI2021"/>
      <c r="DJ2021"/>
      <c r="DK2021"/>
      <c r="DL2021"/>
      <c r="DM2021"/>
      <c r="DN2021"/>
      <c r="DO2021"/>
      <c r="DP2021"/>
      <c r="DQ2021"/>
      <c r="DR2021"/>
      <c r="DS2021"/>
      <c r="DT2021"/>
      <c r="DU2021"/>
      <c r="DV2021"/>
      <c r="DW2021"/>
      <c r="DX2021"/>
      <c r="DY2021"/>
      <c r="DZ2021"/>
      <c r="EA2021"/>
      <c r="EB2021"/>
      <c r="EC2021"/>
      <c r="ED2021"/>
      <c r="EE2021"/>
      <c r="EF2021"/>
      <c r="EG2021"/>
      <c r="EH2021"/>
      <c r="EI2021"/>
      <c r="EJ2021"/>
      <c r="EK2021"/>
      <c r="EL2021"/>
      <c r="EM2021"/>
      <c r="EN2021"/>
      <c r="EO2021"/>
      <c r="EP2021"/>
      <c r="EQ2021"/>
      <c r="ER2021"/>
      <c r="ES2021"/>
    </row>
    <row r="2022" spans="1:149">
      <c r="A2022"/>
      <c r="B2022"/>
      <c r="C2022"/>
      <c r="D2022"/>
      <c r="E2022"/>
      <c r="F2022"/>
      <c r="G2022"/>
      <c r="H2022"/>
      <c r="I2022"/>
      <c r="J2022"/>
      <c r="K2022"/>
      <c r="L2022"/>
      <c r="M2022"/>
      <c r="N2022"/>
      <c r="O2022"/>
      <c r="P2022"/>
      <c r="Q2022"/>
      <c r="R2022"/>
      <c r="S2022"/>
      <c r="T2022"/>
      <c r="U2022"/>
      <c r="V2022"/>
      <c r="W2022"/>
      <c r="X2022"/>
      <c r="Y2022"/>
      <c r="Z2022"/>
      <c r="AA2022"/>
      <c r="AB2022"/>
      <c r="AC2022"/>
      <c r="AD2022"/>
      <c r="AE2022"/>
      <c r="AF2022"/>
      <c r="AG2022"/>
      <c r="AH2022"/>
      <c r="AI2022"/>
      <c r="AJ2022"/>
      <c r="AK2022"/>
      <c r="AL2022"/>
      <c r="AM2022"/>
      <c r="AN2022"/>
      <c r="AO2022"/>
      <c r="AP2022"/>
      <c r="AQ2022"/>
      <c r="AR2022"/>
      <c r="AS2022"/>
      <c r="AT2022"/>
      <c r="AU2022"/>
      <c r="AV2022"/>
      <c r="AW2022"/>
      <c r="AX2022"/>
      <c r="AY2022"/>
      <c r="AZ2022"/>
      <c r="BA2022"/>
      <c r="BB2022"/>
      <c r="BC2022"/>
      <c r="BD2022"/>
      <c r="BE2022"/>
      <c r="BF2022"/>
      <c r="BG2022"/>
      <c r="BH2022"/>
      <c r="BI2022"/>
      <c r="BJ2022"/>
      <c r="BK2022"/>
      <c r="BL2022"/>
      <c r="BM2022"/>
      <c r="BN2022"/>
      <c r="BO2022"/>
      <c r="BP2022"/>
      <c r="BQ2022"/>
      <c r="BR2022"/>
      <c r="BS2022"/>
      <c r="BT2022"/>
      <c r="BU2022"/>
      <c r="BV2022"/>
      <c r="BW2022"/>
      <c r="BX2022"/>
      <c r="BY2022"/>
      <c r="BZ2022"/>
      <c r="CA2022"/>
      <c r="CB2022"/>
      <c r="CC2022"/>
      <c r="CD2022"/>
      <c r="CE2022"/>
      <c r="CF2022"/>
      <c r="CG2022"/>
      <c r="CH2022"/>
      <c r="CI2022"/>
      <c r="CJ2022"/>
      <c r="CK2022"/>
      <c r="CL2022"/>
      <c r="CM2022"/>
      <c r="CN2022"/>
      <c r="CO2022"/>
      <c r="CP2022"/>
      <c r="CQ2022"/>
      <c r="CR2022"/>
      <c r="CS2022"/>
      <c r="CT2022"/>
      <c r="CU2022"/>
      <c r="CV2022"/>
      <c r="CW2022"/>
      <c r="CX2022"/>
      <c r="CY2022"/>
      <c r="CZ2022"/>
      <c r="DA2022"/>
      <c r="DB2022"/>
      <c r="DC2022"/>
      <c r="DD2022"/>
      <c r="DE2022"/>
      <c r="DF2022"/>
      <c r="DG2022"/>
      <c r="DH2022"/>
      <c r="DI2022"/>
      <c r="DJ2022"/>
      <c r="DK2022"/>
      <c r="DL2022"/>
      <c r="DM2022"/>
      <c r="DN2022"/>
      <c r="DO2022"/>
      <c r="DP2022"/>
      <c r="DQ2022"/>
      <c r="DR2022"/>
      <c r="DS2022"/>
      <c r="DT2022"/>
      <c r="DU2022"/>
      <c r="DV2022"/>
      <c r="DW2022"/>
      <c r="DX2022"/>
      <c r="DY2022"/>
      <c r="DZ2022"/>
      <c r="EA2022"/>
      <c r="EB2022"/>
      <c r="EC2022"/>
      <c r="ED2022"/>
      <c r="EE2022"/>
      <c r="EF2022"/>
      <c r="EG2022"/>
      <c r="EH2022"/>
      <c r="EI2022"/>
      <c r="EJ2022"/>
      <c r="EK2022"/>
      <c r="EL2022"/>
      <c r="EM2022"/>
      <c r="EN2022"/>
      <c r="EO2022"/>
      <c r="EP2022"/>
      <c r="EQ2022"/>
      <c r="ER2022"/>
      <c r="ES2022"/>
    </row>
    <row r="2023" spans="1:149">
      <c r="A2023"/>
      <c r="B2023"/>
      <c r="C2023"/>
      <c r="D2023"/>
      <c r="E2023"/>
      <c r="F2023"/>
      <c r="G2023"/>
      <c r="H2023"/>
      <c r="I2023"/>
      <c r="J2023"/>
      <c r="K2023"/>
      <c r="L2023"/>
      <c r="M2023"/>
      <c r="N2023"/>
      <c r="O2023"/>
      <c r="P2023"/>
      <c r="Q2023"/>
      <c r="R2023"/>
      <c r="S2023"/>
      <c r="T2023"/>
      <c r="U2023"/>
      <c r="V2023"/>
      <c r="W2023"/>
      <c r="X2023"/>
      <c r="Y2023"/>
      <c r="Z2023"/>
      <c r="AA2023"/>
      <c r="AB2023"/>
      <c r="AC2023"/>
      <c r="AD2023"/>
      <c r="AE2023"/>
      <c r="AF2023"/>
      <c r="AG2023"/>
      <c r="AH2023"/>
      <c r="AI2023"/>
      <c r="AJ2023"/>
      <c r="AK2023"/>
      <c r="AL2023"/>
      <c r="AM2023"/>
      <c r="AN2023"/>
      <c r="AO2023"/>
      <c r="AP2023"/>
      <c r="AQ2023"/>
      <c r="AR2023"/>
      <c r="AS2023"/>
      <c r="AT2023"/>
      <c r="AU2023"/>
      <c r="AV2023"/>
      <c r="AW2023"/>
      <c r="AX2023"/>
      <c r="AY2023"/>
      <c r="AZ2023"/>
      <c r="BA2023"/>
      <c r="BB2023"/>
      <c r="BC2023"/>
      <c r="BD2023"/>
      <c r="BE2023"/>
      <c r="BF2023"/>
      <c r="BG2023"/>
      <c r="BH2023"/>
      <c r="BI2023"/>
      <c r="BJ2023"/>
      <c r="BK2023"/>
      <c r="BL2023"/>
      <c r="BM2023"/>
      <c r="BN2023"/>
      <c r="BO2023"/>
      <c r="BP2023"/>
      <c r="BQ2023"/>
      <c r="BR2023"/>
      <c r="BS2023"/>
      <c r="BT2023"/>
      <c r="BU2023"/>
      <c r="BV2023"/>
      <c r="BW2023"/>
      <c r="BX2023"/>
      <c r="BY2023"/>
      <c r="BZ2023"/>
      <c r="CA2023"/>
      <c r="CB2023"/>
      <c r="CC2023"/>
      <c r="CD2023"/>
      <c r="CE2023"/>
      <c r="CF2023"/>
      <c r="CG2023"/>
      <c r="CH2023"/>
      <c r="CI2023"/>
      <c r="CJ2023"/>
      <c r="CK2023"/>
      <c r="CL2023"/>
      <c r="CM2023"/>
      <c r="CN2023"/>
      <c r="CO2023"/>
      <c r="CP2023"/>
      <c r="CQ2023"/>
      <c r="CR2023"/>
      <c r="CS2023"/>
      <c r="CT2023"/>
      <c r="CU2023"/>
      <c r="CV2023"/>
      <c r="CW2023"/>
      <c r="CX2023"/>
      <c r="CY2023"/>
      <c r="CZ2023"/>
      <c r="DA2023"/>
      <c r="DB2023"/>
      <c r="DC2023"/>
      <c r="DD2023"/>
      <c r="DE2023"/>
      <c r="DF2023"/>
      <c r="DG2023"/>
      <c r="DH2023"/>
      <c r="DI2023"/>
      <c r="DJ2023"/>
      <c r="DK2023"/>
      <c r="DL2023"/>
      <c r="DM2023"/>
      <c r="DN2023"/>
      <c r="DO2023"/>
      <c r="DP2023"/>
      <c r="DQ2023"/>
      <c r="DR2023"/>
      <c r="DS2023"/>
      <c r="DT2023"/>
      <c r="DU2023"/>
      <c r="DV2023"/>
      <c r="DW2023"/>
      <c r="DX2023"/>
      <c r="DY2023"/>
      <c r="DZ2023"/>
      <c r="EA2023"/>
      <c r="EB2023"/>
      <c r="EC2023"/>
      <c r="ED2023"/>
      <c r="EE2023"/>
      <c r="EF2023"/>
      <c r="EG2023"/>
      <c r="EH2023"/>
      <c r="EI2023"/>
      <c r="EJ2023"/>
      <c r="EK2023"/>
      <c r="EL2023"/>
      <c r="EM2023"/>
      <c r="EN2023"/>
      <c r="EO2023"/>
      <c r="EP2023"/>
      <c r="EQ2023"/>
      <c r="ER2023"/>
      <c r="ES2023"/>
    </row>
    <row r="2024" spans="1:149">
      <c r="A2024"/>
      <c r="B2024"/>
      <c r="C2024"/>
      <c r="D2024"/>
      <c r="E2024"/>
      <c r="F2024"/>
      <c r="G2024"/>
      <c r="H2024"/>
      <c r="I2024"/>
      <c r="J2024"/>
      <c r="K2024"/>
      <c r="L2024"/>
      <c r="M2024"/>
      <c r="N2024"/>
      <c r="O2024"/>
      <c r="P2024"/>
      <c r="Q2024"/>
      <c r="R2024"/>
      <c r="S2024"/>
      <c r="T2024"/>
      <c r="U2024"/>
      <c r="V2024"/>
      <c r="W2024"/>
      <c r="X2024"/>
      <c r="Y2024"/>
      <c r="Z2024"/>
      <c r="AA2024"/>
      <c r="AB2024"/>
      <c r="AC2024"/>
      <c r="AD2024"/>
      <c r="AE2024"/>
      <c r="AF2024"/>
      <c r="AG2024"/>
      <c r="AH2024"/>
      <c r="AI2024"/>
      <c r="AJ2024"/>
      <c r="AK2024"/>
      <c r="AL2024"/>
      <c r="AM2024"/>
      <c r="AN2024"/>
      <c r="AO2024"/>
      <c r="AP2024"/>
      <c r="AQ2024"/>
      <c r="AR2024"/>
      <c r="AS2024"/>
      <c r="AT2024"/>
      <c r="AU2024"/>
      <c r="AV2024"/>
      <c r="AW2024"/>
      <c r="AX2024"/>
      <c r="AY2024"/>
      <c r="AZ2024"/>
      <c r="BA2024"/>
      <c r="BB2024"/>
      <c r="BC2024"/>
      <c r="BD2024"/>
      <c r="BE2024"/>
      <c r="BF2024"/>
      <c r="BG2024"/>
      <c r="BH2024"/>
      <c r="BI2024"/>
      <c r="BJ2024"/>
      <c r="BK2024"/>
      <c r="BL2024"/>
      <c r="BM2024"/>
      <c r="BN2024"/>
      <c r="BO2024"/>
      <c r="BP2024"/>
      <c r="BQ2024"/>
      <c r="BR2024"/>
      <c r="BS2024"/>
      <c r="BT2024"/>
      <c r="BU2024"/>
      <c r="BV2024"/>
      <c r="BW2024"/>
      <c r="BX2024"/>
      <c r="BY2024"/>
      <c r="BZ2024"/>
      <c r="CA2024"/>
      <c r="CB2024"/>
      <c r="CC2024"/>
      <c r="CD2024"/>
      <c r="CE2024"/>
      <c r="CF2024"/>
      <c r="CG2024"/>
      <c r="CH2024"/>
      <c r="CI2024"/>
      <c r="CJ2024"/>
      <c r="CK2024"/>
      <c r="CL2024"/>
      <c r="CM2024"/>
      <c r="CN2024"/>
      <c r="CO2024"/>
      <c r="CP2024"/>
      <c r="CQ2024"/>
      <c r="CR2024"/>
      <c r="CS2024"/>
      <c r="CT2024"/>
      <c r="CU2024"/>
      <c r="CV2024"/>
      <c r="CW2024"/>
      <c r="CX2024"/>
      <c r="CY2024"/>
      <c r="CZ2024"/>
      <c r="DA2024"/>
      <c r="DB2024"/>
      <c r="DC2024"/>
      <c r="DD2024"/>
      <c r="DE2024"/>
      <c r="DF2024"/>
      <c r="DG2024"/>
      <c r="DH2024"/>
      <c r="DI2024"/>
      <c r="DJ2024"/>
      <c r="DK2024"/>
      <c r="DL2024"/>
      <c r="DM2024"/>
      <c r="DN2024"/>
      <c r="DO2024"/>
      <c r="DP2024"/>
      <c r="DQ2024"/>
      <c r="DR2024"/>
      <c r="DS2024"/>
      <c r="DT2024"/>
      <c r="DU2024"/>
      <c r="DV2024"/>
      <c r="DW2024"/>
      <c r="DX2024"/>
      <c r="DY2024"/>
      <c r="DZ2024"/>
      <c r="EA2024"/>
      <c r="EB2024"/>
      <c r="EC2024"/>
      <c r="ED2024"/>
      <c r="EE2024"/>
      <c r="EF2024"/>
      <c r="EG2024"/>
      <c r="EH2024"/>
      <c r="EI2024"/>
      <c r="EJ2024"/>
      <c r="EK2024"/>
      <c r="EL2024"/>
      <c r="EM2024"/>
      <c r="EN2024"/>
      <c r="EO2024"/>
      <c r="EP2024"/>
      <c r="EQ2024"/>
      <c r="ER2024"/>
      <c r="ES2024"/>
    </row>
    <row r="2025" spans="1:149">
      <c r="A2025"/>
      <c r="B2025"/>
      <c r="C2025"/>
      <c r="D2025"/>
      <c r="E2025"/>
      <c r="F2025"/>
      <c r="G2025"/>
      <c r="H2025"/>
      <c r="I2025"/>
      <c r="J2025"/>
      <c r="K2025"/>
      <c r="L2025"/>
      <c r="M2025"/>
      <c r="N2025"/>
      <c r="O2025"/>
      <c r="P2025"/>
      <c r="Q2025"/>
      <c r="R2025"/>
      <c r="S2025"/>
      <c r="T2025"/>
      <c r="U2025"/>
      <c r="V2025"/>
      <c r="W2025"/>
      <c r="X2025"/>
      <c r="Y2025"/>
      <c r="Z2025"/>
      <c r="AA2025"/>
      <c r="AB2025"/>
      <c r="AC2025"/>
      <c r="AD2025"/>
      <c r="AE2025"/>
      <c r="AF2025"/>
      <c r="AG2025"/>
      <c r="AH2025"/>
      <c r="AI2025"/>
      <c r="AJ2025"/>
      <c r="AK2025"/>
      <c r="AL2025"/>
      <c r="AM2025"/>
      <c r="AN2025"/>
      <c r="AO2025"/>
      <c r="AP2025"/>
      <c r="AQ2025"/>
      <c r="AR2025"/>
      <c r="AS2025"/>
      <c r="AT2025"/>
      <c r="AU2025"/>
      <c r="AV2025"/>
      <c r="AW2025"/>
      <c r="AX2025"/>
      <c r="AY2025"/>
      <c r="AZ2025"/>
      <c r="BA2025"/>
      <c r="BB2025"/>
      <c r="BC2025"/>
      <c r="BD2025"/>
      <c r="BE2025"/>
      <c r="BF2025"/>
      <c r="BG2025"/>
      <c r="BH2025"/>
      <c r="BI2025"/>
      <c r="BJ2025"/>
      <c r="BK2025"/>
      <c r="BL2025"/>
      <c r="BM2025"/>
      <c r="BN2025"/>
      <c r="BO2025"/>
      <c r="BP2025"/>
      <c r="BQ2025"/>
      <c r="BR2025"/>
      <c r="BS2025"/>
      <c r="BT2025"/>
      <c r="BU2025"/>
      <c r="BV2025"/>
      <c r="BW2025"/>
      <c r="BX2025"/>
      <c r="BY2025"/>
      <c r="BZ2025"/>
      <c r="CA2025"/>
      <c r="CB2025"/>
      <c r="CC2025"/>
      <c r="CD2025"/>
      <c r="CE2025"/>
      <c r="CF2025"/>
      <c r="CG2025"/>
      <c r="CH2025"/>
      <c r="CI2025"/>
      <c r="CJ2025"/>
      <c r="CK2025"/>
      <c r="CL2025"/>
      <c r="CM2025"/>
      <c r="CN2025"/>
      <c r="CO2025"/>
      <c r="CP2025"/>
      <c r="CQ2025"/>
      <c r="CR2025"/>
      <c r="CS2025"/>
      <c r="CT2025"/>
      <c r="CU2025"/>
      <c r="CV2025"/>
      <c r="CW2025"/>
      <c r="CX2025"/>
      <c r="CY2025"/>
      <c r="CZ2025"/>
      <c r="DA2025"/>
      <c r="DB2025"/>
      <c r="DC2025"/>
      <c r="DD2025"/>
      <c r="DE2025"/>
      <c r="DF2025"/>
      <c r="DG2025"/>
      <c r="DH2025"/>
      <c r="DI2025"/>
      <c r="DJ2025"/>
      <c r="DK2025"/>
      <c r="DL2025"/>
      <c r="DM2025"/>
      <c r="DN2025"/>
      <c r="DO2025"/>
      <c r="DP2025"/>
      <c r="DQ2025"/>
      <c r="DR2025"/>
      <c r="DS2025"/>
      <c r="DT2025"/>
      <c r="DU2025"/>
      <c r="DV2025"/>
      <c r="DW2025"/>
      <c r="DX2025"/>
      <c r="DY2025"/>
      <c r="DZ2025"/>
      <c r="EA2025"/>
      <c r="EB2025"/>
      <c r="EC2025"/>
      <c r="ED2025"/>
      <c r="EE2025"/>
      <c r="EF2025"/>
      <c r="EG2025"/>
      <c r="EH2025"/>
      <c r="EI2025"/>
      <c r="EJ2025"/>
      <c r="EK2025"/>
      <c r="EL2025"/>
      <c r="EM2025"/>
      <c r="EN2025"/>
      <c r="EO2025"/>
      <c r="EP2025"/>
      <c r="EQ2025"/>
      <c r="ER2025"/>
      <c r="ES2025"/>
    </row>
    <row r="2026" spans="1:149">
      <c r="A2026"/>
      <c r="B2026"/>
      <c r="C2026"/>
      <c r="D2026"/>
      <c r="E2026"/>
      <c r="F2026"/>
      <c r="G2026"/>
      <c r="H2026"/>
      <c r="I2026"/>
      <c r="J2026"/>
      <c r="K2026"/>
      <c r="L2026"/>
      <c r="M2026"/>
      <c r="N2026"/>
      <c r="O2026"/>
      <c r="P2026"/>
      <c r="Q2026"/>
      <c r="R2026"/>
      <c r="S2026"/>
      <c r="T2026"/>
      <c r="U2026"/>
      <c r="V2026"/>
      <c r="W2026"/>
      <c r="X2026"/>
      <c r="Y2026"/>
      <c r="Z2026"/>
      <c r="AA2026"/>
      <c r="AB2026"/>
      <c r="AC2026"/>
      <c r="AD2026"/>
      <c r="AE2026"/>
      <c r="AF2026"/>
      <c r="AG2026"/>
      <c r="AH2026"/>
      <c r="AI2026"/>
      <c r="AJ2026"/>
      <c r="AK2026"/>
      <c r="AL2026"/>
      <c r="AM2026"/>
      <c r="AN2026"/>
      <c r="AO2026"/>
      <c r="AP2026"/>
      <c r="AQ2026"/>
      <c r="AR2026"/>
      <c r="AS2026"/>
      <c r="AT2026"/>
      <c r="AU2026"/>
      <c r="AV2026"/>
      <c r="AW2026"/>
      <c r="AX2026"/>
      <c r="AY2026"/>
      <c r="AZ2026"/>
      <c r="BA2026"/>
      <c r="BB2026"/>
      <c r="BC2026"/>
      <c r="BD2026"/>
      <c r="BE2026"/>
      <c r="BF2026"/>
      <c r="BG2026"/>
      <c r="BH2026"/>
      <c r="BI2026"/>
      <c r="BJ2026"/>
      <c r="BK2026"/>
      <c r="BL2026"/>
      <c r="BM2026"/>
      <c r="BN2026"/>
      <c r="BO2026"/>
      <c r="BP2026"/>
      <c r="BQ2026"/>
      <c r="BR2026"/>
      <c r="BS2026"/>
      <c r="BT2026"/>
      <c r="BU2026"/>
      <c r="BV2026"/>
      <c r="BW2026"/>
      <c r="BX2026"/>
      <c r="BY2026"/>
      <c r="BZ2026"/>
      <c r="CA2026"/>
      <c r="CB2026"/>
      <c r="CC2026"/>
      <c r="CD2026"/>
      <c r="CE2026"/>
      <c r="CF2026"/>
      <c r="CG2026"/>
      <c r="CH2026"/>
      <c r="CI2026"/>
      <c r="CJ2026"/>
      <c r="CK2026"/>
      <c r="CL2026"/>
      <c r="CM2026"/>
      <c r="CN2026"/>
      <c r="CO2026"/>
      <c r="CP2026"/>
      <c r="CQ2026"/>
      <c r="CR2026"/>
      <c r="CS2026"/>
      <c r="CT2026"/>
      <c r="CU2026"/>
      <c r="CV2026"/>
      <c r="CW2026"/>
      <c r="CX2026"/>
      <c r="CY2026"/>
      <c r="CZ2026"/>
      <c r="DA2026"/>
      <c r="DB2026"/>
      <c r="DC2026"/>
      <c r="DD2026"/>
      <c r="DE2026"/>
      <c r="DF2026"/>
      <c r="DG2026"/>
      <c r="DH2026"/>
      <c r="DI2026"/>
      <c r="DJ2026"/>
      <c r="DK2026"/>
      <c r="DL2026"/>
      <c r="DM2026"/>
      <c r="DN2026"/>
      <c r="DO2026"/>
      <c r="DP2026"/>
      <c r="DQ2026"/>
      <c r="DR2026"/>
      <c r="DS2026"/>
      <c r="DT2026"/>
      <c r="DU2026"/>
      <c r="DV2026"/>
      <c r="DW2026"/>
      <c r="DX2026"/>
      <c r="DY2026"/>
      <c r="DZ2026"/>
      <c r="EA2026"/>
      <c r="EB2026"/>
      <c r="EC2026"/>
      <c r="ED2026"/>
      <c r="EE2026"/>
      <c r="EF2026"/>
      <c r="EG2026"/>
      <c r="EH2026"/>
      <c r="EI2026"/>
      <c r="EJ2026"/>
      <c r="EK2026"/>
      <c r="EL2026"/>
      <c r="EM2026"/>
      <c r="EN2026"/>
      <c r="EO2026"/>
      <c r="EP2026"/>
      <c r="EQ2026"/>
      <c r="ER2026"/>
      <c r="ES2026"/>
    </row>
    <row r="2027" spans="1:149">
      <c r="A2027"/>
      <c r="B2027"/>
      <c r="C2027"/>
      <c r="D2027"/>
      <c r="E2027"/>
      <c r="F2027"/>
      <c r="G2027"/>
      <c r="H2027"/>
      <c r="I2027"/>
      <c r="J2027"/>
      <c r="K2027"/>
      <c r="L2027"/>
      <c r="M2027"/>
      <c r="N2027"/>
      <c r="O2027"/>
      <c r="P2027"/>
      <c r="Q2027"/>
      <c r="R2027"/>
      <c r="S2027"/>
      <c r="T2027"/>
      <c r="U2027"/>
      <c r="V2027"/>
      <c r="W2027"/>
      <c r="X2027"/>
      <c r="Y2027"/>
      <c r="Z2027"/>
      <c r="AA2027"/>
      <c r="AB2027"/>
      <c r="AC2027"/>
      <c r="AD2027"/>
      <c r="AE2027"/>
      <c r="AF2027"/>
      <c r="AG2027"/>
      <c r="AH2027"/>
      <c r="AI2027"/>
      <c r="AJ2027"/>
      <c r="AK2027"/>
      <c r="AL2027"/>
      <c r="AM2027"/>
      <c r="AN2027"/>
      <c r="AO2027"/>
      <c r="AP2027"/>
      <c r="AQ2027"/>
      <c r="AR2027"/>
      <c r="AS2027"/>
      <c r="AT2027"/>
      <c r="AU2027"/>
      <c r="AV2027"/>
      <c r="AW2027"/>
      <c r="AX2027"/>
      <c r="AY2027"/>
      <c r="AZ2027"/>
      <c r="BA2027"/>
      <c r="BB2027"/>
      <c r="BC2027"/>
      <c r="BD2027"/>
      <c r="BE2027"/>
      <c r="BF2027"/>
      <c r="BG2027"/>
      <c r="BH2027"/>
      <c r="BI2027"/>
      <c r="BJ2027"/>
      <c r="BK2027"/>
      <c r="BL2027"/>
      <c r="BM2027"/>
      <c r="BN2027"/>
      <c r="BO2027"/>
      <c r="BP2027"/>
      <c r="BQ2027"/>
      <c r="BR2027"/>
      <c r="BS2027"/>
      <c r="BT2027"/>
      <c r="BU2027"/>
      <c r="BV2027"/>
      <c r="BW2027"/>
      <c r="BX2027"/>
      <c r="BY2027"/>
      <c r="BZ2027"/>
      <c r="CA2027"/>
      <c r="CB2027"/>
      <c r="CC2027"/>
      <c r="CD2027"/>
      <c r="CE2027"/>
      <c r="CF2027"/>
      <c r="CG2027"/>
      <c r="CH2027"/>
      <c r="CI2027"/>
      <c r="CJ2027"/>
      <c r="CK2027"/>
      <c r="CL2027"/>
      <c r="CM2027"/>
      <c r="CN2027"/>
      <c r="CO2027"/>
      <c r="CP2027"/>
      <c r="CQ2027"/>
      <c r="CR2027"/>
      <c r="CS2027"/>
      <c r="CT2027"/>
      <c r="CU2027"/>
      <c r="CV2027"/>
      <c r="CW2027"/>
      <c r="CX2027"/>
      <c r="CY2027"/>
      <c r="CZ2027"/>
      <c r="DA2027"/>
      <c r="DB2027"/>
      <c r="DC2027"/>
      <c r="DD2027"/>
      <c r="DE2027"/>
      <c r="DF2027"/>
      <c r="DG2027"/>
      <c r="DH2027"/>
      <c r="DI2027"/>
      <c r="DJ2027"/>
      <c r="DK2027"/>
      <c r="DL2027"/>
      <c r="DM2027"/>
      <c r="DN2027"/>
      <c r="DO2027"/>
      <c r="DP2027"/>
      <c r="DQ2027"/>
      <c r="DR2027"/>
      <c r="DS2027"/>
      <c r="DT2027"/>
      <c r="DU2027"/>
      <c r="DV2027"/>
      <c r="DW2027"/>
      <c r="DX2027"/>
      <c r="DY2027"/>
      <c r="DZ2027"/>
      <c r="EA2027"/>
      <c r="EB2027"/>
      <c r="EC2027"/>
      <c r="ED2027"/>
      <c r="EE2027"/>
      <c r="EF2027"/>
      <c r="EG2027"/>
      <c r="EH2027"/>
      <c r="EI2027"/>
      <c r="EJ2027"/>
      <c r="EK2027"/>
      <c r="EL2027"/>
      <c r="EM2027"/>
      <c r="EN2027"/>
      <c r="EO2027"/>
      <c r="EP2027"/>
      <c r="EQ2027"/>
      <c r="ER2027"/>
      <c r="ES2027"/>
    </row>
    <row r="2028" spans="1:149">
      <c r="A2028"/>
      <c r="B2028"/>
      <c r="C2028"/>
      <c r="D2028"/>
      <c r="E2028"/>
      <c r="F2028"/>
      <c r="G2028"/>
      <c r="H2028"/>
      <c r="I2028"/>
      <c r="J2028"/>
      <c r="K2028"/>
      <c r="L2028"/>
      <c r="M2028"/>
      <c r="N2028"/>
      <c r="O2028"/>
      <c r="P2028"/>
      <c r="Q2028"/>
      <c r="R2028"/>
      <c r="S2028"/>
      <c r="T2028"/>
      <c r="U2028"/>
      <c r="V2028"/>
      <c r="W2028"/>
      <c r="X2028"/>
      <c r="Y2028"/>
      <c r="Z2028"/>
      <c r="AA2028"/>
      <c r="AB2028"/>
      <c r="AC2028"/>
      <c r="AD2028"/>
      <c r="AE2028"/>
      <c r="AF2028"/>
      <c r="AG2028"/>
      <c r="AH2028"/>
      <c r="AI2028"/>
      <c r="AJ2028"/>
      <c r="AK2028"/>
      <c r="AL2028"/>
      <c r="AM2028"/>
      <c r="AN2028"/>
      <c r="AO2028"/>
      <c r="AP2028"/>
      <c r="AQ2028"/>
      <c r="AR2028"/>
      <c r="AS2028"/>
      <c r="AT2028"/>
      <c r="AU2028"/>
      <c r="AV2028"/>
      <c r="AW2028"/>
      <c r="AX2028"/>
      <c r="AY2028"/>
      <c r="AZ2028"/>
      <c r="BA2028"/>
      <c r="BB2028"/>
      <c r="BC2028"/>
      <c r="BD2028"/>
      <c r="BE2028"/>
      <c r="BF2028"/>
      <c r="BG2028"/>
      <c r="BH2028"/>
      <c r="BI2028"/>
      <c r="BJ2028"/>
      <c r="BK2028"/>
      <c r="BL2028"/>
      <c r="BM2028"/>
      <c r="BN2028"/>
      <c r="BO2028"/>
      <c r="BP2028"/>
      <c r="BQ2028"/>
      <c r="BR2028"/>
      <c r="BS2028"/>
      <c r="BT2028"/>
      <c r="BU2028"/>
      <c r="BV2028"/>
      <c r="BW2028"/>
      <c r="BX2028"/>
      <c r="BY2028"/>
      <c r="BZ2028"/>
      <c r="CA2028"/>
      <c r="CB2028"/>
      <c r="CC2028"/>
      <c r="CD2028"/>
      <c r="CE2028"/>
      <c r="CF2028"/>
      <c r="CG2028"/>
      <c r="CH2028"/>
      <c r="CI2028"/>
      <c r="CJ2028"/>
      <c r="CK2028"/>
      <c r="CL2028"/>
      <c r="CM2028"/>
      <c r="CN2028"/>
      <c r="CO2028"/>
      <c r="CP2028"/>
      <c r="CQ2028"/>
      <c r="CR2028"/>
      <c r="CS2028"/>
      <c r="CT2028"/>
      <c r="CU2028"/>
      <c r="CV2028"/>
      <c r="CW2028"/>
      <c r="CX2028"/>
      <c r="CY2028"/>
      <c r="CZ2028"/>
      <c r="DA2028"/>
      <c r="DB2028"/>
      <c r="DC2028"/>
      <c r="DD2028"/>
      <c r="DE2028"/>
      <c r="DF2028"/>
      <c r="DG2028"/>
      <c r="DH2028"/>
      <c r="DI2028"/>
      <c r="DJ2028"/>
      <c r="DK2028"/>
      <c r="DL2028"/>
      <c r="DM2028"/>
      <c r="DN2028"/>
      <c r="DO2028"/>
      <c r="DP2028"/>
      <c r="DQ2028"/>
      <c r="DR2028"/>
      <c r="DS2028"/>
      <c r="DT2028"/>
      <c r="DU2028"/>
      <c r="DV2028"/>
      <c r="DW2028"/>
      <c r="DX2028"/>
      <c r="DY2028"/>
      <c r="DZ2028"/>
      <c r="EA2028"/>
      <c r="EB2028"/>
      <c r="EC2028"/>
      <c r="ED2028"/>
      <c r="EE2028"/>
      <c r="EF2028"/>
      <c r="EG2028"/>
      <c r="EH2028"/>
      <c r="EI2028"/>
      <c r="EJ2028"/>
      <c r="EK2028"/>
      <c r="EL2028"/>
      <c r="EM2028"/>
      <c r="EN2028"/>
      <c r="EO2028"/>
      <c r="EP2028"/>
      <c r="EQ2028"/>
      <c r="ER2028"/>
      <c r="ES2028"/>
    </row>
    <row r="2029" spans="1:149">
      <c r="A2029"/>
      <c r="B2029"/>
      <c r="C2029"/>
      <c r="D2029"/>
      <c r="E2029"/>
      <c r="F2029"/>
      <c r="G2029"/>
      <c r="H2029"/>
      <c r="I2029"/>
      <c r="J2029"/>
      <c r="K2029"/>
      <c r="L2029"/>
      <c r="M2029"/>
      <c r="N2029"/>
      <c r="O2029"/>
      <c r="P2029"/>
      <c r="Q2029"/>
      <c r="R2029"/>
      <c r="S2029"/>
      <c r="T2029"/>
      <c r="U2029"/>
      <c r="V2029"/>
      <c r="W2029"/>
      <c r="X2029"/>
      <c r="Y2029"/>
      <c r="Z2029"/>
      <c r="AA2029"/>
      <c r="AB2029"/>
      <c r="AC2029"/>
      <c r="AD2029"/>
      <c r="AE2029"/>
      <c r="AF2029"/>
      <c r="AG2029"/>
      <c r="AH2029"/>
      <c r="AI2029"/>
      <c r="AJ2029"/>
      <c r="AK2029"/>
      <c r="AL2029"/>
      <c r="AM2029"/>
      <c r="AN2029"/>
      <c r="AO2029"/>
      <c r="AP2029"/>
      <c r="AQ2029"/>
      <c r="AR2029"/>
      <c r="AS2029"/>
      <c r="AT2029"/>
      <c r="AU2029"/>
      <c r="AV2029"/>
      <c r="AW2029"/>
      <c r="AX2029"/>
      <c r="AY2029"/>
      <c r="AZ2029"/>
      <c r="BA2029"/>
      <c r="BB2029"/>
      <c r="BC2029"/>
      <c r="BD2029"/>
      <c r="BE2029"/>
      <c r="BF2029"/>
      <c r="BG2029"/>
      <c r="BH2029"/>
      <c r="BI2029"/>
      <c r="BJ2029"/>
      <c r="BK2029"/>
      <c r="BL2029"/>
      <c r="BM2029"/>
      <c r="BN2029"/>
      <c r="BO2029"/>
      <c r="BP2029"/>
      <c r="BQ2029"/>
      <c r="BR2029"/>
      <c r="BS2029"/>
      <c r="BT2029"/>
      <c r="BU2029"/>
      <c r="BV2029"/>
      <c r="BW2029"/>
      <c r="BX2029"/>
      <c r="BY2029"/>
      <c r="BZ2029"/>
      <c r="CA2029"/>
      <c r="CB2029"/>
      <c r="CC2029"/>
      <c r="CD2029"/>
      <c r="CE2029"/>
      <c r="CF2029"/>
      <c r="CG2029"/>
      <c r="CH2029"/>
      <c r="CI2029"/>
      <c r="CJ2029"/>
      <c r="CK2029"/>
      <c r="CL2029"/>
      <c r="CM2029"/>
      <c r="CN2029"/>
      <c r="CO2029"/>
      <c r="CP2029"/>
      <c r="CQ2029"/>
      <c r="CR2029"/>
      <c r="CS2029"/>
      <c r="CT2029"/>
      <c r="CU2029"/>
      <c r="CV2029"/>
      <c r="CW2029"/>
      <c r="CX2029"/>
      <c r="CY2029"/>
      <c r="CZ2029"/>
      <c r="DA2029"/>
      <c r="DB2029"/>
      <c r="DC2029"/>
      <c r="DD2029"/>
      <c r="DE2029"/>
      <c r="DF2029"/>
      <c r="DG2029"/>
      <c r="DH2029"/>
      <c r="DI2029"/>
      <c r="DJ2029"/>
      <c r="DK2029"/>
      <c r="DL2029"/>
      <c r="DM2029"/>
      <c r="DN2029"/>
      <c r="DO2029"/>
      <c r="DP2029"/>
      <c r="DQ2029"/>
      <c r="DR2029"/>
      <c r="DS2029"/>
      <c r="DT2029"/>
      <c r="DU2029"/>
      <c r="DV2029"/>
      <c r="DW2029"/>
      <c r="DX2029"/>
      <c r="DY2029"/>
      <c r="DZ2029"/>
      <c r="EA2029"/>
      <c r="EB2029"/>
      <c r="EC2029"/>
      <c r="ED2029"/>
      <c r="EE2029"/>
      <c r="EF2029"/>
      <c r="EG2029"/>
      <c r="EH2029"/>
      <c r="EI2029"/>
      <c r="EJ2029"/>
      <c r="EK2029"/>
      <c r="EL2029"/>
      <c r="EM2029"/>
      <c r="EN2029"/>
      <c r="EO2029"/>
      <c r="EP2029"/>
      <c r="EQ2029"/>
      <c r="ER2029"/>
      <c r="ES2029"/>
    </row>
    <row r="2030" spans="1:149">
      <c r="A2030"/>
      <c r="B2030"/>
      <c r="C2030"/>
      <c r="D2030"/>
      <c r="E2030"/>
      <c r="F2030"/>
      <c r="G2030"/>
      <c r="H2030"/>
      <c r="I2030"/>
      <c r="J2030"/>
      <c r="K2030"/>
      <c r="L2030"/>
      <c r="M2030"/>
      <c r="N2030"/>
      <c r="O2030"/>
      <c r="P2030"/>
      <c r="Q2030"/>
      <c r="R2030"/>
      <c r="S2030"/>
      <c r="T2030"/>
      <c r="U2030"/>
      <c r="V2030"/>
      <c r="W2030"/>
      <c r="X2030"/>
      <c r="Y2030"/>
      <c r="Z2030"/>
      <c r="AA2030"/>
      <c r="AB2030"/>
      <c r="AC2030"/>
      <c r="AD2030"/>
      <c r="AE2030"/>
      <c r="AF2030"/>
      <c r="AG2030"/>
      <c r="AH2030"/>
      <c r="AI2030"/>
      <c r="AJ2030"/>
      <c r="AK2030"/>
      <c r="AL2030"/>
      <c r="AM2030"/>
      <c r="AN2030"/>
      <c r="AO2030"/>
      <c r="AP2030"/>
      <c r="AQ2030"/>
      <c r="AR2030"/>
      <c r="AS2030"/>
      <c r="AT2030"/>
      <c r="AU2030"/>
      <c r="AV2030"/>
      <c r="AW2030"/>
      <c r="AX2030"/>
      <c r="AY2030"/>
      <c r="AZ2030"/>
      <c r="BA2030"/>
      <c r="BB2030"/>
      <c r="BC2030"/>
      <c r="BD2030"/>
      <c r="BE2030"/>
      <c r="BF2030"/>
      <c r="BG2030"/>
      <c r="BH2030"/>
      <c r="BI2030"/>
      <c r="BJ2030"/>
      <c r="BK2030"/>
      <c r="BL2030"/>
      <c r="BM2030"/>
      <c r="BN2030"/>
      <c r="BO2030"/>
      <c r="BP2030"/>
      <c r="BQ2030"/>
      <c r="BR2030"/>
      <c r="BS2030"/>
      <c r="BT2030"/>
      <c r="BU2030"/>
      <c r="BV2030"/>
      <c r="BW2030"/>
      <c r="BX2030"/>
      <c r="BY2030"/>
      <c r="BZ2030"/>
      <c r="CA2030"/>
      <c r="CB2030"/>
      <c r="CC2030"/>
      <c r="CD2030"/>
      <c r="CE2030"/>
      <c r="CF2030"/>
      <c r="CG2030"/>
      <c r="CH2030"/>
      <c r="CI2030"/>
      <c r="CJ2030"/>
      <c r="CK2030"/>
      <c r="CL2030"/>
      <c r="CM2030"/>
      <c r="CN2030"/>
      <c r="CO2030"/>
      <c r="CP2030"/>
      <c r="CQ2030"/>
      <c r="CR2030"/>
      <c r="CS2030"/>
      <c r="CT2030"/>
      <c r="CU2030"/>
      <c r="CV2030"/>
      <c r="CW2030"/>
      <c r="CX2030"/>
      <c r="CY2030"/>
      <c r="CZ2030"/>
      <c r="DA2030"/>
      <c r="DB2030"/>
      <c r="DC2030"/>
      <c r="DD2030"/>
      <c r="DE2030"/>
      <c r="DF2030"/>
      <c r="DG2030"/>
      <c r="DH2030"/>
      <c r="DI2030"/>
      <c r="DJ2030"/>
      <c r="DK2030"/>
      <c r="DL2030"/>
      <c r="DM2030"/>
      <c r="DN2030"/>
      <c r="DO2030"/>
      <c r="DP2030"/>
      <c r="DQ2030"/>
      <c r="DR2030"/>
      <c r="DS2030"/>
      <c r="DT2030"/>
      <c r="DU2030"/>
      <c r="DV2030"/>
      <c r="DW2030"/>
      <c r="DX2030"/>
      <c r="DY2030"/>
      <c r="DZ2030"/>
      <c r="EA2030"/>
      <c r="EB2030"/>
      <c r="EC2030"/>
      <c r="ED2030"/>
      <c r="EE2030"/>
      <c r="EF2030"/>
      <c r="EG2030"/>
      <c r="EH2030"/>
      <c r="EI2030"/>
      <c r="EJ2030"/>
      <c r="EK2030"/>
      <c r="EL2030"/>
      <c r="EM2030"/>
      <c r="EN2030"/>
      <c r="EO2030"/>
      <c r="EP2030"/>
      <c r="EQ2030"/>
      <c r="ER2030"/>
      <c r="ES2030"/>
    </row>
    <row r="2031" spans="1:149">
      <c r="A2031"/>
      <c r="B2031"/>
      <c r="C2031"/>
      <c r="D2031"/>
      <c r="E2031"/>
      <c r="F2031"/>
      <c r="G2031"/>
      <c r="H2031"/>
      <c r="I2031"/>
      <c r="J2031"/>
      <c r="K2031"/>
      <c r="L2031"/>
      <c r="M2031"/>
      <c r="N2031"/>
      <c r="O2031"/>
      <c r="P2031"/>
      <c r="Q2031"/>
      <c r="R2031"/>
      <c r="S2031"/>
      <c r="T2031"/>
      <c r="U2031"/>
      <c r="V2031"/>
      <c r="W2031"/>
      <c r="X2031"/>
      <c r="Y2031"/>
      <c r="Z2031"/>
      <c r="AA2031"/>
      <c r="AB2031"/>
      <c r="AC2031"/>
      <c r="AD2031"/>
      <c r="AE2031"/>
      <c r="AF2031"/>
      <c r="AG2031"/>
      <c r="AH2031"/>
      <c r="AI2031"/>
      <c r="AJ2031"/>
      <c r="AK2031"/>
      <c r="AL2031"/>
      <c r="AM2031"/>
      <c r="AN2031"/>
      <c r="AO2031"/>
      <c r="AP2031"/>
      <c r="AQ2031"/>
      <c r="AR2031"/>
      <c r="AS2031"/>
      <c r="AT2031"/>
      <c r="AU2031"/>
      <c r="AV2031"/>
      <c r="AW2031"/>
      <c r="AX2031"/>
      <c r="AY2031"/>
      <c r="AZ2031"/>
      <c r="BA2031"/>
      <c r="BB2031"/>
      <c r="BC2031"/>
      <c r="BD2031"/>
      <c r="BE2031"/>
      <c r="BF2031"/>
      <c r="BG2031"/>
      <c r="BH2031"/>
      <c r="BI2031"/>
      <c r="BJ2031"/>
      <c r="BK2031"/>
      <c r="BL2031"/>
      <c r="BM2031"/>
      <c r="BN2031"/>
      <c r="BO2031"/>
      <c r="BP2031"/>
      <c r="BQ2031"/>
      <c r="BR2031"/>
      <c r="BS2031"/>
      <c r="BT2031"/>
      <c r="BU2031"/>
      <c r="BV2031"/>
      <c r="BW2031"/>
      <c r="BX2031"/>
      <c r="BY2031"/>
      <c r="BZ2031"/>
      <c r="CA2031"/>
      <c r="CB2031"/>
      <c r="CC2031"/>
      <c r="CD2031"/>
      <c r="CE2031"/>
      <c r="CF2031"/>
      <c r="CG2031"/>
      <c r="CH2031"/>
      <c r="CI2031"/>
      <c r="CJ2031"/>
      <c r="CK2031"/>
      <c r="CL2031"/>
      <c r="CM2031"/>
      <c r="CN2031"/>
      <c r="CO2031"/>
      <c r="CP2031"/>
      <c r="CQ2031"/>
      <c r="CR2031"/>
      <c r="CS2031"/>
      <c r="CT2031"/>
      <c r="CU2031"/>
      <c r="CV2031"/>
      <c r="CW2031"/>
      <c r="CX2031"/>
      <c r="CY2031"/>
      <c r="CZ2031"/>
      <c r="DA2031"/>
      <c r="DB2031"/>
      <c r="DC2031"/>
      <c r="DD2031"/>
      <c r="DE2031"/>
      <c r="DF2031"/>
      <c r="DG2031"/>
      <c r="DH2031"/>
      <c r="DI2031"/>
      <c r="DJ2031"/>
      <c r="DK2031"/>
      <c r="DL2031"/>
      <c r="DM2031"/>
      <c r="DN2031"/>
      <c r="DO2031"/>
      <c r="DP2031"/>
      <c r="DQ2031"/>
      <c r="DR2031"/>
      <c r="DS2031"/>
      <c r="DT2031"/>
      <c r="DU2031"/>
      <c r="DV2031"/>
      <c r="DW2031"/>
      <c r="DX2031"/>
      <c r="DY2031"/>
      <c r="DZ2031"/>
      <c r="EA2031"/>
      <c r="EB2031"/>
      <c r="EC2031"/>
      <c r="ED2031"/>
      <c r="EE2031"/>
      <c r="EF2031"/>
      <c r="EG2031"/>
      <c r="EH2031"/>
      <c r="EI2031"/>
      <c r="EJ2031"/>
      <c r="EK2031"/>
      <c r="EL2031"/>
      <c r="EM2031"/>
      <c r="EN2031"/>
      <c r="EO2031"/>
      <c r="EP2031"/>
      <c r="EQ2031"/>
      <c r="ER2031"/>
      <c r="ES2031"/>
    </row>
    <row r="2032" spans="1:149">
      <c r="A2032"/>
      <c r="B2032"/>
      <c r="C2032"/>
      <c r="D2032"/>
      <c r="E2032"/>
      <c r="F2032"/>
      <c r="G2032"/>
      <c r="H2032"/>
      <c r="I2032"/>
      <c r="J2032"/>
      <c r="K2032"/>
      <c r="L2032"/>
      <c r="M2032"/>
      <c r="N2032"/>
      <c r="O2032"/>
      <c r="P2032"/>
      <c r="Q2032"/>
      <c r="R2032"/>
      <c r="S2032"/>
      <c r="T2032"/>
      <c r="U2032"/>
      <c r="V2032"/>
      <c r="W2032"/>
      <c r="X2032"/>
      <c r="Y2032"/>
      <c r="Z2032"/>
      <c r="AA2032"/>
      <c r="AB2032"/>
      <c r="AC2032"/>
      <c r="AD2032"/>
      <c r="AE2032"/>
      <c r="AF2032"/>
      <c r="AG2032"/>
      <c r="AH2032"/>
      <c r="AI2032"/>
      <c r="AJ2032"/>
      <c r="AK2032"/>
      <c r="AL2032"/>
      <c r="AM2032"/>
      <c r="AN2032"/>
      <c r="AO2032"/>
      <c r="AP2032"/>
      <c r="AQ2032"/>
      <c r="AR2032"/>
      <c r="AS2032"/>
      <c r="AT2032"/>
      <c r="AU2032"/>
      <c r="AV2032"/>
      <c r="AW2032"/>
      <c r="AX2032"/>
      <c r="AY2032"/>
      <c r="AZ2032"/>
      <c r="BA2032"/>
      <c r="BB2032"/>
      <c r="BC2032"/>
      <c r="BD2032"/>
      <c r="BE2032"/>
      <c r="BF2032"/>
      <c r="BG2032"/>
      <c r="BH2032"/>
      <c r="BI2032"/>
      <c r="BJ2032"/>
      <c r="BK2032"/>
      <c r="BL2032"/>
      <c r="BM2032"/>
      <c r="BN2032"/>
      <c r="BO2032"/>
      <c r="BP2032"/>
      <c r="BQ2032"/>
      <c r="BR2032"/>
      <c r="BS2032"/>
      <c r="BT2032"/>
      <c r="BU2032"/>
      <c r="BV2032"/>
      <c r="BW2032"/>
      <c r="BX2032"/>
      <c r="BY2032"/>
      <c r="BZ2032"/>
      <c r="CA2032"/>
      <c r="CB2032"/>
      <c r="CC2032"/>
      <c r="CD2032"/>
      <c r="CE2032"/>
      <c r="CF2032"/>
      <c r="CG2032"/>
      <c r="CH2032"/>
      <c r="CI2032"/>
      <c r="CJ2032"/>
      <c r="CK2032"/>
      <c r="CL2032"/>
      <c r="CM2032"/>
      <c r="CN2032"/>
      <c r="CO2032"/>
      <c r="CP2032"/>
      <c r="CQ2032"/>
      <c r="CR2032"/>
      <c r="CS2032"/>
      <c r="CT2032"/>
      <c r="CU2032"/>
      <c r="CV2032"/>
      <c r="CW2032"/>
      <c r="CX2032"/>
      <c r="CY2032"/>
      <c r="CZ2032"/>
      <c r="DA2032"/>
      <c r="DB2032"/>
      <c r="DC2032"/>
      <c r="DD2032"/>
      <c r="DE2032"/>
      <c r="DF2032"/>
      <c r="DG2032"/>
      <c r="DH2032"/>
      <c r="DI2032"/>
      <c r="DJ2032"/>
      <c r="DK2032"/>
      <c r="DL2032"/>
      <c r="DM2032"/>
      <c r="DN2032"/>
      <c r="DO2032"/>
      <c r="DP2032"/>
      <c r="DQ2032"/>
      <c r="DR2032"/>
      <c r="DS2032"/>
      <c r="DT2032"/>
      <c r="DU2032"/>
      <c r="DV2032"/>
      <c r="DW2032"/>
      <c r="DX2032"/>
      <c r="DY2032"/>
      <c r="DZ2032"/>
      <c r="EA2032"/>
      <c r="EB2032"/>
      <c r="EC2032"/>
      <c r="ED2032"/>
      <c r="EE2032"/>
      <c r="EF2032"/>
      <c r="EG2032"/>
      <c r="EH2032"/>
      <c r="EI2032"/>
      <c r="EJ2032"/>
      <c r="EK2032"/>
      <c r="EL2032"/>
      <c r="EM2032"/>
      <c r="EN2032"/>
      <c r="EO2032"/>
      <c r="EP2032"/>
      <c r="EQ2032"/>
      <c r="ER2032"/>
      <c r="ES2032"/>
    </row>
    <row r="2033" spans="1:149">
      <c r="A2033"/>
      <c r="B2033"/>
      <c r="C2033"/>
      <c r="D2033"/>
      <c r="E2033"/>
      <c r="F2033"/>
      <c r="G2033"/>
      <c r="H2033"/>
      <c r="I2033"/>
      <c r="J2033"/>
      <c r="K2033"/>
      <c r="L2033"/>
      <c r="M2033"/>
      <c r="N2033"/>
      <c r="O2033"/>
      <c r="P2033"/>
      <c r="Q2033"/>
      <c r="R2033"/>
      <c r="S2033"/>
      <c r="T2033"/>
      <c r="U2033"/>
      <c r="V2033"/>
      <c r="W2033"/>
      <c r="X2033"/>
      <c r="Y2033"/>
      <c r="Z2033"/>
      <c r="AA2033"/>
      <c r="AB2033"/>
      <c r="AC2033"/>
      <c r="AD2033"/>
      <c r="AE2033"/>
      <c r="AF2033"/>
      <c r="AG2033"/>
      <c r="AH2033"/>
      <c r="AI2033"/>
      <c r="AJ2033"/>
      <c r="AK2033"/>
      <c r="AL2033"/>
      <c r="AM2033"/>
      <c r="AN2033"/>
      <c r="AO2033"/>
      <c r="AP2033"/>
      <c r="AQ2033"/>
      <c r="AR2033"/>
      <c r="AS2033"/>
      <c r="AT2033"/>
      <c r="AU2033"/>
      <c r="AV2033"/>
      <c r="AW2033"/>
      <c r="AX2033"/>
      <c r="AY2033"/>
      <c r="AZ2033"/>
      <c r="BA2033"/>
      <c r="BB2033"/>
      <c r="BC2033"/>
      <c r="BD2033"/>
      <c r="BE2033"/>
      <c r="BF2033"/>
      <c r="BG2033"/>
      <c r="BH2033"/>
      <c r="BI2033"/>
      <c r="BJ2033"/>
      <c r="BK2033"/>
      <c r="BL2033"/>
      <c r="BM2033"/>
      <c r="BN2033"/>
      <c r="BO2033"/>
      <c r="BP2033"/>
      <c r="BQ2033"/>
      <c r="BR2033"/>
      <c r="BS2033"/>
      <c r="BT2033"/>
      <c r="BU2033"/>
      <c r="BV2033"/>
      <c r="BW2033"/>
      <c r="BX2033"/>
      <c r="BY2033"/>
      <c r="BZ2033"/>
      <c r="CA2033"/>
      <c r="CB2033"/>
      <c r="CC2033"/>
      <c r="CD2033"/>
      <c r="CE2033"/>
      <c r="CF2033"/>
      <c r="CG2033"/>
      <c r="CH2033"/>
      <c r="CI2033"/>
      <c r="CJ2033"/>
      <c r="CK2033"/>
      <c r="CL2033"/>
      <c r="CM2033"/>
      <c r="CN2033"/>
      <c r="CO2033"/>
      <c r="CP2033"/>
      <c r="CQ2033"/>
      <c r="CR2033"/>
      <c r="CS2033"/>
      <c r="CT2033"/>
      <c r="CU2033"/>
      <c r="CV2033"/>
      <c r="CW2033"/>
      <c r="CX2033"/>
      <c r="CY2033"/>
      <c r="CZ2033"/>
      <c r="DA2033"/>
      <c r="DB2033"/>
      <c r="DC2033"/>
      <c r="DD2033"/>
      <c r="DE2033"/>
      <c r="DF2033"/>
      <c r="DG2033"/>
      <c r="DH2033"/>
      <c r="DI2033"/>
      <c r="DJ2033"/>
      <c r="DK2033"/>
      <c r="DL2033"/>
      <c r="DM2033"/>
      <c r="DN2033"/>
      <c r="DO2033"/>
      <c r="DP2033"/>
      <c r="DQ2033"/>
      <c r="DR2033"/>
      <c r="DS2033"/>
      <c r="DT2033"/>
      <c r="DU2033"/>
      <c r="DV2033"/>
      <c r="DW2033"/>
      <c r="DX2033"/>
      <c r="DY2033"/>
      <c r="DZ2033"/>
      <c r="EA2033"/>
      <c r="EB2033"/>
      <c r="EC2033"/>
      <c r="ED2033"/>
      <c r="EE2033"/>
      <c r="EF2033"/>
      <c r="EG2033"/>
      <c r="EH2033"/>
      <c r="EI2033"/>
      <c r="EJ2033"/>
      <c r="EK2033"/>
      <c r="EL2033"/>
      <c r="EM2033"/>
      <c r="EN2033"/>
      <c r="EO2033"/>
      <c r="EP2033"/>
      <c r="EQ2033"/>
      <c r="ER2033"/>
      <c r="ES2033"/>
    </row>
    <row r="2034" spans="1:149">
      <c r="A2034"/>
      <c r="B2034"/>
      <c r="C2034"/>
      <c r="D2034"/>
      <c r="E2034"/>
      <c r="F2034"/>
      <c r="G2034"/>
      <c r="H2034"/>
      <c r="I2034"/>
      <c r="J2034"/>
      <c r="K2034"/>
      <c r="L2034"/>
      <c r="M2034"/>
      <c r="N2034"/>
      <c r="O2034"/>
      <c r="P2034"/>
      <c r="Q2034"/>
      <c r="R2034"/>
      <c r="S2034"/>
      <c r="T2034"/>
      <c r="U2034"/>
      <c r="V2034"/>
      <c r="W2034"/>
      <c r="X2034"/>
      <c r="Y2034"/>
      <c r="Z2034"/>
      <c r="AA2034"/>
      <c r="AB2034"/>
      <c r="AC2034"/>
      <c r="AD2034"/>
      <c r="AE2034"/>
      <c r="AF2034"/>
      <c r="AG2034"/>
      <c r="AH2034"/>
      <c r="AI2034"/>
      <c r="AJ2034"/>
      <c r="AK2034"/>
      <c r="AL2034"/>
      <c r="AM2034"/>
      <c r="AN2034"/>
      <c r="AO2034"/>
      <c r="AP2034"/>
      <c r="AQ2034"/>
      <c r="AR2034"/>
      <c r="AS2034"/>
      <c r="AT2034"/>
      <c r="AU2034"/>
      <c r="AV2034"/>
      <c r="AW2034"/>
      <c r="AX2034"/>
      <c r="AY2034"/>
      <c r="AZ2034"/>
      <c r="BA2034"/>
      <c r="BB2034"/>
      <c r="BC2034"/>
      <c r="BD2034"/>
      <c r="BE2034"/>
      <c r="BF2034"/>
      <c r="BG2034"/>
      <c r="BH2034"/>
      <c r="BI2034"/>
      <c r="BJ2034"/>
      <c r="BK2034"/>
      <c r="BL2034"/>
      <c r="BM2034"/>
      <c r="BN2034"/>
      <c r="BO2034"/>
      <c r="BP2034"/>
      <c r="BQ2034"/>
      <c r="BR2034"/>
      <c r="BS2034"/>
      <c r="BT2034"/>
      <c r="BU2034"/>
      <c r="BV2034"/>
      <c r="BW2034"/>
      <c r="BX2034"/>
      <c r="BY2034"/>
      <c r="BZ2034"/>
      <c r="CA2034"/>
      <c r="CB2034"/>
      <c r="CC2034"/>
      <c r="CD2034"/>
      <c r="CE2034"/>
      <c r="CF2034"/>
      <c r="CG2034"/>
      <c r="CH2034"/>
      <c r="CI2034"/>
      <c r="CJ2034"/>
      <c r="CK2034"/>
      <c r="CL2034"/>
      <c r="CM2034"/>
      <c r="CN2034"/>
      <c r="CO2034"/>
      <c r="CP2034"/>
      <c r="CQ2034"/>
      <c r="CR2034"/>
      <c r="CS2034"/>
      <c r="CT2034"/>
      <c r="CU2034"/>
      <c r="CV2034"/>
      <c r="CW2034"/>
      <c r="CX2034"/>
      <c r="CY2034"/>
      <c r="CZ2034"/>
      <c r="DA2034"/>
      <c r="DB2034"/>
      <c r="DC2034"/>
      <c r="DD2034"/>
      <c r="DE2034"/>
      <c r="DF2034"/>
      <c r="DG2034"/>
      <c r="DH2034"/>
      <c r="DI2034"/>
      <c r="DJ2034"/>
      <c r="DK2034"/>
      <c r="DL2034"/>
      <c r="DM2034"/>
      <c r="DN2034"/>
      <c r="DO2034"/>
      <c r="DP2034"/>
      <c r="DQ2034"/>
      <c r="DR2034"/>
      <c r="DS2034"/>
      <c r="DT2034"/>
      <c r="DU2034"/>
      <c r="DV2034"/>
      <c r="DW2034"/>
      <c r="DX2034"/>
      <c r="DY2034"/>
      <c r="DZ2034"/>
      <c r="EA2034"/>
      <c r="EB2034"/>
      <c r="EC2034"/>
      <c r="ED2034"/>
      <c r="EE2034"/>
      <c r="EF2034"/>
      <c r="EG2034"/>
      <c r="EH2034"/>
      <c r="EI2034"/>
      <c r="EJ2034"/>
      <c r="EK2034"/>
      <c r="EL2034"/>
      <c r="EM2034"/>
      <c r="EN2034"/>
      <c r="EO2034"/>
      <c r="EP2034"/>
      <c r="EQ2034"/>
      <c r="ER2034"/>
      <c r="ES2034"/>
    </row>
    <row r="2035" spans="1:149">
      <c r="A2035"/>
      <c r="B2035"/>
      <c r="C2035"/>
      <c r="D2035"/>
      <c r="E2035"/>
      <c r="F2035"/>
      <c r="G2035"/>
      <c r="H2035"/>
      <c r="I2035"/>
      <c r="J2035"/>
      <c r="K2035"/>
      <c r="L2035"/>
      <c r="M2035"/>
      <c r="N2035"/>
      <c r="O2035"/>
      <c r="P2035"/>
      <c r="Q2035"/>
      <c r="R2035"/>
      <c r="S2035"/>
      <c r="T2035"/>
      <c r="U2035"/>
      <c r="V2035"/>
      <c r="W2035"/>
      <c r="X2035"/>
      <c r="Y2035"/>
      <c r="Z2035"/>
      <c r="AA2035"/>
      <c r="AB2035"/>
      <c r="AC2035"/>
      <c r="AD2035"/>
      <c r="AE2035"/>
      <c r="AF2035"/>
      <c r="AG2035"/>
      <c r="AH2035"/>
      <c r="AI2035"/>
      <c r="AJ2035"/>
      <c r="AK2035"/>
      <c r="AL2035"/>
      <c r="AM2035"/>
      <c r="AN2035"/>
      <c r="AO2035"/>
      <c r="AP2035"/>
      <c r="AQ2035"/>
      <c r="AR2035"/>
      <c r="AS2035"/>
      <c r="AT2035"/>
      <c r="AU2035"/>
      <c r="AV2035"/>
      <c r="AW2035"/>
      <c r="AX2035"/>
      <c r="AY2035"/>
      <c r="AZ2035"/>
      <c r="BA2035"/>
      <c r="BB2035"/>
      <c r="BC2035"/>
      <c r="BD2035"/>
      <c r="BE2035"/>
      <c r="BF2035"/>
      <c r="BG2035"/>
      <c r="BH2035"/>
      <c r="BI2035"/>
      <c r="BJ2035"/>
      <c r="BK2035"/>
      <c r="BL2035"/>
      <c r="BM2035"/>
      <c r="BN2035"/>
      <c r="BO2035"/>
      <c r="BP2035"/>
      <c r="BQ2035"/>
      <c r="BR2035"/>
      <c r="BS2035"/>
      <c r="BT2035"/>
      <c r="BU2035"/>
      <c r="BV2035"/>
      <c r="BW2035"/>
      <c r="BX2035"/>
      <c r="BY2035"/>
      <c r="BZ2035"/>
      <c r="CA2035"/>
      <c r="CB2035"/>
      <c r="CC2035"/>
      <c r="CD2035"/>
      <c r="CE2035"/>
      <c r="CF2035"/>
      <c r="CG2035"/>
      <c r="CH2035"/>
      <c r="CI2035"/>
      <c r="CJ2035"/>
      <c r="CK2035"/>
      <c r="CL2035"/>
      <c r="CM2035"/>
      <c r="CN2035"/>
      <c r="CO2035"/>
      <c r="CP2035"/>
      <c r="CQ2035"/>
      <c r="CR2035"/>
      <c r="CS2035"/>
      <c r="CT2035"/>
      <c r="CU2035"/>
      <c r="CV2035"/>
      <c r="CW2035"/>
      <c r="CX2035"/>
      <c r="CY2035"/>
      <c r="CZ2035"/>
      <c r="DA2035"/>
      <c r="DB2035"/>
      <c r="DC2035"/>
      <c r="DD2035"/>
      <c r="DE2035"/>
      <c r="DF2035"/>
      <c r="DG2035"/>
      <c r="DH2035"/>
      <c r="DI2035"/>
      <c r="DJ2035"/>
      <c r="DK2035"/>
      <c r="DL2035"/>
      <c r="DM2035"/>
      <c r="DN2035"/>
      <c r="DO2035"/>
      <c r="DP2035"/>
      <c r="DQ2035"/>
      <c r="DR2035"/>
      <c r="DS2035"/>
      <c r="DT2035"/>
      <c r="DU2035"/>
      <c r="DV2035"/>
      <c r="DW2035"/>
      <c r="DX2035"/>
      <c r="DY2035"/>
      <c r="DZ2035"/>
      <c r="EA2035"/>
      <c r="EB2035"/>
      <c r="EC2035"/>
      <c r="ED2035"/>
      <c r="EE2035"/>
      <c r="EF2035"/>
      <c r="EG2035"/>
      <c r="EH2035"/>
      <c r="EI2035"/>
      <c r="EJ2035"/>
      <c r="EK2035"/>
      <c r="EL2035"/>
      <c r="EM2035"/>
      <c r="EN2035"/>
      <c r="EO2035"/>
      <c r="EP2035"/>
      <c r="EQ2035"/>
      <c r="ER2035"/>
      <c r="ES2035"/>
    </row>
    <row r="2036" spans="1:149">
      <c r="A2036"/>
      <c r="B2036"/>
      <c r="C2036"/>
      <c r="D2036"/>
      <c r="E2036"/>
      <c r="F2036"/>
      <c r="G2036"/>
      <c r="H2036"/>
      <c r="I2036"/>
      <c r="J2036"/>
      <c r="K2036"/>
      <c r="L2036"/>
      <c r="M2036"/>
      <c r="N2036"/>
      <c r="O2036"/>
      <c r="P2036"/>
      <c r="Q2036"/>
      <c r="R2036"/>
      <c r="S2036"/>
      <c r="T2036"/>
      <c r="U2036"/>
      <c r="V2036"/>
      <c r="W2036"/>
      <c r="X2036"/>
      <c r="Y2036"/>
      <c r="Z2036"/>
      <c r="AA2036"/>
      <c r="AB2036"/>
      <c r="AC2036"/>
      <c r="AD2036"/>
      <c r="AE2036"/>
      <c r="AF2036"/>
      <c r="AG2036"/>
      <c r="AH2036"/>
      <c r="AI2036"/>
      <c r="AJ2036"/>
      <c r="AK2036"/>
      <c r="AL2036"/>
      <c r="AM2036"/>
      <c r="AN2036"/>
      <c r="AO2036"/>
      <c r="AP2036"/>
      <c r="AQ2036"/>
      <c r="AR2036"/>
      <c r="AS2036"/>
      <c r="AT2036"/>
      <c r="AU2036"/>
      <c r="AV2036"/>
      <c r="AW2036"/>
      <c r="AX2036"/>
      <c r="AY2036"/>
      <c r="AZ2036"/>
      <c r="BA2036"/>
      <c r="BB2036"/>
      <c r="BC2036"/>
      <c r="BD2036"/>
      <c r="BE2036"/>
      <c r="BF2036"/>
      <c r="BG2036"/>
      <c r="BH2036"/>
      <c r="BI2036"/>
      <c r="BJ2036"/>
      <c r="BK2036"/>
      <c r="BL2036"/>
      <c r="BM2036"/>
      <c r="BN2036"/>
      <c r="BO2036"/>
      <c r="BP2036"/>
      <c r="BQ2036"/>
      <c r="BR2036"/>
      <c r="BS2036"/>
      <c r="BT2036"/>
      <c r="BU2036"/>
      <c r="BV2036"/>
      <c r="BW2036"/>
      <c r="BX2036"/>
      <c r="BY2036"/>
      <c r="BZ2036"/>
      <c r="CA2036"/>
      <c r="CB2036"/>
      <c r="CC2036"/>
      <c r="CD2036"/>
      <c r="CE2036"/>
      <c r="CF2036"/>
      <c r="CG2036"/>
      <c r="CH2036"/>
      <c r="CI2036"/>
      <c r="CJ2036"/>
      <c r="CK2036"/>
      <c r="CL2036"/>
      <c r="CM2036"/>
      <c r="CN2036"/>
      <c r="CO2036"/>
      <c r="CP2036"/>
      <c r="CQ2036"/>
      <c r="CR2036"/>
      <c r="CS2036"/>
      <c r="CT2036"/>
      <c r="CU2036"/>
      <c r="CV2036"/>
      <c r="CW2036"/>
      <c r="CX2036"/>
      <c r="CY2036"/>
      <c r="CZ2036"/>
      <c r="DA2036"/>
      <c r="DB2036"/>
      <c r="DC2036"/>
      <c r="DD2036"/>
      <c r="DE2036"/>
      <c r="DF2036"/>
      <c r="DG2036"/>
      <c r="DH2036"/>
      <c r="DI2036"/>
      <c r="DJ2036"/>
      <c r="DK2036"/>
      <c r="DL2036"/>
      <c r="DM2036"/>
      <c r="DN2036"/>
      <c r="DO2036"/>
      <c r="DP2036"/>
      <c r="DQ2036"/>
      <c r="DR2036"/>
      <c r="DS2036"/>
      <c r="DT2036"/>
      <c r="DU2036"/>
      <c r="DV2036"/>
      <c r="DW2036"/>
      <c r="DX2036"/>
      <c r="DY2036"/>
      <c r="DZ2036"/>
      <c r="EA2036"/>
      <c r="EB2036"/>
      <c r="EC2036"/>
      <c r="ED2036"/>
      <c r="EE2036"/>
      <c r="EF2036"/>
      <c r="EG2036"/>
      <c r="EH2036"/>
      <c r="EI2036"/>
      <c r="EJ2036"/>
      <c r="EK2036"/>
      <c r="EL2036"/>
      <c r="EM2036"/>
      <c r="EN2036"/>
      <c r="EO2036"/>
      <c r="EP2036"/>
      <c r="EQ2036"/>
      <c r="ER2036"/>
      <c r="ES2036"/>
    </row>
    <row r="2037" spans="1:149">
      <c r="A2037"/>
      <c r="B2037"/>
      <c r="C2037"/>
      <c r="D2037"/>
      <c r="E2037"/>
      <c r="F2037"/>
      <c r="G2037"/>
      <c r="H2037"/>
      <c r="I2037"/>
      <c r="J2037"/>
      <c r="K2037"/>
      <c r="L2037"/>
      <c r="M2037"/>
      <c r="N2037"/>
      <c r="O2037"/>
      <c r="P2037"/>
      <c r="Q2037"/>
      <c r="R2037"/>
      <c r="S2037"/>
      <c r="T2037"/>
      <c r="U2037"/>
      <c r="V2037"/>
      <c r="W2037"/>
      <c r="X2037"/>
      <c r="Y2037"/>
      <c r="Z2037"/>
      <c r="AA2037"/>
      <c r="AB2037"/>
      <c r="AC2037"/>
      <c r="AD2037"/>
      <c r="AE2037"/>
      <c r="AF2037"/>
      <c r="AG2037"/>
      <c r="AH2037"/>
      <c r="AI2037"/>
      <c r="AJ2037"/>
      <c r="AK2037"/>
      <c r="AL2037"/>
      <c r="AM2037"/>
      <c r="AN2037"/>
      <c r="AO2037"/>
      <c r="AP2037"/>
      <c r="AQ2037"/>
      <c r="AR2037"/>
      <c r="AS2037"/>
      <c r="AT2037"/>
      <c r="AU2037"/>
      <c r="AV2037"/>
      <c r="AW2037"/>
      <c r="AX2037"/>
      <c r="AY2037"/>
      <c r="AZ2037"/>
      <c r="BA2037"/>
      <c r="BB2037"/>
      <c r="BC2037"/>
      <c r="BD2037"/>
      <c r="BE2037"/>
      <c r="BF2037"/>
      <c r="BG2037"/>
      <c r="BH2037"/>
      <c r="BI2037"/>
      <c r="BJ2037"/>
      <c r="BK2037"/>
      <c r="BL2037"/>
      <c r="BM2037"/>
      <c r="BN2037"/>
      <c r="BO2037"/>
      <c r="BP2037"/>
      <c r="BQ2037"/>
      <c r="BR2037"/>
      <c r="BS2037"/>
      <c r="BT2037"/>
      <c r="BU2037"/>
      <c r="BV2037"/>
      <c r="BW2037"/>
      <c r="BX2037"/>
      <c r="BY2037"/>
      <c r="BZ2037"/>
      <c r="CA2037"/>
      <c r="CB2037"/>
      <c r="CC2037"/>
      <c r="CD2037"/>
      <c r="CE2037"/>
      <c r="CF2037"/>
      <c r="CG2037"/>
      <c r="CH2037"/>
      <c r="CI2037"/>
      <c r="CJ2037"/>
      <c r="CK2037"/>
      <c r="CL2037"/>
      <c r="CM2037"/>
      <c r="CN2037"/>
      <c r="CO2037"/>
      <c r="CP2037"/>
      <c r="CQ2037"/>
      <c r="CR2037"/>
      <c r="CS2037"/>
      <c r="CT2037"/>
      <c r="CU2037"/>
      <c r="CV2037"/>
      <c r="CW2037"/>
      <c r="CX2037"/>
      <c r="CY2037"/>
      <c r="CZ2037"/>
      <c r="DA2037"/>
      <c r="DB2037"/>
      <c r="DC2037"/>
      <c r="DD2037"/>
      <c r="DE2037"/>
      <c r="DF2037"/>
      <c r="DG2037"/>
      <c r="DH2037"/>
      <c r="DI2037"/>
      <c r="DJ2037"/>
      <c r="DK2037"/>
      <c r="DL2037"/>
      <c r="DM2037"/>
      <c r="DN2037"/>
      <c r="DO2037"/>
      <c r="DP2037"/>
      <c r="DQ2037"/>
      <c r="DR2037"/>
      <c r="DS2037"/>
      <c r="DT2037"/>
      <c r="DU2037"/>
      <c r="DV2037"/>
      <c r="DW2037"/>
      <c r="DX2037"/>
      <c r="DY2037"/>
      <c r="DZ2037"/>
      <c r="EA2037"/>
      <c r="EB2037"/>
      <c r="EC2037"/>
      <c r="ED2037"/>
      <c r="EE2037"/>
      <c r="EF2037"/>
      <c r="EG2037"/>
      <c r="EH2037"/>
      <c r="EI2037"/>
      <c r="EJ2037"/>
      <c r="EK2037"/>
      <c r="EL2037"/>
      <c r="EM2037"/>
      <c r="EN2037"/>
      <c r="EO2037"/>
      <c r="EP2037"/>
      <c r="EQ2037"/>
      <c r="ER2037"/>
      <c r="ES2037"/>
    </row>
    <row r="2038" spans="1:149">
      <c r="A2038"/>
      <c r="B2038"/>
      <c r="C2038"/>
      <c r="D2038"/>
      <c r="E2038"/>
      <c r="F2038"/>
      <c r="G2038"/>
      <c r="H2038"/>
      <c r="I2038"/>
      <c r="J2038"/>
      <c r="K2038"/>
      <c r="L2038"/>
      <c r="M2038"/>
      <c r="N2038"/>
      <c r="O2038"/>
      <c r="P2038"/>
      <c r="Q2038"/>
      <c r="R2038"/>
      <c r="S2038"/>
      <c r="T2038"/>
      <c r="U2038"/>
      <c r="V2038"/>
      <c r="W2038"/>
      <c r="X2038"/>
      <c r="Y2038"/>
      <c r="Z2038"/>
      <c r="AA2038"/>
      <c r="AB2038"/>
      <c r="AC2038"/>
      <c r="AD2038"/>
      <c r="AE2038"/>
      <c r="AF2038"/>
      <c r="AG2038"/>
      <c r="AH2038"/>
      <c r="AI2038"/>
      <c r="AJ2038"/>
      <c r="AK2038"/>
      <c r="AL2038"/>
      <c r="AM2038"/>
      <c r="AN2038"/>
      <c r="AO2038"/>
      <c r="AP2038"/>
      <c r="AQ2038"/>
      <c r="AR2038"/>
      <c r="AS2038"/>
      <c r="AT2038"/>
      <c r="AU2038"/>
      <c r="AV2038"/>
      <c r="AW2038"/>
      <c r="AX2038"/>
      <c r="AY2038"/>
      <c r="AZ2038"/>
      <c r="BA2038"/>
      <c r="BB2038"/>
      <c r="BC2038"/>
      <c r="BD2038"/>
      <c r="BE2038"/>
      <c r="BF2038"/>
      <c r="BG2038"/>
      <c r="BH2038"/>
      <c r="BI2038"/>
      <c r="BJ2038"/>
      <c r="BK2038"/>
      <c r="BL2038"/>
      <c r="BM2038"/>
      <c r="BN2038"/>
      <c r="BO2038"/>
      <c r="BP2038"/>
      <c r="BQ2038"/>
      <c r="BR2038"/>
      <c r="BS2038"/>
      <c r="BT2038"/>
      <c r="BU2038"/>
      <c r="BV2038"/>
      <c r="BW2038"/>
      <c r="BX2038"/>
      <c r="BY2038"/>
      <c r="BZ2038"/>
      <c r="CA2038"/>
      <c r="CB2038"/>
      <c r="CC2038"/>
      <c r="CD2038"/>
      <c r="CE2038"/>
      <c r="CF2038"/>
      <c r="CG2038"/>
      <c r="CH2038"/>
      <c r="CI2038"/>
      <c r="CJ2038"/>
      <c r="CK2038"/>
      <c r="CL2038"/>
      <c r="CM2038"/>
      <c r="CN2038"/>
      <c r="CO2038"/>
      <c r="CP2038"/>
      <c r="CQ2038"/>
      <c r="CR2038"/>
      <c r="CS2038"/>
      <c r="CT2038"/>
      <c r="CU2038"/>
      <c r="CV2038"/>
      <c r="CW2038"/>
      <c r="CX2038"/>
      <c r="CY2038"/>
      <c r="CZ2038"/>
      <c r="DA2038"/>
      <c r="DB2038"/>
      <c r="DC2038"/>
      <c r="DD2038"/>
      <c r="DE2038"/>
      <c r="DF2038"/>
      <c r="DG2038"/>
      <c r="DH2038"/>
      <c r="DI2038"/>
      <c r="DJ2038"/>
      <c r="DK2038"/>
      <c r="DL2038"/>
      <c r="DM2038"/>
      <c r="DN2038"/>
      <c r="DO2038"/>
      <c r="DP2038"/>
      <c r="DQ2038"/>
      <c r="DR2038"/>
      <c r="DS2038"/>
      <c r="DT2038"/>
      <c r="DU2038"/>
      <c r="DV2038"/>
      <c r="DW2038"/>
      <c r="DX2038"/>
      <c r="DY2038"/>
      <c r="DZ2038"/>
      <c r="EA2038"/>
      <c r="EB2038"/>
      <c r="EC2038"/>
      <c r="ED2038"/>
      <c r="EE2038"/>
      <c r="EF2038"/>
      <c r="EG2038"/>
      <c r="EH2038"/>
      <c r="EI2038"/>
      <c r="EJ2038"/>
      <c r="EK2038"/>
      <c r="EL2038"/>
      <c r="EM2038"/>
      <c r="EN2038"/>
      <c r="EO2038"/>
      <c r="EP2038"/>
      <c r="EQ2038"/>
      <c r="ER2038"/>
      <c r="ES2038"/>
    </row>
    <row r="2039" spans="1:149">
      <c r="A2039"/>
      <c r="B2039"/>
      <c r="C2039"/>
      <c r="D2039"/>
      <c r="E2039"/>
      <c r="F2039"/>
      <c r="G2039"/>
      <c r="H2039"/>
      <c r="I2039"/>
      <c r="J2039"/>
      <c r="K2039"/>
      <c r="L2039"/>
      <c r="M2039"/>
      <c r="N2039"/>
      <c r="O2039"/>
      <c r="P2039"/>
      <c r="Q2039"/>
      <c r="R2039"/>
      <c r="S2039"/>
      <c r="T2039"/>
      <c r="U2039"/>
      <c r="V2039"/>
      <c r="W2039"/>
      <c r="X2039"/>
      <c r="Y2039"/>
      <c r="Z2039"/>
      <c r="AA2039"/>
      <c r="AB2039"/>
      <c r="AC2039"/>
      <c r="AD2039"/>
      <c r="AE2039"/>
      <c r="AF2039"/>
      <c r="AG2039"/>
      <c r="AH2039"/>
      <c r="AI2039"/>
      <c r="AJ2039"/>
      <c r="AK2039"/>
      <c r="AL2039"/>
      <c r="AM2039"/>
      <c r="AN2039"/>
      <c r="AO2039"/>
      <c r="AP2039"/>
      <c r="AQ2039"/>
      <c r="AR2039"/>
      <c r="AS2039"/>
      <c r="AT2039"/>
      <c r="AU2039"/>
      <c r="AV2039"/>
      <c r="AW2039"/>
      <c r="AX2039"/>
      <c r="AY2039"/>
      <c r="AZ2039"/>
      <c r="BA2039"/>
      <c r="BB2039"/>
      <c r="BC2039"/>
      <c r="BD2039"/>
      <c r="BE2039"/>
      <c r="BF2039"/>
      <c r="BG2039"/>
      <c r="BH2039"/>
      <c r="BI2039"/>
      <c r="BJ2039"/>
      <c r="BK2039"/>
      <c r="BL2039"/>
      <c r="BM2039"/>
      <c r="BN2039"/>
      <c r="BO2039"/>
      <c r="BP2039"/>
      <c r="BQ2039"/>
      <c r="BR2039"/>
      <c r="BS2039"/>
      <c r="BT2039"/>
      <c r="BU2039"/>
      <c r="BV2039"/>
      <c r="BW2039"/>
      <c r="BX2039"/>
      <c r="BY2039"/>
      <c r="BZ2039"/>
      <c r="CA2039"/>
      <c r="CB2039"/>
      <c r="CC2039"/>
      <c r="CD2039"/>
      <c r="CE2039"/>
      <c r="CF2039"/>
      <c r="CG2039"/>
      <c r="CH2039"/>
      <c r="CI2039"/>
      <c r="CJ2039"/>
      <c r="CK2039"/>
      <c r="CL2039"/>
      <c r="CM2039"/>
      <c r="CN2039"/>
      <c r="CO2039"/>
      <c r="CP2039"/>
      <c r="CQ2039"/>
      <c r="CR2039"/>
      <c r="CS2039"/>
      <c r="CT2039"/>
      <c r="CU2039"/>
      <c r="CV2039"/>
      <c r="CW2039"/>
      <c r="CX2039"/>
      <c r="CY2039"/>
      <c r="CZ2039"/>
      <c r="DA2039"/>
      <c r="DB2039"/>
      <c r="DC2039"/>
      <c r="DD2039"/>
      <c r="DE2039"/>
      <c r="DF2039"/>
      <c r="DG2039"/>
      <c r="DH2039"/>
      <c r="DI2039"/>
      <c r="DJ2039"/>
      <c r="DK2039"/>
      <c r="DL2039"/>
      <c r="DM2039"/>
      <c r="DN2039"/>
      <c r="DO2039"/>
      <c r="DP2039"/>
      <c r="DQ2039"/>
      <c r="DR2039"/>
      <c r="DS2039"/>
      <c r="DT2039"/>
      <c r="DU2039"/>
      <c r="DV2039"/>
      <c r="DW2039"/>
      <c r="DX2039"/>
      <c r="DY2039"/>
      <c r="DZ2039"/>
      <c r="EA2039"/>
      <c r="EB2039"/>
      <c r="EC2039"/>
      <c r="ED2039"/>
      <c r="EE2039"/>
      <c r="EF2039"/>
      <c r="EG2039"/>
      <c r="EH2039"/>
      <c r="EI2039"/>
      <c r="EJ2039"/>
      <c r="EK2039"/>
      <c r="EL2039"/>
      <c r="EM2039"/>
      <c r="EN2039"/>
      <c r="EO2039"/>
      <c r="EP2039"/>
      <c r="EQ2039"/>
      <c r="ER2039"/>
      <c r="ES2039"/>
    </row>
    <row r="2040" spans="1:149">
      <c r="A2040"/>
      <c r="B2040"/>
      <c r="C2040"/>
      <c r="D2040"/>
      <c r="E2040"/>
      <c r="F2040"/>
      <c r="G2040"/>
      <c r="H2040"/>
      <c r="I2040"/>
      <c r="J2040"/>
      <c r="K2040"/>
      <c r="L2040"/>
      <c r="M2040"/>
      <c r="N2040"/>
      <c r="O2040"/>
      <c r="P2040"/>
      <c r="Q2040"/>
      <c r="R2040"/>
      <c r="S2040"/>
      <c r="T2040"/>
      <c r="U2040"/>
      <c r="V2040"/>
      <c r="W2040"/>
      <c r="X2040"/>
      <c r="Y2040"/>
      <c r="Z2040"/>
      <c r="AA2040"/>
      <c r="AB2040"/>
      <c r="AC2040"/>
      <c r="AD2040"/>
      <c r="AE2040"/>
      <c r="AF2040"/>
      <c r="AG2040"/>
      <c r="AH2040"/>
      <c r="AI2040"/>
      <c r="AJ2040"/>
      <c r="AK2040"/>
      <c r="AL2040"/>
      <c r="AM2040"/>
      <c r="AN2040"/>
      <c r="AO2040"/>
      <c r="AP2040"/>
      <c r="AQ2040"/>
      <c r="AR2040"/>
      <c r="AS2040"/>
      <c r="AT2040"/>
      <c r="AU2040"/>
      <c r="AV2040"/>
      <c r="AW2040"/>
      <c r="AX2040"/>
      <c r="AY2040"/>
      <c r="AZ2040"/>
      <c r="BA2040"/>
      <c r="BB2040"/>
      <c r="BC2040"/>
      <c r="BD2040"/>
      <c r="BE2040"/>
      <c r="BF2040"/>
      <c r="BG2040"/>
      <c r="BH2040"/>
      <c r="BI2040"/>
      <c r="BJ2040"/>
      <c r="BK2040"/>
      <c r="BL2040"/>
      <c r="BM2040"/>
      <c r="BN2040"/>
      <c r="BO2040"/>
      <c r="BP2040"/>
      <c r="BQ2040"/>
      <c r="BR2040"/>
      <c r="BS2040"/>
      <c r="BT2040"/>
      <c r="BU2040"/>
      <c r="BV2040"/>
      <c r="BW2040"/>
      <c r="BX2040"/>
      <c r="BY2040"/>
      <c r="BZ2040"/>
      <c r="CA2040"/>
      <c r="CB2040"/>
      <c r="CC2040"/>
      <c r="CD2040"/>
      <c r="CE2040"/>
      <c r="CF2040"/>
      <c r="CG2040"/>
      <c r="CH2040"/>
      <c r="CI2040"/>
      <c r="CJ2040"/>
      <c r="CK2040"/>
      <c r="CL2040"/>
      <c r="CM2040"/>
      <c r="CN2040"/>
      <c r="CO2040"/>
      <c r="CP2040"/>
      <c r="CQ2040"/>
      <c r="CR2040"/>
      <c r="CS2040"/>
      <c r="CT2040"/>
      <c r="CU2040"/>
      <c r="CV2040"/>
      <c r="CW2040"/>
      <c r="CX2040"/>
      <c r="CY2040"/>
      <c r="CZ2040"/>
      <c r="DA2040"/>
      <c r="DB2040"/>
      <c r="DC2040"/>
      <c r="DD2040"/>
      <c r="DE2040"/>
      <c r="DF2040"/>
      <c r="DG2040"/>
      <c r="DH2040"/>
      <c r="DI2040"/>
      <c r="DJ2040"/>
      <c r="DK2040"/>
      <c r="DL2040"/>
      <c r="DM2040"/>
      <c r="DN2040"/>
      <c r="DO2040"/>
      <c r="DP2040"/>
      <c r="DQ2040"/>
      <c r="DR2040"/>
      <c r="DS2040"/>
      <c r="DT2040"/>
      <c r="DU2040"/>
      <c r="DV2040"/>
      <c r="DW2040"/>
      <c r="DX2040"/>
      <c r="DY2040"/>
      <c r="DZ2040"/>
      <c r="EA2040"/>
      <c r="EB2040"/>
      <c r="EC2040"/>
      <c r="ED2040"/>
      <c r="EE2040"/>
      <c r="EF2040"/>
      <c r="EG2040"/>
      <c r="EH2040"/>
      <c r="EI2040"/>
      <c r="EJ2040"/>
      <c r="EK2040"/>
      <c r="EL2040"/>
      <c r="EM2040"/>
      <c r="EN2040"/>
      <c r="EO2040"/>
      <c r="EP2040"/>
      <c r="EQ2040"/>
      <c r="ER2040"/>
      <c r="ES2040"/>
    </row>
    <row r="2041" spans="1:149">
      <c r="A2041"/>
      <c r="B2041"/>
      <c r="C2041"/>
      <c r="D2041"/>
      <c r="E2041"/>
      <c r="F2041"/>
      <c r="G2041"/>
      <c r="H2041"/>
      <c r="I2041"/>
      <c r="J2041"/>
      <c r="K2041"/>
      <c r="L2041"/>
      <c r="M2041"/>
      <c r="N2041"/>
      <c r="O2041"/>
      <c r="P2041"/>
      <c r="Q2041"/>
      <c r="R2041"/>
      <c r="S2041"/>
      <c r="T2041"/>
      <c r="U2041"/>
      <c r="V2041"/>
      <c r="W2041"/>
      <c r="X2041"/>
      <c r="Y2041"/>
      <c r="Z2041"/>
      <c r="AA2041"/>
      <c r="AB2041"/>
      <c r="AC2041"/>
      <c r="AD2041"/>
      <c r="AE2041"/>
      <c r="AF2041"/>
      <c r="AG2041"/>
      <c r="AH2041"/>
      <c r="AI2041"/>
      <c r="AJ2041"/>
      <c r="AK2041"/>
      <c r="AL2041"/>
      <c r="AM2041"/>
      <c r="AN2041"/>
      <c r="AO2041"/>
      <c r="AP2041"/>
      <c r="AQ2041"/>
      <c r="AR2041"/>
      <c r="AS2041"/>
      <c r="AT2041"/>
      <c r="AU2041"/>
      <c r="AV2041"/>
      <c r="AW2041"/>
      <c r="AX2041"/>
      <c r="AY2041"/>
      <c r="AZ2041"/>
      <c r="BA2041"/>
      <c r="BB2041"/>
      <c r="BC2041"/>
      <c r="BD2041"/>
      <c r="BE2041"/>
      <c r="BF2041"/>
      <c r="BG2041"/>
      <c r="BH2041"/>
      <c r="BI2041"/>
      <c r="BJ2041"/>
      <c r="BK2041"/>
      <c r="BL2041"/>
      <c r="BM2041"/>
      <c r="BN2041"/>
      <c r="BO2041"/>
      <c r="BP2041"/>
      <c r="BQ2041"/>
      <c r="BR2041"/>
      <c r="BS2041"/>
      <c r="BT2041"/>
      <c r="BU2041"/>
      <c r="BV2041"/>
      <c r="BW2041"/>
      <c r="BX2041"/>
      <c r="BY2041"/>
      <c r="BZ2041"/>
      <c r="CA2041"/>
      <c r="CB2041"/>
      <c r="CC2041"/>
      <c r="CD2041"/>
      <c r="CE2041"/>
      <c r="CF2041"/>
      <c r="CG2041"/>
      <c r="CH2041"/>
      <c r="CI2041"/>
      <c r="CJ2041"/>
      <c r="CK2041"/>
      <c r="CL2041"/>
      <c r="CM2041"/>
      <c r="CN2041"/>
      <c r="CO2041"/>
      <c r="CP2041"/>
      <c r="CQ2041"/>
      <c r="CR2041"/>
      <c r="CS2041"/>
      <c r="CT2041"/>
      <c r="CU2041"/>
      <c r="CV2041"/>
      <c r="CW2041"/>
      <c r="CX2041"/>
      <c r="CY2041"/>
      <c r="CZ2041"/>
      <c r="DA2041"/>
      <c r="DB2041"/>
      <c r="DC2041"/>
      <c r="DD2041"/>
      <c r="DE2041"/>
      <c r="DF2041"/>
      <c r="DG2041"/>
      <c r="DH2041"/>
      <c r="DI2041"/>
      <c r="DJ2041"/>
      <c r="DK2041"/>
      <c r="DL2041"/>
      <c r="DM2041"/>
      <c r="DN2041"/>
      <c r="DO2041"/>
      <c r="DP2041"/>
      <c r="DQ2041"/>
      <c r="DR2041"/>
      <c r="DS2041"/>
      <c r="DT2041"/>
      <c r="DU2041"/>
      <c r="DV2041"/>
      <c r="DW2041"/>
      <c r="DX2041"/>
      <c r="DY2041"/>
      <c r="DZ2041"/>
      <c r="EA2041"/>
      <c r="EB2041"/>
      <c r="EC2041"/>
      <c r="ED2041"/>
      <c r="EE2041"/>
      <c r="EF2041"/>
      <c r="EG2041"/>
      <c r="EH2041"/>
      <c r="EI2041"/>
      <c r="EJ2041"/>
      <c r="EK2041"/>
      <c r="EL2041"/>
      <c r="EM2041"/>
      <c r="EN2041"/>
      <c r="EO2041"/>
      <c r="EP2041"/>
      <c r="EQ2041"/>
      <c r="ER2041"/>
      <c r="ES2041"/>
    </row>
    <row r="2042" spans="1:149">
      <c r="A2042"/>
      <c r="B2042"/>
      <c r="C2042"/>
      <c r="D2042"/>
      <c r="E2042"/>
      <c r="F2042"/>
      <c r="G2042"/>
      <c r="H2042"/>
      <c r="I2042"/>
      <c r="J2042"/>
      <c r="K2042"/>
      <c r="L2042"/>
      <c r="M2042"/>
      <c r="N2042"/>
      <c r="O2042"/>
      <c r="P2042"/>
      <c r="Q2042"/>
      <c r="R2042"/>
      <c r="S2042"/>
      <c r="T2042"/>
      <c r="U2042"/>
      <c r="V2042"/>
      <c r="W2042"/>
      <c r="X2042"/>
      <c r="Y2042"/>
      <c r="Z2042"/>
      <c r="AA2042"/>
      <c r="AB2042"/>
      <c r="AC2042"/>
      <c r="AD2042"/>
      <c r="AE2042"/>
      <c r="AF2042"/>
      <c r="AG2042"/>
      <c r="AH2042"/>
      <c r="AI2042"/>
      <c r="AJ2042"/>
      <c r="AK2042"/>
      <c r="AL2042"/>
      <c r="AM2042"/>
      <c r="AN2042"/>
      <c r="AO2042"/>
      <c r="AP2042"/>
      <c r="AQ2042"/>
      <c r="AR2042"/>
      <c r="AS2042"/>
      <c r="AT2042"/>
      <c r="AU2042"/>
      <c r="AV2042"/>
      <c r="AW2042"/>
      <c r="AX2042"/>
      <c r="AY2042"/>
      <c r="AZ2042"/>
      <c r="BA2042"/>
      <c r="BB2042"/>
      <c r="BC2042"/>
      <c r="BD2042"/>
      <c r="BE2042"/>
      <c r="BF2042"/>
      <c r="BG2042"/>
      <c r="BH2042"/>
      <c r="BI2042"/>
      <c r="BJ2042"/>
      <c r="BK2042"/>
      <c r="BL2042"/>
      <c r="BM2042"/>
      <c r="BN2042"/>
      <c r="BO2042"/>
      <c r="BP2042"/>
      <c r="BQ2042"/>
      <c r="BR2042"/>
      <c r="BS2042"/>
      <c r="BT2042"/>
      <c r="BU2042"/>
      <c r="BV2042"/>
      <c r="BW2042"/>
      <c r="BX2042"/>
      <c r="BY2042"/>
      <c r="BZ2042"/>
      <c r="CA2042"/>
      <c r="CB2042"/>
      <c r="CC2042"/>
      <c r="CD2042"/>
      <c r="CE2042"/>
      <c r="CF2042"/>
      <c r="CG2042"/>
      <c r="CH2042"/>
      <c r="CI2042"/>
      <c r="CJ2042"/>
      <c r="CK2042"/>
      <c r="CL2042"/>
      <c r="CM2042"/>
      <c r="CN2042"/>
      <c r="CO2042"/>
      <c r="CP2042"/>
      <c r="CQ2042"/>
      <c r="CR2042"/>
      <c r="CS2042"/>
      <c r="CT2042"/>
      <c r="CU2042"/>
      <c r="CV2042"/>
      <c r="CW2042"/>
      <c r="CX2042"/>
      <c r="CY2042"/>
      <c r="CZ2042"/>
      <c r="DA2042"/>
      <c r="DB2042"/>
      <c r="DC2042"/>
      <c r="DD2042"/>
      <c r="DE2042"/>
      <c r="DF2042"/>
      <c r="DG2042"/>
      <c r="DH2042"/>
      <c r="DI2042"/>
      <c r="DJ2042"/>
      <c r="DK2042"/>
      <c r="DL2042"/>
      <c r="DM2042"/>
      <c r="DN2042"/>
      <c r="DO2042"/>
      <c r="DP2042"/>
      <c r="DQ2042"/>
      <c r="DR2042"/>
      <c r="DS2042"/>
      <c r="DT2042"/>
      <c r="DU2042"/>
      <c r="DV2042"/>
      <c r="DW2042"/>
      <c r="DX2042"/>
      <c r="DY2042"/>
      <c r="DZ2042"/>
      <c r="EA2042"/>
      <c r="EB2042"/>
      <c r="EC2042"/>
      <c r="ED2042"/>
      <c r="EE2042"/>
      <c r="EF2042"/>
      <c r="EG2042"/>
      <c r="EH2042"/>
      <c r="EI2042"/>
      <c r="EJ2042"/>
      <c r="EK2042"/>
      <c r="EL2042"/>
      <c r="EM2042"/>
      <c r="EN2042"/>
      <c r="EO2042"/>
      <c r="EP2042"/>
      <c r="EQ2042"/>
      <c r="ER2042"/>
      <c r="ES2042"/>
    </row>
    <row r="2043" spans="1:149">
      <c r="A2043"/>
      <c r="B2043"/>
      <c r="C2043"/>
      <c r="D2043"/>
      <c r="E2043"/>
      <c r="F2043"/>
      <c r="G2043"/>
      <c r="H2043"/>
      <c r="I2043"/>
      <c r="J2043"/>
      <c r="K2043"/>
      <c r="L2043"/>
      <c r="M2043"/>
      <c r="N2043"/>
      <c r="O2043"/>
      <c r="P2043"/>
      <c r="Q2043"/>
      <c r="R2043"/>
      <c r="S2043"/>
      <c r="T2043"/>
      <c r="U2043"/>
      <c r="V2043"/>
      <c r="W2043"/>
      <c r="X2043"/>
      <c r="Y2043"/>
      <c r="Z2043"/>
      <c r="AA2043"/>
      <c r="AB2043"/>
      <c r="AC2043"/>
      <c r="AD2043"/>
      <c r="AE2043"/>
      <c r="AF2043"/>
      <c r="AG2043"/>
      <c r="AH2043"/>
      <c r="AI2043"/>
      <c r="AJ2043"/>
      <c r="AK2043"/>
      <c r="AL2043"/>
      <c r="AM2043"/>
      <c r="AN2043"/>
      <c r="AO2043"/>
      <c r="AP2043"/>
      <c r="AQ2043"/>
      <c r="AR2043"/>
      <c r="AS2043"/>
      <c r="AT2043"/>
      <c r="AU2043"/>
      <c r="AV2043"/>
      <c r="AW2043"/>
      <c r="AX2043"/>
      <c r="AY2043"/>
      <c r="AZ2043"/>
      <c r="BA2043"/>
      <c r="BB2043"/>
      <c r="BC2043"/>
      <c r="BD2043"/>
      <c r="BE2043"/>
      <c r="BF2043"/>
      <c r="BG2043"/>
      <c r="BH2043"/>
      <c r="BI2043"/>
      <c r="BJ2043"/>
      <c r="BK2043"/>
      <c r="BL2043"/>
      <c r="BM2043"/>
      <c r="BN2043"/>
      <c r="BO2043"/>
      <c r="BP2043"/>
      <c r="BQ2043"/>
      <c r="BR2043"/>
      <c r="BS2043"/>
      <c r="BT2043"/>
      <c r="BU2043"/>
      <c r="BV2043"/>
      <c r="BW2043"/>
      <c r="BX2043"/>
      <c r="BY2043"/>
      <c r="BZ2043"/>
      <c r="CA2043"/>
      <c r="CB2043"/>
      <c r="CC2043"/>
      <c r="CD2043"/>
      <c r="CE2043"/>
      <c r="CF2043"/>
      <c r="CG2043"/>
      <c r="CH2043"/>
      <c r="CI2043"/>
      <c r="CJ2043"/>
      <c r="CK2043"/>
      <c r="CL2043"/>
      <c r="CM2043"/>
      <c r="CN2043"/>
      <c r="CO2043"/>
      <c r="CP2043"/>
      <c r="CQ2043"/>
      <c r="CR2043"/>
      <c r="CS2043"/>
      <c r="CT2043"/>
      <c r="CU2043"/>
      <c r="CV2043"/>
      <c r="CW2043"/>
      <c r="CX2043"/>
      <c r="CY2043"/>
      <c r="CZ2043"/>
      <c r="DA2043"/>
      <c r="DB2043"/>
      <c r="DC2043"/>
      <c r="DD2043"/>
      <c r="DE2043"/>
      <c r="DF2043"/>
      <c r="DG2043"/>
      <c r="DH2043"/>
      <c r="DI2043"/>
      <c r="DJ2043"/>
      <c r="DK2043"/>
      <c r="DL2043"/>
      <c r="DM2043"/>
      <c r="DN2043"/>
      <c r="DO2043"/>
      <c r="DP2043"/>
      <c r="DQ2043"/>
      <c r="DR2043"/>
      <c r="DS2043"/>
      <c r="DT2043"/>
      <c r="DU2043"/>
      <c r="DV2043"/>
      <c r="DW2043"/>
      <c r="DX2043"/>
      <c r="DY2043"/>
      <c r="DZ2043"/>
      <c r="EA2043"/>
      <c r="EB2043"/>
      <c r="EC2043"/>
      <c r="ED2043"/>
      <c r="EE2043"/>
      <c r="EF2043"/>
      <c r="EG2043"/>
      <c r="EH2043"/>
      <c r="EI2043"/>
      <c r="EJ2043"/>
      <c r="EK2043"/>
      <c r="EL2043"/>
      <c r="EM2043"/>
      <c r="EN2043"/>
      <c r="EO2043"/>
      <c r="EP2043"/>
      <c r="EQ2043"/>
      <c r="ER2043"/>
      <c r="ES2043"/>
    </row>
    <row r="2044" spans="1:149">
      <c r="A2044"/>
      <c r="B2044"/>
      <c r="C2044"/>
      <c r="D2044"/>
      <c r="E2044"/>
      <c r="F2044"/>
      <c r="G2044"/>
      <c r="H2044"/>
      <c r="I2044"/>
      <c r="J2044"/>
      <c r="K2044"/>
      <c r="L2044"/>
      <c r="M2044"/>
      <c r="N2044"/>
      <c r="O2044"/>
      <c r="P2044"/>
      <c r="Q2044"/>
      <c r="R2044"/>
      <c r="S2044"/>
      <c r="T2044"/>
      <c r="U2044"/>
      <c r="V2044"/>
      <c r="W2044"/>
      <c r="X2044"/>
      <c r="Y2044"/>
      <c r="Z2044"/>
      <c r="AA2044"/>
      <c r="AB2044"/>
      <c r="AC2044"/>
      <c r="AD2044"/>
      <c r="AE2044"/>
      <c r="AF2044"/>
      <c r="AG2044"/>
      <c r="AH2044"/>
      <c r="AI2044"/>
      <c r="AJ2044"/>
      <c r="AK2044"/>
      <c r="AL2044"/>
      <c r="AM2044"/>
      <c r="AN2044"/>
      <c r="AO2044"/>
      <c r="AP2044"/>
      <c r="AQ2044"/>
      <c r="AR2044"/>
      <c r="AS2044"/>
      <c r="AT2044"/>
      <c r="AU2044"/>
      <c r="AV2044"/>
      <c r="AW2044"/>
      <c r="AX2044"/>
      <c r="AY2044"/>
      <c r="AZ2044"/>
      <c r="BA2044"/>
      <c r="BB2044"/>
      <c r="BC2044"/>
      <c r="BD2044"/>
      <c r="BE2044"/>
      <c r="BF2044"/>
      <c r="BG2044"/>
      <c r="BH2044"/>
      <c r="BI2044"/>
      <c r="BJ2044"/>
      <c r="BK2044"/>
      <c r="BL2044"/>
      <c r="BM2044"/>
      <c r="BN2044"/>
      <c r="BO2044"/>
      <c r="BP2044"/>
      <c r="BQ2044"/>
      <c r="BR2044"/>
      <c r="BS2044"/>
      <c r="BT2044"/>
      <c r="BU2044"/>
      <c r="BV2044"/>
      <c r="BW2044"/>
      <c r="BX2044"/>
      <c r="BY2044"/>
      <c r="BZ2044"/>
      <c r="CA2044"/>
      <c r="CB2044"/>
      <c r="CC2044"/>
      <c r="CD2044"/>
      <c r="CE2044"/>
      <c r="CF2044"/>
      <c r="CG2044"/>
      <c r="CH2044"/>
      <c r="CI2044"/>
      <c r="CJ2044"/>
      <c r="CK2044"/>
      <c r="CL2044"/>
      <c r="CM2044"/>
      <c r="CN2044"/>
      <c r="CO2044"/>
      <c r="CP2044"/>
      <c r="CQ2044"/>
      <c r="CR2044"/>
      <c r="CS2044"/>
      <c r="CT2044"/>
      <c r="CU2044"/>
      <c r="CV2044"/>
      <c r="CW2044"/>
      <c r="CX2044"/>
      <c r="CY2044"/>
      <c r="CZ2044"/>
      <c r="DA2044"/>
      <c r="DB2044"/>
      <c r="DC2044"/>
      <c r="DD2044"/>
      <c r="DE2044"/>
      <c r="DF2044"/>
      <c r="DG2044"/>
      <c r="DH2044"/>
      <c r="DI2044"/>
      <c r="DJ2044"/>
      <c r="DK2044"/>
      <c r="DL2044"/>
      <c r="DM2044"/>
      <c r="DN2044"/>
      <c r="DO2044"/>
      <c r="DP2044"/>
      <c r="DQ2044"/>
      <c r="DR2044"/>
      <c r="DS2044"/>
      <c r="DT2044"/>
      <c r="DU2044"/>
      <c r="DV2044"/>
      <c r="DW2044"/>
      <c r="DX2044"/>
      <c r="DY2044"/>
      <c r="DZ2044"/>
      <c r="EA2044"/>
      <c r="EB2044"/>
      <c r="EC2044"/>
      <c r="ED2044"/>
      <c r="EE2044"/>
      <c r="EF2044"/>
      <c r="EG2044"/>
      <c r="EH2044"/>
      <c r="EI2044"/>
      <c r="EJ2044"/>
      <c r="EK2044"/>
      <c r="EL2044"/>
      <c r="EM2044"/>
      <c r="EN2044"/>
      <c r="EO2044"/>
      <c r="EP2044"/>
      <c r="EQ2044"/>
      <c r="ER2044"/>
      <c r="ES2044"/>
    </row>
    <row r="2045" spans="1:149">
      <c r="A2045"/>
      <c r="B2045"/>
      <c r="C2045"/>
      <c r="D2045"/>
      <c r="E2045"/>
      <c r="F2045"/>
      <c r="G2045"/>
      <c r="H2045"/>
      <c r="I2045"/>
      <c r="J2045"/>
      <c r="K2045"/>
      <c r="L2045"/>
      <c r="M2045"/>
      <c r="N2045"/>
      <c r="O2045"/>
      <c r="P2045"/>
      <c r="Q2045"/>
      <c r="R2045"/>
      <c r="S2045"/>
      <c r="T2045"/>
      <c r="U2045"/>
      <c r="V2045"/>
      <c r="W2045"/>
      <c r="X2045"/>
      <c r="Y2045"/>
      <c r="Z2045"/>
      <c r="AA2045"/>
      <c r="AB2045"/>
      <c r="AC2045"/>
      <c r="AD2045"/>
      <c r="AE2045"/>
      <c r="AF2045"/>
      <c r="AG2045"/>
      <c r="AH2045"/>
      <c r="AI2045"/>
      <c r="AJ2045"/>
      <c r="AK2045"/>
      <c r="AL2045"/>
      <c r="AM2045"/>
      <c r="AN2045"/>
      <c r="AO2045"/>
      <c r="AP2045"/>
      <c r="AQ2045"/>
      <c r="AR2045"/>
      <c r="AS2045"/>
      <c r="AT2045"/>
      <c r="AU2045"/>
      <c r="AV2045"/>
      <c r="AW2045"/>
      <c r="AX2045"/>
      <c r="AY2045"/>
      <c r="AZ2045"/>
      <c r="BA2045"/>
      <c r="BB2045"/>
      <c r="BC2045"/>
      <c r="BD2045"/>
      <c r="BE2045"/>
      <c r="BF2045"/>
      <c r="BG2045"/>
      <c r="BH2045"/>
      <c r="BI2045"/>
      <c r="BJ2045"/>
      <c r="BK2045"/>
      <c r="BL2045"/>
      <c r="BM2045"/>
      <c r="BN2045"/>
      <c r="BO2045"/>
      <c r="BP2045"/>
      <c r="BQ2045"/>
      <c r="BR2045"/>
      <c r="BS2045"/>
      <c r="BT2045"/>
      <c r="BU2045"/>
      <c r="BV2045"/>
      <c r="BW2045"/>
      <c r="BX2045"/>
      <c r="BY2045"/>
      <c r="BZ2045"/>
      <c r="CA2045"/>
      <c r="CB2045"/>
      <c r="CC2045"/>
      <c r="CD2045"/>
      <c r="CE2045"/>
      <c r="CF2045"/>
      <c r="CG2045"/>
      <c r="CH2045"/>
      <c r="CI2045"/>
      <c r="CJ2045"/>
      <c r="CK2045"/>
      <c r="CL2045"/>
      <c r="CM2045"/>
      <c r="CN2045"/>
      <c r="CO2045"/>
      <c r="CP2045"/>
      <c r="CQ2045"/>
      <c r="CR2045"/>
      <c r="CS2045"/>
      <c r="CT2045"/>
      <c r="CU2045"/>
      <c r="CV2045"/>
      <c r="CW2045"/>
      <c r="CX2045"/>
      <c r="CY2045"/>
      <c r="CZ2045"/>
      <c r="DA2045"/>
      <c r="DB2045"/>
      <c r="DC2045"/>
      <c r="DD2045"/>
      <c r="DE2045"/>
      <c r="DF2045"/>
      <c r="DG2045"/>
      <c r="DH2045"/>
      <c r="DI2045"/>
      <c r="DJ2045"/>
      <c r="DK2045"/>
      <c r="DL2045"/>
      <c r="DM2045"/>
      <c r="DN2045"/>
      <c r="DO2045"/>
      <c r="DP2045"/>
      <c r="DQ2045"/>
      <c r="DR2045"/>
      <c r="DS2045"/>
      <c r="DT2045"/>
      <c r="DU2045"/>
      <c r="DV2045"/>
      <c r="DW2045"/>
      <c r="DX2045"/>
      <c r="DY2045"/>
      <c r="DZ2045"/>
      <c r="EA2045"/>
      <c r="EB2045"/>
      <c r="EC2045"/>
      <c r="ED2045"/>
      <c r="EE2045"/>
      <c r="EF2045"/>
      <c r="EG2045"/>
      <c r="EH2045"/>
      <c r="EI2045"/>
      <c r="EJ2045"/>
      <c r="EK2045"/>
      <c r="EL2045"/>
      <c r="EM2045"/>
      <c r="EN2045"/>
      <c r="EO2045"/>
      <c r="EP2045"/>
      <c r="EQ2045"/>
      <c r="ER2045"/>
      <c r="ES2045"/>
    </row>
    <row r="2046" spans="1:149">
      <c r="A2046"/>
      <c r="B2046"/>
      <c r="C2046"/>
      <c r="D2046"/>
      <c r="E2046"/>
      <c r="F2046"/>
      <c r="G2046"/>
      <c r="H2046"/>
      <c r="I2046"/>
      <c r="J2046"/>
      <c r="K2046"/>
      <c r="L2046"/>
      <c r="M2046"/>
      <c r="N2046"/>
      <c r="O2046"/>
      <c r="P2046"/>
      <c r="Q2046"/>
      <c r="R2046"/>
      <c r="S2046"/>
      <c r="T2046"/>
      <c r="U2046"/>
      <c r="V2046"/>
      <c r="W2046"/>
      <c r="X2046"/>
      <c r="Y2046"/>
      <c r="Z2046"/>
      <c r="AA2046"/>
      <c r="AB2046"/>
      <c r="AC2046"/>
      <c r="AD2046"/>
      <c r="AE2046"/>
      <c r="AF2046"/>
      <c r="AG2046"/>
      <c r="AH2046"/>
      <c r="AI2046"/>
      <c r="AJ2046"/>
      <c r="AK2046"/>
      <c r="AL2046"/>
      <c r="AM2046"/>
      <c r="AN2046"/>
      <c r="AO2046"/>
      <c r="AP2046"/>
      <c r="AQ2046"/>
      <c r="AR2046"/>
      <c r="AS2046"/>
      <c r="AT2046"/>
      <c r="AU2046"/>
      <c r="AV2046"/>
      <c r="AW2046"/>
      <c r="AX2046"/>
      <c r="AY2046"/>
      <c r="AZ2046"/>
      <c r="BA2046"/>
      <c r="BB2046"/>
      <c r="BC2046"/>
      <c r="BD2046"/>
      <c r="BE2046"/>
      <c r="BF2046"/>
      <c r="BG2046"/>
      <c r="BH2046"/>
      <c r="BI2046"/>
      <c r="BJ2046"/>
      <c r="BK2046"/>
      <c r="BL2046"/>
      <c r="BM2046"/>
      <c r="BN2046"/>
      <c r="BO2046"/>
      <c r="BP2046"/>
      <c r="BQ2046"/>
      <c r="BR2046"/>
      <c r="BS2046"/>
      <c r="BT2046"/>
      <c r="BU2046"/>
      <c r="BV2046"/>
      <c r="BW2046"/>
      <c r="BX2046"/>
      <c r="BY2046"/>
      <c r="BZ2046"/>
      <c r="CA2046"/>
      <c r="CB2046"/>
      <c r="CC2046"/>
      <c r="CD2046"/>
      <c r="CE2046"/>
      <c r="CF2046"/>
      <c r="CG2046"/>
      <c r="CH2046"/>
      <c r="CI2046"/>
      <c r="CJ2046"/>
      <c r="CK2046"/>
      <c r="CL2046"/>
      <c r="CM2046"/>
      <c r="CN2046"/>
      <c r="CO2046"/>
      <c r="CP2046"/>
      <c r="CQ2046"/>
      <c r="CR2046"/>
      <c r="CS2046"/>
      <c r="CT2046"/>
      <c r="CU2046"/>
      <c r="CV2046"/>
      <c r="CW2046"/>
      <c r="CX2046"/>
      <c r="CY2046"/>
      <c r="CZ2046"/>
      <c r="DA2046"/>
      <c r="DB2046"/>
      <c r="DC2046"/>
      <c r="DD2046"/>
      <c r="DE2046"/>
      <c r="DF2046"/>
      <c r="DG2046"/>
      <c r="DH2046"/>
      <c r="DI2046"/>
      <c r="DJ2046"/>
      <c r="DK2046"/>
      <c r="DL2046"/>
      <c r="DM2046"/>
      <c r="DN2046"/>
      <c r="DO2046"/>
      <c r="DP2046"/>
      <c r="DQ2046"/>
      <c r="DR2046"/>
      <c r="DS2046"/>
      <c r="DT2046"/>
      <c r="DU2046"/>
      <c r="DV2046"/>
      <c r="DW2046"/>
      <c r="DX2046"/>
      <c r="DY2046"/>
      <c r="DZ2046"/>
      <c r="EA2046"/>
      <c r="EB2046"/>
      <c r="EC2046"/>
      <c r="ED2046"/>
      <c r="EE2046"/>
      <c r="EF2046"/>
      <c r="EG2046"/>
      <c r="EH2046"/>
      <c r="EI2046"/>
      <c r="EJ2046"/>
      <c r="EK2046"/>
      <c r="EL2046"/>
      <c r="EM2046"/>
      <c r="EN2046"/>
      <c r="EO2046"/>
      <c r="EP2046"/>
      <c r="EQ2046"/>
      <c r="ER2046"/>
      <c r="ES2046"/>
    </row>
    <row r="2047" spans="1:149">
      <c r="A2047"/>
      <c r="B2047"/>
      <c r="C2047"/>
      <c r="D2047"/>
      <c r="E2047"/>
      <c r="F2047"/>
      <c r="G2047"/>
      <c r="H2047"/>
      <c r="I2047"/>
      <c r="J2047"/>
      <c r="K2047"/>
      <c r="L2047"/>
      <c r="M2047"/>
      <c r="N2047"/>
      <c r="O2047"/>
      <c r="P2047"/>
      <c r="Q2047"/>
      <c r="R2047"/>
      <c r="S2047"/>
      <c r="T2047"/>
      <c r="U2047"/>
      <c r="V2047"/>
      <c r="W2047"/>
      <c r="X2047"/>
      <c r="Y2047"/>
      <c r="Z2047"/>
      <c r="AA2047"/>
      <c r="AB2047"/>
      <c r="AC2047"/>
      <c r="AD2047"/>
      <c r="AE2047"/>
      <c r="AF2047"/>
      <c r="AG2047"/>
      <c r="AH2047"/>
      <c r="AI2047"/>
      <c r="AJ2047"/>
      <c r="AK2047"/>
      <c r="AL2047"/>
      <c r="AM2047"/>
      <c r="AN2047"/>
      <c r="AO2047"/>
      <c r="AP2047"/>
      <c r="AQ2047"/>
      <c r="AR2047"/>
      <c r="AS2047"/>
      <c r="AT2047"/>
      <c r="AU2047"/>
      <c r="AV2047"/>
      <c r="AW2047"/>
      <c r="AX2047"/>
      <c r="AY2047"/>
      <c r="AZ2047"/>
      <c r="BA2047"/>
      <c r="BB2047"/>
      <c r="BC2047"/>
      <c r="BD2047"/>
      <c r="BE2047"/>
      <c r="BF2047"/>
      <c r="BG2047"/>
      <c r="BH2047"/>
      <c r="BI2047"/>
      <c r="BJ2047"/>
      <c r="BK2047"/>
      <c r="BL2047"/>
      <c r="BM2047"/>
      <c r="BN2047"/>
      <c r="BO2047"/>
      <c r="BP2047"/>
      <c r="BQ2047"/>
      <c r="BR2047"/>
      <c r="BS2047"/>
      <c r="BT2047"/>
      <c r="BU2047"/>
      <c r="BV2047"/>
      <c r="BW2047"/>
      <c r="BX2047"/>
      <c r="BY2047"/>
      <c r="BZ2047"/>
      <c r="CA2047"/>
      <c r="CB2047"/>
      <c r="CC2047"/>
      <c r="CD2047"/>
      <c r="CE2047"/>
      <c r="CF2047"/>
      <c r="CG2047"/>
      <c r="CH2047"/>
      <c r="CI2047"/>
      <c r="CJ2047"/>
      <c r="CK2047"/>
      <c r="CL2047"/>
      <c r="CM2047"/>
      <c r="CN2047"/>
      <c r="CO2047"/>
      <c r="CP2047"/>
      <c r="CQ2047"/>
      <c r="CR2047"/>
      <c r="CS2047"/>
      <c r="CT2047"/>
      <c r="CU2047"/>
      <c r="CV2047"/>
      <c r="CW2047"/>
      <c r="CX2047"/>
      <c r="CY2047"/>
      <c r="CZ2047"/>
      <c r="DA2047"/>
      <c r="DB2047"/>
      <c r="DC2047"/>
      <c r="DD2047"/>
      <c r="DE2047"/>
      <c r="DF2047"/>
      <c r="DG2047"/>
      <c r="DH2047"/>
      <c r="DI2047"/>
      <c r="DJ2047"/>
      <c r="DK2047"/>
      <c r="DL2047"/>
      <c r="DM2047"/>
      <c r="DN2047"/>
      <c r="DO2047"/>
      <c r="DP2047"/>
      <c r="DQ2047"/>
      <c r="DR2047"/>
      <c r="DS2047"/>
      <c r="DT2047"/>
      <c r="DU2047"/>
      <c r="DV2047"/>
      <c r="DW2047"/>
      <c r="DX2047"/>
      <c r="DY2047"/>
      <c r="DZ2047"/>
      <c r="EA2047"/>
      <c r="EB2047"/>
      <c r="EC2047"/>
      <c r="ED2047"/>
      <c r="EE2047"/>
      <c r="EF2047"/>
      <c r="EG2047"/>
      <c r="EH2047"/>
      <c r="EI2047"/>
      <c r="EJ2047"/>
      <c r="EK2047"/>
      <c r="EL2047"/>
      <c r="EM2047"/>
      <c r="EN2047"/>
      <c r="EO2047"/>
      <c r="EP2047"/>
      <c r="EQ2047"/>
      <c r="ER2047"/>
      <c r="ES2047"/>
    </row>
    <row r="2048" spans="1:149">
      <c r="A2048"/>
      <c r="B2048"/>
      <c r="C2048"/>
      <c r="D2048"/>
      <c r="E2048"/>
      <c r="F2048"/>
      <c r="G2048"/>
      <c r="H2048"/>
      <c r="I2048"/>
      <c r="J2048"/>
      <c r="K2048"/>
      <c r="L2048"/>
      <c r="M2048"/>
      <c r="N2048"/>
      <c r="O2048"/>
      <c r="P2048"/>
      <c r="Q2048"/>
      <c r="R2048"/>
      <c r="S2048"/>
      <c r="T2048"/>
      <c r="U2048"/>
      <c r="V2048"/>
      <c r="W2048"/>
      <c r="X2048"/>
      <c r="Y2048"/>
      <c r="Z2048"/>
      <c r="AA2048"/>
      <c r="AB2048"/>
      <c r="AC2048"/>
      <c r="AD2048"/>
      <c r="AE2048"/>
      <c r="AF2048"/>
      <c r="AG2048"/>
      <c r="AH2048"/>
      <c r="AI2048"/>
      <c r="AJ2048"/>
      <c r="AK2048"/>
      <c r="AL2048"/>
      <c r="AM2048"/>
      <c r="AN2048"/>
      <c r="AO2048"/>
      <c r="AP2048"/>
      <c r="AQ2048"/>
      <c r="AR2048"/>
      <c r="AS2048"/>
      <c r="AT2048"/>
      <c r="AU2048"/>
      <c r="AV2048"/>
      <c r="AW2048"/>
      <c r="AX2048"/>
      <c r="AY2048"/>
      <c r="AZ2048"/>
      <c r="BA2048"/>
      <c r="BB2048"/>
      <c r="BC2048"/>
      <c r="BD2048"/>
      <c r="BE2048"/>
      <c r="BF2048"/>
      <c r="BG2048"/>
      <c r="BH2048"/>
      <c r="BI2048"/>
      <c r="BJ2048"/>
      <c r="BK2048"/>
      <c r="BL2048"/>
      <c r="BM2048"/>
      <c r="BN2048"/>
      <c r="BO2048"/>
      <c r="BP2048"/>
      <c r="BQ2048"/>
      <c r="BR2048"/>
      <c r="BS2048"/>
      <c r="BT2048"/>
      <c r="BU2048"/>
      <c r="BV2048"/>
      <c r="BW2048"/>
      <c r="BX2048"/>
      <c r="BY2048"/>
      <c r="BZ2048"/>
      <c r="CA2048"/>
      <c r="CB2048"/>
      <c r="CC2048"/>
      <c r="CD2048"/>
      <c r="CE2048"/>
      <c r="CF2048"/>
      <c r="CG2048"/>
      <c r="CH2048"/>
      <c r="CI2048"/>
      <c r="CJ2048"/>
      <c r="CK2048"/>
      <c r="CL2048"/>
      <c r="CM2048"/>
      <c r="CN2048"/>
      <c r="CO2048"/>
      <c r="CP2048"/>
      <c r="CQ2048"/>
      <c r="CR2048"/>
      <c r="CS2048"/>
      <c r="CT2048"/>
      <c r="CU2048"/>
      <c r="CV2048"/>
      <c r="CW2048"/>
      <c r="CX2048"/>
      <c r="CY2048"/>
      <c r="CZ2048"/>
      <c r="DA2048"/>
      <c r="DB2048"/>
      <c r="DC2048"/>
      <c r="DD2048"/>
      <c r="DE2048"/>
      <c r="DF2048"/>
      <c r="DG2048"/>
      <c r="DH2048"/>
      <c r="DI2048"/>
      <c r="DJ2048"/>
      <c r="DK2048"/>
      <c r="DL2048"/>
      <c r="DM2048"/>
      <c r="DN2048"/>
      <c r="DO2048"/>
      <c r="DP2048"/>
      <c r="DQ2048"/>
      <c r="DR2048"/>
      <c r="DS2048"/>
      <c r="DT2048"/>
      <c r="DU2048"/>
      <c r="DV2048"/>
      <c r="DW2048"/>
      <c r="DX2048"/>
      <c r="DY2048"/>
      <c r="DZ2048"/>
      <c r="EA2048"/>
      <c r="EB2048"/>
      <c r="EC2048"/>
      <c r="ED2048"/>
      <c r="EE2048"/>
      <c r="EF2048"/>
      <c r="EG2048"/>
      <c r="EH2048"/>
      <c r="EI2048"/>
      <c r="EJ2048"/>
      <c r="EK2048"/>
      <c r="EL2048"/>
      <c r="EM2048"/>
      <c r="EN2048"/>
      <c r="EO2048"/>
      <c r="EP2048"/>
      <c r="EQ2048"/>
      <c r="ER2048"/>
      <c r="ES2048"/>
    </row>
    <row r="2049" spans="1:149">
      <c r="A2049"/>
      <c r="B2049"/>
      <c r="C2049"/>
      <c r="D2049"/>
      <c r="E2049"/>
      <c r="F2049"/>
      <c r="G2049"/>
      <c r="H2049"/>
      <c r="I2049"/>
      <c r="J2049"/>
      <c r="K2049"/>
      <c r="L2049"/>
      <c r="M2049"/>
      <c r="N2049"/>
      <c r="O2049"/>
      <c r="P2049"/>
      <c r="Q2049"/>
      <c r="R2049"/>
      <c r="S2049"/>
      <c r="T2049"/>
      <c r="U2049"/>
      <c r="V2049"/>
      <c r="W2049"/>
      <c r="X2049"/>
      <c r="Y2049"/>
      <c r="Z2049"/>
      <c r="AA2049"/>
      <c r="AB2049"/>
      <c r="AC2049"/>
      <c r="AD2049"/>
      <c r="AE2049"/>
      <c r="AF2049"/>
      <c r="AG2049"/>
      <c r="AH2049"/>
      <c r="AI2049"/>
      <c r="AJ2049"/>
      <c r="AK2049"/>
      <c r="AL2049"/>
      <c r="AM2049"/>
      <c r="AN2049"/>
      <c r="AO2049"/>
      <c r="AP2049"/>
      <c r="AQ2049"/>
      <c r="AR2049"/>
      <c r="AS2049"/>
      <c r="AT2049"/>
      <c r="AU2049"/>
      <c r="AV2049"/>
      <c r="AW2049"/>
      <c r="AX2049"/>
      <c r="AY2049"/>
      <c r="AZ2049"/>
      <c r="BA2049"/>
      <c r="BB2049"/>
      <c r="BC2049"/>
      <c r="BD2049"/>
      <c r="BE2049"/>
      <c r="BF2049"/>
      <c r="BG2049"/>
      <c r="BH2049"/>
      <c r="BI2049"/>
      <c r="BJ2049"/>
      <c r="BK2049"/>
      <c r="BL2049"/>
      <c r="BM2049"/>
      <c r="BN2049"/>
      <c r="BO2049"/>
      <c r="BP2049"/>
      <c r="BQ2049"/>
      <c r="BR2049"/>
      <c r="BS2049"/>
      <c r="BT2049"/>
      <c r="BU2049"/>
      <c r="BV2049"/>
      <c r="BW2049"/>
      <c r="BX2049"/>
      <c r="BY2049"/>
      <c r="BZ2049"/>
      <c r="CA2049"/>
      <c r="CB2049"/>
      <c r="CC2049"/>
      <c r="CD2049"/>
      <c r="CE2049"/>
      <c r="CF2049"/>
      <c r="CG2049"/>
      <c r="CH2049"/>
      <c r="CI2049"/>
      <c r="CJ2049"/>
      <c r="CK2049"/>
      <c r="CL2049"/>
      <c r="CM2049"/>
      <c r="CN2049"/>
      <c r="CO2049"/>
      <c r="CP2049"/>
      <c r="CQ2049"/>
      <c r="CR2049"/>
      <c r="CS2049"/>
      <c r="CT2049"/>
      <c r="CU2049"/>
      <c r="CV2049"/>
      <c r="CW2049"/>
      <c r="CX2049"/>
      <c r="CY2049"/>
      <c r="CZ2049"/>
      <c r="DA2049"/>
      <c r="DB2049"/>
      <c r="DC2049"/>
      <c r="DD2049"/>
      <c r="DE2049"/>
      <c r="DF2049"/>
      <c r="DG2049"/>
      <c r="DH2049"/>
      <c r="DI2049"/>
      <c r="DJ2049"/>
      <c r="DK2049"/>
      <c r="DL2049"/>
      <c r="DM2049"/>
      <c r="DN2049"/>
      <c r="DO2049"/>
      <c r="DP2049"/>
      <c r="DQ2049"/>
      <c r="DR2049"/>
      <c r="DS2049"/>
      <c r="DT2049"/>
      <c r="DU2049"/>
      <c r="DV2049"/>
      <c r="DW2049"/>
      <c r="DX2049"/>
      <c r="DY2049"/>
      <c r="DZ2049"/>
      <c r="EA2049"/>
      <c r="EB2049"/>
      <c r="EC2049"/>
      <c r="ED2049"/>
      <c r="EE2049"/>
      <c r="EF2049"/>
      <c r="EG2049"/>
      <c r="EH2049"/>
      <c r="EI2049"/>
      <c r="EJ2049"/>
      <c r="EK2049"/>
      <c r="EL2049"/>
      <c r="EM2049"/>
      <c r="EN2049"/>
      <c r="EO2049"/>
      <c r="EP2049"/>
      <c r="EQ2049"/>
      <c r="ER2049"/>
      <c r="ES2049"/>
    </row>
    <row r="2050" spans="1:149">
      <c r="A2050"/>
      <c r="B2050"/>
      <c r="C2050"/>
      <c r="D2050"/>
      <c r="E2050"/>
      <c r="F2050"/>
      <c r="G2050"/>
      <c r="H2050"/>
      <c r="I2050"/>
      <c r="J2050"/>
      <c r="K2050"/>
      <c r="L2050"/>
      <c r="M2050"/>
      <c r="N2050"/>
      <c r="O2050"/>
      <c r="P2050"/>
      <c r="Q2050"/>
      <c r="R2050"/>
      <c r="S2050"/>
      <c r="T2050"/>
      <c r="U2050"/>
      <c r="V2050"/>
      <c r="W2050"/>
      <c r="X2050"/>
      <c r="Y2050"/>
      <c r="Z2050"/>
      <c r="AA2050"/>
      <c r="AB2050"/>
      <c r="AC2050"/>
      <c r="AD2050"/>
      <c r="AE2050"/>
      <c r="AF2050"/>
      <c r="AG2050"/>
      <c r="AH2050"/>
      <c r="AI2050"/>
      <c r="AJ2050"/>
      <c r="AK2050"/>
      <c r="AL2050"/>
      <c r="AM2050"/>
      <c r="AN2050"/>
      <c r="AO2050"/>
      <c r="AP2050"/>
      <c r="AQ2050"/>
      <c r="AR2050"/>
      <c r="AS2050"/>
      <c r="AT2050"/>
      <c r="AU2050"/>
      <c r="AV2050"/>
      <c r="AW2050"/>
      <c r="AX2050"/>
      <c r="AY2050"/>
      <c r="AZ2050"/>
      <c r="BA2050"/>
      <c r="BB2050"/>
      <c r="BC2050"/>
      <c r="BD2050"/>
      <c r="BE2050"/>
      <c r="BF2050"/>
      <c r="BG2050"/>
      <c r="BH2050"/>
      <c r="BI2050"/>
      <c r="BJ2050"/>
      <c r="BK2050"/>
      <c r="BL2050"/>
      <c r="BM2050"/>
      <c r="BN2050"/>
      <c r="BO2050"/>
      <c r="BP2050"/>
      <c r="BQ2050"/>
      <c r="BR2050"/>
      <c r="BS2050"/>
      <c r="BT2050"/>
      <c r="BU2050"/>
      <c r="BV2050"/>
      <c r="BW2050"/>
      <c r="BX2050"/>
      <c r="BY2050"/>
      <c r="BZ2050"/>
      <c r="CA2050"/>
      <c r="CB2050"/>
      <c r="CC2050"/>
      <c r="CD2050"/>
      <c r="CE2050"/>
      <c r="CF2050"/>
      <c r="CG2050"/>
      <c r="CH2050"/>
      <c r="CI2050"/>
      <c r="CJ2050"/>
      <c r="CK2050"/>
      <c r="CL2050"/>
      <c r="CM2050"/>
      <c r="CN2050"/>
      <c r="CO2050"/>
      <c r="CP2050"/>
      <c r="CQ2050"/>
      <c r="CR2050"/>
      <c r="CS2050"/>
      <c r="CT2050"/>
      <c r="CU2050"/>
      <c r="CV2050"/>
      <c r="CW2050"/>
      <c r="CX2050"/>
      <c r="CY2050"/>
      <c r="CZ2050"/>
      <c r="DA2050"/>
      <c r="DB2050"/>
      <c r="DC2050"/>
      <c r="DD2050"/>
      <c r="DE2050"/>
      <c r="DF2050"/>
      <c r="DG2050"/>
      <c r="DH2050"/>
      <c r="DI2050"/>
      <c r="DJ2050"/>
      <c r="DK2050"/>
      <c r="DL2050"/>
      <c r="DM2050"/>
      <c r="DN2050"/>
      <c r="DO2050"/>
      <c r="DP2050"/>
      <c r="DQ2050"/>
      <c r="DR2050"/>
      <c r="DS2050"/>
      <c r="DT2050"/>
      <c r="DU2050"/>
      <c r="DV2050"/>
      <c r="DW2050"/>
      <c r="DX2050"/>
      <c r="DY2050"/>
      <c r="DZ2050"/>
      <c r="EA2050"/>
      <c r="EB2050"/>
      <c r="EC2050"/>
      <c r="ED2050"/>
      <c r="EE2050"/>
      <c r="EF2050"/>
      <c r="EG2050"/>
      <c r="EH2050"/>
      <c r="EI2050"/>
      <c r="EJ2050"/>
      <c r="EK2050"/>
      <c r="EL2050"/>
      <c r="EM2050"/>
      <c r="EN2050"/>
      <c r="EO2050"/>
      <c r="EP2050"/>
      <c r="EQ2050"/>
      <c r="ER2050"/>
      <c r="ES2050"/>
    </row>
    <row r="2051" spans="1:149">
      <c r="A2051"/>
      <c r="B2051"/>
      <c r="C2051"/>
      <c r="D2051"/>
      <c r="E2051"/>
      <c r="F2051"/>
      <c r="G2051"/>
      <c r="H2051"/>
      <c r="I2051"/>
      <c r="J2051"/>
      <c r="K2051"/>
      <c r="L2051"/>
      <c r="M2051"/>
      <c r="N2051"/>
      <c r="O2051"/>
      <c r="P2051"/>
      <c r="Q2051"/>
      <c r="R2051"/>
      <c r="S2051"/>
      <c r="T2051"/>
      <c r="U2051"/>
      <c r="V2051"/>
      <c r="W2051"/>
      <c r="X2051"/>
      <c r="Y2051"/>
      <c r="Z2051"/>
      <c r="AA2051"/>
      <c r="AB2051"/>
      <c r="AC2051"/>
      <c r="AD2051"/>
      <c r="AE2051"/>
      <c r="AF2051"/>
      <c r="AG2051"/>
      <c r="AH2051"/>
      <c r="AI2051"/>
      <c r="AJ2051"/>
      <c r="AK2051"/>
      <c r="AL2051"/>
      <c r="AM2051"/>
      <c r="AN2051"/>
      <c r="AO2051"/>
      <c r="AP2051"/>
      <c r="AQ2051"/>
      <c r="AR2051"/>
      <c r="AS2051"/>
      <c r="AT2051"/>
      <c r="AU2051"/>
      <c r="AV2051"/>
      <c r="AW2051"/>
      <c r="AX2051"/>
      <c r="AY2051"/>
      <c r="AZ2051"/>
      <c r="BA2051"/>
      <c r="BB2051"/>
      <c r="BC2051"/>
      <c r="BD2051"/>
      <c r="BE2051"/>
      <c r="BF2051"/>
      <c r="BG2051"/>
      <c r="BH2051"/>
      <c r="BI2051"/>
      <c r="BJ2051"/>
      <c r="BK2051"/>
      <c r="BL2051"/>
      <c r="BM2051"/>
      <c r="BN2051"/>
      <c r="BO2051"/>
      <c r="BP2051"/>
      <c r="BQ2051"/>
      <c r="BR2051"/>
      <c r="BS2051"/>
      <c r="BT2051"/>
      <c r="BU2051"/>
      <c r="BV2051"/>
      <c r="BW2051"/>
      <c r="BX2051"/>
      <c r="BY2051"/>
      <c r="BZ2051"/>
      <c r="CA2051"/>
      <c r="CB2051"/>
      <c r="CC2051"/>
      <c r="CD2051"/>
      <c r="CE2051"/>
      <c r="CF2051"/>
      <c r="CG2051"/>
      <c r="CH2051"/>
      <c r="CI2051"/>
      <c r="CJ2051"/>
      <c r="CK2051"/>
      <c r="CL2051"/>
      <c r="CM2051"/>
      <c r="CN2051"/>
      <c r="CO2051"/>
      <c r="CP2051"/>
      <c r="CQ2051"/>
      <c r="CR2051"/>
      <c r="CS2051"/>
      <c r="CT2051"/>
      <c r="CU2051"/>
      <c r="CV2051"/>
      <c r="CW2051"/>
      <c r="CX2051"/>
      <c r="CY2051"/>
      <c r="CZ2051"/>
      <c r="DA2051"/>
      <c r="DB2051"/>
      <c r="DC2051"/>
      <c r="DD2051"/>
      <c r="DE2051"/>
      <c r="DF2051"/>
      <c r="DG2051"/>
      <c r="DH2051"/>
      <c r="DI2051"/>
      <c r="DJ2051"/>
      <c r="DK2051"/>
      <c r="DL2051"/>
      <c r="DM2051"/>
      <c r="DN2051"/>
      <c r="DO2051"/>
      <c r="DP2051"/>
      <c r="DQ2051"/>
      <c r="DR2051"/>
      <c r="DS2051"/>
      <c r="DT2051"/>
      <c r="DU2051"/>
      <c r="DV2051"/>
      <c r="DW2051"/>
      <c r="DX2051"/>
      <c r="DY2051"/>
      <c r="DZ2051"/>
      <c r="EA2051"/>
      <c r="EB2051"/>
      <c r="EC2051"/>
      <c r="ED2051"/>
      <c r="EE2051"/>
      <c r="EF2051"/>
      <c r="EG2051"/>
      <c r="EH2051"/>
      <c r="EI2051"/>
      <c r="EJ2051"/>
      <c r="EK2051"/>
      <c r="EL2051"/>
      <c r="EM2051"/>
      <c r="EN2051"/>
      <c r="EO2051"/>
      <c r="EP2051"/>
      <c r="EQ2051"/>
      <c r="ER2051"/>
      <c r="ES2051"/>
    </row>
    <row r="2052" spans="1:149">
      <c r="A2052"/>
      <c r="B2052"/>
      <c r="C2052"/>
      <c r="D2052"/>
      <c r="E2052"/>
      <c r="F2052"/>
      <c r="G2052"/>
      <c r="H2052"/>
      <c r="I2052"/>
      <c r="J2052"/>
      <c r="K2052"/>
      <c r="L2052"/>
      <c r="M2052"/>
      <c r="N2052"/>
      <c r="O2052"/>
      <c r="P2052"/>
      <c r="Q2052"/>
      <c r="R2052"/>
      <c r="S2052"/>
      <c r="T2052"/>
      <c r="U2052"/>
      <c r="V2052"/>
      <c r="W2052"/>
      <c r="X2052"/>
      <c r="Y2052"/>
      <c r="Z2052"/>
      <c r="AA2052"/>
      <c r="AB2052"/>
      <c r="AC2052"/>
      <c r="AD2052"/>
      <c r="AE2052"/>
      <c r="AF2052"/>
      <c r="AG2052"/>
      <c r="AH2052"/>
      <c r="AI2052"/>
      <c r="AJ2052"/>
      <c r="AK2052"/>
      <c r="AL2052"/>
      <c r="AM2052"/>
      <c r="AN2052"/>
      <c r="AO2052"/>
      <c r="AP2052"/>
      <c r="AQ2052"/>
      <c r="AR2052"/>
      <c r="AS2052"/>
      <c r="AT2052"/>
      <c r="AU2052"/>
      <c r="AV2052"/>
      <c r="AW2052"/>
      <c r="AX2052"/>
      <c r="AY2052"/>
      <c r="AZ2052"/>
      <c r="BA2052"/>
      <c r="BB2052"/>
      <c r="BC2052"/>
      <c r="BD2052"/>
      <c r="BE2052"/>
      <c r="BF2052"/>
      <c r="BG2052"/>
      <c r="BH2052"/>
      <c r="BI2052"/>
      <c r="BJ2052"/>
      <c r="BK2052"/>
      <c r="BL2052"/>
      <c r="BM2052"/>
      <c r="BN2052"/>
      <c r="BO2052"/>
      <c r="BP2052"/>
      <c r="BQ2052"/>
      <c r="BR2052"/>
      <c r="BS2052"/>
      <c r="BT2052"/>
      <c r="BU2052"/>
      <c r="BV2052"/>
      <c r="BW2052"/>
      <c r="BX2052"/>
      <c r="BY2052"/>
      <c r="BZ2052"/>
      <c r="CA2052"/>
      <c r="CB2052"/>
      <c r="CC2052"/>
      <c r="CD2052"/>
      <c r="CE2052"/>
      <c r="CF2052"/>
      <c r="CG2052"/>
      <c r="CH2052"/>
      <c r="CI2052"/>
      <c r="CJ2052"/>
      <c r="CK2052"/>
      <c r="CL2052"/>
      <c r="CM2052"/>
      <c r="CN2052"/>
      <c r="CO2052"/>
      <c r="CP2052"/>
      <c r="CQ2052"/>
      <c r="CR2052"/>
      <c r="CS2052"/>
      <c r="CT2052"/>
      <c r="CU2052"/>
      <c r="CV2052"/>
      <c r="CW2052"/>
      <c r="CX2052"/>
      <c r="CY2052"/>
      <c r="CZ2052"/>
      <c r="DA2052"/>
      <c r="DB2052"/>
      <c r="DC2052"/>
      <c r="DD2052"/>
      <c r="DE2052"/>
      <c r="DF2052"/>
      <c r="DG2052"/>
      <c r="DH2052"/>
      <c r="DI2052"/>
      <c r="DJ2052"/>
      <c r="DK2052"/>
      <c r="DL2052"/>
      <c r="DM2052"/>
      <c r="DN2052"/>
      <c r="DO2052"/>
      <c r="DP2052"/>
      <c r="DQ2052"/>
      <c r="DR2052"/>
      <c r="DS2052"/>
      <c r="DT2052"/>
      <c r="DU2052"/>
      <c r="DV2052"/>
      <c r="DW2052"/>
      <c r="DX2052"/>
      <c r="DY2052"/>
      <c r="DZ2052"/>
      <c r="EA2052"/>
      <c r="EB2052"/>
      <c r="EC2052"/>
      <c r="ED2052"/>
      <c r="EE2052"/>
      <c r="EF2052"/>
      <c r="EG2052"/>
      <c r="EH2052"/>
      <c r="EI2052"/>
      <c r="EJ2052"/>
      <c r="EK2052"/>
      <c r="EL2052"/>
      <c r="EM2052"/>
      <c r="EN2052"/>
      <c r="EO2052"/>
      <c r="EP2052"/>
      <c r="EQ2052"/>
      <c r="ER2052"/>
      <c r="ES2052"/>
    </row>
    <row r="2053" spans="1:149">
      <c r="A2053"/>
      <c r="B2053"/>
      <c r="C2053"/>
      <c r="D2053"/>
      <c r="E2053"/>
      <c r="F2053"/>
      <c r="G2053"/>
      <c r="H2053"/>
      <c r="I2053"/>
      <c r="J2053"/>
      <c r="K2053"/>
      <c r="L2053"/>
      <c r="M2053"/>
      <c r="N2053"/>
      <c r="O2053"/>
      <c r="P2053"/>
      <c r="Q2053"/>
      <c r="R2053"/>
      <c r="S2053"/>
      <c r="T2053"/>
      <c r="U2053"/>
      <c r="V2053"/>
      <c r="W2053"/>
      <c r="X2053"/>
      <c r="Y2053"/>
      <c r="Z2053"/>
      <c r="AA2053"/>
      <c r="AB2053"/>
      <c r="AC2053"/>
      <c r="AD2053"/>
      <c r="AE2053"/>
      <c r="AF2053"/>
      <c r="AG2053"/>
      <c r="AH2053"/>
      <c r="AI2053"/>
      <c r="AJ2053"/>
      <c r="AK2053"/>
      <c r="AL2053"/>
      <c r="AM2053"/>
      <c r="AN2053"/>
      <c r="AO2053"/>
      <c r="AP2053"/>
      <c r="AQ2053"/>
      <c r="AR2053"/>
      <c r="AS2053"/>
      <c r="AT2053"/>
      <c r="AU2053"/>
      <c r="AV2053"/>
      <c r="AW2053"/>
      <c r="AX2053"/>
      <c r="AY2053"/>
      <c r="AZ2053"/>
      <c r="BA2053"/>
      <c r="BB2053"/>
      <c r="BC2053"/>
      <c r="BD2053"/>
      <c r="BE2053"/>
      <c r="BF2053"/>
      <c r="BG2053"/>
      <c r="BH2053"/>
      <c r="BI2053"/>
      <c r="BJ2053"/>
      <c r="BK2053"/>
      <c r="BL2053"/>
      <c r="BM2053"/>
      <c r="BN2053"/>
      <c r="BO2053"/>
      <c r="BP2053"/>
      <c r="BQ2053"/>
      <c r="BR2053"/>
      <c r="BS2053"/>
      <c r="BT2053"/>
      <c r="BU2053"/>
      <c r="BV2053"/>
      <c r="BW2053"/>
      <c r="BX2053"/>
      <c r="BY2053"/>
      <c r="BZ2053"/>
      <c r="CA2053"/>
      <c r="CB2053"/>
      <c r="CC2053"/>
      <c r="CD2053"/>
      <c r="CE2053"/>
      <c r="CF2053"/>
      <c r="CG2053"/>
      <c r="CH2053"/>
      <c r="CI2053"/>
      <c r="CJ2053"/>
      <c r="CK2053"/>
      <c r="CL2053"/>
      <c r="CM2053"/>
      <c r="CN2053"/>
      <c r="CO2053"/>
      <c r="CP2053"/>
      <c r="CQ2053"/>
      <c r="CR2053"/>
      <c r="CS2053"/>
      <c r="CT2053"/>
      <c r="CU2053"/>
      <c r="CV2053"/>
      <c r="CW2053"/>
      <c r="CX2053"/>
      <c r="CY2053"/>
      <c r="CZ2053"/>
      <c r="DA2053"/>
      <c r="DB2053"/>
      <c r="DC2053"/>
      <c r="DD2053"/>
      <c r="DE2053"/>
      <c r="DF2053"/>
      <c r="DG2053"/>
      <c r="DH2053"/>
      <c r="DI2053"/>
      <c r="DJ2053"/>
      <c r="DK2053"/>
      <c r="DL2053"/>
      <c r="DM2053"/>
      <c r="DN2053"/>
      <c r="DO2053"/>
      <c r="DP2053"/>
      <c r="DQ2053"/>
      <c r="DR2053"/>
      <c r="DS2053"/>
      <c r="DT2053"/>
      <c r="DU2053"/>
      <c r="DV2053"/>
      <c r="DW2053"/>
      <c r="DX2053"/>
      <c r="DY2053"/>
      <c r="DZ2053"/>
      <c r="EA2053"/>
      <c r="EB2053"/>
      <c r="EC2053"/>
      <c r="ED2053"/>
      <c r="EE2053"/>
      <c r="EF2053"/>
      <c r="EG2053"/>
      <c r="EH2053"/>
      <c r="EI2053"/>
      <c r="EJ2053"/>
      <c r="EK2053"/>
      <c r="EL2053"/>
      <c r="EM2053"/>
      <c r="EN2053"/>
      <c r="EO2053"/>
      <c r="EP2053"/>
      <c r="EQ2053"/>
      <c r="ER2053"/>
      <c r="ES2053"/>
    </row>
    <row r="2054" spans="1:149">
      <c r="A2054"/>
      <c r="B2054"/>
      <c r="C2054"/>
      <c r="D2054"/>
      <c r="E2054"/>
      <c r="F2054"/>
      <c r="G2054"/>
      <c r="H2054"/>
      <c r="I2054"/>
      <c r="J2054"/>
      <c r="K2054"/>
      <c r="L2054"/>
      <c r="M2054"/>
      <c r="N2054"/>
      <c r="O2054"/>
      <c r="P2054"/>
      <c r="Q2054"/>
      <c r="R2054"/>
      <c r="S2054"/>
      <c r="T2054"/>
      <c r="U2054"/>
      <c r="V2054"/>
      <c r="W2054"/>
      <c r="X2054"/>
      <c r="Y2054"/>
      <c r="Z2054"/>
      <c r="AA2054"/>
      <c r="AB2054"/>
      <c r="AC2054"/>
      <c r="AD2054"/>
      <c r="AE2054"/>
      <c r="AF2054"/>
      <c r="AG2054"/>
      <c r="AH2054"/>
      <c r="AI2054"/>
      <c r="AJ2054"/>
      <c r="AK2054"/>
      <c r="AL2054"/>
      <c r="AM2054"/>
      <c r="AN2054"/>
      <c r="AO2054"/>
      <c r="AP2054"/>
      <c r="AQ2054"/>
      <c r="AR2054"/>
      <c r="AS2054"/>
      <c r="AT2054"/>
      <c r="AU2054"/>
      <c r="AV2054"/>
      <c r="AW2054"/>
      <c r="AX2054"/>
      <c r="AY2054"/>
      <c r="AZ2054"/>
      <c r="BA2054"/>
      <c r="BB2054"/>
      <c r="BC2054"/>
      <c r="BD2054"/>
      <c r="BE2054"/>
      <c r="BF2054"/>
      <c r="BG2054"/>
      <c r="BH2054"/>
      <c r="BI2054"/>
      <c r="BJ2054"/>
      <c r="BK2054"/>
      <c r="BL2054"/>
      <c r="BM2054"/>
      <c r="BN2054"/>
      <c r="BO2054"/>
      <c r="BP2054"/>
      <c r="BQ2054"/>
      <c r="BR2054"/>
      <c r="BS2054"/>
      <c r="BT2054"/>
      <c r="BU2054"/>
      <c r="BV2054"/>
      <c r="BW2054"/>
      <c r="BX2054"/>
      <c r="BY2054"/>
      <c r="BZ2054"/>
      <c r="CA2054"/>
      <c r="CB2054"/>
      <c r="CC2054"/>
      <c r="CD2054"/>
      <c r="CE2054"/>
      <c r="CF2054"/>
      <c r="CG2054"/>
      <c r="CH2054"/>
      <c r="CI2054"/>
      <c r="CJ2054"/>
      <c r="CK2054"/>
      <c r="CL2054"/>
      <c r="CM2054"/>
      <c r="CN2054"/>
      <c r="CO2054"/>
      <c r="CP2054"/>
      <c r="CQ2054"/>
      <c r="CR2054"/>
      <c r="CS2054"/>
      <c r="CT2054"/>
      <c r="CU2054"/>
      <c r="CV2054"/>
      <c r="CW2054"/>
      <c r="CX2054"/>
      <c r="CY2054"/>
      <c r="CZ2054"/>
      <c r="DA2054"/>
      <c r="DB2054"/>
      <c r="DC2054"/>
      <c r="DD2054"/>
      <c r="DE2054"/>
      <c r="DF2054"/>
      <c r="DG2054"/>
      <c r="DH2054"/>
      <c r="DI2054"/>
      <c r="DJ2054"/>
      <c r="DK2054"/>
      <c r="DL2054"/>
      <c r="DM2054"/>
      <c r="DN2054"/>
      <c r="DO2054"/>
      <c r="DP2054"/>
      <c r="DQ2054"/>
      <c r="DR2054"/>
      <c r="DS2054"/>
      <c r="DT2054"/>
      <c r="DU2054"/>
      <c r="DV2054"/>
      <c r="DW2054"/>
      <c r="DX2054"/>
      <c r="DY2054"/>
      <c r="DZ2054"/>
      <c r="EA2054"/>
      <c r="EB2054"/>
      <c r="EC2054"/>
      <c r="ED2054"/>
      <c r="EE2054"/>
      <c r="EF2054"/>
      <c r="EG2054"/>
      <c r="EH2054"/>
      <c r="EI2054"/>
      <c r="EJ2054"/>
      <c r="EK2054"/>
      <c r="EL2054"/>
      <c r="EM2054"/>
      <c r="EN2054"/>
      <c r="EO2054"/>
      <c r="EP2054"/>
      <c r="EQ2054"/>
      <c r="ER2054"/>
      <c r="ES2054"/>
    </row>
    <row r="2055" spans="1:149">
      <c r="A2055"/>
      <c r="B2055"/>
      <c r="C2055"/>
      <c r="D2055"/>
      <c r="E2055"/>
      <c r="F2055"/>
      <c r="G2055"/>
      <c r="H2055"/>
      <c r="I2055"/>
      <c r="J2055"/>
      <c r="K2055"/>
      <c r="L2055"/>
      <c r="M2055"/>
      <c r="N2055"/>
      <c r="O2055"/>
      <c r="P2055"/>
      <c r="Q2055"/>
      <c r="R2055"/>
      <c r="S2055"/>
      <c r="T2055"/>
      <c r="U2055"/>
      <c r="V2055"/>
      <c r="W2055"/>
      <c r="X2055"/>
      <c r="Y2055"/>
      <c r="Z2055"/>
      <c r="AA2055"/>
      <c r="AB2055"/>
      <c r="AC2055"/>
      <c r="AD2055"/>
      <c r="AE2055"/>
      <c r="AF2055"/>
      <c r="AG2055"/>
      <c r="AH2055"/>
      <c r="AI2055"/>
      <c r="AJ2055"/>
      <c r="AK2055"/>
      <c r="AL2055"/>
      <c r="AM2055"/>
      <c r="AN2055"/>
      <c r="AO2055"/>
      <c r="AP2055"/>
      <c r="AQ2055"/>
      <c r="AR2055"/>
      <c r="AS2055"/>
      <c r="AT2055"/>
      <c r="AU2055"/>
      <c r="AV2055"/>
      <c r="AW2055"/>
      <c r="AX2055"/>
      <c r="AY2055"/>
      <c r="AZ2055"/>
      <c r="BA2055"/>
      <c r="BB2055"/>
      <c r="BC2055"/>
      <c r="BD2055"/>
      <c r="BE2055"/>
      <c r="BF2055"/>
      <c r="BG2055"/>
      <c r="BH2055"/>
      <c r="BI2055"/>
      <c r="BJ2055"/>
      <c r="BK2055"/>
      <c r="BL2055"/>
      <c r="BM2055"/>
      <c r="BN2055"/>
      <c r="BO2055"/>
      <c r="BP2055"/>
      <c r="BQ2055"/>
      <c r="BR2055"/>
      <c r="BS2055"/>
      <c r="BT2055"/>
      <c r="BU2055"/>
      <c r="BV2055"/>
      <c r="BW2055"/>
      <c r="BX2055"/>
      <c r="BY2055"/>
      <c r="BZ2055"/>
      <c r="CA2055"/>
      <c r="CB2055"/>
      <c r="CC2055"/>
      <c r="CD2055"/>
      <c r="CE2055"/>
      <c r="CF2055"/>
      <c r="CG2055"/>
      <c r="CH2055"/>
      <c r="CI2055"/>
      <c r="CJ2055"/>
      <c r="CK2055"/>
      <c r="CL2055"/>
      <c r="CM2055"/>
      <c r="CN2055"/>
      <c r="CO2055"/>
      <c r="CP2055"/>
      <c r="CQ2055"/>
      <c r="CR2055"/>
      <c r="CS2055"/>
      <c r="CT2055"/>
      <c r="CU2055"/>
      <c r="CV2055"/>
      <c r="CW2055"/>
      <c r="CX2055"/>
      <c r="CY2055"/>
      <c r="CZ2055"/>
      <c r="DA2055"/>
      <c r="DB2055"/>
      <c r="DC2055"/>
      <c r="DD2055"/>
      <c r="DE2055"/>
      <c r="DF2055"/>
      <c r="DG2055"/>
      <c r="DH2055"/>
      <c r="DI2055"/>
      <c r="DJ2055"/>
      <c r="DK2055"/>
      <c r="DL2055"/>
      <c r="DM2055"/>
      <c r="DN2055"/>
      <c r="DO2055"/>
      <c r="DP2055"/>
      <c r="DQ2055"/>
      <c r="DR2055"/>
      <c r="DS2055"/>
      <c r="DT2055"/>
      <c r="DU2055"/>
      <c r="DV2055"/>
      <c r="DW2055"/>
      <c r="DX2055"/>
      <c r="DY2055"/>
      <c r="DZ2055"/>
      <c r="EA2055"/>
      <c r="EB2055"/>
      <c r="EC2055"/>
      <c r="ED2055"/>
      <c r="EE2055"/>
      <c r="EF2055"/>
      <c r="EG2055"/>
      <c r="EH2055"/>
      <c r="EI2055"/>
      <c r="EJ2055"/>
      <c r="EK2055"/>
      <c r="EL2055"/>
      <c r="EM2055"/>
      <c r="EN2055"/>
      <c r="EO2055"/>
      <c r="EP2055"/>
      <c r="EQ2055"/>
      <c r="ER2055"/>
      <c r="ES2055"/>
    </row>
    <row r="2056" spans="1:149">
      <c r="A2056"/>
      <c r="B2056"/>
      <c r="C2056"/>
      <c r="D2056"/>
      <c r="E2056"/>
      <c r="F2056"/>
      <c r="G2056"/>
      <c r="H2056"/>
      <c r="I2056"/>
      <c r="J2056"/>
      <c r="K2056"/>
      <c r="L2056"/>
      <c r="M2056"/>
      <c r="N2056"/>
      <c r="O2056"/>
      <c r="P2056"/>
      <c r="Q2056"/>
      <c r="R2056"/>
      <c r="S2056"/>
      <c r="T2056"/>
      <c r="U2056"/>
      <c r="V2056"/>
      <c r="W2056"/>
      <c r="X2056"/>
      <c r="Y2056"/>
      <c r="Z2056"/>
      <c r="AA2056"/>
      <c r="AB2056"/>
      <c r="AC2056"/>
      <c r="AD2056"/>
      <c r="AE2056"/>
      <c r="AF2056"/>
      <c r="AG2056"/>
      <c r="AH2056"/>
      <c r="AI2056"/>
      <c r="AJ2056"/>
      <c r="AK2056"/>
      <c r="AL2056"/>
      <c r="AM2056"/>
      <c r="AN2056"/>
      <c r="AO2056"/>
      <c r="AP2056"/>
      <c r="AQ2056"/>
      <c r="AR2056"/>
      <c r="AS2056"/>
      <c r="AT2056"/>
      <c r="AU2056"/>
      <c r="AV2056"/>
      <c r="AW2056"/>
      <c r="AX2056"/>
      <c r="AY2056"/>
      <c r="AZ2056"/>
      <c r="BA2056"/>
      <c r="BB2056"/>
      <c r="BC2056"/>
      <c r="BD2056"/>
      <c r="BE2056"/>
      <c r="BF2056"/>
      <c r="BG2056"/>
      <c r="BH2056"/>
      <c r="BI2056"/>
      <c r="BJ2056"/>
      <c r="BK2056"/>
      <c r="BL2056"/>
      <c r="BM2056"/>
      <c r="BN2056"/>
      <c r="BO2056"/>
      <c r="BP2056"/>
      <c r="BQ2056"/>
      <c r="BR2056"/>
      <c r="BS2056"/>
      <c r="BT2056"/>
      <c r="BU2056"/>
      <c r="BV2056"/>
      <c r="BW2056"/>
      <c r="BX2056"/>
      <c r="BY2056"/>
      <c r="BZ2056"/>
      <c r="CA2056"/>
      <c r="CB2056"/>
      <c r="CC2056"/>
      <c r="CD2056"/>
      <c r="CE2056"/>
      <c r="CF2056"/>
      <c r="CG2056"/>
      <c r="CH2056"/>
      <c r="CI2056"/>
      <c r="CJ2056"/>
      <c r="CK2056"/>
      <c r="CL2056"/>
      <c r="CM2056"/>
      <c r="CN2056"/>
      <c r="CO2056"/>
      <c r="CP2056"/>
      <c r="CQ2056"/>
      <c r="CR2056"/>
      <c r="CS2056"/>
      <c r="CT2056"/>
      <c r="CU2056"/>
      <c r="CV2056"/>
      <c r="CW2056"/>
      <c r="CX2056"/>
      <c r="CY2056"/>
      <c r="CZ2056"/>
      <c r="DA2056"/>
      <c r="DB2056"/>
      <c r="DC2056"/>
      <c r="DD2056"/>
      <c r="DE2056"/>
      <c r="DF2056"/>
      <c r="DG2056"/>
      <c r="DH2056"/>
      <c r="DI2056"/>
      <c r="DJ2056"/>
      <c r="DK2056"/>
      <c r="DL2056"/>
      <c r="DM2056"/>
      <c r="DN2056"/>
      <c r="DO2056"/>
      <c r="DP2056"/>
      <c r="DQ2056"/>
      <c r="DR2056"/>
      <c r="DS2056"/>
      <c r="DT2056"/>
      <c r="DU2056"/>
      <c r="DV2056"/>
      <c r="DW2056"/>
      <c r="DX2056"/>
      <c r="DY2056"/>
      <c r="DZ2056"/>
      <c r="EA2056"/>
      <c r="EB2056"/>
      <c r="EC2056"/>
      <c r="ED2056"/>
      <c r="EE2056"/>
      <c r="EF2056"/>
      <c r="EG2056"/>
      <c r="EH2056"/>
      <c r="EI2056"/>
      <c r="EJ2056"/>
      <c r="EK2056"/>
      <c r="EL2056"/>
      <c r="EM2056"/>
      <c r="EN2056"/>
      <c r="EO2056"/>
      <c r="EP2056"/>
      <c r="EQ2056"/>
      <c r="ER2056"/>
      <c r="ES2056"/>
    </row>
    <row r="2057" spans="1:149">
      <c r="A2057"/>
      <c r="B2057"/>
      <c r="C2057"/>
      <c r="D2057"/>
      <c r="E2057"/>
      <c r="F2057"/>
      <c r="G2057"/>
      <c r="H2057"/>
      <c r="I2057"/>
      <c r="J2057"/>
      <c r="K2057"/>
      <c r="L2057"/>
      <c r="M2057"/>
      <c r="N2057"/>
      <c r="O2057"/>
      <c r="P2057"/>
      <c r="Q2057"/>
      <c r="R2057"/>
      <c r="S2057"/>
      <c r="T2057"/>
      <c r="U2057"/>
      <c r="V2057"/>
      <c r="W2057"/>
      <c r="X2057"/>
      <c r="Y2057"/>
      <c r="Z2057"/>
      <c r="AA2057"/>
      <c r="AB2057"/>
      <c r="AC2057"/>
      <c r="AD2057"/>
      <c r="AE2057"/>
      <c r="AF2057"/>
      <c r="AG2057"/>
      <c r="AH2057"/>
      <c r="AI2057"/>
      <c r="AJ2057"/>
      <c r="AK2057"/>
      <c r="AL2057"/>
      <c r="AM2057"/>
      <c r="AN2057"/>
      <c r="AO2057"/>
      <c r="AP2057"/>
      <c r="AQ2057"/>
      <c r="AR2057"/>
      <c r="AS2057"/>
      <c r="AT2057"/>
      <c r="AU2057"/>
      <c r="AV2057"/>
      <c r="AW2057"/>
      <c r="AX2057"/>
      <c r="AY2057"/>
      <c r="AZ2057"/>
      <c r="BA2057"/>
      <c r="BB2057"/>
      <c r="BC2057"/>
      <c r="BD2057"/>
      <c r="BE2057"/>
      <c r="BF2057"/>
      <c r="BG2057"/>
      <c r="BH2057"/>
      <c r="BI2057"/>
      <c r="BJ2057"/>
      <c r="BK2057"/>
      <c r="BL2057"/>
      <c r="BM2057"/>
      <c r="BN2057"/>
      <c r="BO2057"/>
      <c r="BP2057"/>
      <c r="BQ2057"/>
      <c r="BR2057"/>
      <c r="BS2057"/>
      <c r="BT2057"/>
      <c r="BU2057"/>
      <c r="BV2057"/>
      <c r="BW2057"/>
      <c r="BX2057"/>
      <c r="BY2057"/>
      <c r="BZ2057"/>
      <c r="CA2057"/>
      <c r="CB2057"/>
      <c r="CC2057"/>
      <c r="CD2057"/>
      <c r="CE2057"/>
      <c r="CF2057"/>
      <c r="CG2057"/>
      <c r="CH2057"/>
      <c r="CI2057"/>
      <c r="CJ2057"/>
      <c r="CK2057"/>
      <c r="CL2057"/>
      <c r="CM2057"/>
      <c r="CN2057"/>
      <c r="CO2057"/>
      <c r="CP2057"/>
      <c r="CQ2057"/>
      <c r="CR2057"/>
      <c r="CS2057"/>
      <c r="CT2057"/>
      <c r="CU2057"/>
      <c r="CV2057"/>
      <c r="CW2057"/>
      <c r="CX2057"/>
      <c r="CY2057"/>
      <c r="CZ2057"/>
      <c r="DA2057"/>
      <c r="DB2057"/>
      <c r="DC2057"/>
      <c r="DD2057"/>
      <c r="DE2057"/>
      <c r="DF2057"/>
      <c r="DG2057"/>
      <c r="DH2057"/>
      <c r="DI2057"/>
      <c r="DJ2057"/>
      <c r="DK2057"/>
      <c r="DL2057"/>
      <c r="DM2057"/>
      <c r="DN2057"/>
      <c r="DO2057"/>
      <c r="DP2057"/>
      <c r="DQ2057"/>
      <c r="DR2057"/>
      <c r="DS2057"/>
      <c r="DT2057"/>
      <c r="DU2057"/>
      <c r="DV2057"/>
      <c r="DW2057"/>
      <c r="DX2057"/>
      <c r="DY2057"/>
      <c r="DZ2057"/>
      <c r="EA2057"/>
      <c r="EB2057"/>
      <c r="EC2057"/>
      <c r="ED2057"/>
      <c r="EE2057"/>
      <c r="EF2057"/>
      <c r="EG2057"/>
      <c r="EH2057"/>
      <c r="EI2057"/>
      <c r="EJ2057"/>
      <c r="EK2057"/>
      <c r="EL2057"/>
      <c r="EM2057"/>
      <c r="EN2057"/>
      <c r="EO2057"/>
      <c r="EP2057"/>
      <c r="EQ2057"/>
      <c r="ER2057"/>
      <c r="ES2057"/>
    </row>
    <row r="2058" spans="1:149">
      <c r="A2058"/>
      <c r="B2058"/>
      <c r="C2058"/>
      <c r="D2058"/>
      <c r="E2058"/>
      <c r="F2058"/>
      <c r="G2058"/>
      <c r="H2058"/>
      <c r="I2058"/>
      <c r="J2058"/>
      <c r="K2058"/>
      <c r="L2058"/>
      <c r="M2058"/>
      <c r="N2058"/>
      <c r="O2058"/>
      <c r="P2058"/>
      <c r="Q2058"/>
      <c r="R2058"/>
      <c r="S2058"/>
      <c r="T2058"/>
      <c r="U2058"/>
      <c r="V2058"/>
      <c r="W2058"/>
      <c r="X2058"/>
      <c r="Y2058"/>
      <c r="Z2058"/>
      <c r="AA2058"/>
      <c r="AB2058"/>
      <c r="AC2058"/>
      <c r="AD2058"/>
      <c r="AE2058"/>
      <c r="AF2058"/>
      <c r="AG2058"/>
      <c r="AH2058"/>
      <c r="AI2058"/>
      <c r="AJ2058"/>
      <c r="AK2058"/>
      <c r="AL2058"/>
      <c r="AM2058"/>
      <c r="AN2058"/>
      <c r="AO2058"/>
      <c r="AP2058"/>
      <c r="AQ2058"/>
      <c r="AR2058"/>
      <c r="AS2058"/>
      <c r="AT2058"/>
      <c r="AU2058"/>
      <c r="AV2058"/>
      <c r="AW2058"/>
      <c r="AX2058"/>
      <c r="AY2058"/>
      <c r="AZ2058"/>
      <c r="BA2058"/>
      <c r="BB2058"/>
      <c r="BC2058"/>
      <c r="BD2058"/>
      <c r="BE2058"/>
      <c r="BF2058"/>
      <c r="BG2058"/>
      <c r="BH2058"/>
      <c r="BI2058"/>
      <c r="BJ2058"/>
      <c r="BK2058"/>
      <c r="BL2058"/>
      <c r="BM2058"/>
      <c r="BN2058"/>
      <c r="BO2058"/>
      <c r="BP2058"/>
      <c r="BQ2058"/>
      <c r="BR2058"/>
      <c r="BS2058"/>
      <c r="BT2058"/>
      <c r="BU2058"/>
      <c r="BV2058"/>
      <c r="BW2058"/>
      <c r="BX2058"/>
      <c r="BY2058"/>
      <c r="BZ2058"/>
      <c r="CA2058"/>
      <c r="CB2058"/>
      <c r="CC2058"/>
      <c r="CD2058"/>
      <c r="CE2058"/>
      <c r="CF2058"/>
      <c r="CG2058"/>
      <c r="CH2058"/>
      <c r="CI2058"/>
      <c r="CJ2058"/>
      <c r="CK2058"/>
      <c r="CL2058"/>
      <c r="CM2058"/>
      <c r="CN2058"/>
      <c r="CO2058"/>
      <c r="CP2058"/>
      <c r="CQ2058"/>
      <c r="CR2058"/>
      <c r="CS2058"/>
      <c r="CT2058"/>
      <c r="CU2058"/>
      <c r="CV2058"/>
      <c r="CW2058"/>
      <c r="CX2058"/>
      <c r="CY2058"/>
      <c r="CZ2058"/>
      <c r="DA2058"/>
      <c r="DB2058"/>
      <c r="DC2058"/>
      <c r="DD2058"/>
      <c r="DE2058"/>
      <c r="DF2058"/>
      <c r="DG2058"/>
      <c r="DH2058"/>
      <c r="DI2058"/>
      <c r="DJ2058"/>
      <c r="DK2058"/>
      <c r="DL2058"/>
      <c r="DM2058"/>
      <c r="DN2058"/>
      <c r="DO2058"/>
      <c r="DP2058"/>
      <c r="DQ2058"/>
      <c r="DR2058"/>
      <c r="DS2058"/>
      <c r="DT2058"/>
      <c r="DU2058"/>
      <c r="DV2058"/>
      <c r="DW2058"/>
      <c r="DX2058"/>
      <c r="DY2058"/>
      <c r="DZ2058"/>
      <c r="EA2058"/>
      <c r="EB2058"/>
      <c r="EC2058"/>
      <c r="ED2058"/>
      <c r="EE2058"/>
      <c r="EF2058"/>
      <c r="EG2058"/>
      <c r="EH2058"/>
      <c r="EI2058"/>
      <c r="EJ2058"/>
      <c r="EK2058"/>
      <c r="EL2058"/>
      <c r="EM2058"/>
      <c r="EN2058"/>
      <c r="EO2058"/>
      <c r="EP2058"/>
      <c r="EQ2058"/>
      <c r="ER2058"/>
      <c r="ES2058"/>
    </row>
    <row r="2059" spans="1:149">
      <c r="A2059"/>
      <c r="B2059"/>
      <c r="C2059"/>
      <c r="D2059"/>
      <c r="E2059"/>
      <c r="F2059"/>
      <c r="G2059"/>
      <c r="H2059"/>
      <c r="I2059"/>
      <c r="J2059"/>
      <c r="K2059"/>
      <c r="L2059"/>
      <c r="M2059"/>
      <c r="N2059"/>
      <c r="O2059"/>
      <c r="P2059"/>
      <c r="Q2059"/>
      <c r="R2059"/>
      <c r="S2059"/>
      <c r="T2059"/>
      <c r="U2059"/>
      <c r="V2059"/>
      <c r="W2059"/>
      <c r="X2059"/>
      <c r="Y2059"/>
      <c r="Z2059"/>
      <c r="AA2059"/>
      <c r="AB2059"/>
      <c r="AC2059"/>
      <c r="AD2059"/>
      <c r="AE2059"/>
      <c r="AF2059"/>
      <c r="AG2059"/>
      <c r="AH2059"/>
      <c r="AI2059"/>
      <c r="AJ2059"/>
      <c r="AK2059"/>
      <c r="AL2059"/>
      <c r="AM2059"/>
      <c r="AN2059"/>
      <c r="AO2059"/>
      <c r="AP2059"/>
      <c r="AQ2059"/>
      <c r="AR2059"/>
      <c r="AS2059"/>
      <c r="AT2059"/>
      <c r="AU2059"/>
      <c r="AV2059"/>
      <c r="AW2059"/>
      <c r="AX2059"/>
      <c r="AY2059"/>
      <c r="AZ2059"/>
      <c r="BA2059"/>
      <c r="BB2059"/>
      <c r="BC2059"/>
      <c r="BD2059"/>
      <c r="BE2059"/>
      <c r="BF2059"/>
      <c r="BG2059"/>
      <c r="BH2059"/>
      <c r="BI2059"/>
      <c r="BJ2059"/>
      <c r="BK2059"/>
      <c r="BL2059"/>
      <c r="BM2059"/>
      <c r="BN2059"/>
      <c r="BO2059"/>
      <c r="BP2059"/>
      <c r="BQ2059"/>
      <c r="BR2059"/>
      <c r="BS2059"/>
      <c r="BT2059"/>
      <c r="BU2059"/>
      <c r="BV2059"/>
      <c r="BW2059"/>
      <c r="BX2059"/>
      <c r="BY2059"/>
      <c r="BZ2059"/>
      <c r="CA2059"/>
      <c r="CB2059"/>
      <c r="CC2059"/>
      <c r="CD2059"/>
      <c r="CE2059"/>
      <c r="CF2059"/>
      <c r="CG2059"/>
      <c r="CH2059"/>
      <c r="CI2059"/>
      <c r="CJ2059"/>
      <c r="CK2059"/>
      <c r="CL2059"/>
      <c r="CM2059"/>
      <c r="CN2059"/>
      <c r="CO2059"/>
      <c r="CP2059"/>
      <c r="CQ2059"/>
      <c r="CR2059"/>
      <c r="CS2059"/>
      <c r="CT2059"/>
      <c r="CU2059"/>
      <c r="CV2059"/>
      <c r="CW2059"/>
      <c r="CX2059"/>
      <c r="CY2059"/>
      <c r="CZ2059"/>
      <c r="DA2059"/>
      <c r="DB2059"/>
      <c r="DC2059"/>
      <c r="DD2059"/>
      <c r="DE2059"/>
      <c r="DF2059"/>
      <c r="DG2059"/>
      <c r="DH2059"/>
      <c r="DI2059"/>
      <c r="DJ2059"/>
      <c r="DK2059"/>
      <c r="DL2059"/>
      <c r="DM2059"/>
      <c r="DN2059"/>
      <c r="DO2059"/>
      <c r="DP2059"/>
      <c r="DQ2059"/>
      <c r="DR2059"/>
      <c r="DS2059"/>
      <c r="DT2059"/>
      <c r="DU2059"/>
      <c r="DV2059"/>
      <c r="DW2059"/>
      <c r="DX2059"/>
      <c r="DY2059"/>
      <c r="DZ2059"/>
      <c r="EA2059"/>
      <c r="EB2059"/>
      <c r="EC2059"/>
      <c r="ED2059"/>
      <c r="EE2059"/>
      <c r="EF2059"/>
      <c r="EG2059"/>
      <c r="EH2059"/>
      <c r="EI2059"/>
      <c r="EJ2059"/>
      <c r="EK2059"/>
      <c r="EL2059"/>
      <c r="EM2059"/>
      <c r="EN2059"/>
      <c r="EO2059"/>
      <c r="EP2059"/>
      <c r="EQ2059"/>
      <c r="ER2059"/>
      <c r="ES2059"/>
    </row>
    <row r="2060" spans="1:149">
      <c r="A2060"/>
      <c r="B2060"/>
      <c r="C2060"/>
      <c r="D2060"/>
      <c r="E2060"/>
      <c r="F2060"/>
      <c r="G2060"/>
      <c r="H2060"/>
      <c r="I2060"/>
      <c r="J2060"/>
      <c r="K2060"/>
      <c r="L2060"/>
      <c r="M2060"/>
      <c r="N2060"/>
      <c r="O2060"/>
      <c r="P2060"/>
      <c r="Q2060"/>
      <c r="R2060"/>
      <c r="S2060"/>
      <c r="T2060"/>
      <c r="U2060"/>
      <c r="V2060"/>
      <c r="W2060"/>
      <c r="X2060"/>
      <c r="Y2060"/>
      <c r="Z2060"/>
      <c r="AA2060"/>
      <c r="AB2060"/>
      <c r="AC2060"/>
      <c r="AD2060"/>
      <c r="AE2060"/>
      <c r="AF2060"/>
      <c r="AG2060"/>
      <c r="AH2060"/>
      <c r="AI2060"/>
      <c r="AJ2060"/>
      <c r="AK2060"/>
      <c r="AL2060"/>
      <c r="AM2060"/>
      <c r="AN2060"/>
      <c r="AO2060"/>
      <c r="AP2060"/>
      <c r="AQ2060"/>
      <c r="AR2060"/>
      <c r="AS2060"/>
      <c r="AT2060"/>
      <c r="AU2060"/>
      <c r="AV2060"/>
      <c r="AW2060"/>
      <c r="AX2060"/>
      <c r="AY2060"/>
      <c r="AZ2060"/>
      <c r="BA2060"/>
      <c r="BB2060"/>
      <c r="BC2060"/>
      <c r="BD2060"/>
      <c r="BE2060"/>
      <c r="BF2060"/>
      <c r="BG2060"/>
      <c r="BH2060"/>
      <c r="BI2060"/>
      <c r="BJ2060"/>
      <c r="BK2060"/>
      <c r="BL2060"/>
      <c r="BM2060"/>
      <c r="BN2060"/>
      <c r="BO2060"/>
      <c r="BP2060"/>
      <c r="BQ2060"/>
      <c r="BR2060"/>
      <c r="BS2060"/>
      <c r="BT2060"/>
      <c r="BU2060"/>
      <c r="BV2060"/>
      <c r="BW2060"/>
      <c r="BX2060"/>
      <c r="BY2060"/>
      <c r="BZ2060"/>
      <c r="CA2060"/>
      <c r="CB2060"/>
      <c r="CC2060"/>
      <c r="CD2060"/>
      <c r="CE2060"/>
      <c r="CF2060"/>
      <c r="CG2060"/>
      <c r="CH2060"/>
      <c r="CI2060"/>
      <c r="CJ2060"/>
      <c r="CK2060"/>
      <c r="CL2060"/>
      <c r="CM2060"/>
      <c r="CN2060"/>
      <c r="CO2060"/>
      <c r="CP2060"/>
      <c r="CQ2060"/>
      <c r="CR2060"/>
      <c r="CS2060"/>
      <c r="CT2060"/>
      <c r="CU2060"/>
      <c r="CV2060"/>
      <c r="CW2060"/>
      <c r="CX2060"/>
      <c r="CY2060"/>
      <c r="CZ2060"/>
      <c r="DA2060"/>
      <c r="DB2060"/>
      <c r="DC2060"/>
      <c r="DD2060"/>
      <c r="DE2060"/>
      <c r="DF2060"/>
      <c r="DG2060"/>
      <c r="DH2060"/>
      <c r="DI2060"/>
      <c r="DJ2060"/>
      <c r="DK2060"/>
      <c r="DL2060"/>
      <c r="DM2060"/>
      <c r="DN2060"/>
      <c r="DO2060"/>
      <c r="DP2060"/>
      <c r="DQ2060"/>
      <c r="DR2060"/>
      <c r="DS2060"/>
      <c r="DT2060"/>
      <c r="DU2060"/>
      <c r="DV2060"/>
      <c r="DW2060"/>
      <c r="DX2060"/>
      <c r="DY2060"/>
      <c r="DZ2060"/>
      <c r="EA2060"/>
      <c r="EB2060"/>
      <c r="EC2060"/>
      <c r="ED2060"/>
      <c r="EE2060"/>
      <c r="EF2060"/>
      <c r="EG2060"/>
      <c r="EH2060"/>
      <c r="EI2060"/>
      <c r="EJ2060"/>
      <c r="EK2060"/>
      <c r="EL2060"/>
      <c r="EM2060"/>
      <c r="EN2060"/>
      <c r="EO2060"/>
      <c r="EP2060"/>
      <c r="EQ2060"/>
      <c r="ER2060"/>
      <c r="ES2060"/>
    </row>
    <row r="2061" spans="1:149">
      <c r="A2061"/>
      <c r="B2061"/>
      <c r="C2061"/>
      <c r="D2061"/>
      <c r="E2061"/>
      <c r="F2061"/>
      <c r="G2061"/>
      <c r="H2061"/>
      <c r="I2061"/>
      <c r="J2061"/>
      <c r="K2061"/>
      <c r="L2061"/>
      <c r="M2061"/>
      <c r="N2061"/>
      <c r="O2061"/>
      <c r="P2061"/>
      <c r="Q2061"/>
      <c r="R2061"/>
      <c r="S2061"/>
      <c r="T2061"/>
      <c r="U2061"/>
      <c r="V2061"/>
      <c r="W2061"/>
      <c r="X2061"/>
      <c r="Y2061"/>
      <c r="Z2061"/>
      <c r="AA2061"/>
      <c r="AB2061"/>
      <c r="AC2061"/>
      <c r="AD2061"/>
      <c r="AE2061"/>
      <c r="AF2061"/>
      <c r="AG2061"/>
      <c r="AH2061"/>
      <c r="AI2061"/>
      <c r="AJ2061"/>
      <c r="AK2061"/>
      <c r="AL2061"/>
      <c r="AM2061"/>
      <c r="AN2061"/>
      <c r="AO2061"/>
      <c r="AP2061"/>
      <c r="AQ2061"/>
      <c r="AR2061"/>
      <c r="AS2061"/>
      <c r="AT2061"/>
      <c r="AU2061"/>
      <c r="AV2061"/>
      <c r="AW2061"/>
      <c r="AX2061"/>
      <c r="AY2061"/>
      <c r="AZ2061"/>
      <c r="BA2061"/>
      <c r="BB2061"/>
      <c r="BC2061"/>
      <c r="BD2061"/>
      <c r="BE2061"/>
      <c r="BF2061"/>
      <c r="BG2061"/>
      <c r="BH2061"/>
      <c r="BI2061"/>
      <c r="BJ2061"/>
      <c r="BK2061"/>
      <c r="BL2061"/>
      <c r="BM2061"/>
      <c r="BN2061"/>
      <c r="BO2061"/>
      <c r="BP2061"/>
      <c r="BQ2061"/>
      <c r="BR2061"/>
      <c r="BS2061"/>
      <c r="BT2061"/>
      <c r="BU2061"/>
      <c r="BV2061"/>
      <c r="BW2061"/>
      <c r="BX2061"/>
      <c r="BY2061"/>
      <c r="BZ2061"/>
      <c r="CA2061"/>
      <c r="CB2061"/>
      <c r="CC2061"/>
      <c r="CD2061"/>
      <c r="CE2061"/>
      <c r="CF2061"/>
      <c r="CG2061"/>
      <c r="CH2061"/>
      <c r="CI2061"/>
      <c r="CJ2061"/>
      <c r="CK2061"/>
      <c r="CL2061"/>
      <c r="CM2061"/>
      <c r="CN2061"/>
      <c r="CO2061"/>
      <c r="CP2061"/>
      <c r="CQ2061"/>
      <c r="CR2061"/>
      <c r="CS2061"/>
      <c r="CT2061"/>
      <c r="CU2061"/>
      <c r="CV2061"/>
      <c r="CW2061"/>
      <c r="CX2061"/>
      <c r="CY2061"/>
      <c r="CZ2061"/>
      <c r="DA2061"/>
      <c r="DB2061"/>
      <c r="DC2061"/>
      <c r="DD2061"/>
      <c r="DE2061"/>
      <c r="DF2061"/>
      <c r="DG2061"/>
      <c r="DH2061"/>
      <c r="DI2061"/>
      <c r="DJ2061"/>
      <c r="DK2061"/>
      <c r="DL2061"/>
      <c r="DM2061"/>
      <c r="DN2061"/>
      <c r="DO2061"/>
      <c r="DP2061"/>
      <c r="DQ2061"/>
      <c r="DR2061"/>
      <c r="DS2061"/>
      <c r="DT2061"/>
      <c r="DU2061"/>
      <c r="DV2061"/>
      <c r="DW2061"/>
      <c r="DX2061"/>
      <c r="DY2061"/>
      <c r="DZ2061"/>
      <c r="EA2061"/>
      <c r="EB2061"/>
      <c r="EC2061"/>
      <c r="ED2061"/>
      <c r="EE2061"/>
      <c r="EF2061"/>
      <c r="EG2061"/>
      <c r="EH2061"/>
      <c r="EI2061"/>
      <c r="EJ2061"/>
      <c r="EK2061"/>
      <c r="EL2061"/>
      <c r="EM2061"/>
      <c r="EN2061"/>
      <c r="EO2061"/>
      <c r="EP2061"/>
      <c r="EQ2061"/>
      <c r="ER2061"/>
      <c r="ES2061"/>
    </row>
    <row r="2062" spans="1:149">
      <c r="A2062"/>
      <c r="B2062"/>
      <c r="C2062"/>
      <c r="D2062"/>
      <c r="E2062"/>
      <c r="F2062"/>
      <c r="G2062"/>
      <c r="H2062"/>
      <c r="I2062"/>
      <c r="J2062"/>
      <c r="K2062"/>
      <c r="L2062"/>
      <c r="M2062"/>
      <c r="N2062"/>
      <c r="O2062"/>
      <c r="P2062"/>
      <c r="Q2062"/>
      <c r="R2062"/>
      <c r="S2062"/>
      <c r="T2062"/>
      <c r="U2062"/>
      <c r="V2062"/>
      <c r="W2062"/>
      <c r="X2062"/>
      <c r="Y2062"/>
      <c r="Z2062"/>
      <c r="AA2062"/>
      <c r="AB2062"/>
      <c r="AC2062"/>
      <c r="AD2062"/>
      <c r="AE2062"/>
      <c r="AF2062"/>
      <c r="AG2062"/>
      <c r="AH2062"/>
      <c r="AI2062"/>
      <c r="AJ2062"/>
      <c r="AK2062"/>
      <c r="AL2062"/>
      <c r="AM2062"/>
      <c r="AN2062"/>
      <c r="AO2062"/>
      <c r="AP2062"/>
      <c r="AQ2062"/>
      <c r="AR2062"/>
      <c r="AS2062"/>
      <c r="AT2062"/>
      <c r="AU2062"/>
      <c r="AV2062"/>
      <c r="AW2062"/>
      <c r="AX2062"/>
      <c r="AY2062"/>
      <c r="AZ2062"/>
      <c r="BA2062"/>
      <c r="BB2062"/>
      <c r="BC2062"/>
      <c r="BD2062"/>
      <c r="BE2062"/>
      <c r="BF2062"/>
      <c r="BG2062"/>
      <c r="BH2062"/>
      <c r="BI2062"/>
      <c r="BJ2062"/>
      <c r="BK2062"/>
      <c r="BL2062"/>
      <c r="BM2062"/>
      <c r="BN2062"/>
      <c r="BO2062"/>
      <c r="BP2062"/>
      <c r="BQ2062"/>
      <c r="BR2062"/>
      <c r="BS2062"/>
      <c r="BT2062"/>
      <c r="BU2062"/>
      <c r="BV2062"/>
      <c r="BW2062"/>
      <c r="BX2062"/>
      <c r="BY2062"/>
      <c r="BZ2062"/>
      <c r="CA2062"/>
      <c r="CB2062"/>
      <c r="CC2062"/>
      <c r="CD2062"/>
      <c r="CE2062"/>
      <c r="CF2062"/>
      <c r="CG2062"/>
      <c r="CH2062"/>
      <c r="CI2062"/>
      <c r="CJ2062"/>
      <c r="CK2062"/>
      <c r="CL2062"/>
      <c r="CM2062"/>
      <c r="CN2062"/>
      <c r="CO2062"/>
      <c r="CP2062"/>
      <c r="CQ2062"/>
      <c r="CR2062"/>
      <c r="CS2062"/>
      <c r="CT2062"/>
      <c r="CU2062"/>
      <c r="CV2062"/>
      <c r="CW2062"/>
      <c r="CX2062"/>
      <c r="CY2062"/>
      <c r="CZ2062"/>
      <c r="DA2062"/>
      <c r="DB2062"/>
      <c r="DC2062"/>
      <c r="DD2062"/>
      <c r="DE2062"/>
      <c r="DF2062"/>
      <c r="DG2062"/>
      <c r="DH2062"/>
      <c r="DI2062"/>
      <c r="DJ2062"/>
      <c r="DK2062"/>
      <c r="DL2062"/>
      <c r="DM2062"/>
      <c r="DN2062"/>
      <c r="DO2062"/>
      <c r="DP2062"/>
      <c r="DQ2062"/>
      <c r="DR2062"/>
      <c r="DS2062"/>
      <c r="DT2062"/>
      <c r="DU2062"/>
      <c r="DV2062"/>
      <c r="DW2062"/>
      <c r="DX2062"/>
      <c r="DY2062"/>
      <c r="DZ2062"/>
      <c r="EA2062"/>
      <c r="EB2062"/>
      <c r="EC2062"/>
      <c r="ED2062"/>
      <c r="EE2062"/>
      <c r="EF2062"/>
      <c r="EG2062"/>
      <c r="EH2062"/>
      <c r="EI2062"/>
      <c r="EJ2062"/>
      <c r="EK2062"/>
      <c r="EL2062"/>
      <c r="EM2062"/>
      <c r="EN2062"/>
      <c r="EO2062"/>
      <c r="EP2062"/>
      <c r="EQ2062"/>
      <c r="ER2062"/>
      <c r="ES2062"/>
    </row>
    <row r="2063" spans="1:149">
      <c r="A2063"/>
      <c r="B2063"/>
      <c r="C2063"/>
      <c r="D2063"/>
      <c r="E2063"/>
      <c r="F2063"/>
      <c r="G2063"/>
      <c r="H2063"/>
      <c r="I2063"/>
      <c r="J2063"/>
      <c r="K2063"/>
      <c r="L2063"/>
      <c r="M2063"/>
      <c r="N2063"/>
      <c r="O2063"/>
      <c r="P2063"/>
      <c r="Q2063"/>
      <c r="R2063"/>
      <c r="S2063"/>
      <c r="T2063"/>
      <c r="U2063"/>
      <c r="V2063"/>
      <c r="W2063"/>
      <c r="X2063"/>
      <c r="Y2063"/>
      <c r="Z2063"/>
      <c r="AA2063"/>
      <c r="AB2063"/>
      <c r="AC2063"/>
      <c r="AD2063"/>
      <c r="AE2063"/>
      <c r="AF2063"/>
      <c r="AG2063"/>
      <c r="AH2063"/>
      <c r="AI2063"/>
      <c r="AJ2063"/>
      <c r="AK2063"/>
      <c r="AL2063"/>
      <c r="AM2063"/>
      <c r="AN2063"/>
      <c r="AO2063"/>
      <c r="AP2063"/>
      <c r="AQ2063"/>
      <c r="AR2063"/>
      <c r="AS2063"/>
      <c r="AT2063"/>
      <c r="AU2063"/>
      <c r="AV2063"/>
      <c r="AW2063"/>
      <c r="AX2063"/>
      <c r="AY2063"/>
      <c r="AZ2063"/>
      <c r="BA2063"/>
      <c r="BB2063"/>
      <c r="BC2063"/>
      <c r="BD2063"/>
      <c r="BE2063"/>
      <c r="BF2063"/>
      <c r="BG2063"/>
      <c r="BH2063"/>
      <c r="BI2063"/>
      <c r="BJ2063"/>
      <c r="BK2063"/>
      <c r="BL2063"/>
      <c r="BM2063"/>
      <c r="BN2063"/>
      <c r="BO2063"/>
      <c r="BP2063"/>
      <c r="BQ2063"/>
      <c r="BR2063"/>
      <c r="BS2063"/>
      <c r="BT2063"/>
      <c r="BU2063"/>
      <c r="BV2063"/>
      <c r="BW2063"/>
      <c r="BX2063"/>
      <c r="BY2063"/>
      <c r="BZ2063"/>
      <c r="CA2063"/>
      <c r="CB2063"/>
      <c r="CC2063"/>
      <c r="CD2063"/>
      <c r="CE2063"/>
      <c r="CF2063"/>
      <c r="CG2063"/>
      <c r="CH2063"/>
      <c r="CI2063"/>
      <c r="CJ2063"/>
      <c r="CK2063"/>
      <c r="CL2063"/>
      <c r="CM2063"/>
      <c r="CN2063"/>
      <c r="CO2063"/>
      <c r="CP2063"/>
      <c r="CQ2063"/>
      <c r="CR2063"/>
      <c r="CS2063"/>
      <c r="CT2063"/>
      <c r="CU2063"/>
      <c r="CV2063"/>
      <c r="CW2063"/>
      <c r="CX2063"/>
      <c r="CY2063"/>
      <c r="CZ2063"/>
      <c r="DA2063"/>
      <c r="DB2063"/>
      <c r="DC2063"/>
      <c r="DD2063"/>
      <c r="DE2063"/>
      <c r="DF2063"/>
      <c r="DG2063"/>
      <c r="DH2063"/>
      <c r="DI2063"/>
      <c r="DJ2063"/>
      <c r="DK2063"/>
      <c r="DL2063"/>
      <c r="DM2063"/>
      <c r="DN2063"/>
      <c r="DO2063"/>
      <c r="DP2063"/>
      <c r="DQ2063"/>
      <c r="DR2063"/>
      <c r="DS2063"/>
      <c r="DT2063"/>
      <c r="DU2063"/>
      <c r="DV2063"/>
      <c r="DW2063"/>
      <c r="DX2063"/>
      <c r="DY2063"/>
      <c r="DZ2063"/>
      <c r="EA2063"/>
      <c r="EB2063"/>
      <c r="EC2063"/>
      <c r="ED2063"/>
      <c r="EE2063"/>
      <c r="EF2063"/>
      <c r="EG2063"/>
      <c r="EH2063"/>
      <c r="EI2063"/>
      <c r="EJ2063"/>
      <c r="EK2063"/>
      <c r="EL2063"/>
      <c r="EM2063"/>
      <c r="EN2063"/>
      <c r="EO2063"/>
      <c r="EP2063"/>
      <c r="EQ2063"/>
      <c r="ER2063"/>
      <c r="ES2063"/>
    </row>
    <row r="2064" spans="1:149">
      <c r="A2064"/>
      <c r="B2064"/>
      <c r="C2064"/>
      <c r="D2064"/>
      <c r="E2064"/>
      <c r="F2064"/>
      <c r="G2064"/>
      <c r="H2064"/>
      <c r="I2064"/>
      <c r="J2064"/>
      <c r="K2064"/>
      <c r="L2064"/>
      <c r="M2064"/>
      <c r="N2064"/>
      <c r="O2064"/>
      <c r="P2064"/>
      <c r="Q2064"/>
      <c r="R2064"/>
      <c r="S2064"/>
      <c r="T2064"/>
      <c r="U2064"/>
      <c r="V2064"/>
      <c r="W2064"/>
      <c r="X2064"/>
      <c r="Y2064"/>
      <c r="Z2064"/>
      <c r="AA2064"/>
      <c r="AB2064"/>
      <c r="AC2064"/>
      <c r="AD2064"/>
      <c r="AE2064"/>
      <c r="AF2064"/>
      <c r="AG2064"/>
      <c r="AH2064"/>
      <c r="AI2064"/>
      <c r="AJ2064"/>
      <c r="AK2064"/>
      <c r="AL2064"/>
      <c r="AM2064"/>
      <c r="AN2064"/>
      <c r="AO2064"/>
      <c r="AP2064"/>
      <c r="AQ2064"/>
      <c r="AR2064"/>
      <c r="AS2064"/>
      <c r="AT2064"/>
      <c r="AU2064"/>
      <c r="AV2064"/>
      <c r="AW2064"/>
      <c r="AX2064"/>
      <c r="AY2064"/>
      <c r="AZ2064"/>
      <c r="BA2064"/>
      <c r="BB2064"/>
      <c r="BC2064"/>
      <c r="BD2064"/>
      <c r="BE2064"/>
      <c r="BF2064"/>
      <c r="BG2064"/>
      <c r="BH2064"/>
      <c r="BI2064"/>
      <c r="BJ2064"/>
      <c r="BK2064"/>
      <c r="BL2064"/>
      <c r="BM2064"/>
      <c r="BN2064"/>
      <c r="BO2064"/>
      <c r="BP2064"/>
      <c r="BQ2064"/>
      <c r="BR2064"/>
      <c r="BS2064"/>
      <c r="BT2064"/>
      <c r="BU2064"/>
      <c r="BV2064"/>
      <c r="BW2064"/>
      <c r="BX2064"/>
      <c r="BY2064"/>
      <c r="BZ2064"/>
      <c r="CA2064"/>
      <c r="CB2064"/>
      <c r="CC2064"/>
      <c r="CD2064"/>
      <c r="CE2064"/>
      <c r="CF2064"/>
      <c r="CG2064"/>
      <c r="CH2064"/>
      <c r="CI2064"/>
      <c r="CJ2064"/>
      <c r="CK2064"/>
      <c r="CL2064"/>
      <c r="CM2064"/>
      <c r="CN2064"/>
      <c r="CO2064"/>
      <c r="CP2064"/>
      <c r="CQ2064"/>
      <c r="CR2064"/>
      <c r="CS2064"/>
      <c r="CT2064"/>
      <c r="CU2064"/>
      <c r="CV2064"/>
      <c r="CW2064"/>
      <c r="CX2064"/>
      <c r="CY2064"/>
      <c r="CZ2064"/>
      <c r="DA2064"/>
      <c r="DB2064"/>
      <c r="DC2064"/>
      <c r="DD2064"/>
      <c r="DE2064"/>
      <c r="DF2064"/>
      <c r="DG2064"/>
      <c r="DH2064"/>
      <c r="DI2064"/>
      <c r="DJ2064"/>
      <c r="DK2064"/>
      <c r="DL2064"/>
      <c r="DM2064"/>
      <c r="DN2064"/>
      <c r="DO2064"/>
      <c r="DP2064"/>
      <c r="DQ2064"/>
      <c r="DR2064"/>
      <c r="DS2064"/>
      <c r="DT2064"/>
      <c r="DU2064"/>
      <c r="DV2064"/>
      <c r="DW2064"/>
      <c r="DX2064"/>
      <c r="DY2064"/>
      <c r="DZ2064"/>
      <c r="EA2064"/>
      <c r="EB2064"/>
      <c r="EC2064"/>
      <c r="ED2064"/>
      <c r="EE2064"/>
      <c r="EF2064"/>
      <c r="EG2064"/>
      <c r="EH2064"/>
      <c r="EI2064"/>
      <c r="EJ2064"/>
      <c r="EK2064"/>
      <c r="EL2064"/>
      <c r="EM2064"/>
      <c r="EN2064"/>
      <c r="EO2064"/>
      <c r="EP2064"/>
      <c r="EQ2064"/>
      <c r="ER2064"/>
      <c r="ES2064"/>
    </row>
    <row r="2065" spans="1:149">
      <c r="A2065"/>
      <c r="B2065"/>
      <c r="C2065"/>
      <c r="D2065"/>
      <c r="E2065"/>
      <c r="F2065"/>
      <c r="G2065"/>
      <c r="H2065"/>
      <c r="I2065"/>
      <c r="J2065"/>
      <c r="K2065"/>
      <c r="L2065"/>
      <c r="M2065"/>
      <c r="N2065"/>
      <c r="O2065"/>
      <c r="P2065"/>
      <c r="Q2065"/>
      <c r="R2065"/>
      <c r="S2065"/>
      <c r="T2065"/>
      <c r="U2065"/>
      <c r="V2065"/>
      <c r="W2065"/>
      <c r="X2065"/>
      <c r="Y2065"/>
      <c r="Z2065"/>
      <c r="AA2065"/>
      <c r="AB2065"/>
      <c r="AC2065"/>
      <c r="AD2065"/>
      <c r="AE2065"/>
      <c r="AF2065"/>
      <c r="AG2065"/>
      <c r="AH2065"/>
      <c r="AI2065"/>
      <c r="AJ2065"/>
      <c r="AK2065"/>
      <c r="AL2065"/>
      <c r="AM2065"/>
      <c r="AN2065"/>
      <c r="AO2065"/>
      <c r="AP2065"/>
      <c r="AQ2065"/>
      <c r="AR2065"/>
      <c r="AS2065"/>
      <c r="AT2065"/>
      <c r="AU2065"/>
      <c r="AV2065"/>
      <c r="AW2065"/>
      <c r="AX2065"/>
      <c r="AY2065"/>
      <c r="AZ2065"/>
      <c r="BA2065"/>
      <c r="BB2065"/>
      <c r="BC2065"/>
      <c r="BD2065"/>
      <c r="BE2065"/>
      <c r="BF2065"/>
      <c r="BG2065"/>
      <c r="BH2065"/>
      <c r="BI2065"/>
      <c r="BJ2065"/>
      <c r="BK2065"/>
      <c r="BL2065"/>
      <c r="BM2065"/>
      <c r="BN2065"/>
      <c r="BO2065"/>
      <c r="BP2065"/>
      <c r="BQ2065"/>
      <c r="BR2065"/>
      <c r="BS2065"/>
      <c r="BT2065"/>
      <c r="BU2065"/>
      <c r="BV2065"/>
      <c r="BW2065"/>
      <c r="BX2065"/>
      <c r="BY2065"/>
      <c r="BZ2065"/>
      <c r="CA2065"/>
      <c r="CB2065"/>
      <c r="CC2065"/>
      <c r="CD2065"/>
      <c r="CE2065"/>
      <c r="CF2065"/>
      <c r="CG2065"/>
      <c r="CH2065"/>
      <c r="CI2065"/>
      <c r="CJ2065"/>
      <c r="CK2065"/>
      <c r="CL2065"/>
      <c r="CM2065"/>
      <c r="CN2065"/>
      <c r="CO2065"/>
      <c r="CP2065"/>
      <c r="CQ2065"/>
      <c r="CR2065"/>
      <c r="CS2065"/>
      <c r="CT2065"/>
      <c r="CU2065"/>
      <c r="CV2065"/>
      <c r="CW2065"/>
      <c r="CX2065"/>
      <c r="CY2065"/>
      <c r="CZ2065"/>
      <c r="DA2065"/>
      <c r="DB2065"/>
      <c r="DC2065"/>
      <c r="DD2065"/>
      <c r="DE2065"/>
      <c r="DF2065"/>
      <c r="DG2065"/>
      <c r="DH2065"/>
      <c r="DI2065"/>
      <c r="DJ2065"/>
      <c r="DK2065"/>
      <c r="DL2065"/>
      <c r="DM2065"/>
      <c r="DN2065"/>
      <c r="DO2065"/>
      <c r="DP2065"/>
      <c r="DQ2065"/>
      <c r="DR2065"/>
      <c r="DS2065"/>
      <c r="DT2065"/>
      <c r="DU2065"/>
      <c r="DV2065"/>
      <c r="DW2065"/>
      <c r="DX2065"/>
      <c r="DY2065"/>
      <c r="DZ2065"/>
      <c r="EA2065"/>
      <c r="EB2065"/>
      <c r="EC2065"/>
      <c r="ED2065"/>
      <c r="EE2065"/>
      <c r="EF2065"/>
      <c r="EG2065"/>
      <c r="EH2065"/>
      <c r="EI2065"/>
      <c r="EJ2065"/>
      <c r="EK2065"/>
      <c r="EL2065"/>
      <c r="EM2065"/>
      <c r="EN2065"/>
      <c r="EO2065"/>
      <c r="EP2065"/>
      <c r="EQ2065"/>
      <c r="ER2065"/>
      <c r="ES2065"/>
    </row>
    <row r="2066" spans="1:149">
      <c r="A2066"/>
      <c r="B2066"/>
      <c r="C2066"/>
      <c r="D2066"/>
      <c r="E2066"/>
      <c r="F2066"/>
      <c r="G2066"/>
      <c r="H2066"/>
      <c r="I2066"/>
      <c r="J2066"/>
      <c r="K2066"/>
      <c r="L2066"/>
      <c r="M2066"/>
      <c r="N2066"/>
      <c r="O2066"/>
      <c r="P2066"/>
      <c r="Q2066"/>
      <c r="R2066"/>
      <c r="S2066"/>
      <c r="T2066"/>
      <c r="U2066"/>
      <c r="V2066"/>
      <c r="W2066"/>
      <c r="X2066"/>
      <c r="Y2066"/>
      <c r="Z2066"/>
      <c r="AA2066"/>
      <c r="AB2066"/>
      <c r="AC2066"/>
      <c r="AD2066"/>
      <c r="AE2066"/>
      <c r="AF2066"/>
      <c r="AG2066"/>
      <c r="AH2066"/>
      <c r="AI2066"/>
      <c r="AJ2066"/>
      <c r="AK2066"/>
      <c r="AL2066"/>
      <c r="AM2066"/>
      <c r="AN2066"/>
      <c r="AO2066"/>
      <c r="AP2066"/>
      <c r="AQ2066"/>
      <c r="AR2066"/>
      <c r="AS2066"/>
      <c r="AT2066"/>
      <c r="AU2066"/>
      <c r="AV2066"/>
      <c r="AW2066"/>
      <c r="AX2066"/>
      <c r="AY2066"/>
      <c r="AZ2066"/>
      <c r="BA2066"/>
      <c r="BB2066"/>
      <c r="BC2066"/>
      <c r="BD2066"/>
      <c r="BE2066"/>
      <c r="BF2066"/>
      <c r="BG2066"/>
      <c r="BH2066"/>
      <c r="BI2066"/>
      <c r="BJ2066"/>
      <c r="BK2066"/>
      <c r="BL2066"/>
      <c r="BM2066"/>
      <c r="BN2066"/>
      <c r="BO2066"/>
      <c r="BP2066"/>
      <c r="BQ2066"/>
      <c r="BR2066"/>
      <c r="BS2066"/>
      <c r="BT2066"/>
      <c r="BU2066"/>
      <c r="BV2066"/>
      <c r="BW2066"/>
      <c r="BX2066"/>
      <c r="BY2066"/>
      <c r="BZ2066"/>
      <c r="CA2066"/>
      <c r="CB2066"/>
      <c r="CC2066"/>
      <c r="CD2066"/>
      <c r="CE2066"/>
      <c r="CF2066"/>
      <c r="CG2066"/>
      <c r="CH2066"/>
      <c r="CI2066"/>
      <c r="CJ2066"/>
      <c r="CK2066"/>
      <c r="CL2066"/>
      <c r="CM2066"/>
      <c r="CN2066"/>
      <c r="CO2066"/>
      <c r="CP2066"/>
      <c r="CQ2066"/>
      <c r="CR2066"/>
      <c r="CS2066"/>
      <c r="CT2066"/>
      <c r="CU2066"/>
      <c r="CV2066"/>
      <c r="CW2066"/>
      <c r="CX2066"/>
      <c r="CY2066"/>
      <c r="CZ2066"/>
      <c r="DA2066"/>
      <c r="DB2066"/>
      <c r="DC2066"/>
      <c r="DD2066"/>
      <c r="DE2066"/>
      <c r="DF2066"/>
      <c r="DG2066"/>
      <c r="DH2066"/>
      <c r="DI2066"/>
      <c r="DJ2066"/>
      <c r="DK2066"/>
      <c r="DL2066"/>
      <c r="DM2066"/>
      <c r="DN2066"/>
      <c r="DO2066"/>
      <c r="DP2066"/>
      <c r="DQ2066"/>
      <c r="DR2066"/>
      <c r="DS2066"/>
      <c r="DT2066"/>
      <c r="DU2066"/>
      <c r="DV2066"/>
      <c r="DW2066"/>
      <c r="DX2066"/>
      <c r="DY2066"/>
      <c r="DZ2066"/>
      <c r="EA2066"/>
      <c r="EB2066"/>
      <c r="EC2066"/>
      <c r="ED2066"/>
      <c r="EE2066"/>
      <c r="EF2066"/>
      <c r="EG2066"/>
      <c r="EH2066"/>
      <c r="EI2066"/>
      <c r="EJ2066"/>
      <c r="EK2066"/>
      <c r="EL2066"/>
      <c r="EM2066"/>
      <c r="EN2066"/>
      <c r="EO2066"/>
      <c r="EP2066"/>
      <c r="EQ2066"/>
      <c r="ER2066"/>
      <c r="ES2066"/>
    </row>
    <row r="2067" spans="1:149">
      <c r="A2067"/>
      <c r="B2067"/>
      <c r="C2067"/>
      <c r="D2067"/>
      <c r="E2067"/>
      <c r="F2067"/>
      <c r="G2067"/>
      <c r="H2067"/>
      <c r="I2067"/>
      <c r="J2067"/>
      <c r="K2067"/>
      <c r="L2067"/>
      <c r="M2067"/>
      <c r="N2067"/>
      <c r="O2067"/>
      <c r="P2067"/>
      <c r="Q2067"/>
      <c r="R2067"/>
      <c r="S2067"/>
      <c r="T2067"/>
      <c r="U2067"/>
      <c r="V2067"/>
      <c r="W2067"/>
      <c r="X2067"/>
      <c r="Y2067"/>
      <c r="Z2067"/>
      <c r="AA2067"/>
      <c r="AB2067"/>
      <c r="AC2067"/>
      <c r="AD2067"/>
      <c r="AE2067"/>
      <c r="AF2067"/>
      <c r="AG2067"/>
      <c r="AH2067"/>
      <c r="AI2067"/>
      <c r="AJ2067"/>
      <c r="AK2067"/>
      <c r="AL2067"/>
      <c r="AM2067"/>
      <c r="AN2067"/>
      <c r="AO2067"/>
      <c r="AP2067"/>
      <c r="AQ2067"/>
      <c r="AR2067"/>
      <c r="AS2067"/>
      <c r="AT2067"/>
      <c r="AU2067"/>
      <c r="AV2067"/>
      <c r="AW2067"/>
      <c r="AX2067"/>
      <c r="AY2067"/>
      <c r="AZ2067"/>
      <c r="BA2067"/>
      <c r="BB2067"/>
      <c r="BC2067"/>
      <c r="BD2067"/>
      <c r="BE2067"/>
      <c r="BF2067"/>
      <c r="BG2067"/>
      <c r="BH2067"/>
      <c r="BI2067"/>
      <c r="BJ2067"/>
      <c r="BK2067"/>
      <c r="BL2067"/>
      <c r="BM2067"/>
      <c r="BN2067"/>
      <c r="BO2067"/>
      <c r="BP2067"/>
      <c r="BQ2067"/>
      <c r="BR2067"/>
      <c r="BS2067"/>
      <c r="BT2067"/>
      <c r="BU2067"/>
      <c r="BV2067"/>
      <c r="BW2067"/>
      <c r="BX2067"/>
      <c r="BY2067"/>
      <c r="BZ2067"/>
      <c r="CA2067"/>
      <c r="CB2067"/>
      <c r="CC2067"/>
      <c r="CD2067"/>
      <c r="CE2067"/>
      <c r="CF2067"/>
      <c r="CG2067"/>
      <c r="CH2067"/>
      <c r="CI2067"/>
      <c r="CJ2067"/>
      <c r="CK2067"/>
      <c r="CL2067"/>
      <c r="CM2067"/>
      <c r="CN2067"/>
      <c r="CO2067"/>
      <c r="CP2067"/>
      <c r="CQ2067"/>
      <c r="CR2067"/>
      <c r="CS2067"/>
      <c r="CT2067"/>
      <c r="CU2067"/>
      <c r="CV2067"/>
      <c r="CW2067"/>
      <c r="CX2067"/>
      <c r="CY2067"/>
      <c r="CZ2067"/>
      <c r="DA2067"/>
      <c r="DB2067"/>
      <c r="DC2067"/>
      <c r="DD2067"/>
      <c r="DE2067"/>
      <c r="DF2067"/>
      <c r="DG2067"/>
      <c r="DH2067"/>
      <c r="DI2067"/>
      <c r="DJ2067"/>
      <c r="DK2067"/>
      <c r="DL2067"/>
      <c r="DM2067"/>
      <c r="DN2067"/>
      <c r="DO2067"/>
      <c r="DP2067"/>
      <c r="DQ2067"/>
      <c r="DR2067"/>
      <c r="DS2067"/>
      <c r="DT2067"/>
      <c r="DU2067"/>
      <c r="DV2067"/>
      <c r="DW2067"/>
      <c r="DX2067"/>
      <c r="DY2067"/>
      <c r="DZ2067"/>
      <c r="EA2067"/>
      <c r="EB2067"/>
      <c r="EC2067"/>
      <c r="ED2067"/>
      <c r="EE2067"/>
      <c r="EF2067"/>
      <c r="EG2067"/>
      <c r="EH2067"/>
      <c r="EI2067"/>
      <c r="EJ2067"/>
      <c r="EK2067"/>
      <c r="EL2067"/>
      <c r="EM2067"/>
      <c r="EN2067"/>
      <c r="EO2067"/>
      <c r="EP2067"/>
      <c r="EQ2067"/>
      <c r="ER2067"/>
      <c r="ES2067"/>
    </row>
    <row r="2068" spans="1:149">
      <c r="A2068"/>
      <c r="B2068"/>
      <c r="C2068"/>
      <c r="D2068"/>
      <c r="E2068"/>
      <c r="F2068"/>
      <c r="G2068"/>
      <c r="H2068"/>
      <c r="I2068"/>
      <c r="J2068"/>
      <c r="K2068"/>
      <c r="L2068"/>
      <c r="M2068"/>
      <c r="N2068"/>
      <c r="O2068"/>
      <c r="P2068"/>
      <c r="Q2068"/>
      <c r="R2068"/>
      <c r="S2068"/>
      <c r="T2068"/>
      <c r="U2068"/>
      <c r="V2068"/>
      <c r="W2068"/>
      <c r="X2068"/>
      <c r="Y2068"/>
      <c r="Z2068"/>
      <c r="AA2068"/>
      <c r="AB2068"/>
      <c r="AC2068"/>
      <c r="AD2068"/>
      <c r="AE2068"/>
      <c r="AF2068"/>
      <c r="AG2068"/>
      <c r="AH2068"/>
      <c r="AI2068"/>
      <c r="AJ2068"/>
      <c r="AK2068"/>
      <c r="AL2068"/>
      <c r="AM2068"/>
      <c r="AN2068"/>
      <c r="AO2068"/>
      <c r="AP2068"/>
      <c r="AQ2068"/>
      <c r="AR2068"/>
      <c r="AS2068"/>
      <c r="AT2068"/>
      <c r="AU2068"/>
      <c r="AV2068"/>
      <c r="AW2068"/>
      <c r="AX2068"/>
      <c r="AY2068"/>
      <c r="AZ2068"/>
      <c r="BA2068"/>
      <c r="BB2068"/>
      <c r="BC2068"/>
      <c r="BD2068"/>
      <c r="BE2068"/>
      <c r="BF2068"/>
      <c r="BG2068"/>
      <c r="BH2068"/>
      <c r="BI2068"/>
      <c r="BJ2068"/>
      <c r="BK2068"/>
      <c r="BL2068"/>
      <c r="BM2068"/>
      <c r="BN2068"/>
      <c r="BO2068"/>
      <c r="BP2068"/>
      <c r="BQ2068"/>
      <c r="BR2068"/>
      <c r="BS2068"/>
      <c r="BT2068"/>
      <c r="BU2068"/>
      <c r="BV2068"/>
      <c r="BW2068"/>
      <c r="BX2068"/>
      <c r="BY2068"/>
      <c r="BZ2068"/>
      <c r="CA2068"/>
      <c r="CB2068"/>
      <c r="CC2068"/>
      <c r="CD2068"/>
      <c r="CE2068"/>
      <c r="CF2068"/>
      <c r="CG2068"/>
      <c r="CH2068"/>
      <c r="CI2068"/>
      <c r="CJ2068"/>
      <c r="CK2068"/>
      <c r="CL2068"/>
      <c r="CM2068"/>
      <c r="CN2068"/>
      <c r="CO2068"/>
      <c r="CP2068"/>
      <c r="CQ2068"/>
      <c r="CR2068"/>
      <c r="CS2068"/>
      <c r="CT2068"/>
      <c r="CU2068"/>
      <c r="CV2068"/>
      <c r="CW2068"/>
      <c r="CX2068"/>
      <c r="CY2068"/>
      <c r="CZ2068"/>
      <c r="DA2068"/>
      <c r="DB2068"/>
      <c r="DC2068"/>
      <c r="DD2068"/>
      <c r="DE2068"/>
      <c r="DF2068"/>
      <c r="DG2068"/>
      <c r="DH2068"/>
      <c r="DI2068"/>
      <c r="DJ2068"/>
      <c r="DK2068"/>
      <c r="DL2068"/>
      <c r="DM2068"/>
      <c r="DN2068"/>
      <c r="DO2068"/>
      <c r="DP2068"/>
      <c r="DQ2068"/>
      <c r="DR2068"/>
      <c r="DS2068"/>
      <c r="DT2068"/>
      <c r="DU2068"/>
      <c r="DV2068"/>
      <c r="DW2068"/>
      <c r="DX2068"/>
      <c r="DY2068"/>
      <c r="DZ2068"/>
      <c r="EA2068"/>
      <c r="EB2068"/>
      <c r="EC2068"/>
      <c r="ED2068"/>
      <c r="EE2068"/>
      <c r="EF2068"/>
      <c r="EG2068"/>
      <c r="EH2068"/>
      <c r="EI2068"/>
      <c r="EJ2068"/>
      <c r="EK2068"/>
      <c r="EL2068"/>
      <c r="EM2068"/>
      <c r="EN2068"/>
      <c r="EO2068"/>
      <c r="EP2068"/>
      <c r="EQ2068"/>
      <c r="ER2068"/>
      <c r="ES2068"/>
    </row>
    <row r="2069" spans="1:149">
      <c r="A2069"/>
      <c r="B2069"/>
      <c r="C2069"/>
      <c r="D2069"/>
      <c r="E2069"/>
      <c r="F2069"/>
      <c r="G2069"/>
      <c r="H2069"/>
      <c r="I2069"/>
      <c r="J2069"/>
      <c r="K2069"/>
      <c r="L2069"/>
      <c r="M2069"/>
      <c r="N2069"/>
      <c r="O2069"/>
      <c r="P2069"/>
      <c r="Q2069"/>
      <c r="R2069"/>
      <c r="S2069"/>
      <c r="T2069"/>
      <c r="U2069"/>
      <c r="V2069"/>
      <c r="W2069"/>
      <c r="X2069"/>
      <c r="Y2069"/>
      <c r="Z2069"/>
      <c r="AA2069"/>
      <c r="AB2069"/>
      <c r="AC2069"/>
      <c r="AD2069"/>
      <c r="AE2069"/>
      <c r="AF2069"/>
      <c r="AG2069"/>
      <c r="AH2069"/>
      <c r="AI2069"/>
      <c r="AJ2069"/>
      <c r="AK2069"/>
      <c r="AL2069"/>
      <c r="AM2069"/>
      <c r="AN2069"/>
      <c r="AO2069"/>
      <c r="AP2069"/>
      <c r="AQ2069"/>
      <c r="AR2069"/>
      <c r="AS2069"/>
      <c r="AT2069"/>
      <c r="AU2069"/>
      <c r="AV2069"/>
      <c r="AW2069"/>
      <c r="AX2069"/>
      <c r="AY2069"/>
      <c r="AZ2069"/>
      <c r="BA2069"/>
      <c r="BB2069"/>
      <c r="BC2069"/>
      <c r="BD2069"/>
      <c r="BE2069"/>
      <c r="BF2069"/>
      <c r="BG2069"/>
      <c r="BH2069"/>
      <c r="BI2069"/>
      <c r="BJ2069"/>
      <c r="BK2069"/>
      <c r="BL2069"/>
      <c r="BM2069"/>
      <c r="BN2069"/>
      <c r="BO2069"/>
      <c r="BP2069"/>
      <c r="BQ2069"/>
      <c r="BR2069"/>
      <c r="BS2069"/>
      <c r="BT2069"/>
      <c r="BU2069"/>
      <c r="BV2069"/>
      <c r="BW2069"/>
      <c r="BX2069"/>
      <c r="BY2069"/>
      <c r="BZ2069"/>
      <c r="CA2069"/>
      <c r="CB2069"/>
      <c r="CC2069"/>
      <c r="CD2069"/>
      <c r="CE2069"/>
      <c r="CF2069"/>
      <c r="CG2069"/>
      <c r="CH2069"/>
      <c r="CI2069"/>
      <c r="CJ2069"/>
      <c r="CK2069"/>
      <c r="CL2069"/>
      <c r="CM2069"/>
      <c r="CN2069"/>
      <c r="CO2069"/>
      <c r="CP2069"/>
      <c r="CQ2069"/>
      <c r="CR2069"/>
      <c r="CS2069"/>
      <c r="CT2069"/>
      <c r="CU2069"/>
      <c r="CV2069"/>
      <c r="CW2069"/>
      <c r="CX2069"/>
      <c r="CY2069"/>
      <c r="CZ2069"/>
      <c r="DA2069"/>
      <c r="DB2069"/>
      <c r="DC2069"/>
      <c r="DD2069"/>
      <c r="DE2069"/>
      <c r="DF2069"/>
      <c r="DG2069"/>
      <c r="DH2069"/>
      <c r="DI2069"/>
      <c r="DJ2069"/>
      <c r="DK2069"/>
      <c r="DL2069"/>
      <c r="DM2069"/>
      <c r="DN2069"/>
      <c r="DO2069"/>
      <c r="DP2069"/>
      <c r="DQ2069"/>
      <c r="DR2069"/>
      <c r="DS2069"/>
      <c r="DT2069"/>
      <c r="DU2069"/>
      <c r="DV2069"/>
      <c r="DW2069"/>
      <c r="DX2069"/>
      <c r="DY2069"/>
      <c r="DZ2069"/>
      <c r="EA2069"/>
      <c r="EB2069"/>
      <c r="EC2069"/>
      <c r="ED2069"/>
      <c r="EE2069"/>
      <c r="EF2069"/>
      <c r="EG2069"/>
      <c r="EH2069"/>
      <c r="EI2069"/>
      <c r="EJ2069"/>
      <c r="EK2069"/>
      <c r="EL2069"/>
      <c r="EM2069"/>
      <c r="EN2069"/>
      <c r="EO2069"/>
      <c r="EP2069"/>
      <c r="EQ2069"/>
      <c r="ER2069"/>
      <c r="ES2069"/>
    </row>
    <row r="2070" spans="1:149">
      <c r="A2070"/>
      <c r="B2070"/>
      <c r="C2070"/>
      <c r="D2070"/>
      <c r="E2070"/>
      <c r="F2070"/>
      <c r="G2070"/>
      <c r="H2070"/>
      <c r="I2070"/>
      <c r="J2070"/>
      <c r="K2070"/>
      <c r="L2070"/>
      <c r="M2070"/>
      <c r="N2070"/>
      <c r="O2070"/>
      <c r="P2070"/>
      <c r="Q2070"/>
      <c r="R2070"/>
      <c r="S2070"/>
      <c r="T2070"/>
      <c r="U2070"/>
      <c r="V2070"/>
      <c r="W2070"/>
      <c r="X2070"/>
      <c r="Y2070"/>
      <c r="Z2070"/>
      <c r="AA2070"/>
      <c r="AB2070"/>
      <c r="AC2070"/>
      <c r="AD2070"/>
      <c r="AE2070"/>
      <c r="AF2070"/>
      <c r="AG2070"/>
      <c r="AH2070"/>
      <c r="AI2070"/>
      <c r="AJ2070"/>
      <c r="AK2070"/>
      <c r="AL2070"/>
      <c r="AM2070"/>
      <c r="AN2070"/>
      <c r="AO2070"/>
      <c r="AP2070"/>
      <c r="AQ2070"/>
      <c r="AR2070"/>
      <c r="AS2070"/>
      <c r="AT2070"/>
      <c r="AU2070"/>
      <c r="AV2070"/>
      <c r="AW2070"/>
      <c r="AX2070"/>
      <c r="AY2070"/>
      <c r="AZ2070"/>
      <c r="BA2070"/>
      <c r="BB2070"/>
      <c r="BC2070"/>
      <c r="BD2070"/>
      <c r="BE2070"/>
      <c r="BF2070"/>
      <c r="BG2070"/>
      <c r="BH2070"/>
      <c r="BI2070"/>
      <c r="BJ2070"/>
      <c r="BK2070"/>
      <c r="BL2070"/>
      <c r="BM2070"/>
      <c r="BN2070"/>
      <c r="BO2070"/>
      <c r="BP2070"/>
      <c r="BQ2070"/>
      <c r="BR2070"/>
      <c r="BS2070"/>
      <c r="BT2070"/>
      <c r="BU2070"/>
      <c r="BV2070"/>
      <c r="BW2070"/>
      <c r="BX2070"/>
      <c r="BY2070"/>
      <c r="BZ2070"/>
      <c r="CA2070"/>
      <c r="CB2070"/>
      <c r="CC2070"/>
      <c r="CD2070"/>
      <c r="CE2070"/>
      <c r="CF2070"/>
      <c r="CG2070"/>
      <c r="CH2070"/>
      <c r="CI2070"/>
      <c r="CJ2070"/>
      <c r="CK2070"/>
      <c r="CL2070"/>
      <c r="CM2070"/>
      <c r="CN2070"/>
      <c r="CO2070"/>
      <c r="CP2070"/>
      <c r="CQ2070"/>
      <c r="CR2070"/>
      <c r="CS2070"/>
      <c r="CT2070"/>
      <c r="CU2070"/>
      <c r="CV2070"/>
      <c r="CW2070"/>
      <c r="CX2070"/>
      <c r="CY2070"/>
      <c r="CZ2070"/>
      <c r="DA2070"/>
      <c r="DB2070"/>
      <c r="DC2070"/>
      <c r="DD2070"/>
      <c r="DE2070"/>
      <c r="DF2070"/>
      <c r="DG2070"/>
      <c r="DH2070"/>
      <c r="DI2070"/>
      <c r="DJ2070"/>
      <c r="DK2070"/>
      <c r="DL2070"/>
      <c r="DM2070"/>
      <c r="DN2070"/>
      <c r="DO2070"/>
      <c r="DP2070"/>
      <c r="DQ2070"/>
      <c r="DR2070"/>
      <c r="DS2070"/>
      <c r="DT2070"/>
      <c r="DU2070"/>
      <c r="DV2070"/>
      <c r="DW2070"/>
      <c r="DX2070"/>
      <c r="DY2070"/>
      <c r="DZ2070"/>
      <c r="EA2070"/>
      <c r="EB2070"/>
      <c r="EC2070"/>
      <c r="ED2070"/>
      <c r="EE2070"/>
      <c r="EF2070"/>
      <c r="EG2070"/>
      <c r="EH2070"/>
      <c r="EI2070"/>
      <c r="EJ2070"/>
      <c r="EK2070"/>
      <c r="EL2070"/>
      <c r="EM2070"/>
      <c r="EN2070"/>
      <c r="EO2070"/>
      <c r="EP2070"/>
      <c r="EQ2070"/>
      <c r="ER2070"/>
      <c r="ES2070"/>
    </row>
    <row r="2071" spans="1:149">
      <c r="A2071"/>
      <c r="B2071"/>
      <c r="C2071"/>
      <c r="D2071"/>
      <c r="E2071"/>
      <c r="F2071"/>
      <c r="G2071"/>
      <c r="H2071"/>
      <c r="I2071"/>
      <c r="J2071"/>
      <c r="K2071"/>
      <c r="L2071"/>
      <c r="M2071"/>
      <c r="N2071"/>
      <c r="O2071"/>
      <c r="P2071"/>
      <c r="Q2071"/>
      <c r="R2071"/>
      <c r="S2071"/>
      <c r="T2071"/>
      <c r="U2071"/>
      <c r="V2071"/>
      <c r="W2071"/>
      <c r="X2071"/>
      <c r="Y2071"/>
      <c r="Z2071"/>
      <c r="AA2071"/>
      <c r="AB2071"/>
      <c r="AC2071"/>
      <c r="AD2071"/>
      <c r="AE2071"/>
      <c r="AF2071"/>
      <c r="AG2071"/>
      <c r="AH2071"/>
      <c r="AI2071"/>
      <c r="AJ2071"/>
      <c r="AK2071"/>
      <c r="AL2071"/>
      <c r="AM2071"/>
      <c r="AN2071"/>
      <c r="AO2071"/>
      <c r="AP2071"/>
      <c r="AQ2071"/>
      <c r="AR2071"/>
      <c r="AS2071"/>
      <c r="AT2071"/>
      <c r="AU2071"/>
      <c r="AV2071"/>
      <c r="AW2071"/>
      <c r="AX2071"/>
      <c r="AY2071"/>
      <c r="AZ2071"/>
      <c r="BA2071"/>
      <c r="BB2071"/>
      <c r="BC2071"/>
      <c r="BD2071"/>
      <c r="BE2071"/>
      <c r="BF2071"/>
      <c r="BG2071"/>
      <c r="BH2071"/>
      <c r="BI2071"/>
      <c r="BJ2071"/>
      <c r="BK2071"/>
      <c r="BL2071"/>
      <c r="BM2071"/>
      <c r="BN2071"/>
      <c r="BO2071"/>
      <c r="BP2071"/>
      <c r="BQ2071"/>
      <c r="BR2071"/>
      <c r="BS2071"/>
      <c r="BT2071"/>
      <c r="BU2071"/>
      <c r="BV2071"/>
      <c r="BW2071"/>
      <c r="BX2071"/>
      <c r="BY2071"/>
      <c r="BZ2071"/>
      <c r="CA2071"/>
      <c r="CB2071"/>
      <c r="CC2071"/>
      <c r="CD2071"/>
      <c r="CE2071"/>
      <c r="CF2071"/>
      <c r="CG2071"/>
      <c r="CH2071"/>
      <c r="CI2071"/>
      <c r="CJ2071"/>
      <c r="CK2071"/>
      <c r="CL2071"/>
      <c r="CM2071"/>
      <c r="CN2071"/>
      <c r="CO2071"/>
      <c r="CP2071"/>
      <c r="CQ2071"/>
      <c r="CR2071"/>
      <c r="CS2071"/>
      <c r="CT2071"/>
      <c r="CU2071"/>
      <c r="CV2071"/>
      <c r="CW2071"/>
      <c r="CX2071"/>
      <c r="CY2071"/>
      <c r="CZ2071"/>
      <c r="DA2071"/>
      <c r="DB2071"/>
      <c r="DC2071"/>
      <c r="DD2071"/>
      <c r="DE2071"/>
      <c r="DF2071"/>
      <c r="DG2071"/>
      <c r="DH2071"/>
      <c r="DI2071"/>
      <c r="DJ2071"/>
      <c r="DK2071"/>
      <c r="DL2071"/>
      <c r="DM2071"/>
      <c r="DN2071"/>
      <c r="DO2071"/>
      <c r="DP2071"/>
      <c r="DQ2071"/>
      <c r="DR2071"/>
      <c r="DS2071"/>
      <c r="DT2071"/>
      <c r="DU2071"/>
      <c r="DV2071"/>
      <c r="DW2071"/>
      <c r="DX2071"/>
      <c r="DY2071"/>
      <c r="DZ2071"/>
      <c r="EA2071"/>
      <c r="EB2071"/>
      <c r="EC2071"/>
      <c r="ED2071"/>
      <c r="EE2071"/>
      <c r="EF2071"/>
      <c r="EG2071"/>
      <c r="EH2071"/>
      <c r="EI2071"/>
      <c r="EJ2071"/>
      <c r="EK2071"/>
      <c r="EL2071"/>
      <c r="EM2071"/>
      <c r="EN2071"/>
      <c r="EO2071"/>
      <c r="EP2071"/>
      <c r="EQ2071"/>
      <c r="ER2071"/>
      <c r="ES2071"/>
    </row>
    <row r="2072" spans="1:149">
      <c r="A2072"/>
      <c r="B2072"/>
      <c r="C2072"/>
      <c r="D2072"/>
      <c r="E2072"/>
      <c r="F2072"/>
      <c r="G2072"/>
      <c r="H2072"/>
      <c r="I2072"/>
      <c r="J2072"/>
      <c r="K2072"/>
      <c r="L2072"/>
      <c r="M2072"/>
      <c r="N2072"/>
      <c r="O2072"/>
      <c r="P2072"/>
      <c r="Q2072"/>
      <c r="R2072"/>
      <c r="S2072"/>
      <c r="T2072"/>
      <c r="U2072"/>
      <c r="V2072"/>
      <c r="W2072"/>
      <c r="X2072"/>
      <c r="Y2072"/>
      <c r="Z2072"/>
      <c r="AA2072"/>
      <c r="AB2072"/>
      <c r="AC2072"/>
      <c r="AD2072"/>
      <c r="AE2072"/>
      <c r="AF2072"/>
      <c r="AG2072"/>
      <c r="AH2072"/>
      <c r="AI2072"/>
      <c r="AJ2072"/>
      <c r="AK2072"/>
      <c r="AL2072"/>
      <c r="AM2072"/>
      <c r="AN2072"/>
      <c r="AO2072"/>
      <c r="AP2072"/>
      <c r="AQ2072"/>
      <c r="AR2072"/>
      <c r="AS2072"/>
      <c r="AT2072"/>
      <c r="AU2072"/>
      <c r="AV2072"/>
      <c r="AW2072"/>
      <c r="AX2072"/>
      <c r="AY2072"/>
      <c r="AZ2072"/>
      <c r="BA2072"/>
      <c r="BB2072"/>
      <c r="BC2072"/>
      <c r="BD2072"/>
      <c r="BE2072"/>
      <c r="BF2072"/>
      <c r="BG2072"/>
      <c r="BH2072"/>
      <c r="BI2072"/>
      <c r="BJ2072"/>
      <c r="BK2072"/>
      <c r="BL2072"/>
      <c r="BM2072"/>
      <c r="BN2072"/>
      <c r="BO2072"/>
      <c r="BP2072"/>
      <c r="BQ2072"/>
      <c r="BR2072"/>
      <c r="BS2072"/>
      <c r="BT2072"/>
      <c r="BU2072"/>
      <c r="BV2072"/>
      <c r="BW2072"/>
      <c r="BX2072"/>
      <c r="BY2072"/>
      <c r="BZ2072"/>
      <c r="CA2072"/>
      <c r="CB2072"/>
      <c r="CC2072"/>
      <c r="CD2072"/>
      <c r="CE2072"/>
      <c r="CF2072"/>
      <c r="CG2072"/>
      <c r="CH2072"/>
      <c r="CI2072"/>
      <c r="CJ2072"/>
      <c r="CK2072"/>
      <c r="CL2072"/>
      <c r="CM2072"/>
      <c r="CN2072"/>
      <c r="CO2072"/>
      <c r="CP2072"/>
      <c r="CQ2072"/>
      <c r="CR2072"/>
      <c r="CS2072"/>
      <c r="CT2072"/>
      <c r="CU2072"/>
      <c r="CV2072"/>
      <c r="CW2072"/>
      <c r="CX2072"/>
      <c r="CY2072"/>
      <c r="CZ2072"/>
      <c r="DA2072"/>
      <c r="DB2072"/>
      <c r="DC2072"/>
      <c r="DD2072"/>
      <c r="DE2072"/>
      <c r="DF2072"/>
      <c r="DG2072"/>
      <c r="DH2072"/>
      <c r="DI2072"/>
      <c r="DJ2072"/>
      <c r="DK2072"/>
      <c r="DL2072"/>
      <c r="DM2072"/>
      <c r="DN2072"/>
      <c r="DO2072"/>
      <c r="DP2072"/>
      <c r="DQ2072"/>
      <c r="DR2072"/>
      <c r="DS2072"/>
      <c r="DT2072"/>
      <c r="DU2072"/>
      <c r="DV2072"/>
      <c r="DW2072"/>
      <c r="DX2072"/>
      <c r="DY2072"/>
      <c r="DZ2072"/>
      <c r="EA2072"/>
      <c r="EB2072"/>
      <c r="EC2072"/>
      <c r="ED2072"/>
      <c r="EE2072"/>
      <c r="EF2072"/>
      <c r="EG2072"/>
      <c r="EH2072"/>
      <c r="EI2072"/>
      <c r="EJ2072"/>
      <c r="EK2072"/>
      <c r="EL2072"/>
      <c r="EM2072"/>
      <c r="EN2072"/>
      <c r="EO2072"/>
      <c r="EP2072"/>
      <c r="EQ2072"/>
      <c r="ER2072"/>
      <c r="ES2072"/>
    </row>
    <row r="2073" spans="1:149">
      <c r="A2073"/>
      <c r="B2073"/>
      <c r="C2073"/>
      <c r="D2073"/>
      <c r="E2073"/>
      <c r="F2073"/>
      <c r="G2073"/>
      <c r="H2073"/>
      <c r="I2073"/>
      <c r="J2073"/>
      <c r="K2073"/>
      <c r="L2073"/>
      <c r="M2073"/>
      <c r="N2073"/>
      <c r="O2073"/>
      <c r="P2073"/>
      <c r="Q2073"/>
      <c r="R2073"/>
      <c r="S2073"/>
      <c r="T2073"/>
      <c r="U2073"/>
      <c r="V2073"/>
      <c r="W2073"/>
      <c r="X2073"/>
      <c r="Y2073"/>
      <c r="Z2073"/>
      <c r="AA2073"/>
      <c r="AB2073"/>
      <c r="AC2073"/>
      <c r="AD2073"/>
      <c r="AE2073"/>
      <c r="AF2073"/>
      <c r="AG2073"/>
      <c r="AH2073"/>
      <c r="AI2073"/>
      <c r="AJ2073"/>
      <c r="AK2073"/>
      <c r="AL2073"/>
      <c r="AM2073"/>
      <c r="AN2073"/>
      <c r="AO2073"/>
      <c r="AP2073"/>
      <c r="AQ2073"/>
      <c r="AR2073"/>
      <c r="AS2073"/>
      <c r="AT2073"/>
      <c r="AU2073"/>
      <c r="AV2073"/>
      <c r="AW2073"/>
      <c r="AX2073"/>
      <c r="AY2073"/>
      <c r="AZ2073"/>
      <c r="BA2073"/>
      <c r="BB2073"/>
      <c r="BC2073"/>
      <c r="BD2073"/>
      <c r="BE2073"/>
      <c r="BF2073"/>
      <c r="BG2073"/>
      <c r="BH2073"/>
      <c r="BI2073"/>
      <c r="BJ2073"/>
      <c r="BK2073"/>
      <c r="BL2073"/>
      <c r="BM2073"/>
      <c r="BN2073"/>
      <c r="BO2073"/>
      <c r="BP2073"/>
      <c r="BQ2073"/>
      <c r="BR2073"/>
      <c r="BS2073"/>
      <c r="BT2073"/>
      <c r="BU2073"/>
      <c r="BV2073"/>
      <c r="BW2073"/>
      <c r="BX2073"/>
      <c r="BY2073"/>
      <c r="BZ2073"/>
      <c r="CA2073"/>
      <c r="CB2073"/>
      <c r="CC2073"/>
      <c r="CD2073"/>
      <c r="CE2073"/>
      <c r="CF2073"/>
      <c r="CG2073"/>
      <c r="CH2073"/>
      <c r="CI2073"/>
      <c r="CJ2073"/>
      <c r="CK2073"/>
      <c r="CL2073"/>
      <c r="CM2073"/>
      <c r="CN2073"/>
      <c r="CO2073"/>
      <c r="CP2073"/>
      <c r="CQ2073"/>
      <c r="CR2073"/>
      <c r="CS2073"/>
      <c r="CT2073"/>
      <c r="CU2073"/>
      <c r="CV2073"/>
      <c r="CW2073"/>
      <c r="CX2073"/>
      <c r="CY2073"/>
      <c r="CZ2073"/>
      <c r="DA2073"/>
      <c r="DB2073"/>
      <c r="DC2073"/>
      <c r="DD2073"/>
      <c r="DE2073"/>
      <c r="DF2073"/>
      <c r="DG2073"/>
      <c r="DH2073"/>
      <c r="DI2073"/>
      <c r="DJ2073"/>
      <c r="DK2073"/>
      <c r="DL2073"/>
      <c r="DM2073"/>
      <c r="DN2073"/>
      <c r="DO2073"/>
      <c r="DP2073"/>
      <c r="DQ2073"/>
      <c r="DR2073"/>
      <c r="DS2073"/>
      <c r="DT2073"/>
      <c r="DU2073"/>
      <c r="DV2073"/>
      <c r="DW2073"/>
      <c r="DX2073"/>
      <c r="DY2073"/>
      <c r="DZ2073"/>
      <c r="EA2073"/>
      <c r="EB2073"/>
      <c r="EC2073"/>
      <c r="ED2073"/>
      <c r="EE2073"/>
      <c r="EF2073"/>
      <c r="EG2073"/>
      <c r="EH2073"/>
      <c r="EI2073"/>
      <c r="EJ2073"/>
      <c r="EK2073"/>
      <c r="EL2073"/>
      <c r="EM2073"/>
      <c r="EN2073"/>
      <c r="EO2073"/>
      <c r="EP2073"/>
      <c r="EQ2073"/>
      <c r="ER2073"/>
      <c r="ES2073"/>
    </row>
    <row r="2074" spans="1:149">
      <c r="A2074"/>
      <c r="B2074"/>
      <c r="C2074"/>
      <c r="D2074"/>
      <c r="E2074"/>
      <c r="F2074"/>
      <c r="G2074"/>
      <c r="H2074"/>
      <c r="I2074"/>
      <c r="J2074"/>
      <c r="K2074"/>
      <c r="L2074"/>
      <c r="M2074"/>
      <c r="N2074"/>
      <c r="O2074"/>
      <c r="P2074"/>
      <c r="Q2074"/>
      <c r="R2074"/>
      <c r="S2074"/>
      <c r="T2074"/>
      <c r="U2074"/>
      <c r="V2074"/>
      <c r="W2074"/>
      <c r="X2074"/>
      <c r="Y2074"/>
      <c r="Z2074"/>
      <c r="AA2074"/>
      <c r="AB2074"/>
      <c r="AC2074"/>
      <c r="AD2074"/>
      <c r="AE2074"/>
      <c r="AF2074"/>
      <c r="AG2074"/>
      <c r="AH2074"/>
      <c r="AI2074"/>
      <c r="AJ2074"/>
      <c r="AK2074"/>
      <c r="AL2074"/>
      <c r="AM2074"/>
      <c r="AN2074"/>
      <c r="AO2074"/>
      <c r="AP2074"/>
      <c r="AQ2074"/>
      <c r="AR2074"/>
      <c r="AS2074"/>
      <c r="AT2074"/>
      <c r="AU2074"/>
      <c r="AV2074"/>
      <c r="AW2074"/>
      <c r="AX2074"/>
      <c r="AY2074"/>
      <c r="AZ2074"/>
      <c r="BA2074"/>
      <c r="BB2074"/>
      <c r="BC2074"/>
      <c r="BD2074"/>
      <c r="BE2074"/>
      <c r="BF2074"/>
      <c r="BG2074"/>
      <c r="BH2074"/>
      <c r="BI2074"/>
      <c r="BJ2074"/>
      <c r="BK2074"/>
      <c r="BL2074"/>
      <c r="BM2074"/>
      <c r="BN2074"/>
      <c r="BO2074"/>
      <c r="BP2074"/>
      <c r="BQ2074"/>
      <c r="BR2074"/>
      <c r="BS2074"/>
      <c r="BT2074"/>
      <c r="BU2074"/>
      <c r="BV2074"/>
      <c r="BW2074"/>
      <c r="BX2074"/>
      <c r="BY2074"/>
      <c r="BZ2074"/>
      <c r="CA2074"/>
      <c r="CB2074"/>
      <c r="CC2074"/>
      <c r="CD2074"/>
      <c r="CE2074"/>
      <c r="CF2074"/>
      <c r="CG2074"/>
      <c r="CH2074"/>
      <c r="CI2074"/>
      <c r="CJ2074"/>
      <c r="CK2074"/>
      <c r="CL2074"/>
      <c r="CM2074"/>
      <c r="CN2074"/>
      <c r="CO2074"/>
      <c r="CP2074"/>
      <c r="CQ2074"/>
      <c r="CR2074"/>
      <c r="CS2074"/>
      <c r="CT2074"/>
      <c r="CU2074"/>
      <c r="CV2074"/>
      <c r="CW2074"/>
      <c r="CX2074"/>
      <c r="CY2074"/>
      <c r="CZ2074"/>
      <c r="DA2074"/>
      <c r="DB2074"/>
      <c r="DC2074"/>
      <c r="DD2074"/>
      <c r="DE2074"/>
      <c r="DF2074"/>
      <c r="DG2074"/>
      <c r="DH2074"/>
      <c r="DI2074"/>
      <c r="DJ2074"/>
      <c r="DK2074"/>
      <c r="DL2074"/>
      <c r="DM2074"/>
      <c r="DN2074"/>
      <c r="DO2074"/>
      <c r="DP2074"/>
      <c r="DQ2074"/>
      <c r="DR2074"/>
      <c r="DS2074"/>
      <c r="DT2074"/>
      <c r="DU2074"/>
      <c r="DV2074"/>
      <c r="DW2074"/>
      <c r="DX2074"/>
      <c r="DY2074"/>
      <c r="DZ2074"/>
      <c r="EA2074"/>
      <c r="EB2074"/>
      <c r="EC2074"/>
      <c r="ED2074"/>
      <c r="EE2074"/>
      <c r="EF2074"/>
      <c r="EG2074"/>
      <c r="EH2074"/>
      <c r="EI2074"/>
      <c r="EJ2074"/>
      <c r="EK2074"/>
      <c r="EL2074"/>
      <c r="EM2074"/>
      <c r="EN2074"/>
      <c r="EO2074"/>
      <c r="EP2074"/>
      <c r="EQ2074"/>
      <c r="ER2074"/>
      <c r="ES2074"/>
    </row>
    <row r="2075" spans="1:149">
      <c r="A2075"/>
      <c r="B2075"/>
      <c r="C2075"/>
      <c r="D2075"/>
      <c r="E2075"/>
      <c r="F2075"/>
      <c r="G2075"/>
      <c r="H2075"/>
      <c r="I2075"/>
      <c r="J2075"/>
      <c r="K2075"/>
      <c r="L2075"/>
      <c r="M2075"/>
      <c r="N2075"/>
      <c r="O2075"/>
      <c r="P2075"/>
      <c r="Q2075"/>
      <c r="R2075"/>
      <c r="S2075"/>
      <c r="T2075"/>
      <c r="U2075"/>
      <c r="V2075"/>
      <c r="W2075"/>
      <c r="X2075"/>
      <c r="Y2075"/>
      <c r="Z2075"/>
      <c r="AA2075"/>
      <c r="AB2075"/>
      <c r="AC2075"/>
      <c r="AD2075"/>
      <c r="AE2075"/>
      <c r="AF2075"/>
      <c r="AG2075"/>
      <c r="AH2075"/>
      <c r="AI2075"/>
      <c r="AJ2075"/>
      <c r="AK2075"/>
      <c r="AL2075"/>
      <c r="AM2075"/>
      <c r="AN2075"/>
      <c r="AO2075"/>
      <c r="AP2075"/>
      <c r="AQ2075"/>
      <c r="AR2075"/>
      <c r="AS2075"/>
      <c r="AT2075"/>
      <c r="AU2075"/>
      <c r="AV2075"/>
      <c r="AW2075"/>
      <c r="AX2075"/>
      <c r="AY2075"/>
      <c r="AZ2075"/>
      <c r="BA2075"/>
      <c r="BB2075"/>
      <c r="BC2075"/>
      <c r="BD2075"/>
      <c r="BE2075"/>
      <c r="BF2075"/>
      <c r="BG2075"/>
      <c r="BH2075"/>
      <c r="BI2075"/>
      <c r="BJ2075"/>
      <c r="BK2075"/>
      <c r="BL2075"/>
      <c r="BM2075"/>
      <c r="BN2075"/>
      <c r="BO2075"/>
      <c r="BP2075"/>
      <c r="BQ2075"/>
      <c r="BR2075"/>
      <c r="BS2075"/>
      <c r="BT2075"/>
      <c r="BU2075"/>
      <c r="BV2075"/>
      <c r="BW2075"/>
      <c r="BX2075"/>
      <c r="BY2075"/>
      <c r="BZ2075"/>
      <c r="CA2075"/>
      <c r="CB2075"/>
      <c r="CC2075"/>
      <c r="CD2075"/>
      <c r="CE2075"/>
      <c r="CF2075"/>
      <c r="CG2075"/>
      <c r="CH2075"/>
      <c r="CI2075"/>
      <c r="CJ2075"/>
      <c r="CK2075"/>
      <c r="CL2075"/>
      <c r="CM2075"/>
      <c r="CN2075"/>
      <c r="CO2075"/>
      <c r="CP2075"/>
      <c r="CQ2075"/>
      <c r="CR2075"/>
      <c r="CS2075"/>
      <c r="CT2075"/>
      <c r="CU2075"/>
      <c r="CV2075"/>
      <c r="CW2075"/>
      <c r="CX2075"/>
      <c r="CY2075"/>
      <c r="CZ2075"/>
      <c r="DA2075"/>
      <c r="DB2075"/>
      <c r="DC2075"/>
      <c r="DD2075"/>
      <c r="DE2075"/>
      <c r="DF2075"/>
      <c r="DG2075"/>
      <c r="DH2075"/>
      <c r="DI2075"/>
      <c r="DJ2075"/>
      <c r="DK2075"/>
      <c r="DL2075"/>
      <c r="DM2075"/>
      <c r="DN2075"/>
      <c r="DO2075"/>
      <c r="DP2075"/>
      <c r="DQ2075"/>
      <c r="DR2075"/>
      <c r="DS2075"/>
      <c r="DT2075"/>
      <c r="DU2075"/>
      <c r="DV2075"/>
      <c r="DW2075"/>
      <c r="DX2075"/>
      <c r="DY2075"/>
      <c r="DZ2075"/>
      <c r="EA2075"/>
      <c r="EB2075"/>
      <c r="EC2075"/>
      <c r="ED2075"/>
      <c r="EE2075"/>
      <c r="EF2075"/>
      <c r="EG2075"/>
      <c r="EH2075"/>
      <c r="EI2075"/>
      <c r="EJ2075"/>
      <c r="EK2075"/>
      <c r="EL2075"/>
      <c r="EM2075"/>
      <c r="EN2075"/>
      <c r="EO2075"/>
      <c r="EP2075"/>
      <c r="EQ2075"/>
      <c r="ER2075"/>
      <c r="ES2075"/>
    </row>
    <row r="2076" spans="1:149">
      <c r="A2076"/>
      <c r="B2076"/>
      <c r="C2076"/>
      <c r="D2076"/>
      <c r="E2076"/>
      <c r="F2076"/>
      <c r="G2076"/>
      <c r="H2076"/>
      <c r="I2076"/>
      <c r="J2076"/>
      <c r="K2076"/>
      <c r="L2076"/>
      <c r="M2076"/>
      <c r="N2076"/>
      <c r="O2076"/>
      <c r="P2076"/>
      <c r="Q2076"/>
      <c r="R2076"/>
      <c r="S2076"/>
      <c r="T2076"/>
      <c r="U2076"/>
      <c r="V2076"/>
      <c r="W2076"/>
      <c r="X2076"/>
      <c r="Y2076"/>
      <c r="Z2076"/>
      <c r="AA2076"/>
      <c r="AB2076"/>
      <c r="AC2076"/>
      <c r="AD2076"/>
      <c r="AE2076"/>
      <c r="AF2076"/>
      <c r="AG2076"/>
      <c r="AH2076"/>
      <c r="AI2076"/>
      <c r="AJ2076"/>
      <c r="AK2076"/>
      <c r="AL2076"/>
      <c r="AM2076"/>
      <c r="AN2076"/>
      <c r="AO2076"/>
      <c r="AP2076"/>
      <c r="AQ2076"/>
      <c r="AR2076"/>
      <c r="AS2076"/>
      <c r="AT2076"/>
      <c r="AU2076"/>
      <c r="AV2076"/>
      <c r="AW2076"/>
      <c r="AX2076"/>
      <c r="AY2076"/>
      <c r="AZ2076"/>
      <c r="BA2076"/>
      <c r="BB2076"/>
      <c r="BC2076"/>
      <c r="BD2076"/>
      <c r="BE2076"/>
      <c r="BF2076"/>
      <c r="BG2076"/>
      <c r="BH2076"/>
      <c r="BI2076"/>
      <c r="BJ2076"/>
      <c r="BK2076"/>
      <c r="BL2076"/>
      <c r="BM2076"/>
      <c r="BN2076"/>
      <c r="BO2076"/>
      <c r="BP2076"/>
      <c r="BQ2076"/>
      <c r="BR2076"/>
      <c r="BS2076"/>
      <c r="BT2076"/>
      <c r="BU2076"/>
      <c r="BV2076"/>
      <c r="BW2076"/>
      <c r="BX2076"/>
      <c r="BY2076"/>
      <c r="BZ2076"/>
      <c r="CA2076"/>
      <c r="CB2076"/>
      <c r="CC2076"/>
      <c r="CD2076"/>
      <c r="CE2076"/>
      <c r="CF2076"/>
      <c r="CG2076"/>
      <c r="CH2076"/>
      <c r="CI2076"/>
      <c r="CJ2076"/>
      <c r="CK2076"/>
      <c r="CL2076"/>
      <c r="CM2076"/>
      <c r="CN2076"/>
      <c r="CO2076"/>
      <c r="CP2076"/>
      <c r="CQ2076"/>
      <c r="CR2076"/>
      <c r="CS2076"/>
      <c r="CT2076"/>
      <c r="CU2076"/>
      <c r="CV2076"/>
      <c r="CW2076"/>
      <c r="CX2076"/>
      <c r="CY2076"/>
      <c r="CZ2076"/>
      <c r="DA2076"/>
      <c r="DB2076"/>
      <c r="DC2076"/>
      <c r="DD2076"/>
      <c r="DE2076"/>
      <c r="DF2076"/>
      <c r="DG2076"/>
      <c r="DH2076"/>
      <c r="DI2076"/>
      <c r="DJ2076"/>
      <c r="DK2076"/>
      <c r="DL2076"/>
      <c r="DM2076"/>
      <c r="DN2076"/>
      <c r="DO2076"/>
      <c r="DP2076"/>
      <c r="DQ2076"/>
      <c r="DR2076"/>
      <c r="DS2076"/>
      <c r="DT2076"/>
      <c r="DU2076"/>
      <c r="DV2076"/>
      <c r="DW2076"/>
      <c r="DX2076"/>
      <c r="DY2076"/>
      <c r="DZ2076"/>
      <c r="EA2076"/>
      <c r="EB2076"/>
      <c r="EC2076"/>
      <c r="ED2076"/>
      <c r="EE2076"/>
      <c r="EF2076"/>
      <c r="EG2076"/>
      <c r="EH2076"/>
      <c r="EI2076"/>
      <c r="EJ2076"/>
      <c r="EK2076"/>
      <c r="EL2076"/>
      <c r="EM2076"/>
      <c r="EN2076"/>
      <c r="EO2076"/>
      <c r="EP2076"/>
      <c r="EQ2076"/>
      <c r="ER2076"/>
      <c r="ES2076"/>
    </row>
    <row r="2077" spans="1:149">
      <c r="A2077"/>
      <c r="B2077"/>
      <c r="C2077"/>
      <c r="D2077"/>
      <c r="E2077"/>
      <c r="F2077"/>
      <c r="G2077"/>
      <c r="H2077"/>
      <c r="I2077"/>
      <c r="J2077"/>
      <c r="K2077"/>
      <c r="L2077"/>
      <c r="M2077"/>
      <c r="N2077"/>
      <c r="O2077"/>
      <c r="P2077"/>
      <c r="Q2077"/>
      <c r="R2077"/>
      <c r="S2077"/>
      <c r="T2077"/>
      <c r="U2077"/>
      <c r="V2077"/>
      <c r="W2077"/>
      <c r="X2077"/>
      <c r="Y2077"/>
      <c r="Z2077"/>
      <c r="AA2077"/>
      <c r="AB2077"/>
      <c r="AC2077"/>
      <c r="AD2077"/>
      <c r="AE2077"/>
      <c r="AF2077"/>
      <c r="AG2077"/>
      <c r="AH2077"/>
      <c r="AI2077"/>
      <c r="AJ2077"/>
      <c r="AK2077"/>
      <c r="AL2077"/>
      <c r="AM2077"/>
      <c r="AN2077"/>
      <c r="AO2077"/>
      <c r="AP2077"/>
      <c r="AQ2077"/>
      <c r="AR2077"/>
      <c r="AS2077"/>
      <c r="AT2077"/>
      <c r="AU2077"/>
      <c r="AV2077"/>
      <c r="AW2077"/>
      <c r="AX2077"/>
      <c r="AY2077"/>
      <c r="AZ2077"/>
      <c r="BA2077"/>
      <c r="BB2077"/>
      <c r="BC2077"/>
      <c r="BD2077"/>
      <c r="BE2077"/>
      <c r="BF2077"/>
      <c r="BG2077"/>
      <c r="BH2077"/>
      <c r="BI2077"/>
      <c r="BJ2077"/>
      <c r="BK2077"/>
      <c r="BL2077"/>
      <c r="BM2077"/>
      <c r="BN2077"/>
      <c r="BO2077"/>
      <c r="BP2077"/>
      <c r="BQ2077"/>
      <c r="BR2077"/>
      <c r="BS2077"/>
      <c r="BT2077"/>
      <c r="BU2077"/>
      <c r="BV2077"/>
      <c r="BW2077"/>
      <c r="BX2077"/>
      <c r="BY2077"/>
      <c r="BZ2077"/>
      <c r="CA2077"/>
      <c r="CB2077"/>
      <c r="CC2077"/>
      <c r="CD2077"/>
      <c r="CE2077"/>
      <c r="CF2077"/>
      <c r="CG2077"/>
      <c r="CH2077"/>
      <c r="CI2077"/>
      <c r="CJ2077"/>
      <c r="CK2077"/>
      <c r="CL2077"/>
      <c r="CM2077"/>
      <c r="CN2077"/>
      <c r="CO2077"/>
      <c r="CP2077"/>
      <c r="CQ2077"/>
      <c r="CR2077"/>
      <c r="CS2077"/>
      <c r="CT2077"/>
      <c r="CU2077"/>
      <c r="CV2077"/>
      <c r="CW2077"/>
      <c r="CX2077"/>
      <c r="CY2077"/>
      <c r="CZ2077"/>
      <c r="DA2077"/>
      <c r="DB2077"/>
      <c r="DC2077"/>
      <c r="DD2077"/>
      <c r="DE2077"/>
      <c r="DF2077"/>
      <c r="DG2077"/>
      <c r="DH2077"/>
      <c r="DI2077"/>
      <c r="DJ2077"/>
      <c r="DK2077"/>
      <c r="DL2077"/>
      <c r="DM2077"/>
      <c r="DN2077"/>
      <c r="DO2077"/>
      <c r="DP2077"/>
      <c r="DQ2077"/>
      <c r="DR2077"/>
      <c r="DS2077"/>
      <c r="DT2077"/>
      <c r="DU2077"/>
      <c r="DV2077"/>
      <c r="DW2077"/>
      <c r="DX2077"/>
      <c r="DY2077"/>
      <c r="DZ2077"/>
      <c r="EA2077"/>
      <c r="EB2077"/>
      <c r="EC2077"/>
      <c r="ED2077"/>
      <c r="EE2077"/>
      <c r="EF2077"/>
      <c r="EG2077"/>
      <c r="EH2077"/>
      <c r="EI2077"/>
      <c r="EJ2077"/>
      <c r="EK2077"/>
      <c r="EL2077"/>
      <c r="EM2077"/>
      <c r="EN2077"/>
      <c r="EO2077"/>
      <c r="EP2077"/>
      <c r="EQ2077"/>
      <c r="ER2077"/>
      <c r="ES2077"/>
    </row>
    <row r="2078" spans="1:149">
      <c r="A2078"/>
      <c r="B2078"/>
      <c r="C2078"/>
      <c r="D2078"/>
      <c r="E2078"/>
      <c r="F2078"/>
      <c r="G2078"/>
      <c r="H2078"/>
      <c r="I2078"/>
      <c r="J2078"/>
      <c r="K2078"/>
      <c r="L2078"/>
      <c r="M2078"/>
      <c r="N2078"/>
      <c r="O2078"/>
      <c r="P2078"/>
      <c r="Q2078"/>
      <c r="R2078"/>
      <c r="S2078"/>
      <c r="T2078"/>
      <c r="U2078"/>
      <c r="V2078"/>
      <c r="W2078"/>
      <c r="X2078"/>
      <c r="Y2078"/>
      <c r="Z2078"/>
      <c r="AA2078"/>
      <c r="AB2078"/>
      <c r="AC2078"/>
      <c r="AD2078"/>
      <c r="AE2078"/>
      <c r="AF2078"/>
      <c r="AG2078"/>
      <c r="AH2078"/>
      <c r="AI2078"/>
      <c r="AJ2078"/>
      <c r="AK2078"/>
      <c r="AL2078"/>
      <c r="AM2078"/>
      <c r="AN2078"/>
      <c r="AO2078"/>
      <c r="AP2078"/>
      <c r="AQ2078"/>
      <c r="AR2078"/>
      <c r="AS2078"/>
      <c r="AT2078"/>
      <c r="AU2078"/>
      <c r="AV2078"/>
      <c r="AW2078"/>
      <c r="AX2078"/>
      <c r="AY2078"/>
      <c r="AZ2078"/>
      <c r="BA2078"/>
      <c r="BB2078"/>
      <c r="BC2078"/>
      <c r="BD2078"/>
      <c r="BE2078"/>
      <c r="BF2078"/>
      <c r="BG2078"/>
      <c r="BH2078"/>
      <c r="BI2078"/>
      <c r="BJ2078"/>
      <c r="BK2078"/>
      <c r="BL2078"/>
      <c r="BM2078"/>
      <c r="BN2078"/>
      <c r="BO2078"/>
      <c r="BP2078"/>
      <c r="BQ2078"/>
      <c r="BR2078"/>
      <c r="BS2078"/>
      <c r="BT2078"/>
      <c r="BU2078"/>
      <c r="BV2078"/>
      <c r="BW2078"/>
      <c r="BX2078"/>
      <c r="BY2078"/>
      <c r="BZ2078"/>
      <c r="CA2078"/>
      <c r="CB2078"/>
      <c r="CC2078"/>
      <c r="CD2078"/>
      <c r="CE2078"/>
      <c r="CF2078"/>
      <c r="CG2078"/>
      <c r="CH2078"/>
      <c r="CI2078"/>
      <c r="CJ2078"/>
      <c r="CK2078"/>
      <c r="CL2078"/>
      <c r="CM2078"/>
      <c r="CN2078"/>
      <c r="CO2078"/>
      <c r="CP2078"/>
      <c r="CQ2078"/>
      <c r="CR2078"/>
      <c r="CS2078"/>
      <c r="CT2078"/>
      <c r="CU2078"/>
      <c r="CV2078"/>
      <c r="CW2078"/>
      <c r="CX2078"/>
      <c r="CY2078"/>
      <c r="CZ2078"/>
      <c r="DA2078"/>
      <c r="DB2078"/>
      <c r="DC2078"/>
      <c r="DD2078"/>
      <c r="DE2078"/>
      <c r="DF2078"/>
      <c r="DG2078"/>
      <c r="DH2078"/>
      <c r="DI2078"/>
      <c r="DJ2078"/>
      <c r="DK2078"/>
      <c r="DL2078"/>
      <c r="DM2078"/>
      <c r="DN2078"/>
      <c r="DO2078"/>
      <c r="DP2078"/>
      <c r="DQ2078"/>
      <c r="DR2078"/>
      <c r="DS2078"/>
      <c r="DT2078"/>
      <c r="DU2078"/>
      <c r="DV2078"/>
      <c r="DW2078"/>
      <c r="DX2078"/>
      <c r="DY2078"/>
      <c r="DZ2078"/>
      <c r="EA2078"/>
      <c r="EB2078"/>
      <c r="EC2078"/>
      <c r="ED2078"/>
      <c r="EE2078"/>
      <c r="EF2078"/>
      <c r="EG2078"/>
      <c r="EH2078"/>
      <c r="EI2078"/>
      <c r="EJ2078"/>
      <c r="EK2078"/>
      <c r="EL2078"/>
      <c r="EM2078"/>
      <c r="EN2078"/>
      <c r="EO2078"/>
      <c r="EP2078"/>
      <c r="EQ2078"/>
      <c r="ER2078"/>
      <c r="ES2078"/>
    </row>
    <row r="2079" spans="1:149">
      <c r="A2079"/>
      <c r="B2079"/>
      <c r="C2079"/>
      <c r="D2079"/>
      <c r="E2079"/>
      <c r="F2079"/>
      <c r="G2079"/>
      <c r="H2079"/>
      <c r="I2079"/>
      <c r="J2079"/>
      <c r="K2079"/>
      <c r="L2079"/>
      <c r="M2079"/>
      <c r="N2079"/>
      <c r="O2079"/>
      <c r="P2079"/>
      <c r="Q2079"/>
      <c r="R2079"/>
      <c r="S2079"/>
      <c r="T2079"/>
      <c r="U2079"/>
      <c r="V2079"/>
      <c r="W2079"/>
      <c r="X2079"/>
      <c r="Y2079"/>
      <c r="Z2079"/>
      <c r="AA2079"/>
      <c r="AB2079"/>
      <c r="AC2079"/>
      <c r="AD2079"/>
      <c r="AE2079"/>
      <c r="AF2079"/>
      <c r="AG2079"/>
      <c r="AH2079"/>
      <c r="AI2079"/>
      <c r="AJ2079"/>
      <c r="AK2079"/>
      <c r="AL2079"/>
      <c r="AM2079"/>
      <c r="AN2079"/>
      <c r="AO2079"/>
      <c r="AP2079"/>
      <c r="AQ2079"/>
      <c r="AR2079"/>
      <c r="AS2079"/>
      <c r="AT2079"/>
      <c r="AU2079"/>
      <c r="AV2079"/>
      <c r="AW2079"/>
      <c r="AX2079"/>
      <c r="AY2079"/>
      <c r="AZ2079"/>
      <c r="BA2079"/>
      <c r="BB2079"/>
      <c r="BC2079"/>
      <c r="BD2079"/>
      <c r="BE2079"/>
      <c r="BF2079"/>
      <c r="BG2079"/>
      <c r="BH2079"/>
      <c r="BI2079"/>
      <c r="BJ2079"/>
      <c r="BK2079"/>
      <c r="BL2079"/>
      <c r="BM2079"/>
      <c r="BN2079"/>
      <c r="BO2079"/>
      <c r="BP2079"/>
      <c r="BQ2079"/>
      <c r="BR2079"/>
      <c r="BS2079"/>
      <c r="BT2079"/>
      <c r="BU2079"/>
      <c r="BV2079"/>
      <c r="BW2079"/>
      <c r="BX2079"/>
      <c r="BY2079"/>
      <c r="BZ2079"/>
      <c r="CA2079"/>
      <c r="CB2079"/>
      <c r="CC2079"/>
      <c r="CD2079"/>
      <c r="CE2079"/>
      <c r="CF2079"/>
      <c r="CG2079"/>
      <c r="CH2079"/>
      <c r="CI2079"/>
      <c r="CJ2079"/>
      <c r="CK2079"/>
      <c r="CL2079"/>
      <c r="CM2079"/>
      <c r="CN2079"/>
      <c r="CO2079"/>
      <c r="CP2079"/>
      <c r="CQ2079"/>
      <c r="CR2079"/>
      <c r="CS2079"/>
      <c r="CT2079"/>
      <c r="CU2079"/>
      <c r="CV2079"/>
      <c r="CW2079"/>
      <c r="CX2079"/>
      <c r="CY2079"/>
      <c r="CZ2079"/>
      <c r="DA2079"/>
      <c r="DB2079"/>
      <c r="DC2079"/>
      <c r="DD2079"/>
      <c r="DE2079"/>
      <c r="DF2079"/>
      <c r="DG2079"/>
      <c r="DH2079"/>
      <c r="DI2079"/>
      <c r="DJ2079"/>
      <c r="DK2079"/>
      <c r="DL2079"/>
      <c r="DM2079"/>
      <c r="DN2079"/>
      <c r="DO2079"/>
      <c r="DP2079"/>
      <c r="DQ2079"/>
      <c r="DR2079"/>
      <c r="DS2079"/>
      <c r="DT2079"/>
      <c r="DU2079"/>
      <c r="DV2079"/>
      <c r="DW2079"/>
      <c r="DX2079"/>
      <c r="DY2079"/>
      <c r="DZ2079"/>
      <c r="EA2079"/>
      <c r="EB2079"/>
      <c r="EC2079"/>
      <c r="ED2079"/>
      <c r="EE2079"/>
      <c r="EF2079"/>
      <c r="EG2079"/>
      <c r="EH2079"/>
      <c r="EI2079"/>
      <c r="EJ2079"/>
      <c r="EK2079"/>
      <c r="EL2079"/>
      <c r="EM2079"/>
      <c r="EN2079"/>
      <c r="EO2079"/>
      <c r="EP2079"/>
      <c r="EQ2079"/>
      <c r="ER2079"/>
      <c r="ES2079"/>
    </row>
    <row r="2080" spans="1:149">
      <c r="A2080"/>
      <c r="B2080"/>
      <c r="C2080"/>
      <c r="D2080"/>
      <c r="E2080"/>
      <c r="F2080"/>
      <c r="G2080"/>
      <c r="H2080"/>
      <c r="I2080"/>
      <c r="J2080"/>
      <c r="K2080"/>
      <c r="L2080"/>
      <c r="M2080"/>
      <c r="N2080"/>
      <c r="O2080"/>
      <c r="P2080"/>
      <c r="Q2080"/>
      <c r="R2080"/>
      <c r="S2080"/>
      <c r="T2080"/>
      <c r="U2080"/>
      <c r="V2080"/>
      <c r="W2080"/>
      <c r="X2080"/>
      <c r="Y2080"/>
      <c r="Z2080"/>
      <c r="AA2080"/>
      <c r="AB2080"/>
      <c r="AC2080"/>
      <c r="AD2080"/>
      <c r="AE2080"/>
      <c r="AF2080"/>
      <c r="AG2080"/>
      <c r="AH2080"/>
      <c r="AI2080"/>
      <c r="AJ2080"/>
      <c r="AK2080"/>
      <c r="AL2080"/>
      <c r="AM2080"/>
      <c r="AN2080"/>
      <c r="AO2080"/>
      <c r="AP2080"/>
      <c r="AQ2080"/>
      <c r="AR2080"/>
      <c r="AS2080"/>
      <c r="AT2080"/>
      <c r="AU2080"/>
      <c r="AV2080"/>
      <c r="AW2080"/>
      <c r="AX2080"/>
      <c r="AY2080"/>
      <c r="AZ2080"/>
      <c r="BA2080"/>
      <c r="BB2080"/>
      <c r="BC2080"/>
      <c r="BD2080"/>
      <c r="BE2080"/>
      <c r="BF2080"/>
      <c r="BG2080"/>
      <c r="BH2080"/>
      <c r="BI2080"/>
      <c r="BJ2080"/>
      <c r="BK2080"/>
      <c r="BL2080"/>
      <c r="BM2080"/>
      <c r="BN2080"/>
      <c r="BO2080"/>
      <c r="BP2080"/>
      <c r="BQ2080"/>
      <c r="BR2080"/>
      <c r="BS2080"/>
      <c r="BT2080"/>
      <c r="BU2080"/>
      <c r="BV2080"/>
      <c r="BW2080"/>
      <c r="BX2080"/>
      <c r="BY2080"/>
      <c r="BZ2080"/>
      <c r="CA2080"/>
      <c r="CB2080"/>
      <c r="CC2080"/>
      <c r="CD2080"/>
      <c r="CE2080"/>
      <c r="CF2080"/>
      <c r="CG2080"/>
      <c r="CH2080"/>
      <c r="CI2080"/>
      <c r="CJ2080"/>
      <c r="CK2080"/>
      <c r="CL2080"/>
      <c r="CM2080"/>
      <c r="CN2080"/>
      <c r="CO2080"/>
      <c r="CP2080"/>
      <c r="CQ2080"/>
      <c r="CR2080"/>
      <c r="CS2080"/>
      <c r="CT2080"/>
      <c r="CU2080"/>
      <c r="CV2080"/>
      <c r="CW2080"/>
      <c r="CX2080"/>
      <c r="CY2080"/>
      <c r="CZ2080"/>
      <c r="DA2080"/>
      <c r="DB2080"/>
      <c r="DC2080"/>
      <c r="DD2080"/>
      <c r="DE2080"/>
      <c r="DF2080"/>
      <c r="DG2080"/>
      <c r="DH2080"/>
      <c r="DI2080"/>
      <c r="DJ2080"/>
      <c r="DK2080"/>
      <c r="DL2080"/>
      <c r="DM2080"/>
      <c r="DN2080"/>
      <c r="DO2080"/>
      <c r="DP2080"/>
      <c r="DQ2080"/>
      <c r="DR2080"/>
      <c r="DS2080"/>
      <c r="DT2080"/>
      <c r="DU2080"/>
      <c r="DV2080"/>
      <c r="DW2080"/>
      <c r="DX2080"/>
      <c r="DY2080"/>
      <c r="DZ2080"/>
      <c r="EA2080"/>
      <c r="EB2080"/>
      <c r="EC2080"/>
      <c r="ED2080"/>
      <c r="EE2080"/>
      <c r="EF2080"/>
      <c r="EG2080"/>
      <c r="EH2080"/>
      <c r="EI2080"/>
      <c r="EJ2080"/>
      <c r="EK2080"/>
      <c r="EL2080"/>
      <c r="EM2080"/>
      <c r="EN2080"/>
      <c r="EO2080"/>
      <c r="EP2080"/>
      <c r="EQ2080"/>
      <c r="ER2080"/>
      <c r="ES2080"/>
    </row>
    <row r="2081" spans="1:149">
      <c r="A2081"/>
      <c r="B2081"/>
      <c r="C2081"/>
      <c r="D2081"/>
      <c r="E2081"/>
      <c r="F2081"/>
      <c r="G2081"/>
      <c r="H2081"/>
      <c r="I2081"/>
      <c r="J2081"/>
      <c r="K2081"/>
      <c r="L2081"/>
      <c r="M2081"/>
      <c r="N2081"/>
      <c r="O2081"/>
      <c r="P2081"/>
      <c r="Q2081"/>
      <c r="R2081"/>
      <c r="S2081"/>
      <c r="T2081"/>
      <c r="U2081"/>
      <c r="V2081"/>
      <c r="W2081"/>
      <c r="X2081"/>
      <c r="Y2081"/>
      <c r="Z2081"/>
      <c r="AA2081"/>
      <c r="AB2081"/>
      <c r="AC2081"/>
      <c r="AD2081"/>
      <c r="AE2081"/>
      <c r="AF2081"/>
      <c r="AG2081"/>
      <c r="AH2081"/>
      <c r="AI2081"/>
      <c r="AJ2081"/>
      <c r="AK2081"/>
      <c r="AL2081"/>
      <c r="AM2081"/>
      <c r="AN2081"/>
      <c r="AO2081"/>
      <c r="AP2081"/>
      <c r="AQ2081"/>
      <c r="AR2081"/>
      <c r="AS2081"/>
      <c r="AT2081"/>
      <c r="AU2081"/>
      <c r="AV2081"/>
      <c r="AW2081"/>
      <c r="AX2081"/>
      <c r="AY2081"/>
      <c r="AZ2081"/>
      <c r="BA2081"/>
      <c r="BB2081"/>
      <c r="BC2081"/>
      <c r="BD2081"/>
      <c r="BE2081"/>
      <c r="BF2081"/>
      <c r="BG2081"/>
      <c r="BH2081"/>
      <c r="BI2081"/>
      <c r="BJ2081"/>
      <c r="BK2081"/>
      <c r="BL2081"/>
      <c r="BM2081"/>
      <c r="BN2081"/>
      <c r="BO2081"/>
      <c r="BP2081"/>
      <c r="BQ2081"/>
      <c r="BR2081"/>
      <c r="BS2081"/>
      <c r="BT2081"/>
      <c r="BU2081"/>
      <c r="BV2081"/>
      <c r="BW2081"/>
      <c r="BX2081"/>
      <c r="BY2081"/>
      <c r="BZ2081"/>
      <c r="CA2081"/>
      <c r="CB2081"/>
      <c r="CC2081"/>
      <c r="CD2081"/>
      <c r="CE2081"/>
      <c r="CF2081"/>
      <c r="CG2081"/>
      <c r="CH2081"/>
      <c r="CI2081"/>
      <c r="CJ2081"/>
      <c r="CK2081"/>
      <c r="CL2081"/>
      <c r="CM2081"/>
      <c r="CN2081"/>
      <c r="CO2081"/>
      <c r="CP2081"/>
      <c r="CQ2081"/>
      <c r="CR2081"/>
      <c r="CS2081"/>
      <c r="CT2081"/>
      <c r="CU2081"/>
      <c r="CV2081"/>
      <c r="CW2081"/>
      <c r="CX2081"/>
      <c r="CY2081"/>
      <c r="CZ2081"/>
      <c r="DA2081"/>
      <c r="DB2081"/>
      <c r="DC2081"/>
      <c r="DD2081"/>
      <c r="DE2081"/>
      <c r="DF2081"/>
      <c r="DG2081"/>
      <c r="DH2081"/>
      <c r="DI2081"/>
      <c r="DJ2081"/>
      <c r="DK2081"/>
      <c r="DL2081"/>
      <c r="DM2081"/>
      <c r="DN2081"/>
      <c r="DO2081"/>
      <c r="DP2081"/>
      <c r="DQ2081"/>
      <c r="DR2081"/>
      <c r="DS2081"/>
      <c r="DT2081"/>
      <c r="DU2081"/>
      <c r="DV2081"/>
      <c r="DW2081"/>
      <c r="DX2081"/>
      <c r="DY2081"/>
      <c r="DZ2081"/>
      <c r="EA2081"/>
      <c r="EB2081"/>
      <c r="EC2081"/>
      <c r="ED2081"/>
      <c r="EE2081"/>
      <c r="EF2081"/>
      <c r="EG2081"/>
      <c r="EH2081"/>
      <c r="EI2081"/>
      <c r="EJ2081"/>
      <c r="EK2081"/>
      <c r="EL2081"/>
      <c r="EM2081"/>
      <c r="EN2081"/>
      <c r="EO2081"/>
      <c r="EP2081"/>
      <c r="EQ2081"/>
      <c r="ER2081"/>
      <c r="ES2081"/>
    </row>
    <row r="2082" spans="1:149">
      <c r="A2082"/>
      <c r="B2082"/>
      <c r="C2082"/>
      <c r="D2082"/>
      <c r="E2082"/>
      <c r="F2082"/>
      <c r="G2082"/>
      <c r="H2082"/>
      <c r="I2082"/>
      <c r="J2082"/>
      <c r="K2082"/>
      <c r="L2082"/>
      <c r="M2082"/>
      <c r="N2082"/>
      <c r="O2082"/>
      <c r="P2082"/>
      <c r="Q2082"/>
      <c r="R2082"/>
      <c r="S2082"/>
      <c r="T2082"/>
      <c r="U2082"/>
      <c r="V2082"/>
      <c r="W2082"/>
      <c r="X2082"/>
      <c r="Y2082"/>
      <c r="Z2082"/>
      <c r="AA2082"/>
      <c r="AB2082"/>
      <c r="AC2082"/>
      <c r="AD2082"/>
      <c r="AE2082"/>
      <c r="AF2082"/>
      <c r="AG2082"/>
      <c r="AH2082"/>
      <c r="AI2082"/>
      <c r="AJ2082"/>
      <c r="AK2082"/>
      <c r="AL2082"/>
      <c r="AM2082"/>
      <c r="AN2082"/>
      <c r="AO2082"/>
      <c r="AP2082"/>
      <c r="AQ2082"/>
      <c r="AR2082"/>
      <c r="AS2082"/>
      <c r="AT2082"/>
      <c r="AU2082"/>
      <c r="AV2082"/>
      <c r="AW2082"/>
      <c r="AX2082"/>
      <c r="AY2082"/>
      <c r="AZ2082"/>
      <c r="BA2082"/>
      <c r="BB2082"/>
      <c r="BC2082"/>
      <c r="BD2082"/>
      <c r="BE2082"/>
      <c r="BF2082"/>
      <c r="BG2082"/>
      <c r="BH2082"/>
      <c r="BI2082"/>
      <c r="BJ2082"/>
      <c r="BK2082"/>
      <c r="BL2082"/>
      <c r="BM2082"/>
      <c r="BN2082"/>
      <c r="BO2082"/>
      <c r="BP2082"/>
      <c r="BQ2082"/>
      <c r="BR2082"/>
      <c r="BS2082"/>
      <c r="BT2082"/>
      <c r="BU2082"/>
      <c r="BV2082"/>
      <c r="BW2082"/>
      <c r="BX2082"/>
      <c r="BY2082"/>
      <c r="BZ2082"/>
      <c r="CA2082"/>
      <c r="CB2082"/>
      <c r="CC2082"/>
      <c r="CD2082"/>
      <c r="CE2082"/>
      <c r="CF2082"/>
      <c r="CG2082"/>
      <c r="CH2082"/>
      <c r="CI2082"/>
      <c r="CJ2082"/>
      <c r="CK2082"/>
      <c r="CL2082"/>
      <c r="CM2082"/>
      <c r="CN2082"/>
      <c r="CO2082"/>
      <c r="CP2082"/>
      <c r="CQ2082"/>
      <c r="CR2082"/>
      <c r="CS2082"/>
      <c r="CT2082"/>
      <c r="CU2082"/>
      <c r="CV2082"/>
      <c r="CW2082"/>
      <c r="CX2082"/>
      <c r="CY2082"/>
      <c r="CZ2082"/>
      <c r="DA2082"/>
      <c r="DB2082"/>
      <c r="DC2082"/>
      <c r="DD2082"/>
      <c r="DE2082"/>
      <c r="DF2082"/>
      <c r="DG2082"/>
      <c r="DH2082"/>
      <c r="DI2082"/>
      <c r="DJ2082"/>
      <c r="DK2082"/>
      <c r="DL2082"/>
      <c r="DM2082"/>
      <c r="DN2082"/>
      <c r="DO2082"/>
      <c r="DP2082"/>
      <c r="DQ2082"/>
      <c r="DR2082"/>
      <c r="DS2082"/>
      <c r="DT2082"/>
      <c r="DU2082"/>
      <c r="DV2082"/>
      <c r="DW2082"/>
      <c r="DX2082"/>
      <c r="DY2082"/>
      <c r="DZ2082"/>
      <c r="EA2082"/>
      <c r="EB2082"/>
      <c r="EC2082"/>
      <c r="ED2082"/>
      <c r="EE2082"/>
      <c r="EF2082"/>
      <c r="EG2082"/>
      <c r="EH2082"/>
      <c r="EI2082"/>
      <c r="EJ2082"/>
      <c r="EK2082"/>
      <c r="EL2082"/>
      <c r="EM2082"/>
      <c r="EN2082"/>
      <c r="EO2082"/>
      <c r="EP2082"/>
      <c r="EQ2082"/>
      <c r="ER2082"/>
      <c r="ES2082"/>
    </row>
    <row r="2083" spans="1:149">
      <c r="A2083"/>
      <c r="B2083"/>
      <c r="C2083"/>
      <c r="D2083"/>
      <c r="E2083"/>
      <c r="F2083"/>
      <c r="G2083"/>
      <c r="H2083"/>
      <c r="I2083"/>
      <c r="J2083"/>
      <c r="K2083"/>
      <c r="L2083"/>
      <c r="M2083"/>
      <c r="N2083"/>
      <c r="O2083"/>
      <c r="P2083"/>
      <c r="Q2083"/>
      <c r="R2083"/>
      <c r="S2083"/>
      <c r="T2083"/>
      <c r="U2083"/>
      <c r="V2083"/>
      <c r="W2083"/>
      <c r="X2083"/>
      <c r="Y2083"/>
      <c r="Z2083"/>
      <c r="AA2083"/>
      <c r="AB2083"/>
      <c r="AC2083"/>
      <c r="AD2083"/>
      <c r="AE2083"/>
      <c r="AF2083"/>
      <c r="AG2083"/>
      <c r="AH2083"/>
      <c r="AI2083"/>
      <c r="AJ2083"/>
      <c r="AK2083"/>
      <c r="AL2083"/>
      <c r="AM2083"/>
      <c r="AN2083"/>
      <c r="AO2083"/>
      <c r="AP2083"/>
      <c r="AQ2083"/>
      <c r="AR2083"/>
      <c r="AS2083"/>
      <c r="AT2083"/>
      <c r="AU2083"/>
      <c r="AV2083"/>
      <c r="AW2083"/>
      <c r="AX2083"/>
      <c r="AY2083"/>
      <c r="AZ2083"/>
      <c r="BA2083"/>
      <c r="BB2083"/>
      <c r="BC2083"/>
      <c r="BD2083"/>
      <c r="BE2083"/>
      <c r="BF2083"/>
      <c r="BG2083"/>
      <c r="BH2083"/>
      <c r="BI2083"/>
      <c r="BJ2083"/>
      <c r="BK2083"/>
      <c r="BL2083"/>
      <c r="BM2083"/>
      <c r="BN2083"/>
      <c r="BO2083"/>
      <c r="BP2083"/>
      <c r="BQ2083"/>
      <c r="BR2083"/>
      <c r="BS2083"/>
      <c r="BT2083"/>
      <c r="BU2083"/>
      <c r="BV2083"/>
      <c r="BW2083"/>
      <c r="BX2083"/>
      <c r="BY2083"/>
      <c r="BZ2083"/>
      <c r="CA2083"/>
      <c r="CB2083"/>
      <c r="CC2083"/>
      <c r="CD2083"/>
      <c r="CE2083"/>
      <c r="CF2083"/>
      <c r="CG2083"/>
      <c r="CH2083"/>
      <c r="CI2083"/>
      <c r="CJ2083"/>
      <c r="CK2083"/>
      <c r="CL2083"/>
      <c r="CM2083"/>
      <c r="CN2083"/>
      <c r="CO2083"/>
      <c r="CP2083"/>
      <c r="CQ2083"/>
      <c r="CR2083"/>
      <c r="CS2083"/>
      <c r="CT2083"/>
      <c r="CU2083"/>
      <c r="CV2083"/>
      <c r="CW2083"/>
      <c r="CX2083"/>
      <c r="CY2083"/>
      <c r="CZ2083"/>
      <c r="DA2083"/>
      <c r="DB2083"/>
      <c r="DC2083"/>
      <c r="DD2083"/>
      <c r="DE2083"/>
      <c r="DF2083"/>
      <c r="DG2083"/>
      <c r="DH2083"/>
      <c r="DI2083"/>
      <c r="DJ2083"/>
      <c r="DK2083"/>
      <c r="DL2083"/>
      <c r="DM2083"/>
      <c r="DN2083"/>
      <c r="DO2083"/>
      <c r="DP2083"/>
      <c r="DQ2083"/>
      <c r="DR2083"/>
      <c r="DS2083"/>
      <c r="DT2083"/>
      <c r="DU2083"/>
      <c r="DV2083"/>
      <c r="DW2083"/>
      <c r="DX2083"/>
      <c r="DY2083"/>
      <c r="DZ2083"/>
      <c r="EA2083"/>
      <c r="EB2083"/>
      <c r="EC2083"/>
      <c r="ED2083"/>
      <c r="EE2083"/>
      <c r="EF2083"/>
      <c r="EG2083"/>
      <c r="EH2083"/>
      <c r="EI2083"/>
      <c r="EJ2083"/>
      <c r="EK2083"/>
      <c r="EL2083"/>
      <c r="EM2083"/>
      <c r="EN2083"/>
      <c r="EO2083"/>
      <c r="EP2083"/>
      <c r="EQ2083"/>
      <c r="ER2083"/>
      <c r="ES2083"/>
    </row>
    <row r="2084" spans="1:149">
      <c r="A2084"/>
      <c r="B2084"/>
      <c r="C2084"/>
      <c r="D2084"/>
      <c r="E2084"/>
      <c r="F2084"/>
      <c r="G2084"/>
      <c r="H2084"/>
      <c r="I2084"/>
      <c r="J2084"/>
      <c r="K2084"/>
      <c r="L2084"/>
      <c r="M2084"/>
      <c r="N2084"/>
      <c r="O2084"/>
      <c r="P2084"/>
      <c r="Q2084"/>
      <c r="R2084"/>
      <c r="S2084"/>
      <c r="T2084"/>
      <c r="U2084"/>
      <c r="V2084"/>
      <c r="W2084"/>
      <c r="X2084"/>
      <c r="Y2084"/>
      <c r="Z2084"/>
      <c r="AA2084"/>
      <c r="AB2084"/>
      <c r="AC2084"/>
      <c r="AD2084"/>
      <c r="AE2084"/>
      <c r="AF2084"/>
      <c r="AG2084"/>
      <c r="AH2084"/>
      <c r="AI2084"/>
      <c r="AJ2084"/>
      <c r="AK2084"/>
      <c r="AL2084"/>
      <c r="AM2084"/>
      <c r="AN2084"/>
      <c r="AO2084"/>
      <c r="AP2084"/>
      <c r="AQ2084"/>
      <c r="AR2084"/>
      <c r="AS2084"/>
      <c r="AT2084"/>
      <c r="AU2084"/>
      <c r="AV2084"/>
      <c r="AW2084"/>
      <c r="AX2084"/>
      <c r="AY2084"/>
      <c r="AZ2084"/>
      <c r="BA2084"/>
      <c r="BB2084"/>
      <c r="BC2084"/>
      <c r="BD2084"/>
      <c r="BE2084"/>
      <c r="BF2084"/>
      <c r="BG2084"/>
      <c r="BH2084"/>
      <c r="BI2084"/>
      <c r="BJ2084"/>
      <c r="BK2084"/>
      <c r="BL2084"/>
      <c r="BM2084"/>
      <c r="BN2084"/>
      <c r="BO2084"/>
      <c r="BP2084"/>
      <c r="BQ2084"/>
      <c r="BR2084"/>
      <c r="BS2084"/>
      <c r="BT2084"/>
      <c r="BU2084"/>
      <c r="BV2084"/>
      <c r="BW2084"/>
      <c r="BX2084"/>
      <c r="BY2084"/>
      <c r="BZ2084"/>
      <c r="CA2084"/>
      <c r="CB2084"/>
      <c r="CC2084"/>
      <c r="CD2084"/>
      <c r="CE2084"/>
      <c r="CF2084"/>
      <c r="CG2084"/>
      <c r="CH2084"/>
      <c r="CI2084"/>
      <c r="CJ2084"/>
      <c r="CK2084"/>
      <c r="CL2084"/>
      <c r="CM2084"/>
      <c r="CN2084"/>
      <c r="CO2084"/>
      <c r="CP2084"/>
      <c r="CQ2084"/>
      <c r="CR2084"/>
      <c r="CS2084"/>
      <c r="CT2084"/>
      <c r="CU2084"/>
      <c r="CV2084"/>
      <c r="CW2084"/>
      <c r="CX2084"/>
      <c r="CY2084"/>
      <c r="CZ2084"/>
      <c r="DA2084"/>
      <c r="DB2084"/>
      <c r="DC2084"/>
      <c r="DD2084"/>
      <c r="DE2084"/>
      <c r="DF2084"/>
      <c r="DG2084"/>
      <c r="DH2084"/>
      <c r="DI2084"/>
      <c r="DJ2084"/>
      <c r="DK2084"/>
      <c r="DL2084"/>
      <c r="DM2084"/>
      <c r="DN2084"/>
      <c r="DO2084"/>
      <c r="DP2084"/>
      <c r="DQ2084"/>
      <c r="DR2084"/>
      <c r="DS2084"/>
      <c r="DT2084"/>
      <c r="DU2084"/>
      <c r="DV2084"/>
      <c r="DW2084"/>
      <c r="DX2084"/>
      <c r="DY2084"/>
      <c r="DZ2084"/>
      <c r="EA2084"/>
      <c r="EB2084"/>
      <c r="EC2084"/>
      <c r="ED2084"/>
      <c r="EE2084"/>
      <c r="EF2084"/>
      <c r="EG2084"/>
      <c r="EH2084"/>
      <c r="EI2084"/>
      <c r="EJ2084"/>
      <c r="EK2084"/>
      <c r="EL2084"/>
      <c r="EM2084"/>
      <c r="EN2084"/>
      <c r="EO2084"/>
      <c r="EP2084"/>
      <c r="EQ2084"/>
      <c r="ER2084"/>
      <c r="ES2084"/>
    </row>
    <row r="2085" spans="1:149">
      <c r="A2085"/>
      <c r="B2085"/>
      <c r="C2085"/>
      <c r="D2085"/>
      <c r="E2085"/>
      <c r="F2085"/>
      <c r="G2085"/>
      <c r="H2085"/>
      <c r="I2085"/>
      <c r="J2085"/>
      <c r="K2085"/>
      <c r="L2085"/>
      <c r="M2085"/>
      <c r="N2085"/>
      <c r="O2085"/>
      <c r="P2085"/>
      <c r="Q2085"/>
      <c r="R2085"/>
      <c r="S2085"/>
      <c r="T2085"/>
      <c r="U2085"/>
      <c r="V2085"/>
      <c r="W2085"/>
      <c r="X2085"/>
      <c r="Y2085"/>
      <c r="Z2085"/>
      <c r="AA2085"/>
      <c r="AB2085"/>
      <c r="AC2085"/>
      <c r="AD2085"/>
      <c r="AE2085"/>
      <c r="AF2085"/>
      <c r="AG2085"/>
      <c r="AH2085"/>
      <c r="AI2085"/>
      <c r="AJ2085"/>
      <c r="AK2085"/>
      <c r="AL2085"/>
      <c r="AM2085"/>
      <c r="AN2085"/>
      <c r="AO2085"/>
      <c r="AP2085"/>
      <c r="AQ2085"/>
      <c r="AR2085"/>
      <c r="AS2085"/>
      <c r="AT2085"/>
      <c r="AU2085"/>
      <c r="AV2085"/>
      <c r="AW2085"/>
      <c r="AX2085"/>
      <c r="AY2085"/>
      <c r="AZ2085"/>
      <c r="BA2085"/>
      <c r="BB2085"/>
      <c r="BC2085"/>
      <c r="BD2085"/>
      <c r="BE2085"/>
      <c r="BF2085"/>
      <c r="BG2085"/>
      <c r="BH2085"/>
      <c r="BI2085"/>
      <c r="BJ2085"/>
      <c r="BK2085"/>
      <c r="BL2085"/>
      <c r="BM2085"/>
      <c r="BN2085"/>
      <c r="BO2085"/>
      <c r="BP2085"/>
      <c r="BQ2085"/>
      <c r="BR2085"/>
      <c r="BS2085"/>
      <c r="BT2085"/>
      <c r="BU2085"/>
      <c r="BV2085"/>
      <c r="BW2085"/>
      <c r="BX2085"/>
      <c r="BY2085"/>
      <c r="BZ2085"/>
      <c r="CA2085"/>
      <c r="CB2085"/>
      <c r="CC2085"/>
      <c r="CD2085"/>
      <c r="CE2085"/>
      <c r="CF2085"/>
      <c r="CG2085"/>
      <c r="CH2085"/>
      <c r="CI2085"/>
      <c r="CJ2085"/>
      <c r="CK2085"/>
      <c r="CL2085"/>
      <c r="CM2085"/>
      <c r="CN2085"/>
      <c r="CO2085"/>
      <c r="CP2085"/>
      <c r="CQ2085"/>
      <c r="CR2085"/>
      <c r="CS2085"/>
      <c r="CT2085"/>
      <c r="CU2085"/>
      <c r="CV2085"/>
      <c r="CW2085"/>
      <c r="CX2085"/>
      <c r="CY2085"/>
      <c r="CZ2085"/>
      <c r="DA2085"/>
      <c r="DB2085"/>
      <c r="DC2085"/>
      <c r="DD2085"/>
      <c r="DE2085"/>
      <c r="DF2085"/>
      <c r="DG2085"/>
      <c r="DH2085"/>
      <c r="DI2085"/>
      <c r="DJ2085"/>
      <c r="DK2085"/>
      <c r="DL2085"/>
      <c r="DM2085"/>
      <c r="DN2085"/>
      <c r="DO2085"/>
      <c r="DP2085"/>
      <c r="DQ2085"/>
      <c r="DR2085"/>
      <c r="DS2085"/>
      <c r="DT2085"/>
      <c r="DU2085"/>
      <c r="DV2085"/>
      <c r="DW2085"/>
      <c r="DX2085"/>
      <c r="DY2085"/>
      <c r="DZ2085"/>
      <c r="EA2085"/>
      <c r="EB2085"/>
      <c r="EC2085"/>
      <c r="ED2085"/>
      <c r="EE2085"/>
      <c r="EF2085"/>
      <c r="EG2085"/>
      <c r="EH2085"/>
      <c r="EI2085"/>
      <c r="EJ2085"/>
      <c r="EK2085"/>
      <c r="EL2085"/>
      <c r="EM2085"/>
      <c r="EN2085"/>
      <c r="EO2085"/>
      <c r="EP2085"/>
      <c r="EQ2085"/>
      <c r="ER2085"/>
      <c r="ES2085"/>
    </row>
    <row r="2086" spans="1:149">
      <c r="A2086"/>
      <c r="B2086"/>
      <c r="C2086"/>
      <c r="D2086"/>
      <c r="E2086"/>
      <c r="F2086"/>
      <c r="G2086"/>
      <c r="H2086"/>
      <c r="I2086"/>
      <c r="J2086"/>
      <c r="K2086"/>
      <c r="L2086"/>
      <c r="M2086"/>
      <c r="N2086"/>
      <c r="O2086"/>
      <c r="P2086"/>
      <c r="Q2086"/>
      <c r="R2086"/>
      <c r="S2086"/>
      <c r="T2086"/>
      <c r="U2086"/>
      <c r="V2086"/>
      <c r="W2086"/>
      <c r="X2086"/>
      <c r="Y2086"/>
      <c r="Z2086"/>
      <c r="AA2086"/>
      <c r="AB2086"/>
      <c r="AC2086"/>
      <c r="AD2086"/>
      <c r="AE2086"/>
      <c r="AF2086"/>
      <c r="AG2086"/>
      <c r="AH2086"/>
      <c r="AI2086"/>
      <c r="AJ2086"/>
      <c r="AK2086"/>
      <c r="AL2086"/>
      <c r="AM2086"/>
      <c r="AN2086"/>
      <c r="AO2086"/>
      <c r="AP2086"/>
      <c r="AQ2086"/>
      <c r="AR2086"/>
      <c r="AS2086"/>
      <c r="AT2086"/>
      <c r="AU2086"/>
      <c r="AV2086"/>
      <c r="AW2086"/>
      <c r="AX2086"/>
      <c r="AY2086"/>
      <c r="AZ2086"/>
      <c r="BA2086"/>
      <c r="BB2086"/>
      <c r="BC2086"/>
      <c r="BD2086"/>
      <c r="BE2086"/>
      <c r="BF2086"/>
      <c r="BG2086"/>
      <c r="BH2086"/>
      <c r="BI2086"/>
      <c r="BJ2086"/>
      <c r="BK2086"/>
      <c r="BL2086"/>
      <c r="BM2086"/>
      <c r="BN2086"/>
      <c r="BO2086"/>
      <c r="BP2086"/>
      <c r="BQ2086"/>
      <c r="BR2086"/>
      <c r="BS2086"/>
      <c r="BT2086"/>
      <c r="BU2086"/>
      <c r="BV2086"/>
      <c r="BW2086"/>
      <c r="BX2086"/>
      <c r="BY2086"/>
      <c r="BZ2086"/>
      <c r="CA2086"/>
      <c r="CB2086"/>
      <c r="CC2086"/>
      <c r="CD2086"/>
      <c r="CE2086"/>
      <c r="CF2086"/>
      <c r="CG2086"/>
      <c r="CH2086"/>
      <c r="CI2086"/>
      <c r="CJ2086"/>
      <c r="CK2086"/>
      <c r="CL2086"/>
      <c r="CM2086"/>
      <c r="CN2086"/>
      <c r="CO2086"/>
      <c r="CP2086"/>
      <c r="CQ2086"/>
      <c r="CR2086"/>
      <c r="CS2086"/>
      <c r="CT2086"/>
      <c r="CU2086"/>
      <c r="CV2086"/>
      <c r="CW2086"/>
      <c r="CX2086"/>
      <c r="CY2086"/>
      <c r="CZ2086"/>
      <c r="DA2086"/>
      <c r="DB2086"/>
      <c r="DC2086"/>
      <c r="DD2086"/>
      <c r="DE2086"/>
      <c r="DF2086"/>
      <c r="DG2086"/>
      <c r="DH2086"/>
      <c r="DI2086"/>
      <c r="DJ2086"/>
      <c r="DK2086"/>
      <c r="DL2086"/>
      <c r="DM2086"/>
      <c r="DN2086"/>
      <c r="DO2086"/>
      <c r="DP2086"/>
      <c r="DQ2086"/>
      <c r="DR2086"/>
      <c r="DS2086"/>
      <c r="DT2086"/>
      <c r="DU2086"/>
      <c r="DV2086"/>
      <c r="DW2086"/>
      <c r="DX2086"/>
      <c r="DY2086"/>
      <c r="DZ2086"/>
      <c r="EA2086"/>
      <c r="EB2086"/>
      <c r="EC2086"/>
      <c r="ED2086"/>
      <c r="EE2086"/>
      <c r="EF2086"/>
      <c r="EG2086"/>
      <c r="EH2086"/>
      <c r="EI2086"/>
      <c r="EJ2086"/>
      <c r="EK2086"/>
      <c r="EL2086"/>
      <c r="EM2086"/>
      <c r="EN2086"/>
      <c r="EO2086"/>
      <c r="EP2086"/>
      <c r="EQ2086"/>
      <c r="ER2086"/>
      <c r="ES2086"/>
    </row>
    <row r="2087" spans="1:149">
      <c r="A2087"/>
      <c r="B2087"/>
      <c r="C2087"/>
      <c r="D2087"/>
      <c r="E2087"/>
      <c r="F2087"/>
      <c r="G2087"/>
      <c r="H2087"/>
      <c r="I2087"/>
      <c r="J2087"/>
      <c r="K2087"/>
      <c r="L2087"/>
      <c r="M2087"/>
      <c r="N2087"/>
      <c r="O2087"/>
      <c r="P2087"/>
      <c r="Q2087"/>
      <c r="R2087"/>
      <c r="S2087"/>
      <c r="T2087"/>
      <c r="U2087"/>
      <c r="V2087"/>
      <c r="W2087"/>
      <c r="X2087"/>
      <c r="Y2087"/>
      <c r="Z2087"/>
      <c r="AA2087"/>
      <c r="AB2087"/>
      <c r="AC2087"/>
      <c r="AD2087"/>
      <c r="AE2087"/>
      <c r="AF2087"/>
      <c r="AG2087"/>
      <c r="AH2087"/>
      <c r="AI2087"/>
      <c r="AJ2087"/>
      <c r="AK2087"/>
      <c r="AL2087"/>
      <c r="AM2087"/>
      <c r="AN2087"/>
      <c r="AO2087"/>
      <c r="AP2087"/>
      <c r="AQ2087"/>
      <c r="AR2087"/>
      <c r="AS2087"/>
      <c r="AT2087"/>
      <c r="AU2087"/>
      <c r="AV2087"/>
      <c r="AW2087"/>
      <c r="AX2087"/>
      <c r="AY2087"/>
      <c r="AZ2087"/>
      <c r="BA2087"/>
      <c r="BB2087"/>
      <c r="BC2087"/>
      <c r="BD2087"/>
      <c r="BE2087"/>
      <c r="BF2087"/>
      <c r="BG2087"/>
      <c r="BH2087"/>
      <c r="BI2087"/>
      <c r="BJ2087"/>
      <c r="BK2087"/>
      <c r="BL2087"/>
      <c r="BM2087"/>
      <c r="BN2087"/>
      <c r="BO2087"/>
      <c r="BP2087"/>
      <c r="BQ2087"/>
      <c r="BR2087"/>
      <c r="BS2087"/>
      <c r="BT2087"/>
      <c r="BU2087"/>
      <c r="BV2087"/>
      <c r="BW2087"/>
      <c r="BX2087"/>
      <c r="BY2087"/>
      <c r="BZ2087"/>
      <c r="CA2087"/>
      <c r="CB2087"/>
      <c r="CC2087"/>
      <c r="CD2087"/>
      <c r="CE2087"/>
      <c r="CF2087"/>
      <c r="CG2087"/>
      <c r="CH2087"/>
      <c r="CI2087"/>
      <c r="CJ2087"/>
      <c r="CK2087"/>
      <c r="CL2087"/>
      <c r="CM2087"/>
      <c r="CN2087"/>
      <c r="CO2087"/>
      <c r="CP2087"/>
      <c r="CQ2087"/>
      <c r="CR2087"/>
      <c r="CS2087"/>
      <c r="CT2087"/>
      <c r="CU2087"/>
      <c r="CV2087"/>
      <c r="CW2087"/>
      <c r="CX2087"/>
      <c r="CY2087"/>
      <c r="CZ2087"/>
      <c r="DA2087"/>
      <c r="DB2087"/>
      <c r="DC2087"/>
      <c r="DD2087"/>
      <c r="DE2087"/>
      <c r="DF2087"/>
      <c r="DG2087"/>
      <c r="DH2087"/>
      <c r="DI2087"/>
      <c r="DJ2087"/>
      <c r="DK2087"/>
      <c r="DL2087"/>
      <c r="DM2087"/>
      <c r="DN2087"/>
      <c r="DO2087"/>
      <c r="DP2087"/>
      <c r="DQ2087"/>
      <c r="DR2087"/>
      <c r="DS2087"/>
      <c r="DT2087"/>
      <c r="DU2087"/>
      <c r="DV2087"/>
      <c r="DW2087"/>
      <c r="DX2087"/>
      <c r="DY2087"/>
      <c r="DZ2087"/>
      <c r="EA2087"/>
      <c r="EB2087"/>
      <c r="EC2087"/>
      <c r="ED2087"/>
      <c r="EE2087"/>
      <c r="EF2087"/>
      <c r="EG2087"/>
      <c r="EH2087"/>
      <c r="EI2087"/>
      <c r="EJ2087"/>
      <c r="EK2087"/>
      <c r="EL2087"/>
      <c r="EM2087"/>
      <c r="EN2087"/>
      <c r="EO2087"/>
      <c r="EP2087"/>
      <c r="EQ2087"/>
      <c r="ER2087"/>
      <c r="ES2087"/>
    </row>
    <row r="2088" spans="1:149">
      <c r="A2088"/>
      <c r="B2088"/>
      <c r="C2088"/>
      <c r="D2088"/>
      <c r="E2088"/>
      <c r="F2088"/>
      <c r="G2088"/>
      <c r="H2088"/>
      <c r="I2088"/>
      <c r="J2088"/>
      <c r="K2088"/>
      <c r="L2088"/>
      <c r="M2088"/>
      <c r="N2088"/>
      <c r="O2088"/>
      <c r="P2088"/>
      <c r="Q2088"/>
      <c r="R2088"/>
      <c r="S2088"/>
      <c r="T2088"/>
      <c r="U2088"/>
      <c r="V2088"/>
      <c r="W2088"/>
      <c r="X2088"/>
      <c r="Y2088"/>
      <c r="Z2088"/>
      <c r="AA2088"/>
      <c r="AB2088"/>
      <c r="AC2088"/>
      <c r="AD2088"/>
      <c r="AE2088"/>
      <c r="AF2088"/>
      <c r="AG2088"/>
      <c r="AH2088"/>
      <c r="AI2088"/>
      <c r="AJ2088"/>
      <c r="AK2088"/>
      <c r="AL2088"/>
      <c r="AM2088"/>
      <c r="AN2088"/>
      <c r="AO2088"/>
      <c r="AP2088"/>
      <c r="AQ2088"/>
      <c r="AR2088"/>
      <c r="AS2088"/>
      <c r="AT2088"/>
      <c r="AU2088"/>
      <c r="AV2088"/>
      <c r="AW2088"/>
      <c r="AX2088"/>
      <c r="AY2088"/>
      <c r="AZ2088"/>
      <c r="BA2088"/>
      <c r="BB2088"/>
      <c r="BC2088"/>
      <c r="BD2088"/>
      <c r="BE2088"/>
      <c r="BF2088"/>
      <c r="BG2088"/>
      <c r="BH2088"/>
      <c r="BI2088"/>
      <c r="BJ2088"/>
      <c r="BK2088"/>
      <c r="BL2088"/>
      <c r="BM2088"/>
      <c r="BN2088"/>
      <c r="BO2088"/>
      <c r="BP2088"/>
      <c r="BQ2088"/>
      <c r="BR2088"/>
      <c r="BS2088"/>
      <c r="BT2088"/>
      <c r="BU2088"/>
      <c r="BV2088"/>
      <c r="BW2088"/>
      <c r="BX2088"/>
      <c r="BY2088"/>
      <c r="BZ2088"/>
      <c r="CA2088"/>
      <c r="CB2088"/>
      <c r="CC2088"/>
      <c r="CD2088"/>
      <c r="CE2088"/>
      <c r="CF2088"/>
      <c r="CG2088"/>
      <c r="CH2088"/>
      <c r="CI2088"/>
      <c r="CJ2088"/>
      <c r="CK2088"/>
      <c r="CL2088"/>
      <c r="CM2088"/>
      <c r="CN2088"/>
      <c r="CO2088"/>
      <c r="CP2088"/>
      <c r="CQ2088"/>
      <c r="CR2088"/>
      <c r="CS2088"/>
      <c r="CT2088"/>
      <c r="CU2088"/>
      <c r="CV2088"/>
      <c r="CW2088"/>
      <c r="CX2088"/>
      <c r="CY2088"/>
      <c r="CZ2088"/>
      <c r="DA2088"/>
      <c r="DB2088"/>
      <c r="DC2088"/>
      <c r="DD2088"/>
      <c r="DE2088"/>
      <c r="DF2088"/>
      <c r="DG2088"/>
      <c r="DH2088"/>
      <c r="DI2088"/>
      <c r="DJ2088"/>
      <c r="DK2088"/>
      <c r="DL2088"/>
      <c r="DM2088"/>
      <c r="DN2088"/>
      <c r="DO2088"/>
      <c r="DP2088"/>
      <c r="DQ2088"/>
      <c r="DR2088"/>
      <c r="DS2088"/>
      <c r="DT2088"/>
      <c r="DU2088"/>
      <c r="DV2088"/>
      <c r="DW2088"/>
      <c r="DX2088"/>
      <c r="DY2088"/>
      <c r="DZ2088"/>
      <c r="EA2088"/>
      <c r="EB2088"/>
      <c r="EC2088"/>
      <c r="ED2088"/>
      <c r="EE2088"/>
      <c r="EF2088"/>
      <c r="EG2088"/>
      <c r="EH2088"/>
      <c r="EI2088"/>
      <c r="EJ2088"/>
      <c r="EK2088"/>
      <c r="EL2088"/>
      <c r="EM2088"/>
      <c r="EN2088"/>
      <c r="EO2088"/>
      <c r="EP2088"/>
      <c r="EQ2088"/>
      <c r="ER2088"/>
      <c r="ES2088"/>
    </row>
    <row r="2089" spans="1:149">
      <c r="A2089"/>
      <c r="B2089"/>
      <c r="C2089"/>
      <c r="D2089"/>
      <c r="E2089"/>
      <c r="F2089"/>
      <c r="G2089"/>
      <c r="H2089"/>
      <c r="I2089"/>
      <c r="J2089"/>
      <c r="K2089"/>
      <c r="L2089"/>
      <c r="M2089"/>
      <c r="N2089"/>
      <c r="O2089"/>
      <c r="P2089"/>
      <c r="Q2089"/>
      <c r="R2089"/>
      <c r="S2089"/>
      <c r="T2089"/>
      <c r="U2089"/>
      <c r="V2089"/>
      <c r="W2089"/>
      <c r="X2089"/>
      <c r="Y2089"/>
      <c r="Z2089"/>
      <c r="AA2089"/>
      <c r="AB2089"/>
      <c r="AC2089"/>
      <c r="AD2089"/>
      <c r="AE2089"/>
      <c r="AF2089"/>
      <c r="AG2089"/>
      <c r="AH2089"/>
      <c r="AI2089"/>
      <c r="AJ2089"/>
      <c r="AK2089"/>
      <c r="AL2089"/>
      <c r="AM2089"/>
      <c r="AN2089"/>
      <c r="AO2089"/>
      <c r="AP2089"/>
      <c r="AQ2089"/>
      <c r="AR2089"/>
      <c r="AS2089"/>
      <c r="AT2089"/>
      <c r="AU2089"/>
      <c r="AV2089"/>
      <c r="AW2089"/>
      <c r="AX2089"/>
      <c r="AY2089"/>
      <c r="AZ2089"/>
      <c r="BA2089"/>
      <c r="BB2089"/>
      <c r="BC2089"/>
      <c r="BD2089"/>
      <c r="BE2089"/>
      <c r="BF2089"/>
      <c r="BG2089"/>
      <c r="BH2089"/>
      <c r="BI2089"/>
      <c r="BJ2089"/>
      <c r="BK2089"/>
      <c r="BL2089"/>
      <c r="BM2089"/>
      <c r="BN2089"/>
      <c r="BO2089"/>
      <c r="BP2089"/>
      <c r="BQ2089"/>
      <c r="BR2089"/>
      <c r="BS2089"/>
      <c r="BT2089"/>
      <c r="BU2089"/>
      <c r="BV2089"/>
      <c r="BW2089"/>
      <c r="BX2089"/>
      <c r="BY2089"/>
      <c r="BZ2089"/>
      <c r="CA2089"/>
      <c r="CB2089"/>
      <c r="CC2089"/>
      <c r="CD2089"/>
      <c r="CE2089"/>
      <c r="CF2089"/>
      <c r="CG2089"/>
      <c r="CH2089"/>
      <c r="CI2089"/>
      <c r="CJ2089"/>
      <c r="CK2089"/>
      <c r="CL2089"/>
      <c r="CM2089"/>
      <c r="CN2089"/>
      <c r="CO2089"/>
      <c r="CP2089"/>
      <c r="CQ2089"/>
      <c r="CR2089"/>
      <c r="CS2089"/>
      <c r="CT2089"/>
      <c r="CU2089"/>
      <c r="CV2089"/>
      <c r="CW2089"/>
      <c r="CX2089"/>
      <c r="CY2089"/>
      <c r="CZ2089"/>
      <c r="DA2089"/>
      <c r="DB2089"/>
      <c r="DC2089"/>
      <c r="DD2089"/>
      <c r="DE2089"/>
      <c r="DF2089"/>
      <c r="DG2089"/>
      <c r="DH2089"/>
      <c r="DI2089"/>
      <c r="DJ2089"/>
      <c r="DK2089"/>
      <c r="DL2089"/>
      <c r="DM2089"/>
      <c r="DN2089"/>
      <c r="DO2089"/>
      <c r="DP2089"/>
      <c r="DQ2089"/>
      <c r="DR2089"/>
      <c r="DS2089"/>
      <c r="DT2089"/>
      <c r="DU2089"/>
      <c r="DV2089"/>
      <c r="DW2089"/>
      <c r="DX2089"/>
      <c r="DY2089"/>
      <c r="DZ2089"/>
      <c r="EA2089"/>
      <c r="EB2089"/>
      <c r="EC2089"/>
      <c r="ED2089"/>
      <c r="EE2089"/>
      <c r="EF2089"/>
      <c r="EG2089"/>
      <c r="EH2089"/>
      <c r="EI2089"/>
      <c r="EJ2089"/>
      <c r="EK2089"/>
      <c r="EL2089"/>
      <c r="EM2089"/>
      <c r="EN2089"/>
      <c r="EO2089"/>
      <c r="EP2089"/>
      <c r="EQ2089"/>
      <c r="ER2089"/>
      <c r="ES2089"/>
    </row>
    <row r="2090" spans="1:149">
      <c r="A2090"/>
      <c r="B2090"/>
      <c r="C2090"/>
      <c r="D2090"/>
      <c r="E2090"/>
      <c r="F2090"/>
      <c r="G2090"/>
      <c r="H2090"/>
      <c r="I2090"/>
      <c r="J2090"/>
      <c r="K2090"/>
      <c r="L2090"/>
      <c r="M2090"/>
      <c r="N2090"/>
      <c r="O2090"/>
      <c r="P2090"/>
      <c r="Q2090"/>
      <c r="R2090"/>
      <c r="S2090"/>
      <c r="T2090"/>
      <c r="U2090"/>
      <c r="V2090"/>
      <c r="W2090"/>
      <c r="X2090"/>
      <c r="Y2090"/>
      <c r="Z2090"/>
      <c r="AA2090"/>
      <c r="AB2090"/>
      <c r="AC2090"/>
      <c r="AD2090"/>
      <c r="AE2090"/>
      <c r="AF2090"/>
      <c r="AG2090"/>
      <c r="AH2090"/>
      <c r="AI2090"/>
      <c r="AJ2090"/>
      <c r="AK2090"/>
      <c r="AL2090"/>
      <c r="AM2090"/>
      <c r="AN2090"/>
      <c r="AO2090"/>
      <c r="AP2090"/>
      <c r="AQ2090"/>
      <c r="AR2090"/>
      <c r="AS2090"/>
      <c r="AT2090"/>
      <c r="AU2090"/>
      <c r="AV2090"/>
      <c r="AW2090"/>
      <c r="AX2090"/>
      <c r="AY2090"/>
      <c r="AZ2090"/>
      <c r="BA2090"/>
      <c r="BB2090"/>
      <c r="BC2090"/>
      <c r="BD2090"/>
      <c r="BE2090"/>
      <c r="BF2090"/>
      <c r="BG2090"/>
      <c r="BH2090"/>
      <c r="BI2090"/>
      <c r="BJ2090"/>
      <c r="BK2090"/>
      <c r="BL2090"/>
      <c r="BM2090"/>
      <c r="BN2090"/>
      <c r="BO2090"/>
      <c r="BP2090"/>
      <c r="BQ2090"/>
      <c r="BR2090"/>
      <c r="BS2090"/>
      <c r="BT2090"/>
      <c r="BU2090"/>
      <c r="BV2090"/>
      <c r="BW2090"/>
      <c r="BX2090"/>
      <c r="BY2090"/>
      <c r="BZ2090"/>
      <c r="CA2090"/>
      <c r="CB2090"/>
      <c r="CC2090"/>
      <c r="CD2090"/>
      <c r="CE2090"/>
      <c r="CF2090"/>
      <c r="CG2090"/>
      <c r="CH2090"/>
      <c r="CI2090"/>
      <c r="CJ2090"/>
      <c r="CK2090"/>
      <c r="CL2090"/>
      <c r="CM2090"/>
      <c r="CN2090"/>
      <c r="CO2090"/>
      <c r="CP2090"/>
      <c r="CQ2090"/>
      <c r="CR2090"/>
      <c r="CS2090"/>
      <c r="CT2090"/>
      <c r="CU2090"/>
      <c r="CV2090"/>
      <c r="CW2090"/>
      <c r="CX2090"/>
      <c r="CY2090"/>
      <c r="CZ2090"/>
      <c r="DA2090"/>
      <c r="DB2090"/>
      <c r="DC2090"/>
      <c r="DD2090"/>
      <c r="DE2090"/>
      <c r="DF2090"/>
      <c r="DG2090"/>
      <c r="DH2090"/>
      <c r="DI2090"/>
      <c r="DJ2090"/>
      <c r="DK2090"/>
      <c r="DL2090"/>
      <c r="DM2090"/>
      <c r="DN2090"/>
      <c r="DO2090"/>
      <c r="DP2090"/>
      <c r="DQ2090"/>
      <c r="DR2090"/>
      <c r="DS2090"/>
      <c r="DT2090"/>
      <c r="DU2090"/>
      <c r="DV2090"/>
      <c r="DW2090"/>
      <c r="DX2090"/>
      <c r="DY2090"/>
      <c r="DZ2090"/>
      <c r="EA2090"/>
      <c r="EB2090"/>
      <c r="EC2090"/>
      <c r="ED2090"/>
      <c r="EE2090"/>
      <c r="EF2090"/>
      <c r="EG2090"/>
      <c r="EH2090"/>
      <c r="EI2090"/>
      <c r="EJ2090"/>
      <c r="EK2090"/>
      <c r="EL2090"/>
      <c r="EM2090"/>
      <c r="EN2090"/>
      <c r="EO2090"/>
      <c r="EP2090"/>
      <c r="EQ2090"/>
      <c r="ER2090"/>
      <c r="ES2090"/>
    </row>
    <row r="2091" spans="1:149">
      <c r="A2091"/>
      <c r="B2091"/>
      <c r="C2091"/>
      <c r="D2091"/>
      <c r="E2091"/>
      <c r="F2091"/>
      <c r="G2091"/>
      <c r="H2091"/>
      <c r="I2091"/>
      <c r="J2091"/>
      <c r="K2091"/>
      <c r="L2091"/>
      <c r="M2091"/>
      <c r="N2091"/>
      <c r="O2091"/>
      <c r="P2091"/>
      <c r="Q2091"/>
      <c r="R2091"/>
      <c r="S2091"/>
      <c r="T2091"/>
      <c r="U2091"/>
      <c r="V2091"/>
      <c r="W2091"/>
      <c r="X2091"/>
      <c r="Y2091"/>
      <c r="Z2091"/>
      <c r="AA2091"/>
      <c r="AB2091"/>
      <c r="AC2091"/>
      <c r="AD2091"/>
      <c r="AE2091"/>
      <c r="AF2091"/>
      <c r="AG2091"/>
      <c r="AH2091"/>
      <c r="AI2091"/>
      <c r="AJ2091"/>
      <c r="AK2091"/>
      <c r="AL2091"/>
      <c r="AM2091"/>
      <c r="AN2091"/>
      <c r="AO2091"/>
      <c r="AP2091"/>
      <c r="AQ2091"/>
      <c r="AR2091"/>
      <c r="AS2091"/>
      <c r="AT2091"/>
      <c r="AU2091"/>
      <c r="AV2091"/>
      <c r="AW2091"/>
      <c r="AX2091"/>
      <c r="AY2091"/>
      <c r="AZ2091"/>
      <c r="BA2091"/>
      <c r="BB2091"/>
      <c r="BC2091"/>
      <c r="BD2091"/>
      <c r="BE2091"/>
      <c r="BF2091"/>
      <c r="BG2091"/>
      <c r="BH2091"/>
      <c r="BI2091"/>
      <c r="BJ2091"/>
      <c r="BK2091"/>
      <c r="BL2091"/>
      <c r="BM2091"/>
      <c r="BN2091"/>
      <c r="BO2091"/>
      <c r="BP2091"/>
      <c r="BQ2091"/>
      <c r="BR2091"/>
      <c r="BS2091"/>
      <c r="BT2091"/>
      <c r="BU2091"/>
      <c r="BV2091"/>
      <c r="BW2091"/>
      <c r="BX2091"/>
      <c r="BY2091"/>
      <c r="BZ2091"/>
      <c r="CA2091"/>
      <c r="CB2091"/>
      <c r="CC2091"/>
      <c r="CD2091"/>
      <c r="CE2091"/>
      <c r="CF2091"/>
      <c r="CG2091"/>
      <c r="CH2091"/>
      <c r="CI2091"/>
      <c r="CJ2091"/>
      <c r="CK2091"/>
      <c r="CL2091"/>
      <c r="CM2091"/>
      <c r="CN2091"/>
      <c r="CO2091"/>
      <c r="CP2091"/>
      <c r="CQ2091"/>
      <c r="CR2091"/>
      <c r="CS2091"/>
      <c r="CT2091"/>
      <c r="CU2091"/>
      <c r="CV2091"/>
      <c r="CW2091"/>
      <c r="CX2091"/>
      <c r="CY2091"/>
      <c r="CZ2091"/>
      <c r="DA2091"/>
      <c r="DB2091"/>
      <c r="DC2091"/>
      <c r="DD2091"/>
      <c r="DE2091"/>
      <c r="DF2091"/>
      <c r="DG2091"/>
      <c r="DH2091"/>
      <c r="DI2091"/>
      <c r="DJ2091"/>
      <c r="DK2091"/>
      <c r="DL2091"/>
      <c r="DM2091"/>
      <c r="DN2091"/>
      <c r="DO2091"/>
      <c r="DP2091"/>
      <c r="DQ2091"/>
      <c r="DR2091"/>
      <c r="DS2091"/>
      <c r="DT2091"/>
      <c r="DU2091"/>
      <c r="DV2091"/>
      <c r="DW2091"/>
      <c r="DX2091"/>
      <c r="DY2091"/>
      <c r="DZ2091"/>
      <c r="EA2091"/>
      <c r="EB2091"/>
      <c r="EC2091"/>
      <c r="ED2091"/>
      <c r="EE2091"/>
      <c r="EF2091"/>
      <c r="EG2091"/>
      <c r="EH2091"/>
      <c r="EI2091"/>
      <c r="EJ2091"/>
      <c r="EK2091"/>
      <c r="EL2091"/>
      <c r="EM2091"/>
      <c r="EN2091"/>
      <c r="EO2091"/>
      <c r="EP2091"/>
      <c r="EQ2091"/>
      <c r="ER2091"/>
      <c r="ES2091"/>
    </row>
    <row r="2092" spans="1:149">
      <c r="A2092"/>
      <c r="B2092"/>
      <c r="C2092"/>
      <c r="D2092"/>
      <c r="E2092"/>
      <c r="F2092"/>
      <c r="G2092"/>
      <c r="H2092"/>
      <c r="I2092"/>
      <c r="J2092"/>
      <c r="K2092"/>
      <c r="L2092"/>
      <c r="M2092"/>
      <c r="N2092"/>
      <c r="O2092"/>
      <c r="P2092"/>
      <c r="Q2092"/>
      <c r="R2092"/>
      <c r="S2092"/>
      <c r="T2092"/>
      <c r="U2092"/>
      <c r="V2092"/>
      <c r="W2092"/>
      <c r="X2092"/>
      <c r="Y2092"/>
      <c r="Z2092"/>
      <c r="AA2092"/>
      <c r="AB2092"/>
      <c r="AC2092"/>
      <c r="AD2092"/>
      <c r="AE2092"/>
      <c r="AF2092"/>
      <c r="AG2092"/>
      <c r="AH2092"/>
      <c r="AI2092"/>
      <c r="AJ2092"/>
      <c r="AK2092"/>
      <c r="AL2092"/>
      <c r="AM2092"/>
      <c r="AN2092"/>
      <c r="AO2092"/>
      <c r="AP2092"/>
      <c r="AQ2092"/>
      <c r="AR2092"/>
      <c r="AS2092"/>
      <c r="AT2092"/>
      <c r="AU2092"/>
      <c r="AV2092"/>
      <c r="AW2092"/>
      <c r="AX2092"/>
      <c r="AY2092"/>
      <c r="AZ2092"/>
      <c r="BA2092"/>
      <c r="BB2092"/>
      <c r="BC2092"/>
      <c r="BD2092"/>
      <c r="BE2092"/>
      <c r="BF2092"/>
      <c r="BG2092"/>
      <c r="BH2092"/>
      <c r="BI2092"/>
      <c r="BJ2092"/>
      <c r="BK2092"/>
      <c r="BL2092"/>
      <c r="BM2092"/>
      <c r="BN2092"/>
      <c r="BO2092"/>
      <c r="BP2092"/>
      <c r="BQ2092"/>
      <c r="BR2092"/>
      <c r="BS2092"/>
      <c r="BT2092"/>
      <c r="BU2092"/>
      <c r="BV2092"/>
      <c r="BW2092"/>
      <c r="BX2092"/>
      <c r="BY2092"/>
      <c r="BZ2092"/>
      <c r="CA2092"/>
      <c r="CB2092"/>
      <c r="CC2092"/>
      <c r="CD2092"/>
      <c r="CE2092"/>
      <c r="CF2092"/>
      <c r="CG2092"/>
      <c r="CH2092"/>
      <c r="CI2092"/>
      <c r="CJ2092"/>
      <c r="CK2092"/>
      <c r="CL2092"/>
      <c r="CM2092"/>
      <c r="CN2092"/>
      <c r="CO2092"/>
      <c r="CP2092"/>
      <c r="CQ2092"/>
      <c r="CR2092"/>
      <c r="CS2092"/>
      <c r="CT2092"/>
      <c r="CU2092"/>
      <c r="CV2092"/>
      <c r="CW2092"/>
      <c r="CX2092"/>
      <c r="CY2092"/>
      <c r="CZ2092"/>
      <c r="DA2092"/>
      <c r="DB2092"/>
      <c r="DC2092"/>
      <c r="DD2092"/>
      <c r="DE2092"/>
      <c r="DF2092"/>
      <c r="DG2092"/>
      <c r="DH2092"/>
      <c r="DI2092"/>
      <c r="DJ2092"/>
      <c r="DK2092"/>
      <c r="DL2092"/>
      <c r="DM2092"/>
      <c r="DN2092"/>
      <c r="DO2092"/>
      <c r="DP2092"/>
      <c r="DQ2092"/>
      <c r="DR2092"/>
      <c r="DS2092"/>
      <c r="DT2092"/>
      <c r="DU2092"/>
      <c r="DV2092"/>
      <c r="DW2092"/>
      <c r="DX2092"/>
      <c r="DY2092"/>
      <c r="DZ2092"/>
      <c r="EA2092"/>
      <c r="EB2092"/>
      <c r="EC2092"/>
      <c r="ED2092"/>
      <c r="EE2092"/>
      <c r="EF2092"/>
      <c r="EG2092"/>
      <c r="EH2092"/>
      <c r="EI2092"/>
      <c r="EJ2092"/>
      <c r="EK2092"/>
      <c r="EL2092"/>
      <c r="EM2092"/>
      <c r="EN2092"/>
      <c r="EO2092"/>
      <c r="EP2092"/>
      <c r="EQ2092"/>
      <c r="ER2092"/>
      <c r="ES2092"/>
    </row>
    <row r="2093" spans="1:149">
      <c r="A2093"/>
      <c r="B2093"/>
      <c r="C2093"/>
      <c r="D2093"/>
      <c r="E2093"/>
      <c r="F2093"/>
      <c r="G2093"/>
      <c r="H2093"/>
      <c r="I2093"/>
      <c r="J2093"/>
      <c r="K2093"/>
      <c r="L2093"/>
      <c r="M2093"/>
      <c r="N2093"/>
      <c r="O2093"/>
      <c r="P2093"/>
      <c r="Q2093"/>
      <c r="R2093"/>
      <c r="S2093"/>
      <c r="T2093"/>
      <c r="U2093"/>
      <c r="V2093"/>
      <c r="W2093"/>
      <c r="X2093"/>
      <c r="Y2093"/>
      <c r="Z2093"/>
      <c r="AA2093"/>
      <c r="AB2093"/>
      <c r="AC2093"/>
      <c r="AD2093"/>
      <c r="AE2093"/>
      <c r="AF2093"/>
      <c r="AG2093"/>
      <c r="AH2093"/>
      <c r="AI2093"/>
      <c r="AJ2093"/>
      <c r="AK2093"/>
      <c r="AL2093"/>
      <c r="AM2093"/>
      <c r="AN2093"/>
      <c r="AO2093"/>
      <c r="AP2093"/>
      <c r="AQ2093"/>
      <c r="AR2093"/>
      <c r="AS2093"/>
      <c r="AT2093"/>
      <c r="AU2093"/>
      <c r="AV2093"/>
      <c r="AW2093"/>
      <c r="AX2093"/>
      <c r="AY2093"/>
      <c r="AZ2093"/>
      <c r="BA2093"/>
      <c r="BB2093"/>
      <c r="BC2093"/>
      <c r="BD2093"/>
      <c r="BE2093"/>
      <c r="BF2093"/>
      <c r="BG2093"/>
      <c r="BH2093"/>
      <c r="BI2093"/>
      <c r="BJ2093"/>
      <c r="BK2093"/>
      <c r="BL2093"/>
      <c r="BM2093"/>
      <c r="BN2093"/>
      <c r="BO2093"/>
      <c r="BP2093"/>
      <c r="BQ2093"/>
      <c r="BR2093"/>
      <c r="BS2093"/>
      <c r="BT2093"/>
      <c r="BU2093"/>
      <c r="BV2093"/>
      <c r="BW2093"/>
      <c r="BX2093"/>
      <c r="BY2093"/>
      <c r="BZ2093"/>
      <c r="CA2093"/>
      <c r="CB2093"/>
      <c r="CC2093"/>
      <c r="CD2093"/>
      <c r="CE2093"/>
      <c r="CF2093"/>
      <c r="CG2093"/>
      <c r="CH2093"/>
      <c r="CI2093"/>
      <c r="CJ2093"/>
      <c r="CK2093"/>
      <c r="CL2093"/>
      <c r="CM2093"/>
      <c r="CN2093"/>
      <c r="CO2093"/>
      <c r="CP2093"/>
      <c r="CQ2093"/>
      <c r="CR2093"/>
      <c r="CS2093"/>
      <c r="CT2093"/>
      <c r="CU2093"/>
      <c r="CV2093"/>
      <c r="CW2093"/>
      <c r="CX2093"/>
      <c r="CY2093"/>
      <c r="CZ2093"/>
      <c r="DA2093"/>
      <c r="DB2093"/>
      <c r="DC2093"/>
      <c r="DD2093"/>
      <c r="DE2093"/>
      <c r="DF2093"/>
      <c r="DG2093"/>
      <c r="DH2093"/>
      <c r="DI2093"/>
      <c r="DJ2093"/>
      <c r="DK2093"/>
      <c r="DL2093"/>
      <c r="DM2093"/>
      <c r="DN2093"/>
      <c r="DO2093"/>
      <c r="DP2093"/>
      <c r="DQ2093"/>
      <c r="DR2093"/>
      <c r="DS2093"/>
      <c r="DT2093"/>
      <c r="DU2093"/>
      <c r="DV2093"/>
      <c r="DW2093"/>
      <c r="DX2093"/>
      <c r="DY2093"/>
      <c r="DZ2093"/>
      <c r="EA2093"/>
      <c r="EB2093"/>
      <c r="EC2093"/>
      <c r="ED2093"/>
      <c r="EE2093"/>
      <c r="EF2093"/>
      <c r="EG2093"/>
      <c r="EH2093"/>
      <c r="EI2093"/>
      <c r="EJ2093"/>
      <c r="EK2093"/>
      <c r="EL2093"/>
      <c r="EM2093"/>
      <c r="EN2093"/>
      <c r="EO2093"/>
      <c r="EP2093"/>
      <c r="EQ2093"/>
      <c r="ER2093"/>
      <c r="ES2093"/>
    </row>
    <row r="2094" spans="1:149">
      <c r="A2094"/>
      <c r="B2094"/>
      <c r="C2094"/>
      <c r="D2094"/>
      <c r="E2094"/>
      <c r="F2094"/>
      <c r="G2094"/>
      <c r="H2094"/>
      <c r="I2094"/>
      <c r="J2094"/>
      <c r="K2094"/>
      <c r="L2094"/>
      <c r="M2094"/>
      <c r="N2094"/>
      <c r="O2094"/>
      <c r="P2094"/>
      <c r="Q2094"/>
      <c r="R2094"/>
      <c r="S2094"/>
      <c r="T2094"/>
      <c r="U2094"/>
      <c r="V2094"/>
      <c r="W2094"/>
      <c r="X2094"/>
      <c r="Y2094"/>
      <c r="Z2094"/>
      <c r="AA2094"/>
      <c r="AB2094"/>
      <c r="AC2094"/>
      <c r="AD2094"/>
      <c r="AE2094"/>
      <c r="AF2094"/>
      <c r="AG2094"/>
      <c r="AH2094"/>
      <c r="AI2094"/>
      <c r="AJ2094"/>
      <c r="AK2094"/>
      <c r="AL2094"/>
      <c r="AM2094"/>
      <c r="AN2094"/>
      <c r="AO2094"/>
      <c r="AP2094"/>
      <c r="AQ2094"/>
      <c r="AR2094"/>
      <c r="AS2094"/>
      <c r="AT2094"/>
      <c r="AU2094"/>
      <c r="AV2094"/>
      <c r="AW2094"/>
      <c r="AX2094"/>
      <c r="AY2094"/>
      <c r="AZ2094"/>
      <c r="BA2094"/>
      <c r="BB2094"/>
      <c r="BC2094"/>
      <c r="BD2094"/>
      <c r="BE2094"/>
      <c r="BF2094"/>
      <c r="BG2094"/>
      <c r="BH2094"/>
      <c r="BI2094"/>
      <c r="BJ2094"/>
      <c r="BK2094"/>
      <c r="BL2094"/>
      <c r="BM2094"/>
      <c r="BN2094"/>
      <c r="BO2094"/>
      <c r="BP2094"/>
      <c r="BQ2094"/>
      <c r="BR2094"/>
      <c r="BS2094"/>
      <c r="BT2094"/>
      <c r="BU2094"/>
      <c r="BV2094"/>
      <c r="BW2094"/>
      <c r="BX2094"/>
      <c r="BY2094"/>
      <c r="BZ2094"/>
      <c r="CA2094"/>
      <c r="CB2094"/>
      <c r="CC2094"/>
      <c r="CD2094"/>
      <c r="CE2094"/>
      <c r="CF2094"/>
      <c r="CG2094"/>
      <c r="CH2094"/>
      <c r="CI2094"/>
      <c r="CJ2094"/>
      <c r="CK2094"/>
      <c r="CL2094"/>
      <c r="CM2094"/>
      <c r="CN2094"/>
      <c r="CO2094"/>
      <c r="CP2094"/>
      <c r="CQ2094"/>
      <c r="CR2094"/>
      <c r="CS2094"/>
      <c r="CT2094"/>
      <c r="CU2094"/>
      <c r="CV2094"/>
      <c r="CW2094"/>
      <c r="CX2094"/>
      <c r="CY2094"/>
      <c r="CZ2094"/>
      <c r="DA2094"/>
      <c r="DB2094"/>
      <c r="DC2094"/>
      <c r="DD2094"/>
      <c r="DE2094"/>
      <c r="DF2094"/>
      <c r="DG2094"/>
      <c r="DH2094"/>
      <c r="DI2094"/>
      <c r="DJ2094"/>
      <c r="DK2094"/>
      <c r="DL2094"/>
      <c r="DM2094"/>
      <c r="DN2094"/>
      <c r="DO2094"/>
      <c r="DP2094"/>
      <c r="DQ2094"/>
      <c r="DR2094"/>
      <c r="DS2094"/>
      <c r="DT2094"/>
      <c r="DU2094"/>
      <c r="DV2094"/>
      <c r="DW2094"/>
      <c r="DX2094"/>
      <c r="DY2094"/>
      <c r="DZ2094"/>
      <c r="EA2094"/>
      <c r="EB2094"/>
      <c r="EC2094"/>
      <c r="ED2094"/>
      <c r="EE2094"/>
      <c r="EF2094"/>
      <c r="EG2094"/>
      <c r="EH2094"/>
      <c r="EI2094"/>
      <c r="EJ2094"/>
      <c r="EK2094"/>
      <c r="EL2094"/>
      <c r="EM2094"/>
      <c r="EN2094"/>
      <c r="EO2094"/>
      <c r="EP2094"/>
      <c r="EQ2094"/>
      <c r="ER2094"/>
      <c r="ES2094"/>
    </row>
    <row r="2095" spans="1:149">
      <c r="A2095"/>
      <c r="B2095"/>
      <c r="C2095"/>
      <c r="D2095"/>
      <c r="E2095"/>
      <c r="F2095"/>
      <c r="G2095"/>
      <c r="H2095"/>
      <c r="I2095"/>
      <c r="J2095"/>
      <c r="K2095"/>
      <c r="L2095"/>
      <c r="M2095"/>
      <c r="N2095"/>
      <c r="O2095"/>
      <c r="P2095"/>
      <c r="Q2095"/>
      <c r="R2095"/>
      <c r="S2095"/>
      <c r="T2095"/>
      <c r="U2095"/>
      <c r="V2095"/>
      <c r="W2095"/>
      <c r="X2095"/>
      <c r="Y2095"/>
      <c r="Z2095"/>
      <c r="AA2095"/>
      <c r="AB2095"/>
      <c r="AC2095"/>
      <c r="AD2095"/>
      <c r="AE2095"/>
      <c r="AF2095"/>
      <c r="AG2095"/>
      <c r="AH2095"/>
      <c r="AI2095"/>
      <c r="AJ2095"/>
      <c r="AK2095"/>
      <c r="AL2095"/>
      <c r="AM2095"/>
      <c r="AN2095"/>
      <c r="AO2095"/>
      <c r="AP2095"/>
      <c r="AQ2095"/>
      <c r="AR2095"/>
      <c r="AS2095"/>
      <c r="AT2095"/>
      <c r="AU2095"/>
      <c r="AV2095"/>
      <c r="AW2095"/>
      <c r="AX2095"/>
      <c r="AY2095"/>
      <c r="AZ2095"/>
      <c r="BA2095"/>
      <c r="BB2095"/>
      <c r="BC2095"/>
      <c r="BD2095"/>
      <c r="BE2095"/>
      <c r="BF2095"/>
      <c r="BG2095"/>
      <c r="BH2095"/>
      <c r="BI2095"/>
      <c r="BJ2095"/>
      <c r="BK2095"/>
      <c r="BL2095"/>
      <c r="BM2095"/>
      <c r="BN2095"/>
      <c r="BO2095"/>
      <c r="BP2095"/>
      <c r="BQ2095"/>
      <c r="BR2095"/>
      <c r="BS2095"/>
      <c r="BT2095"/>
      <c r="BU2095"/>
      <c r="BV2095"/>
      <c r="BW2095"/>
      <c r="BX2095"/>
      <c r="BY2095"/>
      <c r="BZ2095"/>
      <c r="CA2095"/>
      <c r="CB2095"/>
      <c r="CC2095"/>
      <c r="CD2095"/>
      <c r="CE2095"/>
      <c r="CF2095"/>
      <c r="CG2095"/>
      <c r="CH2095"/>
      <c r="CI2095"/>
      <c r="CJ2095"/>
      <c r="CK2095"/>
      <c r="CL2095"/>
      <c r="CM2095"/>
      <c r="CN2095"/>
      <c r="CO2095"/>
      <c r="CP2095"/>
      <c r="CQ2095"/>
      <c r="CR2095"/>
      <c r="CS2095"/>
      <c r="CT2095"/>
      <c r="CU2095"/>
      <c r="CV2095"/>
      <c r="CW2095"/>
      <c r="CX2095"/>
      <c r="CY2095"/>
      <c r="CZ2095"/>
      <c r="DA2095"/>
      <c r="DB2095"/>
      <c r="DC2095"/>
      <c r="DD2095"/>
      <c r="DE2095"/>
      <c r="DF2095"/>
      <c r="DG2095"/>
      <c r="DH2095"/>
      <c r="DI2095"/>
      <c r="DJ2095"/>
      <c r="DK2095"/>
      <c r="DL2095"/>
      <c r="DM2095"/>
      <c r="DN2095"/>
      <c r="DO2095"/>
      <c r="DP2095"/>
      <c r="DQ2095"/>
      <c r="DR2095"/>
      <c r="DS2095"/>
      <c r="DT2095"/>
      <c r="DU2095"/>
      <c r="DV2095"/>
      <c r="DW2095"/>
      <c r="DX2095"/>
      <c r="DY2095"/>
      <c r="DZ2095"/>
      <c r="EA2095"/>
      <c r="EB2095"/>
      <c r="EC2095"/>
      <c r="ED2095"/>
      <c r="EE2095"/>
      <c r="EF2095"/>
      <c r="EG2095"/>
      <c r="EH2095"/>
      <c r="EI2095"/>
      <c r="EJ2095"/>
      <c r="EK2095"/>
      <c r="EL2095"/>
      <c r="EM2095"/>
      <c r="EN2095"/>
      <c r="EO2095"/>
      <c r="EP2095"/>
      <c r="EQ2095"/>
      <c r="ER2095"/>
      <c r="ES2095"/>
    </row>
    <row r="2096" spans="1:149">
      <c r="A2096"/>
      <c r="B2096"/>
      <c r="C2096"/>
      <c r="D2096"/>
      <c r="E2096"/>
      <c r="F2096"/>
      <c r="G2096"/>
      <c r="H2096"/>
      <c r="I2096"/>
      <c r="J2096"/>
      <c r="K2096"/>
      <c r="L2096"/>
      <c r="M2096"/>
      <c r="N2096"/>
      <c r="O2096"/>
      <c r="P2096"/>
      <c r="Q2096"/>
      <c r="R2096"/>
      <c r="S2096"/>
      <c r="T2096"/>
      <c r="U2096"/>
      <c r="V2096"/>
      <c r="W2096"/>
      <c r="X2096"/>
      <c r="Y2096"/>
      <c r="Z2096"/>
      <c r="AA2096"/>
      <c r="AB2096"/>
      <c r="AC2096"/>
      <c r="AD2096"/>
      <c r="AE2096"/>
      <c r="AF2096"/>
      <c r="AG2096"/>
      <c r="AH2096"/>
      <c r="AI2096"/>
      <c r="AJ2096"/>
      <c r="AK2096"/>
      <c r="AL2096"/>
      <c r="AM2096"/>
      <c r="AN2096"/>
      <c r="AO2096"/>
      <c r="AP2096"/>
      <c r="AQ2096"/>
      <c r="AR2096"/>
      <c r="AS2096"/>
      <c r="AT2096"/>
      <c r="AU2096"/>
      <c r="AV2096"/>
      <c r="AW2096"/>
      <c r="AX2096"/>
      <c r="AY2096"/>
      <c r="AZ2096"/>
      <c r="BA2096"/>
      <c r="BB2096"/>
      <c r="BC2096"/>
      <c r="BD2096"/>
      <c r="BE2096"/>
      <c r="BF2096"/>
      <c r="BG2096"/>
      <c r="BH2096"/>
      <c r="BI2096"/>
      <c r="BJ2096"/>
      <c r="BK2096"/>
      <c r="BL2096"/>
      <c r="BM2096"/>
      <c r="BN2096"/>
      <c r="BO2096"/>
      <c r="BP2096"/>
      <c r="BQ2096"/>
      <c r="BR2096"/>
      <c r="BS2096"/>
      <c r="BT2096"/>
      <c r="BU2096"/>
      <c r="BV2096"/>
      <c r="BW2096"/>
      <c r="BX2096"/>
      <c r="BY2096"/>
      <c r="BZ2096"/>
      <c r="CA2096"/>
      <c r="CB2096"/>
      <c r="CC2096"/>
      <c r="CD2096"/>
      <c r="CE2096"/>
      <c r="CF2096"/>
      <c r="CG2096"/>
      <c r="CH2096"/>
      <c r="CI2096"/>
      <c r="CJ2096"/>
      <c r="CK2096"/>
      <c r="CL2096"/>
      <c r="CM2096"/>
      <c r="CN2096"/>
      <c r="CO2096"/>
      <c r="CP2096"/>
      <c r="CQ2096"/>
      <c r="CR2096"/>
      <c r="CS2096"/>
      <c r="CT2096"/>
      <c r="CU2096"/>
      <c r="CV2096"/>
      <c r="CW2096"/>
      <c r="CX2096"/>
      <c r="CY2096"/>
      <c r="CZ2096"/>
      <c r="DA2096"/>
      <c r="DB2096"/>
      <c r="DC2096"/>
      <c r="DD2096"/>
      <c r="DE2096"/>
      <c r="DF2096"/>
      <c r="DG2096"/>
      <c r="DH2096"/>
      <c r="DI2096"/>
      <c r="DJ2096"/>
      <c r="DK2096"/>
      <c r="DL2096"/>
      <c r="DM2096"/>
      <c r="DN2096"/>
      <c r="DO2096"/>
      <c r="DP2096"/>
      <c r="DQ2096"/>
      <c r="DR2096"/>
      <c r="DS2096"/>
      <c r="DT2096"/>
      <c r="DU2096"/>
      <c r="DV2096"/>
      <c r="DW2096"/>
      <c r="DX2096"/>
      <c r="DY2096"/>
      <c r="DZ2096"/>
      <c r="EA2096"/>
      <c r="EB2096"/>
      <c r="EC2096"/>
      <c r="ED2096"/>
      <c r="EE2096"/>
      <c r="EF2096"/>
      <c r="EG2096"/>
      <c r="EH2096"/>
      <c r="EI2096"/>
      <c r="EJ2096"/>
      <c r="EK2096"/>
      <c r="EL2096"/>
      <c r="EM2096"/>
      <c r="EN2096"/>
      <c r="EO2096"/>
      <c r="EP2096"/>
      <c r="EQ2096"/>
      <c r="ER2096"/>
      <c r="ES2096"/>
    </row>
    <row r="2097" spans="1:149">
      <c r="A2097"/>
      <c r="B2097"/>
      <c r="C2097"/>
      <c r="D2097"/>
      <c r="E2097"/>
      <c r="F2097"/>
      <c r="G2097"/>
      <c r="H2097"/>
      <c r="I2097"/>
      <c r="J2097"/>
      <c r="K2097"/>
      <c r="L2097"/>
      <c r="M2097"/>
      <c r="N2097"/>
      <c r="O2097"/>
      <c r="P2097"/>
      <c r="Q2097"/>
      <c r="R2097"/>
      <c r="S2097"/>
      <c r="T2097"/>
      <c r="U2097"/>
      <c r="V2097"/>
      <c r="W2097"/>
      <c r="X2097"/>
      <c r="Y2097"/>
      <c r="Z2097"/>
      <c r="AA2097"/>
      <c r="AB2097"/>
      <c r="AC2097"/>
      <c r="AD2097"/>
      <c r="AE2097"/>
      <c r="AF2097"/>
      <c r="AG2097"/>
      <c r="AH2097"/>
      <c r="AI2097"/>
      <c r="AJ2097"/>
      <c r="AK2097"/>
      <c r="AL2097"/>
      <c r="AM2097"/>
      <c r="AN2097"/>
      <c r="AO2097"/>
      <c r="AP2097"/>
      <c r="AQ2097"/>
      <c r="AR2097"/>
      <c r="AS2097"/>
      <c r="AT2097"/>
      <c r="AU2097"/>
      <c r="AV2097"/>
      <c r="AW2097"/>
      <c r="AX2097"/>
      <c r="AY2097"/>
      <c r="AZ2097"/>
      <c r="BA2097"/>
      <c r="BB2097"/>
      <c r="BC2097"/>
      <c r="BD2097"/>
      <c r="BE2097"/>
      <c r="BF2097"/>
      <c r="BG2097"/>
      <c r="BH2097"/>
      <c r="BI2097"/>
      <c r="BJ2097"/>
      <c r="BK2097"/>
      <c r="BL2097"/>
      <c r="BM2097"/>
      <c r="BN2097"/>
      <c r="BO2097"/>
      <c r="BP2097"/>
      <c r="BQ2097"/>
      <c r="BR2097"/>
      <c r="BS2097"/>
      <c r="BT2097"/>
      <c r="BU2097"/>
      <c r="BV2097"/>
      <c r="BW2097"/>
      <c r="BX2097"/>
      <c r="BY2097"/>
      <c r="BZ2097"/>
      <c r="CA2097"/>
      <c r="CB2097"/>
      <c r="CC2097"/>
      <c r="CD2097"/>
      <c r="CE2097"/>
      <c r="CF2097"/>
      <c r="CG2097"/>
      <c r="CH2097"/>
      <c r="CI2097"/>
      <c r="CJ2097"/>
      <c r="CK2097"/>
      <c r="CL2097"/>
      <c r="CM2097"/>
      <c r="CN2097"/>
      <c r="CO2097"/>
      <c r="CP2097"/>
      <c r="CQ2097"/>
      <c r="CR2097"/>
      <c r="CS2097"/>
      <c r="CT2097"/>
      <c r="CU2097"/>
      <c r="CV2097"/>
      <c r="CW2097"/>
      <c r="CX2097"/>
      <c r="CY2097"/>
      <c r="CZ2097"/>
      <c r="DA2097"/>
      <c r="DB2097"/>
      <c r="DC2097"/>
      <c r="DD2097"/>
      <c r="DE2097"/>
      <c r="DF2097"/>
      <c r="DG2097"/>
      <c r="DH2097"/>
      <c r="DI2097"/>
      <c r="DJ2097"/>
      <c r="DK2097"/>
      <c r="DL2097"/>
      <c r="DM2097"/>
      <c r="DN2097"/>
      <c r="DO2097"/>
      <c r="DP2097"/>
      <c r="DQ2097"/>
      <c r="DR2097"/>
      <c r="DS2097"/>
      <c r="DT2097"/>
      <c r="DU2097"/>
      <c r="DV2097"/>
      <c r="DW2097"/>
      <c r="DX2097"/>
      <c r="DY2097"/>
      <c r="DZ2097"/>
      <c r="EA2097"/>
      <c r="EB2097"/>
      <c r="EC2097"/>
      <c r="ED2097"/>
      <c r="EE2097"/>
      <c r="EF2097"/>
      <c r="EG2097"/>
      <c r="EH2097"/>
      <c r="EI2097"/>
      <c r="EJ2097"/>
      <c r="EK2097"/>
      <c r="EL2097"/>
      <c r="EM2097"/>
      <c r="EN2097"/>
      <c r="EO2097"/>
      <c r="EP2097"/>
      <c r="EQ2097"/>
      <c r="ER2097"/>
      <c r="ES2097"/>
    </row>
    <row r="2098" spans="1:149">
      <c r="A2098"/>
      <c r="B2098"/>
      <c r="C2098"/>
      <c r="D2098"/>
      <c r="E2098"/>
      <c r="F2098"/>
      <c r="G2098"/>
      <c r="H2098"/>
      <c r="I2098"/>
      <c r="J2098"/>
      <c r="K2098"/>
      <c r="L2098"/>
      <c r="M2098"/>
      <c r="N2098"/>
      <c r="O2098"/>
      <c r="P2098"/>
      <c r="Q2098"/>
      <c r="R2098"/>
      <c r="S2098"/>
      <c r="T2098"/>
      <c r="U2098"/>
      <c r="V2098"/>
      <c r="W2098"/>
      <c r="X2098"/>
      <c r="Y2098"/>
      <c r="Z2098"/>
      <c r="AA2098"/>
      <c r="AB2098"/>
      <c r="AC2098"/>
      <c r="AD2098"/>
      <c r="AE2098"/>
      <c r="AF2098"/>
      <c r="AG2098"/>
      <c r="AH2098"/>
      <c r="AI2098"/>
      <c r="AJ2098"/>
      <c r="AK2098"/>
      <c r="AL2098"/>
      <c r="AM2098"/>
      <c r="AN2098"/>
      <c r="AO2098"/>
      <c r="AP2098"/>
      <c r="AQ2098"/>
      <c r="AR2098"/>
      <c r="AS2098"/>
      <c r="AT2098"/>
      <c r="AU2098"/>
      <c r="AV2098"/>
      <c r="AW2098"/>
      <c r="AX2098"/>
      <c r="AY2098"/>
      <c r="AZ2098"/>
      <c r="BA2098"/>
      <c r="BB2098"/>
      <c r="BC2098"/>
      <c r="BD2098"/>
      <c r="BE2098"/>
      <c r="BF2098"/>
      <c r="BG2098"/>
      <c r="BH2098"/>
      <c r="BI2098"/>
      <c r="BJ2098"/>
      <c r="BK2098"/>
      <c r="BL2098"/>
      <c r="BM2098"/>
      <c r="BN2098"/>
      <c r="BO2098"/>
      <c r="BP2098"/>
      <c r="BQ2098"/>
      <c r="BR2098"/>
      <c r="BS2098"/>
      <c r="BT2098"/>
      <c r="BU2098"/>
      <c r="BV2098"/>
      <c r="BW2098"/>
      <c r="BX2098"/>
      <c r="BY2098"/>
      <c r="BZ2098"/>
      <c r="CA2098"/>
      <c r="CB2098"/>
      <c r="CC2098"/>
      <c r="CD2098"/>
      <c r="CE2098"/>
      <c r="CF2098"/>
      <c r="CG2098"/>
      <c r="CH2098"/>
      <c r="CI2098"/>
      <c r="CJ2098"/>
      <c r="CK2098"/>
      <c r="CL2098"/>
      <c r="CM2098"/>
      <c r="CN2098"/>
      <c r="CO2098"/>
      <c r="CP2098"/>
      <c r="CQ2098"/>
      <c r="CR2098"/>
      <c r="CS2098"/>
      <c r="CT2098"/>
      <c r="CU2098"/>
      <c r="CV2098"/>
      <c r="CW2098"/>
      <c r="CX2098"/>
      <c r="CY2098"/>
      <c r="CZ2098"/>
      <c r="DA2098"/>
      <c r="DB2098"/>
      <c r="DC2098"/>
      <c r="DD2098"/>
      <c r="DE2098"/>
      <c r="DF2098"/>
      <c r="DG2098"/>
      <c r="DH2098"/>
      <c r="DI2098"/>
      <c r="DJ2098"/>
      <c r="DK2098"/>
      <c r="DL2098"/>
      <c r="DM2098"/>
      <c r="DN2098"/>
      <c r="DO2098"/>
      <c r="DP2098"/>
      <c r="DQ2098"/>
      <c r="DR2098"/>
      <c r="DS2098"/>
      <c r="DT2098"/>
      <c r="DU2098"/>
      <c r="DV2098"/>
      <c r="DW2098"/>
      <c r="DX2098"/>
      <c r="DY2098"/>
      <c r="DZ2098"/>
      <c r="EA2098"/>
      <c r="EB2098"/>
      <c r="EC2098"/>
      <c r="ED2098"/>
      <c r="EE2098"/>
      <c r="EF2098"/>
      <c r="EG2098"/>
      <c r="EH2098"/>
      <c r="EI2098"/>
      <c r="EJ2098"/>
      <c r="EK2098"/>
      <c r="EL2098"/>
      <c r="EM2098"/>
      <c r="EN2098"/>
      <c r="EO2098"/>
      <c r="EP2098"/>
      <c r="EQ2098"/>
      <c r="ER2098"/>
      <c r="ES2098"/>
    </row>
    <row r="2099" spans="1:149">
      <c r="A2099"/>
      <c r="B2099"/>
      <c r="C2099"/>
      <c r="D2099"/>
      <c r="E2099"/>
      <c r="F2099"/>
      <c r="G2099"/>
      <c r="H2099"/>
      <c r="I2099"/>
      <c r="J2099"/>
      <c r="K2099"/>
      <c r="L2099"/>
      <c r="M2099"/>
      <c r="N2099"/>
      <c r="O2099"/>
      <c r="P2099"/>
      <c r="Q2099"/>
      <c r="R2099"/>
      <c r="S2099"/>
      <c r="T2099"/>
      <c r="U2099"/>
      <c r="V2099"/>
      <c r="W2099"/>
      <c r="X2099"/>
      <c r="Y2099"/>
      <c r="Z2099"/>
      <c r="AA2099"/>
      <c r="AB2099"/>
      <c r="AC2099"/>
      <c r="AD2099"/>
      <c r="AE2099"/>
      <c r="AF2099"/>
      <c r="AG2099"/>
      <c r="AH2099"/>
      <c r="AI2099"/>
      <c r="AJ2099"/>
      <c r="AK2099"/>
      <c r="AL2099"/>
      <c r="AM2099"/>
      <c r="AN2099"/>
      <c r="AO2099"/>
      <c r="AP2099"/>
      <c r="AQ2099"/>
      <c r="AR2099"/>
      <c r="AS2099"/>
      <c r="AT2099"/>
      <c r="AU2099"/>
      <c r="AV2099"/>
      <c r="AW2099"/>
      <c r="AX2099"/>
      <c r="AY2099"/>
      <c r="AZ2099"/>
      <c r="BA2099"/>
      <c r="BB2099"/>
      <c r="BC2099"/>
      <c r="BD2099"/>
      <c r="BE2099"/>
      <c r="BF2099"/>
      <c r="BG2099"/>
      <c r="BH2099"/>
      <c r="BI2099"/>
      <c r="BJ2099"/>
      <c r="BK2099"/>
      <c r="BL2099"/>
      <c r="BM2099"/>
      <c r="BN2099"/>
      <c r="BO2099"/>
      <c r="BP2099"/>
      <c r="BQ2099"/>
      <c r="BR2099"/>
      <c r="BS2099"/>
      <c r="BT2099"/>
      <c r="BU2099"/>
      <c r="BV2099"/>
      <c r="BW2099"/>
      <c r="BX2099"/>
      <c r="BY2099"/>
      <c r="BZ2099"/>
      <c r="CA2099"/>
      <c r="CB2099"/>
      <c r="CC2099"/>
      <c r="CD2099"/>
      <c r="CE2099"/>
      <c r="CF2099"/>
      <c r="CG2099"/>
      <c r="CH2099"/>
      <c r="CI2099"/>
      <c r="CJ2099"/>
      <c r="CK2099"/>
      <c r="CL2099"/>
      <c r="CM2099"/>
      <c r="CN2099"/>
      <c r="CO2099"/>
      <c r="CP2099"/>
      <c r="CQ2099"/>
      <c r="CR2099"/>
      <c r="CS2099"/>
      <c r="CT2099"/>
      <c r="CU2099"/>
      <c r="CV2099"/>
      <c r="CW2099"/>
      <c r="CX2099"/>
      <c r="CY2099"/>
      <c r="CZ2099"/>
      <c r="DA2099"/>
      <c r="DB2099"/>
      <c r="DC2099"/>
      <c r="DD2099"/>
      <c r="DE2099"/>
      <c r="DF2099"/>
      <c r="DG2099"/>
      <c r="DH2099"/>
      <c r="DI2099"/>
      <c r="DJ2099"/>
      <c r="DK2099"/>
      <c r="DL2099"/>
      <c r="DM2099"/>
      <c r="DN2099"/>
      <c r="DO2099"/>
      <c r="DP2099"/>
      <c r="DQ2099"/>
      <c r="DR2099"/>
      <c r="DS2099"/>
      <c r="DT2099"/>
      <c r="DU2099"/>
      <c r="DV2099"/>
      <c r="DW2099"/>
      <c r="DX2099"/>
      <c r="DY2099"/>
      <c r="DZ2099"/>
      <c r="EA2099"/>
      <c r="EB2099"/>
      <c r="EC2099"/>
      <c r="ED2099"/>
      <c r="EE2099"/>
      <c r="EF2099"/>
      <c r="EG2099"/>
      <c r="EH2099"/>
      <c r="EI2099"/>
      <c r="EJ2099"/>
      <c r="EK2099"/>
      <c r="EL2099"/>
      <c r="EM2099"/>
      <c r="EN2099"/>
      <c r="EO2099"/>
      <c r="EP2099"/>
      <c r="EQ2099"/>
      <c r="ER2099"/>
      <c r="ES2099"/>
    </row>
    <row r="2100" spans="1:149">
      <c r="A2100"/>
      <c r="B2100"/>
      <c r="C2100"/>
      <c r="D2100"/>
      <c r="E2100"/>
      <c r="F2100"/>
      <c r="G2100"/>
      <c r="H2100"/>
      <c r="I2100"/>
      <c r="J2100"/>
      <c r="K2100"/>
      <c r="L2100"/>
      <c r="M2100"/>
      <c r="N2100"/>
      <c r="O2100"/>
      <c r="P2100"/>
      <c r="Q2100"/>
      <c r="R2100"/>
      <c r="S2100"/>
      <c r="T2100"/>
      <c r="U2100"/>
      <c r="V2100"/>
      <c r="W2100"/>
      <c r="X2100"/>
      <c r="Y2100"/>
      <c r="Z2100"/>
      <c r="AA2100"/>
      <c r="AB2100"/>
      <c r="AC2100"/>
      <c r="AD2100"/>
      <c r="AE2100"/>
      <c r="AF2100"/>
      <c r="AG2100"/>
      <c r="AH2100"/>
      <c r="AI2100"/>
      <c r="AJ2100"/>
      <c r="AK2100"/>
      <c r="AL2100"/>
      <c r="AM2100"/>
      <c r="AN2100"/>
      <c r="AO2100"/>
      <c r="AP2100"/>
      <c r="AQ2100"/>
      <c r="AR2100"/>
      <c r="AS2100"/>
      <c r="AT2100"/>
      <c r="AU2100"/>
      <c r="AV2100"/>
      <c r="AW2100"/>
      <c r="AX2100"/>
      <c r="AY2100"/>
      <c r="AZ2100"/>
      <c r="BA2100"/>
      <c r="BB2100"/>
      <c r="BC2100"/>
      <c r="BD2100"/>
      <c r="BE2100"/>
      <c r="BF2100"/>
      <c r="BG2100"/>
      <c r="BH2100"/>
      <c r="BI2100"/>
      <c r="BJ2100"/>
      <c r="BK2100"/>
      <c r="BL2100"/>
      <c r="BM2100"/>
      <c r="BN2100"/>
      <c r="BO2100"/>
      <c r="BP2100"/>
      <c r="BQ2100"/>
      <c r="BR2100"/>
      <c r="BS2100"/>
      <c r="BT2100"/>
      <c r="BU2100"/>
      <c r="BV2100"/>
      <c r="BW2100"/>
      <c r="BX2100"/>
      <c r="BY2100"/>
      <c r="BZ2100"/>
      <c r="CA2100"/>
      <c r="CB2100"/>
      <c r="CC2100"/>
      <c r="CD2100"/>
      <c r="CE2100"/>
      <c r="CF2100"/>
      <c r="CG2100"/>
      <c r="CH2100"/>
      <c r="CI2100"/>
      <c r="CJ2100"/>
      <c r="CK2100"/>
      <c r="CL2100"/>
      <c r="CM2100"/>
      <c r="CN2100"/>
      <c r="CO2100"/>
      <c r="CP2100"/>
      <c r="CQ2100"/>
      <c r="CR2100"/>
      <c r="CS2100"/>
      <c r="CT2100"/>
      <c r="CU2100"/>
      <c r="CV2100"/>
      <c r="CW2100"/>
      <c r="CX2100"/>
      <c r="CY2100"/>
      <c r="CZ2100"/>
      <c r="DA2100"/>
      <c r="DB2100"/>
      <c r="DC2100"/>
      <c r="DD2100"/>
      <c r="DE2100"/>
      <c r="DF2100"/>
      <c r="DG2100"/>
      <c r="DH2100"/>
      <c r="DI2100"/>
      <c r="DJ2100"/>
      <c r="DK2100"/>
      <c r="DL2100"/>
      <c r="DM2100"/>
      <c r="DN2100"/>
      <c r="DO2100"/>
      <c r="DP2100"/>
      <c r="DQ2100"/>
      <c r="DR2100"/>
      <c r="DS2100"/>
      <c r="DT2100"/>
      <c r="DU2100"/>
      <c r="DV2100"/>
      <c r="DW2100"/>
      <c r="DX2100"/>
      <c r="DY2100"/>
      <c r="DZ2100"/>
      <c r="EA2100"/>
      <c r="EB2100"/>
      <c r="EC2100"/>
      <c r="ED2100"/>
      <c r="EE2100"/>
      <c r="EF2100"/>
      <c r="EG2100"/>
      <c r="EH2100"/>
      <c r="EI2100"/>
      <c r="EJ2100"/>
      <c r="EK2100"/>
      <c r="EL2100"/>
      <c r="EM2100"/>
      <c r="EN2100"/>
      <c r="EO2100"/>
      <c r="EP2100"/>
      <c r="EQ2100"/>
      <c r="ER2100"/>
      <c r="ES2100"/>
    </row>
    <row r="2101" spans="1:149">
      <c r="A2101"/>
      <c r="B2101"/>
      <c r="C2101"/>
      <c r="D2101"/>
      <c r="E2101"/>
      <c r="F2101"/>
      <c r="G2101"/>
      <c r="H2101"/>
      <c r="I2101"/>
      <c r="J2101"/>
      <c r="K2101"/>
      <c r="L2101"/>
      <c r="M2101"/>
      <c r="N2101"/>
      <c r="O2101"/>
      <c r="P2101"/>
      <c r="Q2101"/>
      <c r="R2101"/>
      <c r="S2101"/>
      <c r="T2101"/>
      <c r="U2101"/>
      <c r="V2101"/>
      <c r="W2101"/>
      <c r="X2101"/>
      <c r="Y2101"/>
      <c r="Z2101"/>
      <c r="AA2101"/>
      <c r="AB2101"/>
      <c r="AC2101"/>
      <c r="AD2101"/>
      <c r="AE2101"/>
      <c r="AF2101"/>
      <c r="AG2101"/>
      <c r="AH2101"/>
      <c r="AI2101"/>
      <c r="AJ2101"/>
      <c r="AK2101"/>
      <c r="AL2101"/>
      <c r="AM2101"/>
      <c r="AN2101"/>
      <c r="AO2101"/>
      <c r="AP2101"/>
      <c r="AQ2101"/>
      <c r="AR2101"/>
      <c r="AS2101"/>
      <c r="AT2101"/>
      <c r="AU2101"/>
      <c r="AV2101"/>
      <c r="AW2101"/>
      <c r="AX2101"/>
      <c r="AY2101"/>
      <c r="AZ2101"/>
      <c r="BA2101"/>
      <c r="BB2101"/>
      <c r="BC2101"/>
      <c r="BD2101"/>
      <c r="BE2101"/>
      <c r="BF2101"/>
      <c r="BG2101"/>
      <c r="BH2101"/>
      <c r="BI2101"/>
      <c r="BJ2101"/>
      <c r="BK2101"/>
      <c r="BL2101"/>
      <c r="BM2101"/>
      <c r="BN2101"/>
      <c r="BO2101"/>
      <c r="BP2101"/>
      <c r="BQ2101"/>
      <c r="BR2101"/>
      <c r="BS2101"/>
      <c r="BT2101"/>
      <c r="BU2101"/>
      <c r="BV2101"/>
      <c r="BW2101"/>
      <c r="BX2101"/>
      <c r="BY2101"/>
      <c r="BZ2101"/>
      <c r="CA2101"/>
      <c r="CB2101"/>
      <c r="CC2101"/>
      <c r="CD2101"/>
      <c r="CE2101"/>
      <c r="CF2101"/>
      <c r="CG2101"/>
      <c r="CH2101"/>
      <c r="CI2101"/>
      <c r="CJ2101"/>
      <c r="CK2101"/>
      <c r="CL2101"/>
      <c r="CM2101"/>
      <c r="CN2101"/>
      <c r="CO2101"/>
      <c r="CP2101"/>
      <c r="CQ2101"/>
      <c r="CR2101"/>
      <c r="CS2101"/>
      <c r="CT2101"/>
      <c r="CU2101"/>
      <c r="CV2101"/>
      <c r="CW2101"/>
      <c r="CX2101"/>
      <c r="CY2101"/>
      <c r="CZ2101"/>
      <c r="DA2101"/>
      <c r="DB2101"/>
      <c r="DC2101"/>
      <c r="DD2101"/>
      <c r="DE2101"/>
      <c r="DF2101"/>
      <c r="DG2101"/>
      <c r="DH2101"/>
      <c r="DI2101"/>
      <c r="DJ2101"/>
      <c r="DK2101"/>
      <c r="DL2101"/>
      <c r="DM2101"/>
      <c r="DN2101"/>
      <c r="DO2101"/>
      <c r="DP2101"/>
      <c r="DQ2101"/>
      <c r="DR2101"/>
      <c r="DS2101"/>
      <c r="DT2101"/>
      <c r="DU2101"/>
      <c r="DV2101"/>
      <c r="DW2101"/>
      <c r="DX2101"/>
      <c r="DY2101"/>
      <c r="DZ2101"/>
      <c r="EA2101"/>
      <c r="EB2101"/>
      <c r="EC2101"/>
      <c r="ED2101"/>
      <c r="EE2101"/>
      <c r="EF2101"/>
      <c r="EG2101"/>
      <c r="EH2101"/>
      <c r="EI2101"/>
      <c r="EJ2101"/>
      <c r="EK2101"/>
      <c r="EL2101"/>
      <c r="EM2101"/>
      <c r="EN2101"/>
      <c r="EO2101"/>
      <c r="EP2101"/>
      <c r="EQ2101"/>
      <c r="ER2101"/>
      <c r="ES2101"/>
    </row>
    <row r="2102" spans="1:149">
      <c r="A2102"/>
      <c r="B2102"/>
      <c r="C2102"/>
      <c r="D2102"/>
      <c r="E2102"/>
      <c r="F2102"/>
      <c r="G2102"/>
      <c r="H2102"/>
      <c r="I2102"/>
      <c r="J2102"/>
      <c r="K2102"/>
      <c r="L2102"/>
      <c r="M2102"/>
      <c r="N2102"/>
      <c r="O2102"/>
      <c r="P2102"/>
      <c r="Q2102"/>
      <c r="R2102"/>
      <c r="S2102"/>
      <c r="T2102"/>
      <c r="U2102"/>
      <c r="V2102"/>
      <c r="W2102"/>
      <c r="X2102"/>
      <c r="Y2102"/>
      <c r="Z2102"/>
      <c r="AA2102"/>
      <c r="AB2102"/>
      <c r="AC2102"/>
      <c r="AD2102"/>
      <c r="AE2102"/>
      <c r="AF2102"/>
      <c r="AG2102"/>
      <c r="AH2102"/>
      <c r="AI2102"/>
      <c r="AJ2102"/>
      <c r="AK2102"/>
      <c r="AL2102"/>
      <c r="AM2102"/>
      <c r="AN2102"/>
      <c r="AO2102"/>
      <c r="AP2102"/>
      <c r="AQ2102"/>
      <c r="AR2102"/>
      <c r="AS2102"/>
      <c r="AT2102"/>
      <c r="AU2102"/>
      <c r="AV2102"/>
      <c r="AW2102"/>
      <c r="AX2102"/>
      <c r="AY2102"/>
      <c r="AZ2102"/>
      <c r="BA2102"/>
      <c r="BB2102"/>
      <c r="BC2102"/>
      <c r="BD2102"/>
      <c r="BE2102"/>
      <c r="BF2102"/>
      <c r="BG2102"/>
      <c r="BH2102"/>
      <c r="BI2102"/>
      <c r="BJ2102"/>
      <c r="BK2102"/>
      <c r="BL2102"/>
      <c r="BM2102"/>
      <c r="BN2102"/>
      <c r="BO2102"/>
      <c r="BP2102"/>
      <c r="BQ2102"/>
      <c r="BR2102"/>
      <c r="BS2102"/>
      <c r="BT2102"/>
      <c r="BU2102"/>
      <c r="BV2102"/>
      <c r="BW2102"/>
      <c r="BX2102"/>
      <c r="BY2102"/>
      <c r="BZ2102"/>
      <c r="CA2102"/>
      <c r="CB2102"/>
      <c r="CC2102"/>
      <c r="CD2102"/>
      <c r="CE2102"/>
      <c r="CF2102"/>
      <c r="CG2102"/>
      <c r="CH2102"/>
      <c r="CI2102"/>
      <c r="CJ2102"/>
      <c r="CK2102"/>
      <c r="CL2102"/>
      <c r="CM2102"/>
      <c r="CN2102"/>
      <c r="CO2102"/>
      <c r="CP2102"/>
      <c r="CQ2102"/>
      <c r="CR2102"/>
      <c r="CS2102"/>
      <c r="CT2102"/>
      <c r="CU2102"/>
      <c r="CV2102"/>
      <c r="CW2102"/>
      <c r="CX2102"/>
      <c r="CY2102"/>
      <c r="CZ2102"/>
      <c r="DA2102"/>
      <c r="DB2102"/>
      <c r="DC2102"/>
      <c r="DD2102"/>
      <c r="DE2102"/>
      <c r="DF2102"/>
      <c r="DG2102"/>
      <c r="DH2102"/>
      <c r="DI2102"/>
      <c r="DJ2102"/>
      <c r="DK2102"/>
      <c r="DL2102"/>
      <c r="DM2102"/>
      <c r="DN2102"/>
      <c r="DO2102"/>
      <c r="DP2102"/>
      <c r="DQ2102"/>
      <c r="DR2102"/>
      <c r="DS2102"/>
      <c r="DT2102"/>
      <c r="DU2102"/>
      <c r="DV2102"/>
      <c r="DW2102"/>
      <c r="DX2102"/>
      <c r="DY2102"/>
      <c r="DZ2102"/>
      <c r="EA2102"/>
      <c r="EB2102"/>
      <c r="EC2102"/>
      <c r="ED2102"/>
      <c r="EE2102"/>
      <c r="EF2102"/>
      <c r="EG2102"/>
      <c r="EH2102"/>
      <c r="EI2102"/>
      <c r="EJ2102"/>
      <c r="EK2102"/>
      <c r="EL2102"/>
      <c r="EM2102"/>
      <c r="EN2102"/>
      <c r="EO2102"/>
      <c r="EP2102"/>
      <c r="EQ2102"/>
      <c r="ER2102"/>
      <c r="ES2102"/>
    </row>
    <row r="2103" spans="1:149">
      <c r="A2103"/>
      <c r="B2103"/>
      <c r="C2103"/>
      <c r="D2103"/>
      <c r="E2103"/>
      <c r="F2103"/>
      <c r="G2103"/>
      <c r="H2103"/>
      <c r="I2103"/>
      <c r="J2103"/>
      <c r="K2103"/>
      <c r="L2103"/>
      <c r="M2103"/>
      <c r="N2103"/>
      <c r="O2103"/>
      <c r="P2103"/>
      <c r="Q2103"/>
      <c r="R2103"/>
      <c r="S2103"/>
      <c r="T2103"/>
      <c r="U2103"/>
      <c r="V2103"/>
      <c r="W2103"/>
      <c r="X2103"/>
      <c r="Y2103"/>
      <c r="Z2103"/>
      <c r="AA2103"/>
      <c r="AB2103"/>
      <c r="AC2103"/>
      <c r="AD2103"/>
      <c r="AE2103"/>
      <c r="AF2103"/>
      <c r="AG2103"/>
      <c r="AH2103"/>
      <c r="AI2103"/>
      <c r="AJ2103"/>
      <c r="AK2103"/>
      <c r="AL2103"/>
      <c r="AM2103"/>
      <c r="AN2103"/>
      <c r="AO2103"/>
      <c r="AP2103"/>
      <c r="AQ2103"/>
      <c r="AR2103"/>
      <c r="AS2103"/>
      <c r="AT2103"/>
      <c r="AU2103"/>
      <c r="AV2103"/>
      <c r="AW2103"/>
      <c r="AX2103"/>
      <c r="AY2103"/>
      <c r="AZ2103"/>
      <c r="BA2103"/>
      <c r="BB2103"/>
      <c r="BC2103"/>
      <c r="BD2103"/>
      <c r="BE2103"/>
      <c r="BF2103"/>
      <c r="BG2103"/>
      <c r="BH2103"/>
      <c r="BI2103"/>
      <c r="BJ2103"/>
      <c r="BK2103"/>
      <c r="BL2103"/>
      <c r="BM2103"/>
      <c r="BN2103"/>
      <c r="BO2103"/>
      <c r="BP2103"/>
      <c r="BQ2103"/>
      <c r="BR2103"/>
      <c r="BS2103"/>
      <c r="BT2103"/>
      <c r="BU2103"/>
      <c r="BV2103"/>
      <c r="BW2103"/>
      <c r="BX2103"/>
      <c r="BY2103"/>
      <c r="BZ2103"/>
      <c r="CA2103"/>
      <c r="CB2103"/>
      <c r="CC2103"/>
      <c r="CD2103"/>
      <c r="CE2103"/>
      <c r="CF2103"/>
      <c r="CG2103"/>
      <c r="CH2103"/>
      <c r="CI2103"/>
      <c r="CJ2103"/>
      <c r="CK2103"/>
      <c r="CL2103"/>
      <c r="CM2103"/>
      <c r="CN2103"/>
      <c r="CO2103"/>
      <c r="CP2103"/>
      <c r="CQ2103"/>
      <c r="CR2103"/>
      <c r="CS2103"/>
      <c r="CT2103"/>
      <c r="CU2103"/>
      <c r="CV2103"/>
      <c r="CW2103"/>
      <c r="CX2103"/>
      <c r="CY2103"/>
      <c r="CZ2103"/>
      <c r="DA2103"/>
      <c r="DB2103"/>
      <c r="DC2103"/>
      <c r="DD2103"/>
      <c r="DE2103"/>
      <c r="DF2103"/>
      <c r="DG2103"/>
      <c r="DH2103"/>
      <c r="DI2103"/>
      <c r="DJ2103"/>
      <c r="DK2103"/>
      <c r="DL2103"/>
      <c r="DM2103"/>
      <c r="DN2103"/>
      <c r="DO2103"/>
      <c r="DP2103"/>
      <c r="DQ2103"/>
      <c r="DR2103"/>
      <c r="DS2103"/>
      <c r="DT2103"/>
      <c r="DU2103"/>
      <c r="DV2103"/>
      <c r="DW2103"/>
      <c r="DX2103"/>
      <c r="DY2103"/>
      <c r="DZ2103"/>
      <c r="EA2103"/>
      <c r="EB2103"/>
      <c r="EC2103"/>
      <c r="ED2103"/>
      <c r="EE2103"/>
      <c r="EF2103"/>
      <c r="EG2103"/>
      <c r="EH2103"/>
      <c r="EI2103"/>
      <c r="EJ2103"/>
      <c r="EK2103"/>
      <c r="EL2103"/>
      <c r="EM2103"/>
      <c r="EN2103"/>
      <c r="EO2103"/>
      <c r="EP2103"/>
      <c r="EQ2103"/>
      <c r="ER2103"/>
      <c r="ES2103"/>
    </row>
    <row r="2104" spans="1:149">
      <c r="A2104"/>
      <c r="B2104"/>
      <c r="C2104"/>
      <c r="D2104"/>
      <c r="E2104"/>
      <c r="F2104"/>
      <c r="G2104"/>
      <c r="H2104"/>
      <c r="I2104"/>
      <c r="J2104"/>
      <c r="K2104"/>
      <c r="L2104"/>
      <c r="M2104"/>
      <c r="N2104"/>
      <c r="O2104"/>
      <c r="P2104"/>
      <c r="Q2104"/>
      <c r="R2104"/>
      <c r="S2104"/>
      <c r="T2104"/>
      <c r="U2104"/>
      <c r="V2104"/>
      <c r="W2104"/>
      <c r="X2104"/>
      <c r="Y2104"/>
      <c r="Z2104"/>
      <c r="AA2104"/>
      <c r="AB2104"/>
      <c r="AC2104"/>
      <c r="AD2104"/>
      <c r="AE2104"/>
      <c r="AF2104"/>
      <c r="AG2104"/>
      <c r="AH2104"/>
      <c r="AI2104"/>
      <c r="AJ2104"/>
      <c r="AK2104"/>
      <c r="AL2104"/>
      <c r="AM2104"/>
      <c r="AN2104"/>
      <c r="AO2104"/>
      <c r="AP2104"/>
      <c r="AQ2104"/>
      <c r="AR2104"/>
      <c r="AS2104"/>
      <c r="AT2104"/>
      <c r="AU2104"/>
      <c r="AV2104"/>
      <c r="AW2104"/>
      <c r="AX2104"/>
      <c r="AY2104"/>
      <c r="AZ2104"/>
      <c r="BA2104"/>
      <c r="BB2104"/>
      <c r="BC2104"/>
      <c r="BD2104"/>
      <c r="BE2104"/>
      <c r="BF2104"/>
      <c r="BG2104"/>
      <c r="BH2104"/>
      <c r="BI2104"/>
      <c r="BJ2104"/>
      <c r="BK2104"/>
      <c r="BL2104"/>
      <c r="BM2104"/>
      <c r="BN2104"/>
      <c r="BO2104"/>
      <c r="BP2104"/>
      <c r="BQ2104"/>
      <c r="BR2104"/>
      <c r="BS2104"/>
      <c r="BT2104"/>
      <c r="BU2104"/>
      <c r="BV2104"/>
      <c r="BW2104"/>
      <c r="BX2104"/>
      <c r="BY2104"/>
      <c r="BZ2104"/>
      <c r="CA2104"/>
      <c r="CB2104"/>
      <c r="CC2104"/>
      <c r="CD2104"/>
      <c r="CE2104"/>
      <c r="CF2104"/>
      <c r="CG2104"/>
      <c r="CH2104"/>
      <c r="CI2104"/>
      <c r="CJ2104"/>
      <c r="CK2104"/>
      <c r="CL2104"/>
      <c r="CM2104"/>
      <c r="CN2104"/>
      <c r="CO2104"/>
      <c r="CP2104"/>
      <c r="CQ2104"/>
      <c r="CR2104"/>
      <c r="CS2104"/>
      <c r="CT2104"/>
      <c r="CU2104"/>
      <c r="CV2104"/>
      <c r="CW2104"/>
      <c r="CX2104"/>
      <c r="CY2104"/>
      <c r="CZ2104"/>
      <c r="DA2104"/>
      <c r="DB2104"/>
      <c r="DC2104"/>
      <c r="DD2104"/>
      <c r="DE2104"/>
      <c r="DF2104"/>
      <c r="DG2104"/>
      <c r="DH2104"/>
      <c r="DI2104"/>
      <c r="DJ2104"/>
      <c r="DK2104"/>
      <c r="DL2104"/>
      <c r="DM2104"/>
      <c r="DN2104"/>
      <c r="DO2104"/>
      <c r="DP2104"/>
      <c r="DQ2104"/>
      <c r="DR2104"/>
      <c r="DS2104"/>
      <c r="DT2104"/>
      <c r="DU2104"/>
      <c r="DV2104"/>
      <c r="DW2104"/>
      <c r="DX2104"/>
      <c r="DY2104"/>
      <c r="DZ2104"/>
      <c r="EA2104"/>
      <c r="EB2104"/>
      <c r="EC2104"/>
      <c r="ED2104"/>
      <c r="EE2104"/>
      <c r="EF2104"/>
      <c r="EG2104"/>
      <c r="EH2104"/>
      <c r="EI2104"/>
      <c r="EJ2104"/>
      <c r="EK2104"/>
      <c r="EL2104"/>
      <c r="EM2104"/>
      <c r="EN2104"/>
      <c r="EO2104"/>
      <c r="EP2104"/>
      <c r="EQ2104"/>
      <c r="ER2104"/>
      <c r="ES2104"/>
    </row>
    <row r="2105" spans="1:149">
      <c r="A2105"/>
      <c r="B2105"/>
      <c r="C2105"/>
      <c r="D2105"/>
      <c r="E2105"/>
      <c r="F2105"/>
      <c r="G2105"/>
      <c r="H2105"/>
      <c r="I2105"/>
      <c r="J2105"/>
      <c r="K2105"/>
      <c r="L2105"/>
      <c r="M2105"/>
      <c r="N2105"/>
      <c r="O2105"/>
      <c r="P2105"/>
      <c r="Q2105"/>
      <c r="R2105"/>
      <c r="S2105"/>
      <c r="T2105"/>
      <c r="U2105"/>
      <c r="V2105"/>
      <c r="W2105"/>
      <c r="X2105"/>
      <c r="Y2105"/>
      <c r="Z2105"/>
      <c r="AA2105"/>
      <c r="AB2105"/>
      <c r="AC2105"/>
      <c r="AD2105"/>
      <c r="AE2105"/>
      <c r="AF2105"/>
      <c r="AG2105"/>
      <c r="AH2105"/>
      <c r="AI2105"/>
      <c r="AJ2105"/>
      <c r="AK2105"/>
      <c r="AL2105"/>
      <c r="AM2105"/>
      <c r="AN2105"/>
      <c r="AO2105"/>
      <c r="AP2105"/>
      <c r="AQ2105"/>
      <c r="AR2105"/>
      <c r="AS2105"/>
      <c r="AT2105"/>
      <c r="AU2105"/>
      <c r="AV2105"/>
      <c r="AW2105"/>
      <c r="AX2105"/>
      <c r="AY2105"/>
      <c r="AZ2105"/>
      <c r="BA2105"/>
      <c r="BB2105"/>
      <c r="BC2105"/>
      <c r="BD2105"/>
      <c r="BE2105"/>
      <c r="BF2105"/>
      <c r="BG2105"/>
      <c r="BH2105"/>
      <c r="BI2105"/>
      <c r="BJ2105"/>
      <c r="BK2105"/>
      <c r="BL2105"/>
      <c r="BM2105"/>
      <c r="BN2105"/>
      <c r="BO2105"/>
      <c r="BP2105"/>
      <c r="BQ2105"/>
      <c r="BR2105"/>
      <c r="BS2105"/>
      <c r="BT2105"/>
      <c r="BU2105"/>
      <c r="BV2105"/>
      <c r="BW2105"/>
      <c r="BX2105"/>
      <c r="BY2105"/>
      <c r="BZ2105"/>
      <c r="CA2105"/>
      <c r="CB2105"/>
      <c r="CC2105"/>
      <c r="CD2105"/>
      <c r="CE2105"/>
      <c r="CF2105"/>
      <c r="CG2105"/>
      <c r="CH2105"/>
      <c r="CI2105"/>
      <c r="CJ2105"/>
      <c r="CK2105"/>
      <c r="CL2105"/>
      <c r="CM2105"/>
      <c r="CN2105"/>
      <c r="CO2105"/>
      <c r="CP2105"/>
      <c r="CQ2105"/>
      <c r="CR2105"/>
      <c r="CS2105"/>
      <c r="CT2105"/>
      <c r="CU2105"/>
      <c r="CV2105"/>
      <c r="CW2105"/>
      <c r="CX2105"/>
      <c r="CY2105"/>
      <c r="CZ2105"/>
      <c r="DA2105"/>
      <c r="DB2105"/>
      <c r="DC2105"/>
      <c r="DD2105"/>
      <c r="DE2105"/>
      <c r="DF2105"/>
      <c r="DG2105"/>
      <c r="DH2105"/>
      <c r="DI2105"/>
      <c r="DJ2105"/>
      <c r="DK2105"/>
      <c r="DL2105"/>
      <c r="DM2105"/>
      <c r="DN2105"/>
      <c r="DO2105"/>
      <c r="DP2105"/>
      <c r="DQ2105"/>
      <c r="DR2105"/>
      <c r="DS2105"/>
      <c r="DT2105"/>
      <c r="DU2105"/>
      <c r="DV2105"/>
      <c r="DW2105"/>
      <c r="DX2105"/>
      <c r="DY2105"/>
      <c r="DZ2105"/>
      <c r="EA2105"/>
      <c r="EB2105"/>
      <c r="EC2105"/>
      <c r="ED2105"/>
      <c r="EE2105"/>
      <c r="EF2105"/>
      <c r="EG2105"/>
      <c r="EH2105"/>
      <c r="EI2105"/>
      <c r="EJ2105"/>
      <c r="EK2105"/>
      <c r="EL2105"/>
      <c r="EM2105"/>
      <c r="EN2105"/>
      <c r="EO2105"/>
      <c r="EP2105"/>
      <c r="EQ2105"/>
      <c r="ER2105"/>
      <c r="ES2105"/>
    </row>
    <row r="2106" spans="1:149">
      <c r="A2106"/>
      <c r="B2106"/>
      <c r="C2106"/>
      <c r="D2106"/>
      <c r="E2106"/>
      <c r="F2106"/>
      <c r="G2106"/>
      <c r="H2106"/>
      <c r="I2106"/>
      <c r="J2106"/>
      <c r="K2106"/>
      <c r="L2106"/>
      <c r="M2106"/>
      <c r="N2106"/>
      <c r="O2106"/>
      <c r="P2106"/>
      <c r="Q2106"/>
      <c r="R2106"/>
      <c r="S2106"/>
      <c r="T2106"/>
      <c r="U2106"/>
      <c r="V2106"/>
      <c r="W2106"/>
      <c r="X2106"/>
      <c r="Y2106"/>
      <c r="Z2106"/>
      <c r="AA2106"/>
      <c r="AB2106"/>
      <c r="AC2106"/>
      <c r="AD2106"/>
      <c r="AE2106"/>
      <c r="AF2106"/>
      <c r="AG2106"/>
      <c r="AH2106"/>
      <c r="AI2106"/>
      <c r="AJ2106"/>
      <c r="AK2106"/>
      <c r="AL2106"/>
      <c r="AM2106"/>
      <c r="AN2106"/>
      <c r="AO2106"/>
      <c r="AP2106"/>
      <c r="AQ2106"/>
      <c r="AR2106"/>
      <c r="AS2106"/>
      <c r="AT2106"/>
      <c r="AU2106"/>
      <c r="AV2106"/>
      <c r="AW2106"/>
      <c r="AX2106"/>
      <c r="AY2106"/>
      <c r="AZ2106"/>
      <c r="BA2106"/>
      <c r="BB2106"/>
      <c r="BC2106"/>
      <c r="BD2106"/>
      <c r="BE2106"/>
      <c r="BF2106"/>
      <c r="BG2106"/>
      <c r="BH2106"/>
      <c r="BI2106"/>
      <c r="BJ2106"/>
      <c r="BK2106"/>
      <c r="BL2106"/>
      <c r="BM2106"/>
      <c r="BN2106"/>
      <c r="BO2106"/>
      <c r="BP2106"/>
      <c r="BQ2106"/>
      <c r="BR2106"/>
      <c r="BS2106"/>
      <c r="BT2106"/>
      <c r="BU2106"/>
      <c r="BV2106"/>
      <c r="BW2106"/>
      <c r="BX2106"/>
      <c r="BY2106"/>
      <c r="BZ2106"/>
      <c r="CA2106"/>
      <c r="CB2106"/>
      <c r="CC2106"/>
      <c r="CD2106"/>
      <c r="CE2106"/>
      <c r="CF2106"/>
      <c r="CG2106"/>
      <c r="CH2106"/>
      <c r="CI2106"/>
      <c r="CJ2106"/>
      <c r="CK2106"/>
      <c r="CL2106"/>
      <c r="CM2106"/>
      <c r="CN2106"/>
      <c r="CO2106"/>
      <c r="CP2106"/>
      <c r="CQ2106"/>
      <c r="CR2106"/>
      <c r="CS2106"/>
      <c r="CT2106"/>
      <c r="CU2106"/>
      <c r="CV2106"/>
      <c r="CW2106"/>
      <c r="CX2106"/>
      <c r="CY2106"/>
      <c r="CZ2106"/>
      <c r="DA2106"/>
      <c r="DB2106"/>
      <c r="DC2106"/>
      <c r="DD2106"/>
      <c r="DE2106"/>
      <c r="DF2106"/>
      <c r="DG2106"/>
      <c r="DH2106"/>
      <c r="DI2106"/>
      <c r="DJ2106"/>
      <c r="DK2106"/>
      <c r="DL2106"/>
      <c r="DM2106"/>
      <c r="DN2106"/>
      <c r="DO2106"/>
      <c r="DP2106"/>
      <c r="DQ2106"/>
      <c r="DR2106"/>
      <c r="DS2106"/>
      <c r="DT2106"/>
      <c r="DU2106"/>
      <c r="DV2106"/>
      <c r="DW2106"/>
      <c r="DX2106"/>
      <c r="DY2106"/>
      <c r="DZ2106"/>
      <c r="EA2106"/>
      <c r="EB2106"/>
      <c r="EC2106"/>
      <c r="ED2106"/>
      <c r="EE2106"/>
      <c r="EF2106"/>
      <c r="EG2106"/>
      <c r="EH2106"/>
      <c r="EI2106"/>
      <c r="EJ2106"/>
      <c r="EK2106"/>
      <c r="EL2106"/>
      <c r="EM2106"/>
      <c r="EN2106"/>
      <c r="EO2106"/>
      <c r="EP2106"/>
      <c r="EQ2106"/>
      <c r="ER2106"/>
      <c r="ES2106"/>
    </row>
    <row r="2107" spans="1:149">
      <c r="A2107"/>
      <c r="B2107"/>
      <c r="C2107"/>
      <c r="D2107"/>
      <c r="E2107"/>
      <c r="F2107"/>
      <c r="G2107"/>
      <c r="H2107"/>
      <c r="I2107"/>
      <c r="J2107"/>
      <c r="K2107"/>
      <c r="L2107"/>
      <c r="M2107"/>
      <c r="N2107"/>
      <c r="O2107"/>
      <c r="P2107"/>
      <c r="Q2107"/>
      <c r="R2107"/>
      <c r="S2107"/>
      <c r="T2107"/>
      <c r="U2107"/>
      <c r="V2107"/>
      <c r="W2107"/>
      <c r="X2107"/>
      <c r="Y2107"/>
      <c r="Z2107"/>
      <c r="AA2107"/>
      <c r="AB2107"/>
      <c r="AC2107"/>
      <c r="AD2107"/>
      <c r="AE2107"/>
      <c r="AF2107"/>
      <c r="AG2107"/>
      <c r="AH2107"/>
      <c r="AI2107"/>
      <c r="AJ2107"/>
      <c r="AK2107"/>
      <c r="AL2107"/>
      <c r="AM2107"/>
      <c r="AN2107"/>
      <c r="AO2107"/>
      <c r="AP2107"/>
      <c r="AQ2107"/>
      <c r="AR2107"/>
      <c r="AS2107"/>
      <c r="AT2107"/>
      <c r="AU2107"/>
      <c r="AV2107"/>
      <c r="AW2107"/>
      <c r="AX2107"/>
      <c r="AY2107"/>
      <c r="AZ2107"/>
      <c r="BA2107"/>
      <c r="BB2107"/>
      <c r="BC2107"/>
      <c r="BD2107"/>
      <c r="BE2107"/>
      <c r="BF2107"/>
      <c r="BG2107"/>
      <c r="BH2107"/>
      <c r="BI2107"/>
      <c r="BJ2107"/>
      <c r="BK2107"/>
      <c r="BL2107"/>
      <c r="BM2107"/>
      <c r="BN2107"/>
      <c r="BO2107"/>
      <c r="BP2107"/>
      <c r="BQ2107"/>
      <c r="BR2107"/>
      <c r="BS2107"/>
      <c r="BT2107"/>
      <c r="BU2107"/>
      <c r="BV2107"/>
      <c r="BW2107"/>
      <c r="BX2107"/>
      <c r="BY2107"/>
      <c r="BZ2107"/>
      <c r="CA2107"/>
      <c r="CB2107"/>
      <c r="CC2107"/>
      <c r="CD2107"/>
      <c r="CE2107"/>
      <c r="CF2107"/>
      <c r="CG2107"/>
      <c r="CH2107"/>
      <c r="CI2107"/>
      <c r="CJ2107"/>
      <c r="CK2107"/>
      <c r="CL2107"/>
      <c r="CM2107"/>
      <c r="CN2107"/>
      <c r="CO2107"/>
      <c r="CP2107"/>
      <c r="CQ2107"/>
      <c r="CR2107"/>
      <c r="CS2107"/>
      <c r="CT2107"/>
      <c r="CU2107"/>
      <c r="CV2107"/>
      <c r="CW2107"/>
      <c r="CX2107"/>
      <c r="CY2107"/>
      <c r="CZ2107"/>
      <c r="DA2107"/>
      <c r="DB2107"/>
      <c r="DC2107"/>
      <c r="DD2107"/>
      <c r="DE2107"/>
      <c r="DF2107"/>
      <c r="DG2107"/>
      <c r="DH2107"/>
      <c r="DI2107"/>
      <c r="DJ2107"/>
      <c r="DK2107"/>
      <c r="DL2107"/>
      <c r="DM2107"/>
      <c r="DN2107"/>
      <c r="DO2107"/>
      <c r="DP2107"/>
      <c r="DQ2107"/>
      <c r="DR2107"/>
      <c r="DS2107"/>
      <c r="DT2107"/>
      <c r="DU2107"/>
      <c r="DV2107"/>
      <c r="DW2107"/>
      <c r="DX2107"/>
      <c r="DY2107"/>
      <c r="DZ2107"/>
      <c r="EA2107"/>
      <c r="EB2107"/>
      <c r="EC2107"/>
      <c r="ED2107"/>
      <c r="EE2107"/>
      <c r="EF2107"/>
      <c r="EG2107"/>
      <c r="EH2107"/>
      <c r="EI2107"/>
      <c r="EJ2107"/>
      <c r="EK2107"/>
      <c r="EL2107"/>
      <c r="EM2107"/>
      <c r="EN2107"/>
      <c r="EO2107"/>
      <c r="EP2107"/>
      <c r="EQ2107"/>
      <c r="ER2107"/>
      <c r="ES2107"/>
    </row>
    <row r="2108" spans="1:149">
      <c r="A2108"/>
      <c r="B2108"/>
      <c r="C2108"/>
      <c r="D2108"/>
      <c r="E2108"/>
      <c r="F2108"/>
      <c r="G2108"/>
      <c r="H2108"/>
      <c r="I2108"/>
      <c r="J2108"/>
      <c r="K2108"/>
      <c r="L2108"/>
      <c r="M2108"/>
      <c r="N2108"/>
      <c r="O2108"/>
      <c r="P2108"/>
      <c r="Q2108"/>
      <c r="R2108"/>
      <c r="S2108"/>
      <c r="T2108"/>
      <c r="U2108"/>
      <c r="V2108"/>
      <c r="W2108"/>
      <c r="X2108"/>
      <c r="Y2108"/>
      <c r="Z2108"/>
      <c r="AA2108"/>
      <c r="AB2108"/>
      <c r="AC2108"/>
      <c r="AD2108"/>
      <c r="AE2108"/>
      <c r="AF2108"/>
      <c r="AG2108"/>
      <c r="AH2108"/>
      <c r="AI2108"/>
      <c r="AJ2108"/>
      <c r="AK2108"/>
      <c r="AL2108"/>
      <c r="AM2108"/>
      <c r="AN2108"/>
      <c r="AO2108"/>
      <c r="AP2108"/>
      <c r="AQ2108"/>
      <c r="AR2108"/>
      <c r="AS2108"/>
      <c r="AT2108"/>
      <c r="AU2108"/>
      <c r="AV2108"/>
      <c r="AW2108"/>
      <c r="AX2108"/>
      <c r="AY2108"/>
      <c r="AZ2108"/>
      <c r="BA2108"/>
      <c r="BB2108"/>
      <c r="BC2108"/>
      <c r="BD2108"/>
      <c r="BE2108"/>
      <c r="BF2108"/>
      <c r="BG2108"/>
      <c r="BH2108"/>
      <c r="BI2108"/>
      <c r="BJ2108"/>
      <c r="BK2108"/>
      <c r="BL2108"/>
      <c r="BM2108"/>
      <c r="BN2108"/>
      <c r="BO2108"/>
      <c r="BP2108"/>
      <c r="BQ2108"/>
      <c r="BR2108"/>
      <c r="BS2108"/>
      <c r="BT2108"/>
      <c r="BU2108"/>
      <c r="BV2108"/>
      <c r="BW2108"/>
      <c r="BX2108"/>
      <c r="BY2108"/>
      <c r="BZ2108"/>
      <c r="CA2108"/>
      <c r="CB2108"/>
      <c r="CC2108"/>
      <c r="CD2108"/>
      <c r="CE2108"/>
      <c r="CF2108"/>
      <c r="CG2108"/>
      <c r="CH2108"/>
      <c r="CI2108"/>
      <c r="CJ2108"/>
      <c r="CK2108"/>
      <c r="CL2108"/>
      <c r="CM2108"/>
      <c r="CN2108"/>
      <c r="CO2108"/>
      <c r="CP2108"/>
      <c r="CQ2108"/>
      <c r="CR2108"/>
      <c r="CS2108"/>
      <c r="CT2108"/>
      <c r="CU2108"/>
      <c r="CV2108"/>
      <c r="CW2108"/>
      <c r="CX2108"/>
      <c r="CY2108"/>
      <c r="CZ2108"/>
      <c r="DA2108"/>
      <c r="DB2108"/>
      <c r="DC2108"/>
      <c r="DD2108"/>
      <c r="DE2108"/>
      <c r="DF2108"/>
      <c r="DG2108"/>
      <c r="DH2108"/>
      <c r="DI2108"/>
      <c r="DJ2108"/>
      <c r="DK2108"/>
      <c r="DL2108"/>
      <c r="DM2108"/>
      <c r="DN2108"/>
      <c r="DO2108"/>
      <c r="DP2108"/>
      <c r="DQ2108"/>
      <c r="DR2108"/>
      <c r="DS2108"/>
      <c r="DT2108"/>
      <c r="DU2108"/>
      <c r="DV2108"/>
      <c r="DW2108"/>
      <c r="DX2108"/>
      <c r="DY2108"/>
      <c r="DZ2108"/>
      <c r="EA2108"/>
      <c r="EB2108"/>
      <c r="EC2108"/>
      <c r="ED2108"/>
      <c r="EE2108"/>
      <c r="EF2108"/>
      <c r="EG2108"/>
      <c r="EH2108"/>
      <c r="EI2108"/>
      <c r="EJ2108"/>
      <c r="EK2108"/>
      <c r="EL2108"/>
      <c r="EM2108"/>
      <c r="EN2108"/>
      <c r="EO2108"/>
      <c r="EP2108"/>
      <c r="EQ2108"/>
      <c r="ER2108"/>
      <c r="ES2108"/>
    </row>
    <row r="2109" spans="1:149">
      <c r="A2109"/>
      <c r="B2109"/>
      <c r="C2109"/>
      <c r="D2109"/>
      <c r="E2109"/>
      <c r="F2109"/>
      <c r="G2109"/>
      <c r="H2109"/>
      <c r="I2109"/>
      <c r="J2109"/>
      <c r="K2109"/>
      <c r="L2109"/>
      <c r="M2109"/>
      <c r="N2109"/>
      <c r="O2109"/>
      <c r="P2109"/>
      <c r="Q2109"/>
      <c r="R2109"/>
      <c r="S2109"/>
      <c r="T2109"/>
      <c r="U2109"/>
      <c r="V2109"/>
      <c r="W2109"/>
      <c r="X2109"/>
      <c r="Y2109"/>
      <c r="Z2109"/>
      <c r="AA2109"/>
      <c r="AB2109"/>
      <c r="AC2109"/>
      <c r="AD2109"/>
      <c r="AE2109"/>
      <c r="AF2109"/>
      <c r="AG2109"/>
      <c r="AH2109"/>
      <c r="AI2109"/>
      <c r="AJ2109"/>
      <c r="AK2109"/>
      <c r="AL2109"/>
      <c r="AM2109"/>
      <c r="AN2109"/>
      <c r="AO2109"/>
      <c r="AP2109"/>
      <c r="AQ2109"/>
      <c r="AR2109"/>
      <c r="AS2109"/>
      <c r="AT2109"/>
      <c r="AU2109"/>
      <c r="AV2109"/>
      <c r="AW2109"/>
      <c r="AX2109"/>
      <c r="AY2109"/>
      <c r="AZ2109"/>
      <c r="BA2109"/>
      <c r="BB2109"/>
      <c r="BC2109"/>
      <c r="BD2109"/>
      <c r="BE2109"/>
      <c r="BF2109"/>
      <c r="BG2109"/>
      <c r="BH2109"/>
      <c r="BI2109"/>
      <c r="BJ2109"/>
      <c r="BK2109"/>
      <c r="BL2109"/>
      <c r="BM2109"/>
      <c r="BN2109"/>
      <c r="BO2109"/>
      <c r="BP2109"/>
      <c r="BQ2109"/>
      <c r="BR2109"/>
      <c r="BS2109"/>
      <c r="BT2109"/>
      <c r="BU2109"/>
      <c r="BV2109"/>
      <c r="BW2109"/>
      <c r="BX2109"/>
      <c r="BY2109"/>
      <c r="BZ2109"/>
      <c r="CA2109"/>
      <c r="CB2109"/>
      <c r="CC2109"/>
      <c r="CD2109"/>
      <c r="CE2109"/>
      <c r="CF2109"/>
      <c r="CG2109"/>
      <c r="CH2109"/>
      <c r="CI2109"/>
      <c r="CJ2109"/>
      <c r="CK2109"/>
      <c r="CL2109"/>
      <c r="CM2109"/>
      <c r="CN2109"/>
      <c r="CO2109"/>
      <c r="CP2109"/>
      <c r="CQ2109"/>
      <c r="CR2109"/>
      <c r="CS2109"/>
      <c r="CT2109"/>
      <c r="CU2109"/>
      <c r="CV2109"/>
      <c r="CW2109"/>
      <c r="CX2109"/>
      <c r="CY2109"/>
      <c r="CZ2109"/>
      <c r="DA2109"/>
      <c r="DB2109"/>
      <c r="DC2109"/>
      <c r="DD2109"/>
      <c r="DE2109"/>
      <c r="DF2109"/>
      <c r="DG2109"/>
      <c r="DH2109"/>
      <c r="DI2109"/>
      <c r="DJ2109"/>
      <c r="DK2109"/>
      <c r="DL2109"/>
      <c r="DM2109"/>
      <c r="DN2109"/>
      <c r="DO2109"/>
      <c r="DP2109"/>
      <c r="DQ2109"/>
      <c r="DR2109"/>
      <c r="DS2109"/>
      <c r="DT2109"/>
      <c r="DU2109"/>
      <c r="DV2109"/>
      <c r="DW2109"/>
      <c r="DX2109"/>
      <c r="DY2109"/>
      <c r="DZ2109"/>
      <c r="EA2109"/>
      <c r="EB2109"/>
      <c r="EC2109"/>
      <c r="ED2109"/>
      <c r="EE2109"/>
      <c r="EF2109"/>
      <c r="EG2109"/>
      <c r="EH2109"/>
      <c r="EI2109"/>
      <c r="EJ2109"/>
      <c r="EK2109"/>
      <c r="EL2109"/>
      <c r="EM2109"/>
      <c r="EN2109"/>
      <c r="EO2109"/>
      <c r="EP2109"/>
      <c r="EQ2109"/>
      <c r="ER2109"/>
      <c r="ES2109"/>
    </row>
    <row r="2110" spans="1:149">
      <c r="A2110"/>
      <c r="B2110"/>
      <c r="C2110"/>
      <c r="D2110"/>
      <c r="E2110"/>
      <c r="F2110"/>
      <c r="G2110"/>
      <c r="H2110"/>
      <c r="I2110"/>
      <c r="J2110"/>
      <c r="K2110"/>
      <c r="L2110"/>
      <c r="M2110"/>
      <c r="N2110"/>
      <c r="O2110"/>
      <c r="P2110"/>
      <c r="Q2110"/>
      <c r="R2110"/>
      <c r="S2110"/>
      <c r="T2110"/>
      <c r="U2110"/>
      <c r="V2110"/>
      <c r="W2110"/>
      <c r="X2110"/>
      <c r="Y2110"/>
      <c r="Z2110"/>
      <c r="AA2110"/>
      <c r="AB2110"/>
      <c r="AC2110"/>
      <c r="AD2110"/>
      <c r="AE2110"/>
      <c r="AF2110"/>
      <c r="AG2110"/>
      <c r="AH2110"/>
      <c r="AI2110"/>
      <c r="AJ2110"/>
      <c r="AK2110"/>
      <c r="AL2110"/>
      <c r="AM2110"/>
      <c r="AN2110"/>
      <c r="AO2110"/>
      <c r="AP2110"/>
      <c r="AQ2110"/>
      <c r="AR2110"/>
      <c r="AS2110"/>
      <c r="AT2110"/>
      <c r="AU2110"/>
      <c r="AV2110"/>
      <c r="AW2110"/>
      <c r="AX2110"/>
      <c r="AY2110"/>
      <c r="AZ2110"/>
      <c r="BA2110"/>
      <c r="BB2110"/>
      <c r="BC2110"/>
      <c r="BD2110"/>
      <c r="BE2110"/>
      <c r="BF2110"/>
      <c r="BG2110"/>
      <c r="BH2110"/>
      <c r="BI2110"/>
      <c r="BJ2110"/>
      <c r="BK2110"/>
      <c r="BL2110"/>
      <c r="BM2110"/>
      <c r="BN2110"/>
      <c r="BO2110"/>
      <c r="BP2110"/>
      <c r="BQ2110"/>
      <c r="BR2110"/>
      <c r="BS2110"/>
      <c r="BT2110"/>
      <c r="BU2110"/>
      <c r="BV2110"/>
      <c r="BW2110"/>
      <c r="BX2110"/>
      <c r="BY2110"/>
      <c r="BZ2110"/>
      <c r="CA2110"/>
      <c r="CB2110"/>
      <c r="CC2110"/>
      <c r="CD2110"/>
      <c r="CE2110"/>
      <c r="CF2110"/>
      <c r="CG2110"/>
      <c r="CH2110"/>
      <c r="CI2110"/>
      <c r="CJ2110"/>
      <c r="CK2110"/>
      <c r="CL2110"/>
      <c r="CM2110"/>
      <c r="CN2110"/>
      <c r="CO2110"/>
      <c r="CP2110"/>
      <c r="CQ2110"/>
      <c r="CR2110"/>
      <c r="CS2110"/>
      <c r="CT2110"/>
      <c r="CU2110"/>
      <c r="CV2110"/>
      <c r="CW2110"/>
      <c r="CX2110"/>
      <c r="CY2110"/>
      <c r="CZ2110"/>
      <c r="DA2110"/>
      <c r="DB2110"/>
      <c r="DC2110"/>
      <c r="DD2110"/>
      <c r="DE2110"/>
      <c r="DF2110"/>
      <c r="DG2110"/>
      <c r="DH2110"/>
      <c r="DI2110"/>
      <c r="DJ2110"/>
      <c r="DK2110"/>
      <c r="DL2110"/>
      <c r="DM2110"/>
      <c r="DN2110"/>
      <c r="DO2110"/>
      <c r="DP2110"/>
      <c r="DQ2110"/>
      <c r="DR2110"/>
      <c r="DS2110"/>
      <c r="DT2110"/>
      <c r="DU2110"/>
      <c r="DV2110"/>
      <c r="DW2110"/>
      <c r="DX2110"/>
      <c r="DY2110"/>
      <c r="DZ2110"/>
      <c r="EA2110"/>
      <c r="EB2110"/>
      <c r="EC2110"/>
      <c r="ED2110"/>
      <c r="EE2110"/>
      <c r="EF2110"/>
      <c r="EG2110"/>
      <c r="EH2110"/>
      <c r="EI2110"/>
      <c r="EJ2110"/>
      <c r="EK2110"/>
      <c r="EL2110"/>
      <c r="EM2110"/>
      <c r="EN2110"/>
      <c r="EO2110"/>
      <c r="EP2110"/>
      <c r="EQ2110"/>
      <c r="ER2110"/>
      <c r="ES2110"/>
    </row>
    <row r="2111" spans="1:149">
      <c r="A2111"/>
      <c r="B2111"/>
      <c r="C2111"/>
      <c r="D2111"/>
      <c r="E2111"/>
      <c r="F2111"/>
      <c r="G2111"/>
      <c r="H2111"/>
      <c r="I2111"/>
      <c r="J2111"/>
      <c r="K2111"/>
      <c r="L2111"/>
      <c r="M2111"/>
      <c r="N2111"/>
      <c r="O2111"/>
      <c r="P2111"/>
      <c r="Q2111"/>
      <c r="R2111"/>
      <c r="S2111"/>
      <c r="T2111"/>
      <c r="U2111"/>
      <c r="V2111"/>
      <c r="W2111"/>
      <c r="X2111"/>
      <c r="Y2111"/>
      <c r="Z2111"/>
      <c r="AA2111"/>
      <c r="AB2111"/>
      <c r="AC2111"/>
      <c r="AD2111"/>
      <c r="AE2111"/>
      <c r="AF2111"/>
      <c r="AG2111"/>
      <c r="AH2111"/>
      <c r="AI2111"/>
      <c r="AJ2111"/>
      <c r="AK2111"/>
      <c r="AL2111"/>
      <c r="AM2111"/>
      <c r="AN2111"/>
      <c r="AO2111"/>
      <c r="AP2111"/>
      <c r="AQ2111"/>
      <c r="AR2111"/>
      <c r="AS2111"/>
      <c r="AT2111"/>
      <c r="AU2111"/>
      <c r="AV2111"/>
      <c r="AW2111"/>
      <c r="AX2111"/>
      <c r="AY2111"/>
      <c r="AZ2111"/>
      <c r="BA2111"/>
      <c r="BB2111"/>
      <c r="BC2111"/>
      <c r="BD2111"/>
      <c r="BE2111"/>
      <c r="BF2111"/>
      <c r="BG2111"/>
      <c r="BH2111"/>
      <c r="BI2111"/>
      <c r="BJ2111"/>
      <c r="BK2111"/>
      <c r="BL2111"/>
      <c r="BM2111"/>
      <c r="BN2111"/>
      <c r="BO2111"/>
      <c r="BP2111"/>
      <c r="BQ2111"/>
      <c r="BR2111"/>
      <c r="BS2111"/>
      <c r="BT2111"/>
      <c r="BU2111"/>
      <c r="BV2111"/>
      <c r="BW2111"/>
      <c r="BX2111"/>
      <c r="BY2111"/>
      <c r="BZ2111"/>
      <c r="CA2111"/>
      <c r="CB2111"/>
      <c r="CC2111"/>
      <c r="CD2111"/>
      <c r="CE2111"/>
      <c r="CF2111"/>
      <c r="CG2111"/>
      <c r="CH2111"/>
      <c r="CI2111"/>
      <c r="CJ2111"/>
      <c r="CK2111"/>
      <c r="CL2111"/>
      <c r="CM2111"/>
      <c r="CN2111"/>
      <c r="CO2111"/>
      <c r="CP2111"/>
      <c r="CQ2111"/>
      <c r="CR2111"/>
      <c r="CS2111"/>
      <c r="CT2111"/>
      <c r="CU2111"/>
      <c r="CV2111"/>
      <c r="CW2111"/>
      <c r="CX2111"/>
      <c r="CY2111"/>
      <c r="CZ2111"/>
      <c r="DA2111"/>
      <c r="DB2111"/>
      <c r="DC2111"/>
      <c r="DD2111"/>
      <c r="DE2111"/>
      <c r="DF2111"/>
      <c r="DG2111"/>
      <c r="DH2111"/>
      <c r="DI2111"/>
      <c r="DJ2111"/>
      <c r="DK2111"/>
      <c r="DL2111"/>
      <c r="DM2111"/>
      <c r="DN2111"/>
      <c r="DO2111"/>
      <c r="DP2111"/>
      <c r="DQ2111"/>
      <c r="DR2111"/>
      <c r="DS2111"/>
      <c r="DT2111"/>
      <c r="DU2111"/>
      <c r="DV2111"/>
      <c r="DW2111"/>
      <c r="DX2111"/>
      <c r="DY2111"/>
      <c r="DZ2111"/>
      <c r="EA2111"/>
      <c r="EB2111"/>
      <c r="EC2111"/>
      <c r="ED2111"/>
      <c r="EE2111"/>
      <c r="EF2111"/>
      <c r="EG2111"/>
      <c r="EH2111"/>
      <c r="EI2111"/>
      <c r="EJ2111"/>
      <c r="EK2111"/>
      <c r="EL2111"/>
      <c r="EM2111"/>
      <c r="EN2111"/>
      <c r="EO2111"/>
      <c r="EP2111"/>
      <c r="EQ2111"/>
      <c r="ER2111"/>
      <c r="ES2111"/>
    </row>
    <row r="2112" spans="1:149">
      <c r="A2112"/>
      <c r="B2112"/>
      <c r="C2112"/>
      <c r="D2112"/>
      <c r="E2112"/>
      <c r="F2112"/>
      <c r="G2112"/>
      <c r="H2112"/>
      <c r="I2112"/>
      <c r="J2112"/>
      <c r="K2112"/>
      <c r="L2112"/>
      <c r="M2112"/>
      <c r="N2112"/>
      <c r="O2112"/>
      <c r="P2112"/>
      <c r="Q2112"/>
      <c r="R2112"/>
      <c r="S2112"/>
      <c r="T2112"/>
      <c r="U2112"/>
      <c r="V2112"/>
      <c r="W2112"/>
      <c r="X2112"/>
      <c r="Y2112"/>
      <c r="Z2112"/>
      <c r="AA2112"/>
      <c r="AB2112"/>
      <c r="AC2112"/>
      <c r="AD2112"/>
      <c r="AE2112"/>
      <c r="AF2112"/>
      <c r="AG2112"/>
      <c r="AH2112"/>
      <c r="AI2112"/>
      <c r="AJ2112"/>
      <c r="AK2112"/>
      <c r="AL2112"/>
      <c r="AM2112"/>
      <c r="AN2112"/>
      <c r="AO2112"/>
      <c r="AP2112"/>
      <c r="AQ2112"/>
      <c r="AR2112"/>
      <c r="AS2112"/>
      <c r="AT2112"/>
      <c r="AU2112"/>
      <c r="AV2112"/>
      <c r="AW2112"/>
      <c r="AX2112"/>
      <c r="AY2112"/>
      <c r="AZ2112"/>
      <c r="BA2112"/>
      <c r="BB2112"/>
      <c r="BC2112"/>
      <c r="BD2112"/>
      <c r="BE2112"/>
      <c r="BF2112"/>
      <c r="BG2112"/>
      <c r="BH2112"/>
      <c r="BI2112"/>
      <c r="BJ2112"/>
      <c r="BK2112"/>
      <c r="BL2112"/>
      <c r="BM2112"/>
      <c r="BN2112"/>
      <c r="BO2112"/>
      <c r="BP2112"/>
      <c r="BQ2112"/>
      <c r="BR2112"/>
      <c r="BS2112"/>
      <c r="BT2112"/>
      <c r="BU2112"/>
      <c r="BV2112"/>
      <c r="BW2112"/>
      <c r="BX2112"/>
      <c r="BY2112"/>
      <c r="BZ2112"/>
      <c r="CA2112"/>
      <c r="CB2112"/>
      <c r="CC2112"/>
      <c r="CD2112"/>
      <c r="CE2112"/>
      <c r="CF2112"/>
      <c r="CG2112"/>
      <c r="CH2112"/>
      <c r="CI2112"/>
      <c r="CJ2112"/>
      <c r="CK2112"/>
      <c r="CL2112"/>
      <c r="CM2112"/>
      <c r="CN2112"/>
      <c r="CO2112"/>
      <c r="CP2112"/>
      <c r="CQ2112"/>
      <c r="CR2112"/>
      <c r="CS2112"/>
      <c r="CT2112"/>
      <c r="CU2112"/>
      <c r="CV2112"/>
      <c r="CW2112"/>
      <c r="CX2112"/>
      <c r="CY2112"/>
      <c r="CZ2112"/>
      <c r="DA2112"/>
      <c r="DB2112"/>
      <c r="DC2112"/>
      <c r="DD2112"/>
      <c r="DE2112"/>
      <c r="DF2112"/>
      <c r="DG2112"/>
      <c r="DH2112"/>
      <c r="DI2112"/>
      <c r="DJ2112"/>
      <c r="DK2112"/>
      <c r="DL2112"/>
      <c r="DM2112"/>
      <c r="DN2112"/>
      <c r="DO2112"/>
      <c r="DP2112"/>
      <c r="DQ2112"/>
      <c r="DR2112"/>
      <c r="DS2112"/>
      <c r="DT2112"/>
      <c r="DU2112"/>
      <c r="DV2112"/>
      <c r="DW2112"/>
      <c r="DX2112"/>
      <c r="DY2112"/>
      <c r="DZ2112"/>
      <c r="EA2112"/>
      <c r="EB2112"/>
      <c r="EC2112"/>
      <c r="ED2112"/>
      <c r="EE2112"/>
      <c r="EF2112"/>
      <c r="EG2112"/>
      <c r="EH2112"/>
      <c r="EI2112"/>
      <c r="EJ2112"/>
      <c r="EK2112"/>
      <c r="EL2112"/>
      <c r="EM2112"/>
      <c r="EN2112"/>
      <c r="EO2112"/>
      <c r="EP2112"/>
      <c r="EQ2112"/>
      <c r="ER2112"/>
      <c r="ES2112"/>
    </row>
    <row r="2113" spans="1:149">
      <c r="A2113"/>
      <c r="B2113"/>
      <c r="C2113"/>
      <c r="D2113"/>
      <c r="E2113"/>
      <c r="F2113"/>
      <c r="G2113"/>
      <c r="H2113"/>
      <c r="I2113"/>
      <c r="J2113"/>
      <c r="K2113"/>
      <c r="L2113"/>
      <c r="M2113"/>
      <c r="N2113"/>
      <c r="O2113"/>
      <c r="P2113"/>
      <c r="Q2113"/>
      <c r="R2113"/>
      <c r="S2113"/>
      <c r="T2113"/>
      <c r="U2113"/>
      <c r="V2113"/>
      <c r="W2113"/>
      <c r="X2113"/>
      <c r="Y2113"/>
      <c r="Z2113"/>
      <c r="AA2113"/>
      <c r="AB2113"/>
      <c r="AC2113"/>
      <c r="AD2113"/>
      <c r="AE2113"/>
      <c r="AF2113"/>
      <c r="AG2113"/>
      <c r="AH2113"/>
      <c r="AI2113"/>
      <c r="AJ2113"/>
      <c r="AK2113"/>
      <c r="AL2113"/>
      <c r="AM2113"/>
      <c r="AN2113"/>
      <c r="AO2113"/>
      <c r="AP2113"/>
      <c r="AQ2113"/>
      <c r="AR2113"/>
      <c r="AS2113"/>
      <c r="AT2113"/>
      <c r="AU2113"/>
      <c r="AV2113"/>
      <c r="AW2113"/>
      <c r="AX2113"/>
      <c r="AY2113"/>
      <c r="AZ2113"/>
      <c r="BA2113"/>
      <c r="BB2113"/>
      <c r="BC2113"/>
      <c r="BD2113"/>
      <c r="BE2113"/>
      <c r="BF2113"/>
      <c r="BG2113"/>
      <c r="BH2113"/>
      <c r="BI2113"/>
      <c r="BJ2113"/>
      <c r="BK2113"/>
      <c r="BL2113"/>
      <c r="BM2113"/>
      <c r="BN2113"/>
      <c r="BO2113"/>
      <c r="BP2113"/>
      <c r="BQ2113"/>
      <c r="BR2113"/>
      <c r="BS2113"/>
      <c r="BT2113"/>
      <c r="BU2113"/>
      <c r="BV2113"/>
      <c r="BW2113"/>
      <c r="BX2113"/>
      <c r="BY2113"/>
      <c r="BZ2113"/>
      <c r="CA2113"/>
      <c r="CB2113"/>
      <c r="CC2113"/>
      <c r="CD2113"/>
      <c r="CE2113"/>
      <c r="CF2113"/>
      <c r="CG2113"/>
      <c r="CH2113"/>
      <c r="CI2113"/>
      <c r="CJ2113"/>
      <c r="CK2113"/>
      <c r="CL2113"/>
      <c r="CM2113"/>
      <c r="CN2113"/>
      <c r="CO2113"/>
      <c r="CP2113"/>
      <c r="CQ2113"/>
      <c r="CR2113"/>
      <c r="CS2113"/>
      <c r="CT2113"/>
      <c r="CU2113"/>
      <c r="CV2113"/>
      <c r="CW2113"/>
      <c r="CX2113"/>
      <c r="CY2113"/>
      <c r="CZ2113"/>
      <c r="DA2113"/>
      <c r="DB2113"/>
      <c r="DC2113"/>
      <c r="DD2113"/>
      <c r="DE2113"/>
      <c r="DF2113"/>
      <c r="DG2113"/>
      <c r="DH2113"/>
      <c r="DI2113"/>
      <c r="DJ2113"/>
      <c r="DK2113"/>
      <c r="DL2113"/>
      <c r="DM2113"/>
      <c r="DN2113"/>
      <c r="DO2113"/>
      <c r="DP2113"/>
      <c r="DQ2113"/>
      <c r="DR2113"/>
      <c r="DS2113"/>
      <c r="DT2113"/>
      <c r="DU2113"/>
      <c r="DV2113"/>
      <c r="DW2113"/>
      <c r="DX2113"/>
      <c r="DY2113"/>
      <c r="DZ2113"/>
      <c r="EA2113"/>
      <c r="EB2113"/>
      <c r="EC2113"/>
      <c r="ED2113"/>
      <c r="EE2113"/>
      <c r="EF2113"/>
      <c r="EG2113"/>
      <c r="EH2113"/>
      <c r="EI2113"/>
      <c r="EJ2113"/>
      <c r="EK2113"/>
      <c r="EL2113"/>
      <c r="EM2113"/>
      <c r="EN2113"/>
      <c r="EO2113"/>
      <c r="EP2113"/>
      <c r="EQ2113"/>
      <c r="ER2113"/>
      <c r="ES2113"/>
    </row>
    <row r="2114" spans="1:149">
      <c r="A2114"/>
      <c r="B2114"/>
      <c r="C2114"/>
      <c r="D2114"/>
      <c r="E2114"/>
      <c r="F2114"/>
      <c r="G2114"/>
      <c r="H2114"/>
      <c r="I2114"/>
      <c r="J2114"/>
      <c r="K2114"/>
      <c r="L2114"/>
      <c r="M2114"/>
      <c r="N2114"/>
      <c r="O2114"/>
      <c r="P2114"/>
      <c r="Q2114"/>
      <c r="R2114"/>
      <c r="S2114"/>
      <c r="T2114"/>
      <c r="U2114"/>
      <c r="V2114"/>
      <c r="W2114"/>
      <c r="X2114"/>
      <c r="Y2114"/>
      <c r="Z2114"/>
      <c r="AA2114"/>
      <c r="AB2114"/>
      <c r="AC2114"/>
      <c r="AD2114"/>
      <c r="AE2114"/>
      <c r="AF2114"/>
      <c r="AG2114"/>
      <c r="AH2114"/>
      <c r="AI2114"/>
      <c r="AJ2114"/>
      <c r="AK2114"/>
      <c r="AL2114"/>
      <c r="AM2114"/>
      <c r="AN2114"/>
      <c r="AO2114"/>
      <c r="AP2114"/>
      <c r="AQ2114"/>
      <c r="AR2114"/>
      <c r="AS2114"/>
      <c r="AT2114"/>
      <c r="AU2114"/>
      <c r="AV2114"/>
      <c r="AW2114"/>
      <c r="AX2114"/>
      <c r="AY2114"/>
      <c r="AZ2114"/>
      <c r="BA2114"/>
      <c r="BB2114"/>
      <c r="BC2114"/>
      <c r="BD2114"/>
      <c r="BE2114"/>
      <c r="BF2114"/>
      <c r="BG2114"/>
      <c r="BH2114"/>
      <c r="BI2114"/>
      <c r="BJ2114"/>
      <c r="BK2114"/>
      <c r="BL2114"/>
      <c r="BM2114"/>
      <c r="BN2114"/>
      <c r="BO2114"/>
      <c r="BP2114"/>
      <c r="BQ2114"/>
      <c r="BR2114"/>
      <c r="BS2114"/>
      <c r="BT2114"/>
      <c r="BU2114"/>
      <c r="BV2114"/>
      <c r="BW2114"/>
      <c r="BX2114"/>
      <c r="BY2114"/>
      <c r="BZ2114"/>
      <c r="CA2114"/>
      <c r="CB2114"/>
      <c r="CC2114"/>
      <c r="CD2114"/>
      <c r="CE2114"/>
      <c r="CF2114"/>
      <c r="CG2114"/>
      <c r="CH2114"/>
      <c r="CI2114"/>
      <c r="CJ2114"/>
      <c r="CK2114"/>
      <c r="CL2114"/>
      <c r="CM2114"/>
      <c r="CN2114"/>
      <c r="CO2114"/>
      <c r="CP2114"/>
      <c r="CQ2114"/>
      <c r="CR2114"/>
      <c r="CS2114"/>
      <c r="CT2114"/>
      <c r="CU2114"/>
      <c r="CV2114"/>
      <c r="CW2114"/>
      <c r="CX2114"/>
      <c r="CY2114"/>
      <c r="CZ2114"/>
      <c r="DA2114"/>
      <c r="DB2114"/>
      <c r="DC2114"/>
      <c r="DD2114"/>
      <c r="DE2114"/>
      <c r="DF2114"/>
      <c r="DG2114"/>
      <c r="DH2114"/>
      <c r="DI2114"/>
      <c r="DJ2114"/>
      <c r="DK2114"/>
      <c r="DL2114"/>
      <c r="DM2114"/>
      <c r="DN2114"/>
      <c r="DO2114"/>
      <c r="DP2114"/>
      <c r="DQ2114"/>
      <c r="DR2114"/>
      <c r="DS2114"/>
      <c r="DT2114"/>
      <c r="DU2114"/>
      <c r="DV2114"/>
      <c r="DW2114"/>
      <c r="DX2114"/>
      <c r="DY2114"/>
      <c r="DZ2114"/>
      <c r="EA2114"/>
      <c r="EB2114"/>
      <c r="EC2114"/>
      <c r="ED2114"/>
      <c r="EE2114"/>
      <c r="EF2114"/>
      <c r="EG2114"/>
      <c r="EH2114"/>
      <c r="EI2114"/>
      <c r="EJ2114"/>
      <c r="EK2114"/>
      <c r="EL2114"/>
      <c r="EM2114"/>
      <c r="EN2114"/>
      <c r="EO2114"/>
      <c r="EP2114"/>
      <c r="EQ2114"/>
      <c r="ER2114"/>
      <c r="ES2114"/>
    </row>
    <row r="2115" spans="1:149">
      <c r="A2115"/>
      <c r="B2115"/>
      <c r="C2115"/>
      <c r="D2115"/>
      <c r="E2115"/>
      <c r="F2115"/>
      <c r="G2115"/>
      <c r="H2115"/>
      <c r="I2115"/>
      <c r="J2115"/>
      <c r="K2115"/>
      <c r="L2115"/>
      <c r="M2115"/>
      <c r="N2115"/>
      <c r="O2115"/>
      <c r="P2115"/>
      <c r="Q2115"/>
      <c r="R2115"/>
      <c r="S2115"/>
      <c r="T2115"/>
      <c r="U2115"/>
      <c r="V2115"/>
      <c r="W2115"/>
      <c r="X2115"/>
      <c r="Y2115"/>
      <c r="Z2115"/>
      <c r="AA2115"/>
      <c r="AB2115"/>
      <c r="AC2115"/>
      <c r="AD2115"/>
      <c r="AE2115"/>
      <c r="AF2115"/>
      <c r="AG2115"/>
      <c r="AH2115"/>
      <c r="AI2115"/>
      <c r="AJ2115"/>
      <c r="AK2115"/>
      <c r="AL2115"/>
      <c r="AM2115"/>
      <c r="AN2115"/>
      <c r="AO2115"/>
      <c r="AP2115"/>
      <c r="AQ2115"/>
      <c r="AR2115"/>
      <c r="AS2115"/>
      <c r="AT2115"/>
      <c r="AU2115"/>
      <c r="AV2115"/>
      <c r="AW2115"/>
      <c r="AX2115"/>
      <c r="AY2115"/>
      <c r="AZ2115"/>
      <c r="BA2115"/>
      <c r="BB2115"/>
      <c r="BC2115"/>
      <c r="BD2115"/>
      <c r="BE2115"/>
      <c r="BF2115"/>
      <c r="BG2115"/>
      <c r="BH2115"/>
      <c r="BI2115"/>
      <c r="BJ2115"/>
      <c r="BK2115"/>
      <c r="BL2115"/>
      <c r="BM2115"/>
      <c r="BN2115"/>
      <c r="BO2115"/>
      <c r="BP2115"/>
      <c r="BQ2115"/>
      <c r="BR2115"/>
      <c r="BS2115"/>
      <c r="BT2115"/>
      <c r="BU2115"/>
      <c r="BV2115"/>
      <c r="BW2115"/>
      <c r="BX2115"/>
      <c r="BY2115"/>
      <c r="BZ2115"/>
      <c r="CA2115"/>
      <c r="CB2115"/>
      <c r="CC2115"/>
      <c r="CD2115"/>
      <c r="CE2115"/>
      <c r="CF2115"/>
      <c r="CG2115"/>
      <c r="CH2115"/>
      <c r="CI2115"/>
      <c r="CJ2115"/>
      <c r="CK2115"/>
      <c r="CL2115"/>
      <c r="CM2115"/>
      <c r="CN2115"/>
      <c r="CO2115"/>
      <c r="CP2115"/>
      <c r="CQ2115"/>
      <c r="CR2115"/>
      <c r="CS2115"/>
      <c r="CT2115"/>
      <c r="CU2115"/>
      <c r="CV2115"/>
      <c r="CW2115"/>
      <c r="CX2115"/>
      <c r="CY2115"/>
      <c r="CZ2115"/>
      <c r="DA2115"/>
      <c r="DB2115"/>
      <c r="DC2115"/>
      <c r="DD2115"/>
      <c r="DE2115"/>
      <c r="DF2115"/>
      <c r="DG2115"/>
      <c r="DH2115"/>
      <c r="DI2115"/>
      <c r="DJ2115"/>
      <c r="DK2115"/>
      <c r="DL2115"/>
      <c r="DM2115"/>
      <c r="DN2115"/>
      <c r="DO2115"/>
      <c r="DP2115"/>
      <c r="DQ2115"/>
      <c r="DR2115"/>
      <c r="DS2115"/>
      <c r="DT2115"/>
      <c r="DU2115"/>
      <c r="DV2115"/>
      <c r="DW2115"/>
      <c r="DX2115"/>
      <c r="DY2115"/>
      <c r="DZ2115"/>
      <c r="EA2115"/>
      <c r="EB2115"/>
      <c r="EC2115"/>
      <c r="ED2115"/>
      <c r="EE2115"/>
      <c r="EF2115"/>
      <c r="EG2115"/>
      <c r="EH2115"/>
      <c r="EI2115"/>
      <c r="EJ2115"/>
      <c r="EK2115"/>
      <c r="EL2115"/>
      <c r="EM2115"/>
      <c r="EN2115"/>
      <c r="EO2115"/>
      <c r="EP2115"/>
      <c r="EQ2115"/>
      <c r="ER2115"/>
      <c r="ES2115"/>
    </row>
    <row r="2116" spans="1:149">
      <c r="A2116"/>
      <c r="B2116"/>
      <c r="C2116"/>
      <c r="D2116"/>
      <c r="E2116"/>
      <c r="F2116"/>
      <c r="G2116"/>
      <c r="H2116"/>
      <c r="I2116"/>
      <c r="J2116"/>
      <c r="K2116"/>
      <c r="L2116"/>
      <c r="M2116"/>
      <c r="N2116"/>
      <c r="O2116"/>
      <c r="P2116"/>
      <c r="Q2116"/>
      <c r="R2116"/>
      <c r="S2116"/>
      <c r="T2116"/>
      <c r="U2116"/>
      <c r="V2116"/>
      <c r="W2116"/>
      <c r="X2116"/>
      <c r="Y2116"/>
      <c r="Z2116"/>
      <c r="AA2116"/>
      <c r="AB2116"/>
      <c r="AC2116"/>
      <c r="AD2116"/>
      <c r="AE2116"/>
      <c r="AF2116"/>
      <c r="AG2116"/>
      <c r="AH2116"/>
      <c r="AI2116"/>
      <c r="AJ2116"/>
      <c r="AK2116"/>
      <c r="AL2116"/>
      <c r="AM2116"/>
      <c r="AN2116"/>
      <c r="AO2116"/>
      <c r="AP2116"/>
      <c r="AQ2116"/>
      <c r="AR2116"/>
      <c r="AS2116"/>
      <c r="AT2116"/>
      <c r="AU2116"/>
      <c r="AV2116"/>
      <c r="AW2116"/>
      <c r="AX2116"/>
      <c r="AY2116"/>
      <c r="AZ2116"/>
      <c r="BA2116"/>
      <c r="BB2116"/>
      <c r="BC2116"/>
      <c r="BD2116"/>
      <c r="BE2116"/>
      <c r="BF2116"/>
      <c r="BG2116"/>
      <c r="BH2116"/>
      <c r="BI2116"/>
      <c r="BJ2116"/>
      <c r="BK2116"/>
      <c r="BL2116"/>
      <c r="BM2116"/>
      <c r="BN2116"/>
      <c r="BO2116"/>
      <c r="BP2116"/>
      <c r="BQ2116"/>
      <c r="BR2116"/>
      <c r="BS2116"/>
      <c r="BT2116"/>
      <c r="BU2116"/>
      <c r="BV2116"/>
      <c r="BW2116"/>
      <c r="BX2116"/>
      <c r="BY2116"/>
      <c r="BZ2116"/>
      <c r="CA2116"/>
      <c r="CB2116"/>
      <c r="CC2116"/>
      <c r="CD2116"/>
      <c r="CE2116"/>
      <c r="CF2116"/>
      <c r="CG2116"/>
      <c r="CH2116"/>
      <c r="CI2116"/>
      <c r="CJ2116"/>
      <c r="CK2116"/>
      <c r="CL2116"/>
      <c r="CM2116"/>
      <c r="CN2116"/>
      <c r="CO2116"/>
      <c r="CP2116"/>
      <c r="CQ2116"/>
      <c r="CR2116"/>
      <c r="CS2116"/>
      <c r="CT2116"/>
      <c r="CU2116"/>
      <c r="CV2116"/>
      <c r="CW2116"/>
      <c r="CX2116"/>
      <c r="CY2116"/>
      <c r="CZ2116"/>
      <c r="DA2116"/>
      <c r="DB2116"/>
      <c r="DC2116"/>
      <c r="DD2116"/>
      <c r="DE2116"/>
      <c r="DF2116"/>
      <c r="DG2116"/>
      <c r="DH2116"/>
      <c r="DI2116"/>
      <c r="DJ2116"/>
      <c r="DK2116"/>
      <c r="DL2116"/>
      <c r="DM2116"/>
      <c r="DN2116"/>
      <c r="DO2116"/>
      <c r="DP2116"/>
      <c r="DQ2116"/>
      <c r="DR2116"/>
      <c r="DS2116"/>
      <c r="DT2116"/>
      <c r="DU2116"/>
      <c r="DV2116"/>
      <c r="DW2116"/>
      <c r="DX2116"/>
      <c r="DY2116"/>
      <c r="DZ2116"/>
      <c r="EA2116"/>
      <c r="EB2116"/>
      <c r="EC2116"/>
      <c r="ED2116"/>
      <c r="EE2116"/>
      <c r="EF2116"/>
      <c r="EG2116"/>
      <c r="EH2116"/>
      <c r="EI2116"/>
      <c r="EJ2116"/>
      <c r="EK2116"/>
      <c r="EL2116"/>
      <c r="EM2116"/>
      <c r="EN2116"/>
      <c r="EO2116"/>
      <c r="EP2116"/>
      <c r="EQ2116"/>
      <c r="ER2116"/>
      <c r="ES2116"/>
    </row>
    <row r="2117" spans="1:149">
      <c r="A2117"/>
      <c r="B2117"/>
      <c r="C2117"/>
      <c r="D2117"/>
      <c r="E2117"/>
      <c r="F2117"/>
      <c r="G2117"/>
      <c r="H2117"/>
      <c r="I2117"/>
      <c r="J2117"/>
      <c r="K2117"/>
      <c r="L2117"/>
      <c r="M2117"/>
      <c r="N2117"/>
      <c r="O2117"/>
      <c r="P2117"/>
      <c r="Q2117"/>
      <c r="R2117"/>
      <c r="S2117"/>
      <c r="T2117"/>
      <c r="U2117"/>
      <c r="V2117"/>
      <c r="W2117"/>
      <c r="X2117"/>
      <c r="Y2117"/>
      <c r="Z2117"/>
      <c r="AA2117"/>
      <c r="AB2117"/>
      <c r="AC2117"/>
      <c r="AD2117"/>
      <c r="AE2117"/>
      <c r="AF2117"/>
      <c r="AG2117"/>
      <c r="AH2117"/>
      <c r="AI2117"/>
      <c r="AJ2117"/>
      <c r="AK2117"/>
      <c r="AL2117"/>
      <c r="AM2117"/>
      <c r="AN2117"/>
      <c r="AO2117"/>
      <c r="AP2117"/>
      <c r="AQ2117"/>
      <c r="AR2117"/>
      <c r="AS2117"/>
      <c r="AT2117"/>
      <c r="AU2117"/>
      <c r="AV2117"/>
      <c r="AW2117"/>
      <c r="AX2117"/>
      <c r="AY2117"/>
      <c r="AZ2117"/>
      <c r="BA2117"/>
      <c r="BB2117"/>
      <c r="BC2117"/>
      <c r="BD2117"/>
      <c r="BE2117"/>
      <c r="BF2117"/>
      <c r="BG2117"/>
      <c r="BH2117"/>
      <c r="BI2117"/>
      <c r="BJ2117"/>
      <c r="BK2117"/>
      <c r="BL2117"/>
      <c r="BM2117"/>
      <c r="BN2117"/>
      <c r="BO2117"/>
      <c r="BP2117"/>
      <c r="BQ2117"/>
      <c r="BR2117"/>
      <c r="BS2117"/>
      <c r="BT2117"/>
      <c r="BU2117"/>
      <c r="BV2117"/>
      <c r="BW2117"/>
      <c r="BX2117"/>
      <c r="BY2117"/>
      <c r="BZ2117"/>
      <c r="CA2117"/>
      <c r="CB2117"/>
      <c r="CC2117"/>
      <c r="CD2117"/>
      <c r="CE2117"/>
      <c r="CF2117"/>
      <c r="CG2117"/>
      <c r="CH2117"/>
      <c r="CI2117"/>
      <c r="CJ2117"/>
      <c r="CK2117"/>
      <c r="CL2117"/>
      <c r="CM2117"/>
      <c r="CN2117"/>
      <c r="CO2117"/>
      <c r="CP2117"/>
      <c r="CQ2117"/>
      <c r="CR2117"/>
      <c r="CS2117"/>
      <c r="CT2117"/>
      <c r="CU2117"/>
      <c r="CV2117"/>
      <c r="CW2117"/>
      <c r="CX2117"/>
      <c r="CY2117"/>
      <c r="CZ2117"/>
      <c r="DA2117"/>
      <c r="DB2117"/>
      <c r="DC2117"/>
      <c r="DD2117"/>
      <c r="DE2117"/>
      <c r="DF2117"/>
      <c r="DG2117"/>
      <c r="DH2117"/>
      <c r="DI2117"/>
      <c r="DJ2117"/>
      <c r="DK2117"/>
      <c r="DL2117"/>
      <c r="DM2117"/>
      <c r="DN2117"/>
      <c r="DO2117"/>
      <c r="DP2117"/>
      <c r="DQ2117"/>
      <c r="DR2117"/>
      <c r="DS2117"/>
      <c r="DT2117"/>
      <c r="DU2117"/>
      <c r="DV2117"/>
      <c r="DW2117"/>
      <c r="DX2117"/>
      <c r="DY2117"/>
      <c r="DZ2117"/>
      <c r="EA2117"/>
      <c r="EB2117"/>
      <c r="EC2117"/>
      <c r="ED2117"/>
      <c r="EE2117"/>
      <c r="EF2117"/>
      <c r="EG2117"/>
      <c r="EH2117"/>
      <c r="EI2117"/>
      <c r="EJ2117"/>
      <c r="EK2117"/>
      <c r="EL2117"/>
      <c r="EM2117"/>
      <c r="EN2117"/>
      <c r="EO2117"/>
      <c r="EP2117"/>
      <c r="EQ2117"/>
      <c r="ER2117"/>
      <c r="ES2117"/>
    </row>
    <row r="2118" spans="1:149">
      <c r="A2118"/>
      <c r="B2118"/>
      <c r="C2118"/>
      <c r="D2118"/>
      <c r="E2118"/>
      <c r="F2118"/>
      <c r="G2118"/>
      <c r="H2118"/>
      <c r="I2118"/>
      <c r="J2118"/>
      <c r="K2118"/>
      <c r="L2118"/>
      <c r="M2118"/>
      <c r="N2118"/>
      <c r="O2118"/>
      <c r="P2118"/>
      <c r="Q2118"/>
      <c r="R2118"/>
      <c r="S2118"/>
      <c r="T2118"/>
      <c r="U2118"/>
      <c r="V2118"/>
      <c r="W2118"/>
      <c r="X2118"/>
      <c r="Y2118"/>
      <c r="Z2118"/>
      <c r="AA2118"/>
      <c r="AB2118"/>
      <c r="AC2118"/>
      <c r="AD2118"/>
      <c r="AE2118"/>
      <c r="AF2118"/>
      <c r="AG2118"/>
      <c r="AH2118"/>
      <c r="AI2118"/>
      <c r="AJ2118"/>
      <c r="AK2118"/>
      <c r="AL2118"/>
      <c r="AM2118"/>
      <c r="AN2118"/>
      <c r="AO2118"/>
      <c r="AP2118"/>
      <c r="AQ2118"/>
      <c r="AR2118"/>
      <c r="AS2118"/>
      <c r="AT2118"/>
      <c r="AU2118"/>
      <c r="AV2118"/>
      <c r="AW2118"/>
      <c r="AX2118"/>
      <c r="AY2118"/>
      <c r="AZ2118"/>
      <c r="BA2118"/>
      <c r="BB2118"/>
      <c r="BC2118"/>
      <c r="BD2118"/>
      <c r="BE2118"/>
      <c r="BF2118"/>
      <c r="BG2118"/>
      <c r="BH2118"/>
      <c r="BI2118"/>
      <c r="BJ2118"/>
      <c r="BK2118"/>
      <c r="BL2118"/>
      <c r="BM2118"/>
      <c r="BN2118"/>
      <c r="BO2118"/>
      <c r="BP2118"/>
      <c r="BQ2118"/>
      <c r="BR2118"/>
      <c r="BS2118"/>
      <c r="BT2118"/>
      <c r="BU2118"/>
      <c r="BV2118"/>
      <c r="BW2118"/>
      <c r="BX2118"/>
      <c r="BY2118"/>
      <c r="BZ2118"/>
      <c r="CA2118"/>
      <c r="CB2118"/>
      <c r="CC2118"/>
      <c r="CD2118"/>
      <c r="CE2118"/>
      <c r="CF2118"/>
      <c r="CG2118"/>
      <c r="CH2118"/>
      <c r="CI2118"/>
      <c r="CJ2118"/>
      <c r="CK2118"/>
      <c r="CL2118"/>
      <c r="CM2118"/>
      <c r="CN2118"/>
      <c r="CO2118"/>
      <c r="CP2118"/>
      <c r="CQ2118"/>
      <c r="CR2118"/>
      <c r="CS2118"/>
      <c r="CT2118"/>
      <c r="CU2118"/>
      <c r="CV2118"/>
      <c r="CW2118"/>
      <c r="CX2118"/>
      <c r="CY2118"/>
      <c r="CZ2118"/>
      <c r="DA2118"/>
      <c r="DB2118"/>
      <c r="DC2118"/>
      <c r="DD2118"/>
      <c r="DE2118"/>
      <c r="DF2118"/>
      <c r="DG2118"/>
      <c r="DH2118"/>
      <c r="DI2118"/>
      <c r="DJ2118"/>
      <c r="DK2118"/>
      <c r="DL2118"/>
      <c r="DM2118"/>
      <c r="DN2118"/>
      <c r="DO2118"/>
      <c r="DP2118"/>
      <c r="DQ2118"/>
      <c r="DR2118"/>
      <c r="DS2118"/>
      <c r="DT2118"/>
      <c r="DU2118"/>
      <c r="DV2118"/>
      <c r="DW2118"/>
      <c r="DX2118"/>
      <c r="DY2118"/>
      <c r="DZ2118"/>
      <c r="EA2118"/>
      <c r="EB2118"/>
      <c r="EC2118"/>
      <c r="ED2118"/>
      <c r="EE2118"/>
      <c r="EF2118"/>
      <c r="EG2118"/>
      <c r="EH2118"/>
      <c r="EI2118"/>
      <c r="EJ2118"/>
      <c r="EK2118"/>
      <c r="EL2118"/>
      <c r="EM2118"/>
      <c r="EN2118"/>
      <c r="EO2118"/>
      <c r="EP2118"/>
      <c r="EQ2118"/>
      <c r="ER2118"/>
      <c r="ES2118"/>
    </row>
    <row r="2119" spans="1:149">
      <c r="A2119"/>
      <c r="B2119"/>
      <c r="C2119"/>
      <c r="D2119"/>
      <c r="E2119"/>
      <c r="F2119"/>
      <c r="G2119"/>
      <c r="H2119"/>
      <c r="I2119"/>
      <c r="J2119"/>
      <c r="K2119"/>
      <c r="L2119"/>
      <c r="M2119"/>
      <c r="N2119"/>
      <c r="O2119"/>
      <c r="P2119"/>
      <c r="Q2119"/>
      <c r="R2119"/>
      <c r="S2119"/>
      <c r="T2119"/>
      <c r="U2119"/>
      <c r="V2119"/>
      <c r="W2119"/>
      <c r="X2119"/>
      <c r="Y2119"/>
      <c r="Z2119"/>
      <c r="AA2119"/>
      <c r="AB2119"/>
      <c r="AC2119"/>
      <c r="AD2119"/>
      <c r="AE2119"/>
      <c r="AF2119"/>
      <c r="AG2119"/>
      <c r="AH2119"/>
      <c r="AI2119"/>
      <c r="AJ2119"/>
      <c r="AK2119"/>
      <c r="AL2119"/>
      <c r="AM2119"/>
      <c r="AN2119"/>
      <c r="AO2119"/>
      <c r="AP2119"/>
      <c r="AQ2119"/>
      <c r="AR2119"/>
      <c r="AS2119"/>
      <c r="AT2119"/>
      <c r="AU2119"/>
      <c r="AV2119"/>
      <c r="AW2119"/>
      <c r="AX2119"/>
      <c r="AY2119"/>
      <c r="AZ2119"/>
      <c r="BA2119"/>
      <c r="BB2119"/>
      <c r="BC2119"/>
      <c r="BD2119"/>
      <c r="BE2119"/>
      <c r="BF2119"/>
      <c r="BG2119"/>
      <c r="BH2119"/>
      <c r="BI2119"/>
      <c r="BJ2119"/>
      <c r="BK2119"/>
      <c r="BL2119"/>
      <c r="BM2119"/>
      <c r="BN2119"/>
      <c r="BO2119"/>
      <c r="BP2119"/>
      <c r="BQ2119"/>
      <c r="BR2119"/>
      <c r="BS2119"/>
      <c r="BT2119"/>
      <c r="BU2119"/>
      <c r="BV2119"/>
      <c r="BW2119"/>
      <c r="BX2119"/>
      <c r="BY2119"/>
      <c r="BZ2119"/>
      <c r="CA2119"/>
      <c r="CB2119"/>
      <c r="CC2119"/>
      <c r="CD2119"/>
      <c r="CE2119"/>
      <c r="CF2119"/>
      <c r="CG2119"/>
      <c r="CH2119"/>
      <c r="CI2119"/>
      <c r="CJ2119"/>
      <c r="CK2119"/>
      <c r="CL2119"/>
      <c r="CM2119"/>
      <c r="CN2119"/>
      <c r="CO2119"/>
      <c r="CP2119"/>
      <c r="CQ2119"/>
      <c r="CR2119"/>
      <c r="CS2119"/>
      <c r="CT2119"/>
      <c r="CU2119"/>
      <c r="CV2119"/>
      <c r="CW2119"/>
      <c r="CX2119"/>
      <c r="CY2119"/>
      <c r="CZ2119"/>
      <c r="DA2119"/>
      <c r="DB2119"/>
      <c r="DC2119"/>
      <c r="DD2119"/>
      <c r="DE2119"/>
      <c r="DF2119"/>
      <c r="DG2119"/>
      <c r="DH2119"/>
      <c r="DI2119"/>
      <c r="DJ2119"/>
      <c r="DK2119"/>
      <c r="DL2119"/>
      <c r="DM2119"/>
      <c r="DN2119"/>
      <c r="DO2119"/>
      <c r="DP2119"/>
      <c r="DQ2119"/>
      <c r="DR2119"/>
      <c r="DS2119"/>
      <c r="DT2119"/>
      <c r="DU2119"/>
      <c r="DV2119"/>
      <c r="DW2119"/>
      <c r="DX2119"/>
      <c r="DY2119"/>
      <c r="DZ2119"/>
      <c r="EA2119"/>
      <c r="EB2119"/>
      <c r="EC2119"/>
      <c r="ED2119"/>
      <c r="EE2119"/>
      <c r="EF2119"/>
      <c r="EG2119"/>
      <c r="EH2119"/>
      <c r="EI2119"/>
      <c r="EJ2119"/>
      <c r="EK2119"/>
      <c r="EL2119"/>
      <c r="EM2119"/>
      <c r="EN2119"/>
      <c r="EO2119"/>
      <c r="EP2119"/>
      <c r="EQ2119"/>
      <c r="ER2119"/>
      <c r="ES2119"/>
    </row>
    <row r="2120" spans="1:149">
      <c r="A2120"/>
      <c r="B2120"/>
      <c r="C2120"/>
      <c r="D2120"/>
      <c r="E2120"/>
      <c r="F2120"/>
      <c r="G2120"/>
      <c r="H2120"/>
      <c r="I2120"/>
      <c r="J2120"/>
      <c r="K2120"/>
      <c r="L2120"/>
      <c r="M2120"/>
      <c r="N2120"/>
      <c r="O2120"/>
      <c r="P2120"/>
      <c r="Q2120"/>
      <c r="R2120"/>
      <c r="S2120"/>
      <c r="T2120"/>
      <c r="U2120"/>
      <c r="V2120"/>
      <c r="W2120"/>
      <c r="X2120"/>
      <c r="Y2120"/>
      <c r="Z2120"/>
      <c r="AA2120"/>
      <c r="AB2120"/>
      <c r="AC2120"/>
      <c r="AD2120"/>
      <c r="AE2120"/>
      <c r="AF2120"/>
      <c r="AG2120"/>
      <c r="AH2120"/>
      <c r="AI2120"/>
      <c r="AJ2120"/>
      <c r="AK2120"/>
      <c r="AL2120"/>
      <c r="AM2120"/>
      <c r="AN2120"/>
      <c r="AO2120"/>
      <c r="AP2120"/>
      <c r="AQ2120"/>
      <c r="AR2120"/>
      <c r="AS2120"/>
      <c r="AT2120"/>
      <c r="AU2120"/>
      <c r="AV2120"/>
      <c r="AW2120"/>
      <c r="AX2120"/>
      <c r="AY2120"/>
      <c r="AZ2120"/>
      <c r="BA2120"/>
      <c r="BB2120"/>
      <c r="BC2120"/>
      <c r="BD2120"/>
      <c r="BE2120"/>
      <c r="BF2120"/>
      <c r="BG2120"/>
      <c r="BH2120"/>
      <c r="BI2120"/>
      <c r="BJ2120"/>
      <c r="BK2120"/>
      <c r="BL2120"/>
      <c r="BM2120"/>
      <c r="BN2120"/>
      <c r="BO2120"/>
      <c r="BP2120"/>
      <c r="BQ2120"/>
      <c r="BR2120"/>
      <c r="BS2120"/>
      <c r="BT2120"/>
      <c r="BU2120"/>
      <c r="BV2120"/>
      <c r="BW2120"/>
      <c r="BX2120"/>
      <c r="BY2120"/>
      <c r="BZ2120"/>
      <c r="CA2120"/>
      <c r="CB2120"/>
      <c r="CC2120"/>
      <c r="CD2120"/>
      <c r="CE2120"/>
      <c r="CF2120"/>
      <c r="CG2120"/>
      <c r="CH2120"/>
      <c r="CI2120"/>
      <c r="CJ2120"/>
      <c r="CK2120"/>
      <c r="CL2120"/>
      <c r="CM2120"/>
      <c r="CN2120"/>
      <c r="CO2120"/>
      <c r="CP2120"/>
      <c r="CQ2120"/>
      <c r="CR2120"/>
      <c r="CS2120"/>
      <c r="CT2120"/>
      <c r="CU2120"/>
      <c r="CV2120"/>
      <c r="CW2120"/>
      <c r="CX2120"/>
      <c r="CY2120"/>
      <c r="CZ2120"/>
      <c r="DA2120"/>
      <c r="DB2120"/>
      <c r="DC2120"/>
      <c r="DD2120"/>
      <c r="DE2120"/>
      <c r="DF2120"/>
      <c r="DG2120"/>
      <c r="DH2120"/>
      <c r="DI2120"/>
      <c r="DJ2120"/>
      <c r="DK2120"/>
      <c r="DL2120"/>
      <c r="DM2120"/>
      <c r="DN2120"/>
      <c r="DO2120"/>
      <c r="DP2120"/>
      <c r="DQ2120"/>
      <c r="DR2120"/>
      <c r="DS2120"/>
      <c r="DT2120"/>
      <c r="DU2120"/>
      <c r="DV2120"/>
      <c r="DW2120"/>
      <c r="DX2120"/>
      <c r="DY2120"/>
      <c r="DZ2120"/>
      <c r="EA2120"/>
      <c r="EB2120"/>
      <c r="EC2120"/>
      <c r="ED2120"/>
      <c r="EE2120"/>
      <c r="EF2120"/>
      <c r="EG2120"/>
      <c r="EH2120"/>
      <c r="EI2120"/>
      <c r="EJ2120"/>
      <c r="EK2120"/>
      <c r="EL2120"/>
      <c r="EM2120"/>
      <c r="EN2120"/>
      <c r="EO2120"/>
      <c r="EP2120"/>
      <c r="EQ2120"/>
      <c r="ER2120"/>
      <c r="ES2120"/>
    </row>
    <row r="2121" spans="1:149">
      <c r="A2121"/>
      <c r="B2121"/>
      <c r="C2121"/>
      <c r="D2121"/>
      <c r="E2121"/>
      <c r="F2121"/>
      <c r="G2121"/>
      <c r="H2121"/>
      <c r="I2121"/>
      <c r="J2121"/>
      <c r="K2121"/>
      <c r="L2121"/>
      <c r="M2121"/>
      <c r="N2121"/>
      <c r="O2121"/>
      <c r="P2121"/>
      <c r="Q2121"/>
      <c r="R2121"/>
      <c r="S2121"/>
      <c r="T2121"/>
      <c r="U2121"/>
      <c r="V2121"/>
      <c r="W2121"/>
      <c r="X2121"/>
      <c r="Y2121"/>
      <c r="Z2121"/>
      <c r="AA2121"/>
      <c r="AB2121"/>
      <c r="AC2121"/>
      <c r="AD2121"/>
      <c r="AE2121"/>
      <c r="AF2121"/>
      <c r="AG2121"/>
      <c r="AH2121"/>
      <c r="AI2121"/>
      <c r="AJ2121"/>
      <c r="AK2121"/>
      <c r="AL2121"/>
      <c r="AM2121"/>
      <c r="AN2121"/>
      <c r="AO2121"/>
      <c r="AP2121"/>
      <c r="AQ2121"/>
      <c r="AR2121"/>
      <c r="AS2121"/>
      <c r="AT2121"/>
      <c r="AU2121"/>
      <c r="AV2121"/>
      <c r="AW2121"/>
      <c r="AX2121"/>
      <c r="AY2121"/>
      <c r="AZ2121"/>
      <c r="BA2121"/>
      <c r="BB2121"/>
      <c r="BC2121"/>
      <c r="BD2121"/>
      <c r="BE2121"/>
      <c r="BF2121"/>
      <c r="BG2121"/>
      <c r="BH2121"/>
      <c r="BI2121"/>
      <c r="BJ2121"/>
      <c r="BK2121"/>
      <c r="BL2121"/>
      <c r="BM2121"/>
      <c r="BN2121"/>
      <c r="BO2121"/>
      <c r="BP2121"/>
      <c r="BQ2121"/>
      <c r="BR2121"/>
      <c r="BS2121"/>
      <c r="BT2121"/>
      <c r="BU2121"/>
      <c r="BV2121"/>
      <c r="BW2121"/>
      <c r="BX2121"/>
      <c r="BY2121"/>
      <c r="BZ2121"/>
      <c r="CA2121"/>
      <c r="CB2121"/>
      <c r="CC2121"/>
      <c r="CD2121"/>
      <c r="CE2121"/>
      <c r="CF2121"/>
      <c r="CG2121"/>
      <c r="CH2121"/>
      <c r="CI2121"/>
      <c r="CJ2121"/>
      <c r="CK2121"/>
      <c r="CL2121"/>
      <c r="CM2121"/>
      <c r="CN2121"/>
      <c r="CO2121"/>
      <c r="CP2121"/>
      <c r="CQ2121"/>
      <c r="CR2121"/>
      <c r="CS2121"/>
      <c r="CT2121"/>
      <c r="CU2121"/>
      <c r="CV2121"/>
      <c r="CW2121"/>
      <c r="CX2121"/>
      <c r="CY2121"/>
      <c r="CZ2121"/>
      <c r="DA2121"/>
      <c r="DB2121"/>
      <c r="DC2121"/>
      <c r="DD2121"/>
      <c r="DE2121"/>
      <c r="DF2121"/>
      <c r="DG2121"/>
      <c r="DH2121"/>
      <c r="DI2121"/>
      <c r="DJ2121"/>
      <c r="DK2121"/>
      <c r="DL2121"/>
      <c r="DM2121"/>
      <c r="DN2121"/>
      <c r="DO2121"/>
      <c r="DP2121"/>
      <c r="DQ2121"/>
      <c r="DR2121"/>
      <c r="DS2121"/>
      <c r="DT2121"/>
      <c r="DU2121"/>
      <c r="DV2121"/>
      <c r="DW2121"/>
      <c r="DX2121"/>
      <c r="DY2121"/>
      <c r="DZ2121"/>
      <c r="EA2121"/>
      <c r="EB2121"/>
      <c r="EC2121"/>
      <c r="ED2121"/>
      <c r="EE2121"/>
      <c r="EF2121"/>
      <c r="EG2121"/>
      <c r="EH2121"/>
      <c r="EI2121"/>
      <c r="EJ2121"/>
      <c r="EK2121"/>
      <c r="EL2121"/>
      <c r="EM2121"/>
      <c r="EN2121"/>
      <c r="EO2121"/>
      <c r="EP2121"/>
      <c r="EQ2121"/>
      <c r="ER2121"/>
      <c r="ES2121"/>
    </row>
    <row r="2122" spans="1:149">
      <c r="A2122"/>
      <c r="B2122"/>
      <c r="C2122"/>
      <c r="D2122"/>
      <c r="E2122"/>
      <c r="F2122"/>
      <c r="G2122"/>
      <c r="H2122"/>
      <c r="I2122"/>
      <c r="J2122"/>
      <c r="K2122"/>
      <c r="L2122"/>
      <c r="M2122"/>
      <c r="N2122"/>
      <c r="O2122"/>
      <c r="P2122"/>
      <c r="Q2122"/>
      <c r="R2122"/>
      <c r="S2122"/>
      <c r="T2122"/>
      <c r="U2122"/>
      <c r="V2122"/>
      <c r="W2122"/>
      <c r="X2122"/>
      <c r="Y2122"/>
      <c r="Z2122"/>
      <c r="AA2122"/>
      <c r="AB2122"/>
      <c r="AC2122"/>
      <c r="AD2122"/>
      <c r="AE2122"/>
      <c r="AF2122"/>
      <c r="AG2122"/>
      <c r="AH2122"/>
      <c r="AI2122"/>
      <c r="AJ2122"/>
      <c r="AK2122"/>
      <c r="AL2122"/>
      <c r="AM2122"/>
      <c r="AN2122"/>
      <c r="AO2122"/>
      <c r="AP2122"/>
      <c r="AQ2122"/>
      <c r="AR2122"/>
      <c r="AS2122"/>
      <c r="AT2122"/>
      <c r="AU2122"/>
      <c r="AV2122"/>
      <c r="AW2122"/>
      <c r="AX2122"/>
      <c r="AY2122"/>
      <c r="AZ2122"/>
      <c r="BA2122"/>
      <c r="BB2122"/>
      <c r="BC2122"/>
      <c r="BD2122"/>
      <c r="BE2122"/>
      <c r="BF2122"/>
      <c r="BG2122"/>
      <c r="BH2122"/>
      <c r="BI2122"/>
      <c r="BJ2122"/>
      <c r="BK2122"/>
      <c r="BL2122"/>
      <c r="BM2122"/>
      <c r="BN2122"/>
      <c r="BO2122"/>
      <c r="BP2122"/>
      <c r="BQ2122"/>
      <c r="BR2122"/>
      <c r="BS2122"/>
      <c r="BT2122"/>
      <c r="BU2122"/>
      <c r="BV2122"/>
      <c r="BW2122"/>
      <c r="BX2122"/>
      <c r="BY2122"/>
      <c r="BZ2122"/>
      <c r="CA2122"/>
      <c r="CB2122"/>
      <c r="CC2122"/>
      <c r="CD2122"/>
      <c r="CE2122"/>
      <c r="CF2122"/>
      <c r="CG2122"/>
      <c r="CH2122"/>
      <c r="CI2122"/>
      <c r="CJ2122"/>
      <c r="CK2122"/>
      <c r="CL2122"/>
      <c r="CM2122"/>
      <c r="CN2122"/>
      <c r="CO2122"/>
      <c r="CP2122"/>
      <c r="CQ2122"/>
      <c r="CR2122"/>
      <c r="CS2122"/>
      <c r="CT2122"/>
      <c r="CU2122"/>
      <c r="CV2122"/>
      <c r="CW2122"/>
      <c r="CX2122"/>
      <c r="CY2122"/>
      <c r="CZ2122"/>
      <c r="DA2122"/>
      <c r="DB2122"/>
      <c r="DC2122"/>
      <c r="DD2122"/>
      <c r="DE2122"/>
      <c r="DF2122"/>
      <c r="DG2122"/>
      <c r="DH2122"/>
      <c r="DI2122"/>
      <c r="DJ2122"/>
      <c r="DK2122"/>
      <c r="DL2122"/>
      <c r="DM2122"/>
      <c r="DN2122"/>
      <c r="DO2122"/>
      <c r="DP2122"/>
      <c r="DQ2122"/>
      <c r="DR2122"/>
      <c r="DS2122"/>
      <c r="DT2122"/>
      <c r="DU2122"/>
      <c r="DV2122"/>
      <c r="DW2122"/>
      <c r="DX2122"/>
      <c r="DY2122"/>
      <c r="DZ2122"/>
      <c r="EA2122"/>
      <c r="EB2122"/>
      <c r="EC2122"/>
      <c r="ED2122"/>
      <c r="EE2122"/>
      <c r="EF2122"/>
      <c r="EG2122"/>
      <c r="EH2122"/>
      <c r="EI2122"/>
      <c r="EJ2122"/>
      <c r="EK2122"/>
      <c r="EL2122"/>
      <c r="EM2122"/>
      <c r="EN2122"/>
      <c r="EO2122"/>
      <c r="EP2122"/>
      <c r="EQ2122"/>
      <c r="ER2122"/>
      <c r="ES2122"/>
    </row>
    <row r="2123" spans="1:149">
      <c r="A2123"/>
      <c r="B2123"/>
      <c r="C2123"/>
      <c r="D2123"/>
      <c r="E2123"/>
      <c r="F2123"/>
      <c r="G2123"/>
      <c r="H2123"/>
      <c r="I2123"/>
      <c r="J2123"/>
      <c r="K2123"/>
      <c r="L2123"/>
      <c r="M2123"/>
      <c r="N2123"/>
      <c r="O2123"/>
      <c r="P2123"/>
      <c r="Q2123"/>
      <c r="R2123"/>
      <c r="S2123"/>
      <c r="T2123"/>
      <c r="U2123"/>
      <c r="V2123"/>
      <c r="W2123"/>
      <c r="X2123"/>
      <c r="Y2123"/>
      <c r="Z2123"/>
      <c r="AA2123"/>
      <c r="AB2123"/>
      <c r="AC2123"/>
      <c r="AD2123"/>
      <c r="AE2123"/>
      <c r="AF2123"/>
      <c r="AG2123"/>
      <c r="AH2123"/>
      <c r="AI2123"/>
      <c r="AJ2123"/>
      <c r="AK2123"/>
      <c r="AL2123"/>
      <c r="AM2123"/>
      <c r="AN2123"/>
      <c r="AO2123"/>
      <c r="AP2123"/>
      <c r="AQ2123"/>
      <c r="AR2123"/>
      <c r="AS2123"/>
      <c r="AT2123"/>
      <c r="AU2123"/>
      <c r="AV2123"/>
      <c r="AW2123"/>
      <c r="AX2123"/>
      <c r="AY2123"/>
      <c r="AZ2123"/>
      <c r="BA2123"/>
      <c r="BB2123"/>
      <c r="BC2123"/>
      <c r="BD2123"/>
      <c r="BE2123"/>
      <c r="BF2123"/>
      <c r="BG2123"/>
      <c r="BH2123"/>
      <c r="BI2123"/>
      <c r="BJ2123"/>
      <c r="BK2123"/>
      <c r="BL2123"/>
      <c r="BM2123"/>
      <c r="BN2123"/>
      <c r="BO2123"/>
      <c r="BP2123"/>
      <c r="BQ2123"/>
      <c r="BR2123"/>
      <c r="BS2123"/>
      <c r="BT2123"/>
      <c r="BU2123"/>
      <c r="BV2123"/>
      <c r="BW2123"/>
      <c r="BX2123"/>
      <c r="BY2123"/>
      <c r="BZ2123"/>
      <c r="CA2123"/>
      <c r="CB2123"/>
      <c r="CC2123"/>
      <c r="CD2123"/>
      <c r="CE2123"/>
      <c r="CF2123"/>
      <c r="CG2123"/>
      <c r="CH2123"/>
      <c r="CI2123"/>
      <c r="CJ2123"/>
      <c r="CK2123"/>
      <c r="CL2123"/>
      <c r="CM2123"/>
      <c r="CN2123"/>
      <c r="CO2123"/>
      <c r="CP2123"/>
      <c r="CQ2123"/>
      <c r="CR2123"/>
      <c r="CS2123"/>
      <c r="CT2123"/>
      <c r="CU2123"/>
      <c r="CV2123"/>
      <c r="CW2123"/>
      <c r="CX2123"/>
      <c r="CY2123"/>
      <c r="CZ2123"/>
      <c r="DA2123"/>
      <c r="DB2123"/>
      <c r="DC2123"/>
      <c r="DD2123"/>
      <c r="DE2123"/>
      <c r="DF2123"/>
      <c r="DG2123"/>
      <c r="DH2123"/>
      <c r="DI2123"/>
      <c r="DJ2123"/>
      <c r="DK2123"/>
      <c r="DL2123"/>
      <c r="DM2123"/>
      <c r="DN2123"/>
      <c r="DO2123"/>
      <c r="DP2123"/>
      <c r="DQ2123"/>
      <c r="DR2123"/>
      <c r="DS2123"/>
      <c r="DT2123"/>
      <c r="DU2123"/>
      <c r="DV2123"/>
      <c r="DW2123"/>
      <c r="DX2123"/>
      <c r="DY2123"/>
      <c r="DZ2123"/>
      <c r="EA2123"/>
      <c r="EB2123"/>
      <c r="EC2123"/>
      <c r="ED2123"/>
      <c r="EE2123"/>
      <c r="EF2123"/>
      <c r="EG2123"/>
      <c r="EH2123"/>
      <c r="EI2123"/>
      <c r="EJ2123"/>
      <c r="EK2123"/>
      <c r="EL2123"/>
      <c r="EM2123"/>
      <c r="EN2123"/>
      <c r="EO2123"/>
      <c r="EP2123"/>
      <c r="EQ2123"/>
      <c r="ER2123"/>
      <c r="ES2123"/>
    </row>
    <row r="2124" spans="1:149">
      <c r="A2124"/>
      <c r="B2124"/>
      <c r="C2124"/>
      <c r="D2124"/>
      <c r="E2124"/>
      <c r="F2124"/>
      <c r="G2124"/>
      <c r="H2124"/>
      <c r="I2124"/>
      <c r="J2124"/>
      <c r="K2124"/>
      <c r="L2124"/>
      <c r="M2124"/>
      <c r="N2124"/>
      <c r="O2124"/>
      <c r="P2124"/>
      <c r="Q2124"/>
      <c r="R2124"/>
      <c r="S2124"/>
      <c r="T2124"/>
      <c r="U2124"/>
      <c r="V2124"/>
      <c r="W2124"/>
      <c r="X2124"/>
      <c r="Y2124"/>
      <c r="Z2124"/>
      <c r="AA2124"/>
      <c r="AB2124"/>
      <c r="AC2124"/>
      <c r="AD2124"/>
      <c r="AE2124"/>
      <c r="AF2124"/>
      <c r="AG2124"/>
      <c r="AH2124"/>
      <c r="AI2124"/>
      <c r="AJ2124"/>
      <c r="AK2124"/>
      <c r="AL2124"/>
      <c r="AM2124"/>
      <c r="AN2124"/>
      <c r="AO2124"/>
      <c r="AP2124"/>
      <c r="AQ2124"/>
      <c r="AR2124"/>
      <c r="AS2124"/>
      <c r="AT2124"/>
      <c r="AU2124"/>
      <c r="AV2124"/>
      <c r="AW2124"/>
      <c r="AX2124"/>
      <c r="AY2124"/>
      <c r="AZ2124"/>
      <c r="BA2124"/>
      <c r="BB2124"/>
      <c r="BC2124"/>
      <c r="BD2124"/>
      <c r="BE2124"/>
      <c r="BF2124"/>
      <c r="BG2124"/>
      <c r="BH2124"/>
      <c r="BI2124"/>
      <c r="BJ2124"/>
      <c r="BK2124"/>
      <c r="BL2124"/>
      <c r="BM2124"/>
      <c r="BN2124"/>
      <c r="BO2124"/>
      <c r="BP2124"/>
      <c r="BQ2124"/>
      <c r="BR2124"/>
      <c r="BS2124"/>
      <c r="BT2124"/>
      <c r="BU2124"/>
      <c r="BV2124"/>
      <c r="BW2124"/>
      <c r="BX2124"/>
      <c r="BY2124"/>
      <c r="BZ2124"/>
      <c r="CA2124"/>
      <c r="CB2124"/>
      <c r="CC2124"/>
      <c r="CD2124"/>
      <c r="CE2124"/>
      <c r="CF2124"/>
      <c r="CG2124"/>
      <c r="CH2124"/>
      <c r="CI2124"/>
      <c r="CJ2124"/>
      <c r="CK2124"/>
      <c r="CL2124"/>
      <c r="CM2124"/>
      <c r="CN2124"/>
      <c r="CO2124"/>
      <c r="CP2124"/>
      <c r="CQ2124"/>
      <c r="CR2124"/>
      <c r="CS2124"/>
      <c r="CT2124"/>
      <c r="CU2124"/>
      <c r="CV2124"/>
      <c r="CW2124"/>
      <c r="CX2124"/>
      <c r="CY2124"/>
      <c r="CZ2124"/>
      <c r="DA2124"/>
      <c r="DB2124"/>
      <c r="DC2124"/>
      <c r="DD2124"/>
      <c r="DE2124"/>
      <c r="DF2124"/>
      <c r="DG2124"/>
      <c r="DH2124"/>
      <c r="DI2124"/>
      <c r="DJ2124"/>
      <c r="DK2124"/>
      <c r="DL2124"/>
      <c r="DM2124"/>
      <c r="DN2124"/>
      <c r="DO2124"/>
      <c r="DP2124"/>
      <c r="DQ2124"/>
      <c r="DR2124"/>
      <c r="DS2124"/>
      <c r="DT2124"/>
      <c r="DU2124"/>
      <c r="DV2124"/>
      <c r="DW2124"/>
      <c r="DX2124"/>
      <c r="DY2124"/>
      <c r="DZ2124"/>
      <c r="EA2124"/>
      <c r="EB2124"/>
      <c r="EC2124"/>
      <c r="ED2124"/>
      <c r="EE2124"/>
      <c r="EF2124"/>
      <c r="EG2124"/>
      <c r="EH2124"/>
      <c r="EI2124"/>
      <c r="EJ2124"/>
      <c r="EK2124"/>
      <c r="EL2124"/>
      <c r="EM2124"/>
      <c r="EN2124"/>
      <c r="EO2124"/>
      <c r="EP2124"/>
      <c r="EQ2124"/>
      <c r="ER2124"/>
      <c r="ES2124"/>
    </row>
    <row r="2125" spans="1:149">
      <c r="A2125"/>
      <c r="B2125"/>
      <c r="C2125"/>
      <c r="D2125"/>
      <c r="E2125"/>
      <c r="F2125"/>
      <c r="G2125"/>
      <c r="H2125"/>
      <c r="I2125"/>
      <c r="J2125"/>
      <c r="K2125"/>
      <c r="L2125"/>
      <c r="M2125"/>
      <c r="N2125"/>
      <c r="O2125"/>
      <c r="P2125"/>
      <c r="Q2125"/>
      <c r="R2125"/>
      <c r="S2125"/>
      <c r="T2125"/>
      <c r="U2125"/>
      <c r="V2125"/>
      <c r="W2125"/>
      <c r="X2125"/>
      <c r="Y2125"/>
      <c r="Z2125"/>
      <c r="AA2125"/>
      <c r="AB2125"/>
      <c r="AC2125"/>
      <c r="AD2125"/>
      <c r="AE2125"/>
      <c r="AF2125"/>
      <c r="AG2125"/>
      <c r="AH2125"/>
      <c r="AI2125"/>
      <c r="AJ2125"/>
      <c r="AK2125"/>
      <c r="AL2125"/>
      <c r="AM2125"/>
      <c r="AN2125"/>
      <c r="AO2125"/>
      <c r="AP2125"/>
      <c r="AQ2125"/>
      <c r="AR2125"/>
      <c r="AS2125"/>
      <c r="AT2125"/>
      <c r="AU2125"/>
      <c r="AV2125"/>
      <c r="AW2125"/>
      <c r="AX2125"/>
      <c r="AY2125"/>
      <c r="AZ2125"/>
      <c r="BA2125"/>
      <c r="BB2125"/>
      <c r="BC2125"/>
      <c r="BD2125"/>
      <c r="BE2125"/>
      <c r="BF2125"/>
      <c r="BG2125"/>
      <c r="BH2125"/>
      <c r="BI2125"/>
      <c r="BJ2125"/>
      <c r="BK2125"/>
      <c r="BL2125"/>
      <c r="BM2125"/>
      <c r="BN2125"/>
      <c r="BO2125"/>
      <c r="BP2125"/>
      <c r="BQ2125"/>
      <c r="BR2125"/>
      <c r="BS2125"/>
      <c r="BT2125"/>
      <c r="BU2125"/>
      <c r="BV2125"/>
      <c r="BW2125"/>
      <c r="BX2125"/>
      <c r="BY2125"/>
      <c r="BZ2125"/>
      <c r="CA2125"/>
      <c r="CB2125"/>
      <c r="CC2125"/>
      <c r="CD2125"/>
      <c r="CE2125"/>
      <c r="CF2125"/>
      <c r="CG2125"/>
      <c r="CH2125"/>
      <c r="CI2125"/>
      <c r="CJ2125"/>
      <c r="CK2125"/>
      <c r="CL2125"/>
      <c r="CM2125"/>
      <c r="CN2125"/>
      <c r="CO2125"/>
      <c r="CP2125"/>
      <c r="CQ2125"/>
      <c r="CR2125"/>
      <c r="CS2125"/>
      <c r="CT2125"/>
      <c r="CU2125"/>
      <c r="CV2125"/>
      <c r="CW2125"/>
      <c r="CX2125"/>
      <c r="CY2125"/>
      <c r="CZ2125"/>
      <c r="DA2125"/>
      <c r="DB2125"/>
      <c r="DC2125"/>
      <c r="DD2125"/>
      <c r="DE2125"/>
      <c r="DF2125"/>
      <c r="DG2125"/>
      <c r="DH2125"/>
      <c r="DI2125"/>
      <c r="DJ2125"/>
      <c r="DK2125"/>
      <c r="DL2125"/>
      <c r="DM2125"/>
      <c r="DN2125"/>
      <c r="DO2125"/>
      <c r="DP2125"/>
      <c r="DQ2125"/>
      <c r="DR2125"/>
      <c r="DS2125"/>
      <c r="DT2125"/>
      <c r="DU2125"/>
      <c r="DV2125"/>
      <c r="DW2125"/>
      <c r="DX2125"/>
      <c r="DY2125"/>
      <c r="DZ2125"/>
      <c r="EA2125"/>
      <c r="EB2125"/>
      <c r="EC2125"/>
      <c r="ED2125"/>
      <c r="EE2125"/>
      <c r="EF2125"/>
      <c r="EG2125"/>
      <c r="EH2125"/>
      <c r="EI2125"/>
      <c r="EJ2125"/>
      <c r="EK2125"/>
      <c r="EL2125"/>
      <c r="EM2125"/>
      <c r="EN2125"/>
      <c r="EO2125"/>
      <c r="EP2125"/>
      <c r="EQ2125"/>
      <c r="ER2125"/>
      <c r="ES2125"/>
    </row>
    <row r="2126" spans="1:149">
      <c r="A2126"/>
      <c r="B2126"/>
      <c r="C2126"/>
      <c r="D2126"/>
      <c r="E2126"/>
      <c r="F2126"/>
      <c r="G2126"/>
      <c r="H2126"/>
      <c r="I2126"/>
      <c r="J2126"/>
      <c r="K2126"/>
      <c r="L2126"/>
      <c r="M2126"/>
      <c r="N2126"/>
      <c r="O2126"/>
      <c r="P2126"/>
      <c r="Q2126"/>
      <c r="R2126"/>
      <c r="S2126"/>
      <c r="T2126"/>
      <c r="U2126"/>
      <c r="V2126"/>
      <c r="W2126"/>
      <c r="X2126"/>
      <c r="Y2126"/>
      <c r="Z2126"/>
      <c r="AA2126"/>
      <c r="AB2126"/>
      <c r="AC2126"/>
      <c r="AD2126"/>
      <c r="AE2126"/>
      <c r="AF2126"/>
      <c r="AG2126"/>
      <c r="AH2126"/>
      <c r="AI2126"/>
      <c r="AJ2126"/>
      <c r="AK2126"/>
      <c r="AL2126"/>
      <c r="AM2126"/>
      <c r="AN2126"/>
      <c r="AO2126"/>
      <c r="AP2126"/>
      <c r="AQ2126"/>
      <c r="AR2126"/>
      <c r="AS2126"/>
      <c r="AT2126"/>
      <c r="AU2126"/>
      <c r="AV2126"/>
      <c r="AW2126"/>
      <c r="AX2126"/>
      <c r="AY2126"/>
      <c r="AZ2126"/>
      <c r="BA2126"/>
      <c r="BB2126"/>
      <c r="BC2126"/>
      <c r="BD2126"/>
      <c r="BE2126"/>
      <c r="BF2126"/>
      <c r="BG2126"/>
      <c r="BH2126"/>
      <c r="BI2126"/>
      <c r="BJ2126"/>
      <c r="BK2126"/>
      <c r="BL2126"/>
      <c r="BM2126"/>
      <c r="BN2126"/>
      <c r="BO2126"/>
      <c r="BP2126"/>
      <c r="BQ2126"/>
      <c r="BR2126"/>
      <c r="BS2126"/>
      <c r="BT2126"/>
      <c r="BU2126"/>
      <c r="BV2126"/>
      <c r="BW2126"/>
      <c r="BX2126"/>
      <c r="BY2126"/>
      <c r="BZ2126"/>
      <c r="CA2126"/>
      <c r="CB2126"/>
      <c r="CC2126"/>
      <c r="CD2126"/>
      <c r="CE2126"/>
      <c r="CF2126"/>
      <c r="CG2126"/>
      <c r="CH2126"/>
      <c r="CI2126"/>
      <c r="CJ2126"/>
      <c r="CK2126"/>
      <c r="CL2126"/>
      <c r="CM2126"/>
      <c r="CN2126"/>
      <c r="CO2126"/>
      <c r="CP2126"/>
      <c r="CQ2126"/>
      <c r="CR2126"/>
      <c r="CS2126"/>
      <c r="CT2126"/>
      <c r="CU2126"/>
      <c r="CV2126"/>
      <c r="CW2126"/>
      <c r="CX2126"/>
      <c r="CY2126"/>
      <c r="CZ2126"/>
      <c r="DA2126"/>
      <c r="DB2126"/>
      <c r="DC2126"/>
      <c r="DD2126"/>
      <c r="DE2126"/>
      <c r="DF2126"/>
      <c r="DG2126"/>
      <c r="DH2126"/>
      <c r="DI2126"/>
      <c r="DJ2126"/>
      <c r="DK2126"/>
      <c r="DL2126"/>
      <c r="DM2126"/>
      <c r="DN2126"/>
      <c r="DO2126"/>
      <c r="DP2126"/>
      <c r="DQ2126"/>
      <c r="DR2126"/>
      <c r="DS2126"/>
      <c r="DT2126"/>
      <c r="DU2126"/>
      <c r="DV2126"/>
      <c r="DW2126"/>
      <c r="DX2126"/>
      <c r="DY2126"/>
      <c r="DZ2126"/>
      <c r="EA2126"/>
      <c r="EB2126"/>
      <c r="EC2126"/>
      <c r="ED2126"/>
      <c r="EE2126"/>
      <c r="EF2126"/>
      <c r="EG2126"/>
      <c r="EH2126"/>
      <c r="EI2126"/>
      <c r="EJ2126"/>
      <c r="EK2126"/>
      <c r="EL2126"/>
      <c r="EM2126"/>
      <c r="EN2126"/>
      <c r="EO2126"/>
      <c r="EP2126"/>
      <c r="EQ2126"/>
      <c r="ER2126"/>
      <c r="ES2126"/>
    </row>
    <row r="2127" spans="1:149">
      <c r="A2127"/>
      <c r="B2127"/>
      <c r="C2127"/>
      <c r="D2127"/>
      <c r="E2127"/>
      <c r="F2127"/>
      <c r="G2127"/>
      <c r="H2127"/>
      <c r="I2127"/>
      <c r="J2127"/>
      <c r="K2127"/>
      <c r="L2127"/>
      <c r="M2127"/>
      <c r="N2127"/>
      <c r="O2127"/>
      <c r="P2127"/>
      <c r="Q2127"/>
      <c r="R2127"/>
      <c r="S2127"/>
      <c r="T2127"/>
      <c r="U2127"/>
      <c r="V2127"/>
      <c r="W2127"/>
      <c r="X2127"/>
      <c r="Y2127"/>
      <c r="Z2127"/>
      <c r="AA2127"/>
      <c r="AB2127"/>
      <c r="AC2127"/>
      <c r="AD2127"/>
      <c r="AE2127"/>
      <c r="AF2127"/>
      <c r="AG2127"/>
      <c r="AH2127"/>
      <c r="AI2127"/>
      <c r="AJ2127"/>
      <c r="AK2127"/>
      <c r="AL2127"/>
      <c r="AM2127"/>
      <c r="AN2127"/>
      <c r="AO2127"/>
      <c r="AP2127"/>
      <c r="AQ2127"/>
      <c r="AR2127"/>
      <c r="AS2127"/>
      <c r="AT2127"/>
      <c r="AU2127"/>
      <c r="AV2127"/>
      <c r="AW2127"/>
      <c r="AX2127"/>
      <c r="AY2127"/>
      <c r="AZ2127"/>
      <c r="BA2127"/>
      <c r="BB2127"/>
      <c r="BC2127"/>
      <c r="BD2127"/>
      <c r="BE2127"/>
      <c r="BF2127"/>
      <c r="BG2127"/>
      <c r="BH2127"/>
      <c r="BI2127"/>
      <c r="BJ2127"/>
      <c r="BK2127"/>
      <c r="BL2127"/>
      <c r="BM2127"/>
      <c r="BN2127"/>
      <c r="BO2127"/>
      <c r="BP2127"/>
      <c r="BQ2127"/>
      <c r="BR2127"/>
      <c r="BS2127"/>
      <c r="BT2127"/>
      <c r="BU2127"/>
      <c r="BV2127"/>
      <c r="BW2127"/>
      <c r="BX2127"/>
      <c r="BY2127"/>
      <c r="BZ2127"/>
      <c r="CA2127"/>
      <c r="CB2127"/>
      <c r="CC2127"/>
      <c r="CD2127"/>
      <c r="CE2127"/>
      <c r="CF2127"/>
      <c r="CG2127"/>
      <c r="CH2127"/>
      <c r="CI2127"/>
      <c r="CJ2127"/>
      <c r="CK2127"/>
      <c r="CL2127"/>
      <c r="CM2127"/>
      <c r="CN2127"/>
      <c r="CO2127"/>
      <c r="CP2127"/>
      <c r="CQ2127"/>
      <c r="CR2127"/>
      <c r="CS2127"/>
      <c r="CT2127"/>
      <c r="CU2127"/>
      <c r="CV2127"/>
      <c r="CW2127"/>
      <c r="CX2127"/>
      <c r="CY2127"/>
      <c r="CZ2127"/>
      <c r="DA2127"/>
      <c r="DB2127"/>
      <c r="DC2127"/>
      <c r="DD2127"/>
      <c r="DE2127"/>
      <c r="DF2127"/>
      <c r="DG2127"/>
      <c r="DH2127"/>
      <c r="DI2127"/>
      <c r="DJ2127"/>
      <c r="DK2127"/>
      <c r="DL2127"/>
      <c r="DM2127"/>
      <c r="DN2127"/>
      <c r="DO2127"/>
      <c r="DP2127"/>
      <c r="DQ2127"/>
      <c r="DR2127"/>
      <c r="DS2127"/>
      <c r="DT2127"/>
      <c r="DU2127"/>
      <c r="DV2127"/>
      <c r="DW2127"/>
      <c r="DX2127"/>
      <c r="DY2127"/>
      <c r="DZ2127"/>
      <c r="EA2127"/>
      <c r="EB2127"/>
      <c r="EC2127"/>
      <c r="ED2127"/>
      <c r="EE2127"/>
      <c r="EF2127"/>
      <c r="EG2127"/>
      <c r="EH2127"/>
      <c r="EI2127"/>
      <c r="EJ2127"/>
      <c r="EK2127"/>
      <c r="EL2127"/>
      <c r="EM2127"/>
      <c r="EN2127"/>
      <c r="EO2127"/>
      <c r="EP2127"/>
      <c r="EQ2127"/>
      <c r="ER2127"/>
      <c r="ES2127"/>
    </row>
    <row r="2128" spans="1:149">
      <c r="A2128"/>
      <c r="B2128"/>
      <c r="C2128"/>
      <c r="D2128"/>
      <c r="E2128"/>
      <c r="F2128"/>
      <c r="G2128"/>
      <c r="H2128"/>
      <c r="I2128"/>
      <c r="J2128"/>
      <c r="K2128"/>
      <c r="L2128"/>
      <c r="M2128"/>
      <c r="N2128"/>
      <c r="O2128"/>
      <c r="P2128"/>
      <c r="Q2128"/>
      <c r="R2128"/>
      <c r="S2128"/>
      <c r="T2128"/>
      <c r="U2128"/>
      <c r="V2128"/>
      <c r="W2128"/>
      <c r="X2128"/>
      <c r="Y2128"/>
      <c r="Z2128"/>
      <c r="AA2128"/>
      <c r="AB2128"/>
      <c r="AC2128"/>
      <c r="AD2128"/>
      <c r="AE2128"/>
      <c r="AF2128"/>
      <c r="AG2128"/>
      <c r="AH2128"/>
      <c r="AI2128"/>
      <c r="AJ2128"/>
      <c r="AK2128"/>
      <c r="AL2128"/>
      <c r="AM2128"/>
      <c r="AN2128"/>
      <c r="AO2128"/>
      <c r="AP2128"/>
      <c r="AQ2128"/>
      <c r="AR2128"/>
      <c r="AS2128"/>
      <c r="AT2128"/>
      <c r="AU2128"/>
      <c r="AV2128"/>
      <c r="AW2128"/>
      <c r="AX2128"/>
      <c r="AY2128"/>
      <c r="AZ2128"/>
      <c r="BA2128"/>
      <c r="BB2128"/>
      <c r="BC2128"/>
      <c r="BD2128"/>
      <c r="BE2128"/>
      <c r="BF2128"/>
      <c r="BG2128"/>
      <c r="BH2128"/>
      <c r="BI2128"/>
      <c r="BJ2128"/>
      <c r="BK2128"/>
      <c r="BL2128"/>
      <c r="BM2128"/>
      <c r="BN2128"/>
      <c r="BO2128"/>
      <c r="BP2128"/>
      <c r="BQ2128"/>
      <c r="BR2128"/>
      <c r="BS2128"/>
      <c r="BT2128"/>
      <c r="BU2128"/>
      <c r="BV2128"/>
      <c r="BW2128"/>
      <c r="BX2128"/>
      <c r="BY2128"/>
      <c r="BZ2128"/>
      <c r="CA2128"/>
      <c r="CB2128"/>
      <c r="CC2128"/>
      <c r="CD2128"/>
      <c r="CE2128"/>
      <c r="CF2128"/>
      <c r="CG2128"/>
      <c r="CH2128"/>
      <c r="CI2128"/>
      <c r="CJ2128"/>
      <c r="CK2128"/>
      <c r="CL2128"/>
      <c r="CM2128"/>
      <c r="CN2128"/>
      <c r="CO2128"/>
      <c r="CP2128"/>
      <c r="CQ2128"/>
      <c r="CR2128"/>
      <c r="CS2128"/>
      <c r="CT2128"/>
      <c r="CU2128"/>
      <c r="CV2128"/>
      <c r="CW2128"/>
      <c r="CX2128"/>
      <c r="CY2128"/>
      <c r="CZ2128"/>
      <c r="DA2128"/>
      <c r="DB2128"/>
      <c r="DC2128"/>
      <c r="DD2128"/>
      <c r="DE2128"/>
      <c r="DF2128"/>
      <c r="DG2128"/>
      <c r="DH2128"/>
      <c r="DI2128"/>
      <c r="DJ2128"/>
      <c r="DK2128"/>
      <c r="DL2128"/>
      <c r="DM2128"/>
      <c r="DN2128"/>
      <c r="DO2128"/>
      <c r="DP2128"/>
      <c r="DQ2128"/>
      <c r="DR2128"/>
      <c r="DS2128"/>
      <c r="DT2128"/>
      <c r="DU2128"/>
      <c r="DV2128"/>
      <c r="DW2128"/>
      <c r="DX2128"/>
      <c r="DY2128"/>
      <c r="DZ2128"/>
      <c r="EA2128"/>
      <c r="EB2128"/>
      <c r="EC2128"/>
      <c r="ED2128"/>
      <c r="EE2128"/>
      <c r="EF2128"/>
      <c r="EG2128"/>
      <c r="EH2128"/>
      <c r="EI2128"/>
      <c r="EJ2128"/>
      <c r="EK2128"/>
      <c r="EL2128"/>
      <c r="EM2128"/>
      <c r="EN2128"/>
      <c r="EO2128"/>
      <c r="EP2128"/>
      <c r="EQ2128"/>
      <c r="ER2128"/>
      <c r="ES2128"/>
    </row>
    <row r="2129" spans="1:149">
      <c r="A2129"/>
      <c r="B2129"/>
      <c r="C2129"/>
      <c r="D2129"/>
      <c r="E2129"/>
      <c r="F2129"/>
      <c r="G2129"/>
      <c r="H2129"/>
      <c r="I2129"/>
      <c r="J2129"/>
      <c r="K2129"/>
      <c r="L2129"/>
      <c r="M2129"/>
      <c r="N2129"/>
      <c r="O2129"/>
      <c r="P2129"/>
      <c r="Q2129"/>
      <c r="R2129"/>
      <c r="S2129"/>
      <c r="T2129"/>
      <c r="U2129"/>
      <c r="V2129"/>
      <c r="W2129"/>
      <c r="X2129"/>
      <c r="Y2129"/>
      <c r="Z2129"/>
      <c r="AA2129"/>
      <c r="AB2129"/>
      <c r="AC2129"/>
      <c r="AD2129"/>
      <c r="AE2129"/>
      <c r="AF2129"/>
      <c r="AG2129"/>
      <c r="AH2129"/>
      <c r="AI2129"/>
      <c r="AJ2129"/>
      <c r="AK2129"/>
      <c r="AL2129"/>
      <c r="AM2129"/>
      <c r="AN2129"/>
      <c r="AO2129"/>
      <c r="AP2129"/>
      <c r="AQ2129"/>
      <c r="AR2129"/>
      <c r="AS2129"/>
      <c r="AT2129"/>
      <c r="AU2129"/>
      <c r="AV2129"/>
      <c r="AW2129"/>
      <c r="AX2129"/>
      <c r="AY2129"/>
      <c r="AZ2129"/>
      <c r="BA2129"/>
      <c r="BB2129"/>
      <c r="BC2129"/>
      <c r="BD2129"/>
      <c r="BE2129"/>
      <c r="BF2129"/>
      <c r="BG2129"/>
      <c r="BH2129"/>
      <c r="BI2129"/>
      <c r="BJ2129"/>
      <c r="BK2129"/>
      <c r="BL2129"/>
      <c r="BM2129"/>
      <c r="BN2129"/>
      <c r="BO2129"/>
      <c r="BP2129"/>
      <c r="BQ2129"/>
      <c r="BR2129"/>
      <c r="BS2129"/>
      <c r="BT2129"/>
      <c r="BU2129"/>
      <c r="BV2129"/>
      <c r="BW2129"/>
      <c r="BX2129"/>
      <c r="BY2129"/>
      <c r="BZ2129"/>
      <c r="CA2129"/>
      <c r="CB2129"/>
      <c r="CC2129"/>
      <c r="CD2129"/>
      <c r="CE2129"/>
      <c r="CF2129"/>
      <c r="CG2129"/>
      <c r="CH2129"/>
      <c r="CI2129"/>
      <c r="CJ2129"/>
      <c r="CK2129"/>
      <c r="CL2129"/>
      <c r="CM2129"/>
      <c r="CN2129"/>
      <c r="CO2129"/>
      <c r="CP2129"/>
      <c r="CQ2129"/>
      <c r="CR2129"/>
      <c r="CS2129"/>
      <c r="CT2129"/>
      <c r="CU2129"/>
      <c r="CV2129"/>
      <c r="CW2129"/>
      <c r="CX2129"/>
      <c r="CY2129"/>
      <c r="CZ2129"/>
      <c r="DA2129"/>
      <c r="DB2129"/>
      <c r="DC2129"/>
      <c r="DD2129"/>
      <c r="DE2129"/>
      <c r="DF2129"/>
      <c r="DG2129"/>
      <c r="DH2129"/>
      <c r="DI2129"/>
      <c r="DJ2129"/>
      <c r="DK2129"/>
      <c r="DL2129"/>
      <c r="DM2129"/>
      <c r="DN2129"/>
      <c r="DO2129"/>
      <c r="DP2129"/>
      <c r="DQ2129"/>
      <c r="DR2129"/>
      <c r="DS2129"/>
      <c r="DT2129"/>
      <c r="DU2129"/>
      <c r="DV2129"/>
      <c r="DW2129"/>
      <c r="DX2129"/>
      <c r="DY2129"/>
      <c r="DZ2129"/>
      <c r="EA2129"/>
      <c r="EB2129"/>
      <c r="EC2129"/>
      <c r="ED2129"/>
      <c r="EE2129"/>
      <c r="EF2129"/>
      <c r="EG2129"/>
      <c r="EH2129"/>
      <c r="EI2129"/>
      <c r="EJ2129"/>
      <c r="EK2129"/>
      <c r="EL2129"/>
      <c r="EM2129"/>
      <c r="EN2129"/>
      <c r="EO2129"/>
      <c r="EP2129"/>
      <c r="EQ2129"/>
      <c r="ER2129"/>
      <c r="ES2129"/>
    </row>
    <row r="2130" spans="1:149">
      <c r="A2130"/>
      <c r="B2130"/>
      <c r="C2130"/>
      <c r="D2130"/>
      <c r="E2130"/>
      <c r="F2130"/>
      <c r="G2130"/>
      <c r="H2130"/>
      <c r="I2130"/>
      <c r="J2130"/>
      <c r="K2130"/>
      <c r="L2130"/>
      <c r="M2130"/>
      <c r="N2130"/>
      <c r="O2130"/>
      <c r="P2130"/>
      <c r="Q2130"/>
      <c r="R2130"/>
      <c r="S2130"/>
      <c r="T2130"/>
      <c r="U2130"/>
      <c r="V2130"/>
      <c r="W2130"/>
      <c r="X2130"/>
      <c r="Y2130"/>
      <c r="Z2130"/>
      <c r="AA2130"/>
      <c r="AB2130"/>
      <c r="AC2130"/>
      <c r="AD2130"/>
      <c r="AE2130"/>
      <c r="AF2130"/>
      <c r="AG2130"/>
      <c r="AH2130"/>
      <c r="AI2130"/>
      <c r="AJ2130"/>
      <c r="AK2130"/>
      <c r="AL2130"/>
      <c r="AM2130"/>
      <c r="AN2130"/>
      <c r="AO2130"/>
      <c r="AP2130"/>
      <c r="AQ2130"/>
      <c r="AR2130"/>
      <c r="AS2130"/>
      <c r="AT2130"/>
      <c r="AU2130"/>
      <c r="AV2130"/>
      <c r="AW2130"/>
      <c r="AX2130"/>
      <c r="AY2130"/>
      <c r="AZ2130"/>
      <c r="BA2130"/>
      <c r="BB2130"/>
      <c r="BC2130"/>
      <c r="BD2130"/>
      <c r="BE2130"/>
      <c r="BF2130"/>
      <c r="BG2130"/>
      <c r="BH2130"/>
      <c r="BI2130"/>
      <c r="BJ2130"/>
      <c r="BK2130"/>
      <c r="BL2130"/>
      <c r="BM2130"/>
      <c r="BN2130"/>
      <c r="BO2130"/>
      <c r="BP2130"/>
      <c r="BQ2130"/>
      <c r="BR2130"/>
      <c r="BS2130"/>
      <c r="BT2130"/>
      <c r="BU2130"/>
      <c r="BV2130"/>
      <c r="BW2130"/>
      <c r="BX2130"/>
      <c r="BY2130"/>
      <c r="BZ2130"/>
      <c r="CA2130"/>
      <c r="CB2130"/>
      <c r="CC2130"/>
      <c r="CD2130"/>
      <c r="CE2130"/>
      <c r="CF2130"/>
      <c r="CG2130"/>
      <c r="CH2130"/>
      <c r="CI2130"/>
      <c r="CJ2130"/>
      <c r="CK2130"/>
      <c r="CL2130"/>
      <c r="CM2130"/>
      <c r="CN2130"/>
      <c r="CO2130"/>
      <c r="CP2130"/>
      <c r="CQ2130"/>
      <c r="CR2130"/>
      <c r="CS2130"/>
      <c r="CT2130"/>
      <c r="CU2130"/>
      <c r="CV2130"/>
      <c r="CW2130"/>
      <c r="CX2130"/>
      <c r="CY2130"/>
      <c r="CZ2130"/>
      <c r="DA2130"/>
      <c r="DB2130"/>
      <c r="DC2130"/>
      <c r="DD2130"/>
      <c r="DE2130"/>
      <c r="DF2130"/>
      <c r="DG2130"/>
      <c r="DH2130"/>
      <c r="DI2130"/>
      <c r="DJ2130"/>
      <c r="DK2130"/>
      <c r="DL2130"/>
      <c r="DM2130"/>
      <c r="DN2130"/>
      <c r="DO2130"/>
      <c r="DP2130"/>
      <c r="DQ2130"/>
      <c r="DR2130"/>
      <c r="DS2130"/>
      <c r="DT2130"/>
      <c r="DU2130"/>
      <c r="DV2130"/>
      <c r="DW2130"/>
      <c r="DX2130"/>
      <c r="DY2130"/>
      <c r="DZ2130"/>
      <c r="EA2130"/>
      <c r="EB2130"/>
      <c r="EC2130"/>
      <c r="ED2130"/>
      <c r="EE2130"/>
      <c r="EF2130"/>
      <c r="EG2130"/>
      <c r="EH2130"/>
      <c r="EI2130"/>
      <c r="EJ2130"/>
      <c r="EK2130"/>
      <c r="EL2130"/>
      <c r="EM2130"/>
      <c r="EN2130"/>
      <c r="EO2130"/>
      <c r="EP2130"/>
      <c r="EQ2130"/>
      <c r="ER2130"/>
      <c r="ES2130"/>
    </row>
    <row r="2131" spans="1:149">
      <c r="A2131"/>
      <c r="B2131"/>
      <c r="C2131"/>
      <c r="D2131"/>
      <c r="E2131"/>
      <c r="F2131"/>
      <c r="G2131"/>
      <c r="H2131"/>
      <c r="I2131"/>
      <c r="J2131"/>
      <c r="K2131"/>
      <c r="L2131"/>
      <c r="M2131"/>
      <c r="N2131"/>
      <c r="O2131"/>
      <c r="P2131"/>
      <c r="Q2131"/>
      <c r="R2131"/>
      <c r="S2131"/>
      <c r="T2131"/>
      <c r="U2131"/>
      <c r="V2131"/>
      <c r="W2131"/>
      <c r="X2131"/>
      <c r="Y2131"/>
      <c r="Z2131"/>
      <c r="AA2131"/>
      <c r="AB2131"/>
      <c r="AC2131"/>
      <c r="AD2131"/>
      <c r="AE2131"/>
      <c r="AF2131"/>
      <c r="AG2131"/>
      <c r="AH2131"/>
      <c r="AI2131"/>
      <c r="AJ2131"/>
      <c r="AK2131"/>
      <c r="AL2131"/>
      <c r="AM2131"/>
      <c r="AN2131"/>
      <c r="AO2131"/>
      <c r="AP2131"/>
      <c r="AQ2131"/>
      <c r="AR2131"/>
      <c r="AS2131"/>
      <c r="AT2131"/>
      <c r="AU2131"/>
      <c r="AV2131"/>
      <c r="AW2131"/>
      <c r="AX2131"/>
      <c r="AY2131"/>
      <c r="AZ2131"/>
      <c r="BA2131"/>
      <c r="BB2131"/>
      <c r="BC2131"/>
      <c r="BD2131"/>
      <c r="BE2131"/>
      <c r="BF2131"/>
      <c r="BG2131"/>
      <c r="BH2131"/>
      <c r="BI2131"/>
      <c r="BJ2131"/>
      <c r="BK2131"/>
      <c r="BL2131"/>
      <c r="BM2131"/>
      <c r="BN2131"/>
      <c r="BO2131"/>
      <c r="BP2131"/>
      <c r="BQ2131"/>
      <c r="BR2131"/>
      <c r="BS2131"/>
      <c r="BT2131"/>
      <c r="BU2131"/>
      <c r="BV2131"/>
      <c r="BW2131"/>
      <c r="BX2131"/>
      <c r="BY2131"/>
      <c r="BZ2131"/>
      <c r="CA2131"/>
      <c r="CB2131"/>
      <c r="CC2131"/>
      <c r="CD2131"/>
      <c r="CE2131"/>
      <c r="CF2131"/>
      <c r="CG2131"/>
      <c r="CH2131"/>
      <c r="CI2131"/>
      <c r="CJ2131"/>
      <c r="CK2131"/>
      <c r="CL2131"/>
      <c r="CM2131"/>
      <c r="CN2131"/>
      <c r="CO2131"/>
      <c r="CP2131"/>
      <c r="CQ2131"/>
      <c r="CR2131"/>
      <c r="CS2131"/>
      <c r="CT2131"/>
      <c r="CU2131"/>
      <c r="CV2131"/>
      <c r="CW2131"/>
      <c r="CX2131"/>
      <c r="CY2131"/>
      <c r="CZ2131"/>
      <c r="DA2131"/>
      <c r="DB2131"/>
      <c r="DC2131"/>
      <c r="DD2131"/>
      <c r="DE2131"/>
      <c r="DF2131"/>
      <c r="DG2131"/>
      <c r="DH2131"/>
      <c r="DI2131"/>
      <c r="DJ2131"/>
      <c r="DK2131"/>
      <c r="DL2131"/>
      <c r="DM2131"/>
      <c r="DN2131"/>
      <c r="DO2131"/>
      <c r="DP2131"/>
      <c r="DQ2131"/>
      <c r="DR2131"/>
      <c r="DS2131"/>
      <c r="DT2131"/>
      <c r="DU2131"/>
      <c r="DV2131"/>
      <c r="DW2131"/>
      <c r="DX2131"/>
      <c r="DY2131"/>
      <c r="DZ2131"/>
      <c r="EA2131"/>
      <c r="EB2131"/>
      <c r="EC2131"/>
      <c r="ED2131"/>
      <c r="EE2131"/>
      <c r="EF2131"/>
      <c r="EG2131"/>
      <c r="EH2131"/>
      <c r="EI2131"/>
      <c r="EJ2131"/>
      <c r="EK2131"/>
      <c r="EL2131"/>
      <c r="EM2131"/>
      <c r="EN2131"/>
      <c r="EO2131"/>
      <c r="EP2131"/>
      <c r="EQ2131"/>
      <c r="ER2131"/>
      <c r="ES2131"/>
    </row>
    <row r="2132" spans="1:149">
      <c r="A2132"/>
      <c r="B2132"/>
      <c r="C2132"/>
      <c r="D2132"/>
      <c r="E2132"/>
      <c r="F2132"/>
      <c r="G2132"/>
      <c r="H2132"/>
      <c r="I2132"/>
      <c r="J2132"/>
      <c r="K2132"/>
      <c r="L2132"/>
      <c r="M2132"/>
      <c r="N2132"/>
      <c r="O2132"/>
      <c r="P2132"/>
      <c r="Q2132"/>
      <c r="R2132"/>
      <c r="S2132"/>
      <c r="T2132"/>
      <c r="U2132"/>
      <c r="V2132"/>
      <c r="W2132"/>
      <c r="X2132"/>
      <c r="Y2132"/>
      <c r="Z2132"/>
      <c r="AA2132"/>
      <c r="AB2132"/>
      <c r="AC2132"/>
      <c r="AD2132"/>
      <c r="AE2132"/>
      <c r="AF2132"/>
      <c r="AG2132"/>
      <c r="AH2132"/>
      <c r="AI2132"/>
      <c r="AJ2132"/>
      <c r="AK2132"/>
      <c r="AL2132"/>
      <c r="AM2132"/>
      <c r="AN2132"/>
      <c r="AO2132"/>
      <c r="AP2132"/>
      <c r="AQ2132"/>
      <c r="AR2132"/>
      <c r="AS2132"/>
      <c r="AT2132"/>
      <c r="AU2132"/>
      <c r="AV2132"/>
      <c r="AW2132"/>
      <c r="AX2132"/>
      <c r="AY2132"/>
      <c r="AZ2132"/>
      <c r="BA2132"/>
      <c r="BB2132"/>
      <c r="BC2132"/>
      <c r="BD2132"/>
      <c r="BE2132"/>
      <c r="BF2132"/>
      <c r="BG2132"/>
      <c r="BH2132"/>
      <c r="BI2132"/>
      <c r="BJ2132"/>
      <c r="BK2132"/>
      <c r="BL2132"/>
      <c r="BM2132"/>
      <c r="BN2132"/>
      <c r="BO2132"/>
      <c r="BP2132"/>
      <c r="BQ2132"/>
      <c r="BR2132"/>
      <c r="BS2132"/>
      <c r="BT2132"/>
      <c r="BU2132"/>
      <c r="BV2132"/>
      <c r="BW2132"/>
      <c r="BX2132"/>
      <c r="BY2132"/>
      <c r="BZ2132"/>
      <c r="CA2132"/>
      <c r="CB2132"/>
      <c r="CC2132"/>
      <c r="CD2132"/>
      <c r="CE2132"/>
      <c r="CF2132"/>
      <c r="CG2132"/>
      <c r="CH2132"/>
      <c r="CI2132"/>
      <c r="CJ2132"/>
      <c r="CK2132"/>
      <c r="CL2132"/>
      <c r="CM2132"/>
      <c r="CN2132"/>
      <c r="CO2132"/>
      <c r="CP2132"/>
      <c r="CQ2132"/>
      <c r="CR2132"/>
      <c r="CS2132"/>
      <c r="CT2132"/>
      <c r="CU2132"/>
      <c r="CV2132"/>
      <c r="CW2132"/>
      <c r="CX2132"/>
      <c r="CY2132"/>
      <c r="CZ2132"/>
      <c r="DA2132"/>
      <c r="DB2132"/>
      <c r="DC2132"/>
      <c r="DD2132"/>
      <c r="DE2132"/>
      <c r="DF2132"/>
      <c r="DG2132"/>
      <c r="DH2132"/>
      <c r="DI2132"/>
      <c r="DJ2132"/>
      <c r="DK2132"/>
      <c r="DL2132"/>
      <c r="DM2132"/>
      <c r="DN2132"/>
      <c r="DO2132"/>
      <c r="DP2132"/>
      <c r="DQ2132"/>
      <c r="DR2132"/>
      <c r="DS2132"/>
      <c r="DT2132"/>
      <c r="DU2132"/>
      <c r="DV2132"/>
      <c r="DW2132"/>
      <c r="DX2132"/>
      <c r="DY2132"/>
      <c r="DZ2132"/>
      <c r="EA2132"/>
      <c r="EB2132"/>
      <c r="EC2132"/>
      <c r="ED2132"/>
      <c r="EE2132"/>
      <c r="EF2132"/>
      <c r="EG2132"/>
      <c r="EH2132"/>
      <c r="EI2132"/>
      <c r="EJ2132"/>
      <c r="EK2132"/>
      <c r="EL2132"/>
      <c r="EM2132"/>
      <c r="EN2132"/>
      <c r="EO2132"/>
      <c r="EP2132"/>
      <c r="EQ2132"/>
      <c r="ER2132"/>
      <c r="ES2132"/>
    </row>
    <row r="2133" spans="1:149">
      <c r="A2133"/>
      <c r="B2133"/>
      <c r="C2133"/>
      <c r="D2133"/>
      <c r="E2133"/>
      <c r="F2133"/>
      <c r="G2133"/>
      <c r="H2133"/>
      <c r="I2133"/>
      <c r="J2133"/>
      <c r="K2133"/>
      <c r="L2133"/>
      <c r="M2133"/>
      <c r="N2133"/>
      <c r="O2133"/>
      <c r="P2133"/>
      <c r="Q2133"/>
      <c r="R2133"/>
      <c r="S2133"/>
      <c r="T2133"/>
      <c r="U2133"/>
      <c r="V2133"/>
      <c r="W2133"/>
      <c r="X2133"/>
      <c r="Y2133"/>
      <c r="Z2133"/>
      <c r="AA2133"/>
      <c r="AB2133"/>
      <c r="AC2133"/>
      <c r="AD2133"/>
      <c r="AE2133"/>
      <c r="AF2133"/>
      <c r="AG2133"/>
      <c r="AH2133"/>
      <c r="AI2133"/>
      <c r="AJ2133"/>
      <c r="AK2133"/>
      <c r="AL2133"/>
      <c r="AM2133"/>
      <c r="AN2133"/>
      <c r="AO2133"/>
      <c r="AP2133"/>
      <c r="AQ2133"/>
      <c r="AR2133"/>
      <c r="AS2133"/>
      <c r="AT2133"/>
      <c r="AU2133"/>
      <c r="AV2133"/>
      <c r="AW2133"/>
      <c r="AX2133"/>
      <c r="AY2133"/>
      <c r="AZ2133"/>
      <c r="BA2133"/>
      <c r="BB2133"/>
      <c r="BC2133"/>
      <c r="BD2133"/>
      <c r="BE2133"/>
      <c r="BF2133"/>
      <c r="BG2133"/>
      <c r="BH2133"/>
      <c r="BI2133"/>
      <c r="BJ2133"/>
      <c r="BK2133"/>
      <c r="BL2133"/>
      <c r="BM2133"/>
      <c r="BN2133"/>
      <c r="BO2133"/>
      <c r="BP2133"/>
      <c r="BQ2133"/>
      <c r="BR2133"/>
      <c r="BS2133"/>
      <c r="BT2133"/>
      <c r="BU2133"/>
      <c r="BV2133"/>
      <c r="BW2133"/>
      <c r="BX2133"/>
      <c r="BY2133"/>
      <c r="BZ2133"/>
      <c r="CA2133"/>
      <c r="CB2133"/>
      <c r="CC2133"/>
      <c r="CD2133"/>
      <c r="CE2133"/>
      <c r="CF2133"/>
      <c r="CG2133"/>
      <c r="CH2133"/>
      <c r="CI2133"/>
      <c r="CJ2133"/>
      <c r="CK2133"/>
      <c r="CL2133"/>
      <c r="CM2133"/>
      <c r="CN2133"/>
      <c r="CO2133"/>
      <c r="CP2133"/>
      <c r="CQ2133"/>
      <c r="CR2133"/>
      <c r="CS2133"/>
      <c r="CT2133"/>
      <c r="CU2133"/>
      <c r="CV2133"/>
      <c r="CW2133"/>
      <c r="CX2133"/>
      <c r="CY2133"/>
      <c r="CZ2133"/>
      <c r="DA2133"/>
      <c r="DB2133"/>
      <c r="DC2133"/>
      <c r="DD2133"/>
      <c r="DE2133"/>
      <c r="DF2133"/>
      <c r="DG2133"/>
      <c r="DH2133"/>
      <c r="DI2133"/>
      <c r="DJ2133"/>
      <c r="DK2133"/>
      <c r="DL2133"/>
      <c r="DM2133"/>
      <c r="DN2133"/>
      <c r="DO2133"/>
      <c r="DP2133"/>
      <c r="DQ2133"/>
      <c r="DR2133"/>
      <c r="DS2133"/>
      <c r="DT2133"/>
      <c r="DU2133"/>
      <c r="DV2133"/>
      <c r="DW2133"/>
      <c r="DX2133"/>
      <c r="DY2133"/>
      <c r="DZ2133"/>
      <c r="EA2133"/>
      <c r="EB2133"/>
      <c r="EC2133"/>
      <c r="ED2133"/>
      <c r="EE2133"/>
      <c r="EF2133"/>
      <c r="EG2133"/>
      <c r="EH2133"/>
      <c r="EI2133"/>
      <c r="EJ2133"/>
      <c r="EK2133"/>
      <c r="EL2133"/>
      <c r="EM2133"/>
      <c r="EN2133"/>
      <c r="EO2133"/>
      <c r="EP2133"/>
      <c r="EQ2133"/>
      <c r="ER2133"/>
      <c r="ES2133"/>
    </row>
    <row r="2134" spans="1:149">
      <c r="A2134"/>
      <c r="B2134"/>
      <c r="C2134"/>
      <c r="D2134"/>
      <c r="E2134"/>
      <c r="F2134"/>
      <c r="G2134"/>
      <c r="H2134"/>
      <c r="I2134"/>
      <c r="J2134"/>
      <c r="K2134"/>
      <c r="L2134"/>
      <c r="M2134"/>
      <c r="N2134"/>
      <c r="O2134"/>
      <c r="P2134"/>
      <c r="Q2134"/>
      <c r="R2134"/>
      <c r="S2134"/>
      <c r="T2134"/>
      <c r="U2134"/>
      <c r="V2134"/>
      <c r="W2134"/>
      <c r="X2134"/>
      <c r="Y2134"/>
      <c r="Z2134"/>
      <c r="AA2134"/>
      <c r="AB2134"/>
      <c r="AC2134"/>
      <c r="AD2134"/>
      <c r="AE2134"/>
      <c r="AF2134"/>
      <c r="AG2134"/>
      <c r="AH2134"/>
      <c r="AI2134"/>
      <c r="AJ2134"/>
      <c r="AK2134"/>
      <c r="AL2134"/>
      <c r="AM2134"/>
      <c r="AN2134"/>
      <c r="AO2134"/>
      <c r="AP2134"/>
      <c r="AQ2134"/>
      <c r="AR2134"/>
      <c r="AS2134"/>
      <c r="AT2134"/>
      <c r="AU2134"/>
      <c r="AV2134"/>
      <c r="AW2134"/>
      <c r="AX2134"/>
      <c r="AY2134"/>
      <c r="AZ2134"/>
      <c r="BA2134"/>
      <c r="BB2134"/>
      <c r="BC2134"/>
      <c r="BD2134"/>
      <c r="BE2134"/>
      <c r="BF2134"/>
      <c r="BG2134"/>
      <c r="BH2134"/>
      <c r="BI2134"/>
      <c r="BJ2134"/>
      <c r="BK2134"/>
      <c r="BL2134"/>
      <c r="BM2134"/>
      <c r="BN2134"/>
      <c r="BO2134"/>
      <c r="BP2134"/>
      <c r="BQ2134"/>
      <c r="BR2134"/>
      <c r="BS2134"/>
      <c r="BT2134"/>
      <c r="BU2134"/>
      <c r="BV2134"/>
      <c r="BW2134"/>
      <c r="BX2134"/>
      <c r="BY2134"/>
      <c r="BZ2134"/>
      <c r="CA2134"/>
      <c r="CB2134"/>
      <c r="CC2134"/>
      <c r="CD2134"/>
      <c r="CE2134"/>
      <c r="CF2134"/>
      <c r="CG2134"/>
      <c r="CH2134"/>
      <c r="CI2134"/>
      <c r="CJ2134"/>
      <c r="CK2134"/>
      <c r="CL2134"/>
      <c r="CM2134"/>
      <c r="CN2134"/>
      <c r="CO2134"/>
      <c r="CP2134"/>
      <c r="CQ2134"/>
      <c r="CR2134"/>
      <c r="CS2134"/>
      <c r="CT2134"/>
      <c r="CU2134"/>
      <c r="CV2134"/>
      <c r="CW2134"/>
      <c r="CX2134"/>
      <c r="CY2134"/>
      <c r="CZ2134"/>
      <c r="DA2134"/>
      <c r="DB2134"/>
      <c r="DC2134"/>
      <c r="DD2134"/>
      <c r="DE2134"/>
      <c r="DF2134"/>
      <c r="DG2134"/>
      <c r="DH2134"/>
      <c r="DI2134"/>
      <c r="DJ2134"/>
      <c r="DK2134"/>
      <c r="DL2134"/>
      <c r="DM2134"/>
      <c r="DN2134"/>
      <c r="DO2134"/>
      <c r="DP2134"/>
      <c r="DQ2134"/>
      <c r="DR2134"/>
      <c r="DS2134"/>
      <c r="DT2134"/>
      <c r="DU2134"/>
      <c r="DV2134"/>
      <c r="DW2134"/>
      <c r="DX2134"/>
      <c r="DY2134"/>
      <c r="DZ2134"/>
      <c r="EA2134"/>
      <c r="EB2134"/>
      <c r="EC2134"/>
      <c r="ED2134"/>
      <c r="EE2134"/>
      <c r="EF2134"/>
      <c r="EG2134"/>
      <c r="EH2134"/>
      <c r="EI2134"/>
      <c r="EJ2134"/>
      <c r="EK2134"/>
      <c r="EL2134"/>
      <c r="EM2134"/>
      <c r="EN2134"/>
      <c r="EO2134"/>
      <c r="EP2134"/>
      <c r="EQ2134"/>
      <c r="ER2134"/>
      <c r="ES2134"/>
    </row>
    <row r="2135" spans="1:149">
      <c r="A2135"/>
      <c r="B2135"/>
      <c r="C2135"/>
      <c r="D2135"/>
      <c r="E2135"/>
      <c r="F2135"/>
      <c r="G2135"/>
      <c r="H2135"/>
      <c r="I2135"/>
      <c r="J2135"/>
      <c r="K2135"/>
      <c r="L2135"/>
      <c r="M2135"/>
      <c r="N2135"/>
      <c r="O2135"/>
      <c r="P2135"/>
      <c r="Q2135"/>
      <c r="R2135"/>
      <c r="S2135"/>
      <c r="T2135"/>
      <c r="U2135"/>
      <c r="V2135"/>
      <c r="W2135"/>
      <c r="X2135"/>
      <c r="Y2135"/>
      <c r="Z2135"/>
      <c r="AA2135"/>
      <c r="AB2135"/>
      <c r="AC2135"/>
      <c r="AD2135"/>
      <c r="AE2135"/>
      <c r="AF2135"/>
      <c r="AG2135"/>
      <c r="AH2135"/>
      <c r="AI2135"/>
      <c r="AJ2135"/>
      <c r="AK2135"/>
      <c r="AL2135"/>
      <c r="AM2135"/>
      <c r="AN2135"/>
      <c r="AO2135"/>
      <c r="AP2135"/>
      <c r="AQ2135"/>
      <c r="AR2135"/>
      <c r="AS2135"/>
      <c r="AT2135"/>
      <c r="AU2135"/>
      <c r="AV2135"/>
      <c r="AW2135"/>
      <c r="AX2135"/>
      <c r="AY2135"/>
      <c r="AZ2135"/>
      <c r="BA2135"/>
      <c r="BB2135"/>
      <c r="BC2135"/>
      <c r="BD2135"/>
      <c r="BE2135"/>
      <c r="BF2135"/>
      <c r="BG2135"/>
      <c r="BH2135"/>
      <c r="BI2135"/>
      <c r="BJ2135"/>
      <c r="BK2135"/>
      <c r="BL2135"/>
      <c r="BM2135"/>
      <c r="BN2135"/>
      <c r="BO2135"/>
      <c r="BP2135"/>
      <c r="BQ2135"/>
      <c r="BR2135"/>
      <c r="BS2135"/>
      <c r="BT2135"/>
      <c r="BU2135"/>
      <c r="BV2135"/>
      <c r="BW2135"/>
      <c r="BX2135"/>
      <c r="BY2135"/>
      <c r="BZ2135"/>
      <c r="CA2135"/>
      <c r="CB2135"/>
      <c r="CC2135"/>
      <c r="CD2135"/>
      <c r="CE2135"/>
      <c r="CF2135"/>
      <c r="CG2135"/>
      <c r="CH2135"/>
      <c r="CI2135"/>
      <c r="CJ2135"/>
      <c r="CK2135"/>
      <c r="CL2135"/>
      <c r="CM2135"/>
      <c r="CN2135"/>
      <c r="CO2135"/>
      <c r="CP2135"/>
      <c r="CQ2135"/>
      <c r="CR2135"/>
      <c r="CS2135"/>
      <c r="CT2135"/>
      <c r="CU2135"/>
      <c r="CV2135"/>
      <c r="CW2135"/>
      <c r="CX2135"/>
      <c r="CY2135"/>
      <c r="CZ2135"/>
      <c r="DA2135"/>
      <c r="DB2135"/>
      <c r="DC2135"/>
      <c r="DD2135"/>
      <c r="DE2135"/>
      <c r="DF2135"/>
      <c r="DG2135"/>
      <c r="DH2135"/>
      <c r="DI2135"/>
      <c r="DJ2135"/>
      <c r="DK2135"/>
      <c r="DL2135"/>
      <c r="DM2135"/>
      <c r="DN2135"/>
      <c r="DO2135"/>
      <c r="DP2135"/>
      <c r="DQ2135"/>
      <c r="DR2135"/>
      <c r="DS2135"/>
      <c r="DT2135"/>
      <c r="DU2135"/>
      <c r="DV2135"/>
      <c r="DW2135"/>
      <c r="DX2135"/>
      <c r="DY2135"/>
      <c r="DZ2135"/>
      <c r="EA2135"/>
      <c r="EB2135"/>
      <c r="EC2135"/>
      <c r="ED2135"/>
      <c r="EE2135"/>
      <c r="EF2135"/>
      <c r="EG2135"/>
      <c r="EH2135"/>
      <c r="EI2135"/>
      <c r="EJ2135"/>
      <c r="EK2135"/>
      <c r="EL2135"/>
      <c r="EM2135"/>
      <c r="EN2135"/>
      <c r="EO2135"/>
      <c r="EP2135"/>
      <c r="EQ2135"/>
      <c r="ER2135"/>
      <c r="ES2135"/>
    </row>
    <row r="2136" spans="1:149">
      <c r="A2136"/>
      <c r="B2136"/>
      <c r="C2136"/>
      <c r="D2136"/>
      <c r="E2136"/>
      <c r="F2136"/>
      <c r="G2136"/>
      <c r="H2136"/>
      <c r="I2136"/>
      <c r="J2136"/>
      <c r="K2136"/>
      <c r="L2136"/>
      <c r="M2136"/>
      <c r="N2136"/>
      <c r="O2136"/>
      <c r="P2136"/>
      <c r="Q2136"/>
      <c r="R2136"/>
      <c r="S2136"/>
      <c r="T2136"/>
      <c r="U2136"/>
      <c r="V2136"/>
      <c r="W2136"/>
      <c r="X2136"/>
      <c r="Y2136"/>
      <c r="Z2136"/>
      <c r="AA2136"/>
      <c r="AB2136"/>
      <c r="AC2136"/>
      <c r="AD2136"/>
      <c r="AE2136"/>
      <c r="AF2136"/>
      <c r="AG2136"/>
      <c r="AH2136"/>
      <c r="AI2136"/>
      <c r="AJ2136"/>
      <c r="AK2136"/>
      <c r="AL2136"/>
      <c r="AM2136"/>
      <c r="AN2136"/>
      <c r="AO2136"/>
      <c r="AP2136"/>
      <c r="AQ2136"/>
      <c r="AR2136"/>
      <c r="AS2136"/>
      <c r="AT2136"/>
      <c r="AU2136"/>
      <c r="AV2136"/>
      <c r="AW2136"/>
      <c r="AX2136"/>
      <c r="AY2136"/>
      <c r="AZ2136"/>
      <c r="BA2136"/>
      <c r="BB2136"/>
      <c r="BC2136"/>
      <c r="BD2136"/>
      <c r="BE2136"/>
      <c r="BF2136"/>
      <c r="BG2136"/>
      <c r="BH2136"/>
      <c r="BI2136"/>
      <c r="BJ2136"/>
      <c r="BK2136"/>
      <c r="BL2136"/>
      <c r="BM2136"/>
      <c r="BN2136"/>
      <c r="BO2136"/>
      <c r="BP2136"/>
      <c r="BQ2136"/>
      <c r="BR2136"/>
      <c r="BS2136"/>
      <c r="BT2136"/>
      <c r="BU2136"/>
      <c r="BV2136"/>
      <c r="BW2136"/>
      <c r="BX2136"/>
      <c r="BY2136"/>
      <c r="BZ2136"/>
      <c r="CA2136"/>
      <c r="CB2136"/>
      <c r="CC2136"/>
      <c r="CD2136"/>
      <c r="CE2136"/>
      <c r="CF2136"/>
      <c r="CG2136"/>
      <c r="CH2136"/>
      <c r="CI2136"/>
      <c r="CJ2136"/>
      <c r="CK2136"/>
      <c r="CL2136"/>
      <c r="CM2136"/>
      <c r="CN2136"/>
      <c r="CO2136"/>
      <c r="CP2136"/>
      <c r="CQ2136"/>
      <c r="CR2136"/>
      <c r="CS2136"/>
      <c r="CT2136"/>
      <c r="CU2136"/>
      <c r="CV2136"/>
      <c r="CW2136"/>
      <c r="CX2136"/>
      <c r="CY2136"/>
      <c r="CZ2136"/>
      <c r="DA2136"/>
      <c r="DB2136"/>
      <c r="DC2136"/>
      <c r="DD2136"/>
      <c r="DE2136"/>
      <c r="DF2136"/>
      <c r="DG2136"/>
      <c r="DH2136"/>
      <c r="DI2136"/>
      <c r="DJ2136"/>
      <c r="DK2136"/>
      <c r="DL2136"/>
      <c r="DM2136"/>
      <c r="DN2136"/>
      <c r="DO2136"/>
      <c r="DP2136"/>
      <c r="DQ2136"/>
      <c r="DR2136"/>
      <c r="DS2136"/>
      <c r="DT2136"/>
      <c r="DU2136"/>
      <c r="DV2136"/>
      <c r="DW2136"/>
      <c r="DX2136"/>
      <c r="DY2136"/>
      <c r="DZ2136"/>
      <c r="EA2136"/>
      <c r="EB2136"/>
      <c r="EC2136"/>
      <c r="ED2136"/>
      <c r="EE2136"/>
      <c r="EF2136"/>
      <c r="EG2136"/>
      <c r="EH2136"/>
      <c r="EI2136"/>
      <c r="EJ2136"/>
      <c r="EK2136"/>
      <c r="EL2136"/>
      <c r="EM2136"/>
      <c r="EN2136"/>
      <c r="EO2136"/>
      <c r="EP2136"/>
      <c r="EQ2136"/>
      <c r="ER2136"/>
      <c r="ES2136"/>
    </row>
    <row r="2137" spans="1:149">
      <c r="A2137"/>
      <c r="B2137"/>
      <c r="C2137"/>
      <c r="D2137"/>
      <c r="E2137"/>
      <c r="F2137"/>
      <c r="G2137"/>
      <c r="H2137"/>
      <c r="I2137"/>
      <c r="J2137"/>
      <c r="K2137"/>
      <c r="L2137"/>
      <c r="M2137"/>
      <c r="N2137"/>
      <c r="O2137"/>
      <c r="P2137"/>
      <c r="Q2137"/>
      <c r="R2137"/>
      <c r="S2137"/>
      <c r="T2137"/>
      <c r="U2137"/>
      <c r="V2137"/>
      <c r="W2137"/>
      <c r="X2137"/>
      <c r="Y2137"/>
      <c r="Z2137"/>
      <c r="AA2137"/>
      <c r="AB2137"/>
      <c r="AC2137"/>
      <c r="AD2137"/>
      <c r="AE2137"/>
      <c r="AF2137"/>
      <c r="AG2137"/>
      <c r="AH2137"/>
      <c r="AI2137"/>
      <c r="AJ2137"/>
      <c r="AK2137"/>
      <c r="AL2137"/>
      <c r="AM2137"/>
      <c r="AN2137"/>
      <c r="AO2137"/>
      <c r="AP2137"/>
      <c r="AQ2137"/>
      <c r="AR2137"/>
      <c r="AS2137"/>
      <c r="AT2137"/>
      <c r="AU2137"/>
      <c r="AV2137"/>
      <c r="AW2137"/>
      <c r="AX2137"/>
      <c r="AY2137"/>
      <c r="AZ2137"/>
      <c r="BA2137"/>
      <c r="BB2137"/>
      <c r="BC2137"/>
      <c r="BD2137"/>
      <c r="BE2137"/>
      <c r="BF2137"/>
      <c r="BG2137"/>
      <c r="BH2137"/>
      <c r="BI2137"/>
      <c r="BJ2137"/>
      <c r="BK2137"/>
      <c r="BL2137"/>
      <c r="BM2137"/>
      <c r="BN2137"/>
      <c r="BO2137"/>
      <c r="BP2137"/>
      <c r="BQ2137"/>
      <c r="BR2137"/>
      <c r="BS2137"/>
      <c r="BT2137"/>
      <c r="BU2137"/>
      <c r="BV2137"/>
      <c r="BW2137"/>
      <c r="BX2137"/>
      <c r="BY2137"/>
      <c r="BZ2137"/>
      <c r="CA2137"/>
      <c r="CB2137"/>
      <c r="CC2137"/>
      <c r="CD2137"/>
      <c r="CE2137"/>
      <c r="CF2137"/>
      <c r="CG2137"/>
      <c r="CH2137"/>
      <c r="CI2137"/>
      <c r="CJ2137"/>
      <c r="CK2137"/>
      <c r="CL2137"/>
      <c r="CM2137"/>
      <c r="CN2137"/>
      <c r="CO2137"/>
      <c r="CP2137"/>
      <c r="CQ2137"/>
      <c r="CR2137"/>
      <c r="CS2137"/>
      <c r="CT2137"/>
      <c r="CU2137"/>
      <c r="CV2137"/>
      <c r="CW2137"/>
      <c r="CX2137"/>
      <c r="CY2137"/>
      <c r="CZ2137"/>
      <c r="DA2137"/>
      <c r="DB2137"/>
      <c r="DC2137"/>
      <c r="DD2137"/>
      <c r="DE2137"/>
      <c r="DF2137"/>
      <c r="DG2137"/>
      <c r="DH2137"/>
      <c r="DI2137"/>
      <c r="DJ2137"/>
      <c r="DK2137"/>
      <c r="DL2137"/>
      <c r="DM2137"/>
      <c r="DN2137"/>
      <c r="DO2137"/>
      <c r="DP2137"/>
      <c r="DQ2137"/>
      <c r="DR2137"/>
      <c r="DS2137"/>
      <c r="DT2137"/>
      <c r="DU2137"/>
      <c r="DV2137"/>
      <c r="DW2137"/>
      <c r="DX2137"/>
      <c r="DY2137"/>
      <c r="DZ2137"/>
      <c r="EA2137"/>
      <c r="EB2137"/>
      <c r="EC2137"/>
      <c r="ED2137"/>
      <c r="EE2137"/>
      <c r="EF2137"/>
      <c r="EG2137"/>
      <c r="EH2137"/>
      <c r="EI2137"/>
      <c r="EJ2137"/>
      <c r="EK2137"/>
      <c r="EL2137"/>
      <c r="EM2137"/>
      <c r="EN2137"/>
      <c r="EO2137"/>
      <c r="EP2137"/>
      <c r="EQ2137"/>
      <c r="ER2137"/>
      <c r="ES2137"/>
    </row>
    <row r="2138" spans="1:149">
      <c r="A2138"/>
      <c r="B2138"/>
      <c r="C2138"/>
      <c r="D2138"/>
      <c r="E2138"/>
      <c r="F2138"/>
      <c r="G2138"/>
      <c r="H2138"/>
      <c r="I2138"/>
      <c r="J2138"/>
      <c r="K2138"/>
      <c r="L2138"/>
      <c r="M2138"/>
      <c r="N2138"/>
      <c r="O2138"/>
      <c r="P2138"/>
      <c r="Q2138"/>
      <c r="R2138"/>
      <c r="S2138"/>
      <c r="T2138"/>
      <c r="U2138"/>
      <c r="V2138"/>
      <c r="W2138"/>
      <c r="X2138"/>
      <c r="Y2138"/>
      <c r="Z2138"/>
      <c r="AA2138"/>
      <c r="AB2138"/>
      <c r="AC2138"/>
      <c r="AD2138"/>
      <c r="AE2138"/>
      <c r="AF2138"/>
      <c r="AG2138"/>
      <c r="AH2138"/>
      <c r="AI2138"/>
      <c r="AJ2138"/>
      <c r="AK2138"/>
      <c r="AL2138"/>
      <c r="AM2138"/>
      <c r="AN2138"/>
      <c r="AO2138"/>
      <c r="AP2138"/>
      <c r="AQ2138"/>
      <c r="AR2138"/>
      <c r="AS2138"/>
      <c r="AT2138"/>
      <c r="AU2138"/>
      <c r="AV2138"/>
      <c r="AW2138"/>
      <c r="AX2138"/>
      <c r="AY2138"/>
      <c r="AZ2138"/>
      <c r="BA2138"/>
      <c r="BB2138"/>
      <c r="BC2138"/>
      <c r="BD2138"/>
      <c r="BE2138"/>
      <c r="BF2138"/>
      <c r="BG2138"/>
      <c r="BH2138"/>
      <c r="BI2138"/>
      <c r="BJ2138"/>
      <c r="BK2138"/>
      <c r="BL2138"/>
      <c r="BM2138"/>
      <c r="BN2138"/>
      <c r="BO2138"/>
      <c r="BP2138"/>
      <c r="BQ2138"/>
      <c r="BR2138"/>
      <c r="BS2138"/>
      <c r="BT2138"/>
      <c r="BU2138"/>
      <c r="BV2138"/>
      <c r="BW2138"/>
      <c r="BX2138"/>
      <c r="BY2138"/>
      <c r="BZ2138"/>
      <c r="CA2138"/>
      <c r="CB2138"/>
      <c r="CC2138"/>
      <c r="CD2138"/>
      <c r="CE2138"/>
      <c r="CF2138"/>
      <c r="CG2138"/>
      <c r="CH2138"/>
      <c r="CI2138"/>
      <c r="CJ2138"/>
      <c r="CK2138"/>
      <c r="CL2138"/>
      <c r="CM2138"/>
      <c r="CN2138"/>
      <c r="CO2138"/>
      <c r="CP2138"/>
      <c r="CQ2138"/>
      <c r="CR2138"/>
      <c r="CS2138"/>
      <c r="CT2138"/>
      <c r="CU2138"/>
      <c r="CV2138"/>
      <c r="CW2138"/>
      <c r="CX2138"/>
      <c r="CY2138"/>
      <c r="CZ2138"/>
      <c r="DA2138"/>
      <c r="DB2138"/>
      <c r="DC2138"/>
      <c r="DD2138"/>
      <c r="DE2138"/>
      <c r="DF2138"/>
      <c r="DG2138"/>
      <c r="DH2138"/>
      <c r="DI2138"/>
      <c r="DJ2138"/>
      <c r="DK2138"/>
      <c r="DL2138"/>
      <c r="DM2138"/>
      <c r="DN2138"/>
      <c r="DO2138"/>
      <c r="DP2138"/>
      <c r="DQ2138"/>
      <c r="DR2138"/>
      <c r="DS2138"/>
      <c r="DT2138"/>
      <c r="DU2138"/>
      <c r="DV2138"/>
      <c r="DW2138"/>
      <c r="DX2138"/>
      <c r="DY2138"/>
      <c r="DZ2138"/>
      <c r="EA2138"/>
      <c r="EB2138"/>
      <c r="EC2138"/>
      <c r="ED2138"/>
      <c r="EE2138"/>
      <c r="EF2138"/>
      <c r="EG2138"/>
      <c r="EH2138"/>
      <c r="EI2138"/>
      <c r="EJ2138"/>
      <c r="EK2138"/>
      <c r="EL2138"/>
      <c r="EM2138"/>
      <c r="EN2138"/>
      <c r="EO2138"/>
      <c r="EP2138"/>
      <c r="EQ2138"/>
      <c r="ER2138"/>
      <c r="ES2138"/>
    </row>
    <row r="2139" spans="1:149">
      <c r="A2139"/>
      <c r="B2139"/>
      <c r="C2139"/>
      <c r="D2139"/>
      <c r="E2139"/>
      <c r="F2139"/>
      <c r="G2139"/>
      <c r="H2139"/>
      <c r="I2139"/>
      <c r="J2139"/>
      <c r="K2139"/>
      <c r="L2139"/>
      <c r="M2139"/>
      <c r="N2139"/>
      <c r="O2139"/>
      <c r="P2139"/>
      <c r="Q2139"/>
      <c r="R2139"/>
      <c r="S2139"/>
      <c r="T2139"/>
      <c r="U2139"/>
      <c r="V2139"/>
      <c r="W2139"/>
      <c r="X2139"/>
      <c r="Y2139"/>
      <c r="Z2139"/>
      <c r="AA2139"/>
      <c r="AB2139"/>
      <c r="AC2139"/>
      <c r="AD2139"/>
      <c r="AE2139"/>
      <c r="AF2139"/>
      <c r="AG2139"/>
      <c r="AH2139"/>
      <c r="AI2139"/>
      <c r="AJ2139"/>
      <c r="AK2139"/>
      <c r="AL2139"/>
      <c r="AM2139"/>
      <c r="AN2139"/>
      <c r="AO2139"/>
      <c r="AP2139"/>
      <c r="AQ2139"/>
      <c r="AR2139"/>
      <c r="AS2139"/>
      <c r="AT2139"/>
      <c r="AU2139"/>
      <c r="AV2139"/>
      <c r="AW2139"/>
      <c r="AX2139"/>
      <c r="AY2139"/>
      <c r="AZ2139"/>
      <c r="BA2139"/>
      <c r="BB2139"/>
      <c r="BC2139"/>
      <c r="BD2139"/>
      <c r="BE2139"/>
      <c r="BF2139"/>
      <c r="BG2139"/>
      <c r="BH2139"/>
      <c r="BI2139"/>
      <c r="BJ2139"/>
      <c r="BK2139"/>
      <c r="BL2139"/>
      <c r="BM2139"/>
      <c r="BN2139"/>
      <c r="BO2139"/>
      <c r="BP2139"/>
      <c r="BQ2139"/>
      <c r="BR2139"/>
      <c r="BS2139"/>
      <c r="BT2139"/>
      <c r="BU2139"/>
      <c r="BV2139"/>
      <c r="BW2139"/>
      <c r="BX2139"/>
      <c r="BY2139"/>
      <c r="BZ2139"/>
      <c r="CA2139"/>
      <c r="CB2139"/>
      <c r="CC2139"/>
      <c r="CD2139"/>
      <c r="CE2139"/>
      <c r="CF2139"/>
      <c r="CG2139"/>
      <c r="CH2139"/>
      <c r="CI2139"/>
      <c r="CJ2139"/>
      <c r="CK2139"/>
      <c r="CL2139"/>
      <c r="CM2139"/>
      <c r="CN2139"/>
      <c r="CO2139"/>
      <c r="CP2139"/>
      <c r="CQ2139"/>
      <c r="CR2139"/>
      <c r="CS2139"/>
      <c r="CT2139"/>
      <c r="CU2139"/>
      <c r="CV2139"/>
      <c r="CW2139"/>
      <c r="CX2139"/>
      <c r="CY2139"/>
      <c r="CZ2139"/>
      <c r="DA2139"/>
      <c r="DB2139"/>
      <c r="DC2139"/>
      <c r="DD2139"/>
      <c r="DE2139"/>
      <c r="DF2139"/>
      <c r="DG2139"/>
      <c r="DH2139"/>
      <c r="DI2139"/>
      <c r="DJ2139"/>
      <c r="DK2139"/>
      <c r="DL2139"/>
      <c r="DM2139"/>
      <c r="DN2139"/>
      <c r="DO2139"/>
      <c r="DP2139"/>
      <c r="DQ2139"/>
      <c r="DR2139"/>
      <c r="DS2139"/>
      <c r="DT2139"/>
      <c r="DU2139"/>
      <c r="DV2139"/>
      <c r="DW2139"/>
      <c r="DX2139"/>
      <c r="DY2139"/>
      <c r="DZ2139"/>
      <c r="EA2139"/>
      <c r="EB2139"/>
      <c r="EC2139"/>
      <c r="ED2139"/>
      <c r="EE2139"/>
      <c r="EF2139"/>
      <c r="EG2139"/>
      <c r="EH2139"/>
      <c r="EI2139"/>
      <c r="EJ2139"/>
      <c r="EK2139"/>
      <c r="EL2139"/>
      <c r="EM2139"/>
      <c r="EN2139"/>
      <c r="EO2139"/>
      <c r="EP2139"/>
      <c r="EQ2139"/>
      <c r="ER2139"/>
      <c r="ES2139"/>
    </row>
    <row r="2140" spans="1:149">
      <c r="A2140"/>
      <c r="B2140"/>
      <c r="C2140"/>
      <c r="D2140"/>
      <c r="E2140"/>
      <c r="F2140"/>
      <c r="G2140"/>
      <c r="H2140"/>
      <c r="I2140"/>
      <c r="J2140"/>
      <c r="K2140"/>
      <c r="L2140"/>
      <c r="M2140"/>
      <c r="N2140"/>
      <c r="O2140"/>
      <c r="P2140"/>
      <c r="Q2140"/>
      <c r="R2140"/>
      <c r="S2140"/>
      <c r="T2140"/>
      <c r="U2140"/>
      <c r="V2140"/>
      <c r="W2140"/>
      <c r="X2140"/>
      <c r="Y2140"/>
      <c r="Z2140"/>
      <c r="AA2140"/>
      <c r="AB2140"/>
      <c r="AC2140"/>
      <c r="AD2140"/>
      <c r="AE2140"/>
      <c r="AF2140"/>
      <c r="AG2140"/>
      <c r="AH2140"/>
      <c r="AI2140"/>
      <c r="AJ2140"/>
      <c r="AK2140"/>
      <c r="AL2140"/>
      <c r="AM2140"/>
      <c r="AN2140"/>
      <c r="AO2140"/>
      <c r="AP2140"/>
      <c r="AQ2140"/>
      <c r="AR2140"/>
      <c r="AS2140"/>
      <c r="AT2140"/>
      <c r="AU2140"/>
      <c r="AV2140"/>
      <c r="AW2140"/>
      <c r="AX2140"/>
      <c r="AY2140"/>
      <c r="AZ2140"/>
      <c r="BA2140"/>
      <c r="BB2140"/>
      <c r="BC2140"/>
      <c r="BD2140"/>
      <c r="BE2140"/>
      <c r="BF2140"/>
      <c r="BG2140"/>
      <c r="BH2140"/>
      <c r="BI2140"/>
      <c r="BJ2140"/>
      <c r="BK2140"/>
      <c r="BL2140"/>
      <c r="BM2140"/>
      <c r="BN2140"/>
      <c r="BO2140"/>
      <c r="BP2140"/>
      <c r="BQ2140"/>
      <c r="BR2140"/>
      <c r="BS2140"/>
      <c r="BT2140"/>
      <c r="BU2140"/>
      <c r="BV2140"/>
      <c r="BW2140"/>
      <c r="BX2140"/>
      <c r="BY2140"/>
      <c r="BZ2140"/>
      <c r="CA2140"/>
      <c r="CB2140"/>
      <c r="CC2140"/>
      <c r="CD2140"/>
      <c r="CE2140"/>
      <c r="CF2140"/>
      <c r="CG2140"/>
      <c r="CH2140"/>
      <c r="CI2140"/>
      <c r="CJ2140"/>
      <c r="CK2140"/>
      <c r="CL2140"/>
      <c r="CM2140"/>
      <c r="CN2140"/>
      <c r="CO2140"/>
      <c r="CP2140"/>
      <c r="CQ2140"/>
      <c r="CR2140"/>
      <c r="CS2140"/>
      <c r="CT2140"/>
      <c r="CU2140"/>
      <c r="CV2140"/>
      <c r="CW2140"/>
      <c r="CX2140"/>
      <c r="CY2140"/>
      <c r="CZ2140"/>
      <c r="DA2140"/>
      <c r="DB2140"/>
      <c r="DC2140"/>
      <c r="DD2140"/>
      <c r="DE2140"/>
      <c r="DF2140"/>
      <c r="DG2140"/>
      <c r="DH2140"/>
      <c r="DI2140"/>
      <c r="DJ2140"/>
      <c r="DK2140"/>
      <c r="DL2140"/>
      <c r="DM2140"/>
      <c r="DN2140"/>
      <c r="DO2140"/>
      <c r="DP2140"/>
      <c r="DQ2140"/>
      <c r="DR2140"/>
      <c r="DS2140"/>
      <c r="DT2140"/>
      <c r="DU2140"/>
      <c r="DV2140"/>
      <c r="DW2140"/>
      <c r="DX2140"/>
      <c r="DY2140"/>
      <c r="DZ2140"/>
      <c r="EA2140"/>
      <c r="EB2140"/>
      <c r="EC2140"/>
      <c r="ED2140"/>
      <c r="EE2140"/>
      <c r="EF2140"/>
      <c r="EG2140"/>
      <c r="EH2140"/>
      <c r="EI2140"/>
      <c r="EJ2140"/>
      <c r="EK2140"/>
      <c r="EL2140"/>
      <c r="EM2140"/>
      <c r="EN2140"/>
      <c r="EO2140"/>
      <c r="EP2140"/>
      <c r="EQ2140"/>
      <c r="ER2140"/>
      <c r="ES2140"/>
    </row>
    <row r="2141" spans="1:149">
      <c r="A2141"/>
      <c r="B2141"/>
      <c r="C2141"/>
      <c r="D2141"/>
      <c r="E2141"/>
      <c r="F2141"/>
      <c r="G2141"/>
      <c r="H2141"/>
      <c r="I2141"/>
      <c r="J2141"/>
      <c r="K2141"/>
      <c r="L2141"/>
      <c r="M2141"/>
      <c r="N2141"/>
      <c r="O2141"/>
      <c r="P2141"/>
      <c r="Q2141"/>
      <c r="R2141"/>
      <c r="S2141"/>
      <c r="T2141"/>
      <c r="U2141"/>
      <c r="V2141"/>
      <c r="W2141"/>
      <c r="X2141"/>
      <c r="Y2141"/>
      <c r="Z2141"/>
      <c r="AA2141"/>
      <c r="AB2141"/>
      <c r="AC2141"/>
      <c r="AD2141"/>
      <c r="AE2141"/>
      <c r="AF2141"/>
      <c r="AG2141"/>
      <c r="AH2141"/>
      <c r="AI2141"/>
      <c r="AJ2141"/>
      <c r="AK2141"/>
      <c r="AL2141"/>
      <c r="AM2141"/>
      <c r="AN2141"/>
      <c r="AO2141"/>
      <c r="AP2141"/>
      <c r="AQ2141"/>
      <c r="AR2141"/>
      <c r="AS2141"/>
      <c r="AT2141"/>
      <c r="AU2141"/>
      <c r="AV2141"/>
      <c r="AW2141"/>
      <c r="AX2141"/>
      <c r="AY2141"/>
      <c r="AZ2141"/>
      <c r="BA2141"/>
      <c r="BB2141"/>
      <c r="BC2141"/>
      <c r="BD2141"/>
      <c r="BE2141"/>
      <c r="BF2141"/>
      <c r="BG2141"/>
      <c r="BH2141"/>
      <c r="BI2141"/>
      <c r="BJ2141"/>
      <c r="BK2141"/>
      <c r="BL2141"/>
      <c r="BM2141"/>
      <c r="BN2141"/>
      <c r="BO2141"/>
      <c r="BP2141"/>
      <c r="BQ2141"/>
      <c r="BR2141"/>
      <c r="BS2141"/>
      <c r="BT2141"/>
      <c r="BU2141"/>
      <c r="BV2141"/>
      <c r="BW2141"/>
      <c r="BX2141"/>
      <c r="BY2141"/>
      <c r="BZ2141"/>
      <c r="CA2141"/>
      <c r="CB2141"/>
      <c r="CC2141"/>
      <c r="CD2141"/>
      <c r="CE2141"/>
      <c r="CF2141"/>
      <c r="CG2141"/>
      <c r="CH2141"/>
      <c r="CI2141"/>
      <c r="CJ2141"/>
      <c r="CK2141"/>
      <c r="CL2141"/>
      <c r="CM2141"/>
      <c r="CN2141"/>
      <c r="CO2141"/>
      <c r="CP2141"/>
      <c r="CQ2141"/>
      <c r="CR2141"/>
      <c r="CS2141"/>
      <c r="CT2141"/>
      <c r="CU2141"/>
      <c r="CV2141"/>
      <c r="CW2141"/>
      <c r="CX2141"/>
      <c r="CY2141"/>
      <c r="CZ2141"/>
      <c r="DA2141"/>
      <c r="DB2141"/>
      <c r="DC2141"/>
      <c r="DD2141"/>
      <c r="DE2141"/>
      <c r="DF2141"/>
      <c r="DG2141"/>
      <c r="DH2141"/>
      <c r="DI2141"/>
      <c r="DJ2141"/>
      <c r="DK2141"/>
      <c r="DL2141"/>
      <c r="DM2141"/>
      <c r="DN2141"/>
      <c r="DO2141"/>
      <c r="DP2141"/>
      <c r="DQ2141"/>
      <c r="DR2141"/>
      <c r="DS2141"/>
      <c r="DT2141"/>
      <c r="DU2141"/>
      <c r="DV2141"/>
      <c r="DW2141"/>
      <c r="DX2141"/>
      <c r="DY2141"/>
      <c r="DZ2141"/>
      <c r="EA2141"/>
      <c r="EB2141"/>
      <c r="EC2141"/>
      <c r="ED2141"/>
      <c r="EE2141"/>
      <c r="EF2141"/>
      <c r="EG2141"/>
      <c r="EH2141"/>
      <c r="EI2141"/>
      <c r="EJ2141"/>
      <c r="EK2141"/>
      <c r="EL2141"/>
      <c r="EM2141"/>
      <c r="EN2141"/>
      <c r="EO2141"/>
      <c r="EP2141"/>
      <c r="EQ2141"/>
      <c r="ER2141"/>
      <c r="ES2141"/>
    </row>
    <row r="2142" spans="1:149">
      <c r="A2142"/>
      <c r="B2142"/>
      <c r="C2142"/>
      <c r="D2142"/>
      <c r="E2142"/>
      <c r="F2142"/>
      <c r="G2142"/>
      <c r="H2142"/>
      <c r="I2142"/>
      <c r="J2142"/>
      <c r="K2142"/>
      <c r="L2142"/>
      <c r="M2142"/>
      <c r="N2142"/>
      <c r="O2142"/>
      <c r="P2142"/>
      <c r="Q2142"/>
      <c r="R2142"/>
      <c r="S2142"/>
      <c r="T2142"/>
      <c r="U2142"/>
      <c r="V2142"/>
      <c r="W2142"/>
      <c r="X2142"/>
      <c r="Y2142"/>
      <c r="Z2142"/>
      <c r="AA2142"/>
      <c r="AB2142"/>
      <c r="AC2142"/>
      <c r="AD2142"/>
      <c r="AE2142"/>
      <c r="AF2142"/>
      <c r="AG2142"/>
      <c r="AH2142"/>
      <c r="AI2142"/>
      <c r="AJ2142"/>
      <c r="AK2142"/>
      <c r="AL2142"/>
      <c r="AM2142"/>
      <c r="AN2142"/>
      <c r="AO2142"/>
      <c r="AP2142"/>
      <c r="AQ2142"/>
      <c r="AR2142"/>
      <c r="AS2142"/>
      <c r="AT2142"/>
      <c r="AU2142"/>
      <c r="AV2142"/>
      <c r="AW2142"/>
      <c r="AX2142"/>
      <c r="AY2142"/>
      <c r="AZ2142"/>
      <c r="BA2142"/>
      <c r="BB2142"/>
      <c r="BC2142"/>
      <c r="BD2142"/>
      <c r="BE2142"/>
      <c r="BF2142"/>
      <c r="BG2142"/>
      <c r="BH2142"/>
      <c r="BI2142"/>
      <c r="BJ2142"/>
      <c r="BK2142"/>
      <c r="BL2142"/>
      <c r="BM2142"/>
      <c r="BN2142"/>
      <c r="BO2142"/>
      <c r="BP2142"/>
      <c r="BQ2142"/>
      <c r="BR2142"/>
      <c r="BS2142"/>
      <c r="BT2142"/>
      <c r="BU2142"/>
      <c r="BV2142"/>
      <c r="BW2142"/>
      <c r="BX2142"/>
      <c r="BY2142"/>
      <c r="BZ2142"/>
      <c r="CA2142"/>
      <c r="CB2142"/>
      <c r="CC2142"/>
      <c r="CD2142"/>
      <c r="CE2142"/>
      <c r="CF2142"/>
      <c r="CG2142"/>
      <c r="CH2142"/>
      <c r="CI2142"/>
      <c r="CJ2142"/>
      <c r="CK2142"/>
      <c r="CL2142"/>
      <c r="CM2142"/>
      <c r="CN2142"/>
      <c r="CO2142"/>
      <c r="CP2142"/>
      <c r="CQ2142"/>
      <c r="CR2142"/>
      <c r="CS2142"/>
      <c r="CT2142"/>
      <c r="CU2142"/>
      <c r="CV2142"/>
      <c r="CW2142"/>
      <c r="CX2142"/>
      <c r="CY2142"/>
      <c r="CZ2142"/>
      <c r="DA2142"/>
      <c r="DB2142"/>
      <c r="DC2142"/>
      <c r="DD2142"/>
      <c r="DE2142"/>
      <c r="DF2142"/>
      <c r="DG2142"/>
      <c r="DH2142"/>
      <c r="DI2142"/>
      <c r="DJ2142"/>
      <c r="DK2142"/>
      <c r="DL2142"/>
      <c r="DM2142"/>
      <c r="DN2142"/>
      <c r="DO2142"/>
      <c r="DP2142"/>
      <c r="DQ2142"/>
      <c r="DR2142"/>
      <c r="DS2142"/>
      <c r="DT2142"/>
      <c r="DU2142"/>
      <c r="DV2142"/>
      <c r="DW2142"/>
      <c r="DX2142"/>
      <c r="DY2142"/>
      <c r="DZ2142"/>
      <c r="EA2142"/>
      <c r="EB2142"/>
      <c r="EC2142"/>
      <c r="ED2142"/>
      <c r="EE2142"/>
      <c r="EF2142"/>
      <c r="EG2142"/>
      <c r="EH2142"/>
      <c r="EI2142"/>
      <c r="EJ2142"/>
      <c r="EK2142"/>
      <c r="EL2142"/>
      <c r="EM2142"/>
      <c r="EN2142"/>
      <c r="EO2142"/>
      <c r="EP2142"/>
      <c r="EQ2142"/>
      <c r="ER2142"/>
      <c r="ES2142"/>
    </row>
    <row r="2143" spans="1:149">
      <c r="A2143"/>
      <c r="B2143"/>
      <c r="C2143"/>
      <c r="D2143"/>
      <c r="E2143"/>
      <c r="F2143"/>
      <c r="G2143"/>
      <c r="H2143"/>
      <c r="I2143"/>
      <c r="J2143"/>
      <c r="K2143"/>
      <c r="L2143"/>
      <c r="M2143"/>
      <c r="N2143"/>
      <c r="O2143"/>
      <c r="P2143"/>
      <c r="Q2143"/>
      <c r="R2143"/>
      <c r="S2143"/>
      <c r="T2143"/>
      <c r="U2143"/>
      <c r="V2143"/>
      <c r="W2143"/>
      <c r="X2143"/>
      <c r="Y2143"/>
      <c r="Z2143"/>
      <c r="AA2143"/>
      <c r="AB2143"/>
      <c r="AC2143"/>
      <c r="AD2143"/>
      <c r="AE2143"/>
      <c r="AF2143"/>
      <c r="AG2143"/>
      <c r="AH2143"/>
      <c r="AI2143"/>
      <c r="AJ2143"/>
      <c r="AK2143"/>
      <c r="AL2143"/>
      <c r="AM2143"/>
      <c r="AN2143"/>
      <c r="AO2143"/>
      <c r="AP2143"/>
      <c r="AQ2143"/>
      <c r="AR2143"/>
      <c r="AS2143"/>
      <c r="AT2143"/>
      <c r="AU2143"/>
      <c r="AV2143"/>
      <c r="AW2143"/>
      <c r="AX2143"/>
      <c r="AY2143"/>
      <c r="AZ2143"/>
      <c r="BA2143"/>
      <c r="BB2143"/>
      <c r="BC2143"/>
      <c r="BD2143"/>
      <c r="BE2143"/>
      <c r="BF2143"/>
      <c r="BG2143"/>
      <c r="BH2143"/>
      <c r="BI2143"/>
      <c r="BJ2143"/>
      <c r="BK2143"/>
      <c r="BL2143"/>
      <c r="BM2143"/>
      <c r="BN2143"/>
      <c r="BO2143"/>
      <c r="BP2143"/>
      <c r="BQ2143"/>
      <c r="BR2143"/>
      <c r="BS2143"/>
      <c r="BT2143"/>
      <c r="BU2143"/>
      <c r="BV2143"/>
      <c r="BW2143"/>
      <c r="BX2143"/>
      <c r="BY2143"/>
      <c r="BZ2143"/>
      <c r="CA2143"/>
      <c r="CB2143"/>
      <c r="CC2143"/>
      <c r="CD2143"/>
      <c r="CE2143"/>
      <c r="CF2143"/>
      <c r="CG2143"/>
      <c r="CH2143"/>
      <c r="CI2143"/>
      <c r="CJ2143"/>
      <c r="CK2143"/>
      <c r="CL2143"/>
      <c r="CM2143"/>
      <c r="CN2143"/>
      <c r="CO2143"/>
      <c r="CP2143"/>
      <c r="CQ2143"/>
      <c r="CR2143"/>
      <c r="CS2143"/>
      <c r="CT2143"/>
      <c r="CU2143"/>
      <c r="CV2143"/>
      <c r="CW2143"/>
      <c r="CX2143"/>
      <c r="CY2143"/>
      <c r="CZ2143"/>
      <c r="DA2143"/>
      <c r="DB2143"/>
      <c r="DC2143"/>
      <c r="DD2143"/>
      <c r="DE2143"/>
      <c r="DF2143"/>
      <c r="DG2143"/>
      <c r="DH2143"/>
      <c r="DI2143"/>
      <c r="DJ2143"/>
      <c r="DK2143"/>
      <c r="DL2143"/>
      <c r="DM2143"/>
      <c r="DN2143"/>
      <c r="DO2143"/>
      <c r="DP2143"/>
      <c r="DQ2143"/>
      <c r="DR2143"/>
      <c r="DS2143"/>
      <c r="DT2143"/>
      <c r="DU2143"/>
      <c r="DV2143"/>
      <c r="DW2143"/>
      <c r="DX2143"/>
      <c r="DY2143"/>
      <c r="DZ2143"/>
      <c r="EA2143"/>
      <c r="EB2143"/>
      <c r="EC2143"/>
      <c r="ED2143"/>
      <c r="EE2143"/>
      <c r="EF2143"/>
      <c r="EG2143"/>
      <c r="EH2143"/>
      <c r="EI2143"/>
      <c r="EJ2143"/>
      <c r="EK2143"/>
      <c r="EL2143"/>
      <c r="EM2143"/>
      <c r="EN2143"/>
      <c r="EO2143"/>
      <c r="EP2143"/>
      <c r="EQ2143"/>
      <c r="ER2143"/>
      <c r="ES2143"/>
    </row>
    <row r="2144" spans="1:149">
      <c r="A2144"/>
      <c r="B2144"/>
      <c r="C2144"/>
      <c r="D2144"/>
      <c r="E2144"/>
      <c r="F2144"/>
      <c r="G2144"/>
      <c r="H2144"/>
      <c r="I2144"/>
      <c r="J2144"/>
      <c r="K2144"/>
      <c r="L2144"/>
      <c r="M2144"/>
      <c r="N2144"/>
      <c r="O2144"/>
      <c r="P2144"/>
      <c r="Q2144"/>
      <c r="R2144"/>
      <c r="S2144"/>
      <c r="T2144"/>
      <c r="U2144"/>
      <c r="V2144"/>
      <c r="W2144"/>
      <c r="X2144"/>
      <c r="Y2144"/>
      <c r="Z2144"/>
      <c r="AA2144"/>
      <c r="AB2144"/>
      <c r="AC2144"/>
      <c r="AD2144"/>
      <c r="AE2144"/>
      <c r="AF2144"/>
      <c r="AG2144"/>
      <c r="AH2144"/>
      <c r="AI2144"/>
      <c r="AJ2144"/>
      <c r="AK2144"/>
      <c r="AL2144"/>
      <c r="AM2144"/>
      <c r="AN2144"/>
      <c r="AO2144"/>
      <c r="AP2144"/>
      <c r="AQ2144"/>
      <c r="AR2144"/>
      <c r="AS2144"/>
      <c r="AT2144"/>
      <c r="AU2144"/>
      <c r="AV2144"/>
      <c r="AW2144"/>
      <c r="AX2144"/>
      <c r="AY2144"/>
      <c r="AZ2144"/>
      <c r="BA2144"/>
      <c r="BB2144"/>
      <c r="BC2144"/>
      <c r="BD2144"/>
      <c r="BE2144"/>
      <c r="BF2144"/>
      <c r="BG2144"/>
      <c r="BH2144"/>
      <c r="BI2144"/>
      <c r="BJ2144"/>
      <c r="BK2144"/>
      <c r="BL2144"/>
      <c r="BM2144"/>
      <c r="BN2144"/>
      <c r="BO2144"/>
      <c r="BP2144"/>
      <c r="BQ2144"/>
      <c r="BR2144"/>
      <c r="BS2144"/>
      <c r="BT2144"/>
      <c r="BU2144"/>
      <c r="BV2144"/>
      <c r="BW2144"/>
      <c r="BX2144"/>
      <c r="BY2144"/>
      <c r="BZ2144"/>
      <c r="CA2144"/>
      <c r="CB2144"/>
      <c r="CC2144"/>
      <c r="CD2144"/>
      <c r="CE2144"/>
      <c r="CF2144"/>
      <c r="CG2144"/>
      <c r="CH2144"/>
      <c r="CI2144"/>
      <c r="CJ2144"/>
      <c r="CK2144"/>
      <c r="CL2144"/>
      <c r="CM2144"/>
      <c r="CN2144"/>
      <c r="CO2144"/>
      <c r="CP2144"/>
      <c r="CQ2144"/>
      <c r="CR2144"/>
      <c r="CS2144"/>
      <c r="CT2144"/>
      <c r="CU2144"/>
      <c r="CV2144"/>
      <c r="CW2144"/>
      <c r="CX2144"/>
      <c r="CY2144"/>
      <c r="CZ2144"/>
      <c r="DA2144"/>
      <c r="DB2144"/>
      <c r="DC2144"/>
      <c r="DD2144"/>
      <c r="DE2144"/>
      <c r="DF2144"/>
      <c r="DG2144"/>
      <c r="DH2144"/>
      <c r="DI2144"/>
      <c r="DJ2144"/>
      <c r="DK2144"/>
      <c r="DL2144"/>
      <c r="DM2144"/>
      <c r="DN2144"/>
      <c r="DO2144"/>
      <c r="DP2144"/>
      <c r="DQ2144"/>
      <c r="DR2144"/>
      <c r="DS2144"/>
      <c r="DT2144"/>
      <c r="DU2144"/>
      <c r="DV2144"/>
      <c r="DW2144"/>
      <c r="DX2144"/>
      <c r="DY2144"/>
      <c r="DZ2144"/>
      <c r="EA2144"/>
      <c r="EB2144"/>
      <c r="EC2144"/>
      <c r="ED2144"/>
      <c r="EE2144"/>
      <c r="EF2144"/>
      <c r="EG2144"/>
      <c r="EH2144"/>
      <c r="EI2144"/>
      <c r="EJ2144"/>
      <c r="EK2144"/>
      <c r="EL2144"/>
      <c r="EM2144"/>
      <c r="EN2144"/>
      <c r="EO2144"/>
      <c r="EP2144"/>
      <c r="EQ2144"/>
      <c r="ER2144"/>
      <c r="ES2144"/>
    </row>
    <row r="2145" spans="1:149">
      <c r="A2145"/>
      <c r="B2145"/>
      <c r="C2145"/>
      <c r="D2145"/>
      <c r="E2145"/>
      <c r="F2145"/>
      <c r="G2145"/>
      <c r="H2145"/>
      <c r="I2145"/>
      <c r="J2145"/>
      <c r="K2145"/>
      <c r="L2145"/>
      <c r="M2145"/>
      <c r="N2145"/>
      <c r="O2145"/>
      <c r="P2145"/>
      <c r="Q2145"/>
      <c r="R2145"/>
      <c r="S2145"/>
      <c r="T2145"/>
      <c r="U2145"/>
      <c r="V2145"/>
      <c r="W2145"/>
      <c r="X2145"/>
      <c r="Y2145"/>
      <c r="Z2145"/>
      <c r="AA2145"/>
      <c r="AB2145"/>
      <c r="AC2145"/>
      <c r="AD2145"/>
      <c r="AE2145"/>
      <c r="AF2145"/>
      <c r="AG2145"/>
      <c r="AH2145"/>
      <c r="AI2145"/>
      <c r="AJ2145"/>
      <c r="AK2145"/>
      <c r="AL2145"/>
      <c r="AM2145"/>
      <c r="AN2145"/>
      <c r="AO2145"/>
      <c r="AP2145"/>
      <c r="AQ2145"/>
      <c r="AR2145"/>
      <c r="AS2145"/>
      <c r="AT2145"/>
      <c r="AU2145"/>
      <c r="AV2145"/>
      <c r="AW2145"/>
      <c r="AX2145"/>
      <c r="AY2145"/>
      <c r="AZ2145"/>
      <c r="BA2145"/>
      <c r="BB2145"/>
      <c r="BC2145"/>
      <c r="BD2145"/>
      <c r="BE2145"/>
      <c r="BF2145"/>
      <c r="BG2145"/>
      <c r="BH2145"/>
      <c r="BI2145"/>
      <c r="BJ2145"/>
      <c r="BK2145"/>
      <c r="BL2145"/>
      <c r="BM2145"/>
      <c r="BN2145"/>
      <c r="BO2145"/>
      <c r="BP2145"/>
      <c r="BQ2145"/>
      <c r="BR2145"/>
      <c r="BS2145"/>
      <c r="BT2145"/>
      <c r="BU2145"/>
      <c r="BV2145"/>
      <c r="BW2145"/>
      <c r="BX2145"/>
      <c r="BY2145"/>
      <c r="BZ2145"/>
      <c r="CA2145"/>
      <c r="CB2145"/>
      <c r="CC2145"/>
      <c r="CD2145"/>
      <c r="CE2145"/>
      <c r="CF2145"/>
      <c r="CG2145"/>
      <c r="CH2145"/>
      <c r="CI2145"/>
      <c r="CJ2145"/>
      <c r="CK2145"/>
      <c r="CL2145"/>
      <c r="CM2145"/>
      <c r="CN2145"/>
      <c r="CO2145"/>
      <c r="CP2145"/>
      <c r="CQ2145"/>
      <c r="CR2145"/>
      <c r="CS2145"/>
      <c r="CT2145"/>
      <c r="CU2145"/>
      <c r="CV2145"/>
      <c r="CW2145"/>
      <c r="CX2145"/>
      <c r="CY2145"/>
      <c r="CZ2145"/>
      <c r="DA2145"/>
      <c r="DB2145"/>
      <c r="DC2145"/>
      <c r="DD2145"/>
      <c r="DE2145"/>
      <c r="DF2145"/>
      <c r="DG2145"/>
      <c r="DH2145"/>
      <c r="DI2145"/>
      <c r="DJ2145"/>
      <c r="DK2145"/>
      <c r="DL2145"/>
      <c r="DM2145"/>
      <c r="DN2145"/>
      <c r="DO2145"/>
      <c r="DP2145"/>
      <c r="DQ2145"/>
      <c r="DR2145"/>
      <c r="DS2145"/>
      <c r="DT2145"/>
      <c r="DU2145"/>
      <c r="DV2145"/>
      <c r="DW2145"/>
      <c r="DX2145"/>
      <c r="DY2145"/>
      <c r="DZ2145"/>
      <c r="EA2145"/>
      <c r="EB2145"/>
      <c r="EC2145"/>
      <c r="ED2145"/>
      <c r="EE2145"/>
      <c r="EF2145"/>
      <c r="EG2145"/>
      <c r="EH2145"/>
      <c r="EI2145"/>
      <c r="EJ2145"/>
      <c r="EK2145"/>
      <c r="EL2145"/>
      <c r="EM2145"/>
      <c r="EN2145"/>
      <c r="EO2145"/>
      <c r="EP2145"/>
      <c r="EQ2145"/>
      <c r="ER2145"/>
      <c r="ES2145"/>
    </row>
    <row r="2146" spans="1:149">
      <c r="A2146"/>
      <c r="B2146"/>
      <c r="C2146"/>
      <c r="D2146"/>
      <c r="E2146"/>
      <c r="F2146"/>
      <c r="G2146"/>
      <c r="H2146"/>
      <c r="I2146"/>
      <c r="J2146"/>
      <c r="K2146"/>
      <c r="L2146"/>
      <c r="M2146"/>
      <c r="N2146"/>
      <c r="O2146"/>
      <c r="P2146"/>
      <c r="Q2146"/>
      <c r="R2146"/>
      <c r="S2146"/>
      <c r="T2146"/>
      <c r="U2146"/>
      <c r="V2146"/>
      <c r="W2146"/>
      <c r="X2146"/>
      <c r="Y2146"/>
      <c r="Z2146"/>
      <c r="AA2146"/>
      <c r="AB2146"/>
      <c r="AC2146"/>
      <c r="AD2146"/>
      <c r="AE2146"/>
      <c r="AF2146"/>
      <c r="AG2146"/>
      <c r="AH2146"/>
      <c r="AI2146"/>
      <c r="AJ2146"/>
      <c r="AK2146"/>
      <c r="AL2146"/>
      <c r="AM2146"/>
      <c r="AN2146"/>
      <c r="AO2146"/>
      <c r="AP2146"/>
      <c r="AQ2146"/>
      <c r="AR2146"/>
      <c r="AS2146"/>
      <c r="AT2146"/>
      <c r="AU2146"/>
      <c r="AV2146"/>
      <c r="AW2146"/>
      <c r="AX2146"/>
      <c r="AY2146"/>
      <c r="AZ2146"/>
      <c r="BA2146"/>
      <c r="BB2146"/>
      <c r="BC2146"/>
      <c r="BD2146"/>
      <c r="BE2146"/>
      <c r="BF2146"/>
      <c r="BG2146"/>
      <c r="BH2146"/>
      <c r="BI2146"/>
      <c r="BJ2146"/>
      <c r="BK2146"/>
      <c r="BL2146"/>
      <c r="BM2146"/>
      <c r="BN2146"/>
      <c r="BO2146"/>
      <c r="BP2146"/>
      <c r="BQ2146"/>
      <c r="BR2146"/>
      <c r="BS2146"/>
      <c r="BT2146"/>
      <c r="BU2146"/>
      <c r="BV2146"/>
      <c r="BW2146"/>
      <c r="BX2146"/>
      <c r="BY2146"/>
      <c r="BZ2146"/>
      <c r="CA2146"/>
      <c r="CB2146"/>
      <c r="CC2146"/>
      <c r="CD2146"/>
      <c r="CE2146"/>
      <c r="CF2146"/>
      <c r="CG2146"/>
      <c r="CH2146"/>
      <c r="CI2146"/>
      <c r="CJ2146"/>
      <c r="CK2146"/>
      <c r="CL2146"/>
      <c r="CM2146"/>
      <c r="CN2146"/>
      <c r="CO2146"/>
      <c r="CP2146"/>
      <c r="CQ2146"/>
      <c r="CR2146"/>
      <c r="CS2146"/>
      <c r="CT2146"/>
      <c r="CU2146"/>
      <c r="CV2146"/>
      <c r="CW2146"/>
      <c r="CX2146"/>
      <c r="CY2146"/>
      <c r="CZ2146"/>
      <c r="DA2146"/>
      <c r="DB2146"/>
      <c r="DC2146"/>
      <c r="DD2146"/>
      <c r="DE2146"/>
      <c r="DF2146"/>
      <c r="DG2146"/>
      <c r="DH2146"/>
      <c r="DI2146"/>
      <c r="DJ2146"/>
      <c r="DK2146"/>
      <c r="DL2146"/>
      <c r="DM2146"/>
      <c r="DN2146"/>
      <c r="DO2146"/>
      <c r="DP2146"/>
      <c r="DQ2146"/>
      <c r="DR2146"/>
      <c r="DS2146"/>
      <c r="DT2146"/>
      <c r="DU2146"/>
      <c r="DV2146"/>
      <c r="DW2146"/>
      <c r="DX2146"/>
      <c r="DY2146"/>
      <c r="DZ2146"/>
      <c r="EA2146"/>
      <c r="EB2146"/>
      <c r="EC2146"/>
      <c r="ED2146"/>
      <c r="EE2146"/>
      <c r="EF2146"/>
      <c r="EG2146"/>
      <c r="EH2146"/>
      <c r="EI2146"/>
      <c r="EJ2146"/>
      <c r="EK2146"/>
      <c r="EL2146"/>
      <c r="EM2146"/>
      <c r="EN2146"/>
      <c r="EO2146"/>
      <c r="EP2146"/>
      <c r="EQ2146"/>
      <c r="ER2146"/>
      <c r="ES2146"/>
    </row>
    <row r="2147" spans="1:149">
      <c r="A2147"/>
      <c r="B2147"/>
      <c r="C2147"/>
      <c r="D2147"/>
      <c r="E2147"/>
      <c r="F2147"/>
      <c r="G2147"/>
      <c r="H2147"/>
      <c r="I2147"/>
      <c r="J2147"/>
      <c r="K2147"/>
      <c r="L2147"/>
      <c r="M2147"/>
      <c r="N2147"/>
      <c r="O2147"/>
      <c r="P2147"/>
      <c r="Q2147"/>
      <c r="R2147"/>
      <c r="S2147"/>
      <c r="T2147"/>
      <c r="U2147"/>
      <c r="V2147"/>
      <c r="W2147"/>
      <c r="X2147"/>
      <c r="Y2147"/>
      <c r="Z2147"/>
      <c r="AA2147"/>
      <c r="AB2147"/>
      <c r="AC2147"/>
      <c r="AD2147"/>
      <c r="AE2147"/>
      <c r="AF2147"/>
      <c r="AG2147"/>
      <c r="AH2147"/>
      <c r="AI2147"/>
      <c r="AJ2147"/>
      <c r="AK2147"/>
      <c r="AL2147"/>
      <c r="AM2147"/>
      <c r="AN2147"/>
      <c r="AO2147"/>
      <c r="AP2147"/>
      <c r="AQ2147"/>
      <c r="AR2147"/>
      <c r="AS2147"/>
      <c r="AT2147"/>
      <c r="AU2147"/>
      <c r="AV2147"/>
      <c r="AW2147"/>
      <c r="AX2147"/>
      <c r="AY2147"/>
      <c r="AZ2147"/>
      <c r="BA2147"/>
      <c r="BB2147"/>
      <c r="BC2147"/>
      <c r="BD2147"/>
      <c r="BE2147"/>
      <c r="BF2147"/>
      <c r="BG2147"/>
      <c r="BH2147"/>
      <c r="BI2147"/>
      <c r="BJ2147"/>
      <c r="BK2147"/>
      <c r="BL2147"/>
      <c r="BM2147"/>
      <c r="BN2147"/>
      <c r="BO2147"/>
      <c r="BP2147"/>
      <c r="BQ2147"/>
      <c r="BR2147"/>
      <c r="BS2147"/>
      <c r="BT2147"/>
      <c r="BU2147"/>
      <c r="BV2147"/>
      <c r="BW2147"/>
      <c r="BX2147"/>
      <c r="BY2147"/>
      <c r="BZ2147"/>
      <c r="CA2147"/>
      <c r="CB2147"/>
      <c r="CC2147"/>
      <c r="CD2147"/>
      <c r="CE2147"/>
      <c r="CF2147"/>
      <c r="CG2147"/>
      <c r="CH2147"/>
      <c r="CI2147"/>
      <c r="CJ2147"/>
      <c r="CK2147"/>
      <c r="CL2147"/>
      <c r="CM2147"/>
      <c r="CN2147"/>
      <c r="CO2147"/>
      <c r="CP2147"/>
      <c r="CQ2147"/>
      <c r="CR2147"/>
      <c r="CS2147"/>
      <c r="CT2147"/>
      <c r="CU2147"/>
      <c r="CV2147"/>
      <c r="CW2147"/>
      <c r="CX2147"/>
      <c r="CY2147"/>
      <c r="CZ2147"/>
      <c r="DA2147"/>
      <c r="DB2147"/>
      <c r="DC2147"/>
      <c r="DD2147"/>
      <c r="DE2147"/>
      <c r="DF2147"/>
      <c r="DG2147"/>
      <c r="DH2147"/>
      <c r="DI2147"/>
      <c r="DJ2147"/>
      <c r="DK2147"/>
      <c r="DL2147"/>
      <c r="DM2147"/>
      <c r="DN2147"/>
      <c r="DO2147"/>
      <c r="DP2147"/>
      <c r="DQ2147"/>
      <c r="DR2147"/>
      <c r="DS2147"/>
      <c r="DT2147"/>
      <c r="DU2147"/>
      <c r="DV2147"/>
      <c r="DW2147"/>
      <c r="DX2147"/>
      <c r="DY2147"/>
      <c r="DZ2147"/>
      <c r="EA2147"/>
      <c r="EB2147"/>
      <c r="EC2147"/>
      <c r="ED2147"/>
      <c r="EE2147"/>
      <c r="EF2147"/>
      <c r="EG2147"/>
      <c r="EH2147"/>
      <c r="EI2147"/>
      <c r="EJ2147"/>
      <c r="EK2147"/>
      <c r="EL2147"/>
      <c r="EM2147"/>
      <c r="EN2147"/>
      <c r="EO2147"/>
      <c r="EP2147"/>
      <c r="EQ2147"/>
      <c r="ER2147"/>
      <c r="ES2147"/>
    </row>
    <row r="2148" spans="1:149">
      <c r="A2148"/>
      <c r="B2148"/>
      <c r="C2148"/>
      <c r="D2148"/>
      <c r="E2148"/>
      <c r="F2148"/>
      <c r="G2148"/>
      <c r="H2148"/>
      <c r="I2148"/>
      <c r="J2148"/>
      <c r="K2148"/>
      <c r="L2148"/>
      <c r="M2148"/>
      <c r="N2148"/>
      <c r="O2148"/>
      <c r="P2148"/>
      <c r="Q2148"/>
      <c r="R2148"/>
      <c r="S2148"/>
      <c r="T2148"/>
      <c r="U2148"/>
      <c r="V2148"/>
      <c r="W2148"/>
      <c r="X2148"/>
      <c r="Y2148"/>
      <c r="Z2148"/>
      <c r="AA2148"/>
      <c r="AB2148"/>
      <c r="AC2148"/>
      <c r="AD2148"/>
      <c r="AE2148"/>
      <c r="AF2148"/>
      <c r="AG2148"/>
      <c r="AH2148"/>
      <c r="AI2148"/>
      <c r="AJ2148"/>
      <c r="AK2148"/>
      <c r="AL2148"/>
      <c r="AM2148"/>
      <c r="AN2148"/>
      <c r="AO2148"/>
      <c r="AP2148"/>
      <c r="AQ2148"/>
      <c r="AR2148"/>
      <c r="AS2148"/>
      <c r="AT2148"/>
      <c r="AU2148"/>
      <c r="AV2148"/>
      <c r="AW2148"/>
      <c r="AX2148"/>
      <c r="AY2148"/>
      <c r="AZ2148"/>
      <c r="BA2148"/>
      <c r="BB2148"/>
      <c r="BC2148"/>
      <c r="BD2148"/>
      <c r="BE2148"/>
      <c r="BF2148"/>
      <c r="BG2148"/>
      <c r="BH2148"/>
      <c r="BI2148"/>
      <c r="BJ2148"/>
      <c r="BK2148"/>
      <c r="BL2148"/>
      <c r="BM2148"/>
      <c r="BN2148"/>
      <c r="BO2148"/>
      <c r="BP2148"/>
      <c r="BQ2148"/>
      <c r="BR2148"/>
      <c r="BS2148"/>
      <c r="BT2148"/>
      <c r="BU2148"/>
      <c r="BV2148"/>
      <c r="BW2148"/>
      <c r="BX2148"/>
      <c r="BY2148"/>
      <c r="BZ2148"/>
      <c r="CA2148"/>
      <c r="CB2148"/>
      <c r="CC2148"/>
      <c r="CD2148"/>
      <c r="CE2148"/>
      <c r="CF2148"/>
      <c r="CG2148"/>
      <c r="CH2148"/>
      <c r="CI2148"/>
      <c r="CJ2148"/>
      <c r="CK2148"/>
      <c r="CL2148"/>
      <c r="CM2148"/>
      <c r="CN2148"/>
      <c r="CO2148"/>
      <c r="CP2148"/>
      <c r="CQ2148"/>
      <c r="CR2148"/>
      <c r="CS2148"/>
      <c r="CT2148"/>
      <c r="CU2148"/>
      <c r="CV2148"/>
      <c r="CW2148"/>
      <c r="CX2148"/>
      <c r="CY2148"/>
      <c r="CZ2148"/>
      <c r="DA2148"/>
      <c r="DB2148"/>
      <c r="DC2148"/>
      <c r="DD2148"/>
      <c r="DE2148"/>
      <c r="DF2148"/>
      <c r="DG2148"/>
      <c r="DH2148"/>
      <c r="DI2148"/>
      <c r="DJ2148"/>
      <c r="DK2148"/>
      <c r="DL2148"/>
      <c r="DM2148"/>
      <c r="DN2148"/>
      <c r="DO2148"/>
      <c r="DP2148"/>
      <c r="DQ2148"/>
      <c r="DR2148"/>
      <c r="DS2148"/>
      <c r="DT2148"/>
      <c r="DU2148"/>
      <c r="DV2148"/>
      <c r="DW2148"/>
      <c r="DX2148"/>
      <c r="DY2148"/>
      <c r="DZ2148"/>
      <c r="EA2148"/>
      <c r="EB2148"/>
      <c r="EC2148"/>
      <c r="ED2148"/>
      <c r="EE2148"/>
      <c r="EF2148"/>
      <c r="EG2148"/>
      <c r="EH2148"/>
      <c r="EI2148"/>
      <c r="EJ2148"/>
      <c r="EK2148"/>
      <c r="EL2148"/>
      <c r="EM2148"/>
      <c r="EN2148"/>
      <c r="EO2148"/>
      <c r="EP2148"/>
      <c r="EQ2148"/>
      <c r="ER2148"/>
      <c r="ES2148"/>
    </row>
    <row r="2149" spans="1:149">
      <c r="A2149"/>
      <c r="B2149"/>
      <c r="C2149"/>
      <c r="D2149"/>
      <c r="E2149"/>
      <c r="F2149"/>
      <c r="G2149"/>
      <c r="H2149"/>
      <c r="I2149"/>
      <c r="J2149"/>
      <c r="K2149"/>
      <c r="L2149"/>
      <c r="M2149"/>
      <c r="N2149"/>
      <c r="O2149"/>
      <c r="P2149"/>
      <c r="Q2149"/>
      <c r="R2149"/>
      <c r="S2149"/>
      <c r="T2149"/>
      <c r="U2149"/>
      <c r="V2149"/>
      <c r="W2149"/>
      <c r="X2149"/>
      <c r="Y2149"/>
      <c r="Z2149"/>
      <c r="AA2149"/>
      <c r="AB2149"/>
      <c r="AC2149"/>
      <c r="AD2149"/>
      <c r="AE2149"/>
      <c r="AF2149"/>
      <c r="AG2149"/>
      <c r="AH2149"/>
      <c r="AI2149"/>
      <c r="AJ2149"/>
      <c r="AK2149"/>
      <c r="AL2149"/>
      <c r="AM2149"/>
      <c r="AN2149"/>
      <c r="AO2149"/>
      <c r="AP2149"/>
      <c r="AQ2149"/>
      <c r="AR2149"/>
      <c r="AS2149"/>
      <c r="AT2149"/>
      <c r="AU2149"/>
      <c r="AV2149"/>
      <c r="AW2149"/>
      <c r="AX2149"/>
      <c r="AY2149"/>
      <c r="AZ2149"/>
      <c r="BA2149"/>
      <c r="BB2149"/>
      <c r="BC2149"/>
      <c r="BD2149"/>
      <c r="BE2149"/>
      <c r="BF2149"/>
      <c r="BG2149"/>
      <c r="BH2149"/>
      <c r="BI2149"/>
      <c r="BJ2149"/>
      <c r="BK2149"/>
      <c r="BL2149"/>
      <c r="BM2149"/>
      <c r="BN2149"/>
      <c r="BO2149"/>
      <c r="BP2149"/>
      <c r="BQ2149"/>
      <c r="BR2149"/>
      <c r="BS2149"/>
      <c r="BT2149"/>
      <c r="BU2149"/>
      <c r="BV2149"/>
      <c r="BW2149"/>
      <c r="BX2149"/>
      <c r="BY2149"/>
      <c r="BZ2149"/>
      <c r="CA2149"/>
      <c r="CB2149"/>
      <c r="CC2149"/>
      <c r="CD2149"/>
      <c r="CE2149"/>
      <c r="CF2149"/>
      <c r="CG2149"/>
      <c r="CH2149"/>
      <c r="CI2149"/>
      <c r="CJ2149"/>
      <c r="CK2149"/>
      <c r="CL2149"/>
      <c r="CM2149"/>
      <c r="CN2149"/>
      <c r="CO2149"/>
      <c r="CP2149"/>
      <c r="CQ2149"/>
      <c r="CR2149"/>
      <c r="CS2149"/>
      <c r="CT2149"/>
      <c r="CU2149"/>
      <c r="CV2149"/>
      <c r="CW2149"/>
      <c r="CX2149"/>
      <c r="CY2149"/>
      <c r="CZ2149"/>
      <c r="DA2149"/>
      <c r="DB2149"/>
      <c r="DC2149"/>
      <c r="DD2149"/>
      <c r="DE2149"/>
      <c r="DF2149"/>
      <c r="DG2149"/>
      <c r="DH2149"/>
      <c r="DI2149"/>
      <c r="DJ2149"/>
      <c r="DK2149"/>
      <c r="DL2149"/>
      <c r="DM2149"/>
      <c r="DN2149"/>
      <c r="DO2149"/>
      <c r="DP2149"/>
      <c r="DQ2149"/>
      <c r="DR2149"/>
      <c r="DS2149"/>
      <c r="DT2149"/>
      <c r="DU2149"/>
      <c r="DV2149"/>
      <c r="DW2149"/>
      <c r="DX2149"/>
      <c r="DY2149"/>
      <c r="DZ2149"/>
      <c r="EA2149"/>
      <c r="EB2149"/>
      <c r="EC2149"/>
      <c r="ED2149"/>
      <c r="EE2149"/>
      <c r="EF2149"/>
      <c r="EG2149"/>
      <c r="EH2149"/>
      <c r="EI2149"/>
      <c r="EJ2149"/>
      <c r="EK2149"/>
      <c r="EL2149"/>
      <c r="EM2149"/>
      <c r="EN2149"/>
      <c r="EO2149"/>
      <c r="EP2149"/>
      <c r="EQ2149"/>
      <c r="ER2149"/>
      <c r="ES2149"/>
    </row>
    <row r="2150" spans="1:149">
      <c r="A2150"/>
      <c r="B2150"/>
      <c r="C2150"/>
      <c r="D2150"/>
      <c r="E2150"/>
      <c r="F2150"/>
      <c r="G2150"/>
      <c r="H2150"/>
      <c r="I2150"/>
      <c r="J2150"/>
      <c r="K2150"/>
      <c r="L2150"/>
      <c r="M2150"/>
      <c r="N2150"/>
      <c r="O2150"/>
      <c r="P2150"/>
      <c r="Q2150"/>
      <c r="R2150"/>
      <c r="S2150"/>
      <c r="T2150"/>
      <c r="U2150"/>
      <c r="V2150"/>
      <c r="W2150"/>
      <c r="X2150"/>
      <c r="Y2150"/>
      <c r="Z2150"/>
      <c r="AA2150"/>
      <c r="AB2150"/>
      <c r="AC2150"/>
      <c r="AD2150"/>
      <c r="AE2150"/>
      <c r="AF2150"/>
      <c r="AG2150"/>
      <c r="AH2150"/>
      <c r="AI2150"/>
      <c r="AJ2150"/>
      <c r="AK2150"/>
      <c r="AL2150"/>
      <c r="AM2150"/>
      <c r="AN2150"/>
      <c r="AO2150"/>
      <c r="AP2150"/>
      <c r="AQ2150"/>
      <c r="AR2150"/>
      <c r="AS2150"/>
      <c r="AT2150"/>
      <c r="AU2150"/>
      <c r="AV2150"/>
      <c r="AW2150"/>
      <c r="AX2150"/>
      <c r="AY2150"/>
      <c r="AZ2150"/>
      <c r="BA2150"/>
      <c r="BB2150"/>
      <c r="BC2150"/>
      <c r="BD2150"/>
      <c r="BE2150"/>
      <c r="BF2150"/>
      <c r="BG2150"/>
      <c r="BH2150"/>
      <c r="BI2150"/>
      <c r="BJ2150"/>
      <c r="BK2150"/>
      <c r="BL2150"/>
      <c r="BM2150"/>
      <c r="BN2150"/>
      <c r="BO2150"/>
      <c r="BP2150"/>
      <c r="BQ2150"/>
      <c r="BR2150"/>
      <c r="BS2150"/>
      <c r="BT2150"/>
      <c r="BU2150"/>
      <c r="BV2150"/>
      <c r="BW2150"/>
      <c r="BX2150"/>
      <c r="BY2150"/>
      <c r="BZ2150"/>
      <c r="CA2150"/>
      <c r="CB2150"/>
      <c r="CC2150"/>
      <c r="CD2150"/>
      <c r="CE2150"/>
      <c r="CF2150"/>
      <c r="CG2150"/>
      <c r="CH2150"/>
      <c r="CI2150"/>
      <c r="CJ2150"/>
      <c r="CK2150"/>
      <c r="CL2150"/>
      <c r="CM2150"/>
      <c r="CN2150"/>
      <c r="CO2150"/>
      <c r="CP2150"/>
      <c r="CQ2150"/>
      <c r="CR2150"/>
      <c r="CS2150"/>
      <c r="CT2150"/>
      <c r="CU2150"/>
      <c r="CV2150"/>
      <c r="CW2150"/>
      <c r="CX2150"/>
      <c r="CY2150"/>
      <c r="CZ2150"/>
      <c r="DA2150"/>
      <c r="DB2150"/>
      <c r="DC2150"/>
      <c r="DD2150"/>
      <c r="DE2150"/>
      <c r="DF2150"/>
      <c r="DG2150"/>
      <c r="DH2150"/>
      <c r="DI2150"/>
      <c r="DJ2150"/>
      <c r="DK2150"/>
      <c r="DL2150"/>
      <c r="DM2150"/>
      <c r="DN2150"/>
      <c r="DO2150"/>
      <c r="DP2150"/>
      <c r="DQ2150"/>
      <c r="DR2150"/>
      <c r="DS2150"/>
      <c r="DT2150"/>
      <c r="DU2150"/>
      <c r="DV2150"/>
      <c r="DW2150"/>
      <c r="DX2150"/>
      <c r="DY2150"/>
      <c r="DZ2150"/>
      <c r="EA2150"/>
      <c r="EB2150"/>
      <c r="EC2150"/>
      <c r="ED2150"/>
      <c r="EE2150"/>
      <c r="EF2150"/>
      <c r="EG2150"/>
      <c r="EH2150"/>
      <c r="EI2150"/>
      <c r="EJ2150"/>
      <c r="EK2150"/>
      <c r="EL2150"/>
      <c r="EM2150"/>
      <c r="EN2150"/>
      <c r="EO2150"/>
      <c r="EP2150"/>
      <c r="EQ2150"/>
      <c r="ER2150"/>
      <c r="ES2150"/>
    </row>
    <row r="2151" spans="1:149">
      <c r="A2151"/>
      <c r="B2151"/>
      <c r="C2151"/>
      <c r="D2151"/>
      <c r="E2151"/>
      <c r="F2151"/>
      <c r="G2151"/>
      <c r="H2151"/>
      <c r="I2151"/>
      <c r="J2151"/>
      <c r="K2151"/>
      <c r="L2151"/>
      <c r="M2151"/>
      <c r="N2151"/>
      <c r="O2151"/>
      <c r="P2151"/>
      <c r="Q2151"/>
      <c r="R2151"/>
      <c r="S2151"/>
      <c r="T2151"/>
      <c r="U2151"/>
      <c r="V2151"/>
      <c r="W2151"/>
      <c r="X2151"/>
      <c r="Y2151"/>
      <c r="Z2151"/>
      <c r="AA2151"/>
      <c r="AB2151"/>
      <c r="AC2151"/>
      <c r="AD2151"/>
      <c r="AE2151"/>
      <c r="AF2151"/>
      <c r="AG2151"/>
      <c r="AH2151"/>
      <c r="AI2151"/>
      <c r="AJ2151"/>
      <c r="AK2151"/>
      <c r="AL2151"/>
      <c r="AM2151"/>
      <c r="AN2151"/>
      <c r="AO2151"/>
      <c r="AP2151"/>
      <c r="AQ2151"/>
      <c r="AR2151"/>
      <c r="AS2151"/>
      <c r="AT2151"/>
      <c r="AU2151"/>
      <c r="AV2151"/>
      <c r="AW2151"/>
      <c r="AX2151"/>
      <c r="AY2151"/>
      <c r="AZ2151"/>
      <c r="BA2151"/>
      <c r="BB2151"/>
      <c r="BC2151"/>
      <c r="BD2151"/>
      <c r="BE2151"/>
      <c r="BF2151"/>
      <c r="BG2151"/>
      <c r="BH2151"/>
      <c r="BI2151"/>
      <c r="BJ2151"/>
      <c r="BK2151"/>
      <c r="BL2151"/>
      <c r="BM2151"/>
      <c r="BN2151"/>
      <c r="BO2151"/>
      <c r="BP2151"/>
      <c r="BQ2151"/>
      <c r="BR2151"/>
      <c r="BS2151"/>
      <c r="BT2151"/>
      <c r="BU2151"/>
      <c r="BV2151"/>
      <c r="BW2151"/>
      <c r="BX2151"/>
      <c r="BY2151"/>
      <c r="BZ2151"/>
      <c r="CA2151"/>
      <c r="CB2151"/>
      <c r="CC2151"/>
      <c r="CD2151"/>
      <c r="CE2151"/>
      <c r="CF2151"/>
      <c r="CG2151"/>
      <c r="CH2151"/>
      <c r="CI2151"/>
      <c r="CJ2151"/>
      <c r="CK2151"/>
      <c r="CL2151"/>
      <c r="CM2151"/>
      <c r="CN2151"/>
      <c r="CO2151"/>
      <c r="CP2151"/>
      <c r="CQ2151"/>
      <c r="CR2151"/>
      <c r="CS2151"/>
      <c r="CT2151"/>
      <c r="CU2151"/>
      <c r="CV2151"/>
      <c r="CW2151"/>
      <c r="CX2151"/>
      <c r="CY2151"/>
      <c r="CZ2151"/>
      <c r="DA2151"/>
      <c r="DB2151"/>
      <c r="DC2151"/>
      <c r="DD2151"/>
      <c r="DE2151"/>
      <c r="DF2151"/>
      <c r="DG2151"/>
      <c r="DH2151"/>
      <c r="DI2151"/>
      <c r="DJ2151"/>
      <c r="DK2151"/>
      <c r="DL2151"/>
      <c r="DM2151"/>
      <c r="DN2151"/>
      <c r="DO2151"/>
      <c r="DP2151"/>
      <c r="DQ2151"/>
      <c r="DR2151"/>
      <c r="DS2151"/>
      <c r="DT2151"/>
      <c r="DU2151"/>
      <c r="DV2151"/>
      <c r="DW2151"/>
      <c r="DX2151"/>
      <c r="DY2151"/>
      <c r="DZ2151"/>
      <c r="EA2151"/>
      <c r="EB2151"/>
      <c r="EC2151"/>
      <c r="ED2151"/>
      <c r="EE2151"/>
      <c r="EF2151"/>
      <c r="EG2151"/>
      <c r="EH2151"/>
      <c r="EI2151"/>
      <c r="EJ2151"/>
      <c r="EK2151"/>
      <c r="EL2151"/>
      <c r="EM2151"/>
      <c r="EN2151"/>
      <c r="EO2151"/>
      <c r="EP2151"/>
      <c r="EQ2151"/>
      <c r="ER2151"/>
      <c r="ES2151"/>
    </row>
    <row r="2152" spans="1:149">
      <c r="A2152"/>
      <c r="B2152"/>
      <c r="C2152"/>
      <c r="D2152"/>
      <c r="E2152"/>
      <c r="F2152"/>
      <c r="G2152"/>
      <c r="H2152"/>
      <c r="I2152"/>
      <c r="J2152"/>
      <c r="K2152"/>
      <c r="L2152"/>
      <c r="M2152"/>
      <c r="N2152"/>
      <c r="O2152"/>
      <c r="P2152"/>
      <c r="Q2152"/>
      <c r="R2152"/>
      <c r="S2152"/>
      <c r="T2152"/>
      <c r="U2152"/>
      <c r="V2152"/>
      <c r="W2152"/>
      <c r="X2152"/>
      <c r="Y2152"/>
      <c r="Z2152"/>
      <c r="AA2152"/>
      <c r="AB2152"/>
      <c r="AC2152"/>
      <c r="AD2152"/>
      <c r="AE2152"/>
      <c r="AF2152"/>
      <c r="AG2152"/>
      <c r="AH2152"/>
      <c r="AI2152"/>
      <c r="AJ2152"/>
      <c r="AK2152"/>
      <c r="AL2152"/>
      <c r="AM2152"/>
      <c r="AN2152"/>
      <c r="AO2152"/>
      <c r="AP2152"/>
      <c r="AQ2152"/>
      <c r="AR2152"/>
      <c r="AS2152"/>
      <c r="AT2152"/>
      <c r="AU2152"/>
      <c r="AV2152"/>
      <c r="AW2152"/>
      <c r="AX2152"/>
      <c r="AY2152"/>
      <c r="AZ2152"/>
      <c r="BA2152"/>
      <c r="BB2152"/>
      <c r="BC2152"/>
      <c r="BD2152"/>
      <c r="BE2152"/>
      <c r="BF2152"/>
      <c r="BG2152"/>
      <c r="BH2152"/>
      <c r="BI2152"/>
      <c r="BJ2152"/>
      <c r="BK2152"/>
      <c r="BL2152"/>
      <c r="BM2152"/>
      <c r="BN2152"/>
      <c r="BO2152"/>
      <c r="BP2152"/>
      <c r="BQ2152"/>
      <c r="BR2152"/>
      <c r="BS2152"/>
      <c r="BT2152"/>
      <c r="BU2152"/>
      <c r="BV2152"/>
      <c r="BW2152"/>
      <c r="BX2152"/>
      <c r="BY2152"/>
      <c r="BZ2152"/>
      <c r="CA2152"/>
      <c r="CB2152"/>
      <c r="CC2152"/>
      <c r="CD2152"/>
      <c r="CE2152"/>
      <c r="CF2152"/>
      <c r="CG2152"/>
      <c r="CH2152"/>
      <c r="CI2152"/>
      <c r="CJ2152"/>
      <c r="CK2152"/>
      <c r="CL2152"/>
      <c r="CM2152"/>
      <c r="CN2152"/>
      <c r="CO2152"/>
      <c r="CP2152"/>
      <c r="CQ2152"/>
      <c r="CR2152"/>
      <c r="CS2152"/>
      <c r="CT2152"/>
      <c r="CU2152"/>
      <c r="CV2152"/>
      <c r="CW2152"/>
      <c r="CX2152"/>
      <c r="CY2152"/>
      <c r="CZ2152"/>
      <c r="DA2152"/>
      <c r="DB2152"/>
      <c r="DC2152"/>
      <c r="DD2152"/>
      <c r="DE2152"/>
      <c r="DF2152"/>
      <c r="DG2152"/>
      <c r="DH2152"/>
      <c r="DI2152"/>
      <c r="DJ2152"/>
      <c r="DK2152"/>
      <c r="DL2152"/>
      <c r="DM2152"/>
      <c r="DN2152"/>
      <c r="DO2152"/>
      <c r="DP2152"/>
      <c r="DQ2152"/>
      <c r="DR2152"/>
      <c r="DS2152"/>
      <c r="DT2152"/>
      <c r="DU2152"/>
      <c r="DV2152"/>
      <c r="DW2152"/>
      <c r="DX2152"/>
      <c r="DY2152"/>
      <c r="DZ2152"/>
      <c r="EA2152"/>
      <c r="EB2152"/>
      <c r="EC2152"/>
      <c r="ED2152"/>
      <c r="EE2152"/>
      <c r="EF2152"/>
      <c r="EG2152"/>
      <c r="EH2152"/>
      <c r="EI2152"/>
      <c r="EJ2152"/>
      <c r="EK2152"/>
      <c r="EL2152"/>
      <c r="EM2152"/>
      <c r="EN2152"/>
      <c r="EO2152"/>
      <c r="EP2152"/>
      <c r="EQ2152"/>
      <c r="ER2152"/>
      <c r="ES2152"/>
    </row>
    <row r="2153" spans="1:149">
      <c r="A2153"/>
      <c r="B2153"/>
      <c r="C2153"/>
      <c r="D2153"/>
      <c r="E2153"/>
      <c r="F2153"/>
      <c r="G2153"/>
      <c r="H2153"/>
      <c r="I2153"/>
      <c r="J2153"/>
      <c r="K2153"/>
      <c r="L2153"/>
      <c r="M2153"/>
      <c r="N2153"/>
      <c r="O2153"/>
      <c r="P2153"/>
      <c r="Q2153"/>
      <c r="R2153"/>
      <c r="S2153"/>
      <c r="T2153"/>
      <c r="U2153"/>
      <c r="V2153"/>
      <c r="W2153"/>
      <c r="X2153"/>
      <c r="Y2153"/>
      <c r="Z2153"/>
      <c r="AA2153"/>
      <c r="AB2153"/>
      <c r="AC2153"/>
      <c r="AD2153"/>
      <c r="AE2153"/>
      <c r="AF2153"/>
      <c r="AG2153"/>
      <c r="AH2153"/>
      <c r="AI2153"/>
      <c r="AJ2153"/>
      <c r="AK2153"/>
      <c r="AL2153"/>
      <c r="AM2153"/>
      <c r="AN2153"/>
      <c r="AO2153"/>
      <c r="AP2153"/>
      <c r="AQ2153"/>
      <c r="AR2153"/>
      <c r="AS2153"/>
      <c r="AT2153"/>
      <c r="AU2153"/>
      <c r="AV2153"/>
      <c r="AW2153"/>
      <c r="AX2153"/>
      <c r="AY2153"/>
      <c r="AZ2153"/>
      <c r="BA2153"/>
      <c r="BB2153"/>
      <c r="BC2153"/>
      <c r="BD2153"/>
      <c r="BE2153"/>
      <c r="BF2153"/>
      <c r="BG2153"/>
      <c r="BH2153"/>
      <c r="BI2153"/>
      <c r="BJ2153"/>
      <c r="BK2153"/>
      <c r="BL2153"/>
      <c r="BM2153"/>
      <c r="BN2153"/>
      <c r="BO2153"/>
      <c r="BP2153"/>
      <c r="BQ2153"/>
      <c r="BR2153"/>
      <c r="BS2153"/>
      <c r="BT2153"/>
      <c r="BU2153"/>
      <c r="BV2153"/>
      <c r="BW2153"/>
      <c r="BX2153"/>
      <c r="BY2153"/>
      <c r="BZ2153"/>
      <c r="CA2153"/>
      <c r="CB2153"/>
      <c r="CC2153"/>
      <c r="CD2153"/>
      <c r="CE2153"/>
      <c r="CF2153"/>
      <c r="CG2153"/>
      <c r="CH2153"/>
      <c r="CI2153"/>
      <c r="CJ2153"/>
      <c r="CK2153"/>
      <c r="CL2153"/>
      <c r="CM2153"/>
      <c r="CN2153"/>
      <c r="CO2153"/>
      <c r="CP2153"/>
      <c r="CQ2153"/>
      <c r="CR2153"/>
      <c r="CS2153"/>
      <c r="CT2153"/>
      <c r="CU2153"/>
      <c r="CV2153"/>
      <c r="CW2153"/>
      <c r="CX2153"/>
      <c r="CY2153"/>
      <c r="CZ2153"/>
      <c r="DA2153"/>
      <c r="DB2153"/>
      <c r="DC2153"/>
      <c r="DD2153"/>
      <c r="DE2153"/>
      <c r="DF2153"/>
      <c r="DG2153"/>
      <c r="DH2153"/>
      <c r="DI2153"/>
      <c r="DJ2153"/>
      <c r="DK2153"/>
      <c r="DL2153"/>
      <c r="DM2153"/>
      <c r="DN2153"/>
      <c r="DO2153"/>
      <c r="DP2153"/>
      <c r="DQ2153"/>
      <c r="DR2153"/>
      <c r="DS2153"/>
      <c r="DT2153"/>
      <c r="DU2153"/>
      <c r="DV2153"/>
      <c r="DW2153"/>
      <c r="DX2153"/>
      <c r="DY2153"/>
      <c r="DZ2153"/>
      <c r="EA2153"/>
      <c r="EB2153"/>
      <c r="EC2153"/>
      <c r="ED2153"/>
      <c r="EE2153"/>
      <c r="EF2153"/>
      <c r="EG2153"/>
      <c r="EH2153"/>
      <c r="EI2153"/>
      <c r="EJ2153"/>
      <c r="EK2153"/>
      <c r="EL2153"/>
      <c r="EM2153"/>
      <c r="EN2153"/>
      <c r="EO2153"/>
      <c r="EP2153"/>
      <c r="EQ2153"/>
      <c r="ER2153"/>
      <c r="ES2153"/>
    </row>
    <row r="2154" spans="1:149">
      <c r="A2154"/>
      <c r="B2154"/>
      <c r="C2154"/>
      <c r="D2154"/>
      <c r="E2154"/>
      <c r="F2154"/>
      <c r="G2154"/>
      <c r="H2154"/>
      <c r="I2154"/>
      <c r="J2154"/>
      <c r="K2154"/>
      <c r="L2154"/>
      <c r="M2154"/>
      <c r="N2154"/>
      <c r="O2154"/>
      <c r="P2154"/>
      <c r="Q2154"/>
      <c r="R2154"/>
      <c r="S2154"/>
      <c r="T2154"/>
      <c r="U2154"/>
      <c r="V2154"/>
      <c r="W2154"/>
      <c r="X2154"/>
      <c r="Y2154"/>
      <c r="Z2154"/>
      <c r="AA2154"/>
      <c r="AB2154"/>
      <c r="AC2154"/>
      <c r="AD2154"/>
      <c r="AE2154"/>
      <c r="AF2154"/>
      <c r="AG2154"/>
      <c r="AH2154"/>
      <c r="AI2154"/>
      <c r="AJ2154"/>
      <c r="AK2154"/>
      <c r="AL2154"/>
      <c r="AM2154"/>
      <c r="AN2154"/>
      <c r="AO2154"/>
      <c r="AP2154"/>
      <c r="AQ2154"/>
      <c r="AR2154"/>
      <c r="AS2154"/>
      <c r="AT2154"/>
      <c r="AU2154"/>
      <c r="AV2154"/>
      <c r="AW2154"/>
      <c r="AX2154"/>
      <c r="AY2154"/>
      <c r="AZ2154"/>
      <c r="BA2154"/>
      <c r="BB2154"/>
      <c r="BC2154"/>
      <c r="BD2154"/>
      <c r="BE2154"/>
      <c r="BF2154"/>
      <c r="BG2154"/>
      <c r="BH2154"/>
      <c r="BI2154"/>
      <c r="BJ2154"/>
      <c r="BK2154"/>
      <c r="BL2154"/>
      <c r="BM2154"/>
      <c r="BN2154"/>
      <c r="BO2154"/>
      <c r="BP2154"/>
      <c r="BQ2154"/>
      <c r="BR2154"/>
      <c r="BS2154"/>
      <c r="BT2154"/>
      <c r="BU2154"/>
      <c r="BV2154"/>
      <c r="BW2154"/>
      <c r="BX2154"/>
      <c r="BY2154"/>
      <c r="BZ2154"/>
      <c r="CA2154"/>
      <c r="CB2154"/>
      <c r="CC2154"/>
      <c r="CD2154"/>
      <c r="CE2154"/>
      <c r="CF2154"/>
      <c r="CG2154"/>
      <c r="CH2154"/>
      <c r="CI2154"/>
      <c r="CJ2154"/>
      <c r="CK2154"/>
      <c r="CL2154"/>
      <c r="CM2154"/>
      <c r="CN2154"/>
      <c r="CO2154"/>
      <c r="CP2154"/>
      <c r="CQ2154"/>
      <c r="CR2154"/>
      <c r="CS2154"/>
      <c r="CT2154"/>
      <c r="CU2154"/>
      <c r="CV2154"/>
      <c r="CW2154"/>
      <c r="CX2154"/>
      <c r="CY2154"/>
      <c r="CZ2154"/>
      <c r="DA2154"/>
      <c r="DB2154"/>
      <c r="DC2154"/>
      <c r="DD2154"/>
      <c r="DE2154"/>
      <c r="DF2154"/>
      <c r="DG2154"/>
      <c r="DH2154"/>
      <c r="DI2154"/>
      <c r="DJ2154"/>
      <c r="DK2154"/>
      <c r="DL2154"/>
      <c r="DM2154"/>
      <c r="DN2154"/>
      <c r="DO2154"/>
      <c r="DP2154"/>
      <c r="DQ2154"/>
      <c r="DR2154"/>
      <c r="DS2154"/>
      <c r="DT2154"/>
      <c r="DU2154"/>
      <c r="DV2154"/>
      <c r="DW2154"/>
      <c r="DX2154"/>
      <c r="DY2154"/>
      <c r="DZ2154"/>
      <c r="EA2154"/>
      <c r="EB2154"/>
      <c r="EC2154"/>
      <c r="ED2154"/>
      <c r="EE2154"/>
      <c r="EF2154"/>
      <c r="EG2154"/>
      <c r="EH2154"/>
      <c r="EI2154"/>
      <c r="EJ2154"/>
      <c r="EK2154"/>
      <c r="EL2154"/>
      <c r="EM2154"/>
      <c r="EN2154"/>
      <c r="EO2154"/>
      <c r="EP2154"/>
      <c r="EQ2154"/>
      <c r="ER2154"/>
      <c r="ES2154"/>
    </row>
    <row r="2155" spans="1:149">
      <c r="A2155"/>
      <c r="B2155"/>
      <c r="C2155"/>
      <c r="D2155"/>
      <c r="E2155"/>
      <c r="F2155"/>
      <c r="G2155"/>
      <c r="H2155"/>
      <c r="I2155"/>
      <c r="J2155"/>
      <c r="K2155"/>
      <c r="L2155"/>
      <c r="M2155"/>
      <c r="N2155"/>
      <c r="O2155"/>
      <c r="P2155"/>
      <c r="Q2155"/>
      <c r="R2155"/>
      <c r="S2155"/>
      <c r="T2155"/>
      <c r="U2155"/>
      <c r="V2155"/>
      <c r="W2155"/>
      <c r="X2155"/>
      <c r="Y2155"/>
      <c r="Z2155"/>
      <c r="AA2155"/>
      <c r="AB2155"/>
      <c r="AC2155"/>
      <c r="AD2155"/>
      <c r="AE2155"/>
      <c r="AF2155"/>
      <c r="AG2155"/>
      <c r="AH2155"/>
      <c r="AI2155"/>
      <c r="AJ2155"/>
      <c r="AK2155"/>
      <c r="AL2155"/>
      <c r="AM2155"/>
      <c r="AN2155"/>
      <c r="AO2155"/>
      <c r="AP2155"/>
      <c r="AQ2155"/>
      <c r="AR2155"/>
      <c r="AS2155"/>
      <c r="AT2155"/>
      <c r="AU2155"/>
      <c r="AV2155"/>
      <c r="AW2155"/>
      <c r="AX2155"/>
      <c r="AY2155"/>
      <c r="AZ2155"/>
      <c r="BA2155"/>
      <c r="BB2155"/>
      <c r="BC2155"/>
      <c r="BD2155"/>
      <c r="BE2155"/>
      <c r="BF2155"/>
      <c r="BG2155"/>
      <c r="BH2155"/>
      <c r="BI2155"/>
      <c r="BJ2155"/>
      <c r="BK2155"/>
      <c r="BL2155"/>
      <c r="BM2155"/>
      <c r="BN2155"/>
      <c r="BO2155"/>
      <c r="BP2155"/>
      <c r="BQ2155"/>
      <c r="BR2155"/>
      <c r="BS2155"/>
      <c r="BT2155"/>
      <c r="BU2155"/>
      <c r="BV2155"/>
      <c r="BW2155"/>
      <c r="BX2155"/>
      <c r="BY2155"/>
      <c r="BZ2155"/>
      <c r="CA2155"/>
      <c r="CB2155"/>
      <c r="CC2155"/>
      <c r="CD2155"/>
      <c r="CE2155"/>
      <c r="CF2155"/>
      <c r="CG2155"/>
      <c r="CH2155"/>
      <c r="CI2155"/>
      <c r="CJ2155"/>
      <c r="CK2155"/>
      <c r="CL2155"/>
      <c r="CM2155"/>
      <c r="CN2155"/>
      <c r="CO2155"/>
      <c r="CP2155"/>
      <c r="CQ2155"/>
      <c r="CR2155"/>
      <c r="CS2155"/>
      <c r="CT2155"/>
      <c r="CU2155"/>
      <c r="CV2155"/>
      <c r="CW2155"/>
      <c r="CX2155"/>
      <c r="CY2155"/>
      <c r="CZ2155"/>
      <c r="DA2155"/>
      <c r="DB2155"/>
      <c r="DC2155"/>
      <c r="DD2155"/>
      <c r="DE2155"/>
      <c r="DF2155"/>
      <c r="DG2155"/>
      <c r="DH2155"/>
      <c r="DI2155"/>
      <c r="DJ2155"/>
      <c r="DK2155"/>
      <c r="DL2155"/>
      <c r="DM2155"/>
      <c r="DN2155"/>
      <c r="DO2155"/>
      <c r="DP2155"/>
      <c r="DQ2155"/>
      <c r="DR2155"/>
      <c r="DS2155"/>
      <c r="DT2155"/>
      <c r="DU2155"/>
      <c r="DV2155"/>
      <c r="DW2155"/>
      <c r="DX2155"/>
      <c r="DY2155"/>
      <c r="DZ2155"/>
      <c r="EA2155"/>
      <c r="EB2155"/>
      <c r="EC2155"/>
      <c r="ED2155"/>
      <c r="EE2155"/>
      <c r="EF2155"/>
      <c r="EG2155"/>
      <c r="EH2155"/>
      <c r="EI2155"/>
      <c r="EJ2155"/>
      <c r="EK2155"/>
      <c r="EL2155"/>
      <c r="EM2155"/>
      <c r="EN2155"/>
      <c r="EO2155"/>
      <c r="EP2155"/>
      <c r="EQ2155"/>
      <c r="ER2155"/>
      <c r="ES2155"/>
    </row>
    <row r="2156" spans="1:149">
      <c r="A2156"/>
      <c r="B2156"/>
      <c r="C2156"/>
      <c r="D2156"/>
      <c r="E2156"/>
      <c r="F2156"/>
      <c r="G2156"/>
      <c r="H2156"/>
      <c r="I2156"/>
      <c r="J2156"/>
      <c r="K2156"/>
      <c r="L2156"/>
      <c r="M2156"/>
      <c r="N2156"/>
      <c r="O2156"/>
      <c r="P2156"/>
      <c r="Q2156"/>
      <c r="R2156"/>
      <c r="S2156"/>
      <c r="T2156"/>
      <c r="U2156"/>
      <c r="V2156"/>
      <c r="W2156"/>
      <c r="X2156"/>
      <c r="Y2156"/>
      <c r="Z2156"/>
      <c r="AA2156"/>
      <c r="AB2156"/>
      <c r="AC2156"/>
      <c r="AD2156"/>
      <c r="AE2156"/>
      <c r="AF2156"/>
      <c r="AG2156"/>
      <c r="AH2156"/>
      <c r="AI2156"/>
      <c r="AJ2156"/>
      <c r="AK2156"/>
      <c r="AL2156"/>
      <c r="AM2156"/>
      <c r="AN2156"/>
      <c r="AO2156"/>
      <c r="AP2156"/>
      <c r="AQ2156"/>
      <c r="AR2156"/>
      <c r="AS2156"/>
      <c r="AT2156"/>
      <c r="AU2156"/>
      <c r="AV2156"/>
      <c r="AW2156"/>
      <c r="AX2156"/>
      <c r="AY2156"/>
      <c r="AZ2156"/>
      <c r="BA2156"/>
      <c r="BB2156"/>
      <c r="BC2156"/>
      <c r="BD2156"/>
      <c r="BE2156"/>
      <c r="BF2156"/>
      <c r="BG2156"/>
      <c r="BH2156"/>
      <c r="BI2156"/>
      <c r="BJ2156"/>
      <c r="BK2156"/>
      <c r="BL2156"/>
      <c r="BM2156"/>
      <c r="BN2156"/>
      <c r="BO2156"/>
      <c r="BP2156"/>
      <c r="BQ2156"/>
      <c r="BR2156"/>
      <c r="BS2156"/>
      <c r="BT2156"/>
      <c r="BU2156"/>
      <c r="BV2156"/>
      <c r="BW2156"/>
      <c r="BX2156"/>
      <c r="BY2156"/>
      <c r="BZ2156"/>
      <c r="CA2156"/>
      <c r="CB2156"/>
      <c r="CC2156"/>
      <c r="CD2156"/>
      <c r="CE2156"/>
      <c r="CF2156"/>
      <c r="CG2156"/>
      <c r="CH2156"/>
      <c r="CI2156"/>
      <c r="CJ2156"/>
      <c r="CK2156"/>
      <c r="CL2156"/>
      <c r="CM2156"/>
      <c r="CN2156"/>
      <c r="CO2156"/>
      <c r="CP2156"/>
      <c r="CQ2156"/>
      <c r="CR2156"/>
      <c r="CS2156"/>
      <c r="CT2156"/>
      <c r="CU2156"/>
      <c r="CV2156"/>
      <c r="CW2156"/>
      <c r="CX2156"/>
      <c r="CY2156"/>
      <c r="CZ2156"/>
      <c r="DA2156"/>
      <c r="DB2156"/>
      <c r="DC2156"/>
      <c r="DD2156"/>
      <c r="DE2156"/>
      <c r="DF2156"/>
      <c r="DG2156"/>
      <c r="DH2156"/>
      <c r="DI2156"/>
      <c r="DJ2156"/>
      <c r="DK2156"/>
      <c r="DL2156"/>
      <c r="DM2156"/>
      <c r="DN2156"/>
      <c r="DO2156"/>
      <c r="DP2156"/>
      <c r="DQ2156"/>
      <c r="DR2156"/>
      <c r="DS2156"/>
      <c r="DT2156"/>
      <c r="DU2156"/>
      <c r="DV2156"/>
      <c r="DW2156"/>
      <c r="DX2156"/>
      <c r="DY2156"/>
      <c r="DZ2156"/>
      <c r="EA2156"/>
      <c r="EB2156"/>
      <c r="EC2156"/>
      <c r="ED2156"/>
      <c r="EE2156"/>
      <c r="EF2156"/>
      <c r="EG2156"/>
      <c r="EH2156"/>
      <c r="EI2156"/>
      <c r="EJ2156"/>
      <c r="EK2156"/>
      <c r="EL2156"/>
      <c r="EM2156"/>
      <c r="EN2156"/>
      <c r="EO2156"/>
      <c r="EP2156"/>
      <c r="EQ2156"/>
      <c r="ER2156"/>
      <c r="ES2156"/>
    </row>
    <row r="2157" spans="1:149">
      <c r="A2157"/>
      <c r="B2157"/>
      <c r="C2157"/>
      <c r="D2157"/>
      <c r="E2157"/>
      <c r="F2157"/>
      <c r="G2157"/>
      <c r="H2157"/>
      <c r="I2157"/>
      <c r="J2157"/>
      <c r="K2157"/>
      <c r="L2157"/>
      <c r="M2157"/>
      <c r="N2157"/>
      <c r="O2157"/>
      <c r="P2157"/>
      <c r="Q2157"/>
      <c r="R2157"/>
      <c r="S2157"/>
      <c r="T2157"/>
      <c r="U2157"/>
      <c r="V2157"/>
      <c r="W2157"/>
      <c r="X2157"/>
      <c r="Y2157"/>
      <c r="Z2157"/>
      <c r="AA2157"/>
      <c r="AB2157"/>
      <c r="AC2157"/>
      <c r="AD2157"/>
      <c r="AE2157"/>
      <c r="AF2157"/>
      <c r="AG2157"/>
      <c r="AH2157"/>
      <c r="AI2157"/>
      <c r="AJ2157"/>
      <c r="AK2157"/>
      <c r="AL2157"/>
      <c r="AM2157"/>
      <c r="AN2157"/>
      <c r="AO2157"/>
      <c r="AP2157"/>
      <c r="AQ2157"/>
      <c r="AR2157"/>
      <c r="AS2157"/>
      <c r="AT2157"/>
      <c r="AU2157"/>
      <c r="AV2157"/>
      <c r="AW2157"/>
      <c r="AX2157"/>
      <c r="AY2157"/>
      <c r="AZ2157"/>
      <c r="BA2157"/>
      <c r="BB2157"/>
      <c r="BC2157"/>
      <c r="BD2157"/>
      <c r="BE2157"/>
      <c r="BF2157"/>
      <c r="BG2157"/>
      <c r="BH2157"/>
      <c r="BI2157"/>
      <c r="BJ2157"/>
      <c r="BK2157"/>
      <c r="BL2157"/>
      <c r="BM2157"/>
      <c r="BN2157"/>
      <c r="BO2157"/>
      <c r="BP2157"/>
      <c r="BQ2157"/>
      <c r="BR2157"/>
      <c r="BS2157"/>
      <c r="BT2157"/>
      <c r="BU2157"/>
      <c r="BV2157"/>
      <c r="BW2157"/>
      <c r="BX2157"/>
      <c r="BY2157"/>
      <c r="BZ2157"/>
      <c r="CA2157"/>
      <c r="CB2157"/>
      <c r="CC2157"/>
      <c r="CD2157"/>
      <c r="CE2157"/>
      <c r="CF2157"/>
      <c r="CG2157"/>
      <c r="CH2157"/>
      <c r="CI2157"/>
      <c r="CJ2157"/>
      <c r="CK2157"/>
      <c r="CL2157"/>
      <c r="CM2157"/>
      <c r="CN2157"/>
      <c r="CO2157"/>
      <c r="CP2157"/>
      <c r="CQ2157"/>
      <c r="CR2157"/>
      <c r="CS2157"/>
      <c r="CT2157"/>
      <c r="CU2157"/>
      <c r="CV2157"/>
      <c r="CW2157"/>
      <c r="CX2157"/>
      <c r="CY2157"/>
      <c r="CZ2157"/>
      <c r="DA2157"/>
      <c r="DB2157"/>
      <c r="DC2157"/>
      <c r="DD2157"/>
      <c r="DE2157"/>
      <c r="DF2157"/>
      <c r="DG2157"/>
      <c r="DH2157"/>
      <c r="DI2157"/>
      <c r="DJ2157"/>
      <c r="DK2157"/>
      <c r="DL2157"/>
      <c r="DM2157"/>
      <c r="DN2157"/>
      <c r="DO2157"/>
      <c r="DP2157"/>
      <c r="DQ2157"/>
      <c r="DR2157"/>
      <c r="DS2157"/>
      <c r="DT2157"/>
      <c r="DU2157"/>
      <c r="DV2157"/>
      <c r="DW2157"/>
      <c r="DX2157"/>
      <c r="DY2157"/>
      <c r="DZ2157"/>
      <c r="EA2157"/>
      <c r="EB2157"/>
      <c r="EC2157"/>
      <c r="ED2157"/>
      <c r="EE2157"/>
      <c r="EF2157"/>
      <c r="EG2157"/>
      <c r="EH2157"/>
      <c r="EI2157"/>
      <c r="EJ2157"/>
      <c r="EK2157"/>
      <c r="EL2157"/>
      <c r="EM2157"/>
      <c r="EN2157"/>
      <c r="EO2157"/>
      <c r="EP2157"/>
      <c r="EQ2157"/>
      <c r="ER2157"/>
      <c r="ES2157"/>
    </row>
    <row r="2158" spans="1:149">
      <c r="A2158"/>
      <c r="B2158"/>
      <c r="C2158"/>
      <c r="D2158"/>
      <c r="E2158"/>
      <c r="F2158"/>
      <c r="G2158"/>
      <c r="H2158"/>
      <c r="I2158"/>
      <c r="J2158"/>
      <c r="K2158"/>
      <c r="L2158"/>
      <c r="M2158"/>
      <c r="N2158"/>
      <c r="O2158"/>
      <c r="P2158"/>
      <c r="Q2158"/>
      <c r="R2158"/>
      <c r="S2158"/>
      <c r="T2158"/>
      <c r="U2158"/>
      <c r="V2158"/>
      <c r="W2158"/>
      <c r="X2158"/>
      <c r="Y2158"/>
      <c r="Z2158"/>
      <c r="AA2158"/>
      <c r="AB2158"/>
      <c r="AC2158"/>
      <c r="AD2158"/>
      <c r="AE2158"/>
      <c r="AF2158"/>
      <c r="AG2158"/>
      <c r="AH2158"/>
      <c r="AI2158"/>
      <c r="AJ2158"/>
      <c r="AK2158"/>
      <c r="AL2158"/>
      <c r="AM2158"/>
      <c r="AN2158"/>
      <c r="AO2158"/>
      <c r="AP2158"/>
      <c r="AQ2158"/>
      <c r="AR2158"/>
      <c r="AS2158"/>
      <c r="AT2158"/>
      <c r="AU2158"/>
      <c r="AV2158"/>
      <c r="AW2158"/>
      <c r="AX2158"/>
      <c r="AY2158"/>
      <c r="AZ2158"/>
      <c r="BA2158"/>
      <c r="BB2158"/>
      <c r="BC2158"/>
      <c r="BD2158"/>
      <c r="BE2158"/>
      <c r="BF2158"/>
      <c r="BG2158"/>
      <c r="BH2158"/>
      <c r="BI2158"/>
      <c r="BJ2158"/>
      <c r="BK2158"/>
      <c r="BL2158"/>
      <c r="BM2158"/>
      <c r="BN2158"/>
      <c r="BO2158"/>
      <c r="BP2158"/>
      <c r="BQ2158"/>
      <c r="BR2158"/>
      <c r="BS2158"/>
      <c r="BT2158"/>
      <c r="BU2158"/>
      <c r="BV2158"/>
      <c r="BW2158"/>
      <c r="BX2158"/>
      <c r="BY2158"/>
      <c r="BZ2158"/>
      <c r="CA2158"/>
      <c r="CB2158"/>
      <c r="CC2158"/>
      <c r="CD2158"/>
      <c r="CE2158"/>
      <c r="CF2158"/>
      <c r="CG2158"/>
      <c r="CH2158"/>
      <c r="CI2158"/>
      <c r="CJ2158"/>
      <c r="CK2158"/>
      <c r="CL2158"/>
      <c r="CM2158"/>
      <c r="CN2158"/>
      <c r="CO2158"/>
      <c r="CP2158"/>
      <c r="CQ2158"/>
      <c r="CR2158"/>
      <c r="CS2158"/>
      <c r="CT2158"/>
      <c r="CU2158"/>
      <c r="CV2158"/>
      <c r="CW2158"/>
      <c r="CX2158"/>
      <c r="CY2158"/>
      <c r="CZ2158"/>
      <c r="DA2158"/>
      <c r="DB2158"/>
      <c r="DC2158"/>
      <c r="DD2158"/>
      <c r="DE2158"/>
      <c r="DF2158"/>
      <c r="DG2158"/>
      <c r="DH2158"/>
      <c r="DI2158"/>
      <c r="DJ2158"/>
      <c r="DK2158"/>
      <c r="DL2158"/>
      <c r="DM2158"/>
      <c r="DN2158"/>
      <c r="DO2158"/>
      <c r="DP2158"/>
      <c r="DQ2158"/>
      <c r="DR2158"/>
      <c r="DS2158"/>
      <c r="DT2158"/>
      <c r="DU2158"/>
      <c r="DV2158"/>
      <c r="DW2158"/>
      <c r="DX2158"/>
      <c r="DY2158"/>
      <c r="DZ2158"/>
      <c r="EA2158"/>
      <c r="EB2158"/>
      <c r="EC2158"/>
      <c r="ED2158"/>
      <c r="EE2158"/>
      <c r="EF2158"/>
      <c r="EG2158"/>
      <c r="EH2158"/>
      <c r="EI2158"/>
      <c r="EJ2158"/>
      <c r="EK2158"/>
      <c r="EL2158"/>
      <c r="EM2158"/>
      <c r="EN2158"/>
      <c r="EO2158"/>
      <c r="EP2158"/>
      <c r="EQ2158"/>
      <c r="ER2158"/>
      <c r="ES2158"/>
    </row>
    <row r="2159" spans="1:149">
      <c r="A2159"/>
      <c r="B2159"/>
      <c r="C2159"/>
      <c r="D2159"/>
      <c r="E2159"/>
      <c r="F2159"/>
      <c r="G2159"/>
      <c r="H2159"/>
      <c r="I2159"/>
      <c r="J2159"/>
      <c r="K2159"/>
      <c r="L2159"/>
      <c r="M2159"/>
      <c r="N2159"/>
      <c r="O2159"/>
      <c r="P2159"/>
      <c r="Q2159"/>
      <c r="R2159"/>
      <c r="S2159"/>
      <c r="T2159"/>
      <c r="U2159"/>
      <c r="V2159"/>
      <c r="W2159"/>
      <c r="X2159"/>
      <c r="Y2159"/>
      <c r="Z2159"/>
      <c r="AA2159"/>
      <c r="AB2159"/>
      <c r="AC2159"/>
      <c r="AD2159"/>
      <c r="AE2159"/>
      <c r="AF2159"/>
      <c r="AG2159"/>
      <c r="AH2159"/>
      <c r="AI2159"/>
      <c r="AJ2159"/>
      <c r="AK2159"/>
      <c r="AL2159"/>
      <c r="AM2159"/>
      <c r="AN2159"/>
      <c r="AO2159"/>
      <c r="AP2159"/>
      <c r="AQ2159"/>
      <c r="AR2159"/>
      <c r="AS2159"/>
      <c r="AT2159"/>
      <c r="AU2159"/>
      <c r="AV2159"/>
      <c r="AW2159"/>
      <c r="AX2159"/>
      <c r="AY2159"/>
      <c r="AZ2159"/>
      <c r="BA2159"/>
      <c r="BB2159"/>
      <c r="BC2159"/>
      <c r="BD2159"/>
      <c r="BE2159"/>
      <c r="BF2159"/>
      <c r="BG2159"/>
      <c r="BH2159"/>
      <c r="BI2159"/>
      <c r="BJ2159"/>
      <c r="BK2159"/>
      <c r="BL2159"/>
      <c r="BM2159"/>
      <c r="BN2159"/>
      <c r="BO2159"/>
      <c r="BP2159"/>
      <c r="BQ2159"/>
      <c r="BR2159"/>
      <c r="BS2159"/>
      <c r="BT2159"/>
      <c r="BU2159"/>
      <c r="BV2159"/>
      <c r="BW2159"/>
      <c r="BX2159"/>
      <c r="BY2159"/>
      <c r="BZ2159"/>
      <c r="CA2159"/>
      <c r="CB2159"/>
      <c r="CC2159"/>
      <c r="CD2159"/>
      <c r="CE2159"/>
      <c r="CF2159"/>
      <c r="CG2159"/>
      <c r="CH2159"/>
      <c r="CI2159"/>
      <c r="CJ2159"/>
      <c r="CK2159"/>
      <c r="CL2159"/>
      <c r="CM2159"/>
      <c r="CN2159"/>
      <c r="CO2159"/>
      <c r="CP2159"/>
      <c r="CQ2159"/>
      <c r="CR2159"/>
      <c r="CS2159"/>
      <c r="CT2159"/>
      <c r="CU2159"/>
      <c r="CV2159"/>
      <c r="CW2159"/>
      <c r="CX2159"/>
      <c r="CY2159"/>
      <c r="CZ2159"/>
      <c r="DA2159"/>
      <c r="DB2159"/>
      <c r="DC2159"/>
      <c r="DD2159"/>
      <c r="DE2159"/>
      <c r="DF2159"/>
      <c r="DG2159"/>
      <c r="DH2159"/>
      <c r="DI2159"/>
      <c r="DJ2159"/>
      <c r="DK2159"/>
      <c r="DL2159"/>
      <c r="DM2159"/>
      <c r="DN2159"/>
      <c r="DO2159"/>
      <c r="DP2159"/>
      <c r="DQ2159"/>
      <c r="DR2159"/>
      <c r="DS2159"/>
      <c r="DT2159"/>
      <c r="DU2159"/>
      <c r="DV2159"/>
      <c r="DW2159"/>
      <c r="DX2159"/>
      <c r="DY2159"/>
      <c r="DZ2159"/>
      <c r="EA2159"/>
      <c r="EB2159"/>
      <c r="EC2159"/>
      <c r="ED2159"/>
      <c r="EE2159"/>
      <c r="EF2159"/>
      <c r="EG2159"/>
      <c r="EH2159"/>
      <c r="EI2159"/>
      <c r="EJ2159"/>
      <c r="EK2159"/>
      <c r="EL2159"/>
      <c r="EM2159"/>
      <c r="EN2159"/>
      <c r="EO2159"/>
      <c r="EP2159"/>
      <c r="EQ2159"/>
      <c r="ER2159"/>
      <c r="ES2159"/>
    </row>
    <row r="2160" spans="1:149">
      <c r="A2160"/>
      <c r="B2160"/>
      <c r="C2160"/>
      <c r="D2160"/>
      <c r="E2160"/>
      <c r="F2160"/>
      <c r="G2160"/>
      <c r="H2160"/>
      <c r="I2160"/>
      <c r="J2160"/>
      <c r="K2160"/>
      <c r="L2160"/>
      <c r="M2160"/>
      <c r="N2160"/>
      <c r="O2160"/>
      <c r="P2160"/>
      <c r="Q2160"/>
      <c r="R2160"/>
      <c r="S2160"/>
      <c r="T2160"/>
      <c r="U2160"/>
      <c r="V2160"/>
      <c r="W2160"/>
      <c r="X2160"/>
      <c r="Y2160"/>
      <c r="Z2160"/>
      <c r="AA2160"/>
      <c r="AB2160"/>
      <c r="AC2160"/>
      <c r="AD2160"/>
      <c r="AE2160"/>
      <c r="AF2160"/>
      <c r="AG2160"/>
      <c r="AH2160"/>
      <c r="AI2160"/>
      <c r="AJ2160"/>
      <c r="AK2160"/>
      <c r="AL2160"/>
      <c r="AM2160"/>
      <c r="AN2160"/>
      <c r="AO2160"/>
      <c r="AP2160"/>
      <c r="AQ2160"/>
      <c r="AR2160"/>
      <c r="AS2160"/>
      <c r="AT2160"/>
      <c r="AU2160"/>
      <c r="AV2160"/>
      <c r="AW2160"/>
      <c r="AX2160"/>
      <c r="AY2160"/>
      <c r="AZ2160"/>
      <c r="BA2160"/>
      <c r="BB2160"/>
      <c r="BC2160"/>
      <c r="BD2160"/>
      <c r="BE2160"/>
      <c r="BF2160"/>
      <c r="BG2160"/>
      <c r="BH2160"/>
      <c r="BI2160"/>
      <c r="BJ2160"/>
      <c r="BK2160"/>
      <c r="BL2160"/>
      <c r="BM2160"/>
      <c r="BN2160"/>
      <c r="BO2160"/>
      <c r="BP2160"/>
      <c r="BQ2160"/>
      <c r="BR2160"/>
      <c r="BS2160"/>
      <c r="BT2160"/>
      <c r="BU2160"/>
      <c r="BV2160"/>
      <c r="BW2160"/>
      <c r="BX2160"/>
      <c r="BY2160"/>
      <c r="BZ2160"/>
      <c r="CA2160"/>
      <c r="CB2160"/>
      <c r="CC2160"/>
      <c r="CD2160"/>
      <c r="CE2160"/>
      <c r="CF2160"/>
      <c r="CG2160"/>
      <c r="CH2160"/>
      <c r="CI2160"/>
      <c r="CJ2160"/>
      <c r="CK2160"/>
      <c r="CL2160"/>
      <c r="CM2160"/>
      <c r="CN2160"/>
      <c r="CO2160"/>
      <c r="CP2160"/>
      <c r="CQ2160"/>
      <c r="CR2160"/>
      <c r="CS2160"/>
      <c r="CT2160"/>
      <c r="CU2160"/>
      <c r="CV2160"/>
      <c r="CW2160"/>
      <c r="CX2160"/>
      <c r="CY2160"/>
      <c r="CZ2160"/>
      <c r="DA2160"/>
      <c r="DB2160"/>
      <c r="DC2160"/>
      <c r="DD2160"/>
      <c r="DE2160"/>
      <c r="DF2160"/>
      <c r="DG2160"/>
      <c r="DH2160"/>
      <c r="DI2160"/>
      <c r="DJ2160"/>
      <c r="DK2160"/>
      <c r="DL2160"/>
      <c r="DM2160"/>
      <c r="DN2160"/>
      <c r="DO2160"/>
      <c r="DP2160"/>
      <c r="DQ2160"/>
      <c r="DR2160"/>
      <c r="DS2160"/>
      <c r="DT2160"/>
      <c r="DU2160"/>
      <c r="DV2160"/>
      <c r="DW2160"/>
      <c r="DX2160"/>
      <c r="DY2160"/>
      <c r="DZ2160"/>
      <c r="EA2160"/>
      <c r="EB2160"/>
      <c r="EC2160"/>
      <c r="ED2160"/>
      <c r="EE2160"/>
      <c r="EF2160"/>
      <c r="EG2160"/>
      <c r="EH2160"/>
      <c r="EI2160"/>
      <c r="EJ2160"/>
      <c r="EK2160"/>
      <c r="EL2160"/>
      <c r="EM2160"/>
      <c r="EN2160"/>
      <c r="EO2160"/>
      <c r="EP2160"/>
      <c r="EQ2160"/>
      <c r="ER2160"/>
      <c r="ES2160"/>
    </row>
    <row r="2161" spans="1:149">
      <c r="A2161"/>
      <c r="B2161"/>
      <c r="C2161"/>
      <c r="D2161"/>
      <c r="E2161"/>
      <c r="F2161"/>
      <c r="G2161"/>
      <c r="H2161"/>
      <c r="I2161"/>
      <c r="J2161"/>
      <c r="K2161"/>
      <c r="L2161"/>
      <c r="M2161"/>
      <c r="N2161"/>
      <c r="O2161"/>
      <c r="P2161"/>
      <c r="Q2161"/>
      <c r="R2161"/>
      <c r="S2161"/>
      <c r="T2161"/>
      <c r="U2161"/>
      <c r="V2161"/>
      <c r="W2161"/>
      <c r="X2161"/>
      <c r="Y2161"/>
      <c r="Z2161"/>
      <c r="AA2161"/>
      <c r="AB2161"/>
      <c r="AC2161"/>
      <c r="AD2161"/>
      <c r="AE2161"/>
      <c r="AF2161"/>
      <c r="AG2161"/>
      <c r="AH2161"/>
      <c r="AI2161"/>
      <c r="AJ2161"/>
      <c r="AK2161"/>
      <c r="AL2161"/>
      <c r="AM2161"/>
      <c r="AN2161"/>
      <c r="AO2161"/>
      <c r="AP2161"/>
      <c r="AQ2161"/>
      <c r="AR2161"/>
      <c r="AS2161"/>
      <c r="AT2161"/>
      <c r="AU2161"/>
      <c r="AV2161"/>
      <c r="AW2161"/>
      <c r="AX2161"/>
      <c r="AY2161"/>
      <c r="AZ2161"/>
      <c r="BA2161"/>
      <c r="BB2161"/>
      <c r="BC2161"/>
      <c r="BD2161"/>
      <c r="BE2161"/>
      <c r="BF2161"/>
      <c r="BG2161"/>
      <c r="BH2161"/>
      <c r="BI2161"/>
      <c r="BJ2161"/>
      <c r="BK2161"/>
      <c r="BL2161"/>
      <c r="BM2161"/>
      <c r="BN2161"/>
      <c r="BO2161"/>
      <c r="BP2161"/>
      <c r="BQ2161"/>
      <c r="BR2161"/>
      <c r="BS2161"/>
      <c r="BT2161"/>
      <c r="BU2161"/>
      <c r="BV2161"/>
      <c r="BW2161"/>
      <c r="BX2161"/>
      <c r="BY2161"/>
      <c r="BZ2161"/>
      <c r="CA2161"/>
      <c r="CB2161"/>
      <c r="CC2161"/>
      <c r="CD2161"/>
      <c r="CE2161"/>
      <c r="CF2161"/>
      <c r="CG2161"/>
      <c r="CH2161"/>
      <c r="CI2161"/>
      <c r="CJ2161"/>
      <c r="CK2161"/>
      <c r="CL2161"/>
      <c r="CM2161"/>
      <c r="CN2161"/>
      <c r="CO2161"/>
      <c r="CP2161"/>
      <c r="CQ2161"/>
      <c r="CR2161"/>
      <c r="CS2161"/>
      <c r="CT2161"/>
      <c r="CU2161"/>
      <c r="CV2161"/>
      <c r="CW2161"/>
      <c r="CX2161"/>
      <c r="CY2161"/>
      <c r="CZ2161"/>
      <c r="DA2161"/>
      <c r="DB2161"/>
      <c r="DC2161"/>
      <c r="DD2161"/>
      <c r="DE2161"/>
      <c r="DF2161"/>
      <c r="DG2161"/>
      <c r="DH2161"/>
      <c r="DI2161"/>
      <c r="DJ2161"/>
      <c r="DK2161"/>
      <c r="DL2161"/>
      <c r="DM2161"/>
      <c r="DN2161"/>
      <c r="DO2161"/>
      <c r="DP2161"/>
      <c r="DQ2161"/>
      <c r="DR2161"/>
      <c r="DS2161"/>
      <c r="DT2161"/>
      <c r="DU2161"/>
      <c r="DV2161"/>
      <c r="DW2161"/>
      <c r="DX2161"/>
      <c r="DY2161"/>
      <c r="DZ2161"/>
      <c r="EA2161"/>
      <c r="EB2161"/>
      <c r="EC2161"/>
      <c r="ED2161"/>
      <c r="EE2161"/>
      <c r="EF2161"/>
      <c r="EG2161"/>
      <c r="EH2161"/>
      <c r="EI2161"/>
      <c r="EJ2161"/>
      <c r="EK2161"/>
      <c r="EL2161"/>
      <c r="EM2161"/>
      <c r="EN2161"/>
      <c r="EO2161"/>
      <c r="EP2161"/>
      <c r="EQ2161"/>
      <c r="ER2161"/>
      <c r="ES2161"/>
    </row>
    <row r="2162" spans="1:149">
      <c r="A2162"/>
      <c r="B2162"/>
      <c r="C2162"/>
      <c r="D2162"/>
      <c r="E2162"/>
      <c r="F2162"/>
      <c r="G2162"/>
      <c r="H2162"/>
      <c r="I2162"/>
      <c r="J2162"/>
      <c r="K2162"/>
      <c r="L2162"/>
      <c r="M2162"/>
      <c r="N2162"/>
      <c r="O2162"/>
      <c r="P2162"/>
      <c r="Q2162"/>
      <c r="R2162"/>
      <c r="S2162"/>
      <c r="T2162"/>
      <c r="U2162"/>
      <c r="V2162"/>
      <c r="W2162"/>
      <c r="X2162"/>
      <c r="Y2162"/>
      <c r="Z2162"/>
      <c r="AA2162"/>
      <c r="AB2162"/>
      <c r="AC2162"/>
      <c r="AD2162"/>
      <c r="AE2162"/>
      <c r="AF2162"/>
      <c r="AG2162"/>
      <c r="AH2162"/>
      <c r="AI2162"/>
      <c r="AJ2162"/>
      <c r="AK2162"/>
      <c r="AL2162"/>
      <c r="AM2162"/>
      <c r="AN2162"/>
      <c r="AO2162"/>
      <c r="AP2162"/>
      <c r="AQ2162"/>
      <c r="AR2162"/>
      <c r="AS2162"/>
      <c r="AT2162"/>
      <c r="AU2162"/>
      <c r="AV2162"/>
      <c r="AW2162"/>
      <c r="AX2162"/>
      <c r="AY2162"/>
      <c r="AZ2162"/>
      <c r="BA2162"/>
      <c r="BB2162"/>
      <c r="BC2162"/>
      <c r="BD2162"/>
      <c r="BE2162"/>
      <c r="BF2162"/>
      <c r="BG2162"/>
      <c r="BH2162"/>
      <c r="BI2162"/>
      <c r="BJ2162"/>
      <c r="BK2162"/>
      <c r="BL2162"/>
      <c r="BM2162"/>
      <c r="BN2162"/>
      <c r="BO2162"/>
      <c r="BP2162"/>
      <c r="BQ2162"/>
      <c r="BR2162"/>
      <c r="BS2162"/>
      <c r="BT2162"/>
      <c r="BU2162"/>
      <c r="BV2162"/>
      <c r="BW2162"/>
      <c r="BX2162"/>
      <c r="BY2162"/>
      <c r="BZ2162"/>
      <c r="CA2162"/>
      <c r="CB2162"/>
      <c r="CC2162"/>
      <c r="CD2162"/>
      <c r="CE2162"/>
      <c r="CF2162"/>
      <c r="CG2162"/>
      <c r="CH2162"/>
      <c r="CI2162"/>
      <c r="CJ2162"/>
      <c r="CK2162"/>
      <c r="CL2162"/>
      <c r="CM2162"/>
      <c r="CN2162"/>
      <c r="CO2162"/>
      <c r="CP2162"/>
      <c r="CQ2162"/>
      <c r="CR2162"/>
      <c r="CS2162"/>
      <c r="CT2162"/>
      <c r="CU2162"/>
      <c r="CV2162"/>
      <c r="CW2162"/>
      <c r="CX2162"/>
      <c r="CY2162"/>
      <c r="CZ2162"/>
      <c r="DA2162"/>
      <c r="DB2162"/>
      <c r="DC2162"/>
      <c r="DD2162"/>
      <c r="DE2162"/>
      <c r="DF2162"/>
      <c r="DG2162"/>
      <c r="DH2162"/>
      <c r="DI2162"/>
      <c r="DJ2162"/>
      <c r="DK2162"/>
      <c r="DL2162"/>
      <c r="DM2162"/>
      <c r="DN2162"/>
      <c r="DO2162"/>
      <c r="DP2162"/>
      <c r="DQ2162"/>
      <c r="DR2162"/>
      <c r="DS2162"/>
      <c r="DT2162"/>
      <c r="DU2162"/>
      <c r="DV2162"/>
      <c r="DW2162"/>
      <c r="DX2162"/>
      <c r="DY2162"/>
      <c r="DZ2162"/>
      <c r="EA2162"/>
      <c r="EB2162"/>
      <c r="EC2162"/>
      <c r="ED2162"/>
      <c r="EE2162"/>
      <c r="EF2162"/>
      <c r="EG2162"/>
      <c r="EH2162"/>
      <c r="EI2162"/>
      <c r="EJ2162"/>
      <c r="EK2162"/>
      <c r="EL2162"/>
      <c r="EM2162"/>
      <c r="EN2162"/>
      <c r="EO2162"/>
      <c r="EP2162"/>
      <c r="EQ2162"/>
      <c r="ER2162"/>
      <c r="ES2162"/>
    </row>
    <row r="2163" spans="1:149">
      <c r="A2163"/>
      <c r="B2163"/>
      <c r="C2163"/>
      <c r="D2163"/>
      <c r="E2163"/>
      <c r="F2163"/>
      <c r="G2163"/>
      <c r="H2163"/>
      <c r="I2163"/>
      <c r="J2163"/>
      <c r="K2163"/>
      <c r="L2163"/>
      <c r="M2163"/>
      <c r="N2163"/>
      <c r="O2163"/>
      <c r="P2163"/>
      <c r="Q2163"/>
      <c r="R2163"/>
      <c r="S2163"/>
      <c r="T2163"/>
      <c r="U2163"/>
      <c r="V2163"/>
      <c r="W2163"/>
      <c r="X2163"/>
      <c r="Y2163"/>
      <c r="Z2163"/>
      <c r="AA2163"/>
      <c r="AB2163"/>
      <c r="AC2163"/>
      <c r="AD2163"/>
      <c r="AE2163"/>
      <c r="AF2163"/>
      <c r="AG2163"/>
      <c r="AH2163"/>
      <c r="AI2163"/>
      <c r="AJ2163"/>
      <c r="AK2163"/>
      <c r="AL2163"/>
      <c r="AM2163"/>
      <c r="AN2163"/>
      <c r="AO2163"/>
      <c r="AP2163"/>
      <c r="AQ2163"/>
      <c r="AR2163"/>
      <c r="AS2163"/>
      <c r="AT2163"/>
      <c r="AU2163"/>
      <c r="AV2163"/>
      <c r="AW2163"/>
      <c r="AX2163"/>
      <c r="AY2163"/>
      <c r="AZ2163"/>
      <c r="BA2163"/>
      <c r="BB2163"/>
      <c r="BC2163"/>
      <c r="BD2163"/>
      <c r="BE2163"/>
      <c r="BF2163"/>
      <c r="BG2163"/>
      <c r="BH2163"/>
      <c r="BI2163"/>
      <c r="BJ2163"/>
      <c r="BK2163"/>
      <c r="BL2163"/>
      <c r="BM2163"/>
      <c r="BN2163"/>
      <c r="BO2163"/>
      <c r="BP2163"/>
      <c r="BQ2163"/>
      <c r="BR2163"/>
      <c r="BS2163"/>
      <c r="BT2163"/>
      <c r="BU2163"/>
      <c r="BV2163"/>
      <c r="BW2163"/>
      <c r="BX2163"/>
      <c r="BY2163"/>
      <c r="BZ2163"/>
      <c r="CA2163"/>
      <c r="CB2163"/>
      <c r="CC2163"/>
      <c r="CD2163"/>
      <c r="CE2163"/>
      <c r="CF2163"/>
      <c r="CG2163"/>
      <c r="CH2163"/>
      <c r="CI2163"/>
      <c r="CJ2163"/>
      <c r="CK2163"/>
      <c r="CL2163"/>
      <c r="CM2163"/>
      <c r="CN2163"/>
      <c r="CO2163"/>
      <c r="CP2163"/>
      <c r="CQ2163"/>
      <c r="CR2163"/>
      <c r="CS2163"/>
      <c r="CT2163"/>
      <c r="CU2163"/>
      <c r="CV2163"/>
      <c r="CW2163"/>
      <c r="CX2163"/>
      <c r="CY2163"/>
      <c r="CZ2163"/>
      <c r="DA2163"/>
      <c r="DB2163"/>
      <c r="DC2163"/>
      <c r="DD2163"/>
      <c r="DE2163"/>
      <c r="DF2163"/>
      <c r="DG2163"/>
      <c r="DH2163"/>
      <c r="DI2163"/>
      <c r="DJ2163"/>
      <c r="DK2163"/>
      <c r="DL2163"/>
      <c r="DM2163"/>
      <c r="DN2163"/>
      <c r="DO2163"/>
      <c r="DP2163"/>
      <c r="DQ2163"/>
      <c r="DR2163"/>
      <c r="DS2163"/>
      <c r="DT2163"/>
      <c r="DU2163"/>
      <c r="DV2163"/>
      <c r="DW2163"/>
      <c r="DX2163"/>
      <c r="DY2163"/>
      <c r="DZ2163"/>
      <c r="EA2163"/>
      <c r="EB2163"/>
      <c r="EC2163"/>
      <c r="ED2163"/>
      <c r="EE2163"/>
      <c r="EF2163"/>
      <c r="EG2163"/>
      <c r="EH2163"/>
      <c r="EI2163"/>
      <c r="EJ2163"/>
      <c r="EK2163"/>
      <c r="EL2163"/>
      <c r="EM2163"/>
      <c r="EN2163"/>
      <c r="EO2163"/>
      <c r="EP2163"/>
      <c r="EQ2163"/>
      <c r="ER2163"/>
      <c r="ES2163"/>
    </row>
    <row r="2164" spans="1:149">
      <c r="A2164"/>
      <c r="B2164"/>
      <c r="C2164"/>
      <c r="D2164"/>
      <c r="E2164"/>
      <c r="F2164"/>
      <c r="G2164"/>
      <c r="H2164"/>
      <c r="I2164"/>
      <c r="J2164"/>
      <c r="K2164"/>
      <c r="L2164"/>
      <c r="M2164"/>
      <c r="N2164"/>
      <c r="O2164"/>
      <c r="P2164"/>
      <c r="Q2164"/>
      <c r="R2164"/>
      <c r="S2164"/>
      <c r="T2164"/>
      <c r="U2164"/>
      <c r="V2164"/>
      <c r="W2164"/>
      <c r="X2164"/>
      <c r="Y2164"/>
      <c r="Z2164"/>
      <c r="AA2164"/>
      <c r="AB2164"/>
      <c r="AC2164"/>
      <c r="AD2164"/>
      <c r="AE2164"/>
      <c r="AF2164"/>
      <c r="AG2164"/>
      <c r="AH2164"/>
      <c r="AI2164"/>
      <c r="AJ2164"/>
      <c r="AK2164"/>
      <c r="AL2164"/>
      <c r="AM2164"/>
      <c r="AN2164"/>
      <c r="AO2164"/>
      <c r="AP2164"/>
      <c r="AQ2164"/>
      <c r="AR2164"/>
      <c r="AS2164"/>
      <c r="AT2164"/>
      <c r="AU2164"/>
      <c r="AV2164"/>
      <c r="AW2164"/>
      <c r="AX2164"/>
      <c r="AY2164"/>
      <c r="AZ2164"/>
      <c r="BA2164"/>
      <c r="BB2164"/>
      <c r="BC2164"/>
      <c r="BD2164"/>
      <c r="BE2164"/>
      <c r="BF2164"/>
      <c r="BG2164"/>
      <c r="BH2164"/>
      <c r="BI2164"/>
      <c r="BJ2164"/>
      <c r="BK2164"/>
      <c r="BL2164"/>
      <c r="BM2164"/>
      <c r="BN2164"/>
      <c r="BO2164"/>
      <c r="BP2164"/>
      <c r="BQ2164"/>
      <c r="BR2164"/>
      <c r="BS2164"/>
      <c r="BT2164"/>
      <c r="BU2164"/>
      <c r="BV2164"/>
      <c r="BW2164"/>
      <c r="BX2164"/>
      <c r="BY2164"/>
      <c r="BZ2164"/>
      <c r="CA2164"/>
      <c r="CB2164"/>
      <c r="CC2164"/>
      <c r="CD2164"/>
      <c r="CE2164"/>
      <c r="CF2164"/>
      <c r="CG2164"/>
      <c r="CH2164"/>
      <c r="CI2164"/>
      <c r="CJ2164"/>
      <c r="CK2164"/>
      <c r="CL2164"/>
      <c r="CM2164"/>
      <c r="CN2164"/>
      <c r="CO2164"/>
      <c r="CP2164"/>
      <c r="CQ2164"/>
      <c r="CR2164"/>
      <c r="CS2164"/>
      <c r="CT2164"/>
      <c r="CU2164"/>
      <c r="CV2164"/>
      <c r="CW2164"/>
      <c r="CX2164"/>
      <c r="CY2164"/>
      <c r="CZ2164"/>
      <c r="DA2164"/>
      <c r="DB2164"/>
      <c r="DC2164"/>
      <c r="DD2164"/>
      <c r="DE2164"/>
      <c r="DF2164"/>
      <c r="DG2164"/>
      <c r="DH2164"/>
      <c r="DI2164"/>
      <c r="DJ2164"/>
      <c r="DK2164"/>
      <c r="DL2164"/>
      <c r="DM2164"/>
      <c r="DN2164"/>
      <c r="DO2164"/>
      <c r="DP2164"/>
      <c r="DQ2164"/>
      <c r="DR2164"/>
      <c r="DS2164"/>
      <c r="DT2164"/>
      <c r="DU2164"/>
      <c r="DV2164"/>
      <c r="DW2164"/>
      <c r="DX2164"/>
      <c r="DY2164"/>
      <c r="DZ2164"/>
      <c r="EA2164"/>
      <c r="EB2164"/>
      <c r="EC2164"/>
      <c r="ED2164"/>
      <c r="EE2164"/>
      <c r="EF2164"/>
      <c r="EG2164"/>
      <c r="EH2164"/>
      <c r="EI2164"/>
      <c r="EJ2164"/>
      <c r="EK2164"/>
      <c r="EL2164"/>
      <c r="EM2164"/>
      <c r="EN2164"/>
      <c r="EO2164"/>
      <c r="EP2164"/>
      <c r="EQ2164"/>
      <c r="ER2164"/>
      <c r="ES2164"/>
    </row>
    <row r="2165" spans="1:149">
      <c r="A2165"/>
      <c r="B2165"/>
      <c r="C2165"/>
      <c r="D2165"/>
      <c r="E2165"/>
      <c r="F2165"/>
      <c r="G2165"/>
      <c r="H2165"/>
      <c r="I2165"/>
      <c r="J2165"/>
      <c r="K2165"/>
      <c r="L2165"/>
      <c r="M2165"/>
      <c r="N2165"/>
      <c r="O2165"/>
      <c r="P2165"/>
      <c r="Q2165"/>
      <c r="R2165"/>
      <c r="S2165"/>
      <c r="T2165"/>
      <c r="U2165"/>
      <c r="V2165"/>
      <c r="W2165"/>
      <c r="X2165"/>
      <c r="Y2165"/>
      <c r="Z2165"/>
      <c r="AA2165"/>
      <c r="AB2165"/>
      <c r="AC2165"/>
      <c r="AD2165"/>
      <c r="AE2165"/>
      <c r="AF2165"/>
      <c r="AG2165"/>
      <c r="AH2165"/>
      <c r="AI2165"/>
      <c r="AJ2165"/>
      <c r="AK2165"/>
      <c r="AL2165"/>
      <c r="AM2165"/>
      <c r="AN2165"/>
      <c r="AO2165"/>
      <c r="AP2165"/>
      <c r="AQ2165"/>
      <c r="AR2165"/>
      <c r="AS2165"/>
      <c r="AT2165"/>
      <c r="AU2165"/>
      <c r="AV2165"/>
      <c r="AW2165"/>
      <c r="AX2165"/>
      <c r="AY2165"/>
      <c r="AZ2165"/>
      <c r="BA2165"/>
      <c r="BB2165"/>
      <c r="BC2165"/>
      <c r="BD2165"/>
      <c r="BE2165"/>
      <c r="BF2165"/>
      <c r="BG2165"/>
      <c r="BH2165"/>
      <c r="BI2165"/>
      <c r="BJ2165"/>
      <c r="BK2165"/>
      <c r="BL2165"/>
      <c r="BM2165"/>
      <c r="BN2165"/>
      <c r="BO2165"/>
      <c r="BP2165"/>
      <c r="BQ2165"/>
      <c r="BR2165"/>
      <c r="BS2165"/>
      <c r="BT2165"/>
      <c r="BU2165"/>
      <c r="BV2165"/>
      <c r="BW2165"/>
      <c r="BX2165"/>
      <c r="BY2165"/>
      <c r="BZ2165"/>
      <c r="CA2165"/>
      <c r="CB2165"/>
      <c r="CC2165"/>
      <c r="CD2165"/>
      <c r="CE2165"/>
      <c r="CF2165"/>
      <c r="CG2165"/>
      <c r="CH2165"/>
      <c r="CI2165"/>
      <c r="CJ2165"/>
      <c r="CK2165"/>
      <c r="CL2165"/>
      <c r="CM2165"/>
      <c r="CN2165"/>
      <c r="CO2165"/>
      <c r="CP2165"/>
      <c r="CQ2165"/>
      <c r="CR2165"/>
      <c r="CS2165"/>
      <c r="CT2165"/>
      <c r="CU2165"/>
      <c r="CV2165"/>
      <c r="CW2165"/>
      <c r="CX2165"/>
      <c r="CY2165"/>
      <c r="CZ2165"/>
      <c r="DA2165"/>
      <c r="DB2165"/>
      <c r="DC2165"/>
      <c r="DD2165"/>
      <c r="DE2165"/>
      <c r="DF2165"/>
      <c r="DG2165"/>
      <c r="DH2165"/>
      <c r="DI2165"/>
      <c r="DJ2165"/>
      <c r="DK2165"/>
      <c r="DL2165"/>
      <c r="DM2165"/>
      <c r="DN2165"/>
      <c r="DO2165"/>
      <c r="DP2165"/>
      <c r="DQ2165"/>
      <c r="DR2165"/>
      <c r="DS2165"/>
      <c r="DT2165"/>
      <c r="DU2165"/>
      <c r="DV2165"/>
      <c r="DW2165"/>
      <c r="DX2165"/>
      <c r="DY2165"/>
      <c r="DZ2165"/>
      <c r="EA2165"/>
      <c r="EB2165"/>
      <c r="EC2165"/>
      <c r="ED2165"/>
      <c r="EE2165"/>
      <c r="EF2165"/>
      <c r="EG2165"/>
      <c r="EH2165"/>
      <c r="EI2165"/>
      <c r="EJ2165"/>
      <c r="EK2165"/>
      <c r="EL2165"/>
      <c r="EM2165"/>
      <c r="EN2165"/>
      <c r="EO2165"/>
      <c r="EP2165"/>
      <c r="EQ2165"/>
      <c r="ER2165"/>
      <c r="ES2165"/>
    </row>
    <row r="2166" spans="1:149">
      <c r="A2166"/>
      <c r="B2166"/>
      <c r="C2166"/>
      <c r="D2166"/>
      <c r="E2166"/>
      <c r="F2166"/>
      <c r="G2166"/>
      <c r="H2166"/>
      <c r="I2166"/>
      <c r="J2166"/>
      <c r="K2166"/>
      <c r="L2166"/>
      <c r="M2166"/>
      <c r="N2166"/>
      <c r="O2166"/>
      <c r="P2166"/>
      <c r="Q2166"/>
      <c r="R2166"/>
      <c r="S2166"/>
      <c r="T2166"/>
      <c r="U2166"/>
      <c r="V2166"/>
      <c r="W2166"/>
      <c r="X2166"/>
      <c r="Y2166"/>
      <c r="Z2166"/>
      <c r="AA2166"/>
      <c r="AB2166"/>
      <c r="AC2166"/>
      <c r="AD2166"/>
      <c r="AE2166"/>
      <c r="AF2166"/>
      <c r="AG2166"/>
      <c r="AH2166"/>
      <c r="AI2166"/>
      <c r="AJ2166"/>
      <c r="AK2166"/>
      <c r="AL2166"/>
      <c r="AM2166"/>
      <c r="AN2166"/>
      <c r="AO2166"/>
      <c r="AP2166"/>
      <c r="AQ2166"/>
      <c r="AR2166"/>
      <c r="AS2166"/>
      <c r="AT2166"/>
      <c r="AU2166"/>
      <c r="AV2166"/>
      <c r="AW2166"/>
      <c r="AX2166"/>
      <c r="AY2166"/>
      <c r="AZ2166"/>
      <c r="BA2166"/>
      <c r="BB2166"/>
      <c r="BC2166"/>
      <c r="BD2166"/>
      <c r="BE2166"/>
      <c r="BF2166"/>
      <c r="BG2166"/>
      <c r="BH2166"/>
      <c r="BI2166"/>
      <c r="BJ2166"/>
      <c r="BK2166"/>
      <c r="BL2166"/>
      <c r="BM2166"/>
      <c r="BN2166"/>
      <c r="BO2166"/>
      <c r="BP2166"/>
      <c r="BQ2166"/>
      <c r="BR2166"/>
      <c r="BS2166"/>
      <c r="BT2166"/>
      <c r="BU2166"/>
      <c r="BV2166"/>
      <c r="BW2166"/>
      <c r="BX2166"/>
      <c r="BY2166"/>
      <c r="BZ2166"/>
      <c r="CA2166"/>
      <c r="CB2166"/>
      <c r="CC2166"/>
      <c r="CD2166"/>
      <c r="CE2166"/>
      <c r="CF2166"/>
      <c r="CG2166"/>
      <c r="CH2166"/>
      <c r="CI2166"/>
      <c r="CJ2166"/>
      <c r="CK2166"/>
      <c r="CL2166"/>
      <c r="CM2166"/>
      <c r="CN2166"/>
      <c r="CO2166"/>
      <c r="CP2166"/>
      <c r="CQ2166"/>
      <c r="CR2166"/>
      <c r="CS2166"/>
      <c r="CT2166"/>
      <c r="CU2166"/>
      <c r="CV2166"/>
      <c r="CW2166"/>
      <c r="CX2166"/>
      <c r="CY2166"/>
      <c r="CZ2166"/>
      <c r="DA2166"/>
      <c r="DB2166"/>
      <c r="DC2166"/>
      <c r="DD2166"/>
      <c r="DE2166"/>
      <c r="DF2166"/>
      <c r="DG2166"/>
      <c r="DH2166"/>
      <c r="DI2166"/>
      <c r="DJ2166"/>
      <c r="DK2166"/>
      <c r="DL2166"/>
      <c r="DM2166"/>
      <c r="DN2166"/>
      <c r="DO2166"/>
      <c r="DP2166"/>
      <c r="DQ2166"/>
      <c r="DR2166"/>
      <c r="DS2166"/>
      <c r="DT2166"/>
      <c r="DU2166"/>
      <c r="DV2166"/>
      <c r="DW2166"/>
      <c r="DX2166"/>
      <c r="DY2166"/>
      <c r="DZ2166"/>
      <c r="EA2166"/>
      <c r="EB2166"/>
      <c r="EC2166"/>
      <c r="ED2166"/>
      <c r="EE2166"/>
      <c r="EF2166"/>
      <c r="EG2166"/>
      <c r="EH2166"/>
      <c r="EI2166"/>
      <c r="EJ2166"/>
      <c r="EK2166"/>
      <c r="EL2166"/>
      <c r="EM2166"/>
      <c r="EN2166"/>
      <c r="EO2166"/>
      <c r="EP2166"/>
      <c r="EQ2166"/>
      <c r="ER2166"/>
      <c r="ES2166"/>
    </row>
    <row r="2167" spans="1:149">
      <c r="A2167"/>
      <c r="B2167"/>
      <c r="C2167"/>
      <c r="D2167"/>
      <c r="E2167"/>
      <c r="F2167"/>
      <c r="G2167"/>
      <c r="H2167"/>
      <c r="I2167"/>
      <c r="J2167"/>
      <c r="K2167"/>
      <c r="L2167"/>
      <c r="M2167"/>
      <c r="N2167"/>
      <c r="O2167"/>
      <c r="P2167"/>
      <c r="Q2167"/>
      <c r="R2167"/>
      <c r="S2167"/>
      <c r="T2167"/>
      <c r="U2167"/>
      <c r="V2167"/>
      <c r="W2167"/>
      <c r="X2167"/>
      <c r="Y2167"/>
      <c r="Z2167"/>
      <c r="AA2167"/>
      <c r="AB2167"/>
      <c r="AC2167"/>
      <c r="AD2167"/>
      <c r="AE2167"/>
      <c r="AF2167"/>
      <c r="AG2167"/>
      <c r="AH2167"/>
      <c r="AI2167"/>
      <c r="AJ2167"/>
      <c r="AK2167"/>
      <c r="AL2167"/>
      <c r="AM2167"/>
      <c r="AN2167"/>
      <c r="AO2167"/>
      <c r="AP2167"/>
      <c r="AQ2167"/>
      <c r="AR2167"/>
      <c r="AS2167"/>
      <c r="AT2167"/>
      <c r="AU2167"/>
      <c r="AV2167"/>
      <c r="AW2167"/>
      <c r="AX2167"/>
      <c r="AY2167"/>
      <c r="AZ2167"/>
      <c r="BA2167"/>
      <c r="BB2167"/>
      <c r="BC2167"/>
      <c r="BD2167"/>
      <c r="BE2167"/>
      <c r="BF2167"/>
      <c r="BG2167"/>
      <c r="BH2167"/>
      <c r="BI2167"/>
      <c r="BJ2167"/>
      <c r="BK2167"/>
      <c r="BL2167"/>
      <c r="BM2167"/>
      <c r="BN2167"/>
      <c r="BO2167"/>
      <c r="BP2167"/>
      <c r="BQ2167"/>
      <c r="BR2167"/>
      <c r="BS2167"/>
      <c r="BT2167"/>
      <c r="BU2167"/>
      <c r="BV2167"/>
      <c r="BW2167"/>
      <c r="BX2167"/>
      <c r="BY2167"/>
      <c r="BZ2167"/>
      <c r="CA2167"/>
      <c r="CB2167"/>
      <c r="CC2167"/>
      <c r="CD2167"/>
      <c r="CE2167"/>
      <c r="CF2167"/>
      <c r="CG2167"/>
      <c r="CH2167"/>
      <c r="CI2167"/>
      <c r="CJ2167"/>
      <c r="CK2167"/>
      <c r="CL2167"/>
      <c r="CM2167"/>
      <c r="CN2167"/>
      <c r="CO2167"/>
      <c r="CP2167"/>
      <c r="CQ2167"/>
      <c r="CR2167"/>
      <c r="CS2167"/>
      <c r="CT2167"/>
      <c r="CU2167"/>
      <c r="CV2167"/>
      <c r="CW2167"/>
      <c r="CX2167"/>
      <c r="CY2167"/>
      <c r="CZ2167"/>
      <c r="DA2167"/>
      <c r="DB2167"/>
      <c r="DC2167"/>
      <c r="DD2167"/>
      <c r="DE2167"/>
      <c r="DF2167"/>
      <c r="DG2167"/>
      <c r="DH2167"/>
      <c r="DI2167"/>
      <c r="DJ2167"/>
      <c r="DK2167"/>
      <c r="DL2167"/>
      <c r="DM2167"/>
      <c r="DN2167"/>
      <c r="DO2167"/>
      <c r="DP2167"/>
      <c r="DQ2167"/>
      <c r="DR2167"/>
      <c r="DS2167"/>
      <c r="DT2167"/>
      <c r="DU2167"/>
      <c r="DV2167"/>
      <c r="DW2167"/>
      <c r="DX2167"/>
      <c r="DY2167"/>
      <c r="DZ2167"/>
      <c r="EA2167"/>
      <c r="EB2167"/>
      <c r="EC2167"/>
      <c r="ED2167"/>
      <c r="EE2167"/>
      <c r="EF2167"/>
      <c r="EG2167"/>
      <c r="EH2167"/>
      <c r="EI2167"/>
      <c r="EJ2167"/>
      <c r="EK2167"/>
      <c r="EL2167"/>
      <c r="EM2167"/>
      <c r="EN2167"/>
      <c r="EO2167"/>
      <c r="EP2167"/>
      <c r="EQ2167"/>
      <c r="ER2167"/>
      <c r="ES2167"/>
    </row>
    <row r="2168" spans="1:149">
      <c r="A2168"/>
      <c r="B2168"/>
      <c r="C2168"/>
      <c r="D2168"/>
      <c r="E2168"/>
      <c r="F2168"/>
      <c r="G2168"/>
      <c r="H2168"/>
      <c r="I2168"/>
      <c r="J2168"/>
      <c r="K2168"/>
      <c r="L2168"/>
      <c r="M2168"/>
      <c r="N2168"/>
      <c r="O2168"/>
      <c r="P2168"/>
      <c r="Q2168"/>
      <c r="R2168"/>
      <c r="S2168"/>
      <c r="T2168"/>
      <c r="U2168"/>
      <c r="V2168"/>
      <c r="W2168"/>
      <c r="X2168"/>
      <c r="Y2168"/>
      <c r="Z2168"/>
      <c r="AA2168"/>
      <c r="AB2168"/>
      <c r="AC2168"/>
      <c r="AD2168"/>
      <c r="AE2168"/>
      <c r="AF2168"/>
      <c r="AG2168"/>
      <c r="AH2168"/>
      <c r="AI2168"/>
      <c r="AJ2168"/>
      <c r="AK2168"/>
      <c r="AL2168"/>
      <c r="AM2168"/>
      <c r="AN2168"/>
      <c r="AO2168"/>
      <c r="AP2168"/>
      <c r="AQ2168"/>
      <c r="AR2168"/>
      <c r="AS2168"/>
      <c r="AT2168"/>
      <c r="AU2168"/>
      <c r="AV2168"/>
      <c r="AW2168"/>
      <c r="AX2168"/>
      <c r="AY2168"/>
      <c r="AZ2168"/>
      <c r="BA2168"/>
      <c r="BB2168"/>
      <c r="BC2168"/>
      <c r="BD2168"/>
      <c r="BE2168"/>
      <c r="BF2168"/>
      <c r="BG2168"/>
      <c r="BH2168"/>
      <c r="BI2168"/>
      <c r="BJ2168"/>
      <c r="BK2168"/>
      <c r="BL2168"/>
      <c r="BM2168"/>
      <c r="BN2168"/>
      <c r="BO2168"/>
      <c r="BP2168"/>
      <c r="BQ2168"/>
      <c r="BR2168"/>
      <c r="BS2168"/>
      <c r="BT2168"/>
      <c r="BU2168"/>
      <c r="BV2168"/>
      <c r="BW2168"/>
      <c r="BX2168"/>
      <c r="BY2168"/>
      <c r="BZ2168"/>
      <c r="CA2168"/>
      <c r="CB2168"/>
      <c r="CC2168"/>
      <c r="CD2168"/>
      <c r="CE2168"/>
      <c r="CF2168"/>
      <c r="CG2168"/>
      <c r="CH2168"/>
      <c r="CI2168"/>
      <c r="CJ2168"/>
      <c r="CK2168"/>
      <c r="CL2168"/>
      <c r="CM2168"/>
      <c r="CN2168"/>
      <c r="CO2168"/>
      <c r="CP2168"/>
      <c r="CQ2168"/>
      <c r="CR2168"/>
      <c r="CS2168"/>
      <c r="CT2168"/>
      <c r="CU2168"/>
      <c r="CV2168"/>
      <c r="CW2168"/>
      <c r="CX2168"/>
      <c r="CY2168"/>
      <c r="CZ2168"/>
      <c r="DA2168"/>
      <c r="DB2168"/>
      <c r="DC2168"/>
      <c r="DD2168"/>
      <c r="DE2168"/>
      <c r="DF2168"/>
      <c r="DG2168"/>
      <c r="DH2168"/>
      <c r="DI2168"/>
      <c r="DJ2168"/>
      <c r="DK2168"/>
      <c r="DL2168"/>
      <c r="DM2168"/>
      <c r="DN2168"/>
      <c r="DO2168"/>
      <c r="DP2168"/>
      <c r="DQ2168"/>
      <c r="DR2168"/>
      <c r="DS2168"/>
      <c r="DT2168"/>
      <c r="DU2168"/>
      <c r="DV2168"/>
      <c r="DW2168"/>
      <c r="DX2168"/>
      <c r="DY2168"/>
      <c r="DZ2168"/>
      <c r="EA2168"/>
      <c r="EB2168"/>
      <c r="EC2168"/>
      <c r="ED2168"/>
      <c r="EE2168"/>
      <c r="EF2168"/>
      <c r="EG2168"/>
      <c r="EH2168"/>
      <c r="EI2168"/>
      <c r="EJ2168"/>
      <c r="EK2168"/>
      <c r="EL2168"/>
      <c r="EM2168"/>
      <c r="EN2168"/>
      <c r="EO2168"/>
      <c r="EP2168"/>
      <c r="EQ2168"/>
      <c r="ER2168"/>
      <c r="ES2168"/>
    </row>
    <row r="2169" spans="1:149">
      <c r="A2169"/>
      <c r="B2169"/>
      <c r="C2169"/>
      <c r="D2169"/>
      <c r="E2169"/>
      <c r="F2169"/>
      <c r="G2169"/>
      <c r="H2169"/>
      <c r="I2169"/>
      <c r="J2169"/>
      <c r="K2169"/>
      <c r="L2169"/>
      <c r="M2169"/>
      <c r="N2169"/>
      <c r="O2169"/>
      <c r="P2169"/>
      <c r="Q2169"/>
      <c r="R2169"/>
      <c r="S2169"/>
      <c r="T2169"/>
      <c r="U2169"/>
      <c r="V2169"/>
      <c r="W2169"/>
      <c r="X2169"/>
      <c r="Y2169"/>
      <c r="Z2169"/>
      <c r="AA2169"/>
      <c r="AB2169"/>
      <c r="AC2169"/>
      <c r="AD2169"/>
      <c r="AE2169"/>
      <c r="AF2169"/>
      <c r="AG2169"/>
      <c r="AH2169"/>
      <c r="AI2169"/>
      <c r="AJ2169"/>
      <c r="AK2169"/>
      <c r="AL2169"/>
      <c r="AM2169"/>
      <c r="AN2169"/>
      <c r="AO2169"/>
      <c r="AP2169"/>
      <c r="AQ2169"/>
      <c r="AR2169"/>
      <c r="AS2169"/>
      <c r="AT2169"/>
      <c r="AU2169"/>
      <c r="AV2169"/>
      <c r="AW2169"/>
      <c r="AX2169"/>
      <c r="AY2169"/>
      <c r="AZ2169"/>
      <c r="BA2169"/>
      <c r="BB2169"/>
      <c r="BC2169"/>
      <c r="BD2169"/>
      <c r="BE2169"/>
      <c r="BF2169"/>
      <c r="BG2169"/>
      <c r="BH2169"/>
      <c r="BI2169"/>
      <c r="BJ2169"/>
      <c r="BK2169"/>
      <c r="BL2169"/>
      <c r="BM2169"/>
      <c r="BN2169"/>
      <c r="BO2169"/>
      <c r="BP2169"/>
      <c r="BQ2169"/>
      <c r="BR2169"/>
      <c r="BS2169"/>
      <c r="BT2169"/>
      <c r="BU2169"/>
      <c r="BV2169"/>
      <c r="BW2169"/>
      <c r="BX2169"/>
      <c r="BY2169"/>
      <c r="BZ2169"/>
      <c r="CA2169"/>
      <c r="CB2169"/>
      <c r="CC2169"/>
      <c r="CD2169"/>
      <c r="CE2169"/>
      <c r="CF2169"/>
      <c r="CG2169"/>
      <c r="CH2169"/>
      <c r="CI2169"/>
      <c r="CJ2169"/>
      <c r="CK2169"/>
      <c r="CL2169"/>
      <c r="CM2169"/>
      <c r="CN2169"/>
      <c r="CO2169"/>
      <c r="CP2169"/>
      <c r="CQ2169"/>
      <c r="CR2169"/>
      <c r="CS2169"/>
      <c r="CT2169"/>
      <c r="CU2169"/>
      <c r="CV2169"/>
      <c r="CW2169"/>
      <c r="CX2169"/>
      <c r="CY2169"/>
      <c r="CZ2169"/>
      <c r="DA2169"/>
      <c r="DB2169"/>
      <c r="DC2169"/>
      <c r="DD2169"/>
      <c r="DE2169"/>
      <c r="DF2169"/>
      <c r="DG2169"/>
      <c r="DH2169"/>
      <c r="DI2169"/>
      <c r="DJ2169"/>
      <c r="DK2169"/>
      <c r="DL2169"/>
      <c r="DM2169"/>
      <c r="DN2169"/>
      <c r="DO2169"/>
      <c r="DP2169"/>
      <c r="DQ2169"/>
      <c r="DR2169"/>
      <c r="DS2169"/>
      <c r="DT2169"/>
      <c r="DU2169"/>
      <c r="DV2169"/>
      <c r="DW2169"/>
      <c r="DX2169"/>
      <c r="DY2169"/>
      <c r="DZ2169"/>
      <c r="EA2169"/>
      <c r="EB2169"/>
      <c r="EC2169"/>
      <c r="ED2169"/>
      <c r="EE2169"/>
      <c r="EF2169"/>
      <c r="EG2169"/>
      <c r="EH2169"/>
      <c r="EI2169"/>
      <c r="EJ2169"/>
      <c r="EK2169"/>
      <c r="EL2169"/>
      <c r="EM2169"/>
      <c r="EN2169"/>
      <c r="EO2169"/>
      <c r="EP2169"/>
      <c r="EQ2169"/>
      <c r="ER2169"/>
      <c r="ES2169"/>
    </row>
    <row r="2170" spans="1:149">
      <c r="A2170"/>
      <c r="B2170"/>
      <c r="C2170"/>
      <c r="D2170"/>
      <c r="E2170"/>
      <c r="F2170"/>
      <c r="G2170"/>
      <c r="H2170"/>
      <c r="I2170"/>
      <c r="J2170"/>
      <c r="K2170"/>
      <c r="L2170"/>
      <c r="M2170"/>
      <c r="N2170"/>
      <c r="O2170"/>
      <c r="P2170"/>
      <c r="Q2170"/>
      <c r="R2170"/>
      <c r="S2170"/>
      <c r="T2170"/>
      <c r="U2170"/>
      <c r="V2170"/>
      <c r="W2170"/>
      <c r="X2170"/>
      <c r="Y2170"/>
      <c r="Z2170"/>
      <c r="AA2170"/>
      <c r="AB2170"/>
      <c r="AC2170"/>
      <c r="AD2170"/>
      <c r="AE2170"/>
      <c r="AF2170"/>
      <c r="AG2170"/>
      <c r="AH2170"/>
      <c r="AI2170"/>
      <c r="AJ2170"/>
      <c r="AK2170"/>
      <c r="AL2170"/>
      <c r="AM2170"/>
      <c r="AN2170"/>
      <c r="AO2170"/>
      <c r="AP2170"/>
      <c r="AQ2170"/>
      <c r="AR2170"/>
      <c r="AS2170"/>
      <c r="AT2170"/>
      <c r="AU2170"/>
      <c r="AV2170"/>
      <c r="AW2170"/>
      <c r="AX2170"/>
      <c r="AY2170"/>
      <c r="AZ2170"/>
      <c r="BA2170"/>
      <c r="BB2170"/>
      <c r="BC2170"/>
      <c r="BD2170"/>
      <c r="BE2170"/>
      <c r="BF2170"/>
      <c r="BG2170"/>
      <c r="BH2170"/>
      <c r="BI2170"/>
      <c r="BJ2170"/>
      <c r="BK2170"/>
      <c r="BL2170"/>
      <c r="BM2170"/>
      <c r="BN2170"/>
      <c r="BO2170"/>
      <c r="BP2170"/>
      <c r="BQ2170"/>
      <c r="BR2170"/>
      <c r="BS2170"/>
      <c r="BT2170"/>
      <c r="BU2170"/>
      <c r="BV2170"/>
      <c r="BW2170"/>
      <c r="BX2170"/>
      <c r="BY2170"/>
      <c r="BZ2170"/>
      <c r="CA2170"/>
      <c r="CB2170"/>
      <c r="CC2170"/>
      <c r="CD2170"/>
      <c r="CE2170"/>
      <c r="CF2170"/>
      <c r="CG2170"/>
      <c r="CH2170"/>
      <c r="CI2170"/>
      <c r="CJ2170"/>
      <c r="CK2170"/>
      <c r="CL2170"/>
      <c r="CM2170"/>
      <c r="CN2170"/>
      <c r="CO2170"/>
      <c r="CP2170"/>
      <c r="CQ2170"/>
      <c r="CR2170"/>
      <c r="CS2170"/>
      <c r="CT2170"/>
      <c r="CU2170"/>
      <c r="CV2170"/>
      <c r="CW2170"/>
      <c r="CX2170"/>
      <c r="CY2170"/>
      <c r="CZ2170"/>
      <c r="DA2170"/>
      <c r="DB2170"/>
      <c r="DC2170"/>
      <c r="DD2170"/>
      <c r="DE2170"/>
      <c r="DF2170"/>
      <c r="DG2170"/>
      <c r="DH2170"/>
      <c r="DI2170"/>
      <c r="DJ2170"/>
      <c r="DK2170"/>
      <c r="DL2170"/>
      <c r="DM2170"/>
      <c r="DN2170"/>
      <c r="DO2170"/>
      <c r="DP2170"/>
      <c r="DQ2170"/>
      <c r="DR2170"/>
      <c r="DS2170"/>
      <c r="DT2170"/>
      <c r="DU2170"/>
      <c r="DV2170"/>
      <c r="DW2170"/>
      <c r="DX2170"/>
      <c r="DY2170"/>
      <c r="DZ2170"/>
      <c r="EA2170"/>
      <c r="EB2170"/>
      <c r="EC2170"/>
      <c r="ED2170"/>
      <c r="EE2170"/>
      <c r="EF2170"/>
      <c r="EG2170"/>
      <c r="EH2170"/>
      <c r="EI2170"/>
      <c r="EJ2170"/>
      <c r="EK2170"/>
      <c r="EL2170"/>
      <c r="EM2170"/>
      <c r="EN2170"/>
      <c r="EO2170"/>
      <c r="EP2170"/>
      <c r="EQ2170"/>
      <c r="ER2170"/>
      <c r="ES2170"/>
    </row>
    <row r="2171" spans="1:149">
      <c r="A2171"/>
      <c r="B2171"/>
      <c r="C2171"/>
      <c r="D2171"/>
      <c r="E2171"/>
      <c r="F2171"/>
      <c r="G2171"/>
      <c r="H2171"/>
      <c r="I2171"/>
      <c r="J2171"/>
      <c r="K2171"/>
      <c r="L2171"/>
      <c r="M2171"/>
      <c r="N2171"/>
      <c r="O2171"/>
      <c r="P2171"/>
      <c r="Q2171"/>
      <c r="R2171"/>
      <c r="S2171"/>
      <c r="T2171"/>
      <c r="U2171"/>
      <c r="V2171"/>
      <c r="W2171"/>
      <c r="X2171"/>
      <c r="Y2171"/>
      <c r="Z2171"/>
      <c r="AA2171"/>
      <c r="AB2171"/>
      <c r="AC2171"/>
      <c r="AD2171"/>
      <c r="AE2171"/>
      <c r="AF2171"/>
      <c r="AG2171"/>
      <c r="AH2171"/>
      <c r="AI2171"/>
      <c r="AJ2171"/>
      <c r="AK2171"/>
      <c r="AL2171"/>
      <c r="AM2171"/>
      <c r="AN2171"/>
      <c r="AO2171"/>
      <c r="AP2171"/>
      <c r="AQ2171"/>
      <c r="AR2171"/>
      <c r="AS2171"/>
      <c r="AT2171"/>
      <c r="AU2171"/>
      <c r="AV2171"/>
      <c r="AW2171"/>
      <c r="AX2171"/>
      <c r="AY2171"/>
      <c r="AZ2171"/>
      <c r="BA2171"/>
      <c r="BB2171"/>
      <c r="BC2171"/>
      <c r="BD2171"/>
      <c r="BE2171"/>
      <c r="BF2171"/>
      <c r="BG2171"/>
      <c r="BH2171"/>
      <c r="BI2171"/>
      <c r="BJ2171"/>
      <c r="BK2171"/>
      <c r="BL2171"/>
      <c r="BM2171"/>
      <c r="BN2171"/>
      <c r="BO2171"/>
      <c r="BP2171"/>
      <c r="BQ2171"/>
      <c r="BR2171"/>
      <c r="BS2171"/>
      <c r="BT2171"/>
      <c r="BU2171"/>
      <c r="BV2171"/>
      <c r="BW2171"/>
      <c r="BX2171"/>
      <c r="BY2171"/>
      <c r="BZ2171"/>
      <c r="CA2171"/>
      <c r="CB2171"/>
      <c r="CC2171"/>
      <c r="CD2171"/>
      <c r="CE2171"/>
      <c r="CF2171"/>
      <c r="CG2171"/>
      <c r="CH2171"/>
      <c r="CI2171"/>
      <c r="CJ2171"/>
      <c r="CK2171"/>
      <c r="CL2171"/>
      <c r="CM2171"/>
      <c r="CN2171"/>
      <c r="CO2171"/>
      <c r="CP2171"/>
      <c r="CQ2171"/>
      <c r="CR2171"/>
      <c r="CS2171"/>
      <c r="CT2171"/>
      <c r="CU2171"/>
      <c r="CV2171"/>
      <c r="CW2171"/>
      <c r="CX2171"/>
      <c r="CY2171"/>
      <c r="CZ2171"/>
      <c r="DA2171"/>
      <c r="DB2171"/>
      <c r="DC2171"/>
      <c r="DD2171"/>
      <c r="DE2171"/>
      <c r="DF2171"/>
      <c r="DG2171"/>
      <c r="DH2171"/>
      <c r="DI2171"/>
      <c r="DJ2171"/>
      <c r="DK2171"/>
      <c r="DL2171"/>
      <c r="DM2171"/>
      <c r="DN2171"/>
      <c r="DO2171"/>
      <c r="DP2171"/>
      <c r="DQ2171"/>
      <c r="DR2171"/>
      <c r="DS2171"/>
      <c r="DT2171"/>
      <c r="DU2171"/>
      <c r="DV2171"/>
      <c r="DW2171"/>
      <c r="DX2171"/>
      <c r="DY2171"/>
      <c r="DZ2171"/>
      <c r="EA2171"/>
      <c r="EB2171"/>
      <c r="EC2171"/>
      <c r="ED2171"/>
      <c r="EE2171"/>
      <c r="EF2171"/>
      <c r="EG2171"/>
      <c r="EH2171"/>
      <c r="EI2171"/>
      <c r="EJ2171"/>
      <c r="EK2171"/>
      <c r="EL2171"/>
      <c r="EM2171"/>
      <c r="EN2171"/>
      <c r="EO2171"/>
      <c r="EP2171"/>
      <c r="EQ2171"/>
      <c r="ER2171"/>
      <c r="ES2171"/>
    </row>
    <row r="2172" spans="1:149">
      <c r="A2172"/>
      <c r="B2172"/>
      <c r="C2172"/>
      <c r="D2172"/>
      <c r="E2172"/>
      <c r="F2172"/>
      <c r="G2172"/>
      <c r="H2172"/>
      <c r="I2172"/>
      <c r="J2172"/>
      <c r="K2172"/>
      <c r="L2172"/>
      <c r="M2172"/>
      <c r="N2172"/>
      <c r="O2172"/>
      <c r="P2172"/>
      <c r="Q2172"/>
      <c r="R2172"/>
      <c r="S2172"/>
      <c r="T2172"/>
      <c r="U2172"/>
      <c r="V2172"/>
      <c r="W2172"/>
      <c r="X2172"/>
      <c r="Y2172"/>
      <c r="Z2172"/>
      <c r="AA2172"/>
      <c r="AB2172"/>
      <c r="AC2172"/>
      <c r="AD2172"/>
      <c r="AE2172"/>
      <c r="AF2172"/>
      <c r="AG2172"/>
      <c r="AH2172"/>
      <c r="AI2172"/>
      <c r="AJ2172"/>
      <c r="AK2172"/>
      <c r="AL2172"/>
      <c r="AM2172"/>
      <c r="AN2172"/>
      <c r="AO2172"/>
      <c r="AP2172"/>
      <c r="AQ2172"/>
      <c r="AR2172"/>
      <c r="AS2172"/>
      <c r="AT2172"/>
      <c r="AU2172"/>
      <c r="AV2172"/>
      <c r="AW2172"/>
      <c r="AX2172"/>
      <c r="AY2172"/>
      <c r="AZ2172"/>
      <c r="BA2172"/>
      <c r="BB2172"/>
      <c r="BC2172"/>
      <c r="BD2172"/>
      <c r="BE2172"/>
      <c r="BF2172"/>
      <c r="BG2172"/>
      <c r="BH2172"/>
      <c r="BI2172"/>
      <c r="BJ2172"/>
      <c r="BK2172"/>
      <c r="BL2172"/>
      <c r="BM2172"/>
      <c r="BN2172"/>
      <c r="BO2172"/>
      <c r="BP2172"/>
      <c r="BQ2172"/>
      <c r="BR2172"/>
      <c r="BS2172"/>
      <c r="BT2172"/>
      <c r="BU2172"/>
      <c r="BV2172"/>
      <c r="BW2172"/>
      <c r="BX2172"/>
      <c r="BY2172"/>
      <c r="BZ2172"/>
      <c r="CA2172"/>
      <c r="CB2172"/>
      <c r="CC2172"/>
      <c r="CD2172"/>
      <c r="CE2172"/>
      <c r="CF2172"/>
      <c r="CG2172"/>
      <c r="CH2172"/>
      <c r="CI2172"/>
      <c r="CJ2172"/>
      <c r="CK2172"/>
      <c r="CL2172"/>
      <c r="CM2172"/>
      <c r="CN2172"/>
      <c r="CO2172"/>
      <c r="CP2172"/>
      <c r="CQ2172"/>
      <c r="CR2172"/>
      <c r="CS2172"/>
      <c r="CT2172"/>
      <c r="CU2172"/>
      <c r="CV2172"/>
      <c r="CW2172"/>
      <c r="CX2172"/>
      <c r="CY2172"/>
      <c r="CZ2172"/>
      <c r="DA2172"/>
      <c r="DB2172"/>
      <c r="DC2172"/>
      <c r="DD2172"/>
      <c r="DE2172"/>
      <c r="DF2172"/>
      <c r="DG2172"/>
      <c r="DH2172"/>
      <c r="DI2172"/>
      <c r="DJ2172"/>
      <c r="DK2172"/>
      <c r="DL2172"/>
      <c r="DM2172"/>
      <c r="DN2172"/>
      <c r="DO2172"/>
      <c r="DP2172"/>
      <c r="DQ2172"/>
      <c r="DR2172"/>
      <c r="DS2172"/>
      <c r="DT2172"/>
      <c r="DU2172"/>
      <c r="DV2172"/>
      <c r="DW2172"/>
      <c r="DX2172"/>
      <c r="DY2172"/>
      <c r="DZ2172"/>
      <c r="EA2172"/>
      <c r="EB2172"/>
      <c r="EC2172"/>
      <c r="ED2172"/>
      <c r="EE2172"/>
      <c r="EF2172"/>
      <c r="EG2172"/>
      <c r="EH2172"/>
      <c r="EI2172"/>
      <c r="EJ2172"/>
      <c r="EK2172"/>
      <c r="EL2172"/>
      <c r="EM2172"/>
      <c r="EN2172"/>
      <c r="EO2172"/>
      <c r="EP2172"/>
      <c r="EQ2172"/>
      <c r="ER2172"/>
      <c r="ES2172"/>
    </row>
    <row r="2173" spans="1:149">
      <c r="A2173"/>
      <c r="B2173"/>
      <c r="C2173"/>
      <c r="D2173"/>
      <c r="E2173"/>
      <c r="F2173"/>
      <c r="G2173"/>
      <c r="H2173"/>
      <c r="I2173"/>
      <c r="J2173"/>
      <c r="K2173"/>
      <c r="L2173"/>
      <c r="M2173"/>
      <c r="N2173"/>
      <c r="O2173"/>
      <c r="P2173"/>
      <c r="Q2173"/>
      <c r="R2173"/>
      <c r="S2173"/>
      <c r="T2173"/>
      <c r="U2173"/>
      <c r="V2173"/>
      <c r="W2173"/>
      <c r="X2173"/>
      <c r="Y2173"/>
      <c r="Z2173"/>
      <c r="AA2173"/>
      <c r="AB2173"/>
      <c r="AC2173"/>
      <c r="AD2173"/>
      <c r="AE2173"/>
      <c r="AF2173"/>
      <c r="AG2173"/>
      <c r="AH2173"/>
      <c r="AI2173"/>
      <c r="AJ2173"/>
      <c r="AK2173"/>
      <c r="AL2173"/>
      <c r="AM2173"/>
      <c r="AN2173"/>
      <c r="AO2173"/>
      <c r="AP2173"/>
      <c r="AQ2173"/>
      <c r="AR2173"/>
      <c r="AS2173"/>
      <c r="AT2173"/>
      <c r="AU2173"/>
      <c r="AV2173"/>
      <c r="AW2173"/>
      <c r="AX2173"/>
      <c r="AY2173"/>
      <c r="AZ2173"/>
      <c r="BA2173"/>
      <c r="BB2173"/>
      <c r="BC2173"/>
      <c r="BD2173"/>
      <c r="BE2173"/>
      <c r="BF2173"/>
      <c r="BG2173"/>
      <c r="BH2173"/>
      <c r="BI2173"/>
      <c r="BJ2173"/>
      <c r="BK2173"/>
      <c r="BL2173"/>
      <c r="BM2173"/>
      <c r="BN2173"/>
      <c r="BO2173"/>
      <c r="BP2173"/>
      <c r="BQ2173"/>
      <c r="BR2173"/>
      <c r="BS2173"/>
      <c r="BT2173"/>
      <c r="BU2173"/>
      <c r="BV2173"/>
      <c r="BW2173"/>
      <c r="BX2173"/>
      <c r="BY2173"/>
      <c r="BZ2173"/>
      <c r="CA2173"/>
      <c r="CB2173"/>
      <c r="CC2173"/>
      <c r="CD2173"/>
      <c r="CE2173"/>
      <c r="CF2173"/>
      <c r="CG2173"/>
      <c r="CH2173"/>
      <c r="CI2173"/>
      <c r="CJ2173"/>
      <c r="CK2173"/>
      <c r="CL2173"/>
      <c r="CM2173"/>
      <c r="CN2173"/>
      <c r="CO2173"/>
      <c r="CP2173"/>
      <c r="CQ2173"/>
      <c r="CR2173"/>
      <c r="CS2173"/>
      <c r="CT2173"/>
      <c r="CU2173"/>
      <c r="CV2173"/>
      <c r="CW2173"/>
      <c r="CX2173"/>
      <c r="CY2173"/>
      <c r="CZ2173"/>
      <c r="DA2173"/>
      <c r="DB2173"/>
      <c r="DC2173"/>
      <c r="DD2173"/>
      <c r="DE2173"/>
      <c r="DF2173"/>
      <c r="DG2173"/>
      <c r="DH2173"/>
      <c r="DI2173"/>
      <c r="DJ2173"/>
      <c r="DK2173"/>
      <c r="DL2173"/>
      <c r="DM2173"/>
      <c r="DN2173"/>
      <c r="DO2173"/>
      <c r="DP2173"/>
      <c r="DQ2173"/>
      <c r="DR2173"/>
      <c r="DS2173"/>
      <c r="DT2173"/>
      <c r="DU2173"/>
      <c r="DV2173"/>
      <c r="DW2173"/>
      <c r="DX2173"/>
      <c r="DY2173"/>
      <c r="DZ2173"/>
      <c r="EA2173"/>
      <c r="EB2173"/>
      <c r="EC2173"/>
      <c r="ED2173"/>
      <c r="EE2173"/>
      <c r="EF2173"/>
      <c r="EG2173"/>
      <c r="EH2173"/>
      <c r="EI2173"/>
      <c r="EJ2173"/>
      <c r="EK2173"/>
      <c r="EL2173"/>
      <c r="EM2173"/>
      <c r="EN2173"/>
      <c r="EO2173"/>
      <c r="EP2173"/>
      <c r="EQ2173"/>
      <c r="ER2173"/>
      <c r="ES2173"/>
    </row>
    <row r="2174" spans="1:149">
      <c r="A2174"/>
      <c r="B2174"/>
      <c r="C2174"/>
      <c r="D2174"/>
      <c r="E2174"/>
      <c r="F2174"/>
      <c r="G2174"/>
      <c r="H2174"/>
      <c r="I2174"/>
      <c r="J2174"/>
      <c r="K2174"/>
      <c r="L2174"/>
      <c r="M2174"/>
      <c r="N2174"/>
      <c r="O2174"/>
      <c r="P2174"/>
      <c r="Q2174"/>
      <c r="R2174"/>
      <c r="S2174"/>
      <c r="T2174"/>
      <c r="U2174"/>
      <c r="V2174"/>
      <c r="W2174"/>
      <c r="X2174"/>
      <c r="Y2174"/>
      <c r="Z2174"/>
      <c r="AA2174"/>
      <c r="AB2174"/>
      <c r="AC2174"/>
      <c r="AD2174"/>
      <c r="AE2174"/>
      <c r="AF2174"/>
      <c r="AG2174"/>
      <c r="AH2174"/>
      <c r="AI2174"/>
      <c r="AJ2174"/>
      <c r="AK2174"/>
      <c r="AL2174"/>
      <c r="AM2174"/>
      <c r="AN2174"/>
      <c r="AO2174"/>
      <c r="AP2174"/>
      <c r="AQ2174"/>
      <c r="AR2174"/>
      <c r="AS2174"/>
      <c r="AT2174"/>
      <c r="AU2174"/>
      <c r="AV2174"/>
      <c r="AW2174"/>
      <c r="AX2174"/>
      <c r="AY2174"/>
      <c r="AZ2174"/>
      <c r="BA2174"/>
      <c r="BB2174"/>
      <c r="BC2174"/>
      <c r="BD2174"/>
      <c r="BE2174"/>
      <c r="BF2174"/>
      <c r="BG2174"/>
      <c r="BH2174"/>
      <c r="BI2174"/>
      <c r="BJ2174"/>
      <c r="BK2174"/>
      <c r="BL2174"/>
      <c r="BM2174"/>
      <c r="BN2174"/>
      <c r="BO2174"/>
      <c r="BP2174"/>
      <c r="BQ2174"/>
      <c r="BR2174"/>
      <c r="BS2174"/>
      <c r="BT2174"/>
      <c r="BU2174"/>
      <c r="BV2174"/>
      <c r="BW2174"/>
      <c r="BX2174"/>
      <c r="BY2174"/>
      <c r="BZ2174"/>
      <c r="CA2174"/>
      <c r="CB2174"/>
      <c r="CC2174"/>
      <c r="CD2174"/>
      <c r="CE2174"/>
      <c r="CF2174"/>
      <c r="CG2174"/>
      <c r="CH2174"/>
      <c r="CI2174"/>
      <c r="CJ2174"/>
      <c r="CK2174"/>
      <c r="CL2174"/>
      <c r="CM2174"/>
      <c r="CN2174"/>
      <c r="CO2174"/>
      <c r="CP2174"/>
      <c r="CQ2174"/>
      <c r="CR2174"/>
      <c r="CS2174"/>
      <c r="CT2174"/>
      <c r="CU2174"/>
      <c r="CV2174"/>
      <c r="CW2174"/>
      <c r="CX2174"/>
      <c r="CY2174"/>
      <c r="CZ2174"/>
      <c r="DA2174"/>
      <c r="DB2174"/>
      <c r="DC2174"/>
      <c r="DD2174"/>
      <c r="DE2174"/>
      <c r="DF2174"/>
      <c r="DG2174"/>
      <c r="DH2174"/>
      <c r="DI2174"/>
      <c r="DJ2174"/>
      <c r="DK2174"/>
      <c r="DL2174"/>
      <c r="DM2174"/>
      <c r="DN2174"/>
      <c r="DO2174"/>
      <c r="DP2174"/>
      <c r="DQ2174"/>
      <c r="DR2174"/>
      <c r="DS2174"/>
      <c r="DT2174"/>
      <c r="DU2174"/>
      <c r="DV2174"/>
      <c r="DW2174"/>
      <c r="DX2174"/>
      <c r="DY2174"/>
      <c r="DZ2174"/>
      <c r="EA2174"/>
      <c r="EB2174"/>
      <c r="EC2174"/>
      <c r="ED2174"/>
      <c r="EE2174"/>
      <c r="EF2174"/>
      <c r="EG2174"/>
      <c r="EH2174"/>
      <c r="EI2174"/>
      <c r="EJ2174"/>
      <c r="EK2174"/>
      <c r="EL2174"/>
      <c r="EM2174"/>
      <c r="EN2174"/>
      <c r="EO2174"/>
      <c r="EP2174"/>
      <c r="EQ2174"/>
      <c r="ER2174"/>
      <c r="ES2174"/>
    </row>
    <row r="2175" spans="1:149">
      <c r="A2175"/>
      <c r="B2175"/>
      <c r="C2175"/>
      <c r="D2175"/>
      <c r="E2175"/>
      <c r="F2175"/>
      <c r="G2175"/>
      <c r="H2175"/>
      <c r="I2175"/>
      <c r="J2175"/>
      <c r="K2175"/>
      <c r="L2175"/>
      <c r="M2175"/>
      <c r="N2175"/>
      <c r="O2175"/>
      <c r="P2175"/>
      <c r="Q2175"/>
      <c r="R2175"/>
      <c r="S2175"/>
      <c r="T2175"/>
      <c r="U2175"/>
      <c r="V2175"/>
      <c r="W2175"/>
      <c r="X2175"/>
      <c r="Y2175"/>
      <c r="Z2175"/>
      <c r="AA2175"/>
      <c r="AB2175"/>
      <c r="AC2175"/>
      <c r="AD2175"/>
      <c r="AE2175"/>
      <c r="AF2175"/>
      <c r="AG2175"/>
      <c r="AH2175"/>
      <c r="AI2175"/>
      <c r="AJ2175"/>
      <c r="AK2175"/>
      <c r="AL2175"/>
      <c r="AM2175"/>
      <c r="AN2175"/>
      <c r="AO2175"/>
      <c r="AP2175"/>
      <c r="AQ2175"/>
      <c r="AR2175"/>
      <c r="AS2175"/>
      <c r="AT2175"/>
      <c r="AU2175"/>
      <c r="AV2175"/>
      <c r="AW2175"/>
      <c r="AX2175"/>
      <c r="AY2175"/>
      <c r="AZ2175"/>
      <c r="BA2175"/>
      <c r="BB2175"/>
      <c r="BC2175"/>
      <c r="BD2175"/>
      <c r="BE2175"/>
      <c r="BF2175"/>
      <c r="BG2175"/>
      <c r="BH2175"/>
      <c r="BI2175"/>
      <c r="BJ2175"/>
      <c r="BK2175"/>
      <c r="BL2175"/>
      <c r="BM2175"/>
      <c r="BN2175"/>
      <c r="BO2175"/>
      <c r="BP2175"/>
      <c r="BQ2175"/>
      <c r="BR2175"/>
      <c r="BS2175"/>
      <c r="BT2175"/>
      <c r="BU2175"/>
      <c r="BV2175"/>
      <c r="BW2175"/>
      <c r="BX2175"/>
      <c r="BY2175"/>
      <c r="BZ2175"/>
      <c r="CA2175"/>
      <c r="CB2175"/>
      <c r="CC2175"/>
      <c r="CD2175"/>
      <c r="CE2175"/>
      <c r="CF2175"/>
      <c r="CG2175"/>
      <c r="CH2175"/>
      <c r="CI2175"/>
      <c r="CJ2175"/>
      <c r="CK2175"/>
      <c r="CL2175"/>
      <c r="CM2175"/>
      <c r="CN2175"/>
      <c r="CO2175"/>
      <c r="CP2175"/>
      <c r="CQ2175"/>
      <c r="CR2175"/>
      <c r="CS2175"/>
      <c r="CT2175"/>
      <c r="CU2175"/>
      <c r="CV2175"/>
      <c r="CW2175"/>
      <c r="CX2175"/>
      <c r="CY2175"/>
      <c r="CZ2175"/>
      <c r="DA2175"/>
      <c r="DB2175"/>
      <c r="DC2175"/>
      <c r="DD2175"/>
      <c r="DE2175"/>
      <c r="DF2175"/>
      <c r="DG2175"/>
      <c r="DH2175"/>
      <c r="DI2175"/>
      <c r="DJ2175"/>
      <c r="DK2175"/>
      <c r="DL2175"/>
      <c r="DM2175"/>
      <c r="DN2175"/>
      <c r="DO2175"/>
      <c r="DP2175"/>
      <c r="DQ2175"/>
      <c r="DR2175"/>
      <c r="DS2175"/>
      <c r="DT2175"/>
      <c r="DU2175"/>
      <c r="DV2175"/>
      <c r="DW2175"/>
      <c r="DX2175"/>
      <c r="DY2175"/>
      <c r="DZ2175"/>
      <c r="EA2175"/>
      <c r="EB2175"/>
      <c r="EC2175"/>
      <c r="ED2175"/>
      <c r="EE2175"/>
      <c r="EF2175"/>
      <c r="EG2175"/>
      <c r="EH2175"/>
      <c r="EI2175"/>
      <c r="EJ2175"/>
      <c r="EK2175"/>
      <c r="EL2175"/>
      <c r="EM2175"/>
      <c r="EN2175"/>
      <c r="EO2175"/>
      <c r="EP2175"/>
      <c r="EQ2175"/>
      <c r="ER2175"/>
      <c r="ES2175"/>
    </row>
    <row r="2176" spans="1:149">
      <c r="A2176"/>
      <c r="B2176"/>
      <c r="C2176"/>
      <c r="D2176"/>
      <c r="E2176"/>
      <c r="F2176"/>
      <c r="G2176"/>
      <c r="H2176"/>
      <c r="I2176"/>
      <c r="J2176"/>
      <c r="K2176"/>
      <c r="L2176"/>
      <c r="M2176"/>
      <c r="N2176"/>
      <c r="O2176"/>
      <c r="P2176"/>
      <c r="Q2176"/>
      <c r="R2176"/>
      <c r="S2176"/>
      <c r="T2176"/>
      <c r="U2176"/>
      <c r="V2176"/>
      <c r="W2176"/>
      <c r="X2176"/>
      <c r="Y2176"/>
      <c r="Z2176"/>
      <c r="AA2176"/>
      <c r="AB2176"/>
      <c r="AC2176"/>
      <c r="AD2176"/>
      <c r="AE2176"/>
      <c r="AF2176"/>
      <c r="AG2176"/>
      <c r="AH2176"/>
      <c r="AI2176"/>
      <c r="AJ2176"/>
      <c r="AK2176"/>
      <c r="AL2176"/>
      <c r="AM2176"/>
      <c r="AN2176"/>
      <c r="AO2176"/>
      <c r="AP2176"/>
      <c r="AQ2176"/>
      <c r="AR2176"/>
      <c r="AS2176"/>
      <c r="AT2176"/>
      <c r="AU2176"/>
      <c r="AV2176"/>
      <c r="AW2176"/>
      <c r="AX2176"/>
      <c r="AY2176"/>
      <c r="AZ2176"/>
      <c r="BA2176"/>
      <c r="BB2176"/>
      <c r="BC2176"/>
      <c r="BD2176"/>
      <c r="BE2176"/>
      <c r="BF2176"/>
      <c r="BG2176"/>
      <c r="BH2176"/>
      <c r="BI2176"/>
      <c r="BJ2176"/>
      <c r="BK2176"/>
      <c r="BL2176"/>
      <c r="BM2176"/>
      <c r="BN2176"/>
      <c r="BO2176"/>
      <c r="BP2176"/>
      <c r="BQ2176"/>
      <c r="BR2176"/>
      <c r="BS2176"/>
      <c r="BT2176"/>
      <c r="BU2176"/>
      <c r="BV2176"/>
      <c r="BW2176"/>
      <c r="BX2176"/>
      <c r="BY2176"/>
      <c r="BZ2176"/>
      <c r="CA2176"/>
      <c r="CB2176"/>
      <c r="CC2176"/>
      <c r="CD2176"/>
      <c r="CE2176"/>
      <c r="CF2176"/>
      <c r="CG2176"/>
      <c r="CH2176"/>
      <c r="CI2176"/>
      <c r="CJ2176"/>
      <c r="CK2176"/>
      <c r="CL2176"/>
      <c r="CM2176"/>
      <c r="CN2176"/>
      <c r="CO2176"/>
      <c r="CP2176"/>
      <c r="CQ2176"/>
      <c r="CR2176"/>
      <c r="CS2176"/>
      <c r="CT2176"/>
      <c r="CU2176"/>
      <c r="CV2176"/>
      <c r="CW2176"/>
      <c r="CX2176"/>
      <c r="CY2176"/>
      <c r="CZ2176"/>
      <c r="DA2176"/>
      <c r="DB2176"/>
      <c r="DC2176"/>
      <c r="DD2176"/>
      <c r="DE2176"/>
      <c r="DF2176"/>
      <c r="DG2176"/>
      <c r="DH2176"/>
      <c r="DI2176"/>
      <c r="DJ2176"/>
      <c r="DK2176"/>
      <c r="DL2176"/>
      <c r="DM2176"/>
      <c r="DN2176"/>
      <c r="DO2176"/>
      <c r="DP2176"/>
      <c r="DQ2176"/>
      <c r="DR2176"/>
      <c r="DS2176"/>
      <c r="DT2176"/>
      <c r="DU2176"/>
      <c r="DV2176"/>
      <c r="DW2176"/>
      <c r="DX2176"/>
      <c r="DY2176"/>
      <c r="DZ2176"/>
      <c r="EA2176"/>
      <c r="EB2176"/>
      <c r="EC2176"/>
      <c r="ED2176"/>
      <c r="EE2176"/>
      <c r="EF2176"/>
      <c r="EG2176"/>
      <c r="EH2176"/>
      <c r="EI2176"/>
      <c r="EJ2176"/>
      <c r="EK2176"/>
      <c r="EL2176"/>
      <c r="EM2176"/>
      <c r="EN2176"/>
      <c r="EO2176"/>
      <c r="EP2176"/>
      <c r="EQ2176"/>
      <c r="ER2176"/>
      <c r="ES2176"/>
    </row>
    <row r="2177" spans="1:149">
      <c r="A2177"/>
      <c r="B2177"/>
      <c r="C2177"/>
      <c r="D2177"/>
      <c r="E2177"/>
      <c r="F2177"/>
      <c r="G2177"/>
      <c r="H2177"/>
      <c r="I2177"/>
      <c r="J2177"/>
      <c r="K2177"/>
      <c r="L2177"/>
      <c r="M2177"/>
      <c r="N2177"/>
      <c r="O2177"/>
      <c r="P2177"/>
      <c r="Q2177"/>
      <c r="R2177"/>
      <c r="S2177"/>
      <c r="T2177"/>
      <c r="U2177"/>
      <c r="V2177"/>
      <c r="W2177"/>
      <c r="X2177"/>
      <c r="Y2177"/>
      <c r="Z2177"/>
      <c r="AA2177"/>
      <c r="AB2177"/>
      <c r="AC2177"/>
      <c r="AD2177"/>
      <c r="AE2177"/>
      <c r="AF2177"/>
      <c r="AG2177"/>
      <c r="AH2177"/>
      <c r="AI2177"/>
      <c r="AJ2177"/>
      <c r="AK2177"/>
      <c r="AL2177"/>
      <c r="AM2177"/>
      <c r="AN2177"/>
      <c r="AO2177"/>
      <c r="AP2177"/>
      <c r="AQ2177"/>
      <c r="AR2177"/>
      <c r="AS2177"/>
      <c r="AT2177"/>
      <c r="AU2177"/>
      <c r="AV2177"/>
      <c r="AW2177"/>
      <c r="AX2177"/>
      <c r="AY2177"/>
      <c r="AZ2177"/>
      <c r="BA2177"/>
      <c r="BB2177"/>
      <c r="BC2177"/>
      <c r="BD2177"/>
      <c r="BE2177"/>
      <c r="BF2177"/>
      <c r="BG2177"/>
      <c r="BH2177"/>
      <c r="BI2177"/>
      <c r="BJ2177"/>
      <c r="BK2177"/>
      <c r="BL2177"/>
      <c r="BM2177"/>
      <c r="BN2177"/>
      <c r="BO2177"/>
      <c r="BP2177"/>
      <c r="BQ2177"/>
      <c r="BR2177"/>
      <c r="BS2177"/>
      <c r="BT2177"/>
      <c r="BU2177"/>
      <c r="BV2177"/>
      <c r="BW2177"/>
      <c r="BX2177"/>
      <c r="BY2177"/>
      <c r="BZ2177"/>
      <c r="CA2177"/>
      <c r="CB2177"/>
      <c r="CC2177"/>
      <c r="CD2177"/>
      <c r="CE2177"/>
      <c r="CF2177"/>
      <c r="CG2177"/>
      <c r="CH2177"/>
      <c r="CI2177"/>
      <c r="CJ2177"/>
      <c r="CK2177"/>
      <c r="CL2177"/>
      <c r="CM2177"/>
      <c r="CN2177"/>
      <c r="CO2177"/>
      <c r="CP2177"/>
      <c r="CQ2177"/>
      <c r="CR2177"/>
      <c r="CS2177"/>
      <c r="CT2177"/>
      <c r="CU2177"/>
      <c r="CV2177"/>
      <c r="CW2177"/>
      <c r="CX2177"/>
      <c r="CY2177"/>
      <c r="CZ2177"/>
      <c r="DA2177"/>
      <c r="DB2177"/>
      <c r="DC2177"/>
      <c r="DD2177"/>
      <c r="DE2177"/>
      <c r="DF2177"/>
      <c r="DG2177"/>
      <c r="DH2177"/>
      <c r="DI2177"/>
      <c r="DJ2177"/>
      <c r="DK2177"/>
      <c r="DL2177"/>
      <c r="DM2177"/>
      <c r="DN2177"/>
      <c r="DO2177"/>
      <c r="DP2177"/>
      <c r="DQ2177"/>
      <c r="DR2177"/>
      <c r="DS2177"/>
      <c r="DT2177"/>
      <c r="DU2177"/>
      <c r="DV2177"/>
      <c r="DW2177"/>
      <c r="DX2177"/>
      <c r="DY2177"/>
      <c r="DZ2177"/>
      <c r="EA2177"/>
      <c r="EB2177"/>
      <c r="EC2177"/>
      <c r="ED2177"/>
      <c r="EE2177"/>
      <c r="EF2177"/>
      <c r="EG2177"/>
      <c r="EH2177"/>
      <c r="EI2177"/>
      <c r="EJ2177"/>
      <c r="EK2177"/>
      <c r="EL2177"/>
      <c r="EM2177"/>
      <c r="EN2177"/>
      <c r="EO2177"/>
      <c r="EP2177"/>
      <c r="EQ2177"/>
      <c r="ER2177"/>
      <c r="ES2177"/>
    </row>
    <row r="2178" spans="1:149">
      <c r="A2178"/>
      <c r="B2178"/>
      <c r="C2178"/>
      <c r="D2178"/>
      <c r="E2178"/>
      <c r="F2178"/>
      <c r="G2178"/>
      <c r="H2178"/>
      <c r="I2178"/>
      <c r="J2178"/>
      <c r="K2178"/>
      <c r="L2178"/>
      <c r="M2178"/>
      <c r="N2178"/>
      <c r="O2178"/>
      <c r="P2178"/>
      <c r="Q2178"/>
      <c r="R2178"/>
      <c r="S2178"/>
      <c r="T2178"/>
      <c r="U2178"/>
      <c r="V2178"/>
      <c r="W2178"/>
      <c r="X2178"/>
      <c r="Y2178"/>
      <c r="Z2178"/>
      <c r="AA2178"/>
      <c r="AB2178"/>
      <c r="AC2178"/>
      <c r="AD2178"/>
      <c r="AE2178"/>
      <c r="AF2178"/>
      <c r="AG2178"/>
      <c r="AH2178"/>
      <c r="AI2178"/>
      <c r="AJ2178"/>
      <c r="AK2178"/>
      <c r="AL2178"/>
      <c r="AM2178"/>
      <c r="AN2178"/>
      <c r="AO2178"/>
      <c r="AP2178"/>
      <c r="AQ2178"/>
      <c r="AR2178"/>
      <c r="AS2178"/>
      <c r="AT2178"/>
      <c r="AU2178"/>
      <c r="AV2178"/>
      <c r="AW2178"/>
      <c r="AX2178"/>
      <c r="AY2178"/>
      <c r="AZ2178"/>
      <c r="BA2178"/>
      <c r="BB2178"/>
      <c r="BC2178"/>
      <c r="BD2178"/>
      <c r="BE2178"/>
      <c r="BF2178"/>
      <c r="BG2178"/>
      <c r="BH2178"/>
      <c r="BI2178"/>
      <c r="BJ2178"/>
      <c r="BK2178"/>
      <c r="BL2178"/>
      <c r="BM2178"/>
      <c r="BN2178"/>
      <c r="BO2178"/>
      <c r="BP2178"/>
      <c r="BQ2178"/>
      <c r="BR2178"/>
      <c r="BS2178"/>
      <c r="BT2178"/>
      <c r="BU2178"/>
      <c r="BV2178"/>
      <c r="BW2178"/>
      <c r="BX2178"/>
      <c r="BY2178"/>
      <c r="BZ2178"/>
      <c r="CA2178"/>
      <c r="CB2178"/>
      <c r="CC2178"/>
      <c r="CD2178"/>
      <c r="CE2178"/>
      <c r="CF2178"/>
      <c r="CG2178"/>
      <c r="CH2178"/>
      <c r="CI2178"/>
      <c r="CJ2178"/>
      <c r="CK2178"/>
      <c r="CL2178"/>
      <c r="CM2178"/>
      <c r="CN2178"/>
      <c r="CO2178"/>
      <c r="CP2178"/>
      <c r="CQ2178"/>
      <c r="CR2178"/>
      <c r="CS2178"/>
      <c r="CT2178"/>
      <c r="CU2178"/>
      <c r="CV2178"/>
      <c r="CW2178"/>
      <c r="CX2178"/>
      <c r="CY2178"/>
      <c r="CZ2178"/>
      <c r="DA2178"/>
      <c r="DB2178"/>
      <c r="DC2178"/>
      <c r="DD2178"/>
      <c r="DE2178"/>
      <c r="DF2178"/>
      <c r="DG2178"/>
      <c r="DH2178"/>
      <c r="DI2178"/>
      <c r="DJ2178"/>
      <c r="DK2178"/>
      <c r="DL2178"/>
      <c r="DM2178"/>
      <c r="DN2178"/>
      <c r="DO2178"/>
      <c r="DP2178"/>
      <c r="DQ2178"/>
      <c r="DR2178"/>
      <c r="DS2178"/>
      <c r="DT2178"/>
      <c r="DU2178"/>
      <c r="DV2178"/>
      <c r="DW2178"/>
      <c r="DX2178"/>
      <c r="DY2178"/>
      <c r="DZ2178"/>
      <c r="EA2178"/>
      <c r="EB2178"/>
      <c r="EC2178"/>
      <c r="ED2178"/>
      <c r="EE2178"/>
      <c r="EF2178"/>
      <c r="EG2178"/>
      <c r="EH2178"/>
      <c r="EI2178"/>
      <c r="EJ2178"/>
      <c r="EK2178"/>
      <c r="EL2178"/>
      <c r="EM2178"/>
      <c r="EN2178"/>
      <c r="EO2178"/>
      <c r="EP2178"/>
      <c r="EQ2178"/>
      <c r="ER2178"/>
      <c r="ES2178"/>
    </row>
    <row r="2179" spans="1:149">
      <c r="A2179"/>
      <c r="B2179"/>
      <c r="C2179"/>
      <c r="D2179"/>
      <c r="E2179"/>
      <c r="F2179"/>
      <c r="G2179"/>
      <c r="H2179"/>
      <c r="I2179"/>
      <c r="J2179"/>
      <c r="K2179"/>
      <c r="L2179"/>
      <c r="M2179"/>
      <c r="N2179"/>
      <c r="O2179"/>
      <c r="P2179"/>
      <c r="Q2179"/>
      <c r="R2179"/>
      <c r="S2179"/>
      <c r="T2179"/>
      <c r="U2179"/>
      <c r="V2179"/>
      <c r="W2179"/>
      <c r="X2179"/>
      <c r="Y2179"/>
      <c r="Z2179"/>
      <c r="AA2179"/>
      <c r="AB2179"/>
      <c r="AC2179"/>
      <c r="AD2179"/>
      <c r="AE2179"/>
      <c r="AF2179"/>
      <c r="AG2179"/>
      <c r="AH2179"/>
      <c r="AI2179"/>
      <c r="AJ2179"/>
      <c r="AK2179"/>
      <c r="AL2179"/>
      <c r="AM2179"/>
      <c r="AN2179"/>
      <c r="AO2179"/>
      <c r="AP2179"/>
      <c r="AQ2179"/>
      <c r="AR2179"/>
      <c r="AS2179"/>
      <c r="AT2179"/>
      <c r="AU2179"/>
      <c r="AV2179"/>
      <c r="AW2179"/>
      <c r="AX2179"/>
      <c r="AY2179"/>
      <c r="AZ2179"/>
      <c r="BA2179"/>
      <c r="BB2179"/>
      <c r="BC2179"/>
      <c r="BD2179"/>
      <c r="BE2179"/>
      <c r="BF2179"/>
      <c r="BG2179"/>
      <c r="BH2179"/>
      <c r="BI2179"/>
      <c r="BJ2179"/>
      <c r="BK2179"/>
      <c r="BL2179"/>
      <c r="BM2179"/>
      <c r="BN2179"/>
      <c r="BO2179"/>
      <c r="BP2179"/>
      <c r="BQ2179"/>
      <c r="BR2179"/>
      <c r="BS2179"/>
      <c r="BT2179"/>
      <c r="BU2179"/>
      <c r="BV2179"/>
      <c r="BW2179"/>
      <c r="BX2179"/>
      <c r="BY2179"/>
      <c r="BZ2179"/>
      <c r="CA2179"/>
      <c r="CB2179"/>
      <c r="CC2179"/>
      <c r="CD2179"/>
      <c r="CE2179"/>
      <c r="CF2179"/>
      <c r="CG2179"/>
      <c r="CH2179"/>
      <c r="CI2179"/>
      <c r="CJ2179"/>
      <c r="CK2179"/>
      <c r="CL2179"/>
      <c r="CM2179"/>
      <c r="CN2179"/>
      <c r="CO2179"/>
      <c r="CP2179"/>
      <c r="CQ2179"/>
      <c r="CR2179"/>
      <c r="CS2179"/>
      <c r="CT2179"/>
      <c r="CU2179"/>
      <c r="CV2179"/>
      <c r="CW2179"/>
      <c r="CX2179"/>
      <c r="CY2179"/>
      <c r="CZ2179"/>
      <c r="DA2179"/>
      <c r="DB2179"/>
      <c r="DC2179"/>
      <c r="DD2179"/>
      <c r="DE2179"/>
      <c r="DF2179"/>
      <c r="DG2179"/>
      <c r="DH2179"/>
      <c r="DI2179"/>
      <c r="DJ2179"/>
      <c r="DK2179"/>
      <c r="DL2179"/>
      <c r="DM2179"/>
      <c r="DN2179"/>
      <c r="DO2179"/>
      <c r="DP2179"/>
      <c r="DQ2179"/>
      <c r="DR2179"/>
      <c r="DS2179"/>
      <c r="DT2179"/>
      <c r="DU2179"/>
      <c r="DV2179"/>
      <c r="DW2179"/>
      <c r="DX2179"/>
      <c r="DY2179"/>
      <c r="DZ2179"/>
      <c r="EA2179"/>
      <c r="EB2179"/>
      <c r="EC2179"/>
      <c r="ED2179"/>
      <c r="EE2179"/>
      <c r="EF2179"/>
      <c r="EG2179"/>
      <c r="EH2179"/>
      <c r="EI2179"/>
      <c r="EJ2179"/>
      <c r="EK2179"/>
      <c r="EL2179"/>
      <c r="EM2179"/>
      <c r="EN2179"/>
      <c r="EO2179"/>
      <c r="EP2179"/>
      <c r="EQ2179"/>
      <c r="ER2179"/>
      <c r="ES2179"/>
    </row>
    <row r="2180" spans="1:149">
      <c r="A2180"/>
      <c r="B2180"/>
      <c r="C2180"/>
      <c r="D2180"/>
      <c r="E2180"/>
      <c r="F2180"/>
      <c r="G2180"/>
      <c r="H2180"/>
      <c r="I2180"/>
      <c r="J2180"/>
      <c r="K2180"/>
      <c r="L2180"/>
      <c r="M2180"/>
      <c r="N2180"/>
      <c r="O2180"/>
      <c r="P2180"/>
      <c r="Q2180"/>
      <c r="R2180"/>
      <c r="S2180"/>
      <c r="T2180"/>
      <c r="U2180"/>
      <c r="V2180"/>
      <c r="W2180"/>
      <c r="X2180"/>
      <c r="Y2180"/>
      <c r="Z2180"/>
      <c r="AA2180"/>
      <c r="AB2180"/>
      <c r="AC2180"/>
      <c r="AD2180"/>
      <c r="AE2180"/>
      <c r="AF2180"/>
      <c r="AG2180"/>
      <c r="AH2180"/>
      <c r="AI2180"/>
      <c r="AJ2180"/>
      <c r="AK2180"/>
      <c r="AL2180"/>
      <c r="AM2180"/>
      <c r="AN2180"/>
      <c r="AO2180"/>
      <c r="AP2180"/>
      <c r="AQ2180"/>
      <c r="AR2180"/>
      <c r="AS2180"/>
      <c r="AT2180"/>
      <c r="AU2180"/>
      <c r="AV2180"/>
      <c r="AW2180"/>
      <c r="AX2180"/>
      <c r="AY2180"/>
      <c r="AZ2180"/>
      <c r="BA2180"/>
      <c r="BB2180"/>
      <c r="BC2180"/>
      <c r="BD2180"/>
      <c r="BE2180"/>
      <c r="BF2180"/>
      <c r="BG2180"/>
      <c r="BH2180"/>
      <c r="BI2180"/>
      <c r="BJ2180"/>
      <c r="BK2180"/>
      <c r="BL2180"/>
      <c r="BM2180"/>
      <c r="BN2180"/>
      <c r="BO2180"/>
      <c r="BP2180"/>
      <c r="BQ2180"/>
      <c r="BR2180"/>
      <c r="BS2180"/>
      <c r="BT2180"/>
      <c r="BU2180"/>
      <c r="BV2180"/>
      <c r="BW2180"/>
      <c r="BX2180"/>
      <c r="BY2180"/>
      <c r="BZ2180"/>
      <c r="CA2180"/>
      <c r="CB2180"/>
      <c r="CC2180"/>
      <c r="CD2180"/>
      <c r="CE2180"/>
      <c r="CF2180"/>
      <c r="CG2180"/>
      <c r="CH2180"/>
      <c r="CI2180"/>
      <c r="CJ2180"/>
      <c r="CK2180"/>
      <c r="CL2180"/>
      <c r="CM2180"/>
      <c r="CN2180"/>
      <c r="CO2180"/>
      <c r="CP2180"/>
      <c r="CQ2180"/>
      <c r="CR2180"/>
      <c r="CS2180"/>
      <c r="CT2180"/>
      <c r="CU2180"/>
      <c r="CV2180"/>
      <c r="CW2180"/>
      <c r="CX2180"/>
      <c r="CY2180"/>
      <c r="CZ2180"/>
      <c r="DA2180"/>
      <c r="DB2180"/>
      <c r="DC2180"/>
      <c r="DD2180"/>
      <c r="DE2180"/>
      <c r="DF2180"/>
      <c r="DG2180"/>
      <c r="DH2180"/>
      <c r="DI2180"/>
      <c r="DJ2180"/>
      <c r="DK2180"/>
      <c r="DL2180"/>
      <c r="DM2180"/>
      <c r="DN2180"/>
      <c r="DO2180"/>
      <c r="DP2180"/>
      <c r="DQ2180"/>
      <c r="DR2180"/>
      <c r="DS2180"/>
      <c r="DT2180"/>
      <c r="DU2180"/>
      <c r="DV2180"/>
      <c r="DW2180"/>
      <c r="DX2180"/>
      <c r="DY2180"/>
      <c r="DZ2180"/>
      <c r="EA2180"/>
      <c r="EB2180"/>
      <c r="EC2180"/>
      <c r="ED2180"/>
      <c r="EE2180"/>
      <c r="EF2180"/>
      <c r="EG2180"/>
      <c r="EH2180"/>
      <c r="EI2180"/>
      <c r="EJ2180"/>
      <c r="EK2180"/>
      <c r="EL2180"/>
      <c r="EM2180"/>
      <c r="EN2180"/>
      <c r="EO2180"/>
      <c r="EP2180"/>
      <c r="EQ2180"/>
      <c r="ER2180"/>
      <c r="ES2180"/>
    </row>
    <row r="2181" spans="1:149">
      <c r="A2181"/>
      <c r="B2181"/>
      <c r="C2181"/>
      <c r="D2181"/>
      <c r="E2181"/>
      <c r="F2181"/>
      <c r="G2181"/>
      <c r="H2181"/>
      <c r="I2181"/>
      <c r="J2181"/>
      <c r="K2181"/>
      <c r="L2181"/>
      <c r="M2181"/>
      <c r="N2181"/>
      <c r="O2181"/>
      <c r="P2181"/>
      <c r="Q2181"/>
      <c r="R2181"/>
      <c r="S2181"/>
      <c r="T2181"/>
      <c r="U2181"/>
      <c r="V2181"/>
      <c r="W2181"/>
      <c r="X2181"/>
      <c r="Y2181"/>
      <c r="Z2181"/>
      <c r="AA2181"/>
      <c r="AB2181"/>
      <c r="AC2181"/>
      <c r="AD2181"/>
      <c r="AE2181"/>
      <c r="AF2181"/>
      <c r="AG2181"/>
      <c r="AH2181"/>
      <c r="AI2181"/>
      <c r="AJ2181"/>
      <c r="AK2181"/>
      <c r="AL2181"/>
      <c r="AM2181"/>
      <c r="AN2181"/>
      <c r="AO2181"/>
      <c r="AP2181"/>
      <c r="AQ2181"/>
      <c r="AR2181"/>
      <c r="AS2181"/>
      <c r="AT2181"/>
      <c r="AU2181"/>
      <c r="AV2181"/>
      <c r="AW2181"/>
      <c r="AX2181"/>
      <c r="AY2181"/>
      <c r="AZ2181"/>
      <c r="BA2181"/>
      <c r="BB2181"/>
      <c r="BC2181"/>
      <c r="BD2181"/>
      <c r="BE2181"/>
      <c r="BF2181"/>
      <c r="BG2181"/>
      <c r="BH2181"/>
      <c r="BI2181"/>
      <c r="BJ2181"/>
      <c r="BK2181"/>
      <c r="BL2181"/>
      <c r="BM2181"/>
      <c r="BN2181"/>
      <c r="BO2181"/>
      <c r="BP2181"/>
      <c r="BQ2181"/>
      <c r="BR2181"/>
      <c r="BS2181"/>
      <c r="BT2181"/>
      <c r="BU2181"/>
      <c r="BV2181"/>
      <c r="BW2181"/>
      <c r="BX2181"/>
      <c r="BY2181"/>
      <c r="BZ2181"/>
      <c r="CA2181"/>
      <c r="CB2181"/>
      <c r="CC2181"/>
      <c r="CD2181"/>
      <c r="CE2181"/>
      <c r="CF2181"/>
      <c r="CG2181"/>
      <c r="CH2181"/>
      <c r="CI2181"/>
      <c r="CJ2181"/>
      <c r="CK2181"/>
      <c r="CL2181"/>
      <c r="CM2181"/>
      <c r="CN2181"/>
      <c r="CO2181"/>
      <c r="CP2181"/>
      <c r="CQ2181"/>
      <c r="CR2181"/>
      <c r="CS2181"/>
      <c r="CT2181"/>
      <c r="CU2181"/>
      <c r="CV2181"/>
      <c r="CW2181"/>
      <c r="CX2181"/>
      <c r="CY2181"/>
      <c r="CZ2181"/>
      <c r="DA2181"/>
      <c r="DB2181"/>
      <c r="DC2181"/>
      <c r="DD2181"/>
      <c r="DE2181"/>
      <c r="DF2181"/>
      <c r="DG2181"/>
      <c r="DH2181"/>
      <c r="DI2181"/>
      <c r="DJ2181"/>
      <c r="DK2181"/>
      <c r="DL2181"/>
      <c r="DM2181"/>
      <c r="DN2181"/>
      <c r="DO2181"/>
      <c r="DP2181"/>
      <c r="DQ2181"/>
      <c r="DR2181"/>
      <c r="DS2181"/>
      <c r="DT2181"/>
      <c r="DU2181"/>
      <c r="DV2181"/>
      <c r="DW2181"/>
      <c r="DX2181"/>
      <c r="DY2181"/>
      <c r="DZ2181"/>
      <c r="EA2181"/>
      <c r="EB2181"/>
      <c r="EC2181"/>
      <c r="ED2181"/>
      <c r="EE2181"/>
      <c r="EF2181"/>
      <c r="EG2181"/>
      <c r="EH2181"/>
      <c r="EI2181"/>
      <c r="EJ2181"/>
      <c r="EK2181"/>
      <c r="EL2181"/>
      <c r="EM2181"/>
      <c r="EN2181"/>
      <c r="EO2181"/>
      <c r="EP2181"/>
      <c r="EQ2181"/>
      <c r="ER2181"/>
      <c r="ES2181"/>
    </row>
    <row r="2182" spans="1:149">
      <c r="A2182"/>
      <c r="B2182"/>
      <c r="C2182"/>
      <c r="D2182"/>
      <c r="E2182"/>
      <c r="F2182"/>
      <c r="G2182"/>
      <c r="H2182"/>
      <c r="I2182"/>
      <c r="J2182"/>
      <c r="K2182"/>
      <c r="L2182"/>
      <c r="M2182"/>
      <c r="N2182"/>
      <c r="O2182"/>
      <c r="P2182"/>
      <c r="Q2182"/>
      <c r="R2182"/>
      <c r="S2182"/>
      <c r="T2182"/>
      <c r="U2182"/>
      <c r="V2182"/>
      <c r="W2182"/>
      <c r="X2182"/>
      <c r="Y2182"/>
      <c r="Z2182"/>
      <c r="AA2182"/>
      <c r="AB2182"/>
      <c r="AC2182"/>
      <c r="AD2182"/>
      <c r="AE2182"/>
      <c r="AF2182"/>
      <c r="AG2182"/>
      <c r="AH2182"/>
      <c r="AI2182"/>
      <c r="AJ2182"/>
      <c r="AK2182"/>
      <c r="AL2182"/>
      <c r="AM2182"/>
      <c r="AN2182"/>
      <c r="AO2182"/>
      <c r="AP2182"/>
      <c r="AQ2182"/>
      <c r="AR2182"/>
      <c r="AS2182"/>
      <c r="AT2182"/>
      <c r="AU2182"/>
      <c r="AV2182"/>
      <c r="AW2182"/>
      <c r="AX2182"/>
      <c r="AY2182"/>
      <c r="AZ2182"/>
      <c r="BA2182"/>
      <c r="BB2182"/>
      <c r="BC2182"/>
      <c r="BD2182"/>
      <c r="BE2182"/>
      <c r="BF2182"/>
      <c r="BG2182"/>
      <c r="BH2182"/>
      <c r="BI2182"/>
      <c r="BJ2182"/>
      <c r="BK2182"/>
      <c r="BL2182"/>
      <c r="BM2182"/>
      <c r="BN2182"/>
      <c r="BO2182"/>
      <c r="BP2182"/>
      <c r="BQ2182"/>
      <c r="BR2182"/>
      <c r="BS2182"/>
      <c r="BT2182"/>
      <c r="BU2182"/>
      <c r="BV2182"/>
      <c r="BW2182"/>
      <c r="BX2182"/>
      <c r="BY2182"/>
      <c r="BZ2182"/>
      <c r="CA2182"/>
      <c r="CB2182"/>
      <c r="CC2182"/>
      <c r="CD2182"/>
      <c r="CE2182"/>
      <c r="CF2182"/>
      <c r="CG2182"/>
      <c r="CH2182"/>
      <c r="CI2182"/>
      <c r="CJ2182"/>
      <c r="CK2182"/>
      <c r="CL2182"/>
      <c r="CM2182"/>
      <c r="CN2182"/>
      <c r="CO2182"/>
      <c r="CP2182"/>
      <c r="CQ2182"/>
      <c r="CR2182"/>
      <c r="CS2182"/>
      <c r="CT2182"/>
      <c r="CU2182"/>
      <c r="CV2182"/>
      <c r="CW2182"/>
      <c r="CX2182"/>
      <c r="CY2182"/>
      <c r="CZ2182"/>
      <c r="DA2182"/>
      <c r="DB2182"/>
      <c r="DC2182"/>
      <c r="DD2182"/>
      <c r="DE2182"/>
      <c r="DF2182"/>
      <c r="DG2182"/>
      <c r="DH2182"/>
      <c r="DI2182"/>
      <c r="DJ2182"/>
      <c r="DK2182"/>
      <c r="DL2182"/>
      <c r="DM2182"/>
      <c r="DN2182"/>
      <c r="DO2182"/>
      <c r="DP2182"/>
      <c r="DQ2182"/>
      <c r="DR2182"/>
      <c r="DS2182"/>
      <c r="DT2182"/>
      <c r="DU2182"/>
      <c r="DV2182"/>
      <c r="DW2182"/>
      <c r="DX2182"/>
      <c r="DY2182"/>
      <c r="DZ2182"/>
      <c r="EA2182"/>
      <c r="EB2182"/>
      <c r="EC2182"/>
      <c r="ED2182"/>
      <c r="EE2182"/>
      <c r="EF2182"/>
      <c r="EG2182"/>
      <c r="EH2182"/>
      <c r="EI2182"/>
      <c r="EJ2182"/>
      <c r="EK2182"/>
      <c r="EL2182"/>
      <c r="EM2182"/>
      <c r="EN2182"/>
      <c r="EO2182"/>
      <c r="EP2182"/>
      <c r="EQ2182"/>
      <c r="ER2182"/>
      <c r="ES2182"/>
    </row>
    <row r="2183" spans="1:149">
      <c r="A2183"/>
      <c r="B2183"/>
      <c r="C2183"/>
      <c r="D2183"/>
      <c r="E2183"/>
      <c r="F2183"/>
      <c r="G2183"/>
      <c r="H2183"/>
      <c r="I2183"/>
      <c r="J2183"/>
      <c r="K2183"/>
      <c r="L2183"/>
      <c r="M2183"/>
      <c r="N2183"/>
      <c r="O2183"/>
      <c r="P2183"/>
      <c r="Q2183"/>
      <c r="R2183"/>
      <c r="S2183"/>
      <c r="T2183"/>
      <c r="U2183"/>
      <c r="V2183"/>
      <c r="W2183"/>
      <c r="X2183"/>
      <c r="Y2183"/>
      <c r="Z2183"/>
      <c r="AA2183"/>
      <c r="AB2183"/>
      <c r="AC2183"/>
      <c r="AD2183"/>
      <c r="AE2183"/>
      <c r="AF2183"/>
      <c r="AG2183"/>
      <c r="AH2183"/>
      <c r="AI2183"/>
      <c r="AJ2183"/>
      <c r="AK2183"/>
      <c r="AL2183"/>
      <c r="AM2183"/>
      <c r="AN2183"/>
      <c r="AO2183"/>
      <c r="AP2183"/>
      <c r="AQ2183"/>
      <c r="AR2183"/>
      <c r="AS2183"/>
      <c r="AT2183"/>
      <c r="AU2183"/>
      <c r="AV2183"/>
      <c r="AW2183"/>
      <c r="AX2183"/>
      <c r="AY2183"/>
      <c r="AZ2183"/>
      <c r="BA2183"/>
      <c r="BB2183"/>
      <c r="BC2183"/>
      <c r="BD2183"/>
      <c r="BE2183"/>
      <c r="BF2183"/>
      <c r="BG2183"/>
      <c r="BH2183"/>
      <c r="BI2183"/>
      <c r="BJ2183"/>
      <c r="BK2183"/>
      <c r="BL2183"/>
      <c r="BM2183"/>
      <c r="BN2183"/>
      <c r="BO2183"/>
      <c r="BP2183"/>
      <c r="BQ2183"/>
      <c r="BR2183"/>
      <c r="BS2183"/>
      <c r="BT2183"/>
      <c r="BU2183"/>
      <c r="BV2183"/>
      <c r="BW2183"/>
      <c r="BX2183"/>
      <c r="BY2183"/>
      <c r="BZ2183"/>
      <c r="CA2183"/>
      <c r="CB2183"/>
      <c r="CC2183"/>
      <c r="CD2183"/>
      <c r="CE2183"/>
      <c r="CF2183"/>
      <c r="CG2183"/>
      <c r="CH2183"/>
      <c r="CI2183"/>
      <c r="CJ2183"/>
      <c r="CK2183"/>
      <c r="CL2183"/>
      <c r="CM2183"/>
      <c r="CN2183"/>
      <c r="CO2183"/>
      <c r="CP2183"/>
      <c r="CQ2183"/>
      <c r="CR2183"/>
      <c r="CS2183"/>
      <c r="CT2183"/>
      <c r="CU2183"/>
      <c r="CV2183"/>
      <c r="CW2183"/>
      <c r="CX2183"/>
      <c r="CY2183"/>
      <c r="CZ2183"/>
      <c r="DA2183"/>
      <c r="DB2183"/>
      <c r="DC2183"/>
      <c r="DD2183"/>
      <c r="DE2183"/>
      <c r="DF2183"/>
      <c r="DG2183"/>
      <c r="DH2183"/>
      <c r="DI2183"/>
      <c r="DJ2183"/>
      <c r="DK2183"/>
      <c r="DL2183"/>
      <c r="DM2183"/>
      <c r="DN2183"/>
      <c r="DO2183"/>
      <c r="DP2183"/>
      <c r="DQ2183"/>
      <c r="DR2183"/>
      <c r="DS2183"/>
      <c r="DT2183"/>
      <c r="DU2183"/>
      <c r="DV2183"/>
      <c r="DW2183"/>
      <c r="DX2183"/>
      <c r="DY2183"/>
      <c r="DZ2183"/>
      <c r="EA2183"/>
      <c r="EB2183"/>
      <c r="EC2183"/>
      <c r="ED2183"/>
      <c r="EE2183"/>
      <c r="EF2183"/>
      <c r="EG2183"/>
      <c r="EH2183"/>
      <c r="EI2183"/>
      <c r="EJ2183"/>
      <c r="EK2183"/>
      <c r="EL2183"/>
      <c r="EM2183"/>
      <c r="EN2183"/>
      <c r="EO2183"/>
      <c r="EP2183"/>
      <c r="EQ2183"/>
      <c r="ER2183"/>
      <c r="ES2183"/>
    </row>
    <row r="2184" spans="1:149">
      <c r="A2184"/>
      <c r="B2184"/>
      <c r="C2184"/>
      <c r="D2184"/>
      <c r="E2184"/>
      <c r="F2184"/>
      <c r="G2184"/>
      <c r="H2184"/>
      <c r="I2184"/>
      <c r="J2184"/>
      <c r="K2184"/>
      <c r="L2184"/>
      <c r="M2184"/>
      <c r="N2184"/>
      <c r="O2184"/>
      <c r="P2184"/>
      <c r="Q2184"/>
      <c r="R2184"/>
      <c r="S2184"/>
      <c r="T2184"/>
      <c r="U2184"/>
      <c r="V2184"/>
      <c r="W2184"/>
      <c r="X2184"/>
      <c r="Y2184"/>
      <c r="Z2184"/>
      <c r="AA2184"/>
      <c r="AB2184"/>
      <c r="AC2184"/>
      <c r="AD2184"/>
      <c r="AE2184"/>
      <c r="AF2184"/>
      <c r="AG2184"/>
      <c r="AH2184"/>
      <c r="AI2184"/>
      <c r="AJ2184"/>
      <c r="AK2184"/>
      <c r="AL2184"/>
      <c r="AM2184"/>
      <c r="AN2184"/>
      <c r="AO2184"/>
      <c r="AP2184"/>
      <c r="AQ2184"/>
      <c r="AR2184"/>
      <c r="AS2184"/>
      <c r="AT2184"/>
      <c r="AU2184"/>
      <c r="AV2184"/>
      <c r="AW2184"/>
      <c r="AX2184"/>
      <c r="AY2184"/>
      <c r="AZ2184"/>
      <c r="BA2184"/>
      <c r="BB2184"/>
      <c r="BC2184"/>
      <c r="BD2184"/>
      <c r="BE2184"/>
      <c r="BF2184"/>
      <c r="BG2184"/>
      <c r="BH2184"/>
      <c r="BI2184"/>
      <c r="BJ2184"/>
      <c r="BK2184"/>
      <c r="BL2184"/>
      <c r="BM2184"/>
      <c r="BN2184"/>
      <c r="BO2184"/>
      <c r="BP2184"/>
      <c r="BQ2184"/>
      <c r="BR2184"/>
      <c r="BS2184"/>
      <c r="BT2184"/>
      <c r="BU2184"/>
      <c r="BV2184"/>
      <c r="BW2184"/>
      <c r="BX2184"/>
      <c r="BY2184"/>
      <c r="BZ2184"/>
      <c r="CA2184"/>
      <c r="CB2184"/>
      <c r="CC2184"/>
      <c r="CD2184"/>
      <c r="CE2184"/>
      <c r="CF2184"/>
      <c r="CG2184"/>
      <c r="CH2184"/>
      <c r="CI2184"/>
      <c r="CJ2184"/>
      <c r="CK2184"/>
      <c r="CL2184"/>
      <c r="CM2184"/>
      <c r="CN2184"/>
      <c r="CO2184"/>
      <c r="CP2184"/>
      <c r="CQ2184"/>
      <c r="CR2184"/>
      <c r="CS2184"/>
      <c r="CT2184"/>
      <c r="CU2184"/>
      <c r="CV2184"/>
      <c r="CW2184"/>
      <c r="CX2184"/>
      <c r="CY2184"/>
      <c r="CZ2184"/>
      <c r="DA2184"/>
      <c r="DB2184"/>
      <c r="DC2184"/>
      <c r="DD2184"/>
      <c r="DE2184"/>
      <c r="DF2184"/>
      <c r="DG2184"/>
      <c r="DH2184"/>
      <c r="DI2184"/>
      <c r="DJ2184"/>
      <c r="DK2184"/>
      <c r="DL2184"/>
      <c r="DM2184"/>
      <c r="DN2184"/>
      <c r="DO2184"/>
      <c r="DP2184"/>
      <c r="DQ2184"/>
      <c r="DR2184"/>
      <c r="DS2184"/>
      <c r="DT2184"/>
      <c r="DU2184"/>
      <c r="DV2184"/>
      <c r="DW2184"/>
      <c r="DX2184"/>
      <c r="DY2184"/>
      <c r="DZ2184"/>
      <c r="EA2184"/>
      <c r="EB2184"/>
      <c r="EC2184"/>
      <c r="ED2184"/>
      <c r="EE2184"/>
      <c r="EF2184"/>
      <c r="EG2184"/>
      <c r="EH2184"/>
      <c r="EI2184"/>
      <c r="EJ2184"/>
      <c r="EK2184"/>
      <c r="EL2184"/>
      <c r="EM2184"/>
      <c r="EN2184"/>
      <c r="EO2184"/>
      <c r="EP2184"/>
      <c r="EQ2184"/>
      <c r="ER2184"/>
      <c r="ES2184"/>
    </row>
    <row r="2185" spans="1:149">
      <c r="A2185"/>
      <c r="B2185"/>
      <c r="C2185"/>
      <c r="D2185"/>
      <c r="E2185"/>
      <c r="F2185"/>
      <c r="G2185"/>
      <c r="H2185"/>
      <c r="I2185"/>
      <c r="J2185"/>
      <c r="K2185"/>
      <c r="L2185"/>
      <c r="M2185"/>
      <c r="N2185"/>
      <c r="O2185"/>
      <c r="P2185"/>
      <c r="Q2185"/>
      <c r="R2185"/>
      <c r="S2185"/>
      <c r="T2185"/>
      <c r="U2185"/>
      <c r="V2185"/>
      <c r="W2185"/>
      <c r="X2185"/>
      <c r="Y2185"/>
      <c r="Z2185"/>
      <c r="AA2185"/>
      <c r="AB2185"/>
      <c r="AC2185"/>
      <c r="AD2185"/>
      <c r="AE2185"/>
      <c r="AF2185"/>
      <c r="AG2185"/>
      <c r="AH2185"/>
      <c r="AI2185"/>
      <c r="AJ2185"/>
      <c r="AK2185"/>
      <c r="AL2185"/>
      <c r="AM2185"/>
      <c r="AN2185"/>
      <c r="AO2185"/>
      <c r="AP2185"/>
      <c r="AQ2185"/>
      <c r="AR2185"/>
      <c r="AS2185"/>
      <c r="AT2185"/>
      <c r="AU2185"/>
      <c r="AV2185"/>
      <c r="AW2185"/>
      <c r="AX2185"/>
      <c r="AY2185"/>
      <c r="AZ2185"/>
      <c r="BA2185"/>
      <c r="BB2185"/>
      <c r="BC2185"/>
      <c r="BD2185"/>
      <c r="BE2185"/>
      <c r="BF2185"/>
      <c r="BG2185"/>
      <c r="BH2185"/>
      <c r="BI2185"/>
      <c r="BJ2185"/>
      <c r="BK2185"/>
      <c r="BL2185"/>
      <c r="BM2185"/>
      <c r="BN2185"/>
      <c r="BO2185"/>
      <c r="BP2185"/>
      <c r="BQ2185"/>
      <c r="BR2185"/>
      <c r="BS2185"/>
      <c r="BT2185"/>
      <c r="BU2185"/>
      <c r="BV2185"/>
      <c r="BW2185"/>
      <c r="BX2185"/>
      <c r="BY2185"/>
      <c r="BZ2185"/>
      <c r="CA2185"/>
      <c r="CB2185"/>
      <c r="CC2185"/>
      <c r="CD2185"/>
      <c r="CE2185"/>
      <c r="CF2185"/>
      <c r="CG2185"/>
      <c r="CH2185"/>
      <c r="CI2185"/>
      <c r="CJ2185"/>
      <c r="CK2185"/>
      <c r="CL2185"/>
      <c r="CM2185"/>
      <c r="CN2185"/>
      <c r="CO2185"/>
      <c r="CP2185"/>
      <c r="CQ2185"/>
      <c r="CR2185"/>
      <c r="CS2185"/>
      <c r="CT2185"/>
      <c r="CU2185"/>
      <c r="CV2185"/>
      <c r="CW2185"/>
      <c r="CX2185"/>
      <c r="CY2185"/>
      <c r="CZ2185"/>
      <c r="DA2185"/>
      <c r="DB2185"/>
      <c r="DC2185"/>
      <c r="DD2185"/>
      <c r="DE2185"/>
      <c r="DF2185"/>
      <c r="DG2185"/>
      <c r="DH2185"/>
      <c r="DI2185"/>
      <c r="DJ2185"/>
      <c r="DK2185"/>
      <c r="DL2185"/>
      <c r="DM2185"/>
      <c r="DN2185"/>
      <c r="DO2185"/>
      <c r="DP2185"/>
      <c r="DQ2185"/>
      <c r="DR2185"/>
      <c r="DS2185"/>
      <c r="DT2185"/>
      <c r="DU2185"/>
      <c r="DV2185"/>
      <c r="DW2185"/>
      <c r="DX2185"/>
      <c r="DY2185"/>
      <c r="DZ2185"/>
      <c r="EA2185"/>
      <c r="EB2185"/>
      <c r="EC2185"/>
      <c r="ED2185"/>
      <c r="EE2185"/>
      <c r="EF2185"/>
      <c r="EG2185"/>
      <c r="EH2185"/>
      <c r="EI2185"/>
      <c r="EJ2185"/>
      <c r="EK2185"/>
      <c r="EL2185"/>
      <c r="EM2185"/>
      <c r="EN2185"/>
      <c r="EO2185"/>
      <c r="EP2185"/>
      <c r="EQ2185"/>
      <c r="ER2185"/>
      <c r="ES2185"/>
    </row>
    <row r="2186" spans="1:149">
      <c r="A2186"/>
      <c r="B2186"/>
      <c r="C2186"/>
      <c r="D2186"/>
      <c r="E2186"/>
      <c r="F2186"/>
      <c r="G2186"/>
      <c r="H2186"/>
      <c r="I2186"/>
      <c r="J2186"/>
      <c r="K2186"/>
      <c r="L2186"/>
      <c r="M2186"/>
      <c r="N2186"/>
      <c r="O2186"/>
      <c r="P2186"/>
      <c r="Q2186"/>
      <c r="R2186"/>
      <c r="S2186"/>
      <c r="T2186"/>
      <c r="U2186"/>
      <c r="V2186"/>
      <c r="W2186"/>
      <c r="X2186"/>
      <c r="Y2186"/>
      <c r="Z2186"/>
      <c r="AA2186"/>
      <c r="AB2186"/>
      <c r="AC2186"/>
      <c r="AD2186"/>
      <c r="AE2186"/>
      <c r="AF2186"/>
      <c r="AG2186"/>
      <c r="AH2186"/>
      <c r="AI2186"/>
      <c r="AJ2186"/>
      <c r="AK2186"/>
      <c r="AL2186"/>
      <c r="AM2186"/>
      <c r="AN2186"/>
      <c r="AO2186"/>
      <c r="AP2186"/>
      <c r="AQ2186"/>
      <c r="AR2186"/>
      <c r="AS2186"/>
      <c r="AT2186"/>
      <c r="AU2186"/>
      <c r="AV2186"/>
      <c r="AW2186"/>
      <c r="AX2186"/>
      <c r="AY2186"/>
      <c r="AZ2186"/>
      <c r="BA2186"/>
      <c r="BB2186"/>
      <c r="BC2186"/>
      <c r="BD2186"/>
      <c r="BE2186"/>
      <c r="BF2186"/>
      <c r="BG2186"/>
      <c r="BH2186"/>
      <c r="BI2186"/>
      <c r="BJ2186"/>
      <c r="BK2186"/>
      <c r="BL2186"/>
      <c r="BM2186"/>
      <c r="BN2186"/>
      <c r="BO2186"/>
      <c r="BP2186"/>
      <c r="BQ2186"/>
      <c r="BR2186"/>
      <c r="BS2186"/>
      <c r="BT2186"/>
      <c r="BU2186"/>
      <c r="BV2186"/>
      <c r="BW2186"/>
      <c r="BX2186"/>
      <c r="BY2186"/>
      <c r="BZ2186"/>
      <c r="CA2186"/>
      <c r="CB2186"/>
      <c r="CC2186"/>
      <c r="CD2186"/>
      <c r="CE2186"/>
      <c r="CF2186"/>
      <c r="CG2186"/>
      <c r="CH2186"/>
      <c r="CI2186"/>
      <c r="CJ2186"/>
      <c r="CK2186"/>
      <c r="CL2186"/>
      <c r="CM2186"/>
      <c r="CN2186"/>
      <c r="CO2186"/>
      <c r="CP2186"/>
      <c r="CQ2186"/>
      <c r="CR2186"/>
      <c r="CS2186"/>
      <c r="CT2186"/>
      <c r="CU2186"/>
      <c r="CV2186"/>
      <c r="CW2186"/>
      <c r="CX2186"/>
      <c r="CY2186"/>
      <c r="CZ2186"/>
      <c r="DA2186"/>
      <c r="DB2186"/>
      <c r="DC2186"/>
      <c r="DD2186"/>
      <c r="DE2186"/>
      <c r="DF2186"/>
      <c r="DG2186"/>
      <c r="DH2186"/>
      <c r="DI2186"/>
      <c r="DJ2186"/>
      <c r="DK2186"/>
      <c r="DL2186"/>
      <c r="DM2186"/>
      <c r="DN2186"/>
      <c r="DO2186"/>
      <c r="DP2186"/>
      <c r="DQ2186"/>
      <c r="DR2186"/>
      <c r="DS2186"/>
      <c r="DT2186"/>
      <c r="DU2186"/>
      <c r="DV2186"/>
      <c r="DW2186"/>
      <c r="DX2186"/>
      <c r="DY2186"/>
      <c r="DZ2186"/>
      <c r="EA2186"/>
      <c r="EB2186"/>
      <c r="EC2186"/>
      <c r="ED2186"/>
      <c r="EE2186"/>
      <c r="EF2186"/>
      <c r="EG2186"/>
      <c r="EH2186"/>
      <c r="EI2186"/>
      <c r="EJ2186"/>
      <c r="EK2186"/>
      <c r="EL2186"/>
      <c r="EM2186"/>
      <c r="EN2186"/>
      <c r="EO2186"/>
      <c r="EP2186"/>
      <c r="EQ2186"/>
      <c r="ER2186"/>
      <c r="ES2186"/>
    </row>
    <row r="2187" spans="1:149">
      <c r="A2187"/>
      <c r="B2187"/>
      <c r="C2187"/>
      <c r="D2187"/>
      <c r="E2187"/>
      <c r="F2187"/>
      <c r="G2187"/>
      <c r="H2187"/>
      <c r="I2187"/>
      <c r="J2187"/>
      <c r="K2187"/>
      <c r="L2187"/>
      <c r="M2187"/>
      <c r="N2187"/>
      <c r="O2187"/>
      <c r="P2187"/>
      <c r="Q2187"/>
      <c r="R2187"/>
      <c r="S2187"/>
      <c r="T2187"/>
      <c r="U2187"/>
      <c r="V2187"/>
      <c r="W2187"/>
      <c r="X2187"/>
      <c r="Y2187"/>
      <c r="Z2187"/>
      <c r="AA2187"/>
      <c r="AB2187"/>
      <c r="AC2187"/>
      <c r="AD2187"/>
      <c r="AE2187"/>
      <c r="AF2187"/>
      <c r="AG2187"/>
      <c r="AH2187"/>
      <c r="AI2187"/>
      <c r="AJ2187"/>
      <c r="AK2187"/>
      <c r="AL2187"/>
      <c r="AM2187"/>
      <c r="AN2187"/>
      <c r="AO2187"/>
      <c r="AP2187"/>
      <c r="AQ2187"/>
      <c r="AR2187"/>
      <c r="AS2187"/>
      <c r="AT2187"/>
      <c r="AU2187"/>
      <c r="AV2187"/>
      <c r="AW2187"/>
      <c r="AX2187"/>
      <c r="AY2187"/>
      <c r="AZ2187"/>
      <c r="BA2187"/>
      <c r="BB2187"/>
      <c r="BC2187"/>
      <c r="BD2187"/>
      <c r="BE2187"/>
      <c r="BF2187"/>
      <c r="BG2187"/>
      <c r="BH2187"/>
      <c r="BI2187"/>
      <c r="BJ2187"/>
      <c r="BK2187"/>
      <c r="BL2187"/>
      <c r="BM2187"/>
      <c r="BN2187"/>
      <c r="BO2187"/>
      <c r="BP2187"/>
      <c r="BQ2187"/>
      <c r="BR2187"/>
      <c r="BS2187"/>
      <c r="BT2187"/>
      <c r="BU2187"/>
      <c r="BV2187"/>
      <c r="BW2187"/>
      <c r="BX2187"/>
      <c r="BY2187"/>
      <c r="BZ2187"/>
      <c r="CA2187"/>
      <c r="CB2187"/>
      <c r="CC2187"/>
      <c r="CD2187"/>
      <c r="CE2187"/>
      <c r="CF2187"/>
      <c r="CG2187"/>
      <c r="CH2187"/>
      <c r="CI2187"/>
      <c r="CJ2187"/>
      <c r="CK2187"/>
      <c r="CL2187"/>
      <c r="CM2187"/>
      <c r="CN2187"/>
      <c r="CO2187"/>
      <c r="CP2187"/>
      <c r="CQ2187"/>
      <c r="CR2187"/>
      <c r="CS2187"/>
      <c r="CT2187"/>
      <c r="CU2187"/>
      <c r="CV2187"/>
      <c r="CW2187"/>
      <c r="CX2187"/>
      <c r="CY2187"/>
      <c r="CZ2187"/>
      <c r="DA2187"/>
      <c r="DB2187"/>
      <c r="DC2187"/>
      <c r="DD2187"/>
      <c r="DE2187"/>
      <c r="DF2187"/>
      <c r="DG2187"/>
      <c r="DH2187"/>
      <c r="DI2187"/>
      <c r="DJ2187"/>
      <c r="DK2187"/>
      <c r="DL2187"/>
      <c r="DM2187"/>
      <c r="DN2187"/>
      <c r="DO2187"/>
      <c r="DP2187"/>
      <c r="DQ2187"/>
      <c r="DR2187"/>
      <c r="DS2187"/>
      <c r="DT2187"/>
      <c r="DU2187"/>
      <c r="DV2187"/>
      <c r="DW2187"/>
      <c r="DX2187"/>
      <c r="DY2187"/>
      <c r="DZ2187"/>
      <c r="EA2187"/>
      <c r="EB2187"/>
      <c r="EC2187"/>
      <c r="ED2187"/>
      <c r="EE2187"/>
      <c r="EF2187"/>
      <c r="EG2187"/>
      <c r="EH2187"/>
      <c r="EI2187"/>
      <c r="EJ2187"/>
      <c r="EK2187"/>
      <c r="EL2187"/>
      <c r="EM2187"/>
      <c r="EN2187"/>
      <c r="EO2187"/>
      <c r="EP2187"/>
      <c r="EQ2187"/>
      <c r="ER2187"/>
      <c r="ES2187"/>
    </row>
    <row r="2188" spans="1:149">
      <c r="A2188"/>
      <c r="B2188"/>
      <c r="C2188"/>
      <c r="D2188"/>
      <c r="E2188"/>
      <c r="F2188"/>
      <c r="G2188"/>
      <c r="H2188"/>
      <c r="I2188"/>
      <c r="J2188"/>
      <c r="K2188"/>
      <c r="L2188"/>
      <c r="M2188"/>
      <c r="N2188"/>
      <c r="O2188"/>
      <c r="P2188"/>
      <c r="Q2188"/>
      <c r="R2188"/>
      <c r="S2188"/>
      <c r="T2188"/>
      <c r="U2188"/>
      <c r="V2188"/>
      <c r="W2188"/>
      <c r="X2188"/>
      <c r="Y2188"/>
      <c r="Z2188"/>
      <c r="AA2188"/>
      <c r="AB2188"/>
      <c r="AC2188"/>
      <c r="AD2188"/>
      <c r="AE2188"/>
      <c r="AF2188"/>
      <c r="AG2188"/>
      <c r="AH2188"/>
      <c r="AI2188"/>
      <c r="AJ2188"/>
      <c r="AK2188"/>
      <c r="AL2188"/>
      <c r="AM2188"/>
      <c r="AN2188"/>
      <c r="AO2188"/>
      <c r="AP2188"/>
      <c r="AQ2188"/>
      <c r="AR2188"/>
      <c r="AS2188"/>
      <c r="AT2188"/>
      <c r="AU2188"/>
      <c r="AV2188"/>
      <c r="AW2188"/>
      <c r="AX2188"/>
      <c r="AY2188"/>
      <c r="AZ2188"/>
      <c r="BA2188"/>
      <c r="BB2188"/>
      <c r="BC2188"/>
      <c r="BD2188"/>
      <c r="BE2188"/>
      <c r="BF2188"/>
      <c r="BG2188"/>
      <c r="BH2188"/>
      <c r="BI2188"/>
      <c r="BJ2188"/>
      <c r="BK2188"/>
      <c r="BL2188"/>
      <c r="BM2188"/>
      <c r="BN2188"/>
      <c r="BO2188"/>
      <c r="BP2188"/>
      <c r="BQ2188"/>
      <c r="BR2188"/>
      <c r="BS2188"/>
      <c r="BT2188"/>
      <c r="BU2188"/>
      <c r="BV2188"/>
      <c r="BW2188"/>
      <c r="BX2188"/>
      <c r="BY2188"/>
      <c r="BZ2188"/>
      <c r="CA2188"/>
      <c r="CB2188"/>
      <c r="CC2188"/>
      <c r="CD2188"/>
      <c r="CE2188"/>
      <c r="CF2188"/>
      <c r="CG2188"/>
      <c r="CH2188"/>
      <c r="CI2188"/>
      <c r="CJ2188"/>
      <c r="CK2188"/>
      <c r="CL2188"/>
      <c r="CM2188"/>
      <c r="CN2188"/>
      <c r="CO2188"/>
      <c r="CP2188"/>
      <c r="CQ2188"/>
      <c r="CR2188"/>
      <c r="CS2188"/>
      <c r="CT2188"/>
      <c r="CU2188"/>
      <c r="CV2188"/>
      <c r="CW2188"/>
      <c r="CX2188"/>
      <c r="CY2188"/>
      <c r="CZ2188"/>
      <c r="DA2188"/>
      <c r="DB2188"/>
      <c r="DC2188"/>
      <c r="DD2188"/>
      <c r="DE2188"/>
      <c r="DF2188"/>
      <c r="DG2188"/>
      <c r="DH2188"/>
      <c r="DI2188"/>
      <c r="DJ2188"/>
      <c r="DK2188"/>
      <c r="DL2188"/>
      <c r="DM2188"/>
      <c r="DN2188"/>
      <c r="DO2188"/>
      <c r="DP2188"/>
      <c r="DQ2188"/>
      <c r="DR2188"/>
      <c r="DS2188"/>
      <c r="DT2188"/>
      <c r="DU2188"/>
      <c r="DV2188"/>
      <c r="DW2188"/>
      <c r="DX2188"/>
      <c r="DY2188"/>
      <c r="DZ2188"/>
      <c r="EA2188"/>
      <c r="EB2188"/>
      <c r="EC2188"/>
      <c r="ED2188"/>
      <c r="EE2188"/>
      <c r="EF2188"/>
      <c r="EG2188"/>
      <c r="EH2188"/>
      <c r="EI2188"/>
      <c r="EJ2188"/>
      <c r="EK2188"/>
      <c r="EL2188"/>
      <c r="EM2188"/>
      <c r="EN2188"/>
      <c r="EO2188"/>
      <c r="EP2188"/>
      <c r="EQ2188"/>
      <c r="ER2188"/>
      <c r="ES2188"/>
    </row>
    <row r="2189" spans="1:149">
      <c r="A2189"/>
      <c r="B2189"/>
      <c r="C2189"/>
      <c r="D2189"/>
      <c r="E2189"/>
      <c r="F2189"/>
      <c r="G2189"/>
      <c r="H2189"/>
      <c r="I2189"/>
      <c r="J2189"/>
      <c r="K2189"/>
      <c r="L2189"/>
      <c r="M2189"/>
      <c r="N2189"/>
      <c r="O2189"/>
      <c r="P2189"/>
      <c r="Q2189"/>
      <c r="R2189"/>
      <c r="S2189"/>
      <c r="T2189"/>
      <c r="U2189"/>
      <c r="V2189"/>
      <c r="W2189"/>
      <c r="X2189"/>
      <c r="Y2189"/>
      <c r="Z2189"/>
      <c r="AA2189"/>
      <c r="AB2189"/>
      <c r="AC2189"/>
      <c r="AD2189"/>
      <c r="AE2189"/>
      <c r="AF2189"/>
      <c r="AG2189"/>
      <c r="AH2189"/>
      <c r="AI2189"/>
      <c r="AJ2189"/>
      <c r="AK2189"/>
      <c r="AL2189"/>
      <c r="AM2189"/>
      <c r="AN2189"/>
      <c r="AO2189"/>
      <c r="AP2189"/>
      <c r="AQ2189"/>
      <c r="AR2189"/>
      <c r="AS2189"/>
      <c r="AT2189"/>
      <c r="AU2189"/>
      <c r="AV2189"/>
      <c r="AW2189"/>
      <c r="AX2189"/>
      <c r="AY2189"/>
      <c r="AZ2189"/>
      <c r="BA2189"/>
      <c r="BB2189"/>
      <c r="BC2189"/>
      <c r="BD2189"/>
      <c r="BE2189"/>
      <c r="BF2189"/>
      <c r="BG2189"/>
      <c r="BH2189"/>
      <c r="BI2189"/>
      <c r="BJ2189"/>
      <c r="BK2189"/>
      <c r="BL2189"/>
      <c r="BM2189"/>
      <c r="BN2189"/>
      <c r="BO2189"/>
      <c r="BP2189"/>
      <c r="BQ2189"/>
      <c r="BR2189"/>
      <c r="BS2189"/>
      <c r="BT2189"/>
      <c r="BU2189"/>
      <c r="BV2189"/>
      <c r="BW2189"/>
      <c r="BX2189"/>
      <c r="BY2189"/>
      <c r="BZ2189"/>
      <c r="CA2189"/>
      <c r="CB2189"/>
      <c r="CC2189"/>
      <c r="CD2189"/>
      <c r="CE2189"/>
      <c r="CF2189"/>
      <c r="CG2189"/>
      <c r="CH2189"/>
      <c r="CI2189"/>
      <c r="CJ2189"/>
      <c r="CK2189"/>
      <c r="CL2189"/>
      <c r="CM2189"/>
      <c r="CN2189"/>
      <c r="CO2189"/>
      <c r="CP2189"/>
      <c r="CQ2189"/>
      <c r="CR2189"/>
      <c r="CS2189"/>
      <c r="CT2189"/>
      <c r="CU2189"/>
      <c r="CV2189"/>
      <c r="CW2189"/>
      <c r="CX2189"/>
      <c r="CY2189"/>
      <c r="CZ2189"/>
      <c r="DA2189"/>
      <c r="DB2189"/>
      <c r="DC2189"/>
      <c r="DD2189"/>
      <c r="DE2189"/>
      <c r="DF2189"/>
      <c r="DG2189"/>
      <c r="DH2189"/>
      <c r="DI2189"/>
      <c r="DJ2189"/>
      <c r="DK2189"/>
      <c r="DL2189"/>
      <c r="DM2189"/>
      <c r="DN2189"/>
      <c r="DO2189"/>
      <c r="DP2189"/>
      <c r="DQ2189"/>
      <c r="DR2189"/>
      <c r="DS2189"/>
      <c r="DT2189"/>
      <c r="DU2189"/>
      <c r="DV2189"/>
      <c r="DW2189"/>
      <c r="DX2189"/>
      <c r="DY2189"/>
      <c r="DZ2189"/>
      <c r="EA2189"/>
      <c r="EB2189"/>
      <c r="EC2189"/>
      <c r="ED2189"/>
      <c r="EE2189"/>
      <c r="EF2189"/>
      <c r="EG2189"/>
      <c r="EH2189"/>
      <c r="EI2189"/>
      <c r="EJ2189"/>
      <c r="EK2189"/>
      <c r="EL2189"/>
      <c r="EM2189"/>
      <c r="EN2189"/>
      <c r="EO2189"/>
      <c r="EP2189"/>
      <c r="EQ2189"/>
      <c r="ER2189"/>
      <c r="ES2189"/>
    </row>
    <row r="2190" spans="1:149">
      <c r="A2190"/>
      <c r="B2190"/>
      <c r="C2190"/>
      <c r="D2190"/>
      <c r="E2190"/>
      <c r="F2190"/>
      <c r="G2190"/>
      <c r="H2190"/>
      <c r="I2190"/>
      <c r="J2190"/>
      <c r="K2190"/>
      <c r="L2190"/>
      <c r="M2190"/>
      <c r="N2190"/>
      <c r="O2190"/>
      <c r="P2190"/>
      <c r="Q2190"/>
      <c r="R2190"/>
      <c r="S2190"/>
      <c r="T2190"/>
      <c r="U2190"/>
      <c r="V2190"/>
      <c r="W2190"/>
      <c r="X2190"/>
      <c r="Y2190"/>
      <c r="Z2190"/>
      <c r="AA2190"/>
      <c r="AB2190"/>
      <c r="AC2190"/>
      <c r="AD2190"/>
      <c r="AE2190"/>
      <c r="AF2190"/>
      <c r="AG2190"/>
      <c r="AH2190"/>
      <c r="AI2190"/>
      <c r="AJ2190"/>
      <c r="AK2190"/>
      <c r="AL2190"/>
      <c r="AM2190"/>
      <c r="AN2190"/>
      <c r="AO2190"/>
      <c r="AP2190"/>
      <c r="AQ2190"/>
      <c r="AR2190"/>
      <c r="AS2190"/>
      <c r="AT2190"/>
      <c r="AU2190"/>
      <c r="AV2190"/>
      <c r="AW2190"/>
      <c r="AX2190"/>
      <c r="AY2190"/>
      <c r="AZ2190"/>
      <c r="BA2190"/>
      <c r="BB2190"/>
      <c r="BC2190"/>
      <c r="BD2190"/>
      <c r="BE2190"/>
      <c r="BF2190"/>
      <c r="BG2190"/>
      <c r="BH2190"/>
      <c r="BI2190"/>
      <c r="BJ2190"/>
      <c r="BK2190"/>
      <c r="BL2190"/>
      <c r="BM2190"/>
      <c r="BN2190"/>
      <c r="BO2190"/>
      <c r="BP2190"/>
      <c r="BQ2190"/>
      <c r="BR2190"/>
      <c r="BS2190"/>
      <c r="BT2190"/>
      <c r="BU2190"/>
      <c r="BV2190"/>
      <c r="BW2190"/>
      <c r="BX2190"/>
      <c r="BY2190"/>
      <c r="BZ2190"/>
      <c r="CA2190"/>
      <c r="CB2190"/>
      <c r="CC2190"/>
      <c r="CD2190"/>
      <c r="CE2190"/>
      <c r="CF2190"/>
      <c r="CG2190"/>
      <c r="CH2190"/>
      <c r="CI2190"/>
      <c r="CJ2190"/>
      <c r="CK2190"/>
      <c r="CL2190"/>
      <c r="CM2190"/>
      <c r="CN2190"/>
      <c r="CO2190"/>
      <c r="CP2190"/>
      <c r="CQ2190"/>
      <c r="CR2190"/>
      <c r="CS2190"/>
      <c r="CT2190"/>
      <c r="CU2190"/>
      <c r="CV2190"/>
      <c r="CW2190"/>
      <c r="CX2190"/>
      <c r="CY2190"/>
      <c r="CZ2190"/>
      <c r="DA2190"/>
      <c r="DB2190"/>
      <c r="DC2190"/>
      <c r="DD2190"/>
      <c r="DE2190"/>
      <c r="DF2190"/>
      <c r="DG2190"/>
      <c r="DH2190"/>
      <c r="DI2190"/>
      <c r="DJ2190"/>
      <c r="DK2190"/>
      <c r="DL2190"/>
      <c r="DM2190"/>
      <c r="DN2190"/>
      <c r="DO2190"/>
      <c r="DP2190"/>
      <c r="DQ2190"/>
      <c r="DR2190"/>
      <c r="DS2190"/>
      <c r="DT2190"/>
      <c r="DU2190"/>
      <c r="DV2190"/>
      <c r="DW2190"/>
      <c r="DX2190"/>
      <c r="DY2190"/>
      <c r="DZ2190"/>
      <c r="EA2190"/>
      <c r="EB2190"/>
      <c r="EC2190"/>
      <c r="ED2190"/>
      <c r="EE2190"/>
      <c r="EF2190"/>
      <c r="EG2190"/>
      <c r="EH2190"/>
      <c r="EI2190"/>
      <c r="EJ2190"/>
      <c r="EK2190"/>
      <c r="EL2190"/>
      <c r="EM2190"/>
      <c r="EN2190"/>
      <c r="EO2190"/>
      <c r="EP2190"/>
      <c r="EQ2190"/>
      <c r="ER2190"/>
      <c r="ES2190"/>
    </row>
    <row r="2191" spans="1:149">
      <c r="A2191"/>
      <c r="B2191"/>
      <c r="C2191"/>
      <c r="D2191"/>
      <c r="E2191"/>
      <c r="F2191"/>
      <c r="G2191"/>
      <c r="H2191"/>
      <c r="I2191"/>
      <c r="J2191"/>
      <c r="K2191"/>
      <c r="L2191"/>
      <c r="M2191"/>
      <c r="N2191"/>
      <c r="O2191"/>
      <c r="P2191"/>
      <c r="Q2191"/>
      <c r="R2191"/>
      <c r="S2191"/>
      <c r="T2191"/>
      <c r="U2191"/>
      <c r="V2191"/>
      <c r="W2191"/>
      <c r="X2191"/>
      <c r="Y2191"/>
      <c r="Z2191"/>
      <c r="AA2191"/>
      <c r="AB2191"/>
      <c r="AC2191"/>
      <c r="AD2191"/>
      <c r="AE2191"/>
      <c r="AF2191"/>
      <c r="AG2191"/>
      <c r="AH2191"/>
      <c r="AI2191"/>
      <c r="AJ2191"/>
      <c r="AK2191"/>
      <c r="AL2191"/>
      <c r="AM2191"/>
      <c r="AN2191"/>
      <c r="AO2191"/>
      <c r="AP2191"/>
      <c r="AQ2191"/>
      <c r="AR2191"/>
      <c r="AS2191"/>
      <c r="AT2191"/>
      <c r="AU2191"/>
      <c r="AV2191"/>
      <c r="AW2191"/>
      <c r="AX2191"/>
      <c r="AY2191"/>
      <c r="AZ2191"/>
      <c r="BA2191"/>
      <c r="BB2191"/>
      <c r="BC2191"/>
      <c r="BD2191"/>
      <c r="BE2191"/>
      <c r="BF2191"/>
      <c r="BG2191"/>
      <c r="BH2191"/>
      <c r="BI2191"/>
      <c r="BJ2191"/>
      <c r="BK2191"/>
      <c r="BL2191"/>
      <c r="BM2191"/>
      <c r="BN2191"/>
      <c r="BO2191"/>
      <c r="BP2191"/>
      <c r="BQ2191"/>
      <c r="BR2191"/>
      <c r="BS2191"/>
      <c r="BT2191"/>
      <c r="BU2191"/>
      <c r="BV2191"/>
      <c r="BW2191"/>
      <c r="BX2191"/>
      <c r="BY2191"/>
      <c r="BZ2191"/>
      <c r="CA2191"/>
      <c r="CB2191"/>
      <c r="CC2191"/>
      <c r="CD2191"/>
      <c r="CE2191"/>
      <c r="CF2191"/>
      <c r="CG2191"/>
      <c r="CH2191"/>
      <c r="CI2191"/>
      <c r="CJ2191"/>
      <c r="CK2191"/>
      <c r="CL2191"/>
      <c r="CM2191"/>
      <c r="CN2191"/>
      <c r="CO2191"/>
      <c r="CP2191"/>
      <c r="CQ2191"/>
      <c r="CR2191"/>
      <c r="CS2191"/>
      <c r="CT2191"/>
      <c r="CU2191"/>
      <c r="CV2191"/>
      <c r="CW2191"/>
      <c r="CX2191"/>
      <c r="CY2191"/>
      <c r="CZ2191"/>
      <c r="DA2191"/>
      <c r="DB2191"/>
      <c r="DC2191"/>
      <c r="DD2191"/>
      <c r="DE2191"/>
      <c r="DF2191"/>
      <c r="DG2191"/>
      <c r="DH2191"/>
      <c r="DI2191"/>
      <c r="DJ2191"/>
      <c r="DK2191"/>
      <c r="DL2191"/>
      <c r="DM2191"/>
      <c r="DN2191"/>
      <c r="DO2191"/>
      <c r="DP2191"/>
      <c r="DQ2191"/>
      <c r="DR2191"/>
      <c r="DS2191"/>
      <c r="DT2191"/>
      <c r="DU2191"/>
      <c r="DV2191"/>
      <c r="DW2191"/>
      <c r="DX2191"/>
      <c r="DY2191"/>
      <c r="DZ2191"/>
      <c r="EA2191"/>
      <c r="EB2191"/>
      <c r="EC2191"/>
      <c r="ED2191"/>
      <c r="EE2191"/>
      <c r="EF2191"/>
      <c r="EG2191"/>
      <c r="EH2191"/>
      <c r="EI2191"/>
      <c r="EJ2191"/>
      <c r="EK2191"/>
      <c r="EL2191"/>
      <c r="EM2191"/>
      <c r="EN2191"/>
      <c r="EO2191"/>
      <c r="EP2191"/>
      <c r="EQ2191"/>
      <c r="ER2191"/>
      <c r="ES2191"/>
    </row>
    <row r="2192" spans="1:149">
      <c r="A2192"/>
      <c r="B2192"/>
      <c r="C2192"/>
      <c r="D2192"/>
      <c r="E2192"/>
      <c r="F2192"/>
      <c r="G2192"/>
      <c r="H2192"/>
      <c r="I2192"/>
      <c r="J2192"/>
      <c r="K2192"/>
      <c r="L2192"/>
      <c r="M2192"/>
      <c r="N2192"/>
      <c r="O2192"/>
      <c r="P2192"/>
      <c r="Q2192"/>
      <c r="R2192"/>
      <c r="S2192"/>
      <c r="T2192"/>
      <c r="U2192"/>
      <c r="V2192"/>
      <c r="W2192"/>
      <c r="X2192"/>
      <c r="Y2192"/>
      <c r="Z2192"/>
      <c r="AA2192"/>
      <c r="AB2192"/>
      <c r="AC2192"/>
      <c r="AD2192"/>
      <c r="AE2192"/>
      <c r="AF2192"/>
      <c r="AG2192"/>
      <c r="AH2192"/>
      <c r="AI2192"/>
      <c r="AJ2192"/>
      <c r="AK2192"/>
      <c r="AL2192"/>
      <c r="AM2192"/>
      <c r="AN2192"/>
      <c r="AO2192"/>
      <c r="AP2192"/>
      <c r="AQ2192"/>
      <c r="AR2192"/>
      <c r="AS2192"/>
      <c r="AT2192"/>
      <c r="AU2192"/>
      <c r="AV2192"/>
      <c r="AW2192"/>
      <c r="AX2192"/>
      <c r="AY2192"/>
      <c r="AZ2192"/>
      <c r="BA2192"/>
      <c r="BB2192"/>
      <c r="BC2192"/>
      <c r="BD2192"/>
      <c r="BE2192"/>
      <c r="BF2192"/>
      <c r="BG2192"/>
      <c r="BH2192"/>
      <c r="BI2192"/>
      <c r="BJ2192"/>
      <c r="BK2192"/>
      <c r="BL2192"/>
      <c r="BM2192"/>
      <c r="BN2192"/>
      <c r="BO2192"/>
      <c r="BP2192"/>
      <c r="BQ2192"/>
      <c r="BR2192"/>
      <c r="BS2192"/>
      <c r="BT2192"/>
      <c r="BU2192"/>
      <c r="BV2192"/>
      <c r="BW2192"/>
      <c r="BX2192"/>
      <c r="BY2192"/>
      <c r="BZ2192"/>
      <c r="CA2192"/>
      <c r="CB2192"/>
      <c r="CC2192"/>
      <c r="CD2192"/>
      <c r="CE2192"/>
      <c r="CF2192"/>
      <c r="CG2192"/>
      <c r="CH2192"/>
      <c r="CI2192"/>
      <c r="CJ2192"/>
      <c r="CK2192"/>
      <c r="CL2192"/>
      <c r="CM2192"/>
      <c r="CN2192"/>
      <c r="CO2192"/>
      <c r="CP2192"/>
      <c r="CQ2192"/>
      <c r="CR2192"/>
      <c r="CS2192"/>
      <c r="CT2192"/>
      <c r="CU2192"/>
      <c r="CV2192"/>
      <c r="CW2192"/>
      <c r="CX2192"/>
      <c r="CY2192"/>
      <c r="CZ2192"/>
      <c r="DA2192"/>
      <c r="DB2192"/>
      <c r="DC2192"/>
      <c r="DD2192"/>
      <c r="DE2192"/>
      <c r="DF2192"/>
      <c r="DG2192"/>
      <c r="DH2192"/>
      <c r="DI2192"/>
      <c r="DJ2192"/>
      <c r="DK2192"/>
      <c r="DL2192"/>
      <c r="DM2192"/>
      <c r="DN2192"/>
      <c r="DO2192"/>
      <c r="DP2192"/>
      <c r="DQ2192"/>
      <c r="DR2192"/>
      <c r="DS2192"/>
      <c r="DT2192"/>
      <c r="DU2192"/>
      <c r="DV2192"/>
      <c r="DW2192"/>
      <c r="DX2192"/>
      <c r="DY2192"/>
      <c r="DZ2192"/>
      <c r="EA2192"/>
      <c r="EB2192"/>
      <c r="EC2192"/>
      <c r="ED2192"/>
      <c r="EE2192"/>
      <c r="EF2192"/>
      <c r="EG2192"/>
      <c r="EH2192"/>
      <c r="EI2192"/>
      <c r="EJ2192"/>
      <c r="EK2192"/>
      <c r="EL2192"/>
      <c r="EM2192"/>
      <c r="EN2192"/>
      <c r="EO2192"/>
      <c r="EP2192"/>
      <c r="EQ2192"/>
      <c r="ER2192"/>
      <c r="ES2192"/>
    </row>
    <row r="2193" spans="1:149">
      <c r="A2193"/>
      <c r="B2193"/>
      <c r="C2193"/>
      <c r="D2193"/>
      <c r="E2193"/>
      <c r="F2193"/>
      <c r="G2193"/>
      <c r="H2193"/>
      <c r="I2193"/>
      <c r="J2193"/>
      <c r="K2193"/>
      <c r="L2193"/>
      <c r="M2193"/>
      <c r="N2193"/>
      <c r="O2193"/>
      <c r="P2193"/>
      <c r="Q2193"/>
      <c r="R2193"/>
      <c r="S2193"/>
      <c r="T2193"/>
      <c r="U2193"/>
      <c r="V2193"/>
      <c r="W2193"/>
      <c r="X2193"/>
      <c r="Y2193"/>
      <c r="Z2193"/>
      <c r="AA2193"/>
      <c r="AB2193"/>
      <c r="AC2193"/>
      <c r="AD2193"/>
      <c r="AE2193"/>
      <c r="AF2193"/>
      <c r="AG2193"/>
      <c r="AH2193"/>
      <c r="AI2193"/>
      <c r="AJ2193"/>
      <c r="AK2193"/>
      <c r="AL2193"/>
      <c r="AM2193"/>
      <c r="AN2193"/>
      <c r="AO2193"/>
      <c r="AP2193"/>
      <c r="AQ2193"/>
      <c r="AR2193"/>
      <c r="AS2193"/>
      <c r="AT2193"/>
      <c r="AU2193"/>
      <c r="AV2193"/>
      <c r="AW2193"/>
      <c r="AX2193"/>
      <c r="AY2193"/>
      <c r="AZ2193"/>
      <c r="BA2193"/>
      <c r="BB2193"/>
      <c r="BC2193"/>
      <c r="BD2193"/>
      <c r="BE2193"/>
      <c r="BF2193"/>
      <c r="BG2193"/>
      <c r="BH2193"/>
      <c r="BI2193"/>
      <c r="BJ2193"/>
      <c r="BK2193"/>
      <c r="BL2193"/>
      <c r="BM2193"/>
      <c r="BN2193"/>
      <c r="BO2193"/>
      <c r="BP2193"/>
      <c r="BQ2193"/>
      <c r="BR2193"/>
      <c r="BS2193"/>
      <c r="BT2193"/>
      <c r="BU2193"/>
      <c r="BV2193"/>
      <c r="BW2193"/>
      <c r="BX2193"/>
      <c r="BY2193"/>
      <c r="BZ2193"/>
      <c r="CA2193"/>
      <c r="CB2193"/>
      <c r="CC2193"/>
      <c r="CD2193"/>
      <c r="CE2193"/>
      <c r="CF2193"/>
      <c r="CG2193"/>
      <c r="CH2193"/>
      <c r="CI2193"/>
      <c r="CJ2193"/>
      <c r="CK2193"/>
      <c r="CL2193"/>
      <c r="CM2193"/>
      <c r="CN2193"/>
      <c r="CO2193"/>
      <c r="CP2193"/>
      <c r="CQ2193"/>
      <c r="CR2193"/>
      <c r="CS2193"/>
      <c r="CT2193"/>
      <c r="CU2193"/>
      <c r="CV2193"/>
      <c r="CW2193"/>
      <c r="CX2193"/>
      <c r="CY2193"/>
      <c r="CZ2193"/>
      <c r="DA2193"/>
      <c r="DB2193"/>
      <c r="DC2193"/>
      <c r="DD2193"/>
      <c r="DE2193"/>
      <c r="DF2193"/>
      <c r="DG2193"/>
      <c r="DH2193"/>
      <c r="DI2193"/>
      <c r="DJ2193"/>
      <c r="DK2193"/>
      <c r="DL2193"/>
      <c r="DM2193"/>
      <c r="DN2193"/>
      <c r="DO2193"/>
      <c r="DP2193"/>
      <c r="DQ2193"/>
      <c r="DR2193"/>
      <c r="DS2193"/>
      <c r="DT2193"/>
      <c r="DU2193"/>
      <c r="DV2193"/>
      <c r="DW2193"/>
      <c r="DX2193"/>
      <c r="DY2193"/>
      <c r="DZ2193"/>
      <c r="EA2193"/>
      <c r="EB2193"/>
      <c r="EC2193"/>
      <c r="ED2193"/>
      <c r="EE2193"/>
      <c r="EF2193"/>
      <c r="EG2193"/>
      <c r="EH2193"/>
      <c r="EI2193"/>
      <c r="EJ2193"/>
      <c r="EK2193"/>
      <c r="EL2193"/>
      <c r="EM2193"/>
      <c r="EN2193"/>
      <c r="EO2193"/>
      <c r="EP2193"/>
      <c r="EQ2193"/>
      <c r="ER2193"/>
      <c r="ES2193"/>
    </row>
    <row r="2194" spans="1:149">
      <c r="A2194"/>
      <c r="B2194"/>
      <c r="C2194"/>
      <c r="D2194"/>
      <c r="E2194"/>
      <c r="F2194"/>
      <c r="G2194"/>
      <c r="H2194"/>
      <c r="I2194"/>
      <c r="J2194"/>
      <c r="K2194"/>
      <c r="L2194"/>
      <c r="M2194"/>
      <c r="N2194"/>
      <c r="O2194"/>
      <c r="P2194"/>
      <c r="Q2194"/>
      <c r="R2194"/>
      <c r="S2194"/>
      <c r="T2194"/>
      <c r="U2194"/>
      <c r="V2194"/>
      <c r="W2194"/>
      <c r="X2194"/>
      <c r="Y2194"/>
      <c r="Z2194"/>
      <c r="AA2194"/>
      <c r="AB2194"/>
      <c r="AC2194"/>
      <c r="AD2194"/>
      <c r="AE2194"/>
      <c r="AF2194"/>
      <c r="AG2194"/>
      <c r="AH2194"/>
      <c r="AI2194"/>
      <c r="AJ2194"/>
      <c r="AK2194"/>
      <c r="AL2194"/>
      <c r="AM2194"/>
      <c r="AN2194"/>
      <c r="AO2194"/>
      <c r="AP2194"/>
      <c r="AQ2194"/>
      <c r="AR2194"/>
      <c r="AS2194"/>
      <c r="AT2194"/>
      <c r="AU2194"/>
      <c r="AV2194"/>
      <c r="AW2194"/>
      <c r="AX2194"/>
      <c r="AY2194"/>
      <c r="AZ2194"/>
      <c r="BA2194"/>
      <c r="BB2194"/>
      <c r="BC2194"/>
      <c r="BD2194"/>
      <c r="BE2194"/>
      <c r="BF2194"/>
      <c r="BG2194"/>
      <c r="BH2194"/>
      <c r="BI2194"/>
      <c r="BJ2194"/>
      <c r="BK2194"/>
      <c r="BL2194"/>
      <c r="BM2194"/>
      <c r="BN2194"/>
      <c r="BO2194"/>
      <c r="BP2194"/>
      <c r="BQ2194"/>
      <c r="BR2194"/>
      <c r="BS2194"/>
      <c r="BT2194"/>
      <c r="BU2194"/>
      <c r="BV2194"/>
      <c r="BW2194"/>
      <c r="BX2194"/>
      <c r="BY2194"/>
      <c r="BZ2194"/>
      <c r="CA2194"/>
      <c r="CB2194"/>
      <c r="CC2194"/>
      <c r="CD2194"/>
      <c r="CE2194"/>
      <c r="CF2194"/>
      <c r="CG2194"/>
      <c r="CH2194"/>
      <c r="CI2194"/>
      <c r="CJ2194"/>
      <c r="CK2194"/>
      <c r="CL2194"/>
      <c r="CM2194"/>
      <c r="CN2194"/>
      <c r="CO2194"/>
      <c r="CP2194"/>
      <c r="CQ2194"/>
      <c r="CR2194"/>
      <c r="CS2194"/>
      <c r="CT2194"/>
      <c r="CU2194"/>
      <c r="CV2194"/>
      <c r="CW2194"/>
      <c r="CX2194"/>
      <c r="CY2194"/>
      <c r="CZ2194"/>
      <c r="DA2194"/>
      <c r="DB2194"/>
      <c r="DC2194"/>
      <c r="DD2194"/>
      <c r="DE2194"/>
      <c r="DF2194"/>
      <c r="DG2194"/>
      <c r="DH2194"/>
      <c r="DI2194"/>
      <c r="DJ2194"/>
      <c r="DK2194"/>
      <c r="DL2194"/>
      <c r="DM2194"/>
      <c r="DN2194"/>
      <c r="DO2194"/>
      <c r="DP2194"/>
      <c r="DQ2194"/>
      <c r="DR2194"/>
      <c r="DS2194"/>
      <c r="DT2194"/>
      <c r="DU2194"/>
      <c r="DV2194"/>
      <c r="DW2194"/>
      <c r="DX2194"/>
      <c r="DY2194"/>
      <c r="DZ2194"/>
      <c r="EA2194"/>
      <c r="EB2194"/>
      <c r="EC2194"/>
      <c r="ED2194"/>
      <c r="EE2194"/>
      <c r="EF2194"/>
      <c r="EG2194"/>
      <c r="EH2194"/>
      <c r="EI2194"/>
      <c r="EJ2194"/>
      <c r="EK2194"/>
      <c r="EL2194"/>
      <c r="EM2194"/>
      <c r="EN2194"/>
      <c r="EO2194"/>
      <c r="EP2194"/>
      <c r="EQ2194"/>
      <c r="ER2194"/>
      <c r="ES2194"/>
    </row>
    <row r="2195" spans="1:149">
      <c r="A2195"/>
      <c r="B2195"/>
      <c r="C2195"/>
      <c r="D2195"/>
      <c r="E2195"/>
      <c r="F2195"/>
      <c r="G2195"/>
      <c r="H2195"/>
      <c r="I2195"/>
      <c r="J2195"/>
      <c r="K2195"/>
      <c r="L2195"/>
      <c r="M2195"/>
      <c r="N2195"/>
      <c r="O2195"/>
      <c r="P2195"/>
      <c r="Q2195"/>
      <c r="R2195"/>
      <c r="S2195"/>
      <c r="T2195"/>
      <c r="U2195"/>
      <c r="V2195"/>
      <c r="W2195"/>
      <c r="X2195"/>
      <c r="Y2195"/>
      <c r="Z2195"/>
      <c r="AA2195"/>
      <c r="AB2195"/>
      <c r="AC2195"/>
      <c r="AD2195"/>
      <c r="AE2195"/>
      <c r="AF2195"/>
      <c r="AG2195"/>
      <c r="AH2195"/>
      <c r="AI2195"/>
      <c r="AJ2195"/>
      <c r="AK2195"/>
      <c r="AL2195"/>
      <c r="AM2195"/>
      <c r="AN2195"/>
      <c r="AO2195"/>
      <c r="AP2195"/>
      <c r="AQ2195"/>
      <c r="AR2195"/>
      <c r="AS2195"/>
      <c r="AT2195"/>
      <c r="AU2195"/>
      <c r="AV2195"/>
      <c r="AW2195"/>
      <c r="AX2195"/>
      <c r="AY2195"/>
      <c r="AZ2195"/>
      <c r="BA2195"/>
      <c r="BB2195"/>
      <c r="BC2195"/>
      <c r="BD2195"/>
      <c r="BE2195"/>
      <c r="BF2195"/>
      <c r="BG2195"/>
      <c r="BH2195"/>
      <c r="BI2195"/>
      <c r="BJ2195"/>
      <c r="BK2195"/>
      <c r="BL2195"/>
      <c r="BM2195"/>
      <c r="BN2195"/>
      <c r="BO2195"/>
      <c r="BP2195"/>
      <c r="BQ2195"/>
      <c r="BR2195"/>
      <c r="BS2195"/>
      <c r="BT2195"/>
      <c r="BU2195"/>
      <c r="BV2195"/>
      <c r="BW2195"/>
      <c r="BX2195"/>
      <c r="BY2195"/>
      <c r="BZ2195"/>
      <c r="CA2195"/>
      <c r="CB2195"/>
      <c r="CC2195"/>
      <c r="CD2195"/>
      <c r="CE2195"/>
      <c r="CF2195"/>
      <c r="CG2195"/>
      <c r="CH2195"/>
      <c r="CI2195"/>
      <c r="CJ2195"/>
      <c r="CK2195"/>
      <c r="CL2195"/>
      <c r="CM2195"/>
      <c r="CN2195"/>
      <c r="CO2195"/>
      <c r="CP2195"/>
      <c r="CQ2195"/>
      <c r="CR2195"/>
      <c r="CS2195"/>
      <c r="CT2195"/>
      <c r="CU2195"/>
      <c r="CV2195"/>
      <c r="CW2195"/>
      <c r="CX2195"/>
      <c r="CY2195"/>
      <c r="CZ2195"/>
      <c r="DA2195"/>
      <c r="DB2195"/>
      <c r="DC2195"/>
      <c r="DD2195"/>
      <c r="DE2195"/>
      <c r="DF2195"/>
      <c r="DG2195"/>
      <c r="DH2195"/>
      <c r="DI2195"/>
      <c r="DJ2195"/>
      <c r="DK2195"/>
      <c r="DL2195"/>
      <c r="DM2195"/>
      <c r="DN2195"/>
      <c r="DO2195"/>
      <c r="DP2195"/>
      <c r="DQ2195"/>
      <c r="DR2195"/>
      <c r="DS2195"/>
      <c r="DT2195"/>
      <c r="DU2195"/>
      <c r="DV2195"/>
      <c r="DW2195"/>
      <c r="DX2195"/>
      <c r="DY2195"/>
      <c r="DZ2195"/>
      <c r="EA2195"/>
      <c r="EB2195"/>
      <c r="EC2195"/>
      <c r="ED2195"/>
      <c r="EE2195"/>
      <c r="EF2195"/>
      <c r="EG2195"/>
      <c r="EH2195"/>
      <c r="EI2195"/>
      <c r="EJ2195"/>
      <c r="EK2195"/>
      <c r="EL2195"/>
      <c r="EM2195"/>
      <c r="EN2195"/>
      <c r="EO2195"/>
      <c r="EP2195"/>
      <c r="EQ2195"/>
      <c r="ER2195"/>
      <c r="ES2195"/>
    </row>
    <row r="2196" spans="1:149">
      <c r="A2196"/>
      <c r="B2196"/>
      <c r="C2196"/>
      <c r="D2196"/>
      <c r="E2196"/>
      <c r="F2196"/>
      <c r="G2196"/>
      <c r="H2196"/>
      <c r="I2196"/>
      <c r="J2196"/>
      <c r="K2196"/>
      <c r="L2196"/>
      <c r="M2196"/>
      <c r="N2196"/>
      <c r="O2196"/>
      <c r="P2196"/>
      <c r="Q2196"/>
      <c r="R2196"/>
      <c r="S2196"/>
      <c r="T2196"/>
      <c r="U2196"/>
      <c r="V2196"/>
      <c r="W2196"/>
      <c r="X2196"/>
      <c r="Y2196"/>
      <c r="Z2196"/>
      <c r="AA2196"/>
      <c r="AB2196"/>
      <c r="AC2196"/>
      <c r="AD2196"/>
      <c r="AE2196"/>
      <c r="AF2196"/>
      <c r="AG2196"/>
      <c r="AH2196"/>
      <c r="AI2196"/>
      <c r="AJ2196"/>
      <c r="AK2196"/>
      <c r="AL2196"/>
      <c r="AM2196"/>
      <c r="AN2196"/>
      <c r="AO2196"/>
      <c r="AP2196"/>
      <c r="AQ2196"/>
      <c r="AR2196"/>
      <c r="AS2196"/>
      <c r="AT2196"/>
      <c r="AU2196"/>
      <c r="AV2196"/>
      <c r="AW2196"/>
      <c r="AX2196"/>
      <c r="AY2196"/>
      <c r="AZ2196"/>
      <c r="BA2196"/>
      <c r="BB2196"/>
      <c r="BC2196"/>
      <c r="BD2196"/>
      <c r="BE2196"/>
      <c r="BF2196"/>
      <c r="BG2196"/>
      <c r="BH2196"/>
      <c r="BI2196"/>
      <c r="BJ2196"/>
      <c r="BK2196"/>
      <c r="BL2196"/>
      <c r="BM2196"/>
      <c r="BN2196"/>
      <c r="BO2196"/>
      <c r="BP2196"/>
      <c r="BQ2196"/>
      <c r="BR2196"/>
      <c r="BS2196"/>
      <c r="BT2196"/>
      <c r="BU2196"/>
      <c r="BV2196"/>
      <c r="BW2196"/>
      <c r="BX2196"/>
      <c r="BY2196"/>
      <c r="BZ2196"/>
      <c r="CA2196"/>
      <c r="CB2196"/>
      <c r="CC2196"/>
      <c r="CD2196"/>
      <c r="CE2196"/>
      <c r="CF2196"/>
      <c r="CG2196"/>
      <c r="CH2196"/>
      <c r="CI2196"/>
      <c r="CJ2196"/>
      <c r="CK2196"/>
      <c r="CL2196"/>
      <c r="CM2196"/>
      <c r="CN2196"/>
      <c r="CO2196"/>
      <c r="CP2196"/>
      <c r="CQ2196"/>
      <c r="CR2196"/>
      <c r="CS2196"/>
      <c r="CT2196"/>
      <c r="CU2196"/>
      <c r="CV2196"/>
      <c r="CW2196"/>
      <c r="CX2196"/>
      <c r="CY2196"/>
      <c r="CZ2196"/>
      <c r="DA2196"/>
      <c r="DB2196"/>
      <c r="DC2196"/>
      <c r="DD2196"/>
      <c r="DE2196"/>
      <c r="DF2196"/>
      <c r="DG2196"/>
      <c r="DH2196"/>
      <c r="DI2196"/>
      <c r="DJ2196"/>
      <c r="DK2196"/>
      <c r="DL2196"/>
      <c r="DM2196"/>
      <c r="DN2196"/>
      <c r="DO2196"/>
      <c r="DP2196"/>
      <c r="DQ2196"/>
      <c r="DR2196"/>
      <c r="DS2196"/>
      <c r="DT2196"/>
      <c r="DU2196"/>
      <c r="DV2196"/>
      <c r="DW2196"/>
      <c r="DX2196"/>
      <c r="DY2196"/>
      <c r="DZ2196"/>
      <c r="EA2196"/>
      <c r="EB2196"/>
      <c r="EC2196"/>
      <c r="ED2196"/>
      <c r="EE2196"/>
      <c r="EF2196"/>
      <c r="EG2196"/>
      <c r="EH2196"/>
      <c r="EI2196"/>
      <c r="EJ2196"/>
      <c r="EK2196"/>
      <c r="EL2196"/>
      <c r="EM2196"/>
      <c r="EN2196"/>
      <c r="EO2196"/>
      <c r="EP2196"/>
      <c r="EQ2196"/>
      <c r="ER2196"/>
      <c r="ES2196"/>
    </row>
    <row r="2197" spans="1:149">
      <c r="A2197"/>
      <c r="B2197"/>
      <c r="C2197"/>
      <c r="D2197"/>
      <c r="E2197"/>
      <c r="F2197"/>
      <c r="G2197"/>
      <c r="H2197"/>
      <c r="I2197"/>
      <c r="J2197"/>
      <c r="K2197"/>
      <c r="L2197"/>
      <c r="M2197"/>
      <c r="N2197"/>
      <c r="O2197"/>
      <c r="P2197"/>
      <c r="Q2197"/>
      <c r="R2197"/>
      <c r="S2197"/>
      <c r="T2197"/>
      <c r="U2197"/>
      <c r="V2197"/>
      <c r="W2197"/>
      <c r="X2197"/>
      <c r="Y2197"/>
      <c r="Z2197"/>
      <c r="AA2197"/>
      <c r="AB2197"/>
      <c r="AC2197"/>
      <c r="AD2197"/>
      <c r="AE2197"/>
      <c r="AF2197"/>
      <c r="AG2197"/>
      <c r="AH2197"/>
      <c r="AI2197"/>
      <c r="AJ2197"/>
      <c r="AK2197"/>
      <c r="AL2197"/>
      <c r="AM2197"/>
      <c r="AN2197"/>
      <c r="AO2197"/>
      <c r="AP2197"/>
      <c r="AQ2197"/>
      <c r="AR2197"/>
      <c r="AS2197"/>
      <c r="AT2197"/>
      <c r="AU2197"/>
      <c r="AV2197"/>
      <c r="AW2197"/>
      <c r="AX2197"/>
      <c r="AY2197"/>
      <c r="AZ2197"/>
      <c r="BA2197"/>
      <c r="BB2197"/>
      <c r="BC2197"/>
      <c r="BD2197"/>
      <c r="BE2197"/>
      <c r="BF2197"/>
      <c r="BG2197"/>
      <c r="BH2197"/>
      <c r="BI2197"/>
      <c r="BJ2197"/>
      <c r="BK2197"/>
      <c r="BL2197"/>
      <c r="BM2197"/>
      <c r="BN2197"/>
      <c r="BO2197"/>
      <c r="BP2197"/>
      <c r="BQ2197"/>
      <c r="BR2197"/>
      <c r="BS2197"/>
      <c r="BT2197"/>
      <c r="BU2197"/>
      <c r="BV2197"/>
      <c r="BW2197"/>
      <c r="BX2197"/>
      <c r="BY2197"/>
      <c r="BZ2197"/>
      <c r="CA2197"/>
      <c r="CB2197"/>
      <c r="CC2197"/>
      <c r="CD2197"/>
      <c r="CE2197"/>
      <c r="CF2197"/>
      <c r="CG2197"/>
      <c r="CH2197"/>
      <c r="CI2197"/>
      <c r="CJ2197"/>
      <c r="CK2197"/>
      <c r="CL2197"/>
      <c r="CM2197"/>
      <c r="CN2197"/>
      <c r="CO2197"/>
      <c r="CP2197"/>
      <c r="CQ2197"/>
      <c r="CR2197"/>
      <c r="CS2197"/>
      <c r="CT2197"/>
      <c r="CU2197"/>
      <c r="CV2197"/>
      <c r="CW2197"/>
      <c r="CX2197"/>
      <c r="CY2197"/>
      <c r="CZ2197"/>
      <c r="DA2197"/>
      <c r="DB2197"/>
      <c r="DC2197"/>
      <c r="DD2197"/>
      <c r="DE2197"/>
      <c r="DF2197"/>
      <c r="DG2197"/>
      <c r="DH2197"/>
      <c r="DI2197"/>
      <c r="DJ2197"/>
      <c r="DK2197"/>
      <c r="DL2197"/>
      <c r="DM2197"/>
      <c r="DN2197"/>
      <c r="DO2197"/>
      <c r="DP2197"/>
      <c r="DQ2197"/>
      <c r="DR2197"/>
      <c r="DS2197"/>
      <c r="DT2197"/>
      <c r="DU2197"/>
      <c r="DV2197"/>
      <c r="DW2197"/>
      <c r="DX2197"/>
      <c r="DY2197"/>
      <c r="DZ2197"/>
      <c r="EA2197"/>
      <c r="EB2197"/>
      <c r="EC2197"/>
      <c r="ED2197"/>
      <c r="EE2197"/>
      <c r="EF2197"/>
      <c r="EG2197"/>
      <c r="EH2197"/>
      <c r="EI2197"/>
      <c r="EJ2197"/>
      <c r="EK2197"/>
      <c r="EL2197"/>
      <c r="EM2197"/>
      <c r="EN2197"/>
      <c r="EO2197"/>
      <c r="EP2197"/>
      <c r="EQ2197"/>
      <c r="ER2197"/>
      <c r="ES2197"/>
    </row>
    <row r="2198" spans="1:149">
      <c r="A2198"/>
      <c r="B2198"/>
      <c r="C2198"/>
      <c r="D2198"/>
      <c r="E2198"/>
      <c r="F2198"/>
      <c r="G2198"/>
      <c r="H2198"/>
      <c r="I2198"/>
      <c r="J2198"/>
      <c r="K2198"/>
      <c r="L2198"/>
      <c r="M2198"/>
      <c r="N2198"/>
      <c r="O2198"/>
      <c r="P2198"/>
      <c r="Q2198"/>
      <c r="R2198"/>
      <c r="S2198"/>
      <c r="T2198"/>
      <c r="U2198"/>
      <c r="V2198"/>
      <c r="W2198"/>
      <c r="X2198"/>
      <c r="Y2198"/>
      <c r="Z2198"/>
      <c r="AA2198"/>
      <c r="AB2198"/>
      <c r="AC2198"/>
      <c r="AD2198"/>
      <c r="AE2198"/>
      <c r="AF2198"/>
      <c r="AG2198"/>
      <c r="AH2198"/>
      <c r="AI2198"/>
      <c r="AJ2198"/>
      <c r="AK2198"/>
      <c r="AL2198"/>
      <c r="AM2198"/>
      <c r="AN2198"/>
      <c r="AO2198"/>
      <c r="AP2198"/>
      <c r="AQ2198"/>
      <c r="AR2198"/>
      <c r="AS2198"/>
      <c r="AT2198"/>
      <c r="AU2198"/>
      <c r="AV2198"/>
      <c r="AW2198"/>
      <c r="AX2198"/>
      <c r="AY2198"/>
      <c r="AZ2198"/>
      <c r="BA2198"/>
      <c r="BB2198"/>
      <c r="BC2198"/>
      <c r="BD2198"/>
      <c r="BE2198"/>
      <c r="BF2198"/>
      <c r="BG2198"/>
      <c r="BH2198"/>
      <c r="BI2198"/>
      <c r="BJ2198"/>
      <c r="BK2198"/>
      <c r="BL2198"/>
      <c r="BM2198"/>
      <c r="BN2198"/>
      <c r="BO2198"/>
      <c r="BP2198"/>
      <c r="BQ2198"/>
      <c r="BR2198"/>
      <c r="BS2198"/>
      <c r="BT2198"/>
      <c r="BU2198"/>
      <c r="BV2198"/>
      <c r="BW2198"/>
      <c r="BX2198"/>
      <c r="BY2198"/>
      <c r="BZ2198"/>
      <c r="CA2198"/>
      <c r="CB2198"/>
      <c r="CC2198"/>
      <c r="CD2198"/>
      <c r="CE2198"/>
      <c r="CF2198"/>
      <c r="CG2198"/>
      <c r="CH2198"/>
      <c r="CI2198"/>
      <c r="CJ2198"/>
      <c r="CK2198"/>
      <c r="CL2198"/>
      <c r="CM2198"/>
      <c r="CN2198"/>
      <c r="CO2198"/>
      <c r="CP2198"/>
      <c r="CQ2198"/>
      <c r="CR2198"/>
      <c r="CS2198"/>
      <c r="CT2198"/>
      <c r="CU2198"/>
      <c r="CV2198"/>
      <c r="CW2198"/>
      <c r="CX2198"/>
      <c r="CY2198"/>
      <c r="CZ2198"/>
      <c r="DA2198"/>
      <c r="DB2198"/>
      <c r="DC2198"/>
      <c r="DD2198"/>
      <c r="DE2198"/>
      <c r="DF2198"/>
      <c r="DG2198"/>
      <c r="DH2198"/>
      <c r="DI2198"/>
      <c r="DJ2198"/>
      <c r="DK2198"/>
      <c r="DL2198"/>
      <c r="DM2198"/>
      <c r="DN2198"/>
      <c r="DO2198"/>
      <c r="DP2198"/>
      <c r="DQ2198"/>
      <c r="DR2198"/>
      <c r="DS2198"/>
      <c r="DT2198"/>
      <c r="DU2198"/>
      <c r="DV2198"/>
      <c r="DW2198"/>
      <c r="DX2198"/>
      <c r="DY2198"/>
      <c r="DZ2198"/>
      <c r="EA2198"/>
      <c r="EB2198"/>
      <c r="EC2198"/>
      <c r="ED2198"/>
      <c r="EE2198"/>
      <c r="EF2198"/>
      <c r="EG2198"/>
      <c r="EH2198"/>
      <c r="EI2198"/>
      <c r="EJ2198"/>
      <c r="EK2198"/>
      <c r="EL2198"/>
      <c r="EM2198"/>
      <c r="EN2198"/>
      <c r="EO2198"/>
      <c r="EP2198"/>
      <c r="EQ2198"/>
      <c r="ER2198"/>
      <c r="ES2198"/>
    </row>
    <row r="2199" spans="1:149">
      <c r="A2199"/>
      <c r="B2199"/>
      <c r="C2199"/>
      <c r="D2199"/>
      <c r="E2199"/>
      <c r="F2199"/>
      <c r="G2199"/>
      <c r="H2199"/>
      <c r="I2199"/>
      <c r="J2199"/>
      <c r="K2199"/>
      <c r="L2199"/>
      <c r="M2199"/>
      <c r="N2199"/>
      <c r="O2199"/>
      <c r="P2199"/>
      <c r="Q2199"/>
      <c r="R2199"/>
      <c r="S2199"/>
      <c r="T2199"/>
      <c r="U2199"/>
      <c r="V2199"/>
      <c r="W2199"/>
      <c r="X2199"/>
      <c r="Y2199"/>
      <c r="Z2199"/>
      <c r="AA2199"/>
      <c r="AB2199"/>
      <c r="AC2199"/>
      <c r="AD2199"/>
      <c r="AE2199"/>
      <c r="AF2199"/>
      <c r="AG2199"/>
      <c r="AH2199"/>
      <c r="AI2199"/>
      <c r="AJ2199"/>
      <c r="AK2199"/>
      <c r="AL2199"/>
      <c r="AM2199"/>
      <c r="AN2199"/>
      <c r="AO2199"/>
      <c r="AP2199"/>
      <c r="AQ2199"/>
      <c r="AR2199"/>
      <c r="AS2199"/>
      <c r="AT2199"/>
      <c r="AU2199"/>
      <c r="AV2199"/>
      <c r="AW2199"/>
      <c r="AX2199"/>
      <c r="AY2199"/>
      <c r="AZ2199"/>
      <c r="BA2199"/>
      <c r="BB2199"/>
      <c r="BC2199"/>
      <c r="BD2199"/>
      <c r="BE2199"/>
      <c r="BF2199"/>
      <c r="BG2199"/>
      <c r="BH2199"/>
      <c r="BI2199"/>
      <c r="BJ2199"/>
      <c r="BK2199"/>
      <c r="BL2199"/>
      <c r="BM2199"/>
      <c r="BN2199"/>
      <c r="BO2199"/>
      <c r="BP2199"/>
      <c r="BQ2199"/>
      <c r="BR2199"/>
      <c r="BS2199"/>
      <c r="BT2199"/>
      <c r="BU2199"/>
      <c r="BV2199"/>
      <c r="BW2199"/>
      <c r="BX2199"/>
      <c r="BY2199"/>
      <c r="BZ2199"/>
      <c r="CA2199"/>
      <c r="CB2199"/>
      <c r="CC2199"/>
      <c r="CD2199"/>
      <c r="CE2199"/>
      <c r="CF2199"/>
      <c r="CG2199"/>
      <c r="CH2199"/>
      <c r="CI2199"/>
      <c r="CJ2199"/>
      <c r="CK2199"/>
      <c r="CL2199"/>
      <c r="CM2199"/>
      <c r="CN2199"/>
      <c r="CO2199"/>
      <c r="CP2199"/>
      <c r="CQ2199"/>
      <c r="CR2199"/>
      <c r="CS2199"/>
      <c r="CT2199"/>
      <c r="CU2199"/>
      <c r="CV2199"/>
      <c r="CW2199"/>
      <c r="CX2199"/>
      <c r="CY2199"/>
      <c r="CZ2199"/>
      <c r="DA2199"/>
      <c r="DB2199"/>
      <c r="DC2199"/>
      <c r="DD2199"/>
      <c r="DE2199"/>
      <c r="DF2199"/>
      <c r="DG2199"/>
      <c r="DH2199"/>
      <c r="DI2199"/>
      <c r="DJ2199"/>
      <c r="DK2199"/>
      <c r="DL2199"/>
      <c r="DM2199"/>
      <c r="DN2199"/>
      <c r="DO2199"/>
      <c r="DP2199"/>
      <c r="DQ2199"/>
      <c r="DR2199"/>
      <c r="DS2199"/>
      <c r="DT2199"/>
      <c r="DU2199"/>
      <c r="DV2199"/>
      <c r="DW2199"/>
      <c r="DX2199"/>
      <c r="DY2199"/>
      <c r="DZ2199"/>
      <c r="EA2199"/>
      <c r="EB2199"/>
      <c r="EC2199"/>
      <c r="ED2199"/>
      <c r="EE2199"/>
      <c r="EF2199"/>
      <c r="EG2199"/>
      <c r="EH2199"/>
      <c r="EI2199"/>
      <c r="EJ2199"/>
      <c r="EK2199"/>
      <c r="EL2199"/>
      <c r="EM2199"/>
      <c r="EN2199"/>
      <c r="EO2199"/>
      <c r="EP2199"/>
      <c r="EQ2199"/>
      <c r="ER2199"/>
      <c r="ES2199"/>
    </row>
    <row r="2200" spans="1:149">
      <c r="A2200"/>
      <c r="B2200"/>
      <c r="C2200"/>
      <c r="D2200"/>
      <c r="E2200"/>
      <c r="F2200"/>
      <c r="G2200"/>
      <c r="H2200"/>
      <c r="I2200"/>
      <c r="J2200"/>
      <c r="K2200"/>
      <c r="L2200"/>
      <c r="M2200"/>
      <c r="N2200"/>
      <c r="O2200"/>
      <c r="P2200"/>
      <c r="Q2200"/>
      <c r="R2200"/>
      <c r="S2200"/>
      <c r="T2200"/>
      <c r="U2200"/>
      <c r="V2200"/>
      <c r="W2200"/>
      <c r="X2200"/>
      <c r="Y2200"/>
      <c r="Z2200"/>
      <c r="AA2200"/>
      <c r="AB2200"/>
      <c r="AC2200"/>
      <c r="AD2200"/>
      <c r="AE2200"/>
      <c r="AF2200"/>
      <c r="AG2200"/>
      <c r="AH2200"/>
      <c r="AI2200"/>
      <c r="AJ2200"/>
      <c r="AK2200"/>
      <c r="AL2200"/>
      <c r="AM2200"/>
      <c r="AN2200"/>
      <c r="AO2200"/>
      <c r="AP2200"/>
      <c r="AQ2200"/>
      <c r="AR2200"/>
      <c r="AS2200"/>
      <c r="AT2200"/>
      <c r="AU2200"/>
      <c r="AV2200"/>
      <c r="AW2200"/>
      <c r="AX2200"/>
      <c r="AY2200"/>
      <c r="AZ2200"/>
      <c r="BA2200"/>
      <c r="BB2200"/>
      <c r="BC2200"/>
      <c r="BD2200"/>
      <c r="BE2200"/>
      <c r="BF2200"/>
      <c r="BG2200"/>
      <c r="BH2200"/>
      <c r="BI2200"/>
      <c r="BJ2200"/>
      <c r="BK2200"/>
      <c r="BL2200"/>
      <c r="BM2200"/>
      <c r="BN2200"/>
      <c r="BO2200"/>
      <c r="BP2200"/>
      <c r="BQ2200"/>
      <c r="BR2200"/>
      <c r="BS2200"/>
      <c r="BT2200"/>
      <c r="BU2200"/>
      <c r="BV2200"/>
      <c r="BW2200"/>
      <c r="BX2200"/>
      <c r="BY2200"/>
      <c r="BZ2200"/>
      <c r="CA2200"/>
      <c r="CB2200"/>
      <c r="CC2200"/>
      <c r="CD2200"/>
      <c r="CE2200"/>
      <c r="CF2200"/>
      <c r="CG2200"/>
      <c r="CH2200"/>
      <c r="CI2200"/>
      <c r="CJ2200"/>
      <c r="CK2200"/>
      <c r="CL2200"/>
      <c r="CM2200"/>
      <c r="CN2200"/>
      <c r="CO2200"/>
      <c r="CP2200"/>
      <c r="CQ2200"/>
      <c r="CR2200"/>
      <c r="CS2200"/>
      <c r="CT2200"/>
      <c r="CU2200"/>
      <c r="CV2200"/>
      <c r="CW2200"/>
      <c r="CX2200"/>
      <c r="CY2200"/>
      <c r="CZ2200"/>
      <c r="DA2200"/>
      <c r="DB2200"/>
      <c r="DC2200"/>
      <c r="DD2200"/>
      <c r="DE2200"/>
      <c r="DF2200"/>
      <c r="DG2200"/>
      <c r="DH2200"/>
      <c r="DI2200"/>
      <c r="DJ2200"/>
      <c r="DK2200"/>
      <c r="DL2200"/>
      <c r="DM2200"/>
      <c r="DN2200"/>
      <c r="DO2200"/>
      <c r="DP2200"/>
      <c r="DQ2200"/>
      <c r="DR2200"/>
      <c r="DS2200"/>
      <c r="DT2200"/>
      <c r="DU2200"/>
      <c r="DV2200"/>
      <c r="DW2200"/>
      <c r="DX2200"/>
      <c r="DY2200"/>
      <c r="DZ2200"/>
      <c r="EA2200"/>
      <c r="EB2200"/>
      <c r="EC2200"/>
      <c r="ED2200"/>
      <c r="EE2200"/>
      <c r="EF2200"/>
      <c r="EG2200"/>
      <c r="EH2200"/>
      <c r="EI2200"/>
      <c r="EJ2200"/>
      <c r="EK2200"/>
      <c r="EL2200"/>
      <c r="EM2200"/>
      <c r="EN2200"/>
      <c r="EO2200"/>
      <c r="EP2200"/>
      <c r="EQ2200"/>
      <c r="ER2200"/>
      <c r="ES2200"/>
    </row>
    <row r="2201" spans="1:149">
      <c r="A2201"/>
      <c r="B2201"/>
      <c r="C2201"/>
      <c r="D2201"/>
      <c r="E2201"/>
      <c r="F2201"/>
      <c r="G2201"/>
      <c r="H2201"/>
      <c r="I2201"/>
      <c r="J2201"/>
      <c r="K2201"/>
      <c r="L2201"/>
      <c r="M2201"/>
      <c r="N2201"/>
      <c r="O2201"/>
      <c r="P2201"/>
      <c r="Q2201"/>
      <c r="R2201"/>
      <c r="S2201"/>
      <c r="T2201"/>
      <c r="U2201"/>
      <c r="V2201"/>
      <c r="W2201"/>
      <c r="X2201"/>
      <c r="Y2201"/>
      <c r="Z2201"/>
      <c r="AA2201"/>
      <c r="AB2201"/>
      <c r="AC2201"/>
      <c r="AD2201"/>
      <c r="AE2201"/>
      <c r="AF2201"/>
      <c r="AG2201"/>
      <c r="AH2201"/>
      <c r="AI2201"/>
      <c r="AJ2201"/>
      <c r="AK2201"/>
      <c r="AL2201"/>
      <c r="AM2201"/>
      <c r="AN2201"/>
      <c r="AO2201"/>
      <c r="AP2201"/>
      <c r="AQ2201"/>
      <c r="AR2201"/>
      <c r="AS2201"/>
      <c r="AT2201"/>
      <c r="AU2201"/>
      <c r="AV2201"/>
      <c r="AW2201"/>
      <c r="AX2201"/>
      <c r="AY2201"/>
      <c r="AZ2201"/>
      <c r="BA2201"/>
      <c r="BB2201"/>
      <c r="BC2201"/>
      <c r="BD2201"/>
      <c r="BE2201"/>
      <c r="BF2201"/>
      <c r="BG2201"/>
      <c r="BH2201"/>
      <c r="BI2201"/>
      <c r="BJ2201"/>
      <c r="BK2201"/>
      <c r="BL2201"/>
      <c r="BM2201"/>
      <c r="BN2201"/>
      <c r="BO2201"/>
      <c r="BP2201"/>
      <c r="BQ2201"/>
      <c r="BR2201"/>
      <c r="BS2201"/>
      <c r="BT2201"/>
      <c r="BU2201"/>
      <c r="BV2201"/>
      <c r="BW2201"/>
      <c r="BX2201"/>
      <c r="BY2201"/>
      <c r="BZ2201"/>
      <c r="CA2201"/>
      <c r="CB2201"/>
      <c r="CC2201"/>
      <c r="CD2201"/>
      <c r="CE2201"/>
      <c r="CF2201"/>
      <c r="CG2201"/>
      <c r="CH2201"/>
      <c r="CI2201"/>
      <c r="CJ2201"/>
      <c r="CK2201"/>
      <c r="CL2201"/>
      <c r="CM2201"/>
      <c r="CN2201"/>
      <c r="CO2201"/>
      <c r="CP2201"/>
      <c r="CQ2201"/>
      <c r="CR2201"/>
      <c r="CS2201"/>
      <c r="CT2201"/>
      <c r="CU2201"/>
      <c r="CV2201"/>
      <c r="CW2201"/>
      <c r="CX2201"/>
      <c r="CY2201"/>
      <c r="CZ2201"/>
      <c r="DA2201"/>
      <c r="DB2201"/>
      <c r="DC2201"/>
      <c r="DD2201"/>
      <c r="DE2201"/>
      <c r="DF2201"/>
      <c r="DG2201"/>
      <c r="DH2201"/>
      <c r="DI2201"/>
      <c r="DJ2201"/>
      <c r="DK2201"/>
      <c r="DL2201"/>
      <c r="DM2201"/>
      <c r="DN2201"/>
      <c r="DO2201"/>
      <c r="DP2201"/>
      <c r="DQ2201"/>
      <c r="DR2201"/>
      <c r="DS2201"/>
      <c r="DT2201"/>
      <c r="DU2201"/>
      <c r="DV2201"/>
      <c r="DW2201"/>
      <c r="DX2201"/>
      <c r="DY2201"/>
      <c r="DZ2201"/>
      <c r="EA2201"/>
      <c r="EB2201"/>
      <c r="EC2201"/>
      <c r="ED2201"/>
      <c r="EE2201"/>
      <c r="EF2201"/>
      <c r="EG2201"/>
      <c r="EH2201"/>
      <c r="EI2201"/>
      <c r="EJ2201"/>
      <c r="EK2201"/>
      <c r="EL2201"/>
      <c r="EM2201"/>
      <c r="EN2201"/>
      <c r="EO2201"/>
      <c r="EP2201"/>
      <c r="EQ2201"/>
      <c r="ER2201"/>
      <c r="ES2201"/>
    </row>
    <row r="2202" spans="1:149">
      <c r="A2202"/>
      <c r="B2202"/>
      <c r="C2202"/>
      <c r="D2202"/>
      <c r="E2202"/>
      <c r="F2202"/>
      <c r="G2202"/>
      <c r="H2202"/>
      <c r="I2202"/>
      <c r="J2202"/>
      <c r="K2202"/>
      <c r="L2202"/>
      <c r="M2202"/>
      <c r="N2202"/>
      <c r="O2202"/>
      <c r="P2202"/>
      <c r="Q2202"/>
      <c r="R2202"/>
      <c r="S2202"/>
      <c r="T2202"/>
      <c r="U2202"/>
      <c r="V2202"/>
      <c r="W2202"/>
      <c r="X2202"/>
      <c r="Y2202"/>
      <c r="Z2202"/>
      <c r="AA2202"/>
      <c r="AB2202"/>
      <c r="AC2202"/>
      <c r="AD2202"/>
      <c r="AE2202"/>
      <c r="AF2202"/>
      <c r="AG2202"/>
      <c r="AH2202"/>
      <c r="AI2202"/>
      <c r="AJ2202"/>
      <c r="AK2202"/>
      <c r="AL2202"/>
      <c r="AM2202"/>
      <c r="AN2202"/>
      <c r="AO2202"/>
      <c r="AP2202"/>
      <c r="AQ2202"/>
      <c r="AR2202"/>
      <c r="AS2202"/>
      <c r="AT2202"/>
      <c r="AU2202"/>
      <c r="AV2202"/>
      <c r="AW2202"/>
      <c r="AX2202"/>
      <c r="AY2202"/>
      <c r="AZ2202"/>
      <c r="BA2202"/>
      <c r="BB2202"/>
      <c r="BC2202"/>
      <c r="BD2202"/>
      <c r="BE2202"/>
      <c r="BF2202"/>
      <c r="BG2202"/>
      <c r="BH2202"/>
      <c r="BI2202"/>
      <c r="BJ2202"/>
      <c r="BK2202"/>
      <c r="BL2202"/>
      <c r="BM2202"/>
      <c r="BN2202"/>
      <c r="BO2202"/>
      <c r="BP2202"/>
      <c r="BQ2202"/>
      <c r="BR2202"/>
      <c r="BS2202"/>
      <c r="BT2202"/>
      <c r="BU2202"/>
      <c r="BV2202"/>
      <c r="BW2202"/>
      <c r="BX2202"/>
      <c r="BY2202"/>
      <c r="BZ2202"/>
      <c r="CA2202"/>
      <c r="CB2202"/>
      <c r="CC2202"/>
      <c r="CD2202"/>
      <c r="CE2202"/>
      <c r="CF2202"/>
      <c r="CG2202"/>
      <c r="CH2202"/>
      <c r="CI2202"/>
      <c r="CJ2202"/>
      <c r="CK2202"/>
      <c r="CL2202"/>
      <c r="CM2202"/>
      <c r="CN2202"/>
      <c r="CO2202"/>
      <c r="CP2202"/>
      <c r="CQ2202"/>
      <c r="CR2202"/>
      <c r="CS2202"/>
      <c r="CT2202"/>
      <c r="CU2202"/>
      <c r="CV2202"/>
      <c r="CW2202"/>
      <c r="CX2202"/>
      <c r="CY2202"/>
      <c r="CZ2202"/>
      <c r="DA2202"/>
      <c r="DB2202"/>
      <c r="DC2202"/>
      <c r="DD2202"/>
      <c r="DE2202"/>
      <c r="DF2202"/>
      <c r="DG2202"/>
      <c r="DH2202"/>
      <c r="DI2202"/>
      <c r="DJ2202"/>
      <c r="DK2202"/>
      <c r="DL2202"/>
      <c r="DM2202"/>
      <c r="DN2202"/>
      <c r="DO2202"/>
      <c r="DP2202"/>
      <c r="DQ2202"/>
      <c r="DR2202"/>
      <c r="DS2202"/>
      <c r="DT2202"/>
      <c r="DU2202"/>
      <c r="DV2202"/>
      <c r="DW2202"/>
      <c r="DX2202"/>
      <c r="DY2202"/>
      <c r="DZ2202"/>
      <c r="EA2202"/>
      <c r="EB2202"/>
      <c r="EC2202"/>
      <c r="ED2202"/>
      <c r="EE2202"/>
      <c r="EF2202"/>
      <c r="EG2202"/>
      <c r="EH2202"/>
      <c r="EI2202"/>
      <c r="EJ2202"/>
      <c r="EK2202"/>
      <c r="EL2202"/>
      <c r="EM2202"/>
      <c r="EN2202"/>
      <c r="EO2202"/>
      <c r="EP2202"/>
      <c r="EQ2202"/>
      <c r="ER2202"/>
      <c r="ES2202"/>
    </row>
    <row r="2203" spans="1:149">
      <c r="A2203"/>
      <c r="B2203"/>
      <c r="C2203"/>
      <c r="D2203"/>
      <c r="E2203"/>
      <c r="F2203"/>
      <c r="G2203"/>
      <c r="H2203"/>
      <c r="I2203"/>
      <c r="J2203"/>
      <c r="K2203"/>
      <c r="L2203"/>
      <c r="M2203"/>
      <c r="N2203"/>
      <c r="O2203"/>
      <c r="P2203"/>
      <c r="Q2203"/>
      <c r="R2203"/>
      <c r="S2203"/>
      <c r="T2203"/>
      <c r="U2203"/>
      <c r="V2203"/>
      <c r="W2203"/>
      <c r="X2203"/>
      <c r="Y2203"/>
      <c r="Z2203"/>
      <c r="AA2203"/>
      <c r="AB2203"/>
      <c r="AC2203"/>
      <c r="AD2203"/>
      <c r="AE2203"/>
      <c r="AF2203"/>
      <c r="AG2203"/>
      <c r="AH2203"/>
      <c r="AI2203"/>
      <c r="AJ2203"/>
      <c r="AK2203"/>
      <c r="AL2203"/>
      <c r="AM2203"/>
      <c r="AN2203"/>
      <c r="AO2203"/>
      <c r="AP2203"/>
      <c r="AQ2203"/>
      <c r="AR2203"/>
      <c r="AS2203"/>
      <c r="AT2203"/>
      <c r="AU2203"/>
      <c r="AV2203"/>
      <c r="AW2203"/>
      <c r="AX2203"/>
      <c r="AY2203"/>
      <c r="AZ2203"/>
      <c r="BA2203"/>
      <c r="BB2203"/>
      <c r="BC2203"/>
      <c r="BD2203"/>
      <c r="BE2203"/>
      <c r="BF2203"/>
      <c r="BG2203"/>
      <c r="BH2203"/>
      <c r="BI2203"/>
      <c r="BJ2203"/>
      <c r="BK2203"/>
      <c r="BL2203"/>
      <c r="BM2203"/>
      <c r="BN2203"/>
      <c r="BO2203"/>
      <c r="BP2203"/>
      <c r="BQ2203"/>
      <c r="BR2203"/>
      <c r="BS2203"/>
      <c r="BT2203"/>
      <c r="BU2203"/>
      <c r="BV2203"/>
      <c r="BW2203"/>
      <c r="BX2203"/>
      <c r="BY2203"/>
      <c r="BZ2203"/>
      <c r="CA2203"/>
      <c r="CB2203"/>
      <c r="CC2203"/>
      <c r="CD2203"/>
      <c r="CE2203"/>
      <c r="CF2203"/>
      <c r="CG2203"/>
      <c r="CH2203"/>
      <c r="CI2203"/>
      <c r="CJ2203"/>
      <c r="CK2203"/>
      <c r="CL2203"/>
      <c r="CM2203"/>
      <c r="CN2203"/>
      <c r="CO2203"/>
      <c r="CP2203"/>
      <c r="CQ2203"/>
      <c r="CR2203"/>
      <c r="CS2203"/>
      <c r="CT2203"/>
      <c r="CU2203"/>
      <c r="CV2203"/>
      <c r="CW2203"/>
      <c r="CX2203"/>
      <c r="CY2203"/>
      <c r="CZ2203"/>
      <c r="DA2203"/>
      <c r="DB2203"/>
      <c r="DC2203"/>
      <c r="DD2203"/>
      <c r="DE2203"/>
      <c r="DF2203"/>
      <c r="DG2203"/>
      <c r="DH2203"/>
      <c r="DI2203"/>
      <c r="DJ2203"/>
      <c r="DK2203"/>
      <c r="DL2203"/>
      <c r="DM2203"/>
      <c r="DN2203"/>
      <c r="DO2203"/>
      <c r="DP2203"/>
      <c r="DQ2203"/>
      <c r="DR2203"/>
      <c r="DS2203"/>
      <c r="DT2203"/>
      <c r="DU2203"/>
      <c r="DV2203"/>
      <c r="DW2203"/>
      <c r="DX2203"/>
      <c r="DY2203"/>
      <c r="DZ2203"/>
      <c r="EA2203"/>
      <c r="EB2203"/>
      <c r="EC2203"/>
      <c r="ED2203"/>
      <c r="EE2203"/>
      <c r="EF2203"/>
      <c r="EG2203"/>
      <c r="EH2203"/>
      <c r="EI2203"/>
      <c r="EJ2203"/>
      <c r="EK2203"/>
      <c r="EL2203"/>
      <c r="EM2203"/>
      <c r="EN2203"/>
      <c r="EO2203"/>
      <c r="EP2203"/>
      <c r="EQ2203"/>
      <c r="ER2203"/>
      <c r="ES2203"/>
    </row>
    <row r="2204" spans="1:149">
      <c r="A2204"/>
      <c r="B2204"/>
      <c r="C2204"/>
      <c r="D2204"/>
      <c r="E2204"/>
      <c r="F2204"/>
      <c r="G2204"/>
      <c r="H2204"/>
      <c r="I2204"/>
      <c r="J2204"/>
      <c r="K2204"/>
      <c r="L2204"/>
      <c r="M2204"/>
      <c r="N2204"/>
      <c r="O2204"/>
      <c r="P2204"/>
      <c r="Q2204"/>
      <c r="R2204"/>
      <c r="S2204"/>
      <c r="T2204"/>
      <c r="U2204"/>
      <c r="V2204"/>
      <c r="W2204"/>
      <c r="X2204"/>
      <c r="Y2204"/>
      <c r="Z2204"/>
      <c r="AA2204"/>
      <c r="AB2204"/>
      <c r="AC2204"/>
      <c r="AD2204"/>
      <c r="AE2204"/>
      <c r="AF2204"/>
      <c r="AG2204"/>
      <c r="AH2204"/>
      <c r="AI2204"/>
      <c r="AJ2204"/>
      <c r="AK2204"/>
      <c r="AL2204"/>
      <c r="AM2204"/>
      <c r="AN2204"/>
      <c r="AO2204"/>
      <c r="AP2204"/>
      <c r="AQ2204"/>
      <c r="AR2204"/>
      <c r="AS2204"/>
      <c r="AT2204"/>
      <c r="AU2204"/>
      <c r="AV2204"/>
      <c r="AW2204"/>
      <c r="AX2204"/>
      <c r="AY2204"/>
      <c r="AZ2204"/>
      <c r="BA2204"/>
      <c r="BB2204"/>
      <c r="BC2204"/>
      <c r="BD2204"/>
      <c r="BE2204"/>
      <c r="BF2204"/>
      <c r="BG2204"/>
      <c r="BH2204"/>
      <c r="BI2204"/>
      <c r="BJ2204"/>
      <c r="BK2204"/>
      <c r="BL2204"/>
      <c r="BM2204"/>
      <c r="BN2204"/>
      <c r="BO2204"/>
      <c r="BP2204"/>
      <c r="BQ2204"/>
      <c r="BR2204"/>
      <c r="BS2204"/>
      <c r="BT2204"/>
      <c r="BU2204"/>
      <c r="BV2204"/>
      <c r="BW2204"/>
      <c r="BX2204"/>
      <c r="BY2204"/>
      <c r="BZ2204"/>
      <c r="CA2204"/>
      <c r="CB2204"/>
      <c r="CC2204"/>
      <c r="CD2204"/>
      <c r="CE2204"/>
      <c r="CF2204"/>
      <c r="CG2204"/>
      <c r="CH2204"/>
      <c r="CI2204"/>
      <c r="CJ2204"/>
      <c r="CK2204"/>
      <c r="CL2204"/>
      <c r="CM2204"/>
      <c r="CN2204"/>
      <c r="CO2204"/>
      <c r="CP2204"/>
      <c r="CQ2204"/>
      <c r="CR2204"/>
      <c r="CS2204"/>
      <c r="CT2204"/>
      <c r="CU2204"/>
      <c r="CV2204"/>
      <c r="CW2204"/>
      <c r="CX2204"/>
      <c r="CY2204"/>
      <c r="CZ2204"/>
      <c r="DA2204"/>
      <c r="DB2204"/>
      <c r="DC2204"/>
      <c r="DD2204"/>
      <c r="DE2204"/>
      <c r="DF2204"/>
      <c r="DG2204"/>
      <c r="DH2204"/>
      <c r="DI2204"/>
      <c r="DJ2204"/>
      <c r="DK2204"/>
      <c r="DL2204"/>
      <c r="DM2204"/>
      <c r="DN2204"/>
      <c r="DO2204"/>
      <c r="DP2204"/>
      <c r="DQ2204"/>
      <c r="DR2204"/>
      <c r="DS2204"/>
      <c r="DT2204"/>
      <c r="DU2204"/>
      <c r="DV2204"/>
      <c r="DW2204"/>
      <c r="DX2204"/>
      <c r="DY2204"/>
      <c r="DZ2204"/>
      <c r="EA2204"/>
      <c r="EB2204"/>
      <c r="EC2204"/>
      <c r="ED2204"/>
      <c r="EE2204"/>
      <c r="EF2204"/>
      <c r="EG2204"/>
      <c r="EH2204"/>
      <c r="EI2204"/>
      <c r="EJ2204"/>
      <c r="EK2204"/>
      <c r="EL2204"/>
      <c r="EM2204"/>
      <c r="EN2204"/>
      <c r="EO2204"/>
      <c r="EP2204"/>
      <c r="EQ2204"/>
      <c r="ER2204"/>
      <c r="ES2204"/>
    </row>
    <row r="2205" spans="1:149">
      <c r="A2205"/>
      <c r="B2205"/>
      <c r="C2205"/>
      <c r="D2205"/>
      <c r="E2205"/>
      <c r="F2205"/>
      <c r="G2205"/>
      <c r="H2205"/>
      <c r="I2205"/>
      <c r="J2205"/>
      <c r="K2205"/>
      <c r="L2205"/>
      <c r="M2205"/>
      <c r="N2205"/>
      <c r="O2205"/>
      <c r="P2205"/>
      <c r="Q2205"/>
      <c r="R2205"/>
      <c r="S2205"/>
      <c r="T2205"/>
      <c r="U2205"/>
      <c r="V2205"/>
      <c r="W2205"/>
      <c r="X2205"/>
      <c r="Y2205"/>
      <c r="Z2205"/>
      <c r="AA2205"/>
      <c r="AB2205"/>
      <c r="AC2205"/>
      <c r="AD2205"/>
      <c r="AE2205"/>
      <c r="AF2205"/>
      <c r="AG2205"/>
      <c r="AH2205"/>
      <c r="AI2205"/>
      <c r="AJ2205"/>
      <c r="AK2205"/>
      <c r="AL2205"/>
      <c r="AM2205"/>
      <c r="AN2205"/>
      <c r="AO2205"/>
      <c r="AP2205"/>
      <c r="AQ2205"/>
      <c r="AR2205"/>
      <c r="AS2205"/>
      <c r="AT2205"/>
      <c r="AU2205"/>
      <c r="AV2205"/>
      <c r="AW2205"/>
      <c r="AX2205"/>
      <c r="AY2205"/>
      <c r="AZ2205"/>
      <c r="BA2205"/>
      <c r="BB2205"/>
      <c r="BC2205"/>
      <c r="BD2205"/>
      <c r="BE2205"/>
      <c r="BF2205"/>
      <c r="BG2205"/>
      <c r="BH2205"/>
      <c r="BI2205"/>
      <c r="BJ2205"/>
      <c r="BK2205"/>
      <c r="BL2205"/>
      <c r="BM2205"/>
      <c r="BN2205"/>
      <c r="BO2205"/>
      <c r="BP2205"/>
      <c r="BQ2205"/>
      <c r="BR2205"/>
      <c r="BS2205"/>
      <c r="BT2205"/>
      <c r="BU2205"/>
      <c r="BV2205"/>
      <c r="BW2205"/>
      <c r="BX2205"/>
      <c r="BY2205"/>
      <c r="BZ2205"/>
      <c r="CA2205"/>
      <c r="CB2205"/>
      <c r="CC2205"/>
      <c r="CD2205"/>
      <c r="CE2205"/>
      <c r="CF2205"/>
      <c r="CG2205"/>
      <c r="CH2205"/>
      <c r="CI2205"/>
      <c r="CJ2205"/>
      <c r="CK2205"/>
      <c r="CL2205"/>
      <c r="CM2205"/>
      <c r="CN2205"/>
      <c r="CO2205"/>
      <c r="CP2205"/>
      <c r="CQ2205"/>
      <c r="CR2205"/>
      <c r="CS2205"/>
      <c r="CT2205"/>
      <c r="CU2205"/>
      <c r="CV2205"/>
      <c r="CW2205"/>
      <c r="CX2205"/>
      <c r="CY2205"/>
      <c r="CZ2205"/>
      <c r="DA2205"/>
      <c r="DB2205"/>
      <c r="DC2205"/>
      <c r="DD2205"/>
      <c r="DE2205"/>
      <c r="DF2205"/>
      <c r="DG2205"/>
      <c r="DH2205"/>
      <c r="DI2205"/>
      <c r="DJ2205"/>
      <c r="DK2205"/>
      <c r="DL2205"/>
      <c r="DM2205"/>
      <c r="DN2205"/>
      <c r="DO2205"/>
      <c r="DP2205"/>
      <c r="DQ2205"/>
      <c r="DR2205"/>
      <c r="DS2205"/>
      <c r="DT2205"/>
      <c r="DU2205"/>
      <c r="DV2205"/>
      <c r="DW2205"/>
      <c r="DX2205"/>
      <c r="DY2205"/>
      <c r="DZ2205"/>
      <c r="EA2205"/>
      <c r="EB2205"/>
      <c r="EC2205"/>
      <c r="ED2205"/>
      <c r="EE2205"/>
      <c r="EF2205"/>
      <c r="EG2205"/>
      <c r="EH2205"/>
      <c r="EI2205"/>
      <c r="EJ2205"/>
      <c r="EK2205"/>
      <c r="EL2205"/>
      <c r="EM2205"/>
      <c r="EN2205"/>
      <c r="EO2205"/>
      <c r="EP2205"/>
      <c r="EQ2205"/>
      <c r="ER2205"/>
      <c r="ES2205"/>
    </row>
    <row r="2206" spans="1:149">
      <c r="A2206"/>
      <c r="B2206"/>
      <c r="C2206"/>
      <c r="D2206"/>
      <c r="E2206"/>
      <c r="F2206"/>
      <c r="G2206"/>
      <c r="H2206"/>
      <c r="I2206"/>
      <c r="J2206"/>
      <c r="K2206"/>
      <c r="L2206"/>
      <c r="M2206"/>
      <c r="N2206"/>
      <c r="O2206"/>
      <c r="P2206"/>
      <c r="Q2206"/>
      <c r="R2206"/>
      <c r="S2206"/>
      <c r="T2206"/>
      <c r="U2206"/>
      <c r="V2206"/>
      <c r="W2206"/>
      <c r="X2206"/>
      <c r="Y2206"/>
      <c r="Z2206"/>
      <c r="AA2206"/>
      <c r="AB2206"/>
      <c r="AC2206"/>
      <c r="AD2206"/>
      <c r="AE2206"/>
      <c r="AF2206"/>
      <c r="AG2206"/>
      <c r="AH2206"/>
      <c r="AI2206"/>
      <c r="AJ2206"/>
      <c r="AK2206"/>
      <c r="AL2206"/>
      <c r="AM2206"/>
      <c r="AN2206"/>
      <c r="AO2206"/>
      <c r="AP2206"/>
      <c r="AQ2206"/>
      <c r="AR2206"/>
      <c r="AS2206"/>
      <c r="AT2206"/>
      <c r="AU2206"/>
      <c r="AV2206"/>
      <c r="AW2206"/>
      <c r="AX2206"/>
      <c r="AY2206"/>
      <c r="AZ2206"/>
      <c r="BA2206"/>
      <c r="BB2206"/>
      <c r="BC2206"/>
      <c r="BD2206"/>
      <c r="BE2206"/>
      <c r="BF2206"/>
      <c r="BG2206"/>
      <c r="BH2206"/>
      <c r="BI2206"/>
      <c r="BJ2206"/>
      <c r="BK2206"/>
      <c r="BL2206"/>
      <c r="BM2206"/>
      <c r="BN2206"/>
      <c r="BO2206"/>
      <c r="BP2206"/>
      <c r="BQ2206"/>
      <c r="BR2206"/>
      <c r="BS2206"/>
      <c r="BT2206"/>
      <c r="BU2206"/>
      <c r="BV2206"/>
      <c r="BW2206"/>
      <c r="BX2206"/>
      <c r="BY2206"/>
      <c r="BZ2206"/>
      <c r="CA2206"/>
      <c r="CB2206"/>
      <c r="CC2206"/>
      <c r="CD2206"/>
      <c r="CE2206"/>
      <c r="CF2206"/>
      <c r="CG2206"/>
      <c r="CH2206"/>
      <c r="CI2206"/>
      <c r="CJ2206"/>
      <c r="CK2206"/>
      <c r="CL2206"/>
      <c r="CM2206"/>
      <c r="CN2206"/>
      <c r="CO2206"/>
      <c r="CP2206"/>
      <c r="CQ2206"/>
      <c r="CR2206"/>
      <c r="CS2206"/>
      <c r="CT2206"/>
      <c r="CU2206"/>
      <c r="CV2206"/>
      <c r="CW2206"/>
      <c r="CX2206"/>
      <c r="CY2206"/>
      <c r="CZ2206"/>
      <c r="DA2206"/>
      <c r="DB2206"/>
      <c r="DC2206"/>
      <c r="DD2206"/>
      <c r="DE2206"/>
      <c r="DF2206"/>
      <c r="DG2206"/>
      <c r="DH2206"/>
      <c r="DI2206"/>
      <c r="DJ2206"/>
      <c r="DK2206"/>
      <c r="DL2206"/>
      <c r="DM2206"/>
      <c r="DN2206"/>
      <c r="DO2206"/>
      <c r="DP2206"/>
      <c r="DQ2206"/>
      <c r="DR2206"/>
      <c r="DS2206"/>
      <c r="DT2206"/>
      <c r="DU2206"/>
      <c r="DV2206"/>
      <c r="DW2206"/>
      <c r="DX2206"/>
      <c r="DY2206"/>
      <c r="DZ2206"/>
      <c r="EA2206"/>
      <c r="EB2206"/>
      <c r="EC2206"/>
      <c r="ED2206"/>
      <c r="EE2206"/>
      <c r="EF2206"/>
      <c r="EG2206"/>
      <c r="EH2206"/>
      <c r="EI2206"/>
      <c r="EJ2206"/>
      <c r="EK2206"/>
      <c r="EL2206"/>
      <c r="EM2206"/>
      <c r="EN2206"/>
      <c r="EO2206"/>
      <c r="EP2206"/>
      <c r="EQ2206"/>
      <c r="ER2206"/>
      <c r="ES2206"/>
    </row>
    <row r="2207" spans="1:149">
      <c r="A2207"/>
      <c r="B2207"/>
      <c r="C2207"/>
      <c r="D2207"/>
      <c r="E2207"/>
      <c r="F2207"/>
      <c r="G2207"/>
      <c r="H2207"/>
      <c r="I2207"/>
      <c r="J2207"/>
      <c r="K2207"/>
      <c r="L2207"/>
      <c r="M2207"/>
      <c r="N2207"/>
      <c r="O2207"/>
      <c r="P2207"/>
      <c r="Q2207"/>
      <c r="R2207"/>
      <c r="S2207"/>
      <c r="T2207"/>
      <c r="U2207"/>
      <c r="V2207"/>
      <c r="W2207"/>
      <c r="X2207"/>
      <c r="Y2207"/>
      <c r="Z2207"/>
      <c r="AA2207"/>
      <c r="AB2207"/>
      <c r="AC2207"/>
      <c r="AD2207"/>
      <c r="AE2207"/>
      <c r="AF2207"/>
      <c r="AG2207"/>
      <c r="AH2207"/>
      <c r="AI2207"/>
      <c r="AJ2207"/>
      <c r="AK2207"/>
      <c r="AL2207"/>
      <c r="AM2207"/>
      <c r="AN2207"/>
      <c r="AO2207"/>
      <c r="AP2207"/>
      <c r="AQ2207"/>
      <c r="AR2207"/>
      <c r="AS2207"/>
      <c r="AT2207"/>
      <c r="AU2207"/>
      <c r="AV2207"/>
      <c r="AW2207"/>
      <c r="AX2207"/>
      <c r="AY2207"/>
      <c r="AZ2207"/>
      <c r="BA2207"/>
      <c r="BB2207"/>
      <c r="BC2207"/>
      <c r="BD2207"/>
      <c r="BE2207"/>
      <c r="BF2207"/>
      <c r="BG2207"/>
      <c r="BH2207"/>
      <c r="BI2207"/>
      <c r="BJ2207"/>
      <c r="BK2207"/>
      <c r="BL2207"/>
      <c r="BM2207"/>
      <c r="BN2207"/>
      <c r="BO2207"/>
      <c r="BP2207"/>
      <c r="BQ2207"/>
      <c r="BR2207"/>
      <c r="BS2207"/>
      <c r="BT2207"/>
      <c r="BU2207"/>
      <c r="BV2207"/>
      <c r="BW2207"/>
      <c r="BX2207"/>
      <c r="BY2207"/>
      <c r="BZ2207"/>
      <c r="CA2207"/>
      <c r="CB2207"/>
      <c r="CC2207"/>
      <c r="CD2207"/>
      <c r="CE2207"/>
      <c r="CF2207"/>
      <c r="CG2207"/>
      <c r="CH2207"/>
      <c r="CI2207"/>
      <c r="CJ2207"/>
      <c r="CK2207"/>
      <c r="CL2207"/>
      <c r="CM2207"/>
      <c r="CN2207"/>
      <c r="CO2207"/>
      <c r="CP2207"/>
      <c r="CQ2207"/>
      <c r="CR2207"/>
      <c r="CS2207"/>
      <c r="CT2207"/>
      <c r="CU2207"/>
      <c r="CV2207"/>
      <c r="CW2207"/>
      <c r="CX2207"/>
      <c r="CY2207"/>
      <c r="CZ2207"/>
      <c r="DA2207"/>
      <c r="DB2207"/>
      <c r="DC2207"/>
      <c r="DD2207"/>
      <c r="DE2207"/>
      <c r="DF2207"/>
      <c r="DG2207"/>
      <c r="DH2207"/>
      <c r="DI2207"/>
      <c r="DJ2207"/>
      <c r="DK2207"/>
      <c r="DL2207"/>
      <c r="DM2207"/>
      <c r="DN2207"/>
      <c r="DO2207"/>
      <c r="DP2207"/>
      <c r="DQ2207"/>
      <c r="DR2207"/>
      <c r="DS2207"/>
      <c r="DT2207"/>
      <c r="DU2207"/>
      <c r="DV2207"/>
      <c r="DW2207"/>
      <c r="DX2207"/>
      <c r="DY2207"/>
      <c r="DZ2207"/>
      <c r="EA2207"/>
      <c r="EB2207"/>
      <c r="EC2207"/>
      <c r="ED2207"/>
      <c r="EE2207"/>
      <c r="EF2207"/>
      <c r="EG2207"/>
      <c r="EH2207"/>
      <c r="EI2207"/>
      <c r="EJ2207"/>
      <c r="EK2207"/>
      <c r="EL2207"/>
      <c r="EM2207"/>
      <c r="EN2207"/>
      <c r="EO2207"/>
      <c r="EP2207"/>
      <c r="EQ2207"/>
      <c r="ER2207"/>
      <c r="ES2207"/>
    </row>
    <row r="2208" spans="1:149">
      <c r="A2208"/>
      <c r="B2208"/>
      <c r="C2208"/>
      <c r="D2208"/>
      <c r="E2208"/>
      <c r="F2208"/>
      <c r="G2208"/>
      <c r="H2208"/>
      <c r="I2208"/>
      <c r="J2208"/>
      <c r="K2208"/>
      <c r="L2208"/>
      <c r="M2208"/>
      <c r="N2208"/>
      <c r="O2208"/>
      <c r="P2208"/>
      <c r="Q2208"/>
      <c r="R2208"/>
      <c r="S2208"/>
      <c r="T2208"/>
      <c r="U2208"/>
      <c r="V2208"/>
      <c r="W2208"/>
      <c r="X2208"/>
      <c r="Y2208"/>
      <c r="Z2208"/>
      <c r="AA2208"/>
      <c r="AB2208"/>
      <c r="AC2208"/>
      <c r="AD2208"/>
      <c r="AE2208"/>
      <c r="AF2208"/>
      <c r="AG2208"/>
      <c r="AH2208"/>
      <c r="AI2208"/>
      <c r="AJ2208"/>
      <c r="AK2208"/>
      <c r="AL2208"/>
      <c r="AM2208"/>
      <c r="AN2208"/>
      <c r="AO2208"/>
      <c r="AP2208"/>
      <c r="AQ2208"/>
      <c r="AR2208"/>
      <c r="AS2208"/>
      <c r="AT2208"/>
      <c r="AU2208"/>
      <c r="AV2208"/>
      <c r="AW2208"/>
      <c r="AX2208"/>
      <c r="AY2208"/>
      <c r="AZ2208"/>
      <c r="BA2208"/>
      <c r="BB2208"/>
      <c r="BC2208"/>
      <c r="BD2208"/>
      <c r="BE2208"/>
      <c r="BF2208"/>
      <c r="BG2208"/>
      <c r="BH2208"/>
      <c r="BI2208"/>
      <c r="BJ2208"/>
      <c r="BK2208"/>
      <c r="BL2208"/>
      <c r="BM2208"/>
      <c r="BN2208"/>
      <c r="BO2208"/>
      <c r="BP2208"/>
      <c r="BQ2208"/>
      <c r="BR2208"/>
      <c r="BS2208"/>
      <c r="BT2208"/>
      <c r="BU2208"/>
      <c r="BV2208"/>
      <c r="BW2208"/>
      <c r="BX2208"/>
      <c r="BY2208"/>
      <c r="BZ2208"/>
      <c r="CA2208"/>
      <c r="CB2208"/>
      <c r="CC2208"/>
      <c r="CD2208"/>
      <c r="CE2208"/>
      <c r="CF2208"/>
      <c r="CG2208"/>
      <c r="CH2208"/>
      <c r="CI2208"/>
      <c r="CJ2208"/>
      <c r="CK2208"/>
      <c r="CL2208"/>
      <c r="CM2208"/>
      <c r="CN2208"/>
      <c r="CO2208"/>
      <c r="CP2208"/>
      <c r="CQ2208"/>
      <c r="CR2208"/>
      <c r="CS2208"/>
      <c r="CT2208"/>
      <c r="CU2208"/>
      <c r="CV2208"/>
      <c r="CW2208"/>
      <c r="CX2208"/>
      <c r="CY2208"/>
      <c r="CZ2208"/>
      <c r="DA2208"/>
      <c r="DB2208"/>
      <c r="DC2208"/>
      <c r="DD2208"/>
      <c r="DE2208"/>
      <c r="DF2208"/>
      <c r="DG2208"/>
      <c r="DH2208"/>
      <c r="DI2208"/>
      <c r="DJ2208"/>
      <c r="DK2208"/>
      <c r="DL2208"/>
      <c r="DM2208"/>
      <c r="DN2208"/>
      <c r="DO2208"/>
      <c r="DP2208"/>
      <c r="DQ2208"/>
      <c r="DR2208"/>
      <c r="DS2208"/>
      <c r="DT2208"/>
      <c r="DU2208"/>
      <c r="DV2208"/>
      <c r="DW2208"/>
      <c r="DX2208"/>
      <c r="DY2208"/>
      <c r="DZ2208"/>
      <c r="EA2208"/>
      <c r="EB2208"/>
      <c r="EC2208"/>
      <c r="ED2208"/>
      <c r="EE2208"/>
      <c r="EF2208"/>
      <c r="EG2208"/>
      <c r="EH2208"/>
      <c r="EI2208"/>
      <c r="EJ2208"/>
      <c r="EK2208"/>
      <c r="EL2208"/>
      <c r="EM2208"/>
      <c r="EN2208"/>
      <c r="EO2208"/>
      <c r="EP2208"/>
      <c r="EQ2208"/>
      <c r="ER2208"/>
      <c r="ES2208"/>
    </row>
    <row r="2209" spans="1:149">
      <c r="A2209"/>
      <c r="B2209"/>
      <c r="C2209"/>
      <c r="D2209"/>
      <c r="E2209"/>
      <c r="F2209"/>
      <c r="G2209"/>
      <c r="H2209"/>
      <c r="I2209"/>
      <c r="J2209"/>
      <c r="K2209"/>
      <c r="L2209"/>
      <c r="M2209"/>
      <c r="N2209"/>
      <c r="O2209"/>
      <c r="P2209"/>
      <c r="Q2209"/>
      <c r="R2209"/>
      <c r="S2209"/>
      <c r="T2209"/>
      <c r="U2209"/>
      <c r="V2209"/>
      <c r="W2209"/>
      <c r="X2209"/>
      <c r="Y2209"/>
      <c r="Z2209"/>
      <c r="AA2209"/>
      <c r="AB2209"/>
      <c r="AC2209"/>
      <c r="AD2209"/>
      <c r="AE2209"/>
      <c r="AF2209"/>
      <c r="AG2209"/>
      <c r="AH2209"/>
      <c r="AI2209"/>
      <c r="AJ2209"/>
      <c r="AK2209"/>
      <c r="AL2209"/>
      <c r="AM2209"/>
      <c r="AN2209"/>
      <c r="AO2209"/>
      <c r="AP2209"/>
      <c r="AQ2209"/>
      <c r="AR2209"/>
      <c r="AS2209"/>
      <c r="AT2209"/>
      <c r="AU2209"/>
      <c r="AV2209"/>
      <c r="AW2209"/>
      <c r="AX2209"/>
      <c r="AY2209"/>
      <c r="AZ2209"/>
      <c r="BA2209"/>
      <c r="BB2209"/>
      <c r="BC2209"/>
      <c r="BD2209"/>
      <c r="BE2209"/>
      <c r="BF2209"/>
      <c r="BG2209"/>
      <c r="BH2209"/>
      <c r="BI2209"/>
      <c r="BJ2209"/>
      <c r="BK2209"/>
      <c r="BL2209"/>
      <c r="BM2209"/>
      <c r="BN2209"/>
      <c r="BO2209"/>
      <c r="BP2209"/>
      <c r="BQ2209"/>
      <c r="BR2209"/>
      <c r="BS2209"/>
      <c r="BT2209"/>
      <c r="BU2209"/>
      <c r="BV2209"/>
      <c r="BW2209"/>
      <c r="BX2209"/>
      <c r="BY2209"/>
      <c r="BZ2209"/>
      <c r="CA2209"/>
      <c r="CB2209"/>
      <c r="CC2209"/>
      <c r="CD2209"/>
      <c r="CE2209"/>
      <c r="CF2209"/>
      <c r="CG2209"/>
      <c r="CH2209"/>
      <c r="CI2209"/>
      <c r="CJ2209"/>
      <c r="CK2209"/>
      <c r="CL2209"/>
      <c r="CM2209"/>
      <c r="CN2209"/>
      <c r="CO2209"/>
      <c r="CP2209"/>
      <c r="CQ2209"/>
      <c r="CR2209"/>
      <c r="CS2209"/>
      <c r="CT2209"/>
      <c r="CU2209"/>
      <c r="CV2209"/>
      <c r="CW2209"/>
      <c r="CX2209"/>
      <c r="CY2209"/>
      <c r="CZ2209"/>
      <c r="DA2209"/>
      <c r="DB2209"/>
      <c r="DC2209"/>
      <c r="DD2209"/>
      <c r="DE2209"/>
      <c r="DF2209"/>
      <c r="DG2209"/>
      <c r="DH2209"/>
      <c r="DI2209"/>
      <c r="DJ2209"/>
      <c r="DK2209"/>
      <c r="DL2209"/>
      <c r="DM2209"/>
      <c r="DN2209"/>
      <c r="DO2209"/>
      <c r="DP2209"/>
      <c r="DQ2209"/>
      <c r="DR2209"/>
      <c r="DS2209"/>
      <c r="DT2209"/>
      <c r="DU2209"/>
      <c r="DV2209"/>
      <c r="DW2209"/>
      <c r="DX2209"/>
      <c r="DY2209"/>
      <c r="DZ2209"/>
      <c r="EA2209"/>
      <c r="EB2209"/>
      <c r="EC2209"/>
      <c r="ED2209"/>
      <c r="EE2209"/>
      <c r="EF2209"/>
      <c r="EG2209"/>
      <c r="EH2209"/>
      <c r="EI2209"/>
      <c r="EJ2209"/>
      <c r="EK2209"/>
      <c r="EL2209"/>
      <c r="EM2209"/>
      <c r="EN2209"/>
      <c r="EO2209"/>
      <c r="EP2209"/>
      <c r="EQ2209"/>
      <c r="ER2209"/>
      <c r="ES2209"/>
    </row>
    <row r="2210" spans="1:149">
      <c r="A2210"/>
      <c r="B2210"/>
      <c r="C2210"/>
      <c r="D2210"/>
      <c r="E2210"/>
      <c r="F2210"/>
      <c r="G2210"/>
      <c r="H2210"/>
      <c r="I2210"/>
      <c r="J2210"/>
      <c r="K2210"/>
      <c r="L2210"/>
      <c r="M2210"/>
      <c r="N2210"/>
      <c r="O2210"/>
      <c r="P2210"/>
      <c r="Q2210"/>
      <c r="R2210"/>
      <c r="S2210"/>
      <c r="T2210"/>
      <c r="U2210"/>
      <c r="V2210"/>
      <c r="W2210"/>
      <c r="X2210"/>
      <c r="Y2210"/>
      <c r="Z2210"/>
      <c r="AA2210"/>
      <c r="AB2210"/>
      <c r="AC2210"/>
      <c r="AD2210"/>
      <c r="AE2210"/>
      <c r="AF2210"/>
      <c r="AG2210"/>
      <c r="AH2210"/>
      <c r="AI2210"/>
      <c r="AJ2210"/>
      <c r="AK2210"/>
      <c r="AL2210"/>
      <c r="AM2210"/>
      <c r="AN2210"/>
      <c r="AO2210"/>
      <c r="AP2210"/>
      <c r="AQ2210"/>
      <c r="AR2210"/>
      <c r="AS2210"/>
      <c r="AT2210"/>
      <c r="AU2210"/>
      <c r="AV2210"/>
      <c r="AW2210"/>
      <c r="AX2210"/>
      <c r="AY2210"/>
      <c r="AZ2210"/>
      <c r="BA2210"/>
      <c r="BB2210"/>
      <c r="BC2210"/>
      <c r="BD2210"/>
      <c r="BE2210"/>
      <c r="BF2210"/>
      <c r="BG2210"/>
      <c r="BH2210"/>
      <c r="BI2210"/>
      <c r="BJ2210"/>
      <c r="BK2210"/>
      <c r="BL2210"/>
      <c r="BM2210"/>
      <c r="BN2210"/>
      <c r="BO2210"/>
      <c r="BP2210"/>
      <c r="BQ2210"/>
      <c r="BR2210"/>
      <c r="BS2210"/>
      <c r="BT2210"/>
      <c r="BU2210"/>
      <c r="BV2210"/>
      <c r="BW2210"/>
      <c r="BX2210"/>
      <c r="BY2210"/>
      <c r="BZ2210"/>
      <c r="CA2210"/>
      <c r="CB2210"/>
      <c r="CC2210"/>
      <c r="CD2210"/>
      <c r="CE2210"/>
      <c r="CF2210"/>
      <c r="CG2210"/>
      <c r="CH2210"/>
      <c r="CI2210"/>
      <c r="CJ2210"/>
      <c r="CK2210"/>
      <c r="CL2210"/>
      <c r="CM2210"/>
      <c r="CN2210"/>
      <c r="CO2210"/>
      <c r="CP2210"/>
      <c r="CQ2210"/>
      <c r="CR2210"/>
      <c r="CS2210"/>
      <c r="CT2210"/>
      <c r="CU2210"/>
      <c r="CV2210"/>
      <c r="CW2210"/>
      <c r="CX2210"/>
      <c r="CY2210"/>
      <c r="CZ2210"/>
      <c r="DA2210"/>
      <c r="DB2210"/>
      <c r="DC2210"/>
      <c r="DD2210"/>
      <c r="DE2210"/>
      <c r="DF2210"/>
      <c r="DG2210"/>
      <c r="DH2210"/>
      <c r="DI2210"/>
      <c r="DJ2210"/>
      <c r="DK2210"/>
      <c r="DL2210"/>
      <c r="DM2210"/>
      <c r="DN2210"/>
      <c r="DO2210"/>
      <c r="DP2210"/>
      <c r="DQ2210"/>
      <c r="DR2210"/>
      <c r="DS2210"/>
      <c r="DT2210"/>
      <c r="DU2210"/>
      <c r="DV2210"/>
      <c r="DW2210"/>
      <c r="DX2210"/>
      <c r="DY2210"/>
      <c r="DZ2210"/>
      <c r="EA2210"/>
      <c r="EB2210"/>
      <c r="EC2210"/>
      <c r="ED2210"/>
      <c r="EE2210"/>
      <c r="EF2210"/>
      <c r="EG2210"/>
      <c r="EH2210"/>
      <c r="EI2210"/>
      <c r="EJ2210"/>
      <c r="EK2210"/>
      <c r="EL2210"/>
      <c r="EM2210"/>
      <c r="EN2210"/>
      <c r="EO2210"/>
      <c r="EP2210"/>
      <c r="EQ2210"/>
      <c r="ER2210"/>
      <c r="ES2210"/>
    </row>
    <row r="2211" spans="1:149">
      <c r="A2211"/>
      <c r="B2211"/>
      <c r="C2211"/>
      <c r="D2211"/>
      <c r="E2211"/>
      <c r="F2211"/>
      <c r="G2211"/>
      <c r="H2211"/>
      <c r="I2211"/>
      <c r="J2211"/>
      <c r="K2211"/>
      <c r="L2211"/>
      <c r="M2211"/>
      <c r="N2211"/>
      <c r="O2211"/>
      <c r="P2211"/>
      <c r="Q2211"/>
      <c r="R2211"/>
      <c r="S2211"/>
      <c r="T2211"/>
      <c r="U2211"/>
      <c r="V2211"/>
      <c r="W2211"/>
      <c r="X2211"/>
      <c r="Y2211"/>
      <c r="Z2211"/>
      <c r="AA2211"/>
      <c r="AB2211"/>
      <c r="AC2211"/>
      <c r="AD2211"/>
      <c r="AE2211"/>
      <c r="AF2211"/>
      <c r="AG2211"/>
      <c r="AH2211"/>
      <c r="AI2211"/>
      <c r="AJ2211"/>
      <c r="AK2211"/>
      <c r="AL2211"/>
      <c r="AM2211"/>
      <c r="AN2211"/>
      <c r="AO2211"/>
      <c r="AP2211"/>
      <c r="AQ2211"/>
      <c r="AR2211"/>
      <c r="AS2211"/>
      <c r="AT2211"/>
      <c r="AU2211"/>
      <c r="AV2211"/>
      <c r="AW2211"/>
      <c r="AX2211"/>
      <c r="AY2211"/>
      <c r="AZ2211"/>
      <c r="BA2211"/>
      <c r="BB2211"/>
      <c r="BC2211"/>
      <c r="BD2211"/>
      <c r="BE2211"/>
      <c r="BF2211"/>
      <c r="BG2211"/>
      <c r="BH2211"/>
      <c r="BI2211"/>
      <c r="BJ2211"/>
      <c r="BK2211"/>
      <c r="BL2211"/>
      <c r="BM2211"/>
      <c r="BN2211"/>
      <c r="BO2211"/>
      <c r="BP2211"/>
      <c r="BQ2211"/>
      <c r="BR2211"/>
      <c r="BS2211"/>
      <c r="BT2211"/>
      <c r="BU2211"/>
      <c r="BV2211"/>
      <c r="BW2211"/>
      <c r="BX2211"/>
      <c r="BY2211"/>
      <c r="BZ2211"/>
      <c r="CA2211"/>
      <c r="CB2211"/>
      <c r="CC2211"/>
      <c r="CD2211"/>
      <c r="CE2211"/>
      <c r="CF2211"/>
      <c r="CG2211"/>
      <c r="CH2211"/>
      <c r="CI2211"/>
      <c r="CJ2211"/>
      <c r="CK2211"/>
      <c r="CL2211"/>
      <c r="CM2211"/>
      <c r="CN2211"/>
      <c r="CO2211"/>
      <c r="CP2211"/>
      <c r="CQ2211"/>
      <c r="CR2211"/>
      <c r="CS2211"/>
      <c r="CT2211"/>
      <c r="CU2211"/>
      <c r="CV2211"/>
      <c r="CW2211"/>
      <c r="CX2211"/>
      <c r="CY2211"/>
      <c r="CZ2211"/>
      <c r="DA2211"/>
      <c r="DB2211"/>
      <c r="DC2211"/>
      <c r="DD2211"/>
      <c r="DE2211"/>
      <c r="DF2211"/>
      <c r="DG2211"/>
      <c r="DH2211"/>
      <c r="DI2211"/>
      <c r="DJ2211"/>
      <c r="DK2211"/>
      <c r="DL2211"/>
      <c r="DM2211"/>
      <c r="DN2211"/>
      <c r="DO2211"/>
      <c r="DP2211"/>
      <c r="DQ2211"/>
      <c r="DR2211"/>
      <c r="DS2211"/>
      <c r="DT2211"/>
      <c r="DU2211"/>
      <c r="DV2211"/>
      <c r="DW2211"/>
      <c r="DX2211"/>
      <c r="DY2211"/>
      <c r="DZ2211"/>
      <c r="EA2211"/>
      <c r="EB2211"/>
      <c r="EC2211"/>
      <c r="ED2211"/>
      <c r="EE2211"/>
      <c r="EF2211"/>
      <c r="EG2211"/>
      <c r="EH2211"/>
      <c r="EI2211"/>
      <c r="EJ2211"/>
      <c r="EK2211"/>
      <c r="EL2211"/>
      <c r="EM2211"/>
      <c r="EN2211"/>
      <c r="EO2211"/>
      <c r="EP2211"/>
      <c r="EQ2211"/>
      <c r="ER2211"/>
      <c r="ES2211"/>
    </row>
    <row r="2212" spans="1:149">
      <c r="A2212"/>
      <c r="B2212"/>
      <c r="C2212"/>
      <c r="D2212"/>
      <c r="E2212"/>
      <c r="F2212"/>
      <c r="G2212"/>
      <c r="H2212"/>
      <c r="I2212"/>
      <c r="J2212"/>
      <c r="K2212"/>
      <c r="L2212"/>
      <c r="M2212"/>
      <c r="N2212"/>
      <c r="O2212"/>
      <c r="P2212"/>
      <c r="Q2212"/>
      <c r="R2212"/>
      <c r="S2212"/>
      <c r="T2212"/>
      <c r="U2212"/>
      <c r="V2212"/>
      <c r="W2212"/>
      <c r="X2212"/>
      <c r="Y2212"/>
      <c r="Z2212"/>
      <c r="AA2212"/>
      <c r="AB2212"/>
      <c r="AC2212"/>
      <c r="AD2212"/>
      <c r="AE2212"/>
      <c r="AF2212"/>
      <c r="AG2212"/>
      <c r="AH2212"/>
      <c r="AI2212"/>
      <c r="AJ2212"/>
      <c r="AK2212"/>
      <c r="AL2212"/>
      <c r="AM2212"/>
      <c r="AN2212"/>
      <c r="AO2212"/>
      <c r="AP2212"/>
      <c r="AQ2212"/>
      <c r="AR2212"/>
      <c r="AS2212"/>
      <c r="AT2212"/>
      <c r="AU2212"/>
      <c r="AV2212"/>
      <c r="AW2212"/>
      <c r="AX2212"/>
      <c r="AY2212"/>
      <c r="AZ2212"/>
      <c r="BA2212"/>
      <c r="BB2212"/>
      <c r="BC2212"/>
      <c r="BD2212"/>
      <c r="BE2212"/>
      <c r="BF2212"/>
      <c r="BG2212"/>
      <c r="BH2212"/>
      <c r="BI2212"/>
      <c r="BJ2212"/>
      <c r="BK2212"/>
      <c r="BL2212"/>
      <c r="BM2212"/>
      <c r="BN2212"/>
      <c r="BO2212"/>
      <c r="BP2212"/>
      <c r="BQ2212"/>
      <c r="BR2212"/>
      <c r="BS2212"/>
      <c r="BT2212"/>
      <c r="BU2212"/>
      <c r="BV2212"/>
      <c r="BW2212"/>
      <c r="BX2212"/>
      <c r="BY2212"/>
      <c r="BZ2212"/>
      <c r="CA2212"/>
      <c r="CB2212"/>
      <c r="CC2212"/>
      <c r="CD2212"/>
      <c r="CE2212"/>
      <c r="CF2212"/>
      <c r="CG2212"/>
      <c r="CH2212"/>
      <c r="CI2212"/>
      <c r="CJ2212"/>
      <c r="CK2212"/>
      <c r="CL2212"/>
      <c r="CM2212"/>
      <c r="CN2212"/>
      <c r="CO2212"/>
      <c r="CP2212"/>
      <c r="CQ2212"/>
      <c r="CR2212"/>
      <c r="CS2212"/>
      <c r="CT2212"/>
      <c r="CU2212"/>
      <c r="CV2212"/>
      <c r="CW2212"/>
      <c r="CX2212"/>
      <c r="CY2212"/>
      <c r="CZ2212"/>
      <c r="DA2212"/>
      <c r="DB2212"/>
      <c r="DC2212"/>
      <c r="DD2212"/>
      <c r="DE2212"/>
      <c r="DF2212"/>
      <c r="DG2212"/>
      <c r="DH2212"/>
      <c r="DI2212"/>
      <c r="DJ2212"/>
      <c r="DK2212"/>
      <c r="DL2212"/>
      <c r="DM2212"/>
      <c r="DN2212"/>
      <c r="DO2212"/>
      <c r="DP2212"/>
      <c r="DQ2212"/>
      <c r="DR2212"/>
      <c r="DS2212"/>
      <c r="DT2212"/>
      <c r="DU2212"/>
      <c r="DV2212"/>
      <c r="DW2212"/>
      <c r="DX2212"/>
      <c r="DY2212"/>
      <c r="DZ2212"/>
      <c r="EA2212"/>
      <c r="EB2212"/>
      <c r="EC2212"/>
      <c r="ED2212"/>
      <c r="EE2212"/>
      <c r="EF2212"/>
      <c r="EG2212"/>
      <c r="EH2212"/>
      <c r="EI2212"/>
      <c r="EJ2212"/>
      <c r="EK2212"/>
      <c r="EL2212"/>
      <c r="EM2212"/>
      <c r="EN2212"/>
      <c r="EO2212"/>
      <c r="EP2212"/>
      <c r="EQ2212"/>
      <c r="ER2212"/>
      <c r="ES2212"/>
    </row>
    <row r="2213" spans="1:149">
      <c r="A2213"/>
      <c r="B2213"/>
      <c r="C2213"/>
      <c r="D2213"/>
      <c r="E2213"/>
      <c r="F2213"/>
      <c r="G2213"/>
      <c r="H2213"/>
      <c r="I2213"/>
      <c r="J2213"/>
      <c r="K2213"/>
      <c r="L2213"/>
      <c r="M2213"/>
      <c r="N2213"/>
      <c r="O2213"/>
      <c r="P2213"/>
      <c r="Q2213"/>
      <c r="R2213"/>
      <c r="S2213"/>
      <c r="T2213"/>
      <c r="U2213"/>
      <c r="V2213"/>
      <c r="W2213"/>
      <c r="X2213"/>
      <c r="Y2213"/>
      <c r="Z2213"/>
      <c r="AA2213"/>
      <c r="AB2213"/>
      <c r="AC2213"/>
      <c r="AD2213"/>
      <c r="AE2213"/>
      <c r="AF2213"/>
      <c r="AG2213"/>
      <c r="AH2213"/>
      <c r="AI2213"/>
      <c r="AJ2213"/>
      <c r="AK2213"/>
      <c r="AL2213"/>
      <c r="AM2213"/>
      <c r="AN2213"/>
      <c r="AO2213"/>
      <c r="AP2213"/>
      <c r="AQ2213"/>
      <c r="AR2213"/>
      <c r="AS2213"/>
      <c r="AT2213"/>
      <c r="AU2213"/>
      <c r="AV2213"/>
      <c r="AW2213"/>
      <c r="AX2213"/>
      <c r="AY2213"/>
      <c r="AZ2213"/>
      <c r="BA2213"/>
      <c r="BB2213"/>
      <c r="BC2213"/>
      <c r="BD2213"/>
      <c r="BE2213"/>
      <c r="BF2213"/>
      <c r="BG2213"/>
      <c r="BH2213"/>
      <c r="BI2213"/>
      <c r="BJ2213"/>
      <c r="BK2213"/>
      <c r="BL2213"/>
      <c r="BM2213"/>
      <c r="BN2213"/>
      <c r="BO2213"/>
      <c r="BP2213"/>
      <c r="BQ2213"/>
      <c r="BR2213"/>
      <c r="BS2213"/>
      <c r="BT2213"/>
      <c r="BU2213"/>
      <c r="BV2213"/>
      <c r="BW2213"/>
      <c r="BX2213"/>
      <c r="BY2213"/>
      <c r="BZ2213"/>
      <c r="CA2213"/>
      <c r="CB2213"/>
      <c r="CC2213"/>
      <c r="CD2213"/>
      <c r="CE2213"/>
      <c r="CF2213"/>
      <c r="CG2213"/>
      <c r="CH2213"/>
      <c r="CI2213"/>
      <c r="CJ2213"/>
      <c r="CK2213"/>
      <c r="CL2213"/>
      <c r="CM2213"/>
      <c r="CN2213"/>
      <c r="CO2213"/>
      <c r="CP2213"/>
      <c r="CQ2213"/>
      <c r="CR2213"/>
      <c r="CS2213"/>
      <c r="CT2213"/>
      <c r="CU2213"/>
      <c r="CV2213"/>
      <c r="CW2213"/>
      <c r="CX2213"/>
      <c r="CY2213"/>
      <c r="CZ2213"/>
      <c r="DA2213"/>
      <c r="DB2213"/>
      <c r="DC2213"/>
      <c r="DD2213"/>
      <c r="DE2213"/>
      <c r="DF2213"/>
      <c r="DG2213"/>
      <c r="DH2213"/>
      <c r="DI2213"/>
      <c r="DJ2213"/>
      <c r="DK2213"/>
      <c r="DL2213"/>
      <c r="DM2213"/>
      <c r="DN2213"/>
      <c r="DO2213"/>
      <c r="DP2213"/>
      <c r="DQ2213"/>
      <c r="DR2213"/>
      <c r="DS2213"/>
      <c r="DT2213"/>
      <c r="DU2213"/>
      <c r="DV2213"/>
      <c r="DW2213"/>
      <c r="DX2213"/>
      <c r="DY2213"/>
      <c r="DZ2213"/>
      <c r="EA2213"/>
      <c r="EB2213"/>
      <c r="EC2213"/>
      <c r="ED2213"/>
      <c r="EE2213"/>
      <c r="EF2213"/>
      <c r="EG2213"/>
      <c r="EH2213"/>
      <c r="EI2213"/>
      <c r="EJ2213"/>
      <c r="EK2213"/>
      <c r="EL2213"/>
      <c r="EM2213"/>
      <c r="EN2213"/>
      <c r="EO2213"/>
      <c r="EP2213"/>
      <c r="EQ2213"/>
      <c r="ER2213"/>
      <c r="ES2213"/>
    </row>
    <row r="2214" spans="1:149">
      <c r="A2214"/>
      <c r="B2214"/>
      <c r="C2214"/>
      <c r="D2214"/>
      <c r="E2214"/>
      <c r="F2214"/>
      <c r="G2214"/>
      <c r="H2214"/>
      <c r="I2214"/>
      <c r="J2214"/>
      <c r="K2214"/>
      <c r="L2214"/>
      <c r="M2214"/>
      <c r="N2214"/>
      <c r="O2214"/>
      <c r="P2214"/>
      <c r="Q2214"/>
      <c r="R2214"/>
      <c r="S2214"/>
      <c r="T2214"/>
      <c r="U2214"/>
      <c r="V2214"/>
      <c r="W2214"/>
      <c r="X2214"/>
      <c r="Y2214"/>
      <c r="Z2214"/>
      <c r="AA2214"/>
      <c r="AB2214"/>
      <c r="AC2214"/>
      <c r="AD2214"/>
      <c r="AE2214"/>
      <c r="AF2214"/>
      <c r="AG2214"/>
      <c r="AH2214"/>
      <c r="AI2214"/>
      <c r="AJ2214"/>
      <c r="AK2214"/>
      <c r="AL2214"/>
      <c r="AM2214"/>
      <c r="AN2214"/>
      <c r="AO2214"/>
      <c r="AP2214"/>
      <c r="AQ2214"/>
      <c r="AR2214"/>
      <c r="AS2214"/>
      <c r="AT2214"/>
      <c r="AU2214"/>
      <c r="AV2214"/>
      <c r="AW2214"/>
      <c r="AX2214"/>
      <c r="AY2214"/>
      <c r="AZ2214"/>
      <c r="BA2214"/>
      <c r="BB2214"/>
      <c r="BC2214"/>
      <c r="BD2214"/>
      <c r="BE2214"/>
      <c r="BF2214"/>
      <c r="BG2214"/>
      <c r="BH2214"/>
      <c r="BI2214"/>
      <c r="BJ2214"/>
      <c r="BK2214"/>
      <c r="BL2214"/>
      <c r="BM2214"/>
      <c r="BN2214"/>
      <c r="BO2214"/>
      <c r="BP2214"/>
      <c r="BQ2214"/>
      <c r="BR2214"/>
      <c r="BS2214"/>
      <c r="BT2214"/>
      <c r="BU2214"/>
      <c r="BV2214"/>
      <c r="BW2214"/>
      <c r="BX2214"/>
      <c r="BY2214"/>
      <c r="BZ2214"/>
      <c r="CA2214"/>
      <c r="CB2214"/>
      <c r="CC2214"/>
      <c r="CD2214"/>
      <c r="CE2214"/>
      <c r="CF2214"/>
      <c r="CG2214"/>
      <c r="CH2214"/>
      <c r="CI2214"/>
      <c r="CJ2214"/>
      <c r="CK2214"/>
      <c r="CL2214"/>
      <c r="CM2214"/>
      <c r="CN2214"/>
      <c r="CO2214"/>
      <c r="CP2214"/>
      <c r="CQ2214"/>
      <c r="CR2214"/>
      <c r="CS2214"/>
      <c r="CT2214"/>
      <c r="CU2214"/>
      <c r="CV2214"/>
      <c r="CW2214"/>
      <c r="CX2214"/>
      <c r="CY2214"/>
      <c r="CZ2214"/>
      <c r="DA2214"/>
      <c r="DB2214"/>
      <c r="DC2214"/>
      <c r="DD2214"/>
      <c r="DE2214"/>
      <c r="DF2214"/>
      <c r="DG2214"/>
      <c r="DH2214"/>
      <c r="DI2214"/>
      <c r="DJ2214"/>
      <c r="DK2214"/>
      <c r="DL2214"/>
      <c r="DM2214"/>
      <c r="DN2214"/>
      <c r="DO2214"/>
      <c r="DP2214"/>
      <c r="DQ2214"/>
      <c r="DR2214"/>
      <c r="DS2214"/>
      <c r="DT2214"/>
      <c r="DU2214"/>
      <c r="DV2214"/>
      <c r="DW2214"/>
      <c r="DX2214"/>
      <c r="DY2214"/>
      <c r="DZ2214"/>
      <c r="EA2214"/>
      <c r="EB2214"/>
      <c r="EC2214"/>
      <c r="ED2214"/>
      <c r="EE2214"/>
      <c r="EF2214"/>
      <c r="EG2214"/>
      <c r="EH2214"/>
      <c r="EI2214"/>
      <c r="EJ2214"/>
      <c r="EK2214"/>
      <c r="EL2214"/>
      <c r="EM2214"/>
      <c r="EN2214"/>
      <c r="EO2214"/>
      <c r="EP2214"/>
      <c r="EQ2214"/>
      <c r="ER2214"/>
      <c r="ES2214"/>
    </row>
    <row r="2215" spans="1:149">
      <c r="A2215"/>
      <c r="B2215"/>
      <c r="C2215"/>
      <c r="D2215"/>
      <c r="E2215"/>
      <c r="F2215"/>
      <c r="G2215"/>
      <c r="H2215"/>
      <c r="I2215"/>
      <c r="J2215"/>
      <c r="K2215"/>
      <c r="L2215"/>
      <c r="M2215"/>
      <c r="N2215"/>
      <c r="O2215"/>
      <c r="P2215"/>
      <c r="Q2215"/>
      <c r="R2215"/>
      <c r="S2215"/>
      <c r="T2215"/>
      <c r="U2215"/>
      <c r="V2215"/>
      <c r="W2215"/>
      <c r="X2215"/>
      <c r="Y2215"/>
      <c r="Z2215"/>
      <c r="AA2215"/>
      <c r="AB2215"/>
      <c r="AC2215"/>
      <c r="AD2215"/>
      <c r="AE2215"/>
      <c r="AF2215"/>
      <c r="AG2215"/>
      <c r="AH2215"/>
      <c r="AI2215"/>
      <c r="AJ2215"/>
      <c r="AK2215"/>
      <c r="AL2215"/>
      <c r="AM2215"/>
      <c r="AN2215"/>
      <c r="AO2215"/>
      <c r="AP2215"/>
      <c r="AQ2215"/>
      <c r="AR2215"/>
      <c r="AS2215"/>
      <c r="AT2215"/>
      <c r="AU2215"/>
      <c r="AV2215"/>
      <c r="AW2215"/>
      <c r="AX2215"/>
      <c r="AY2215"/>
      <c r="AZ2215"/>
      <c r="BA2215"/>
      <c r="BB2215"/>
      <c r="BC2215"/>
      <c r="BD2215"/>
      <c r="BE2215"/>
      <c r="BF2215"/>
      <c r="BG2215"/>
      <c r="BH2215"/>
      <c r="BI2215"/>
      <c r="BJ2215"/>
      <c r="BK2215"/>
      <c r="BL2215"/>
      <c r="BM2215"/>
      <c r="BN2215"/>
      <c r="BO2215"/>
      <c r="BP2215"/>
      <c r="BQ2215"/>
      <c r="BR2215"/>
      <c r="BS2215"/>
      <c r="BT2215"/>
      <c r="BU2215"/>
      <c r="BV2215"/>
      <c r="BW2215"/>
      <c r="BX2215"/>
      <c r="BY2215"/>
      <c r="BZ2215"/>
      <c r="CA2215"/>
      <c r="CB2215"/>
      <c r="CC2215"/>
      <c r="CD2215"/>
      <c r="CE2215"/>
      <c r="CF2215"/>
      <c r="CG2215"/>
      <c r="CH2215"/>
      <c r="CI2215"/>
      <c r="CJ2215"/>
      <c r="CK2215"/>
      <c r="CL2215"/>
      <c r="CM2215"/>
      <c r="CN2215"/>
      <c r="CO2215"/>
      <c r="CP2215"/>
      <c r="CQ2215"/>
      <c r="CR2215"/>
      <c r="CS2215"/>
      <c r="CT2215"/>
      <c r="CU2215"/>
      <c r="CV2215"/>
      <c r="CW2215"/>
      <c r="CX2215"/>
      <c r="CY2215"/>
      <c r="CZ2215"/>
      <c r="DA2215"/>
      <c r="DB2215"/>
      <c r="DC2215"/>
      <c r="DD2215"/>
      <c r="DE2215"/>
      <c r="DF2215"/>
      <c r="DG2215"/>
      <c r="DH2215"/>
      <c r="DI2215"/>
      <c r="DJ2215"/>
      <c r="DK2215"/>
      <c r="DL2215"/>
      <c r="DM2215"/>
      <c r="DN2215"/>
      <c r="DO2215"/>
      <c r="DP2215"/>
      <c r="DQ2215"/>
      <c r="DR2215"/>
      <c r="DS2215"/>
      <c r="DT2215"/>
      <c r="DU2215"/>
      <c r="DV2215"/>
      <c r="DW2215"/>
      <c r="DX2215"/>
      <c r="DY2215"/>
      <c r="DZ2215"/>
      <c r="EA2215"/>
      <c r="EB2215"/>
      <c r="EC2215"/>
      <c r="ED2215"/>
      <c r="EE2215"/>
      <c r="EF2215"/>
      <c r="EG2215"/>
      <c r="EH2215"/>
      <c r="EI2215"/>
      <c r="EJ2215"/>
      <c r="EK2215"/>
      <c r="EL2215"/>
      <c r="EM2215"/>
      <c r="EN2215"/>
      <c r="EO2215"/>
      <c r="EP2215"/>
      <c r="EQ2215"/>
      <c r="ER2215"/>
      <c r="ES2215"/>
    </row>
    <row r="2216" spans="1:149">
      <c r="A2216"/>
      <c r="B2216"/>
      <c r="C2216"/>
      <c r="D2216"/>
      <c r="E2216"/>
      <c r="F2216"/>
      <c r="G2216"/>
      <c r="H2216"/>
      <c r="I2216"/>
      <c r="J2216"/>
      <c r="K2216"/>
      <c r="L2216"/>
      <c r="M2216"/>
      <c r="N2216"/>
      <c r="O2216"/>
      <c r="P2216"/>
      <c r="Q2216"/>
      <c r="R2216"/>
      <c r="S2216"/>
      <c r="T2216"/>
      <c r="U2216"/>
      <c r="V2216"/>
      <c r="W2216"/>
      <c r="X2216"/>
      <c r="Y2216"/>
      <c r="Z2216"/>
      <c r="AA2216"/>
      <c r="AB2216"/>
      <c r="AC2216"/>
      <c r="AD2216"/>
      <c r="AE2216"/>
      <c r="AF2216"/>
      <c r="AG2216"/>
      <c r="AH2216"/>
      <c r="AI2216"/>
      <c r="AJ2216"/>
      <c r="AK2216"/>
      <c r="AL2216"/>
      <c r="AM2216"/>
      <c r="AN2216"/>
      <c r="AO2216"/>
      <c r="AP2216"/>
      <c r="AQ2216"/>
      <c r="AR2216"/>
      <c r="AS2216"/>
      <c r="AT2216"/>
      <c r="AU2216"/>
      <c r="AV2216"/>
      <c r="AW2216"/>
      <c r="AX2216"/>
      <c r="AY2216"/>
      <c r="AZ2216"/>
      <c r="BA2216"/>
      <c r="BB2216"/>
      <c r="BC2216"/>
      <c r="BD2216"/>
      <c r="BE2216"/>
      <c r="BF2216"/>
      <c r="BG2216"/>
      <c r="BH2216"/>
      <c r="BI2216"/>
      <c r="BJ2216"/>
      <c r="BK2216"/>
      <c r="BL2216"/>
      <c r="BM2216"/>
      <c r="BN2216"/>
      <c r="BO2216"/>
      <c r="BP2216"/>
      <c r="BQ2216"/>
      <c r="BR2216"/>
      <c r="BS2216"/>
      <c r="BT2216"/>
      <c r="BU2216"/>
      <c r="BV2216"/>
      <c r="BW2216"/>
      <c r="BX2216"/>
      <c r="BY2216"/>
      <c r="BZ2216"/>
      <c r="CA2216"/>
      <c r="CB2216"/>
      <c r="CC2216"/>
      <c r="CD2216"/>
      <c r="CE2216"/>
      <c r="CF2216"/>
      <c r="CG2216"/>
      <c r="CH2216"/>
      <c r="CI2216"/>
      <c r="CJ2216"/>
      <c r="CK2216"/>
      <c r="CL2216"/>
      <c r="CM2216"/>
      <c r="CN2216"/>
      <c r="CO2216"/>
      <c r="CP2216"/>
      <c r="CQ2216"/>
      <c r="CR2216"/>
      <c r="CS2216"/>
      <c r="CT2216"/>
      <c r="CU2216"/>
      <c r="CV2216"/>
      <c r="CW2216"/>
      <c r="CX2216"/>
      <c r="CY2216"/>
      <c r="CZ2216"/>
      <c r="DA2216"/>
      <c r="DB2216"/>
      <c r="DC2216"/>
      <c r="DD2216"/>
      <c r="DE2216"/>
      <c r="DF2216"/>
      <c r="DG2216"/>
      <c r="DH2216"/>
      <c r="DI2216"/>
      <c r="DJ2216"/>
      <c r="DK2216"/>
      <c r="DL2216"/>
      <c r="DM2216"/>
      <c r="DN2216"/>
      <c r="DO2216"/>
      <c r="DP2216"/>
      <c r="DQ2216"/>
      <c r="DR2216"/>
      <c r="DS2216"/>
      <c r="DT2216"/>
      <c r="DU2216"/>
      <c r="DV2216"/>
      <c r="DW2216"/>
      <c r="DX2216"/>
      <c r="DY2216"/>
      <c r="DZ2216"/>
      <c r="EA2216"/>
      <c r="EB2216"/>
      <c r="EC2216"/>
      <c r="ED2216"/>
      <c r="EE2216"/>
      <c r="EF2216"/>
      <c r="EG2216"/>
      <c r="EH2216"/>
      <c r="EI2216"/>
      <c r="EJ2216"/>
      <c r="EK2216"/>
      <c r="EL2216"/>
      <c r="EM2216"/>
      <c r="EN2216"/>
      <c r="EO2216"/>
      <c r="EP2216"/>
      <c r="EQ2216"/>
      <c r="ER2216"/>
      <c r="ES2216"/>
    </row>
    <row r="2217" spans="1:149">
      <c r="A2217"/>
      <c r="B2217"/>
      <c r="C2217"/>
      <c r="D2217"/>
      <c r="E2217"/>
      <c r="F2217"/>
      <c r="G2217"/>
      <c r="H2217"/>
      <c r="I2217"/>
      <c r="J2217"/>
      <c r="K2217"/>
      <c r="L2217"/>
      <c r="M2217"/>
      <c r="N2217"/>
      <c r="O2217"/>
      <c r="P2217"/>
      <c r="Q2217"/>
      <c r="R2217"/>
      <c r="S2217"/>
      <c r="T2217"/>
      <c r="U2217"/>
      <c r="V2217"/>
      <c r="W2217"/>
      <c r="X2217"/>
      <c r="Y2217"/>
      <c r="Z2217"/>
      <c r="AA2217"/>
      <c r="AB2217"/>
      <c r="AC2217"/>
      <c r="AD2217"/>
      <c r="AE2217"/>
      <c r="AF2217"/>
      <c r="AG2217"/>
      <c r="AH2217"/>
      <c r="AI2217"/>
      <c r="AJ2217"/>
      <c r="AK2217"/>
      <c r="AL2217"/>
      <c r="AM2217"/>
      <c r="AN2217"/>
      <c r="AO2217"/>
      <c r="AP2217"/>
      <c r="AQ2217"/>
      <c r="AR2217"/>
      <c r="AS2217"/>
      <c r="AT2217"/>
      <c r="AU2217"/>
      <c r="AV2217"/>
      <c r="AW2217"/>
      <c r="AX2217"/>
      <c r="AY2217"/>
      <c r="AZ2217"/>
      <c r="BA2217"/>
      <c r="BB2217"/>
      <c r="BC2217"/>
      <c r="BD2217"/>
      <c r="BE2217"/>
      <c r="BF2217"/>
      <c r="BG2217"/>
      <c r="BH2217"/>
      <c r="BI2217"/>
      <c r="BJ2217"/>
      <c r="BK2217"/>
      <c r="BL2217"/>
      <c r="BM2217"/>
      <c r="BN2217"/>
      <c r="BO2217"/>
      <c r="BP2217"/>
      <c r="BQ2217"/>
      <c r="BR2217"/>
      <c r="BS2217"/>
      <c r="BT2217"/>
      <c r="BU2217"/>
      <c r="BV2217"/>
      <c r="BW2217"/>
      <c r="BX2217"/>
      <c r="BY2217"/>
      <c r="BZ2217"/>
      <c r="CA2217"/>
      <c r="CB2217"/>
      <c r="CC2217"/>
      <c r="CD2217"/>
      <c r="CE2217"/>
      <c r="CF2217"/>
      <c r="CG2217"/>
      <c r="CH2217"/>
      <c r="CI2217"/>
      <c r="CJ2217"/>
      <c r="CK2217"/>
      <c r="CL2217"/>
      <c r="CM2217"/>
      <c r="CN2217"/>
      <c r="CO2217"/>
      <c r="CP2217"/>
      <c r="CQ2217"/>
      <c r="CR2217"/>
      <c r="CS2217"/>
      <c r="CT2217"/>
      <c r="CU2217"/>
      <c r="CV2217"/>
      <c r="CW2217"/>
      <c r="CX2217"/>
      <c r="CY2217"/>
      <c r="CZ2217"/>
      <c r="DA2217"/>
      <c r="DB2217"/>
      <c r="DC2217"/>
      <c r="DD2217"/>
      <c r="DE2217"/>
      <c r="DF2217"/>
      <c r="DG2217"/>
      <c r="DH2217"/>
      <c r="DI2217"/>
      <c r="DJ2217"/>
      <c r="DK2217"/>
      <c r="DL2217"/>
      <c r="DM2217"/>
      <c r="DN2217"/>
      <c r="DO2217"/>
      <c r="DP2217"/>
      <c r="DQ2217"/>
      <c r="DR2217"/>
      <c r="DS2217"/>
      <c r="DT2217"/>
      <c r="DU2217"/>
      <c r="DV2217"/>
      <c r="DW2217"/>
      <c r="DX2217"/>
      <c r="DY2217"/>
      <c r="DZ2217"/>
      <c r="EA2217"/>
      <c r="EB2217"/>
      <c r="EC2217"/>
      <c r="ED2217"/>
      <c r="EE2217"/>
      <c r="EF2217"/>
      <c r="EG2217"/>
      <c r="EH2217"/>
      <c r="EI2217"/>
      <c r="EJ2217"/>
      <c r="EK2217"/>
      <c r="EL2217"/>
      <c r="EM2217"/>
      <c r="EN2217"/>
      <c r="EO2217"/>
      <c r="EP2217"/>
      <c r="EQ2217"/>
      <c r="ER2217"/>
      <c r="ES2217"/>
    </row>
    <row r="2218" spans="1:149">
      <c r="A2218"/>
      <c r="B2218"/>
      <c r="C2218"/>
      <c r="D2218"/>
      <c r="E2218"/>
      <c r="F2218"/>
      <c r="G2218"/>
      <c r="H2218"/>
      <c r="I2218"/>
      <c r="J2218"/>
      <c r="K2218"/>
      <c r="L2218"/>
      <c r="M2218"/>
      <c r="N2218"/>
      <c r="O2218"/>
      <c r="P2218"/>
      <c r="Q2218"/>
      <c r="R2218"/>
      <c r="S2218"/>
      <c r="T2218"/>
      <c r="U2218"/>
      <c r="V2218"/>
      <c r="W2218"/>
      <c r="X2218"/>
      <c r="Y2218"/>
      <c r="Z2218"/>
      <c r="AA2218"/>
      <c r="AB2218"/>
      <c r="AC2218"/>
      <c r="AD2218"/>
      <c r="AE2218"/>
      <c r="AF2218"/>
      <c r="AG2218"/>
      <c r="AH2218"/>
      <c r="AI2218"/>
      <c r="AJ2218"/>
      <c r="AK2218"/>
      <c r="AL2218"/>
      <c r="AM2218"/>
      <c r="AN2218"/>
      <c r="AO2218"/>
      <c r="AP2218"/>
      <c r="AQ2218"/>
      <c r="AR2218"/>
      <c r="AS2218"/>
      <c r="AT2218"/>
      <c r="AU2218"/>
      <c r="AV2218"/>
      <c r="AW2218"/>
      <c r="AX2218"/>
      <c r="AY2218"/>
      <c r="AZ2218"/>
      <c r="BA2218"/>
      <c r="BB2218"/>
      <c r="BC2218"/>
      <c r="BD2218"/>
      <c r="BE2218"/>
      <c r="BF2218"/>
      <c r="BG2218"/>
      <c r="BH2218"/>
      <c r="BI2218"/>
      <c r="BJ2218"/>
      <c r="BK2218"/>
      <c r="BL2218"/>
      <c r="BM2218"/>
      <c r="BN2218"/>
      <c r="BO2218"/>
      <c r="BP2218"/>
      <c r="BQ2218"/>
      <c r="BR2218"/>
      <c r="BS2218"/>
      <c r="BT2218"/>
      <c r="BU2218"/>
      <c r="BV2218"/>
      <c r="BW2218"/>
      <c r="BX2218"/>
      <c r="BY2218"/>
      <c r="BZ2218"/>
      <c r="CA2218"/>
      <c r="CB2218"/>
      <c r="CC2218"/>
      <c r="CD2218"/>
      <c r="CE2218"/>
      <c r="CF2218"/>
      <c r="CG2218"/>
      <c r="CH2218"/>
      <c r="CI2218"/>
      <c r="CJ2218"/>
      <c r="CK2218"/>
      <c r="CL2218"/>
      <c r="CM2218"/>
      <c r="CN2218"/>
      <c r="CO2218"/>
      <c r="CP2218"/>
      <c r="CQ2218"/>
      <c r="CR2218"/>
      <c r="CS2218"/>
      <c r="CT2218"/>
      <c r="CU2218"/>
      <c r="CV2218"/>
      <c r="CW2218"/>
      <c r="CX2218"/>
      <c r="CY2218"/>
      <c r="CZ2218"/>
      <c r="DA2218"/>
      <c r="DB2218"/>
      <c r="DC2218"/>
      <c r="DD2218"/>
      <c r="DE2218"/>
      <c r="DF2218"/>
      <c r="DG2218"/>
      <c r="DH2218"/>
      <c r="DI2218"/>
      <c r="DJ2218"/>
      <c r="DK2218"/>
      <c r="DL2218"/>
      <c r="DM2218"/>
      <c r="DN2218"/>
      <c r="DO2218"/>
      <c r="DP2218"/>
      <c r="DQ2218"/>
      <c r="DR2218"/>
      <c r="DS2218"/>
      <c r="DT2218"/>
      <c r="DU2218"/>
      <c r="DV2218"/>
      <c r="DW2218"/>
      <c r="DX2218"/>
      <c r="DY2218"/>
      <c r="DZ2218"/>
      <c r="EA2218"/>
      <c r="EB2218"/>
      <c r="EC2218"/>
      <c r="ED2218"/>
      <c r="EE2218"/>
      <c r="EF2218"/>
      <c r="EG2218"/>
      <c r="EH2218"/>
      <c r="EI2218"/>
      <c r="EJ2218"/>
      <c r="EK2218"/>
      <c r="EL2218"/>
      <c r="EM2218"/>
      <c r="EN2218"/>
      <c r="EO2218"/>
      <c r="EP2218"/>
      <c r="EQ2218"/>
      <c r="ER2218"/>
      <c r="ES2218"/>
    </row>
    <row r="2219" spans="1:149">
      <c r="A2219"/>
      <c r="B2219"/>
      <c r="C2219"/>
      <c r="D2219"/>
      <c r="E2219"/>
      <c r="F2219"/>
      <c r="G2219"/>
      <c r="H2219"/>
      <c r="I2219"/>
      <c r="J2219"/>
      <c r="K2219"/>
      <c r="L2219"/>
      <c r="M2219"/>
      <c r="N2219"/>
      <c r="O2219"/>
      <c r="P2219"/>
      <c r="Q2219"/>
      <c r="R2219"/>
      <c r="S2219"/>
      <c r="T2219"/>
      <c r="U2219"/>
      <c r="V2219"/>
      <c r="W2219"/>
      <c r="X2219"/>
      <c r="Y2219"/>
      <c r="Z2219"/>
      <c r="AA2219"/>
      <c r="AB2219"/>
      <c r="AC2219"/>
      <c r="AD2219"/>
      <c r="AE2219"/>
      <c r="AF2219"/>
      <c r="AG2219"/>
      <c r="AH2219"/>
      <c r="AI2219"/>
      <c r="AJ2219"/>
      <c r="AK2219"/>
      <c r="AL2219"/>
      <c r="AM2219"/>
      <c r="AN2219"/>
      <c r="AO2219"/>
      <c r="AP2219"/>
      <c r="AQ2219"/>
      <c r="AR2219"/>
      <c r="AS2219"/>
      <c r="AT2219"/>
      <c r="AU2219"/>
      <c r="AV2219"/>
      <c r="AW2219"/>
      <c r="AX2219"/>
      <c r="AY2219"/>
      <c r="AZ2219"/>
      <c r="BA2219"/>
      <c r="BB2219"/>
      <c r="BC2219"/>
      <c r="BD2219"/>
      <c r="BE2219"/>
      <c r="BF2219"/>
      <c r="BG2219"/>
      <c r="BH2219"/>
      <c r="BI2219"/>
      <c r="BJ2219"/>
      <c r="BK2219"/>
      <c r="BL2219"/>
      <c r="BM2219"/>
      <c r="BN2219"/>
      <c r="BO2219"/>
      <c r="BP2219"/>
      <c r="BQ2219"/>
      <c r="BR2219"/>
      <c r="BS2219"/>
      <c r="BT2219"/>
      <c r="BU2219"/>
      <c r="BV2219"/>
      <c r="BW2219"/>
      <c r="BX2219"/>
      <c r="BY2219"/>
      <c r="BZ2219"/>
      <c r="CA2219"/>
      <c r="CB2219"/>
      <c r="CC2219"/>
      <c r="CD2219"/>
      <c r="CE2219"/>
      <c r="CF2219"/>
      <c r="CG2219"/>
      <c r="CH2219"/>
      <c r="CI2219"/>
      <c r="CJ2219"/>
      <c r="CK2219"/>
      <c r="CL2219"/>
      <c r="CM2219"/>
      <c r="CN2219"/>
      <c r="CO2219"/>
      <c r="CP2219"/>
      <c r="CQ2219"/>
      <c r="CR2219"/>
      <c r="CS2219"/>
      <c r="CT2219"/>
      <c r="CU2219"/>
      <c r="CV2219"/>
      <c r="CW2219"/>
      <c r="CX2219"/>
      <c r="CY2219"/>
      <c r="CZ2219"/>
      <c r="DA2219"/>
      <c r="DB2219"/>
      <c r="DC2219"/>
      <c r="DD2219"/>
      <c r="DE2219"/>
      <c r="DF2219"/>
      <c r="DG2219"/>
      <c r="DH2219"/>
      <c r="DI2219"/>
      <c r="DJ2219"/>
      <c r="DK2219"/>
      <c r="DL2219"/>
      <c r="DM2219"/>
      <c r="DN2219"/>
      <c r="DO2219"/>
      <c r="DP2219"/>
      <c r="DQ2219"/>
      <c r="DR2219"/>
      <c r="DS2219"/>
      <c r="DT2219"/>
      <c r="DU2219"/>
      <c r="DV2219"/>
      <c r="DW2219"/>
      <c r="DX2219"/>
      <c r="DY2219"/>
      <c r="DZ2219"/>
      <c r="EA2219"/>
      <c r="EB2219"/>
      <c r="EC2219"/>
      <c r="ED2219"/>
      <c r="EE2219"/>
      <c r="EF2219"/>
      <c r="EG2219"/>
      <c r="EH2219"/>
      <c r="EI2219"/>
      <c r="EJ2219"/>
      <c r="EK2219"/>
      <c r="EL2219"/>
      <c r="EM2219"/>
      <c r="EN2219"/>
      <c r="EO2219"/>
      <c r="EP2219"/>
      <c r="EQ2219"/>
      <c r="ER2219"/>
      <c r="ES2219"/>
    </row>
    <row r="2220" spans="1:149">
      <c r="A2220"/>
      <c r="B2220"/>
      <c r="C2220"/>
      <c r="D2220"/>
      <c r="E2220"/>
      <c r="F2220"/>
      <c r="G2220"/>
      <c r="H2220"/>
      <c r="I2220"/>
      <c r="J2220"/>
      <c r="K2220"/>
      <c r="L2220"/>
      <c r="M2220"/>
      <c r="N2220"/>
      <c r="O2220"/>
      <c r="P2220"/>
      <c r="Q2220"/>
      <c r="R2220"/>
      <c r="S2220"/>
      <c r="T2220"/>
      <c r="U2220"/>
      <c r="V2220"/>
      <c r="W2220"/>
      <c r="X2220"/>
      <c r="Y2220"/>
      <c r="Z2220"/>
      <c r="AA2220"/>
      <c r="AB2220"/>
      <c r="AC2220"/>
      <c r="AD2220"/>
      <c r="AE2220"/>
      <c r="AF2220"/>
      <c r="AG2220"/>
      <c r="AH2220"/>
      <c r="AI2220"/>
      <c r="AJ2220"/>
      <c r="AK2220"/>
      <c r="AL2220"/>
      <c r="AM2220"/>
      <c r="AN2220"/>
      <c r="AO2220"/>
      <c r="AP2220"/>
      <c r="AQ2220"/>
      <c r="AR2220"/>
      <c r="AS2220"/>
      <c r="AT2220"/>
      <c r="AU2220"/>
      <c r="AV2220"/>
      <c r="AW2220"/>
      <c r="AX2220"/>
      <c r="AY2220"/>
      <c r="AZ2220"/>
      <c r="BA2220"/>
      <c r="BB2220"/>
      <c r="BC2220"/>
      <c r="BD2220"/>
      <c r="BE2220"/>
      <c r="BF2220"/>
      <c r="BG2220"/>
      <c r="BH2220"/>
      <c r="BI2220"/>
      <c r="BJ2220"/>
      <c r="BK2220"/>
      <c r="BL2220"/>
      <c r="BM2220"/>
      <c r="BN2220"/>
      <c r="BO2220"/>
      <c r="BP2220"/>
      <c r="BQ2220"/>
      <c r="BR2220"/>
      <c r="BS2220"/>
      <c r="BT2220"/>
      <c r="BU2220"/>
      <c r="BV2220"/>
      <c r="BW2220"/>
      <c r="BX2220"/>
      <c r="BY2220"/>
      <c r="BZ2220"/>
      <c r="CA2220"/>
      <c r="CB2220"/>
      <c r="CC2220"/>
      <c r="CD2220"/>
      <c r="CE2220"/>
      <c r="CF2220"/>
      <c r="CG2220"/>
      <c r="CH2220"/>
      <c r="CI2220"/>
      <c r="CJ2220"/>
      <c r="CK2220"/>
      <c r="CL2220"/>
      <c r="CM2220"/>
      <c r="CN2220"/>
      <c r="CO2220"/>
      <c r="CP2220"/>
      <c r="CQ2220"/>
      <c r="CR2220"/>
      <c r="CS2220"/>
      <c r="CT2220"/>
      <c r="CU2220"/>
      <c r="CV2220"/>
      <c r="CW2220"/>
      <c r="CX2220"/>
      <c r="CY2220"/>
      <c r="CZ2220"/>
      <c r="DA2220"/>
      <c r="DB2220"/>
      <c r="DC2220"/>
      <c r="DD2220"/>
      <c r="DE2220"/>
      <c r="DF2220"/>
      <c r="DG2220"/>
      <c r="DH2220"/>
      <c r="DI2220"/>
      <c r="DJ2220"/>
      <c r="DK2220"/>
      <c r="DL2220"/>
      <c r="DM2220"/>
      <c r="DN2220"/>
      <c r="DO2220"/>
      <c r="DP2220"/>
      <c r="DQ2220"/>
      <c r="DR2220"/>
      <c r="DS2220"/>
      <c r="DT2220"/>
      <c r="DU2220"/>
      <c r="DV2220"/>
      <c r="DW2220"/>
      <c r="DX2220"/>
      <c r="DY2220"/>
      <c r="DZ2220"/>
      <c r="EA2220"/>
      <c r="EB2220"/>
      <c r="EC2220"/>
      <c r="ED2220"/>
      <c r="EE2220"/>
      <c r="EF2220"/>
      <c r="EG2220"/>
      <c r="EH2220"/>
      <c r="EI2220"/>
      <c r="EJ2220"/>
      <c r="EK2220"/>
      <c r="EL2220"/>
      <c r="EM2220"/>
      <c r="EN2220"/>
      <c r="EO2220"/>
      <c r="EP2220"/>
      <c r="EQ2220"/>
      <c r="ER2220"/>
      <c r="ES2220"/>
    </row>
    <row r="2221" spans="1:149">
      <c r="A2221"/>
      <c r="B2221"/>
      <c r="C2221"/>
      <c r="D2221"/>
      <c r="E2221"/>
      <c r="F2221"/>
      <c r="G2221"/>
      <c r="H2221"/>
      <c r="I2221"/>
      <c r="J2221"/>
      <c r="K2221"/>
      <c r="L2221"/>
      <c r="M2221"/>
      <c r="N2221"/>
      <c r="O2221"/>
      <c r="P2221"/>
      <c r="Q2221"/>
      <c r="R2221"/>
      <c r="S2221"/>
      <c r="T2221"/>
      <c r="U2221"/>
      <c r="V2221"/>
      <c r="W2221"/>
      <c r="X2221"/>
      <c r="Y2221"/>
      <c r="Z2221"/>
      <c r="AA2221"/>
      <c r="AB2221"/>
      <c r="AC2221"/>
      <c r="AD2221"/>
      <c r="AE2221"/>
      <c r="AF2221"/>
      <c r="AG2221"/>
      <c r="AH2221"/>
      <c r="AI2221"/>
      <c r="AJ2221"/>
      <c r="AK2221"/>
      <c r="AL2221"/>
      <c r="AM2221"/>
      <c r="AN2221"/>
      <c r="AO2221"/>
      <c r="AP2221"/>
      <c r="AQ2221"/>
      <c r="AR2221"/>
      <c r="AS2221"/>
      <c r="AT2221"/>
      <c r="AU2221"/>
      <c r="AV2221"/>
      <c r="AW2221"/>
      <c r="AX2221"/>
      <c r="AY2221"/>
      <c r="AZ2221"/>
      <c r="BA2221"/>
      <c r="BB2221"/>
      <c r="BC2221"/>
      <c r="BD2221"/>
      <c r="BE2221"/>
      <c r="BF2221"/>
      <c r="BG2221"/>
      <c r="BH2221"/>
      <c r="BI2221"/>
      <c r="BJ2221"/>
      <c r="BK2221"/>
      <c r="BL2221"/>
      <c r="BM2221"/>
      <c r="BN2221"/>
      <c r="BO2221"/>
      <c r="BP2221"/>
      <c r="BQ2221"/>
      <c r="BR2221"/>
      <c r="BS2221"/>
      <c r="BT2221"/>
      <c r="BU2221"/>
      <c r="BV2221"/>
      <c r="BW2221"/>
      <c r="BX2221"/>
      <c r="BY2221"/>
      <c r="BZ2221"/>
      <c r="CA2221"/>
      <c r="CB2221"/>
      <c r="CC2221"/>
      <c r="CD2221"/>
      <c r="CE2221"/>
      <c r="CF2221"/>
      <c r="CG2221"/>
      <c r="CH2221"/>
      <c r="CI2221"/>
      <c r="CJ2221"/>
      <c r="CK2221"/>
      <c r="CL2221"/>
      <c r="CM2221"/>
      <c r="CN2221"/>
      <c r="CO2221"/>
      <c r="CP2221"/>
      <c r="CQ2221"/>
      <c r="CR2221"/>
      <c r="CS2221"/>
      <c r="CT2221"/>
      <c r="CU2221"/>
      <c r="CV2221"/>
      <c r="CW2221"/>
      <c r="CX2221"/>
      <c r="CY2221"/>
      <c r="CZ2221"/>
      <c r="DA2221"/>
      <c r="DB2221"/>
      <c r="DC2221"/>
      <c r="DD2221"/>
      <c r="DE2221"/>
      <c r="DF2221"/>
      <c r="DG2221"/>
      <c r="DH2221"/>
      <c r="DI2221"/>
      <c r="DJ2221"/>
      <c r="DK2221"/>
      <c r="DL2221"/>
      <c r="DM2221"/>
      <c r="DN2221"/>
      <c r="DO2221"/>
      <c r="DP2221"/>
      <c r="DQ2221"/>
      <c r="DR2221"/>
      <c r="DS2221"/>
      <c r="DT2221"/>
      <c r="DU2221"/>
      <c r="DV2221"/>
      <c r="DW2221"/>
      <c r="DX2221"/>
      <c r="DY2221"/>
      <c r="DZ2221"/>
      <c r="EA2221"/>
      <c r="EB2221"/>
      <c r="EC2221"/>
      <c r="ED2221"/>
      <c r="EE2221"/>
      <c r="EF2221"/>
      <c r="EG2221"/>
      <c r="EH2221"/>
      <c r="EI2221"/>
      <c r="EJ2221"/>
      <c r="EK2221"/>
      <c r="EL2221"/>
      <c r="EM2221"/>
      <c r="EN2221"/>
      <c r="EO2221"/>
      <c r="EP2221"/>
      <c r="EQ2221"/>
      <c r="ER2221"/>
      <c r="ES2221"/>
    </row>
    <row r="2222" spans="1:149">
      <c r="A2222"/>
      <c r="B2222"/>
      <c r="C2222"/>
      <c r="D2222"/>
      <c r="E2222"/>
      <c r="F2222"/>
      <c r="G2222"/>
      <c r="H2222"/>
      <c r="I2222"/>
      <c r="J2222"/>
      <c r="K2222"/>
      <c r="L2222"/>
      <c r="M2222"/>
      <c r="N2222"/>
      <c r="O2222"/>
      <c r="P2222"/>
      <c r="Q2222"/>
      <c r="R2222"/>
      <c r="S2222"/>
      <c r="T2222"/>
      <c r="U2222"/>
      <c r="V2222"/>
      <c r="W2222"/>
      <c r="X2222"/>
      <c r="Y2222"/>
      <c r="Z2222"/>
      <c r="AA2222"/>
      <c r="AB2222"/>
      <c r="AC2222"/>
      <c r="AD2222"/>
      <c r="AE2222"/>
      <c r="AF2222"/>
      <c r="AG2222"/>
      <c r="AH2222"/>
      <c r="AI2222"/>
      <c r="AJ2222"/>
      <c r="AK2222"/>
      <c r="AL2222"/>
      <c r="AM2222"/>
      <c r="AN2222"/>
      <c r="AO2222"/>
      <c r="AP2222"/>
      <c r="AQ2222"/>
      <c r="AR2222"/>
      <c r="AS2222"/>
      <c r="AT2222"/>
      <c r="AU2222"/>
      <c r="AV2222"/>
      <c r="AW2222"/>
      <c r="AX2222"/>
      <c r="AY2222"/>
      <c r="AZ2222"/>
      <c r="BA2222"/>
      <c r="BB2222"/>
      <c r="BC2222"/>
      <c r="BD2222"/>
      <c r="BE2222"/>
      <c r="BF2222"/>
      <c r="BG2222"/>
      <c r="BH2222"/>
      <c r="BI2222"/>
      <c r="BJ2222"/>
      <c r="BK2222"/>
      <c r="BL2222"/>
      <c r="BM2222"/>
      <c r="BN2222"/>
      <c r="BO2222"/>
      <c r="BP2222"/>
      <c r="BQ2222"/>
      <c r="BR2222"/>
      <c r="BS2222"/>
      <c r="BT2222"/>
      <c r="BU2222"/>
      <c r="BV2222"/>
      <c r="BW2222"/>
      <c r="BX2222"/>
      <c r="BY2222"/>
      <c r="BZ2222"/>
      <c r="CA2222"/>
      <c r="CB2222"/>
      <c r="CC2222"/>
      <c r="CD2222"/>
      <c r="CE2222"/>
      <c r="CF2222"/>
      <c r="CG2222"/>
      <c r="CH2222"/>
      <c r="CI2222"/>
      <c r="CJ2222"/>
      <c r="CK2222"/>
      <c r="CL2222"/>
      <c r="CM2222"/>
      <c r="CN2222"/>
      <c r="CO2222"/>
      <c r="CP2222"/>
      <c r="CQ2222"/>
      <c r="CR2222"/>
      <c r="CS2222"/>
      <c r="CT2222"/>
      <c r="CU2222"/>
      <c r="CV2222"/>
      <c r="CW2222"/>
      <c r="CX2222"/>
      <c r="CY2222"/>
      <c r="CZ2222"/>
      <c r="DA2222"/>
      <c r="DB2222"/>
      <c r="DC2222"/>
      <c r="DD2222"/>
      <c r="DE2222"/>
      <c r="DF2222"/>
      <c r="DG2222"/>
      <c r="DH2222"/>
      <c r="DI2222"/>
      <c r="DJ2222"/>
      <c r="DK2222"/>
      <c r="DL2222"/>
      <c r="DM2222"/>
      <c r="DN2222"/>
      <c r="DO2222"/>
      <c r="DP2222"/>
      <c r="DQ2222"/>
      <c r="DR2222"/>
      <c r="DS2222"/>
      <c r="DT2222"/>
      <c r="DU2222"/>
      <c r="DV2222"/>
      <c r="DW2222"/>
      <c r="DX2222"/>
      <c r="DY2222"/>
      <c r="DZ2222"/>
      <c r="EA2222"/>
      <c r="EB2222"/>
      <c r="EC2222"/>
      <c r="ED2222"/>
      <c r="EE2222"/>
      <c r="EF2222"/>
      <c r="EG2222"/>
      <c r="EH2222"/>
      <c r="EI2222"/>
      <c r="EJ2222"/>
      <c r="EK2222"/>
      <c r="EL2222"/>
      <c r="EM2222"/>
      <c r="EN2222"/>
      <c r="EO2222"/>
      <c r="EP2222"/>
      <c r="EQ2222"/>
      <c r="ER2222"/>
      <c r="ES2222"/>
    </row>
    <row r="2223" spans="1:149">
      <c r="A2223"/>
      <c r="B2223"/>
      <c r="C2223"/>
      <c r="D2223"/>
      <c r="E2223"/>
      <c r="F2223"/>
      <c r="G2223"/>
      <c r="H2223"/>
      <c r="I2223"/>
      <c r="J2223"/>
      <c r="K2223"/>
      <c r="L2223"/>
      <c r="M2223"/>
      <c r="N2223"/>
      <c r="O2223"/>
      <c r="P2223"/>
      <c r="Q2223"/>
      <c r="R2223"/>
      <c r="S2223"/>
      <c r="T2223"/>
      <c r="U2223"/>
      <c r="V2223"/>
      <c r="W2223"/>
      <c r="X2223"/>
      <c r="Y2223"/>
      <c r="Z2223"/>
      <c r="AA2223"/>
      <c r="AB2223"/>
      <c r="AC2223"/>
      <c r="AD2223"/>
      <c r="AE2223"/>
      <c r="AF2223"/>
      <c r="AG2223"/>
      <c r="AH2223"/>
      <c r="AI2223"/>
      <c r="AJ2223"/>
      <c r="AK2223"/>
      <c r="AL2223"/>
      <c r="AM2223"/>
      <c r="AN2223"/>
      <c r="AO2223"/>
      <c r="AP2223"/>
      <c r="AQ2223"/>
      <c r="AR2223"/>
      <c r="AS2223"/>
      <c r="AT2223"/>
      <c r="AU2223"/>
      <c r="AV2223"/>
      <c r="AW2223"/>
      <c r="AX2223"/>
      <c r="AY2223"/>
      <c r="AZ2223"/>
      <c r="BA2223"/>
      <c r="BB2223"/>
      <c r="BC2223"/>
      <c r="BD2223"/>
      <c r="BE2223"/>
      <c r="BF2223"/>
      <c r="BG2223"/>
      <c r="BH2223"/>
      <c r="BI2223"/>
      <c r="BJ2223"/>
      <c r="BK2223"/>
      <c r="BL2223"/>
      <c r="BM2223"/>
      <c r="BN2223"/>
      <c r="BO2223"/>
      <c r="BP2223"/>
      <c r="BQ2223"/>
      <c r="BR2223"/>
      <c r="BS2223"/>
      <c r="BT2223"/>
      <c r="BU2223"/>
      <c r="BV2223"/>
      <c r="BW2223"/>
      <c r="BX2223"/>
      <c r="BY2223"/>
      <c r="BZ2223"/>
      <c r="CA2223"/>
      <c r="CB2223"/>
      <c r="CC2223"/>
      <c r="CD2223"/>
      <c r="CE2223"/>
      <c r="CF2223"/>
      <c r="CG2223"/>
      <c r="CH2223"/>
      <c r="CI2223"/>
      <c r="CJ2223"/>
      <c r="CK2223"/>
      <c r="CL2223"/>
      <c r="CM2223"/>
      <c r="CN2223"/>
      <c r="CO2223"/>
      <c r="CP2223"/>
      <c r="CQ2223"/>
      <c r="CR2223"/>
      <c r="CS2223"/>
      <c r="CT2223"/>
      <c r="CU2223"/>
      <c r="CV2223"/>
      <c r="CW2223"/>
      <c r="CX2223"/>
      <c r="CY2223"/>
      <c r="CZ2223"/>
      <c r="DA2223"/>
      <c r="DB2223"/>
      <c r="DC2223"/>
      <c r="DD2223"/>
      <c r="DE2223"/>
      <c r="DF2223"/>
      <c r="DG2223"/>
      <c r="DH2223"/>
      <c r="DI2223"/>
      <c r="DJ2223"/>
      <c r="DK2223"/>
      <c r="DL2223"/>
      <c r="DM2223"/>
      <c r="DN2223"/>
      <c r="DO2223"/>
      <c r="DP2223"/>
      <c r="DQ2223"/>
      <c r="DR2223"/>
      <c r="DS2223"/>
      <c r="DT2223"/>
      <c r="DU2223"/>
      <c r="DV2223"/>
      <c r="DW2223"/>
      <c r="DX2223"/>
      <c r="DY2223"/>
      <c r="DZ2223"/>
      <c r="EA2223"/>
      <c r="EB2223"/>
      <c r="EC2223"/>
      <c r="ED2223"/>
      <c r="EE2223"/>
      <c r="EF2223"/>
      <c r="EG2223"/>
      <c r="EH2223"/>
      <c r="EI2223"/>
      <c r="EJ2223"/>
      <c r="EK2223"/>
      <c r="EL2223"/>
      <c r="EM2223"/>
      <c r="EN2223"/>
      <c r="EO2223"/>
      <c r="EP2223"/>
      <c r="EQ2223"/>
      <c r="ER2223"/>
      <c r="ES2223"/>
    </row>
    <row r="2224" spans="1:149">
      <c r="A2224"/>
      <c r="B2224"/>
      <c r="C2224"/>
      <c r="D2224"/>
      <c r="E2224"/>
      <c r="F2224"/>
      <c r="G2224"/>
      <c r="H2224"/>
      <c r="I2224"/>
      <c r="J2224"/>
      <c r="K2224"/>
      <c r="L2224"/>
      <c r="M2224"/>
      <c r="N2224"/>
      <c r="O2224"/>
      <c r="P2224"/>
      <c r="Q2224"/>
      <c r="R2224"/>
      <c r="S2224"/>
      <c r="T2224"/>
      <c r="U2224"/>
      <c r="V2224"/>
      <c r="W2224"/>
      <c r="X2224"/>
      <c r="Y2224"/>
      <c r="Z2224"/>
      <c r="AA2224"/>
      <c r="AB2224"/>
      <c r="AC2224"/>
      <c r="AD2224"/>
      <c r="AE2224"/>
      <c r="AF2224"/>
      <c r="AG2224"/>
      <c r="AH2224"/>
      <c r="AI2224"/>
      <c r="AJ2224"/>
      <c r="AK2224"/>
      <c r="AL2224"/>
      <c r="AM2224"/>
      <c r="AN2224"/>
      <c r="AO2224"/>
      <c r="AP2224"/>
      <c r="AQ2224"/>
      <c r="AR2224"/>
      <c r="AS2224"/>
      <c r="AT2224"/>
      <c r="AU2224"/>
      <c r="AV2224"/>
      <c r="AW2224"/>
      <c r="AX2224"/>
      <c r="AY2224"/>
      <c r="AZ2224"/>
      <c r="BA2224"/>
      <c r="BB2224"/>
      <c r="BC2224"/>
      <c r="BD2224"/>
      <c r="BE2224"/>
      <c r="BF2224"/>
      <c r="BG2224"/>
      <c r="BH2224"/>
      <c r="BI2224"/>
      <c r="BJ2224"/>
      <c r="BK2224"/>
      <c r="BL2224"/>
      <c r="BM2224"/>
      <c r="BN2224"/>
      <c r="BO2224"/>
      <c r="BP2224"/>
      <c r="BQ2224"/>
      <c r="BR2224"/>
      <c r="BS2224"/>
      <c r="BT2224"/>
      <c r="BU2224"/>
      <c r="BV2224"/>
      <c r="BW2224"/>
      <c r="BX2224"/>
      <c r="BY2224"/>
      <c r="BZ2224"/>
      <c r="CA2224"/>
      <c r="CB2224"/>
      <c r="CC2224"/>
      <c r="CD2224"/>
      <c r="CE2224"/>
      <c r="CF2224"/>
      <c r="CG2224"/>
      <c r="CH2224"/>
      <c r="CI2224"/>
      <c r="CJ2224"/>
      <c r="CK2224"/>
      <c r="CL2224"/>
      <c r="CM2224"/>
      <c r="CN2224"/>
      <c r="CO2224"/>
      <c r="CP2224"/>
      <c r="CQ2224"/>
      <c r="CR2224"/>
      <c r="CS2224"/>
      <c r="CT2224"/>
      <c r="CU2224"/>
      <c r="CV2224"/>
      <c r="CW2224"/>
      <c r="CX2224"/>
      <c r="CY2224"/>
      <c r="CZ2224"/>
      <c r="DA2224"/>
      <c r="DB2224"/>
      <c r="DC2224"/>
      <c r="DD2224"/>
      <c r="DE2224"/>
      <c r="DF2224"/>
      <c r="DG2224"/>
      <c r="DH2224"/>
      <c r="DI2224"/>
      <c r="DJ2224"/>
      <c r="DK2224"/>
      <c r="DL2224"/>
      <c r="DM2224"/>
      <c r="DN2224"/>
      <c r="DO2224"/>
      <c r="DP2224"/>
      <c r="DQ2224"/>
      <c r="DR2224"/>
      <c r="DS2224"/>
      <c r="DT2224"/>
      <c r="DU2224"/>
      <c r="DV2224"/>
      <c r="DW2224"/>
      <c r="DX2224"/>
      <c r="DY2224"/>
      <c r="DZ2224"/>
      <c r="EA2224"/>
      <c r="EB2224"/>
      <c r="EC2224"/>
      <c r="ED2224"/>
      <c r="EE2224"/>
      <c r="EF2224"/>
      <c r="EG2224"/>
      <c r="EH2224"/>
      <c r="EI2224"/>
      <c r="EJ2224"/>
      <c r="EK2224"/>
      <c r="EL2224"/>
      <c r="EM2224"/>
      <c r="EN2224"/>
      <c r="EO2224"/>
      <c r="EP2224"/>
      <c r="EQ2224"/>
      <c r="ER2224"/>
      <c r="ES2224"/>
    </row>
    <row r="2225" spans="1:149">
      <c r="A2225"/>
      <c r="B2225"/>
      <c r="C2225"/>
      <c r="D2225"/>
      <c r="E2225"/>
      <c r="F2225"/>
      <c r="G2225"/>
      <c r="H2225"/>
      <c r="I2225"/>
      <c r="J2225"/>
      <c r="K2225"/>
      <c r="L2225"/>
      <c r="M2225"/>
      <c r="N2225"/>
      <c r="O2225"/>
      <c r="P2225"/>
      <c r="Q2225"/>
      <c r="R2225"/>
      <c r="S2225"/>
      <c r="T2225"/>
      <c r="U2225"/>
      <c r="V2225"/>
      <c r="W2225"/>
      <c r="X2225"/>
      <c r="Y2225"/>
      <c r="Z2225"/>
      <c r="AA2225"/>
      <c r="AB2225"/>
      <c r="AC2225"/>
      <c r="AD2225"/>
      <c r="AE2225"/>
      <c r="AF2225"/>
      <c r="AG2225"/>
      <c r="AH2225"/>
      <c r="AI2225"/>
      <c r="AJ2225"/>
      <c r="AK2225"/>
      <c r="AL2225"/>
      <c r="AM2225"/>
      <c r="AN2225"/>
      <c r="AO2225"/>
      <c r="AP2225"/>
      <c r="AQ2225"/>
      <c r="AR2225"/>
      <c r="AS2225"/>
      <c r="AT2225"/>
      <c r="AU2225"/>
      <c r="AV2225"/>
      <c r="AW2225"/>
      <c r="AX2225"/>
      <c r="AY2225"/>
      <c r="AZ2225"/>
      <c r="BA2225"/>
      <c r="BB2225"/>
      <c r="BC2225"/>
      <c r="BD2225"/>
      <c r="BE2225"/>
      <c r="BF2225"/>
      <c r="BG2225"/>
      <c r="BH2225"/>
      <c r="BI2225"/>
      <c r="BJ2225"/>
      <c r="BK2225"/>
      <c r="BL2225"/>
      <c r="BM2225"/>
      <c r="BN2225"/>
      <c r="BO2225"/>
      <c r="BP2225"/>
      <c r="BQ2225"/>
      <c r="BR2225"/>
      <c r="BS2225"/>
      <c r="BT2225"/>
      <c r="BU2225"/>
      <c r="BV2225"/>
      <c r="BW2225"/>
      <c r="BX2225"/>
      <c r="BY2225"/>
      <c r="BZ2225"/>
      <c r="CA2225"/>
      <c r="CB2225"/>
      <c r="CC2225"/>
      <c r="CD2225"/>
      <c r="CE2225"/>
      <c r="CF2225"/>
      <c r="CG2225"/>
      <c r="CH2225"/>
      <c r="CI2225"/>
      <c r="CJ2225"/>
      <c r="CK2225"/>
      <c r="CL2225"/>
      <c r="CM2225"/>
      <c r="CN2225"/>
      <c r="CO2225"/>
      <c r="CP2225"/>
      <c r="CQ2225"/>
      <c r="CR2225"/>
      <c r="CS2225"/>
      <c r="CT2225"/>
      <c r="CU2225"/>
      <c r="CV2225"/>
      <c r="CW2225"/>
      <c r="CX2225"/>
      <c r="CY2225"/>
      <c r="CZ2225"/>
      <c r="DA2225"/>
      <c r="DB2225"/>
      <c r="DC2225"/>
      <c r="DD2225"/>
      <c r="DE2225"/>
      <c r="DF2225"/>
      <c r="DG2225"/>
      <c r="DH2225"/>
      <c r="DI2225"/>
      <c r="DJ2225"/>
      <c r="DK2225"/>
      <c r="DL2225"/>
      <c r="DM2225"/>
      <c r="DN2225"/>
      <c r="DO2225"/>
      <c r="DP2225"/>
      <c r="DQ2225"/>
      <c r="DR2225"/>
      <c r="DS2225"/>
      <c r="DT2225"/>
      <c r="DU2225"/>
      <c r="DV2225"/>
      <c r="DW2225"/>
      <c r="DX2225"/>
      <c r="DY2225"/>
      <c r="DZ2225"/>
      <c r="EA2225"/>
      <c r="EB2225"/>
      <c r="EC2225"/>
      <c r="ED2225"/>
      <c r="EE2225"/>
      <c r="EF2225"/>
      <c r="EG2225"/>
      <c r="EH2225"/>
      <c r="EI2225"/>
      <c r="EJ2225"/>
      <c r="EK2225"/>
      <c r="EL2225"/>
      <c r="EM2225"/>
      <c r="EN2225"/>
      <c r="EO2225"/>
      <c r="EP2225"/>
      <c r="EQ2225"/>
      <c r="ER2225"/>
      <c r="ES2225"/>
    </row>
    <row r="2226" spans="1:149">
      <c r="A2226"/>
      <c r="B2226"/>
      <c r="C2226"/>
      <c r="D2226"/>
      <c r="E2226"/>
      <c r="F2226"/>
      <c r="G2226"/>
      <c r="H2226"/>
      <c r="I2226"/>
      <c r="J2226"/>
      <c r="K2226"/>
      <c r="L2226"/>
      <c r="M2226"/>
      <c r="N2226"/>
      <c r="O2226"/>
      <c r="P2226"/>
      <c r="Q2226"/>
      <c r="R2226"/>
      <c r="S2226"/>
      <c r="T2226"/>
      <c r="U2226"/>
      <c r="V2226"/>
      <c r="W2226"/>
      <c r="X2226"/>
      <c r="Y2226"/>
      <c r="Z2226"/>
      <c r="AA2226"/>
      <c r="AB2226"/>
      <c r="AC2226"/>
      <c r="AD2226"/>
      <c r="AE2226"/>
      <c r="AF2226"/>
      <c r="AG2226"/>
      <c r="AH2226"/>
      <c r="AI2226"/>
      <c r="AJ2226"/>
      <c r="AK2226"/>
      <c r="AL2226"/>
      <c r="AM2226"/>
      <c r="AN2226"/>
      <c r="AO2226"/>
      <c r="AP2226"/>
      <c r="AQ2226"/>
      <c r="AR2226"/>
      <c r="AS2226"/>
      <c r="AT2226"/>
      <c r="AU2226"/>
      <c r="AV2226"/>
      <c r="AW2226"/>
      <c r="AX2226"/>
      <c r="AY2226"/>
      <c r="AZ2226"/>
      <c r="BA2226"/>
      <c r="BB2226"/>
      <c r="BC2226"/>
      <c r="BD2226"/>
      <c r="BE2226"/>
      <c r="BF2226"/>
      <c r="BG2226"/>
      <c r="BH2226"/>
      <c r="BI2226"/>
      <c r="BJ2226"/>
      <c r="BK2226"/>
      <c r="BL2226"/>
      <c r="BM2226"/>
      <c r="BN2226"/>
      <c r="BO2226"/>
      <c r="BP2226"/>
      <c r="BQ2226"/>
      <c r="BR2226"/>
      <c r="BS2226"/>
      <c r="BT2226"/>
      <c r="BU2226"/>
      <c r="BV2226"/>
      <c r="BW2226"/>
      <c r="BX2226"/>
      <c r="BY2226"/>
      <c r="BZ2226"/>
      <c r="CA2226"/>
      <c r="CB2226"/>
      <c r="CC2226"/>
      <c r="CD2226"/>
      <c r="CE2226"/>
      <c r="CF2226"/>
      <c r="CG2226"/>
      <c r="CH2226"/>
      <c r="CI2226"/>
      <c r="CJ2226"/>
      <c r="CK2226"/>
      <c r="CL2226"/>
      <c r="CM2226"/>
      <c r="CN2226"/>
      <c r="CO2226"/>
      <c r="CP2226"/>
      <c r="CQ2226"/>
      <c r="CR2226"/>
      <c r="CS2226"/>
      <c r="CT2226"/>
      <c r="CU2226"/>
      <c r="CV2226"/>
      <c r="CW2226"/>
      <c r="CX2226"/>
      <c r="CY2226"/>
      <c r="CZ2226"/>
      <c r="DA2226"/>
      <c r="DB2226"/>
      <c r="DC2226"/>
      <c r="DD2226"/>
      <c r="DE2226"/>
      <c r="DF2226"/>
      <c r="DG2226"/>
      <c r="DH2226"/>
      <c r="DI2226"/>
      <c r="DJ2226"/>
      <c r="DK2226"/>
      <c r="DL2226"/>
      <c r="DM2226"/>
      <c r="DN2226"/>
      <c r="DO2226"/>
      <c r="DP2226"/>
      <c r="DQ2226"/>
      <c r="DR2226"/>
      <c r="DS2226"/>
      <c r="DT2226"/>
      <c r="DU2226"/>
      <c r="DV2226"/>
      <c r="DW2226"/>
      <c r="DX2226"/>
      <c r="DY2226"/>
      <c r="DZ2226"/>
      <c r="EA2226"/>
      <c r="EB2226"/>
      <c r="EC2226"/>
      <c r="ED2226"/>
      <c r="EE2226"/>
      <c r="EF2226"/>
      <c r="EG2226"/>
      <c r="EH2226"/>
      <c r="EI2226"/>
      <c r="EJ2226"/>
      <c r="EK2226"/>
      <c r="EL2226"/>
      <c r="EM2226"/>
      <c r="EN2226"/>
      <c r="EO2226"/>
      <c r="EP2226"/>
      <c r="EQ2226"/>
      <c r="ER2226"/>
      <c r="ES2226"/>
    </row>
    <row r="2227" spans="1:149">
      <c r="A2227"/>
      <c r="B2227"/>
      <c r="C2227"/>
      <c r="D2227"/>
      <c r="E2227"/>
      <c r="F2227"/>
      <c r="G2227"/>
      <c r="H2227"/>
      <c r="I2227"/>
      <c r="J2227"/>
      <c r="K2227"/>
      <c r="L2227"/>
      <c r="M2227"/>
      <c r="N2227"/>
      <c r="O2227"/>
      <c r="P2227"/>
      <c r="Q2227"/>
      <c r="R2227"/>
      <c r="S2227"/>
      <c r="T2227"/>
      <c r="U2227"/>
      <c r="V2227"/>
      <c r="W2227"/>
      <c r="X2227"/>
      <c r="Y2227"/>
      <c r="Z2227"/>
      <c r="AA2227"/>
      <c r="AB2227"/>
      <c r="AC2227"/>
      <c r="AD2227"/>
      <c r="AE2227"/>
      <c r="AF2227"/>
      <c r="AG2227"/>
      <c r="AH2227"/>
      <c r="AI2227"/>
      <c r="AJ2227"/>
      <c r="AK2227"/>
      <c r="AL2227"/>
      <c r="AM2227"/>
      <c r="AN2227"/>
      <c r="AO2227"/>
      <c r="AP2227"/>
      <c r="AQ2227"/>
      <c r="AR2227"/>
      <c r="AS2227"/>
      <c r="AT2227"/>
      <c r="AU2227"/>
      <c r="AV2227"/>
      <c r="AW2227"/>
      <c r="AX2227"/>
      <c r="AY2227"/>
      <c r="AZ2227"/>
      <c r="BA2227"/>
      <c r="BB2227"/>
      <c r="BC2227"/>
      <c r="BD2227"/>
      <c r="BE2227"/>
      <c r="BF2227"/>
      <c r="BG2227"/>
      <c r="BH2227"/>
      <c r="BI2227"/>
      <c r="BJ2227"/>
      <c r="BK2227"/>
      <c r="BL2227"/>
      <c r="BM2227"/>
      <c r="BN2227"/>
      <c r="BO2227"/>
      <c r="BP2227"/>
      <c r="BQ2227"/>
      <c r="BR2227"/>
      <c r="BS2227"/>
      <c r="BT2227"/>
      <c r="BU2227"/>
      <c r="BV2227"/>
      <c r="BW2227"/>
      <c r="BX2227"/>
      <c r="BY2227"/>
      <c r="BZ2227"/>
      <c r="CA2227"/>
      <c r="CB2227"/>
      <c r="CC2227"/>
      <c r="CD2227"/>
      <c r="CE2227"/>
      <c r="CF2227"/>
      <c r="CG2227"/>
      <c r="CH2227"/>
      <c r="CI2227"/>
      <c r="CJ2227"/>
      <c r="CK2227"/>
      <c r="CL2227"/>
      <c r="CM2227"/>
      <c r="CN2227"/>
      <c r="CO2227"/>
      <c r="CP2227"/>
      <c r="CQ2227"/>
      <c r="CR2227"/>
      <c r="CS2227"/>
      <c r="CT2227"/>
      <c r="CU2227"/>
      <c r="CV2227"/>
      <c r="CW2227"/>
      <c r="CX2227"/>
      <c r="CY2227"/>
      <c r="CZ2227"/>
      <c r="DA2227"/>
      <c r="DB2227"/>
      <c r="DC2227"/>
      <c r="DD2227"/>
      <c r="DE2227"/>
      <c r="DF2227"/>
      <c r="DG2227"/>
      <c r="DH2227"/>
      <c r="DI2227"/>
      <c r="DJ2227"/>
      <c r="DK2227"/>
      <c r="DL2227"/>
      <c r="DM2227"/>
      <c r="DN2227"/>
      <c r="DO2227"/>
      <c r="DP2227"/>
      <c r="DQ2227"/>
      <c r="DR2227"/>
      <c r="DS2227"/>
      <c r="DT2227"/>
      <c r="DU2227"/>
      <c r="DV2227"/>
      <c r="DW2227"/>
      <c r="DX2227"/>
      <c r="DY2227"/>
      <c r="DZ2227"/>
      <c r="EA2227"/>
      <c r="EB2227"/>
      <c r="EC2227"/>
      <c r="ED2227"/>
      <c r="EE2227"/>
      <c r="EF2227"/>
      <c r="EG2227"/>
      <c r="EH2227"/>
      <c r="EI2227"/>
      <c r="EJ2227"/>
      <c r="EK2227"/>
      <c r="EL2227"/>
      <c r="EM2227"/>
      <c r="EN2227"/>
      <c r="EO2227"/>
      <c r="EP2227"/>
      <c r="EQ2227"/>
      <c r="ER2227"/>
      <c r="ES2227"/>
    </row>
    <row r="2228" spans="1:149">
      <c r="A2228"/>
      <c r="B2228"/>
      <c r="C2228"/>
      <c r="D2228"/>
      <c r="E2228"/>
      <c r="F2228"/>
      <c r="G2228"/>
      <c r="H2228"/>
      <c r="I2228"/>
      <c r="J2228"/>
      <c r="K2228"/>
      <c r="L2228"/>
      <c r="M2228"/>
      <c r="N2228"/>
      <c r="O2228"/>
      <c r="P2228"/>
      <c r="Q2228"/>
      <c r="R2228"/>
      <c r="S2228"/>
      <c r="T2228"/>
      <c r="U2228"/>
      <c r="V2228"/>
      <c r="W2228"/>
      <c r="X2228"/>
      <c r="Y2228"/>
      <c r="Z2228"/>
      <c r="AA2228"/>
      <c r="AB2228"/>
      <c r="AC2228"/>
      <c r="AD2228"/>
      <c r="AE2228"/>
      <c r="AF2228"/>
      <c r="AG2228"/>
      <c r="AH2228"/>
      <c r="AI2228"/>
      <c r="AJ2228"/>
      <c r="AK2228"/>
      <c r="AL2228"/>
      <c r="AM2228"/>
      <c r="AN2228"/>
      <c r="AO2228"/>
      <c r="AP2228"/>
      <c r="AQ2228"/>
      <c r="AR2228"/>
      <c r="AS2228"/>
      <c r="AT2228"/>
      <c r="AU2228"/>
      <c r="AV2228"/>
      <c r="AW2228"/>
      <c r="AX2228"/>
      <c r="AY2228"/>
      <c r="AZ2228"/>
      <c r="BA2228"/>
      <c r="BB2228"/>
      <c r="BC2228"/>
      <c r="BD2228"/>
      <c r="BE2228"/>
      <c r="BF2228"/>
      <c r="BG2228"/>
      <c r="BH2228"/>
      <c r="BI2228"/>
      <c r="BJ2228"/>
      <c r="BK2228"/>
      <c r="BL2228"/>
      <c r="BM2228"/>
      <c r="BN2228"/>
      <c r="BO2228"/>
      <c r="BP2228"/>
      <c r="BQ2228"/>
      <c r="BR2228"/>
      <c r="BS2228"/>
      <c r="BT2228"/>
      <c r="BU2228"/>
      <c r="BV2228"/>
      <c r="BW2228"/>
      <c r="BX2228"/>
      <c r="BY2228"/>
      <c r="BZ2228"/>
      <c r="CA2228"/>
      <c r="CB2228"/>
      <c r="CC2228"/>
      <c r="CD2228"/>
      <c r="CE2228"/>
      <c r="CF2228"/>
      <c r="CG2228"/>
      <c r="CH2228"/>
      <c r="CI2228"/>
      <c r="CJ2228"/>
      <c r="CK2228"/>
      <c r="CL2228"/>
      <c r="CM2228"/>
      <c r="CN2228"/>
      <c r="CO2228"/>
      <c r="CP2228"/>
      <c r="CQ2228"/>
      <c r="CR2228"/>
      <c r="CS2228"/>
      <c r="CT2228"/>
      <c r="CU2228"/>
      <c r="CV2228"/>
      <c r="CW2228"/>
      <c r="CX2228"/>
      <c r="CY2228"/>
      <c r="CZ2228"/>
      <c r="DA2228"/>
      <c r="DB2228"/>
      <c r="DC2228"/>
      <c r="DD2228"/>
      <c r="DE2228"/>
      <c r="DF2228"/>
      <c r="DG2228"/>
      <c r="DH2228"/>
      <c r="DI2228"/>
      <c r="DJ2228"/>
      <c r="DK2228"/>
      <c r="DL2228"/>
      <c r="DM2228"/>
      <c r="DN2228"/>
      <c r="DO2228"/>
      <c r="DP2228"/>
      <c r="DQ2228"/>
      <c r="DR2228"/>
      <c r="DS2228"/>
      <c r="DT2228"/>
      <c r="DU2228"/>
      <c r="DV2228"/>
      <c r="DW2228"/>
      <c r="DX2228"/>
      <c r="DY2228"/>
      <c r="DZ2228"/>
      <c r="EA2228"/>
      <c r="EB2228"/>
      <c r="EC2228"/>
      <c r="ED2228"/>
      <c r="EE2228"/>
      <c r="EF2228"/>
      <c r="EG2228"/>
      <c r="EH2228"/>
      <c r="EI2228"/>
      <c r="EJ2228"/>
      <c r="EK2228"/>
      <c r="EL2228"/>
      <c r="EM2228"/>
      <c r="EN2228"/>
      <c r="EO2228"/>
      <c r="EP2228"/>
      <c r="EQ2228"/>
      <c r="ER2228"/>
      <c r="ES2228"/>
    </row>
    <row r="2229" spans="1:149">
      <c r="A2229"/>
      <c r="B2229"/>
      <c r="C2229"/>
      <c r="D2229"/>
      <c r="E2229"/>
      <c r="F2229"/>
      <c r="G2229"/>
      <c r="H2229"/>
      <c r="I2229"/>
      <c r="J2229"/>
      <c r="K2229"/>
      <c r="L2229"/>
      <c r="M2229"/>
      <c r="N2229"/>
      <c r="O2229"/>
      <c r="P2229"/>
      <c r="Q2229"/>
      <c r="R2229"/>
      <c r="S2229"/>
      <c r="T2229"/>
      <c r="U2229"/>
      <c r="V2229"/>
      <c r="W2229"/>
      <c r="X2229"/>
      <c r="Y2229"/>
      <c r="Z2229"/>
      <c r="AA2229"/>
      <c r="AB2229"/>
      <c r="AC2229"/>
      <c r="AD2229"/>
      <c r="AE2229"/>
      <c r="AF2229"/>
      <c r="AG2229"/>
      <c r="AH2229"/>
      <c r="AI2229"/>
      <c r="AJ2229"/>
      <c r="AK2229"/>
      <c r="AL2229"/>
      <c r="AM2229"/>
      <c r="AN2229"/>
      <c r="AO2229"/>
      <c r="AP2229"/>
      <c r="AQ2229"/>
      <c r="AR2229"/>
      <c r="AS2229"/>
      <c r="AT2229"/>
      <c r="AU2229"/>
      <c r="AV2229"/>
      <c r="AW2229"/>
      <c r="AX2229"/>
      <c r="AY2229"/>
      <c r="AZ2229"/>
      <c r="BA2229"/>
      <c r="BB2229"/>
      <c r="BC2229"/>
      <c r="BD2229"/>
      <c r="BE2229"/>
      <c r="BF2229"/>
      <c r="BG2229"/>
      <c r="BH2229"/>
      <c r="BI2229"/>
      <c r="BJ2229"/>
      <c r="BK2229"/>
      <c r="BL2229"/>
      <c r="BM2229"/>
      <c r="BN2229"/>
      <c r="BO2229"/>
      <c r="BP2229"/>
      <c r="BQ2229"/>
      <c r="BR2229"/>
      <c r="BS2229"/>
      <c r="BT2229"/>
      <c r="BU2229"/>
      <c r="BV2229"/>
      <c r="BW2229"/>
      <c r="BX2229"/>
      <c r="BY2229"/>
      <c r="BZ2229"/>
      <c r="CA2229"/>
      <c r="CB2229"/>
      <c r="CC2229"/>
      <c r="CD2229"/>
      <c r="CE2229"/>
      <c r="CF2229"/>
      <c r="CG2229"/>
      <c r="CH2229"/>
      <c r="CI2229"/>
      <c r="CJ2229"/>
      <c r="CK2229"/>
      <c r="CL2229"/>
      <c r="CM2229"/>
      <c r="CN2229"/>
      <c r="CO2229"/>
      <c r="CP2229"/>
      <c r="CQ2229"/>
      <c r="CR2229"/>
      <c r="CS2229"/>
      <c r="CT2229"/>
      <c r="CU2229"/>
      <c r="CV2229"/>
      <c r="CW2229"/>
      <c r="CX2229"/>
      <c r="CY2229"/>
      <c r="CZ2229"/>
      <c r="DA2229"/>
      <c r="DB2229"/>
      <c r="DC2229"/>
      <c r="DD2229"/>
      <c r="DE2229"/>
      <c r="DF2229"/>
      <c r="DG2229"/>
      <c r="DH2229"/>
      <c r="DI2229"/>
      <c r="DJ2229"/>
      <c r="DK2229"/>
      <c r="DL2229"/>
      <c r="DM2229"/>
      <c r="DN2229"/>
      <c r="DO2229"/>
      <c r="DP2229"/>
      <c r="DQ2229"/>
      <c r="DR2229"/>
      <c r="DS2229"/>
      <c r="DT2229"/>
      <c r="DU2229"/>
      <c r="DV2229"/>
      <c r="DW2229"/>
      <c r="DX2229"/>
      <c r="DY2229"/>
      <c r="DZ2229"/>
      <c r="EA2229"/>
      <c r="EB2229"/>
      <c r="EC2229"/>
      <c r="ED2229"/>
      <c r="EE2229"/>
      <c r="EF2229"/>
      <c r="EG2229"/>
      <c r="EH2229"/>
      <c r="EI2229"/>
      <c r="EJ2229"/>
      <c r="EK2229"/>
      <c r="EL2229"/>
      <c r="EM2229"/>
      <c r="EN2229"/>
      <c r="EO2229"/>
      <c r="EP2229"/>
      <c r="EQ2229"/>
      <c r="ER2229"/>
      <c r="ES2229"/>
    </row>
    <row r="2230" spans="1:149">
      <c r="A2230"/>
      <c r="B2230"/>
      <c r="C2230"/>
      <c r="D2230"/>
      <c r="E2230"/>
      <c r="F2230"/>
      <c r="G2230"/>
      <c r="H2230"/>
      <c r="I2230"/>
      <c r="J2230"/>
      <c r="K2230"/>
      <c r="L2230"/>
      <c r="M2230"/>
      <c r="N2230"/>
      <c r="O2230"/>
      <c r="P2230"/>
      <c r="Q2230"/>
      <c r="R2230"/>
      <c r="S2230"/>
      <c r="T2230"/>
      <c r="U2230"/>
      <c r="V2230"/>
      <c r="W2230"/>
      <c r="X2230"/>
      <c r="Y2230"/>
      <c r="Z2230"/>
      <c r="AA2230"/>
      <c r="AB2230"/>
      <c r="AC2230"/>
      <c r="AD2230"/>
      <c r="AE2230"/>
      <c r="AF2230"/>
      <c r="AG2230"/>
      <c r="AH2230"/>
      <c r="AI2230"/>
      <c r="AJ2230"/>
      <c r="AK2230"/>
      <c r="AL2230"/>
      <c r="AM2230"/>
      <c r="AN2230"/>
      <c r="AO2230"/>
      <c r="AP2230"/>
      <c r="AQ2230"/>
      <c r="AR2230"/>
      <c r="AS2230"/>
      <c r="AT2230"/>
      <c r="AU2230"/>
      <c r="AV2230"/>
      <c r="AW2230"/>
      <c r="AX2230"/>
      <c r="AY2230"/>
      <c r="AZ2230"/>
      <c r="BA2230"/>
      <c r="BB2230"/>
      <c r="BC2230"/>
      <c r="BD2230"/>
      <c r="BE2230"/>
      <c r="BF2230"/>
      <c r="BG2230"/>
      <c r="BH2230"/>
      <c r="BI2230"/>
      <c r="BJ2230"/>
      <c r="BK2230"/>
      <c r="BL2230"/>
      <c r="BM2230"/>
      <c r="BN2230"/>
      <c r="BO2230"/>
      <c r="BP2230"/>
      <c r="BQ2230"/>
      <c r="BR2230"/>
      <c r="BS2230"/>
      <c r="BT2230"/>
      <c r="BU2230"/>
      <c r="BV2230"/>
      <c r="BW2230"/>
      <c r="BX2230"/>
      <c r="BY2230"/>
      <c r="BZ2230"/>
      <c r="CA2230"/>
      <c r="CB2230"/>
      <c r="CC2230"/>
      <c r="CD2230"/>
      <c r="CE2230"/>
      <c r="CF2230"/>
      <c r="CG2230"/>
      <c r="CH2230"/>
      <c r="CI2230"/>
      <c r="CJ2230"/>
      <c r="CK2230"/>
      <c r="CL2230"/>
      <c r="CM2230"/>
      <c r="CN2230"/>
      <c r="CO2230"/>
      <c r="CP2230"/>
      <c r="CQ2230"/>
      <c r="CR2230"/>
      <c r="CS2230"/>
      <c r="CT2230"/>
      <c r="CU2230"/>
      <c r="CV2230"/>
      <c r="CW2230"/>
      <c r="CX2230"/>
      <c r="CY2230"/>
      <c r="CZ2230"/>
      <c r="DA2230"/>
      <c r="DB2230"/>
      <c r="DC2230"/>
      <c r="DD2230"/>
      <c r="DE2230"/>
      <c r="DF2230"/>
      <c r="DG2230"/>
      <c r="DH2230"/>
      <c r="DI2230"/>
      <c r="DJ2230"/>
      <c r="DK2230"/>
      <c r="DL2230"/>
      <c r="DM2230"/>
      <c r="DN2230"/>
      <c r="DO2230"/>
      <c r="DP2230"/>
      <c r="DQ2230"/>
      <c r="DR2230"/>
      <c r="DS2230"/>
      <c r="DT2230"/>
      <c r="DU2230"/>
      <c r="DV2230"/>
      <c r="DW2230"/>
      <c r="DX2230"/>
      <c r="DY2230"/>
      <c r="DZ2230"/>
      <c r="EA2230"/>
      <c r="EB2230"/>
      <c r="EC2230"/>
      <c r="ED2230"/>
      <c r="EE2230"/>
      <c r="EF2230"/>
      <c r="EG2230"/>
      <c r="EH2230"/>
      <c r="EI2230"/>
      <c r="EJ2230"/>
      <c r="EK2230"/>
      <c r="EL2230"/>
      <c r="EM2230"/>
      <c r="EN2230"/>
      <c r="EO2230"/>
      <c r="EP2230"/>
      <c r="EQ2230"/>
      <c r="ER2230"/>
      <c r="ES2230"/>
    </row>
    <row r="2231" spans="1:149">
      <c r="A2231"/>
      <c r="B2231"/>
      <c r="C2231"/>
      <c r="D2231"/>
      <c r="E2231"/>
      <c r="F2231"/>
      <c r="G2231"/>
      <c r="H2231"/>
      <c r="I2231"/>
      <c r="J2231"/>
      <c r="K2231"/>
      <c r="L2231"/>
      <c r="M2231"/>
      <c r="N2231"/>
      <c r="O2231"/>
      <c r="P2231"/>
      <c r="Q2231"/>
      <c r="R2231"/>
      <c r="S2231"/>
      <c r="T2231"/>
      <c r="U2231"/>
      <c r="V2231"/>
      <c r="W2231"/>
      <c r="X2231"/>
      <c r="Y2231"/>
      <c r="Z2231"/>
      <c r="AA2231"/>
      <c r="AB2231"/>
      <c r="AC2231"/>
      <c r="AD2231"/>
      <c r="AE2231"/>
      <c r="AF2231"/>
      <c r="AG2231"/>
      <c r="AH2231"/>
      <c r="AI2231"/>
      <c r="AJ2231"/>
      <c r="AK2231"/>
      <c r="AL2231"/>
      <c r="AM2231"/>
      <c r="AN2231"/>
      <c r="AO2231"/>
      <c r="AP2231"/>
      <c r="AQ2231"/>
      <c r="AR2231"/>
      <c r="AS2231"/>
      <c r="AT2231"/>
      <c r="AU2231"/>
      <c r="AV2231"/>
      <c r="AW2231"/>
      <c r="AX2231"/>
      <c r="AY2231"/>
      <c r="AZ2231"/>
      <c r="BA2231"/>
      <c r="BB2231"/>
      <c r="BC2231"/>
      <c r="BD2231"/>
      <c r="BE2231"/>
      <c r="BF2231"/>
      <c r="BG2231"/>
      <c r="BH2231"/>
      <c r="BI2231"/>
      <c r="BJ2231"/>
      <c r="BK2231"/>
      <c r="BL2231"/>
      <c r="BM2231"/>
      <c r="BN2231"/>
      <c r="BO2231"/>
      <c r="BP2231"/>
      <c r="BQ2231"/>
      <c r="BR2231"/>
      <c r="BS2231"/>
      <c r="BT2231"/>
      <c r="BU2231"/>
      <c r="BV2231"/>
      <c r="BW2231"/>
      <c r="BX2231"/>
      <c r="BY2231"/>
      <c r="BZ2231"/>
      <c r="CA2231"/>
      <c r="CB2231"/>
      <c r="CC2231"/>
      <c r="CD2231"/>
      <c r="CE2231"/>
      <c r="CF2231"/>
      <c r="CG2231"/>
      <c r="CH2231"/>
      <c r="CI2231"/>
      <c r="CJ2231"/>
      <c r="CK2231"/>
      <c r="CL2231"/>
      <c r="CM2231"/>
      <c r="CN2231"/>
      <c r="CO2231"/>
      <c r="CP2231"/>
      <c r="CQ2231"/>
      <c r="CR2231"/>
      <c r="CS2231"/>
      <c r="CT2231"/>
      <c r="CU2231"/>
      <c r="CV2231"/>
      <c r="CW2231"/>
      <c r="CX2231"/>
      <c r="CY2231"/>
      <c r="CZ2231"/>
      <c r="DA2231"/>
      <c r="DB2231"/>
      <c r="DC2231"/>
      <c r="DD2231"/>
      <c r="DE2231"/>
      <c r="DF2231"/>
      <c r="DG2231"/>
      <c r="DH2231"/>
      <c r="DI2231"/>
      <c r="DJ2231"/>
      <c r="DK2231"/>
      <c r="DL2231"/>
      <c r="DM2231"/>
      <c r="DN2231"/>
      <c r="DO2231"/>
      <c r="DP2231"/>
      <c r="DQ2231"/>
      <c r="DR2231"/>
      <c r="DS2231"/>
      <c r="DT2231"/>
      <c r="DU2231"/>
      <c r="DV2231"/>
      <c r="DW2231"/>
      <c r="DX2231"/>
      <c r="DY2231"/>
      <c r="DZ2231"/>
      <c r="EA2231"/>
      <c r="EB2231"/>
      <c r="EC2231"/>
      <c r="ED2231"/>
      <c r="EE2231"/>
      <c r="EF2231"/>
      <c r="EG2231"/>
      <c r="EH2231"/>
      <c r="EI2231"/>
      <c r="EJ2231"/>
      <c r="EK2231"/>
      <c r="EL2231"/>
      <c r="EM2231"/>
      <c r="EN2231"/>
      <c r="EO2231"/>
      <c r="EP2231"/>
      <c r="EQ2231"/>
      <c r="ER2231"/>
      <c r="ES2231"/>
    </row>
    <row r="2232" spans="1:149">
      <c r="A2232"/>
      <c r="B2232"/>
      <c r="C2232"/>
      <c r="D2232"/>
      <c r="E2232"/>
      <c r="F2232"/>
      <c r="G2232"/>
      <c r="H2232"/>
      <c r="I2232"/>
      <c r="J2232"/>
      <c r="K2232"/>
      <c r="L2232"/>
      <c r="M2232"/>
      <c r="N2232"/>
      <c r="O2232"/>
      <c r="P2232"/>
      <c r="Q2232"/>
      <c r="R2232"/>
      <c r="S2232"/>
      <c r="T2232"/>
      <c r="U2232"/>
      <c r="V2232"/>
      <c r="W2232"/>
      <c r="X2232"/>
      <c r="Y2232"/>
      <c r="Z2232"/>
      <c r="AA2232"/>
      <c r="AB2232"/>
      <c r="AC2232"/>
      <c r="AD2232"/>
      <c r="AE2232"/>
      <c r="AF2232"/>
      <c r="AG2232"/>
      <c r="AH2232"/>
      <c r="AI2232"/>
      <c r="AJ2232"/>
      <c r="AK2232"/>
      <c r="AL2232"/>
      <c r="AM2232"/>
      <c r="AN2232"/>
      <c r="AO2232"/>
      <c r="AP2232"/>
      <c r="AQ2232"/>
      <c r="AR2232"/>
      <c r="AS2232"/>
      <c r="AT2232"/>
      <c r="AU2232"/>
      <c r="AV2232"/>
      <c r="AW2232"/>
      <c r="AX2232"/>
      <c r="AY2232"/>
      <c r="AZ2232"/>
      <c r="BA2232"/>
      <c r="BB2232"/>
      <c r="BC2232"/>
      <c r="BD2232"/>
      <c r="BE2232"/>
      <c r="BF2232"/>
      <c r="BG2232"/>
      <c r="BH2232"/>
      <c r="BI2232"/>
      <c r="BJ2232"/>
      <c r="BK2232"/>
      <c r="BL2232"/>
      <c r="BM2232"/>
      <c r="BN2232"/>
      <c r="BO2232"/>
      <c r="BP2232"/>
      <c r="BQ2232"/>
      <c r="BR2232"/>
      <c r="BS2232"/>
      <c r="BT2232"/>
      <c r="BU2232"/>
      <c r="BV2232"/>
      <c r="BW2232"/>
      <c r="BX2232"/>
      <c r="BY2232"/>
      <c r="BZ2232"/>
      <c r="CA2232"/>
      <c r="CB2232"/>
      <c r="CC2232"/>
      <c r="CD2232"/>
      <c r="CE2232"/>
      <c r="CF2232"/>
      <c r="CG2232"/>
      <c r="CH2232"/>
      <c r="CI2232"/>
      <c r="CJ2232"/>
      <c r="CK2232"/>
      <c r="CL2232"/>
      <c r="CM2232"/>
      <c r="CN2232"/>
      <c r="CO2232"/>
      <c r="CP2232"/>
      <c r="CQ2232"/>
      <c r="CR2232"/>
      <c r="CS2232"/>
      <c r="CT2232"/>
      <c r="CU2232"/>
      <c r="CV2232"/>
      <c r="CW2232"/>
      <c r="CX2232"/>
      <c r="CY2232"/>
      <c r="CZ2232"/>
      <c r="DA2232"/>
      <c r="DB2232"/>
      <c r="DC2232"/>
      <c r="DD2232"/>
      <c r="DE2232"/>
      <c r="DF2232"/>
      <c r="DG2232"/>
      <c r="DH2232"/>
      <c r="DI2232"/>
      <c r="DJ2232"/>
      <c r="DK2232"/>
      <c r="DL2232"/>
      <c r="DM2232"/>
      <c r="DN2232"/>
      <c r="DO2232"/>
      <c r="DP2232"/>
      <c r="DQ2232"/>
      <c r="DR2232"/>
      <c r="DS2232"/>
      <c r="DT2232"/>
      <c r="DU2232"/>
      <c r="DV2232"/>
      <c r="DW2232"/>
      <c r="DX2232"/>
      <c r="DY2232"/>
      <c r="DZ2232"/>
      <c r="EA2232"/>
      <c r="EB2232"/>
      <c r="EC2232"/>
      <c r="ED2232"/>
      <c r="EE2232"/>
      <c r="EF2232"/>
      <c r="EG2232"/>
      <c r="EH2232"/>
      <c r="EI2232"/>
      <c r="EJ2232"/>
      <c r="EK2232"/>
      <c r="EL2232"/>
      <c r="EM2232"/>
      <c r="EN2232"/>
      <c r="EO2232"/>
      <c r="EP2232"/>
      <c r="EQ2232"/>
      <c r="ER2232"/>
      <c r="ES2232"/>
    </row>
    <row r="2233" spans="1:149">
      <c r="A2233"/>
      <c r="B2233"/>
      <c r="C2233"/>
      <c r="D2233"/>
      <c r="E2233"/>
      <c r="F2233"/>
      <c r="G2233"/>
      <c r="H2233"/>
      <c r="I2233"/>
      <c r="J2233"/>
      <c r="K2233"/>
      <c r="L2233"/>
      <c r="M2233"/>
      <c r="N2233"/>
      <c r="O2233"/>
      <c r="P2233"/>
      <c r="Q2233"/>
      <c r="R2233"/>
      <c r="S2233"/>
      <c r="T2233"/>
      <c r="U2233"/>
      <c r="V2233"/>
      <c r="W2233"/>
      <c r="X2233"/>
      <c r="Y2233"/>
      <c r="Z2233"/>
      <c r="AA2233"/>
      <c r="AB2233"/>
      <c r="AC2233"/>
      <c r="AD2233"/>
      <c r="AE2233"/>
      <c r="AF2233"/>
      <c r="AG2233"/>
      <c r="AH2233"/>
      <c r="AI2233"/>
      <c r="AJ2233"/>
      <c r="AK2233"/>
      <c r="AL2233"/>
      <c r="AM2233"/>
      <c r="AN2233"/>
      <c r="AO2233"/>
      <c r="AP2233"/>
      <c r="AQ2233"/>
      <c r="AR2233"/>
      <c r="AS2233"/>
      <c r="AT2233"/>
      <c r="AU2233"/>
      <c r="AV2233"/>
      <c r="AW2233"/>
      <c r="AX2233"/>
      <c r="AY2233"/>
      <c r="AZ2233"/>
      <c r="BA2233"/>
      <c r="BB2233"/>
      <c r="BC2233"/>
      <c r="BD2233"/>
      <c r="BE2233"/>
      <c r="BF2233"/>
      <c r="BG2233"/>
      <c r="BH2233"/>
      <c r="BI2233"/>
      <c r="BJ2233"/>
      <c r="BK2233"/>
      <c r="BL2233"/>
      <c r="BM2233"/>
      <c r="BN2233"/>
      <c r="BO2233"/>
      <c r="BP2233"/>
      <c r="BQ2233"/>
      <c r="BR2233"/>
      <c r="BS2233"/>
      <c r="BT2233"/>
      <c r="BU2233"/>
      <c r="BV2233"/>
      <c r="BW2233"/>
      <c r="BX2233"/>
      <c r="BY2233"/>
      <c r="BZ2233"/>
      <c r="CA2233"/>
      <c r="CB2233"/>
      <c r="CC2233"/>
      <c r="CD2233"/>
      <c r="CE2233"/>
      <c r="CF2233"/>
      <c r="CG2233"/>
      <c r="CH2233"/>
      <c r="CI2233"/>
      <c r="CJ2233"/>
      <c r="CK2233"/>
      <c r="CL2233"/>
      <c r="CM2233"/>
      <c r="CN2233"/>
      <c r="CO2233"/>
      <c r="CP2233"/>
      <c r="CQ2233"/>
      <c r="CR2233"/>
      <c r="CS2233"/>
      <c r="CT2233"/>
      <c r="CU2233"/>
      <c r="CV2233"/>
      <c r="CW2233"/>
      <c r="CX2233"/>
      <c r="CY2233"/>
      <c r="CZ2233"/>
      <c r="DA2233"/>
      <c r="DB2233"/>
      <c r="DC2233"/>
      <c r="DD2233"/>
      <c r="DE2233"/>
      <c r="DF2233"/>
      <c r="DG2233"/>
      <c r="DH2233"/>
      <c r="DI2233"/>
      <c r="DJ2233"/>
      <c r="DK2233"/>
      <c r="DL2233"/>
      <c r="DM2233"/>
      <c r="DN2233"/>
      <c r="DO2233"/>
      <c r="DP2233"/>
      <c r="DQ2233"/>
      <c r="DR2233"/>
      <c r="DS2233"/>
      <c r="DT2233"/>
      <c r="DU2233"/>
      <c r="DV2233"/>
      <c r="DW2233"/>
      <c r="DX2233"/>
      <c r="DY2233"/>
      <c r="DZ2233"/>
      <c r="EA2233"/>
      <c r="EB2233"/>
      <c r="EC2233"/>
      <c r="ED2233"/>
      <c r="EE2233"/>
      <c r="EF2233"/>
      <c r="EG2233"/>
      <c r="EH2233"/>
      <c r="EI2233"/>
      <c r="EJ2233"/>
      <c r="EK2233"/>
      <c r="EL2233"/>
      <c r="EM2233"/>
      <c r="EN2233"/>
      <c r="EO2233"/>
      <c r="EP2233"/>
      <c r="EQ2233"/>
      <c r="ER2233"/>
      <c r="ES2233"/>
    </row>
    <row r="2234" spans="1:149">
      <c r="A2234"/>
      <c r="B2234"/>
      <c r="C2234"/>
      <c r="D2234"/>
      <c r="E2234"/>
      <c r="F2234"/>
      <c r="G2234"/>
      <c r="H2234"/>
      <c r="I2234"/>
      <c r="J2234"/>
      <c r="K2234"/>
      <c r="L2234"/>
      <c r="M2234"/>
      <c r="N2234"/>
      <c r="O2234"/>
      <c r="P2234"/>
      <c r="Q2234"/>
      <c r="R2234"/>
      <c r="S2234"/>
      <c r="T2234"/>
      <c r="U2234"/>
      <c r="V2234"/>
      <c r="W2234"/>
      <c r="X2234"/>
      <c r="Y2234"/>
      <c r="Z2234"/>
      <c r="AA2234"/>
      <c r="AB2234"/>
      <c r="AC2234"/>
      <c r="AD2234"/>
      <c r="AE2234"/>
      <c r="AF2234"/>
      <c r="AG2234"/>
      <c r="AH2234"/>
      <c r="AI2234"/>
      <c r="AJ2234"/>
      <c r="AK2234"/>
      <c r="AL2234"/>
      <c r="AM2234"/>
      <c r="AN2234"/>
      <c r="AO2234"/>
      <c r="AP2234"/>
      <c r="AQ2234"/>
      <c r="AR2234"/>
      <c r="AS2234"/>
      <c r="AT2234"/>
      <c r="AU2234"/>
      <c r="AV2234"/>
      <c r="AW2234"/>
      <c r="AX2234"/>
      <c r="AY2234"/>
      <c r="AZ2234"/>
      <c r="BA2234"/>
      <c r="BB2234"/>
      <c r="BC2234"/>
      <c r="BD2234"/>
      <c r="BE2234"/>
      <c r="BF2234"/>
      <c r="BG2234"/>
      <c r="BH2234"/>
      <c r="BI2234"/>
      <c r="BJ2234"/>
      <c r="BK2234"/>
      <c r="BL2234"/>
      <c r="BM2234"/>
      <c r="BN2234"/>
      <c r="BO2234"/>
      <c r="BP2234"/>
      <c r="BQ2234"/>
      <c r="BR2234"/>
      <c r="BS2234"/>
      <c r="BT2234"/>
      <c r="BU2234"/>
      <c r="BV2234"/>
      <c r="BW2234"/>
      <c r="BX2234"/>
      <c r="BY2234"/>
      <c r="BZ2234"/>
      <c r="CA2234"/>
      <c r="CB2234"/>
      <c r="CC2234"/>
      <c r="CD2234"/>
      <c r="CE2234"/>
      <c r="CF2234"/>
      <c r="CG2234"/>
      <c r="CH2234"/>
      <c r="CI2234"/>
      <c r="CJ2234"/>
      <c r="CK2234"/>
      <c r="CL2234"/>
      <c r="CM2234"/>
      <c r="CN2234"/>
      <c r="CO2234"/>
      <c r="CP2234"/>
      <c r="CQ2234"/>
      <c r="CR2234"/>
      <c r="CS2234"/>
      <c r="CT2234"/>
      <c r="CU2234"/>
      <c r="CV2234"/>
      <c r="CW2234"/>
      <c r="CX2234"/>
      <c r="CY2234"/>
      <c r="CZ2234"/>
      <c r="DA2234"/>
      <c r="DB2234"/>
      <c r="DC2234"/>
      <c r="DD2234"/>
      <c r="DE2234"/>
      <c r="DF2234"/>
      <c r="DG2234"/>
      <c r="DH2234"/>
      <c r="DI2234"/>
      <c r="DJ2234"/>
      <c r="DK2234"/>
      <c r="DL2234"/>
      <c r="DM2234"/>
      <c r="DN2234"/>
      <c r="DO2234"/>
      <c r="DP2234"/>
      <c r="DQ2234"/>
      <c r="DR2234"/>
      <c r="DS2234"/>
      <c r="DT2234"/>
      <c r="DU2234"/>
      <c r="DV2234"/>
      <c r="DW2234"/>
      <c r="DX2234"/>
      <c r="DY2234"/>
      <c r="DZ2234"/>
      <c r="EA2234"/>
      <c r="EB2234"/>
      <c r="EC2234"/>
      <c r="ED2234"/>
      <c r="EE2234"/>
      <c r="EF2234"/>
      <c r="EG2234"/>
      <c r="EH2234"/>
      <c r="EI2234"/>
      <c r="EJ2234"/>
      <c r="EK2234"/>
      <c r="EL2234"/>
      <c r="EM2234"/>
      <c r="EN2234"/>
      <c r="EO2234"/>
      <c r="EP2234"/>
      <c r="EQ2234"/>
      <c r="ER2234"/>
      <c r="ES2234"/>
    </row>
    <row r="2235" spans="1:149">
      <c r="A2235"/>
      <c r="B2235"/>
      <c r="C2235"/>
      <c r="D2235"/>
      <c r="E2235"/>
      <c r="F2235"/>
      <c r="G2235"/>
      <c r="H2235"/>
      <c r="I2235"/>
      <c r="J2235"/>
      <c r="K2235"/>
      <c r="L2235"/>
      <c r="M2235"/>
      <c r="N2235"/>
      <c r="O2235"/>
      <c r="P2235"/>
      <c r="Q2235"/>
      <c r="R2235"/>
      <c r="S2235"/>
      <c r="T2235"/>
      <c r="U2235"/>
      <c r="V2235"/>
      <c r="W2235"/>
      <c r="X2235"/>
      <c r="Y2235"/>
      <c r="Z2235"/>
      <c r="AA2235"/>
      <c r="AB2235"/>
      <c r="AC2235"/>
      <c r="AD2235"/>
      <c r="AE2235"/>
      <c r="AF2235"/>
      <c r="AG2235"/>
      <c r="AH2235"/>
      <c r="AI2235"/>
      <c r="AJ2235"/>
      <c r="AK2235"/>
      <c r="AL2235"/>
      <c r="AM2235"/>
      <c r="AN2235"/>
      <c r="AO2235"/>
      <c r="AP2235"/>
      <c r="AQ2235"/>
      <c r="AR2235"/>
      <c r="AS2235"/>
      <c r="AT2235"/>
      <c r="AU2235"/>
      <c r="AV2235"/>
      <c r="AW2235"/>
      <c r="AX2235"/>
      <c r="AY2235"/>
      <c r="AZ2235"/>
      <c r="BA2235"/>
      <c r="BB2235"/>
      <c r="BC2235"/>
      <c r="BD2235"/>
      <c r="BE2235"/>
      <c r="BF2235"/>
      <c r="BG2235"/>
      <c r="BH2235"/>
      <c r="BI2235"/>
      <c r="BJ2235"/>
      <c r="BK2235"/>
      <c r="BL2235"/>
      <c r="BM2235"/>
      <c r="BN2235"/>
      <c r="BO2235"/>
      <c r="BP2235"/>
      <c r="BQ2235"/>
      <c r="BR2235"/>
      <c r="BS2235"/>
      <c r="BT2235"/>
      <c r="BU2235"/>
      <c r="BV2235"/>
      <c r="BW2235"/>
      <c r="BX2235"/>
      <c r="BY2235"/>
      <c r="BZ2235"/>
      <c r="CA2235"/>
      <c r="CB2235"/>
      <c r="CC2235"/>
      <c r="CD2235"/>
      <c r="CE2235"/>
      <c r="CF2235"/>
      <c r="CG2235"/>
      <c r="CH2235"/>
      <c r="CI2235"/>
      <c r="CJ2235"/>
      <c r="CK2235"/>
      <c r="CL2235"/>
      <c r="CM2235"/>
      <c r="CN2235"/>
      <c r="CO2235"/>
      <c r="CP2235"/>
      <c r="CQ2235"/>
      <c r="CR2235"/>
      <c r="CS2235"/>
      <c r="CT2235"/>
      <c r="CU2235"/>
      <c r="CV2235"/>
      <c r="CW2235"/>
      <c r="CX2235"/>
      <c r="CY2235"/>
      <c r="CZ2235"/>
      <c r="DA2235"/>
      <c r="DB2235"/>
      <c r="DC2235"/>
      <c r="DD2235"/>
      <c r="DE2235"/>
      <c r="DF2235"/>
      <c r="DG2235"/>
      <c r="DH2235"/>
      <c r="DI2235"/>
      <c r="DJ2235"/>
      <c r="DK2235"/>
      <c r="DL2235"/>
      <c r="DM2235"/>
      <c r="DN2235"/>
      <c r="DO2235"/>
      <c r="DP2235"/>
      <c r="DQ2235"/>
      <c r="DR2235"/>
      <c r="DS2235"/>
      <c r="DT2235"/>
      <c r="DU2235"/>
      <c r="DV2235"/>
      <c r="DW2235"/>
      <c r="DX2235"/>
      <c r="DY2235"/>
      <c r="DZ2235"/>
      <c r="EA2235"/>
      <c r="EB2235"/>
      <c r="EC2235"/>
      <c r="ED2235"/>
      <c r="EE2235"/>
      <c r="EF2235"/>
      <c r="EG2235"/>
      <c r="EH2235"/>
      <c r="EI2235"/>
      <c r="EJ2235"/>
      <c r="EK2235"/>
      <c r="EL2235"/>
      <c r="EM2235"/>
      <c r="EN2235"/>
      <c r="EO2235"/>
      <c r="EP2235"/>
      <c r="EQ2235"/>
      <c r="ER2235"/>
      <c r="ES2235"/>
    </row>
    <row r="2236" spans="1:149">
      <c r="A2236"/>
      <c r="B2236"/>
      <c r="C2236"/>
      <c r="D2236"/>
      <c r="E2236"/>
      <c r="F2236"/>
      <c r="G2236"/>
      <c r="H2236"/>
      <c r="I2236"/>
      <c r="J2236"/>
      <c r="K2236"/>
      <c r="L2236"/>
      <c r="M2236"/>
      <c r="N2236"/>
      <c r="O2236"/>
      <c r="P2236"/>
      <c r="Q2236"/>
      <c r="R2236"/>
      <c r="S2236"/>
      <c r="T2236"/>
      <c r="U2236"/>
      <c r="V2236"/>
      <c r="W2236"/>
      <c r="X2236"/>
      <c r="Y2236"/>
      <c r="Z2236"/>
      <c r="AA2236"/>
      <c r="AB2236"/>
      <c r="AC2236"/>
      <c r="AD2236"/>
      <c r="AE2236"/>
      <c r="AF2236"/>
      <c r="AG2236"/>
      <c r="AH2236"/>
      <c r="AI2236"/>
      <c r="AJ2236"/>
      <c r="AK2236"/>
      <c r="AL2236"/>
      <c r="AM2236"/>
      <c r="AN2236"/>
      <c r="AO2236"/>
      <c r="AP2236"/>
      <c r="AQ2236"/>
      <c r="AR2236"/>
      <c r="AS2236"/>
      <c r="AT2236"/>
      <c r="AU2236"/>
      <c r="AV2236"/>
      <c r="AW2236"/>
      <c r="AX2236"/>
      <c r="AY2236"/>
      <c r="AZ2236"/>
      <c r="BA2236"/>
      <c r="BB2236"/>
      <c r="BC2236"/>
      <c r="BD2236"/>
      <c r="BE2236"/>
      <c r="BF2236"/>
      <c r="BG2236"/>
      <c r="BH2236"/>
      <c r="BI2236"/>
      <c r="BJ2236"/>
      <c r="BK2236"/>
      <c r="BL2236"/>
      <c r="BM2236"/>
      <c r="BN2236"/>
      <c r="BO2236"/>
      <c r="BP2236"/>
      <c r="BQ2236"/>
      <c r="BR2236"/>
      <c r="BS2236"/>
      <c r="BT2236"/>
      <c r="BU2236"/>
      <c r="BV2236"/>
      <c r="BW2236"/>
      <c r="BX2236"/>
      <c r="BY2236"/>
      <c r="BZ2236"/>
      <c r="CA2236"/>
      <c r="CB2236"/>
      <c r="CC2236"/>
      <c r="CD2236"/>
      <c r="CE2236"/>
      <c r="CF2236"/>
      <c r="CG2236"/>
      <c r="CH2236"/>
      <c r="CI2236"/>
      <c r="CJ2236"/>
      <c r="CK2236"/>
      <c r="CL2236"/>
      <c r="CM2236"/>
      <c r="CN2236"/>
      <c r="CO2236"/>
      <c r="CP2236"/>
      <c r="CQ2236"/>
      <c r="CR2236"/>
      <c r="CS2236"/>
      <c r="CT2236"/>
      <c r="CU2236"/>
      <c r="CV2236"/>
      <c r="CW2236"/>
      <c r="CX2236"/>
      <c r="CY2236"/>
      <c r="CZ2236"/>
      <c r="DA2236"/>
      <c r="DB2236"/>
      <c r="DC2236"/>
      <c r="DD2236"/>
      <c r="DE2236"/>
      <c r="DF2236"/>
      <c r="DG2236"/>
      <c r="DH2236"/>
      <c r="DI2236"/>
      <c r="DJ2236"/>
      <c r="DK2236"/>
      <c r="DL2236"/>
      <c r="DM2236"/>
      <c r="DN2236"/>
      <c r="DO2236"/>
      <c r="DP2236"/>
      <c r="DQ2236"/>
      <c r="DR2236"/>
      <c r="DS2236"/>
      <c r="DT2236"/>
      <c r="DU2236"/>
      <c r="DV2236"/>
      <c r="DW2236"/>
      <c r="DX2236"/>
      <c r="DY2236"/>
      <c r="DZ2236"/>
      <c r="EA2236"/>
      <c r="EB2236"/>
      <c r="EC2236"/>
      <c r="ED2236"/>
      <c r="EE2236"/>
      <c r="EF2236"/>
      <c r="EG2236"/>
      <c r="EH2236"/>
      <c r="EI2236"/>
      <c r="EJ2236"/>
      <c r="EK2236"/>
      <c r="EL2236"/>
      <c r="EM2236"/>
      <c r="EN2236"/>
      <c r="EO2236"/>
      <c r="EP2236"/>
      <c r="EQ2236"/>
      <c r="ER2236"/>
      <c r="ES2236"/>
    </row>
    <row r="2237" spans="1:149">
      <c r="A2237"/>
      <c r="B2237"/>
      <c r="C2237"/>
      <c r="D2237"/>
      <c r="E2237"/>
      <c r="F2237"/>
      <c r="G2237"/>
      <c r="H2237"/>
      <c r="I2237"/>
      <c r="J2237"/>
      <c r="K2237"/>
      <c r="L2237"/>
      <c r="M2237"/>
      <c r="N2237"/>
      <c r="O2237"/>
      <c r="P2237"/>
      <c r="Q2237"/>
      <c r="R2237"/>
      <c r="S2237"/>
      <c r="T2237"/>
      <c r="U2237"/>
      <c r="V2237"/>
      <c r="W2237"/>
      <c r="X2237"/>
      <c r="Y2237"/>
      <c r="Z2237"/>
      <c r="AA2237"/>
      <c r="AB2237"/>
      <c r="AC2237"/>
      <c r="AD2237"/>
      <c r="AE2237"/>
      <c r="AF2237"/>
      <c r="AG2237"/>
      <c r="AH2237"/>
      <c r="AI2237"/>
      <c r="AJ2237"/>
      <c r="AK2237"/>
      <c r="AL2237"/>
      <c r="AM2237"/>
      <c r="AN2237"/>
      <c r="AO2237"/>
      <c r="AP2237"/>
      <c r="AQ2237"/>
      <c r="AR2237"/>
      <c r="AS2237"/>
      <c r="AT2237"/>
      <c r="AU2237"/>
      <c r="AV2237"/>
      <c r="AW2237"/>
      <c r="AX2237"/>
      <c r="AY2237"/>
      <c r="AZ2237"/>
      <c r="BA2237"/>
      <c r="BB2237"/>
      <c r="BC2237"/>
      <c r="BD2237"/>
      <c r="BE2237"/>
      <c r="BF2237"/>
      <c r="BG2237"/>
      <c r="BH2237"/>
      <c r="BI2237"/>
      <c r="BJ2237"/>
      <c r="BK2237"/>
      <c r="BL2237"/>
      <c r="BM2237"/>
      <c r="BN2237"/>
      <c r="BO2237"/>
      <c r="BP2237"/>
      <c r="BQ2237"/>
      <c r="BR2237"/>
      <c r="BS2237"/>
      <c r="BT2237"/>
      <c r="BU2237"/>
      <c r="BV2237"/>
      <c r="BW2237"/>
      <c r="BX2237"/>
      <c r="BY2237"/>
      <c r="BZ2237"/>
      <c r="CA2237"/>
      <c r="CB2237"/>
      <c r="CC2237"/>
      <c r="CD2237"/>
      <c r="CE2237"/>
      <c r="CF2237"/>
      <c r="CG2237"/>
      <c r="CH2237"/>
      <c r="CI2237"/>
      <c r="CJ2237"/>
      <c r="CK2237"/>
      <c r="CL2237"/>
      <c r="CM2237"/>
      <c r="CN2237"/>
      <c r="CO2237"/>
      <c r="CP2237"/>
      <c r="CQ2237"/>
      <c r="CR2237"/>
      <c r="CS2237"/>
      <c r="CT2237"/>
      <c r="CU2237"/>
      <c r="CV2237"/>
      <c r="CW2237"/>
      <c r="CX2237"/>
      <c r="CY2237"/>
      <c r="CZ2237"/>
      <c r="DA2237"/>
      <c r="DB2237"/>
      <c r="DC2237"/>
      <c r="DD2237"/>
      <c r="DE2237"/>
      <c r="DF2237"/>
      <c r="DG2237"/>
      <c r="DH2237"/>
      <c r="DI2237"/>
      <c r="DJ2237"/>
      <c r="DK2237"/>
      <c r="DL2237"/>
      <c r="DM2237"/>
      <c r="DN2237"/>
      <c r="DO2237"/>
      <c r="DP2237"/>
      <c r="DQ2237"/>
      <c r="DR2237"/>
      <c r="DS2237"/>
      <c r="DT2237"/>
      <c r="DU2237"/>
      <c r="DV2237"/>
      <c r="DW2237"/>
      <c r="DX2237"/>
      <c r="DY2237"/>
      <c r="DZ2237"/>
      <c r="EA2237"/>
      <c r="EB2237"/>
      <c r="EC2237"/>
      <c r="ED2237"/>
      <c r="EE2237"/>
      <c r="EF2237"/>
      <c r="EG2237"/>
      <c r="EH2237"/>
      <c r="EI2237"/>
      <c r="EJ2237"/>
      <c r="EK2237"/>
      <c r="EL2237"/>
      <c r="EM2237"/>
      <c r="EN2237"/>
      <c r="EO2237"/>
      <c r="EP2237"/>
      <c r="EQ2237"/>
      <c r="ER2237"/>
      <c r="ES2237"/>
    </row>
    <row r="2238" spans="1:149">
      <c r="A2238"/>
      <c r="B2238"/>
      <c r="C2238"/>
      <c r="D2238"/>
      <c r="E2238"/>
      <c r="F2238"/>
      <c r="G2238"/>
      <c r="H2238"/>
      <c r="I2238"/>
      <c r="J2238"/>
      <c r="K2238"/>
      <c r="L2238"/>
      <c r="M2238"/>
      <c r="N2238"/>
      <c r="O2238"/>
      <c r="P2238"/>
      <c r="Q2238"/>
      <c r="R2238"/>
      <c r="S2238"/>
      <c r="T2238"/>
      <c r="U2238"/>
      <c r="V2238"/>
      <c r="W2238"/>
      <c r="X2238"/>
      <c r="Y2238"/>
      <c r="Z2238"/>
      <c r="AA2238"/>
      <c r="AB2238"/>
      <c r="AC2238"/>
      <c r="AD2238"/>
      <c r="AE2238"/>
      <c r="AF2238"/>
      <c r="AG2238"/>
      <c r="AH2238"/>
      <c r="AI2238"/>
      <c r="AJ2238"/>
      <c r="AK2238"/>
      <c r="AL2238"/>
      <c r="AM2238"/>
      <c r="AN2238"/>
      <c r="AO2238"/>
      <c r="AP2238"/>
      <c r="AQ2238"/>
      <c r="AR2238"/>
      <c r="AS2238"/>
      <c r="AT2238"/>
      <c r="AU2238"/>
      <c r="AV2238"/>
      <c r="AW2238"/>
      <c r="AX2238"/>
      <c r="AY2238"/>
      <c r="AZ2238"/>
      <c r="BA2238"/>
      <c r="BB2238"/>
      <c r="BC2238"/>
      <c r="BD2238"/>
      <c r="BE2238"/>
      <c r="BF2238"/>
      <c r="BG2238"/>
      <c r="BH2238"/>
      <c r="BI2238"/>
      <c r="BJ2238"/>
      <c r="BK2238"/>
      <c r="BL2238"/>
      <c r="BM2238"/>
      <c r="BN2238"/>
      <c r="BO2238"/>
      <c r="BP2238"/>
      <c r="BQ2238"/>
      <c r="BR2238"/>
      <c r="BS2238"/>
      <c r="BT2238"/>
      <c r="BU2238"/>
      <c r="BV2238"/>
      <c r="BW2238"/>
      <c r="BX2238"/>
      <c r="BY2238"/>
      <c r="BZ2238"/>
      <c r="CA2238"/>
      <c r="CB2238"/>
      <c r="CC2238"/>
      <c r="CD2238"/>
      <c r="CE2238"/>
      <c r="CF2238"/>
      <c r="CG2238"/>
      <c r="CH2238"/>
      <c r="CI2238"/>
      <c r="CJ2238"/>
      <c r="CK2238"/>
      <c r="CL2238"/>
      <c r="CM2238"/>
      <c r="CN2238"/>
      <c r="CO2238"/>
      <c r="CP2238"/>
      <c r="CQ2238"/>
      <c r="CR2238"/>
      <c r="CS2238"/>
      <c r="CT2238"/>
      <c r="CU2238"/>
      <c r="CV2238"/>
      <c r="CW2238"/>
      <c r="CX2238"/>
      <c r="CY2238"/>
      <c r="CZ2238"/>
      <c r="DA2238"/>
      <c r="DB2238"/>
      <c r="DC2238"/>
      <c r="DD2238"/>
      <c r="DE2238"/>
      <c r="DF2238"/>
      <c r="DG2238"/>
      <c r="DH2238"/>
      <c r="DI2238"/>
      <c r="DJ2238"/>
      <c r="DK2238"/>
      <c r="DL2238"/>
      <c r="DM2238"/>
      <c r="DN2238"/>
      <c r="DO2238"/>
      <c r="DP2238"/>
      <c r="DQ2238"/>
      <c r="DR2238"/>
      <c r="DS2238"/>
      <c r="DT2238"/>
      <c r="DU2238"/>
      <c r="DV2238"/>
      <c r="DW2238"/>
      <c r="DX2238"/>
      <c r="DY2238"/>
      <c r="DZ2238"/>
      <c r="EA2238"/>
      <c r="EB2238"/>
      <c r="EC2238"/>
      <c r="ED2238"/>
      <c r="EE2238"/>
      <c r="EF2238"/>
      <c r="EG2238"/>
      <c r="EH2238"/>
      <c r="EI2238"/>
      <c r="EJ2238"/>
      <c r="EK2238"/>
      <c r="EL2238"/>
      <c r="EM2238"/>
      <c r="EN2238"/>
      <c r="EO2238"/>
      <c r="EP2238"/>
      <c r="EQ2238"/>
      <c r="ER2238"/>
      <c r="ES2238"/>
    </row>
    <row r="2239" spans="1:149">
      <c r="A2239"/>
      <c r="B2239"/>
      <c r="C2239"/>
      <c r="D2239"/>
      <c r="E2239"/>
      <c r="F2239"/>
      <c r="G2239"/>
      <c r="H2239"/>
      <c r="I2239"/>
      <c r="J2239"/>
      <c r="K2239"/>
      <c r="L2239"/>
      <c r="M2239"/>
      <c r="N2239"/>
      <c r="O2239"/>
      <c r="P2239"/>
      <c r="Q2239"/>
      <c r="R2239"/>
      <c r="S2239"/>
      <c r="T2239"/>
      <c r="U2239"/>
      <c r="V2239"/>
      <c r="W2239"/>
      <c r="X2239"/>
      <c r="Y2239"/>
      <c r="Z2239"/>
      <c r="AA2239"/>
      <c r="AB2239"/>
      <c r="AC2239"/>
      <c r="AD2239"/>
      <c r="AE2239"/>
      <c r="AF2239"/>
      <c r="AG2239"/>
      <c r="AH2239"/>
      <c r="AI2239"/>
      <c r="AJ2239"/>
      <c r="AK2239"/>
      <c r="AL2239"/>
      <c r="AM2239"/>
      <c r="AN2239"/>
      <c r="AO2239"/>
      <c r="AP2239"/>
      <c r="AQ2239"/>
      <c r="AR2239"/>
      <c r="AS2239"/>
      <c r="AT2239"/>
      <c r="AU2239"/>
      <c r="AV2239"/>
      <c r="AW2239"/>
      <c r="AX2239"/>
      <c r="AY2239"/>
      <c r="AZ2239"/>
      <c r="BA2239"/>
      <c r="BB2239"/>
      <c r="BC2239"/>
      <c r="BD2239"/>
      <c r="BE2239"/>
      <c r="BF2239"/>
      <c r="BG2239"/>
      <c r="BH2239"/>
      <c r="BI2239"/>
      <c r="BJ2239"/>
      <c r="BK2239"/>
      <c r="BL2239"/>
      <c r="BM2239"/>
      <c r="BN2239"/>
      <c r="BO2239"/>
      <c r="BP2239"/>
      <c r="BQ2239"/>
      <c r="BR2239"/>
      <c r="BS2239"/>
      <c r="BT2239"/>
      <c r="BU2239"/>
      <c r="BV2239"/>
      <c r="BW2239"/>
      <c r="BX2239"/>
      <c r="BY2239"/>
      <c r="BZ2239"/>
      <c r="CA2239"/>
      <c r="CB2239"/>
      <c r="CC2239"/>
      <c r="CD2239"/>
      <c r="CE2239"/>
      <c r="CF2239"/>
      <c r="CG2239"/>
      <c r="CH2239"/>
      <c r="CI2239"/>
      <c r="CJ2239"/>
      <c r="CK2239"/>
      <c r="CL2239"/>
      <c r="CM2239"/>
      <c r="CN2239"/>
      <c r="CO2239"/>
      <c r="CP2239"/>
      <c r="CQ2239"/>
      <c r="CR2239"/>
      <c r="CS2239"/>
      <c r="CT2239"/>
      <c r="CU2239"/>
      <c r="CV2239"/>
      <c r="CW2239"/>
      <c r="CX2239"/>
      <c r="CY2239"/>
      <c r="CZ2239"/>
      <c r="DA2239"/>
      <c r="DB2239"/>
      <c r="DC2239"/>
      <c r="DD2239"/>
      <c r="DE2239"/>
      <c r="DF2239"/>
      <c r="DG2239"/>
      <c r="DH2239"/>
      <c r="DI2239"/>
      <c r="DJ2239"/>
      <c r="DK2239"/>
      <c r="DL2239"/>
      <c r="DM2239"/>
      <c r="DN2239"/>
      <c r="DO2239"/>
      <c r="DP2239"/>
      <c r="DQ2239"/>
      <c r="DR2239"/>
      <c r="DS2239"/>
      <c r="DT2239"/>
      <c r="DU2239"/>
      <c r="DV2239"/>
      <c r="DW2239"/>
      <c r="DX2239"/>
      <c r="DY2239"/>
      <c r="DZ2239"/>
      <c r="EA2239"/>
      <c r="EB2239"/>
      <c r="EC2239"/>
      <c r="ED2239"/>
      <c r="EE2239"/>
      <c r="EF2239"/>
      <c r="EG2239"/>
      <c r="EH2239"/>
      <c r="EI2239"/>
      <c r="EJ2239"/>
      <c r="EK2239"/>
      <c r="EL2239"/>
      <c r="EM2239"/>
      <c r="EN2239"/>
      <c r="EO2239"/>
      <c r="EP2239"/>
      <c r="EQ2239"/>
      <c r="ER2239"/>
      <c r="ES2239"/>
    </row>
    <row r="2240" spans="1:149">
      <c r="A2240"/>
      <c r="B2240"/>
      <c r="C2240"/>
      <c r="D2240"/>
      <c r="E2240"/>
      <c r="F2240"/>
      <c r="G2240"/>
      <c r="H2240"/>
      <c r="I2240"/>
      <c r="J2240"/>
      <c r="K2240"/>
      <c r="L2240"/>
      <c r="M2240"/>
      <c r="N2240"/>
      <c r="O2240"/>
      <c r="P2240"/>
      <c r="Q2240"/>
      <c r="R2240"/>
      <c r="S2240"/>
      <c r="T2240"/>
      <c r="U2240"/>
      <c r="V2240"/>
      <c r="W2240"/>
      <c r="X2240"/>
      <c r="Y2240"/>
      <c r="Z2240"/>
      <c r="AA2240"/>
      <c r="AB2240"/>
      <c r="AC2240"/>
      <c r="AD2240"/>
      <c r="AE2240"/>
      <c r="AF2240"/>
      <c r="AG2240"/>
      <c r="AH2240"/>
      <c r="AI2240"/>
      <c r="AJ2240"/>
      <c r="AK2240"/>
      <c r="AL2240"/>
      <c r="AM2240"/>
      <c r="AN2240"/>
      <c r="AO2240"/>
      <c r="AP2240"/>
      <c r="AQ2240"/>
      <c r="AR2240"/>
      <c r="AS2240"/>
      <c r="AT2240"/>
      <c r="AU2240"/>
      <c r="AV2240"/>
      <c r="AW2240"/>
      <c r="AX2240"/>
      <c r="AY2240"/>
      <c r="AZ2240"/>
      <c r="BA2240"/>
      <c r="BB2240"/>
      <c r="BC2240"/>
      <c r="BD2240"/>
      <c r="BE2240"/>
      <c r="BF2240"/>
      <c r="BG2240"/>
      <c r="BH2240"/>
      <c r="BI2240"/>
      <c r="BJ2240"/>
      <c r="BK2240"/>
      <c r="BL2240"/>
      <c r="BM2240"/>
      <c r="BN2240"/>
      <c r="BO2240"/>
      <c r="BP2240"/>
      <c r="BQ2240"/>
      <c r="BR2240"/>
      <c r="BS2240"/>
      <c r="BT2240"/>
      <c r="BU2240"/>
      <c r="BV2240"/>
      <c r="BW2240"/>
      <c r="BX2240"/>
      <c r="BY2240"/>
      <c r="BZ2240"/>
      <c r="CA2240"/>
      <c r="CB2240"/>
      <c r="CC2240"/>
      <c r="CD2240"/>
      <c r="CE2240"/>
      <c r="CF2240"/>
      <c r="CG2240"/>
      <c r="CH2240"/>
      <c r="CI2240"/>
      <c r="CJ2240"/>
      <c r="CK2240"/>
      <c r="CL2240"/>
      <c r="CM2240"/>
      <c r="CN2240"/>
      <c r="CO2240"/>
      <c r="CP2240"/>
      <c r="CQ2240"/>
      <c r="CR2240"/>
      <c r="CS2240"/>
      <c r="CT2240"/>
      <c r="CU2240"/>
      <c r="CV2240"/>
      <c r="CW2240"/>
      <c r="CX2240"/>
      <c r="CY2240"/>
      <c r="CZ2240"/>
      <c r="DA2240"/>
      <c r="DB2240"/>
      <c r="DC2240"/>
      <c r="DD2240"/>
      <c r="DE2240"/>
      <c r="DF2240"/>
      <c r="DG2240"/>
      <c r="DH2240"/>
      <c r="DI2240"/>
      <c r="DJ2240"/>
      <c r="DK2240"/>
      <c r="DL2240"/>
      <c r="DM2240"/>
      <c r="DN2240"/>
      <c r="DO2240"/>
      <c r="DP2240"/>
      <c r="DQ2240"/>
      <c r="DR2240"/>
      <c r="DS2240"/>
      <c r="DT2240"/>
      <c r="DU2240"/>
      <c r="DV2240"/>
      <c r="DW2240"/>
      <c r="DX2240"/>
      <c r="DY2240"/>
      <c r="DZ2240"/>
      <c r="EA2240"/>
      <c r="EB2240"/>
      <c r="EC2240"/>
      <c r="ED2240"/>
      <c r="EE2240"/>
      <c r="EF2240"/>
      <c r="EG2240"/>
      <c r="EH2240"/>
      <c r="EI2240"/>
      <c r="EJ2240"/>
      <c r="EK2240"/>
      <c r="EL2240"/>
      <c r="EM2240"/>
      <c r="EN2240"/>
      <c r="EO2240"/>
      <c r="EP2240"/>
      <c r="EQ2240"/>
      <c r="ER2240"/>
      <c r="ES2240"/>
    </row>
    <row r="2241" spans="1:149">
      <c r="A2241"/>
      <c r="B2241"/>
      <c r="C2241"/>
      <c r="D2241"/>
      <c r="E2241"/>
      <c r="F2241"/>
      <c r="G2241"/>
      <c r="H2241"/>
      <c r="I2241"/>
      <c r="J2241"/>
      <c r="K2241"/>
      <c r="L2241"/>
      <c r="M2241"/>
      <c r="N2241"/>
      <c r="O2241"/>
      <c r="P2241"/>
      <c r="Q2241"/>
      <c r="R2241"/>
      <c r="S2241"/>
      <c r="T2241"/>
      <c r="U2241"/>
      <c r="V2241"/>
      <c r="W2241"/>
      <c r="X2241"/>
      <c r="Y2241"/>
      <c r="Z2241"/>
      <c r="AA2241"/>
      <c r="AB2241"/>
      <c r="AC2241"/>
      <c r="AD2241"/>
      <c r="AE2241"/>
      <c r="AF2241"/>
      <c r="AG2241"/>
      <c r="AH2241"/>
      <c r="AI2241"/>
      <c r="AJ2241"/>
      <c r="AK2241"/>
      <c r="AL2241"/>
      <c r="AM2241"/>
      <c r="AN2241"/>
      <c r="AO2241"/>
      <c r="AP2241"/>
      <c r="AQ2241"/>
      <c r="AR2241"/>
      <c r="AS2241"/>
      <c r="AT2241"/>
      <c r="AU2241"/>
      <c r="AV2241"/>
      <c r="AW2241"/>
      <c r="AX2241"/>
      <c r="AY2241"/>
      <c r="AZ2241"/>
      <c r="BA2241"/>
      <c r="BB2241"/>
      <c r="BC2241"/>
      <c r="BD2241"/>
      <c r="BE2241"/>
      <c r="BF2241"/>
      <c r="BG2241"/>
      <c r="BH2241"/>
      <c r="BI2241"/>
      <c r="BJ2241"/>
      <c r="BK2241"/>
      <c r="BL2241"/>
      <c r="BM2241"/>
      <c r="BN2241"/>
      <c r="BO2241"/>
      <c r="BP2241"/>
      <c r="BQ2241"/>
      <c r="BR2241"/>
      <c r="BS2241"/>
      <c r="BT2241"/>
      <c r="BU2241"/>
      <c r="BV2241"/>
      <c r="BW2241"/>
      <c r="BX2241"/>
      <c r="BY2241"/>
      <c r="BZ2241"/>
      <c r="CA2241"/>
      <c r="CB2241"/>
      <c r="CC2241"/>
      <c r="CD2241"/>
      <c r="CE2241"/>
      <c r="CF2241"/>
      <c r="CG2241"/>
      <c r="CH2241"/>
      <c r="CI2241"/>
      <c r="CJ2241"/>
      <c r="CK2241"/>
      <c r="CL2241"/>
      <c r="CM2241"/>
      <c r="CN2241"/>
      <c r="CO2241"/>
      <c r="CP2241"/>
      <c r="CQ2241"/>
      <c r="CR2241"/>
      <c r="CS2241"/>
      <c r="CT2241"/>
      <c r="CU2241"/>
      <c r="CV2241"/>
      <c r="CW2241"/>
      <c r="CX2241"/>
      <c r="CY2241"/>
      <c r="CZ2241"/>
      <c r="DA2241"/>
      <c r="DB2241"/>
      <c r="DC2241"/>
      <c r="DD2241"/>
      <c r="DE2241"/>
      <c r="DF2241"/>
      <c r="DG2241"/>
      <c r="DH2241"/>
      <c r="DI2241"/>
      <c r="DJ2241"/>
      <c r="DK2241"/>
      <c r="DL2241"/>
      <c r="DM2241"/>
      <c r="DN2241"/>
      <c r="DO2241"/>
      <c r="DP2241"/>
      <c r="DQ2241"/>
      <c r="DR2241"/>
      <c r="DS2241"/>
      <c r="DT2241"/>
      <c r="DU2241"/>
      <c r="DV2241"/>
      <c r="DW2241"/>
      <c r="DX2241"/>
      <c r="DY2241"/>
      <c r="DZ2241"/>
      <c r="EA2241"/>
      <c r="EB2241"/>
      <c r="EC2241"/>
      <c r="ED2241"/>
      <c r="EE2241"/>
      <c r="EF2241"/>
      <c r="EG2241"/>
      <c r="EH2241"/>
      <c r="EI2241"/>
      <c r="EJ2241"/>
      <c r="EK2241"/>
      <c r="EL2241"/>
      <c r="EM2241"/>
      <c r="EN2241"/>
      <c r="EO2241"/>
      <c r="EP2241"/>
      <c r="EQ2241"/>
      <c r="ER2241"/>
      <c r="ES2241"/>
    </row>
    <row r="2242" spans="1:149">
      <c r="A2242"/>
      <c r="B2242"/>
      <c r="C2242"/>
      <c r="D2242"/>
      <c r="E2242"/>
      <c r="F2242"/>
      <c r="G2242"/>
      <c r="H2242"/>
      <c r="I2242"/>
      <c r="J2242"/>
      <c r="K2242"/>
      <c r="L2242"/>
      <c r="M2242"/>
      <c r="N2242"/>
      <c r="O2242"/>
      <c r="P2242"/>
      <c r="Q2242"/>
      <c r="R2242"/>
      <c r="S2242"/>
      <c r="T2242"/>
      <c r="U2242"/>
      <c r="V2242"/>
      <c r="W2242"/>
      <c r="X2242"/>
      <c r="Y2242"/>
      <c r="Z2242"/>
      <c r="AA2242"/>
      <c r="AB2242"/>
      <c r="AC2242"/>
      <c r="AD2242"/>
      <c r="AE2242"/>
      <c r="AF2242"/>
      <c r="AG2242"/>
      <c r="AH2242"/>
      <c r="AI2242"/>
      <c r="AJ2242"/>
      <c r="AK2242"/>
      <c r="AL2242"/>
      <c r="AM2242"/>
      <c r="AN2242"/>
      <c r="AO2242"/>
      <c r="AP2242"/>
      <c r="AQ2242"/>
      <c r="AR2242"/>
      <c r="AS2242"/>
      <c r="AT2242"/>
      <c r="AU2242"/>
      <c r="AV2242"/>
      <c r="AW2242"/>
      <c r="AX2242"/>
      <c r="AY2242"/>
      <c r="AZ2242"/>
      <c r="BA2242"/>
      <c r="BB2242"/>
      <c r="BC2242"/>
      <c r="BD2242"/>
      <c r="BE2242"/>
      <c r="BF2242"/>
      <c r="BG2242"/>
      <c r="BH2242"/>
      <c r="BI2242"/>
      <c r="BJ2242"/>
      <c r="BK2242"/>
      <c r="BL2242"/>
      <c r="BM2242"/>
      <c r="BN2242"/>
      <c r="BO2242"/>
      <c r="BP2242"/>
      <c r="BQ2242"/>
      <c r="BR2242"/>
      <c r="BS2242"/>
      <c r="BT2242"/>
      <c r="BU2242"/>
      <c r="BV2242"/>
      <c r="BW2242"/>
      <c r="BX2242"/>
      <c r="BY2242"/>
      <c r="BZ2242"/>
      <c r="CA2242"/>
      <c r="CB2242"/>
      <c r="CC2242"/>
      <c r="CD2242"/>
      <c r="CE2242"/>
      <c r="CF2242"/>
      <c r="CG2242"/>
      <c r="CH2242"/>
      <c r="CI2242"/>
      <c r="CJ2242"/>
      <c r="CK2242"/>
      <c r="CL2242"/>
      <c r="CM2242"/>
      <c r="CN2242"/>
      <c r="CO2242"/>
      <c r="CP2242"/>
      <c r="CQ2242"/>
      <c r="CR2242"/>
      <c r="CS2242"/>
      <c r="CT2242"/>
      <c r="CU2242"/>
      <c r="CV2242"/>
      <c r="CW2242"/>
      <c r="CX2242"/>
      <c r="CY2242"/>
      <c r="CZ2242"/>
      <c r="DA2242"/>
      <c r="DB2242"/>
      <c r="DC2242"/>
      <c r="DD2242"/>
      <c r="DE2242"/>
      <c r="DF2242"/>
      <c r="DG2242"/>
      <c r="DH2242"/>
      <c r="DI2242"/>
      <c r="DJ2242"/>
      <c r="DK2242"/>
      <c r="DL2242"/>
      <c r="DM2242"/>
      <c r="DN2242"/>
      <c r="DO2242"/>
      <c r="DP2242"/>
      <c r="DQ2242"/>
      <c r="DR2242"/>
      <c r="DS2242"/>
      <c r="DT2242"/>
      <c r="DU2242"/>
      <c r="DV2242"/>
      <c r="DW2242"/>
      <c r="DX2242"/>
      <c r="DY2242"/>
      <c r="DZ2242"/>
      <c r="EA2242"/>
      <c r="EB2242"/>
      <c r="EC2242"/>
      <c r="ED2242"/>
      <c r="EE2242"/>
      <c r="EF2242"/>
      <c r="EG2242"/>
      <c r="EH2242"/>
      <c r="EI2242"/>
      <c r="EJ2242"/>
      <c r="EK2242"/>
      <c r="EL2242"/>
      <c r="EM2242"/>
      <c r="EN2242"/>
      <c r="EO2242"/>
      <c r="EP2242"/>
      <c r="EQ2242"/>
      <c r="ER2242"/>
      <c r="ES2242"/>
    </row>
    <row r="2243" spans="1:149">
      <c r="A2243"/>
      <c r="B2243"/>
      <c r="C2243"/>
      <c r="D2243"/>
      <c r="E2243"/>
      <c r="F2243"/>
      <c r="G2243"/>
      <c r="H2243"/>
      <c r="I2243"/>
      <c r="J2243"/>
      <c r="K2243"/>
      <c r="L2243"/>
      <c r="M2243"/>
      <c r="N2243"/>
      <c r="O2243"/>
      <c r="P2243"/>
      <c r="Q2243"/>
      <c r="R2243"/>
      <c r="S2243"/>
      <c r="T2243"/>
      <c r="U2243"/>
      <c r="V2243"/>
      <c r="W2243"/>
      <c r="X2243"/>
      <c r="Y2243"/>
      <c r="Z2243"/>
      <c r="AA2243"/>
      <c r="AB2243"/>
      <c r="AC2243"/>
      <c r="AD2243"/>
      <c r="AE2243"/>
      <c r="AF2243"/>
      <c r="AG2243"/>
      <c r="AH2243"/>
      <c r="AI2243"/>
      <c r="AJ2243"/>
      <c r="AK2243"/>
      <c r="AL2243"/>
      <c r="AM2243"/>
      <c r="AN2243"/>
      <c r="AO2243"/>
      <c r="AP2243"/>
      <c r="AQ2243"/>
      <c r="AR2243"/>
      <c r="AS2243"/>
      <c r="AT2243"/>
      <c r="AU2243"/>
      <c r="AV2243"/>
      <c r="AW2243"/>
      <c r="AX2243"/>
      <c r="AY2243"/>
      <c r="AZ2243"/>
      <c r="BA2243"/>
      <c r="BB2243"/>
      <c r="BC2243"/>
      <c r="BD2243"/>
      <c r="BE2243"/>
      <c r="BF2243"/>
      <c r="BG2243"/>
      <c r="BH2243"/>
      <c r="BI2243"/>
      <c r="BJ2243"/>
      <c r="BK2243"/>
      <c r="BL2243"/>
      <c r="BM2243"/>
      <c r="BN2243"/>
      <c r="BO2243"/>
      <c r="BP2243"/>
      <c r="BQ2243"/>
      <c r="BR2243"/>
      <c r="BS2243"/>
      <c r="BT2243"/>
      <c r="BU2243"/>
      <c r="BV2243"/>
      <c r="BW2243"/>
      <c r="BX2243"/>
      <c r="BY2243"/>
      <c r="BZ2243"/>
      <c r="CA2243"/>
      <c r="CB2243"/>
      <c r="CC2243"/>
      <c r="CD2243"/>
      <c r="CE2243"/>
      <c r="CF2243"/>
      <c r="CG2243"/>
      <c r="CH2243"/>
      <c r="CI2243"/>
      <c r="CJ2243"/>
      <c r="CK2243"/>
      <c r="CL2243"/>
      <c r="CM2243"/>
      <c r="CN2243"/>
      <c r="CO2243"/>
      <c r="CP2243"/>
      <c r="CQ2243"/>
      <c r="CR2243"/>
      <c r="CS2243"/>
      <c r="CT2243"/>
      <c r="CU2243"/>
      <c r="CV2243"/>
      <c r="CW2243"/>
      <c r="CX2243"/>
      <c r="CY2243"/>
      <c r="CZ2243"/>
      <c r="DA2243"/>
      <c r="DB2243"/>
      <c r="DC2243"/>
      <c r="DD2243"/>
      <c r="DE2243"/>
      <c r="DF2243"/>
      <c r="DG2243"/>
      <c r="DH2243"/>
      <c r="DI2243"/>
      <c r="DJ2243"/>
      <c r="DK2243"/>
      <c r="DL2243"/>
      <c r="DM2243"/>
      <c r="DN2243"/>
      <c r="DO2243"/>
      <c r="DP2243"/>
      <c r="DQ2243"/>
      <c r="DR2243"/>
      <c r="DS2243"/>
      <c r="DT2243"/>
      <c r="DU2243"/>
      <c r="DV2243"/>
      <c r="DW2243"/>
      <c r="DX2243"/>
      <c r="DY2243"/>
      <c r="DZ2243"/>
      <c r="EA2243"/>
      <c r="EB2243"/>
      <c r="EC2243"/>
      <c r="ED2243"/>
      <c r="EE2243"/>
      <c r="EF2243"/>
      <c r="EG2243"/>
      <c r="EH2243"/>
      <c r="EI2243"/>
      <c r="EJ2243"/>
      <c r="EK2243"/>
      <c r="EL2243"/>
      <c r="EM2243"/>
      <c r="EN2243"/>
      <c r="EO2243"/>
      <c r="EP2243"/>
      <c r="EQ2243"/>
      <c r="ER2243"/>
      <c r="ES2243"/>
    </row>
    <row r="2244" spans="1:149">
      <c r="A2244"/>
      <c r="B2244"/>
      <c r="C2244"/>
      <c r="D2244"/>
      <c r="E2244"/>
      <c r="F2244"/>
      <c r="G2244"/>
      <c r="H2244"/>
      <c r="I2244"/>
      <c r="J2244"/>
      <c r="K2244"/>
      <c r="L2244"/>
      <c r="M2244"/>
      <c r="N2244"/>
      <c r="O2244"/>
      <c r="P2244"/>
      <c r="Q2244"/>
      <c r="R2244"/>
      <c r="S2244"/>
      <c r="T2244"/>
      <c r="U2244"/>
      <c r="V2244"/>
      <c r="W2244"/>
      <c r="X2244"/>
      <c r="Y2244"/>
      <c r="Z2244"/>
      <c r="AA2244"/>
      <c r="AB2244"/>
      <c r="AC2244"/>
      <c r="AD2244"/>
      <c r="AE2244"/>
      <c r="AF2244"/>
      <c r="AG2244"/>
      <c r="AH2244"/>
      <c r="AI2244"/>
      <c r="AJ2244"/>
      <c r="AK2244"/>
      <c r="AL2244"/>
      <c r="AM2244"/>
      <c r="AN2244"/>
      <c r="AO2244"/>
      <c r="AP2244"/>
      <c r="AQ2244"/>
      <c r="AR2244"/>
      <c r="AS2244"/>
      <c r="AT2244"/>
      <c r="AU2244"/>
      <c r="AV2244"/>
      <c r="AW2244"/>
      <c r="AX2244"/>
      <c r="AY2244"/>
      <c r="AZ2244"/>
      <c r="BA2244"/>
      <c r="BB2244"/>
      <c r="BC2244"/>
      <c r="BD2244"/>
      <c r="BE2244"/>
      <c r="BF2244"/>
      <c r="BG2244"/>
      <c r="BH2244"/>
      <c r="BI2244"/>
      <c r="BJ2244"/>
      <c r="BK2244"/>
      <c r="BL2244"/>
      <c r="BM2244"/>
      <c r="BN2244"/>
      <c r="BO2244"/>
      <c r="BP2244"/>
      <c r="BQ2244"/>
      <c r="BR2244"/>
      <c r="BS2244"/>
      <c r="BT2244"/>
      <c r="BU2244"/>
      <c r="BV2244"/>
      <c r="BW2244"/>
      <c r="BX2244"/>
      <c r="BY2244"/>
      <c r="BZ2244"/>
      <c r="CA2244"/>
      <c r="CB2244"/>
      <c r="CC2244"/>
      <c r="CD2244"/>
      <c r="CE2244"/>
      <c r="CF2244"/>
      <c r="CG2244"/>
      <c r="CH2244"/>
      <c r="CI2244"/>
      <c r="CJ2244"/>
      <c r="CK2244"/>
      <c r="CL2244"/>
      <c r="CM2244"/>
      <c r="CN2244"/>
      <c r="CO2244"/>
      <c r="CP2244"/>
      <c r="CQ2244"/>
      <c r="CR2244"/>
      <c r="CS2244"/>
      <c r="CT2244"/>
      <c r="CU2244"/>
      <c r="CV2244"/>
      <c r="CW2244"/>
      <c r="CX2244"/>
      <c r="CY2244"/>
      <c r="CZ2244"/>
      <c r="DA2244"/>
      <c r="DB2244"/>
      <c r="DC2244"/>
      <c r="DD2244"/>
      <c r="DE2244"/>
      <c r="DF2244"/>
      <c r="DG2244"/>
      <c r="DH2244"/>
      <c r="DI2244"/>
      <c r="DJ2244"/>
      <c r="DK2244"/>
      <c r="DL2244"/>
      <c r="DM2244"/>
      <c r="DN2244"/>
      <c r="DO2244"/>
      <c r="DP2244"/>
      <c r="DQ2244"/>
      <c r="DR2244"/>
      <c r="DS2244"/>
      <c r="DT2244"/>
      <c r="DU2244"/>
      <c r="DV2244"/>
      <c r="DW2244"/>
      <c r="DX2244"/>
      <c r="DY2244"/>
      <c r="DZ2244"/>
      <c r="EA2244"/>
      <c r="EB2244"/>
      <c r="EC2244"/>
      <c r="ED2244"/>
      <c r="EE2244"/>
      <c r="EF2244"/>
      <c r="EG2244"/>
      <c r="EH2244"/>
      <c r="EI2244"/>
      <c r="EJ2244"/>
      <c r="EK2244"/>
      <c r="EL2244"/>
      <c r="EM2244"/>
      <c r="EN2244"/>
      <c r="EO2244"/>
      <c r="EP2244"/>
      <c r="EQ2244"/>
      <c r="ER2244"/>
      <c r="ES2244"/>
    </row>
    <row r="2245" spans="1:149">
      <c r="A2245"/>
      <c r="B2245"/>
      <c r="C2245"/>
      <c r="D2245"/>
      <c r="E2245"/>
      <c r="F2245"/>
      <c r="G2245"/>
      <c r="H2245"/>
      <c r="I2245"/>
      <c r="J2245"/>
      <c r="K2245"/>
      <c r="L2245"/>
      <c r="M2245"/>
      <c r="N2245"/>
      <c r="O2245"/>
      <c r="P2245"/>
      <c r="Q2245"/>
      <c r="R2245"/>
      <c r="S2245"/>
      <c r="T2245"/>
      <c r="U2245"/>
      <c r="V2245"/>
      <c r="W2245"/>
      <c r="X2245"/>
      <c r="Y2245"/>
      <c r="Z2245"/>
      <c r="AA2245"/>
      <c r="AB2245"/>
      <c r="AC2245"/>
      <c r="AD2245"/>
      <c r="AE2245"/>
      <c r="AF2245"/>
      <c r="AG2245"/>
      <c r="AH2245"/>
      <c r="AI2245"/>
      <c r="AJ2245"/>
      <c r="AK2245"/>
      <c r="AL2245"/>
      <c r="AM2245"/>
      <c r="AN2245"/>
      <c r="AO2245"/>
      <c r="AP2245"/>
      <c r="AQ2245"/>
      <c r="AR2245"/>
      <c r="AS2245"/>
      <c r="AT2245"/>
      <c r="AU2245"/>
      <c r="AV2245"/>
      <c r="AW2245"/>
      <c r="AX2245"/>
      <c r="AY2245"/>
      <c r="AZ2245"/>
      <c r="BA2245"/>
      <c r="BB2245"/>
      <c r="BC2245"/>
      <c r="BD2245"/>
      <c r="BE2245"/>
      <c r="BF2245"/>
      <c r="BG2245"/>
      <c r="BH2245"/>
      <c r="BI2245"/>
      <c r="BJ2245"/>
      <c r="BK2245"/>
      <c r="BL2245"/>
      <c r="BM2245"/>
      <c r="BN2245"/>
      <c r="BO2245"/>
      <c r="BP2245"/>
      <c r="BQ2245"/>
      <c r="BR2245"/>
      <c r="BS2245"/>
      <c r="BT2245"/>
      <c r="BU2245"/>
      <c r="BV2245"/>
      <c r="BW2245"/>
      <c r="BX2245"/>
      <c r="BY2245"/>
      <c r="BZ2245"/>
      <c r="CA2245"/>
      <c r="CB2245"/>
      <c r="CC2245"/>
      <c r="CD2245"/>
      <c r="CE2245"/>
      <c r="CF2245"/>
      <c r="CG2245"/>
      <c r="CH2245"/>
      <c r="CI2245"/>
      <c r="CJ2245"/>
      <c r="CK2245"/>
      <c r="CL2245"/>
      <c r="CM2245"/>
      <c r="CN2245"/>
      <c r="CO2245"/>
      <c r="CP2245"/>
      <c r="CQ2245"/>
      <c r="CR2245"/>
      <c r="CS2245"/>
      <c r="CT2245"/>
      <c r="CU2245"/>
      <c r="CV2245"/>
      <c r="CW2245"/>
      <c r="CX2245"/>
      <c r="CY2245"/>
      <c r="CZ2245"/>
      <c r="DA2245"/>
      <c r="DB2245"/>
      <c r="DC2245"/>
      <c r="DD2245"/>
      <c r="DE2245"/>
      <c r="DF2245"/>
      <c r="DG2245"/>
      <c r="DH2245"/>
      <c r="DI2245"/>
      <c r="DJ2245"/>
      <c r="DK2245"/>
      <c r="DL2245"/>
      <c r="DM2245"/>
      <c r="DN2245"/>
      <c r="DO2245"/>
      <c r="DP2245"/>
      <c r="DQ2245"/>
      <c r="DR2245"/>
      <c r="DS2245"/>
      <c r="DT2245"/>
      <c r="DU2245"/>
      <c r="DV2245"/>
      <c r="DW2245"/>
      <c r="DX2245"/>
      <c r="DY2245"/>
      <c r="DZ2245"/>
      <c r="EA2245"/>
      <c r="EB2245"/>
      <c r="EC2245"/>
      <c r="ED2245"/>
      <c r="EE2245"/>
      <c r="EF2245"/>
      <c r="EG2245"/>
      <c r="EH2245"/>
      <c r="EI2245"/>
      <c r="EJ2245"/>
      <c r="EK2245"/>
      <c r="EL2245"/>
      <c r="EM2245"/>
      <c r="EN2245"/>
      <c r="EO2245"/>
      <c r="EP2245"/>
      <c r="EQ2245"/>
      <c r="ER2245"/>
      <c r="ES2245"/>
    </row>
    <row r="2246" spans="1:149">
      <c r="A2246"/>
      <c r="B2246"/>
      <c r="C2246"/>
      <c r="D2246"/>
      <c r="E2246"/>
      <c r="F2246"/>
      <c r="G2246"/>
      <c r="H2246"/>
      <c r="I2246"/>
      <c r="J2246"/>
      <c r="K2246"/>
      <c r="L2246"/>
      <c r="M2246"/>
      <c r="N2246"/>
      <c r="O2246"/>
      <c r="P2246"/>
      <c r="Q2246"/>
      <c r="R2246"/>
      <c r="S2246"/>
      <c r="T2246"/>
      <c r="U2246"/>
      <c r="V2246"/>
      <c r="W2246"/>
      <c r="X2246"/>
      <c r="Y2246"/>
      <c r="Z2246"/>
      <c r="AA2246"/>
      <c r="AB2246"/>
      <c r="AC2246"/>
      <c r="AD2246"/>
      <c r="AE2246"/>
      <c r="AF2246"/>
      <c r="AG2246"/>
      <c r="AH2246"/>
      <c r="AI2246"/>
      <c r="AJ2246"/>
      <c r="AK2246"/>
      <c r="AL2246"/>
      <c r="AM2246"/>
      <c r="AN2246"/>
      <c r="AO2246"/>
      <c r="AP2246"/>
      <c r="AQ2246"/>
      <c r="AR2246"/>
      <c r="AS2246"/>
      <c r="AT2246"/>
      <c r="AU2246"/>
      <c r="AV2246"/>
      <c r="AW2246"/>
      <c r="AX2246"/>
      <c r="AY2246"/>
      <c r="AZ2246"/>
      <c r="BA2246"/>
      <c r="BB2246"/>
      <c r="BC2246"/>
      <c r="BD2246"/>
      <c r="BE2246"/>
      <c r="BF2246"/>
      <c r="BG2246"/>
      <c r="BH2246"/>
      <c r="BI2246"/>
      <c r="BJ2246"/>
      <c r="BK2246"/>
      <c r="BL2246"/>
      <c r="BM2246"/>
      <c r="BN2246"/>
      <c r="BO2246"/>
      <c r="BP2246"/>
      <c r="BQ2246"/>
      <c r="BR2246"/>
      <c r="BS2246"/>
      <c r="BT2246"/>
      <c r="BU2246"/>
      <c r="BV2246"/>
      <c r="BW2246"/>
      <c r="BX2246"/>
      <c r="BY2246"/>
      <c r="BZ2246"/>
      <c r="CA2246"/>
      <c r="CB2246"/>
      <c r="CC2246"/>
      <c r="CD2246"/>
      <c r="CE2246"/>
      <c r="CF2246"/>
      <c r="CG2246"/>
      <c r="CH2246"/>
      <c r="CI2246"/>
      <c r="CJ2246"/>
      <c r="CK2246"/>
      <c r="CL2246"/>
      <c r="CM2246"/>
      <c r="CN2246"/>
      <c r="CO2246"/>
      <c r="CP2246"/>
      <c r="CQ2246"/>
      <c r="CR2246"/>
      <c r="CS2246"/>
      <c r="CT2246"/>
      <c r="CU2246"/>
      <c r="CV2246"/>
      <c r="CW2246"/>
      <c r="CX2246"/>
      <c r="CY2246"/>
      <c r="CZ2246"/>
      <c r="DA2246"/>
      <c r="DB2246"/>
      <c r="DC2246"/>
      <c r="DD2246"/>
      <c r="DE2246"/>
      <c r="DF2246"/>
      <c r="DG2246"/>
      <c r="DH2246"/>
      <c r="DI2246"/>
      <c r="DJ2246"/>
      <c r="DK2246"/>
      <c r="DL2246"/>
      <c r="DM2246"/>
      <c r="DN2246"/>
      <c r="DO2246"/>
      <c r="DP2246"/>
      <c r="DQ2246"/>
      <c r="DR2246"/>
      <c r="DS2246"/>
      <c r="DT2246"/>
      <c r="DU2246"/>
      <c r="DV2246"/>
      <c r="DW2246"/>
      <c r="DX2246"/>
      <c r="DY2246"/>
      <c r="DZ2246"/>
      <c r="EA2246"/>
      <c r="EB2246"/>
      <c r="EC2246"/>
      <c r="ED2246"/>
      <c r="EE2246"/>
      <c r="EF2246"/>
      <c r="EG2246"/>
      <c r="EH2246"/>
      <c r="EI2246"/>
      <c r="EJ2246"/>
      <c r="EK2246"/>
      <c r="EL2246"/>
      <c r="EM2246"/>
      <c r="EN2246"/>
      <c r="EO2246"/>
      <c r="EP2246"/>
      <c r="EQ2246"/>
      <c r="ER2246"/>
      <c r="ES2246"/>
    </row>
    <row r="2247" spans="1:149">
      <c r="A2247"/>
      <c r="B2247"/>
      <c r="C2247"/>
      <c r="D2247"/>
      <c r="E2247"/>
      <c r="F2247"/>
      <c r="G2247"/>
      <c r="H2247"/>
      <c r="I2247"/>
      <c r="J2247"/>
      <c r="K2247"/>
      <c r="L2247"/>
      <c r="M2247"/>
      <c r="N2247"/>
      <c r="O2247"/>
      <c r="P2247"/>
      <c r="Q2247"/>
      <c r="R2247"/>
      <c r="S2247"/>
      <c r="T2247"/>
      <c r="U2247"/>
      <c r="V2247"/>
      <c r="W2247"/>
      <c r="X2247"/>
      <c r="Y2247"/>
      <c r="Z2247"/>
      <c r="AA2247"/>
      <c r="AB2247"/>
      <c r="AC2247"/>
      <c r="AD2247"/>
      <c r="AE2247"/>
      <c r="AF2247"/>
      <c r="AG2247"/>
      <c r="AH2247"/>
      <c r="AI2247"/>
      <c r="AJ2247"/>
      <c r="AK2247"/>
      <c r="AL2247"/>
      <c r="AM2247"/>
      <c r="AN2247"/>
      <c r="AO2247"/>
      <c r="AP2247"/>
      <c r="AQ2247"/>
      <c r="AR2247"/>
      <c r="AS2247"/>
      <c r="AT2247"/>
      <c r="AU2247"/>
      <c r="AV2247"/>
      <c r="AW2247"/>
      <c r="AX2247"/>
      <c r="AY2247"/>
      <c r="AZ2247"/>
      <c r="BA2247"/>
      <c r="BB2247"/>
      <c r="BC2247"/>
      <c r="BD2247"/>
      <c r="BE2247"/>
      <c r="BF2247"/>
      <c r="BG2247"/>
      <c r="BH2247"/>
      <c r="BI2247"/>
      <c r="BJ2247"/>
      <c r="BK2247"/>
      <c r="BL2247"/>
      <c r="BM2247"/>
      <c r="BN2247"/>
      <c r="BO2247"/>
      <c r="BP2247"/>
      <c r="BQ2247"/>
      <c r="BR2247"/>
      <c r="BS2247"/>
      <c r="BT2247"/>
      <c r="BU2247"/>
      <c r="BV2247"/>
      <c r="BW2247"/>
      <c r="BX2247"/>
      <c r="BY2247"/>
      <c r="BZ2247"/>
      <c r="CA2247"/>
      <c r="CB2247"/>
      <c r="CC2247"/>
      <c r="CD2247"/>
      <c r="CE2247"/>
      <c r="CF2247"/>
      <c r="CG2247"/>
      <c r="CH2247"/>
      <c r="CI2247"/>
      <c r="CJ2247"/>
      <c r="CK2247"/>
      <c r="CL2247"/>
      <c r="CM2247"/>
      <c r="CN2247"/>
      <c r="CO2247"/>
      <c r="CP2247"/>
      <c r="CQ2247"/>
      <c r="CR2247"/>
      <c r="CS2247"/>
      <c r="CT2247"/>
      <c r="CU2247"/>
      <c r="CV2247"/>
      <c r="CW2247"/>
      <c r="CX2247"/>
      <c r="CY2247"/>
      <c r="CZ2247"/>
      <c r="DA2247"/>
      <c r="DB2247"/>
      <c r="DC2247"/>
      <c r="DD2247"/>
      <c r="DE2247"/>
      <c r="DF2247"/>
      <c r="DG2247"/>
      <c r="DH2247"/>
      <c r="DI2247"/>
      <c r="DJ2247"/>
      <c r="DK2247"/>
      <c r="DL2247"/>
      <c r="DM2247"/>
      <c r="DN2247"/>
      <c r="DO2247"/>
      <c r="DP2247"/>
      <c r="DQ2247"/>
      <c r="DR2247"/>
      <c r="DS2247"/>
      <c r="DT2247"/>
      <c r="DU2247"/>
      <c r="DV2247"/>
      <c r="DW2247"/>
      <c r="DX2247"/>
      <c r="DY2247"/>
      <c r="DZ2247"/>
      <c r="EA2247"/>
      <c r="EB2247"/>
      <c r="EC2247"/>
      <c r="ED2247"/>
      <c r="EE2247"/>
      <c r="EF2247"/>
      <c r="EG2247"/>
      <c r="EH2247"/>
      <c r="EI2247"/>
      <c r="EJ2247"/>
      <c r="EK2247"/>
      <c r="EL2247"/>
      <c r="EM2247"/>
      <c r="EN2247"/>
      <c r="EO2247"/>
      <c r="EP2247"/>
      <c r="EQ2247"/>
      <c r="ER2247"/>
      <c r="ES2247"/>
    </row>
    <row r="2248" spans="1:149">
      <c r="A2248"/>
      <c r="B2248"/>
      <c r="C2248"/>
      <c r="D2248"/>
      <c r="E2248"/>
      <c r="F2248"/>
      <c r="G2248"/>
      <c r="H2248"/>
      <c r="I2248"/>
      <c r="J2248"/>
      <c r="K2248"/>
      <c r="L2248"/>
      <c r="M2248"/>
      <c r="N2248"/>
      <c r="O2248"/>
      <c r="P2248"/>
      <c r="Q2248"/>
      <c r="R2248"/>
      <c r="S2248"/>
      <c r="T2248"/>
      <c r="U2248"/>
      <c r="V2248"/>
      <c r="W2248"/>
      <c r="X2248"/>
      <c r="Y2248"/>
      <c r="Z2248"/>
      <c r="AA2248"/>
      <c r="AB2248"/>
      <c r="AC2248"/>
      <c r="AD2248"/>
      <c r="AE2248"/>
      <c r="AF2248"/>
      <c r="AG2248"/>
      <c r="AH2248"/>
      <c r="AI2248"/>
      <c r="AJ2248"/>
      <c r="AK2248"/>
      <c r="AL2248"/>
      <c r="AM2248"/>
      <c r="AN2248"/>
      <c r="AO2248"/>
      <c r="AP2248"/>
      <c r="AQ2248"/>
      <c r="AR2248"/>
      <c r="AS2248"/>
      <c r="AT2248"/>
      <c r="AU2248"/>
      <c r="AV2248"/>
      <c r="AW2248"/>
      <c r="AX2248"/>
      <c r="AY2248"/>
      <c r="AZ2248"/>
      <c r="BA2248"/>
      <c r="BB2248"/>
      <c r="BC2248"/>
      <c r="BD2248"/>
      <c r="BE2248"/>
      <c r="BF2248"/>
      <c r="BG2248"/>
      <c r="BH2248"/>
      <c r="BI2248"/>
      <c r="BJ2248"/>
      <c r="BK2248"/>
      <c r="BL2248"/>
      <c r="BM2248"/>
      <c r="BN2248"/>
      <c r="BO2248"/>
      <c r="BP2248"/>
      <c r="BQ2248"/>
      <c r="BR2248"/>
      <c r="BS2248"/>
      <c r="BT2248"/>
      <c r="BU2248"/>
      <c r="BV2248"/>
      <c r="BW2248"/>
      <c r="BX2248"/>
      <c r="BY2248"/>
      <c r="BZ2248"/>
      <c r="CA2248"/>
      <c r="CB2248"/>
      <c r="CC2248"/>
      <c r="CD2248"/>
      <c r="CE2248"/>
      <c r="CF2248"/>
      <c r="CG2248"/>
      <c r="CH2248"/>
      <c r="CI2248"/>
      <c r="CJ2248"/>
      <c r="CK2248"/>
      <c r="CL2248"/>
      <c r="CM2248"/>
      <c r="CN2248"/>
      <c r="CO2248"/>
      <c r="CP2248"/>
      <c r="CQ2248"/>
      <c r="CR2248"/>
      <c r="CS2248"/>
      <c r="CT2248"/>
      <c r="CU2248"/>
      <c r="CV2248"/>
      <c r="CW2248"/>
      <c r="CX2248"/>
      <c r="CY2248"/>
      <c r="CZ2248"/>
      <c r="DA2248"/>
      <c r="DB2248"/>
      <c r="DC2248"/>
      <c r="DD2248"/>
      <c r="DE2248"/>
      <c r="DF2248"/>
      <c r="DG2248"/>
      <c r="DH2248"/>
      <c r="DI2248"/>
      <c r="DJ2248"/>
      <c r="DK2248"/>
      <c r="DL2248"/>
      <c r="DM2248"/>
      <c r="DN2248"/>
      <c r="DO2248"/>
      <c r="DP2248"/>
      <c r="DQ2248"/>
      <c r="DR2248"/>
      <c r="DS2248"/>
      <c r="DT2248"/>
      <c r="DU2248"/>
      <c r="DV2248"/>
      <c r="DW2248"/>
      <c r="DX2248"/>
      <c r="DY2248"/>
      <c r="DZ2248"/>
      <c r="EA2248"/>
      <c r="EB2248"/>
      <c r="EC2248"/>
      <c r="ED2248"/>
      <c r="EE2248"/>
      <c r="EF2248"/>
      <c r="EG2248"/>
      <c r="EH2248"/>
      <c r="EI2248"/>
      <c r="EJ2248"/>
      <c r="EK2248"/>
      <c r="EL2248"/>
      <c r="EM2248"/>
      <c r="EN2248"/>
      <c r="EO2248"/>
      <c r="EP2248"/>
      <c r="EQ2248"/>
      <c r="ER2248"/>
      <c r="ES2248"/>
    </row>
    <row r="2249" spans="1:149">
      <c r="A2249"/>
      <c r="B2249"/>
      <c r="C2249"/>
      <c r="D2249"/>
      <c r="E2249"/>
      <c r="F2249"/>
      <c r="G2249"/>
      <c r="H2249"/>
      <c r="I2249"/>
      <c r="J2249"/>
      <c r="K2249"/>
      <c r="L2249"/>
      <c r="M2249"/>
      <c r="N2249"/>
      <c r="O2249"/>
      <c r="P2249"/>
      <c r="Q2249"/>
      <c r="R2249"/>
      <c r="S2249"/>
      <c r="T2249"/>
      <c r="U2249"/>
      <c r="V2249"/>
      <c r="W2249"/>
      <c r="X2249"/>
      <c r="Y2249"/>
      <c r="Z2249"/>
      <c r="AA2249"/>
      <c r="AB2249"/>
      <c r="AC2249"/>
      <c r="AD2249"/>
      <c r="AE2249"/>
      <c r="AF2249"/>
      <c r="AG2249"/>
      <c r="AH2249"/>
      <c r="AI2249"/>
      <c r="AJ2249"/>
      <c r="AK2249"/>
      <c r="AL2249"/>
      <c r="AM2249"/>
      <c r="AN2249"/>
      <c r="AO2249"/>
      <c r="AP2249"/>
      <c r="AQ2249"/>
      <c r="AR2249"/>
      <c r="AS2249"/>
      <c r="AT2249"/>
      <c r="AU2249"/>
      <c r="AV2249"/>
      <c r="AW2249"/>
      <c r="AX2249"/>
      <c r="AY2249"/>
      <c r="AZ2249"/>
      <c r="BA2249"/>
      <c r="BB2249"/>
      <c r="BC2249"/>
      <c r="BD2249"/>
      <c r="BE2249"/>
      <c r="BF2249"/>
      <c r="BG2249"/>
      <c r="BH2249"/>
      <c r="BI2249"/>
      <c r="BJ2249"/>
      <c r="BK2249"/>
      <c r="BL2249"/>
      <c r="BM2249"/>
      <c r="BN2249"/>
      <c r="BO2249"/>
      <c r="BP2249"/>
      <c r="BQ2249"/>
      <c r="BR2249"/>
      <c r="BS2249"/>
      <c r="BT2249"/>
      <c r="BU2249"/>
      <c r="BV2249"/>
      <c r="BW2249"/>
      <c r="BX2249"/>
      <c r="BY2249"/>
      <c r="BZ2249"/>
      <c r="CA2249"/>
      <c r="CB2249"/>
      <c r="CC2249"/>
      <c r="CD2249"/>
      <c r="CE2249"/>
      <c r="CF2249"/>
      <c r="CG2249"/>
      <c r="CH2249"/>
      <c r="CI2249"/>
      <c r="CJ2249"/>
      <c r="CK2249"/>
      <c r="CL2249"/>
      <c r="CM2249"/>
      <c r="CN2249"/>
      <c r="CO2249"/>
      <c r="CP2249"/>
      <c r="CQ2249"/>
      <c r="CR2249"/>
      <c r="CS2249"/>
      <c r="CT2249"/>
      <c r="CU2249"/>
      <c r="CV2249"/>
      <c r="CW2249"/>
      <c r="CX2249"/>
      <c r="CY2249"/>
      <c r="CZ2249"/>
      <c r="DA2249"/>
      <c r="DB2249"/>
      <c r="DC2249"/>
      <c r="DD2249"/>
      <c r="DE2249"/>
      <c r="DF2249"/>
      <c r="DG2249"/>
      <c r="DH2249"/>
      <c r="DI2249"/>
      <c r="DJ2249"/>
      <c r="DK2249"/>
      <c r="DL2249"/>
      <c r="DM2249"/>
      <c r="DN2249"/>
      <c r="DO2249"/>
      <c r="DP2249"/>
      <c r="DQ2249"/>
      <c r="DR2249"/>
      <c r="DS2249"/>
      <c r="DT2249"/>
      <c r="DU2249"/>
      <c r="DV2249"/>
      <c r="DW2249"/>
      <c r="DX2249"/>
      <c r="DY2249"/>
      <c r="DZ2249"/>
      <c r="EA2249"/>
      <c r="EB2249"/>
      <c r="EC2249"/>
      <c r="ED2249"/>
      <c r="EE2249"/>
      <c r="EF2249"/>
      <c r="EG2249"/>
      <c r="EH2249"/>
      <c r="EI2249"/>
      <c r="EJ2249"/>
      <c r="EK2249"/>
      <c r="EL2249"/>
      <c r="EM2249"/>
      <c r="EN2249"/>
      <c r="EO2249"/>
      <c r="EP2249"/>
      <c r="EQ2249"/>
      <c r="ER2249"/>
      <c r="ES2249"/>
    </row>
    <row r="2250" spans="1:149">
      <c r="A2250"/>
      <c r="B2250"/>
      <c r="C2250"/>
      <c r="D2250"/>
      <c r="E2250"/>
      <c r="F2250"/>
      <c r="G2250"/>
      <c r="H2250"/>
      <c r="I2250"/>
      <c r="J2250"/>
      <c r="K2250"/>
      <c r="L2250"/>
      <c r="M2250"/>
      <c r="N2250"/>
      <c r="O2250"/>
      <c r="P2250"/>
      <c r="Q2250"/>
      <c r="R2250"/>
      <c r="S2250"/>
      <c r="T2250"/>
      <c r="U2250"/>
      <c r="V2250"/>
      <c r="W2250"/>
      <c r="X2250"/>
      <c r="Y2250"/>
      <c r="Z2250"/>
      <c r="AA2250"/>
      <c r="AB2250"/>
      <c r="AC2250"/>
      <c r="AD2250"/>
      <c r="AE2250"/>
      <c r="AF2250"/>
      <c r="AG2250"/>
      <c r="AH2250"/>
      <c r="AI2250"/>
      <c r="AJ2250"/>
      <c r="AK2250"/>
      <c r="AL2250"/>
      <c r="AM2250"/>
      <c r="AN2250"/>
      <c r="AO2250"/>
      <c r="AP2250"/>
      <c r="AQ2250"/>
      <c r="AR2250"/>
      <c r="AS2250"/>
      <c r="AT2250"/>
      <c r="AU2250"/>
      <c r="AV2250"/>
      <c r="AW2250"/>
      <c r="AX2250"/>
      <c r="AY2250"/>
      <c r="AZ2250"/>
      <c r="BA2250"/>
      <c r="BB2250"/>
      <c r="BC2250"/>
      <c r="BD2250"/>
      <c r="BE2250"/>
      <c r="BF2250"/>
      <c r="BG2250"/>
      <c r="BH2250"/>
      <c r="BI2250"/>
      <c r="BJ2250"/>
      <c r="BK2250"/>
      <c r="BL2250"/>
      <c r="BM2250"/>
      <c r="BN2250"/>
      <c r="BO2250"/>
      <c r="BP2250"/>
      <c r="BQ2250"/>
      <c r="BR2250"/>
      <c r="BS2250"/>
      <c r="BT2250"/>
      <c r="BU2250"/>
      <c r="BV2250"/>
      <c r="BW2250"/>
      <c r="BX2250"/>
      <c r="BY2250"/>
      <c r="BZ2250"/>
      <c r="CA2250"/>
      <c r="CB2250"/>
      <c r="CC2250"/>
      <c r="CD2250"/>
      <c r="CE2250"/>
      <c r="CF2250"/>
      <c r="CG2250"/>
      <c r="CH2250"/>
      <c r="CI2250"/>
      <c r="CJ2250"/>
      <c r="CK2250"/>
      <c r="CL2250"/>
      <c r="CM2250"/>
      <c r="CN2250"/>
      <c r="CO2250"/>
      <c r="CP2250"/>
      <c r="CQ2250"/>
      <c r="CR2250"/>
      <c r="CS2250"/>
      <c r="CT2250"/>
      <c r="CU2250"/>
      <c r="CV2250"/>
      <c r="CW2250"/>
      <c r="CX2250"/>
      <c r="CY2250"/>
      <c r="CZ2250"/>
      <c r="DA2250"/>
      <c r="DB2250"/>
      <c r="DC2250"/>
      <c r="DD2250"/>
      <c r="DE2250"/>
      <c r="DF2250"/>
      <c r="DG2250"/>
      <c r="DH2250"/>
      <c r="DI2250"/>
      <c r="DJ2250"/>
      <c r="DK2250"/>
      <c r="DL2250"/>
      <c r="DM2250"/>
      <c r="DN2250"/>
      <c r="DO2250"/>
      <c r="DP2250"/>
      <c r="DQ2250"/>
      <c r="DR2250"/>
      <c r="DS2250"/>
      <c r="DT2250"/>
      <c r="DU2250"/>
      <c r="DV2250"/>
      <c r="DW2250"/>
      <c r="DX2250"/>
      <c r="DY2250"/>
      <c r="DZ2250"/>
      <c r="EA2250"/>
      <c r="EB2250"/>
      <c r="EC2250"/>
      <c r="ED2250"/>
      <c r="EE2250"/>
      <c r="EF2250"/>
      <c r="EG2250"/>
      <c r="EH2250"/>
      <c r="EI2250"/>
      <c r="EJ2250"/>
      <c r="EK2250"/>
      <c r="EL2250"/>
      <c r="EM2250"/>
      <c r="EN2250"/>
      <c r="EO2250"/>
      <c r="EP2250"/>
      <c r="EQ2250"/>
      <c r="ER2250"/>
      <c r="ES2250"/>
    </row>
    <row r="2251" spans="1:149">
      <c r="A2251"/>
      <c r="B2251"/>
      <c r="C2251"/>
      <c r="D2251"/>
      <c r="E2251"/>
      <c r="F2251"/>
      <c r="G2251"/>
      <c r="H2251"/>
      <c r="I2251"/>
      <c r="J2251"/>
      <c r="K2251"/>
      <c r="L2251"/>
      <c r="M2251"/>
      <c r="N2251"/>
      <c r="O2251"/>
      <c r="P2251"/>
      <c r="Q2251"/>
      <c r="R2251"/>
      <c r="S2251"/>
      <c r="T2251"/>
      <c r="U2251"/>
      <c r="V2251"/>
      <c r="W2251"/>
      <c r="X2251"/>
      <c r="Y2251"/>
      <c r="Z2251"/>
      <c r="AA2251"/>
      <c r="AB2251"/>
      <c r="AC2251"/>
      <c r="AD2251"/>
      <c r="AE2251"/>
      <c r="AF2251"/>
      <c r="AG2251"/>
      <c r="AH2251"/>
      <c r="AI2251"/>
      <c r="AJ2251"/>
      <c r="AK2251"/>
      <c r="AL2251"/>
      <c r="AM2251"/>
      <c r="AN2251"/>
      <c r="AO2251"/>
      <c r="AP2251"/>
      <c r="AQ2251"/>
      <c r="AR2251"/>
      <c r="AS2251"/>
      <c r="AT2251"/>
      <c r="AU2251"/>
      <c r="AV2251"/>
      <c r="AW2251"/>
      <c r="AX2251"/>
      <c r="AY2251"/>
      <c r="AZ2251"/>
      <c r="BA2251"/>
      <c r="BB2251"/>
      <c r="BC2251"/>
      <c r="BD2251"/>
      <c r="BE2251"/>
      <c r="BF2251"/>
      <c r="BG2251"/>
      <c r="BH2251"/>
      <c r="BI2251"/>
      <c r="BJ2251"/>
      <c r="BK2251"/>
      <c r="BL2251"/>
      <c r="BM2251"/>
      <c r="BN2251"/>
      <c r="BO2251"/>
      <c r="BP2251"/>
      <c r="BQ2251"/>
      <c r="BR2251"/>
      <c r="BS2251"/>
      <c r="BT2251"/>
      <c r="BU2251"/>
      <c r="BV2251"/>
      <c r="BW2251"/>
      <c r="BX2251"/>
      <c r="BY2251"/>
      <c r="BZ2251"/>
      <c r="CA2251"/>
      <c r="CB2251"/>
      <c r="CC2251"/>
      <c r="CD2251"/>
      <c r="CE2251"/>
      <c r="CF2251"/>
      <c r="CG2251"/>
      <c r="CH2251"/>
      <c r="CI2251"/>
      <c r="CJ2251"/>
      <c r="CK2251"/>
      <c r="CL2251"/>
      <c r="CM2251"/>
      <c r="CN2251"/>
      <c r="CO2251"/>
      <c r="CP2251"/>
      <c r="CQ2251"/>
      <c r="CR2251"/>
      <c r="CS2251"/>
      <c r="CT2251"/>
      <c r="CU2251"/>
      <c r="CV2251"/>
      <c r="CW2251"/>
      <c r="CX2251"/>
      <c r="CY2251"/>
      <c r="CZ2251"/>
      <c r="DA2251"/>
      <c r="DB2251"/>
      <c r="DC2251"/>
      <c r="DD2251"/>
      <c r="DE2251"/>
      <c r="DF2251"/>
      <c r="DG2251"/>
      <c r="DH2251"/>
      <c r="DI2251"/>
      <c r="DJ2251"/>
      <c r="DK2251"/>
      <c r="DL2251"/>
      <c r="DM2251"/>
      <c r="DN2251"/>
      <c r="DO2251"/>
      <c r="DP2251"/>
      <c r="DQ2251"/>
      <c r="DR2251"/>
      <c r="DS2251"/>
      <c r="DT2251"/>
      <c r="DU2251"/>
      <c r="DV2251"/>
      <c r="DW2251"/>
      <c r="DX2251"/>
      <c r="DY2251"/>
      <c r="DZ2251"/>
      <c r="EA2251"/>
      <c r="EB2251"/>
      <c r="EC2251"/>
      <c r="ED2251"/>
      <c r="EE2251"/>
      <c r="EF2251"/>
      <c r="EG2251"/>
      <c r="EH2251"/>
      <c r="EI2251"/>
      <c r="EJ2251"/>
      <c r="EK2251"/>
      <c r="EL2251"/>
      <c r="EM2251"/>
      <c r="EN2251"/>
      <c r="EO2251"/>
      <c r="EP2251"/>
      <c r="EQ2251"/>
      <c r="ER2251"/>
      <c r="ES2251"/>
    </row>
    <row r="2252" spans="1:149">
      <c r="A2252"/>
      <c r="B2252"/>
      <c r="C2252"/>
      <c r="D2252"/>
      <c r="E2252"/>
      <c r="F2252"/>
      <c r="G2252"/>
      <c r="H2252"/>
      <c r="I2252"/>
      <c r="J2252"/>
      <c r="K2252"/>
      <c r="L2252"/>
      <c r="M2252"/>
      <c r="N2252"/>
      <c r="O2252"/>
      <c r="P2252"/>
      <c r="Q2252"/>
      <c r="R2252"/>
      <c r="S2252"/>
      <c r="T2252"/>
      <c r="U2252"/>
      <c r="V2252"/>
      <c r="W2252"/>
      <c r="X2252"/>
      <c r="Y2252"/>
      <c r="Z2252"/>
      <c r="AA2252"/>
      <c r="AB2252"/>
      <c r="AC2252"/>
      <c r="AD2252"/>
      <c r="AE2252"/>
      <c r="AF2252"/>
      <c r="AG2252"/>
      <c r="AH2252"/>
      <c r="AI2252"/>
      <c r="AJ2252"/>
      <c r="AK2252"/>
      <c r="AL2252"/>
      <c r="AM2252"/>
      <c r="AN2252"/>
      <c r="AO2252"/>
      <c r="AP2252"/>
      <c r="AQ2252"/>
      <c r="AR2252"/>
      <c r="AS2252"/>
      <c r="AT2252"/>
      <c r="AU2252"/>
      <c r="AV2252"/>
      <c r="AW2252"/>
      <c r="AX2252"/>
      <c r="AY2252"/>
      <c r="AZ2252"/>
      <c r="BA2252"/>
      <c r="BB2252"/>
      <c r="BC2252"/>
      <c r="BD2252"/>
      <c r="BE2252"/>
      <c r="BF2252"/>
      <c r="BG2252"/>
      <c r="BH2252"/>
      <c r="BI2252"/>
      <c r="BJ2252"/>
      <c r="BK2252"/>
      <c r="BL2252"/>
      <c r="BM2252"/>
      <c r="BN2252"/>
      <c r="BO2252"/>
      <c r="BP2252"/>
      <c r="BQ2252"/>
      <c r="BR2252"/>
      <c r="BS2252"/>
      <c r="BT2252"/>
      <c r="BU2252"/>
      <c r="BV2252"/>
      <c r="BW2252"/>
      <c r="BX2252"/>
      <c r="BY2252"/>
      <c r="BZ2252"/>
      <c r="CA2252"/>
      <c r="CB2252"/>
      <c r="CC2252"/>
      <c r="CD2252"/>
      <c r="CE2252"/>
      <c r="CF2252"/>
      <c r="CG2252"/>
      <c r="CH2252"/>
      <c r="CI2252"/>
      <c r="CJ2252"/>
      <c r="CK2252"/>
      <c r="CL2252"/>
      <c r="CM2252"/>
      <c r="CN2252"/>
      <c r="CO2252"/>
      <c r="CP2252"/>
      <c r="CQ2252"/>
      <c r="CR2252"/>
      <c r="CS2252"/>
      <c r="CT2252"/>
      <c r="CU2252"/>
      <c r="CV2252"/>
      <c r="CW2252"/>
      <c r="CX2252"/>
      <c r="CY2252"/>
      <c r="CZ2252"/>
      <c r="DA2252"/>
      <c r="DB2252"/>
      <c r="DC2252"/>
      <c r="DD2252"/>
      <c r="DE2252"/>
      <c r="DF2252"/>
      <c r="DG2252"/>
      <c r="DH2252"/>
      <c r="DI2252"/>
      <c r="DJ2252"/>
      <c r="DK2252"/>
      <c r="DL2252"/>
      <c r="DM2252"/>
      <c r="DN2252"/>
      <c r="DO2252"/>
      <c r="DP2252"/>
      <c r="DQ2252"/>
      <c r="DR2252"/>
      <c r="DS2252"/>
      <c r="DT2252"/>
      <c r="DU2252"/>
      <c r="DV2252"/>
      <c r="DW2252"/>
      <c r="DX2252"/>
      <c r="DY2252"/>
      <c r="DZ2252"/>
      <c r="EA2252"/>
      <c r="EB2252"/>
      <c r="EC2252"/>
      <c r="ED2252"/>
      <c r="EE2252"/>
      <c r="EF2252"/>
      <c r="EG2252"/>
      <c r="EH2252"/>
      <c r="EI2252"/>
      <c r="EJ2252"/>
      <c r="EK2252"/>
      <c r="EL2252"/>
      <c r="EM2252"/>
      <c r="EN2252"/>
      <c r="EO2252"/>
      <c r="EP2252"/>
      <c r="EQ2252"/>
      <c r="ER2252"/>
      <c r="ES2252"/>
    </row>
    <row r="2253" spans="1:149">
      <c r="A2253"/>
      <c r="B2253"/>
      <c r="C2253"/>
      <c r="D2253"/>
      <c r="E2253"/>
      <c r="F2253"/>
      <c r="G2253"/>
      <c r="H2253"/>
      <c r="I2253"/>
      <c r="J2253"/>
      <c r="K2253"/>
      <c r="L2253"/>
      <c r="M2253"/>
      <c r="N2253"/>
      <c r="O2253"/>
      <c r="P2253"/>
      <c r="Q2253"/>
      <c r="R2253"/>
      <c r="S2253"/>
      <c r="T2253"/>
      <c r="U2253"/>
      <c r="V2253"/>
      <c r="W2253"/>
      <c r="X2253"/>
      <c r="Y2253"/>
      <c r="Z2253"/>
      <c r="AA2253"/>
      <c r="AB2253"/>
      <c r="AC2253"/>
      <c r="AD2253"/>
      <c r="AE2253"/>
      <c r="AF2253"/>
      <c r="AG2253"/>
      <c r="AH2253"/>
      <c r="AI2253"/>
      <c r="AJ2253"/>
      <c r="AK2253"/>
      <c r="AL2253"/>
      <c r="AM2253"/>
      <c r="AN2253"/>
      <c r="AO2253"/>
      <c r="AP2253"/>
      <c r="AQ2253"/>
      <c r="AR2253"/>
      <c r="AS2253"/>
      <c r="AT2253"/>
      <c r="AU2253"/>
      <c r="AV2253"/>
      <c r="AW2253"/>
      <c r="AX2253"/>
      <c r="AY2253"/>
      <c r="AZ2253"/>
      <c r="BA2253"/>
      <c r="BB2253"/>
      <c r="BC2253"/>
      <c r="BD2253"/>
      <c r="BE2253"/>
      <c r="BF2253"/>
      <c r="BG2253"/>
      <c r="BH2253"/>
      <c r="BI2253"/>
      <c r="BJ2253"/>
      <c r="BK2253"/>
      <c r="BL2253"/>
      <c r="BM2253"/>
      <c r="BN2253"/>
      <c r="BO2253"/>
      <c r="BP2253"/>
      <c r="BQ2253"/>
      <c r="BR2253"/>
      <c r="BS2253"/>
      <c r="BT2253"/>
      <c r="BU2253"/>
      <c r="BV2253"/>
      <c r="BW2253"/>
      <c r="BX2253"/>
      <c r="BY2253"/>
      <c r="BZ2253"/>
      <c r="CA2253"/>
      <c r="CB2253"/>
      <c r="CC2253"/>
      <c r="CD2253"/>
      <c r="CE2253"/>
      <c r="CF2253"/>
      <c r="CG2253"/>
      <c r="CH2253"/>
      <c r="CI2253"/>
      <c r="CJ2253"/>
      <c r="CK2253"/>
      <c r="CL2253"/>
      <c r="CM2253"/>
      <c r="CN2253"/>
      <c r="CO2253"/>
      <c r="CP2253"/>
      <c r="CQ2253"/>
      <c r="CR2253"/>
      <c r="CS2253"/>
      <c r="CT2253"/>
      <c r="CU2253"/>
      <c r="CV2253"/>
      <c r="CW2253"/>
      <c r="CX2253"/>
      <c r="CY2253"/>
      <c r="CZ2253"/>
      <c r="DA2253"/>
      <c r="DB2253"/>
      <c r="DC2253"/>
      <c r="DD2253"/>
      <c r="DE2253"/>
      <c r="DF2253"/>
      <c r="DG2253"/>
      <c r="DH2253"/>
      <c r="DI2253"/>
      <c r="DJ2253"/>
      <c r="DK2253"/>
      <c r="DL2253"/>
      <c r="DM2253"/>
      <c r="DN2253"/>
      <c r="DO2253"/>
      <c r="DP2253"/>
      <c r="DQ2253"/>
      <c r="DR2253"/>
      <c r="DS2253"/>
      <c r="DT2253"/>
      <c r="DU2253"/>
      <c r="DV2253"/>
      <c r="DW2253"/>
      <c r="DX2253"/>
      <c r="DY2253"/>
      <c r="DZ2253"/>
      <c r="EA2253"/>
      <c r="EB2253"/>
      <c r="EC2253"/>
      <c r="ED2253"/>
      <c r="EE2253"/>
      <c r="EF2253"/>
      <c r="EG2253"/>
      <c r="EH2253"/>
      <c r="EI2253"/>
      <c r="EJ2253"/>
      <c r="EK2253"/>
      <c r="EL2253"/>
      <c r="EM2253"/>
      <c r="EN2253"/>
      <c r="EO2253"/>
      <c r="EP2253"/>
      <c r="EQ2253"/>
      <c r="ER2253"/>
      <c r="ES2253"/>
    </row>
    <row r="2254" spans="1:149">
      <c r="A2254"/>
      <c r="B2254"/>
      <c r="C2254"/>
      <c r="D2254"/>
      <c r="E2254"/>
      <c r="F2254"/>
      <c r="G2254"/>
      <c r="H2254"/>
      <c r="I2254"/>
      <c r="J2254"/>
      <c r="K2254"/>
      <c r="L2254"/>
      <c r="M2254"/>
      <c r="N2254"/>
      <c r="O2254"/>
      <c r="P2254"/>
      <c r="Q2254"/>
      <c r="R2254"/>
      <c r="S2254"/>
      <c r="T2254"/>
      <c r="U2254"/>
      <c r="V2254"/>
      <c r="W2254"/>
      <c r="X2254"/>
      <c r="Y2254"/>
      <c r="Z2254"/>
      <c r="AA2254"/>
      <c r="AB2254"/>
      <c r="AC2254"/>
      <c r="AD2254"/>
      <c r="AE2254"/>
      <c r="AF2254"/>
      <c r="AG2254"/>
      <c r="AH2254"/>
      <c r="AI2254"/>
      <c r="AJ2254"/>
      <c r="AK2254"/>
      <c r="AL2254"/>
      <c r="AM2254"/>
      <c r="AN2254"/>
      <c r="AO2254"/>
      <c r="AP2254"/>
      <c r="AQ2254"/>
      <c r="AR2254"/>
      <c r="AS2254"/>
      <c r="AT2254"/>
      <c r="AU2254"/>
      <c r="AV2254"/>
      <c r="AW2254"/>
      <c r="AX2254"/>
      <c r="AY2254"/>
      <c r="AZ2254"/>
      <c r="BA2254"/>
      <c r="BB2254"/>
      <c r="BC2254"/>
      <c r="BD2254"/>
      <c r="BE2254"/>
      <c r="BF2254"/>
      <c r="BG2254"/>
      <c r="BH2254"/>
      <c r="BI2254"/>
      <c r="BJ2254"/>
      <c r="BK2254"/>
      <c r="BL2254"/>
      <c r="BM2254"/>
      <c r="BN2254"/>
      <c r="BO2254"/>
      <c r="BP2254"/>
      <c r="BQ2254"/>
      <c r="BR2254"/>
      <c r="BS2254"/>
      <c r="BT2254"/>
      <c r="BU2254"/>
      <c r="BV2254"/>
      <c r="BW2254"/>
      <c r="BX2254"/>
      <c r="BY2254"/>
      <c r="BZ2254"/>
      <c r="CA2254"/>
      <c r="CB2254"/>
      <c r="CC2254"/>
      <c r="CD2254"/>
      <c r="CE2254"/>
      <c r="CF2254"/>
      <c r="CG2254"/>
      <c r="CH2254"/>
      <c r="CI2254"/>
      <c r="CJ2254"/>
      <c r="CK2254"/>
      <c r="CL2254"/>
      <c r="CM2254"/>
      <c r="CN2254"/>
      <c r="CO2254"/>
      <c r="CP2254"/>
      <c r="CQ2254"/>
      <c r="CR2254"/>
      <c r="CS2254"/>
      <c r="CT2254"/>
      <c r="CU2254"/>
      <c r="CV2254"/>
      <c r="CW2254"/>
      <c r="CX2254"/>
      <c r="CY2254"/>
      <c r="CZ2254"/>
      <c r="DA2254"/>
      <c r="DB2254"/>
      <c r="DC2254"/>
      <c r="DD2254"/>
      <c r="DE2254"/>
      <c r="DF2254"/>
      <c r="DG2254"/>
      <c r="DH2254"/>
      <c r="DI2254"/>
      <c r="DJ2254"/>
      <c r="DK2254"/>
      <c r="DL2254"/>
      <c r="DM2254"/>
      <c r="DN2254"/>
      <c r="DO2254"/>
      <c r="DP2254"/>
      <c r="DQ2254"/>
      <c r="DR2254"/>
      <c r="DS2254"/>
      <c r="DT2254"/>
      <c r="DU2254"/>
      <c r="DV2254"/>
      <c r="DW2254"/>
      <c r="DX2254"/>
      <c r="DY2254"/>
      <c r="DZ2254"/>
      <c r="EA2254"/>
      <c r="EB2254"/>
      <c r="EC2254"/>
      <c r="ED2254"/>
      <c r="EE2254"/>
      <c r="EF2254"/>
      <c r="EG2254"/>
      <c r="EH2254"/>
      <c r="EI2254"/>
      <c r="EJ2254"/>
      <c r="EK2254"/>
      <c r="EL2254"/>
      <c r="EM2254"/>
      <c r="EN2254"/>
      <c r="EO2254"/>
      <c r="EP2254"/>
      <c r="EQ2254"/>
      <c r="ER2254"/>
      <c r="ES2254"/>
    </row>
    <row r="2255" spans="1:149">
      <c r="A2255"/>
      <c r="B2255"/>
      <c r="C2255"/>
      <c r="D2255"/>
      <c r="E2255"/>
      <c r="F2255"/>
      <c r="G2255"/>
      <c r="H2255"/>
      <c r="I2255"/>
      <c r="J2255"/>
      <c r="K2255"/>
      <c r="L2255"/>
      <c r="M2255"/>
      <c r="N2255"/>
      <c r="O2255"/>
      <c r="P2255"/>
      <c r="Q2255"/>
      <c r="R2255"/>
      <c r="S2255"/>
      <c r="T2255"/>
      <c r="U2255"/>
      <c r="V2255"/>
      <c r="W2255"/>
      <c r="X2255"/>
      <c r="Y2255"/>
      <c r="Z2255"/>
      <c r="AA2255"/>
      <c r="AB2255"/>
      <c r="AC2255"/>
      <c r="AD2255"/>
      <c r="AE2255"/>
      <c r="AF2255"/>
      <c r="AG2255"/>
      <c r="AH2255"/>
      <c r="AI2255"/>
      <c r="AJ2255"/>
      <c r="AK2255"/>
      <c r="AL2255"/>
      <c r="AM2255"/>
      <c r="AN2255"/>
      <c r="AO2255"/>
      <c r="AP2255"/>
      <c r="AQ2255"/>
      <c r="AR2255"/>
      <c r="AS2255"/>
      <c r="AT2255"/>
      <c r="AU2255"/>
      <c r="AV2255"/>
      <c r="AW2255"/>
      <c r="AX2255"/>
      <c r="AY2255"/>
      <c r="AZ2255"/>
      <c r="BA2255"/>
      <c r="BB2255"/>
      <c r="BC2255"/>
      <c r="BD2255"/>
      <c r="BE2255"/>
      <c r="BF2255"/>
      <c r="BG2255"/>
      <c r="BH2255"/>
      <c r="BI2255"/>
      <c r="BJ2255"/>
      <c r="BK2255"/>
      <c r="BL2255"/>
      <c r="BM2255"/>
      <c r="BN2255"/>
      <c r="BO2255"/>
      <c r="BP2255"/>
      <c r="BQ2255"/>
      <c r="BR2255"/>
      <c r="BS2255"/>
      <c r="BT2255"/>
      <c r="BU2255"/>
      <c r="BV2255"/>
      <c r="BW2255"/>
      <c r="BX2255"/>
      <c r="BY2255"/>
      <c r="BZ2255"/>
      <c r="CA2255"/>
      <c r="CB2255"/>
      <c r="CC2255"/>
      <c r="CD2255"/>
      <c r="CE2255"/>
      <c r="CF2255"/>
      <c r="CG2255"/>
      <c r="CH2255"/>
      <c r="CI2255"/>
      <c r="CJ2255"/>
      <c r="CK2255"/>
      <c r="CL2255"/>
      <c r="CM2255"/>
      <c r="CN2255"/>
      <c r="CO2255"/>
      <c r="CP2255"/>
      <c r="CQ2255"/>
      <c r="CR2255"/>
      <c r="CS2255"/>
      <c r="CT2255"/>
      <c r="CU2255"/>
      <c r="CV2255"/>
      <c r="CW2255"/>
      <c r="CX2255"/>
      <c r="CY2255"/>
      <c r="CZ2255"/>
      <c r="DA2255"/>
      <c r="DB2255"/>
      <c r="DC2255"/>
      <c r="DD2255"/>
      <c r="DE2255"/>
      <c r="DF2255"/>
      <c r="DG2255"/>
      <c r="DH2255"/>
      <c r="DI2255"/>
      <c r="DJ2255"/>
      <c r="DK2255"/>
      <c r="DL2255"/>
      <c r="DM2255"/>
      <c r="DN2255"/>
      <c r="DO2255"/>
      <c r="DP2255"/>
      <c r="DQ2255"/>
      <c r="DR2255"/>
      <c r="DS2255"/>
      <c r="DT2255"/>
      <c r="DU2255"/>
      <c r="DV2255"/>
      <c r="DW2255"/>
      <c r="DX2255"/>
      <c r="DY2255"/>
      <c r="DZ2255"/>
      <c r="EA2255"/>
      <c r="EB2255"/>
      <c r="EC2255"/>
      <c r="ED2255"/>
      <c r="EE2255"/>
      <c r="EF2255"/>
      <c r="EG2255"/>
      <c r="EH2255"/>
      <c r="EI2255"/>
      <c r="EJ2255"/>
      <c r="EK2255"/>
      <c r="EL2255"/>
      <c r="EM2255"/>
      <c r="EN2255"/>
      <c r="EO2255"/>
      <c r="EP2255"/>
      <c r="EQ2255"/>
      <c r="ER2255"/>
      <c r="ES2255"/>
    </row>
    <row r="2256" spans="1:149">
      <c r="A2256"/>
      <c r="B2256"/>
      <c r="C2256"/>
      <c r="D2256"/>
      <c r="E2256"/>
      <c r="F2256"/>
      <c r="G2256"/>
      <c r="H2256"/>
      <c r="I2256"/>
      <c r="J2256"/>
      <c r="K2256"/>
      <c r="L2256"/>
      <c r="M2256"/>
      <c r="N2256"/>
      <c r="O2256"/>
      <c r="P2256"/>
      <c r="Q2256"/>
      <c r="R2256"/>
      <c r="S2256"/>
      <c r="T2256"/>
      <c r="U2256"/>
      <c r="V2256"/>
      <c r="W2256"/>
      <c r="X2256"/>
      <c r="Y2256"/>
      <c r="Z2256"/>
      <c r="AA2256"/>
      <c r="AB2256"/>
      <c r="AC2256"/>
      <c r="AD2256"/>
      <c r="AE2256"/>
      <c r="AF2256"/>
      <c r="AG2256"/>
      <c r="AH2256"/>
      <c r="AI2256"/>
      <c r="AJ2256"/>
      <c r="AK2256"/>
      <c r="AL2256"/>
      <c r="AM2256"/>
      <c r="AN2256"/>
      <c r="AO2256"/>
      <c r="AP2256"/>
      <c r="AQ2256"/>
      <c r="AR2256"/>
      <c r="AS2256"/>
      <c r="AT2256"/>
      <c r="AU2256"/>
      <c r="AV2256"/>
      <c r="AW2256"/>
      <c r="AX2256"/>
      <c r="AY2256"/>
      <c r="AZ2256"/>
      <c r="BA2256"/>
      <c r="BB2256"/>
      <c r="BC2256"/>
      <c r="BD2256"/>
      <c r="BE2256"/>
      <c r="BF2256"/>
      <c r="BG2256"/>
      <c r="BH2256"/>
      <c r="BI2256"/>
      <c r="BJ2256"/>
      <c r="BK2256"/>
      <c r="BL2256"/>
      <c r="BM2256"/>
      <c r="BN2256"/>
      <c r="BO2256"/>
      <c r="BP2256"/>
      <c r="BQ2256"/>
      <c r="BR2256"/>
      <c r="BS2256"/>
      <c r="BT2256"/>
      <c r="BU2256"/>
      <c r="BV2256"/>
      <c r="BW2256"/>
      <c r="BX2256"/>
      <c r="BY2256"/>
      <c r="BZ2256"/>
      <c r="CA2256"/>
      <c r="CB2256"/>
      <c r="CC2256"/>
      <c r="CD2256"/>
      <c r="CE2256"/>
      <c r="CF2256"/>
      <c r="CG2256"/>
      <c r="CH2256"/>
      <c r="CI2256"/>
      <c r="CJ2256"/>
      <c r="CK2256"/>
      <c r="CL2256"/>
      <c r="CM2256"/>
      <c r="CN2256"/>
      <c r="CO2256"/>
      <c r="CP2256"/>
      <c r="CQ2256"/>
      <c r="CR2256"/>
      <c r="CS2256"/>
      <c r="CT2256"/>
      <c r="CU2256"/>
      <c r="CV2256"/>
      <c r="CW2256"/>
      <c r="CX2256"/>
      <c r="CY2256"/>
      <c r="CZ2256"/>
      <c r="DA2256"/>
      <c r="DB2256"/>
      <c r="DC2256"/>
      <c r="DD2256"/>
      <c r="DE2256"/>
      <c r="DF2256"/>
      <c r="DG2256"/>
      <c r="DH2256"/>
      <c r="DI2256"/>
      <c r="DJ2256"/>
      <c r="DK2256"/>
      <c r="DL2256"/>
      <c r="DM2256"/>
      <c r="DN2256"/>
      <c r="DO2256"/>
      <c r="DP2256"/>
      <c r="DQ2256"/>
      <c r="DR2256"/>
      <c r="DS2256"/>
      <c r="DT2256"/>
      <c r="DU2256"/>
      <c r="DV2256"/>
      <c r="DW2256"/>
      <c r="DX2256"/>
      <c r="DY2256"/>
      <c r="DZ2256"/>
      <c r="EA2256"/>
      <c r="EB2256"/>
      <c r="EC2256"/>
      <c r="ED2256"/>
      <c r="EE2256"/>
      <c r="EF2256"/>
      <c r="EG2256"/>
      <c r="EH2256"/>
      <c r="EI2256"/>
      <c r="EJ2256"/>
      <c r="EK2256"/>
      <c r="EL2256"/>
      <c r="EM2256"/>
      <c r="EN2256"/>
      <c r="EO2256"/>
      <c r="EP2256"/>
      <c r="EQ2256"/>
      <c r="ER2256"/>
      <c r="ES2256"/>
    </row>
    <row r="2257" spans="1:149">
      <c r="A2257"/>
      <c r="B2257"/>
      <c r="C2257"/>
      <c r="D2257"/>
      <c r="E2257"/>
      <c r="F2257"/>
      <c r="G2257"/>
      <c r="H2257"/>
      <c r="I2257"/>
      <c r="J2257"/>
      <c r="K2257"/>
      <c r="L2257"/>
      <c r="M2257"/>
      <c r="N2257"/>
      <c r="O2257"/>
      <c r="P2257"/>
      <c r="Q2257"/>
      <c r="R2257"/>
      <c r="S2257"/>
      <c r="T2257"/>
      <c r="U2257"/>
      <c r="V2257"/>
      <c r="W2257"/>
      <c r="X2257"/>
      <c r="Y2257"/>
      <c r="Z2257"/>
      <c r="AA2257"/>
      <c r="AB2257"/>
      <c r="AC2257"/>
      <c r="AD2257"/>
      <c r="AE2257"/>
      <c r="AF2257"/>
      <c r="AG2257"/>
      <c r="AH2257"/>
      <c r="AI2257"/>
      <c r="AJ2257"/>
      <c r="AK2257"/>
      <c r="AL2257"/>
      <c r="AM2257"/>
      <c r="AN2257"/>
      <c r="AO2257"/>
      <c r="AP2257"/>
      <c r="AQ2257"/>
      <c r="AR2257"/>
      <c r="AS2257"/>
      <c r="AT2257"/>
      <c r="AU2257"/>
      <c r="AV2257"/>
      <c r="AW2257"/>
      <c r="AX2257"/>
      <c r="AY2257"/>
      <c r="AZ2257"/>
      <c r="BA2257"/>
      <c r="BB2257"/>
      <c r="BC2257"/>
      <c r="BD2257"/>
      <c r="BE2257"/>
      <c r="BF2257"/>
      <c r="BG2257"/>
      <c r="BH2257"/>
      <c r="BI2257"/>
      <c r="BJ2257"/>
      <c r="BK2257"/>
      <c r="BL2257"/>
      <c r="BM2257"/>
      <c r="BN2257"/>
      <c r="BO2257"/>
      <c r="BP2257"/>
      <c r="BQ2257"/>
      <c r="BR2257"/>
      <c r="BS2257"/>
      <c r="BT2257"/>
      <c r="BU2257"/>
      <c r="BV2257"/>
      <c r="BW2257"/>
      <c r="BX2257"/>
      <c r="BY2257"/>
      <c r="BZ2257"/>
      <c r="CA2257"/>
      <c r="CB2257"/>
      <c r="CC2257"/>
      <c r="CD2257"/>
      <c r="CE2257"/>
      <c r="CF2257"/>
      <c r="CG2257"/>
      <c r="CH2257"/>
      <c r="CI2257"/>
      <c r="CJ2257"/>
      <c r="CK2257"/>
      <c r="CL2257"/>
      <c r="CM2257"/>
      <c r="CN2257"/>
      <c r="CO2257"/>
      <c r="CP2257"/>
      <c r="CQ2257"/>
      <c r="CR2257"/>
      <c r="CS2257"/>
      <c r="CT2257"/>
      <c r="CU2257"/>
      <c r="CV2257"/>
      <c r="CW2257"/>
      <c r="CX2257"/>
      <c r="CY2257"/>
      <c r="CZ2257"/>
      <c r="DA2257"/>
      <c r="DB2257"/>
      <c r="DC2257"/>
      <c r="DD2257"/>
      <c r="DE2257"/>
      <c r="DF2257"/>
      <c r="DG2257"/>
      <c r="DH2257"/>
      <c r="DI2257"/>
      <c r="DJ2257"/>
      <c r="DK2257"/>
      <c r="DL2257"/>
      <c r="DM2257"/>
      <c r="DN2257"/>
      <c r="DO2257"/>
      <c r="DP2257"/>
      <c r="DQ2257"/>
      <c r="DR2257"/>
      <c r="DS2257"/>
      <c r="DT2257"/>
      <c r="DU2257"/>
      <c r="DV2257"/>
      <c r="DW2257"/>
      <c r="DX2257"/>
      <c r="DY2257"/>
      <c r="DZ2257"/>
      <c r="EA2257"/>
      <c r="EB2257"/>
      <c r="EC2257"/>
      <c r="ED2257"/>
      <c r="EE2257"/>
      <c r="EF2257"/>
      <c r="EG2257"/>
      <c r="EH2257"/>
      <c r="EI2257"/>
      <c r="EJ2257"/>
      <c r="EK2257"/>
      <c r="EL2257"/>
      <c r="EM2257"/>
      <c r="EN2257"/>
      <c r="EO2257"/>
      <c r="EP2257"/>
      <c r="EQ2257"/>
      <c r="ER2257"/>
      <c r="ES2257"/>
    </row>
    <row r="2258" spans="1:149">
      <c r="A2258"/>
      <c r="B2258"/>
      <c r="C2258"/>
      <c r="D2258"/>
      <c r="E2258"/>
      <c r="F2258"/>
      <c r="G2258"/>
      <c r="H2258"/>
      <c r="I2258"/>
      <c r="J2258"/>
      <c r="K2258"/>
      <c r="L2258"/>
      <c r="M2258"/>
      <c r="N2258"/>
      <c r="O2258"/>
      <c r="P2258"/>
      <c r="Q2258"/>
      <c r="R2258"/>
      <c r="S2258"/>
      <c r="T2258"/>
      <c r="U2258"/>
      <c r="V2258"/>
      <c r="W2258"/>
      <c r="X2258"/>
      <c r="Y2258"/>
      <c r="Z2258"/>
      <c r="AA2258"/>
      <c r="AB2258"/>
      <c r="AC2258"/>
      <c r="AD2258"/>
      <c r="AE2258"/>
      <c r="AF2258"/>
      <c r="AG2258"/>
      <c r="AH2258"/>
      <c r="AI2258"/>
      <c r="AJ2258"/>
      <c r="AK2258"/>
      <c r="AL2258"/>
      <c r="AM2258"/>
      <c r="AN2258"/>
      <c r="AO2258"/>
      <c r="AP2258"/>
      <c r="AQ2258"/>
      <c r="AR2258"/>
      <c r="AS2258"/>
      <c r="AT2258"/>
      <c r="AU2258"/>
      <c r="AV2258"/>
      <c r="AW2258"/>
      <c r="AX2258"/>
      <c r="AY2258"/>
      <c r="AZ2258"/>
      <c r="BA2258"/>
      <c r="BB2258"/>
      <c r="BC2258"/>
      <c r="BD2258"/>
      <c r="BE2258"/>
      <c r="BF2258"/>
      <c r="BG2258"/>
      <c r="BH2258"/>
      <c r="BI2258"/>
      <c r="BJ2258"/>
      <c r="BK2258"/>
      <c r="BL2258"/>
      <c r="BM2258"/>
      <c r="BN2258"/>
      <c r="BO2258"/>
      <c r="BP2258"/>
      <c r="BQ2258"/>
      <c r="BR2258"/>
      <c r="BS2258"/>
      <c r="BT2258"/>
      <c r="BU2258"/>
      <c r="BV2258"/>
      <c r="BW2258"/>
      <c r="BX2258"/>
      <c r="BY2258"/>
      <c r="BZ2258"/>
      <c r="CA2258"/>
      <c r="CB2258"/>
      <c r="CC2258"/>
      <c r="CD2258"/>
      <c r="CE2258"/>
      <c r="CF2258"/>
      <c r="CG2258"/>
      <c r="CH2258"/>
      <c r="CI2258"/>
      <c r="CJ2258"/>
      <c r="CK2258"/>
      <c r="CL2258"/>
      <c r="CM2258"/>
      <c r="CN2258"/>
      <c r="CO2258"/>
      <c r="CP2258"/>
      <c r="CQ2258"/>
      <c r="CR2258"/>
      <c r="CS2258"/>
      <c r="CT2258"/>
      <c r="CU2258"/>
      <c r="CV2258"/>
      <c r="CW2258"/>
      <c r="CX2258"/>
      <c r="CY2258"/>
      <c r="CZ2258"/>
      <c r="DA2258"/>
      <c r="DB2258"/>
      <c r="DC2258"/>
      <c r="DD2258"/>
      <c r="DE2258"/>
      <c r="DF2258"/>
      <c r="DG2258"/>
      <c r="DH2258"/>
      <c r="DI2258"/>
      <c r="DJ2258"/>
      <c r="DK2258"/>
      <c r="DL2258"/>
      <c r="DM2258"/>
      <c r="DN2258"/>
      <c r="DO2258"/>
      <c r="DP2258"/>
      <c r="DQ2258"/>
      <c r="DR2258"/>
      <c r="DS2258"/>
      <c r="DT2258"/>
      <c r="DU2258"/>
      <c r="DV2258"/>
      <c r="DW2258"/>
      <c r="DX2258"/>
      <c r="DY2258"/>
      <c r="DZ2258"/>
      <c r="EA2258"/>
      <c r="EB2258"/>
      <c r="EC2258"/>
      <c r="ED2258"/>
      <c r="EE2258"/>
      <c r="EF2258"/>
      <c r="EG2258"/>
      <c r="EH2258"/>
      <c r="EI2258"/>
      <c r="EJ2258"/>
      <c r="EK2258"/>
      <c r="EL2258"/>
      <c r="EM2258"/>
      <c r="EN2258"/>
      <c r="EO2258"/>
      <c r="EP2258"/>
      <c r="EQ2258"/>
      <c r="ER2258"/>
      <c r="ES2258"/>
    </row>
    <row r="2259" spans="1:149">
      <c r="A2259"/>
      <c r="B2259"/>
      <c r="C2259"/>
      <c r="D2259"/>
      <c r="E2259"/>
      <c r="F2259"/>
      <c r="G2259"/>
      <c r="H2259"/>
      <c r="I2259"/>
      <c r="J2259"/>
      <c r="K2259"/>
      <c r="L2259"/>
      <c r="M2259"/>
      <c r="N2259"/>
      <c r="O2259"/>
      <c r="P2259"/>
      <c r="Q2259"/>
      <c r="R2259"/>
      <c r="S2259"/>
      <c r="T2259"/>
      <c r="U2259"/>
      <c r="V2259"/>
      <c r="W2259"/>
      <c r="X2259"/>
      <c r="Y2259"/>
      <c r="Z2259"/>
      <c r="AA2259"/>
      <c r="AB2259"/>
      <c r="AC2259"/>
      <c r="AD2259"/>
      <c r="AE2259"/>
      <c r="AF2259"/>
      <c r="AG2259"/>
      <c r="AH2259"/>
      <c r="AI2259"/>
      <c r="AJ2259"/>
      <c r="AK2259"/>
      <c r="AL2259"/>
      <c r="AM2259"/>
      <c r="AN2259"/>
      <c r="AO2259"/>
      <c r="AP2259"/>
      <c r="AQ2259"/>
      <c r="AR2259"/>
      <c r="AS2259"/>
      <c r="AT2259"/>
      <c r="AU2259"/>
      <c r="AV2259"/>
      <c r="AW2259"/>
      <c r="AX2259"/>
      <c r="AY2259"/>
      <c r="AZ2259"/>
      <c r="BA2259"/>
      <c r="BB2259"/>
      <c r="BC2259"/>
      <c r="BD2259"/>
      <c r="BE2259"/>
      <c r="BF2259"/>
      <c r="BG2259"/>
      <c r="BH2259"/>
      <c r="BI2259"/>
      <c r="BJ2259"/>
      <c r="BK2259"/>
      <c r="BL2259"/>
      <c r="BM2259"/>
      <c r="BN2259"/>
      <c r="BO2259"/>
      <c r="BP2259"/>
      <c r="BQ2259"/>
      <c r="BR2259"/>
      <c r="BS2259"/>
      <c r="BT2259"/>
      <c r="BU2259"/>
      <c r="BV2259"/>
      <c r="BW2259"/>
      <c r="BX2259"/>
      <c r="BY2259"/>
      <c r="BZ2259"/>
      <c r="CA2259"/>
      <c r="CB2259"/>
      <c r="CC2259"/>
      <c r="CD2259"/>
      <c r="CE2259"/>
      <c r="CF2259"/>
      <c r="CG2259"/>
      <c r="CH2259"/>
      <c r="CI2259"/>
      <c r="CJ2259"/>
      <c r="CK2259"/>
      <c r="CL2259"/>
      <c r="CM2259"/>
      <c r="CN2259"/>
      <c r="CO2259"/>
      <c r="CP2259"/>
      <c r="CQ2259"/>
      <c r="CR2259"/>
      <c r="CS2259"/>
      <c r="CT2259"/>
      <c r="CU2259"/>
      <c r="CV2259"/>
      <c r="CW2259"/>
      <c r="CX2259"/>
      <c r="CY2259"/>
      <c r="CZ2259"/>
      <c r="DA2259"/>
      <c r="DB2259"/>
      <c r="DC2259"/>
      <c r="DD2259"/>
      <c r="DE2259"/>
      <c r="DF2259"/>
      <c r="DG2259"/>
      <c r="DH2259"/>
      <c r="DI2259"/>
      <c r="DJ2259"/>
      <c r="DK2259"/>
      <c r="DL2259"/>
      <c r="DM2259"/>
      <c r="DN2259"/>
      <c r="DO2259"/>
      <c r="DP2259"/>
      <c r="DQ2259"/>
      <c r="DR2259"/>
      <c r="DS2259"/>
      <c r="DT2259"/>
      <c r="DU2259"/>
      <c r="DV2259"/>
      <c r="DW2259"/>
      <c r="DX2259"/>
      <c r="DY2259"/>
      <c r="DZ2259"/>
      <c r="EA2259"/>
      <c r="EB2259"/>
      <c r="EC2259"/>
      <c r="ED2259"/>
      <c r="EE2259"/>
      <c r="EF2259"/>
      <c r="EG2259"/>
      <c r="EH2259"/>
      <c r="EI2259"/>
      <c r="EJ2259"/>
      <c r="EK2259"/>
      <c r="EL2259"/>
      <c r="EM2259"/>
      <c r="EN2259"/>
      <c r="EO2259"/>
      <c r="EP2259"/>
      <c r="EQ2259"/>
      <c r="ER2259"/>
      <c r="ES2259"/>
    </row>
    <row r="2260" spans="1:149">
      <c r="A2260"/>
      <c r="B2260"/>
      <c r="C2260"/>
      <c r="D2260"/>
      <c r="E2260"/>
      <c r="F2260"/>
      <c r="G2260"/>
      <c r="H2260"/>
      <c r="I2260"/>
      <c r="J2260"/>
      <c r="K2260"/>
      <c r="L2260"/>
      <c r="M2260"/>
      <c r="N2260"/>
      <c r="O2260"/>
      <c r="P2260"/>
      <c r="Q2260"/>
      <c r="R2260"/>
      <c r="S2260"/>
      <c r="T2260"/>
      <c r="U2260"/>
      <c r="V2260"/>
      <c r="W2260"/>
      <c r="X2260"/>
      <c r="Y2260"/>
      <c r="Z2260"/>
      <c r="AA2260"/>
      <c r="AB2260"/>
      <c r="AC2260"/>
      <c r="AD2260"/>
      <c r="AE2260"/>
      <c r="AF2260"/>
      <c r="AG2260"/>
      <c r="AH2260"/>
      <c r="AI2260"/>
      <c r="AJ2260"/>
      <c r="AK2260"/>
      <c r="AL2260"/>
      <c r="AM2260"/>
      <c r="AN2260"/>
      <c r="AO2260"/>
      <c r="AP2260"/>
      <c r="AQ2260"/>
      <c r="AR2260"/>
      <c r="AS2260"/>
      <c r="AT2260"/>
      <c r="AU2260"/>
      <c r="AV2260"/>
      <c r="AW2260"/>
      <c r="AX2260"/>
      <c r="AY2260"/>
      <c r="AZ2260"/>
      <c r="BA2260"/>
      <c r="BB2260"/>
      <c r="BC2260"/>
      <c r="BD2260"/>
      <c r="BE2260"/>
      <c r="BF2260"/>
      <c r="BG2260"/>
      <c r="BH2260"/>
      <c r="BI2260"/>
      <c r="BJ2260"/>
      <c r="BK2260"/>
      <c r="BL2260"/>
      <c r="BM2260"/>
      <c r="BN2260"/>
      <c r="BO2260"/>
      <c r="BP2260"/>
      <c r="BQ2260"/>
      <c r="BR2260"/>
      <c r="BS2260"/>
      <c r="BT2260"/>
      <c r="BU2260"/>
      <c r="BV2260"/>
      <c r="BW2260"/>
      <c r="BX2260"/>
      <c r="BY2260"/>
      <c r="BZ2260"/>
      <c r="CA2260"/>
      <c r="CB2260"/>
      <c r="CC2260"/>
      <c r="CD2260"/>
      <c r="CE2260"/>
      <c r="CF2260"/>
      <c r="CG2260"/>
      <c r="CH2260"/>
      <c r="CI2260"/>
      <c r="CJ2260"/>
      <c r="CK2260"/>
      <c r="CL2260"/>
      <c r="CM2260"/>
      <c r="CN2260"/>
      <c r="CO2260"/>
      <c r="CP2260"/>
      <c r="CQ2260"/>
      <c r="CR2260"/>
      <c r="CS2260"/>
      <c r="CT2260"/>
      <c r="CU2260"/>
      <c r="CV2260"/>
      <c r="CW2260"/>
      <c r="CX2260"/>
      <c r="CY2260"/>
      <c r="CZ2260"/>
      <c r="DA2260"/>
      <c r="DB2260"/>
      <c r="DC2260"/>
      <c r="DD2260"/>
      <c r="DE2260"/>
      <c r="DF2260"/>
      <c r="DG2260"/>
      <c r="DH2260"/>
      <c r="DI2260"/>
      <c r="DJ2260"/>
      <c r="DK2260"/>
      <c r="DL2260"/>
      <c r="DM2260"/>
      <c r="DN2260"/>
      <c r="DO2260"/>
      <c r="DP2260"/>
      <c r="DQ2260"/>
      <c r="DR2260"/>
      <c r="DS2260"/>
      <c r="DT2260"/>
      <c r="DU2260"/>
      <c r="DV2260"/>
      <c r="DW2260"/>
      <c r="DX2260"/>
      <c r="DY2260"/>
      <c r="DZ2260"/>
      <c r="EA2260"/>
      <c r="EB2260"/>
      <c r="EC2260"/>
      <c r="ED2260"/>
      <c r="EE2260"/>
      <c r="EF2260"/>
      <c r="EG2260"/>
      <c r="EH2260"/>
      <c r="EI2260"/>
      <c r="EJ2260"/>
      <c r="EK2260"/>
      <c r="EL2260"/>
      <c r="EM2260"/>
      <c r="EN2260"/>
      <c r="EO2260"/>
      <c r="EP2260"/>
      <c r="EQ2260"/>
      <c r="ER2260"/>
      <c r="ES2260"/>
    </row>
    <row r="2261" spans="1:149">
      <c r="A2261"/>
      <c r="B2261"/>
      <c r="C2261"/>
      <c r="D2261"/>
      <c r="E2261"/>
      <c r="F2261"/>
      <c r="G2261"/>
      <c r="H2261"/>
      <c r="I2261"/>
      <c r="J2261"/>
      <c r="K2261"/>
      <c r="L2261"/>
      <c r="M2261"/>
      <c r="N2261"/>
      <c r="O2261"/>
      <c r="P2261"/>
      <c r="Q2261"/>
      <c r="R2261"/>
      <c r="S2261"/>
      <c r="T2261"/>
      <c r="U2261"/>
      <c r="V2261"/>
      <c r="W2261"/>
      <c r="X2261"/>
      <c r="Y2261"/>
      <c r="Z2261"/>
      <c r="AA2261"/>
      <c r="AB2261"/>
      <c r="AC2261"/>
      <c r="AD2261"/>
      <c r="AE2261"/>
      <c r="AF2261"/>
      <c r="AG2261"/>
      <c r="AH2261"/>
      <c r="AI2261"/>
      <c r="AJ2261"/>
      <c r="AK2261"/>
      <c r="AL2261"/>
      <c r="AM2261"/>
      <c r="AN2261"/>
      <c r="AO2261"/>
      <c r="AP2261"/>
      <c r="AQ2261"/>
      <c r="AR2261"/>
      <c r="AS2261"/>
      <c r="AT2261"/>
      <c r="AU2261"/>
      <c r="AV2261"/>
      <c r="AW2261"/>
      <c r="AX2261"/>
      <c r="AY2261"/>
      <c r="AZ2261"/>
      <c r="BA2261"/>
      <c r="BB2261"/>
      <c r="BC2261"/>
      <c r="BD2261"/>
      <c r="BE2261"/>
      <c r="BF2261"/>
      <c r="BG2261"/>
      <c r="BH2261"/>
      <c r="BI2261"/>
      <c r="BJ2261"/>
      <c r="BK2261"/>
      <c r="BL2261"/>
      <c r="BM2261"/>
      <c r="BN2261"/>
      <c r="BO2261"/>
      <c r="BP2261"/>
      <c r="BQ2261"/>
      <c r="BR2261"/>
      <c r="BS2261"/>
      <c r="BT2261"/>
      <c r="BU2261"/>
      <c r="BV2261"/>
      <c r="BW2261"/>
      <c r="BX2261"/>
      <c r="BY2261"/>
      <c r="BZ2261"/>
      <c r="CA2261"/>
      <c r="CB2261"/>
      <c r="CC2261"/>
      <c r="CD2261"/>
      <c r="CE2261"/>
      <c r="CF2261"/>
      <c r="CG2261"/>
      <c r="CH2261"/>
      <c r="CI2261"/>
      <c r="CJ2261"/>
      <c r="CK2261"/>
      <c r="CL2261"/>
      <c r="CM2261"/>
      <c r="CN2261"/>
      <c r="CO2261"/>
      <c r="CP2261"/>
      <c r="CQ2261"/>
      <c r="CR2261"/>
      <c r="CS2261"/>
      <c r="CT2261"/>
      <c r="CU2261"/>
      <c r="CV2261"/>
      <c r="CW2261"/>
      <c r="CX2261"/>
      <c r="CY2261"/>
      <c r="CZ2261"/>
      <c r="DA2261"/>
      <c r="DB2261"/>
      <c r="DC2261"/>
      <c r="DD2261"/>
      <c r="DE2261"/>
      <c r="DF2261"/>
      <c r="DG2261"/>
      <c r="DH2261"/>
      <c r="DI2261"/>
      <c r="DJ2261"/>
      <c r="DK2261"/>
      <c r="DL2261"/>
      <c r="DM2261"/>
      <c r="DN2261"/>
      <c r="DO2261"/>
      <c r="DP2261"/>
      <c r="DQ2261"/>
      <c r="DR2261"/>
      <c r="DS2261"/>
      <c r="DT2261"/>
      <c r="DU2261"/>
      <c r="DV2261"/>
      <c r="DW2261"/>
      <c r="DX2261"/>
      <c r="DY2261"/>
      <c r="DZ2261"/>
      <c r="EA2261"/>
      <c r="EB2261"/>
      <c r="EC2261"/>
      <c r="ED2261"/>
      <c r="EE2261"/>
      <c r="EF2261"/>
      <c r="EG2261"/>
      <c r="EH2261"/>
      <c r="EI2261"/>
      <c r="EJ2261"/>
      <c r="EK2261"/>
      <c r="EL2261"/>
      <c r="EM2261"/>
      <c r="EN2261"/>
      <c r="EO2261"/>
      <c r="EP2261"/>
      <c r="EQ2261"/>
      <c r="ER2261"/>
      <c r="ES2261"/>
    </row>
    <row r="2262" spans="1:149">
      <c r="A2262"/>
      <c r="B2262"/>
      <c r="C2262"/>
      <c r="D2262"/>
      <c r="E2262"/>
      <c r="F2262"/>
      <c r="G2262"/>
      <c r="H2262"/>
      <c r="I2262"/>
      <c r="J2262"/>
      <c r="K2262"/>
      <c r="L2262"/>
      <c r="M2262"/>
      <c r="N2262"/>
      <c r="O2262"/>
      <c r="P2262"/>
      <c r="Q2262"/>
      <c r="R2262"/>
      <c r="S2262"/>
      <c r="T2262"/>
      <c r="U2262"/>
      <c r="V2262"/>
      <c r="W2262"/>
      <c r="X2262"/>
      <c r="Y2262"/>
      <c r="Z2262"/>
      <c r="AA2262"/>
      <c r="AB2262"/>
      <c r="AC2262"/>
      <c r="AD2262"/>
      <c r="AE2262"/>
      <c r="AF2262"/>
      <c r="AG2262"/>
      <c r="AH2262"/>
      <c r="AI2262"/>
      <c r="AJ2262"/>
      <c r="AK2262"/>
      <c r="AL2262"/>
      <c r="AM2262"/>
      <c r="AN2262"/>
      <c r="AO2262"/>
      <c r="AP2262"/>
      <c r="AQ2262"/>
      <c r="AR2262"/>
      <c r="AS2262"/>
      <c r="AT2262"/>
      <c r="AU2262"/>
      <c r="AV2262"/>
      <c r="AW2262"/>
      <c r="AX2262"/>
      <c r="AY2262"/>
      <c r="AZ2262"/>
      <c r="BA2262"/>
      <c r="BB2262"/>
      <c r="BC2262"/>
      <c r="BD2262"/>
      <c r="BE2262"/>
      <c r="BF2262"/>
      <c r="BG2262"/>
      <c r="BH2262"/>
      <c r="BI2262"/>
      <c r="BJ2262"/>
      <c r="BK2262"/>
      <c r="BL2262"/>
      <c r="BM2262"/>
      <c r="BN2262"/>
      <c r="BO2262"/>
      <c r="BP2262"/>
      <c r="BQ2262"/>
      <c r="BR2262"/>
      <c r="BS2262"/>
      <c r="BT2262"/>
      <c r="BU2262"/>
      <c r="BV2262"/>
      <c r="BW2262"/>
      <c r="BX2262"/>
      <c r="BY2262"/>
      <c r="BZ2262"/>
      <c r="CA2262"/>
      <c r="CB2262"/>
      <c r="CC2262"/>
      <c r="CD2262"/>
      <c r="CE2262"/>
      <c r="CF2262"/>
      <c r="CG2262"/>
      <c r="CH2262"/>
      <c r="CI2262"/>
      <c r="CJ2262"/>
      <c r="CK2262"/>
      <c r="CL2262"/>
      <c r="CM2262"/>
      <c r="CN2262"/>
      <c r="CO2262"/>
      <c r="CP2262"/>
      <c r="CQ2262"/>
      <c r="CR2262"/>
      <c r="CS2262"/>
      <c r="CT2262"/>
      <c r="CU2262"/>
      <c r="CV2262"/>
      <c r="CW2262"/>
      <c r="CX2262"/>
      <c r="CY2262"/>
      <c r="CZ2262"/>
      <c r="DA2262"/>
      <c r="DB2262"/>
      <c r="DC2262"/>
      <c r="DD2262"/>
      <c r="DE2262"/>
      <c r="DF2262"/>
      <c r="DG2262"/>
      <c r="DH2262"/>
      <c r="DI2262"/>
      <c r="DJ2262"/>
      <c r="DK2262"/>
      <c r="DL2262"/>
      <c r="DM2262"/>
      <c r="DN2262"/>
      <c r="DO2262"/>
      <c r="DP2262"/>
      <c r="DQ2262"/>
      <c r="DR2262"/>
      <c r="DS2262"/>
      <c r="DT2262"/>
      <c r="DU2262"/>
      <c r="DV2262"/>
      <c r="DW2262"/>
      <c r="DX2262"/>
      <c r="DY2262"/>
      <c r="DZ2262"/>
      <c r="EA2262"/>
      <c r="EB2262"/>
      <c r="EC2262"/>
      <c r="ED2262"/>
      <c r="EE2262"/>
      <c r="EF2262"/>
      <c r="EG2262"/>
      <c r="EH2262"/>
      <c r="EI2262"/>
      <c r="EJ2262"/>
      <c r="EK2262"/>
      <c r="EL2262"/>
      <c r="EM2262"/>
      <c r="EN2262"/>
      <c r="EO2262"/>
      <c r="EP2262"/>
      <c r="EQ2262"/>
      <c r="ER2262"/>
      <c r="ES2262"/>
    </row>
    <row r="2263" spans="1:149">
      <c r="A2263"/>
      <c r="B2263"/>
      <c r="C2263"/>
      <c r="D2263"/>
      <c r="E2263"/>
      <c r="F2263"/>
      <c r="G2263"/>
      <c r="H2263"/>
      <c r="I2263"/>
      <c r="J2263"/>
      <c r="K2263"/>
      <c r="L2263"/>
      <c r="M2263"/>
      <c r="N2263"/>
      <c r="O2263"/>
      <c r="P2263"/>
      <c r="Q2263"/>
      <c r="R2263"/>
      <c r="S2263"/>
      <c r="T2263"/>
      <c r="U2263"/>
      <c r="V2263"/>
      <c r="W2263"/>
      <c r="X2263"/>
      <c r="Y2263"/>
      <c r="Z2263"/>
      <c r="AA2263"/>
      <c r="AB2263"/>
      <c r="AC2263"/>
      <c r="AD2263"/>
      <c r="AE2263"/>
      <c r="AF2263"/>
      <c r="AG2263"/>
      <c r="AH2263"/>
      <c r="AI2263"/>
      <c r="AJ2263"/>
      <c r="AK2263"/>
      <c r="AL2263"/>
      <c r="AM2263"/>
      <c r="AN2263"/>
      <c r="AO2263"/>
      <c r="AP2263"/>
      <c r="AQ2263"/>
      <c r="AR2263"/>
      <c r="AS2263"/>
      <c r="AT2263"/>
      <c r="AU2263"/>
      <c r="AV2263"/>
      <c r="AW2263"/>
      <c r="AX2263"/>
      <c r="AY2263"/>
      <c r="AZ2263"/>
      <c r="BA2263"/>
      <c r="BB2263"/>
      <c r="BC2263"/>
      <c r="BD2263"/>
      <c r="BE2263"/>
      <c r="BF2263"/>
      <c r="BG2263"/>
      <c r="BH2263"/>
      <c r="BI2263"/>
      <c r="BJ2263"/>
      <c r="BK2263"/>
      <c r="BL2263"/>
      <c r="BM2263"/>
      <c r="BN2263"/>
      <c r="BO2263"/>
      <c r="BP2263"/>
      <c r="BQ2263"/>
      <c r="BR2263"/>
      <c r="BS2263"/>
      <c r="BT2263"/>
      <c r="BU2263"/>
      <c r="BV2263"/>
      <c r="BW2263"/>
      <c r="BX2263"/>
      <c r="BY2263"/>
      <c r="BZ2263"/>
      <c r="CA2263"/>
      <c r="CB2263"/>
      <c r="CC2263"/>
      <c r="CD2263"/>
      <c r="CE2263"/>
      <c r="CF2263"/>
      <c r="CG2263"/>
      <c r="CH2263"/>
      <c r="CI2263"/>
      <c r="CJ2263"/>
      <c r="CK2263"/>
      <c r="CL2263"/>
      <c r="CM2263"/>
      <c r="CN2263"/>
      <c r="CO2263"/>
      <c r="CP2263"/>
      <c r="CQ2263"/>
      <c r="CR2263"/>
      <c r="CS2263"/>
      <c r="CT2263"/>
      <c r="CU2263"/>
      <c r="CV2263"/>
      <c r="CW2263"/>
      <c r="CX2263"/>
      <c r="CY2263"/>
      <c r="CZ2263"/>
      <c r="DA2263"/>
      <c r="DB2263"/>
      <c r="DC2263"/>
      <c r="DD2263"/>
      <c r="DE2263"/>
      <c r="DF2263"/>
      <c r="DG2263"/>
      <c r="DH2263"/>
      <c r="DI2263"/>
      <c r="DJ2263"/>
      <c r="DK2263"/>
      <c r="DL2263"/>
      <c r="DM2263"/>
      <c r="DN2263"/>
      <c r="DO2263"/>
      <c r="DP2263"/>
      <c r="DQ2263"/>
      <c r="DR2263"/>
      <c r="DS2263"/>
      <c r="DT2263"/>
      <c r="DU2263"/>
      <c r="DV2263"/>
      <c r="DW2263"/>
      <c r="DX2263"/>
      <c r="DY2263"/>
      <c r="DZ2263"/>
      <c r="EA2263"/>
      <c r="EB2263"/>
      <c r="EC2263"/>
      <c r="ED2263"/>
      <c r="EE2263"/>
      <c r="EF2263"/>
      <c r="EG2263"/>
      <c r="EH2263"/>
      <c r="EI2263"/>
      <c r="EJ2263"/>
      <c r="EK2263"/>
      <c r="EL2263"/>
      <c r="EM2263"/>
      <c r="EN2263"/>
      <c r="EO2263"/>
      <c r="EP2263"/>
      <c r="EQ2263"/>
      <c r="ER2263"/>
      <c r="ES2263"/>
    </row>
    <row r="2264" spans="1:149">
      <c r="A2264"/>
      <c r="B2264"/>
      <c r="C2264"/>
      <c r="D2264"/>
      <c r="E2264"/>
      <c r="F2264"/>
      <c r="G2264"/>
      <c r="H2264"/>
      <c r="I2264"/>
      <c r="J2264"/>
      <c r="K2264"/>
      <c r="L2264"/>
      <c r="M2264"/>
      <c r="N2264"/>
      <c r="O2264"/>
      <c r="P2264"/>
      <c r="Q2264"/>
      <c r="R2264"/>
      <c r="S2264"/>
      <c r="T2264"/>
      <c r="U2264"/>
      <c r="V2264"/>
      <c r="W2264"/>
      <c r="X2264"/>
      <c r="Y2264"/>
      <c r="Z2264"/>
      <c r="AA2264"/>
      <c r="AB2264"/>
      <c r="AC2264"/>
      <c r="AD2264"/>
      <c r="AE2264"/>
      <c r="AF2264"/>
      <c r="AG2264"/>
      <c r="AH2264"/>
      <c r="AI2264"/>
      <c r="AJ2264"/>
      <c r="AK2264"/>
      <c r="AL2264"/>
      <c r="AM2264"/>
      <c r="AN2264"/>
      <c r="AO2264"/>
      <c r="AP2264"/>
      <c r="AQ2264"/>
      <c r="AR2264"/>
      <c r="AS2264"/>
      <c r="AT2264"/>
      <c r="AU2264"/>
      <c r="AV2264"/>
      <c r="AW2264"/>
      <c r="AX2264"/>
      <c r="AY2264"/>
      <c r="AZ2264"/>
      <c r="BA2264"/>
      <c r="BB2264"/>
      <c r="BC2264"/>
      <c r="BD2264"/>
      <c r="BE2264"/>
      <c r="BF2264"/>
      <c r="BG2264"/>
      <c r="BH2264"/>
      <c r="BI2264"/>
      <c r="BJ2264"/>
      <c r="BK2264"/>
      <c r="BL2264"/>
      <c r="BM2264"/>
      <c r="BN2264"/>
      <c r="BO2264"/>
      <c r="BP2264"/>
      <c r="BQ2264"/>
      <c r="BR2264"/>
      <c r="BS2264"/>
      <c r="BT2264"/>
      <c r="BU2264"/>
      <c r="BV2264"/>
      <c r="BW2264"/>
      <c r="BX2264"/>
      <c r="BY2264"/>
      <c r="BZ2264"/>
      <c r="CA2264"/>
      <c r="CB2264"/>
      <c r="CC2264"/>
      <c r="CD2264"/>
      <c r="CE2264"/>
      <c r="CF2264"/>
      <c r="CG2264"/>
      <c r="CH2264"/>
      <c r="CI2264"/>
      <c r="CJ2264"/>
      <c r="CK2264"/>
      <c r="CL2264"/>
      <c r="CM2264"/>
      <c r="CN2264"/>
      <c r="CO2264"/>
      <c r="CP2264"/>
      <c r="CQ2264"/>
      <c r="CR2264"/>
      <c r="CS2264"/>
      <c r="CT2264"/>
      <c r="CU2264"/>
      <c r="CV2264"/>
      <c r="CW2264"/>
      <c r="CX2264"/>
      <c r="CY2264"/>
      <c r="CZ2264"/>
      <c r="DA2264"/>
      <c r="DB2264"/>
      <c r="DC2264"/>
      <c r="DD2264"/>
      <c r="DE2264"/>
      <c r="DF2264"/>
      <c r="DG2264"/>
      <c r="DH2264"/>
      <c r="DI2264"/>
      <c r="DJ2264"/>
      <c r="DK2264"/>
      <c r="DL2264"/>
      <c r="DM2264"/>
      <c r="DN2264"/>
      <c r="DO2264"/>
      <c r="DP2264"/>
      <c r="DQ2264"/>
      <c r="DR2264"/>
      <c r="DS2264"/>
      <c r="DT2264"/>
      <c r="DU2264"/>
      <c r="DV2264"/>
      <c r="DW2264"/>
      <c r="DX2264"/>
      <c r="DY2264"/>
      <c r="DZ2264"/>
      <c r="EA2264"/>
      <c r="EB2264"/>
      <c r="EC2264"/>
      <c r="ED2264"/>
      <c r="EE2264"/>
      <c r="EF2264"/>
      <c r="EG2264"/>
      <c r="EH2264"/>
      <c r="EI2264"/>
      <c r="EJ2264"/>
      <c r="EK2264"/>
      <c r="EL2264"/>
      <c r="EM2264"/>
      <c r="EN2264"/>
      <c r="EO2264"/>
      <c r="EP2264"/>
      <c r="EQ2264"/>
      <c r="ER2264"/>
      <c r="ES2264"/>
    </row>
    <row r="2265" spans="1:149">
      <c r="A2265"/>
      <c r="B2265"/>
      <c r="C2265"/>
      <c r="D2265"/>
      <c r="E2265"/>
      <c r="F2265"/>
      <c r="G2265"/>
      <c r="H2265"/>
      <c r="I2265"/>
      <c r="J2265"/>
      <c r="K2265"/>
      <c r="L2265"/>
      <c r="M2265"/>
      <c r="N2265"/>
      <c r="O2265"/>
      <c r="P2265"/>
      <c r="Q2265"/>
      <c r="R2265"/>
      <c r="S2265"/>
      <c r="T2265"/>
      <c r="U2265"/>
      <c r="V2265"/>
      <c r="W2265"/>
      <c r="X2265"/>
      <c r="Y2265"/>
      <c r="Z2265"/>
      <c r="AA2265"/>
      <c r="AB2265"/>
      <c r="AC2265"/>
      <c r="AD2265"/>
      <c r="AE2265"/>
      <c r="AF2265"/>
      <c r="AG2265"/>
      <c r="AH2265"/>
      <c r="AI2265"/>
      <c r="AJ2265"/>
      <c r="AK2265"/>
      <c r="AL2265"/>
      <c r="AM2265"/>
      <c r="AN2265"/>
      <c r="AO2265"/>
      <c r="AP2265"/>
      <c r="AQ2265"/>
      <c r="AR2265"/>
      <c r="AS2265"/>
      <c r="AT2265"/>
      <c r="AU2265"/>
      <c r="AV2265"/>
      <c r="AW2265"/>
      <c r="AX2265"/>
      <c r="AY2265"/>
      <c r="AZ2265"/>
      <c r="BA2265"/>
      <c r="BB2265"/>
      <c r="BC2265"/>
      <c r="BD2265"/>
      <c r="BE2265"/>
      <c r="BF2265"/>
      <c r="BG2265"/>
      <c r="BH2265"/>
      <c r="BI2265"/>
      <c r="BJ2265"/>
      <c r="BK2265"/>
      <c r="BL2265"/>
      <c r="BM2265"/>
      <c r="BN2265"/>
      <c r="BO2265"/>
      <c r="BP2265"/>
      <c r="BQ2265"/>
      <c r="BR2265"/>
      <c r="BS2265"/>
      <c r="BT2265"/>
      <c r="BU2265"/>
      <c r="BV2265"/>
      <c r="BW2265"/>
      <c r="BX2265"/>
      <c r="BY2265"/>
      <c r="BZ2265"/>
      <c r="CA2265"/>
      <c r="CB2265"/>
      <c r="CC2265"/>
      <c r="CD2265"/>
      <c r="CE2265"/>
      <c r="CF2265"/>
      <c r="CG2265"/>
      <c r="CH2265"/>
      <c r="CI2265"/>
      <c r="CJ2265"/>
      <c r="CK2265"/>
      <c r="CL2265"/>
      <c r="CM2265"/>
      <c r="CN2265"/>
      <c r="CO2265"/>
      <c r="CP2265"/>
      <c r="CQ2265"/>
      <c r="CR2265"/>
      <c r="CS2265"/>
      <c r="CT2265"/>
      <c r="CU2265"/>
      <c r="CV2265"/>
      <c r="CW2265"/>
      <c r="CX2265"/>
      <c r="CY2265"/>
      <c r="CZ2265"/>
      <c r="DA2265"/>
      <c r="DB2265"/>
      <c r="DC2265"/>
      <c r="DD2265"/>
      <c r="DE2265"/>
      <c r="DF2265"/>
      <c r="DG2265"/>
      <c r="DH2265"/>
      <c r="DI2265"/>
      <c r="DJ2265"/>
      <c r="DK2265"/>
      <c r="DL2265"/>
      <c r="DM2265"/>
      <c r="DN2265"/>
      <c r="DO2265"/>
      <c r="DP2265"/>
      <c r="DQ2265"/>
      <c r="DR2265"/>
      <c r="DS2265"/>
      <c r="DT2265"/>
      <c r="DU2265"/>
      <c r="DV2265"/>
      <c r="DW2265"/>
      <c r="DX2265"/>
      <c r="DY2265"/>
      <c r="DZ2265"/>
      <c r="EA2265"/>
      <c r="EB2265"/>
      <c r="EC2265"/>
      <c r="ED2265"/>
      <c r="EE2265"/>
      <c r="EF2265"/>
      <c r="EG2265"/>
      <c r="EH2265"/>
      <c r="EI2265"/>
      <c r="EJ2265"/>
      <c r="EK2265"/>
      <c r="EL2265"/>
      <c r="EM2265"/>
      <c r="EN2265"/>
      <c r="EO2265"/>
      <c r="EP2265"/>
      <c r="EQ2265"/>
      <c r="ER2265"/>
      <c r="ES2265"/>
    </row>
    <row r="2266" spans="1:149">
      <c r="A2266"/>
      <c r="B2266"/>
      <c r="C2266"/>
      <c r="D2266"/>
      <c r="E2266"/>
      <c r="F2266"/>
      <c r="G2266"/>
      <c r="H2266"/>
      <c r="I2266"/>
      <c r="J2266"/>
      <c r="K2266"/>
      <c r="L2266"/>
      <c r="M2266"/>
      <c r="N2266"/>
      <c r="O2266"/>
      <c r="P2266"/>
      <c r="Q2266"/>
      <c r="R2266"/>
      <c r="S2266"/>
      <c r="T2266"/>
      <c r="U2266"/>
      <c r="V2266"/>
      <c r="W2266"/>
      <c r="X2266"/>
      <c r="Y2266"/>
      <c r="Z2266"/>
      <c r="AA2266"/>
      <c r="AB2266"/>
      <c r="AC2266"/>
      <c r="AD2266"/>
      <c r="AE2266"/>
      <c r="AF2266"/>
      <c r="AG2266"/>
      <c r="AH2266"/>
      <c r="AI2266"/>
      <c r="AJ2266"/>
      <c r="AK2266"/>
      <c r="AL2266"/>
      <c r="AM2266"/>
      <c r="AN2266"/>
      <c r="AO2266"/>
      <c r="AP2266"/>
      <c r="AQ2266"/>
      <c r="AR2266"/>
      <c r="AS2266"/>
      <c r="AT2266"/>
      <c r="AU2266"/>
      <c r="AV2266"/>
      <c r="AW2266"/>
      <c r="AX2266"/>
      <c r="AY2266"/>
      <c r="AZ2266"/>
      <c r="BA2266"/>
      <c r="BB2266"/>
      <c r="BC2266"/>
      <c r="BD2266"/>
      <c r="BE2266"/>
      <c r="BF2266"/>
      <c r="BG2266"/>
      <c r="BH2266"/>
      <c r="BI2266"/>
      <c r="BJ2266"/>
      <c r="BK2266"/>
      <c r="BL2266"/>
      <c r="BM2266"/>
      <c r="BN2266"/>
      <c r="BO2266"/>
      <c r="BP2266"/>
      <c r="BQ2266"/>
      <c r="BR2266"/>
      <c r="BS2266"/>
      <c r="BT2266"/>
      <c r="BU2266"/>
      <c r="BV2266"/>
      <c r="BW2266"/>
      <c r="BX2266"/>
      <c r="BY2266"/>
      <c r="BZ2266"/>
      <c r="CA2266"/>
      <c r="CB2266"/>
      <c r="CC2266"/>
      <c r="CD2266"/>
      <c r="CE2266"/>
      <c r="CF2266"/>
      <c r="CG2266"/>
      <c r="CH2266"/>
      <c r="CI2266"/>
      <c r="CJ2266"/>
      <c r="CK2266"/>
      <c r="CL2266"/>
      <c r="CM2266"/>
      <c r="CN2266"/>
      <c r="CO2266"/>
      <c r="CP2266"/>
      <c r="CQ2266"/>
      <c r="CR2266"/>
      <c r="CS2266"/>
      <c r="CT2266"/>
      <c r="CU2266"/>
      <c r="CV2266"/>
      <c r="CW2266"/>
      <c r="CX2266"/>
      <c r="CY2266"/>
      <c r="CZ2266"/>
      <c r="DA2266"/>
      <c r="DB2266"/>
      <c r="DC2266"/>
      <c r="DD2266"/>
      <c r="DE2266"/>
      <c r="DF2266"/>
      <c r="DG2266"/>
      <c r="DH2266"/>
      <c r="DI2266"/>
      <c r="DJ2266"/>
      <c r="DK2266"/>
      <c r="DL2266"/>
      <c r="DM2266"/>
      <c r="DN2266"/>
      <c r="DO2266"/>
      <c r="DP2266"/>
      <c r="DQ2266"/>
      <c r="DR2266"/>
      <c r="DS2266"/>
      <c r="DT2266"/>
      <c r="DU2266"/>
      <c r="DV2266"/>
      <c r="DW2266"/>
      <c r="DX2266"/>
      <c r="DY2266"/>
      <c r="DZ2266"/>
      <c r="EA2266"/>
      <c r="EB2266"/>
      <c r="EC2266"/>
      <c r="ED2266"/>
      <c r="EE2266"/>
      <c r="EF2266"/>
      <c r="EG2266"/>
      <c r="EH2266"/>
      <c r="EI2266"/>
      <c r="EJ2266"/>
      <c r="EK2266"/>
      <c r="EL2266"/>
      <c r="EM2266"/>
      <c r="EN2266"/>
      <c r="EO2266"/>
      <c r="EP2266"/>
      <c r="EQ2266"/>
      <c r="ER2266"/>
      <c r="ES2266"/>
    </row>
    <row r="2267" spans="1:149">
      <c r="A2267"/>
      <c r="B2267"/>
      <c r="C2267"/>
      <c r="D2267"/>
      <c r="E2267"/>
      <c r="F2267"/>
      <c r="G2267"/>
      <c r="H2267"/>
      <c r="I2267"/>
      <c r="J2267"/>
      <c r="K2267"/>
      <c r="L2267"/>
      <c r="M2267"/>
      <c r="N2267"/>
      <c r="O2267"/>
      <c r="P2267"/>
      <c r="Q2267"/>
      <c r="R2267"/>
      <c r="S2267"/>
      <c r="T2267"/>
      <c r="U2267"/>
      <c r="V2267"/>
      <c r="W2267"/>
      <c r="X2267"/>
      <c r="Y2267"/>
      <c r="Z2267"/>
      <c r="AA2267"/>
      <c r="AB2267"/>
      <c r="AC2267"/>
      <c r="AD2267"/>
      <c r="AE2267"/>
      <c r="AF2267"/>
      <c r="AG2267"/>
      <c r="AH2267"/>
      <c r="AI2267"/>
      <c r="AJ2267"/>
      <c r="AK2267"/>
      <c r="AL2267"/>
      <c r="AM2267"/>
      <c r="AN2267"/>
      <c r="AO2267"/>
      <c r="AP2267"/>
      <c r="AQ2267"/>
      <c r="AR2267"/>
      <c r="AS2267"/>
      <c r="AT2267"/>
      <c r="AU2267"/>
      <c r="AV2267"/>
      <c r="AW2267"/>
      <c r="AX2267"/>
      <c r="AY2267"/>
      <c r="AZ2267"/>
      <c r="BA2267"/>
      <c r="BB2267"/>
      <c r="BC2267"/>
      <c r="BD2267"/>
      <c r="BE2267"/>
      <c r="BF2267"/>
      <c r="BG2267"/>
      <c r="BH2267"/>
      <c r="BI2267"/>
      <c r="BJ2267"/>
      <c r="BK2267"/>
      <c r="BL2267"/>
      <c r="BM2267"/>
      <c r="BN2267"/>
      <c r="BO2267"/>
      <c r="BP2267"/>
      <c r="BQ2267"/>
      <c r="BR2267"/>
      <c r="BS2267"/>
      <c r="BT2267"/>
      <c r="BU2267"/>
      <c r="BV2267"/>
      <c r="BW2267"/>
      <c r="BX2267"/>
      <c r="BY2267"/>
      <c r="BZ2267"/>
      <c r="CA2267"/>
      <c r="CB2267"/>
      <c r="CC2267"/>
      <c r="CD2267"/>
      <c r="CE2267"/>
      <c r="CF2267"/>
      <c r="CG2267"/>
      <c r="CH2267"/>
      <c r="CI2267"/>
      <c r="CJ2267"/>
      <c r="CK2267"/>
      <c r="CL2267"/>
      <c r="CM2267"/>
      <c r="CN2267"/>
      <c r="CO2267"/>
      <c r="CP2267"/>
      <c r="CQ2267"/>
      <c r="CR2267"/>
      <c r="CS2267"/>
      <c r="CT2267"/>
      <c r="CU2267"/>
      <c r="CV2267"/>
      <c r="CW2267"/>
      <c r="CX2267"/>
      <c r="CY2267"/>
      <c r="CZ2267"/>
      <c r="DA2267"/>
      <c r="DB2267"/>
      <c r="DC2267"/>
      <c r="DD2267"/>
      <c r="DE2267"/>
      <c r="DF2267"/>
      <c r="DG2267"/>
      <c r="DH2267"/>
      <c r="DI2267"/>
      <c r="DJ2267"/>
      <c r="DK2267"/>
      <c r="DL2267"/>
      <c r="DM2267"/>
      <c r="DN2267"/>
      <c r="DO2267"/>
      <c r="DP2267"/>
      <c r="DQ2267"/>
      <c r="DR2267"/>
      <c r="DS2267"/>
      <c r="DT2267"/>
      <c r="DU2267"/>
      <c r="DV2267"/>
      <c r="DW2267"/>
      <c r="DX2267"/>
      <c r="DY2267"/>
      <c r="DZ2267"/>
      <c r="EA2267"/>
      <c r="EB2267"/>
      <c r="EC2267"/>
      <c r="ED2267"/>
      <c r="EE2267"/>
      <c r="EF2267"/>
      <c r="EG2267"/>
      <c r="EH2267"/>
      <c r="EI2267"/>
      <c r="EJ2267"/>
      <c r="EK2267"/>
      <c r="EL2267"/>
      <c r="EM2267"/>
      <c r="EN2267"/>
      <c r="EO2267"/>
      <c r="EP2267"/>
      <c r="EQ2267"/>
      <c r="ER2267"/>
      <c r="ES2267"/>
    </row>
    <row r="2268" spans="1:149">
      <c r="A2268"/>
      <c r="B2268"/>
      <c r="C2268"/>
      <c r="D2268"/>
      <c r="E2268"/>
      <c r="F2268"/>
      <c r="G2268"/>
      <c r="H2268"/>
      <c r="I2268"/>
      <c r="J2268"/>
      <c r="K2268"/>
      <c r="L2268"/>
      <c r="M2268"/>
      <c r="N2268"/>
      <c r="O2268"/>
      <c r="P2268"/>
      <c r="Q2268"/>
      <c r="R2268"/>
      <c r="S2268"/>
      <c r="T2268"/>
      <c r="U2268"/>
      <c r="V2268"/>
      <c r="W2268"/>
      <c r="X2268"/>
      <c r="Y2268"/>
      <c r="Z2268"/>
      <c r="AA2268"/>
      <c r="AB2268"/>
      <c r="AC2268"/>
      <c r="AD2268"/>
      <c r="AE2268"/>
      <c r="AF2268"/>
      <c r="AG2268"/>
      <c r="AH2268"/>
      <c r="AI2268"/>
      <c r="AJ2268"/>
      <c r="AK2268"/>
      <c r="AL2268"/>
      <c r="AM2268"/>
      <c r="AN2268"/>
      <c r="AO2268"/>
      <c r="AP2268"/>
      <c r="AQ2268"/>
      <c r="AR2268"/>
      <c r="AS2268"/>
      <c r="AT2268"/>
      <c r="AU2268"/>
      <c r="AV2268"/>
      <c r="AW2268"/>
      <c r="AX2268"/>
      <c r="AY2268"/>
      <c r="AZ2268"/>
      <c r="BA2268"/>
      <c r="BB2268"/>
      <c r="BC2268"/>
      <c r="BD2268"/>
      <c r="BE2268"/>
      <c r="BF2268"/>
      <c r="BG2268"/>
      <c r="BH2268"/>
      <c r="BI2268"/>
      <c r="BJ2268"/>
      <c r="BK2268"/>
      <c r="BL2268"/>
      <c r="BM2268"/>
      <c r="BN2268"/>
      <c r="BO2268"/>
      <c r="BP2268"/>
      <c r="BQ2268"/>
      <c r="BR2268"/>
      <c r="BS2268"/>
      <c r="BT2268"/>
      <c r="BU2268"/>
      <c r="BV2268"/>
      <c r="BW2268"/>
      <c r="BX2268"/>
      <c r="BY2268"/>
      <c r="BZ2268"/>
      <c r="CA2268"/>
      <c r="CB2268"/>
      <c r="CC2268"/>
      <c r="CD2268"/>
      <c r="CE2268"/>
      <c r="CF2268"/>
      <c r="CG2268"/>
      <c r="CH2268"/>
      <c r="CI2268"/>
      <c r="CJ2268"/>
      <c r="CK2268"/>
      <c r="CL2268"/>
      <c r="CM2268"/>
      <c r="CN2268"/>
      <c r="CO2268"/>
      <c r="CP2268"/>
      <c r="CQ2268"/>
      <c r="CR2268"/>
      <c r="CS2268"/>
      <c r="CT2268"/>
      <c r="CU2268"/>
      <c r="CV2268"/>
      <c r="CW2268"/>
      <c r="CX2268"/>
      <c r="CY2268"/>
      <c r="CZ2268"/>
      <c r="DA2268"/>
      <c r="DB2268"/>
      <c r="DC2268"/>
      <c r="DD2268"/>
      <c r="DE2268"/>
      <c r="DF2268"/>
      <c r="DG2268"/>
      <c r="DH2268"/>
      <c r="DI2268"/>
      <c r="DJ2268"/>
      <c r="DK2268"/>
      <c r="DL2268"/>
      <c r="DM2268"/>
      <c r="DN2268"/>
      <c r="DO2268"/>
      <c r="DP2268"/>
      <c r="DQ2268"/>
      <c r="DR2268"/>
      <c r="DS2268"/>
      <c r="DT2268"/>
      <c r="DU2268"/>
      <c r="DV2268"/>
      <c r="DW2268"/>
      <c r="DX2268"/>
      <c r="DY2268"/>
      <c r="DZ2268"/>
      <c r="EA2268"/>
      <c r="EB2268"/>
      <c r="EC2268"/>
      <c r="ED2268"/>
      <c r="EE2268"/>
      <c r="EF2268"/>
      <c r="EG2268"/>
      <c r="EH2268"/>
      <c r="EI2268"/>
      <c r="EJ2268"/>
      <c r="EK2268"/>
      <c r="EL2268"/>
      <c r="EM2268"/>
      <c r="EN2268"/>
      <c r="EO2268"/>
      <c r="EP2268"/>
      <c r="EQ2268"/>
      <c r="ER2268"/>
      <c r="ES2268"/>
    </row>
    <row r="2269" spans="1:149">
      <c r="A2269"/>
      <c r="B2269"/>
      <c r="C2269"/>
      <c r="D2269"/>
      <c r="E2269"/>
      <c r="F2269"/>
      <c r="G2269"/>
      <c r="H2269"/>
      <c r="I2269"/>
      <c r="J2269"/>
      <c r="K2269"/>
      <c r="L2269"/>
      <c r="M2269"/>
      <c r="N2269"/>
      <c r="O2269"/>
      <c r="P2269"/>
      <c r="Q2269"/>
      <c r="R2269"/>
      <c r="S2269"/>
      <c r="T2269"/>
      <c r="U2269"/>
      <c r="V2269"/>
      <c r="W2269"/>
      <c r="X2269"/>
      <c r="Y2269"/>
      <c r="Z2269"/>
      <c r="AA2269"/>
      <c r="AB2269"/>
      <c r="AC2269"/>
      <c r="AD2269"/>
      <c r="AE2269"/>
      <c r="AF2269"/>
      <c r="AG2269"/>
      <c r="AH2269"/>
      <c r="AI2269"/>
      <c r="AJ2269"/>
      <c r="AK2269"/>
      <c r="AL2269"/>
      <c r="AM2269"/>
      <c r="AN2269"/>
      <c r="AO2269"/>
      <c r="AP2269"/>
      <c r="AQ2269"/>
      <c r="AR2269"/>
      <c r="AS2269"/>
      <c r="AT2269"/>
      <c r="AU2269"/>
      <c r="AV2269"/>
      <c r="AW2269"/>
      <c r="AX2269"/>
      <c r="AY2269"/>
      <c r="AZ2269"/>
      <c r="BA2269"/>
      <c r="BB2269"/>
      <c r="BC2269"/>
      <c r="BD2269"/>
      <c r="BE2269"/>
      <c r="BF2269"/>
      <c r="BG2269"/>
      <c r="BH2269"/>
      <c r="BI2269"/>
      <c r="BJ2269"/>
      <c r="BK2269"/>
      <c r="BL2269"/>
      <c r="BM2269"/>
      <c r="BN2269"/>
      <c r="BO2269"/>
      <c r="BP2269"/>
      <c r="BQ2269"/>
      <c r="BR2269"/>
      <c r="BS2269"/>
      <c r="BT2269"/>
      <c r="BU2269"/>
      <c r="BV2269"/>
      <c r="BW2269"/>
      <c r="BX2269"/>
      <c r="BY2269"/>
      <c r="BZ2269"/>
      <c r="CA2269"/>
      <c r="CB2269"/>
      <c r="CC2269"/>
      <c r="CD2269"/>
      <c r="CE2269"/>
      <c r="CF2269"/>
      <c r="CG2269"/>
      <c r="CH2269"/>
      <c r="CI2269"/>
      <c r="CJ2269"/>
      <c r="CK2269"/>
      <c r="CL2269"/>
      <c r="CM2269"/>
      <c r="CN2269"/>
      <c r="CO2269"/>
      <c r="CP2269"/>
      <c r="CQ2269"/>
      <c r="CR2269"/>
      <c r="CS2269"/>
      <c r="CT2269"/>
      <c r="CU2269"/>
      <c r="CV2269"/>
      <c r="CW2269"/>
      <c r="CX2269"/>
      <c r="CY2269"/>
      <c r="CZ2269"/>
      <c r="DA2269"/>
      <c r="DB2269"/>
      <c r="DC2269"/>
      <c r="DD2269"/>
      <c r="DE2269"/>
      <c r="DF2269"/>
      <c r="DG2269"/>
      <c r="DH2269"/>
      <c r="DI2269"/>
      <c r="DJ2269"/>
      <c r="DK2269"/>
      <c r="DL2269"/>
      <c r="DM2269"/>
      <c r="DN2269"/>
      <c r="DO2269"/>
      <c r="DP2269"/>
      <c r="DQ2269"/>
      <c r="DR2269"/>
      <c r="DS2269"/>
      <c r="DT2269"/>
      <c r="DU2269"/>
      <c r="DV2269"/>
      <c r="DW2269"/>
      <c r="DX2269"/>
      <c r="DY2269"/>
      <c r="DZ2269"/>
      <c r="EA2269"/>
      <c r="EB2269"/>
      <c r="EC2269"/>
      <c r="ED2269"/>
      <c r="EE2269"/>
      <c r="EF2269"/>
      <c r="EG2269"/>
      <c r="EH2269"/>
      <c r="EI2269"/>
      <c r="EJ2269"/>
      <c r="EK2269"/>
      <c r="EL2269"/>
      <c r="EM2269"/>
      <c r="EN2269"/>
      <c r="EO2269"/>
      <c r="EP2269"/>
      <c r="EQ2269"/>
      <c r="ER2269"/>
      <c r="ES2269"/>
    </row>
    <row r="2270" spans="1:149">
      <c r="A2270"/>
      <c r="B2270"/>
      <c r="C2270"/>
      <c r="D2270"/>
      <c r="E2270"/>
      <c r="F2270"/>
      <c r="G2270"/>
      <c r="H2270"/>
      <c r="I2270"/>
      <c r="J2270"/>
      <c r="K2270"/>
      <c r="L2270"/>
      <c r="M2270"/>
      <c r="N2270"/>
      <c r="O2270"/>
      <c r="P2270"/>
      <c r="Q2270"/>
      <c r="R2270"/>
      <c r="S2270"/>
      <c r="T2270"/>
      <c r="U2270"/>
      <c r="V2270"/>
      <c r="W2270"/>
      <c r="X2270"/>
      <c r="Y2270"/>
      <c r="Z2270"/>
      <c r="AA2270"/>
      <c r="AB2270"/>
      <c r="AC2270"/>
      <c r="AD2270"/>
      <c r="AE2270"/>
      <c r="AF2270"/>
      <c r="AG2270"/>
      <c r="AH2270"/>
      <c r="AI2270"/>
      <c r="AJ2270"/>
      <c r="AK2270"/>
      <c r="AL2270"/>
      <c r="AM2270"/>
      <c r="AN2270"/>
      <c r="AO2270"/>
      <c r="AP2270"/>
      <c r="AQ2270"/>
      <c r="AR2270"/>
      <c r="AS2270"/>
      <c r="AT2270"/>
      <c r="AU2270"/>
      <c r="AV2270"/>
      <c r="AW2270"/>
      <c r="AX2270"/>
      <c r="AY2270"/>
      <c r="AZ2270"/>
      <c r="BA2270"/>
      <c r="BB2270"/>
      <c r="BC2270"/>
      <c r="BD2270"/>
      <c r="BE2270"/>
      <c r="BF2270"/>
      <c r="BG2270"/>
      <c r="BH2270"/>
      <c r="BI2270"/>
      <c r="BJ2270"/>
      <c r="BK2270"/>
      <c r="BL2270"/>
      <c r="BM2270"/>
      <c r="BN2270"/>
      <c r="BO2270"/>
      <c r="BP2270"/>
      <c r="BQ2270"/>
      <c r="BR2270"/>
      <c r="BS2270"/>
      <c r="BT2270"/>
      <c r="BU2270"/>
      <c r="BV2270"/>
      <c r="BW2270"/>
      <c r="BX2270"/>
      <c r="BY2270"/>
      <c r="BZ2270"/>
      <c r="CA2270"/>
      <c r="CB2270"/>
      <c r="CC2270"/>
      <c r="CD2270"/>
      <c r="CE2270"/>
      <c r="CF2270"/>
      <c r="CG2270"/>
      <c r="CH2270"/>
      <c r="CI2270"/>
      <c r="CJ2270"/>
      <c r="CK2270"/>
      <c r="CL2270"/>
      <c r="CM2270"/>
      <c r="CN2270"/>
      <c r="CO2270"/>
      <c r="CP2270"/>
      <c r="CQ2270"/>
      <c r="CR2270"/>
      <c r="CS2270"/>
      <c r="CT2270"/>
      <c r="CU2270"/>
      <c r="CV2270"/>
      <c r="CW2270"/>
      <c r="CX2270"/>
      <c r="CY2270"/>
      <c r="CZ2270"/>
      <c r="DA2270"/>
      <c r="DB2270"/>
      <c r="DC2270"/>
      <c r="DD2270"/>
      <c r="DE2270"/>
      <c r="DF2270"/>
      <c r="DG2270"/>
      <c r="DH2270"/>
      <c r="DI2270"/>
      <c r="DJ2270"/>
      <c r="DK2270"/>
      <c r="DL2270"/>
      <c r="DM2270"/>
      <c r="DN2270"/>
      <c r="DO2270"/>
      <c r="DP2270"/>
      <c r="DQ2270"/>
      <c r="DR2270"/>
      <c r="DS2270"/>
      <c r="DT2270"/>
      <c r="DU2270"/>
      <c r="DV2270"/>
      <c r="DW2270"/>
      <c r="DX2270"/>
      <c r="DY2270"/>
      <c r="DZ2270"/>
      <c r="EA2270"/>
      <c r="EB2270"/>
      <c r="EC2270"/>
      <c r="ED2270"/>
      <c r="EE2270"/>
      <c r="EF2270"/>
      <c r="EG2270"/>
      <c r="EH2270"/>
      <c r="EI2270"/>
      <c r="EJ2270"/>
      <c r="EK2270"/>
      <c r="EL2270"/>
      <c r="EM2270"/>
      <c r="EN2270"/>
      <c r="EO2270"/>
      <c r="EP2270"/>
      <c r="EQ2270"/>
      <c r="ER2270"/>
      <c r="ES2270"/>
    </row>
    <row r="2271" spans="1:149">
      <c r="A2271"/>
      <c r="B2271"/>
      <c r="C2271"/>
      <c r="D2271"/>
      <c r="E2271"/>
      <c r="F2271"/>
      <c r="G2271"/>
      <c r="H2271"/>
      <c r="I2271"/>
      <c r="J2271"/>
      <c r="K2271"/>
      <c r="L2271"/>
      <c r="M2271"/>
      <c r="N2271"/>
      <c r="O2271"/>
      <c r="P2271"/>
      <c r="Q2271"/>
      <c r="R2271"/>
      <c r="S2271"/>
      <c r="T2271"/>
      <c r="U2271"/>
      <c r="V2271"/>
      <c r="W2271"/>
      <c r="X2271"/>
      <c r="Y2271"/>
      <c r="Z2271"/>
      <c r="AA2271"/>
      <c r="AB2271"/>
      <c r="AC2271"/>
      <c r="AD2271"/>
      <c r="AE2271"/>
      <c r="AF2271"/>
      <c r="AG2271"/>
      <c r="AH2271"/>
      <c r="AI2271"/>
      <c r="AJ2271"/>
      <c r="AK2271"/>
      <c r="AL2271"/>
      <c r="AM2271"/>
      <c r="AN2271"/>
      <c r="AO2271"/>
      <c r="AP2271"/>
      <c r="AQ2271"/>
      <c r="AR2271"/>
      <c r="AS2271"/>
      <c r="AT2271"/>
      <c r="AU2271"/>
      <c r="AV2271"/>
      <c r="AW2271"/>
      <c r="AX2271"/>
      <c r="AY2271"/>
      <c r="AZ2271"/>
      <c r="BA2271"/>
      <c r="BB2271"/>
      <c r="BC2271"/>
      <c r="BD2271"/>
      <c r="BE2271"/>
      <c r="BF2271"/>
      <c r="BG2271"/>
      <c r="BH2271"/>
      <c r="BI2271"/>
      <c r="BJ2271"/>
      <c r="BK2271"/>
      <c r="BL2271"/>
      <c r="BM2271"/>
      <c r="BN2271"/>
      <c r="BO2271"/>
      <c r="BP2271"/>
      <c r="BQ2271"/>
      <c r="BR2271"/>
      <c r="BS2271"/>
      <c r="BT2271"/>
      <c r="BU2271"/>
      <c r="BV2271"/>
      <c r="BW2271"/>
      <c r="BX2271"/>
      <c r="BY2271"/>
      <c r="BZ2271"/>
      <c r="CA2271"/>
      <c r="CB2271"/>
      <c r="CC2271"/>
      <c r="CD2271"/>
      <c r="CE2271"/>
      <c r="CF2271"/>
      <c r="CG2271"/>
      <c r="CH2271"/>
      <c r="CI2271"/>
      <c r="CJ2271"/>
      <c r="CK2271"/>
      <c r="CL2271"/>
      <c r="CM2271"/>
      <c r="CN2271"/>
      <c r="CO2271"/>
      <c r="CP2271"/>
      <c r="CQ2271"/>
      <c r="CR2271"/>
      <c r="CS2271"/>
      <c r="CT2271"/>
      <c r="CU2271"/>
      <c r="CV2271"/>
      <c r="CW2271"/>
      <c r="CX2271"/>
      <c r="CY2271"/>
      <c r="CZ2271"/>
      <c r="DA2271"/>
      <c r="DB2271"/>
      <c r="DC2271"/>
      <c r="DD2271"/>
      <c r="DE2271"/>
      <c r="DF2271"/>
      <c r="DG2271"/>
      <c r="DH2271"/>
      <c r="DI2271"/>
      <c r="DJ2271"/>
      <c r="DK2271"/>
      <c r="DL2271"/>
      <c r="DM2271"/>
      <c r="DN2271"/>
      <c r="DO2271"/>
      <c r="DP2271"/>
      <c r="DQ2271"/>
      <c r="DR2271"/>
      <c r="DS2271"/>
      <c r="DT2271"/>
      <c r="DU2271"/>
      <c r="DV2271"/>
      <c r="DW2271"/>
      <c r="DX2271"/>
      <c r="DY2271"/>
      <c r="DZ2271"/>
      <c r="EA2271"/>
      <c r="EB2271"/>
      <c r="EC2271"/>
      <c r="ED2271"/>
      <c r="EE2271"/>
      <c r="EF2271"/>
      <c r="EG2271"/>
      <c r="EH2271"/>
      <c r="EI2271"/>
      <c r="EJ2271"/>
      <c r="EK2271"/>
      <c r="EL2271"/>
      <c r="EM2271"/>
      <c r="EN2271"/>
      <c r="EO2271"/>
      <c r="EP2271"/>
      <c r="EQ2271"/>
      <c r="ER2271"/>
      <c r="ES2271"/>
    </row>
    <row r="2272" spans="1:149">
      <c r="A2272"/>
      <c r="B2272"/>
      <c r="C2272"/>
      <c r="D2272"/>
      <c r="E2272"/>
      <c r="F2272"/>
      <c r="G2272"/>
      <c r="H2272"/>
      <c r="I2272"/>
      <c r="J2272"/>
      <c r="K2272"/>
      <c r="L2272"/>
      <c r="M2272"/>
      <c r="N2272"/>
      <c r="O2272"/>
      <c r="P2272"/>
      <c r="Q2272"/>
      <c r="R2272"/>
      <c r="S2272"/>
      <c r="T2272"/>
      <c r="U2272"/>
      <c r="V2272"/>
      <c r="W2272"/>
      <c r="X2272"/>
      <c r="Y2272"/>
      <c r="Z2272"/>
      <c r="AA2272"/>
      <c r="AB2272"/>
      <c r="AC2272"/>
      <c r="AD2272"/>
      <c r="AE2272"/>
      <c r="AF2272"/>
      <c r="AG2272"/>
      <c r="AH2272"/>
      <c r="AI2272"/>
      <c r="AJ2272"/>
      <c r="AK2272"/>
      <c r="AL2272"/>
      <c r="AM2272"/>
      <c r="AN2272"/>
      <c r="AO2272"/>
      <c r="AP2272"/>
      <c r="AQ2272"/>
      <c r="AR2272"/>
      <c r="AS2272"/>
      <c r="AT2272"/>
      <c r="AU2272"/>
      <c r="AV2272"/>
      <c r="AW2272"/>
      <c r="AX2272"/>
      <c r="AY2272"/>
      <c r="AZ2272"/>
      <c r="BA2272"/>
      <c r="BB2272"/>
      <c r="BC2272"/>
      <c r="BD2272"/>
      <c r="BE2272"/>
      <c r="BF2272"/>
      <c r="BG2272"/>
      <c r="BH2272"/>
      <c r="BI2272"/>
      <c r="BJ2272"/>
      <c r="BK2272"/>
      <c r="BL2272"/>
      <c r="BM2272"/>
      <c r="BN2272"/>
      <c r="BO2272"/>
      <c r="BP2272"/>
      <c r="BQ2272"/>
      <c r="BR2272"/>
      <c r="BS2272"/>
      <c r="BT2272"/>
      <c r="BU2272"/>
      <c r="BV2272"/>
      <c r="BW2272"/>
      <c r="BX2272"/>
      <c r="BY2272"/>
      <c r="BZ2272"/>
      <c r="CA2272"/>
      <c r="CB2272"/>
      <c r="CC2272"/>
      <c r="CD2272"/>
      <c r="CE2272"/>
      <c r="CF2272"/>
      <c r="CG2272"/>
      <c r="CH2272"/>
      <c r="CI2272"/>
      <c r="CJ2272"/>
      <c r="CK2272"/>
      <c r="CL2272"/>
      <c r="CM2272"/>
      <c r="CN2272"/>
      <c r="CO2272"/>
      <c r="CP2272"/>
      <c r="CQ2272"/>
      <c r="CR2272"/>
      <c r="CS2272"/>
      <c r="CT2272"/>
      <c r="CU2272"/>
      <c r="CV2272"/>
      <c r="CW2272"/>
      <c r="CX2272"/>
      <c r="CY2272"/>
      <c r="CZ2272"/>
      <c r="DA2272"/>
      <c r="DB2272"/>
      <c r="DC2272"/>
      <c r="DD2272"/>
      <c r="DE2272"/>
      <c r="DF2272"/>
      <c r="DG2272"/>
      <c r="DH2272"/>
      <c r="DI2272"/>
      <c r="DJ2272"/>
      <c r="DK2272"/>
      <c r="DL2272"/>
      <c r="DM2272"/>
      <c r="DN2272"/>
      <c r="DO2272"/>
      <c r="DP2272"/>
      <c r="DQ2272"/>
      <c r="DR2272"/>
      <c r="DS2272"/>
      <c r="DT2272"/>
      <c r="DU2272"/>
      <c r="DV2272"/>
      <c r="DW2272"/>
      <c r="DX2272"/>
      <c r="DY2272"/>
      <c r="DZ2272"/>
      <c r="EA2272"/>
      <c r="EB2272"/>
      <c r="EC2272"/>
      <c r="ED2272"/>
      <c r="EE2272"/>
      <c r="EF2272"/>
      <c r="EG2272"/>
      <c r="EH2272"/>
      <c r="EI2272"/>
      <c r="EJ2272"/>
      <c r="EK2272"/>
      <c r="EL2272"/>
      <c r="EM2272"/>
      <c r="EN2272"/>
      <c r="EO2272"/>
      <c r="EP2272"/>
      <c r="EQ2272"/>
      <c r="ER2272"/>
      <c r="ES2272"/>
    </row>
    <row r="2273" spans="1:149">
      <c r="A2273"/>
      <c r="B2273"/>
      <c r="C2273"/>
      <c r="D2273"/>
      <c r="E2273"/>
      <c r="F2273"/>
      <c r="G2273"/>
      <c r="H2273"/>
      <c r="I2273"/>
      <c r="J2273"/>
      <c r="K2273"/>
      <c r="L2273"/>
      <c r="M2273"/>
      <c r="N2273"/>
      <c r="O2273"/>
      <c r="P2273"/>
      <c r="Q2273"/>
      <c r="R2273"/>
      <c r="S2273"/>
      <c r="T2273"/>
      <c r="U2273"/>
      <c r="V2273"/>
      <c r="W2273"/>
      <c r="X2273"/>
      <c r="Y2273"/>
      <c r="Z2273"/>
      <c r="AA2273"/>
      <c r="AB2273"/>
      <c r="AC2273"/>
      <c r="AD2273"/>
      <c r="AE2273"/>
      <c r="AF2273"/>
      <c r="AG2273"/>
      <c r="AH2273"/>
      <c r="AI2273"/>
      <c r="AJ2273"/>
      <c r="AK2273"/>
      <c r="AL2273"/>
      <c r="AM2273"/>
      <c r="AN2273"/>
      <c r="AO2273"/>
      <c r="AP2273"/>
      <c r="AQ2273"/>
      <c r="AR2273"/>
      <c r="AS2273"/>
      <c r="AT2273"/>
      <c r="AU2273"/>
      <c r="AV2273"/>
      <c r="AW2273"/>
      <c r="AX2273"/>
      <c r="AY2273"/>
      <c r="AZ2273"/>
      <c r="BA2273"/>
      <c r="BB2273"/>
      <c r="BC2273"/>
      <c r="BD2273"/>
      <c r="BE2273"/>
      <c r="BF2273"/>
      <c r="BG2273"/>
      <c r="BH2273"/>
      <c r="BI2273"/>
      <c r="BJ2273"/>
      <c r="BK2273"/>
      <c r="BL2273"/>
      <c r="BM2273"/>
      <c r="BN2273"/>
      <c r="BO2273"/>
      <c r="BP2273"/>
      <c r="BQ2273"/>
      <c r="BR2273"/>
      <c r="BS2273"/>
      <c r="BT2273"/>
      <c r="BU2273"/>
      <c r="BV2273"/>
      <c r="BW2273"/>
      <c r="BX2273"/>
      <c r="BY2273"/>
      <c r="BZ2273"/>
      <c r="CA2273"/>
      <c r="CB2273"/>
      <c r="CC2273"/>
      <c r="CD2273"/>
      <c r="CE2273"/>
      <c r="CF2273"/>
      <c r="CG2273"/>
      <c r="CH2273"/>
      <c r="CI2273"/>
      <c r="CJ2273"/>
      <c r="CK2273"/>
      <c r="CL2273"/>
      <c r="CM2273"/>
      <c r="CN2273"/>
      <c r="CO2273"/>
      <c r="CP2273"/>
      <c r="CQ2273"/>
      <c r="CR2273"/>
      <c r="CS2273"/>
      <c r="CT2273"/>
      <c r="CU2273"/>
      <c r="CV2273"/>
      <c r="CW2273"/>
      <c r="CX2273"/>
      <c r="CY2273"/>
      <c r="CZ2273"/>
      <c r="DA2273"/>
      <c r="DB2273"/>
      <c r="DC2273"/>
      <c r="DD2273"/>
      <c r="DE2273"/>
      <c r="DF2273"/>
      <c r="DG2273"/>
      <c r="DH2273"/>
      <c r="DI2273"/>
      <c r="DJ2273"/>
      <c r="DK2273"/>
      <c r="DL2273"/>
      <c r="DM2273"/>
      <c r="DN2273"/>
      <c r="DO2273"/>
      <c r="DP2273"/>
      <c r="DQ2273"/>
      <c r="DR2273"/>
      <c r="DS2273"/>
      <c r="DT2273"/>
      <c r="DU2273"/>
      <c r="DV2273"/>
      <c r="DW2273"/>
      <c r="DX2273"/>
      <c r="DY2273"/>
      <c r="DZ2273"/>
      <c r="EA2273"/>
      <c r="EB2273"/>
      <c r="EC2273"/>
      <c r="ED2273"/>
      <c r="EE2273"/>
      <c r="EF2273"/>
      <c r="EG2273"/>
      <c r="EH2273"/>
      <c r="EI2273"/>
      <c r="EJ2273"/>
      <c r="EK2273"/>
      <c r="EL2273"/>
      <c r="EM2273"/>
      <c r="EN2273"/>
      <c r="EO2273"/>
      <c r="EP2273"/>
      <c r="EQ2273"/>
      <c r="ER2273"/>
      <c r="ES2273"/>
    </row>
    <row r="2274" spans="1:149">
      <c r="A2274"/>
      <c r="B2274"/>
      <c r="C2274"/>
      <c r="D2274"/>
      <c r="E2274"/>
      <c r="F2274"/>
      <c r="G2274"/>
      <c r="H2274"/>
      <c r="I2274"/>
      <c r="J2274"/>
      <c r="K2274"/>
      <c r="L2274"/>
      <c r="M2274"/>
      <c r="N2274"/>
      <c r="O2274"/>
      <c r="P2274"/>
      <c r="Q2274"/>
      <c r="R2274"/>
      <c r="S2274"/>
      <c r="T2274"/>
      <c r="U2274"/>
      <c r="V2274"/>
      <c r="W2274"/>
      <c r="X2274"/>
      <c r="Y2274"/>
      <c r="Z2274"/>
      <c r="AA2274"/>
      <c r="AB2274"/>
      <c r="AC2274"/>
      <c r="AD2274"/>
      <c r="AE2274"/>
      <c r="AF2274"/>
      <c r="AG2274"/>
      <c r="AH2274"/>
      <c r="AI2274"/>
      <c r="AJ2274"/>
      <c r="AK2274"/>
      <c r="AL2274"/>
      <c r="AM2274"/>
      <c r="AN2274"/>
      <c r="AO2274"/>
      <c r="AP2274"/>
      <c r="AQ2274"/>
      <c r="AR2274"/>
      <c r="AS2274"/>
      <c r="AT2274"/>
      <c r="AU2274"/>
      <c r="AV2274"/>
      <c r="AW2274"/>
      <c r="AX2274"/>
      <c r="AY2274"/>
      <c r="AZ2274"/>
      <c r="BA2274"/>
      <c r="BB2274"/>
      <c r="BC2274"/>
      <c r="BD2274"/>
      <c r="BE2274"/>
      <c r="BF2274"/>
      <c r="BG2274"/>
      <c r="BH2274"/>
      <c r="BI2274"/>
      <c r="BJ2274"/>
      <c r="BK2274"/>
      <c r="BL2274"/>
      <c r="BM2274"/>
      <c r="BN2274"/>
      <c r="BO2274"/>
      <c r="BP2274"/>
      <c r="BQ2274"/>
      <c r="BR2274"/>
      <c r="BS2274"/>
      <c r="BT2274"/>
      <c r="BU2274"/>
      <c r="BV2274"/>
      <c r="BW2274"/>
      <c r="BX2274"/>
      <c r="BY2274"/>
      <c r="BZ2274"/>
      <c r="CA2274"/>
      <c r="CB2274"/>
      <c r="CC2274"/>
      <c r="CD2274"/>
      <c r="CE2274"/>
      <c r="CF2274"/>
      <c r="CG2274"/>
      <c r="CH2274"/>
      <c r="CI2274"/>
      <c r="CJ2274"/>
      <c r="CK2274"/>
      <c r="CL2274"/>
      <c r="CM2274"/>
      <c r="CN2274"/>
      <c r="CO2274"/>
      <c r="CP2274"/>
      <c r="CQ2274"/>
      <c r="CR2274"/>
      <c r="CS2274"/>
      <c r="CT2274"/>
      <c r="CU2274"/>
      <c r="CV2274"/>
      <c r="CW2274"/>
      <c r="CX2274"/>
      <c r="CY2274"/>
      <c r="CZ2274"/>
      <c r="DA2274"/>
      <c r="DB2274"/>
      <c r="DC2274"/>
      <c r="DD2274"/>
      <c r="DE2274"/>
      <c r="DF2274"/>
      <c r="DG2274"/>
      <c r="DH2274"/>
      <c r="DI2274"/>
      <c r="DJ2274"/>
      <c r="DK2274"/>
      <c r="DL2274"/>
      <c r="DM2274"/>
      <c r="DN2274"/>
      <c r="DO2274"/>
      <c r="DP2274"/>
      <c r="DQ2274"/>
      <c r="DR2274"/>
      <c r="DS2274"/>
      <c r="DT2274"/>
      <c r="DU2274"/>
      <c r="DV2274"/>
      <c r="DW2274"/>
      <c r="DX2274"/>
      <c r="DY2274"/>
      <c r="DZ2274"/>
      <c r="EA2274"/>
      <c r="EB2274"/>
      <c r="EC2274"/>
      <c r="ED2274"/>
      <c r="EE2274"/>
      <c r="EF2274"/>
      <c r="EG2274"/>
      <c r="EH2274"/>
      <c r="EI2274"/>
      <c r="EJ2274"/>
      <c r="EK2274"/>
      <c r="EL2274"/>
      <c r="EM2274"/>
      <c r="EN2274"/>
      <c r="EO2274"/>
      <c r="EP2274"/>
      <c r="EQ2274"/>
      <c r="ER2274"/>
      <c r="ES2274"/>
    </row>
    <row r="2275" spans="1:149">
      <c r="A2275"/>
      <c r="B2275"/>
      <c r="C2275"/>
      <c r="D2275"/>
      <c r="E2275"/>
      <c r="F2275"/>
      <c r="G2275"/>
      <c r="H2275"/>
      <c r="I2275"/>
      <c r="J2275"/>
      <c r="K2275"/>
      <c r="L2275"/>
      <c r="M2275"/>
      <c r="N2275"/>
      <c r="O2275"/>
      <c r="P2275"/>
      <c r="Q2275"/>
      <c r="R2275"/>
      <c r="S2275"/>
      <c r="T2275"/>
      <c r="U2275"/>
      <c r="V2275"/>
      <c r="W2275"/>
      <c r="X2275"/>
      <c r="Y2275"/>
      <c r="Z2275"/>
      <c r="AA2275"/>
      <c r="AB2275"/>
      <c r="AC2275"/>
      <c r="AD2275"/>
      <c r="AE2275"/>
      <c r="AF2275"/>
      <c r="AG2275"/>
      <c r="AH2275"/>
      <c r="AI2275"/>
      <c r="AJ2275"/>
      <c r="AK2275"/>
      <c r="AL2275"/>
      <c r="AM2275"/>
      <c r="AN2275"/>
      <c r="AO2275"/>
      <c r="AP2275"/>
      <c r="AQ2275"/>
      <c r="AR2275"/>
      <c r="AS2275"/>
      <c r="AT2275"/>
      <c r="AU2275"/>
      <c r="AV2275"/>
      <c r="AW2275"/>
      <c r="AX2275"/>
      <c r="AY2275"/>
      <c r="AZ2275"/>
      <c r="BA2275"/>
      <c r="BB2275"/>
      <c r="BC2275"/>
      <c r="BD2275"/>
      <c r="BE2275"/>
      <c r="BF2275"/>
      <c r="BG2275"/>
      <c r="BH2275"/>
      <c r="BI2275"/>
      <c r="BJ2275"/>
      <c r="BK2275"/>
      <c r="BL2275"/>
      <c r="BM2275"/>
      <c r="BN2275"/>
      <c r="BO2275"/>
      <c r="BP2275"/>
      <c r="BQ2275"/>
      <c r="BR2275"/>
      <c r="BS2275"/>
      <c r="BT2275"/>
      <c r="BU2275"/>
      <c r="BV2275"/>
      <c r="BW2275"/>
      <c r="BX2275"/>
      <c r="BY2275"/>
      <c r="BZ2275"/>
      <c r="CA2275"/>
      <c r="CB2275"/>
      <c r="CC2275"/>
      <c r="CD2275"/>
      <c r="CE2275"/>
      <c r="CF2275"/>
      <c r="CG2275"/>
      <c r="CH2275"/>
      <c r="CI2275"/>
      <c r="CJ2275"/>
      <c r="CK2275"/>
      <c r="CL2275"/>
      <c r="CM2275"/>
      <c r="CN2275"/>
      <c r="CO2275"/>
      <c r="CP2275"/>
      <c r="CQ2275"/>
      <c r="CR2275"/>
      <c r="CS2275"/>
      <c r="CT2275"/>
      <c r="CU2275"/>
      <c r="CV2275"/>
      <c r="CW2275"/>
      <c r="CX2275"/>
      <c r="CY2275"/>
      <c r="CZ2275"/>
      <c r="DA2275"/>
      <c r="DB2275"/>
      <c r="DC2275"/>
      <c r="DD2275"/>
      <c r="DE2275"/>
      <c r="DF2275"/>
      <c r="DG2275"/>
      <c r="DH2275"/>
      <c r="DI2275"/>
      <c r="DJ2275"/>
      <c r="DK2275"/>
      <c r="DL2275"/>
      <c r="DM2275"/>
      <c r="DN2275"/>
      <c r="DO2275"/>
      <c r="DP2275"/>
      <c r="DQ2275"/>
      <c r="DR2275"/>
      <c r="DS2275"/>
      <c r="DT2275"/>
      <c r="DU2275"/>
      <c r="DV2275"/>
      <c r="DW2275"/>
      <c r="DX2275"/>
      <c r="DY2275"/>
      <c r="DZ2275"/>
      <c r="EA2275"/>
      <c r="EB2275"/>
      <c r="EC2275"/>
      <c r="ED2275"/>
      <c r="EE2275"/>
      <c r="EF2275"/>
      <c r="EG2275"/>
      <c r="EH2275"/>
      <c r="EI2275"/>
      <c r="EJ2275"/>
      <c r="EK2275"/>
      <c r="EL2275"/>
      <c r="EM2275"/>
      <c r="EN2275"/>
      <c r="EO2275"/>
      <c r="EP2275"/>
      <c r="EQ2275"/>
      <c r="ER2275"/>
      <c r="ES2275"/>
    </row>
    <row r="2276" spans="1:149">
      <c r="A2276"/>
      <c r="B2276"/>
      <c r="C2276"/>
      <c r="D2276"/>
      <c r="E2276"/>
      <c r="F2276"/>
      <c r="G2276"/>
      <c r="H2276"/>
      <c r="I2276"/>
      <c r="J2276"/>
      <c r="K2276"/>
      <c r="L2276"/>
      <c r="M2276"/>
      <c r="N2276"/>
      <c r="O2276"/>
      <c r="P2276"/>
      <c r="Q2276"/>
      <c r="R2276"/>
      <c r="S2276"/>
      <c r="T2276"/>
      <c r="U2276"/>
      <c r="V2276"/>
      <c r="W2276"/>
      <c r="X2276"/>
      <c r="Y2276"/>
      <c r="Z2276"/>
      <c r="AA2276"/>
      <c r="AB2276"/>
      <c r="AC2276"/>
      <c r="AD2276"/>
      <c r="AE2276"/>
      <c r="AF2276"/>
      <c r="AG2276"/>
      <c r="AH2276"/>
      <c r="AI2276"/>
      <c r="AJ2276"/>
      <c r="AK2276"/>
      <c r="AL2276"/>
      <c r="AM2276"/>
      <c r="AN2276"/>
      <c r="AO2276"/>
      <c r="AP2276"/>
      <c r="AQ2276"/>
      <c r="AR2276"/>
      <c r="AS2276"/>
      <c r="AT2276"/>
      <c r="AU2276"/>
      <c r="AV2276"/>
      <c r="AW2276"/>
      <c r="AX2276"/>
      <c r="AY2276"/>
      <c r="AZ2276"/>
      <c r="BA2276"/>
      <c r="BB2276"/>
      <c r="BC2276"/>
      <c r="BD2276"/>
      <c r="BE2276"/>
      <c r="BF2276"/>
      <c r="BG2276"/>
      <c r="BH2276"/>
      <c r="BI2276"/>
      <c r="BJ2276"/>
      <c r="BK2276"/>
      <c r="BL2276"/>
      <c r="BM2276"/>
      <c r="BN2276"/>
      <c r="BO2276"/>
      <c r="BP2276"/>
      <c r="BQ2276"/>
      <c r="BR2276"/>
      <c r="BS2276"/>
      <c r="BT2276"/>
      <c r="BU2276"/>
      <c r="BV2276"/>
      <c r="BW2276"/>
      <c r="BX2276"/>
      <c r="BY2276"/>
      <c r="BZ2276"/>
      <c r="CA2276"/>
      <c r="CB2276"/>
      <c r="CC2276"/>
      <c r="CD2276"/>
      <c r="CE2276"/>
      <c r="CF2276"/>
      <c r="CG2276"/>
      <c r="CH2276"/>
      <c r="CI2276"/>
      <c r="CJ2276"/>
      <c r="CK2276"/>
      <c r="CL2276"/>
      <c r="CM2276"/>
      <c r="CN2276"/>
      <c r="CO2276"/>
      <c r="CP2276"/>
      <c r="CQ2276"/>
      <c r="CR2276"/>
      <c r="CS2276"/>
      <c r="CT2276"/>
      <c r="CU2276"/>
      <c r="CV2276"/>
      <c r="CW2276"/>
      <c r="CX2276"/>
      <c r="CY2276"/>
      <c r="CZ2276"/>
      <c r="DA2276"/>
      <c r="DB2276"/>
      <c r="DC2276"/>
      <c r="DD2276"/>
      <c r="DE2276"/>
      <c r="DF2276"/>
      <c r="DG2276"/>
      <c r="DH2276"/>
      <c r="DI2276"/>
      <c r="DJ2276"/>
      <c r="DK2276"/>
      <c r="DL2276"/>
      <c r="DM2276"/>
      <c r="DN2276"/>
      <c r="DO2276"/>
      <c r="DP2276"/>
      <c r="DQ2276"/>
      <c r="DR2276"/>
      <c r="DS2276"/>
      <c r="DT2276"/>
      <c r="DU2276"/>
      <c r="DV2276"/>
      <c r="DW2276"/>
      <c r="DX2276"/>
      <c r="DY2276"/>
      <c r="DZ2276"/>
      <c r="EA2276"/>
      <c r="EB2276"/>
      <c r="EC2276"/>
      <c r="ED2276"/>
      <c r="EE2276"/>
      <c r="EF2276"/>
      <c r="EG2276"/>
      <c r="EH2276"/>
      <c r="EI2276"/>
      <c r="EJ2276"/>
      <c r="EK2276"/>
      <c r="EL2276"/>
      <c r="EM2276"/>
      <c r="EN2276"/>
      <c r="EO2276"/>
      <c r="EP2276"/>
      <c r="EQ2276"/>
      <c r="ER2276"/>
      <c r="ES2276"/>
    </row>
    <row r="2277" spans="1:149">
      <c r="A2277"/>
      <c r="B2277"/>
      <c r="C2277"/>
      <c r="D2277"/>
      <c r="E2277"/>
      <c r="F2277"/>
      <c r="G2277"/>
      <c r="H2277"/>
      <c r="I2277"/>
      <c r="J2277"/>
      <c r="K2277"/>
      <c r="L2277"/>
      <c r="M2277"/>
      <c r="N2277"/>
      <c r="O2277"/>
      <c r="P2277"/>
      <c r="Q2277"/>
      <c r="R2277"/>
      <c r="S2277"/>
      <c r="T2277"/>
      <c r="U2277"/>
      <c r="V2277"/>
      <c r="W2277"/>
      <c r="X2277"/>
      <c r="Y2277"/>
      <c r="Z2277"/>
      <c r="AA2277"/>
      <c r="AB2277"/>
      <c r="AC2277"/>
      <c r="AD2277"/>
      <c r="AE2277"/>
      <c r="AF2277"/>
      <c r="AG2277"/>
      <c r="AH2277"/>
      <c r="AI2277"/>
      <c r="AJ2277"/>
      <c r="AK2277"/>
      <c r="AL2277"/>
      <c r="AM2277"/>
      <c r="AN2277"/>
      <c r="AO2277"/>
      <c r="AP2277"/>
      <c r="AQ2277"/>
      <c r="AR2277"/>
      <c r="AS2277"/>
      <c r="AT2277"/>
      <c r="AU2277"/>
      <c r="AV2277"/>
      <c r="AW2277"/>
      <c r="AX2277"/>
      <c r="AY2277"/>
      <c r="AZ2277"/>
      <c r="BA2277"/>
      <c r="BB2277"/>
      <c r="BC2277"/>
      <c r="BD2277"/>
      <c r="BE2277"/>
      <c r="BF2277"/>
      <c r="BG2277"/>
      <c r="BH2277"/>
      <c r="BI2277"/>
      <c r="BJ2277"/>
      <c r="BK2277"/>
      <c r="BL2277"/>
      <c r="BM2277"/>
      <c r="BN2277"/>
      <c r="BO2277"/>
      <c r="BP2277"/>
      <c r="BQ2277"/>
      <c r="BR2277"/>
      <c r="BS2277"/>
      <c r="BT2277"/>
      <c r="BU2277"/>
      <c r="BV2277"/>
      <c r="BW2277"/>
      <c r="BX2277"/>
      <c r="BY2277"/>
      <c r="BZ2277"/>
      <c r="CA2277"/>
      <c r="CB2277"/>
      <c r="CC2277"/>
      <c r="CD2277"/>
      <c r="CE2277"/>
      <c r="CF2277"/>
      <c r="CG2277"/>
      <c r="CH2277"/>
      <c r="CI2277"/>
      <c r="CJ2277"/>
      <c r="CK2277"/>
      <c r="CL2277"/>
      <c r="CM2277"/>
      <c r="CN2277"/>
      <c r="CO2277"/>
      <c r="CP2277"/>
      <c r="CQ2277"/>
      <c r="CR2277"/>
      <c r="CS2277"/>
      <c r="CT2277"/>
      <c r="CU2277"/>
      <c r="CV2277"/>
      <c r="CW2277"/>
      <c r="CX2277"/>
      <c r="CY2277"/>
      <c r="CZ2277"/>
      <c r="DA2277"/>
      <c r="DB2277"/>
      <c r="DC2277"/>
      <c r="DD2277"/>
      <c r="DE2277"/>
      <c r="DF2277"/>
      <c r="DG2277"/>
      <c r="DH2277"/>
      <c r="DI2277"/>
      <c r="DJ2277"/>
      <c r="DK2277"/>
      <c r="DL2277"/>
      <c r="DM2277"/>
      <c r="DN2277"/>
      <c r="DO2277"/>
      <c r="DP2277"/>
      <c r="DQ2277"/>
      <c r="DR2277"/>
      <c r="DS2277"/>
      <c r="DT2277"/>
      <c r="DU2277"/>
      <c r="DV2277"/>
      <c r="DW2277"/>
      <c r="DX2277"/>
      <c r="DY2277"/>
      <c r="DZ2277"/>
      <c r="EA2277"/>
      <c r="EB2277"/>
      <c r="EC2277"/>
      <c r="ED2277"/>
      <c r="EE2277"/>
      <c r="EF2277"/>
      <c r="EG2277"/>
      <c r="EH2277"/>
      <c r="EI2277"/>
      <c r="EJ2277"/>
      <c r="EK2277"/>
      <c r="EL2277"/>
      <c r="EM2277"/>
      <c r="EN2277"/>
      <c r="EO2277"/>
      <c r="EP2277"/>
      <c r="EQ2277"/>
      <c r="ER2277"/>
      <c r="ES2277"/>
    </row>
    <row r="2278" spans="1:149">
      <c r="A2278"/>
      <c r="B2278"/>
      <c r="C2278"/>
      <c r="D2278"/>
      <c r="E2278"/>
      <c r="F2278"/>
      <c r="G2278"/>
      <c r="H2278"/>
      <c r="I2278"/>
      <c r="J2278"/>
      <c r="K2278"/>
      <c r="L2278"/>
      <c r="M2278"/>
      <c r="N2278"/>
      <c r="O2278"/>
      <c r="P2278"/>
      <c r="Q2278"/>
      <c r="R2278"/>
      <c r="S2278"/>
      <c r="T2278"/>
      <c r="U2278"/>
      <c r="V2278"/>
      <c r="W2278"/>
      <c r="X2278"/>
      <c r="Y2278"/>
      <c r="Z2278"/>
      <c r="AA2278"/>
      <c r="AB2278"/>
      <c r="AC2278"/>
      <c r="AD2278"/>
      <c r="AE2278"/>
      <c r="AF2278"/>
      <c r="AG2278"/>
      <c r="AH2278"/>
      <c r="AI2278"/>
      <c r="AJ2278"/>
      <c r="AK2278"/>
      <c r="AL2278"/>
      <c r="AM2278"/>
      <c r="AN2278"/>
      <c r="AO2278"/>
      <c r="AP2278"/>
      <c r="AQ2278"/>
      <c r="AR2278"/>
      <c r="AS2278"/>
      <c r="AT2278"/>
      <c r="AU2278"/>
      <c r="AV2278"/>
      <c r="AW2278"/>
      <c r="AX2278"/>
      <c r="AY2278"/>
      <c r="AZ2278"/>
      <c r="BA2278"/>
      <c r="BB2278"/>
      <c r="BC2278"/>
      <c r="BD2278"/>
      <c r="BE2278"/>
      <c r="BF2278"/>
      <c r="BG2278"/>
      <c r="BH2278"/>
      <c r="BI2278"/>
      <c r="BJ2278"/>
      <c r="BK2278"/>
      <c r="BL2278"/>
      <c r="BM2278"/>
      <c r="BN2278"/>
      <c r="BO2278"/>
      <c r="BP2278"/>
      <c r="BQ2278"/>
      <c r="BR2278"/>
      <c r="BS2278"/>
      <c r="BT2278"/>
      <c r="BU2278"/>
      <c r="BV2278"/>
      <c r="BW2278"/>
      <c r="BX2278"/>
      <c r="BY2278"/>
      <c r="BZ2278"/>
      <c r="CA2278"/>
      <c r="CB2278"/>
      <c r="CC2278"/>
      <c r="CD2278"/>
      <c r="CE2278"/>
      <c r="CF2278"/>
      <c r="CG2278"/>
      <c r="CH2278"/>
      <c r="CI2278"/>
      <c r="CJ2278"/>
      <c r="CK2278"/>
      <c r="CL2278"/>
      <c r="CM2278"/>
      <c r="CN2278"/>
      <c r="CO2278"/>
      <c r="CP2278"/>
      <c r="CQ2278"/>
      <c r="CR2278"/>
      <c r="CS2278"/>
      <c r="CT2278"/>
      <c r="CU2278"/>
      <c r="CV2278"/>
      <c r="CW2278"/>
      <c r="CX2278"/>
      <c r="CY2278"/>
      <c r="CZ2278"/>
      <c r="DA2278"/>
      <c r="DB2278"/>
      <c r="DC2278"/>
      <c r="DD2278"/>
      <c r="DE2278"/>
      <c r="DF2278"/>
      <c r="DG2278"/>
      <c r="DH2278"/>
      <c r="DI2278"/>
      <c r="DJ2278"/>
      <c r="DK2278"/>
      <c r="DL2278"/>
      <c r="DM2278"/>
      <c r="DN2278"/>
      <c r="DO2278"/>
      <c r="DP2278"/>
      <c r="DQ2278"/>
      <c r="DR2278"/>
      <c r="DS2278"/>
      <c r="DT2278"/>
      <c r="DU2278"/>
      <c r="DV2278"/>
      <c r="DW2278"/>
      <c r="DX2278"/>
      <c r="DY2278"/>
      <c r="DZ2278"/>
      <c r="EA2278"/>
      <c r="EB2278"/>
      <c r="EC2278"/>
      <c r="ED2278"/>
      <c r="EE2278"/>
      <c r="EF2278"/>
      <c r="EG2278"/>
      <c r="EH2278"/>
      <c r="EI2278"/>
      <c r="EJ2278"/>
      <c r="EK2278"/>
      <c r="EL2278"/>
      <c r="EM2278"/>
      <c r="EN2278"/>
      <c r="EO2278"/>
      <c r="EP2278"/>
      <c r="EQ2278"/>
      <c r="ER2278"/>
      <c r="ES2278"/>
    </row>
    <row r="2279" spans="1:149">
      <c r="A2279"/>
      <c r="B2279"/>
      <c r="C2279"/>
      <c r="D2279"/>
      <c r="E2279"/>
      <c r="F2279"/>
      <c r="G2279"/>
      <c r="H2279"/>
      <c r="I2279"/>
      <c r="J2279"/>
      <c r="K2279"/>
      <c r="L2279"/>
      <c r="M2279"/>
      <c r="N2279"/>
      <c r="O2279"/>
      <c r="P2279"/>
      <c r="Q2279"/>
      <c r="R2279"/>
      <c r="S2279"/>
      <c r="T2279"/>
      <c r="U2279"/>
      <c r="V2279"/>
      <c r="W2279"/>
      <c r="X2279"/>
      <c r="Y2279"/>
      <c r="Z2279"/>
      <c r="AA2279"/>
      <c r="AB2279"/>
      <c r="AC2279"/>
      <c r="AD2279"/>
      <c r="AE2279"/>
      <c r="AF2279"/>
      <c r="AG2279"/>
      <c r="AH2279"/>
      <c r="AI2279"/>
      <c r="AJ2279"/>
      <c r="AK2279"/>
      <c r="AL2279"/>
      <c r="AM2279"/>
      <c r="AN2279"/>
      <c r="AO2279"/>
      <c r="AP2279"/>
      <c r="AQ2279"/>
      <c r="AR2279"/>
      <c r="AS2279"/>
      <c r="AT2279"/>
      <c r="AU2279"/>
      <c r="AV2279"/>
      <c r="AW2279"/>
      <c r="AX2279"/>
      <c r="AY2279"/>
      <c r="AZ2279"/>
      <c r="BA2279"/>
      <c r="BB2279"/>
      <c r="BC2279"/>
      <c r="BD2279"/>
      <c r="BE2279"/>
      <c r="BF2279"/>
      <c r="BG2279"/>
      <c r="BH2279"/>
      <c r="BI2279"/>
      <c r="BJ2279"/>
      <c r="BK2279"/>
      <c r="BL2279"/>
      <c r="BM2279"/>
      <c r="BN2279"/>
      <c r="BO2279"/>
      <c r="BP2279"/>
      <c r="BQ2279"/>
      <c r="BR2279"/>
      <c r="BS2279"/>
      <c r="BT2279"/>
      <c r="BU2279"/>
      <c r="BV2279"/>
      <c r="BW2279"/>
      <c r="BX2279"/>
      <c r="BY2279"/>
      <c r="BZ2279"/>
      <c r="CA2279"/>
      <c r="CB2279"/>
      <c r="CC2279"/>
      <c r="CD2279"/>
      <c r="CE2279"/>
      <c r="CF2279"/>
      <c r="CG2279"/>
      <c r="CH2279"/>
      <c r="CI2279"/>
      <c r="CJ2279"/>
      <c r="CK2279"/>
      <c r="CL2279"/>
      <c r="CM2279"/>
      <c r="CN2279"/>
      <c r="CO2279"/>
      <c r="CP2279"/>
      <c r="CQ2279"/>
      <c r="CR2279"/>
      <c r="CS2279"/>
      <c r="CT2279"/>
      <c r="CU2279"/>
      <c r="CV2279"/>
      <c r="CW2279"/>
      <c r="CX2279"/>
      <c r="CY2279"/>
      <c r="CZ2279"/>
      <c r="DA2279"/>
      <c r="DB2279"/>
      <c r="DC2279"/>
      <c r="DD2279"/>
      <c r="DE2279"/>
      <c r="DF2279"/>
      <c r="DG2279"/>
      <c r="DH2279"/>
      <c r="DI2279"/>
      <c r="DJ2279"/>
      <c r="DK2279"/>
      <c r="DL2279"/>
      <c r="DM2279"/>
      <c r="DN2279"/>
      <c r="DO2279"/>
      <c r="DP2279"/>
      <c r="DQ2279"/>
      <c r="DR2279"/>
      <c r="DS2279"/>
      <c r="DT2279"/>
      <c r="DU2279"/>
      <c r="DV2279"/>
      <c r="DW2279"/>
      <c r="DX2279"/>
      <c r="DY2279"/>
      <c r="DZ2279"/>
      <c r="EA2279"/>
      <c r="EB2279"/>
      <c r="EC2279"/>
      <c r="ED2279"/>
      <c r="EE2279"/>
      <c r="EF2279"/>
      <c r="EG2279"/>
      <c r="EH2279"/>
      <c r="EI2279"/>
      <c r="EJ2279"/>
      <c r="EK2279"/>
      <c r="EL2279"/>
      <c r="EM2279"/>
      <c r="EN2279"/>
      <c r="EO2279"/>
      <c r="EP2279"/>
      <c r="EQ2279"/>
      <c r="ER2279"/>
      <c r="ES2279"/>
    </row>
    <row r="2280" spans="1:149">
      <c r="A2280"/>
      <c r="B2280"/>
      <c r="C2280"/>
      <c r="D2280"/>
      <c r="E2280"/>
      <c r="F2280"/>
      <c r="G2280"/>
      <c r="H2280"/>
      <c r="I2280"/>
      <c r="J2280"/>
      <c r="K2280"/>
      <c r="L2280"/>
      <c r="M2280"/>
      <c r="N2280"/>
      <c r="O2280"/>
      <c r="P2280"/>
      <c r="Q2280"/>
      <c r="R2280"/>
      <c r="S2280"/>
      <c r="T2280"/>
      <c r="U2280"/>
      <c r="V2280"/>
      <c r="W2280"/>
      <c r="X2280"/>
      <c r="Y2280"/>
      <c r="Z2280"/>
      <c r="AA2280"/>
      <c r="AB2280"/>
      <c r="AC2280"/>
      <c r="AD2280"/>
      <c r="AE2280"/>
      <c r="AF2280"/>
      <c r="AG2280"/>
      <c r="AH2280"/>
      <c r="AI2280"/>
      <c r="AJ2280"/>
      <c r="AK2280"/>
      <c r="AL2280"/>
      <c r="AM2280"/>
      <c r="AN2280"/>
      <c r="AO2280"/>
      <c r="AP2280"/>
      <c r="AQ2280"/>
      <c r="AR2280"/>
      <c r="AS2280"/>
      <c r="AT2280"/>
      <c r="AU2280"/>
      <c r="AV2280"/>
      <c r="AW2280"/>
      <c r="AX2280"/>
      <c r="AY2280"/>
      <c r="AZ2280"/>
      <c r="BA2280"/>
      <c r="BB2280"/>
      <c r="BC2280"/>
      <c r="BD2280"/>
      <c r="BE2280"/>
      <c r="BF2280"/>
      <c r="BG2280"/>
      <c r="BH2280"/>
      <c r="BI2280"/>
      <c r="BJ2280"/>
      <c r="BK2280"/>
      <c r="BL2280"/>
      <c r="BM2280"/>
      <c r="BN2280"/>
      <c r="BO2280"/>
      <c r="BP2280"/>
      <c r="BQ2280"/>
      <c r="BR2280"/>
      <c r="BS2280"/>
      <c r="BT2280"/>
      <c r="BU2280"/>
      <c r="BV2280"/>
      <c r="BW2280"/>
      <c r="BX2280"/>
      <c r="BY2280"/>
      <c r="BZ2280"/>
      <c r="CA2280"/>
      <c r="CB2280"/>
      <c r="CC2280"/>
      <c r="CD2280"/>
      <c r="CE2280"/>
      <c r="CF2280"/>
      <c r="CG2280"/>
      <c r="CH2280"/>
      <c r="CI2280"/>
      <c r="CJ2280"/>
      <c r="CK2280"/>
      <c r="CL2280"/>
      <c r="CM2280"/>
      <c r="CN2280"/>
      <c r="CO2280"/>
      <c r="CP2280"/>
      <c r="CQ2280"/>
      <c r="CR2280"/>
      <c r="CS2280"/>
      <c r="CT2280"/>
      <c r="CU2280"/>
      <c r="CV2280"/>
      <c r="CW2280"/>
      <c r="CX2280"/>
      <c r="CY2280"/>
      <c r="CZ2280"/>
      <c r="DA2280"/>
      <c r="DB2280"/>
      <c r="DC2280"/>
      <c r="DD2280"/>
      <c r="DE2280"/>
      <c r="DF2280"/>
      <c r="DG2280"/>
      <c r="DH2280"/>
      <c r="DI2280"/>
      <c r="DJ2280"/>
      <c r="DK2280"/>
      <c r="DL2280"/>
      <c r="DM2280"/>
      <c r="DN2280"/>
      <c r="DO2280"/>
      <c r="DP2280"/>
      <c r="DQ2280"/>
      <c r="DR2280"/>
      <c r="DS2280"/>
      <c r="DT2280"/>
      <c r="DU2280"/>
      <c r="DV2280"/>
      <c r="DW2280"/>
      <c r="DX2280"/>
      <c r="DY2280"/>
      <c r="DZ2280"/>
      <c r="EA2280"/>
      <c r="EB2280"/>
      <c r="EC2280"/>
      <c r="ED2280"/>
      <c r="EE2280"/>
      <c r="EF2280"/>
      <c r="EG2280"/>
      <c r="EH2280"/>
      <c r="EI2280"/>
      <c r="EJ2280"/>
      <c r="EK2280"/>
      <c r="EL2280"/>
      <c r="EM2280"/>
      <c r="EN2280"/>
      <c r="EO2280"/>
      <c r="EP2280"/>
      <c r="EQ2280"/>
      <c r="ER2280"/>
      <c r="ES2280"/>
    </row>
    <row r="2281" spans="1:149">
      <c r="A2281"/>
      <c r="B2281"/>
      <c r="C2281"/>
      <c r="D2281"/>
      <c r="E2281"/>
      <c r="F2281"/>
      <c r="G2281"/>
      <c r="H2281"/>
      <c r="I2281"/>
      <c r="J2281"/>
      <c r="K2281"/>
      <c r="L2281"/>
      <c r="M2281"/>
      <c r="N2281"/>
      <c r="O2281"/>
      <c r="P2281"/>
      <c r="Q2281"/>
      <c r="R2281"/>
      <c r="S2281"/>
      <c r="T2281"/>
      <c r="U2281"/>
      <c r="V2281"/>
      <c r="W2281"/>
      <c r="X2281"/>
      <c r="Y2281"/>
      <c r="Z2281"/>
      <c r="AA2281"/>
      <c r="AB2281"/>
      <c r="AC2281"/>
      <c r="AD2281"/>
      <c r="AE2281"/>
      <c r="AF2281"/>
      <c r="AG2281"/>
      <c r="AH2281"/>
      <c r="AI2281"/>
      <c r="AJ2281"/>
      <c r="AK2281"/>
      <c r="AL2281"/>
      <c r="AM2281"/>
      <c r="AN2281"/>
      <c r="AO2281"/>
      <c r="AP2281"/>
      <c r="AQ2281"/>
      <c r="AR2281"/>
      <c r="AS2281"/>
      <c r="AT2281"/>
      <c r="AU2281"/>
      <c r="AV2281"/>
      <c r="AW2281"/>
      <c r="AX2281"/>
      <c r="AY2281"/>
      <c r="AZ2281"/>
      <c r="BA2281"/>
      <c r="BB2281"/>
      <c r="BC2281"/>
      <c r="BD2281"/>
      <c r="BE2281"/>
      <c r="BF2281"/>
      <c r="BG2281"/>
      <c r="BH2281"/>
      <c r="BI2281"/>
      <c r="BJ2281"/>
      <c r="BK2281"/>
      <c r="BL2281"/>
      <c r="BM2281"/>
      <c r="BN2281"/>
      <c r="BO2281"/>
      <c r="BP2281"/>
      <c r="BQ2281"/>
      <c r="BR2281"/>
      <c r="BS2281"/>
      <c r="BT2281"/>
      <c r="BU2281"/>
      <c r="BV2281"/>
      <c r="BW2281"/>
      <c r="BX2281"/>
      <c r="BY2281"/>
      <c r="BZ2281"/>
      <c r="CA2281"/>
      <c r="CB2281"/>
      <c r="CC2281"/>
      <c r="CD2281"/>
      <c r="CE2281"/>
      <c r="CF2281"/>
      <c r="CG2281"/>
      <c r="CH2281"/>
      <c r="CI2281"/>
      <c r="CJ2281"/>
      <c r="CK2281"/>
      <c r="CL2281"/>
      <c r="CM2281"/>
      <c r="CN2281"/>
      <c r="CO2281"/>
      <c r="CP2281"/>
      <c r="CQ2281"/>
      <c r="CR2281"/>
      <c r="CS2281"/>
      <c r="CT2281"/>
      <c r="CU2281"/>
      <c r="CV2281"/>
      <c r="CW2281"/>
      <c r="CX2281"/>
      <c r="CY2281"/>
      <c r="CZ2281"/>
      <c r="DA2281"/>
      <c r="DB2281"/>
      <c r="DC2281"/>
      <c r="DD2281"/>
      <c r="DE2281"/>
      <c r="DF2281"/>
      <c r="DG2281"/>
      <c r="DH2281"/>
      <c r="DI2281"/>
      <c r="DJ2281"/>
      <c r="DK2281"/>
      <c r="DL2281"/>
      <c r="DM2281"/>
      <c r="DN2281"/>
      <c r="DO2281"/>
      <c r="DP2281"/>
      <c r="DQ2281"/>
      <c r="DR2281"/>
      <c r="DS2281"/>
      <c r="DT2281"/>
      <c r="DU2281"/>
      <c r="DV2281"/>
      <c r="DW2281"/>
      <c r="DX2281"/>
      <c r="DY2281"/>
      <c r="DZ2281"/>
      <c r="EA2281"/>
      <c r="EB2281"/>
      <c r="EC2281"/>
      <c r="ED2281"/>
      <c r="EE2281"/>
      <c r="EF2281"/>
      <c r="EG2281"/>
      <c r="EH2281"/>
      <c r="EI2281"/>
      <c r="EJ2281"/>
      <c r="EK2281"/>
      <c r="EL2281"/>
      <c r="EM2281"/>
      <c r="EN2281"/>
      <c r="EO2281"/>
      <c r="EP2281"/>
      <c r="EQ2281"/>
      <c r="ER2281"/>
      <c r="ES2281"/>
    </row>
    <row r="2282" spans="1:149">
      <c r="A2282"/>
      <c r="B2282"/>
      <c r="C2282"/>
      <c r="D2282"/>
      <c r="E2282"/>
      <c r="F2282"/>
      <c r="G2282"/>
      <c r="H2282"/>
      <c r="I2282"/>
      <c r="J2282"/>
      <c r="K2282"/>
      <c r="L2282"/>
      <c r="M2282"/>
      <c r="N2282"/>
      <c r="O2282"/>
      <c r="P2282"/>
      <c r="Q2282"/>
      <c r="R2282"/>
      <c r="S2282"/>
      <c r="T2282"/>
      <c r="U2282"/>
      <c r="V2282"/>
      <c r="W2282"/>
      <c r="X2282"/>
      <c r="Y2282"/>
      <c r="Z2282"/>
      <c r="AA2282"/>
      <c r="AB2282"/>
      <c r="AC2282"/>
      <c r="AD2282"/>
      <c r="AE2282"/>
      <c r="AF2282"/>
      <c r="AG2282"/>
      <c r="AH2282"/>
      <c r="AI2282"/>
      <c r="AJ2282"/>
      <c r="AK2282"/>
      <c r="AL2282"/>
      <c r="AM2282"/>
      <c r="AN2282"/>
      <c r="AO2282"/>
      <c r="AP2282"/>
      <c r="AQ2282"/>
      <c r="AR2282"/>
      <c r="AS2282"/>
      <c r="AT2282"/>
      <c r="AU2282"/>
      <c r="AV2282"/>
      <c r="AW2282"/>
      <c r="AX2282"/>
      <c r="AY2282"/>
      <c r="AZ2282"/>
      <c r="BA2282"/>
      <c r="BB2282"/>
      <c r="BC2282"/>
      <c r="BD2282"/>
      <c r="BE2282"/>
      <c r="BF2282"/>
      <c r="BG2282"/>
      <c r="BH2282"/>
      <c r="BI2282"/>
      <c r="BJ2282"/>
      <c r="BK2282"/>
      <c r="BL2282"/>
      <c r="BM2282"/>
      <c r="BN2282"/>
      <c r="BO2282"/>
      <c r="BP2282"/>
      <c r="BQ2282"/>
      <c r="BR2282"/>
      <c r="BS2282"/>
      <c r="BT2282"/>
      <c r="BU2282"/>
      <c r="BV2282"/>
      <c r="BW2282"/>
      <c r="BX2282"/>
      <c r="BY2282"/>
      <c r="BZ2282"/>
      <c r="CA2282"/>
      <c r="CB2282"/>
      <c r="CC2282"/>
      <c r="CD2282"/>
      <c r="CE2282"/>
      <c r="CF2282"/>
      <c r="CG2282"/>
      <c r="CH2282"/>
      <c r="CI2282"/>
      <c r="CJ2282"/>
      <c r="CK2282"/>
      <c r="CL2282"/>
      <c r="CM2282"/>
      <c r="CN2282"/>
      <c r="CO2282"/>
      <c r="CP2282"/>
      <c r="CQ2282"/>
      <c r="CR2282"/>
      <c r="CS2282"/>
      <c r="CT2282"/>
      <c r="CU2282"/>
      <c r="CV2282"/>
      <c r="CW2282"/>
      <c r="CX2282"/>
      <c r="CY2282"/>
      <c r="CZ2282"/>
      <c r="DA2282"/>
      <c r="DB2282"/>
      <c r="DC2282"/>
      <c r="DD2282"/>
      <c r="DE2282"/>
      <c r="DF2282"/>
      <c r="DG2282"/>
      <c r="DH2282"/>
      <c r="DI2282"/>
      <c r="DJ2282"/>
      <c r="DK2282"/>
      <c r="DL2282"/>
      <c r="DM2282"/>
      <c r="DN2282"/>
      <c r="DO2282"/>
      <c r="DP2282"/>
      <c r="DQ2282"/>
      <c r="DR2282"/>
      <c r="DS2282"/>
      <c r="DT2282"/>
      <c r="DU2282"/>
      <c r="DV2282"/>
      <c r="DW2282"/>
      <c r="DX2282"/>
      <c r="DY2282"/>
      <c r="DZ2282"/>
      <c r="EA2282"/>
      <c r="EB2282"/>
      <c r="EC2282"/>
      <c r="ED2282"/>
      <c r="EE2282"/>
      <c r="EF2282"/>
      <c r="EG2282"/>
      <c r="EH2282"/>
      <c r="EI2282"/>
      <c r="EJ2282"/>
      <c r="EK2282"/>
      <c r="EL2282"/>
      <c r="EM2282"/>
      <c r="EN2282"/>
      <c r="EO2282"/>
      <c r="EP2282"/>
      <c r="EQ2282"/>
      <c r="ER2282"/>
      <c r="ES2282"/>
    </row>
    <row r="2283" spans="1:149">
      <c r="A2283"/>
      <c r="B2283"/>
      <c r="C2283"/>
      <c r="D2283"/>
      <c r="E2283"/>
      <c r="F2283"/>
      <c r="G2283"/>
      <c r="H2283"/>
      <c r="I2283"/>
      <c r="J2283"/>
      <c r="K2283"/>
      <c r="L2283"/>
      <c r="M2283"/>
      <c r="N2283"/>
      <c r="O2283"/>
      <c r="P2283"/>
      <c r="Q2283"/>
      <c r="R2283"/>
      <c r="S2283"/>
      <c r="T2283"/>
      <c r="U2283"/>
      <c r="V2283"/>
      <c r="W2283"/>
      <c r="X2283"/>
      <c r="Y2283"/>
      <c r="Z2283"/>
      <c r="AA2283"/>
      <c r="AB2283"/>
      <c r="AC2283"/>
      <c r="AD2283"/>
      <c r="AE2283"/>
      <c r="AF2283"/>
      <c r="AG2283"/>
      <c r="AH2283"/>
      <c r="AI2283"/>
      <c r="AJ2283"/>
      <c r="AK2283"/>
      <c r="AL2283"/>
      <c r="AM2283"/>
      <c r="AN2283"/>
      <c r="AO2283"/>
      <c r="AP2283"/>
      <c r="AQ2283"/>
      <c r="AR2283"/>
      <c r="AS2283"/>
      <c r="AT2283"/>
      <c r="AU2283"/>
      <c r="AV2283"/>
      <c r="AW2283"/>
      <c r="AX2283"/>
      <c r="AY2283"/>
      <c r="AZ2283"/>
      <c r="BA2283"/>
      <c r="BB2283"/>
      <c r="BC2283"/>
      <c r="BD2283"/>
      <c r="BE2283"/>
      <c r="BF2283"/>
      <c r="BG2283"/>
      <c r="BH2283"/>
      <c r="BI2283"/>
      <c r="BJ2283"/>
      <c r="BK2283"/>
      <c r="BL2283"/>
      <c r="BM2283"/>
      <c r="BN2283"/>
      <c r="BO2283"/>
      <c r="BP2283"/>
      <c r="BQ2283"/>
      <c r="BR2283"/>
      <c r="BS2283"/>
      <c r="BT2283"/>
      <c r="BU2283"/>
      <c r="BV2283"/>
      <c r="BW2283"/>
      <c r="BX2283"/>
      <c r="BY2283"/>
      <c r="BZ2283"/>
      <c r="CA2283"/>
      <c r="CB2283"/>
      <c r="CC2283"/>
      <c r="CD2283"/>
      <c r="CE2283"/>
      <c r="CF2283"/>
      <c r="CG2283"/>
      <c r="CH2283"/>
      <c r="CI2283"/>
      <c r="CJ2283"/>
      <c r="CK2283"/>
      <c r="CL2283"/>
      <c r="CM2283"/>
      <c r="CN2283"/>
      <c r="CO2283"/>
      <c r="CP2283"/>
      <c r="CQ2283"/>
      <c r="CR2283"/>
      <c r="CS2283"/>
      <c r="CT2283"/>
      <c r="CU2283"/>
      <c r="CV2283"/>
      <c r="CW2283"/>
      <c r="CX2283"/>
      <c r="CY2283"/>
      <c r="CZ2283"/>
      <c r="DA2283"/>
      <c r="DB2283"/>
      <c r="DC2283"/>
      <c r="DD2283"/>
      <c r="DE2283"/>
      <c r="DF2283"/>
      <c r="DG2283"/>
      <c r="DH2283"/>
      <c r="DI2283"/>
      <c r="DJ2283"/>
      <c r="DK2283"/>
      <c r="DL2283"/>
      <c r="DM2283"/>
      <c r="DN2283"/>
      <c r="DO2283"/>
      <c r="DP2283"/>
      <c r="DQ2283"/>
      <c r="DR2283"/>
      <c r="DS2283"/>
      <c r="DT2283"/>
      <c r="DU2283"/>
      <c r="DV2283"/>
      <c r="DW2283"/>
      <c r="DX2283"/>
      <c r="DY2283"/>
      <c r="DZ2283"/>
      <c r="EA2283"/>
      <c r="EB2283"/>
      <c r="EC2283"/>
      <c r="ED2283"/>
      <c r="EE2283"/>
      <c r="EF2283"/>
      <c r="EG2283"/>
      <c r="EH2283"/>
      <c r="EI2283"/>
      <c r="EJ2283"/>
      <c r="EK2283"/>
      <c r="EL2283"/>
      <c r="EM2283"/>
      <c r="EN2283"/>
      <c r="EO2283"/>
      <c r="EP2283"/>
      <c r="EQ2283"/>
      <c r="ER2283"/>
      <c r="ES2283"/>
    </row>
    <row r="2284" spans="1:149">
      <c r="A2284"/>
      <c r="B2284"/>
      <c r="C2284"/>
      <c r="D2284"/>
      <c r="E2284"/>
      <c r="F2284"/>
      <c r="G2284"/>
      <c r="H2284"/>
      <c r="I2284"/>
      <c r="J2284"/>
      <c r="K2284"/>
      <c r="L2284"/>
      <c r="M2284"/>
      <c r="N2284"/>
      <c r="O2284"/>
      <c r="P2284"/>
      <c r="Q2284"/>
      <c r="R2284"/>
      <c r="S2284"/>
      <c r="T2284"/>
      <c r="U2284"/>
      <c r="V2284"/>
      <c r="W2284"/>
      <c r="X2284"/>
      <c r="Y2284"/>
      <c r="Z2284"/>
      <c r="AA2284"/>
      <c r="AB2284"/>
      <c r="AC2284"/>
      <c r="AD2284"/>
      <c r="AE2284"/>
      <c r="AF2284"/>
      <c r="AG2284"/>
      <c r="AH2284"/>
      <c r="AI2284"/>
      <c r="AJ2284"/>
      <c r="AK2284"/>
      <c r="AL2284"/>
      <c r="AM2284"/>
      <c r="AN2284"/>
      <c r="AO2284"/>
      <c r="AP2284"/>
      <c r="AQ2284"/>
      <c r="AR2284"/>
      <c r="AS2284"/>
      <c r="AT2284"/>
      <c r="AU2284"/>
      <c r="AV2284"/>
      <c r="AW2284"/>
      <c r="AX2284"/>
      <c r="AY2284"/>
      <c r="AZ2284"/>
      <c r="BA2284"/>
      <c r="BB2284"/>
      <c r="BC2284"/>
      <c r="BD2284"/>
      <c r="BE2284"/>
      <c r="BF2284"/>
      <c r="BG2284"/>
      <c r="BH2284"/>
      <c r="BI2284"/>
      <c r="BJ2284"/>
      <c r="BK2284"/>
      <c r="BL2284"/>
      <c r="BM2284"/>
      <c r="BN2284"/>
      <c r="BO2284"/>
      <c r="BP2284"/>
      <c r="BQ2284"/>
      <c r="BR2284"/>
      <c r="BS2284"/>
      <c r="BT2284"/>
      <c r="BU2284"/>
      <c r="BV2284"/>
      <c r="BW2284"/>
      <c r="BX2284"/>
      <c r="BY2284"/>
      <c r="BZ2284"/>
      <c r="CA2284"/>
      <c r="CB2284"/>
      <c r="CC2284"/>
      <c r="CD2284"/>
      <c r="CE2284"/>
      <c r="CF2284"/>
      <c r="CG2284"/>
      <c r="CH2284"/>
      <c r="CI2284"/>
      <c r="CJ2284"/>
      <c r="CK2284"/>
      <c r="CL2284"/>
      <c r="CM2284"/>
      <c r="CN2284"/>
      <c r="CO2284"/>
      <c r="CP2284"/>
      <c r="CQ2284"/>
      <c r="CR2284"/>
      <c r="CS2284"/>
      <c r="CT2284"/>
      <c r="CU2284"/>
      <c r="CV2284"/>
      <c r="CW2284"/>
      <c r="CX2284"/>
      <c r="CY2284"/>
      <c r="CZ2284"/>
      <c r="DA2284"/>
      <c r="DB2284"/>
      <c r="DC2284"/>
      <c r="DD2284"/>
      <c r="DE2284"/>
      <c r="DF2284"/>
      <c r="DG2284"/>
      <c r="DH2284"/>
      <c r="DI2284"/>
      <c r="DJ2284"/>
      <c r="DK2284"/>
      <c r="DL2284"/>
      <c r="DM2284"/>
      <c r="DN2284"/>
      <c r="DO2284"/>
      <c r="DP2284"/>
      <c r="DQ2284"/>
      <c r="DR2284"/>
      <c r="DS2284"/>
      <c r="DT2284"/>
      <c r="DU2284"/>
      <c r="DV2284"/>
      <c r="DW2284"/>
      <c r="DX2284"/>
      <c r="DY2284"/>
      <c r="DZ2284"/>
      <c r="EA2284"/>
      <c r="EB2284"/>
      <c r="EC2284"/>
      <c r="ED2284"/>
      <c r="EE2284"/>
      <c r="EF2284"/>
      <c r="EG2284"/>
      <c r="EH2284"/>
      <c r="EI2284"/>
      <c r="EJ2284"/>
      <c r="EK2284"/>
      <c r="EL2284"/>
      <c r="EM2284"/>
      <c r="EN2284"/>
      <c r="EO2284"/>
      <c r="EP2284"/>
      <c r="EQ2284"/>
      <c r="ER2284"/>
      <c r="ES2284"/>
    </row>
    <row r="2285" spans="1:149">
      <c r="A2285"/>
      <c r="B2285"/>
      <c r="C2285"/>
      <c r="D2285"/>
      <c r="E2285"/>
      <c r="F2285"/>
      <c r="G2285"/>
      <c r="H2285"/>
      <c r="I2285"/>
      <c r="J2285"/>
      <c r="K2285"/>
      <c r="L2285"/>
      <c r="M2285"/>
      <c r="N2285"/>
      <c r="O2285"/>
      <c r="P2285"/>
      <c r="Q2285"/>
      <c r="R2285"/>
      <c r="S2285"/>
      <c r="T2285"/>
      <c r="U2285"/>
      <c r="V2285"/>
      <c r="W2285"/>
      <c r="X2285"/>
      <c r="Y2285"/>
      <c r="Z2285"/>
      <c r="AA2285"/>
      <c r="AB2285"/>
      <c r="AC2285"/>
      <c r="AD2285"/>
      <c r="AE2285"/>
      <c r="AF2285"/>
      <c r="AG2285"/>
      <c r="AH2285"/>
      <c r="AI2285"/>
      <c r="AJ2285"/>
      <c r="AK2285"/>
      <c r="AL2285"/>
      <c r="AM2285"/>
      <c r="AN2285"/>
      <c r="AO2285"/>
      <c r="AP2285"/>
      <c r="AQ2285"/>
      <c r="AR2285"/>
      <c r="AS2285"/>
      <c r="AT2285"/>
      <c r="AU2285"/>
      <c r="AV2285"/>
      <c r="AW2285"/>
      <c r="AX2285"/>
      <c r="AY2285"/>
      <c r="AZ2285"/>
      <c r="BA2285"/>
      <c r="BB2285"/>
      <c r="BC2285"/>
      <c r="BD2285"/>
      <c r="BE2285"/>
      <c r="BF2285"/>
      <c r="BG2285"/>
      <c r="BH2285"/>
      <c r="BI2285"/>
      <c r="BJ2285"/>
      <c r="BK2285"/>
      <c r="BL2285"/>
      <c r="BM2285"/>
      <c r="BN2285"/>
      <c r="BO2285"/>
      <c r="BP2285"/>
      <c r="BQ2285"/>
      <c r="BR2285"/>
      <c r="BS2285"/>
      <c r="BT2285"/>
      <c r="BU2285"/>
      <c r="BV2285"/>
      <c r="BW2285"/>
      <c r="BX2285"/>
      <c r="BY2285"/>
      <c r="BZ2285"/>
      <c r="CA2285"/>
      <c r="CB2285"/>
      <c r="CC2285"/>
      <c r="CD2285"/>
      <c r="CE2285"/>
      <c r="CF2285"/>
      <c r="CG2285"/>
      <c r="CH2285"/>
      <c r="CI2285"/>
      <c r="CJ2285"/>
      <c r="CK2285"/>
      <c r="CL2285"/>
      <c r="CM2285"/>
      <c r="CN2285"/>
      <c r="CO2285"/>
      <c r="CP2285"/>
      <c r="CQ2285"/>
      <c r="CR2285"/>
      <c r="CS2285"/>
      <c r="CT2285"/>
      <c r="CU2285"/>
      <c r="CV2285"/>
      <c r="CW2285"/>
      <c r="CX2285"/>
      <c r="CY2285"/>
      <c r="CZ2285"/>
      <c r="DA2285"/>
      <c r="DB2285"/>
      <c r="DC2285"/>
      <c r="DD2285"/>
      <c r="DE2285"/>
      <c r="DF2285"/>
      <c r="DG2285"/>
      <c r="DH2285"/>
      <c r="DI2285"/>
      <c r="DJ2285"/>
      <c r="DK2285"/>
      <c r="DL2285"/>
      <c r="DM2285"/>
      <c r="DN2285"/>
      <c r="DO2285"/>
      <c r="DP2285"/>
      <c r="DQ2285"/>
      <c r="DR2285"/>
      <c r="DS2285"/>
      <c r="DT2285"/>
      <c r="DU2285"/>
      <c r="DV2285"/>
      <c r="DW2285"/>
      <c r="DX2285"/>
      <c r="DY2285"/>
      <c r="DZ2285"/>
      <c r="EA2285"/>
      <c r="EB2285"/>
      <c r="EC2285"/>
      <c r="ED2285"/>
      <c r="EE2285"/>
      <c r="EF2285"/>
      <c r="EG2285"/>
      <c r="EH2285"/>
      <c r="EI2285"/>
      <c r="EJ2285"/>
      <c r="EK2285"/>
      <c r="EL2285"/>
      <c r="EM2285"/>
      <c r="EN2285"/>
      <c r="EO2285"/>
      <c r="EP2285"/>
      <c r="EQ2285"/>
      <c r="ER2285"/>
      <c r="ES2285"/>
    </row>
    <row r="2286" spans="1:149">
      <c r="A2286"/>
      <c r="B2286"/>
      <c r="C2286"/>
      <c r="D2286"/>
      <c r="E2286"/>
      <c r="F2286"/>
      <c r="G2286"/>
      <c r="H2286"/>
      <c r="I2286"/>
      <c r="J2286"/>
      <c r="K2286"/>
      <c r="L2286"/>
      <c r="M2286"/>
      <c r="N2286"/>
      <c r="O2286"/>
      <c r="P2286"/>
      <c r="Q2286"/>
      <c r="R2286"/>
      <c r="S2286"/>
      <c r="T2286"/>
      <c r="U2286"/>
      <c r="V2286"/>
      <c r="W2286"/>
      <c r="X2286"/>
      <c r="Y2286"/>
      <c r="Z2286"/>
      <c r="AA2286"/>
      <c r="AB2286"/>
      <c r="AC2286"/>
      <c r="AD2286"/>
      <c r="AE2286"/>
      <c r="AF2286"/>
      <c r="AG2286"/>
      <c r="AH2286"/>
      <c r="AI2286"/>
      <c r="AJ2286"/>
      <c r="AK2286"/>
      <c r="AL2286"/>
      <c r="AM2286"/>
      <c r="AN2286"/>
      <c r="AO2286"/>
      <c r="AP2286"/>
      <c r="AQ2286"/>
      <c r="AR2286"/>
      <c r="AS2286"/>
      <c r="AT2286"/>
      <c r="AU2286"/>
      <c r="AV2286"/>
      <c r="AW2286"/>
      <c r="AX2286"/>
      <c r="AY2286"/>
      <c r="AZ2286"/>
      <c r="BA2286"/>
      <c r="BB2286"/>
      <c r="BC2286"/>
      <c r="BD2286"/>
      <c r="BE2286"/>
      <c r="BF2286"/>
      <c r="BG2286"/>
      <c r="BH2286"/>
      <c r="BI2286"/>
      <c r="BJ2286"/>
      <c r="BK2286"/>
      <c r="BL2286"/>
      <c r="BM2286"/>
      <c r="BN2286"/>
      <c r="BO2286"/>
      <c r="BP2286"/>
      <c r="BQ2286"/>
      <c r="BR2286"/>
      <c r="BS2286"/>
      <c r="BT2286"/>
      <c r="BU2286"/>
      <c r="BV2286"/>
      <c r="BW2286"/>
      <c r="BX2286"/>
      <c r="BY2286"/>
      <c r="BZ2286"/>
      <c r="CA2286"/>
      <c r="CB2286"/>
      <c r="CC2286"/>
      <c r="CD2286"/>
      <c r="CE2286"/>
      <c r="CF2286"/>
      <c r="CG2286"/>
      <c r="CH2286"/>
      <c r="CI2286"/>
      <c r="CJ2286"/>
      <c r="CK2286"/>
      <c r="CL2286"/>
      <c r="CM2286"/>
      <c r="CN2286"/>
      <c r="CO2286"/>
      <c r="CP2286"/>
      <c r="CQ2286"/>
      <c r="CR2286"/>
      <c r="CS2286"/>
      <c r="CT2286"/>
      <c r="CU2286"/>
      <c r="CV2286"/>
      <c r="CW2286"/>
      <c r="CX2286"/>
      <c r="CY2286"/>
      <c r="CZ2286"/>
      <c r="DA2286"/>
      <c r="DB2286"/>
      <c r="DC2286"/>
      <c r="DD2286"/>
      <c r="DE2286"/>
      <c r="DF2286"/>
      <c r="DG2286"/>
      <c r="DH2286"/>
      <c r="DI2286"/>
      <c r="DJ2286"/>
      <c r="DK2286"/>
      <c r="DL2286"/>
      <c r="DM2286"/>
      <c r="DN2286"/>
      <c r="DO2286"/>
      <c r="DP2286"/>
      <c r="DQ2286"/>
      <c r="DR2286"/>
      <c r="DS2286"/>
      <c r="DT2286"/>
      <c r="DU2286"/>
      <c r="DV2286"/>
      <c r="DW2286"/>
      <c r="DX2286"/>
      <c r="DY2286"/>
      <c r="DZ2286"/>
      <c r="EA2286"/>
      <c r="EB2286"/>
      <c r="EC2286"/>
      <c r="ED2286"/>
      <c r="EE2286"/>
      <c r="EF2286"/>
      <c r="EG2286"/>
      <c r="EH2286"/>
      <c r="EI2286"/>
      <c r="EJ2286"/>
      <c r="EK2286"/>
      <c r="EL2286"/>
      <c r="EM2286"/>
      <c r="EN2286"/>
      <c r="EO2286"/>
      <c r="EP2286"/>
      <c r="EQ2286"/>
      <c r="ER2286"/>
      <c r="ES2286"/>
    </row>
    <row r="2287" spans="1:149">
      <c r="A2287"/>
      <c r="B2287"/>
      <c r="C2287"/>
      <c r="D2287"/>
      <c r="E2287"/>
      <c r="F2287"/>
      <c r="G2287"/>
      <c r="H2287"/>
      <c r="I2287"/>
      <c r="J2287"/>
      <c r="K2287"/>
      <c r="L2287"/>
      <c r="M2287"/>
      <c r="N2287"/>
      <c r="O2287"/>
      <c r="P2287"/>
      <c r="Q2287"/>
      <c r="R2287"/>
      <c r="S2287"/>
      <c r="T2287"/>
      <c r="U2287"/>
      <c r="V2287"/>
      <c r="W2287"/>
      <c r="X2287"/>
      <c r="Y2287"/>
      <c r="Z2287"/>
      <c r="AA2287"/>
      <c r="AB2287"/>
      <c r="AC2287"/>
      <c r="AD2287"/>
      <c r="AE2287"/>
      <c r="AF2287"/>
      <c r="AG2287"/>
      <c r="AH2287"/>
      <c r="AI2287"/>
      <c r="AJ2287"/>
      <c r="AK2287"/>
      <c r="AL2287"/>
      <c r="AM2287"/>
      <c r="AN2287"/>
      <c r="AO2287"/>
      <c r="AP2287"/>
      <c r="AQ2287"/>
      <c r="AR2287"/>
      <c r="AS2287"/>
      <c r="AT2287"/>
      <c r="AU2287"/>
      <c r="AV2287"/>
      <c r="AW2287"/>
      <c r="AX2287"/>
      <c r="AY2287"/>
      <c r="AZ2287"/>
      <c r="BA2287"/>
      <c r="BB2287"/>
      <c r="BC2287"/>
      <c r="BD2287"/>
      <c r="BE2287"/>
      <c r="BF2287"/>
      <c r="BG2287"/>
      <c r="BH2287"/>
      <c r="BI2287"/>
      <c r="BJ2287"/>
      <c r="BK2287"/>
      <c r="BL2287"/>
      <c r="BM2287"/>
      <c r="BN2287"/>
      <c r="BO2287"/>
      <c r="BP2287"/>
      <c r="BQ2287"/>
      <c r="BR2287"/>
      <c r="BS2287"/>
      <c r="BT2287"/>
      <c r="BU2287"/>
      <c r="BV2287"/>
      <c r="BW2287"/>
      <c r="BX2287"/>
      <c r="BY2287"/>
      <c r="BZ2287"/>
      <c r="CA2287"/>
      <c r="CB2287"/>
      <c r="CC2287"/>
      <c r="CD2287"/>
      <c r="CE2287"/>
      <c r="CF2287"/>
      <c r="CG2287"/>
      <c r="CH2287"/>
      <c r="CI2287"/>
      <c r="CJ2287"/>
      <c r="CK2287"/>
      <c r="CL2287"/>
      <c r="CM2287"/>
      <c r="CN2287"/>
      <c r="CO2287"/>
      <c r="CP2287"/>
      <c r="CQ2287"/>
      <c r="CR2287"/>
      <c r="CS2287"/>
      <c r="CT2287"/>
      <c r="CU2287"/>
      <c r="CV2287"/>
      <c r="CW2287"/>
      <c r="CX2287"/>
      <c r="CY2287"/>
      <c r="CZ2287"/>
      <c r="DA2287"/>
      <c r="DB2287"/>
      <c r="DC2287"/>
      <c r="DD2287"/>
      <c r="DE2287"/>
      <c r="DF2287"/>
      <c r="DG2287"/>
      <c r="DH2287"/>
      <c r="DI2287"/>
      <c r="DJ2287"/>
      <c r="DK2287"/>
      <c r="DL2287"/>
      <c r="DM2287"/>
      <c r="DN2287"/>
      <c r="DO2287"/>
      <c r="DP2287"/>
      <c r="DQ2287"/>
      <c r="DR2287"/>
      <c r="DS2287"/>
      <c r="DT2287"/>
      <c r="DU2287"/>
      <c r="DV2287"/>
      <c r="DW2287"/>
      <c r="DX2287"/>
      <c r="DY2287"/>
      <c r="DZ2287"/>
      <c r="EA2287"/>
      <c r="EB2287"/>
      <c r="EC2287"/>
      <c r="ED2287"/>
      <c r="EE2287"/>
      <c r="EF2287"/>
      <c r="EG2287"/>
      <c r="EH2287"/>
      <c r="EI2287"/>
      <c r="EJ2287"/>
      <c r="EK2287"/>
      <c r="EL2287"/>
      <c r="EM2287"/>
      <c r="EN2287"/>
      <c r="EO2287"/>
      <c r="EP2287"/>
      <c r="EQ2287"/>
      <c r="ER2287"/>
      <c r="ES2287"/>
    </row>
    <row r="2288" spans="1:149">
      <c r="A2288"/>
      <c r="B2288"/>
      <c r="C2288"/>
      <c r="D2288"/>
      <c r="E2288"/>
      <c r="F2288"/>
      <c r="G2288"/>
      <c r="H2288"/>
      <c r="I2288"/>
      <c r="J2288"/>
      <c r="K2288"/>
      <c r="L2288"/>
      <c r="M2288"/>
      <c r="N2288"/>
      <c r="O2288"/>
      <c r="P2288"/>
      <c r="Q2288"/>
      <c r="R2288"/>
      <c r="S2288"/>
      <c r="T2288"/>
      <c r="U2288"/>
      <c r="V2288"/>
      <c r="W2288"/>
      <c r="X2288"/>
      <c r="Y2288"/>
      <c r="Z2288"/>
      <c r="AA2288"/>
      <c r="AB2288"/>
      <c r="AC2288"/>
      <c r="AD2288"/>
      <c r="AE2288"/>
      <c r="AF2288"/>
      <c r="AG2288"/>
      <c r="AH2288"/>
      <c r="AI2288"/>
      <c r="AJ2288"/>
      <c r="AK2288"/>
      <c r="AL2288"/>
      <c r="AM2288"/>
      <c r="AN2288"/>
      <c r="AO2288"/>
      <c r="AP2288"/>
      <c r="AQ2288"/>
      <c r="AR2288"/>
      <c r="AS2288"/>
      <c r="AT2288"/>
      <c r="AU2288"/>
      <c r="AV2288"/>
      <c r="AW2288"/>
      <c r="AX2288"/>
      <c r="AY2288"/>
      <c r="AZ2288"/>
      <c r="BA2288"/>
      <c r="BB2288"/>
      <c r="BC2288"/>
      <c r="BD2288"/>
      <c r="BE2288"/>
      <c r="BF2288"/>
      <c r="BG2288"/>
      <c r="BH2288"/>
      <c r="BI2288"/>
      <c r="BJ2288"/>
      <c r="BK2288"/>
      <c r="BL2288"/>
      <c r="BM2288"/>
      <c r="BN2288"/>
      <c r="BO2288"/>
      <c r="BP2288"/>
      <c r="BQ2288"/>
      <c r="BR2288"/>
      <c r="BS2288"/>
      <c r="BT2288"/>
      <c r="BU2288"/>
      <c r="BV2288"/>
      <c r="BW2288"/>
      <c r="BX2288"/>
      <c r="BY2288"/>
      <c r="BZ2288"/>
      <c r="CA2288"/>
      <c r="CB2288"/>
      <c r="CC2288"/>
      <c r="CD2288"/>
      <c r="CE2288"/>
      <c r="CF2288"/>
      <c r="CG2288"/>
      <c r="CH2288"/>
      <c r="CI2288"/>
      <c r="CJ2288"/>
      <c r="CK2288"/>
      <c r="CL2288"/>
      <c r="CM2288"/>
      <c r="CN2288"/>
      <c r="CO2288"/>
      <c r="CP2288"/>
      <c r="CQ2288"/>
      <c r="CR2288"/>
      <c r="CS2288"/>
      <c r="CT2288"/>
      <c r="CU2288"/>
      <c r="CV2288"/>
      <c r="CW2288"/>
      <c r="CX2288"/>
      <c r="CY2288"/>
      <c r="CZ2288"/>
      <c r="DA2288"/>
      <c r="DB2288"/>
      <c r="DC2288"/>
      <c r="DD2288"/>
      <c r="DE2288"/>
      <c r="DF2288"/>
      <c r="DG2288"/>
      <c r="DH2288"/>
      <c r="DI2288"/>
      <c r="DJ2288"/>
      <c r="DK2288"/>
      <c r="DL2288"/>
      <c r="DM2288"/>
      <c r="DN2288"/>
      <c r="DO2288"/>
      <c r="DP2288"/>
      <c r="DQ2288"/>
      <c r="DR2288"/>
      <c r="DS2288"/>
      <c r="DT2288"/>
      <c r="DU2288"/>
      <c r="DV2288"/>
      <c r="DW2288"/>
      <c r="DX2288"/>
      <c r="DY2288"/>
      <c r="DZ2288"/>
      <c r="EA2288"/>
      <c r="EB2288"/>
      <c r="EC2288"/>
      <c r="ED2288"/>
      <c r="EE2288"/>
      <c r="EF2288"/>
      <c r="EG2288"/>
      <c r="EH2288"/>
      <c r="EI2288"/>
      <c r="EJ2288"/>
      <c r="EK2288"/>
      <c r="EL2288"/>
      <c r="EM2288"/>
      <c r="EN2288"/>
      <c r="EO2288"/>
      <c r="EP2288"/>
      <c r="EQ2288"/>
      <c r="ER2288"/>
      <c r="ES2288"/>
    </row>
    <row r="2289" spans="1:149">
      <c r="A2289"/>
      <c r="B2289"/>
      <c r="C2289"/>
      <c r="D2289"/>
      <c r="E2289"/>
      <c r="F2289"/>
      <c r="G2289"/>
      <c r="H2289"/>
      <c r="I2289"/>
      <c r="J2289"/>
      <c r="K2289"/>
      <c r="L2289"/>
      <c r="M2289"/>
      <c r="N2289"/>
      <c r="O2289"/>
      <c r="P2289"/>
      <c r="Q2289"/>
      <c r="R2289"/>
      <c r="S2289"/>
      <c r="T2289"/>
      <c r="U2289"/>
      <c r="V2289"/>
      <c r="W2289"/>
      <c r="X2289"/>
      <c r="Y2289"/>
      <c r="Z2289"/>
      <c r="AA2289"/>
      <c r="AB2289"/>
      <c r="AC2289"/>
      <c r="AD2289"/>
      <c r="AE2289"/>
      <c r="AF2289"/>
      <c r="AG2289"/>
      <c r="AH2289"/>
      <c r="AI2289"/>
      <c r="AJ2289"/>
      <c r="AK2289"/>
      <c r="AL2289"/>
      <c r="AM2289"/>
      <c r="AN2289"/>
      <c r="AO2289"/>
      <c r="AP2289"/>
      <c r="AQ2289"/>
      <c r="AR2289"/>
      <c r="AS2289"/>
      <c r="AT2289"/>
      <c r="AU2289"/>
      <c r="AV2289"/>
      <c r="AW2289"/>
      <c r="AX2289"/>
      <c r="AY2289"/>
      <c r="AZ2289"/>
      <c r="BA2289"/>
      <c r="BB2289"/>
      <c r="BC2289"/>
      <c r="BD2289"/>
      <c r="BE2289"/>
      <c r="BF2289"/>
      <c r="BG2289"/>
      <c r="BH2289"/>
      <c r="BI2289"/>
      <c r="BJ2289"/>
      <c r="BK2289"/>
      <c r="BL2289"/>
      <c r="BM2289"/>
      <c r="BN2289"/>
      <c r="BO2289"/>
      <c r="BP2289"/>
      <c r="BQ2289"/>
      <c r="BR2289"/>
      <c r="BS2289"/>
      <c r="BT2289"/>
      <c r="BU2289"/>
      <c r="BV2289"/>
      <c r="BW2289"/>
      <c r="BX2289"/>
      <c r="BY2289"/>
      <c r="BZ2289"/>
      <c r="CA2289"/>
      <c r="CB2289"/>
      <c r="CC2289"/>
      <c r="CD2289"/>
      <c r="CE2289"/>
      <c r="CF2289"/>
      <c r="CG2289"/>
      <c r="CH2289"/>
      <c r="CI2289"/>
      <c r="CJ2289"/>
      <c r="CK2289"/>
      <c r="CL2289"/>
      <c r="CM2289"/>
      <c r="CN2289"/>
      <c r="CO2289"/>
      <c r="CP2289"/>
      <c r="CQ2289"/>
      <c r="CR2289"/>
      <c r="CS2289"/>
      <c r="CT2289"/>
      <c r="CU2289"/>
      <c r="CV2289"/>
      <c r="CW2289"/>
      <c r="CX2289"/>
      <c r="CY2289"/>
      <c r="CZ2289"/>
      <c r="DA2289"/>
      <c r="DB2289"/>
      <c r="DC2289"/>
      <c r="DD2289"/>
      <c r="DE2289"/>
      <c r="DF2289"/>
      <c r="DG2289"/>
      <c r="DH2289"/>
      <c r="DI2289"/>
      <c r="DJ2289"/>
      <c r="DK2289"/>
      <c r="DL2289"/>
      <c r="DM2289"/>
      <c r="DN2289"/>
      <c r="DO2289"/>
      <c r="DP2289"/>
      <c r="DQ2289"/>
      <c r="DR2289"/>
      <c r="DS2289"/>
      <c r="DT2289"/>
      <c r="DU2289"/>
      <c r="DV2289"/>
      <c r="DW2289"/>
      <c r="DX2289"/>
      <c r="DY2289"/>
      <c r="DZ2289"/>
      <c r="EA2289"/>
      <c r="EB2289"/>
      <c r="EC2289"/>
      <c r="ED2289"/>
      <c r="EE2289"/>
      <c r="EF2289"/>
      <c r="EG2289"/>
      <c r="EH2289"/>
      <c r="EI2289"/>
      <c r="EJ2289"/>
      <c r="EK2289"/>
      <c r="EL2289"/>
      <c r="EM2289"/>
      <c r="EN2289"/>
      <c r="EO2289"/>
      <c r="EP2289"/>
      <c r="EQ2289"/>
      <c r="ER2289"/>
      <c r="ES2289"/>
    </row>
    <row r="2290" spans="1:149">
      <c r="A2290"/>
      <c r="B2290"/>
      <c r="C2290"/>
      <c r="D2290"/>
      <c r="E2290"/>
      <c r="F2290"/>
      <c r="G2290"/>
      <c r="H2290"/>
      <c r="I2290"/>
      <c r="J2290"/>
      <c r="K2290"/>
      <c r="L2290"/>
      <c r="M2290"/>
      <c r="N2290"/>
      <c r="O2290"/>
      <c r="P2290"/>
      <c r="Q2290"/>
      <c r="R2290"/>
      <c r="S2290"/>
      <c r="T2290"/>
      <c r="U2290"/>
      <c r="V2290"/>
      <c r="W2290"/>
      <c r="X2290"/>
      <c r="Y2290"/>
      <c r="Z2290"/>
      <c r="AA2290"/>
      <c r="AB2290"/>
      <c r="AC2290"/>
      <c r="AD2290"/>
      <c r="AE2290"/>
      <c r="AF2290"/>
      <c r="AG2290"/>
      <c r="AH2290"/>
      <c r="AI2290"/>
      <c r="AJ2290"/>
      <c r="AK2290"/>
      <c r="AL2290"/>
      <c r="AM2290"/>
      <c r="AN2290"/>
      <c r="AO2290"/>
      <c r="AP2290"/>
      <c r="AQ2290"/>
      <c r="AR2290"/>
      <c r="AS2290"/>
      <c r="AT2290"/>
      <c r="AU2290"/>
      <c r="AV2290"/>
      <c r="AW2290"/>
      <c r="AX2290"/>
      <c r="AY2290"/>
      <c r="AZ2290"/>
      <c r="BA2290"/>
      <c r="BB2290"/>
      <c r="BC2290"/>
      <c r="BD2290"/>
      <c r="BE2290"/>
      <c r="BF2290"/>
      <c r="BG2290"/>
      <c r="BH2290"/>
      <c r="BI2290"/>
      <c r="BJ2290"/>
      <c r="BK2290"/>
      <c r="BL2290"/>
      <c r="BM2290"/>
      <c r="BN2290"/>
      <c r="BO2290"/>
      <c r="BP2290"/>
      <c r="BQ2290"/>
      <c r="BR2290"/>
      <c r="BS2290"/>
      <c r="BT2290"/>
      <c r="BU2290"/>
      <c r="BV2290"/>
      <c r="BW2290"/>
      <c r="BX2290"/>
      <c r="BY2290"/>
      <c r="BZ2290"/>
      <c r="CA2290"/>
      <c r="CB2290"/>
      <c r="CC2290"/>
      <c r="CD2290"/>
      <c r="CE2290"/>
      <c r="CF2290"/>
      <c r="CG2290"/>
      <c r="CH2290"/>
      <c r="CI2290"/>
      <c r="CJ2290"/>
      <c r="CK2290"/>
      <c r="CL2290"/>
      <c r="CM2290"/>
      <c r="CN2290"/>
      <c r="CO2290"/>
      <c r="CP2290"/>
      <c r="CQ2290"/>
      <c r="CR2290"/>
      <c r="CS2290"/>
      <c r="CT2290"/>
      <c r="CU2290"/>
      <c r="CV2290"/>
      <c r="CW2290"/>
      <c r="CX2290"/>
      <c r="CY2290"/>
      <c r="CZ2290"/>
      <c r="DA2290"/>
      <c r="DB2290"/>
      <c r="DC2290"/>
      <c r="DD2290"/>
      <c r="DE2290"/>
      <c r="DF2290"/>
      <c r="DG2290"/>
      <c r="DH2290"/>
      <c r="DI2290"/>
      <c r="DJ2290"/>
      <c r="DK2290"/>
      <c r="DL2290"/>
      <c r="DM2290"/>
      <c r="DN2290"/>
      <c r="DO2290"/>
      <c r="DP2290"/>
      <c r="DQ2290"/>
      <c r="DR2290"/>
      <c r="DS2290"/>
      <c r="DT2290"/>
      <c r="DU2290"/>
      <c r="DV2290"/>
      <c r="DW2290"/>
      <c r="DX2290"/>
      <c r="DY2290"/>
      <c r="DZ2290"/>
      <c r="EA2290"/>
      <c r="EB2290"/>
      <c r="EC2290"/>
      <c r="ED2290"/>
      <c r="EE2290"/>
      <c r="EF2290"/>
      <c r="EG2290"/>
      <c r="EH2290"/>
      <c r="EI2290"/>
      <c r="EJ2290"/>
      <c r="EK2290"/>
      <c r="EL2290"/>
      <c r="EM2290"/>
      <c r="EN2290"/>
      <c r="EO2290"/>
      <c r="EP2290"/>
      <c r="EQ2290"/>
      <c r="ER2290"/>
      <c r="ES2290"/>
    </row>
    <row r="2291" spans="1:149">
      <c r="A2291"/>
      <c r="B2291"/>
      <c r="C2291"/>
      <c r="D2291"/>
      <c r="E2291"/>
      <c r="F2291"/>
      <c r="G2291"/>
      <c r="H2291"/>
      <c r="I2291"/>
      <c r="J2291"/>
      <c r="K2291"/>
      <c r="L2291"/>
      <c r="M2291"/>
      <c r="N2291"/>
      <c r="O2291"/>
      <c r="P2291"/>
      <c r="Q2291"/>
      <c r="R2291"/>
      <c r="S2291"/>
      <c r="T2291"/>
      <c r="U2291"/>
      <c r="V2291"/>
      <c r="W2291"/>
      <c r="X2291"/>
      <c r="Y2291"/>
      <c r="Z2291"/>
      <c r="AA2291"/>
      <c r="AB2291"/>
      <c r="AC2291"/>
      <c r="AD2291"/>
      <c r="AE2291"/>
      <c r="AF2291"/>
      <c r="AG2291"/>
      <c r="AH2291"/>
      <c r="AI2291"/>
      <c r="AJ2291"/>
      <c r="AK2291"/>
      <c r="AL2291"/>
      <c r="AM2291"/>
      <c r="AN2291"/>
      <c r="AO2291"/>
      <c r="AP2291"/>
      <c r="AQ2291"/>
      <c r="AR2291"/>
      <c r="AS2291"/>
      <c r="AT2291"/>
      <c r="AU2291"/>
      <c r="AV2291"/>
      <c r="AW2291"/>
      <c r="AX2291"/>
      <c r="AY2291"/>
      <c r="AZ2291"/>
      <c r="BA2291"/>
      <c r="BB2291"/>
      <c r="BC2291"/>
      <c r="BD2291"/>
      <c r="BE2291"/>
      <c r="BF2291"/>
      <c r="BG2291"/>
      <c r="BH2291"/>
      <c r="BI2291"/>
      <c r="BJ2291"/>
      <c r="BK2291"/>
      <c r="BL2291"/>
      <c r="BM2291"/>
      <c r="BN2291"/>
      <c r="BO2291"/>
      <c r="BP2291"/>
      <c r="BQ2291"/>
      <c r="BR2291"/>
      <c r="BS2291"/>
      <c r="BT2291"/>
      <c r="BU2291"/>
      <c r="BV2291"/>
      <c r="BW2291"/>
      <c r="BX2291"/>
      <c r="BY2291"/>
      <c r="BZ2291"/>
      <c r="CA2291"/>
      <c r="CB2291"/>
      <c r="CC2291"/>
      <c r="CD2291"/>
      <c r="CE2291"/>
      <c r="CF2291"/>
      <c r="CG2291"/>
      <c r="CH2291"/>
      <c r="CI2291"/>
      <c r="CJ2291"/>
      <c r="CK2291"/>
      <c r="CL2291"/>
      <c r="CM2291"/>
      <c r="CN2291"/>
      <c r="CO2291"/>
      <c r="CP2291"/>
      <c r="CQ2291"/>
      <c r="CR2291"/>
      <c r="CS2291"/>
      <c r="CT2291"/>
      <c r="CU2291"/>
      <c r="CV2291"/>
      <c r="CW2291"/>
      <c r="CX2291"/>
      <c r="CY2291"/>
      <c r="CZ2291"/>
      <c r="DA2291"/>
      <c r="DB2291"/>
      <c r="DC2291"/>
      <c r="DD2291"/>
      <c r="DE2291"/>
      <c r="DF2291"/>
      <c r="DG2291"/>
      <c r="DH2291"/>
      <c r="DI2291"/>
      <c r="DJ2291"/>
      <c r="DK2291"/>
      <c r="DL2291"/>
      <c r="DM2291"/>
      <c r="DN2291"/>
      <c r="DO2291"/>
      <c r="DP2291"/>
      <c r="DQ2291"/>
      <c r="DR2291"/>
      <c r="DS2291"/>
      <c r="DT2291"/>
      <c r="DU2291"/>
      <c r="DV2291"/>
      <c r="DW2291"/>
      <c r="DX2291"/>
      <c r="DY2291"/>
      <c r="DZ2291"/>
      <c r="EA2291"/>
      <c r="EB2291"/>
      <c r="EC2291"/>
      <c r="ED2291"/>
      <c r="EE2291"/>
      <c r="EF2291"/>
      <c r="EG2291"/>
      <c r="EH2291"/>
      <c r="EI2291"/>
      <c r="EJ2291"/>
      <c r="EK2291"/>
      <c r="EL2291"/>
      <c r="EM2291"/>
      <c r="EN2291"/>
      <c r="EO2291"/>
      <c r="EP2291"/>
      <c r="EQ2291"/>
      <c r="ER2291"/>
      <c r="ES2291"/>
    </row>
    <row r="2292" spans="1:149">
      <c r="A2292"/>
      <c r="B2292"/>
      <c r="C2292"/>
      <c r="D2292"/>
      <c r="E2292"/>
      <c r="F2292"/>
      <c r="G2292"/>
      <c r="H2292"/>
      <c r="I2292"/>
      <c r="J2292"/>
      <c r="K2292"/>
      <c r="L2292"/>
      <c r="M2292"/>
      <c r="N2292"/>
      <c r="O2292"/>
      <c r="P2292"/>
      <c r="Q2292"/>
      <c r="R2292"/>
      <c r="S2292"/>
      <c r="T2292"/>
      <c r="U2292"/>
      <c r="V2292"/>
      <c r="W2292"/>
      <c r="X2292"/>
      <c r="Y2292"/>
      <c r="Z2292"/>
      <c r="AA2292"/>
      <c r="AB2292"/>
      <c r="AC2292"/>
      <c r="AD2292"/>
      <c r="AE2292"/>
      <c r="AF2292"/>
      <c r="AG2292"/>
      <c r="AH2292"/>
      <c r="AI2292"/>
      <c r="AJ2292"/>
      <c r="AK2292"/>
      <c r="AL2292"/>
      <c r="AM2292"/>
      <c r="AN2292"/>
      <c r="AO2292"/>
      <c r="AP2292"/>
      <c r="AQ2292"/>
      <c r="AR2292"/>
      <c r="AS2292"/>
      <c r="AT2292"/>
      <c r="AU2292"/>
      <c r="AV2292"/>
      <c r="AW2292"/>
      <c r="AX2292"/>
      <c r="AY2292"/>
      <c r="AZ2292"/>
      <c r="BA2292"/>
      <c r="BB2292"/>
      <c r="BC2292"/>
      <c r="BD2292"/>
      <c r="BE2292"/>
      <c r="BF2292"/>
      <c r="BG2292"/>
      <c r="BH2292"/>
      <c r="BI2292"/>
      <c r="BJ2292"/>
      <c r="BK2292"/>
      <c r="BL2292"/>
      <c r="BM2292"/>
      <c r="BN2292"/>
      <c r="BO2292"/>
      <c r="BP2292"/>
      <c r="BQ2292"/>
      <c r="BR2292"/>
      <c r="BS2292"/>
      <c r="BT2292"/>
      <c r="BU2292"/>
      <c r="BV2292"/>
      <c r="BW2292"/>
      <c r="BX2292"/>
      <c r="BY2292"/>
      <c r="BZ2292"/>
      <c r="CA2292"/>
      <c r="CB2292"/>
      <c r="CC2292"/>
      <c r="CD2292"/>
      <c r="CE2292"/>
      <c r="CF2292"/>
      <c r="CG2292"/>
      <c r="CH2292"/>
      <c r="CI2292"/>
      <c r="CJ2292"/>
      <c r="CK2292"/>
      <c r="CL2292"/>
      <c r="CM2292"/>
      <c r="CN2292"/>
      <c r="CO2292"/>
      <c r="CP2292"/>
      <c r="CQ2292"/>
      <c r="CR2292"/>
      <c r="CS2292"/>
      <c r="CT2292"/>
      <c r="CU2292"/>
      <c r="CV2292"/>
      <c r="CW2292"/>
      <c r="CX2292"/>
      <c r="CY2292"/>
      <c r="CZ2292"/>
      <c r="DA2292"/>
      <c r="DB2292"/>
      <c r="DC2292"/>
      <c r="DD2292"/>
      <c r="DE2292"/>
      <c r="DF2292"/>
      <c r="DG2292"/>
      <c r="DH2292"/>
      <c r="DI2292"/>
      <c r="DJ2292"/>
      <c r="DK2292"/>
      <c r="DL2292"/>
      <c r="DM2292"/>
      <c r="DN2292"/>
      <c r="DO2292"/>
      <c r="DP2292"/>
      <c r="DQ2292"/>
      <c r="DR2292"/>
      <c r="DS2292"/>
      <c r="DT2292"/>
      <c r="DU2292"/>
      <c r="DV2292"/>
      <c r="DW2292"/>
      <c r="DX2292"/>
      <c r="DY2292"/>
      <c r="DZ2292"/>
      <c r="EA2292"/>
      <c r="EB2292"/>
      <c r="EC2292"/>
      <c r="ED2292"/>
      <c r="EE2292"/>
      <c r="EF2292"/>
      <c r="EG2292"/>
      <c r="EH2292"/>
      <c r="EI2292"/>
      <c r="EJ2292"/>
      <c r="EK2292"/>
      <c r="EL2292"/>
      <c r="EM2292"/>
      <c r="EN2292"/>
      <c r="EO2292"/>
      <c r="EP2292"/>
      <c r="EQ2292"/>
      <c r="ER2292"/>
      <c r="ES2292"/>
    </row>
    <row r="2293" spans="1:149">
      <c r="A2293"/>
      <c r="B2293"/>
      <c r="C2293"/>
      <c r="D2293"/>
      <c r="E2293"/>
      <c r="F2293"/>
      <c r="G2293"/>
      <c r="H2293"/>
      <c r="I2293"/>
      <c r="J2293"/>
      <c r="K2293"/>
      <c r="L2293"/>
      <c r="M2293"/>
      <c r="N2293"/>
      <c r="O2293"/>
      <c r="P2293"/>
      <c r="Q2293"/>
      <c r="R2293"/>
      <c r="S2293"/>
      <c r="T2293"/>
      <c r="U2293"/>
      <c r="V2293"/>
      <c r="W2293"/>
      <c r="X2293"/>
      <c r="Y2293"/>
      <c r="Z2293"/>
      <c r="AA2293"/>
      <c r="AB2293"/>
      <c r="AC2293"/>
      <c r="AD2293"/>
      <c r="AE2293"/>
      <c r="AF2293"/>
      <c r="AG2293"/>
      <c r="AH2293"/>
      <c r="AI2293"/>
      <c r="AJ2293"/>
      <c r="AK2293"/>
      <c r="AL2293"/>
      <c r="AM2293"/>
      <c r="AN2293"/>
      <c r="AO2293"/>
      <c r="AP2293"/>
      <c r="AQ2293"/>
      <c r="AR2293"/>
      <c r="AS2293"/>
      <c r="AT2293"/>
      <c r="AU2293"/>
      <c r="AV2293"/>
      <c r="AW2293"/>
      <c r="AX2293"/>
      <c r="AY2293"/>
      <c r="AZ2293"/>
      <c r="BA2293"/>
      <c r="BB2293"/>
      <c r="BC2293"/>
      <c r="BD2293"/>
      <c r="BE2293"/>
      <c r="BF2293"/>
      <c r="BG2293"/>
      <c r="BH2293"/>
      <c r="BI2293"/>
      <c r="BJ2293"/>
      <c r="BK2293"/>
      <c r="BL2293"/>
      <c r="BM2293"/>
      <c r="BN2293"/>
      <c r="BO2293"/>
      <c r="BP2293"/>
      <c r="BQ2293"/>
      <c r="BR2293"/>
      <c r="BS2293"/>
      <c r="BT2293"/>
      <c r="BU2293"/>
      <c r="BV2293"/>
      <c r="BW2293"/>
      <c r="BX2293"/>
      <c r="BY2293"/>
      <c r="BZ2293"/>
      <c r="CA2293"/>
      <c r="CB2293"/>
      <c r="CC2293"/>
      <c r="CD2293"/>
      <c r="CE2293"/>
      <c r="CF2293"/>
      <c r="CG2293"/>
      <c r="CH2293"/>
      <c r="CI2293"/>
      <c r="CJ2293"/>
      <c r="CK2293"/>
      <c r="CL2293"/>
      <c r="CM2293"/>
      <c r="CN2293"/>
      <c r="CO2293"/>
      <c r="CP2293"/>
      <c r="CQ2293"/>
      <c r="CR2293"/>
      <c r="CS2293"/>
      <c r="CT2293"/>
      <c r="CU2293"/>
      <c r="CV2293"/>
      <c r="CW2293"/>
      <c r="CX2293"/>
      <c r="CY2293"/>
      <c r="CZ2293"/>
      <c r="DA2293"/>
      <c r="DB2293"/>
      <c r="DC2293"/>
      <c r="DD2293"/>
      <c r="DE2293"/>
      <c r="DF2293"/>
      <c r="DG2293"/>
      <c r="DH2293"/>
      <c r="DI2293"/>
      <c r="DJ2293"/>
      <c r="DK2293"/>
      <c r="DL2293"/>
      <c r="DM2293"/>
      <c r="DN2293"/>
      <c r="DO2293"/>
      <c r="DP2293"/>
      <c r="DQ2293"/>
      <c r="DR2293"/>
      <c r="DS2293"/>
      <c r="DT2293"/>
      <c r="DU2293"/>
      <c r="DV2293"/>
      <c r="DW2293"/>
      <c r="DX2293"/>
      <c r="DY2293"/>
      <c r="DZ2293"/>
      <c r="EA2293"/>
      <c r="EB2293"/>
      <c r="EC2293"/>
      <c r="ED2293"/>
      <c r="EE2293"/>
      <c r="EF2293"/>
      <c r="EG2293"/>
      <c r="EH2293"/>
      <c r="EI2293"/>
      <c r="EJ2293"/>
      <c r="EK2293"/>
      <c r="EL2293"/>
      <c r="EM2293"/>
      <c r="EN2293"/>
      <c r="EO2293"/>
      <c r="EP2293"/>
      <c r="EQ2293"/>
      <c r="ER2293"/>
      <c r="ES2293"/>
    </row>
    <row r="2294" spans="1:149">
      <c r="A2294"/>
      <c r="B2294"/>
      <c r="C2294"/>
      <c r="D2294"/>
      <c r="E2294"/>
      <c r="F2294"/>
      <c r="G2294"/>
      <c r="H2294"/>
      <c r="I2294"/>
      <c r="J2294"/>
      <c r="K2294"/>
      <c r="L2294"/>
      <c r="M2294"/>
      <c r="N2294"/>
      <c r="O2294"/>
      <c r="P2294"/>
      <c r="Q2294"/>
      <c r="R2294"/>
      <c r="S2294"/>
      <c r="T2294"/>
      <c r="U2294"/>
      <c r="V2294"/>
      <c r="W2294"/>
      <c r="X2294"/>
      <c r="Y2294"/>
      <c r="Z2294"/>
      <c r="AA2294"/>
      <c r="AB2294"/>
      <c r="AC2294"/>
      <c r="AD2294"/>
      <c r="AE2294"/>
      <c r="AF2294"/>
      <c r="AG2294"/>
      <c r="AH2294"/>
      <c r="AI2294"/>
      <c r="AJ2294"/>
      <c r="AK2294"/>
      <c r="AL2294"/>
      <c r="AM2294"/>
      <c r="AN2294"/>
      <c r="AO2294"/>
      <c r="AP2294"/>
      <c r="AQ2294"/>
      <c r="AR2294"/>
      <c r="AS2294"/>
      <c r="AT2294"/>
      <c r="AU2294"/>
      <c r="AV2294"/>
      <c r="AW2294"/>
      <c r="AX2294"/>
      <c r="AY2294"/>
      <c r="AZ2294"/>
      <c r="BA2294"/>
      <c r="BB2294"/>
      <c r="BC2294"/>
      <c r="BD2294"/>
      <c r="BE2294"/>
      <c r="BF2294"/>
      <c r="BG2294"/>
      <c r="BH2294"/>
      <c r="BI2294"/>
      <c r="BJ2294"/>
      <c r="BK2294"/>
      <c r="BL2294"/>
      <c r="BM2294"/>
      <c r="BN2294"/>
      <c r="BO2294"/>
      <c r="BP2294"/>
      <c r="BQ2294"/>
      <c r="BR2294"/>
      <c r="BS2294"/>
      <c r="BT2294"/>
      <c r="BU2294"/>
      <c r="BV2294"/>
      <c r="BW2294"/>
      <c r="BX2294"/>
      <c r="BY2294"/>
      <c r="BZ2294"/>
      <c r="CA2294"/>
      <c r="CB2294"/>
      <c r="CC2294"/>
      <c r="CD2294"/>
      <c r="CE2294"/>
      <c r="CF2294"/>
      <c r="CG2294"/>
      <c r="CH2294"/>
      <c r="CI2294"/>
      <c r="CJ2294"/>
      <c r="CK2294"/>
      <c r="CL2294"/>
      <c r="CM2294"/>
      <c r="CN2294"/>
      <c r="CO2294"/>
      <c r="CP2294"/>
      <c r="CQ2294"/>
      <c r="CR2294"/>
      <c r="CS2294"/>
      <c r="CT2294"/>
      <c r="CU2294"/>
      <c r="CV2294"/>
      <c r="CW2294"/>
      <c r="CX2294"/>
      <c r="CY2294"/>
      <c r="CZ2294"/>
      <c r="DA2294"/>
      <c r="DB2294"/>
      <c r="DC2294"/>
      <c r="DD2294"/>
      <c r="DE2294"/>
      <c r="DF2294"/>
      <c r="DG2294"/>
      <c r="DH2294"/>
      <c r="DI2294"/>
      <c r="DJ2294"/>
      <c r="DK2294"/>
      <c r="DL2294"/>
      <c r="DM2294"/>
      <c r="DN2294"/>
      <c r="DO2294"/>
      <c r="DP2294"/>
      <c r="DQ2294"/>
      <c r="DR2294"/>
      <c r="DS2294"/>
      <c r="DT2294"/>
      <c r="DU2294"/>
      <c r="DV2294"/>
      <c r="DW2294"/>
      <c r="DX2294"/>
      <c r="DY2294"/>
      <c r="DZ2294"/>
      <c r="EA2294"/>
      <c r="EB2294"/>
      <c r="EC2294"/>
      <c r="ED2294"/>
      <c r="EE2294"/>
      <c r="EF2294"/>
      <c r="EG2294"/>
      <c r="EH2294"/>
      <c r="EI2294"/>
      <c r="EJ2294"/>
      <c r="EK2294"/>
      <c r="EL2294"/>
      <c r="EM2294"/>
      <c r="EN2294"/>
      <c r="EO2294"/>
      <c r="EP2294"/>
      <c r="EQ2294"/>
      <c r="ER2294"/>
      <c r="ES2294"/>
    </row>
    <row r="2295" spans="1:149">
      <c r="A2295"/>
      <c r="B2295"/>
      <c r="C2295"/>
      <c r="D2295"/>
      <c r="E2295"/>
      <c r="F2295"/>
      <c r="G2295"/>
      <c r="H2295"/>
      <c r="I2295"/>
      <c r="J2295"/>
      <c r="K2295"/>
      <c r="L2295"/>
      <c r="M2295"/>
      <c r="N2295"/>
      <c r="O2295"/>
      <c r="P2295"/>
      <c r="Q2295"/>
      <c r="R2295"/>
      <c r="S2295"/>
      <c r="T2295"/>
      <c r="U2295"/>
      <c r="V2295"/>
      <c r="W2295"/>
      <c r="X2295"/>
      <c r="Y2295"/>
      <c r="Z2295"/>
      <c r="AA2295"/>
      <c r="AB2295"/>
      <c r="AC2295"/>
      <c r="AD2295"/>
      <c r="AE2295"/>
      <c r="AF2295"/>
      <c r="AG2295"/>
      <c r="AH2295"/>
      <c r="AI2295"/>
      <c r="AJ2295"/>
      <c r="AK2295"/>
      <c r="AL2295"/>
      <c r="AM2295"/>
      <c r="AN2295"/>
      <c r="AO2295"/>
      <c r="AP2295"/>
      <c r="AQ2295"/>
      <c r="AR2295"/>
      <c r="AS2295"/>
      <c r="AT2295"/>
      <c r="AU2295"/>
      <c r="AV2295"/>
      <c r="AW2295"/>
      <c r="AX2295"/>
      <c r="AY2295"/>
      <c r="AZ2295"/>
      <c r="BA2295"/>
      <c r="BB2295"/>
      <c r="BC2295"/>
      <c r="BD2295"/>
      <c r="BE2295"/>
      <c r="BF2295"/>
      <c r="BG2295"/>
      <c r="BH2295"/>
      <c r="BI2295"/>
      <c r="BJ2295"/>
      <c r="BK2295"/>
      <c r="BL2295"/>
      <c r="BM2295"/>
      <c r="BN2295"/>
      <c r="BO2295"/>
      <c r="BP2295"/>
      <c r="BQ2295"/>
      <c r="BR2295"/>
      <c r="BS2295"/>
      <c r="BT2295"/>
      <c r="BU2295"/>
      <c r="BV2295"/>
      <c r="BW2295"/>
      <c r="BX2295"/>
      <c r="BY2295"/>
      <c r="BZ2295"/>
      <c r="CA2295"/>
      <c r="CB2295"/>
      <c r="CC2295"/>
      <c r="CD2295"/>
      <c r="CE2295"/>
      <c r="CF2295"/>
      <c r="CG2295"/>
      <c r="CH2295"/>
      <c r="CI2295"/>
      <c r="CJ2295"/>
      <c r="CK2295"/>
      <c r="CL2295"/>
      <c r="CM2295"/>
      <c r="CN2295"/>
      <c r="CO2295"/>
      <c r="CP2295"/>
      <c r="CQ2295"/>
      <c r="CR2295"/>
      <c r="CS2295"/>
      <c r="CT2295"/>
      <c r="CU2295"/>
      <c r="CV2295"/>
      <c r="CW2295"/>
      <c r="CX2295"/>
      <c r="CY2295"/>
      <c r="CZ2295"/>
      <c r="DA2295"/>
      <c r="DB2295"/>
      <c r="DC2295"/>
      <c r="DD2295"/>
      <c r="DE2295"/>
      <c r="DF2295"/>
      <c r="DG2295"/>
      <c r="DH2295"/>
      <c r="DI2295"/>
      <c r="DJ2295"/>
      <c r="DK2295"/>
      <c r="DL2295"/>
      <c r="DM2295"/>
      <c r="DN2295"/>
      <c r="DO2295"/>
      <c r="DP2295"/>
      <c r="DQ2295"/>
      <c r="DR2295"/>
      <c r="DS2295"/>
      <c r="DT2295"/>
      <c r="DU2295"/>
      <c r="DV2295"/>
      <c r="DW2295"/>
      <c r="DX2295"/>
      <c r="DY2295"/>
      <c r="DZ2295"/>
      <c r="EA2295"/>
      <c r="EB2295"/>
      <c r="EC2295"/>
      <c r="ED2295"/>
      <c r="EE2295"/>
      <c r="EF2295"/>
      <c r="EG2295"/>
      <c r="EH2295"/>
      <c r="EI2295"/>
      <c r="EJ2295"/>
      <c r="EK2295"/>
      <c r="EL2295"/>
      <c r="EM2295"/>
      <c r="EN2295"/>
      <c r="EO2295"/>
      <c r="EP2295"/>
      <c r="EQ2295"/>
      <c r="ER2295"/>
      <c r="ES2295"/>
    </row>
    <row r="2296" spans="1:149">
      <c r="A2296"/>
      <c r="B2296"/>
      <c r="C2296"/>
      <c r="D2296"/>
      <c r="E2296"/>
      <c r="F2296"/>
      <c r="G2296"/>
      <c r="H2296"/>
      <c r="I2296"/>
      <c r="J2296"/>
      <c r="K2296"/>
      <c r="L2296"/>
      <c r="M2296"/>
      <c r="N2296"/>
      <c r="O2296"/>
      <c r="P2296"/>
      <c r="Q2296"/>
      <c r="R2296"/>
      <c r="S2296"/>
      <c r="T2296"/>
      <c r="U2296"/>
      <c r="V2296"/>
      <c r="W2296"/>
      <c r="X2296"/>
      <c r="Y2296"/>
      <c r="Z2296"/>
      <c r="AA2296"/>
      <c r="AB2296"/>
      <c r="AC2296"/>
      <c r="AD2296"/>
      <c r="AE2296"/>
      <c r="AF2296"/>
      <c r="AG2296"/>
      <c r="AH2296"/>
      <c r="AI2296"/>
      <c r="AJ2296"/>
      <c r="AK2296"/>
      <c r="AL2296"/>
      <c r="AM2296"/>
      <c r="AN2296"/>
      <c r="AO2296"/>
      <c r="AP2296"/>
      <c r="AQ2296"/>
      <c r="AR2296"/>
      <c r="AS2296"/>
      <c r="AT2296"/>
      <c r="AU2296"/>
      <c r="AV2296"/>
      <c r="AW2296"/>
      <c r="AX2296"/>
      <c r="AY2296"/>
      <c r="AZ2296"/>
      <c r="BA2296"/>
      <c r="BB2296"/>
      <c r="BC2296"/>
      <c r="BD2296"/>
      <c r="BE2296"/>
      <c r="BF2296"/>
      <c r="BG2296"/>
      <c r="BH2296"/>
      <c r="BI2296"/>
      <c r="BJ2296"/>
      <c r="BK2296"/>
      <c r="BL2296"/>
      <c r="BM2296"/>
      <c r="BN2296"/>
      <c r="BO2296"/>
      <c r="BP2296"/>
      <c r="BQ2296"/>
      <c r="BR2296"/>
      <c r="BS2296"/>
      <c r="BT2296"/>
      <c r="BU2296"/>
      <c r="BV2296"/>
      <c r="BW2296"/>
      <c r="BX2296"/>
      <c r="BY2296"/>
      <c r="BZ2296"/>
      <c r="CA2296"/>
      <c r="CB2296"/>
      <c r="CC2296"/>
      <c r="CD2296"/>
      <c r="CE2296"/>
      <c r="CF2296"/>
      <c r="CG2296"/>
      <c r="CH2296"/>
      <c r="CI2296"/>
      <c r="CJ2296"/>
      <c r="CK2296"/>
      <c r="CL2296"/>
      <c r="CM2296"/>
      <c r="CN2296"/>
      <c r="CO2296"/>
      <c r="CP2296"/>
      <c r="CQ2296"/>
      <c r="CR2296"/>
      <c r="CS2296"/>
      <c r="CT2296"/>
      <c r="CU2296"/>
      <c r="CV2296"/>
      <c r="CW2296"/>
      <c r="CX2296"/>
      <c r="CY2296"/>
      <c r="CZ2296"/>
      <c r="DA2296"/>
      <c r="DB2296"/>
      <c r="DC2296"/>
      <c r="DD2296"/>
      <c r="DE2296"/>
      <c r="DF2296"/>
      <c r="DG2296"/>
      <c r="DH2296"/>
      <c r="DI2296"/>
      <c r="DJ2296"/>
      <c r="DK2296"/>
      <c r="DL2296"/>
      <c r="DM2296"/>
      <c r="DN2296"/>
      <c r="DO2296"/>
      <c r="DP2296"/>
      <c r="DQ2296"/>
      <c r="DR2296"/>
      <c r="DS2296"/>
      <c r="DT2296"/>
      <c r="DU2296"/>
      <c r="DV2296"/>
      <c r="DW2296"/>
      <c r="DX2296"/>
      <c r="DY2296"/>
      <c r="DZ2296"/>
      <c r="EA2296"/>
      <c r="EB2296"/>
      <c r="EC2296"/>
      <c r="ED2296"/>
      <c r="EE2296"/>
      <c r="EF2296"/>
      <c r="EG2296"/>
      <c r="EH2296"/>
      <c r="EI2296"/>
      <c r="EJ2296"/>
      <c r="EK2296"/>
      <c r="EL2296"/>
      <c r="EM2296"/>
      <c r="EN2296"/>
      <c r="EO2296"/>
      <c r="EP2296"/>
      <c r="EQ2296"/>
      <c r="ER2296"/>
      <c r="ES2296"/>
    </row>
    <row r="2297" spans="1:149">
      <c r="A2297"/>
      <c r="B2297"/>
      <c r="C2297"/>
      <c r="D2297"/>
      <c r="E2297"/>
      <c r="F2297"/>
      <c r="G2297"/>
      <c r="H2297"/>
      <c r="I2297"/>
      <c r="J2297"/>
      <c r="K2297"/>
      <c r="L2297"/>
      <c r="M2297"/>
      <c r="N2297"/>
      <c r="O2297"/>
      <c r="P2297"/>
      <c r="Q2297"/>
      <c r="R2297"/>
      <c r="S2297"/>
      <c r="T2297"/>
      <c r="U2297"/>
      <c r="V2297"/>
      <c r="W2297"/>
      <c r="X2297"/>
      <c r="Y2297"/>
      <c r="Z2297"/>
      <c r="AA2297"/>
      <c r="AB2297"/>
      <c r="AC2297"/>
      <c r="AD2297"/>
      <c r="AE2297"/>
      <c r="AF2297"/>
      <c r="AG2297"/>
      <c r="AH2297"/>
      <c r="AI2297"/>
      <c r="AJ2297"/>
      <c r="AK2297"/>
      <c r="AL2297"/>
      <c r="AM2297"/>
      <c r="AN2297"/>
      <c r="AO2297"/>
      <c r="AP2297"/>
      <c r="AQ2297"/>
      <c r="AR2297"/>
      <c r="AS2297"/>
      <c r="AT2297"/>
      <c r="AU2297"/>
      <c r="AV2297"/>
      <c r="AW2297"/>
      <c r="AX2297"/>
      <c r="AY2297"/>
      <c r="AZ2297"/>
      <c r="BA2297"/>
      <c r="BB2297"/>
      <c r="BC2297"/>
      <c r="BD2297"/>
      <c r="BE2297"/>
      <c r="BF2297"/>
      <c r="BG2297"/>
      <c r="BH2297"/>
      <c r="BI2297"/>
      <c r="BJ2297"/>
      <c r="BK2297"/>
      <c r="BL2297"/>
      <c r="BM2297"/>
      <c r="BN2297"/>
      <c r="BO2297"/>
      <c r="BP2297"/>
      <c r="BQ2297"/>
      <c r="BR2297"/>
      <c r="BS2297"/>
      <c r="BT2297"/>
      <c r="BU2297"/>
      <c r="BV2297"/>
      <c r="BW2297"/>
      <c r="BX2297"/>
      <c r="BY2297"/>
      <c r="BZ2297"/>
      <c r="CA2297"/>
      <c r="CB2297"/>
      <c r="CC2297"/>
      <c r="CD2297"/>
      <c r="CE2297"/>
      <c r="CF2297"/>
      <c r="CG2297"/>
      <c r="CH2297"/>
      <c r="CI2297"/>
      <c r="CJ2297"/>
      <c r="CK2297"/>
      <c r="CL2297"/>
      <c r="CM2297"/>
      <c r="CN2297"/>
      <c r="CO2297"/>
      <c r="CP2297"/>
      <c r="CQ2297"/>
      <c r="CR2297"/>
      <c r="CS2297"/>
      <c r="CT2297"/>
      <c r="CU2297"/>
      <c r="CV2297"/>
      <c r="CW2297"/>
      <c r="CX2297"/>
      <c r="CY2297"/>
      <c r="CZ2297"/>
      <c r="DA2297"/>
      <c r="DB2297"/>
      <c r="DC2297"/>
      <c r="DD2297"/>
      <c r="DE2297"/>
      <c r="DF2297"/>
      <c r="DG2297"/>
      <c r="DH2297"/>
      <c r="DI2297"/>
      <c r="DJ2297"/>
      <c r="DK2297"/>
      <c r="DL2297"/>
      <c r="DM2297"/>
      <c r="DN2297"/>
      <c r="DO2297"/>
      <c r="DP2297"/>
      <c r="DQ2297"/>
      <c r="DR2297"/>
      <c r="DS2297"/>
      <c r="DT2297"/>
      <c r="DU2297"/>
      <c r="DV2297"/>
      <c r="DW2297"/>
      <c r="DX2297"/>
      <c r="DY2297"/>
      <c r="DZ2297"/>
      <c r="EA2297"/>
      <c r="EB2297"/>
      <c r="EC2297"/>
      <c r="ED2297"/>
      <c r="EE2297"/>
      <c r="EF2297"/>
      <c r="EG2297"/>
      <c r="EH2297"/>
      <c r="EI2297"/>
      <c r="EJ2297"/>
      <c r="EK2297"/>
      <c r="EL2297"/>
      <c r="EM2297"/>
      <c r="EN2297"/>
      <c r="EO2297"/>
      <c r="EP2297"/>
      <c r="EQ2297"/>
      <c r="ER2297"/>
      <c r="ES2297"/>
    </row>
    <row r="2298" spans="1:149">
      <c r="A2298"/>
      <c r="B2298"/>
      <c r="C2298"/>
      <c r="D2298"/>
      <c r="E2298"/>
      <c r="F2298"/>
      <c r="G2298"/>
      <c r="H2298"/>
      <c r="I2298"/>
      <c r="J2298"/>
      <c r="K2298"/>
      <c r="L2298"/>
      <c r="M2298"/>
      <c r="N2298"/>
      <c r="O2298"/>
      <c r="P2298"/>
      <c r="Q2298"/>
      <c r="R2298"/>
      <c r="S2298"/>
      <c r="T2298"/>
      <c r="U2298"/>
      <c r="V2298"/>
      <c r="W2298"/>
      <c r="X2298"/>
      <c r="Y2298"/>
      <c r="Z2298"/>
      <c r="AA2298"/>
      <c r="AB2298"/>
      <c r="AC2298"/>
      <c r="AD2298"/>
      <c r="AE2298"/>
      <c r="AF2298"/>
      <c r="AG2298"/>
      <c r="AH2298"/>
      <c r="AI2298"/>
      <c r="AJ2298"/>
      <c r="AK2298"/>
      <c r="AL2298"/>
      <c r="AM2298"/>
      <c r="AN2298"/>
      <c r="AO2298"/>
      <c r="AP2298"/>
      <c r="AQ2298"/>
      <c r="AR2298"/>
      <c r="AS2298"/>
      <c r="AT2298"/>
      <c r="AU2298"/>
      <c r="AV2298"/>
      <c r="AW2298"/>
      <c r="AX2298"/>
      <c r="AY2298"/>
      <c r="AZ2298"/>
      <c r="BA2298"/>
      <c r="BB2298"/>
      <c r="BC2298"/>
      <c r="BD2298"/>
      <c r="BE2298"/>
      <c r="BF2298"/>
      <c r="BG2298"/>
      <c r="BH2298"/>
      <c r="BI2298"/>
      <c r="BJ2298"/>
      <c r="BK2298"/>
      <c r="BL2298"/>
      <c r="BM2298"/>
      <c r="BN2298"/>
      <c r="BO2298"/>
      <c r="BP2298"/>
      <c r="BQ2298"/>
      <c r="BR2298"/>
      <c r="BS2298"/>
      <c r="BT2298"/>
      <c r="BU2298"/>
      <c r="BV2298"/>
      <c r="BW2298"/>
      <c r="BX2298"/>
      <c r="BY2298"/>
      <c r="BZ2298"/>
      <c r="CA2298"/>
      <c r="CB2298"/>
      <c r="CC2298"/>
      <c r="CD2298"/>
      <c r="CE2298"/>
      <c r="CF2298"/>
      <c r="CG2298"/>
      <c r="CH2298"/>
      <c r="CI2298"/>
      <c r="CJ2298"/>
      <c r="CK2298"/>
      <c r="CL2298"/>
      <c r="CM2298"/>
      <c r="CN2298"/>
      <c r="CO2298"/>
      <c r="CP2298"/>
      <c r="CQ2298"/>
      <c r="CR2298"/>
      <c r="CS2298"/>
      <c r="CT2298"/>
      <c r="CU2298"/>
      <c r="CV2298"/>
      <c r="CW2298"/>
      <c r="CX2298"/>
      <c r="CY2298"/>
      <c r="CZ2298"/>
      <c r="DA2298"/>
      <c r="DB2298"/>
      <c r="DC2298"/>
      <c r="DD2298"/>
      <c r="DE2298"/>
      <c r="DF2298"/>
      <c r="DG2298"/>
      <c r="DH2298"/>
      <c r="DI2298"/>
      <c r="DJ2298"/>
      <c r="DK2298"/>
      <c r="DL2298"/>
      <c r="DM2298"/>
      <c r="DN2298"/>
      <c r="DO2298"/>
      <c r="DP2298"/>
      <c r="DQ2298"/>
      <c r="DR2298"/>
      <c r="DS2298"/>
      <c r="DT2298"/>
      <c r="DU2298"/>
      <c r="DV2298"/>
      <c r="DW2298"/>
      <c r="DX2298"/>
      <c r="DY2298"/>
      <c r="DZ2298"/>
      <c r="EA2298"/>
      <c r="EB2298"/>
      <c r="EC2298"/>
      <c r="ED2298"/>
      <c r="EE2298"/>
      <c r="EF2298"/>
      <c r="EG2298"/>
      <c r="EH2298"/>
      <c r="EI2298"/>
      <c r="EJ2298"/>
      <c r="EK2298"/>
      <c r="EL2298"/>
      <c r="EM2298"/>
      <c r="EN2298"/>
      <c r="EO2298"/>
      <c r="EP2298"/>
      <c r="EQ2298"/>
      <c r="ER2298"/>
      <c r="ES2298"/>
    </row>
    <row r="2299" spans="1:149">
      <c r="A2299"/>
      <c r="B2299"/>
      <c r="C2299"/>
      <c r="D2299"/>
      <c r="E2299"/>
      <c r="F2299"/>
      <c r="G2299"/>
      <c r="H2299"/>
      <c r="I2299"/>
      <c r="J2299"/>
      <c r="K2299"/>
      <c r="L2299"/>
      <c r="M2299"/>
      <c r="N2299"/>
      <c r="O2299"/>
      <c r="P2299"/>
      <c r="Q2299"/>
      <c r="R2299"/>
      <c r="S2299"/>
      <c r="T2299"/>
      <c r="U2299"/>
      <c r="V2299"/>
      <c r="W2299"/>
      <c r="X2299"/>
      <c r="Y2299"/>
      <c r="Z2299"/>
      <c r="AA2299"/>
      <c r="AB2299"/>
      <c r="AC2299"/>
      <c r="AD2299"/>
      <c r="AE2299"/>
      <c r="AF2299"/>
      <c r="AG2299"/>
      <c r="AH2299"/>
      <c r="AI2299"/>
      <c r="AJ2299"/>
      <c r="AK2299"/>
      <c r="AL2299"/>
      <c r="AM2299"/>
      <c r="AN2299"/>
      <c r="AO2299"/>
      <c r="AP2299"/>
      <c r="AQ2299"/>
      <c r="AR2299"/>
      <c r="AS2299"/>
      <c r="AT2299"/>
      <c r="AU2299"/>
      <c r="AV2299"/>
      <c r="AW2299"/>
      <c r="AX2299"/>
      <c r="AY2299"/>
      <c r="AZ2299"/>
      <c r="BA2299"/>
      <c r="BB2299"/>
      <c r="BC2299"/>
      <c r="BD2299"/>
      <c r="BE2299"/>
      <c r="BF2299"/>
      <c r="BG2299"/>
      <c r="BH2299"/>
      <c r="BI2299"/>
      <c r="BJ2299"/>
      <c r="BK2299"/>
      <c r="BL2299"/>
      <c r="BM2299"/>
      <c r="BN2299"/>
      <c r="BO2299"/>
      <c r="BP2299"/>
      <c r="BQ2299"/>
      <c r="BR2299"/>
      <c r="BS2299"/>
      <c r="BT2299"/>
      <c r="BU2299"/>
      <c r="BV2299"/>
      <c r="BW2299"/>
      <c r="BX2299"/>
      <c r="BY2299"/>
      <c r="BZ2299"/>
      <c r="CA2299"/>
      <c r="CB2299"/>
      <c r="CC2299"/>
      <c r="CD2299"/>
      <c r="CE2299"/>
      <c r="CF2299"/>
      <c r="CG2299"/>
      <c r="CH2299"/>
      <c r="CI2299"/>
      <c r="CJ2299"/>
      <c r="CK2299"/>
      <c r="CL2299"/>
      <c r="CM2299"/>
      <c r="CN2299"/>
      <c r="CO2299"/>
      <c r="CP2299"/>
      <c r="CQ2299"/>
      <c r="CR2299"/>
      <c r="CS2299"/>
      <c r="CT2299"/>
      <c r="CU2299"/>
      <c r="CV2299"/>
      <c r="CW2299"/>
      <c r="CX2299"/>
      <c r="CY2299"/>
      <c r="CZ2299"/>
      <c r="DA2299"/>
      <c r="DB2299"/>
      <c r="DC2299"/>
      <c r="DD2299"/>
      <c r="DE2299"/>
      <c r="DF2299"/>
      <c r="DG2299"/>
      <c r="DH2299"/>
      <c r="DI2299"/>
      <c r="DJ2299"/>
      <c r="DK2299"/>
      <c r="DL2299"/>
      <c r="DM2299"/>
      <c r="DN2299"/>
      <c r="DO2299"/>
      <c r="DP2299"/>
      <c r="DQ2299"/>
      <c r="DR2299"/>
      <c r="DS2299"/>
      <c r="DT2299"/>
      <c r="DU2299"/>
      <c r="DV2299"/>
      <c r="DW2299"/>
      <c r="DX2299"/>
      <c r="DY2299"/>
      <c r="DZ2299"/>
      <c r="EA2299"/>
      <c r="EB2299"/>
      <c r="EC2299"/>
      <c r="ED2299"/>
      <c r="EE2299"/>
      <c r="EF2299"/>
      <c r="EG2299"/>
      <c r="EH2299"/>
      <c r="EI2299"/>
      <c r="EJ2299"/>
      <c r="EK2299"/>
      <c r="EL2299"/>
      <c r="EM2299"/>
      <c r="EN2299"/>
      <c r="EO2299"/>
      <c r="EP2299"/>
      <c r="EQ2299"/>
      <c r="ER2299"/>
      <c r="ES2299"/>
    </row>
    <row r="2300" spans="1:149">
      <c r="A2300"/>
      <c r="B2300"/>
      <c r="C2300"/>
      <c r="D2300"/>
      <c r="E2300"/>
      <c r="F2300"/>
      <c r="G2300"/>
      <c r="H2300"/>
      <c r="I2300"/>
      <c r="J2300"/>
      <c r="K2300"/>
      <c r="L2300"/>
      <c r="M2300"/>
      <c r="N2300"/>
      <c r="O2300"/>
      <c r="P2300"/>
      <c r="Q2300"/>
      <c r="R2300"/>
      <c r="S2300"/>
      <c r="T2300"/>
      <c r="U2300"/>
      <c r="V2300"/>
      <c r="W2300"/>
      <c r="X2300"/>
      <c r="Y2300"/>
      <c r="Z2300"/>
      <c r="AA2300"/>
      <c r="AB2300"/>
      <c r="AC2300"/>
      <c r="AD2300"/>
      <c r="AE2300"/>
      <c r="AF2300"/>
      <c r="AG2300"/>
      <c r="AH2300"/>
      <c r="AI2300"/>
      <c r="AJ2300"/>
      <c r="AK2300"/>
      <c r="AL2300"/>
      <c r="AM2300"/>
      <c r="AN2300"/>
      <c r="AO2300"/>
      <c r="AP2300"/>
      <c r="AQ2300"/>
      <c r="AR2300"/>
      <c r="AS2300"/>
      <c r="AT2300"/>
      <c r="AU2300"/>
      <c r="AV2300"/>
      <c r="AW2300"/>
      <c r="AX2300"/>
      <c r="AY2300"/>
      <c r="AZ2300"/>
      <c r="BA2300"/>
      <c r="BB2300"/>
      <c r="BC2300"/>
      <c r="BD2300"/>
      <c r="BE2300"/>
      <c r="BF2300"/>
      <c r="BG2300"/>
      <c r="BH2300"/>
      <c r="BI2300"/>
      <c r="BJ2300"/>
      <c r="BK2300"/>
      <c r="BL2300"/>
      <c r="BM2300"/>
      <c r="BN2300"/>
      <c r="BO2300"/>
      <c r="BP2300"/>
      <c r="BQ2300"/>
      <c r="BR2300"/>
      <c r="BS2300"/>
      <c r="BT2300"/>
      <c r="BU2300"/>
      <c r="BV2300"/>
      <c r="BW2300"/>
      <c r="BX2300"/>
      <c r="BY2300"/>
      <c r="BZ2300"/>
      <c r="CA2300"/>
      <c r="CB2300"/>
      <c r="CC2300"/>
      <c r="CD2300"/>
      <c r="CE2300"/>
      <c r="CF2300"/>
      <c r="CG2300"/>
      <c r="CH2300"/>
      <c r="CI2300"/>
      <c r="CJ2300"/>
      <c r="CK2300"/>
      <c r="CL2300"/>
      <c r="CM2300"/>
      <c r="CN2300"/>
      <c r="CO2300"/>
      <c r="CP2300"/>
      <c r="CQ2300"/>
      <c r="CR2300"/>
      <c r="CS2300"/>
      <c r="CT2300"/>
      <c r="CU2300"/>
      <c r="CV2300"/>
      <c r="CW2300"/>
      <c r="CX2300"/>
      <c r="CY2300"/>
      <c r="CZ2300"/>
      <c r="DA2300"/>
      <c r="DB2300"/>
      <c r="DC2300"/>
      <c r="DD2300"/>
      <c r="DE2300"/>
      <c r="DF2300"/>
      <c r="DG2300"/>
      <c r="DH2300"/>
      <c r="DI2300"/>
      <c r="DJ2300"/>
      <c r="DK2300"/>
      <c r="DL2300"/>
      <c r="DM2300"/>
      <c r="DN2300"/>
      <c r="DO2300"/>
      <c r="DP2300"/>
      <c r="DQ2300"/>
      <c r="DR2300"/>
      <c r="DS2300"/>
      <c r="DT2300"/>
      <c r="DU2300"/>
      <c r="DV2300"/>
      <c r="DW2300"/>
      <c r="DX2300"/>
      <c r="DY2300"/>
      <c r="DZ2300"/>
      <c r="EA2300"/>
      <c r="EB2300"/>
      <c r="EC2300"/>
      <c r="ED2300"/>
      <c r="EE2300"/>
      <c r="EF2300"/>
      <c r="EG2300"/>
      <c r="EH2300"/>
      <c r="EI2300"/>
      <c r="EJ2300"/>
      <c r="EK2300"/>
      <c r="EL2300"/>
      <c r="EM2300"/>
      <c r="EN2300"/>
      <c r="EO2300"/>
      <c r="EP2300"/>
      <c r="EQ2300"/>
      <c r="ER2300"/>
      <c r="ES2300"/>
    </row>
    <row r="2301" spans="1:149">
      <c r="A2301"/>
      <c r="B2301"/>
      <c r="C2301"/>
      <c r="D2301"/>
      <c r="E2301"/>
      <c r="F2301"/>
      <c r="G2301"/>
      <c r="H2301"/>
      <c r="I2301"/>
      <c r="J2301"/>
      <c r="K2301"/>
      <c r="L2301"/>
      <c r="M2301"/>
      <c r="N2301"/>
      <c r="O2301"/>
      <c r="P2301"/>
      <c r="Q2301"/>
      <c r="R2301"/>
      <c r="S2301"/>
      <c r="T2301"/>
      <c r="U2301"/>
      <c r="V2301"/>
      <c r="W2301"/>
      <c r="X2301"/>
      <c r="Y2301"/>
      <c r="Z2301"/>
      <c r="AA2301"/>
      <c r="AB2301"/>
      <c r="AC2301"/>
      <c r="AD2301"/>
      <c r="AE2301"/>
      <c r="AF2301"/>
      <c r="AG2301"/>
      <c r="AH2301"/>
      <c r="AI2301"/>
      <c r="AJ2301"/>
      <c r="AK2301"/>
      <c r="AL2301"/>
      <c r="AM2301"/>
      <c r="AN2301"/>
      <c r="AO2301"/>
      <c r="AP2301"/>
      <c r="AQ2301"/>
      <c r="AR2301"/>
      <c r="AS2301"/>
      <c r="AT2301"/>
      <c r="AU2301"/>
      <c r="AV2301"/>
      <c r="AW2301"/>
      <c r="AX2301"/>
      <c r="AY2301"/>
      <c r="AZ2301"/>
      <c r="BA2301"/>
      <c r="BB2301"/>
      <c r="BC2301"/>
      <c r="BD2301"/>
      <c r="BE2301"/>
      <c r="BF2301"/>
      <c r="BG2301"/>
      <c r="BH2301"/>
      <c r="BI2301"/>
      <c r="BJ2301"/>
      <c r="BK2301"/>
      <c r="BL2301"/>
      <c r="BM2301"/>
      <c r="BN2301"/>
      <c r="BO2301"/>
      <c r="BP2301"/>
      <c r="BQ2301"/>
      <c r="BR2301"/>
      <c r="BS2301"/>
      <c r="BT2301"/>
      <c r="BU2301"/>
      <c r="BV2301"/>
      <c r="BW2301"/>
      <c r="BX2301"/>
      <c r="BY2301"/>
      <c r="BZ2301"/>
      <c r="CA2301"/>
      <c r="CB2301"/>
      <c r="CC2301"/>
      <c r="CD2301"/>
      <c r="CE2301"/>
      <c r="CF2301"/>
      <c r="CG2301"/>
      <c r="CH2301"/>
      <c r="CI2301"/>
      <c r="CJ2301"/>
      <c r="CK2301"/>
      <c r="CL2301"/>
      <c r="CM2301"/>
      <c r="CN2301"/>
      <c r="CO2301"/>
      <c r="CP2301"/>
      <c r="CQ2301"/>
      <c r="CR2301"/>
      <c r="CS2301"/>
      <c r="CT2301"/>
      <c r="CU2301"/>
      <c r="CV2301"/>
      <c r="CW2301"/>
      <c r="CX2301"/>
      <c r="CY2301"/>
      <c r="CZ2301"/>
      <c r="DA2301"/>
      <c r="DB2301"/>
      <c r="DC2301"/>
      <c r="DD2301"/>
      <c r="DE2301"/>
      <c r="DF2301"/>
      <c r="DG2301"/>
      <c r="DH2301"/>
      <c r="DI2301"/>
      <c r="DJ2301"/>
      <c r="DK2301"/>
      <c r="DL2301"/>
      <c r="DM2301"/>
      <c r="DN2301"/>
      <c r="DO2301"/>
      <c r="DP2301"/>
      <c r="DQ2301"/>
      <c r="DR2301"/>
      <c r="DS2301"/>
      <c r="DT2301"/>
      <c r="DU2301"/>
      <c r="DV2301"/>
      <c r="DW2301"/>
      <c r="DX2301"/>
      <c r="DY2301"/>
      <c r="DZ2301"/>
      <c r="EA2301"/>
      <c r="EB2301"/>
      <c r="EC2301"/>
      <c r="ED2301"/>
      <c r="EE2301"/>
      <c r="EF2301"/>
      <c r="EG2301"/>
      <c r="EH2301"/>
      <c r="EI2301"/>
      <c r="EJ2301"/>
      <c r="EK2301"/>
      <c r="EL2301"/>
      <c r="EM2301"/>
      <c r="EN2301"/>
      <c r="EO2301"/>
      <c r="EP2301"/>
      <c r="EQ2301"/>
      <c r="ER2301"/>
      <c r="ES2301"/>
    </row>
    <row r="2302" spans="1:149">
      <c r="A2302"/>
      <c r="B2302"/>
      <c r="C2302"/>
      <c r="D2302"/>
      <c r="E2302"/>
      <c r="F2302"/>
      <c r="G2302"/>
      <c r="H2302"/>
      <c r="I2302"/>
      <c r="J2302"/>
      <c r="K2302"/>
      <c r="L2302"/>
      <c r="M2302"/>
      <c r="N2302"/>
      <c r="O2302"/>
      <c r="P2302"/>
      <c r="Q2302"/>
      <c r="R2302"/>
      <c r="S2302"/>
      <c r="T2302"/>
      <c r="U2302"/>
      <c r="V2302"/>
      <c r="W2302"/>
      <c r="X2302"/>
      <c r="Y2302"/>
      <c r="Z2302"/>
      <c r="AA2302"/>
      <c r="AB2302"/>
      <c r="AC2302"/>
      <c r="AD2302"/>
      <c r="AE2302"/>
      <c r="AF2302"/>
      <c r="AG2302"/>
      <c r="AH2302"/>
      <c r="AI2302"/>
      <c r="AJ2302"/>
      <c r="AK2302"/>
      <c r="AL2302"/>
      <c r="AM2302"/>
      <c r="AN2302"/>
      <c r="AO2302"/>
      <c r="AP2302"/>
      <c r="AQ2302"/>
      <c r="AR2302"/>
      <c r="AS2302"/>
      <c r="AT2302"/>
      <c r="AU2302"/>
      <c r="AV2302"/>
      <c r="AW2302"/>
      <c r="AX2302"/>
      <c r="AY2302"/>
      <c r="AZ2302"/>
      <c r="BA2302"/>
      <c r="BB2302"/>
      <c r="BC2302"/>
      <c r="BD2302"/>
      <c r="BE2302"/>
      <c r="BF2302"/>
      <c r="BG2302"/>
      <c r="BH2302"/>
      <c r="BI2302"/>
      <c r="BJ2302"/>
      <c r="BK2302"/>
      <c r="BL2302"/>
      <c r="BM2302"/>
      <c r="BN2302"/>
      <c r="BO2302"/>
      <c r="BP2302"/>
      <c r="BQ2302"/>
      <c r="BR2302"/>
      <c r="BS2302"/>
      <c r="BT2302"/>
      <c r="BU2302"/>
      <c r="BV2302"/>
      <c r="BW2302"/>
      <c r="BX2302"/>
      <c r="BY2302"/>
      <c r="BZ2302"/>
      <c r="CA2302"/>
      <c r="CB2302"/>
      <c r="CC2302"/>
      <c r="CD2302"/>
      <c r="CE2302"/>
      <c r="CF2302"/>
      <c r="CG2302"/>
      <c r="CH2302"/>
      <c r="CI2302"/>
      <c r="CJ2302"/>
      <c r="CK2302"/>
      <c r="CL2302"/>
      <c r="CM2302"/>
      <c r="CN2302"/>
      <c r="CO2302"/>
      <c r="CP2302"/>
      <c r="CQ2302"/>
      <c r="CR2302"/>
      <c r="CS2302"/>
      <c r="CT2302"/>
      <c r="CU2302"/>
      <c r="CV2302"/>
      <c r="CW2302"/>
      <c r="CX2302"/>
      <c r="CY2302"/>
      <c r="CZ2302"/>
      <c r="DA2302"/>
      <c r="DB2302"/>
      <c r="DC2302"/>
      <c r="DD2302"/>
      <c r="DE2302"/>
      <c r="DF2302"/>
      <c r="DG2302"/>
      <c r="DH2302"/>
      <c r="DI2302"/>
      <c r="DJ2302"/>
      <c r="DK2302"/>
      <c r="DL2302"/>
      <c r="DM2302"/>
      <c r="DN2302"/>
      <c r="DO2302"/>
      <c r="DP2302"/>
      <c r="DQ2302"/>
      <c r="DR2302"/>
      <c r="DS2302"/>
      <c r="DT2302"/>
      <c r="DU2302"/>
      <c r="DV2302"/>
      <c r="DW2302"/>
      <c r="DX2302"/>
      <c r="DY2302"/>
      <c r="DZ2302"/>
      <c r="EA2302"/>
      <c r="EB2302"/>
      <c r="EC2302"/>
      <c r="ED2302"/>
      <c r="EE2302"/>
      <c r="EF2302"/>
      <c r="EG2302"/>
      <c r="EH2302"/>
      <c r="EI2302"/>
      <c r="EJ2302"/>
      <c r="EK2302"/>
      <c r="EL2302"/>
      <c r="EM2302"/>
      <c r="EN2302"/>
      <c r="EO2302"/>
      <c r="EP2302"/>
      <c r="EQ2302"/>
      <c r="ER2302"/>
      <c r="ES2302"/>
    </row>
    <row r="2303" spans="1:149">
      <c r="A2303"/>
      <c r="B2303"/>
      <c r="C2303"/>
      <c r="D2303"/>
      <c r="E2303"/>
      <c r="F2303"/>
      <c r="G2303"/>
      <c r="H2303"/>
      <c r="I2303"/>
      <c r="J2303"/>
      <c r="K2303"/>
      <c r="L2303"/>
      <c r="M2303"/>
      <c r="N2303"/>
      <c r="O2303"/>
      <c r="P2303"/>
      <c r="Q2303"/>
      <c r="R2303"/>
      <c r="S2303"/>
      <c r="T2303"/>
      <c r="U2303"/>
      <c r="V2303"/>
      <c r="W2303"/>
      <c r="X2303"/>
      <c r="Y2303"/>
      <c r="Z2303"/>
      <c r="AA2303"/>
      <c r="AB2303"/>
      <c r="AC2303"/>
      <c r="AD2303"/>
      <c r="AE2303"/>
      <c r="AF2303"/>
      <c r="AG2303"/>
      <c r="AH2303"/>
      <c r="AI2303"/>
      <c r="AJ2303"/>
      <c r="AK2303"/>
      <c r="AL2303"/>
      <c r="AM2303"/>
      <c r="AN2303"/>
      <c r="AO2303"/>
      <c r="AP2303"/>
      <c r="AQ2303"/>
      <c r="AR2303"/>
      <c r="AS2303"/>
      <c r="AT2303"/>
      <c r="AU2303"/>
      <c r="AV2303"/>
      <c r="AW2303"/>
      <c r="AX2303"/>
      <c r="AY2303"/>
      <c r="AZ2303"/>
      <c r="BA2303"/>
      <c r="BB2303"/>
      <c r="BC2303"/>
      <c r="BD2303"/>
      <c r="BE2303"/>
      <c r="BF2303"/>
      <c r="BG2303"/>
      <c r="BH2303"/>
      <c r="BI2303"/>
      <c r="BJ2303"/>
      <c r="BK2303"/>
      <c r="BL2303"/>
      <c r="BM2303"/>
      <c r="BN2303"/>
      <c r="BO2303"/>
      <c r="BP2303"/>
      <c r="BQ2303"/>
      <c r="BR2303"/>
      <c r="BS2303"/>
      <c r="BT2303"/>
      <c r="BU2303"/>
      <c r="BV2303"/>
      <c r="BW2303"/>
      <c r="BX2303"/>
      <c r="BY2303"/>
      <c r="BZ2303"/>
      <c r="CA2303"/>
      <c r="CB2303"/>
      <c r="CC2303"/>
      <c r="CD2303"/>
      <c r="CE2303"/>
      <c r="CF2303"/>
      <c r="CG2303"/>
      <c r="CH2303"/>
      <c r="CI2303"/>
      <c r="CJ2303"/>
      <c r="CK2303"/>
      <c r="CL2303"/>
      <c r="CM2303"/>
      <c r="CN2303"/>
      <c r="CO2303"/>
      <c r="CP2303"/>
      <c r="CQ2303"/>
      <c r="CR2303"/>
      <c r="CS2303"/>
      <c r="CT2303"/>
      <c r="CU2303"/>
      <c r="CV2303"/>
      <c r="CW2303"/>
      <c r="CX2303"/>
      <c r="CY2303"/>
      <c r="CZ2303"/>
      <c r="DA2303"/>
      <c r="DB2303"/>
      <c r="DC2303"/>
      <c r="DD2303"/>
      <c r="DE2303"/>
      <c r="DF2303"/>
      <c r="DG2303"/>
      <c r="DH2303"/>
      <c r="DI2303"/>
      <c r="DJ2303"/>
      <c r="DK2303"/>
      <c r="DL2303"/>
      <c r="DM2303"/>
      <c r="DN2303"/>
      <c r="DO2303"/>
      <c r="DP2303"/>
      <c r="DQ2303"/>
      <c r="DR2303"/>
      <c r="DS2303"/>
      <c r="DT2303"/>
      <c r="DU2303"/>
      <c r="DV2303"/>
      <c r="DW2303"/>
      <c r="DX2303"/>
      <c r="DY2303"/>
      <c r="DZ2303"/>
      <c r="EA2303"/>
      <c r="EB2303"/>
      <c r="EC2303"/>
      <c r="ED2303"/>
      <c r="EE2303"/>
      <c r="EF2303"/>
      <c r="EG2303"/>
      <c r="EH2303"/>
      <c r="EI2303"/>
      <c r="EJ2303"/>
      <c r="EK2303"/>
      <c r="EL2303"/>
      <c r="EM2303"/>
      <c r="EN2303"/>
      <c r="EO2303"/>
      <c r="EP2303"/>
      <c r="EQ2303"/>
      <c r="ER2303"/>
      <c r="ES2303"/>
    </row>
    <row r="2304" spans="1:149">
      <c r="A2304"/>
      <c r="B2304"/>
      <c r="C2304"/>
      <c r="D2304"/>
      <c r="E2304"/>
      <c r="F2304"/>
      <c r="G2304"/>
      <c r="H2304"/>
      <c r="I2304"/>
      <c r="J2304"/>
      <c r="K2304"/>
      <c r="L2304"/>
      <c r="M2304"/>
      <c r="N2304"/>
      <c r="O2304"/>
      <c r="P2304"/>
      <c r="Q2304"/>
      <c r="R2304"/>
      <c r="S2304"/>
      <c r="T2304"/>
      <c r="U2304"/>
      <c r="V2304"/>
      <c r="W2304"/>
      <c r="X2304"/>
      <c r="Y2304"/>
      <c r="Z2304"/>
      <c r="AA2304"/>
      <c r="AB2304"/>
      <c r="AC2304"/>
      <c r="AD2304"/>
      <c r="AE2304"/>
      <c r="AF2304"/>
      <c r="AG2304"/>
      <c r="AH2304"/>
      <c r="AI2304"/>
      <c r="AJ2304"/>
      <c r="AK2304"/>
      <c r="AL2304"/>
      <c r="AM2304"/>
      <c r="AN2304"/>
      <c r="AO2304"/>
      <c r="AP2304"/>
      <c r="AQ2304"/>
      <c r="AR2304"/>
      <c r="AS2304"/>
      <c r="AT2304"/>
      <c r="AU2304"/>
      <c r="AV2304"/>
      <c r="AW2304"/>
      <c r="AX2304"/>
      <c r="AY2304"/>
      <c r="AZ2304"/>
      <c r="BA2304"/>
      <c r="BB2304"/>
      <c r="BC2304"/>
      <c r="BD2304"/>
      <c r="BE2304"/>
      <c r="BF2304"/>
      <c r="BG2304"/>
      <c r="BH2304"/>
      <c r="BI2304"/>
      <c r="BJ2304"/>
      <c r="BK2304"/>
      <c r="BL2304"/>
      <c r="BM2304"/>
      <c r="BN2304"/>
      <c r="BO2304"/>
      <c r="BP2304"/>
      <c r="BQ2304"/>
      <c r="BR2304"/>
      <c r="BS2304"/>
      <c r="BT2304"/>
      <c r="BU2304"/>
      <c r="BV2304"/>
      <c r="BW2304"/>
      <c r="BX2304"/>
      <c r="BY2304"/>
      <c r="BZ2304"/>
      <c r="CA2304"/>
      <c r="CB2304"/>
      <c r="CC2304"/>
      <c r="CD2304"/>
      <c r="CE2304"/>
      <c r="CF2304"/>
      <c r="CG2304"/>
      <c r="CH2304"/>
      <c r="CI2304"/>
      <c r="CJ2304"/>
      <c r="CK2304"/>
      <c r="CL2304"/>
      <c r="CM2304"/>
      <c r="CN2304"/>
      <c r="CO2304"/>
      <c r="CP2304"/>
      <c r="CQ2304"/>
      <c r="CR2304"/>
      <c r="CS2304"/>
      <c r="CT2304"/>
      <c r="CU2304"/>
      <c r="CV2304"/>
      <c r="CW2304"/>
      <c r="CX2304"/>
      <c r="CY2304"/>
      <c r="CZ2304"/>
      <c r="DA2304"/>
      <c r="DB2304"/>
      <c r="DC2304"/>
      <c r="DD2304"/>
      <c r="DE2304"/>
      <c r="DF2304"/>
      <c r="DG2304"/>
      <c r="DH2304"/>
      <c r="DI2304"/>
      <c r="DJ2304"/>
      <c r="DK2304"/>
      <c r="DL2304"/>
      <c r="DM2304"/>
      <c r="DN2304"/>
      <c r="DO2304"/>
      <c r="DP2304"/>
      <c r="DQ2304"/>
      <c r="DR2304"/>
      <c r="DS2304"/>
      <c r="DT2304"/>
      <c r="DU2304"/>
      <c r="DV2304"/>
      <c r="DW2304"/>
      <c r="DX2304"/>
      <c r="DY2304"/>
      <c r="DZ2304"/>
      <c r="EA2304"/>
      <c r="EB2304"/>
      <c r="EC2304"/>
      <c r="ED2304"/>
      <c r="EE2304"/>
      <c r="EF2304"/>
      <c r="EG2304"/>
      <c r="EH2304"/>
      <c r="EI2304"/>
      <c r="EJ2304"/>
      <c r="EK2304"/>
      <c r="EL2304"/>
      <c r="EM2304"/>
      <c r="EN2304"/>
      <c r="EO2304"/>
      <c r="EP2304"/>
      <c r="EQ2304"/>
      <c r="ER2304"/>
      <c r="ES2304"/>
    </row>
    <row r="2305" spans="1:149">
      <c r="A2305"/>
      <c r="B2305"/>
      <c r="C2305"/>
      <c r="D2305"/>
      <c r="E2305"/>
      <c r="F2305"/>
      <c r="G2305"/>
      <c r="H2305"/>
      <c r="I2305"/>
      <c r="J2305"/>
      <c r="K2305"/>
      <c r="L2305"/>
      <c r="M2305"/>
      <c r="N2305"/>
      <c r="O2305"/>
      <c r="P2305"/>
      <c r="Q2305"/>
      <c r="R2305"/>
      <c r="S2305"/>
      <c r="T2305"/>
      <c r="U2305"/>
      <c r="V2305"/>
      <c r="W2305"/>
      <c r="X2305"/>
      <c r="Y2305"/>
      <c r="Z2305"/>
      <c r="AA2305"/>
      <c r="AB2305"/>
      <c r="AC2305"/>
      <c r="AD2305"/>
      <c r="AE2305"/>
      <c r="AF2305"/>
      <c r="AG2305"/>
      <c r="AH2305"/>
      <c r="AI2305"/>
      <c r="AJ2305"/>
      <c r="AK2305"/>
      <c r="AL2305"/>
      <c r="AM2305"/>
      <c r="AN2305"/>
      <c r="AO2305"/>
      <c r="AP2305"/>
      <c r="AQ2305"/>
      <c r="AR2305"/>
      <c r="AS2305"/>
      <c r="AT2305"/>
      <c r="AU2305"/>
      <c r="AV2305"/>
      <c r="AW2305"/>
      <c r="AX2305"/>
      <c r="AY2305"/>
      <c r="AZ2305"/>
      <c r="BA2305"/>
      <c r="BB2305"/>
      <c r="BC2305"/>
      <c r="BD2305"/>
      <c r="BE2305"/>
      <c r="BF2305"/>
      <c r="BG2305"/>
      <c r="BH2305"/>
      <c r="BI2305"/>
      <c r="BJ2305"/>
      <c r="BK2305"/>
      <c r="BL2305"/>
      <c r="BM2305"/>
      <c r="BN2305"/>
      <c r="BO2305"/>
      <c r="BP2305"/>
      <c r="BQ2305"/>
      <c r="BR2305"/>
      <c r="BS2305"/>
      <c r="BT2305"/>
      <c r="BU2305"/>
      <c r="BV2305"/>
      <c r="BW2305"/>
      <c r="BX2305"/>
      <c r="BY2305"/>
      <c r="BZ2305"/>
      <c r="CA2305"/>
      <c r="CB2305"/>
      <c r="CC2305"/>
      <c r="CD2305"/>
      <c r="CE2305"/>
      <c r="CF2305"/>
      <c r="CG2305"/>
      <c r="CH2305"/>
      <c r="CI2305"/>
      <c r="CJ2305"/>
      <c r="CK2305"/>
      <c r="CL2305"/>
      <c r="CM2305"/>
      <c r="CN2305"/>
      <c r="CO2305"/>
      <c r="CP2305"/>
      <c r="CQ2305"/>
      <c r="CR2305"/>
      <c r="CS2305"/>
      <c r="CT2305"/>
      <c r="CU2305"/>
      <c r="CV2305"/>
      <c r="CW2305"/>
      <c r="CX2305"/>
      <c r="CY2305"/>
      <c r="CZ2305"/>
      <c r="DA2305"/>
      <c r="DB2305"/>
      <c r="DC2305"/>
      <c r="DD2305"/>
      <c r="DE2305"/>
      <c r="DF2305"/>
      <c r="DG2305"/>
      <c r="DH2305"/>
      <c r="DI2305"/>
      <c r="DJ2305"/>
      <c r="DK2305"/>
      <c r="DL2305"/>
      <c r="DM2305"/>
      <c r="DN2305"/>
      <c r="DO2305"/>
      <c r="DP2305"/>
      <c r="DQ2305"/>
      <c r="DR2305"/>
      <c r="DS2305"/>
      <c r="DT2305"/>
      <c r="DU2305"/>
      <c r="DV2305"/>
      <c r="DW2305"/>
      <c r="DX2305"/>
      <c r="DY2305"/>
      <c r="DZ2305"/>
      <c r="EA2305"/>
      <c r="EB2305"/>
      <c r="EC2305"/>
      <c r="ED2305"/>
      <c r="EE2305"/>
      <c r="EF2305"/>
      <c r="EG2305"/>
      <c r="EH2305"/>
      <c r="EI2305"/>
      <c r="EJ2305"/>
      <c r="EK2305"/>
      <c r="EL2305"/>
      <c r="EM2305"/>
      <c r="EN2305"/>
      <c r="EO2305"/>
      <c r="EP2305"/>
      <c r="EQ2305"/>
      <c r="ER2305"/>
      <c r="ES2305"/>
    </row>
    <row r="2306" spans="1:149">
      <c r="A2306"/>
      <c r="B2306"/>
      <c r="C2306"/>
      <c r="D2306"/>
      <c r="E2306"/>
      <c r="F2306"/>
      <c r="G2306"/>
      <c r="H2306"/>
      <c r="I2306"/>
      <c r="J2306"/>
      <c r="K2306"/>
      <c r="L2306"/>
      <c r="M2306"/>
      <c r="N2306"/>
      <c r="O2306"/>
      <c r="P2306"/>
      <c r="Q2306"/>
      <c r="R2306"/>
      <c r="S2306"/>
      <c r="T2306"/>
      <c r="U2306"/>
      <c r="V2306"/>
      <c r="W2306"/>
      <c r="X2306"/>
      <c r="Y2306"/>
      <c r="Z2306"/>
      <c r="AA2306"/>
      <c r="AB2306"/>
      <c r="AC2306"/>
      <c r="AD2306"/>
      <c r="AE2306"/>
      <c r="AF2306"/>
      <c r="AG2306"/>
      <c r="AH2306"/>
      <c r="AI2306"/>
      <c r="AJ2306"/>
      <c r="AK2306"/>
      <c r="AL2306"/>
      <c r="AM2306"/>
      <c r="AN2306"/>
      <c r="AO2306"/>
      <c r="AP2306"/>
      <c r="AQ2306"/>
      <c r="AR2306"/>
      <c r="AS2306"/>
      <c r="AT2306"/>
      <c r="AU2306"/>
      <c r="AV2306"/>
      <c r="AW2306"/>
      <c r="AX2306"/>
      <c r="AY2306"/>
      <c r="AZ2306"/>
      <c r="BA2306"/>
      <c r="BB2306"/>
      <c r="BC2306"/>
      <c r="BD2306"/>
      <c r="BE2306"/>
      <c r="BF2306"/>
      <c r="BG2306"/>
      <c r="BH2306"/>
      <c r="BI2306"/>
      <c r="BJ2306"/>
      <c r="BK2306"/>
      <c r="BL2306"/>
      <c r="BM2306"/>
      <c r="BN2306"/>
      <c r="BO2306"/>
      <c r="BP2306"/>
      <c r="BQ2306"/>
      <c r="BR2306"/>
      <c r="BS2306"/>
      <c r="BT2306"/>
      <c r="BU2306"/>
      <c r="BV2306"/>
      <c r="BW2306"/>
      <c r="BX2306"/>
      <c r="BY2306"/>
      <c r="BZ2306"/>
      <c r="CA2306"/>
      <c r="CB2306"/>
      <c r="CC2306"/>
      <c r="CD2306"/>
      <c r="CE2306"/>
      <c r="CF2306"/>
      <c r="CG2306"/>
      <c r="CH2306"/>
      <c r="CI2306"/>
      <c r="CJ2306"/>
      <c r="CK2306"/>
      <c r="CL2306"/>
      <c r="CM2306"/>
      <c r="CN2306"/>
      <c r="CO2306"/>
      <c r="CP2306"/>
      <c r="CQ2306"/>
      <c r="CR2306"/>
      <c r="CS2306"/>
      <c r="CT2306"/>
      <c r="CU2306"/>
      <c r="CV2306"/>
      <c r="CW2306"/>
      <c r="CX2306"/>
      <c r="CY2306"/>
      <c r="CZ2306"/>
      <c r="DA2306"/>
      <c r="DB2306"/>
      <c r="DC2306"/>
      <c r="DD2306"/>
      <c r="DE2306"/>
      <c r="DF2306"/>
      <c r="DG2306"/>
      <c r="DH2306"/>
      <c r="DI2306"/>
      <c r="DJ2306"/>
      <c r="DK2306"/>
      <c r="DL2306"/>
      <c r="DM2306"/>
      <c r="DN2306"/>
      <c r="DO2306"/>
      <c r="DP2306"/>
      <c r="DQ2306"/>
      <c r="DR2306"/>
      <c r="DS2306"/>
      <c r="DT2306"/>
      <c r="DU2306"/>
      <c r="DV2306"/>
      <c r="DW2306"/>
      <c r="DX2306"/>
      <c r="DY2306"/>
      <c r="DZ2306"/>
      <c r="EA2306"/>
      <c r="EB2306"/>
      <c r="EC2306"/>
      <c r="ED2306"/>
      <c r="EE2306"/>
      <c r="EF2306"/>
      <c r="EG2306"/>
      <c r="EH2306"/>
      <c r="EI2306"/>
      <c r="EJ2306"/>
      <c r="EK2306"/>
      <c r="EL2306"/>
      <c r="EM2306"/>
      <c r="EN2306"/>
      <c r="EO2306"/>
      <c r="EP2306"/>
      <c r="EQ2306"/>
      <c r="ER2306"/>
      <c r="ES2306"/>
    </row>
    <row r="2307" spans="1:149">
      <c r="A2307"/>
      <c r="B2307"/>
      <c r="C2307"/>
      <c r="D2307"/>
      <c r="E2307"/>
      <c r="F2307"/>
      <c r="G2307"/>
      <c r="H2307"/>
      <c r="I2307"/>
      <c r="J2307"/>
      <c r="K2307"/>
      <c r="L2307"/>
      <c r="M2307"/>
      <c r="N2307"/>
      <c r="O2307"/>
      <c r="P2307"/>
      <c r="Q2307"/>
      <c r="R2307"/>
      <c r="S2307"/>
      <c r="T2307"/>
      <c r="U2307"/>
      <c r="V2307"/>
      <c r="W2307"/>
      <c r="X2307"/>
      <c r="Y2307"/>
      <c r="Z2307"/>
      <c r="AA2307"/>
      <c r="AB2307"/>
      <c r="AC2307"/>
      <c r="AD2307"/>
      <c r="AE2307"/>
      <c r="AF2307"/>
      <c r="AG2307"/>
      <c r="AH2307"/>
      <c r="AI2307"/>
      <c r="AJ2307"/>
      <c r="AK2307"/>
      <c r="AL2307"/>
      <c r="AM2307"/>
      <c r="AN2307"/>
      <c r="AO2307"/>
      <c r="AP2307"/>
      <c r="AQ2307"/>
      <c r="AR2307"/>
      <c r="AS2307"/>
      <c r="AT2307"/>
      <c r="AU2307"/>
      <c r="AV2307"/>
      <c r="AW2307"/>
      <c r="AX2307"/>
      <c r="AY2307"/>
      <c r="AZ2307"/>
      <c r="BA2307"/>
      <c r="BB2307"/>
      <c r="BC2307"/>
      <c r="BD2307"/>
      <c r="BE2307"/>
      <c r="BF2307"/>
      <c r="BG2307"/>
      <c r="BH2307"/>
      <c r="BI2307"/>
      <c r="BJ2307"/>
      <c r="BK2307"/>
      <c r="BL2307"/>
      <c r="BM2307"/>
      <c r="BN2307"/>
      <c r="BO2307"/>
      <c r="BP2307"/>
      <c r="BQ2307"/>
      <c r="BR2307"/>
      <c r="BS2307"/>
      <c r="BT2307"/>
      <c r="BU2307"/>
      <c r="BV2307"/>
      <c r="BW2307"/>
      <c r="BX2307"/>
      <c r="BY2307"/>
      <c r="BZ2307"/>
      <c r="CA2307"/>
      <c r="CB2307"/>
      <c r="CC2307"/>
      <c r="CD2307"/>
      <c r="CE2307"/>
      <c r="CF2307"/>
      <c r="CG2307"/>
      <c r="CH2307"/>
      <c r="CI2307"/>
      <c r="CJ2307"/>
      <c r="CK2307"/>
      <c r="CL2307"/>
      <c r="CM2307"/>
      <c r="CN2307"/>
      <c r="CO2307"/>
      <c r="CP2307"/>
      <c r="CQ2307"/>
      <c r="CR2307"/>
      <c r="CS2307"/>
      <c r="CT2307"/>
      <c r="CU2307"/>
      <c r="CV2307"/>
      <c r="CW2307"/>
      <c r="CX2307"/>
      <c r="CY2307"/>
      <c r="CZ2307"/>
      <c r="DA2307"/>
      <c r="DB2307"/>
      <c r="DC2307"/>
      <c r="DD2307"/>
      <c r="DE2307"/>
      <c r="DF2307"/>
      <c r="DG2307"/>
      <c r="DH2307"/>
      <c r="DI2307"/>
      <c r="DJ2307"/>
      <c r="DK2307"/>
      <c r="DL2307"/>
      <c r="DM2307"/>
      <c r="DN2307"/>
      <c r="DO2307"/>
      <c r="DP2307"/>
      <c r="DQ2307"/>
      <c r="DR2307"/>
      <c r="DS2307"/>
      <c r="DT2307"/>
      <c r="DU2307"/>
      <c r="DV2307"/>
      <c r="DW2307"/>
      <c r="DX2307"/>
      <c r="DY2307"/>
      <c r="DZ2307"/>
      <c r="EA2307"/>
      <c r="EB2307"/>
      <c r="EC2307"/>
      <c r="ED2307"/>
      <c r="EE2307"/>
      <c r="EF2307"/>
      <c r="EG2307"/>
      <c r="EH2307"/>
      <c r="EI2307"/>
      <c r="EJ2307"/>
      <c r="EK2307"/>
      <c r="EL2307"/>
      <c r="EM2307"/>
      <c r="EN2307"/>
      <c r="EO2307"/>
      <c r="EP2307"/>
      <c r="EQ2307"/>
      <c r="ER2307"/>
      <c r="ES2307"/>
    </row>
    <row r="2308" spans="1:149">
      <c r="A2308"/>
      <c r="B2308"/>
      <c r="C2308"/>
      <c r="D2308"/>
      <c r="E2308"/>
      <c r="F2308"/>
      <c r="G2308"/>
      <c r="H2308"/>
      <c r="I2308"/>
      <c r="J2308"/>
      <c r="K2308"/>
      <c r="L2308"/>
      <c r="M2308"/>
      <c r="N2308"/>
      <c r="O2308"/>
      <c r="P2308"/>
      <c r="Q2308"/>
      <c r="R2308"/>
      <c r="S2308"/>
      <c r="T2308"/>
      <c r="U2308"/>
      <c r="V2308"/>
      <c r="W2308"/>
      <c r="X2308"/>
      <c r="Y2308"/>
      <c r="Z2308"/>
      <c r="AA2308"/>
      <c r="AB2308"/>
      <c r="AC2308"/>
      <c r="AD2308"/>
      <c r="AE2308"/>
      <c r="AF2308"/>
      <c r="AG2308"/>
      <c r="AH2308"/>
      <c r="AI2308"/>
      <c r="AJ2308"/>
      <c r="AK2308"/>
      <c r="AL2308"/>
      <c r="AM2308"/>
      <c r="AN2308"/>
      <c r="AO2308"/>
      <c r="AP2308"/>
      <c r="AQ2308"/>
      <c r="AR2308"/>
      <c r="AS2308"/>
      <c r="AT2308"/>
      <c r="AU2308"/>
      <c r="AV2308"/>
      <c r="AW2308"/>
      <c r="AX2308"/>
      <c r="AY2308"/>
      <c r="AZ2308"/>
      <c r="BA2308"/>
      <c r="BB2308"/>
      <c r="BC2308"/>
      <c r="BD2308"/>
      <c r="BE2308"/>
      <c r="BF2308"/>
      <c r="BG2308"/>
      <c r="BH2308"/>
      <c r="BI2308"/>
      <c r="BJ2308"/>
      <c r="BK2308"/>
      <c r="BL2308"/>
      <c r="BM2308"/>
      <c r="BN2308"/>
      <c r="BO2308"/>
      <c r="BP2308"/>
      <c r="BQ2308"/>
      <c r="BR2308"/>
      <c r="BS2308"/>
      <c r="BT2308"/>
      <c r="BU2308"/>
      <c r="BV2308"/>
      <c r="BW2308"/>
      <c r="BX2308"/>
      <c r="BY2308"/>
      <c r="BZ2308"/>
      <c r="CA2308"/>
      <c r="CB2308"/>
      <c r="CC2308"/>
      <c r="CD2308"/>
      <c r="CE2308"/>
      <c r="CF2308"/>
      <c r="CG2308"/>
      <c r="CH2308"/>
      <c r="CI2308"/>
      <c r="CJ2308"/>
      <c r="CK2308"/>
      <c r="CL2308"/>
      <c r="CM2308"/>
      <c r="CN2308"/>
      <c r="CO2308"/>
      <c r="CP2308"/>
      <c r="CQ2308"/>
      <c r="CR2308"/>
      <c r="CS2308"/>
      <c r="CT2308"/>
      <c r="CU2308"/>
      <c r="CV2308"/>
      <c r="CW2308"/>
      <c r="CX2308"/>
      <c r="CY2308"/>
      <c r="CZ2308"/>
      <c r="DA2308"/>
      <c r="DB2308"/>
      <c r="DC2308"/>
      <c r="DD2308"/>
      <c r="DE2308"/>
      <c r="DF2308"/>
      <c r="DG2308"/>
      <c r="DH2308"/>
      <c r="DI2308"/>
      <c r="DJ2308"/>
      <c r="DK2308"/>
      <c r="DL2308"/>
      <c r="DM2308"/>
      <c r="DN2308"/>
      <c r="DO2308"/>
      <c r="DP2308"/>
      <c r="DQ2308"/>
      <c r="DR2308"/>
      <c r="DS2308"/>
      <c r="DT2308"/>
      <c r="DU2308"/>
      <c r="DV2308"/>
      <c r="DW2308"/>
      <c r="DX2308"/>
      <c r="DY2308"/>
      <c r="DZ2308"/>
      <c r="EA2308"/>
      <c r="EB2308"/>
      <c r="EC2308"/>
      <c r="ED2308"/>
      <c r="EE2308"/>
      <c r="EF2308"/>
      <c r="EG2308"/>
      <c r="EH2308"/>
      <c r="EI2308"/>
      <c r="EJ2308"/>
      <c r="EK2308"/>
      <c r="EL2308"/>
      <c r="EM2308"/>
      <c r="EN2308"/>
      <c r="EO2308"/>
      <c r="EP2308"/>
      <c r="EQ2308"/>
      <c r="ER2308"/>
      <c r="ES2308"/>
    </row>
    <row r="2309" spans="1:149">
      <c r="A2309"/>
      <c r="B2309"/>
      <c r="C2309"/>
      <c r="D2309"/>
      <c r="E2309"/>
      <c r="F2309"/>
      <c r="G2309"/>
      <c r="H2309"/>
      <c r="I2309"/>
      <c r="J2309"/>
      <c r="K2309"/>
      <c r="L2309"/>
      <c r="M2309"/>
      <c r="N2309"/>
      <c r="O2309"/>
      <c r="P2309"/>
      <c r="Q2309"/>
      <c r="R2309"/>
      <c r="S2309"/>
      <c r="T2309"/>
      <c r="U2309"/>
      <c r="V2309"/>
      <c r="W2309"/>
      <c r="X2309"/>
      <c r="Y2309"/>
      <c r="Z2309"/>
      <c r="AA2309"/>
      <c r="AB2309"/>
      <c r="AC2309"/>
      <c r="AD2309"/>
      <c r="AE2309"/>
      <c r="AF2309"/>
      <c r="AG2309"/>
      <c r="AH2309"/>
      <c r="AI2309"/>
      <c r="AJ2309"/>
      <c r="AK2309"/>
      <c r="AL2309"/>
      <c r="AM2309"/>
      <c r="AN2309"/>
      <c r="AO2309"/>
      <c r="AP2309"/>
      <c r="AQ2309"/>
      <c r="AR2309"/>
      <c r="AS2309"/>
      <c r="AT2309"/>
      <c r="AU2309"/>
      <c r="AV2309"/>
      <c r="AW2309"/>
      <c r="AX2309"/>
      <c r="AY2309"/>
      <c r="AZ2309"/>
      <c r="BA2309"/>
      <c r="BB2309"/>
      <c r="BC2309"/>
      <c r="BD2309"/>
      <c r="BE2309"/>
      <c r="BF2309"/>
      <c r="BG2309"/>
      <c r="BH2309"/>
      <c r="BI2309"/>
      <c r="BJ2309"/>
      <c r="BK2309"/>
      <c r="BL2309"/>
      <c r="BM2309"/>
      <c r="BN2309"/>
      <c r="BO2309"/>
      <c r="BP2309"/>
      <c r="BQ2309"/>
      <c r="BR2309"/>
      <c r="BS2309"/>
      <c r="BT2309"/>
      <c r="BU2309"/>
      <c r="BV2309"/>
      <c r="BW2309"/>
      <c r="BX2309"/>
      <c r="BY2309"/>
      <c r="BZ2309"/>
      <c r="CA2309"/>
      <c r="CB2309"/>
      <c r="CC2309"/>
      <c r="CD2309"/>
      <c r="CE2309"/>
      <c r="CF2309"/>
      <c r="CG2309"/>
      <c r="CH2309"/>
      <c r="CI2309"/>
      <c r="CJ2309"/>
      <c r="CK2309"/>
      <c r="CL2309"/>
      <c r="CM2309"/>
      <c r="CN2309"/>
      <c r="CO2309"/>
      <c r="CP2309"/>
      <c r="CQ2309"/>
      <c r="CR2309"/>
      <c r="CS2309"/>
      <c r="CT2309"/>
      <c r="CU2309"/>
      <c r="CV2309"/>
      <c r="CW2309"/>
      <c r="CX2309"/>
      <c r="CY2309"/>
      <c r="CZ2309"/>
      <c r="DA2309"/>
      <c r="DB2309"/>
      <c r="DC2309"/>
      <c r="DD2309"/>
      <c r="DE2309"/>
      <c r="DF2309"/>
      <c r="DG2309"/>
      <c r="DH2309"/>
      <c r="DI2309"/>
      <c r="DJ2309"/>
      <c r="DK2309"/>
      <c r="DL2309"/>
      <c r="DM2309"/>
      <c r="DN2309"/>
      <c r="DO2309"/>
      <c r="DP2309"/>
      <c r="DQ2309"/>
      <c r="DR2309"/>
      <c r="DS2309"/>
      <c r="DT2309"/>
      <c r="DU2309"/>
      <c r="DV2309"/>
      <c r="DW2309"/>
      <c r="DX2309"/>
      <c r="DY2309"/>
      <c r="DZ2309"/>
      <c r="EA2309"/>
      <c r="EB2309"/>
      <c r="EC2309"/>
      <c r="ED2309"/>
      <c r="EE2309"/>
      <c r="EF2309"/>
      <c r="EG2309"/>
      <c r="EH2309"/>
      <c r="EI2309"/>
      <c r="EJ2309"/>
      <c r="EK2309"/>
      <c r="EL2309"/>
      <c r="EM2309"/>
      <c r="EN2309"/>
      <c r="EO2309"/>
      <c r="EP2309"/>
      <c r="EQ2309"/>
      <c r="ER2309"/>
      <c r="ES2309"/>
    </row>
    <row r="2310" spans="1:149">
      <c r="A2310"/>
      <c r="B2310"/>
      <c r="C2310"/>
      <c r="D2310"/>
      <c r="E2310"/>
      <c r="F2310"/>
      <c r="G2310"/>
      <c r="H2310"/>
      <c r="I2310"/>
      <c r="J2310"/>
      <c r="K2310"/>
      <c r="L2310"/>
      <c r="M2310"/>
      <c r="N2310"/>
      <c r="O2310"/>
      <c r="P2310"/>
      <c r="Q2310"/>
      <c r="R2310"/>
      <c r="S2310"/>
      <c r="T2310"/>
      <c r="U2310"/>
      <c r="V2310"/>
      <c r="W2310"/>
      <c r="X2310"/>
      <c r="Y2310"/>
      <c r="Z2310"/>
      <c r="AA2310"/>
      <c r="AB2310"/>
      <c r="AC2310"/>
      <c r="AD2310"/>
      <c r="AE2310"/>
      <c r="AF2310"/>
      <c r="AG2310"/>
      <c r="AH2310"/>
      <c r="AI2310"/>
      <c r="AJ2310"/>
      <c r="AK2310"/>
      <c r="AL2310"/>
      <c r="AM2310"/>
      <c r="AN2310"/>
      <c r="AO2310"/>
      <c r="AP2310"/>
      <c r="AQ2310"/>
      <c r="AR2310"/>
      <c r="AS2310"/>
      <c r="AT2310"/>
      <c r="AU2310"/>
      <c r="AV2310"/>
      <c r="AW2310"/>
      <c r="AX2310"/>
      <c r="AY2310"/>
      <c r="AZ2310"/>
      <c r="BA2310"/>
      <c r="BB2310"/>
      <c r="BC2310"/>
      <c r="BD2310"/>
      <c r="BE2310"/>
      <c r="BF2310"/>
      <c r="BG2310"/>
      <c r="BH2310"/>
      <c r="BI2310"/>
      <c r="BJ2310"/>
      <c r="BK2310"/>
      <c r="BL2310"/>
      <c r="BM2310"/>
      <c r="BN2310"/>
      <c r="BO2310"/>
      <c r="BP2310"/>
      <c r="BQ2310"/>
      <c r="BR2310"/>
      <c r="BS2310"/>
      <c r="BT2310"/>
      <c r="BU2310"/>
      <c r="BV2310"/>
      <c r="BW2310"/>
      <c r="BX2310"/>
      <c r="BY2310"/>
      <c r="BZ2310"/>
      <c r="CA2310"/>
      <c r="CB2310"/>
      <c r="CC2310"/>
      <c r="CD2310"/>
      <c r="CE2310"/>
      <c r="CF2310"/>
      <c r="CG2310"/>
      <c r="CH2310"/>
      <c r="CI2310"/>
      <c r="CJ2310"/>
      <c r="CK2310"/>
      <c r="CL2310"/>
      <c r="CM2310"/>
      <c r="CN2310"/>
      <c r="CO2310"/>
      <c r="CP2310"/>
      <c r="CQ2310"/>
      <c r="CR2310"/>
      <c r="CS2310"/>
      <c r="CT2310"/>
      <c r="CU2310"/>
      <c r="CV2310"/>
      <c r="CW2310"/>
      <c r="CX2310"/>
      <c r="CY2310"/>
      <c r="CZ2310"/>
      <c r="DA2310"/>
      <c r="DB2310"/>
      <c r="DC2310"/>
      <c r="DD2310"/>
      <c r="DE2310"/>
      <c r="DF2310"/>
      <c r="DG2310"/>
      <c r="DH2310"/>
      <c r="DI2310"/>
      <c r="DJ2310"/>
      <c r="DK2310"/>
      <c r="DL2310"/>
      <c r="DM2310"/>
      <c r="DN2310"/>
      <c r="DO2310"/>
      <c r="DP2310"/>
      <c r="DQ2310"/>
      <c r="DR2310"/>
      <c r="DS2310"/>
      <c r="DT2310"/>
      <c r="DU2310"/>
      <c r="DV2310"/>
      <c r="DW2310"/>
      <c r="DX2310"/>
      <c r="DY2310"/>
      <c r="DZ2310"/>
      <c r="EA2310"/>
      <c r="EB2310"/>
      <c r="EC2310"/>
      <c r="ED2310"/>
      <c r="EE2310"/>
      <c r="EF2310"/>
      <c r="EG2310"/>
      <c r="EH2310"/>
      <c r="EI2310"/>
      <c r="EJ2310"/>
      <c r="EK2310"/>
      <c r="EL2310"/>
      <c r="EM2310"/>
      <c r="EN2310"/>
      <c r="EO2310"/>
      <c r="EP2310"/>
      <c r="EQ2310"/>
      <c r="ER2310"/>
      <c r="ES2310"/>
    </row>
    <row r="2311" spans="1:149">
      <c r="A2311"/>
      <c r="B2311"/>
      <c r="C2311"/>
      <c r="D2311"/>
      <c r="E2311"/>
      <c r="F2311"/>
      <c r="G2311"/>
      <c r="H2311"/>
      <c r="I2311"/>
      <c r="J2311"/>
      <c r="K2311"/>
      <c r="L2311"/>
      <c r="M2311"/>
      <c r="N2311"/>
      <c r="O2311"/>
      <c r="P2311"/>
      <c r="Q2311"/>
      <c r="R2311"/>
      <c r="S2311"/>
      <c r="T2311"/>
      <c r="U2311"/>
      <c r="V2311"/>
      <c r="W2311"/>
      <c r="X2311"/>
      <c r="Y2311"/>
      <c r="Z2311"/>
      <c r="AA2311"/>
      <c r="AB2311"/>
      <c r="AC2311"/>
      <c r="AD2311"/>
      <c r="AE2311"/>
      <c r="AF2311"/>
      <c r="AG2311"/>
      <c r="AH2311"/>
      <c r="AI2311"/>
      <c r="AJ2311"/>
      <c r="AK2311"/>
      <c r="AL2311"/>
      <c r="AM2311"/>
      <c r="AN2311"/>
      <c r="AO2311"/>
      <c r="AP2311"/>
      <c r="AQ2311"/>
      <c r="AR2311"/>
      <c r="AS2311"/>
      <c r="AT2311"/>
      <c r="AU2311"/>
      <c r="AV2311"/>
      <c r="AW2311"/>
      <c r="AX2311"/>
      <c r="AY2311"/>
      <c r="AZ2311"/>
      <c r="BA2311"/>
      <c r="BB2311"/>
      <c r="BC2311"/>
      <c r="BD2311"/>
      <c r="BE2311"/>
      <c r="BF2311"/>
      <c r="BG2311"/>
      <c r="BH2311"/>
      <c r="BI2311"/>
      <c r="BJ2311"/>
      <c r="BK2311"/>
      <c r="BL2311"/>
      <c r="BM2311"/>
      <c r="BN2311"/>
      <c r="BO2311"/>
      <c r="BP2311"/>
      <c r="BQ2311"/>
      <c r="BR2311"/>
      <c r="BS2311"/>
      <c r="BT2311"/>
      <c r="BU2311"/>
      <c r="BV2311"/>
      <c r="BW2311"/>
      <c r="BX2311"/>
      <c r="BY2311"/>
      <c r="BZ2311"/>
      <c r="CA2311"/>
      <c r="CB2311"/>
      <c r="CC2311"/>
      <c r="CD2311"/>
      <c r="CE2311"/>
      <c r="CF2311"/>
      <c r="CG2311"/>
      <c r="CH2311"/>
      <c r="CI2311"/>
      <c r="CJ2311"/>
      <c r="CK2311"/>
      <c r="CL2311"/>
      <c r="CM2311"/>
      <c r="CN2311"/>
      <c r="CO2311"/>
      <c r="CP2311"/>
      <c r="CQ2311"/>
      <c r="CR2311"/>
      <c r="CS2311"/>
      <c r="CT2311"/>
      <c r="CU2311"/>
      <c r="CV2311"/>
      <c r="CW2311"/>
      <c r="CX2311"/>
      <c r="CY2311"/>
      <c r="CZ2311"/>
      <c r="DA2311"/>
      <c r="DB2311"/>
      <c r="DC2311"/>
      <c r="DD2311"/>
      <c r="DE2311"/>
      <c r="DF2311"/>
      <c r="DG2311"/>
      <c r="DH2311"/>
      <c r="DI2311"/>
      <c r="DJ2311"/>
      <c r="DK2311"/>
      <c r="DL2311"/>
      <c r="DM2311"/>
      <c r="DN2311"/>
      <c r="DO2311"/>
      <c r="DP2311"/>
      <c r="DQ2311"/>
      <c r="DR2311"/>
      <c r="DS2311"/>
      <c r="DT2311"/>
      <c r="DU2311"/>
      <c r="DV2311"/>
      <c r="DW2311"/>
      <c r="DX2311"/>
      <c r="DY2311"/>
      <c r="DZ2311"/>
      <c r="EA2311"/>
      <c r="EB2311"/>
      <c r="EC2311"/>
      <c r="ED2311"/>
      <c r="EE2311"/>
      <c r="EF2311"/>
      <c r="EG2311"/>
      <c r="EH2311"/>
      <c r="EI2311"/>
      <c r="EJ2311"/>
      <c r="EK2311"/>
      <c r="EL2311"/>
      <c r="EM2311"/>
      <c r="EN2311"/>
      <c r="EO2311"/>
      <c r="EP2311"/>
      <c r="EQ2311"/>
      <c r="ER2311"/>
      <c r="ES2311"/>
    </row>
    <row r="2312" spans="1:149">
      <c r="A2312"/>
      <c r="B2312"/>
      <c r="C2312"/>
      <c r="D2312"/>
      <c r="E2312"/>
      <c r="F2312"/>
      <c r="G2312"/>
      <c r="H2312"/>
      <c r="I2312"/>
      <c r="J2312"/>
      <c r="K2312"/>
      <c r="L2312"/>
      <c r="M2312"/>
      <c r="N2312"/>
      <c r="O2312"/>
      <c r="P2312"/>
      <c r="Q2312"/>
      <c r="R2312"/>
      <c r="S2312"/>
      <c r="T2312"/>
      <c r="U2312"/>
      <c r="V2312"/>
      <c r="W2312"/>
      <c r="X2312"/>
      <c r="Y2312"/>
      <c r="Z2312"/>
      <c r="AA2312"/>
      <c r="AB2312"/>
      <c r="AC2312"/>
      <c r="AD2312"/>
      <c r="AE2312"/>
      <c r="AF2312"/>
      <c r="AG2312"/>
      <c r="AH2312"/>
      <c r="AI2312"/>
      <c r="AJ2312"/>
      <c r="AK2312"/>
      <c r="AL2312"/>
      <c r="AM2312"/>
      <c r="AN2312"/>
      <c r="AO2312"/>
      <c r="AP2312"/>
      <c r="AQ2312"/>
      <c r="AR2312"/>
      <c r="AS2312"/>
      <c r="AT2312"/>
      <c r="AU2312"/>
      <c r="AV2312"/>
      <c r="AW2312"/>
      <c r="AX2312"/>
      <c r="AY2312"/>
      <c r="AZ2312"/>
      <c r="BA2312"/>
      <c r="BB2312"/>
      <c r="BC2312"/>
      <c r="BD2312"/>
      <c r="BE2312"/>
      <c r="BF2312"/>
      <c r="BG2312"/>
      <c r="BH2312"/>
      <c r="BI2312"/>
      <c r="BJ2312"/>
      <c r="BK2312"/>
      <c r="BL2312"/>
      <c r="BM2312"/>
      <c r="BN2312"/>
      <c r="BO2312"/>
      <c r="BP2312"/>
      <c r="BQ2312"/>
      <c r="BR2312"/>
      <c r="BS2312"/>
      <c r="BT2312"/>
      <c r="BU2312"/>
      <c r="BV2312"/>
      <c r="BW2312"/>
      <c r="BX2312"/>
      <c r="BY2312"/>
      <c r="BZ2312"/>
      <c r="CA2312"/>
      <c r="CB2312"/>
      <c r="CC2312"/>
      <c r="CD2312"/>
      <c r="CE2312"/>
      <c r="CF2312"/>
      <c r="CG2312"/>
      <c r="CH2312"/>
      <c r="CI2312"/>
      <c r="CJ2312"/>
      <c r="CK2312"/>
      <c r="CL2312"/>
      <c r="CM2312"/>
      <c r="CN2312"/>
      <c r="CO2312"/>
      <c r="CP2312"/>
      <c r="CQ2312"/>
      <c r="CR2312"/>
      <c r="CS2312"/>
      <c r="CT2312"/>
      <c r="CU2312"/>
      <c r="CV2312"/>
      <c r="CW2312"/>
      <c r="CX2312"/>
      <c r="CY2312"/>
      <c r="CZ2312"/>
      <c r="DA2312"/>
      <c r="DB2312"/>
      <c r="DC2312"/>
      <c r="DD2312"/>
      <c r="DE2312"/>
      <c r="DF2312"/>
      <c r="DG2312"/>
      <c r="DH2312"/>
      <c r="DI2312"/>
      <c r="DJ2312"/>
      <c r="DK2312"/>
      <c r="DL2312"/>
      <c r="DM2312"/>
      <c r="DN2312"/>
      <c r="DO2312"/>
      <c r="DP2312"/>
      <c r="DQ2312"/>
      <c r="DR2312"/>
      <c r="DS2312"/>
      <c r="DT2312"/>
      <c r="DU2312"/>
      <c r="DV2312"/>
      <c r="DW2312"/>
      <c r="DX2312"/>
      <c r="DY2312"/>
      <c r="DZ2312"/>
      <c r="EA2312"/>
      <c r="EB2312"/>
      <c r="EC2312"/>
      <c r="ED2312"/>
      <c r="EE2312"/>
      <c r="EF2312"/>
      <c r="EG2312"/>
      <c r="EH2312"/>
      <c r="EI2312"/>
      <c r="EJ2312"/>
      <c r="EK2312"/>
      <c r="EL2312"/>
      <c r="EM2312"/>
      <c r="EN2312"/>
      <c r="EO2312"/>
      <c r="EP2312"/>
      <c r="EQ2312"/>
      <c r="ER2312"/>
      <c r="ES2312"/>
    </row>
    <row r="2313" spans="1:149">
      <c r="A2313"/>
      <c r="B2313"/>
      <c r="C2313"/>
      <c r="D2313"/>
      <c r="E2313"/>
      <c r="F2313"/>
      <c r="G2313"/>
      <c r="H2313"/>
      <c r="I2313"/>
      <c r="J2313"/>
      <c r="K2313"/>
      <c r="L2313"/>
      <c r="M2313"/>
      <c r="N2313"/>
      <c r="O2313"/>
      <c r="P2313"/>
      <c r="Q2313"/>
      <c r="R2313"/>
      <c r="S2313"/>
      <c r="T2313"/>
      <c r="U2313"/>
      <c r="V2313"/>
      <c r="W2313"/>
      <c r="X2313"/>
      <c r="Y2313"/>
      <c r="Z2313"/>
      <c r="AA2313"/>
      <c r="AB2313"/>
      <c r="AC2313"/>
      <c r="AD2313"/>
      <c r="AE2313"/>
      <c r="AF2313"/>
      <c r="AG2313"/>
      <c r="AH2313"/>
      <c r="AI2313"/>
      <c r="AJ2313"/>
      <c r="AK2313"/>
      <c r="AL2313"/>
      <c r="AM2313"/>
      <c r="AN2313"/>
      <c r="AO2313"/>
      <c r="AP2313"/>
      <c r="AQ2313"/>
      <c r="AR2313"/>
      <c r="AS2313"/>
      <c r="AT2313"/>
      <c r="AU2313"/>
      <c r="AV2313"/>
      <c r="AW2313"/>
      <c r="AX2313"/>
      <c r="AY2313"/>
      <c r="AZ2313"/>
      <c r="BA2313"/>
      <c r="BB2313"/>
      <c r="BC2313"/>
      <c r="BD2313"/>
      <c r="BE2313"/>
      <c r="BF2313"/>
      <c r="BG2313"/>
      <c r="BH2313"/>
      <c r="BI2313"/>
      <c r="BJ2313"/>
      <c r="BK2313"/>
      <c r="BL2313"/>
      <c r="BM2313"/>
      <c r="BN2313"/>
      <c r="BO2313"/>
      <c r="BP2313"/>
      <c r="BQ2313"/>
      <c r="BR2313"/>
      <c r="BS2313"/>
      <c r="BT2313"/>
      <c r="BU2313"/>
      <c r="BV2313"/>
      <c r="BW2313"/>
      <c r="BX2313"/>
      <c r="BY2313"/>
      <c r="BZ2313"/>
      <c r="CA2313"/>
      <c r="CB2313"/>
      <c r="CC2313"/>
      <c r="CD2313"/>
      <c r="CE2313"/>
      <c r="CF2313"/>
      <c r="CG2313"/>
      <c r="CH2313"/>
      <c r="CI2313"/>
      <c r="CJ2313"/>
      <c r="CK2313"/>
      <c r="CL2313"/>
      <c r="CM2313"/>
      <c r="CN2313"/>
      <c r="CO2313"/>
      <c r="CP2313"/>
      <c r="CQ2313"/>
      <c r="CR2313"/>
      <c r="CS2313"/>
      <c r="CT2313"/>
      <c r="CU2313"/>
      <c r="CV2313"/>
      <c r="CW2313"/>
      <c r="CX2313"/>
      <c r="CY2313"/>
      <c r="CZ2313"/>
      <c r="DA2313"/>
      <c r="DB2313"/>
      <c r="DC2313"/>
      <c r="DD2313"/>
      <c r="DE2313"/>
      <c r="DF2313"/>
      <c r="DG2313"/>
      <c r="DH2313"/>
      <c r="DI2313"/>
      <c r="DJ2313"/>
      <c r="DK2313"/>
      <c r="DL2313"/>
      <c r="DM2313"/>
      <c r="DN2313"/>
      <c r="DO2313"/>
      <c r="DP2313"/>
      <c r="DQ2313"/>
      <c r="DR2313"/>
      <c r="DS2313"/>
      <c r="DT2313"/>
      <c r="DU2313"/>
      <c r="DV2313"/>
      <c r="DW2313"/>
      <c r="DX2313"/>
      <c r="DY2313"/>
      <c r="DZ2313"/>
      <c r="EA2313"/>
      <c r="EB2313"/>
      <c r="EC2313"/>
      <c r="ED2313"/>
      <c r="EE2313"/>
      <c r="EF2313"/>
      <c r="EG2313"/>
      <c r="EH2313"/>
      <c r="EI2313"/>
      <c r="EJ2313"/>
      <c r="EK2313"/>
      <c r="EL2313"/>
      <c r="EM2313"/>
      <c r="EN2313"/>
      <c r="EO2313"/>
      <c r="EP2313"/>
      <c r="EQ2313"/>
      <c r="ER2313"/>
      <c r="ES2313"/>
    </row>
    <row r="2314" spans="1:149">
      <c r="A2314"/>
      <c r="B2314"/>
      <c r="C2314"/>
      <c r="D2314"/>
      <c r="E2314"/>
      <c r="F2314"/>
      <c r="G2314"/>
      <c r="H2314"/>
      <c r="I2314"/>
      <c r="J2314"/>
      <c r="K2314"/>
      <c r="L2314"/>
      <c r="M2314"/>
      <c r="N2314"/>
      <c r="O2314"/>
      <c r="P2314"/>
      <c r="Q2314"/>
      <c r="R2314"/>
      <c r="S2314"/>
      <c r="T2314"/>
      <c r="U2314"/>
      <c r="V2314"/>
      <c r="W2314"/>
      <c r="X2314"/>
      <c r="Y2314"/>
      <c r="Z2314"/>
      <c r="AA2314"/>
      <c r="AB2314"/>
      <c r="AC2314"/>
      <c r="AD2314"/>
      <c r="AE2314"/>
      <c r="AF2314"/>
      <c r="AG2314"/>
      <c r="AH2314"/>
      <c r="AI2314"/>
      <c r="AJ2314"/>
      <c r="AK2314"/>
      <c r="AL2314"/>
      <c r="AM2314"/>
      <c r="AN2314"/>
      <c r="AO2314"/>
      <c r="AP2314"/>
      <c r="AQ2314"/>
      <c r="AR2314"/>
      <c r="AS2314"/>
      <c r="AT2314"/>
      <c r="AU2314"/>
      <c r="AV2314"/>
      <c r="AW2314"/>
      <c r="AX2314"/>
      <c r="AY2314"/>
      <c r="AZ2314"/>
      <c r="BA2314"/>
      <c r="BB2314"/>
      <c r="BC2314"/>
      <c r="BD2314"/>
      <c r="BE2314"/>
      <c r="BF2314"/>
      <c r="BG2314"/>
      <c r="BH2314"/>
      <c r="BI2314"/>
      <c r="BJ2314"/>
      <c r="BK2314"/>
      <c r="BL2314"/>
      <c r="BM2314"/>
      <c r="BN2314"/>
      <c r="BO2314"/>
      <c r="BP2314"/>
      <c r="BQ2314"/>
      <c r="BR2314"/>
      <c r="BS2314"/>
      <c r="BT2314"/>
      <c r="BU2314"/>
      <c r="BV2314"/>
      <c r="BW2314"/>
      <c r="BX2314"/>
      <c r="BY2314"/>
      <c r="BZ2314"/>
      <c r="CA2314"/>
      <c r="CB2314"/>
      <c r="CC2314"/>
      <c r="CD2314"/>
      <c r="CE2314"/>
      <c r="CF2314"/>
      <c r="CG2314"/>
      <c r="CH2314"/>
      <c r="CI2314"/>
      <c r="CJ2314"/>
      <c r="CK2314"/>
      <c r="CL2314"/>
      <c r="CM2314"/>
      <c r="CN2314"/>
      <c r="CO2314"/>
      <c r="CP2314"/>
      <c r="CQ2314"/>
      <c r="CR2314"/>
      <c r="CS2314"/>
      <c r="CT2314"/>
      <c r="CU2314"/>
      <c r="CV2314"/>
      <c r="CW2314"/>
      <c r="CX2314"/>
      <c r="CY2314"/>
      <c r="CZ2314"/>
      <c r="DA2314"/>
      <c r="DB2314"/>
      <c r="DC2314"/>
      <c r="DD2314"/>
      <c r="DE2314"/>
      <c r="DF2314"/>
      <c r="DG2314"/>
      <c r="DH2314"/>
      <c r="DI2314"/>
      <c r="DJ2314"/>
      <c r="DK2314"/>
      <c r="DL2314"/>
      <c r="DM2314"/>
      <c r="DN2314"/>
      <c r="DO2314"/>
      <c r="DP2314"/>
      <c r="DQ2314"/>
      <c r="DR2314"/>
      <c r="DS2314"/>
      <c r="DT2314"/>
      <c r="DU2314"/>
      <c r="DV2314"/>
      <c r="DW2314"/>
      <c r="DX2314"/>
      <c r="DY2314"/>
      <c r="DZ2314"/>
      <c r="EA2314"/>
      <c r="EB2314"/>
      <c r="EC2314"/>
      <c r="ED2314"/>
      <c r="EE2314"/>
      <c r="EF2314"/>
      <c r="EG2314"/>
      <c r="EH2314"/>
      <c r="EI2314"/>
      <c r="EJ2314"/>
      <c r="EK2314"/>
      <c r="EL2314"/>
      <c r="EM2314"/>
      <c r="EN2314"/>
      <c r="EO2314"/>
      <c r="EP2314"/>
      <c r="EQ2314"/>
      <c r="ER2314"/>
      <c r="ES2314"/>
    </row>
    <row r="2315" spans="1:149">
      <c r="A2315"/>
      <c r="B2315"/>
      <c r="C2315"/>
      <c r="D2315"/>
      <c r="E2315"/>
      <c r="F2315"/>
      <c r="G2315"/>
      <c r="H2315"/>
      <c r="I2315"/>
      <c r="J2315"/>
      <c r="K2315"/>
      <c r="L2315"/>
      <c r="M2315"/>
      <c r="N2315"/>
      <c r="O2315"/>
      <c r="P2315"/>
      <c r="Q2315"/>
      <c r="R2315"/>
      <c r="S2315"/>
      <c r="T2315"/>
      <c r="U2315"/>
      <c r="V2315"/>
      <c r="W2315"/>
      <c r="X2315"/>
      <c r="Y2315"/>
      <c r="Z2315"/>
      <c r="AA2315"/>
      <c r="AB2315"/>
      <c r="AC2315"/>
      <c r="AD2315"/>
      <c r="AE2315"/>
      <c r="AF2315"/>
      <c r="AG2315"/>
      <c r="AH2315"/>
      <c r="AI2315"/>
      <c r="AJ2315"/>
      <c r="AK2315"/>
      <c r="AL2315"/>
      <c r="AM2315"/>
      <c r="AN2315"/>
      <c r="AO2315"/>
      <c r="AP2315"/>
      <c r="AQ2315"/>
      <c r="AR2315"/>
      <c r="AS2315"/>
      <c r="AT2315"/>
      <c r="AU2315"/>
      <c r="AV2315"/>
      <c r="AW2315"/>
      <c r="AX2315"/>
      <c r="AY2315"/>
      <c r="AZ2315"/>
      <c r="BA2315"/>
      <c r="BB2315"/>
      <c r="BC2315"/>
      <c r="BD2315"/>
      <c r="BE2315"/>
      <c r="BF2315"/>
      <c r="BG2315"/>
      <c r="BH2315"/>
      <c r="BI2315"/>
      <c r="BJ2315"/>
      <c r="BK2315"/>
      <c r="BL2315"/>
      <c r="BM2315"/>
      <c r="BN2315"/>
      <c r="BO2315"/>
      <c r="BP2315"/>
      <c r="BQ2315"/>
      <c r="BR2315"/>
      <c r="BS2315"/>
      <c r="BT2315"/>
      <c r="BU2315"/>
      <c r="BV2315"/>
      <c r="BW2315"/>
      <c r="BX2315"/>
      <c r="BY2315"/>
      <c r="BZ2315"/>
      <c r="CA2315"/>
      <c r="CB2315"/>
      <c r="CC2315"/>
      <c r="CD2315"/>
      <c r="CE2315"/>
      <c r="CF2315"/>
      <c r="CG2315"/>
      <c r="CH2315"/>
      <c r="CI2315"/>
      <c r="CJ2315"/>
      <c r="CK2315"/>
      <c r="CL2315"/>
      <c r="CM2315"/>
      <c r="CN2315"/>
      <c r="CO2315"/>
      <c r="CP2315"/>
      <c r="CQ2315"/>
      <c r="CR2315"/>
      <c r="CS2315"/>
      <c r="CT2315"/>
      <c r="CU2315"/>
      <c r="CV2315"/>
      <c r="CW2315"/>
      <c r="CX2315"/>
      <c r="CY2315"/>
      <c r="CZ2315"/>
      <c r="DA2315"/>
      <c r="DB2315"/>
      <c r="DC2315"/>
      <c r="DD2315"/>
      <c r="DE2315"/>
      <c r="DF2315"/>
      <c r="DG2315"/>
      <c r="DH2315"/>
      <c r="DI2315"/>
      <c r="DJ2315"/>
      <c r="DK2315"/>
      <c r="DL2315"/>
      <c r="DM2315"/>
      <c r="DN2315"/>
      <c r="DO2315"/>
      <c r="DP2315"/>
      <c r="DQ2315"/>
      <c r="DR2315"/>
      <c r="DS2315"/>
      <c r="DT2315"/>
      <c r="DU2315"/>
      <c r="DV2315"/>
      <c r="DW2315"/>
      <c r="DX2315"/>
      <c r="DY2315"/>
      <c r="DZ2315"/>
      <c r="EA2315"/>
      <c r="EB2315"/>
      <c r="EC2315"/>
      <c r="ED2315"/>
      <c r="EE2315"/>
      <c r="EF2315"/>
      <c r="EG2315"/>
      <c r="EH2315"/>
      <c r="EI2315"/>
      <c r="EJ2315"/>
      <c r="EK2315"/>
      <c r="EL2315"/>
      <c r="EM2315"/>
      <c r="EN2315"/>
      <c r="EO2315"/>
      <c r="EP2315"/>
      <c r="EQ2315"/>
      <c r="ER2315"/>
      <c r="ES2315"/>
    </row>
    <row r="2316" spans="1:149">
      <c r="A2316"/>
      <c r="B2316"/>
      <c r="C2316"/>
      <c r="D2316"/>
      <c r="E2316"/>
      <c r="F2316"/>
      <c r="G2316"/>
      <c r="H2316"/>
      <c r="I2316"/>
      <c r="J2316"/>
      <c r="K2316"/>
      <c r="L2316"/>
      <c r="M2316"/>
      <c r="N2316"/>
      <c r="O2316"/>
      <c r="P2316"/>
      <c r="Q2316"/>
      <c r="R2316"/>
      <c r="S2316"/>
      <c r="T2316"/>
      <c r="U2316"/>
      <c r="V2316"/>
      <c r="W2316"/>
      <c r="X2316"/>
      <c r="Y2316"/>
      <c r="Z2316"/>
      <c r="AA2316"/>
      <c r="AB2316"/>
      <c r="AC2316"/>
      <c r="AD2316"/>
      <c r="AE2316"/>
      <c r="AF2316"/>
      <c r="AG2316"/>
      <c r="AH2316"/>
      <c r="AI2316"/>
      <c r="AJ2316"/>
      <c r="AK2316"/>
      <c r="AL2316"/>
      <c r="AM2316"/>
      <c r="AN2316"/>
      <c r="AO2316"/>
      <c r="AP2316"/>
      <c r="AQ2316"/>
      <c r="AR2316"/>
      <c r="AS2316"/>
      <c r="AT2316"/>
      <c r="AU2316"/>
      <c r="AV2316"/>
      <c r="AW2316"/>
      <c r="AX2316"/>
      <c r="AY2316"/>
      <c r="AZ2316"/>
      <c r="BA2316"/>
      <c r="BB2316"/>
      <c r="BC2316"/>
      <c r="BD2316"/>
      <c r="BE2316"/>
      <c r="BF2316"/>
      <c r="BG2316"/>
      <c r="BH2316"/>
      <c r="BI2316"/>
      <c r="BJ2316"/>
      <c r="BK2316"/>
      <c r="BL2316"/>
      <c r="BM2316"/>
      <c r="BN2316"/>
      <c r="BO2316"/>
      <c r="BP2316"/>
      <c r="BQ2316"/>
      <c r="BR2316"/>
      <c r="BS2316"/>
      <c r="BT2316"/>
      <c r="BU2316"/>
      <c r="BV2316"/>
      <c r="BW2316"/>
      <c r="BX2316"/>
      <c r="BY2316"/>
      <c r="BZ2316"/>
      <c r="CA2316"/>
      <c r="CB2316"/>
      <c r="CC2316"/>
      <c r="CD2316"/>
      <c r="CE2316"/>
      <c r="CF2316"/>
      <c r="CG2316"/>
      <c r="CH2316"/>
      <c r="CI2316"/>
      <c r="CJ2316"/>
      <c r="CK2316"/>
      <c r="CL2316"/>
      <c r="CM2316"/>
      <c r="CN2316"/>
      <c r="CO2316"/>
      <c r="CP2316"/>
      <c r="CQ2316"/>
      <c r="CR2316"/>
      <c r="CS2316"/>
      <c r="CT2316"/>
      <c r="CU2316"/>
      <c r="CV2316"/>
      <c r="CW2316"/>
      <c r="CX2316"/>
      <c r="CY2316"/>
      <c r="CZ2316"/>
      <c r="DA2316"/>
      <c r="DB2316"/>
      <c r="DC2316"/>
      <c r="DD2316"/>
      <c r="DE2316"/>
      <c r="DF2316"/>
      <c r="DG2316"/>
      <c r="DH2316"/>
      <c r="DI2316"/>
      <c r="DJ2316"/>
      <c r="DK2316"/>
      <c r="DL2316"/>
      <c r="DM2316"/>
      <c r="DN2316"/>
      <c r="DO2316"/>
      <c r="DP2316"/>
      <c r="DQ2316"/>
      <c r="DR2316"/>
      <c r="DS2316"/>
      <c r="DT2316"/>
      <c r="DU2316"/>
      <c r="DV2316"/>
      <c r="DW2316"/>
      <c r="DX2316"/>
      <c r="DY2316"/>
      <c r="DZ2316"/>
      <c r="EA2316"/>
      <c r="EB2316"/>
      <c r="EC2316"/>
      <c r="ED2316"/>
      <c r="EE2316"/>
      <c r="EF2316"/>
      <c r="EG2316"/>
      <c r="EH2316"/>
      <c r="EI2316"/>
      <c r="EJ2316"/>
      <c r="EK2316"/>
      <c r="EL2316"/>
      <c r="EM2316"/>
      <c r="EN2316"/>
      <c r="EO2316"/>
      <c r="EP2316"/>
      <c r="EQ2316"/>
      <c r="ER2316"/>
      <c r="ES2316"/>
    </row>
  </sheetData>
  <protectedRanges>
    <protectedRange sqref="H94:H95 E94:E95" name="Range1"/>
  </protectedRanges>
  <phoneticPr fontId="0" type="noConversion"/>
  <conditionalFormatting sqref="AC303:AG303 C303:G303 C282:G282 C164:G164 C160:G160 AC282:AG282 H281:O282">
    <cfRule type="cellIs" dxfId="4" priority="1" stopIfTrue="1" operator="equal">
      <formula>-9999</formula>
    </cfRule>
  </conditionalFormatting>
  <conditionalFormatting sqref="AT101:BF280">
    <cfRule type="cellIs" dxfId="3" priority="2" stopIfTrue="1" operator="notEqual">
      <formula>0</formula>
    </cfRule>
  </conditionalFormatting>
  <pageMargins left="0.31" right="0.25" top="0.59055118110236227" bottom="0.55000000000000004" header="0.51181102362204722" footer="0.31"/>
  <pageSetup paperSize="9" scale="20" fitToHeight="9" orientation="landscape" horizontalDpi="1200" verticalDpi="1200" r:id="rId1"/>
  <headerFooter alignWithMargins="0">
    <oddFooter>&amp;L&amp;F  &amp;A&amp;CPage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TransferMatrixMacroFDMS.Transfer_forecast">
                <anchor moveWithCells="1" sizeWithCells="1">
                  <from>
                    <xdr:col>8</xdr:col>
                    <xdr:colOff>95250</xdr:colOff>
                    <xdr:row>92</xdr:row>
                    <xdr:rowOff>0</xdr:rowOff>
                  </from>
                  <to>
                    <xdr:col>9</xdr:col>
                    <xdr:colOff>285750</xdr:colOff>
                    <xdr:row>95</xdr:row>
                    <xdr:rowOff>9525</xdr:rowOff>
                  </to>
                </anchor>
              </controlPr>
            </control>
          </mc:Choice>
        </mc:AlternateContent>
        <mc:AlternateContent xmlns:mc="http://schemas.openxmlformats.org/markup-compatibility/2006">
          <mc:Choice Requires="x14">
            <control shapeId="17416" r:id="rId5" name="Button 8">
              <controlPr defaultSize="0" print="0" autoFill="0" autoPict="0" macro="[0]!Save_Values">
                <anchor moveWithCells="1" sizeWithCells="1">
                  <from>
                    <xdr:col>9</xdr:col>
                    <xdr:colOff>352425</xdr:colOff>
                    <xdr:row>92</xdr:row>
                    <xdr:rowOff>0</xdr:rowOff>
                  </from>
                  <to>
                    <xdr:col>10</xdr:col>
                    <xdr:colOff>542925</xdr:colOff>
                    <xdr:row>95</xdr:row>
                    <xdr:rowOff>9525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CA89"/>
  <sheetViews>
    <sheetView workbookViewId="0">
      <selection sqref="A1:M1"/>
    </sheetView>
  </sheetViews>
  <sheetFormatPr defaultRowHeight="12.75"/>
  <cols>
    <col min="1" max="1" width="20" customWidth="1"/>
    <col min="2" max="2" width="92.85546875" style="3616" customWidth="1"/>
    <col min="3" max="5" width="7.5703125" style="3616" customWidth="1"/>
    <col min="6" max="7" width="7" style="3616" customWidth="1"/>
    <col min="8" max="9" width="6.5703125" style="3616" customWidth="1"/>
    <col min="10" max="14" width="5" style="3616" customWidth="1"/>
    <col min="15" max="15" width="92.85546875" style="3616" customWidth="1"/>
    <col min="16" max="18" width="7.5703125" style="3616" customWidth="1"/>
    <col min="19" max="19" width="7" style="3616" customWidth="1"/>
    <col min="20" max="21" width="6.5703125" style="3616" customWidth="1"/>
    <col min="22" max="27" width="5" style="3616" customWidth="1"/>
    <col min="28" max="28" width="92.85546875" style="3606" customWidth="1"/>
    <col min="29" max="31" width="7.5703125" style="3606" customWidth="1"/>
    <col min="32" max="32" width="7" style="3606" customWidth="1"/>
    <col min="33" max="34" width="6.5703125" style="3606" customWidth="1"/>
    <col min="35" max="40" width="5" style="3606" customWidth="1"/>
    <col min="41" max="41" width="92.85546875" customWidth="1"/>
    <col min="42" max="44" width="6.5703125" customWidth="1"/>
    <col min="45" max="45" width="6" customWidth="1"/>
    <col min="46" max="53" width="5" customWidth="1"/>
    <col min="54" max="54" width="92.85546875" customWidth="1"/>
    <col min="55" max="57" width="7.5703125" customWidth="1"/>
    <col min="58" max="58" width="7" customWidth="1"/>
    <col min="59" max="59" width="6.5703125" customWidth="1"/>
    <col min="60" max="66" width="5" customWidth="1"/>
    <col min="67" max="67" width="92.85546875" customWidth="1"/>
    <col min="68" max="70" width="7.5703125" customWidth="1"/>
    <col min="71" max="71" width="7" customWidth="1"/>
    <col min="72" max="72" width="6.5703125" customWidth="1"/>
    <col min="73" max="79" width="5" customWidth="1"/>
    <col min="80" max="80" width="92.85546875" customWidth="1"/>
    <col min="81" max="83" width="6.5703125" customWidth="1"/>
    <col min="84" max="84" width="6" customWidth="1"/>
    <col min="85" max="92" width="5" customWidth="1"/>
    <col min="93" max="93" width="92.85546875" customWidth="1"/>
    <col min="94" max="96" width="7.7109375" bestFit="1" customWidth="1"/>
    <col min="97" max="97" width="6.7109375" bestFit="1" customWidth="1"/>
    <col min="98" max="105" width="5" bestFit="1" customWidth="1"/>
  </cols>
  <sheetData>
    <row r="1" spans="1:79" ht="12.75" customHeight="1">
      <c r="A1" s="3789" t="s">
        <v>2607</v>
      </c>
      <c r="B1" s="3789"/>
      <c r="C1" s="3789"/>
      <c r="D1" s="3789"/>
      <c r="E1" s="3789"/>
      <c r="F1" s="3789"/>
      <c r="G1" s="3789"/>
      <c r="H1" s="3789"/>
      <c r="I1" s="3789"/>
      <c r="J1" s="3789"/>
      <c r="K1" s="3789"/>
      <c r="L1" s="3789"/>
      <c r="M1" s="3789"/>
      <c r="N1" s="3729"/>
      <c r="O1"/>
      <c r="P1"/>
      <c r="Q1"/>
      <c r="R1"/>
      <c r="S1"/>
      <c r="T1"/>
      <c r="U1"/>
      <c r="V1"/>
      <c r="W1"/>
      <c r="X1"/>
      <c r="Y1"/>
      <c r="Z1"/>
      <c r="AA1"/>
      <c r="AB1"/>
      <c r="AC1"/>
      <c r="AD1"/>
      <c r="AE1"/>
      <c r="AF1"/>
      <c r="AG1"/>
      <c r="AH1"/>
      <c r="AI1"/>
      <c r="AJ1"/>
      <c r="AK1"/>
      <c r="AL1"/>
      <c r="AM1"/>
      <c r="AN1"/>
    </row>
    <row r="2" spans="1:79">
      <c r="A2" s="3434" t="s">
        <v>2432</v>
      </c>
      <c r="B2" s="3434" t="s">
        <v>2433</v>
      </c>
      <c r="C2" s="3434">
        <v>2014</v>
      </c>
      <c r="D2" s="3434">
        <v>2015</v>
      </c>
      <c r="E2" s="3434">
        <v>2016</v>
      </c>
      <c r="F2" s="3434">
        <v>2017</v>
      </c>
      <c r="G2" s="3434">
        <v>2018</v>
      </c>
      <c r="H2" s="3434">
        <v>2019</v>
      </c>
      <c r="I2" s="3434">
        <v>2020</v>
      </c>
      <c r="J2" s="3434">
        <v>2021</v>
      </c>
      <c r="K2" s="3434">
        <v>2022</v>
      </c>
      <c r="L2" s="3434">
        <v>2023</v>
      </c>
      <c r="M2" s="3434">
        <v>2024</v>
      </c>
      <c r="N2" s="3434">
        <v>2025</v>
      </c>
      <c r="O2"/>
      <c r="P2"/>
      <c r="Q2"/>
      <c r="R2"/>
      <c r="S2"/>
      <c r="T2"/>
      <c r="U2"/>
      <c r="V2"/>
      <c r="W2"/>
      <c r="X2"/>
      <c r="Y2"/>
      <c r="Z2"/>
      <c r="AA2"/>
      <c r="AB2"/>
      <c r="AC2"/>
      <c r="AD2"/>
      <c r="AE2"/>
      <c r="AF2"/>
      <c r="AG2"/>
      <c r="AH2"/>
      <c r="AI2"/>
      <c r="AJ2"/>
      <c r="AK2"/>
      <c r="AL2"/>
      <c r="AM2"/>
      <c r="AN2"/>
    </row>
    <row r="3" spans="1:79">
      <c r="A3" s="3435" t="s">
        <v>2518</v>
      </c>
      <c r="B3" s="3435" t="s">
        <v>2519</v>
      </c>
      <c r="C3" s="3435">
        <v>0.55700000000000005</v>
      </c>
      <c r="D3" s="3435">
        <v>0.2414</v>
      </c>
      <c r="E3" s="3435">
        <v>0.113</v>
      </c>
      <c r="F3" s="3435">
        <v>0.104</v>
      </c>
      <c r="G3" s="3435">
        <v>8.8999999999999996E-2</v>
      </c>
      <c r="H3" s="3435">
        <v>7.8E-2</v>
      </c>
      <c r="I3" s="3435">
        <v>0</v>
      </c>
      <c r="J3" s="3435">
        <v>0</v>
      </c>
      <c r="K3" s="3435">
        <v>0</v>
      </c>
      <c r="L3" s="3435">
        <v>0</v>
      </c>
      <c r="M3" s="3435">
        <v>0</v>
      </c>
      <c r="N3" s="3435">
        <v>0</v>
      </c>
      <c r="O3"/>
      <c r="P3"/>
      <c r="Q3"/>
      <c r="R3"/>
      <c r="S3"/>
      <c r="T3"/>
      <c r="U3"/>
      <c r="V3"/>
      <c r="W3"/>
      <c r="X3"/>
      <c r="Y3"/>
      <c r="Z3"/>
      <c r="AA3"/>
      <c r="AB3"/>
      <c r="AC3"/>
      <c r="AD3"/>
      <c r="AE3"/>
      <c r="AF3"/>
      <c r="AG3"/>
      <c r="AH3"/>
      <c r="AI3"/>
      <c r="AJ3"/>
      <c r="AK3"/>
      <c r="AL3"/>
      <c r="AM3"/>
      <c r="AN3"/>
    </row>
    <row r="4" spans="1:79">
      <c r="A4" s="3435" t="s">
        <v>2520</v>
      </c>
      <c r="B4" s="3435" t="s">
        <v>2521</v>
      </c>
      <c r="C4" s="3435">
        <v>-0.41089999999999999</v>
      </c>
      <c r="D4" s="3435">
        <v>-0.18959999999999999</v>
      </c>
      <c r="E4" s="3435">
        <v>-0.08</v>
      </c>
      <c r="F4" s="3435">
        <v>-6.3E-2</v>
      </c>
      <c r="G4" s="3435">
        <v>-6.2E-2</v>
      </c>
      <c r="H4" s="3435">
        <v>-0.04</v>
      </c>
      <c r="I4" s="3435">
        <v>0</v>
      </c>
      <c r="J4" s="3435">
        <v>0</v>
      </c>
      <c r="K4" s="3435">
        <v>0</v>
      </c>
      <c r="L4" s="3435">
        <v>0</v>
      </c>
      <c r="M4" s="3435">
        <v>0</v>
      </c>
      <c r="N4" s="3435">
        <v>0</v>
      </c>
      <c r="O4"/>
      <c r="P4"/>
      <c r="Q4"/>
      <c r="R4"/>
      <c r="S4"/>
      <c r="T4"/>
      <c r="U4"/>
      <c r="V4"/>
      <c r="W4"/>
      <c r="X4"/>
      <c r="Y4"/>
      <c r="Z4"/>
      <c r="AA4"/>
      <c r="AB4"/>
      <c r="AC4"/>
      <c r="AD4"/>
      <c r="AE4"/>
      <c r="AF4"/>
      <c r="AG4"/>
      <c r="AH4"/>
      <c r="AI4"/>
      <c r="AJ4"/>
      <c r="AK4"/>
      <c r="AL4"/>
      <c r="AM4"/>
      <c r="AN4"/>
    </row>
    <row r="5" spans="1:79">
      <c r="A5" s="3435" t="s">
        <v>2522</v>
      </c>
      <c r="B5" s="3435" t="s">
        <v>2523</v>
      </c>
      <c r="C5" s="3435">
        <v>0.3841</v>
      </c>
      <c r="D5" s="3435">
        <v>-0.2419</v>
      </c>
      <c r="E5" s="3435">
        <v>0.25509999999999999</v>
      </c>
      <c r="F5" s="3435">
        <v>0.3417</v>
      </c>
      <c r="G5" s="3435">
        <v>0</v>
      </c>
      <c r="H5" s="3435">
        <v>0</v>
      </c>
      <c r="I5" s="3435">
        <v>0</v>
      </c>
      <c r="J5" s="3435">
        <v>0</v>
      </c>
      <c r="K5" s="3435">
        <v>0</v>
      </c>
      <c r="L5" s="3435">
        <v>0</v>
      </c>
      <c r="M5" s="3435">
        <v>0</v>
      </c>
      <c r="N5" s="3435">
        <v>0</v>
      </c>
      <c r="O5"/>
      <c r="P5"/>
      <c r="Q5"/>
      <c r="R5"/>
      <c r="S5"/>
      <c r="T5"/>
      <c r="U5"/>
      <c r="V5"/>
      <c r="W5"/>
      <c r="X5"/>
      <c r="Y5"/>
      <c r="Z5"/>
      <c r="AA5"/>
      <c r="AB5"/>
      <c r="AC5"/>
      <c r="AD5"/>
      <c r="AE5"/>
      <c r="AF5"/>
      <c r="AG5"/>
      <c r="AH5"/>
      <c r="AI5"/>
      <c r="AJ5"/>
      <c r="AK5"/>
      <c r="AL5"/>
      <c r="AM5"/>
      <c r="AN5"/>
    </row>
    <row r="6" spans="1:79">
      <c r="A6" s="3435" t="s">
        <v>2524</v>
      </c>
      <c r="B6" s="3435" t="s">
        <v>2525</v>
      </c>
      <c r="C6" s="3435">
        <v>-2.35E-2</v>
      </c>
      <c r="D6" s="3435">
        <v>7.5899999999999995E-2</v>
      </c>
      <c r="E6" s="3435">
        <v>9.3899999999999997E-2</v>
      </c>
      <c r="F6" s="3435">
        <v>5.4199999999999998E-2</v>
      </c>
      <c r="G6" s="3435">
        <v>0.1875</v>
      </c>
      <c r="H6" s="3435">
        <v>0</v>
      </c>
      <c r="I6" s="3435">
        <v>0</v>
      </c>
      <c r="J6" s="3435">
        <v>0</v>
      </c>
      <c r="K6" s="3435">
        <v>0</v>
      </c>
      <c r="L6" s="3435">
        <v>0</v>
      </c>
      <c r="M6" s="3435">
        <v>0</v>
      </c>
      <c r="N6" s="3435">
        <v>0</v>
      </c>
      <c r="O6"/>
      <c r="P6"/>
      <c r="Q6"/>
      <c r="R6"/>
      <c r="S6"/>
      <c r="T6"/>
      <c r="U6"/>
      <c r="V6"/>
      <c r="W6"/>
      <c r="X6"/>
      <c r="Y6"/>
      <c r="Z6"/>
      <c r="AA6"/>
      <c r="AB6"/>
      <c r="AC6"/>
      <c r="AD6"/>
      <c r="AE6"/>
      <c r="AF6"/>
      <c r="AG6"/>
      <c r="AH6"/>
      <c r="AI6"/>
      <c r="AJ6"/>
      <c r="AK6"/>
      <c r="AL6"/>
      <c r="AM6"/>
      <c r="AN6"/>
    </row>
    <row r="7" spans="1:79">
      <c r="A7" s="3435" t="s">
        <v>2526</v>
      </c>
      <c r="B7" s="3435" t="s">
        <v>2527</v>
      </c>
      <c r="C7" s="3435">
        <v>-0.22120000000000001</v>
      </c>
      <c r="D7" s="3435">
        <v>8.0699999999999994E-2</v>
      </c>
      <c r="E7" s="3435">
        <v>-0.1096</v>
      </c>
      <c r="F7" s="3435">
        <v>-1.7000000000000001E-2</v>
      </c>
      <c r="G7" s="3435">
        <v>-1E-3</v>
      </c>
      <c r="H7" s="3435">
        <v>-2.1999999999999999E-2</v>
      </c>
      <c r="I7" s="3435">
        <v>-0.04</v>
      </c>
      <c r="J7" s="3435">
        <v>0</v>
      </c>
      <c r="K7" s="3435">
        <v>0</v>
      </c>
      <c r="L7" s="3435">
        <v>0</v>
      </c>
      <c r="M7" s="3435">
        <v>0</v>
      </c>
      <c r="N7" s="3435">
        <v>0</v>
      </c>
      <c r="O7"/>
      <c r="P7"/>
      <c r="Q7"/>
      <c r="R7"/>
      <c r="S7"/>
      <c r="T7"/>
      <c r="U7"/>
      <c r="V7"/>
      <c r="W7"/>
      <c r="X7"/>
      <c r="Y7"/>
      <c r="Z7"/>
      <c r="AA7"/>
      <c r="AB7"/>
      <c r="AC7"/>
      <c r="AD7"/>
      <c r="AE7"/>
      <c r="AF7"/>
      <c r="AG7"/>
      <c r="AH7"/>
      <c r="AI7"/>
      <c r="AJ7"/>
      <c r="AK7"/>
      <c r="AL7"/>
      <c r="AM7"/>
      <c r="AN7"/>
    </row>
    <row r="8" spans="1:79" ht="12.75" customHeight="1">
      <c r="A8" s="3435" t="s">
        <v>2528</v>
      </c>
      <c r="B8" s="3435" t="s">
        <v>2529</v>
      </c>
      <c r="C8" s="3435">
        <v>0.36470000000000002</v>
      </c>
      <c r="D8" s="3435">
        <v>-0.26829999999999998</v>
      </c>
      <c r="E8" s="3435">
        <v>-0.12839999999999999</v>
      </c>
      <c r="F8" s="3435">
        <v>-8.9999999999999993E-3</v>
      </c>
      <c r="G8" s="3435">
        <v>-1.4999999999999999E-2</v>
      </c>
      <c r="H8" s="3435">
        <v>-1.0999999999999999E-2</v>
      </c>
      <c r="I8" s="3435">
        <v>-7.8E-2</v>
      </c>
      <c r="J8" s="3435">
        <v>0</v>
      </c>
      <c r="K8" s="3435">
        <v>0</v>
      </c>
      <c r="L8" s="3435">
        <v>0</v>
      </c>
      <c r="M8" s="3435">
        <v>0</v>
      </c>
      <c r="N8" s="3435">
        <v>0</v>
      </c>
      <c r="O8"/>
      <c r="P8"/>
      <c r="Q8"/>
      <c r="R8"/>
      <c r="S8"/>
      <c r="T8"/>
      <c r="U8"/>
      <c r="V8"/>
      <c r="W8"/>
      <c r="X8"/>
      <c r="Y8"/>
      <c r="Z8"/>
      <c r="AA8"/>
      <c r="AB8"/>
      <c r="AC8"/>
      <c r="AD8"/>
      <c r="AE8"/>
      <c r="AF8"/>
      <c r="AG8"/>
      <c r="AH8"/>
      <c r="AI8"/>
      <c r="AJ8"/>
      <c r="AK8"/>
      <c r="AL8"/>
      <c r="AM8"/>
      <c r="AN8"/>
    </row>
    <row r="9" spans="1:79">
      <c r="A9" s="3434" t="s">
        <v>2432</v>
      </c>
      <c r="B9" s="3434" t="s">
        <v>2433</v>
      </c>
      <c r="C9" s="3434">
        <v>2014</v>
      </c>
      <c r="D9" s="3434">
        <v>2015</v>
      </c>
      <c r="E9" s="3434">
        <v>2016</v>
      </c>
      <c r="F9" s="3434">
        <v>2017</v>
      </c>
      <c r="G9" s="3434">
        <v>2018</v>
      </c>
      <c r="H9" s="3434">
        <v>2019</v>
      </c>
      <c r="I9" s="3434">
        <v>2020</v>
      </c>
      <c r="J9" s="3434">
        <v>2021</v>
      </c>
      <c r="K9" s="3434">
        <v>2022</v>
      </c>
      <c r="L9" s="3434">
        <v>2023</v>
      </c>
      <c r="M9" s="3434">
        <v>2024</v>
      </c>
      <c r="N9" s="3434">
        <v>2025</v>
      </c>
      <c r="O9"/>
      <c r="P9"/>
      <c r="Q9"/>
      <c r="R9"/>
      <c r="S9"/>
      <c r="T9"/>
      <c r="U9"/>
      <c r="V9"/>
      <c r="W9"/>
      <c r="X9"/>
      <c r="Y9"/>
      <c r="Z9"/>
      <c r="AA9"/>
      <c r="AB9"/>
      <c r="AC9"/>
      <c r="AD9"/>
      <c r="AE9"/>
      <c r="AF9"/>
      <c r="AG9"/>
      <c r="AH9"/>
      <c r="AI9"/>
      <c r="AJ9"/>
      <c r="AK9"/>
      <c r="AL9"/>
      <c r="AM9"/>
      <c r="AN9"/>
      <c r="BO9" s="3388"/>
      <c r="BP9" s="3388"/>
      <c r="BQ9" s="3388"/>
      <c r="BR9" s="3388"/>
      <c r="BS9" s="3388"/>
      <c r="BT9" s="3388"/>
      <c r="BU9" s="3388"/>
      <c r="BV9" s="3388"/>
      <c r="BW9" s="3388"/>
      <c r="BX9" s="3388"/>
      <c r="BY9" s="3388"/>
      <c r="BZ9" s="3388"/>
      <c r="CA9" s="3388"/>
    </row>
    <row r="10" spans="1:79" ht="12.75" customHeight="1">
      <c r="A10" s="3789" t="s">
        <v>2607</v>
      </c>
      <c r="B10" s="3789"/>
      <c r="C10" s="3789"/>
      <c r="D10" s="3789"/>
      <c r="E10" s="3789"/>
      <c r="F10" s="3789"/>
      <c r="G10" s="3789"/>
      <c r="H10" s="3789"/>
      <c r="I10" s="3789"/>
      <c r="J10" s="3789"/>
      <c r="K10" s="3789"/>
      <c r="L10" s="3789"/>
      <c r="M10" s="3789"/>
      <c r="N10" s="3789"/>
      <c r="O10"/>
      <c r="P10"/>
      <c r="Q10"/>
      <c r="R10"/>
      <c r="S10"/>
      <c r="T10"/>
      <c r="U10"/>
      <c r="V10"/>
      <c r="W10"/>
      <c r="X10"/>
      <c r="Y10"/>
      <c r="Z10"/>
      <c r="AA10"/>
      <c r="AB10"/>
      <c r="AC10"/>
      <c r="AD10"/>
      <c r="AE10"/>
      <c r="AF10"/>
      <c r="AG10"/>
      <c r="AH10"/>
      <c r="AI10"/>
      <c r="AJ10"/>
      <c r="AK10"/>
      <c r="AL10"/>
      <c r="AM10"/>
      <c r="AN10"/>
    </row>
    <row r="11" spans="1:79">
      <c r="A11" s="3434" t="s">
        <v>531</v>
      </c>
      <c r="B11" s="3434" t="s">
        <v>2433</v>
      </c>
      <c r="C11" s="3434">
        <v>2014</v>
      </c>
      <c r="D11" s="3434">
        <v>2015</v>
      </c>
      <c r="E11" s="3434">
        <v>2016</v>
      </c>
      <c r="F11" s="3434">
        <v>2017</v>
      </c>
      <c r="G11" s="3434">
        <v>2018</v>
      </c>
      <c r="H11" s="3434">
        <v>2019</v>
      </c>
      <c r="I11" s="3434">
        <v>2020</v>
      </c>
      <c r="J11" s="3434">
        <v>2021</v>
      </c>
      <c r="K11" s="3434">
        <v>2022</v>
      </c>
      <c r="L11" s="3434">
        <v>2023</v>
      </c>
      <c r="M11" s="3434">
        <v>2024</v>
      </c>
      <c r="N11" s="3434">
        <v>2025</v>
      </c>
      <c r="O11"/>
      <c r="P11"/>
      <c r="Q11"/>
      <c r="R11"/>
      <c r="S11"/>
      <c r="T11"/>
      <c r="U11"/>
      <c r="V11"/>
      <c r="W11"/>
      <c r="X11"/>
      <c r="Y11"/>
      <c r="Z11"/>
      <c r="AA11"/>
      <c r="AB11"/>
      <c r="AC11"/>
      <c r="AD11"/>
      <c r="AE11"/>
      <c r="AF11"/>
      <c r="AG11"/>
      <c r="AH11"/>
      <c r="AI11"/>
      <c r="AJ11"/>
      <c r="AK11"/>
      <c r="AL11"/>
      <c r="AM11"/>
      <c r="AN11"/>
    </row>
    <row r="12" spans="1:79">
      <c r="A12" s="3435" t="s">
        <v>2534</v>
      </c>
      <c r="B12" s="3435" t="s">
        <v>2535</v>
      </c>
      <c r="C12" s="3435">
        <v>-1.9199999999999998E-2</v>
      </c>
      <c r="D12" s="3435">
        <v>-4.7300000000000002E-2</v>
      </c>
      <c r="E12" s="3435">
        <v>0</v>
      </c>
      <c r="F12" s="3435">
        <v>0</v>
      </c>
      <c r="G12" s="3435">
        <v>0</v>
      </c>
      <c r="H12" s="3435">
        <v>0</v>
      </c>
      <c r="I12" s="3435">
        <v>0</v>
      </c>
      <c r="J12" s="3435">
        <v>0</v>
      </c>
      <c r="K12" s="3435">
        <v>0</v>
      </c>
      <c r="L12" s="3435">
        <v>0</v>
      </c>
      <c r="M12" s="3435">
        <v>0</v>
      </c>
      <c r="N12" s="3435">
        <v>0</v>
      </c>
      <c r="O12"/>
      <c r="P12"/>
      <c r="Q12"/>
      <c r="R12"/>
      <c r="S12"/>
      <c r="T12"/>
      <c r="U12"/>
      <c r="V12"/>
      <c r="W12"/>
      <c r="X12"/>
      <c r="Y12"/>
      <c r="Z12"/>
      <c r="AA12"/>
      <c r="AB12"/>
      <c r="AC12"/>
      <c r="AD12"/>
      <c r="AE12"/>
      <c r="AF12"/>
      <c r="AG12"/>
      <c r="AH12"/>
      <c r="AI12"/>
      <c r="AJ12"/>
      <c r="AK12"/>
      <c r="AL12"/>
      <c r="AM12"/>
      <c r="AN12"/>
    </row>
    <row r="13" spans="1:79">
      <c r="A13" s="3435" t="s">
        <v>2536</v>
      </c>
      <c r="B13" s="3435" t="s">
        <v>2537</v>
      </c>
      <c r="C13" s="3435">
        <v>1.5900000000000001E-2</v>
      </c>
      <c r="D13" s="3435">
        <v>7.9799999999999996E-2</v>
      </c>
      <c r="E13" s="3435">
        <v>7.3400000000000007E-2</v>
      </c>
      <c r="F13" s="3435">
        <v>0.13700000000000001</v>
      </c>
      <c r="G13" s="3435">
        <v>9.9299999999999999E-2</v>
      </c>
      <c r="H13" s="3435">
        <v>0</v>
      </c>
      <c r="I13" s="3435">
        <v>0</v>
      </c>
      <c r="J13" s="3435">
        <v>0</v>
      </c>
      <c r="K13" s="3435">
        <v>0</v>
      </c>
      <c r="L13" s="3435">
        <v>0</v>
      </c>
      <c r="M13" s="3435">
        <v>0</v>
      </c>
      <c r="N13" s="3435">
        <v>0</v>
      </c>
      <c r="O13"/>
      <c r="P13"/>
      <c r="Q13"/>
      <c r="R13"/>
      <c r="S13"/>
      <c r="T13"/>
      <c r="U13"/>
      <c r="V13"/>
      <c r="W13"/>
      <c r="X13"/>
      <c r="Y13"/>
      <c r="Z13"/>
      <c r="AA13"/>
      <c r="AB13"/>
      <c r="AC13"/>
      <c r="AD13"/>
      <c r="AE13"/>
      <c r="AF13"/>
      <c r="AG13"/>
      <c r="AH13"/>
      <c r="AI13"/>
      <c r="AJ13"/>
      <c r="AK13"/>
      <c r="AL13"/>
      <c r="AM13"/>
      <c r="AN13"/>
    </row>
    <row r="14" spans="1:79">
      <c r="A14" s="3435" t="s">
        <v>2538</v>
      </c>
      <c r="B14" s="3435" t="s">
        <v>2539</v>
      </c>
      <c r="C14" s="3435">
        <v>0</v>
      </c>
      <c r="D14" s="3435">
        <v>0</v>
      </c>
      <c r="E14" s="3435">
        <v>0</v>
      </c>
      <c r="F14" s="3435">
        <v>0</v>
      </c>
      <c r="G14" s="3435">
        <v>0</v>
      </c>
      <c r="H14" s="3435">
        <v>0</v>
      </c>
      <c r="I14" s="3435">
        <v>0</v>
      </c>
      <c r="J14" s="3435">
        <v>0</v>
      </c>
      <c r="K14" s="3435">
        <v>0</v>
      </c>
      <c r="L14" s="3435">
        <v>0</v>
      </c>
      <c r="M14" s="3435">
        <v>0</v>
      </c>
      <c r="N14" s="3435">
        <v>0</v>
      </c>
      <c r="O14"/>
      <c r="P14"/>
      <c r="Q14"/>
      <c r="R14"/>
      <c r="S14"/>
      <c r="T14"/>
      <c r="U14"/>
      <c r="V14"/>
      <c r="W14"/>
      <c r="X14"/>
      <c r="Y14"/>
      <c r="Z14"/>
      <c r="AA14"/>
      <c r="AB14"/>
      <c r="AC14"/>
      <c r="AD14"/>
      <c r="AE14"/>
      <c r="AF14"/>
      <c r="AG14"/>
      <c r="AH14"/>
      <c r="AI14"/>
      <c r="AJ14"/>
      <c r="AK14"/>
      <c r="AL14"/>
      <c r="AM14"/>
      <c r="AN14"/>
    </row>
    <row r="15" spans="1:79">
      <c r="A15" s="3435" t="s">
        <v>2538</v>
      </c>
      <c r="B15" s="3435" t="s">
        <v>2540</v>
      </c>
      <c r="C15" s="3435">
        <v>0</v>
      </c>
      <c r="D15" s="3435">
        <v>0</v>
      </c>
      <c r="E15" s="3435">
        <v>0</v>
      </c>
      <c r="F15" s="3435">
        <v>0</v>
      </c>
      <c r="G15" s="3435">
        <v>0</v>
      </c>
      <c r="H15" s="3435">
        <v>0</v>
      </c>
      <c r="I15" s="3435">
        <v>0</v>
      </c>
      <c r="J15" s="3435">
        <v>0</v>
      </c>
      <c r="K15" s="3435">
        <v>0</v>
      </c>
      <c r="L15" s="3435">
        <v>0</v>
      </c>
      <c r="M15" s="3435">
        <v>0</v>
      </c>
      <c r="N15" s="3435">
        <v>0</v>
      </c>
      <c r="O15"/>
      <c r="P15"/>
      <c r="Q15"/>
      <c r="R15"/>
      <c r="S15"/>
      <c r="T15"/>
      <c r="U15"/>
      <c r="V15"/>
      <c r="W15"/>
      <c r="X15"/>
      <c r="Y15"/>
      <c r="Z15"/>
      <c r="AA15"/>
      <c r="AB15"/>
      <c r="AC15"/>
      <c r="AD15"/>
      <c r="AE15"/>
      <c r="AF15"/>
      <c r="AG15"/>
      <c r="AH15"/>
      <c r="AI15"/>
      <c r="AJ15"/>
      <c r="AK15"/>
      <c r="AL15"/>
      <c r="AM15"/>
      <c r="AN15"/>
    </row>
    <row r="16" spans="1:79" ht="12.75" customHeight="1">
      <c r="A16" s="3435" t="s">
        <v>2538</v>
      </c>
      <c r="B16" s="3435" t="s">
        <v>2541</v>
      </c>
      <c r="C16" s="3435">
        <v>0</v>
      </c>
      <c r="D16" s="3435">
        <v>0</v>
      </c>
      <c r="E16" s="3435">
        <v>0</v>
      </c>
      <c r="F16" s="3435">
        <v>0</v>
      </c>
      <c r="G16" s="3435">
        <v>0</v>
      </c>
      <c r="H16" s="3435">
        <v>0</v>
      </c>
      <c r="I16" s="3435">
        <v>0</v>
      </c>
      <c r="J16" s="3435">
        <v>0</v>
      </c>
      <c r="K16" s="3435">
        <v>0</v>
      </c>
      <c r="L16" s="3435">
        <v>0</v>
      </c>
      <c r="M16" s="3435">
        <v>0</v>
      </c>
      <c r="N16" s="3435">
        <v>0</v>
      </c>
      <c r="O16"/>
      <c r="P16"/>
      <c r="Q16"/>
      <c r="R16"/>
      <c r="S16"/>
      <c r="T16"/>
      <c r="U16"/>
      <c r="V16"/>
      <c r="W16"/>
      <c r="X16"/>
      <c r="Y16"/>
      <c r="Z16"/>
      <c r="AA16"/>
      <c r="AB16"/>
      <c r="AC16"/>
      <c r="AD16"/>
      <c r="AE16"/>
      <c r="AF16"/>
      <c r="AG16"/>
      <c r="AH16"/>
      <c r="AI16"/>
      <c r="AJ16"/>
      <c r="AK16"/>
      <c r="AL16"/>
      <c r="AM16"/>
      <c r="AN16"/>
    </row>
    <row r="17" spans="1:40">
      <c r="A17" s="3435" t="s">
        <v>2542</v>
      </c>
      <c r="B17" s="3435" t="s">
        <v>2543</v>
      </c>
      <c r="C17" s="3435">
        <v>0</v>
      </c>
      <c r="D17" s="3435">
        <v>0</v>
      </c>
      <c r="E17" s="3435">
        <v>0</v>
      </c>
      <c r="F17" s="3435">
        <v>0</v>
      </c>
      <c r="G17" s="3435">
        <v>0</v>
      </c>
      <c r="H17" s="3435">
        <v>0</v>
      </c>
      <c r="I17" s="3435">
        <v>0</v>
      </c>
      <c r="J17" s="3435">
        <v>0</v>
      </c>
      <c r="K17" s="3435">
        <v>0</v>
      </c>
      <c r="L17" s="3435">
        <v>0</v>
      </c>
      <c r="M17" s="3435">
        <v>0</v>
      </c>
      <c r="N17" s="3435">
        <v>0</v>
      </c>
      <c r="O17"/>
      <c r="P17"/>
      <c r="Q17"/>
      <c r="R17"/>
      <c r="S17"/>
      <c r="T17"/>
      <c r="U17"/>
      <c r="V17"/>
      <c r="W17"/>
      <c r="X17"/>
      <c r="Y17"/>
      <c r="Z17"/>
      <c r="AA17"/>
      <c r="AB17"/>
      <c r="AC17"/>
      <c r="AD17"/>
      <c r="AE17"/>
      <c r="AF17"/>
      <c r="AG17"/>
      <c r="AH17"/>
      <c r="AI17"/>
      <c r="AJ17"/>
      <c r="AK17"/>
      <c r="AL17"/>
      <c r="AM17"/>
      <c r="AN17"/>
    </row>
    <row r="18" spans="1:40">
      <c r="A18" s="3435" t="s">
        <v>2544</v>
      </c>
      <c r="B18" s="3435" t="s">
        <v>2545</v>
      </c>
      <c r="C18" s="3435">
        <v>0</v>
      </c>
      <c r="D18" s="3435">
        <v>0</v>
      </c>
      <c r="E18" s="3435">
        <v>0</v>
      </c>
      <c r="F18" s="3435">
        <v>0</v>
      </c>
      <c r="G18" s="3435">
        <v>0</v>
      </c>
      <c r="H18" s="3435">
        <v>0</v>
      </c>
      <c r="I18" s="3435">
        <v>0</v>
      </c>
      <c r="J18" s="3435">
        <v>0</v>
      </c>
      <c r="K18" s="3435">
        <v>0</v>
      </c>
      <c r="L18" s="3435">
        <v>0</v>
      </c>
      <c r="M18" s="3435">
        <v>0</v>
      </c>
      <c r="N18" s="3435">
        <v>0</v>
      </c>
      <c r="O18"/>
      <c r="P18"/>
      <c r="Q18"/>
      <c r="R18"/>
      <c r="S18"/>
      <c r="T18"/>
      <c r="U18"/>
      <c r="V18"/>
      <c r="W18"/>
      <c r="X18"/>
      <c r="Y18"/>
      <c r="Z18"/>
      <c r="AA18"/>
      <c r="AB18"/>
      <c r="AC18"/>
      <c r="AD18"/>
      <c r="AE18"/>
      <c r="AF18"/>
      <c r="AG18"/>
      <c r="AH18"/>
      <c r="AI18"/>
      <c r="AJ18"/>
      <c r="AK18"/>
      <c r="AL18"/>
      <c r="AM18"/>
      <c r="AN18"/>
    </row>
    <row r="19" spans="1:40">
      <c r="A19" s="3435" t="s">
        <v>2546</v>
      </c>
      <c r="B19" s="3435" t="s">
        <v>2547</v>
      </c>
      <c r="C19" s="3435">
        <v>0</v>
      </c>
      <c r="D19" s="3435">
        <v>0</v>
      </c>
      <c r="E19" s="3435">
        <v>0</v>
      </c>
      <c r="F19" s="3435">
        <v>0</v>
      </c>
      <c r="G19" s="3435">
        <v>0</v>
      </c>
      <c r="H19" s="3435">
        <v>0</v>
      </c>
      <c r="I19" s="3435">
        <v>0</v>
      </c>
      <c r="J19" s="3435">
        <v>0</v>
      </c>
      <c r="K19" s="3435">
        <v>0</v>
      </c>
      <c r="L19" s="3435">
        <v>0</v>
      </c>
      <c r="M19" s="3435">
        <v>0</v>
      </c>
      <c r="N19" s="3435">
        <v>0</v>
      </c>
      <c r="O19"/>
      <c r="P19"/>
      <c r="Q19"/>
      <c r="R19"/>
      <c r="S19"/>
      <c r="T19"/>
      <c r="U19"/>
      <c r="V19"/>
      <c r="W19"/>
      <c r="X19"/>
      <c r="Y19"/>
      <c r="Z19"/>
      <c r="AA19"/>
      <c r="AB19"/>
      <c r="AC19"/>
      <c r="AD19"/>
      <c r="AE19"/>
      <c r="AF19"/>
      <c r="AG19"/>
      <c r="AH19"/>
      <c r="AI19"/>
      <c r="AJ19"/>
      <c r="AK19"/>
      <c r="AL19"/>
      <c r="AM19"/>
      <c r="AN19"/>
    </row>
    <row r="20" spans="1:40">
      <c r="A20" s="3435" t="s">
        <v>2548</v>
      </c>
      <c r="B20" s="3435" t="s">
        <v>2549</v>
      </c>
      <c r="C20" s="3435">
        <v>0</v>
      </c>
      <c r="D20" s="3435">
        <v>0</v>
      </c>
      <c r="E20" s="3435">
        <v>0</v>
      </c>
      <c r="F20" s="3435">
        <v>0</v>
      </c>
      <c r="G20" s="3435">
        <v>0</v>
      </c>
      <c r="H20" s="3435">
        <v>0</v>
      </c>
      <c r="I20" s="3435">
        <v>0</v>
      </c>
      <c r="J20" s="3435">
        <v>0</v>
      </c>
      <c r="K20" s="3435">
        <v>0</v>
      </c>
      <c r="L20" s="3435">
        <v>0</v>
      </c>
      <c r="M20" s="3435">
        <v>0</v>
      </c>
      <c r="N20" s="3435">
        <v>0</v>
      </c>
      <c r="O20"/>
      <c r="P20"/>
      <c r="Q20"/>
      <c r="R20"/>
      <c r="S20"/>
      <c r="T20"/>
      <c r="U20"/>
      <c r="V20"/>
      <c r="W20"/>
      <c r="X20"/>
      <c r="Y20"/>
      <c r="Z20"/>
      <c r="AA20"/>
      <c r="AB20"/>
      <c r="AC20"/>
      <c r="AD20"/>
      <c r="AE20"/>
      <c r="AF20"/>
      <c r="AG20"/>
      <c r="AH20"/>
      <c r="AI20"/>
      <c r="AJ20"/>
      <c r="AK20"/>
      <c r="AL20"/>
      <c r="AM20"/>
      <c r="AN20"/>
    </row>
    <row r="21" spans="1:40">
      <c r="A21" s="3435" t="s">
        <v>2550</v>
      </c>
      <c r="B21" s="3435" t="s">
        <v>2551</v>
      </c>
      <c r="C21" s="3435">
        <v>-4.9200000000000001E-2</v>
      </c>
      <c r="D21" s="3435">
        <v>-8.6999999999999994E-3</v>
      </c>
      <c r="E21" s="3435">
        <v>-5.0999999999999997E-2</v>
      </c>
      <c r="F21" s="3435">
        <v>-0.13200000000000001</v>
      </c>
      <c r="G21" s="3435">
        <v>-6.4000000000000003E-3</v>
      </c>
      <c r="H21" s="3435">
        <v>0</v>
      </c>
      <c r="I21" s="3435">
        <v>0</v>
      </c>
      <c r="J21" s="3435">
        <v>0</v>
      </c>
      <c r="K21" s="3435">
        <v>0</v>
      </c>
      <c r="L21" s="3435">
        <v>0</v>
      </c>
      <c r="M21" s="3435">
        <v>0</v>
      </c>
      <c r="N21" s="3435">
        <v>0</v>
      </c>
      <c r="O21"/>
      <c r="P21"/>
      <c r="Q21"/>
      <c r="R21"/>
      <c r="S21"/>
      <c r="T21"/>
      <c r="U21"/>
      <c r="V21"/>
      <c r="W21"/>
      <c r="X21"/>
      <c r="Y21"/>
      <c r="Z21"/>
      <c r="AA21"/>
      <c r="AB21"/>
      <c r="AC21"/>
      <c r="AD21"/>
      <c r="AE21"/>
      <c r="AF21"/>
      <c r="AG21"/>
      <c r="AH21"/>
      <c r="AI21"/>
      <c r="AJ21"/>
      <c r="AK21"/>
      <c r="AL21"/>
      <c r="AM21"/>
      <c r="AN21"/>
    </row>
    <row r="22" spans="1:40">
      <c r="A22" s="3435" t="s">
        <v>2550</v>
      </c>
      <c r="B22" s="3435" t="s">
        <v>2552</v>
      </c>
      <c r="C22" s="3435">
        <v>0</v>
      </c>
      <c r="D22" s="3435">
        <v>1.4E-2</v>
      </c>
      <c r="E22" s="3435">
        <v>0</v>
      </c>
      <c r="F22" s="3435">
        <v>0</v>
      </c>
      <c r="G22" s="3435">
        <v>-0.03</v>
      </c>
      <c r="H22" s="3435">
        <v>0</v>
      </c>
      <c r="I22" s="3435">
        <v>0</v>
      </c>
      <c r="J22" s="3435">
        <v>0</v>
      </c>
      <c r="K22" s="3435">
        <v>0</v>
      </c>
      <c r="L22" s="3435">
        <v>0</v>
      </c>
      <c r="M22" s="3435">
        <v>0</v>
      </c>
      <c r="N22" s="3435">
        <v>0</v>
      </c>
      <c r="O22"/>
      <c r="P22"/>
      <c r="Q22"/>
      <c r="R22"/>
      <c r="S22"/>
      <c r="T22"/>
      <c r="U22"/>
      <c r="V22"/>
      <c r="W22"/>
      <c r="X22"/>
      <c r="Y22"/>
      <c r="Z22"/>
      <c r="AA22"/>
      <c r="AB22"/>
      <c r="AC22"/>
      <c r="AD22"/>
      <c r="AE22"/>
      <c r="AF22"/>
      <c r="AG22"/>
      <c r="AH22"/>
      <c r="AI22"/>
      <c r="AJ22"/>
      <c r="AK22"/>
      <c r="AL22"/>
      <c r="AM22"/>
      <c r="AN22"/>
    </row>
    <row r="23" spans="1:40">
      <c r="A23" s="3435" t="s">
        <v>2550</v>
      </c>
      <c r="B23" s="3435" t="s">
        <v>2553</v>
      </c>
      <c r="C23" s="3435">
        <v>0</v>
      </c>
      <c r="D23" s="3435">
        <v>0</v>
      </c>
      <c r="E23" s="3435">
        <v>0</v>
      </c>
      <c r="F23" s="3435">
        <v>0</v>
      </c>
      <c r="G23" s="3435">
        <v>0</v>
      </c>
      <c r="H23" s="3435">
        <v>0</v>
      </c>
      <c r="I23" s="3435">
        <v>0</v>
      </c>
      <c r="J23" s="3435">
        <v>0</v>
      </c>
      <c r="K23" s="3435">
        <v>0</v>
      </c>
      <c r="L23" s="3435">
        <v>0</v>
      </c>
      <c r="M23" s="3435">
        <v>0</v>
      </c>
      <c r="N23" s="3435">
        <v>0</v>
      </c>
      <c r="O23"/>
      <c r="P23"/>
      <c r="Q23"/>
      <c r="R23"/>
      <c r="S23"/>
      <c r="T23"/>
      <c r="U23"/>
      <c r="V23"/>
      <c r="W23"/>
      <c r="X23"/>
      <c r="Y23"/>
      <c r="Z23"/>
      <c r="AA23"/>
      <c r="AB23"/>
      <c r="AC23"/>
      <c r="AD23"/>
      <c r="AE23"/>
      <c r="AF23"/>
      <c r="AG23"/>
      <c r="AH23"/>
      <c r="AI23"/>
      <c r="AJ23"/>
      <c r="AK23"/>
      <c r="AL23"/>
      <c r="AM23"/>
      <c r="AN23"/>
    </row>
    <row r="24" spans="1:40">
      <c r="A24" s="3435" t="s">
        <v>2550</v>
      </c>
      <c r="B24" s="3435" t="s">
        <v>2554</v>
      </c>
      <c r="C24" s="3435">
        <v>0</v>
      </c>
      <c r="D24" s="3435">
        <v>0</v>
      </c>
      <c r="E24" s="3435">
        <v>0</v>
      </c>
      <c r="F24" s="3435">
        <v>0</v>
      </c>
      <c r="G24" s="3435">
        <v>0</v>
      </c>
      <c r="H24" s="3435">
        <v>0</v>
      </c>
      <c r="I24" s="3435">
        <v>0</v>
      </c>
      <c r="J24" s="3435">
        <v>0</v>
      </c>
      <c r="K24" s="3435">
        <v>0</v>
      </c>
      <c r="L24" s="3435">
        <v>0</v>
      </c>
      <c r="M24" s="3435">
        <v>0</v>
      </c>
      <c r="N24" s="3435">
        <v>0</v>
      </c>
      <c r="O24"/>
      <c r="P24"/>
      <c r="Q24"/>
      <c r="R24"/>
      <c r="S24"/>
      <c r="T24"/>
      <c r="U24"/>
      <c r="V24"/>
      <c r="W24"/>
      <c r="X24"/>
      <c r="Y24"/>
      <c r="Z24"/>
      <c r="AA24"/>
      <c r="AB24"/>
      <c r="AC24"/>
      <c r="AD24"/>
      <c r="AE24"/>
      <c r="AF24"/>
      <c r="AG24"/>
      <c r="AH24"/>
      <c r="AI24"/>
      <c r="AJ24"/>
      <c r="AK24"/>
      <c r="AL24"/>
      <c r="AM24"/>
      <c r="AN24"/>
    </row>
    <row r="25" spans="1:40">
      <c r="A25" s="3435" t="s">
        <v>2555</v>
      </c>
      <c r="B25" s="3435" t="s">
        <v>2556</v>
      </c>
      <c r="C25" s="3435">
        <v>2.9000000000000001E-2</v>
      </c>
      <c r="D25" s="3435">
        <v>3.8100000000000002E-2</v>
      </c>
      <c r="E25" s="3435">
        <v>7.1499999999999994E-2</v>
      </c>
      <c r="F25" s="3435">
        <v>4.9200000000000001E-2</v>
      </c>
      <c r="G25" s="3435">
        <v>0.1246</v>
      </c>
      <c r="H25" s="3435">
        <v>0</v>
      </c>
      <c r="I25" s="3435">
        <v>0</v>
      </c>
      <c r="J25" s="3435">
        <v>0</v>
      </c>
      <c r="K25" s="3435">
        <v>0</v>
      </c>
      <c r="L25" s="3435">
        <v>0</v>
      </c>
      <c r="M25" s="3435">
        <v>0</v>
      </c>
      <c r="N25" s="3435">
        <v>0</v>
      </c>
      <c r="O25"/>
      <c r="P25"/>
      <c r="Q25"/>
      <c r="R25"/>
      <c r="S25"/>
      <c r="T25"/>
      <c r="U25"/>
      <c r="V25"/>
      <c r="W25"/>
      <c r="X25"/>
      <c r="Y25"/>
      <c r="Z25"/>
      <c r="AA25"/>
      <c r="AB25"/>
      <c r="AC25"/>
      <c r="AD25"/>
      <c r="AE25"/>
      <c r="AF25"/>
      <c r="AG25"/>
      <c r="AH25"/>
      <c r="AI25"/>
      <c r="AJ25"/>
      <c r="AK25"/>
      <c r="AL25"/>
      <c r="AM25"/>
      <c r="AN25"/>
    </row>
    <row r="26" spans="1:40">
      <c r="A26" s="3435" t="s">
        <v>2557</v>
      </c>
      <c r="B26" s="3435" t="s">
        <v>2558</v>
      </c>
      <c r="C26" s="3435">
        <v>0</v>
      </c>
      <c r="D26" s="3435">
        <v>0</v>
      </c>
      <c r="E26" s="3435">
        <v>0</v>
      </c>
      <c r="F26" s="3435">
        <v>0</v>
      </c>
      <c r="G26" s="3435">
        <v>0</v>
      </c>
      <c r="H26" s="3435">
        <v>0</v>
      </c>
      <c r="I26" s="3435">
        <v>0</v>
      </c>
      <c r="J26" s="3435">
        <v>0</v>
      </c>
      <c r="K26" s="3435">
        <v>0</v>
      </c>
      <c r="L26" s="3435">
        <v>0</v>
      </c>
      <c r="M26" s="3435">
        <v>0</v>
      </c>
      <c r="N26" s="3435">
        <v>0</v>
      </c>
      <c r="O26"/>
      <c r="P26"/>
      <c r="Q26"/>
      <c r="R26"/>
      <c r="S26"/>
      <c r="T26"/>
      <c r="U26"/>
      <c r="V26"/>
      <c r="W26"/>
      <c r="X26"/>
      <c r="Y26"/>
      <c r="Z26"/>
      <c r="AA26"/>
      <c r="AB26"/>
      <c r="AC26"/>
      <c r="AD26"/>
      <c r="AE26"/>
      <c r="AF26"/>
      <c r="AG26"/>
      <c r="AH26"/>
      <c r="AI26"/>
      <c r="AJ26"/>
      <c r="AK26"/>
      <c r="AL26"/>
      <c r="AM26"/>
      <c r="AN26"/>
    </row>
    <row r="27" spans="1:40">
      <c r="A27" s="3435" t="s">
        <v>1050</v>
      </c>
      <c r="B27" s="3435" t="s">
        <v>2559</v>
      </c>
      <c r="C27" s="3435">
        <v>0</v>
      </c>
      <c r="D27" s="3435">
        <v>0</v>
      </c>
      <c r="E27" s="3435">
        <v>0</v>
      </c>
      <c r="F27" s="3435">
        <v>0</v>
      </c>
      <c r="G27" s="3435">
        <v>0</v>
      </c>
      <c r="H27" s="3435">
        <v>0</v>
      </c>
      <c r="I27" s="3435">
        <v>0</v>
      </c>
      <c r="J27" s="3435">
        <v>0</v>
      </c>
      <c r="K27" s="3435">
        <v>0</v>
      </c>
      <c r="L27" s="3435">
        <v>0</v>
      </c>
      <c r="M27" s="3435">
        <v>0</v>
      </c>
      <c r="N27" s="3435">
        <v>0</v>
      </c>
      <c r="O27"/>
      <c r="P27"/>
      <c r="Q27"/>
      <c r="R27"/>
      <c r="S27"/>
      <c r="T27"/>
      <c r="U27"/>
      <c r="V27"/>
      <c r="W27"/>
      <c r="X27"/>
      <c r="Y27"/>
      <c r="Z27"/>
      <c r="AA27"/>
      <c r="AB27"/>
      <c r="AC27"/>
      <c r="AD27"/>
      <c r="AE27"/>
      <c r="AF27"/>
      <c r="AG27"/>
      <c r="AH27"/>
      <c r="AI27"/>
      <c r="AJ27"/>
      <c r="AK27"/>
      <c r="AL27"/>
      <c r="AM27"/>
      <c r="AN27"/>
    </row>
    <row r="28" spans="1:40">
      <c r="A28" s="3435" t="s">
        <v>2560</v>
      </c>
      <c r="B28" s="3435" t="s">
        <v>2561</v>
      </c>
      <c r="C28" s="3435">
        <v>0.36470000000000002</v>
      </c>
      <c r="D28" s="3435">
        <v>-0.26829999999999998</v>
      </c>
      <c r="E28" s="3435">
        <v>-0.12839999999999999</v>
      </c>
      <c r="F28" s="3435">
        <v>-8.9999999999999993E-3</v>
      </c>
      <c r="G28" s="3435">
        <v>-1.4999999999999999E-2</v>
      </c>
      <c r="H28" s="3435">
        <v>-1.0999999999999999E-2</v>
      </c>
      <c r="I28" s="3435">
        <v>-7.8E-2</v>
      </c>
      <c r="J28" s="3435">
        <v>0</v>
      </c>
      <c r="K28" s="3435">
        <v>0</v>
      </c>
      <c r="L28" s="3435">
        <v>0</v>
      </c>
      <c r="M28" s="3435">
        <v>0</v>
      </c>
      <c r="N28" s="3435">
        <v>0</v>
      </c>
      <c r="O28"/>
      <c r="P28"/>
      <c r="Q28"/>
      <c r="R28"/>
      <c r="S28"/>
      <c r="T28"/>
      <c r="U28"/>
      <c r="V28"/>
      <c r="W28"/>
      <c r="X28"/>
      <c r="Y28"/>
      <c r="Z28"/>
      <c r="AA28"/>
      <c r="AB28"/>
      <c r="AC28"/>
      <c r="AD28"/>
      <c r="AE28"/>
      <c r="AF28"/>
      <c r="AG28"/>
      <c r="AH28"/>
      <c r="AI28"/>
      <c r="AJ28"/>
      <c r="AK28"/>
      <c r="AL28"/>
      <c r="AM28"/>
      <c r="AN28"/>
    </row>
    <row r="29" spans="1:40">
      <c r="A29" s="3435" t="s">
        <v>1627</v>
      </c>
      <c r="B29" s="3435" t="s">
        <v>2480</v>
      </c>
      <c r="C29" s="3435">
        <v>-4.9200000000000001E-2</v>
      </c>
      <c r="D29" s="3435">
        <v>0</v>
      </c>
      <c r="E29" s="3435">
        <v>0</v>
      </c>
      <c r="F29" s="3435">
        <v>0</v>
      </c>
      <c r="G29" s="3435">
        <v>0</v>
      </c>
      <c r="H29" s="3435">
        <v>0</v>
      </c>
      <c r="I29" s="3435">
        <v>0</v>
      </c>
      <c r="J29" s="3435">
        <v>0</v>
      </c>
      <c r="K29" s="3435">
        <v>0</v>
      </c>
      <c r="L29" s="3435">
        <v>0</v>
      </c>
      <c r="M29" s="3435">
        <v>0</v>
      </c>
      <c r="N29" s="3435">
        <v>0</v>
      </c>
      <c r="O29"/>
      <c r="P29"/>
      <c r="Q29"/>
      <c r="R29"/>
      <c r="S29"/>
      <c r="T29"/>
      <c r="U29"/>
      <c r="V29"/>
      <c r="W29"/>
      <c r="X29"/>
      <c r="Y29"/>
      <c r="Z29"/>
      <c r="AA29"/>
      <c r="AB29"/>
      <c r="AC29"/>
      <c r="AD29"/>
      <c r="AE29"/>
      <c r="AF29"/>
      <c r="AG29"/>
      <c r="AH29"/>
      <c r="AI29"/>
      <c r="AJ29"/>
      <c r="AK29"/>
      <c r="AL29"/>
      <c r="AM29"/>
      <c r="AN29"/>
    </row>
    <row r="30" spans="1:40">
      <c r="A30" s="3435" t="s">
        <v>2562</v>
      </c>
      <c r="B30" s="3435" t="s">
        <v>2563</v>
      </c>
      <c r="C30" s="3435">
        <v>6.2600000000000003E-2</v>
      </c>
      <c r="D30" s="3435">
        <v>1.15E-2</v>
      </c>
      <c r="E30" s="3435">
        <v>0.1007</v>
      </c>
      <c r="F30" s="3435">
        <v>8.9399999999999993E-2</v>
      </c>
      <c r="G30" s="3435">
        <v>0</v>
      </c>
      <c r="H30" s="3435">
        <v>0</v>
      </c>
      <c r="I30" s="3435">
        <v>0</v>
      </c>
      <c r="J30" s="3435">
        <v>0</v>
      </c>
      <c r="K30" s="3435">
        <v>0</v>
      </c>
      <c r="L30" s="3435">
        <v>0</v>
      </c>
      <c r="M30" s="3435">
        <v>0</v>
      </c>
      <c r="N30" s="3435">
        <v>0</v>
      </c>
      <c r="O30"/>
      <c r="P30"/>
      <c r="Q30"/>
      <c r="R30"/>
      <c r="S30"/>
      <c r="T30"/>
      <c r="U30"/>
      <c r="V30"/>
      <c r="W30"/>
      <c r="X30"/>
      <c r="Y30"/>
      <c r="Z30"/>
      <c r="AA30"/>
      <c r="AB30"/>
      <c r="AC30"/>
      <c r="AD30"/>
      <c r="AE30"/>
      <c r="AF30"/>
      <c r="AG30"/>
      <c r="AH30"/>
      <c r="AI30"/>
      <c r="AJ30"/>
      <c r="AK30"/>
      <c r="AL30"/>
      <c r="AM30"/>
      <c r="AN30"/>
    </row>
    <row r="31" spans="1:40">
      <c r="A31" s="3435" t="s">
        <v>2538</v>
      </c>
      <c r="B31" s="3435" t="s">
        <v>2564</v>
      </c>
      <c r="C31" s="3435">
        <v>0</v>
      </c>
      <c r="D31" s="3435">
        <v>0</v>
      </c>
      <c r="E31" s="3435">
        <v>0</v>
      </c>
      <c r="F31" s="3435">
        <v>0</v>
      </c>
      <c r="G31" s="3435">
        <v>0</v>
      </c>
      <c r="H31" s="3435">
        <v>0</v>
      </c>
      <c r="I31" s="3435">
        <v>0</v>
      </c>
      <c r="J31" s="3435">
        <v>0</v>
      </c>
      <c r="K31" s="3435">
        <v>0</v>
      </c>
      <c r="L31" s="3435">
        <v>0</v>
      </c>
      <c r="M31" s="3435">
        <v>0</v>
      </c>
      <c r="N31" s="3435">
        <v>0</v>
      </c>
      <c r="O31"/>
      <c r="P31"/>
      <c r="Q31"/>
      <c r="R31"/>
      <c r="S31"/>
      <c r="T31"/>
      <c r="U31"/>
      <c r="V31"/>
      <c r="W31"/>
      <c r="X31"/>
      <c r="Y31"/>
      <c r="Z31"/>
      <c r="AA31"/>
      <c r="AB31"/>
      <c r="AC31"/>
      <c r="AD31"/>
      <c r="AE31"/>
      <c r="AF31"/>
      <c r="AG31"/>
      <c r="AH31"/>
      <c r="AI31"/>
      <c r="AJ31"/>
      <c r="AK31"/>
      <c r="AL31"/>
      <c r="AM31"/>
      <c r="AN31"/>
    </row>
    <row r="32" spans="1:40">
      <c r="A32" s="3435" t="s">
        <v>2542</v>
      </c>
      <c r="B32" s="3435" t="s">
        <v>2565</v>
      </c>
      <c r="C32" s="3435">
        <v>0</v>
      </c>
      <c r="D32" s="3435">
        <v>0</v>
      </c>
      <c r="E32" s="3435">
        <v>0</v>
      </c>
      <c r="F32" s="3435">
        <v>0</v>
      </c>
      <c r="G32" s="3435">
        <v>0</v>
      </c>
      <c r="H32" s="3435">
        <v>0</v>
      </c>
      <c r="I32" s="3435">
        <v>0</v>
      </c>
      <c r="J32" s="3435">
        <v>0</v>
      </c>
      <c r="K32" s="3435">
        <v>0</v>
      </c>
      <c r="L32" s="3435">
        <v>0</v>
      </c>
      <c r="M32" s="3435">
        <v>0</v>
      </c>
      <c r="N32" s="3435">
        <v>0</v>
      </c>
      <c r="O32"/>
      <c r="P32"/>
      <c r="Q32"/>
      <c r="R32"/>
      <c r="S32"/>
      <c r="T32"/>
      <c r="U32"/>
      <c r="V32"/>
      <c r="W32"/>
      <c r="X32"/>
      <c r="Y32"/>
      <c r="Z32"/>
      <c r="AA32"/>
      <c r="AB32"/>
      <c r="AC32"/>
      <c r="AD32"/>
      <c r="AE32"/>
      <c r="AF32"/>
      <c r="AG32"/>
      <c r="AH32"/>
      <c r="AI32"/>
      <c r="AJ32"/>
      <c r="AK32"/>
      <c r="AL32"/>
      <c r="AM32"/>
      <c r="AN32"/>
    </row>
    <row r="33" spans="1:79">
      <c r="A33" s="3435" t="s">
        <v>2566</v>
      </c>
      <c r="B33" s="3435" t="s">
        <v>2567</v>
      </c>
      <c r="C33" s="3435">
        <v>0</v>
      </c>
      <c r="D33" s="3435">
        <v>0</v>
      </c>
      <c r="E33" s="3435">
        <v>0</v>
      </c>
      <c r="F33" s="3435">
        <v>0</v>
      </c>
      <c r="G33" s="3435">
        <v>0</v>
      </c>
      <c r="H33" s="3435">
        <v>0</v>
      </c>
      <c r="I33" s="3435">
        <v>0</v>
      </c>
      <c r="J33" s="3435">
        <v>0</v>
      </c>
      <c r="K33" s="3435">
        <v>0</v>
      </c>
      <c r="L33" s="3435">
        <v>0</v>
      </c>
      <c r="M33" s="3435">
        <v>0</v>
      </c>
      <c r="N33" s="3435">
        <v>0</v>
      </c>
      <c r="O33"/>
      <c r="P33"/>
      <c r="Q33"/>
      <c r="R33"/>
      <c r="S33"/>
      <c r="T33"/>
      <c r="U33"/>
      <c r="V33"/>
      <c r="W33"/>
      <c r="X33"/>
      <c r="Y33"/>
      <c r="Z33"/>
      <c r="AA33"/>
      <c r="AB33"/>
      <c r="AC33"/>
      <c r="AD33"/>
      <c r="AE33"/>
      <c r="AF33"/>
      <c r="AG33"/>
      <c r="AH33"/>
      <c r="AI33"/>
      <c r="AJ33"/>
      <c r="AK33"/>
      <c r="AL33"/>
      <c r="AM33"/>
      <c r="AN33"/>
    </row>
    <row r="34" spans="1:79">
      <c r="A34" s="3435" t="s">
        <v>2544</v>
      </c>
      <c r="B34" s="3435" t="s">
        <v>2568</v>
      </c>
      <c r="C34" s="3435">
        <v>0</v>
      </c>
      <c r="D34" s="3435">
        <v>0</v>
      </c>
      <c r="E34" s="3435">
        <v>0</v>
      </c>
      <c r="F34" s="3435">
        <v>0</v>
      </c>
      <c r="G34" s="3435">
        <v>0</v>
      </c>
      <c r="H34" s="3435">
        <v>0</v>
      </c>
      <c r="I34" s="3435">
        <v>0</v>
      </c>
      <c r="J34" s="3435">
        <v>0</v>
      </c>
      <c r="K34" s="3435">
        <v>0</v>
      </c>
      <c r="L34" s="3435">
        <v>0</v>
      </c>
      <c r="M34" s="3435">
        <v>0</v>
      </c>
      <c r="N34" s="3435">
        <v>0</v>
      </c>
      <c r="O34"/>
      <c r="P34"/>
      <c r="Q34"/>
      <c r="R34"/>
      <c r="S34"/>
      <c r="T34"/>
      <c r="U34"/>
      <c r="V34"/>
      <c r="W34"/>
      <c r="X34"/>
      <c r="Y34"/>
      <c r="Z34"/>
      <c r="AA34"/>
      <c r="AB34"/>
      <c r="AC34"/>
      <c r="AD34"/>
      <c r="AE34"/>
      <c r="AF34"/>
      <c r="AG34"/>
      <c r="AH34"/>
      <c r="AI34"/>
      <c r="AJ34"/>
      <c r="AK34"/>
      <c r="AL34"/>
      <c r="AM34"/>
      <c r="AN34"/>
    </row>
    <row r="35" spans="1:79">
      <c r="A35" s="3435" t="s">
        <v>2544</v>
      </c>
      <c r="B35" s="3435" t="s">
        <v>2569</v>
      </c>
      <c r="C35" s="3435">
        <v>0</v>
      </c>
      <c r="D35" s="3435">
        <v>0</v>
      </c>
      <c r="E35" s="3435">
        <v>0</v>
      </c>
      <c r="F35" s="3435">
        <v>0</v>
      </c>
      <c r="G35" s="3435">
        <v>0</v>
      </c>
      <c r="H35" s="3435">
        <v>0</v>
      </c>
      <c r="I35" s="3435">
        <v>0</v>
      </c>
      <c r="J35" s="3435">
        <v>0</v>
      </c>
      <c r="K35" s="3435">
        <v>0</v>
      </c>
      <c r="L35" s="3435">
        <v>0</v>
      </c>
      <c r="M35" s="3435">
        <v>0</v>
      </c>
      <c r="N35" s="3435">
        <v>0</v>
      </c>
      <c r="O35"/>
      <c r="P35"/>
      <c r="Q35"/>
      <c r="R35"/>
      <c r="S35"/>
      <c r="T35"/>
      <c r="U35"/>
      <c r="V35"/>
      <c r="W35"/>
      <c r="X35"/>
      <c r="Y35"/>
      <c r="Z35"/>
      <c r="AA35"/>
      <c r="AB35"/>
      <c r="AC35"/>
      <c r="AD35"/>
      <c r="AE35"/>
      <c r="AF35"/>
      <c r="AG35"/>
      <c r="AH35"/>
      <c r="AI35"/>
      <c r="AJ35"/>
      <c r="AK35"/>
      <c r="AL35"/>
      <c r="AM35"/>
      <c r="AN35"/>
    </row>
    <row r="36" spans="1:79">
      <c r="A36" s="3435" t="s">
        <v>2544</v>
      </c>
      <c r="B36" s="3435" t="s">
        <v>2570</v>
      </c>
      <c r="C36" s="3435">
        <v>0</v>
      </c>
      <c r="D36" s="3435">
        <v>0</v>
      </c>
      <c r="E36" s="3435">
        <v>0</v>
      </c>
      <c r="F36" s="3435">
        <v>0</v>
      </c>
      <c r="G36" s="3435">
        <v>0</v>
      </c>
      <c r="H36" s="3435">
        <v>0</v>
      </c>
      <c r="I36" s="3435">
        <v>0</v>
      </c>
      <c r="J36" s="3435">
        <v>0</v>
      </c>
      <c r="K36" s="3435">
        <v>0</v>
      </c>
      <c r="L36" s="3435">
        <v>0</v>
      </c>
      <c r="M36" s="3435">
        <v>0</v>
      </c>
      <c r="N36" s="3435">
        <v>0</v>
      </c>
      <c r="O36"/>
      <c r="P36"/>
      <c r="Q36"/>
      <c r="R36"/>
      <c r="S36"/>
      <c r="T36"/>
      <c r="U36"/>
      <c r="V36"/>
      <c r="W36"/>
      <c r="X36"/>
      <c r="Y36"/>
      <c r="Z36"/>
      <c r="AA36"/>
      <c r="AB36"/>
      <c r="AC36"/>
      <c r="AD36"/>
      <c r="AE36"/>
      <c r="AF36"/>
      <c r="AG36"/>
      <c r="AH36"/>
      <c r="AI36"/>
      <c r="AJ36"/>
      <c r="AK36"/>
      <c r="AL36"/>
      <c r="AM36"/>
      <c r="AN36"/>
    </row>
    <row r="37" spans="1:79">
      <c r="A37" s="3435" t="s">
        <v>2546</v>
      </c>
      <c r="B37" s="3435" t="s">
        <v>2571</v>
      </c>
      <c r="C37" s="3435">
        <v>0</v>
      </c>
      <c r="D37" s="3435">
        <v>0</v>
      </c>
      <c r="E37" s="3435">
        <v>0</v>
      </c>
      <c r="F37" s="3435">
        <v>0</v>
      </c>
      <c r="G37" s="3435">
        <v>0</v>
      </c>
      <c r="H37" s="3435">
        <v>0</v>
      </c>
      <c r="I37" s="3435">
        <v>0</v>
      </c>
      <c r="J37" s="3435">
        <v>0</v>
      </c>
      <c r="K37" s="3435">
        <v>0</v>
      </c>
      <c r="L37" s="3435">
        <v>0</v>
      </c>
      <c r="M37" s="3435">
        <v>0</v>
      </c>
      <c r="N37" s="3435">
        <v>0</v>
      </c>
      <c r="O37"/>
      <c r="P37"/>
      <c r="Q37"/>
      <c r="R37"/>
      <c r="S37"/>
      <c r="T37"/>
      <c r="U37"/>
      <c r="V37"/>
      <c r="W37"/>
      <c r="X37"/>
      <c r="Y37"/>
      <c r="Z37"/>
      <c r="AA37"/>
      <c r="AB37"/>
      <c r="AC37"/>
      <c r="AD37"/>
      <c r="AE37"/>
      <c r="AF37"/>
      <c r="AG37"/>
      <c r="AH37"/>
      <c r="AI37"/>
      <c r="AJ37"/>
      <c r="AK37"/>
      <c r="AL37"/>
      <c r="AM37"/>
      <c r="AN37"/>
    </row>
    <row r="38" spans="1:79">
      <c r="A38" s="3435" t="s">
        <v>2572</v>
      </c>
      <c r="B38" s="3435" t="s">
        <v>2573</v>
      </c>
      <c r="C38" s="3435">
        <v>0</v>
      </c>
      <c r="D38" s="3435">
        <v>0</v>
      </c>
      <c r="E38" s="3435">
        <v>0</v>
      </c>
      <c r="F38" s="3435">
        <v>0</v>
      </c>
      <c r="G38" s="3435">
        <v>0</v>
      </c>
      <c r="H38" s="3435">
        <v>0</v>
      </c>
      <c r="I38" s="3435">
        <v>0</v>
      </c>
      <c r="J38" s="3435">
        <v>0</v>
      </c>
      <c r="K38" s="3435">
        <v>0</v>
      </c>
      <c r="L38" s="3435">
        <v>0</v>
      </c>
      <c r="M38" s="3435">
        <v>0</v>
      </c>
      <c r="N38" s="3435">
        <v>0</v>
      </c>
      <c r="O38"/>
      <c r="P38"/>
      <c r="Q38"/>
      <c r="R38"/>
      <c r="S38"/>
      <c r="T38"/>
      <c r="U38"/>
      <c r="V38"/>
      <c r="W38"/>
      <c r="X38"/>
      <c r="Y38"/>
      <c r="Z38"/>
      <c r="AA38"/>
      <c r="AB38"/>
      <c r="AC38"/>
      <c r="AD38"/>
      <c r="AE38"/>
      <c r="AF38"/>
      <c r="AG38"/>
      <c r="AH38"/>
      <c r="AI38"/>
      <c r="AJ38"/>
      <c r="AK38"/>
      <c r="AL38"/>
      <c r="AM38"/>
      <c r="AN38"/>
    </row>
    <row r="39" spans="1:79">
      <c r="A39" s="3435" t="s">
        <v>2574</v>
      </c>
      <c r="B39" s="3435" t="s">
        <v>2575</v>
      </c>
      <c r="C39" s="3435">
        <v>0</v>
      </c>
      <c r="D39" s="3435">
        <v>0</v>
      </c>
      <c r="E39" s="3435">
        <v>0</v>
      </c>
      <c r="F39" s="3435">
        <v>0</v>
      </c>
      <c r="G39" s="3435">
        <v>0</v>
      </c>
      <c r="H39" s="3435">
        <v>0</v>
      </c>
      <c r="I39" s="3435">
        <v>0</v>
      </c>
      <c r="J39" s="3435">
        <v>0</v>
      </c>
      <c r="K39" s="3435">
        <v>0</v>
      </c>
      <c r="L39" s="3435">
        <v>0</v>
      </c>
      <c r="M39" s="3435">
        <v>0</v>
      </c>
      <c r="N39" s="3435">
        <v>0</v>
      </c>
      <c r="O39"/>
      <c r="P39"/>
      <c r="Q39"/>
      <c r="R39"/>
      <c r="S39"/>
      <c r="T39"/>
      <c r="U39"/>
      <c r="V39"/>
      <c r="W39"/>
      <c r="X39"/>
      <c r="Y39"/>
      <c r="Z39"/>
      <c r="AA39"/>
      <c r="AB39"/>
      <c r="AC39"/>
      <c r="AD39"/>
      <c r="AE39"/>
      <c r="AF39"/>
      <c r="AG39"/>
      <c r="AH39"/>
      <c r="AI39"/>
      <c r="AJ39"/>
      <c r="AK39"/>
      <c r="AL39"/>
      <c r="AM39"/>
      <c r="AN39"/>
    </row>
    <row r="40" spans="1:79">
      <c r="A40" s="3435" t="s">
        <v>2550</v>
      </c>
      <c r="B40" s="3435" t="s">
        <v>2576</v>
      </c>
      <c r="C40" s="3435">
        <v>0</v>
      </c>
      <c r="D40" s="3435">
        <v>0</v>
      </c>
      <c r="E40" s="3435">
        <v>0</v>
      </c>
      <c r="F40" s="3435">
        <v>0</v>
      </c>
      <c r="G40" s="3435">
        <v>0</v>
      </c>
      <c r="H40" s="3435">
        <v>0</v>
      </c>
      <c r="I40" s="3435">
        <v>0</v>
      </c>
      <c r="J40" s="3435">
        <v>0</v>
      </c>
      <c r="K40" s="3435">
        <v>0</v>
      </c>
      <c r="L40" s="3435">
        <v>0</v>
      </c>
      <c r="M40" s="3435">
        <v>0</v>
      </c>
      <c r="N40" s="3435">
        <v>0</v>
      </c>
      <c r="O40"/>
      <c r="P40"/>
      <c r="Q40"/>
      <c r="R40"/>
      <c r="S40"/>
      <c r="T40"/>
      <c r="U40"/>
      <c r="V40"/>
      <c r="W40"/>
      <c r="X40"/>
      <c r="Y40"/>
      <c r="Z40"/>
      <c r="AA40"/>
      <c r="AB40"/>
      <c r="AC40"/>
      <c r="AD40"/>
      <c r="AE40"/>
      <c r="AF40"/>
      <c r="AG40"/>
      <c r="AH40"/>
      <c r="AI40"/>
      <c r="AJ40"/>
      <c r="AK40"/>
      <c r="AL40"/>
      <c r="AM40"/>
      <c r="AN40"/>
    </row>
    <row r="41" spans="1:79">
      <c r="A41" s="3435" t="s">
        <v>2550</v>
      </c>
      <c r="B41" s="3435" t="s">
        <v>2577</v>
      </c>
      <c r="C41" s="3435">
        <v>0</v>
      </c>
      <c r="D41" s="3435">
        <v>0</v>
      </c>
      <c r="E41" s="3435">
        <v>0</v>
      </c>
      <c r="F41" s="3435">
        <v>0</v>
      </c>
      <c r="G41" s="3435">
        <v>0</v>
      </c>
      <c r="H41" s="3435">
        <v>0</v>
      </c>
      <c r="I41" s="3435">
        <v>0</v>
      </c>
      <c r="J41" s="3435">
        <v>0</v>
      </c>
      <c r="K41" s="3435">
        <v>0</v>
      </c>
      <c r="L41" s="3435">
        <v>0</v>
      </c>
      <c r="M41" s="3435">
        <v>0</v>
      </c>
      <c r="N41" s="3435">
        <v>0</v>
      </c>
      <c r="O41"/>
      <c r="P41"/>
      <c r="Q41"/>
      <c r="R41"/>
      <c r="S41"/>
      <c r="T41"/>
      <c r="U41"/>
      <c r="V41"/>
      <c r="W41"/>
      <c r="X41"/>
      <c r="Y41"/>
      <c r="Z41"/>
      <c r="AA41"/>
      <c r="AB41"/>
      <c r="AC41"/>
      <c r="AD41"/>
      <c r="AE41"/>
      <c r="AF41"/>
      <c r="AG41"/>
      <c r="AH41"/>
      <c r="AI41"/>
      <c r="AJ41"/>
      <c r="AK41"/>
      <c r="AL41"/>
      <c r="AM41"/>
      <c r="AN41"/>
    </row>
    <row r="42" spans="1:79">
      <c r="A42" s="3435" t="s">
        <v>2578</v>
      </c>
      <c r="B42" s="3435" t="s">
        <v>2579</v>
      </c>
      <c r="C42" s="3435">
        <v>0.37069999999999997</v>
      </c>
      <c r="D42" s="3435">
        <v>-0.25340000000000001</v>
      </c>
      <c r="E42" s="3435">
        <v>0.15440000000000001</v>
      </c>
      <c r="F42" s="3435">
        <v>0.25230000000000002</v>
      </c>
      <c r="G42" s="3435">
        <v>0</v>
      </c>
      <c r="H42" s="3435">
        <v>0</v>
      </c>
      <c r="I42" s="3435">
        <v>0</v>
      </c>
      <c r="J42" s="3435">
        <v>0</v>
      </c>
      <c r="K42" s="3435">
        <v>0</v>
      </c>
      <c r="L42" s="3435">
        <v>0</v>
      </c>
      <c r="M42" s="3435">
        <v>0</v>
      </c>
      <c r="N42" s="3435">
        <v>0</v>
      </c>
      <c r="O42"/>
      <c r="P42"/>
      <c r="Q42"/>
      <c r="R42"/>
      <c r="S42"/>
      <c r="T42"/>
      <c r="U42"/>
      <c r="V42"/>
      <c r="W42"/>
      <c r="X42"/>
      <c r="Y42"/>
      <c r="Z42"/>
      <c r="AA42"/>
      <c r="AB42"/>
      <c r="AC42"/>
      <c r="AD42"/>
      <c r="AE42"/>
      <c r="AF42"/>
      <c r="AG42"/>
      <c r="AH42"/>
      <c r="AI42"/>
      <c r="AJ42"/>
      <c r="AK42"/>
      <c r="AL42"/>
      <c r="AM42"/>
      <c r="AN42"/>
    </row>
    <row r="43" spans="1:79">
      <c r="A43" s="3435" t="s">
        <v>2580</v>
      </c>
      <c r="B43" s="3435" t="s">
        <v>2581</v>
      </c>
      <c r="C43" s="3435">
        <v>0</v>
      </c>
      <c r="D43" s="3435">
        <v>0</v>
      </c>
      <c r="E43" s="3435">
        <v>0</v>
      </c>
      <c r="F43" s="3435">
        <v>0</v>
      </c>
      <c r="G43" s="3435">
        <v>0</v>
      </c>
      <c r="H43" s="3435">
        <v>0</v>
      </c>
      <c r="I43" s="3435">
        <v>0</v>
      </c>
      <c r="J43" s="3435">
        <v>0</v>
      </c>
      <c r="K43" s="3435">
        <v>0</v>
      </c>
      <c r="L43" s="3435">
        <v>0</v>
      </c>
      <c r="M43" s="3435">
        <v>0</v>
      </c>
      <c r="N43" s="3435">
        <v>0</v>
      </c>
      <c r="O43"/>
      <c r="P43"/>
      <c r="Q43"/>
      <c r="R43"/>
      <c r="S43"/>
      <c r="T43"/>
      <c r="U43"/>
      <c r="V43"/>
      <c r="W43"/>
      <c r="X43"/>
      <c r="Y43"/>
      <c r="Z43"/>
      <c r="AA43"/>
      <c r="AB43"/>
      <c r="AC43"/>
      <c r="AD43"/>
      <c r="AE43"/>
      <c r="AF43"/>
      <c r="AG43"/>
      <c r="AH43"/>
      <c r="AI43"/>
      <c r="AJ43"/>
      <c r="AK43"/>
      <c r="AL43"/>
      <c r="AM43"/>
      <c r="AN43"/>
    </row>
    <row r="44" spans="1:79">
      <c r="A44" s="3435" t="s">
        <v>1050</v>
      </c>
      <c r="B44" s="3435" t="s">
        <v>2582</v>
      </c>
      <c r="C44" s="3435">
        <v>0</v>
      </c>
      <c r="D44" s="3435">
        <v>0</v>
      </c>
      <c r="E44" s="3435">
        <v>0</v>
      </c>
      <c r="F44" s="3435">
        <v>0</v>
      </c>
      <c r="G44" s="3435">
        <v>0</v>
      </c>
      <c r="H44" s="3435">
        <v>0</v>
      </c>
      <c r="I44" s="3435">
        <v>0</v>
      </c>
      <c r="J44" s="3435">
        <v>0</v>
      </c>
      <c r="K44" s="3435">
        <v>0</v>
      </c>
      <c r="L44" s="3435">
        <v>0</v>
      </c>
      <c r="M44" s="3435">
        <v>0</v>
      </c>
      <c r="N44" s="3435">
        <v>0</v>
      </c>
      <c r="O44"/>
      <c r="P44"/>
      <c r="Q44"/>
      <c r="R44"/>
      <c r="S44"/>
      <c r="T44"/>
      <c r="U44"/>
      <c r="V44"/>
      <c r="W44"/>
      <c r="X44"/>
      <c r="Y44"/>
      <c r="Z44"/>
      <c r="AA44"/>
      <c r="AB44"/>
      <c r="AC44"/>
      <c r="AD44"/>
      <c r="AE44"/>
      <c r="AF44"/>
      <c r="AG44"/>
      <c r="AH44"/>
      <c r="AI44"/>
      <c r="AJ44"/>
      <c r="AK44"/>
      <c r="AL44"/>
      <c r="AM44"/>
      <c r="AN44"/>
    </row>
    <row r="45" spans="1:79">
      <c r="A45" s="3435" t="s">
        <v>2493</v>
      </c>
      <c r="B45" s="3435" t="s">
        <v>2583</v>
      </c>
      <c r="C45" s="3435">
        <v>0</v>
      </c>
      <c r="D45" s="3435">
        <v>0</v>
      </c>
      <c r="E45" s="3435">
        <v>0</v>
      </c>
      <c r="F45" s="3435">
        <v>0</v>
      </c>
      <c r="G45" s="3435">
        <v>0</v>
      </c>
      <c r="H45" s="3435">
        <v>0</v>
      </c>
      <c r="I45" s="3435">
        <v>0</v>
      </c>
      <c r="J45" s="3435">
        <v>0</v>
      </c>
      <c r="K45" s="3435">
        <v>0</v>
      </c>
      <c r="L45" s="3435">
        <v>0</v>
      </c>
      <c r="M45" s="3435">
        <v>0</v>
      </c>
      <c r="N45" s="3435">
        <v>0</v>
      </c>
      <c r="O45"/>
      <c r="P45"/>
      <c r="Q45"/>
      <c r="R45"/>
      <c r="S45"/>
      <c r="T45"/>
      <c r="U45"/>
      <c r="V45"/>
      <c r="W45"/>
      <c r="X45"/>
      <c r="Y45"/>
      <c r="Z45"/>
      <c r="AA45"/>
      <c r="AB45"/>
      <c r="AC45"/>
      <c r="AD45"/>
      <c r="AE45"/>
      <c r="AF45"/>
      <c r="AG45"/>
      <c r="AH45"/>
      <c r="AI45"/>
      <c r="AJ45"/>
      <c r="AK45"/>
      <c r="AL45"/>
      <c r="AM45"/>
      <c r="AN45"/>
    </row>
    <row r="46" spans="1:79">
      <c r="A46" s="3435" t="s">
        <v>2560</v>
      </c>
      <c r="B46" s="3435" t="s">
        <v>2584</v>
      </c>
      <c r="C46" s="3435">
        <v>-0.24640000000000001</v>
      </c>
      <c r="D46" s="3435">
        <v>7.7100000000000002E-2</v>
      </c>
      <c r="E46" s="3435">
        <v>-0.125</v>
      </c>
      <c r="F46" s="3435">
        <v>8.9999999999999993E-3</v>
      </c>
      <c r="G46" s="3435">
        <v>0</v>
      </c>
      <c r="H46" s="3435">
        <v>-0.03</v>
      </c>
      <c r="I46" s="3435">
        <v>0</v>
      </c>
      <c r="J46" s="3435">
        <v>0</v>
      </c>
      <c r="K46" s="3435">
        <v>0</v>
      </c>
      <c r="L46" s="3435">
        <v>0</v>
      </c>
      <c r="M46" s="3435">
        <v>0</v>
      </c>
      <c r="N46" s="3435">
        <v>0</v>
      </c>
      <c r="O46"/>
      <c r="P46"/>
      <c r="Q46"/>
      <c r="R46"/>
      <c r="S46"/>
      <c r="T46"/>
      <c r="U46"/>
      <c r="V46"/>
      <c r="W46"/>
      <c r="X46"/>
      <c r="Y46"/>
      <c r="Z46"/>
      <c r="AA46"/>
      <c r="AB46"/>
      <c r="AC46"/>
      <c r="AD46"/>
      <c r="AE46"/>
      <c r="AF46"/>
      <c r="AG46"/>
      <c r="AH46"/>
      <c r="AI46"/>
      <c r="AJ46"/>
      <c r="AK46"/>
      <c r="AL46"/>
      <c r="AM46"/>
      <c r="AN46"/>
      <c r="AO46" s="3388"/>
      <c r="AP46" s="3388"/>
      <c r="AQ46" s="3388"/>
      <c r="AR46" s="3388"/>
      <c r="AS46" s="3388"/>
      <c r="AT46" s="3388"/>
      <c r="AU46" s="3388"/>
      <c r="AV46" s="3388"/>
      <c r="AW46" s="3388"/>
      <c r="AX46" s="3388"/>
      <c r="AY46" s="3388"/>
      <c r="AZ46" s="3388"/>
      <c r="BA46" s="3388"/>
      <c r="BB46" s="3388"/>
      <c r="BC46" s="3388"/>
      <c r="BD46" s="3388"/>
      <c r="BE46" s="3388"/>
      <c r="BF46" s="3388"/>
      <c r="BG46" s="3388"/>
      <c r="BH46" s="3388"/>
      <c r="BI46" s="3388"/>
      <c r="BJ46" s="3388"/>
      <c r="BK46" s="3388"/>
      <c r="BL46" s="3388"/>
      <c r="BM46" s="3388"/>
      <c r="BN46" s="3388"/>
      <c r="BO46" s="3388"/>
      <c r="BP46" s="3388"/>
      <c r="BQ46" s="3388"/>
      <c r="BR46" s="3388"/>
      <c r="BS46" s="3388"/>
      <c r="BT46" s="3388"/>
      <c r="BU46" s="3388"/>
      <c r="BV46" s="3388"/>
      <c r="BW46" s="3388"/>
      <c r="BX46" s="3388"/>
      <c r="BY46" s="3388"/>
      <c r="BZ46" s="3388"/>
      <c r="CA46" s="3388"/>
    </row>
    <row r="47" spans="1:79">
      <c r="A47" s="3435" t="s">
        <v>2585</v>
      </c>
      <c r="B47" s="3435" t="s">
        <v>2586</v>
      </c>
      <c r="C47" s="3435">
        <v>2.52E-2</v>
      </c>
      <c r="D47" s="3435">
        <v>3.5999999999999999E-3</v>
      </c>
      <c r="E47" s="3435">
        <v>1.54E-2</v>
      </c>
      <c r="F47" s="3435">
        <v>-2.5999999999999999E-2</v>
      </c>
      <c r="G47" s="3435">
        <v>-1E-3</v>
      </c>
      <c r="H47" s="3435">
        <v>8.0000000000000002E-3</v>
      </c>
      <c r="I47" s="3435">
        <v>-0.04</v>
      </c>
      <c r="J47" s="3435">
        <v>0</v>
      </c>
      <c r="K47" s="3435">
        <v>0</v>
      </c>
      <c r="L47" s="3435">
        <v>0</v>
      </c>
      <c r="M47" s="3435">
        <v>0</v>
      </c>
      <c r="N47" s="3435">
        <v>0</v>
      </c>
      <c r="O47"/>
      <c r="P47"/>
      <c r="Q47"/>
      <c r="R47"/>
      <c r="S47"/>
      <c r="T47"/>
      <c r="U47"/>
      <c r="V47"/>
      <c r="W47"/>
      <c r="X47"/>
      <c r="Y47"/>
      <c r="Z47"/>
      <c r="AA47"/>
      <c r="AB47"/>
      <c r="AC47"/>
      <c r="AD47"/>
      <c r="AE47"/>
      <c r="AF47"/>
      <c r="AG47"/>
      <c r="AH47"/>
      <c r="AI47"/>
      <c r="AJ47"/>
      <c r="AK47"/>
      <c r="AL47"/>
      <c r="AM47"/>
      <c r="AN47"/>
      <c r="AO47" s="3388"/>
      <c r="AP47" s="3388"/>
      <c r="AQ47" s="3388"/>
      <c r="AR47" s="3388"/>
      <c r="AS47" s="3388"/>
      <c r="AT47" s="3388"/>
      <c r="AU47" s="3388"/>
      <c r="AV47" s="3388"/>
      <c r="AW47" s="3388"/>
      <c r="AX47" s="3388"/>
      <c r="AY47" s="3388"/>
      <c r="AZ47" s="3388"/>
      <c r="BA47" s="3388"/>
      <c r="BB47" s="3388"/>
      <c r="BC47" s="3388"/>
      <c r="BD47" s="3388"/>
      <c r="BE47" s="3388"/>
      <c r="BF47" s="3388"/>
      <c r="BG47" s="3388"/>
      <c r="BH47" s="3388"/>
      <c r="BI47" s="3388"/>
      <c r="BJ47" s="3388"/>
      <c r="BK47" s="3388"/>
      <c r="BL47" s="3388"/>
      <c r="BM47" s="3388"/>
      <c r="BN47" s="3388"/>
      <c r="BO47" s="3388"/>
      <c r="BP47" s="3388"/>
      <c r="BQ47" s="3388"/>
      <c r="BR47" s="3388"/>
      <c r="BS47" s="3388"/>
      <c r="BT47" s="3388"/>
      <c r="BU47" s="3388"/>
      <c r="BV47" s="3388"/>
      <c r="BW47" s="3388"/>
      <c r="BX47" s="3388"/>
      <c r="BY47" s="3388"/>
      <c r="BZ47" s="3388"/>
      <c r="CA47" s="3388"/>
    </row>
    <row r="48" spans="1:79">
      <c r="A48" s="3435" t="s">
        <v>2587</v>
      </c>
      <c r="B48" s="3435" t="s">
        <v>2495</v>
      </c>
      <c r="C48" s="3435">
        <v>0</v>
      </c>
      <c r="D48" s="3435">
        <v>0</v>
      </c>
      <c r="E48" s="3435">
        <v>0</v>
      </c>
      <c r="F48" s="3435">
        <v>0</v>
      </c>
      <c r="G48" s="3435">
        <v>0</v>
      </c>
      <c r="H48" s="3435">
        <v>0</v>
      </c>
      <c r="I48" s="3435">
        <v>0</v>
      </c>
      <c r="J48" s="3435">
        <v>0</v>
      </c>
      <c r="K48" s="3435">
        <v>0</v>
      </c>
      <c r="L48" s="3435">
        <v>0</v>
      </c>
      <c r="M48" s="3435">
        <v>0</v>
      </c>
      <c r="N48" s="3435">
        <v>0</v>
      </c>
      <c r="O48"/>
      <c r="P48"/>
      <c r="Q48"/>
      <c r="R48"/>
      <c r="S48"/>
      <c r="T48"/>
      <c r="U48"/>
      <c r="V48"/>
      <c r="W48"/>
      <c r="X48"/>
      <c r="Y48"/>
      <c r="Z48"/>
      <c r="AA48"/>
      <c r="AB48"/>
      <c r="AC48"/>
      <c r="AD48"/>
      <c r="AE48"/>
      <c r="AF48"/>
      <c r="AG48"/>
      <c r="AH48"/>
      <c r="AI48"/>
      <c r="AJ48"/>
      <c r="AK48"/>
      <c r="AL48"/>
      <c r="AM48"/>
      <c r="AN48"/>
      <c r="AO48" s="3388"/>
      <c r="AP48" s="3388"/>
      <c r="AQ48" s="3388"/>
      <c r="AR48" s="3388"/>
      <c r="AS48" s="3388"/>
      <c r="AT48" s="3388"/>
      <c r="AU48" s="3388"/>
      <c r="AV48" s="3388"/>
      <c r="AW48" s="3388"/>
      <c r="AX48" s="3388"/>
      <c r="AY48" s="3388"/>
      <c r="AZ48" s="3388"/>
      <c r="BA48" s="3388"/>
      <c r="BB48" s="3388"/>
      <c r="BC48" s="3388"/>
      <c r="BD48" s="3388"/>
      <c r="BE48" s="3388"/>
      <c r="BF48" s="3388"/>
      <c r="BG48" s="3388"/>
      <c r="BH48" s="3388"/>
      <c r="BI48" s="3388"/>
      <c r="BJ48" s="3388"/>
      <c r="BK48" s="3388"/>
      <c r="BL48" s="3388"/>
      <c r="BM48" s="3388"/>
      <c r="BN48" s="3388"/>
      <c r="BO48" s="3388"/>
      <c r="BP48" s="3388"/>
      <c r="BQ48" s="3388"/>
      <c r="BR48" s="3388"/>
      <c r="BS48" s="3388"/>
      <c r="BT48" s="3388"/>
      <c r="BU48" s="3388"/>
      <c r="BV48" s="3388"/>
      <c r="BW48" s="3388"/>
      <c r="BX48" s="3388"/>
      <c r="BY48" s="3388"/>
      <c r="BZ48" s="3388"/>
      <c r="CA48" s="3388"/>
    </row>
    <row r="49" spans="1:79">
      <c r="A49" s="3435" t="s">
        <v>1075</v>
      </c>
      <c r="B49" s="3435" t="s">
        <v>2588</v>
      </c>
      <c r="C49" s="3435">
        <v>0</v>
      </c>
      <c r="D49" s="3435">
        <v>0</v>
      </c>
      <c r="E49" s="3435">
        <v>0</v>
      </c>
      <c r="F49" s="3435">
        <v>0</v>
      </c>
      <c r="G49" s="3435">
        <v>0</v>
      </c>
      <c r="H49" s="3435">
        <v>0</v>
      </c>
      <c r="I49" s="3435">
        <v>0</v>
      </c>
      <c r="J49" s="3435">
        <v>0</v>
      </c>
      <c r="K49" s="3435">
        <v>0</v>
      </c>
      <c r="L49" s="3435">
        <v>0</v>
      </c>
      <c r="M49" s="3435">
        <v>0</v>
      </c>
      <c r="N49" s="3435">
        <v>0</v>
      </c>
      <c r="O49"/>
      <c r="P49"/>
      <c r="Q49"/>
      <c r="R49"/>
      <c r="S49"/>
      <c r="T49"/>
      <c r="U49"/>
      <c r="V49"/>
      <c r="W49"/>
      <c r="X49"/>
      <c r="Y49"/>
      <c r="Z49"/>
      <c r="AA49"/>
      <c r="AB49"/>
      <c r="AC49"/>
      <c r="AD49"/>
      <c r="AE49"/>
      <c r="AF49"/>
      <c r="AG49"/>
      <c r="AH49"/>
      <c r="AI49"/>
      <c r="AJ49"/>
      <c r="AK49"/>
      <c r="AL49"/>
      <c r="AM49"/>
      <c r="AN49"/>
      <c r="AO49" s="3388"/>
      <c r="AP49" s="3388"/>
      <c r="AQ49" s="3388"/>
      <c r="AR49" s="3388"/>
      <c r="AS49" s="3388"/>
      <c r="AT49" s="3388"/>
      <c r="AU49" s="3388"/>
      <c r="AV49" s="3388"/>
      <c r="AW49" s="3388"/>
      <c r="AX49" s="3388"/>
      <c r="AY49" s="3388"/>
      <c r="AZ49" s="3388"/>
      <c r="BA49" s="3388"/>
      <c r="BB49" s="3388"/>
      <c r="BC49" s="3388"/>
      <c r="BD49" s="3388"/>
      <c r="BE49" s="3388"/>
      <c r="BF49" s="3388"/>
      <c r="BG49" s="3388"/>
      <c r="BH49" s="3388"/>
      <c r="BI49" s="3388"/>
      <c r="BJ49" s="3388"/>
      <c r="BK49" s="3388"/>
      <c r="BL49" s="3388"/>
      <c r="BM49" s="3388"/>
      <c r="BN49" s="3388"/>
      <c r="BO49" s="3388"/>
      <c r="BP49" s="3388"/>
      <c r="BQ49" s="3388"/>
      <c r="BR49" s="3388"/>
      <c r="BS49" s="3388"/>
      <c r="BT49" s="3388"/>
      <c r="BU49" s="3388"/>
      <c r="BV49" s="3388"/>
      <c r="BW49" s="3388"/>
      <c r="BX49" s="3388"/>
      <c r="BY49" s="3388"/>
      <c r="BZ49" s="3388"/>
      <c r="CA49" s="3388"/>
    </row>
    <row r="50" spans="1:79">
      <c r="A50" s="3435" t="s">
        <v>1050</v>
      </c>
      <c r="B50" s="3435" t="s">
        <v>2582</v>
      </c>
      <c r="C50" s="3435">
        <v>0</v>
      </c>
      <c r="D50" s="3435">
        <v>0</v>
      </c>
      <c r="E50" s="3435">
        <v>0</v>
      </c>
      <c r="F50" s="3435">
        <v>0</v>
      </c>
      <c r="G50" s="3435">
        <v>0</v>
      </c>
      <c r="H50" s="3435">
        <v>0</v>
      </c>
      <c r="I50" s="3435">
        <v>0</v>
      </c>
      <c r="J50" s="3435">
        <v>0</v>
      </c>
      <c r="K50" s="3435">
        <v>0</v>
      </c>
      <c r="L50" s="3435">
        <v>0</v>
      </c>
      <c r="M50" s="3435">
        <v>0</v>
      </c>
      <c r="N50" s="3435">
        <v>0</v>
      </c>
      <c r="O50" s="3435"/>
      <c r="P50" s="3435"/>
      <c r="Q50" s="3435"/>
      <c r="R50" s="3435"/>
      <c r="S50" s="3435"/>
      <c r="T50" s="3435"/>
      <c r="U50" s="3435"/>
      <c r="V50" s="3435"/>
      <c r="W50" s="3435"/>
      <c r="X50" s="3435"/>
      <c r="Y50" s="3435"/>
      <c r="Z50" s="3435"/>
      <c r="AA50" s="3435"/>
      <c r="AB50" s="3435"/>
      <c r="AC50" s="3435"/>
      <c r="AD50" s="3435"/>
      <c r="AE50" s="3435"/>
      <c r="AF50" s="3435"/>
      <c r="AG50" s="3435"/>
      <c r="AH50" s="3435"/>
      <c r="AI50" s="3435"/>
      <c r="AJ50" s="3435"/>
      <c r="AK50" s="3435"/>
      <c r="AL50" s="3435"/>
      <c r="AM50" s="3435"/>
      <c r="AN50" s="3435"/>
      <c r="AO50" s="3388"/>
      <c r="AP50" s="3388"/>
      <c r="AQ50" s="3388"/>
      <c r="AR50" s="3388"/>
      <c r="AS50" s="3388"/>
      <c r="AT50" s="3388"/>
      <c r="AU50" s="3388"/>
      <c r="AV50" s="3388"/>
      <c r="AW50" s="3388"/>
      <c r="AX50" s="3388"/>
      <c r="AY50" s="3388"/>
      <c r="AZ50" s="3388"/>
      <c r="BA50" s="3388"/>
      <c r="BB50" s="3388"/>
      <c r="BC50" s="3388"/>
      <c r="BD50" s="3388"/>
      <c r="BE50" s="3388"/>
      <c r="BF50" s="3388"/>
      <c r="BG50" s="3388"/>
      <c r="BH50" s="3388"/>
      <c r="BI50" s="3388"/>
      <c r="BJ50" s="3388"/>
      <c r="BK50" s="3388"/>
      <c r="BL50" s="3388"/>
      <c r="BM50" s="3388"/>
      <c r="BN50" s="3388"/>
      <c r="BO50" s="3388"/>
      <c r="BP50" s="3388"/>
      <c r="BQ50" s="3388"/>
      <c r="BR50" s="3388"/>
      <c r="BS50" s="3388"/>
      <c r="BT50" s="3388"/>
      <c r="BU50" s="3388"/>
      <c r="BV50" s="3388"/>
      <c r="BW50" s="3388"/>
      <c r="BX50" s="3388"/>
      <c r="BY50" s="3388"/>
      <c r="BZ50" s="3388"/>
      <c r="CA50" s="3388"/>
    </row>
    <row r="51" spans="1:79">
      <c r="A51" s="3435" t="s">
        <v>2493</v>
      </c>
      <c r="B51" s="3435" t="s">
        <v>2583</v>
      </c>
      <c r="C51" s="3435">
        <v>0</v>
      </c>
      <c r="D51" s="3435">
        <v>0</v>
      </c>
      <c r="E51" s="3435">
        <v>0</v>
      </c>
      <c r="F51" s="3435">
        <v>0</v>
      </c>
      <c r="G51" s="3435">
        <v>0</v>
      </c>
      <c r="H51" s="3435">
        <v>0</v>
      </c>
      <c r="I51" s="3435">
        <v>0</v>
      </c>
      <c r="J51" s="3435">
        <v>0</v>
      </c>
      <c r="K51" s="3435">
        <v>0</v>
      </c>
      <c r="L51" s="3435">
        <v>0</v>
      </c>
      <c r="M51" s="3435">
        <v>0</v>
      </c>
      <c r="N51" s="3435">
        <v>0</v>
      </c>
      <c r="O51" s="3435"/>
      <c r="P51" s="3435"/>
      <c r="Q51" s="3435"/>
      <c r="R51" s="3435"/>
      <c r="S51" s="3435"/>
      <c r="T51" s="3435"/>
      <c r="U51" s="3435"/>
      <c r="V51" s="3435"/>
      <c r="W51" s="3435"/>
      <c r="X51" s="3435"/>
      <c r="Y51" s="3435"/>
      <c r="Z51" s="3435"/>
      <c r="AA51" s="3435"/>
      <c r="AB51" s="3435"/>
      <c r="AC51" s="3435"/>
      <c r="AD51" s="3435"/>
      <c r="AE51" s="3435"/>
      <c r="AF51" s="3435"/>
      <c r="AG51" s="3435"/>
      <c r="AH51" s="3435"/>
      <c r="AI51" s="3435"/>
      <c r="AJ51" s="3435"/>
      <c r="AK51" s="3435"/>
      <c r="AL51" s="3435"/>
      <c r="AM51" s="3435"/>
      <c r="AN51" s="3435"/>
      <c r="AO51" s="3388"/>
      <c r="AP51" s="3388"/>
      <c r="AQ51" s="3388"/>
      <c r="AR51" s="3388"/>
      <c r="AS51" s="3388"/>
      <c r="AT51" s="3388"/>
      <c r="AU51" s="3388"/>
      <c r="AV51" s="3388"/>
      <c r="AW51" s="3388"/>
      <c r="AX51" s="3388"/>
      <c r="AY51" s="3388"/>
      <c r="AZ51" s="3388"/>
      <c r="BA51" s="3388"/>
      <c r="BB51" s="3388"/>
      <c r="BC51" s="3388"/>
      <c r="BD51" s="3388"/>
      <c r="BE51" s="3388"/>
      <c r="BF51" s="3388"/>
      <c r="BG51" s="3388"/>
      <c r="BH51" s="3388"/>
      <c r="BI51" s="3388"/>
      <c r="BJ51" s="3388"/>
      <c r="BK51" s="3388"/>
      <c r="BL51" s="3388"/>
      <c r="BM51" s="3388"/>
      <c r="BN51" s="3388"/>
      <c r="BO51" s="3388"/>
      <c r="BP51" s="3388"/>
      <c r="BQ51" s="3388"/>
      <c r="BR51" s="3388"/>
      <c r="BS51" s="3388"/>
      <c r="BT51" s="3388"/>
      <c r="BU51" s="3388"/>
      <c r="BV51" s="3388"/>
      <c r="BW51" s="3388"/>
      <c r="BX51" s="3388"/>
      <c r="BY51" s="3388"/>
      <c r="BZ51" s="3388"/>
      <c r="CA51" s="3388"/>
    </row>
    <row r="52" spans="1:79">
      <c r="A52" s="3435" t="s">
        <v>2560</v>
      </c>
      <c r="B52" s="3435" t="s">
        <v>2584</v>
      </c>
      <c r="C52" s="3435">
        <v>-246.4</v>
      </c>
      <c r="D52" s="3435">
        <v>77.099999999999994</v>
      </c>
      <c r="E52" s="3435">
        <v>-125</v>
      </c>
      <c r="F52" s="3435">
        <v>9</v>
      </c>
      <c r="G52" s="3435">
        <v>0</v>
      </c>
      <c r="H52" s="3435">
        <v>-30</v>
      </c>
      <c r="I52" s="3435">
        <v>0</v>
      </c>
      <c r="J52" s="3435">
        <v>0</v>
      </c>
      <c r="K52" s="3435">
        <v>0</v>
      </c>
      <c r="L52" s="3435">
        <v>0</v>
      </c>
      <c r="M52" s="3435">
        <v>0</v>
      </c>
      <c r="N52" s="3435">
        <v>0</v>
      </c>
      <c r="AB52" s="3388"/>
      <c r="AC52" s="3388"/>
      <c r="AD52" s="3388"/>
      <c r="AE52" s="3388"/>
      <c r="AF52" s="3388"/>
      <c r="AG52" s="3388"/>
      <c r="AH52" s="3388"/>
      <c r="AI52" s="3388"/>
      <c r="AJ52" s="3388"/>
      <c r="AK52" s="3388"/>
      <c r="AL52" s="3388"/>
      <c r="AM52" s="3388"/>
      <c r="AN52" s="3388"/>
      <c r="AO52" s="3388"/>
      <c r="AP52" s="3388"/>
      <c r="AQ52" s="3388"/>
      <c r="AR52" s="3388"/>
      <c r="AS52" s="3388"/>
      <c r="AT52" s="3388"/>
      <c r="AU52" s="3388"/>
      <c r="AV52" s="3388"/>
      <c r="AW52" s="3388"/>
      <c r="AX52" s="3388"/>
      <c r="AY52" s="3388"/>
      <c r="AZ52" s="3388"/>
      <c r="BA52" s="3388"/>
      <c r="BB52" s="3388"/>
      <c r="BC52" s="3388"/>
      <c r="BD52" s="3388"/>
      <c r="BE52" s="3388"/>
      <c r="BF52" s="3388"/>
      <c r="BG52" s="3388"/>
      <c r="BH52" s="3388"/>
      <c r="BI52" s="3388"/>
      <c r="BJ52" s="3388"/>
      <c r="BK52" s="3388"/>
      <c r="BL52" s="3388"/>
      <c r="BM52" s="3388"/>
      <c r="BN52" s="3388"/>
      <c r="BO52" s="3388"/>
      <c r="BP52" s="3388"/>
      <c r="BQ52" s="3388"/>
      <c r="BR52" s="3388"/>
      <c r="BS52" s="3388"/>
      <c r="BT52" s="3388"/>
      <c r="BU52" s="3388"/>
      <c r="BV52" s="3388"/>
      <c r="BW52" s="3388"/>
      <c r="BX52" s="3388"/>
      <c r="BY52" s="3388"/>
      <c r="BZ52" s="3388"/>
      <c r="CA52" s="3388"/>
    </row>
    <row r="53" spans="1:79">
      <c r="A53" s="3435" t="s">
        <v>2585</v>
      </c>
      <c r="B53" s="3435" t="s">
        <v>2586</v>
      </c>
      <c r="C53" s="3435">
        <v>25.2</v>
      </c>
      <c r="D53" s="3435">
        <v>3.6</v>
      </c>
      <c r="E53" s="3435">
        <v>15.4</v>
      </c>
      <c r="F53" s="3435">
        <v>-26</v>
      </c>
      <c r="G53" s="3435">
        <v>-1</v>
      </c>
      <c r="H53" s="3435">
        <v>8</v>
      </c>
      <c r="I53" s="3435">
        <v>-40</v>
      </c>
      <c r="J53" s="3435">
        <v>0</v>
      </c>
      <c r="K53" s="3435">
        <v>0</v>
      </c>
      <c r="L53" s="3435">
        <v>0</v>
      </c>
      <c r="M53" s="3435">
        <v>0</v>
      </c>
      <c r="N53" s="3435">
        <v>0</v>
      </c>
      <c r="AB53" s="3388"/>
      <c r="AC53" s="3388"/>
      <c r="AD53" s="3388"/>
      <c r="AE53" s="3388"/>
      <c r="AF53" s="3388"/>
      <c r="AG53" s="3388"/>
      <c r="AH53" s="3388"/>
      <c r="AI53" s="3388"/>
      <c r="AJ53" s="3388"/>
      <c r="AK53" s="3388"/>
      <c r="AL53" s="3388"/>
      <c r="AM53" s="3388"/>
      <c r="AN53" s="3388"/>
      <c r="AO53" s="3388"/>
      <c r="AP53" s="3388"/>
      <c r="AQ53" s="3388"/>
      <c r="AR53" s="3388"/>
      <c r="AS53" s="3388"/>
      <c r="AT53" s="3388"/>
      <c r="AU53" s="3388"/>
      <c r="AV53" s="3388"/>
      <c r="AW53" s="3388"/>
      <c r="AX53" s="3388"/>
      <c r="AY53" s="3388"/>
      <c r="AZ53" s="3388"/>
      <c r="BA53" s="3388"/>
      <c r="BB53" s="3388"/>
      <c r="BC53" s="3388"/>
      <c r="BD53" s="3388"/>
      <c r="BE53" s="3388"/>
      <c r="BF53" s="3388"/>
      <c r="BG53" s="3388"/>
      <c r="BH53" s="3388"/>
      <c r="BI53" s="3388"/>
      <c r="BJ53" s="3388"/>
      <c r="BK53" s="3388"/>
      <c r="BL53" s="3388"/>
      <c r="BM53" s="3388"/>
      <c r="BN53" s="3388"/>
      <c r="BO53" s="3388"/>
      <c r="BP53" s="3388"/>
      <c r="BQ53" s="3388"/>
      <c r="BR53" s="3388"/>
      <c r="BS53" s="3388"/>
      <c r="BT53" s="3388"/>
      <c r="BU53" s="3388"/>
      <c r="BV53" s="3388"/>
      <c r="BW53" s="3388"/>
      <c r="BX53" s="3388"/>
      <c r="BY53" s="3388"/>
      <c r="BZ53" s="3388"/>
      <c r="CA53" s="3388"/>
    </row>
    <row r="54" spans="1:79">
      <c r="A54" s="3435" t="s">
        <v>2587</v>
      </c>
      <c r="B54" s="3435" t="s">
        <v>2495</v>
      </c>
      <c r="C54" s="3435">
        <v>0</v>
      </c>
      <c r="D54" s="3435">
        <v>0</v>
      </c>
      <c r="E54" s="3435">
        <v>0</v>
      </c>
      <c r="F54" s="3435">
        <v>0</v>
      </c>
      <c r="G54" s="3435">
        <v>0</v>
      </c>
      <c r="H54" s="3435">
        <v>0</v>
      </c>
      <c r="I54" s="3435">
        <v>0</v>
      </c>
      <c r="J54" s="3435">
        <v>0</v>
      </c>
      <c r="K54" s="3435">
        <v>0</v>
      </c>
      <c r="L54" s="3435">
        <v>0</v>
      </c>
      <c r="M54" s="3435">
        <v>0</v>
      </c>
      <c r="N54" s="3435">
        <v>0</v>
      </c>
      <c r="AB54" s="3388"/>
      <c r="AC54" s="3388"/>
      <c r="AD54" s="3388"/>
      <c r="AE54" s="3388"/>
      <c r="AF54" s="3388"/>
      <c r="AG54" s="3388"/>
      <c r="AH54" s="3388"/>
      <c r="AI54" s="3388"/>
      <c r="AJ54" s="3388"/>
      <c r="AK54" s="3388"/>
      <c r="AL54" s="3388"/>
      <c r="AM54" s="3388"/>
      <c r="AN54" s="3388"/>
      <c r="AO54" s="3388"/>
      <c r="AP54" s="3388"/>
      <c r="AQ54" s="3388"/>
      <c r="AR54" s="3388"/>
      <c r="AS54" s="3388"/>
      <c r="AT54" s="3388"/>
      <c r="AU54" s="3388"/>
      <c r="AV54" s="3388"/>
      <c r="AW54" s="3388"/>
      <c r="AX54" s="3388"/>
      <c r="AY54" s="3388"/>
      <c r="AZ54" s="3388"/>
      <c r="BA54" s="3388"/>
      <c r="BB54" s="3388"/>
      <c r="BC54" s="3388"/>
      <c r="BD54" s="3388"/>
      <c r="BE54" s="3388"/>
      <c r="BF54" s="3388"/>
      <c r="BG54" s="3388"/>
      <c r="BH54" s="3388"/>
      <c r="BI54" s="3388"/>
      <c r="BJ54" s="3388"/>
      <c r="BK54" s="3388"/>
      <c r="BL54" s="3388"/>
      <c r="BM54" s="3388"/>
      <c r="BN54" s="3388"/>
      <c r="BO54" s="3388"/>
      <c r="BP54" s="3388"/>
      <c r="BQ54" s="3388"/>
      <c r="BR54" s="3388"/>
      <c r="BS54" s="3388"/>
      <c r="BT54" s="3388"/>
      <c r="BU54" s="3388"/>
      <c r="BV54" s="3388"/>
      <c r="BW54" s="3388"/>
      <c r="BX54" s="3388"/>
      <c r="BY54" s="3388"/>
      <c r="BZ54" s="3388"/>
      <c r="CA54" s="3388"/>
    </row>
    <row r="55" spans="1:79">
      <c r="A55" s="3435" t="s">
        <v>1075</v>
      </c>
      <c r="B55" s="3435" t="s">
        <v>2588</v>
      </c>
      <c r="C55" s="3435">
        <v>0</v>
      </c>
      <c r="D55" s="3435">
        <v>0</v>
      </c>
      <c r="E55" s="3435">
        <v>0</v>
      </c>
      <c r="F55" s="3435">
        <v>0</v>
      </c>
      <c r="G55" s="3435">
        <v>0</v>
      </c>
      <c r="H55" s="3435">
        <v>0</v>
      </c>
      <c r="I55" s="3435">
        <v>0</v>
      </c>
      <c r="J55" s="3435">
        <v>0</v>
      </c>
      <c r="K55" s="3435">
        <v>0</v>
      </c>
      <c r="L55" s="3435">
        <v>0</v>
      </c>
      <c r="M55" s="3435">
        <v>0</v>
      </c>
      <c r="N55" s="3435">
        <v>0</v>
      </c>
      <c r="AB55" s="3388"/>
      <c r="AC55" s="3388"/>
      <c r="AD55" s="3388"/>
      <c r="AE55" s="3388"/>
      <c r="AF55" s="3388"/>
      <c r="AG55" s="3388"/>
      <c r="AH55" s="3388"/>
      <c r="AI55" s="3388"/>
      <c r="AJ55" s="3388"/>
      <c r="AK55" s="3388"/>
      <c r="AL55" s="3388"/>
      <c r="AM55" s="3388"/>
      <c r="AN55" s="3388"/>
      <c r="AO55" s="3388"/>
      <c r="AP55" s="3388"/>
      <c r="AQ55" s="3388"/>
      <c r="AR55" s="3388"/>
      <c r="AS55" s="3388"/>
      <c r="AT55" s="3388"/>
      <c r="AU55" s="3388"/>
      <c r="AV55" s="3388"/>
      <c r="AW55" s="3388"/>
      <c r="AX55" s="3388"/>
      <c r="AY55" s="3388"/>
      <c r="AZ55" s="3388"/>
      <c r="BA55" s="3388"/>
      <c r="BB55" s="3388"/>
      <c r="BC55" s="3388"/>
      <c r="BD55" s="3388"/>
      <c r="BE55" s="3388"/>
      <c r="BF55" s="3388"/>
      <c r="BG55" s="3388"/>
      <c r="BH55" s="3388"/>
      <c r="BI55" s="3388"/>
      <c r="BJ55" s="3388"/>
      <c r="BK55" s="3388"/>
      <c r="BL55" s="3388"/>
      <c r="BM55" s="3388"/>
      <c r="BN55" s="3388"/>
      <c r="BO55" s="3388"/>
      <c r="BP55" s="3388"/>
      <c r="BQ55" s="3388"/>
      <c r="BR55" s="3388"/>
      <c r="BS55" s="3388"/>
      <c r="BT55" s="3388"/>
      <c r="BU55" s="3388"/>
      <c r="BV55" s="3388"/>
      <c r="BW55" s="3388"/>
      <c r="BX55" s="3388"/>
      <c r="BY55" s="3388"/>
      <c r="BZ55" s="3388"/>
      <c r="CA55" s="3388"/>
    </row>
    <row r="56" spans="1:79">
      <c r="A56" s="3435" t="s">
        <v>2522</v>
      </c>
      <c r="B56" s="3435"/>
      <c r="C56" s="3435"/>
      <c r="D56" s="3435"/>
      <c r="E56" s="3435"/>
      <c r="F56" s="3435"/>
      <c r="G56" s="3435"/>
      <c r="H56" s="3435"/>
      <c r="I56" s="3435"/>
      <c r="J56" s="3435"/>
      <c r="K56" s="3435"/>
      <c r="L56" s="3435"/>
      <c r="M56" s="3435"/>
      <c r="N56" s="3435"/>
      <c r="AB56" s="3388"/>
      <c r="AC56" s="3388"/>
      <c r="AD56" s="3388"/>
      <c r="AE56" s="3388"/>
      <c r="AF56" s="3388"/>
      <c r="AG56" s="3388"/>
      <c r="AH56" s="3388"/>
      <c r="AI56" s="3388"/>
      <c r="AJ56" s="3388"/>
      <c r="AK56" s="3388"/>
      <c r="AL56" s="3388"/>
      <c r="AM56" s="3388"/>
      <c r="AN56" s="3388"/>
      <c r="AO56" s="3388"/>
      <c r="AP56" s="3388"/>
      <c r="AQ56" s="3388"/>
      <c r="AR56" s="3388"/>
      <c r="AS56" s="3388"/>
      <c r="AT56" s="3388"/>
      <c r="AU56" s="3388"/>
      <c r="AV56" s="3388"/>
      <c r="AW56" s="3388"/>
      <c r="AX56" s="3388"/>
      <c r="AY56" s="3388"/>
      <c r="AZ56" s="3388"/>
      <c r="BA56" s="3388"/>
      <c r="BB56" s="3388"/>
      <c r="BC56" s="3388"/>
      <c r="BD56" s="3388"/>
      <c r="BE56" s="3388"/>
      <c r="BF56" s="3388"/>
      <c r="BG56" s="3388"/>
      <c r="BH56" s="3388"/>
      <c r="BI56" s="3388"/>
      <c r="BJ56" s="3388"/>
      <c r="BK56" s="3388"/>
      <c r="BL56" s="3388"/>
      <c r="BM56" s="3388"/>
      <c r="BN56" s="3388"/>
      <c r="BO56" s="3388"/>
      <c r="BP56" s="3388"/>
      <c r="BQ56" s="3388"/>
      <c r="BR56" s="3388"/>
      <c r="BS56" s="3388"/>
      <c r="BT56" s="3388"/>
      <c r="BU56" s="3388"/>
      <c r="BV56" s="3388"/>
      <c r="BW56" s="3388"/>
      <c r="BX56" s="3388"/>
      <c r="BY56" s="3388"/>
      <c r="BZ56" s="3388"/>
      <c r="CA56" s="3388"/>
    </row>
    <row r="57" spans="1:79">
      <c r="A57" s="3435" t="s">
        <v>2524</v>
      </c>
      <c r="B57" s="3435"/>
      <c r="C57" s="3435"/>
      <c r="D57" s="3435"/>
      <c r="E57" s="3435"/>
      <c r="F57" s="3435"/>
      <c r="G57" s="3435"/>
      <c r="H57" s="3435"/>
      <c r="I57" s="3435"/>
      <c r="J57" s="3435"/>
      <c r="K57" s="3435"/>
      <c r="L57" s="3435"/>
      <c r="M57" s="3435"/>
      <c r="N57" s="3435"/>
      <c r="AB57" s="3388"/>
      <c r="AC57" s="3388"/>
      <c r="AD57" s="3388"/>
      <c r="AE57" s="3388"/>
      <c r="AF57" s="3388"/>
      <c r="AG57" s="3388"/>
      <c r="AH57" s="3388"/>
      <c r="AI57" s="3388"/>
      <c r="AJ57" s="3388"/>
      <c r="AK57" s="3388"/>
      <c r="AL57" s="3388"/>
      <c r="AM57" s="3388"/>
      <c r="AN57" s="3388"/>
      <c r="AO57" s="3388"/>
      <c r="AP57" s="3388"/>
      <c r="AQ57" s="3388"/>
      <c r="AR57" s="3388"/>
      <c r="AS57" s="3388"/>
      <c r="AT57" s="3388"/>
      <c r="AU57" s="3388"/>
      <c r="AV57" s="3388"/>
      <c r="AW57" s="3388"/>
      <c r="AX57" s="3388"/>
      <c r="AY57" s="3388"/>
      <c r="AZ57" s="3388"/>
      <c r="BA57" s="3388"/>
      <c r="BB57" s="3388"/>
      <c r="BC57" s="3388"/>
      <c r="BD57" s="3388"/>
      <c r="BE57" s="3388"/>
      <c r="BF57" s="3388"/>
      <c r="BG57" s="3388"/>
      <c r="BH57" s="3388"/>
      <c r="BI57" s="3388"/>
      <c r="BJ57" s="3388"/>
      <c r="BK57" s="3388"/>
      <c r="BL57" s="3388"/>
      <c r="BM57" s="3388"/>
      <c r="BN57" s="3388"/>
      <c r="BO57" s="3388"/>
      <c r="BP57" s="3388"/>
      <c r="BQ57" s="3388"/>
      <c r="BR57" s="3388"/>
      <c r="BS57" s="3388"/>
      <c r="BT57" s="3388"/>
      <c r="BU57" s="3388"/>
      <c r="BV57" s="3388"/>
      <c r="BW57" s="3388"/>
      <c r="BX57" s="3388"/>
      <c r="BY57" s="3388"/>
      <c r="BZ57" s="3388"/>
      <c r="CA57" s="3388"/>
    </row>
    <row r="58" spans="1:79">
      <c r="A58" s="3435" t="s">
        <v>2526</v>
      </c>
      <c r="B58" s="3435"/>
      <c r="C58" s="3435"/>
      <c r="D58" s="3435"/>
      <c r="E58" s="3435"/>
      <c r="F58" s="3435"/>
      <c r="G58" s="3435"/>
      <c r="H58" s="3435"/>
      <c r="I58" s="3435"/>
      <c r="J58" s="3435"/>
      <c r="K58" s="3435"/>
      <c r="L58" s="3435"/>
      <c r="M58" s="3435"/>
      <c r="N58" s="3435"/>
      <c r="AB58" s="3388"/>
      <c r="AC58" s="3388"/>
      <c r="AD58" s="3388"/>
      <c r="AE58" s="3388"/>
      <c r="AF58" s="3388"/>
      <c r="AG58" s="3388"/>
      <c r="AH58" s="3388"/>
      <c r="AI58" s="3388"/>
      <c r="AJ58" s="3388"/>
      <c r="AK58" s="3388"/>
      <c r="AL58" s="3388"/>
      <c r="AM58" s="3388"/>
      <c r="AN58" s="3388"/>
      <c r="AO58" s="3388"/>
      <c r="AP58" s="3388"/>
      <c r="AQ58" s="3388"/>
      <c r="AR58" s="3388"/>
      <c r="AS58" s="3388"/>
      <c r="AT58" s="3388"/>
      <c r="AU58" s="3388"/>
      <c r="AV58" s="3388"/>
      <c r="AW58" s="3388"/>
      <c r="AX58" s="3388"/>
      <c r="AY58" s="3388"/>
      <c r="AZ58" s="3388"/>
      <c r="BA58" s="3388"/>
      <c r="BB58" s="3388"/>
      <c r="BC58" s="3388"/>
      <c r="BD58" s="3388"/>
      <c r="BE58" s="3388"/>
      <c r="BF58" s="3388"/>
      <c r="BG58" s="3388"/>
      <c r="BH58" s="3388"/>
      <c r="BI58" s="3388"/>
      <c r="BJ58" s="3388"/>
      <c r="BK58" s="3388"/>
      <c r="BL58" s="3388"/>
      <c r="BM58" s="3388"/>
      <c r="BN58" s="3388"/>
      <c r="BO58" s="3388"/>
      <c r="BP58" s="3388"/>
      <c r="BQ58" s="3388"/>
      <c r="BR58" s="3388"/>
      <c r="BS58" s="3388"/>
      <c r="BT58" s="3388"/>
      <c r="BU58" s="3388"/>
      <c r="BV58" s="3388"/>
      <c r="BW58" s="3388"/>
      <c r="BX58" s="3388"/>
      <c r="BY58" s="3388"/>
      <c r="BZ58" s="3388"/>
      <c r="CA58" s="3388"/>
    </row>
    <row r="59" spans="1:79">
      <c r="A59" s="3435" t="s">
        <v>2528</v>
      </c>
      <c r="B59" s="3435"/>
      <c r="C59" s="3435"/>
      <c r="D59" s="3435"/>
      <c r="E59" s="3435"/>
      <c r="F59" s="3435"/>
      <c r="G59" s="3435"/>
      <c r="H59" s="3435"/>
      <c r="I59" s="3435"/>
      <c r="J59" s="3435"/>
      <c r="K59" s="3435"/>
      <c r="L59" s="3435"/>
      <c r="M59" s="3435"/>
      <c r="N59" s="3435"/>
      <c r="AB59" s="3388"/>
      <c r="AC59" s="3388"/>
      <c r="AD59" s="3388"/>
      <c r="AE59" s="3388"/>
      <c r="AF59" s="3388"/>
      <c r="AG59" s="3388"/>
      <c r="AH59" s="3388"/>
      <c r="AI59" s="3388"/>
      <c r="AJ59" s="3388"/>
      <c r="AK59" s="3388"/>
      <c r="AL59" s="3388"/>
      <c r="AM59" s="3388"/>
      <c r="AN59" s="3388"/>
      <c r="AO59" s="3388"/>
      <c r="AP59" s="3388"/>
      <c r="AQ59" s="3388"/>
      <c r="AR59" s="3388"/>
      <c r="AS59" s="3388"/>
      <c r="AT59" s="3388"/>
      <c r="AU59" s="3388"/>
      <c r="AV59" s="3388"/>
      <c r="AW59" s="3388"/>
      <c r="AX59" s="3388"/>
      <c r="AY59" s="3388"/>
      <c r="AZ59" s="3388"/>
      <c r="BA59" s="3388"/>
      <c r="BB59" s="3388"/>
      <c r="BC59" s="3388"/>
      <c r="BD59" s="3388"/>
      <c r="BE59" s="3388"/>
      <c r="BF59" s="3388"/>
      <c r="BG59" s="3388"/>
      <c r="BH59" s="3388"/>
      <c r="BI59" s="3388"/>
      <c r="BJ59" s="3388"/>
      <c r="BK59" s="3388"/>
      <c r="BL59" s="3388"/>
      <c r="BM59" s="3388"/>
      <c r="BN59" s="3388"/>
      <c r="BO59" s="3388"/>
      <c r="BP59" s="3388"/>
      <c r="BQ59" s="3388"/>
      <c r="BR59" s="3388"/>
      <c r="BS59" s="3388"/>
      <c r="BT59" s="3388"/>
      <c r="BU59" s="3388"/>
      <c r="BV59" s="3388"/>
      <c r="BW59" s="3388"/>
      <c r="BX59" s="3388"/>
      <c r="BY59" s="3388"/>
      <c r="BZ59" s="3388"/>
      <c r="CA59" s="3388"/>
    </row>
    <row r="60" spans="1:79">
      <c r="A60" s="3435" t="s">
        <v>2469</v>
      </c>
      <c r="B60" s="3435"/>
      <c r="C60" s="3435"/>
      <c r="D60" s="3435"/>
      <c r="E60" s="3435"/>
      <c r="F60" s="3435"/>
      <c r="G60" s="3435"/>
      <c r="H60" s="3435"/>
      <c r="I60" s="3435"/>
      <c r="J60" s="3435"/>
      <c r="K60" s="3435"/>
      <c r="L60" s="3435"/>
      <c r="M60" s="3435"/>
      <c r="N60" s="3435"/>
      <c r="AB60" s="3388"/>
      <c r="AC60" s="3388"/>
      <c r="AD60" s="3388"/>
      <c r="AE60" s="3388"/>
      <c r="AF60" s="3388"/>
      <c r="AG60" s="3388"/>
      <c r="AH60" s="3388"/>
      <c r="AI60" s="3388"/>
      <c r="AJ60" s="3388"/>
      <c r="AK60" s="3388"/>
      <c r="AL60" s="3388"/>
      <c r="AM60" s="3388"/>
      <c r="AN60" s="3388"/>
      <c r="AO60" s="3388"/>
      <c r="AP60" s="3388"/>
      <c r="AQ60" s="3388"/>
      <c r="AR60" s="3388"/>
      <c r="AS60" s="3388"/>
      <c r="AT60" s="3388"/>
      <c r="AU60" s="3388"/>
      <c r="AV60" s="3388"/>
      <c r="AW60" s="3388"/>
      <c r="AX60" s="3388"/>
      <c r="AY60" s="3388"/>
      <c r="AZ60" s="3388"/>
      <c r="BA60" s="3388"/>
      <c r="BB60" s="3388"/>
      <c r="BC60" s="3388"/>
      <c r="BD60" s="3388"/>
      <c r="BE60" s="3388"/>
      <c r="BF60" s="3388"/>
      <c r="BG60" s="3388"/>
      <c r="BH60" s="3388"/>
      <c r="BI60" s="3388"/>
      <c r="BJ60" s="3388"/>
      <c r="BK60" s="3388"/>
      <c r="BL60" s="3388"/>
      <c r="BM60" s="3388"/>
      <c r="BN60" s="3388"/>
      <c r="BO60" s="3388"/>
      <c r="BP60" s="3388"/>
      <c r="BQ60" s="3388"/>
      <c r="BR60" s="3388"/>
      <c r="BS60" s="3388"/>
      <c r="BT60" s="3388"/>
      <c r="BU60" s="3388"/>
      <c r="BV60" s="3388"/>
      <c r="BW60" s="3388"/>
      <c r="BX60" s="3388"/>
      <c r="BY60" s="3388"/>
      <c r="BZ60" s="3388"/>
      <c r="CA60" s="3388"/>
    </row>
    <row r="61" spans="1:79">
      <c r="A61" s="3435" t="s">
        <v>2470</v>
      </c>
      <c r="B61" s="3435"/>
      <c r="C61" s="3435"/>
      <c r="D61" s="3435"/>
      <c r="E61" s="3435"/>
      <c r="F61" s="3435"/>
      <c r="G61" s="3435"/>
      <c r="H61" s="3435"/>
      <c r="I61" s="3435"/>
      <c r="J61" s="3435"/>
      <c r="K61" s="3435"/>
      <c r="L61" s="3435"/>
      <c r="M61" s="3435"/>
      <c r="N61" s="3435"/>
      <c r="AB61" s="3388"/>
      <c r="AC61" s="3388"/>
      <c r="AD61" s="3388"/>
      <c r="AE61" s="3388"/>
      <c r="AF61" s="3388"/>
      <c r="AG61" s="3388"/>
      <c r="AH61" s="3388"/>
      <c r="AI61" s="3388"/>
      <c r="AJ61" s="3388"/>
      <c r="AK61" s="3388"/>
      <c r="AL61" s="3388"/>
      <c r="AM61" s="3388"/>
      <c r="AN61" s="3388"/>
      <c r="AO61" s="3388"/>
      <c r="AP61" s="3388"/>
      <c r="AQ61" s="3388"/>
      <c r="AR61" s="3388"/>
      <c r="AS61" s="3388"/>
      <c r="AT61" s="3388"/>
      <c r="AU61" s="3388"/>
      <c r="AV61" s="3388"/>
      <c r="AW61" s="3388"/>
      <c r="AX61" s="3388"/>
      <c r="AY61" s="3388"/>
      <c r="AZ61" s="3388"/>
      <c r="BA61" s="3388"/>
      <c r="BB61" s="3388"/>
      <c r="BC61" s="3388"/>
      <c r="BD61" s="3388"/>
      <c r="BE61" s="3388"/>
      <c r="BF61" s="3388"/>
      <c r="BG61" s="3388"/>
      <c r="BH61" s="3388"/>
      <c r="BI61" s="3388"/>
      <c r="BJ61" s="3388"/>
      <c r="BK61" s="3388"/>
      <c r="BL61" s="3388"/>
      <c r="BM61" s="3388"/>
      <c r="BN61" s="3388"/>
      <c r="BO61" s="3388"/>
      <c r="BP61" s="3388"/>
      <c r="BQ61" s="3388"/>
      <c r="BR61" s="3388"/>
      <c r="BS61" s="3388"/>
      <c r="BT61" s="3388"/>
      <c r="BU61" s="3388"/>
      <c r="BV61" s="3388"/>
      <c r="BW61" s="3388"/>
      <c r="BX61" s="3388"/>
      <c r="BY61" s="3388"/>
      <c r="BZ61" s="3388"/>
      <c r="CA61" s="3388"/>
    </row>
    <row r="62" spans="1:79">
      <c r="A62" s="3435" t="s">
        <v>2471</v>
      </c>
      <c r="B62" s="3435"/>
      <c r="C62" s="3435"/>
      <c r="D62" s="3435"/>
      <c r="E62" s="3435"/>
      <c r="F62" s="3435"/>
      <c r="G62" s="3435"/>
      <c r="H62" s="3435"/>
      <c r="I62" s="3435"/>
      <c r="J62" s="3435"/>
      <c r="K62" s="3435"/>
      <c r="L62" s="3435"/>
      <c r="M62" s="3435"/>
      <c r="N62" s="3435"/>
      <c r="AB62" s="3388"/>
      <c r="AC62" s="3388"/>
      <c r="AD62" s="3388"/>
      <c r="AE62" s="3388"/>
      <c r="AF62" s="3388"/>
      <c r="AG62" s="3388"/>
      <c r="AH62" s="3388"/>
      <c r="AI62" s="3388"/>
      <c r="AJ62" s="3388"/>
      <c r="AK62" s="3388"/>
      <c r="AL62" s="3388"/>
      <c r="AM62" s="3388"/>
      <c r="AN62" s="3388"/>
      <c r="AO62" s="3388"/>
      <c r="AP62" s="3388"/>
      <c r="AQ62" s="3388"/>
      <c r="AR62" s="3388"/>
      <c r="AS62" s="3388"/>
      <c r="AT62" s="3388"/>
      <c r="AU62" s="3388"/>
      <c r="AV62" s="3388"/>
      <c r="AW62" s="3388"/>
      <c r="AX62" s="3388"/>
      <c r="AY62" s="3388"/>
      <c r="AZ62" s="3388"/>
      <c r="BA62" s="3388"/>
      <c r="BB62" s="3388"/>
      <c r="BC62" s="3388"/>
      <c r="BD62" s="3388"/>
      <c r="BE62" s="3388"/>
      <c r="BF62" s="3388"/>
      <c r="BG62" s="3388"/>
      <c r="BH62" s="3388"/>
      <c r="BI62" s="3388"/>
      <c r="BJ62" s="3388"/>
      <c r="BK62" s="3388"/>
      <c r="BL62" s="3388"/>
      <c r="BM62" s="3388"/>
      <c r="BN62" s="3388"/>
      <c r="BO62" s="3388"/>
      <c r="BP62" s="3388"/>
      <c r="BQ62" s="3388"/>
      <c r="BR62" s="3388"/>
      <c r="BS62" s="3388"/>
      <c r="BT62" s="3388"/>
      <c r="BU62" s="3388"/>
      <c r="BV62" s="3388"/>
      <c r="BW62" s="3388"/>
      <c r="BX62" s="3388"/>
      <c r="BY62" s="3388"/>
      <c r="BZ62" s="3388"/>
      <c r="CA62" s="3388"/>
    </row>
    <row r="63" spans="1:79">
      <c r="A63" s="3435" t="s">
        <v>2472</v>
      </c>
      <c r="B63" s="3435"/>
      <c r="C63" s="3435"/>
      <c r="D63" s="3435"/>
      <c r="E63" s="3435"/>
      <c r="F63" s="3435"/>
      <c r="G63" s="3435"/>
      <c r="H63" s="3435"/>
      <c r="I63" s="3435"/>
      <c r="J63" s="3435"/>
      <c r="K63" s="3435"/>
      <c r="L63" s="3435"/>
      <c r="M63" s="3435"/>
      <c r="N63" s="3435"/>
      <c r="AB63" s="3388"/>
      <c r="AC63" s="3388"/>
      <c r="AD63" s="3388"/>
      <c r="AE63" s="3388"/>
      <c r="AF63" s="3388"/>
      <c r="AG63" s="3388"/>
      <c r="AH63" s="3388"/>
      <c r="AI63" s="3388"/>
      <c r="AJ63" s="3388"/>
      <c r="AK63" s="3388"/>
      <c r="AL63" s="3388"/>
      <c r="AM63" s="3388"/>
      <c r="AN63" s="3388"/>
      <c r="AO63" s="3388"/>
      <c r="AP63" s="3388"/>
      <c r="AQ63" s="3388"/>
      <c r="AR63" s="3388"/>
      <c r="AS63" s="3388"/>
      <c r="AT63" s="3388"/>
      <c r="AU63" s="3388"/>
      <c r="AV63" s="3388"/>
      <c r="AW63" s="3388"/>
      <c r="AX63" s="3388"/>
      <c r="AY63" s="3388"/>
      <c r="AZ63" s="3388"/>
      <c r="BA63" s="3388"/>
      <c r="BB63" s="3388"/>
      <c r="BC63" s="3388"/>
      <c r="BD63" s="3388"/>
      <c r="BE63" s="3388"/>
      <c r="BF63" s="3388"/>
      <c r="BG63" s="3388"/>
      <c r="BH63" s="3388"/>
      <c r="BI63" s="3388"/>
      <c r="BJ63" s="3388"/>
      <c r="BK63" s="3388"/>
      <c r="BL63" s="3388"/>
      <c r="BM63" s="3388"/>
      <c r="BN63" s="3388"/>
      <c r="BO63" s="3388"/>
      <c r="BP63" s="3388"/>
      <c r="BQ63" s="3388"/>
      <c r="BR63" s="3388"/>
      <c r="BS63" s="3388"/>
      <c r="BT63" s="3388"/>
      <c r="BU63" s="3388"/>
      <c r="BV63" s="3388"/>
      <c r="BW63" s="3388"/>
      <c r="BX63" s="3388"/>
      <c r="BY63" s="3388"/>
      <c r="BZ63" s="3388"/>
      <c r="CA63" s="3388"/>
    </row>
    <row r="64" spans="1:79">
      <c r="A64" s="3435" t="s">
        <v>2473</v>
      </c>
      <c r="B64" s="3435"/>
      <c r="C64" s="3435"/>
      <c r="D64" s="3435"/>
      <c r="E64" s="3435"/>
      <c r="F64" s="3435"/>
      <c r="G64" s="3435"/>
      <c r="H64" s="3435"/>
      <c r="I64" s="3435"/>
      <c r="J64" s="3435"/>
      <c r="K64" s="3435"/>
      <c r="L64" s="3435"/>
      <c r="M64" s="3435"/>
      <c r="N64" s="3435"/>
      <c r="AB64" s="3388"/>
      <c r="AC64" s="3388"/>
      <c r="AD64" s="3388"/>
      <c r="AE64" s="3388"/>
      <c r="AF64" s="3388"/>
      <c r="AG64" s="3388"/>
      <c r="AH64" s="3388"/>
      <c r="AI64" s="3388"/>
      <c r="AJ64" s="3388"/>
      <c r="AK64" s="3388"/>
      <c r="AL64" s="3388"/>
      <c r="AM64" s="3388"/>
      <c r="AN64" s="3388"/>
      <c r="AO64" s="3388"/>
      <c r="AP64" s="3388"/>
      <c r="AQ64" s="3388"/>
      <c r="AR64" s="3388"/>
      <c r="AS64" s="3388"/>
      <c r="AT64" s="3388"/>
      <c r="AU64" s="3388"/>
      <c r="AV64" s="3388"/>
      <c r="AW64" s="3388"/>
      <c r="AX64" s="3388"/>
      <c r="AY64" s="3388"/>
      <c r="AZ64" s="3388"/>
      <c r="BA64" s="3388"/>
      <c r="BB64" s="3388"/>
      <c r="BC64" s="3388"/>
      <c r="BD64" s="3388"/>
      <c r="BE64" s="3388"/>
      <c r="BF64" s="3388"/>
      <c r="BG64" s="3388"/>
      <c r="BH64" s="3388"/>
      <c r="BI64" s="3388"/>
      <c r="BJ64" s="3388"/>
      <c r="BK64" s="3388"/>
      <c r="BL64" s="3388"/>
      <c r="BM64" s="3388"/>
      <c r="BN64" s="3388"/>
      <c r="BO64" s="3388"/>
      <c r="BP64" s="3388"/>
      <c r="BQ64" s="3388"/>
      <c r="BR64" s="3388"/>
      <c r="BS64" s="3388"/>
      <c r="BT64" s="3388"/>
      <c r="BU64" s="3388"/>
      <c r="BV64" s="3388"/>
      <c r="BW64" s="3388"/>
      <c r="BX64" s="3388"/>
      <c r="BY64" s="3388"/>
      <c r="BZ64" s="3388"/>
      <c r="CA64" s="3388"/>
    </row>
    <row r="65" spans="1:79">
      <c r="A65" s="3435" t="s">
        <v>2474</v>
      </c>
      <c r="B65" s="3435"/>
      <c r="C65" s="3435"/>
      <c r="D65" s="3435"/>
      <c r="E65" s="3435"/>
      <c r="F65" s="3435"/>
      <c r="G65" s="3435"/>
      <c r="H65" s="3435"/>
      <c r="I65" s="3435"/>
      <c r="J65" s="3435"/>
      <c r="K65" s="3435"/>
      <c r="L65" s="3435"/>
      <c r="M65" s="3435"/>
      <c r="N65" s="3435"/>
      <c r="AB65" s="3388"/>
      <c r="AC65" s="3388"/>
      <c r="AD65" s="3388"/>
      <c r="AE65" s="3388"/>
      <c r="AF65" s="3388"/>
      <c r="AG65" s="3388"/>
      <c r="AH65" s="3388"/>
      <c r="AI65" s="3388"/>
      <c r="AJ65" s="3388"/>
      <c r="AK65" s="3388"/>
      <c r="AL65" s="3388"/>
      <c r="AM65" s="3388"/>
      <c r="AN65" s="3388"/>
      <c r="AO65" s="3388"/>
      <c r="AP65" s="3388"/>
      <c r="AQ65" s="3388"/>
      <c r="AR65" s="3388"/>
      <c r="AS65" s="3388"/>
      <c r="AT65" s="3388"/>
      <c r="AU65" s="3388"/>
      <c r="AV65" s="3388"/>
      <c r="AW65" s="3388"/>
      <c r="AX65" s="3388"/>
      <c r="AY65" s="3388"/>
      <c r="AZ65" s="3388"/>
      <c r="BA65" s="3388"/>
      <c r="BB65" s="3388"/>
      <c r="BC65" s="3388"/>
      <c r="BD65" s="3388"/>
      <c r="BE65" s="3388"/>
      <c r="BF65" s="3388"/>
      <c r="BG65" s="3388"/>
      <c r="BH65" s="3388"/>
      <c r="BI65" s="3388"/>
      <c r="BJ65" s="3388"/>
      <c r="BK65" s="3388"/>
      <c r="BL65" s="3388"/>
      <c r="BM65" s="3388"/>
      <c r="BN65" s="3388"/>
      <c r="BO65" s="3388"/>
      <c r="BP65" s="3388"/>
      <c r="BQ65" s="3388"/>
      <c r="BR65" s="3388"/>
      <c r="BS65" s="3388"/>
      <c r="BT65" s="3388"/>
      <c r="BU65" s="3388"/>
      <c r="BV65" s="3388"/>
      <c r="BW65" s="3388"/>
      <c r="BX65" s="3388"/>
      <c r="BY65" s="3388"/>
      <c r="BZ65" s="3388"/>
      <c r="CA65" s="3388"/>
    </row>
    <row r="66" spans="1:79">
      <c r="A66" s="3435" t="s">
        <v>2475</v>
      </c>
      <c r="B66" s="3435"/>
      <c r="C66" s="3435"/>
      <c r="D66" s="3435"/>
      <c r="E66" s="3435"/>
      <c r="F66" s="3435"/>
      <c r="G66" s="3435"/>
      <c r="H66" s="3435"/>
      <c r="I66" s="3435"/>
      <c r="J66" s="3435"/>
      <c r="K66" s="3435"/>
      <c r="L66" s="3435"/>
      <c r="M66" s="3435"/>
      <c r="N66" s="3435"/>
      <c r="AB66" s="3388"/>
      <c r="AC66" s="3388"/>
      <c r="AD66" s="3388"/>
      <c r="AE66" s="3388"/>
      <c r="AF66" s="3388"/>
      <c r="AG66" s="3388"/>
      <c r="AH66" s="3388"/>
      <c r="AI66" s="3388"/>
      <c r="AJ66" s="3388"/>
      <c r="AK66" s="3388"/>
      <c r="AL66" s="3388"/>
      <c r="AM66" s="3388"/>
      <c r="AN66" s="3388"/>
      <c r="AO66" s="3388"/>
      <c r="AP66" s="3388"/>
      <c r="AQ66" s="3388"/>
      <c r="AR66" s="3388"/>
      <c r="AS66" s="3388"/>
      <c r="AT66" s="3388"/>
      <c r="AU66" s="3388"/>
      <c r="AV66" s="3388"/>
      <c r="AW66" s="3388"/>
      <c r="AX66" s="3388"/>
      <c r="AY66" s="3388"/>
      <c r="AZ66" s="3388"/>
      <c r="BA66" s="3388"/>
      <c r="BB66" s="3388"/>
      <c r="BC66" s="3388"/>
      <c r="BD66" s="3388"/>
      <c r="BE66" s="3388"/>
      <c r="BF66" s="3388"/>
      <c r="BG66" s="3388"/>
      <c r="BH66" s="3388"/>
      <c r="BI66" s="3388"/>
      <c r="BJ66" s="3388"/>
      <c r="BK66" s="3388"/>
      <c r="BL66" s="3388"/>
      <c r="BM66" s="3388"/>
      <c r="BN66" s="3388"/>
      <c r="BO66" s="3388"/>
      <c r="BP66" s="3388"/>
      <c r="BQ66" s="3388"/>
      <c r="BR66" s="3388"/>
      <c r="BS66" s="3388"/>
      <c r="BT66" s="3388"/>
      <c r="BU66" s="3388"/>
      <c r="BV66" s="3388"/>
      <c r="BW66" s="3388"/>
      <c r="BX66" s="3388"/>
      <c r="BY66" s="3388"/>
      <c r="BZ66" s="3388"/>
      <c r="CA66" s="3388"/>
    </row>
    <row r="67" spans="1:79">
      <c r="A67" s="3435" t="s">
        <v>2476</v>
      </c>
      <c r="B67" s="3435"/>
      <c r="C67" s="3435"/>
      <c r="D67" s="3435"/>
      <c r="E67" s="3435"/>
      <c r="F67" s="3435"/>
      <c r="G67" s="3435"/>
      <c r="H67" s="3435"/>
      <c r="I67" s="3435"/>
      <c r="J67" s="3435"/>
      <c r="K67" s="3435"/>
      <c r="L67" s="3435"/>
      <c r="M67" s="3435"/>
      <c r="N67" s="3435"/>
      <c r="AB67" s="3388"/>
      <c r="AC67" s="3388"/>
      <c r="AD67" s="3388"/>
      <c r="AE67" s="3388"/>
      <c r="AF67" s="3388"/>
      <c r="AG67" s="3388"/>
      <c r="AH67" s="3388"/>
      <c r="AI67" s="3388"/>
      <c r="AJ67" s="3388"/>
      <c r="AK67" s="3388"/>
      <c r="AL67" s="3388"/>
      <c r="AM67" s="3388"/>
      <c r="AN67" s="3388"/>
      <c r="AO67" s="3388"/>
      <c r="AP67" s="3388"/>
      <c r="AQ67" s="3388"/>
      <c r="AR67" s="3388"/>
      <c r="AS67" s="3388"/>
      <c r="AT67" s="3388"/>
      <c r="AU67" s="3388"/>
      <c r="AV67" s="3388"/>
      <c r="AW67" s="3388"/>
      <c r="AX67" s="3388"/>
      <c r="AY67" s="3388"/>
      <c r="AZ67" s="3388"/>
      <c r="BA67" s="3388"/>
      <c r="BB67" s="3388"/>
      <c r="BC67" s="3388"/>
      <c r="BD67" s="3388"/>
      <c r="BE67" s="3388"/>
      <c r="BF67" s="3388"/>
      <c r="BG67" s="3388"/>
      <c r="BH67" s="3388"/>
      <c r="BI67" s="3388"/>
      <c r="BJ67" s="3388"/>
      <c r="BK67" s="3388"/>
      <c r="BL67" s="3388"/>
      <c r="BM67" s="3388"/>
      <c r="BN67" s="3388"/>
      <c r="BO67" s="3388"/>
      <c r="BP67" s="3388"/>
      <c r="BQ67" s="3388"/>
      <c r="BR67" s="3388"/>
      <c r="BS67" s="3388"/>
      <c r="BT67" s="3388"/>
      <c r="BU67" s="3388"/>
      <c r="BV67" s="3388"/>
      <c r="BW67" s="3388"/>
      <c r="BX67" s="3388"/>
      <c r="BY67" s="3388"/>
      <c r="BZ67" s="3388"/>
      <c r="CA67" s="3388"/>
    </row>
    <row r="68" spans="1:79">
      <c r="A68" s="3435" t="s">
        <v>2477</v>
      </c>
      <c r="B68" s="3435"/>
      <c r="C68" s="3435"/>
      <c r="D68" s="3435"/>
      <c r="E68" s="3435"/>
      <c r="F68" s="3435"/>
      <c r="G68" s="3435"/>
      <c r="H68" s="3435"/>
      <c r="I68" s="3435"/>
      <c r="J68" s="3435"/>
      <c r="K68" s="3435"/>
      <c r="L68" s="3435"/>
      <c r="M68" s="3435"/>
      <c r="N68" s="3435"/>
      <c r="AB68" s="3388"/>
      <c r="AC68" s="3388"/>
      <c r="AD68" s="3388"/>
      <c r="AE68" s="3388"/>
      <c r="AF68" s="3388"/>
      <c r="AG68" s="3388"/>
      <c r="AH68" s="3388"/>
      <c r="AI68" s="3388"/>
      <c r="AJ68" s="3388"/>
      <c r="AK68" s="3388"/>
      <c r="AL68" s="3388"/>
      <c r="AM68" s="3388"/>
      <c r="AN68" s="3388"/>
      <c r="AO68" s="3388"/>
      <c r="AP68" s="3388"/>
      <c r="AQ68" s="3388"/>
      <c r="AR68" s="3388"/>
      <c r="AS68" s="3388"/>
      <c r="AT68" s="3388"/>
      <c r="AU68" s="3388"/>
      <c r="AV68" s="3388"/>
      <c r="AW68" s="3388"/>
      <c r="AX68" s="3388"/>
      <c r="AY68" s="3388"/>
      <c r="AZ68" s="3388"/>
      <c r="BA68" s="3388"/>
      <c r="BB68" s="3388"/>
      <c r="BC68" s="3388"/>
      <c r="BD68" s="3388"/>
      <c r="BE68" s="3388"/>
      <c r="BF68" s="3388"/>
      <c r="BG68" s="3388"/>
      <c r="BH68" s="3388"/>
      <c r="BI68" s="3388"/>
      <c r="BJ68" s="3388"/>
      <c r="BK68" s="3388"/>
      <c r="BL68" s="3388"/>
      <c r="BM68" s="3388"/>
      <c r="BN68" s="3388"/>
      <c r="BO68" s="3388"/>
      <c r="BP68" s="3388"/>
      <c r="BQ68" s="3388"/>
      <c r="BR68" s="3388"/>
      <c r="BS68" s="3388"/>
      <c r="BT68" s="3388"/>
      <c r="BU68" s="3388"/>
      <c r="BV68" s="3388"/>
      <c r="BW68" s="3388"/>
      <c r="BX68" s="3388"/>
      <c r="BY68" s="3388"/>
      <c r="BZ68" s="3388"/>
      <c r="CA68" s="3388"/>
    </row>
    <row r="69" spans="1:79">
      <c r="A69" s="3435" t="s">
        <v>2478</v>
      </c>
      <c r="B69" s="3435"/>
      <c r="C69" s="3435"/>
      <c r="D69" s="3435"/>
      <c r="E69" s="3435"/>
      <c r="F69" s="3435"/>
      <c r="G69" s="3435"/>
      <c r="H69" s="3435"/>
      <c r="I69" s="3435"/>
      <c r="J69" s="3435"/>
      <c r="K69" s="3435"/>
      <c r="L69" s="3435"/>
      <c r="M69" s="3435"/>
      <c r="N69" s="3435"/>
      <c r="AB69" s="3388"/>
      <c r="AC69" s="3388"/>
      <c r="AD69" s="3388"/>
      <c r="AE69" s="3388"/>
      <c r="AF69" s="3388"/>
      <c r="AG69" s="3388"/>
      <c r="AH69" s="3388"/>
      <c r="AI69" s="3388"/>
      <c r="AJ69" s="3388"/>
      <c r="AK69" s="3388"/>
      <c r="AL69" s="3388"/>
      <c r="AM69" s="3388"/>
      <c r="AN69" s="3388"/>
      <c r="AO69" s="3388"/>
      <c r="AP69" s="3388"/>
      <c r="AQ69" s="3388"/>
      <c r="AR69" s="3388"/>
      <c r="AS69" s="3388"/>
      <c r="AT69" s="3388"/>
      <c r="AU69" s="3388"/>
      <c r="AV69" s="3388"/>
      <c r="AW69" s="3388"/>
      <c r="AX69" s="3388"/>
      <c r="AY69" s="3388"/>
      <c r="AZ69" s="3388"/>
      <c r="BA69" s="3388"/>
      <c r="BB69" s="3388"/>
      <c r="BC69" s="3388"/>
      <c r="BD69" s="3388"/>
      <c r="BE69" s="3388"/>
      <c r="BF69" s="3388"/>
      <c r="BG69" s="3388"/>
      <c r="BH69" s="3388"/>
      <c r="BI69" s="3388"/>
      <c r="BJ69" s="3388"/>
      <c r="BK69" s="3388"/>
      <c r="BL69" s="3388"/>
      <c r="BM69" s="3388"/>
      <c r="BN69" s="3388"/>
      <c r="BO69" s="3388"/>
      <c r="BP69" s="3388"/>
      <c r="BQ69" s="3388"/>
      <c r="BR69" s="3388"/>
      <c r="BS69" s="3388"/>
      <c r="BT69" s="3388"/>
      <c r="BU69" s="3388"/>
      <c r="BV69" s="3388"/>
      <c r="BW69" s="3388"/>
      <c r="BX69" s="3388"/>
      <c r="BY69" s="3388"/>
      <c r="BZ69" s="3388"/>
      <c r="CA69" s="3388"/>
    </row>
    <row r="70" spans="1:79">
      <c r="A70" s="3435" t="s">
        <v>2479</v>
      </c>
      <c r="B70" s="3435"/>
      <c r="C70" s="3435"/>
      <c r="D70" s="3435"/>
      <c r="E70" s="3435"/>
      <c r="F70" s="3435"/>
      <c r="G70" s="3435"/>
      <c r="H70" s="3435"/>
      <c r="I70" s="3435"/>
      <c r="J70" s="3435"/>
      <c r="K70" s="3435"/>
      <c r="L70" s="3435"/>
      <c r="M70" s="3435"/>
      <c r="N70" s="3435"/>
      <c r="AB70" s="3388"/>
      <c r="AC70" s="3388"/>
      <c r="AD70" s="3388"/>
      <c r="AE70" s="3388"/>
      <c r="AF70" s="3388"/>
      <c r="AG70" s="3388"/>
      <c r="AH70" s="3388"/>
      <c r="AI70" s="3388"/>
      <c r="AJ70" s="3388"/>
      <c r="AK70" s="3388"/>
      <c r="AL70" s="3388"/>
      <c r="AM70" s="3388"/>
      <c r="AN70" s="3388"/>
      <c r="AO70" s="3388"/>
      <c r="AP70" s="3388"/>
      <c r="AQ70" s="3388"/>
      <c r="AR70" s="3388"/>
      <c r="AS70" s="3388"/>
      <c r="AT70" s="3388"/>
      <c r="AU70" s="3388"/>
      <c r="AV70" s="3388"/>
      <c r="AW70" s="3388"/>
      <c r="AX70" s="3388"/>
      <c r="AY70" s="3388"/>
      <c r="AZ70" s="3388"/>
      <c r="BA70" s="3388"/>
      <c r="BB70" s="3388"/>
      <c r="BC70" s="3388"/>
      <c r="BD70" s="3388"/>
      <c r="BE70" s="3388"/>
      <c r="BF70" s="3388"/>
      <c r="BG70" s="3388"/>
      <c r="BH70" s="3388"/>
      <c r="BI70" s="3388"/>
      <c r="BJ70" s="3388"/>
      <c r="BK70" s="3388"/>
      <c r="BL70" s="3388"/>
      <c r="BM70" s="3388"/>
      <c r="BN70" s="3388"/>
      <c r="BO70" s="3388"/>
      <c r="BP70" s="3388"/>
      <c r="BQ70" s="3388"/>
      <c r="BR70" s="3388"/>
      <c r="BS70" s="3388"/>
      <c r="BT70" s="3388"/>
      <c r="BU70" s="3388"/>
      <c r="BV70" s="3388"/>
      <c r="BW70" s="3388"/>
      <c r="BX70" s="3388"/>
      <c r="BY70" s="3388"/>
      <c r="BZ70" s="3388"/>
      <c r="CA70" s="3388"/>
    </row>
    <row r="71" spans="1:79">
      <c r="A71" s="3435" t="s">
        <v>1627</v>
      </c>
      <c r="B71" s="3435"/>
      <c r="C71" s="3435"/>
      <c r="D71" s="3435"/>
      <c r="E71" s="3435"/>
      <c r="F71" s="3435"/>
      <c r="G71" s="3435"/>
      <c r="H71" s="3435"/>
      <c r="I71" s="3435"/>
      <c r="J71" s="3435"/>
      <c r="K71" s="3435"/>
      <c r="L71" s="3435"/>
      <c r="M71" s="3435"/>
      <c r="N71" s="3435"/>
      <c r="AB71" s="3388"/>
      <c r="AC71" s="3388"/>
      <c r="AD71" s="3388"/>
      <c r="AE71" s="3388"/>
      <c r="AF71" s="3388"/>
      <c r="AG71" s="3388"/>
      <c r="AH71" s="3388"/>
      <c r="AI71" s="3388"/>
      <c r="AJ71" s="3388"/>
      <c r="AK71" s="3388"/>
      <c r="AL71" s="3388"/>
      <c r="AM71" s="3388"/>
      <c r="AN71" s="3388"/>
      <c r="AO71" s="3388"/>
      <c r="AP71" s="3388"/>
      <c r="AQ71" s="3388"/>
      <c r="AR71" s="3388"/>
      <c r="AS71" s="3388"/>
      <c r="AT71" s="3388"/>
      <c r="AU71" s="3388"/>
      <c r="AV71" s="3388"/>
      <c r="AW71" s="3388"/>
      <c r="AX71" s="3388"/>
      <c r="AY71" s="3388"/>
      <c r="AZ71" s="3388"/>
      <c r="BA71" s="3388"/>
      <c r="BB71" s="3388"/>
      <c r="BC71" s="3388"/>
      <c r="BD71" s="3388"/>
      <c r="BE71" s="3388"/>
      <c r="BF71" s="3388"/>
      <c r="BG71" s="3388"/>
      <c r="BH71" s="3388"/>
      <c r="BI71" s="3388"/>
      <c r="BJ71" s="3388"/>
      <c r="BK71" s="3388"/>
      <c r="BL71" s="3388"/>
      <c r="BM71" s="3388"/>
      <c r="BN71" s="3388"/>
      <c r="BO71" s="3388"/>
      <c r="BP71" s="3388"/>
      <c r="BQ71" s="3388"/>
      <c r="BR71" s="3388"/>
      <c r="BS71" s="3388"/>
      <c r="BT71" s="3388"/>
      <c r="BU71" s="3388"/>
      <c r="BV71" s="3388"/>
      <c r="BW71" s="3388"/>
      <c r="BX71" s="3388"/>
      <c r="BY71" s="3388"/>
      <c r="BZ71" s="3388"/>
      <c r="CA71" s="3388"/>
    </row>
    <row r="72" spans="1:79">
      <c r="A72" s="3435" t="s">
        <v>35</v>
      </c>
      <c r="B72" s="3435"/>
      <c r="C72" s="3435"/>
      <c r="D72" s="3435"/>
      <c r="E72" s="3435"/>
      <c r="F72" s="3435"/>
      <c r="G72" s="3435"/>
      <c r="H72" s="3435"/>
      <c r="I72" s="3435"/>
      <c r="J72" s="3435"/>
      <c r="K72" s="3435"/>
      <c r="L72" s="3435"/>
      <c r="M72" s="3435"/>
      <c r="N72" s="3435"/>
      <c r="AB72" s="3388"/>
      <c r="AC72" s="3388"/>
      <c r="AD72" s="3388"/>
      <c r="AE72" s="3388"/>
      <c r="AF72" s="3388"/>
      <c r="AG72" s="3388"/>
      <c r="AH72" s="3388"/>
      <c r="AI72" s="3388"/>
      <c r="AJ72" s="3388"/>
      <c r="AK72" s="3388"/>
      <c r="AL72" s="3388"/>
      <c r="AM72" s="3388"/>
      <c r="AN72" s="3388"/>
      <c r="AO72" s="3388"/>
      <c r="AP72" s="3388"/>
      <c r="AQ72" s="3388"/>
      <c r="AR72" s="3388"/>
      <c r="AS72" s="3388"/>
      <c r="AT72" s="3388"/>
      <c r="AU72" s="3388"/>
      <c r="AV72" s="3388"/>
      <c r="AW72" s="3388"/>
      <c r="AX72" s="3388"/>
      <c r="AY72" s="3388"/>
      <c r="AZ72" s="3388"/>
      <c r="BA72" s="3388"/>
      <c r="BB72" s="3388"/>
      <c r="BC72" s="3388"/>
      <c r="BD72" s="3388"/>
      <c r="BE72" s="3388"/>
      <c r="BF72" s="3388"/>
      <c r="BG72" s="3388"/>
      <c r="BH72" s="3388"/>
      <c r="BI72" s="3388"/>
      <c r="BJ72" s="3388"/>
      <c r="BK72" s="3388"/>
      <c r="BL72" s="3388"/>
      <c r="BM72" s="3388"/>
      <c r="BN72" s="3388"/>
      <c r="BO72" s="3388"/>
      <c r="BP72" s="3388"/>
      <c r="BQ72" s="3388"/>
      <c r="BR72" s="3388"/>
      <c r="BS72" s="3388"/>
      <c r="BT72" s="3388"/>
      <c r="BU72" s="3388"/>
      <c r="BV72" s="3388"/>
      <c r="BW72" s="3388"/>
      <c r="BX72" s="3388"/>
      <c r="BY72" s="3388"/>
      <c r="BZ72" s="3388"/>
      <c r="CA72" s="3388"/>
    </row>
    <row r="73" spans="1:79">
      <c r="A73" s="3435" t="s">
        <v>2481</v>
      </c>
      <c r="B73" s="3435"/>
      <c r="C73" s="3435"/>
      <c r="D73" s="3435"/>
      <c r="E73" s="3435"/>
      <c r="F73" s="3435"/>
      <c r="G73" s="3435"/>
      <c r="H73" s="3435"/>
      <c r="I73" s="3435"/>
      <c r="J73" s="3435"/>
      <c r="K73" s="3435"/>
      <c r="L73" s="3435"/>
      <c r="M73" s="3435"/>
      <c r="N73" s="3435"/>
      <c r="AB73" s="3388"/>
      <c r="AC73" s="3388"/>
      <c r="AD73" s="3388"/>
      <c r="AE73" s="3388"/>
      <c r="AF73" s="3388"/>
      <c r="AG73" s="3388"/>
      <c r="AH73" s="3388"/>
      <c r="AI73" s="3388"/>
      <c r="AJ73" s="3388"/>
      <c r="AK73" s="3388"/>
      <c r="AL73" s="3388"/>
      <c r="AM73" s="3388"/>
      <c r="AN73" s="3388"/>
      <c r="AO73" s="3388"/>
      <c r="AP73" s="3388"/>
      <c r="AQ73" s="3388"/>
      <c r="AR73" s="3388"/>
      <c r="AS73" s="3388"/>
      <c r="AT73" s="3388"/>
      <c r="AU73" s="3388"/>
      <c r="AV73" s="3388"/>
      <c r="AW73" s="3388"/>
      <c r="AX73" s="3388"/>
      <c r="AY73" s="3388"/>
      <c r="AZ73" s="3388"/>
      <c r="BA73" s="3388"/>
      <c r="BB73" s="3388"/>
      <c r="BC73" s="3388"/>
      <c r="BD73" s="3388"/>
      <c r="BE73" s="3388"/>
      <c r="BF73" s="3388"/>
      <c r="BG73" s="3388"/>
      <c r="BH73" s="3388"/>
      <c r="BI73" s="3388"/>
      <c r="BJ73" s="3388"/>
      <c r="BK73" s="3388"/>
      <c r="BL73" s="3388"/>
      <c r="BM73" s="3388"/>
      <c r="BN73" s="3388"/>
      <c r="BO73" s="3388"/>
      <c r="BP73" s="3388"/>
      <c r="BQ73" s="3388"/>
      <c r="BR73" s="3388"/>
      <c r="BS73" s="3388"/>
      <c r="BT73" s="3388"/>
      <c r="BU73" s="3388"/>
      <c r="BV73" s="3388"/>
      <c r="BW73" s="3388"/>
      <c r="BX73" s="3388"/>
      <c r="BY73" s="3388"/>
      <c r="BZ73" s="3388"/>
      <c r="CA73" s="3388"/>
    </row>
    <row r="74" spans="1:79">
      <c r="A74" s="3435" t="s">
        <v>2482</v>
      </c>
      <c r="B74" s="3435"/>
      <c r="C74" s="3435"/>
      <c r="D74" s="3435"/>
      <c r="E74" s="3435"/>
      <c r="F74" s="3435"/>
      <c r="G74" s="3435"/>
      <c r="H74" s="3435"/>
      <c r="I74" s="3435"/>
      <c r="J74" s="3435"/>
      <c r="K74" s="3435"/>
      <c r="L74" s="3435"/>
      <c r="M74" s="3435"/>
      <c r="N74" s="3435"/>
      <c r="AB74" s="3388"/>
      <c r="AC74" s="3388"/>
      <c r="AD74" s="3388"/>
      <c r="AE74" s="3388"/>
      <c r="AF74" s="3388"/>
      <c r="AG74" s="3388"/>
      <c r="AH74" s="3388"/>
      <c r="AI74" s="3388"/>
      <c r="AJ74" s="3388"/>
      <c r="AK74" s="3388"/>
      <c r="AL74" s="3388"/>
      <c r="AM74" s="3388"/>
      <c r="AN74" s="3388"/>
      <c r="AO74" s="3388"/>
      <c r="AP74" s="3388"/>
      <c r="AQ74" s="3388"/>
      <c r="AR74" s="3388"/>
      <c r="AS74" s="3388"/>
      <c r="AT74" s="3388"/>
      <c r="AU74" s="3388"/>
      <c r="AV74" s="3388"/>
      <c r="AW74" s="3388"/>
      <c r="AX74" s="3388"/>
      <c r="AY74" s="3388"/>
      <c r="AZ74" s="3388"/>
      <c r="BA74" s="3388"/>
      <c r="BB74" s="3388"/>
      <c r="BC74" s="3388"/>
      <c r="BD74" s="3388"/>
      <c r="BE74" s="3388"/>
      <c r="BF74" s="3388"/>
      <c r="BG74" s="3388"/>
      <c r="BH74" s="3388"/>
      <c r="BI74" s="3388"/>
      <c r="BJ74" s="3388"/>
      <c r="BK74" s="3388"/>
      <c r="BL74" s="3388"/>
      <c r="BM74" s="3388"/>
      <c r="BN74" s="3388"/>
      <c r="BO74" s="3388"/>
      <c r="BP74" s="3388"/>
      <c r="BQ74" s="3388"/>
      <c r="BR74" s="3388"/>
      <c r="BS74" s="3388"/>
      <c r="BT74" s="3388"/>
      <c r="BU74" s="3388"/>
      <c r="BV74" s="3388"/>
      <c r="BW74" s="3388"/>
      <c r="BX74" s="3388"/>
      <c r="BY74" s="3388"/>
      <c r="BZ74" s="3388"/>
      <c r="CA74" s="3388"/>
    </row>
    <row r="75" spans="1:79">
      <c r="A75" s="3435" t="s">
        <v>2483</v>
      </c>
      <c r="B75" s="3435"/>
      <c r="C75" s="3435"/>
      <c r="D75" s="3435"/>
      <c r="E75" s="3435"/>
      <c r="F75" s="3435"/>
      <c r="G75" s="3435"/>
      <c r="H75" s="3435"/>
      <c r="I75" s="3435"/>
      <c r="J75" s="3435"/>
      <c r="K75" s="3435"/>
      <c r="L75" s="3435"/>
      <c r="M75" s="3435"/>
      <c r="N75" s="3435"/>
      <c r="AB75" s="3388"/>
      <c r="AC75" s="3388"/>
      <c r="AD75" s="3388"/>
      <c r="AE75" s="3388"/>
      <c r="AF75" s="3388"/>
      <c r="AG75" s="3388"/>
      <c r="AH75" s="3388"/>
      <c r="AI75" s="3388"/>
      <c r="AJ75" s="3388"/>
      <c r="AK75" s="3388"/>
      <c r="AL75" s="3388"/>
      <c r="AM75" s="3388"/>
      <c r="AN75" s="3388"/>
      <c r="AO75" s="3388"/>
      <c r="AP75" s="3388"/>
      <c r="AQ75" s="3388"/>
      <c r="AR75" s="3388"/>
      <c r="AS75" s="3388"/>
      <c r="AT75" s="3388"/>
      <c r="AU75" s="3388"/>
      <c r="AV75" s="3388"/>
      <c r="AW75" s="3388"/>
      <c r="AX75" s="3388"/>
      <c r="AY75" s="3388"/>
      <c r="AZ75" s="3388"/>
      <c r="BA75" s="3388"/>
      <c r="BO75" s="3388"/>
      <c r="BP75" s="3388"/>
      <c r="BQ75" s="3388"/>
      <c r="BR75" s="3388"/>
      <c r="BS75" s="3388"/>
      <c r="BT75" s="3388"/>
      <c r="BU75" s="3388"/>
      <c r="BV75" s="3388"/>
      <c r="BW75" s="3388"/>
      <c r="BX75" s="3388"/>
      <c r="BY75" s="3388"/>
      <c r="BZ75" s="3388"/>
      <c r="CA75" s="3388"/>
    </row>
    <row r="76" spans="1:79">
      <c r="A76" s="3435" t="s">
        <v>2484</v>
      </c>
      <c r="B76" s="3435"/>
      <c r="C76" s="3435"/>
      <c r="D76" s="3435"/>
      <c r="E76" s="3435"/>
      <c r="F76" s="3435"/>
      <c r="G76" s="3435"/>
      <c r="H76" s="3435"/>
      <c r="I76" s="3435"/>
      <c r="J76" s="3435"/>
      <c r="K76" s="3435"/>
      <c r="L76" s="3435"/>
      <c r="M76" s="3435"/>
      <c r="N76" s="3435"/>
      <c r="AB76" s="3388"/>
      <c r="AC76" s="3388"/>
      <c r="AD76" s="3388"/>
      <c r="AE76" s="3388"/>
      <c r="AF76" s="3388"/>
      <c r="AG76" s="3388"/>
      <c r="AH76" s="3388"/>
      <c r="AI76" s="3388"/>
      <c r="AJ76" s="3388"/>
      <c r="AK76" s="3388"/>
      <c r="AL76" s="3388"/>
      <c r="AM76" s="3388"/>
      <c r="AN76" s="3388"/>
      <c r="AO76" s="3388"/>
      <c r="AP76" s="3388"/>
      <c r="AQ76" s="3388"/>
      <c r="AR76" s="3388"/>
      <c r="AS76" s="3388"/>
      <c r="AT76" s="3388"/>
      <c r="AU76" s="3388"/>
      <c r="AV76" s="3388"/>
      <c r="AW76" s="3388"/>
      <c r="AX76" s="3388"/>
      <c r="AY76" s="3388"/>
      <c r="AZ76" s="3388"/>
      <c r="BA76" s="3388"/>
      <c r="BO76" s="3388"/>
      <c r="BP76" s="3388"/>
      <c r="BQ76" s="3388"/>
      <c r="BR76" s="3388"/>
      <c r="BS76" s="3388"/>
      <c r="BT76" s="3388"/>
      <c r="BU76" s="3388"/>
      <c r="BV76" s="3388"/>
      <c r="BW76" s="3388"/>
      <c r="BX76" s="3388"/>
      <c r="BY76" s="3388"/>
      <c r="BZ76" s="3388"/>
      <c r="CA76" s="3388"/>
    </row>
    <row r="77" spans="1:79">
      <c r="A77" s="3435" t="s">
        <v>2485</v>
      </c>
      <c r="B77" s="3435"/>
      <c r="C77" s="3435"/>
      <c r="D77" s="3435"/>
      <c r="E77" s="3435"/>
      <c r="F77" s="3435"/>
      <c r="G77" s="3435"/>
      <c r="H77" s="3435"/>
      <c r="I77" s="3435"/>
      <c r="J77" s="3435"/>
      <c r="K77" s="3435"/>
      <c r="L77" s="3435"/>
      <c r="M77" s="3435"/>
      <c r="N77" s="3435"/>
      <c r="AB77" s="3388"/>
      <c r="AC77" s="3388"/>
      <c r="AD77" s="3388"/>
      <c r="AE77" s="3388"/>
      <c r="AF77" s="3388"/>
      <c r="AG77" s="3388"/>
      <c r="AH77" s="3388"/>
      <c r="AI77" s="3388"/>
      <c r="AJ77" s="3388"/>
      <c r="AK77" s="3388"/>
      <c r="AL77" s="3388"/>
      <c r="AM77" s="3388"/>
      <c r="AN77" s="3388"/>
      <c r="AO77" s="3388"/>
      <c r="AP77" s="3388"/>
      <c r="AQ77" s="3388"/>
      <c r="AR77" s="3388"/>
      <c r="AS77" s="3388"/>
      <c r="AT77" s="3388"/>
      <c r="AU77" s="3388"/>
      <c r="AV77" s="3388"/>
      <c r="AW77" s="3388"/>
      <c r="AX77" s="3388"/>
      <c r="AY77" s="3388"/>
      <c r="AZ77" s="3388"/>
      <c r="BA77" s="3388"/>
      <c r="BO77" s="3388"/>
      <c r="BP77" s="3388"/>
      <c r="BQ77" s="3388"/>
      <c r="BR77" s="3388"/>
      <c r="BS77" s="3388"/>
      <c r="BT77" s="3388"/>
      <c r="BU77" s="3388"/>
      <c r="BV77" s="3388"/>
      <c r="BW77" s="3388"/>
      <c r="BX77" s="3388"/>
      <c r="BY77" s="3388"/>
      <c r="BZ77" s="3388"/>
      <c r="CA77" s="3388"/>
    </row>
    <row r="78" spans="1:79">
      <c r="A78" s="3435" t="s">
        <v>2486</v>
      </c>
      <c r="B78" s="3435"/>
      <c r="C78" s="3435"/>
      <c r="D78" s="3435"/>
      <c r="E78" s="3435"/>
      <c r="F78" s="3435"/>
      <c r="G78" s="3435"/>
      <c r="H78" s="3435"/>
      <c r="I78" s="3435"/>
      <c r="J78" s="3435"/>
      <c r="K78" s="3435"/>
      <c r="L78" s="3435"/>
      <c r="M78" s="3435"/>
      <c r="N78" s="3435"/>
      <c r="AB78" s="3388"/>
      <c r="AC78" s="3388"/>
      <c r="AD78" s="3388"/>
      <c r="AE78" s="3388"/>
      <c r="AF78" s="3388"/>
      <c r="AG78" s="3388"/>
      <c r="AH78" s="3388"/>
      <c r="AI78" s="3388"/>
      <c r="AJ78" s="3388"/>
      <c r="AK78" s="3388"/>
      <c r="AL78" s="3388"/>
      <c r="AM78" s="3388"/>
      <c r="AN78" s="3388"/>
      <c r="AO78" s="3388"/>
      <c r="AP78" s="3388"/>
      <c r="AQ78" s="3388"/>
      <c r="AR78" s="3388"/>
      <c r="AS78" s="3388"/>
      <c r="AT78" s="3388"/>
      <c r="AU78" s="3388"/>
      <c r="AV78" s="3388"/>
      <c r="AW78" s="3388"/>
      <c r="AX78" s="3388"/>
      <c r="AY78" s="3388"/>
      <c r="AZ78" s="3388"/>
      <c r="BA78" s="3388"/>
      <c r="BO78" s="3388"/>
      <c r="BP78" s="3388"/>
      <c r="BQ78" s="3388"/>
      <c r="BR78" s="3388"/>
      <c r="BS78" s="3388"/>
      <c r="BT78" s="3388"/>
      <c r="BU78" s="3388"/>
      <c r="BV78" s="3388"/>
      <c r="BW78" s="3388"/>
      <c r="BX78" s="3388"/>
      <c r="BY78" s="3388"/>
      <c r="BZ78" s="3388"/>
      <c r="CA78" s="3388"/>
    </row>
    <row r="79" spans="1:79">
      <c r="A79" s="3435" t="s">
        <v>2487</v>
      </c>
      <c r="B79" s="3435"/>
      <c r="C79" s="3435"/>
      <c r="D79" s="3435"/>
      <c r="E79" s="3435"/>
      <c r="F79" s="3435"/>
      <c r="G79" s="3435"/>
      <c r="H79" s="3435"/>
      <c r="I79" s="3435"/>
      <c r="J79" s="3435"/>
      <c r="K79" s="3435"/>
      <c r="L79" s="3435"/>
      <c r="M79" s="3435"/>
      <c r="N79" s="3435"/>
      <c r="AB79" s="3388"/>
      <c r="AC79" s="3388"/>
      <c r="AD79" s="3388"/>
      <c r="AE79" s="3388"/>
      <c r="AF79" s="3388"/>
      <c r="AG79" s="3388"/>
      <c r="AH79" s="3388"/>
      <c r="AI79" s="3388"/>
      <c r="AJ79" s="3388"/>
      <c r="AK79" s="3388"/>
      <c r="AL79" s="3388"/>
      <c r="AM79" s="3388"/>
      <c r="AN79" s="3388"/>
      <c r="AO79" s="3388"/>
      <c r="AP79" s="3388"/>
      <c r="AQ79" s="3388"/>
      <c r="AR79" s="3388"/>
      <c r="AS79" s="3388"/>
      <c r="AT79" s="3388"/>
      <c r="AU79" s="3388"/>
      <c r="AV79" s="3388"/>
      <c r="AW79" s="3388"/>
      <c r="AX79" s="3388"/>
      <c r="AY79" s="3388"/>
      <c r="AZ79" s="3388"/>
      <c r="BA79" s="3388"/>
      <c r="BO79" s="3388"/>
      <c r="BP79" s="3388"/>
      <c r="BQ79" s="3388"/>
      <c r="BR79" s="3388"/>
      <c r="BS79" s="3388"/>
      <c r="BT79" s="3388"/>
      <c r="BU79" s="3388"/>
      <c r="BV79" s="3388"/>
      <c r="BW79" s="3388"/>
      <c r="BX79" s="3388"/>
      <c r="BY79" s="3388"/>
      <c r="BZ79" s="3388"/>
      <c r="CA79" s="3388"/>
    </row>
    <row r="80" spans="1:79">
      <c r="A80" s="3435" t="s">
        <v>2488</v>
      </c>
      <c r="B80" s="3435"/>
      <c r="C80" s="3435"/>
      <c r="D80" s="3435"/>
      <c r="E80" s="3435"/>
      <c r="F80" s="3435"/>
      <c r="G80" s="3435"/>
      <c r="H80" s="3435"/>
      <c r="I80" s="3435"/>
      <c r="J80" s="3435"/>
      <c r="K80" s="3435"/>
      <c r="L80" s="3435"/>
      <c r="M80" s="3435"/>
      <c r="N80" s="3435"/>
      <c r="AB80" s="3388"/>
      <c r="AC80" s="3388"/>
      <c r="AD80" s="3388"/>
      <c r="AE80" s="3388"/>
      <c r="AF80" s="3388"/>
      <c r="AG80" s="3388"/>
      <c r="AH80" s="3388"/>
      <c r="AI80" s="3388"/>
      <c r="AJ80" s="3388"/>
      <c r="AK80" s="3388"/>
      <c r="AL80" s="3388"/>
      <c r="AM80" s="3388"/>
      <c r="AN80" s="3388"/>
      <c r="AO80" s="3388"/>
      <c r="AP80" s="3388"/>
      <c r="AQ80" s="3388"/>
      <c r="AR80" s="3388"/>
      <c r="AS80" s="3388"/>
      <c r="AT80" s="3388"/>
      <c r="AU80" s="3388"/>
      <c r="AV80" s="3388"/>
      <c r="AW80" s="3388"/>
      <c r="AX80" s="3388"/>
      <c r="AY80" s="3388"/>
      <c r="AZ80" s="3388"/>
      <c r="BA80" s="3388"/>
    </row>
    <row r="81" spans="1:53">
      <c r="A81" s="3435" t="s">
        <v>2489</v>
      </c>
      <c r="B81" s="3435"/>
      <c r="C81" s="3435"/>
      <c r="D81" s="3435"/>
      <c r="E81" s="3435"/>
      <c r="F81" s="3435"/>
      <c r="G81" s="3435"/>
      <c r="H81" s="3435"/>
      <c r="I81" s="3435"/>
      <c r="J81" s="3435"/>
      <c r="K81" s="3435"/>
      <c r="L81" s="3435"/>
      <c r="M81" s="3435"/>
      <c r="N81" s="3435"/>
      <c r="AB81" s="3388"/>
      <c r="AC81" s="3388"/>
      <c r="AD81" s="3388"/>
      <c r="AE81" s="3388"/>
      <c r="AF81" s="3388"/>
      <c r="AG81" s="3388"/>
      <c r="AH81" s="3388"/>
      <c r="AI81" s="3388"/>
      <c r="AJ81" s="3388"/>
      <c r="AK81" s="3388"/>
      <c r="AL81" s="3388"/>
      <c r="AM81" s="3388"/>
      <c r="AN81" s="3388"/>
      <c r="AO81" s="3388"/>
      <c r="AP81" s="3388"/>
      <c r="AQ81" s="3388"/>
      <c r="AR81" s="3388"/>
      <c r="AS81" s="3388"/>
      <c r="AT81" s="3388"/>
      <c r="AU81" s="3388"/>
      <c r="AV81" s="3388"/>
      <c r="AW81" s="3388"/>
      <c r="AX81" s="3388"/>
      <c r="AY81" s="3388"/>
      <c r="AZ81" s="3388"/>
      <c r="BA81" s="3388"/>
    </row>
    <row r="82" spans="1:53">
      <c r="A82" s="3435" t="s">
        <v>2490</v>
      </c>
      <c r="B82" s="3435"/>
      <c r="C82" s="3435"/>
      <c r="D82" s="3435"/>
      <c r="E82" s="3435"/>
      <c r="F82" s="3435"/>
      <c r="G82" s="3435"/>
      <c r="H82" s="3435"/>
      <c r="I82" s="3435"/>
      <c r="J82" s="3435"/>
      <c r="K82" s="3435"/>
      <c r="L82" s="3435"/>
      <c r="M82" s="3435"/>
      <c r="N82" s="3435"/>
      <c r="AB82" s="3388"/>
      <c r="AC82" s="3388"/>
      <c r="AD82" s="3388"/>
      <c r="AE82" s="3388"/>
      <c r="AF82" s="3388"/>
      <c r="AG82" s="3388"/>
      <c r="AH82" s="3388"/>
      <c r="AI82" s="3388"/>
      <c r="AJ82" s="3388"/>
      <c r="AK82" s="3388"/>
      <c r="AL82" s="3388"/>
      <c r="AM82" s="3388"/>
      <c r="AN82" s="3388"/>
    </row>
    <row r="83" spans="1:53">
      <c r="A83" s="3435" t="s">
        <v>2491</v>
      </c>
      <c r="B83" s="3435"/>
      <c r="C83" s="3435"/>
      <c r="D83" s="3435"/>
      <c r="E83" s="3435"/>
      <c r="F83" s="3435"/>
      <c r="G83" s="3435"/>
      <c r="H83" s="3435"/>
      <c r="I83" s="3435"/>
      <c r="J83" s="3435"/>
      <c r="K83" s="3435"/>
      <c r="L83" s="3435"/>
      <c r="M83" s="3435"/>
      <c r="N83" s="3435"/>
      <c r="AB83" s="3388"/>
      <c r="AC83" s="3388"/>
      <c r="AD83" s="3388"/>
      <c r="AE83" s="3388"/>
      <c r="AF83" s="3388"/>
      <c r="AG83" s="3388"/>
      <c r="AH83" s="3388"/>
      <c r="AI83" s="3388"/>
      <c r="AJ83" s="3388"/>
      <c r="AK83" s="3388"/>
      <c r="AL83" s="3388"/>
      <c r="AM83" s="3388"/>
      <c r="AN83" s="3388"/>
    </row>
    <row r="84" spans="1:53">
      <c r="A84" s="3435" t="s">
        <v>2492</v>
      </c>
      <c r="B84" s="3435"/>
      <c r="C84" s="3435"/>
      <c r="D84" s="3435"/>
      <c r="E84" s="3435"/>
      <c r="F84" s="3435"/>
      <c r="G84" s="3435"/>
      <c r="H84" s="3435"/>
      <c r="I84" s="3435"/>
      <c r="J84" s="3435"/>
      <c r="K84" s="3435"/>
      <c r="L84" s="3435"/>
      <c r="M84" s="3435"/>
      <c r="N84" s="3435"/>
      <c r="AB84" s="3388"/>
      <c r="AC84" s="3388"/>
      <c r="AD84" s="3388"/>
      <c r="AE84" s="3388"/>
      <c r="AF84" s="3388"/>
      <c r="AG84" s="3388"/>
      <c r="AH84" s="3388"/>
      <c r="AI84" s="3388"/>
      <c r="AJ84" s="3388"/>
      <c r="AK84" s="3388"/>
      <c r="AL84" s="3388"/>
      <c r="AM84" s="3388"/>
      <c r="AN84" s="3388"/>
    </row>
    <row r="85" spans="1:53">
      <c r="A85" s="3435" t="s">
        <v>2493</v>
      </c>
      <c r="B85" s="3435"/>
      <c r="C85" s="3435"/>
      <c r="D85" s="3435"/>
      <c r="E85" s="3435"/>
      <c r="F85" s="3435"/>
      <c r="G85" s="3435"/>
      <c r="H85" s="3435"/>
      <c r="I85" s="3435"/>
      <c r="J85" s="3435"/>
      <c r="K85" s="3435"/>
      <c r="L85" s="3435"/>
      <c r="M85" s="3435"/>
      <c r="N85" s="3435"/>
      <c r="AB85" s="3388"/>
      <c r="AC85" s="3388"/>
      <c r="AD85" s="3388"/>
      <c r="AE85" s="3388"/>
      <c r="AF85" s="3388"/>
      <c r="AG85" s="3388"/>
      <c r="AH85" s="3388"/>
      <c r="AI85" s="3388"/>
      <c r="AJ85" s="3388"/>
      <c r="AK85" s="3388"/>
      <c r="AL85" s="3388"/>
      <c r="AM85" s="3388"/>
      <c r="AN85" s="3388"/>
    </row>
    <row r="86" spans="1:53">
      <c r="A86" s="3435" t="s">
        <v>1211</v>
      </c>
      <c r="B86" s="3435"/>
      <c r="C86" s="3435"/>
      <c r="D86" s="3435"/>
      <c r="E86" s="3435"/>
      <c r="F86" s="3435"/>
      <c r="G86" s="3435"/>
      <c r="H86" s="3435"/>
      <c r="I86" s="3435"/>
      <c r="J86" s="3435"/>
      <c r="K86" s="3435"/>
      <c r="L86" s="3435"/>
      <c r="M86" s="3435"/>
      <c r="N86" s="3435"/>
      <c r="AB86" s="3388"/>
      <c r="AC86" s="3388"/>
      <c r="AD86" s="3388"/>
      <c r="AE86" s="3388"/>
      <c r="AF86" s="3388"/>
      <c r="AG86" s="3388"/>
      <c r="AH86" s="3388"/>
      <c r="AI86" s="3388"/>
      <c r="AJ86" s="3388"/>
      <c r="AK86" s="3388"/>
      <c r="AL86" s="3388"/>
      <c r="AM86" s="3388"/>
      <c r="AN86" s="3388"/>
    </row>
    <row r="87" spans="1:53">
      <c r="A87" s="3435" t="s">
        <v>417</v>
      </c>
      <c r="B87" s="3435"/>
      <c r="C87" s="3435"/>
      <c r="D87" s="3435"/>
      <c r="E87" s="3435"/>
      <c r="F87" s="3435"/>
      <c r="G87" s="3435"/>
      <c r="H87" s="3435"/>
      <c r="I87" s="3435"/>
      <c r="J87" s="3435"/>
      <c r="K87" s="3435"/>
      <c r="L87" s="3435"/>
      <c r="M87" s="3435"/>
      <c r="N87" s="3435"/>
      <c r="AB87" s="3388"/>
      <c r="AC87" s="3388"/>
      <c r="AD87" s="3388"/>
      <c r="AE87" s="3388"/>
      <c r="AF87" s="3388"/>
      <c r="AG87" s="3388"/>
      <c r="AH87" s="3388"/>
      <c r="AI87" s="3388"/>
      <c r="AJ87" s="3388"/>
      <c r="AK87" s="3388"/>
      <c r="AL87" s="3388"/>
      <c r="AM87" s="3388"/>
      <c r="AN87" s="3388"/>
    </row>
    <row r="88" spans="1:53">
      <c r="A88" s="3435" t="s">
        <v>2494</v>
      </c>
      <c r="B88" s="3435"/>
      <c r="C88" s="3435"/>
      <c r="D88" s="3435"/>
      <c r="E88" s="3435"/>
      <c r="F88" s="3435"/>
      <c r="G88" s="3435"/>
      <c r="H88" s="3435"/>
      <c r="I88" s="3435"/>
      <c r="J88" s="3435"/>
      <c r="K88" s="3435"/>
      <c r="L88" s="3435"/>
      <c r="M88" s="3435"/>
      <c r="N88" s="3435"/>
    </row>
    <row r="89" spans="1:53">
      <c r="A89" s="3435" t="s">
        <v>416</v>
      </c>
      <c r="B89" s="3435"/>
      <c r="C89" s="3435"/>
      <c r="D89" s="3435"/>
      <c r="E89" s="3435"/>
      <c r="F89" s="3435"/>
      <c r="G89" s="3435"/>
      <c r="H89" s="3435"/>
      <c r="I89" s="3435"/>
      <c r="J89" s="3435"/>
      <c r="K89" s="3435"/>
      <c r="L89" s="3435"/>
      <c r="M89" s="3435"/>
      <c r="N89" s="3435"/>
    </row>
  </sheetData>
  <mergeCells count="2">
    <mergeCell ref="A1:M1"/>
    <mergeCell ref="A10:N10"/>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enableFormatConditionsCalculation="0">
    <tabColor indexed="44"/>
    <pageSetUpPr fitToPage="1"/>
  </sheetPr>
  <dimension ref="A1:IV553"/>
  <sheetViews>
    <sheetView showGridLines="0" zoomScale="110" zoomScaleNormal="110" workbookViewId="0">
      <selection activeCell="F359" sqref="F359"/>
    </sheetView>
  </sheetViews>
  <sheetFormatPr defaultRowHeight="12.75"/>
  <cols>
    <col min="1" max="1" width="3.140625" customWidth="1"/>
    <col min="2" max="2" width="2.42578125" customWidth="1"/>
    <col min="3" max="3" width="39.140625" customWidth="1"/>
    <col min="4" max="4" width="14.140625" customWidth="1"/>
    <col min="5" max="7" width="8.7109375" customWidth="1"/>
    <col min="8" max="8" width="8.7109375" style="28" customWidth="1"/>
    <col min="9" max="17" width="8.7109375" customWidth="1"/>
    <col min="18" max="18" width="3.140625" customWidth="1"/>
    <col min="19" max="19" width="2.42578125" customWidth="1"/>
    <col min="20" max="20" width="39.140625" customWidth="1"/>
    <col min="21" max="21" width="14.140625" customWidth="1"/>
    <col min="22" max="26" width="8.7109375" customWidth="1"/>
    <col min="27" max="34" width="9.28515625" customWidth="1"/>
    <col min="35" max="35" width="3.140625" customWidth="1"/>
    <col min="36" max="36" width="2.42578125" customWidth="1"/>
    <col min="37" max="37" width="39.140625" customWidth="1"/>
    <col min="38" max="38" width="14.140625" customWidth="1"/>
    <col min="39" max="52" width="9.28515625" customWidth="1"/>
    <col min="53" max="54" width="48.42578125" customWidth="1"/>
    <col min="55" max="55" width="9.28515625" customWidth="1"/>
  </cols>
  <sheetData>
    <row r="1" spans="1:256" s="45" customFormat="1">
      <c r="A1" s="41"/>
      <c r="B1" s="41"/>
      <c r="C1" s="41"/>
      <c r="D1" s="41"/>
      <c r="E1" s="42"/>
      <c r="F1" s="42"/>
      <c r="G1" s="42"/>
      <c r="H1" s="42"/>
      <c r="I1" s="42"/>
      <c r="J1" s="42"/>
      <c r="K1" s="42"/>
      <c r="L1" s="42"/>
      <c r="M1" s="42"/>
      <c r="N1" s="42"/>
      <c r="O1" s="42"/>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c r="BB1" s="43"/>
      <c r="BC1" s="43"/>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row>
    <row r="2" spans="1:256" s="45" customFormat="1">
      <c r="A2" s="41"/>
      <c r="B2" s="41"/>
      <c r="C2" s="41"/>
      <c r="D2" s="41"/>
      <c r="E2" s="42"/>
      <c r="F2" s="42"/>
      <c r="G2" s="42"/>
      <c r="H2" s="42"/>
      <c r="I2" s="42"/>
      <c r="J2" s="42"/>
      <c r="K2" s="42"/>
      <c r="L2" s="42"/>
      <c r="M2" s="42"/>
      <c r="N2" s="42"/>
      <c r="O2" s="42"/>
      <c r="P2" s="43"/>
      <c r="Q2" s="43"/>
      <c r="R2" s="43"/>
      <c r="S2" s="43"/>
      <c r="T2" s="2079" t="s">
        <v>1019</v>
      </c>
      <c r="U2" s="2078">
        <v>5</v>
      </c>
      <c r="V2" s="2039">
        <v>1</v>
      </c>
      <c r="W2" s="2096" t="str">
        <f>+Transfer!CA98</f>
        <v>Final storage</v>
      </c>
      <c r="X2" s="43"/>
      <c r="Y2" s="43"/>
      <c r="Z2" s="43"/>
      <c r="AA2" s="43"/>
      <c r="AB2" s="43"/>
      <c r="AC2" s="43"/>
      <c r="AD2" s="43"/>
      <c r="AE2" s="43"/>
      <c r="AF2" s="43"/>
      <c r="AG2" s="43"/>
      <c r="AH2" s="43"/>
      <c r="AI2" s="43"/>
      <c r="AJ2" s="43"/>
      <c r="AK2" s="43"/>
      <c r="AL2" s="43"/>
      <c r="AM2" s="43"/>
      <c r="AN2" s="43"/>
      <c r="AO2" s="43"/>
      <c r="AP2" s="43"/>
      <c r="AQ2" s="43"/>
      <c r="AR2" s="43"/>
      <c r="AS2" s="43"/>
      <c r="AT2" s="43"/>
      <c r="AU2" s="43"/>
      <c r="AV2" s="43"/>
      <c r="AW2" s="43"/>
      <c r="AX2" s="43"/>
      <c r="AY2" s="43"/>
      <c r="AZ2" s="43"/>
      <c r="BA2" s="43"/>
      <c r="BB2" s="43"/>
      <c r="BC2" s="43"/>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row>
    <row r="3" spans="1:256">
      <c r="A3" s="41"/>
      <c r="B3" s="46"/>
      <c r="C3" s="46"/>
      <c r="D3" s="41"/>
      <c r="E3" s="47"/>
      <c r="F3" s="47"/>
      <c r="G3" s="47"/>
      <c r="H3" s="47"/>
      <c r="I3" s="47"/>
      <c r="J3" s="47"/>
      <c r="K3" s="47"/>
      <c r="L3" s="42"/>
      <c r="M3" s="42"/>
      <c r="N3" s="42"/>
      <c r="O3" s="42"/>
      <c r="P3" s="43"/>
      <c r="Q3" s="43"/>
      <c r="R3" s="43"/>
      <c r="S3" s="43"/>
      <c r="T3" s="43"/>
      <c r="U3" s="43"/>
      <c r="V3" s="2039">
        <v>2</v>
      </c>
      <c r="W3" s="2096" t="str">
        <f>+Transfer!CN98</f>
        <v>TCE1</v>
      </c>
      <c r="X3" s="43"/>
      <c r="Y3" s="43"/>
      <c r="Z3" s="43"/>
      <c r="AA3" s="43"/>
      <c r="AB3" s="43"/>
      <c r="AC3" s="43"/>
      <c r="AD3" s="43"/>
      <c r="AE3" s="43"/>
      <c r="AF3" s="43"/>
      <c r="AG3" s="43"/>
      <c r="AH3" s="43"/>
      <c r="AI3" s="43"/>
      <c r="AJ3" s="43"/>
      <c r="AK3" s="43"/>
      <c r="AL3" s="43"/>
      <c r="AM3" s="43"/>
      <c r="AN3" s="43"/>
      <c r="AO3" s="43"/>
      <c r="AP3" s="43"/>
      <c r="AQ3" s="43"/>
      <c r="AR3" s="43"/>
      <c r="AS3" s="43"/>
      <c r="AT3" s="43"/>
      <c r="AU3" s="43"/>
      <c r="AV3" s="43"/>
      <c r="AW3" s="43"/>
      <c r="AX3" s="43"/>
      <c r="AY3" s="43"/>
      <c r="AZ3" s="43"/>
      <c r="BA3" s="43"/>
      <c r="BB3" s="43"/>
      <c r="BC3" s="43"/>
    </row>
    <row r="4" spans="1:256">
      <c r="A4" s="41"/>
      <c r="B4" s="46"/>
      <c r="C4" s="46"/>
      <c r="D4" s="41"/>
      <c r="E4" s="47"/>
      <c r="F4" s="47"/>
      <c r="G4" s="47"/>
      <c r="H4" s="47"/>
      <c r="I4" s="47"/>
      <c r="J4" s="47"/>
      <c r="K4" s="47"/>
      <c r="L4" s="42"/>
      <c r="M4" s="42"/>
      <c r="N4" s="42"/>
      <c r="O4" s="42"/>
      <c r="P4" s="43"/>
      <c r="Q4" s="43"/>
      <c r="R4" s="43"/>
      <c r="S4" s="43"/>
      <c r="T4" s="2039" t="str">
        <f>VLOOKUP(U2,V2:W6,2)</f>
        <v>2nd storage</v>
      </c>
      <c r="U4" s="43"/>
      <c r="V4" s="2039">
        <v>3</v>
      </c>
      <c r="W4" s="2096" t="str">
        <f>+Transfer!DA98</f>
        <v>1st storage</v>
      </c>
      <c r="X4" s="43"/>
      <c r="Y4" s="43"/>
      <c r="Z4" s="43"/>
      <c r="AA4" s="43"/>
      <c r="AB4" s="43"/>
      <c r="AC4" s="43"/>
      <c r="AD4" s="43"/>
      <c r="AE4" s="43"/>
      <c r="AF4" s="43"/>
      <c r="AG4" s="43"/>
      <c r="AH4" s="43"/>
      <c r="AI4" s="43"/>
      <c r="AJ4" s="43"/>
      <c r="AK4" s="43"/>
      <c r="AL4" s="43"/>
      <c r="AM4" s="43"/>
      <c r="AN4" s="43"/>
      <c r="AO4" s="43"/>
      <c r="AP4" s="43"/>
      <c r="AQ4" s="43"/>
      <c r="AR4" s="43"/>
      <c r="AS4" s="43"/>
      <c r="AT4" s="43"/>
      <c r="AU4" s="43"/>
      <c r="AV4" s="43"/>
      <c r="AW4" s="43"/>
      <c r="AX4" s="43"/>
      <c r="AY4" s="43"/>
      <c r="AZ4" s="43"/>
      <c r="BA4" s="43"/>
      <c r="BB4" s="43"/>
      <c r="BC4" s="43"/>
    </row>
    <row r="5" spans="1:256" s="1" customFormat="1" ht="13.5" customHeight="1">
      <c r="A5" s="46"/>
      <c r="B5" s="46"/>
      <c r="C5" s="46"/>
      <c r="D5" s="46"/>
      <c r="E5" s="47"/>
      <c r="F5" s="47"/>
      <c r="G5" s="47"/>
      <c r="H5" s="47"/>
      <c r="I5" s="47"/>
      <c r="J5" s="47"/>
      <c r="K5" s="47"/>
      <c r="L5" s="47"/>
      <c r="M5" s="47"/>
      <c r="N5" s="47"/>
      <c r="O5" s="47"/>
      <c r="P5" s="2073"/>
      <c r="Q5" s="2073"/>
      <c r="R5" s="2073"/>
      <c r="S5" s="2073"/>
      <c r="T5" s="2073"/>
      <c r="U5" s="2073"/>
      <c r="V5" s="2077">
        <v>4</v>
      </c>
      <c r="W5" s="2096" t="str">
        <f>Transfer!DN98</f>
        <v>TCE3</v>
      </c>
      <c r="X5" s="2073"/>
      <c r="Y5" s="2073"/>
      <c r="Z5" s="2073"/>
      <c r="AA5" s="2073"/>
      <c r="AB5" s="2073"/>
      <c r="AC5" s="2073"/>
      <c r="AD5" s="2073"/>
      <c r="AE5" s="2073"/>
      <c r="AF5" s="2073"/>
      <c r="AG5" s="2073"/>
      <c r="AH5" s="2073"/>
      <c r="AI5" s="2073"/>
      <c r="AJ5" s="2073"/>
      <c r="AK5" s="2073"/>
      <c r="AL5" s="2073"/>
      <c r="AM5" s="2073"/>
      <c r="AN5" s="2073"/>
      <c r="AO5" s="2073"/>
      <c r="AP5" s="2073"/>
      <c r="AQ5" s="2073"/>
      <c r="AR5" s="2073"/>
      <c r="AS5" s="2073"/>
      <c r="AT5" s="2073"/>
      <c r="AU5" s="2073"/>
      <c r="AV5" s="2073"/>
      <c r="AW5" s="2073"/>
      <c r="AX5" s="2073"/>
      <c r="AY5" s="2073"/>
      <c r="AZ5" s="2073"/>
      <c r="BA5" s="2073"/>
      <c r="BB5" s="2073"/>
      <c r="BC5" s="2073"/>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row>
    <row r="6" spans="1:256" s="1" customFormat="1" ht="13.5" customHeight="1">
      <c r="A6" s="46"/>
      <c r="B6" s="46"/>
      <c r="C6" s="46"/>
      <c r="D6" s="46"/>
      <c r="E6" s="47"/>
      <c r="F6" s="47"/>
      <c r="G6" s="47"/>
      <c r="H6" s="47"/>
      <c r="I6" s="47"/>
      <c r="J6" s="47"/>
      <c r="K6" s="47"/>
      <c r="L6" s="47"/>
      <c r="M6" s="47"/>
      <c r="N6" s="47"/>
      <c r="O6" s="47"/>
      <c r="P6" s="2073"/>
      <c r="Q6" s="2073"/>
      <c r="R6" s="2073"/>
      <c r="S6" s="2073"/>
      <c r="T6" s="2073"/>
      <c r="U6" s="2073"/>
      <c r="V6" s="2077">
        <v>5</v>
      </c>
      <c r="W6" s="2096" t="str">
        <f>+Transfer!EA98</f>
        <v>2nd storage</v>
      </c>
      <c r="X6" s="2073"/>
      <c r="Y6" s="2073"/>
      <c r="Z6" s="2073"/>
      <c r="AA6" s="2073"/>
      <c r="AB6" s="2073"/>
      <c r="AC6" s="2073"/>
      <c r="AD6" s="2073"/>
      <c r="AE6" s="2073"/>
      <c r="AF6" s="2073"/>
      <c r="AG6" s="2073"/>
      <c r="AH6" s="2073"/>
      <c r="AI6" s="2073"/>
      <c r="AJ6" s="2073"/>
      <c r="AK6" s="2073"/>
      <c r="AL6" s="2073"/>
      <c r="AM6" s="2073"/>
      <c r="AN6" s="2073"/>
      <c r="AO6" s="2073"/>
      <c r="AP6" s="2073"/>
      <c r="AQ6" s="2073"/>
      <c r="AR6" s="2073"/>
      <c r="AS6" s="2073"/>
      <c r="AT6" s="2073"/>
      <c r="AU6" s="2073"/>
      <c r="AV6" s="2073"/>
      <c r="AW6" s="2073"/>
      <c r="AX6" s="2073"/>
      <c r="AY6" s="2073"/>
      <c r="AZ6" s="2073"/>
      <c r="BA6" s="2073"/>
      <c r="BB6" s="2073"/>
      <c r="BC6" s="2073"/>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c r="HY6"/>
      <c r="HZ6"/>
      <c r="IA6"/>
      <c r="IB6"/>
      <c r="IC6"/>
      <c r="ID6"/>
      <c r="IE6"/>
      <c r="IF6"/>
      <c r="IG6"/>
      <c r="IH6"/>
      <c r="II6"/>
      <c r="IJ6"/>
      <c r="IK6"/>
      <c r="IL6"/>
      <c r="IM6"/>
      <c r="IN6"/>
      <c r="IO6"/>
      <c r="IP6"/>
      <c r="IQ6"/>
      <c r="IR6"/>
      <c r="IS6"/>
      <c r="IT6"/>
      <c r="IU6"/>
      <c r="IV6"/>
    </row>
    <row r="7" spans="1:256" s="113" customFormat="1" ht="13.5" customHeight="1">
      <c r="A7" s="2074"/>
      <c r="B7" s="2074"/>
      <c r="C7" s="2074"/>
      <c r="D7" s="2074"/>
      <c r="E7" s="2075"/>
      <c r="F7" s="2075"/>
      <c r="G7" s="2075"/>
      <c r="H7" s="2075"/>
      <c r="I7" s="2075"/>
      <c r="J7" s="2075"/>
      <c r="K7" s="2075"/>
      <c r="L7" s="2075"/>
      <c r="M7" s="2075"/>
      <c r="N7" s="2075"/>
      <c r="O7" s="2075"/>
      <c r="P7" s="2076"/>
      <c r="Q7" s="2076"/>
      <c r="R7" s="2076"/>
      <c r="S7" s="2076"/>
      <c r="T7" s="2076"/>
      <c r="U7" s="2076"/>
      <c r="V7" s="2076"/>
      <c r="W7" s="2076"/>
      <c r="X7" s="2076"/>
      <c r="Y7" s="2076"/>
      <c r="Z7" s="2076"/>
      <c r="AA7" s="2076"/>
      <c r="AB7" s="2076"/>
      <c r="AC7" s="2076"/>
      <c r="AD7" s="2076"/>
      <c r="AE7" s="2076"/>
      <c r="AF7" s="2076"/>
      <c r="AG7" s="2076"/>
      <c r="AH7" s="2076"/>
      <c r="AI7" s="2076"/>
      <c r="AJ7" s="2076"/>
      <c r="AK7" s="2076"/>
      <c r="AL7" s="2076"/>
      <c r="AM7" s="2076"/>
      <c r="AN7" s="2076"/>
      <c r="AO7" s="2076"/>
      <c r="AP7" s="2076"/>
      <c r="AQ7" s="2076"/>
      <c r="AR7" s="2076"/>
      <c r="AS7" s="2076"/>
      <c r="AT7" s="2076"/>
      <c r="AU7" s="2076"/>
      <c r="AV7" s="2076"/>
      <c r="AW7" s="2076"/>
      <c r="AX7" s="2076"/>
      <c r="AY7" s="2076"/>
      <c r="AZ7" s="2076"/>
      <c r="BA7" s="2076"/>
      <c r="BB7" s="2076"/>
      <c r="BC7" s="2076"/>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row>
    <row r="8" spans="1:256">
      <c r="A8" s="51"/>
      <c r="B8" s="51"/>
      <c r="C8" s="51"/>
      <c r="D8" s="51"/>
      <c r="E8" s="52"/>
      <c r="F8" s="52"/>
      <c r="G8" s="52"/>
      <c r="H8" s="52"/>
      <c r="I8" s="52"/>
      <c r="J8" s="52"/>
      <c r="K8" s="52"/>
      <c r="L8" s="53"/>
      <c r="M8" s="53"/>
      <c r="N8" s="53"/>
      <c r="O8" s="53"/>
      <c r="P8" s="54"/>
      <c r="Q8" s="54"/>
      <c r="R8" s="54"/>
      <c r="S8" s="54"/>
      <c r="T8" s="54"/>
      <c r="U8" s="54"/>
      <c r="V8" s="54"/>
      <c r="W8" s="54"/>
      <c r="X8" s="54"/>
      <c r="Y8" s="54"/>
      <c r="Z8" s="54"/>
      <c r="AA8" s="54"/>
      <c r="AB8" s="54"/>
      <c r="AC8" s="54"/>
      <c r="AD8" s="54"/>
      <c r="AE8" s="54"/>
      <c r="AF8" s="54"/>
      <c r="AG8" s="54"/>
      <c r="AH8" s="54"/>
      <c r="AI8" s="51"/>
      <c r="AJ8" s="51"/>
      <c r="AK8" s="51"/>
      <c r="AL8" s="51"/>
      <c r="AM8" s="52"/>
      <c r="AN8" s="52"/>
      <c r="AO8" s="52"/>
      <c r="AP8" s="52"/>
      <c r="AQ8" s="52"/>
      <c r="AR8" s="52"/>
      <c r="AS8" s="52"/>
      <c r="AT8" s="53"/>
      <c r="AU8" s="53"/>
      <c r="AV8" s="53"/>
      <c r="AW8" s="53"/>
      <c r="AX8" s="54"/>
      <c r="AY8" s="54"/>
      <c r="AZ8" s="54"/>
      <c r="BA8" s="54"/>
      <c r="BB8" s="54"/>
      <c r="BC8" s="54"/>
    </row>
    <row r="9" spans="1:256">
      <c r="A9" s="45"/>
      <c r="B9" s="2341"/>
      <c r="C9" s="2342" t="s">
        <v>296</v>
      </c>
      <c r="D9" s="2343"/>
      <c r="E9" s="2344"/>
      <c r="F9" s="2342"/>
      <c r="G9" s="2342"/>
      <c r="H9" s="2342"/>
      <c r="I9" s="2345"/>
      <c r="J9" s="53"/>
      <c r="K9" s="53"/>
      <c r="L9" s="53"/>
      <c r="M9" s="53"/>
      <c r="N9" s="54"/>
      <c r="O9" s="54"/>
      <c r="P9" s="54"/>
      <c r="Q9" s="54"/>
      <c r="R9" s="54"/>
      <c r="S9" s="2341"/>
      <c r="T9" s="2342" t="s">
        <v>296</v>
      </c>
      <c r="U9" s="2343"/>
      <c r="V9" s="2344"/>
      <c r="W9" s="2342"/>
      <c r="X9" s="2342"/>
      <c r="Y9" s="2342"/>
      <c r="Z9" s="2345"/>
      <c r="AA9" s="54"/>
      <c r="AB9" s="54"/>
      <c r="AC9" s="54"/>
      <c r="AD9" s="54"/>
      <c r="AE9" s="54"/>
      <c r="AF9" s="54"/>
      <c r="AG9" s="54"/>
      <c r="AH9" s="54"/>
      <c r="AI9" s="45"/>
      <c r="AJ9" s="55"/>
      <c r="AK9" s="56" t="s">
        <v>296</v>
      </c>
      <c r="AL9" s="57"/>
      <c r="AM9" s="58"/>
      <c r="AN9" s="56"/>
      <c r="AO9" s="56"/>
      <c r="AP9" s="56"/>
      <c r="AQ9" s="59"/>
      <c r="AR9" s="53"/>
      <c r="AS9" s="53"/>
      <c r="AT9" s="53"/>
      <c r="AU9" s="53"/>
      <c r="AV9" s="54"/>
      <c r="AW9" s="54"/>
      <c r="AX9" s="54"/>
      <c r="AY9" s="54"/>
      <c r="AZ9" s="54"/>
      <c r="BA9" s="54"/>
      <c r="BB9" s="54"/>
      <c r="BC9" s="54"/>
    </row>
    <row r="10" spans="1:256" ht="15.75">
      <c r="A10" s="45"/>
      <c r="B10" s="1665"/>
      <c r="C10" s="3752" t="str">
        <f>UPPER(Country)</f>
        <v>LITHUANIA</v>
      </c>
      <c r="D10" s="3752"/>
      <c r="E10" s="3752"/>
      <c r="F10" s="3752"/>
      <c r="G10" s="3752"/>
      <c r="H10" s="3752"/>
      <c r="I10" s="2346"/>
      <c r="J10" s="53"/>
      <c r="K10" s="53"/>
      <c r="L10" s="53"/>
      <c r="M10" s="53"/>
      <c r="N10" s="54"/>
      <c r="O10" s="54"/>
      <c r="P10" s="54"/>
      <c r="Q10" s="54"/>
      <c r="R10" s="54"/>
      <c r="S10" s="60"/>
      <c r="T10" s="3752" t="str">
        <f>UPPER(Country)</f>
        <v>LITHUANIA</v>
      </c>
      <c r="U10" s="3752"/>
      <c r="V10" s="3752"/>
      <c r="W10" s="3752"/>
      <c r="X10" s="3752"/>
      <c r="Y10" s="3752"/>
      <c r="Z10" s="2346"/>
      <c r="AA10" s="54"/>
      <c r="AB10" s="54"/>
      <c r="AC10" s="54"/>
      <c r="AD10" s="54"/>
      <c r="AE10" s="54"/>
      <c r="AF10" s="54"/>
      <c r="AG10" s="54"/>
      <c r="AH10" s="54"/>
      <c r="AI10" s="45"/>
      <c r="AJ10" s="60"/>
      <c r="AK10" s="3752" t="str">
        <f>UPPER(Country)</f>
        <v>LITHUANIA</v>
      </c>
      <c r="AL10" s="3752"/>
      <c r="AM10" s="3752"/>
      <c r="AN10" s="3752"/>
      <c r="AO10" s="3752"/>
      <c r="AP10" s="3752"/>
      <c r="AQ10" s="61"/>
      <c r="AR10" s="53"/>
      <c r="AS10" s="53"/>
      <c r="AT10" s="53"/>
      <c r="AU10" s="53"/>
      <c r="AV10" s="54"/>
      <c r="AW10" s="54"/>
      <c r="AX10" s="54"/>
      <c r="AY10" s="54"/>
      <c r="AZ10" s="54"/>
      <c r="BA10" s="54"/>
      <c r="BB10" s="54"/>
      <c r="BC10" s="54"/>
    </row>
    <row r="11" spans="1:256">
      <c r="A11" s="45"/>
      <c r="B11" s="1665"/>
      <c r="C11" s="3752" t="s">
        <v>1014</v>
      </c>
      <c r="D11" s="3752"/>
      <c r="E11" s="3752"/>
      <c r="F11" s="3752"/>
      <c r="G11" s="3752"/>
      <c r="H11" s="3752"/>
      <c r="I11" s="2348"/>
      <c r="J11" s="53"/>
      <c r="K11" s="53"/>
      <c r="L11" s="53"/>
      <c r="M11" s="53"/>
      <c r="N11" s="54"/>
      <c r="O11" s="54"/>
      <c r="P11" s="54"/>
      <c r="Q11" s="54"/>
      <c r="R11" s="54"/>
      <c r="S11" s="1665"/>
      <c r="T11" s="3752" t="s">
        <v>1014</v>
      </c>
      <c r="U11" s="3752"/>
      <c r="V11" s="3752"/>
      <c r="W11" s="3752"/>
      <c r="X11" s="3752"/>
      <c r="Y11" s="3752"/>
      <c r="Z11" s="2348"/>
      <c r="AA11" s="54"/>
      <c r="AB11" s="54"/>
      <c r="AC11" s="54"/>
      <c r="AD11" s="54"/>
      <c r="AE11" s="54"/>
      <c r="AF11" s="54"/>
      <c r="AG11" s="54"/>
      <c r="AH11" s="54"/>
      <c r="AI11" s="45"/>
      <c r="AJ11" s="60"/>
      <c r="AK11" s="3752" t="s">
        <v>1014</v>
      </c>
      <c r="AL11" s="3752"/>
      <c r="AM11" s="3752"/>
      <c r="AN11" s="3752"/>
      <c r="AO11" s="3752"/>
      <c r="AP11" s="3752"/>
      <c r="AQ11" s="62"/>
      <c r="AR11" s="53"/>
      <c r="AS11" s="53"/>
      <c r="AT11" s="53"/>
      <c r="AU11" s="53"/>
      <c r="AV11" s="54"/>
      <c r="AW11" s="54"/>
      <c r="AX11" s="54"/>
      <c r="AY11" s="54"/>
      <c r="AZ11" s="54"/>
      <c r="BA11" s="54"/>
      <c r="BB11" s="54"/>
      <c r="BC11" s="54"/>
    </row>
    <row r="12" spans="1:256" ht="15.75">
      <c r="A12" s="45"/>
      <c r="B12" s="1665"/>
      <c r="C12" s="2349" t="str">
        <f>"Country: " &amp;UPPER(Country)</f>
        <v>Country: LITHUANIA</v>
      </c>
      <c r="D12" s="2350"/>
      <c r="E12" s="2351"/>
      <c r="F12" s="2351"/>
      <c r="G12" s="2351"/>
      <c r="H12" s="2351"/>
      <c r="I12" s="2352"/>
      <c r="J12" s="53"/>
      <c r="K12" s="53"/>
      <c r="L12" s="53"/>
      <c r="M12" s="53"/>
      <c r="N12" s="54"/>
      <c r="O12" s="54"/>
      <c r="P12" s="54"/>
      <c r="Q12" s="54"/>
      <c r="R12" s="54"/>
      <c r="S12" s="1665"/>
      <c r="T12" s="2349" t="str">
        <f>"Country: " &amp;UPPER(Country)</f>
        <v>Country: LITHUANIA</v>
      </c>
      <c r="U12" s="2350"/>
      <c r="V12" s="2006" t="s">
        <v>390</v>
      </c>
      <c r="W12" s="65"/>
      <c r="X12" s="65"/>
      <c r="Y12" s="49"/>
      <c r="Z12" s="2352"/>
      <c r="AA12" s="54"/>
      <c r="AB12" s="54"/>
      <c r="AC12" s="54"/>
      <c r="AD12" s="54"/>
      <c r="AE12" s="54"/>
      <c r="AF12" s="54"/>
      <c r="AG12" s="54"/>
      <c r="AH12" s="54"/>
      <c r="AI12" s="45"/>
      <c r="AJ12" s="60"/>
      <c r="AK12" s="63" t="str">
        <f>"Country: " &amp;UPPER(Country)</f>
        <v>Country: LITHUANIA</v>
      </c>
      <c r="AL12" s="64"/>
      <c r="AM12" s="65"/>
      <c r="AN12" s="65"/>
      <c r="AO12" s="65"/>
      <c r="AP12" s="49"/>
      <c r="AQ12" s="66"/>
      <c r="AR12" s="53"/>
      <c r="AS12" s="53"/>
      <c r="AT12" s="53"/>
      <c r="AU12" s="53"/>
      <c r="AV12" s="54"/>
      <c r="AW12" s="54"/>
      <c r="AX12" s="54"/>
      <c r="AY12" s="54"/>
      <c r="AZ12" s="54"/>
      <c r="BA12" s="54"/>
      <c r="BB12" s="54"/>
      <c r="BC12" s="54"/>
    </row>
    <row r="13" spans="1:256" ht="15.75">
      <c r="A13" s="45"/>
      <c r="B13" s="1665"/>
      <c r="C13" s="2349" t="str">
        <f>"Currency unit: " &amp; Currency</f>
        <v>Currency unit: bn EUR</v>
      </c>
      <c r="D13" s="2353"/>
      <c r="E13" s="2351"/>
      <c r="F13" s="2354"/>
      <c r="G13" s="2351"/>
      <c r="H13" s="2351"/>
      <c r="I13" s="2352"/>
      <c r="J13" s="53"/>
      <c r="K13" s="53"/>
      <c r="L13" s="53"/>
      <c r="M13" s="53"/>
      <c r="N13" s="54"/>
      <c r="O13" s="54"/>
      <c r="P13" s="54"/>
      <c r="Q13" s="54"/>
      <c r="R13" s="54"/>
      <c r="S13" s="1665"/>
      <c r="T13" s="63" t="str">
        <f>"Currency unit: " &amp; Currency</f>
        <v>Currency unit: bn EUR</v>
      </c>
      <c r="U13" s="2353"/>
      <c r="V13" s="2006" t="str">
        <f>$T$4</f>
        <v>2nd storage</v>
      </c>
      <c r="W13" s="68"/>
      <c r="X13" s="65"/>
      <c r="Y13" s="65"/>
      <c r="Z13" s="2352"/>
      <c r="AA13" s="54"/>
      <c r="AB13" s="54"/>
      <c r="AC13" s="54"/>
      <c r="AD13" s="54"/>
      <c r="AE13" s="54"/>
      <c r="AF13" s="54"/>
      <c r="AG13" s="54"/>
      <c r="AH13" s="54"/>
      <c r="AI13" s="45"/>
      <c r="AJ13" s="60"/>
      <c r="AK13" s="63" t="str">
        <f>"Currency unit: " &amp; Currency</f>
        <v>Currency unit: bn EUR</v>
      </c>
      <c r="AL13" s="67"/>
      <c r="AM13" s="65"/>
      <c r="AN13" s="68"/>
      <c r="AO13" s="65"/>
      <c r="AP13" s="65"/>
      <c r="AQ13" s="66"/>
      <c r="AR13" s="53"/>
      <c r="AS13" s="53"/>
      <c r="AT13" s="53"/>
      <c r="AU13" s="53"/>
      <c r="AV13" s="54"/>
      <c r="AW13" s="54"/>
      <c r="AX13" s="54"/>
      <c r="AY13" s="54"/>
      <c r="AZ13" s="54"/>
      <c r="BA13" s="54"/>
      <c r="BB13" s="54"/>
      <c r="BC13" s="54"/>
    </row>
    <row r="14" spans="1:256">
      <c r="A14" s="45"/>
      <c r="B14" s="1665"/>
      <c r="C14" s="2355" t="s">
        <v>297</v>
      </c>
      <c r="D14" s="2351"/>
      <c r="E14" s="2351"/>
      <c r="F14" s="2351"/>
      <c r="G14" s="2351"/>
      <c r="H14" s="2351"/>
      <c r="I14" s="2352"/>
      <c r="J14" s="53"/>
      <c r="K14" s="53"/>
      <c r="L14" s="53"/>
      <c r="M14" s="53"/>
      <c r="N14" s="54"/>
      <c r="O14" s="54"/>
      <c r="P14" s="54"/>
      <c r="Q14" s="54"/>
      <c r="R14" s="54"/>
      <c r="S14" s="1665"/>
      <c r="T14" s="2355" t="s">
        <v>297</v>
      </c>
      <c r="U14" s="2351"/>
      <c r="V14" s="2351"/>
      <c r="W14" s="2351"/>
      <c r="X14" s="2351"/>
      <c r="Y14" s="2351"/>
      <c r="Z14" s="2352"/>
      <c r="AA14" s="54"/>
      <c r="AB14" s="54"/>
      <c r="AC14" s="54"/>
      <c r="AD14" s="54"/>
      <c r="AE14" s="54"/>
      <c r="AF14" s="54"/>
      <c r="AG14" s="54"/>
      <c r="AH14" s="54"/>
      <c r="AI14" s="45"/>
      <c r="AJ14" s="60"/>
      <c r="AK14" s="69" t="s">
        <v>297</v>
      </c>
      <c r="AL14" s="65"/>
      <c r="AM14" s="65"/>
      <c r="AN14" s="65"/>
      <c r="AO14" s="65"/>
      <c r="AP14" s="65"/>
      <c r="AQ14" s="66"/>
      <c r="AR14" s="53"/>
      <c r="AS14" s="53"/>
      <c r="AT14" s="53"/>
      <c r="AU14" s="53"/>
      <c r="AV14" s="54"/>
      <c r="AW14" s="54"/>
      <c r="AX14" s="54"/>
      <c r="AY14" s="54"/>
      <c r="AZ14" s="54"/>
      <c r="BA14" s="54"/>
      <c r="BB14" s="54"/>
      <c r="BC14" s="54"/>
    </row>
    <row r="15" spans="1:256" ht="13.5" thickBot="1">
      <c r="A15" s="45"/>
      <c r="B15" s="1665"/>
      <c r="C15" s="2351"/>
      <c r="D15" s="2351"/>
      <c r="E15" s="2351"/>
      <c r="F15" s="2351"/>
      <c r="G15" s="3790">
        <f ca="1">NOW()</f>
        <v>43335.58773900463</v>
      </c>
      <c r="H15" s="3790"/>
      <c r="I15" s="2356"/>
      <c r="J15" s="53"/>
      <c r="K15" s="53"/>
      <c r="L15" s="53"/>
      <c r="M15" s="53"/>
      <c r="N15" s="53"/>
      <c r="O15" s="54"/>
      <c r="P15" s="54"/>
      <c r="Q15" s="54"/>
      <c r="R15" s="54"/>
      <c r="S15" s="1665"/>
      <c r="T15" s="2351"/>
      <c r="U15" s="2351"/>
      <c r="V15" s="2351"/>
      <c r="W15" s="2351"/>
      <c r="X15" s="3752">
        <f ca="1">NOW()</f>
        <v>43335.58773900463</v>
      </c>
      <c r="Y15" s="3752"/>
      <c r="Z15" s="2356"/>
      <c r="AA15" s="54"/>
      <c r="AB15" s="54"/>
      <c r="AC15" s="54"/>
      <c r="AD15" s="54"/>
      <c r="AE15" s="54"/>
      <c r="AF15" s="54"/>
      <c r="AG15" s="54"/>
      <c r="AH15" s="54"/>
      <c r="AI15" s="45"/>
      <c r="AJ15" s="60"/>
      <c r="AK15" s="65"/>
      <c r="AL15" s="65"/>
      <c r="AM15" s="65"/>
      <c r="AN15" s="65"/>
      <c r="AO15" s="3752">
        <f ca="1">NOW()</f>
        <v>43335.58773900463</v>
      </c>
      <c r="AP15" s="3752"/>
      <c r="AQ15" s="71"/>
      <c r="AR15" s="53"/>
      <c r="AS15" s="53"/>
      <c r="AT15" s="53"/>
      <c r="AU15" s="53"/>
      <c r="AV15" s="53"/>
      <c r="AW15" s="54"/>
      <c r="AX15" s="54"/>
      <c r="AY15" s="54"/>
      <c r="AZ15" s="54"/>
      <c r="BA15" s="54"/>
      <c r="BB15" s="54"/>
      <c r="BC15" s="54"/>
    </row>
    <row r="16" spans="1:256">
      <c r="A16" s="45"/>
      <c r="B16" s="1665"/>
      <c r="C16" s="2357"/>
      <c r="D16" s="2358"/>
      <c r="E16" s="2359">
        <f>Last_forecast_year - 3</f>
        <v>2016</v>
      </c>
      <c r="F16" s="2360">
        <f>E16+1</f>
        <v>2017</v>
      </c>
      <c r="G16" s="2360">
        <f>F16+1</f>
        <v>2018</v>
      </c>
      <c r="H16" s="2361">
        <f>G16+1</f>
        <v>2019</v>
      </c>
      <c r="I16" s="2362"/>
      <c r="J16" s="53"/>
      <c r="K16" s="53"/>
      <c r="L16" s="53"/>
      <c r="M16" s="53"/>
      <c r="N16" s="53"/>
      <c r="O16" s="54"/>
      <c r="P16" s="54"/>
      <c r="Q16" s="54"/>
      <c r="R16" s="54"/>
      <c r="S16" s="1665"/>
      <c r="T16" s="2357"/>
      <c r="U16" s="2358"/>
      <c r="V16" s="2359">
        <f>Last_forecast_year-3</f>
        <v>2016</v>
      </c>
      <c r="W16" s="2360">
        <f>V16+1</f>
        <v>2017</v>
      </c>
      <c r="X16" s="2360">
        <f>W16+1</f>
        <v>2018</v>
      </c>
      <c r="Y16" s="2361">
        <f>X16+1</f>
        <v>2019</v>
      </c>
      <c r="Z16" s="2362"/>
      <c r="AA16" s="54"/>
      <c r="AB16" s="54"/>
      <c r="AC16" s="54"/>
      <c r="AD16" s="54"/>
      <c r="AE16" s="54"/>
      <c r="AF16" s="54"/>
      <c r="AG16" s="54"/>
      <c r="AH16" s="54"/>
      <c r="AI16" s="45"/>
      <c r="AJ16" s="60"/>
      <c r="AK16" s="72"/>
      <c r="AL16" s="73"/>
      <c r="AM16" s="74">
        <f>Last_forecast_year - 3</f>
        <v>2016</v>
      </c>
      <c r="AN16" s="75">
        <f>AM16+1</f>
        <v>2017</v>
      </c>
      <c r="AO16" s="75">
        <f>AN16+1</f>
        <v>2018</v>
      </c>
      <c r="AP16" s="1675">
        <f>AO16+1</f>
        <v>2019</v>
      </c>
      <c r="AQ16" s="76"/>
      <c r="AR16" s="53"/>
      <c r="AS16" s="53"/>
      <c r="AT16" s="53"/>
      <c r="AU16" s="53"/>
      <c r="AV16" s="53"/>
      <c r="AW16" s="54"/>
      <c r="AX16" s="54"/>
      <c r="AY16" s="54"/>
      <c r="AZ16" s="54"/>
      <c r="BA16" s="54"/>
      <c r="BB16" s="54"/>
      <c r="BC16" s="54"/>
    </row>
    <row r="17" spans="1:55">
      <c r="A17" s="45"/>
      <c r="B17" s="1665"/>
      <c r="C17" s="1666"/>
      <c r="D17" s="2351"/>
      <c r="E17" s="3752" t="s">
        <v>298</v>
      </c>
      <c r="F17" s="3752"/>
      <c r="G17" s="3752"/>
      <c r="H17" s="3752"/>
      <c r="I17" s="2363"/>
      <c r="J17" s="53"/>
      <c r="K17" s="53"/>
      <c r="L17" s="53"/>
      <c r="M17" s="53"/>
      <c r="N17" s="53"/>
      <c r="O17" s="54"/>
      <c r="P17" s="54"/>
      <c r="Q17" s="54"/>
      <c r="R17" s="54"/>
      <c r="S17" s="1665"/>
      <c r="T17" s="1666"/>
      <c r="U17" s="2351"/>
      <c r="V17" s="3752" t="s">
        <v>298</v>
      </c>
      <c r="W17" s="3752"/>
      <c r="X17" s="3752"/>
      <c r="Y17" s="3752"/>
      <c r="Z17" s="2363"/>
      <c r="AA17" s="54"/>
      <c r="AB17" s="54"/>
      <c r="AC17" s="54"/>
      <c r="AD17" s="54"/>
      <c r="AE17" s="54"/>
      <c r="AF17" s="54"/>
      <c r="AG17" s="54"/>
      <c r="AH17" s="54"/>
      <c r="AI17" s="45"/>
      <c r="AJ17" s="60"/>
      <c r="AK17" s="40"/>
      <c r="AL17" s="65"/>
      <c r="AM17" s="3752" t="s">
        <v>298</v>
      </c>
      <c r="AN17" s="3752"/>
      <c r="AO17" s="3752"/>
      <c r="AP17" s="3752"/>
      <c r="AQ17" s="77"/>
      <c r="AR17" s="53"/>
      <c r="AS17" s="53"/>
      <c r="AT17" s="53"/>
      <c r="AU17" s="53"/>
      <c r="AV17" s="53"/>
      <c r="AW17" s="54"/>
      <c r="AX17" s="54"/>
      <c r="AY17" s="54"/>
      <c r="AZ17" s="54"/>
      <c r="BA17" s="54"/>
      <c r="BB17" s="54"/>
      <c r="BC17" s="54"/>
    </row>
    <row r="18" spans="1:55">
      <c r="A18" s="45"/>
      <c r="B18" s="1665"/>
      <c r="C18" s="2364" t="s">
        <v>299</v>
      </c>
      <c r="D18" s="2343"/>
      <c r="E18" s="2365"/>
      <c r="F18" s="2366"/>
      <c r="G18" s="2365"/>
      <c r="H18" s="2367"/>
      <c r="I18" s="2368"/>
      <c r="J18" s="53"/>
      <c r="K18" s="53"/>
      <c r="L18" s="53"/>
      <c r="M18" s="53"/>
      <c r="N18" s="53"/>
      <c r="O18" s="54"/>
      <c r="P18" s="54"/>
      <c r="Q18" s="54"/>
      <c r="R18" s="54"/>
      <c r="S18" s="1665"/>
      <c r="T18" s="2364" t="s">
        <v>299</v>
      </c>
      <c r="U18" s="2343"/>
      <c r="V18" s="2365"/>
      <c r="W18" s="2366"/>
      <c r="X18" s="2365"/>
      <c r="Y18" s="2367"/>
      <c r="Z18" s="2368"/>
      <c r="AA18" s="54"/>
      <c r="AB18" s="54"/>
      <c r="AC18" s="54"/>
      <c r="AD18" s="54"/>
      <c r="AE18" s="54"/>
      <c r="AF18" s="54"/>
      <c r="AG18" s="54"/>
      <c r="AH18" s="54"/>
      <c r="AI18" s="45"/>
      <c r="AJ18" s="60"/>
      <c r="AK18" s="78" t="s">
        <v>299</v>
      </c>
      <c r="AL18" s="57"/>
      <c r="AM18" s="79"/>
      <c r="AN18" s="80"/>
      <c r="AO18" s="79"/>
      <c r="AP18" s="81"/>
      <c r="AQ18" s="82"/>
      <c r="AR18" s="53"/>
      <c r="AS18" s="53"/>
      <c r="AT18" s="53"/>
      <c r="AU18" s="53"/>
      <c r="AV18" s="53"/>
      <c r="AW18" s="54"/>
      <c r="AX18" s="54"/>
      <c r="AY18" s="54"/>
      <c r="AZ18" s="54"/>
      <c r="BA18" s="54"/>
      <c r="BB18" s="54"/>
      <c r="BC18" s="54"/>
    </row>
    <row r="19" spans="1:55">
      <c r="A19" s="45"/>
      <c r="B19" s="1665"/>
      <c r="C19" s="1666" t="s">
        <v>300</v>
      </c>
      <c r="D19" s="2351"/>
      <c r="E19" s="2369"/>
      <c r="F19" s="2369"/>
      <c r="G19" s="2369"/>
      <c r="H19" s="2370"/>
      <c r="I19" s="2368"/>
      <c r="J19" s="53"/>
      <c r="K19" s="53"/>
      <c r="L19" s="53"/>
      <c r="M19" s="53"/>
      <c r="N19" s="53"/>
      <c r="O19" s="54"/>
      <c r="P19" s="54"/>
      <c r="Q19" s="54"/>
      <c r="R19" s="54"/>
      <c r="S19" s="1665"/>
      <c r="T19" s="1666" t="s">
        <v>300</v>
      </c>
      <c r="U19" s="2351"/>
      <c r="V19" s="2369"/>
      <c r="W19" s="2369"/>
      <c r="X19" s="2369"/>
      <c r="Y19" s="2370"/>
      <c r="Z19" s="2368"/>
      <c r="AA19" s="54"/>
      <c r="AB19" s="54"/>
      <c r="AC19" s="54"/>
      <c r="AD19" s="54"/>
      <c r="AE19" s="54"/>
      <c r="AF19" s="54"/>
      <c r="AG19" s="54"/>
      <c r="AH19" s="54"/>
      <c r="AI19" s="45"/>
      <c r="AJ19" s="60"/>
      <c r="AK19" s="40" t="s">
        <v>300</v>
      </c>
      <c r="AL19" s="65"/>
      <c r="AM19" s="83"/>
      <c r="AN19" s="83"/>
      <c r="AO19" s="83"/>
      <c r="AP19" s="84"/>
      <c r="AQ19" s="82"/>
      <c r="AR19" s="53"/>
      <c r="AS19" s="53"/>
      <c r="AT19" s="53"/>
      <c r="AU19" s="53"/>
      <c r="AV19" s="53"/>
      <c r="AW19" s="54"/>
      <c r="AX19" s="54"/>
      <c r="AY19" s="54"/>
      <c r="AZ19" s="54"/>
      <c r="BA19" s="1991" t="s">
        <v>405</v>
      </c>
      <c r="BB19" s="1697"/>
      <c r="BC19" s="54"/>
    </row>
    <row r="20" spans="1:55">
      <c r="A20" s="45"/>
      <c r="B20" s="1665"/>
      <c r="C20" s="1666" t="s">
        <v>1172</v>
      </c>
      <c r="D20" s="2351"/>
      <c r="E20" s="2369"/>
      <c r="F20" s="2369"/>
      <c r="G20" s="2369"/>
      <c r="H20" s="2370"/>
      <c r="I20" s="2368"/>
      <c r="J20" s="53"/>
      <c r="K20" s="53"/>
      <c r="L20" s="53"/>
      <c r="M20" s="53"/>
      <c r="N20" s="53"/>
      <c r="O20" s="54"/>
      <c r="P20" s="54"/>
      <c r="Q20" s="54"/>
      <c r="R20" s="54"/>
      <c r="S20" s="1665"/>
      <c r="T20" s="1666" t="s">
        <v>1172</v>
      </c>
      <c r="U20" s="2351"/>
      <c r="V20" s="2369"/>
      <c r="W20" s="2369"/>
      <c r="X20" s="2369"/>
      <c r="Y20" s="2370"/>
      <c r="Z20" s="2368"/>
      <c r="AA20" s="54"/>
      <c r="AB20" s="54"/>
      <c r="AC20" s="54"/>
      <c r="AD20" s="54"/>
      <c r="AE20" s="54"/>
      <c r="AF20" s="54"/>
      <c r="AG20" s="54"/>
      <c r="AH20" s="54"/>
      <c r="AI20" s="45"/>
      <c r="AJ20" s="60"/>
      <c r="AK20" s="40" t="s">
        <v>1172</v>
      </c>
      <c r="AL20" s="65"/>
      <c r="AM20" s="83"/>
      <c r="AN20" s="83"/>
      <c r="AO20" s="83"/>
      <c r="AP20" s="84"/>
      <c r="AQ20" s="82"/>
      <c r="AR20" s="53"/>
      <c r="AS20" s="53"/>
      <c r="AT20" s="53"/>
      <c r="AU20" s="53"/>
      <c r="AV20" s="53"/>
      <c r="AW20" s="54"/>
      <c r="AX20" s="54"/>
      <c r="AY20" s="54"/>
      <c r="AZ20" s="54"/>
      <c r="BA20" s="1673" t="s">
        <v>425</v>
      </c>
      <c r="BB20" s="1699"/>
      <c r="BC20" s="54"/>
    </row>
    <row r="21" spans="1:55">
      <c r="A21" s="45"/>
      <c r="B21" s="1665"/>
      <c r="C21" s="2371" t="s">
        <v>1247</v>
      </c>
      <c r="D21" s="2351"/>
      <c r="E21" s="2369"/>
      <c r="F21" s="2369"/>
      <c r="G21" s="2369"/>
      <c r="H21" s="2370"/>
      <c r="I21" s="2372"/>
      <c r="J21" s="53"/>
      <c r="K21" s="53"/>
      <c r="L21" s="53"/>
      <c r="M21" s="53"/>
      <c r="N21" s="53"/>
      <c r="O21" s="54"/>
      <c r="P21" s="54"/>
      <c r="Q21" s="54"/>
      <c r="R21" s="54"/>
      <c r="S21" s="1665"/>
      <c r="T21" s="2371" t="s">
        <v>1247</v>
      </c>
      <c r="U21" s="2351"/>
      <c r="V21" s="2369"/>
      <c r="W21" s="2369"/>
      <c r="X21" s="2369"/>
      <c r="Y21" s="2370"/>
      <c r="Z21" s="2372"/>
      <c r="AA21" s="54"/>
      <c r="AB21" s="54"/>
      <c r="AC21" s="54"/>
      <c r="AD21" s="54"/>
      <c r="AE21" s="54"/>
      <c r="AF21" s="54"/>
      <c r="AG21" s="54"/>
      <c r="AH21" s="54"/>
      <c r="AI21" s="45"/>
      <c r="AJ21" s="60"/>
      <c r="AK21" s="158" t="s">
        <v>1247</v>
      </c>
      <c r="AL21" s="65"/>
      <c r="AM21" s="83"/>
      <c r="AN21" s="83"/>
      <c r="AO21" s="83"/>
      <c r="AP21" s="84"/>
      <c r="AQ21" s="85"/>
      <c r="AR21" s="53"/>
      <c r="AS21" s="53"/>
      <c r="AT21" s="53"/>
      <c r="AU21" s="53"/>
      <c r="AV21" s="53"/>
      <c r="AW21" s="54"/>
      <c r="AX21" s="54"/>
      <c r="AY21" s="54"/>
      <c r="AZ21" s="54"/>
      <c r="BA21" s="1673" t="s">
        <v>426</v>
      </c>
      <c r="BB21" s="1699"/>
      <c r="BC21" s="54"/>
    </row>
    <row r="22" spans="1:55">
      <c r="A22" s="45"/>
      <c r="B22" s="1665"/>
      <c r="C22" s="2373" t="s">
        <v>1173</v>
      </c>
      <c r="D22" s="2351"/>
      <c r="E22" s="2374"/>
      <c r="F22" s="2374"/>
      <c r="G22" s="2374"/>
      <c r="H22" s="2375"/>
      <c r="I22" s="1664"/>
      <c r="J22" s="53"/>
      <c r="K22" s="53"/>
      <c r="L22" s="53"/>
      <c r="M22" s="53"/>
      <c r="N22" s="53"/>
      <c r="O22" s="54"/>
      <c r="P22" s="54"/>
      <c r="Q22" s="54"/>
      <c r="R22" s="54"/>
      <c r="S22" s="1665"/>
      <c r="T22" s="2373" t="s">
        <v>1173</v>
      </c>
      <c r="U22" s="2351"/>
      <c r="V22" s="2374"/>
      <c r="W22" s="2374"/>
      <c r="X22" s="2374"/>
      <c r="Y22" s="2375"/>
      <c r="Z22" s="1664"/>
      <c r="AA22" s="54"/>
      <c r="AB22" s="54"/>
      <c r="AC22" s="54"/>
      <c r="AD22" s="54"/>
      <c r="AE22" s="54"/>
      <c r="AF22" s="54"/>
      <c r="AG22" s="54"/>
      <c r="AH22" s="54"/>
      <c r="AI22" s="45"/>
      <c r="AJ22" s="60"/>
      <c r="AK22" s="86" t="s">
        <v>1173</v>
      </c>
      <c r="AL22" s="65"/>
      <c r="AM22" s="87"/>
      <c r="AN22" s="88"/>
      <c r="AO22" s="87"/>
      <c r="AP22" s="89"/>
      <c r="AQ22" s="90"/>
      <c r="AR22" s="53"/>
      <c r="AS22" s="53"/>
      <c r="AT22" s="53"/>
      <c r="AU22" s="53"/>
      <c r="AV22" s="53"/>
      <c r="AW22" s="54"/>
      <c r="AX22" s="54"/>
      <c r="AY22" s="54"/>
      <c r="AZ22" s="54"/>
      <c r="BA22" s="1673"/>
      <c r="BB22" s="1699"/>
      <c r="BC22" s="54"/>
    </row>
    <row r="23" spans="1:55">
      <c r="A23" s="45"/>
      <c r="B23" s="1665"/>
      <c r="C23" s="1666" t="s">
        <v>1254</v>
      </c>
      <c r="D23" s="2351"/>
      <c r="E23" s="2376"/>
      <c r="F23" s="2377"/>
      <c r="G23" s="2376"/>
      <c r="H23" s="2378"/>
      <c r="I23" s="2368"/>
      <c r="J23" s="53"/>
      <c r="K23" s="53"/>
      <c r="L23" s="53"/>
      <c r="M23" s="53"/>
      <c r="N23" s="53"/>
      <c r="O23" s="54"/>
      <c r="P23" s="54"/>
      <c r="Q23" s="54"/>
      <c r="R23" s="54"/>
      <c r="S23" s="1665"/>
      <c r="T23" s="1666" t="s">
        <v>1254</v>
      </c>
      <c r="U23" s="2351"/>
      <c r="V23" s="2376"/>
      <c r="W23" s="2377"/>
      <c r="X23" s="2376"/>
      <c r="Y23" s="2378"/>
      <c r="Z23" s="2368"/>
      <c r="AA23" s="54"/>
      <c r="AB23" s="54"/>
      <c r="AC23" s="54"/>
      <c r="AD23" s="54"/>
      <c r="AE23" s="54"/>
      <c r="AF23" s="54"/>
      <c r="AG23" s="54"/>
      <c r="AH23" s="54"/>
      <c r="AI23" s="45"/>
      <c r="AJ23" s="60"/>
      <c r="AK23" s="40" t="s">
        <v>1254</v>
      </c>
      <c r="AL23" s="65"/>
      <c r="AM23" s="91"/>
      <c r="AN23" s="92"/>
      <c r="AO23" s="91"/>
      <c r="AP23" s="93"/>
      <c r="AQ23" s="82"/>
      <c r="AR23" s="53"/>
      <c r="AS23" s="53"/>
      <c r="AT23" s="53"/>
      <c r="AU23" s="53"/>
      <c r="AV23" s="53"/>
      <c r="AW23" s="54"/>
      <c r="AX23" s="54"/>
      <c r="AY23" s="54"/>
      <c r="AZ23" s="54"/>
      <c r="BA23" s="1673" t="s">
        <v>1219</v>
      </c>
      <c r="BB23" s="1699"/>
      <c r="BC23" s="54"/>
    </row>
    <row r="24" spans="1:55">
      <c r="A24" s="45"/>
      <c r="B24" s="1665"/>
      <c r="C24" s="2379" t="s">
        <v>1255</v>
      </c>
      <c r="D24" s="2380"/>
      <c r="E24" s="2381"/>
      <c r="F24" s="2382"/>
      <c r="G24" s="2381"/>
      <c r="H24" s="2383"/>
      <c r="I24" s="2372"/>
      <c r="J24" s="53"/>
      <c r="K24" s="53"/>
      <c r="L24" s="53"/>
      <c r="M24" s="53"/>
      <c r="N24" s="53"/>
      <c r="O24" s="54"/>
      <c r="P24" s="54"/>
      <c r="Q24" s="54"/>
      <c r="R24" s="54"/>
      <c r="S24" s="1665"/>
      <c r="T24" s="2379" t="s">
        <v>1255</v>
      </c>
      <c r="U24" s="2380"/>
      <c r="V24" s="2381"/>
      <c r="W24" s="2382"/>
      <c r="X24" s="2381"/>
      <c r="Y24" s="2383"/>
      <c r="Z24" s="2372"/>
      <c r="AA24" s="54"/>
      <c r="AB24" s="54"/>
      <c r="AC24" s="54"/>
      <c r="AD24" s="54"/>
      <c r="AE24" s="54"/>
      <c r="AF24" s="54"/>
      <c r="AG24" s="54"/>
      <c r="AH24" s="54"/>
      <c r="AI24" s="45"/>
      <c r="AJ24" s="60"/>
      <c r="AK24" s="94" t="s">
        <v>1255</v>
      </c>
      <c r="AL24" s="95"/>
      <c r="AM24" s="96"/>
      <c r="AN24" s="97"/>
      <c r="AO24" s="96"/>
      <c r="AP24" s="98"/>
      <c r="AQ24" s="85"/>
      <c r="AR24" s="53"/>
      <c r="AS24" s="53"/>
      <c r="AT24" s="53"/>
      <c r="AU24" s="53"/>
      <c r="AV24" s="53"/>
      <c r="AW24" s="54"/>
      <c r="AX24" s="54"/>
      <c r="AY24" s="54"/>
      <c r="AZ24" s="54"/>
      <c r="BA24" s="1992" t="s">
        <v>1220</v>
      </c>
      <c r="BB24" s="1699"/>
      <c r="BC24" s="54"/>
    </row>
    <row r="25" spans="1:55">
      <c r="A25" s="45"/>
      <c r="B25" s="1665"/>
      <c r="C25" s="1666"/>
      <c r="D25" s="2351"/>
      <c r="E25" s="3752" t="s">
        <v>408</v>
      </c>
      <c r="F25" s="3752"/>
      <c r="G25" s="3752"/>
      <c r="H25" s="3752"/>
      <c r="I25" s="2372"/>
      <c r="J25" s="53"/>
      <c r="K25" s="53"/>
      <c r="L25" s="53"/>
      <c r="M25" s="53"/>
      <c r="N25" s="53"/>
      <c r="O25" s="54"/>
      <c r="P25" s="54"/>
      <c r="Q25" s="54"/>
      <c r="R25" s="54"/>
      <c r="S25" s="1665"/>
      <c r="T25" s="1666"/>
      <c r="U25" s="2351"/>
      <c r="V25" s="3752" t="s">
        <v>408</v>
      </c>
      <c r="W25" s="3752"/>
      <c r="X25" s="3752"/>
      <c r="Y25" s="3752"/>
      <c r="Z25" s="2372"/>
      <c r="AA25" s="54"/>
      <c r="AB25" s="54"/>
      <c r="AC25" s="54"/>
      <c r="AD25" s="54"/>
      <c r="AE25" s="54"/>
      <c r="AF25" s="54"/>
      <c r="AG25" s="54"/>
      <c r="AH25" s="54"/>
      <c r="AI25" s="45"/>
      <c r="AJ25" s="60"/>
      <c r="AK25" s="40"/>
      <c r="AL25" s="49"/>
      <c r="AM25" s="3752" t="s">
        <v>408</v>
      </c>
      <c r="AN25" s="3752"/>
      <c r="AO25" s="3752"/>
      <c r="AP25" s="3752"/>
      <c r="AQ25" s="85"/>
      <c r="AR25" s="53"/>
      <c r="AS25" s="53"/>
      <c r="AT25" s="53"/>
      <c r="AU25" s="53"/>
      <c r="AV25" s="53"/>
      <c r="AW25" s="54"/>
      <c r="AX25" s="54"/>
      <c r="AY25" s="54"/>
      <c r="AZ25" s="54"/>
      <c r="BA25" s="1993"/>
      <c r="BB25" s="1699"/>
      <c r="BC25" s="54"/>
    </row>
    <row r="26" spans="1:55">
      <c r="A26" s="45"/>
      <c r="B26" s="1665"/>
      <c r="C26" s="2384" t="s">
        <v>44</v>
      </c>
      <c r="D26" s="2343"/>
      <c r="E26" s="2365"/>
      <c r="F26" s="2366"/>
      <c r="G26" s="2365"/>
      <c r="H26" s="2367"/>
      <c r="I26" s="2368"/>
      <c r="J26" s="53"/>
      <c r="K26" s="53"/>
      <c r="L26" s="53"/>
      <c r="M26" s="53"/>
      <c r="N26" s="53"/>
      <c r="O26" s="54"/>
      <c r="P26" s="54"/>
      <c r="Q26" s="54"/>
      <c r="R26" s="54"/>
      <c r="S26" s="1665"/>
      <c r="T26" s="2384" t="s">
        <v>44</v>
      </c>
      <c r="U26" s="2343"/>
      <c r="V26" s="2365"/>
      <c r="W26" s="2366"/>
      <c r="X26" s="2365"/>
      <c r="Y26" s="2367"/>
      <c r="Z26" s="2368"/>
      <c r="AA26" s="54"/>
      <c r="AB26" s="54"/>
      <c r="AC26" s="54"/>
      <c r="AD26" s="54"/>
      <c r="AE26" s="54"/>
      <c r="AF26" s="54"/>
      <c r="AG26" s="54"/>
      <c r="AH26" s="54"/>
      <c r="AI26" s="45"/>
      <c r="AJ26" s="60"/>
      <c r="AK26" s="99" t="s">
        <v>44</v>
      </c>
      <c r="AL26" s="100"/>
      <c r="AM26" s="79"/>
      <c r="AN26" s="80"/>
      <c r="AO26" s="79"/>
      <c r="AP26" s="81"/>
      <c r="AQ26" s="82"/>
      <c r="AR26" s="53"/>
      <c r="AS26" s="53"/>
      <c r="AT26" s="53"/>
      <c r="AU26" s="53"/>
      <c r="AV26" s="53"/>
      <c r="AW26" s="54"/>
      <c r="AX26" s="54"/>
      <c r="AY26" s="54"/>
      <c r="AZ26" s="54"/>
      <c r="BA26" s="1673" t="s">
        <v>137</v>
      </c>
      <c r="BB26" s="1699"/>
      <c r="BC26" s="54"/>
    </row>
    <row r="27" spans="1:55">
      <c r="A27" s="45"/>
      <c r="B27" s="1665"/>
      <c r="C27" s="2385" t="s">
        <v>1138</v>
      </c>
      <c r="D27" s="2386"/>
      <c r="E27" s="2387">
        <f ca="1">(((Transfer!D145/Transfer!D293)/(Transfer!C145/Transfer!C293))-1)*100</f>
        <v>-5.3247162742441345</v>
      </c>
      <c r="F27" s="2388">
        <f ca="1">(((Transfer!E145/Transfer!E293)/(Transfer!D145/Transfer!D293))-1)*100</f>
        <v>4.1311674936495457</v>
      </c>
      <c r="G27" s="2387">
        <f ca="1">(((Transfer!F145/Transfer!F293)/(Transfer!E145/Transfer!E293))-1)*100</f>
        <v>2.4999999999999689</v>
      </c>
      <c r="H27" s="2389">
        <f ca="1">(((Transfer!G145/Transfer!G293)/(Transfer!F145/Transfer!F293))-1)*100</f>
        <v>1.5000000000000124</v>
      </c>
      <c r="I27" s="2390"/>
      <c r="J27" s="53"/>
      <c r="K27" s="53"/>
      <c r="L27" s="53"/>
      <c r="M27" s="53"/>
      <c r="N27" s="53"/>
      <c r="O27" s="54"/>
      <c r="P27" s="54"/>
      <c r="Q27" s="54"/>
      <c r="R27" s="54"/>
      <c r="S27" s="1665"/>
      <c r="T27" s="1666" t="s">
        <v>1138</v>
      </c>
      <c r="U27" s="2392"/>
      <c r="V27" s="2376">
        <f t="shared" ref="V27:Y29" ca="1" si="0">ROUND(E27,1)-ROUND(AM27,1)</f>
        <v>-9.8999999999999986</v>
      </c>
      <c r="W27" s="2376">
        <f t="shared" ca="1" si="0"/>
        <v>4.3</v>
      </c>
      <c r="X27" s="2376">
        <f t="shared" ca="1" si="0"/>
        <v>1.3</v>
      </c>
      <c r="Y27" s="2378">
        <f t="shared" ca="1" si="0"/>
        <v>-0.60000000000000009</v>
      </c>
      <c r="Z27" s="2390"/>
      <c r="AA27" s="54"/>
      <c r="AB27" s="54"/>
      <c r="AC27" s="54"/>
      <c r="AD27" s="54"/>
      <c r="AE27" s="54"/>
      <c r="AF27" s="54"/>
      <c r="AG27" s="54"/>
      <c r="AH27" s="54"/>
      <c r="AI27" s="45"/>
      <c r="AJ27" s="60"/>
      <c r="AK27" s="2111" t="s">
        <v>1138</v>
      </c>
      <c r="AL27" s="2112"/>
      <c r="AM27" s="2113">
        <f>(((Transfer!AD145/Transfer!AD293)/(Transfer!AC145/Transfer!AC293))-1)*100</f>
        <v>4.6290320298688403</v>
      </c>
      <c r="AN27" s="2114">
        <f>(((Transfer!AE145/Transfer!AE293)/(Transfer!AD145/Transfer!AD293))-1)*100</f>
        <v>-0.20000000000000018</v>
      </c>
      <c r="AO27" s="2113">
        <f>(((Transfer!AF145/Transfer!AF293)/(Transfer!AE145/Transfer!AE293))-1)*100</f>
        <v>1.2000000000000011</v>
      </c>
      <c r="AP27" s="2115">
        <f>(((Transfer!AG145/Transfer!AG293)/(Transfer!AF145/Transfer!AF293))-1)*100</f>
        <v>2.0999999999999908</v>
      </c>
      <c r="AQ27" s="103"/>
      <c r="AR27" s="53"/>
      <c r="AS27" s="53"/>
      <c r="AT27" s="53"/>
      <c r="AU27" s="53"/>
      <c r="AV27" s="53"/>
      <c r="AW27" s="54"/>
      <c r="AX27" s="54"/>
      <c r="AY27" s="54"/>
      <c r="AZ27" s="54"/>
      <c r="BA27" s="1673" t="s">
        <v>1221</v>
      </c>
      <c r="BB27" s="1699"/>
      <c r="BC27" s="54"/>
    </row>
    <row r="28" spans="1:55">
      <c r="A28" s="45"/>
      <c r="B28" s="1665"/>
      <c r="C28" s="2385" t="s">
        <v>1139</v>
      </c>
      <c r="D28" s="2386"/>
      <c r="E28" s="2387">
        <f ca="1">IF(Transfer!$C$280=1,((SUM(Transfer!D101,Transfer!D102,Transfer!D103,Transfer!D107,Transfer!D108,Transfer!D109)/SUM(Transfer!C136,Transfer!C137,Transfer!C138,Transfer!C142,Transfer!C143,Transfer!C144))-1)*100,((SUM(Transfer!D101,Transfer!D102,Transfer!D103,Transfer!D107,Transfer!D108,Transfer!D109)/SUM(Transfer!C101,Transfer!C102,Transfer!C103,Transfer!C107,Transfer!C108,Transfer!C109))-1)*100)</f>
        <v>2.8568882486175395</v>
      </c>
      <c r="F28" s="2388">
        <f ca="1">IF(Transfer!$C$280=1,((SUM(Transfer!E101,Transfer!E102,Transfer!E103,Transfer!E107,Transfer!E108,Transfer!E109)/SUM(Transfer!D136,Transfer!D137,Transfer!D138,Transfer!D142,Transfer!D143,Transfer!D144))-1)*100,((SUM(Transfer!E101,Transfer!E102,Transfer!E103,Transfer!E107,Transfer!E108,Transfer!E109)/SUM(Transfer!D101,Transfer!D102,Transfer!D103,Transfer!D107,Transfer!D108,Transfer!D109))-1)*100)</f>
        <v>8.0495832029002123</v>
      </c>
      <c r="G28" s="2387">
        <f ca="1">IF(Transfer!$C$280=1,((SUM(Transfer!F101,Transfer!F102,Transfer!F103,Transfer!F107,Transfer!F108,Transfer!F109)/SUM(Transfer!E136,Transfer!E137,Transfer!E138,Transfer!E142,Transfer!E143,Transfer!E144))-1)*100,((SUM(Transfer!F101,Transfer!F102,Transfer!F103,Transfer!F107,Transfer!F108,Transfer!F109)/SUM(Transfer!E101,Transfer!E102,Transfer!E103,Transfer!E107,Transfer!E108,Transfer!E109))-1)*100)</f>
        <v>4.6078041243743151</v>
      </c>
      <c r="H28" s="2389">
        <f ca="1">IF(Transfer!$C$280=1,((SUM(Transfer!G101,Transfer!G102,Transfer!G103,Transfer!G107,Transfer!G108,Transfer!G109)/SUM(Transfer!F136,Transfer!F137,Transfer!F138,Transfer!F142,Transfer!F143,Transfer!F144))-1)*100,((SUM(Transfer!G101,Transfer!G102,Transfer!G103,Transfer!G107,Transfer!G108,Transfer!G109)/SUM(Transfer!F101,Transfer!F102,Transfer!F103,Transfer!F107,Transfer!F108,Transfer!F109))-1)*100)</f>
        <v>3.764011887397678</v>
      </c>
      <c r="I28" s="2390"/>
      <c r="J28" s="53"/>
      <c r="K28" s="53"/>
      <c r="L28" s="53"/>
      <c r="M28" s="53"/>
      <c r="N28" s="53"/>
      <c r="O28" s="54"/>
      <c r="P28" s="54"/>
      <c r="Q28" s="54"/>
      <c r="R28" s="54"/>
      <c r="S28" s="1665"/>
      <c r="T28" s="1666" t="s">
        <v>1139</v>
      </c>
      <c r="U28" s="2392"/>
      <c r="V28" s="2376">
        <f t="shared" ca="1" si="0"/>
        <v>-1.9</v>
      </c>
      <c r="W28" s="2376">
        <f t="shared" ca="1" si="0"/>
        <v>3.3</v>
      </c>
      <c r="X28" s="2376">
        <f t="shared" ca="1" si="0"/>
        <v>-0.60000000000000053</v>
      </c>
      <c r="Y28" s="2378">
        <f t="shared" ca="1" si="0"/>
        <v>-1.7000000000000002</v>
      </c>
      <c r="Z28" s="2390"/>
      <c r="AA28" s="54"/>
      <c r="AB28" s="54"/>
      <c r="AC28" s="54"/>
      <c r="AD28" s="54"/>
      <c r="AE28" s="54"/>
      <c r="AF28" s="54"/>
      <c r="AG28" s="54"/>
      <c r="AH28" s="54"/>
      <c r="AI28" s="45"/>
      <c r="AJ28" s="60"/>
      <c r="AK28" s="2111" t="s">
        <v>1139</v>
      </c>
      <c r="AL28" s="2112"/>
      <c r="AM28" s="2113">
        <f>IF(Transfer!$C$280=1,((SUM(Transfer!AD101,Transfer!AD102,Transfer!AD103,Transfer!AD107,Transfer!AD108,Transfer!AD109)/SUM(Transfer!AC136,Transfer!AC137,Transfer!AC138,Transfer!AC142,Transfer!AC143,Transfer!AC144))-1)*100,((SUM(Transfer!AD101,Transfer!AD102,Transfer!AD103,Transfer!AD107,Transfer!AD108,Transfer!AD109)/SUM(Transfer!AC101,Transfer!AC102,Transfer!AC103,Transfer!AC107,Transfer!AC108,Transfer!AC109))-1)*100)</f>
        <v>4.7588443421731297</v>
      </c>
      <c r="AN28" s="2114">
        <f>IF(Transfer!$C$280=1,((SUM(Transfer!AE101,Transfer!AE102,Transfer!AE103,Transfer!AE107,Transfer!AE108,Transfer!AE109)/SUM(Transfer!AD136,Transfer!AD137,Transfer!AD138,Transfer!AD142,Transfer!AD143,Transfer!AD144))-1)*100,((SUM(Transfer!AE101,Transfer!AE102,Transfer!AE103,Transfer!AE107,Transfer!AE108,Transfer!AE109)/SUM(Transfer!AD101,Transfer!AD102,Transfer!AD103,Transfer!AD107,Transfer!AD108,Transfer!AD109))-1)*100)</f>
        <v>4.7488083131673964</v>
      </c>
      <c r="AO28" s="2113">
        <f>IF(Transfer!$C$280=1,((SUM(Transfer!AF101,Transfer!AF102,Transfer!AF103,Transfer!AF107,Transfer!AF108,Transfer!AF109)/SUM(Transfer!AE136,Transfer!AE137,Transfer!AE138,Transfer!AE142,Transfer!AE143,Transfer!AE144))-1)*100,((SUM(Transfer!AF101,Transfer!AF102,Transfer!AF103,Transfer!AF107,Transfer!AF108,Transfer!AF109)/SUM(Transfer!AE101,Transfer!AE102,Transfer!AE103,Transfer!AE107,Transfer!AE108,Transfer!AE109))-1)*100)</f>
        <v>5.2135764091778558</v>
      </c>
      <c r="AP28" s="2115">
        <f>IF(Transfer!$C$280=1,((SUM(Transfer!AG101,Transfer!AG102,Transfer!AG103,Transfer!AG107,Transfer!AG108,Transfer!AG109)/SUM(Transfer!AF136,Transfer!AF137,Transfer!AF138,Transfer!AF142,Transfer!AF143,Transfer!AF144))-1)*100,((SUM(Transfer!AG101,Transfer!AG102,Transfer!AG103,Transfer!AG107,Transfer!AG108,Transfer!AG109)/SUM(Transfer!AF101,Transfer!AF102,Transfer!AF103,Transfer!AF107,Transfer!AF108,Transfer!AF109))-1)*100)</f>
        <v>5.5248562395880496</v>
      </c>
      <c r="AQ28" s="103"/>
      <c r="AR28" s="53"/>
      <c r="AS28" s="53"/>
      <c r="AT28" s="53"/>
      <c r="AU28" s="53"/>
      <c r="AV28" s="53"/>
      <c r="AW28" s="54"/>
      <c r="AX28" s="54"/>
      <c r="AY28" s="54"/>
      <c r="AZ28" s="54"/>
      <c r="BA28" s="1673" t="s">
        <v>366</v>
      </c>
      <c r="BB28" s="1699"/>
      <c r="BC28" s="54"/>
    </row>
    <row r="29" spans="1:55">
      <c r="A29" s="45"/>
      <c r="B29" s="1665"/>
      <c r="C29" s="2385" t="s">
        <v>1140</v>
      </c>
      <c r="D29" s="2386"/>
      <c r="E29" s="2387">
        <f ca="1">((Transfer!D295/Transfer!C295)-1)*100</f>
        <v>2.3448829366414126</v>
      </c>
      <c r="F29" s="3744">
        <f ca="1">((Transfer!E295/Transfer!D295)-1)*100</f>
        <v>4.565211033661698</v>
      </c>
      <c r="G29" s="3734">
        <f ca="1">((Transfer!F295/Transfer!E295)-1)*100</f>
        <v>3.1205873424164254</v>
      </c>
      <c r="H29" s="3337">
        <f ca="1">((Transfer!G295/Transfer!F295)-1)*100</f>
        <v>2.6426635456777037</v>
      </c>
      <c r="I29" s="2372"/>
      <c r="J29" s="53"/>
      <c r="K29" s="53"/>
      <c r="L29" s="53"/>
      <c r="M29" s="53"/>
      <c r="N29" s="53"/>
      <c r="O29" s="54"/>
      <c r="P29" s="54"/>
      <c r="Q29" s="54"/>
      <c r="R29" s="54"/>
      <c r="S29" s="1665"/>
      <c r="T29" s="1666" t="s">
        <v>1140</v>
      </c>
      <c r="U29" s="2353"/>
      <c r="V29" s="2376">
        <f t="shared" ca="1" si="0"/>
        <v>-1.4000000000000004</v>
      </c>
      <c r="W29" s="2376">
        <f t="shared" ca="1" si="0"/>
        <v>0.99999999999999956</v>
      </c>
      <c r="X29" s="2376">
        <f t="shared" ca="1" si="0"/>
        <v>-0.5</v>
      </c>
      <c r="Y29" s="2378">
        <f t="shared" ca="1" si="0"/>
        <v>-1.2999999999999998</v>
      </c>
      <c r="Z29" s="2372"/>
      <c r="AA29" s="54"/>
      <c r="AB29" s="54"/>
      <c r="AC29" s="54"/>
      <c r="AD29" s="54"/>
      <c r="AE29" s="54"/>
      <c r="AF29" s="54"/>
      <c r="AG29" s="54"/>
      <c r="AH29" s="54"/>
      <c r="AI29" s="45"/>
      <c r="AJ29" s="60"/>
      <c r="AK29" s="2111" t="s">
        <v>1140</v>
      </c>
      <c r="AL29" s="2112"/>
      <c r="AM29" s="2113">
        <f>((Transfer!AD295/Transfer!AC295)-1)*100</f>
        <v>3.6592993272815288</v>
      </c>
      <c r="AN29" s="2114">
        <f>((Transfer!AE295/Transfer!AD295)-1)*100</f>
        <v>3.584097298361888</v>
      </c>
      <c r="AO29" s="2113">
        <f>((Transfer!AF295/Transfer!AE295)-1)*100</f>
        <v>3.6179854244913212</v>
      </c>
      <c r="AP29" s="2115">
        <f>((Transfer!AG295/Transfer!AF295)-1)*100</f>
        <v>3.9239747887909182</v>
      </c>
      <c r="AQ29" s="85"/>
      <c r="AR29" s="53"/>
      <c r="AS29" s="53"/>
      <c r="AT29" s="53"/>
      <c r="AU29" s="53"/>
      <c r="AV29" s="53"/>
      <c r="AW29" s="54"/>
      <c r="AX29" s="54"/>
      <c r="AY29" s="54"/>
      <c r="AZ29" s="54"/>
      <c r="BA29" s="1673" t="s">
        <v>370</v>
      </c>
      <c r="BB29" s="1699"/>
      <c r="BC29" s="54"/>
    </row>
    <row r="30" spans="1:55">
      <c r="A30" s="45"/>
      <c r="B30" s="1665"/>
      <c r="C30" s="1666" t="s">
        <v>176</v>
      </c>
      <c r="D30" s="2351"/>
      <c r="E30" s="1668"/>
      <c r="F30" s="2391"/>
      <c r="G30" s="1668"/>
      <c r="H30" s="1669"/>
      <c r="I30" s="2368"/>
      <c r="J30" s="53"/>
      <c r="K30" s="53"/>
      <c r="L30" s="53"/>
      <c r="M30" s="53"/>
      <c r="N30" s="53"/>
      <c r="O30" s="54"/>
      <c r="P30" s="54"/>
      <c r="Q30" s="54"/>
      <c r="R30" s="54"/>
      <c r="S30" s="1665"/>
      <c r="T30" s="1666" t="s">
        <v>176</v>
      </c>
      <c r="U30" s="2351"/>
      <c r="V30" s="2376"/>
      <c r="W30" s="2377"/>
      <c r="X30" s="2376"/>
      <c r="Y30" s="2378"/>
      <c r="Z30" s="2368"/>
      <c r="AA30" s="54"/>
      <c r="AB30" s="54"/>
      <c r="AC30" s="54"/>
      <c r="AD30" s="54"/>
      <c r="AE30" s="54"/>
      <c r="AF30" s="54"/>
      <c r="AG30" s="54"/>
      <c r="AH30" s="54"/>
      <c r="AI30" s="45"/>
      <c r="AJ30" s="60"/>
      <c r="AK30" s="101" t="s">
        <v>176</v>
      </c>
      <c r="AL30" s="65"/>
      <c r="AM30" s="1982"/>
      <c r="AN30" s="177"/>
      <c r="AO30" s="1982"/>
      <c r="AP30" s="1983"/>
      <c r="AQ30" s="82"/>
      <c r="AR30" s="53"/>
      <c r="AS30" s="53"/>
      <c r="AT30" s="53"/>
      <c r="AU30" s="53"/>
      <c r="AV30" s="53"/>
      <c r="AW30" s="54"/>
      <c r="AX30" s="54"/>
      <c r="AY30" s="54"/>
      <c r="AZ30" s="54"/>
      <c r="BA30" s="1673" t="s">
        <v>1222</v>
      </c>
      <c r="BB30" s="1699"/>
      <c r="BC30" s="54"/>
    </row>
    <row r="31" spans="1:55">
      <c r="A31" s="45"/>
      <c r="B31" s="1665"/>
      <c r="C31" s="1666" t="s">
        <v>177</v>
      </c>
      <c r="D31" s="2392"/>
      <c r="E31" s="1668">
        <f ca="1">IF(Transfer!C160=-9999,(((Transfer!D159/Transfer!C159))-1)*100,(((Transfer!D160/Transfer!C160))-1)*100)</f>
        <v>1.9839218418706395</v>
      </c>
      <c r="F31" s="2391">
        <f ca="1">IF(Transfer!D160=-9999,(((Transfer!E159/Transfer!D159))-1)*100,(((Transfer!E160/Transfer!D160))-1)*100)</f>
        <v>-0.52159475760537033</v>
      </c>
      <c r="G31" s="1668">
        <f ca="1">IF(Transfer!E160=-9999,(((Transfer!F159/Transfer!E159))-1)*100,(((Transfer!F160/Transfer!E160))-1)*100)</f>
        <v>-0.54332365908232871</v>
      </c>
      <c r="H31" s="1669">
        <f ca="1">IF(Transfer!F160=-9999,(((Transfer!G159/Transfer!F159))-1)*100,(((Transfer!G160/Transfer!F160))-1)*100)</f>
        <v>-0.30321226620060315</v>
      </c>
      <c r="I31" s="2390"/>
      <c r="J31" s="53"/>
      <c r="K31" s="53"/>
      <c r="L31" s="53"/>
      <c r="M31" s="53"/>
      <c r="N31" s="53"/>
      <c r="O31" s="54"/>
      <c r="P31" s="54"/>
      <c r="Q31" s="54"/>
      <c r="R31" s="54"/>
      <c r="S31" s="1665"/>
      <c r="T31" s="1666" t="s">
        <v>177</v>
      </c>
      <c r="U31" s="2392"/>
      <c r="V31" s="2376">
        <f ca="1">ROUND(E31,1)-ROUND(AM31,1)</f>
        <v>0.19999999999999996</v>
      </c>
      <c r="W31" s="2376">
        <f ca="1">ROUND(F31,1)-ROUND(AN31,1)</f>
        <v>-2</v>
      </c>
      <c r="X31" s="2376">
        <f ca="1">ROUND(G31,1)-ROUND(AO31,1)</f>
        <v>-1.9</v>
      </c>
      <c r="Y31" s="2378">
        <f ca="1">ROUND(H31,1)-ROUND(AP31,1)</f>
        <v>-1.5</v>
      </c>
      <c r="Z31" s="2390"/>
      <c r="AA31" s="54"/>
      <c r="AB31" s="54"/>
      <c r="AC31" s="54"/>
      <c r="AD31" s="54"/>
      <c r="AE31" s="54"/>
      <c r="AF31" s="54"/>
      <c r="AG31" s="54"/>
      <c r="AH31" s="54"/>
      <c r="AI31" s="45"/>
      <c r="AJ31" s="60"/>
      <c r="AK31" s="101" t="s">
        <v>177</v>
      </c>
      <c r="AL31" s="105"/>
      <c r="AM31" s="1982">
        <f>IF(Transfer!AC160=-9999,(((Transfer!AD159/Transfer!AC159))-1)*100,(((Transfer!AD160/Transfer!AC160))-1)*100)</f>
        <v>1.7721721082461839</v>
      </c>
      <c r="AN31" s="177">
        <f>IF(Transfer!AD160=-9999,(((Transfer!AE159/Transfer!AD159))-1)*100,(((Transfer!AE160/Transfer!AD160))-1)*100)</f>
        <v>1.5007464809470461</v>
      </c>
      <c r="AO31" s="1982">
        <f>IF(Transfer!AE160=-9999,(((Transfer!AF159/Transfer!AE159))-1)*100,(((Transfer!AF160/Transfer!AE160))-1)*100)</f>
        <v>1.445184684590739</v>
      </c>
      <c r="AP31" s="1983">
        <f>IF(Transfer!AF160=-9999,(((Transfer!AG159/Transfer!AF159))-1)*100,(((Transfer!AG160/Transfer!AF160))-1)*100)</f>
        <v>1.2439434217705214</v>
      </c>
      <c r="AQ31" s="103"/>
      <c r="AR31" s="53"/>
      <c r="AS31" s="53"/>
      <c r="AT31" s="53"/>
      <c r="AU31" s="53"/>
      <c r="AV31" s="53"/>
      <c r="AW31" s="54"/>
      <c r="AX31" s="54"/>
      <c r="AY31" s="54"/>
      <c r="AZ31" s="54"/>
      <c r="BA31" s="1673" t="s">
        <v>1223</v>
      </c>
      <c r="BB31" s="1699"/>
      <c r="BC31" s="54"/>
    </row>
    <row r="32" spans="1:55">
      <c r="A32" s="45"/>
      <c r="B32" s="1665"/>
      <c r="C32" s="1666" t="s">
        <v>178</v>
      </c>
      <c r="D32" s="2392"/>
      <c r="E32" s="1668"/>
      <c r="F32" s="2391"/>
      <c r="G32" s="1668"/>
      <c r="H32" s="1669"/>
      <c r="I32" s="2390"/>
      <c r="J32" s="53"/>
      <c r="K32" s="53"/>
      <c r="L32" s="53"/>
      <c r="M32" s="53"/>
      <c r="N32" s="53"/>
      <c r="O32" s="54"/>
      <c r="P32" s="54"/>
      <c r="Q32" s="54"/>
      <c r="R32" s="54"/>
      <c r="S32" s="1665"/>
      <c r="T32" s="1666" t="s">
        <v>178</v>
      </c>
      <c r="U32" s="2392"/>
      <c r="V32" s="2376"/>
      <c r="W32" s="2377"/>
      <c r="X32" s="2376"/>
      <c r="Y32" s="2378"/>
      <c r="Z32" s="2390"/>
      <c r="AA32" s="54"/>
      <c r="AB32" s="54"/>
      <c r="AC32" s="54"/>
      <c r="AD32" s="54"/>
      <c r="AE32" s="54"/>
      <c r="AF32" s="54"/>
      <c r="AG32" s="54"/>
      <c r="AH32" s="54"/>
      <c r="AI32" s="45"/>
      <c r="AJ32" s="60"/>
      <c r="AK32" s="101" t="s">
        <v>178</v>
      </c>
      <c r="AL32" s="105"/>
      <c r="AM32" s="1982"/>
      <c r="AN32" s="177"/>
      <c r="AO32" s="1982"/>
      <c r="AP32" s="1983"/>
      <c r="AQ32" s="103"/>
      <c r="AR32" s="53"/>
      <c r="AS32" s="53"/>
      <c r="AT32" s="53"/>
      <c r="AU32" s="53"/>
      <c r="AV32" s="53"/>
      <c r="AW32" s="54"/>
      <c r="AX32" s="54"/>
      <c r="AY32" s="54"/>
      <c r="AZ32" s="54"/>
      <c r="BA32" s="1673" t="s">
        <v>942</v>
      </c>
      <c r="BB32" s="1699"/>
      <c r="BC32" s="54"/>
    </row>
    <row r="33" spans="1:256">
      <c r="A33" s="45"/>
      <c r="B33" s="1665"/>
      <c r="C33" s="2385" t="s">
        <v>184</v>
      </c>
      <c r="D33" s="2386"/>
      <c r="E33" s="2387">
        <f ca="1">IF(Transfer!C160=-9999,(((Transfer!D295/Transfer!D159)/(Transfer!C295/Transfer!C159))-1)*100,(((Transfer!D295/Transfer!D160)/(Transfer!C295/Transfer!C160))-1)*100)</f>
        <v>0.3539392173312006</v>
      </c>
      <c r="F33" s="2388">
        <f ca="1">IF(Transfer!D160=-9999,(((Transfer!E295/Transfer!E159)/(Transfer!D295/Transfer!D159))-1)*100,(((Transfer!E295/Transfer!E160)/(Transfer!D295/Transfer!D160))-1)*100)</f>
        <v>5.1134774214285805</v>
      </c>
      <c r="G33" s="2387">
        <f ca="1">IF(Transfer!E160=-9999,(((Transfer!F295/Transfer!F159)/(Transfer!E295/Transfer!E159))-1)*100,(((Transfer!F295/Transfer!F160)/(Transfer!E295/Transfer!E160))-1)*100)</f>
        <v>3.6839266465527265</v>
      </c>
      <c r="H33" s="2389">
        <f ca="1">IF(Transfer!F160=-9999,(((Transfer!G295/Transfer!G159)/(Transfer!F295/Transfer!F159))-1)*100,(((Transfer!G295/Transfer!G160)/(Transfer!F295/Transfer!F160))-1)*100)</f>
        <v>2.9548352347561035</v>
      </c>
      <c r="I33" s="2372"/>
      <c r="J33" s="53"/>
      <c r="K33" s="53"/>
      <c r="L33" s="53"/>
      <c r="M33" s="53"/>
      <c r="N33" s="53"/>
      <c r="O33" s="54"/>
      <c r="P33" s="54"/>
      <c r="Q33" s="54"/>
      <c r="R33" s="54"/>
      <c r="S33" s="1665"/>
      <c r="T33" s="1666" t="s">
        <v>184</v>
      </c>
      <c r="U33" s="2353"/>
      <c r="V33" s="2376">
        <f t="shared" ref="V33:Y35" ca="1" si="1">ROUND(E33,1)-ROUND(AM33,1)</f>
        <v>-1.5</v>
      </c>
      <c r="W33" s="2376">
        <f t="shared" ca="1" si="1"/>
        <v>2.9999999999999996</v>
      </c>
      <c r="X33" s="2376">
        <f t="shared" ca="1" si="1"/>
        <v>1.6</v>
      </c>
      <c r="Y33" s="2378">
        <f t="shared" ca="1" si="1"/>
        <v>0.39999999999999991</v>
      </c>
      <c r="Z33" s="2372"/>
      <c r="AA33" s="54"/>
      <c r="AB33" s="54"/>
      <c r="AC33" s="54"/>
      <c r="AD33" s="54"/>
      <c r="AE33" s="54"/>
      <c r="AF33" s="54"/>
      <c r="AG33" s="54"/>
      <c r="AH33" s="54"/>
      <c r="AI33" s="45"/>
      <c r="AJ33" s="60"/>
      <c r="AK33" s="2111" t="s">
        <v>184</v>
      </c>
      <c r="AL33" s="2112"/>
      <c r="AM33" s="2113">
        <f>IF(Transfer!AC160=-9999,(((Transfer!AD295/Transfer!AD159)/(Transfer!AC295/Transfer!AC159))-1)*100,(((Transfer!AD295/Transfer!AD160)/(Transfer!AC295/Transfer!AC160))-1)*100)</f>
        <v>1.8542664266103737</v>
      </c>
      <c r="AN33" s="2114">
        <f>IF(Transfer!AD160=-9999,(((Transfer!AE295/Transfer!AE159)/(Transfer!AD295/Transfer!AD159))-1)*100,(((Transfer!AE295/Transfer!AE160)/(Transfer!AD295/Transfer!AD160))-1)*100)</f>
        <v>2.0525472862467309</v>
      </c>
      <c r="AO33" s="2113">
        <f>IF(Transfer!AE160=-9999,(((Transfer!AF295/Transfer!AF159)/(Transfer!AE295/Transfer!AE159))-1)*100,(((Transfer!AF295/Transfer!AF160)/(Transfer!AE295/Transfer!AE160))-1)*100)</f>
        <v>2.1418470937345724</v>
      </c>
      <c r="AP33" s="2115">
        <f>IF(Transfer!AF160=-9999,(((Transfer!AG295/Transfer!AG159)/(Transfer!AF295/Transfer!AF159))-1)*100,(((Transfer!AG295/Transfer!AG160)/(Transfer!AF295/Transfer!AF160))-1)*100)</f>
        <v>2.6471029045714856</v>
      </c>
      <c r="AQ33" s="85"/>
      <c r="AR33" s="53"/>
      <c r="AS33" s="53"/>
      <c r="AT33" s="53"/>
      <c r="AU33" s="53"/>
      <c r="AV33" s="53"/>
      <c r="AW33" s="54"/>
      <c r="AX33" s="54"/>
      <c r="AY33" s="54"/>
      <c r="AZ33" s="54"/>
      <c r="BA33" s="1673" t="s">
        <v>943</v>
      </c>
      <c r="BB33" s="1699"/>
      <c r="BC33" s="54"/>
    </row>
    <row r="34" spans="1:256">
      <c r="A34" s="45"/>
      <c r="B34" s="1665"/>
      <c r="C34" s="1666" t="s">
        <v>1773</v>
      </c>
      <c r="D34" s="2351"/>
      <c r="E34" s="1668">
        <f ca="1">IF(Transfer!C164=-9999,(((Transfer!D161/Transfer!D163)/(Transfer!C161/Transfer!C163))-1)*100,(((Transfer!D161/Transfer!D164)/(Transfer!C161/Transfer!C164))-1)*100)</f>
        <v>6.237755320815852</v>
      </c>
      <c r="F34" s="2391">
        <f ca="1">IF(Transfer!D164=-9999,(((Transfer!E161/Transfer!E163)/(Transfer!D161/Transfer!D163))-1)*100,(((Transfer!E161/Transfer!E164)/(Transfer!D161/Transfer!D164))-1)*100)</f>
        <v>9.1283322186715097</v>
      </c>
      <c r="G34" s="1668">
        <f ca="1">IF(Transfer!E164=-9999,(((Transfer!F161/Transfer!F163)/(Transfer!E161/Transfer!E163))-1)*100,(((Transfer!F161/Transfer!F164)/(Transfer!E161/Transfer!E164))-1)*100)</f>
        <v>6.5469593942917959</v>
      </c>
      <c r="H34" s="1669">
        <f ca="1">IF(Transfer!F164=-9999,(((Transfer!G161/Transfer!G163)/(Transfer!F161/Transfer!F163))-1)*100,(((Transfer!G161/Transfer!G164)/(Transfer!F161/Transfer!F164))-1)*100)</f>
        <v>6.0339340403564146</v>
      </c>
      <c r="I34" s="2348"/>
      <c r="J34" s="53"/>
      <c r="K34" s="53"/>
      <c r="L34" s="53"/>
      <c r="M34" s="53"/>
      <c r="N34" s="53"/>
      <c r="O34" s="54"/>
      <c r="P34" s="54"/>
      <c r="Q34" s="54"/>
      <c r="R34" s="54"/>
      <c r="S34" s="1665"/>
      <c r="T34" s="1666" t="s">
        <v>1773</v>
      </c>
      <c r="U34" s="2351"/>
      <c r="V34" s="2376">
        <f t="shared" ca="1" si="1"/>
        <v>2.4000000000000004</v>
      </c>
      <c r="W34" s="2376">
        <f t="shared" ca="1" si="1"/>
        <v>4.8</v>
      </c>
      <c r="X34" s="2376">
        <f t="shared" ca="1" si="1"/>
        <v>2.7</v>
      </c>
      <c r="Y34" s="2378">
        <f t="shared" ca="1" si="1"/>
        <v>1.5999999999999996</v>
      </c>
      <c r="Z34" s="2348"/>
      <c r="AA34" s="54"/>
      <c r="AB34" s="54"/>
      <c r="AC34" s="54"/>
      <c r="AD34" s="54"/>
      <c r="AE34" s="54"/>
      <c r="AF34" s="54"/>
      <c r="AG34" s="54"/>
      <c r="AH34" s="54"/>
      <c r="AI34" s="45"/>
      <c r="AJ34" s="60"/>
      <c r="AK34" s="101" t="s">
        <v>1773</v>
      </c>
      <c r="AL34" s="65"/>
      <c r="AM34" s="1982">
        <f>IF(Transfer!AC164=-9999,(((Transfer!AD161/Transfer!AD163)/(Transfer!AC161/Transfer!AC163))-1)*100,(((Transfer!AD161/Transfer!AD164)/(Transfer!AC161/Transfer!AC164))-1)*100)</f>
        <v>3.7697775426545954</v>
      </c>
      <c r="AN34" s="177">
        <f>IF(Transfer!AD164=-9999,(((Transfer!AE161/Transfer!AE163)/(Transfer!AD161/Transfer!AD163))-1)*100,(((Transfer!AE161/Transfer!AE164)/(Transfer!AD161/Transfer!AD164))-1)*100)</f>
        <v>4.3370500309370952</v>
      </c>
      <c r="AO34" s="1982">
        <f>IF(Transfer!AE164=-9999,(((Transfer!AF161/Transfer!AF163)/(Transfer!AE161/Transfer!AE163))-1)*100,(((Transfer!AF161/Transfer!AF164)/(Transfer!AE161/Transfer!AE164))-1)*100)</f>
        <v>3.7707453790260193</v>
      </c>
      <c r="AP34" s="1983">
        <f>IF(Transfer!AF164=-9999,(((Transfer!AG161/Transfer!AG163)/(Transfer!AF161/Transfer!AF163))-1)*100,(((Transfer!AG161/Transfer!AG164)/(Transfer!AF161/Transfer!AF164))-1)*100)</f>
        <v>4.449614546676961</v>
      </c>
      <c r="AQ34" s="106"/>
      <c r="AR34" s="53"/>
      <c r="AS34" s="53"/>
      <c r="AT34" s="53"/>
      <c r="AU34" s="53"/>
      <c r="AV34" s="53"/>
      <c r="AW34" s="54"/>
      <c r="AX34" s="54"/>
      <c r="AY34" s="54"/>
      <c r="AZ34" s="54"/>
      <c r="BA34" s="1673" t="s">
        <v>944</v>
      </c>
      <c r="BB34" s="1699"/>
      <c r="BC34" s="54"/>
    </row>
    <row r="35" spans="1:256">
      <c r="A35" s="45"/>
      <c r="B35" s="1665"/>
      <c r="C35" s="2385" t="s">
        <v>1774</v>
      </c>
      <c r="D35" s="2386"/>
      <c r="E35" s="2387">
        <f ca="1">IF(Transfer!C164=-9999,((((Transfer!D161/Transfer!D163)/(Transfer!D301/Transfer!D159))/((Transfer!C161/Transfer!C163)/(Transfer!C301/Transfer!C159)))-1)*100,((((Transfer!D161/Transfer!D164)/(Transfer!D301/Transfer!D159))/((Transfer!C161/Transfer!C164)/(Transfer!C301/Transfer!C159)))-1)*100)</f>
        <v>5.863076682845958</v>
      </c>
      <c r="F35" s="2388">
        <f ca="1">IF(Transfer!D164=-9999,((((Transfer!E161/Transfer!E163)/(Transfer!E301/Transfer!E159))/((Transfer!D161/Transfer!D163)/(Transfer!D301/Transfer!D159)))-1)*100,((((Transfer!E161/Transfer!E164)/(Transfer!E301/Transfer!E159))/((Transfer!D161/Transfer!D164)/(Transfer!D301/Transfer!D159)))-1)*100)</f>
        <v>4.5557646632650606</v>
      </c>
      <c r="G35" s="2387">
        <f ca="1">IF(Transfer!E164=-9999,((((Transfer!F161/Transfer!F163)/(Transfer!F301/Transfer!F159))/((Transfer!E161/Transfer!E163)/(Transfer!E301/Transfer!E159)))-1)*100,((((Transfer!F161/Transfer!F164)/(Transfer!F301/Transfer!F159))/((Transfer!E161/Transfer!E164)/(Transfer!E301/Transfer!E159)))-1)*100)</f>
        <v>3.0841293845927265</v>
      </c>
      <c r="H35" s="2389">
        <f ca="1">IF(Transfer!F164=-9999,((((Transfer!G161/Transfer!G163)/(Transfer!G301/Transfer!G159))/((Transfer!F161/Transfer!F163)/(Transfer!F301/Transfer!F159)))-1)*100,((((Transfer!G161/Transfer!G164)/(Transfer!G301/Transfer!G159))/((Transfer!F161/Transfer!F164)/(Transfer!F301/Transfer!F159)))-1)*100)</f>
        <v>3.0213983151606172</v>
      </c>
      <c r="I35" s="2368"/>
      <c r="J35" s="53"/>
      <c r="K35" s="53"/>
      <c r="L35" s="53"/>
      <c r="M35" s="53"/>
      <c r="N35" s="53"/>
      <c r="O35" s="54"/>
      <c r="P35" s="54"/>
      <c r="Q35" s="54"/>
      <c r="R35" s="54"/>
      <c r="S35" s="1665"/>
      <c r="T35" s="1666" t="s">
        <v>1774</v>
      </c>
      <c r="U35" s="2351"/>
      <c r="V35" s="2376">
        <f t="shared" ca="1" si="1"/>
        <v>4</v>
      </c>
      <c r="W35" s="2376">
        <f t="shared" ca="1" si="1"/>
        <v>2.8999999999999995</v>
      </c>
      <c r="X35" s="2376">
        <f t="shared" ca="1" si="1"/>
        <v>1.7000000000000002</v>
      </c>
      <c r="Y35" s="2378">
        <f t="shared" ca="1" si="1"/>
        <v>1.3</v>
      </c>
      <c r="Z35" s="2368"/>
      <c r="AA35" s="54"/>
      <c r="AB35" s="54"/>
      <c r="AC35" s="54"/>
      <c r="AD35" s="54"/>
      <c r="AE35" s="54"/>
      <c r="AF35" s="54"/>
      <c r="AG35" s="54"/>
      <c r="AH35" s="54"/>
      <c r="AI35" s="45"/>
      <c r="AJ35" s="60"/>
      <c r="AK35" s="2111" t="s">
        <v>1774</v>
      </c>
      <c r="AL35" s="2112"/>
      <c r="AM35" s="2113">
        <f>IF(Transfer!AC164=-9999,((((Transfer!AD161/Transfer!AD163)/(Transfer!AD301/Transfer!AD159))/((Transfer!AC161/Transfer!AC163)/(Transfer!AC301/Transfer!AC159)))-1)*100,((((Transfer!AD161/Transfer!AD164)/(Transfer!AD301/Transfer!AD159))/((Transfer!AC161/Transfer!AC164)/(Transfer!AC301/Transfer!AC159)))-1)*100)</f>
        <v>1.8806431352325736</v>
      </c>
      <c r="AN35" s="2114">
        <f>IF(Transfer!AD164=-9999,((((Transfer!AE161/Transfer!AE163)/(Transfer!AE301/Transfer!AE159))/((Transfer!AD161/Transfer!AD163)/(Transfer!AD301/Transfer!AD159)))-1)*100,((((Transfer!AE161/Transfer!AE164)/(Transfer!AE301/Transfer!AE159))/((Transfer!AD161/Transfer!AD164)/(Transfer!AD301/Transfer!AD159)))-1)*100)</f>
        <v>1.7050752165721939</v>
      </c>
      <c r="AO35" s="2113">
        <f>IF(Transfer!AE164=-9999,((((Transfer!AF161/Transfer!AF163)/(Transfer!AF301/Transfer!AF159))/((Transfer!AE161/Transfer!AE163)/(Transfer!AE301/Transfer!AE159)))-1)*100,((((Transfer!AF161/Transfer!AF164)/(Transfer!AF301/Transfer!AF159))/((Transfer!AE161/Transfer!AE164)/(Transfer!AE301/Transfer!AE159)))-1)*100)</f>
        <v>1.3993681258807511</v>
      </c>
      <c r="AP35" s="2115">
        <f>IF(Transfer!AF164=-9999,((((Transfer!AG161/Transfer!AG163)/(Transfer!AG301/Transfer!AG159))/((Transfer!AF161/Transfer!AF163)/(Transfer!AF301/Transfer!AF159)))-1)*100,((((Transfer!AG161/Transfer!AG164)/(Transfer!AG301/Transfer!AG159))/((Transfer!AF161/Transfer!AF164)/(Transfer!AF301/Transfer!AF159)))-1)*100)</f>
        <v>1.6676509001866791</v>
      </c>
      <c r="AQ35" s="82"/>
      <c r="AR35" s="53"/>
      <c r="AS35" s="53"/>
      <c r="AT35" s="53"/>
      <c r="AU35" s="53"/>
      <c r="AV35" s="53"/>
      <c r="AW35" s="54"/>
      <c r="AX35" s="54"/>
      <c r="AY35" s="54"/>
      <c r="AZ35" s="54"/>
      <c r="BA35" s="1673" t="s">
        <v>945</v>
      </c>
      <c r="BB35" s="1699"/>
      <c r="BC35" s="54"/>
    </row>
    <row r="36" spans="1:256">
      <c r="A36" s="45"/>
      <c r="B36" s="1665"/>
      <c r="C36" s="1666" t="s">
        <v>1775</v>
      </c>
      <c r="D36" s="2351"/>
      <c r="E36" s="2393"/>
      <c r="F36" s="2393"/>
      <c r="G36" s="2393"/>
      <c r="H36" s="2378"/>
      <c r="I36" s="2368"/>
      <c r="J36" s="53"/>
      <c r="K36" s="53"/>
      <c r="L36" s="53"/>
      <c r="M36" s="53"/>
      <c r="N36" s="53"/>
      <c r="O36" s="54"/>
      <c r="P36" s="54"/>
      <c r="Q36" s="54"/>
      <c r="R36" s="54"/>
      <c r="S36" s="1665"/>
      <c r="T36" s="1666" t="s">
        <v>1775</v>
      </c>
      <c r="U36" s="2351"/>
      <c r="V36" s="2393"/>
      <c r="W36" s="2393"/>
      <c r="X36" s="2393"/>
      <c r="Y36" s="2378"/>
      <c r="Z36" s="2368"/>
      <c r="AA36" s="54"/>
      <c r="AB36" s="54"/>
      <c r="AC36" s="54"/>
      <c r="AD36" s="54"/>
      <c r="AE36" s="54"/>
      <c r="AF36" s="54"/>
      <c r="AG36" s="54"/>
      <c r="AH36" s="54"/>
      <c r="AI36" s="45"/>
      <c r="AJ36" s="60"/>
      <c r="AK36" s="101" t="s">
        <v>1775</v>
      </c>
      <c r="AL36" s="49"/>
      <c r="AM36" s="107"/>
      <c r="AN36" s="107"/>
      <c r="AO36" s="107"/>
      <c r="AP36" s="93"/>
      <c r="AQ36" s="82"/>
      <c r="AR36" s="53"/>
      <c r="AS36" s="53"/>
      <c r="AT36" s="53"/>
      <c r="AU36" s="53"/>
      <c r="AV36" s="53"/>
      <c r="AW36" s="54"/>
      <c r="AX36" s="54"/>
      <c r="AY36" s="54"/>
      <c r="AZ36" s="54"/>
      <c r="BA36" s="1673" t="s">
        <v>946</v>
      </c>
      <c r="BB36" s="1699"/>
      <c r="BC36" s="54"/>
    </row>
    <row r="37" spans="1:256">
      <c r="A37" s="45"/>
      <c r="B37" s="1665"/>
      <c r="C37" s="1666" t="s">
        <v>568</v>
      </c>
      <c r="D37" s="2351"/>
      <c r="E37" s="2393">
        <f ca="1">(((Transfer!D154/Transfer!C154))-1)*100</f>
        <v>0.67833333333300327</v>
      </c>
      <c r="F37" s="2393">
        <f ca="1">(((Transfer!E154/Transfer!D154))-1)*100</f>
        <v>3.7181121393222716</v>
      </c>
      <c r="G37" s="2393">
        <f ca="1">(((Transfer!F154/Transfer!E154))-1)*100</f>
        <v>2.8095001688776211</v>
      </c>
      <c r="H37" s="2378">
        <f ca="1">(((Transfer!G154/Transfer!F154))-1)*100</f>
        <v>2.3463849329505404</v>
      </c>
      <c r="I37" s="2368"/>
      <c r="J37" s="53"/>
      <c r="K37" s="53"/>
      <c r="L37" s="53"/>
      <c r="M37" s="53"/>
      <c r="N37" s="53"/>
      <c r="O37" s="54"/>
      <c r="P37" s="54"/>
      <c r="Q37" s="54"/>
      <c r="R37" s="54"/>
      <c r="S37" s="1665"/>
      <c r="T37" s="1666" t="s">
        <v>568</v>
      </c>
      <c r="U37" s="2351"/>
      <c r="V37" s="2376">
        <f t="shared" ref="V37:Y38" ca="1" si="2">ROUND(E37,1)-ROUND(AM37,1)</f>
        <v>-2.5</v>
      </c>
      <c r="W37" s="2376">
        <f t="shared" ca="1" si="2"/>
        <v>2.3000000000000003</v>
      </c>
      <c r="X37" s="2376">
        <f t="shared" ca="1" si="2"/>
        <v>0.89999999999999991</v>
      </c>
      <c r="Y37" s="2378">
        <f t="shared" ca="1" si="2"/>
        <v>-0.10000000000000009</v>
      </c>
      <c r="Z37" s="2368"/>
      <c r="AA37" s="54"/>
      <c r="AB37" s="54"/>
      <c r="AC37" s="54"/>
      <c r="AD37" s="54"/>
      <c r="AE37" s="54"/>
      <c r="AF37" s="54"/>
      <c r="AG37" s="54"/>
      <c r="AH37" s="54"/>
      <c r="AI37" s="45"/>
      <c r="AJ37" s="60"/>
      <c r="AK37" s="101" t="s">
        <v>568</v>
      </c>
      <c r="AL37" s="49"/>
      <c r="AM37" s="107">
        <f>(((Transfer!AD154/Transfer!AC154))-1)*100</f>
        <v>3.1665027811039304</v>
      </c>
      <c r="AN37" s="107">
        <f>(((Transfer!AE154/Transfer!AD154))-1)*100</f>
        <v>1.3774287214301184</v>
      </c>
      <c r="AO37" s="107">
        <f>(((Transfer!AF154/Transfer!AE154))-1)*100</f>
        <v>1.9238442789760946</v>
      </c>
      <c r="AP37" s="93">
        <f>(((Transfer!AG154/Transfer!AF154))-1)*100</f>
        <v>2.3673276278389999</v>
      </c>
      <c r="AQ37" s="82"/>
      <c r="AR37" s="53"/>
      <c r="AS37" s="53"/>
      <c r="AT37" s="53"/>
      <c r="AU37" s="53"/>
      <c r="AV37" s="53"/>
      <c r="AW37" s="54"/>
      <c r="AX37" s="54"/>
      <c r="AY37" s="54"/>
      <c r="AZ37" s="54"/>
      <c r="BA37" s="1673" t="s">
        <v>569</v>
      </c>
      <c r="BB37" s="1699"/>
      <c r="BC37" s="54"/>
    </row>
    <row r="38" spans="1:256">
      <c r="A38" s="45"/>
      <c r="B38" s="1665"/>
      <c r="C38" s="2379" t="s">
        <v>570</v>
      </c>
      <c r="D38" s="2380"/>
      <c r="E38" s="2381">
        <f ca="1">(((Transfer!D155/Transfer!C155))-1)*100</f>
        <v>0.90552155371714793</v>
      </c>
      <c r="F38" s="2382">
        <f ca="1">(((Transfer!E155/Transfer!D155))-1)*100</f>
        <v>3.7189943820576055</v>
      </c>
      <c r="G38" s="2381">
        <f ca="1">(((Transfer!F155/Transfer!E155))-1)*100</f>
        <v>2.8095001688776211</v>
      </c>
      <c r="H38" s="2383">
        <f ca="1">(((Transfer!G155/Transfer!F155))-1)*100</f>
        <v>2.3463849329505404</v>
      </c>
      <c r="I38" s="2368"/>
      <c r="J38" s="53"/>
      <c r="K38" s="53"/>
      <c r="L38" s="53"/>
      <c r="M38" s="53"/>
      <c r="N38" s="53"/>
      <c r="O38" s="54"/>
      <c r="P38" s="54"/>
      <c r="Q38" s="54"/>
      <c r="R38" s="54"/>
      <c r="S38" s="1665"/>
      <c r="T38" s="2379" t="s">
        <v>570</v>
      </c>
      <c r="U38" s="2380"/>
      <c r="V38" s="2376">
        <f t="shared" ca="1" si="2"/>
        <v>-2.2000000000000002</v>
      </c>
      <c r="W38" s="2376">
        <f t="shared" ca="1" si="2"/>
        <v>2.3000000000000003</v>
      </c>
      <c r="X38" s="2376">
        <f t="shared" ca="1" si="2"/>
        <v>0.89999999999999991</v>
      </c>
      <c r="Y38" s="2378">
        <f t="shared" ca="1" si="2"/>
        <v>-0.10000000000000009</v>
      </c>
      <c r="Z38" s="2368"/>
      <c r="AA38" s="54"/>
      <c r="AB38" s="54"/>
      <c r="AC38" s="54"/>
      <c r="AD38" s="54"/>
      <c r="AE38" s="54"/>
      <c r="AF38" s="54"/>
      <c r="AG38" s="54"/>
      <c r="AH38" s="54"/>
      <c r="AI38" s="45"/>
      <c r="AJ38" s="60"/>
      <c r="AK38" s="94" t="s">
        <v>570</v>
      </c>
      <c r="AL38" s="95"/>
      <c r="AM38" s="96">
        <f>(((Transfer!AD155/Transfer!AC155))-1)*100</f>
        <v>3.0999999999999917</v>
      </c>
      <c r="AN38" s="97">
        <f>(((Transfer!AE155/Transfer!AD155))-1)*100</f>
        <v>1.3774287214301184</v>
      </c>
      <c r="AO38" s="96">
        <f>(((Transfer!AF155/Transfer!AE155))-1)*100</f>
        <v>1.9238442789760946</v>
      </c>
      <c r="AP38" s="98">
        <f>(((Transfer!AG155/Transfer!AF155))-1)*100</f>
        <v>2.3673276278389999</v>
      </c>
      <c r="AQ38" s="82"/>
      <c r="AR38" s="53"/>
      <c r="AS38" s="53"/>
      <c r="AT38" s="53"/>
      <c r="AU38" s="53"/>
      <c r="AV38" s="53"/>
      <c r="AW38" s="54"/>
      <c r="AX38" s="54"/>
      <c r="AY38" s="54"/>
      <c r="AZ38" s="54"/>
      <c r="BA38" s="1673" t="s">
        <v>947</v>
      </c>
      <c r="BB38" s="1699"/>
      <c r="BC38" s="54"/>
    </row>
    <row r="39" spans="1:256">
      <c r="A39" s="45"/>
      <c r="B39" s="1665"/>
      <c r="C39" s="1666"/>
      <c r="D39" s="2351"/>
      <c r="E39" s="3752" t="s">
        <v>1303</v>
      </c>
      <c r="F39" s="3752"/>
      <c r="G39" s="3752"/>
      <c r="H39" s="3752"/>
      <c r="I39" s="2368"/>
      <c r="J39" s="53"/>
      <c r="K39" s="53"/>
      <c r="L39" s="53"/>
      <c r="M39" s="53"/>
      <c r="N39" s="53"/>
      <c r="O39" s="54"/>
      <c r="P39" s="54"/>
      <c r="Q39" s="54"/>
      <c r="R39" s="54"/>
      <c r="S39" s="1665"/>
      <c r="T39" s="1666"/>
      <c r="U39" s="2351"/>
      <c r="V39" s="3752" t="s">
        <v>1303</v>
      </c>
      <c r="W39" s="3752"/>
      <c r="X39" s="3752"/>
      <c r="Y39" s="3752"/>
      <c r="Z39" s="2368"/>
      <c r="AA39" s="54"/>
      <c r="AB39" s="54"/>
      <c r="AC39" s="54"/>
      <c r="AD39" s="54"/>
      <c r="AE39" s="54"/>
      <c r="AF39" s="54"/>
      <c r="AG39" s="54"/>
      <c r="AH39" s="54"/>
      <c r="AI39" s="45"/>
      <c r="AJ39" s="60"/>
      <c r="AK39" s="40"/>
      <c r="AL39" s="49"/>
      <c r="AM39" s="3752" t="s">
        <v>1303</v>
      </c>
      <c r="AN39" s="3752"/>
      <c r="AO39" s="3752"/>
      <c r="AP39" s="3752"/>
      <c r="AQ39" s="82"/>
      <c r="AR39" s="53"/>
      <c r="AS39" s="53"/>
      <c r="AT39" s="53"/>
      <c r="AU39" s="53"/>
      <c r="AV39" s="53"/>
      <c r="AW39" s="54"/>
      <c r="AX39" s="54"/>
      <c r="AY39" s="54"/>
      <c r="AZ39" s="54"/>
      <c r="BA39" s="1993"/>
      <c r="BB39" s="1699"/>
      <c r="BC39" s="54"/>
    </row>
    <row r="40" spans="1:256">
      <c r="A40" s="108"/>
      <c r="B40" s="1665"/>
      <c r="C40" s="2384" t="s">
        <v>1304</v>
      </c>
      <c r="D40" s="3263"/>
      <c r="E40" s="3263">
        <f ca="1">(((Transfer!D143+Transfer!D144+Transfer!D240+Transfer!D241) - (Transfer!D145+Transfer!D146)) / Transfer!D147)*100</f>
        <v>-0.65950628317961124</v>
      </c>
      <c r="F40" s="2377">
        <f ca="1">(((Transfer!E143+Transfer!E144+Transfer!E240+Transfer!E241) - (Transfer!E145+Transfer!E146)) / Transfer!E147)*100</f>
        <v>0.34241214728970826</v>
      </c>
      <c r="G40" s="2376">
        <f ca="1">(((Transfer!F143+Transfer!F144+Transfer!F240+Transfer!F241) - (Transfer!F145+Transfer!F146)) / Transfer!F147)*100</f>
        <v>-0.45015434686686101</v>
      </c>
      <c r="H40" s="2378">
        <f ca="1">(((Transfer!G143+Transfer!G144+Transfer!G240+Transfer!G241) - (Transfer!G145+Transfer!G146)) / Transfer!G147)*100</f>
        <v>-0.56243314718083859</v>
      </c>
      <c r="I40" s="2394"/>
      <c r="J40" s="108"/>
      <c r="K40" s="53"/>
      <c r="L40" s="53"/>
      <c r="M40" s="53"/>
      <c r="N40" s="53"/>
      <c r="O40" s="54"/>
      <c r="P40" s="54"/>
      <c r="Q40" s="54"/>
      <c r="R40" s="54"/>
      <c r="S40" s="1665"/>
      <c r="T40" s="2384" t="s">
        <v>1304</v>
      </c>
      <c r="U40" s="2343"/>
      <c r="V40" s="2376">
        <f t="shared" ref="V40:Y41" ca="1" si="3">ROUND(E40,1)-ROUND(AM40,1)</f>
        <v>-0.19999999999999996</v>
      </c>
      <c r="W40" s="2376">
        <f t="shared" ca="1" si="3"/>
        <v>0.8</v>
      </c>
      <c r="X40" s="2376">
        <f t="shared" ca="1" si="3"/>
        <v>0.30000000000000004</v>
      </c>
      <c r="Y40" s="2367">
        <f t="shared" ca="1" si="3"/>
        <v>0.70000000000000007</v>
      </c>
      <c r="Z40" s="2368"/>
      <c r="AA40" s="54"/>
      <c r="AB40" s="54"/>
      <c r="AC40" s="54"/>
      <c r="AD40" s="54"/>
      <c r="AE40" s="54"/>
      <c r="AF40" s="54"/>
      <c r="AG40" s="54"/>
      <c r="AH40" s="54"/>
      <c r="AI40" s="108"/>
      <c r="AJ40" s="60"/>
      <c r="AK40" s="99" t="s">
        <v>1304</v>
      </c>
      <c r="AL40" s="100"/>
      <c r="AM40" s="91">
        <f>(((Transfer!AD143+Transfer!AD144+Transfer!AD240+Transfer!AD241) - (Transfer!AD145+Transfer!AD146)) / Transfer!AD147)*100</f>
        <v>-0.50742804876323944</v>
      </c>
      <c r="AN40" s="92">
        <f>(((Transfer!AE143+Transfer!AE144+Transfer!AE240+Transfer!AE241) - (Transfer!AE145+Transfer!AE146)) / Transfer!AE147)*100</f>
        <v>-0.47384617663704587</v>
      </c>
      <c r="AO40" s="91">
        <f>(((Transfer!AF143+Transfer!AF144+Transfer!AF240+Transfer!AF241) - (Transfer!AF145+Transfer!AF146)) / Transfer!AF147)*100</f>
        <v>-0.7643348292718084</v>
      </c>
      <c r="AP40" s="93">
        <f>(((Transfer!AG143+Transfer!AG144+Transfer!AG240+Transfer!AG241) - (Transfer!AG145+Transfer!AG146)) / Transfer!AG147)*100</f>
        <v>-1.2902157562081957</v>
      </c>
      <c r="AQ40" s="242"/>
      <c r="AR40" s="108"/>
      <c r="AS40" s="53"/>
      <c r="AT40" s="53"/>
      <c r="AU40" s="53"/>
      <c r="AV40" s="53"/>
      <c r="AW40" s="54"/>
      <c r="AX40" s="54"/>
      <c r="AY40" s="54"/>
      <c r="AZ40" s="54"/>
      <c r="BA40" s="1673" t="s">
        <v>1193</v>
      </c>
      <c r="BB40" s="1699"/>
      <c r="BC40" s="54"/>
    </row>
    <row r="41" spans="1:256" s="45" customFormat="1">
      <c r="A41" s="108"/>
      <c r="B41" s="1665"/>
      <c r="C41" s="1666" t="s">
        <v>1637</v>
      </c>
      <c r="D41" s="1667"/>
      <c r="E41" s="1668">
        <f ca="1">(((Transfer!D187+Transfer!D189+Transfer!D190+Transfer!D191+Transfer!D194+Transfer!D200+Transfer!D201+Transfer!D205+Transfer!D206)-(Transfer!D192+Transfer!D193+Transfer!D195+Transfer!D196+Transfer!D197+Transfer!D202+Transfer!D203+Transfer!D207+Transfer!D208+Transfer!D209+Transfer!D210))/Transfer!D147)*100</f>
        <v>0.59475043136085981</v>
      </c>
      <c r="F41" s="1668">
        <f ca="1">(((Transfer!E187+Transfer!E189+Transfer!E190+Transfer!E191+Transfer!E194+Transfer!E200+Transfer!E201+Transfer!E205+Transfer!E206)-(Transfer!E192+Transfer!E193+Transfer!E195+Transfer!E196+Transfer!E197+Transfer!E202+Transfer!E203+Transfer!E207+Transfer!E208+Transfer!E209+Transfer!E210))/Transfer!E147)*100</f>
        <v>0.72192599477447228</v>
      </c>
      <c r="G41" s="1668">
        <f ca="1">(((Transfer!F187+Transfer!F189+Transfer!F190+Transfer!F191+Transfer!F194+Transfer!F200+Transfer!F201+Transfer!F205+Transfer!F206)-(Transfer!F192+Transfer!F193+Transfer!F195+Transfer!F196+Transfer!F197+Transfer!F202+Transfer!F203+Transfer!F207+Transfer!F208+Transfer!F209+Transfer!F210))/Transfer!F147)*100</f>
        <v>2.774620599230302E-2</v>
      </c>
      <c r="H41" s="1669">
        <f ca="1">(((Transfer!G187+Transfer!G189+Transfer!G190+Transfer!G191+Transfer!G194+Transfer!G200+Transfer!G201+Transfer!G205+Transfer!G206)-(Transfer!G192+Transfer!G193+Transfer!G195+Transfer!G196+Transfer!G197+Transfer!G202+Transfer!G203+Transfer!G207+Transfer!G208+Transfer!G209+Transfer!G210))/Transfer!G147)*100</f>
        <v>-0.10865523815728595</v>
      </c>
      <c r="I41" s="2368"/>
      <c r="J41" s="108"/>
      <c r="K41" s="53"/>
      <c r="L41" s="53"/>
      <c r="M41" s="53"/>
      <c r="N41" s="53"/>
      <c r="O41" s="54"/>
      <c r="P41" s="54"/>
      <c r="Q41" s="54"/>
      <c r="R41" s="54"/>
      <c r="S41" s="1665"/>
      <c r="T41" s="1666" t="s">
        <v>1637</v>
      </c>
      <c r="U41" s="1667"/>
      <c r="V41" s="2376">
        <f t="shared" ca="1" si="3"/>
        <v>-17582.400000000001</v>
      </c>
      <c r="W41" s="2376">
        <f t="shared" ca="1" si="3"/>
        <v>-16658.8</v>
      </c>
      <c r="X41" s="2376">
        <f t="shared" ca="1" si="3"/>
        <v>-15693.1</v>
      </c>
      <c r="Y41" s="2378">
        <f t="shared" ca="1" si="3"/>
        <v>-14693.7</v>
      </c>
      <c r="Z41" s="2368"/>
      <c r="AA41" s="54"/>
      <c r="AB41" s="54"/>
      <c r="AC41" s="54"/>
      <c r="AD41" s="54"/>
      <c r="AE41" s="54"/>
      <c r="AF41" s="54"/>
      <c r="AG41" s="54"/>
      <c r="AH41" s="54"/>
      <c r="AI41" s="108"/>
      <c r="AJ41" s="1665"/>
      <c r="AK41" s="1666" t="s">
        <v>1637</v>
      </c>
      <c r="AL41" s="1667"/>
      <c r="AM41" s="1668">
        <f>(((Transfer!AD187+Transfer!AD189+Transfer!AD190+Transfer!AD191+Transfer!AD194+Transfer!AD200+Transfer!AD201+Transfer!AD205+Transfer!AD206)-(Transfer!AD192+Transfer!AD193+Transfer!AD195+Transfer!AD196+Transfer!AD197+Transfer!AD202+Transfer!AD203+Transfer!AD207+Transfer!AD208+Transfer!AD209+Transfer!AD210))/Transfer!AD147)*100</f>
        <v>17583.024354044981</v>
      </c>
      <c r="AN41" s="1668">
        <f>(((Transfer!AE187+Transfer!AE189+Transfer!AE190+Transfer!AE191+Transfer!AE194+Transfer!AE200+Transfer!AE201+Transfer!AE205+Transfer!AE206)-(Transfer!AE192+Transfer!AE193+Transfer!AE195+Transfer!AE196+Transfer!AE197+Transfer!AE202+Transfer!AE203+Transfer!AE207+Transfer!AE208+Transfer!AE209+Transfer!AE210))/Transfer!AE147)*100</f>
        <v>16659.479889741971</v>
      </c>
      <c r="AO41" s="1668">
        <f>(((Transfer!AF187+Transfer!AF189+Transfer!AF190+Transfer!AF191+Transfer!AF194+Transfer!AF200+Transfer!AF201+Transfer!AF205+Transfer!AF206)-(Transfer!AF192+Transfer!AF193+Transfer!AF195+Transfer!AF196+Transfer!AF197+Transfer!AF202+Transfer!AF203+Transfer!AF207+Transfer!AF208+Transfer!AF209+Transfer!AF210))/Transfer!AF147)*100</f>
        <v>15693.149082144751</v>
      </c>
      <c r="AP41" s="1669">
        <f>(((Transfer!AG187+Transfer!AG189+Transfer!AG190+Transfer!AG191+Transfer!AG194+Transfer!AG200+Transfer!AG201+Transfer!AG205+Transfer!AG206)-(Transfer!AG192+Transfer!AG193+Transfer!AG195+Transfer!AG196+Transfer!AG197+Transfer!AG202+Transfer!AG203+Transfer!AG207+Transfer!AG208+Transfer!AG209+Transfer!AG210))/Transfer!AG147)*100</f>
        <v>14693.623771528599</v>
      </c>
      <c r="AQ41" s="82"/>
      <c r="AR41" s="108"/>
      <c r="AS41" s="53"/>
      <c r="AT41" s="53"/>
      <c r="AU41" s="53"/>
      <c r="AV41" s="53"/>
      <c r="AW41" s="54"/>
      <c r="AX41" s="54"/>
      <c r="AY41" s="54"/>
      <c r="AZ41" s="54"/>
      <c r="BA41" s="1673" t="s">
        <v>1231</v>
      </c>
      <c r="BB41" s="1699"/>
      <c r="BC41" s="54"/>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row>
    <row r="42" spans="1:256">
      <c r="A42" s="108"/>
      <c r="B42" s="1665"/>
      <c r="C42" s="2373" t="s">
        <v>1638</v>
      </c>
      <c r="D42" s="1667"/>
      <c r="E42" s="2376"/>
      <c r="F42" s="2376"/>
      <c r="G42" s="2376"/>
      <c r="H42" s="2378"/>
      <c r="I42" s="2368"/>
      <c r="J42" s="108"/>
      <c r="K42" s="53"/>
      <c r="L42" s="53"/>
      <c r="M42" s="53"/>
      <c r="N42" s="53"/>
      <c r="O42" s="54"/>
      <c r="P42" s="54"/>
      <c r="Q42" s="54"/>
      <c r="R42" s="54"/>
      <c r="S42" s="1665"/>
      <c r="T42" s="2373" t="s">
        <v>1638</v>
      </c>
      <c r="U42" s="1667"/>
      <c r="V42" s="2007"/>
      <c r="W42" s="91"/>
      <c r="X42" s="91"/>
      <c r="Y42" s="93"/>
      <c r="Z42" s="82"/>
      <c r="AA42" s="54"/>
      <c r="AB42" s="54"/>
      <c r="AC42" s="54"/>
      <c r="AD42" s="54"/>
      <c r="AE42" s="54"/>
      <c r="AF42" s="54"/>
      <c r="AG42" s="54"/>
      <c r="AH42" s="54"/>
      <c r="AI42" s="108"/>
      <c r="AJ42" s="60"/>
      <c r="AK42" s="86" t="s">
        <v>1638</v>
      </c>
      <c r="AL42" s="44"/>
      <c r="AM42" s="91"/>
      <c r="AN42" s="91"/>
      <c r="AO42" s="91"/>
      <c r="AP42" s="93"/>
      <c r="AQ42" s="82"/>
      <c r="AR42" s="108"/>
      <c r="AS42" s="53"/>
      <c r="AT42" s="53"/>
      <c r="AU42" s="53"/>
      <c r="AV42" s="53"/>
      <c r="AW42" s="54"/>
      <c r="AX42" s="54"/>
      <c r="AY42" s="54"/>
      <c r="AZ42" s="54"/>
      <c r="BA42" s="1673"/>
      <c r="BB42" s="1699"/>
      <c r="BC42" s="54"/>
    </row>
    <row r="43" spans="1:256">
      <c r="A43" s="108"/>
      <c r="B43" s="1665"/>
      <c r="C43" s="1666" t="s">
        <v>181</v>
      </c>
      <c r="D43" s="1667"/>
      <c r="E43" s="3263">
        <f ca="1">100*Transfer!D237/Transfer!D147</f>
        <v>0.266316198893571</v>
      </c>
      <c r="F43" s="3280">
        <f ca="1">100*Transfer!E237/Transfer!E147</f>
        <v>0.80208555861704567</v>
      </c>
      <c r="G43" s="3280">
        <f ca="1">100*Transfer!F237/Transfer!F147</f>
        <v>0.68098825894252502</v>
      </c>
      <c r="H43" s="3281">
        <f ca="1">100*Transfer!G237/Transfer!G147</f>
        <v>0.60186770664689127</v>
      </c>
      <c r="I43" s="2394"/>
      <c r="J43" s="108"/>
      <c r="K43" s="53"/>
      <c r="L43" s="53"/>
      <c r="M43" s="53"/>
      <c r="N43" s="53"/>
      <c r="O43" s="54"/>
      <c r="P43" s="54"/>
      <c r="Q43" s="54"/>
      <c r="R43" s="54"/>
      <c r="S43" s="60"/>
      <c r="T43" s="101" t="s">
        <v>1639</v>
      </c>
      <c r="U43" s="44"/>
      <c r="V43" s="91">
        <f ca="1">ROUND(E43,1)-ROUND(AM43,1)</f>
        <v>3.5</v>
      </c>
      <c r="W43" s="91">
        <f ca="1">ROUND(F43,1)-ROUND(AN43,1)</f>
        <v>3.8</v>
      </c>
      <c r="X43" s="91">
        <f ca="1">ROUND(G43,1)-ROUND(AO43,1)</f>
        <v>3.5</v>
      </c>
      <c r="Y43" s="93">
        <f ca="1">ROUND(H43,1)-ROUND(AP43,1)</f>
        <v>3</v>
      </c>
      <c r="Z43" s="82"/>
      <c r="AA43" s="54"/>
      <c r="AB43" s="54"/>
      <c r="AC43" s="54"/>
      <c r="AD43" s="54"/>
      <c r="AE43" s="54"/>
      <c r="AF43" s="54"/>
      <c r="AG43" s="54"/>
      <c r="AH43" s="54"/>
      <c r="AI43" s="108"/>
      <c r="AJ43" s="60"/>
      <c r="AK43" s="101" t="s">
        <v>181</v>
      </c>
      <c r="AL43" s="44"/>
      <c r="AM43" s="91">
        <f>100*Transfer!AD237/Transfer!AD147</f>
        <v>-3.2466696619413411</v>
      </c>
      <c r="AN43" s="91">
        <f>100*Transfer!AE237/Transfer!AE147</f>
        <v>-2.9551275099119962</v>
      </c>
      <c r="AO43" s="91">
        <f>100*Transfer!AF237/Transfer!AF147</f>
        <v>-2.8105678032449188</v>
      </c>
      <c r="AP43" s="93">
        <f>100*Transfer!AG237/Transfer!AG147</f>
        <v>-2.4040427209747683</v>
      </c>
      <c r="AQ43" s="242"/>
      <c r="AR43" s="108"/>
      <c r="AS43" s="53"/>
      <c r="AT43" s="53"/>
      <c r="AU43" s="53"/>
      <c r="AV43" s="53"/>
      <c r="AW43" s="54"/>
      <c r="AX43" s="54"/>
      <c r="AY43" s="54"/>
      <c r="AZ43" s="54"/>
      <c r="BA43" s="1673" t="s">
        <v>740</v>
      </c>
      <c r="BB43" s="1699"/>
      <c r="BC43" s="54"/>
    </row>
    <row r="44" spans="1:256">
      <c r="A44" s="108"/>
      <c r="B44" s="1665"/>
      <c r="C44" s="1666" t="s">
        <v>1640</v>
      </c>
      <c r="D44" s="1667"/>
      <c r="E44" s="2393"/>
      <c r="F44" s="2393"/>
      <c r="G44" s="2393"/>
      <c r="H44" s="2378"/>
      <c r="I44" s="2368"/>
      <c r="J44" s="108"/>
      <c r="K44" s="53"/>
      <c r="L44" s="53"/>
      <c r="M44" s="53"/>
      <c r="N44" s="53"/>
      <c r="O44" s="54"/>
      <c r="P44" s="54"/>
      <c r="Q44" s="54"/>
      <c r="R44" s="54"/>
      <c r="S44" s="60"/>
      <c r="T44" s="101" t="s">
        <v>1640</v>
      </c>
      <c r="U44" s="44"/>
      <c r="V44" s="107"/>
      <c r="W44" s="107"/>
      <c r="X44" s="107"/>
      <c r="Y44" s="93"/>
      <c r="Z44" s="82"/>
      <c r="AA44" s="54"/>
      <c r="AB44" s="54"/>
      <c r="AC44" s="54"/>
      <c r="AD44" s="54"/>
      <c r="AE44" s="54"/>
      <c r="AF44" s="54"/>
      <c r="AG44" s="54"/>
      <c r="AH44" s="54"/>
      <c r="AI44" s="108"/>
      <c r="AJ44" s="60"/>
      <c r="AK44" s="101" t="s">
        <v>1640</v>
      </c>
      <c r="AL44" s="44"/>
      <c r="AM44" s="107"/>
      <c r="AN44" s="107"/>
      <c r="AO44" s="107"/>
      <c r="AP44" s="93"/>
      <c r="AQ44" s="82"/>
      <c r="AR44" s="108"/>
      <c r="AS44" s="53"/>
      <c r="AT44" s="53"/>
      <c r="AU44" s="53"/>
      <c r="AV44" s="53"/>
      <c r="AW44" s="54"/>
      <c r="AX44" s="54"/>
      <c r="AY44" s="54"/>
      <c r="AZ44" s="54"/>
      <c r="BA44" s="1673" t="s">
        <v>1192</v>
      </c>
      <c r="BB44" s="1699"/>
      <c r="BC44" s="54"/>
    </row>
    <row r="45" spans="1:256" ht="13.5" thickBot="1">
      <c r="A45" s="108"/>
      <c r="B45" s="1665"/>
      <c r="C45" s="2395" t="s">
        <v>1641</v>
      </c>
      <c r="D45" s="2396"/>
      <c r="E45" s="2397">
        <f ca="1">(((Transfer!D228) / Transfer!D147)*100)</f>
        <v>40.119922458487984</v>
      </c>
      <c r="F45" s="2397">
        <f ca="1">(((Transfer!E228) / Transfer!E147)*100)</f>
        <v>40.614543885888274</v>
      </c>
      <c r="G45" s="2397">
        <f ca="1">(((Transfer!F228) / Transfer!F147)*100)</f>
        <v>37.020898990445382</v>
      </c>
      <c r="H45" s="2398">
        <f ca="1">(((Transfer!G228) / Transfer!G147)*100)</f>
        <v>37.67780647795454</v>
      </c>
      <c r="I45" s="2368"/>
      <c r="J45" s="108"/>
      <c r="K45" s="53"/>
      <c r="L45" s="53"/>
      <c r="M45" s="53"/>
      <c r="N45" s="53"/>
      <c r="O45" s="54"/>
      <c r="P45" s="54"/>
      <c r="Q45" s="54"/>
      <c r="R45" s="54"/>
      <c r="S45" s="60"/>
      <c r="T45" s="109" t="s">
        <v>1641</v>
      </c>
      <c r="U45" s="110"/>
      <c r="V45" s="111">
        <f ca="1">ROUND(E45,1)-ROUND(AM45,1)</f>
        <v>-0.39999999999999858</v>
      </c>
      <c r="W45" s="111">
        <f ca="1">ROUND(F45,1)-ROUND(AN45,1)</f>
        <v>0.60000000000000142</v>
      </c>
      <c r="X45" s="111">
        <f ca="1">ROUND(G45,1)-ROUND(AO45,1)</f>
        <v>-2.7999999999999972</v>
      </c>
      <c r="Y45" s="112">
        <f ca="1">ROUND(H45,1)-ROUND(AP45,1)</f>
        <v>-1.2999999999999972</v>
      </c>
      <c r="Z45" s="82"/>
      <c r="AA45" s="54"/>
      <c r="AB45" s="54"/>
      <c r="AC45" s="54"/>
      <c r="AD45" s="54"/>
      <c r="AE45" s="54"/>
      <c r="AF45" s="54"/>
      <c r="AG45" s="54"/>
      <c r="AH45" s="54"/>
      <c r="AI45" s="108"/>
      <c r="AJ45" s="60"/>
      <c r="AK45" s="109" t="s">
        <v>1641</v>
      </c>
      <c r="AL45" s="110"/>
      <c r="AM45" s="111">
        <f>(((Transfer!AD228) / Transfer!AD147)*100)</f>
        <v>40.477092743023888</v>
      </c>
      <c r="AN45" s="111">
        <f>(((Transfer!AE228) / Transfer!AE147)*100)</f>
        <v>39.984524504562984</v>
      </c>
      <c r="AO45" s="111">
        <f>(((Transfer!AF228) / Transfer!AF147)*100)</f>
        <v>39.78012714043934</v>
      </c>
      <c r="AP45" s="112">
        <f>(((Transfer!AG228) / Transfer!AG147)*100)</f>
        <v>38.999140941295835</v>
      </c>
      <c r="AQ45" s="82"/>
      <c r="AR45" s="108"/>
      <c r="AS45" s="53"/>
      <c r="AT45" s="53"/>
      <c r="AU45" s="53"/>
      <c r="AV45" s="53"/>
      <c r="AW45" s="54"/>
      <c r="AX45" s="54"/>
      <c r="AY45" s="54"/>
      <c r="AZ45" s="54"/>
      <c r="BA45" s="1994" t="s">
        <v>1642</v>
      </c>
      <c r="BB45" s="1702"/>
      <c r="BC45" s="54"/>
    </row>
    <row r="46" spans="1:256">
      <c r="A46" s="108"/>
      <c r="B46" s="1701"/>
      <c r="C46" s="2380"/>
      <c r="D46" s="2399"/>
      <c r="E46" s="2399"/>
      <c r="F46" s="2399"/>
      <c r="G46" s="2399"/>
      <c r="H46" s="2400" t="str">
        <f>UPPER(Country)</f>
        <v>LITHUANIA</v>
      </c>
      <c r="I46" s="1702"/>
      <c r="J46" s="108"/>
      <c r="K46" s="53"/>
      <c r="L46" s="53"/>
      <c r="M46" s="53"/>
      <c r="N46" s="53"/>
      <c r="O46" s="54"/>
      <c r="P46" s="54"/>
      <c r="Q46" s="54"/>
      <c r="R46" s="54"/>
      <c r="S46" s="114"/>
      <c r="T46" s="115"/>
      <c r="U46" s="116"/>
      <c r="V46" s="116"/>
      <c r="W46" s="117"/>
      <c r="X46" s="116"/>
      <c r="Y46" s="118" t="str">
        <f>UPPER(Country)</f>
        <v>LITHUANIA</v>
      </c>
      <c r="Z46" s="119"/>
      <c r="AA46" s="54"/>
      <c r="AB46" s="54"/>
      <c r="AC46" s="54"/>
      <c r="AD46" s="54"/>
      <c r="AE46" s="54"/>
      <c r="AF46" s="54"/>
      <c r="AG46" s="54"/>
      <c r="AH46" s="54"/>
      <c r="AI46" s="108"/>
      <c r="AJ46" s="114"/>
      <c r="AK46" s="115"/>
      <c r="AL46" s="116"/>
      <c r="AM46" s="116"/>
      <c r="AN46" s="117"/>
      <c r="AO46" s="116"/>
      <c r="AP46" s="118" t="str">
        <f>UPPER(Country)</f>
        <v>LITHUANIA</v>
      </c>
      <c r="AQ46" s="119"/>
      <c r="AR46" s="108"/>
      <c r="AS46" s="53"/>
      <c r="AT46" s="53"/>
      <c r="AU46" s="53"/>
      <c r="AV46" s="53"/>
      <c r="AW46" s="54"/>
      <c r="AX46" s="54"/>
      <c r="AY46" s="54"/>
      <c r="AZ46" s="54"/>
      <c r="BA46" s="54"/>
      <c r="BB46" s="54"/>
      <c r="BC46" s="54"/>
    </row>
    <row r="47" spans="1:256">
      <c r="A47" s="108"/>
      <c r="B47" s="108"/>
      <c r="C47" s="108"/>
      <c r="D47" s="108"/>
      <c r="E47" s="120"/>
      <c r="F47" s="120"/>
      <c r="G47" s="120"/>
      <c r="H47" s="120"/>
      <c r="I47" s="108"/>
      <c r="J47" s="108"/>
      <c r="K47" s="108"/>
      <c r="L47" s="108"/>
      <c r="M47" s="108"/>
      <c r="N47" s="108"/>
      <c r="O47" s="108"/>
      <c r="P47" s="108"/>
      <c r="Q47" s="108"/>
      <c r="R47" s="54"/>
      <c r="S47" s="54"/>
      <c r="T47" s="54"/>
      <c r="U47" s="54"/>
      <c r="V47" s="54"/>
      <c r="W47" s="54"/>
      <c r="X47" s="54"/>
      <c r="Y47" s="54"/>
      <c r="Z47" s="54"/>
      <c r="AA47" s="54"/>
      <c r="AB47" s="54"/>
      <c r="AC47" s="54"/>
      <c r="AD47" s="54"/>
      <c r="AE47" s="54"/>
      <c r="AF47" s="54"/>
      <c r="AG47" s="54"/>
      <c r="AH47" s="54"/>
      <c r="AI47" s="108"/>
      <c r="AJ47" s="108"/>
      <c r="AK47" s="108"/>
      <c r="AL47" s="108"/>
      <c r="AM47" s="120"/>
      <c r="AN47" s="120"/>
      <c r="AO47" s="120"/>
      <c r="AP47" s="120"/>
      <c r="AQ47" s="108"/>
      <c r="AR47" s="108"/>
      <c r="AS47" s="108"/>
      <c r="AT47" s="108"/>
      <c r="AU47" s="108"/>
      <c r="AV47" s="108"/>
      <c r="AW47" s="108"/>
      <c r="AX47" s="108"/>
      <c r="AY47" s="108"/>
      <c r="AZ47" s="54"/>
      <c r="BA47" s="54"/>
      <c r="BB47" s="54"/>
      <c r="BC47" s="54"/>
    </row>
    <row r="48" spans="1:256" ht="15">
      <c r="A48" s="108"/>
      <c r="B48" s="108"/>
      <c r="C48" s="108"/>
      <c r="D48" s="121"/>
      <c r="E48" s="108"/>
      <c r="F48" s="108"/>
      <c r="G48" s="108"/>
      <c r="H48" s="108"/>
      <c r="I48" s="108"/>
      <c r="J48" s="108"/>
      <c r="K48" s="108"/>
      <c r="L48" s="108"/>
      <c r="M48" s="108"/>
      <c r="N48" s="108"/>
      <c r="O48" s="108"/>
      <c r="P48" s="108"/>
      <c r="Q48" s="108"/>
      <c r="R48" s="54"/>
      <c r="S48" s="54"/>
      <c r="T48" s="54"/>
      <c r="U48" s="54"/>
      <c r="V48" s="54"/>
      <c r="W48" s="54"/>
      <c r="X48" s="54"/>
      <c r="Y48" s="54"/>
      <c r="Z48" s="54"/>
      <c r="AA48" s="54"/>
      <c r="AB48" s="54"/>
      <c r="AC48" s="54"/>
      <c r="AD48" s="54"/>
      <c r="AE48" s="54"/>
      <c r="AF48" s="54"/>
      <c r="AG48" s="54"/>
      <c r="AH48" s="54"/>
      <c r="AI48" s="108"/>
      <c r="AJ48" s="108"/>
      <c r="AK48" s="108"/>
      <c r="AL48" s="121"/>
      <c r="AM48" s="108"/>
      <c r="AN48" s="108"/>
      <c r="AO48" s="108"/>
      <c r="AP48" s="108"/>
      <c r="AQ48" s="108"/>
      <c r="AR48" s="108"/>
      <c r="AS48" s="108"/>
      <c r="AT48" s="108"/>
      <c r="AU48" s="108"/>
      <c r="AV48" s="108"/>
      <c r="AW48" s="108"/>
      <c r="AX48" s="108"/>
      <c r="AY48" s="108"/>
      <c r="AZ48" s="54"/>
      <c r="BA48" s="54"/>
      <c r="BB48" s="54"/>
      <c r="BC48" s="54"/>
    </row>
    <row r="49" spans="1:256" s="45" customFormat="1">
      <c r="A49" s="108"/>
      <c r="B49" s="108"/>
      <c r="C49" s="108"/>
      <c r="D49" s="108"/>
      <c r="E49" s="108"/>
      <c r="F49" s="108"/>
      <c r="G49" s="122"/>
      <c r="H49" s="108"/>
      <c r="I49" s="108"/>
      <c r="J49" s="108"/>
      <c r="K49" s="108"/>
      <c r="L49" s="108"/>
      <c r="M49" s="108"/>
      <c r="N49" s="108"/>
      <c r="O49" s="108"/>
      <c r="P49" s="108"/>
      <c r="Q49" s="108"/>
      <c r="R49" s="54"/>
      <c r="S49" s="54"/>
      <c r="T49" s="54"/>
      <c r="U49" s="54"/>
      <c r="V49" s="54"/>
      <c r="W49" s="54"/>
      <c r="X49" s="54"/>
      <c r="Y49" s="54"/>
      <c r="Z49" s="54"/>
      <c r="AA49" s="54"/>
      <c r="AB49" s="54"/>
      <c r="AC49" s="54"/>
      <c r="AD49" s="54"/>
      <c r="AE49" s="54"/>
      <c r="AF49" s="54"/>
      <c r="AG49" s="54"/>
      <c r="AH49" s="54"/>
      <c r="AI49" s="108"/>
      <c r="AJ49" s="108"/>
      <c r="AK49" s="108"/>
      <c r="AL49" s="108"/>
      <c r="AM49" s="108"/>
      <c r="AN49" s="108"/>
      <c r="AO49" s="122"/>
      <c r="AP49" s="108"/>
      <c r="AQ49" s="108"/>
      <c r="AR49" s="108"/>
      <c r="AS49" s="108"/>
      <c r="AT49" s="108"/>
      <c r="AU49" s="108"/>
      <c r="AV49" s="108"/>
      <c r="AW49" s="108"/>
      <c r="AX49" s="108"/>
      <c r="AY49" s="108"/>
      <c r="AZ49" s="54"/>
      <c r="BA49" s="54"/>
      <c r="BB49" s="54"/>
      <c r="BC49" s="54"/>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c r="HB49"/>
      <c r="HC49"/>
      <c r="HD49"/>
      <c r="HE49"/>
      <c r="HF49"/>
      <c r="HG49"/>
      <c r="HH49"/>
      <c r="HI49"/>
      <c r="HJ49"/>
      <c r="HK49"/>
      <c r="HL49"/>
      <c r="HM49"/>
      <c r="HN49"/>
      <c r="HO49"/>
      <c r="HP49"/>
      <c r="HQ49"/>
      <c r="HR49"/>
      <c r="HS49"/>
      <c r="HT49"/>
      <c r="HU49"/>
      <c r="HV49"/>
      <c r="HW49"/>
      <c r="HX49"/>
      <c r="HY49"/>
      <c r="HZ49"/>
      <c r="IA49"/>
      <c r="IB49"/>
      <c r="IC49"/>
      <c r="ID49"/>
      <c r="IE49"/>
      <c r="IF49"/>
      <c r="IG49"/>
      <c r="IH49"/>
      <c r="II49"/>
      <c r="IJ49"/>
      <c r="IK49"/>
      <c r="IL49"/>
      <c r="IM49"/>
      <c r="IN49"/>
      <c r="IO49"/>
      <c r="IP49"/>
      <c r="IQ49"/>
      <c r="IR49"/>
      <c r="IS49"/>
      <c r="IT49"/>
      <c r="IU49"/>
      <c r="IV49"/>
    </row>
    <row r="50" spans="1:256">
      <c r="A50" s="45"/>
      <c r="B50" s="50"/>
      <c r="C50" s="108"/>
      <c r="D50" s="51"/>
      <c r="E50" s="52"/>
      <c r="F50" s="52"/>
      <c r="G50" s="52"/>
      <c r="H50" s="52"/>
      <c r="I50" s="52"/>
      <c r="J50" s="52"/>
      <c r="K50" s="52"/>
      <c r="L50" s="53"/>
      <c r="M50" s="53"/>
      <c r="N50" s="53"/>
      <c r="O50" s="53"/>
      <c r="P50" s="54"/>
      <c r="Q50" s="54"/>
      <c r="R50" s="54"/>
      <c r="S50" s="54"/>
      <c r="T50" s="54"/>
      <c r="U50" s="54"/>
      <c r="V50" s="54"/>
      <c r="W50" s="54"/>
      <c r="X50" s="54"/>
      <c r="Y50" s="54"/>
      <c r="Z50" s="54"/>
      <c r="AA50" s="54"/>
      <c r="AB50" s="54"/>
      <c r="AC50" s="54"/>
      <c r="AD50" s="54"/>
      <c r="AE50" s="54"/>
      <c r="AF50" s="54"/>
      <c r="AG50" s="54"/>
      <c r="AH50" s="54"/>
      <c r="AI50" s="45"/>
      <c r="AJ50" s="50"/>
      <c r="AK50" s="108"/>
      <c r="AL50" s="51"/>
      <c r="AM50" s="52"/>
      <c r="AN50" s="52"/>
      <c r="AO50" s="52"/>
      <c r="AP50" s="52"/>
      <c r="AQ50" s="52"/>
      <c r="AR50" s="52"/>
      <c r="AS50" s="52"/>
      <c r="AT50" s="53"/>
      <c r="AU50" s="53"/>
      <c r="AV50" s="53"/>
      <c r="AW50" s="53"/>
      <c r="AX50" s="54"/>
      <c r="AY50" s="54"/>
      <c r="AZ50" s="54"/>
      <c r="BA50" s="54"/>
      <c r="BB50" s="54"/>
      <c r="BC50" s="54"/>
    </row>
    <row r="51" spans="1:256">
      <c r="A51" s="45"/>
      <c r="B51" s="2341"/>
      <c r="C51" s="2342" t="s">
        <v>1643</v>
      </c>
      <c r="D51" s="2343"/>
      <c r="E51" s="2344"/>
      <c r="F51" s="2342"/>
      <c r="G51" s="2342"/>
      <c r="H51" s="2342"/>
      <c r="I51" s="2342"/>
      <c r="J51" s="2342"/>
      <c r="K51" s="2345"/>
      <c r="L51" s="123"/>
      <c r="M51" s="123"/>
      <c r="N51" s="123"/>
      <c r="O51" s="123"/>
      <c r="P51" s="54"/>
      <c r="Q51" s="54"/>
      <c r="R51" s="54"/>
      <c r="S51" s="55"/>
      <c r="T51" s="56" t="s">
        <v>1643</v>
      </c>
      <c r="U51" s="57"/>
      <c r="V51" s="58"/>
      <c r="W51" s="56"/>
      <c r="X51" s="56"/>
      <c r="Y51" s="56"/>
      <c r="Z51" s="56"/>
      <c r="AA51" s="56"/>
      <c r="AB51" s="59"/>
      <c r="AC51" s="54"/>
      <c r="AD51" s="54"/>
      <c r="AE51" s="54"/>
      <c r="AF51" s="54"/>
      <c r="AG51" s="54"/>
      <c r="AH51" s="54"/>
      <c r="AI51" s="45"/>
      <c r="AJ51" s="55"/>
      <c r="AK51" s="56" t="s">
        <v>1643</v>
      </c>
      <c r="AL51" s="57"/>
      <c r="AM51" s="58"/>
      <c r="AN51" s="56"/>
      <c r="AO51" s="56"/>
      <c r="AP51" s="56"/>
      <c r="AQ51" s="56"/>
      <c r="AR51" s="56"/>
      <c r="AS51" s="59"/>
      <c r="AT51" s="123"/>
      <c r="AU51" s="123"/>
      <c r="AV51" s="123"/>
      <c r="AW51" s="123"/>
      <c r="AX51" s="54"/>
      <c r="AY51" s="54"/>
      <c r="AZ51" s="54"/>
      <c r="BA51" s="54"/>
      <c r="BB51" s="54"/>
      <c r="BC51" s="54"/>
    </row>
    <row r="52" spans="1:256">
      <c r="A52" s="45"/>
      <c r="B52" s="1665"/>
      <c r="C52" s="3752" t="s">
        <v>759</v>
      </c>
      <c r="D52" s="3752"/>
      <c r="E52" s="3752"/>
      <c r="F52" s="3752"/>
      <c r="G52" s="3752"/>
      <c r="H52" s="3752"/>
      <c r="I52" s="3752"/>
      <c r="J52" s="3752"/>
      <c r="K52" s="2401"/>
      <c r="L52" s="128"/>
      <c r="M52" s="129"/>
      <c r="N52" s="129"/>
      <c r="O52" s="129"/>
      <c r="P52" s="54"/>
      <c r="Q52" s="54"/>
      <c r="R52" s="54"/>
      <c r="S52" s="60"/>
      <c r="T52" s="3752" t="s">
        <v>759</v>
      </c>
      <c r="U52" s="3752"/>
      <c r="V52" s="3752"/>
      <c r="W52" s="3752"/>
      <c r="X52" s="3752"/>
      <c r="Y52" s="3752"/>
      <c r="Z52" s="3752"/>
      <c r="AA52" s="3752"/>
      <c r="AB52" s="127"/>
      <c r="AC52" s="54"/>
      <c r="AD52" s="54"/>
      <c r="AE52" s="54"/>
      <c r="AF52" s="54"/>
      <c r="AG52" s="54"/>
      <c r="AH52" s="54"/>
      <c r="AI52" s="45"/>
      <c r="AJ52" s="60"/>
      <c r="AK52" s="3752" t="s">
        <v>759</v>
      </c>
      <c r="AL52" s="3752"/>
      <c r="AM52" s="3752"/>
      <c r="AN52" s="3752"/>
      <c r="AO52" s="3752"/>
      <c r="AP52" s="3752"/>
      <c r="AQ52" s="3752"/>
      <c r="AR52" s="3752"/>
      <c r="AS52" s="127"/>
      <c r="AT52" s="128"/>
      <c r="AU52" s="129"/>
      <c r="AV52" s="129"/>
      <c r="AW52" s="129"/>
      <c r="AX52" s="54"/>
      <c r="AY52" s="54"/>
      <c r="AZ52" s="54"/>
      <c r="BA52" s="54"/>
      <c r="BB52" s="54"/>
      <c r="BC52" s="54"/>
    </row>
    <row r="53" spans="1:256">
      <c r="A53" s="45"/>
      <c r="B53" s="1665"/>
      <c r="C53" s="3752" t="s">
        <v>1015</v>
      </c>
      <c r="D53" s="3752"/>
      <c r="E53" s="3752"/>
      <c r="F53" s="3752"/>
      <c r="G53" s="3752"/>
      <c r="H53" s="3752"/>
      <c r="I53" s="3752"/>
      <c r="J53" s="3752"/>
      <c r="K53" s="2402"/>
      <c r="L53" s="132"/>
      <c r="M53" s="132"/>
      <c r="N53" s="132"/>
      <c r="O53" s="132"/>
      <c r="P53" s="54"/>
      <c r="Q53" s="54"/>
      <c r="R53" s="54"/>
      <c r="S53" s="60"/>
      <c r="T53" s="3752" t="s">
        <v>1015</v>
      </c>
      <c r="U53" s="3752"/>
      <c r="V53" s="3752"/>
      <c r="W53" s="3752"/>
      <c r="X53" s="3752"/>
      <c r="Y53" s="3752"/>
      <c r="Z53" s="3752"/>
      <c r="AA53" s="3752"/>
      <c r="AB53" s="131"/>
      <c r="AC53" s="54"/>
      <c r="AD53" s="54"/>
      <c r="AE53" s="54"/>
      <c r="AF53" s="54"/>
      <c r="AG53" s="54"/>
      <c r="AH53" s="54"/>
      <c r="AI53" s="45"/>
      <c r="AJ53" s="60"/>
      <c r="AK53" s="3752" t="s">
        <v>1015</v>
      </c>
      <c r="AL53" s="3752"/>
      <c r="AM53" s="3752"/>
      <c r="AN53" s="3752"/>
      <c r="AO53" s="3752"/>
      <c r="AP53" s="3752"/>
      <c r="AQ53" s="3752"/>
      <c r="AR53" s="3752"/>
      <c r="AS53" s="131"/>
      <c r="AT53" s="132"/>
      <c r="AU53" s="132"/>
      <c r="AV53" s="132"/>
      <c r="AW53" s="132"/>
      <c r="AX53" s="54"/>
      <c r="AY53" s="54"/>
      <c r="AZ53" s="54"/>
      <c r="BA53" s="54"/>
      <c r="BB53" s="54"/>
      <c r="BC53" s="54"/>
    </row>
    <row r="54" spans="1:256" ht="15.75">
      <c r="A54" s="45"/>
      <c r="B54" s="1665"/>
      <c r="C54" s="2349" t="str">
        <f>"Country: " &amp;UPPER(Country)</f>
        <v>Country: LITHUANIA</v>
      </c>
      <c r="D54" s="2350"/>
      <c r="E54" s="2351"/>
      <c r="F54" s="2351"/>
      <c r="G54" s="2351"/>
      <c r="H54" s="2351"/>
      <c r="I54" s="2351"/>
      <c r="J54" s="2354"/>
      <c r="K54" s="2352"/>
      <c r="L54" s="133"/>
      <c r="M54" s="133"/>
      <c r="N54" s="133"/>
      <c r="O54" s="133"/>
      <c r="P54" s="54"/>
      <c r="Q54" s="54"/>
      <c r="R54" s="54"/>
      <c r="S54" s="60"/>
      <c r="T54" s="63" t="str">
        <f>"Country: " &amp;UPPER(Country)</f>
        <v>Country: LITHUANIA</v>
      </c>
      <c r="U54" s="64"/>
      <c r="V54" s="65"/>
      <c r="W54" s="65"/>
      <c r="X54" s="2006" t="s">
        <v>390</v>
      </c>
      <c r="Y54" s="49"/>
      <c r="Z54" s="65"/>
      <c r="AA54" s="68"/>
      <c r="AB54" s="66"/>
      <c r="AC54" s="54"/>
      <c r="AD54" s="54"/>
      <c r="AE54" s="54"/>
      <c r="AF54" s="54"/>
      <c r="AG54" s="54"/>
      <c r="AH54" s="54"/>
      <c r="AI54" s="45"/>
      <c r="AJ54" s="60"/>
      <c r="AK54" s="63" t="str">
        <f>"Country: " &amp;UPPER(Country)</f>
        <v>Country: LITHUANIA</v>
      </c>
      <c r="AL54" s="64"/>
      <c r="AM54" s="65"/>
      <c r="AN54" s="65"/>
      <c r="AO54" s="65"/>
      <c r="AP54" s="49"/>
      <c r="AQ54" s="65"/>
      <c r="AR54" s="68"/>
      <c r="AS54" s="66"/>
      <c r="AT54" s="133"/>
      <c r="AU54" s="133"/>
      <c r="AV54" s="133"/>
      <c r="AW54" s="133"/>
      <c r="AX54" s="54"/>
      <c r="AY54" s="54"/>
      <c r="AZ54" s="54"/>
      <c r="BA54" s="54"/>
      <c r="BB54" s="54"/>
      <c r="BC54" s="54"/>
    </row>
    <row r="55" spans="1:256" ht="15.75">
      <c r="A55" s="45"/>
      <c r="B55" s="1665"/>
      <c r="C55" s="2349" t="str">
        <f>"Currency unit: " &amp; Currency</f>
        <v>Currency unit: bn EUR</v>
      </c>
      <c r="D55" s="2353"/>
      <c r="E55" s="2351"/>
      <c r="F55" s="2354"/>
      <c r="G55" s="2351"/>
      <c r="H55" s="2351"/>
      <c r="I55" s="2351"/>
      <c r="J55" s="2354"/>
      <c r="K55" s="2352"/>
      <c r="L55" s="133"/>
      <c r="M55" s="135"/>
      <c r="N55" s="133"/>
      <c r="O55" s="133"/>
      <c r="P55" s="54"/>
      <c r="Q55" s="54"/>
      <c r="R55" s="54"/>
      <c r="S55" s="60"/>
      <c r="T55" s="63" t="str">
        <f>"Currency unit: " &amp; Currency</f>
        <v>Currency unit: bn EUR</v>
      </c>
      <c r="U55" s="67"/>
      <c r="V55" s="65"/>
      <c r="W55" s="68"/>
      <c r="X55" s="2006" t="str">
        <f>$T$4</f>
        <v>2nd storage</v>
      </c>
      <c r="Y55" s="49"/>
      <c r="Z55" s="65"/>
      <c r="AA55" s="68"/>
      <c r="AB55" s="66"/>
      <c r="AC55" s="54"/>
      <c r="AD55" s="54"/>
      <c r="AE55" s="54"/>
      <c r="AF55" s="54"/>
      <c r="AG55" s="54"/>
      <c r="AH55" s="54"/>
      <c r="AI55" s="45"/>
      <c r="AJ55" s="60"/>
      <c r="AK55" s="63" t="str">
        <f>"Currency unit: " &amp; Currency</f>
        <v>Currency unit: bn EUR</v>
      </c>
      <c r="AL55" s="67"/>
      <c r="AM55" s="65"/>
      <c r="AN55" s="68"/>
      <c r="AO55" s="65"/>
      <c r="AP55" s="49"/>
      <c r="AQ55" s="65"/>
      <c r="AR55" s="68"/>
      <c r="AS55" s="66"/>
      <c r="AT55" s="133"/>
      <c r="AU55" s="135"/>
      <c r="AV55" s="133"/>
      <c r="AW55" s="133"/>
      <c r="AX55" s="54"/>
      <c r="AY55" s="54"/>
      <c r="AZ55" s="54"/>
      <c r="BA55" s="54"/>
      <c r="BB55" s="54"/>
      <c r="BC55" s="54"/>
    </row>
    <row r="56" spans="1:256">
      <c r="A56" s="45"/>
      <c r="B56" s="1665"/>
      <c r="C56" s="2355" t="s">
        <v>297</v>
      </c>
      <c r="D56" s="2351"/>
      <c r="E56" s="2351"/>
      <c r="F56" s="2351"/>
      <c r="G56" s="2351"/>
      <c r="H56" s="2351"/>
      <c r="I56" s="2351"/>
      <c r="J56" s="2354"/>
      <c r="K56" s="2352"/>
      <c r="L56" s="133"/>
      <c r="M56" s="135"/>
      <c r="N56" s="135"/>
      <c r="O56" s="133"/>
      <c r="P56" s="54"/>
      <c r="Q56" s="54"/>
      <c r="R56" s="54"/>
      <c r="S56" s="60"/>
      <c r="T56" s="69" t="s">
        <v>297</v>
      </c>
      <c r="U56" s="65"/>
      <c r="V56" s="65"/>
      <c r="W56" s="65"/>
      <c r="X56" s="65"/>
      <c r="Y56" s="49"/>
      <c r="Z56" s="65"/>
      <c r="AA56" s="68"/>
      <c r="AB56" s="66"/>
      <c r="AC56" s="54"/>
      <c r="AD56" s="54"/>
      <c r="AE56" s="54"/>
      <c r="AF56" s="54"/>
      <c r="AG56" s="54"/>
      <c r="AH56" s="54"/>
      <c r="AI56" s="45"/>
      <c r="AJ56" s="60"/>
      <c r="AK56" s="69" t="s">
        <v>297</v>
      </c>
      <c r="AL56" s="65"/>
      <c r="AM56" s="65"/>
      <c r="AN56" s="65"/>
      <c r="AO56" s="65"/>
      <c r="AP56" s="49"/>
      <c r="AQ56" s="65"/>
      <c r="AR56" s="68"/>
      <c r="AS56" s="66"/>
      <c r="AT56" s="133"/>
      <c r="AU56" s="135"/>
      <c r="AV56" s="135"/>
      <c r="AW56" s="133"/>
      <c r="AX56" s="54"/>
      <c r="AY56" s="54"/>
      <c r="AZ56" s="54"/>
      <c r="BA56" s="54"/>
      <c r="BB56" s="54"/>
      <c r="BC56" s="54"/>
    </row>
    <row r="57" spans="1:256" ht="13.5" thickBot="1">
      <c r="A57" s="45"/>
      <c r="B57" s="1665"/>
      <c r="C57" s="2351"/>
      <c r="D57" s="2351"/>
      <c r="E57" s="2351"/>
      <c r="F57" s="2351"/>
      <c r="G57" s="2351"/>
      <c r="H57" s="2351"/>
      <c r="I57" s="3790">
        <f ca="1">NOW()</f>
        <v>43335.58773900463</v>
      </c>
      <c r="J57" s="3790"/>
      <c r="K57" s="2403"/>
      <c r="L57" s="139"/>
      <c r="M57" s="135"/>
      <c r="N57" s="135"/>
      <c r="O57" s="45"/>
      <c r="P57" s="54"/>
      <c r="Q57" s="54"/>
      <c r="R57" s="54"/>
      <c r="S57" s="60"/>
      <c r="T57" s="65"/>
      <c r="U57" s="65"/>
      <c r="V57" s="65"/>
      <c r="W57" s="65"/>
      <c r="X57" s="65"/>
      <c r="Y57" s="49"/>
      <c r="Z57" s="3752">
        <f ca="1">NOW()</f>
        <v>43335.58773900463</v>
      </c>
      <c r="AA57" s="3752"/>
      <c r="AB57" s="138"/>
      <c r="AC57" s="54"/>
      <c r="AD57" s="54"/>
      <c r="AE57" s="54"/>
      <c r="AF57" s="54"/>
      <c r="AG57" s="54"/>
      <c r="AH57" s="54"/>
      <c r="AI57" s="45"/>
      <c r="AJ57" s="60"/>
      <c r="AK57" s="65"/>
      <c r="AL57" s="65"/>
      <c r="AM57" s="65"/>
      <c r="AN57" s="65"/>
      <c r="AO57" s="65"/>
      <c r="AP57" s="49"/>
      <c r="AQ57" s="3752">
        <f ca="1">NOW()</f>
        <v>43335.58773900463</v>
      </c>
      <c r="AR57" s="3752"/>
      <c r="AS57" s="138"/>
      <c r="AT57" s="139"/>
      <c r="AU57" s="135"/>
      <c r="AV57" s="135"/>
      <c r="AW57" s="45"/>
      <c r="AX57" s="54"/>
      <c r="AY57" s="54"/>
      <c r="AZ57" s="54"/>
      <c r="BA57" s="54"/>
      <c r="BB57" s="54"/>
      <c r="BC57" s="54"/>
    </row>
    <row r="58" spans="1:256">
      <c r="A58" s="45"/>
      <c r="B58" s="1665"/>
      <c r="C58" s="2357"/>
      <c r="D58" s="2358"/>
      <c r="E58" s="2404" t="s">
        <v>297</v>
      </c>
      <c r="F58" s="3752">
        <f>E16</f>
        <v>2016</v>
      </c>
      <c r="G58" s="3752"/>
      <c r="H58" s="2360">
        <f>F58+1</f>
        <v>2017</v>
      </c>
      <c r="I58" s="2360">
        <f>H58+1</f>
        <v>2018</v>
      </c>
      <c r="J58" s="2361">
        <f>I58+1</f>
        <v>2019</v>
      </c>
      <c r="K58" s="2362"/>
      <c r="L58" s="143"/>
      <c r="M58" s="135"/>
      <c r="N58" s="135"/>
      <c r="O58" s="45"/>
      <c r="P58" s="54"/>
      <c r="Q58" s="54"/>
      <c r="R58" s="54"/>
      <c r="S58" s="60"/>
      <c r="T58" s="72"/>
      <c r="U58" s="73"/>
      <c r="V58" s="142" t="s">
        <v>297</v>
      </c>
      <c r="W58" s="3752">
        <f>Last_forecast_year - 3</f>
        <v>2016</v>
      </c>
      <c r="X58" s="3752"/>
      <c r="Y58" s="75">
        <f>W58+1</f>
        <v>2017</v>
      </c>
      <c r="Z58" s="75">
        <f>Y58+1</f>
        <v>2018</v>
      </c>
      <c r="AA58" s="1675">
        <f>Z58+1</f>
        <v>2019</v>
      </c>
      <c r="AB58" s="76"/>
      <c r="AC58" s="54"/>
      <c r="AD58" s="54"/>
      <c r="AE58" s="54"/>
      <c r="AF58" s="54"/>
      <c r="AG58" s="54"/>
      <c r="AH58" s="54"/>
      <c r="AI58" s="45"/>
      <c r="AJ58" s="60"/>
      <c r="AK58" s="72"/>
      <c r="AL58" s="73"/>
      <c r="AM58" s="142" t="s">
        <v>297</v>
      </c>
      <c r="AN58" s="3752">
        <f>Last_forecast_year - 3</f>
        <v>2016</v>
      </c>
      <c r="AO58" s="3752"/>
      <c r="AP58" s="75">
        <f>AN58+1</f>
        <v>2017</v>
      </c>
      <c r="AQ58" s="75">
        <f>AP58+1</f>
        <v>2018</v>
      </c>
      <c r="AR58" s="1675">
        <f>AQ58+1</f>
        <v>2019</v>
      </c>
      <c r="AS58" s="76"/>
      <c r="AT58" s="143"/>
      <c r="AU58" s="135"/>
      <c r="AV58" s="135"/>
      <c r="AW58" s="45"/>
      <c r="AX58" s="54"/>
      <c r="AY58" s="54"/>
      <c r="AZ58" s="54"/>
      <c r="BA58" s="54"/>
      <c r="BB58" s="54"/>
      <c r="BC58" s="54"/>
    </row>
    <row r="59" spans="1:256">
      <c r="A59" s="45"/>
      <c r="B59" s="1665"/>
      <c r="C59" s="1666"/>
      <c r="D59" s="2351"/>
      <c r="E59" s="2406" t="s">
        <v>1770</v>
      </c>
      <c r="F59" s="2347" t="s">
        <v>298</v>
      </c>
      <c r="G59" s="3752" t="s">
        <v>647</v>
      </c>
      <c r="H59" s="3752"/>
      <c r="I59" s="3752"/>
      <c r="J59" s="3752"/>
      <c r="K59" s="2363"/>
      <c r="L59" s="147"/>
      <c r="M59" s="135"/>
      <c r="N59" s="135"/>
      <c r="O59" s="45"/>
      <c r="P59" s="54"/>
      <c r="Q59" s="54"/>
      <c r="R59" s="54"/>
      <c r="S59" s="60"/>
      <c r="T59" s="40"/>
      <c r="U59" s="65"/>
      <c r="V59" s="146" t="s">
        <v>1770</v>
      </c>
      <c r="W59" s="126" t="s">
        <v>298</v>
      </c>
      <c r="X59" s="3752" t="s">
        <v>647</v>
      </c>
      <c r="Y59" s="3752"/>
      <c r="Z59" s="3752"/>
      <c r="AA59" s="3752"/>
      <c r="AB59" s="77"/>
      <c r="AC59" s="54"/>
      <c r="AD59" s="54"/>
      <c r="AE59" s="54"/>
      <c r="AF59" s="54"/>
      <c r="AG59" s="54"/>
      <c r="AH59" s="54"/>
      <c r="AI59" s="45"/>
      <c r="AJ59" s="60"/>
      <c r="AK59" s="40"/>
      <c r="AL59" s="65"/>
      <c r="AM59" s="146" t="s">
        <v>1770</v>
      </c>
      <c r="AN59" s="126" t="s">
        <v>298</v>
      </c>
      <c r="AO59" s="3752" t="s">
        <v>647</v>
      </c>
      <c r="AP59" s="3752"/>
      <c r="AQ59" s="3752"/>
      <c r="AR59" s="3752"/>
      <c r="AS59" s="77"/>
      <c r="AT59" s="147"/>
      <c r="AU59" s="135"/>
      <c r="AV59" s="135"/>
      <c r="AW59" s="45"/>
      <c r="AX59" s="54"/>
      <c r="AY59" s="54"/>
      <c r="AZ59" s="54"/>
      <c r="BA59" s="54"/>
      <c r="BB59" s="54"/>
      <c r="BC59" s="54"/>
    </row>
    <row r="60" spans="1:256">
      <c r="A60" s="45"/>
      <c r="B60" s="1665"/>
      <c r="C60" s="2407" t="s">
        <v>525</v>
      </c>
      <c r="D60" s="2408"/>
      <c r="E60" s="2409" t="s">
        <v>649</v>
      </c>
      <c r="F60" s="2410" t="s">
        <v>276</v>
      </c>
      <c r="G60" s="2411">
        <f ca="1">((Transfer!D284/Transfer!C284)-1)*100</f>
        <v>4.9353738145373915</v>
      </c>
      <c r="H60" s="2411">
        <f ca="1">((Transfer!E284/Transfer!D284)-1)*100</f>
        <v>3.8909751369404999</v>
      </c>
      <c r="I60" s="2411">
        <f ca="1">((Transfer!F284/Transfer!E284)-1)*100</f>
        <v>3.4999999999999698</v>
      </c>
      <c r="J60" s="2412">
        <f ca="1">((Transfer!G284/Transfer!F284)-1)*100</f>
        <v>3.2999999999999918</v>
      </c>
      <c r="K60" s="2368"/>
      <c r="L60" s="150"/>
      <c r="M60" s="135"/>
      <c r="N60" s="135"/>
      <c r="O60" s="45"/>
      <c r="P60" s="54"/>
      <c r="Q60" s="54"/>
      <c r="R60" s="54"/>
      <c r="S60" s="60"/>
      <c r="T60" s="148" t="s">
        <v>525</v>
      </c>
      <c r="U60" s="57"/>
      <c r="V60" s="149" t="s">
        <v>649</v>
      </c>
      <c r="W60" s="2008" t="e">
        <f t="shared" ref="W60:AA63" si="4">ROUND(F60,1)-ROUND(AN60,1)</f>
        <v>#VALUE!</v>
      </c>
      <c r="X60" s="2008">
        <f t="shared" ca="1" si="4"/>
        <v>1.0000000000000004</v>
      </c>
      <c r="Y60" s="2008">
        <f t="shared" ca="1" si="4"/>
        <v>-0.30000000000000027</v>
      </c>
      <c r="Z60" s="2008">
        <f t="shared" ca="1" si="4"/>
        <v>-0.39999999999999991</v>
      </c>
      <c r="AA60" s="81">
        <f t="shared" ca="1" si="4"/>
        <v>-1.1000000000000005</v>
      </c>
      <c r="AB60" s="82"/>
      <c r="AC60" s="54"/>
      <c r="AD60" s="54"/>
      <c r="AE60" s="54"/>
      <c r="AF60" s="54"/>
      <c r="AG60" s="54"/>
      <c r="AH60" s="54"/>
      <c r="AI60" s="45"/>
      <c r="AJ60" s="60"/>
      <c r="AK60" s="2116" t="s">
        <v>525</v>
      </c>
      <c r="AL60" s="2117"/>
      <c r="AM60" s="2118" t="s">
        <v>649</v>
      </c>
      <c r="AN60" s="2119" t="s">
        <v>276</v>
      </c>
      <c r="AO60" s="2120">
        <f>((Transfer!AD284/Transfer!AC284)-1)*100</f>
        <v>3.9377757420633319</v>
      </c>
      <c r="AP60" s="2120">
        <f>((Transfer!AE284/Transfer!AD284)-1)*100</f>
        <v>4.2000000000000037</v>
      </c>
      <c r="AQ60" s="2120">
        <f>((Transfer!AF284/Transfer!AE284)-1)*100</f>
        <v>3.8999999999999924</v>
      </c>
      <c r="AR60" s="2121">
        <f>((Transfer!AG284/Transfer!AF284)-1)*100</f>
        <v>4.4499999999999762</v>
      </c>
      <c r="AS60" s="82"/>
      <c r="AT60" s="150"/>
      <c r="AU60" s="135"/>
      <c r="AV60" s="135"/>
      <c r="AW60" s="45"/>
      <c r="AX60" s="54"/>
      <c r="AY60" s="54"/>
      <c r="AZ60" s="54"/>
      <c r="BA60" s="1987" t="s">
        <v>359</v>
      </c>
      <c r="BB60" s="54"/>
      <c r="BC60" s="54"/>
    </row>
    <row r="61" spans="1:256">
      <c r="A61" s="45"/>
      <c r="B61" s="1665"/>
      <c r="C61" s="2385" t="s">
        <v>1413</v>
      </c>
      <c r="D61" s="2413"/>
      <c r="E61" s="2414" t="s">
        <v>649</v>
      </c>
      <c r="F61" s="2415" t="s">
        <v>276</v>
      </c>
      <c r="G61" s="2387">
        <f ca="1">((Transfer!D285/Transfer!C285)-1)*100</f>
        <v>1.2923826522888593</v>
      </c>
      <c r="H61" s="2387">
        <f ca="1">((Transfer!E285/Transfer!D285)-1)*100</f>
        <v>1.1589392464896431</v>
      </c>
      <c r="I61" s="2387">
        <f ca="1">((Transfer!F285/Transfer!E285)-1)*100</f>
        <v>1.639999999999997</v>
      </c>
      <c r="J61" s="2389">
        <f ca="1">((Transfer!G285/Transfer!F285)-1)*100</f>
        <v>1.5400000000000302</v>
      </c>
      <c r="K61" s="2368"/>
      <c r="L61" s="150"/>
      <c r="M61" s="135"/>
      <c r="N61" s="135"/>
      <c r="O61" s="45"/>
      <c r="P61" s="54"/>
      <c r="Q61" s="54"/>
      <c r="R61" s="54"/>
      <c r="S61" s="60"/>
      <c r="T61" s="40" t="s">
        <v>1413</v>
      </c>
      <c r="U61" s="65"/>
      <c r="V61" s="152" t="s">
        <v>649</v>
      </c>
      <c r="W61" s="91" t="e">
        <f t="shared" si="4"/>
        <v>#VALUE!</v>
      </c>
      <c r="X61" s="91">
        <f t="shared" ca="1" si="4"/>
        <v>0.70000000000000007</v>
      </c>
      <c r="Y61" s="91">
        <f t="shared" ca="1" si="4"/>
        <v>-0.19999999999999996</v>
      </c>
      <c r="Z61" s="91">
        <f t="shared" ca="1" si="4"/>
        <v>0</v>
      </c>
      <c r="AA61" s="93">
        <f t="shared" ca="1" si="4"/>
        <v>-0.10000000000000009</v>
      </c>
      <c r="AB61" s="82"/>
      <c r="AC61" s="54"/>
      <c r="AD61" s="54"/>
      <c r="AE61" s="54"/>
      <c r="AF61" s="54"/>
      <c r="AG61" s="54"/>
      <c r="AH61" s="54"/>
      <c r="AI61" s="45"/>
      <c r="AJ61" s="60"/>
      <c r="AK61" s="2122" t="s">
        <v>1413</v>
      </c>
      <c r="AL61" s="2123"/>
      <c r="AM61" s="2124" t="s">
        <v>649</v>
      </c>
      <c r="AN61" s="2140" t="s">
        <v>276</v>
      </c>
      <c r="AO61" s="2113">
        <f>((Transfer!AD285/Transfer!AC285)-1)*100</f>
        <v>0.59336176525126572</v>
      </c>
      <c r="AP61" s="2113">
        <f>((Transfer!AE285/Transfer!AD285)-1)*100</f>
        <v>1.4000000000000012</v>
      </c>
      <c r="AQ61" s="2113">
        <f>((Transfer!AF285/Transfer!AE285)-1)*100</f>
        <v>1.6000000000000014</v>
      </c>
      <c r="AR61" s="2115">
        <f>((Transfer!AG285/Transfer!AF285)-1)*100</f>
        <v>1.6000000000000014</v>
      </c>
      <c r="AS61" s="82"/>
      <c r="AT61" s="150"/>
      <c r="AU61" s="135"/>
      <c r="AV61" s="135"/>
      <c r="AW61" s="45"/>
      <c r="AX61" s="54"/>
      <c r="AY61" s="54"/>
      <c r="AZ61" s="54"/>
      <c r="BA61" s="1988" t="s">
        <v>360</v>
      </c>
      <c r="BB61" s="54"/>
      <c r="BC61" s="54"/>
    </row>
    <row r="62" spans="1:256">
      <c r="A62" s="45"/>
      <c r="B62" s="1665"/>
      <c r="C62" s="2385" t="s">
        <v>1414</v>
      </c>
      <c r="D62" s="2413"/>
      <c r="E62" s="2414" t="s">
        <v>1836</v>
      </c>
      <c r="F62" s="2415" t="s">
        <v>276</v>
      </c>
      <c r="G62" s="2387">
        <f ca="1">((Transfer!D286/Transfer!C286)-1)*100</f>
        <v>-0.47086618171282568</v>
      </c>
      <c r="H62" s="2387">
        <f ca="1">((Transfer!E286/Transfer!D286)-1)*100</f>
        <v>7.3037703461852344</v>
      </c>
      <c r="I62" s="2387">
        <f ca="1">((Transfer!F286/Transfer!E286)-1)*100</f>
        <v>6.6757596465201408</v>
      </c>
      <c r="J62" s="2389">
        <f ca="1">((Transfer!G286/Transfer!F286)-1)*100</f>
        <v>4.0805171917847716</v>
      </c>
      <c r="K62" s="2368"/>
      <c r="L62" s="150"/>
      <c r="M62" s="135"/>
      <c r="N62" s="135"/>
      <c r="O62" s="45"/>
      <c r="P62" s="54"/>
      <c r="Q62" s="54"/>
      <c r="R62" s="54"/>
      <c r="S62" s="60"/>
      <c r="T62" s="40" t="s">
        <v>1414</v>
      </c>
      <c r="U62" s="65"/>
      <c r="V62" s="152" t="s">
        <v>1836</v>
      </c>
      <c r="W62" s="91" t="e">
        <f t="shared" si="4"/>
        <v>#VALUE!</v>
      </c>
      <c r="X62" s="91">
        <f t="shared" ca="1" si="4"/>
        <v>3.1</v>
      </c>
      <c r="Y62" s="91">
        <f t="shared" ca="1" si="4"/>
        <v>2.3999999999999995</v>
      </c>
      <c r="Z62" s="91">
        <f t="shared" ca="1" si="4"/>
        <v>-9.9999999999999645E-2</v>
      </c>
      <c r="AA62" s="93">
        <f t="shared" ca="1" si="4"/>
        <v>-2.7</v>
      </c>
      <c r="AB62" s="82"/>
      <c r="AC62" s="54"/>
      <c r="AD62" s="54"/>
      <c r="AE62" s="54"/>
      <c r="AF62" s="54"/>
      <c r="AG62" s="54"/>
      <c r="AH62" s="54"/>
      <c r="AI62" s="45"/>
      <c r="AJ62" s="60"/>
      <c r="AK62" s="2122" t="s">
        <v>1414</v>
      </c>
      <c r="AL62" s="2123"/>
      <c r="AM62" s="2124" t="s">
        <v>1836</v>
      </c>
      <c r="AN62" s="2140" t="s">
        <v>276</v>
      </c>
      <c r="AO62" s="2113">
        <f>((Transfer!AD286/Transfer!AC286)-1)*100</f>
        <v>-3.6072158443441804</v>
      </c>
      <c r="AP62" s="2113">
        <f>((Transfer!AE286/Transfer!AD286)-1)*100</f>
        <v>4.8738717027290601</v>
      </c>
      <c r="AQ62" s="2113">
        <f>((Transfer!AF286/Transfer!AE286)-1)*100</f>
        <v>6.7721721252337996</v>
      </c>
      <c r="AR62" s="2115">
        <f>((Transfer!AG286/Transfer!AF286)-1)*100</f>
        <v>6.8297691935189198</v>
      </c>
      <c r="AS62" s="82"/>
      <c r="AT62" s="150"/>
      <c r="AU62" s="135"/>
      <c r="AV62" s="135"/>
      <c r="AW62" s="45"/>
      <c r="AX62" s="54"/>
      <c r="AY62" s="54"/>
      <c r="AZ62" s="54"/>
      <c r="BA62" s="1988" t="s">
        <v>2049</v>
      </c>
      <c r="BB62" s="54"/>
      <c r="BC62" s="54"/>
    </row>
    <row r="63" spans="1:256">
      <c r="A63" s="45"/>
      <c r="B63" s="1665"/>
      <c r="C63" s="2416" t="s">
        <v>1965</v>
      </c>
      <c r="D63" s="2417"/>
      <c r="E63" s="2418"/>
      <c r="F63" s="2419" t="s">
        <v>276</v>
      </c>
      <c r="G63" s="2420">
        <f ca="1">+Transfer!D307/Transfer!C307*100-100</f>
        <v>3.2424954432991342</v>
      </c>
      <c r="H63" s="2420">
        <f ca="1">+Transfer!E307/Transfer!D307*100-100</f>
        <v>4.0669329752588226</v>
      </c>
      <c r="I63" s="2420">
        <f ca="1">+Transfer!F307/Transfer!E307*100-100</f>
        <v>3.7928010131768559</v>
      </c>
      <c r="J63" s="2421">
        <f ca="1">+Transfer!G307/Transfer!F307*100-100</f>
        <v>3.1620189999437258</v>
      </c>
      <c r="K63" s="2372"/>
      <c r="L63" s="157"/>
      <c r="M63" s="135"/>
      <c r="N63" s="135"/>
      <c r="O63" s="45"/>
      <c r="P63" s="54"/>
      <c r="Q63" s="54"/>
      <c r="R63" s="54"/>
      <c r="S63" s="60"/>
      <c r="T63" s="154" t="s">
        <v>1965</v>
      </c>
      <c r="U63" s="115"/>
      <c r="V63" s="155"/>
      <c r="W63" s="156" t="e">
        <f t="shared" si="4"/>
        <v>#VALUE!</v>
      </c>
      <c r="X63" s="290">
        <f t="shared" ca="1" si="4"/>
        <v>1.3000000000000003</v>
      </c>
      <c r="Y63" s="290">
        <f t="shared" ca="1" si="4"/>
        <v>0.29999999999999982</v>
      </c>
      <c r="Z63" s="290">
        <f t="shared" ca="1" si="4"/>
        <v>-0.20000000000000018</v>
      </c>
      <c r="AA63" s="317">
        <f t="shared" ca="1" si="4"/>
        <v>-1.2000000000000002</v>
      </c>
      <c r="AB63" s="85"/>
      <c r="AC63" s="54"/>
      <c r="AD63" s="54"/>
      <c r="AE63" s="54"/>
      <c r="AF63" s="54"/>
      <c r="AG63" s="54"/>
      <c r="AH63" s="54"/>
      <c r="AI63" s="45"/>
      <c r="AJ63" s="60"/>
      <c r="AK63" s="2161" t="s">
        <v>1965</v>
      </c>
      <c r="AL63" s="2162"/>
      <c r="AM63" s="2163"/>
      <c r="AN63" s="2164" t="s">
        <v>276</v>
      </c>
      <c r="AO63" s="2165">
        <f>+Transfer!AD307/Transfer!AC307*100-100</f>
        <v>1.9436864633977535</v>
      </c>
      <c r="AP63" s="2165">
        <f>+Transfer!AE307/Transfer!AD307*100-100</f>
        <v>3.8102014245667561</v>
      </c>
      <c r="AQ63" s="2165">
        <f>+Transfer!AF307/Transfer!AE307*100-100</f>
        <v>3.9944822673460294</v>
      </c>
      <c r="AR63" s="2166">
        <f>+Transfer!AG307/Transfer!AF307*100-100</f>
        <v>4.39188186677994</v>
      </c>
      <c r="AS63" s="85"/>
      <c r="AT63" s="157"/>
      <c r="AU63" s="135"/>
      <c r="AV63" s="135"/>
      <c r="AW63" s="45"/>
      <c r="AX63" s="54"/>
      <c r="AY63" s="54"/>
      <c r="AZ63" s="54"/>
      <c r="BA63" s="1988" t="s">
        <v>361</v>
      </c>
      <c r="BB63" s="54"/>
      <c r="BC63" s="54"/>
    </row>
    <row r="64" spans="1:256">
      <c r="A64" s="45"/>
      <c r="B64" s="1665"/>
      <c r="C64" s="2407" t="s">
        <v>862</v>
      </c>
      <c r="D64" s="2408"/>
      <c r="E64" s="2409" t="s">
        <v>1837</v>
      </c>
      <c r="F64" s="2410" t="s">
        <v>276</v>
      </c>
      <c r="G64" s="2410" t="s">
        <v>276</v>
      </c>
      <c r="H64" s="2410" t="s">
        <v>276</v>
      </c>
      <c r="I64" s="2410" t="s">
        <v>276</v>
      </c>
      <c r="J64" s="2412" t="s">
        <v>276</v>
      </c>
      <c r="K64" s="2368"/>
      <c r="L64" s="150"/>
      <c r="M64" s="135"/>
      <c r="N64" s="135"/>
      <c r="O64" s="45"/>
      <c r="P64" s="54"/>
      <c r="Q64" s="54"/>
      <c r="R64" s="54"/>
      <c r="S64" s="60"/>
      <c r="T64" s="99" t="s">
        <v>862</v>
      </c>
      <c r="U64" s="100"/>
      <c r="V64" s="161"/>
      <c r="W64" s="2008"/>
      <c r="X64" s="2008"/>
      <c r="Y64" s="2008"/>
      <c r="Z64" s="2008"/>
      <c r="AA64" s="81"/>
      <c r="AB64" s="82"/>
      <c r="AC64" s="54"/>
      <c r="AD64" s="54"/>
      <c r="AE64" s="54"/>
      <c r="AF64" s="54"/>
      <c r="AG64" s="54"/>
      <c r="AH64" s="54"/>
      <c r="AI64" s="45"/>
      <c r="AJ64" s="60"/>
      <c r="AK64" s="2116" t="s">
        <v>862</v>
      </c>
      <c r="AL64" s="2117"/>
      <c r="AM64" s="2118"/>
      <c r="AN64" s="2410" t="s">
        <v>276</v>
      </c>
      <c r="AO64" s="2410" t="s">
        <v>276</v>
      </c>
      <c r="AP64" s="2410" t="s">
        <v>276</v>
      </c>
      <c r="AQ64" s="2410" t="s">
        <v>276</v>
      </c>
      <c r="AR64" s="2412" t="s">
        <v>276</v>
      </c>
      <c r="AS64" s="82"/>
      <c r="AT64" s="150"/>
      <c r="AU64" s="135"/>
      <c r="AV64" s="135"/>
      <c r="AW64" s="45"/>
      <c r="AX64" s="54"/>
      <c r="AY64" s="54"/>
      <c r="AZ64" s="54"/>
      <c r="BA64" s="1989"/>
      <c r="BB64" s="54"/>
      <c r="BC64" s="54"/>
    </row>
    <row r="65" spans="1:55">
      <c r="A65" s="45"/>
      <c r="B65" s="1665"/>
      <c r="C65" s="2416" t="s">
        <v>865</v>
      </c>
      <c r="D65" s="2417"/>
      <c r="E65" s="2418"/>
      <c r="F65" s="2419" t="s">
        <v>276</v>
      </c>
      <c r="G65" s="2420">
        <f ca="1">+Transfer!D310/Transfer!C310*100-100</f>
        <v>2.4057475537799604</v>
      </c>
      <c r="H65" s="2420">
        <f ca="1">+Transfer!E310/Transfer!D310*100-100</f>
        <v>4.135763612603796</v>
      </c>
      <c r="I65" s="2420">
        <f ca="1">+Transfer!F310/Transfer!E310*100-100</f>
        <v>3.8526423187648078</v>
      </c>
      <c r="J65" s="2421">
        <f ca="1">+Transfer!G310/Transfer!F310*100-100</f>
        <v>3.2087346542352861</v>
      </c>
      <c r="K65" s="2372"/>
      <c r="L65" s="157"/>
      <c r="M65" s="135"/>
      <c r="N65" s="135"/>
      <c r="O65" s="45"/>
      <c r="P65" s="54"/>
      <c r="Q65" s="54"/>
      <c r="R65" s="54"/>
      <c r="S65" s="60"/>
      <c r="T65" s="159" t="s">
        <v>865</v>
      </c>
      <c r="U65" s="95"/>
      <c r="V65" s="160"/>
      <c r="W65" s="290" t="e">
        <f t="shared" ref="W65:AA73" si="5">ROUND(F65,1)-ROUND(AN65,1)</f>
        <v>#VALUE!</v>
      </c>
      <c r="X65" s="290">
        <f t="shared" ca="1" si="5"/>
        <v>2.9</v>
      </c>
      <c r="Y65" s="290">
        <f t="shared" ca="1" si="5"/>
        <v>0.39999999999999947</v>
      </c>
      <c r="Z65" s="290">
        <f t="shared" ca="1" si="5"/>
        <v>0</v>
      </c>
      <c r="AA65" s="317">
        <f t="shared" ca="1" si="5"/>
        <v>-1.0999999999999996</v>
      </c>
      <c r="AB65" s="85"/>
      <c r="AC65" s="54"/>
      <c r="AD65" s="54"/>
      <c r="AE65" s="54"/>
      <c r="AF65" s="54"/>
      <c r="AG65" s="54"/>
      <c r="AH65" s="54"/>
      <c r="AI65" s="45"/>
      <c r="AJ65" s="60"/>
      <c r="AK65" s="2161" t="s">
        <v>865</v>
      </c>
      <c r="AL65" s="2162"/>
      <c r="AM65" s="2163"/>
      <c r="AN65" s="2164" t="s">
        <v>276</v>
      </c>
      <c r="AO65" s="2165">
        <f>+Transfer!AD310/Transfer!AC310*100-100</f>
        <v>-0.51822433466152518</v>
      </c>
      <c r="AP65" s="2165">
        <f>+Transfer!AE310/Transfer!AD310*100-100</f>
        <v>3.7462347992008915</v>
      </c>
      <c r="AQ65" s="2165">
        <f>+Transfer!AF310/Transfer!AE310*100-100</f>
        <v>3.9308271475650258</v>
      </c>
      <c r="AR65" s="2166">
        <f>+Transfer!AG310/Transfer!AF310*100-100</f>
        <v>4.3259787132405449</v>
      </c>
      <c r="AS65" s="85"/>
      <c r="AT65" s="157"/>
      <c r="AU65" s="135"/>
      <c r="AV65" s="135"/>
      <c r="AW65" s="45"/>
      <c r="AX65" s="54"/>
      <c r="AY65" s="54"/>
      <c r="AZ65" s="54"/>
      <c r="BA65" s="1988" t="s">
        <v>362</v>
      </c>
      <c r="BB65" s="54"/>
      <c r="BC65" s="54"/>
    </row>
    <row r="66" spans="1:55">
      <c r="A66" s="45"/>
      <c r="B66" s="1665"/>
      <c r="C66" s="2407" t="s">
        <v>1113</v>
      </c>
      <c r="D66" s="2408"/>
      <c r="E66" s="2409" t="s">
        <v>491</v>
      </c>
      <c r="F66" s="2410" t="s">
        <v>276</v>
      </c>
      <c r="G66" s="2411">
        <f ca="1">+Transfer!D313/Transfer!C313*100-100</f>
        <v>3.4546244444509711</v>
      </c>
      <c r="H66" s="2411">
        <f ca="1">+Transfer!E313/Transfer!D313*100-100</f>
        <v>13.238498222730868</v>
      </c>
      <c r="I66" s="2411">
        <f ca="1">+Transfer!F313/Transfer!E313*100-100</f>
        <v>5.5162869137066224</v>
      </c>
      <c r="J66" s="2412">
        <f ca="1">+Transfer!G313/Transfer!F313*100-100</f>
        <v>4.4245927876736033</v>
      </c>
      <c r="K66" s="2368"/>
      <c r="L66" s="150"/>
      <c r="M66" s="135"/>
      <c r="N66" s="135"/>
      <c r="O66" s="45"/>
      <c r="P66" s="54"/>
      <c r="Q66" s="54"/>
      <c r="R66" s="54"/>
      <c r="S66" s="60"/>
      <c r="T66" s="99" t="s">
        <v>1113</v>
      </c>
      <c r="U66" s="100"/>
      <c r="V66" s="161" t="s">
        <v>491</v>
      </c>
      <c r="W66" s="2008" t="e">
        <f t="shared" si="5"/>
        <v>#VALUE!</v>
      </c>
      <c r="X66" s="2008">
        <f t="shared" ca="1" si="5"/>
        <v>-8.3000000000000007</v>
      </c>
      <c r="Y66" s="2008">
        <f t="shared" ca="1" si="5"/>
        <v>7.2999999999999989</v>
      </c>
      <c r="Z66" s="2008">
        <f t="shared" ca="1" si="5"/>
        <v>-1.2000000000000002</v>
      </c>
      <c r="AA66" s="81">
        <f t="shared" ca="1" si="5"/>
        <v>-2.5</v>
      </c>
      <c r="AB66" s="82"/>
      <c r="AC66" s="54"/>
      <c r="AD66" s="54"/>
      <c r="AE66" s="54"/>
      <c r="AF66" s="54"/>
      <c r="AG66" s="54"/>
      <c r="AH66" s="54"/>
      <c r="AI66" s="45"/>
      <c r="AJ66" s="60"/>
      <c r="AK66" s="2116" t="s">
        <v>1113</v>
      </c>
      <c r="AL66" s="2117"/>
      <c r="AM66" s="2118" t="s">
        <v>491</v>
      </c>
      <c r="AN66" s="2119" t="s">
        <v>276</v>
      </c>
      <c r="AO66" s="2120">
        <f>+Transfer!AD313/Transfer!AC313*100-100</f>
        <v>11.778114507111752</v>
      </c>
      <c r="AP66" s="2120">
        <f>+Transfer!AE313/Transfer!AD313*100-100</f>
        <v>5.9334222979003073</v>
      </c>
      <c r="AQ66" s="2120">
        <f>+Transfer!AF313/Transfer!AE313*100-100</f>
        <v>6.7168802835212631</v>
      </c>
      <c r="AR66" s="2121">
        <f>+Transfer!AG313/Transfer!AF313*100-100</f>
        <v>6.9008102318035753</v>
      </c>
      <c r="AS66" s="82"/>
      <c r="AT66" s="150"/>
      <c r="AU66" s="135"/>
      <c r="AV66" s="135"/>
      <c r="AW66" s="45"/>
      <c r="AX66" s="54"/>
      <c r="AY66" s="54"/>
      <c r="AZ66" s="54"/>
      <c r="BA66" s="1989" t="s">
        <v>363</v>
      </c>
      <c r="BB66" s="54"/>
      <c r="BC66" s="54"/>
    </row>
    <row r="67" spans="1:55">
      <c r="A67" s="45"/>
      <c r="B67" s="1665"/>
      <c r="C67" s="2423" t="s">
        <v>863</v>
      </c>
      <c r="D67" s="2386"/>
      <c r="E67" s="2424" t="s">
        <v>2068</v>
      </c>
      <c r="F67" s="2388" t="s">
        <v>276</v>
      </c>
      <c r="G67" s="2387">
        <f ca="1">((Transfer!D291/Transfer!C291)-1)*100</f>
        <v>1.3673353587009052</v>
      </c>
      <c r="H67" s="2387">
        <f ca="1">((Transfer!E291/Transfer!D291)-1)*100</f>
        <v>12.210331962525679</v>
      </c>
      <c r="I67" s="2387">
        <f ca="1">((Transfer!F291/Transfer!E291)-1)*100</f>
        <v>5.2000000000000046</v>
      </c>
      <c r="J67" s="2389">
        <f ca="1">((Transfer!G291/Transfer!F291)-1)*100</f>
        <v>4.4000000000000261</v>
      </c>
      <c r="K67" s="2390"/>
      <c r="L67" s="150"/>
      <c r="M67" s="135"/>
      <c r="N67" s="135"/>
      <c r="O67" s="45"/>
      <c r="P67" s="54"/>
      <c r="Q67" s="54"/>
      <c r="R67" s="54"/>
      <c r="S67" s="60"/>
      <c r="T67" s="162" t="s">
        <v>863</v>
      </c>
      <c r="U67" s="102"/>
      <c r="V67" s="163" t="s">
        <v>2068</v>
      </c>
      <c r="W67" s="91" t="e">
        <f t="shared" si="5"/>
        <v>#VALUE!</v>
      </c>
      <c r="X67" s="91">
        <f t="shared" ca="1" si="5"/>
        <v>-9</v>
      </c>
      <c r="Y67" s="91">
        <f t="shared" ca="1" si="5"/>
        <v>6.1999999999999993</v>
      </c>
      <c r="Z67" s="91">
        <f t="shared" ca="1" si="5"/>
        <v>-1.7000000000000002</v>
      </c>
      <c r="AA67" s="93">
        <f t="shared" ca="1" si="5"/>
        <v>-2.6999999999999993</v>
      </c>
      <c r="AB67" s="103"/>
      <c r="AC67" s="54"/>
      <c r="AD67" s="54"/>
      <c r="AE67" s="54"/>
      <c r="AF67" s="54"/>
      <c r="AG67" s="54"/>
      <c r="AH67" s="54"/>
      <c r="AI67" s="45"/>
      <c r="AJ67" s="60"/>
      <c r="AK67" s="2125" t="s">
        <v>863</v>
      </c>
      <c r="AL67" s="2112"/>
      <c r="AM67" s="2126" t="s">
        <v>2068</v>
      </c>
      <c r="AN67" s="2114" t="s">
        <v>276</v>
      </c>
      <c r="AO67" s="2113">
        <f>((Transfer!AD291/Transfer!AC291)-1)*100</f>
        <v>10.368962163752649</v>
      </c>
      <c r="AP67" s="2113">
        <f>((Transfer!AE291/Transfer!AD291)-1)*100</f>
        <v>6.0000000000000053</v>
      </c>
      <c r="AQ67" s="2113">
        <f>((Transfer!AF291/Transfer!AE291)-1)*100</f>
        <v>6.8999999999999728</v>
      </c>
      <c r="AR67" s="2115">
        <f>((Transfer!AG291/Transfer!AF291)-1)*100</f>
        <v>7.099999999999973</v>
      </c>
      <c r="AS67" s="103"/>
      <c r="AT67" s="150"/>
      <c r="AU67" s="135"/>
      <c r="AV67" s="135"/>
      <c r="AW67" s="45"/>
      <c r="AX67" s="54"/>
      <c r="AY67" s="54"/>
      <c r="AZ67" s="54"/>
      <c r="BA67" s="1988" t="s">
        <v>364</v>
      </c>
      <c r="BB67" s="54"/>
      <c r="BC67" s="54"/>
    </row>
    <row r="68" spans="1:55">
      <c r="A68" s="45"/>
      <c r="B68" s="1665"/>
      <c r="C68" s="2423" t="s">
        <v>864</v>
      </c>
      <c r="D68" s="2386"/>
      <c r="E68" s="2424" t="s">
        <v>468</v>
      </c>
      <c r="F68" s="2388" t="s">
        <v>276</v>
      </c>
      <c r="G68" s="2387">
        <f ca="1">((Transfer!D292/Transfer!C292)-1)*100</f>
        <v>11.121385987403954</v>
      </c>
      <c r="H68" s="2387">
        <f ca="1">((Transfer!E292/Transfer!D292)-1)*100</f>
        <v>16.52066600259743</v>
      </c>
      <c r="I68" s="2387">
        <f ca="1">((Transfer!F292/Transfer!E292)-1)*100</f>
        <v>6.4999999999999947</v>
      </c>
      <c r="J68" s="2389">
        <f ca="1">((Transfer!G292/Transfer!F292)-1)*100</f>
        <v>4.4999999999999929</v>
      </c>
      <c r="K68" s="2390"/>
      <c r="L68" s="150"/>
      <c r="M68" s="135"/>
      <c r="N68" s="135"/>
      <c r="O68" s="45"/>
      <c r="P68" s="54"/>
      <c r="Q68" s="54"/>
      <c r="R68" s="54"/>
      <c r="S68" s="60"/>
      <c r="T68" s="162" t="s">
        <v>864</v>
      </c>
      <c r="U68" s="102"/>
      <c r="V68" s="163" t="s">
        <v>468</v>
      </c>
      <c r="W68" s="91" t="e">
        <f t="shared" si="5"/>
        <v>#VALUE!</v>
      </c>
      <c r="X68" s="91">
        <f t="shared" ca="1" si="5"/>
        <v>-8.2000000000000011</v>
      </c>
      <c r="Y68" s="91">
        <f t="shared" ca="1" si="5"/>
        <v>10.9</v>
      </c>
      <c r="Z68" s="91">
        <f t="shared" ca="1" si="5"/>
        <v>0.70000000000000018</v>
      </c>
      <c r="AA68" s="93">
        <f t="shared" ca="1" si="5"/>
        <v>-1.4000000000000004</v>
      </c>
      <c r="AB68" s="103"/>
      <c r="AC68" s="54"/>
      <c r="AD68" s="54"/>
      <c r="AE68" s="54"/>
      <c r="AF68" s="54"/>
      <c r="AG68" s="54"/>
      <c r="AH68" s="54"/>
      <c r="AI68" s="45"/>
      <c r="AJ68" s="60"/>
      <c r="AK68" s="2125" t="s">
        <v>864</v>
      </c>
      <c r="AL68" s="2112"/>
      <c r="AM68" s="2126" t="s">
        <v>468</v>
      </c>
      <c r="AN68" s="2114" t="s">
        <v>276</v>
      </c>
      <c r="AO68" s="2113">
        <f>((Transfer!AD292/Transfer!AC292)-1)*100</f>
        <v>19.336168952090759</v>
      </c>
      <c r="AP68" s="2113">
        <f>((Transfer!AE292/Transfer!AD292)-1)*100</f>
        <v>5.600000000000005</v>
      </c>
      <c r="AQ68" s="2113">
        <f>((Transfer!AF292/Transfer!AE292)-1)*100</f>
        <v>5.8000000000000052</v>
      </c>
      <c r="AR68" s="2115">
        <f>((Transfer!AG292/Transfer!AF292)-1)*100</f>
        <v>5.9000000000000163</v>
      </c>
      <c r="AS68" s="103"/>
      <c r="AT68" s="150"/>
      <c r="AU68" s="135"/>
      <c r="AV68" s="135"/>
      <c r="AW68" s="45"/>
      <c r="AX68" s="54"/>
      <c r="AY68" s="54"/>
      <c r="AZ68" s="54"/>
      <c r="BA68" s="1988" t="s">
        <v>365</v>
      </c>
      <c r="BB68" s="54"/>
      <c r="BC68" s="54"/>
    </row>
    <row r="69" spans="1:55">
      <c r="A69" s="45"/>
      <c r="B69" s="1665"/>
      <c r="C69" s="2416" t="s">
        <v>1776</v>
      </c>
      <c r="D69" s="2417"/>
      <c r="E69" s="2418"/>
      <c r="F69" s="2419" t="s">
        <v>276</v>
      </c>
      <c r="G69" s="2420">
        <f ca="1">+Transfer!D316/Transfer!C316*100-100</f>
        <v>2.8568882486175369</v>
      </c>
      <c r="H69" s="2420">
        <f ca="1">+Transfer!E316/Transfer!D316*100-100</f>
        <v>8.0495832029002372</v>
      </c>
      <c r="I69" s="2420">
        <f ca="1">+Transfer!F316/Transfer!E316*100-100</f>
        <v>4.6078041243742973</v>
      </c>
      <c r="J69" s="2421">
        <f ca="1">+Transfer!G316/Transfer!F316*100-100</f>
        <v>3.7640118873977002</v>
      </c>
      <c r="K69" s="2372"/>
      <c r="L69" s="157"/>
      <c r="M69" s="135"/>
      <c r="N69" s="135"/>
      <c r="O69" s="45"/>
      <c r="P69" s="54"/>
      <c r="Q69" s="54"/>
      <c r="R69" s="54"/>
      <c r="S69" s="60"/>
      <c r="T69" s="164" t="s">
        <v>1776</v>
      </c>
      <c r="U69" s="104"/>
      <c r="V69" s="165"/>
      <c r="W69" s="156" t="e">
        <f t="shared" si="5"/>
        <v>#VALUE!</v>
      </c>
      <c r="X69" s="156">
        <f t="shared" ca="1" si="5"/>
        <v>-1.9</v>
      </c>
      <c r="Y69" s="156">
        <f t="shared" ca="1" si="5"/>
        <v>3.3</v>
      </c>
      <c r="Z69" s="156">
        <f t="shared" ca="1" si="5"/>
        <v>-0.60000000000000053</v>
      </c>
      <c r="AA69" s="283">
        <f t="shared" ca="1" si="5"/>
        <v>-1.7000000000000002</v>
      </c>
      <c r="AB69" s="85"/>
      <c r="AC69" s="54"/>
      <c r="AD69" s="54"/>
      <c r="AE69" s="54"/>
      <c r="AF69" s="54"/>
      <c r="AG69" s="54"/>
      <c r="AH69" s="54"/>
      <c r="AI69" s="45"/>
      <c r="AJ69" s="60"/>
      <c r="AK69" s="2161" t="s">
        <v>1776</v>
      </c>
      <c r="AL69" s="2162"/>
      <c r="AM69" s="2163"/>
      <c r="AN69" s="2164" t="s">
        <v>276</v>
      </c>
      <c r="AO69" s="2165">
        <f>+Transfer!AD316/Transfer!AC316*100-100</f>
        <v>4.7588443421731341</v>
      </c>
      <c r="AP69" s="2165">
        <f>+Transfer!AE316/Transfer!AD316*100-100</f>
        <v>4.7488083131674017</v>
      </c>
      <c r="AQ69" s="2165">
        <f>+Transfer!AF316/Transfer!AE316*100-100</f>
        <v>5.2135764091778327</v>
      </c>
      <c r="AR69" s="2166">
        <f>+Transfer!AG316/Transfer!AF316*100-100</f>
        <v>5.5248562395880469</v>
      </c>
      <c r="AS69" s="85"/>
      <c r="AT69" s="157"/>
      <c r="AU69" s="135"/>
      <c r="AV69" s="135"/>
      <c r="AW69" s="45"/>
      <c r="AX69" s="54"/>
      <c r="AY69" s="54"/>
      <c r="AZ69" s="54"/>
      <c r="BA69" s="1988" t="s">
        <v>366</v>
      </c>
      <c r="BB69" s="54"/>
      <c r="BC69" s="54"/>
    </row>
    <row r="70" spans="1:55">
      <c r="A70" s="45"/>
      <c r="B70" s="1665"/>
      <c r="C70" s="2407" t="s">
        <v>1245</v>
      </c>
      <c r="D70" s="2408"/>
      <c r="E70" s="2409" t="s">
        <v>264</v>
      </c>
      <c r="F70" s="2410" t="s">
        <v>276</v>
      </c>
      <c r="G70" s="2411">
        <f ca="1">+Transfer!D319/Transfer!C319*100-100</f>
        <v>3.5277850497208192</v>
      </c>
      <c r="H70" s="2411">
        <f ca="1">+Transfer!E319/Transfer!D319*100-100</f>
        <v>12.812335214460774</v>
      </c>
      <c r="I70" s="2411">
        <f ca="1">+Transfer!F319/Transfer!E319*100-100</f>
        <v>6.4999999999999716</v>
      </c>
      <c r="J70" s="2412">
        <f ca="1">+Transfer!G319/Transfer!F319*100-100</f>
        <v>5.1512076881462718</v>
      </c>
      <c r="K70" s="2368"/>
      <c r="L70" s="150"/>
      <c r="M70" s="135"/>
      <c r="N70" s="135"/>
      <c r="O70" s="45"/>
      <c r="P70" s="54"/>
      <c r="Q70" s="54"/>
      <c r="R70" s="54"/>
      <c r="S70" s="60"/>
      <c r="T70" s="166" t="s">
        <v>1245</v>
      </c>
      <c r="U70" s="57"/>
      <c r="V70" s="149" t="s">
        <v>264</v>
      </c>
      <c r="W70" s="91" t="e">
        <f t="shared" si="5"/>
        <v>#VALUE!</v>
      </c>
      <c r="X70" s="91">
        <f t="shared" ca="1" si="5"/>
        <v>-2.5999999999999996</v>
      </c>
      <c r="Y70" s="91">
        <f t="shared" ca="1" si="5"/>
        <v>6.6000000000000005</v>
      </c>
      <c r="Z70" s="91">
        <f t="shared" ca="1" si="5"/>
        <v>-0.59999999999999964</v>
      </c>
      <c r="AA70" s="93">
        <f t="shared" ca="1" si="5"/>
        <v>-2.2000000000000002</v>
      </c>
      <c r="AB70" s="82"/>
      <c r="AC70" s="54"/>
      <c r="AD70" s="54"/>
      <c r="AE70" s="54"/>
      <c r="AF70" s="54"/>
      <c r="AG70" s="54"/>
      <c r="AH70" s="54"/>
      <c r="AI70" s="45"/>
      <c r="AJ70" s="60"/>
      <c r="AK70" s="2116" t="s">
        <v>1245</v>
      </c>
      <c r="AL70" s="2117"/>
      <c r="AM70" s="2118" t="s">
        <v>264</v>
      </c>
      <c r="AN70" s="2119" t="s">
        <v>276</v>
      </c>
      <c r="AO70" s="2120">
        <f>+Transfer!AD319/Transfer!AC319*100-100</f>
        <v>6.1342034387134703</v>
      </c>
      <c r="AP70" s="2120">
        <f>+Transfer!AE319/Transfer!AD319*100-100</f>
        <v>6.1500342774792927</v>
      </c>
      <c r="AQ70" s="2120">
        <f>+Transfer!AF319/Transfer!AE319*100-100</f>
        <v>7.1250853186673311</v>
      </c>
      <c r="AR70" s="2121">
        <f>+Transfer!AG319/Transfer!AF319*100-100</f>
        <v>7.4010156936979143</v>
      </c>
      <c r="AS70" s="82"/>
      <c r="AT70" s="150"/>
      <c r="AU70" s="135"/>
      <c r="AV70" s="135"/>
      <c r="AW70" s="45"/>
      <c r="AX70" s="54"/>
      <c r="AY70" s="54"/>
      <c r="AZ70" s="54"/>
      <c r="BA70" s="1989" t="s">
        <v>367</v>
      </c>
      <c r="BB70" s="54"/>
      <c r="BC70" s="54"/>
    </row>
    <row r="71" spans="1:55">
      <c r="A71" s="45"/>
      <c r="B71" s="1665"/>
      <c r="C71" s="2423" t="s">
        <v>866</v>
      </c>
      <c r="D71" s="2386"/>
      <c r="E71" s="2424" t="s">
        <v>1326</v>
      </c>
      <c r="F71" s="2388" t="s">
        <v>276</v>
      </c>
      <c r="G71" s="2387">
        <f ca="1">((Transfer!D293/Transfer!C293)-1)*100</f>
        <v>2.9900046588454465</v>
      </c>
      <c r="H71" s="2387">
        <f ca="1">((Transfer!E293/Transfer!D293)-1)*100</f>
        <v>12.748093204046373</v>
      </c>
      <c r="I71" s="2387">
        <f ca="1">((Transfer!F293/Transfer!E293)-1)*100</f>
        <v>6.4999999999999947</v>
      </c>
      <c r="J71" s="2389">
        <f ca="1">((Transfer!G293/Transfer!F293)-1)*100</f>
        <v>5.2000000000000046</v>
      </c>
      <c r="K71" s="2390"/>
      <c r="L71" s="150"/>
      <c r="M71" s="135"/>
      <c r="N71" s="135"/>
      <c r="O71" s="45"/>
      <c r="P71" s="54"/>
      <c r="Q71" s="54"/>
      <c r="R71" s="54"/>
      <c r="S71" s="60"/>
      <c r="T71" s="168" t="s">
        <v>866</v>
      </c>
      <c r="U71" s="105"/>
      <c r="V71" s="169" t="s">
        <v>1326</v>
      </c>
      <c r="W71" s="91" t="e">
        <f t="shared" si="5"/>
        <v>#VALUE!</v>
      </c>
      <c r="X71" s="91">
        <f t="shared" ca="1" si="5"/>
        <v>-1.2999999999999998</v>
      </c>
      <c r="Y71" s="91">
        <f t="shared" ca="1" si="5"/>
        <v>6.4999999999999991</v>
      </c>
      <c r="Z71" s="91">
        <f t="shared" ca="1" si="5"/>
        <v>-0.79999999999999982</v>
      </c>
      <c r="AA71" s="93">
        <f t="shared" ca="1" si="5"/>
        <v>-2.3999999999999995</v>
      </c>
      <c r="AB71" s="103"/>
      <c r="AC71" s="54"/>
      <c r="AD71" s="54"/>
      <c r="AE71" s="54"/>
      <c r="AF71" s="54"/>
      <c r="AG71" s="54"/>
      <c r="AH71" s="54"/>
      <c r="AI71" s="45"/>
      <c r="AJ71" s="60"/>
      <c r="AK71" s="2125" t="s">
        <v>866</v>
      </c>
      <c r="AL71" s="2112"/>
      <c r="AM71" s="2126" t="s">
        <v>1326</v>
      </c>
      <c r="AN71" s="2114" t="s">
        <v>276</v>
      </c>
      <c r="AO71" s="2113">
        <f>((Transfer!AD293/Transfer!AC293)-1)*100</f>
        <v>4.2858447042246395</v>
      </c>
      <c r="AP71" s="2113">
        <f>((Transfer!AE293/Transfer!AD293)-1)*100</f>
        <v>6.2000000000000055</v>
      </c>
      <c r="AQ71" s="2113">
        <f>((Transfer!AF293/Transfer!AE293)-1)*100</f>
        <v>7.2999999999999954</v>
      </c>
      <c r="AR71" s="2115">
        <f>((Transfer!AG293/Transfer!AF293)-1)*100</f>
        <v>7.6000000000000068</v>
      </c>
      <c r="AS71" s="103"/>
      <c r="AT71" s="150"/>
      <c r="AU71" s="135"/>
      <c r="AV71" s="135"/>
      <c r="AW71" s="45"/>
      <c r="AX71" s="54"/>
      <c r="AY71" s="54"/>
      <c r="AZ71" s="54"/>
      <c r="BA71" s="1988" t="s">
        <v>368</v>
      </c>
      <c r="BB71" s="54"/>
      <c r="BC71" s="54"/>
    </row>
    <row r="72" spans="1:55">
      <c r="A72" s="45"/>
      <c r="B72" s="1665"/>
      <c r="C72" s="2423" t="s">
        <v>867</v>
      </c>
      <c r="D72" s="2386"/>
      <c r="E72" s="2424" t="s">
        <v>1327</v>
      </c>
      <c r="F72" s="2388" t="s">
        <v>276</v>
      </c>
      <c r="G72" s="2387">
        <f ca="1">((Transfer!D294/Transfer!C294)-1)*100</f>
        <v>6.5903564992710661</v>
      </c>
      <c r="H72" s="2387">
        <f ca="1">((Transfer!E294/Transfer!D294)-1)*100</f>
        <v>13.143267030777173</v>
      </c>
      <c r="I72" s="2387">
        <f ca="1">((Transfer!F294/Transfer!E294)-1)*100</f>
        <v>6.4999999999999725</v>
      </c>
      <c r="J72" s="2389">
        <f ca="1">((Transfer!G294/Transfer!F294)-1)*100</f>
        <v>4.8999999999999932</v>
      </c>
      <c r="K72" s="2390"/>
      <c r="L72" s="150"/>
      <c r="M72" s="135"/>
      <c r="N72" s="135"/>
      <c r="O72" s="45"/>
      <c r="P72" s="54"/>
      <c r="Q72" s="54"/>
      <c r="R72" s="54"/>
      <c r="S72" s="60"/>
      <c r="T72" s="170" t="s">
        <v>867</v>
      </c>
      <c r="U72" s="171"/>
      <c r="V72" s="172" t="s">
        <v>1327</v>
      </c>
      <c r="W72" s="156" t="e">
        <f t="shared" si="5"/>
        <v>#VALUE!</v>
      </c>
      <c r="X72" s="156">
        <f t="shared" ca="1" si="5"/>
        <v>-14.1</v>
      </c>
      <c r="Y72" s="156">
        <f t="shared" ca="1" si="5"/>
        <v>7.3</v>
      </c>
      <c r="Z72" s="156">
        <f t="shared" ca="1" si="5"/>
        <v>0.59999999999999964</v>
      </c>
      <c r="AA72" s="283">
        <f t="shared" ca="1" si="5"/>
        <v>-1.0999999999999996</v>
      </c>
      <c r="AB72" s="103"/>
      <c r="AC72" s="54"/>
      <c r="AD72" s="54"/>
      <c r="AE72" s="54"/>
      <c r="AF72" s="54"/>
      <c r="AG72" s="54"/>
      <c r="AH72" s="54"/>
      <c r="AI72" s="45"/>
      <c r="AJ72" s="60"/>
      <c r="AK72" s="2125" t="s">
        <v>867</v>
      </c>
      <c r="AL72" s="2112"/>
      <c r="AM72" s="2126" t="s">
        <v>1327</v>
      </c>
      <c r="AN72" s="2114" t="s">
        <v>276</v>
      </c>
      <c r="AO72" s="2113">
        <f>((Transfer!AD294/Transfer!AC294)-1)*100</f>
        <v>20.672855323822127</v>
      </c>
      <c r="AP72" s="2113">
        <f>((Transfer!AE294/Transfer!AD294)-1)*100</f>
        <v>5.8000000000000052</v>
      </c>
      <c r="AQ72" s="2113">
        <f>((Transfer!AF294/Transfer!AE294)-1)*100</f>
        <v>5.8999999999999941</v>
      </c>
      <c r="AR72" s="2115">
        <f>((Transfer!AG294/Transfer!AF294)-1)*100</f>
        <v>6.0000000000000053</v>
      </c>
      <c r="AS72" s="103"/>
      <c r="AT72" s="150"/>
      <c r="AU72" s="135"/>
      <c r="AV72" s="135"/>
      <c r="AW72" s="45"/>
      <c r="AX72" s="54"/>
      <c r="AY72" s="54"/>
      <c r="AZ72" s="54"/>
      <c r="BA72" s="1988" t="s">
        <v>369</v>
      </c>
      <c r="BB72" s="54"/>
      <c r="BC72" s="54"/>
    </row>
    <row r="73" spans="1:55">
      <c r="A73" s="45"/>
      <c r="B73" s="1665"/>
      <c r="C73" s="2425" t="s">
        <v>1777</v>
      </c>
      <c r="D73" s="2426"/>
      <c r="E73" s="2427" t="s">
        <v>1328</v>
      </c>
      <c r="F73" s="2428" t="s">
        <v>276</v>
      </c>
      <c r="G73" s="2429">
        <f ca="1">((Transfer!D295/Transfer!C295)-1)*100</f>
        <v>2.3448829366414126</v>
      </c>
      <c r="H73" s="2429">
        <f ca="1">((Transfer!E295/Transfer!D295)-1)*100</f>
        <v>4.565211033661698</v>
      </c>
      <c r="I73" s="2429">
        <f ca="1">((Transfer!F295/Transfer!E295)-1)*100</f>
        <v>3.1205873424164254</v>
      </c>
      <c r="J73" s="2430">
        <f ca="1">((Transfer!G295/Transfer!F295)-1)*100</f>
        <v>2.6426635456777037</v>
      </c>
      <c r="K73" s="2372"/>
      <c r="L73" s="157"/>
      <c r="M73" s="135"/>
      <c r="N73" s="135"/>
      <c r="O73" s="45"/>
      <c r="P73" s="54"/>
      <c r="Q73" s="54"/>
      <c r="R73" s="54"/>
      <c r="S73" s="60"/>
      <c r="T73" s="173" t="s">
        <v>1777</v>
      </c>
      <c r="U73" s="174"/>
      <c r="V73" s="175" t="s">
        <v>1328</v>
      </c>
      <c r="W73" s="290" t="e">
        <f t="shared" si="5"/>
        <v>#VALUE!</v>
      </c>
      <c r="X73" s="290">
        <f t="shared" ca="1" si="5"/>
        <v>-1.4000000000000004</v>
      </c>
      <c r="Y73" s="290">
        <f t="shared" ca="1" si="5"/>
        <v>0.99999999999999956</v>
      </c>
      <c r="Z73" s="290">
        <f t="shared" ca="1" si="5"/>
        <v>-0.5</v>
      </c>
      <c r="AA73" s="283">
        <f t="shared" ca="1" si="5"/>
        <v>-1.2999999999999998</v>
      </c>
      <c r="AB73" s="85"/>
      <c r="AC73" s="54"/>
      <c r="AD73" s="54"/>
      <c r="AE73" s="54"/>
      <c r="AF73" s="54"/>
      <c r="AG73" s="54"/>
      <c r="AH73" s="54"/>
      <c r="AI73" s="45"/>
      <c r="AJ73" s="60"/>
      <c r="AK73" s="2128" t="s">
        <v>1777</v>
      </c>
      <c r="AL73" s="2129"/>
      <c r="AM73" s="2130" t="s">
        <v>1328</v>
      </c>
      <c r="AN73" s="2131" t="s">
        <v>276</v>
      </c>
      <c r="AO73" s="2132">
        <f>((Transfer!AD295/Transfer!AC295)-1)*100</f>
        <v>3.6592993272815288</v>
      </c>
      <c r="AP73" s="2132">
        <f>((Transfer!AE295/Transfer!AD295)-1)*100</f>
        <v>3.584097298361888</v>
      </c>
      <c r="AQ73" s="2132">
        <f>((Transfer!AF295/Transfer!AE295)-1)*100</f>
        <v>3.6179854244913212</v>
      </c>
      <c r="AR73" s="2133">
        <f>((Transfer!AG295/Transfer!AF295)-1)*100</f>
        <v>3.9239747887909182</v>
      </c>
      <c r="AS73" s="85"/>
      <c r="AT73" s="157"/>
      <c r="AU73" s="135"/>
      <c r="AV73" s="135"/>
      <c r="AW73" s="45"/>
      <c r="AX73" s="54"/>
      <c r="AY73" s="54"/>
      <c r="AZ73" s="54"/>
      <c r="BA73" s="1988" t="s">
        <v>370</v>
      </c>
      <c r="BB73" s="54"/>
      <c r="BC73" s="54"/>
    </row>
    <row r="74" spans="1:55">
      <c r="A74" s="45"/>
      <c r="B74" s="1665"/>
      <c r="C74" s="1666"/>
      <c r="D74" s="2351"/>
      <c r="E74" s="2422"/>
      <c r="F74" s="2431"/>
      <c r="G74" s="3752" t="s">
        <v>1944</v>
      </c>
      <c r="H74" s="3752"/>
      <c r="I74" s="3752"/>
      <c r="J74" s="3752"/>
      <c r="K74" s="2348"/>
      <c r="L74" s="178"/>
      <c r="M74" s="135"/>
      <c r="N74" s="135"/>
      <c r="O74" s="45"/>
      <c r="P74" s="54"/>
      <c r="Q74" s="54"/>
      <c r="R74" s="54"/>
      <c r="S74" s="60"/>
      <c r="T74" s="40"/>
      <c r="U74" s="65"/>
      <c r="V74" s="152"/>
      <c r="W74" s="2010"/>
      <c r="X74" s="3752" t="s">
        <v>1944</v>
      </c>
      <c r="Y74" s="3752"/>
      <c r="Z74" s="3752"/>
      <c r="AA74" s="3752"/>
      <c r="AB74" s="106"/>
      <c r="AC74" s="54"/>
      <c r="AD74" s="54"/>
      <c r="AE74" s="54"/>
      <c r="AF74" s="54"/>
      <c r="AG74" s="54"/>
      <c r="AH74" s="54"/>
      <c r="AI74" s="45"/>
      <c r="AJ74" s="60"/>
      <c r="AK74" s="40"/>
      <c r="AL74" s="65"/>
      <c r="AM74" s="152"/>
      <c r="AN74" s="1984"/>
      <c r="AO74" s="3752" t="s">
        <v>1944</v>
      </c>
      <c r="AP74" s="3752"/>
      <c r="AQ74" s="3752"/>
      <c r="AR74" s="3752"/>
      <c r="AS74" s="106"/>
      <c r="AT74" s="178"/>
      <c r="AU74" s="135"/>
      <c r="AV74" s="135"/>
      <c r="AW74" s="45"/>
      <c r="AX74" s="54"/>
      <c r="AY74" s="54"/>
      <c r="AZ74" s="54"/>
      <c r="BA74" s="1989"/>
      <c r="BB74" s="54"/>
      <c r="BC74" s="54"/>
    </row>
    <row r="75" spans="1:55">
      <c r="A75" s="45"/>
      <c r="B75" s="1665"/>
      <c r="C75" s="2432" t="s">
        <v>1978</v>
      </c>
      <c r="D75" s="2433"/>
      <c r="E75" s="2434"/>
      <c r="F75" s="2435" t="s">
        <v>276</v>
      </c>
      <c r="G75" s="2436">
        <f ca="1">IF(Transfer!$C$280=1,(((Transfer!D101+Transfer!D102+Transfer!D103) - (Transfer!C136+Transfer!C137+Transfer!C138))/Transfer!C147)*100,(((Transfer!D101+Transfer!D102+Transfer!D103) - (Transfer!C101+Transfer!C102+Transfer!C103))/Transfer!C112)*100)</f>
        <v>3.2252565925641221</v>
      </c>
      <c r="H75" s="2436">
        <f ca="1">IF(Transfer!$C$280=1,(((Transfer!E101+Transfer!E102+Transfer!E103) - (Transfer!D136+Transfer!D137+Transfer!D138))/Transfer!D147)*100,(((Transfer!E101+Transfer!E102+Transfer!E103) - (Transfer!D101+Transfer!D102+Transfer!D103))/Transfer!D112)*100)</f>
        <v>4.0822979623685622</v>
      </c>
      <c r="I75" s="2436">
        <f ca="1">IF(Transfer!$C$280=1,(((Transfer!F101+Transfer!F102+Transfer!F103) - (Transfer!E136+Transfer!E137+Transfer!E138))/Transfer!E147)*100,(((Transfer!F101+Transfer!F102+Transfer!F103) - (Transfer!E101+Transfer!E102+Transfer!E103))/Transfer!E112)*100)</f>
        <v>3.7754831507363558</v>
      </c>
      <c r="J75" s="2437">
        <f ca="1">IF(Transfer!$C$280=1,(((Transfer!G101+Transfer!G102+Transfer!G103) - (Transfer!F136+Transfer!F137+Transfer!F138))/Transfer!F147)*100,(((Transfer!G101+Transfer!G102+Transfer!G103) - (Transfer!F101+Transfer!F102+Transfer!F103))/Transfer!F112)*100)</f>
        <v>3.1733581685091994</v>
      </c>
      <c r="K75" s="2368"/>
      <c r="L75" s="150"/>
      <c r="M75" s="135"/>
      <c r="N75" s="135"/>
      <c r="O75" s="45"/>
      <c r="P75" s="54"/>
      <c r="Q75" s="54"/>
      <c r="R75" s="54"/>
      <c r="S75" s="60"/>
      <c r="T75" s="179" t="s">
        <v>1978</v>
      </c>
      <c r="U75" s="65"/>
      <c r="V75" s="152"/>
      <c r="W75" s="91" t="e">
        <f t="shared" ref="W75:AA77" si="6">ROUND(F75,1)-ROUND(AN75,1)</f>
        <v>#VALUE!</v>
      </c>
      <c r="X75" s="91">
        <f t="shared" ca="1" si="6"/>
        <v>1.3000000000000003</v>
      </c>
      <c r="Y75" s="91">
        <f t="shared" ca="1" si="6"/>
        <v>0.39999999999999947</v>
      </c>
      <c r="Z75" s="91">
        <f t="shared" ca="1" si="6"/>
        <v>-0.10000000000000009</v>
      </c>
      <c r="AA75" s="81">
        <f t="shared" ca="1" si="6"/>
        <v>-1.0999999999999996</v>
      </c>
      <c r="AB75" s="82"/>
      <c r="AC75" s="54"/>
      <c r="AD75" s="54"/>
      <c r="AE75" s="54"/>
      <c r="AF75" s="54"/>
      <c r="AG75" s="54"/>
      <c r="AH75" s="54"/>
      <c r="AI75" s="45"/>
      <c r="AJ75" s="60"/>
      <c r="AK75" s="2134" t="s">
        <v>1978</v>
      </c>
      <c r="AL75" s="2135"/>
      <c r="AM75" s="2136"/>
      <c r="AN75" s="2102" t="s">
        <v>276</v>
      </c>
      <c r="AO75" s="2104">
        <f>IF(Transfer!$C$280=1,(((Transfer!AD101+Transfer!AD102+Transfer!AD103) - (Transfer!AC136+Transfer!AC137+Transfer!AC138))/Transfer!AC147)*100,(((Transfer!AD101+Transfer!AD102+Transfer!AD103) - (Transfer!AC101+Transfer!AC102+Transfer!AC103))/Transfer!AC112)*100)</f>
        <v>1.9338541493069936</v>
      </c>
      <c r="AP75" s="2104">
        <f>IF(Transfer!$C$280=1,(((Transfer!AE101+Transfer!AE102+Transfer!AE103) - (Transfer!AD136+Transfer!AD137+Transfer!AD138))/Transfer!AD147)*100,(((Transfer!AE101+Transfer!AE102+Transfer!AE103) - (Transfer!AD101+Transfer!AD102+Transfer!AD103))/Transfer!AD112)*100)</f>
        <v>3.7155553494228224</v>
      </c>
      <c r="AQ75" s="2104">
        <f>IF(Transfer!$C$280=1,(((Transfer!AF101+Transfer!AF102+Transfer!AF103) - (Transfer!AE136+Transfer!AE137+Transfer!AE138))/Transfer!AE147)*100,(((Transfer!AF101+Transfer!AF102+Transfer!AF103) - (Transfer!AE101+Transfer!AE102+Transfer!AE103))/Transfer!AE112)*100)</f>
        <v>3.8914657422270365</v>
      </c>
      <c r="AR75" s="2100">
        <f>IF(Transfer!$C$280=1,(((Transfer!AG101+Transfer!AG102+Transfer!AG103) - (Transfer!AF136+Transfer!AF137+Transfer!AF138))/Transfer!AF147)*100,(((Transfer!AG101+Transfer!AG102+Transfer!AG103) - (Transfer!AF101+Transfer!AF102+Transfer!AF103))/Transfer!AF112)*100)</f>
        <v>4.2842973012031917</v>
      </c>
      <c r="AS75" s="82"/>
      <c r="AT75" s="150"/>
      <c r="AU75" s="135"/>
      <c r="AV75" s="135"/>
      <c r="AW75" s="45"/>
      <c r="AX75" s="54"/>
      <c r="AY75" s="54"/>
      <c r="AZ75" s="54"/>
      <c r="BA75" s="1988" t="s">
        <v>305</v>
      </c>
      <c r="BB75" s="54"/>
      <c r="BC75" s="54"/>
    </row>
    <row r="76" spans="1:55">
      <c r="A76" s="45"/>
      <c r="B76" s="1665"/>
      <c r="C76" s="2432" t="s">
        <v>537</v>
      </c>
      <c r="D76" s="2433"/>
      <c r="E76" s="2434" t="s">
        <v>1837</v>
      </c>
      <c r="F76" s="2435" t="s">
        <v>276</v>
      </c>
      <c r="G76" s="2435">
        <f ca="1">IF(Transfer!$C$280=1,((Transfer!D107 - Transfer!C142)/Transfer!C147)*100,((Transfer!D107 - Transfer!C107)/Transfer!C112)*100)</f>
        <v>-0.80797158913461642</v>
      </c>
      <c r="H76" s="2435">
        <f ca="1">IF(Transfer!$C$280=1,((Transfer!E107 - Transfer!D142)/Transfer!D147)*100,((Transfer!E107 - Transfer!D107)/Transfer!D112)*100)</f>
        <v>0</v>
      </c>
      <c r="I76" s="2435">
        <f ca="1">IF(Transfer!$C$280=1,((Transfer!F107 - Transfer!E142)/Transfer!E147)*100,((Transfer!F107 - Transfer!E107)/Transfer!E112)*100)</f>
        <v>0</v>
      </c>
      <c r="J76" s="1669">
        <f ca="1">IF(Transfer!$C$280=1,((Transfer!G107 - Transfer!F142)/Transfer!F147)*100,((Transfer!G107 - Transfer!F107)/Transfer!F112)*100)</f>
        <v>0</v>
      </c>
      <c r="K76" s="2368"/>
      <c r="L76" s="150"/>
      <c r="M76" s="135"/>
      <c r="N76" s="135"/>
      <c r="O76" s="45"/>
      <c r="P76" s="54"/>
      <c r="Q76" s="54"/>
      <c r="R76" s="54"/>
      <c r="S76" s="60"/>
      <c r="T76" s="180" t="s">
        <v>537</v>
      </c>
      <c r="U76" s="49"/>
      <c r="V76" s="181" t="s">
        <v>1837</v>
      </c>
      <c r="W76" s="91" t="e">
        <f t="shared" si="6"/>
        <v>#VALUE!</v>
      </c>
      <c r="X76" s="91">
        <f t="shared" ca="1" si="6"/>
        <v>1.7</v>
      </c>
      <c r="Y76" s="91">
        <f t="shared" ca="1" si="6"/>
        <v>0</v>
      </c>
      <c r="Z76" s="91">
        <f t="shared" ca="1" si="6"/>
        <v>0</v>
      </c>
      <c r="AA76" s="93">
        <f t="shared" ca="1" si="6"/>
        <v>0</v>
      </c>
      <c r="AB76" s="82"/>
      <c r="AC76" s="54"/>
      <c r="AD76" s="54"/>
      <c r="AE76" s="54"/>
      <c r="AF76" s="54"/>
      <c r="AG76" s="54"/>
      <c r="AH76" s="54"/>
      <c r="AI76" s="45"/>
      <c r="AJ76" s="60"/>
      <c r="AK76" s="2134" t="s">
        <v>537</v>
      </c>
      <c r="AL76" s="2135"/>
      <c r="AM76" s="2136" t="s">
        <v>1837</v>
      </c>
      <c r="AN76" s="2102" t="s">
        <v>276</v>
      </c>
      <c r="AO76" s="2102">
        <f>IF(Transfer!$C$280=1,((Transfer!AD107 - Transfer!AC142)/Transfer!AC147)*100,((Transfer!AD107 - Transfer!AC107)/Transfer!AC112)*100)</f>
        <v>-2.4661804846873978</v>
      </c>
      <c r="AP76" s="2102">
        <f>IF(Transfer!$C$280=1,((Transfer!AE107 - Transfer!AD142)/Transfer!AD147)*100,((Transfer!AE107 - Transfer!AD107)/Transfer!AD112)*100)</f>
        <v>0</v>
      </c>
      <c r="AQ76" s="2102">
        <f>IF(Transfer!$C$280=1,((Transfer!AF107 - Transfer!AE142)/Transfer!AE147)*100,((Transfer!AF107 - Transfer!AE107)/Transfer!AE112)*100)</f>
        <v>0</v>
      </c>
      <c r="AR76" s="2101">
        <f>IF(Transfer!$C$280=1,((Transfer!AG107 - Transfer!AF142)/Transfer!AF147)*100,((Transfer!AG107 - Transfer!AF107)/Transfer!AF112)*100)</f>
        <v>0</v>
      </c>
      <c r="AS76" s="82"/>
      <c r="AT76" s="150"/>
      <c r="AU76" s="135"/>
      <c r="AV76" s="135"/>
      <c r="AW76" s="45"/>
      <c r="AX76" s="54"/>
      <c r="AY76" s="54"/>
      <c r="AZ76" s="54"/>
      <c r="BA76" s="1989" t="s">
        <v>306</v>
      </c>
      <c r="BB76" s="54"/>
      <c r="BC76" s="54"/>
    </row>
    <row r="77" spans="1:55" ht="13.5" thickBot="1">
      <c r="A77" s="45"/>
      <c r="B77" s="1665"/>
      <c r="C77" s="2438" t="s">
        <v>538</v>
      </c>
      <c r="D77" s="2439"/>
      <c r="E77" s="2440" t="s">
        <v>1393</v>
      </c>
      <c r="F77" s="2441" t="s">
        <v>276</v>
      </c>
      <c r="G77" s="2441">
        <f ca="1">IF(Transfer!$C$280=1,(((Transfer!D108+Transfer!D109-Transfer!D110-Transfer!D111) - (Transfer!C143+Transfer!C144-Transfer!C145-Transfer!C146)) / Transfer!C147)*100,(((Transfer!D108+Transfer!D109-Transfer!D110-Transfer!D111) - (Transfer!C108+Transfer!C109-Transfer!C110-Transfer!C111)) / Transfer!C112)*100)</f>
        <v>-7.2401195396681717E-2</v>
      </c>
      <c r="H77" s="2441">
        <f ca="1">IF(Transfer!$C$280=1,(((Transfer!E108+Transfer!E109-Transfer!E110-Transfer!E111) - (Transfer!D143+Transfer!D144-Transfer!D145-Transfer!D146)) / Transfer!D147)*100,(((Transfer!E108+Transfer!E109-Transfer!E110-Transfer!E111) - (Transfer!D108+Transfer!D109-Transfer!D110-Transfer!D111)) / Transfer!D112)*100)</f>
        <v>0.48292112561361816</v>
      </c>
      <c r="I77" s="2441">
        <f ca="1">IF(Transfer!$C$280=1,(((Transfer!F108+Transfer!F109-Transfer!F110-Transfer!F111) - (Transfer!E143+Transfer!E144-Transfer!E145-Transfer!E146)) / Transfer!E147)*100,(((Transfer!F108+Transfer!F109-Transfer!F110-Transfer!F111) - (Transfer!E108+Transfer!E109-Transfer!E110-Transfer!E111)) / Transfer!E112)*100)</f>
        <v>-0.67014654096356385</v>
      </c>
      <c r="J77" s="2442">
        <f ca="1">IF(Transfer!$C$280=1,(((Transfer!G108+Transfer!G109-Transfer!G110-Transfer!G111) - (Transfer!F143+Transfer!F144-Transfer!F145-Transfer!F146)) / Transfer!F147)*100,(((Transfer!G108+Transfer!G109-Transfer!G110-Transfer!G111) - (Transfer!F108+Transfer!F109-Transfer!F110-Transfer!F111)) / Transfer!F112)*100)</f>
        <v>-0.54644546145823425</v>
      </c>
      <c r="K77" s="2368"/>
      <c r="L77" s="150"/>
      <c r="M77" s="135"/>
      <c r="N77" s="135"/>
      <c r="O77" s="45"/>
      <c r="P77" s="54"/>
      <c r="Q77" s="54"/>
      <c r="R77" s="54"/>
      <c r="S77" s="60"/>
      <c r="T77" s="182" t="s">
        <v>538</v>
      </c>
      <c r="U77" s="183"/>
      <c r="V77" s="184" t="s">
        <v>1393</v>
      </c>
      <c r="W77" s="405" t="e">
        <f t="shared" si="6"/>
        <v>#VALUE!</v>
      </c>
      <c r="X77" s="405">
        <f t="shared" ca="1" si="6"/>
        <v>-4.3</v>
      </c>
      <c r="Y77" s="405">
        <f t="shared" ca="1" si="6"/>
        <v>0.6</v>
      </c>
      <c r="Z77" s="405">
        <f t="shared" ca="1" si="6"/>
        <v>-0.39999999999999997</v>
      </c>
      <c r="AA77" s="112">
        <f t="shared" ca="1" si="6"/>
        <v>-9.9999999999999978E-2</v>
      </c>
      <c r="AB77" s="82"/>
      <c r="AC77" s="54"/>
      <c r="AD77" s="54"/>
      <c r="AE77" s="54"/>
      <c r="AF77" s="54"/>
      <c r="AG77" s="54"/>
      <c r="AH77" s="54"/>
      <c r="AI77" s="45"/>
      <c r="AJ77" s="60"/>
      <c r="AK77" s="2137" t="s">
        <v>538</v>
      </c>
      <c r="AL77" s="2138"/>
      <c r="AM77" s="2139" t="s">
        <v>1393</v>
      </c>
      <c r="AN77" s="2103" t="s">
        <v>276</v>
      </c>
      <c r="AO77" s="2103">
        <f>IF(Transfer!$C$280=1,(((Transfer!AD108+Transfer!AD109-Transfer!AD110-Transfer!AD111) - (Transfer!AC143+Transfer!AC144-Transfer!AC145-Transfer!AC146)) / Transfer!AC147)*100,(((Transfer!AD108+Transfer!AD109-Transfer!AD110-Transfer!AD111) - (Transfer!AC108+Transfer!AC109-Transfer!AC110-Transfer!AC111)) / Transfer!AC112)*100)</f>
        <v>4.1916157437749542</v>
      </c>
      <c r="AP77" s="2103">
        <f>IF(Transfer!$C$280=1,(((Transfer!AE108+Transfer!AE109-Transfer!AE110-Transfer!AE111) - (Transfer!AD143+Transfer!AD144-Transfer!AD145-Transfer!AD146)) / Transfer!AD147)*100,(((Transfer!AE108+Transfer!AE109-Transfer!AE110-Transfer!AE111) - (Transfer!AD108+Transfer!AD109-Transfer!AD110-Transfer!AD111)) / Transfer!AD112)*100)</f>
        <v>-0.13145805106093536</v>
      </c>
      <c r="AQ77" s="2103">
        <f>IF(Transfer!$C$280=1,(((Transfer!AF108+Transfer!AF109-Transfer!AF110-Transfer!AF111) - (Transfer!AE143+Transfer!AE144-Transfer!AE145-Transfer!AE146)) / Transfer!AE147)*100,(((Transfer!AF108+Transfer!AF109-Transfer!AF110-Transfer!AF111) - (Transfer!AE108+Transfer!AE109-Transfer!AE110-Transfer!AE111)) / Transfer!AE112)*100)</f>
        <v>-0.27348031773578924</v>
      </c>
      <c r="AR77" s="2105">
        <f>IF(Transfer!$C$280=1,(((Transfer!AG108+Transfer!AG109-Transfer!AG110-Transfer!AG111) - (Transfer!AF143+Transfer!AF144-Transfer!AF145-Transfer!AF146)) / Transfer!AF147)*100,(((Transfer!AG108+Transfer!AG109-Transfer!AG110-Transfer!AG111) - (Transfer!AF108+Transfer!AF109-Transfer!AF110-Transfer!AF111)) / Transfer!AF112)*100)</f>
        <v>-0.36032251241223912</v>
      </c>
      <c r="AS77" s="82"/>
      <c r="AT77" s="150"/>
      <c r="AU77" s="135"/>
      <c r="AV77" s="135"/>
      <c r="AW77" s="45"/>
      <c r="AX77" s="54"/>
      <c r="AY77" s="54"/>
      <c r="AZ77" s="54"/>
      <c r="BA77" s="1990" t="s">
        <v>307</v>
      </c>
      <c r="BB77" s="54"/>
      <c r="BC77" s="54"/>
    </row>
    <row r="78" spans="1:55">
      <c r="A78" s="45"/>
      <c r="B78" s="1701"/>
      <c r="C78" s="2399"/>
      <c r="D78" s="2399"/>
      <c r="E78" s="2399"/>
      <c r="F78" s="2399"/>
      <c r="G78" s="2399"/>
      <c r="H78" s="2776"/>
      <c r="I78" s="2399"/>
      <c r="J78" s="2400" t="str">
        <f>UPPER(Country)</f>
        <v>LITHUANIA</v>
      </c>
      <c r="K78" s="1702"/>
      <c r="L78" s="54"/>
      <c r="M78" s="135"/>
      <c r="N78" s="135"/>
      <c r="O78" s="45"/>
      <c r="P78" s="54"/>
      <c r="Q78" s="54"/>
      <c r="R78" s="54"/>
      <c r="S78" s="114"/>
      <c r="T78" s="116"/>
      <c r="U78" s="116"/>
      <c r="V78" s="116"/>
      <c r="W78" s="116"/>
      <c r="X78" s="116"/>
      <c r="Y78" s="117"/>
      <c r="Z78" s="116"/>
      <c r="AA78" s="118" t="str">
        <f>UPPER(Country)</f>
        <v>LITHUANIA</v>
      </c>
      <c r="AB78" s="119"/>
      <c r="AC78" s="54"/>
      <c r="AD78" s="54"/>
      <c r="AE78" s="54"/>
      <c r="AF78" s="54"/>
      <c r="AG78" s="54"/>
      <c r="AH78" s="54"/>
      <c r="AI78" s="45"/>
      <c r="AJ78" s="114"/>
      <c r="AK78" s="116"/>
      <c r="AL78" s="116"/>
      <c r="AM78" s="116"/>
      <c r="AN78" s="116"/>
      <c r="AO78" s="116"/>
      <c r="AP78" s="117"/>
      <c r="AQ78" s="116"/>
      <c r="AR78" s="118" t="str">
        <f>UPPER(Country)</f>
        <v>LITHUANIA</v>
      </c>
      <c r="AS78" s="119"/>
      <c r="AT78" s="54"/>
      <c r="AU78" s="135"/>
      <c r="AV78" s="135"/>
      <c r="AW78" s="45"/>
      <c r="AX78" s="54"/>
      <c r="AY78" s="54"/>
      <c r="AZ78" s="54"/>
      <c r="BA78" s="54"/>
      <c r="BB78" s="54"/>
      <c r="BC78" s="54"/>
    </row>
    <row r="79" spans="1:55">
      <c r="A79" s="45"/>
      <c r="B79" s="45"/>
      <c r="C79" s="185"/>
      <c r="D79" s="185"/>
      <c r="E79" s="186"/>
      <c r="F79" s="186"/>
      <c r="G79" s="186"/>
      <c r="H79" s="186"/>
      <c r="I79" s="186"/>
      <c r="J79" s="186"/>
      <c r="K79" s="50"/>
      <c r="L79" s="54"/>
      <c r="M79" s="135"/>
      <c r="N79" s="135"/>
      <c r="O79" s="45"/>
      <c r="P79" s="54"/>
      <c r="Q79" s="54"/>
      <c r="R79" s="54"/>
      <c r="S79" s="54"/>
      <c r="T79" s="54"/>
      <c r="U79" s="54"/>
      <c r="V79" s="54"/>
      <c r="W79" s="54"/>
      <c r="X79" s="54"/>
      <c r="Y79" s="54"/>
      <c r="Z79" s="54"/>
      <c r="AA79" s="54"/>
      <c r="AB79" s="54"/>
      <c r="AC79" s="54"/>
      <c r="AD79" s="54"/>
      <c r="AE79" s="54"/>
      <c r="AF79" s="54"/>
      <c r="AG79" s="54"/>
      <c r="AH79" s="54"/>
      <c r="AI79" s="45"/>
      <c r="AJ79" s="45"/>
      <c r="AK79" s="185"/>
      <c r="AL79" s="185"/>
      <c r="AM79" s="186"/>
      <c r="AN79" s="186"/>
      <c r="AO79" s="186"/>
      <c r="AP79" s="186"/>
      <c r="AQ79" s="186"/>
      <c r="AR79" s="186"/>
      <c r="AS79" s="50"/>
      <c r="AT79" s="54"/>
      <c r="AU79" s="135"/>
      <c r="AV79" s="135"/>
      <c r="AW79" s="45"/>
      <c r="AX79" s="54"/>
      <c r="AY79" s="54"/>
      <c r="AZ79" s="54"/>
      <c r="BA79" s="54"/>
      <c r="BB79" s="54"/>
      <c r="BC79" s="54"/>
    </row>
    <row r="80" spans="1:55">
      <c r="A80" s="45"/>
      <c r="B80" s="45"/>
      <c r="C80" s="54"/>
      <c r="D80" s="54"/>
      <c r="E80" s="54"/>
      <c r="F80" s="54"/>
      <c r="G80" s="54"/>
      <c r="H80" s="54"/>
      <c r="I80" s="54"/>
      <c r="J80" s="54"/>
      <c r="K80" s="54"/>
      <c r="L80" s="54"/>
      <c r="M80" s="135"/>
      <c r="N80" s="135"/>
      <c r="O80" s="45"/>
      <c r="P80" s="54"/>
      <c r="Q80" s="54"/>
      <c r="R80" s="54"/>
      <c r="S80" s="54"/>
      <c r="T80" s="54"/>
      <c r="U80" s="54"/>
      <c r="V80" s="54"/>
      <c r="W80" s="54"/>
      <c r="X80" s="54"/>
      <c r="Y80" s="54"/>
      <c r="Z80" s="54"/>
      <c r="AA80" s="54"/>
      <c r="AB80" s="54"/>
      <c r="AC80" s="54"/>
      <c r="AD80" s="54"/>
      <c r="AE80" s="54"/>
      <c r="AF80" s="54"/>
      <c r="AG80" s="54"/>
      <c r="AH80" s="54"/>
      <c r="AI80" s="45"/>
      <c r="AJ80" s="45"/>
      <c r="AK80" s="54"/>
      <c r="AL80" s="54"/>
      <c r="AM80" s="54"/>
      <c r="AN80" s="54"/>
      <c r="AO80" s="54"/>
      <c r="AP80" s="54"/>
      <c r="AQ80" s="54"/>
      <c r="AR80" s="54"/>
      <c r="AS80" s="54"/>
      <c r="AT80" s="54"/>
      <c r="AU80" s="135"/>
      <c r="AV80" s="135"/>
      <c r="AW80" s="45"/>
      <c r="AX80" s="54"/>
      <c r="AY80" s="54"/>
      <c r="AZ80" s="54"/>
      <c r="BA80" s="54"/>
      <c r="BB80" s="54"/>
      <c r="BC80" s="54"/>
    </row>
    <row r="81" spans="1:55">
      <c r="A81" s="45"/>
      <c r="B81" s="45"/>
      <c r="C81" s="54"/>
      <c r="D81" s="54"/>
      <c r="E81" s="54"/>
      <c r="F81" s="54"/>
      <c r="G81" s="54"/>
      <c r="H81" s="54"/>
      <c r="I81" s="54"/>
      <c r="J81" s="54"/>
      <c r="K81" s="54"/>
      <c r="L81" s="54"/>
      <c r="M81" s="135"/>
      <c r="N81" s="135"/>
      <c r="O81" s="45"/>
      <c r="P81" s="54"/>
      <c r="Q81" s="54"/>
      <c r="R81" s="54"/>
      <c r="S81" s="54"/>
      <c r="T81" s="54"/>
      <c r="U81" s="54"/>
      <c r="V81" s="54"/>
      <c r="W81" s="54"/>
      <c r="X81" s="54"/>
      <c r="Y81" s="54"/>
      <c r="Z81" s="54"/>
      <c r="AA81" s="54"/>
      <c r="AB81" s="54"/>
      <c r="AC81" s="54"/>
      <c r="AD81" s="54"/>
      <c r="AE81" s="54"/>
      <c r="AF81" s="54"/>
      <c r="AG81" s="54"/>
      <c r="AH81" s="54"/>
      <c r="AI81" s="45"/>
      <c r="AJ81" s="45"/>
      <c r="AK81" s="54"/>
      <c r="AL81" s="54"/>
      <c r="AM81" s="54"/>
      <c r="AN81" s="54"/>
      <c r="AO81" s="54"/>
      <c r="AP81" s="54"/>
      <c r="AQ81" s="54"/>
      <c r="AR81" s="54"/>
      <c r="AS81" s="54"/>
      <c r="AT81" s="54"/>
      <c r="AU81" s="135"/>
      <c r="AV81" s="135"/>
      <c r="AW81" s="45"/>
      <c r="AX81" s="54"/>
      <c r="AY81" s="54"/>
      <c r="AZ81" s="54"/>
      <c r="BA81" s="54"/>
      <c r="BB81" s="54"/>
      <c r="BC81" s="54"/>
    </row>
    <row r="82" spans="1:55">
      <c r="A82" s="45"/>
      <c r="B82" s="45"/>
      <c r="C82" s="54"/>
      <c r="D82" s="54"/>
      <c r="E82" s="54"/>
      <c r="F82" s="54"/>
      <c r="G82" s="54"/>
      <c r="H82" s="54"/>
      <c r="I82" s="54"/>
      <c r="J82" s="54"/>
      <c r="K82" s="54"/>
      <c r="L82" s="54"/>
      <c r="M82" s="54"/>
      <c r="N82" s="54"/>
      <c r="O82" s="54"/>
      <c r="P82" s="54"/>
      <c r="Q82" s="54"/>
      <c r="R82" s="54"/>
      <c r="S82" s="54"/>
      <c r="T82" s="54"/>
      <c r="U82" s="54"/>
      <c r="V82" s="54"/>
      <c r="W82" s="54"/>
      <c r="X82" s="54"/>
      <c r="Y82" s="54"/>
      <c r="Z82" s="54"/>
      <c r="AA82" s="54"/>
      <c r="AB82" s="54"/>
      <c r="AC82" s="54"/>
      <c r="AD82" s="54"/>
      <c r="AE82" s="54"/>
      <c r="AF82" s="54"/>
      <c r="AG82" s="54"/>
      <c r="AH82" s="54"/>
      <c r="AI82" s="45"/>
      <c r="AJ82" s="45"/>
      <c r="AK82" s="54"/>
      <c r="AL82" s="54"/>
      <c r="AM82" s="54"/>
      <c r="AN82" s="54"/>
      <c r="AO82" s="54"/>
      <c r="AP82" s="54"/>
      <c r="AQ82" s="54"/>
      <c r="AR82" s="54"/>
      <c r="AS82" s="54"/>
      <c r="AT82" s="54"/>
      <c r="AU82" s="54"/>
      <c r="AV82" s="54"/>
      <c r="AW82" s="54"/>
      <c r="AX82" s="54"/>
      <c r="AY82" s="54"/>
      <c r="AZ82" s="54"/>
      <c r="BA82" s="54"/>
      <c r="BB82" s="54"/>
      <c r="BC82" s="54"/>
    </row>
    <row r="83" spans="1:55">
      <c r="A83" s="45"/>
      <c r="B83" s="45"/>
      <c r="C83" s="54"/>
      <c r="D83" s="54"/>
      <c r="E83" s="54"/>
      <c r="F83" s="54"/>
      <c r="G83" s="54"/>
      <c r="H83" s="54"/>
      <c r="I83" s="54"/>
      <c r="J83" s="54"/>
      <c r="K83" s="54"/>
      <c r="L83" s="54"/>
      <c r="M83" s="54"/>
      <c r="N83" s="54"/>
      <c r="O83" s="54"/>
      <c r="P83" s="54"/>
      <c r="Q83" s="54"/>
      <c r="R83" s="54"/>
      <c r="S83" s="54"/>
      <c r="T83" s="54"/>
      <c r="U83" s="54"/>
      <c r="V83" s="54"/>
      <c r="W83" s="54"/>
      <c r="X83" s="54"/>
      <c r="Y83" s="54"/>
      <c r="Z83" s="54"/>
      <c r="AA83" s="54"/>
      <c r="AB83" s="54"/>
      <c r="AC83" s="54"/>
      <c r="AD83" s="54"/>
      <c r="AE83" s="54"/>
      <c r="AF83" s="54"/>
      <c r="AG83" s="54"/>
      <c r="AH83" s="54"/>
      <c r="AI83" s="45"/>
      <c r="AJ83" s="45"/>
      <c r="AK83" s="54"/>
      <c r="AL83" s="54"/>
      <c r="AM83" s="54"/>
      <c r="AN83" s="54"/>
      <c r="AO83" s="54"/>
      <c r="AP83" s="54"/>
      <c r="AQ83" s="54"/>
      <c r="AR83" s="54"/>
      <c r="AS83" s="54"/>
      <c r="AT83" s="54"/>
      <c r="AU83" s="54"/>
      <c r="AV83" s="54"/>
      <c r="AW83" s="54"/>
      <c r="AX83" s="54"/>
      <c r="AY83" s="54"/>
      <c r="AZ83" s="54"/>
      <c r="BA83" s="54"/>
      <c r="BB83" s="54"/>
      <c r="BC83" s="54"/>
    </row>
    <row r="84" spans="1:55" ht="14.25" customHeight="1">
      <c r="A84" s="45"/>
      <c r="B84" s="45"/>
      <c r="C84" s="45"/>
      <c r="D84" s="54"/>
      <c r="E84" s="54"/>
      <c r="F84" s="54"/>
      <c r="G84" s="54"/>
      <c r="H84" s="54"/>
      <c r="I84" s="54"/>
      <c r="J84" s="54"/>
      <c r="K84" s="54"/>
      <c r="L84" s="54"/>
      <c r="M84" s="54"/>
      <c r="N84" s="45"/>
      <c r="O84" s="45"/>
      <c r="P84" s="54"/>
      <c r="Q84" s="54"/>
      <c r="R84" s="54"/>
      <c r="S84" s="54"/>
      <c r="T84" s="54"/>
      <c r="U84" s="54"/>
      <c r="V84" s="54"/>
      <c r="W84" s="54"/>
      <c r="X84" s="54"/>
      <c r="Y84" s="54"/>
      <c r="Z84" s="54"/>
      <c r="AA84" s="54"/>
      <c r="AB84" s="54"/>
      <c r="AC84" s="54"/>
      <c r="AD84" s="54"/>
      <c r="AE84" s="54"/>
      <c r="AF84" s="54"/>
      <c r="AG84" s="54"/>
      <c r="AH84" s="54"/>
      <c r="AI84" s="45"/>
      <c r="AJ84" s="45"/>
      <c r="AK84" s="45"/>
      <c r="AL84" s="54"/>
      <c r="AM84" s="54"/>
      <c r="AN84" s="54"/>
      <c r="AO84" s="54"/>
      <c r="AP84" s="54"/>
      <c r="AQ84" s="54"/>
      <c r="AR84" s="54"/>
      <c r="AS84" s="54"/>
      <c r="AT84" s="54"/>
      <c r="AU84" s="54"/>
      <c r="AV84" s="45"/>
      <c r="AW84" s="45"/>
      <c r="AX84" s="54"/>
      <c r="AY84" s="54"/>
      <c r="AZ84" s="54"/>
      <c r="BA84" s="54"/>
      <c r="BB84" s="54"/>
      <c r="BC84" s="54"/>
    </row>
    <row r="85" spans="1:55">
      <c r="A85" s="45"/>
      <c r="B85" s="45"/>
      <c r="C85" s="45"/>
      <c r="D85" s="54"/>
      <c r="E85" s="54"/>
      <c r="F85" s="54"/>
      <c r="G85" s="54"/>
      <c r="H85" s="54"/>
      <c r="I85" s="54"/>
      <c r="J85" s="54"/>
      <c r="K85" s="54"/>
      <c r="L85" s="54"/>
      <c r="M85" s="54"/>
      <c r="N85" s="45"/>
      <c r="O85" s="45"/>
      <c r="P85" s="54"/>
      <c r="Q85" s="54"/>
      <c r="R85" s="54"/>
      <c r="S85" s="54"/>
      <c r="T85" s="54"/>
      <c r="U85" s="54"/>
      <c r="V85" s="54"/>
      <c r="W85" s="54"/>
      <c r="X85" s="54"/>
      <c r="Y85" s="54"/>
      <c r="Z85" s="54"/>
      <c r="AA85" s="54"/>
      <c r="AB85" s="54"/>
      <c r="AC85" s="54"/>
      <c r="AD85" s="54"/>
      <c r="AE85" s="54"/>
      <c r="AF85" s="54"/>
      <c r="AG85" s="54"/>
      <c r="AH85" s="54"/>
      <c r="AI85" s="45"/>
      <c r="AJ85" s="45"/>
      <c r="AK85" s="45"/>
      <c r="AL85" s="54"/>
      <c r="AM85" s="54"/>
      <c r="AN85" s="54"/>
      <c r="AO85" s="54"/>
      <c r="AP85" s="54"/>
      <c r="AQ85" s="54"/>
      <c r="AR85" s="54"/>
      <c r="AS85" s="54"/>
      <c r="AT85" s="54"/>
      <c r="AU85" s="54"/>
      <c r="AV85" s="45"/>
      <c r="AW85" s="45"/>
      <c r="AX85" s="54"/>
      <c r="AY85" s="54"/>
      <c r="AZ85" s="54"/>
      <c r="BA85" s="54"/>
      <c r="BB85" s="54"/>
      <c r="BC85" s="54"/>
    </row>
    <row r="86" spans="1:55">
      <c r="A86" s="45"/>
      <c r="B86" s="45"/>
      <c r="C86" s="45"/>
      <c r="D86" s="54"/>
      <c r="E86" s="54"/>
      <c r="F86" s="54"/>
      <c r="G86" s="54"/>
      <c r="H86" s="54"/>
      <c r="I86" s="54"/>
      <c r="J86" s="54"/>
      <c r="K86" s="54"/>
      <c r="L86" s="54"/>
      <c r="M86" s="54"/>
      <c r="N86" s="45"/>
      <c r="O86" s="45"/>
      <c r="P86" s="54"/>
      <c r="Q86" s="54"/>
      <c r="R86" s="54"/>
      <c r="S86" s="54"/>
      <c r="T86" s="54"/>
      <c r="U86" s="54"/>
      <c r="V86" s="54"/>
      <c r="W86" s="54"/>
      <c r="X86" s="54"/>
      <c r="Y86" s="54"/>
      <c r="Z86" s="54"/>
      <c r="AA86" s="54"/>
      <c r="AB86" s="54"/>
      <c r="AC86" s="54"/>
      <c r="AD86" s="54"/>
      <c r="AE86" s="54"/>
      <c r="AF86" s="54"/>
      <c r="AG86" s="54"/>
      <c r="AH86" s="54"/>
      <c r="AI86" s="45"/>
      <c r="AJ86" s="45"/>
      <c r="AK86" s="45"/>
      <c r="AL86" s="54"/>
      <c r="AM86" s="54"/>
      <c r="AN86" s="54"/>
      <c r="AO86" s="54"/>
      <c r="AP86" s="54"/>
      <c r="AQ86" s="54"/>
      <c r="AR86" s="54"/>
      <c r="AS86" s="54"/>
      <c r="AT86" s="54"/>
      <c r="AU86" s="54"/>
      <c r="AV86" s="45"/>
      <c r="AW86" s="45"/>
      <c r="AX86" s="54"/>
      <c r="AY86" s="54"/>
      <c r="AZ86" s="54"/>
      <c r="BA86" s="54"/>
      <c r="BB86" s="54"/>
      <c r="BC86" s="54"/>
    </row>
    <row r="87" spans="1:55">
      <c r="A87" s="45"/>
      <c r="B87" s="45"/>
      <c r="C87" s="45"/>
      <c r="D87" s="45"/>
      <c r="E87" s="45"/>
      <c r="F87" s="45"/>
      <c r="G87" s="45"/>
      <c r="H87" s="45"/>
      <c r="I87" s="45"/>
      <c r="J87" s="45"/>
      <c r="K87" s="187"/>
      <c r="L87" s="45"/>
      <c r="M87" s="45"/>
      <c r="N87" s="45"/>
      <c r="O87" s="45"/>
      <c r="P87" s="54"/>
      <c r="Q87" s="54"/>
      <c r="R87" s="54"/>
      <c r="S87" s="54"/>
      <c r="T87" s="54"/>
      <c r="U87" s="54"/>
      <c r="V87" s="54"/>
      <c r="W87" s="54"/>
      <c r="X87" s="54"/>
      <c r="Y87" s="54"/>
      <c r="Z87" s="54"/>
      <c r="AA87" s="54"/>
      <c r="AB87" s="54"/>
      <c r="AC87" s="54"/>
      <c r="AD87" s="54"/>
      <c r="AE87" s="54"/>
      <c r="AF87" s="54"/>
      <c r="AG87" s="54"/>
      <c r="AH87" s="54"/>
      <c r="AI87" s="45"/>
      <c r="AJ87" s="45"/>
      <c r="AK87" s="45"/>
      <c r="AL87" s="45"/>
      <c r="AM87" s="45"/>
      <c r="AN87" s="45"/>
      <c r="AO87" s="45"/>
      <c r="AP87" s="45"/>
      <c r="AQ87" s="45"/>
      <c r="AR87" s="45"/>
      <c r="AS87" s="187"/>
      <c r="AT87" s="45"/>
      <c r="AU87" s="45"/>
      <c r="AV87" s="45"/>
      <c r="AW87" s="45"/>
      <c r="AX87" s="54"/>
      <c r="AY87" s="54"/>
      <c r="AZ87" s="54"/>
      <c r="BA87" s="54"/>
      <c r="BB87" s="54"/>
      <c r="BC87" s="54"/>
    </row>
    <row r="88" spans="1:55">
      <c r="A88" s="45"/>
      <c r="B88" s="45"/>
      <c r="C88" s="45"/>
      <c r="D88" s="45"/>
      <c r="E88" s="45"/>
      <c r="F88" s="45"/>
      <c r="G88" s="45"/>
      <c r="H88" s="45"/>
      <c r="I88" s="45"/>
      <c r="J88" s="45"/>
      <c r="K88" s="54"/>
      <c r="L88" s="45"/>
      <c r="M88" s="45"/>
      <c r="N88" s="45"/>
      <c r="O88" s="45"/>
      <c r="P88" s="54"/>
      <c r="Q88" s="54"/>
      <c r="R88" s="54"/>
      <c r="S88" s="54"/>
      <c r="T88" s="54"/>
      <c r="U88" s="54"/>
      <c r="V88" s="54"/>
      <c r="W88" s="54"/>
      <c r="X88" s="54"/>
      <c r="Y88" s="54"/>
      <c r="Z88" s="54"/>
      <c r="AA88" s="54"/>
      <c r="AB88" s="54"/>
      <c r="AC88" s="54"/>
      <c r="AD88" s="54"/>
      <c r="AE88" s="54"/>
      <c r="AF88" s="54"/>
      <c r="AG88" s="54"/>
      <c r="AH88" s="54"/>
      <c r="AI88" s="45"/>
      <c r="AJ88" s="45"/>
      <c r="AK88" s="45"/>
      <c r="AL88" s="45"/>
      <c r="AM88" s="45"/>
      <c r="AN88" s="45"/>
      <c r="AO88" s="45"/>
      <c r="AP88" s="45"/>
      <c r="AQ88" s="45"/>
      <c r="AR88" s="45"/>
      <c r="AS88" s="54"/>
      <c r="AT88" s="45"/>
      <c r="AU88" s="45"/>
      <c r="AV88" s="45"/>
      <c r="AW88" s="45"/>
      <c r="AX88" s="54"/>
      <c r="AY88" s="54"/>
      <c r="AZ88" s="54"/>
      <c r="BA88" s="54"/>
      <c r="BB88" s="54"/>
      <c r="BC88" s="54"/>
    </row>
    <row r="89" spans="1:55">
      <c r="A89" s="45"/>
      <c r="B89" s="45"/>
      <c r="C89" s="45"/>
      <c r="D89" s="45"/>
      <c r="E89" s="45"/>
      <c r="F89" s="45"/>
      <c r="G89" s="45"/>
      <c r="H89" s="45"/>
      <c r="I89" s="45"/>
      <c r="J89" s="45"/>
      <c r="K89" s="45"/>
      <c r="L89" s="45"/>
      <c r="M89" s="45"/>
      <c r="N89" s="45"/>
      <c r="O89" s="45"/>
      <c r="P89" s="54"/>
      <c r="Q89" s="54"/>
      <c r="R89" s="54"/>
      <c r="S89" s="54"/>
      <c r="T89" s="54"/>
      <c r="U89" s="54"/>
      <c r="V89" s="54"/>
      <c r="W89" s="54"/>
      <c r="X89" s="54"/>
      <c r="Y89" s="54"/>
      <c r="Z89" s="54"/>
      <c r="AA89" s="54"/>
      <c r="AB89" s="54"/>
      <c r="AC89" s="54"/>
      <c r="AD89" s="54"/>
      <c r="AE89" s="54"/>
      <c r="AF89" s="54"/>
      <c r="AG89" s="54"/>
      <c r="AH89" s="54"/>
      <c r="AI89" s="45"/>
      <c r="AJ89" s="45"/>
      <c r="AK89" s="45"/>
      <c r="AL89" s="45"/>
      <c r="AM89" s="45"/>
      <c r="AN89" s="45"/>
      <c r="AO89" s="45"/>
      <c r="AP89" s="45"/>
      <c r="AQ89" s="45"/>
      <c r="AR89" s="45"/>
      <c r="AS89" s="45"/>
      <c r="AT89" s="45"/>
      <c r="AU89" s="45"/>
      <c r="AV89" s="45"/>
      <c r="AW89" s="45"/>
      <c r="AX89" s="54"/>
      <c r="AY89" s="54"/>
      <c r="AZ89" s="54"/>
      <c r="BA89" s="54"/>
      <c r="BB89" s="54"/>
      <c r="BC89" s="54"/>
    </row>
    <row r="90" spans="1:55">
      <c r="A90" s="45"/>
      <c r="B90" s="45"/>
      <c r="C90" s="45"/>
      <c r="D90" s="45"/>
      <c r="E90" s="45"/>
      <c r="F90" s="45"/>
      <c r="G90" s="45"/>
      <c r="H90" s="45"/>
      <c r="I90" s="45"/>
      <c r="J90" s="45"/>
      <c r="K90" s="45"/>
      <c r="L90" s="45"/>
      <c r="M90" s="45"/>
      <c r="N90" s="45"/>
      <c r="O90" s="45"/>
      <c r="P90" s="54"/>
      <c r="Q90" s="54"/>
      <c r="R90" s="54"/>
      <c r="S90" s="54"/>
      <c r="T90" s="54"/>
      <c r="U90" s="54"/>
      <c r="V90" s="54"/>
      <c r="W90" s="54"/>
      <c r="X90" s="54"/>
      <c r="Y90" s="54"/>
      <c r="Z90" s="54"/>
      <c r="AA90" s="54"/>
      <c r="AB90" s="54"/>
      <c r="AC90" s="54"/>
      <c r="AD90" s="54"/>
      <c r="AE90" s="54"/>
      <c r="AF90" s="54"/>
      <c r="AG90" s="54"/>
      <c r="AH90" s="54"/>
      <c r="AI90" s="45"/>
      <c r="AJ90" s="45"/>
      <c r="AK90" s="45"/>
      <c r="AL90" s="45"/>
      <c r="AM90" s="45"/>
      <c r="AN90" s="45"/>
      <c r="AO90" s="45"/>
      <c r="AP90" s="45"/>
      <c r="AQ90" s="45"/>
      <c r="AR90" s="45"/>
      <c r="AS90" s="45"/>
      <c r="AT90" s="45"/>
      <c r="AU90" s="45"/>
      <c r="AV90" s="45"/>
      <c r="AW90" s="45"/>
      <c r="AX90" s="54"/>
      <c r="AY90" s="54"/>
      <c r="AZ90" s="54"/>
      <c r="BA90" s="54"/>
      <c r="BB90" s="54"/>
      <c r="BC90" s="54"/>
    </row>
    <row r="91" spans="1:55">
      <c r="A91" s="45"/>
      <c r="B91" s="45"/>
      <c r="C91" s="45"/>
      <c r="D91" s="45"/>
      <c r="E91" s="45"/>
      <c r="F91" s="45"/>
      <c r="G91" s="45"/>
      <c r="H91" s="45"/>
      <c r="I91" s="45"/>
      <c r="J91" s="45"/>
      <c r="K91" s="45"/>
      <c r="L91" s="45"/>
      <c r="M91" s="45"/>
      <c r="N91" s="45"/>
      <c r="O91" s="45"/>
      <c r="P91" s="45"/>
      <c r="Q91" s="45"/>
      <c r="R91" s="45"/>
      <c r="S91" s="45"/>
      <c r="T91" s="45"/>
      <c r="U91" s="45"/>
      <c r="V91" s="45"/>
      <c r="W91" s="45"/>
      <c r="X91" s="45"/>
      <c r="Y91" s="45"/>
      <c r="Z91" s="45"/>
      <c r="AA91" s="45"/>
      <c r="AB91" s="45"/>
      <c r="AC91" s="54"/>
      <c r="AD91" s="54"/>
      <c r="AE91" s="54"/>
      <c r="AF91" s="54"/>
      <c r="AG91" s="54"/>
      <c r="AH91" s="54"/>
      <c r="AI91" s="45"/>
      <c r="AJ91" s="45"/>
      <c r="AK91" s="45"/>
      <c r="AL91" s="45"/>
      <c r="AM91" s="45"/>
      <c r="AN91" s="45"/>
      <c r="AO91" s="45"/>
      <c r="AP91" s="45"/>
      <c r="AQ91" s="45"/>
      <c r="AR91" s="45"/>
      <c r="AS91" s="45"/>
      <c r="AT91" s="45"/>
      <c r="AU91" s="45"/>
      <c r="AV91" s="45"/>
      <c r="AW91" s="45"/>
      <c r="AX91" s="45"/>
      <c r="AY91" s="45"/>
      <c r="AZ91" s="54"/>
      <c r="BA91" s="45"/>
      <c r="BB91" s="54"/>
      <c r="BC91" s="54"/>
    </row>
    <row r="92" spans="1:55">
      <c r="A92" s="45"/>
      <c r="B92" s="2341" t="s">
        <v>1706</v>
      </c>
      <c r="C92" s="2342" t="s">
        <v>1394</v>
      </c>
      <c r="D92" s="2443"/>
      <c r="E92" s="2443"/>
      <c r="F92" s="2443"/>
      <c r="G92" s="2443"/>
      <c r="H92" s="2443"/>
      <c r="I92" s="2443"/>
      <c r="J92" s="2443"/>
      <c r="K92" s="2443"/>
      <c r="L92" s="2443"/>
      <c r="M92" s="2443"/>
      <c r="N92" s="2443"/>
      <c r="O92" s="2443"/>
      <c r="P92" s="2443"/>
      <c r="Q92" s="2444"/>
      <c r="R92" s="45"/>
      <c r="S92" s="188"/>
      <c r="T92" s="56" t="s">
        <v>1394</v>
      </c>
      <c r="U92" s="23"/>
      <c r="V92" s="23"/>
      <c r="W92" s="23"/>
      <c r="X92" s="23"/>
      <c r="Y92" s="23"/>
      <c r="Z92" s="23"/>
      <c r="AA92" s="23"/>
      <c r="AB92" s="23"/>
      <c r="AC92" s="23"/>
      <c r="AD92" s="23"/>
      <c r="AE92" s="23"/>
      <c r="AF92" s="23"/>
      <c r="AG92" s="23"/>
      <c r="AH92" s="189"/>
      <c r="AI92" s="45"/>
      <c r="AJ92" s="188"/>
      <c r="AK92" s="56" t="s">
        <v>1394</v>
      </c>
      <c r="AL92" s="23"/>
      <c r="AM92" s="23"/>
      <c r="AN92" s="23"/>
      <c r="AO92" s="23"/>
      <c r="AP92" s="23"/>
      <c r="AQ92" s="23"/>
      <c r="AR92" s="23"/>
      <c r="AS92" s="23"/>
      <c r="AT92" s="23"/>
      <c r="AU92" s="23"/>
      <c r="AV92" s="23"/>
      <c r="AW92" s="23"/>
      <c r="AX92" s="23"/>
      <c r="AY92" s="189"/>
      <c r="AZ92" s="54"/>
      <c r="BA92" s="45"/>
      <c r="BB92" s="54"/>
      <c r="BC92" s="54"/>
    </row>
    <row r="93" spans="1:55">
      <c r="A93" s="45"/>
      <c r="B93" s="1665"/>
      <c r="C93" s="3752" t="s">
        <v>1031</v>
      </c>
      <c r="D93" s="3752"/>
      <c r="E93" s="3752"/>
      <c r="F93" s="3752"/>
      <c r="G93" s="3752"/>
      <c r="H93" s="3752"/>
      <c r="I93" s="3752"/>
      <c r="J93" s="3752"/>
      <c r="K93" s="3752"/>
      <c r="L93" s="3752"/>
      <c r="M93" s="3752"/>
      <c r="N93" s="3752"/>
      <c r="O93" s="3752"/>
      <c r="P93" s="3752"/>
      <c r="Q93" s="1664"/>
      <c r="R93" s="45"/>
      <c r="S93" s="190"/>
      <c r="T93" s="3752" t="s">
        <v>1031</v>
      </c>
      <c r="U93" s="3752"/>
      <c r="V93" s="3752"/>
      <c r="W93" s="3752"/>
      <c r="X93" s="3752"/>
      <c r="Y93" s="3752"/>
      <c r="Z93" s="3752"/>
      <c r="AA93" s="3752"/>
      <c r="AB93" s="3752"/>
      <c r="AC93" s="3752"/>
      <c r="AD93" s="3752"/>
      <c r="AE93" s="3752"/>
      <c r="AF93" s="3752"/>
      <c r="AG93" s="3752"/>
      <c r="AH93" s="90"/>
      <c r="AI93" s="45"/>
      <c r="AJ93" s="190"/>
      <c r="AK93" s="3752" t="s">
        <v>1031</v>
      </c>
      <c r="AL93" s="3752"/>
      <c r="AM93" s="3752"/>
      <c r="AN93" s="3752"/>
      <c r="AO93" s="3752"/>
      <c r="AP93" s="3752"/>
      <c r="AQ93" s="3752"/>
      <c r="AR93" s="3752"/>
      <c r="AS93" s="3752"/>
      <c r="AT93" s="3752"/>
      <c r="AU93" s="3752"/>
      <c r="AV93" s="3752"/>
      <c r="AW93" s="3752"/>
      <c r="AX93" s="3752"/>
      <c r="AY93" s="90"/>
      <c r="AZ93" s="54"/>
      <c r="BA93" s="45"/>
      <c r="BB93" s="54"/>
      <c r="BC93" s="54"/>
    </row>
    <row r="94" spans="1:55">
      <c r="A94" s="45"/>
      <c r="B94" s="1665"/>
      <c r="C94" s="2445"/>
      <c r="D94" s="2445"/>
      <c r="E94" s="2445"/>
      <c r="F94" s="2445"/>
      <c r="G94" s="2445"/>
      <c r="H94" s="2445"/>
      <c r="I94" s="2445"/>
      <c r="J94" s="2445"/>
      <c r="K94" s="2445"/>
      <c r="L94" s="2445"/>
      <c r="M94" s="2445"/>
      <c r="N94" s="2445"/>
      <c r="O94" s="2445"/>
      <c r="P94" s="2445"/>
      <c r="Q94" s="1664"/>
      <c r="R94" s="45"/>
      <c r="S94" s="190"/>
      <c r="T94" s="1"/>
      <c r="U94" s="1"/>
      <c r="V94" s="1"/>
      <c r="W94" s="1"/>
      <c r="X94" s="1"/>
      <c r="Y94" s="1"/>
      <c r="Z94" s="1"/>
      <c r="AA94" s="1"/>
      <c r="AB94" s="1"/>
      <c r="AC94" s="1"/>
      <c r="AD94" s="1"/>
      <c r="AE94" s="1"/>
      <c r="AF94" s="1"/>
      <c r="AG94" s="1"/>
      <c r="AH94" s="90"/>
      <c r="AI94" s="45"/>
      <c r="AJ94" s="190"/>
      <c r="AK94" s="1"/>
      <c r="AL94" s="1"/>
      <c r="AM94" s="1"/>
      <c r="AN94" s="1"/>
      <c r="AO94" s="1"/>
      <c r="AP94" s="1"/>
      <c r="AQ94" s="1"/>
      <c r="AR94" s="1"/>
      <c r="AS94" s="1"/>
      <c r="AT94" s="1"/>
      <c r="AU94" s="1"/>
      <c r="AV94" s="1"/>
      <c r="AW94" s="1"/>
      <c r="AX94" s="1"/>
      <c r="AY94" s="90"/>
      <c r="AZ94" s="54"/>
      <c r="BA94" s="45"/>
      <c r="BB94" s="54"/>
      <c r="BC94" s="54"/>
    </row>
    <row r="95" spans="1:55" ht="15.75">
      <c r="A95" s="45"/>
      <c r="B95" s="1665"/>
      <c r="C95" s="2349" t="str">
        <f>"Country: " &amp;UPPER(Country)</f>
        <v>Country: LITHUANIA</v>
      </c>
      <c r="D95" s="2350"/>
      <c r="E95" s="2445"/>
      <c r="F95" s="2445"/>
      <c r="G95" s="2445"/>
      <c r="H95" s="2445"/>
      <c r="I95" s="2445"/>
      <c r="J95" s="2445"/>
      <c r="K95" s="2445"/>
      <c r="L95" s="2445"/>
      <c r="M95" s="2445"/>
      <c r="N95" s="2445"/>
      <c r="O95" s="2445"/>
      <c r="P95" s="2445"/>
      <c r="Q95" s="1664"/>
      <c r="R95" s="45"/>
      <c r="S95" s="190"/>
      <c r="T95" s="63" t="str">
        <f>"Country: " &amp;UPPER(Country)</f>
        <v>Country: LITHUANIA</v>
      </c>
      <c r="U95" s="64"/>
      <c r="V95" s="1"/>
      <c r="W95" s="1"/>
      <c r="X95" s="2006" t="s">
        <v>390</v>
      </c>
      <c r="Y95" s="1"/>
      <c r="Z95" s="1"/>
      <c r="AA95" s="1"/>
      <c r="AB95" s="1"/>
      <c r="AC95" s="1"/>
      <c r="AD95" s="1"/>
      <c r="AE95" s="1"/>
      <c r="AF95" s="1"/>
      <c r="AG95" s="1"/>
      <c r="AH95" s="90"/>
      <c r="AI95" s="45"/>
      <c r="AJ95" s="190"/>
      <c r="AK95" s="63" t="str">
        <f>"Country: " &amp;UPPER(Country)</f>
        <v>Country: LITHUANIA</v>
      </c>
      <c r="AL95" s="64"/>
      <c r="AM95" s="1"/>
      <c r="AN95" s="1"/>
      <c r="AO95" s="1"/>
      <c r="AP95" s="1"/>
      <c r="AQ95" s="1"/>
      <c r="AR95" s="1"/>
      <c r="AS95" s="1"/>
      <c r="AT95" s="1"/>
      <c r="AU95" s="1"/>
      <c r="AV95" s="1"/>
      <c r="AW95" s="1"/>
      <c r="AX95" s="1"/>
      <c r="AY95" s="90"/>
      <c r="AZ95" s="54"/>
      <c r="BA95" s="45"/>
      <c r="BB95" s="54"/>
      <c r="BC95" s="54"/>
    </row>
    <row r="96" spans="1:55" ht="15.75">
      <c r="A96" s="45"/>
      <c r="B96" s="1665"/>
      <c r="C96" s="2349" t="str">
        <f>"Currency unit: " &amp; Currency</f>
        <v>Currency unit: bn EUR</v>
      </c>
      <c r="D96" s="2353"/>
      <c r="E96" s="2445"/>
      <c r="F96" s="2445"/>
      <c r="G96" s="2445"/>
      <c r="H96" s="2445"/>
      <c r="I96" s="2445"/>
      <c r="J96" s="2445"/>
      <c r="K96" s="2445"/>
      <c r="L96" s="2445"/>
      <c r="M96" s="2445"/>
      <c r="N96" s="2445"/>
      <c r="O96" s="2445"/>
      <c r="P96" s="2445"/>
      <c r="Q96" s="1664"/>
      <c r="R96" s="45"/>
      <c r="S96" s="190"/>
      <c r="T96" s="63" t="str">
        <f>"Currency unit: " &amp; Currency</f>
        <v>Currency unit: bn EUR</v>
      </c>
      <c r="U96" s="67"/>
      <c r="V96" s="1"/>
      <c r="W96" s="1"/>
      <c r="X96" s="2006" t="str">
        <f>$T$4</f>
        <v>2nd storage</v>
      </c>
      <c r="Y96" s="1"/>
      <c r="Z96" s="1"/>
      <c r="AA96" s="1"/>
      <c r="AB96" s="1"/>
      <c r="AC96" s="1"/>
      <c r="AD96" s="1"/>
      <c r="AE96" s="1"/>
      <c r="AF96" s="1"/>
      <c r="AG96" s="1"/>
      <c r="AH96" s="90"/>
      <c r="AI96" s="45"/>
      <c r="AJ96" s="190"/>
      <c r="AK96" s="63" t="str">
        <f>"Currency unit: " &amp; Currency</f>
        <v>Currency unit: bn EUR</v>
      </c>
      <c r="AL96" s="67"/>
      <c r="AM96" s="1"/>
      <c r="AN96" s="1"/>
      <c r="AO96" s="1"/>
      <c r="AP96" s="1"/>
      <c r="AQ96" s="1"/>
      <c r="AR96" s="1"/>
      <c r="AS96" s="1"/>
      <c r="AT96" s="1"/>
      <c r="AU96" s="1"/>
      <c r="AV96" s="1"/>
      <c r="AW96" s="1"/>
      <c r="AX96" s="1"/>
      <c r="AY96" s="90"/>
      <c r="AZ96" s="54"/>
      <c r="BA96" s="45"/>
      <c r="BB96" s="54"/>
      <c r="BC96" s="54"/>
    </row>
    <row r="97" spans="1:256">
      <c r="A97" s="45"/>
      <c r="B97" s="1665"/>
      <c r="C97" s="2355" t="s">
        <v>297</v>
      </c>
      <c r="D97" s="2445"/>
      <c r="E97" s="2445"/>
      <c r="F97" s="2445"/>
      <c r="G97" s="2445"/>
      <c r="H97" s="2445"/>
      <c r="I97" s="2445"/>
      <c r="J97" s="2445"/>
      <c r="K97" s="2445"/>
      <c r="L97" s="2445"/>
      <c r="M97" s="2445"/>
      <c r="N97" s="2445"/>
      <c r="O97" s="2445"/>
      <c r="P97" s="2445"/>
      <c r="Q97" s="1664"/>
      <c r="R97" s="45"/>
      <c r="S97" s="190"/>
      <c r="T97" s="69" t="s">
        <v>297</v>
      </c>
      <c r="U97" s="1"/>
      <c r="V97" s="1"/>
      <c r="W97" s="1"/>
      <c r="X97" s="1"/>
      <c r="Y97" s="1"/>
      <c r="Z97" s="1"/>
      <c r="AA97" s="1"/>
      <c r="AB97" s="1"/>
      <c r="AC97" s="1"/>
      <c r="AD97" s="1"/>
      <c r="AE97" s="1"/>
      <c r="AF97" s="1"/>
      <c r="AG97" s="1"/>
      <c r="AH97" s="90"/>
      <c r="AI97" s="45"/>
      <c r="AJ97" s="190"/>
      <c r="AK97" s="69" t="s">
        <v>297</v>
      </c>
      <c r="AL97" s="1"/>
      <c r="AM97" s="1"/>
      <c r="AN97" s="1"/>
      <c r="AO97" s="1"/>
      <c r="AP97" s="1"/>
      <c r="AQ97" s="1"/>
      <c r="AR97" s="1"/>
      <c r="AS97" s="1"/>
      <c r="AT97" s="1"/>
      <c r="AU97" s="1"/>
      <c r="AV97" s="1"/>
      <c r="AW97" s="1"/>
      <c r="AX97" s="1"/>
      <c r="AY97" s="90"/>
      <c r="AZ97" s="54"/>
      <c r="BA97" s="45"/>
      <c r="BB97" s="54"/>
      <c r="BC97" s="54"/>
    </row>
    <row r="98" spans="1:256" ht="13.5" thickBot="1">
      <c r="A98" s="45"/>
      <c r="B98" s="1665"/>
      <c r="C98" s="2445"/>
      <c r="D98" s="2445"/>
      <c r="E98" s="2445"/>
      <c r="F98" s="2445"/>
      <c r="G98" s="2445"/>
      <c r="H98" s="2445"/>
      <c r="I98" s="2445"/>
      <c r="J98" s="2445"/>
      <c r="K98" s="2445"/>
      <c r="L98" s="2445"/>
      <c r="M98" s="2445"/>
      <c r="N98" s="2445"/>
      <c r="O98" s="3790">
        <f ca="1">NOW()</f>
        <v>43335.58773900463</v>
      </c>
      <c r="P98" s="3790"/>
      <c r="Q98" s="1664"/>
      <c r="R98" s="45"/>
      <c r="S98" s="190"/>
      <c r="T98" s="1"/>
      <c r="U98" s="1"/>
      <c r="V98" s="1"/>
      <c r="W98" s="1"/>
      <c r="X98" s="1"/>
      <c r="Y98" s="1"/>
      <c r="Z98" s="1"/>
      <c r="AA98" s="1"/>
      <c r="AB98" s="1"/>
      <c r="AC98" s="1"/>
      <c r="AD98" s="1"/>
      <c r="AE98" s="1"/>
      <c r="AF98" s="3752">
        <f ca="1">NOW()</f>
        <v>43335.58773900463</v>
      </c>
      <c r="AG98" s="3752"/>
      <c r="AH98" s="90"/>
      <c r="AI98" s="45"/>
      <c r="AJ98" s="190"/>
      <c r="AK98" s="1"/>
      <c r="AL98" s="1"/>
      <c r="AM98" s="1"/>
      <c r="AN98" s="1"/>
      <c r="AO98" s="1"/>
      <c r="AP98" s="1"/>
      <c r="AQ98" s="1"/>
      <c r="AR98" s="1"/>
      <c r="AS98" s="1"/>
      <c r="AT98" s="1"/>
      <c r="AU98" s="1"/>
      <c r="AV98" s="1"/>
      <c r="AW98" s="3752">
        <f ca="1">NOW()</f>
        <v>43335.58773900463</v>
      </c>
      <c r="AX98" s="3752"/>
      <c r="AY98" s="90"/>
      <c r="AZ98" s="54"/>
      <c r="BA98" s="45"/>
      <c r="BB98" s="54"/>
      <c r="BC98" s="54"/>
    </row>
    <row r="99" spans="1:256">
      <c r="A99" s="45"/>
      <c r="B99" s="1665"/>
      <c r="C99" s="2357"/>
      <c r="D99" s="2358"/>
      <c r="E99" s="3752">
        <f>F16</f>
        <v>2017</v>
      </c>
      <c r="F99" s="3752"/>
      <c r="G99" s="3752"/>
      <c r="H99" s="3752"/>
      <c r="I99" s="3752">
        <f>E99+1</f>
        <v>2018</v>
      </c>
      <c r="J99" s="3752"/>
      <c r="K99" s="3752"/>
      <c r="L99" s="3752"/>
      <c r="M99" s="3752">
        <f>I99+1</f>
        <v>2019</v>
      </c>
      <c r="N99" s="3752"/>
      <c r="O99" s="3752"/>
      <c r="P99" s="3752"/>
      <c r="Q99" s="2447"/>
      <c r="R99" s="45"/>
      <c r="S99" s="190"/>
      <c r="T99" s="191"/>
      <c r="U99" s="73"/>
      <c r="V99" s="3752">
        <f>Last_forecast_year-2</f>
        <v>2017</v>
      </c>
      <c r="W99" s="3752"/>
      <c r="X99" s="3752"/>
      <c r="Y99" s="3752"/>
      <c r="Z99" s="3752">
        <f>V99+1</f>
        <v>2018</v>
      </c>
      <c r="AA99" s="3752"/>
      <c r="AB99" s="3752"/>
      <c r="AC99" s="3752"/>
      <c r="AD99" s="3752">
        <f>Z99+1</f>
        <v>2019</v>
      </c>
      <c r="AE99" s="3752"/>
      <c r="AF99" s="3752"/>
      <c r="AG99" s="3752"/>
      <c r="AH99" s="192"/>
      <c r="AI99" s="45"/>
      <c r="AJ99" s="190"/>
      <c r="AK99" s="191"/>
      <c r="AL99" s="73"/>
      <c r="AM99" s="3752">
        <f>Last_forecast_year - 2</f>
        <v>2017</v>
      </c>
      <c r="AN99" s="3752"/>
      <c r="AO99" s="3752"/>
      <c r="AP99" s="3752"/>
      <c r="AQ99" s="3752">
        <f>AM99+1</f>
        <v>2018</v>
      </c>
      <c r="AR99" s="3752"/>
      <c r="AS99" s="3752"/>
      <c r="AT99" s="3752"/>
      <c r="AU99" s="3752">
        <f>AQ99+1</f>
        <v>2019</v>
      </c>
      <c r="AV99" s="3752"/>
      <c r="AW99" s="3752"/>
      <c r="AX99" s="3752"/>
      <c r="AY99" s="192"/>
      <c r="AZ99" s="54"/>
      <c r="BA99" s="45"/>
      <c r="BB99" s="54"/>
      <c r="BC99" s="54"/>
    </row>
    <row r="100" spans="1:256">
      <c r="A100" s="45"/>
      <c r="B100" s="1665"/>
      <c r="C100" s="1666"/>
      <c r="D100" s="2351"/>
      <c r="E100" s="2448" t="s">
        <v>1395</v>
      </c>
      <c r="F100" s="2448" t="s">
        <v>1396</v>
      </c>
      <c r="G100" s="2448" t="s">
        <v>1397</v>
      </c>
      <c r="H100" s="2448" t="s">
        <v>1398</v>
      </c>
      <c r="I100" s="2448" t="s">
        <v>1395</v>
      </c>
      <c r="J100" s="2448" t="s">
        <v>1396</v>
      </c>
      <c r="K100" s="2448" t="s">
        <v>1397</v>
      </c>
      <c r="L100" s="2448" t="s">
        <v>1398</v>
      </c>
      <c r="M100" s="2448" t="s">
        <v>1395</v>
      </c>
      <c r="N100" s="2448" t="s">
        <v>1396</v>
      </c>
      <c r="O100" s="2448" t="s">
        <v>1397</v>
      </c>
      <c r="P100" s="2449" t="s">
        <v>1398</v>
      </c>
      <c r="Q100" s="2447"/>
      <c r="R100" s="45"/>
      <c r="S100" s="190"/>
      <c r="T100" s="40"/>
      <c r="U100" s="65"/>
      <c r="V100" s="193" t="s">
        <v>1395</v>
      </c>
      <c r="W100" s="193" t="s">
        <v>1396</v>
      </c>
      <c r="X100" s="193" t="s">
        <v>1397</v>
      </c>
      <c r="Y100" s="193" t="s">
        <v>1398</v>
      </c>
      <c r="Z100" s="193" t="s">
        <v>1395</v>
      </c>
      <c r="AA100" s="193" t="s">
        <v>1396</v>
      </c>
      <c r="AB100" s="193" t="s">
        <v>1397</v>
      </c>
      <c r="AC100" s="193" t="s">
        <v>1398</v>
      </c>
      <c r="AD100" s="193" t="s">
        <v>1395</v>
      </c>
      <c r="AE100" s="193" t="s">
        <v>1396</v>
      </c>
      <c r="AF100" s="193" t="s">
        <v>1397</v>
      </c>
      <c r="AG100" s="194" t="s">
        <v>1398</v>
      </c>
      <c r="AH100" s="192"/>
      <c r="AI100" s="45"/>
      <c r="AJ100" s="190"/>
      <c r="AK100" s="40"/>
      <c r="AL100" s="65"/>
      <c r="AM100" s="193" t="s">
        <v>1395</v>
      </c>
      <c r="AN100" s="193" t="s">
        <v>1396</v>
      </c>
      <c r="AO100" s="193" t="s">
        <v>1397</v>
      </c>
      <c r="AP100" s="193" t="s">
        <v>1398</v>
      </c>
      <c r="AQ100" s="193" t="s">
        <v>1395</v>
      </c>
      <c r="AR100" s="193" t="s">
        <v>1396</v>
      </c>
      <c r="AS100" s="193" t="s">
        <v>1397</v>
      </c>
      <c r="AT100" s="193" t="s">
        <v>1398</v>
      </c>
      <c r="AU100" s="193" t="s">
        <v>1395</v>
      </c>
      <c r="AV100" s="193" t="s">
        <v>1396</v>
      </c>
      <c r="AW100" s="193" t="s">
        <v>1397</v>
      </c>
      <c r="AX100" s="194" t="s">
        <v>1398</v>
      </c>
      <c r="AY100" s="192"/>
      <c r="AZ100" s="54"/>
      <c r="BA100" s="45"/>
      <c r="BB100" s="54"/>
      <c r="BC100" s="54"/>
    </row>
    <row r="101" spans="1:256" s="45" customFormat="1">
      <c r="B101" s="1665"/>
      <c r="C101" s="1666"/>
      <c r="D101" s="2351"/>
      <c r="E101" s="3752" t="s">
        <v>267</v>
      </c>
      <c r="F101" s="3752"/>
      <c r="G101" s="3752"/>
      <c r="H101" s="3752"/>
      <c r="I101" s="3752"/>
      <c r="J101" s="3752"/>
      <c r="K101" s="3752"/>
      <c r="L101" s="3752"/>
      <c r="M101" s="3752"/>
      <c r="N101" s="3752"/>
      <c r="O101" s="3752"/>
      <c r="P101" s="3752"/>
      <c r="Q101" s="2447"/>
      <c r="S101" s="190"/>
      <c r="T101" s="40"/>
      <c r="U101" s="65"/>
      <c r="V101" s="3752" t="s">
        <v>267</v>
      </c>
      <c r="W101" s="3752"/>
      <c r="X101" s="3752"/>
      <c r="Y101" s="3752"/>
      <c r="Z101" s="3752"/>
      <c r="AA101" s="3752"/>
      <c r="AB101" s="3752"/>
      <c r="AC101" s="3752"/>
      <c r="AD101" s="3752"/>
      <c r="AE101" s="3752"/>
      <c r="AF101" s="3752"/>
      <c r="AG101" s="3752"/>
      <c r="AH101" s="192"/>
      <c r="AJ101" s="190"/>
      <c r="AK101" s="40"/>
      <c r="AL101" s="65"/>
      <c r="AM101" s="3752" t="s">
        <v>267</v>
      </c>
      <c r="AN101" s="3752"/>
      <c r="AO101" s="3752"/>
      <c r="AP101" s="3752"/>
      <c r="AQ101" s="3752"/>
      <c r="AR101" s="3752"/>
      <c r="AS101" s="3752"/>
      <c r="AT101" s="3752"/>
      <c r="AU101" s="3752"/>
      <c r="AV101" s="3752"/>
      <c r="AW101" s="3752"/>
      <c r="AX101" s="3752"/>
      <c r="AY101" s="192"/>
      <c r="AZ101" s="54"/>
      <c r="BB101" s="54"/>
      <c r="BC101" s="54"/>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c r="HB101"/>
      <c r="HC101"/>
      <c r="HD101"/>
      <c r="HE101"/>
      <c r="HF101"/>
      <c r="HG101"/>
      <c r="HH101"/>
      <c r="HI101"/>
      <c r="HJ101"/>
      <c r="HK101"/>
      <c r="HL101"/>
      <c r="HM101"/>
      <c r="HN101"/>
      <c r="HO101"/>
      <c r="HP101"/>
      <c r="HQ101"/>
      <c r="HR101"/>
      <c r="HS101"/>
      <c r="HT101"/>
      <c r="HU101"/>
      <c r="HV101"/>
      <c r="HW101"/>
      <c r="HX101"/>
      <c r="HY101"/>
      <c r="HZ101"/>
      <c r="IA101"/>
      <c r="IB101"/>
      <c r="IC101"/>
      <c r="ID101"/>
      <c r="IE101"/>
      <c r="IF101"/>
      <c r="IG101"/>
      <c r="IH101"/>
      <c r="II101"/>
      <c r="IJ101"/>
      <c r="IK101"/>
      <c r="IL101"/>
      <c r="IM101"/>
      <c r="IN101"/>
      <c r="IO101"/>
      <c r="IP101"/>
      <c r="IQ101"/>
      <c r="IR101"/>
      <c r="IS101"/>
      <c r="IT101"/>
      <c r="IU101"/>
      <c r="IV101"/>
    </row>
    <row r="102" spans="1:256" s="45" customFormat="1">
      <c r="B102" s="1665"/>
      <c r="C102" s="1666"/>
      <c r="D102" s="2351"/>
      <c r="E102" s="3752" t="s">
        <v>268</v>
      </c>
      <c r="F102" s="3752"/>
      <c r="G102" s="3752"/>
      <c r="H102" s="3752"/>
      <c r="I102" s="3752"/>
      <c r="J102" s="3752"/>
      <c r="K102" s="3752"/>
      <c r="L102" s="3752"/>
      <c r="M102" s="3752"/>
      <c r="N102" s="3752"/>
      <c r="O102" s="3752"/>
      <c r="P102" s="3752"/>
      <c r="Q102" s="2348"/>
      <c r="S102" s="190"/>
      <c r="T102" s="40"/>
      <c r="U102" s="65"/>
      <c r="V102" s="3752" t="s">
        <v>268</v>
      </c>
      <c r="W102" s="3752"/>
      <c r="X102" s="3752"/>
      <c r="Y102" s="3752"/>
      <c r="Z102" s="3752"/>
      <c r="AA102" s="3752"/>
      <c r="AB102" s="3752"/>
      <c r="AC102" s="3752"/>
      <c r="AD102" s="3752"/>
      <c r="AE102" s="3752"/>
      <c r="AF102" s="3752"/>
      <c r="AG102" s="3752"/>
      <c r="AH102" s="62"/>
      <c r="AJ102" s="190"/>
      <c r="AK102" s="40"/>
      <c r="AL102" s="65"/>
      <c r="AM102" s="3752" t="s">
        <v>268</v>
      </c>
      <c r="AN102" s="3752"/>
      <c r="AO102" s="3752"/>
      <c r="AP102" s="3752"/>
      <c r="AQ102" s="3752"/>
      <c r="AR102" s="3752"/>
      <c r="AS102" s="3752"/>
      <c r="AT102" s="3752"/>
      <c r="AU102" s="3752"/>
      <c r="AV102" s="3752"/>
      <c r="AW102" s="3752"/>
      <c r="AX102" s="3752"/>
      <c r="AY102" s="62"/>
      <c r="AZ102" s="54"/>
      <c r="BB102" s="54"/>
      <c r="BC102" s="54"/>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c r="HB102"/>
      <c r="HC102"/>
      <c r="HD102"/>
      <c r="HE102"/>
      <c r="HF102"/>
      <c r="HG102"/>
      <c r="HH102"/>
      <c r="HI102"/>
      <c r="HJ102"/>
      <c r="HK102"/>
      <c r="HL102"/>
      <c r="HM102"/>
      <c r="HN102"/>
      <c r="HO102"/>
      <c r="HP102"/>
      <c r="HQ102"/>
      <c r="HR102"/>
      <c r="HS102"/>
      <c r="HT102"/>
      <c r="HU102"/>
      <c r="HV102"/>
      <c r="HW102"/>
      <c r="HX102"/>
      <c r="HY102"/>
      <c r="HZ102"/>
      <c r="IA102"/>
      <c r="IB102"/>
      <c r="IC102"/>
      <c r="ID102"/>
      <c r="IE102"/>
      <c r="IF102"/>
      <c r="IG102"/>
      <c r="IH102"/>
      <c r="II102"/>
      <c r="IJ102"/>
      <c r="IK102"/>
      <c r="IL102"/>
      <c r="IM102"/>
      <c r="IN102"/>
      <c r="IO102"/>
      <c r="IP102"/>
      <c r="IQ102"/>
      <c r="IR102"/>
      <c r="IS102"/>
      <c r="IT102"/>
      <c r="IU102"/>
      <c r="IV102"/>
    </row>
    <row r="103" spans="1:256" s="45" customFormat="1">
      <c r="B103" s="1665"/>
      <c r="C103" s="2384" t="s">
        <v>648</v>
      </c>
      <c r="D103" s="2343"/>
      <c r="E103" s="2450">
        <f ca="1">Transfer!D115</f>
        <v>0.71497153830328841</v>
      </c>
      <c r="F103" s="2450">
        <f ca="1">Transfer!E115</f>
        <v>1.1508145928738056</v>
      </c>
      <c r="G103" s="2450">
        <f ca="1">Transfer!F115</f>
        <v>-2.1879260144408441E-2</v>
      </c>
      <c r="H103" s="2450">
        <f ca="1">Transfer!G115</f>
        <v>1.7574574102754204</v>
      </c>
      <c r="I103" s="2450">
        <f ca="1">Transfer!H115</f>
        <v>0.75</v>
      </c>
      <c r="J103" s="2450">
        <f ca="1">Transfer!I115</f>
        <v>0.75</v>
      </c>
      <c r="K103" s="2450">
        <f ca="1">Transfer!J115</f>
        <v>0.75</v>
      </c>
      <c r="L103" s="2450">
        <f ca="1">Transfer!K115</f>
        <v>0.75</v>
      </c>
      <c r="M103" s="2450">
        <f ca="1">Transfer!L115</f>
        <v>0.84</v>
      </c>
      <c r="N103" s="2450">
        <f ca="1">Transfer!M115</f>
        <v>0.84</v>
      </c>
      <c r="O103" s="2450">
        <f ca="1">Transfer!N115</f>
        <v>0.84</v>
      </c>
      <c r="P103" s="2451">
        <f ca="1">Transfer!O115</f>
        <v>0.84</v>
      </c>
      <c r="Q103" s="2452"/>
      <c r="S103" s="190"/>
      <c r="T103" s="2384" t="s">
        <v>648</v>
      </c>
      <c r="U103" s="57"/>
      <c r="V103" s="195">
        <f t="shared" ref="V103:AG107" ca="1" si="7">ROUND(E103,1)-ROUND(AM103,1)</f>
        <v>9999.7000000000007</v>
      </c>
      <c r="W103" s="195">
        <f t="shared" ca="1" si="7"/>
        <v>10000.200000000001</v>
      </c>
      <c r="X103" s="195">
        <f t="shared" ca="1" si="7"/>
        <v>9999</v>
      </c>
      <c r="Y103" s="195">
        <f t="shared" ca="1" si="7"/>
        <v>10000.799999999999</v>
      </c>
      <c r="Z103" s="195">
        <f t="shared" ca="1" si="7"/>
        <v>9999.7999999999993</v>
      </c>
      <c r="AA103" s="195">
        <f t="shared" ca="1" si="7"/>
        <v>9999.7999999999993</v>
      </c>
      <c r="AB103" s="195">
        <f t="shared" ca="1" si="7"/>
        <v>9999.7999999999993</v>
      </c>
      <c r="AC103" s="195">
        <f t="shared" ca="1" si="7"/>
        <v>9999.7999999999993</v>
      </c>
      <c r="AD103" s="195">
        <f t="shared" ca="1" si="7"/>
        <v>9999.7999999999993</v>
      </c>
      <c r="AE103" s="195">
        <f t="shared" ca="1" si="7"/>
        <v>9999.7999999999993</v>
      </c>
      <c r="AF103" s="195">
        <f t="shared" ca="1" si="7"/>
        <v>9999.7999999999993</v>
      </c>
      <c r="AG103" s="358">
        <f t="shared" ca="1" si="7"/>
        <v>9999.7999999999993</v>
      </c>
      <c r="AH103" s="196"/>
      <c r="AJ103" s="190"/>
      <c r="AK103" s="2384" t="s">
        <v>648</v>
      </c>
      <c r="AL103" s="57"/>
      <c r="AM103" s="195">
        <f>Transfer!AD115</f>
        <v>-9999</v>
      </c>
      <c r="AN103" s="195">
        <f>Transfer!AE115</f>
        <v>-9999</v>
      </c>
      <c r="AO103" s="195">
        <f>Transfer!AF115</f>
        <v>-9999</v>
      </c>
      <c r="AP103" s="195">
        <f>Transfer!AG115</f>
        <v>-9999</v>
      </c>
      <c r="AQ103" s="195">
        <f>Transfer!AH115</f>
        <v>-9999</v>
      </c>
      <c r="AR103" s="195">
        <f>Transfer!AI115</f>
        <v>-9999</v>
      </c>
      <c r="AS103" s="195">
        <f>Transfer!AJ115</f>
        <v>-9999</v>
      </c>
      <c r="AT103" s="195">
        <f>Transfer!AK115</f>
        <v>-9999</v>
      </c>
      <c r="AU103" s="195">
        <f>Transfer!AL115</f>
        <v>-9999</v>
      </c>
      <c r="AV103" s="195">
        <f>Transfer!AM115</f>
        <v>-9999</v>
      </c>
      <c r="AW103" s="195">
        <f>Transfer!AN115</f>
        <v>-9999</v>
      </c>
      <c r="AX103" s="358">
        <f>Transfer!AO115</f>
        <v>-9999</v>
      </c>
      <c r="AY103" s="196"/>
      <c r="AZ103" s="54"/>
      <c r="BA103" s="519" t="s">
        <v>948</v>
      </c>
      <c r="BB103" s="54"/>
      <c r="BC103" s="54"/>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c r="HB103"/>
      <c r="HC103"/>
      <c r="HD103"/>
      <c r="HE103"/>
      <c r="HF103"/>
      <c r="HG103"/>
      <c r="HH103"/>
      <c r="HI103"/>
      <c r="HJ103"/>
      <c r="HK103"/>
      <c r="HL103"/>
      <c r="HM103"/>
      <c r="HN103"/>
      <c r="HO103"/>
      <c r="HP103"/>
      <c r="HQ103"/>
      <c r="HR103"/>
      <c r="HS103"/>
      <c r="HT103"/>
      <c r="HU103"/>
      <c r="HV103"/>
      <c r="HW103"/>
      <c r="HX103"/>
      <c r="HY103"/>
      <c r="HZ103"/>
      <c r="IA103"/>
      <c r="IB103"/>
      <c r="IC103"/>
      <c r="ID103"/>
      <c r="IE103"/>
      <c r="IF103"/>
      <c r="IG103"/>
      <c r="IH103"/>
      <c r="II103"/>
      <c r="IJ103"/>
      <c r="IK103"/>
      <c r="IL103"/>
      <c r="IM103"/>
      <c r="IN103"/>
      <c r="IO103"/>
      <c r="IP103"/>
      <c r="IQ103"/>
      <c r="IR103"/>
      <c r="IS103"/>
      <c r="IT103"/>
      <c r="IU103"/>
      <c r="IV103"/>
    </row>
    <row r="104" spans="1:256" s="45" customFormat="1">
      <c r="B104" s="1665"/>
      <c r="C104" s="1666" t="s">
        <v>1834</v>
      </c>
      <c r="D104" s="2351"/>
      <c r="E104" s="2453">
        <f ca="1">Transfer!D116</f>
        <v>8.9630446773303341E-2</v>
      </c>
      <c r="F104" s="2453">
        <f ca="1">Transfer!E116</f>
        <v>0.22731969415168418</v>
      </c>
      <c r="G104" s="2453">
        <f ca="1">Transfer!F116</f>
        <v>9.6219931271490644E-2</v>
      </c>
      <c r="H104" s="2453">
        <f ca="1">Transfer!G116</f>
        <v>0.15105740181267091</v>
      </c>
      <c r="I104" s="2453">
        <f ca="1">Transfer!H116</f>
        <v>0.5</v>
      </c>
      <c r="J104" s="2453">
        <f ca="1">Transfer!I116</f>
        <v>0.6</v>
      </c>
      <c r="K104" s="2453">
        <f ca="1">Transfer!J116</f>
        <v>0.6</v>
      </c>
      <c r="L104" s="2453">
        <f ca="1">Transfer!K116</f>
        <v>0.6</v>
      </c>
      <c r="M104" s="2453">
        <f ca="1">Transfer!L116</f>
        <v>0.3</v>
      </c>
      <c r="N104" s="2453">
        <f ca="1">Transfer!M116</f>
        <v>0.25</v>
      </c>
      <c r="O104" s="2453">
        <f ca="1">Transfer!N116</f>
        <v>0.2</v>
      </c>
      <c r="P104" s="2454">
        <f ca="1">Transfer!O116</f>
        <v>0.18</v>
      </c>
      <c r="Q104" s="2452"/>
      <c r="S104" s="190"/>
      <c r="T104" s="1666" t="s">
        <v>1834</v>
      </c>
      <c r="U104" s="65"/>
      <c r="V104" s="197">
        <f t="shared" ca="1" si="7"/>
        <v>9999.1</v>
      </c>
      <c r="W104" s="197">
        <f t="shared" ca="1" si="7"/>
        <v>9999.2000000000007</v>
      </c>
      <c r="X104" s="197">
        <f t="shared" ca="1" si="7"/>
        <v>9999.1</v>
      </c>
      <c r="Y104" s="197">
        <f t="shared" ca="1" si="7"/>
        <v>9999.2000000000007</v>
      </c>
      <c r="Z104" s="197">
        <f t="shared" ca="1" si="7"/>
        <v>9999.5</v>
      </c>
      <c r="AA104" s="197">
        <f t="shared" ca="1" si="7"/>
        <v>9999.6</v>
      </c>
      <c r="AB104" s="197">
        <f t="shared" ca="1" si="7"/>
        <v>9999.6</v>
      </c>
      <c r="AC104" s="197">
        <f t="shared" ca="1" si="7"/>
        <v>9999.6</v>
      </c>
      <c r="AD104" s="197">
        <f t="shared" ca="1" si="7"/>
        <v>9999.2999999999993</v>
      </c>
      <c r="AE104" s="197">
        <f t="shared" ca="1" si="7"/>
        <v>9999.2999999999993</v>
      </c>
      <c r="AF104" s="197">
        <f t="shared" ca="1" si="7"/>
        <v>9999.2000000000007</v>
      </c>
      <c r="AG104" s="341">
        <f t="shared" ca="1" si="7"/>
        <v>9999.2000000000007</v>
      </c>
      <c r="AH104" s="196"/>
      <c r="AJ104" s="190"/>
      <c r="AK104" s="1666" t="s">
        <v>1834</v>
      </c>
      <c r="AL104" s="65"/>
      <c r="AM104" s="197">
        <f>Transfer!AD116</f>
        <v>-9999</v>
      </c>
      <c r="AN104" s="197">
        <f>Transfer!AE116</f>
        <v>-9999</v>
      </c>
      <c r="AO104" s="197">
        <f>Transfer!AF116</f>
        <v>-9999</v>
      </c>
      <c r="AP104" s="197">
        <f>Transfer!AG116</f>
        <v>-9999</v>
      </c>
      <c r="AQ104" s="197">
        <f>Transfer!AH116</f>
        <v>-9999</v>
      </c>
      <c r="AR104" s="197">
        <f>Transfer!AI116</f>
        <v>-9999</v>
      </c>
      <c r="AS104" s="197">
        <f>Transfer!AJ116</f>
        <v>-9999</v>
      </c>
      <c r="AT104" s="197">
        <f>Transfer!AK116</f>
        <v>-9999</v>
      </c>
      <c r="AU104" s="197">
        <f>Transfer!AL116</f>
        <v>-9999</v>
      </c>
      <c r="AV104" s="197">
        <f>Transfer!AM116</f>
        <v>-9999</v>
      </c>
      <c r="AW104" s="197">
        <f>Transfer!AN116</f>
        <v>-9999</v>
      </c>
      <c r="AX104" s="341">
        <f>Transfer!AO116</f>
        <v>-9999</v>
      </c>
      <c r="AY104" s="196"/>
      <c r="AZ104" s="54"/>
      <c r="BA104" s="1677" t="s">
        <v>269</v>
      </c>
      <c r="BB104" s="54"/>
      <c r="BC104" s="5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c r="HB104"/>
      <c r="HC104"/>
      <c r="HD104"/>
      <c r="HE104"/>
      <c r="HF104"/>
      <c r="HG104"/>
      <c r="HH104"/>
      <c r="HI104"/>
      <c r="HJ104"/>
      <c r="HK104"/>
      <c r="HL104"/>
      <c r="HM104"/>
      <c r="HN104"/>
      <c r="HO104"/>
      <c r="HP104"/>
      <c r="HQ104"/>
      <c r="HR104"/>
      <c r="HS104"/>
      <c r="HT104"/>
      <c r="HU104"/>
      <c r="HV104"/>
      <c r="HW104"/>
      <c r="HX104"/>
      <c r="HY104"/>
      <c r="HZ104"/>
      <c r="IA104"/>
      <c r="IB104"/>
      <c r="IC104"/>
      <c r="ID104"/>
      <c r="IE104"/>
      <c r="IF104"/>
      <c r="IG104"/>
      <c r="IH104"/>
      <c r="II104"/>
      <c r="IJ104"/>
      <c r="IK104"/>
      <c r="IL104"/>
      <c r="IM104"/>
      <c r="IN104"/>
      <c r="IO104"/>
      <c r="IP104"/>
      <c r="IQ104"/>
      <c r="IR104"/>
      <c r="IS104"/>
      <c r="IT104"/>
      <c r="IU104"/>
      <c r="IV104"/>
    </row>
    <row r="105" spans="1:256" s="45" customFormat="1">
      <c r="B105" s="1665"/>
      <c r="C105" s="2455" t="s">
        <v>973</v>
      </c>
      <c r="D105" s="2433"/>
      <c r="E105" s="2453">
        <f ca="1">Transfer!D117</f>
        <v>-0.68142108328480555</v>
      </c>
      <c r="F105" s="2453">
        <f ca="1">Transfer!E117</f>
        <v>2.738521081334655</v>
      </c>
      <c r="G105" s="2453">
        <f ca="1">Transfer!F117</f>
        <v>1.2557077625570789</v>
      </c>
      <c r="H105" s="2453">
        <f ca="1">Transfer!G117</f>
        <v>7.5479143179256081</v>
      </c>
      <c r="I105" s="2453">
        <f ca="1">Transfer!H117</f>
        <v>-1.5</v>
      </c>
      <c r="J105" s="2453">
        <f ca="1">Transfer!I117</f>
        <v>0.8</v>
      </c>
      <c r="K105" s="2453">
        <f ca="1">Transfer!J117</f>
        <v>1</v>
      </c>
      <c r="L105" s="2453">
        <f ca="1">Transfer!K117</f>
        <v>1.1499999999999999</v>
      </c>
      <c r="M105" s="2453">
        <f ca="1">Transfer!L117</f>
        <v>1.03</v>
      </c>
      <c r="N105" s="2453">
        <f ca="1">Transfer!M117</f>
        <v>1</v>
      </c>
      <c r="O105" s="2453">
        <f ca="1">Transfer!N117</f>
        <v>1</v>
      </c>
      <c r="P105" s="2454">
        <f ca="1">Transfer!O117</f>
        <v>1</v>
      </c>
      <c r="Q105" s="2452"/>
      <c r="S105" s="190"/>
      <c r="T105" s="2455" t="s">
        <v>973</v>
      </c>
      <c r="U105" s="198"/>
      <c r="V105" s="197">
        <f t="shared" ca="1" si="7"/>
        <v>9998.2999999999993</v>
      </c>
      <c r="W105" s="197">
        <f t="shared" ca="1" si="7"/>
        <v>10001.700000000001</v>
      </c>
      <c r="X105" s="197">
        <f t="shared" ca="1" si="7"/>
        <v>10000.299999999999</v>
      </c>
      <c r="Y105" s="197">
        <f t="shared" ca="1" si="7"/>
        <v>10006.5</v>
      </c>
      <c r="Z105" s="197">
        <f t="shared" ca="1" si="7"/>
        <v>9997.5</v>
      </c>
      <c r="AA105" s="197">
        <f t="shared" ca="1" si="7"/>
        <v>9999.7999999999993</v>
      </c>
      <c r="AB105" s="197">
        <f t="shared" ca="1" si="7"/>
        <v>10000</v>
      </c>
      <c r="AC105" s="197">
        <f t="shared" ca="1" si="7"/>
        <v>10000.200000000001</v>
      </c>
      <c r="AD105" s="197">
        <f t="shared" ca="1" si="7"/>
        <v>10000</v>
      </c>
      <c r="AE105" s="197">
        <f t="shared" ca="1" si="7"/>
        <v>10000</v>
      </c>
      <c r="AF105" s="197">
        <f t="shared" ca="1" si="7"/>
        <v>10000</v>
      </c>
      <c r="AG105" s="341">
        <f t="shared" ca="1" si="7"/>
        <v>10000</v>
      </c>
      <c r="AH105" s="199"/>
      <c r="AJ105" s="190"/>
      <c r="AK105" s="2455" t="s">
        <v>973</v>
      </c>
      <c r="AL105" s="198"/>
      <c r="AM105" s="197">
        <f>Transfer!AD117</f>
        <v>-9999</v>
      </c>
      <c r="AN105" s="197">
        <f>Transfer!AE117</f>
        <v>-9999</v>
      </c>
      <c r="AO105" s="197">
        <f>Transfer!AF117</f>
        <v>-9999</v>
      </c>
      <c r="AP105" s="197">
        <f>Transfer!AG117</f>
        <v>-9999</v>
      </c>
      <c r="AQ105" s="197">
        <f>Transfer!AH117</f>
        <v>-9999</v>
      </c>
      <c r="AR105" s="197">
        <f>Transfer!AI117</f>
        <v>-9999</v>
      </c>
      <c r="AS105" s="197">
        <f>Transfer!AJ117</f>
        <v>-9999</v>
      </c>
      <c r="AT105" s="197">
        <f>Transfer!AK117</f>
        <v>-9999</v>
      </c>
      <c r="AU105" s="197">
        <f>Transfer!AL117</f>
        <v>-9999</v>
      </c>
      <c r="AV105" s="197">
        <f>Transfer!AM117</f>
        <v>-9999</v>
      </c>
      <c r="AW105" s="197">
        <f>Transfer!AN117</f>
        <v>-9999</v>
      </c>
      <c r="AX105" s="341">
        <f>Transfer!AO117</f>
        <v>-9999</v>
      </c>
      <c r="AY105" s="199"/>
      <c r="AZ105" s="54"/>
      <c r="BA105" s="1677" t="s">
        <v>949</v>
      </c>
      <c r="BB105" s="54"/>
      <c r="BC105" s="54"/>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c r="IC105"/>
      <c r="ID105"/>
      <c r="IE105"/>
      <c r="IF105"/>
      <c r="IG105"/>
      <c r="IH105"/>
      <c r="II105"/>
      <c r="IJ105"/>
      <c r="IK105"/>
      <c r="IL105"/>
      <c r="IM105"/>
      <c r="IN105"/>
      <c r="IO105"/>
      <c r="IP105"/>
      <c r="IQ105"/>
      <c r="IR105"/>
      <c r="IS105"/>
      <c r="IT105"/>
      <c r="IU105"/>
      <c r="IV105"/>
    </row>
    <row r="106" spans="1:256" s="45" customFormat="1">
      <c r="B106" s="1665"/>
      <c r="C106" s="2456" t="s">
        <v>1654</v>
      </c>
      <c r="D106" s="2457"/>
      <c r="E106" s="2458">
        <f ca="1">Transfer!D118</f>
        <v>0.34778550634460004</v>
      </c>
      <c r="F106" s="2458">
        <f ca="1">Transfer!E118</f>
        <v>1.3021669564062144</v>
      </c>
      <c r="G106" s="2458">
        <f ca="1">Transfer!F118</f>
        <v>0.24156437526641206</v>
      </c>
      <c r="H106" s="2458">
        <f ca="1">Transfer!G118</f>
        <v>2.6224538753434778</v>
      </c>
      <c r="I106" s="2458">
        <f ca="1">Transfer!H118</f>
        <v>0.25512415925536319</v>
      </c>
      <c r="J106" s="2458">
        <f ca="1">Transfer!I118</f>
        <v>0.73665440050966002</v>
      </c>
      <c r="K106" s="2458">
        <f ca="1">Transfer!J118</f>
        <v>0.77655240047236962</v>
      </c>
      <c r="L106" s="2458">
        <f ca="1">Transfer!K118</f>
        <v>0.80666502587561029</v>
      </c>
      <c r="M106" s="2458">
        <f ca="1">Transfer!L118</f>
        <v>0.79461665962858952</v>
      </c>
      <c r="N106" s="2458">
        <f ca="1">Transfer!M118</f>
        <v>0.7813982376775449</v>
      </c>
      <c r="O106" s="2458">
        <f ca="1">Transfer!N118</f>
        <v>0.77429678563838522</v>
      </c>
      <c r="P106" s="2459">
        <f ca="1">Transfer!O118</f>
        <v>0.77188451507112787</v>
      </c>
      <c r="Q106" s="2460"/>
      <c r="S106" s="190"/>
      <c r="T106" s="2456" t="s">
        <v>1654</v>
      </c>
      <c r="U106" s="201"/>
      <c r="V106" s="202">
        <f t="shared" ca="1" si="7"/>
        <v>9999.2999999999993</v>
      </c>
      <c r="W106" s="202">
        <f t="shared" ca="1" si="7"/>
        <v>10000.299999999999</v>
      </c>
      <c r="X106" s="202">
        <f t="shared" ca="1" si="7"/>
        <v>9999.2000000000007</v>
      </c>
      <c r="Y106" s="202">
        <f t="shared" ca="1" si="7"/>
        <v>10001.6</v>
      </c>
      <c r="Z106" s="202">
        <f t="shared" ca="1" si="7"/>
        <v>9999.2999999999993</v>
      </c>
      <c r="AA106" s="202">
        <f t="shared" ca="1" si="7"/>
        <v>9999.7000000000007</v>
      </c>
      <c r="AB106" s="202">
        <f t="shared" ca="1" si="7"/>
        <v>9999.7999999999993</v>
      </c>
      <c r="AC106" s="202">
        <f t="shared" ca="1" si="7"/>
        <v>9999.7999999999993</v>
      </c>
      <c r="AD106" s="202">
        <f t="shared" ca="1" si="7"/>
        <v>9999.7999999999993</v>
      </c>
      <c r="AE106" s="202">
        <f t="shared" ca="1" si="7"/>
        <v>9999.7999999999993</v>
      </c>
      <c r="AF106" s="202">
        <f t="shared" ca="1" si="7"/>
        <v>9999.7999999999993</v>
      </c>
      <c r="AG106" s="345">
        <f t="shared" ca="1" si="7"/>
        <v>9999.7999999999993</v>
      </c>
      <c r="AH106" s="203"/>
      <c r="AJ106" s="190"/>
      <c r="AK106" s="2456" t="s">
        <v>1654</v>
      </c>
      <c r="AL106" s="201"/>
      <c r="AM106" s="202">
        <f>Transfer!AD118</f>
        <v>-9999</v>
      </c>
      <c r="AN106" s="202">
        <f>Transfer!AE118</f>
        <v>-9999</v>
      </c>
      <c r="AO106" s="202">
        <f>Transfer!AF118</f>
        <v>-9999</v>
      </c>
      <c r="AP106" s="202">
        <f>Transfer!AG118</f>
        <v>-9999</v>
      </c>
      <c r="AQ106" s="202">
        <f>Transfer!AH118</f>
        <v>-9999</v>
      </c>
      <c r="AR106" s="202">
        <f>Transfer!AI118</f>
        <v>-9999</v>
      </c>
      <c r="AS106" s="202">
        <f>Transfer!AJ118</f>
        <v>-9999</v>
      </c>
      <c r="AT106" s="202">
        <f>Transfer!AK118</f>
        <v>-9999</v>
      </c>
      <c r="AU106" s="202">
        <f>Transfer!AL118</f>
        <v>-9999</v>
      </c>
      <c r="AV106" s="202">
        <f>Transfer!AM118</f>
        <v>-9999</v>
      </c>
      <c r="AW106" s="202">
        <f>Transfer!AN118</f>
        <v>-9999</v>
      </c>
      <c r="AX106" s="345">
        <f>Transfer!AO118</f>
        <v>-9999</v>
      </c>
      <c r="AY106" s="203"/>
      <c r="AZ106" s="54"/>
      <c r="BA106" s="1677" t="s">
        <v>950</v>
      </c>
      <c r="BB106" s="54"/>
      <c r="BC106" s="54"/>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c r="HB106"/>
      <c r="HC106"/>
      <c r="HD106"/>
      <c r="HE106"/>
      <c r="HF106"/>
      <c r="HG106"/>
      <c r="HH106"/>
      <c r="HI106"/>
      <c r="HJ106"/>
      <c r="HK106"/>
      <c r="HL106"/>
      <c r="HM106"/>
      <c r="HN106"/>
      <c r="HO106"/>
      <c r="HP106"/>
      <c r="HQ106"/>
      <c r="HR106"/>
      <c r="HS106"/>
      <c r="HT106"/>
      <c r="HU106"/>
      <c r="HV106"/>
      <c r="HW106"/>
      <c r="HX106"/>
      <c r="HY106"/>
      <c r="HZ106"/>
      <c r="IA106"/>
      <c r="IB106"/>
      <c r="IC106"/>
      <c r="ID106"/>
      <c r="IE106"/>
      <c r="IF106"/>
      <c r="IG106"/>
      <c r="IH106"/>
      <c r="II106"/>
      <c r="IJ106"/>
      <c r="IK106"/>
      <c r="IL106"/>
      <c r="IM106"/>
      <c r="IN106"/>
      <c r="IO106"/>
      <c r="IP106"/>
      <c r="IQ106"/>
      <c r="IR106"/>
      <c r="IS106"/>
      <c r="IT106"/>
      <c r="IU106"/>
      <c r="IV106"/>
    </row>
    <row r="107" spans="1:256" s="45" customFormat="1">
      <c r="B107" s="1665"/>
      <c r="C107" s="2461" t="s">
        <v>1656</v>
      </c>
      <c r="D107" s="2462"/>
      <c r="E107" s="2453">
        <f ca="1">Transfer!D119</f>
        <v>-3.4982790723917051E-2</v>
      </c>
      <c r="F107" s="2453">
        <f ca="1">Transfer!E119</f>
        <v>-1.8397552968594193</v>
      </c>
      <c r="G107" s="2453">
        <f ca="1">Transfer!F119</f>
        <v>-9.1375083574772059E-2</v>
      </c>
      <c r="H107" s="2453">
        <f ca="1">Transfer!G119</f>
        <v>-1.8988037646230984</v>
      </c>
      <c r="I107" s="2453">
        <f ca="1">Transfer!H119</f>
        <v>-1.1408173679182696</v>
      </c>
      <c r="J107" s="2453">
        <f ca="1">Transfer!I119</f>
        <v>-0.87782655901667106</v>
      </c>
      <c r="K107" s="2453">
        <f ca="1">Transfer!J119</f>
        <v>-0.78985290792442342</v>
      </c>
      <c r="L107" s="2453">
        <f ca="1">Transfer!K119</f>
        <v>-1.0063826224170245</v>
      </c>
      <c r="M107" s="2453">
        <f ca="1">Transfer!L119</f>
        <v>-0.99440241878043356</v>
      </c>
      <c r="N107" s="2453">
        <f ca="1">Transfer!M119</f>
        <v>-0.83737945049919571</v>
      </c>
      <c r="O107" s="2453">
        <f ca="1">Transfer!N119</f>
        <v>-0.66858942834525592</v>
      </c>
      <c r="P107" s="2454">
        <f ca="1">Transfer!O119</f>
        <v>-0.51741238415788593</v>
      </c>
      <c r="Q107" s="2452"/>
      <c r="S107" s="190"/>
      <c r="T107" s="2461" t="s">
        <v>1656</v>
      </c>
      <c r="U107" s="205"/>
      <c r="V107" s="195">
        <f t="shared" ca="1" si="7"/>
        <v>9999</v>
      </c>
      <c r="W107" s="195">
        <f t="shared" ca="1" si="7"/>
        <v>9997.2000000000007</v>
      </c>
      <c r="X107" s="195">
        <f t="shared" ca="1" si="7"/>
        <v>9998.9</v>
      </c>
      <c r="Y107" s="195">
        <f t="shared" ca="1" si="7"/>
        <v>9997.1</v>
      </c>
      <c r="Z107" s="195">
        <f t="shared" ca="1" si="7"/>
        <v>9997.9</v>
      </c>
      <c r="AA107" s="195">
        <f t="shared" ca="1" si="7"/>
        <v>9998.1</v>
      </c>
      <c r="AB107" s="195">
        <f t="shared" ca="1" si="7"/>
        <v>9998.2000000000007</v>
      </c>
      <c r="AC107" s="195">
        <f t="shared" ca="1" si="7"/>
        <v>9998</v>
      </c>
      <c r="AD107" s="195">
        <f t="shared" ca="1" si="7"/>
        <v>9998</v>
      </c>
      <c r="AE107" s="195">
        <f t="shared" ca="1" si="7"/>
        <v>9998.2000000000007</v>
      </c>
      <c r="AF107" s="195">
        <f t="shared" ca="1" si="7"/>
        <v>9998.2999999999993</v>
      </c>
      <c r="AG107" s="358">
        <f t="shared" ca="1" si="7"/>
        <v>9998.5</v>
      </c>
      <c r="AH107" s="196"/>
      <c r="AJ107" s="190"/>
      <c r="AK107" s="2461" t="s">
        <v>1656</v>
      </c>
      <c r="AL107" s="205"/>
      <c r="AM107" s="197">
        <f>Transfer!AD119</f>
        <v>-9999</v>
      </c>
      <c r="AN107" s="197">
        <f>Transfer!AE119</f>
        <v>-9999</v>
      </c>
      <c r="AO107" s="197">
        <f>Transfer!AF119</f>
        <v>-9999</v>
      </c>
      <c r="AP107" s="197">
        <f>Transfer!AG119</f>
        <v>-9999</v>
      </c>
      <c r="AQ107" s="197">
        <f>Transfer!AH119</f>
        <v>-9999</v>
      </c>
      <c r="AR107" s="197">
        <f>Transfer!AI119</f>
        <v>-9999</v>
      </c>
      <c r="AS107" s="197">
        <f>Transfer!AJ119</f>
        <v>-9999</v>
      </c>
      <c r="AT107" s="197">
        <f>Transfer!AK119</f>
        <v>-9999</v>
      </c>
      <c r="AU107" s="197">
        <f>Transfer!AL119</f>
        <v>-9999</v>
      </c>
      <c r="AV107" s="197">
        <f>Transfer!AM119</f>
        <v>-9999</v>
      </c>
      <c r="AW107" s="197">
        <f>Transfer!AN119</f>
        <v>-9999</v>
      </c>
      <c r="AX107" s="341">
        <f>Transfer!AO119</f>
        <v>-9999</v>
      </c>
      <c r="AY107" s="196"/>
      <c r="AZ107" s="54"/>
      <c r="BA107" s="1677" t="s">
        <v>270</v>
      </c>
      <c r="BB107" s="54"/>
      <c r="BC107" s="54"/>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c r="HB107"/>
      <c r="HC107"/>
      <c r="HD107"/>
      <c r="HE107"/>
      <c r="HF107"/>
      <c r="HG107"/>
      <c r="HH107"/>
      <c r="HI107"/>
      <c r="HJ107"/>
      <c r="HK107"/>
      <c r="HL107"/>
      <c r="HM107"/>
      <c r="HN107"/>
      <c r="HO107"/>
      <c r="HP107"/>
      <c r="HQ107"/>
      <c r="HR107"/>
      <c r="HS107"/>
      <c r="HT107"/>
      <c r="HU107"/>
      <c r="HV107"/>
      <c r="HW107"/>
      <c r="HX107"/>
      <c r="HY107"/>
      <c r="HZ107"/>
      <c r="IA107"/>
      <c r="IB107"/>
      <c r="IC107"/>
      <c r="ID107"/>
      <c r="IE107"/>
      <c r="IF107"/>
      <c r="IG107"/>
      <c r="IH107"/>
      <c r="II107"/>
      <c r="IJ107"/>
      <c r="IK107"/>
      <c r="IL107"/>
      <c r="IM107"/>
      <c r="IN107"/>
      <c r="IO107"/>
      <c r="IP107"/>
      <c r="IQ107"/>
      <c r="IR107"/>
      <c r="IS107"/>
      <c r="IT107"/>
      <c r="IU107"/>
      <c r="IV107"/>
    </row>
    <row r="108" spans="1:256" s="45" customFormat="1">
      <c r="B108" s="1665"/>
      <c r="C108" s="1666" t="s">
        <v>1657</v>
      </c>
      <c r="D108" s="2351"/>
      <c r="E108" s="2453"/>
      <c r="F108" s="2453"/>
      <c r="G108" s="2453"/>
      <c r="H108" s="2453"/>
      <c r="I108" s="2453"/>
      <c r="J108" s="2453"/>
      <c r="K108" s="2453"/>
      <c r="L108" s="2453"/>
      <c r="M108" s="2453"/>
      <c r="N108" s="2453"/>
      <c r="O108" s="2453"/>
      <c r="P108" s="2454"/>
      <c r="Q108" s="2452"/>
      <c r="S108" s="190"/>
      <c r="T108" s="1666" t="s">
        <v>1657</v>
      </c>
      <c r="U108" s="65"/>
      <c r="V108" s="197"/>
      <c r="W108" s="197"/>
      <c r="X108" s="197"/>
      <c r="Y108" s="197"/>
      <c r="Z108" s="197"/>
      <c r="AA108" s="197"/>
      <c r="AB108" s="197"/>
      <c r="AC108" s="197"/>
      <c r="AD108" s="197"/>
      <c r="AE108" s="197"/>
      <c r="AF108" s="197"/>
      <c r="AG108" s="341"/>
      <c r="AH108" s="196"/>
      <c r="AJ108" s="190"/>
      <c r="AK108" s="1666" t="s">
        <v>1657</v>
      </c>
      <c r="AL108" s="65"/>
      <c r="AM108" s="197"/>
      <c r="AN108" s="197"/>
      <c r="AO108" s="197"/>
      <c r="AP108" s="197"/>
      <c r="AQ108" s="197"/>
      <c r="AR108" s="197"/>
      <c r="AS108" s="197"/>
      <c r="AT108" s="197"/>
      <c r="AU108" s="197"/>
      <c r="AV108" s="197"/>
      <c r="AW108" s="197"/>
      <c r="AX108" s="341"/>
      <c r="AY108" s="196"/>
      <c r="AZ108" s="54"/>
      <c r="BA108" s="1677"/>
      <c r="BB108" s="54"/>
      <c r="BC108" s="54"/>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c r="HB108"/>
      <c r="HC108"/>
      <c r="HD108"/>
      <c r="HE108"/>
      <c r="HF108"/>
      <c r="HG108"/>
      <c r="HH108"/>
      <c r="HI108"/>
      <c r="HJ108"/>
      <c r="HK108"/>
      <c r="HL108"/>
      <c r="HM108"/>
      <c r="HN108"/>
      <c r="HO108"/>
      <c r="HP108"/>
      <c r="HQ108"/>
      <c r="HR108"/>
      <c r="HS108"/>
      <c r="HT108"/>
      <c r="HU108"/>
      <c r="HV108"/>
      <c r="HW108"/>
      <c r="HX108"/>
      <c r="HY108"/>
      <c r="HZ108"/>
      <c r="IA108"/>
      <c r="IB108"/>
      <c r="IC108"/>
      <c r="ID108"/>
      <c r="IE108"/>
      <c r="IF108"/>
      <c r="IG108"/>
      <c r="IH108"/>
      <c r="II108"/>
      <c r="IJ108"/>
      <c r="IK108"/>
      <c r="IL108"/>
      <c r="IM108"/>
      <c r="IN108"/>
      <c r="IO108"/>
      <c r="IP108"/>
      <c r="IQ108"/>
      <c r="IR108"/>
      <c r="IS108"/>
      <c r="IT108"/>
      <c r="IU108"/>
      <c r="IV108"/>
    </row>
    <row r="109" spans="1:256" s="45" customFormat="1">
      <c r="B109" s="1665"/>
      <c r="C109" s="2463" t="s">
        <v>1655</v>
      </c>
      <c r="D109" s="2464"/>
      <c r="E109" s="2458">
        <f ca="1">Transfer!D120</f>
        <v>0.96963227363200399</v>
      </c>
      <c r="F109" s="2458">
        <f ca="1">Transfer!E120</f>
        <v>-0.78411506227766825</v>
      </c>
      <c r="G109" s="2458">
        <f ca="1">Transfer!F120</f>
        <v>2.0301694952880922</v>
      </c>
      <c r="H109" s="2458">
        <f ca="1">Transfer!G120</f>
        <v>0.52436901653614143</v>
      </c>
      <c r="I109" s="2458">
        <f ca="1">Transfer!H120</f>
        <v>0.99892643016384974</v>
      </c>
      <c r="J109" s="2458">
        <f ca="1">Transfer!I120</f>
        <v>0.99737581391350105</v>
      </c>
      <c r="K109" s="2458">
        <f ca="1">Transfer!J120</f>
        <v>0.86426948405353454</v>
      </c>
      <c r="L109" s="2458">
        <f ca="1">Transfer!K120</f>
        <v>0.59457503831887559</v>
      </c>
      <c r="M109" s="2458">
        <f ca="1">Transfer!L120</f>
        <v>0.8079110092352495</v>
      </c>
      <c r="N109" s="2458">
        <f ca="1">Transfer!M120</f>
        <v>0.93684187936210372</v>
      </c>
      <c r="O109" s="2458">
        <f ca="1">Transfer!N120</f>
        <v>0.94052166190287134</v>
      </c>
      <c r="P109" s="2459">
        <f ca="1">Transfer!O120</f>
        <v>0.92032399104302232</v>
      </c>
      <c r="Q109" s="2465"/>
      <c r="S109" s="190"/>
      <c r="T109" s="2463" t="s">
        <v>1655</v>
      </c>
      <c r="U109" s="207"/>
      <c r="V109" s="202">
        <f t="shared" ref="V109:AG113" ca="1" si="8">ROUND(E109,1)-ROUND(AM109,1)</f>
        <v>10000</v>
      </c>
      <c r="W109" s="202">
        <f t="shared" ca="1" si="8"/>
        <v>9998.2000000000007</v>
      </c>
      <c r="X109" s="202">
        <f t="shared" ca="1" si="8"/>
        <v>10001</v>
      </c>
      <c r="Y109" s="202">
        <f t="shared" ca="1" si="8"/>
        <v>9999.5</v>
      </c>
      <c r="Z109" s="202">
        <f t="shared" ca="1" si="8"/>
        <v>10000</v>
      </c>
      <c r="AA109" s="202">
        <f t="shared" ca="1" si="8"/>
        <v>10000</v>
      </c>
      <c r="AB109" s="202">
        <f t="shared" ca="1" si="8"/>
        <v>9999.9</v>
      </c>
      <c r="AC109" s="202">
        <f t="shared" ca="1" si="8"/>
        <v>9999.6</v>
      </c>
      <c r="AD109" s="202">
        <f t="shared" ca="1" si="8"/>
        <v>9999.7999999999993</v>
      </c>
      <c r="AE109" s="202">
        <f t="shared" ca="1" si="8"/>
        <v>9999.9</v>
      </c>
      <c r="AF109" s="202">
        <f t="shared" ca="1" si="8"/>
        <v>9999.9</v>
      </c>
      <c r="AG109" s="345">
        <f t="shared" ca="1" si="8"/>
        <v>9999.9</v>
      </c>
      <c r="AH109" s="208"/>
      <c r="AJ109" s="190"/>
      <c r="AK109" s="2463" t="s">
        <v>1655</v>
      </c>
      <c r="AL109" s="207"/>
      <c r="AM109" s="202">
        <f>Transfer!AD120</f>
        <v>-9999</v>
      </c>
      <c r="AN109" s="202">
        <f>Transfer!AE120</f>
        <v>-9999</v>
      </c>
      <c r="AO109" s="202">
        <f>Transfer!AF120</f>
        <v>-9999</v>
      </c>
      <c r="AP109" s="202">
        <f>Transfer!AG120</f>
        <v>-9999</v>
      </c>
      <c r="AQ109" s="202">
        <f>Transfer!AH120</f>
        <v>-9999</v>
      </c>
      <c r="AR109" s="202">
        <f>Transfer!AI120</f>
        <v>-9999</v>
      </c>
      <c r="AS109" s="202">
        <f>Transfer!AJ120</f>
        <v>-9999</v>
      </c>
      <c r="AT109" s="202">
        <f>Transfer!AK120</f>
        <v>-9999</v>
      </c>
      <c r="AU109" s="202">
        <f>Transfer!AL120</f>
        <v>-9999</v>
      </c>
      <c r="AV109" s="202">
        <f>Transfer!AM120</f>
        <v>-9999</v>
      </c>
      <c r="AW109" s="202">
        <f>Transfer!AN120</f>
        <v>-9999</v>
      </c>
      <c r="AX109" s="345">
        <f>Transfer!AO120</f>
        <v>-9999</v>
      </c>
      <c r="AY109" s="208"/>
      <c r="AZ109" s="54"/>
      <c r="BA109" s="1677" t="s">
        <v>951</v>
      </c>
      <c r="BB109" s="54"/>
      <c r="BC109" s="54"/>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c r="HB109"/>
      <c r="HC109"/>
      <c r="HD109"/>
      <c r="HE109"/>
      <c r="HF109"/>
      <c r="HG109"/>
      <c r="HH109"/>
      <c r="HI109"/>
      <c r="HJ109"/>
      <c r="HK109"/>
      <c r="HL109"/>
      <c r="HM109"/>
      <c r="HN109"/>
      <c r="HO109"/>
      <c r="HP109"/>
      <c r="HQ109"/>
      <c r="HR109"/>
      <c r="HS109"/>
      <c r="HT109"/>
      <c r="HU109"/>
      <c r="HV109"/>
      <c r="HW109"/>
      <c r="HX109"/>
      <c r="HY109"/>
      <c r="HZ109"/>
      <c r="IA109"/>
      <c r="IB109"/>
      <c r="IC109"/>
      <c r="ID109"/>
      <c r="IE109"/>
      <c r="IF109"/>
      <c r="IG109"/>
      <c r="IH109"/>
      <c r="II109"/>
      <c r="IJ109"/>
      <c r="IK109"/>
      <c r="IL109"/>
      <c r="IM109"/>
      <c r="IN109"/>
      <c r="IO109"/>
      <c r="IP109"/>
      <c r="IQ109"/>
      <c r="IR109"/>
      <c r="IS109"/>
      <c r="IT109"/>
      <c r="IU109"/>
      <c r="IV109"/>
    </row>
    <row r="110" spans="1:256" s="45" customFormat="1">
      <c r="B110" s="1665"/>
      <c r="C110" s="1666" t="s">
        <v>490</v>
      </c>
      <c r="D110" s="2351"/>
      <c r="E110" s="2453">
        <f ca="1">Transfer!D121</f>
        <v>4.7914073535376023</v>
      </c>
      <c r="F110" s="2453">
        <f ca="1">Transfer!E121</f>
        <v>3.7902547745198856</v>
      </c>
      <c r="G110" s="2453">
        <f ca="1">Transfer!F121</f>
        <v>2.7967442039887436</v>
      </c>
      <c r="H110" s="2453">
        <f ca="1">Transfer!G121</f>
        <v>2.593065145601936</v>
      </c>
      <c r="I110" s="2453">
        <f ca="1">Transfer!H121</f>
        <v>0.4</v>
      </c>
      <c r="J110" s="2453">
        <f ca="1">Transfer!I121</f>
        <v>0.4</v>
      </c>
      <c r="K110" s="2453">
        <f ca="1">Transfer!J121</f>
        <v>0.55000000000000004</v>
      </c>
      <c r="L110" s="2453">
        <f ca="1">Transfer!K121</f>
        <v>0.9</v>
      </c>
      <c r="M110" s="2453">
        <f ca="1">Transfer!L121</f>
        <v>1.34</v>
      </c>
      <c r="N110" s="2453">
        <f ca="1">Transfer!M121</f>
        <v>1.3</v>
      </c>
      <c r="O110" s="2453">
        <f ca="1">Transfer!N121</f>
        <v>1.3</v>
      </c>
      <c r="P110" s="2454">
        <f ca="1">Transfer!O121</f>
        <v>1.3</v>
      </c>
      <c r="Q110" s="2452"/>
      <c r="S110" s="190"/>
      <c r="T110" s="1666" t="s">
        <v>490</v>
      </c>
      <c r="U110" s="65"/>
      <c r="V110" s="195">
        <f t="shared" ca="1" si="8"/>
        <v>10003.799999999999</v>
      </c>
      <c r="W110" s="195">
        <f t="shared" ca="1" si="8"/>
        <v>10002.799999999999</v>
      </c>
      <c r="X110" s="195">
        <f t="shared" ca="1" si="8"/>
        <v>10001.799999999999</v>
      </c>
      <c r="Y110" s="195">
        <f t="shared" ca="1" si="8"/>
        <v>10001.6</v>
      </c>
      <c r="Z110" s="195">
        <f t="shared" ca="1" si="8"/>
        <v>9999.4</v>
      </c>
      <c r="AA110" s="195">
        <f t="shared" ca="1" si="8"/>
        <v>9999.4</v>
      </c>
      <c r="AB110" s="195">
        <f t="shared" ca="1" si="8"/>
        <v>9999.6</v>
      </c>
      <c r="AC110" s="195">
        <f t="shared" ca="1" si="8"/>
        <v>9999.9</v>
      </c>
      <c r="AD110" s="195">
        <f t="shared" ca="1" si="8"/>
        <v>10000.299999999999</v>
      </c>
      <c r="AE110" s="195">
        <f t="shared" ca="1" si="8"/>
        <v>10000.299999999999</v>
      </c>
      <c r="AF110" s="195">
        <f t="shared" ca="1" si="8"/>
        <v>10000.299999999999</v>
      </c>
      <c r="AG110" s="358">
        <f t="shared" ca="1" si="8"/>
        <v>10000.299999999999</v>
      </c>
      <c r="AH110" s="196"/>
      <c r="AJ110" s="190"/>
      <c r="AK110" s="1666" t="s">
        <v>490</v>
      </c>
      <c r="AL110" s="65"/>
      <c r="AM110" s="197">
        <f>Transfer!AD121</f>
        <v>-9999</v>
      </c>
      <c r="AN110" s="197">
        <f>Transfer!AE121</f>
        <v>-9999</v>
      </c>
      <c r="AO110" s="197">
        <f>Transfer!AF121</f>
        <v>-9999</v>
      </c>
      <c r="AP110" s="197">
        <f>Transfer!AG121</f>
        <v>-9999</v>
      </c>
      <c r="AQ110" s="197">
        <f>Transfer!AH121</f>
        <v>-9999</v>
      </c>
      <c r="AR110" s="197">
        <f>Transfer!AI121</f>
        <v>-9999</v>
      </c>
      <c r="AS110" s="197">
        <f>Transfer!AJ121</f>
        <v>-9999</v>
      </c>
      <c r="AT110" s="197">
        <f>Transfer!AK121</f>
        <v>-9999</v>
      </c>
      <c r="AU110" s="197">
        <f>Transfer!AL121</f>
        <v>-9999</v>
      </c>
      <c r="AV110" s="197">
        <f>Transfer!AM121</f>
        <v>-9999</v>
      </c>
      <c r="AW110" s="197">
        <f>Transfer!AN121</f>
        <v>-9999</v>
      </c>
      <c r="AX110" s="341">
        <f>Transfer!AO121</f>
        <v>-9999</v>
      </c>
      <c r="AY110" s="196"/>
      <c r="AZ110" s="54"/>
      <c r="BA110" s="1677" t="s">
        <v>271</v>
      </c>
      <c r="BB110" s="54"/>
      <c r="BC110" s="54"/>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c r="HB110"/>
      <c r="HC110"/>
      <c r="HD110"/>
      <c r="HE110"/>
      <c r="HF110"/>
      <c r="HG110"/>
      <c r="HH110"/>
      <c r="HI110"/>
      <c r="HJ110"/>
      <c r="HK110"/>
      <c r="HL110"/>
      <c r="HM110"/>
      <c r="HN110"/>
      <c r="HO110"/>
      <c r="HP110"/>
      <c r="HQ110"/>
      <c r="HR110"/>
      <c r="HS110"/>
      <c r="HT110"/>
      <c r="HU110"/>
      <c r="HV110"/>
      <c r="HW110"/>
      <c r="HX110"/>
      <c r="HY110"/>
      <c r="HZ110"/>
      <c r="IA110"/>
      <c r="IB110"/>
      <c r="IC110"/>
      <c r="ID110"/>
      <c r="IE110"/>
      <c r="IF110"/>
      <c r="IG110"/>
      <c r="IH110"/>
      <c r="II110"/>
      <c r="IJ110"/>
      <c r="IK110"/>
      <c r="IL110"/>
      <c r="IM110"/>
      <c r="IN110"/>
      <c r="IO110"/>
      <c r="IP110"/>
      <c r="IQ110"/>
      <c r="IR110"/>
      <c r="IS110"/>
      <c r="IT110"/>
      <c r="IU110"/>
      <c r="IV110"/>
    </row>
    <row r="111" spans="1:256" s="45" customFormat="1">
      <c r="B111" s="1665"/>
      <c r="C111" s="2466" t="s">
        <v>1139</v>
      </c>
      <c r="D111" s="2467"/>
      <c r="E111" s="2458">
        <f ca="1">Transfer!D122</f>
        <v>2.6623883444627463</v>
      </c>
      <c r="F111" s="2458">
        <f ca="1">Transfer!E122</f>
        <v>1.2840006757898377</v>
      </c>
      <c r="G111" s="2458">
        <f ca="1">Transfer!F122</f>
        <v>2.385321100917432</v>
      </c>
      <c r="H111" s="2458">
        <f ca="1">Transfer!G122</f>
        <v>1.4866405995438448</v>
      </c>
      <c r="I111" s="2458">
        <f ca="1">Transfer!H122</f>
        <v>0.7172934141349282</v>
      </c>
      <c r="J111" s="2458">
        <f ca="1">Transfer!I122</f>
        <v>0.71735688560220434</v>
      </c>
      <c r="K111" s="2458">
        <f ca="1">Transfer!J122</f>
        <v>0.71742036040082702</v>
      </c>
      <c r="L111" s="2458">
        <f ca="1">Transfer!K122</f>
        <v>0.73705413590036328</v>
      </c>
      <c r="M111" s="2458">
        <f ca="1">Transfer!L122</f>
        <v>1.0565291535579697</v>
      </c>
      <c r="N111" s="2458">
        <f ca="1">Transfer!M122</f>
        <v>1.107003192825434</v>
      </c>
      <c r="O111" s="2458">
        <f ca="1">Transfer!N122</f>
        <v>1.1092802960500661</v>
      </c>
      <c r="P111" s="2459">
        <f ca="1">Transfer!O122</f>
        <v>1.0989007179173624</v>
      </c>
      <c r="Q111" s="2460"/>
      <c r="S111" s="190"/>
      <c r="T111" s="2466" t="s">
        <v>1139</v>
      </c>
      <c r="U111" s="210"/>
      <c r="V111" s="202">
        <f t="shared" ca="1" si="8"/>
        <v>10001.700000000001</v>
      </c>
      <c r="W111" s="202">
        <f t="shared" ca="1" si="8"/>
        <v>10000.299999999999</v>
      </c>
      <c r="X111" s="202">
        <f t="shared" ca="1" si="8"/>
        <v>10001.4</v>
      </c>
      <c r="Y111" s="202">
        <f t="shared" ca="1" si="8"/>
        <v>10000.5</v>
      </c>
      <c r="Z111" s="202">
        <f t="shared" ca="1" si="8"/>
        <v>9999.7000000000007</v>
      </c>
      <c r="AA111" s="202">
        <f t="shared" ca="1" si="8"/>
        <v>9999.7000000000007</v>
      </c>
      <c r="AB111" s="202">
        <f t="shared" ca="1" si="8"/>
        <v>9999.7000000000007</v>
      </c>
      <c r="AC111" s="202">
        <f t="shared" ca="1" si="8"/>
        <v>9999.7000000000007</v>
      </c>
      <c r="AD111" s="202">
        <f t="shared" ca="1" si="8"/>
        <v>10000.1</v>
      </c>
      <c r="AE111" s="202">
        <f t="shared" ca="1" si="8"/>
        <v>10000.1</v>
      </c>
      <c r="AF111" s="202">
        <f t="shared" ca="1" si="8"/>
        <v>10000.1</v>
      </c>
      <c r="AG111" s="345">
        <f t="shared" ca="1" si="8"/>
        <v>10000.1</v>
      </c>
      <c r="AH111" s="203"/>
      <c r="AJ111" s="190"/>
      <c r="AK111" s="2466" t="s">
        <v>1139</v>
      </c>
      <c r="AL111" s="210"/>
      <c r="AM111" s="202">
        <f>Transfer!AD122</f>
        <v>-9999</v>
      </c>
      <c r="AN111" s="202">
        <f>Transfer!AE122</f>
        <v>-9999</v>
      </c>
      <c r="AO111" s="202">
        <f>Transfer!AF122</f>
        <v>-9999</v>
      </c>
      <c r="AP111" s="202">
        <f>Transfer!AG122</f>
        <v>-9999</v>
      </c>
      <c r="AQ111" s="202">
        <f>Transfer!AH122</f>
        <v>-9999</v>
      </c>
      <c r="AR111" s="202">
        <f>Transfer!AI122</f>
        <v>-9999</v>
      </c>
      <c r="AS111" s="202">
        <f>Transfer!AJ122</f>
        <v>-9999</v>
      </c>
      <c r="AT111" s="202">
        <f>Transfer!AK122</f>
        <v>-9999</v>
      </c>
      <c r="AU111" s="202">
        <f>Transfer!AL122</f>
        <v>-9999</v>
      </c>
      <c r="AV111" s="202">
        <f>Transfer!AM122</f>
        <v>-9999</v>
      </c>
      <c r="AW111" s="202">
        <f>Transfer!AN122</f>
        <v>-9999</v>
      </c>
      <c r="AX111" s="345">
        <f>Transfer!AO122</f>
        <v>-9999</v>
      </c>
      <c r="AY111" s="203"/>
      <c r="AZ111" s="54"/>
      <c r="BA111" s="1677" t="s">
        <v>952</v>
      </c>
      <c r="BB111" s="54"/>
      <c r="BC111" s="54"/>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c r="HB111"/>
      <c r="HC111"/>
      <c r="HD111"/>
      <c r="HE111"/>
      <c r="HF111"/>
      <c r="HG111"/>
      <c r="HH111"/>
      <c r="HI111"/>
      <c r="HJ111"/>
      <c r="HK111"/>
      <c r="HL111"/>
      <c r="HM111"/>
      <c r="HN111"/>
      <c r="HO111"/>
      <c r="HP111"/>
      <c r="HQ111"/>
      <c r="HR111"/>
      <c r="HS111"/>
      <c r="HT111"/>
      <c r="HU111"/>
      <c r="HV111"/>
      <c r="HW111"/>
      <c r="HX111"/>
      <c r="HY111"/>
      <c r="HZ111"/>
      <c r="IA111"/>
      <c r="IB111"/>
      <c r="IC111"/>
      <c r="ID111"/>
      <c r="IE111"/>
      <c r="IF111"/>
      <c r="IG111"/>
      <c r="IH111"/>
      <c r="II111"/>
      <c r="IJ111"/>
      <c r="IK111"/>
      <c r="IL111"/>
      <c r="IM111"/>
      <c r="IN111"/>
      <c r="IO111"/>
      <c r="IP111"/>
      <c r="IQ111"/>
      <c r="IR111"/>
      <c r="IS111"/>
      <c r="IT111"/>
      <c r="IU111"/>
      <c r="IV111"/>
    </row>
    <row r="112" spans="1:256" s="45" customFormat="1">
      <c r="B112" s="1665"/>
      <c r="C112" s="2468" t="s">
        <v>263</v>
      </c>
      <c r="D112" s="2349"/>
      <c r="E112" s="2453">
        <f ca="1">Transfer!D123</f>
        <v>6.1610076670317593</v>
      </c>
      <c r="F112" s="2453">
        <f ca="1">Transfer!E123</f>
        <v>2.1382512251741037</v>
      </c>
      <c r="G112" s="2453">
        <f ca="1">Transfer!F123</f>
        <v>3.3043763731407383</v>
      </c>
      <c r="H112" s="2453">
        <f ca="1">Transfer!G123</f>
        <v>2.9872272810609335</v>
      </c>
      <c r="I112" s="2453">
        <f ca="1">Transfer!H123</f>
        <v>0.8</v>
      </c>
      <c r="J112" s="2453">
        <f ca="1">Transfer!I123</f>
        <v>0.8</v>
      </c>
      <c r="K112" s="2453">
        <f ca="1">Transfer!J123</f>
        <v>0.8</v>
      </c>
      <c r="L112" s="2453">
        <f ca="1">Transfer!K123</f>
        <v>0.75</v>
      </c>
      <c r="M112" s="2453">
        <f ca="1">Transfer!L123</f>
        <v>1.5</v>
      </c>
      <c r="N112" s="2453">
        <f ca="1">Transfer!M123</f>
        <v>1.6</v>
      </c>
      <c r="O112" s="2453">
        <f ca="1">Transfer!N123</f>
        <v>1.6</v>
      </c>
      <c r="P112" s="2454">
        <f ca="1">Transfer!O123</f>
        <v>1.6</v>
      </c>
      <c r="Q112" s="2452"/>
      <c r="S112" s="190"/>
      <c r="T112" s="2468" t="s">
        <v>263</v>
      </c>
      <c r="U112" s="63"/>
      <c r="V112" s="195">
        <f t="shared" ca="1" si="8"/>
        <v>10005.200000000001</v>
      </c>
      <c r="W112" s="195">
        <f t="shared" ca="1" si="8"/>
        <v>10001.1</v>
      </c>
      <c r="X112" s="195">
        <f t="shared" ca="1" si="8"/>
        <v>10002.299999999999</v>
      </c>
      <c r="Y112" s="195">
        <f t="shared" ca="1" si="8"/>
        <v>10002</v>
      </c>
      <c r="Z112" s="195">
        <f t="shared" ca="1" si="8"/>
        <v>9999.7999999999993</v>
      </c>
      <c r="AA112" s="195">
        <f t="shared" ca="1" si="8"/>
        <v>9999.7999999999993</v>
      </c>
      <c r="AB112" s="195">
        <f t="shared" ca="1" si="8"/>
        <v>9999.7999999999993</v>
      </c>
      <c r="AC112" s="195">
        <f t="shared" ca="1" si="8"/>
        <v>9999.7999999999993</v>
      </c>
      <c r="AD112" s="195">
        <f t="shared" ca="1" si="8"/>
        <v>10000.5</v>
      </c>
      <c r="AE112" s="195">
        <f t="shared" ca="1" si="8"/>
        <v>10000.6</v>
      </c>
      <c r="AF112" s="195">
        <f t="shared" ca="1" si="8"/>
        <v>10000.6</v>
      </c>
      <c r="AG112" s="358">
        <f t="shared" ca="1" si="8"/>
        <v>10000.6</v>
      </c>
      <c r="AH112" s="196"/>
      <c r="AJ112" s="190"/>
      <c r="AK112" s="2468" t="s">
        <v>263</v>
      </c>
      <c r="AL112" s="63"/>
      <c r="AM112" s="197">
        <f>Transfer!AD123</f>
        <v>-9999</v>
      </c>
      <c r="AN112" s="197">
        <f>Transfer!AE123</f>
        <v>-9999</v>
      </c>
      <c r="AO112" s="197">
        <f>Transfer!AF123</f>
        <v>-9999</v>
      </c>
      <c r="AP112" s="197">
        <f>Transfer!AG123</f>
        <v>-9999</v>
      </c>
      <c r="AQ112" s="197">
        <f>Transfer!AH123</f>
        <v>-9999</v>
      </c>
      <c r="AR112" s="197">
        <f>Transfer!AI123</f>
        <v>-9999</v>
      </c>
      <c r="AS112" s="197">
        <f>Transfer!AJ123</f>
        <v>-9999</v>
      </c>
      <c r="AT112" s="197">
        <f>Transfer!AK123</f>
        <v>-9999</v>
      </c>
      <c r="AU112" s="197">
        <f>Transfer!AL123</f>
        <v>-9999</v>
      </c>
      <c r="AV112" s="197">
        <f>Transfer!AM123</f>
        <v>-9999</v>
      </c>
      <c r="AW112" s="197">
        <f>Transfer!AN123</f>
        <v>-9999</v>
      </c>
      <c r="AX112" s="341">
        <f>Transfer!AO123</f>
        <v>-9999</v>
      </c>
      <c r="AY112" s="196"/>
      <c r="AZ112" s="54"/>
      <c r="BA112" s="1677" t="s">
        <v>953</v>
      </c>
      <c r="BB112" s="54"/>
      <c r="BC112" s="54"/>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c r="HB112"/>
      <c r="HC112"/>
      <c r="HD112"/>
      <c r="HE112"/>
      <c r="HF112"/>
      <c r="HG112"/>
      <c r="HH112"/>
      <c r="HI112"/>
      <c r="HJ112"/>
      <c r="HK112"/>
      <c r="HL112"/>
      <c r="HM112"/>
      <c r="HN112"/>
      <c r="HO112"/>
      <c r="HP112"/>
      <c r="HQ112"/>
      <c r="HR112"/>
      <c r="HS112"/>
      <c r="HT112"/>
      <c r="HU112"/>
      <c r="HV112"/>
      <c r="HW112"/>
      <c r="HX112"/>
      <c r="HY112"/>
      <c r="HZ112"/>
      <c r="IA112"/>
      <c r="IB112"/>
      <c r="IC112"/>
      <c r="ID112"/>
      <c r="IE112"/>
      <c r="IF112"/>
      <c r="IG112"/>
      <c r="IH112"/>
      <c r="II112"/>
      <c r="IJ112"/>
      <c r="IK112"/>
      <c r="IL112"/>
      <c r="IM112"/>
      <c r="IN112"/>
      <c r="IO112"/>
      <c r="IP112"/>
      <c r="IQ112"/>
      <c r="IR112"/>
      <c r="IS112"/>
      <c r="IT112"/>
      <c r="IU112"/>
      <c r="IV112"/>
    </row>
    <row r="113" spans="2:256" s="45" customFormat="1" ht="13.5" thickBot="1">
      <c r="B113" s="1665"/>
      <c r="C113" s="2469" t="s">
        <v>221</v>
      </c>
      <c r="D113" s="2470"/>
      <c r="E113" s="2471">
        <f ca="1">Transfer!D124</f>
        <v>1.0859769800257935</v>
      </c>
      <c r="F113" s="2471">
        <f ca="1">Transfer!E124</f>
        <v>0.71771144840040435</v>
      </c>
      <c r="G113" s="2471">
        <f ca="1">Transfer!F124</f>
        <v>0.54789302080648916</v>
      </c>
      <c r="H113" s="2471">
        <f ca="1">Transfer!G124</f>
        <v>1.3505683084466202</v>
      </c>
      <c r="I113" s="2471">
        <f ca="1">Transfer!H124</f>
        <v>0.64000000000000046</v>
      </c>
      <c r="J113" s="2471">
        <f ca="1">Transfer!I124</f>
        <v>0.64000000000000268</v>
      </c>
      <c r="K113" s="2471">
        <f ca="1">Transfer!J124</f>
        <v>0.63999999999999979</v>
      </c>
      <c r="L113" s="2471">
        <f ca="1">Transfer!K124</f>
        <v>0.72489778708730856</v>
      </c>
      <c r="M113" s="2471">
        <f ca="1">Transfer!L124</f>
        <v>0.64000000000000046</v>
      </c>
      <c r="N113" s="2471">
        <f ca="1">Transfer!M124</f>
        <v>0.64000000000000123</v>
      </c>
      <c r="O113" s="2471">
        <f ca="1">Transfer!N124</f>
        <v>0.64000000000000123</v>
      </c>
      <c r="P113" s="2472">
        <f ca="1">Transfer!O124</f>
        <v>0.61512319845919095</v>
      </c>
      <c r="Q113" s="2460"/>
      <c r="S113" s="190"/>
      <c r="T113" s="2469" t="s">
        <v>221</v>
      </c>
      <c r="U113" s="1784"/>
      <c r="V113" s="371">
        <f t="shared" ca="1" si="8"/>
        <v>-0.19999999999999996</v>
      </c>
      <c r="W113" s="371">
        <f t="shared" ca="1" si="8"/>
        <v>0</v>
      </c>
      <c r="X113" s="371">
        <f t="shared" ca="1" si="8"/>
        <v>-9.9999999999999978E-2</v>
      </c>
      <c r="Y113" s="371">
        <f t="shared" ca="1" si="8"/>
        <v>0.7</v>
      </c>
      <c r="Z113" s="371">
        <f t="shared" ca="1" si="8"/>
        <v>-0.30000000000000004</v>
      </c>
      <c r="AA113" s="371">
        <f t="shared" ca="1" si="8"/>
        <v>-0.4</v>
      </c>
      <c r="AB113" s="371">
        <f t="shared" ca="1" si="8"/>
        <v>-0.4</v>
      </c>
      <c r="AC113" s="371">
        <f t="shared" ca="1" si="8"/>
        <v>-0.30000000000000004</v>
      </c>
      <c r="AD113" s="371">
        <f t="shared" ca="1" si="8"/>
        <v>-0.30000000000000004</v>
      </c>
      <c r="AE113" s="371">
        <f t="shared" ca="1" si="8"/>
        <v>-0.30000000000000004</v>
      </c>
      <c r="AF113" s="371">
        <f t="shared" ca="1" si="8"/>
        <v>-0.30000000000000004</v>
      </c>
      <c r="AG113" s="372">
        <f t="shared" ca="1" si="8"/>
        <v>-0.30000000000000004</v>
      </c>
      <c r="AH113" s="203"/>
      <c r="AJ113" s="190"/>
      <c r="AK113" s="2469" t="s">
        <v>221</v>
      </c>
      <c r="AL113" s="1784"/>
      <c r="AM113" s="371">
        <f>Transfer!AD124</f>
        <v>1.3274296767201044</v>
      </c>
      <c r="AN113" s="371">
        <f>Transfer!AE124</f>
        <v>0.65827731385639243</v>
      </c>
      <c r="AO113" s="371">
        <f>Transfer!AF124</f>
        <v>0.55097498174093107</v>
      </c>
      <c r="AP113" s="371">
        <f>Transfer!AG124</f>
        <v>0.65245996286750474</v>
      </c>
      <c r="AQ113" s="371">
        <f>Transfer!AH124</f>
        <v>0.9048774582723097</v>
      </c>
      <c r="AR113" s="371">
        <f>Transfer!AI124</f>
        <v>1.0254289488434061</v>
      </c>
      <c r="AS113" s="371">
        <f>Transfer!AJ124</f>
        <v>1.0384112999085053</v>
      </c>
      <c r="AT113" s="371">
        <f>Transfer!AK124</f>
        <v>1.0282209125557213</v>
      </c>
      <c r="AU113" s="371">
        <f>Transfer!AL124</f>
        <v>0.85916693003306777</v>
      </c>
      <c r="AV113" s="371">
        <f>Transfer!AM124</f>
        <v>0.85487385952160422</v>
      </c>
      <c r="AW113" s="371">
        <f>Transfer!AN124</f>
        <v>0.90795138538825038</v>
      </c>
      <c r="AX113" s="372">
        <f>Transfer!AO124</f>
        <v>0.86473203465440174</v>
      </c>
      <c r="AY113" s="203"/>
      <c r="AZ113" s="54"/>
      <c r="BA113" s="1677" t="s">
        <v>222</v>
      </c>
      <c r="BB113" s="54"/>
      <c r="BC113" s="54"/>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c r="HB113"/>
      <c r="HC113"/>
      <c r="HD113"/>
      <c r="HE113"/>
      <c r="HF113"/>
      <c r="HG113"/>
      <c r="HH113"/>
      <c r="HI113"/>
      <c r="HJ113"/>
      <c r="HK113"/>
      <c r="HL113"/>
      <c r="HM113"/>
      <c r="HN113"/>
      <c r="HO113"/>
      <c r="HP113"/>
      <c r="HQ113"/>
      <c r="HR113"/>
      <c r="HS113"/>
      <c r="HT113"/>
      <c r="HU113"/>
      <c r="HV113"/>
      <c r="HW113"/>
      <c r="HX113"/>
      <c r="HY113"/>
      <c r="HZ113"/>
      <c r="IA113"/>
      <c r="IB113"/>
      <c r="IC113"/>
      <c r="ID113"/>
      <c r="IE113"/>
      <c r="IF113"/>
      <c r="IG113"/>
      <c r="IH113"/>
      <c r="II113"/>
      <c r="IJ113"/>
      <c r="IK113"/>
      <c r="IL113"/>
      <c r="IM113"/>
      <c r="IN113"/>
      <c r="IO113"/>
      <c r="IP113"/>
      <c r="IQ113"/>
      <c r="IR113"/>
      <c r="IS113"/>
      <c r="IT113"/>
      <c r="IU113"/>
      <c r="IV113"/>
    </row>
    <row r="114" spans="2:256" s="45" customFormat="1" ht="13.5" thickBot="1">
      <c r="B114" s="1665"/>
      <c r="C114" s="2468"/>
      <c r="D114" s="2349"/>
      <c r="E114" s="2351"/>
      <c r="F114" s="2351"/>
      <c r="G114" s="2351"/>
      <c r="H114" s="2351"/>
      <c r="I114" s="2351"/>
      <c r="J114" s="2351"/>
      <c r="K114" s="2351"/>
      <c r="L114" s="2351"/>
      <c r="M114" s="2351"/>
      <c r="N114" s="2351"/>
      <c r="O114" s="2351"/>
      <c r="P114" s="2473"/>
      <c r="Q114" s="2452"/>
      <c r="S114" s="190"/>
      <c r="T114" s="2468"/>
      <c r="U114" s="63"/>
      <c r="V114" s="65"/>
      <c r="W114" s="65"/>
      <c r="X114" s="65"/>
      <c r="Y114" s="65"/>
      <c r="Z114" s="65"/>
      <c r="AA114" s="49"/>
      <c r="AB114" s="65"/>
      <c r="AC114" s="65"/>
      <c r="AD114" s="65"/>
      <c r="AE114" s="65"/>
      <c r="AF114" s="65"/>
      <c r="AG114" s="1783"/>
      <c r="AH114" s="196"/>
      <c r="AJ114" s="190"/>
      <c r="AK114" s="2468"/>
      <c r="AL114" s="63"/>
      <c r="AM114" s="65"/>
      <c r="AN114" s="65"/>
      <c r="AO114" s="65"/>
      <c r="AP114" s="65"/>
      <c r="AQ114" s="65"/>
      <c r="AR114" s="49"/>
      <c r="AS114" s="65"/>
      <c r="AT114" s="65"/>
      <c r="AU114" s="65"/>
      <c r="AV114" s="65"/>
      <c r="AW114" s="65"/>
      <c r="AX114" s="1783"/>
      <c r="AY114" s="196"/>
      <c r="AZ114" s="54"/>
      <c r="BA114" s="1677"/>
      <c r="BB114" s="54"/>
      <c r="BC114" s="5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c r="HB114"/>
      <c r="HC114"/>
      <c r="HD114"/>
      <c r="HE114"/>
      <c r="HF114"/>
      <c r="HG114"/>
      <c r="HH114"/>
      <c r="HI114"/>
      <c r="HJ114"/>
      <c r="HK114"/>
      <c r="HL114"/>
      <c r="HM114"/>
      <c r="HN114"/>
      <c r="HO114"/>
      <c r="HP114"/>
      <c r="HQ114"/>
      <c r="HR114"/>
      <c r="HS114"/>
      <c r="HT114"/>
      <c r="HU114"/>
      <c r="HV114"/>
      <c r="HW114"/>
      <c r="HX114"/>
      <c r="HY114"/>
      <c r="HZ114"/>
      <c r="IA114"/>
      <c r="IB114"/>
      <c r="IC114"/>
      <c r="ID114"/>
      <c r="IE114"/>
      <c r="IF114"/>
      <c r="IG114"/>
      <c r="IH114"/>
      <c r="II114"/>
      <c r="IJ114"/>
      <c r="IK114"/>
      <c r="IL114"/>
      <c r="IM114"/>
      <c r="IN114"/>
      <c r="IO114"/>
      <c r="IP114"/>
      <c r="IQ114"/>
      <c r="IR114"/>
      <c r="IS114"/>
      <c r="IT114"/>
      <c r="IU114"/>
      <c r="IV114"/>
    </row>
    <row r="115" spans="2:256" s="45" customFormat="1">
      <c r="B115" s="1665"/>
      <c r="C115" s="2474"/>
      <c r="D115" s="2475"/>
      <c r="E115" s="3752" t="s">
        <v>349</v>
      </c>
      <c r="F115" s="3752"/>
      <c r="G115" s="3752"/>
      <c r="H115" s="3752"/>
      <c r="I115" s="3752"/>
      <c r="J115" s="3752"/>
      <c r="K115" s="3752"/>
      <c r="L115" s="3752"/>
      <c r="M115" s="3752"/>
      <c r="N115" s="3752"/>
      <c r="O115" s="3752"/>
      <c r="P115" s="3752"/>
      <c r="Q115" s="2348"/>
      <c r="S115" s="190"/>
      <c r="T115" s="2474"/>
      <c r="U115" s="212"/>
      <c r="V115" s="3752" t="s">
        <v>349</v>
      </c>
      <c r="W115" s="3752"/>
      <c r="X115" s="3752"/>
      <c r="Y115" s="3752"/>
      <c r="Z115" s="3752"/>
      <c r="AA115" s="3752"/>
      <c r="AB115" s="3752"/>
      <c r="AC115" s="3752"/>
      <c r="AD115" s="3752"/>
      <c r="AE115" s="3752"/>
      <c r="AF115" s="3752"/>
      <c r="AG115" s="3752"/>
      <c r="AH115" s="62"/>
      <c r="AJ115" s="190"/>
      <c r="AK115" s="2474"/>
      <c r="AL115" s="2475"/>
      <c r="AM115" s="3752" t="s">
        <v>349</v>
      </c>
      <c r="AN115" s="3752"/>
      <c r="AO115" s="3752"/>
      <c r="AP115" s="3752"/>
      <c r="AQ115" s="3752"/>
      <c r="AR115" s="3752"/>
      <c r="AS115" s="3752"/>
      <c r="AT115" s="3752"/>
      <c r="AU115" s="3752"/>
      <c r="AV115" s="3752"/>
      <c r="AW115" s="3752"/>
      <c r="AX115" s="3752"/>
      <c r="AY115" s="62"/>
      <c r="AZ115" s="54"/>
      <c r="BA115" s="1677"/>
      <c r="BB115" s="54"/>
      <c r="BC115" s="54"/>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c r="HB115"/>
      <c r="HC115"/>
      <c r="HD115"/>
      <c r="HE115"/>
      <c r="HF115"/>
      <c r="HG115"/>
      <c r="HH115"/>
      <c r="HI115"/>
      <c r="HJ115"/>
      <c r="HK115"/>
      <c r="HL115"/>
      <c r="HM115"/>
      <c r="HN115"/>
      <c r="HO115"/>
      <c r="HP115"/>
      <c r="HQ115"/>
      <c r="HR115"/>
      <c r="HS115"/>
      <c r="HT115"/>
      <c r="HU115"/>
      <c r="HV115"/>
      <c r="HW115"/>
      <c r="HX115"/>
      <c r="HY115"/>
      <c r="HZ115"/>
      <c r="IA115"/>
      <c r="IB115"/>
      <c r="IC115"/>
      <c r="ID115"/>
      <c r="IE115"/>
      <c r="IF115"/>
      <c r="IG115"/>
      <c r="IH115"/>
      <c r="II115"/>
      <c r="IJ115"/>
      <c r="IK115"/>
      <c r="IL115"/>
      <c r="IM115"/>
      <c r="IN115"/>
      <c r="IO115"/>
      <c r="IP115"/>
      <c r="IQ115"/>
      <c r="IR115"/>
      <c r="IS115"/>
      <c r="IT115"/>
      <c r="IU115"/>
      <c r="IV115"/>
    </row>
    <row r="116" spans="2:256" s="45" customFormat="1">
      <c r="B116" s="1665"/>
      <c r="C116" s="3027"/>
      <c r="D116" s="2545"/>
      <c r="E116" s="3752" t="s">
        <v>350</v>
      </c>
      <c r="F116" s="3752"/>
      <c r="G116" s="3752"/>
      <c r="H116" s="3752"/>
      <c r="I116" s="3752"/>
      <c r="J116" s="3752"/>
      <c r="K116" s="3752"/>
      <c r="L116" s="3752"/>
      <c r="M116" s="3752"/>
      <c r="N116" s="3752"/>
      <c r="O116" s="3752"/>
      <c r="P116" s="3752"/>
      <c r="Q116" s="2348"/>
      <c r="S116" s="190"/>
      <c r="T116" s="3027"/>
      <c r="U116" s="63"/>
      <c r="V116" s="3752" t="s">
        <v>350</v>
      </c>
      <c r="W116" s="3752"/>
      <c r="X116" s="3752"/>
      <c r="Y116" s="3752"/>
      <c r="Z116" s="3752"/>
      <c r="AA116" s="3752"/>
      <c r="AB116" s="3752"/>
      <c r="AC116" s="3752"/>
      <c r="AD116" s="3752"/>
      <c r="AE116" s="3752"/>
      <c r="AF116" s="3752"/>
      <c r="AG116" s="3752"/>
      <c r="AH116" s="62"/>
      <c r="AJ116" s="190"/>
      <c r="AK116" s="3027"/>
      <c r="AL116" s="2545"/>
      <c r="AM116" s="3752" t="s">
        <v>350</v>
      </c>
      <c r="AN116" s="3752"/>
      <c r="AO116" s="3752"/>
      <c r="AP116" s="3752"/>
      <c r="AQ116" s="3752"/>
      <c r="AR116" s="3752"/>
      <c r="AS116" s="3752"/>
      <c r="AT116" s="3752"/>
      <c r="AU116" s="3752"/>
      <c r="AV116" s="3752"/>
      <c r="AW116" s="3752"/>
      <c r="AX116" s="3752"/>
      <c r="AY116" s="62"/>
      <c r="AZ116" s="54"/>
      <c r="BA116" s="1677"/>
      <c r="BB116" s="54"/>
      <c r="BC116" s="54"/>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c r="HB116"/>
      <c r="HC116"/>
      <c r="HD116"/>
      <c r="HE116"/>
      <c r="HF116"/>
      <c r="HG116"/>
      <c r="HH116"/>
      <c r="HI116"/>
      <c r="HJ116"/>
      <c r="HK116"/>
      <c r="HL116"/>
      <c r="HM116"/>
      <c r="HN116"/>
      <c r="HO116"/>
      <c r="HP116"/>
      <c r="HQ116"/>
      <c r="HR116"/>
      <c r="HS116"/>
      <c r="HT116"/>
      <c r="HU116"/>
      <c r="HV116"/>
      <c r="HW116"/>
      <c r="HX116"/>
      <c r="HY116"/>
      <c r="HZ116"/>
      <c r="IA116"/>
      <c r="IB116"/>
      <c r="IC116"/>
      <c r="ID116"/>
      <c r="IE116"/>
      <c r="IF116"/>
      <c r="IG116"/>
      <c r="IH116"/>
      <c r="II116"/>
      <c r="IJ116"/>
      <c r="IK116"/>
      <c r="IL116"/>
      <c r="IM116"/>
      <c r="IN116"/>
      <c r="IO116"/>
      <c r="IP116"/>
      <c r="IQ116"/>
      <c r="IR116"/>
      <c r="IS116"/>
      <c r="IT116"/>
      <c r="IU116"/>
      <c r="IV116"/>
    </row>
    <row r="117" spans="2:256" s="45" customFormat="1">
      <c r="B117" s="1665"/>
      <c r="C117" s="3025" t="s">
        <v>1034</v>
      </c>
      <c r="D117" s="3026"/>
      <c r="E117" s="2740">
        <f ca="1">Transfer!D125</f>
        <v>2.9554663441353313</v>
      </c>
      <c r="F117" s="2740">
        <f ca="1">Transfer!E125</f>
        <v>3.4071082454399431</v>
      </c>
      <c r="G117" s="2740">
        <f ca="1">Transfer!F125</f>
        <v>4.4491285396125306</v>
      </c>
      <c r="H117" s="2740">
        <f ca="1">Transfer!G125</f>
        <v>4.0591318491850217</v>
      </c>
      <c r="I117" s="2740">
        <f ca="1">Transfer!H125</f>
        <v>3.2003427940795461</v>
      </c>
      <c r="J117" s="2740">
        <f ca="1">Transfer!I125</f>
        <v>2.7000996405354982</v>
      </c>
      <c r="K117" s="2740">
        <f ca="1">Transfer!J125</f>
        <v>2.6728413706528471</v>
      </c>
      <c r="L117" s="2740">
        <f ca="1">Transfer!K125</f>
        <v>2.6731374763846674</v>
      </c>
      <c r="M117" s="2740">
        <f ca="1">Transfer!L125</f>
        <v>2.7085884536913909</v>
      </c>
      <c r="N117" s="2740">
        <f ca="1">Transfer!M125</f>
        <v>2.5208338919720461</v>
      </c>
      <c r="O117" s="2740">
        <f ca="1">Transfer!N125</f>
        <v>2.2255013487630464</v>
      </c>
      <c r="P117" s="2746">
        <f ca="1">Transfer!O125</f>
        <v>1.939395359138814</v>
      </c>
      <c r="Q117" s="2452"/>
      <c r="S117" s="190"/>
      <c r="T117" s="3025" t="s">
        <v>1034</v>
      </c>
      <c r="U117" s="57"/>
      <c r="V117" s="195">
        <f t="shared" ref="V117:AG123" ca="1" si="9">ROUND(E117,1)-ROUND(AM117,1)</f>
        <v>0.79999999999999982</v>
      </c>
      <c r="W117" s="195">
        <f t="shared" ca="1" si="9"/>
        <v>2</v>
      </c>
      <c r="X117" s="195">
        <f t="shared" ca="1" si="9"/>
        <v>3.9000000000000004</v>
      </c>
      <c r="Y117" s="195">
        <f t="shared" ca="1" si="9"/>
        <v>2.6999999999999997</v>
      </c>
      <c r="Z117" s="195">
        <f t="shared" ca="1" si="9"/>
        <v>1.2000000000000002</v>
      </c>
      <c r="AA117" s="195">
        <f t="shared" ca="1" si="9"/>
        <v>0.80000000000000027</v>
      </c>
      <c r="AB117" s="195">
        <f t="shared" ca="1" si="9"/>
        <v>0.40000000000000036</v>
      </c>
      <c r="AC117" s="195">
        <f t="shared" ca="1" si="9"/>
        <v>1.2000000000000002</v>
      </c>
      <c r="AD117" s="195">
        <f t="shared" ca="1" si="9"/>
        <v>0.70000000000000018</v>
      </c>
      <c r="AE117" s="195">
        <f t="shared" ca="1" si="9"/>
        <v>0.20000000000000018</v>
      </c>
      <c r="AF117" s="195">
        <f t="shared" ca="1" si="9"/>
        <v>-0.29999999999999982</v>
      </c>
      <c r="AG117" s="358">
        <f t="shared" ca="1" si="9"/>
        <v>-0.70000000000000018</v>
      </c>
      <c r="AH117" s="196"/>
      <c r="AJ117" s="190"/>
      <c r="AK117" s="3025" t="s">
        <v>1034</v>
      </c>
      <c r="AL117" s="3026"/>
      <c r="AM117" s="2740">
        <f>Transfer!AD125</f>
        <v>2.2134737160631772</v>
      </c>
      <c r="AN117" s="2740">
        <f>Transfer!AE125</f>
        <v>1.39533830231791</v>
      </c>
      <c r="AO117" s="2740">
        <f>Transfer!AF125</f>
        <v>0.49804025579864231</v>
      </c>
      <c r="AP117" s="2740">
        <f>Transfer!AG125</f>
        <v>1.4179761867012246</v>
      </c>
      <c r="AQ117" s="2740">
        <f>Transfer!AH125</f>
        <v>1.9671138069317493</v>
      </c>
      <c r="AR117" s="2740">
        <f>Transfer!AI125</f>
        <v>1.9129540310224797</v>
      </c>
      <c r="AS117" s="2740">
        <f>Transfer!AJ125</f>
        <v>2.2710103148114484</v>
      </c>
      <c r="AT117" s="2740">
        <f>Transfer!AK125</f>
        <v>1.5486865442106108</v>
      </c>
      <c r="AU117" s="2740">
        <f>Transfer!AL125</f>
        <v>2.0402918476092395</v>
      </c>
      <c r="AV117" s="2740">
        <f>Transfer!AM125</f>
        <v>2.2687971222933783</v>
      </c>
      <c r="AW117" s="2740">
        <f>Transfer!AN125</f>
        <v>2.5171582254108102</v>
      </c>
      <c r="AX117" s="2746">
        <f>Transfer!AO125</f>
        <v>2.640625269942646</v>
      </c>
      <c r="AY117" s="196"/>
      <c r="AZ117" s="54"/>
      <c r="BA117" s="1677" t="s">
        <v>1874</v>
      </c>
      <c r="BB117" s="54"/>
      <c r="BC117" s="54"/>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c r="HB117"/>
      <c r="HC117"/>
      <c r="HD117"/>
      <c r="HE117"/>
      <c r="HF117"/>
      <c r="HG117"/>
      <c r="HH117"/>
      <c r="HI117"/>
      <c r="HJ117"/>
      <c r="HK117"/>
      <c r="HL117"/>
      <c r="HM117"/>
      <c r="HN117"/>
      <c r="HO117"/>
      <c r="HP117"/>
      <c r="HQ117"/>
      <c r="HR117"/>
      <c r="HS117"/>
      <c r="HT117"/>
      <c r="HU117"/>
      <c r="HV117"/>
      <c r="HW117"/>
      <c r="HX117"/>
      <c r="HY117"/>
      <c r="HZ117"/>
      <c r="IA117"/>
      <c r="IB117"/>
      <c r="IC117"/>
      <c r="ID117"/>
      <c r="IE117"/>
      <c r="IF117"/>
      <c r="IG117"/>
      <c r="IH117"/>
      <c r="II117"/>
      <c r="IJ117"/>
      <c r="IK117"/>
      <c r="IL117"/>
      <c r="IM117"/>
      <c r="IN117"/>
      <c r="IO117"/>
      <c r="IP117"/>
      <c r="IQ117"/>
      <c r="IR117"/>
      <c r="IS117"/>
      <c r="IT117"/>
      <c r="IU117"/>
      <c r="IV117"/>
    </row>
    <row r="118" spans="2:256" s="45" customFormat="1">
      <c r="B118" s="1665"/>
      <c r="C118" s="2373" t="s">
        <v>1937</v>
      </c>
      <c r="D118" s="2351"/>
      <c r="E118" s="2453">
        <f ca="1">+Transfer!D267</f>
        <v>0.30318174246211527</v>
      </c>
      <c r="F118" s="2453">
        <f ca="1">+Transfer!E267</f>
        <v>0.75598211937943915</v>
      </c>
      <c r="G118" s="2453">
        <f ca="1">+Transfer!F267</f>
        <v>0.95461396750964411</v>
      </c>
      <c r="H118" s="2453">
        <f ca="1">+Transfer!G267</f>
        <v>0.86144775630528159</v>
      </c>
      <c r="I118" s="2453">
        <f ca="1">+Transfer!H267</f>
        <v>0.50017933037722617</v>
      </c>
      <c r="J118" s="2453">
        <f ca="1">+Transfer!I267</f>
        <v>0.26043123305408145</v>
      </c>
      <c r="K118" s="2453">
        <f ca="1">+Transfer!J267</f>
        <v>1.1982917800306581</v>
      </c>
      <c r="L118" s="2453">
        <f ca="1">+Transfer!K267</f>
        <v>1.1634348438419595</v>
      </c>
      <c r="M118" s="2453">
        <f ca="1">+Transfer!L267</f>
        <v>1.7218447881152787</v>
      </c>
      <c r="N118" s="2453">
        <f ca="1">+Transfer!M267</f>
        <v>1.2585629927081454</v>
      </c>
      <c r="O118" s="2453">
        <f ca="1">+Transfer!N267</f>
        <v>0.80168970103717818</v>
      </c>
      <c r="P118" s="2454">
        <f ca="1">+Transfer!O267</f>
        <v>0.3529386997682904</v>
      </c>
      <c r="Q118" s="2452"/>
      <c r="S118" s="190"/>
      <c r="T118" s="2373" t="s">
        <v>1937</v>
      </c>
      <c r="U118" s="65"/>
      <c r="V118" s="197">
        <f t="shared" ca="1" si="9"/>
        <v>-1.4</v>
      </c>
      <c r="W118" s="197">
        <f t="shared" ca="1" si="9"/>
        <v>-0.5</v>
      </c>
      <c r="X118" s="197">
        <f t="shared" ca="1" si="9"/>
        <v>0.8</v>
      </c>
      <c r="Y118" s="197">
        <f t="shared" ca="1" si="9"/>
        <v>0.4</v>
      </c>
      <c r="Z118" s="197">
        <f t="shared" ca="1" si="9"/>
        <v>-0.8</v>
      </c>
      <c r="AA118" s="197">
        <f t="shared" ca="1" si="9"/>
        <v>-0.2</v>
      </c>
      <c r="AB118" s="197">
        <f t="shared" ca="1" si="9"/>
        <v>-0.60000000000000009</v>
      </c>
      <c r="AC118" s="197">
        <f t="shared" ca="1" si="9"/>
        <v>0.29999999999999993</v>
      </c>
      <c r="AD118" s="197">
        <f t="shared" ca="1" si="9"/>
        <v>0.7</v>
      </c>
      <c r="AE118" s="197">
        <f t="shared" ca="1" si="9"/>
        <v>0.4</v>
      </c>
      <c r="AF118" s="197">
        <f t="shared" ca="1" si="9"/>
        <v>0</v>
      </c>
      <c r="AG118" s="341">
        <f t="shared" ca="1" si="9"/>
        <v>-0.5</v>
      </c>
      <c r="AH118" s="196"/>
      <c r="AJ118" s="190"/>
      <c r="AK118" s="2373" t="s">
        <v>1937</v>
      </c>
      <c r="AL118" s="2351"/>
      <c r="AM118" s="2453">
        <f>+Transfer!AD267</f>
        <v>1.6630198817839954</v>
      </c>
      <c r="AN118" s="2453">
        <f>+Transfer!AE267</f>
        <v>1.256323503915695</v>
      </c>
      <c r="AO118" s="2453">
        <f>+Transfer!AF267</f>
        <v>0.17985189298335147</v>
      </c>
      <c r="AP118" s="2453">
        <f>+Transfer!AG267</f>
        <v>0.48219844810535317</v>
      </c>
      <c r="AQ118" s="2453">
        <f>+Transfer!AH267</f>
        <v>1.293250863781803</v>
      </c>
      <c r="AR118" s="2453">
        <f>+Transfer!AI267</f>
        <v>0.45767318152818426</v>
      </c>
      <c r="AS118" s="2453">
        <f>+Transfer!AJ267</f>
        <v>1.7547381290330621</v>
      </c>
      <c r="AT118" s="2453">
        <f>+Transfer!AK267</f>
        <v>0.90804538282844849</v>
      </c>
      <c r="AU118" s="2453">
        <f>+Transfer!AL267</f>
        <v>0.98274810154332926</v>
      </c>
      <c r="AV118" s="2453">
        <f>+Transfer!AM267</f>
        <v>0.89309343757149051</v>
      </c>
      <c r="AW118" s="2453">
        <f>+Transfer!AN267</f>
        <v>0.81132197694764319</v>
      </c>
      <c r="AX118" s="2454">
        <f>+Transfer!AO267</f>
        <v>0.86369435144708628</v>
      </c>
      <c r="AY118" s="196"/>
      <c r="AZ118" s="54"/>
      <c r="BA118" s="1677" t="s">
        <v>1980</v>
      </c>
      <c r="BB118" s="54"/>
      <c r="BC118" s="54"/>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c r="HB118"/>
      <c r="HC118"/>
      <c r="HD118"/>
      <c r="HE118"/>
      <c r="HF118"/>
      <c r="HG118"/>
      <c r="HH118"/>
      <c r="HI118"/>
      <c r="HJ118"/>
      <c r="HK118"/>
      <c r="HL118"/>
      <c r="HM118"/>
      <c r="HN118"/>
      <c r="HO118"/>
      <c r="HP118"/>
      <c r="HQ118"/>
      <c r="HR118"/>
      <c r="HS118"/>
      <c r="HT118"/>
      <c r="HU118"/>
      <c r="HV118"/>
      <c r="HW118"/>
      <c r="HX118"/>
      <c r="HY118"/>
      <c r="HZ118"/>
      <c r="IA118"/>
      <c r="IB118"/>
      <c r="IC118"/>
      <c r="ID118"/>
      <c r="IE118"/>
      <c r="IF118"/>
      <c r="IG118"/>
      <c r="IH118"/>
      <c r="II118"/>
      <c r="IJ118"/>
      <c r="IK118"/>
      <c r="IL118"/>
      <c r="IM118"/>
      <c r="IN118"/>
      <c r="IO118"/>
      <c r="IP118"/>
      <c r="IQ118"/>
      <c r="IR118"/>
      <c r="IS118"/>
      <c r="IT118"/>
      <c r="IU118"/>
      <c r="IV118"/>
    </row>
    <row r="119" spans="2:256" s="45" customFormat="1">
      <c r="B119" s="1665"/>
      <c r="C119" s="2373" t="s">
        <v>871</v>
      </c>
      <c r="D119" s="2351"/>
      <c r="E119" s="2453">
        <f ca="1">+Transfer!D268</f>
        <v>5.9690174412306334</v>
      </c>
      <c r="F119" s="2453">
        <f ca="1">+Transfer!E268</f>
        <v>3.989104333178048</v>
      </c>
      <c r="G119" s="2453">
        <f ca="1">+Transfer!F268</f>
        <v>4.9638923335035372</v>
      </c>
      <c r="H119" s="2453">
        <f ca="1">+Transfer!G268</f>
        <v>3.8391031516604528</v>
      </c>
      <c r="I119" s="2453">
        <f ca="1">+Transfer!H268</f>
        <v>4.4749096980849057</v>
      </c>
      <c r="J119" s="2453">
        <f ca="1">+Transfer!I268</f>
        <v>5.8556735405155713</v>
      </c>
      <c r="K119" s="2453">
        <f ca="1">+Transfer!J268</f>
        <v>7.0405371486731649</v>
      </c>
      <c r="L119" s="2453">
        <f ca="1">+Transfer!K268</f>
        <v>4.8979942996721926</v>
      </c>
      <c r="M119" s="2453">
        <f ca="1">+Transfer!L268</f>
        <v>1.0805336799536436</v>
      </c>
      <c r="N119" s="2453">
        <f ca="1">+Transfer!M268</f>
        <v>1.2066220495791535</v>
      </c>
      <c r="O119" s="2453">
        <f ca="1">+Transfer!N268</f>
        <v>1.2066220495791535</v>
      </c>
      <c r="P119" s="2454">
        <f ca="1">+Transfer!O268</f>
        <v>1.2066220495791535</v>
      </c>
      <c r="Q119" s="2452"/>
      <c r="S119" s="190"/>
      <c r="T119" s="2373" t="s">
        <v>871</v>
      </c>
      <c r="U119" s="198"/>
      <c r="V119" s="197">
        <f t="shared" ca="1" si="9"/>
        <v>4.3</v>
      </c>
      <c r="W119" s="197">
        <f t="shared" ca="1" si="9"/>
        <v>5.0999999999999996</v>
      </c>
      <c r="X119" s="197">
        <f t="shared" ca="1" si="9"/>
        <v>8.5</v>
      </c>
      <c r="Y119" s="197">
        <f t="shared" ca="1" si="9"/>
        <v>4.3</v>
      </c>
      <c r="Z119" s="197">
        <f t="shared" ca="1" si="9"/>
        <v>4.7</v>
      </c>
      <c r="AA119" s="197">
        <f t="shared" ca="1" si="9"/>
        <v>4.7</v>
      </c>
      <c r="AB119" s="197">
        <f t="shared" ca="1" si="9"/>
        <v>5.5</v>
      </c>
      <c r="AC119" s="197">
        <f t="shared" ca="1" si="9"/>
        <v>4.9000000000000004</v>
      </c>
      <c r="AD119" s="197">
        <f t="shared" ca="1" si="9"/>
        <v>-0.29999999999999982</v>
      </c>
      <c r="AE119" s="197">
        <f t="shared" ca="1" si="9"/>
        <v>-1.0000000000000002</v>
      </c>
      <c r="AF119" s="197">
        <f t="shared" ca="1" si="9"/>
        <v>-2.2000000000000002</v>
      </c>
      <c r="AG119" s="341">
        <f t="shared" ca="1" si="9"/>
        <v>-2.5999999999999996</v>
      </c>
      <c r="AH119" s="196"/>
      <c r="AJ119" s="190"/>
      <c r="AK119" s="2373" t="s">
        <v>871</v>
      </c>
      <c r="AL119" s="2351"/>
      <c r="AM119" s="2453">
        <f>+Transfer!AD268</f>
        <v>1.6519042749865633</v>
      </c>
      <c r="AN119" s="2453">
        <f>+Transfer!AE268</f>
        <v>-1.1213109249616764</v>
      </c>
      <c r="AO119" s="2453">
        <f>+Transfer!AF268</f>
        <v>-3.5050684393386988</v>
      </c>
      <c r="AP119" s="2453">
        <f>+Transfer!AG268</f>
        <v>-0.53371695964132826</v>
      </c>
      <c r="AQ119" s="2453">
        <f>+Transfer!AH268</f>
        <v>-0.15544656656797384</v>
      </c>
      <c r="AR119" s="2453">
        <f>+Transfer!AI268</f>
        <v>1.1833414186617874</v>
      </c>
      <c r="AS119" s="2453">
        <f>+Transfer!AJ268</f>
        <v>1.5424490758541687</v>
      </c>
      <c r="AT119" s="2453">
        <f>+Transfer!AK268</f>
        <v>-3.5880231144402863E-2</v>
      </c>
      <c r="AU119" s="2453">
        <f>+Transfer!AL268</f>
        <v>1.4084981431489618</v>
      </c>
      <c r="AV119" s="2453">
        <f>+Transfer!AM268</f>
        <v>2.2181686795003319</v>
      </c>
      <c r="AW119" s="2453">
        <f>+Transfer!AN268</f>
        <v>3.4272708009092989</v>
      </c>
      <c r="AX119" s="2454">
        <f>+Transfer!AO268</f>
        <v>3.8319251861760106</v>
      </c>
      <c r="AY119" s="196"/>
      <c r="AZ119" s="54"/>
      <c r="BA119" s="1677" t="s">
        <v>1981</v>
      </c>
      <c r="BB119" s="54"/>
      <c r="BC119" s="54"/>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c r="HB119"/>
      <c r="HC119"/>
      <c r="HD119"/>
      <c r="HE119"/>
      <c r="HF119"/>
      <c r="HG119"/>
      <c r="HH119"/>
      <c r="HI119"/>
      <c r="HJ119"/>
      <c r="HK119"/>
      <c r="HL119"/>
      <c r="HM119"/>
      <c r="HN119"/>
      <c r="HO119"/>
      <c r="HP119"/>
      <c r="HQ119"/>
      <c r="HR119"/>
      <c r="HS119"/>
      <c r="HT119"/>
      <c r="HU119"/>
      <c r="HV119"/>
      <c r="HW119"/>
      <c r="HX119"/>
      <c r="HY119"/>
      <c r="HZ119"/>
      <c r="IA119"/>
      <c r="IB119"/>
      <c r="IC119"/>
      <c r="ID119"/>
      <c r="IE119"/>
      <c r="IF119"/>
      <c r="IG119"/>
      <c r="IH119"/>
      <c r="II119"/>
      <c r="IJ119"/>
      <c r="IK119"/>
      <c r="IL119"/>
      <c r="IM119"/>
      <c r="IN119"/>
      <c r="IO119"/>
      <c r="IP119"/>
      <c r="IQ119"/>
      <c r="IR119"/>
      <c r="IS119"/>
      <c r="IT119"/>
      <c r="IU119"/>
      <c r="IV119"/>
    </row>
    <row r="120" spans="2:256" s="45" customFormat="1">
      <c r="B120" s="1665"/>
      <c r="C120" s="2373" t="s">
        <v>868</v>
      </c>
      <c r="D120" s="2351"/>
      <c r="E120" s="2453">
        <f ca="1">+Transfer!D269</f>
        <v>5.159778159249953</v>
      </c>
      <c r="F120" s="2453">
        <f ca="1">+Transfer!E269</f>
        <v>7.270708126469799</v>
      </c>
      <c r="G120" s="2453">
        <f ca="1">+Transfer!F269</f>
        <v>7.9678814082767104</v>
      </c>
      <c r="H120" s="2453">
        <f ca="1">+Transfer!G269</f>
        <v>8.0436044636522013</v>
      </c>
      <c r="I120" s="2453">
        <f ca="1">+Transfer!H269</f>
        <v>5.8525665620107192</v>
      </c>
      <c r="J120" s="2453">
        <f ca="1">+Transfer!I269</f>
        <v>3.6582005931588002</v>
      </c>
      <c r="K120" s="2453">
        <f ca="1">+Transfer!J269</f>
        <v>2.7083941013876567</v>
      </c>
      <c r="L120" s="2453">
        <f ca="1">+Transfer!K269</f>
        <v>2.2995686980041175</v>
      </c>
      <c r="M120" s="2453">
        <f ca="1">+Transfer!L269</f>
        <v>2.9087304281936177</v>
      </c>
      <c r="N120" s="2453">
        <f ca="1">+Transfer!M269</f>
        <v>3.0843222015192628</v>
      </c>
      <c r="O120" s="2453">
        <f ca="1">+Transfer!N269</f>
        <v>3.0843222015192628</v>
      </c>
      <c r="P120" s="2454">
        <f ca="1">+Transfer!O269</f>
        <v>3.0843222015192628</v>
      </c>
      <c r="Q120" s="2452"/>
      <c r="S120" s="190"/>
      <c r="T120" s="2373" t="s">
        <v>868</v>
      </c>
      <c r="U120" s="63"/>
      <c r="V120" s="197">
        <f t="shared" ca="1" si="9"/>
        <v>3.3000000000000003</v>
      </c>
      <c r="W120" s="197">
        <f t="shared" ca="1" si="9"/>
        <v>6.5</v>
      </c>
      <c r="X120" s="197">
        <f t="shared" ca="1" si="9"/>
        <v>6.8</v>
      </c>
      <c r="Y120" s="197">
        <f t="shared" ca="1" si="9"/>
        <v>5.5</v>
      </c>
      <c r="Z120" s="197">
        <f t="shared" ca="1" si="9"/>
        <v>3.0000000000000004</v>
      </c>
      <c r="AA120" s="197">
        <f t="shared" ca="1" si="9"/>
        <v>0.70000000000000018</v>
      </c>
      <c r="AB120" s="197">
        <f t="shared" ca="1" si="9"/>
        <v>0.10000000000000009</v>
      </c>
      <c r="AC120" s="197">
        <f t="shared" ca="1" si="9"/>
        <v>0.49999999999999978</v>
      </c>
      <c r="AD120" s="197">
        <f t="shared" ca="1" si="9"/>
        <v>0.89999999999999991</v>
      </c>
      <c r="AE120" s="197">
        <f t="shared" ca="1" si="9"/>
        <v>1.3</v>
      </c>
      <c r="AF120" s="197">
        <f t="shared" ca="1" si="9"/>
        <v>1.7000000000000002</v>
      </c>
      <c r="AG120" s="341">
        <f t="shared" ca="1" si="9"/>
        <v>1.6</v>
      </c>
      <c r="AH120" s="196"/>
      <c r="AJ120" s="190"/>
      <c r="AK120" s="2373" t="s">
        <v>868</v>
      </c>
      <c r="AL120" s="2351"/>
      <c r="AM120" s="2453">
        <f>+Transfer!AD269</f>
        <v>1.885263890651089</v>
      </c>
      <c r="AN120" s="2453">
        <f>+Transfer!AE269</f>
        <v>0.83297721330831109</v>
      </c>
      <c r="AO120" s="2453">
        <f>+Transfer!AF269</f>
        <v>1.241702971353531</v>
      </c>
      <c r="AP120" s="2453">
        <f>+Transfer!AG269</f>
        <v>2.4696192329283218</v>
      </c>
      <c r="AQ120" s="2453">
        <f>+Transfer!AH269</f>
        <v>2.8637622597915025</v>
      </c>
      <c r="AR120" s="2453">
        <f>+Transfer!AI269</f>
        <v>3.0091700093565432</v>
      </c>
      <c r="AS120" s="2453">
        <f>+Transfer!AJ269</f>
        <v>2.6054812212739087</v>
      </c>
      <c r="AT120" s="2453">
        <f>+Transfer!AK269</f>
        <v>1.8238385825870784</v>
      </c>
      <c r="AU120" s="2453">
        <f>+Transfer!AL269</f>
        <v>2.0181166145320173</v>
      </c>
      <c r="AV120" s="2453">
        <f>+Transfer!AM269</f>
        <v>1.8459264148334098</v>
      </c>
      <c r="AW120" s="2453">
        <f>+Transfer!AN269</f>
        <v>1.4126617856792922</v>
      </c>
      <c r="AX120" s="2454">
        <f>+Transfer!AO269</f>
        <v>1.5233018265618847</v>
      </c>
      <c r="AY120" s="196"/>
      <c r="AZ120" s="54"/>
      <c r="BA120" s="1677" t="s">
        <v>1982</v>
      </c>
      <c r="BB120" s="54"/>
      <c r="BC120" s="54"/>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c r="HB120"/>
      <c r="HC120"/>
      <c r="HD120"/>
      <c r="HE120"/>
      <c r="HF120"/>
      <c r="HG120"/>
      <c r="HH120"/>
      <c r="HI120"/>
      <c r="HJ120"/>
      <c r="HK120"/>
      <c r="HL120"/>
      <c r="HM120"/>
      <c r="HN120"/>
      <c r="HO120"/>
      <c r="HP120"/>
      <c r="HQ120"/>
      <c r="HR120"/>
      <c r="HS120"/>
      <c r="HT120"/>
      <c r="HU120"/>
      <c r="HV120"/>
      <c r="HW120"/>
      <c r="HX120"/>
      <c r="HY120"/>
      <c r="HZ120"/>
      <c r="IA120"/>
      <c r="IB120"/>
      <c r="IC120"/>
      <c r="ID120"/>
      <c r="IE120"/>
      <c r="IF120"/>
      <c r="IG120"/>
      <c r="IH120"/>
      <c r="II120"/>
      <c r="IJ120"/>
      <c r="IK120"/>
      <c r="IL120"/>
      <c r="IM120"/>
      <c r="IN120"/>
      <c r="IO120"/>
      <c r="IP120"/>
      <c r="IQ120"/>
      <c r="IR120"/>
      <c r="IS120"/>
      <c r="IT120"/>
      <c r="IU120"/>
      <c r="IV120"/>
    </row>
    <row r="121" spans="2:256" s="45" customFormat="1">
      <c r="B121" s="1665"/>
      <c r="C121" s="2373" t="s">
        <v>869</v>
      </c>
      <c r="D121" s="2351"/>
      <c r="E121" s="2453">
        <f ca="1">+Transfer!D270</f>
        <v>2.6624876278455503</v>
      </c>
      <c r="F121" s="2453">
        <f ca="1">+Transfer!E270</f>
        <v>-1.3645839914081819</v>
      </c>
      <c r="G121" s="2453">
        <f ca="1">+Transfer!F270</f>
        <v>1.8733095134737994</v>
      </c>
      <c r="H121" s="2453">
        <f ca="1">+Transfer!G270</f>
        <v>3.541332263242353</v>
      </c>
      <c r="I121" s="2453">
        <f ca="1">+Transfer!H270</f>
        <v>0.88129809486945376</v>
      </c>
      <c r="J121" s="2453">
        <f ca="1">+Transfer!I270</f>
        <v>1.7331686884269448</v>
      </c>
      <c r="K121" s="2453">
        <f ca="1">+Transfer!J270</f>
        <v>0.53986218291028898</v>
      </c>
      <c r="L121" s="2453">
        <f ca="1">+Transfer!K270</f>
        <v>-1.0495737090258195</v>
      </c>
      <c r="M121" s="2453">
        <f ca="1">+Transfer!L270</f>
        <v>5.2763268782429762E-2</v>
      </c>
      <c r="N121" s="2453">
        <f ca="1">+Transfer!M270</f>
        <v>0.87057816280209366</v>
      </c>
      <c r="O121" s="2453">
        <f ca="1">+Transfer!N270</f>
        <v>1.1772288664503527</v>
      </c>
      <c r="P121" s="2454">
        <f ca="1">+Transfer!O270</f>
        <v>1.4816359193452033</v>
      </c>
      <c r="Q121" s="2452"/>
      <c r="S121" s="190"/>
      <c r="T121" s="2373" t="s">
        <v>869</v>
      </c>
      <c r="U121" s="63"/>
      <c r="V121" s="197">
        <f t="shared" ca="1" si="9"/>
        <v>-2.0999999999999996</v>
      </c>
      <c r="W121" s="197">
        <f t="shared" ca="1" si="9"/>
        <v>-6.4</v>
      </c>
      <c r="X121" s="197">
        <f t="shared" ca="1" si="9"/>
        <v>0.29999999999999982</v>
      </c>
      <c r="Y121" s="197">
        <f t="shared" ca="1" si="9"/>
        <v>3.5</v>
      </c>
      <c r="Z121" s="197">
        <f t="shared" ca="1" si="9"/>
        <v>0.7</v>
      </c>
      <c r="AA121" s="197">
        <f t="shared" ca="1" si="9"/>
        <v>1.5</v>
      </c>
      <c r="AB121" s="197">
        <f t="shared" ca="1" si="9"/>
        <v>-1.7999999999999998</v>
      </c>
      <c r="AC121" s="197">
        <f t="shared" ca="1" si="9"/>
        <v>-4.4000000000000004</v>
      </c>
      <c r="AD121" s="197">
        <f t="shared" ca="1" si="9"/>
        <v>-3.1</v>
      </c>
      <c r="AE121" s="197">
        <f t="shared" ca="1" si="9"/>
        <v>-1.6</v>
      </c>
      <c r="AF121" s="197">
        <f t="shared" ca="1" si="9"/>
        <v>-0.5</v>
      </c>
      <c r="AG121" s="341">
        <f t="shared" ca="1" si="9"/>
        <v>0.39999999999999991</v>
      </c>
      <c r="AH121" s="196"/>
      <c r="AJ121" s="190"/>
      <c r="AK121" s="2373" t="s">
        <v>869</v>
      </c>
      <c r="AL121" s="2351"/>
      <c r="AM121" s="2453">
        <f>+Transfer!AD270</f>
        <v>4.8136091374777976</v>
      </c>
      <c r="AN121" s="2453">
        <f>+Transfer!AE270</f>
        <v>4.9528098310653803</v>
      </c>
      <c r="AO121" s="2453">
        <f>+Transfer!AF270</f>
        <v>1.6050865539179116</v>
      </c>
      <c r="AP121" s="2453">
        <f>+Transfer!AG270</f>
        <v>-2.1591315588098681E-2</v>
      </c>
      <c r="AQ121" s="2453">
        <f>+Transfer!AH270</f>
        <v>0.15012170482944232</v>
      </c>
      <c r="AR121" s="2453">
        <f>+Transfer!AI270</f>
        <v>0.24255676002540305</v>
      </c>
      <c r="AS121" s="2453">
        <f>+Transfer!AJ270</f>
        <v>2.2875642083795888</v>
      </c>
      <c r="AT121" s="2453">
        <f>+Transfer!AK270</f>
        <v>3.4416983089633479</v>
      </c>
      <c r="AU121" s="2453">
        <f>+Transfer!AL270</f>
        <v>3.165436980964631</v>
      </c>
      <c r="AV121" s="2453">
        <f>+Transfer!AM270</f>
        <v>2.4691251642328993</v>
      </c>
      <c r="AW121" s="2453">
        <f>+Transfer!AN270</f>
        <v>1.6878979124821614</v>
      </c>
      <c r="AX121" s="2454">
        <f>+Transfer!AO270</f>
        <v>1.0625140027820335</v>
      </c>
      <c r="AY121" s="196"/>
      <c r="AZ121" s="54"/>
      <c r="BA121" s="1677" t="s">
        <v>1983</v>
      </c>
      <c r="BB121" s="54"/>
      <c r="BC121" s="54"/>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c r="HB121"/>
      <c r="HC121"/>
      <c r="HD121"/>
      <c r="HE121"/>
      <c r="HF121"/>
      <c r="HG121"/>
      <c r="HH121"/>
      <c r="HI121"/>
      <c r="HJ121"/>
      <c r="HK121"/>
      <c r="HL121"/>
      <c r="HM121"/>
      <c r="HN121"/>
      <c r="HO121"/>
      <c r="HP121"/>
      <c r="HQ121"/>
      <c r="HR121"/>
      <c r="HS121"/>
      <c r="HT121"/>
      <c r="HU121"/>
      <c r="HV121"/>
      <c r="HW121"/>
      <c r="HX121"/>
      <c r="HY121"/>
      <c r="HZ121"/>
      <c r="IA121"/>
      <c r="IB121"/>
      <c r="IC121"/>
      <c r="ID121"/>
      <c r="IE121"/>
      <c r="IF121"/>
      <c r="IG121"/>
      <c r="IH121"/>
      <c r="II121"/>
      <c r="IJ121"/>
      <c r="IK121"/>
      <c r="IL121"/>
      <c r="IM121"/>
      <c r="IN121"/>
      <c r="IO121"/>
      <c r="IP121"/>
      <c r="IQ121"/>
      <c r="IR121"/>
      <c r="IS121"/>
      <c r="IT121"/>
      <c r="IU121"/>
      <c r="IV121"/>
    </row>
    <row r="122" spans="2:256" s="45" customFormat="1">
      <c r="B122" s="1665"/>
      <c r="C122" s="2747" t="s">
        <v>870</v>
      </c>
      <c r="D122" s="2380"/>
      <c r="E122" s="2695">
        <f ca="1">+Transfer!D271</f>
        <v>3.3563413916058806</v>
      </c>
      <c r="F122" s="2695">
        <f ca="1">+Transfer!E271</f>
        <v>5.2597360379689206</v>
      </c>
      <c r="G122" s="2695">
        <f ca="1">+Transfer!F271</f>
        <v>6.4145631378571295</v>
      </c>
      <c r="H122" s="2695">
        <f ca="1">+Transfer!G271</f>
        <v>5.0900698762741143</v>
      </c>
      <c r="I122" s="2695">
        <f ca="1">+Transfer!H271</f>
        <v>4.5240739011595199</v>
      </c>
      <c r="J122" s="2695">
        <f ca="1">+Transfer!I271</f>
        <v>3.7792475150509652</v>
      </c>
      <c r="K122" s="2695">
        <f ca="1">+Transfer!J271</f>
        <v>3.1866599149859898</v>
      </c>
      <c r="L122" s="2695">
        <f ca="1">+Transfer!K271</f>
        <v>4.9446622371182691</v>
      </c>
      <c r="M122" s="2695">
        <f ca="1">+Transfer!L271</f>
        <v>5.326212852339629</v>
      </c>
      <c r="N122" s="2695">
        <f ca="1">+Transfer!M271</f>
        <v>4.695714436014331</v>
      </c>
      <c r="O122" s="2695">
        <f ca="1">+Transfer!N271</f>
        <v>4.0738347686796184</v>
      </c>
      <c r="P122" s="2750">
        <f ca="1">+Transfer!O271</f>
        <v>3.4509956826684673</v>
      </c>
      <c r="Q122" s="2452"/>
      <c r="S122" s="190"/>
      <c r="T122" s="2747" t="s">
        <v>870</v>
      </c>
      <c r="U122" s="210"/>
      <c r="V122" s="197">
        <f t="shared" ca="1" si="9"/>
        <v>1.1999999999999997</v>
      </c>
      <c r="W122" s="197">
        <f t="shared" ca="1" si="9"/>
        <v>3.1999999999999997</v>
      </c>
      <c r="X122" s="197">
        <f t="shared" ca="1" si="9"/>
        <v>4.1000000000000005</v>
      </c>
      <c r="Y122" s="197">
        <f t="shared" ca="1" si="9"/>
        <v>1.7999999999999998</v>
      </c>
      <c r="Z122" s="197">
        <f t="shared" ca="1" si="9"/>
        <v>0.5</v>
      </c>
      <c r="AA122" s="197">
        <f t="shared" ca="1" si="9"/>
        <v>0.29999999999999982</v>
      </c>
      <c r="AB122" s="197">
        <f t="shared" ca="1" si="9"/>
        <v>0.30000000000000027</v>
      </c>
      <c r="AC122" s="197">
        <f t="shared" ca="1" si="9"/>
        <v>2.8000000000000003</v>
      </c>
      <c r="AD122" s="197">
        <f t="shared" ca="1" si="9"/>
        <v>2.2999999999999998</v>
      </c>
      <c r="AE122" s="197">
        <f t="shared" ca="1" si="9"/>
        <v>0.80000000000000027</v>
      </c>
      <c r="AF122" s="197">
        <f t="shared" ca="1" si="9"/>
        <v>-0.80000000000000071</v>
      </c>
      <c r="AG122" s="341">
        <f t="shared" ca="1" si="9"/>
        <v>-1.7999999999999998</v>
      </c>
      <c r="AH122" s="196"/>
      <c r="AJ122" s="190"/>
      <c r="AK122" s="2747" t="s">
        <v>870</v>
      </c>
      <c r="AL122" s="2380"/>
      <c r="AM122" s="2695">
        <f>+Transfer!AD271</f>
        <v>2.2207801825738755</v>
      </c>
      <c r="AN122" s="2695">
        <f>+Transfer!AE271</f>
        <v>2.1305290801911383</v>
      </c>
      <c r="AO122" s="2695">
        <f>+Transfer!AF271</f>
        <v>2.3023260974900595</v>
      </c>
      <c r="AP122" s="2695">
        <f>+Transfer!AG271</f>
        <v>3.3075255876064524</v>
      </c>
      <c r="AQ122" s="2695">
        <f>+Transfer!AH271</f>
        <v>4.0474842375427533</v>
      </c>
      <c r="AR122" s="2695">
        <f>+Transfer!AI271</f>
        <v>3.5489918827460221</v>
      </c>
      <c r="AS122" s="2695">
        <f>+Transfer!AJ271</f>
        <v>2.937685111895183</v>
      </c>
      <c r="AT122" s="2695">
        <f>+Transfer!AK271</f>
        <v>2.118841570876917</v>
      </c>
      <c r="AU122" s="2695">
        <f>+Transfer!AL271</f>
        <v>2.9733795658627438</v>
      </c>
      <c r="AV122" s="2695">
        <f>+Transfer!AM271</f>
        <v>3.9101176484675593</v>
      </c>
      <c r="AW122" s="2695">
        <f>+Transfer!AN271</f>
        <v>4.8817717631724822</v>
      </c>
      <c r="AX122" s="2750">
        <f>+Transfer!AO271</f>
        <v>5.2649365081705035</v>
      </c>
      <c r="AY122" s="196"/>
      <c r="AZ122" s="54"/>
      <c r="BA122" s="1677" t="s">
        <v>1984</v>
      </c>
      <c r="BB122" s="54"/>
      <c r="BC122" s="54"/>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c r="HB122"/>
      <c r="HC122"/>
      <c r="HD122"/>
      <c r="HE122"/>
      <c r="HF122"/>
      <c r="HG122"/>
      <c r="HH122"/>
      <c r="HI122"/>
      <c r="HJ122"/>
      <c r="HK122"/>
      <c r="HL122"/>
      <c r="HM122"/>
      <c r="HN122"/>
      <c r="HO122"/>
      <c r="HP122"/>
      <c r="HQ122"/>
      <c r="HR122"/>
      <c r="HS122"/>
      <c r="HT122"/>
      <c r="HU122"/>
      <c r="HV122"/>
      <c r="HW122"/>
      <c r="HX122"/>
      <c r="HY122"/>
      <c r="HZ122"/>
      <c r="IA122"/>
      <c r="IB122"/>
      <c r="IC122"/>
      <c r="ID122"/>
      <c r="IE122"/>
      <c r="IF122"/>
      <c r="IG122"/>
      <c r="IH122"/>
      <c r="II122"/>
      <c r="IJ122"/>
      <c r="IK122"/>
      <c r="IL122"/>
      <c r="IM122"/>
      <c r="IN122"/>
      <c r="IO122"/>
      <c r="IP122"/>
      <c r="IQ122"/>
      <c r="IR122"/>
      <c r="IS122"/>
      <c r="IT122"/>
      <c r="IU122"/>
      <c r="IV122"/>
    </row>
    <row r="123" spans="2:256" s="45" customFormat="1" ht="13.5" thickBot="1">
      <c r="B123" s="1665"/>
      <c r="C123" s="2469" t="s">
        <v>1829</v>
      </c>
      <c r="D123" s="2470"/>
      <c r="E123" s="2471">
        <f ca="1">+Transfer!D266</f>
        <v>2.5798694213839894</v>
      </c>
      <c r="F123" s="2471">
        <f ca="1">+Transfer!E266</f>
        <v>3.9280031204877304</v>
      </c>
      <c r="G123" s="2471">
        <f ca="1">+Transfer!F266</f>
        <v>4.6690657980823573</v>
      </c>
      <c r="H123" s="2471">
        <f ca="1">+Transfer!G266</f>
        <v>4.1447203044817655</v>
      </c>
      <c r="I123" s="2471">
        <f ca="1">+Transfer!H266</f>
        <v>3.2439609580513888</v>
      </c>
      <c r="J123" s="2471">
        <f ca="1">+Transfer!I266</f>
        <v>2.326162886456558</v>
      </c>
      <c r="K123" s="2471">
        <f ca="1">+Transfer!J266</f>
        <v>2.242313401862873</v>
      </c>
      <c r="L123" s="2471">
        <f ca="1">+Transfer!K266</f>
        <v>2.7157272103636387</v>
      </c>
      <c r="M123" s="2471">
        <f ca="1">+Transfer!L266</f>
        <v>3.2296186870492534</v>
      </c>
      <c r="N123" s="2471">
        <f ca="1">+Transfer!M266</f>
        <v>2.8796785292082916</v>
      </c>
      <c r="O123" s="2471">
        <f ca="1">+Transfer!N266</f>
        <v>2.4855516659156649</v>
      </c>
      <c r="P123" s="2472">
        <f ca="1">+Transfer!O266</f>
        <v>2.0960435063473284</v>
      </c>
      <c r="Q123" s="2452"/>
      <c r="S123" s="190"/>
      <c r="T123" s="2469" t="s">
        <v>1829</v>
      </c>
      <c r="U123" s="214"/>
      <c r="V123" s="1709">
        <f t="shared" ca="1" si="9"/>
        <v>0.70000000000000018</v>
      </c>
      <c r="W123" s="1709">
        <f t="shared" ca="1" si="9"/>
        <v>2.5</v>
      </c>
      <c r="X123" s="1709">
        <f t="shared" ca="1" si="9"/>
        <v>3.4000000000000004</v>
      </c>
      <c r="Y123" s="1709">
        <f t="shared" ca="1" si="9"/>
        <v>1.9999999999999996</v>
      </c>
      <c r="Z123" s="1709">
        <f t="shared" ca="1" si="9"/>
        <v>0.40000000000000036</v>
      </c>
      <c r="AA123" s="1709">
        <f t="shared" ca="1" si="9"/>
        <v>0</v>
      </c>
      <c r="AB123" s="1709">
        <f t="shared" ca="1" si="9"/>
        <v>-0.19999999999999973</v>
      </c>
      <c r="AC123" s="1709">
        <f t="shared" ca="1" si="9"/>
        <v>1.1000000000000001</v>
      </c>
      <c r="AD123" s="1709">
        <f t="shared" ca="1" si="9"/>
        <v>1.2000000000000002</v>
      </c>
      <c r="AE123" s="1709">
        <f t="shared" ca="1" si="9"/>
        <v>0.69999999999999973</v>
      </c>
      <c r="AF123" s="1709">
        <f t="shared" ca="1" si="9"/>
        <v>0.10000000000000009</v>
      </c>
      <c r="AG123" s="1710">
        <f t="shared" ca="1" si="9"/>
        <v>-0.5</v>
      </c>
      <c r="AH123" s="196"/>
      <c r="AJ123" s="190"/>
      <c r="AK123" s="2469" t="s">
        <v>1829</v>
      </c>
      <c r="AL123" s="2470"/>
      <c r="AM123" s="2471">
        <f>+Transfer!AD266</f>
        <v>1.9309154656732943</v>
      </c>
      <c r="AN123" s="2471">
        <f>+Transfer!AE266</f>
        <v>1.4257380737751078</v>
      </c>
      <c r="AO123" s="2471">
        <f>+Transfer!AF266</f>
        <v>1.2711152538744273</v>
      </c>
      <c r="AP123" s="2471">
        <f>+Transfer!AG266</f>
        <v>2.1014960795098006</v>
      </c>
      <c r="AQ123" s="2471">
        <f>+Transfer!AH266</f>
        <v>2.7543994143757686</v>
      </c>
      <c r="AR123" s="2471">
        <f>+Transfer!AI266</f>
        <v>2.3440350913196681</v>
      </c>
      <c r="AS123" s="2471">
        <f>+Transfer!AJ266</f>
        <v>2.434953385395076</v>
      </c>
      <c r="AT123" s="2471">
        <f>+Transfer!AK266</f>
        <v>1.6224250817945745</v>
      </c>
      <c r="AU123" s="2471">
        <f>+Transfer!AL266</f>
        <v>2.0073092919113122</v>
      </c>
      <c r="AV123" s="2471">
        <f>+Transfer!AM266</f>
        <v>2.2497004524319095</v>
      </c>
      <c r="AW123" s="2471">
        <f>+Transfer!AN266</f>
        <v>2.4283641781051415</v>
      </c>
      <c r="AX123" s="2472">
        <f>+Transfer!AO266</f>
        <v>2.6095353228604523</v>
      </c>
      <c r="AY123" s="196"/>
      <c r="AZ123" s="54"/>
      <c r="BA123" s="1678" t="s">
        <v>1985</v>
      </c>
      <c r="BB123" s="54"/>
      <c r="BC123" s="54"/>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c r="GS123"/>
      <c r="GT123"/>
      <c r="GU123"/>
      <c r="GV123"/>
      <c r="GW123"/>
      <c r="GX123"/>
      <c r="GY123"/>
      <c r="GZ123"/>
      <c r="HA123"/>
      <c r="HB123"/>
      <c r="HC123"/>
      <c r="HD123"/>
      <c r="HE123"/>
      <c r="HF123"/>
      <c r="HG123"/>
      <c r="HH123"/>
      <c r="HI123"/>
      <c r="HJ123"/>
      <c r="HK123"/>
      <c r="HL123"/>
      <c r="HM123"/>
      <c r="HN123"/>
      <c r="HO123"/>
      <c r="HP123"/>
      <c r="HQ123"/>
      <c r="HR123"/>
      <c r="HS123"/>
      <c r="HT123"/>
      <c r="HU123"/>
      <c r="HV123"/>
      <c r="HW123"/>
      <c r="HX123"/>
      <c r="HY123"/>
      <c r="HZ123"/>
      <c r="IA123"/>
      <c r="IB123"/>
      <c r="IC123"/>
      <c r="ID123"/>
      <c r="IE123"/>
      <c r="IF123"/>
      <c r="IG123"/>
      <c r="IH123"/>
      <c r="II123"/>
      <c r="IJ123"/>
      <c r="IK123"/>
      <c r="IL123"/>
      <c r="IM123"/>
      <c r="IN123"/>
      <c r="IO123"/>
      <c r="IP123"/>
      <c r="IQ123"/>
      <c r="IR123"/>
      <c r="IS123"/>
      <c r="IT123"/>
      <c r="IU123"/>
      <c r="IV123"/>
    </row>
    <row r="124" spans="2:256" s="45" customFormat="1">
      <c r="B124" s="1701"/>
      <c r="C124" s="2477"/>
      <c r="D124" s="2477"/>
      <c r="E124" s="2477"/>
      <c r="F124" s="2477"/>
      <c r="G124" s="2477"/>
      <c r="H124" s="2477"/>
      <c r="I124" s="2477"/>
      <c r="J124" s="2477"/>
      <c r="K124" s="2477"/>
      <c r="L124" s="2477"/>
      <c r="M124" s="2477"/>
      <c r="N124" s="2477"/>
      <c r="O124" s="2477"/>
      <c r="P124" s="2400" t="str">
        <f>UPPER(Country)</f>
        <v>LITHUANIA</v>
      </c>
      <c r="Q124" s="2478"/>
      <c r="S124" s="215"/>
      <c r="T124" s="113"/>
      <c r="U124" s="113"/>
      <c r="V124" s="113"/>
      <c r="W124" s="113"/>
      <c r="X124" s="113"/>
      <c r="Y124" s="113"/>
      <c r="Z124" s="113"/>
      <c r="AA124" s="113"/>
      <c r="AB124" s="113"/>
      <c r="AC124" s="113"/>
      <c r="AD124" s="113"/>
      <c r="AE124" s="113"/>
      <c r="AF124" s="113"/>
      <c r="AG124" s="118" t="str">
        <f>UPPER(Country)</f>
        <v>LITHUANIA</v>
      </c>
      <c r="AH124" s="216"/>
      <c r="AJ124" s="215"/>
      <c r="AK124" s="113"/>
      <c r="AL124" s="113"/>
      <c r="AM124" s="113"/>
      <c r="AN124" s="113"/>
      <c r="AO124" s="113"/>
      <c r="AP124" s="113"/>
      <c r="AQ124" s="113"/>
      <c r="AR124" s="113"/>
      <c r="AS124" s="113"/>
      <c r="AT124" s="113"/>
      <c r="AU124" s="113"/>
      <c r="AV124" s="113"/>
      <c r="AW124" s="113"/>
      <c r="AX124" s="118" t="str">
        <f>UPPER(Country)</f>
        <v>LITHUANIA</v>
      </c>
      <c r="AY124" s="216"/>
      <c r="AZ124" s="54"/>
      <c r="BB124" s="54"/>
      <c r="BC124" s="5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c r="GS124"/>
      <c r="GT124"/>
      <c r="GU124"/>
      <c r="GV124"/>
      <c r="GW124"/>
      <c r="GX124"/>
      <c r="GY124"/>
      <c r="GZ124"/>
      <c r="HA124"/>
      <c r="HB124"/>
      <c r="HC124"/>
      <c r="HD124"/>
      <c r="HE124"/>
      <c r="HF124"/>
      <c r="HG124"/>
      <c r="HH124"/>
      <c r="HI124"/>
      <c r="HJ124"/>
      <c r="HK124"/>
      <c r="HL124"/>
      <c r="HM124"/>
      <c r="HN124"/>
      <c r="HO124"/>
      <c r="HP124"/>
      <c r="HQ124"/>
      <c r="HR124"/>
      <c r="HS124"/>
      <c r="HT124"/>
      <c r="HU124"/>
      <c r="HV124"/>
      <c r="HW124"/>
      <c r="HX124"/>
      <c r="HY124"/>
      <c r="HZ124"/>
      <c r="IA124"/>
      <c r="IB124"/>
      <c r="IC124"/>
      <c r="ID124"/>
      <c r="IE124"/>
      <c r="IF124"/>
      <c r="IG124"/>
      <c r="IH124"/>
      <c r="II124"/>
      <c r="IJ124"/>
      <c r="IK124"/>
      <c r="IL124"/>
      <c r="IM124"/>
      <c r="IN124"/>
      <c r="IO124"/>
      <c r="IP124"/>
      <c r="IQ124"/>
      <c r="IR124"/>
      <c r="IS124"/>
      <c r="IT124"/>
      <c r="IU124"/>
      <c r="IV124"/>
    </row>
    <row r="125" spans="2:256" s="45" customFormat="1">
      <c r="AZ125" s="54"/>
      <c r="BB125" s="54"/>
      <c r="BC125" s="54"/>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c r="GS125"/>
      <c r="GT125"/>
      <c r="GU125"/>
      <c r="GV125"/>
      <c r="GW125"/>
      <c r="GX125"/>
      <c r="GY125"/>
      <c r="GZ125"/>
      <c r="HA125"/>
      <c r="HB125"/>
      <c r="HC125"/>
      <c r="HD125"/>
      <c r="HE125"/>
      <c r="HF125"/>
      <c r="HG125"/>
      <c r="HH125"/>
      <c r="HI125"/>
      <c r="HJ125"/>
      <c r="HK125"/>
      <c r="HL125"/>
      <c r="HM125"/>
      <c r="HN125"/>
      <c r="HO125"/>
      <c r="HP125"/>
      <c r="HQ125"/>
      <c r="HR125"/>
      <c r="HS125"/>
      <c r="HT125"/>
      <c r="HU125"/>
      <c r="HV125"/>
      <c r="HW125"/>
      <c r="HX125"/>
      <c r="HY125"/>
      <c r="HZ125"/>
      <c r="IA125"/>
      <c r="IB125"/>
      <c r="IC125"/>
      <c r="ID125"/>
      <c r="IE125"/>
      <c r="IF125"/>
      <c r="IG125"/>
      <c r="IH125"/>
      <c r="II125"/>
      <c r="IJ125"/>
      <c r="IK125"/>
      <c r="IL125"/>
      <c r="IM125"/>
      <c r="IN125"/>
      <c r="IO125"/>
      <c r="IP125"/>
      <c r="IQ125"/>
      <c r="IR125"/>
      <c r="IS125"/>
      <c r="IT125"/>
      <c r="IU125"/>
      <c r="IV125"/>
    </row>
    <row r="126" spans="2:256" s="45" customFormat="1">
      <c r="AZ126" s="54"/>
      <c r="BB126" s="54"/>
      <c r="BC126" s="54"/>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c r="GQ126"/>
      <c r="GR126"/>
      <c r="GS126"/>
      <c r="GT126"/>
      <c r="GU126"/>
      <c r="GV126"/>
      <c r="GW126"/>
      <c r="GX126"/>
      <c r="GY126"/>
      <c r="GZ126"/>
      <c r="HA126"/>
      <c r="HB126"/>
      <c r="HC126"/>
      <c r="HD126"/>
      <c r="HE126"/>
      <c r="HF126"/>
      <c r="HG126"/>
      <c r="HH126"/>
      <c r="HI126"/>
      <c r="HJ126"/>
      <c r="HK126"/>
      <c r="HL126"/>
      <c r="HM126"/>
      <c r="HN126"/>
      <c r="HO126"/>
      <c r="HP126"/>
      <c r="HQ126"/>
      <c r="HR126"/>
      <c r="HS126"/>
      <c r="HT126"/>
      <c r="HU126"/>
      <c r="HV126"/>
      <c r="HW126"/>
      <c r="HX126"/>
      <c r="HY126"/>
      <c r="HZ126"/>
      <c r="IA126"/>
      <c r="IB126"/>
      <c r="IC126"/>
      <c r="ID126"/>
      <c r="IE126"/>
      <c r="IF126"/>
      <c r="IG126"/>
      <c r="IH126"/>
      <c r="II126"/>
      <c r="IJ126"/>
      <c r="IK126"/>
      <c r="IL126"/>
      <c r="IM126"/>
      <c r="IN126"/>
      <c r="IO126"/>
      <c r="IP126"/>
      <c r="IQ126"/>
      <c r="IR126"/>
      <c r="IS126"/>
      <c r="IT126"/>
      <c r="IU126"/>
      <c r="IV126"/>
    </row>
    <row r="127" spans="2:256" s="45" customFormat="1">
      <c r="AZ127" s="54"/>
      <c r="BB127" s="54"/>
      <c r="BC127" s="54"/>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c r="GS127"/>
      <c r="GT127"/>
      <c r="GU127"/>
      <c r="GV127"/>
      <c r="GW127"/>
      <c r="GX127"/>
      <c r="GY127"/>
      <c r="GZ127"/>
      <c r="HA127"/>
      <c r="HB127"/>
      <c r="HC127"/>
      <c r="HD127"/>
      <c r="HE127"/>
      <c r="HF127"/>
      <c r="HG127"/>
      <c r="HH127"/>
      <c r="HI127"/>
      <c r="HJ127"/>
      <c r="HK127"/>
      <c r="HL127"/>
      <c r="HM127"/>
      <c r="HN127"/>
      <c r="HO127"/>
      <c r="HP127"/>
      <c r="HQ127"/>
      <c r="HR127"/>
      <c r="HS127"/>
      <c r="HT127"/>
      <c r="HU127"/>
      <c r="HV127"/>
      <c r="HW127"/>
      <c r="HX127"/>
      <c r="HY127"/>
      <c r="HZ127"/>
      <c r="IA127"/>
      <c r="IB127"/>
      <c r="IC127"/>
      <c r="ID127"/>
      <c r="IE127"/>
      <c r="IF127"/>
      <c r="IG127"/>
      <c r="IH127"/>
      <c r="II127"/>
      <c r="IJ127"/>
      <c r="IK127"/>
      <c r="IL127"/>
      <c r="IM127"/>
      <c r="IN127"/>
      <c r="IO127"/>
      <c r="IP127"/>
      <c r="IQ127"/>
      <c r="IR127"/>
      <c r="IS127"/>
      <c r="IT127"/>
      <c r="IU127"/>
      <c r="IV127"/>
    </row>
    <row r="128" spans="2:256" s="45" customFormat="1">
      <c r="AZ128" s="54"/>
      <c r="BB128" s="54"/>
      <c r="BC128" s="54"/>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c r="GS128"/>
      <c r="GT128"/>
      <c r="GU128"/>
      <c r="GV128"/>
      <c r="GW128"/>
      <c r="GX128"/>
      <c r="GY128"/>
      <c r="GZ128"/>
      <c r="HA128"/>
      <c r="HB128"/>
      <c r="HC128"/>
      <c r="HD128"/>
      <c r="HE128"/>
      <c r="HF128"/>
      <c r="HG128"/>
      <c r="HH128"/>
      <c r="HI128"/>
      <c r="HJ128"/>
      <c r="HK128"/>
      <c r="HL128"/>
      <c r="HM128"/>
      <c r="HN128"/>
      <c r="HO128"/>
      <c r="HP128"/>
      <c r="HQ128"/>
      <c r="HR128"/>
      <c r="HS128"/>
      <c r="HT128"/>
      <c r="HU128"/>
      <c r="HV128"/>
      <c r="HW128"/>
      <c r="HX128"/>
      <c r="HY128"/>
      <c r="HZ128"/>
      <c r="IA128"/>
      <c r="IB128"/>
      <c r="IC128"/>
      <c r="ID128"/>
      <c r="IE128"/>
      <c r="IF128"/>
      <c r="IG128"/>
      <c r="IH128"/>
      <c r="II128"/>
      <c r="IJ128"/>
      <c r="IK128"/>
      <c r="IL128"/>
      <c r="IM128"/>
      <c r="IN128"/>
      <c r="IO128"/>
      <c r="IP128"/>
      <c r="IQ128"/>
      <c r="IR128"/>
      <c r="IS128"/>
      <c r="IT128"/>
      <c r="IU128"/>
      <c r="IV128"/>
    </row>
    <row r="129" spans="1:256" s="45" customFormat="1">
      <c r="AZ129" s="54"/>
      <c r="BB129" s="54"/>
      <c r="BC129" s="54"/>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c r="GQ129"/>
      <c r="GR129"/>
      <c r="GS129"/>
      <c r="GT129"/>
      <c r="GU129"/>
      <c r="GV129"/>
      <c r="GW129"/>
      <c r="GX129"/>
      <c r="GY129"/>
      <c r="GZ129"/>
      <c r="HA129"/>
      <c r="HB129"/>
      <c r="HC129"/>
      <c r="HD129"/>
      <c r="HE129"/>
      <c r="HF129"/>
      <c r="HG129"/>
      <c r="HH129"/>
      <c r="HI129"/>
      <c r="HJ129"/>
      <c r="HK129"/>
      <c r="HL129"/>
      <c r="HM129"/>
      <c r="HN129"/>
      <c r="HO129"/>
      <c r="HP129"/>
      <c r="HQ129"/>
      <c r="HR129"/>
      <c r="HS129"/>
      <c r="HT129"/>
      <c r="HU129"/>
      <c r="HV129"/>
      <c r="HW129"/>
      <c r="HX129"/>
      <c r="HY129"/>
      <c r="HZ129"/>
      <c r="IA129"/>
      <c r="IB129"/>
      <c r="IC129"/>
      <c r="ID129"/>
      <c r="IE129"/>
      <c r="IF129"/>
      <c r="IG129"/>
      <c r="IH129"/>
      <c r="II129"/>
      <c r="IJ129"/>
      <c r="IK129"/>
      <c r="IL129"/>
      <c r="IM129"/>
      <c r="IN129"/>
      <c r="IO129"/>
      <c r="IP129"/>
      <c r="IQ129"/>
      <c r="IR129"/>
      <c r="IS129"/>
      <c r="IT129"/>
      <c r="IU129"/>
      <c r="IV129"/>
    </row>
    <row r="130" spans="1:256" s="45" customFormat="1">
      <c r="AZ130" s="54"/>
      <c r="BB130" s="54"/>
      <c r="BC130" s="54"/>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c r="FX130"/>
      <c r="FY130"/>
      <c r="FZ130"/>
      <c r="GA130"/>
      <c r="GB130"/>
      <c r="GC130"/>
      <c r="GD130"/>
      <c r="GE130"/>
      <c r="GF130"/>
      <c r="GG130"/>
      <c r="GH130"/>
      <c r="GI130"/>
      <c r="GJ130"/>
      <c r="GK130"/>
      <c r="GL130"/>
      <c r="GM130"/>
      <c r="GN130"/>
      <c r="GO130"/>
      <c r="GP130"/>
      <c r="GQ130"/>
      <c r="GR130"/>
      <c r="GS130"/>
      <c r="GT130"/>
      <c r="GU130"/>
      <c r="GV130"/>
      <c r="GW130"/>
      <c r="GX130"/>
      <c r="GY130"/>
      <c r="GZ130"/>
      <c r="HA130"/>
      <c r="HB130"/>
      <c r="HC130"/>
      <c r="HD130"/>
      <c r="HE130"/>
      <c r="HF130"/>
      <c r="HG130"/>
      <c r="HH130"/>
      <c r="HI130"/>
      <c r="HJ130"/>
      <c r="HK130"/>
      <c r="HL130"/>
      <c r="HM130"/>
      <c r="HN130"/>
      <c r="HO130"/>
      <c r="HP130"/>
      <c r="HQ130"/>
      <c r="HR130"/>
      <c r="HS130"/>
      <c r="HT130"/>
      <c r="HU130"/>
      <c r="HV130"/>
      <c r="HW130"/>
      <c r="HX130"/>
      <c r="HY130"/>
      <c r="HZ130"/>
      <c r="IA130"/>
      <c r="IB130"/>
      <c r="IC130"/>
      <c r="ID130"/>
      <c r="IE130"/>
      <c r="IF130"/>
      <c r="IG130"/>
      <c r="IH130"/>
      <c r="II130"/>
      <c r="IJ130"/>
      <c r="IK130"/>
      <c r="IL130"/>
      <c r="IM130"/>
      <c r="IN130"/>
      <c r="IO130"/>
      <c r="IP130"/>
      <c r="IQ130"/>
      <c r="IR130"/>
      <c r="IS130"/>
      <c r="IT130"/>
      <c r="IU130"/>
      <c r="IV130"/>
    </row>
    <row r="131" spans="1:256" s="45" customFormat="1">
      <c r="AZ131" s="54"/>
      <c r="BB131" s="54"/>
      <c r="BC131" s="54"/>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c r="GS131"/>
      <c r="GT131"/>
      <c r="GU131"/>
      <c r="GV131"/>
      <c r="GW131"/>
      <c r="GX131"/>
      <c r="GY131"/>
      <c r="GZ131"/>
      <c r="HA131"/>
      <c r="HB131"/>
      <c r="HC131"/>
      <c r="HD131"/>
      <c r="HE131"/>
      <c r="HF131"/>
      <c r="HG131"/>
      <c r="HH131"/>
      <c r="HI131"/>
      <c r="HJ131"/>
      <c r="HK131"/>
      <c r="HL131"/>
      <c r="HM131"/>
      <c r="HN131"/>
      <c r="HO131"/>
      <c r="HP131"/>
      <c r="HQ131"/>
      <c r="HR131"/>
      <c r="HS131"/>
      <c r="HT131"/>
      <c r="HU131"/>
      <c r="HV131"/>
      <c r="HW131"/>
      <c r="HX131"/>
      <c r="HY131"/>
      <c r="HZ131"/>
      <c r="IA131"/>
      <c r="IB131"/>
      <c r="IC131"/>
      <c r="ID131"/>
      <c r="IE131"/>
      <c r="IF131"/>
      <c r="IG131"/>
      <c r="IH131"/>
      <c r="II131"/>
      <c r="IJ131"/>
      <c r="IK131"/>
      <c r="IL131"/>
      <c r="IM131"/>
      <c r="IN131"/>
      <c r="IO131"/>
      <c r="IP131"/>
      <c r="IQ131"/>
      <c r="IR131"/>
      <c r="IS131"/>
      <c r="IT131"/>
      <c r="IU131"/>
      <c r="IV131"/>
    </row>
    <row r="132" spans="1:256" s="45" customFormat="1">
      <c r="AZ132" s="54"/>
      <c r="BB132" s="54"/>
      <c r="BC132" s="54"/>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c r="GS132"/>
      <c r="GT132"/>
      <c r="GU132"/>
      <c r="GV132"/>
      <c r="GW132"/>
      <c r="GX132"/>
      <c r="GY132"/>
      <c r="GZ132"/>
      <c r="HA132"/>
      <c r="HB132"/>
      <c r="HC132"/>
      <c r="HD132"/>
      <c r="HE132"/>
      <c r="HF132"/>
      <c r="HG132"/>
      <c r="HH132"/>
      <c r="HI132"/>
      <c r="HJ132"/>
      <c r="HK132"/>
      <c r="HL132"/>
      <c r="HM132"/>
      <c r="HN132"/>
      <c r="HO132"/>
      <c r="HP132"/>
      <c r="HQ132"/>
      <c r="HR132"/>
      <c r="HS132"/>
      <c r="HT132"/>
      <c r="HU132"/>
      <c r="HV132"/>
      <c r="HW132"/>
      <c r="HX132"/>
      <c r="HY132"/>
      <c r="HZ132"/>
      <c r="IA132"/>
      <c r="IB132"/>
      <c r="IC132"/>
      <c r="ID132"/>
      <c r="IE132"/>
      <c r="IF132"/>
      <c r="IG132"/>
      <c r="IH132"/>
      <c r="II132"/>
      <c r="IJ132"/>
      <c r="IK132"/>
      <c r="IL132"/>
      <c r="IM132"/>
      <c r="IN132"/>
      <c r="IO132"/>
      <c r="IP132"/>
      <c r="IQ132"/>
      <c r="IR132"/>
      <c r="IS132"/>
      <c r="IT132"/>
      <c r="IU132"/>
      <c r="IV132"/>
    </row>
    <row r="133" spans="1:256" s="45" customFormat="1">
      <c r="Q133" s="187"/>
      <c r="AY133" s="187"/>
      <c r="AZ133" s="54"/>
      <c r="BB133" s="54"/>
      <c r="BC133" s="54"/>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c r="GS133"/>
      <c r="GT133"/>
      <c r="GU133"/>
      <c r="GV133"/>
      <c r="GW133"/>
      <c r="GX133"/>
      <c r="GY133"/>
      <c r="GZ133"/>
      <c r="HA133"/>
      <c r="HB133"/>
      <c r="HC133"/>
      <c r="HD133"/>
      <c r="HE133"/>
      <c r="HF133"/>
      <c r="HG133"/>
      <c r="HH133"/>
      <c r="HI133"/>
      <c r="HJ133"/>
      <c r="HK133"/>
      <c r="HL133"/>
      <c r="HM133"/>
      <c r="HN133"/>
      <c r="HO133"/>
      <c r="HP133"/>
      <c r="HQ133"/>
      <c r="HR133"/>
      <c r="HS133"/>
      <c r="HT133"/>
      <c r="HU133"/>
      <c r="HV133"/>
      <c r="HW133"/>
      <c r="HX133"/>
      <c r="HY133"/>
      <c r="HZ133"/>
      <c r="IA133"/>
      <c r="IB133"/>
      <c r="IC133"/>
      <c r="ID133"/>
      <c r="IE133"/>
      <c r="IF133"/>
      <c r="IG133"/>
      <c r="IH133"/>
      <c r="II133"/>
      <c r="IJ133"/>
      <c r="IK133"/>
      <c r="IL133"/>
      <c r="IM133"/>
      <c r="IN133"/>
      <c r="IO133"/>
      <c r="IP133"/>
      <c r="IQ133"/>
      <c r="IR133"/>
      <c r="IS133"/>
      <c r="IT133"/>
      <c r="IU133"/>
      <c r="IV133"/>
    </row>
    <row r="134" spans="1:256" s="45" customFormat="1">
      <c r="AZ134" s="54"/>
      <c r="BB134" s="54"/>
      <c r="BC134" s="5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c r="HB134"/>
      <c r="HC134"/>
      <c r="HD134"/>
      <c r="HE134"/>
      <c r="HF134"/>
      <c r="HG134"/>
      <c r="HH134"/>
      <c r="HI134"/>
      <c r="HJ134"/>
      <c r="HK134"/>
      <c r="HL134"/>
      <c r="HM134"/>
      <c r="HN134"/>
      <c r="HO134"/>
      <c r="HP134"/>
      <c r="HQ134"/>
      <c r="HR134"/>
      <c r="HS134"/>
      <c r="HT134"/>
      <c r="HU134"/>
      <c r="HV134"/>
      <c r="HW134"/>
      <c r="HX134"/>
      <c r="HY134"/>
      <c r="HZ134"/>
      <c r="IA134"/>
      <c r="IB134"/>
      <c r="IC134"/>
      <c r="ID134"/>
      <c r="IE134"/>
      <c r="IF134"/>
      <c r="IG134"/>
      <c r="IH134"/>
      <c r="II134"/>
      <c r="IJ134"/>
      <c r="IK134"/>
      <c r="IL134"/>
      <c r="IM134"/>
      <c r="IN134"/>
      <c r="IO134"/>
      <c r="IP134"/>
      <c r="IQ134"/>
      <c r="IR134"/>
      <c r="IS134"/>
      <c r="IT134"/>
      <c r="IU134"/>
      <c r="IV134"/>
    </row>
    <row r="135" spans="1:256" s="45" customFormat="1">
      <c r="AZ135" s="54"/>
      <c r="BB135" s="54"/>
      <c r="BC135" s="54"/>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c r="HB135"/>
      <c r="HC135"/>
      <c r="HD135"/>
      <c r="HE135"/>
      <c r="HF135"/>
      <c r="HG135"/>
      <c r="HH135"/>
      <c r="HI135"/>
      <c r="HJ135"/>
      <c r="HK135"/>
      <c r="HL135"/>
      <c r="HM135"/>
      <c r="HN135"/>
      <c r="HO135"/>
      <c r="HP135"/>
      <c r="HQ135"/>
      <c r="HR135"/>
      <c r="HS135"/>
      <c r="HT135"/>
      <c r="HU135"/>
      <c r="HV135"/>
      <c r="HW135"/>
      <c r="HX135"/>
      <c r="HY135"/>
      <c r="HZ135"/>
      <c r="IA135"/>
      <c r="IB135"/>
      <c r="IC135"/>
      <c r="ID135"/>
      <c r="IE135"/>
      <c r="IF135"/>
      <c r="IG135"/>
      <c r="IH135"/>
      <c r="II135"/>
      <c r="IJ135"/>
      <c r="IK135"/>
      <c r="IL135"/>
      <c r="IM135"/>
      <c r="IN135"/>
      <c r="IO135"/>
      <c r="IP135"/>
      <c r="IQ135"/>
      <c r="IR135"/>
      <c r="IS135"/>
      <c r="IT135"/>
      <c r="IU135"/>
      <c r="IV135"/>
    </row>
    <row r="136" spans="1:256">
      <c r="A136" s="45"/>
      <c r="B136" s="2341"/>
      <c r="C136" s="2342" t="s">
        <v>60</v>
      </c>
      <c r="D136" s="2343"/>
      <c r="E136" s="2343"/>
      <c r="F136" s="2343"/>
      <c r="G136" s="2343"/>
      <c r="H136" s="2343"/>
      <c r="I136" s="2479"/>
      <c r="J136" s="2479"/>
      <c r="K136" s="1697"/>
      <c r="L136" s="54"/>
      <c r="M136" s="54"/>
      <c r="N136" s="54"/>
      <c r="O136" s="54"/>
      <c r="P136" s="45"/>
      <c r="Q136" s="45"/>
      <c r="R136" s="45"/>
      <c r="S136" s="188"/>
      <c r="T136" s="56" t="s">
        <v>60</v>
      </c>
      <c r="U136" s="57"/>
      <c r="V136" s="100"/>
      <c r="W136" s="100"/>
      <c r="X136" s="100"/>
      <c r="Y136" s="100"/>
      <c r="Z136" s="218"/>
      <c r="AA136" s="218"/>
      <c r="AB136" s="219"/>
      <c r="AC136" s="45"/>
      <c r="AD136" s="45"/>
      <c r="AE136" s="45"/>
      <c r="AF136" s="45"/>
      <c r="AG136" s="45"/>
      <c r="AH136" s="45"/>
      <c r="AI136" s="45"/>
      <c r="AJ136" s="188"/>
      <c r="AK136" s="56" t="s">
        <v>60</v>
      </c>
      <c r="AL136" s="57"/>
      <c r="AM136" s="100"/>
      <c r="AN136" s="100"/>
      <c r="AO136" s="100"/>
      <c r="AP136" s="100"/>
      <c r="AQ136" s="218"/>
      <c r="AR136" s="218"/>
      <c r="AS136" s="219"/>
      <c r="AT136" s="54"/>
      <c r="AU136" s="54"/>
      <c r="AV136" s="54"/>
      <c r="AW136" s="54"/>
      <c r="AX136" s="45"/>
      <c r="AY136" s="45"/>
      <c r="AZ136" s="54"/>
      <c r="BA136" s="45"/>
      <c r="BB136" s="54"/>
      <c r="BC136" s="54"/>
    </row>
    <row r="137" spans="1:256">
      <c r="A137" s="45"/>
      <c r="B137" s="1665"/>
      <c r="C137" s="3752" t="s">
        <v>1032</v>
      </c>
      <c r="D137" s="3752"/>
      <c r="E137" s="3752"/>
      <c r="F137" s="3752"/>
      <c r="G137" s="3752"/>
      <c r="H137" s="3752"/>
      <c r="I137" s="3752"/>
      <c r="J137" s="3752"/>
      <c r="K137" s="1699"/>
      <c r="L137" s="54"/>
      <c r="M137" s="54"/>
      <c r="N137" s="54"/>
      <c r="O137" s="54"/>
      <c r="P137" s="45"/>
      <c r="Q137" s="45"/>
      <c r="R137" s="45"/>
      <c r="S137" s="190"/>
      <c r="T137" s="3752" t="s">
        <v>1032</v>
      </c>
      <c r="U137" s="3752"/>
      <c r="V137" s="3752"/>
      <c r="W137" s="3752"/>
      <c r="X137" s="3752"/>
      <c r="Y137" s="3752"/>
      <c r="Z137" s="3752"/>
      <c r="AA137" s="3752"/>
      <c r="AB137" s="221"/>
      <c r="AC137" s="45"/>
      <c r="AD137" s="45"/>
      <c r="AE137" s="45"/>
      <c r="AF137" s="45"/>
      <c r="AG137" s="45"/>
      <c r="AH137" s="45"/>
      <c r="AI137" s="45"/>
      <c r="AJ137" s="190"/>
      <c r="AK137" s="3752" t="s">
        <v>1032</v>
      </c>
      <c r="AL137" s="3752"/>
      <c r="AM137" s="3752"/>
      <c r="AN137" s="3752"/>
      <c r="AO137" s="3752"/>
      <c r="AP137" s="3752"/>
      <c r="AQ137" s="3752"/>
      <c r="AR137" s="3752"/>
      <c r="AS137" s="221"/>
      <c r="AT137" s="54"/>
      <c r="AU137" s="54"/>
      <c r="AV137" s="54"/>
      <c r="AW137" s="54"/>
      <c r="AX137" s="45"/>
      <c r="AY137" s="45"/>
      <c r="AZ137" s="54"/>
      <c r="BA137" s="45"/>
      <c r="BB137" s="54"/>
      <c r="BC137" s="54"/>
    </row>
    <row r="138" spans="1:256">
      <c r="A138" s="45"/>
      <c r="B138" s="1665"/>
      <c r="C138" s="3752" t="s">
        <v>1015</v>
      </c>
      <c r="D138" s="3752"/>
      <c r="E138" s="3752"/>
      <c r="F138" s="3752"/>
      <c r="G138" s="3752"/>
      <c r="H138" s="3752"/>
      <c r="I138" s="3752"/>
      <c r="J138" s="3752"/>
      <c r="K138" s="1699"/>
      <c r="L138" s="54"/>
      <c r="M138" s="54"/>
      <c r="N138" s="54"/>
      <c r="O138" s="54"/>
      <c r="P138" s="45"/>
      <c r="Q138" s="45"/>
      <c r="R138" s="45"/>
      <c r="S138" s="190"/>
      <c r="T138" s="3752" t="s">
        <v>1015</v>
      </c>
      <c r="U138" s="3752"/>
      <c r="V138" s="3752"/>
      <c r="W138" s="3752"/>
      <c r="X138" s="3752"/>
      <c r="Y138" s="3752"/>
      <c r="Z138" s="3752"/>
      <c r="AA138" s="3752"/>
      <c r="AB138" s="221"/>
      <c r="AC138" s="45"/>
      <c r="AD138" s="45"/>
      <c r="AE138" s="45"/>
      <c r="AF138" s="45"/>
      <c r="AG138" s="45"/>
      <c r="AH138" s="45"/>
      <c r="AI138" s="45"/>
      <c r="AJ138" s="190"/>
      <c r="AK138" s="3752" t="s">
        <v>1015</v>
      </c>
      <c r="AL138" s="3752"/>
      <c r="AM138" s="3752"/>
      <c r="AN138" s="3752"/>
      <c r="AO138" s="3752"/>
      <c r="AP138" s="3752"/>
      <c r="AQ138" s="3752"/>
      <c r="AR138" s="3752"/>
      <c r="AS138" s="221"/>
      <c r="AT138" s="54"/>
      <c r="AU138" s="54"/>
      <c r="AV138" s="54"/>
      <c r="AW138" s="54"/>
      <c r="AX138" s="45"/>
      <c r="AY138" s="45"/>
      <c r="AZ138" s="54"/>
      <c r="BA138" s="45"/>
      <c r="BB138" s="54"/>
      <c r="BC138" s="54"/>
    </row>
    <row r="139" spans="1:256" ht="15.75">
      <c r="A139" s="45"/>
      <c r="B139" s="1665"/>
      <c r="C139" s="2349" t="str">
        <f>"Country: " &amp;UPPER(Country)</f>
        <v>Country: LITHUANIA</v>
      </c>
      <c r="D139" s="2480"/>
      <c r="E139" s="2354"/>
      <c r="F139" s="2354"/>
      <c r="G139" s="2354"/>
      <c r="H139" s="2351"/>
      <c r="I139" s="2481"/>
      <c r="J139" s="2481"/>
      <c r="K139" s="1699"/>
      <c r="L139" s="54"/>
      <c r="M139" s="54"/>
      <c r="N139" s="54"/>
      <c r="O139" s="54"/>
      <c r="P139" s="45"/>
      <c r="Q139" s="45"/>
      <c r="R139" s="45"/>
      <c r="S139" s="190"/>
      <c r="T139" s="63" t="str">
        <f>"Country: " &amp;UPPER(Country)</f>
        <v>Country: LITHUANIA</v>
      </c>
      <c r="U139" s="222"/>
      <c r="V139" s="68"/>
      <c r="W139" s="68"/>
      <c r="X139" s="2006" t="s">
        <v>390</v>
      </c>
      <c r="Y139" s="65"/>
      <c r="Z139" s="220"/>
      <c r="AA139" s="220"/>
      <c r="AB139" s="221"/>
      <c r="AC139" s="45"/>
      <c r="AD139" s="45"/>
      <c r="AE139" s="45"/>
      <c r="AF139" s="45"/>
      <c r="AG139" s="45"/>
      <c r="AH139" s="45"/>
      <c r="AI139" s="45"/>
      <c r="AJ139" s="190"/>
      <c r="AK139" s="63" t="str">
        <f>"Country: " &amp;UPPER(Country)</f>
        <v>Country: LITHUANIA</v>
      </c>
      <c r="AL139" s="222"/>
      <c r="AM139" s="68"/>
      <c r="AN139" s="68"/>
      <c r="AO139" s="68"/>
      <c r="AP139" s="65"/>
      <c r="AQ139" s="220"/>
      <c r="AR139" s="220"/>
      <c r="AS139" s="221"/>
      <c r="AT139" s="54"/>
      <c r="AU139" s="54"/>
      <c r="AV139" s="54"/>
      <c r="AW139" s="54"/>
      <c r="AX139" s="45"/>
      <c r="AY139" s="45"/>
      <c r="AZ139" s="54"/>
      <c r="BA139" s="45"/>
      <c r="BB139" s="54"/>
      <c r="BC139" s="54"/>
    </row>
    <row r="140" spans="1:256" ht="15.75">
      <c r="A140" s="45"/>
      <c r="B140" s="1665"/>
      <c r="C140" s="2349" t="str">
        <f>"Currency unit: " &amp; Currency</f>
        <v>Currency unit: bn EUR</v>
      </c>
      <c r="D140" s="2480"/>
      <c r="E140" s="2354"/>
      <c r="F140" s="2354"/>
      <c r="G140" s="2354"/>
      <c r="H140" s="2351"/>
      <c r="I140" s="2481"/>
      <c r="J140" s="2481"/>
      <c r="K140" s="1699"/>
      <c r="L140" s="54"/>
      <c r="M140" s="54"/>
      <c r="N140" s="54"/>
      <c r="O140" s="54"/>
      <c r="P140" s="45"/>
      <c r="Q140" s="45"/>
      <c r="R140" s="45"/>
      <c r="S140" s="190"/>
      <c r="T140" s="63" t="str">
        <f>"Currency unit: " &amp; Currency</f>
        <v>Currency unit: bn EUR</v>
      </c>
      <c r="U140" s="222"/>
      <c r="V140" s="68"/>
      <c r="W140" s="68"/>
      <c r="X140" s="2006" t="str">
        <f>$T$4</f>
        <v>2nd storage</v>
      </c>
      <c r="Y140" s="65"/>
      <c r="Z140" s="220"/>
      <c r="AA140" s="220"/>
      <c r="AB140" s="221"/>
      <c r="AC140" s="45"/>
      <c r="AD140" s="45"/>
      <c r="AE140" s="45"/>
      <c r="AF140" s="45"/>
      <c r="AG140" s="45"/>
      <c r="AH140" s="45"/>
      <c r="AI140" s="45"/>
      <c r="AJ140" s="190"/>
      <c r="AK140" s="63" t="str">
        <f>"Currency unit: " &amp; Currency</f>
        <v>Currency unit: bn EUR</v>
      </c>
      <c r="AL140" s="222"/>
      <c r="AM140" s="68"/>
      <c r="AN140" s="68"/>
      <c r="AO140" s="68"/>
      <c r="AP140" s="65"/>
      <c r="AQ140" s="220"/>
      <c r="AR140" s="220"/>
      <c r="AS140" s="221"/>
      <c r="AT140" s="54"/>
      <c r="AU140" s="54"/>
      <c r="AV140" s="54"/>
      <c r="AW140" s="54"/>
      <c r="AX140" s="45"/>
      <c r="AY140" s="45"/>
      <c r="AZ140" s="54"/>
      <c r="BA140" s="45"/>
      <c r="BB140" s="54"/>
      <c r="BC140" s="54"/>
    </row>
    <row r="141" spans="1:256">
      <c r="A141" s="45"/>
      <c r="B141" s="1665"/>
      <c r="C141" s="2355" t="s">
        <v>297</v>
      </c>
      <c r="D141" s="2355"/>
      <c r="E141" s="2354"/>
      <c r="F141" s="2354"/>
      <c r="G141" s="2354"/>
      <c r="H141" s="2351"/>
      <c r="I141" s="2481"/>
      <c r="J141" s="2481"/>
      <c r="K141" s="1699"/>
      <c r="L141" s="54"/>
      <c r="M141" s="54"/>
      <c r="N141" s="54"/>
      <c r="O141" s="54"/>
      <c r="P141" s="54"/>
      <c r="Q141" s="54"/>
      <c r="R141" s="54"/>
      <c r="S141" s="190"/>
      <c r="T141" s="69" t="s">
        <v>297</v>
      </c>
      <c r="U141" s="69"/>
      <c r="V141" s="68"/>
      <c r="W141" s="68"/>
      <c r="X141" s="68"/>
      <c r="Y141" s="65"/>
      <c r="Z141" s="220"/>
      <c r="AA141" s="220"/>
      <c r="AB141" s="221"/>
      <c r="AC141" s="45"/>
      <c r="AD141" s="45"/>
      <c r="AE141" s="45"/>
      <c r="AF141" s="45"/>
      <c r="AG141" s="45"/>
      <c r="AH141" s="45"/>
      <c r="AI141" s="45"/>
      <c r="AJ141" s="190"/>
      <c r="AK141" s="69" t="s">
        <v>297</v>
      </c>
      <c r="AL141" s="69"/>
      <c r="AM141" s="68"/>
      <c r="AN141" s="68"/>
      <c r="AO141" s="68"/>
      <c r="AP141" s="65"/>
      <c r="AQ141" s="220"/>
      <c r="AR141" s="220"/>
      <c r="AS141" s="221"/>
      <c r="AT141" s="54"/>
      <c r="AU141" s="54"/>
      <c r="AV141" s="54"/>
      <c r="AW141" s="54"/>
      <c r="AX141" s="54"/>
      <c r="AY141" s="54"/>
      <c r="AZ141" s="54"/>
      <c r="BA141" s="45"/>
      <c r="BB141" s="54"/>
      <c r="BC141" s="54"/>
    </row>
    <row r="142" spans="1:256" ht="13.5" thickBot="1">
      <c r="A142" s="45"/>
      <c r="B142" s="1665"/>
      <c r="C142" s="2354"/>
      <c r="D142" s="2351"/>
      <c r="E142" s="2354"/>
      <c r="F142" s="2354"/>
      <c r="G142" s="2354"/>
      <c r="H142" s="2482"/>
      <c r="I142" s="3790">
        <f ca="1">NOW()</f>
        <v>43335.58773900463</v>
      </c>
      <c r="J142" s="3790"/>
      <c r="K142" s="1699"/>
      <c r="L142" s="54"/>
      <c r="M142" s="54"/>
      <c r="N142" s="54"/>
      <c r="O142" s="54"/>
      <c r="P142" s="54"/>
      <c r="Q142" s="54"/>
      <c r="R142" s="54"/>
      <c r="S142" s="190"/>
      <c r="T142" s="68"/>
      <c r="U142" s="65"/>
      <c r="V142" s="68"/>
      <c r="W142" s="68"/>
      <c r="X142" s="68"/>
      <c r="Y142" s="153"/>
      <c r="Z142" s="3752">
        <f ca="1">NOW()</f>
        <v>43335.58773900463</v>
      </c>
      <c r="AA142" s="3752"/>
      <c r="AB142" s="221"/>
      <c r="AC142" s="45"/>
      <c r="AD142" s="45"/>
      <c r="AE142" s="45"/>
      <c r="AF142" s="45"/>
      <c r="AG142" s="45"/>
      <c r="AH142" s="45"/>
      <c r="AI142" s="45"/>
      <c r="AJ142" s="190"/>
      <c r="AK142" s="68"/>
      <c r="AL142" s="65"/>
      <c r="AM142" s="68"/>
      <c r="AN142" s="68"/>
      <c r="AO142" s="68"/>
      <c r="AP142" s="153"/>
      <c r="AQ142" s="3752">
        <f ca="1">NOW()</f>
        <v>43335.58773900463</v>
      </c>
      <c r="AR142" s="3752"/>
      <c r="AS142" s="221"/>
      <c r="AT142" s="54"/>
      <c r="AU142" s="54"/>
      <c r="AV142" s="54"/>
      <c r="AW142" s="54"/>
      <c r="AX142" s="54"/>
      <c r="AY142" s="54"/>
      <c r="AZ142" s="54"/>
      <c r="BA142" s="45"/>
      <c r="BB142" s="54"/>
      <c r="BC142" s="54"/>
    </row>
    <row r="143" spans="1:256">
      <c r="A143" s="45"/>
      <c r="B143" s="1665"/>
      <c r="C143" s="2483"/>
      <c r="D143" s="2484"/>
      <c r="E143" s="2485" t="s">
        <v>297</v>
      </c>
      <c r="F143" s="3752">
        <f>E16</f>
        <v>2016</v>
      </c>
      <c r="G143" s="3752"/>
      <c r="H143" s="2405">
        <f>F143+1</f>
        <v>2017</v>
      </c>
      <c r="I143" s="2405">
        <f>H143+1</f>
        <v>2018</v>
      </c>
      <c r="J143" s="2446">
        <f>I143+1</f>
        <v>2019</v>
      </c>
      <c r="K143" s="2447"/>
      <c r="L143" s="228"/>
      <c r="M143" s="54"/>
      <c r="N143" s="54"/>
      <c r="O143" s="54"/>
      <c r="P143" s="54"/>
      <c r="Q143" s="54"/>
      <c r="R143" s="54"/>
      <c r="S143" s="190"/>
      <c r="T143" s="223"/>
      <c r="U143" s="224"/>
      <c r="V143" s="225" t="s">
        <v>297</v>
      </c>
      <c r="W143" s="3752">
        <f>Last_forecast_year-3</f>
        <v>2016</v>
      </c>
      <c r="X143" s="3752"/>
      <c r="Y143" s="226">
        <f>W143+1</f>
        <v>2017</v>
      </c>
      <c r="Z143" s="226">
        <f>Y143+1</f>
        <v>2018</v>
      </c>
      <c r="AA143" s="2011">
        <f>Z143+1</f>
        <v>2019</v>
      </c>
      <c r="AB143" s="227"/>
      <c r="AC143" s="45"/>
      <c r="AD143" s="45"/>
      <c r="AE143" s="45"/>
      <c r="AF143" s="45"/>
      <c r="AG143" s="45"/>
      <c r="AH143" s="45"/>
      <c r="AI143" s="45"/>
      <c r="AJ143" s="190"/>
      <c r="AK143" s="223"/>
      <c r="AL143" s="224"/>
      <c r="AM143" s="225" t="s">
        <v>297</v>
      </c>
      <c r="AN143" s="3752">
        <f>Last_forecast_year - 3</f>
        <v>2016</v>
      </c>
      <c r="AO143" s="3752"/>
      <c r="AP143" s="226">
        <f>AN143+1</f>
        <v>2017</v>
      </c>
      <c r="AQ143" s="226">
        <f>AP143+1</f>
        <v>2018</v>
      </c>
      <c r="AR143" s="226">
        <f>AQ143+1</f>
        <v>2019</v>
      </c>
      <c r="AS143" s="227"/>
      <c r="AT143" s="228"/>
      <c r="AU143" s="54"/>
      <c r="AV143" s="54"/>
      <c r="AW143" s="54"/>
      <c r="AX143" s="54"/>
      <c r="AY143" s="54"/>
      <c r="AZ143" s="54"/>
      <c r="BA143" s="45"/>
      <c r="BB143" s="54"/>
      <c r="BC143" s="54"/>
    </row>
    <row r="144" spans="1:256">
      <c r="A144" s="45"/>
      <c r="B144" s="1665"/>
      <c r="C144" s="2486"/>
      <c r="D144" s="2352"/>
      <c r="E144" s="2487" t="s">
        <v>1770</v>
      </c>
      <c r="F144" s="2488" t="s">
        <v>298</v>
      </c>
      <c r="G144" s="3752" t="s">
        <v>647</v>
      </c>
      <c r="H144" s="3752"/>
      <c r="I144" s="3752"/>
      <c r="J144" s="3752"/>
      <c r="K144" s="2363"/>
      <c r="L144" s="147"/>
      <c r="M144" s="54"/>
      <c r="N144" s="54"/>
      <c r="O144" s="54"/>
      <c r="P144" s="54"/>
      <c r="Q144" s="54"/>
      <c r="R144" s="54"/>
      <c r="S144" s="190"/>
      <c r="T144" s="229"/>
      <c r="U144" s="230"/>
      <c r="V144" s="231" t="s">
        <v>1770</v>
      </c>
      <c r="W144" s="1724" t="s">
        <v>298</v>
      </c>
      <c r="X144" s="3752" t="s">
        <v>647</v>
      </c>
      <c r="Y144" s="3752"/>
      <c r="Z144" s="3752"/>
      <c r="AA144" s="3752"/>
      <c r="AB144" s="77"/>
      <c r="AC144" s="45"/>
      <c r="AD144" s="45"/>
      <c r="AE144" s="45"/>
      <c r="AF144" s="45"/>
      <c r="AG144" s="45"/>
      <c r="AH144" s="45"/>
      <c r="AI144" s="45"/>
      <c r="AJ144" s="190"/>
      <c r="AK144" s="229"/>
      <c r="AL144" s="230"/>
      <c r="AM144" s="231" t="s">
        <v>1770</v>
      </c>
      <c r="AN144" s="1724" t="s">
        <v>298</v>
      </c>
      <c r="AO144" s="3752" t="s">
        <v>647</v>
      </c>
      <c r="AP144" s="3752"/>
      <c r="AQ144" s="3752"/>
      <c r="AR144" s="3752"/>
      <c r="AS144" s="77"/>
      <c r="AT144" s="147"/>
      <c r="AU144" s="54"/>
      <c r="AV144" s="54"/>
      <c r="AW144" s="54"/>
      <c r="AX144" s="54"/>
      <c r="AY144" s="54"/>
      <c r="AZ144" s="54"/>
      <c r="BA144" s="45"/>
      <c r="BB144" s="54"/>
      <c r="BC144" s="54"/>
    </row>
    <row r="145" spans="1:55">
      <c r="A145" s="45"/>
      <c r="B145" s="1665"/>
      <c r="C145" s="2489" t="s">
        <v>61</v>
      </c>
      <c r="D145" s="2490"/>
      <c r="E145" s="2491"/>
      <c r="F145" s="2492"/>
      <c r="G145" s="2493"/>
      <c r="H145" s="2494"/>
      <c r="I145" s="2495"/>
      <c r="J145" s="2496"/>
      <c r="K145" s="2452"/>
      <c r="L145" s="240"/>
      <c r="M145" s="54"/>
      <c r="N145" s="54"/>
      <c r="O145" s="54"/>
      <c r="P145" s="54"/>
      <c r="Q145" s="54"/>
      <c r="R145" s="54"/>
      <c r="S145" s="190"/>
      <c r="T145" s="232" t="s">
        <v>61</v>
      </c>
      <c r="U145" s="233"/>
      <c r="V145" s="234"/>
      <c r="W145" s="235"/>
      <c r="X145" s="236"/>
      <c r="Y145" s="237"/>
      <c r="Z145" s="238"/>
      <c r="AA145" s="239"/>
      <c r="AB145" s="199"/>
      <c r="AC145" s="45"/>
      <c r="AD145" s="45"/>
      <c r="AE145" s="45"/>
      <c r="AF145" s="45"/>
      <c r="AG145" s="45"/>
      <c r="AH145" s="45"/>
      <c r="AI145" s="45"/>
      <c r="AJ145" s="190"/>
      <c r="AK145" s="232" t="s">
        <v>61</v>
      </c>
      <c r="AL145" s="233"/>
      <c r="AM145" s="234"/>
      <c r="AN145" s="235"/>
      <c r="AO145" s="236"/>
      <c r="AP145" s="237"/>
      <c r="AQ145" s="238"/>
      <c r="AR145" s="239"/>
      <c r="AS145" s="199"/>
      <c r="AT145" s="240"/>
      <c r="AU145" s="54"/>
      <c r="AV145" s="54"/>
      <c r="AW145" s="54"/>
      <c r="AX145" s="54"/>
      <c r="AY145" s="54"/>
      <c r="AZ145" s="54"/>
      <c r="BA145" s="45"/>
      <c r="BB145" s="54"/>
      <c r="BC145" s="54"/>
    </row>
    <row r="146" spans="1:55">
      <c r="A146" s="45"/>
      <c r="B146" s="1665"/>
      <c r="C146" s="2497" t="s">
        <v>62</v>
      </c>
      <c r="D146" s="2498"/>
      <c r="E146" s="2499" t="s">
        <v>63</v>
      </c>
      <c r="F146" s="3036" t="s">
        <v>276</v>
      </c>
      <c r="G146" s="2501">
        <f ca="1">((Transfer!D296/Transfer!C296)-1)*100</f>
        <v>-15.22488565071013</v>
      </c>
      <c r="H146" s="2502">
        <f ca="1">((Transfer!E296/Transfer!D296)-1)*100</f>
        <v>3.0000000000000027</v>
      </c>
      <c r="I146" s="2500">
        <f ca="1">((Transfer!F296/Transfer!E296)-1)*100</f>
        <v>6.3399999999999901</v>
      </c>
      <c r="J146" s="2503">
        <f ca="1">((Transfer!G296/Transfer!F296)-1)*100</f>
        <v>4.4999999999999929</v>
      </c>
      <c r="K146" s="2368"/>
      <c r="L146" s="150"/>
      <c r="M146" s="54"/>
      <c r="N146" s="54"/>
      <c r="O146" s="54"/>
      <c r="P146" s="54"/>
      <c r="Q146" s="54"/>
      <c r="R146" s="54"/>
      <c r="S146" s="190"/>
      <c r="T146" s="229" t="s">
        <v>62</v>
      </c>
      <c r="U146" s="230"/>
      <c r="V146" s="241" t="s">
        <v>63</v>
      </c>
      <c r="W146" s="242" t="e">
        <f t="shared" ref="W146:AA147" si="10">ROUND(F146,1)-ROUND(AN146,1)</f>
        <v>#VALUE!</v>
      </c>
      <c r="X146" s="242">
        <f t="shared" ca="1" si="10"/>
        <v>-6.5</v>
      </c>
      <c r="Y146" s="242">
        <f t="shared" ca="1" si="10"/>
        <v>-1.0999999999999996</v>
      </c>
      <c r="Z146" s="242">
        <f t="shared" ca="1" si="10"/>
        <v>0.29999999999999982</v>
      </c>
      <c r="AA146" s="93">
        <f t="shared" ca="1" si="10"/>
        <v>-1.5</v>
      </c>
      <c r="AB146" s="82"/>
      <c r="AC146" s="45"/>
      <c r="AD146" s="45"/>
      <c r="AE146" s="45"/>
      <c r="AF146" s="45"/>
      <c r="AG146" s="45"/>
      <c r="AH146" s="45"/>
      <c r="AI146" s="45"/>
      <c r="AJ146" s="190"/>
      <c r="AK146" s="2167" t="s">
        <v>62</v>
      </c>
      <c r="AL146" s="2168"/>
      <c r="AM146" s="2169" t="s">
        <v>63</v>
      </c>
      <c r="AN146" s="3036" t="s">
        <v>276</v>
      </c>
      <c r="AO146" s="2170">
        <f>((Transfer!AD296/Transfer!AC296)-1)*100</f>
        <v>-8.7423142886201113</v>
      </c>
      <c r="AP146" s="2145">
        <f>((Transfer!AE296/Transfer!AD296)-1)*100</f>
        <v>4.1448773237421355</v>
      </c>
      <c r="AQ146" s="2144">
        <f>((Transfer!AF296/Transfer!AE296)-1)*100</f>
        <v>5.9509253695039677</v>
      </c>
      <c r="AR146" s="2146">
        <f>((Transfer!AG296/Transfer!AF296)-1)*100</f>
        <v>5.9509253695039677</v>
      </c>
      <c r="AS146" s="82"/>
      <c r="AT146" s="150"/>
      <c r="AU146" s="54"/>
      <c r="AV146" s="54"/>
      <c r="AW146" s="54"/>
      <c r="AX146" s="54"/>
      <c r="AY146" s="54"/>
      <c r="AZ146" s="54"/>
      <c r="BA146" s="519" t="s">
        <v>1191</v>
      </c>
      <c r="BB146" s="54"/>
      <c r="BC146" s="54"/>
    </row>
    <row r="147" spans="1:55">
      <c r="A147" s="45"/>
      <c r="B147" s="1665"/>
      <c r="C147" s="2497" t="s">
        <v>64</v>
      </c>
      <c r="D147" s="2498"/>
      <c r="E147" s="2499" t="s">
        <v>65</v>
      </c>
      <c r="F147" s="3036" t="s">
        <v>276</v>
      </c>
      <c r="G147" s="2388">
        <f ca="1">+Transfer!D322/Transfer!C322*100-100</f>
        <v>2.9370544362187161</v>
      </c>
      <c r="H147" s="2502">
        <f ca="1">+Transfer!E322/Transfer!D322*100-100</f>
        <v>8.1096623655884486</v>
      </c>
      <c r="I147" s="2500">
        <f ca="1">+Transfer!F322/Transfer!E322*100-100</f>
        <v>6.7382729648539907</v>
      </c>
      <c r="J147" s="2503">
        <f ca="1">+Transfer!G322/Transfer!F322*100-100</f>
        <v>4.0022126372564912</v>
      </c>
      <c r="K147" s="2368"/>
      <c r="L147" s="150"/>
      <c r="M147" s="54"/>
      <c r="N147" s="54"/>
      <c r="O147" s="54"/>
      <c r="P147" s="54"/>
      <c r="Q147" s="54"/>
      <c r="R147" s="54"/>
      <c r="S147" s="190"/>
      <c r="T147" s="229" t="s">
        <v>64</v>
      </c>
      <c r="U147" s="230"/>
      <c r="V147" s="241" t="s">
        <v>65</v>
      </c>
      <c r="W147" s="242" t="e">
        <f t="shared" si="10"/>
        <v>#VALUE!</v>
      </c>
      <c r="X147" s="242">
        <f t="shared" ca="1" si="10"/>
        <v>4.9000000000000004</v>
      </c>
      <c r="Y147" s="242">
        <f t="shared" ca="1" si="10"/>
        <v>3</v>
      </c>
      <c r="Z147" s="242">
        <f t="shared" ca="1" si="10"/>
        <v>-0.29999999999999982</v>
      </c>
      <c r="AA147" s="93">
        <f t="shared" ca="1" si="10"/>
        <v>-3</v>
      </c>
      <c r="AB147" s="82"/>
      <c r="AC147" s="45"/>
      <c r="AD147" s="45"/>
      <c r="AE147" s="45"/>
      <c r="AF147" s="45"/>
      <c r="AG147" s="45"/>
      <c r="AH147" s="45"/>
      <c r="AI147" s="45"/>
      <c r="AJ147" s="190"/>
      <c r="AK147" s="2167" t="s">
        <v>64</v>
      </c>
      <c r="AL147" s="2168"/>
      <c r="AM147" s="2169" t="s">
        <v>65</v>
      </c>
      <c r="AN147" s="3036" t="s">
        <v>276</v>
      </c>
      <c r="AO147" s="2114">
        <f>+Transfer!AD322/Transfer!AC322*100-100</f>
        <v>-1.9705230029426417</v>
      </c>
      <c r="AP147" s="2145">
        <f>+Transfer!AE322/Transfer!AD322*100-100</f>
        <v>5.07997907655961</v>
      </c>
      <c r="AQ147" s="2144">
        <f>+Transfer!AF322/Transfer!AE322*100-100</f>
        <v>6.9887773317183814</v>
      </c>
      <c r="AR147" s="2146">
        <f>+Transfer!AG322/Transfer!AF322*100-100</f>
        <v>7.0444415712743478</v>
      </c>
      <c r="AS147" s="82"/>
      <c r="AT147" s="150"/>
      <c r="AU147" s="54"/>
      <c r="AV147" s="54"/>
      <c r="AW147" s="54"/>
      <c r="AX147" s="54"/>
      <c r="AY147" s="54"/>
      <c r="AZ147" s="54"/>
      <c r="BA147" s="1677" t="s">
        <v>2043</v>
      </c>
      <c r="BB147" s="54"/>
      <c r="BC147" s="54"/>
    </row>
    <row r="148" spans="1:55">
      <c r="A148" s="45"/>
      <c r="B148" s="1665"/>
      <c r="C148" s="2507" t="s">
        <v>346</v>
      </c>
      <c r="D148" s="2508"/>
      <c r="E148" s="2509"/>
      <c r="F148" s="2510"/>
      <c r="G148" s="2511"/>
      <c r="H148" s="2512"/>
      <c r="I148" s="2510"/>
      <c r="J148" s="2513"/>
      <c r="K148" s="2452"/>
      <c r="L148" s="54"/>
      <c r="M148" s="54"/>
      <c r="N148" s="54"/>
      <c r="O148" s="54"/>
      <c r="P148" s="54"/>
      <c r="Q148" s="54"/>
      <c r="R148" s="54"/>
      <c r="S148" s="190"/>
      <c r="T148" s="246" t="s">
        <v>346</v>
      </c>
      <c r="U148" s="247"/>
      <c r="V148" s="241" t="s">
        <v>347</v>
      </c>
      <c r="W148" s="248"/>
      <c r="X148" s="141"/>
      <c r="Y148" s="245"/>
      <c r="Z148" s="248"/>
      <c r="AA148" s="320"/>
      <c r="AB148" s="199"/>
      <c r="AC148" s="45"/>
      <c r="AD148" s="45"/>
      <c r="AE148" s="45"/>
      <c r="AF148" s="45"/>
      <c r="AG148" s="45"/>
      <c r="AH148" s="45"/>
      <c r="AI148" s="45"/>
      <c r="AJ148" s="190"/>
      <c r="AK148" s="246" t="s">
        <v>346</v>
      </c>
      <c r="AL148" s="247"/>
      <c r="AM148" s="241"/>
      <c r="AN148" s="2510"/>
      <c r="AO148" s="145"/>
      <c r="AP148" s="450"/>
      <c r="AQ148" s="451"/>
      <c r="AR148" s="452"/>
      <c r="AS148" s="199"/>
      <c r="AT148" s="54"/>
      <c r="AU148" s="54"/>
      <c r="AV148" s="54"/>
      <c r="AW148" s="54"/>
      <c r="AX148" s="54"/>
      <c r="AY148" s="54"/>
      <c r="AZ148" s="54"/>
      <c r="BA148" s="1986"/>
      <c r="BB148" s="54"/>
      <c r="BC148" s="54"/>
    </row>
    <row r="149" spans="1:55">
      <c r="A149" s="45"/>
      <c r="B149" s="1665"/>
      <c r="C149" s="2497" t="s">
        <v>348</v>
      </c>
      <c r="D149" s="2498"/>
      <c r="E149" s="2499" t="s">
        <v>1136</v>
      </c>
      <c r="F149" s="3036" t="s">
        <v>276</v>
      </c>
      <c r="G149" s="2388">
        <f ca="1">((Transfer!D287/Transfer!C287)-1)*100</f>
        <v>-6.6149115453877805</v>
      </c>
      <c r="H149" s="2502">
        <f ca="1">((Transfer!E287/Transfer!D287)-1)*100</f>
        <v>4.536354102938045</v>
      </c>
      <c r="I149" s="2500">
        <f ca="1">((Transfer!F287/Transfer!E287)-1)*100</f>
        <v>5.6757013314071347</v>
      </c>
      <c r="J149" s="2503">
        <f ca="1">((Transfer!G287/Transfer!F287)-1)*100</f>
        <v>4.0657614617618298</v>
      </c>
      <c r="K149" s="2368"/>
      <c r="L149" s="54"/>
      <c r="M149" s="54"/>
      <c r="N149" s="54"/>
      <c r="O149" s="54"/>
      <c r="P149" s="54"/>
      <c r="Q149" s="54"/>
      <c r="R149" s="54"/>
      <c r="S149" s="190"/>
      <c r="T149" s="229" t="s">
        <v>348</v>
      </c>
      <c r="U149" s="247"/>
      <c r="V149" s="241" t="s">
        <v>1136</v>
      </c>
      <c r="W149" s="242" t="e">
        <f t="shared" ref="W149:AA154" si="11">ROUND(F149,1)-ROUND(AN149,1)</f>
        <v>#VALUE!</v>
      </c>
      <c r="X149" s="242">
        <f t="shared" ca="1" si="11"/>
        <v>-2.5</v>
      </c>
      <c r="Y149" s="242">
        <f t="shared" ca="1" si="11"/>
        <v>2.7</v>
      </c>
      <c r="Z149" s="242">
        <f t="shared" ca="1" si="11"/>
        <v>0.90000000000000036</v>
      </c>
      <c r="AA149" s="93">
        <f t="shared" ca="1" si="11"/>
        <v>-0.70000000000000018</v>
      </c>
      <c r="AB149" s="82"/>
      <c r="AC149" s="45"/>
      <c r="AD149" s="45"/>
      <c r="AE149" s="45"/>
      <c r="AF149" s="45"/>
      <c r="AG149" s="45"/>
      <c r="AH149" s="45"/>
      <c r="AI149" s="45"/>
      <c r="AJ149" s="190"/>
      <c r="AK149" s="2167" t="s">
        <v>348</v>
      </c>
      <c r="AL149" s="2168"/>
      <c r="AM149" s="2169" t="s">
        <v>1136</v>
      </c>
      <c r="AN149" s="3036" t="s">
        <v>276</v>
      </c>
      <c r="AO149" s="2114">
        <f>((Transfer!AD287/Transfer!AC287)-1)*100</f>
        <v>-4.0549804196426624</v>
      </c>
      <c r="AP149" s="2145">
        <f>((Transfer!AE287/Transfer!AD287)-1)*100</f>
        <v>1.7661248513040739</v>
      </c>
      <c r="AQ149" s="2144">
        <f>((Transfer!AF287/Transfer!AE287)-1)*100</f>
        <v>4.820493123293268</v>
      </c>
      <c r="AR149" s="2146">
        <f>((Transfer!AG287/Transfer!AF287)-1)*100</f>
        <v>4.8226059978180524</v>
      </c>
      <c r="AS149" s="82"/>
      <c r="AT149" s="54"/>
      <c r="AU149" s="54"/>
      <c r="AV149" s="54"/>
      <c r="AW149" s="54"/>
      <c r="AX149" s="54"/>
      <c r="AY149" s="54"/>
      <c r="AZ149" s="54"/>
      <c r="BA149" s="1677" t="s">
        <v>2044</v>
      </c>
      <c r="BB149" s="54"/>
      <c r="BC149" s="54"/>
    </row>
    <row r="150" spans="1:55">
      <c r="A150" s="45"/>
      <c r="B150" s="1665"/>
      <c r="C150" s="2504" t="s">
        <v>901</v>
      </c>
      <c r="D150" s="2505"/>
      <c r="E150" s="2506" t="s">
        <v>902</v>
      </c>
      <c r="F150" s="3036" t="s">
        <v>276</v>
      </c>
      <c r="G150" s="2388">
        <f ca="1">((Transfer!D299/Transfer!C299)-1)*100</f>
        <v>6.7760091460733696</v>
      </c>
      <c r="H150" s="2387">
        <f ca="1">((Transfer!E299/Transfer!D299)-1)*100</f>
        <v>-4.6091916155335255</v>
      </c>
      <c r="I150" s="2500">
        <f ca="1">((Transfer!F299/Transfer!E299)-1)*100</f>
        <v>3.499999999999992</v>
      </c>
      <c r="J150" s="2503">
        <f ca="1">((Transfer!G299/Transfer!F299)-1)*100</f>
        <v>1.8000000000000016</v>
      </c>
      <c r="K150" s="2390"/>
      <c r="L150" s="54"/>
      <c r="M150" s="54"/>
      <c r="N150" s="54"/>
      <c r="O150" s="54"/>
      <c r="P150" s="54"/>
      <c r="Q150" s="54"/>
      <c r="R150" s="54"/>
      <c r="S150" s="190"/>
      <c r="T150" s="244" t="s">
        <v>901</v>
      </c>
      <c r="U150" s="230"/>
      <c r="V150" s="250" t="s">
        <v>902</v>
      </c>
      <c r="W150" s="242" t="e">
        <f t="shared" si="11"/>
        <v>#VALUE!</v>
      </c>
      <c r="X150" s="242">
        <f t="shared" ca="1" si="11"/>
        <v>4.5</v>
      </c>
      <c r="Y150" s="242">
        <f t="shared" ca="1" si="11"/>
        <v>-7.6</v>
      </c>
      <c r="Z150" s="242">
        <f t="shared" ca="1" si="11"/>
        <v>-0.5</v>
      </c>
      <c r="AA150" s="93">
        <f t="shared" ca="1" si="11"/>
        <v>-2.2000000000000002</v>
      </c>
      <c r="AB150" s="103"/>
      <c r="AC150" s="45"/>
      <c r="AD150" s="45"/>
      <c r="AE150" s="45"/>
      <c r="AF150" s="45"/>
      <c r="AG150" s="45"/>
      <c r="AH150" s="45"/>
      <c r="AI150" s="45"/>
      <c r="AJ150" s="190"/>
      <c r="AK150" s="2141" t="s">
        <v>901</v>
      </c>
      <c r="AL150" s="2142"/>
      <c r="AM150" s="2143" t="s">
        <v>902</v>
      </c>
      <c r="AN150" s="3036" t="s">
        <v>276</v>
      </c>
      <c r="AO150" s="2114">
        <f>((Transfer!AD299/Transfer!AC299)-1)*100</f>
        <v>2.2742403497092001</v>
      </c>
      <c r="AP150" s="2113">
        <f>((Transfer!AE299/Transfer!AD299)-1)*100</f>
        <v>3.0000000000000027</v>
      </c>
      <c r="AQ150" s="2144">
        <f>((Transfer!AF299/Transfer!AE299)-1)*100</f>
        <v>4.0000000000000036</v>
      </c>
      <c r="AR150" s="2146">
        <f>((Transfer!AG299/Transfer!AF299)-1)*100</f>
        <v>4.0000000000000258</v>
      </c>
      <c r="AS150" s="103"/>
      <c r="AT150" s="54"/>
      <c r="AU150" s="54"/>
      <c r="AV150" s="54"/>
      <c r="AW150" s="54"/>
      <c r="AX150" s="54"/>
      <c r="AY150" s="54"/>
      <c r="AZ150" s="54"/>
      <c r="BA150" s="1677" t="s">
        <v>2045</v>
      </c>
      <c r="BB150" s="54"/>
      <c r="BC150" s="54"/>
    </row>
    <row r="151" spans="1:55">
      <c r="A151" s="45"/>
      <c r="B151" s="1665"/>
      <c r="C151" s="2504" t="s">
        <v>1958</v>
      </c>
      <c r="D151" s="2505"/>
      <c r="E151" s="2506" t="s">
        <v>1743</v>
      </c>
      <c r="F151" s="3036" t="s">
        <v>276</v>
      </c>
      <c r="G151" s="2388">
        <f ca="1">(((Transfer!D287-Transfer!D299)/(Transfer!C287-Transfer!C299))-1)*100</f>
        <v>-11.24833716289757</v>
      </c>
      <c r="H151" s="2387">
        <f ca="1">(((Transfer!E287-Transfer!E299)/(Transfer!D287-Transfer!D299))-1)*100</f>
        <v>8.3434916593285067</v>
      </c>
      <c r="I151" s="2500">
        <f ca="1">(((Transfer!F287-Transfer!F299)/(Transfer!E287-Transfer!E299))-1)*100</f>
        <v>6.4731301421788512</v>
      </c>
      <c r="J151" s="2503">
        <f ca="1">(((Transfer!G287-Transfer!G299)/(Transfer!F287-Transfer!F299))-1)*100</f>
        <v>4.8730097979637454</v>
      </c>
      <c r="K151" s="2390"/>
      <c r="L151" s="54"/>
      <c r="M151" s="54"/>
      <c r="N151" s="54"/>
      <c r="O151" s="54"/>
      <c r="P151" s="54"/>
      <c r="Q151" s="54"/>
      <c r="R151" s="54"/>
      <c r="S151" s="190"/>
      <c r="T151" s="244" t="s">
        <v>1958</v>
      </c>
      <c r="U151" s="230"/>
      <c r="V151" s="250" t="s">
        <v>1743</v>
      </c>
      <c r="W151" s="242" t="e">
        <f t="shared" si="11"/>
        <v>#VALUE!</v>
      </c>
      <c r="X151" s="242">
        <f t="shared" ca="1" si="11"/>
        <v>-5.8999999999999995</v>
      </c>
      <c r="Y151" s="242">
        <f t="shared" ca="1" si="11"/>
        <v>6.8000000000000007</v>
      </c>
      <c r="Z151" s="242">
        <f t="shared" ca="1" si="11"/>
        <v>1.5</v>
      </c>
      <c r="AA151" s="93">
        <f t="shared" ca="1" si="11"/>
        <v>-9.9999999999999645E-2</v>
      </c>
      <c r="AB151" s="103"/>
      <c r="AC151" s="45"/>
      <c r="AD151" s="45"/>
      <c r="AE151" s="45"/>
      <c r="AF151" s="45"/>
      <c r="AG151" s="45"/>
      <c r="AH151" s="45"/>
      <c r="AI151" s="45"/>
      <c r="AJ151" s="190"/>
      <c r="AK151" s="2141" t="s">
        <v>1958</v>
      </c>
      <c r="AL151" s="2142"/>
      <c r="AM151" s="2143" t="s">
        <v>1743</v>
      </c>
      <c r="AN151" s="3036" t="s">
        <v>276</v>
      </c>
      <c r="AO151" s="2114">
        <f>(((Transfer!AD287-Transfer!AD299)/(Transfer!AC287-Transfer!AC299))-1)*100</f>
        <v>-5.3256900300668875</v>
      </c>
      <c r="AP151" s="2113">
        <f>(((Transfer!AE287-Transfer!AE299)/(Transfer!AD287-Transfer!AD299))-1)*100</f>
        <v>1.4985154285869218</v>
      </c>
      <c r="AQ151" s="2144">
        <f>(((Transfer!AF287-Transfer!AF299)/(Transfer!AE287-Transfer!AE299))-1)*100</f>
        <v>5.0010785351772613</v>
      </c>
      <c r="AR151" s="2146">
        <f>(((Transfer!AG287-Transfer!AG299)/(Transfer!AF287-Transfer!AF299))-1)*100</f>
        <v>5.0019303082843081</v>
      </c>
      <c r="AS151" s="103"/>
      <c r="AT151" s="54"/>
      <c r="AU151" s="54"/>
      <c r="AV151" s="54"/>
      <c r="AW151" s="54"/>
      <c r="AX151" s="54"/>
      <c r="AY151" s="54"/>
      <c r="AZ151" s="54"/>
      <c r="BA151" s="1677" t="s">
        <v>2046</v>
      </c>
      <c r="BB151" s="54"/>
      <c r="BC151" s="54"/>
    </row>
    <row r="152" spans="1:55">
      <c r="A152" s="45"/>
      <c r="B152" s="1665"/>
      <c r="C152" s="2497" t="s">
        <v>156</v>
      </c>
      <c r="D152" s="2498"/>
      <c r="E152" s="2499" t="s">
        <v>157</v>
      </c>
      <c r="F152" s="3036" t="s">
        <v>276</v>
      </c>
      <c r="G152" s="2388">
        <f ca="1">((Transfer!D288/Transfer!C288)-1)*100</f>
        <v>8.9751886920784294</v>
      </c>
      <c r="H152" s="2502">
        <f ca="1">((Transfer!E288/Transfer!D288)-1)*100</f>
        <v>8.8692106338230658</v>
      </c>
      <c r="I152" s="2500">
        <f ca="1">((Transfer!F288/Transfer!E288)-1)*100</f>
        <v>8.4999999999999964</v>
      </c>
      <c r="J152" s="2503">
        <f ca="1">((Transfer!G288/Transfer!F288)-1)*100</f>
        <v>4.2000000000000037</v>
      </c>
      <c r="K152" s="2368"/>
      <c r="L152" s="54"/>
      <c r="M152" s="54"/>
      <c r="N152" s="54"/>
      <c r="O152" s="54"/>
      <c r="P152" s="54"/>
      <c r="Q152" s="54"/>
      <c r="R152" s="54"/>
      <c r="S152" s="190"/>
      <c r="T152" s="229" t="s">
        <v>156</v>
      </c>
      <c r="U152" s="230"/>
      <c r="V152" s="241" t="s">
        <v>157</v>
      </c>
      <c r="W152" s="242" t="e">
        <f t="shared" si="11"/>
        <v>#VALUE!</v>
      </c>
      <c r="X152" s="242">
        <f t="shared" ca="1" si="11"/>
        <v>13.8</v>
      </c>
      <c r="Y152" s="242">
        <f t="shared" ca="1" si="11"/>
        <v>-0.79999999999999893</v>
      </c>
      <c r="Z152" s="242">
        <f t="shared" ca="1" si="11"/>
        <v>-1.3000000000000007</v>
      </c>
      <c r="AA152" s="93">
        <f t="shared" ca="1" si="11"/>
        <v>-5.6000000000000005</v>
      </c>
      <c r="AB152" s="82"/>
      <c r="AC152" s="45"/>
      <c r="AD152" s="45"/>
      <c r="AE152" s="45"/>
      <c r="AF152" s="45"/>
      <c r="AG152" s="45"/>
      <c r="AH152" s="45"/>
      <c r="AI152" s="45"/>
      <c r="AJ152" s="190"/>
      <c r="AK152" s="2167" t="s">
        <v>156</v>
      </c>
      <c r="AL152" s="2168"/>
      <c r="AM152" s="2169" t="s">
        <v>157</v>
      </c>
      <c r="AN152" s="3036" t="s">
        <v>276</v>
      </c>
      <c r="AO152" s="2114">
        <f>((Transfer!AD288/Transfer!AC288)-1)*100</f>
        <v>-4.7552060927355981</v>
      </c>
      <c r="AP152" s="2145">
        <f>((Transfer!AE288/Transfer!AD288)-1)*100</f>
        <v>9.6999999999999975</v>
      </c>
      <c r="AQ152" s="2144">
        <f>((Transfer!AF288/Transfer!AE288)-1)*100</f>
        <v>9.8000000000000078</v>
      </c>
      <c r="AR152" s="2146">
        <f>((Transfer!AG288/Transfer!AF288)-1)*100</f>
        <v>9.8000000000000078</v>
      </c>
      <c r="AS152" s="82"/>
      <c r="AT152" s="54"/>
      <c r="AU152" s="54"/>
      <c r="AV152" s="54"/>
      <c r="AW152" s="54"/>
      <c r="AX152" s="54"/>
      <c r="AY152" s="54"/>
      <c r="AZ152" s="54"/>
      <c r="BA152" s="1677" t="s">
        <v>2047</v>
      </c>
      <c r="BB152" s="54"/>
      <c r="BC152" s="54"/>
    </row>
    <row r="153" spans="1:55">
      <c r="A153" s="45"/>
      <c r="B153" s="1665"/>
      <c r="C153" s="2514" t="s">
        <v>277</v>
      </c>
      <c r="D153" s="2515"/>
      <c r="E153" s="2516" t="s">
        <v>751</v>
      </c>
      <c r="F153" s="3037" t="s">
        <v>276</v>
      </c>
      <c r="G153" s="2518">
        <f ca="1">((Transfer!D289/Transfer!C289)-1)*100</f>
        <v>1.9946367355965888</v>
      </c>
      <c r="H153" s="2519">
        <f ca="1">((Transfer!E289/Transfer!D289)-1)*100</f>
        <v>15.468849526339357</v>
      </c>
      <c r="I153" s="2517">
        <f ca="1">((Transfer!F289/Transfer!E289)-1)*100</f>
        <v>6.2000000000000055</v>
      </c>
      <c r="J153" s="2520">
        <f ca="1">((Transfer!G289/Transfer!F289)-1)*100</f>
        <v>4.4999999999999929</v>
      </c>
      <c r="K153" s="2452"/>
      <c r="L153" s="54"/>
      <c r="M153" s="54"/>
      <c r="N153" s="54"/>
      <c r="O153" s="54"/>
      <c r="P153" s="54"/>
      <c r="Q153" s="54"/>
      <c r="R153" s="54"/>
      <c r="S153" s="190"/>
      <c r="T153" s="229" t="s">
        <v>277</v>
      </c>
      <c r="U153" s="230"/>
      <c r="V153" s="241" t="s">
        <v>751</v>
      </c>
      <c r="W153" s="96" t="e">
        <f t="shared" si="11"/>
        <v>#VALUE!</v>
      </c>
      <c r="X153" s="2012">
        <f t="shared" ca="1" si="11"/>
        <v>-1.5</v>
      </c>
      <c r="Y153" s="2012">
        <f t="shared" ca="1" si="11"/>
        <v>7.1</v>
      </c>
      <c r="Z153" s="2012">
        <f t="shared" ca="1" si="11"/>
        <v>-1.7999999999999998</v>
      </c>
      <c r="AA153" s="98">
        <f t="shared" ca="1" si="11"/>
        <v>-3.5</v>
      </c>
      <c r="AB153" s="199"/>
      <c r="AC153" s="45"/>
      <c r="AD153" s="45"/>
      <c r="AE153" s="45"/>
      <c r="AF153" s="45"/>
      <c r="AG153" s="45"/>
      <c r="AH153" s="45"/>
      <c r="AI153" s="45"/>
      <c r="AJ153" s="190"/>
      <c r="AK153" s="2171" t="s">
        <v>277</v>
      </c>
      <c r="AL153" s="2172"/>
      <c r="AM153" s="2173" t="s">
        <v>751</v>
      </c>
      <c r="AN153" s="3037" t="s">
        <v>276</v>
      </c>
      <c r="AO153" s="2127">
        <f>((Transfer!AD289/Transfer!AC289)-1)*100</f>
        <v>3.5080663770199028</v>
      </c>
      <c r="AP153" s="2174">
        <f>((Transfer!AE289/Transfer!AD289)-1)*100</f>
        <v>8.4000000000000075</v>
      </c>
      <c r="AQ153" s="2147">
        <f>((Transfer!AF289/Transfer!AE289)-1)*100</f>
        <v>8.0000000000000284</v>
      </c>
      <c r="AR153" s="2148">
        <f>((Transfer!AG289/Transfer!AF289)-1)*100</f>
        <v>8.0000000000000071</v>
      </c>
      <c r="AS153" s="199"/>
      <c r="AT153" s="54"/>
      <c r="AU153" s="54"/>
      <c r="AV153" s="54"/>
      <c r="AW153" s="54"/>
      <c r="AX153" s="54"/>
      <c r="AY153" s="54"/>
      <c r="AZ153" s="54"/>
      <c r="BA153" s="1677" t="s">
        <v>2048</v>
      </c>
      <c r="BB153" s="54"/>
      <c r="BC153" s="54"/>
    </row>
    <row r="154" spans="1:55">
      <c r="A154" s="45"/>
      <c r="B154" s="1665"/>
      <c r="C154" s="2497" t="s">
        <v>1889</v>
      </c>
      <c r="D154" s="2498"/>
      <c r="E154" s="2499" t="s">
        <v>1836</v>
      </c>
      <c r="F154" s="3036" t="s">
        <v>276</v>
      </c>
      <c r="G154" s="2388">
        <f ca="1">((Transfer!D286/Transfer!C286)-1)*100</f>
        <v>-0.47086618171282568</v>
      </c>
      <c r="H154" s="2502">
        <f ca="1">((Transfer!E286/Transfer!D286)-1)*100</f>
        <v>7.3037703461852344</v>
      </c>
      <c r="I154" s="2500">
        <f ca="1">((Transfer!F286/Transfer!E286)-1)*100</f>
        <v>6.6757596465201408</v>
      </c>
      <c r="J154" s="2503">
        <f ca="1">((Transfer!G286/Transfer!F286)-1)*100</f>
        <v>4.0805171917847716</v>
      </c>
      <c r="K154" s="2368"/>
      <c r="L154" s="54"/>
      <c r="M154" s="54"/>
      <c r="N154" s="54"/>
      <c r="O154" s="54"/>
      <c r="P154" s="54"/>
      <c r="Q154" s="54"/>
      <c r="R154" s="54"/>
      <c r="S154" s="190"/>
      <c r="T154" s="251" t="s">
        <v>1889</v>
      </c>
      <c r="U154" s="252"/>
      <c r="V154" s="253" t="s">
        <v>1836</v>
      </c>
      <c r="W154" s="3028" t="e">
        <f t="shared" si="11"/>
        <v>#VALUE!</v>
      </c>
      <c r="X154" s="3028">
        <f t="shared" ca="1" si="11"/>
        <v>3.1</v>
      </c>
      <c r="Y154" s="3028">
        <f t="shared" ca="1" si="11"/>
        <v>2.3999999999999995</v>
      </c>
      <c r="Z154" s="3028">
        <f t="shared" ca="1" si="11"/>
        <v>-9.9999999999999645E-2</v>
      </c>
      <c r="AA154" s="81">
        <f t="shared" ca="1" si="11"/>
        <v>-2.7</v>
      </c>
      <c r="AB154" s="82"/>
      <c r="AC154" s="45"/>
      <c r="AD154" s="45"/>
      <c r="AE154" s="45"/>
      <c r="AF154" s="45"/>
      <c r="AG154" s="45"/>
      <c r="AH154" s="45"/>
      <c r="AI154" s="45"/>
      <c r="AJ154" s="190"/>
      <c r="AK154" s="2167" t="s">
        <v>1889</v>
      </c>
      <c r="AL154" s="2168"/>
      <c r="AM154" s="2169" t="s">
        <v>1836</v>
      </c>
      <c r="AN154" s="3036" t="s">
        <v>276</v>
      </c>
      <c r="AO154" s="2114">
        <f>((Transfer!AD286/Transfer!AC286)-1)*100</f>
        <v>-3.6072158443441804</v>
      </c>
      <c r="AP154" s="2145">
        <f>((Transfer!AE286/Transfer!AD286)-1)*100</f>
        <v>4.8738717027290601</v>
      </c>
      <c r="AQ154" s="2144">
        <f>((Transfer!AF286/Transfer!AE286)-1)*100</f>
        <v>6.7721721252337996</v>
      </c>
      <c r="AR154" s="2146">
        <f>((Transfer!AG286/Transfer!AF286)-1)*100</f>
        <v>6.8297691935189198</v>
      </c>
      <c r="AS154" s="82"/>
      <c r="AT154" s="54"/>
      <c r="AU154" s="54"/>
      <c r="AV154" s="54"/>
      <c r="AW154" s="54"/>
      <c r="AX154" s="54"/>
      <c r="AY154" s="54"/>
      <c r="AZ154" s="54"/>
      <c r="BA154" s="1986" t="s">
        <v>2049</v>
      </c>
      <c r="BB154" s="54"/>
      <c r="BC154" s="54"/>
    </row>
    <row r="155" spans="1:55" ht="13.5" thickBot="1">
      <c r="A155" s="45"/>
      <c r="B155" s="1665"/>
      <c r="C155" s="2522" t="s">
        <v>1890</v>
      </c>
      <c r="D155" s="2523"/>
      <c r="E155" s="2524"/>
      <c r="F155" s="2525"/>
      <c r="G155" s="2526"/>
      <c r="H155" s="2527"/>
      <c r="I155" s="2525"/>
      <c r="J155" s="2528"/>
      <c r="K155" s="2368"/>
      <c r="L155" s="54"/>
      <c r="M155" s="54"/>
      <c r="N155" s="54"/>
      <c r="O155" s="54"/>
      <c r="P155" s="54"/>
      <c r="Q155" s="54"/>
      <c r="R155" s="54"/>
      <c r="S155" s="190"/>
      <c r="T155" s="109" t="s">
        <v>1890</v>
      </c>
      <c r="U155" s="3029"/>
      <c r="V155" s="386"/>
      <c r="W155" s="405"/>
      <c r="X155" s="3030"/>
      <c r="Y155" s="3030"/>
      <c r="Z155" s="3030"/>
      <c r="AA155" s="112"/>
      <c r="AB155" s="82"/>
      <c r="AC155" s="45"/>
      <c r="AD155" s="45"/>
      <c r="AE155" s="45"/>
      <c r="AF155" s="45"/>
      <c r="AG155" s="45"/>
      <c r="AH155" s="45"/>
      <c r="AI155" s="45"/>
      <c r="AJ155" s="190"/>
      <c r="AK155" s="2175" t="s">
        <v>1890</v>
      </c>
      <c r="AL155" s="2176"/>
      <c r="AM155" s="2177"/>
      <c r="AN155" s="2178"/>
      <c r="AO155" s="2179"/>
      <c r="AP155" s="2180"/>
      <c r="AQ155" s="2178"/>
      <c r="AR155" s="2181"/>
      <c r="AS155" s="82"/>
      <c r="AT155" s="54"/>
      <c r="AU155" s="54"/>
      <c r="AV155" s="54"/>
      <c r="AW155" s="54"/>
      <c r="AX155" s="54"/>
      <c r="AY155" s="54"/>
      <c r="AZ155" s="54"/>
      <c r="BA155" s="1678"/>
      <c r="BB155" s="54"/>
      <c r="BC155" s="54"/>
    </row>
    <row r="156" spans="1:55">
      <c r="A156" s="45"/>
      <c r="B156" s="1701"/>
      <c r="C156" s="2399"/>
      <c r="D156" s="2399"/>
      <c r="E156" s="2399"/>
      <c r="F156" s="2399"/>
      <c r="G156" s="2399"/>
      <c r="H156" s="2399"/>
      <c r="I156" s="2477"/>
      <c r="J156" s="2400" t="str">
        <f>UPPER(Country)</f>
        <v>LITHUANIA</v>
      </c>
      <c r="K156" s="2478"/>
      <c r="L156" s="256"/>
      <c r="M156" s="54"/>
      <c r="N156" s="54"/>
      <c r="O156" s="54"/>
      <c r="P156" s="54"/>
      <c r="Q156" s="54"/>
      <c r="R156" s="54"/>
      <c r="S156" s="215"/>
      <c r="T156" s="117"/>
      <c r="U156" s="117"/>
      <c r="V156" s="117"/>
      <c r="W156" s="117"/>
      <c r="X156" s="117"/>
      <c r="Y156" s="117"/>
      <c r="Z156" s="255"/>
      <c r="AA156" s="118" t="str">
        <f>UPPER(Country)</f>
        <v>LITHUANIA</v>
      </c>
      <c r="AB156" s="216"/>
      <c r="AC156" s="45"/>
      <c r="AD156" s="45"/>
      <c r="AE156" s="45"/>
      <c r="AF156" s="45"/>
      <c r="AG156" s="45"/>
      <c r="AH156" s="45"/>
      <c r="AI156" s="45"/>
      <c r="AJ156" s="215"/>
      <c r="AK156" s="117"/>
      <c r="AL156" s="117"/>
      <c r="AM156" s="117"/>
      <c r="AN156" s="117"/>
      <c r="AO156" s="117"/>
      <c r="AP156" s="117"/>
      <c r="AQ156" s="255"/>
      <c r="AR156" s="118" t="str">
        <f>UPPER(Country)</f>
        <v>LITHUANIA</v>
      </c>
      <c r="AS156" s="216"/>
      <c r="AT156" s="256"/>
      <c r="AU156" s="54"/>
      <c r="AV156" s="54"/>
      <c r="AW156" s="54"/>
      <c r="AX156" s="54"/>
      <c r="AY156" s="54"/>
      <c r="AZ156" s="54"/>
      <c r="BA156" s="45"/>
      <c r="BB156" s="54"/>
      <c r="BC156" s="54"/>
    </row>
    <row r="157" spans="1:55">
      <c r="A157" s="45"/>
      <c r="B157" s="45"/>
      <c r="C157" s="54"/>
      <c r="D157" s="54"/>
      <c r="E157" s="54"/>
      <c r="F157" s="54"/>
      <c r="G157" s="54"/>
      <c r="H157" s="54"/>
      <c r="I157" s="45"/>
      <c r="J157" s="45"/>
      <c r="K157" s="45"/>
      <c r="L157" s="54"/>
      <c r="M157" s="54"/>
      <c r="N157" s="54"/>
      <c r="O157" s="54"/>
      <c r="P157" s="54"/>
      <c r="Q157" s="54"/>
      <c r="R157" s="54"/>
      <c r="S157" s="45"/>
      <c r="T157" s="45"/>
      <c r="U157" s="45"/>
      <c r="V157" s="45"/>
      <c r="W157" s="45"/>
      <c r="X157" s="54"/>
      <c r="Y157" s="54"/>
      <c r="Z157" s="54"/>
      <c r="AA157" s="45"/>
      <c r="AB157" s="45"/>
      <c r="AC157" s="45"/>
      <c r="AD157" s="45"/>
      <c r="AE157" s="45"/>
      <c r="AF157" s="45"/>
      <c r="AG157" s="45"/>
      <c r="AH157" s="45"/>
      <c r="AI157" s="45"/>
      <c r="AJ157" s="45"/>
      <c r="AK157" s="54"/>
      <c r="AL157" s="54"/>
      <c r="AM157" s="54"/>
      <c r="AN157" s="54"/>
      <c r="AO157" s="54"/>
      <c r="AP157" s="54"/>
      <c r="AQ157" s="45"/>
      <c r="AR157" s="45"/>
      <c r="AS157" s="45"/>
      <c r="AT157" s="54"/>
      <c r="AU157" s="54"/>
      <c r="AV157" s="54"/>
      <c r="AW157" s="54"/>
      <c r="AX157" s="54"/>
      <c r="AY157" s="54"/>
      <c r="AZ157" s="54"/>
      <c r="BA157" s="54"/>
      <c r="BB157" s="54"/>
      <c r="BC157" s="54"/>
    </row>
    <row r="158" spans="1:55">
      <c r="A158" s="45"/>
      <c r="B158" s="45"/>
      <c r="C158" s="54"/>
      <c r="D158" s="54"/>
      <c r="E158" s="45"/>
      <c r="F158" s="45"/>
      <c r="G158" s="45"/>
      <c r="H158" s="45"/>
      <c r="I158" s="45"/>
      <c r="J158" s="45"/>
      <c r="K158" s="187"/>
      <c r="L158" s="54"/>
      <c r="M158" s="54"/>
      <c r="N158" s="54"/>
      <c r="O158" s="54"/>
      <c r="P158" s="54"/>
      <c r="Q158" s="54"/>
      <c r="R158" s="54"/>
      <c r="S158" s="45"/>
      <c r="T158" s="45"/>
      <c r="U158" s="45"/>
      <c r="V158" s="45"/>
      <c r="W158" s="45"/>
      <c r="X158" s="54"/>
      <c r="Y158" s="54"/>
      <c r="Z158" s="54"/>
      <c r="AA158" s="45"/>
      <c r="AB158" s="45"/>
      <c r="AC158" s="45"/>
      <c r="AD158" s="45"/>
      <c r="AE158" s="45"/>
      <c r="AF158" s="45"/>
      <c r="AG158" s="45"/>
      <c r="AH158" s="45"/>
      <c r="AI158" s="45"/>
      <c r="AJ158" s="45"/>
      <c r="AK158" s="54"/>
      <c r="AL158" s="54"/>
      <c r="AM158" s="45"/>
      <c r="AN158" s="45"/>
      <c r="AO158" s="45"/>
      <c r="AP158" s="45"/>
      <c r="AQ158" s="45"/>
      <c r="AR158" s="45"/>
      <c r="AS158" s="187"/>
      <c r="AT158" s="54"/>
      <c r="AU158" s="54"/>
      <c r="AV158" s="54"/>
      <c r="AW158" s="54"/>
      <c r="AX158" s="54"/>
      <c r="AY158" s="54"/>
      <c r="AZ158" s="54"/>
      <c r="BA158" s="54"/>
      <c r="BB158" s="54"/>
      <c r="BC158" s="54"/>
    </row>
    <row r="159" spans="1:55">
      <c r="A159" s="45"/>
      <c r="B159" s="45"/>
      <c r="C159" s="54"/>
      <c r="D159" s="54"/>
      <c r="E159" s="54"/>
      <c r="F159" s="54"/>
      <c r="G159" s="54"/>
      <c r="H159" s="54"/>
      <c r="I159" s="54"/>
      <c r="J159" s="54"/>
      <c r="K159" s="54"/>
      <c r="L159" s="54"/>
      <c r="M159" s="54"/>
      <c r="N159" s="54"/>
      <c r="O159" s="54"/>
      <c r="P159" s="54"/>
      <c r="Q159" s="54"/>
      <c r="R159" s="54"/>
      <c r="S159" s="45"/>
      <c r="T159" s="45"/>
      <c r="U159" s="45"/>
      <c r="V159" s="45"/>
      <c r="W159" s="45"/>
      <c r="X159" s="54"/>
      <c r="Y159" s="54"/>
      <c r="Z159" s="54"/>
      <c r="AA159" s="45"/>
      <c r="AB159" s="45"/>
      <c r="AC159" s="45"/>
      <c r="AD159" s="45"/>
      <c r="AE159" s="45"/>
      <c r="AF159" s="45"/>
      <c r="AG159" s="45"/>
      <c r="AH159" s="45"/>
      <c r="AI159" s="45"/>
      <c r="AJ159" s="45"/>
      <c r="AK159" s="54"/>
      <c r="AL159" s="54"/>
      <c r="AM159" s="54"/>
      <c r="AN159" s="54"/>
      <c r="AO159" s="54"/>
      <c r="AP159" s="54"/>
      <c r="AQ159" s="54"/>
      <c r="AR159" s="54"/>
      <c r="AS159" s="54"/>
      <c r="AT159" s="54"/>
      <c r="AU159" s="54"/>
      <c r="AV159" s="54"/>
      <c r="AW159" s="54"/>
      <c r="AX159" s="54"/>
      <c r="AY159" s="54"/>
      <c r="AZ159" s="54"/>
      <c r="BA159" s="54"/>
      <c r="BB159" s="54"/>
      <c r="BC159" s="54"/>
    </row>
    <row r="160" spans="1:55">
      <c r="A160" s="45"/>
      <c r="B160" s="45"/>
      <c r="C160" s="54"/>
      <c r="D160" s="54"/>
      <c r="E160" s="54"/>
      <c r="F160" s="54"/>
      <c r="G160" s="54"/>
      <c r="H160" s="54"/>
      <c r="I160" s="54"/>
      <c r="J160" s="54"/>
      <c r="K160" s="54"/>
      <c r="L160" s="54"/>
      <c r="M160" s="54"/>
      <c r="N160" s="54"/>
      <c r="O160" s="54"/>
      <c r="P160" s="54"/>
      <c r="Q160" s="54"/>
      <c r="R160" s="54"/>
      <c r="S160" s="45"/>
      <c r="T160" s="45"/>
      <c r="U160" s="45"/>
      <c r="V160" s="45"/>
      <c r="W160" s="45"/>
      <c r="X160" s="54"/>
      <c r="Y160" s="54"/>
      <c r="Z160" s="54"/>
      <c r="AA160" s="45"/>
      <c r="AB160" s="45"/>
      <c r="AC160" s="45"/>
      <c r="AD160" s="45"/>
      <c r="AE160" s="45"/>
      <c r="AF160" s="45"/>
      <c r="AG160" s="45"/>
      <c r="AH160" s="45"/>
      <c r="AI160" s="45"/>
      <c r="AJ160" s="45"/>
      <c r="AK160" s="54"/>
      <c r="AL160" s="54"/>
      <c r="AM160" s="54"/>
      <c r="AN160" s="54"/>
      <c r="AO160" s="54"/>
      <c r="AP160" s="54"/>
      <c r="AQ160" s="54"/>
      <c r="AR160" s="54"/>
      <c r="AS160" s="54"/>
      <c r="AT160" s="54"/>
      <c r="AU160" s="54"/>
      <c r="AV160" s="54"/>
      <c r="AW160" s="54"/>
      <c r="AX160" s="54"/>
      <c r="AY160" s="54"/>
      <c r="AZ160" s="54"/>
      <c r="BA160" s="54"/>
      <c r="BB160" s="54"/>
      <c r="BC160" s="54"/>
    </row>
    <row r="161" spans="1:55">
      <c r="A161" s="45"/>
      <c r="B161" s="45"/>
      <c r="C161" s="54"/>
      <c r="D161" s="54"/>
      <c r="E161" s="54"/>
      <c r="F161" s="54"/>
      <c r="G161" s="54"/>
      <c r="H161" s="54"/>
      <c r="I161" s="54"/>
      <c r="J161" s="54"/>
      <c r="K161" s="54"/>
      <c r="L161" s="54"/>
      <c r="M161" s="54"/>
      <c r="N161" s="54"/>
      <c r="O161" s="54"/>
      <c r="P161" s="54"/>
      <c r="Q161" s="54"/>
      <c r="R161" s="54"/>
      <c r="S161" s="45"/>
      <c r="T161" s="45"/>
      <c r="U161" s="45"/>
      <c r="V161" s="45"/>
      <c r="W161" s="45"/>
      <c r="X161" s="54"/>
      <c r="Y161" s="54"/>
      <c r="Z161" s="54"/>
      <c r="AA161" s="45"/>
      <c r="AB161" s="45"/>
      <c r="AC161" s="45"/>
      <c r="AD161" s="45"/>
      <c r="AE161" s="45"/>
      <c r="AF161" s="45"/>
      <c r="AG161" s="45"/>
      <c r="AH161" s="45"/>
      <c r="AI161" s="45"/>
      <c r="AJ161" s="45"/>
      <c r="AK161" s="54"/>
      <c r="AL161" s="54"/>
      <c r="AM161" s="54"/>
      <c r="AN161" s="54"/>
      <c r="AO161" s="54"/>
      <c r="AP161" s="54"/>
      <c r="AQ161" s="54"/>
      <c r="AR161" s="54"/>
      <c r="AS161" s="54"/>
      <c r="AT161" s="54"/>
      <c r="AU161" s="54"/>
      <c r="AV161" s="54"/>
      <c r="AW161" s="54"/>
      <c r="AX161" s="54"/>
      <c r="AY161" s="54"/>
      <c r="AZ161" s="54"/>
      <c r="BA161" s="54"/>
      <c r="BB161" s="54"/>
      <c r="BC161" s="54"/>
    </row>
    <row r="162" spans="1:55">
      <c r="A162" s="45"/>
      <c r="B162" s="45"/>
      <c r="C162" s="54"/>
      <c r="D162" s="54"/>
      <c r="E162" s="54"/>
      <c r="F162" s="54"/>
      <c r="G162" s="54"/>
      <c r="H162" s="54"/>
      <c r="I162" s="54"/>
      <c r="J162" s="54"/>
      <c r="K162" s="54"/>
      <c r="L162" s="54"/>
      <c r="M162" s="54"/>
      <c r="N162" s="54"/>
      <c r="O162" s="54"/>
      <c r="P162" s="54"/>
      <c r="Q162" s="54"/>
      <c r="R162" s="54"/>
      <c r="S162" s="45"/>
      <c r="T162" s="45"/>
      <c r="U162" s="45"/>
      <c r="V162" s="45"/>
      <c r="W162" s="45"/>
      <c r="X162" s="54"/>
      <c r="Y162" s="54"/>
      <c r="Z162" s="54"/>
      <c r="AA162" s="45"/>
      <c r="AB162" s="45"/>
      <c r="AC162" s="45"/>
      <c r="AD162" s="45"/>
      <c r="AE162" s="45"/>
      <c r="AF162" s="45"/>
      <c r="AG162" s="45"/>
      <c r="AH162" s="45"/>
      <c r="AI162" s="45"/>
      <c r="AJ162" s="45"/>
      <c r="AK162" s="54"/>
      <c r="AL162" s="54"/>
      <c r="AM162" s="54"/>
      <c r="AN162" s="54"/>
      <c r="AO162" s="54"/>
      <c r="AP162" s="54"/>
      <c r="AQ162" s="54"/>
      <c r="AR162" s="54"/>
      <c r="AS162" s="54"/>
      <c r="AT162" s="54"/>
      <c r="AU162" s="54"/>
      <c r="AV162" s="54"/>
      <c r="AW162" s="54"/>
      <c r="AX162" s="54"/>
      <c r="AY162" s="54"/>
      <c r="AZ162" s="54"/>
      <c r="BA162" s="54"/>
      <c r="BB162" s="54"/>
      <c r="BC162" s="54"/>
    </row>
    <row r="163" spans="1:55">
      <c r="A163" s="45"/>
      <c r="B163" s="45"/>
      <c r="C163" s="54"/>
      <c r="D163" s="54"/>
      <c r="E163" s="54"/>
      <c r="F163" s="54"/>
      <c r="G163" s="54"/>
      <c r="H163" s="54"/>
      <c r="I163" s="54"/>
      <c r="J163" s="54"/>
      <c r="K163" s="54"/>
      <c r="L163" s="54"/>
      <c r="M163" s="54"/>
      <c r="N163" s="54"/>
      <c r="O163" s="54"/>
      <c r="P163" s="54"/>
      <c r="Q163" s="54"/>
      <c r="R163" s="54"/>
      <c r="S163" s="45"/>
      <c r="T163" s="45"/>
      <c r="U163" s="45"/>
      <c r="V163" s="45"/>
      <c r="W163" s="45"/>
      <c r="X163" s="54"/>
      <c r="Y163" s="54"/>
      <c r="Z163" s="54"/>
      <c r="AA163" s="45"/>
      <c r="AB163" s="45"/>
      <c r="AC163" s="45"/>
      <c r="AD163" s="45"/>
      <c r="AE163" s="45"/>
      <c r="AF163" s="45"/>
      <c r="AG163" s="45"/>
      <c r="AH163" s="45"/>
      <c r="AI163" s="45"/>
      <c r="AJ163" s="45"/>
      <c r="AK163" s="54"/>
      <c r="AL163" s="54"/>
      <c r="AM163" s="54"/>
      <c r="AN163" s="54"/>
      <c r="AO163" s="54"/>
      <c r="AP163" s="54"/>
      <c r="AQ163" s="54"/>
      <c r="AR163" s="54"/>
      <c r="AS163" s="54"/>
      <c r="AT163" s="54"/>
      <c r="AU163" s="54"/>
      <c r="AV163" s="54"/>
      <c r="AW163" s="54"/>
      <c r="AX163" s="54"/>
      <c r="AY163" s="54"/>
      <c r="AZ163" s="54"/>
      <c r="BA163" s="54"/>
      <c r="BB163" s="54"/>
      <c r="BC163" s="54"/>
    </row>
    <row r="164" spans="1:55">
      <c r="A164" s="45"/>
      <c r="B164" s="45"/>
      <c r="C164" s="54"/>
      <c r="D164" s="54"/>
      <c r="E164" s="54"/>
      <c r="F164" s="54"/>
      <c r="G164" s="54"/>
      <c r="H164" s="54"/>
      <c r="I164" s="54"/>
      <c r="J164" s="54"/>
      <c r="K164" s="54"/>
      <c r="L164" s="54"/>
      <c r="M164" s="54"/>
      <c r="N164" s="54"/>
      <c r="O164" s="54"/>
      <c r="P164" s="54"/>
      <c r="Q164" s="54"/>
      <c r="R164" s="54"/>
      <c r="S164" s="45"/>
      <c r="T164" s="45"/>
      <c r="U164" s="45"/>
      <c r="V164" s="45"/>
      <c r="W164" s="45"/>
      <c r="X164" s="54"/>
      <c r="Y164" s="54"/>
      <c r="Z164" s="54"/>
      <c r="AA164" s="45"/>
      <c r="AB164" s="45"/>
      <c r="AC164" s="45"/>
      <c r="AD164" s="45"/>
      <c r="AE164" s="45"/>
      <c r="AF164" s="45"/>
      <c r="AG164" s="45"/>
      <c r="AH164" s="45"/>
      <c r="AI164" s="45"/>
      <c r="AJ164" s="45"/>
      <c r="AK164" s="54"/>
      <c r="AL164" s="54"/>
      <c r="AM164" s="54"/>
      <c r="AN164" s="54"/>
      <c r="AO164" s="54"/>
      <c r="AP164" s="54"/>
      <c r="AQ164" s="54"/>
      <c r="AR164" s="54"/>
      <c r="AS164" s="54"/>
      <c r="AT164" s="54"/>
      <c r="AU164" s="54"/>
      <c r="AV164" s="54"/>
      <c r="AW164" s="54"/>
      <c r="AX164" s="54"/>
      <c r="AY164" s="54"/>
      <c r="AZ164" s="54"/>
      <c r="BA164" s="54"/>
      <c r="BB164" s="54"/>
      <c r="BC164" s="54"/>
    </row>
    <row r="165" spans="1:55">
      <c r="A165" s="45"/>
      <c r="B165" s="45"/>
      <c r="C165" s="54"/>
      <c r="D165" s="54"/>
      <c r="E165" s="54"/>
      <c r="F165" s="54"/>
      <c r="G165" s="54"/>
      <c r="H165" s="54"/>
      <c r="I165" s="54"/>
      <c r="J165" s="54"/>
      <c r="K165" s="54"/>
      <c r="L165" s="54"/>
      <c r="M165" s="54"/>
      <c r="N165" s="54"/>
      <c r="O165" s="54"/>
      <c r="P165" s="54"/>
      <c r="Q165" s="54"/>
      <c r="R165" s="54"/>
      <c r="S165" s="45"/>
      <c r="T165" s="45"/>
      <c r="U165" s="45"/>
      <c r="V165" s="45"/>
      <c r="W165" s="45"/>
      <c r="X165" s="54"/>
      <c r="Y165" s="54"/>
      <c r="Z165" s="54"/>
      <c r="AA165" s="45"/>
      <c r="AB165" s="45"/>
      <c r="AC165" s="45"/>
      <c r="AD165" s="45"/>
      <c r="AE165" s="45"/>
      <c r="AF165" s="45"/>
      <c r="AG165" s="45"/>
      <c r="AH165" s="45"/>
      <c r="AI165" s="45"/>
      <c r="AJ165" s="45"/>
      <c r="AK165" s="54"/>
      <c r="AL165" s="54"/>
      <c r="AM165" s="54"/>
      <c r="AN165" s="54"/>
      <c r="AO165" s="54"/>
      <c r="AP165" s="54"/>
      <c r="AQ165" s="54"/>
      <c r="AR165" s="54"/>
      <c r="AS165" s="54"/>
      <c r="AT165" s="54"/>
      <c r="AU165" s="54"/>
      <c r="AV165" s="54"/>
      <c r="AW165" s="54"/>
      <c r="AX165" s="54"/>
      <c r="AY165" s="54"/>
      <c r="AZ165" s="54"/>
      <c r="BA165" s="54"/>
      <c r="BB165" s="54"/>
      <c r="BC165" s="54"/>
    </row>
    <row r="166" spans="1:55">
      <c r="A166" s="45"/>
      <c r="B166" s="2529"/>
      <c r="C166" s="2342" t="s">
        <v>1891</v>
      </c>
      <c r="D166" s="2342"/>
      <c r="E166" s="2343"/>
      <c r="F166" s="2343"/>
      <c r="G166" s="2343"/>
      <c r="H166" s="2343"/>
      <c r="I166" s="2343"/>
      <c r="J166" s="2343"/>
      <c r="K166" s="2343"/>
      <c r="L166" s="2343"/>
      <c r="M166" s="2343"/>
      <c r="N166" s="2495"/>
      <c r="O166" s="258"/>
      <c r="P166" s="258"/>
      <c r="Q166" s="258"/>
      <c r="R166" s="54"/>
      <c r="S166" s="257"/>
      <c r="T166" s="56" t="s">
        <v>1891</v>
      </c>
      <c r="U166" s="56"/>
      <c r="V166" s="100"/>
      <c r="W166" s="100"/>
      <c r="X166" s="100"/>
      <c r="Y166" s="100"/>
      <c r="Z166" s="100"/>
      <c r="AA166" s="100"/>
      <c r="AB166" s="100"/>
      <c r="AC166" s="100"/>
      <c r="AD166" s="100"/>
      <c r="AE166" s="238"/>
      <c r="AF166" s="45"/>
      <c r="AG166" s="45"/>
      <c r="AH166" s="45"/>
      <c r="AI166" s="45"/>
      <c r="AJ166" s="257"/>
      <c r="AK166" s="56" t="s">
        <v>1891</v>
      </c>
      <c r="AL166" s="56"/>
      <c r="AM166" s="100"/>
      <c r="AN166" s="100"/>
      <c r="AO166" s="100"/>
      <c r="AP166" s="100"/>
      <c r="AQ166" s="100"/>
      <c r="AR166" s="100"/>
      <c r="AS166" s="100"/>
      <c r="AT166" s="100"/>
      <c r="AU166" s="100"/>
      <c r="AV166" s="238"/>
      <c r="AW166" s="258"/>
      <c r="AX166" s="258"/>
      <c r="AY166" s="258"/>
      <c r="AZ166" s="54"/>
      <c r="BA166" s="45"/>
      <c r="BB166" s="54"/>
      <c r="BC166" s="54"/>
    </row>
    <row r="167" spans="1:55">
      <c r="A167" s="45"/>
      <c r="B167" s="1992"/>
      <c r="C167" s="3752" t="s">
        <v>1033</v>
      </c>
      <c r="D167" s="3752"/>
      <c r="E167" s="3752"/>
      <c r="F167" s="3752"/>
      <c r="G167" s="3752"/>
      <c r="H167" s="3752"/>
      <c r="I167" s="3752"/>
      <c r="J167" s="3752"/>
      <c r="K167" s="3752"/>
      <c r="L167" s="3752"/>
      <c r="M167" s="3752"/>
      <c r="N167" s="2530"/>
      <c r="O167" s="261"/>
      <c r="P167" s="261"/>
      <c r="Q167" s="261"/>
      <c r="R167" s="54"/>
      <c r="S167" s="259"/>
      <c r="T167" s="3752" t="s">
        <v>1033</v>
      </c>
      <c r="U167" s="3752"/>
      <c r="V167" s="3752"/>
      <c r="W167" s="3752"/>
      <c r="X167" s="3752"/>
      <c r="Y167" s="3752"/>
      <c r="Z167" s="3752"/>
      <c r="AA167" s="3752"/>
      <c r="AB167" s="3752"/>
      <c r="AC167" s="3752"/>
      <c r="AD167" s="3752"/>
      <c r="AE167" s="260"/>
      <c r="AF167" s="45"/>
      <c r="AG167" s="45"/>
      <c r="AH167" s="45"/>
      <c r="AI167" s="45"/>
      <c r="AJ167" s="259"/>
      <c r="AK167" s="3752" t="s">
        <v>1033</v>
      </c>
      <c r="AL167" s="3752"/>
      <c r="AM167" s="3752"/>
      <c r="AN167" s="3752"/>
      <c r="AO167" s="3752"/>
      <c r="AP167" s="3752"/>
      <c r="AQ167" s="3752"/>
      <c r="AR167" s="3752"/>
      <c r="AS167" s="3752"/>
      <c r="AT167" s="3752"/>
      <c r="AU167" s="3752"/>
      <c r="AV167" s="260"/>
      <c r="AW167" s="261"/>
      <c r="AX167" s="261"/>
      <c r="AY167" s="261"/>
      <c r="AZ167" s="54"/>
      <c r="BA167" s="45"/>
      <c r="BB167" s="54"/>
      <c r="BC167" s="54"/>
    </row>
    <row r="168" spans="1:55" ht="15.75">
      <c r="A168" s="45"/>
      <c r="B168" s="1992"/>
      <c r="C168" s="2349" t="str">
        <f>"Country: " &amp;UPPER(Country)</f>
        <v>Country: LITHUANIA</v>
      </c>
      <c r="D168" s="2480"/>
      <c r="E168" s="2353"/>
      <c r="F168" s="2445"/>
      <c r="G168" s="2445"/>
      <c r="H168" s="2351"/>
      <c r="I168" s="2351"/>
      <c r="J168" s="2351"/>
      <c r="K168" s="2351"/>
      <c r="L168" s="2351"/>
      <c r="M168" s="2351"/>
      <c r="N168" s="2452"/>
      <c r="O168" s="258"/>
      <c r="P168" s="258"/>
      <c r="Q168" s="258"/>
      <c r="R168" s="54"/>
      <c r="S168" s="259"/>
      <c r="T168" s="63" t="str">
        <f>"Country: " &amp;UPPER(Country)</f>
        <v>Country: LITHUANIA</v>
      </c>
      <c r="U168" s="222"/>
      <c r="V168" s="67"/>
      <c r="W168" s="1"/>
      <c r="X168" s="2006" t="s">
        <v>390</v>
      </c>
      <c r="Y168" s="65"/>
      <c r="Z168" s="65"/>
      <c r="AA168" s="65"/>
      <c r="AB168" s="65"/>
      <c r="AC168" s="65"/>
      <c r="AD168" s="65"/>
      <c r="AE168" s="196"/>
      <c r="AF168" s="45"/>
      <c r="AG168" s="45"/>
      <c r="AH168" s="45"/>
      <c r="AI168" s="45"/>
      <c r="AJ168" s="259"/>
      <c r="AK168" s="63" t="str">
        <f>"Country: " &amp;UPPER(Country)</f>
        <v>Country: LITHUANIA</v>
      </c>
      <c r="AL168" s="222"/>
      <c r="AM168" s="67"/>
      <c r="AN168" s="1"/>
      <c r="AO168" s="1"/>
      <c r="AP168" s="65"/>
      <c r="AQ168" s="65"/>
      <c r="AR168" s="65"/>
      <c r="AS168" s="65"/>
      <c r="AT168" s="65"/>
      <c r="AU168" s="65"/>
      <c r="AV168" s="196"/>
      <c r="AW168" s="258"/>
      <c r="AX168" s="258"/>
      <c r="AY168" s="258"/>
      <c r="AZ168" s="54"/>
      <c r="BA168" s="45"/>
      <c r="BB168" s="54"/>
      <c r="BC168" s="54"/>
    </row>
    <row r="169" spans="1:55" ht="15.75">
      <c r="A169" s="45"/>
      <c r="B169" s="1992"/>
      <c r="C169" s="2349" t="str">
        <f>"Currency unit: " &amp; Currency</f>
        <v>Currency unit: bn EUR</v>
      </c>
      <c r="D169" s="2480"/>
      <c r="E169" s="2351"/>
      <c r="F169" s="2351"/>
      <c r="G169" s="2351"/>
      <c r="H169" s="2351"/>
      <c r="I169" s="2351"/>
      <c r="J169" s="2351"/>
      <c r="K169" s="2351"/>
      <c r="L169" s="2351"/>
      <c r="M169" s="2351"/>
      <c r="N169" s="2452"/>
      <c r="O169" s="258"/>
      <c r="P169" s="258"/>
      <c r="Q169" s="258"/>
      <c r="R169" s="54"/>
      <c r="S169" s="259"/>
      <c r="T169" s="63" t="str">
        <f>"Currency unit: " &amp; Currency</f>
        <v>Currency unit: bn EUR</v>
      </c>
      <c r="U169" s="222"/>
      <c r="V169" s="65"/>
      <c r="W169" s="65"/>
      <c r="X169" s="2006" t="str">
        <f>$T$4</f>
        <v>2nd storage</v>
      </c>
      <c r="Y169" s="65"/>
      <c r="Z169" s="65"/>
      <c r="AA169" s="65"/>
      <c r="AB169" s="65"/>
      <c r="AC169" s="65"/>
      <c r="AD169" s="65"/>
      <c r="AE169" s="196"/>
      <c r="AF169" s="45"/>
      <c r="AG169" s="45"/>
      <c r="AH169" s="45"/>
      <c r="AI169" s="45"/>
      <c r="AJ169" s="259"/>
      <c r="AK169" s="63" t="str">
        <f>"Currency unit: " &amp; Currency</f>
        <v>Currency unit: bn EUR</v>
      </c>
      <c r="AL169" s="222"/>
      <c r="AM169" s="65"/>
      <c r="AN169" s="65"/>
      <c r="AO169" s="65"/>
      <c r="AP169" s="65"/>
      <c r="AQ169" s="65"/>
      <c r="AR169" s="65"/>
      <c r="AS169" s="65"/>
      <c r="AT169" s="65"/>
      <c r="AU169" s="65"/>
      <c r="AV169" s="196"/>
      <c r="AW169" s="258"/>
      <c r="AX169" s="258"/>
      <c r="AY169" s="258"/>
      <c r="AZ169" s="54"/>
      <c r="BA169" s="45"/>
      <c r="BB169" s="54"/>
      <c r="BC169" s="54"/>
    </row>
    <row r="170" spans="1:55" ht="13.5" thickBot="1">
      <c r="A170" s="45"/>
      <c r="B170" s="1992"/>
      <c r="C170" s="2355" t="s">
        <v>297</v>
      </c>
      <c r="D170" s="2355"/>
      <c r="E170" s="2351"/>
      <c r="F170" s="2351"/>
      <c r="G170" s="2351"/>
      <c r="H170" s="2351"/>
      <c r="I170" s="2351"/>
      <c r="J170" s="2351"/>
      <c r="K170" s="2351"/>
      <c r="L170" s="3790">
        <f ca="1">NOW()</f>
        <v>43335.58773900463</v>
      </c>
      <c r="M170" s="3790"/>
      <c r="N170" s="2403"/>
      <c r="O170" s="139"/>
      <c r="P170" s="54"/>
      <c r="Q170" s="54"/>
      <c r="R170" s="54"/>
      <c r="S170" s="259"/>
      <c r="T170" s="69" t="s">
        <v>297</v>
      </c>
      <c r="U170" s="69"/>
      <c r="V170" s="65"/>
      <c r="W170" s="65"/>
      <c r="X170" s="65"/>
      <c r="Y170" s="65"/>
      <c r="Z170" s="65"/>
      <c r="AA170" s="65"/>
      <c r="AB170" s="65"/>
      <c r="AC170" s="3752">
        <f ca="1">NOW()</f>
        <v>43335.58773900463</v>
      </c>
      <c r="AD170" s="3752"/>
      <c r="AE170" s="138"/>
      <c r="AF170" s="45"/>
      <c r="AG170" s="45"/>
      <c r="AH170" s="45"/>
      <c r="AI170" s="45"/>
      <c r="AJ170" s="259"/>
      <c r="AK170" s="69" t="s">
        <v>297</v>
      </c>
      <c r="AL170" s="69"/>
      <c r="AM170" s="65"/>
      <c r="AN170" s="65"/>
      <c r="AO170" s="65"/>
      <c r="AP170" s="65"/>
      <c r="AQ170" s="65"/>
      <c r="AR170" s="65"/>
      <c r="AS170" s="65"/>
      <c r="AT170" s="3752">
        <f ca="1">NOW()</f>
        <v>43335.58773900463</v>
      </c>
      <c r="AU170" s="3752"/>
      <c r="AV170" s="138"/>
      <c r="AW170" s="139"/>
      <c r="AX170" s="54"/>
      <c r="AY170" s="54"/>
      <c r="AZ170" s="54"/>
      <c r="BA170" s="45"/>
      <c r="BB170" s="54"/>
      <c r="BC170" s="54"/>
    </row>
    <row r="171" spans="1:55">
      <c r="A171" s="45"/>
      <c r="B171" s="1992"/>
      <c r="C171" s="2357"/>
      <c r="D171" s="2358"/>
      <c r="E171" s="2531"/>
      <c r="F171" s="2358"/>
      <c r="G171" s="2532"/>
      <c r="H171" s="2533" t="s">
        <v>1168</v>
      </c>
      <c r="I171" s="2534"/>
      <c r="J171" s="2534"/>
      <c r="K171" s="2534"/>
      <c r="L171" s="2534"/>
      <c r="M171" s="2535"/>
      <c r="N171" s="2363"/>
      <c r="O171" s="147"/>
      <c r="P171" s="54"/>
      <c r="Q171" s="54"/>
      <c r="R171" s="54"/>
      <c r="S171" s="259"/>
      <c r="T171" s="191"/>
      <c r="U171" s="73"/>
      <c r="V171" s="262"/>
      <c r="W171" s="73"/>
      <c r="X171" s="263"/>
      <c r="Y171" s="264" t="s">
        <v>1168</v>
      </c>
      <c r="Z171" s="265"/>
      <c r="AA171" s="265"/>
      <c r="AB171" s="265"/>
      <c r="AC171" s="265"/>
      <c r="AD171" s="266"/>
      <c r="AE171" s="267"/>
      <c r="AF171" s="45"/>
      <c r="AG171" s="45"/>
      <c r="AH171" s="45"/>
      <c r="AI171" s="45"/>
      <c r="AJ171" s="259"/>
      <c r="AK171" s="191"/>
      <c r="AL171" s="73"/>
      <c r="AM171" s="262"/>
      <c r="AN171" s="73"/>
      <c r="AO171" s="263"/>
      <c r="AP171" s="264" t="s">
        <v>1168</v>
      </c>
      <c r="AQ171" s="265"/>
      <c r="AR171" s="265"/>
      <c r="AS171" s="265"/>
      <c r="AT171" s="265"/>
      <c r="AU171" s="266"/>
      <c r="AV171" s="267"/>
      <c r="AW171" s="147"/>
      <c r="AX171" s="54"/>
      <c r="AY171" s="54"/>
      <c r="AZ171" s="54"/>
      <c r="BA171" s="45"/>
      <c r="BB171" s="54"/>
      <c r="BC171" s="54"/>
    </row>
    <row r="172" spans="1:55">
      <c r="A172" s="45"/>
      <c r="B172" s="1992"/>
      <c r="C172" s="1666"/>
      <c r="D172" s="2351"/>
      <c r="E172" s="2406" t="s">
        <v>297</v>
      </c>
      <c r="F172" s="3752">
        <f>E16</f>
        <v>2016</v>
      </c>
      <c r="G172" s="3752"/>
      <c r="H172" s="3752">
        <f>F172+1</f>
        <v>2017</v>
      </c>
      <c r="I172" s="3752"/>
      <c r="J172" s="3752">
        <f>H172+1</f>
        <v>2018</v>
      </c>
      <c r="K172" s="3752"/>
      <c r="L172" s="3752">
        <f>J172+1</f>
        <v>2019</v>
      </c>
      <c r="M172" s="3752"/>
      <c r="N172" s="2447"/>
      <c r="O172" s="228"/>
      <c r="P172" s="54"/>
      <c r="Q172" s="54"/>
      <c r="R172" s="54"/>
      <c r="S172" s="259"/>
      <c r="T172" s="40"/>
      <c r="U172" s="65"/>
      <c r="V172" s="146" t="s">
        <v>297</v>
      </c>
      <c r="W172" s="3752">
        <f>Last_forecast_year - 3</f>
        <v>2016</v>
      </c>
      <c r="X172" s="3752"/>
      <c r="Y172" s="3752">
        <f>W172+1</f>
        <v>2017</v>
      </c>
      <c r="Z172" s="3752"/>
      <c r="AA172" s="3752">
        <f>Y172+1</f>
        <v>2018</v>
      </c>
      <c r="AB172" s="3752"/>
      <c r="AC172" s="3752">
        <f>AA172+1</f>
        <v>2019</v>
      </c>
      <c r="AD172" s="3752"/>
      <c r="AE172" s="192"/>
      <c r="AF172" s="45"/>
      <c r="AG172" s="45"/>
      <c r="AH172" s="45"/>
      <c r="AI172" s="45"/>
      <c r="AJ172" s="259"/>
      <c r="AK172" s="40"/>
      <c r="AL172" s="65"/>
      <c r="AM172" s="146" t="s">
        <v>297</v>
      </c>
      <c r="AN172" s="3752">
        <f>Last_forecast_year - 3</f>
        <v>2016</v>
      </c>
      <c r="AO172" s="3752"/>
      <c r="AP172" s="3752">
        <f>AN172+1</f>
        <v>2017</v>
      </c>
      <c r="AQ172" s="3752"/>
      <c r="AR172" s="3752">
        <f>AP172+1</f>
        <v>2018</v>
      </c>
      <c r="AS172" s="3752"/>
      <c r="AT172" s="3752">
        <f>AR172+1</f>
        <v>2019</v>
      </c>
      <c r="AU172" s="3752"/>
      <c r="AV172" s="192"/>
      <c r="AW172" s="228"/>
      <c r="AX172" s="54"/>
      <c r="AY172" s="54"/>
      <c r="AZ172" s="54"/>
      <c r="BA172" s="45"/>
      <c r="BB172" s="54"/>
      <c r="BC172" s="54"/>
    </row>
    <row r="173" spans="1:55">
      <c r="A173" s="45"/>
      <c r="B173" s="2536"/>
      <c r="C173" s="1666"/>
      <c r="D173" s="2351"/>
      <c r="E173" s="2537" t="s">
        <v>1770</v>
      </c>
      <c r="F173" s="2537" t="s">
        <v>1169</v>
      </c>
      <c r="G173" s="2538" t="s">
        <v>1170</v>
      </c>
      <c r="H173" s="2539" t="s">
        <v>1169</v>
      </c>
      <c r="I173" s="2538" t="s">
        <v>1170</v>
      </c>
      <c r="J173" s="2539" t="s">
        <v>1169</v>
      </c>
      <c r="K173" s="2538" t="s">
        <v>1170</v>
      </c>
      <c r="L173" s="2539" t="s">
        <v>1169</v>
      </c>
      <c r="M173" s="2540" t="s">
        <v>1170</v>
      </c>
      <c r="N173" s="2541"/>
      <c r="O173" s="178"/>
      <c r="P173" s="54"/>
      <c r="Q173" s="54"/>
      <c r="R173" s="54"/>
      <c r="S173" s="268"/>
      <c r="T173" s="40"/>
      <c r="U173" s="65"/>
      <c r="V173" s="269" t="s">
        <v>1770</v>
      </c>
      <c r="W173" s="269" t="s">
        <v>1169</v>
      </c>
      <c r="X173" s="270" t="s">
        <v>1170</v>
      </c>
      <c r="Y173" s="271" t="s">
        <v>1169</v>
      </c>
      <c r="Z173" s="270" t="s">
        <v>1170</v>
      </c>
      <c r="AA173" s="271" t="s">
        <v>1169</v>
      </c>
      <c r="AB173" s="270" t="s">
        <v>1170</v>
      </c>
      <c r="AC173" s="271" t="s">
        <v>1169</v>
      </c>
      <c r="AD173" s="272" t="s">
        <v>1170</v>
      </c>
      <c r="AE173" s="273"/>
      <c r="AF173" s="45"/>
      <c r="AG173" s="45"/>
      <c r="AH173" s="45"/>
      <c r="AI173" s="45"/>
      <c r="AJ173" s="268"/>
      <c r="AK173" s="40"/>
      <c r="AL173" s="65"/>
      <c r="AM173" s="269" t="s">
        <v>1770</v>
      </c>
      <c r="AN173" s="269" t="s">
        <v>1169</v>
      </c>
      <c r="AO173" s="270" t="s">
        <v>1170</v>
      </c>
      <c r="AP173" s="271" t="s">
        <v>1169</v>
      </c>
      <c r="AQ173" s="270" t="s">
        <v>1170</v>
      </c>
      <c r="AR173" s="271" t="s">
        <v>1169</v>
      </c>
      <c r="AS173" s="270" t="s">
        <v>1170</v>
      </c>
      <c r="AT173" s="271" t="s">
        <v>1169</v>
      </c>
      <c r="AU173" s="272" t="s">
        <v>1170</v>
      </c>
      <c r="AV173" s="273"/>
      <c r="AW173" s="178"/>
      <c r="AX173" s="54"/>
      <c r="AY173" s="54"/>
      <c r="AZ173" s="54"/>
      <c r="BA173" s="45"/>
      <c r="BB173" s="54"/>
      <c r="BC173" s="54"/>
    </row>
    <row r="174" spans="1:55">
      <c r="A174" s="45"/>
      <c r="B174" s="2542"/>
      <c r="C174" s="2384" t="s">
        <v>648</v>
      </c>
      <c r="D174" s="2343"/>
      <c r="E174" s="2422" t="s">
        <v>649</v>
      </c>
      <c r="F174" s="2376">
        <f ca="1">Transfer!D136</f>
        <v>24.863340000000001</v>
      </c>
      <c r="G174" s="2376">
        <f ca="1">100*((Transfer!D136/Transfer!C136)-1)</f>
        <v>5.9202577870326012</v>
      </c>
      <c r="H174" s="2366">
        <f ca="1">Transfer!E136</f>
        <v>26.80039</v>
      </c>
      <c r="I174" s="2376">
        <f ca="1">100*((Transfer!E136/Transfer!D136)-1)</f>
        <v>7.790787561124124</v>
      </c>
      <c r="J174" s="2366">
        <f ca="1">Transfer!F136</f>
        <v>28.459602144899996</v>
      </c>
      <c r="K174" s="2376">
        <f ca="1">100*((Transfer!F136/Transfer!E136)-1)</f>
        <v>6.190999999999991</v>
      </c>
      <c r="L174" s="2366">
        <f ca="1">Transfer!G136</f>
        <v>30.045541934026691</v>
      </c>
      <c r="M174" s="2378">
        <f ca="1">100*((Transfer!G136/Transfer!F136)-1)</f>
        <v>5.5725999999999942</v>
      </c>
      <c r="N174" s="2368"/>
      <c r="O174" s="150"/>
      <c r="P174" s="54"/>
      <c r="Q174" s="54"/>
      <c r="R174" s="54"/>
      <c r="S174" s="274"/>
      <c r="T174" s="148" t="s">
        <v>648</v>
      </c>
      <c r="U174" s="57"/>
      <c r="V174" s="152" t="s">
        <v>649</v>
      </c>
      <c r="W174" s="2081">
        <f t="shared" ref="W174:AD201" ca="1" si="12">ROUND(F174,1)-ROUND(AN174,1)</f>
        <v>-47.1</v>
      </c>
      <c r="X174" s="2081">
        <f t="shared" ca="1" si="12"/>
        <v>-1.2999999999999998</v>
      </c>
      <c r="Y174" s="2081">
        <f t="shared" ca="1" si="12"/>
        <v>-49.2</v>
      </c>
      <c r="Z174" s="2081">
        <f t="shared" ca="1" si="12"/>
        <v>2.2000000000000002</v>
      </c>
      <c r="AA174" s="2081">
        <f t="shared" ca="1" si="12"/>
        <v>-52</v>
      </c>
      <c r="AB174" s="2081">
        <f t="shared" ca="1" si="12"/>
        <v>0.29999999999999982</v>
      </c>
      <c r="AC174" s="2081">
        <f t="shared" ca="1" si="12"/>
        <v>-56.099999999999994</v>
      </c>
      <c r="AD174" s="2082">
        <f t="shared" ca="1" si="12"/>
        <v>-1.3000000000000007</v>
      </c>
      <c r="AE174" s="82"/>
      <c r="AF174" s="45"/>
      <c r="AG174" s="45"/>
      <c r="AH174" s="45"/>
      <c r="AI174" s="45"/>
      <c r="AJ174" s="274"/>
      <c r="AK174" s="148" t="s">
        <v>648</v>
      </c>
      <c r="AL174" s="57"/>
      <c r="AM174" s="152" t="s">
        <v>649</v>
      </c>
      <c r="AN174" s="91">
        <f>Transfer!AD136</f>
        <v>71.978759999999994</v>
      </c>
      <c r="AO174" s="91">
        <f>100*((Transfer!AD136/Transfer!AC136)-1)</f>
        <v>7.2009031362538334</v>
      </c>
      <c r="AP174" s="80">
        <f>Transfer!AE136</f>
        <v>76.03496519033915</v>
      </c>
      <c r="AQ174" s="91">
        <f>100*((Transfer!AE136/Transfer!AD136)-1)</f>
        <v>5.6352807277301853</v>
      </c>
      <c r="AR174" s="80">
        <f>Transfer!AF136</f>
        <v>80.520172139383774</v>
      </c>
      <c r="AS174" s="91">
        <f>100*((Transfer!AF136/Transfer!AE136)-1)</f>
        <v>5.8988742058561527</v>
      </c>
      <c r="AT174" s="80">
        <f>Transfer!AG136</f>
        <v>86.094320925131726</v>
      </c>
      <c r="AU174" s="93">
        <f>100*((Transfer!AG136/Transfer!AF136)-1)</f>
        <v>6.9226737072778155</v>
      </c>
      <c r="AV174" s="82"/>
      <c r="AW174" s="150"/>
      <c r="AX174" s="54"/>
      <c r="AY174" s="54"/>
      <c r="AZ174" s="54"/>
      <c r="BA174" s="1706" t="s">
        <v>954</v>
      </c>
      <c r="BB174" s="54"/>
      <c r="BC174" s="54"/>
    </row>
    <row r="175" spans="1:55">
      <c r="A175" s="45"/>
      <c r="B175" s="2542"/>
      <c r="C175" s="1666" t="s">
        <v>1834</v>
      </c>
      <c r="D175" s="2351"/>
      <c r="E175" s="2422" t="s">
        <v>649</v>
      </c>
      <c r="F175" s="2376">
        <f ca="1">Transfer!D137</f>
        <v>6.63687</v>
      </c>
      <c r="G175" s="2376">
        <f ca="1">100*((Transfer!D137/Transfer!C137)-1)</f>
        <v>3.2370111234341969</v>
      </c>
      <c r="H175" s="2377">
        <f ca="1">Transfer!E137</f>
        <v>6.9080500000000002</v>
      </c>
      <c r="I175" s="2376">
        <f ca="1">100*((Transfer!E137/Transfer!D137)-1)</f>
        <v>4.0859622080890556</v>
      </c>
      <c r="J175" s="2377">
        <f ca="1">Transfer!F137</f>
        <v>7.2979828955879995</v>
      </c>
      <c r="K175" s="2376">
        <f ca="1">100*((Transfer!F137/Transfer!E137)-1)</f>
        <v>5.6446159999999912</v>
      </c>
      <c r="L175" s="2377">
        <f ca="1">Transfer!G137</f>
        <v>7.6726989950392293</v>
      </c>
      <c r="M175" s="2378">
        <f ca="1">100*((Transfer!G137/Transfer!F137)-1)</f>
        <v>5.1345160000000112</v>
      </c>
      <c r="N175" s="2368"/>
      <c r="O175" s="150"/>
      <c r="P175" s="54"/>
      <c r="Q175" s="54"/>
      <c r="R175" s="54"/>
      <c r="S175" s="274"/>
      <c r="T175" s="40" t="s">
        <v>1834</v>
      </c>
      <c r="U175" s="65"/>
      <c r="V175" s="152" t="s">
        <v>649</v>
      </c>
      <c r="W175" s="2081">
        <f t="shared" ca="1" si="12"/>
        <v>-13.4</v>
      </c>
      <c r="X175" s="2081">
        <f t="shared" ca="1" si="12"/>
        <v>2.9000000000000004</v>
      </c>
      <c r="Y175" s="2081">
        <f t="shared" ca="1" si="12"/>
        <v>-13.700000000000001</v>
      </c>
      <c r="Z175" s="2081">
        <f t="shared" ca="1" si="12"/>
        <v>1.1999999999999997</v>
      </c>
      <c r="AA175" s="2081">
        <f t="shared" ca="1" si="12"/>
        <v>-14</v>
      </c>
      <c r="AB175" s="2081">
        <f t="shared" ca="1" si="12"/>
        <v>2.0999999999999996</v>
      </c>
      <c r="AC175" s="2081">
        <f t="shared" ca="1" si="12"/>
        <v>-14.400000000000002</v>
      </c>
      <c r="AD175" s="2083">
        <f t="shared" ca="1" si="12"/>
        <v>1.5999999999999996</v>
      </c>
      <c r="AE175" s="82"/>
      <c r="AF175" s="45"/>
      <c r="AG175" s="45"/>
      <c r="AH175" s="45"/>
      <c r="AI175" s="45"/>
      <c r="AJ175" s="274"/>
      <c r="AK175" s="40" t="s">
        <v>1834</v>
      </c>
      <c r="AL175" s="65"/>
      <c r="AM175" s="152" t="s">
        <v>649</v>
      </c>
      <c r="AN175" s="91">
        <f>Transfer!AD137</f>
        <v>19.99691</v>
      </c>
      <c r="AO175" s="91">
        <f>100*((Transfer!AD137/Transfer!AC137)-1)</f>
        <v>0.29209571149932945</v>
      </c>
      <c r="AP175" s="92">
        <f>Transfer!AE137</f>
        <v>20.5810197411</v>
      </c>
      <c r="AQ175" s="91">
        <f>100*((Transfer!AE137/Transfer!AD137)-1)</f>
        <v>2.9209999999999958</v>
      </c>
      <c r="AR175" s="92">
        <f>Transfer!AF137</f>
        <v>21.307612062039794</v>
      </c>
      <c r="AS175" s="91">
        <f>100*((Transfer!AF137/Transfer!AE137)-1)</f>
        <v>3.5304000000000002</v>
      </c>
      <c r="AT175" s="92">
        <f>Transfer!AG137</f>
        <v>22.059855998278046</v>
      </c>
      <c r="AU175" s="93">
        <f>100*((Transfer!AG137/Transfer!AF137)-1)</f>
        <v>3.5304000000000002</v>
      </c>
      <c r="AV175" s="82"/>
      <c r="AW175" s="150"/>
      <c r="AX175" s="54"/>
      <c r="AY175" s="54"/>
      <c r="AZ175" s="54"/>
      <c r="BA175" s="1707" t="s">
        <v>955</v>
      </c>
      <c r="BB175" s="54"/>
      <c r="BC175" s="54"/>
    </row>
    <row r="176" spans="1:55">
      <c r="A176" s="45"/>
      <c r="B176" s="1673"/>
      <c r="C176" s="1666" t="s">
        <v>973</v>
      </c>
      <c r="D176" s="2351"/>
      <c r="E176" s="2422" t="s">
        <v>1836</v>
      </c>
      <c r="F176" s="2376">
        <f ca="1">Transfer!D138</f>
        <v>7.3141999999999996</v>
      </c>
      <c r="G176" s="2376">
        <f ca="1">100*((Transfer!D138/Transfer!C138)-1)</f>
        <v>-0.15043916769735821</v>
      </c>
      <c r="H176" s="2377">
        <f ca="1">Transfer!E138</f>
        <v>7.8803900000000002</v>
      </c>
      <c r="I176" s="2376">
        <f ca="1">100*((Transfer!E138/Transfer!D138)-1)</f>
        <v>7.7409696207377587</v>
      </c>
      <c r="J176" s="2377">
        <f ca="1">Transfer!F138</f>
        <v>8.6125183729499977</v>
      </c>
      <c r="K176" s="2376">
        <f ca="1">100*((Transfer!F138/Transfer!E138)-1)</f>
        <v>9.2905093903981495</v>
      </c>
      <c r="L176" s="2377">
        <f ca="1">Transfer!G138</f>
        <v>9.1844008740182197</v>
      </c>
      <c r="M176" s="2378">
        <f ca="1">100*((Transfer!G138/Transfer!F138)-1)</f>
        <v>6.6401309849669188</v>
      </c>
      <c r="N176" s="2368"/>
      <c r="O176" s="150"/>
      <c r="P176" s="54"/>
      <c r="Q176" s="54"/>
      <c r="R176" s="54"/>
      <c r="S176" s="275"/>
      <c r="T176" s="40" t="s">
        <v>973</v>
      </c>
      <c r="U176" s="65"/>
      <c r="V176" s="152" t="s">
        <v>1836</v>
      </c>
      <c r="W176" s="2081">
        <f t="shared" ca="1" si="12"/>
        <v>-11.599999999999998</v>
      </c>
      <c r="X176" s="2081">
        <f t="shared" ca="1" si="12"/>
        <v>1.5</v>
      </c>
      <c r="Y176" s="2081">
        <f t="shared" ca="1" si="12"/>
        <v>-12.4</v>
      </c>
      <c r="Z176" s="2081">
        <f t="shared" ca="1" si="12"/>
        <v>0.29999999999999982</v>
      </c>
      <c r="AA176" s="2081">
        <f t="shared" ca="1" si="12"/>
        <v>-13.9</v>
      </c>
      <c r="AB176" s="2081">
        <f t="shared" ca="1" si="12"/>
        <v>-1.2999999999999989</v>
      </c>
      <c r="AC176" s="2081">
        <f t="shared" ca="1" si="12"/>
        <v>-15.900000000000002</v>
      </c>
      <c r="AD176" s="2083">
        <f t="shared" ca="1" si="12"/>
        <v>-5.0999999999999996</v>
      </c>
      <c r="AE176" s="82"/>
      <c r="AF176" s="45"/>
      <c r="AG176" s="45"/>
      <c r="AH176" s="45"/>
      <c r="AI176" s="45"/>
      <c r="AJ176" s="275"/>
      <c r="AK176" s="40" t="s">
        <v>973</v>
      </c>
      <c r="AL176" s="65"/>
      <c r="AM176" s="152" t="s">
        <v>1836</v>
      </c>
      <c r="AN176" s="91">
        <f>Transfer!AD138</f>
        <v>18.93384</v>
      </c>
      <c r="AO176" s="91">
        <f>100*((Transfer!AD138/Transfer!AC138)-1)</f>
        <v>-1.7455440288403623</v>
      </c>
      <c r="AP176" s="92">
        <f>Transfer!AE138</f>
        <v>20.327986784549996</v>
      </c>
      <c r="AQ176" s="91">
        <f>100*((Transfer!AE138/Transfer!AD138)-1)</f>
        <v>7.3632542820156743</v>
      </c>
      <c r="AR176" s="92">
        <f>Transfer!AF138</f>
        <v>22.482029028966686</v>
      </c>
      <c r="AS176" s="91">
        <f>100*((Transfer!AF138/Transfer!AE138)-1)</f>
        <v>10.596436662649932</v>
      </c>
      <c r="AT176" s="92">
        <f>Transfer!AG138</f>
        <v>25.119582686416322</v>
      </c>
      <c r="AU176" s="93">
        <f>100*((Transfer!AG138/Transfer!AF138)-1)</f>
        <v>11.731831028468619</v>
      </c>
      <c r="AV176" s="82"/>
      <c r="AW176" s="150"/>
      <c r="AX176" s="54"/>
      <c r="AY176" s="54"/>
      <c r="AZ176" s="54"/>
      <c r="BA176" s="1707" t="s">
        <v>956</v>
      </c>
      <c r="BB176" s="54"/>
      <c r="BC176" s="54"/>
    </row>
    <row r="177" spans="1:55">
      <c r="A177" s="45"/>
      <c r="B177" s="2543"/>
      <c r="C177" s="2544" t="s">
        <v>1859</v>
      </c>
      <c r="D177" s="2545"/>
      <c r="E177" s="2546"/>
      <c r="F177" s="2381">
        <f ca="1">SUM(Transfer!D136,Transfer!D137,Transfer!D138)</f>
        <v>38.814410000000002</v>
      </c>
      <c r="G177" s="2381">
        <f ca="1">100*((SUM(Transfer!D136,Transfer!D137,Transfer!D138)/SUM(Transfer!C136,Transfer!C137,Transfer!C138))-1)</f>
        <v>4.2623717921339788</v>
      </c>
      <c r="H177" s="2382">
        <f ca="1">SUM(Transfer!E136,Transfer!E137,Transfer!E138)</f>
        <v>41.588830000000002</v>
      </c>
      <c r="I177" s="2381">
        <f ca="1">100*((SUM(Transfer!E136,Transfer!E137,Transfer!E138)/SUM(Transfer!D136,Transfer!D137,Transfer!D138))-1)</f>
        <v>7.1479123346200435</v>
      </c>
      <c r="J177" s="2382">
        <f ca="1">SUM(Transfer!F136,Transfer!F137,Transfer!F138)</f>
        <v>44.370103413437995</v>
      </c>
      <c r="K177" s="2381">
        <f ca="1">100*((SUM(Transfer!F136,Transfer!F137,Transfer!F138)/SUM(Transfer!E136,Transfer!E137,Transfer!E138))-1)</f>
        <v>6.6875490689158434</v>
      </c>
      <c r="L177" s="2382">
        <f ca="1">SUM(Transfer!G136,Transfer!G137,Transfer!G138)</f>
        <v>46.902641803084137</v>
      </c>
      <c r="M177" s="2383">
        <f ca="1">100*((SUM(Transfer!G136,Transfer!G137,Transfer!G138)/SUM(Transfer!F136,Transfer!F137,Transfer!F138))-1)</f>
        <v>5.7077585915184859</v>
      </c>
      <c r="N177" s="2368"/>
      <c r="O177" s="150"/>
      <c r="P177" s="54"/>
      <c r="Q177" s="54"/>
      <c r="R177" s="54"/>
      <c r="S177" s="276"/>
      <c r="T177" s="154" t="s">
        <v>1859</v>
      </c>
      <c r="U177" s="277"/>
      <c r="V177" s="155"/>
      <c r="W177" s="2084">
        <f t="shared" ca="1" si="12"/>
        <v>-72.100000000000009</v>
      </c>
      <c r="X177" s="2084">
        <f t="shared" ca="1" si="12"/>
        <v>0</v>
      </c>
      <c r="Y177" s="2084">
        <f t="shared" ca="1" si="12"/>
        <v>-75.300000000000011</v>
      </c>
      <c r="Z177" s="2084">
        <f t="shared" ca="1" si="12"/>
        <v>1.6999999999999993</v>
      </c>
      <c r="AA177" s="2084">
        <f t="shared" ca="1" si="12"/>
        <v>-79.900000000000006</v>
      </c>
      <c r="AB177" s="2084">
        <f t="shared" ca="1" si="12"/>
        <v>0.40000000000000036</v>
      </c>
      <c r="AC177" s="2084">
        <f t="shared" ca="1" si="12"/>
        <v>-86.4</v>
      </c>
      <c r="AD177" s="2085">
        <f t="shared" ca="1" si="12"/>
        <v>-1.5</v>
      </c>
      <c r="AE177" s="82"/>
      <c r="AF177" s="45"/>
      <c r="AG177" s="45"/>
      <c r="AH177" s="45"/>
      <c r="AI177" s="45"/>
      <c r="AJ177" s="276"/>
      <c r="AK177" s="154" t="s">
        <v>1859</v>
      </c>
      <c r="AL177" s="277"/>
      <c r="AM177" s="155"/>
      <c r="AN177" s="96">
        <f>SUM(Transfer!AD136,Transfer!AD137,Transfer!AD138)</f>
        <v>110.90951</v>
      </c>
      <c r="AO177" s="96">
        <f>100*((SUM(Transfer!AD136,Transfer!AD137,Transfer!AD138)/SUM(Transfer!AC136,Transfer!AC137,Transfer!AC138))-1)</f>
        <v>4.2846404998915011</v>
      </c>
      <c r="AP177" s="97">
        <f>SUM(Transfer!AE136,Transfer!AE137,Transfer!AE138)</f>
        <v>116.94397171598915</v>
      </c>
      <c r="AQ177" s="96">
        <f>100*((SUM(Transfer!AE136,Transfer!AE137,Transfer!AE138)/SUM(Transfer!AD136,Transfer!AD137,Transfer!AD138))-1)</f>
        <v>5.440887545161055</v>
      </c>
      <c r="AR177" s="97">
        <f>SUM(Transfer!AF136,Transfer!AF137,Transfer!AF138)</f>
        <v>124.30981323039026</v>
      </c>
      <c r="AS177" s="96">
        <f>100*((SUM(Transfer!AF136,Transfer!AF137,Transfer!AF138)/SUM(Transfer!AE136,Transfer!AE137,Transfer!AE138))-1)</f>
        <v>6.2986072786118896</v>
      </c>
      <c r="AT177" s="97">
        <f>SUM(Transfer!AG136,Transfer!AG137,Transfer!AG138)</f>
        <v>133.2737596098261</v>
      </c>
      <c r="AU177" s="98">
        <f>100*((SUM(Transfer!AG136,Transfer!AG137,Transfer!AG138)/SUM(Transfer!AF136,Transfer!AF137,Transfer!AF138))-1)</f>
        <v>7.2109724457734226</v>
      </c>
      <c r="AV177" s="82"/>
      <c r="AW177" s="150"/>
      <c r="AX177" s="54"/>
      <c r="AY177" s="54"/>
      <c r="AZ177" s="54"/>
      <c r="BA177" s="1707" t="s">
        <v>957</v>
      </c>
      <c r="BB177" s="54"/>
      <c r="BC177" s="54"/>
    </row>
    <row r="178" spans="1:55">
      <c r="A178" s="45"/>
      <c r="B178" s="2543"/>
      <c r="C178" s="2384" t="s">
        <v>1658</v>
      </c>
      <c r="D178" s="2343"/>
      <c r="E178" s="2547" t="s">
        <v>1837</v>
      </c>
      <c r="F178" s="2365">
        <f ca="1">100*Transfer!D142/Transfer!D147</f>
        <v>-1.6705664999151759</v>
      </c>
      <c r="G178" s="2548"/>
      <c r="H178" s="2365">
        <f ca="1">100*Transfer!E142/Transfer!E147</f>
        <v>-1.5461614734745484</v>
      </c>
      <c r="I178" s="2548"/>
      <c r="J178" s="2365">
        <f ca="1">100*Transfer!F142/Transfer!F147</f>
        <v>-1.46111112847475</v>
      </c>
      <c r="K178" s="2548"/>
      <c r="L178" s="2549">
        <f ca="1">100*Transfer!G142/Transfer!G147</f>
        <v>-1.3839586544883216</v>
      </c>
      <c r="M178" s="2550"/>
      <c r="N178" s="2551"/>
      <c r="O178" s="150"/>
      <c r="P178" s="54"/>
      <c r="Q178" s="54"/>
      <c r="R178" s="54"/>
      <c r="S178" s="276"/>
      <c r="T178" s="148" t="s">
        <v>1658</v>
      </c>
      <c r="U178" s="57"/>
      <c r="V178" s="149" t="s">
        <v>1837</v>
      </c>
      <c r="W178" s="2081">
        <f t="shared" ca="1" si="12"/>
        <v>-3.4</v>
      </c>
      <c r="X178" s="2086">
        <f t="shared" si="12"/>
        <v>0</v>
      </c>
      <c r="Y178" s="2081">
        <f t="shared" ca="1" si="12"/>
        <v>-3.1</v>
      </c>
      <c r="Z178" s="2086">
        <f t="shared" si="12"/>
        <v>0</v>
      </c>
      <c r="AA178" s="2081">
        <f t="shared" ca="1" si="12"/>
        <v>-3</v>
      </c>
      <c r="AB178" s="2086">
        <f t="shared" si="12"/>
        <v>0</v>
      </c>
      <c r="AC178" s="2081">
        <f t="shared" ca="1" si="12"/>
        <v>-2.8</v>
      </c>
      <c r="AD178" s="2083">
        <f t="shared" si="12"/>
        <v>0</v>
      </c>
      <c r="AE178" s="281"/>
      <c r="AF178" s="45"/>
      <c r="AG178" s="45"/>
      <c r="AH178" s="45"/>
      <c r="AI178" s="45"/>
      <c r="AJ178" s="276"/>
      <c r="AK178" s="148" t="s">
        <v>1658</v>
      </c>
      <c r="AL178" s="57"/>
      <c r="AM178" s="149" t="s">
        <v>1837</v>
      </c>
      <c r="AN178" s="79">
        <f>100*Transfer!AD142/Transfer!AD147</f>
        <v>1.6650767092189103</v>
      </c>
      <c r="AO178" s="278"/>
      <c r="AP178" s="79">
        <f>100*Transfer!AE142/Transfer!AE147</f>
        <v>1.577618923432176</v>
      </c>
      <c r="AQ178" s="278"/>
      <c r="AR178" s="79">
        <f>100*Transfer!AF142/Transfer!AF147</f>
        <v>1.4861093578004434</v>
      </c>
      <c r="AS178" s="278"/>
      <c r="AT178" s="279">
        <f>100*Transfer!AG142/Transfer!AG147</f>
        <v>1.3914563401243982</v>
      </c>
      <c r="AU178" s="280"/>
      <c r="AV178" s="281"/>
      <c r="AW178" s="150"/>
      <c r="AX178" s="54"/>
      <c r="AY178" s="54"/>
      <c r="AZ178" s="54"/>
      <c r="BA178" s="1707" t="s">
        <v>1190</v>
      </c>
      <c r="BB178" s="54"/>
      <c r="BC178" s="54"/>
    </row>
    <row r="179" spans="1:55">
      <c r="A179" s="45"/>
      <c r="B179" s="1673"/>
      <c r="C179" s="2463" t="s">
        <v>1243</v>
      </c>
      <c r="D179" s="2351"/>
      <c r="E179" s="2546"/>
      <c r="F179" s="2552">
        <f ca="1">SUM(Transfer!D136,Transfer!D137,Transfer!D138,Transfer!D142)</f>
        <v>38.168430000000001</v>
      </c>
      <c r="G179" s="2552">
        <f ca="1">100*((SUM(Transfer!D136,Transfer!D137,Transfer!D138,Transfer!D142)/SUM(Transfer!C136,Transfer!C137,Transfer!C138,Transfer!C142))-1)</f>
        <v>1.4953159194917909</v>
      </c>
      <c r="H179" s="2553">
        <f ca="1">SUM(Transfer!E136,Transfer!E137,Transfer!E138,Transfer!E142)</f>
        <v>40.94285</v>
      </c>
      <c r="I179" s="2552">
        <f ca="1">100*((SUM(Transfer!E136,Transfer!E137,Transfer!E138,Transfer!E142)/SUM(Transfer!D136,Transfer!D137,Transfer!D138,Transfer!D142))-1)</f>
        <v>7.2688868785014238</v>
      </c>
      <c r="J179" s="2552">
        <f ca="1">SUM(Transfer!F136,Transfer!F137,Transfer!F138,Transfer!F142)</f>
        <v>43.724123413437994</v>
      </c>
      <c r="K179" s="2552">
        <f ca="1">100*((SUM(Transfer!F136,Transfer!F137,Transfer!F138,Transfer!F142)/SUM(Transfer!E136,Transfer!E137,Transfer!E138,Transfer!E142))-1)</f>
        <v>6.7930625577799164</v>
      </c>
      <c r="L179" s="2552">
        <f ca="1">SUM(Transfer!G136,Transfer!G137,Transfer!G138,Transfer!G142)</f>
        <v>46.256661803084135</v>
      </c>
      <c r="M179" s="2554">
        <f ca="1">100*((SUM(Transfer!G136,Transfer!G137,Transfer!G138,Transfer!G142)/SUM(Transfer!F136,Transfer!F137,Transfer!F138,Transfer!F142))-1)</f>
        <v>5.7920849909315786</v>
      </c>
      <c r="N179" s="2372"/>
      <c r="O179" s="157"/>
      <c r="P179" s="54"/>
      <c r="Q179" s="54"/>
      <c r="R179" s="54"/>
      <c r="S179" s="275"/>
      <c r="T179" s="206" t="s">
        <v>1243</v>
      </c>
      <c r="U179" s="65"/>
      <c r="V179" s="155"/>
      <c r="W179" s="2084">
        <f t="shared" ca="1" si="12"/>
        <v>-74.599999999999994</v>
      </c>
      <c r="X179" s="2084">
        <f t="shared" ca="1" si="12"/>
        <v>-1.2000000000000002</v>
      </c>
      <c r="Y179" s="2084">
        <f t="shared" ca="1" si="12"/>
        <v>-77.900000000000006</v>
      </c>
      <c r="Z179" s="2084">
        <f t="shared" ca="1" si="12"/>
        <v>2</v>
      </c>
      <c r="AA179" s="2084">
        <f t="shared" ca="1" si="12"/>
        <v>-82.5</v>
      </c>
      <c r="AB179" s="2084">
        <f t="shared" ca="1" si="12"/>
        <v>0.59999999999999964</v>
      </c>
      <c r="AC179" s="2084">
        <f t="shared" ca="1" si="12"/>
        <v>-88.899999999999991</v>
      </c>
      <c r="AD179" s="2085">
        <f t="shared" ca="1" si="12"/>
        <v>-1.2999999999999998</v>
      </c>
      <c r="AE179" s="85"/>
      <c r="AF179" s="45"/>
      <c r="AG179" s="45"/>
      <c r="AH179" s="45"/>
      <c r="AI179" s="45"/>
      <c r="AJ179" s="275"/>
      <c r="AK179" s="206" t="s">
        <v>1243</v>
      </c>
      <c r="AL179" s="65"/>
      <c r="AM179" s="155"/>
      <c r="AN179" s="156">
        <f>SUM(Transfer!AD136,Transfer!AD137,Transfer!AD138,Transfer!AD142)</f>
        <v>112.80328</v>
      </c>
      <c r="AO179" s="156">
        <f>100*((SUM(Transfer!AD136,Transfer!AD137,Transfer!AD138,Transfer!AD142)/SUM(Transfer!AC136,Transfer!AC137,Transfer!AC138,Transfer!AC142))-1)</f>
        <v>2.7331599245589144</v>
      </c>
      <c r="AP179" s="282">
        <f>SUM(Transfer!AE136,Transfer!AE137,Transfer!AE138,Transfer!AE142)</f>
        <v>118.83774171598915</v>
      </c>
      <c r="AQ179" s="156">
        <f>100*((SUM(Transfer!AE136,Transfer!AE137,Transfer!AE138,Transfer!AE142)/SUM(Transfer!AD136,Transfer!AD137,Transfer!AD138,Transfer!AD142))-1)</f>
        <v>5.3495445486950066</v>
      </c>
      <c r="AR179" s="156">
        <f>SUM(Transfer!AF136,Transfer!AF137,Transfer!AF138,Transfer!AF142)</f>
        <v>126.20358323039027</v>
      </c>
      <c r="AS179" s="156">
        <f>100*((SUM(Transfer!AF136,Transfer!AF137,Transfer!AF138,Transfer!AF142)/SUM(Transfer!AE136,Transfer!AE137,Transfer!AE138,Transfer!AE142))-1)</f>
        <v>6.1982341704243771</v>
      </c>
      <c r="AT179" s="156">
        <f>SUM(Transfer!AG136,Transfer!AG137,Transfer!AG138,Transfer!AG142)</f>
        <v>135.16752960982609</v>
      </c>
      <c r="AU179" s="283">
        <f>100*((SUM(Transfer!AG136,Transfer!AG137,Transfer!AG138,Transfer!AG142)/SUM(Transfer!AF136,Transfer!AF137,Transfer!AF138,Transfer!AF142))-1)</f>
        <v>7.1027669341778843</v>
      </c>
      <c r="AV179" s="85"/>
      <c r="AW179" s="157"/>
      <c r="AX179" s="54"/>
      <c r="AY179" s="54"/>
      <c r="AZ179" s="54"/>
      <c r="BA179" s="1707" t="s">
        <v>958</v>
      </c>
      <c r="BB179" s="54"/>
      <c r="BC179" s="54"/>
    </row>
    <row r="180" spans="1:55">
      <c r="A180" s="45"/>
      <c r="B180" s="2543"/>
      <c r="C180" s="2384" t="s">
        <v>490</v>
      </c>
      <c r="D180" s="2343"/>
      <c r="E180" s="2422" t="s">
        <v>491</v>
      </c>
      <c r="F180" s="2376">
        <f ca="1">SUM(Transfer!D143,Transfer!D144)</f>
        <v>28.78913</v>
      </c>
      <c r="G180" s="2376">
        <f ca="1">100*((SUM(Transfer!D143,Transfer!D144)/SUM(Transfer!C143,Transfer!C144))-1)</f>
        <v>1.4303199502803787</v>
      </c>
      <c r="H180" s="2366">
        <f ca="1">SUM(Transfer!E143,Transfer!E144)</f>
        <v>34.033090000000001</v>
      </c>
      <c r="I180" s="2376">
        <f ca="1">100*((SUM(Transfer!E143,Transfer!E144)/SUM(Transfer!D143,Transfer!D144))-1)</f>
        <v>18.215069368195568</v>
      </c>
      <c r="J180" s="2366">
        <f ca="1">SUM(Transfer!F143,Transfer!F144)</f>
        <v>36.754030068569996</v>
      </c>
      <c r="K180" s="2376">
        <f ca="1">100*((SUM(Transfer!F143,Transfer!F144)/SUM(Transfer!E143,Transfer!E144))-1)</f>
        <v>7.9949839070445616</v>
      </c>
      <c r="L180" s="2366">
        <f ca="1">SUM(Transfer!G143,Transfer!G144)</f>
        <v>39.157296745208775</v>
      </c>
      <c r="M180" s="2378">
        <f ca="1">100*((SUM(Transfer!G143,Transfer!G144)/SUM(Transfer!F143,Transfer!F144))-1)</f>
        <v>6.5387841065459584</v>
      </c>
      <c r="N180" s="2368"/>
      <c r="O180" s="150"/>
      <c r="P180" s="54"/>
      <c r="Q180" s="54"/>
      <c r="R180" s="54"/>
      <c r="S180" s="276"/>
      <c r="T180" s="148" t="s">
        <v>490</v>
      </c>
      <c r="U180" s="57"/>
      <c r="V180" s="152" t="s">
        <v>491</v>
      </c>
      <c r="W180" s="2081">
        <f t="shared" ca="1" si="12"/>
        <v>-66.7</v>
      </c>
      <c r="X180" s="2081">
        <f t="shared" ca="1" si="12"/>
        <v>-14.299999999999999</v>
      </c>
      <c r="Y180" s="2081">
        <f t="shared" ca="1" si="12"/>
        <v>-67.400000000000006</v>
      </c>
      <c r="Z180" s="2081">
        <f t="shared" ca="1" si="12"/>
        <v>12</v>
      </c>
      <c r="AA180" s="2081">
        <f t="shared" ca="1" si="12"/>
        <v>-73.2</v>
      </c>
      <c r="AB180" s="2081">
        <f t="shared" ca="1" si="12"/>
        <v>-0.40000000000000036</v>
      </c>
      <c r="AC180" s="2081">
        <f t="shared" ca="1" si="12"/>
        <v>-81.099999999999994</v>
      </c>
      <c r="AD180" s="2083">
        <f t="shared" ca="1" si="12"/>
        <v>-2.9000000000000004</v>
      </c>
      <c r="AE180" s="82"/>
      <c r="AF180" s="45"/>
      <c r="AG180" s="45"/>
      <c r="AH180" s="45"/>
      <c r="AI180" s="45"/>
      <c r="AJ180" s="276"/>
      <c r="AK180" s="148" t="s">
        <v>490</v>
      </c>
      <c r="AL180" s="57"/>
      <c r="AM180" s="152" t="s">
        <v>491</v>
      </c>
      <c r="AN180" s="91">
        <f>SUM(Transfer!AD143,Transfer!AD144)</f>
        <v>95.468720000000005</v>
      </c>
      <c r="AO180" s="91">
        <f>100*((SUM(Transfer!AD143,Transfer!AD144)/SUM(Transfer!AC143,Transfer!AC144))-1)</f>
        <v>15.650956928496186</v>
      </c>
      <c r="AP180" s="80">
        <f>SUM(Transfer!AE143,Transfer!AE144)</f>
        <v>101.40266917392003</v>
      </c>
      <c r="AQ180" s="91">
        <f>100*((SUM(Transfer!AE143,Transfer!AE144)/SUM(Transfer!AD143,Transfer!AD144))-1)</f>
        <v>6.2155951959134148</v>
      </c>
      <c r="AR180" s="80">
        <f>SUM(Transfer!AF143,Transfer!AF144)</f>
        <v>109.9619903975223</v>
      </c>
      <c r="AS180" s="91">
        <f>100*((SUM(Transfer!AF143,Transfer!AF144)/SUM(Transfer!AE143,Transfer!AE144))-1)</f>
        <v>8.4409229987051138</v>
      </c>
      <c r="AT180" s="80">
        <f>SUM(Transfer!AG143,Transfer!AG144)</f>
        <v>120.25234236435765</v>
      </c>
      <c r="AU180" s="93">
        <f>100*((SUM(Transfer!AG143,Transfer!AG144)/SUM(Transfer!AF143,Transfer!AF144))-1)</f>
        <v>9.358099039163271</v>
      </c>
      <c r="AV180" s="82"/>
      <c r="AW180" s="150"/>
      <c r="AX180" s="54"/>
      <c r="AY180" s="54"/>
      <c r="AZ180" s="54"/>
      <c r="BA180" s="1707" t="s">
        <v>959</v>
      </c>
      <c r="BB180" s="54"/>
      <c r="BC180" s="54"/>
    </row>
    <row r="181" spans="1:55">
      <c r="A181" s="45"/>
      <c r="B181" s="2543"/>
      <c r="C181" s="2373" t="s">
        <v>1199</v>
      </c>
      <c r="D181" s="2351"/>
      <c r="E181" s="2422" t="s">
        <v>2068</v>
      </c>
      <c r="F181" s="2376">
        <f ca="1">Transfer!D143</f>
        <v>21.92191</v>
      </c>
      <c r="G181" s="2376">
        <f ca="1">100*((Transfer!D143/Transfer!C143)-1)</f>
        <v>-1.7368471302890875</v>
      </c>
      <c r="H181" s="2377">
        <f ca="1">Transfer!E143</f>
        <v>25.75292</v>
      </c>
      <c r="I181" s="2376">
        <f ca="1">100*((Transfer!E143/Transfer!D143)-1)</f>
        <v>17.475712654599885</v>
      </c>
      <c r="J181" s="2377">
        <f ca="1">Transfer!F143</f>
        <v>27.715189492319997</v>
      </c>
      <c r="K181" s="2376">
        <f ca="1">100*((Transfer!F143/Transfer!E143)-1)</f>
        <v>7.619599999999993</v>
      </c>
      <c r="L181" s="2377">
        <f ca="1">Transfer!G143</f>
        <v>29.51335098658172</v>
      </c>
      <c r="M181" s="2378">
        <f ca="1">100*((Transfer!G143/Transfer!F143)-1)</f>
        <v>6.4880000000000049</v>
      </c>
      <c r="N181" s="2368"/>
      <c r="O181" s="150"/>
      <c r="P181" s="54"/>
      <c r="Q181" s="54"/>
      <c r="R181" s="54"/>
      <c r="S181" s="276"/>
      <c r="T181" s="86" t="s">
        <v>1199</v>
      </c>
      <c r="U181" s="65"/>
      <c r="V181" s="152" t="s">
        <v>2068</v>
      </c>
      <c r="W181" s="2081">
        <f t="shared" ca="1" si="12"/>
        <v>-57.699999999999996</v>
      </c>
      <c r="X181" s="2081">
        <f t="shared" ca="1" si="12"/>
        <v>-16.100000000000001</v>
      </c>
      <c r="Y181" s="2081">
        <f t="shared" ca="1" si="12"/>
        <v>-58.7</v>
      </c>
      <c r="Z181" s="2081">
        <f t="shared" ca="1" si="12"/>
        <v>11.3</v>
      </c>
      <c r="AA181" s="2081">
        <f t="shared" ca="1" si="12"/>
        <v>-64</v>
      </c>
      <c r="AB181" s="2081">
        <f t="shared" ca="1" si="12"/>
        <v>-0.90000000000000036</v>
      </c>
      <c r="AC181" s="2081">
        <f t="shared" ca="1" si="12"/>
        <v>-70.900000000000006</v>
      </c>
      <c r="AD181" s="2083">
        <f t="shared" ca="1" si="12"/>
        <v>-3</v>
      </c>
      <c r="AE181" s="82"/>
      <c r="AF181" s="45"/>
      <c r="AG181" s="45"/>
      <c r="AH181" s="45"/>
      <c r="AI181" s="45"/>
      <c r="AJ181" s="276"/>
      <c r="AK181" s="86" t="s">
        <v>1199</v>
      </c>
      <c r="AL181" s="65"/>
      <c r="AM181" s="152" t="s">
        <v>2068</v>
      </c>
      <c r="AN181" s="91">
        <f>Transfer!AD143</f>
        <v>79.578500000000005</v>
      </c>
      <c r="AO181" s="91">
        <f>100*((Transfer!AD143/Transfer!AC143)-1)</f>
        <v>14.374984549456427</v>
      </c>
      <c r="AP181" s="92">
        <f>Transfer!AE143</f>
        <v>84.521916420000025</v>
      </c>
      <c r="AQ181" s="91">
        <f>100*((Transfer!AE143/Transfer!AD143)-1)</f>
        <v>6.2120000000000175</v>
      </c>
      <c r="AR181" s="92">
        <f>Transfer!AF143</f>
        <v>91.709237582774705</v>
      </c>
      <c r="AS181" s="91">
        <f>100*((Transfer!AF143/Transfer!AE143)-1)</f>
        <v>8.5034999999999741</v>
      </c>
      <c r="AT181" s="92">
        <f>Transfer!AG143</f>
        <v>100.38144650707704</v>
      </c>
      <c r="AU181" s="93">
        <f>100*((Transfer!AG143/Transfer!AF143)-1)</f>
        <v>9.4562000000000026</v>
      </c>
      <c r="AV181" s="82"/>
      <c r="AW181" s="150"/>
      <c r="AX181" s="54"/>
      <c r="AY181" s="54"/>
      <c r="AZ181" s="54"/>
      <c r="BA181" s="1707" t="s">
        <v>196</v>
      </c>
      <c r="BB181" s="54"/>
      <c r="BC181" s="54"/>
    </row>
    <row r="182" spans="1:55">
      <c r="A182" s="45"/>
      <c r="B182" s="2543"/>
      <c r="C182" s="2373" t="s">
        <v>437</v>
      </c>
      <c r="D182" s="2351"/>
      <c r="E182" s="2422" t="s">
        <v>468</v>
      </c>
      <c r="F182" s="2376">
        <f ca="1">Transfer!D144</f>
        <v>6.8672200000000005</v>
      </c>
      <c r="G182" s="2376">
        <f ca="1">100*((Transfer!D144/Transfer!C144)-1)</f>
        <v>13.063550315537142</v>
      </c>
      <c r="H182" s="2377">
        <f ca="1">Transfer!E144</f>
        <v>8.28017</v>
      </c>
      <c r="I182" s="2376">
        <f ca="1">100*((Transfer!E144/Transfer!D144)-1)</f>
        <v>20.575283739271487</v>
      </c>
      <c r="J182" s="2377">
        <f ca="1">Transfer!F144</f>
        <v>9.0388405762499993</v>
      </c>
      <c r="K182" s="2376">
        <f ca="1">100*((Transfer!F144/Transfer!E144)-1)</f>
        <v>9.1624999999999837</v>
      </c>
      <c r="L182" s="2377">
        <f ca="1">Transfer!G144</f>
        <v>9.6439457586270549</v>
      </c>
      <c r="M182" s="2378">
        <f ca="1">100*((Transfer!G144/Transfer!F144)-1)</f>
        <v>6.6945000000000032</v>
      </c>
      <c r="N182" s="2368"/>
      <c r="O182" s="150"/>
      <c r="P182" s="54"/>
      <c r="Q182" s="54"/>
      <c r="R182" s="54"/>
      <c r="S182" s="276"/>
      <c r="T182" s="86" t="s">
        <v>437</v>
      </c>
      <c r="U182" s="65"/>
      <c r="V182" s="152" t="s">
        <v>468</v>
      </c>
      <c r="W182" s="2081">
        <f t="shared" ca="1" si="12"/>
        <v>-9</v>
      </c>
      <c r="X182" s="2081">
        <f t="shared" ca="1" si="12"/>
        <v>-9.4</v>
      </c>
      <c r="Y182" s="2081">
        <f t="shared" ca="1" si="12"/>
        <v>-8.5999999999999979</v>
      </c>
      <c r="Z182" s="2081">
        <f t="shared" ca="1" si="12"/>
        <v>14.400000000000002</v>
      </c>
      <c r="AA182" s="2081">
        <f t="shared" ca="1" si="12"/>
        <v>-9.3000000000000007</v>
      </c>
      <c r="AB182" s="2081">
        <f t="shared" ca="1" si="12"/>
        <v>1.0999999999999996</v>
      </c>
      <c r="AC182" s="2081">
        <f t="shared" ca="1" si="12"/>
        <v>-10.299999999999999</v>
      </c>
      <c r="AD182" s="2083">
        <f t="shared" ca="1" si="12"/>
        <v>-2.2000000000000002</v>
      </c>
      <c r="AE182" s="82"/>
      <c r="AF182" s="45"/>
      <c r="AG182" s="45"/>
      <c r="AH182" s="45"/>
      <c r="AI182" s="45"/>
      <c r="AJ182" s="276"/>
      <c r="AK182" s="86" t="s">
        <v>437</v>
      </c>
      <c r="AL182" s="65"/>
      <c r="AM182" s="152" t="s">
        <v>468</v>
      </c>
      <c r="AN182" s="91">
        <f>Transfer!AD144</f>
        <v>15.890219999999999</v>
      </c>
      <c r="AO182" s="91">
        <f>100*((Transfer!AD144/Transfer!AC144)-1)</f>
        <v>22.494694411189474</v>
      </c>
      <c r="AP182" s="92">
        <f>Transfer!AE144</f>
        <v>16.88075275392</v>
      </c>
      <c r="AQ182" s="91">
        <f>100*((Transfer!AE144/Transfer!AD144)-1)</f>
        <v>6.2335999999999947</v>
      </c>
      <c r="AR182" s="92">
        <f>Transfer!AF144</f>
        <v>18.252752814747602</v>
      </c>
      <c r="AS182" s="91">
        <f>100*((Transfer!AF144/Transfer!AE144)-1)</f>
        <v>8.1276000000000117</v>
      </c>
      <c r="AT182" s="92">
        <f>Transfer!AG144</f>
        <v>19.870895857280608</v>
      </c>
      <c r="AU182" s="93">
        <f>100*((Transfer!AG144/Transfer!AF144)-1)</f>
        <v>8.8652000000000175</v>
      </c>
      <c r="AV182" s="82"/>
      <c r="AW182" s="150"/>
      <c r="AX182" s="54"/>
      <c r="AY182" s="54"/>
      <c r="AZ182" s="54"/>
      <c r="BA182" s="1707" t="s">
        <v>2125</v>
      </c>
      <c r="BB182" s="54"/>
      <c r="BC182" s="54"/>
    </row>
    <row r="183" spans="1:55">
      <c r="A183" s="45"/>
      <c r="B183" s="1673"/>
      <c r="C183" s="2555" t="s">
        <v>438</v>
      </c>
      <c r="D183" s="2480"/>
      <c r="E183" s="2539"/>
      <c r="F183" s="2552">
        <f ca="1">SUM(Transfer!D136,Transfer!D137,Transfer!D138,Transfer!D142,Transfer!D143,Transfer!D144)</f>
        <v>66.957560000000001</v>
      </c>
      <c r="G183" s="2552">
        <f ca="1">100*((SUM(Transfer!D136,Transfer!D137,Transfer!D138,Transfer!D142,Transfer!D143,Transfer!D144)/SUM(Transfer!C136,Transfer!C137,Transfer!C138,Transfer!C142,Transfer!C143,Transfer!C144))-1)</f>
        <v>1.4673599916107616</v>
      </c>
      <c r="H183" s="2552">
        <f ca="1">SUM(Transfer!E136,Transfer!E137,Transfer!E138,Transfer!E142,Transfer!E143,Transfer!E144)</f>
        <v>74.975939999999994</v>
      </c>
      <c r="I183" s="2552">
        <f ca="1">100*((SUM(Transfer!E136,Transfer!E137,Transfer!E138,Transfer!E142,Transfer!E143,Transfer!E144)/SUM(Transfer!D136,Transfer!D137,Transfer!D138,Transfer!D142,Transfer!D143,Transfer!D144))-1)</f>
        <v>11.975316902228794</v>
      </c>
      <c r="J183" s="2552">
        <f ca="1">SUM(Transfer!F136,Transfer!F137,Transfer!F138,Transfer!F142,Transfer!F143,Transfer!F144)</f>
        <v>80.478153482007983</v>
      </c>
      <c r="K183" s="2552">
        <f ca="1">100*((SUM(Transfer!F136,Transfer!F137,Transfer!F138,Transfer!F142,Transfer!F143,Transfer!F144)/SUM(Transfer!E136,Transfer!E137,Transfer!E138,Transfer!E142,Transfer!E143,Transfer!E144))-1)</f>
        <v>7.338638878029391</v>
      </c>
      <c r="L183" s="2552">
        <f ca="1">SUM(Transfer!G136,Transfer!G137,Transfer!G138,Transfer!G142,Transfer!G143,Transfer!G144)</f>
        <v>85.413958548292911</v>
      </c>
      <c r="M183" s="2554">
        <f ca="1">100*((SUM(Transfer!G136,Transfer!G137,Transfer!G138,Transfer!G142,Transfer!G143,Transfer!G144)/SUM(Transfer!F136,Transfer!F137,Transfer!F138,Transfer!F142,Transfer!F143,Transfer!F144))-1)</f>
        <v>6.1330992980453969</v>
      </c>
      <c r="N183" s="2372"/>
      <c r="O183" s="157"/>
      <c r="P183" s="54"/>
      <c r="Q183" s="54"/>
      <c r="R183" s="54"/>
      <c r="S183" s="275"/>
      <c r="T183" s="1679" t="s">
        <v>438</v>
      </c>
      <c r="U183" s="124"/>
      <c r="V183" s="284"/>
      <c r="W183" s="2084">
        <f t="shared" ca="1" si="12"/>
        <v>-141.30000000000001</v>
      </c>
      <c r="X183" s="2084">
        <f t="shared" ca="1" si="12"/>
        <v>-6.8000000000000007</v>
      </c>
      <c r="Y183" s="2084">
        <f t="shared" ca="1" si="12"/>
        <v>-145.19999999999999</v>
      </c>
      <c r="Z183" s="2084">
        <f t="shared" ca="1" si="12"/>
        <v>6.3</v>
      </c>
      <c r="AA183" s="2084">
        <f t="shared" ca="1" si="12"/>
        <v>-155.69999999999999</v>
      </c>
      <c r="AB183" s="2084">
        <f t="shared" ca="1" si="12"/>
        <v>9.9999999999999645E-2</v>
      </c>
      <c r="AC183" s="2084">
        <f t="shared" ca="1" si="12"/>
        <v>-170</v>
      </c>
      <c r="AD183" s="2085">
        <f t="shared" ca="1" si="12"/>
        <v>-2.0999999999999996</v>
      </c>
      <c r="AE183" s="85"/>
      <c r="AF183" s="45"/>
      <c r="AG183" s="45"/>
      <c r="AH183" s="45"/>
      <c r="AI183" s="45"/>
      <c r="AJ183" s="275"/>
      <c r="AK183" s="1679" t="s">
        <v>438</v>
      </c>
      <c r="AL183" s="124"/>
      <c r="AM183" s="284"/>
      <c r="AN183" s="156">
        <f>SUM(Transfer!AD136,Transfer!AD137,Transfer!AD138,Transfer!AD142,Transfer!AD143,Transfer!AD144)</f>
        <v>208.27199999999999</v>
      </c>
      <c r="AO183" s="156">
        <f>100*((SUM(Transfer!AD136,Transfer!AD137,Transfer!AD138,Transfer!AD142,Transfer!AD143,Transfer!AD144)/SUM(Transfer!AC136,Transfer!AC137,Transfer!AC138,Transfer!AC142,Transfer!AC143,Transfer!AC144))-1)</f>
        <v>8.276932166065798</v>
      </c>
      <c r="AP183" s="156">
        <f>SUM(Transfer!AE136,Transfer!AE137,Transfer!AE138,Transfer!AE142,Transfer!AE143,Transfer!AE144)</f>
        <v>220.24041088990919</v>
      </c>
      <c r="AQ183" s="156">
        <f>100*((SUM(Transfer!AE136,Transfer!AE137,Transfer!AE138,Transfer!AE142,Transfer!AE143,Transfer!AE144)/SUM(Transfer!AD136,Transfer!AD137,Transfer!AD138,Transfer!AD142,Transfer!AD143,Transfer!AD144))-1)</f>
        <v>5.7465290052955753</v>
      </c>
      <c r="AR183" s="156">
        <f>SUM(Transfer!AF136,Transfer!AF137,Transfer!AF138,Transfer!AF142,Transfer!AF143,Transfer!AF144)</f>
        <v>236.16557362791255</v>
      </c>
      <c r="AS183" s="156">
        <f>100*((SUM(Transfer!AF136,Transfer!AF137,Transfer!AF138,Transfer!AF142,Transfer!AF143,Transfer!AF144)/SUM(Transfer!AE136,Transfer!AE137,Transfer!AE138,Transfer!AE142,Transfer!AE143,Transfer!AE144))-1)</f>
        <v>7.2308086756902368</v>
      </c>
      <c r="AT183" s="156">
        <f>SUM(Transfer!AG136,Transfer!AG137,Transfer!AG138,Transfer!AG142,Transfer!AG143,Transfer!AG144)</f>
        <v>255.41987197418374</v>
      </c>
      <c r="AU183" s="283">
        <f>100*((SUM(Transfer!AG136,Transfer!AG137,Transfer!AG138,Transfer!AG142,Transfer!AG143,Transfer!AG144)/SUM(Transfer!AF136,Transfer!AF137,Transfer!AF138,Transfer!AF142,Transfer!AF143,Transfer!AF144))-1)</f>
        <v>8.1528810700441277</v>
      </c>
      <c r="AV183" s="85"/>
      <c r="AW183" s="157"/>
      <c r="AX183" s="54"/>
      <c r="AY183" s="54"/>
      <c r="AZ183" s="54"/>
      <c r="BA183" s="1707" t="s">
        <v>2</v>
      </c>
      <c r="BB183" s="54"/>
      <c r="BC183" s="54"/>
    </row>
    <row r="184" spans="1:55">
      <c r="A184" s="45"/>
      <c r="B184" s="2543"/>
      <c r="C184" s="2556" t="s">
        <v>263</v>
      </c>
      <c r="D184" s="2557"/>
      <c r="E184" s="2422" t="s">
        <v>264</v>
      </c>
      <c r="F184" s="2376">
        <f ca="1">SUM(Transfer!D145,Transfer!D146)</f>
        <v>28.28923</v>
      </c>
      <c r="G184" s="2376">
        <f ca="1">100*((SUM(Transfer!D145,Transfer!D146)/SUM(Transfer!C145,Transfer!C146))-1)</f>
        <v>-0.95726411940068035</v>
      </c>
      <c r="H184" s="2366">
        <f ca="1">SUM(Transfer!E145,Transfer!E146)</f>
        <v>33.189959999999999</v>
      </c>
      <c r="I184" s="2376">
        <f ca="1">100*((SUM(Transfer!E145,Transfer!E146)/SUM(Transfer!D145,Transfer!D146))-1)</f>
        <v>17.323659922875233</v>
      </c>
      <c r="J184" s="2366">
        <f ca="1">SUM(Transfer!F145,Transfer!F146)</f>
        <v>36.259617764249995</v>
      </c>
      <c r="K184" s="2376">
        <f ca="1">100*((SUM(Transfer!F145,Transfer!F146)/SUM(Transfer!E145,Transfer!E146))-1)</f>
        <v>9.2487540335993046</v>
      </c>
      <c r="L184" s="2366">
        <f ca="1">SUM(Transfer!G145,Transfer!G146)</f>
        <v>38.73026872054696</v>
      </c>
      <c r="M184" s="2378">
        <f ca="1">100*((SUM(Transfer!G145,Transfer!G146)/SUM(Transfer!F145,Transfer!F146))-1)</f>
        <v>6.8137810286927225</v>
      </c>
      <c r="N184" s="2368"/>
      <c r="O184" s="150"/>
      <c r="P184" s="54"/>
      <c r="Q184" s="54"/>
      <c r="R184" s="54"/>
      <c r="S184" s="276"/>
      <c r="T184" s="285" t="s">
        <v>263</v>
      </c>
      <c r="U184" s="286"/>
      <c r="V184" s="181" t="s">
        <v>264</v>
      </c>
      <c r="W184" s="2081">
        <f t="shared" ca="1" si="12"/>
        <v>-66.2</v>
      </c>
      <c r="X184" s="2081">
        <f t="shared" ca="1" si="12"/>
        <v>-11.6</v>
      </c>
      <c r="Y184" s="2081">
        <f t="shared" ca="1" si="12"/>
        <v>-67</v>
      </c>
      <c r="Z184" s="2081">
        <f t="shared" ca="1" si="12"/>
        <v>11.3</v>
      </c>
      <c r="AA184" s="2081">
        <f t="shared" ca="1" si="12"/>
        <v>-72.400000000000006</v>
      </c>
      <c r="AB184" s="2081">
        <f t="shared" ca="1" si="12"/>
        <v>0.69999999999999929</v>
      </c>
      <c r="AC184" s="2081">
        <f t="shared" ca="1" si="12"/>
        <v>-80.599999999999994</v>
      </c>
      <c r="AD184" s="2083">
        <f t="shared" ca="1" si="12"/>
        <v>-2.8999999999999995</v>
      </c>
      <c r="AE184" s="82"/>
      <c r="AF184" s="45"/>
      <c r="AG184" s="45"/>
      <c r="AH184" s="45"/>
      <c r="AI184" s="45"/>
      <c r="AJ184" s="276"/>
      <c r="AK184" s="285" t="s">
        <v>263</v>
      </c>
      <c r="AL184" s="286"/>
      <c r="AM184" s="181" t="s">
        <v>264</v>
      </c>
      <c r="AN184" s="91">
        <f>SUM(Transfer!AD145,Transfer!AD146)</f>
        <v>94.537289999999999</v>
      </c>
      <c r="AO184" s="91">
        <f>100*((SUM(Transfer!AD145,Transfer!AD146)/SUM(Transfer!AC145,Transfer!AC146))-1)</f>
        <v>10.624517525080513</v>
      </c>
      <c r="AP184" s="80">
        <f>SUM(Transfer!AE145,Transfer!AE146)</f>
        <v>100.20063895044001</v>
      </c>
      <c r="AQ184" s="91">
        <f>100*((SUM(Transfer!AE145,Transfer!AE146)/SUM(Transfer!AD145,Transfer!AD146))-1)</f>
        <v>5.9905979433512613</v>
      </c>
      <c r="AR184" s="80">
        <f>SUM(Transfer!AF145,Transfer!AF146)</f>
        <v>108.73416094817132</v>
      </c>
      <c r="AS184" s="91">
        <f>100*((SUM(Transfer!AF145,Transfer!AF146)/SUM(Transfer!AE145,Transfer!AE146))-1)</f>
        <v>8.5164347125092235</v>
      </c>
      <c r="AT184" s="80">
        <f>SUM(Transfer!AG145,Transfer!AG146)</f>
        <v>119.32001137946844</v>
      </c>
      <c r="AU184" s="93">
        <f>100*((SUM(Transfer!AG145,Transfer!AG146)/SUM(Transfer!AF145,Transfer!AF146))-1)</f>
        <v>9.7355332850206366</v>
      </c>
      <c r="AV184" s="82"/>
      <c r="AW184" s="150"/>
      <c r="AX184" s="54"/>
      <c r="AY184" s="54"/>
      <c r="AZ184" s="54"/>
      <c r="BA184" s="1707" t="s">
        <v>3</v>
      </c>
      <c r="BB184" s="54"/>
      <c r="BC184" s="54"/>
    </row>
    <row r="185" spans="1:55">
      <c r="A185" s="45"/>
      <c r="B185" s="1673"/>
      <c r="C185" s="2558" t="s">
        <v>1325</v>
      </c>
      <c r="D185" s="2349"/>
      <c r="E185" s="2422" t="s">
        <v>1326</v>
      </c>
      <c r="F185" s="2376">
        <f ca="1">Transfer!D145</f>
        <v>23.690349999999999</v>
      </c>
      <c r="G185" s="2376">
        <f ca="1">100*((Transfer!D145/Transfer!C145)-1)</f>
        <v>-2.4939208800688895</v>
      </c>
      <c r="H185" s="2377">
        <f ca="1">Transfer!E145</f>
        <v>27.813869999999998</v>
      </c>
      <c r="I185" s="2376">
        <f ca="1">100*((Transfer!E145/Transfer!D145)-1)</f>
        <v>17.405905780201646</v>
      </c>
      <c r="J185" s="2377">
        <f ca="1">Transfer!F145</f>
        <v>30.362315838749993</v>
      </c>
      <c r="K185" s="2376">
        <f ca="1">100*((Transfer!F145/Transfer!E145)-1)</f>
        <v>9.1624999999999837</v>
      </c>
      <c r="L185" s="2377">
        <f ca="1">Transfer!G145</f>
        <v>32.420273606300469</v>
      </c>
      <c r="M185" s="2378">
        <f ca="1">100*((Transfer!G145/Transfer!F145)-1)</f>
        <v>6.7780000000000173</v>
      </c>
      <c r="N185" s="2368"/>
      <c r="O185" s="150"/>
      <c r="P185" s="54"/>
      <c r="Q185" s="54"/>
      <c r="R185" s="54"/>
      <c r="S185" s="275"/>
      <c r="T185" s="287" t="s">
        <v>1325</v>
      </c>
      <c r="U185" s="130"/>
      <c r="V185" s="181" t="s">
        <v>1326</v>
      </c>
      <c r="W185" s="2081">
        <f t="shared" ca="1" si="12"/>
        <v>-59</v>
      </c>
      <c r="X185" s="2081">
        <f t="shared" ca="1" si="12"/>
        <v>-11.6</v>
      </c>
      <c r="Y185" s="2081">
        <f t="shared" ca="1" si="12"/>
        <v>-59.900000000000006</v>
      </c>
      <c r="Z185" s="2081">
        <f t="shared" ca="1" si="12"/>
        <v>11.399999999999999</v>
      </c>
      <c r="AA185" s="2081">
        <f t="shared" ca="1" si="12"/>
        <v>-64.800000000000011</v>
      </c>
      <c r="AB185" s="2081">
        <f t="shared" ca="1" si="12"/>
        <v>0.59999999999999964</v>
      </c>
      <c r="AC185" s="2081">
        <f t="shared" ca="1" si="12"/>
        <v>-72.199999999999989</v>
      </c>
      <c r="AD185" s="2083">
        <f t="shared" ca="1" si="12"/>
        <v>-3.1000000000000005</v>
      </c>
      <c r="AE185" s="82"/>
      <c r="AF185" s="45"/>
      <c r="AG185" s="45"/>
      <c r="AH185" s="45"/>
      <c r="AI185" s="45"/>
      <c r="AJ185" s="275"/>
      <c r="AK185" s="287" t="s">
        <v>1325</v>
      </c>
      <c r="AL185" s="130"/>
      <c r="AM185" s="181" t="s">
        <v>1326</v>
      </c>
      <c r="AN185" s="91">
        <f>Transfer!AD145</f>
        <v>82.728229999999996</v>
      </c>
      <c r="AO185" s="91">
        <f>100*((Transfer!AD145/Transfer!AC145)-1)</f>
        <v>9.1132698582024663</v>
      </c>
      <c r="AP185" s="92">
        <f>Transfer!AE145</f>
        <v>87.681665499480005</v>
      </c>
      <c r="AQ185" s="91">
        <f>100*((Transfer!AE145/Transfer!AD145)-1)</f>
        <v>5.987600000000004</v>
      </c>
      <c r="AR185" s="92">
        <f>Transfer!AF145</f>
        <v>95.211416205913352</v>
      </c>
      <c r="AS185" s="91">
        <f>100*((Transfer!AF145/Transfer!AE145)-1)</f>
        <v>8.5876000000000055</v>
      </c>
      <c r="AT185" s="92">
        <f>Transfer!AG145</f>
        <v>104.59888099815157</v>
      </c>
      <c r="AU185" s="93">
        <f>100*((Transfer!AG145/Transfer!AF145)-1)</f>
        <v>9.8595999999999897</v>
      </c>
      <c r="AV185" s="82"/>
      <c r="AW185" s="150"/>
      <c r="AX185" s="54"/>
      <c r="AY185" s="54"/>
      <c r="AZ185" s="54"/>
      <c r="BA185" s="1707" t="s">
        <v>197</v>
      </c>
      <c r="BB185" s="54"/>
      <c r="BC185" s="54"/>
    </row>
    <row r="186" spans="1:55">
      <c r="A186" s="45"/>
      <c r="B186" s="1673"/>
      <c r="C186" s="2558" t="s">
        <v>439</v>
      </c>
      <c r="D186" s="2349"/>
      <c r="E186" s="2422" t="s">
        <v>1327</v>
      </c>
      <c r="F186" s="2376">
        <f ca="1">Transfer!D146</f>
        <v>4.5988800000000003</v>
      </c>
      <c r="G186" s="2376">
        <f ca="1">100*((Transfer!D146/Transfer!C146)-1)</f>
        <v>7.7937450338343872</v>
      </c>
      <c r="H186" s="2377">
        <f ca="1">Transfer!E146</f>
        <v>5.3760900000000005</v>
      </c>
      <c r="I186" s="2376">
        <f ca="1">100*((Transfer!E146/Transfer!D146)-1)</f>
        <v>16.899984344014207</v>
      </c>
      <c r="J186" s="2377">
        <f ca="1">Transfer!F146</f>
        <v>5.8973019254999999</v>
      </c>
      <c r="K186" s="2376">
        <f ca="1">100*((Transfer!F146/Transfer!E146)-1)</f>
        <v>9.6949999999999861</v>
      </c>
      <c r="L186" s="2377">
        <f ca="1">Transfer!G146</f>
        <v>6.3099951142464894</v>
      </c>
      <c r="M186" s="2378">
        <f ca="1">100*((Transfer!G146/Transfer!F146)-1)</f>
        <v>6.9979999999999931</v>
      </c>
      <c r="N186" s="2368"/>
      <c r="O186" s="150"/>
      <c r="P186" s="54"/>
      <c r="Q186" s="54"/>
      <c r="R186" s="54"/>
      <c r="S186" s="275"/>
      <c r="T186" s="287" t="s">
        <v>439</v>
      </c>
      <c r="U186" s="130"/>
      <c r="V186" s="181" t="s">
        <v>1327</v>
      </c>
      <c r="W186" s="2081">
        <f t="shared" ca="1" si="12"/>
        <v>-7.2000000000000011</v>
      </c>
      <c r="X186" s="2081">
        <f t="shared" ca="1" si="12"/>
        <v>-14.7</v>
      </c>
      <c r="Y186" s="2081">
        <f t="shared" ca="1" si="12"/>
        <v>-7.1</v>
      </c>
      <c r="Z186" s="2081">
        <f t="shared" ca="1" si="12"/>
        <v>10.899999999999999</v>
      </c>
      <c r="AA186" s="2081">
        <f t="shared" ca="1" si="12"/>
        <v>-7.6</v>
      </c>
      <c r="AB186" s="2081">
        <f t="shared" ca="1" si="12"/>
        <v>1.6999999999999993</v>
      </c>
      <c r="AC186" s="2081">
        <f t="shared" ca="1" si="12"/>
        <v>-8.3999999999999986</v>
      </c>
      <c r="AD186" s="2083">
        <f t="shared" ca="1" si="12"/>
        <v>-1.9000000000000004</v>
      </c>
      <c r="AE186" s="82"/>
      <c r="AF186" s="45"/>
      <c r="AG186" s="45"/>
      <c r="AH186" s="45"/>
      <c r="AI186" s="45"/>
      <c r="AJ186" s="275"/>
      <c r="AK186" s="287" t="s">
        <v>439</v>
      </c>
      <c r="AL186" s="130"/>
      <c r="AM186" s="181" t="s">
        <v>1327</v>
      </c>
      <c r="AN186" s="91">
        <f>Transfer!AD146</f>
        <v>11.809059999999999</v>
      </c>
      <c r="AO186" s="91">
        <f>100*((Transfer!AD146/Transfer!AC146)-1)</f>
        <v>22.511551860435674</v>
      </c>
      <c r="AP186" s="92">
        <f>Transfer!AE146</f>
        <v>12.518973450959999</v>
      </c>
      <c r="AQ186" s="91">
        <f>100*((Transfer!AE146/Transfer!AD146)-1)</f>
        <v>6.0116000000000058</v>
      </c>
      <c r="AR186" s="92">
        <f>Transfer!AF146</f>
        <v>13.52274474225797</v>
      </c>
      <c r="AS186" s="91">
        <f>100*((Transfer!AF146/Transfer!AE146)-1)</f>
        <v>8.0179999999999918</v>
      </c>
      <c r="AT186" s="92">
        <f>Transfer!AG146</f>
        <v>14.72113038131687</v>
      </c>
      <c r="AU186" s="93">
        <f>100*((Transfer!AG146/Transfer!AF146)-1)</f>
        <v>8.8619999999999912</v>
      </c>
      <c r="AV186" s="82"/>
      <c r="AW186" s="150"/>
      <c r="AX186" s="54"/>
      <c r="AY186" s="54"/>
      <c r="AZ186" s="54"/>
      <c r="BA186" s="1707" t="s">
        <v>120</v>
      </c>
      <c r="BB186" s="54"/>
      <c r="BC186" s="54"/>
    </row>
    <row r="187" spans="1:55">
      <c r="A187" s="45"/>
      <c r="B187" s="2543"/>
      <c r="C187" s="2466" t="s">
        <v>440</v>
      </c>
      <c r="D187" s="2467"/>
      <c r="E187" s="2559" t="s">
        <v>1328</v>
      </c>
      <c r="F187" s="2560">
        <f ca="1">Transfer!D147</f>
        <v>38.668320000000001</v>
      </c>
      <c r="G187" s="2560">
        <f ca="1">100*((Transfer!D147/Transfer!C147)-1)</f>
        <v>3.3177196652328211</v>
      </c>
      <c r="H187" s="3301">
        <f ca="1">Transfer!E147</f>
        <v>41.779594892398123</v>
      </c>
      <c r="I187" s="2552">
        <f ca="1">100*((Transfer!E147/Transfer!D147)-1)</f>
        <v>8.0460565455083621</v>
      </c>
      <c r="J187" s="3301">
        <f ca="1">Transfer!F147</f>
        <v>44.211558409957277</v>
      </c>
      <c r="K187" s="2552">
        <f ca="1">100*((Transfer!F147/Transfer!E147)-1)</f>
        <v>5.8209360905068452</v>
      </c>
      <c r="L187" s="3301">
        <f ca="1">Transfer!G147</f>
        <v>46.676249894100508</v>
      </c>
      <c r="M187" s="2554">
        <f ca="1">100*((Transfer!G147/Transfer!F147)-1)</f>
        <v>5.5747672617397104</v>
      </c>
      <c r="N187" s="2372"/>
      <c r="O187" s="157"/>
      <c r="P187" s="54"/>
      <c r="Q187" s="54"/>
      <c r="R187" s="54"/>
      <c r="S187" s="276"/>
      <c r="T187" s="209" t="s">
        <v>440</v>
      </c>
      <c r="U187" s="210"/>
      <c r="V187" s="289" t="s">
        <v>1328</v>
      </c>
      <c r="W187" s="2084">
        <f t="shared" ca="1" si="12"/>
        <v>-75</v>
      </c>
      <c r="X187" s="2084">
        <f t="shared" ca="1" si="12"/>
        <v>-3.1000000000000005</v>
      </c>
      <c r="Y187" s="2084">
        <f t="shared" ca="1" si="12"/>
        <v>-78.2</v>
      </c>
      <c r="Z187" s="2084">
        <f t="shared" ca="1" si="12"/>
        <v>2.5</v>
      </c>
      <c r="AA187" s="2084">
        <f t="shared" ca="1" si="12"/>
        <v>-83.2</v>
      </c>
      <c r="AB187" s="2084">
        <f t="shared" ca="1" si="12"/>
        <v>-0.40000000000000036</v>
      </c>
      <c r="AC187" s="2084">
        <f t="shared" ca="1" si="12"/>
        <v>-89.399999999999991</v>
      </c>
      <c r="AD187" s="2085">
        <f t="shared" ca="1" si="12"/>
        <v>-1.2000000000000002</v>
      </c>
      <c r="AE187" s="85"/>
      <c r="AF187" s="45"/>
      <c r="AG187" s="45"/>
      <c r="AH187" s="45"/>
      <c r="AI187" s="45"/>
      <c r="AJ187" s="276"/>
      <c r="AK187" s="209" t="s">
        <v>440</v>
      </c>
      <c r="AL187" s="210"/>
      <c r="AM187" s="289" t="s">
        <v>1328</v>
      </c>
      <c r="AN187" s="290">
        <f>Transfer!AD147</f>
        <v>113.7347</v>
      </c>
      <c r="AO187" s="290">
        <f>100*((Transfer!AD147/Transfer!AC147)-1)</f>
        <v>6.4001045527502631</v>
      </c>
      <c r="AP187" s="156">
        <f>Transfer!AE147</f>
        <v>120.03976193946914</v>
      </c>
      <c r="AQ187" s="156">
        <f>100*((Transfer!AE147/Transfer!AD147)-1)</f>
        <v>5.5436572474971468</v>
      </c>
      <c r="AR187" s="156">
        <f>Transfer!AF147</f>
        <v>127.43140267974128</v>
      </c>
      <c r="AS187" s="156">
        <f>100*((Transfer!AF147/Transfer!AE147)-1)</f>
        <v>6.1576602792659862</v>
      </c>
      <c r="AT187" s="156">
        <f>Transfer!AG147</f>
        <v>136.09985059471535</v>
      </c>
      <c r="AU187" s="283">
        <f>100*((Transfer!AG147/Transfer!AF147)-1)</f>
        <v>6.8024425162763746</v>
      </c>
      <c r="AV187" s="85"/>
      <c r="AW187" s="157"/>
      <c r="AX187" s="54"/>
      <c r="AY187" s="54"/>
      <c r="AZ187" s="54"/>
      <c r="BA187" s="1707" t="s">
        <v>121</v>
      </c>
      <c r="BB187" s="54"/>
      <c r="BC187" s="54"/>
    </row>
    <row r="188" spans="1:55">
      <c r="A188" s="45"/>
      <c r="B188" s="2561"/>
      <c r="C188" s="2558" t="s">
        <v>106</v>
      </c>
      <c r="D188" s="2349"/>
      <c r="E188" s="2547" t="s">
        <v>122</v>
      </c>
      <c r="F188" s="2365">
        <f ca="1">(SUM(Transfer!D143,Transfer!D144)-SUM(Transfer!D145,Transfer!D146))</f>
        <v>0.49990000000000023</v>
      </c>
      <c r="G188" s="2548"/>
      <c r="H188" s="2365">
        <f ca="1">(SUM(Transfer!E143,Transfer!E144)-SUM(Transfer!E145,Transfer!E146))</f>
        <v>0.84313000000000216</v>
      </c>
      <c r="I188" s="2548"/>
      <c r="J188" s="2365">
        <f ca="1">(SUM(Transfer!F143,Transfer!F144)-SUM(Transfer!F145,Transfer!F146))</f>
        <v>0.49441230432000083</v>
      </c>
      <c r="K188" s="2548"/>
      <c r="L188" s="2365">
        <f ca="1">(SUM(Transfer!G143,Transfer!G144)-SUM(Transfer!G145,Transfer!G146))</f>
        <v>0.42702802466181566</v>
      </c>
      <c r="M188" s="2562"/>
      <c r="N188" s="2551"/>
      <c r="O188" s="150"/>
      <c r="P188" s="54"/>
      <c r="Q188" s="54"/>
      <c r="R188" s="54"/>
      <c r="S188" s="291"/>
      <c r="T188" s="287" t="s">
        <v>106</v>
      </c>
      <c r="U188" s="130"/>
      <c r="V188" s="161" t="s">
        <v>122</v>
      </c>
      <c r="W188" s="2081">
        <f t="shared" ca="1" si="12"/>
        <v>-0.4</v>
      </c>
      <c r="X188" s="2086">
        <f t="shared" si="12"/>
        <v>0</v>
      </c>
      <c r="Y188" s="2081">
        <f t="shared" ca="1" si="12"/>
        <v>-0.39999999999999991</v>
      </c>
      <c r="Z188" s="2086">
        <f t="shared" si="12"/>
        <v>0</v>
      </c>
      <c r="AA188" s="2081">
        <f t="shared" ca="1" si="12"/>
        <v>-0.7</v>
      </c>
      <c r="AB188" s="2086">
        <f t="shared" si="12"/>
        <v>0</v>
      </c>
      <c r="AC188" s="2081">
        <f t="shared" ca="1" si="12"/>
        <v>-0.5</v>
      </c>
      <c r="AD188" s="2087">
        <f t="shared" si="12"/>
        <v>0</v>
      </c>
      <c r="AE188" s="281"/>
      <c r="AF188" s="45"/>
      <c r="AG188" s="45"/>
      <c r="AH188" s="45"/>
      <c r="AI188" s="45"/>
      <c r="AJ188" s="291"/>
      <c r="AK188" s="287" t="s">
        <v>106</v>
      </c>
      <c r="AL188" s="130"/>
      <c r="AM188" s="161" t="s">
        <v>122</v>
      </c>
      <c r="AN188" s="79">
        <f>(SUM(Transfer!AD143,Transfer!AD144)-SUM(Transfer!AD145,Transfer!AD146))</f>
        <v>0.93143000000000598</v>
      </c>
      <c r="AO188" s="278"/>
      <c r="AP188" s="79">
        <f>(SUM(Transfer!AE143,Transfer!AE144)-SUM(Transfer!AE145,Transfer!AE146))</f>
        <v>1.2020302234800226</v>
      </c>
      <c r="AQ188" s="278"/>
      <c r="AR188" s="79">
        <f>(SUM(Transfer!AF143,Transfer!AF144)-SUM(Transfer!AF145,Transfer!AF146))</f>
        <v>1.2278294493509776</v>
      </c>
      <c r="AS188" s="278"/>
      <c r="AT188" s="79">
        <f>(SUM(Transfer!AG143,Transfer!AG144)-SUM(Transfer!AG145,Transfer!AG146))</f>
        <v>0.93233098488920518</v>
      </c>
      <c r="AU188" s="292"/>
      <c r="AV188" s="281"/>
      <c r="AW188" s="150"/>
      <c r="AX188" s="54"/>
      <c r="AY188" s="54"/>
      <c r="AZ188" s="54"/>
      <c r="BA188" s="1707" t="s">
        <v>1117</v>
      </c>
      <c r="BB188" s="54"/>
      <c r="BC188" s="54"/>
    </row>
    <row r="189" spans="1:55">
      <c r="A189" s="45"/>
      <c r="B189" s="1665"/>
      <c r="C189" s="2558" t="s">
        <v>107</v>
      </c>
      <c r="D189" s="2445"/>
      <c r="E189" s="2369"/>
      <c r="F189" s="2563">
        <f ca="1">(Transfer!D143-Transfer!D145)</f>
        <v>-1.7684399999999982</v>
      </c>
      <c r="G189" s="2564"/>
      <c r="H189" s="2563">
        <f ca="1">(Transfer!E143-Transfer!E145)</f>
        <v>-2.0609499999999983</v>
      </c>
      <c r="I189" s="2564"/>
      <c r="J189" s="2563">
        <f ca="1">(Transfer!F143-Transfer!F145)</f>
        <v>-2.6471263464299959</v>
      </c>
      <c r="K189" s="2564"/>
      <c r="L189" s="2563">
        <f ca="1">(Transfer!G143-Transfer!G145)</f>
        <v>-2.906922619718749</v>
      </c>
      <c r="M189" s="2565"/>
      <c r="N189" s="2566"/>
      <c r="O189" s="50"/>
      <c r="P189" s="54"/>
      <c r="Q189" s="54"/>
      <c r="R189" s="54"/>
      <c r="S189" s="190"/>
      <c r="T189" s="287" t="s">
        <v>107</v>
      </c>
      <c r="U189" s="29"/>
      <c r="V189" s="293"/>
      <c r="W189" s="2081">
        <f t="shared" ca="1" si="12"/>
        <v>1.3</v>
      </c>
      <c r="X189" s="2088">
        <f t="shared" si="12"/>
        <v>0</v>
      </c>
      <c r="Y189" s="2081">
        <f t="shared" ca="1" si="12"/>
        <v>1.1000000000000001</v>
      </c>
      <c r="Z189" s="2088">
        <f t="shared" si="12"/>
        <v>0</v>
      </c>
      <c r="AA189" s="2081">
        <f t="shared" ca="1" si="12"/>
        <v>0.89999999999999991</v>
      </c>
      <c r="AB189" s="2088">
        <f t="shared" si="12"/>
        <v>0</v>
      </c>
      <c r="AC189" s="2081">
        <f t="shared" ca="1" si="12"/>
        <v>1.3000000000000003</v>
      </c>
      <c r="AD189" s="2089">
        <f t="shared" si="12"/>
        <v>0</v>
      </c>
      <c r="AE189" s="297"/>
      <c r="AF189" s="45"/>
      <c r="AG189" s="45"/>
      <c r="AH189" s="45"/>
      <c r="AI189" s="45"/>
      <c r="AJ189" s="190"/>
      <c r="AK189" s="287" t="s">
        <v>107</v>
      </c>
      <c r="AL189" s="29"/>
      <c r="AM189" s="293"/>
      <c r="AN189" s="294">
        <f>(Transfer!AD143-Transfer!AD145)</f>
        <v>-3.149729999999991</v>
      </c>
      <c r="AO189" s="295"/>
      <c r="AP189" s="294">
        <f>(Transfer!AE143-Transfer!AE145)</f>
        <v>-3.1597490794799796</v>
      </c>
      <c r="AQ189" s="295"/>
      <c r="AR189" s="294">
        <f>(Transfer!AF143-Transfer!AF145)</f>
        <v>-3.5021786231386471</v>
      </c>
      <c r="AS189" s="295"/>
      <c r="AT189" s="294">
        <f>(Transfer!AG143-Transfer!AG145)</f>
        <v>-4.2174344910745276</v>
      </c>
      <c r="AU189" s="296"/>
      <c r="AV189" s="297"/>
      <c r="AW189" s="50"/>
      <c r="AX189" s="54"/>
      <c r="AY189" s="54"/>
      <c r="AZ189" s="54"/>
      <c r="BA189" s="1707" t="s">
        <v>1118</v>
      </c>
      <c r="BB189" s="54"/>
      <c r="BC189" s="54"/>
    </row>
    <row r="190" spans="1:55">
      <c r="A190" s="45"/>
      <c r="B190" s="1992"/>
      <c r="C190" s="2567" t="s">
        <v>108</v>
      </c>
      <c r="D190" s="2477"/>
      <c r="E190" s="2568"/>
      <c r="F190" s="2569">
        <f ca="1">(Transfer!D144-Transfer!D146)</f>
        <v>2.2683400000000002</v>
      </c>
      <c r="G190" s="2570"/>
      <c r="H190" s="2569">
        <f ca="1">(Transfer!E144-Transfer!E146)</f>
        <v>2.9040799999999996</v>
      </c>
      <c r="I190" s="2570"/>
      <c r="J190" s="2569">
        <f ca="1">(Transfer!F144-Transfer!F146)</f>
        <v>3.1415386507499994</v>
      </c>
      <c r="K190" s="2570"/>
      <c r="L190" s="2569">
        <f ca="1">(Transfer!G144-Transfer!G146)</f>
        <v>3.3339506443805655</v>
      </c>
      <c r="M190" s="2571"/>
      <c r="N190" s="2566"/>
      <c r="O190" s="50"/>
      <c r="P190" s="54"/>
      <c r="Q190" s="54"/>
      <c r="R190" s="54"/>
      <c r="S190" s="259"/>
      <c r="T190" s="298" t="s">
        <v>108</v>
      </c>
      <c r="U190" s="255"/>
      <c r="V190" s="299"/>
      <c r="W190" s="2084">
        <f t="shared" ca="1" si="12"/>
        <v>-1.7999999999999998</v>
      </c>
      <c r="X190" s="2090">
        <f t="shared" si="12"/>
        <v>0</v>
      </c>
      <c r="Y190" s="2084">
        <f t="shared" ca="1" si="12"/>
        <v>-1.5000000000000004</v>
      </c>
      <c r="Z190" s="2090">
        <f t="shared" si="12"/>
        <v>0</v>
      </c>
      <c r="AA190" s="2084">
        <f t="shared" ca="1" si="12"/>
        <v>-1.6</v>
      </c>
      <c r="AB190" s="2090">
        <f t="shared" si="12"/>
        <v>0</v>
      </c>
      <c r="AC190" s="2084">
        <f t="shared" ca="1" si="12"/>
        <v>-1.7999999999999998</v>
      </c>
      <c r="AD190" s="2091">
        <f t="shared" si="12"/>
        <v>0</v>
      </c>
      <c r="AE190" s="297"/>
      <c r="AF190" s="45"/>
      <c r="AG190" s="45"/>
      <c r="AH190" s="45"/>
      <c r="AI190" s="45"/>
      <c r="AJ190" s="259"/>
      <c r="AK190" s="298" t="s">
        <v>108</v>
      </c>
      <c r="AL190" s="255"/>
      <c r="AM190" s="299"/>
      <c r="AN190" s="300">
        <f>(Transfer!AD144-Transfer!AD146)</f>
        <v>4.0811600000000006</v>
      </c>
      <c r="AO190" s="301"/>
      <c r="AP190" s="300">
        <f>(Transfer!AE144-Transfer!AE146)</f>
        <v>4.3617793029600005</v>
      </c>
      <c r="AQ190" s="301"/>
      <c r="AR190" s="300">
        <f>(Transfer!AF144-Transfer!AF146)</f>
        <v>4.7300080724896318</v>
      </c>
      <c r="AS190" s="301"/>
      <c r="AT190" s="300">
        <f>(Transfer!AG144-Transfer!AG146)</f>
        <v>5.1497654759637381</v>
      </c>
      <c r="AU190" s="302"/>
      <c r="AV190" s="297"/>
      <c r="AW190" s="50"/>
      <c r="AX190" s="54"/>
      <c r="AY190" s="54"/>
      <c r="AZ190" s="54"/>
      <c r="BA190" s="1707" t="s">
        <v>1119</v>
      </c>
      <c r="BB190" s="54"/>
      <c r="BC190" s="54"/>
    </row>
    <row r="191" spans="1:55">
      <c r="A191" s="45"/>
      <c r="B191" s="1992"/>
      <c r="C191" s="2468" t="s">
        <v>1402</v>
      </c>
      <c r="D191" s="2349"/>
      <c r="E191" s="2572" t="s">
        <v>1403</v>
      </c>
      <c r="F191" s="2381">
        <f ca="1">Transfer!D240</f>
        <v>-1.5429999999999999</v>
      </c>
      <c r="G191" s="2381"/>
      <c r="H191" s="2381">
        <f ca="1">Transfer!E240</f>
        <v>-1.5165699999999998</v>
      </c>
      <c r="I191" s="2381"/>
      <c r="J191" s="2381">
        <f ca="1">Transfer!F240</f>
        <v>-1.546837625</v>
      </c>
      <c r="K191" s="2381"/>
      <c r="L191" s="2381">
        <f ca="1">Transfer!G240</f>
        <v>-1.5777439521250001</v>
      </c>
      <c r="M191" s="2383"/>
      <c r="N191" s="2368"/>
      <c r="O191" s="150"/>
      <c r="P191" s="54"/>
      <c r="Q191" s="54"/>
      <c r="R191" s="54"/>
      <c r="S191" s="259"/>
      <c r="T191" s="179" t="s">
        <v>1402</v>
      </c>
      <c r="U191" s="63"/>
      <c r="V191" s="303" t="s">
        <v>1403</v>
      </c>
      <c r="W191" s="2092">
        <f t="shared" ca="1" si="12"/>
        <v>3.3</v>
      </c>
      <c r="X191" s="2092">
        <f t="shared" si="12"/>
        <v>0</v>
      </c>
      <c r="Y191" s="2092">
        <f t="shared" ca="1" si="12"/>
        <v>3.9000000000000004</v>
      </c>
      <c r="Z191" s="2092">
        <f t="shared" si="12"/>
        <v>0</v>
      </c>
      <c r="AA191" s="2092">
        <f t="shared" ca="1" si="12"/>
        <v>4.5999999999999996</v>
      </c>
      <c r="AB191" s="2092">
        <f t="shared" si="12"/>
        <v>0</v>
      </c>
      <c r="AC191" s="2092">
        <f t="shared" ca="1" si="12"/>
        <v>5.1999999999999993</v>
      </c>
      <c r="AD191" s="2085">
        <f t="shared" si="12"/>
        <v>0</v>
      </c>
      <c r="AE191" s="82"/>
      <c r="AF191" s="45"/>
      <c r="AG191" s="45"/>
      <c r="AH191" s="45"/>
      <c r="AI191" s="45"/>
      <c r="AJ191" s="259"/>
      <c r="AK191" s="179" t="s">
        <v>1402</v>
      </c>
      <c r="AL191" s="63"/>
      <c r="AM191" s="303" t="s">
        <v>1403</v>
      </c>
      <c r="AN191" s="96">
        <f>Transfer!AD240</f>
        <v>-4.8091617689767387</v>
      </c>
      <c r="AO191" s="96"/>
      <c r="AP191" s="96">
        <f>Transfer!AE240</f>
        <v>-5.4019541458744129</v>
      </c>
      <c r="AQ191" s="96"/>
      <c r="AR191" s="96">
        <f>Transfer!AF240</f>
        <v>-6.061800908461854</v>
      </c>
      <c r="AS191" s="96"/>
      <c r="AT191" s="96">
        <f>Transfer!AG240</f>
        <v>-6.7900928487280403</v>
      </c>
      <c r="AU191" s="98"/>
      <c r="AV191" s="82"/>
      <c r="AW191" s="150"/>
      <c r="AX191" s="54"/>
      <c r="AY191" s="54"/>
      <c r="AZ191" s="54"/>
      <c r="BA191" s="1707" t="s">
        <v>1404</v>
      </c>
      <c r="BB191" s="54"/>
      <c r="BC191" s="54"/>
    </row>
    <row r="192" spans="1:55" ht="13.5" thickBot="1">
      <c r="A192" s="45"/>
      <c r="B192" s="1992"/>
      <c r="C192" s="2573" t="s">
        <v>109</v>
      </c>
      <c r="D192" s="2574"/>
      <c r="E192" s="2575" t="s">
        <v>1405</v>
      </c>
      <c r="F192" s="2576">
        <f ca="1">SUM(Transfer!D147,Transfer!D240)</f>
        <v>37.125320000000002</v>
      </c>
      <c r="G192" s="2576">
        <f ca="1">100*((SUM(Transfer!D147,Transfer!D240)/SUM(Transfer!C147,Transfer!C240))-1)</f>
        <v>3.4921072093722749</v>
      </c>
      <c r="H192" s="2576">
        <f ca="1">SUM(Transfer!E147,Transfer!E240)</f>
        <v>40.263024892398121</v>
      </c>
      <c r="I192" s="2576">
        <f ca="1">100*((SUM(Transfer!E147,Transfer!E240)/SUM(Transfer!D147,Transfer!D240))-1)</f>
        <v>8.4516575005902048</v>
      </c>
      <c r="J192" s="2576">
        <f ca="1">SUM(Transfer!F147,Transfer!F240)</f>
        <v>42.664720784957275</v>
      </c>
      <c r="K192" s="2576">
        <f ca="1">100*((SUM(Transfer!F147,Transfer!F240)/SUM(Transfer!E147,Transfer!E240))-1)</f>
        <v>5.9650160388535767</v>
      </c>
      <c r="L192" s="2576">
        <f ca="1">SUM(Transfer!G147,Transfer!G240)</f>
        <v>45.09850594197551</v>
      </c>
      <c r="M192" s="2577">
        <f ca="1">100*((SUM(Transfer!G147,Transfer!G240)/SUM(Transfer!F147,Transfer!F240))-1)</f>
        <v>5.7044441220774011</v>
      </c>
      <c r="N192" s="2372"/>
      <c r="O192" s="157"/>
      <c r="P192" s="54"/>
      <c r="Q192" s="54"/>
      <c r="R192" s="54"/>
      <c r="S192" s="259"/>
      <c r="T192" s="1680" t="s">
        <v>109</v>
      </c>
      <c r="U192" s="304"/>
      <c r="V192" s="305" t="s">
        <v>1405</v>
      </c>
      <c r="W192" s="2093">
        <f t="shared" ca="1" si="12"/>
        <v>-71.800000000000011</v>
      </c>
      <c r="X192" s="2093">
        <f t="shared" ca="1" si="12"/>
        <v>-2.2999999999999998</v>
      </c>
      <c r="Y192" s="2093">
        <f t="shared" ca="1" si="12"/>
        <v>-74.3</v>
      </c>
      <c r="Z192" s="2093">
        <f t="shared" ca="1" si="12"/>
        <v>3.3</v>
      </c>
      <c r="AA192" s="2093">
        <f t="shared" ca="1" si="12"/>
        <v>-78.7</v>
      </c>
      <c r="AB192" s="2093">
        <f t="shared" ca="1" si="12"/>
        <v>9.9999999999999645E-2</v>
      </c>
      <c r="AC192" s="2093">
        <f t="shared" ca="1" si="12"/>
        <v>-84.200000000000017</v>
      </c>
      <c r="AD192" s="2094">
        <f t="shared" ca="1" si="12"/>
        <v>-0.79999999999999982</v>
      </c>
      <c r="AE192" s="85"/>
      <c r="AF192" s="45"/>
      <c r="AG192" s="45"/>
      <c r="AH192" s="45"/>
      <c r="AI192" s="45"/>
      <c r="AJ192" s="259"/>
      <c r="AK192" s="1680" t="s">
        <v>109</v>
      </c>
      <c r="AL192" s="304"/>
      <c r="AM192" s="305" t="s">
        <v>1405</v>
      </c>
      <c r="AN192" s="306">
        <f>SUM(Transfer!AD147,Transfer!AD240)</f>
        <v>108.92553823102327</v>
      </c>
      <c r="AO192" s="306">
        <f>100*((SUM(Transfer!AD147,Transfer!AD240)/SUM(Transfer!AC147,Transfer!AC240))-1)</f>
        <v>5.7988052350161468</v>
      </c>
      <c r="AP192" s="306">
        <f>SUM(Transfer!AE147,Transfer!AE240)</f>
        <v>114.63780779359473</v>
      </c>
      <c r="AQ192" s="306">
        <f>100*((SUM(Transfer!AE147,Transfer!AE240)/SUM(Transfer!AD147,Transfer!AD240))-1)</f>
        <v>5.2441967745490148</v>
      </c>
      <c r="AR192" s="306">
        <f>SUM(Transfer!AF147,Transfer!AF240)</f>
        <v>121.36960177127943</v>
      </c>
      <c r="AS192" s="306">
        <f>100*((SUM(Transfer!AF147,Transfer!AF240)/SUM(Transfer!AE147,Transfer!AE240))-1)</f>
        <v>5.8722284621887555</v>
      </c>
      <c r="AT192" s="306">
        <f>SUM(Transfer!AG147,Transfer!AG240)</f>
        <v>129.3097577459873</v>
      </c>
      <c r="AU192" s="307">
        <f>100*((SUM(Transfer!AG147,Transfer!AG240)/SUM(Transfer!AF147,Transfer!AF240))-1)</f>
        <v>6.5421290494724227</v>
      </c>
      <c r="AV192" s="85"/>
      <c r="AW192" s="157"/>
      <c r="AX192" s="54"/>
      <c r="AY192" s="54"/>
      <c r="AZ192" s="54"/>
      <c r="BA192" s="1707" t="s">
        <v>1406</v>
      </c>
      <c r="BB192" s="54"/>
      <c r="BC192" s="54"/>
    </row>
    <row r="193" spans="1:55" ht="13.5" thickBot="1">
      <c r="A193" s="45"/>
      <c r="B193" s="1992"/>
      <c r="C193" s="2349"/>
      <c r="D193" s="2349"/>
      <c r="E193" s="2578"/>
      <c r="F193" s="2377"/>
      <c r="G193" s="2377"/>
      <c r="H193" s="2377"/>
      <c r="I193" s="2377"/>
      <c r="J193" s="2377"/>
      <c r="K193" s="2377"/>
      <c r="L193" s="2377"/>
      <c r="M193" s="2579"/>
      <c r="N193" s="2368"/>
      <c r="O193" s="150"/>
      <c r="P193" s="54"/>
      <c r="Q193" s="54"/>
      <c r="R193" s="54"/>
      <c r="S193" s="259"/>
      <c r="T193" s="63"/>
      <c r="U193" s="63"/>
      <c r="V193" s="308"/>
      <c r="W193" s="2013"/>
      <c r="X193" s="2013"/>
      <c r="Y193" s="2013"/>
      <c r="Z193" s="2013"/>
      <c r="AA193" s="2013"/>
      <c r="AB193" s="2013"/>
      <c r="AC193" s="2013"/>
      <c r="AD193" s="2014"/>
      <c r="AE193" s="82"/>
      <c r="AF193" s="45"/>
      <c r="AG193" s="45"/>
      <c r="AH193" s="45"/>
      <c r="AI193" s="45"/>
      <c r="AJ193" s="259"/>
      <c r="AK193" s="63"/>
      <c r="AL193" s="63"/>
      <c r="AM193" s="308"/>
      <c r="AN193" s="92"/>
      <c r="AO193" s="92"/>
      <c r="AP193" s="92"/>
      <c r="AQ193" s="92"/>
      <c r="AR193" s="92"/>
      <c r="AS193" s="92"/>
      <c r="AT193" s="92"/>
      <c r="AU193" s="136"/>
      <c r="AV193" s="82"/>
      <c r="AW193" s="150"/>
      <c r="AX193" s="54"/>
      <c r="AY193" s="54"/>
      <c r="AZ193" s="54"/>
      <c r="BA193" s="83"/>
      <c r="BB193" s="54"/>
      <c r="BC193" s="54"/>
    </row>
    <row r="194" spans="1:55">
      <c r="A194" s="45"/>
      <c r="B194" s="1992"/>
      <c r="C194" s="2580" t="s">
        <v>110</v>
      </c>
      <c r="D194" s="2581"/>
      <c r="E194" s="2582" t="s">
        <v>1407</v>
      </c>
      <c r="F194" s="2583">
        <f ca="1">Transfer!D161</f>
        <v>16.92906</v>
      </c>
      <c r="G194" s="2583">
        <f ca="1">100*((Transfer!D161/Transfer!C161)-1)</f>
        <v>8.2608995937912368</v>
      </c>
      <c r="H194" s="2583">
        <f ca="1">Transfer!E161</f>
        <v>18.449630000000003</v>
      </c>
      <c r="I194" s="2583">
        <f ca="1">100*((Transfer!E161/Transfer!D161)-1)</f>
        <v>8.9820108145402209</v>
      </c>
      <c r="J194" s="2583">
        <f ca="1">Transfer!F161</f>
        <v>19.549555182988733</v>
      </c>
      <c r="K194" s="2583">
        <f ca="1">100*((Transfer!F161/Transfer!E161)-1)</f>
        <v>5.961773666944703</v>
      </c>
      <c r="L194" s="2584">
        <f ca="1">Transfer!G161</f>
        <v>20.686003495864497</v>
      </c>
      <c r="M194" s="2585">
        <f ca="1">100*((Transfer!G161/Transfer!F161)-1)</f>
        <v>5.8131671142300778</v>
      </c>
      <c r="N194" s="2368"/>
      <c r="O194" s="150"/>
      <c r="P194" s="54"/>
      <c r="Q194" s="54"/>
      <c r="R194" s="54"/>
      <c r="S194" s="259"/>
      <c r="T194" s="309" t="s">
        <v>110</v>
      </c>
      <c r="U194" s="310"/>
      <c r="V194" s="311" t="s">
        <v>1407</v>
      </c>
      <c r="W194" s="91">
        <f t="shared" ca="1" si="12"/>
        <v>-27.700000000000003</v>
      </c>
      <c r="X194" s="91">
        <f t="shared" ca="1" si="12"/>
        <v>3.2000000000000011</v>
      </c>
      <c r="Y194" s="91">
        <f t="shared" ca="1" si="12"/>
        <v>-28.9</v>
      </c>
      <c r="Z194" s="91">
        <f t="shared" ca="1" si="12"/>
        <v>2.8</v>
      </c>
      <c r="AA194" s="91">
        <f t="shared" ca="1" si="12"/>
        <v>-30.5</v>
      </c>
      <c r="AB194" s="91">
        <f t="shared" ca="1" si="12"/>
        <v>0.40000000000000036</v>
      </c>
      <c r="AC194" s="91">
        <f t="shared" ca="1" si="12"/>
        <v>-32.299999999999997</v>
      </c>
      <c r="AD194" s="93">
        <f t="shared" ca="1" si="12"/>
        <v>-0.20000000000000018</v>
      </c>
      <c r="AE194" s="82"/>
      <c r="AF194" s="45"/>
      <c r="AG194" s="45"/>
      <c r="AH194" s="45"/>
      <c r="AI194" s="45"/>
      <c r="AJ194" s="259"/>
      <c r="AK194" s="309" t="s">
        <v>110</v>
      </c>
      <c r="AL194" s="310"/>
      <c r="AM194" s="311" t="s">
        <v>1407</v>
      </c>
      <c r="AN194" s="312">
        <f>Transfer!AD161</f>
        <v>44.567869999999999</v>
      </c>
      <c r="AO194" s="312">
        <f>100*((Transfer!AD161/Transfer!AC161)-1)</f>
        <v>5.0585381055180401</v>
      </c>
      <c r="AP194" s="312">
        <f>Transfer!AE161</f>
        <v>47.343227412261797</v>
      </c>
      <c r="AQ194" s="312">
        <f>100*((Transfer!AE161/Transfer!AD161)-1)</f>
        <v>6.2272606078365378</v>
      </c>
      <c r="AR194" s="312">
        <f>Transfer!AF161</f>
        <v>49.983635120116261</v>
      </c>
      <c r="AS194" s="312">
        <f>100*((Transfer!AF161/Transfer!AE161)-1)</f>
        <v>5.5771603504382261</v>
      </c>
      <c r="AT194" s="313">
        <f>Transfer!AG161</f>
        <v>52.994953639946218</v>
      </c>
      <c r="AU194" s="314">
        <f>100*((Transfer!AG161/Transfer!AF161)-1)</f>
        <v>6.0246088796731545</v>
      </c>
      <c r="AV194" s="82"/>
      <c r="AW194" s="150"/>
      <c r="AX194" s="54"/>
      <c r="AY194" s="54"/>
      <c r="AZ194" s="54"/>
      <c r="BA194" s="1707" t="s">
        <v>4</v>
      </c>
      <c r="BB194" s="54"/>
      <c r="BC194" s="54"/>
    </row>
    <row r="195" spans="1:55">
      <c r="A195" s="45"/>
      <c r="B195" s="1992"/>
      <c r="C195" s="2586" t="s">
        <v>111</v>
      </c>
      <c r="D195" s="2349"/>
      <c r="E195" s="2422" t="s">
        <v>1408</v>
      </c>
      <c r="F195" s="2376">
        <f ca="1">(SUM(Transfer!D147,Transfer!D223,Transfer!D233)-SUM(Transfer!D161,Transfer!D213,Transfer!D231))</f>
        <v>17.723930000000003</v>
      </c>
      <c r="G195" s="2376">
        <f ca="1">100*((((SUM(Transfer!D147,Transfer!D223,Transfer!D233)-SUM(Transfer!D161,Transfer!D213,Transfer!D231)))/((SUM(Transfer!C147,Transfer!C223,Transfer!C233)-SUM(Transfer!C161,Transfer!C213,Transfer!C231))))-1)</f>
        <v>-1.0459336495960536</v>
      </c>
      <c r="H195" s="2376">
        <f ca="1">(SUM(Transfer!E147,Transfer!E223,Transfer!E233)-SUM(Transfer!E161,Transfer!E213,Transfer!E231))</f>
        <v>18.92298919239812</v>
      </c>
      <c r="I195" s="2376">
        <f ca="1">100*((((SUM(Transfer!E147,Transfer!E223,Transfer!E233)-SUM(Transfer!E161,Transfer!E213,Transfer!E231)))/((SUM(Transfer!D147,Transfer!D223,Transfer!D233)-SUM(Transfer!D161,Transfer!D213,Transfer!D231))))-1)</f>
        <v>6.7651993231643059</v>
      </c>
      <c r="J195" s="2376">
        <f ca="1">(SUM(Transfer!F147,Transfer!F223,Transfer!F233)-SUM(Transfer!F161,Transfer!F213,Transfer!F231))</f>
        <v>19.951920099949334</v>
      </c>
      <c r="K195" s="2376">
        <f ca="1">100*((((SUM(Transfer!F147,Transfer!F223,Transfer!F233)-SUM(Transfer!F161,Transfer!F213,Transfer!F231)))/((SUM(Transfer!E147,Transfer!E223,Transfer!E233)-SUM(Transfer!E161,Transfer!E213,Transfer!E231))))-1)</f>
        <v>5.4374649643860851</v>
      </c>
      <c r="L195" s="2376">
        <f ca="1">(SUM(Transfer!G147,Transfer!G223,Transfer!G233)-SUM(Transfer!G161,Transfer!G213,Transfer!G231))</f>
        <v>21.000859178637722</v>
      </c>
      <c r="M195" s="2378">
        <f ca="1">100*((((SUM(Transfer!G147,Transfer!G223,Transfer!G233)-SUM(Transfer!G161,Transfer!G213,Transfer!G231)))/((SUM(Transfer!F147,Transfer!F223,Transfer!F233)-SUM(Transfer!F161,Transfer!F213,Transfer!F231))))-1)</f>
        <v>5.2573339981000222</v>
      </c>
      <c r="N195" s="2368"/>
      <c r="O195" s="150"/>
      <c r="P195" s="54"/>
      <c r="Q195" s="54"/>
      <c r="R195" s="54"/>
      <c r="S195" s="259"/>
      <c r="T195" s="315" t="s">
        <v>111</v>
      </c>
      <c r="U195" s="130"/>
      <c r="V195" s="181" t="s">
        <v>1408</v>
      </c>
      <c r="W195" s="91">
        <f t="shared" ca="1" si="12"/>
        <v>-40.099999999999994</v>
      </c>
      <c r="X195" s="91">
        <f t="shared" ca="1" si="12"/>
        <v>-9.4</v>
      </c>
      <c r="Y195" s="91">
        <f t="shared" ca="1" si="12"/>
        <v>-42.300000000000004</v>
      </c>
      <c r="Z195" s="91">
        <f t="shared" ca="1" si="12"/>
        <v>0.89999999999999947</v>
      </c>
      <c r="AA195" s="91">
        <f t="shared" ca="1" si="12"/>
        <v>-45.5</v>
      </c>
      <c r="AB195" s="91">
        <f t="shared" ca="1" si="12"/>
        <v>-1.5</v>
      </c>
      <c r="AC195" s="91">
        <f t="shared" ca="1" si="12"/>
        <v>-49.400000000000006</v>
      </c>
      <c r="AD195" s="93">
        <f t="shared" ca="1" si="12"/>
        <v>-2.2000000000000002</v>
      </c>
      <c r="AE195" s="82"/>
      <c r="AF195" s="45"/>
      <c r="AG195" s="45"/>
      <c r="AH195" s="45"/>
      <c r="AI195" s="45"/>
      <c r="AJ195" s="259"/>
      <c r="AK195" s="315" t="s">
        <v>111</v>
      </c>
      <c r="AL195" s="130"/>
      <c r="AM195" s="181" t="s">
        <v>1408</v>
      </c>
      <c r="AN195" s="91">
        <f>(SUM(Transfer!AD147,Transfer!AD223,Transfer!AD233)-SUM(Transfer!AD161,Transfer!AD213,Transfer!AD231))</f>
        <v>57.820630000000008</v>
      </c>
      <c r="AO195" s="91">
        <f>100*((((SUM(Transfer!AD147,Transfer!AD223,Transfer!AD233)-SUM(Transfer!AD161,Transfer!AD213,Transfer!AD231)))/((SUM(Transfer!AC147,Transfer!AC223,Transfer!AC233)-SUM(Transfer!AC161,Transfer!AC213,Transfer!AC231))))-1)</f>
        <v>8.3635476673983078</v>
      </c>
      <c r="AP195" s="91">
        <f>(SUM(Transfer!AE147,Transfer!AE223,Transfer!AE233)-SUM(Transfer!AE161,Transfer!AE213,Transfer!AE231))</f>
        <v>61.241066627207353</v>
      </c>
      <c r="AQ195" s="91">
        <f>100*((((SUM(Transfer!AE147,Transfer!AE223,Transfer!AE233)-SUM(Transfer!AE161,Transfer!AE213,Transfer!AE231)))/((SUM(Transfer!AD147,Transfer!AD223,Transfer!AD233)-SUM(Transfer!AD161,Transfer!AD213,Transfer!AD231))))-1)</f>
        <v>5.9155990296324124</v>
      </c>
      <c r="AR195" s="91">
        <f>(SUM(Transfer!AF147,Transfer!AF223,Transfer!AF233)-SUM(Transfer!AF161,Transfer!AF213,Transfer!AF231))</f>
        <v>65.49693402862502</v>
      </c>
      <c r="AS195" s="91">
        <f>100*((((SUM(Transfer!AF147,Transfer!AF223,Transfer!AF233)-SUM(Transfer!AF161,Transfer!AF213,Transfer!AF231)))/((SUM(Transfer!AE147,Transfer!AE223,Transfer!AE233)-SUM(Transfer!AE161,Transfer!AE213,Transfer!AE231))))-1)</f>
        <v>6.9493685133284799</v>
      </c>
      <c r="AT195" s="91">
        <f>(SUM(Transfer!AG147,Transfer!AG223,Transfer!AG233)-SUM(Transfer!AG161,Transfer!AG213,Transfer!AG231))</f>
        <v>70.438365833839143</v>
      </c>
      <c r="AU195" s="93">
        <f>100*((((SUM(Transfer!AG147,Transfer!AG223,Transfer!AG233)-SUM(Transfer!AG161,Transfer!AG213,Transfer!AG231)))/((SUM(Transfer!AF147,Transfer!AF223,Transfer!AF233)-SUM(Transfer!AF161,Transfer!AF213,Transfer!AF231))))-1)</f>
        <v>7.5445238445123186</v>
      </c>
      <c r="AV195" s="82"/>
      <c r="AW195" s="150"/>
      <c r="AX195" s="54"/>
      <c r="AY195" s="54"/>
      <c r="AZ195" s="54"/>
      <c r="BA195" s="1707" t="s">
        <v>513</v>
      </c>
      <c r="BB195" s="54"/>
      <c r="BC195" s="54"/>
    </row>
    <row r="196" spans="1:55">
      <c r="A196" s="45"/>
      <c r="B196" s="1992"/>
      <c r="C196" s="2555" t="s">
        <v>2001</v>
      </c>
      <c r="D196" s="2480"/>
      <c r="E196" s="2559" t="s">
        <v>514</v>
      </c>
      <c r="F196" s="2560">
        <f ca="1">SUM(Transfer!D147,Transfer!D151)-Transfer!D150</f>
        <v>34.789370000000005</v>
      </c>
      <c r="G196" s="2560">
        <f ca="1">100*(((SUM(Transfer!D147,Transfer!D151)-Transfer!D150))/(SUM(Transfer!C147,Transfer!C151)-Transfer!C150)-1)</f>
        <v>3.204530520644977</v>
      </c>
      <c r="H196" s="2560">
        <f ca="1">SUM(Transfer!E147,Transfer!E151)-Transfer!E150</f>
        <v>37.512294892398124</v>
      </c>
      <c r="I196" s="2560">
        <f ca="1">100*(((SUM(Transfer!E147,Transfer!E151)-Transfer!E150))/(SUM(Transfer!D147,Transfer!D151)-Transfer!D150)-1)</f>
        <v>7.8268876165280332</v>
      </c>
      <c r="J196" s="2560">
        <f ca="1">SUM(Transfer!F147,Transfer!F151)-Transfer!F150</f>
        <v>39.653234851938059</v>
      </c>
      <c r="K196" s="2560">
        <f ca="1">100*(((SUM(Transfer!F147,Transfer!F151)-Transfer!F150))/(SUM(Transfer!E147,Transfer!E151)-Transfer!E150)-1)</f>
        <v>5.7073020077313297</v>
      </c>
      <c r="L196" s="2560">
        <f ca="1">SUM(Transfer!G147,Transfer!G151)-Transfer!G150</f>
        <v>41.851347096832214</v>
      </c>
      <c r="M196" s="2587">
        <f ca="1">100*(((SUM(Transfer!G147,Transfer!G151)-Transfer!G150))/(SUM(Transfer!F147,Transfer!F151)-Transfer!F150)-1)</f>
        <v>5.543336509875485</v>
      </c>
      <c r="N196" s="2372"/>
      <c r="O196" s="157"/>
      <c r="P196" s="54"/>
      <c r="Q196" s="54"/>
      <c r="R196" s="54"/>
      <c r="S196" s="259"/>
      <c r="T196" s="316" t="s">
        <v>2001</v>
      </c>
      <c r="U196" s="222"/>
      <c r="V196" s="289" t="s">
        <v>514</v>
      </c>
      <c r="W196" s="91">
        <f t="shared" ca="1" si="12"/>
        <v>-67.900000000000006</v>
      </c>
      <c r="X196" s="91">
        <f t="shared" ca="1" si="12"/>
        <v>-3.7</v>
      </c>
      <c r="Y196" s="91">
        <f t="shared" ca="1" si="12"/>
        <v>-71.400000000000006</v>
      </c>
      <c r="Z196" s="91">
        <f t="shared" ca="1" si="12"/>
        <v>1.7000000000000002</v>
      </c>
      <c r="AA196" s="91">
        <f t="shared" ca="1" si="12"/>
        <v>-76.2</v>
      </c>
      <c r="AB196" s="91">
        <f t="shared" ca="1" si="12"/>
        <v>-0.70000000000000018</v>
      </c>
      <c r="AC196" s="91">
        <f t="shared" ca="1" si="12"/>
        <v>-82</v>
      </c>
      <c r="AD196" s="93">
        <f t="shared" ca="1" si="12"/>
        <v>-1.4000000000000004</v>
      </c>
      <c r="AE196" s="85"/>
      <c r="AF196" s="45"/>
      <c r="AG196" s="45"/>
      <c r="AH196" s="45"/>
      <c r="AI196" s="45"/>
      <c r="AJ196" s="259"/>
      <c r="AK196" s="316" t="s">
        <v>2001</v>
      </c>
      <c r="AL196" s="222"/>
      <c r="AM196" s="289" t="s">
        <v>514</v>
      </c>
      <c r="AN196" s="290">
        <f>SUM(Transfer!AD147,Transfer!AD151)-Transfer!AD150</f>
        <v>102.67786000000001</v>
      </c>
      <c r="AO196" s="290">
        <f>100*(((SUM(Transfer!AD147,Transfer!AD151)-Transfer!AD150))/(SUM(Transfer!AC147,Transfer!AC151)-Transfer!AC150)-1)</f>
        <v>6.8824777265410919</v>
      </c>
      <c r="AP196" s="290">
        <f>SUM(Transfer!AE147,Transfer!AE151)-Transfer!AE150</f>
        <v>108.93840853946915</v>
      </c>
      <c r="AQ196" s="290">
        <f>100*(((SUM(Transfer!AE147,Transfer!AE151)-Transfer!AE150))/(SUM(Transfer!AD147,Transfer!AD151)-Transfer!AD150)-1)</f>
        <v>6.0972721280606601</v>
      </c>
      <c r="AR196" s="290">
        <f>SUM(Transfer!AF147,Transfer!AF151)-Transfer!AF150</f>
        <v>115.86928976574129</v>
      </c>
      <c r="AS196" s="290">
        <f>100*(((SUM(Transfer!AF147,Transfer!AF151)-Transfer!AF150))/(SUM(Transfer!AE147,Transfer!AE151)-Transfer!AE150)-1)</f>
        <v>6.3622016506336587</v>
      </c>
      <c r="AT196" s="290">
        <f>SUM(Transfer!AG147,Transfer!AG151)-Transfer!AG150</f>
        <v>123.85880512209536</v>
      </c>
      <c r="AU196" s="317">
        <f>100*(((SUM(Transfer!AG147,Transfer!AG151)-Transfer!AG150))/(SUM(Transfer!AF147,Transfer!AF151)-Transfer!AF150)-1)</f>
        <v>6.895282928295221</v>
      </c>
      <c r="AV196" s="85"/>
      <c r="AW196" s="157"/>
      <c r="AX196" s="54"/>
      <c r="AY196" s="54"/>
      <c r="AZ196" s="54"/>
      <c r="BA196" s="1995" t="s">
        <v>75</v>
      </c>
      <c r="BB196" s="54"/>
      <c r="BC196" s="54"/>
    </row>
    <row r="197" spans="1:55">
      <c r="A197" s="45"/>
      <c r="B197" s="1992"/>
      <c r="C197" s="2558" t="s">
        <v>2077</v>
      </c>
      <c r="D197" s="2588"/>
      <c r="E197" s="2589"/>
      <c r="F197" s="2376">
        <f ca="1">(Transfer!D159*Transfer!D161)/Transfer!D163</f>
        <v>19.311158771976874</v>
      </c>
      <c r="G197" s="2376">
        <f ca="1">100*((((Transfer!D159*Transfer!D161)/Transfer!D163)/((Transfer!C159*Transfer!C161)/Transfer!C163))-1)</f>
        <v>8.3454293529386057</v>
      </c>
      <c r="H197" s="2376">
        <f ca="1">(Transfer!E159*Transfer!E161)/Transfer!E163</f>
        <v>20.964024905009651</v>
      </c>
      <c r="I197" s="2376">
        <f ca="1">100*((((Transfer!E159*Transfer!E161)/Transfer!E163)/((Transfer!D159*Transfer!D161)/Transfer!D163))-1)</f>
        <v>8.5591245587567357</v>
      </c>
      <c r="J197" s="2376">
        <f ca="1">(Transfer!F159*Transfer!F161)/Transfer!F163</f>
        <v>22.215171444849243</v>
      </c>
      <c r="K197" s="2376">
        <f ca="1">100*((((Transfer!F159*Transfer!F161)/Transfer!F163)/((Transfer!E159*Transfer!E161)/Transfer!E163))-1)</f>
        <v>5.9680645558697787</v>
      </c>
      <c r="L197" s="2376">
        <f ca="1">(Transfer!G159*Transfer!G161)/Transfer!G163</f>
        <v>23.484196706845978</v>
      </c>
      <c r="M197" s="2378">
        <f ca="1">100*((((Transfer!G159*Transfer!G161)/Transfer!G163)/((Transfer!F159*Transfer!F161)/Transfer!F163))-1)</f>
        <v>5.712426146010996</v>
      </c>
      <c r="N197" s="2390"/>
      <c r="O197" s="150"/>
      <c r="P197" s="54"/>
      <c r="Q197" s="54"/>
      <c r="R197" s="54"/>
      <c r="S197" s="259"/>
      <c r="T197" s="318" t="s">
        <v>2077</v>
      </c>
      <c r="U197" s="319"/>
      <c r="V197" s="169"/>
      <c r="W197" s="96">
        <f t="shared" ca="1" si="12"/>
        <v>-30.8</v>
      </c>
      <c r="X197" s="96">
        <f t="shared" ca="1" si="12"/>
        <v>2.7000000000000011</v>
      </c>
      <c r="Y197" s="96">
        <f t="shared" ca="1" si="12"/>
        <v>-32.1</v>
      </c>
      <c r="Z197" s="96">
        <f t="shared" ca="1" si="12"/>
        <v>2.6999999999999993</v>
      </c>
      <c r="AA197" s="96">
        <f t="shared" ca="1" si="12"/>
        <v>-33.700000000000003</v>
      </c>
      <c r="AB197" s="96">
        <f t="shared" ca="1" si="12"/>
        <v>0.70000000000000018</v>
      </c>
      <c r="AC197" s="96">
        <f t="shared" ca="1" si="12"/>
        <v>-35.6</v>
      </c>
      <c r="AD197" s="98">
        <f t="shared" ca="1" si="12"/>
        <v>0</v>
      </c>
      <c r="AE197" s="103"/>
      <c r="AF197" s="45"/>
      <c r="AG197" s="45"/>
      <c r="AH197" s="45"/>
      <c r="AI197" s="45"/>
      <c r="AJ197" s="259"/>
      <c r="AK197" s="318" t="s">
        <v>2077</v>
      </c>
      <c r="AL197" s="319"/>
      <c r="AM197" s="169"/>
      <c r="AN197" s="91">
        <f>(Transfer!AD159*Transfer!AD161)/Transfer!AD163</f>
        <v>50.108540618027568</v>
      </c>
      <c r="AO197" s="91">
        <f>100*((((Transfer!AD159*Transfer!AD161)/Transfer!AD163)/((Transfer!AC159*Transfer!AC161)/Transfer!AC163))-1)</f>
        <v>5.6087565970546427</v>
      </c>
      <c r="AP197" s="91">
        <f>(Transfer!AE159*Transfer!AE161)/Transfer!AE163</f>
        <v>53.066389964294849</v>
      </c>
      <c r="AQ197" s="91">
        <f>100*((((Transfer!AE159*Transfer!AE161)/Transfer!AE163)/((Transfer!AD159*Transfer!AD161)/Transfer!AD163))-1)</f>
        <v>5.9028846376003585</v>
      </c>
      <c r="AR197" s="91">
        <f>(Transfer!AF159*Transfer!AF161)/Transfer!AF163</f>
        <v>55.863213875219259</v>
      </c>
      <c r="AS197" s="91">
        <f>100*((((Transfer!AF159*Transfer!AF161)/Transfer!AF163)/((Transfer!AE159*Transfer!AE161)/Transfer!AE163))-1)</f>
        <v>5.270424298329357</v>
      </c>
      <c r="AT197" s="91">
        <f>(Transfer!AG159*Transfer!AG161)/Transfer!AG163</f>
        <v>59.074739013152886</v>
      </c>
      <c r="AU197" s="93">
        <f>100*((((Transfer!AG159*Transfer!AG161)/Transfer!AG163)/((Transfer!AF159*Transfer!AF161)/Transfer!AF163))-1)</f>
        <v>5.7489086558950131</v>
      </c>
      <c r="AV197" s="103"/>
      <c r="AW197" s="150"/>
      <c r="AX197" s="54"/>
      <c r="AY197" s="54"/>
      <c r="AZ197" s="54"/>
      <c r="BA197" s="1707" t="s">
        <v>515</v>
      </c>
      <c r="BB197" s="54"/>
      <c r="BC197" s="54"/>
    </row>
    <row r="198" spans="1:55">
      <c r="A198" s="45"/>
      <c r="B198" s="1992"/>
      <c r="C198" s="2384" t="s">
        <v>798</v>
      </c>
      <c r="D198" s="2343"/>
      <c r="E198" s="2547"/>
      <c r="F198" s="2365">
        <f ca="1">(Transfer!D150-Transfer!D151)</f>
        <v>3.8789499999999997</v>
      </c>
      <c r="G198" s="2365">
        <f ca="1">100*(((Transfer!D150-Transfer!D151)/(Transfer!C150-Transfer!C151))-1)</f>
        <v>4.3440951617502055</v>
      </c>
      <c r="H198" s="2366">
        <f ca="1">(Transfer!E150-Transfer!E151)</f>
        <v>4.2672999999999996</v>
      </c>
      <c r="I198" s="2365">
        <f ca="1">100*(((Transfer!E150-Transfer!E151)/(Transfer!D150-Transfer!D151))-1)</f>
        <v>10.01172997847355</v>
      </c>
      <c r="J198" s="2365">
        <f ca="1">(Transfer!F150-Transfer!F151)</f>
        <v>4.5583235580192163</v>
      </c>
      <c r="K198" s="2365">
        <f ca="1">100*(((Transfer!F150-Transfer!F151)/(Transfer!E150-Transfer!E151))-1)</f>
        <v>6.8198523192467553</v>
      </c>
      <c r="L198" s="2366">
        <f ca="1">(Transfer!G150-Transfer!G151)</f>
        <v>4.824902797268293</v>
      </c>
      <c r="M198" s="2367">
        <f ca="1">100*(((Transfer!G150-Transfer!G151)/(Transfer!F150-Transfer!F151))-1)</f>
        <v>5.848185980130749</v>
      </c>
      <c r="N198" s="2368"/>
      <c r="O198" s="150"/>
      <c r="P198" s="54"/>
      <c r="Q198" s="54"/>
      <c r="R198" s="54"/>
      <c r="S198" s="259"/>
      <c r="T198" s="148" t="s">
        <v>798</v>
      </c>
      <c r="U198" s="57"/>
      <c r="V198" s="149"/>
      <c r="W198" s="91">
        <f t="shared" ca="1" si="12"/>
        <v>-7.1999999999999993</v>
      </c>
      <c r="X198" s="91">
        <f t="shared" ca="1" si="12"/>
        <v>2.1999999999999997</v>
      </c>
      <c r="Y198" s="91">
        <f t="shared" ca="1" si="12"/>
        <v>-6.8</v>
      </c>
      <c r="Z198" s="91">
        <f t="shared" ca="1" si="12"/>
        <v>9.6</v>
      </c>
      <c r="AA198" s="91">
        <f t="shared" ca="1" si="12"/>
        <v>-7</v>
      </c>
      <c r="AB198" s="91">
        <f t="shared" ca="1" si="12"/>
        <v>2.5999999999999996</v>
      </c>
      <c r="AC198" s="91">
        <f t="shared" ca="1" si="12"/>
        <v>-7.3999999999999995</v>
      </c>
      <c r="AD198" s="93">
        <f t="shared" ca="1" si="12"/>
        <v>-0.10000000000000053</v>
      </c>
      <c r="AE198" s="82"/>
      <c r="AF198" s="45"/>
      <c r="AG198" s="45"/>
      <c r="AH198" s="45"/>
      <c r="AI198" s="45"/>
      <c r="AJ198" s="259"/>
      <c r="AK198" s="148" t="s">
        <v>798</v>
      </c>
      <c r="AL198" s="57"/>
      <c r="AM198" s="149"/>
      <c r="AN198" s="79">
        <f>(Transfer!AD150-Transfer!AD151)</f>
        <v>11.056839999999999</v>
      </c>
      <c r="AO198" s="79">
        <f>100*(((Transfer!AD150-Transfer!AD151)/(Transfer!AC150-Transfer!AC151))-1)</f>
        <v>2.1202000871871629</v>
      </c>
      <c r="AP198" s="80">
        <f>(Transfer!AE150-Transfer!AE151)</f>
        <v>11.101353400000001</v>
      </c>
      <c r="AQ198" s="79">
        <f>100*(((Transfer!AE150-Transfer!AE151)/(Transfer!AD150-Transfer!AD151))-1)</f>
        <v>0.40258699592290448</v>
      </c>
      <c r="AR198" s="79">
        <f>(Transfer!AF150-Transfer!AF151)</f>
        <v>11.562112914000002</v>
      </c>
      <c r="AS198" s="79">
        <f>100*(((Transfer!AF150-Transfer!AF151)/(Transfer!AE150-Transfer!AE151))-1)</f>
        <v>4.1504805531188849</v>
      </c>
      <c r="AT198" s="80">
        <f>(Transfer!AG150-Transfer!AG151)</f>
        <v>12.241045472620002</v>
      </c>
      <c r="AU198" s="81">
        <f>100*(((Transfer!AG150-Transfer!AG151)/(Transfer!AF150-Transfer!AF151))-1)</f>
        <v>5.8720457382656521</v>
      </c>
      <c r="AV198" s="82"/>
      <c r="AW198" s="150"/>
      <c r="AX198" s="54"/>
      <c r="AY198" s="54"/>
      <c r="AZ198" s="54"/>
      <c r="BA198" s="1707" t="s">
        <v>516</v>
      </c>
      <c r="BB198" s="54"/>
      <c r="BC198" s="54"/>
    </row>
    <row r="199" spans="1:55">
      <c r="A199" s="45"/>
      <c r="B199" s="1992"/>
      <c r="C199" s="2558" t="s">
        <v>213</v>
      </c>
      <c r="D199" s="2349"/>
      <c r="E199" s="2422" t="s">
        <v>517</v>
      </c>
      <c r="F199" s="2376">
        <f ca="1">Transfer!D150</f>
        <v>4.4171499999999995</v>
      </c>
      <c r="G199" s="2376">
        <f ca="1">100*((Transfer!D150/Transfer!C150)-1)</f>
        <v>4.8932699134903057</v>
      </c>
      <c r="H199" s="2377">
        <f ca="1">Transfer!E150</f>
        <v>4.8132999999999999</v>
      </c>
      <c r="I199" s="2376">
        <f ca="1">100*((Transfer!E150/Transfer!D150)-1)</f>
        <v>8.9684525089707368</v>
      </c>
      <c r="J199" s="2377">
        <f ca="1">Transfer!F150</f>
        <v>5.123979558019216</v>
      </c>
      <c r="K199" s="2376">
        <f ca="1">100*((Transfer!F150/Transfer!E150)-1)</f>
        <v>6.4546061541814526</v>
      </c>
      <c r="L199" s="2377">
        <f ca="1">Transfer!G150</f>
        <v>5.4109224132682927</v>
      </c>
      <c r="M199" s="2378">
        <f ca="1">100*((Transfer!G150/Transfer!F150)-1)</f>
        <v>5.600000000000005</v>
      </c>
      <c r="N199" s="2368"/>
      <c r="O199" s="150"/>
      <c r="P199" s="54"/>
      <c r="Q199" s="54"/>
      <c r="R199" s="54"/>
      <c r="S199" s="259"/>
      <c r="T199" s="287" t="s">
        <v>213</v>
      </c>
      <c r="U199" s="130"/>
      <c r="V199" s="181" t="s">
        <v>517</v>
      </c>
      <c r="W199" s="91">
        <f t="shared" ca="1" si="12"/>
        <v>-8.1</v>
      </c>
      <c r="X199" s="91">
        <f t="shared" ca="1" si="12"/>
        <v>2.4000000000000004</v>
      </c>
      <c r="Y199" s="91">
        <f t="shared" ca="1" si="12"/>
        <v>-8</v>
      </c>
      <c r="Z199" s="91">
        <f t="shared" ca="1" si="12"/>
        <v>6.6</v>
      </c>
      <c r="AA199" s="91">
        <f t="shared" ca="1" si="12"/>
        <v>-8.2000000000000011</v>
      </c>
      <c r="AB199" s="91">
        <f t="shared" ca="1" si="12"/>
        <v>2.5</v>
      </c>
      <c r="AC199" s="91">
        <f t="shared" ca="1" si="12"/>
        <v>-8.6</v>
      </c>
      <c r="AD199" s="93">
        <f t="shared" ca="1" si="12"/>
        <v>9.9999999999999645E-2</v>
      </c>
      <c r="AE199" s="82"/>
      <c r="AF199" s="45"/>
      <c r="AG199" s="45"/>
      <c r="AH199" s="45"/>
      <c r="AI199" s="45"/>
      <c r="AJ199" s="259"/>
      <c r="AK199" s="287" t="s">
        <v>213</v>
      </c>
      <c r="AL199" s="130"/>
      <c r="AM199" s="181" t="s">
        <v>517</v>
      </c>
      <c r="AN199" s="91">
        <f>Transfer!AD150</f>
        <v>12.47255</v>
      </c>
      <c r="AO199" s="91">
        <f>100*((Transfer!AD150/Transfer!AC150)-1)</f>
        <v>2.5440861753285082</v>
      </c>
      <c r="AP199" s="92">
        <f>Transfer!AE150</f>
        <v>12.771891200000001</v>
      </c>
      <c r="AQ199" s="91">
        <f>100*((Transfer!AE150/Transfer!AD150)-1)</f>
        <v>2.4000000000000021</v>
      </c>
      <c r="AR199" s="92">
        <f>Transfer!AF150</f>
        <v>13.282766848000001</v>
      </c>
      <c r="AS199" s="91">
        <f>100*((Transfer!AF150/Transfer!AE150)-1)</f>
        <v>4.0000000000000036</v>
      </c>
      <c r="AT199" s="92">
        <f>Transfer!AG150</f>
        <v>14.013319024640001</v>
      </c>
      <c r="AU199" s="93">
        <f>100*((Transfer!AG150/Transfer!AF150)-1)</f>
        <v>5.4999999999999938</v>
      </c>
      <c r="AV199" s="82"/>
      <c r="AW199" s="150"/>
      <c r="AX199" s="54"/>
      <c r="AY199" s="54"/>
      <c r="AZ199" s="54"/>
      <c r="BA199" s="1707" t="s">
        <v>518</v>
      </c>
      <c r="BB199" s="54"/>
      <c r="BC199" s="54"/>
    </row>
    <row r="200" spans="1:55">
      <c r="A200" s="45"/>
      <c r="B200" s="1992"/>
      <c r="C200" s="2558" t="s">
        <v>214</v>
      </c>
      <c r="D200" s="2349"/>
      <c r="E200" s="2422" t="s">
        <v>519</v>
      </c>
      <c r="F200" s="2453">
        <f ca="1">Transfer!D151</f>
        <v>0.53820000000000001</v>
      </c>
      <c r="G200" s="2453">
        <f ca="1">100*((Transfer!D151/Transfer!C151)-1)</f>
        <v>9.0290298401636946</v>
      </c>
      <c r="H200" s="2377">
        <f ca="1">Transfer!E151</f>
        <v>0.54600000000000004</v>
      </c>
      <c r="I200" s="2453">
        <f ca="1">100*((Transfer!E151/Transfer!D151)-1)</f>
        <v>1.449275362318847</v>
      </c>
      <c r="J200" s="2376">
        <f ca="1">Transfer!F151</f>
        <v>0.56565600000000005</v>
      </c>
      <c r="K200" s="2453">
        <f ca="1">100*((Transfer!F151/Transfer!E151)-1)</f>
        <v>3.6000000000000032</v>
      </c>
      <c r="L200" s="2377">
        <f ca="1">Transfer!G151</f>
        <v>0.58601961600000008</v>
      </c>
      <c r="M200" s="2454">
        <f ca="1">100*((Transfer!G151/Transfer!F151)-1)</f>
        <v>3.6000000000000032</v>
      </c>
      <c r="N200" s="2452"/>
      <c r="O200" s="240"/>
      <c r="P200" s="54"/>
      <c r="Q200" s="54"/>
      <c r="R200" s="54"/>
      <c r="S200" s="259"/>
      <c r="T200" s="318" t="s">
        <v>214</v>
      </c>
      <c r="U200" s="63"/>
      <c r="V200" s="152" t="s">
        <v>519</v>
      </c>
      <c r="W200" s="91">
        <f t="shared" ca="1" si="12"/>
        <v>-0.89999999999999991</v>
      </c>
      <c r="X200" s="91">
        <f t="shared" ca="1" si="12"/>
        <v>3</v>
      </c>
      <c r="Y200" s="91">
        <f t="shared" ca="1" si="12"/>
        <v>-1.2</v>
      </c>
      <c r="Z200" s="91">
        <f t="shared" ca="1" si="12"/>
        <v>-16.600000000000001</v>
      </c>
      <c r="AA200" s="91">
        <f t="shared" ca="1" si="12"/>
        <v>-1.1000000000000001</v>
      </c>
      <c r="AB200" s="91">
        <f t="shared" ca="1" si="12"/>
        <v>0.60000000000000009</v>
      </c>
      <c r="AC200" s="91">
        <f t="shared" ca="1" si="12"/>
        <v>-1.2000000000000002</v>
      </c>
      <c r="AD200" s="93">
        <f t="shared" ca="1" si="12"/>
        <v>0.60000000000000009</v>
      </c>
      <c r="AE200" s="199"/>
      <c r="AF200" s="45"/>
      <c r="AG200" s="45"/>
      <c r="AH200" s="45"/>
      <c r="AI200" s="45"/>
      <c r="AJ200" s="259"/>
      <c r="AK200" s="318" t="s">
        <v>214</v>
      </c>
      <c r="AL200" s="63"/>
      <c r="AM200" s="152" t="s">
        <v>519</v>
      </c>
      <c r="AN200" s="245">
        <f>Transfer!AD151</f>
        <v>1.41571</v>
      </c>
      <c r="AO200" s="245">
        <f>100*((Transfer!AD151/Transfer!AC151)-1)</f>
        <v>5.979802819221014</v>
      </c>
      <c r="AP200" s="92">
        <f>Transfer!AE151</f>
        <v>1.6705378</v>
      </c>
      <c r="AQ200" s="245">
        <f>100*((Transfer!AE151/Transfer!AD151)-1)</f>
        <v>17.999999999999993</v>
      </c>
      <c r="AR200" s="91">
        <f>Transfer!AF151</f>
        <v>1.720653934</v>
      </c>
      <c r="AS200" s="245">
        <f>100*((Transfer!AF151/Transfer!AE151)-1)</f>
        <v>3.0000000000000027</v>
      </c>
      <c r="AT200" s="92">
        <f>Transfer!AG151</f>
        <v>1.7722735520200001</v>
      </c>
      <c r="AU200" s="320">
        <f>100*((Transfer!AG151/Transfer!AF151)-1)</f>
        <v>3.0000000000000027</v>
      </c>
      <c r="AV200" s="199"/>
      <c r="AW200" s="240"/>
      <c r="AX200" s="54"/>
      <c r="AY200" s="54"/>
      <c r="AZ200" s="54"/>
      <c r="BA200" s="1707" t="s">
        <v>520</v>
      </c>
      <c r="BB200" s="54"/>
      <c r="BC200" s="54"/>
    </row>
    <row r="201" spans="1:55" ht="13.5" thickBot="1">
      <c r="A201" s="45"/>
      <c r="B201" s="1992"/>
      <c r="C201" s="2469" t="s">
        <v>74</v>
      </c>
      <c r="D201" s="2470"/>
      <c r="E201" s="2590" t="s">
        <v>1328</v>
      </c>
      <c r="F201" s="2591">
        <f ca="1">Transfer!D147</f>
        <v>38.668320000000001</v>
      </c>
      <c r="G201" s="2591">
        <f ca="1">100*((Transfer!D147/Transfer!C147)-1)</f>
        <v>3.3177196652328211</v>
      </c>
      <c r="H201" s="2592">
        <f ca="1">Transfer!E147</f>
        <v>41.779594892398123</v>
      </c>
      <c r="I201" s="2591">
        <f ca="1">100*((Transfer!E147/Transfer!D147)-1)</f>
        <v>8.0460565455083621</v>
      </c>
      <c r="J201" s="2592">
        <f ca="1">Transfer!F147</f>
        <v>44.211558409957277</v>
      </c>
      <c r="K201" s="2591">
        <f ca="1">100*((Transfer!F147/Transfer!E147)-1)</f>
        <v>5.8209360905068452</v>
      </c>
      <c r="L201" s="2592">
        <f ca="1">Transfer!G147</f>
        <v>46.676249894100508</v>
      </c>
      <c r="M201" s="2593">
        <f ca="1">100*((Transfer!G147/Transfer!F147)-1)</f>
        <v>5.5747672617397104</v>
      </c>
      <c r="N201" s="2372"/>
      <c r="O201" s="157"/>
      <c r="P201" s="54"/>
      <c r="Q201" s="54"/>
      <c r="R201" s="54"/>
      <c r="S201" s="259"/>
      <c r="T201" s="321" t="s">
        <v>74</v>
      </c>
      <c r="U201" s="322"/>
      <c r="V201" s="323" t="s">
        <v>1328</v>
      </c>
      <c r="W201" s="91">
        <f t="shared" ca="1" si="12"/>
        <v>-75</v>
      </c>
      <c r="X201" s="91">
        <f t="shared" ca="1" si="12"/>
        <v>-3.1000000000000005</v>
      </c>
      <c r="Y201" s="91">
        <f t="shared" ca="1" si="12"/>
        <v>-78.2</v>
      </c>
      <c r="Z201" s="91">
        <f t="shared" ca="1" si="12"/>
        <v>2.5</v>
      </c>
      <c r="AA201" s="91">
        <f t="shared" ca="1" si="12"/>
        <v>-83.2</v>
      </c>
      <c r="AB201" s="91">
        <f t="shared" ca="1" si="12"/>
        <v>-0.40000000000000036</v>
      </c>
      <c r="AC201" s="91">
        <f t="shared" ca="1" si="12"/>
        <v>-89.399999999999991</v>
      </c>
      <c r="AD201" s="112">
        <f t="shared" ca="1" si="12"/>
        <v>-1.2000000000000002</v>
      </c>
      <c r="AE201" s="85"/>
      <c r="AF201" s="45"/>
      <c r="AG201" s="45"/>
      <c r="AH201" s="45"/>
      <c r="AI201" s="45"/>
      <c r="AJ201" s="259"/>
      <c r="AK201" s="321" t="s">
        <v>74</v>
      </c>
      <c r="AL201" s="322"/>
      <c r="AM201" s="323" t="s">
        <v>1328</v>
      </c>
      <c r="AN201" s="324">
        <f>Transfer!AD147</f>
        <v>113.7347</v>
      </c>
      <c r="AO201" s="324">
        <f>100*((Transfer!AD147/Transfer!AC147)-1)</f>
        <v>6.4001045527502631</v>
      </c>
      <c r="AP201" s="325">
        <f>Transfer!AE147</f>
        <v>120.03976193946914</v>
      </c>
      <c r="AQ201" s="324">
        <f>100*((Transfer!AE147/Transfer!AD147)-1)</f>
        <v>5.5436572474971468</v>
      </c>
      <c r="AR201" s="325">
        <f>Transfer!AF147</f>
        <v>127.43140267974128</v>
      </c>
      <c r="AS201" s="324">
        <f>100*((Transfer!AF147/Transfer!AE147)-1)</f>
        <v>6.1576602792659862</v>
      </c>
      <c r="AT201" s="325">
        <f>Transfer!AG147</f>
        <v>136.09985059471535</v>
      </c>
      <c r="AU201" s="326">
        <f>100*((Transfer!AG147/Transfer!AF147)-1)</f>
        <v>6.8024425162763746</v>
      </c>
      <c r="AV201" s="85"/>
      <c r="AW201" s="157"/>
      <c r="AX201" s="54"/>
      <c r="AY201" s="54"/>
      <c r="AZ201" s="54"/>
      <c r="BA201" s="1708" t="s">
        <v>522</v>
      </c>
      <c r="BB201" s="54"/>
      <c r="BC201" s="54"/>
    </row>
    <row r="202" spans="1:55" ht="13.5" thickBot="1">
      <c r="A202" s="45"/>
      <c r="B202" s="1665"/>
      <c r="C202" s="2594" t="s">
        <v>2002</v>
      </c>
      <c r="D202" s="2595"/>
      <c r="E202" s="2595"/>
      <c r="F202" s="2595"/>
      <c r="G202" s="2595"/>
      <c r="H202" s="2595"/>
      <c r="I202" s="2595"/>
      <c r="J202" s="2595"/>
      <c r="K202" s="2595"/>
      <c r="L202" s="2595"/>
      <c r="M202" s="2596"/>
      <c r="N202" s="1664"/>
      <c r="O202" s="331"/>
      <c r="P202" s="54"/>
      <c r="Q202" s="54"/>
      <c r="R202" s="54"/>
      <c r="S202" s="60"/>
      <c r="T202" s="1681" t="s">
        <v>2002</v>
      </c>
      <c r="U202" s="1682"/>
      <c r="V202" s="1682"/>
      <c r="W202" s="1682"/>
      <c r="X202" s="1682"/>
      <c r="Y202" s="1683"/>
      <c r="Z202" s="1682"/>
      <c r="AA202" s="1682"/>
      <c r="AB202" s="1682"/>
      <c r="AC202" s="1682"/>
      <c r="AD202" s="1684"/>
      <c r="AE202" s="90"/>
      <c r="AF202" s="45"/>
      <c r="AG202" s="45"/>
      <c r="AH202" s="45"/>
      <c r="AI202" s="45"/>
      <c r="AJ202" s="60"/>
      <c r="AK202" s="1681" t="s">
        <v>2002</v>
      </c>
      <c r="AL202" s="1682"/>
      <c r="AM202" s="1682"/>
      <c r="AN202" s="1682"/>
      <c r="AO202" s="1682"/>
      <c r="AP202" s="1683"/>
      <c r="AQ202" s="1682"/>
      <c r="AR202" s="1682"/>
      <c r="AS202" s="1682"/>
      <c r="AT202" s="1682"/>
      <c r="AU202" s="1684"/>
      <c r="AV202" s="90"/>
      <c r="AW202" s="331"/>
      <c r="AX202" s="54"/>
      <c r="AY202" s="54"/>
      <c r="AZ202" s="54"/>
      <c r="BA202" s="45"/>
      <c r="BB202" s="54"/>
      <c r="BC202" s="54"/>
    </row>
    <row r="203" spans="1:55">
      <c r="A203" s="45"/>
      <c r="B203" s="2597"/>
      <c r="C203" s="2598"/>
      <c r="D203" s="2477"/>
      <c r="E203" s="2477"/>
      <c r="F203" s="2477"/>
      <c r="G203" s="2477"/>
      <c r="H203" s="2477"/>
      <c r="I203" s="2477"/>
      <c r="J203" s="2477"/>
      <c r="K203" s="2477"/>
      <c r="L203" s="2477"/>
      <c r="M203" s="2599" t="str">
        <f>UPPER(Country)</f>
        <v>LITHUANIA</v>
      </c>
      <c r="N203" s="2600"/>
      <c r="O203" s="45"/>
      <c r="P203" s="45"/>
      <c r="Q203" s="45"/>
      <c r="R203" s="45"/>
      <c r="S203" s="327"/>
      <c r="T203" s="328"/>
      <c r="U203" s="113"/>
      <c r="V203" s="113"/>
      <c r="W203" s="113"/>
      <c r="X203" s="113"/>
      <c r="Y203" s="113"/>
      <c r="Z203" s="113"/>
      <c r="AA203" s="113"/>
      <c r="AB203" s="113"/>
      <c r="AC203" s="113"/>
      <c r="AD203" s="329" t="str">
        <f>UPPER(Country)</f>
        <v>LITHUANIA</v>
      </c>
      <c r="AE203" s="330"/>
      <c r="AF203" s="45"/>
      <c r="AG203" s="45"/>
      <c r="AH203" s="45"/>
      <c r="AI203" s="45"/>
      <c r="AJ203" s="327"/>
      <c r="AK203" s="328"/>
      <c r="AL203" s="113"/>
      <c r="AM203" s="113"/>
      <c r="AN203" s="113"/>
      <c r="AO203" s="113"/>
      <c r="AP203" s="113"/>
      <c r="AQ203" s="113"/>
      <c r="AR203" s="113"/>
      <c r="AS203" s="113"/>
      <c r="AT203" s="113"/>
      <c r="AU203" s="329" t="str">
        <f>UPPER(Country)</f>
        <v>LITHUANIA</v>
      </c>
      <c r="AV203" s="330"/>
      <c r="AW203" s="45"/>
      <c r="AX203" s="45"/>
      <c r="AY203" s="45"/>
      <c r="AZ203" s="54"/>
      <c r="BA203" s="45"/>
      <c r="BB203" s="54"/>
      <c r="BC203" s="54"/>
    </row>
    <row r="204" spans="1:55">
      <c r="A204" s="45"/>
      <c r="B204" s="54"/>
      <c r="C204" s="45"/>
      <c r="D204" s="45"/>
      <c r="E204" s="45"/>
      <c r="F204" s="45"/>
      <c r="G204" s="45"/>
      <c r="H204" s="45"/>
      <c r="I204" s="45"/>
      <c r="J204" s="45"/>
      <c r="K204" s="45"/>
      <c r="L204" s="45"/>
      <c r="M204" s="45"/>
      <c r="N204" s="187"/>
      <c r="O204" s="45"/>
      <c r="P204" s="45"/>
      <c r="Q204" s="45"/>
      <c r="R204" s="45"/>
      <c r="S204" s="45"/>
      <c r="T204" s="45"/>
      <c r="U204" s="45"/>
      <c r="V204" s="45"/>
      <c r="W204" s="45"/>
      <c r="X204" s="45"/>
      <c r="Y204" s="45"/>
      <c r="Z204" s="45"/>
      <c r="AA204" s="45"/>
      <c r="AB204" s="45"/>
      <c r="AC204" s="45"/>
      <c r="AD204" s="45"/>
      <c r="AE204" s="45"/>
      <c r="AF204" s="45"/>
      <c r="AG204" s="45"/>
      <c r="AH204" s="45"/>
      <c r="AI204" s="45"/>
      <c r="AJ204" s="54"/>
      <c r="AK204" s="45"/>
      <c r="AL204" s="45"/>
      <c r="AM204" s="45"/>
      <c r="AN204" s="45"/>
      <c r="AO204" s="45"/>
      <c r="AP204" s="45"/>
      <c r="AQ204" s="45"/>
      <c r="AR204" s="45"/>
      <c r="AS204" s="45"/>
      <c r="AT204" s="45"/>
      <c r="AU204" s="45"/>
      <c r="AV204" s="187"/>
      <c r="AW204" s="45"/>
      <c r="AX204" s="45"/>
      <c r="AY204" s="45"/>
      <c r="AZ204" s="54"/>
      <c r="BA204" s="45"/>
      <c r="BB204" s="54"/>
      <c r="BC204" s="54"/>
    </row>
    <row r="205" spans="1:55">
      <c r="A205" s="45"/>
      <c r="B205" s="54"/>
      <c r="C205" s="332"/>
      <c r="D205" s="332"/>
      <c r="E205" s="45"/>
      <c r="F205" s="45"/>
      <c r="G205" s="45"/>
      <c r="H205" s="45"/>
      <c r="I205" s="45"/>
      <c r="J205" s="45"/>
      <c r="K205" s="45"/>
      <c r="L205" s="45"/>
      <c r="M205" s="45"/>
      <c r="N205" s="187"/>
      <c r="O205" s="240"/>
      <c r="P205" s="45"/>
      <c r="Q205" s="45"/>
      <c r="R205" s="45"/>
      <c r="S205" s="45"/>
      <c r="T205" s="45"/>
      <c r="U205" s="45"/>
      <c r="V205" s="45"/>
      <c r="W205" s="45"/>
      <c r="X205" s="45"/>
      <c r="Y205" s="45"/>
      <c r="Z205" s="45"/>
      <c r="AA205" s="45"/>
      <c r="AB205" s="45"/>
      <c r="AC205" s="45"/>
      <c r="AD205" s="45"/>
      <c r="AE205" s="45"/>
      <c r="AF205" s="45"/>
      <c r="AG205" s="45"/>
      <c r="AH205" s="45"/>
      <c r="AI205" s="45"/>
      <c r="AJ205" s="54"/>
      <c r="AK205" s="332"/>
      <c r="AL205" s="332"/>
      <c r="AM205" s="45"/>
      <c r="AN205" s="45"/>
      <c r="AO205" s="45"/>
      <c r="AP205" s="45"/>
      <c r="AQ205" s="45"/>
      <c r="AR205" s="45"/>
      <c r="AS205" s="45"/>
      <c r="AT205" s="45"/>
      <c r="AU205" s="45"/>
      <c r="AV205" s="187"/>
      <c r="AW205" s="240"/>
      <c r="AX205" s="45"/>
      <c r="AY205" s="45"/>
      <c r="AZ205" s="54"/>
      <c r="BA205" s="45"/>
      <c r="BB205" s="54"/>
      <c r="BC205" s="54"/>
    </row>
    <row r="206" spans="1:55">
      <c r="A206" s="45"/>
      <c r="B206" s="54"/>
      <c r="C206" s="333"/>
      <c r="D206" s="333"/>
      <c r="E206" s="45"/>
      <c r="F206" s="45"/>
      <c r="G206" s="45"/>
      <c r="H206" s="45"/>
      <c r="I206" s="45"/>
      <c r="J206" s="45"/>
      <c r="K206" s="45"/>
      <c r="L206" s="45"/>
      <c r="M206" s="45"/>
      <c r="N206" s="187"/>
      <c r="O206" s="240"/>
      <c r="P206" s="45"/>
      <c r="Q206" s="45"/>
      <c r="R206" s="45"/>
      <c r="S206" s="45"/>
      <c r="T206" s="45"/>
      <c r="U206" s="45"/>
      <c r="V206" s="45"/>
      <c r="W206" s="45"/>
      <c r="X206" s="45"/>
      <c r="Y206" s="45"/>
      <c r="Z206" s="45"/>
      <c r="AA206" s="45"/>
      <c r="AB206" s="45"/>
      <c r="AC206" s="45"/>
      <c r="AD206" s="45"/>
      <c r="AE206" s="45"/>
      <c r="AF206" s="45"/>
      <c r="AG206" s="45"/>
      <c r="AH206" s="45"/>
      <c r="AI206" s="45"/>
      <c r="AJ206" s="54"/>
      <c r="AK206" s="333"/>
      <c r="AL206" s="333"/>
      <c r="AM206" s="45"/>
      <c r="AN206" s="45"/>
      <c r="AO206" s="45"/>
      <c r="AP206" s="45"/>
      <c r="AQ206" s="45"/>
      <c r="AR206" s="45"/>
      <c r="AS206" s="45"/>
      <c r="AT206" s="45"/>
      <c r="AU206" s="45"/>
      <c r="AV206" s="187"/>
      <c r="AW206" s="240"/>
      <c r="AX206" s="45"/>
      <c r="AY206" s="45"/>
      <c r="AZ206" s="54"/>
      <c r="BA206" s="45"/>
      <c r="BB206" s="54"/>
      <c r="BC206" s="54"/>
    </row>
    <row r="207" spans="1:55">
      <c r="A207" s="45"/>
      <c r="B207" s="54"/>
      <c r="C207" s="54"/>
      <c r="D207" s="54"/>
      <c r="E207" s="45"/>
      <c r="F207" s="45"/>
      <c r="G207" s="45"/>
      <c r="H207" s="45"/>
      <c r="I207" s="45"/>
      <c r="J207" s="45"/>
      <c r="K207" s="45"/>
      <c r="L207" s="45"/>
      <c r="M207" s="45"/>
      <c r="N207" s="334"/>
      <c r="O207" s="334"/>
      <c r="P207" s="45"/>
      <c r="Q207" s="45"/>
      <c r="R207" s="45"/>
      <c r="S207" s="45"/>
      <c r="T207" s="45"/>
      <c r="U207" s="45"/>
      <c r="V207" s="45"/>
      <c r="W207" s="45"/>
      <c r="X207" s="45"/>
      <c r="Y207" s="45"/>
      <c r="Z207" s="45"/>
      <c r="AA207" s="45"/>
      <c r="AB207" s="45"/>
      <c r="AC207" s="45"/>
      <c r="AD207" s="45"/>
      <c r="AE207" s="45"/>
      <c r="AF207" s="45"/>
      <c r="AG207" s="45"/>
      <c r="AH207" s="45"/>
      <c r="AI207" s="45"/>
      <c r="AJ207" s="54"/>
      <c r="AK207" s="54"/>
      <c r="AL207" s="54"/>
      <c r="AM207" s="45"/>
      <c r="AN207" s="45"/>
      <c r="AO207" s="45"/>
      <c r="AP207" s="45"/>
      <c r="AQ207" s="45"/>
      <c r="AR207" s="45"/>
      <c r="AS207" s="45"/>
      <c r="AT207" s="45"/>
      <c r="AU207" s="45"/>
      <c r="AV207" s="334"/>
      <c r="AW207" s="334"/>
      <c r="AX207" s="45"/>
      <c r="AY207" s="45"/>
      <c r="AZ207" s="54"/>
      <c r="BA207" s="45"/>
      <c r="BB207" s="54"/>
      <c r="BC207" s="54"/>
    </row>
    <row r="208" spans="1:55">
      <c r="A208" s="45"/>
      <c r="B208" s="54"/>
      <c r="C208" s="54"/>
      <c r="D208" s="54"/>
      <c r="E208" s="54"/>
      <c r="F208" s="54"/>
      <c r="G208" s="54"/>
      <c r="H208" s="54"/>
      <c r="I208" s="54"/>
      <c r="J208" s="54"/>
      <c r="K208" s="54"/>
      <c r="L208" s="54"/>
      <c r="M208" s="54"/>
      <c r="N208" s="54"/>
      <c r="O208" s="54"/>
      <c r="P208" s="45"/>
      <c r="Q208" s="45"/>
      <c r="R208" s="45"/>
      <c r="S208" s="54"/>
      <c r="T208" s="54"/>
      <c r="U208" s="54"/>
      <c r="V208" s="54"/>
      <c r="W208" s="54"/>
      <c r="X208" s="54"/>
      <c r="Y208" s="54"/>
      <c r="Z208" s="54"/>
      <c r="AA208" s="45"/>
      <c r="AB208" s="45"/>
      <c r="AC208" s="45"/>
      <c r="AD208" s="45"/>
      <c r="AE208" s="45"/>
      <c r="AF208" s="45"/>
      <c r="AG208" s="45"/>
      <c r="AH208" s="45"/>
      <c r="AI208" s="45"/>
      <c r="AJ208" s="54"/>
      <c r="AK208" s="54"/>
      <c r="AL208" s="54"/>
      <c r="AM208" s="54"/>
      <c r="AN208" s="54"/>
      <c r="AO208" s="54"/>
      <c r="AP208" s="54"/>
      <c r="AQ208" s="54"/>
      <c r="AR208" s="54"/>
      <c r="AS208" s="54"/>
      <c r="AT208" s="54"/>
      <c r="AU208" s="54"/>
      <c r="AV208" s="54"/>
      <c r="AW208" s="54"/>
      <c r="AX208" s="45"/>
      <c r="AY208" s="45"/>
      <c r="AZ208" s="54"/>
      <c r="BA208" s="45"/>
      <c r="BB208" s="54"/>
      <c r="BC208" s="54"/>
    </row>
    <row r="209" spans="1:55">
      <c r="A209" s="45"/>
      <c r="B209" s="54"/>
      <c r="C209" s="54"/>
      <c r="D209" s="54"/>
      <c r="E209" s="54"/>
      <c r="F209" s="54"/>
      <c r="G209" s="54"/>
      <c r="H209" s="54"/>
      <c r="I209" s="54"/>
      <c r="J209" s="54"/>
      <c r="K209" s="54"/>
      <c r="L209" s="54"/>
      <c r="M209" s="54"/>
      <c r="N209" s="54"/>
      <c r="O209" s="54"/>
      <c r="P209" s="54"/>
      <c r="Q209" s="54"/>
      <c r="R209" s="54"/>
      <c r="S209" s="54"/>
      <c r="T209" s="54"/>
      <c r="U209" s="54"/>
      <c r="V209" s="54"/>
      <c r="W209" s="54"/>
      <c r="X209" s="54"/>
      <c r="Y209" s="54"/>
      <c r="Z209" s="54"/>
      <c r="AA209" s="54"/>
      <c r="AB209" s="45"/>
      <c r="AC209" s="45"/>
      <c r="AD209" s="45"/>
      <c r="AE209" s="45"/>
      <c r="AF209" s="45"/>
      <c r="AG209" s="45"/>
      <c r="AH209" s="45"/>
      <c r="AI209" s="45"/>
      <c r="AJ209" s="54"/>
      <c r="AK209" s="54"/>
      <c r="AL209" s="54"/>
      <c r="AM209" s="54"/>
      <c r="AN209" s="54"/>
      <c r="AO209" s="54"/>
      <c r="AP209" s="54"/>
      <c r="AQ209" s="54"/>
      <c r="AR209" s="54"/>
      <c r="AS209" s="54"/>
      <c r="AT209" s="54"/>
      <c r="AU209" s="54"/>
      <c r="AV209" s="54"/>
      <c r="AW209" s="54"/>
      <c r="AX209" s="54"/>
      <c r="AY209" s="54"/>
      <c r="AZ209" s="54"/>
      <c r="BA209" s="54"/>
      <c r="BB209" s="54"/>
      <c r="BC209" s="54"/>
    </row>
    <row r="210" spans="1:55">
      <c r="A210" s="45"/>
      <c r="B210" s="54"/>
      <c r="C210" s="54"/>
      <c r="D210" s="54"/>
      <c r="E210" s="54"/>
      <c r="F210" s="54"/>
      <c r="G210" s="54"/>
      <c r="H210" s="54"/>
      <c r="I210" s="54"/>
      <c r="J210" s="54"/>
      <c r="K210" s="54"/>
      <c r="L210" s="54"/>
      <c r="M210" s="54"/>
      <c r="N210" s="54"/>
      <c r="O210" s="54"/>
      <c r="P210" s="54"/>
      <c r="Q210" s="54"/>
      <c r="R210" s="54"/>
      <c r="S210" s="54"/>
      <c r="T210" s="54"/>
      <c r="U210" s="54"/>
      <c r="V210" s="54"/>
      <c r="W210" s="54"/>
      <c r="X210" s="54"/>
      <c r="Y210" s="54"/>
      <c r="Z210" s="54"/>
      <c r="AA210" s="54"/>
      <c r="AB210" s="45"/>
      <c r="AC210" s="45"/>
      <c r="AD210" s="45"/>
      <c r="AE210" s="45"/>
      <c r="AF210" s="45"/>
      <c r="AG210" s="45"/>
      <c r="AH210" s="45"/>
      <c r="AI210" s="45"/>
      <c r="AJ210" s="54"/>
      <c r="AK210" s="54"/>
      <c r="AL210" s="54"/>
      <c r="AM210" s="54"/>
      <c r="AN210" s="54"/>
      <c r="AO210" s="54"/>
      <c r="AP210" s="54"/>
      <c r="AQ210" s="54"/>
      <c r="AR210" s="54"/>
      <c r="AS210" s="54"/>
      <c r="AT210" s="54"/>
      <c r="AU210" s="54"/>
      <c r="AV210" s="54"/>
      <c r="AW210" s="54"/>
      <c r="AX210" s="54"/>
      <c r="AY210" s="54"/>
      <c r="AZ210" s="54"/>
      <c r="BA210" s="54"/>
      <c r="BB210" s="54"/>
      <c r="BC210" s="54"/>
    </row>
    <row r="211" spans="1:55">
      <c r="A211" s="45"/>
      <c r="B211" s="45"/>
      <c r="C211" s="45"/>
      <c r="D211" s="54"/>
      <c r="E211" s="54"/>
      <c r="F211" s="54"/>
      <c r="G211" s="54"/>
      <c r="H211" s="54"/>
      <c r="I211" s="54"/>
      <c r="J211" s="54"/>
      <c r="K211" s="54"/>
      <c r="L211" s="54"/>
      <c r="M211" s="54"/>
      <c r="N211" s="54"/>
      <c r="O211" s="54"/>
      <c r="P211" s="54"/>
      <c r="Q211" s="54"/>
      <c r="R211" s="54"/>
      <c r="S211" s="54"/>
      <c r="T211" s="54"/>
      <c r="U211" s="54"/>
      <c r="V211" s="54"/>
      <c r="W211" s="54"/>
      <c r="X211" s="54"/>
      <c r="Y211" s="54"/>
      <c r="Z211" s="54"/>
      <c r="AA211" s="54"/>
      <c r="AB211" s="45"/>
      <c r="AC211" s="45"/>
      <c r="AD211" s="45"/>
      <c r="AE211" s="45"/>
      <c r="AF211" s="45"/>
      <c r="AG211" s="45"/>
      <c r="AH211" s="45"/>
      <c r="AI211" s="45"/>
      <c r="AJ211" s="45"/>
      <c r="AK211" s="45"/>
      <c r="AL211" s="54"/>
      <c r="AM211" s="54"/>
      <c r="AN211" s="54"/>
      <c r="AO211" s="54"/>
      <c r="AP211" s="54"/>
      <c r="AQ211" s="54"/>
      <c r="AR211" s="54"/>
      <c r="AS211" s="54"/>
      <c r="AT211" s="54"/>
      <c r="AU211" s="54"/>
      <c r="AV211" s="54"/>
      <c r="AW211" s="54"/>
      <c r="AX211" s="54"/>
      <c r="AY211" s="54"/>
      <c r="AZ211" s="54"/>
      <c r="BA211" s="54"/>
      <c r="BB211" s="54"/>
      <c r="BC211" s="54"/>
    </row>
    <row r="212" spans="1:55">
      <c r="A212" s="45"/>
      <c r="B212" s="45"/>
      <c r="C212" s="45"/>
      <c r="D212" s="54"/>
      <c r="E212" s="54"/>
      <c r="F212" s="54"/>
      <c r="G212" s="54"/>
      <c r="H212" s="54"/>
      <c r="I212" s="54"/>
      <c r="J212" s="54"/>
      <c r="K212" s="54"/>
      <c r="L212" s="54"/>
      <c r="M212" s="54"/>
      <c r="N212" s="54"/>
      <c r="O212" s="54"/>
      <c r="P212" s="54"/>
      <c r="Q212" s="54"/>
      <c r="R212" s="54"/>
      <c r="S212" s="54"/>
      <c r="T212" s="54"/>
      <c r="U212" s="54"/>
      <c r="V212" s="54"/>
      <c r="W212" s="54"/>
      <c r="X212" s="54"/>
      <c r="Y212" s="54"/>
      <c r="Z212" s="54"/>
      <c r="AA212" s="54"/>
      <c r="AB212" s="45"/>
      <c r="AC212" s="45"/>
      <c r="AD212" s="45"/>
      <c r="AE212" s="45"/>
      <c r="AF212" s="45"/>
      <c r="AG212" s="45"/>
      <c r="AH212" s="45"/>
      <c r="AI212" s="45"/>
      <c r="AJ212" s="45"/>
      <c r="AK212" s="45"/>
      <c r="AL212" s="54"/>
      <c r="AM212" s="54"/>
      <c r="AN212" s="54"/>
      <c r="AO212" s="54"/>
      <c r="AP212" s="54"/>
      <c r="AQ212" s="54"/>
      <c r="AR212" s="54"/>
      <c r="AS212" s="54"/>
      <c r="AT212" s="54"/>
      <c r="AU212" s="54"/>
      <c r="AV212" s="54"/>
      <c r="AW212" s="54"/>
      <c r="AX212" s="54"/>
      <c r="AY212" s="54"/>
      <c r="AZ212" s="54"/>
      <c r="BA212" s="54"/>
      <c r="BB212" s="54"/>
      <c r="BC212" s="54"/>
    </row>
    <row r="213" spans="1:55">
      <c r="A213" s="45"/>
      <c r="B213" s="45"/>
      <c r="C213" s="45"/>
      <c r="D213" s="54"/>
      <c r="E213" s="54"/>
      <c r="F213" s="54"/>
      <c r="G213" s="54"/>
      <c r="H213" s="54"/>
      <c r="I213" s="54"/>
      <c r="J213" s="54"/>
      <c r="K213" s="54"/>
      <c r="L213" s="54"/>
      <c r="M213" s="54"/>
      <c r="N213" s="54"/>
      <c r="O213" s="54"/>
      <c r="P213" s="54"/>
      <c r="Q213" s="54"/>
      <c r="R213" s="54"/>
      <c r="S213" s="54"/>
      <c r="T213" s="54"/>
      <c r="U213" s="54"/>
      <c r="V213" s="54"/>
      <c r="W213" s="54"/>
      <c r="X213" s="54"/>
      <c r="Y213" s="54"/>
      <c r="Z213" s="54"/>
      <c r="AA213" s="54"/>
      <c r="AB213" s="45"/>
      <c r="AC213" s="45"/>
      <c r="AD213" s="45"/>
      <c r="AE213" s="45"/>
      <c r="AF213" s="45"/>
      <c r="AG213" s="45"/>
      <c r="AH213" s="45"/>
      <c r="AI213" s="45"/>
      <c r="AJ213" s="45"/>
      <c r="AK213" s="45"/>
      <c r="AL213" s="54"/>
      <c r="AM213" s="54"/>
      <c r="AN213" s="54"/>
      <c r="AO213" s="54"/>
      <c r="AP213" s="54"/>
      <c r="AQ213" s="54"/>
      <c r="AR213" s="54"/>
      <c r="AS213" s="54"/>
      <c r="AT213" s="54"/>
      <c r="AU213" s="54"/>
      <c r="AV213" s="54"/>
      <c r="AW213" s="54"/>
      <c r="AX213" s="54"/>
      <c r="AY213" s="54"/>
      <c r="AZ213" s="54"/>
      <c r="BA213" s="54"/>
      <c r="BB213" s="54"/>
      <c r="BC213" s="54"/>
    </row>
    <row r="214" spans="1:55">
      <c r="A214" s="45"/>
      <c r="B214" s="1991"/>
      <c r="C214" s="2601" t="s">
        <v>523</v>
      </c>
      <c r="D214" s="2601"/>
      <c r="E214" s="2343"/>
      <c r="F214" s="2343"/>
      <c r="G214" s="2343"/>
      <c r="H214" s="2343"/>
      <c r="I214" s="2495"/>
      <c r="J214" s="258"/>
      <c r="K214" s="258"/>
      <c r="L214" s="258"/>
      <c r="M214" s="258"/>
      <c r="N214" s="54"/>
      <c r="O214" s="54"/>
      <c r="P214" s="54"/>
      <c r="Q214" s="54"/>
      <c r="R214" s="54"/>
      <c r="S214" s="335"/>
      <c r="T214" s="336" t="s">
        <v>523</v>
      </c>
      <c r="U214" s="336"/>
      <c r="V214" s="100"/>
      <c r="W214" s="100"/>
      <c r="X214" s="100"/>
      <c r="Y214" s="100"/>
      <c r="Z214" s="238"/>
      <c r="AA214" s="54"/>
      <c r="AB214" s="45"/>
      <c r="AC214" s="45"/>
      <c r="AD214" s="45"/>
      <c r="AE214" s="45"/>
      <c r="AF214" s="45"/>
      <c r="AG214" s="45"/>
      <c r="AH214" s="45"/>
      <c r="AI214" s="45"/>
      <c r="AJ214" s="335"/>
      <c r="AK214" s="336" t="s">
        <v>523</v>
      </c>
      <c r="AL214" s="336"/>
      <c r="AM214" s="100"/>
      <c r="AN214" s="100"/>
      <c r="AO214" s="100"/>
      <c r="AP214" s="100"/>
      <c r="AQ214" s="238"/>
      <c r="AR214" s="258"/>
      <c r="AS214" s="258"/>
      <c r="AT214" s="258"/>
      <c r="AU214" s="258"/>
      <c r="AV214" s="54"/>
      <c r="AW214" s="54"/>
      <c r="AX214" s="54"/>
      <c r="AY214" s="54"/>
      <c r="AZ214" s="54"/>
      <c r="BA214" s="54"/>
      <c r="BB214" s="54"/>
      <c r="BC214" s="54"/>
    </row>
    <row r="215" spans="1:55">
      <c r="A215" s="45"/>
      <c r="B215" s="1673"/>
      <c r="C215" s="3752" t="s">
        <v>388</v>
      </c>
      <c r="D215" s="3752"/>
      <c r="E215" s="3752"/>
      <c r="F215" s="3752"/>
      <c r="G215" s="3752"/>
      <c r="H215" s="3752"/>
      <c r="I215" s="2530"/>
      <c r="J215" s="258"/>
      <c r="K215" s="258"/>
      <c r="L215" s="258"/>
      <c r="M215" s="258"/>
      <c r="N215" s="54"/>
      <c r="O215" s="54"/>
      <c r="P215" s="54"/>
      <c r="Q215" s="54"/>
      <c r="R215" s="54"/>
      <c r="S215" s="275"/>
      <c r="T215" s="3752" t="s">
        <v>388</v>
      </c>
      <c r="U215" s="3752"/>
      <c r="V215" s="3752"/>
      <c r="W215" s="3752"/>
      <c r="X215" s="3752"/>
      <c r="Y215" s="3752"/>
      <c r="Z215" s="260"/>
      <c r="AA215" s="54"/>
      <c r="AB215" s="45"/>
      <c r="AC215" s="45"/>
      <c r="AD215" s="45"/>
      <c r="AE215" s="45"/>
      <c r="AF215" s="45"/>
      <c r="AG215" s="45"/>
      <c r="AH215" s="45"/>
      <c r="AI215" s="45"/>
      <c r="AJ215" s="275"/>
      <c r="AK215" s="3752" t="s">
        <v>388</v>
      </c>
      <c r="AL215" s="3752"/>
      <c r="AM215" s="3752"/>
      <c r="AN215" s="3752"/>
      <c r="AO215" s="3752"/>
      <c r="AP215" s="3752"/>
      <c r="AQ215" s="260"/>
      <c r="AR215" s="258"/>
      <c r="AS215" s="258"/>
      <c r="AT215" s="258"/>
      <c r="AU215" s="258"/>
      <c r="AV215" s="54"/>
      <c r="AW215" s="54"/>
      <c r="AX215" s="54"/>
      <c r="AY215" s="54"/>
      <c r="AZ215" s="54"/>
      <c r="BA215" s="54"/>
      <c r="BB215" s="54"/>
      <c r="BC215" s="54"/>
    </row>
    <row r="216" spans="1:55" ht="15.75">
      <c r="A216" s="45"/>
      <c r="B216" s="1673"/>
      <c r="C216" s="2349" t="str">
        <f>"Country: " &amp;UPPER(Country)</f>
        <v>Country: LITHUANIA</v>
      </c>
      <c r="D216" s="2480"/>
      <c r="E216" s="2351"/>
      <c r="F216" s="2351"/>
      <c r="G216" s="2351"/>
      <c r="H216" s="2351"/>
      <c r="I216" s="2452"/>
      <c r="J216" s="258"/>
      <c r="K216" s="258"/>
      <c r="L216" s="258"/>
      <c r="M216" s="258"/>
      <c r="N216" s="54"/>
      <c r="O216" s="54"/>
      <c r="P216" s="54"/>
      <c r="Q216" s="54"/>
      <c r="R216" s="54"/>
      <c r="S216" s="275"/>
      <c r="T216" s="63" t="str">
        <f>"Country: " &amp;UPPER(Country)</f>
        <v>Country: LITHUANIA</v>
      </c>
      <c r="U216" s="222"/>
      <c r="V216" s="2006" t="s">
        <v>390</v>
      </c>
      <c r="W216" s="65"/>
      <c r="X216" s="65"/>
      <c r="Y216" s="65"/>
      <c r="Z216" s="196"/>
      <c r="AA216" s="54"/>
      <c r="AB216" s="45"/>
      <c r="AC216" s="45"/>
      <c r="AD216" s="45"/>
      <c r="AE216" s="45"/>
      <c r="AF216" s="45"/>
      <c r="AG216" s="45"/>
      <c r="AH216" s="45"/>
      <c r="AI216" s="45"/>
      <c r="AJ216" s="275"/>
      <c r="AK216" s="63" t="str">
        <f>"Country: " &amp;UPPER(Country)</f>
        <v>Country: LITHUANIA</v>
      </c>
      <c r="AL216" s="222"/>
      <c r="AM216" s="65"/>
      <c r="AN216" s="65"/>
      <c r="AO216" s="65"/>
      <c r="AP216" s="65"/>
      <c r="AQ216" s="196"/>
      <c r="AR216" s="258"/>
      <c r="AS216" s="258"/>
      <c r="AT216" s="258"/>
      <c r="AU216" s="258"/>
      <c r="AV216" s="54"/>
      <c r="AW216" s="54"/>
      <c r="AX216" s="54"/>
      <c r="AY216" s="54"/>
      <c r="AZ216" s="54"/>
      <c r="BA216" s="54"/>
      <c r="BB216" s="54"/>
      <c r="BC216" s="54"/>
    </row>
    <row r="217" spans="1:55" ht="15.75">
      <c r="A217" s="45"/>
      <c r="B217" s="1673"/>
      <c r="C217" s="2349" t="str">
        <f>"Currency unit: " &amp; Currency</f>
        <v>Currency unit: bn EUR</v>
      </c>
      <c r="D217" s="2480"/>
      <c r="E217" s="2351"/>
      <c r="F217" s="2445"/>
      <c r="G217" s="2445"/>
      <c r="H217" s="2445"/>
      <c r="I217" s="1664"/>
      <c r="J217" s="54"/>
      <c r="K217" s="54"/>
      <c r="L217" s="54"/>
      <c r="M217" s="54"/>
      <c r="N217" s="54"/>
      <c r="O217" s="54"/>
      <c r="P217" s="54"/>
      <c r="Q217" s="54"/>
      <c r="R217" s="54"/>
      <c r="S217" s="275"/>
      <c r="T217" s="63" t="str">
        <f>"Currency unit: " &amp; Currency</f>
        <v>Currency unit: bn EUR</v>
      </c>
      <c r="U217" s="222"/>
      <c r="V217" s="2006" t="str">
        <f>$T$4</f>
        <v>2nd storage</v>
      </c>
      <c r="W217" s="1"/>
      <c r="X217" s="1"/>
      <c r="Y217" s="1"/>
      <c r="Z217" s="90"/>
      <c r="AA217" s="54"/>
      <c r="AB217" s="45"/>
      <c r="AC217" s="45"/>
      <c r="AD217" s="45"/>
      <c r="AE217" s="45"/>
      <c r="AF217" s="45"/>
      <c r="AG217" s="45"/>
      <c r="AH217" s="45"/>
      <c r="AI217" s="45"/>
      <c r="AJ217" s="275"/>
      <c r="AK217" s="63" t="str">
        <f>"Currency unit: " &amp; Currency</f>
        <v>Currency unit: bn EUR</v>
      </c>
      <c r="AL217" s="222"/>
      <c r="AM217" s="65"/>
      <c r="AN217" s="1"/>
      <c r="AO217" s="1"/>
      <c r="AP217" s="1"/>
      <c r="AQ217" s="90"/>
      <c r="AR217" s="54"/>
      <c r="AS217" s="54"/>
      <c r="AT217" s="54"/>
      <c r="AU217" s="54"/>
      <c r="AV217" s="54"/>
      <c r="AW217" s="54"/>
      <c r="AX217" s="54"/>
      <c r="AY217" s="54"/>
      <c r="AZ217" s="54"/>
      <c r="BA217" s="54"/>
      <c r="BB217" s="54"/>
      <c r="BC217" s="54"/>
    </row>
    <row r="218" spans="1:55" ht="13.5" thickBot="1">
      <c r="A218" s="45"/>
      <c r="B218" s="1665"/>
      <c r="C218" s="2355" t="s">
        <v>297</v>
      </c>
      <c r="D218" s="2355"/>
      <c r="E218" s="2351"/>
      <c r="F218" s="2445"/>
      <c r="G218" s="3752">
        <f ca="1">NOW()</f>
        <v>43335.58773900463</v>
      </c>
      <c r="H218" s="3752"/>
      <c r="I218" s="2602"/>
      <c r="J218" s="54"/>
      <c r="K218" s="54"/>
      <c r="L218" s="54"/>
      <c r="M218" s="54"/>
      <c r="N218" s="54"/>
      <c r="O218" s="54"/>
      <c r="P218" s="54"/>
      <c r="Q218" s="54"/>
      <c r="R218" s="54"/>
      <c r="S218" s="190"/>
      <c r="T218" s="69" t="s">
        <v>297</v>
      </c>
      <c r="U218" s="69"/>
      <c r="V218" s="65"/>
      <c r="W218" s="1"/>
      <c r="X218" s="3752">
        <f ca="1">NOW()</f>
        <v>43335.58773900463</v>
      </c>
      <c r="Y218" s="3752"/>
      <c r="Z218" s="337"/>
      <c r="AA218" s="54"/>
      <c r="AB218" s="45"/>
      <c r="AC218" s="45"/>
      <c r="AD218" s="45"/>
      <c r="AE218" s="45"/>
      <c r="AF218" s="45"/>
      <c r="AG218" s="45"/>
      <c r="AH218" s="45"/>
      <c r="AI218" s="45"/>
      <c r="AJ218" s="190"/>
      <c r="AK218" s="69" t="s">
        <v>297</v>
      </c>
      <c r="AL218" s="69"/>
      <c r="AM218" s="65"/>
      <c r="AN218" s="1"/>
      <c r="AO218" s="3752">
        <f ca="1">NOW()</f>
        <v>43335.58773900463</v>
      </c>
      <c r="AP218" s="3752"/>
      <c r="AQ218" s="337"/>
      <c r="AR218" s="54"/>
      <c r="AS218" s="54"/>
      <c r="AT218" s="54"/>
      <c r="AU218" s="54"/>
      <c r="AV218" s="54"/>
      <c r="AW218" s="54"/>
      <c r="AX218" s="54"/>
      <c r="AY218" s="54"/>
      <c r="AZ218" s="54"/>
      <c r="BA218" s="54"/>
      <c r="BB218" s="54"/>
      <c r="BC218" s="54"/>
    </row>
    <row r="219" spans="1:55">
      <c r="A219" s="45"/>
      <c r="B219" s="1673"/>
      <c r="C219" s="2357"/>
      <c r="D219" s="2358"/>
      <c r="E219" s="2603">
        <f>E16</f>
        <v>2016</v>
      </c>
      <c r="F219" s="2603">
        <f>E219+1</f>
        <v>2017</v>
      </c>
      <c r="G219" s="2603">
        <f>F219+1</f>
        <v>2018</v>
      </c>
      <c r="H219" s="2604">
        <f>G219+1</f>
        <v>2019</v>
      </c>
      <c r="I219" s="2605"/>
      <c r="J219" s="54"/>
      <c r="K219" s="54"/>
      <c r="L219" s="54"/>
      <c r="M219" s="54"/>
      <c r="N219" s="54"/>
      <c r="O219" s="54"/>
      <c r="P219" s="54"/>
      <c r="Q219" s="54"/>
      <c r="R219" s="54"/>
      <c r="S219" s="275"/>
      <c r="T219" s="191"/>
      <c r="U219" s="73"/>
      <c r="V219" s="338">
        <f>Last_forecast_year - 3</f>
        <v>2016</v>
      </c>
      <c r="W219" s="338">
        <f>V219+1</f>
        <v>2017</v>
      </c>
      <c r="X219" s="338">
        <f>W219+1</f>
        <v>2018</v>
      </c>
      <c r="Y219" s="338">
        <f>X219+1</f>
        <v>2019</v>
      </c>
      <c r="Z219" s="339"/>
      <c r="AA219" s="54"/>
      <c r="AB219" s="45"/>
      <c r="AC219" s="45"/>
      <c r="AD219" s="45"/>
      <c r="AE219" s="45"/>
      <c r="AF219" s="45"/>
      <c r="AG219" s="45"/>
      <c r="AH219" s="45"/>
      <c r="AI219" s="45"/>
      <c r="AJ219" s="275"/>
      <c r="AK219" s="191"/>
      <c r="AL219" s="73"/>
      <c r="AM219" s="338">
        <f>AM16</f>
        <v>2016</v>
      </c>
      <c r="AN219" s="338">
        <f>AM219+1</f>
        <v>2017</v>
      </c>
      <c r="AO219" s="338">
        <f>AN219+1</f>
        <v>2018</v>
      </c>
      <c r="AP219" s="2149">
        <f>AO219+1</f>
        <v>2019</v>
      </c>
      <c r="AQ219" s="339"/>
      <c r="AR219" s="54"/>
      <c r="AS219" s="54"/>
      <c r="AT219" s="54"/>
      <c r="AU219" s="54"/>
      <c r="AV219" s="54"/>
      <c r="AW219" s="54"/>
      <c r="AX219" s="54"/>
      <c r="AY219" s="54"/>
      <c r="AZ219" s="54"/>
      <c r="BA219" s="54"/>
      <c r="BB219" s="54"/>
      <c r="BC219" s="54"/>
    </row>
    <row r="220" spans="1:55">
      <c r="A220" s="45"/>
      <c r="B220" s="1673"/>
      <c r="C220" s="2379"/>
      <c r="D220" s="2380"/>
      <c r="E220" s="3752" t="s">
        <v>524</v>
      </c>
      <c r="F220" s="3752"/>
      <c r="G220" s="3752"/>
      <c r="H220" s="3752"/>
      <c r="I220" s="2541"/>
      <c r="J220" s="54"/>
      <c r="K220" s="54"/>
      <c r="L220" s="54"/>
      <c r="M220" s="54"/>
      <c r="N220" s="54"/>
      <c r="O220" s="54"/>
      <c r="P220" s="54"/>
      <c r="Q220" s="54"/>
      <c r="R220" s="54"/>
      <c r="S220" s="275"/>
      <c r="T220" s="94"/>
      <c r="U220" s="115"/>
      <c r="V220" s="3752" t="s">
        <v>524</v>
      </c>
      <c r="W220" s="3752"/>
      <c r="X220" s="3752"/>
      <c r="Y220" s="3752"/>
      <c r="Z220" s="273"/>
      <c r="AA220" s="54"/>
      <c r="AB220" s="45"/>
      <c r="AC220" s="45"/>
      <c r="AD220" s="45"/>
      <c r="AE220" s="45"/>
      <c r="AF220" s="45"/>
      <c r="AG220" s="45"/>
      <c r="AH220" s="45"/>
      <c r="AI220" s="45"/>
      <c r="AJ220" s="275"/>
      <c r="AK220" s="94"/>
      <c r="AL220" s="115"/>
      <c r="AM220" s="3752" t="s">
        <v>524</v>
      </c>
      <c r="AN220" s="3752"/>
      <c r="AO220" s="3752"/>
      <c r="AP220" s="3752"/>
      <c r="AQ220" s="273"/>
      <c r="AR220" s="54"/>
      <c r="AS220" s="54"/>
      <c r="AT220" s="54"/>
      <c r="AU220" s="54"/>
      <c r="AV220" s="54"/>
      <c r="AW220" s="54"/>
      <c r="AX220" s="54"/>
      <c r="AY220" s="54"/>
      <c r="AZ220" s="54"/>
      <c r="BA220" s="54"/>
      <c r="BB220" s="54"/>
      <c r="BC220" s="54"/>
    </row>
    <row r="221" spans="1:55">
      <c r="A221" s="45"/>
      <c r="B221" s="1673"/>
      <c r="C221" s="2385" t="s">
        <v>525</v>
      </c>
      <c r="D221" s="2413"/>
      <c r="E221" s="2411">
        <f ca="1">100*(((1000*(Transfer!D136)/Transfer!D284)/((1000*(Transfer!C136)/Transfer!C284)))-1)</f>
        <v>0.93856240912231215</v>
      </c>
      <c r="F221" s="2606">
        <f ca="1">100*(((1000*(Transfer!E136)/Transfer!E284)/((1000*(Transfer!D136)/Transfer!D284)))-1)</f>
        <v>3.7537547597789045</v>
      </c>
      <c r="G221" s="2502">
        <f ca="1">100*(((1000*(Transfer!F136)/Transfer!F284)/((1000*(Transfer!E136)/Transfer!E284)))-1)</f>
        <v>2.6000000000000245</v>
      </c>
      <c r="H221" s="2607">
        <f ca="1">100*(((1000*(Transfer!G136)/Transfer!G284)/((1000*(Transfer!F136)/Transfer!F284)))-1)</f>
        <v>2.200000000000002</v>
      </c>
      <c r="I221" s="2452"/>
      <c r="J221" s="54"/>
      <c r="K221" s="54"/>
      <c r="L221" s="54"/>
      <c r="M221" s="54"/>
      <c r="N221" s="54"/>
      <c r="O221" s="54"/>
      <c r="P221" s="54"/>
      <c r="Q221" s="54"/>
      <c r="R221" s="54"/>
      <c r="S221" s="275"/>
      <c r="T221" s="40" t="s">
        <v>525</v>
      </c>
      <c r="U221" s="65"/>
      <c r="V221" s="79">
        <f t="shared" ref="V221:Y226" ca="1" si="13">ROUND(E221,1)-ROUND(AM221,1)</f>
        <v>-2.2000000000000002</v>
      </c>
      <c r="W221" s="79">
        <f t="shared" ca="1" si="13"/>
        <v>2.4</v>
      </c>
      <c r="X221" s="79">
        <f t="shared" ca="1" si="13"/>
        <v>0.70000000000000018</v>
      </c>
      <c r="Y221" s="81">
        <f t="shared" ca="1" si="13"/>
        <v>-0.19999999999999973</v>
      </c>
      <c r="Z221" s="196"/>
      <c r="AA221" s="54"/>
      <c r="AB221" s="45"/>
      <c r="AC221" s="45"/>
      <c r="AD221" s="45"/>
      <c r="AE221" s="45"/>
      <c r="AF221" s="45"/>
      <c r="AG221" s="45"/>
      <c r="AH221" s="45"/>
      <c r="AI221" s="45"/>
      <c r="AJ221" s="275"/>
      <c r="AK221" s="2122" t="s">
        <v>525</v>
      </c>
      <c r="AL221" s="2123"/>
      <c r="AM221" s="2120">
        <f>100*(((1000*(Transfer!AD136)/Transfer!AD284)/((1000*(Transfer!AC136)/Transfer!AC284)))-1)</f>
        <v>3.1395008897327381</v>
      </c>
      <c r="AN221" s="2198">
        <f>100*(((1000*(Transfer!AE136)/Transfer!AE284)/((1000*(Transfer!AD136)/Transfer!AD284)))-1)</f>
        <v>1.3774287214300962</v>
      </c>
      <c r="AO221" s="2145">
        <f>100*(((1000*(Transfer!AF136)/Transfer!AF284)/((1000*(Transfer!AE136)/Transfer!AE284)))-1)</f>
        <v>1.9238442789761168</v>
      </c>
      <c r="AP221" s="2199">
        <f>100*(((1000*(Transfer!AG136)/Transfer!AG284)/((1000*(Transfer!AF136)/Transfer!AF284)))-1)</f>
        <v>2.3673276278389777</v>
      </c>
      <c r="AQ221" s="196"/>
      <c r="AR221" s="54"/>
      <c r="AS221" s="54"/>
      <c r="AT221" s="54"/>
      <c r="AU221" s="54"/>
      <c r="AV221" s="54"/>
      <c r="AW221" s="54"/>
      <c r="AX221" s="54"/>
      <c r="AY221" s="54"/>
      <c r="AZ221" s="54"/>
      <c r="BA221" s="1991" t="s">
        <v>5</v>
      </c>
      <c r="BB221" s="1697"/>
      <c r="BC221" s="54"/>
    </row>
    <row r="222" spans="1:55">
      <c r="A222" s="45"/>
      <c r="B222" s="1673"/>
      <c r="C222" s="2385" t="s">
        <v>1413</v>
      </c>
      <c r="D222" s="2413"/>
      <c r="E222" s="2387">
        <f ca="1">100*(((1000*(Transfer!D137)/Transfer!D285)/((1000*(Transfer!C137)/Transfer!C285)))-1)</f>
        <v>1.9198170881425058</v>
      </c>
      <c r="F222" s="2606">
        <f ca="1">100*(((1000*(Transfer!E137)/Transfer!E285)/((1000*(Transfer!D137)/Transfer!D285)))-1)</f>
        <v>2.8934891799006213</v>
      </c>
      <c r="G222" s="2502">
        <f ca="1">100*(((1000*(Transfer!F137)/Transfer!F285)/((1000*(Transfer!E137)/Transfer!E285)))-1)</f>
        <v>3.9399999999999658</v>
      </c>
      <c r="H222" s="2607">
        <f ca="1">100*(((1000*(Transfer!G137)/Transfer!G285)/((1000*(Transfer!F137)/Transfer!F285)))-1)</f>
        <v>3.5399999999999654</v>
      </c>
      <c r="I222" s="2452"/>
      <c r="J222" s="54"/>
      <c r="K222" s="54"/>
      <c r="L222" s="54"/>
      <c r="M222" s="54"/>
      <c r="N222" s="54"/>
      <c r="O222" s="54"/>
      <c r="P222" s="54"/>
      <c r="Q222" s="54"/>
      <c r="R222" s="54"/>
      <c r="S222" s="275"/>
      <c r="T222" s="40" t="s">
        <v>1413</v>
      </c>
      <c r="U222" s="65"/>
      <c r="V222" s="91">
        <f t="shared" ca="1" si="13"/>
        <v>2.1999999999999997</v>
      </c>
      <c r="W222" s="91">
        <f t="shared" ca="1" si="13"/>
        <v>1.4</v>
      </c>
      <c r="X222" s="91">
        <f t="shared" ca="1" si="13"/>
        <v>2</v>
      </c>
      <c r="Y222" s="93">
        <f t="shared" ca="1" si="13"/>
        <v>1.6</v>
      </c>
      <c r="Z222" s="196"/>
      <c r="AA222" s="54"/>
      <c r="AB222" s="45"/>
      <c r="AC222" s="45"/>
      <c r="AD222" s="45"/>
      <c r="AE222" s="45"/>
      <c r="AF222" s="45"/>
      <c r="AG222" s="45"/>
      <c r="AH222" s="45"/>
      <c r="AI222" s="45"/>
      <c r="AJ222" s="275"/>
      <c r="AK222" s="2122" t="s">
        <v>1413</v>
      </c>
      <c r="AL222" s="2123"/>
      <c r="AM222" s="2113">
        <f>100*(((1000*(Transfer!AD137)/Transfer!AD285)/((1000*(Transfer!AC137)/Transfer!AC285)))-1)</f>
        <v>-0.29948900053164973</v>
      </c>
      <c r="AN222" s="2198">
        <f>100*(((1000*(Transfer!AE137)/Transfer!AE285)/((1000*(Transfer!AD137)/Transfer!AD285)))-1)</f>
        <v>1.5000000000000124</v>
      </c>
      <c r="AO222" s="2145">
        <f>100*(((1000*(Transfer!AF137)/Transfer!AF285)/((1000*(Transfer!AE137)/Transfer!AE285)))-1)</f>
        <v>1.9000000000000128</v>
      </c>
      <c r="AP222" s="2199">
        <f>100*(((1000*(Transfer!AG137)/Transfer!AG285)/((1000*(Transfer!AF137)/Transfer!AF285)))-1)</f>
        <v>1.8999999999999684</v>
      </c>
      <c r="AQ222" s="196"/>
      <c r="AR222" s="54"/>
      <c r="AS222" s="54"/>
      <c r="AT222" s="54"/>
      <c r="AU222" s="54"/>
      <c r="AV222" s="54"/>
      <c r="AW222" s="54"/>
      <c r="AX222" s="54"/>
      <c r="AY222" s="54"/>
      <c r="AZ222" s="54"/>
      <c r="BA222" s="1673" t="s">
        <v>6</v>
      </c>
      <c r="BB222" s="1699"/>
      <c r="BC222" s="54"/>
    </row>
    <row r="223" spans="1:55">
      <c r="A223" s="45"/>
      <c r="B223" s="1673"/>
      <c r="C223" s="2385" t="s">
        <v>1414</v>
      </c>
      <c r="D223" s="2413"/>
      <c r="E223" s="2387">
        <f ca="1">100*(((1000*(Transfer!D138)/Transfer!D286)/((1000*(Transfer!C138)/Transfer!C286)))-1)</f>
        <v>0.32194293441807353</v>
      </c>
      <c r="F223" s="2606">
        <f ca="1">100*(((1000*(Transfer!E138)/Transfer!E286)/((1000*(Transfer!D138)/Transfer!D286)))-1)</f>
        <v>0.40744073870100372</v>
      </c>
      <c r="G223" s="2502">
        <f ca="1">100*(((1000*(Transfer!F138)/Transfer!F286)/((1000*(Transfer!E138)/Transfer!E286)))-1)</f>
        <v>2.4511189351191121</v>
      </c>
      <c r="H223" s="2607">
        <f ca="1">100*(((1000*(Transfer!G138)/Transfer!G286)/((1000*(Transfer!F138)/Transfer!F286)))-1)</f>
        <v>2.4592631380430996</v>
      </c>
      <c r="I223" s="2452"/>
      <c r="J223" s="54"/>
      <c r="K223" s="54"/>
      <c r="L223" s="54"/>
      <c r="M223" s="54"/>
      <c r="N223" s="54"/>
      <c r="O223" s="54"/>
      <c r="P223" s="54"/>
      <c r="Q223" s="54"/>
      <c r="R223" s="54"/>
      <c r="S223" s="275"/>
      <c r="T223" s="40" t="s">
        <v>1414</v>
      </c>
      <c r="U223" s="65"/>
      <c r="V223" s="91">
        <f t="shared" ca="1" si="13"/>
        <v>-1.5999999999999999</v>
      </c>
      <c r="W223" s="91">
        <f t="shared" ca="1" si="13"/>
        <v>-2</v>
      </c>
      <c r="X223" s="91">
        <f t="shared" ca="1" si="13"/>
        <v>-1.1000000000000001</v>
      </c>
      <c r="Y223" s="93">
        <f t="shared" ca="1" si="13"/>
        <v>-2.0999999999999996</v>
      </c>
      <c r="Z223" s="196"/>
      <c r="AA223" s="54"/>
      <c r="AB223" s="45"/>
      <c r="AC223" s="45"/>
      <c r="AD223" s="45"/>
      <c r="AE223" s="45"/>
      <c r="AF223" s="45"/>
      <c r="AG223" s="45"/>
      <c r="AH223" s="45"/>
      <c r="AI223" s="45"/>
      <c r="AJ223" s="275"/>
      <c r="AK223" s="2122" t="s">
        <v>1414</v>
      </c>
      <c r="AL223" s="2123"/>
      <c r="AM223" s="2113">
        <f>100*(((1000*(Transfer!AD138)/Transfer!AD286)/((1000*(Transfer!AC138)/Transfer!AC286)))-1)</f>
        <v>1.9313393962120395</v>
      </c>
      <c r="AN223" s="2198">
        <f>100*(((1000*(Transfer!AE138)/Transfer!AE286)/((1000*(Transfer!AD138)/Transfer!AD286)))-1)</f>
        <v>2.3736918823240583</v>
      </c>
      <c r="AO223" s="2145">
        <f>100*(((1000*(Transfer!AF138)/Transfer!AF286)/((1000*(Transfer!AE138)/Transfer!AE286)))-1)</f>
        <v>3.5817052901486512</v>
      </c>
      <c r="AP223" s="2199">
        <f>100*(((1000*(Transfer!AG138)/Transfer!AG286)/((1000*(Transfer!AF138)/Transfer!AF286)))-1)</f>
        <v>4.5886665036875218</v>
      </c>
      <c r="AQ223" s="196"/>
      <c r="AR223" s="54"/>
      <c r="AS223" s="54"/>
      <c r="AT223" s="54"/>
      <c r="AU223" s="54"/>
      <c r="AV223" s="54"/>
      <c r="AW223" s="54"/>
      <c r="AX223" s="54"/>
      <c r="AY223" s="54"/>
      <c r="AZ223" s="54"/>
      <c r="BA223" s="1673" t="s">
        <v>7</v>
      </c>
      <c r="BB223" s="1699"/>
      <c r="BC223" s="54"/>
    </row>
    <row r="224" spans="1:55">
      <c r="A224" s="45"/>
      <c r="B224" s="1673"/>
      <c r="C224" s="2608" t="s">
        <v>637</v>
      </c>
      <c r="D224" s="2609"/>
      <c r="E224" s="2502">
        <f ca="1">100*(((1000*(Transfer!D139)/Transfer!D287)/((1000*(Transfer!C139)/Transfer!C287)))-1)</f>
        <v>-1.0859705595325786</v>
      </c>
      <c r="F224" s="2502">
        <f ca="1">100*(((1000*(Transfer!E139)/Transfer!E287)/((1000*(Transfer!D139)/Transfer!D287)))-1)</f>
        <v>3.5652789632236725</v>
      </c>
      <c r="G224" s="2502">
        <f ca="1">100*(((1000*(Transfer!F139)/Transfer!F287)/((1000*(Transfer!E139)/Transfer!E287)))-1)</f>
        <v>3.2999999999999696</v>
      </c>
      <c r="H224" s="2607">
        <f ca="1">100*(((1000*(Transfer!G139)/Transfer!G287)/((1000*(Transfer!F139)/Transfer!F287)))-1)</f>
        <v>3.300000000000014</v>
      </c>
      <c r="I224" s="2610"/>
      <c r="J224" s="54"/>
      <c r="K224" s="54"/>
      <c r="L224" s="54"/>
      <c r="M224" s="54"/>
      <c r="N224" s="54"/>
      <c r="O224" s="54"/>
      <c r="P224" s="54"/>
      <c r="Q224" s="54"/>
      <c r="R224" s="54"/>
      <c r="S224" s="275"/>
      <c r="T224" s="318" t="s">
        <v>637</v>
      </c>
      <c r="U224" s="342"/>
      <c r="V224" s="91">
        <f t="shared" ca="1" si="13"/>
        <v>-4.8000000000000007</v>
      </c>
      <c r="W224" s="91">
        <f t="shared" ca="1" si="13"/>
        <v>1.1000000000000001</v>
      </c>
      <c r="X224" s="91">
        <f t="shared" ca="1" si="13"/>
        <v>-0.10000000000000009</v>
      </c>
      <c r="Y224" s="93">
        <f t="shared" ca="1" si="13"/>
        <v>-1.1000000000000005</v>
      </c>
      <c r="Z224" s="343"/>
      <c r="AA224" s="54"/>
      <c r="AB224" s="45"/>
      <c r="AC224" s="45"/>
      <c r="AD224" s="45"/>
      <c r="AE224" s="45"/>
      <c r="AF224" s="45"/>
      <c r="AG224" s="45"/>
      <c r="AH224" s="45"/>
      <c r="AI224" s="45"/>
      <c r="AJ224" s="275"/>
      <c r="AK224" s="2150" t="s">
        <v>637</v>
      </c>
      <c r="AL224" s="2151"/>
      <c r="AM224" s="2145">
        <f>100*(((1000*(Transfer!AD139)/Transfer!AD287)/((1000*(Transfer!AC139)/Transfer!AC287)))-1)</f>
        <v>3.6738716522144665</v>
      </c>
      <c r="AN224" s="2145">
        <f>100*(((1000*(Transfer!AE139)/Transfer!AE287)/((1000*(Transfer!AD139)/Transfer!AD287)))-1)</f>
        <v>2.5000000000000133</v>
      </c>
      <c r="AO224" s="2145">
        <f>100*(((1000*(Transfer!AF139)/Transfer!AF287)/((1000*(Transfer!AE139)/Transfer!AE287)))-1)</f>
        <v>3.4109491158587524</v>
      </c>
      <c r="AP224" s="2199">
        <f>100*(((1000*(Transfer!AG139)/Transfer!AG287)/((1000*(Transfer!AF139)/Transfer!AF287)))-1)</f>
        <v>4.4119990575921308</v>
      </c>
      <c r="AQ224" s="343"/>
      <c r="AR224" s="54"/>
      <c r="AS224" s="54"/>
      <c r="AT224" s="54"/>
      <c r="AU224" s="54"/>
      <c r="AV224" s="54"/>
      <c r="AW224" s="54"/>
      <c r="AX224" s="54"/>
      <c r="AY224" s="54"/>
      <c r="AZ224" s="54"/>
      <c r="BA224" s="1673" t="s">
        <v>8</v>
      </c>
      <c r="BB224" s="1699"/>
      <c r="BC224" s="54"/>
    </row>
    <row r="225" spans="1:55">
      <c r="A225" s="45"/>
      <c r="B225" s="1673"/>
      <c r="C225" s="2608" t="s">
        <v>288</v>
      </c>
      <c r="D225" s="2609"/>
      <c r="E225" s="2502">
        <f ca="1">100*(((1000*(Transfer!D140)/Transfer!D288)/((1000*(Transfer!C140)/Transfer!C288)))-1)</f>
        <v>-0.50696313058546938</v>
      </c>
      <c r="F225" s="2502">
        <f ca="1">100*(((1000*(Transfer!E140)/Transfer!E288)/((1000*(Transfer!D140)/Transfer!D288)))-1)</f>
        <v>-2.070203284820038</v>
      </c>
      <c r="G225" s="2502">
        <f ca="1">100*(((1000*(Transfer!F140)/Transfer!F288)/((1000*(Transfer!E140)/Transfer!E288)))-1)</f>
        <v>1.4999999999999902</v>
      </c>
      <c r="H225" s="2607">
        <f ca="1">100*(((1000*(Transfer!G140)/Transfer!G288)/((1000*(Transfer!F140)/Transfer!F288)))-1)</f>
        <v>1.4999999999999902</v>
      </c>
      <c r="I225" s="2610"/>
      <c r="J225" s="54"/>
      <c r="K225" s="54"/>
      <c r="L225" s="54"/>
      <c r="M225" s="54"/>
      <c r="N225" s="54"/>
      <c r="O225" s="54"/>
      <c r="P225" s="54"/>
      <c r="Q225" s="54"/>
      <c r="R225" s="54"/>
      <c r="S225" s="275"/>
      <c r="T225" s="168" t="s">
        <v>288</v>
      </c>
      <c r="U225" s="319"/>
      <c r="V225" s="91">
        <f t="shared" ca="1" si="13"/>
        <v>-1.9</v>
      </c>
      <c r="W225" s="91">
        <f t="shared" ca="1" si="13"/>
        <v>-4.5999999999999996</v>
      </c>
      <c r="X225" s="91">
        <f t="shared" ca="1" si="13"/>
        <v>-2.5</v>
      </c>
      <c r="Y225" s="93">
        <f t="shared" ca="1" si="13"/>
        <v>-3.5</v>
      </c>
      <c r="Z225" s="343"/>
      <c r="AA225" s="54"/>
      <c r="AB225" s="45"/>
      <c r="AC225" s="45"/>
      <c r="AD225" s="45"/>
      <c r="AE225" s="45"/>
      <c r="AF225" s="45"/>
      <c r="AG225" s="45"/>
      <c r="AH225" s="45"/>
      <c r="AI225" s="45"/>
      <c r="AJ225" s="275"/>
      <c r="AK225" s="2150" t="s">
        <v>288</v>
      </c>
      <c r="AL225" s="2151"/>
      <c r="AM225" s="2145">
        <f>100*(((1000*(Transfer!AD140)/Transfer!AD288)/((1000*(Transfer!AC140)/Transfer!AC288)))-1)</f>
        <v>1.4206597115491881</v>
      </c>
      <c r="AN225" s="2145">
        <f>100*(((1000*(Transfer!AE140)/Transfer!AE288)/((1000*(Transfer!AD140)/Transfer!AD288)))-1)</f>
        <v>2.4999999999999911</v>
      </c>
      <c r="AO225" s="2145">
        <f>100*(((1000*(Transfer!AF140)/Transfer!AF288)/((1000*(Transfer!AE140)/Transfer!AE288)))-1)</f>
        <v>4.0000000000000036</v>
      </c>
      <c r="AP225" s="2199">
        <f>100*(((1000*(Transfer!AG140)/Transfer!AG288)/((1000*(Transfer!AF140)/Transfer!AF288)))-1)</f>
        <v>4.9999999999999822</v>
      </c>
      <c r="AQ225" s="343"/>
      <c r="AR225" s="54"/>
      <c r="AS225" s="54"/>
      <c r="AT225" s="54"/>
      <c r="AU225" s="54"/>
      <c r="AV225" s="54"/>
      <c r="AW225" s="54"/>
      <c r="AX225" s="54"/>
      <c r="AY225" s="54"/>
      <c r="AZ225" s="54"/>
      <c r="BA225" s="1673" t="s">
        <v>9</v>
      </c>
      <c r="BB225" s="1699"/>
      <c r="BC225" s="54"/>
    </row>
    <row r="226" spans="1:55">
      <c r="A226" s="45"/>
      <c r="B226" s="2611"/>
      <c r="C226" s="2612" t="s">
        <v>1800</v>
      </c>
      <c r="D226" s="2613"/>
      <c r="E226" s="2614">
        <f ca="1">(Transfer!D305/Transfer!D307)/(Transfer!C305/Transfer!C307)*100-100</f>
        <v>0.98784550340025135</v>
      </c>
      <c r="F226" s="2615">
        <f ca="1">(Transfer!E305/Transfer!E307)/(Transfer!D305/Transfer!D307)*100-100</f>
        <v>2.9605747678695451</v>
      </c>
      <c r="G226" s="2615">
        <f ca="1">(Transfer!F305/Transfer!F307)/(Transfer!E305/Transfer!E307)*100-100</f>
        <v>2.788968047380763</v>
      </c>
      <c r="H226" s="2616">
        <f ca="1">(Transfer!G305/Transfer!G307)/(Transfer!F305/Transfer!F307)*100-100</f>
        <v>2.4677101284496388</v>
      </c>
      <c r="I226" s="2460"/>
      <c r="J226" s="54"/>
      <c r="K226" s="54"/>
      <c r="L226" s="54"/>
      <c r="M226" s="54"/>
      <c r="N226" s="54"/>
      <c r="O226" s="54"/>
      <c r="P226" s="54"/>
      <c r="Q226" s="54"/>
      <c r="R226" s="54"/>
      <c r="S226" s="344"/>
      <c r="T226" s="200" t="s">
        <v>1800</v>
      </c>
      <c r="U226" s="201"/>
      <c r="V226" s="156">
        <f t="shared" ca="1" si="13"/>
        <v>-1.2999999999999998</v>
      </c>
      <c r="W226" s="156">
        <f t="shared" ca="1" si="13"/>
        <v>1.4</v>
      </c>
      <c r="X226" s="156">
        <f t="shared" ca="1" si="13"/>
        <v>0.59999999999999964</v>
      </c>
      <c r="Y226" s="283">
        <f t="shared" ca="1" si="13"/>
        <v>-0.20000000000000018</v>
      </c>
      <c r="Z226" s="203"/>
      <c r="AA226" s="54"/>
      <c r="AB226" s="45"/>
      <c r="AC226" s="45"/>
      <c r="AD226" s="45"/>
      <c r="AE226" s="45"/>
      <c r="AF226" s="45"/>
      <c r="AG226" s="45"/>
      <c r="AH226" s="45"/>
      <c r="AI226" s="45"/>
      <c r="AJ226" s="344"/>
      <c r="AK226" s="2182" t="s">
        <v>1800</v>
      </c>
      <c r="AL226" s="2183"/>
      <c r="AM226" s="2184">
        <f>(Transfer!AD305/Transfer!AD307)/(Transfer!AC305/Transfer!AC307)*100-100</f>
        <v>2.2963207607115947</v>
      </c>
      <c r="AN226" s="2185">
        <f>(Transfer!AE305/Transfer!AE307)/(Transfer!AD305/Transfer!AD307)*100-100</f>
        <v>1.5708341744999075</v>
      </c>
      <c r="AO226" s="2185">
        <f>(Transfer!AF305/Transfer!AF307)/(Transfer!AE305/Transfer!AE307)*100-100</f>
        <v>2.2156223686392167</v>
      </c>
      <c r="AP226" s="2186">
        <f>(Transfer!AG305/Transfer!AG307)/(Transfer!AF305/Transfer!AF307)*100-100</f>
        <v>2.7004883220623128</v>
      </c>
      <c r="AQ226" s="203"/>
      <c r="AR226" s="54"/>
      <c r="AS226" s="54"/>
      <c r="AT226" s="54"/>
      <c r="AU226" s="54"/>
      <c r="AV226" s="54"/>
      <c r="AW226" s="54"/>
      <c r="AX226" s="54"/>
      <c r="AY226" s="54"/>
      <c r="AZ226" s="54"/>
      <c r="BA226" s="1673" t="s">
        <v>1949</v>
      </c>
      <c r="BB226" s="1699"/>
      <c r="BC226" s="54"/>
    </row>
    <row r="227" spans="1:55" s="220" customFormat="1">
      <c r="A227" s="334"/>
      <c r="B227" s="2611"/>
      <c r="C227" s="2385" t="s">
        <v>862</v>
      </c>
      <c r="D227" s="2413"/>
      <c r="E227" s="3016" t="s">
        <v>276</v>
      </c>
      <c r="F227" s="3016" t="s">
        <v>276</v>
      </c>
      <c r="G227" s="3016" t="s">
        <v>276</v>
      </c>
      <c r="H227" s="2389" t="s">
        <v>276</v>
      </c>
      <c r="I227" s="2452"/>
      <c r="J227" s="334"/>
      <c r="K227" s="334"/>
      <c r="L227" s="334"/>
      <c r="M227" s="334"/>
      <c r="N227" s="334"/>
      <c r="O227" s="334"/>
      <c r="P227" s="334"/>
      <c r="Q227" s="334"/>
      <c r="R227" s="334"/>
      <c r="S227" s="344"/>
      <c r="T227" s="204" t="s">
        <v>796</v>
      </c>
      <c r="U227" s="205"/>
      <c r="V227" s="3016" t="s">
        <v>276</v>
      </c>
      <c r="W227" s="3016" t="s">
        <v>276</v>
      </c>
      <c r="X227" s="3016" t="s">
        <v>276</v>
      </c>
      <c r="Y227" s="2389" t="s">
        <v>276</v>
      </c>
      <c r="Z227" s="196"/>
      <c r="AA227" s="334"/>
      <c r="AB227" s="334"/>
      <c r="AC227" s="334"/>
      <c r="AD227" s="334"/>
      <c r="AE227" s="334"/>
      <c r="AF227" s="334"/>
      <c r="AG227" s="334"/>
      <c r="AH227" s="334"/>
      <c r="AI227" s="334"/>
      <c r="AJ227" s="344"/>
      <c r="AK227" s="3031" t="s">
        <v>796</v>
      </c>
      <c r="AL227" s="3032"/>
      <c r="AM227" s="3016" t="s">
        <v>276</v>
      </c>
      <c r="AN227" s="3016" t="s">
        <v>276</v>
      </c>
      <c r="AO227" s="3016" t="s">
        <v>276</v>
      </c>
      <c r="AP227" s="2389" t="s">
        <v>276</v>
      </c>
      <c r="AQ227" s="196"/>
      <c r="AR227" s="334"/>
      <c r="AS227" s="334"/>
      <c r="AT227" s="334"/>
      <c r="AU227" s="334"/>
      <c r="AV227" s="334"/>
      <c r="AW227" s="334"/>
      <c r="AX227" s="334"/>
      <c r="AY227" s="334"/>
      <c r="AZ227" s="334"/>
      <c r="BA227" s="1673"/>
      <c r="BB227" s="1699"/>
      <c r="BC227" s="334"/>
    </row>
    <row r="228" spans="1:55">
      <c r="A228" s="45"/>
      <c r="B228" s="1673"/>
      <c r="C228" s="2612" t="s">
        <v>797</v>
      </c>
      <c r="D228" s="2613"/>
      <c r="E228" s="2614">
        <f ca="1">(Transfer!D308/Transfer!D310)/(Transfer!C308/Transfer!C310)*100-100</f>
        <v>-0.88904349222201517</v>
      </c>
      <c r="F228" s="2615">
        <f ca="1">(Transfer!E308/Transfer!E310)/(Transfer!D308/Transfer!D310)*100-100</f>
        <v>3.0086909215485207</v>
      </c>
      <c r="G228" s="2615">
        <f ca="1">(Transfer!F308/Transfer!F310)/(Transfer!E308/Transfer!E310)*100-100</f>
        <v>2.8313388791685981</v>
      </c>
      <c r="H228" s="2616">
        <f ca="1">(Transfer!G308/Transfer!G310)/(Transfer!F308/Transfer!F310)*100-100</f>
        <v>2.5030345981383277</v>
      </c>
      <c r="I228" s="2460"/>
      <c r="J228" s="54"/>
      <c r="K228" s="54"/>
      <c r="L228" s="54"/>
      <c r="M228" s="54"/>
      <c r="N228" s="54"/>
      <c r="O228" s="54"/>
      <c r="P228" s="54"/>
      <c r="Q228" s="54"/>
      <c r="R228" s="54"/>
      <c r="S228" s="275"/>
      <c r="T228" s="206" t="s">
        <v>797</v>
      </c>
      <c r="U228" s="207"/>
      <c r="V228" s="156">
        <f t="shared" ref="V228:Y239" ca="1" si="14">ROUND(E228,1)-ROUND(AM228,1)</f>
        <v>-4.2</v>
      </c>
      <c r="W228" s="156">
        <f t="shared" ca="1" si="14"/>
        <v>1.5</v>
      </c>
      <c r="X228" s="156">
        <f t="shared" ca="1" si="14"/>
        <v>0.59999999999999964</v>
      </c>
      <c r="Y228" s="283">
        <f t="shared" ca="1" si="14"/>
        <v>-0.20000000000000018</v>
      </c>
      <c r="Z228" s="203"/>
      <c r="AA228" s="54"/>
      <c r="AB228" s="45"/>
      <c r="AC228" s="45"/>
      <c r="AD228" s="45"/>
      <c r="AE228" s="45"/>
      <c r="AF228" s="45"/>
      <c r="AG228" s="45"/>
      <c r="AH228" s="45"/>
      <c r="AI228" s="45"/>
      <c r="AJ228" s="275"/>
      <c r="AK228" s="2182" t="s">
        <v>797</v>
      </c>
      <c r="AL228" s="2183"/>
      <c r="AM228" s="2184">
        <f>(Transfer!AD308/Transfer!AD310)/(Transfer!AC308/Transfer!AC310)*100-100</f>
        <v>3.268321496550513</v>
      </c>
      <c r="AN228" s="2185">
        <f>(Transfer!AE308/Transfer!AE310)/(Transfer!AD308/Transfer!AD310)*100-100</f>
        <v>1.5454148794867564</v>
      </c>
      <c r="AO228" s="2185">
        <f>(Transfer!AF308/Transfer!AF310)/(Transfer!AE308/Transfer!AE310)*100-100</f>
        <v>2.1816501273871154</v>
      </c>
      <c r="AP228" s="2186">
        <f>(Transfer!AG308/Transfer!AG310)/(Transfer!AF308/Transfer!AF310)*100-100</f>
        <v>2.6616459823203513</v>
      </c>
      <c r="AQ228" s="203"/>
      <c r="AR228" s="54"/>
      <c r="AS228" s="54"/>
      <c r="AT228" s="54"/>
      <c r="AU228" s="54"/>
      <c r="AV228" s="54"/>
      <c r="AW228" s="54"/>
      <c r="AX228" s="54"/>
      <c r="AY228" s="54"/>
      <c r="AZ228" s="54"/>
      <c r="BA228" s="1673" t="s">
        <v>1613</v>
      </c>
      <c r="BB228" s="1699"/>
      <c r="BC228" s="54"/>
    </row>
    <row r="229" spans="1:55">
      <c r="A229" s="45"/>
      <c r="B229" s="1673"/>
      <c r="C229" s="2385" t="s">
        <v>1113</v>
      </c>
      <c r="D229" s="2413"/>
      <c r="E229" s="2387">
        <f ca="1">(Transfer!D311/Transfer!D313)/(Transfer!C311/Transfer!C313)*100-100</f>
        <v>-1.956707595277706</v>
      </c>
      <c r="F229" s="2606">
        <f ca="1">(Transfer!E311/Transfer!E313)/(Transfer!D311/Transfer!D313)*100-100</f>
        <v>4.3947696442213413</v>
      </c>
      <c r="G229" s="2502">
        <f ca="1">(Transfer!F311/Transfer!F313)/(Transfer!E311/Transfer!E313)*100-100</f>
        <v>2.3491131709032516</v>
      </c>
      <c r="H229" s="2607">
        <f ca="1">(Transfer!G311/Transfer!G313)/(Transfer!F311/Transfer!F313)*100-100</f>
        <v>2.024610546646926</v>
      </c>
      <c r="I229" s="2452"/>
      <c r="J229" s="54"/>
      <c r="K229" s="54"/>
      <c r="L229" s="54"/>
      <c r="M229" s="54"/>
      <c r="N229" s="54"/>
      <c r="O229" s="54"/>
      <c r="P229" s="54"/>
      <c r="Q229" s="54"/>
      <c r="R229" s="54"/>
      <c r="S229" s="275"/>
      <c r="T229" s="40" t="s">
        <v>1113</v>
      </c>
      <c r="U229" s="65"/>
      <c r="V229" s="91">
        <f t="shared" ca="1" si="14"/>
        <v>-5.5</v>
      </c>
      <c r="W229" s="91">
        <f t="shared" ca="1" si="14"/>
        <v>4.1000000000000005</v>
      </c>
      <c r="X229" s="91">
        <f t="shared" ca="1" si="14"/>
        <v>0.69999999999999973</v>
      </c>
      <c r="Y229" s="93">
        <f t="shared" ca="1" si="14"/>
        <v>-0.29999999999999982</v>
      </c>
      <c r="Z229" s="196"/>
      <c r="AA229" s="54"/>
      <c r="AB229" s="45"/>
      <c r="AC229" s="45"/>
      <c r="AD229" s="45"/>
      <c r="AE229" s="45"/>
      <c r="AF229" s="45"/>
      <c r="AG229" s="45"/>
      <c r="AH229" s="45"/>
      <c r="AI229" s="45"/>
      <c r="AJ229" s="275"/>
      <c r="AK229" s="2122" t="s">
        <v>1113</v>
      </c>
      <c r="AL229" s="2123"/>
      <c r="AM229" s="2113">
        <f>(Transfer!AD311/Transfer!AD313)/(Transfer!AC311/Transfer!AC313)*100-100</f>
        <v>3.4647591243257381</v>
      </c>
      <c r="AN229" s="2198">
        <f>(Transfer!AE311/Transfer!AE313)/(Transfer!AD311/Transfer!AD313)*100-100</f>
        <v>0.26636815076135179</v>
      </c>
      <c r="AO229" s="2145">
        <f>(Transfer!AF311/Transfer!AF313)/(Transfer!AE311/Transfer!AE313)*100-100</f>
        <v>1.6155295306641904</v>
      </c>
      <c r="AP229" s="2199">
        <f>(Transfer!AG311/Transfer!AG313)/(Transfer!AF311/Transfer!AF313)*100-100</f>
        <v>2.2986624722780817</v>
      </c>
      <c r="AQ229" s="196"/>
      <c r="AR229" s="54"/>
      <c r="AS229" s="54"/>
      <c r="AT229" s="54"/>
      <c r="AU229" s="54"/>
      <c r="AV229" s="54"/>
      <c r="AW229" s="54"/>
      <c r="AX229" s="54"/>
      <c r="AY229" s="54"/>
      <c r="AZ229" s="54"/>
      <c r="BA229" s="1673" t="s">
        <v>1614</v>
      </c>
      <c r="BB229" s="1699"/>
      <c r="BC229" s="54"/>
    </row>
    <row r="230" spans="1:55">
      <c r="A230" s="45"/>
      <c r="B230" s="1673"/>
      <c r="C230" s="2608" t="s">
        <v>2124</v>
      </c>
      <c r="D230" s="2609"/>
      <c r="E230" s="2502">
        <f ca="1">100*(((1000*(Transfer!D143)/Transfer!D291)/((1000*(Transfer!C143)/Transfer!C291)))-1)</f>
        <v>-3.0623104356106934</v>
      </c>
      <c r="F230" s="2502">
        <f ca="1">100*(((1000*(Transfer!E143)/Transfer!E291)/((1000*(Transfer!D143)/Transfer!D291)))-1)</f>
        <v>4.6924205641176275</v>
      </c>
      <c r="G230" s="2502">
        <f ca="1">100*(((1000*(Transfer!F143)/Transfer!F291)/((1000*(Transfer!E143)/Transfer!E291)))-1)</f>
        <v>2.2999999999999909</v>
      </c>
      <c r="H230" s="2607">
        <f ca="1">100*(((1000*(Transfer!G143)/Transfer!G291)/((1000*(Transfer!F143)/Transfer!F291)))-1)</f>
        <v>2.0000000000000018</v>
      </c>
      <c r="I230" s="2610"/>
      <c r="J230" s="54"/>
      <c r="K230" s="54"/>
      <c r="L230" s="54"/>
      <c r="M230" s="54"/>
      <c r="N230" s="54"/>
      <c r="O230" s="54"/>
      <c r="P230" s="54"/>
      <c r="Q230" s="54"/>
      <c r="R230" s="54"/>
      <c r="S230" s="275"/>
      <c r="T230" s="86" t="s">
        <v>2124</v>
      </c>
      <c r="U230" s="105"/>
      <c r="V230" s="91">
        <f t="shared" ca="1" si="14"/>
        <v>-6.7</v>
      </c>
      <c r="W230" s="91">
        <f t="shared" ca="1" si="14"/>
        <v>4.5</v>
      </c>
      <c r="X230" s="91">
        <f t="shared" ca="1" si="14"/>
        <v>0.79999999999999982</v>
      </c>
      <c r="Y230" s="93">
        <f t="shared" ca="1" si="14"/>
        <v>-0.20000000000000018</v>
      </c>
      <c r="Z230" s="343"/>
      <c r="AA230" s="54"/>
      <c r="AB230" s="45"/>
      <c r="AC230" s="45"/>
      <c r="AD230" s="45"/>
      <c r="AE230" s="45"/>
      <c r="AF230" s="45"/>
      <c r="AG230" s="45"/>
      <c r="AH230" s="45"/>
      <c r="AI230" s="45"/>
      <c r="AJ230" s="275"/>
      <c r="AK230" s="2150" t="s">
        <v>2124</v>
      </c>
      <c r="AL230" s="2151"/>
      <c r="AM230" s="2145">
        <f>100*(((1000*(Transfer!AD143)/Transfer!AD291)/((1000*(Transfer!AC143)/Transfer!AC291)))-1)</f>
        <v>3.6296639083731597</v>
      </c>
      <c r="AN230" s="2145">
        <f>100*(((1000*(Transfer!AE143)/Transfer!AE291)/((1000*(Transfer!AD143)/Transfer!AD291)))-1)</f>
        <v>0.20000000000004459</v>
      </c>
      <c r="AO230" s="2145">
        <f>100*(((1000*(Transfer!AF143)/Transfer!AF291)/((1000*(Transfer!AE143)/Transfer!AE291)))-1)</f>
        <v>1.5000000000000124</v>
      </c>
      <c r="AP230" s="2199">
        <f>100*(((1000*(Transfer!AG143)/Transfer!AG291)/((1000*(Transfer!AF143)/Transfer!AF291)))-1)</f>
        <v>2.200000000000002</v>
      </c>
      <c r="AQ230" s="343"/>
      <c r="AR230" s="54"/>
      <c r="AS230" s="54"/>
      <c r="AT230" s="54"/>
      <c r="AU230" s="54"/>
      <c r="AV230" s="54"/>
      <c r="AW230" s="54"/>
      <c r="AX230" s="54"/>
      <c r="AY230" s="54"/>
      <c r="AZ230" s="54"/>
      <c r="BA230" s="1673" t="s">
        <v>1615</v>
      </c>
      <c r="BB230" s="1699"/>
      <c r="BC230" s="54"/>
    </row>
    <row r="231" spans="1:55">
      <c r="A231" s="45"/>
      <c r="B231" s="2611"/>
      <c r="C231" s="2608" t="s">
        <v>391</v>
      </c>
      <c r="D231" s="2609"/>
      <c r="E231" s="2502">
        <f ca="1">100*(((1000*(Transfer!D144)/Transfer!D292)/((1000*(Transfer!C144)/Transfer!C292)))-1)</f>
        <v>1.7477862707304004</v>
      </c>
      <c r="F231" s="2502">
        <f ca="1">100*(((1000*(Transfer!E144)/Transfer!E292)/((1000*(Transfer!D144)/Transfer!D292)))-1)</f>
        <v>3.4797412989243215</v>
      </c>
      <c r="G231" s="2502">
        <f ca="1">100*(((1000*(Transfer!F144)/Transfer!F292)/((1000*(Transfer!E144)/Transfer!E292)))-1)</f>
        <v>2.4999999999999911</v>
      </c>
      <c r="H231" s="2607">
        <f ca="1">100*(((1000*(Transfer!G144)/Transfer!G292)/((1000*(Transfer!F144)/Transfer!F292)))-1)</f>
        <v>2.100000000000013</v>
      </c>
      <c r="I231" s="2610"/>
      <c r="J231" s="54"/>
      <c r="K231" s="54"/>
      <c r="L231" s="54"/>
      <c r="M231" s="54"/>
      <c r="N231" s="54"/>
      <c r="O231" s="54"/>
      <c r="P231" s="54"/>
      <c r="Q231" s="54"/>
      <c r="R231" s="54"/>
      <c r="S231" s="344"/>
      <c r="T231" s="86" t="s">
        <v>391</v>
      </c>
      <c r="U231" s="105"/>
      <c r="V231" s="91">
        <f t="shared" ca="1" si="14"/>
        <v>-0.90000000000000013</v>
      </c>
      <c r="W231" s="91">
        <f t="shared" ca="1" si="14"/>
        <v>2.9</v>
      </c>
      <c r="X231" s="91">
        <f t="shared" ca="1" si="14"/>
        <v>0.29999999999999982</v>
      </c>
      <c r="Y231" s="93">
        <f t="shared" ca="1" si="14"/>
        <v>-0.69999999999999973</v>
      </c>
      <c r="Z231" s="343"/>
      <c r="AA231" s="54"/>
      <c r="AB231" s="45"/>
      <c r="AC231" s="45"/>
      <c r="AD231" s="45"/>
      <c r="AE231" s="45"/>
      <c r="AF231" s="45"/>
      <c r="AG231" s="45"/>
      <c r="AH231" s="45"/>
      <c r="AI231" s="45"/>
      <c r="AJ231" s="344"/>
      <c r="AK231" s="2150" t="s">
        <v>391</v>
      </c>
      <c r="AL231" s="2151"/>
      <c r="AM231" s="2145">
        <f>100*(((1000*(Transfer!AD144)/Transfer!AD292)/((1000*(Transfer!AC144)/Transfer!AC292)))-1)</f>
        <v>2.6467461515098156</v>
      </c>
      <c r="AN231" s="2145">
        <f>100*(((1000*(Transfer!AE144)/Transfer!AE292)/((1000*(Transfer!AD144)/Transfer!AD292)))-1)</f>
        <v>0.59999999999997833</v>
      </c>
      <c r="AO231" s="2145">
        <f>100*(((1000*(Transfer!AF144)/Transfer!AF292)/((1000*(Transfer!AE144)/Transfer!AE292)))-1)</f>
        <v>2.200000000000002</v>
      </c>
      <c r="AP231" s="2199">
        <f>100*(((1000*(Transfer!AG144)/Transfer!AG292)/((1000*(Transfer!AF144)/Transfer!AF292)))-1)</f>
        <v>2.8000000000000025</v>
      </c>
      <c r="AQ231" s="343"/>
      <c r="AR231" s="54"/>
      <c r="AS231" s="54"/>
      <c r="AT231" s="54"/>
      <c r="AU231" s="54"/>
      <c r="AV231" s="54"/>
      <c r="AW231" s="54"/>
      <c r="AX231" s="54"/>
      <c r="AY231" s="54"/>
      <c r="AZ231" s="54"/>
      <c r="BA231" s="1673" t="s">
        <v>1616</v>
      </c>
      <c r="BB231" s="1699"/>
      <c r="BC231" s="54"/>
    </row>
    <row r="232" spans="1:55">
      <c r="A232" s="45"/>
      <c r="B232" s="2617"/>
      <c r="C232" s="2612" t="s">
        <v>392</v>
      </c>
      <c r="D232" s="2613"/>
      <c r="E232" s="2614">
        <f ca="1">(Transfer!D314/Transfer!D316)/(Transfer!C314/Transfer!C316)*100-100</f>
        <v>-1.3509335939155847</v>
      </c>
      <c r="F232" s="2615">
        <f ca="1">(Transfer!E314/Transfer!E316)/(Transfer!D314/Transfer!D316)*100-100</f>
        <v>3.6332705624200941</v>
      </c>
      <c r="G232" s="2615">
        <f ca="1">(Transfer!F314/Transfer!F316)/(Transfer!E314/Transfer!E316)*100-100</f>
        <v>2.6105459114773595</v>
      </c>
      <c r="H232" s="2616">
        <f ca="1">(Transfer!G314/Transfer!G316)/(Transfer!F314/Transfer!F316)*100-100</f>
        <v>2.2831493959761104</v>
      </c>
      <c r="I232" s="2460"/>
      <c r="J232" s="54"/>
      <c r="K232" s="54"/>
      <c r="L232" s="54"/>
      <c r="M232" s="54"/>
      <c r="N232" s="54"/>
      <c r="O232" s="54"/>
      <c r="P232" s="54"/>
      <c r="Q232" s="54"/>
      <c r="R232" s="54"/>
      <c r="S232" s="346"/>
      <c r="T232" s="288" t="s">
        <v>392</v>
      </c>
      <c r="U232" s="210"/>
      <c r="V232" s="156">
        <f t="shared" ca="1" si="14"/>
        <v>-4.8</v>
      </c>
      <c r="W232" s="156">
        <f t="shared" ca="1" si="14"/>
        <v>2.6</v>
      </c>
      <c r="X232" s="156">
        <f t="shared" ca="1" si="14"/>
        <v>0.70000000000000018</v>
      </c>
      <c r="Y232" s="283">
        <f t="shared" ca="1" si="14"/>
        <v>-0.20000000000000018</v>
      </c>
      <c r="Z232" s="203"/>
      <c r="AA232" s="54"/>
      <c r="AB232" s="45"/>
      <c r="AC232" s="45"/>
      <c r="AD232" s="45"/>
      <c r="AE232" s="45"/>
      <c r="AF232" s="45"/>
      <c r="AG232" s="45"/>
      <c r="AH232" s="45"/>
      <c r="AI232" s="45"/>
      <c r="AJ232" s="346"/>
      <c r="AK232" s="2182" t="s">
        <v>392</v>
      </c>
      <c r="AL232" s="2183"/>
      <c r="AM232" s="2184">
        <f>(Transfer!AD314/Transfer!AD316)/(Transfer!AC314/Transfer!AC316)*100-100</f>
        <v>3.3582728465403591</v>
      </c>
      <c r="AN232" s="2185">
        <f>(Transfer!AE314/Transfer!AE316)/(Transfer!AD314/Transfer!AD316)*100-100</f>
        <v>0.95248882368692023</v>
      </c>
      <c r="AO232" s="2185">
        <f>(Transfer!AF314/Transfer!AF316)/(Transfer!AE314/Transfer!AE316)*100-100</f>
        <v>1.9172737353469813</v>
      </c>
      <c r="AP232" s="2186">
        <f>(Transfer!AG314/Transfer!AG316)/(Transfer!AF314/Transfer!AF316)*100-100</f>
        <v>2.4904320404751417</v>
      </c>
      <c r="AQ232" s="203"/>
      <c r="AR232" s="54"/>
      <c r="AS232" s="54"/>
      <c r="AT232" s="54"/>
      <c r="AU232" s="54"/>
      <c r="AV232" s="54"/>
      <c r="AW232" s="54"/>
      <c r="AX232" s="54"/>
      <c r="AY232" s="54"/>
      <c r="AZ232" s="54"/>
      <c r="BA232" s="1673" t="s">
        <v>855</v>
      </c>
      <c r="BB232" s="1699"/>
      <c r="BC232" s="54"/>
    </row>
    <row r="233" spans="1:55">
      <c r="A233" s="45"/>
      <c r="B233" s="2618"/>
      <c r="C233" s="2385" t="s">
        <v>1245</v>
      </c>
      <c r="D233" s="2413"/>
      <c r="E233" s="2387">
        <f ca="1">(Transfer!D317/Transfer!D319)/(Transfer!C317/Transfer!C319)*100-100</f>
        <v>-4.3322178359823766</v>
      </c>
      <c r="F233" s="2606">
        <f ca="1">(Transfer!E317/Transfer!E319)/(Transfer!D317/Transfer!D319)*100-100</f>
        <v>3.9989640315824175</v>
      </c>
      <c r="G233" s="2502">
        <f ca="1">(Transfer!F317/Transfer!F319)/(Transfer!E317/Transfer!E319)*100-100</f>
        <v>2.5809897029101592</v>
      </c>
      <c r="H233" s="2607">
        <f ca="1">(Transfer!G317/Transfer!G319)/(Transfer!F317/Transfer!F319)*100-100</f>
        <v>1.5811262439108305</v>
      </c>
      <c r="I233" s="2452"/>
      <c r="J233" s="54"/>
      <c r="K233" s="54"/>
      <c r="L233" s="54"/>
      <c r="M233" s="54"/>
      <c r="N233" s="54"/>
      <c r="O233" s="54"/>
      <c r="P233" s="54"/>
      <c r="Q233" s="54"/>
      <c r="R233" s="54"/>
      <c r="S233" s="347"/>
      <c r="T233" s="179" t="s">
        <v>1245</v>
      </c>
      <c r="U233" s="63"/>
      <c r="V233" s="91">
        <f t="shared" ca="1" si="14"/>
        <v>-8.5</v>
      </c>
      <c r="W233" s="91">
        <f t="shared" ca="1" si="14"/>
        <v>4.2</v>
      </c>
      <c r="X233" s="91">
        <f t="shared" ca="1" si="14"/>
        <v>1.3</v>
      </c>
      <c r="Y233" s="93">
        <f t="shared" ca="1" si="14"/>
        <v>-0.60000000000000009</v>
      </c>
      <c r="Z233" s="196"/>
      <c r="AA233" s="54"/>
      <c r="AB233" s="45"/>
      <c r="AC233" s="45"/>
      <c r="AD233" s="45"/>
      <c r="AE233" s="45"/>
      <c r="AF233" s="45"/>
      <c r="AG233" s="45"/>
      <c r="AH233" s="45"/>
      <c r="AI233" s="45"/>
      <c r="AJ233" s="347"/>
      <c r="AK233" s="2122" t="s">
        <v>1245</v>
      </c>
      <c r="AL233" s="2123"/>
      <c r="AM233" s="2113">
        <f>(Transfer!AD317/Transfer!AD319)/(Transfer!AC317/Transfer!AC319)*100-100</f>
        <v>4.2307888888617668</v>
      </c>
      <c r="AN233" s="2198">
        <f>(Transfer!AE317/Transfer!AE319)/(Transfer!AD317/Transfer!AD319)*100-100</f>
        <v>-0.15019904158603481</v>
      </c>
      <c r="AO233" s="2145">
        <f>(Transfer!AF317/Transfer!AF319)/(Transfer!AE317/Transfer!AE319)*100-100</f>
        <v>1.2988082013685158</v>
      </c>
      <c r="AP233" s="2199">
        <f>(Transfer!AG317/Transfer!AG319)/(Transfer!AF317/Transfer!AF319)*100-100</f>
        <v>2.1736457297393201</v>
      </c>
      <c r="AQ233" s="196"/>
      <c r="AR233" s="54"/>
      <c r="AS233" s="54"/>
      <c r="AT233" s="54"/>
      <c r="AU233" s="54"/>
      <c r="AV233" s="54"/>
      <c r="AW233" s="54"/>
      <c r="AX233" s="54"/>
      <c r="AY233" s="54"/>
      <c r="AZ233" s="54"/>
      <c r="BA233" s="1673" t="s">
        <v>856</v>
      </c>
      <c r="BB233" s="1699"/>
      <c r="BC233" s="54"/>
    </row>
    <row r="234" spans="1:55">
      <c r="A234" s="45"/>
      <c r="B234" s="2619"/>
      <c r="C234" s="2608" t="s">
        <v>1246</v>
      </c>
      <c r="D234" s="2609"/>
      <c r="E234" s="2502">
        <f ca="1">100*(((1000*(Transfer!D145)/Transfer!D293)/((1000*(Transfer!C145)/Transfer!C293)))-1)</f>
        <v>-5.3247162742441345</v>
      </c>
      <c r="F234" s="2502">
        <f ca="1">100*(((1000*(Transfer!E145)/Transfer!E293)/((1000*(Transfer!D145)/Transfer!D293)))-1)</f>
        <v>4.1311674936495457</v>
      </c>
      <c r="G234" s="2502">
        <f ca="1">100*(((1000*(Transfer!F145)/Transfer!F293)/((1000*(Transfer!E145)/Transfer!E293)))-1)</f>
        <v>2.4999999999999911</v>
      </c>
      <c r="H234" s="2607">
        <f ca="1">100*(((1000*(Transfer!G145)/Transfer!G293)/((1000*(Transfer!F145)/Transfer!F293)))-1)</f>
        <v>1.4999999999999902</v>
      </c>
      <c r="I234" s="2610"/>
      <c r="J234" s="54"/>
      <c r="K234" s="54"/>
      <c r="L234" s="54"/>
      <c r="M234" s="54"/>
      <c r="N234" s="54"/>
      <c r="O234" s="54"/>
      <c r="P234" s="54"/>
      <c r="Q234" s="54"/>
      <c r="R234" s="54"/>
      <c r="S234" s="348"/>
      <c r="T234" s="168" t="s">
        <v>1246</v>
      </c>
      <c r="U234" s="319"/>
      <c r="V234" s="91">
        <f t="shared" ca="1" si="14"/>
        <v>-9.8999999999999986</v>
      </c>
      <c r="W234" s="91">
        <f t="shared" ca="1" si="14"/>
        <v>4.3</v>
      </c>
      <c r="X234" s="91">
        <f t="shared" ca="1" si="14"/>
        <v>1.3</v>
      </c>
      <c r="Y234" s="93">
        <f t="shared" ca="1" si="14"/>
        <v>-0.60000000000000009</v>
      </c>
      <c r="Z234" s="343"/>
      <c r="AA234" s="54"/>
      <c r="AB234" s="45"/>
      <c r="AC234" s="45"/>
      <c r="AD234" s="45"/>
      <c r="AE234" s="45"/>
      <c r="AF234" s="45"/>
      <c r="AG234" s="45"/>
      <c r="AH234" s="45"/>
      <c r="AI234" s="45"/>
      <c r="AJ234" s="348"/>
      <c r="AK234" s="2150" t="s">
        <v>1246</v>
      </c>
      <c r="AL234" s="2151"/>
      <c r="AM234" s="2145">
        <f>100*(((1000*(Transfer!AD145)/Transfer!AD293)/((1000*(Transfer!AC145)/Transfer!AC293)))-1)</f>
        <v>4.6290320298688403</v>
      </c>
      <c r="AN234" s="2145">
        <f>100*(((1000*(Transfer!AE145)/Transfer!AE293)/((1000*(Transfer!AD145)/Transfer!AD293)))-1)</f>
        <v>-0.20000000000000018</v>
      </c>
      <c r="AO234" s="2145">
        <f>100*(((1000*(Transfer!AF145)/Transfer!AF293)/((1000*(Transfer!AE145)/Transfer!AE293)))-1)</f>
        <v>1.2000000000000233</v>
      </c>
      <c r="AP234" s="2199">
        <f>100*(((1000*(Transfer!AG145)/Transfer!AG293)/((1000*(Transfer!AF145)/Transfer!AF293)))-1)</f>
        <v>2.0999999999999686</v>
      </c>
      <c r="AQ234" s="343"/>
      <c r="AR234" s="54"/>
      <c r="AS234" s="54"/>
      <c r="AT234" s="54"/>
      <c r="AU234" s="54"/>
      <c r="AV234" s="54"/>
      <c r="AW234" s="54"/>
      <c r="AX234" s="54"/>
      <c r="AY234" s="54"/>
      <c r="AZ234" s="54"/>
      <c r="BA234" s="1673" t="s">
        <v>1221</v>
      </c>
      <c r="BB234" s="1699"/>
      <c r="BC234" s="54"/>
    </row>
    <row r="235" spans="1:55">
      <c r="A235" s="45"/>
      <c r="B235" s="2619"/>
      <c r="C235" s="2608" t="s">
        <v>119</v>
      </c>
      <c r="D235" s="2609"/>
      <c r="E235" s="2502">
        <f ca="1">100*(((1000*(Transfer!D146)/Transfer!D294)/((1000*(Transfer!C146)/Transfer!C294)))-1)</f>
        <v>1.1289844354461565</v>
      </c>
      <c r="F235" s="2502">
        <f ca="1">100*(((1000*(Transfer!E146)/Transfer!E294)/((1000*(Transfer!D146)/Transfer!D294)))-1)</f>
        <v>3.3203189299944258</v>
      </c>
      <c r="G235" s="2502">
        <f ca="1">100*(((1000*(Transfer!F146)/Transfer!F294)/((1000*(Transfer!E146)/Transfer!E294)))-1)</f>
        <v>3.0000000000000027</v>
      </c>
      <c r="H235" s="2607">
        <f ca="1">100*(((1000*(Transfer!G146)/Transfer!G294)/((1000*(Transfer!F146)/Transfer!F294)))-1)</f>
        <v>2.000000000000024</v>
      </c>
      <c r="I235" s="2610"/>
      <c r="J235" s="54"/>
      <c r="K235" s="54"/>
      <c r="L235" s="54"/>
      <c r="M235" s="54"/>
      <c r="N235" s="54"/>
      <c r="O235" s="54"/>
      <c r="P235" s="54"/>
      <c r="Q235" s="54"/>
      <c r="R235" s="54"/>
      <c r="S235" s="348"/>
      <c r="T235" s="168" t="s">
        <v>119</v>
      </c>
      <c r="U235" s="319"/>
      <c r="V235" s="91">
        <f t="shared" ca="1" si="14"/>
        <v>-0.39999999999999991</v>
      </c>
      <c r="W235" s="91">
        <f t="shared" ca="1" si="14"/>
        <v>3.0999999999999996</v>
      </c>
      <c r="X235" s="91">
        <f t="shared" ca="1" si="14"/>
        <v>1</v>
      </c>
      <c r="Y235" s="93">
        <f t="shared" ca="1" si="14"/>
        <v>-0.70000000000000018</v>
      </c>
      <c r="Z235" s="343"/>
      <c r="AA235" s="54"/>
      <c r="AB235" s="45"/>
      <c r="AC235" s="45"/>
      <c r="AD235" s="45"/>
      <c r="AE235" s="45"/>
      <c r="AF235" s="45"/>
      <c r="AG235" s="45"/>
      <c r="AH235" s="45"/>
      <c r="AI235" s="45"/>
      <c r="AJ235" s="348"/>
      <c r="AK235" s="2150" t="s">
        <v>119</v>
      </c>
      <c r="AL235" s="2151"/>
      <c r="AM235" s="2145">
        <f>100*(((1000*(Transfer!AD146)/Transfer!AD294)/((1000*(Transfer!AC146)/Transfer!AC294)))-1)</f>
        <v>1.5237035136688171</v>
      </c>
      <c r="AN235" s="2145">
        <f>100*(((1000*(Transfer!AE146)/Transfer!AE294)/((1000*(Transfer!AD146)/Transfer!AD294)))-1)</f>
        <v>0.19999999999997797</v>
      </c>
      <c r="AO235" s="2145">
        <f>100*(((1000*(Transfer!AF146)/Transfer!AF294)/((1000*(Transfer!AE146)/Transfer!AE294)))-1)</f>
        <v>2.0000000000000018</v>
      </c>
      <c r="AP235" s="2199">
        <f>100*(((1000*(Transfer!AG146)/Transfer!AG294)/((1000*(Transfer!AF146)/Transfer!AF294)))-1)</f>
        <v>2.6999999999999913</v>
      </c>
      <c r="AQ235" s="343"/>
      <c r="AR235" s="54"/>
      <c r="AS235" s="54"/>
      <c r="AT235" s="54"/>
      <c r="AU235" s="54"/>
      <c r="AV235" s="54"/>
      <c r="AW235" s="54"/>
      <c r="AX235" s="54"/>
      <c r="AY235" s="54"/>
      <c r="AZ235" s="54"/>
      <c r="BA235" s="1673" t="s">
        <v>857</v>
      </c>
      <c r="BB235" s="1699"/>
      <c r="BC235" s="54"/>
    </row>
    <row r="236" spans="1:55">
      <c r="A236" s="45"/>
      <c r="B236" s="2618"/>
      <c r="C236" s="2612" t="s">
        <v>613</v>
      </c>
      <c r="D236" s="2613"/>
      <c r="E236" s="2614">
        <f ca="1">100*(((1000*(Transfer!D147)/Transfer!D295)/((1000*(Transfer!C147)/Transfer!C295)))-1)</f>
        <v>0.95054750240290975</v>
      </c>
      <c r="F236" s="2615">
        <f ca="1">100*(((1000*(Transfer!E147)/Transfer!E295)/((1000*(Transfer!D147)/Transfer!D295)))-1)</f>
        <v>3.3288753280726446</v>
      </c>
      <c r="G236">
        <f ca="1">100*(((1000*(Transfer!F147)/Transfer!F295)/((1000*(Transfer!E147)/Transfer!E295)))-1)</f>
        <v>2.6186320478604586</v>
      </c>
      <c r="H236" s="2616">
        <f ca="1">100*(((1000*(Transfer!G147)/Transfer!G295)/((1000*(Transfer!F147)/Transfer!F295)))-1)</f>
        <v>2.856613044494094</v>
      </c>
      <c r="I236" s="2460"/>
      <c r="J236" s="54"/>
      <c r="K236" s="54"/>
      <c r="L236" s="54"/>
      <c r="M236" s="54"/>
      <c r="N236" s="54"/>
      <c r="O236" s="54"/>
      <c r="P236" s="54"/>
      <c r="Q236" s="54"/>
      <c r="R236" s="54"/>
      <c r="S236" s="347"/>
      <c r="T236" s="288" t="s">
        <v>613</v>
      </c>
      <c r="U236" s="210"/>
      <c r="V236" s="156">
        <f t="shared" ca="1" si="14"/>
        <v>-1.6</v>
      </c>
      <c r="W236" s="156">
        <f t="shared" ca="1" si="14"/>
        <v>1.4</v>
      </c>
      <c r="X236" s="156">
        <f t="shared" ca="1" si="14"/>
        <v>0.10000000000000009</v>
      </c>
      <c r="Y236" s="283">
        <f t="shared" ca="1" si="14"/>
        <v>0.10000000000000009</v>
      </c>
      <c r="Z236" s="203"/>
      <c r="AA236" s="54"/>
      <c r="AB236" s="45"/>
      <c r="AC236" s="45"/>
      <c r="AD236" s="45"/>
      <c r="AE236" s="45"/>
      <c r="AF236" s="45"/>
      <c r="AG236" s="45"/>
      <c r="AH236" s="45"/>
      <c r="AI236" s="45"/>
      <c r="AJ236" s="347"/>
      <c r="AK236" s="2156" t="s">
        <v>613</v>
      </c>
      <c r="AL236" s="2157"/>
      <c r="AM236" s="2184">
        <f>100*(((1000*(Transfer!AD147)/Transfer!AD295)/((1000*(Transfer!AC147)/Transfer!AC295)))-1)</f>
        <v>2.6440514678911953</v>
      </c>
      <c r="AN236" s="2185">
        <f>100*(((1000*(Transfer!AE147)/Transfer!AE295)/((1000*(Transfer!AD147)/Transfer!AD295)))-1)</f>
        <v>1.8917575190050329</v>
      </c>
      <c r="AO236" s="2185">
        <f>100*(((1000*(Transfer!AF147)/Transfer!AF295)/((1000*(Transfer!AE147)/Transfer!AE295)))-1)</f>
        <v>2.4509981007355242</v>
      </c>
      <c r="AP236" s="2186">
        <f>100*(((1000*(Transfer!AG147)/Transfer!AG295)/((1000*(Transfer!AF147)/Transfer!AF295)))-1)</f>
        <v>2.7697821733007055</v>
      </c>
      <c r="AQ236" s="203"/>
      <c r="AR236" s="54"/>
      <c r="AS236" s="54"/>
      <c r="AT236" s="54"/>
      <c r="AU236" s="54"/>
      <c r="AV236" s="54"/>
      <c r="AW236" s="54"/>
      <c r="AX236" s="54"/>
      <c r="AY236" s="54"/>
      <c r="AZ236" s="54"/>
      <c r="BA236" s="1673" t="s">
        <v>858</v>
      </c>
      <c r="BB236" s="1699"/>
      <c r="BC236" s="54"/>
    </row>
    <row r="237" spans="1:55">
      <c r="A237" s="45"/>
      <c r="B237" s="2619"/>
      <c r="C237" s="2385" t="s">
        <v>301</v>
      </c>
      <c r="D237" s="2413"/>
      <c r="E237" s="2387">
        <f ca="1">100*((((Transfer!D311/Transfer!D313)/(SUM(Transfer!D145,Transfer!D146)/Transfer!D319))/((SUM(Transfer!C143,Transfer!C144)/Transfer!C313)/(SUM(Transfer!C145,Transfer!C146)/Transfer!C319)))-1)</f>
        <v>2.4830827964967161</v>
      </c>
      <c r="F237" s="2606">
        <f ca="1">100*((((Transfer!E311/Transfer!E313)/(SUM(Transfer!E145,Transfer!E146)/Transfer!E319))/((SUM(Transfer!D143,Transfer!D144)/Transfer!D313)/(SUM(Transfer!D145,Transfer!D146)/Transfer!D319)))-1)</f>
        <v>0.38058611095272976</v>
      </c>
      <c r="G237" s="2502">
        <f ca="1">100*((((Transfer!F311/Transfer!F313)/(SUM(Transfer!F145,Transfer!F146)/Transfer!F319))/((SUM(Transfer!E143,Transfer!E144)/Transfer!E313)/(SUM(Transfer!E145,Transfer!E146)/Transfer!E319)))-1)</f>
        <v>-0.22604240091504968</v>
      </c>
      <c r="H237" s="2607">
        <f ca="1">100*((((Transfer!G311/Transfer!G313)/(SUM(Transfer!G145,Transfer!G146)/Transfer!G319))/((SUM(Transfer!F143,Transfer!F144)/Transfer!F313)/(SUM(Transfer!F145,Transfer!F146)/Transfer!F319)))-1)</f>
        <v>0.43658139965021547</v>
      </c>
      <c r="I237" s="2452"/>
      <c r="J237" s="54"/>
      <c r="K237" s="54"/>
      <c r="L237" s="54"/>
      <c r="M237" s="54"/>
      <c r="N237" s="54"/>
      <c r="O237" s="54"/>
      <c r="P237" s="54"/>
      <c r="Q237" s="54"/>
      <c r="R237" s="54"/>
      <c r="S237" s="348"/>
      <c r="T237" s="349" t="s">
        <v>301</v>
      </c>
      <c r="U237" s="69"/>
      <c r="V237" s="91">
        <f t="shared" ca="1" si="14"/>
        <v>3.2</v>
      </c>
      <c r="W237" s="91">
        <f t="shared" ca="1" si="14"/>
        <v>0</v>
      </c>
      <c r="X237" s="91">
        <f t="shared" ca="1" si="14"/>
        <v>-0.5</v>
      </c>
      <c r="Y237" s="93">
        <f t="shared" ca="1" si="14"/>
        <v>0.30000000000000004</v>
      </c>
      <c r="Z237" s="196"/>
      <c r="AA237" s="54"/>
      <c r="AB237" s="45"/>
      <c r="AC237" s="45"/>
      <c r="AD237" s="45"/>
      <c r="AE237" s="45"/>
      <c r="AF237" s="45"/>
      <c r="AG237" s="45"/>
      <c r="AH237" s="45"/>
      <c r="AI237" s="45"/>
      <c r="AJ237" s="348"/>
      <c r="AK237" s="2122" t="s">
        <v>301</v>
      </c>
      <c r="AL237" s="2123"/>
      <c r="AM237" s="2113">
        <f>100*((((Transfer!AD311/Transfer!AD313)/(SUM(Transfer!AD145,Transfer!AD146)/Transfer!AD319))/((SUM(Transfer!AC143,Transfer!AC144)/Transfer!AC313)/(SUM(Transfer!AC145,Transfer!AC146)/Transfer!AC319)))-1)</f>
        <v>-0.73493616684877638</v>
      </c>
      <c r="AN237" s="2198">
        <f>100*((((Transfer!AE311/Transfer!AE313)/(SUM(Transfer!AE145,Transfer!AE146)/Transfer!AE319))/((SUM(Transfer!AD143,Transfer!AD144)/Transfer!AD313)/(SUM(Transfer!AD145,Transfer!AD146)/Transfer!AD319)))-1)</f>
        <v>0.4171938134567732</v>
      </c>
      <c r="AO237" s="2145">
        <f>100*((((Transfer!AF311/Transfer!AF313)/(SUM(Transfer!AF145,Transfer!AF146)/Transfer!AF319))/((SUM(Transfer!AE143,Transfer!AE144)/Transfer!AE313)/(SUM(Transfer!AE145,Transfer!AE146)/Transfer!AE319)))-1)</f>
        <v>0.3126604694756896</v>
      </c>
      <c r="AP237" s="2199">
        <f>100*((((Transfer!AG311/Transfer!AG313)/(SUM(Transfer!AG145,Transfer!AG146)/Transfer!AG319))/((SUM(Transfer!AF143,Transfer!AF144)/Transfer!AF313)/(SUM(Transfer!AF145,Transfer!AF146)/Transfer!AF319)))-1)</f>
        <v>0.12235713196477871</v>
      </c>
      <c r="AQ237" s="196"/>
      <c r="AR237" s="54"/>
      <c r="AS237" s="54"/>
      <c r="AT237" s="54"/>
      <c r="AU237" s="54"/>
      <c r="AV237" s="54"/>
      <c r="AW237" s="54"/>
      <c r="AX237" s="54"/>
      <c r="AY237" s="54"/>
      <c r="AZ237" s="54"/>
      <c r="BA237" s="1673" t="s">
        <v>859</v>
      </c>
      <c r="BB237" s="1699"/>
      <c r="BC237" s="54"/>
    </row>
    <row r="238" spans="1:55">
      <c r="A238" s="45"/>
      <c r="B238" s="1673"/>
      <c r="C238" s="2608" t="s">
        <v>2028</v>
      </c>
      <c r="D238" s="2609"/>
      <c r="E238" s="2502">
        <f ca="1">100*(((((Transfer!D143)/Transfer!D291)/(((Transfer!D145)/Transfer!D293)))/(((Transfer!C143)/Transfer!C291)/(((Transfer!C145)/Transfer!C293))))-1)</f>
        <v>2.3896478041586011</v>
      </c>
      <c r="F238" s="2502">
        <f ca="1">100*(((((Transfer!E143)/Transfer!E291)/(((Transfer!E145)/Transfer!E293)))/(((Transfer!D143)/Transfer!D291)/(((Transfer!D145)/Transfer!D293))))-1)</f>
        <v>0.53898663001381575</v>
      </c>
      <c r="G238">
        <f ca="1">100*(((((Transfer!F143)/Transfer!F291)/(((Transfer!F145)/Transfer!F293)))/(((Transfer!E143)/Transfer!E291)/(((Transfer!E145)/Transfer!E293))))-1)</f>
        <v>-0.19512195121950127</v>
      </c>
      <c r="H238" s="2607">
        <f ca="1">100*(((((Transfer!G143)/Transfer!G291)/(((Transfer!G145)/Transfer!G293)))/(((Transfer!F143)/Transfer!F291)/(((Transfer!F145)/Transfer!F293))))-1)</f>
        <v>0.49261083743841194</v>
      </c>
      <c r="I238" s="2610"/>
      <c r="J238" s="54"/>
      <c r="K238" s="54"/>
      <c r="L238" s="54"/>
      <c r="M238" s="54"/>
      <c r="N238" s="54"/>
      <c r="O238" s="54"/>
      <c r="P238" s="54"/>
      <c r="Q238" s="54"/>
      <c r="R238" s="54"/>
      <c r="S238" s="275"/>
      <c r="T238" s="318" t="s">
        <v>2028</v>
      </c>
      <c r="U238" s="342"/>
      <c r="V238" s="91">
        <f t="shared" ca="1" si="14"/>
        <v>3.4</v>
      </c>
      <c r="W238" s="91">
        <f t="shared" ca="1" si="14"/>
        <v>9.9999999999999978E-2</v>
      </c>
      <c r="X238" s="91">
        <f t="shared" ca="1" si="14"/>
        <v>-0.5</v>
      </c>
      <c r="Y238" s="93">
        <f t="shared" ca="1" si="14"/>
        <v>0.4</v>
      </c>
      <c r="Z238" s="343"/>
      <c r="AA238" s="54"/>
      <c r="AB238" s="45"/>
      <c r="AC238" s="45"/>
      <c r="AD238" s="45"/>
      <c r="AE238" s="45"/>
      <c r="AF238" s="45"/>
      <c r="AG238" s="45"/>
      <c r="AH238" s="45"/>
      <c r="AI238" s="45"/>
      <c r="AJ238" s="275"/>
      <c r="AK238" s="2150" t="s">
        <v>2028</v>
      </c>
      <c r="AL238" s="2151"/>
      <c r="AM238" s="2145">
        <f>100*(((((Transfer!AD143)/Transfer!AD291)/(((Transfer!AD145)/Transfer!AD293)))/(((Transfer!AC143)/Transfer!AC291)/(((Transfer!AC145)/Transfer!AC293))))-1)</f>
        <v>-0.95515374854119317</v>
      </c>
      <c r="AN238" s="2145">
        <f>100*(((((Transfer!AE143)/Transfer!AE291)/(((Transfer!AE145)/Transfer!AE293)))/(((Transfer!AD143)/Transfer!AD291)/(((Transfer!AD145)/Transfer!AD293))))-1)</f>
        <v>0.40080160320643543</v>
      </c>
      <c r="AO238" s="2145">
        <f>100*(((((Transfer!AF143)/Transfer!AF291)/(((Transfer!AF145)/Transfer!AF293)))/(((Transfer!AE143)/Transfer!AE291)/(((Transfer!AE145)/Transfer!AE293))))-1)</f>
        <v>0.29644268774704496</v>
      </c>
      <c r="AP238" s="2199">
        <f>100*(((((Transfer!AG143)/Transfer!AG291)/(((Transfer!AG145)/Transfer!AG293)))/(((Transfer!AF143)/Transfer!AF291)/(((Transfer!AF145)/Transfer!AF293))))-1)</f>
        <v>9.7943192948113378E-2</v>
      </c>
      <c r="AQ238" s="343"/>
      <c r="AR238" s="54"/>
      <c r="AS238" s="54"/>
      <c r="AT238" s="54"/>
      <c r="AU238" s="54"/>
      <c r="AV238" s="54"/>
      <c r="AW238" s="54"/>
      <c r="AX238" s="54"/>
      <c r="AY238" s="54"/>
      <c r="AZ238" s="54"/>
      <c r="BA238" s="1673" t="s">
        <v>860</v>
      </c>
      <c r="BB238" s="1699"/>
      <c r="BC238" s="54"/>
    </row>
    <row r="239" spans="1:55" ht="13.5" thickBot="1">
      <c r="A239" s="45"/>
      <c r="B239" s="1673"/>
      <c r="C239" s="2620" t="s">
        <v>1659</v>
      </c>
      <c r="D239" s="2621"/>
      <c r="E239" s="2527">
        <f ca="1">100*(((((Transfer!D144)/Transfer!D292)/(((Transfer!D146)/Transfer!D294)))/(((Transfer!C144)/Transfer!C292)/(((Transfer!C146)/Transfer!C294))))-1)</f>
        <v>0.61189365120073447</v>
      </c>
      <c r="F239" s="2527">
        <f ca="1">100*(((((Transfer!E144)/Transfer!E292)/(((Transfer!E146)/Transfer!E294)))/(((Transfer!D144)/Transfer!D292)/(((Transfer!D146)/Transfer!D294))))-1)</f>
        <v>0.15429914520290744</v>
      </c>
      <c r="G239" s="2527">
        <f ca="1">100*(((((Transfer!F144)/Transfer!F292)/(((Transfer!F146)/Transfer!F294)))/(((Transfer!E144)/Transfer!E292)/(((Transfer!E146)/Transfer!E294))))-1)</f>
        <v>-0.48543689320389438</v>
      </c>
      <c r="H239" s="2622">
        <f ca="1">100*(((((Transfer!G144)/Transfer!G292)/(((Transfer!G146)/Transfer!G294)))/(((Transfer!F144)/Transfer!F292)/(((Transfer!F146)/Transfer!F294))))-1)</f>
        <v>9.8039215686251957E-2</v>
      </c>
      <c r="I239" s="2610"/>
      <c r="J239" s="54"/>
      <c r="K239" s="54"/>
      <c r="L239" s="54"/>
      <c r="M239" s="54"/>
      <c r="N239" s="54"/>
      <c r="O239" s="54"/>
      <c r="P239" s="54"/>
      <c r="Q239" s="54"/>
      <c r="R239" s="54"/>
      <c r="S239" s="275"/>
      <c r="T239" s="350" t="s">
        <v>1659</v>
      </c>
      <c r="U239" s="351"/>
      <c r="V239" s="405">
        <f t="shared" ca="1" si="14"/>
        <v>-0.50000000000000011</v>
      </c>
      <c r="W239" s="405">
        <f t="shared" ca="1" si="14"/>
        <v>-0.2</v>
      </c>
      <c r="X239" s="405">
        <f t="shared" ca="1" si="14"/>
        <v>-0.7</v>
      </c>
      <c r="Y239" s="112">
        <f t="shared" ca="1" si="14"/>
        <v>0</v>
      </c>
      <c r="Z239" s="343"/>
      <c r="AA239" s="54"/>
      <c r="AB239" s="45"/>
      <c r="AC239" s="45"/>
      <c r="AD239" s="45"/>
      <c r="AE239" s="45"/>
      <c r="AF239" s="45"/>
      <c r="AG239" s="45"/>
      <c r="AH239" s="45"/>
      <c r="AI239" s="45"/>
      <c r="AJ239" s="275"/>
      <c r="AK239" s="2152" t="s">
        <v>1659</v>
      </c>
      <c r="AL239" s="2153"/>
      <c r="AM239" s="2180">
        <f>100*(((((Transfer!AD144)/Transfer!AD292)/(((Transfer!AD146)/Transfer!AD294)))/(((Transfer!AC144)/Transfer!AC292)/(((Transfer!AC146)/Transfer!AC294))))-1)</f>
        <v>1.1061876182342001</v>
      </c>
      <c r="AN239" s="2180">
        <f>100*(((((Transfer!AE144)/Transfer!AE292)/(((Transfer!AE146)/Transfer!AE294)))/(((Transfer!AD144)/Transfer!AD292)/(((Transfer!AD146)/Transfer!AD294))))-1)</f>
        <v>0.39920159680639777</v>
      </c>
      <c r="AO239" s="2180">
        <f>100*(((((Transfer!AF144)/Transfer!AF292)/(((Transfer!AF146)/Transfer!AF294)))/(((Transfer!AE144)/Transfer!AE292)/(((Transfer!AE146)/Transfer!AE294))))-1)</f>
        <v>0.19607843137254832</v>
      </c>
      <c r="AP239" s="2200">
        <f>100*(((((Transfer!AG144)/Transfer!AG292)/(((Transfer!AG146)/Transfer!AG294)))/(((Transfer!AF144)/Transfer!AF292)/(((Transfer!AF146)/Transfer!AF294))))-1)</f>
        <v>9.7370983446931625E-2</v>
      </c>
      <c r="AQ239" s="343"/>
      <c r="AR239" s="54"/>
      <c r="AS239" s="54"/>
      <c r="AT239" s="54"/>
      <c r="AU239" s="54"/>
      <c r="AV239" s="54"/>
      <c r="AW239" s="54"/>
      <c r="AX239" s="54"/>
      <c r="AY239" s="54"/>
      <c r="AZ239" s="54"/>
      <c r="BA239" s="1673" t="s">
        <v>861</v>
      </c>
      <c r="BB239" s="1699"/>
      <c r="BC239" s="54"/>
    </row>
    <row r="240" spans="1:55" ht="13.5" thickBot="1">
      <c r="A240" s="45"/>
      <c r="B240" s="2617"/>
      <c r="C240" s="2558"/>
      <c r="D240" s="2623"/>
      <c r="E240" s="2392"/>
      <c r="F240" s="2392"/>
      <c r="G240" s="2392"/>
      <c r="H240" s="2624"/>
      <c r="I240" s="2610"/>
      <c r="J240" s="54"/>
      <c r="K240" s="54"/>
      <c r="L240" s="54"/>
      <c r="M240" s="54"/>
      <c r="N240" s="54"/>
      <c r="O240" s="54"/>
      <c r="P240" s="54"/>
      <c r="Q240" s="54"/>
      <c r="R240" s="54"/>
      <c r="S240" s="346"/>
      <c r="T240" s="342"/>
      <c r="U240" s="342"/>
      <c r="V240" s="105"/>
      <c r="W240" s="105"/>
      <c r="X240" s="105"/>
      <c r="Y240" s="105"/>
      <c r="Z240" s="343"/>
      <c r="AA240" s="54"/>
      <c r="AB240" s="45"/>
      <c r="AC240" s="45"/>
      <c r="AD240" s="45"/>
      <c r="AE240" s="45"/>
      <c r="AF240" s="45"/>
      <c r="AG240" s="45"/>
      <c r="AH240" s="45"/>
      <c r="AI240" s="45"/>
      <c r="AJ240" s="346"/>
      <c r="AK240" s="318"/>
      <c r="AL240" s="342"/>
      <c r="AM240" s="102"/>
      <c r="AN240" s="102"/>
      <c r="AO240" s="102"/>
      <c r="AP240" s="2201"/>
      <c r="AQ240" s="343"/>
      <c r="AR240" s="54"/>
      <c r="AS240" s="54"/>
      <c r="AT240" s="54"/>
      <c r="AU240" s="54"/>
      <c r="AV240" s="54"/>
      <c r="AW240" s="54"/>
      <c r="AX240" s="54"/>
      <c r="AY240" s="54"/>
      <c r="AZ240" s="54"/>
      <c r="BA240" s="1673"/>
      <c r="BB240" s="1699"/>
      <c r="BC240" s="54"/>
    </row>
    <row r="241" spans="1:55">
      <c r="A241" s="45"/>
      <c r="B241" s="1673"/>
      <c r="C241" s="2625"/>
      <c r="D241" s="2626"/>
      <c r="E241" s="3752" t="s">
        <v>1170</v>
      </c>
      <c r="F241" s="3752"/>
      <c r="G241" s="3752"/>
      <c r="H241" s="3752"/>
      <c r="I241" s="2541"/>
      <c r="J241" s="54"/>
      <c r="K241" s="54"/>
      <c r="L241" s="54"/>
      <c r="M241" s="54"/>
      <c r="N241" s="54"/>
      <c r="O241" s="54"/>
      <c r="P241" s="54"/>
      <c r="Q241" s="54"/>
      <c r="R241" s="54"/>
      <c r="S241" s="275"/>
      <c r="T241" s="2625"/>
      <c r="U241" s="2626"/>
      <c r="V241" s="3752" t="s">
        <v>1170</v>
      </c>
      <c r="W241" s="3752"/>
      <c r="X241" s="3752"/>
      <c r="Y241" s="3752"/>
      <c r="Z241" s="273"/>
      <c r="AA241" s="54"/>
      <c r="AB241" s="45"/>
      <c r="AC241" s="45"/>
      <c r="AD241" s="45"/>
      <c r="AE241" s="45"/>
      <c r="AF241" s="45"/>
      <c r="AG241" s="45"/>
      <c r="AH241" s="45"/>
      <c r="AI241" s="45"/>
      <c r="AJ241" s="275"/>
      <c r="AK241" s="2625"/>
      <c r="AL241" s="2626"/>
      <c r="AM241" s="3752" t="s">
        <v>1170</v>
      </c>
      <c r="AN241" s="3752"/>
      <c r="AO241" s="3752"/>
      <c r="AP241" s="3752"/>
      <c r="AQ241" s="273"/>
      <c r="AR241" s="54"/>
      <c r="AS241" s="54"/>
      <c r="AT241" s="54"/>
      <c r="AU241" s="54"/>
      <c r="AV241" s="54"/>
      <c r="AW241" s="54"/>
      <c r="AX241" s="54"/>
      <c r="AY241" s="54"/>
      <c r="AZ241" s="54"/>
      <c r="BA241" s="1673"/>
      <c r="BB241" s="1699"/>
      <c r="BC241" s="54"/>
    </row>
    <row r="242" spans="1:55">
      <c r="A242" s="45"/>
      <c r="B242" s="1673"/>
      <c r="C242" s="3014" t="s">
        <v>229</v>
      </c>
      <c r="D242" s="3015"/>
      <c r="E242" s="2627">
        <f ca="1">((Transfer!D154/Transfer!C154)-1)*100</f>
        <v>0.67833333333300327</v>
      </c>
      <c r="F242" s="3380">
        <f ca="1">((Transfer!E154/Transfer!D154)-1)*100</f>
        <v>3.7181121393222716</v>
      </c>
      <c r="G242" s="2628">
        <f ca="1">((Transfer!F154/Transfer!E154)-1)*100</f>
        <v>2.8095001688776211</v>
      </c>
      <c r="H242" s="2690">
        <f ca="1">((Transfer!G154/Transfer!F154)-1)*100</f>
        <v>2.3463849329505404</v>
      </c>
      <c r="I242" s="2460"/>
      <c r="J242" s="54"/>
      <c r="K242" s="54"/>
      <c r="L242" s="54"/>
      <c r="M242" s="54"/>
      <c r="N242" s="54"/>
      <c r="O242" s="54"/>
      <c r="P242" s="54"/>
      <c r="Q242" s="54"/>
      <c r="R242" s="54"/>
      <c r="S242" s="275"/>
      <c r="T242" s="3014" t="s">
        <v>229</v>
      </c>
      <c r="U242" s="3015"/>
      <c r="V242" s="2057">
        <f t="shared" ref="V242:W249" ca="1" si="15">ROUND(E242,1)-ROUND(AM242,1)</f>
        <v>-2.5</v>
      </c>
      <c r="W242" s="2057">
        <f t="shared" ca="1" si="15"/>
        <v>2.3000000000000003</v>
      </c>
      <c r="X242" s="2057">
        <f t="shared" ref="X242:X249" ca="1" si="16">ROUND(G242,1)-ROUND(AO242,1)</f>
        <v>0.89999999999999991</v>
      </c>
      <c r="Y242" s="2015">
        <f t="shared" ref="Y242:Y249" ca="1" si="17">ROUND(H242,1)-ROUND(AP242,1)</f>
        <v>-0.10000000000000009</v>
      </c>
      <c r="Z242" s="203"/>
      <c r="AA242" s="54"/>
      <c r="AB242" s="45"/>
      <c r="AC242" s="45"/>
      <c r="AD242" s="45"/>
      <c r="AE242" s="45"/>
      <c r="AF242" s="45"/>
      <c r="AG242" s="45"/>
      <c r="AH242" s="45"/>
      <c r="AI242" s="45"/>
      <c r="AJ242" s="275"/>
      <c r="AK242" s="3014" t="s">
        <v>229</v>
      </c>
      <c r="AL242" s="3015"/>
      <c r="AM242" s="2627">
        <f>((Transfer!AD154/Transfer!AC154)-1)*100</f>
        <v>3.1665027811039304</v>
      </c>
      <c r="AN242" s="2628">
        <f>((Transfer!AE154/Transfer!AD154)-1)*100</f>
        <v>1.3774287214301184</v>
      </c>
      <c r="AO242" s="2628">
        <f>((Transfer!AF154/Transfer!AE154)-1)*100</f>
        <v>1.9238442789760946</v>
      </c>
      <c r="AP242" s="2690">
        <f>((Transfer!AG154/Transfer!AF154)-1)*100</f>
        <v>2.3673276278389999</v>
      </c>
      <c r="AQ242" s="203"/>
      <c r="AR242" s="54"/>
      <c r="AS242" s="54"/>
      <c r="AT242" s="54"/>
      <c r="AU242" s="54"/>
      <c r="AV242" s="54"/>
      <c r="AW242" s="54"/>
      <c r="AX242" s="54"/>
      <c r="AY242" s="54"/>
      <c r="AZ242" s="54"/>
      <c r="BA242" s="1673" t="s">
        <v>569</v>
      </c>
      <c r="BB242" s="1699"/>
      <c r="BC242" s="54"/>
    </row>
    <row r="243" spans="1:55" s="217" customFormat="1">
      <c r="A243" s="54"/>
      <c r="B243" s="1673"/>
      <c r="C243" s="3035" t="s">
        <v>1860</v>
      </c>
      <c r="D243" s="2481"/>
      <c r="E243" s="2727">
        <f ca="1">+Transfer!D272/Transfer!C272*100-100</f>
        <v>0.68666666666665321</v>
      </c>
      <c r="F243" s="2453">
        <f ca="1">+Transfer!E272/Transfer!D272*100-100</f>
        <v>0.71922796795338684</v>
      </c>
      <c r="G243" s="2453">
        <f ca="1">+Transfer!F272/Transfer!E272*100-100</f>
        <v>0.78052000801136501</v>
      </c>
      <c r="H243" s="2693">
        <f ca="1">+Transfer!G272/Transfer!F272*100-100</f>
        <v>1.0292044895203247</v>
      </c>
      <c r="I243" s="2452"/>
      <c r="J243" s="54"/>
      <c r="K243" s="54"/>
      <c r="L243" s="54"/>
      <c r="M243" s="54"/>
      <c r="N243" s="54"/>
      <c r="O243" s="54"/>
      <c r="P243" s="54"/>
      <c r="Q243" s="54"/>
      <c r="R243" s="54"/>
      <c r="S243" s="275"/>
      <c r="T243" s="3035" t="s">
        <v>1860</v>
      </c>
      <c r="U243" s="2481"/>
      <c r="V243" s="91">
        <f t="shared" ca="1" si="15"/>
        <v>-0.40000000000000013</v>
      </c>
      <c r="W243" s="91">
        <f t="shared" ca="1" si="15"/>
        <v>-0.20000000000000007</v>
      </c>
      <c r="X243" s="91">
        <f t="shared" ca="1" si="16"/>
        <v>-0.30000000000000004</v>
      </c>
      <c r="Y243" s="93">
        <f t="shared" ca="1" si="17"/>
        <v>9.9999999999999978E-2</v>
      </c>
      <c r="Z243" s="196"/>
      <c r="AA243" s="54"/>
      <c r="AB243" s="54"/>
      <c r="AC243" s="54"/>
      <c r="AD243" s="54"/>
      <c r="AE243" s="54"/>
      <c r="AF243" s="54"/>
      <c r="AG243" s="54"/>
      <c r="AH243" s="54"/>
      <c r="AI243" s="54"/>
      <c r="AJ243" s="275"/>
      <c r="AK243" s="3035" t="s">
        <v>1860</v>
      </c>
      <c r="AL243" s="2481"/>
      <c r="AM243" s="2727">
        <f>((Transfer!AD272/Transfer!AC272)-1)*100</f>
        <v>1.1191039674451453</v>
      </c>
      <c r="AN243" s="2453">
        <f>((Transfer!AE272/Transfer!AD272)-1)*100</f>
        <v>0.89114458188359613</v>
      </c>
      <c r="AO243" s="2453">
        <f>((Transfer!AF272/Transfer!AE272)-1)*100</f>
        <v>1.0999737509157281</v>
      </c>
      <c r="AP243" s="2693">
        <f>((Transfer!AG272/Transfer!AF272)-1)*100</f>
        <v>0.88753823288187927</v>
      </c>
      <c r="AQ243" s="196"/>
      <c r="AR243" s="54"/>
      <c r="AS243" s="54"/>
      <c r="AT243" s="54"/>
      <c r="AU243" s="54"/>
      <c r="AV243" s="54"/>
      <c r="AW243" s="54"/>
      <c r="AX243" s="54"/>
      <c r="AY243" s="54"/>
      <c r="AZ243" s="54"/>
      <c r="BA243" s="1673" t="s">
        <v>1986</v>
      </c>
      <c r="BB243" s="1699"/>
      <c r="BC243" s="54"/>
    </row>
    <row r="244" spans="1:55" s="217" customFormat="1">
      <c r="A244" s="54"/>
      <c r="B244" s="1673"/>
      <c r="C244" s="3035" t="s">
        <v>1861</v>
      </c>
      <c r="D244" s="2481"/>
      <c r="E244" s="2727">
        <f ca="1">+Transfer!D273/Transfer!C273*100-100</f>
        <v>-7.1842265352211285</v>
      </c>
      <c r="F244" s="2453">
        <f ca="1">+Transfer!E273/Transfer!D273*100-100</f>
        <v>4.6831510711271562</v>
      </c>
      <c r="G244" s="2453">
        <f ca="1">+Transfer!F273/Transfer!E273*100-100</f>
        <v>5.5586672796458458</v>
      </c>
      <c r="H244" s="2693">
        <f ca="1">+Transfer!G273/Transfer!F273*100-100</f>
        <v>1.1752122007345776</v>
      </c>
      <c r="I244" s="2452"/>
      <c r="J244" s="54"/>
      <c r="K244" s="54"/>
      <c r="L244" s="54"/>
      <c r="M244" s="54"/>
      <c r="N244" s="54"/>
      <c r="O244" s="54"/>
      <c r="P244" s="54"/>
      <c r="Q244" s="54"/>
      <c r="R244" s="54"/>
      <c r="S244" s="275"/>
      <c r="T244" s="3035" t="s">
        <v>1861</v>
      </c>
      <c r="U244" s="2481"/>
      <c r="V244" s="91">
        <f t="shared" ca="1" si="15"/>
        <v>-13.9</v>
      </c>
      <c r="W244" s="91">
        <f t="shared" ca="1" si="15"/>
        <v>5.6000000000000005</v>
      </c>
      <c r="X244" s="91">
        <f t="shared" ca="1" si="16"/>
        <v>5</v>
      </c>
      <c r="Y244" s="93">
        <f t="shared" ca="1" si="17"/>
        <v>-1.5000000000000002</v>
      </c>
      <c r="Z244" s="196"/>
      <c r="AA244" s="54"/>
      <c r="AB244" s="54"/>
      <c r="AC244" s="54"/>
      <c r="AD244" s="54"/>
      <c r="AE244" s="54"/>
      <c r="AF244" s="54"/>
      <c r="AG244" s="54"/>
      <c r="AH244" s="54"/>
      <c r="AI244" s="54"/>
      <c r="AJ244" s="275"/>
      <c r="AK244" s="3035" t="s">
        <v>1861</v>
      </c>
      <c r="AL244" s="2481"/>
      <c r="AM244" s="2727">
        <f>((Transfer!AD273/Transfer!AC273)-1)*100</f>
        <v>6.6581823544397789</v>
      </c>
      <c r="AN244" s="2453">
        <f>((Transfer!AE273/Transfer!AD273)-1)*100</f>
        <v>-0.89581721319744734</v>
      </c>
      <c r="AO244" s="2453">
        <f>((Transfer!AF273/Transfer!AE273)-1)*100</f>
        <v>0.6279881645614882</v>
      </c>
      <c r="AP244" s="2693">
        <f>((Transfer!AG273/Transfer!AF273)-1)*100</f>
        <v>2.7180014379909245</v>
      </c>
      <c r="AQ244" s="196"/>
      <c r="AR244" s="54"/>
      <c r="AS244" s="54"/>
      <c r="AT244" s="54"/>
      <c r="AU244" s="54"/>
      <c r="AV244" s="54"/>
      <c r="AW244" s="54"/>
      <c r="AX244" s="54"/>
      <c r="AY244" s="54"/>
      <c r="AZ244" s="54"/>
      <c r="BA244" s="1673" t="s">
        <v>1987</v>
      </c>
      <c r="BB244" s="1699"/>
      <c r="BC244" s="54"/>
    </row>
    <row r="245" spans="1:55" s="217" customFormat="1">
      <c r="A245" s="54"/>
      <c r="B245" s="1673"/>
      <c r="C245" s="3035" t="s">
        <v>765</v>
      </c>
      <c r="D245" s="2481"/>
      <c r="E245" s="2727">
        <f ca="1">+Transfer!D274/Transfer!C274*100-100</f>
        <v>2.2291666666666856</v>
      </c>
      <c r="F245" s="2453">
        <f ca="1">+Transfer!E274/Transfer!D274*100-100</f>
        <v>7.1196250254737805</v>
      </c>
      <c r="G245" s="2453">
        <f ca="1">+Transfer!F274/Transfer!E274*100-100</f>
        <v>3.6037323774764047</v>
      </c>
      <c r="H245" s="2693">
        <f ca="1">+Transfer!G274/Transfer!F274*100-100</f>
        <v>3.0408328777084392</v>
      </c>
      <c r="I245" s="2452"/>
      <c r="J245" s="54"/>
      <c r="K245" s="54"/>
      <c r="L245" s="54"/>
      <c r="M245" s="54"/>
      <c r="N245" s="54"/>
      <c r="O245" s="54"/>
      <c r="P245" s="54"/>
      <c r="Q245" s="54"/>
      <c r="R245" s="54"/>
      <c r="S245" s="275"/>
      <c r="T245" s="3035" t="s">
        <v>765</v>
      </c>
      <c r="U245" s="2481"/>
      <c r="V245" s="91">
        <f t="shared" ca="1" si="15"/>
        <v>-1</v>
      </c>
      <c r="W245" s="91">
        <f t="shared" ca="1" si="15"/>
        <v>5.5</v>
      </c>
      <c r="X245" s="91">
        <f t="shared" ca="1" si="16"/>
        <v>1</v>
      </c>
      <c r="Y245" s="93">
        <f t="shared" ca="1" si="17"/>
        <v>1.3</v>
      </c>
      <c r="Z245" s="196"/>
      <c r="AA245" s="54"/>
      <c r="AB245" s="54"/>
      <c r="AC245" s="54"/>
      <c r="AD245" s="54"/>
      <c r="AE245" s="54"/>
      <c r="AF245" s="54"/>
      <c r="AG245" s="54"/>
      <c r="AH245" s="54"/>
      <c r="AI245" s="54"/>
      <c r="AJ245" s="275"/>
      <c r="AK245" s="3035" t="s">
        <v>765</v>
      </c>
      <c r="AL245" s="2481"/>
      <c r="AM245" s="2727">
        <f>((Transfer!AD274/Transfer!AC274)-1)*100</f>
        <v>3.1806446292988566</v>
      </c>
      <c r="AN245" s="2453">
        <f>((Transfer!AE274/Transfer!AD274)-1)*100</f>
        <v>1.6067786022680774</v>
      </c>
      <c r="AO245" s="2453">
        <f>((Transfer!AF274/Transfer!AE274)-1)*100</f>
        <v>2.5721299968793687</v>
      </c>
      <c r="AP245" s="2693">
        <f>((Transfer!AG274/Transfer!AF274)-1)*100</f>
        <v>1.6993323338340582</v>
      </c>
      <c r="AQ245" s="196"/>
      <c r="AR245" s="54"/>
      <c r="AS245" s="54"/>
      <c r="AT245" s="54"/>
      <c r="AU245" s="54"/>
      <c r="AV245" s="54"/>
      <c r="AW245" s="54"/>
      <c r="AX245" s="54"/>
      <c r="AY245" s="54"/>
      <c r="AZ245" s="54"/>
      <c r="BA245" s="1673" t="s">
        <v>1988</v>
      </c>
      <c r="BB245" s="1699"/>
      <c r="BC245" s="54"/>
    </row>
    <row r="246" spans="1:55" s="217" customFormat="1">
      <c r="A246" s="54"/>
      <c r="B246" s="1673"/>
      <c r="C246" s="3035" t="s">
        <v>766</v>
      </c>
      <c r="D246" s="2481"/>
      <c r="E246" s="2727">
        <f ca="1">+Transfer!D275/Transfer!C275*100-100</f>
        <v>1.514987375105207</v>
      </c>
      <c r="F246" s="2453">
        <f ca="1">+Transfer!E275/Transfer!D275*100-100</f>
        <v>1.637675567850664</v>
      </c>
      <c r="G246" s="2453">
        <f ca="1">+Transfer!F275/Transfer!E275*100-100</f>
        <v>0.52914406292126159</v>
      </c>
      <c r="H246" s="2693">
        <f ca="1">+Transfer!G275/Transfer!F275*100-100</f>
        <v>0.89030342846490385</v>
      </c>
      <c r="I246" s="2452"/>
      <c r="J246" s="54"/>
      <c r="K246" s="54"/>
      <c r="L246" s="54"/>
      <c r="M246" s="54"/>
      <c r="N246" s="54"/>
      <c r="O246" s="54"/>
      <c r="P246" s="54"/>
      <c r="Q246" s="54"/>
      <c r="R246" s="54"/>
      <c r="S246" s="275"/>
      <c r="T246" s="3035" t="s">
        <v>766</v>
      </c>
      <c r="U246" s="2481"/>
      <c r="V246" s="91">
        <f t="shared" ca="1" si="15"/>
        <v>-1.7999999999999998</v>
      </c>
      <c r="W246" s="91">
        <f t="shared" ca="1" si="15"/>
        <v>-1.1999999999999997</v>
      </c>
      <c r="X246" s="91">
        <f t="shared" ca="1" si="16"/>
        <v>-1</v>
      </c>
      <c r="Y246" s="93">
        <f t="shared" ca="1" si="17"/>
        <v>-1.2000000000000002</v>
      </c>
      <c r="Z246" s="196"/>
      <c r="AA246" s="54"/>
      <c r="AB246" s="54"/>
      <c r="AC246" s="54"/>
      <c r="AD246" s="54"/>
      <c r="AE246" s="54"/>
      <c r="AF246" s="54"/>
      <c r="AG246" s="54"/>
      <c r="AH246" s="54"/>
      <c r="AI246" s="54"/>
      <c r="AJ246" s="275"/>
      <c r="AK246" s="3035" t="s">
        <v>766</v>
      </c>
      <c r="AL246" s="2481"/>
      <c r="AM246" s="2727">
        <f>((Transfer!AD275/Transfer!AC275)-1)*100</f>
        <v>3.2574256285610836</v>
      </c>
      <c r="AN246" s="2453">
        <f>((Transfer!AE275/Transfer!AD275)-1)*100</f>
        <v>2.8299985701307317</v>
      </c>
      <c r="AO246" s="2453">
        <f>((Transfer!AF275/Transfer!AE275)-1)*100</f>
        <v>1.5070223737591038</v>
      </c>
      <c r="AP246" s="2693">
        <f>((Transfer!AG275/Transfer!AF275)-1)*100</f>
        <v>2.0969923330059981</v>
      </c>
      <c r="AQ246" s="196"/>
      <c r="AR246" s="54"/>
      <c r="AS246" s="54"/>
      <c r="AT246" s="54"/>
      <c r="AU246" s="54"/>
      <c r="AV246" s="54"/>
      <c r="AW246" s="54"/>
      <c r="AX246" s="54"/>
      <c r="AY246" s="54"/>
      <c r="AZ246" s="54"/>
      <c r="BA246" s="1673" t="s">
        <v>1989</v>
      </c>
      <c r="BB246" s="1699"/>
      <c r="BC246" s="54"/>
    </row>
    <row r="247" spans="1:55" s="217" customFormat="1">
      <c r="A247" s="54"/>
      <c r="B247" s="1673"/>
      <c r="C247" s="3035" t="s">
        <v>776</v>
      </c>
      <c r="D247" s="2481"/>
      <c r="E247" s="2727">
        <f ca="1">+Transfer!D276/Transfer!C276*100-100</f>
        <v>3.1532807786537091</v>
      </c>
      <c r="F247" s="2453">
        <f ca="1">+Transfer!E276/Transfer!D276*100-100</f>
        <v>5.0385342445834027</v>
      </c>
      <c r="G247" s="2453">
        <f ca="1">+Transfer!F276/Transfer!E276*100-100</f>
        <v>4.1025089995070658</v>
      </c>
      <c r="H247" s="2693">
        <f ca="1">+Transfer!G276/Transfer!F276*100-100</f>
        <v>4.3754541714286432</v>
      </c>
      <c r="I247" s="2452"/>
      <c r="J247" s="54"/>
      <c r="K247" s="54"/>
      <c r="L247" s="54"/>
      <c r="M247" s="54"/>
      <c r="N247" s="54"/>
      <c r="O247" s="54"/>
      <c r="P247" s="54"/>
      <c r="Q247" s="54"/>
      <c r="R247" s="54"/>
      <c r="S247" s="275"/>
      <c r="T247" s="3035" t="s">
        <v>776</v>
      </c>
      <c r="U247" s="2481"/>
      <c r="V247" s="91">
        <f t="shared" ca="1" si="15"/>
        <v>0.30000000000000027</v>
      </c>
      <c r="W247" s="91">
        <f t="shared" ca="1" si="15"/>
        <v>2.5</v>
      </c>
      <c r="X247" s="91">
        <f t="shared" ca="1" si="16"/>
        <v>0.89999999999999947</v>
      </c>
      <c r="Y247" s="93">
        <f t="shared" ca="1" si="17"/>
        <v>0.10000000000000053</v>
      </c>
      <c r="Z247" s="196"/>
      <c r="AA247" s="54"/>
      <c r="AB247" s="54"/>
      <c r="AC247" s="54"/>
      <c r="AD247" s="54"/>
      <c r="AE247" s="54"/>
      <c r="AF247" s="54"/>
      <c r="AG247" s="54"/>
      <c r="AH247" s="54"/>
      <c r="AI247" s="54"/>
      <c r="AJ247" s="275"/>
      <c r="AK247" s="3035" t="s">
        <v>776</v>
      </c>
      <c r="AL247" s="2481"/>
      <c r="AM247" s="2727">
        <f>((Transfer!AD276/Transfer!AC276)-1)*100</f>
        <v>2.8910888717050609</v>
      </c>
      <c r="AN247" s="2453">
        <f>((Transfer!AE276/Transfer!AD276)-1)*100</f>
        <v>2.492600355306851</v>
      </c>
      <c r="AO247" s="2453">
        <f>((Transfer!AF276/Transfer!AE276)-1)*100</f>
        <v>3.1543978554374519</v>
      </c>
      <c r="AP247" s="2693">
        <f>((Transfer!AG276/Transfer!AF276)-1)*100</f>
        <v>4.2626969705621853</v>
      </c>
      <c r="AQ247" s="196"/>
      <c r="AR247" s="54"/>
      <c r="AS247" s="54"/>
      <c r="AT247" s="54"/>
      <c r="AU247" s="54"/>
      <c r="AV247" s="54"/>
      <c r="AW247" s="54"/>
      <c r="AX247" s="54"/>
      <c r="AY247" s="54"/>
      <c r="AZ247" s="54"/>
      <c r="BA247" s="1673" t="s">
        <v>1990</v>
      </c>
      <c r="BB247" s="1699"/>
      <c r="BC247" s="54"/>
    </row>
    <row r="248" spans="1:55" s="217" customFormat="1">
      <c r="A248" s="54"/>
      <c r="B248" s="1673"/>
      <c r="C248" s="3017" t="s">
        <v>777</v>
      </c>
      <c r="D248" s="3018"/>
      <c r="E248" s="3019">
        <f ca="1">+Transfer!D277/Transfer!C277*100-100</f>
        <v>1.8596689009513909</v>
      </c>
      <c r="F248" s="3020">
        <f ca="1">+Transfer!E277/Transfer!D277*100-100</f>
        <v>3.8340515646518014</v>
      </c>
      <c r="G248" s="3020">
        <f ca="1">+Transfer!F277/Transfer!E277*100-100</f>
        <v>2.6281814945884605</v>
      </c>
      <c r="H248" s="3021">
        <f ca="1">+Transfer!G277/Transfer!F277*100-100</f>
        <v>2.6683069675598574</v>
      </c>
      <c r="I248" s="2452"/>
      <c r="J248" s="54"/>
      <c r="K248" s="54"/>
      <c r="L248" s="54"/>
      <c r="M248" s="54"/>
      <c r="N248" s="54"/>
      <c r="O248" s="54"/>
      <c r="P248" s="54"/>
      <c r="Q248" s="54"/>
      <c r="R248" s="54"/>
      <c r="S248" s="275"/>
      <c r="T248" s="3017" t="s">
        <v>777</v>
      </c>
      <c r="U248" s="3018"/>
      <c r="V248" s="3033">
        <f t="shared" ca="1" si="15"/>
        <v>-0.5</v>
      </c>
      <c r="W248" s="3033">
        <f t="shared" ca="1" si="15"/>
        <v>2.0999999999999996</v>
      </c>
      <c r="X248" s="3033">
        <f t="shared" ca="1" si="16"/>
        <v>0.30000000000000027</v>
      </c>
      <c r="Y248" s="3034">
        <f t="shared" ca="1" si="17"/>
        <v>0.40000000000000036</v>
      </c>
      <c r="Z248" s="196"/>
      <c r="AA248" s="54"/>
      <c r="AB248" s="54"/>
      <c r="AC248" s="54"/>
      <c r="AD248" s="54"/>
      <c r="AE248" s="54"/>
      <c r="AF248" s="54"/>
      <c r="AG248" s="54"/>
      <c r="AH248" s="54"/>
      <c r="AI248" s="54"/>
      <c r="AJ248" s="275"/>
      <c r="AK248" s="3017" t="s">
        <v>777</v>
      </c>
      <c r="AL248" s="3018"/>
      <c r="AM248" s="3019">
        <f>((Transfer!AD277/Transfer!AC277)-1)*100</f>
        <v>2.3907243249966958</v>
      </c>
      <c r="AN248" s="3020">
        <f>((Transfer!AE277/Transfer!AD277)-1)*100</f>
        <v>1.6819777537696146</v>
      </c>
      <c r="AO248" s="3020">
        <f>((Transfer!AF277/Transfer!AE277)-1)*100</f>
        <v>2.2854336548294718</v>
      </c>
      <c r="AP248" s="3021">
        <f>((Transfer!AG277/Transfer!AF277)-1)*100</f>
        <v>2.3247790797527701</v>
      </c>
      <c r="AQ248" s="196"/>
      <c r="AR248" s="54"/>
      <c r="AS248" s="54"/>
      <c r="AT248" s="54"/>
      <c r="AU248" s="54"/>
      <c r="AV248" s="54"/>
      <c r="AW248" s="54"/>
      <c r="AX248" s="54"/>
      <c r="AY248" s="54"/>
      <c r="AZ248" s="54"/>
      <c r="BA248" s="1673" t="s">
        <v>1991</v>
      </c>
      <c r="BB248" s="1699"/>
      <c r="BC248" s="54"/>
    </row>
    <row r="249" spans="1:55" ht="13.5" thickBot="1">
      <c r="A249" s="45"/>
      <c r="B249" s="1673"/>
      <c r="C249" s="2469" t="s">
        <v>1979</v>
      </c>
      <c r="D249" s="3022"/>
      <c r="E249" s="3023" t="s">
        <v>276</v>
      </c>
      <c r="F249" s="2591" t="s">
        <v>276</v>
      </c>
      <c r="G249" s="2591" t="s">
        <v>276</v>
      </c>
      <c r="H249" s="3024" t="s">
        <v>276</v>
      </c>
      <c r="I249" s="2452"/>
      <c r="J249" s="54"/>
      <c r="K249" s="54"/>
      <c r="L249" s="54"/>
      <c r="M249" s="54"/>
      <c r="N249" s="54"/>
      <c r="O249" s="54"/>
      <c r="P249" s="54"/>
      <c r="Q249" s="54"/>
      <c r="R249" s="54"/>
      <c r="S249" s="275"/>
      <c r="T249" s="2469" t="s">
        <v>1979</v>
      </c>
      <c r="U249" s="3022"/>
      <c r="V249" s="290" t="e">
        <f t="shared" si="15"/>
        <v>#VALUE!</v>
      </c>
      <c r="W249" s="290" t="e">
        <f t="shared" si="15"/>
        <v>#VALUE!</v>
      </c>
      <c r="X249" s="290" t="e">
        <f t="shared" si="16"/>
        <v>#VALUE!</v>
      </c>
      <c r="Y249" s="317" t="e">
        <f t="shared" si="17"/>
        <v>#VALUE!</v>
      </c>
      <c r="Z249" s="196"/>
      <c r="AA249" s="54"/>
      <c r="AB249" s="45"/>
      <c r="AC249" s="45"/>
      <c r="AD249" s="45"/>
      <c r="AE249" s="45"/>
      <c r="AF249" s="45"/>
      <c r="AG249" s="45"/>
      <c r="AH249" s="45"/>
      <c r="AI249" s="45"/>
      <c r="AJ249" s="275"/>
      <c r="AK249" s="2469" t="s">
        <v>1979</v>
      </c>
      <c r="AL249" s="3022"/>
      <c r="AM249" s="3023" t="s">
        <v>276</v>
      </c>
      <c r="AN249" s="2591" t="s">
        <v>276</v>
      </c>
      <c r="AO249" s="2591" t="s">
        <v>276</v>
      </c>
      <c r="AP249" s="3024" t="s">
        <v>276</v>
      </c>
      <c r="AQ249" s="196"/>
      <c r="AR249" s="54"/>
      <c r="AS249" s="54"/>
      <c r="AT249" s="54"/>
      <c r="AU249" s="54"/>
      <c r="AV249" s="54"/>
      <c r="AW249" s="54"/>
      <c r="AX249" s="54"/>
      <c r="AY249" s="54"/>
      <c r="AZ249" s="54"/>
      <c r="BA249" s="1673" t="s">
        <v>947</v>
      </c>
      <c r="BB249" s="1699"/>
      <c r="BC249" s="54"/>
    </row>
    <row r="250" spans="1:55" ht="13.5" thickBot="1">
      <c r="A250" s="45"/>
      <c r="B250" s="1673"/>
      <c r="C250" s="2580"/>
      <c r="D250" s="2631"/>
      <c r="E250" s="2358"/>
      <c r="F250" s="2358"/>
      <c r="G250" s="2358"/>
      <c r="H250" s="2632"/>
      <c r="I250" s="2452"/>
      <c r="J250" s="54"/>
      <c r="K250" s="54"/>
      <c r="L250" s="54"/>
      <c r="M250" s="54"/>
      <c r="N250" s="54"/>
      <c r="O250" s="54"/>
      <c r="P250" s="54"/>
      <c r="Q250" s="54"/>
      <c r="R250" s="54"/>
      <c r="S250" s="275"/>
      <c r="T250" s="2580"/>
      <c r="U250" s="2631"/>
      <c r="V250" s="2358"/>
      <c r="W250" s="2358"/>
      <c r="X250" s="2358"/>
      <c r="Y250" s="2632"/>
      <c r="Z250" s="196"/>
      <c r="AA250" s="54"/>
      <c r="AB250" s="45"/>
      <c r="AC250" s="45"/>
      <c r="AD250" s="45"/>
      <c r="AE250" s="45"/>
      <c r="AF250" s="45"/>
      <c r="AG250" s="45"/>
      <c r="AH250" s="45"/>
      <c r="AI250" s="45"/>
      <c r="AJ250" s="275"/>
      <c r="AK250" s="2154"/>
      <c r="AL250" s="2155"/>
      <c r="AM250" s="211"/>
      <c r="AN250" s="211"/>
      <c r="AO250" s="211"/>
      <c r="AP250" s="2202"/>
      <c r="AQ250" s="196"/>
      <c r="AR250" s="54"/>
      <c r="AS250" s="54"/>
      <c r="AT250" s="54"/>
      <c r="AU250" s="54"/>
      <c r="AV250" s="54"/>
      <c r="AW250" s="54"/>
      <c r="AX250" s="54"/>
      <c r="AY250" s="54"/>
      <c r="AZ250" s="54"/>
      <c r="BA250" s="1673"/>
      <c r="BB250" s="1699"/>
      <c r="BC250" s="54"/>
    </row>
    <row r="251" spans="1:55">
      <c r="A251" s="45"/>
      <c r="B251" s="1673"/>
      <c r="C251" s="2357"/>
      <c r="D251" s="2633"/>
      <c r="E251" s="3752" t="s">
        <v>40</v>
      </c>
      <c r="F251" s="3752"/>
      <c r="G251" s="3752"/>
      <c r="H251" s="3752"/>
      <c r="I251" s="2541"/>
      <c r="J251" s="54"/>
      <c r="K251" s="54"/>
      <c r="L251" s="54"/>
      <c r="M251" s="54"/>
      <c r="N251" s="54"/>
      <c r="O251" s="54"/>
      <c r="P251" s="54"/>
      <c r="Q251" s="54"/>
      <c r="R251" s="54"/>
      <c r="S251" s="275"/>
      <c r="T251" s="191"/>
      <c r="U251" s="355"/>
      <c r="V251" s="3752" t="s">
        <v>40</v>
      </c>
      <c r="W251" s="3752"/>
      <c r="X251" s="3752"/>
      <c r="Y251" s="3752"/>
      <c r="Z251" s="273"/>
      <c r="AA251" s="54"/>
      <c r="AB251" s="45"/>
      <c r="AC251" s="45"/>
      <c r="AD251" s="45"/>
      <c r="AE251" s="45"/>
      <c r="AF251" s="45"/>
      <c r="AG251" s="45"/>
      <c r="AH251" s="45"/>
      <c r="AI251" s="45"/>
      <c r="AJ251" s="275"/>
      <c r="AK251" s="191"/>
      <c r="AL251" s="355"/>
      <c r="AM251" s="3752" t="s">
        <v>40</v>
      </c>
      <c r="AN251" s="3752"/>
      <c r="AO251" s="3752"/>
      <c r="AP251" s="3752"/>
      <c r="AQ251" s="273"/>
      <c r="AR251" s="54"/>
      <c r="AS251" s="54"/>
      <c r="AT251" s="54"/>
      <c r="AU251" s="54"/>
      <c r="AV251" s="54"/>
      <c r="AW251" s="54"/>
      <c r="AX251" s="54"/>
      <c r="AY251" s="54"/>
      <c r="AZ251" s="54"/>
      <c r="BA251" s="1673"/>
      <c r="BB251" s="1699"/>
      <c r="BC251" s="54"/>
    </row>
    <row r="252" spans="1:55">
      <c r="A252" s="45"/>
      <c r="B252" s="2634"/>
      <c r="C252" s="2635"/>
      <c r="D252" s="1664"/>
      <c r="E252" s="3752" t="s">
        <v>1778</v>
      </c>
      <c r="F252" s="3752"/>
      <c r="G252" s="3752"/>
      <c r="H252" s="3752"/>
      <c r="I252" s="2541"/>
      <c r="J252" s="54"/>
      <c r="K252" s="54"/>
      <c r="L252" s="54"/>
      <c r="M252" s="54"/>
      <c r="N252" s="54"/>
      <c r="O252" s="54"/>
      <c r="P252" s="54"/>
      <c r="Q252" s="54"/>
      <c r="R252" s="54"/>
      <c r="S252" s="356"/>
      <c r="T252" s="39"/>
      <c r="U252" s="90"/>
      <c r="V252" s="3752" t="s">
        <v>1820</v>
      </c>
      <c r="W252" s="3752"/>
      <c r="X252" s="3752"/>
      <c r="Y252" s="3752"/>
      <c r="Z252" s="273"/>
      <c r="AA252" s="54"/>
      <c r="AB252" s="45"/>
      <c r="AC252" s="45"/>
      <c r="AD252" s="45"/>
      <c r="AE252" s="45"/>
      <c r="AF252" s="45"/>
      <c r="AG252" s="45"/>
      <c r="AH252" s="45"/>
      <c r="AI252" s="45"/>
      <c r="AJ252" s="356"/>
      <c r="AK252" s="39"/>
      <c r="AL252" s="90"/>
      <c r="AM252" s="3752" t="s">
        <v>1820</v>
      </c>
      <c r="AN252" s="3752"/>
      <c r="AO252" s="3752"/>
      <c r="AP252" s="3752"/>
      <c r="AQ252" s="273"/>
      <c r="AR252" s="54"/>
      <c r="AS252" s="54"/>
      <c r="AT252" s="54"/>
      <c r="AU252" s="54"/>
      <c r="AV252" s="54"/>
      <c r="AW252" s="54"/>
      <c r="AX252" s="54"/>
      <c r="AY252" s="54"/>
      <c r="AZ252" s="54"/>
      <c r="BA252" s="1673"/>
      <c r="BB252" s="1699"/>
      <c r="BC252" s="54"/>
    </row>
    <row r="253" spans="1:55">
      <c r="A253" s="45"/>
      <c r="B253" s="2611"/>
      <c r="C253" s="2385" t="s">
        <v>175</v>
      </c>
      <c r="D253" s="2413"/>
      <c r="E253" s="2387">
        <f ca="1">IF(Transfer!$C$280=1,(Transfer!D161/Transfer!D147)*100*(((Transfer!D161/Transfer!D295)/(Transfer!C161/Transfer!C295))-1),(Transfer!D161/Transfer!D147)*100*(((Transfer!D161/Transfer!D112)/(Transfer!C161/Transfer!C112))-1))</f>
        <v>2.5307007559829562</v>
      </c>
      <c r="F253" s="2606">
        <f ca="1">IF(Transfer!$C$280=1,(Transfer!E161/Transfer!E147)*100*(((Transfer!E161/Transfer!E295)/(Transfer!D161/Transfer!D295))-1),(Transfer!E161/Transfer!E147)*100*(((Transfer!E161/Transfer!E112)/(Transfer!D161/Transfer!D112))-1))</f>
        <v>1.8652795577274488</v>
      </c>
      <c r="G253" s="2502">
        <f ca="1">IF(Transfer!$C$280=1,(Transfer!F161/Transfer!F147)*100*(((Transfer!F161/Transfer!F295)/(Transfer!E161/Transfer!E295))-1),(Transfer!F161/Transfer!F147)*100*(((Transfer!F161/Transfer!F112)/(Transfer!E161/Transfer!E112))-1))</f>
        <v>1.2183032262244842</v>
      </c>
      <c r="H253" s="2607">
        <f ca="1">IF(Transfer!$C$280=1,(Transfer!G161/Transfer!G147)*100*(((Transfer!G161/Transfer!G295)/(Transfer!F161/Transfer!F295))-1),(Transfer!G161/Transfer!G147)*100*(((Transfer!G161/Transfer!G112)/(Transfer!F161/Transfer!F112))-1))</f>
        <v>1.368929146870199</v>
      </c>
      <c r="I253" s="2452"/>
      <c r="J253" s="54"/>
      <c r="K253" s="54"/>
      <c r="L253" s="54"/>
      <c r="M253" s="54"/>
      <c r="N253" s="54"/>
      <c r="O253" s="54"/>
      <c r="P253" s="54"/>
      <c r="Q253" s="54"/>
      <c r="R253" s="54"/>
      <c r="S253" s="344"/>
      <c r="T253" s="285" t="s">
        <v>175</v>
      </c>
      <c r="U253" s="357"/>
      <c r="V253" s="91">
        <f t="shared" ref="V253:Y254" ca="1" si="18">ROUND(E253,1)-ROUND(AM253,1)</f>
        <v>2</v>
      </c>
      <c r="W253" s="91">
        <f t="shared" ca="1" si="18"/>
        <v>0.89999999999999991</v>
      </c>
      <c r="X253" s="91">
        <f t="shared" ca="1" si="18"/>
        <v>0.5</v>
      </c>
      <c r="Y253" s="81">
        <f t="shared" ca="1" si="18"/>
        <v>0.59999999999999987</v>
      </c>
      <c r="Z253" s="196"/>
      <c r="AA253" s="54"/>
      <c r="AB253" s="45"/>
      <c r="AC253" s="45"/>
      <c r="AD253" s="45"/>
      <c r="AE253" s="45"/>
      <c r="AF253" s="45"/>
      <c r="AG253" s="45"/>
      <c r="AH253" s="45"/>
      <c r="AI253" s="45"/>
      <c r="AJ253" s="344"/>
      <c r="AK253" s="2385" t="s">
        <v>175</v>
      </c>
      <c r="AL253" s="2123"/>
      <c r="AM253" s="2113">
        <f>IF(Transfer!$C$280=1,(Transfer!AD161/Transfer!AD147)*100*(((Transfer!AD161/Transfer!AD295)/(Transfer!AC161/Transfer!AC295))-1),(Transfer!AD161/Transfer!AD147)*100*(((Transfer!AD161/Transfer!AD112)/(Transfer!AC161/Transfer!AC112))-1))</f>
        <v>0.52894736244132545</v>
      </c>
      <c r="AN253" s="2198">
        <f>IF(Transfer!$C$280=1,(Transfer!AE161/Transfer!AE147)*100*(((Transfer!AE161/Transfer!AE295)/(Transfer!AD161/Transfer!AD295))-1),(Transfer!AE161/Transfer!AE147)*100*(((Transfer!AE161/Transfer!AE112)/(Transfer!AD161/Transfer!AD112))-1))</f>
        <v>1.0063838218899226</v>
      </c>
      <c r="AO253" s="2145">
        <f>IF(Transfer!$C$280=1,(Transfer!AF161/Transfer!AF147)*100*(((Transfer!AF161/Transfer!AF295)/(Transfer!AE161/Transfer!AE295))-1),(Transfer!AF161/Transfer!AF147)*100*(((Transfer!AF161/Transfer!AF112)/(Transfer!AE161/Transfer!AE112))-1))</f>
        <v>0.74163367873660746</v>
      </c>
      <c r="AP253" s="2199">
        <f>IF(Transfer!$C$280=1,(Transfer!AG161/Transfer!AG147)*100*(((Transfer!AG161/Transfer!AG295)/(Transfer!AF161/Transfer!AF295))-1),(Transfer!AG161/Transfer!AG147)*100*(((Transfer!AG161/Transfer!AG112)/(Transfer!AF161/Transfer!AF112))-1))</f>
        <v>0.78706668246306088</v>
      </c>
      <c r="AQ253" s="196"/>
      <c r="AR253" s="54"/>
      <c r="AS253" s="54"/>
      <c r="AT253" s="54"/>
      <c r="AU253" s="54"/>
      <c r="AV253" s="54"/>
      <c r="AW253" s="54"/>
      <c r="AX253" s="54"/>
      <c r="AY253" s="54"/>
      <c r="AZ253" s="54"/>
      <c r="BA253" s="1673" t="s">
        <v>896</v>
      </c>
      <c r="BB253" s="1699"/>
      <c r="BC253" s="54"/>
    </row>
    <row r="254" spans="1:55">
      <c r="A254" s="45"/>
      <c r="B254" s="1673"/>
      <c r="C254" s="2608" t="s">
        <v>1353</v>
      </c>
      <c r="D254" s="2609"/>
      <c r="E254" s="2502">
        <f ca="1">(Transfer!D162/Transfer!D147)*100*(((Transfer!D162/Transfer!D295)/(Transfer!C162/Transfer!C295))-1)</f>
        <v>1.8860690665535658</v>
      </c>
      <c r="F254" s="2502">
        <f ca="1">(Transfer!E162/Transfer!E147)*100*(((Transfer!E162/Transfer!E295)/(Transfer!D162/Transfer!D295))-1)</f>
        <v>1.1542357866052984</v>
      </c>
      <c r="G254" s="2502">
        <f ca="1">(Transfer!F162/Transfer!F147)*100*(((Transfer!F162/Transfer!F295)/(Transfer!E162/Transfer!E295))-1)</f>
        <v>0.85102281526290213</v>
      </c>
      <c r="H254" s="2607">
        <f ca="1">(Transfer!G162/Transfer!G147)*100*(((Transfer!G162/Transfer!G295)/(Transfer!F162/Transfer!F295))-1)</f>
        <v>1.0343704818660715</v>
      </c>
      <c r="I254" s="2390"/>
      <c r="J254" s="54"/>
      <c r="K254" s="54"/>
      <c r="L254" s="54"/>
      <c r="M254" s="54"/>
      <c r="N254" s="54"/>
      <c r="O254" s="54"/>
      <c r="P254" s="54"/>
      <c r="Q254" s="54"/>
      <c r="R254" s="54"/>
      <c r="S254" s="275"/>
      <c r="T254" s="86" t="s">
        <v>1353</v>
      </c>
      <c r="U254" s="343"/>
      <c r="V254" s="91">
        <f t="shared" ca="1" si="18"/>
        <v>1.7999999999999998</v>
      </c>
      <c r="W254" s="91">
        <f t="shared" ca="1" si="18"/>
        <v>0.29999999999999993</v>
      </c>
      <c r="X254" s="91">
        <f t="shared" ca="1" si="18"/>
        <v>0.20000000000000007</v>
      </c>
      <c r="Y254" s="93">
        <f t="shared" ca="1" si="18"/>
        <v>0.19999999999999996</v>
      </c>
      <c r="Z254" s="361"/>
      <c r="AA254" s="54"/>
      <c r="AB254" s="45"/>
      <c r="AC254" s="45"/>
      <c r="AD254" s="45"/>
      <c r="AE254" s="45"/>
      <c r="AF254" s="45"/>
      <c r="AG254" s="45"/>
      <c r="AH254" s="45"/>
      <c r="AI254" s="45"/>
      <c r="AJ254" s="275"/>
      <c r="AK254" s="2608" t="s">
        <v>1353</v>
      </c>
      <c r="AL254" s="2151"/>
      <c r="AM254" s="2145">
        <f>(Transfer!AD162/Transfer!AD147)*100*(((Transfer!AD162/Transfer!AD295)/(Transfer!AC162/Transfer!AC295))-1)</f>
        <v>5.0905138408437238E-2</v>
      </c>
      <c r="AN254" s="2145">
        <f>(Transfer!AE162/Transfer!AE147)*100*(((Transfer!AE162/Transfer!AE295)/(Transfer!AD162/Transfer!AD295))-1)</f>
        <v>0.91118035917465434</v>
      </c>
      <c r="AO254" s="2145">
        <f>(Transfer!AF162/Transfer!AF147)*100*(((Transfer!AF162/Transfer!AF295)/(Transfer!AE162/Transfer!AE295))-1)</f>
        <v>0.7210502408036219</v>
      </c>
      <c r="AP254" s="2199">
        <f>(Transfer!AG162/Transfer!AG147)*100*(((Transfer!AG162/Transfer!AG295)/(Transfer!AF162/Transfer!AF295))-1)</f>
        <v>0.81290640910458944</v>
      </c>
      <c r="AQ254" s="361"/>
      <c r="AR254" s="54"/>
      <c r="AS254" s="54"/>
      <c r="AT254" s="54"/>
      <c r="AU254" s="54"/>
      <c r="AV254" s="54"/>
      <c r="AW254" s="54"/>
      <c r="AX254" s="54"/>
      <c r="AY254" s="54"/>
      <c r="AZ254" s="54"/>
      <c r="BA254" s="1673" t="s">
        <v>897</v>
      </c>
      <c r="BB254" s="1699"/>
      <c r="BC254" s="54"/>
    </row>
    <row r="255" spans="1:55">
      <c r="A255" s="45"/>
      <c r="B255" s="1673"/>
      <c r="C255" s="2608" t="s">
        <v>1354</v>
      </c>
      <c r="D255" s="2609"/>
      <c r="E255" s="2502">
        <f ca="1">+E253-E254</f>
        <v>0.64463168942939042</v>
      </c>
      <c r="F255" s="2502">
        <f ca="1">+F253-F254</f>
        <v>0.71104377112215045</v>
      </c>
      <c r="G255" s="2502">
        <f ca="1">+G253-G254</f>
        <v>0.36728041096158204</v>
      </c>
      <c r="H255" s="2607">
        <f ca="1">+H253-H254</f>
        <v>0.33455866500412745</v>
      </c>
      <c r="I255" s="2390"/>
      <c r="J255" s="54"/>
      <c r="K255" s="54"/>
      <c r="L255" s="54"/>
      <c r="M255" s="54"/>
      <c r="N255" s="54"/>
      <c r="O255" s="54"/>
      <c r="P255" s="54"/>
      <c r="Q255" s="54"/>
      <c r="R255" s="54"/>
      <c r="S255" s="275"/>
      <c r="T255" s="86" t="s">
        <v>1354</v>
      </c>
      <c r="U255" s="343"/>
      <c r="V255" s="91">
        <f ca="1">ROUND(E255,1)-ROUND(AM255,1)</f>
        <v>9.9999999999999978E-2</v>
      </c>
      <c r="W255" s="91">
        <f ca="1">ROUND(F255,1)-ROUND(AN255,1)</f>
        <v>0.6</v>
      </c>
      <c r="X255" s="91">
        <f ca="1">ROUND(G255,1)-ROUND(AO255,1)</f>
        <v>0.4</v>
      </c>
      <c r="Y255" s="93">
        <f ca="1">ROUND(H255,1)-ROUND(AP255,1)</f>
        <v>0.3</v>
      </c>
      <c r="Z255" s="361"/>
      <c r="AA255" s="54"/>
      <c r="AB255" s="45"/>
      <c r="AC255" s="45"/>
      <c r="AD255" s="45"/>
      <c r="AE255" s="45"/>
      <c r="AF255" s="45"/>
      <c r="AG255" s="45"/>
      <c r="AH255" s="45"/>
      <c r="AI255" s="45"/>
      <c r="AJ255" s="275"/>
      <c r="AK255" s="2608" t="s">
        <v>1354</v>
      </c>
      <c r="AL255" s="2151"/>
      <c r="AM255" s="2145">
        <f>+AM253-AM254</f>
        <v>0.47804222403288821</v>
      </c>
      <c r="AN255" s="2145">
        <f>+AN253-AN254</f>
        <v>9.520346271526825E-2</v>
      </c>
      <c r="AO255" s="2145">
        <f>+AO253-AO254</f>
        <v>2.058343793298556E-2</v>
      </c>
      <c r="AP255" s="2199">
        <f>+AP253-AP254</f>
        <v>-2.583972664152856E-2</v>
      </c>
      <c r="AQ255" s="361"/>
      <c r="AR255" s="54"/>
      <c r="AS255" s="54"/>
      <c r="AT255" s="54"/>
      <c r="AU255" s="54"/>
      <c r="AV255" s="54"/>
      <c r="AW255" s="54"/>
      <c r="AX255" s="54"/>
      <c r="AY255" s="54"/>
      <c r="AZ255" s="54"/>
      <c r="BA255" s="1996" t="s">
        <v>898</v>
      </c>
      <c r="BB255" s="1699"/>
      <c r="BC255" s="54"/>
    </row>
    <row r="256" spans="1:55">
      <c r="A256" s="45"/>
      <c r="B256" s="2618"/>
      <c r="C256" s="2385" t="s">
        <v>1355</v>
      </c>
      <c r="D256" s="2413"/>
      <c r="E256" s="2387">
        <f ca="1">1*((SUM(Transfer!D147,Transfer!D223,Transfer!D233)-SUM(Transfer!D161,Transfer!D213,Transfer!D231))/Transfer!D147)*100*((((SUM(Transfer!D147,Transfer!D223,Transfer!D233)-SUM(Transfer!D161,Transfer!D213,Transfer!D231))/Transfer!D295)/((SUM(Transfer!C147,Transfer!C223,Transfer!C233)-SUM(Transfer!C161,Transfer!C213,Transfer!C231))/Transfer!C295))-1)</f>
        <v>-1.5185982233699993</v>
      </c>
      <c r="F256" s="2606">
        <f ca="1">1*((SUM(Transfer!E147,Transfer!E223,Transfer!E233)-SUM(Transfer!E161,Transfer!E213,Transfer!E231))/Transfer!E147)*100*((((SUM(Transfer!E147,Transfer!E223,Transfer!E233)-SUM(Transfer!E161,Transfer!E213,Transfer!E231))/Transfer!E295)/((SUM(Transfer!D147,Transfer!D223,Transfer!D233)-SUM(Transfer!D161,Transfer!D213,Transfer!D231))/Transfer!D295))-1)</f>
        <v>0.95292488303686607</v>
      </c>
      <c r="G256" s="2502">
        <f ca="1">1*((SUM(Transfer!F147,Transfer!F223,Transfer!F233)-SUM(Transfer!F161,Transfer!F213,Transfer!F231))/Transfer!F147)*100*((((SUM(Transfer!F147,Transfer!F223,Transfer!F233)-SUM(Transfer!F161,Transfer!F213,Transfer!F231))/Transfer!F295)/((SUM(Transfer!E147,Transfer!E223,Transfer!E233)-SUM(Transfer!E161,Transfer!E213,Transfer!E231))/Transfer!E295))-1)</f>
        <v>1.0139267715876563</v>
      </c>
      <c r="H256" s="2607">
        <f ca="1">1*((SUM(Transfer!G147,Transfer!G223,Transfer!G233)-SUM(Transfer!G161,Transfer!G213,Transfer!G231))/Transfer!G147)*100*((((SUM(Transfer!G147,Transfer!G223,Transfer!G233)-SUM(Transfer!G161,Transfer!G213,Transfer!G231))/Transfer!G295)/((SUM(Transfer!F147,Transfer!F223,Transfer!F233)-SUM(Transfer!F161,Transfer!F213,Transfer!F231))/Transfer!F295))-1)</f>
        <v>1.1461201613480785</v>
      </c>
      <c r="I256" s="2368"/>
      <c r="J256" s="54"/>
      <c r="K256" s="54"/>
      <c r="L256" s="54"/>
      <c r="M256" s="54"/>
      <c r="N256" s="54"/>
      <c r="O256" s="54"/>
      <c r="P256" s="54"/>
      <c r="Q256" s="54"/>
      <c r="R256" s="54"/>
      <c r="S256" s="347"/>
      <c r="T256" s="180" t="s">
        <v>1355</v>
      </c>
      <c r="U256" s="363"/>
      <c r="V256" s="91">
        <f t="shared" ref="V256:Y259" ca="1" si="19">ROUND(E256,1)-ROUND(AM256,1)</f>
        <v>-3.8</v>
      </c>
      <c r="W256" s="91">
        <f t="shared" ca="1" si="19"/>
        <v>-0.10000000000000009</v>
      </c>
      <c r="X256" s="91">
        <f t="shared" ca="1" si="19"/>
        <v>-0.7</v>
      </c>
      <c r="Y256" s="93">
        <f t="shared" ca="1" si="19"/>
        <v>-0.7</v>
      </c>
      <c r="Z256" s="364"/>
      <c r="AA256" s="54"/>
      <c r="AB256" s="45"/>
      <c r="AC256" s="45"/>
      <c r="AD256" s="45"/>
      <c r="AE256" s="45"/>
      <c r="AF256" s="45"/>
      <c r="AG256" s="45"/>
      <c r="AH256" s="45"/>
      <c r="AI256" s="45"/>
      <c r="AJ256" s="347"/>
      <c r="AK256" s="2385" t="s">
        <v>1355</v>
      </c>
      <c r="AL256" s="2123"/>
      <c r="AM256" s="2113">
        <f>1*((SUM(Transfer!AD147,Transfer!AD223,Transfer!AD233)-SUM(Transfer!AD161,Transfer!AD213,Transfer!AD231))/Transfer!AD147)*100*((((SUM(Transfer!AD147,Transfer!AD223,Transfer!AD233)-SUM(Transfer!AD161,Transfer!AD213,Transfer!AD231))/Transfer!AD295)/((SUM(Transfer!AC147,Transfer!AC223,Transfer!AC233)-SUM(Transfer!AC161,Transfer!AC213,Transfer!AC231))/Transfer!AC295))-1)</f>
        <v>2.3071286075556126</v>
      </c>
      <c r="AN256" s="2198">
        <f>1*((SUM(Transfer!AE147,Transfer!AE223,Transfer!AE233)-SUM(Transfer!AE161,Transfer!AE213,Transfer!AE231))/Transfer!AE147)*100*((((SUM(Transfer!AE147,Transfer!AE223,Transfer!AE233)-SUM(Transfer!AE161,Transfer!AE213,Transfer!AE231))/Transfer!AE295)/((SUM(Transfer!AD147,Transfer!AD223,Transfer!AD233)-SUM(Transfer!AD161,Transfer!AD213,Transfer!AD231))/Transfer!AD295))-1)</f>
        <v>1.1483129889063057</v>
      </c>
      <c r="AO256" s="2145">
        <f>1*((SUM(Transfer!AF147,Transfer!AF223,Transfer!AF233)-SUM(Transfer!AF161,Transfer!AF213,Transfer!AF231))/Transfer!AF147)*100*((((SUM(Transfer!AF147,Transfer!AF223,Transfer!AF233)-SUM(Transfer!AF161,Transfer!AF213,Transfer!AF231))/Transfer!AF295)/((SUM(Transfer!AE147,Transfer!AE223,Transfer!AE233)-SUM(Transfer!AE161,Transfer!AE213,Transfer!AE231))/Transfer!AE295))-1)</f>
        <v>1.6524713541006673</v>
      </c>
      <c r="AP256" s="2199">
        <f>1*((SUM(Transfer!AG147,Transfer!AG223,Transfer!AG233)-SUM(Transfer!AG161,Transfer!AG213,Transfer!AG231))/Transfer!AG147)*100*((((SUM(Transfer!AG147,Transfer!AG223,Transfer!AG233)-SUM(Transfer!AG161,Transfer!AG213,Transfer!AG231))/Transfer!AG295)/((SUM(Transfer!AF147,Transfer!AF223,Transfer!AF233)-SUM(Transfer!AF161,Transfer!AF213,Transfer!AF231))/Transfer!AF295))-1)</f>
        <v>1.803060547263813</v>
      </c>
      <c r="AQ256" s="364"/>
      <c r="AR256" s="54"/>
      <c r="AS256" s="54"/>
      <c r="AT256" s="54"/>
      <c r="AU256" s="54"/>
      <c r="AV256" s="54"/>
      <c r="AW256" s="54"/>
      <c r="AX256" s="54"/>
      <c r="AY256" s="54"/>
      <c r="AZ256" s="54"/>
      <c r="BA256" s="1673" t="s">
        <v>535</v>
      </c>
      <c r="BB256" s="1699"/>
      <c r="BC256" s="54"/>
    </row>
    <row r="257" spans="1:55">
      <c r="A257" s="45"/>
      <c r="B257" s="1665"/>
      <c r="C257" s="2612" t="s">
        <v>591</v>
      </c>
      <c r="D257" s="2613"/>
      <c r="E257" s="2614">
        <f ca="1">((SUM(Transfer!D147,Transfer!D223,Transfer!D233)-SUM(Transfer!D213,Transfer!D231))/Transfer!D147)*100*((((SUM(Transfer!D147,Transfer!D223,Transfer!D233)-SUM(Transfer!D213,Transfer!D231))/Transfer!D295)/((SUM(Transfer!C147,Transfer!C223,Transfer!C233)-SUM(Transfer!C213,Transfer!C231))/Transfer!C295))-1)</f>
        <v>0.82937824962909457</v>
      </c>
      <c r="F257" s="2615">
        <f ca="1">((SUM(Transfer!E147,Transfer!E223,Transfer!E233)-SUM(Transfer!E213,Transfer!E231))/Transfer!E147)*100*((((SUM(Transfer!E147,Transfer!E223,Transfer!E233)-SUM(Transfer!E213,Transfer!E231))/Transfer!E295)/((SUM(Transfer!D147,Transfer!D223,Transfer!D233)-SUM(Transfer!D213,Transfer!D231))/Transfer!D295))-1)</f>
        <v>2.8084644567901518</v>
      </c>
      <c r="G257" s="2615">
        <f ca="1">((SUM(Transfer!F147,Transfer!F223,Transfer!F233)-SUM(Transfer!F213,Transfer!F231))/Transfer!F147)*100*((((SUM(Transfer!F147,Transfer!F223,Transfer!F233)-SUM(Transfer!F213,Transfer!F231))/Transfer!F295)/((SUM(Transfer!E147,Transfer!E223,Transfer!E233)-SUM(Transfer!E213,Transfer!E231))/Transfer!E295))-1)</f>
        <v>2.2316667275832689</v>
      </c>
      <c r="H257" s="2616">
        <f ca="1">((SUM(Transfer!G147,Transfer!G223,Transfer!G233)-SUM(Transfer!G213,Transfer!G231))/Transfer!G147)*100*((((SUM(Transfer!G147,Transfer!G223,Transfer!G233)-SUM(Transfer!G213,Transfer!G231))/Transfer!G295)/((SUM(Transfer!F147,Transfer!F223,Transfer!F233)-SUM(Transfer!F213,Transfer!F231))/Transfer!F295))-1)</f>
        <v>2.5144125519511413</v>
      </c>
      <c r="I257" s="2834"/>
      <c r="J257" s="54"/>
      <c r="K257" s="54"/>
      <c r="L257" s="54"/>
      <c r="M257" s="54"/>
      <c r="N257" s="54"/>
      <c r="O257" s="54"/>
      <c r="P257" s="54"/>
      <c r="Q257" s="54"/>
      <c r="R257" s="54"/>
      <c r="S257" s="190"/>
      <c r="T257" s="288" t="s">
        <v>591</v>
      </c>
      <c r="U257" s="365"/>
      <c r="V257" s="156">
        <f t="shared" ca="1" si="19"/>
        <v>-1.9999999999999998</v>
      </c>
      <c r="W257" s="156">
        <f t="shared" ca="1" si="19"/>
        <v>0.59999999999999964</v>
      </c>
      <c r="X257" s="156">
        <f t="shared" ca="1" si="19"/>
        <v>-0.19999999999999973</v>
      </c>
      <c r="Y257" s="283">
        <f t="shared" ca="1" si="19"/>
        <v>-0.10000000000000009</v>
      </c>
      <c r="Z257" s="366"/>
      <c r="AA257" s="54"/>
      <c r="AB257" s="45"/>
      <c r="AC257" s="45"/>
      <c r="AD257" s="45"/>
      <c r="AE257" s="45"/>
      <c r="AF257" s="45"/>
      <c r="AG257" s="45"/>
      <c r="AH257" s="45"/>
      <c r="AI257" s="45"/>
      <c r="AJ257" s="190"/>
      <c r="AK257" s="2612" t="s">
        <v>591</v>
      </c>
      <c r="AL257" s="2157"/>
      <c r="AM257" s="2184">
        <f>((SUM(Transfer!AD147,Transfer!AD223,Transfer!AD233)-SUM(Transfer!AD213,Transfer!AD231))/Transfer!AD147)*100*((((SUM(Transfer!AD147,Transfer!AD223,Transfer!AD233)-SUM(Transfer!AD213,Transfer!AD231))/Transfer!AD295)/((SUM(Transfer!AC147,Transfer!AC223,Transfer!AC233)-SUM(Transfer!AC213,Transfer!AC231))/Transfer!AC295))-1)</f>
        <v>2.8141802253258166</v>
      </c>
      <c r="AN257" s="2185">
        <f>((SUM(Transfer!AE147,Transfer!AE223,Transfer!AE233)-SUM(Transfer!AE213,Transfer!AE231))/Transfer!AE147)*100*((((SUM(Transfer!AE147,Transfer!AE223,Transfer!AE233)-SUM(Transfer!AE213,Transfer!AE231))/Transfer!AE295)/((SUM(Transfer!AD147,Transfer!AD223,Transfer!AD233)-SUM(Transfer!AD213,Transfer!AD231))/Transfer!AD295))-1)</f>
        <v>2.1545002025010733</v>
      </c>
      <c r="AO257" s="2185">
        <f>((SUM(Transfer!AF147,Transfer!AF223,Transfer!AF233)-SUM(Transfer!AF213,Transfer!AF231))/Transfer!AF147)*100*((((SUM(Transfer!AF147,Transfer!AF223,Transfer!AF233)-SUM(Transfer!AF213,Transfer!AF231))/Transfer!AF295)/((SUM(Transfer!AE147,Transfer!AE223,Transfer!AE233)-SUM(Transfer!AE213,Transfer!AE231))/Transfer!AE295))-1)</f>
        <v>2.3902973393269522</v>
      </c>
      <c r="AP257" s="2186">
        <f>((SUM(Transfer!AG147,Transfer!AG223,Transfer!AG233)-SUM(Transfer!AG213,Transfer!AG231))/Transfer!AG147)*100*((((SUM(Transfer!AG147,Transfer!AG223,Transfer!AG233)-SUM(Transfer!AG213,Transfer!AG231))/Transfer!AG295)/((SUM(Transfer!AF147,Transfer!AF223,Transfer!AF233)-SUM(Transfer!AF213,Transfer!AF231))/Transfer!AF295))-1)</f>
        <v>2.5854969729363591</v>
      </c>
      <c r="AQ257" s="366"/>
      <c r="AR257" s="54"/>
      <c r="AS257" s="54"/>
      <c r="AT257" s="54"/>
      <c r="AU257" s="54"/>
      <c r="AV257" s="54"/>
      <c r="AW257" s="54"/>
      <c r="AX257" s="54"/>
      <c r="AY257" s="54"/>
      <c r="AZ257" s="54"/>
      <c r="BA257" s="1673" t="s">
        <v>186</v>
      </c>
      <c r="BB257" s="1699"/>
      <c r="BC257" s="54"/>
    </row>
    <row r="258" spans="1:55">
      <c r="A258" s="45"/>
      <c r="B258" s="1673"/>
      <c r="C258" s="2385" t="s">
        <v>592</v>
      </c>
      <c r="D258" s="2413"/>
      <c r="E258" s="2387">
        <f ca="1">((Transfer!D150-Transfer!D151)/Transfer!D147)*100*((((Transfer!D150-Transfer!D151)/Transfer!D295)/((Transfer!C150-Transfer!C151)/Transfer!C295))-1)</f>
        <v>0.195952876377257</v>
      </c>
      <c r="F258" s="2606">
        <f ca="1">((Transfer!E150-Transfer!E151)/Transfer!E147)*100*((((Transfer!E150-Transfer!E151)/Transfer!E295)/((Transfer!D150-Transfer!D151)/Transfer!D295))-1)</f>
        <v>0.53201117082348282</v>
      </c>
      <c r="G258" s="2502">
        <f ca="1">((Transfer!F150-Transfer!F151)/Transfer!F147)*100*((((Transfer!F150-Transfer!F151)/Transfer!F295)/((Transfer!E150-Transfer!E151)/Transfer!E295))-1)</f>
        <v>0.36986172271758044</v>
      </c>
      <c r="H258" s="2607">
        <f ca="1">((Transfer!G150-Transfer!G151)/Transfer!G147)*100*((((Transfer!G150-Transfer!G151)/Transfer!G295)/((Transfer!F150-Transfer!F151)/Transfer!F295))-1)</f>
        <v>0.32282229417926533</v>
      </c>
      <c r="I258" s="2368"/>
      <c r="J258" s="54"/>
      <c r="K258" s="54"/>
      <c r="L258" s="54"/>
      <c r="M258" s="54"/>
      <c r="N258" s="54"/>
      <c r="O258" s="54"/>
      <c r="P258" s="54"/>
      <c r="Q258" s="54"/>
      <c r="R258" s="54"/>
      <c r="S258" s="275"/>
      <c r="T258" s="40" t="s">
        <v>592</v>
      </c>
      <c r="U258" s="196"/>
      <c r="V258" s="91">
        <f t="shared" ca="1" si="19"/>
        <v>0.30000000000000004</v>
      </c>
      <c r="W258" s="91">
        <f t="shared" ca="1" si="19"/>
        <v>0.8</v>
      </c>
      <c r="X258" s="91">
        <f t="shared" ca="1" si="19"/>
        <v>0.4</v>
      </c>
      <c r="Y258" s="93">
        <f t="shared" ca="1" si="19"/>
        <v>9.9999999999999978E-2</v>
      </c>
      <c r="Z258" s="364"/>
      <c r="AA258" s="54"/>
      <c r="AB258" s="45"/>
      <c r="AC258" s="45"/>
      <c r="AD258" s="45"/>
      <c r="AE258" s="45"/>
      <c r="AF258" s="45"/>
      <c r="AG258" s="45"/>
      <c r="AH258" s="45"/>
      <c r="AI258" s="45"/>
      <c r="AJ258" s="275"/>
      <c r="AK258" s="2385" t="s">
        <v>592</v>
      </c>
      <c r="AL258" s="2123"/>
      <c r="AM258" s="2113">
        <f>((Transfer!AD150-Transfer!AD151)/Transfer!AD147)*100*((((Transfer!AD150-Transfer!AD151)/Transfer!AD295)/((Transfer!AC150-Transfer!AC151)/Transfer!AC295))-1)</f>
        <v>-0.1443432213997973</v>
      </c>
      <c r="AN258" s="2198">
        <f>((Transfer!AE150-Transfer!AE151)/Transfer!AE147)*100*((((Transfer!AE150-Transfer!AE151)/Transfer!AE295)/((Transfer!AD150-Transfer!AD151)/Transfer!AD295))-1)</f>
        <v>-0.28404755213696936</v>
      </c>
      <c r="AO258" s="2145">
        <f>((Transfer!AF150-Transfer!AF151)/Transfer!AF147)*100*((((Transfer!AF150-Transfer!AF151)/Transfer!AF295)/((Transfer!AE150-Transfer!AE151)/Transfer!AE295))-1)</f>
        <v>4.6627404101092507E-2</v>
      </c>
      <c r="AP258" s="2199">
        <f>((Transfer!AG150-Transfer!AG151)/Transfer!AG147)*100*((((Transfer!AG150-Transfer!AG151)/Transfer!AG295)/((Transfer!AF150-Transfer!AF151)/Transfer!AF295))-1)</f>
        <v>0.16859701605187583</v>
      </c>
      <c r="AQ258" s="364"/>
      <c r="AR258" s="54"/>
      <c r="AS258" s="54"/>
      <c r="AT258" s="54"/>
      <c r="AU258" s="54"/>
      <c r="AV258" s="54"/>
      <c r="AW258" s="54"/>
      <c r="AX258" s="54"/>
      <c r="AY258" s="54"/>
      <c r="AZ258" s="54"/>
      <c r="BA258" s="1673" t="s">
        <v>536</v>
      </c>
      <c r="BB258" s="1699"/>
      <c r="BC258" s="54"/>
    </row>
    <row r="259" spans="1:55" ht="13.5" thickBot="1">
      <c r="A259" s="45"/>
      <c r="B259" s="1673"/>
      <c r="C259" s="2612" t="s">
        <v>593</v>
      </c>
      <c r="D259" s="2613"/>
      <c r="E259" s="2614">
        <f ca="1">100*(((1000*(Transfer!D147)/Transfer!D295)/((1000*(Transfer!C147)/Transfer!C295)))-1)</f>
        <v>0.95054750240290975</v>
      </c>
      <c r="F259" s="2615">
        <f ca="1">100*(((1000*(Transfer!E147)/Transfer!E295)/((1000*(Transfer!D147)/Transfer!D295)))-1)</f>
        <v>3.3288753280726446</v>
      </c>
      <c r="G259" s="2615">
        <f ca="1">100*(((1000*(Transfer!F147)/Transfer!F295)/((1000*(Transfer!E147)/Transfer!E295)))-1)</f>
        <v>2.6186320478604586</v>
      </c>
      <c r="H259" s="2616">
        <f ca="1">100*(((1000*(Transfer!G147)/Transfer!G295)/((1000*(Transfer!F147)/Transfer!F295)))-1)</f>
        <v>2.856613044494094</v>
      </c>
      <c r="I259" s="2460"/>
      <c r="J259" s="54"/>
      <c r="K259" s="54"/>
      <c r="L259" s="54"/>
      <c r="M259" s="54"/>
      <c r="N259" s="54"/>
      <c r="O259" s="54"/>
      <c r="P259" s="54"/>
      <c r="Q259" s="54"/>
      <c r="R259" s="54"/>
      <c r="S259" s="275"/>
      <c r="T259" s="369" t="s">
        <v>593</v>
      </c>
      <c r="U259" s="370"/>
      <c r="V259" s="290">
        <f t="shared" ca="1" si="19"/>
        <v>-1.6</v>
      </c>
      <c r="W259" s="290">
        <f t="shared" ca="1" si="19"/>
        <v>1.4</v>
      </c>
      <c r="X259" s="290">
        <f t="shared" ca="1" si="19"/>
        <v>0.10000000000000009</v>
      </c>
      <c r="Y259" s="317">
        <f t="shared" ca="1" si="19"/>
        <v>0.10000000000000009</v>
      </c>
      <c r="Z259" s="203"/>
      <c r="AA259" s="54"/>
      <c r="AB259" s="45"/>
      <c r="AC259" s="45"/>
      <c r="AD259" s="45"/>
      <c r="AE259" s="45"/>
      <c r="AF259" s="45"/>
      <c r="AG259" s="45"/>
      <c r="AH259" s="45"/>
      <c r="AI259" s="45"/>
      <c r="AJ259" s="275"/>
      <c r="AK259" s="2612" t="s">
        <v>593</v>
      </c>
      <c r="AL259" s="2157"/>
      <c r="AM259" s="2184">
        <f>100*(((1000*(Transfer!AD147)/Transfer!AD295)/((1000*(Transfer!AC147)/Transfer!AC295)))-1)</f>
        <v>2.6440514678911953</v>
      </c>
      <c r="AN259" s="2185">
        <f>100*(((1000*(Transfer!AE147)/Transfer!AE295)/((1000*(Transfer!AD147)/Transfer!AD295)))-1)</f>
        <v>1.8917575190050329</v>
      </c>
      <c r="AO259" s="2185">
        <f>100*(((1000*(Transfer!AF147)/Transfer!AF295)/((1000*(Transfer!AE147)/Transfer!AE295)))-1)</f>
        <v>2.4509981007355242</v>
      </c>
      <c r="AP259" s="2186">
        <f>100*(((1000*(Transfer!AG147)/Transfer!AG295)/((1000*(Transfer!AF147)/Transfer!AF295)))-1)</f>
        <v>2.7697821733007055</v>
      </c>
      <c r="AQ259" s="203"/>
      <c r="AR259" s="54"/>
      <c r="AS259" s="54"/>
      <c r="AT259" s="54"/>
      <c r="AU259" s="54"/>
      <c r="AV259" s="54"/>
      <c r="AW259" s="54"/>
      <c r="AX259" s="54"/>
      <c r="AY259" s="54"/>
      <c r="AZ259" s="54"/>
      <c r="BA259" s="1994" t="s">
        <v>1689</v>
      </c>
      <c r="BB259" s="1702"/>
      <c r="BC259" s="54"/>
    </row>
    <row r="260" spans="1:55" ht="13.5" thickBot="1">
      <c r="A260" s="45"/>
      <c r="B260" s="1665"/>
      <c r="C260" s="2636" t="s">
        <v>1959</v>
      </c>
      <c r="D260" s="2595"/>
      <c r="E260" s="2595"/>
      <c r="F260" s="2595"/>
      <c r="G260" s="2595"/>
      <c r="H260" s="2596"/>
      <c r="I260" s="1664"/>
      <c r="J260" s="54"/>
      <c r="K260" s="54"/>
      <c r="L260" s="54"/>
      <c r="M260" s="54"/>
      <c r="N260" s="54"/>
      <c r="O260" s="54"/>
      <c r="P260" s="54"/>
      <c r="Q260" s="54"/>
      <c r="R260" s="54"/>
      <c r="S260" s="60"/>
      <c r="T260" s="1694" t="s">
        <v>1959</v>
      </c>
      <c r="U260" s="1682"/>
      <c r="V260" s="1682"/>
      <c r="W260" s="1682"/>
      <c r="X260" s="1682"/>
      <c r="Y260" s="1695"/>
      <c r="Z260" s="90"/>
      <c r="AA260" s="54"/>
      <c r="AB260" s="45"/>
      <c r="AC260" s="45"/>
      <c r="AD260" s="45"/>
      <c r="AE260" s="45"/>
      <c r="AF260" s="45"/>
      <c r="AG260" s="45"/>
      <c r="AH260" s="45"/>
      <c r="AI260" s="45"/>
      <c r="AJ260" s="60"/>
      <c r="AK260" s="1694" t="s">
        <v>1959</v>
      </c>
      <c r="AL260" s="1682"/>
      <c r="AM260" s="1682"/>
      <c r="AN260" s="1682"/>
      <c r="AO260" s="1682"/>
      <c r="AP260" s="1695"/>
      <c r="AQ260" s="90"/>
      <c r="AR260" s="54"/>
      <c r="AS260" s="54"/>
      <c r="AT260" s="54"/>
      <c r="AU260" s="54"/>
      <c r="AV260" s="54"/>
      <c r="AW260" s="54"/>
      <c r="AX260" s="54"/>
      <c r="AY260" s="54"/>
      <c r="AZ260" s="54"/>
      <c r="BA260" s="54"/>
      <c r="BB260" s="54"/>
      <c r="BC260" s="54"/>
    </row>
    <row r="261" spans="1:55">
      <c r="A261" s="45"/>
      <c r="B261" s="2597"/>
      <c r="C261" s="2399"/>
      <c r="D261" s="2399"/>
      <c r="E261" s="2637"/>
      <c r="F261" s="2637"/>
      <c r="G261" s="2399"/>
      <c r="H261" s="2400" t="str">
        <f>UPPER(Country)</f>
        <v>LITHUANIA</v>
      </c>
      <c r="I261" s="2478"/>
      <c r="J261" s="54"/>
      <c r="K261" s="54"/>
      <c r="L261" s="54"/>
      <c r="M261" s="54"/>
      <c r="N261" s="54"/>
      <c r="O261" s="54"/>
      <c r="P261" s="54"/>
      <c r="Q261" s="54"/>
      <c r="R261" s="54"/>
      <c r="S261" s="327"/>
      <c r="T261" s="116"/>
      <c r="U261" s="116"/>
      <c r="V261" s="1685"/>
      <c r="W261" s="1685"/>
      <c r="X261" s="116"/>
      <c r="Y261" s="118" t="str">
        <f>UPPER(Country)</f>
        <v>LITHUANIA</v>
      </c>
      <c r="Z261" s="216"/>
      <c r="AA261" s="54"/>
      <c r="AB261" s="45"/>
      <c r="AC261" s="45"/>
      <c r="AD261" s="45"/>
      <c r="AE261" s="45"/>
      <c r="AF261" s="45"/>
      <c r="AG261" s="45"/>
      <c r="AH261" s="45"/>
      <c r="AI261" s="45"/>
      <c r="AJ261" s="327"/>
      <c r="AK261" s="116"/>
      <c r="AL261" s="116"/>
      <c r="AM261" s="1685"/>
      <c r="AN261" s="1685"/>
      <c r="AO261" s="116"/>
      <c r="AP261" s="118" t="str">
        <f>UPPER(Country)</f>
        <v>LITHUANIA</v>
      </c>
      <c r="AQ261" s="216"/>
      <c r="AR261" s="54"/>
      <c r="AS261" s="54"/>
      <c r="AT261" s="54"/>
      <c r="AU261" s="54"/>
      <c r="AV261" s="54"/>
      <c r="AW261" s="54"/>
      <c r="AX261" s="54"/>
      <c r="AY261" s="54"/>
      <c r="AZ261" s="54"/>
      <c r="BA261" s="54"/>
      <c r="BB261" s="54"/>
      <c r="BC261" s="54"/>
    </row>
    <row r="262" spans="1:55">
      <c r="A262" s="45"/>
      <c r="B262" s="54"/>
      <c r="C262" s="54"/>
      <c r="D262" s="373"/>
      <c r="E262" s="373"/>
      <c r="F262" s="373"/>
      <c r="G262" s="373"/>
      <c r="H262" s="373"/>
      <c r="I262" s="187"/>
      <c r="J262" s="54"/>
      <c r="K262" s="54"/>
      <c r="L262" s="54"/>
      <c r="M262" s="54"/>
      <c r="N262" s="54"/>
      <c r="O262" s="54"/>
      <c r="P262" s="54"/>
      <c r="Q262" s="54"/>
      <c r="R262" s="54"/>
      <c r="S262" s="54"/>
      <c r="T262" s="54"/>
      <c r="U262" s="54"/>
      <c r="V262" s="54"/>
      <c r="W262" s="54"/>
      <c r="X262" s="54"/>
      <c r="Y262" s="54"/>
      <c r="Z262" s="54"/>
      <c r="AA262" s="54"/>
      <c r="AB262" s="45"/>
      <c r="AC262" s="45"/>
      <c r="AD262" s="45"/>
      <c r="AE262" s="45"/>
      <c r="AF262" s="45"/>
      <c r="AG262" s="45"/>
      <c r="AH262" s="45"/>
      <c r="AI262" s="45"/>
      <c r="AJ262" s="54"/>
      <c r="AK262" s="54"/>
      <c r="AL262" s="373"/>
      <c r="AM262" s="373"/>
      <c r="AN262" s="373"/>
      <c r="AO262" s="373"/>
      <c r="AP262" s="373"/>
      <c r="AQ262" s="187"/>
      <c r="AR262" s="54"/>
      <c r="AS262" s="54"/>
      <c r="AT262" s="54"/>
      <c r="AU262" s="54"/>
      <c r="AV262" s="54"/>
      <c r="AW262" s="54"/>
      <c r="AX262" s="54"/>
      <c r="AY262" s="54"/>
      <c r="AZ262" s="54"/>
      <c r="BA262" s="54"/>
      <c r="BB262" s="54"/>
      <c r="BC262" s="54"/>
    </row>
    <row r="263" spans="1:55">
      <c r="A263" s="45"/>
      <c r="B263" s="54"/>
      <c r="C263" s="54"/>
      <c r="D263" s="373"/>
      <c r="E263" s="373"/>
      <c r="F263" s="373"/>
      <c r="G263" s="373"/>
      <c r="H263" s="373"/>
      <c r="I263" s="187"/>
      <c r="J263" s="54"/>
      <c r="K263" s="54"/>
      <c r="L263" s="54"/>
      <c r="M263" s="54"/>
      <c r="N263" s="54"/>
      <c r="O263" s="54"/>
      <c r="P263" s="54"/>
      <c r="Q263" s="54"/>
      <c r="R263" s="54"/>
      <c r="S263" s="54"/>
      <c r="T263" s="54"/>
      <c r="U263" s="54"/>
      <c r="V263" s="54"/>
      <c r="W263" s="54"/>
      <c r="X263" s="54"/>
      <c r="Y263" s="54"/>
      <c r="Z263" s="54"/>
      <c r="AA263" s="54"/>
      <c r="AB263" s="45"/>
      <c r="AC263" s="45"/>
      <c r="AD263" s="45"/>
      <c r="AE263" s="45"/>
      <c r="AF263" s="45"/>
      <c r="AG263" s="45"/>
      <c r="AH263" s="45"/>
      <c r="AI263" s="45"/>
      <c r="AJ263" s="54"/>
      <c r="AK263" s="54"/>
      <c r="AL263" s="373"/>
      <c r="AM263" s="373"/>
      <c r="AN263" s="373"/>
      <c r="AO263" s="373"/>
      <c r="AP263" s="373"/>
      <c r="AQ263" s="187"/>
      <c r="AR263" s="54"/>
      <c r="AS263" s="54"/>
      <c r="AT263" s="54"/>
      <c r="AU263" s="54"/>
      <c r="AV263" s="54"/>
      <c r="AW263" s="54"/>
      <c r="AX263" s="54"/>
      <c r="AY263" s="54"/>
      <c r="AZ263" s="54"/>
      <c r="BA263" s="54"/>
      <c r="BB263" s="54"/>
      <c r="BC263" s="54"/>
    </row>
    <row r="264" spans="1:55">
      <c r="A264" s="45"/>
      <c r="B264" s="54"/>
      <c r="C264" s="54"/>
      <c r="D264" s="54"/>
      <c r="E264" s="54"/>
      <c r="F264" s="54"/>
      <c r="G264" s="54"/>
      <c r="H264" s="54"/>
      <c r="I264" s="54"/>
      <c r="J264" s="54"/>
      <c r="K264" s="54"/>
      <c r="L264" s="54"/>
      <c r="M264" s="54"/>
      <c r="N264" s="54"/>
      <c r="O264" s="54"/>
      <c r="P264" s="54"/>
      <c r="Q264" s="54"/>
      <c r="R264" s="54"/>
      <c r="S264" s="54"/>
      <c r="T264" s="54"/>
      <c r="U264" s="54"/>
      <c r="V264" s="54"/>
      <c r="W264" s="54"/>
      <c r="X264" s="54"/>
      <c r="Y264" s="54"/>
      <c r="Z264" s="54"/>
      <c r="AA264" s="54"/>
      <c r="AB264" s="45"/>
      <c r="AC264" s="45"/>
      <c r="AD264" s="45"/>
      <c r="AE264" s="45"/>
      <c r="AF264" s="45"/>
      <c r="AG264" s="45"/>
      <c r="AH264" s="45"/>
      <c r="AI264" s="45"/>
      <c r="AJ264" s="54"/>
      <c r="AK264" s="54"/>
      <c r="AL264" s="54"/>
      <c r="AM264" s="54"/>
      <c r="AN264" s="54"/>
      <c r="AO264" s="54"/>
      <c r="AP264" s="54"/>
      <c r="AQ264" s="54"/>
      <c r="AR264" s="54"/>
      <c r="AS264" s="54"/>
      <c r="AT264" s="54"/>
      <c r="AU264" s="54"/>
      <c r="AV264" s="54"/>
      <c r="AW264" s="54"/>
      <c r="AX264" s="54"/>
      <c r="AY264" s="54"/>
      <c r="AZ264" s="54"/>
      <c r="BA264" s="54"/>
      <c r="BB264" s="54"/>
      <c r="BC264" s="54"/>
    </row>
    <row r="265" spans="1:55">
      <c r="A265" s="45"/>
      <c r="B265" s="54"/>
      <c r="C265" s="54"/>
      <c r="D265" s="54"/>
      <c r="E265" s="54"/>
      <c r="F265" s="54"/>
      <c r="G265" s="54"/>
      <c r="H265" s="54"/>
      <c r="I265" s="54"/>
      <c r="J265" s="54"/>
      <c r="K265" s="54"/>
      <c r="L265" s="54"/>
      <c r="M265" s="54"/>
      <c r="N265" s="54"/>
      <c r="O265" s="54"/>
      <c r="P265" s="54"/>
      <c r="Q265" s="54"/>
      <c r="R265" s="54"/>
      <c r="S265" s="54"/>
      <c r="T265" s="54"/>
      <c r="U265" s="54"/>
      <c r="V265" s="54"/>
      <c r="W265" s="54"/>
      <c r="X265" s="54"/>
      <c r="Y265" s="54"/>
      <c r="Z265" s="54"/>
      <c r="AA265" s="54"/>
      <c r="AB265" s="45"/>
      <c r="AC265" s="45"/>
      <c r="AD265" s="45"/>
      <c r="AE265" s="45"/>
      <c r="AF265" s="45"/>
      <c r="AG265" s="45"/>
      <c r="AH265" s="45"/>
      <c r="AI265" s="45"/>
      <c r="AJ265" s="54"/>
      <c r="AK265" s="54"/>
      <c r="AL265" s="54"/>
      <c r="AM265" s="54"/>
      <c r="AN265" s="54"/>
      <c r="AO265" s="54"/>
      <c r="AP265" s="54"/>
      <c r="AQ265" s="54"/>
      <c r="AR265" s="54"/>
      <c r="AS265" s="54"/>
      <c r="AT265" s="54"/>
      <c r="AU265" s="54"/>
      <c r="AV265" s="54"/>
      <c r="AW265" s="54"/>
      <c r="AX265" s="54"/>
      <c r="AY265" s="54"/>
      <c r="AZ265" s="54"/>
      <c r="BA265" s="54"/>
      <c r="BB265" s="54"/>
      <c r="BC265" s="54"/>
    </row>
    <row r="266" spans="1:55">
      <c r="A266" s="45"/>
      <c r="B266" s="54"/>
      <c r="C266" s="54"/>
      <c r="D266" s="54"/>
      <c r="E266" s="54"/>
      <c r="F266" s="54"/>
      <c r="G266" s="54"/>
      <c r="H266" s="54"/>
      <c r="I266" s="54"/>
      <c r="J266" s="54"/>
      <c r="K266" s="54"/>
      <c r="L266" s="54"/>
      <c r="M266" s="54"/>
      <c r="N266" s="54"/>
      <c r="O266" s="54"/>
      <c r="P266" s="54"/>
      <c r="Q266" s="54"/>
      <c r="R266" s="54"/>
      <c r="S266" s="54"/>
      <c r="T266" s="54"/>
      <c r="U266" s="54"/>
      <c r="V266" s="54"/>
      <c r="W266" s="54"/>
      <c r="X266" s="54"/>
      <c r="Y266" s="54"/>
      <c r="Z266" s="54"/>
      <c r="AA266" s="54"/>
      <c r="AB266" s="45"/>
      <c r="AC266" s="45"/>
      <c r="AD266" s="45"/>
      <c r="AE266" s="45"/>
      <c r="AF266" s="45"/>
      <c r="AG266" s="45"/>
      <c r="AH266" s="45"/>
      <c r="AI266" s="45"/>
      <c r="AJ266" s="54"/>
      <c r="AK266" s="54"/>
      <c r="AL266" s="54"/>
      <c r="AM266" s="54"/>
      <c r="AN266" s="54"/>
      <c r="AO266" s="54"/>
      <c r="AP266" s="54"/>
      <c r="AQ266" s="54"/>
      <c r="AR266" s="54"/>
      <c r="AS266" s="54"/>
      <c r="AT266" s="54"/>
      <c r="AU266" s="54"/>
      <c r="AV266" s="54"/>
      <c r="AW266" s="54"/>
      <c r="AX266" s="54"/>
      <c r="AY266" s="54"/>
      <c r="AZ266" s="54"/>
      <c r="BA266" s="54"/>
      <c r="BB266" s="54"/>
      <c r="BC266" s="54"/>
    </row>
    <row r="267" spans="1:55">
      <c r="A267" s="45"/>
      <c r="B267" s="54"/>
      <c r="C267" s="54"/>
      <c r="D267" s="54"/>
      <c r="E267" s="54"/>
      <c r="F267" s="54"/>
      <c r="G267" s="54"/>
      <c r="H267" s="54"/>
      <c r="I267" s="54"/>
      <c r="J267" s="54"/>
      <c r="K267" s="54"/>
      <c r="L267" s="54"/>
      <c r="M267" s="54"/>
      <c r="N267" s="54"/>
      <c r="O267" s="54"/>
      <c r="P267" s="54"/>
      <c r="Q267" s="54"/>
      <c r="R267" s="54"/>
      <c r="S267" s="54"/>
      <c r="T267" s="54"/>
      <c r="U267" s="54"/>
      <c r="V267" s="54"/>
      <c r="W267" s="54"/>
      <c r="X267" s="54"/>
      <c r="Y267" s="54"/>
      <c r="Z267" s="54"/>
      <c r="AA267" s="54"/>
      <c r="AB267" s="45"/>
      <c r="AC267" s="45"/>
      <c r="AD267" s="45"/>
      <c r="AE267" s="45"/>
      <c r="AF267" s="45"/>
      <c r="AG267" s="45"/>
      <c r="AH267" s="45"/>
      <c r="AI267" s="45"/>
      <c r="AJ267" s="54"/>
      <c r="AK267" s="54"/>
      <c r="AL267" s="54"/>
      <c r="AM267" s="54"/>
      <c r="AN267" s="54"/>
      <c r="AO267" s="54"/>
      <c r="AP267" s="54"/>
      <c r="AQ267" s="54"/>
      <c r="AR267" s="54"/>
      <c r="AS267" s="54"/>
      <c r="AT267" s="54"/>
      <c r="AU267" s="54"/>
      <c r="AV267" s="54"/>
      <c r="AW267" s="54"/>
      <c r="AX267" s="54"/>
      <c r="AY267" s="54"/>
      <c r="AZ267" s="54"/>
      <c r="BA267" s="54"/>
      <c r="BB267" s="54"/>
      <c r="BC267" s="54"/>
    </row>
    <row r="268" spans="1:55">
      <c r="A268" s="45"/>
      <c r="B268" s="54"/>
      <c r="C268" s="54"/>
      <c r="D268" s="54"/>
      <c r="E268" s="54"/>
      <c r="F268" s="54"/>
      <c r="G268" s="54"/>
      <c r="H268" s="54"/>
      <c r="I268" s="54"/>
      <c r="J268" s="54"/>
      <c r="K268" s="54"/>
      <c r="L268" s="54"/>
      <c r="M268" s="54"/>
      <c r="N268" s="54"/>
      <c r="O268" s="54"/>
      <c r="P268" s="54"/>
      <c r="Q268" s="54"/>
      <c r="R268" s="54"/>
      <c r="S268" s="54"/>
      <c r="T268" s="54"/>
      <c r="U268" s="54"/>
      <c r="V268" s="54"/>
      <c r="W268" s="54"/>
      <c r="X268" s="54"/>
      <c r="Y268" s="54"/>
      <c r="Z268" s="54"/>
      <c r="AA268" s="54"/>
      <c r="AB268" s="45"/>
      <c r="AC268" s="45"/>
      <c r="AD268" s="45"/>
      <c r="AE268" s="45"/>
      <c r="AF268" s="45"/>
      <c r="AG268" s="45"/>
      <c r="AH268" s="45"/>
      <c r="AI268" s="45"/>
      <c r="AJ268" s="54"/>
      <c r="AK268" s="54"/>
      <c r="AL268" s="54"/>
      <c r="AM268" s="54"/>
      <c r="AN268" s="54"/>
      <c r="AO268" s="54"/>
      <c r="AP268" s="54"/>
      <c r="AQ268" s="54"/>
      <c r="AR268" s="54"/>
      <c r="AS268" s="54"/>
      <c r="AT268" s="54"/>
      <c r="AU268" s="54"/>
      <c r="AV268" s="54"/>
      <c r="AW268" s="54"/>
      <c r="AX268" s="54"/>
      <c r="AY268" s="54"/>
      <c r="AZ268" s="54"/>
      <c r="BA268" s="54"/>
      <c r="BB268" s="54"/>
      <c r="BC268" s="54"/>
    </row>
    <row r="269" spans="1:55">
      <c r="A269" s="45"/>
      <c r="B269" s="1991"/>
      <c r="C269" s="2342" t="s">
        <v>187</v>
      </c>
      <c r="D269" s="2342"/>
      <c r="E269" s="2343"/>
      <c r="F269" s="2343"/>
      <c r="G269" s="2343"/>
      <c r="H269" s="2343"/>
      <c r="I269" s="2343"/>
      <c r="J269" s="2343"/>
      <c r="K269" s="2343"/>
      <c r="L269" s="2343"/>
      <c r="M269" s="2343"/>
      <c r="N269" s="2495"/>
      <c r="O269" s="258"/>
      <c r="P269" s="258"/>
      <c r="Q269" s="123"/>
      <c r="R269" s="54"/>
      <c r="S269" s="335"/>
      <c r="T269" s="56" t="s">
        <v>187</v>
      </c>
      <c r="U269" s="56"/>
      <c r="V269" s="100"/>
      <c r="W269" s="100"/>
      <c r="X269" s="100"/>
      <c r="Y269" s="100"/>
      <c r="Z269" s="100"/>
      <c r="AA269" s="100"/>
      <c r="AB269" s="100"/>
      <c r="AC269" s="100"/>
      <c r="AD269" s="100"/>
      <c r="AE269" s="238"/>
      <c r="AF269" s="45"/>
      <c r="AG269" s="45"/>
      <c r="AH269" s="45"/>
      <c r="AI269" s="45"/>
      <c r="AJ269" s="335"/>
      <c r="AK269" s="56" t="s">
        <v>187</v>
      </c>
      <c r="AL269" s="56"/>
      <c r="AM269" s="100"/>
      <c r="AN269" s="100"/>
      <c r="AO269" s="100"/>
      <c r="AP269" s="100"/>
      <c r="AQ269" s="100"/>
      <c r="AR269" s="100"/>
      <c r="AS269" s="100"/>
      <c r="AT269" s="100"/>
      <c r="AU269" s="100"/>
      <c r="AV269" s="238"/>
      <c r="AW269" s="258"/>
      <c r="AX269" s="258"/>
      <c r="AY269" s="123"/>
      <c r="AZ269" s="54"/>
      <c r="BA269" s="54"/>
      <c r="BB269" s="54"/>
      <c r="BC269" s="54"/>
    </row>
    <row r="270" spans="1:55">
      <c r="A270" s="45"/>
      <c r="B270" s="1673"/>
      <c r="C270" s="3752" t="s">
        <v>389</v>
      </c>
      <c r="D270" s="3752"/>
      <c r="E270" s="3752"/>
      <c r="F270" s="3752"/>
      <c r="G270" s="3752"/>
      <c r="H270" s="3752"/>
      <c r="I270" s="3752"/>
      <c r="J270" s="3752"/>
      <c r="K270" s="3752"/>
      <c r="L270" s="3752"/>
      <c r="M270" s="3752"/>
      <c r="N270" s="2530"/>
      <c r="O270" s="261"/>
      <c r="P270" s="258"/>
      <c r="Q270" s="45"/>
      <c r="R270" s="54"/>
      <c r="S270" s="275"/>
      <c r="T270" s="3752" t="s">
        <v>389</v>
      </c>
      <c r="U270" s="3752"/>
      <c r="V270" s="3752"/>
      <c r="W270" s="3752"/>
      <c r="X270" s="3752"/>
      <c r="Y270" s="3752"/>
      <c r="Z270" s="3752"/>
      <c r="AA270" s="3752"/>
      <c r="AB270" s="3752"/>
      <c r="AC270" s="3752"/>
      <c r="AD270" s="3752"/>
      <c r="AE270" s="260"/>
      <c r="AF270" s="45"/>
      <c r="AG270" s="45"/>
      <c r="AH270" s="45"/>
      <c r="AI270" s="45"/>
      <c r="AJ270" s="275"/>
      <c r="AK270" s="3752" t="s">
        <v>389</v>
      </c>
      <c r="AL270" s="3752"/>
      <c r="AM270" s="3752"/>
      <c r="AN270" s="3752"/>
      <c r="AO270" s="3752"/>
      <c r="AP270" s="3752"/>
      <c r="AQ270" s="3752"/>
      <c r="AR270" s="3752"/>
      <c r="AS270" s="3752"/>
      <c r="AT270" s="3752"/>
      <c r="AU270" s="3752"/>
      <c r="AV270" s="260"/>
      <c r="AW270" s="261"/>
      <c r="AX270" s="258"/>
      <c r="AY270" s="45"/>
      <c r="AZ270" s="54"/>
      <c r="BA270" s="54"/>
      <c r="BB270" s="54"/>
      <c r="BC270" s="54"/>
    </row>
    <row r="271" spans="1:55">
      <c r="A271" s="45"/>
      <c r="B271" s="1673"/>
      <c r="C271" s="2351"/>
      <c r="D271" s="2351"/>
      <c r="E271" s="2351"/>
      <c r="F271" s="2351"/>
      <c r="G271" s="2351"/>
      <c r="H271" s="2351"/>
      <c r="I271" s="2351"/>
      <c r="J271" s="2351"/>
      <c r="K271" s="2351"/>
      <c r="L271" s="2351"/>
      <c r="M271" s="2351"/>
      <c r="N271" s="2452"/>
      <c r="O271" s="258"/>
      <c r="P271" s="258"/>
      <c r="Q271" s="45"/>
      <c r="R271" s="54"/>
      <c r="S271" s="275"/>
      <c r="T271" s="65"/>
      <c r="U271" s="65"/>
      <c r="V271" s="65"/>
      <c r="W271" s="65"/>
      <c r="X271" s="65"/>
      <c r="Y271" s="65"/>
      <c r="Z271" s="65"/>
      <c r="AA271" s="65"/>
      <c r="AB271" s="65"/>
      <c r="AC271" s="65"/>
      <c r="AD271" s="65"/>
      <c r="AE271" s="196"/>
      <c r="AF271" s="45"/>
      <c r="AG271" s="45"/>
      <c r="AH271" s="45"/>
      <c r="AI271" s="45"/>
      <c r="AJ271" s="275"/>
      <c r="AK271" s="65"/>
      <c r="AL271" s="65"/>
      <c r="AM271" s="65"/>
      <c r="AN271" s="65"/>
      <c r="AO271" s="65"/>
      <c r="AP271" s="65"/>
      <c r="AQ271" s="65"/>
      <c r="AR271" s="65"/>
      <c r="AS271" s="65"/>
      <c r="AT271" s="65"/>
      <c r="AU271" s="65"/>
      <c r="AV271" s="196"/>
      <c r="AW271" s="258"/>
      <c r="AX271" s="258"/>
      <c r="AY271" s="45"/>
      <c r="AZ271" s="54"/>
      <c r="BA271" s="54"/>
      <c r="BB271" s="54"/>
      <c r="BC271" s="54"/>
    </row>
    <row r="272" spans="1:55" ht="15.75">
      <c r="A272" s="45"/>
      <c r="B272" s="1665"/>
      <c r="C272" s="2349" t="str">
        <f>"Country: " &amp;UPPER(Country)</f>
        <v>Country: LITHUANIA</v>
      </c>
      <c r="D272" s="2480"/>
      <c r="E272" s="2351"/>
      <c r="F272" s="2351"/>
      <c r="G272" s="2351"/>
      <c r="H272" s="2351"/>
      <c r="I272" s="2351"/>
      <c r="J272" s="2351"/>
      <c r="K272" s="2351"/>
      <c r="L272" s="2351"/>
      <c r="M272" s="2351"/>
      <c r="N272" s="2452"/>
      <c r="O272" s="258"/>
      <c r="P272" s="258"/>
      <c r="Q272" s="45"/>
      <c r="R272" s="54"/>
      <c r="S272" s="190"/>
      <c r="T272" s="63" t="str">
        <f>"Country: " &amp;UPPER(Country)</f>
        <v>Country: LITHUANIA</v>
      </c>
      <c r="U272" s="222"/>
      <c r="V272" s="65"/>
      <c r="W272" s="2006" t="s">
        <v>390</v>
      </c>
      <c r="X272" s="65"/>
      <c r="Y272" s="65"/>
      <c r="Z272" s="65"/>
      <c r="AA272" s="65"/>
      <c r="AB272" s="65"/>
      <c r="AC272" s="65"/>
      <c r="AD272" s="65"/>
      <c r="AE272" s="196"/>
      <c r="AF272" s="45"/>
      <c r="AG272" s="45"/>
      <c r="AH272" s="45"/>
      <c r="AI272" s="45"/>
      <c r="AJ272" s="190"/>
      <c r="AK272" s="63" t="str">
        <f>"Country: " &amp;UPPER(Country)</f>
        <v>Country: LITHUANIA</v>
      </c>
      <c r="AL272" s="222"/>
      <c r="AM272" s="65"/>
      <c r="AN272" s="65"/>
      <c r="AO272" s="65"/>
      <c r="AP272" s="65"/>
      <c r="AQ272" s="65"/>
      <c r="AR272" s="65"/>
      <c r="AS272" s="65"/>
      <c r="AT272" s="65"/>
      <c r="AU272" s="65"/>
      <c r="AV272" s="196"/>
      <c r="AW272" s="258"/>
      <c r="AX272" s="258"/>
      <c r="AY272" s="45"/>
      <c r="AZ272" s="54"/>
      <c r="BA272" s="54"/>
      <c r="BB272" s="54"/>
      <c r="BC272" s="54"/>
    </row>
    <row r="273" spans="1:55" ht="15.75">
      <c r="A273" s="45"/>
      <c r="B273" s="1673"/>
      <c r="C273" s="2349" t="str">
        <f>"Currency unit: " &amp; Currency</f>
        <v>Currency unit: bn EUR</v>
      </c>
      <c r="D273" s="2355"/>
      <c r="E273" s="2351"/>
      <c r="F273" s="2351"/>
      <c r="G273" s="2351"/>
      <c r="H273" s="2351"/>
      <c r="I273" s="2351"/>
      <c r="J273" s="2351"/>
      <c r="K273" s="2351"/>
      <c r="L273" s="2579"/>
      <c r="M273" s="2638"/>
      <c r="N273" s="2639"/>
      <c r="O273" s="376"/>
      <c r="P273" s="258"/>
      <c r="Q273" s="45"/>
      <c r="R273" s="54"/>
      <c r="S273" s="275"/>
      <c r="T273" s="63" t="str">
        <f>"Currency unit: " &amp; Currency</f>
        <v>Currency unit: bn EUR</v>
      </c>
      <c r="U273" s="69"/>
      <c r="V273" s="65"/>
      <c r="W273" s="2006" t="str">
        <f>$T$4</f>
        <v>2nd storage</v>
      </c>
      <c r="X273" s="65"/>
      <c r="Y273" s="65"/>
      <c r="Z273" s="65"/>
      <c r="AA273" s="65"/>
      <c r="AB273" s="65"/>
      <c r="AC273" s="70"/>
      <c r="AD273" s="374"/>
      <c r="AE273" s="375"/>
      <c r="AF273" s="45"/>
      <c r="AG273" s="45"/>
      <c r="AH273" s="45"/>
      <c r="AI273" s="45"/>
      <c r="AJ273" s="275"/>
      <c r="AK273" s="63" t="str">
        <f>"Currency unit: " &amp; Currency</f>
        <v>Currency unit: bn EUR</v>
      </c>
      <c r="AL273" s="69"/>
      <c r="AM273" s="65"/>
      <c r="AN273" s="65"/>
      <c r="AO273" s="65"/>
      <c r="AP273" s="65"/>
      <c r="AQ273" s="65"/>
      <c r="AR273" s="65"/>
      <c r="AS273" s="65"/>
      <c r="AT273" s="70"/>
      <c r="AU273" s="374"/>
      <c r="AV273" s="375"/>
      <c r="AW273" s="376"/>
      <c r="AX273" s="258"/>
      <c r="AY273" s="45"/>
      <c r="AZ273" s="54"/>
      <c r="BA273" s="54"/>
      <c r="BB273" s="54"/>
      <c r="BC273" s="54"/>
    </row>
    <row r="274" spans="1:55" ht="13.5" thickBot="1">
      <c r="A274" s="45"/>
      <c r="B274" s="1673"/>
      <c r="C274" s="2355" t="s">
        <v>297</v>
      </c>
      <c r="D274" s="2351"/>
      <c r="E274" s="2351"/>
      <c r="F274" s="2351"/>
      <c r="G274" s="2351"/>
      <c r="H274" s="2351"/>
      <c r="I274" s="2351"/>
      <c r="J274" s="2351"/>
      <c r="K274" s="2351"/>
      <c r="L274" s="3790">
        <f ca="1">NOW()</f>
        <v>43335.58773900463</v>
      </c>
      <c r="M274" s="3790"/>
      <c r="N274" s="2403"/>
      <c r="O274" s="54"/>
      <c r="P274" s="54"/>
      <c r="Q274" s="54"/>
      <c r="R274" s="54"/>
      <c r="S274" s="275"/>
      <c r="T274" s="69" t="s">
        <v>297</v>
      </c>
      <c r="U274" s="65"/>
      <c r="V274" s="65"/>
      <c r="W274" s="65"/>
      <c r="X274" s="65"/>
      <c r="Y274" s="65"/>
      <c r="Z274" s="65"/>
      <c r="AA274" s="65"/>
      <c r="AB274" s="65"/>
      <c r="AC274" s="3752">
        <f ca="1">NOW()</f>
        <v>43335.58773900463</v>
      </c>
      <c r="AD274" s="3752"/>
      <c r="AE274" s="138"/>
      <c r="AF274" s="45"/>
      <c r="AG274" s="45"/>
      <c r="AH274" s="45"/>
      <c r="AI274" s="45"/>
      <c r="AJ274" s="275"/>
      <c r="AK274" s="69" t="s">
        <v>297</v>
      </c>
      <c r="AL274" s="65"/>
      <c r="AM274" s="65"/>
      <c r="AN274" s="65"/>
      <c r="AO274" s="65"/>
      <c r="AP274" s="65"/>
      <c r="AQ274" s="65"/>
      <c r="AR274" s="65"/>
      <c r="AS274" s="65"/>
      <c r="AT274" s="3752">
        <f ca="1">NOW()</f>
        <v>43335.58773900463</v>
      </c>
      <c r="AU274" s="3752"/>
      <c r="AV274" s="138"/>
      <c r="AW274" s="54"/>
      <c r="AX274" s="54"/>
      <c r="AY274" s="54"/>
      <c r="AZ274" s="54"/>
      <c r="BA274" s="54"/>
      <c r="BB274" s="54"/>
      <c r="BC274" s="54"/>
    </row>
    <row r="275" spans="1:55">
      <c r="A275" s="45"/>
      <c r="B275" s="1673"/>
      <c r="C275" s="2357"/>
      <c r="D275" s="2358"/>
      <c r="E275" s="2404" t="s">
        <v>188</v>
      </c>
      <c r="F275" s="3752">
        <f>E16</f>
        <v>2016</v>
      </c>
      <c r="G275" s="3752"/>
      <c r="H275" s="3752">
        <f>F275+1</f>
        <v>2017</v>
      </c>
      <c r="I275" s="3752"/>
      <c r="J275" s="3752">
        <f>H275+1</f>
        <v>2018</v>
      </c>
      <c r="K275" s="3752"/>
      <c r="L275" s="3752">
        <f>J275+1</f>
        <v>2019</v>
      </c>
      <c r="M275" s="3752"/>
      <c r="N275" s="2447"/>
      <c r="O275" s="54"/>
      <c r="P275" s="54"/>
      <c r="Q275" s="54"/>
      <c r="R275" s="54"/>
      <c r="S275" s="275"/>
      <c r="T275" s="191"/>
      <c r="U275" s="73"/>
      <c r="V275" s="142" t="s">
        <v>188</v>
      </c>
      <c r="W275" s="3752">
        <f>Last_forecast_year - 3</f>
        <v>2016</v>
      </c>
      <c r="X275" s="3752"/>
      <c r="Y275" s="3752">
        <f>W275+1</f>
        <v>2017</v>
      </c>
      <c r="Z275" s="3752"/>
      <c r="AA275" s="3752">
        <f>Y275+1</f>
        <v>2018</v>
      </c>
      <c r="AB275" s="3752"/>
      <c r="AC275" s="3752">
        <f>AA275+1</f>
        <v>2019</v>
      </c>
      <c r="AD275" s="3752"/>
      <c r="AE275" s="192"/>
      <c r="AF275" s="45"/>
      <c r="AG275" s="45"/>
      <c r="AH275" s="45"/>
      <c r="AI275" s="45"/>
      <c r="AJ275" s="275"/>
      <c r="AK275" s="191"/>
      <c r="AL275" s="73"/>
      <c r="AM275" s="142" t="s">
        <v>188</v>
      </c>
      <c r="AN275" s="3752">
        <f>Last_forecast_year - 3</f>
        <v>2016</v>
      </c>
      <c r="AO275" s="3752"/>
      <c r="AP275" s="3752">
        <f>AN275+1</f>
        <v>2017</v>
      </c>
      <c r="AQ275" s="3752"/>
      <c r="AR275" s="3752">
        <f>AP275+1</f>
        <v>2018</v>
      </c>
      <c r="AS275" s="3752"/>
      <c r="AT275" s="3752">
        <f>AR275+1</f>
        <v>2019</v>
      </c>
      <c r="AU275" s="3752"/>
      <c r="AV275" s="192"/>
      <c r="AW275" s="54"/>
      <c r="AX275" s="54"/>
      <c r="AY275" s="54"/>
      <c r="AZ275" s="54"/>
      <c r="BA275" s="54"/>
      <c r="BB275" s="54"/>
      <c r="BC275" s="54"/>
    </row>
    <row r="276" spans="1:55">
      <c r="A276" s="45"/>
      <c r="B276" s="1673"/>
      <c r="C276" s="1666"/>
      <c r="D276" s="2351"/>
      <c r="E276" s="2640"/>
      <c r="F276" s="2641" t="s">
        <v>1169</v>
      </c>
      <c r="G276" s="2642" t="s">
        <v>1170</v>
      </c>
      <c r="H276" s="2641" t="s">
        <v>1169</v>
      </c>
      <c r="I276" s="2642" t="s">
        <v>1170</v>
      </c>
      <c r="J276" s="2641" t="s">
        <v>1169</v>
      </c>
      <c r="K276" s="2642" t="s">
        <v>1170</v>
      </c>
      <c r="L276" s="2641" t="s">
        <v>1169</v>
      </c>
      <c r="M276" s="2643" t="s">
        <v>1170</v>
      </c>
      <c r="N276" s="2644"/>
      <c r="O276" s="54"/>
      <c r="P276" s="54"/>
      <c r="Q276" s="54"/>
      <c r="R276" s="54"/>
      <c r="S276" s="275"/>
      <c r="T276" s="40"/>
      <c r="U276" s="65"/>
      <c r="V276" s="377"/>
      <c r="W276" s="489" t="s">
        <v>1169</v>
      </c>
      <c r="X276" s="1748" t="s">
        <v>1170</v>
      </c>
      <c r="Y276" s="489" t="s">
        <v>1169</v>
      </c>
      <c r="Z276" s="1748" t="s">
        <v>1170</v>
      </c>
      <c r="AA276" s="489" t="s">
        <v>1169</v>
      </c>
      <c r="AB276" s="1748" t="s">
        <v>1170</v>
      </c>
      <c r="AC276" s="489" t="s">
        <v>1169</v>
      </c>
      <c r="AD276" s="1749" t="s">
        <v>1170</v>
      </c>
      <c r="AE276" s="378"/>
      <c r="AF276" s="45"/>
      <c r="AG276" s="45"/>
      <c r="AH276" s="45"/>
      <c r="AI276" s="45"/>
      <c r="AJ276" s="275"/>
      <c r="AK276" s="40"/>
      <c r="AL276" s="65"/>
      <c r="AM276" s="377"/>
      <c r="AN276" s="489" t="s">
        <v>1169</v>
      </c>
      <c r="AO276" s="1748" t="s">
        <v>1170</v>
      </c>
      <c r="AP276" s="489" t="s">
        <v>1169</v>
      </c>
      <c r="AQ276" s="1748" t="s">
        <v>1170</v>
      </c>
      <c r="AR276" s="489" t="s">
        <v>1169</v>
      </c>
      <c r="AS276" s="1748" t="s">
        <v>1170</v>
      </c>
      <c r="AT276" s="489" t="s">
        <v>1169</v>
      </c>
      <c r="AU276" s="1749" t="s">
        <v>1170</v>
      </c>
      <c r="AV276" s="378"/>
      <c r="AW276" s="54"/>
      <c r="AX276" s="54"/>
      <c r="AY276" s="54"/>
      <c r="AZ276" s="54"/>
      <c r="BA276" s="54"/>
      <c r="BB276" s="54"/>
      <c r="BC276" s="54"/>
    </row>
    <row r="277" spans="1:55">
      <c r="A277" s="45"/>
      <c r="B277" s="1673"/>
      <c r="C277" s="2384"/>
      <c r="D277" s="2343"/>
      <c r="E277" s="2645"/>
      <c r="F277" s="2646"/>
      <c r="G277" s="3752" t="s">
        <v>189</v>
      </c>
      <c r="H277" s="3752"/>
      <c r="I277" s="3752"/>
      <c r="J277" s="3752"/>
      <c r="K277" s="3752"/>
      <c r="L277" s="3752"/>
      <c r="M277" s="2647"/>
      <c r="N277" s="2363"/>
      <c r="O277" s="334"/>
      <c r="P277" s="54"/>
      <c r="Q277" s="54"/>
      <c r="R277" s="54"/>
      <c r="S277" s="275"/>
      <c r="T277" s="148"/>
      <c r="U277" s="57"/>
      <c r="V277" s="379"/>
      <c r="W277" s="380"/>
      <c r="X277" s="3752" t="s">
        <v>189</v>
      </c>
      <c r="Y277" s="3752"/>
      <c r="Z277" s="3752"/>
      <c r="AA277" s="3752"/>
      <c r="AB277" s="3752"/>
      <c r="AC277" s="3752"/>
      <c r="AD277" s="381"/>
      <c r="AE277" s="267"/>
      <c r="AF277" s="45"/>
      <c r="AG277" s="45"/>
      <c r="AH277" s="45"/>
      <c r="AI277" s="45"/>
      <c r="AJ277" s="275"/>
      <c r="AK277" s="148"/>
      <c r="AL277" s="57"/>
      <c r="AM277" s="379"/>
      <c r="AN277" s="380"/>
      <c r="AO277" s="3752" t="s">
        <v>189</v>
      </c>
      <c r="AP277" s="3752"/>
      <c r="AQ277" s="3752"/>
      <c r="AR277" s="3752"/>
      <c r="AS277" s="3752"/>
      <c r="AT277" s="3752"/>
      <c r="AU277" s="381"/>
      <c r="AV277" s="267"/>
      <c r="AW277" s="334"/>
      <c r="AX277" s="54"/>
      <c r="AY277" s="54"/>
      <c r="AZ277" s="54"/>
      <c r="BA277" s="334"/>
      <c r="BB277" s="334"/>
      <c r="BC277" s="54"/>
    </row>
    <row r="278" spans="1:55">
      <c r="A278" s="45"/>
      <c r="B278" s="1673"/>
      <c r="C278" s="2648" t="s">
        <v>1060</v>
      </c>
      <c r="D278" s="2649"/>
      <c r="E278" s="2650" t="s">
        <v>514</v>
      </c>
      <c r="F278" s="2415">
        <f ca="1">Transfer!D301</f>
        <v>34.499586109841616</v>
      </c>
      <c r="G278" s="2411">
        <f ca="1">100*((Transfer!D301/Transfer!C301)-1)</f>
        <v>2.3448710805274331</v>
      </c>
      <c r="H278" s="2411">
        <f ca="1">Transfer!E301</f>
        <v>35.820548754876221</v>
      </c>
      <c r="I278" s="2388">
        <f ca="1">100*((Transfer!E301/Transfer!D301)-1)</f>
        <v>3.8289231668717782</v>
      </c>
      <c r="J278" s="2411">
        <f ca="1">Transfer!F301</f>
        <v>36.822683040971974</v>
      </c>
      <c r="K278" s="2388">
        <f ca="1">100*((Transfer!F301/Transfer!E301)-1)</f>
        <v>2.7976519649474563</v>
      </c>
      <c r="L278" s="2411">
        <f ca="1">Transfer!G301</f>
        <v>37.784530448310605</v>
      </c>
      <c r="M278" s="2412">
        <f ca="1">100*((Transfer!G301/Transfer!F301)-1)</f>
        <v>2.612105712852042</v>
      </c>
      <c r="N278" s="2368"/>
      <c r="O278" s="334"/>
      <c r="P278" s="54"/>
      <c r="Q278" s="54"/>
      <c r="R278" s="54"/>
      <c r="S278" s="275"/>
      <c r="T278" s="179" t="s">
        <v>1060</v>
      </c>
      <c r="U278" s="63"/>
      <c r="V278" s="382" t="s">
        <v>514</v>
      </c>
      <c r="W278" s="107">
        <f t="shared" ref="W278:AD284" ca="1" si="20">ROUND(F278,1)-ROUND(AN278,1)</f>
        <v>-65.099999999999994</v>
      </c>
      <c r="X278" s="107">
        <f t="shared" ca="1" si="20"/>
        <v>-1.4000000000000004</v>
      </c>
      <c r="Y278" s="107">
        <f t="shared" ca="1" si="20"/>
        <v>-67.900000000000006</v>
      </c>
      <c r="Z278" s="107">
        <f t="shared" ca="1" si="20"/>
        <v>-0.29999999999999982</v>
      </c>
      <c r="AA278" s="107">
        <f t="shared" ca="1" si="20"/>
        <v>-70.900000000000006</v>
      </c>
      <c r="AB278" s="107">
        <f t="shared" ca="1" si="20"/>
        <v>-1</v>
      </c>
      <c r="AC278" s="107">
        <f t="shared" ca="1" si="20"/>
        <v>-74.2</v>
      </c>
      <c r="AD278" s="81">
        <f t="shared" ca="1" si="20"/>
        <v>-1.4</v>
      </c>
      <c r="AE278" s="82"/>
      <c r="AF278" s="45"/>
      <c r="AG278" s="45"/>
      <c r="AH278" s="45"/>
      <c r="AI278" s="45"/>
      <c r="AJ278" s="275"/>
      <c r="AK278" s="2187" t="s">
        <v>1060</v>
      </c>
      <c r="AL278" s="2188"/>
      <c r="AM278" s="2189" t="s">
        <v>514</v>
      </c>
      <c r="AN278" s="2140">
        <f>Transfer!AD301</f>
        <v>99.581462897096031</v>
      </c>
      <c r="AO278" s="2120">
        <f>100*((Transfer!AD301/Transfer!AC301)-1)</f>
        <v>3.6592951782543404</v>
      </c>
      <c r="AP278" s="2120">
        <f>Transfer!AE301</f>
        <v>103.69162163026689</v>
      </c>
      <c r="AQ278" s="2114">
        <f>100*((Transfer!AE301/Transfer!AD301)-1)</f>
        <v>4.1274335740760781</v>
      </c>
      <c r="AR278" s="2120">
        <f>Transfer!AF301</f>
        <v>107.65018763873299</v>
      </c>
      <c r="AS278" s="2114">
        <f>100*((Transfer!AF301/Transfer!AE301)-1)</f>
        <v>3.8176334271067258</v>
      </c>
      <c r="AT278" s="2120">
        <f>Transfer!AG301</f>
        <v>111.97160314616288</v>
      </c>
      <c r="AU278" s="2121">
        <f>100*((Transfer!AG301/Transfer!AF301)-1)</f>
        <v>4.0143130283546435</v>
      </c>
      <c r="AV278" s="82"/>
      <c r="AW278" s="334"/>
      <c r="AX278" s="54"/>
      <c r="AY278" s="54"/>
      <c r="AZ278" s="54"/>
      <c r="BA278" s="1696" t="s">
        <v>1745</v>
      </c>
      <c r="BB278" s="1997" t="s">
        <v>1745</v>
      </c>
      <c r="BC278" s="54"/>
    </row>
    <row r="279" spans="1:55">
      <c r="A279" s="45"/>
      <c r="B279" s="1673"/>
      <c r="C279" s="1666" t="str">
        <f>IF(Transfer!C160=-9999,"  2. Employment ('000)","  2. Full-time equivalent employment ('000)")</f>
        <v xml:space="preserve">  2. Employment ('000)</v>
      </c>
      <c r="D279" s="2351"/>
      <c r="E279" s="2521"/>
      <c r="F279" s="1668">
        <f ca="1">IF(Transfer!D160=-9999,Transfer!D159,Transfer!D160)</f>
        <v>1361.21</v>
      </c>
      <c r="G279" s="1668">
        <f ca="1">IF(Transfer!D160=-9999,100*(Transfer!D159/Transfer!C159-1),100*(Transfer!D160/Transfer!C160-1))</f>
        <v>1.9839218418706395</v>
      </c>
      <c r="H279" s="1668">
        <f ca="1">IF(Transfer!E160=-9999,Transfer!E159,Transfer!E160)</f>
        <v>1354.11</v>
      </c>
      <c r="I279" s="1668">
        <f ca="1">IF(Transfer!E160=-9999,100*(Transfer!E159/Transfer!D159-1),100*(Transfer!E160/Transfer!D160-1))</f>
        <v>-0.52159475760537033</v>
      </c>
      <c r="J279" s="1668">
        <f ca="1">IF(Transfer!F160=-9999,Transfer!F159,Transfer!F160)</f>
        <v>1346.7528000000002</v>
      </c>
      <c r="K279" s="1668">
        <f ca="1">IF(Transfer!F160=-9999,100*(Transfer!F159/Transfer!E159-1),100*(Transfer!F160/Transfer!E160-1))</f>
        <v>-0.54332365908232871</v>
      </c>
      <c r="L279" s="1668">
        <f ca="1">IF(Transfer!G160=-9999,Transfer!G159,Transfer!G160)</f>
        <v>1342.6692803150002</v>
      </c>
      <c r="M279" s="1669">
        <f ca="1">IF(Transfer!G160=-9999,100*(Transfer!G159/Transfer!F159-1),100*(Transfer!G160/Transfer!F160-1))</f>
        <v>-0.30321226620060315</v>
      </c>
      <c r="N279" s="2368"/>
      <c r="O279" s="334"/>
      <c r="P279" s="54"/>
      <c r="Q279" s="54"/>
      <c r="R279" s="54"/>
      <c r="S279" s="275"/>
      <c r="T279" s="40" t="str">
        <f>IF(Transfer!T160=-9999,"  2. Employment ('000)","  2. Full-time equivalent employment ('000)")</f>
        <v xml:space="preserve">  2. Full-time equivalent employment ('000)</v>
      </c>
      <c r="U279" s="65"/>
      <c r="V279" s="382"/>
      <c r="W279" s="107">
        <f t="shared" ca="1" si="20"/>
        <v>86.299999999999955</v>
      </c>
      <c r="X279" s="107">
        <f t="shared" ca="1" si="20"/>
        <v>0.19999999999999996</v>
      </c>
      <c r="Y279" s="107">
        <f t="shared" ca="1" si="20"/>
        <v>60.099999999999909</v>
      </c>
      <c r="Z279" s="107">
        <f t="shared" ca="1" si="20"/>
        <v>-2</v>
      </c>
      <c r="AA279" s="107">
        <f t="shared" ca="1" si="20"/>
        <v>34.099999999999909</v>
      </c>
      <c r="AB279" s="107">
        <f t="shared" ca="1" si="20"/>
        <v>-1.9</v>
      </c>
      <c r="AC279" s="107">
        <f t="shared" ca="1" si="20"/>
        <v>13.600000000000136</v>
      </c>
      <c r="AD279" s="93">
        <f t="shared" ca="1" si="20"/>
        <v>-1.5</v>
      </c>
      <c r="AE279" s="82"/>
      <c r="AF279" s="45"/>
      <c r="AG279" s="45"/>
      <c r="AH279" s="45"/>
      <c r="AI279" s="45"/>
      <c r="AJ279" s="275"/>
      <c r="AK279" s="40" t="str">
        <f>IF(Transfer!AK160=-9999,"  2. Employment ('000)","  2. Full-time equivalent employment ('000)")</f>
        <v xml:space="preserve">  2. Employment ('000)</v>
      </c>
      <c r="AL279" s="65"/>
      <c r="AM279" s="382"/>
      <c r="AN279" s="1982">
        <f>IF(Transfer!AD160=-9999,Transfer!AD159,Transfer!AD160)</f>
        <v>1274.9000000000001</v>
      </c>
      <c r="AO279" s="1982">
        <f>IF(Transfer!AD160=-9999,100*(Transfer!AD159/Transfer!AC159-1),100*(Transfer!AD160/Transfer!AC160-1))</f>
        <v>1.7721721082461839</v>
      </c>
      <c r="AP279" s="1982">
        <f>IF(Transfer!AE160=-9999,Transfer!AE159,Transfer!AE160)</f>
        <v>1294.033016885594</v>
      </c>
      <c r="AQ279" s="1982">
        <f>IF(Transfer!AE160=-9999,100*(Transfer!AE159/Transfer!AD159-1),100*(Transfer!AE160/Transfer!AD160-1))</f>
        <v>1.5007464809470461</v>
      </c>
      <c r="AR279" s="1982">
        <f>IF(Transfer!AF160=-9999,Transfer!AF159,Transfer!AF160)</f>
        <v>1312.7341838591722</v>
      </c>
      <c r="AS279" s="1982">
        <f>IF(Transfer!AF160=-9999,100*(Transfer!AF159/Transfer!AE159-1),100*(Transfer!AF160/Transfer!AE160-1))</f>
        <v>1.445184684590739</v>
      </c>
      <c r="AT279" s="1982">
        <f>IF(Transfer!AG160=-9999,Transfer!AG159,Transfer!AG160)</f>
        <v>1329.0638543846212</v>
      </c>
      <c r="AU279" s="1983">
        <f>IF(Transfer!AG160=-9999,100*(Transfer!AG159/Transfer!AF159-1),100*(Transfer!AG160/Transfer!AF160-1))</f>
        <v>1.2439434217705214</v>
      </c>
      <c r="AV279" s="82"/>
      <c r="AW279" s="334"/>
      <c r="AX279" s="54"/>
      <c r="AY279" s="54"/>
      <c r="AZ279" s="54"/>
      <c r="BA279" s="1698" t="s">
        <v>1223</v>
      </c>
      <c r="BB279" s="1735" t="s">
        <v>1746</v>
      </c>
      <c r="BC279" s="54"/>
    </row>
    <row r="280" spans="1:55">
      <c r="A280" s="45"/>
      <c r="B280" s="1673"/>
      <c r="C280" s="2648" t="str">
        <f>IF(Transfer!C160=-9999,"  3. GVA per occupied person (1:2)","  3. GVA per occupied f.t.e (1:2)")</f>
        <v xml:space="preserve">  3. GVA per occupied person (1:2)</v>
      </c>
      <c r="D280" s="2649"/>
      <c r="E280" s="2650"/>
      <c r="F280" s="2415">
        <f ca="1">IF(Transfer!D160=-9999,1000*(Transfer!D301)/Transfer!D159,1000*(Transfer!D301)/Transfer!D160)</f>
        <v>25.344793316124338</v>
      </c>
      <c r="G280" s="2387">
        <f ca="1">IF(Transfer!D160=-9999,100*(((1000*(Transfer!D301)/Transfer!D159)/((1000*(Transfer!C301)/Transfer!C159)))-1),100*(((1000*(Transfer!D301)/Transfer!D160)/((1000*(Transfer!C301)/Transfer!C160)))-1))</f>
        <v>0.35392759185752798</v>
      </c>
      <c r="H280" s="2387">
        <f ca="1">IF(Transfer!E160=-9999,1000*(Transfer!E301)/Transfer!E159,1000*(Transfer!E301)/Transfer!E160)</f>
        <v>26.45320450692796</v>
      </c>
      <c r="I280" s="2388">
        <f ca="1">IF(Transfer!E160=-9999,100*(((1000*(Transfer!E301)/Transfer!E159)/((1000*(Transfer!D301)/Transfer!D159)))-1),100*(((1000*(Transfer!E301)/Transfer!E160)/((1000*(Transfer!D301)/Transfer!D160)))-1))</f>
        <v>4.373328979165314</v>
      </c>
      <c r="J280" s="2387">
        <f ca="1">IF(Transfer!F160=-9999,1000*(Transfer!F301)/Transfer!F159,1000*(Transfer!F301)/Transfer!F160)</f>
        <v>27.341827721443735</v>
      </c>
      <c r="K280" s="2388">
        <f ca="1">IF(Transfer!F160=-9999,100*(((1000*(Transfer!F301)/Transfer!F159)/((1000*(Transfer!E301)/Transfer!E159)))-1),100*(((1000*(Transfer!F301)/Transfer!F160)/((1000*(Transfer!E301)/Transfer!E160)))-1))</f>
        <v>3.3592270996243512</v>
      </c>
      <c r="L280" s="2387">
        <f ca="1">IF(Transfer!G160=-9999,1000*(Transfer!G301)/Transfer!G159,1000*(Transfer!G301)/Transfer!G160)</f>
        <v>28.141353200131366</v>
      </c>
      <c r="M280" s="2389">
        <f ca="1">IF(Transfer!G160=-9999,100*(((1000*(Transfer!G301)/Transfer!G159)/((1000*(Transfer!F301)/Transfer!F159)))-1),100*(((1000*(Transfer!G301)/Transfer!G160)/((1000*(Transfer!F301)/Transfer!F160)))-1))</f>
        <v>2.9241844650369719</v>
      </c>
      <c r="N280" s="2368"/>
      <c r="O280" s="334"/>
      <c r="P280" s="54"/>
      <c r="Q280" s="54"/>
      <c r="R280" s="54"/>
      <c r="S280" s="275"/>
      <c r="T280" s="40" t="str">
        <f>IF(Transfer!T160=-9999,"  3. GVA per occupied person (1:2)","  3. GVA per occupied f.t.e (1:2)")</f>
        <v xml:space="preserve">  3. GVA per occupied f.t.e (1:2)</v>
      </c>
      <c r="U280" s="65"/>
      <c r="V280" s="382"/>
      <c r="W280" s="107">
        <f t="shared" ca="1" si="20"/>
        <v>-52.8</v>
      </c>
      <c r="X280" s="107">
        <f t="shared" ca="1" si="20"/>
        <v>-1.5</v>
      </c>
      <c r="Y280" s="107">
        <f t="shared" ca="1" si="20"/>
        <v>-53.599999999999994</v>
      </c>
      <c r="Z280" s="107">
        <f t="shared" ca="1" si="20"/>
        <v>1.8000000000000003</v>
      </c>
      <c r="AA280" s="107">
        <f t="shared" ca="1" si="20"/>
        <v>-54.7</v>
      </c>
      <c r="AB280" s="107">
        <f t="shared" ca="1" si="20"/>
        <v>1.1000000000000001</v>
      </c>
      <c r="AC280" s="107">
        <f t="shared" ca="1" si="20"/>
        <v>-56.1</v>
      </c>
      <c r="AD280" s="93">
        <f t="shared" ca="1" si="20"/>
        <v>0.19999999999999973</v>
      </c>
      <c r="AE280" s="82"/>
      <c r="AF280" s="45"/>
      <c r="AG280" s="45"/>
      <c r="AH280" s="45"/>
      <c r="AI280" s="45"/>
      <c r="AJ280" s="275"/>
      <c r="AK280" s="2187" t="str">
        <f>IF(Transfer!AK160=-9999,"  3. GVA per occupied person (1:2)","  3. GVA per occupied f.t.e (1:2)")</f>
        <v xml:space="preserve">  3. GVA per occupied person (1:2)</v>
      </c>
      <c r="AL280" s="2188"/>
      <c r="AM280" s="2189"/>
      <c r="AN280" s="2140">
        <f>IF(Transfer!AD160=-9999,1000*(Transfer!AD301)/Transfer!AD159,1000*(Transfer!AD301)/Transfer!AD160)</f>
        <v>78.109234369045438</v>
      </c>
      <c r="AO280" s="2113">
        <f>IF(Transfer!AD160=-9999,100*(((1000*(Transfer!AD301)/Transfer!AD159)/((1000*(Transfer!AC301)/Transfer!AC159)))-1),100*(((1000*(Transfer!AD301)/Transfer!AD160)/((1000*(Transfer!AC301)/Transfer!AC160)))-1))</f>
        <v>1.8542623498307487</v>
      </c>
      <c r="AP280" s="2113">
        <f>IF(Transfer!AE160=-9999,1000*(Transfer!AE301)/Transfer!AE159,1000*(Transfer!AE301)/Transfer!AE160)</f>
        <v>80.130584210151042</v>
      </c>
      <c r="AQ280" s="2114">
        <f>IF(Transfer!AE160=-9999,100*(((1000*(Transfer!AE301)/Transfer!AE159)/((1000*(Transfer!AD301)/Transfer!AD159)))-1),100*(((1000*(Transfer!AE301)/Transfer!AE160)/((1000*(Transfer!AD301)/Transfer!AD160)))-1))</f>
        <v>2.5878500249474579</v>
      </c>
      <c r="AR280" s="2113">
        <f>IF(Transfer!AF160=-9999,1000*(Transfer!AF301)/Transfer!AF159,1000*(Transfer!AF301)/Transfer!AF160)</f>
        <v>82.004558853082713</v>
      </c>
      <c r="AS280" s="2114">
        <f>IF(Transfer!AF160=-9999,100*(((1000*(Transfer!AF301)/Transfer!AF159)/((1000*(Transfer!AE301)/Transfer!AE159)))-1),100*(((1000*(Transfer!AF301)/Transfer!AF160)/((1000*(Transfer!AE301)/Transfer!AE160)))-1))</f>
        <v>2.338650917628371</v>
      </c>
      <c r="AT280" s="2113">
        <f>IF(Transfer!AG160=-9999,1000*(Transfer!AG301)/Transfer!AG159,1000*(Transfer!AG301)/Transfer!AG160)</f>
        <v>84.248475178047485</v>
      </c>
      <c r="AU280" s="2115">
        <f>IF(Transfer!AG160=-9999,100*(((1000*(Transfer!AG301)/Transfer!AG159)/((1000*(Transfer!AF301)/Transfer!AF159)))-1),100*(((1000*(Transfer!AG301)/Transfer!AG160)/((1000*(Transfer!AF301)/Transfer!AF160)))-1))</f>
        <v>2.7363311946899449</v>
      </c>
      <c r="AV280" s="82"/>
      <c r="AW280" s="334"/>
      <c r="AX280" s="54"/>
      <c r="AY280" s="54"/>
      <c r="AZ280" s="54"/>
      <c r="BA280" s="1698" t="s">
        <v>1677</v>
      </c>
      <c r="BB280" s="1735" t="s">
        <v>1747</v>
      </c>
      <c r="BC280" s="54"/>
    </row>
    <row r="281" spans="1:55">
      <c r="A281" s="45"/>
      <c r="B281" s="1673"/>
      <c r="C281" s="1666" t="str">
        <f>IF(Transfer!D164=-9999,"  4. Compensation of employees per head","  4. Compensation of employees / f.t.e")</f>
        <v xml:space="preserve">  4. Compensation of employees per head</v>
      </c>
      <c r="D281" s="2351"/>
      <c r="E281" s="2521"/>
      <c r="F281" s="1668">
        <f ca="1">IF(Transfer!D164=-9999,1000*(Transfer!D161)/Transfer!D163,1000*(Transfer!D161)/Transfer!D164)</f>
        <v>14.18675940668734</v>
      </c>
      <c r="G281" s="1668">
        <f ca="1">IF(Transfer!D164=-9999,100*(((1000*(Transfer!D161)/Transfer!D163)/((1000*(Transfer!C161)/Transfer!C163)))-1),100*(((1000*(Transfer!D161)/Transfer!D164)/((1000*(Transfer!C161)/Transfer!C164)))-1))</f>
        <v>6.2377553208158742</v>
      </c>
      <c r="H281" s="1668">
        <f ca="1">IF(Transfer!E164=-9999,1000*(Transfer!E161)/Transfer!E163,1000*(Transfer!E161)/Transfer!E164)</f>
        <v>15.481773936393388</v>
      </c>
      <c r="I281" s="1668">
        <f ca="1">IF(Transfer!E164=-9999,100*(((1000*(Transfer!E161)/Transfer!E163)/((1000*(Transfer!D161)/Transfer!D163)))-1),100*(((1000*(Transfer!E161)/Transfer!E164)/((1000*(Transfer!D161)/Transfer!D164)))-1))</f>
        <v>9.1283322186714866</v>
      </c>
      <c r="J281" s="1668">
        <f ca="1">IF(Transfer!F164=-9999,1000*(Transfer!F161)/Transfer!F163,1000*(Transfer!F161)/Transfer!F164)</f>
        <v>16.495359389525113</v>
      </c>
      <c r="K281" s="1668">
        <f ca="1">IF(Transfer!F164=-9999,100*(((1000*(Transfer!F161)/Transfer!F163)/((1000*(Transfer!E161)/Transfer!E163)))-1),100*(((1000*(Transfer!F161)/Transfer!F164)/((1000*(Transfer!E161)/Transfer!E164)))-1))</f>
        <v>6.5469593942917959</v>
      </c>
      <c r="L281" s="1668">
        <f ca="1">IF(Transfer!G164=-9999,1000*(Transfer!G161)/Transfer!G163,1000*(Transfer!G161)/Transfer!G164)</f>
        <v>17.490678494808797</v>
      </c>
      <c r="M281" s="1669">
        <f ca="1">IF(Transfer!G164=-9999,100*(((1000*(Transfer!G161)/Transfer!G163)/((1000*(Transfer!F161)/Transfer!F163)))-1),100*(((1000*(Transfer!G161)/Transfer!G164)/((1000*(Transfer!F161)/Transfer!F164)))-1))</f>
        <v>6.0339340403564146</v>
      </c>
      <c r="N281" s="2368"/>
      <c r="O281" s="334"/>
      <c r="P281" s="54"/>
      <c r="Q281" s="54"/>
      <c r="R281" s="54"/>
      <c r="S281" s="275"/>
      <c r="T281" s="40" t="str">
        <f>IF(Transfer!U164=-9999,"  4. Compensation of employees per head","  4. Compensation of employees / f.t.e")</f>
        <v xml:space="preserve">  4. Compensation of employees / f.t.e</v>
      </c>
      <c r="U281" s="65"/>
      <c r="V281" s="382"/>
      <c r="W281" s="107">
        <f t="shared" ca="1" si="20"/>
        <v>-25.099999999999998</v>
      </c>
      <c r="X281" s="107">
        <f t="shared" ca="1" si="20"/>
        <v>2.4000000000000004</v>
      </c>
      <c r="Y281" s="107">
        <f t="shared" ca="1" si="20"/>
        <v>-25.5</v>
      </c>
      <c r="Z281" s="107">
        <f t="shared" ca="1" si="20"/>
        <v>4.8</v>
      </c>
      <c r="AA281" s="107">
        <f t="shared" ca="1" si="20"/>
        <v>-26.1</v>
      </c>
      <c r="AB281" s="107">
        <f t="shared" ca="1" si="20"/>
        <v>2.7</v>
      </c>
      <c r="AC281" s="107">
        <f t="shared" ca="1" si="20"/>
        <v>-26.9</v>
      </c>
      <c r="AD281" s="93">
        <f t="shared" ca="1" si="20"/>
        <v>1.5999999999999996</v>
      </c>
      <c r="AE281" s="82"/>
      <c r="AF281" s="45"/>
      <c r="AG281" s="45"/>
      <c r="AH281" s="45"/>
      <c r="AI281" s="45"/>
      <c r="AJ281" s="275"/>
      <c r="AK281" s="40" t="str">
        <f>IF(Transfer!AL164=-9999,"  4. Compensation of employees per head","  4. Compensation of employees / f.t.e")</f>
        <v xml:space="preserve">  4. Compensation of employees per head</v>
      </c>
      <c r="AL281" s="65"/>
      <c r="AM281" s="382"/>
      <c r="AN281" s="1982">
        <f>IF(Transfer!AD164=-9999,1000*(Transfer!AD161)/Transfer!AD163,1000*(Transfer!AD161)/Transfer!AD164)</f>
        <v>39.303898829733761</v>
      </c>
      <c r="AO281" s="1982">
        <f>IF(Transfer!AD164=-9999,100*(((1000*(Transfer!AD161)/Transfer!AD163)/((1000*(Transfer!AC161)/Transfer!AC163)))-1),100*(((1000*(Transfer!AD161)/Transfer!AD164)/((1000*(Transfer!AC161)/Transfer!AC164)))-1))</f>
        <v>3.7697775426545954</v>
      </c>
      <c r="AP281" s="1982">
        <f>IF(Transfer!AE164=-9999,1000*(Transfer!AE161)/Transfer!AE163,1000*(Transfer!AE161)/Transfer!AE164)</f>
        <v>41.008528586088211</v>
      </c>
      <c r="AQ281" s="1982">
        <f>IF(Transfer!AE164=-9999,100*(((1000*(Transfer!AE161)/Transfer!AE163)/((1000*(Transfer!AD161)/Transfer!AD163)))-1),100*(((1000*(Transfer!AE161)/Transfer!AE164)/((1000*(Transfer!AD161)/Transfer!AD164)))-1))</f>
        <v>4.3370500309370952</v>
      </c>
      <c r="AR281" s="1982">
        <f>IF(Transfer!AF164=-9999,1000*(Transfer!AF161)/Transfer!AF163,1000*(Transfer!AF161)/Transfer!AF164)</f>
        <v>42.554855782754693</v>
      </c>
      <c r="AS281" s="1982">
        <f>IF(Transfer!AF164=-9999,100*(((1000*(Transfer!AF161)/Transfer!AF163)/((1000*(Transfer!AE161)/Transfer!AE163)))-1),100*(((1000*(Transfer!AF161)/Transfer!AF164)/((1000*(Transfer!AE161)/Transfer!AE164)))-1))</f>
        <v>3.7707453790260193</v>
      </c>
      <c r="AT281" s="1982">
        <f>IF(Transfer!AG164=-9999,1000*(Transfer!AG161)/Transfer!AG163,1000*(Transfer!AG161)/Transfer!AG164)</f>
        <v>44.448382835981548</v>
      </c>
      <c r="AU281" s="1983">
        <f>IF(Transfer!AG164=-9999,100*(((1000*(Transfer!AG161)/Transfer!AG163)/((1000*(Transfer!AF161)/Transfer!AF163)))-1),100*(((1000*(Transfer!AG161)/Transfer!AG164)/((1000*(Transfer!AF161)/Transfer!AF164)))-1))</f>
        <v>4.449614546676961</v>
      </c>
      <c r="AV281" s="82"/>
      <c r="AW281" s="334"/>
      <c r="AX281" s="54"/>
      <c r="AY281" s="54"/>
      <c r="AZ281" s="54"/>
      <c r="BA281" s="1698" t="s">
        <v>944</v>
      </c>
      <c r="BB281" s="1735" t="s">
        <v>1748</v>
      </c>
      <c r="BC281" s="54"/>
    </row>
    <row r="282" spans="1:55">
      <c r="A282" s="45"/>
      <c r="B282" s="1673"/>
      <c r="C282" s="2373" t="str">
        <f>IF(Transfer!D164=-9999,"  4a. - of which, wages and salaries per head","  4a. - of which, wages and salaries / f.t.e")</f>
        <v xml:space="preserve">  4a. - of which, wages and salaries per head</v>
      </c>
      <c r="D282" s="2351"/>
      <c r="E282" s="2521"/>
      <c r="F282" s="1668">
        <f ca="1">IF(Transfer!D164=-9999,1000*(Transfer!D162)/Transfer!D163,1000*(Transfer!D162)/Transfer!D164)</f>
        <v>11.136344590631024</v>
      </c>
      <c r="G282" s="1668">
        <f ca="1">IF(Transfer!D164=-9999,100*(((1000*(Transfer!D162)/Transfer!D163)/((1000*(Transfer!C162)/Transfer!C163)))-1),100*(((1000*(Transfer!D162)/Transfer!D164)/((1000*(Transfer!C162)/Transfer!C164)))-1))</f>
        <v>5.944102003647167</v>
      </c>
      <c r="H282" s="1668">
        <f ca="1">IF(Transfer!E164=-9999,1000*(Transfer!E162)/Transfer!E163,1000*(Transfer!E162)/Transfer!E164)</f>
        <v>12.051892360992221</v>
      </c>
      <c r="I282" s="1668">
        <f ca="1">IF(Transfer!E164=-9999,100*(((1000*(Transfer!E162)/Transfer!E163)/((1000*(Transfer!D162)/Transfer!D163)))-1),100*(((1000*(Transfer!E162)/Transfer!E164)/((1000*(Transfer!D162)/Transfer!D164)))-1))</f>
        <v>8.2212593451126192</v>
      </c>
      <c r="J282" s="1668">
        <f ca="1">IF(Transfer!F164=-9999,1000*(Transfer!F162)/Transfer!F163,1000*(Transfer!F162)/Transfer!F164)</f>
        <v>12.806406894744773</v>
      </c>
      <c r="K282" s="1668">
        <f ca="1">IF(Transfer!F164=-9999,100*(((1000*(Transfer!F162)/Transfer!F163)/((1000*(Transfer!E162)/Transfer!E163)))-1),100*(((1000*(Transfer!F162)/Transfer!F164)/((1000*(Transfer!E162)/Transfer!E164)))-1))</f>
        <v>6.2605482288794034</v>
      </c>
      <c r="L282" s="1668">
        <f ca="1">IF(Transfer!G164=-9999,1000*(Transfer!G162)/Transfer!G163,1000*(Transfer!G162)/Transfer!G164)</f>
        <v>13.568566403468552</v>
      </c>
      <c r="M282" s="1669">
        <f ca="1">IF(Transfer!G164=-9999,100*(((1000*(Transfer!G162)/Transfer!G163)/((1000*(Transfer!F162)/Transfer!F163)))-1),100*(((1000*(Transfer!G162)/Transfer!G164)/((1000*(Transfer!F162)/Transfer!F164)))-1))</f>
        <v>5.9513922600455293</v>
      </c>
      <c r="N282" s="2368"/>
      <c r="O282" s="334"/>
      <c r="P282" s="54"/>
      <c r="Q282" s="54"/>
      <c r="R282" s="54"/>
      <c r="S282" s="275"/>
      <c r="T282" s="86" t="str">
        <f>IF(Transfer!U164=-9999,"  4a. - of which, wages and salaries per head","  4a. - of which, wages and salaries / f.t.e")</f>
        <v xml:space="preserve">  4a. - of which, wages and salaries / f.t.e</v>
      </c>
      <c r="U282" s="65"/>
      <c r="V282" s="382"/>
      <c r="W282" s="107">
        <f t="shared" ca="1" si="20"/>
        <v>-19.200000000000003</v>
      </c>
      <c r="X282" s="107">
        <f t="shared" ca="1" si="20"/>
        <v>3.3000000000000003</v>
      </c>
      <c r="Y282" s="107">
        <f t="shared" ca="1" si="20"/>
        <v>-19.700000000000003</v>
      </c>
      <c r="Z282" s="107">
        <f t="shared" ca="1" si="20"/>
        <v>3.3999999999999995</v>
      </c>
      <c r="AA282" s="107">
        <f t="shared" ca="1" si="20"/>
        <v>-20.3</v>
      </c>
      <c r="AB282" s="107">
        <f t="shared" ca="1" si="20"/>
        <v>2.0999999999999996</v>
      </c>
      <c r="AC282" s="107">
        <f t="shared" ca="1" si="20"/>
        <v>-21.199999999999996</v>
      </c>
      <c r="AD282" s="93">
        <f t="shared" ca="1" si="20"/>
        <v>0.90000000000000036</v>
      </c>
      <c r="AE282" s="82"/>
      <c r="AF282" s="45"/>
      <c r="AG282" s="45"/>
      <c r="AH282" s="45"/>
      <c r="AI282" s="45"/>
      <c r="AJ282" s="275"/>
      <c r="AK282" s="86" t="str">
        <f>IF(Transfer!AL164=-9999,"  4a. - of which, wages and salaries per head","  4a. - of which, wages and salaries / f.t.e")</f>
        <v xml:space="preserve">  4a. - of which, wages and salaries per head</v>
      </c>
      <c r="AL282" s="65"/>
      <c r="AM282" s="382"/>
      <c r="AN282" s="1982">
        <f>IF(Transfer!AD164=-9999,1000*(Transfer!AD162)/Transfer!AD163,1000*(Transfer!AD162)/Transfer!AD164)</f>
        <v>30.339184639650682</v>
      </c>
      <c r="AO282" s="1982">
        <f>IF(Transfer!AD164=-9999,100*(((1000*(Transfer!AD162)/Transfer!AD163)/((1000*(Transfer!AC162)/Transfer!AC163)))-1),100*(((1000*(Transfer!AD162)/Transfer!AD164)/((1000*(Transfer!AC162)/Transfer!AC164)))-1))</f>
        <v>2.5600140313267516</v>
      </c>
      <c r="AP282" s="1982">
        <f>IF(Transfer!AE164=-9999,1000*(Transfer!AE162)/Transfer!AE163,1000*(Transfer!AE162)/Transfer!AE164)</f>
        <v>31.787371523482179</v>
      </c>
      <c r="AQ282" s="1982">
        <f>IF(Transfer!AE164=-9999,100*(((1000*(Transfer!AE162)/Transfer!AE163)/((1000*(Transfer!AD162)/Transfer!AD163)))-1),100*(((1000*(Transfer!AE162)/Transfer!AE164)/((1000*(Transfer!AD162)/Transfer!AD164)))-1))</f>
        <v>4.7733216994198413</v>
      </c>
      <c r="AR282" s="1982">
        <f>IF(Transfer!AF164=-9999,1000*(Transfer!AF162)/Transfer!AF163,1000*(Transfer!AF162)/Transfer!AF164)</f>
        <v>33.13811837313002</v>
      </c>
      <c r="AS282" s="1982">
        <f>IF(Transfer!AF164=-9999,100*(((1000*(Transfer!AF162)/Transfer!AF163)/((1000*(Transfer!AE162)/Transfer!AE163)))-1),100*(((1000*(Transfer!AF162)/Transfer!AF164)/((1000*(Transfer!AE162)/Transfer!AE164)))-1))</f>
        <v>4.2493191003540876</v>
      </c>
      <c r="AT282" s="1982">
        <f>IF(Transfer!AG164=-9999,1000*(Transfer!AG162)/Transfer!AG163,1000*(Transfer!AG162)/Transfer!AG164)</f>
        <v>34.830726391180569</v>
      </c>
      <c r="AU282" s="1983">
        <f>IF(Transfer!AG164=-9999,100*(((1000*(Transfer!AG162)/Transfer!AG163)/((1000*(Transfer!AF162)/Transfer!AF163)))-1),100*(((1000*(Transfer!AG162)/Transfer!AG164)/((1000*(Transfer!AF162)/Transfer!AF164)))-1))</f>
        <v>5.1077372559058754</v>
      </c>
      <c r="AV282" s="82"/>
      <c r="AW282" s="334"/>
      <c r="AX282" s="54"/>
      <c r="AY282" s="54"/>
      <c r="AZ282" s="54"/>
      <c r="BA282" s="1698" t="s">
        <v>1956</v>
      </c>
      <c r="BB282" s="1735" t="s">
        <v>1749</v>
      </c>
      <c r="BC282" s="54"/>
    </row>
    <row r="283" spans="1:55">
      <c r="A283" s="45"/>
      <c r="B283" s="1673"/>
      <c r="C283" s="2373" t="str">
        <f>IF(Transfer!D164=-9999,"  4b. - of which, employers' contribution per head","  4b. - of which, employers' contribution / f.t.e")</f>
        <v xml:space="preserve">  4b. - of which, employers' contribution per head</v>
      </c>
      <c r="D283" s="2392"/>
      <c r="E283" s="2651"/>
      <c r="F283" s="1668">
        <f ca="1">IF(Transfer!D164=-9999,1000*(Transfer!D161-Transfer!D162)/Transfer!D163,1000*(Transfer!D161-Transfer!D162)/Transfer!D164)</f>
        <v>3.0504148160563145</v>
      </c>
      <c r="G283" s="1668">
        <f ca="1">IF(Transfer!D164=-9999,100*(((1000*(Transfer!D161-Transfer!D162)/Transfer!D163)/((1000*(Transfer!C161-Transfer!C162)/Transfer!C163)))-1),100*(((1000*(Transfer!D161-Transfer!D162)/Transfer!D164)/((1000*(Transfer!C161-Transfer!C162)/Transfer!C164)))-1))</f>
        <v>7.3237753314608023</v>
      </c>
      <c r="H283" s="1668">
        <f ca="1">IF(Transfer!E164=-9999,1000*(Transfer!E161-Transfer!E162)/Transfer!E163,1000*(Transfer!E161-Transfer!E162)/Transfer!E164)</f>
        <v>3.4298815754011662</v>
      </c>
      <c r="I283" s="1668">
        <f ca="1">IF(Transfer!E164=-9999,100*(((1000*(Transfer!E161-Transfer!E162)/Transfer!E163)/((1000*(Transfer!D161-Transfer!D162)/Transfer!D163)))-1),100*(((1000*(Transfer!E161-Transfer!E162)/Transfer!E164)/((1000*(Transfer!D161-Transfer!D162)/Transfer!D164)))-1))</f>
        <v>12.439841209381486</v>
      </c>
      <c r="J283" s="1668">
        <f ca="1">IF(Transfer!F164=-9999,1000*(Transfer!F161-Transfer!F162)/Transfer!F163,1000*(Transfer!F161-Transfer!F162)/Transfer!F164)</f>
        <v>3.6889524947803412</v>
      </c>
      <c r="K283" s="1668">
        <f ca="1">IF(Transfer!F164=-9999,100*(((1000*(Transfer!F161-Transfer!F162)/Transfer!F163)/((1000*(Transfer!E161-Transfer!E162)/Transfer!E163)))-1),100*(((1000*(Transfer!F161-Transfer!F162)/Transfer!F164)/((1000*(Transfer!E161-Transfer!E162)/Transfer!E164)))-1))</f>
        <v>7.5533488163909368</v>
      </c>
      <c r="L283" s="1668">
        <f ca="1">IF(Transfer!G164=-9999,1000*(Transfer!G161-Transfer!G162)/Transfer!G163,1000*(Transfer!G161-Transfer!G162)/Transfer!G164)</f>
        <v>3.9221120913402454</v>
      </c>
      <c r="M283" s="1669">
        <f ca="1">IF(Transfer!G164=-9999,100*(((1000*(Transfer!G161-Transfer!G162)/Transfer!G163)/((1000*(Transfer!F161-Transfer!F162)/Transfer!F163)))-1),100*(((1000*(Transfer!G161-Transfer!G162)/Transfer!G164)/((1000*(Transfer!F161-Transfer!F162)/Transfer!F164)))-1))</f>
        <v>6.3204824917049374</v>
      </c>
      <c r="N283" s="2390"/>
      <c r="O283" s="334"/>
      <c r="P283" s="54"/>
      <c r="Q283" s="54"/>
      <c r="R283" s="54"/>
      <c r="S283" s="275"/>
      <c r="T283" s="86" t="str">
        <f>IF(Transfer!U164=-9999,"  4b. - of which, employers' contribution per head","  4b. - of which, employers' contribution / f.t.e")</f>
        <v xml:space="preserve">  4b. - of which, employers' contribution / f.t.e</v>
      </c>
      <c r="U283" s="102"/>
      <c r="V283" s="383"/>
      <c r="W283" s="107">
        <f t="shared" ca="1" si="20"/>
        <v>-5.9</v>
      </c>
      <c r="X283" s="107">
        <f t="shared" ca="1" si="20"/>
        <v>-0.79999999999999982</v>
      </c>
      <c r="Y283" s="107">
        <f t="shared" ca="1" si="20"/>
        <v>-5.7999999999999989</v>
      </c>
      <c r="Z283" s="107">
        <f t="shared" ca="1" si="20"/>
        <v>9.5</v>
      </c>
      <c r="AA283" s="107">
        <f t="shared" ca="1" si="20"/>
        <v>-5.7</v>
      </c>
      <c r="AB283" s="107">
        <f t="shared" ca="1" si="20"/>
        <v>5.5</v>
      </c>
      <c r="AC283" s="107">
        <f t="shared" ca="1" si="20"/>
        <v>-5.6999999999999993</v>
      </c>
      <c r="AD283" s="93">
        <f t="shared" ca="1" si="20"/>
        <v>4.1999999999999993</v>
      </c>
      <c r="AE283" s="103"/>
      <c r="AF283" s="45"/>
      <c r="AG283" s="45"/>
      <c r="AH283" s="45"/>
      <c r="AI283" s="45"/>
      <c r="AJ283" s="275"/>
      <c r="AK283" s="86" t="str">
        <f>IF(Transfer!AL164=-9999,"  4b. - of which, employers' contribution per head","  4b. - of which, employers' contribution / f.t.e")</f>
        <v xml:space="preserve">  4b. - of which, employers' contribution per head</v>
      </c>
      <c r="AL283" s="102"/>
      <c r="AM283" s="383"/>
      <c r="AN283" s="1982">
        <f>IF(Transfer!AD164=-9999,1000*(Transfer!AD161-Transfer!AD162)/Transfer!AD163,1000*(Transfer!AD161-Transfer!AD162)/Transfer!AD164)</f>
        <v>8.9647141900830718</v>
      </c>
      <c r="AO283" s="1982">
        <f>IF(Transfer!AD164=-9999,100*(((1000*(Transfer!AD161-Transfer!AD162)/Transfer!AD163)/((1000*(Transfer!AC161-Transfer!AC162)/Transfer!AC163)))-1),100*(((1000*(Transfer!AD161-Transfer!AD162)/Transfer!AD164)/((1000*(Transfer!AC161-Transfer!AC162)/Transfer!AC164)))-1))</f>
        <v>8.0845043388864557</v>
      </c>
      <c r="AP283" s="1982">
        <f>IF(Transfer!AE164=-9999,1000*(Transfer!AE161-Transfer!AE162)/Transfer!AE163,1000*(Transfer!AE161-Transfer!AE162)/Transfer!AE164)</f>
        <v>9.2211570626060286</v>
      </c>
      <c r="AQ283" s="1982">
        <f>IF(Transfer!AE164=-9999,100*(((1000*(Transfer!AE161-Transfer!AE162)/Transfer!AE163)/((1000*(Transfer!AD161-Transfer!AD162)/Transfer!AD163)))-1),100*(((1000*(Transfer!AE161-Transfer!AE162)/Transfer!AE164)/((1000*(Transfer!AD161-Transfer!AD162)/Transfer!AD164)))-1))</f>
        <v>2.8605805727374811</v>
      </c>
      <c r="AR283" s="1982">
        <f>IF(Transfer!AF164=-9999,1000*(Transfer!AF161-Transfer!AF162)/Transfer!AF163,1000*(Transfer!AF161-Transfer!AF162)/Transfer!AF164)</f>
        <v>9.4167374096246768</v>
      </c>
      <c r="AS283" s="1982">
        <f>IF(Transfer!AF164=-9999,100*(((1000*(Transfer!AF161-Transfer!AF162)/Transfer!AF163)/((1000*(Transfer!AE161-Transfer!AE162)/Transfer!AE163)))-1),100*(((1000*(Transfer!AF161-Transfer!AF162)/Transfer!AF164)/((1000*(Transfer!AE161-Transfer!AE162)/Transfer!AE164)))-1))</f>
        <v>2.1209957241892452</v>
      </c>
      <c r="AT283" s="1982">
        <f>IF(Transfer!AG164=-9999,1000*(Transfer!AG161-Transfer!AG162)/Transfer!AG163,1000*(Transfer!AG161-Transfer!AG162)/Transfer!AG164)</f>
        <v>9.6176564448009803</v>
      </c>
      <c r="AU283" s="1983">
        <f>IF(Transfer!AG164=-9999,100*(((1000*(Transfer!AG161-Transfer!AG162)/Transfer!AG163)/((1000*(Transfer!AF161-Transfer!AF162)/Transfer!AF163)))-1),100*(((1000*(Transfer!AG161-Transfer!AG162)/Transfer!AG164)/((1000*(Transfer!AF161-Transfer!AF162)/Transfer!AF164)))-1))</f>
        <v>2.1336374418909454</v>
      </c>
      <c r="AV283" s="103"/>
      <c r="AW283" s="334"/>
      <c r="AX283" s="54"/>
      <c r="AY283" s="54"/>
      <c r="AZ283" s="54"/>
      <c r="BA283" s="1698" t="s">
        <v>1957</v>
      </c>
      <c r="BB283" s="1735" t="s">
        <v>1750</v>
      </c>
      <c r="BC283" s="54"/>
    </row>
    <row r="284" spans="1:55" ht="13.5" thickBot="1">
      <c r="A284" s="45"/>
      <c r="B284" s="2634"/>
      <c r="C284" s="2652" t="s">
        <v>1814</v>
      </c>
      <c r="D284" s="2653"/>
      <c r="E284" s="2654"/>
      <c r="F284" s="2655">
        <f ca="1">IF(Transfer!D160=-9999,100*(Transfer!D161/Transfer!D163)/(Transfer!D301/Transfer!D159),100*(Transfer!D161/Transfer!D164)/(Transfer!D301/Transfer!D160))</f>
        <v>55.975044774429989</v>
      </c>
      <c r="G284" s="2656">
        <f ca="1">IF(Transfer!D160=-9999,100*((((Transfer!D161/Transfer!D163)/(Transfer!D301/Transfer!D159))/((Transfer!C161/Transfer!C163)/(Transfer!C301/Transfer!C159)))-1),100*((((Transfer!D161/Transfer!D164)/(Transfer!D301/Transfer!D160))/((Transfer!C161/Transfer!C164)/(Transfer!C301/Transfer!C160)))-1))</f>
        <v>5.863076682845958</v>
      </c>
      <c r="H284" s="2656">
        <f ca="1">IF(Transfer!E160=-9999,100*(Transfer!E161/Transfer!E163)/(Transfer!E301/Transfer!E159),100*(Transfer!E161/Transfer!E164)/(Transfer!E301/Transfer!E160))</f>
        <v>58.525136084510251</v>
      </c>
      <c r="I284" s="2526">
        <f ca="1">IF(Transfer!E160=-9999,100*((((Transfer!E161/Transfer!E163)/(Transfer!E301/Transfer!E159))/((Transfer!D161/Transfer!D163)/(Transfer!D301/Transfer!D159)))-1),100*((((Transfer!E161/Transfer!E164)/(Transfer!E301/Transfer!E160))/((Transfer!D161/Transfer!D164)/(Transfer!D301/Transfer!D160)))-1))</f>
        <v>4.5557646632650606</v>
      </c>
      <c r="J284" s="2656">
        <f ca="1">IF(Transfer!F160=-9999,100*(Transfer!F161/Transfer!F163)/(Transfer!F301/Transfer!F159),100*(Transfer!F161/Transfer!F164)/(Transfer!F301/Transfer!F160))</f>
        <v>60.33012700386552</v>
      </c>
      <c r="K284" s="2526">
        <f ca="1">IF(Transfer!F160=-9999,100*((((Transfer!F161/Transfer!F163)/(Transfer!F301/Transfer!F159))/((Transfer!E161/Transfer!E163)/(Transfer!E301/Transfer!E159)))-1),100*((((Transfer!F161/Transfer!F164)/(Transfer!F301/Transfer!F160))/((Transfer!E161/Transfer!E164)/(Transfer!E301/Transfer!E160)))-1))</f>
        <v>3.0841293845927265</v>
      </c>
      <c r="L284" s="2656">
        <f ca="1">IF(Transfer!G160=-9999,100*(Transfer!G161/Transfer!G163)/(Transfer!G301/Transfer!G159),100*(Transfer!G161/Transfer!G164)/(Transfer!G301/Transfer!G160))</f>
        <v>62.152940444694579</v>
      </c>
      <c r="M284" s="2657">
        <f ca="1">IF(Transfer!G160=-9999,100*((((Transfer!G161/Transfer!G163)/(Transfer!G301/Transfer!G159))/((Transfer!F161/Transfer!F163)/(Transfer!F301/Transfer!F159)))-1),100*((((Transfer!G161/Transfer!G164)/(Transfer!G301/Transfer!G160))/((Transfer!F161/Transfer!F164)/(Transfer!F301/Transfer!F160)))-1))</f>
        <v>3.0213983151606172</v>
      </c>
      <c r="N284" s="2368"/>
      <c r="O284" s="334"/>
      <c r="P284" s="54"/>
      <c r="Q284" s="54"/>
      <c r="R284" s="54"/>
      <c r="S284" s="356"/>
      <c r="T284" s="213" t="s">
        <v>1814</v>
      </c>
      <c r="U284" s="385"/>
      <c r="V284" s="386"/>
      <c r="W284" s="111">
        <f t="shared" ca="1" si="20"/>
        <v>5.7000000000000028</v>
      </c>
      <c r="X284" s="111">
        <f t="shared" ca="1" si="20"/>
        <v>4</v>
      </c>
      <c r="Y284" s="111">
        <f t="shared" ca="1" si="20"/>
        <v>7.2999999999999972</v>
      </c>
      <c r="Z284" s="111">
        <f t="shared" ca="1" si="20"/>
        <v>2.8999999999999995</v>
      </c>
      <c r="AA284" s="111">
        <f t="shared" ca="1" si="20"/>
        <v>8.3999999999999986</v>
      </c>
      <c r="AB284" s="111">
        <f t="shared" ca="1" si="20"/>
        <v>1.7000000000000002</v>
      </c>
      <c r="AC284" s="111">
        <f t="shared" ca="1" si="20"/>
        <v>9.4000000000000057</v>
      </c>
      <c r="AD284" s="112">
        <f t="shared" ca="1" si="20"/>
        <v>1.3</v>
      </c>
      <c r="AE284" s="82"/>
      <c r="AF284" s="45"/>
      <c r="AG284" s="45"/>
      <c r="AH284" s="45"/>
      <c r="AI284" s="45"/>
      <c r="AJ284" s="356"/>
      <c r="AK284" s="2190" t="s">
        <v>1814</v>
      </c>
      <c r="AL284" s="2191"/>
      <c r="AM284" s="2192"/>
      <c r="AN284" s="2193">
        <f>IF(Transfer!AD160=-9999,100*(Transfer!AD161/Transfer!AD163)/(Transfer!AD301/Transfer!AD159),100*(Transfer!AD161/Transfer!AD164)/(Transfer!AD301/Transfer!AD160))</f>
        <v>50.319144909337162</v>
      </c>
      <c r="AO284" s="2194">
        <f>IF(Transfer!AD160=-9999,100*((((Transfer!AD161/Transfer!AD163)/(Transfer!AD301/Transfer!AD159))/((Transfer!AC161/Transfer!AC163)/(Transfer!AC301/Transfer!AC159)))-1),100*((((Transfer!AD161/Transfer!AD164)/(Transfer!AD301/Transfer!AD160))/((Transfer!AC161/Transfer!AC164)/(Transfer!AC301/Transfer!AC160)))-1))</f>
        <v>1.8806431352325736</v>
      </c>
      <c r="AP284" s="2194">
        <f>IF(Transfer!AE160=-9999,100*(Transfer!AE161/Transfer!AE163)/(Transfer!AE301/Transfer!AE159),100*(Transfer!AE161/Transfer!AE164)/(Transfer!AE301/Transfer!AE160))</f>
        <v>51.177124178377326</v>
      </c>
      <c r="AQ284" s="2179">
        <f>IF(Transfer!AE160=-9999,100*((((Transfer!AE161/Transfer!AE163)/(Transfer!AE301/Transfer!AE159))/((Transfer!AD161/Transfer!AD163)/(Transfer!AD301/Transfer!AD159)))-1),100*((((Transfer!AE161/Transfer!AE164)/(Transfer!AE301/Transfer!AE160))/((Transfer!AD161/Transfer!AD164)/(Transfer!AD301/Transfer!AD160)))-1))</f>
        <v>1.7050752165721939</v>
      </c>
      <c r="AR284" s="2194">
        <f>IF(Transfer!AF160=-9999,100*(Transfer!AF161/Transfer!AF163)/(Transfer!AF301/Transfer!AF159),100*(Transfer!AF161/Transfer!AF164)/(Transfer!AF301/Transfer!AF160))</f>
        <v>51.893280541871945</v>
      </c>
      <c r="AS284" s="2179">
        <f>IF(Transfer!AF160=-9999,100*((((Transfer!AF161/Transfer!AF163)/(Transfer!AF301/Transfer!AF159))/((Transfer!AE161/Transfer!AE163)/(Transfer!AE301/Transfer!AE159)))-1),100*((((Transfer!AF161/Transfer!AF164)/(Transfer!AF301/Transfer!AF160))/((Transfer!AE161/Transfer!AE164)/(Transfer!AE301/Transfer!AE160)))-1))</f>
        <v>1.3993681258807511</v>
      </c>
      <c r="AT284" s="2194">
        <f>IF(Transfer!AG160=-9999,100*(Transfer!AG161/Transfer!AG163)/(Transfer!AG301/Transfer!AG159),100*(Transfer!AG161/Transfer!AG164)/(Transfer!AG301/Transfer!AG160))</f>
        <v>52.758679301964868</v>
      </c>
      <c r="AU284" s="2195">
        <f>IF(Transfer!AG160=-9999,100*((((Transfer!AG161/Transfer!AG163)/(Transfer!AG301/Transfer!AG159))/((Transfer!AF161/Transfer!AF163)/(Transfer!AF301/Transfer!AF159)))-1),100*((((Transfer!AG161/Transfer!AG164)/(Transfer!AG301/Transfer!AG160))/((Transfer!AF161/Transfer!AF164)/(Transfer!AF301/Transfer!AF160)))-1))</f>
        <v>1.6676509001866791</v>
      </c>
      <c r="AV284" s="82"/>
      <c r="AW284" s="334"/>
      <c r="AX284" s="54"/>
      <c r="AY284" s="54"/>
      <c r="AZ284" s="54"/>
      <c r="BA284" s="1701" t="s">
        <v>945</v>
      </c>
      <c r="BB284" s="1998" t="s">
        <v>1751</v>
      </c>
      <c r="BC284" s="54"/>
    </row>
    <row r="285" spans="1:55">
      <c r="A285" s="45"/>
      <c r="B285" s="2658"/>
      <c r="C285" s="2399"/>
      <c r="D285" s="2399"/>
      <c r="E285" s="2399"/>
      <c r="F285" s="2399"/>
      <c r="G285" s="2399"/>
      <c r="H285" s="2399"/>
      <c r="I285" s="2399"/>
      <c r="J285" s="2399"/>
      <c r="K285" s="2399"/>
      <c r="L285" s="2399"/>
      <c r="M285" s="2400" t="str">
        <f>UPPER(Country)</f>
        <v>LITHUANIA</v>
      </c>
      <c r="N285" s="2478"/>
      <c r="O285" s="334"/>
      <c r="P285" s="54"/>
      <c r="Q285" s="54"/>
      <c r="R285" s="54"/>
      <c r="S285" s="387"/>
      <c r="T285" s="116"/>
      <c r="U285" s="116"/>
      <c r="V285" s="116"/>
      <c r="W285" s="116"/>
      <c r="X285" s="116"/>
      <c r="Y285" s="116"/>
      <c r="Z285" s="116"/>
      <c r="AA285" s="116"/>
      <c r="AB285" s="116"/>
      <c r="AC285" s="116"/>
      <c r="AD285" s="118" t="str">
        <f>UPPER(Country)</f>
        <v>LITHUANIA</v>
      </c>
      <c r="AE285" s="216"/>
      <c r="AF285" s="45"/>
      <c r="AG285" s="45"/>
      <c r="AH285" s="45"/>
      <c r="AI285" s="45"/>
      <c r="AJ285" s="387"/>
      <c r="AK285" s="116"/>
      <c r="AL285" s="116"/>
      <c r="AM285" s="116"/>
      <c r="AN285" s="116"/>
      <c r="AO285" s="116"/>
      <c r="AP285" s="116"/>
      <c r="AQ285" s="116"/>
      <c r="AR285" s="116"/>
      <c r="AS285" s="116"/>
      <c r="AT285" s="116"/>
      <c r="AU285" s="118" t="str">
        <f>UPPER(Country)</f>
        <v>LITHUANIA</v>
      </c>
      <c r="AV285" s="216"/>
      <c r="AW285" s="334"/>
      <c r="AX285" s="54"/>
      <c r="AY285" s="54"/>
      <c r="AZ285" s="54"/>
      <c r="BA285" s="334"/>
      <c r="BB285" s="334"/>
      <c r="BC285" s="54"/>
    </row>
    <row r="286" spans="1:55">
      <c r="A286" s="45"/>
      <c r="B286" s="332"/>
      <c r="C286" s="54"/>
      <c r="D286" s="54"/>
      <c r="E286" s="45"/>
      <c r="F286" s="45"/>
      <c r="G286" s="45"/>
      <c r="H286" s="45"/>
      <c r="I286" s="45"/>
      <c r="J286" s="45"/>
      <c r="K286" s="45"/>
      <c r="L286" s="45"/>
      <c r="M286" s="45"/>
      <c r="N286" s="45"/>
      <c r="O286" s="54"/>
      <c r="P286" s="54" t="s">
        <v>1706</v>
      </c>
      <c r="Q286" s="54"/>
      <c r="R286" s="54"/>
      <c r="S286" s="54"/>
      <c r="T286" s="54"/>
      <c r="U286" s="54"/>
      <c r="V286" s="54"/>
      <c r="W286" s="54"/>
      <c r="X286" s="54"/>
      <c r="Y286" s="54"/>
      <c r="Z286" s="54"/>
      <c r="AA286" s="54"/>
      <c r="AB286" s="45"/>
      <c r="AC286" s="45"/>
      <c r="AD286" s="45"/>
      <c r="AE286" s="45"/>
      <c r="AF286" s="45"/>
      <c r="AG286" s="45"/>
      <c r="AH286" s="45"/>
      <c r="AI286" s="45"/>
      <c r="AJ286" s="332"/>
      <c r="AK286" s="54"/>
      <c r="AL286" s="54"/>
      <c r="AM286" s="45"/>
      <c r="AN286" s="45"/>
      <c r="AO286" s="45"/>
      <c r="AP286" s="45"/>
      <c r="AQ286" s="45"/>
      <c r="AR286" s="45"/>
      <c r="AS286" s="45"/>
      <c r="AT286" s="45"/>
      <c r="AU286" s="45"/>
      <c r="AV286" s="45"/>
      <c r="AW286" s="54"/>
      <c r="AX286" s="54"/>
      <c r="AY286" s="54"/>
      <c r="AZ286" s="54"/>
      <c r="BA286" s="54"/>
      <c r="BB286" s="54"/>
      <c r="BC286" s="54"/>
    </row>
    <row r="287" spans="1:55">
      <c r="A287" s="45"/>
      <c r="B287" s="50"/>
      <c r="C287" s="54"/>
      <c r="D287" s="54"/>
      <c r="E287" s="45"/>
      <c r="F287" s="45"/>
      <c r="G287" s="45"/>
      <c r="H287" s="45"/>
      <c r="I287" s="45"/>
      <c r="J287" s="45"/>
      <c r="K287" s="45"/>
      <c r="L287" s="45"/>
      <c r="M287" s="45"/>
      <c r="N287" s="187"/>
      <c r="O287" s="54"/>
      <c r="P287" s="54" t="s">
        <v>1706</v>
      </c>
      <c r="Q287" s="54"/>
      <c r="R287" s="54"/>
      <c r="S287" s="54"/>
      <c r="T287" s="54"/>
      <c r="U287" s="54"/>
      <c r="V287" s="54"/>
      <c r="W287" s="54"/>
      <c r="X287" s="54"/>
      <c r="Y287" s="54"/>
      <c r="Z287" s="54"/>
      <c r="AA287" s="54"/>
      <c r="AB287" s="45"/>
      <c r="AC287" s="45"/>
      <c r="AD287" s="45"/>
      <c r="AE287" s="45"/>
      <c r="AF287" s="45"/>
      <c r="AG287" s="45"/>
      <c r="AH287" s="45"/>
      <c r="AI287" s="45"/>
      <c r="AJ287" s="50"/>
      <c r="AK287" s="54"/>
      <c r="AL287" s="54"/>
      <c r="AM287" s="45"/>
      <c r="AN287" s="45"/>
      <c r="AO287" s="45"/>
      <c r="AP287" s="45"/>
      <c r="AQ287" s="45"/>
      <c r="AR287" s="45"/>
      <c r="AS287" s="45"/>
      <c r="AT287" s="45"/>
      <c r="AU287" s="45"/>
      <c r="AV287" s="187"/>
      <c r="AW287" s="54"/>
      <c r="AX287" s="54"/>
      <c r="AY287" s="54"/>
      <c r="AZ287" s="54"/>
      <c r="BA287" s="54"/>
      <c r="BB287" s="54"/>
      <c r="BC287" s="54"/>
    </row>
    <row r="288" spans="1:55">
      <c r="A288" s="45"/>
      <c r="B288" s="240"/>
      <c r="C288" s="45"/>
      <c r="D288" s="54"/>
      <c r="E288" s="45"/>
      <c r="F288" s="45"/>
      <c r="G288" s="45"/>
      <c r="H288" s="45"/>
      <c r="I288" s="45"/>
      <c r="J288" s="45"/>
      <c r="K288" s="45"/>
      <c r="L288" s="45"/>
      <c r="M288" s="45"/>
      <c r="N288" s="187"/>
      <c r="O288" s="54"/>
      <c r="P288" s="54" t="s">
        <v>1706</v>
      </c>
      <c r="Q288" s="54"/>
      <c r="R288" s="54"/>
      <c r="S288" s="54"/>
      <c r="T288" s="54"/>
      <c r="U288" s="54"/>
      <c r="V288" s="54"/>
      <c r="W288" s="54"/>
      <c r="X288" s="54"/>
      <c r="Y288" s="54"/>
      <c r="Z288" s="54"/>
      <c r="AA288" s="54"/>
      <c r="AB288" s="45"/>
      <c r="AC288" s="45"/>
      <c r="AD288" s="45"/>
      <c r="AE288" s="45"/>
      <c r="AF288" s="45"/>
      <c r="AG288" s="45"/>
      <c r="AH288" s="45"/>
      <c r="AI288" s="45"/>
      <c r="AJ288" s="240"/>
      <c r="AK288" s="45"/>
      <c r="AL288" s="54"/>
      <c r="AM288" s="45"/>
      <c r="AN288" s="45"/>
      <c r="AO288" s="45"/>
      <c r="AP288" s="45"/>
      <c r="AQ288" s="45"/>
      <c r="AR288" s="45"/>
      <c r="AS288" s="45"/>
      <c r="AT288" s="45"/>
      <c r="AU288" s="45"/>
      <c r="AV288" s="187"/>
      <c r="AW288" s="54"/>
      <c r="AX288" s="54"/>
      <c r="AY288" s="54"/>
      <c r="AZ288" s="54"/>
      <c r="BA288" s="54"/>
      <c r="BB288" s="54"/>
      <c r="BC288" s="54"/>
    </row>
    <row r="289" spans="1:55">
      <c r="A289" s="45"/>
      <c r="B289" s="54"/>
      <c r="C289" s="54"/>
      <c r="D289" s="54"/>
      <c r="E289" s="54"/>
      <c r="F289" s="54"/>
      <c r="G289" s="54"/>
      <c r="H289" s="54"/>
      <c r="I289" s="54"/>
      <c r="J289" s="54"/>
      <c r="K289" s="54"/>
      <c r="L289" s="54"/>
      <c r="M289" s="54"/>
      <c r="N289" s="54"/>
      <c r="O289" s="54"/>
      <c r="P289" s="54"/>
      <c r="Q289" s="54"/>
      <c r="R289" s="54"/>
      <c r="S289" s="54"/>
      <c r="T289" s="54"/>
      <c r="U289" s="54"/>
      <c r="V289" s="54"/>
      <c r="W289" s="54"/>
      <c r="X289" s="54"/>
      <c r="Y289" s="54"/>
      <c r="Z289" s="54"/>
      <c r="AA289" s="54"/>
      <c r="AB289" s="45"/>
      <c r="AC289" s="45"/>
      <c r="AD289" s="45"/>
      <c r="AE289" s="45"/>
      <c r="AF289" s="45"/>
      <c r="AG289" s="45"/>
      <c r="AH289" s="45"/>
      <c r="AI289" s="45"/>
      <c r="AJ289" s="54"/>
      <c r="AK289" s="54"/>
      <c r="AL289" s="54"/>
      <c r="AM289" s="54"/>
      <c r="AN289" s="54"/>
      <c r="AO289" s="54"/>
      <c r="AP289" s="54"/>
      <c r="AQ289" s="54"/>
      <c r="AR289" s="54"/>
      <c r="AS289" s="54"/>
      <c r="AT289" s="54"/>
      <c r="AU289" s="54"/>
      <c r="AV289" s="54"/>
      <c r="AW289" s="54"/>
      <c r="AX289" s="54"/>
      <c r="AY289" s="54"/>
      <c r="AZ289" s="54"/>
      <c r="BA289" s="54"/>
      <c r="BB289" s="54"/>
      <c r="BC289" s="54"/>
    </row>
    <row r="290" spans="1:55">
      <c r="A290" s="45"/>
      <c r="B290" s="54"/>
      <c r="C290" s="54"/>
      <c r="D290" s="54"/>
      <c r="E290" s="54"/>
      <c r="F290" s="54"/>
      <c r="G290" s="54"/>
      <c r="H290" s="54"/>
      <c r="I290" s="54"/>
      <c r="J290" s="54"/>
      <c r="K290" s="54"/>
      <c r="L290" s="54"/>
      <c r="M290" s="54"/>
      <c r="N290" s="54"/>
      <c r="O290" s="54"/>
      <c r="P290" s="54"/>
      <c r="Q290" s="54"/>
      <c r="R290" s="54"/>
      <c r="S290" s="54"/>
      <c r="T290" s="54"/>
      <c r="U290" s="54"/>
      <c r="V290" s="54"/>
      <c r="W290" s="54"/>
      <c r="X290" s="54"/>
      <c r="Y290" s="54"/>
      <c r="Z290" s="54"/>
      <c r="AA290" s="54"/>
      <c r="AB290" s="45"/>
      <c r="AC290" s="45"/>
      <c r="AD290" s="45"/>
      <c r="AE290" s="45"/>
      <c r="AF290" s="45"/>
      <c r="AG290" s="45"/>
      <c r="AH290" s="45"/>
      <c r="AI290" s="45"/>
      <c r="AJ290" s="54"/>
      <c r="AK290" s="54"/>
      <c r="AL290" s="54"/>
      <c r="AM290" s="54"/>
      <c r="AN290" s="54"/>
      <c r="AO290" s="54"/>
      <c r="AP290" s="54"/>
      <c r="AQ290" s="54"/>
      <c r="AR290" s="54"/>
      <c r="AS290" s="54"/>
      <c r="AT290" s="54"/>
      <c r="AU290" s="54"/>
      <c r="AV290" s="54"/>
      <c r="AW290" s="54"/>
      <c r="AX290" s="54"/>
      <c r="AY290" s="54"/>
      <c r="AZ290" s="54"/>
      <c r="BA290" s="54"/>
      <c r="BB290" s="54"/>
      <c r="BC290" s="54"/>
    </row>
    <row r="291" spans="1:55">
      <c r="A291" s="45"/>
      <c r="B291" s="54"/>
      <c r="C291" s="54"/>
      <c r="D291" s="54"/>
      <c r="E291" s="54"/>
      <c r="F291" s="54"/>
      <c r="G291" s="54"/>
      <c r="H291" s="54"/>
      <c r="I291" s="54"/>
      <c r="J291" s="54"/>
      <c r="K291" s="54"/>
      <c r="L291" s="54"/>
      <c r="M291" s="54"/>
      <c r="N291" s="54"/>
      <c r="O291" s="54"/>
      <c r="P291" s="54"/>
      <c r="Q291" s="54"/>
      <c r="R291" s="54"/>
      <c r="S291" s="54"/>
      <c r="T291" s="54"/>
      <c r="U291" s="54"/>
      <c r="V291" s="54"/>
      <c r="W291" s="54"/>
      <c r="X291" s="54"/>
      <c r="Y291" s="54"/>
      <c r="Z291" s="54"/>
      <c r="AA291" s="54"/>
      <c r="AB291" s="45"/>
      <c r="AC291" s="45"/>
      <c r="AD291" s="45"/>
      <c r="AE291" s="45"/>
      <c r="AF291" s="45"/>
      <c r="AG291" s="45"/>
      <c r="AH291" s="45"/>
      <c r="AI291" s="45"/>
      <c r="AJ291" s="54"/>
      <c r="AK291" s="54"/>
      <c r="AL291" s="54"/>
      <c r="AM291" s="54"/>
      <c r="AN291" s="54"/>
      <c r="AO291" s="54"/>
      <c r="AP291" s="54"/>
      <c r="AQ291" s="54"/>
      <c r="AR291" s="54"/>
      <c r="AS291" s="54"/>
      <c r="AT291" s="54"/>
      <c r="AU291" s="54"/>
      <c r="AV291" s="54"/>
      <c r="AW291" s="54"/>
      <c r="AX291" s="54"/>
      <c r="AY291" s="54"/>
      <c r="AZ291" s="54"/>
      <c r="BA291" s="54"/>
      <c r="BB291" s="54"/>
      <c r="BC291" s="54"/>
    </row>
    <row r="292" spans="1:55">
      <c r="A292" s="45"/>
      <c r="B292" s="54"/>
      <c r="C292" s="54"/>
      <c r="D292" s="54"/>
      <c r="E292" s="54"/>
      <c r="F292" s="54"/>
      <c r="G292" s="54"/>
      <c r="H292" s="54"/>
      <c r="I292" s="54"/>
      <c r="J292" s="54"/>
      <c r="K292" s="54"/>
      <c r="L292" s="54"/>
      <c r="M292" s="54"/>
      <c r="N292" s="54"/>
      <c r="O292" s="54"/>
      <c r="P292" s="54"/>
      <c r="Q292" s="54"/>
      <c r="R292" s="54"/>
      <c r="S292" s="54"/>
      <c r="T292" s="54"/>
      <c r="U292" s="54"/>
      <c r="V292" s="54"/>
      <c r="W292" s="54"/>
      <c r="X292" s="54"/>
      <c r="Y292" s="54"/>
      <c r="Z292" s="54"/>
      <c r="AA292" s="54"/>
      <c r="AB292" s="45"/>
      <c r="AC292" s="45"/>
      <c r="AD292" s="45"/>
      <c r="AE292" s="45"/>
      <c r="AF292" s="45"/>
      <c r="AG292" s="45"/>
      <c r="AH292" s="45"/>
      <c r="AI292" s="45"/>
      <c r="AJ292" s="54"/>
      <c r="AK292" s="54"/>
      <c r="AL292" s="54"/>
      <c r="AM292" s="54"/>
      <c r="AN292" s="54"/>
      <c r="AO292" s="54"/>
      <c r="AP292" s="54"/>
      <c r="AQ292" s="54"/>
      <c r="AR292" s="54"/>
      <c r="AS292" s="54"/>
      <c r="AT292" s="54"/>
      <c r="AU292" s="54"/>
      <c r="AV292" s="54"/>
      <c r="AW292" s="54"/>
      <c r="AX292" s="54"/>
      <c r="AY292" s="54"/>
      <c r="AZ292" s="54"/>
      <c r="BA292" s="54"/>
      <c r="BB292" s="54"/>
      <c r="BC292" s="54"/>
    </row>
    <row r="293" spans="1:55">
      <c r="A293" s="45"/>
      <c r="B293" s="54"/>
      <c r="C293" s="54"/>
      <c r="D293" s="54"/>
      <c r="E293" s="54"/>
      <c r="F293" s="54"/>
      <c r="G293" s="54"/>
      <c r="H293" s="54"/>
      <c r="I293" s="54"/>
      <c r="J293" s="54"/>
      <c r="K293" s="54"/>
      <c r="L293" s="54"/>
      <c r="M293" s="54"/>
      <c r="N293" s="54"/>
      <c r="O293" s="54"/>
      <c r="P293" s="54"/>
      <c r="Q293" s="54"/>
      <c r="R293" s="54"/>
      <c r="S293" s="54"/>
      <c r="T293" s="54"/>
      <c r="U293" s="54"/>
      <c r="V293" s="54"/>
      <c r="W293" s="54"/>
      <c r="X293" s="54"/>
      <c r="Y293" s="54"/>
      <c r="Z293" s="54"/>
      <c r="AA293" s="54"/>
      <c r="AB293" s="45"/>
      <c r="AC293" s="45"/>
      <c r="AD293" s="45"/>
      <c r="AE293" s="45"/>
      <c r="AF293" s="45"/>
      <c r="AG293" s="45"/>
      <c r="AH293" s="45"/>
      <c r="AI293" s="45"/>
      <c r="AJ293" s="54"/>
      <c r="AK293" s="54"/>
      <c r="AL293" s="54"/>
      <c r="AM293" s="54"/>
      <c r="AN293" s="54"/>
      <c r="AO293" s="54"/>
      <c r="AP293" s="54"/>
      <c r="AQ293" s="54"/>
      <c r="AR293" s="54"/>
      <c r="AS293" s="54"/>
      <c r="AT293" s="54"/>
      <c r="AU293" s="54"/>
      <c r="AV293" s="54"/>
      <c r="AW293" s="54"/>
      <c r="AX293" s="54"/>
      <c r="AY293" s="54"/>
      <c r="AZ293" s="54"/>
      <c r="BA293" s="54"/>
      <c r="BB293" s="54"/>
      <c r="BC293" s="54"/>
    </row>
    <row r="294" spans="1:55">
      <c r="A294" s="45"/>
      <c r="B294" s="54"/>
      <c r="C294" s="54"/>
      <c r="D294" s="54"/>
      <c r="E294" s="54"/>
      <c r="F294" s="54"/>
      <c r="G294" s="54"/>
      <c r="H294" s="54"/>
      <c r="I294" s="54"/>
      <c r="J294" s="54"/>
      <c r="K294" s="54"/>
      <c r="L294" s="54"/>
      <c r="M294" s="54"/>
      <c r="N294" s="54"/>
      <c r="O294" s="54"/>
      <c r="P294" s="54"/>
      <c r="Q294" s="54"/>
      <c r="R294" s="54"/>
      <c r="S294" s="54"/>
      <c r="T294" s="54"/>
      <c r="U294" s="54"/>
      <c r="V294" s="54"/>
      <c r="W294" s="54"/>
      <c r="X294" s="54"/>
      <c r="Y294" s="54"/>
      <c r="Z294" s="54"/>
      <c r="AA294" s="54"/>
      <c r="AB294" s="45"/>
      <c r="AC294" s="45"/>
      <c r="AD294" s="45"/>
      <c r="AE294" s="45"/>
      <c r="AF294" s="45"/>
      <c r="AG294" s="45"/>
      <c r="AH294" s="45"/>
      <c r="AI294" s="45"/>
      <c r="AJ294" s="54"/>
      <c r="AK294" s="54"/>
      <c r="AL294" s="54"/>
      <c r="AM294" s="54"/>
      <c r="AN294" s="54"/>
      <c r="AO294" s="54"/>
      <c r="AP294" s="54"/>
      <c r="AQ294" s="54"/>
      <c r="AR294" s="54"/>
      <c r="AS294" s="54"/>
      <c r="AT294" s="54"/>
      <c r="AU294" s="54"/>
      <c r="AV294" s="54"/>
      <c r="AW294" s="54"/>
      <c r="AX294" s="54"/>
      <c r="AY294" s="54"/>
      <c r="AZ294" s="54"/>
      <c r="BA294" s="54"/>
      <c r="BB294" s="54"/>
      <c r="BC294" s="54"/>
    </row>
    <row r="295" spans="1:55">
      <c r="A295" s="45"/>
      <c r="B295" s="54"/>
      <c r="C295" s="54"/>
      <c r="D295" s="54"/>
      <c r="E295" s="54"/>
      <c r="F295" s="54"/>
      <c r="G295" s="54"/>
      <c r="H295" s="54"/>
      <c r="I295" s="54"/>
      <c r="J295" s="54"/>
      <c r="K295" s="54"/>
      <c r="L295" s="54"/>
      <c r="M295" s="54"/>
      <c r="N295" s="54"/>
      <c r="O295" s="54"/>
      <c r="P295" s="54"/>
      <c r="Q295" s="54"/>
      <c r="R295" s="54"/>
      <c r="S295" s="54"/>
      <c r="T295" s="54"/>
      <c r="U295" s="54"/>
      <c r="V295" s="54"/>
      <c r="W295" s="54"/>
      <c r="X295" s="54"/>
      <c r="Y295" s="54"/>
      <c r="Z295" s="54"/>
      <c r="AA295" s="54"/>
      <c r="AB295" s="45"/>
      <c r="AC295" s="45"/>
      <c r="AD295" s="45"/>
      <c r="AE295" s="45"/>
      <c r="AF295" s="45"/>
      <c r="AG295" s="45"/>
      <c r="AH295" s="45"/>
      <c r="AI295" s="45"/>
      <c r="AJ295" s="54"/>
      <c r="AK295" s="54"/>
      <c r="AL295" s="54"/>
      <c r="AM295" s="54"/>
      <c r="AN295" s="54"/>
      <c r="AO295" s="54"/>
      <c r="AP295" s="54"/>
      <c r="AQ295" s="54"/>
      <c r="AR295" s="54"/>
      <c r="AS295" s="54"/>
      <c r="AT295" s="54"/>
      <c r="AU295" s="54"/>
      <c r="AV295" s="54"/>
      <c r="AW295" s="54"/>
      <c r="AX295" s="54"/>
      <c r="AY295" s="54"/>
      <c r="AZ295" s="54"/>
      <c r="BA295" s="54"/>
      <c r="BB295" s="54"/>
      <c r="BC295" s="54"/>
    </row>
    <row r="296" spans="1:55">
      <c r="A296" s="45"/>
      <c r="B296" s="2341"/>
      <c r="C296" s="2601" t="s">
        <v>190</v>
      </c>
      <c r="D296" s="2601"/>
      <c r="E296" s="2343"/>
      <c r="F296" s="2343"/>
      <c r="G296" s="2343"/>
      <c r="H296" s="2343"/>
      <c r="I296" s="2343"/>
      <c r="J296" s="2343"/>
      <c r="K296" s="2343"/>
      <c r="L296" s="2343"/>
      <c r="M296" s="2495"/>
      <c r="N296" s="258"/>
      <c r="O296" s="45"/>
      <c r="P296" s="54"/>
      <c r="Q296" s="54"/>
      <c r="R296" s="54"/>
      <c r="S296" s="188"/>
      <c r="T296" s="336" t="s">
        <v>190</v>
      </c>
      <c r="U296" s="336"/>
      <c r="V296" s="100"/>
      <c r="W296" s="100"/>
      <c r="X296" s="100"/>
      <c r="Y296" s="100"/>
      <c r="Z296" s="100"/>
      <c r="AA296" s="100"/>
      <c r="AB296" s="100"/>
      <c r="AC296" s="100"/>
      <c r="AD296" s="238"/>
      <c r="AE296" s="45"/>
      <c r="AF296" s="45"/>
      <c r="AG296" s="45"/>
      <c r="AH296" s="45"/>
      <c r="AI296" s="45"/>
      <c r="AJ296" s="188"/>
      <c r="AK296" s="336" t="s">
        <v>190</v>
      </c>
      <c r="AL296" s="336"/>
      <c r="AM296" s="100"/>
      <c r="AN296" s="100"/>
      <c r="AO296" s="100"/>
      <c r="AP296" s="100"/>
      <c r="AQ296" s="100"/>
      <c r="AR296" s="100"/>
      <c r="AS296" s="100"/>
      <c r="AT296" s="100"/>
      <c r="AU296" s="238"/>
      <c r="AV296" s="258"/>
      <c r="AW296" s="45"/>
      <c r="AX296" s="54"/>
      <c r="AY296" s="54"/>
      <c r="AZ296" s="54"/>
      <c r="BA296" s="54"/>
      <c r="BB296" s="54"/>
      <c r="BC296" s="54"/>
    </row>
    <row r="297" spans="1:55">
      <c r="A297" s="45"/>
      <c r="B297" s="1665"/>
      <c r="C297" s="3752" t="s">
        <v>1771</v>
      </c>
      <c r="D297" s="3752"/>
      <c r="E297" s="3752"/>
      <c r="F297" s="3752"/>
      <c r="G297" s="3752"/>
      <c r="H297" s="3752"/>
      <c r="I297" s="3752"/>
      <c r="J297" s="3752"/>
      <c r="K297" s="3752"/>
      <c r="L297" s="3752"/>
      <c r="M297" s="2530"/>
      <c r="N297" s="258"/>
      <c r="O297" s="45"/>
      <c r="P297" s="54"/>
      <c r="Q297" s="54"/>
      <c r="R297" s="54"/>
      <c r="S297" s="190"/>
      <c r="T297" s="3752" t="s">
        <v>1771</v>
      </c>
      <c r="U297" s="3752"/>
      <c r="V297" s="3752"/>
      <c r="W297" s="3752"/>
      <c r="X297" s="3752"/>
      <c r="Y297" s="3752"/>
      <c r="Z297" s="3752"/>
      <c r="AA297" s="3752"/>
      <c r="AB297" s="3752"/>
      <c r="AC297" s="3752"/>
      <c r="AD297" s="260"/>
      <c r="AE297" s="45"/>
      <c r="AF297" s="45"/>
      <c r="AG297" s="45"/>
      <c r="AH297" s="45"/>
      <c r="AI297" s="45"/>
      <c r="AJ297" s="190"/>
      <c r="AK297" s="3752" t="s">
        <v>1771</v>
      </c>
      <c r="AL297" s="3752"/>
      <c r="AM297" s="3752"/>
      <c r="AN297" s="3752"/>
      <c r="AO297" s="3752"/>
      <c r="AP297" s="3752"/>
      <c r="AQ297" s="3752"/>
      <c r="AR297" s="3752"/>
      <c r="AS297" s="3752"/>
      <c r="AT297" s="3752"/>
      <c r="AU297" s="260"/>
      <c r="AV297" s="258"/>
      <c r="AW297" s="45"/>
      <c r="AX297" s="54"/>
      <c r="AY297" s="54"/>
      <c r="AZ297" s="54"/>
      <c r="BA297" s="54"/>
      <c r="BB297" s="54"/>
      <c r="BC297" s="54"/>
    </row>
    <row r="298" spans="1:55" ht="15.75">
      <c r="A298" s="45"/>
      <c r="B298" s="1665"/>
      <c r="C298" s="2445"/>
      <c r="D298" s="2445"/>
      <c r="E298" s="2351"/>
      <c r="F298" s="2351"/>
      <c r="G298" s="2351"/>
      <c r="H298" s="2351"/>
      <c r="I298" s="2351"/>
      <c r="J298" s="2351"/>
      <c r="K298" s="2351"/>
      <c r="L298" s="2351"/>
      <c r="M298" s="2452"/>
      <c r="N298" s="258"/>
      <c r="O298" s="45"/>
      <c r="P298" s="54"/>
      <c r="Q298" s="54"/>
      <c r="R298" s="54"/>
      <c r="S298" s="190"/>
      <c r="T298" s="1"/>
      <c r="U298" s="1"/>
      <c r="V298" s="65"/>
      <c r="W298" s="2006" t="s">
        <v>390</v>
      </c>
      <c r="X298" s="65"/>
      <c r="Y298" s="65"/>
      <c r="Z298" s="65"/>
      <c r="AA298" s="65"/>
      <c r="AB298" s="65"/>
      <c r="AC298" s="65"/>
      <c r="AD298" s="196"/>
      <c r="AE298" s="45"/>
      <c r="AF298" s="45"/>
      <c r="AG298" s="45"/>
      <c r="AH298" s="45"/>
      <c r="AI298" s="45"/>
      <c r="AJ298" s="190"/>
      <c r="AK298" s="1"/>
      <c r="AL298" s="1"/>
      <c r="AM298" s="65"/>
      <c r="AN298" s="65"/>
      <c r="AO298" s="65"/>
      <c r="AP298" s="65"/>
      <c r="AQ298" s="65"/>
      <c r="AR298" s="65"/>
      <c r="AS298" s="65"/>
      <c r="AT298" s="65"/>
      <c r="AU298" s="196"/>
      <c r="AV298" s="258"/>
      <c r="AW298" s="45"/>
      <c r="AX298" s="54"/>
      <c r="AY298" s="54"/>
      <c r="AZ298" s="54"/>
      <c r="BA298" s="54"/>
      <c r="BB298" s="54"/>
      <c r="BC298" s="54"/>
    </row>
    <row r="299" spans="1:55" ht="15.75">
      <c r="A299" s="45"/>
      <c r="B299" s="1665"/>
      <c r="C299" s="2349" t="str">
        <f>"Country: " &amp;UPPER(Country)</f>
        <v>Country: LITHUANIA</v>
      </c>
      <c r="D299" s="2480"/>
      <c r="E299" s="2351"/>
      <c r="F299" s="2351"/>
      <c r="G299" s="2351"/>
      <c r="H299" s="2351"/>
      <c r="I299" s="2351"/>
      <c r="J299" s="2445"/>
      <c r="K299" s="2445"/>
      <c r="L299" s="2445"/>
      <c r="M299" s="1664"/>
      <c r="N299" s="258"/>
      <c r="O299" s="45"/>
      <c r="P299" s="54"/>
      <c r="Q299" s="54"/>
      <c r="R299" s="54"/>
      <c r="S299" s="190"/>
      <c r="T299" s="63" t="str">
        <f>"Country: " &amp;UPPER(Country)</f>
        <v>Country: LITHUANIA</v>
      </c>
      <c r="U299" s="222"/>
      <c r="V299" s="65"/>
      <c r="W299" s="2006" t="str">
        <f>$T$4</f>
        <v>2nd storage</v>
      </c>
      <c r="X299" s="65"/>
      <c r="Y299" s="65"/>
      <c r="Z299" s="65"/>
      <c r="AA299" s="1"/>
      <c r="AB299" s="1"/>
      <c r="AC299" s="1"/>
      <c r="AD299" s="90"/>
      <c r="AE299" s="45"/>
      <c r="AF299" s="45"/>
      <c r="AG299" s="45"/>
      <c r="AH299" s="45"/>
      <c r="AI299" s="45"/>
      <c r="AJ299" s="190"/>
      <c r="AK299" s="63" t="str">
        <f>"Country: " &amp;UPPER(Country)</f>
        <v>Country: LITHUANIA</v>
      </c>
      <c r="AL299" s="222"/>
      <c r="AM299" s="65"/>
      <c r="AN299" s="65"/>
      <c r="AO299" s="65"/>
      <c r="AP299" s="65"/>
      <c r="AQ299" s="65"/>
      <c r="AR299" s="1"/>
      <c r="AS299" s="1"/>
      <c r="AT299" s="1"/>
      <c r="AU299" s="90"/>
      <c r="AV299" s="258"/>
      <c r="AW299" s="45"/>
      <c r="AX299" s="54"/>
      <c r="AY299" s="54"/>
      <c r="AZ299" s="54"/>
      <c r="BA299" s="54"/>
      <c r="BB299" s="54"/>
      <c r="BC299" s="54"/>
    </row>
    <row r="300" spans="1:55" ht="13.5" thickBot="1">
      <c r="A300" s="45"/>
      <c r="B300" s="1673"/>
      <c r="C300" s="2351" t="s">
        <v>1548</v>
      </c>
      <c r="D300" s="2659"/>
      <c r="E300" s="2351"/>
      <c r="F300" s="2351"/>
      <c r="G300" s="2351"/>
      <c r="H300" s="2351"/>
      <c r="I300" s="2351"/>
      <c r="J300" s="2445"/>
      <c r="K300" s="3790">
        <f ca="1">NOW()</f>
        <v>43335.58773900463</v>
      </c>
      <c r="L300" s="3790"/>
      <c r="M300" s="2602"/>
      <c r="N300" s="54"/>
      <c r="O300" s="54"/>
      <c r="P300" s="54"/>
      <c r="Q300" s="54"/>
      <c r="R300" s="54"/>
      <c r="S300" s="275"/>
      <c r="T300" s="65" t="s">
        <v>1548</v>
      </c>
      <c r="U300" s="388"/>
      <c r="V300" s="65"/>
      <c r="W300" s="65"/>
      <c r="X300" s="65"/>
      <c r="Y300" s="65"/>
      <c r="Z300" s="65"/>
      <c r="AA300" s="1"/>
      <c r="AB300" s="3752">
        <f ca="1">NOW()</f>
        <v>43335.58773900463</v>
      </c>
      <c r="AC300" s="3752"/>
      <c r="AD300" s="337"/>
      <c r="AE300" s="45"/>
      <c r="AF300" s="45"/>
      <c r="AG300" s="45"/>
      <c r="AH300" s="45"/>
      <c r="AI300" s="45"/>
      <c r="AJ300" s="275"/>
      <c r="AK300" s="65" t="s">
        <v>1548</v>
      </c>
      <c r="AL300" s="388"/>
      <c r="AM300" s="65"/>
      <c r="AN300" s="65"/>
      <c r="AO300" s="65"/>
      <c r="AP300" s="65"/>
      <c r="AQ300" s="65"/>
      <c r="AR300" s="1"/>
      <c r="AS300" s="3752">
        <f ca="1">NOW()</f>
        <v>43335.58773900463</v>
      </c>
      <c r="AT300" s="3752"/>
      <c r="AU300" s="337"/>
      <c r="AV300" s="54"/>
      <c r="AW300" s="54"/>
      <c r="AX300" s="54"/>
      <c r="AY300" s="54"/>
      <c r="AZ300" s="54"/>
      <c r="BA300" s="54"/>
      <c r="BB300" s="54"/>
      <c r="BC300" s="54"/>
    </row>
    <row r="301" spans="1:55">
      <c r="A301" s="45"/>
      <c r="B301" s="2660"/>
      <c r="C301" s="2357"/>
      <c r="D301" s="2358"/>
      <c r="E301" s="3752">
        <f>E16</f>
        <v>2016</v>
      </c>
      <c r="F301" s="3752"/>
      <c r="G301" s="3752">
        <f>E301+1</f>
        <v>2017</v>
      </c>
      <c r="H301" s="3752"/>
      <c r="I301" s="3752">
        <f>G301+1</f>
        <v>2018</v>
      </c>
      <c r="J301" s="3752"/>
      <c r="K301" s="3752">
        <f>I301+1</f>
        <v>2019</v>
      </c>
      <c r="L301" s="3752"/>
      <c r="M301" s="2605"/>
      <c r="N301" s="54"/>
      <c r="O301" s="54"/>
      <c r="P301" s="54"/>
      <c r="Q301" s="54"/>
      <c r="R301" s="54"/>
      <c r="S301" s="389"/>
      <c r="T301" s="191"/>
      <c r="U301" s="73"/>
      <c r="V301" s="3752">
        <f>Last_forecast_year - 3</f>
        <v>2016</v>
      </c>
      <c r="W301" s="3752"/>
      <c r="X301" s="3752">
        <f>V301+1</f>
        <v>2017</v>
      </c>
      <c r="Y301" s="3752"/>
      <c r="Z301" s="3752">
        <f>X301+1</f>
        <v>2018</v>
      </c>
      <c r="AA301" s="3752"/>
      <c r="AB301" s="3752">
        <f>Z301+1</f>
        <v>2019</v>
      </c>
      <c r="AC301" s="3752"/>
      <c r="AD301" s="339"/>
      <c r="AE301" s="45"/>
      <c r="AF301" s="45"/>
      <c r="AG301" s="45"/>
      <c r="AH301" s="45"/>
      <c r="AI301" s="45"/>
      <c r="AJ301" s="389"/>
      <c r="AK301" s="191"/>
      <c r="AL301" s="73"/>
      <c r="AM301" s="3752">
        <f>Last_forecast_year - 3</f>
        <v>2016</v>
      </c>
      <c r="AN301" s="3752"/>
      <c r="AO301" s="3752">
        <f>AM301+1</f>
        <v>2017</v>
      </c>
      <c r="AP301" s="3752"/>
      <c r="AQ301" s="3752">
        <f>AO301+1</f>
        <v>2018</v>
      </c>
      <c r="AR301" s="3752"/>
      <c r="AS301" s="3752">
        <f>AQ301+1</f>
        <v>2019</v>
      </c>
      <c r="AT301" s="3752"/>
      <c r="AU301" s="339"/>
      <c r="AV301" s="54"/>
      <c r="AW301" s="54"/>
      <c r="AX301" s="54"/>
      <c r="AY301" s="54"/>
      <c r="AZ301" s="54"/>
      <c r="BA301" s="54"/>
      <c r="BB301" s="54"/>
      <c r="BC301" s="54"/>
    </row>
    <row r="302" spans="1:55">
      <c r="A302" s="45"/>
      <c r="B302" s="1673"/>
      <c r="C302" s="1666"/>
      <c r="D302" s="2351"/>
      <c r="E302" s="2641" t="s">
        <v>298</v>
      </c>
      <c r="F302" s="2642" t="s">
        <v>1170</v>
      </c>
      <c r="G302" s="2641" t="s">
        <v>298</v>
      </c>
      <c r="H302" s="2642" t="s">
        <v>1170</v>
      </c>
      <c r="I302" s="2641" t="s">
        <v>298</v>
      </c>
      <c r="J302" s="2642" t="s">
        <v>1170</v>
      </c>
      <c r="K302" s="2641" t="s">
        <v>298</v>
      </c>
      <c r="L302" s="2643" t="s">
        <v>1170</v>
      </c>
      <c r="M302" s="2661"/>
      <c r="N302" s="54"/>
      <c r="O302" s="54"/>
      <c r="P302" s="54"/>
      <c r="Q302" s="54"/>
      <c r="R302" s="54"/>
      <c r="S302" s="275"/>
      <c r="T302" s="40"/>
      <c r="U302" s="65"/>
      <c r="V302" s="390" t="s">
        <v>298</v>
      </c>
      <c r="W302" s="391" t="s">
        <v>1170</v>
      </c>
      <c r="X302" s="390" t="s">
        <v>298</v>
      </c>
      <c r="Y302" s="391" t="s">
        <v>1170</v>
      </c>
      <c r="Z302" s="390" t="s">
        <v>298</v>
      </c>
      <c r="AA302" s="391" t="s">
        <v>1170</v>
      </c>
      <c r="AB302" s="390" t="s">
        <v>298</v>
      </c>
      <c r="AC302" s="392" t="s">
        <v>1170</v>
      </c>
      <c r="AD302" s="393"/>
      <c r="AE302" s="45"/>
      <c r="AF302" s="45"/>
      <c r="AG302" s="45"/>
      <c r="AH302" s="45"/>
      <c r="AI302" s="45"/>
      <c r="AJ302" s="275"/>
      <c r="AK302" s="40"/>
      <c r="AL302" s="65"/>
      <c r="AM302" s="390" t="s">
        <v>298</v>
      </c>
      <c r="AN302" s="391" t="s">
        <v>1170</v>
      </c>
      <c r="AO302" s="390" t="s">
        <v>298</v>
      </c>
      <c r="AP302" s="391" t="s">
        <v>1170</v>
      </c>
      <c r="AQ302" s="390" t="s">
        <v>298</v>
      </c>
      <c r="AR302" s="391" t="s">
        <v>1170</v>
      </c>
      <c r="AS302" s="390" t="s">
        <v>298</v>
      </c>
      <c r="AT302" s="392" t="s">
        <v>1170</v>
      </c>
      <c r="AU302" s="393"/>
      <c r="AV302" s="54"/>
      <c r="AW302" s="54"/>
      <c r="AX302" s="54"/>
      <c r="AY302" s="54"/>
      <c r="AZ302" s="54"/>
      <c r="BA302" s="54"/>
      <c r="BB302" s="54"/>
      <c r="BC302" s="54"/>
    </row>
    <row r="303" spans="1:55">
      <c r="A303" s="45"/>
      <c r="B303" s="1673"/>
      <c r="C303" s="2384" t="s">
        <v>1772</v>
      </c>
      <c r="D303" s="2343"/>
      <c r="E303" s="2662">
        <f ca="1">Transfer!D175</f>
        <v>2868.2310000000002</v>
      </c>
      <c r="F303" s="2365">
        <f ca="1">100*((Transfer!D175/Transfer!C175)-1)</f>
        <v>-1.2626552974102312</v>
      </c>
      <c r="G303" s="2366">
        <f ca="1">Transfer!E175</f>
        <v>2828.9999999999986</v>
      </c>
      <c r="H303" s="2365">
        <v>-1.3</v>
      </c>
      <c r="I303" s="2662">
        <f ca="1">Transfer!F175</f>
        <v>2803.5389999999989</v>
      </c>
      <c r="J303" s="2365">
        <f ca="1">100*((Transfer!F175/Transfer!E175)-1)</f>
        <v>-0.8999999999999897</v>
      </c>
      <c r="K303" s="2366">
        <f ca="1">Transfer!G175</f>
        <v>2783.9142269999988</v>
      </c>
      <c r="L303" s="2367">
        <f ca="1">100*((Transfer!G175/Transfer!F175)-1)</f>
        <v>-0.70000000000000062</v>
      </c>
      <c r="M303" s="2368"/>
      <c r="N303" s="54"/>
      <c r="O303" s="54"/>
      <c r="P303" s="54"/>
      <c r="Q303" s="54"/>
      <c r="R303" s="54"/>
      <c r="S303" s="275"/>
      <c r="T303" s="2384" t="s">
        <v>1772</v>
      </c>
      <c r="U303" s="1676"/>
      <c r="V303" s="367">
        <f t="shared" ref="V303:AC312" ca="1" si="21">ROUND(E303,1)-ROUND(AM303,1)</f>
        <v>-121.60000000000036</v>
      </c>
      <c r="W303" s="394">
        <f t="shared" ca="1" si="21"/>
        <v>0</v>
      </c>
      <c r="X303" s="394">
        <f t="shared" ca="1" si="21"/>
        <v>-136.90000000000009</v>
      </c>
      <c r="Y303" s="394">
        <f t="shared" si="21"/>
        <v>-0.5</v>
      </c>
      <c r="Z303" s="394">
        <f t="shared" ca="1" si="21"/>
        <v>-141.69999999999982</v>
      </c>
      <c r="AA303" s="394">
        <f t="shared" ca="1" si="21"/>
        <v>-0.20000000000000007</v>
      </c>
      <c r="AB303" s="394">
        <f t="shared" ca="1" si="21"/>
        <v>-158.29999999999973</v>
      </c>
      <c r="AC303" s="368">
        <f t="shared" ca="1" si="21"/>
        <v>-0.6</v>
      </c>
      <c r="AD303" s="364"/>
      <c r="AE303" s="45"/>
      <c r="AF303" s="45"/>
      <c r="AG303" s="45"/>
      <c r="AH303" s="45"/>
      <c r="AI303" s="45"/>
      <c r="AJ303" s="275"/>
      <c r="AK303" s="2384" t="s">
        <v>1772</v>
      </c>
      <c r="AL303" s="57"/>
      <c r="AM303" s="394">
        <f>Transfer!AD175</f>
        <v>2989.8314999999998</v>
      </c>
      <c r="AN303" s="367">
        <f>100*((Transfer!AD175/Transfer!AC175)-1)</f>
        <v>-1.3313266272255708</v>
      </c>
      <c r="AO303" s="395">
        <f>Transfer!AE175</f>
        <v>2965.9128479999999</v>
      </c>
      <c r="AP303" s="367">
        <f>100*((Transfer!AE175/Transfer!AD175)-1)</f>
        <v>-0.79999999999998961</v>
      </c>
      <c r="AQ303" s="394">
        <f>Transfer!AF175</f>
        <v>2945.1514580640001</v>
      </c>
      <c r="AR303" s="367">
        <f>100*((Transfer!AF175/Transfer!AE175)-1)</f>
        <v>-0.70000000000000062</v>
      </c>
      <c r="AS303" s="395">
        <f>Transfer!AG175</f>
        <v>2942.2063066059359</v>
      </c>
      <c r="AT303" s="368">
        <f>100*((Transfer!AG175/Transfer!AF175)-1)</f>
        <v>-0.10000000000001119</v>
      </c>
      <c r="AU303" s="364"/>
      <c r="AV303" s="54"/>
      <c r="AW303" s="54"/>
      <c r="AX303" s="54"/>
      <c r="AY303" s="54"/>
      <c r="AZ303" s="54"/>
      <c r="BA303" s="1670" t="s">
        <v>1690</v>
      </c>
      <c r="BB303" s="1676"/>
      <c r="BC303" s="54"/>
    </row>
    <row r="304" spans="1:55">
      <c r="A304" s="45"/>
      <c r="B304" s="1665"/>
      <c r="C304" s="1666" t="s">
        <v>1809</v>
      </c>
      <c r="D304" s="2351"/>
      <c r="E304" s="2393">
        <f ca="1">Transfer!D176</f>
        <v>1895.9345000000001</v>
      </c>
      <c r="F304" s="2376">
        <f ca="1">100*((Transfer!D176/Transfer!C176)-1)</f>
        <v>-1.8913476408219498</v>
      </c>
      <c r="G304" s="2377">
        <f ca="1">Transfer!E176</f>
        <v>1855.4</v>
      </c>
      <c r="H304" s="2376">
        <f ca="1">100*((Transfer!E176/Transfer!D176)-1)</f>
        <v>-2.1379694287961937</v>
      </c>
      <c r="I304" s="2393">
        <f ca="1">Transfer!F176</f>
        <v>1820.1474000000001</v>
      </c>
      <c r="J304" s="2376">
        <f ca="1">100*((Transfer!F176/Transfer!E176)-1)</f>
        <v>-1.9000000000000017</v>
      </c>
      <c r="K304" s="2377">
        <f ca="1">Transfer!G176</f>
        <v>1787.3847468000001</v>
      </c>
      <c r="L304" s="2378">
        <f ca="1">100*((Transfer!G176/Transfer!F176)-1)</f>
        <v>-1.8000000000000016</v>
      </c>
      <c r="M304" s="2368"/>
      <c r="N304" s="54"/>
      <c r="O304" s="54"/>
      <c r="P304" s="54"/>
      <c r="Q304" s="54"/>
      <c r="R304" s="54"/>
      <c r="S304" s="190"/>
      <c r="T304" s="1666" t="s">
        <v>1809</v>
      </c>
      <c r="U304" s="196"/>
      <c r="V304" s="359">
        <f t="shared" ca="1" si="21"/>
        <v>-108.09999999999991</v>
      </c>
      <c r="W304" s="396">
        <f t="shared" ca="1" si="21"/>
        <v>-0.39999999999999991</v>
      </c>
      <c r="X304" s="396">
        <f t="shared" ca="1" si="21"/>
        <v>-138.59999999999991</v>
      </c>
      <c r="Y304" s="396">
        <f t="shared" ca="1" si="21"/>
        <v>-1.6</v>
      </c>
      <c r="Z304" s="396">
        <f t="shared" ca="1" si="21"/>
        <v>-163.90000000000009</v>
      </c>
      <c r="AA304" s="396">
        <f t="shared" ca="1" si="21"/>
        <v>-1.4</v>
      </c>
      <c r="AB304" s="396">
        <f t="shared" ca="1" si="21"/>
        <v>-188.69999999999982</v>
      </c>
      <c r="AC304" s="360">
        <f t="shared" ca="1" si="21"/>
        <v>-1.4</v>
      </c>
      <c r="AD304" s="364"/>
      <c r="AE304" s="45"/>
      <c r="AF304" s="45"/>
      <c r="AG304" s="45"/>
      <c r="AH304" s="45"/>
      <c r="AI304" s="45"/>
      <c r="AJ304" s="190"/>
      <c r="AK304" s="1666" t="s">
        <v>1809</v>
      </c>
      <c r="AL304" s="65"/>
      <c r="AM304" s="396">
        <f>Transfer!AD176</f>
        <v>2004.0366750000001</v>
      </c>
      <c r="AN304" s="359">
        <f>100*((Transfer!AD176/Transfer!AC176)-1)</f>
        <v>-1.5000000000000013</v>
      </c>
      <c r="AO304" s="397">
        <f>Transfer!AE176</f>
        <v>1994.0164916250001</v>
      </c>
      <c r="AP304" s="359">
        <f>100*((Transfer!AE176/Transfer!AD176)-1)</f>
        <v>-0.50000000000000044</v>
      </c>
      <c r="AQ304" s="396">
        <f>Transfer!AF176</f>
        <v>1984.046409166875</v>
      </c>
      <c r="AR304" s="359">
        <f>100*((Transfer!AF176/Transfer!AE176)-1)</f>
        <v>-0.50000000000000044</v>
      </c>
      <c r="AS304" s="397">
        <f>Transfer!AG176</f>
        <v>1976.1102235302076</v>
      </c>
      <c r="AT304" s="360">
        <f>100*((Transfer!AG176/Transfer!AF176)-1)</f>
        <v>-0.40000000000000036</v>
      </c>
      <c r="AU304" s="364"/>
      <c r="AV304" s="54"/>
      <c r="AW304" s="54"/>
      <c r="AX304" s="54"/>
      <c r="AY304" s="54"/>
      <c r="AZ304" s="54"/>
      <c r="BA304" s="1671" t="s">
        <v>1725</v>
      </c>
      <c r="BB304" s="196"/>
      <c r="BC304" s="54"/>
    </row>
    <row r="305" spans="1:55">
      <c r="A305" s="45"/>
      <c r="B305" s="1665"/>
      <c r="C305" s="1666" t="s">
        <v>1810</v>
      </c>
      <c r="D305" s="2351"/>
      <c r="E305" s="2393">
        <f ca="1">SUM(Transfer!D178,Transfer!D179)</f>
        <v>1478.11</v>
      </c>
      <c r="F305" s="2376">
        <f ca="1">100*((SUM(Transfer!D178,Transfer!D179)/SUM(Transfer!C178,Transfer!C179))-1)</f>
        <v>0.57427857954506223</v>
      </c>
      <c r="G305" s="2377">
        <f ca="1">SUM(Transfer!E178,Transfer!E179)</f>
        <v>1458.72</v>
      </c>
      <c r="H305" s="2376">
        <f ca="1">100*((SUM(Transfer!E178,Transfer!E179)/SUM(Transfer!D178,Transfer!D179))-1)</f>
        <v>-1.3118103524094926</v>
      </c>
      <c r="I305" s="2393">
        <f ca="1">SUM(Transfer!F178,Transfer!F179)</f>
        <v>1443.4231926299999</v>
      </c>
      <c r="J305" s="2376">
        <f ca="1">100*((SUM(Transfer!F178,Transfer!F179)/SUM(Transfer!E178,Transfer!E179))-1)</f>
        <v>-1.0486458929746756</v>
      </c>
      <c r="K305" s="2377">
        <f ca="1">SUM(Transfer!G178,Transfer!G179)</f>
        <v>1439.8948312410075</v>
      </c>
      <c r="L305" s="2378">
        <f ca="1">100*((SUM(Transfer!G178,Transfer!G179)/SUM(Transfer!F178,Transfer!F179))-1)</f>
        <v>-0.24444399999998812</v>
      </c>
      <c r="M305" s="2368"/>
      <c r="N305" s="54"/>
      <c r="O305" s="54"/>
      <c r="P305" s="54"/>
      <c r="Q305" s="54"/>
      <c r="R305" s="54"/>
      <c r="S305" s="190"/>
      <c r="T305" s="1666" t="s">
        <v>1810</v>
      </c>
      <c r="U305" s="196"/>
      <c r="V305" s="359">
        <f t="shared" ca="1" si="21"/>
        <v>5.2999999999999545</v>
      </c>
      <c r="W305" s="396">
        <f t="shared" ca="1" si="21"/>
        <v>1.2</v>
      </c>
      <c r="X305" s="396">
        <f t="shared" ca="1" si="21"/>
        <v>-7.5999999999999091</v>
      </c>
      <c r="Y305" s="396">
        <f t="shared" ca="1" si="21"/>
        <v>-0.9</v>
      </c>
      <c r="Z305" s="396">
        <f t="shared" ca="1" si="21"/>
        <v>-22.199999999999818</v>
      </c>
      <c r="AA305" s="396">
        <f t="shared" ca="1" si="21"/>
        <v>-1</v>
      </c>
      <c r="AB305" s="359">
        <f t="shared" ca="1" si="21"/>
        <v>-30.099999999999909</v>
      </c>
      <c r="AC305" s="360">
        <f t="shared" ca="1" si="21"/>
        <v>-0.5</v>
      </c>
      <c r="AD305" s="364"/>
      <c r="AE305" s="45"/>
      <c r="AF305" s="45"/>
      <c r="AG305" s="45"/>
      <c r="AH305" s="45"/>
      <c r="AI305" s="45"/>
      <c r="AJ305" s="190"/>
      <c r="AK305" s="1666" t="s">
        <v>1810</v>
      </c>
      <c r="AL305" s="65"/>
      <c r="AM305" s="396">
        <f>SUM(Transfer!AD178,Transfer!AD179)</f>
        <v>1472.8</v>
      </c>
      <c r="AN305" s="359">
        <f>100*((SUM(Transfer!AD178,Transfer!AD179)/SUM(Transfer!AC178,Transfer!AC179))-1)</f>
        <v>-0.59596525448323279</v>
      </c>
      <c r="AO305" s="397">
        <f>SUM(Transfer!AE178,Transfer!AE179)</f>
        <v>1466.3196800000001</v>
      </c>
      <c r="AP305" s="359">
        <f>100*((SUM(Transfer!AE178,Transfer!AE179)/SUM(Transfer!AD178,Transfer!AD179))-1)</f>
        <v>-0.43999999999999595</v>
      </c>
      <c r="AQ305" s="396">
        <f>SUM(Transfer!AF178,Transfer!AF179)</f>
        <v>1465.5865201600002</v>
      </c>
      <c r="AR305" s="359">
        <f>100*((SUM(Transfer!AF178,Transfer!AF179)/SUM(Transfer!AE178,Transfer!AE179))-1)</f>
        <v>-4.9999999999994493E-2</v>
      </c>
      <c r="AS305" s="397">
        <f>SUM(Transfer!AG178,Transfer!AG179)</f>
        <v>1469.9832797204801</v>
      </c>
      <c r="AT305" s="360">
        <f>100*((SUM(Transfer!AG178,Transfer!AG179)/SUM(Transfer!AF178,Transfer!AF179))-1)</f>
        <v>0.29999999999998916</v>
      </c>
      <c r="AU305" s="364"/>
      <c r="AV305" s="54"/>
      <c r="AW305" s="54"/>
      <c r="AX305" s="54"/>
      <c r="AY305" s="54"/>
      <c r="AZ305" s="54"/>
      <c r="BA305" s="1671" t="s">
        <v>1726</v>
      </c>
      <c r="BB305" s="196"/>
      <c r="BC305" s="54"/>
    </row>
    <row r="306" spans="1:55">
      <c r="A306" s="45"/>
      <c r="B306" s="1665"/>
      <c r="C306" s="2373" t="s">
        <v>1835</v>
      </c>
      <c r="D306" s="2392"/>
      <c r="E306" s="2393">
        <f ca="1">100*(SUM(Transfer!D178,Transfer!D179))/Transfer!D176</f>
        <v>77.962081495958856</v>
      </c>
      <c r="F306" s="2376"/>
      <c r="G306" s="2377">
        <f ca="1">100*(SUM(Transfer!E178,Transfer!E179))/Transfer!E176</f>
        <v>78.620243613237037</v>
      </c>
      <c r="H306" s="2376"/>
      <c r="I306" s="2393">
        <f ca="1">100*(SUM(Transfer!F178,Transfer!F179))/Transfer!F176</f>
        <v>79.302543993415028</v>
      </c>
      <c r="J306" s="2376"/>
      <c r="K306" s="2377">
        <f ca="1">100*(SUM(Transfer!G178,Transfer!G179))/Transfer!G176</f>
        <v>80.558751204455973</v>
      </c>
      <c r="L306" s="2378"/>
      <c r="M306" s="2390"/>
      <c r="N306" s="54"/>
      <c r="O306" s="54"/>
      <c r="P306" s="54"/>
      <c r="Q306" s="54"/>
      <c r="R306" s="54"/>
      <c r="S306" s="190"/>
      <c r="T306" s="2373" t="s">
        <v>1835</v>
      </c>
      <c r="U306" s="343"/>
      <c r="V306" s="359">
        <f t="shared" ca="1" si="21"/>
        <v>4.5</v>
      </c>
      <c r="W306" s="91"/>
      <c r="X306" s="396">
        <f t="shared" ca="1" si="21"/>
        <v>5.0999999999999943</v>
      </c>
      <c r="Y306" s="91"/>
      <c r="Z306" s="396">
        <f t="shared" ca="1" si="21"/>
        <v>5.3999999999999915</v>
      </c>
      <c r="AA306" s="91"/>
      <c r="AB306" s="396">
        <f t="shared" ca="1" si="21"/>
        <v>6.1999999999999886</v>
      </c>
      <c r="AC306" s="93"/>
      <c r="AD306" s="103"/>
      <c r="AE306" s="45"/>
      <c r="AF306" s="45"/>
      <c r="AG306" s="45"/>
      <c r="AH306" s="45"/>
      <c r="AI306" s="45"/>
      <c r="AJ306" s="190"/>
      <c r="AK306" s="2373" t="s">
        <v>1835</v>
      </c>
      <c r="AL306" s="105"/>
      <c r="AM306" s="396">
        <f>100*(SUM(Transfer!AD178,Transfer!AD179))/Transfer!AD176</f>
        <v>73.491669008502555</v>
      </c>
      <c r="AN306" s="91"/>
      <c r="AO306" s="397">
        <f>100*(SUM(Transfer!AE178,Transfer!AE179))/Transfer!AE176</f>
        <v>73.535985592829277</v>
      </c>
      <c r="AP306" s="91"/>
      <c r="AQ306" s="396">
        <f>100*(SUM(Transfer!AF178,Transfer!AF179))/Transfer!AF176</f>
        <v>73.868560402043087</v>
      </c>
      <c r="AR306" s="91"/>
      <c r="AS306" s="397">
        <f>100*(SUM(Transfer!AG178,Transfer!AG179))/Transfer!AG176</f>
        <v>74.387716951053434</v>
      </c>
      <c r="AT306" s="93"/>
      <c r="AU306" s="103"/>
      <c r="AV306" s="54"/>
      <c r="AW306" s="54"/>
      <c r="AX306" s="54"/>
      <c r="AY306" s="54"/>
      <c r="AZ306" s="54"/>
      <c r="BA306" s="1671" t="s">
        <v>1727</v>
      </c>
      <c r="BB306" s="196"/>
      <c r="BC306" s="54"/>
    </row>
    <row r="307" spans="1:55">
      <c r="A307" s="45"/>
      <c r="B307" s="1665"/>
      <c r="C307" s="2663" t="s">
        <v>778</v>
      </c>
      <c r="D307" s="2353"/>
      <c r="E307" s="2664">
        <f ca="1">Transfer!D179</f>
        <v>1362.11</v>
      </c>
      <c r="F307" s="2560">
        <f ca="1">100*((Transfer!D179/Transfer!C179)-1)</f>
        <v>1.979530872146551</v>
      </c>
      <c r="G307" s="2665">
        <f ca="1">Transfer!E179</f>
        <v>1355.72</v>
      </c>
      <c r="H307" s="2560">
        <f ca="1">100*((Transfer!E179/Transfer!D179)-1)</f>
        <v>-0.46912510737017188</v>
      </c>
      <c r="I307" s="2664">
        <f ca="1">Transfer!F179</f>
        <v>1348.3540524890891</v>
      </c>
      <c r="J307" s="2560">
        <f ca="1">100*((Transfer!F179/Transfer!E179)-1)</f>
        <v>-0.54332365908232871</v>
      </c>
      <c r="K307" s="2665">
        <f ca="1">Transfer!G179</f>
        <v>1344.2656776101294</v>
      </c>
      <c r="L307" s="2587">
        <f ca="1">100*((Transfer!G179/Transfer!F179)-1)</f>
        <v>-0.30321226620059205</v>
      </c>
      <c r="M307" s="2372"/>
      <c r="N307" s="54"/>
      <c r="O307" s="54"/>
      <c r="P307" s="54"/>
      <c r="Q307" s="54"/>
      <c r="R307" s="54"/>
      <c r="S307" s="190"/>
      <c r="T307" s="2663" t="s">
        <v>778</v>
      </c>
      <c r="U307" s="203"/>
      <c r="V307" s="400">
        <f t="shared" ca="1" si="21"/>
        <v>86.099999999999909</v>
      </c>
      <c r="W307" s="399">
        <f ca="1">ROUND(F307,1)-ROUND(AN307,1)</f>
        <v>0.19999999999999996</v>
      </c>
      <c r="X307" s="399">
        <f t="shared" ca="1" si="21"/>
        <v>60.600000000000136</v>
      </c>
      <c r="Y307" s="399">
        <f ca="1">ROUND(H307,1)-ROUND(AP307,1)</f>
        <v>-2</v>
      </c>
      <c r="Z307" s="399">
        <f t="shared" ca="1" si="21"/>
        <v>34.600000000000136</v>
      </c>
      <c r="AA307" s="399">
        <f ca="1">ROUND(J307,1)-ROUND(AR307,1)</f>
        <v>-1.9</v>
      </c>
      <c r="AB307" s="399">
        <f t="shared" ca="1" si="21"/>
        <v>14.099999999999909</v>
      </c>
      <c r="AC307" s="402">
        <f t="shared" ca="1" si="21"/>
        <v>-1.5</v>
      </c>
      <c r="AD307" s="366"/>
      <c r="AE307" s="45"/>
      <c r="AF307" s="45"/>
      <c r="AG307" s="45"/>
      <c r="AH307" s="45"/>
      <c r="AI307" s="45"/>
      <c r="AJ307" s="190"/>
      <c r="AK307" s="2663" t="s">
        <v>778</v>
      </c>
      <c r="AL307" s="67"/>
      <c r="AM307" s="399">
        <f>Transfer!AD179</f>
        <v>1276</v>
      </c>
      <c r="AN307" s="400">
        <f>100*((Transfer!AD179/Transfer!AC179)-1)</f>
        <v>1.7868538608806661</v>
      </c>
      <c r="AO307" s="401">
        <f>Transfer!AE179</f>
        <v>1295.1330168855939</v>
      </c>
      <c r="AP307" s="400">
        <f>100*((Transfer!AE179/Transfer!AD179)-1)</f>
        <v>1.4994527339807107</v>
      </c>
      <c r="AQ307" s="399">
        <f>Transfer!AF179</f>
        <v>1313.8341838591721</v>
      </c>
      <c r="AR307" s="400">
        <f>100*((Transfer!AF179/Transfer!AE179)-1)</f>
        <v>1.443957240666216</v>
      </c>
      <c r="AS307" s="401">
        <f>Transfer!AG179</f>
        <v>1330.1638543846211</v>
      </c>
      <c r="AT307" s="402">
        <f>100*((Transfer!AG179/Transfer!AF179)-1)</f>
        <v>1.2429019374030403</v>
      </c>
      <c r="AU307" s="366"/>
      <c r="AV307" s="54"/>
      <c r="AW307" s="54"/>
      <c r="AX307" s="54"/>
      <c r="AY307" s="54"/>
      <c r="AZ307" s="54"/>
      <c r="BA307" s="1671" t="s">
        <v>1728</v>
      </c>
      <c r="BB307" s="196"/>
      <c r="BC307" s="54"/>
    </row>
    <row r="308" spans="1:55">
      <c r="A308" s="45"/>
      <c r="B308" s="1665"/>
      <c r="C308" s="2373" t="s">
        <v>779</v>
      </c>
      <c r="D308" s="2392"/>
      <c r="E308" s="2393">
        <f ca="1">+IF(Transfer!C183=-9999,Transfer!D163,Transfer!D183)</f>
        <v>1194.1999999999998</v>
      </c>
      <c r="F308" s="2376">
        <f ca="1">IF(Transfer!C183=-9999,100*((Transfer!D163/Transfer!C163)-1),100*((Transfer!D183/Transfer!C183)-1))</f>
        <v>1.8994146458009675</v>
      </c>
      <c r="G308" s="2377">
        <f ca="1">IF(Transfer!D183=-9999,Transfer!E163,Transfer!E183)</f>
        <v>1193.3100000000002</v>
      </c>
      <c r="H308" s="2376">
        <f ca="1">IF(Transfer!D183=-9999,100*((Transfer!E163/Transfer!D163)-1),100*((Transfer!E183/Transfer!D183)-1))</f>
        <v>-7.4526879919578626E-2</v>
      </c>
      <c r="I308" s="2393">
        <f ca="1">IF(Transfer!E183=-9999,Transfer!F163,Transfer!F183)</f>
        <v>1186.7561024890892</v>
      </c>
      <c r="J308" s="2376">
        <f ca="1">IF(Transfer!E183=-9999,100*((Transfer!F163/Transfer!E163)-1),100*((Transfer!F183/Transfer!E183)-1))</f>
        <v>-0.54922002756290222</v>
      </c>
      <c r="K308" s="2377">
        <f ca="1">IF(Transfer!F183=-9999,Transfer!G163,Transfer!G183)</f>
        <v>1184.2837071101296</v>
      </c>
      <c r="L308" s="2378">
        <f ca="1">IF(Transfer!F183=-9999,100*((Transfer!G163/Transfer!F163)-1),100*((Transfer!G183/Transfer!F183)-1))</f>
        <v>-0.2083322237630858</v>
      </c>
      <c r="M308" s="2390"/>
      <c r="N308" s="54"/>
      <c r="O308" s="54"/>
      <c r="P308" s="54"/>
      <c r="Q308" s="54"/>
      <c r="R308" s="54"/>
      <c r="S308" s="190"/>
      <c r="T308" s="2373" t="s">
        <v>779</v>
      </c>
      <c r="U308" s="343"/>
      <c r="V308" s="359">
        <f t="shared" ca="1" si="21"/>
        <v>59.200000000000045</v>
      </c>
      <c r="W308" s="396">
        <f ca="1">ROUND(F308,1)-ROUND(AN308,1)</f>
        <v>0.59999999999999987</v>
      </c>
      <c r="X308" s="396">
        <f t="shared" ca="1" si="21"/>
        <v>37.700000000000045</v>
      </c>
      <c r="Y308" s="396">
        <f ca="1">ROUND(H308,1)-ROUND(AP308,1)</f>
        <v>-1.9000000000000001</v>
      </c>
      <c r="Z308" s="396">
        <f t="shared" ca="1" si="21"/>
        <v>11.099999999999909</v>
      </c>
      <c r="AA308" s="396">
        <f ca="1">ROUND(J308,1)-ROUND(AR308,1)</f>
        <v>-2.2000000000000002</v>
      </c>
      <c r="AB308" s="396">
        <f t="shared" ca="1" si="21"/>
        <v>-9.1000000000001364</v>
      </c>
      <c r="AC308" s="360">
        <f t="shared" ca="1" si="21"/>
        <v>-1.7</v>
      </c>
      <c r="AD308" s="361"/>
      <c r="AE308" s="45"/>
      <c r="AF308" s="45"/>
      <c r="AG308" s="45"/>
      <c r="AH308" s="45"/>
      <c r="AI308" s="45"/>
      <c r="AJ308" s="190"/>
      <c r="AK308" s="2373" t="s">
        <v>779</v>
      </c>
      <c r="AL308" s="105"/>
      <c r="AM308" s="396">
        <f>+IF(Transfer!AC183=-9999,Transfer!AD163,Transfer!AD183)</f>
        <v>1135.03</v>
      </c>
      <c r="AN308" s="359">
        <f>IF(Transfer!AC183=-9999,100*((Transfer!AD163/Transfer!AC163)-1),100*((Transfer!AD183/Transfer!AC183)-1))</f>
        <v>1.2587874246155151</v>
      </c>
      <c r="AO308" s="397">
        <f>IF(Transfer!AD183=-9999,Transfer!AE163,Transfer!AE183)</f>
        <v>1155.5727168855938</v>
      </c>
      <c r="AP308" s="359">
        <f>IF(Transfer!AD183=-9999,100*((Transfer!AE163/Transfer!AD163)-1),100*((Transfer!AE183/Transfer!AD183)-1))</f>
        <v>1.8098831648144742</v>
      </c>
      <c r="AQ308" s="396">
        <f>IF(Transfer!AE183=-9999,Transfer!AF163,Transfer!AF183)</f>
        <v>1175.6694868591721</v>
      </c>
      <c r="AR308" s="359">
        <f>IF(Transfer!AE183=-9999,100*((Transfer!AF163/Transfer!AE163)-1),100*((Transfer!AF183/Transfer!AE183)-1))</f>
        <v>1.7391177275058567</v>
      </c>
      <c r="AS308" s="397">
        <f>IF(Transfer!AF183=-9999,Transfer!AG163,Transfer!AG183)</f>
        <v>1193.380804354621</v>
      </c>
      <c r="AT308" s="360">
        <f>IF(Transfer!AF183=-9999,100*((Transfer!AG163/Transfer!AF163)-1),100*((Transfer!AG183/Transfer!AF183)-1))</f>
        <v>1.5064878091516132</v>
      </c>
      <c r="AU308" s="361"/>
      <c r="AV308" s="54"/>
      <c r="AW308" s="54"/>
      <c r="AX308" s="54"/>
      <c r="AY308" s="54"/>
      <c r="AZ308" s="54"/>
      <c r="BA308" s="1671" t="s">
        <v>1729</v>
      </c>
      <c r="BB308" s="196"/>
      <c r="BC308" s="54"/>
    </row>
    <row r="309" spans="1:55">
      <c r="A309" s="45"/>
      <c r="B309" s="1665"/>
      <c r="C309" s="2373" t="s">
        <v>780</v>
      </c>
      <c r="D309" s="2392"/>
      <c r="E309" s="2393">
        <f ca="1">IF(Transfer!C183=-9999,Transfer!D179-Transfer!D163,Transfer!D179-Transfer!D183)</f>
        <v>167.91000000000008</v>
      </c>
      <c r="F309" s="2376">
        <f ca="1">IF(Transfer!C183=-9999,100*(((Transfer!D179-Transfer!D163)/(Transfer!C179-Transfer!C163))-1),100*(((Transfer!D179-Transfer!D183)/(Transfer!C179-Transfer!C183))-1))</f>
        <v>2.5529835705124571</v>
      </c>
      <c r="G309" s="2377">
        <f ca="1">IF(Transfer!D183=-9999,Transfer!E179-Transfer!E163,Transfer!E179-Transfer!E183)</f>
        <v>162.40999999999985</v>
      </c>
      <c r="H309" s="2376">
        <f ca="1">IF(Transfer!D183=-9999,100*(((Transfer!E179-Transfer!E163)/(Transfer!D179-Transfer!D163))-1),100*(((Transfer!E179-Transfer!E183)/(Transfer!D179-Transfer!D183))-1))</f>
        <v>-3.2755642903937954</v>
      </c>
      <c r="I309" s="2393">
        <f ca="1">IF(Transfer!E183=-9999,Transfer!F179-Transfer!F163,Transfer!F179-Transfer!F183)</f>
        <v>161.59794999999986</v>
      </c>
      <c r="J309" s="2376">
        <f ca="1">IF(Transfer!E183=-9999,100*(((Transfer!F179-Transfer!F163)/(Transfer!E179-Transfer!E163))-1),100*(((Transfer!F179-Transfer!F183)/(Transfer!E179-Transfer!E183))-1))</f>
        <v>-0.50000000000000044</v>
      </c>
      <c r="K309" s="2377">
        <f ca="1">IF(Transfer!F183=-9999,Transfer!G179-Transfer!G163,Transfer!G179-Transfer!G183)</f>
        <v>159.98197049999976</v>
      </c>
      <c r="L309" s="2378">
        <f ca="1">IF(Transfer!F183=-9999,100*(((Transfer!G179-Transfer!G163)/(Transfer!F179-Transfer!F163))-1),100*(((Transfer!G179-Transfer!G183)/(Transfer!F179-Transfer!F183))-1))</f>
        <v>-1.0000000000000564</v>
      </c>
      <c r="M309" s="2390"/>
      <c r="N309" s="54"/>
      <c r="O309" s="54"/>
      <c r="P309" s="54"/>
      <c r="Q309" s="54"/>
      <c r="R309" s="54"/>
      <c r="S309" s="190"/>
      <c r="T309" s="2373" t="s">
        <v>780</v>
      </c>
      <c r="U309" s="343"/>
      <c r="V309" s="359">
        <f t="shared" ca="1" si="21"/>
        <v>26.900000000000006</v>
      </c>
      <c r="W309" s="396">
        <f ca="1">ROUND(F309,1)-ROUND(AN309,1)</f>
        <v>-3.6</v>
      </c>
      <c r="X309" s="396">
        <f t="shared" ca="1" si="21"/>
        <v>22.800000000000011</v>
      </c>
      <c r="Y309" s="396">
        <f ca="1">ROUND(H309,1)-ROUND(AP309,1)</f>
        <v>-2.2999999999999998</v>
      </c>
      <c r="Z309" s="396">
        <f t="shared" ca="1" si="21"/>
        <v>23.400000000000006</v>
      </c>
      <c r="AA309" s="396">
        <f ca="1">ROUND(J309,1)-ROUND(AR309,1)</f>
        <v>0.5</v>
      </c>
      <c r="AB309" s="396">
        <f t="shared" ca="1" si="21"/>
        <v>23.199999999999989</v>
      </c>
      <c r="AC309" s="360">
        <f t="shared" ca="1" si="21"/>
        <v>0</v>
      </c>
      <c r="AD309" s="361"/>
      <c r="AE309" s="45"/>
      <c r="AF309" s="45"/>
      <c r="AG309" s="45"/>
      <c r="AH309" s="45"/>
      <c r="AI309" s="45"/>
      <c r="AJ309" s="190"/>
      <c r="AK309" s="2373" t="s">
        <v>780</v>
      </c>
      <c r="AL309" s="105"/>
      <c r="AM309" s="396">
        <f>IF(Transfer!AC183=-9999,Transfer!AD179-Transfer!AD163,Transfer!AD179-Transfer!AD183)</f>
        <v>140.97000000000003</v>
      </c>
      <c r="AN309" s="359">
        <f>IF(Transfer!AC183=-9999,100*(((Transfer!AD179-Transfer!AD163)/(Transfer!AC179-Transfer!AC163))-1),100*(((Transfer!AD179-Transfer!AD183)/(Transfer!AC179-Transfer!AC183))-1))</f>
        <v>6.2481157672595433</v>
      </c>
      <c r="AO309" s="397">
        <f>IF(Transfer!AD183=-9999,Transfer!AE179-Transfer!AE163,Transfer!AE179-Transfer!AE183)</f>
        <v>139.5603000000001</v>
      </c>
      <c r="AP309" s="359">
        <f>IF(Transfer!AD183=-9999,100*(((Transfer!AE179-Transfer!AE163)/(Transfer!AD179-Transfer!AD163))-1),100*(((Transfer!AE179-Transfer!AE183)/(Transfer!AD179-Transfer!AD183))-1))</f>
        <v>-0.99999999999994538</v>
      </c>
      <c r="AQ309" s="396">
        <f>IF(Transfer!AE183=-9999,Transfer!AF179-Transfer!AF163,Transfer!AF179-Transfer!AF183)</f>
        <v>138.16469699999993</v>
      </c>
      <c r="AR309" s="359">
        <f>IF(Transfer!AE183=-9999,100*(((Transfer!AF179-Transfer!AF163)/(Transfer!AE179-Transfer!AE163))-1),100*(((Transfer!AF179-Transfer!AF183)/(Transfer!AE179-Transfer!AE183))-1))</f>
        <v>-1.0000000000001119</v>
      </c>
      <c r="AS309" s="397">
        <f>IF(Transfer!AF183=-9999,Transfer!AG179-Transfer!AG163,Transfer!AG179-Transfer!AG183)</f>
        <v>136.78305003000014</v>
      </c>
      <c r="AT309" s="360">
        <f>IF(Transfer!AF183=-9999,100*(((Transfer!AG179-Transfer!AG163)/(Transfer!AF179-Transfer!AF163))-1),100*(((Transfer!AG179-Transfer!AG183)/(Transfer!AF179-Transfer!AF183))-1))</f>
        <v>-0.99999999999984546</v>
      </c>
      <c r="AU309" s="361"/>
      <c r="AV309" s="54"/>
      <c r="AW309" s="54"/>
      <c r="AX309" s="54"/>
      <c r="AY309" s="54"/>
      <c r="AZ309" s="54"/>
      <c r="BA309" s="1671" t="s">
        <v>1730</v>
      </c>
      <c r="BB309" s="196"/>
      <c r="BC309" s="54"/>
    </row>
    <row r="310" spans="1:55">
      <c r="A310" s="45"/>
      <c r="B310" s="1665"/>
      <c r="C310" s="2373" t="s">
        <v>482</v>
      </c>
      <c r="D310" s="2392"/>
      <c r="E310" s="2393">
        <f ca="1">100*Transfer!D179/Transfer!D176</f>
        <v>71.843726668827429</v>
      </c>
      <c r="F310" s="2376"/>
      <c r="G310" s="2393">
        <f ca="1">100*Transfer!E179/Transfer!E176</f>
        <v>73.068880025870428</v>
      </c>
      <c r="H310" s="2376"/>
      <c r="I310" s="2393">
        <f ca="1">100*Transfer!F179/Transfer!F176</f>
        <v>74.079387883041178</v>
      </c>
      <c r="J310" s="2376"/>
      <c r="K310" s="2393">
        <f ca="1">100*Transfer!G179/Transfer!G176</f>
        <v>75.208523515533074</v>
      </c>
      <c r="L310" s="2378"/>
      <c r="M310" s="2390"/>
      <c r="N310" s="54"/>
      <c r="O310" s="54"/>
      <c r="P310" s="54"/>
      <c r="Q310" s="54"/>
      <c r="R310" s="54"/>
      <c r="S310" s="190"/>
      <c r="T310" s="2373" t="s">
        <v>482</v>
      </c>
      <c r="U310" s="343"/>
      <c r="V310" s="359">
        <f t="shared" ca="1" si="21"/>
        <v>8.0999999999999943</v>
      </c>
      <c r="W310" s="396"/>
      <c r="X310" s="396">
        <f t="shared" ca="1" si="21"/>
        <v>8.0999999999999943</v>
      </c>
      <c r="Y310" s="396"/>
      <c r="Z310" s="396">
        <f t="shared" ca="1" si="21"/>
        <v>7.8999999999999915</v>
      </c>
      <c r="AA310" s="396"/>
      <c r="AB310" s="396">
        <f t="shared" ca="1" si="21"/>
        <v>7.9000000000000057</v>
      </c>
      <c r="AC310" s="360"/>
      <c r="AD310" s="103"/>
      <c r="AE310" s="45"/>
      <c r="AF310" s="45"/>
      <c r="AG310" s="45"/>
      <c r="AH310" s="45"/>
      <c r="AI310" s="45"/>
      <c r="AJ310" s="190"/>
      <c r="AK310" s="2373" t="s">
        <v>482</v>
      </c>
      <c r="AL310" s="105"/>
      <c r="AM310" s="396">
        <f>100*Transfer!AD179/Transfer!AD176</f>
        <v>63.67148944517195</v>
      </c>
      <c r="AN310" s="91"/>
      <c r="AO310" s="396">
        <f>100*Transfer!AE179/Transfer!AE176</f>
        <v>64.950968175300318</v>
      </c>
      <c r="AP310" s="91"/>
      <c r="AQ310" s="396">
        <f>100*Transfer!AF179/Transfer!AF176</f>
        <v>66.219932043367209</v>
      </c>
      <c r="AR310" s="91"/>
      <c r="AS310" s="396">
        <f>100*Transfer!AG179/Transfer!AG176</f>
        <v>67.312229780804415</v>
      </c>
      <c r="AT310" s="93"/>
      <c r="AU310" s="103"/>
      <c r="AV310" s="54"/>
      <c r="AW310" s="54"/>
      <c r="AX310" s="54"/>
      <c r="AY310" s="54"/>
      <c r="AZ310" s="54"/>
      <c r="BA310" s="1671" t="s">
        <v>1675</v>
      </c>
      <c r="BB310" s="196"/>
      <c r="BC310" s="54"/>
    </row>
    <row r="311" spans="1:55">
      <c r="A311" s="45"/>
      <c r="B311" s="1665"/>
      <c r="C311" s="1666" t="s">
        <v>452</v>
      </c>
      <c r="D311" s="2351"/>
      <c r="E311" s="2393">
        <f ca="1">Transfer!D178</f>
        <v>116</v>
      </c>
      <c r="F311" s="2376">
        <f ca="1">100*((Transfer!D178/Transfer!C178)-1)</f>
        <v>-13.432835820895528</v>
      </c>
      <c r="G311" s="2377">
        <f ca="1">Transfer!E178</f>
        <v>103</v>
      </c>
      <c r="H311" s="2376">
        <f ca="1">100*((Transfer!E178/Transfer!D178)-1)</f>
        <v>-11.206896551724132</v>
      </c>
      <c r="I311" s="2393">
        <f ca="1">Transfer!F178</f>
        <v>95.069140140910804</v>
      </c>
      <c r="J311" s="2376">
        <f ca="1">100*((Transfer!F178/Transfer!E178)-1)</f>
        <v>-7.6998639408632936</v>
      </c>
      <c r="K311" s="2377">
        <f ca="1">Transfer!G178</f>
        <v>95.629153630878136</v>
      </c>
      <c r="L311" s="2378">
        <f ca="1">100*((Transfer!G178/Transfer!F178)-1)</f>
        <v>0.58905917223748272</v>
      </c>
      <c r="M311" s="2368"/>
      <c r="N311" s="54"/>
      <c r="O311" s="54"/>
      <c r="P311" s="54"/>
      <c r="Q311" s="54"/>
      <c r="R311" s="54"/>
      <c r="S311" s="190"/>
      <c r="T311" s="1666" t="s">
        <v>452</v>
      </c>
      <c r="U311" s="196"/>
      <c r="V311" s="359">
        <f t="shared" ca="1" si="21"/>
        <v>-80.800000000000011</v>
      </c>
      <c r="W311" s="396">
        <f ca="1">ROUND(F311,1)-ROUND(AN311,1)</f>
        <v>0.29999999999999893</v>
      </c>
      <c r="X311" s="396">
        <f t="shared" ca="1" si="21"/>
        <v>-68.199999999999989</v>
      </c>
      <c r="Y311" s="396">
        <f ca="1">ROUND(H311,1)-ROUND(AP311,1)</f>
        <v>1.8000000000000007</v>
      </c>
      <c r="Z311" s="396">
        <f t="shared" ca="1" si="21"/>
        <v>-56.700000000000017</v>
      </c>
      <c r="AA311" s="396">
        <f ca="1">ROUND(J311,1)-ROUND(AR311,1)</f>
        <v>3.7</v>
      </c>
      <c r="AB311" s="396">
        <f t="shared" ca="1" si="21"/>
        <v>-44.200000000000017</v>
      </c>
      <c r="AC311" s="360">
        <f t="shared" ca="1" si="21"/>
        <v>8.5</v>
      </c>
      <c r="AD311" s="364"/>
      <c r="AE311" s="45"/>
      <c r="AF311" s="45"/>
      <c r="AG311" s="45"/>
      <c r="AH311" s="45"/>
      <c r="AI311" s="45"/>
      <c r="AJ311" s="190"/>
      <c r="AK311" s="1666" t="s">
        <v>452</v>
      </c>
      <c r="AL311" s="65"/>
      <c r="AM311" s="396">
        <f>Transfer!AD178</f>
        <v>196.8</v>
      </c>
      <c r="AN311" s="359">
        <f>100*((Transfer!AD178/Transfer!AC178)-1)</f>
        <v>-13.695566372845668</v>
      </c>
      <c r="AO311" s="397">
        <f>Transfer!AE178</f>
        <v>171.1866631144062</v>
      </c>
      <c r="AP311" s="359">
        <f>100*((Transfer!AE178/Transfer!AD178)-1)</f>
        <v>-13.0149069540619</v>
      </c>
      <c r="AQ311" s="396">
        <f>Transfer!AF178</f>
        <v>151.75233630082812</v>
      </c>
      <c r="AR311" s="359">
        <f>100*((Transfer!AF178/Transfer!AE178)-1)</f>
        <v>-11.352710812868573</v>
      </c>
      <c r="AS311" s="397">
        <f>Transfer!AG178</f>
        <v>139.81942533585902</v>
      </c>
      <c r="AT311" s="360">
        <f>100*((Transfer!AG178/Transfer!AF178)-1)</f>
        <v>-7.8634116981986635</v>
      </c>
      <c r="AU311" s="364"/>
      <c r="AV311" s="54"/>
      <c r="AW311" s="54"/>
      <c r="AX311" s="54"/>
      <c r="AY311" s="54"/>
      <c r="AZ311" s="54"/>
      <c r="BA311" s="1671" t="s">
        <v>1676</v>
      </c>
      <c r="BB311" s="196"/>
      <c r="BC311" s="54"/>
    </row>
    <row r="312" spans="1:55" ht="13.5" thickBot="1">
      <c r="A312" s="45"/>
      <c r="B312" s="1665"/>
      <c r="C312" s="2666" t="s">
        <v>1827</v>
      </c>
      <c r="D312" s="2667"/>
      <c r="E312" s="2397">
        <f ca="1">100*Transfer!D178/SUM(Transfer!D178,Transfer!D179)</f>
        <v>7.8478597668644419</v>
      </c>
      <c r="F312" s="2668"/>
      <c r="G312" s="2669">
        <f ca="1">100*Transfer!E178/SUM(Transfer!E178,Transfer!E179)</f>
        <v>7.060984973127125</v>
      </c>
      <c r="H312" s="2668"/>
      <c r="I312" s="2397">
        <f ca="1">100*Transfer!F178/SUM(Transfer!F178,Transfer!F179)</f>
        <v>6.5863663980408527</v>
      </c>
      <c r="J312" s="2668"/>
      <c r="K312" s="2669">
        <f ca="1">100*Transfer!G178/SUM(Transfer!G178,Transfer!G179)</f>
        <v>6.6413984935592749</v>
      </c>
      <c r="L312" s="2398"/>
      <c r="M312" s="2390"/>
      <c r="N312" s="54"/>
      <c r="O312" s="54"/>
      <c r="P312" s="54"/>
      <c r="Q312" s="54"/>
      <c r="R312" s="54"/>
      <c r="S312" s="190"/>
      <c r="T312" s="2666" t="s">
        <v>1883</v>
      </c>
      <c r="U312" s="2095"/>
      <c r="V312" s="2065">
        <f t="shared" ca="1" si="21"/>
        <v>-5.6000000000000005</v>
      </c>
      <c r="W312" s="404"/>
      <c r="X312" s="404">
        <f t="shared" ca="1" si="21"/>
        <v>-4.5999999999999996</v>
      </c>
      <c r="Y312" s="404"/>
      <c r="Z312" s="404">
        <f t="shared" ca="1" si="21"/>
        <v>-3.8000000000000007</v>
      </c>
      <c r="AA312" s="404"/>
      <c r="AB312" s="404">
        <f t="shared" ca="1" si="21"/>
        <v>-2.9000000000000004</v>
      </c>
      <c r="AC312" s="2016"/>
      <c r="AD312" s="103"/>
      <c r="AE312" s="45"/>
      <c r="AF312" s="45"/>
      <c r="AG312" s="45"/>
      <c r="AH312" s="45"/>
      <c r="AI312" s="45"/>
      <c r="AJ312" s="190"/>
      <c r="AK312" s="2666" t="s">
        <v>1883</v>
      </c>
      <c r="AL312" s="403"/>
      <c r="AM312" s="404">
        <f>100*Transfer!AD178/SUM(Transfer!AD178,Transfer!AD179)</f>
        <v>13.362303096143402</v>
      </c>
      <c r="AN312" s="405"/>
      <c r="AO312" s="406">
        <f>100*Transfer!AE178/SUM(Transfer!AE178,Transfer!AE179)</f>
        <v>11.674579932965653</v>
      </c>
      <c r="AP312" s="405"/>
      <c r="AQ312" s="404">
        <f>100*Transfer!AF178/SUM(Transfer!AF178,Transfer!AF179)</f>
        <v>10.354375822470113</v>
      </c>
      <c r="AR312" s="405"/>
      <c r="AS312" s="406">
        <f>100*Transfer!AG178/SUM(Transfer!AG178,Transfer!AG179)</f>
        <v>9.5116337216057261</v>
      </c>
      <c r="AT312" s="112"/>
      <c r="AU312" s="103"/>
      <c r="AV312" s="54"/>
      <c r="AW312" s="54"/>
      <c r="AX312" s="54"/>
      <c r="AY312" s="54"/>
      <c r="AZ312" s="54"/>
      <c r="BA312" s="1671" t="s">
        <v>481</v>
      </c>
      <c r="BB312" s="196"/>
      <c r="BC312" s="54"/>
    </row>
    <row r="313" spans="1:55" ht="13.5" thickBot="1">
      <c r="A313" s="45"/>
      <c r="B313" s="1665"/>
      <c r="C313" s="2635"/>
      <c r="D313" s="2445"/>
      <c r="E313" s="2445"/>
      <c r="F313" s="2445"/>
      <c r="G313" s="2445"/>
      <c r="H313" s="2445"/>
      <c r="I313" s="2445"/>
      <c r="J313" s="2445"/>
      <c r="K313" s="2445"/>
      <c r="L313" s="2670"/>
      <c r="M313" s="1664"/>
      <c r="N313" s="54"/>
      <c r="O313" s="54"/>
      <c r="P313" s="54"/>
      <c r="Q313" s="54"/>
      <c r="R313" s="54"/>
      <c r="S313" s="190"/>
      <c r="T313" s="2635"/>
      <c r="U313" s="1"/>
      <c r="V313" s="1"/>
      <c r="W313" s="1"/>
      <c r="X313" s="1"/>
      <c r="Y313" s="1"/>
      <c r="Z313" s="1"/>
      <c r="AA313" s="1"/>
      <c r="AB313" s="1"/>
      <c r="AC313" s="2017"/>
      <c r="AD313" s="90"/>
      <c r="AE313" s="45"/>
      <c r="AF313" s="45"/>
      <c r="AG313" s="45"/>
      <c r="AH313" s="45"/>
      <c r="AI313" s="45"/>
      <c r="AJ313" s="190"/>
      <c r="AK313" s="2635"/>
      <c r="AL313" s="1"/>
      <c r="AM313" s="1"/>
      <c r="AN313" s="1"/>
      <c r="AO313" s="1"/>
      <c r="AP313" s="1"/>
      <c r="AQ313" s="1"/>
      <c r="AR313" s="1"/>
      <c r="AS313" s="1"/>
      <c r="AT313" s="407"/>
      <c r="AU313" s="90"/>
      <c r="AV313" s="54"/>
      <c r="AW313" s="54"/>
      <c r="AX313" s="54"/>
      <c r="AY313" s="54"/>
      <c r="AZ313" s="54"/>
      <c r="BA313" s="1671"/>
      <c r="BB313" s="196"/>
      <c r="BC313" s="54"/>
    </row>
    <row r="314" spans="1:55">
      <c r="A314" s="45"/>
      <c r="B314" s="1665"/>
      <c r="C314" s="2671" t="s">
        <v>574</v>
      </c>
      <c r="D314" s="2532"/>
      <c r="E314" s="2672"/>
      <c r="F314" s="2672"/>
      <c r="G314" s="2672"/>
      <c r="H314" s="2672"/>
      <c r="I314" s="2672"/>
      <c r="J314" s="2672"/>
      <c r="K314" s="2672"/>
      <c r="L314" s="2673"/>
      <c r="M314" s="1664"/>
      <c r="N314" s="54"/>
      <c r="O314" s="54"/>
      <c r="P314" s="54"/>
      <c r="Q314" s="54"/>
      <c r="R314" s="54"/>
      <c r="S314" s="190"/>
      <c r="T314" s="2671" t="s">
        <v>574</v>
      </c>
      <c r="U314" s="263"/>
      <c r="V314" s="408"/>
      <c r="W314" s="408"/>
      <c r="X314" s="408"/>
      <c r="Y314" s="408"/>
      <c r="Z314" s="408"/>
      <c r="AA314" s="408"/>
      <c r="AB314" s="408"/>
      <c r="AC314" s="409"/>
      <c r="AD314" s="90"/>
      <c r="AE314" s="45"/>
      <c r="AF314" s="45"/>
      <c r="AG314" s="45"/>
      <c r="AH314" s="45"/>
      <c r="AI314" s="45"/>
      <c r="AJ314" s="190"/>
      <c r="AK314" s="2671" t="s">
        <v>574</v>
      </c>
      <c r="AL314" s="263"/>
      <c r="AM314" s="408"/>
      <c r="AN314" s="408"/>
      <c r="AO314" s="408"/>
      <c r="AP314" s="408"/>
      <c r="AQ314" s="408"/>
      <c r="AR314" s="408"/>
      <c r="AS314" s="408"/>
      <c r="AT314" s="409"/>
      <c r="AU314" s="90"/>
      <c r="AV314" s="54"/>
      <c r="AW314" s="54"/>
      <c r="AX314" s="54"/>
      <c r="AY314" s="54"/>
      <c r="AZ314" s="54"/>
      <c r="BA314" s="60"/>
      <c r="BB314" s="221"/>
      <c r="BC314" s="54"/>
    </row>
    <row r="315" spans="1:55">
      <c r="A315" s="45"/>
      <c r="B315" s="1665"/>
      <c r="C315" s="2663" t="s">
        <v>960</v>
      </c>
      <c r="D315" s="2353"/>
      <c r="E315" s="2674"/>
      <c r="F315" s="2675"/>
      <c r="G315" s="2676"/>
      <c r="H315" s="2675"/>
      <c r="I315" s="2674"/>
      <c r="J315" s="2675"/>
      <c r="K315" s="2676"/>
      <c r="L315" s="2677"/>
      <c r="M315" s="2372"/>
      <c r="N315" s="54"/>
      <c r="O315" s="54"/>
      <c r="P315" s="54"/>
      <c r="Q315" s="54"/>
      <c r="R315" s="54"/>
      <c r="S315" s="190"/>
      <c r="T315" s="2663" t="s">
        <v>960</v>
      </c>
      <c r="U315" s="67"/>
      <c r="V315" s="410"/>
      <c r="W315" s="411"/>
      <c r="X315" s="412"/>
      <c r="Y315" s="411"/>
      <c r="Z315" s="410"/>
      <c r="AA315" s="411"/>
      <c r="AB315" s="412"/>
      <c r="AC315" s="413"/>
      <c r="AD315" s="366"/>
      <c r="AE315" s="45"/>
      <c r="AF315" s="45"/>
      <c r="AG315" s="45"/>
      <c r="AH315" s="45"/>
      <c r="AI315" s="45"/>
      <c r="AJ315" s="190"/>
      <c r="AK315" s="2663" t="s">
        <v>960</v>
      </c>
      <c r="AL315" s="67"/>
      <c r="AM315" s="410"/>
      <c r="AN315" s="411"/>
      <c r="AO315" s="412"/>
      <c r="AP315" s="411"/>
      <c r="AQ315" s="410"/>
      <c r="AR315" s="411"/>
      <c r="AS315" s="412"/>
      <c r="AT315" s="413"/>
      <c r="AU315" s="366"/>
      <c r="AV315" s="54"/>
      <c r="AW315" s="54"/>
      <c r="AX315" s="54"/>
      <c r="AY315" s="54"/>
      <c r="AZ315" s="54"/>
      <c r="BA315" s="1672" t="s">
        <v>1733</v>
      </c>
      <c r="BB315" s="196"/>
      <c r="BC315" s="54"/>
    </row>
    <row r="316" spans="1:55">
      <c r="A316" s="45"/>
      <c r="B316" s="1665"/>
      <c r="C316" s="2663" t="s">
        <v>961</v>
      </c>
      <c r="D316" s="2353"/>
      <c r="E316" s="2543"/>
      <c r="F316" s="2675"/>
      <c r="G316" s="2579"/>
      <c r="H316" s="2675"/>
      <c r="I316" s="2543"/>
      <c r="J316" s="2675"/>
      <c r="K316" s="2579"/>
      <c r="L316" s="2677"/>
      <c r="M316" s="2372"/>
      <c r="N316" s="54"/>
      <c r="O316" s="54"/>
      <c r="P316" s="54"/>
      <c r="Q316" s="54"/>
      <c r="R316" s="54"/>
      <c r="S316" s="190"/>
      <c r="T316" s="2663" t="s">
        <v>961</v>
      </c>
      <c r="U316" s="67"/>
      <c r="V316" s="414"/>
      <c r="W316" s="411"/>
      <c r="X316" s="70"/>
      <c r="Y316" s="411"/>
      <c r="Z316" s="414"/>
      <c r="AA316" s="411"/>
      <c r="AB316" s="70"/>
      <c r="AC316" s="413"/>
      <c r="AD316" s="366"/>
      <c r="AE316" s="45"/>
      <c r="AF316" s="45"/>
      <c r="AG316" s="45"/>
      <c r="AH316" s="45"/>
      <c r="AI316" s="45"/>
      <c r="AJ316" s="190"/>
      <c r="AK316" s="2663" t="s">
        <v>961</v>
      </c>
      <c r="AL316" s="67"/>
      <c r="AM316" s="414"/>
      <c r="AN316" s="411"/>
      <c r="AO316" s="70"/>
      <c r="AP316" s="411"/>
      <c r="AQ316" s="414"/>
      <c r="AR316" s="411"/>
      <c r="AS316" s="70"/>
      <c r="AT316" s="413"/>
      <c r="AU316" s="366"/>
      <c r="AV316" s="54"/>
      <c r="AW316" s="54"/>
      <c r="AX316" s="54"/>
      <c r="AY316" s="54"/>
      <c r="AZ316" s="54"/>
      <c r="BA316" s="1671" t="s">
        <v>1546</v>
      </c>
      <c r="BB316" s="196"/>
      <c r="BC316" s="54"/>
    </row>
    <row r="317" spans="1:55" ht="13.5" thickBot="1">
      <c r="A317" s="45"/>
      <c r="B317" s="1665"/>
      <c r="C317" s="2678" t="s">
        <v>962</v>
      </c>
      <c r="D317" s="2679"/>
      <c r="E317" s="2680"/>
      <c r="F317" s="2681"/>
      <c r="G317" s="2680"/>
      <c r="H317" s="2681"/>
      <c r="I317" s="2680"/>
      <c r="J317" s="2681"/>
      <c r="K317" s="2680"/>
      <c r="L317" s="2682"/>
      <c r="M317" s="2372"/>
      <c r="N317" s="54"/>
      <c r="O317" s="54"/>
      <c r="P317" s="54"/>
      <c r="Q317" s="54"/>
      <c r="R317" s="54"/>
      <c r="S317" s="190"/>
      <c r="T317" s="2678" t="s">
        <v>962</v>
      </c>
      <c r="U317" s="415"/>
      <c r="V317" s="416"/>
      <c r="W317" s="417"/>
      <c r="X317" s="416"/>
      <c r="Y317" s="417"/>
      <c r="Z317" s="416"/>
      <c r="AA317" s="417"/>
      <c r="AB317" s="416"/>
      <c r="AC317" s="418"/>
      <c r="AD317" s="366"/>
      <c r="AE317" s="45"/>
      <c r="AF317" s="45"/>
      <c r="AG317" s="45"/>
      <c r="AH317" s="45"/>
      <c r="AI317" s="45"/>
      <c r="AJ317" s="190"/>
      <c r="AK317" s="2678" t="s">
        <v>962</v>
      </c>
      <c r="AL317" s="415"/>
      <c r="AM317" s="416"/>
      <c r="AN317" s="417"/>
      <c r="AO317" s="416"/>
      <c r="AP317" s="417"/>
      <c r="AQ317" s="416"/>
      <c r="AR317" s="417"/>
      <c r="AS317" s="416"/>
      <c r="AT317" s="418"/>
      <c r="AU317" s="366"/>
      <c r="AV317" s="54"/>
      <c r="AW317" s="54"/>
      <c r="AX317" s="54"/>
      <c r="AY317" s="54"/>
      <c r="AZ317" s="54"/>
      <c r="BA317" s="1674" t="s">
        <v>1547</v>
      </c>
      <c r="BB317" s="488"/>
      <c r="BC317" s="54"/>
    </row>
    <row r="318" spans="1:55">
      <c r="A318" s="45"/>
      <c r="B318" s="1701"/>
      <c r="C318" s="2545"/>
      <c r="D318" s="2545"/>
      <c r="E318" s="2477"/>
      <c r="F318" s="2477"/>
      <c r="G318" s="2477"/>
      <c r="H318" s="2477"/>
      <c r="I318" s="2477"/>
      <c r="J318" s="2477"/>
      <c r="K318" s="2477"/>
      <c r="L318" s="2400" t="str">
        <f>UPPER(Country)</f>
        <v>LITHUANIA</v>
      </c>
      <c r="M318" s="2478"/>
      <c r="N318" s="54"/>
      <c r="O318" s="54"/>
      <c r="P318" s="54"/>
      <c r="Q318" s="54"/>
      <c r="R318" s="54"/>
      <c r="S318" s="215"/>
      <c r="T318" s="277"/>
      <c r="U318" s="277"/>
      <c r="V318" s="113"/>
      <c r="W318" s="113"/>
      <c r="X318" s="113"/>
      <c r="Y318" s="113"/>
      <c r="Z318" s="113"/>
      <c r="AA318" s="113"/>
      <c r="AB318" s="113"/>
      <c r="AC318" s="118" t="str">
        <f>UPPER(Country)</f>
        <v>LITHUANIA</v>
      </c>
      <c r="AD318" s="216"/>
      <c r="AE318" s="45"/>
      <c r="AF318" s="45"/>
      <c r="AG318" s="45"/>
      <c r="AH318" s="45"/>
      <c r="AI318" s="45"/>
      <c r="AJ318" s="215"/>
      <c r="AK318" s="277"/>
      <c r="AL318" s="277"/>
      <c r="AM318" s="113"/>
      <c r="AN318" s="113"/>
      <c r="AO318" s="113"/>
      <c r="AP318" s="113"/>
      <c r="AQ318" s="113"/>
      <c r="AR318" s="113"/>
      <c r="AS318" s="113"/>
      <c r="AT318" s="118" t="str">
        <f>UPPER(Country)</f>
        <v>LITHUANIA</v>
      </c>
      <c r="AU318" s="216"/>
      <c r="AV318" s="54"/>
      <c r="AW318" s="54"/>
      <c r="AX318" s="54"/>
      <c r="AY318" s="54"/>
      <c r="AZ318" s="54"/>
      <c r="BA318" s="54"/>
      <c r="BB318" s="54"/>
      <c r="BC318" s="54"/>
    </row>
    <row r="319" spans="1:55">
      <c r="A319" s="45"/>
      <c r="B319" s="45"/>
      <c r="C319" s="45"/>
      <c r="D319" s="45"/>
      <c r="E319" s="45"/>
      <c r="F319" s="45"/>
      <c r="G319" s="45"/>
      <c r="H319" s="45"/>
      <c r="I319" s="45"/>
      <c r="J319" s="45"/>
      <c r="K319" s="45"/>
      <c r="L319" s="45"/>
      <c r="M319" s="45"/>
      <c r="N319" s="54"/>
      <c r="O319" s="54"/>
      <c r="P319" s="54"/>
      <c r="Q319" s="54"/>
      <c r="R319" s="54"/>
      <c r="S319" s="54"/>
      <c r="T319" s="54"/>
      <c r="U319" s="54"/>
      <c r="V319" s="54"/>
      <c r="W319" s="54"/>
      <c r="X319" s="54"/>
      <c r="Y319" s="54"/>
      <c r="Z319" s="54"/>
      <c r="AA319" s="54"/>
      <c r="AB319" s="45"/>
      <c r="AC319" s="45"/>
      <c r="AD319" s="45"/>
      <c r="AE319" s="45"/>
      <c r="AF319" s="45"/>
      <c r="AG319" s="45"/>
      <c r="AH319" s="45"/>
      <c r="AI319" s="45"/>
      <c r="AJ319" s="45"/>
      <c r="AK319" s="45"/>
      <c r="AL319" s="45"/>
      <c r="AM319" s="45"/>
      <c r="AN319" s="45"/>
      <c r="AO319" s="45"/>
      <c r="AP319" s="45"/>
      <c r="AQ319" s="45"/>
      <c r="AR319" s="45"/>
      <c r="AS319" s="45"/>
      <c r="AT319" s="45"/>
      <c r="AU319" s="45"/>
      <c r="AV319" s="54"/>
      <c r="AW319" s="54"/>
      <c r="AX319" s="54"/>
      <c r="AY319" s="54"/>
      <c r="AZ319" s="54"/>
      <c r="BA319" s="54"/>
      <c r="BB319" s="54"/>
      <c r="BC319" s="54"/>
    </row>
    <row r="320" spans="1:55">
      <c r="A320" s="45"/>
      <c r="B320" s="45"/>
      <c r="C320" s="45"/>
      <c r="D320" s="45"/>
      <c r="E320" s="1721"/>
      <c r="F320" s="45"/>
      <c r="G320" s="45"/>
      <c r="H320" s="45"/>
      <c r="I320" s="45"/>
      <c r="J320" s="45"/>
      <c r="K320" s="45"/>
      <c r="L320" s="45"/>
      <c r="M320" s="187"/>
      <c r="N320" s="54"/>
      <c r="O320" s="54"/>
      <c r="P320" s="54"/>
      <c r="Q320" s="54"/>
      <c r="R320" s="54"/>
      <c r="S320" s="54"/>
      <c r="T320" s="54"/>
      <c r="U320" s="54"/>
      <c r="V320" s="54"/>
      <c r="W320" s="54"/>
      <c r="X320" s="54"/>
      <c r="Y320" s="54"/>
      <c r="Z320" s="54"/>
      <c r="AA320" s="54"/>
      <c r="AB320" s="45"/>
      <c r="AC320" s="45"/>
      <c r="AD320" s="45"/>
      <c r="AE320" s="45"/>
      <c r="AF320" s="45"/>
      <c r="AG320" s="45"/>
      <c r="AH320" s="45"/>
      <c r="AI320" s="45"/>
      <c r="AJ320" s="45"/>
      <c r="AK320" s="45"/>
      <c r="AL320" s="45"/>
      <c r="AM320" s="45"/>
      <c r="AN320" s="45"/>
      <c r="AO320" s="45"/>
      <c r="AP320" s="45"/>
      <c r="AQ320" s="45"/>
      <c r="AR320" s="45"/>
      <c r="AS320" s="45"/>
      <c r="AT320" s="45"/>
      <c r="AU320" s="187"/>
      <c r="AV320" s="54"/>
      <c r="AW320" s="54"/>
      <c r="AX320" s="54"/>
      <c r="AY320" s="54"/>
      <c r="AZ320" s="54"/>
      <c r="BA320" s="54"/>
      <c r="BB320" s="54"/>
      <c r="BC320" s="54"/>
    </row>
    <row r="321" spans="1:55">
      <c r="A321" s="45"/>
      <c r="B321" s="45"/>
      <c r="C321" s="45"/>
      <c r="D321" s="45"/>
      <c r="E321" s="45"/>
      <c r="F321" s="45"/>
      <c r="G321" s="45"/>
      <c r="H321" s="45"/>
      <c r="I321" s="45"/>
      <c r="J321" s="45"/>
      <c r="K321" s="45"/>
      <c r="L321" s="45"/>
      <c r="M321" s="187"/>
      <c r="N321" s="54"/>
      <c r="O321" s="54"/>
      <c r="P321" s="54"/>
      <c r="Q321" s="54"/>
      <c r="R321" s="54"/>
      <c r="S321" s="54"/>
      <c r="T321" s="54"/>
      <c r="U321" s="54"/>
      <c r="V321" s="54"/>
      <c r="W321" s="54"/>
      <c r="X321" s="54"/>
      <c r="Y321" s="54"/>
      <c r="Z321" s="54"/>
      <c r="AA321" s="54"/>
      <c r="AB321" s="45"/>
      <c r="AC321" s="45"/>
      <c r="AD321" s="45"/>
      <c r="AE321" s="45"/>
      <c r="AF321" s="45"/>
      <c r="AG321" s="45"/>
      <c r="AH321" s="45"/>
      <c r="AI321" s="45"/>
      <c r="AJ321" s="45"/>
      <c r="AK321" s="45"/>
      <c r="AL321" s="45"/>
      <c r="AM321" s="45"/>
      <c r="AN321" s="45"/>
      <c r="AO321" s="45"/>
      <c r="AP321" s="45"/>
      <c r="AQ321" s="45"/>
      <c r="AR321" s="45"/>
      <c r="AS321" s="45"/>
      <c r="AT321" s="45"/>
      <c r="AU321" s="187"/>
      <c r="AV321" s="54"/>
      <c r="AW321" s="54"/>
      <c r="AX321" s="54"/>
      <c r="AY321" s="54"/>
      <c r="AZ321" s="54"/>
      <c r="BA321" s="54"/>
      <c r="BB321" s="54"/>
      <c r="BC321" s="54"/>
    </row>
    <row r="322" spans="1:55">
      <c r="A322" s="45"/>
      <c r="B322" s="45"/>
      <c r="C322" s="45"/>
      <c r="D322" s="45"/>
      <c r="E322" s="45"/>
      <c r="F322" s="45"/>
      <c r="G322" s="45"/>
      <c r="H322" s="45"/>
      <c r="I322" s="45"/>
      <c r="J322" s="45"/>
      <c r="K322" s="45"/>
      <c r="L322" s="45"/>
      <c r="M322" s="187"/>
      <c r="N322" s="54"/>
      <c r="O322" s="54"/>
      <c r="P322" s="54"/>
      <c r="Q322" s="54"/>
      <c r="R322" s="54"/>
      <c r="S322" s="54"/>
      <c r="T322" s="54"/>
      <c r="U322" s="54"/>
      <c r="V322" s="54"/>
      <c r="W322" s="54"/>
      <c r="X322" s="54"/>
      <c r="Y322" s="54"/>
      <c r="Z322" s="54"/>
      <c r="AA322" s="54"/>
      <c r="AB322" s="45"/>
      <c r="AC322" s="45"/>
      <c r="AD322" s="45"/>
      <c r="AE322" s="45"/>
      <c r="AF322" s="45"/>
      <c r="AG322" s="45"/>
      <c r="AH322" s="45"/>
      <c r="AI322" s="45"/>
      <c r="AJ322" s="45"/>
      <c r="AK322" s="45"/>
      <c r="AL322" s="45"/>
      <c r="AM322" s="45"/>
      <c r="AN322" s="45"/>
      <c r="AO322" s="45"/>
      <c r="AP322" s="45"/>
      <c r="AQ322" s="45"/>
      <c r="AR322" s="45"/>
      <c r="AS322" s="45"/>
      <c r="AT322" s="45"/>
      <c r="AU322" s="187"/>
      <c r="AV322" s="54"/>
      <c r="AW322" s="54"/>
      <c r="AX322" s="54"/>
      <c r="AY322" s="54"/>
      <c r="AZ322" s="54"/>
      <c r="BA322" s="54"/>
      <c r="BB322" s="54"/>
      <c r="BC322" s="54"/>
    </row>
    <row r="323" spans="1:55">
      <c r="A323" s="45"/>
      <c r="B323" s="45"/>
      <c r="C323" s="54"/>
      <c r="D323" s="54"/>
      <c r="E323" s="54"/>
      <c r="F323" s="54"/>
      <c r="G323" s="54"/>
      <c r="H323" s="54"/>
      <c r="I323" s="54"/>
      <c r="J323" s="54"/>
      <c r="K323" s="54"/>
      <c r="L323" s="54"/>
      <c r="M323" s="54"/>
      <c r="N323" s="54"/>
      <c r="O323" s="54"/>
      <c r="P323" s="54"/>
      <c r="Q323" s="54"/>
      <c r="R323" s="54"/>
      <c r="S323" s="54"/>
      <c r="T323" s="54"/>
      <c r="U323" s="54"/>
      <c r="V323" s="54"/>
      <c r="W323" s="54"/>
      <c r="X323" s="54"/>
      <c r="Y323" s="54"/>
      <c r="Z323" s="54"/>
      <c r="AA323" s="54"/>
      <c r="AB323" s="45"/>
      <c r="AC323" s="45"/>
      <c r="AD323" s="45"/>
      <c r="AE323" s="45"/>
      <c r="AF323" s="45"/>
      <c r="AG323" s="45"/>
      <c r="AH323" s="45"/>
      <c r="AI323" s="45"/>
      <c r="AJ323" s="45"/>
      <c r="AK323" s="54"/>
      <c r="AL323" s="54"/>
      <c r="AM323" s="54"/>
      <c r="AN323" s="54"/>
      <c r="AO323" s="54"/>
      <c r="AP323" s="54"/>
      <c r="AQ323" s="54"/>
      <c r="AR323" s="54"/>
      <c r="AS323" s="54"/>
      <c r="AT323" s="54"/>
      <c r="AU323" s="54"/>
      <c r="AV323" s="54"/>
      <c r="AW323" s="54"/>
      <c r="AX323" s="54"/>
      <c r="AY323" s="54"/>
      <c r="AZ323" s="54"/>
      <c r="BA323" s="54"/>
      <c r="BB323" s="54"/>
      <c r="BC323" s="54"/>
    </row>
    <row r="324" spans="1:55">
      <c r="A324" s="45"/>
      <c r="B324" s="54"/>
      <c r="C324" s="54"/>
      <c r="D324" s="54"/>
      <c r="E324" s="54"/>
      <c r="F324" s="54"/>
      <c r="G324" s="54"/>
      <c r="H324" s="54"/>
      <c r="I324" s="54"/>
      <c r="J324" s="54"/>
      <c r="K324" s="54"/>
      <c r="L324" s="54"/>
      <c r="M324" s="54"/>
      <c r="N324" s="54"/>
      <c r="O324" s="54"/>
      <c r="P324" s="54"/>
      <c r="Q324" s="54"/>
      <c r="R324" s="54"/>
      <c r="S324" s="54"/>
      <c r="T324" s="54"/>
      <c r="U324" s="54"/>
      <c r="V324" s="54"/>
      <c r="W324" s="54"/>
      <c r="X324" s="54"/>
      <c r="Y324" s="54"/>
      <c r="Z324" s="54"/>
      <c r="AA324" s="54"/>
      <c r="AB324" s="45"/>
      <c r="AC324" s="45"/>
      <c r="AD324" s="45"/>
      <c r="AE324" s="45"/>
      <c r="AF324" s="45"/>
      <c r="AG324" s="45"/>
      <c r="AH324" s="45"/>
      <c r="AI324" s="45"/>
      <c r="AJ324" s="54"/>
      <c r="AK324" s="54"/>
      <c r="AL324" s="54"/>
      <c r="AM324" s="54"/>
      <c r="AN324" s="54"/>
      <c r="AO324" s="54"/>
      <c r="AP324" s="54"/>
      <c r="AQ324" s="54"/>
      <c r="AR324" s="54"/>
      <c r="AS324" s="54"/>
      <c r="AT324" s="54"/>
      <c r="AU324" s="54"/>
      <c r="AV324" s="54"/>
      <c r="AW324" s="54"/>
      <c r="AX324" s="54"/>
      <c r="AY324" s="54"/>
      <c r="AZ324" s="54"/>
      <c r="BA324" s="54"/>
      <c r="BB324" s="54"/>
      <c r="BC324" s="54"/>
    </row>
    <row r="325" spans="1:55">
      <c r="A325" s="45"/>
      <c r="B325" s="54"/>
      <c r="C325" s="54"/>
      <c r="D325" s="54"/>
      <c r="E325" s="54"/>
      <c r="F325" s="54"/>
      <c r="G325" s="54"/>
      <c r="H325" s="54"/>
      <c r="I325" s="54"/>
      <c r="J325" s="54"/>
      <c r="K325" s="54"/>
      <c r="L325" s="54"/>
      <c r="M325" s="54"/>
      <c r="N325" s="54"/>
      <c r="O325" s="54"/>
      <c r="P325" s="54"/>
      <c r="Q325" s="54"/>
      <c r="R325" s="54"/>
      <c r="S325" s="54"/>
      <c r="T325" s="54"/>
      <c r="U325" s="54"/>
      <c r="V325" s="54"/>
      <c r="W325" s="54"/>
      <c r="X325" s="54"/>
      <c r="Y325" s="54"/>
      <c r="Z325" s="54"/>
      <c r="AA325" s="54"/>
      <c r="AB325" s="45"/>
      <c r="AC325" s="45"/>
      <c r="AD325" s="45"/>
      <c r="AE325" s="45"/>
      <c r="AF325" s="45"/>
      <c r="AG325" s="45"/>
      <c r="AH325" s="45"/>
      <c r="AI325" s="45"/>
      <c r="AJ325" s="54"/>
      <c r="AK325" s="54"/>
      <c r="AL325" s="54"/>
      <c r="AM325" s="54"/>
      <c r="AN325" s="54"/>
      <c r="AO325" s="54"/>
      <c r="AP325" s="54"/>
      <c r="AQ325" s="54"/>
      <c r="AR325" s="54"/>
      <c r="AS325" s="54"/>
      <c r="AT325" s="54"/>
      <c r="AU325" s="54"/>
      <c r="AV325" s="54"/>
      <c r="AW325" s="54"/>
      <c r="AX325" s="54"/>
      <c r="AY325" s="54"/>
      <c r="AZ325" s="54"/>
      <c r="BA325" s="54"/>
      <c r="BB325" s="54"/>
      <c r="BC325" s="54"/>
    </row>
    <row r="326" spans="1:55">
      <c r="A326" s="45"/>
      <c r="B326" s="54"/>
      <c r="C326" s="54"/>
      <c r="D326" s="54"/>
      <c r="E326" s="54"/>
      <c r="F326" s="54"/>
      <c r="G326" s="54"/>
      <c r="H326" s="54"/>
      <c r="I326" s="54"/>
      <c r="J326" s="54"/>
      <c r="K326" s="54"/>
      <c r="L326" s="54"/>
      <c r="M326" s="54"/>
      <c r="N326" s="54"/>
      <c r="O326" s="54"/>
      <c r="P326" s="54"/>
      <c r="Q326" s="54"/>
      <c r="R326" s="54"/>
      <c r="S326" s="54"/>
      <c r="T326" s="54"/>
      <c r="U326" s="54"/>
      <c r="V326" s="54"/>
      <c r="W326" s="54"/>
      <c r="X326" s="54"/>
      <c r="Y326" s="54"/>
      <c r="Z326" s="54"/>
      <c r="AA326" s="54"/>
      <c r="AB326" s="45"/>
      <c r="AC326" s="45"/>
      <c r="AD326" s="45"/>
      <c r="AE326" s="45"/>
      <c r="AF326" s="45"/>
      <c r="AG326" s="45"/>
      <c r="AH326" s="45"/>
      <c r="AI326" s="45"/>
      <c r="AJ326" s="54"/>
      <c r="AK326" s="54"/>
      <c r="AL326" s="54"/>
      <c r="AM326" s="54"/>
      <c r="AN326" s="54"/>
      <c r="AO326" s="54"/>
      <c r="AP326" s="54"/>
      <c r="AQ326" s="54"/>
      <c r="AR326" s="54"/>
      <c r="AS326" s="54"/>
      <c r="AT326" s="54"/>
      <c r="AU326" s="54"/>
      <c r="AV326" s="54"/>
      <c r="AW326" s="54"/>
      <c r="AX326" s="54"/>
      <c r="AY326" s="54"/>
      <c r="AZ326" s="54"/>
      <c r="BA326" s="54"/>
      <c r="BB326" s="54"/>
      <c r="BC326" s="54"/>
    </row>
    <row r="327" spans="1:55">
      <c r="A327" s="45"/>
      <c r="B327" s="54"/>
      <c r="C327" s="54"/>
      <c r="D327" s="54"/>
      <c r="E327" s="54"/>
      <c r="F327" s="54"/>
      <c r="G327" s="54"/>
      <c r="H327" s="54"/>
      <c r="I327" s="54"/>
      <c r="J327" s="54"/>
      <c r="K327" s="54"/>
      <c r="L327" s="54"/>
      <c r="M327" s="54"/>
      <c r="N327" s="54"/>
      <c r="O327" s="54"/>
      <c r="P327" s="54"/>
      <c r="Q327" s="54"/>
      <c r="R327" s="54"/>
      <c r="S327" s="54"/>
      <c r="T327" s="54"/>
      <c r="U327" s="54"/>
      <c r="V327" s="54"/>
      <c r="W327" s="54"/>
      <c r="X327" s="54"/>
      <c r="Y327" s="54"/>
      <c r="Z327" s="54"/>
      <c r="AA327" s="54"/>
      <c r="AB327" s="45"/>
      <c r="AC327" s="45"/>
      <c r="AD327" s="45"/>
      <c r="AE327" s="45"/>
      <c r="AF327" s="45"/>
      <c r="AG327" s="45"/>
      <c r="AH327" s="45"/>
      <c r="AI327" s="45"/>
      <c r="AJ327" s="54"/>
      <c r="AK327" s="54"/>
      <c r="AL327" s="54"/>
      <c r="AM327" s="54"/>
      <c r="AN327" s="54"/>
      <c r="AO327" s="54"/>
      <c r="AP327" s="54"/>
      <c r="AQ327" s="54"/>
      <c r="AR327" s="54"/>
      <c r="AS327" s="54"/>
      <c r="AT327" s="54"/>
      <c r="AU327" s="54"/>
      <c r="AV327" s="54"/>
      <c r="AW327" s="54"/>
      <c r="AX327" s="54"/>
      <c r="AY327" s="54"/>
      <c r="AZ327" s="54"/>
      <c r="BA327" s="54"/>
      <c r="BB327" s="54"/>
      <c r="BC327" s="54"/>
    </row>
    <row r="328" spans="1:55">
      <c r="A328" s="45"/>
      <c r="B328" s="54"/>
      <c r="C328" s="54"/>
      <c r="D328" s="54"/>
      <c r="E328" s="54"/>
      <c r="F328" s="54"/>
      <c r="G328" s="54"/>
      <c r="H328" s="54"/>
      <c r="I328" s="54"/>
      <c r="J328" s="54"/>
      <c r="K328" s="54"/>
      <c r="L328" s="54"/>
      <c r="M328" s="54"/>
      <c r="N328" s="54"/>
      <c r="O328" s="54"/>
      <c r="P328" s="54"/>
      <c r="Q328" s="54"/>
      <c r="R328" s="54"/>
      <c r="S328" s="54"/>
      <c r="T328" s="54"/>
      <c r="U328" s="54"/>
      <c r="V328" s="54"/>
      <c r="W328" s="54"/>
      <c r="X328" s="54"/>
      <c r="Y328" s="54"/>
      <c r="Z328" s="54"/>
      <c r="AA328" s="54"/>
      <c r="AB328" s="45"/>
      <c r="AC328" s="45"/>
      <c r="AD328" s="45"/>
      <c r="AE328" s="45"/>
      <c r="AF328" s="45"/>
      <c r="AG328" s="45"/>
      <c r="AH328" s="45"/>
      <c r="AI328" s="45"/>
      <c r="AJ328" s="54"/>
      <c r="AK328" s="54"/>
      <c r="AL328" s="54"/>
      <c r="AM328" s="54"/>
      <c r="AN328" s="54"/>
      <c r="AO328" s="54"/>
      <c r="AP328" s="54"/>
      <c r="AQ328" s="54"/>
      <c r="AR328" s="54"/>
      <c r="AS328" s="54"/>
      <c r="AT328" s="54"/>
      <c r="AU328" s="54"/>
      <c r="AV328" s="54"/>
      <c r="AW328" s="54"/>
      <c r="AX328" s="54"/>
      <c r="AY328" s="54"/>
      <c r="AZ328" s="54"/>
      <c r="BA328" s="54"/>
      <c r="BB328" s="54"/>
      <c r="BC328" s="54"/>
    </row>
    <row r="329" spans="1:55">
      <c r="A329" s="45"/>
      <c r="B329" s="2341"/>
      <c r="C329" s="2443"/>
      <c r="D329" s="2443"/>
      <c r="E329" s="2443"/>
      <c r="F329" s="2443"/>
      <c r="G329" s="2443"/>
      <c r="H329" s="2443"/>
      <c r="I329" s="2443"/>
      <c r="J329" s="2443"/>
      <c r="K329" s="2443"/>
      <c r="L329" s="2443"/>
      <c r="M329" s="2443"/>
      <c r="N329" s="2495"/>
      <c r="O329" s="54"/>
      <c r="P329" s="54"/>
      <c r="Q329" s="54"/>
      <c r="R329" s="54"/>
      <c r="S329" s="188"/>
      <c r="T329" s="23"/>
      <c r="U329" s="23"/>
      <c r="V329" s="23"/>
      <c r="W329" s="23"/>
      <c r="X329" s="23"/>
      <c r="Y329" s="23"/>
      <c r="Z329" s="23"/>
      <c r="AA329" s="23"/>
      <c r="AB329" s="23"/>
      <c r="AC329" s="23"/>
      <c r="AD329" s="23"/>
      <c r="AE329" s="238"/>
      <c r="AF329" s="45"/>
      <c r="AG329" s="45"/>
      <c r="AH329" s="45"/>
      <c r="AI329" s="45"/>
      <c r="AJ329" s="188"/>
      <c r="AK329" s="23"/>
      <c r="AL329" s="23"/>
      <c r="AM329" s="23"/>
      <c r="AN329" s="23"/>
      <c r="AO329" s="23"/>
      <c r="AP329" s="23"/>
      <c r="AQ329" s="23"/>
      <c r="AR329" s="23"/>
      <c r="AS329" s="23"/>
      <c r="AT329" s="23"/>
      <c r="AU329" s="23"/>
      <c r="AV329" s="238"/>
      <c r="AW329" s="54"/>
      <c r="AX329" s="54"/>
      <c r="AY329" s="54"/>
      <c r="AZ329" s="54"/>
      <c r="BA329" s="54"/>
      <c r="BB329" s="54"/>
      <c r="BC329" s="54"/>
    </row>
    <row r="330" spans="1:55">
      <c r="A330" s="45"/>
      <c r="B330" s="1665"/>
      <c r="C330" s="2480" t="s">
        <v>963</v>
      </c>
      <c r="D330" s="2480"/>
      <c r="E330" s="2683"/>
      <c r="F330" s="2351"/>
      <c r="G330" s="2351"/>
      <c r="H330" s="2351"/>
      <c r="I330" s="2351"/>
      <c r="J330" s="2351"/>
      <c r="K330" s="2351"/>
      <c r="L330" s="2351"/>
      <c r="M330" s="2351"/>
      <c r="N330" s="2530"/>
      <c r="O330" s="54"/>
      <c r="P330" s="54"/>
      <c r="Q330" s="54"/>
      <c r="R330" s="54"/>
      <c r="S330" s="190"/>
      <c r="T330" s="124" t="s">
        <v>963</v>
      </c>
      <c r="U330" s="124"/>
      <c r="V330" s="125"/>
      <c r="W330" s="49"/>
      <c r="X330" s="49"/>
      <c r="Y330" s="49"/>
      <c r="Z330" s="49"/>
      <c r="AA330" s="49"/>
      <c r="AB330" s="49"/>
      <c r="AC330" s="49"/>
      <c r="AD330" s="49"/>
      <c r="AE330" s="260"/>
      <c r="AF330" s="45"/>
      <c r="AG330" s="45"/>
      <c r="AH330" s="45"/>
      <c r="AI330" s="45"/>
      <c r="AJ330" s="190"/>
      <c r="AK330" s="124" t="s">
        <v>963</v>
      </c>
      <c r="AL330" s="124"/>
      <c r="AM330" s="125"/>
      <c r="AN330" s="49"/>
      <c r="AO330" s="49"/>
      <c r="AP330" s="49"/>
      <c r="AQ330" s="49"/>
      <c r="AR330" s="49"/>
      <c r="AS330" s="49"/>
      <c r="AT330" s="49"/>
      <c r="AU330" s="49"/>
      <c r="AV330" s="260"/>
      <c r="AW330" s="54"/>
      <c r="AX330" s="54"/>
      <c r="AY330" s="54"/>
      <c r="AZ330" s="54"/>
      <c r="BA330" s="54"/>
      <c r="BB330" s="54"/>
      <c r="BC330" s="54"/>
    </row>
    <row r="331" spans="1:55">
      <c r="A331" s="45"/>
      <c r="B331" s="1665"/>
      <c r="C331" s="3752" t="s">
        <v>539</v>
      </c>
      <c r="D331" s="3752"/>
      <c r="E331" s="3752"/>
      <c r="F331" s="3752"/>
      <c r="G331" s="3752"/>
      <c r="H331" s="3752"/>
      <c r="I331" s="3752"/>
      <c r="J331" s="3752"/>
      <c r="K331" s="3752"/>
      <c r="L331" s="3752"/>
      <c r="M331" s="3752"/>
      <c r="N331" s="2452"/>
      <c r="O331" s="54"/>
      <c r="P331" s="54"/>
      <c r="Q331" s="54"/>
      <c r="R331" s="54"/>
      <c r="S331" s="190"/>
      <c r="T331" s="3752" t="s">
        <v>539</v>
      </c>
      <c r="U331" s="3752"/>
      <c r="V331" s="3752"/>
      <c r="W331" s="3752"/>
      <c r="X331" s="3752"/>
      <c r="Y331" s="3752"/>
      <c r="Z331" s="3752"/>
      <c r="AA331" s="3752"/>
      <c r="AB331" s="3752"/>
      <c r="AC331" s="3752"/>
      <c r="AD331" s="3752"/>
      <c r="AE331" s="196"/>
      <c r="AF331" s="45"/>
      <c r="AG331" s="45"/>
      <c r="AH331" s="45"/>
      <c r="AI331" s="45"/>
      <c r="AJ331" s="190"/>
      <c r="AK331" s="3752" t="s">
        <v>539</v>
      </c>
      <c r="AL331" s="3752"/>
      <c r="AM331" s="3752"/>
      <c r="AN331" s="3752"/>
      <c r="AO331" s="3752"/>
      <c r="AP331" s="3752"/>
      <c r="AQ331" s="3752"/>
      <c r="AR331" s="3752"/>
      <c r="AS331" s="3752"/>
      <c r="AT331" s="3752"/>
      <c r="AU331" s="3752"/>
      <c r="AV331" s="196"/>
      <c r="AW331" s="54"/>
      <c r="AX331" s="54"/>
      <c r="AY331" s="54"/>
      <c r="AZ331" s="54"/>
      <c r="BA331" s="54"/>
      <c r="BB331" s="54"/>
      <c r="BC331" s="54"/>
    </row>
    <row r="332" spans="1:55">
      <c r="A332" s="45"/>
      <c r="B332" s="1665"/>
      <c r="C332" s="2445"/>
      <c r="D332" s="2349"/>
      <c r="E332" s="2684"/>
      <c r="F332" s="2351"/>
      <c r="G332" s="2351"/>
      <c r="H332" s="2351"/>
      <c r="I332" s="2351"/>
      <c r="J332" s="2351"/>
      <c r="K332" s="2351"/>
      <c r="L332" s="2351"/>
      <c r="M332" s="2351"/>
      <c r="N332" s="1664"/>
      <c r="O332" s="54"/>
      <c r="P332" s="54"/>
      <c r="Q332" s="54"/>
      <c r="R332" s="54"/>
      <c r="S332" s="190"/>
      <c r="T332" s="1"/>
      <c r="U332" s="130"/>
      <c r="V332" s="48"/>
      <c r="W332" s="49"/>
      <c r="X332" s="49"/>
      <c r="Y332" s="49"/>
      <c r="Z332" s="49"/>
      <c r="AA332" s="49"/>
      <c r="AB332" s="49"/>
      <c r="AC332" s="49"/>
      <c r="AD332" s="49"/>
      <c r="AE332" s="90"/>
      <c r="AF332" s="45"/>
      <c r="AG332" s="45"/>
      <c r="AH332" s="45"/>
      <c r="AI332" s="45"/>
      <c r="AJ332" s="190"/>
      <c r="AK332" s="1"/>
      <c r="AL332" s="130"/>
      <c r="AM332" s="48"/>
      <c r="AN332" s="49"/>
      <c r="AO332" s="49"/>
      <c r="AP332" s="49"/>
      <c r="AQ332" s="49"/>
      <c r="AR332" s="49"/>
      <c r="AS332" s="49"/>
      <c r="AT332" s="49"/>
      <c r="AU332" s="49"/>
      <c r="AV332" s="90"/>
      <c r="AW332" s="54"/>
      <c r="AX332" s="54"/>
      <c r="AY332" s="54"/>
      <c r="AZ332" s="54"/>
      <c r="BA332" s="54"/>
      <c r="BB332" s="54"/>
      <c r="BC332" s="54"/>
    </row>
    <row r="333" spans="1:55" ht="15.75">
      <c r="A333" s="45"/>
      <c r="B333" s="1665"/>
      <c r="C333" s="2349" t="str">
        <f>"Country: " &amp;UPPER(Country)</f>
        <v>Country: LITHUANIA</v>
      </c>
      <c r="D333" s="2349"/>
      <c r="E333" s="2684"/>
      <c r="F333" s="2351"/>
      <c r="G333" s="2351"/>
      <c r="H333" s="2351"/>
      <c r="I333" s="2351"/>
      <c r="J333" s="2351"/>
      <c r="K333" s="2351"/>
      <c r="L333" s="2351"/>
      <c r="M333" s="2351"/>
      <c r="N333" s="2602"/>
      <c r="O333" s="54"/>
      <c r="P333" s="54"/>
      <c r="Q333" s="54"/>
      <c r="R333" s="54"/>
      <c r="S333" s="190"/>
      <c r="T333" s="63" t="str">
        <f>"Country: " &amp;UPPER(Country)</f>
        <v>Country: LITHUANIA</v>
      </c>
      <c r="U333" s="130"/>
      <c r="V333" s="48"/>
      <c r="W333" s="2006" t="s">
        <v>390</v>
      </c>
      <c r="X333" s="49"/>
      <c r="Y333" s="49"/>
      <c r="Z333" s="49"/>
      <c r="AA333" s="49"/>
      <c r="AB333" s="49"/>
      <c r="AC333" s="49"/>
      <c r="AD333" s="49"/>
      <c r="AE333" s="337"/>
      <c r="AF333" s="45"/>
      <c r="AG333" s="45"/>
      <c r="AH333" s="45"/>
      <c r="AI333" s="45"/>
      <c r="AJ333" s="190"/>
      <c r="AK333" s="63" t="str">
        <f>"Country: " &amp;UPPER(Country)</f>
        <v>Country: LITHUANIA</v>
      </c>
      <c r="AL333" s="130"/>
      <c r="AM333" s="48"/>
      <c r="AN333" s="49"/>
      <c r="AO333" s="49"/>
      <c r="AP333" s="49"/>
      <c r="AQ333" s="49"/>
      <c r="AR333" s="49"/>
      <c r="AS333" s="49"/>
      <c r="AT333" s="49"/>
      <c r="AU333" s="49"/>
      <c r="AV333" s="337"/>
      <c r="AW333" s="54"/>
      <c r="AX333" s="54"/>
      <c r="AY333" s="54"/>
      <c r="AZ333" s="54"/>
      <c r="BA333" s="54"/>
      <c r="BB333" s="54"/>
      <c r="BC333" s="54"/>
    </row>
    <row r="334" spans="1:55" ht="15.75">
      <c r="A334" s="45"/>
      <c r="B334" s="1665"/>
      <c r="C334" s="2349" t="str">
        <f>"Currency unit: " &amp; Currency</f>
        <v>Currency unit: bn EUR</v>
      </c>
      <c r="D334" s="2355"/>
      <c r="E334" s="2349"/>
      <c r="F334" s="2351"/>
      <c r="G334" s="2351"/>
      <c r="H334" s="2351"/>
      <c r="I334" s="2351"/>
      <c r="J334" s="2445"/>
      <c r="K334" s="2445"/>
      <c r="L334" s="2445"/>
      <c r="M334" s="2445"/>
      <c r="N334" s="2605"/>
      <c r="O334" s="54"/>
      <c r="P334" s="54"/>
      <c r="Q334" s="54"/>
      <c r="R334" s="54"/>
      <c r="S334" s="190"/>
      <c r="T334" s="63" t="str">
        <f>"Currency unit: " &amp; Currency</f>
        <v>Currency unit: bn EUR</v>
      </c>
      <c r="U334" s="134"/>
      <c r="V334" s="130"/>
      <c r="W334" s="2006" t="str">
        <f>$T$4</f>
        <v>2nd storage</v>
      </c>
      <c r="X334" s="49"/>
      <c r="Y334" s="49"/>
      <c r="Z334" s="49"/>
      <c r="AA334" s="1"/>
      <c r="AB334" s="1"/>
      <c r="AC334" s="1"/>
      <c r="AD334" s="1"/>
      <c r="AE334" s="339"/>
      <c r="AF334" s="45"/>
      <c r="AG334" s="45"/>
      <c r="AH334" s="45"/>
      <c r="AI334" s="45"/>
      <c r="AJ334" s="190"/>
      <c r="AK334" s="63" t="str">
        <f>"Currency unit: " &amp; Currency</f>
        <v>Currency unit: bn EUR</v>
      </c>
      <c r="AL334" s="134"/>
      <c r="AM334" s="130"/>
      <c r="AN334" s="49"/>
      <c r="AO334" s="49"/>
      <c r="AP334" s="49"/>
      <c r="AQ334" s="49"/>
      <c r="AR334" s="1"/>
      <c r="AS334" s="1"/>
      <c r="AT334" s="1"/>
      <c r="AU334" s="1"/>
      <c r="AV334" s="339"/>
      <c r="AW334" s="54"/>
      <c r="AX334" s="54"/>
      <c r="AY334" s="54"/>
      <c r="AZ334" s="54"/>
      <c r="BA334" s="54"/>
      <c r="BB334" s="54"/>
      <c r="BC334" s="54"/>
    </row>
    <row r="335" spans="1:55" ht="13.5" thickBot="1">
      <c r="A335" s="45"/>
      <c r="B335" s="1665"/>
      <c r="C335" s="2355" t="s">
        <v>297</v>
      </c>
      <c r="D335" s="2351"/>
      <c r="E335" s="2351"/>
      <c r="F335" s="2351"/>
      <c r="G335" s="2351"/>
      <c r="H335" s="2351"/>
      <c r="I335" s="2351"/>
      <c r="J335" s="2445"/>
      <c r="K335" s="2445"/>
      <c r="L335" s="3790">
        <f ca="1">NOW()</f>
        <v>43335.58773900463</v>
      </c>
      <c r="M335" s="3790"/>
      <c r="N335" s="2661"/>
      <c r="O335" s="54"/>
      <c r="P335" s="54"/>
      <c r="Q335" s="54"/>
      <c r="R335" s="54"/>
      <c r="S335" s="190"/>
      <c r="T335" s="69" t="s">
        <v>297</v>
      </c>
      <c r="U335" s="49"/>
      <c r="V335" s="49"/>
      <c r="W335" s="49"/>
      <c r="X335" s="49"/>
      <c r="Y335" s="49"/>
      <c r="Z335" s="49"/>
      <c r="AA335" s="1"/>
      <c r="AB335" s="1"/>
      <c r="AC335" s="3752">
        <f ca="1">NOW()</f>
        <v>43335.58773900463</v>
      </c>
      <c r="AD335" s="3752"/>
      <c r="AE335" s="393"/>
      <c r="AF335" s="45"/>
      <c r="AG335" s="45"/>
      <c r="AH335" s="45"/>
      <c r="AI335" s="45"/>
      <c r="AJ335" s="190"/>
      <c r="AK335" s="69" t="s">
        <v>297</v>
      </c>
      <c r="AL335" s="49"/>
      <c r="AM335" s="49"/>
      <c r="AN335" s="49"/>
      <c r="AO335" s="49"/>
      <c r="AP335" s="49"/>
      <c r="AQ335" s="49"/>
      <c r="AR335" s="1"/>
      <c r="AS335" s="1"/>
      <c r="AT335" s="3752">
        <f ca="1">NOW()</f>
        <v>43335.58773900463</v>
      </c>
      <c r="AU335" s="3752"/>
      <c r="AV335" s="393"/>
      <c r="AW335" s="54"/>
      <c r="AX335" s="54"/>
      <c r="AY335" s="54"/>
      <c r="AZ335" s="54"/>
      <c r="BA335" s="54"/>
      <c r="BB335" s="54"/>
      <c r="BC335" s="54"/>
    </row>
    <row r="336" spans="1:55">
      <c r="A336" s="45"/>
      <c r="B336" s="1665"/>
      <c r="C336" s="2357"/>
      <c r="D336" s="2633"/>
      <c r="E336" s="2404" t="s">
        <v>540</v>
      </c>
      <c r="F336" s="3752">
        <f>E16</f>
        <v>2016</v>
      </c>
      <c r="G336" s="3752"/>
      <c r="H336" s="3752">
        <f>F336+1</f>
        <v>2017</v>
      </c>
      <c r="I336" s="3752"/>
      <c r="J336" s="3752">
        <f>H336+1</f>
        <v>2018</v>
      </c>
      <c r="K336" s="3752"/>
      <c r="L336" s="3752">
        <f>J336+1</f>
        <v>2019</v>
      </c>
      <c r="M336" s="3752"/>
      <c r="N336" s="2368"/>
      <c r="O336" s="54"/>
      <c r="P336" s="54"/>
      <c r="Q336" s="54"/>
      <c r="R336" s="54"/>
      <c r="S336" s="190"/>
      <c r="T336" s="72"/>
      <c r="U336" s="419"/>
      <c r="V336" s="420" t="s">
        <v>540</v>
      </c>
      <c r="W336" s="3752">
        <f>Last_forecast_year - 3</f>
        <v>2016</v>
      </c>
      <c r="X336" s="3752"/>
      <c r="Y336" s="3752">
        <f>W336+1</f>
        <v>2017</v>
      </c>
      <c r="Z336" s="3752"/>
      <c r="AA336" s="3752">
        <f>Y336+1</f>
        <v>2018</v>
      </c>
      <c r="AB336" s="3752"/>
      <c r="AC336" s="3752">
        <f>AA336+1</f>
        <v>2019</v>
      </c>
      <c r="AD336" s="3752"/>
      <c r="AE336" s="364"/>
      <c r="AF336" s="45"/>
      <c r="AG336" s="45"/>
      <c r="AH336" s="45"/>
      <c r="AI336" s="45"/>
      <c r="AJ336" s="190"/>
      <c r="AK336" s="72"/>
      <c r="AL336" s="419"/>
      <c r="AM336" s="420" t="s">
        <v>540</v>
      </c>
      <c r="AN336" s="3752">
        <f>Last_forecast_year - 3</f>
        <v>2016</v>
      </c>
      <c r="AO336" s="3752"/>
      <c r="AP336" s="3752">
        <f>AN336+1</f>
        <v>2017</v>
      </c>
      <c r="AQ336" s="3752"/>
      <c r="AR336" s="3752">
        <f>AP336+1</f>
        <v>2018</v>
      </c>
      <c r="AS336" s="3752"/>
      <c r="AT336" s="3752">
        <f>AR336+1</f>
        <v>2019</v>
      </c>
      <c r="AU336" s="3752"/>
      <c r="AV336" s="364"/>
      <c r="AW336" s="54"/>
      <c r="AX336" s="54"/>
      <c r="AY336" s="54"/>
      <c r="AZ336" s="54"/>
      <c r="BA336" s="54"/>
      <c r="BB336" s="54"/>
      <c r="BC336" s="54"/>
    </row>
    <row r="337" spans="1:55">
      <c r="A337" s="45"/>
      <c r="B337" s="1665"/>
      <c r="C337" s="1666"/>
      <c r="D337" s="2685"/>
      <c r="E337" s="2406" t="s">
        <v>541</v>
      </c>
      <c r="F337" s="2641" t="s">
        <v>298</v>
      </c>
      <c r="G337" s="2642" t="s">
        <v>1170</v>
      </c>
      <c r="H337" s="2641" t="s">
        <v>298</v>
      </c>
      <c r="I337" s="2642" t="s">
        <v>1170</v>
      </c>
      <c r="J337" s="2641" t="s">
        <v>298</v>
      </c>
      <c r="K337" s="2642" t="s">
        <v>1170</v>
      </c>
      <c r="L337" s="2641" t="s">
        <v>298</v>
      </c>
      <c r="M337" s="2643" t="s">
        <v>1170</v>
      </c>
      <c r="N337" s="2368"/>
      <c r="O337" s="54"/>
      <c r="P337" s="54"/>
      <c r="Q337" s="54"/>
      <c r="R337" s="54"/>
      <c r="S337" s="190"/>
      <c r="T337" s="101"/>
      <c r="U337" s="422"/>
      <c r="V337" s="423" t="s">
        <v>541</v>
      </c>
      <c r="W337" s="390" t="s">
        <v>298</v>
      </c>
      <c r="X337" s="391" t="s">
        <v>1170</v>
      </c>
      <c r="Y337" s="390" t="s">
        <v>298</v>
      </c>
      <c r="Z337" s="391" t="s">
        <v>1170</v>
      </c>
      <c r="AA337" s="390" t="s">
        <v>298</v>
      </c>
      <c r="AB337" s="391" t="s">
        <v>1170</v>
      </c>
      <c r="AC337" s="390" t="s">
        <v>298</v>
      </c>
      <c r="AD337" s="392" t="s">
        <v>1170</v>
      </c>
      <c r="AE337" s="364"/>
      <c r="AF337" s="45"/>
      <c r="AG337" s="45"/>
      <c r="AH337" s="45"/>
      <c r="AI337" s="45"/>
      <c r="AJ337" s="190"/>
      <c r="AK337" s="101"/>
      <c r="AL337" s="422"/>
      <c r="AM337" s="423" t="s">
        <v>541</v>
      </c>
      <c r="AN337" s="390" t="s">
        <v>298</v>
      </c>
      <c r="AO337" s="391" t="s">
        <v>1170</v>
      </c>
      <c r="AP337" s="390" t="s">
        <v>298</v>
      </c>
      <c r="AQ337" s="391" t="s">
        <v>1170</v>
      </c>
      <c r="AR337" s="390" t="s">
        <v>298</v>
      </c>
      <c r="AS337" s="391" t="s">
        <v>1170</v>
      </c>
      <c r="AT337" s="390" t="s">
        <v>298</v>
      </c>
      <c r="AU337" s="392" t="s">
        <v>1170</v>
      </c>
      <c r="AV337" s="364"/>
      <c r="AW337" s="54"/>
      <c r="AX337" s="54"/>
      <c r="AY337" s="54"/>
      <c r="AZ337" s="54"/>
      <c r="BA337" s="54"/>
      <c r="BB337" s="54"/>
      <c r="BC337" s="54"/>
    </row>
    <row r="338" spans="1:55">
      <c r="A338" s="45"/>
      <c r="B338" s="1665"/>
      <c r="C338" s="2686" t="s">
        <v>542</v>
      </c>
      <c r="D338" s="2342"/>
      <c r="E338" s="2687" t="s">
        <v>1407</v>
      </c>
      <c r="F338" s="2628">
        <f ca="1">Transfer!D187</f>
        <v>16.892139999999998</v>
      </c>
      <c r="G338" s="2688">
        <f ca="1">100*((Transfer!D187/Transfer!C187)-1)</f>
        <v>7.9213430384218908</v>
      </c>
      <c r="H338" s="2688">
        <f ca="1">Transfer!E187</f>
        <v>18.449630000000003</v>
      </c>
      <c r="I338" s="2689">
        <f ca="1">100*((Transfer!E187/Transfer!D187)-1)</f>
        <v>9.2202053736235143</v>
      </c>
      <c r="J338" s="2628">
        <f ca="1">Transfer!F187</f>
        <v>19.549555182988733</v>
      </c>
      <c r="K338" s="2688">
        <f ca="1">100*((Transfer!F187/Transfer!E187)-1)</f>
        <v>5.961773666944703</v>
      </c>
      <c r="L338" s="2688">
        <f ca="1">Transfer!G187</f>
        <v>20.686003495864497</v>
      </c>
      <c r="M338" s="2690">
        <f ca="1">100*((Transfer!G187/Transfer!F187)-1)</f>
        <v>5.8131671142300778</v>
      </c>
      <c r="N338" s="2368"/>
      <c r="O338" s="54"/>
      <c r="P338" s="54"/>
      <c r="Q338" s="54"/>
      <c r="R338" s="54"/>
      <c r="S338" s="190"/>
      <c r="T338" s="424" t="s">
        <v>542</v>
      </c>
      <c r="U338" s="56"/>
      <c r="V338" s="425" t="s">
        <v>1407</v>
      </c>
      <c r="W338" s="426">
        <f t="shared" ref="W338:AD353" ca="1" si="22">ROUND(F338,1)-ROUND(AN338,1)</f>
        <v>10015.9</v>
      </c>
      <c r="X338" s="426">
        <f t="shared" ca="1" si="22"/>
        <v>7.9</v>
      </c>
      <c r="Y338" s="426">
        <f t="shared" ca="1" si="22"/>
        <v>10017.4</v>
      </c>
      <c r="Z338" s="426">
        <f t="shared" ca="1" si="22"/>
        <v>9.1999999999999993</v>
      </c>
      <c r="AA338" s="426">
        <f t="shared" ca="1" si="22"/>
        <v>10018.5</v>
      </c>
      <c r="AB338" s="426">
        <f t="shared" ca="1" si="22"/>
        <v>6</v>
      </c>
      <c r="AC338" s="426">
        <f t="shared" ca="1" si="22"/>
        <v>10019.700000000001</v>
      </c>
      <c r="AD338" s="441">
        <f t="shared" ca="1" si="22"/>
        <v>5.8</v>
      </c>
      <c r="AE338" s="364"/>
      <c r="AF338" s="45"/>
      <c r="AG338" s="45"/>
      <c r="AH338" s="45"/>
      <c r="AI338" s="45"/>
      <c r="AJ338" s="190"/>
      <c r="AK338" s="424" t="s">
        <v>542</v>
      </c>
      <c r="AL338" s="56"/>
      <c r="AM338" s="425" t="s">
        <v>1407</v>
      </c>
      <c r="AN338" s="2057">
        <f>Transfer!AD187</f>
        <v>-9999</v>
      </c>
      <c r="AO338" s="2058">
        <f>100*((Transfer!AD187/Transfer!AC187)-1)</f>
        <v>0</v>
      </c>
      <c r="AP338" s="2058">
        <f>Transfer!AE187</f>
        <v>-9999</v>
      </c>
      <c r="AQ338" s="2063">
        <f>100*((Transfer!AE187/Transfer!AD187)-1)</f>
        <v>0</v>
      </c>
      <c r="AR338" s="2057">
        <f>Transfer!AF187</f>
        <v>-9999</v>
      </c>
      <c r="AS338" s="2058">
        <f>100*((Transfer!AF187/Transfer!AE187)-1)</f>
        <v>0</v>
      </c>
      <c r="AT338" s="2058">
        <f>Transfer!AG187</f>
        <v>-9999</v>
      </c>
      <c r="AU338" s="2064">
        <f>100*((Transfer!AG187/Transfer!AF187)-1)</f>
        <v>0</v>
      </c>
      <c r="AV338" s="364"/>
      <c r="AW338" s="54"/>
      <c r="AX338" s="54"/>
      <c r="AY338" s="54"/>
      <c r="AZ338" s="54"/>
      <c r="BA338" s="1696" t="s">
        <v>1005</v>
      </c>
      <c r="BB338" s="1697"/>
      <c r="BC338" s="54"/>
    </row>
    <row r="339" spans="1:55">
      <c r="A339" s="45"/>
      <c r="B339" s="1665"/>
      <c r="C339" s="1666" t="s">
        <v>1580</v>
      </c>
      <c r="D339" s="2351"/>
      <c r="E339" s="2521" t="s">
        <v>1581</v>
      </c>
      <c r="F339" s="2453">
        <f ca="1">Transfer!D188</f>
        <v>13.25775</v>
      </c>
      <c r="G339" s="2691">
        <f ca="1">100*((Transfer!D188/Transfer!C188)-1)</f>
        <v>7.5805205638630468</v>
      </c>
      <c r="H339" s="2691">
        <f ca="1">Transfer!E188</f>
        <v>14.362240126594433</v>
      </c>
      <c r="I339" s="2692">
        <f ca="1">100*((Transfer!E188/Transfer!D188)-1)</f>
        <v>8.3309017487464452</v>
      </c>
      <c r="J339" s="2453">
        <f ca="1">Transfer!F188</f>
        <v>15.177575242380211</v>
      </c>
      <c r="K339" s="2691">
        <f ca="1">100*((Transfer!F188/Transfer!E188)-1)</f>
        <v>5.6769355518296205</v>
      </c>
      <c r="L339" s="2691">
        <f ca="1">Transfer!G188</f>
        <v>16.047371297764418</v>
      </c>
      <c r="M339" s="2693">
        <f ca="1">100*((Transfer!G188/Transfer!F188)-1)</f>
        <v>5.7307971892340381</v>
      </c>
      <c r="N339" s="2390"/>
      <c r="O339" s="54"/>
      <c r="P339" s="54"/>
      <c r="Q339" s="54"/>
      <c r="R339" s="54"/>
      <c r="S339" s="190"/>
      <c r="T339" s="101" t="s">
        <v>1580</v>
      </c>
      <c r="U339" s="49"/>
      <c r="V339" s="254" t="s">
        <v>1581</v>
      </c>
      <c r="W339" s="245">
        <f t="shared" ca="1" si="22"/>
        <v>10012.299999999999</v>
      </c>
      <c r="X339" s="245">
        <f t="shared" ca="1" si="22"/>
        <v>7.6</v>
      </c>
      <c r="Y339" s="245">
        <f t="shared" ca="1" si="22"/>
        <v>10013.4</v>
      </c>
      <c r="Z339" s="245">
        <f t="shared" ca="1" si="22"/>
        <v>8.3000000000000007</v>
      </c>
      <c r="AA339" s="245">
        <f t="shared" ca="1" si="22"/>
        <v>10014.200000000001</v>
      </c>
      <c r="AB339" s="245">
        <f t="shared" ca="1" si="22"/>
        <v>5.7</v>
      </c>
      <c r="AC339" s="245">
        <f t="shared" ca="1" si="22"/>
        <v>10015</v>
      </c>
      <c r="AD339" s="320">
        <f t="shared" ca="1" si="22"/>
        <v>5.7</v>
      </c>
      <c r="AE339" s="103"/>
      <c r="AF339" s="45"/>
      <c r="AG339" s="45"/>
      <c r="AH339" s="45"/>
      <c r="AI339" s="45"/>
      <c r="AJ339" s="190"/>
      <c r="AK339" s="101" t="s">
        <v>1580</v>
      </c>
      <c r="AL339" s="49"/>
      <c r="AM339" s="254" t="s">
        <v>1581</v>
      </c>
      <c r="AN339" s="91">
        <f>Transfer!AD188</f>
        <v>-9999</v>
      </c>
      <c r="AO339" s="242">
        <f>100*((Transfer!AD188/Transfer!AC188)-1)</f>
        <v>0</v>
      </c>
      <c r="AP339" s="242">
        <f>Transfer!AE188</f>
        <v>-9999</v>
      </c>
      <c r="AQ339" s="92">
        <f>100*((Transfer!AE188/Transfer!AD188)-1)</f>
        <v>0</v>
      </c>
      <c r="AR339" s="91">
        <f>Transfer!AF188</f>
        <v>-9999</v>
      </c>
      <c r="AS339" s="242">
        <f>100*((Transfer!AF188/Transfer!AE188)-1)</f>
        <v>0</v>
      </c>
      <c r="AT339" s="242">
        <f>Transfer!AG188</f>
        <v>-9999</v>
      </c>
      <c r="AU339" s="243">
        <f>100*((Transfer!AG188/Transfer!AF188)-1)</f>
        <v>0</v>
      </c>
      <c r="AV339" s="103"/>
      <c r="AW339" s="54"/>
      <c r="AX339" s="54"/>
      <c r="AY339" s="54"/>
      <c r="AZ339" s="54"/>
      <c r="BA339" s="1698" t="s">
        <v>1006</v>
      </c>
      <c r="BB339" s="1699"/>
      <c r="BC339" s="54"/>
    </row>
    <row r="340" spans="1:55">
      <c r="A340" s="45"/>
      <c r="B340" s="1665"/>
      <c r="C340" s="1666" t="s">
        <v>261</v>
      </c>
      <c r="D340" s="2351"/>
      <c r="E340" s="2422" t="s">
        <v>262</v>
      </c>
      <c r="F340" s="2453">
        <f ca="1">SUM(Transfer!D189,Transfer!D190)</f>
        <v>8.6885700000000003</v>
      </c>
      <c r="G340" s="2691">
        <f ca="1">100*((SUM(Transfer!D189,Transfer!D190)/SUM(Transfer!C189,Transfer!C190))-1)</f>
        <v>3.0952654991688311</v>
      </c>
      <c r="H340" s="2691">
        <f ca="1">SUM(Transfer!E189,Transfer!E190)</f>
        <v>8.9648717500000004</v>
      </c>
      <c r="I340" s="2692">
        <f ca="1">100*((SUM(Transfer!E189,Transfer!E190)/SUM(Transfer!D189,Transfer!D190))-1)</f>
        <v>3.1800601249687865</v>
      </c>
      <c r="J340" s="2453">
        <f ca="1">SUM(Transfer!F189,Transfer!F190)</f>
        <v>9.1689010662499992</v>
      </c>
      <c r="K340" s="2691">
        <f ca="1">100*((SUM(Transfer!F189,Transfer!F190)/SUM(Transfer!E189,Transfer!E190))-1)</f>
        <v>2.2758754607950626</v>
      </c>
      <c r="L340" s="2691">
        <f ca="1">SUM(Transfer!G189,Transfer!G190)</f>
        <v>9.5260688408937479</v>
      </c>
      <c r="M340" s="2693">
        <f ca="1">100*((SUM(Transfer!G189,Transfer!G190)/SUM(Transfer!F189,Transfer!F190))-1)</f>
        <v>3.8954262028025877</v>
      </c>
      <c r="N340" s="2368"/>
      <c r="O340" s="54"/>
      <c r="P340" s="54"/>
      <c r="Q340" s="54"/>
      <c r="R340" s="54"/>
      <c r="S340" s="190"/>
      <c r="T340" s="101" t="s">
        <v>261</v>
      </c>
      <c r="U340" s="49"/>
      <c r="V340" s="181" t="s">
        <v>262</v>
      </c>
      <c r="W340" s="245">
        <f t="shared" ca="1" si="22"/>
        <v>20006.7</v>
      </c>
      <c r="X340" s="245">
        <f t="shared" ca="1" si="22"/>
        <v>3.1</v>
      </c>
      <c r="Y340" s="245">
        <f t="shared" ca="1" si="22"/>
        <v>20007</v>
      </c>
      <c r="Z340" s="245">
        <f t="shared" ca="1" si="22"/>
        <v>3.2</v>
      </c>
      <c r="AA340" s="245">
        <f t="shared" ca="1" si="22"/>
        <v>20007.2</v>
      </c>
      <c r="AB340" s="245">
        <f t="shared" ca="1" si="22"/>
        <v>2.2999999999999998</v>
      </c>
      <c r="AC340" s="245">
        <f t="shared" ca="1" si="22"/>
        <v>20007.5</v>
      </c>
      <c r="AD340" s="320">
        <f t="shared" ca="1" si="22"/>
        <v>3.9</v>
      </c>
      <c r="AE340" s="364"/>
      <c r="AF340" s="45"/>
      <c r="AG340" s="45"/>
      <c r="AH340" s="45"/>
      <c r="AI340" s="45"/>
      <c r="AJ340" s="190"/>
      <c r="AK340" s="101" t="s">
        <v>261</v>
      </c>
      <c r="AL340" s="49"/>
      <c r="AM340" s="181" t="s">
        <v>262</v>
      </c>
      <c r="AN340" s="91">
        <f>SUM(Transfer!AD189,Transfer!AD190)</f>
        <v>-19998</v>
      </c>
      <c r="AO340" s="242">
        <f>100*((SUM(Transfer!AD189,Transfer!AD190)/SUM(Transfer!AC189,Transfer!AC190))-1)</f>
        <v>0</v>
      </c>
      <c r="AP340" s="242">
        <f>SUM(Transfer!AE189,Transfer!AE190)</f>
        <v>-19998</v>
      </c>
      <c r="AQ340" s="92">
        <f>100*((SUM(Transfer!AE189,Transfer!AE190)/SUM(Transfer!AD189,Transfer!AD190))-1)</f>
        <v>0</v>
      </c>
      <c r="AR340" s="91">
        <f>SUM(Transfer!AF189,Transfer!AF190)</f>
        <v>-19998</v>
      </c>
      <c r="AS340" s="242">
        <f>100*((SUM(Transfer!AF189,Transfer!AF190)/SUM(Transfer!AE189,Transfer!AE190))-1)</f>
        <v>0</v>
      </c>
      <c r="AT340" s="242">
        <f>SUM(Transfer!AG189,Transfer!AG190)</f>
        <v>-19998</v>
      </c>
      <c r="AU340" s="243">
        <f>100*((SUM(Transfer!AG189,Transfer!AG190)/SUM(Transfer!AF189,Transfer!AF190))-1)</f>
        <v>0</v>
      </c>
      <c r="AV340" s="364"/>
      <c r="AW340" s="54"/>
      <c r="AX340" s="54"/>
      <c r="AY340" s="54"/>
      <c r="AZ340" s="54"/>
      <c r="BA340" s="1698" t="s">
        <v>1612</v>
      </c>
      <c r="BB340" s="1699"/>
      <c r="BC340" s="54"/>
    </row>
    <row r="341" spans="1:55">
      <c r="A341" s="45"/>
      <c r="B341" s="1665"/>
      <c r="C341" s="1666" t="s">
        <v>1021</v>
      </c>
      <c r="D341" s="2351"/>
      <c r="E341" s="2521" t="s">
        <v>735</v>
      </c>
      <c r="F341" s="2453">
        <f ca="1">Transfer!D191</f>
        <v>5.9196899999999992</v>
      </c>
      <c r="G341" s="2691">
        <f ca="1">100*((Transfer!D191/Transfer!C191)-1)</f>
        <v>5.0605638427203559</v>
      </c>
      <c r="H341" s="2691">
        <f ca="1">Transfer!E191</f>
        <v>6.5123086200000007</v>
      </c>
      <c r="I341" s="2692">
        <f ca="1">100*((Transfer!E191/Transfer!D191)-1)</f>
        <v>10.010973885456863</v>
      </c>
      <c r="J341" s="2453">
        <f ca="1">Transfer!F191</f>
        <v>7.1705756549000021</v>
      </c>
      <c r="K341" s="2691">
        <f ca="1">100*((Transfer!F191/Transfer!E191)-1)</f>
        <v>10.10804421765874</v>
      </c>
      <c r="L341" s="2691">
        <f ca="1">Transfer!G191</f>
        <v>7.5811514782427016</v>
      </c>
      <c r="M341" s="2693">
        <f ca="1">100*((Transfer!G191/Transfer!F191)-1)</f>
        <v>5.7258418724322802</v>
      </c>
      <c r="N341" s="2372"/>
      <c r="O341" s="54"/>
      <c r="P341" s="54"/>
      <c r="Q341" s="54"/>
      <c r="R341" s="54"/>
      <c r="S341" s="190"/>
      <c r="T341" s="101" t="s">
        <v>1021</v>
      </c>
      <c r="U341" s="49"/>
      <c r="V341" s="254" t="s">
        <v>735</v>
      </c>
      <c r="W341" s="245">
        <f t="shared" ca="1" si="22"/>
        <v>10004.9</v>
      </c>
      <c r="X341" s="245">
        <f t="shared" ca="1" si="22"/>
        <v>5.0999999999999996</v>
      </c>
      <c r="Y341" s="245">
        <f t="shared" ca="1" si="22"/>
        <v>10005.5</v>
      </c>
      <c r="Z341" s="245">
        <f t="shared" ca="1" si="22"/>
        <v>10</v>
      </c>
      <c r="AA341" s="245">
        <f t="shared" ca="1" si="22"/>
        <v>10006.200000000001</v>
      </c>
      <c r="AB341" s="245">
        <f t="shared" ca="1" si="22"/>
        <v>10.1</v>
      </c>
      <c r="AC341" s="245">
        <f t="shared" ca="1" si="22"/>
        <v>10006.6</v>
      </c>
      <c r="AD341" s="320">
        <f t="shared" ca="1" si="22"/>
        <v>5.7</v>
      </c>
      <c r="AE341" s="366"/>
      <c r="AF341" s="45"/>
      <c r="AG341" s="45"/>
      <c r="AH341" s="45"/>
      <c r="AI341" s="45"/>
      <c r="AJ341" s="190"/>
      <c r="AK341" s="101" t="s">
        <v>1021</v>
      </c>
      <c r="AL341" s="49"/>
      <c r="AM341" s="254" t="s">
        <v>735</v>
      </c>
      <c r="AN341" s="91">
        <f>Transfer!AD191</f>
        <v>-9999</v>
      </c>
      <c r="AO341" s="242">
        <f>100*((Transfer!AD191/Transfer!AC191)-1)</f>
        <v>0</v>
      </c>
      <c r="AP341" s="242">
        <f>Transfer!AE191</f>
        <v>-9999</v>
      </c>
      <c r="AQ341" s="92">
        <f>100*((Transfer!AE191/Transfer!AD191)-1)</f>
        <v>0</v>
      </c>
      <c r="AR341" s="91">
        <f>Transfer!AF191</f>
        <v>-9999</v>
      </c>
      <c r="AS341" s="242">
        <f>100*((Transfer!AF191/Transfer!AE191)-1)</f>
        <v>0</v>
      </c>
      <c r="AT341" s="242">
        <f>Transfer!AG191</f>
        <v>-9999</v>
      </c>
      <c r="AU341" s="243">
        <f>100*((Transfer!AG191/Transfer!AF191)-1)</f>
        <v>0</v>
      </c>
      <c r="AV341" s="366"/>
      <c r="AW341" s="54"/>
      <c r="AX341" s="54"/>
      <c r="AY341" s="54"/>
      <c r="AZ341" s="54"/>
      <c r="BA341" s="1698" t="s">
        <v>1265</v>
      </c>
      <c r="BB341" s="1699"/>
      <c r="BC341" s="54"/>
    </row>
    <row r="342" spans="1:55">
      <c r="A342" s="45"/>
      <c r="B342" s="1665"/>
      <c r="C342" s="1666" t="s">
        <v>2098</v>
      </c>
      <c r="D342" s="2351"/>
      <c r="E342" s="2521" t="s">
        <v>2099</v>
      </c>
      <c r="F342" s="2453">
        <f ca="1">Transfer!D192</f>
        <v>1.5573599999999999</v>
      </c>
      <c r="G342" s="2691">
        <f ca="1">100*((Transfer!D192/Transfer!C192)-1)</f>
        <v>6.8903271858720361</v>
      </c>
      <c r="H342" s="2691">
        <f ca="1">Transfer!E192</f>
        <v>1.6732275839999999</v>
      </c>
      <c r="I342" s="2692">
        <f ca="1">100*((Transfer!E192/Transfer!D192)-1)</f>
        <v>7.4400000000000022</v>
      </c>
      <c r="J342" s="2453">
        <f ca="1">Transfer!F192</f>
        <v>1.733463777024</v>
      </c>
      <c r="K342" s="2691">
        <f ca="1">100*((Transfer!F192/Transfer!E192)-1)</f>
        <v>3.6000000000000032</v>
      </c>
      <c r="L342" s="2691">
        <f ca="1">Transfer!G192</f>
        <v>1.8262040890947842</v>
      </c>
      <c r="M342" s="2693">
        <f ca="1">100*((Transfer!G192/Transfer!F192)-1)</f>
        <v>5.3500000000000103</v>
      </c>
      <c r="N342" s="2390"/>
      <c r="O342" s="54"/>
      <c r="P342" s="54"/>
      <c r="Q342" s="54"/>
      <c r="R342" s="54"/>
      <c r="S342" s="190"/>
      <c r="T342" s="101" t="s">
        <v>2098</v>
      </c>
      <c r="U342" s="49"/>
      <c r="V342" s="254" t="s">
        <v>2099</v>
      </c>
      <c r="W342" s="245">
        <f t="shared" ca="1" si="22"/>
        <v>10000.6</v>
      </c>
      <c r="X342" s="245">
        <f t="shared" ca="1" si="22"/>
        <v>6.9</v>
      </c>
      <c r="Y342" s="245">
        <f t="shared" ca="1" si="22"/>
        <v>10000.700000000001</v>
      </c>
      <c r="Z342" s="245">
        <f t="shared" ca="1" si="22"/>
        <v>7.4</v>
      </c>
      <c r="AA342" s="245">
        <f t="shared" ca="1" si="22"/>
        <v>10000.700000000001</v>
      </c>
      <c r="AB342" s="245">
        <f t="shared" ca="1" si="22"/>
        <v>3.6</v>
      </c>
      <c r="AC342" s="245">
        <f t="shared" ca="1" si="22"/>
        <v>10000.799999999999</v>
      </c>
      <c r="AD342" s="320">
        <f t="shared" ca="1" si="22"/>
        <v>5.4</v>
      </c>
      <c r="AE342" s="361"/>
      <c r="AF342" s="45"/>
      <c r="AG342" s="45"/>
      <c r="AH342" s="45"/>
      <c r="AI342" s="45"/>
      <c r="AJ342" s="190"/>
      <c r="AK342" s="101" t="s">
        <v>2098</v>
      </c>
      <c r="AL342" s="49"/>
      <c r="AM342" s="254" t="s">
        <v>2099</v>
      </c>
      <c r="AN342" s="91">
        <f>Transfer!AD192</f>
        <v>-9999</v>
      </c>
      <c r="AO342" s="242">
        <f>100*((Transfer!AD192/Transfer!AC192)-1)</f>
        <v>0</v>
      </c>
      <c r="AP342" s="242">
        <f>Transfer!AE192</f>
        <v>-9999</v>
      </c>
      <c r="AQ342" s="92">
        <f>100*((Transfer!AE192/Transfer!AD192)-1)</f>
        <v>0</v>
      </c>
      <c r="AR342" s="91">
        <f>Transfer!AF192</f>
        <v>-9999</v>
      </c>
      <c r="AS342" s="242">
        <f>100*((Transfer!AF192/Transfer!AE192)-1)</f>
        <v>0</v>
      </c>
      <c r="AT342" s="242">
        <f>Transfer!AG192</f>
        <v>-9999</v>
      </c>
      <c r="AU342" s="243">
        <f>100*((Transfer!AG192/Transfer!AF192)-1)</f>
        <v>0</v>
      </c>
      <c r="AV342" s="361"/>
      <c r="AW342" s="54"/>
      <c r="AX342" s="54"/>
      <c r="AY342" s="54"/>
      <c r="AZ342" s="54"/>
      <c r="BA342" s="1698" t="s">
        <v>934</v>
      </c>
      <c r="BB342" s="1699"/>
      <c r="BC342" s="54"/>
    </row>
    <row r="343" spans="1:55">
      <c r="A343" s="45"/>
      <c r="B343" s="1665"/>
      <c r="C343" s="1666" t="s">
        <v>2101</v>
      </c>
      <c r="D343" s="2351"/>
      <c r="E343" s="2521" t="s">
        <v>657</v>
      </c>
      <c r="F343" s="2453">
        <f ca="1">Transfer!D193</f>
        <v>5.3306200000000006</v>
      </c>
      <c r="G343" s="2691">
        <f ca="1">100*((Transfer!D193/Transfer!C193)-1)</f>
        <v>8.5069310155311939</v>
      </c>
      <c r="H343" s="2691">
        <f ca="1">Transfer!E193</f>
        <v>5.9556341507806332</v>
      </c>
      <c r="I343" s="2692">
        <f ca="1">100*((Transfer!E193/Transfer!D193)-1)</f>
        <v>11.724980410920915</v>
      </c>
      <c r="J343" s="2453">
        <f ca="1">Transfer!F193</f>
        <v>6.3460517382429362</v>
      </c>
      <c r="K343" s="2691">
        <f ca="1">100*((Transfer!F193/Transfer!E193)-1)</f>
        <v>6.5554326806848806</v>
      </c>
      <c r="L343" s="2691">
        <f ca="1">Transfer!G193</f>
        <v>6.7061137957011194</v>
      </c>
      <c r="M343" s="2693">
        <f ca="1">100*((Transfer!G193/Transfer!F193)-1)</f>
        <v>5.6737964376867067</v>
      </c>
      <c r="N343" s="2390"/>
      <c r="O343" s="54"/>
      <c r="P343" s="54"/>
      <c r="Q343" s="54"/>
      <c r="R343" s="54"/>
      <c r="S343" s="190"/>
      <c r="T343" s="101" t="s">
        <v>2101</v>
      </c>
      <c r="U343" s="49"/>
      <c r="V343" s="254" t="s">
        <v>657</v>
      </c>
      <c r="W343" s="245">
        <f t="shared" ca="1" si="22"/>
        <v>10004.299999999999</v>
      </c>
      <c r="X343" s="245">
        <f t="shared" ca="1" si="22"/>
        <v>8.5</v>
      </c>
      <c r="Y343" s="245">
        <f t="shared" ca="1" si="22"/>
        <v>10005</v>
      </c>
      <c r="Z343" s="245">
        <f t="shared" ca="1" si="22"/>
        <v>11.7</v>
      </c>
      <c r="AA343" s="245">
        <f t="shared" ca="1" si="22"/>
        <v>10005.299999999999</v>
      </c>
      <c r="AB343" s="245">
        <f t="shared" ca="1" si="22"/>
        <v>6.6</v>
      </c>
      <c r="AC343" s="245">
        <f t="shared" ca="1" si="22"/>
        <v>10005.700000000001</v>
      </c>
      <c r="AD343" s="320">
        <f t="shared" ca="1" si="22"/>
        <v>5.7</v>
      </c>
      <c r="AE343" s="361"/>
      <c r="AF343" s="45"/>
      <c r="AG343" s="45"/>
      <c r="AH343" s="45"/>
      <c r="AI343" s="45"/>
      <c r="AJ343" s="190"/>
      <c r="AK343" s="101" t="s">
        <v>2101</v>
      </c>
      <c r="AL343" s="49"/>
      <c r="AM343" s="254" t="s">
        <v>657</v>
      </c>
      <c r="AN343" s="91">
        <f>Transfer!AD193</f>
        <v>-9999</v>
      </c>
      <c r="AO343" s="242">
        <f>100*((Transfer!AD193/Transfer!AC193)-1)</f>
        <v>0</v>
      </c>
      <c r="AP343" s="242">
        <f>Transfer!AE193</f>
        <v>-9999</v>
      </c>
      <c r="AQ343" s="92">
        <f>100*((Transfer!AE193/Transfer!AD193)-1)</f>
        <v>0</v>
      </c>
      <c r="AR343" s="91">
        <f>Transfer!AF193</f>
        <v>-9999</v>
      </c>
      <c r="AS343" s="242">
        <f>100*((Transfer!AF193/Transfer!AE193)-1)</f>
        <v>0</v>
      </c>
      <c r="AT343" s="242">
        <f>Transfer!AG193</f>
        <v>-9999</v>
      </c>
      <c r="AU343" s="243">
        <f>100*((Transfer!AG193/Transfer!AF193)-1)</f>
        <v>0</v>
      </c>
      <c r="AV343" s="361"/>
      <c r="AW343" s="54"/>
      <c r="AX343" s="54"/>
      <c r="AY343" s="54"/>
      <c r="AZ343" s="54"/>
      <c r="BA343" s="1698" t="s">
        <v>1266</v>
      </c>
      <c r="BB343" s="1699"/>
      <c r="BC343" s="54"/>
    </row>
    <row r="344" spans="1:55">
      <c r="A344" s="45"/>
      <c r="B344" s="1665"/>
      <c r="C344" s="2379" t="s">
        <v>658</v>
      </c>
      <c r="D344" s="2380"/>
      <c r="E344" s="2694" t="s">
        <v>659</v>
      </c>
      <c r="F344" s="2695">
        <f ca="1">SUM(Transfer!D187,Transfer!D189,Transfer!D190,Transfer!D191)-(SUM(Transfer!D192,Transfer!D193))</f>
        <v>24.61242</v>
      </c>
      <c r="G344" s="2696">
        <f ca="1">100*(((SUM(Transfer!D187,Transfer!D189,Transfer!D190,Transfer!D191)-(SUM(Transfer!D192,Transfer!D193)))/(SUM(Transfer!C187,Transfer!C189,Transfer!C190,Transfer!C191)-(SUM(Transfer!C192,Transfer!C193))))-1)</f>
        <v>5.4297177194465807</v>
      </c>
      <c r="H344" s="2696">
        <f ca="1">SUM(Transfer!E187,Transfer!E189,Transfer!E190,Transfer!E191)-(SUM(Transfer!E192,Transfer!E193))</f>
        <v>26.29794863521937</v>
      </c>
      <c r="I344" s="2697">
        <f ca="1">100*(((SUM(Transfer!E187,Transfer!E189,Transfer!E190,Transfer!E191)-(SUM(Transfer!E192,Transfer!E193)))/(SUM(Transfer!D187,Transfer!D189,Transfer!D190,Transfer!D191)-(SUM(Transfer!D192,Transfer!D193))))-1)</f>
        <v>6.8482848708878219</v>
      </c>
      <c r="J344" s="2695">
        <f ca="1">SUM(Transfer!F187,Transfer!F189,Transfer!F190,Transfer!F191)-(SUM(Transfer!F192,Transfer!F193))</f>
        <v>27.809516388871799</v>
      </c>
      <c r="K344" s="2696">
        <f ca="1">100*(((SUM(Transfer!F187,Transfer!F189,Transfer!F190,Transfer!F191)-(SUM(Transfer!F192,Transfer!F193)))/(SUM(Transfer!E187,Transfer!E189,Transfer!E190,Transfer!E191)-(SUM(Transfer!E192,Transfer!E193))))-1)</f>
        <v>5.7478542323566195</v>
      </c>
      <c r="L344" s="2696">
        <f ca="1">SUM(Transfer!G187,Transfer!G189,Transfer!G190,Transfer!G191)-(SUM(Transfer!G192,Transfer!G193))</f>
        <v>29.260905930205048</v>
      </c>
      <c r="M344" s="2698">
        <f ca="1">100*(((SUM(Transfer!G187,Transfer!G189,Transfer!G190,Transfer!G191)-(SUM(Transfer!G192,Transfer!G193)))/(SUM(Transfer!F187,Transfer!F189,Transfer!F190,Transfer!F191)-(SUM(Transfer!F192,Transfer!F193))))-1)</f>
        <v>5.2190391268869263</v>
      </c>
      <c r="N344" s="2390"/>
      <c r="O344" s="54"/>
      <c r="P344" s="54"/>
      <c r="Q344" s="54"/>
      <c r="R344" s="54"/>
      <c r="S344" s="190"/>
      <c r="T344" s="427" t="s">
        <v>658</v>
      </c>
      <c r="U344" s="95"/>
      <c r="V344" s="384" t="s">
        <v>659</v>
      </c>
      <c r="W344" s="428">
        <f t="shared" ca="1" si="22"/>
        <v>20022.599999999999</v>
      </c>
      <c r="X344" s="428">
        <f t="shared" ca="1" si="22"/>
        <v>5.4</v>
      </c>
      <c r="Y344" s="428">
        <f t="shared" ca="1" si="22"/>
        <v>20024.3</v>
      </c>
      <c r="Z344" s="428">
        <f t="shared" ca="1" si="22"/>
        <v>6.8</v>
      </c>
      <c r="AA344" s="428">
        <f t="shared" ca="1" si="22"/>
        <v>20025.8</v>
      </c>
      <c r="AB344" s="428">
        <f t="shared" ca="1" si="22"/>
        <v>5.7</v>
      </c>
      <c r="AC344" s="428">
        <f t="shared" ca="1" si="22"/>
        <v>20027.3</v>
      </c>
      <c r="AD344" s="467">
        <f t="shared" ca="1" si="22"/>
        <v>5.2</v>
      </c>
      <c r="AE344" s="103"/>
      <c r="AF344" s="45"/>
      <c r="AG344" s="45"/>
      <c r="AH344" s="45"/>
      <c r="AI344" s="45"/>
      <c r="AJ344" s="190"/>
      <c r="AK344" s="427" t="s">
        <v>658</v>
      </c>
      <c r="AL344" s="95"/>
      <c r="AM344" s="384" t="s">
        <v>659</v>
      </c>
      <c r="AN344" s="96">
        <f>SUM(Transfer!AD187,Transfer!AD189,Transfer!AD190,Transfer!AD191)-(SUM(Transfer!AD192,Transfer!AD193))</f>
        <v>-19998</v>
      </c>
      <c r="AO344" s="2012">
        <f>100*(((SUM(Transfer!AD187,Transfer!AD189,Transfer!AD190,Transfer!AD191)-(SUM(Transfer!AD192,Transfer!AD193)))/(SUM(Transfer!AC187,Transfer!AC189,Transfer!AC190,Transfer!AC191)-(SUM(Transfer!AC192,Transfer!AC193))))-1)</f>
        <v>0</v>
      </c>
      <c r="AP344" s="2012">
        <f>SUM(Transfer!AE187,Transfer!AE189,Transfer!AE190,Transfer!AE191)-(SUM(Transfer!AE192,Transfer!AE193))</f>
        <v>-19998</v>
      </c>
      <c r="AQ344" s="97">
        <f>100*(((SUM(Transfer!AE187,Transfer!AE189,Transfer!AE190,Transfer!AE191)-(SUM(Transfer!AE192,Transfer!AE193)))/(SUM(Transfer!AD187,Transfer!AD189,Transfer!AD190,Transfer!AD191)-(SUM(Transfer!AD192,Transfer!AD193))))-1)</f>
        <v>0</v>
      </c>
      <c r="AR344" s="96">
        <f>SUM(Transfer!AF187,Transfer!AF189,Transfer!AF190,Transfer!AF191)-(SUM(Transfer!AF192,Transfer!AF193))</f>
        <v>-19998</v>
      </c>
      <c r="AS344" s="2012">
        <f>100*(((SUM(Transfer!AF187,Transfer!AF189,Transfer!AF190,Transfer!AF191)-(SUM(Transfer!AF192,Transfer!AF193)))/(SUM(Transfer!AE187,Transfer!AE189,Transfer!AE190,Transfer!AE191)-(SUM(Transfer!AE192,Transfer!AE193))))-1)</f>
        <v>0</v>
      </c>
      <c r="AT344" s="2012">
        <f>SUM(Transfer!AG187,Transfer!AG189,Transfer!AG190,Transfer!AG191)-(SUM(Transfer!AG192,Transfer!AG193))</f>
        <v>-19998</v>
      </c>
      <c r="AU344" s="2056">
        <f>100*(((SUM(Transfer!AG187,Transfer!AG189,Transfer!AG190,Transfer!AG191)-(SUM(Transfer!AG192,Transfer!AG193)))/(SUM(Transfer!AF187,Transfer!AF189,Transfer!AF190,Transfer!AF191)-(SUM(Transfer!AF192,Transfer!AF193))))-1)</f>
        <v>0</v>
      </c>
      <c r="AV344" s="103"/>
      <c r="AW344" s="54"/>
      <c r="AX344" s="54"/>
      <c r="AY344" s="54"/>
      <c r="AZ344" s="54"/>
      <c r="BA344" s="1698" t="s">
        <v>927</v>
      </c>
      <c r="BB344" s="1699"/>
      <c r="BC344" s="54"/>
    </row>
    <row r="345" spans="1:55">
      <c r="A345" s="45"/>
      <c r="B345" s="1665"/>
      <c r="C345" s="1666" t="s">
        <v>1596</v>
      </c>
      <c r="D345" s="2351"/>
      <c r="E345" s="2521" t="s">
        <v>1597</v>
      </c>
      <c r="F345" s="2453">
        <f ca="1">Transfer!D194</f>
        <v>0.13106000000000001</v>
      </c>
      <c r="G345" s="2691">
        <f ca="1">100*((Transfer!D194/Transfer!C194)-1)</f>
        <v>1.8178993163455726</v>
      </c>
      <c r="H345" s="2691">
        <f ca="1">Transfer!E194</f>
        <v>0.13106000000000001</v>
      </c>
      <c r="I345" s="2692">
        <f ca="1">100*((Transfer!E194/Transfer!D194)-1)</f>
        <v>0</v>
      </c>
      <c r="J345" s="2453">
        <f ca="1">Transfer!F194</f>
        <v>0.13106000000000001</v>
      </c>
      <c r="K345" s="2691">
        <f ca="1">100*((Transfer!F194/Transfer!E194)-1)</f>
        <v>0</v>
      </c>
      <c r="L345" s="2691">
        <f ca="1">Transfer!G194</f>
        <v>0.13106000000000001</v>
      </c>
      <c r="M345" s="2693">
        <f ca="1">100*((Transfer!G194/Transfer!F194)-1)</f>
        <v>0</v>
      </c>
      <c r="N345" s="2368"/>
      <c r="O345" s="54"/>
      <c r="P345" s="54"/>
      <c r="Q345" s="54"/>
      <c r="R345" s="54"/>
      <c r="S345" s="190"/>
      <c r="T345" s="101" t="s">
        <v>1596</v>
      </c>
      <c r="U345" s="49"/>
      <c r="V345" s="254" t="s">
        <v>1597</v>
      </c>
      <c r="W345" s="245">
        <f t="shared" ca="1" si="22"/>
        <v>9999.1</v>
      </c>
      <c r="X345" s="245">
        <f t="shared" ca="1" si="22"/>
        <v>1.8</v>
      </c>
      <c r="Y345" s="245">
        <f t="shared" ca="1" si="22"/>
        <v>9999.1</v>
      </c>
      <c r="Z345" s="245">
        <f t="shared" ca="1" si="22"/>
        <v>0</v>
      </c>
      <c r="AA345" s="245">
        <f t="shared" ca="1" si="22"/>
        <v>9999.1</v>
      </c>
      <c r="AB345" s="245">
        <f t="shared" ca="1" si="22"/>
        <v>0</v>
      </c>
      <c r="AC345" s="245">
        <f t="shared" ca="1" si="22"/>
        <v>9999.1</v>
      </c>
      <c r="AD345" s="320">
        <f t="shared" ca="1" si="22"/>
        <v>0</v>
      </c>
      <c r="AE345" s="364"/>
      <c r="AF345" s="45"/>
      <c r="AG345" s="45"/>
      <c r="AH345" s="45"/>
      <c r="AI345" s="45"/>
      <c r="AJ345" s="190"/>
      <c r="AK345" s="101" t="s">
        <v>1596</v>
      </c>
      <c r="AL345" s="49"/>
      <c r="AM345" s="254" t="s">
        <v>1597</v>
      </c>
      <c r="AN345" s="91">
        <f>Transfer!AD194</f>
        <v>-9999</v>
      </c>
      <c r="AO345" s="242">
        <f>100*((Transfer!AD194/Transfer!AC194)-1)</f>
        <v>0</v>
      </c>
      <c r="AP345" s="242">
        <f>Transfer!AE194</f>
        <v>-9999</v>
      </c>
      <c r="AQ345" s="92">
        <f>100*((Transfer!AE194/Transfer!AD194)-1)</f>
        <v>0</v>
      </c>
      <c r="AR345" s="91">
        <f>Transfer!AF194</f>
        <v>-9999</v>
      </c>
      <c r="AS345" s="242">
        <f>100*((Transfer!AF194/Transfer!AE194)-1)</f>
        <v>0</v>
      </c>
      <c r="AT345" s="242">
        <f>Transfer!AG194</f>
        <v>-9999</v>
      </c>
      <c r="AU345" s="243">
        <f>100*((Transfer!AG194/Transfer!AF194)-1)</f>
        <v>0</v>
      </c>
      <c r="AV345" s="364"/>
      <c r="AW345" s="54"/>
      <c r="AX345" s="54"/>
      <c r="AY345" s="54"/>
      <c r="AZ345" s="54"/>
      <c r="BA345" s="1698" t="s">
        <v>928</v>
      </c>
      <c r="BB345" s="1699"/>
      <c r="BC345" s="54"/>
    </row>
    <row r="346" spans="1:55">
      <c r="A346" s="45"/>
      <c r="B346" s="1665"/>
      <c r="C346" s="1666" t="s">
        <v>1598</v>
      </c>
      <c r="D346" s="2351"/>
      <c r="E346" s="2521" t="s">
        <v>1599</v>
      </c>
      <c r="F346" s="2453">
        <f ca="1">SUM(Transfer!D187,Transfer!D189,Transfer!D190,Transfer!D191,Transfer!D194)-(SUM(Transfer!D192,Transfer!D193))</f>
        <v>24.743479999999998</v>
      </c>
      <c r="G346" s="2691">
        <f ca="1">100*(((SUM(Transfer!D187,Transfer!D189,Transfer!D190,Transfer!D191,Transfer!D194)-(SUM(Transfer!D192,Transfer!D193)))/(SUM(Transfer!C187,Transfer!C189,Transfer!C190,Transfer!C191,Transfer!C194)-(SUM(Transfer!C192,Transfer!C193))))-1)</f>
        <v>5.4099119094743742</v>
      </c>
      <c r="H346" s="2691">
        <f ca="1">SUM(Transfer!E187,Transfer!E189,Transfer!E190,Transfer!E191,Transfer!E194)-(SUM(Transfer!E192,Transfer!E193))</f>
        <v>26.429008635219368</v>
      </c>
      <c r="I346" s="2692">
        <f ca="1">100*(((SUM(Transfer!E187,Transfer!E189,Transfer!E190,Transfer!E191,Transfer!E194)-(SUM(Transfer!E192,Transfer!E193)))/(SUM(Transfer!D187,Transfer!D189,Transfer!D190,Transfer!D191,Transfer!D194)-(SUM(Transfer!D192,Transfer!D193))))-1)</f>
        <v>6.8120112256617515</v>
      </c>
      <c r="J346" s="2453">
        <f ca="1">SUM(Transfer!F187,Transfer!F189,Transfer!F190,Transfer!F191,Transfer!F194)-(SUM(Transfer!F192,Transfer!F193))</f>
        <v>27.940576388871797</v>
      </c>
      <c r="K346" s="2691">
        <f ca="1">100*(((SUM(Transfer!F187,Transfer!F189,Transfer!F190,Transfer!F191,Transfer!F194)-(SUM(Transfer!F192,Transfer!F193)))/(SUM(Transfer!E187,Transfer!E189,Transfer!E190,Transfer!E191,Transfer!E194)-(SUM(Transfer!E192,Transfer!E193))))-1)</f>
        <v>5.7193509393996367</v>
      </c>
      <c r="L346" s="2691">
        <f ca="1">SUM(Transfer!G187,Transfer!G189,Transfer!G190,Transfer!G191,Transfer!G194)-(SUM(Transfer!G192,Transfer!G193))</f>
        <v>29.391965930205046</v>
      </c>
      <c r="M346" s="2693">
        <f ca="1">100*(((SUM(Transfer!G187,Transfer!G189,Transfer!G190,Transfer!G191,Transfer!G194)-(SUM(Transfer!G192,Transfer!G193)))/(SUM(Transfer!F187,Transfer!F189,Transfer!F190,Transfer!F191,Transfer!F194)-(SUM(Transfer!F192,Transfer!F193))))-1)</f>
        <v>5.1945583410058394</v>
      </c>
      <c r="N346" s="2390"/>
      <c r="O346" s="54"/>
      <c r="P346" s="54"/>
      <c r="Q346" s="54"/>
      <c r="R346" s="54"/>
      <c r="S346" s="190"/>
      <c r="T346" s="101" t="s">
        <v>1598</v>
      </c>
      <c r="U346" s="49"/>
      <c r="V346" s="254" t="s">
        <v>1599</v>
      </c>
      <c r="W346" s="245">
        <f t="shared" ca="1" si="22"/>
        <v>30021.7</v>
      </c>
      <c r="X346" s="245">
        <f t="shared" ca="1" si="22"/>
        <v>5.4</v>
      </c>
      <c r="Y346" s="245">
        <f t="shared" ca="1" si="22"/>
        <v>30023.4</v>
      </c>
      <c r="Z346" s="245">
        <f t="shared" ca="1" si="22"/>
        <v>6.8</v>
      </c>
      <c r="AA346" s="245">
        <f t="shared" ca="1" si="22"/>
        <v>30024.9</v>
      </c>
      <c r="AB346" s="245">
        <f t="shared" ca="1" si="22"/>
        <v>5.7</v>
      </c>
      <c r="AC346" s="245">
        <f t="shared" ca="1" si="22"/>
        <v>30026.400000000001</v>
      </c>
      <c r="AD346" s="320">
        <f t="shared" ca="1" si="22"/>
        <v>5.2</v>
      </c>
      <c r="AE346" s="103"/>
      <c r="AF346" s="45"/>
      <c r="AG346" s="45"/>
      <c r="AH346" s="45"/>
      <c r="AI346" s="45"/>
      <c r="AJ346" s="190"/>
      <c r="AK346" s="101" t="s">
        <v>1598</v>
      </c>
      <c r="AL346" s="49"/>
      <c r="AM346" s="254" t="s">
        <v>1599</v>
      </c>
      <c r="AN346" s="91">
        <f>SUM(Transfer!AD187,Transfer!AD189,Transfer!AD190,Transfer!AD191,Transfer!AD194)-(SUM(Transfer!AD192,Transfer!AD193))</f>
        <v>-29997</v>
      </c>
      <c r="AO346" s="242">
        <f>100*(((SUM(Transfer!AD187,Transfer!AD189,Transfer!AD190,Transfer!AD191,Transfer!AD194)-(SUM(Transfer!AD192,Transfer!AD193)))/(SUM(Transfer!AC187,Transfer!AC189,Transfer!AC190,Transfer!AC191,Transfer!AC194)-(SUM(Transfer!AC192,Transfer!AC193))))-1)</f>
        <v>0</v>
      </c>
      <c r="AP346" s="242">
        <f>SUM(Transfer!AE187,Transfer!AE189,Transfer!AE190,Transfer!AE191,Transfer!AE194)-(SUM(Transfer!AE192,Transfer!AE193))</f>
        <v>-29997</v>
      </c>
      <c r="AQ346" s="92">
        <f>100*(((SUM(Transfer!AE187,Transfer!AE189,Transfer!AE190,Transfer!AE191,Transfer!AE194)-(SUM(Transfer!AE192,Transfer!AE193)))/(SUM(Transfer!AD187,Transfer!AD189,Transfer!AD190,Transfer!AD191,Transfer!AD194)-(SUM(Transfer!AD192,Transfer!AD193))))-1)</f>
        <v>0</v>
      </c>
      <c r="AR346" s="91">
        <f>SUM(Transfer!AF187,Transfer!AF189,Transfer!AF190,Transfer!AF191,Transfer!AF194)-(SUM(Transfer!AF192,Transfer!AF193))</f>
        <v>-29997</v>
      </c>
      <c r="AS346" s="242">
        <f>100*(((SUM(Transfer!AF187,Transfer!AF189,Transfer!AF190,Transfer!AF191,Transfer!AF194)-(SUM(Transfer!AF192,Transfer!AF193)))/(SUM(Transfer!AE187,Transfer!AE189,Transfer!AE190,Transfer!AE191,Transfer!AE194)-(SUM(Transfer!AE192,Transfer!AE193))))-1)</f>
        <v>0</v>
      </c>
      <c r="AT346" s="242">
        <f>SUM(Transfer!AG187,Transfer!AG189,Transfer!AG190,Transfer!AG191,Transfer!AG194)-(SUM(Transfer!AG192,Transfer!AG193))</f>
        <v>-29997</v>
      </c>
      <c r="AU346" s="243">
        <f>100*(((SUM(Transfer!AG187,Transfer!AG189,Transfer!AG190,Transfer!AG191,Transfer!AG194)-(SUM(Transfer!AG192,Transfer!AG193)))/(SUM(Transfer!AF187,Transfer!AF189,Transfer!AF190,Transfer!AF191,Transfer!AF194)-(SUM(Transfer!AF192,Transfer!AF193))))-1)</f>
        <v>0</v>
      </c>
      <c r="AV346" s="103"/>
      <c r="AW346" s="54"/>
      <c r="AX346" s="54"/>
      <c r="AY346" s="54"/>
      <c r="AZ346" s="54"/>
      <c r="BA346" s="1698" t="s">
        <v>1823</v>
      </c>
      <c r="BB346" s="1699"/>
      <c r="BC346" s="54"/>
    </row>
    <row r="347" spans="1:55">
      <c r="A347" s="45"/>
      <c r="B347" s="1665"/>
      <c r="C347" s="2923" t="s">
        <v>1600</v>
      </c>
      <c r="D347" s="2924"/>
      <c r="E347" s="2925"/>
      <c r="F347" s="2926">
        <f ca="1">(SUM(Transfer!D187,Transfer!D189,Transfer!D190,Transfer!D191,Transfer!D194)-(SUM(Transfer!D192,Transfer!D193)))/(Transfer!D136/Transfer!D284)</f>
        <v>24.513406382498477</v>
      </c>
      <c r="G347" s="2927">
        <f ca="1">100*((((SUM(Transfer!D187,Transfer!D189,Transfer!D190,Transfer!D191,Transfer!D194)-(SUM(Transfer!D192,Transfer!D193)))/(Transfer!D136/Transfer!D284))/((SUM(Transfer!C187,Transfer!C189,Transfer!C190,Transfer!C191,Transfer!C194)-(SUM(Transfer!C192,Transfer!C193)))/(Transfer!C136/Transfer!C284)))-1)</f>
        <v>4.4297733132248052</v>
      </c>
      <c r="H347" s="2926">
        <f ca="1">(SUM(Transfer!E187,Transfer!E189,Transfer!E190,Transfer!E191,Transfer!E194)-(SUM(Transfer!E192,Transfer!E193)))/(Transfer!E136/Transfer!E284)</f>
        <v>25.235966098468893</v>
      </c>
      <c r="I347" s="2927">
        <f ca="1">100*((((SUM(Transfer!E187,Transfer!E189,Transfer!E190,Transfer!E191,Transfer!E194)-(SUM(Transfer!E192,Transfer!E193)))/(Transfer!E136/Transfer!E284))/((SUM(Transfer!D187,Transfer!D189,Transfer!D190,Transfer!D191,Transfer!D194)-(SUM(Transfer!D192,Transfer!D193)))/(Transfer!D136/Transfer!D284)))-1)</f>
        <v>2.9476104001861403</v>
      </c>
      <c r="J347" s="2926">
        <f ca="1">(SUM(Transfer!F187,Transfer!F189,Transfer!F190,Transfer!F191,Transfer!F194)-(SUM(Transfer!F192,Transfer!F193)))/(Transfer!F136/Transfer!F284)</f>
        <v>26.003215947941754</v>
      </c>
      <c r="K347" s="2927">
        <f ca="1">100*((((SUM(Transfer!F187,Transfer!F189,Transfer!F190,Transfer!F191,Transfer!F194)-(SUM(Transfer!F192,Transfer!F193)))/(Transfer!F136/Transfer!F284))/((SUM(Transfer!E187,Transfer!E189,Transfer!E190,Transfer!E191,Transfer!E194)-(SUM(Transfer!E192,Transfer!E193)))/(Transfer!E136/Transfer!E284)))-1)</f>
        <v>3.0403030598436631</v>
      </c>
      <c r="L347" s="2928">
        <f ca="1">(SUM(Transfer!G187,Transfer!G189,Transfer!G190,Transfer!G191,Transfer!G194)-(SUM(Transfer!G192,Transfer!G193)))/(Transfer!G136/Transfer!G284)</f>
        <v>26.765135196570768</v>
      </c>
      <c r="M347" s="2929">
        <f ca="1">100*((((SUM(Transfer!G187,Transfer!G189,Transfer!G190,Transfer!G191,Transfer!G194)-(SUM(Transfer!G192,Transfer!G193)))/(Transfer!G136/Transfer!G284))/((SUM(Transfer!F187,Transfer!F189,Transfer!F190,Transfer!F191,Transfer!F194)-(SUM(Transfer!F192,Transfer!F193)))/(Transfer!F136/Transfer!F284)))-1)</f>
        <v>2.9300962240761619</v>
      </c>
      <c r="N347" s="2390"/>
      <c r="O347" s="54"/>
      <c r="P347" s="54"/>
      <c r="Q347" s="54"/>
      <c r="R347" s="54"/>
      <c r="S347" s="190"/>
      <c r="T347" s="432" t="s">
        <v>1600</v>
      </c>
      <c r="U347" s="1703"/>
      <c r="V347" s="433"/>
      <c r="W347" s="443">
        <f t="shared" ca="1" si="22"/>
        <v>29108.400000000001</v>
      </c>
      <c r="X347" s="443">
        <f t="shared" ca="1" si="22"/>
        <v>7.4</v>
      </c>
      <c r="Y347" s="443">
        <f t="shared" ca="1" si="22"/>
        <v>28713.9</v>
      </c>
      <c r="Z347" s="443">
        <f t="shared" ca="1" si="22"/>
        <v>4.3</v>
      </c>
      <c r="AA347" s="443">
        <f t="shared" ca="1" si="22"/>
        <v>28173.200000000001</v>
      </c>
      <c r="AB347" s="443">
        <f t="shared" ca="1" si="22"/>
        <v>4.9000000000000004</v>
      </c>
      <c r="AC347" s="443">
        <f t="shared" ca="1" si="22"/>
        <v>27523.1</v>
      </c>
      <c r="AD347" s="444">
        <f t="shared" ca="1" si="22"/>
        <v>5.1999999999999993</v>
      </c>
      <c r="AE347" s="103"/>
      <c r="AF347" s="45"/>
      <c r="AG347" s="45"/>
      <c r="AH347" s="45"/>
      <c r="AI347" s="45"/>
      <c r="AJ347" s="190"/>
      <c r="AK347" s="2923" t="s">
        <v>1600</v>
      </c>
      <c r="AL347" s="2924"/>
      <c r="AM347" s="2925"/>
      <c r="AN347" s="2926">
        <f>(SUM(Transfer!AD187,Transfer!AD189,Transfer!AD190,Transfer!AD191,Transfer!AD194)-(SUM(Transfer!AD192,Transfer!AD193)))/(Transfer!AD136/Transfer!AD284)</f>
        <v>-29083.910375007566</v>
      </c>
      <c r="AO347" s="2927">
        <f>100*((((SUM(Transfer!AD187,Transfer!AD189,Transfer!AD190,Transfer!AD191,Transfer!AD194)-(SUM(Transfer!AD192,Transfer!AD193)))/(Transfer!AD136/Transfer!AD284))/((SUM(Transfer!AC187,Transfer!AC189,Transfer!AC190,Transfer!AC191,Transfer!AC194)-(SUM(Transfer!AC192,Transfer!AC193)))/(Transfer!AC136/Transfer!AC284)))-1)</f>
        <v>-3.0439364769558108</v>
      </c>
      <c r="AP347" s="2926">
        <f>(SUM(Transfer!AE187,Transfer!AE189,Transfer!AE190,Transfer!AE191,Transfer!AE194)-(SUM(Transfer!AE192,Transfer!AE193)))/(Transfer!AE136/Transfer!AE284)</f>
        <v>-28688.743383821427</v>
      </c>
      <c r="AQ347" s="2927">
        <f>100*((((SUM(Transfer!AE187,Transfer!AE189,Transfer!AE190,Transfer!AE191,Transfer!AE194)-(SUM(Transfer!AE192,Transfer!AE193)))/(Transfer!AE136/Transfer!AE284))/((SUM(Transfer!AD187,Transfer!AD189,Transfer!AD190,Transfer!AD191,Transfer!AD194)-(SUM(Transfer!AD192,Transfer!AD193)))/(Transfer!AD136/Transfer!AD284)))-1)</f>
        <v>-1.3587134126424538</v>
      </c>
      <c r="AR347" s="2926">
        <f>(SUM(Transfer!AF187,Transfer!AF189,Transfer!AF190,Transfer!AF191,Transfer!AF194)-(SUM(Transfer!AF192,Transfer!AF193)))/(Transfer!AF136/Transfer!AF284)</f>
        <v>-28147.234424652757</v>
      </c>
      <c r="AS347" s="2927">
        <f>100*((((SUM(Transfer!AF187,Transfer!AF189,Transfer!AF190,Transfer!AF191,Transfer!AF194)-(SUM(Transfer!AF192,Transfer!AF193)))/(Transfer!AF136/Transfer!AF284))/((SUM(Transfer!AE187,Transfer!AE189,Transfer!AE190,Transfer!AE191,Transfer!AE194)-(SUM(Transfer!AE192,Transfer!AE193)))/(Transfer!AE136/Transfer!AE284)))-1)</f>
        <v>-1.8875311195193256</v>
      </c>
      <c r="AT347" s="2928">
        <f>(SUM(Transfer!AG187,Transfer!AG189,Transfer!AG190,Transfer!AG191,Transfer!AG194)-(SUM(Transfer!AG192,Transfer!AG193)))/(Transfer!AG136/Transfer!AG284)</f>
        <v>-27496.306758132137</v>
      </c>
      <c r="AU347" s="2929">
        <f>100*((((SUM(Transfer!AG187,Transfer!AG189,Transfer!AG190,Transfer!AG191,Transfer!AG194)-(SUM(Transfer!AG192,Transfer!AG193)))/(Transfer!AG136/Transfer!AG284))/((SUM(Transfer!AF187,Transfer!AF189,Transfer!AF190,Transfer!AF191,Transfer!AF194)-(SUM(Transfer!AF192,Transfer!AF193)))/(Transfer!AF136/Transfer!AF284)))-1)</f>
        <v>-2.31258125292233</v>
      </c>
      <c r="AV347" s="103"/>
      <c r="AW347" s="54"/>
      <c r="AX347" s="54"/>
      <c r="AY347" s="54"/>
      <c r="AZ347" s="54"/>
      <c r="BA347" s="1698" t="s">
        <v>1506</v>
      </c>
      <c r="BB347" s="1699"/>
      <c r="BC347" s="54"/>
    </row>
    <row r="348" spans="1:55">
      <c r="A348" s="45"/>
      <c r="B348" s="1665"/>
      <c r="C348" s="1666" t="s">
        <v>1601</v>
      </c>
      <c r="D348" s="2351"/>
      <c r="E348" s="2521" t="s">
        <v>649</v>
      </c>
      <c r="F348" s="2453">
        <f ca="1">Transfer!D195</f>
        <v>24.863340000000001</v>
      </c>
      <c r="G348" s="2691">
        <f ca="1">100*((Transfer!D195/Transfer!C195)-1)</f>
        <v>5.9202577870326012</v>
      </c>
      <c r="H348" s="2691">
        <f ca="1">Transfer!E195</f>
        <v>26.80039</v>
      </c>
      <c r="I348" s="2692">
        <f ca="1">100*((Transfer!E195/Transfer!D195)-1)</f>
        <v>7.790787561124124</v>
      </c>
      <c r="J348" s="2453">
        <f ca="1">Transfer!F195</f>
        <v>28.459602144899996</v>
      </c>
      <c r="K348" s="2691">
        <f ca="1">100*((Transfer!F195/Transfer!E195)-1)</f>
        <v>6.190999999999991</v>
      </c>
      <c r="L348" s="2691">
        <f ca="1">Transfer!G195</f>
        <v>30.045541934026691</v>
      </c>
      <c r="M348" s="2693">
        <f ca="1">100*((Transfer!G195/Transfer!F195)-1)</f>
        <v>5.5725999999999942</v>
      </c>
      <c r="N348" s="2390"/>
      <c r="O348" s="54"/>
      <c r="P348" s="54"/>
      <c r="Q348" s="54"/>
      <c r="R348" s="54"/>
      <c r="S348" s="190"/>
      <c r="T348" s="101" t="s">
        <v>1601</v>
      </c>
      <c r="U348" s="49"/>
      <c r="V348" s="254" t="s">
        <v>649</v>
      </c>
      <c r="W348" s="245">
        <f t="shared" ca="1" si="22"/>
        <v>10023.9</v>
      </c>
      <c r="X348" s="245">
        <f t="shared" ca="1" si="22"/>
        <v>5.9</v>
      </c>
      <c r="Y348" s="245">
        <f t="shared" ca="1" si="22"/>
        <v>10025.799999999999</v>
      </c>
      <c r="Z348" s="245">
        <f t="shared" ca="1" si="22"/>
        <v>7.8</v>
      </c>
      <c r="AA348" s="245">
        <f t="shared" ca="1" si="22"/>
        <v>10027.5</v>
      </c>
      <c r="AB348" s="245">
        <f t="shared" ca="1" si="22"/>
        <v>6.2</v>
      </c>
      <c r="AC348" s="245">
        <f t="shared" ca="1" si="22"/>
        <v>10029</v>
      </c>
      <c r="AD348" s="320">
        <f t="shared" ca="1" si="22"/>
        <v>5.6</v>
      </c>
      <c r="AE348" s="103"/>
      <c r="AF348" s="45"/>
      <c r="AG348" s="45"/>
      <c r="AH348" s="45"/>
      <c r="AI348" s="45"/>
      <c r="AJ348" s="190"/>
      <c r="AK348" s="101" t="s">
        <v>1601</v>
      </c>
      <c r="AL348" s="49"/>
      <c r="AM348" s="254" t="s">
        <v>649</v>
      </c>
      <c r="AN348" s="91">
        <f>Transfer!AD195</f>
        <v>-9999</v>
      </c>
      <c r="AO348" s="242">
        <f>100*((Transfer!AD195/Transfer!AC195)-1)</f>
        <v>0</v>
      </c>
      <c r="AP348" s="242">
        <f>Transfer!AE195</f>
        <v>-9999</v>
      </c>
      <c r="AQ348" s="92">
        <f>100*((Transfer!AE195/Transfer!AD195)-1)</f>
        <v>0</v>
      </c>
      <c r="AR348" s="91">
        <f>Transfer!AF195</f>
        <v>-9999</v>
      </c>
      <c r="AS348" s="242">
        <f>100*((Transfer!AF195/Transfer!AE195)-1)</f>
        <v>0</v>
      </c>
      <c r="AT348" s="242">
        <f>Transfer!AG195</f>
        <v>-9999</v>
      </c>
      <c r="AU348" s="243">
        <f>100*((Transfer!AG195/Transfer!AF195)-1)</f>
        <v>0</v>
      </c>
      <c r="AV348" s="103"/>
      <c r="AW348" s="54"/>
      <c r="AX348" s="54"/>
      <c r="AY348" s="54"/>
      <c r="AZ348" s="54"/>
      <c r="BA348" s="1698" t="s">
        <v>1507</v>
      </c>
      <c r="BB348" s="1699"/>
      <c r="BC348" s="54"/>
    </row>
    <row r="349" spans="1:55">
      <c r="A349" s="45"/>
      <c r="B349" s="1665"/>
      <c r="C349" s="1666" t="s">
        <v>1602</v>
      </c>
      <c r="D349" s="2351"/>
      <c r="E349" s="2521" t="s">
        <v>1603</v>
      </c>
      <c r="F349" s="2691">
        <f ca="1">SUM(Transfer!D187,Transfer!D189,Transfer!D190,Transfer!D191,Transfer!D194)-(SUM(Transfer!D192,Transfer!D193,Transfer!D195))</f>
        <v>-0.11985999999999919</v>
      </c>
      <c r="G349" s="2394">
        <f ca="1">100*(((SUM(Transfer!D187,Transfer!D189,Transfer!D190,Transfer!D191,Transfer!D194)-(SUM(Transfer!D192,Transfer!D193,Transfer!D195)))/(SUM(Transfer!C187,Transfer!C189,Transfer!C190,Transfer!C191,Transfer!C194)-(SUM(Transfer!C192,Transfer!C193,Transfer!C195))))-1)</f>
        <v>199666.66667422804</v>
      </c>
      <c r="H349" s="2691">
        <f ca="1">SUM(Transfer!E187,Transfer!E189,Transfer!E190,Transfer!E191,Transfer!E194)-(SUM(Transfer!E192,Transfer!E193,Transfer!E195))</f>
        <v>-0.37138136478063188</v>
      </c>
      <c r="I349" s="2394">
        <f ca="1">100*(((SUM(Transfer!E187,Transfer!E189,Transfer!E190,Transfer!E191,Transfer!E194)-(SUM(Transfer!E192,Transfer!E193,Transfer!E195)))/(SUM(Transfer!D187,Transfer!D189,Transfer!D190,Transfer!D191,Transfer!D194)-(SUM(Transfer!D192,Transfer!D193,Transfer!D195))))-1)</f>
        <v>209.84595760106322</v>
      </c>
      <c r="J349" s="2691">
        <f ca="1">SUM(Transfer!F187,Transfer!F189,Transfer!F190,Transfer!F191,Transfer!F194)-(SUM(Transfer!F192,Transfer!F193,Transfer!F195))</f>
        <v>-0.51902575602819923</v>
      </c>
      <c r="K349" s="2394">
        <f ca="1">100*(((SUM(Transfer!F187,Transfer!F189,Transfer!F190,Transfer!F191,Transfer!F194)-(SUM(Transfer!F192,Transfer!F193,Transfer!F195)))/(SUM(Transfer!E187,Transfer!E189,Transfer!E190,Transfer!E191,Transfer!E194)-(SUM(Transfer!E192,Transfer!E193,Transfer!E195))))-1)</f>
        <v>39.75546574200839</v>
      </c>
      <c r="L349" s="2691">
        <f ca="1">SUM(Transfer!G187,Transfer!G189,Transfer!G190,Transfer!G191,Transfer!G194)-(SUM(Transfer!G192,Transfer!G193,Transfer!G195))</f>
        <v>-0.65357600382164804</v>
      </c>
      <c r="M349" s="2378">
        <f ca="1">100*(((SUM(Transfer!G187,Transfer!G189,Transfer!G190,Transfer!G191,Transfer!G194)-(SUM(Transfer!G192,Transfer!G193,Transfer!G195)))/(SUM(Transfer!F187,Transfer!F189,Transfer!F190,Transfer!F191,Transfer!F194)-(SUM(Transfer!F192,Transfer!F193,Transfer!F195))))-1)</f>
        <v>25.92361674362429</v>
      </c>
      <c r="N349" s="2390"/>
      <c r="O349" s="54"/>
      <c r="P349" s="54"/>
      <c r="Q349" s="54"/>
      <c r="R349" s="54"/>
      <c r="S349" s="190"/>
      <c r="T349" s="101" t="s">
        <v>1602</v>
      </c>
      <c r="U349" s="49"/>
      <c r="V349" s="254" t="s">
        <v>1603</v>
      </c>
      <c r="W349" s="245">
        <f t="shared" ca="1" si="22"/>
        <v>19997.900000000001</v>
      </c>
      <c r="X349" s="245">
        <f t="shared" ca="1" si="22"/>
        <v>199666.7</v>
      </c>
      <c r="Y349" s="245">
        <f t="shared" ca="1" si="22"/>
        <v>19997.599999999999</v>
      </c>
      <c r="Z349" s="245">
        <f t="shared" ca="1" si="22"/>
        <v>209.8</v>
      </c>
      <c r="AA349" s="245">
        <f t="shared" ca="1" si="22"/>
        <v>19997.5</v>
      </c>
      <c r="AB349" s="245">
        <f t="shared" ca="1" si="22"/>
        <v>39.799999999999997</v>
      </c>
      <c r="AC349" s="245">
        <f t="shared" ca="1" si="22"/>
        <v>19997.3</v>
      </c>
      <c r="AD349" s="320">
        <f t="shared" ca="1" si="22"/>
        <v>25.9</v>
      </c>
      <c r="AE349" s="103"/>
      <c r="AF349" s="45"/>
      <c r="AG349" s="45"/>
      <c r="AH349" s="45"/>
      <c r="AI349" s="45"/>
      <c r="AJ349" s="190"/>
      <c r="AK349" s="101" t="s">
        <v>1602</v>
      </c>
      <c r="AL349" s="49"/>
      <c r="AM349" s="254" t="s">
        <v>1603</v>
      </c>
      <c r="AN349" s="242">
        <f>SUM(Transfer!AD187,Transfer!AD189,Transfer!AD190,Transfer!AD191,Transfer!AD194)-(SUM(Transfer!AD192,Transfer!AD193,Transfer!AD195))</f>
        <v>-19998</v>
      </c>
      <c r="AO349" s="242">
        <f>100*(((SUM(Transfer!AD187,Transfer!AD189,Transfer!AD190,Transfer!AD191,Transfer!AD194)-(SUM(Transfer!AD192,Transfer!AD193,Transfer!AD195)))/(SUM(Transfer!AC187,Transfer!AC189,Transfer!AC190,Transfer!AC191,Transfer!AC194)-(SUM(Transfer!AC192,Transfer!AC193,Transfer!AC195))))-1)</f>
        <v>0</v>
      </c>
      <c r="AP349" s="242">
        <f>SUM(Transfer!AE187,Transfer!AE189,Transfer!AE190,Transfer!AE191,Transfer!AE194)-(SUM(Transfer!AE192,Transfer!AE193,Transfer!AE195))</f>
        <v>-19998</v>
      </c>
      <c r="AQ349" s="242">
        <f>100*(((SUM(Transfer!AE187,Transfer!AE189,Transfer!AE190,Transfer!AE191,Transfer!AE194)-(SUM(Transfer!AE192,Transfer!AE193,Transfer!AE195)))/(SUM(Transfer!AD187,Transfer!AD189,Transfer!AD190,Transfer!AD191,Transfer!AD194)-(SUM(Transfer!AD192,Transfer!AD193,Transfer!AD195))))-1)</f>
        <v>0</v>
      </c>
      <c r="AR349" s="242">
        <f>SUM(Transfer!AF187,Transfer!AF189,Transfer!AF190,Transfer!AF191,Transfer!AF194)-(SUM(Transfer!AF192,Transfer!AF193,Transfer!AF195))</f>
        <v>-19998</v>
      </c>
      <c r="AS349" s="242">
        <f>100*(((SUM(Transfer!AF187,Transfer!AF189,Transfer!AF190,Transfer!AF191,Transfer!AF194)-(SUM(Transfer!AF192,Transfer!AF193,Transfer!AF195)))/(SUM(Transfer!AE187,Transfer!AE189,Transfer!AE190,Transfer!AE191,Transfer!AE194)-(SUM(Transfer!AE192,Transfer!AE193,Transfer!AE195))))-1)</f>
        <v>0</v>
      </c>
      <c r="AT349" s="242">
        <f>SUM(Transfer!AG187,Transfer!AG189,Transfer!AG190,Transfer!AG191,Transfer!AG194)-(SUM(Transfer!AG192,Transfer!AG193,Transfer!AG195))</f>
        <v>-19998</v>
      </c>
      <c r="AU349" s="93">
        <f>100*(((SUM(Transfer!AG187,Transfer!AG189,Transfer!AG190,Transfer!AG191,Transfer!AG194)-(SUM(Transfer!AG192,Transfer!AG193,Transfer!AG195)))/(SUM(Transfer!AF187,Transfer!AF189,Transfer!AF190,Transfer!AF191,Transfer!AF194)-(SUM(Transfer!AF192,Transfer!AF193,Transfer!AF195))))-1)</f>
        <v>0</v>
      </c>
      <c r="AV349" s="103"/>
      <c r="AW349" s="54"/>
      <c r="AX349" s="54"/>
      <c r="AY349" s="54"/>
      <c r="AZ349" s="54"/>
      <c r="BA349" s="1698" t="s">
        <v>1719</v>
      </c>
      <c r="BB349" s="1699"/>
      <c r="BC349" s="54"/>
    </row>
    <row r="350" spans="1:55">
      <c r="A350" s="45"/>
      <c r="B350" s="1665"/>
      <c r="C350" s="2463" t="s">
        <v>1819</v>
      </c>
      <c r="D350" s="2464"/>
      <c r="E350" s="2537"/>
      <c r="F350" s="3674">
        <f ca="1">100*(SUM(Transfer!D187,Transfer!D189,Transfer!D190,Transfer!D191,Transfer!D194)-(SUM(Transfer!D192,Transfer!D193,Transfer!D195)))/(SUM(Transfer!D187,Transfer!D189,Transfer!D190,Transfer!D191,Transfer!D194)-(SUM(Transfer!D192,Transfer!D193)))</f>
        <v>-0.48441043862867794</v>
      </c>
      <c r="G350" s="3675"/>
      <c r="H350" s="3674">
        <f ca="1">100*(SUM(Transfer!E187,Transfer!E189,Transfer!E190,Transfer!E191,Transfer!E194)-(SUM(Transfer!E192,Transfer!E193,Transfer!E195)))/(SUM(Transfer!E187,Transfer!E189,Transfer!E190,Transfer!E191,Transfer!E194)-(SUM(Transfer!E192,Transfer!E193)))</f>
        <v>-1.4052035394385851</v>
      </c>
      <c r="I350" s="3675"/>
      <c r="J350" s="3674">
        <f ca="1">100*(SUM(Transfer!F187,Transfer!F189,Transfer!F190,Transfer!F191,Transfer!F194)-(SUM(Transfer!F192,Transfer!F193,Transfer!F195)))/(SUM(Transfer!F187,Transfer!F189,Transfer!F190,Transfer!F191,Transfer!F194)-(SUM(Transfer!F192,Transfer!F193)))</f>
        <v>-1.857605758752054</v>
      </c>
      <c r="K350" s="3675"/>
      <c r="L350" s="3674">
        <f ca="1">100*(SUM(Transfer!G187,Transfer!G189,Transfer!G190,Transfer!G191,Transfer!G194)-(SUM(Transfer!G192,Transfer!G193,Transfer!G195)))/(SUM(Transfer!G187,Transfer!G189,Transfer!G190,Transfer!G191,Transfer!G194)-(SUM(Transfer!G192,Transfer!G193)))</f>
        <v>-2.2236552851675428</v>
      </c>
      <c r="M350" s="3676"/>
      <c r="N350" s="2390"/>
      <c r="O350" s="54"/>
      <c r="P350" s="54"/>
      <c r="Q350" s="54"/>
      <c r="R350" s="54"/>
      <c r="S350" s="190"/>
      <c r="T350" s="159" t="s">
        <v>1819</v>
      </c>
      <c r="U350" s="1704"/>
      <c r="V350" s="433"/>
      <c r="W350" s="443">
        <f ca="1">ROUND(F350,1)-ROUND(AN350,1)</f>
        <v>-67.2</v>
      </c>
      <c r="X350" s="282"/>
      <c r="Y350" s="443">
        <f ca="1">ROUND(H350,1)-ROUND(AP350,1)</f>
        <v>-68.100000000000009</v>
      </c>
      <c r="Z350" s="282"/>
      <c r="AA350" s="443">
        <f ca="1">ROUND(J350,1)-ROUND(AR350,1)</f>
        <v>-68.600000000000009</v>
      </c>
      <c r="AB350" s="282"/>
      <c r="AC350" s="443">
        <f t="shared" ca="1" si="22"/>
        <v>-68.900000000000006</v>
      </c>
      <c r="AD350" s="283"/>
      <c r="AE350" s="103"/>
      <c r="AF350" s="45"/>
      <c r="AG350" s="45"/>
      <c r="AH350" s="45"/>
      <c r="AI350" s="45"/>
      <c r="AJ350" s="190"/>
      <c r="AK350" s="159" t="s">
        <v>1819</v>
      </c>
      <c r="AL350" s="1704"/>
      <c r="AM350" s="433"/>
      <c r="AN350" s="282">
        <f>100*(SUM(Transfer!AD187,Transfer!AD189,Transfer!AD190,Transfer!AD191,Transfer!AD194)-(SUM(Transfer!AD192,Transfer!AD193,Transfer!AD195)))/(SUM(Transfer!AD187,Transfer!AD189,Transfer!AD190,Transfer!AD191,Transfer!AD194)-(SUM(Transfer!AD192,Transfer!AD193)))</f>
        <v>66.666666666666671</v>
      </c>
      <c r="AO350" s="282"/>
      <c r="AP350" s="282">
        <f>100*(SUM(Transfer!AE187,Transfer!AE189,Transfer!AE190,Transfer!AE191,Transfer!AE194)-(SUM(Transfer!AE192,Transfer!AE193,Transfer!AE195)))/(SUM(Transfer!AE187,Transfer!AE189,Transfer!AE190,Transfer!AE191,Transfer!AE194)-(SUM(Transfer!AE192,Transfer!AE193)))</f>
        <v>66.666666666666671</v>
      </c>
      <c r="AQ350" s="282"/>
      <c r="AR350" s="282">
        <f>100*(SUM(Transfer!AF187,Transfer!AF189,Transfer!AF190,Transfer!AF191,Transfer!AF194)-(SUM(Transfer!AF192,Transfer!AF193,Transfer!AF195)))/(SUM(Transfer!AF187,Transfer!AF189,Transfer!AF190,Transfer!AF191,Transfer!AF194)-(SUM(Transfer!AF192,Transfer!AF193)))</f>
        <v>66.666666666666671</v>
      </c>
      <c r="AS350" s="282"/>
      <c r="AT350" s="282">
        <f>100*(SUM(Transfer!AG187,Transfer!AG189,Transfer!AG190,Transfer!AG191,Transfer!AG194)-(SUM(Transfer!AG192,Transfer!AG193,Transfer!AG195)))/(SUM(Transfer!AG187,Transfer!AG189,Transfer!AG190,Transfer!AG191,Transfer!AG194)-(SUM(Transfer!AG192,Transfer!AG193)))</f>
        <v>66.666666666666671</v>
      </c>
      <c r="AU350" s="283"/>
      <c r="AV350" s="103"/>
      <c r="AW350" s="54"/>
      <c r="AX350" s="54"/>
      <c r="AY350" s="54"/>
      <c r="AZ350" s="54"/>
      <c r="BA350" s="1698" t="s">
        <v>1720</v>
      </c>
      <c r="BB350" s="1699"/>
      <c r="BC350" s="54"/>
    </row>
    <row r="351" spans="1:55">
      <c r="A351" s="45"/>
      <c r="B351" s="1665"/>
      <c r="C351" s="1666" t="s">
        <v>1061</v>
      </c>
      <c r="D351" s="2351"/>
      <c r="E351" s="2521" t="s">
        <v>1062</v>
      </c>
      <c r="F351" s="2376">
        <f ca="1">Transfer!D196</f>
        <v>1.73797</v>
      </c>
      <c r="G351" s="2691">
        <f ca="1">100*((Transfer!D196/Transfer!C196)-1)</f>
        <v>9.1374351632066197</v>
      </c>
      <c r="H351" s="2394">
        <f ca="1">Transfer!E196</f>
        <v>1.7989497999999999</v>
      </c>
      <c r="I351" s="2692">
        <f ca="1">100*((Transfer!E196/Transfer!D196)-1)</f>
        <v>3.5086796665074749</v>
      </c>
      <c r="J351" s="2376">
        <f ca="1">Transfer!F196</f>
        <v>1.8620638929999997</v>
      </c>
      <c r="K351" s="2691">
        <f ca="1">100*((Transfer!F196/Transfer!E196)-1)</f>
        <v>3.5083854479985854</v>
      </c>
      <c r="L351" s="2394">
        <f ca="1">Transfer!G196</f>
        <v>1.9273869792549996</v>
      </c>
      <c r="M351" s="2693">
        <f ca="1">100*((Transfer!G196/Transfer!F196)-1)</f>
        <v>3.5081012257724753</v>
      </c>
      <c r="N351" s="2390"/>
      <c r="O351" s="54"/>
      <c r="P351" s="54"/>
      <c r="Q351" s="54"/>
      <c r="R351" s="54"/>
      <c r="S351" s="190"/>
      <c r="T351" s="101" t="s">
        <v>1061</v>
      </c>
      <c r="U351" s="49"/>
      <c r="V351" s="254" t="s">
        <v>1062</v>
      </c>
      <c r="W351" s="245">
        <f ca="1">ROUND(F351,1)-ROUND(AN351,1)</f>
        <v>10000.700000000001</v>
      </c>
      <c r="X351" s="245">
        <f ca="1">ROUND(G351,1)-ROUND(AO351,1)</f>
        <v>9.1</v>
      </c>
      <c r="Y351" s="245">
        <f ca="1">ROUND(H351,1)-ROUND(AP351,1)</f>
        <v>10000.799999999999</v>
      </c>
      <c r="Z351" s="245">
        <f ca="1">ROUND(I351,1)-ROUND(AQ351,1)</f>
        <v>3.5</v>
      </c>
      <c r="AA351" s="245">
        <f ca="1">ROUND(J351,1)-ROUND(AR351,1)</f>
        <v>10000.9</v>
      </c>
      <c r="AB351" s="245">
        <f ca="1">ROUND(K351,1)-ROUND(AS351,1)</f>
        <v>3.5</v>
      </c>
      <c r="AC351" s="245">
        <f t="shared" ca="1" si="22"/>
        <v>10000.9</v>
      </c>
      <c r="AD351" s="320">
        <f t="shared" ca="1" si="22"/>
        <v>3.5</v>
      </c>
      <c r="AE351" s="103"/>
      <c r="AF351" s="45"/>
      <c r="AG351" s="45"/>
      <c r="AH351" s="45"/>
      <c r="AI351" s="45"/>
      <c r="AJ351" s="190"/>
      <c r="AK351" s="101" t="s">
        <v>1061</v>
      </c>
      <c r="AL351" s="49"/>
      <c r="AM351" s="254" t="s">
        <v>1062</v>
      </c>
      <c r="AN351" s="91">
        <f>Transfer!AD196</f>
        <v>-9999</v>
      </c>
      <c r="AO351" s="242">
        <f>100*((Transfer!AD196/Transfer!AC196)-1)</f>
        <v>0</v>
      </c>
      <c r="AP351" s="242">
        <f>Transfer!AE196</f>
        <v>-9999</v>
      </c>
      <c r="AQ351" s="92">
        <f>100*((Transfer!AE196/Transfer!AD196)-1)</f>
        <v>0</v>
      </c>
      <c r="AR351" s="91">
        <f>Transfer!AF196</f>
        <v>-9999</v>
      </c>
      <c r="AS351" s="242">
        <f>100*((Transfer!AF196/Transfer!AE196)-1)</f>
        <v>0</v>
      </c>
      <c r="AT351" s="242">
        <f>Transfer!AG196</f>
        <v>-9999</v>
      </c>
      <c r="AU351" s="243">
        <f>100*((Transfer!AG196/Transfer!AF196)-1)</f>
        <v>0</v>
      </c>
      <c r="AV351" s="103"/>
      <c r="AW351" s="54"/>
      <c r="AX351" s="54"/>
      <c r="AY351" s="54"/>
      <c r="AZ351" s="54"/>
      <c r="BA351" s="1698" t="s">
        <v>1721</v>
      </c>
      <c r="BB351" s="1699"/>
      <c r="BC351" s="54"/>
    </row>
    <row r="352" spans="1:55">
      <c r="A352" s="45"/>
      <c r="B352" s="1665"/>
      <c r="C352" s="1666" t="s">
        <v>409</v>
      </c>
      <c r="D352" s="2351"/>
      <c r="E352" s="2521" t="s">
        <v>410</v>
      </c>
      <c r="F352" s="2453">
        <f ca="1">Transfer!D197</f>
        <v>-0.13267000000000001</v>
      </c>
      <c r="G352" s="2691">
        <f ca="1">100*((Transfer!D197/Transfer!C197)-1)</f>
        <v>-14.362251484637223</v>
      </c>
      <c r="H352" s="2691">
        <f ca="1">Transfer!E197</f>
        <v>-0.12881580000000001</v>
      </c>
      <c r="I352" s="2692">
        <f ca="1">100*((Transfer!E197/Transfer!D197)-1)</f>
        <v>-2.9051028868621431</v>
      </c>
      <c r="J352" s="2453">
        <f ca="1">Transfer!F197</f>
        <v>-0.125231394</v>
      </c>
      <c r="K352" s="2691">
        <f ca="1">100*((Transfer!F197/Transfer!E197)-1)</f>
        <v>-2.7825825713926444</v>
      </c>
      <c r="L352" s="2691">
        <f ca="1">Transfer!G197</f>
        <v>-0.12189789641999998</v>
      </c>
      <c r="M352" s="2693">
        <f ca="1">100*((Transfer!G197/Transfer!F197)-1)</f>
        <v>-2.6618705370316409</v>
      </c>
      <c r="N352" s="2372"/>
      <c r="O352" s="54"/>
      <c r="P352" s="54"/>
      <c r="Q352" s="54"/>
      <c r="R352" s="54"/>
      <c r="S352" s="190"/>
      <c r="T352" s="101" t="s">
        <v>409</v>
      </c>
      <c r="U352" s="49"/>
      <c r="V352" s="254" t="s">
        <v>410</v>
      </c>
      <c r="W352" s="245">
        <f ca="1">ROUND(F352,1)-ROUND(AN352,1)</f>
        <v>9998.9</v>
      </c>
      <c r="X352" s="245">
        <f ca="1">ROUND(G352,1)-ROUND(AO352,1)</f>
        <v>-14.4</v>
      </c>
      <c r="Y352" s="245">
        <f ca="1">ROUND(H352,1)-ROUND(AP352,1)</f>
        <v>9998.9</v>
      </c>
      <c r="Z352" s="245">
        <f ca="1">ROUND(I352,1)-ROUND(AQ352,1)</f>
        <v>-2.9</v>
      </c>
      <c r="AA352" s="245">
        <f ca="1">ROUND(J352,1)-ROUND(AR352,1)</f>
        <v>9998.9</v>
      </c>
      <c r="AB352" s="245">
        <f ca="1">ROUND(K352,1)-ROUND(AS352,1)</f>
        <v>-2.8</v>
      </c>
      <c r="AC352" s="245">
        <f t="shared" ca="1" si="22"/>
        <v>9998.9</v>
      </c>
      <c r="AD352" s="320">
        <f t="shared" ca="1" si="22"/>
        <v>-2.7</v>
      </c>
      <c r="AE352" s="366"/>
      <c r="AF352" s="45"/>
      <c r="AG352" s="45"/>
      <c r="AH352" s="45"/>
      <c r="AI352" s="45"/>
      <c r="AJ352" s="190"/>
      <c r="AK352" s="101" t="s">
        <v>409</v>
      </c>
      <c r="AL352" s="49"/>
      <c r="AM352" s="254" t="s">
        <v>410</v>
      </c>
      <c r="AN352" s="91">
        <f>Transfer!AD197</f>
        <v>-9999</v>
      </c>
      <c r="AO352" s="242">
        <f>100*((Transfer!AD197/Transfer!AC197)-1)</f>
        <v>0</v>
      </c>
      <c r="AP352" s="242">
        <f>Transfer!AE197</f>
        <v>-9999</v>
      </c>
      <c r="AQ352" s="92">
        <f>100*((Transfer!AE197/Transfer!AD197)-1)</f>
        <v>0</v>
      </c>
      <c r="AR352" s="91">
        <f>Transfer!AF197</f>
        <v>-9999</v>
      </c>
      <c r="AS352" s="242">
        <f>100*((Transfer!AF197/Transfer!AE197)-1)</f>
        <v>0</v>
      </c>
      <c r="AT352" s="242">
        <f>Transfer!AG197</f>
        <v>-9999</v>
      </c>
      <c r="AU352" s="243">
        <f>100*((Transfer!AG197/Transfer!AF197)-1)</f>
        <v>0</v>
      </c>
      <c r="AV352" s="366"/>
      <c r="AW352" s="54"/>
      <c r="AX352" s="54"/>
      <c r="AY352" s="54"/>
      <c r="AZ352" s="54"/>
      <c r="BA352" s="1698" t="s">
        <v>1722</v>
      </c>
      <c r="BB352" s="1699"/>
      <c r="BC352" s="54"/>
    </row>
    <row r="353" spans="1:55">
      <c r="A353" s="45"/>
      <c r="B353" s="1665"/>
      <c r="C353" s="2455" t="s">
        <v>1563</v>
      </c>
      <c r="D353" s="2433"/>
      <c r="E353" s="2521" t="s">
        <v>1564</v>
      </c>
      <c r="F353" s="2700">
        <f ca="1">SUM(Transfer!D187,Transfer!D189,Transfer!D190,Transfer!D191,Transfer!D194)-(SUM(Transfer!D192,Transfer!D193,Transfer!D195,Transfer!D196,Transfer!D197))</f>
        <v>-1.7251599999999989</v>
      </c>
      <c r="G353" s="2394">
        <f ca="1">100*(((SUM(Transfer!D187,Transfer!D189,Transfer!D190,Transfer!D191,Transfer!D194)-(SUM(Transfer!D192,Transfer!D193,Transfer!D195,Transfer!D196,Transfer!D197)))/(SUM(Transfer!C187,Transfer!C189,Transfer!C190,Transfer!C191,Transfer!C194)-(SUM(Transfer!C192,Transfer!C193,Transfer!C195,Transfer!C196,Transfer!C197))))-1)</f>
        <v>20.002782415136579</v>
      </c>
      <c r="H353" s="2700">
        <f ca="1">SUM(Transfer!E187,Transfer!E189,Transfer!E190,Transfer!E191,Transfer!E194)-(SUM(Transfer!E192,Transfer!E193,Transfer!E195,Transfer!E196,Transfer!E197))</f>
        <v>-2.0415153647806363</v>
      </c>
      <c r="I353" s="2394">
        <f ca="1">100*(((SUM(Transfer!E187,Transfer!E189,Transfer!E190,Transfer!E191,Transfer!E194)-(SUM(Transfer!E192,Transfer!E193,Transfer!E195,Transfer!E196,Transfer!E197)))/(SUM(Transfer!D187,Transfer!D189,Transfer!D190,Transfer!D191,Transfer!D194)-(SUM(Transfer!D192,Transfer!D193,Transfer!D195,Transfer!D196,Transfer!D197))))-1)</f>
        <v>18.337740544682092</v>
      </c>
      <c r="J353" s="2700">
        <f ca="1">SUM(Transfer!F187,Transfer!F189,Transfer!F190,Transfer!F191,Transfer!F194)-(SUM(Transfer!F192,Transfer!F193,Transfer!F195,Transfer!F196,Transfer!F197))</f>
        <v>-2.2558582550282011</v>
      </c>
      <c r="K353" s="2394">
        <f ca="1">100*(((SUM(Transfer!F187,Transfer!F189,Transfer!F190,Transfer!F191,Transfer!F194)-(SUM(Transfer!F192,Transfer!F193,Transfer!F195,Transfer!F196,Transfer!F197)))/(SUM(Transfer!E187,Transfer!E189,Transfer!E190,Transfer!E191,Transfer!E194)-(SUM(Transfer!E192,Transfer!E193,Transfer!E195,Transfer!E196,Transfer!E197))))-1)</f>
        <v>10.499205342527329</v>
      </c>
      <c r="L353" s="2700">
        <f ca="1">SUM(Transfer!G187,Transfer!G189,Transfer!G190,Transfer!G191,Transfer!G194)-(SUM(Transfer!G192,Transfer!G193,Transfer!G195,Transfer!G196,Transfer!G197))</f>
        <v>-2.4590650866566435</v>
      </c>
      <c r="M353" s="2378">
        <f ca="1">100*(((SUM(Transfer!G187,Transfer!G189,Transfer!G190,Transfer!G191,Transfer!G194)-(SUM(Transfer!G192,Transfer!G193,Transfer!G195,Transfer!G196,Transfer!G197)))/(SUM(Transfer!F187,Transfer!F189,Transfer!F190,Transfer!F191,Transfer!F194)-(SUM(Transfer!F192,Transfer!F193,Transfer!F195,Transfer!F196,Transfer!F197))))-1)</f>
        <v>9.0079609911440031</v>
      </c>
      <c r="N353" s="2372"/>
      <c r="O353" s="54"/>
      <c r="P353" s="54"/>
      <c r="Q353" s="54"/>
      <c r="R353" s="54"/>
      <c r="S353" s="190"/>
      <c r="T353" s="434" t="s">
        <v>1563</v>
      </c>
      <c r="U353" s="144"/>
      <c r="V353" s="254" t="s">
        <v>1564</v>
      </c>
      <c r="W353" s="245">
        <f ca="1">ROUND(F353,1)-ROUND(AN353,1)</f>
        <v>-1.7</v>
      </c>
      <c r="X353" s="245" t="e">
        <f ca="1">ROUND(G353,1)-ROUND(AO353,1)</f>
        <v>#DIV/0!</v>
      </c>
      <c r="Y353" s="245">
        <f ca="1">ROUND(H353,1)-ROUND(AP353,1)</f>
        <v>-2</v>
      </c>
      <c r="Z353" s="245" t="e">
        <f ca="1">ROUND(I353,1)-ROUND(AQ353,1)</f>
        <v>#DIV/0!</v>
      </c>
      <c r="AA353" s="245">
        <f ca="1">ROUND(J353,1)-ROUND(AR353,1)</f>
        <v>-2.2999999999999998</v>
      </c>
      <c r="AB353" s="245" t="e">
        <f ca="1">ROUND(K353,1)-ROUND(AS353,1)</f>
        <v>#DIV/0!</v>
      </c>
      <c r="AC353" s="245">
        <f t="shared" ca="1" si="22"/>
        <v>-2.5</v>
      </c>
      <c r="AD353" s="320" t="e">
        <f t="shared" ca="1" si="22"/>
        <v>#DIV/0!</v>
      </c>
      <c r="AE353" s="366"/>
      <c r="AF353" s="45"/>
      <c r="AG353" s="45"/>
      <c r="AH353" s="45"/>
      <c r="AI353" s="45"/>
      <c r="AJ353" s="190"/>
      <c r="AK353" s="434" t="s">
        <v>1563</v>
      </c>
      <c r="AL353" s="144"/>
      <c r="AM353" s="254" t="s">
        <v>1564</v>
      </c>
      <c r="AN353" s="435">
        <f>SUM(Transfer!AD187,Transfer!AD189,Transfer!AD190,Transfer!AD191,Transfer!AD194)-(SUM(Transfer!AD192,Transfer!AD193,Transfer!AD195,Transfer!AD196,Transfer!AD197))</f>
        <v>0</v>
      </c>
      <c r="AO353" s="242" t="e">
        <f>100*(((SUM(Transfer!AD187,Transfer!AD189,Transfer!AD190,Transfer!AD191,Transfer!AD194)-(SUM(Transfer!AD192,Transfer!AD193,Transfer!AD195,Transfer!AD196,Transfer!AD197)))/(SUM(Transfer!AC187,Transfer!AC189,Transfer!AC190,Transfer!AC191,Transfer!AC194)-(SUM(Transfer!AC192,Transfer!AC193,Transfer!AC195,Transfer!AC196,Transfer!AC197))))-1)</f>
        <v>#DIV/0!</v>
      </c>
      <c r="AP353" s="435">
        <f>SUM(Transfer!AE187,Transfer!AE189,Transfer!AE190,Transfer!AE191,Transfer!AE194)-(SUM(Transfer!AE192,Transfer!AE193,Transfer!AE195,Transfer!AE196,Transfer!AE197))</f>
        <v>0</v>
      </c>
      <c r="AQ353" s="242" t="e">
        <f>100*(((SUM(Transfer!AE187,Transfer!AE189,Transfer!AE190,Transfer!AE191,Transfer!AE194)-(SUM(Transfer!AE192,Transfer!AE193,Transfer!AE195,Transfer!AE196,Transfer!AE197)))/(SUM(Transfer!AD187,Transfer!AD189,Transfer!AD190,Transfer!AD191,Transfer!AD194)-(SUM(Transfer!AD192,Transfer!AD193,Transfer!AD195,Transfer!AD196,Transfer!AD197))))-1)</f>
        <v>#DIV/0!</v>
      </c>
      <c r="AR353" s="435">
        <f>SUM(Transfer!AF187,Transfer!AF189,Transfer!AF190,Transfer!AF191,Transfer!AF194)-(SUM(Transfer!AF192,Transfer!AF193,Transfer!AF195,Transfer!AF196,Transfer!AF197))</f>
        <v>0</v>
      </c>
      <c r="AS353" s="242" t="e">
        <f>100*(((SUM(Transfer!AF187,Transfer!AF189,Transfer!AF190,Transfer!AF191,Transfer!AF194)-(SUM(Transfer!AF192,Transfer!AF193,Transfer!AF195,Transfer!AF196,Transfer!AF197)))/(SUM(Transfer!AE187,Transfer!AE189,Transfer!AE190,Transfer!AE191,Transfer!AE194)-(SUM(Transfer!AE192,Transfer!AE193,Transfer!AE195,Transfer!AE196,Transfer!AE197))))-1)</f>
        <v>#DIV/0!</v>
      </c>
      <c r="AT353" s="435">
        <f>SUM(Transfer!AG187,Transfer!AG189,Transfer!AG190,Transfer!AG191,Transfer!AG194)-(SUM(Transfer!AG192,Transfer!AG193,Transfer!AG195,Transfer!AG196,Transfer!AG197))</f>
        <v>0</v>
      </c>
      <c r="AU353" s="93" t="e">
        <f>100*(((SUM(Transfer!AG187,Transfer!AG189,Transfer!AG190,Transfer!AG191,Transfer!AG194)-(SUM(Transfer!AG192,Transfer!AG193,Transfer!AG195,Transfer!AG196,Transfer!AG197)))/(SUM(Transfer!AF187,Transfer!AF189,Transfer!AF190,Transfer!AF191,Transfer!AF194)-(SUM(Transfer!AF192,Transfer!AF193,Transfer!AF195,Transfer!AF196,Transfer!AF197))))-1)</f>
        <v>#DIV/0!</v>
      </c>
      <c r="AV353" s="366"/>
      <c r="AW353" s="54"/>
      <c r="AX353" s="54"/>
      <c r="AY353" s="54"/>
      <c r="AZ353" s="54"/>
      <c r="BA353" s="1698" t="s">
        <v>1723</v>
      </c>
      <c r="BB353" s="1699"/>
      <c r="BC353" s="54"/>
    </row>
    <row r="354" spans="1:55" ht="13.5" thickBot="1">
      <c r="A354" s="45"/>
      <c r="B354" s="1665"/>
      <c r="C354" s="2678" t="s">
        <v>1562</v>
      </c>
      <c r="D354" s="2679"/>
      <c r="E354" s="2701"/>
      <c r="F354" s="2702">
        <f ca="1">100*(SUM(Transfer!D187,Transfer!D189,Transfer!D190,Transfer!D191,Transfer!D194)-(SUM(Transfer!D192,Transfer!D193,Transfer!D195,Transfer!D196,Transfer!D197)))/Transfer!D147</f>
        <v>-4.4614299250652705</v>
      </c>
      <c r="G354" s="2702"/>
      <c r="H354" s="2702">
        <f ca="1">100*(SUM(Transfer!E187,Transfer!E189,Transfer!E190,Transfer!E191,Transfer!E194)-(SUM(Transfer!E192,Transfer!E193,Transfer!E195,Transfer!E196,Transfer!E197)))/Transfer!E147</f>
        <v>-4.8863933938050081</v>
      </c>
      <c r="I354" s="2702"/>
      <c r="J354" s="2702">
        <f ca="1">100*(SUM(Transfer!F187,Transfer!F189,Transfer!F190,Transfer!F191,Transfer!F194)-(SUM(Transfer!F192,Transfer!F193,Transfer!F195,Transfer!F196,Transfer!F197)))/Transfer!F147</f>
        <v>-5.1024174133616143</v>
      </c>
      <c r="K354" s="2702"/>
      <c r="L354" s="2702">
        <f ca="1">100*(SUM(Transfer!G187,Transfer!G189,Transfer!G190,Transfer!G191,Transfer!G194)-(SUM(Transfer!G192,Transfer!G193,Transfer!G195,Transfer!G196,Transfer!G197)))/Transfer!G147</f>
        <v>-5.2683433057192737</v>
      </c>
      <c r="M354" s="2593"/>
      <c r="N354" s="2372"/>
      <c r="O354" s="54"/>
      <c r="P354" s="54"/>
      <c r="Q354" s="54"/>
      <c r="R354" s="54"/>
      <c r="S354" s="190"/>
      <c r="T354" s="436" t="s">
        <v>1562</v>
      </c>
      <c r="U354" s="1705"/>
      <c r="V354" s="437"/>
      <c r="W354" s="1719">
        <f ca="1">ROUND(F354,1)-ROUND(AN354,1)</f>
        <v>-4.5</v>
      </c>
      <c r="X354" s="438"/>
      <c r="Y354" s="1719">
        <f ca="1">ROUND(H354,1)-ROUND(AP354,1)</f>
        <v>-4.9000000000000004</v>
      </c>
      <c r="Z354" s="438"/>
      <c r="AA354" s="1719">
        <f ca="1">ROUND(J354,1)-ROUND(AR354,1)</f>
        <v>-5.0999999999999996</v>
      </c>
      <c r="AB354" s="438"/>
      <c r="AC354" s="1719">
        <f ca="1">ROUND(L354,1)-ROUND(AT354,1)</f>
        <v>-5.3</v>
      </c>
      <c r="AD354" s="326"/>
      <c r="AE354" s="366"/>
      <c r="AF354" s="45"/>
      <c r="AG354" s="45"/>
      <c r="AH354" s="45"/>
      <c r="AI354" s="45"/>
      <c r="AJ354" s="190"/>
      <c r="AK354" s="436" t="s">
        <v>1562</v>
      </c>
      <c r="AL354" s="1705"/>
      <c r="AM354" s="437"/>
      <c r="AN354" s="438">
        <f>100*(SUM(Transfer!AD187,Transfer!AD189,Transfer!AD190,Transfer!AD191,Transfer!AD194)-(SUM(Transfer!AD192,Transfer!AD193,Transfer!AD195,Transfer!AD196,Transfer!AD197)))/Transfer!AD147</f>
        <v>0</v>
      </c>
      <c r="AO354" s="438"/>
      <c r="AP354" s="438">
        <f>100*(SUM(Transfer!AE187,Transfer!AE189,Transfer!AE190,Transfer!AE191,Transfer!AE194)-(SUM(Transfer!AE192,Transfer!AE193,Transfer!AE195,Transfer!AE196,Transfer!AE197)))/Transfer!AE147</f>
        <v>0</v>
      </c>
      <c r="AQ354" s="438"/>
      <c r="AR354" s="438">
        <f>100*(SUM(Transfer!AF187,Transfer!AF189,Transfer!AF190,Transfer!AF191,Transfer!AF194)-(SUM(Transfer!AF192,Transfer!AF193,Transfer!AF195,Transfer!AF196,Transfer!AF197)))/Transfer!AF147</f>
        <v>0</v>
      </c>
      <c r="AS354" s="438"/>
      <c r="AT354" s="438">
        <f>100*(SUM(Transfer!AG187,Transfer!AG189,Transfer!AG190,Transfer!AG191,Transfer!AG194)-(SUM(Transfer!AG192,Transfer!AG193,Transfer!AG195,Transfer!AG196,Transfer!AG197)))/Transfer!AG147</f>
        <v>0</v>
      </c>
      <c r="AU354" s="326"/>
      <c r="AV354" s="366"/>
      <c r="AW354" s="54"/>
      <c r="AX354" s="54"/>
      <c r="AY354" s="54"/>
      <c r="AZ354" s="54"/>
      <c r="BA354" s="1736" t="s">
        <v>1724</v>
      </c>
      <c r="BB354" s="1702"/>
      <c r="BC354" s="54"/>
    </row>
    <row r="355" spans="1:55">
      <c r="A355" s="45"/>
      <c r="B355" s="1701"/>
      <c r="C355" s="2477"/>
      <c r="D355" s="2477"/>
      <c r="E355" s="2477"/>
      <c r="F355" s="2477"/>
      <c r="G355" s="2477"/>
      <c r="H355" s="2477">
        <f ca="1">(SUM(Transfer!E187,Transfer!E189,Transfer!E190,Transfer!E191,Transfer!E194)-(SUM(Transfer!E192,Transfer!E193,Transfer!E195)))</f>
        <v>-0.37138136478063188</v>
      </c>
      <c r="I355" s="2477"/>
      <c r="J355" s="2477"/>
      <c r="K355" s="2477"/>
      <c r="L355" s="2477"/>
      <c r="M355" s="2400" t="str">
        <f>UPPER(Country)</f>
        <v>LITHUANIA</v>
      </c>
      <c r="N355" s="2478"/>
      <c r="O355" s="54"/>
      <c r="P355" s="54"/>
      <c r="Q355" s="54"/>
      <c r="R355" s="54"/>
      <c r="S355" s="215"/>
      <c r="T355" s="113"/>
      <c r="U355" s="113"/>
      <c r="V355" s="113"/>
      <c r="W355" s="113"/>
      <c r="X355" s="113"/>
      <c r="Y355" s="113"/>
      <c r="Z355" s="113"/>
      <c r="AA355" s="113"/>
      <c r="AB355" s="113"/>
      <c r="AC355" s="113"/>
      <c r="AD355" s="118" t="str">
        <f>UPPER(Country)</f>
        <v>LITHUANIA</v>
      </c>
      <c r="AE355" s="216"/>
      <c r="AF355" s="45"/>
      <c r="AG355" s="45"/>
      <c r="AH355" s="45"/>
      <c r="AI355" s="45"/>
      <c r="AJ355" s="215"/>
      <c r="AK355" s="113"/>
      <c r="AL355" s="113"/>
      <c r="AM355" s="113"/>
      <c r="AN355" s="113"/>
      <c r="AO355" s="113"/>
      <c r="AP355" s="113"/>
      <c r="AQ355" s="113"/>
      <c r="AR355" s="113"/>
      <c r="AS355" s="113"/>
      <c r="AT355" s="113"/>
      <c r="AU355" s="118" t="str">
        <f>UPPER(Country)</f>
        <v>LITHUANIA</v>
      </c>
      <c r="AV355" s="216"/>
      <c r="AW355" s="54"/>
      <c r="AX355" s="54"/>
      <c r="AY355" s="54"/>
      <c r="AZ355" s="54"/>
      <c r="BA355" s="54"/>
      <c r="BB355" s="54"/>
      <c r="BC355" s="54"/>
    </row>
    <row r="356" spans="1:55">
      <c r="A356" s="45"/>
      <c r="B356" s="45"/>
      <c r="C356" s="45"/>
      <c r="D356" s="45"/>
      <c r="E356" s="45"/>
      <c r="F356" s="45"/>
      <c r="G356" s="45"/>
      <c r="H356" s="45"/>
      <c r="I356" s="45"/>
      <c r="J356" s="45"/>
      <c r="K356" s="45"/>
      <c r="L356" s="45"/>
      <c r="M356" s="45"/>
      <c r="N356" s="54"/>
      <c r="O356" s="54"/>
      <c r="P356" s="54"/>
      <c r="Q356" s="54"/>
      <c r="R356" s="54"/>
      <c r="S356" s="54"/>
      <c r="T356" s="54"/>
      <c r="U356" s="54"/>
      <c r="V356" s="54"/>
      <c r="W356" s="54"/>
      <c r="X356" s="54"/>
      <c r="Y356" s="54"/>
      <c r="Z356" s="54"/>
      <c r="AA356" s="54"/>
      <c r="AB356" s="45"/>
      <c r="AC356" s="45"/>
      <c r="AD356" s="45"/>
      <c r="AE356" s="45"/>
      <c r="AF356" s="45"/>
      <c r="AG356" s="45"/>
      <c r="AH356" s="45"/>
      <c r="AI356" s="45"/>
      <c r="AJ356" s="45"/>
      <c r="AK356" s="45"/>
      <c r="AL356" s="45"/>
      <c r="AM356" s="45"/>
      <c r="AN356" s="45"/>
      <c r="AO356" s="45"/>
      <c r="AP356" s="45"/>
      <c r="AQ356" s="45"/>
      <c r="AR356" s="45"/>
      <c r="AS356" s="45"/>
      <c r="AT356" s="45"/>
      <c r="AU356" s="45"/>
      <c r="AV356" s="54"/>
      <c r="AW356" s="54"/>
      <c r="AX356" s="54"/>
      <c r="AY356" s="54"/>
      <c r="AZ356" s="54"/>
      <c r="BA356" s="54"/>
      <c r="BB356" s="54"/>
      <c r="BC356" s="54"/>
    </row>
    <row r="357" spans="1:55">
      <c r="A357" s="45"/>
      <c r="B357" s="45"/>
      <c r="C357" s="45"/>
      <c r="D357" s="45"/>
      <c r="E357" s="45"/>
      <c r="F357" s="45"/>
      <c r="G357" s="1721"/>
      <c r="H357" s="45"/>
      <c r="I357" s="1721"/>
      <c r="J357" s="45"/>
      <c r="K357" s="1721"/>
      <c r="L357" s="45"/>
      <c r="M357" s="1721"/>
      <c r="N357" s="54"/>
      <c r="O357" s="54"/>
      <c r="P357" s="54"/>
      <c r="Q357" s="54"/>
      <c r="R357" s="54"/>
      <c r="S357" s="54"/>
      <c r="T357" s="54"/>
      <c r="U357" s="54"/>
      <c r="V357" s="54"/>
      <c r="W357" s="54"/>
      <c r="X357" s="54"/>
      <c r="Y357" s="54"/>
      <c r="Z357" s="54"/>
      <c r="AA357" s="54"/>
      <c r="AB357" s="45"/>
      <c r="AC357" s="45"/>
      <c r="AD357" s="45"/>
      <c r="AE357" s="45"/>
      <c r="AF357" s="45"/>
      <c r="AG357" s="45"/>
      <c r="AH357" s="45"/>
      <c r="AI357" s="45"/>
      <c r="AJ357" s="45"/>
      <c r="AK357" s="45"/>
      <c r="AL357" s="45"/>
      <c r="AM357" s="45"/>
      <c r="AN357" s="45"/>
      <c r="AO357" s="45"/>
      <c r="AP357" s="45"/>
      <c r="AQ357" s="45"/>
      <c r="AR357" s="45"/>
      <c r="AS357" s="45"/>
      <c r="AT357" s="45"/>
      <c r="AU357" s="45"/>
      <c r="AV357" s="54"/>
      <c r="AW357" s="54"/>
      <c r="AX357" s="54"/>
      <c r="AY357" s="54"/>
      <c r="AZ357" s="54"/>
      <c r="BA357" s="54"/>
      <c r="BB357" s="54"/>
      <c r="BC357" s="54"/>
    </row>
    <row r="358" spans="1:55">
      <c r="A358" s="45"/>
      <c r="B358" s="45"/>
      <c r="C358" s="45"/>
      <c r="D358" s="45"/>
      <c r="E358" s="45"/>
      <c r="F358" s="45"/>
      <c r="G358" s="45"/>
      <c r="H358" s="45"/>
      <c r="I358" s="45"/>
      <c r="J358" s="45"/>
      <c r="K358" s="45"/>
      <c r="L358" s="45"/>
      <c r="M358" s="45"/>
      <c r="N358" s="54"/>
      <c r="O358" s="54"/>
      <c r="P358" s="54"/>
      <c r="Q358" s="54"/>
      <c r="R358" s="54"/>
      <c r="S358" s="54"/>
      <c r="T358" s="54"/>
      <c r="U358" s="54"/>
      <c r="V358" s="54"/>
      <c r="W358" s="54"/>
      <c r="X358" s="54"/>
      <c r="Y358" s="54"/>
      <c r="Z358" s="54"/>
      <c r="AA358" s="54"/>
      <c r="AB358" s="45"/>
      <c r="AC358" s="45"/>
      <c r="AD358" s="45"/>
      <c r="AE358" s="45"/>
      <c r="AF358" s="45"/>
      <c r="AG358" s="45"/>
      <c r="AH358" s="45"/>
      <c r="AI358" s="45"/>
      <c r="AJ358" s="45"/>
      <c r="AK358" s="45"/>
      <c r="AL358" s="45"/>
      <c r="AM358" s="45"/>
      <c r="AN358" s="45"/>
      <c r="AO358" s="45"/>
      <c r="AP358" s="45"/>
      <c r="AQ358" s="45"/>
      <c r="AR358" s="45"/>
      <c r="AS358" s="45"/>
      <c r="AT358" s="45"/>
      <c r="AU358" s="45"/>
      <c r="AV358" s="54"/>
      <c r="AW358" s="54"/>
      <c r="AX358" s="54"/>
      <c r="AY358" s="54"/>
      <c r="AZ358" s="54"/>
      <c r="BA358" s="54"/>
      <c r="BB358" s="54"/>
      <c r="BC358" s="54"/>
    </row>
    <row r="359" spans="1:55">
      <c r="A359" s="45"/>
      <c r="B359" s="45"/>
      <c r="C359" s="45"/>
      <c r="D359" s="45"/>
      <c r="E359" s="45"/>
      <c r="F359" s="45"/>
      <c r="G359" s="45"/>
      <c r="H359" s="45"/>
      <c r="I359" s="45"/>
      <c r="J359" s="45"/>
      <c r="K359" s="45"/>
      <c r="L359" s="45"/>
      <c r="M359" s="45"/>
      <c r="N359" s="54"/>
      <c r="O359" s="54"/>
      <c r="P359" s="54"/>
      <c r="Q359" s="54"/>
      <c r="R359" s="54"/>
      <c r="S359" s="54"/>
      <c r="T359" s="54"/>
      <c r="U359" s="54"/>
      <c r="V359" s="54"/>
      <c r="W359" s="54"/>
      <c r="X359" s="54"/>
      <c r="Y359" s="54"/>
      <c r="Z359" s="54"/>
      <c r="AA359" s="54"/>
      <c r="AB359" s="45"/>
      <c r="AC359" s="45"/>
      <c r="AD359" s="45"/>
      <c r="AE359" s="45"/>
      <c r="AF359" s="45"/>
      <c r="AG359" s="45"/>
      <c r="AH359" s="45"/>
      <c r="AI359" s="45"/>
      <c r="AJ359" s="45"/>
      <c r="AK359" s="45"/>
      <c r="AL359" s="45"/>
      <c r="AM359" s="45"/>
      <c r="AN359" s="45"/>
      <c r="AO359" s="45"/>
      <c r="AP359" s="45"/>
      <c r="AQ359" s="45"/>
      <c r="AR359" s="45"/>
      <c r="AS359" s="45"/>
      <c r="AT359" s="45"/>
      <c r="AU359" s="45"/>
      <c r="AV359" s="54"/>
      <c r="AW359" s="54"/>
      <c r="AX359" s="54"/>
      <c r="AY359" s="54"/>
      <c r="AZ359" s="54"/>
      <c r="BA359" s="54"/>
      <c r="BB359" s="54"/>
      <c r="BC359" s="54"/>
    </row>
    <row r="360" spans="1:55">
      <c r="A360" s="45"/>
      <c r="B360" s="45"/>
      <c r="C360" s="45"/>
      <c r="D360" s="45"/>
      <c r="E360" s="45"/>
      <c r="F360" s="45"/>
      <c r="G360" s="45"/>
      <c r="H360" s="45"/>
      <c r="I360" s="45"/>
      <c r="J360" s="45"/>
      <c r="K360" s="45"/>
      <c r="L360" s="45"/>
      <c r="M360" s="45"/>
      <c r="N360" s="54"/>
      <c r="O360" s="54"/>
      <c r="P360" s="54"/>
      <c r="Q360" s="54"/>
      <c r="R360" s="54"/>
      <c r="S360" s="54"/>
      <c r="T360" s="54"/>
      <c r="U360" s="54"/>
      <c r="V360" s="54"/>
      <c r="W360" s="54"/>
      <c r="X360" s="54"/>
      <c r="Y360" s="54"/>
      <c r="Z360" s="54"/>
      <c r="AA360" s="54"/>
      <c r="AB360" s="45"/>
      <c r="AC360" s="45"/>
      <c r="AD360" s="45"/>
      <c r="AE360" s="45"/>
      <c r="AF360" s="45"/>
      <c r="AG360" s="45"/>
      <c r="AH360" s="45"/>
      <c r="AI360" s="45"/>
      <c r="AJ360" s="45"/>
      <c r="AK360" s="45"/>
      <c r="AL360" s="45"/>
      <c r="AM360" s="45"/>
      <c r="AN360" s="45"/>
      <c r="AO360" s="45"/>
      <c r="AP360" s="45"/>
      <c r="AQ360" s="45"/>
      <c r="AR360" s="45"/>
      <c r="AS360" s="45"/>
      <c r="AT360" s="45"/>
      <c r="AU360" s="45"/>
      <c r="AV360" s="54"/>
      <c r="AW360" s="54"/>
      <c r="AX360" s="54"/>
      <c r="AY360" s="54"/>
      <c r="AZ360" s="54"/>
      <c r="BA360" s="54"/>
      <c r="BB360" s="54"/>
      <c r="BC360" s="54"/>
    </row>
    <row r="361" spans="1:55">
      <c r="A361" s="45"/>
      <c r="B361" s="45"/>
      <c r="C361" s="45"/>
      <c r="D361" s="45"/>
      <c r="E361" s="45"/>
      <c r="F361" s="45"/>
      <c r="G361" s="45"/>
      <c r="H361" s="45"/>
      <c r="I361" s="45"/>
      <c r="J361" s="45"/>
      <c r="K361" s="45"/>
      <c r="L361" s="45"/>
      <c r="M361" s="45"/>
      <c r="N361" s="54"/>
      <c r="O361" s="54"/>
      <c r="P361" s="54"/>
      <c r="Q361" s="54"/>
      <c r="R361" s="54"/>
      <c r="S361" s="54"/>
      <c r="T361" s="54"/>
      <c r="U361" s="54"/>
      <c r="V361" s="54"/>
      <c r="W361" s="54"/>
      <c r="X361" s="54"/>
      <c r="Y361" s="54"/>
      <c r="Z361" s="54"/>
      <c r="AA361" s="54"/>
      <c r="AB361" s="45"/>
      <c r="AC361" s="45"/>
      <c r="AD361" s="45"/>
      <c r="AE361" s="45"/>
      <c r="AF361" s="45"/>
      <c r="AG361" s="45"/>
      <c r="AH361" s="45"/>
      <c r="AI361" s="45"/>
      <c r="AJ361" s="45"/>
      <c r="AK361" s="45"/>
      <c r="AL361" s="45"/>
      <c r="AM361" s="45"/>
      <c r="AN361" s="45"/>
      <c r="AO361" s="45"/>
      <c r="AP361" s="45"/>
      <c r="AQ361" s="45"/>
      <c r="AR361" s="45"/>
      <c r="AS361" s="45"/>
      <c r="AT361" s="45"/>
      <c r="AU361" s="45"/>
      <c r="AV361" s="54"/>
      <c r="AW361" s="54"/>
      <c r="AX361" s="54"/>
      <c r="AY361" s="54"/>
      <c r="AZ361" s="54"/>
      <c r="BA361" s="54"/>
      <c r="BB361" s="54"/>
      <c r="BC361" s="54"/>
    </row>
    <row r="362" spans="1:55">
      <c r="A362" s="45"/>
      <c r="B362" s="45"/>
      <c r="C362" s="45"/>
      <c r="D362" s="45"/>
      <c r="E362" s="45"/>
      <c r="F362" s="45"/>
      <c r="G362" s="45"/>
      <c r="H362" s="45"/>
      <c r="I362" s="45"/>
      <c r="J362" s="45"/>
      <c r="K362" s="45"/>
      <c r="L362" s="45"/>
      <c r="M362" s="45"/>
      <c r="N362" s="54"/>
      <c r="O362" s="54"/>
      <c r="P362" s="54"/>
      <c r="Q362" s="54"/>
      <c r="R362" s="54"/>
      <c r="S362" s="54"/>
      <c r="T362" s="54"/>
      <c r="U362" s="54"/>
      <c r="V362" s="54"/>
      <c r="W362" s="54"/>
      <c r="X362" s="54"/>
      <c r="Y362" s="54"/>
      <c r="Z362" s="54"/>
      <c r="AA362" s="54"/>
      <c r="AB362" s="45"/>
      <c r="AC362" s="45"/>
      <c r="AD362" s="45"/>
      <c r="AE362" s="45"/>
      <c r="AF362" s="45"/>
      <c r="AG362" s="45"/>
      <c r="AH362" s="45"/>
      <c r="AI362" s="45"/>
      <c r="AJ362" s="45"/>
      <c r="AK362" s="45"/>
      <c r="AL362" s="45"/>
      <c r="AM362" s="45"/>
      <c r="AN362" s="45"/>
      <c r="AO362" s="45"/>
      <c r="AP362" s="45"/>
      <c r="AQ362" s="45"/>
      <c r="AR362" s="45"/>
      <c r="AS362" s="45"/>
      <c r="AT362" s="45"/>
      <c r="AU362" s="45"/>
      <c r="AV362" s="54"/>
      <c r="AW362" s="54"/>
      <c r="AX362" s="54"/>
      <c r="AY362" s="54"/>
      <c r="AZ362" s="54"/>
      <c r="BA362" s="54"/>
      <c r="BB362" s="54"/>
      <c r="BC362" s="54"/>
    </row>
    <row r="363" spans="1:55">
      <c r="A363" s="45"/>
      <c r="B363" s="45"/>
      <c r="C363" s="45"/>
      <c r="D363" s="45"/>
      <c r="E363" s="45"/>
      <c r="F363" s="45"/>
      <c r="G363" s="45"/>
      <c r="H363" s="45"/>
      <c r="I363" s="45"/>
      <c r="J363" s="45"/>
      <c r="K363" s="45"/>
      <c r="L363" s="45"/>
      <c r="M363" s="45"/>
      <c r="N363" s="54"/>
      <c r="O363" s="54"/>
      <c r="P363" s="54"/>
      <c r="Q363" s="54"/>
      <c r="R363" s="54"/>
      <c r="S363" s="54"/>
      <c r="T363" s="54"/>
      <c r="U363" s="54"/>
      <c r="V363" s="54"/>
      <c r="W363" s="54"/>
      <c r="X363" s="54"/>
      <c r="Y363" s="54"/>
      <c r="Z363" s="54"/>
      <c r="AA363" s="54"/>
      <c r="AB363" s="45"/>
      <c r="AC363" s="45"/>
      <c r="AD363" s="45"/>
      <c r="AE363" s="45"/>
      <c r="AF363" s="45"/>
      <c r="AG363" s="45"/>
      <c r="AH363" s="45"/>
      <c r="AI363" s="45"/>
      <c r="AJ363" s="45"/>
      <c r="AK363" s="45"/>
      <c r="AL363" s="45"/>
      <c r="AM363" s="45"/>
      <c r="AN363" s="45"/>
      <c r="AO363" s="45"/>
      <c r="AP363" s="45"/>
      <c r="AQ363" s="45"/>
      <c r="AR363" s="45"/>
      <c r="AS363" s="45"/>
      <c r="AT363" s="45"/>
      <c r="AU363" s="45"/>
      <c r="AV363" s="54"/>
      <c r="AW363" s="54"/>
      <c r="AX363" s="54"/>
      <c r="AY363" s="54"/>
      <c r="AZ363" s="54"/>
      <c r="BA363" s="54"/>
      <c r="BB363" s="54"/>
      <c r="BC363" s="54"/>
    </row>
    <row r="364" spans="1:55">
      <c r="A364" s="45"/>
      <c r="B364" s="45"/>
      <c r="C364" s="45"/>
      <c r="D364" s="45"/>
      <c r="E364" s="45"/>
      <c r="F364" s="45"/>
      <c r="G364" s="45"/>
      <c r="H364" s="45"/>
      <c r="I364" s="45"/>
      <c r="J364" s="45"/>
      <c r="K364" s="45"/>
      <c r="L364" s="45"/>
      <c r="M364" s="45"/>
      <c r="N364" s="45"/>
      <c r="O364" s="54"/>
      <c r="P364" s="54"/>
      <c r="Q364" s="54"/>
      <c r="R364" s="54"/>
      <c r="S364" s="54"/>
      <c r="T364" s="54"/>
      <c r="U364" s="54"/>
      <c r="V364" s="54"/>
      <c r="W364" s="54"/>
      <c r="X364" s="54"/>
      <c r="Y364" s="54"/>
      <c r="Z364" s="54"/>
      <c r="AA364" s="54"/>
      <c r="AB364" s="45"/>
      <c r="AC364" s="45"/>
      <c r="AD364" s="45"/>
      <c r="AE364" s="45"/>
      <c r="AF364" s="45"/>
      <c r="AG364" s="45"/>
      <c r="AH364" s="45"/>
      <c r="AI364" s="45"/>
      <c r="AJ364" s="45"/>
      <c r="AK364" s="45"/>
      <c r="AL364" s="45"/>
      <c r="AM364" s="45"/>
      <c r="AN364" s="45"/>
      <c r="AO364" s="45"/>
      <c r="AP364" s="45"/>
      <c r="AQ364" s="45"/>
      <c r="AR364" s="45"/>
      <c r="AS364" s="45"/>
      <c r="AT364" s="45"/>
      <c r="AU364" s="45"/>
      <c r="AV364" s="45"/>
      <c r="AW364" s="54"/>
      <c r="AX364" s="54"/>
      <c r="AY364" s="54"/>
      <c r="AZ364" s="54"/>
      <c r="BA364" s="54"/>
      <c r="BB364" s="54"/>
      <c r="BC364" s="54"/>
    </row>
    <row r="365" spans="1:55">
      <c r="A365" s="45"/>
      <c r="B365" s="45"/>
      <c r="C365" s="45"/>
      <c r="D365" s="45"/>
      <c r="E365" s="45"/>
      <c r="F365" s="45"/>
      <c r="G365" s="45"/>
      <c r="H365" s="45"/>
      <c r="I365" s="45"/>
      <c r="J365" s="45"/>
      <c r="K365" s="45"/>
      <c r="L365" s="45"/>
      <c r="M365" s="45"/>
      <c r="N365" s="45"/>
      <c r="O365" s="54"/>
      <c r="P365" s="54"/>
      <c r="Q365" s="54"/>
      <c r="R365" s="54"/>
      <c r="S365" s="54"/>
      <c r="T365" s="54"/>
      <c r="U365" s="54"/>
      <c r="V365" s="54"/>
      <c r="W365" s="54"/>
      <c r="X365" s="54"/>
      <c r="Y365" s="54"/>
      <c r="Z365" s="54"/>
      <c r="AA365" s="54"/>
      <c r="AB365" s="45"/>
      <c r="AC365" s="45"/>
      <c r="AD365" s="45"/>
      <c r="AE365" s="45"/>
      <c r="AF365" s="45"/>
      <c r="AG365" s="45"/>
      <c r="AH365" s="45"/>
      <c r="AI365" s="45"/>
      <c r="AJ365" s="45"/>
      <c r="AK365" s="45"/>
      <c r="AL365" s="45"/>
      <c r="AM365" s="45"/>
      <c r="AN365" s="45"/>
      <c r="AO365" s="45"/>
      <c r="AP365" s="45"/>
      <c r="AQ365" s="45"/>
      <c r="AR365" s="45"/>
      <c r="AS365" s="45"/>
      <c r="AT365" s="45"/>
      <c r="AU365" s="45"/>
      <c r="AV365" s="45"/>
      <c r="AW365" s="54"/>
      <c r="AX365" s="54"/>
      <c r="AY365" s="54"/>
      <c r="AZ365" s="54"/>
      <c r="BA365" s="54"/>
      <c r="BB365" s="54"/>
      <c r="BC365" s="54"/>
    </row>
    <row r="366" spans="1:55">
      <c r="A366" s="45"/>
      <c r="B366" s="2341"/>
      <c r="C366" s="2443"/>
      <c r="D366" s="2443"/>
      <c r="E366" s="2443"/>
      <c r="F366" s="2443"/>
      <c r="G366" s="2443"/>
      <c r="H366" s="2443"/>
      <c r="I366" s="2443"/>
      <c r="J366" s="2443"/>
      <c r="K366" s="2443"/>
      <c r="L366" s="2443"/>
      <c r="M366" s="2443"/>
      <c r="N366" s="2444"/>
      <c r="O366" s="54"/>
      <c r="P366" s="54"/>
      <c r="Q366" s="54"/>
      <c r="R366" s="54"/>
      <c r="S366" s="188"/>
      <c r="T366" s="23"/>
      <c r="U366" s="23"/>
      <c r="V366" s="23"/>
      <c r="W366" s="23"/>
      <c r="X366" s="23"/>
      <c r="Y366" s="23"/>
      <c r="Z366" s="23"/>
      <c r="AA366" s="23"/>
      <c r="AB366" s="23"/>
      <c r="AC366" s="23"/>
      <c r="AD366" s="23"/>
      <c r="AE366" s="189"/>
      <c r="AF366" s="45"/>
      <c r="AG366" s="45"/>
      <c r="AH366" s="45"/>
      <c r="AI366" s="45"/>
      <c r="AJ366" s="188"/>
      <c r="AK366" s="23"/>
      <c r="AL366" s="23"/>
      <c r="AM366" s="23"/>
      <c r="AN366" s="23"/>
      <c r="AO366" s="23"/>
      <c r="AP366" s="23"/>
      <c r="AQ366" s="23"/>
      <c r="AR366" s="23"/>
      <c r="AS366" s="23"/>
      <c r="AT366" s="23"/>
      <c r="AU366" s="23"/>
      <c r="AV366" s="189"/>
      <c r="AW366" s="54"/>
      <c r="AX366" s="54"/>
      <c r="AY366" s="54"/>
      <c r="AZ366" s="54"/>
      <c r="BA366" s="54"/>
      <c r="BB366" s="54"/>
      <c r="BC366" s="54"/>
    </row>
    <row r="367" spans="1:55">
      <c r="A367" s="45"/>
      <c r="B367" s="1665"/>
      <c r="C367" s="2480" t="s">
        <v>342</v>
      </c>
      <c r="D367" s="2683"/>
      <c r="E367" s="2683"/>
      <c r="F367" s="2351"/>
      <c r="G367" s="2351"/>
      <c r="H367" s="2351"/>
      <c r="I367" s="2351"/>
      <c r="J367" s="2351"/>
      <c r="K367" s="2351"/>
      <c r="L367" s="2351"/>
      <c r="M367" s="2351"/>
      <c r="N367" s="2452"/>
      <c r="O367" s="54"/>
      <c r="P367" s="54"/>
      <c r="Q367" s="54"/>
      <c r="R367" s="54"/>
      <c r="S367" s="190"/>
      <c r="T367" s="124" t="s">
        <v>342</v>
      </c>
      <c r="U367" s="125"/>
      <c r="V367" s="125"/>
      <c r="W367" s="49"/>
      <c r="X367" s="49"/>
      <c r="Y367" s="49"/>
      <c r="Z367" s="49"/>
      <c r="AA367" s="49"/>
      <c r="AB367" s="49"/>
      <c r="AC367" s="49"/>
      <c r="AD367" s="49"/>
      <c r="AE367" s="199"/>
      <c r="AF367" s="45"/>
      <c r="AG367" s="45"/>
      <c r="AH367" s="45"/>
      <c r="AI367" s="45"/>
      <c r="AJ367" s="190"/>
      <c r="AK367" s="124" t="s">
        <v>342</v>
      </c>
      <c r="AL367" s="125"/>
      <c r="AM367" s="125"/>
      <c r="AN367" s="49"/>
      <c r="AO367" s="49"/>
      <c r="AP367" s="49"/>
      <c r="AQ367" s="49"/>
      <c r="AR367" s="49"/>
      <c r="AS367" s="49"/>
      <c r="AT367" s="49"/>
      <c r="AU367" s="49"/>
      <c r="AV367" s="199"/>
      <c r="AW367" s="54"/>
      <c r="AX367" s="54"/>
      <c r="AY367" s="54"/>
      <c r="AZ367" s="54"/>
      <c r="BA367" s="54"/>
      <c r="BB367" s="54"/>
      <c r="BC367" s="54"/>
    </row>
    <row r="368" spans="1:55">
      <c r="A368" s="45"/>
      <c r="B368" s="1665"/>
      <c r="C368" s="3752" t="s">
        <v>1400</v>
      </c>
      <c r="D368" s="3752"/>
      <c r="E368" s="3752"/>
      <c r="F368" s="3752"/>
      <c r="G368" s="3752"/>
      <c r="H368" s="3752"/>
      <c r="I368" s="3752"/>
      <c r="J368" s="3752"/>
      <c r="K368" s="3752"/>
      <c r="L368" s="3752"/>
      <c r="M368" s="3752"/>
      <c r="N368" s="2530"/>
      <c r="O368" s="54"/>
      <c r="P368" s="54"/>
      <c r="Q368" s="54"/>
      <c r="R368" s="54"/>
      <c r="S368" s="190"/>
      <c r="T368" s="3752" t="s">
        <v>1400</v>
      </c>
      <c r="U368" s="3752"/>
      <c r="V368" s="3752"/>
      <c r="W368" s="3752"/>
      <c r="X368" s="3752"/>
      <c r="Y368" s="3752"/>
      <c r="Z368" s="3752"/>
      <c r="AA368" s="3752"/>
      <c r="AB368" s="3752"/>
      <c r="AC368" s="3752"/>
      <c r="AD368" s="3752"/>
      <c r="AE368" s="439"/>
      <c r="AF368" s="45"/>
      <c r="AG368" s="45"/>
      <c r="AH368" s="45"/>
      <c r="AI368" s="45"/>
      <c r="AJ368" s="190"/>
      <c r="AK368" s="3752" t="s">
        <v>1400</v>
      </c>
      <c r="AL368" s="3752"/>
      <c r="AM368" s="3752"/>
      <c r="AN368" s="3752"/>
      <c r="AO368" s="3752"/>
      <c r="AP368" s="3752"/>
      <c r="AQ368" s="3752"/>
      <c r="AR368" s="3752"/>
      <c r="AS368" s="3752"/>
      <c r="AT368" s="3752"/>
      <c r="AU368" s="3752"/>
      <c r="AV368" s="439"/>
      <c r="AW368" s="54"/>
      <c r="AX368" s="54"/>
      <c r="AY368" s="54"/>
      <c r="AZ368" s="54"/>
      <c r="BA368" s="54"/>
      <c r="BB368" s="54"/>
      <c r="BC368" s="54"/>
    </row>
    <row r="369" spans="1:55">
      <c r="A369" s="45"/>
      <c r="B369" s="1665"/>
      <c r="C369" s="2445"/>
      <c r="D369" s="2445"/>
      <c r="E369" s="2684"/>
      <c r="F369" s="2351"/>
      <c r="G369" s="2351"/>
      <c r="H369" s="2351"/>
      <c r="I369" s="2351"/>
      <c r="J369" s="2351"/>
      <c r="K369" s="2351"/>
      <c r="L369" s="2351"/>
      <c r="M369" s="2351"/>
      <c r="N369" s="2452"/>
      <c r="O369" s="54"/>
      <c r="P369" s="54"/>
      <c r="Q369" s="54"/>
      <c r="R369" s="54"/>
      <c r="S369" s="190"/>
      <c r="T369" s="1"/>
      <c r="U369" s="1"/>
      <c r="V369" s="48"/>
      <c r="W369" s="49"/>
      <c r="X369" s="49"/>
      <c r="Y369" s="49"/>
      <c r="Z369" s="49"/>
      <c r="AA369" s="49"/>
      <c r="AB369" s="49"/>
      <c r="AC369" s="49"/>
      <c r="AD369" s="49"/>
      <c r="AE369" s="199"/>
      <c r="AF369" s="45"/>
      <c r="AG369" s="45"/>
      <c r="AH369" s="45"/>
      <c r="AI369" s="45"/>
      <c r="AJ369" s="190"/>
      <c r="AK369" s="1"/>
      <c r="AL369" s="1"/>
      <c r="AM369" s="48"/>
      <c r="AN369" s="49"/>
      <c r="AO369" s="49"/>
      <c r="AP369" s="49"/>
      <c r="AQ369" s="49"/>
      <c r="AR369" s="49"/>
      <c r="AS369" s="49"/>
      <c r="AT369" s="49"/>
      <c r="AU369" s="49"/>
      <c r="AV369" s="199"/>
      <c r="AW369" s="54"/>
      <c r="AX369" s="54"/>
      <c r="AY369" s="54"/>
      <c r="AZ369" s="54"/>
      <c r="BA369" s="54"/>
      <c r="BB369" s="54"/>
      <c r="BC369" s="54"/>
    </row>
    <row r="370" spans="1:55" ht="15.75">
      <c r="A370" s="45"/>
      <c r="B370" s="1665"/>
      <c r="C370" s="2349" t="str">
        <f>"Country: " &amp;UPPER(Country)</f>
        <v>Country: LITHUANIA</v>
      </c>
      <c r="D370" s="2684"/>
      <c r="E370" s="2684"/>
      <c r="F370" s="2351"/>
      <c r="G370" s="2351"/>
      <c r="H370" s="2351"/>
      <c r="I370" s="2351"/>
      <c r="J370" s="2351"/>
      <c r="K370" s="2351"/>
      <c r="L370" s="2351"/>
      <c r="M370" s="2351"/>
      <c r="N370" s="2452"/>
      <c r="O370" s="54"/>
      <c r="P370" s="54"/>
      <c r="Q370" s="54"/>
      <c r="R370" s="54"/>
      <c r="S370" s="190"/>
      <c r="T370" s="63" t="str">
        <f>"Country: " &amp;UPPER(Country)</f>
        <v>Country: LITHUANIA</v>
      </c>
      <c r="U370" s="48"/>
      <c r="V370" s="48"/>
      <c r="W370" s="2006" t="s">
        <v>390</v>
      </c>
      <c r="X370" s="49"/>
      <c r="Y370" s="49"/>
      <c r="Z370" s="49"/>
      <c r="AA370" s="49"/>
      <c r="AB370" s="49"/>
      <c r="AC370" s="49"/>
      <c r="AD370" s="49"/>
      <c r="AE370" s="199"/>
      <c r="AF370" s="45"/>
      <c r="AG370" s="45"/>
      <c r="AH370" s="45"/>
      <c r="AI370" s="45"/>
      <c r="AJ370" s="190"/>
      <c r="AK370" s="63" t="str">
        <f>"Country: " &amp;UPPER(Country)</f>
        <v>Country: LITHUANIA</v>
      </c>
      <c r="AL370" s="48"/>
      <c r="AM370" s="48"/>
      <c r="AN370" s="49"/>
      <c r="AO370" s="49"/>
      <c r="AP370" s="49"/>
      <c r="AQ370" s="49"/>
      <c r="AR370" s="49"/>
      <c r="AS370" s="49"/>
      <c r="AT370" s="49"/>
      <c r="AU370" s="49"/>
      <c r="AV370" s="199"/>
      <c r="AW370" s="54"/>
      <c r="AX370" s="54"/>
      <c r="AY370" s="54"/>
      <c r="AZ370" s="54"/>
      <c r="BA370" s="54"/>
      <c r="BB370" s="54"/>
      <c r="BC370" s="54"/>
    </row>
    <row r="371" spans="1:55" ht="15.75">
      <c r="A371" s="45"/>
      <c r="B371" s="1665"/>
      <c r="C371" s="2349" t="str">
        <f>"Currency unit: " &amp; Currency</f>
        <v>Currency unit: bn EUR</v>
      </c>
      <c r="D371" s="2349"/>
      <c r="E371" s="2349"/>
      <c r="F371" s="2351"/>
      <c r="G371" s="2351"/>
      <c r="H371" s="2351"/>
      <c r="I371" s="2351"/>
      <c r="J371" s="2445"/>
      <c r="K371" s="2445"/>
      <c r="L371" s="2445"/>
      <c r="M371" s="2445"/>
      <c r="N371" s="1664"/>
      <c r="O371" s="54"/>
      <c r="P371" s="54"/>
      <c r="Q371" s="54"/>
      <c r="R371" s="54"/>
      <c r="S371" s="190"/>
      <c r="T371" s="63" t="str">
        <f>"Currency unit: " &amp; Currency</f>
        <v>Currency unit: bn EUR</v>
      </c>
      <c r="U371" s="130"/>
      <c r="V371" s="130"/>
      <c r="W371" s="2006" t="str">
        <f>$T$4</f>
        <v>2nd storage</v>
      </c>
      <c r="X371" s="49"/>
      <c r="Y371" s="49"/>
      <c r="Z371" s="49"/>
      <c r="AA371" s="1"/>
      <c r="AB371" s="1"/>
      <c r="AC371" s="1"/>
      <c r="AD371" s="1"/>
      <c r="AE371" s="90"/>
      <c r="AF371" s="45"/>
      <c r="AG371" s="45"/>
      <c r="AH371" s="45"/>
      <c r="AI371" s="45"/>
      <c r="AJ371" s="190"/>
      <c r="AK371" s="63" t="str">
        <f>"Currency unit: " &amp; Currency</f>
        <v>Currency unit: bn EUR</v>
      </c>
      <c r="AL371" s="130"/>
      <c r="AM371" s="130"/>
      <c r="AN371" s="49"/>
      <c r="AO371" s="49"/>
      <c r="AP371" s="49"/>
      <c r="AQ371" s="49"/>
      <c r="AR371" s="1"/>
      <c r="AS371" s="1"/>
      <c r="AT371" s="1"/>
      <c r="AU371" s="1"/>
      <c r="AV371" s="90"/>
      <c r="AW371" s="54"/>
      <c r="AX371" s="54"/>
      <c r="AY371" s="54"/>
      <c r="AZ371" s="54"/>
      <c r="BA371" s="54"/>
      <c r="BB371" s="54"/>
      <c r="BC371" s="54"/>
    </row>
    <row r="372" spans="1:55" ht="13.5" thickBot="1">
      <c r="A372" s="45"/>
      <c r="B372" s="1665"/>
      <c r="C372" s="2355" t="s">
        <v>297</v>
      </c>
      <c r="D372" s="2351"/>
      <c r="E372" s="2351"/>
      <c r="F372" s="2351"/>
      <c r="G372" s="2351"/>
      <c r="H372" s="2351"/>
      <c r="I372" s="2351"/>
      <c r="J372" s="2445"/>
      <c r="K372" s="2703"/>
      <c r="L372" s="3790">
        <f ca="1">NOW()</f>
        <v>43335.58773900463</v>
      </c>
      <c r="M372" s="3790"/>
      <c r="N372" s="2602"/>
      <c r="O372" s="54"/>
      <c r="P372" s="54"/>
      <c r="Q372" s="54"/>
      <c r="R372" s="54"/>
      <c r="S372" s="190"/>
      <c r="T372" s="69" t="s">
        <v>297</v>
      </c>
      <c r="U372" s="49"/>
      <c r="V372" s="49"/>
      <c r="W372" s="49"/>
      <c r="X372" s="49"/>
      <c r="Y372" s="49"/>
      <c r="Z372" s="49"/>
      <c r="AA372" s="1"/>
      <c r="AC372" s="3752">
        <f ca="1">NOW()</f>
        <v>43335.58773900463</v>
      </c>
      <c r="AD372" s="3752"/>
      <c r="AE372" s="337"/>
      <c r="AF372" s="45"/>
      <c r="AG372" s="45"/>
      <c r="AH372" s="45"/>
      <c r="AI372" s="45"/>
      <c r="AJ372" s="190"/>
      <c r="AK372" s="69" t="s">
        <v>297</v>
      </c>
      <c r="AL372" s="49"/>
      <c r="AM372" s="49"/>
      <c r="AN372" s="49"/>
      <c r="AO372" s="49"/>
      <c r="AP372" s="49"/>
      <c r="AQ372" s="49"/>
      <c r="AR372" s="1"/>
      <c r="AT372" s="3752">
        <f ca="1">NOW()</f>
        <v>43335.58773900463</v>
      </c>
      <c r="AU372" s="3752"/>
      <c r="AV372" s="337"/>
      <c r="AW372" s="54"/>
      <c r="AX372" s="54"/>
      <c r="AY372" s="54"/>
      <c r="AZ372" s="54"/>
      <c r="BA372" s="54"/>
      <c r="BB372" s="54"/>
      <c r="BC372" s="54"/>
    </row>
    <row r="373" spans="1:55">
      <c r="A373" s="45"/>
      <c r="B373" s="1665"/>
      <c r="C373" s="2357"/>
      <c r="D373" s="2633"/>
      <c r="E373" s="2404" t="s">
        <v>297</v>
      </c>
      <c r="F373" s="3752">
        <f>E16</f>
        <v>2016</v>
      </c>
      <c r="G373" s="3752"/>
      <c r="H373" s="3752">
        <f>F373+1</f>
        <v>2017</v>
      </c>
      <c r="I373" s="3752"/>
      <c r="J373" s="3752">
        <f>H373+1</f>
        <v>2018</v>
      </c>
      <c r="K373" s="3752"/>
      <c r="L373" s="3752">
        <f>J373+1</f>
        <v>2019</v>
      </c>
      <c r="M373" s="3752"/>
      <c r="N373" s="2605"/>
      <c r="O373" s="54"/>
      <c r="P373" s="54"/>
      <c r="Q373" s="54"/>
      <c r="R373" s="54"/>
      <c r="S373" s="190"/>
      <c r="T373" s="72"/>
      <c r="U373" s="419"/>
      <c r="V373" s="420" t="s">
        <v>297</v>
      </c>
      <c r="W373" s="421">
        <f>Last_forecast_year - 3</f>
        <v>2016</v>
      </c>
      <c r="X373" s="75"/>
      <c r="Y373" s="3752">
        <f>W373+1</f>
        <v>2017</v>
      </c>
      <c r="Z373" s="3752"/>
      <c r="AA373" s="3752">
        <f>Y373+1</f>
        <v>2018</v>
      </c>
      <c r="AB373" s="3752"/>
      <c r="AC373" s="3752">
        <f>AA373+1</f>
        <v>2019</v>
      </c>
      <c r="AD373" s="3752"/>
      <c r="AE373" s="440"/>
      <c r="AF373" s="45"/>
      <c r="AG373" s="45"/>
      <c r="AH373" s="45"/>
      <c r="AI373" s="45"/>
      <c r="AJ373" s="190"/>
      <c r="AK373" s="72"/>
      <c r="AL373" s="419"/>
      <c r="AM373" s="420" t="s">
        <v>297</v>
      </c>
      <c r="AN373" s="421">
        <f>Last_forecast_year - 3</f>
        <v>2016</v>
      </c>
      <c r="AO373" s="75"/>
      <c r="AP373" s="3752">
        <f>AN373+1</f>
        <v>2017</v>
      </c>
      <c r="AQ373" s="3752"/>
      <c r="AR373" s="3752">
        <f>AP373+1</f>
        <v>2018</v>
      </c>
      <c r="AS373" s="3752"/>
      <c r="AT373" s="3752">
        <f>AR373+1</f>
        <v>2019</v>
      </c>
      <c r="AU373" s="3752"/>
      <c r="AV373" s="440"/>
      <c r="AW373" s="54"/>
      <c r="AX373" s="54"/>
      <c r="AY373" s="54"/>
      <c r="AZ373" s="54"/>
      <c r="BA373" s="54"/>
      <c r="BB373" s="54"/>
      <c r="BC373" s="54"/>
    </row>
    <row r="374" spans="1:55">
      <c r="A374" s="45"/>
      <c r="B374" s="1665"/>
      <c r="C374" s="1666"/>
      <c r="D374" s="2685"/>
      <c r="E374" s="2537" t="s">
        <v>1401</v>
      </c>
      <c r="F374" s="2641" t="s">
        <v>298</v>
      </c>
      <c r="G374" s="2642" t="s">
        <v>1170</v>
      </c>
      <c r="H374" s="2641" t="s">
        <v>298</v>
      </c>
      <c r="I374" s="2642" t="s">
        <v>1170</v>
      </c>
      <c r="J374" s="2641" t="s">
        <v>298</v>
      </c>
      <c r="K374" s="2642" t="s">
        <v>1170</v>
      </c>
      <c r="L374" s="2641" t="s">
        <v>298</v>
      </c>
      <c r="M374" s="2643" t="s">
        <v>1170</v>
      </c>
      <c r="N374" s="2661"/>
      <c r="O374" s="54"/>
      <c r="P374" s="54"/>
      <c r="Q374" s="54"/>
      <c r="R374" s="54"/>
      <c r="S374" s="190"/>
      <c r="T374" s="101"/>
      <c r="U374" s="422"/>
      <c r="V374" s="433" t="s">
        <v>1401</v>
      </c>
      <c r="W374" s="390" t="s">
        <v>298</v>
      </c>
      <c r="X374" s="391" t="s">
        <v>1170</v>
      </c>
      <c r="Y374" s="390" t="s">
        <v>298</v>
      </c>
      <c r="Z374" s="391" t="s">
        <v>1170</v>
      </c>
      <c r="AA374" s="390" t="s">
        <v>298</v>
      </c>
      <c r="AB374" s="391" t="s">
        <v>1170</v>
      </c>
      <c r="AC374" s="390" t="s">
        <v>298</v>
      </c>
      <c r="AD374" s="392" t="s">
        <v>1170</v>
      </c>
      <c r="AE374" s="393"/>
      <c r="AF374" s="45"/>
      <c r="AG374" s="45"/>
      <c r="AH374" s="45"/>
      <c r="AI374" s="45"/>
      <c r="AJ374" s="190"/>
      <c r="AK374" s="101"/>
      <c r="AL374" s="422"/>
      <c r="AM374" s="433" t="s">
        <v>1401</v>
      </c>
      <c r="AN374" s="390" t="s">
        <v>298</v>
      </c>
      <c r="AO374" s="391" t="s">
        <v>1170</v>
      </c>
      <c r="AP374" s="390" t="s">
        <v>298</v>
      </c>
      <c r="AQ374" s="391" t="s">
        <v>1170</v>
      </c>
      <c r="AR374" s="390" t="s">
        <v>298</v>
      </c>
      <c r="AS374" s="391" t="s">
        <v>1170</v>
      </c>
      <c r="AT374" s="390" t="s">
        <v>298</v>
      </c>
      <c r="AU374" s="392" t="s">
        <v>1170</v>
      </c>
      <c r="AV374" s="393"/>
      <c r="AW374" s="54"/>
      <c r="AX374" s="54"/>
      <c r="AY374" s="54"/>
      <c r="AZ374" s="54"/>
      <c r="BA374" s="54"/>
      <c r="BB374" s="54"/>
      <c r="BC374" s="54"/>
    </row>
    <row r="375" spans="1:55">
      <c r="A375" s="45"/>
      <c r="B375" s="1665"/>
      <c r="C375" s="2686" t="s">
        <v>1761</v>
      </c>
      <c r="D375" s="2345"/>
      <c r="E375" s="2687" t="s">
        <v>514</v>
      </c>
      <c r="F375" s="2628">
        <f ca="1">Transfer!D200</f>
        <v>25.56738</v>
      </c>
      <c r="G375" s="2688">
        <f ca="1">100*((Transfer!D200/Transfer!C200)-1)</f>
        <v>3.393782634858411</v>
      </c>
      <c r="H375" s="2628">
        <f ca="1">Transfer!E200</f>
        <v>28.093316769273876</v>
      </c>
      <c r="I375" s="2628">
        <f ca="1">100*((Transfer!E200/Transfer!D200)-1)</f>
        <v>9.879529186306435</v>
      </c>
      <c r="J375" s="2628">
        <f ca="1">Transfer!F200</f>
        <v>29.895443026415556</v>
      </c>
      <c r="K375" s="2628">
        <f ca="1">100*((Transfer!F200/Transfer!E200)-1)</f>
        <v>6.4147863776365943</v>
      </c>
      <c r="L375" s="2628">
        <f ca="1">Transfer!G200</f>
        <v>31.814666730987341</v>
      </c>
      <c r="M375" s="2704">
        <f ca="1">100*((Transfer!G200/Transfer!F200)-1)</f>
        <v>6.4197867978606604</v>
      </c>
      <c r="N375" s="2460"/>
      <c r="O375" s="54"/>
      <c r="P375" s="54"/>
      <c r="Q375" s="54"/>
      <c r="R375" s="54"/>
      <c r="S375" s="190"/>
      <c r="T375" s="424" t="s">
        <v>1761</v>
      </c>
      <c r="U375" s="59"/>
      <c r="V375" s="425" t="s">
        <v>514</v>
      </c>
      <c r="W375" s="426">
        <f t="shared" ref="W375:AD389" ca="1" si="23">ROUND(F375,1)-ROUND(AN375,1)</f>
        <v>10024.6</v>
      </c>
      <c r="X375" s="426">
        <f t="shared" ca="1" si="23"/>
        <v>3.4</v>
      </c>
      <c r="Y375" s="426">
        <f t="shared" ca="1" si="23"/>
        <v>10027.1</v>
      </c>
      <c r="Z375" s="426">
        <f t="shared" ca="1" si="23"/>
        <v>9.9</v>
      </c>
      <c r="AA375" s="426">
        <f t="shared" ca="1" si="23"/>
        <v>10028.9</v>
      </c>
      <c r="AB375" s="426">
        <f t="shared" ca="1" si="23"/>
        <v>6.4</v>
      </c>
      <c r="AC375" s="426">
        <f t="shared" ca="1" si="23"/>
        <v>10030.799999999999</v>
      </c>
      <c r="AD375" s="441">
        <f t="shared" ca="1" si="23"/>
        <v>6.4</v>
      </c>
      <c r="AE375" s="442"/>
      <c r="AF375" s="45"/>
      <c r="AG375" s="45"/>
      <c r="AH375" s="45"/>
      <c r="AI375" s="45"/>
      <c r="AJ375" s="190"/>
      <c r="AK375" s="424" t="s">
        <v>1761</v>
      </c>
      <c r="AL375" s="59"/>
      <c r="AM375" s="425" t="s">
        <v>514</v>
      </c>
      <c r="AN375" s="2057">
        <f>Transfer!AD200</f>
        <v>-9999</v>
      </c>
      <c r="AO375" s="2058">
        <f>100*((Transfer!AD200/Transfer!AC200)-1)</f>
        <v>0</v>
      </c>
      <c r="AP375" s="2057">
        <f>Transfer!AE200</f>
        <v>-9999</v>
      </c>
      <c r="AQ375" s="2057">
        <f>100*((Transfer!AE200/Transfer!AD200)-1)</f>
        <v>0</v>
      </c>
      <c r="AR375" s="2057">
        <f>Transfer!AF200</f>
        <v>-9999</v>
      </c>
      <c r="AS375" s="2057">
        <f>100*((Transfer!AF200/Transfer!AE200)-1)</f>
        <v>0</v>
      </c>
      <c r="AT375" s="2057">
        <f>Transfer!AG200</f>
        <v>-9999</v>
      </c>
      <c r="AU375" s="2015">
        <f>100*((Transfer!AG200/Transfer!AF200)-1)</f>
        <v>0</v>
      </c>
      <c r="AV375" s="442"/>
      <c r="AW375" s="54"/>
      <c r="AX375" s="54"/>
      <c r="AY375" s="54"/>
      <c r="AZ375" s="54"/>
      <c r="BA375" s="1696" t="s">
        <v>127</v>
      </c>
      <c r="BB375" s="1697"/>
      <c r="BC375" s="54"/>
    </row>
    <row r="376" spans="1:55">
      <c r="A376" s="45"/>
      <c r="B376" s="1665"/>
      <c r="C376" s="1666" t="s">
        <v>1762</v>
      </c>
      <c r="D376" s="2452"/>
      <c r="E376" s="2521" t="s">
        <v>1763</v>
      </c>
      <c r="F376" s="2453">
        <f ca="1">Transfer!D201</f>
        <v>7.2870000000000004E-2</v>
      </c>
      <c r="G376" s="2691">
        <f ca="1">100*((Transfer!D201/Transfer!C201)-1)</f>
        <v>19.517795637198642</v>
      </c>
      <c r="H376" s="2453">
        <f ca="1">Transfer!E201</f>
        <v>7.2870000000000004E-2</v>
      </c>
      <c r="I376" s="2453">
        <f ca="1">100*((Transfer!E201/Transfer!D201)-1)</f>
        <v>0</v>
      </c>
      <c r="J376" s="2453">
        <f ca="1">Transfer!F201</f>
        <v>7.2870000000000004E-2</v>
      </c>
      <c r="K376" s="2453">
        <f ca="1">100*((Transfer!F201/Transfer!E201)-1)</f>
        <v>0</v>
      </c>
      <c r="L376" s="2453">
        <f ca="1">Transfer!G201</f>
        <v>7.2870000000000004E-2</v>
      </c>
      <c r="M376" s="2454">
        <f ca="1">100*((Transfer!G201/Transfer!F201)-1)</f>
        <v>0</v>
      </c>
      <c r="N376" s="2452"/>
      <c r="O376" s="54"/>
      <c r="P376" s="54"/>
      <c r="Q376" s="54"/>
      <c r="R376" s="54"/>
      <c r="S376" s="190"/>
      <c r="T376" s="101" t="s">
        <v>1762</v>
      </c>
      <c r="U376" s="199"/>
      <c r="V376" s="254" t="s">
        <v>1763</v>
      </c>
      <c r="W376" s="245">
        <f t="shared" ca="1" si="23"/>
        <v>9999.1</v>
      </c>
      <c r="X376" s="245">
        <f t="shared" ca="1" si="23"/>
        <v>19.5</v>
      </c>
      <c r="Y376" s="245">
        <f t="shared" ca="1" si="23"/>
        <v>9999.1</v>
      </c>
      <c r="Z376" s="245">
        <f t="shared" ca="1" si="23"/>
        <v>0</v>
      </c>
      <c r="AA376" s="245">
        <f t="shared" ca="1" si="23"/>
        <v>9999.1</v>
      </c>
      <c r="AB376" s="245">
        <f t="shared" ca="1" si="23"/>
        <v>0</v>
      </c>
      <c r="AC376" s="245">
        <f t="shared" ca="1" si="23"/>
        <v>9999.1</v>
      </c>
      <c r="AD376" s="320">
        <f t="shared" ca="1" si="23"/>
        <v>0</v>
      </c>
      <c r="AE376" s="199"/>
      <c r="AF376" s="45"/>
      <c r="AG376" s="45"/>
      <c r="AH376" s="45"/>
      <c r="AI376" s="45"/>
      <c r="AJ376" s="190"/>
      <c r="AK376" s="101" t="s">
        <v>1762</v>
      </c>
      <c r="AL376" s="199"/>
      <c r="AM376" s="254" t="s">
        <v>1763</v>
      </c>
      <c r="AN376" s="91">
        <f>Transfer!AD201</f>
        <v>-9999</v>
      </c>
      <c r="AO376" s="242">
        <f>100*((Transfer!AD201/Transfer!AC201)-1)</f>
        <v>0</v>
      </c>
      <c r="AP376" s="91">
        <f>Transfer!AE201</f>
        <v>-9999</v>
      </c>
      <c r="AQ376" s="91">
        <f>100*((Transfer!AE201/Transfer!AD201)-1)</f>
        <v>0</v>
      </c>
      <c r="AR376" s="91">
        <f>Transfer!AF201</f>
        <v>-9999</v>
      </c>
      <c r="AS376" s="91">
        <f>100*((Transfer!AF201/Transfer!AE201)-1)</f>
        <v>0</v>
      </c>
      <c r="AT376" s="91">
        <f>Transfer!AG201</f>
        <v>-9999</v>
      </c>
      <c r="AU376" s="93">
        <f>100*((Transfer!AG201/Transfer!AF201)-1)</f>
        <v>0</v>
      </c>
      <c r="AV376" s="199"/>
      <c r="AW376" s="54"/>
      <c r="AX376" s="54"/>
      <c r="AY376" s="54"/>
      <c r="AZ376" s="54"/>
      <c r="BA376" s="1698" t="s">
        <v>128</v>
      </c>
      <c r="BB376" s="1699"/>
      <c r="BC376" s="54"/>
    </row>
    <row r="377" spans="1:55">
      <c r="A377" s="45"/>
      <c r="B377" s="1665"/>
      <c r="C377" s="1666" t="s">
        <v>431</v>
      </c>
      <c r="D377" s="2452"/>
      <c r="E377" s="2521" t="s">
        <v>432</v>
      </c>
      <c r="F377" s="2453">
        <f ca="1">Transfer!D202</f>
        <v>0.19243000000000002</v>
      </c>
      <c r="G377" s="2691">
        <f ca="1">100*((Transfer!D202/Transfer!C202)-1)</f>
        <v>-10.775722168127222</v>
      </c>
      <c r="H377" s="2453">
        <f ca="1">Transfer!E202</f>
        <v>0.20205150000000002</v>
      </c>
      <c r="I377" s="2453">
        <f ca="1">100*((Transfer!E202/Transfer!D202)-1)</f>
        <v>5.0000000000000044</v>
      </c>
      <c r="J377" s="2453">
        <f ca="1">Transfer!F202</f>
        <v>0.21215407500000003</v>
      </c>
      <c r="K377" s="2453">
        <f ca="1">100*((Transfer!F202/Transfer!E202)-1)</f>
        <v>5.0000000000000044</v>
      </c>
      <c r="L377" s="2453">
        <f ca="1">Transfer!G202</f>
        <v>0.22276177875000003</v>
      </c>
      <c r="M377" s="2454">
        <f ca="1">100*((Transfer!G202/Transfer!F202)-1)</f>
        <v>5.0000000000000044</v>
      </c>
      <c r="N377" s="2452"/>
      <c r="O377" s="54"/>
      <c r="P377" s="54"/>
      <c r="Q377" s="54"/>
      <c r="R377" s="54"/>
      <c r="S377" s="190"/>
      <c r="T377" s="101" t="s">
        <v>431</v>
      </c>
      <c r="U377" s="199"/>
      <c r="V377" s="254" t="s">
        <v>432</v>
      </c>
      <c r="W377" s="245">
        <f t="shared" ca="1" si="23"/>
        <v>9999.2000000000007</v>
      </c>
      <c r="X377" s="245">
        <f t="shared" ca="1" si="23"/>
        <v>-10.8</v>
      </c>
      <c r="Y377" s="245">
        <f t="shared" ca="1" si="23"/>
        <v>9999.2000000000007</v>
      </c>
      <c r="Z377" s="245">
        <f t="shared" ca="1" si="23"/>
        <v>5</v>
      </c>
      <c r="AA377" s="245">
        <f t="shared" ca="1" si="23"/>
        <v>9999.2000000000007</v>
      </c>
      <c r="AB377" s="245">
        <f t="shared" ca="1" si="23"/>
        <v>5</v>
      </c>
      <c r="AC377" s="245">
        <f t="shared" ca="1" si="23"/>
        <v>9999.2000000000007</v>
      </c>
      <c r="AD377" s="320">
        <f t="shared" ca="1" si="23"/>
        <v>5</v>
      </c>
      <c r="AE377" s="199"/>
      <c r="AF377" s="45"/>
      <c r="AG377" s="45"/>
      <c r="AH377" s="45"/>
      <c r="AI377" s="45"/>
      <c r="AJ377" s="190"/>
      <c r="AK377" s="101" t="s">
        <v>431</v>
      </c>
      <c r="AL377" s="199"/>
      <c r="AM377" s="254" t="s">
        <v>432</v>
      </c>
      <c r="AN377" s="91">
        <f>Transfer!AD202</f>
        <v>-9999</v>
      </c>
      <c r="AO377" s="242">
        <f>100*((Transfer!AD202/Transfer!AC202)-1)</f>
        <v>0</v>
      </c>
      <c r="AP377" s="91">
        <f>Transfer!AE202</f>
        <v>-9999</v>
      </c>
      <c r="AQ377" s="91">
        <f>100*((Transfer!AE202/Transfer!AD202)-1)</f>
        <v>0</v>
      </c>
      <c r="AR377" s="91">
        <f>Transfer!AF202</f>
        <v>-9999</v>
      </c>
      <c r="AS377" s="91">
        <f>100*((Transfer!AF202/Transfer!AE202)-1)</f>
        <v>0</v>
      </c>
      <c r="AT377" s="91">
        <f>Transfer!AG202</f>
        <v>-9999</v>
      </c>
      <c r="AU377" s="93">
        <f>100*((Transfer!AG202/Transfer!AF202)-1)</f>
        <v>0</v>
      </c>
      <c r="AV377" s="199"/>
      <c r="AW377" s="54"/>
      <c r="AX377" s="54"/>
      <c r="AY377" s="54"/>
      <c r="AZ377" s="54"/>
      <c r="BA377" s="1698" t="s">
        <v>129</v>
      </c>
      <c r="BB377" s="1699"/>
      <c r="BC377" s="54"/>
    </row>
    <row r="378" spans="1:55">
      <c r="A378" s="45"/>
      <c r="B378" s="1665"/>
      <c r="C378" s="1666" t="s">
        <v>433</v>
      </c>
      <c r="D378" s="2452"/>
      <c r="E378" s="2521" t="s">
        <v>1407</v>
      </c>
      <c r="F378" s="2453">
        <f ca="1">Transfer!D203</f>
        <v>12.63739</v>
      </c>
      <c r="G378" s="2691">
        <f ca="1">100*((Transfer!D203/Transfer!C203)-1)</f>
        <v>9.6473121750138233</v>
      </c>
      <c r="H378" s="2453">
        <f ca="1">Transfer!E203</f>
        <v>13.926518249273876</v>
      </c>
      <c r="I378" s="2453">
        <f ca="1">100*((Transfer!E203/Transfer!D203)-1)</f>
        <v>10.200905798379868</v>
      </c>
      <c r="J378" s="2453">
        <f ca="1">Transfer!F203</f>
        <v>14.79072867706623</v>
      </c>
      <c r="K378" s="2453">
        <f ca="1">100*((Transfer!F203/Transfer!E203)-1)</f>
        <v>6.2055024258300451</v>
      </c>
      <c r="L378" s="2453">
        <f ca="1">Transfer!G203</f>
        <v>15.662483697455624</v>
      </c>
      <c r="M378" s="2454">
        <f ca="1">100*((Transfer!G203/Transfer!F203)-1)</f>
        <v>5.8939288213777807</v>
      </c>
      <c r="N378" s="2452"/>
      <c r="O378" s="54"/>
      <c r="P378" s="54"/>
      <c r="Q378" s="54"/>
      <c r="R378" s="54"/>
      <c r="S378" s="190"/>
      <c r="T378" s="101" t="s">
        <v>433</v>
      </c>
      <c r="U378" s="199"/>
      <c r="V378" s="254" t="s">
        <v>1407</v>
      </c>
      <c r="W378" s="245">
        <f t="shared" ca="1" si="23"/>
        <v>10011.6</v>
      </c>
      <c r="X378" s="245">
        <f t="shared" ca="1" si="23"/>
        <v>9.6</v>
      </c>
      <c r="Y378" s="245">
        <f t="shared" ca="1" si="23"/>
        <v>10012.9</v>
      </c>
      <c r="Z378" s="245">
        <f t="shared" ca="1" si="23"/>
        <v>10.199999999999999</v>
      </c>
      <c r="AA378" s="245">
        <f t="shared" ca="1" si="23"/>
        <v>10013.799999999999</v>
      </c>
      <c r="AB378" s="245">
        <f t="shared" ca="1" si="23"/>
        <v>6.2</v>
      </c>
      <c r="AC378" s="245">
        <f t="shared" ca="1" si="23"/>
        <v>10014.700000000001</v>
      </c>
      <c r="AD378" s="320">
        <f t="shared" ca="1" si="23"/>
        <v>5.9</v>
      </c>
      <c r="AE378" s="199"/>
      <c r="AF378" s="45"/>
      <c r="AG378" s="45"/>
      <c r="AH378" s="45"/>
      <c r="AI378" s="45"/>
      <c r="AJ378" s="190"/>
      <c r="AK378" s="101" t="s">
        <v>433</v>
      </c>
      <c r="AL378" s="199"/>
      <c r="AM378" s="254" t="s">
        <v>1407</v>
      </c>
      <c r="AN378" s="91">
        <f>Transfer!AD203</f>
        <v>-9999</v>
      </c>
      <c r="AO378" s="242">
        <f>100*((Transfer!AD203/Transfer!AC203)-1)</f>
        <v>0</v>
      </c>
      <c r="AP378" s="91">
        <f>Transfer!AE203</f>
        <v>-9999</v>
      </c>
      <c r="AQ378" s="91">
        <f>100*((Transfer!AE203/Transfer!AD203)-1)</f>
        <v>0</v>
      </c>
      <c r="AR378" s="91">
        <f>Transfer!AF203</f>
        <v>-9999</v>
      </c>
      <c r="AS378" s="91">
        <f>100*((Transfer!AF203/Transfer!AE203)-1)</f>
        <v>0</v>
      </c>
      <c r="AT378" s="91">
        <f>Transfer!AG203</f>
        <v>-9999</v>
      </c>
      <c r="AU378" s="93">
        <f>100*((Transfer!AG203/Transfer!AF203)-1)</f>
        <v>0</v>
      </c>
      <c r="AV378" s="199"/>
      <c r="AW378" s="54"/>
      <c r="AX378" s="54"/>
      <c r="AY378" s="54"/>
      <c r="AZ378" s="54"/>
      <c r="BA378" s="1698" t="s">
        <v>130</v>
      </c>
      <c r="BB378" s="1699"/>
      <c r="BC378" s="54"/>
    </row>
    <row r="379" spans="1:55">
      <c r="A379" s="45"/>
      <c r="B379" s="1665"/>
      <c r="C379" s="2463" t="s">
        <v>693</v>
      </c>
      <c r="D379" s="2705"/>
      <c r="E379" s="2537" t="s">
        <v>694</v>
      </c>
      <c r="F379" s="2458">
        <f ca="1">IF(OR(Transfer!D200=-9999,Transfer!D201=-9999,Transfer!D202=-9999,Transfer!D203=-9999),Transfer!D204,SUM(Transfer!D200,Transfer!D201)-(SUM(Transfer!D202,Transfer!D203)))</f>
        <v>12.810430000000002</v>
      </c>
      <c r="G379" s="2699">
        <f ca="1">IF(OR(Transfer!D200=-9999,Transfer!D201=-9999,Transfer!D202=-9999,Transfer!D203=-9999),100*(Transfer!D204/Transfer!C204-1),100*(((SUM(Transfer!D200,Transfer!D201)-(SUM(Transfer!D202,Transfer!D203)))/(SUM(Transfer!C200,Transfer!C201)-(SUM(Transfer!C202,Transfer!C203))))-1))</f>
        <v>-1.82051307598039</v>
      </c>
      <c r="H379" s="2706">
        <f ca="1">IF(OR(Transfer!E200=-9999,Transfer!E201=-9999,Transfer!E202=-9999,Transfer!E203=-9999),Transfer!E204,SUM(Transfer!E200,Transfer!E201)-(SUM(Transfer!E202,Transfer!E203)))</f>
        <v>14.037617020000003</v>
      </c>
      <c r="I379" s="2458">
        <f ca="1">IF(OR(Transfer!E200=-9999,Transfer!E201=-9999,Transfer!E202=-9999,Transfer!E203=-9999),100*(Transfer!E204/Transfer!D204-1),100*(((SUM(Transfer!E200,Transfer!E201)-(SUM(Transfer!E202,Transfer!E203)))/(SUM(Transfer!D200,Transfer!D201)-(SUM(Transfer!D202,Transfer!D203))))-1))</f>
        <v>9.579592722492535</v>
      </c>
      <c r="J379" s="2458">
        <f ca="1">IF(OR(Transfer!F200=-9999,Transfer!F201=-9999,Transfer!F202=-9999,Transfer!F203=-9999),Transfer!F204,SUM(Transfer!F200,Transfer!F201)-(SUM(Transfer!F202,Transfer!F203)))</f>
        <v>14.965430274349327</v>
      </c>
      <c r="K379" s="2458">
        <f ca="1">IF(OR(Transfer!F200=-9999,Transfer!F201=-9999,Transfer!F202=-9999,Transfer!F203=-9999),100*(Transfer!F204/Transfer!E204-1),100*(((SUM(Transfer!F200,Transfer!F201)-(SUM(Transfer!F202,Transfer!F203)))/(SUM(Transfer!E200,Transfer!E201)-(SUM(Transfer!E202,Transfer!E203))))-1))</f>
        <v>6.6094783254695422</v>
      </c>
      <c r="L379" s="2458">
        <f ca="1">IF(OR(Transfer!G200=-9999,Transfer!G201=-9999,Transfer!G202=-9999,Transfer!G203=-9999),Transfer!G204,SUM(Transfer!G200,Transfer!G201)-(SUM(Transfer!G202,Transfer!G203)))</f>
        <v>16.002291254781717</v>
      </c>
      <c r="M379" s="2459">
        <f ca="1">IF(OR(Transfer!G200=-9999,Transfer!G201=-9999,Transfer!G202=-9999,Transfer!G203=-9999),100*(Transfer!G204/Transfer!F204-1),100*(((SUM(Transfer!G200,Transfer!G201)-(SUM(Transfer!G202,Transfer!G203)))/(SUM(Transfer!F200,Transfer!F201)-(SUM(Transfer!F202,Transfer!F203))))-1))</f>
        <v>6.9283740021131468</v>
      </c>
      <c r="N379" s="2460"/>
      <c r="O379" s="54"/>
      <c r="P379" s="54"/>
      <c r="Q379" s="54"/>
      <c r="R379" s="54"/>
      <c r="S379" s="190"/>
      <c r="T379" s="159" t="s">
        <v>693</v>
      </c>
      <c r="U379" s="1711"/>
      <c r="V379" s="433" t="s">
        <v>694</v>
      </c>
      <c r="W379" s="443">
        <f t="shared" ca="1" si="23"/>
        <v>10011.799999999999</v>
      </c>
      <c r="X379" s="443">
        <f t="shared" ca="1" si="23"/>
        <v>-1.8</v>
      </c>
      <c r="Y379" s="443">
        <f t="shared" ca="1" si="23"/>
        <v>10013</v>
      </c>
      <c r="Z379" s="443">
        <f t="shared" ca="1" si="23"/>
        <v>9.6</v>
      </c>
      <c r="AA379" s="443">
        <f t="shared" ca="1" si="23"/>
        <v>10014</v>
      </c>
      <c r="AB379" s="443">
        <f t="shared" ca="1" si="23"/>
        <v>6.6</v>
      </c>
      <c r="AC379" s="443">
        <f t="shared" ca="1" si="23"/>
        <v>10015</v>
      </c>
      <c r="AD379" s="444">
        <f t="shared" ca="1" si="23"/>
        <v>6.9</v>
      </c>
      <c r="AE379" s="442"/>
      <c r="AF379" s="45"/>
      <c r="AG379" s="45"/>
      <c r="AH379" s="45"/>
      <c r="AI379" s="45"/>
      <c r="AJ379" s="190"/>
      <c r="AK379" s="159" t="s">
        <v>693</v>
      </c>
      <c r="AL379" s="1711"/>
      <c r="AM379" s="433" t="s">
        <v>694</v>
      </c>
      <c r="AN379" s="156">
        <f>IF(OR(Transfer!AD200=-9999,Transfer!AD201=-9999,Transfer!AD202=-9999,Transfer!AD203=-9999),Transfer!AD204,SUM(Transfer!AD200,Transfer!AD201)-(SUM(Transfer!AD202,Transfer!AD203)))</f>
        <v>-9999</v>
      </c>
      <c r="AO379" s="282">
        <f>IF(OR(Transfer!AD200=-9999,Transfer!AD201=-9999,Transfer!AD202=-9999,Transfer!AD203=-9999),100*(Transfer!AD204/Transfer!AC204-1),100*(((SUM(Transfer!AD200,Transfer!AD201)-(SUM(Transfer!AD202,Transfer!AD203)))/(SUM(Transfer!AC200,Transfer!AC201)-(SUM(Transfer!AC202,Transfer!AC203))))-1))</f>
        <v>0</v>
      </c>
      <c r="AP379" s="2009">
        <f>IF(OR(Transfer!AE200=-9999,Transfer!AE201=-9999,Transfer!AE202=-9999,Transfer!AE203=-9999),Transfer!AE204,SUM(Transfer!AE200,Transfer!AE201)-(SUM(Transfer!AE202,Transfer!AE203)))</f>
        <v>-9999</v>
      </c>
      <c r="AQ379" s="156">
        <f>IF(OR(Transfer!AE200=-9999,Transfer!AE201=-9999,Transfer!AE202=-9999,Transfer!AE203=-9999),100*(Transfer!AE204/Transfer!AD204-1),100*(((SUM(Transfer!AE200,Transfer!AE201)-(SUM(Transfer!AE202,Transfer!AE203)))/(SUM(Transfer!AD200,Transfer!AD201)-(SUM(Transfer!AD202,Transfer!AD203))))-1))</f>
        <v>0</v>
      </c>
      <c r="AR379" s="156">
        <f>IF(OR(Transfer!AF200=-9999,Transfer!AF201=-9999,Transfer!AF202=-9999,Transfer!AF203=-9999),Transfer!AF204,SUM(Transfer!AF200,Transfer!AF201)-(SUM(Transfer!AF202,Transfer!AF203)))</f>
        <v>-9999</v>
      </c>
      <c r="AS379" s="156">
        <f>IF(OR(Transfer!AF200=-9999,Transfer!AF201=-9999,Transfer!AF202=-9999,Transfer!AF203=-9999),100*(Transfer!AF204/Transfer!AE204-1),100*(((SUM(Transfer!AF200,Transfer!AF201)-(SUM(Transfer!AF202,Transfer!AF203)))/(SUM(Transfer!AE200,Transfer!AE201)-(SUM(Transfer!AE202,Transfer!AE203))))-1))</f>
        <v>0</v>
      </c>
      <c r="AT379" s="156">
        <f>IF(OR(Transfer!AG200=-9999,Transfer!AG201=-9999,Transfer!AG202=-9999,Transfer!AG203=-9999),Transfer!AG204,SUM(Transfer!AG200,Transfer!AG201)-(SUM(Transfer!AG202,Transfer!AG203)))</f>
        <v>-9999</v>
      </c>
      <c r="AU379" s="283">
        <f>IF(OR(Transfer!AG200=-9999,Transfer!AG201=-9999,Transfer!AG202=-9999,Transfer!AG203=-9999),100*(Transfer!AG204/Transfer!AF204-1),100*(((SUM(Transfer!AG200,Transfer!AG201)-(SUM(Transfer!AG202,Transfer!AG203)))/(SUM(Transfer!AF200,Transfer!AF201)-(SUM(Transfer!AF202,Transfer!AF203))))-1))</f>
        <v>0</v>
      </c>
      <c r="AV379" s="442"/>
      <c r="AW379" s="54"/>
      <c r="AX379" s="54"/>
      <c r="AY379" s="54"/>
      <c r="AZ379" s="54"/>
      <c r="BA379" s="1698" t="s">
        <v>635</v>
      </c>
      <c r="BB379" s="1699"/>
      <c r="BC379" s="54"/>
    </row>
    <row r="380" spans="1:55">
      <c r="A380" s="45"/>
      <c r="B380" s="1665"/>
      <c r="C380" s="1666" t="s">
        <v>477</v>
      </c>
      <c r="D380" s="2452"/>
      <c r="E380" s="2521" t="s">
        <v>478</v>
      </c>
      <c r="F380" s="2453">
        <f ca="1">Transfer!D205</f>
        <v>-6.4326499999999998</v>
      </c>
      <c r="G380" s="2691">
        <f ca="1">100*((Transfer!D205/Transfer!C205)-1)</f>
        <v>5.371917748754651</v>
      </c>
      <c r="H380" s="2692">
        <f ca="1">Transfer!E205</f>
        <v>-6.7864457499999995</v>
      </c>
      <c r="I380" s="2453">
        <f ca="1">100*((Transfer!E205/Transfer!D205)-1)</f>
        <v>5.4999999999999938</v>
      </c>
      <c r="J380" s="2453">
        <f ca="1">Transfer!F205</f>
        <v>-7.1597002662499989</v>
      </c>
      <c r="K380" s="2453">
        <f ca="1">100*((Transfer!F205/Transfer!E205)-1)</f>
        <v>5.4999999999999938</v>
      </c>
      <c r="L380" s="2453">
        <f ca="1">Transfer!G205</f>
        <v>-7.5534837808937487</v>
      </c>
      <c r="M380" s="2454">
        <f ca="1">100*((Transfer!G205/Transfer!F205)-1)</f>
        <v>5.4999999999999938</v>
      </c>
      <c r="N380" s="2452"/>
      <c r="O380" s="54"/>
      <c r="P380" s="54"/>
      <c r="Q380" s="54"/>
      <c r="R380" s="54"/>
      <c r="S380" s="190"/>
      <c r="T380" s="101" t="s">
        <v>477</v>
      </c>
      <c r="U380" s="199"/>
      <c r="V380" s="254" t="s">
        <v>478</v>
      </c>
      <c r="W380" s="245">
        <f t="shared" ca="1" si="23"/>
        <v>9992.6</v>
      </c>
      <c r="X380" s="245">
        <f t="shared" ca="1" si="23"/>
        <v>5.4</v>
      </c>
      <c r="Y380" s="245">
        <f t="shared" ca="1" si="23"/>
        <v>9992.2000000000007</v>
      </c>
      <c r="Z380" s="245">
        <f t="shared" ca="1" si="23"/>
        <v>5.5</v>
      </c>
      <c r="AA380" s="245">
        <f t="shared" ca="1" si="23"/>
        <v>9991.7999999999993</v>
      </c>
      <c r="AB380" s="245">
        <f t="shared" ca="1" si="23"/>
        <v>5.5</v>
      </c>
      <c r="AC380" s="245">
        <f t="shared" ca="1" si="23"/>
        <v>9991.4</v>
      </c>
      <c r="AD380" s="320">
        <f t="shared" ca="1" si="23"/>
        <v>5.5</v>
      </c>
      <c r="AE380" s="199"/>
      <c r="AF380" s="45"/>
      <c r="AG380" s="45"/>
      <c r="AH380" s="45"/>
      <c r="AI380" s="45"/>
      <c r="AJ380" s="190"/>
      <c r="AK380" s="101" t="s">
        <v>477</v>
      </c>
      <c r="AL380" s="199"/>
      <c r="AM380" s="254" t="s">
        <v>478</v>
      </c>
      <c r="AN380" s="91">
        <f>Transfer!AD205</f>
        <v>-9999</v>
      </c>
      <c r="AO380" s="242">
        <f>100*((Transfer!AD205/Transfer!AC205)-1)</f>
        <v>0</v>
      </c>
      <c r="AP380" s="92">
        <f>Transfer!AE205</f>
        <v>-9999</v>
      </c>
      <c r="AQ380" s="91">
        <f>100*((Transfer!AE205/Transfer!AD205)-1)</f>
        <v>0</v>
      </c>
      <c r="AR380" s="91">
        <f>Transfer!AF205</f>
        <v>-9999</v>
      </c>
      <c r="AS380" s="91">
        <f>100*((Transfer!AF205/Transfer!AE205)-1)</f>
        <v>0</v>
      </c>
      <c r="AT380" s="91">
        <f>Transfer!AG205</f>
        <v>-9999</v>
      </c>
      <c r="AU380" s="93">
        <f>100*((Transfer!AG205/Transfer!AF205)-1)</f>
        <v>0</v>
      </c>
      <c r="AV380" s="199"/>
      <c r="AW380" s="54"/>
      <c r="AX380" s="54"/>
      <c r="AY380" s="54"/>
      <c r="AZ380" s="54"/>
      <c r="BA380" s="1698" t="s">
        <v>131</v>
      </c>
      <c r="BB380" s="1699"/>
      <c r="BC380" s="54"/>
    </row>
    <row r="381" spans="1:55">
      <c r="A381" s="45"/>
      <c r="B381" s="1665"/>
      <c r="C381" s="1666" t="s">
        <v>479</v>
      </c>
      <c r="D381" s="2452"/>
      <c r="E381" s="2521" t="s">
        <v>480</v>
      </c>
      <c r="F381" s="2453">
        <f ca="1">Transfer!D206</f>
        <v>-0.20697999999999994</v>
      </c>
      <c r="G381" s="2691">
        <f ca="1">100*((Transfer!D206/Transfer!C206)-1)</f>
        <v>37.281952643098748</v>
      </c>
      <c r="H381" s="2692">
        <f ca="1">Transfer!E206</f>
        <v>-0.23816079999999995</v>
      </c>
      <c r="I381" s="2453">
        <f ca="1">100*((Transfer!E206/Transfer!D206)-1)</f>
        <v>15.064643926949461</v>
      </c>
      <c r="J381" s="2692">
        <f ca="1">Transfer!F206</f>
        <v>-0.27266380600000018</v>
      </c>
      <c r="K381" s="2453">
        <f ca="1">100*((Transfer!F206/Transfer!E206)-1)</f>
        <v>14.487273304422988</v>
      </c>
      <c r="L381" s="2692">
        <f ca="1">Transfer!G206</f>
        <v>-0.31080148603000013</v>
      </c>
      <c r="M381" s="2454">
        <f ca="1">100*((Transfer!G206/Transfer!F206)-1)</f>
        <v>13.987070960932723</v>
      </c>
      <c r="N381" s="2452"/>
      <c r="O381" s="54"/>
      <c r="P381" s="54"/>
      <c r="Q381" s="54"/>
      <c r="R381" s="54"/>
      <c r="S381" s="190"/>
      <c r="T381" s="101" t="s">
        <v>479</v>
      </c>
      <c r="U381" s="199"/>
      <c r="V381" s="254" t="s">
        <v>480</v>
      </c>
      <c r="W381" s="245">
        <f t="shared" ca="1" si="23"/>
        <v>9998.7999999999993</v>
      </c>
      <c r="X381" s="245">
        <f t="shared" ca="1" si="23"/>
        <v>37.299999999999997</v>
      </c>
      <c r="Y381" s="245">
        <f t="shared" ca="1" si="23"/>
        <v>9998.7999999999993</v>
      </c>
      <c r="Z381" s="245">
        <f t="shared" ca="1" si="23"/>
        <v>15.1</v>
      </c>
      <c r="AA381" s="245">
        <f t="shared" ca="1" si="23"/>
        <v>9998.7000000000007</v>
      </c>
      <c r="AB381" s="245">
        <f t="shared" ca="1" si="23"/>
        <v>14.5</v>
      </c>
      <c r="AC381" s="245">
        <f t="shared" ca="1" si="23"/>
        <v>9998.7000000000007</v>
      </c>
      <c r="AD381" s="320">
        <f t="shared" ca="1" si="23"/>
        <v>14</v>
      </c>
      <c r="AE381" s="199"/>
      <c r="AF381" s="45"/>
      <c r="AG381" s="45"/>
      <c r="AH381" s="45"/>
      <c r="AI381" s="45"/>
      <c r="AJ381" s="190"/>
      <c r="AK381" s="101" t="s">
        <v>479</v>
      </c>
      <c r="AL381" s="199"/>
      <c r="AM381" s="254" t="s">
        <v>480</v>
      </c>
      <c r="AN381" s="91">
        <f>Transfer!AD206</f>
        <v>-9999</v>
      </c>
      <c r="AO381" s="242">
        <f>100*((Transfer!AD206/Transfer!AC206)-1)</f>
        <v>0</v>
      </c>
      <c r="AP381" s="92">
        <f>Transfer!AE206</f>
        <v>-9999</v>
      </c>
      <c r="AQ381" s="91">
        <f>100*((Transfer!AE206/Transfer!AD206)-1)</f>
        <v>0</v>
      </c>
      <c r="AR381" s="92">
        <f>Transfer!AF206</f>
        <v>-9999</v>
      </c>
      <c r="AS381" s="91">
        <f>100*((Transfer!AF206/Transfer!AE206)-1)</f>
        <v>0</v>
      </c>
      <c r="AT381" s="92">
        <f>Transfer!AG206</f>
        <v>-9999</v>
      </c>
      <c r="AU381" s="93">
        <f>100*((Transfer!AG206/Transfer!AF206)-1)</f>
        <v>0</v>
      </c>
      <c r="AV381" s="199"/>
      <c r="AW381" s="54"/>
      <c r="AX381" s="54"/>
      <c r="AY381" s="54"/>
      <c r="AZ381" s="54"/>
      <c r="BA381" s="1698" t="s">
        <v>132</v>
      </c>
      <c r="BB381" s="1699"/>
      <c r="BC381" s="54"/>
    </row>
    <row r="382" spans="1:55">
      <c r="A382" s="45"/>
      <c r="B382" s="1665"/>
      <c r="C382" s="1666" t="s">
        <v>1561</v>
      </c>
      <c r="D382" s="2452"/>
      <c r="E382" s="2521" t="s">
        <v>2100</v>
      </c>
      <c r="F382" s="2453">
        <f ca="1">Transfer!D207</f>
        <v>0.62555999999999989</v>
      </c>
      <c r="G382" s="2691">
        <f ca="1">100*((Transfer!D207/Transfer!C207)-1)</f>
        <v>9.2375929871127518</v>
      </c>
      <c r="H382" s="2692">
        <f ca="1">Transfer!E207</f>
        <v>0.63099999999999989</v>
      </c>
      <c r="I382" s="2453">
        <f ca="1">100*((Transfer!E207/Transfer!D207)-1)</f>
        <v>0.86962081974550909</v>
      </c>
      <c r="J382" s="2692">
        <f ca="1">Transfer!F207</f>
        <v>0.6499299999999999</v>
      </c>
      <c r="K382" s="2453">
        <f ca="1">100*((Transfer!F207/Transfer!E207)-1)</f>
        <v>3.0000000000000027</v>
      </c>
      <c r="L382" s="2692">
        <f ca="1">Transfer!G207</f>
        <v>0.6882758699999999</v>
      </c>
      <c r="M382" s="2454">
        <f ca="1">100*((Transfer!G207/Transfer!F207)-1)</f>
        <v>5.8999999999999941</v>
      </c>
      <c r="N382" s="2452"/>
      <c r="O382" s="54"/>
      <c r="P382" s="54"/>
      <c r="Q382" s="54"/>
      <c r="R382" s="54"/>
      <c r="S382" s="190"/>
      <c r="T382" s="101" t="s">
        <v>1561</v>
      </c>
      <c r="U382" s="199"/>
      <c r="V382" s="254" t="s">
        <v>2100</v>
      </c>
      <c r="W382" s="245">
        <f t="shared" ca="1" si="23"/>
        <v>9999.6</v>
      </c>
      <c r="X382" s="245">
        <f t="shared" ca="1" si="23"/>
        <v>9.1999999999999993</v>
      </c>
      <c r="Y382" s="245">
        <f t="shared" ca="1" si="23"/>
        <v>9999.6</v>
      </c>
      <c r="Z382" s="245">
        <f t="shared" ca="1" si="23"/>
        <v>0.9</v>
      </c>
      <c r="AA382" s="245">
        <f t="shared" ca="1" si="23"/>
        <v>9999.6</v>
      </c>
      <c r="AB382" s="245">
        <f t="shared" ca="1" si="23"/>
        <v>3</v>
      </c>
      <c r="AC382" s="245">
        <f t="shared" ca="1" si="23"/>
        <v>9999.7000000000007</v>
      </c>
      <c r="AD382" s="320">
        <f t="shared" ca="1" si="23"/>
        <v>5.9</v>
      </c>
      <c r="AE382" s="199"/>
      <c r="AF382" s="45"/>
      <c r="AG382" s="45"/>
      <c r="AH382" s="45"/>
      <c r="AI382" s="45"/>
      <c r="AJ382" s="190"/>
      <c r="AK382" s="101" t="s">
        <v>1561</v>
      </c>
      <c r="AL382" s="199"/>
      <c r="AM382" s="254" t="s">
        <v>2100</v>
      </c>
      <c r="AN382" s="91">
        <f>Transfer!AD207</f>
        <v>-9999</v>
      </c>
      <c r="AO382" s="242">
        <f>100*((Transfer!AD207/Transfer!AC207)-1)</f>
        <v>0</v>
      </c>
      <c r="AP382" s="92">
        <f>Transfer!AE207</f>
        <v>-9999</v>
      </c>
      <c r="AQ382" s="91">
        <f>100*((Transfer!AE207/Transfer!AD207)-1)</f>
        <v>0</v>
      </c>
      <c r="AR382" s="92">
        <f>Transfer!AF207</f>
        <v>-9999</v>
      </c>
      <c r="AS382" s="91">
        <f>100*((Transfer!AF207/Transfer!AE207)-1)</f>
        <v>0</v>
      </c>
      <c r="AT382" s="92">
        <f>Transfer!AG207</f>
        <v>-9999</v>
      </c>
      <c r="AU382" s="93">
        <f>100*((Transfer!AG207/Transfer!AF207)-1)</f>
        <v>0</v>
      </c>
      <c r="AV382" s="199"/>
      <c r="AW382" s="54"/>
      <c r="AX382" s="54"/>
      <c r="AY382" s="54"/>
      <c r="AZ382" s="54"/>
      <c r="BA382" s="1698" t="s">
        <v>607</v>
      </c>
      <c r="BB382" s="1699"/>
      <c r="BC382" s="54"/>
    </row>
    <row r="383" spans="1:55">
      <c r="A383" s="45"/>
      <c r="B383" s="1665"/>
      <c r="C383" s="1666" t="s">
        <v>1053</v>
      </c>
      <c r="D383" s="2452"/>
      <c r="E383" s="2521" t="s">
        <v>1597</v>
      </c>
      <c r="F383" s="2453">
        <f ca="1">Transfer!D208</f>
        <v>0.13106000000000001</v>
      </c>
      <c r="G383" s="2691"/>
      <c r="H383" s="2692">
        <f ca="1">Transfer!E208</f>
        <v>0.13106000000000001</v>
      </c>
      <c r="I383" s="2453"/>
      <c r="J383" s="2692">
        <f ca="1">Transfer!F208</f>
        <v>0.13106000000000001</v>
      </c>
      <c r="K383" s="2453"/>
      <c r="L383" s="2692">
        <f ca="1">Transfer!G208</f>
        <v>0.13106000000000001</v>
      </c>
      <c r="M383" s="2454"/>
      <c r="N383" s="2452"/>
      <c r="O383" s="54"/>
      <c r="P383" s="54"/>
      <c r="Q383" s="54"/>
      <c r="R383" s="54"/>
      <c r="S383" s="190"/>
      <c r="T383" s="101" t="s">
        <v>1053</v>
      </c>
      <c r="U383" s="199"/>
      <c r="V383" s="254" t="s">
        <v>1597</v>
      </c>
      <c r="W383" s="245">
        <f t="shared" ca="1" si="23"/>
        <v>9999.1</v>
      </c>
      <c r="X383" s="248"/>
      <c r="Y383" s="245">
        <f t="shared" ca="1" si="23"/>
        <v>9999.1</v>
      </c>
      <c r="Z383" s="245"/>
      <c r="AA383" s="245">
        <f t="shared" ca="1" si="23"/>
        <v>9999.1</v>
      </c>
      <c r="AB383" s="245"/>
      <c r="AC383" s="245">
        <f t="shared" ca="1" si="23"/>
        <v>9999.1</v>
      </c>
      <c r="AD383" s="320"/>
      <c r="AE383" s="199"/>
      <c r="AF383" s="45"/>
      <c r="AG383" s="45"/>
      <c r="AH383" s="45"/>
      <c r="AI383" s="45"/>
      <c r="AJ383" s="190"/>
      <c r="AK383" s="101" t="s">
        <v>1053</v>
      </c>
      <c r="AL383" s="199"/>
      <c r="AM383" s="254" t="s">
        <v>1597</v>
      </c>
      <c r="AN383" s="91">
        <f>Transfer!AD208</f>
        <v>-9999</v>
      </c>
      <c r="AO383" s="242"/>
      <c r="AP383" s="92">
        <f>Transfer!AE208</f>
        <v>-9999</v>
      </c>
      <c r="AQ383" s="91"/>
      <c r="AR383" s="92">
        <f>Transfer!AF208</f>
        <v>-9999</v>
      </c>
      <c r="AS383" s="91"/>
      <c r="AT383" s="92">
        <f>Transfer!AG208</f>
        <v>-9999</v>
      </c>
      <c r="AU383" s="93"/>
      <c r="AV383" s="199"/>
      <c r="AW383" s="54"/>
      <c r="AX383" s="54"/>
      <c r="AY383" s="54"/>
      <c r="AZ383" s="54"/>
      <c r="BA383" s="1698" t="s">
        <v>133</v>
      </c>
      <c r="BB383" s="1699"/>
      <c r="BC383" s="54"/>
    </row>
    <row r="384" spans="1:55">
      <c r="A384" s="45"/>
      <c r="B384" s="1665"/>
      <c r="C384" s="1666" t="s">
        <v>1054</v>
      </c>
      <c r="D384" s="2452"/>
      <c r="E384" s="2521" t="s">
        <v>1603</v>
      </c>
      <c r="F384" s="2453">
        <f ca="1">SUM(Transfer!D200,Transfer!D201,Transfer!D205,Transfer!D206)-(SUM(Transfer!D202,Transfer!D203,Transfer!D207,Transfer!D208))</f>
        <v>5.4141800000000018</v>
      </c>
      <c r="G384" s="2691">
        <f ca="1">100*(((SUM(Transfer!D200,Transfer!D201,Transfer!D205,Transfer!D206)-(SUM(Transfer!D202,Transfer!D203,Transfer!D207,Transfer!D208)))/(SUM(Transfer!C200,Transfer!C201,Transfer!C205,Transfer!C206)-(SUM(Transfer!C202,Transfer!C203,Transfer!C207,Transfer!C208))))-1)</f>
        <v>-11.113409542759811</v>
      </c>
      <c r="H384" s="2453">
        <f ca="1">SUM(Transfer!E200,Transfer!E201,Transfer!E205,Transfer!E206)-(SUM(Transfer!E202,Transfer!E203,Transfer!E207,Transfer!E208))</f>
        <v>6.2509504700000047</v>
      </c>
      <c r="I384" s="2691">
        <f ca="1">100*(((SUM(Transfer!E200,Transfer!E201,Transfer!E205,Transfer!E206)-(SUM(Transfer!E202,Transfer!E203,Transfer!E207,Transfer!E208)))/(SUM(Transfer!D200,Transfer!D201,Transfer!D205,Transfer!D206)-(SUM(Transfer!D202,Transfer!D203,Transfer!D207,Transfer!D208))))-1)</f>
        <v>15.455165325127762</v>
      </c>
      <c r="J384" s="2453">
        <f ca="1">SUM(Transfer!F200,Transfer!F201,Transfer!F205,Transfer!F206)-(SUM(Transfer!F202,Transfer!F203,Transfer!F207,Transfer!F208))</f>
        <v>6.7520762020993281</v>
      </c>
      <c r="K384" s="2691">
        <f ca="1">100*(((SUM(Transfer!F200,Transfer!F201,Transfer!F205,Transfer!F206)-(SUM(Transfer!F202,Transfer!F203,Transfer!F207,Transfer!F208)))/(SUM(Transfer!E200,Transfer!E201,Transfer!E205,Transfer!E206)-(SUM(Transfer!E202,Transfer!E203,Transfer!E207,Transfer!E208))))-1)</f>
        <v>8.0167925582575137</v>
      </c>
      <c r="L384" s="2453">
        <f ca="1">SUM(Transfer!G200,Transfer!G201,Transfer!G205,Transfer!G206)-(SUM(Transfer!G202,Transfer!G203,Transfer!G207,Transfer!G208))</f>
        <v>7.3186701178579661</v>
      </c>
      <c r="M384" s="2693">
        <f ca="1">100*(((SUM(Transfer!G200,Transfer!G201,Transfer!G205,Transfer!G206)-(SUM(Transfer!G202,Transfer!G203,Transfer!G207,Transfer!G208)))/(SUM(Transfer!F200,Transfer!F201,Transfer!F205,Transfer!F206)-(SUM(Transfer!F202,Transfer!F203,Transfer!F207,Transfer!F208))))-1)</f>
        <v>8.3914028633514945</v>
      </c>
      <c r="N384" s="2452"/>
      <c r="O384" s="54"/>
      <c r="P384" s="54"/>
      <c r="Q384" s="54"/>
      <c r="R384" s="54"/>
      <c r="S384" s="190"/>
      <c r="T384" s="101" t="s">
        <v>1054</v>
      </c>
      <c r="U384" s="199"/>
      <c r="V384" s="254" t="s">
        <v>1603</v>
      </c>
      <c r="W384" s="245">
        <f t="shared" ca="1" si="23"/>
        <v>5.4</v>
      </c>
      <c r="X384" s="245" t="e">
        <f ca="1">ROUND(G384,1)-ROUND(AO384,1)</f>
        <v>#DIV/0!</v>
      </c>
      <c r="Y384" s="245">
        <f t="shared" ca="1" si="23"/>
        <v>6.3</v>
      </c>
      <c r="Z384" s="245" t="e">
        <f ca="1">ROUND(I384,1)-ROUND(AQ384,1)</f>
        <v>#DIV/0!</v>
      </c>
      <c r="AA384" s="245">
        <f t="shared" ca="1" si="23"/>
        <v>6.8</v>
      </c>
      <c r="AB384" s="245" t="e">
        <f ca="1">ROUND(K384,1)-ROUND(AS384,1)</f>
        <v>#DIV/0!</v>
      </c>
      <c r="AC384" s="245">
        <f t="shared" ca="1" si="23"/>
        <v>7.3</v>
      </c>
      <c r="AD384" s="320" t="e">
        <f t="shared" ca="1" si="23"/>
        <v>#DIV/0!</v>
      </c>
      <c r="AE384" s="199"/>
      <c r="AF384" s="45"/>
      <c r="AG384" s="45"/>
      <c r="AH384" s="45"/>
      <c r="AI384" s="45"/>
      <c r="AJ384" s="190"/>
      <c r="AK384" s="101" t="s">
        <v>1054</v>
      </c>
      <c r="AL384" s="199"/>
      <c r="AM384" s="254" t="s">
        <v>1603</v>
      </c>
      <c r="AN384" s="91">
        <f>SUM(Transfer!AD200,Transfer!AD201,Transfer!AD205,Transfer!AD206)-(SUM(Transfer!AD202,Transfer!AD203,Transfer!AD207,Transfer!AD208))</f>
        <v>0</v>
      </c>
      <c r="AO384" s="242" t="e">
        <f>100*(((SUM(Transfer!AD200,Transfer!AD201,Transfer!AD205,Transfer!AD206)-(SUM(Transfer!AD202,Transfer!AD203,Transfer!AD207,Transfer!AD208)))/(SUM(Transfer!AC200,Transfer!AC201,Transfer!AC205,Transfer!AC206)-(SUM(Transfer!AC202,Transfer!AC203,Transfer!AC207,Transfer!AC208))))-1)</f>
        <v>#DIV/0!</v>
      </c>
      <c r="AP384" s="91">
        <f>SUM(Transfer!AE200,Transfer!AE201,Transfer!AE205,Transfer!AE206)-(SUM(Transfer!AE202,Transfer!AE203,Transfer!AE207,Transfer!AE208))</f>
        <v>0</v>
      </c>
      <c r="AQ384" s="242" t="e">
        <f>100*(((SUM(Transfer!AE200,Transfer!AE201,Transfer!AE205,Transfer!AE206)-(SUM(Transfer!AE202,Transfer!AE203,Transfer!AE207,Transfer!AE208)))/(SUM(Transfer!AD200,Transfer!AD201,Transfer!AD205,Transfer!AD206)-(SUM(Transfer!AD202,Transfer!AD203,Transfer!AD207,Transfer!AD208))))-1)</f>
        <v>#DIV/0!</v>
      </c>
      <c r="AR384" s="91">
        <f>SUM(Transfer!AF200,Transfer!AF201,Transfer!AF205,Transfer!AF206)-(SUM(Transfer!AF202,Transfer!AF203,Transfer!AF207,Transfer!AF208))</f>
        <v>0</v>
      </c>
      <c r="AS384" s="242" t="e">
        <f>100*(((SUM(Transfer!AF200,Transfer!AF201,Transfer!AF205,Transfer!AF206)-(SUM(Transfer!AF202,Transfer!AF203,Transfer!AF207,Transfer!AF208)))/(SUM(Transfer!AE200,Transfer!AE201,Transfer!AE205,Transfer!AE206)-(SUM(Transfer!AE202,Transfer!AE203,Transfer!AE207,Transfer!AE208))))-1)</f>
        <v>#DIV/0!</v>
      </c>
      <c r="AT384" s="91">
        <f>SUM(Transfer!AG200,Transfer!AG201,Transfer!AG205,Transfer!AG206)-(SUM(Transfer!AG202,Transfer!AG203,Transfer!AG207,Transfer!AG208))</f>
        <v>0</v>
      </c>
      <c r="AU384" s="243" t="e">
        <f>100*(((SUM(Transfer!AG200,Transfer!AG201,Transfer!AG205,Transfer!AG206)-(SUM(Transfer!AG202,Transfer!AG203,Transfer!AG207,Transfer!AG208)))/(SUM(Transfer!AF200,Transfer!AF201,Transfer!AF205,Transfer!AF206)-(SUM(Transfer!AF202,Transfer!AF203,Transfer!AF207,Transfer!AF208))))-1)</f>
        <v>#DIV/0!</v>
      </c>
      <c r="AV384" s="199"/>
      <c r="AW384" s="54"/>
      <c r="AX384" s="54"/>
      <c r="AY384" s="54"/>
      <c r="AZ384" s="54"/>
      <c r="BA384" s="1698" t="s">
        <v>1233</v>
      </c>
      <c r="BB384" s="1699"/>
      <c r="BC384" s="54"/>
    </row>
    <row r="385" spans="1:55">
      <c r="A385" s="45"/>
      <c r="B385" s="1665"/>
      <c r="C385" s="2707" t="s">
        <v>1500</v>
      </c>
      <c r="D385" s="2708"/>
      <c r="E385" s="2709"/>
      <c r="F385" s="2552">
        <f ca="1">100*(SUM(Transfer!D200,Transfer!D201,Transfer!D205,Transfer!D206)-(SUM(Transfer!D202,Transfer!D203,Transfer!D207,Transfer!D208)))/Transfer!D147</f>
        <v>14.001590966455231</v>
      </c>
      <c r="G385" s="2710"/>
      <c r="H385" s="2552">
        <f ca="1">100*(SUM(Transfer!E200,Transfer!E201,Transfer!E205,Transfer!E206)-(SUM(Transfer!E202,Transfer!E203,Transfer!E207,Transfer!E208)))/Transfer!E147</f>
        <v>14.961730687190979</v>
      </c>
      <c r="I385" s="2710"/>
      <c r="J385" s="2552">
        <f ca="1">100*(SUM(Transfer!F200,Transfer!F201,Transfer!F205,Transfer!F206)-(SUM(Transfer!F202,Transfer!F203,Transfer!F207,Transfer!F208)))/Transfer!F147</f>
        <v>15.272196785034913</v>
      </c>
      <c r="K385" s="2710"/>
      <c r="L385" s="2552">
        <f ca="1">100*(SUM(Transfer!G200,Transfer!G201,Transfer!G205,Transfer!G206)-(SUM(Transfer!G202,Transfer!G203,Transfer!G207,Transfer!G208)))/Transfer!G147</f>
        <v>15.679644646822807</v>
      </c>
      <c r="M385" s="2711"/>
      <c r="N385" s="2712"/>
      <c r="O385" s="54"/>
      <c r="P385" s="54"/>
      <c r="Q385" s="54"/>
      <c r="R385" s="54"/>
      <c r="S385" s="190"/>
      <c r="T385" s="445" t="s">
        <v>1500</v>
      </c>
      <c r="U385" s="1712"/>
      <c r="V385" s="446"/>
      <c r="W385" s="443">
        <f t="shared" ca="1" si="23"/>
        <v>14</v>
      </c>
      <c r="X385" s="447"/>
      <c r="Y385" s="443">
        <f t="shared" ca="1" si="23"/>
        <v>15</v>
      </c>
      <c r="Z385" s="447"/>
      <c r="AA385" s="443">
        <f t="shared" ca="1" si="23"/>
        <v>15.3</v>
      </c>
      <c r="AB385" s="447"/>
      <c r="AC385" s="443">
        <f t="shared" ca="1" si="23"/>
        <v>15.7</v>
      </c>
      <c r="AD385" s="2018"/>
      <c r="AE385" s="448"/>
      <c r="AF385" s="45"/>
      <c r="AG385" s="45"/>
      <c r="AH385" s="45"/>
      <c r="AI385" s="45"/>
      <c r="AJ385" s="190"/>
      <c r="AK385" s="445" t="s">
        <v>1500</v>
      </c>
      <c r="AL385" s="1712"/>
      <c r="AM385" s="446"/>
      <c r="AN385" s="156">
        <f>100*(SUM(Transfer!AD200,Transfer!AD201,Transfer!AD205,Transfer!AD206)-(SUM(Transfer!AD202,Transfer!AD203,Transfer!AD207,Transfer!AD208)))/Transfer!AD147</f>
        <v>0</v>
      </c>
      <c r="AO385" s="2059"/>
      <c r="AP385" s="156">
        <f>100*(SUM(Transfer!AE200,Transfer!AE201,Transfer!AE205,Transfer!AE206)-(SUM(Transfer!AE202,Transfer!AE203,Transfer!AE207,Transfer!AE208)))/Transfer!AE147</f>
        <v>0</v>
      </c>
      <c r="AQ385" s="2059"/>
      <c r="AR385" s="156">
        <f>100*(SUM(Transfer!AF200,Transfer!AF201,Transfer!AF205,Transfer!AF206)-(SUM(Transfer!AF202,Transfer!AF203,Transfer!AF207,Transfer!AF208)))/Transfer!AF147</f>
        <v>0</v>
      </c>
      <c r="AS385" s="2059"/>
      <c r="AT385" s="156">
        <f>100*(SUM(Transfer!AG200,Transfer!AG201,Transfer!AG205,Transfer!AG206)-(SUM(Transfer!AG202,Transfer!AG203,Transfer!AG207,Transfer!AG208)))/Transfer!AG147</f>
        <v>0</v>
      </c>
      <c r="AU385" s="2060"/>
      <c r="AV385" s="448"/>
      <c r="AW385" s="54"/>
      <c r="AX385" s="54"/>
      <c r="AY385" s="54"/>
      <c r="AZ385" s="54"/>
      <c r="BA385" s="1698" t="s">
        <v>1234</v>
      </c>
      <c r="BB385" s="1699"/>
      <c r="BC385" s="54"/>
    </row>
    <row r="386" spans="1:55">
      <c r="A386" s="45"/>
      <c r="B386" s="1665"/>
      <c r="C386" s="1666" t="s">
        <v>754</v>
      </c>
      <c r="D386" s="2452"/>
      <c r="E386" s="2521" t="s">
        <v>1062</v>
      </c>
      <c r="F386" s="2453">
        <f ca="1">Transfer!D209</f>
        <v>3.7375100000000003</v>
      </c>
      <c r="G386" s="2453">
        <f ca="1">100*((Transfer!D209/Transfer!C209)-1)</f>
        <v>-20.285329767244441</v>
      </c>
      <c r="H386" s="2453">
        <f ca="1">Transfer!E209</f>
        <v>4.1594073491796708</v>
      </c>
      <c r="I386" s="2453">
        <f ca="1">100*((Transfer!E209/Transfer!D209)-1)</f>
        <v>11.288193186899043</v>
      </c>
      <c r="J386" s="2453">
        <f ca="1">Transfer!F209</f>
        <v>4.7105425170022883</v>
      </c>
      <c r="K386" s="2453">
        <f ca="1">100*((Transfer!F209/Transfer!E209)-1)</f>
        <v>13.250329230949554</v>
      </c>
      <c r="L386" s="2453">
        <f ca="1">Transfer!G209</f>
        <v>5.1136643096866443</v>
      </c>
      <c r="M386" s="2454">
        <f ca="1">100*((Transfer!G209/Transfer!F209)-1)</f>
        <v>8.5578633719857855</v>
      </c>
      <c r="N386" s="2452"/>
      <c r="O386" s="54"/>
      <c r="P386" s="54"/>
      <c r="Q386" s="54"/>
      <c r="R386" s="54"/>
      <c r="S386" s="190"/>
      <c r="T386" s="101" t="s">
        <v>754</v>
      </c>
      <c r="U386" s="199"/>
      <c r="V386" s="254" t="s">
        <v>1062</v>
      </c>
      <c r="W386" s="245">
        <f t="shared" ca="1" si="23"/>
        <v>10002.700000000001</v>
      </c>
      <c r="X386" s="245">
        <f ca="1">ROUND(G386,1)-ROUND(AO386,1)</f>
        <v>-20.3</v>
      </c>
      <c r="Y386" s="245">
        <f t="shared" ca="1" si="23"/>
        <v>10003.200000000001</v>
      </c>
      <c r="Z386" s="245">
        <f ca="1">ROUND(I386,1)-ROUND(AQ386,1)</f>
        <v>11.3</v>
      </c>
      <c r="AA386" s="245">
        <f t="shared" ca="1" si="23"/>
        <v>10003.700000000001</v>
      </c>
      <c r="AB386" s="245">
        <f ca="1">ROUND(K386,1)-ROUND(AS386,1)</f>
        <v>13.3</v>
      </c>
      <c r="AC386" s="245">
        <f t="shared" ca="1" si="23"/>
        <v>10004.1</v>
      </c>
      <c r="AD386" s="320">
        <f t="shared" ca="1" si="23"/>
        <v>8.6</v>
      </c>
      <c r="AE386" s="199"/>
      <c r="AF386" s="45"/>
      <c r="AG386" s="45"/>
      <c r="AH386" s="45"/>
      <c r="AI386" s="45"/>
      <c r="AJ386" s="190"/>
      <c r="AK386" s="101" t="s">
        <v>754</v>
      </c>
      <c r="AL386" s="199"/>
      <c r="AM386" s="254" t="s">
        <v>1062</v>
      </c>
      <c r="AN386" s="91">
        <f>Transfer!AD209</f>
        <v>-9999</v>
      </c>
      <c r="AO386" s="91">
        <f>100*((Transfer!AD209/Transfer!AC209)-1)</f>
        <v>0</v>
      </c>
      <c r="AP386" s="91">
        <f>Transfer!AE209</f>
        <v>-9999</v>
      </c>
      <c r="AQ386" s="91">
        <f>100*((Transfer!AE209/Transfer!AD209)-1)</f>
        <v>0</v>
      </c>
      <c r="AR386" s="91">
        <f>Transfer!AF209</f>
        <v>-9999</v>
      </c>
      <c r="AS386" s="91">
        <f>100*((Transfer!AF209/Transfer!AE209)-1)</f>
        <v>0</v>
      </c>
      <c r="AT386" s="91">
        <f>Transfer!AG209</f>
        <v>-9999</v>
      </c>
      <c r="AU386" s="93">
        <f>100*((Transfer!AG209/Transfer!AF209)-1)</f>
        <v>0</v>
      </c>
      <c r="AV386" s="199"/>
      <c r="AW386" s="54"/>
      <c r="AX386" s="54"/>
      <c r="AY386" s="54"/>
      <c r="AZ386" s="54"/>
      <c r="BA386" s="1698" t="s">
        <v>1235</v>
      </c>
      <c r="BB386" s="1699"/>
      <c r="BC386" s="54"/>
    </row>
    <row r="387" spans="1:55">
      <c r="A387" s="45"/>
      <c r="B387" s="1665"/>
      <c r="C387" s="2455" t="s">
        <v>322</v>
      </c>
      <c r="D387" s="2713"/>
      <c r="E387" s="2714" t="s">
        <v>410</v>
      </c>
      <c r="F387" s="2512">
        <f ca="1">Transfer!D210</f>
        <v>-0.27847</v>
      </c>
      <c r="G387" s="2510">
        <f ca="1">100*((Transfer!D210/Transfer!C210)-1)</f>
        <v>-42.767592897073349</v>
      </c>
      <c r="H387" s="2512">
        <f ca="1">Transfer!E210</f>
        <v>-0.25158999999999998</v>
      </c>
      <c r="I387" s="2512">
        <f ca="1">100*((Transfer!E210/Transfer!D210)-1)</f>
        <v>-9.6527453585664613</v>
      </c>
      <c r="J387" s="2512">
        <f ca="1">Transfer!F210</f>
        <v>-0.22659159999999995</v>
      </c>
      <c r="K387" s="2510">
        <f ca="1">100*((Transfer!F210/Transfer!E210)-1)</f>
        <v>-9.9361659843396168</v>
      </c>
      <c r="L387" s="2512">
        <f ca="1">Transfer!G210</f>
        <v>-0.20334308799999995</v>
      </c>
      <c r="M387" s="2513">
        <f ca="1">100*((Transfer!G210/Transfer!F210)-1)</f>
        <v>-10.260094372430405</v>
      </c>
      <c r="N387" s="2713"/>
      <c r="O387" s="54"/>
      <c r="P387" s="54"/>
      <c r="Q387" s="54"/>
      <c r="R387" s="54"/>
      <c r="S387" s="190"/>
      <c r="T387" s="434" t="s">
        <v>322</v>
      </c>
      <c r="U387" s="453"/>
      <c r="V387" s="449" t="s">
        <v>410</v>
      </c>
      <c r="W387" s="245">
        <f t="shared" ca="1" si="23"/>
        <v>9998.7000000000007</v>
      </c>
      <c r="X387" s="245">
        <f ca="1">ROUND(G387,1)-ROUND(AO387,1)</f>
        <v>-42.8</v>
      </c>
      <c r="Y387" s="245">
        <f t="shared" ca="1" si="23"/>
        <v>9998.7000000000007</v>
      </c>
      <c r="Z387" s="245">
        <f ca="1">ROUND(I387,1)-ROUND(AQ387,1)</f>
        <v>-9.6999999999999993</v>
      </c>
      <c r="AA387" s="245">
        <f t="shared" ca="1" si="23"/>
        <v>9998.7999999999993</v>
      </c>
      <c r="AB387" s="245">
        <f ca="1">ROUND(K387,1)-ROUND(AS387,1)</f>
        <v>-9.9</v>
      </c>
      <c r="AC387" s="245">
        <f t="shared" ca="1" si="23"/>
        <v>9998.7999999999993</v>
      </c>
      <c r="AD387" s="320">
        <f t="shared" ca="1" si="23"/>
        <v>-10.3</v>
      </c>
      <c r="AE387" s="453"/>
      <c r="AF387" s="45"/>
      <c r="AG387" s="45"/>
      <c r="AH387" s="45"/>
      <c r="AI387" s="45"/>
      <c r="AJ387" s="190"/>
      <c r="AK387" s="434" t="s">
        <v>322</v>
      </c>
      <c r="AL387" s="453"/>
      <c r="AM387" s="449" t="s">
        <v>410</v>
      </c>
      <c r="AN387" s="1982">
        <f>Transfer!AD210</f>
        <v>-9999</v>
      </c>
      <c r="AO387" s="435">
        <f>100*((Transfer!AD210/Transfer!AC210)-1)</f>
        <v>0</v>
      </c>
      <c r="AP387" s="1982">
        <f>Transfer!AE210</f>
        <v>-9999</v>
      </c>
      <c r="AQ387" s="1982">
        <f>100*((Transfer!AE210/Transfer!AD210)-1)</f>
        <v>0</v>
      </c>
      <c r="AR387" s="1982">
        <f>Transfer!AF210</f>
        <v>-9999</v>
      </c>
      <c r="AS387" s="435">
        <f>100*((Transfer!AF210/Transfer!AE210)-1)</f>
        <v>0</v>
      </c>
      <c r="AT387" s="1982">
        <f>Transfer!AG210</f>
        <v>-9999</v>
      </c>
      <c r="AU387" s="1985">
        <f>100*((Transfer!AG210/Transfer!AF210)-1)</f>
        <v>0</v>
      </c>
      <c r="AV387" s="453"/>
      <c r="AW387" s="54"/>
      <c r="AX387" s="54"/>
      <c r="AY387" s="54"/>
      <c r="AZ387" s="54"/>
      <c r="BA387" s="1698" t="s">
        <v>1951</v>
      </c>
      <c r="BB387" s="1699"/>
      <c r="BC387" s="54"/>
    </row>
    <row r="388" spans="1:55">
      <c r="A388" s="45"/>
      <c r="B388" s="1665"/>
      <c r="C388" s="1666" t="s">
        <v>467</v>
      </c>
      <c r="D388" s="2452"/>
      <c r="E388" s="2521" t="s">
        <v>1564</v>
      </c>
      <c r="F388" s="2691">
        <f ca="1">SUM(Transfer!D200,Transfer!D201,Transfer!D205,Transfer!D206)-(SUM(Transfer!D202,Transfer!D203,Transfer!D207,Transfer!D208,Transfer!D209,Transfer!D210))</f>
        <v>1.9551400000000001</v>
      </c>
      <c r="G388" s="2453"/>
      <c r="H388" s="2691">
        <f ca="1">SUM(Transfer!E200,Transfer!E201,Transfer!E205,Transfer!E206)-(SUM(Transfer!E202,Transfer!E203,Transfer!E207,Transfer!E208,Transfer!E209,Transfer!E210))</f>
        <v>2.3431331208203332</v>
      </c>
      <c r="I388" s="2453"/>
      <c r="J388" s="2691">
        <f ca="1">SUM(Transfer!F200,Transfer!F201,Transfer!F205,Transfer!F206)-(SUM(Transfer!F202,Transfer!F203,Transfer!F207,Transfer!F208,Transfer!F209,Transfer!F210))</f>
        <v>2.2681252850970388</v>
      </c>
      <c r="K388" s="2453"/>
      <c r="L388" s="2691">
        <f ca="1">SUM(Transfer!G200,Transfer!G201,Transfer!G205,Transfer!G206)-(SUM(Transfer!G202,Transfer!G203,Transfer!G207,Transfer!G208,Transfer!G209,Transfer!G210))</f>
        <v>2.4083488961713222</v>
      </c>
      <c r="M388" s="2454"/>
      <c r="N388" s="2452"/>
      <c r="O388" s="54"/>
      <c r="P388" s="54"/>
      <c r="Q388" s="54"/>
      <c r="R388" s="54"/>
      <c r="S388" s="190"/>
      <c r="T388" s="101" t="s">
        <v>467</v>
      </c>
      <c r="U388" s="199"/>
      <c r="V388" s="254" t="s">
        <v>1564</v>
      </c>
      <c r="W388" s="245">
        <f t="shared" ca="1" si="23"/>
        <v>-19996</v>
      </c>
      <c r="X388" s="245"/>
      <c r="Y388" s="245">
        <f t="shared" ca="1" si="23"/>
        <v>-19995.7</v>
      </c>
      <c r="Z388" s="245"/>
      <c r="AA388" s="245">
        <f t="shared" ca="1" si="23"/>
        <v>-19995.7</v>
      </c>
      <c r="AB388" s="245"/>
      <c r="AC388" s="245">
        <f t="shared" ca="1" si="23"/>
        <v>-19995.599999999999</v>
      </c>
      <c r="AD388" s="320"/>
      <c r="AE388" s="199"/>
      <c r="AF388" s="45"/>
      <c r="AG388" s="45"/>
      <c r="AH388" s="45"/>
      <c r="AI388" s="45"/>
      <c r="AJ388" s="190"/>
      <c r="AK388" s="101" t="s">
        <v>467</v>
      </c>
      <c r="AL388" s="199"/>
      <c r="AM388" s="254" t="s">
        <v>1564</v>
      </c>
      <c r="AN388" s="242">
        <f>SUM(Transfer!AD200,Transfer!AD201,Transfer!AD205,Transfer!AD206)-(SUM(Transfer!AD202,Transfer!AD203,Transfer!AD207,Transfer!AD208,Transfer!AD209,Transfer!AD210))</f>
        <v>19998</v>
      </c>
      <c r="AO388" s="91"/>
      <c r="AP388" s="242">
        <f>SUM(Transfer!AE200,Transfer!AE201,Transfer!AE205,Transfer!AE206)-(SUM(Transfer!AE202,Transfer!AE203,Transfer!AE207,Transfer!AE208,Transfer!AE209,Transfer!AE210))</f>
        <v>19998</v>
      </c>
      <c r="AQ388" s="91"/>
      <c r="AR388" s="242">
        <f>SUM(Transfer!AF200,Transfer!AF201,Transfer!AF205,Transfer!AF206)-(SUM(Transfer!AF202,Transfer!AF203,Transfer!AF207,Transfer!AF208,Transfer!AF209,Transfer!AF210))</f>
        <v>19998</v>
      </c>
      <c r="AS388" s="91"/>
      <c r="AT388" s="242">
        <f>SUM(Transfer!AG200,Transfer!AG201,Transfer!AG205,Transfer!AG206)-(SUM(Transfer!AG202,Transfer!AG203,Transfer!AG207,Transfer!AG208,Transfer!AG209,Transfer!AG210))</f>
        <v>19998</v>
      </c>
      <c r="AU388" s="93"/>
      <c r="AV388" s="199"/>
      <c r="AW388" s="54"/>
      <c r="AX388" s="54"/>
      <c r="AY388" s="54"/>
      <c r="AZ388" s="54"/>
      <c r="BA388" s="1698" t="s">
        <v>829</v>
      </c>
      <c r="BB388" s="1699"/>
      <c r="BC388" s="54"/>
    </row>
    <row r="389" spans="1:55" ht="13.5" thickBot="1">
      <c r="A389" s="45"/>
      <c r="B389" s="1665"/>
      <c r="C389" s="2715" t="s">
        <v>323</v>
      </c>
      <c r="D389" s="2716"/>
      <c r="E389" s="2701"/>
      <c r="F389" s="2717">
        <f ca="1">100*(SUM(Transfer!D200,Transfer!D201,Transfer!D205,Transfer!D206)-(SUM(Transfer!D202,Transfer!D203,Transfer!D207,Transfer!D208,Transfer!D209,Transfer!D210)))/Transfer!D147</f>
        <v>5.0561803564261387</v>
      </c>
      <c r="G389" s="2718"/>
      <c r="H389" s="2717">
        <f ca="1">100*(SUM(Transfer!E200,Transfer!E201,Transfer!E205,Transfer!E206)-(SUM(Transfer!E202,Transfer!E203,Transfer!E207,Transfer!E208,Transfer!E209,Transfer!E210)))/Transfer!E147</f>
        <v>5.6083193885794973</v>
      </c>
      <c r="I389" s="2718"/>
      <c r="J389" s="2717">
        <f ca="1">100*(SUM(Transfer!F200,Transfer!F201,Transfer!F205,Transfer!F206)-(SUM(Transfer!F202,Transfer!F203,Transfer!F207,Transfer!F208,Transfer!F209,Transfer!F210)))/Transfer!F147</f>
        <v>5.1301636193539251</v>
      </c>
      <c r="K389" s="2718"/>
      <c r="L389" s="2717">
        <f ca="1">100*(SUM(Transfer!G200,Transfer!G201,Transfer!G205,Transfer!G206)-(SUM(Transfer!G202,Transfer!G203,Transfer!G207,Transfer!G208,Transfer!G209,Transfer!G210)))/Transfer!G147</f>
        <v>5.1596880675619943</v>
      </c>
      <c r="M389" s="2719"/>
      <c r="N389" s="2712"/>
      <c r="O389" s="54"/>
      <c r="P389" s="54"/>
      <c r="Q389" s="54"/>
      <c r="R389" s="54"/>
      <c r="S389" s="190"/>
      <c r="T389" s="454" t="s">
        <v>323</v>
      </c>
      <c r="U389" s="1713"/>
      <c r="V389" s="437"/>
      <c r="W389" s="1719">
        <f t="shared" ca="1" si="23"/>
        <v>-17577.900000000001</v>
      </c>
      <c r="X389" s="455"/>
      <c r="Y389" s="1719">
        <f t="shared" ca="1" si="23"/>
        <v>-16653.900000000001</v>
      </c>
      <c r="Z389" s="455"/>
      <c r="AA389" s="1719">
        <f t="shared" ca="1" si="23"/>
        <v>-15688</v>
      </c>
      <c r="AB389" s="455"/>
      <c r="AC389" s="1719">
        <f t="shared" ca="1" si="23"/>
        <v>-14688.4</v>
      </c>
      <c r="AD389" s="456"/>
      <c r="AE389" s="448"/>
      <c r="AF389" s="45"/>
      <c r="AG389" s="45"/>
      <c r="AH389" s="45"/>
      <c r="AI389" s="45"/>
      <c r="AJ389" s="190"/>
      <c r="AK389" s="454" t="s">
        <v>323</v>
      </c>
      <c r="AL389" s="1713"/>
      <c r="AM389" s="437"/>
      <c r="AN389" s="438">
        <f>100*(SUM(Transfer!AD200,Transfer!AD201,Transfer!AD205,Transfer!AD206)-(SUM(Transfer!AD202,Transfer!AD203,Transfer!AD207,Transfer!AD208,Transfer!AD209,Transfer!AD210)))/Transfer!AD147</f>
        <v>17583.024354044985</v>
      </c>
      <c r="AO389" s="2061"/>
      <c r="AP389" s="438">
        <f>100*(SUM(Transfer!AE200,Transfer!AE201,Transfer!AE205,Transfer!AE206)-(SUM(Transfer!AE202,Transfer!AE203,Transfer!AE207,Transfer!AE208,Transfer!AE209,Transfer!AE210)))/Transfer!AE147</f>
        <v>16659.479889741971</v>
      </c>
      <c r="AQ389" s="2061"/>
      <c r="AR389" s="438">
        <f>100*(SUM(Transfer!AF200,Transfer!AF201,Transfer!AF205,Transfer!AF206)-(SUM(Transfer!AF202,Transfer!AF203,Transfer!AF207,Transfer!AF208,Transfer!AF209,Transfer!AF210)))/Transfer!AF147</f>
        <v>15693.14908214475</v>
      </c>
      <c r="AS389" s="2061"/>
      <c r="AT389" s="438">
        <f>100*(SUM(Transfer!AG200,Transfer!AG201,Transfer!AG205,Transfer!AG206)-(SUM(Transfer!AG202,Transfer!AG203,Transfer!AG207,Transfer!AG208,Transfer!AG209,Transfer!AG210)))/Transfer!AG147</f>
        <v>14693.623771528597</v>
      </c>
      <c r="AU389" s="2062"/>
      <c r="AV389" s="448"/>
      <c r="AW389" s="54"/>
      <c r="AX389" s="54"/>
      <c r="AY389" s="54"/>
      <c r="AZ389" s="54"/>
      <c r="BA389" s="1736" t="s">
        <v>830</v>
      </c>
      <c r="BB389" s="1702"/>
      <c r="BC389" s="54"/>
    </row>
    <row r="390" spans="1:55">
      <c r="A390" s="45"/>
      <c r="B390" s="1701"/>
      <c r="C390" s="2477"/>
      <c r="D390" s="2477"/>
      <c r="E390" s="2477"/>
      <c r="F390" s="2477"/>
      <c r="G390" s="2477"/>
      <c r="H390" s="2477"/>
      <c r="I390" s="2477"/>
      <c r="J390" s="2477"/>
      <c r="K390" s="2477"/>
      <c r="L390" s="2477"/>
      <c r="M390" s="2400" t="str">
        <f>UPPER(Country)</f>
        <v>LITHUANIA</v>
      </c>
      <c r="N390" s="2478"/>
      <c r="O390" s="54"/>
      <c r="P390" s="54"/>
      <c r="Q390" s="54"/>
      <c r="R390" s="54"/>
      <c r="S390" s="215"/>
      <c r="T390" s="113"/>
      <c r="U390" s="113"/>
      <c r="V390" s="113"/>
      <c r="W390" s="113"/>
      <c r="X390" s="113"/>
      <c r="Y390" s="113"/>
      <c r="Z390" s="113"/>
      <c r="AA390" s="113"/>
      <c r="AB390" s="113"/>
      <c r="AC390" s="113"/>
      <c r="AD390" s="118" t="str">
        <f>UPPER(Country)</f>
        <v>LITHUANIA</v>
      </c>
      <c r="AE390" s="216"/>
      <c r="AF390" s="45"/>
      <c r="AG390" s="45"/>
      <c r="AH390" s="45"/>
      <c r="AI390" s="45"/>
      <c r="AJ390" s="215"/>
      <c r="AK390" s="113"/>
      <c r="AL390" s="113"/>
      <c r="AM390" s="113"/>
      <c r="AN390" s="113"/>
      <c r="AO390" s="113"/>
      <c r="AP390" s="113"/>
      <c r="AQ390" s="113"/>
      <c r="AR390" s="113"/>
      <c r="AS390" s="113"/>
      <c r="AT390" s="113"/>
      <c r="AU390" s="118" t="str">
        <f>UPPER(Country)</f>
        <v>LITHUANIA</v>
      </c>
      <c r="AV390" s="216"/>
      <c r="AW390" s="54"/>
      <c r="AX390" s="54"/>
      <c r="AY390" s="54"/>
      <c r="AZ390" s="54"/>
      <c r="BA390" s="54"/>
      <c r="BB390" s="54"/>
      <c r="BC390" s="54"/>
    </row>
    <row r="391" spans="1:55">
      <c r="A391" s="45"/>
      <c r="B391" s="45"/>
      <c r="C391" s="45"/>
      <c r="D391" s="45"/>
      <c r="E391" s="45"/>
      <c r="F391" s="45"/>
      <c r="G391" s="45"/>
      <c r="H391" s="45"/>
      <c r="I391" s="45"/>
      <c r="J391" s="45"/>
      <c r="K391" s="45"/>
      <c r="L391" s="45"/>
      <c r="M391" s="45"/>
      <c r="N391" s="54"/>
      <c r="O391" s="54"/>
      <c r="P391" s="54"/>
      <c r="Q391" s="54"/>
      <c r="R391" s="54"/>
      <c r="S391" s="54"/>
      <c r="T391" s="54"/>
      <c r="U391" s="54"/>
      <c r="V391" s="54"/>
      <c r="W391" s="54"/>
      <c r="X391" s="54"/>
      <c r="Y391" s="54"/>
      <c r="Z391" s="54"/>
      <c r="AA391" s="54"/>
      <c r="AB391" s="45"/>
      <c r="AC391" s="45"/>
      <c r="AD391" s="45"/>
      <c r="AE391" s="45"/>
      <c r="AF391" s="45"/>
      <c r="AG391" s="45"/>
      <c r="AH391" s="45"/>
      <c r="AI391" s="45"/>
      <c r="AJ391" s="45"/>
      <c r="AK391" s="45"/>
      <c r="AL391" s="45"/>
      <c r="AM391" s="45"/>
      <c r="AN391" s="45"/>
      <c r="AO391" s="45"/>
      <c r="AP391" s="45"/>
      <c r="AQ391" s="45"/>
      <c r="AR391" s="45"/>
      <c r="AS391" s="45"/>
      <c r="AT391" s="45"/>
      <c r="AU391" s="45"/>
      <c r="AV391" s="54"/>
      <c r="AW391" s="54"/>
      <c r="AX391" s="54"/>
      <c r="AY391" s="54"/>
      <c r="AZ391" s="54"/>
      <c r="BA391" s="54"/>
      <c r="BB391" s="54"/>
      <c r="BC391" s="54"/>
    </row>
    <row r="392" spans="1:55">
      <c r="A392" s="45"/>
      <c r="B392" s="45"/>
      <c r="C392" s="45"/>
      <c r="D392" s="45"/>
      <c r="E392" s="45"/>
      <c r="F392" s="45"/>
      <c r="G392" s="45"/>
      <c r="H392" s="45"/>
      <c r="I392" s="45"/>
      <c r="J392" s="45"/>
      <c r="K392" s="45"/>
      <c r="L392" s="45"/>
      <c r="M392" s="45"/>
      <c r="N392" s="54"/>
      <c r="O392" s="54"/>
      <c r="P392" s="54"/>
      <c r="Q392" s="54"/>
      <c r="R392" s="54"/>
      <c r="S392" s="54"/>
      <c r="T392" s="54"/>
      <c r="U392" s="54"/>
      <c r="V392" s="54"/>
      <c r="W392" s="54"/>
      <c r="X392" s="54"/>
      <c r="Y392" s="54"/>
      <c r="Z392" s="54"/>
      <c r="AA392" s="54"/>
      <c r="AB392" s="45"/>
      <c r="AC392" s="45"/>
      <c r="AD392" s="45"/>
      <c r="AE392" s="45"/>
      <c r="AF392" s="45"/>
      <c r="AG392" s="45"/>
      <c r="AH392" s="45"/>
      <c r="AI392" s="45"/>
      <c r="AJ392" s="45"/>
      <c r="AK392" s="45"/>
      <c r="AL392" s="45"/>
      <c r="AM392" s="45"/>
      <c r="AN392" s="45"/>
      <c r="AO392" s="45"/>
      <c r="AP392" s="45"/>
      <c r="AQ392" s="45"/>
      <c r="AR392" s="45"/>
      <c r="AS392" s="45"/>
      <c r="AT392" s="45"/>
      <c r="AU392" s="45"/>
      <c r="AV392" s="54"/>
      <c r="AW392" s="54"/>
      <c r="AX392" s="54"/>
      <c r="AY392" s="54"/>
      <c r="AZ392" s="54"/>
      <c r="BA392" s="54"/>
      <c r="BB392" s="54"/>
      <c r="BC392" s="54"/>
    </row>
    <row r="393" spans="1:55">
      <c r="A393" s="45"/>
      <c r="B393" s="45"/>
      <c r="C393" s="45"/>
      <c r="D393" s="45"/>
      <c r="E393" s="45"/>
      <c r="F393" s="45"/>
      <c r="G393" s="45"/>
      <c r="H393" s="45"/>
      <c r="I393" s="45"/>
      <c r="J393" s="45"/>
      <c r="K393" s="45"/>
      <c r="L393" s="45"/>
      <c r="M393" s="45"/>
      <c r="N393" s="54"/>
      <c r="O393" s="54"/>
      <c r="P393" s="54"/>
      <c r="Q393" s="54"/>
      <c r="R393" s="54"/>
      <c r="S393" s="54"/>
      <c r="T393" s="54"/>
      <c r="U393" s="54"/>
      <c r="V393" s="54"/>
      <c r="W393" s="54"/>
      <c r="X393" s="54"/>
      <c r="Y393" s="54"/>
      <c r="Z393" s="54"/>
      <c r="AA393" s="54"/>
      <c r="AB393" s="45"/>
      <c r="AC393" s="45"/>
      <c r="AD393" s="45"/>
      <c r="AE393" s="45"/>
      <c r="AF393" s="45"/>
      <c r="AG393" s="45"/>
      <c r="AH393" s="45"/>
      <c r="AI393" s="45"/>
      <c r="AJ393" s="45"/>
      <c r="AK393" s="45"/>
      <c r="AL393" s="45"/>
      <c r="AM393" s="45"/>
      <c r="AN393" s="45"/>
      <c r="AO393" s="45"/>
      <c r="AP393" s="45"/>
      <c r="AQ393" s="45"/>
      <c r="AR393" s="45"/>
      <c r="AS393" s="45"/>
      <c r="AT393" s="45"/>
      <c r="AU393" s="45"/>
      <c r="AV393" s="54"/>
      <c r="AW393" s="54"/>
      <c r="AX393" s="54"/>
      <c r="AY393" s="54"/>
      <c r="AZ393" s="54"/>
      <c r="BA393" s="54"/>
      <c r="BB393" s="54"/>
      <c r="BC393" s="54"/>
    </row>
    <row r="394" spans="1:55">
      <c r="A394" s="45"/>
      <c r="B394" s="45"/>
      <c r="C394" s="45"/>
      <c r="D394" s="45"/>
      <c r="E394" s="45"/>
      <c r="F394" s="45"/>
      <c r="G394" s="45"/>
      <c r="H394" s="45"/>
      <c r="I394" s="45"/>
      <c r="J394" s="45"/>
      <c r="K394" s="45"/>
      <c r="L394" s="45"/>
      <c r="M394" s="45"/>
      <c r="N394" s="45"/>
      <c r="O394" s="45"/>
      <c r="P394" s="54"/>
      <c r="Q394" s="54"/>
      <c r="R394" s="54"/>
      <c r="S394" s="54"/>
      <c r="T394" s="54"/>
      <c r="U394" s="54"/>
      <c r="V394" s="54"/>
      <c r="W394" s="54"/>
      <c r="X394" s="54"/>
      <c r="Y394" s="54"/>
      <c r="Z394" s="54"/>
      <c r="AA394" s="54"/>
      <c r="AB394" s="45"/>
      <c r="AC394" s="45"/>
      <c r="AD394" s="45"/>
      <c r="AE394" s="45"/>
      <c r="AF394" s="45"/>
      <c r="AG394" s="45"/>
      <c r="AH394" s="45"/>
      <c r="AI394" s="45"/>
      <c r="AJ394" s="45"/>
      <c r="AK394" s="45"/>
      <c r="AL394" s="45"/>
      <c r="AM394" s="45"/>
      <c r="AN394" s="45"/>
      <c r="AO394" s="45"/>
      <c r="AP394" s="45"/>
      <c r="AQ394" s="45"/>
      <c r="AR394" s="45"/>
      <c r="AS394" s="45"/>
      <c r="AT394" s="45"/>
      <c r="AU394" s="45"/>
      <c r="AV394" s="45"/>
      <c r="AW394" s="45"/>
      <c r="AX394" s="54"/>
      <c r="AY394" s="54"/>
      <c r="AZ394" s="54"/>
      <c r="BA394" s="54"/>
      <c r="BB394" s="54"/>
      <c r="BC394" s="54"/>
    </row>
    <row r="395" spans="1:55">
      <c r="A395" s="45"/>
      <c r="B395" s="45"/>
      <c r="C395" s="45"/>
      <c r="D395" s="45"/>
      <c r="E395" s="45"/>
      <c r="F395" s="45"/>
      <c r="G395" s="45"/>
      <c r="H395" s="45"/>
      <c r="I395" s="45"/>
      <c r="J395" s="45"/>
      <c r="K395" s="45"/>
      <c r="L395" s="45"/>
      <c r="M395" s="45"/>
      <c r="N395" s="45"/>
      <c r="O395" s="45"/>
      <c r="P395" s="54"/>
      <c r="Q395" s="54"/>
      <c r="R395" s="54"/>
      <c r="S395" s="54"/>
      <c r="T395" s="54"/>
      <c r="U395" s="54"/>
      <c r="V395" s="54"/>
      <c r="W395" s="54"/>
      <c r="X395" s="54"/>
      <c r="Y395" s="54"/>
      <c r="Z395" s="54"/>
      <c r="AA395" s="54"/>
      <c r="AB395" s="45"/>
      <c r="AC395" s="45"/>
      <c r="AD395" s="45"/>
      <c r="AE395" s="45"/>
      <c r="AF395" s="45"/>
      <c r="AG395" s="45"/>
      <c r="AH395" s="45"/>
      <c r="AI395" s="45"/>
      <c r="AJ395" s="45"/>
      <c r="AK395" s="45"/>
      <c r="AL395" s="45"/>
      <c r="AM395" s="45"/>
      <c r="AN395" s="45"/>
      <c r="AO395" s="45"/>
      <c r="AP395" s="45"/>
      <c r="AQ395" s="45"/>
      <c r="AR395" s="45"/>
      <c r="AS395" s="45"/>
      <c r="AT395" s="45"/>
      <c r="AU395" s="45"/>
      <c r="AV395" s="45"/>
      <c r="AW395" s="45"/>
      <c r="AX395" s="54"/>
      <c r="AY395" s="54"/>
      <c r="AZ395" s="54"/>
      <c r="BA395" s="54"/>
      <c r="BB395" s="54"/>
      <c r="BC395" s="54"/>
    </row>
    <row r="396" spans="1:55">
      <c r="A396" s="45"/>
      <c r="B396" s="45"/>
      <c r="C396" s="45"/>
      <c r="D396" s="45"/>
      <c r="E396" s="45"/>
      <c r="F396" s="45"/>
      <c r="G396" s="45"/>
      <c r="H396" s="45"/>
      <c r="I396" s="45"/>
      <c r="J396" s="45"/>
      <c r="K396" s="45"/>
      <c r="L396" s="45"/>
      <c r="M396" s="45"/>
      <c r="N396" s="45"/>
      <c r="O396" s="45"/>
      <c r="P396" s="54"/>
      <c r="Q396" s="54"/>
      <c r="R396" s="54"/>
      <c r="S396" s="54"/>
      <c r="T396" s="54"/>
      <c r="U396" s="54"/>
      <c r="V396" s="54"/>
      <c r="W396" s="54"/>
      <c r="X396" s="54"/>
      <c r="Y396" s="54"/>
      <c r="Z396" s="54"/>
      <c r="AA396" s="54"/>
      <c r="AB396" s="45"/>
      <c r="AC396" s="45"/>
      <c r="AD396" s="45"/>
      <c r="AE396" s="45"/>
      <c r="AF396" s="45"/>
      <c r="AG396" s="45"/>
      <c r="AH396" s="45"/>
      <c r="AI396" s="45"/>
      <c r="AJ396" s="45"/>
      <c r="AK396" s="45"/>
      <c r="AL396" s="45"/>
      <c r="AM396" s="45"/>
      <c r="AN396" s="45"/>
      <c r="AO396" s="45"/>
      <c r="AP396" s="45"/>
      <c r="AQ396" s="45"/>
      <c r="AR396" s="45"/>
      <c r="AS396" s="45"/>
      <c r="AT396" s="45"/>
      <c r="AU396" s="45"/>
      <c r="AV396" s="45"/>
      <c r="AW396" s="45"/>
      <c r="AX396" s="54"/>
      <c r="AY396" s="54"/>
      <c r="AZ396" s="54"/>
      <c r="BA396" s="54"/>
      <c r="BB396" s="54"/>
      <c r="BC396" s="54"/>
    </row>
    <row r="397" spans="1:55">
      <c r="A397" s="45"/>
      <c r="B397" s="45"/>
      <c r="C397" s="45"/>
      <c r="D397" s="45"/>
      <c r="E397" s="45"/>
      <c r="F397" s="45"/>
      <c r="G397" s="45"/>
      <c r="H397" s="45"/>
      <c r="I397" s="45"/>
      <c r="J397" s="45"/>
      <c r="K397" s="45"/>
      <c r="L397" s="45"/>
      <c r="M397" s="45"/>
      <c r="N397" s="45"/>
      <c r="O397" s="45"/>
      <c r="P397" s="54"/>
      <c r="Q397" s="54"/>
      <c r="R397" s="54"/>
      <c r="S397" s="54"/>
      <c r="T397" s="54"/>
      <c r="U397" s="54"/>
      <c r="V397" s="54"/>
      <c r="W397" s="54"/>
      <c r="X397" s="54"/>
      <c r="Y397" s="54"/>
      <c r="Z397" s="54"/>
      <c r="AA397" s="54"/>
      <c r="AB397" s="45"/>
      <c r="AC397" s="45"/>
      <c r="AD397" s="45"/>
      <c r="AE397" s="45"/>
      <c r="AF397" s="45"/>
      <c r="AG397" s="45"/>
      <c r="AH397" s="45"/>
      <c r="AI397" s="45"/>
      <c r="AJ397" s="45"/>
      <c r="AK397" s="45"/>
      <c r="AL397" s="45"/>
      <c r="AM397" s="45"/>
      <c r="AN397" s="45"/>
      <c r="AO397" s="45"/>
      <c r="AP397" s="45"/>
      <c r="AQ397" s="45"/>
      <c r="AR397" s="45"/>
      <c r="AS397" s="45"/>
      <c r="AT397" s="45"/>
      <c r="AU397" s="45"/>
      <c r="AV397" s="45"/>
      <c r="AW397" s="45"/>
      <c r="AX397" s="54"/>
      <c r="AY397" s="54"/>
      <c r="AZ397" s="54"/>
      <c r="BA397" s="54"/>
      <c r="BB397" s="54"/>
      <c r="BC397" s="54"/>
    </row>
    <row r="398" spans="1:55">
      <c r="A398" s="45"/>
      <c r="B398" s="45"/>
      <c r="C398" s="45"/>
      <c r="D398" s="45"/>
      <c r="E398" s="45"/>
      <c r="F398" s="45"/>
      <c r="G398" s="45"/>
      <c r="H398" s="45"/>
      <c r="I398" s="45"/>
      <c r="J398" s="45"/>
      <c r="K398" s="45"/>
      <c r="L398" s="45"/>
      <c r="M398" s="45"/>
      <c r="N398" s="45"/>
      <c r="O398" s="45"/>
      <c r="P398" s="54"/>
      <c r="Q398" s="54"/>
      <c r="R398" s="54"/>
      <c r="S398" s="54"/>
      <c r="T398" s="54"/>
      <c r="U398" s="54"/>
      <c r="V398" s="54"/>
      <c r="W398" s="54"/>
      <c r="X398" s="54"/>
      <c r="Y398" s="54"/>
      <c r="Z398" s="54"/>
      <c r="AA398" s="54"/>
      <c r="AB398" s="45"/>
      <c r="AC398" s="45"/>
      <c r="AD398" s="45"/>
      <c r="AE398" s="45"/>
      <c r="AF398" s="45"/>
      <c r="AG398" s="45"/>
      <c r="AH398" s="45"/>
      <c r="AI398" s="45"/>
      <c r="AJ398" s="45"/>
      <c r="AK398" s="45"/>
      <c r="AL398" s="45"/>
      <c r="AM398" s="45"/>
      <c r="AN398" s="45"/>
      <c r="AO398" s="45"/>
      <c r="AP398" s="45"/>
      <c r="AQ398" s="45"/>
      <c r="AR398" s="45"/>
      <c r="AS398" s="45"/>
      <c r="AT398" s="45"/>
      <c r="AU398" s="45"/>
      <c r="AV398" s="45"/>
      <c r="AW398" s="45"/>
      <c r="AX398" s="54"/>
      <c r="AY398" s="54"/>
      <c r="AZ398" s="54"/>
      <c r="BA398" s="54"/>
      <c r="BB398" s="54"/>
      <c r="BC398" s="54"/>
    </row>
    <row r="399" spans="1:55">
      <c r="A399" s="45"/>
      <c r="B399" s="45"/>
      <c r="C399" s="45"/>
      <c r="D399" s="45"/>
      <c r="E399" s="45"/>
      <c r="F399" s="45"/>
      <c r="G399" s="45"/>
      <c r="H399" s="45"/>
      <c r="I399" s="45"/>
      <c r="J399" s="45"/>
      <c r="K399" s="45"/>
      <c r="L399" s="45"/>
      <c r="M399" s="45"/>
      <c r="N399" s="45"/>
      <c r="O399" s="45"/>
      <c r="P399" s="54"/>
      <c r="Q399" s="54"/>
      <c r="R399" s="54"/>
      <c r="S399" s="54"/>
      <c r="T399" s="54"/>
      <c r="U399" s="54"/>
      <c r="V399" s="54"/>
      <c r="W399" s="54"/>
      <c r="X399" s="54"/>
      <c r="Y399" s="54"/>
      <c r="Z399" s="54"/>
      <c r="AA399" s="54"/>
      <c r="AB399" s="45"/>
      <c r="AC399" s="45"/>
      <c r="AD399" s="45"/>
      <c r="AE399" s="45"/>
      <c r="AF399" s="45"/>
      <c r="AG399" s="45"/>
      <c r="AH399" s="45"/>
      <c r="AI399" s="45"/>
      <c r="AJ399" s="45"/>
      <c r="AK399" s="45"/>
      <c r="AL399" s="45"/>
      <c r="AM399" s="45"/>
      <c r="AN399" s="45"/>
      <c r="AO399" s="45"/>
      <c r="AP399" s="45"/>
      <c r="AQ399" s="45"/>
      <c r="AR399" s="45"/>
      <c r="AS399" s="45"/>
      <c r="AT399" s="45"/>
      <c r="AU399" s="45"/>
      <c r="AV399" s="45"/>
      <c r="AW399" s="45"/>
      <c r="AX399" s="54"/>
      <c r="AY399" s="54"/>
      <c r="AZ399" s="54"/>
      <c r="BA399" s="54"/>
      <c r="BB399" s="54"/>
      <c r="BC399" s="54"/>
    </row>
    <row r="400" spans="1:55">
      <c r="A400" s="45"/>
      <c r="B400" s="2341"/>
      <c r="C400" s="2601" t="s">
        <v>324</v>
      </c>
      <c r="D400" s="2720"/>
      <c r="E400" s="2720"/>
      <c r="F400" s="2720"/>
      <c r="G400" s="2720"/>
      <c r="H400" s="2720"/>
      <c r="I400" s="2720"/>
      <c r="J400" s="2720"/>
      <c r="K400" s="2720"/>
      <c r="L400" s="2720"/>
      <c r="M400" s="2720"/>
      <c r="N400" s="2721"/>
      <c r="O400" s="54"/>
      <c r="P400" s="54"/>
      <c r="Q400" s="54"/>
      <c r="R400" s="54"/>
      <c r="S400" s="188"/>
      <c r="T400" s="457" t="s">
        <v>324</v>
      </c>
      <c r="U400" s="458"/>
      <c r="V400" s="458"/>
      <c r="W400" s="458"/>
      <c r="X400" s="458"/>
      <c r="Y400" s="458"/>
      <c r="Z400" s="458"/>
      <c r="AA400" s="458"/>
      <c r="AB400" s="458"/>
      <c r="AC400" s="458"/>
      <c r="AD400" s="458"/>
      <c r="AE400" s="459"/>
      <c r="AF400" s="45"/>
      <c r="AG400" s="45"/>
      <c r="AH400" s="45"/>
      <c r="AI400" s="45"/>
      <c r="AJ400" s="188"/>
      <c r="AK400" s="457" t="s">
        <v>324</v>
      </c>
      <c r="AL400" s="458"/>
      <c r="AM400" s="458"/>
      <c r="AN400" s="458"/>
      <c r="AO400" s="458"/>
      <c r="AP400" s="458"/>
      <c r="AQ400" s="458"/>
      <c r="AR400" s="458"/>
      <c r="AS400" s="458"/>
      <c r="AT400" s="458"/>
      <c r="AU400" s="458"/>
      <c r="AV400" s="459"/>
      <c r="AW400" s="54"/>
      <c r="AX400" s="54"/>
      <c r="AY400" s="54"/>
      <c r="AZ400" s="54"/>
      <c r="BA400" s="54"/>
      <c r="BB400" s="54"/>
      <c r="BC400" s="54"/>
    </row>
    <row r="401" spans="1:55">
      <c r="A401" s="45"/>
      <c r="B401" s="1665"/>
      <c r="C401" s="3752" t="s">
        <v>601</v>
      </c>
      <c r="D401" s="3752"/>
      <c r="E401" s="3752"/>
      <c r="F401" s="3752"/>
      <c r="G401" s="3752"/>
      <c r="H401" s="3752"/>
      <c r="I401" s="3752"/>
      <c r="J401" s="3752"/>
      <c r="K401" s="3752"/>
      <c r="L401" s="3752"/>
      <c r="M401" s="3752"/>
      <c r="N401" s="2452"/>
      <c r="O401" s="54"/>
      <c r="P401" s="54"/>
      <c r="Q401" s="54"/>
      <c r="R401" s="54"/>
      <c r="S401" s="190"/>
      <c r="T401" s="3752" t="s">
        <v>325</v>
      </c>
      <c r="U401" s="3752"/>
      <c r="V401" s="3752"/>
      <c r="W401" s="3752"/>
      <c r="X401" s="3752"/>
      <c r="Y401" s="3752"/>
      <c r="Z401" s="3752"/>
      <c r="AA401" s="3752"/>
      <c r="AB401" s="3752"/>
      <c r="AC401" s="3752"/>
      <c r="AD401" s="3752"/>
      <c r="AE401" s="199"/>
      <c r="AF401" s="45"/>
      <c r="AG401" s="45"/>
      <c r="AH401" s="45"/>
      <c r="AI401" s="45"/>
      <c r="AJ401" s="190"/>
      <c r="AK401" s="3752" t="s">
        <v>601</v>
      </c>
      <c r="AL401" s="3752"/>
      <c r="AM401" s="3752"/>
      <c r="AN401" s="3752"/>
      <c r="AO401" s="3752"/>
      <c r="AP401" s="3752"/>
      <c r="AQ401" s="3752"/>
      <c r="AR401" s="3752"/>
      <c r="AS401" s="3752"/>
      <c r="AT401" s="3752"/>
      <c r="AU401" s="3752"/>
      <c r="AV401" s="199"/>
      <c r="AW401" s="54"/>
      <c r="AX401" s="54"/>
      <c r="AY401" s="54"/>
      <c r="AZ401" s="54"/>
      <c r="BA401" s="54"/>
      <c r="BB401" s="54"/>
      <c r="BC401" s="54"/>
    </row>
    <row r="402" spans="1:55" ht="15.75">
      <c r="A402" s="45"/>
      <c r="B402" s="1665"/>
      <c r="C402" s="2349" t="str">
        <f>"Country: " &amp;UPPER(Country)</f>
        <v>Country: LITHUANIA</v>
      </c>
      <c r="D402" s="2351"/>
      <c r="E402" s="2351"/>
      <c r="F402" s="2351"/>
      <c r="G402" s="2351"/>
      <c r="H402" s="2351"/>
      <c r="I402" s="2351"/>
      <c r="J402" s="2351"/>
      <c r="K402" s="2351"/>
      <c r="L402" s="2351"/>
      <c r="M402" s="2351"/>
      <c r="N402" s="2452"/>
      <c r="O402" s="54"/>
      <c r="P402" s="54"/>
      <c r="Q402" s="54"/>
      <c r="R402" s="54"/>
      <c r="S402" s="190"/>
      <c r="T402" s="63" t="str">
        <f>"Country: " &amp;UPPER(Country)</f>
        <v>Country: LITHUANIA</v>
      </c>
      <c r="U402" s="65"/>
      <c r="V402" s="65"/>
      <c r="W402" s="2006" t="s">
        <v>390</v>
      </c>
      <c r="X402" s="65"/>
      <c r="Y402" s="65"/>
      <c r="Z402" s="65"/>
      <c r="AA402" s="65"/>
      <c r="AB402" s="65"/>
      <c r="AC402" s="65"/>
      <c r="AD402" s="65"/>
      <c r="AE402" s="196"/>
      <c r="AF402" s="45"/>
      <c r="AG402" s="45"/>
      <c r="AH402" s="45"/>
      <c r="AI402" s="45"/>
      <c r="AJ402" s="190"/>
      <c r="AK402" s="63" t="str">
        <f>"Country: " &amp;UPPER(Country)</f>
        <v>Country: LITHUANIA</v>
      </c>
      <c r="AL402" s="65"/>
      <c r="AM402" s="65"/>
      <c r="AN402" s="65"/>
      <c r="AO402" s="65"/>
      <c r="AP402" s="65"/>
      <c r="AQ402" s="65"/>
      <c r="AR402" s="65"/>
      <c r="AS402" s="65"/>
      <c r="AT402" s="65"/>
      <c r="AU402" s="65"/>
      <c r="AV402" s="196"/>
      <c r="AW402" s="54"/>
      <c r="AX402" s="54"/>
      <c r="AY402" s="54"/>
      <c r="AZ402" s="54"/>
      <c r="BA402" s="54"/>
      <c r="BB402" s="54"/>
      <c r="BC402" s="54"/>
    </row>
    <row r="403" spans="1:55" ht="15.75">
      <c r="A403" s="45"/>
      <c r="B403" s="1665"/>
      <c r="C403" s="2349" t="str">
        <f>"Currency unit: " &amp; Currency</f>
        <v>Currency unit: bn EUR</v>
      </c>
      <c r="D403" s="2351"/>
      <c r="E403" s="2351"/>
      <c r="F403" s="3193"/>
      <c r="G403" s="3193"/>
      <c r="H403" s="3193"/>
      <c r="I403" s="3193"/>
      <c r="J403" s="3193"/>
      <c r="K403" s="3193"/>
      <c r="L403" s="3193"/>
      <c r="M403" s="3193"/>
      <c r="N403" s="1664"/>
      <c r="O403" s="54"/>
      <c r="P403" s="54"/>
      <c r="Q403" s="54"/>
      <c r="R403" s="54"/>
      <c r="S403" s="190"/>
      <c r="T403" s="63" t="str">
        <f>"Currency unit: " &amp; Currency</f>
        <v>Currency unit: bn EUR</v>
      </c>
      <c r="U403" s="65"/>
      <c r="V403" s="65"/>
      <c r="W403" s="2006" t="str">
        <f>$T$4</f>
        <v>2nd storage</v>
      </c>
      <c r="X403" s="65"/>
      <c r="Y403" s="1"/>
      <c r="Z403" s="65"/>
      <c r="AA403" s="1"/>
      <c r="AB403" s="1"/>
      <c r="AC403" s="1"/>
      <c r="AD403" s="1"/>
      <c r="AE403" s="90"/>
      <c r="AF403" s="45"/>
      <c r="AG403" s="45"/>
      <c r="AH403" s="45"/>
      <c r="AI403" s="45"/>
      <c r="AJ403" s="190"/>
      <c r="AK403" s="63" t="str">
        <f>"Currency unit: " &amp; Currency</f>
        <v>Currency unit: bn EUR</v>
      </c>
      <c r="AL403" s="65"/>
      <c r="AM403" s="65"/>
      <c r="AN403" s="1904"/>
      <c r="AO403" s="65"/>
      <c r="AP403" s="1"/>
      <c r="AQ403" s="65"/>
      <c r="AR403" s="1"/>
      <c r="AS403" s="1"/>
      <c r="AT403" s="1"/>
      <c r="AU403" s="1"/>
      <c r="AV403" s="90"/>
      <c r="AW403" s="54"/>
      <c r="AX403" s="54"/>
      <c r="AY403" s="54"/>
      <c r="AZ403" s="54"/>
      <c r="BA403" s="54"/>
      <c r="BB403" s="54"/>
      <c r="BC403" s="54"/>
    </row>
    <row r="404" spans="1:55" ht="13.5" thickBot="1">
      <c r="A404" s="45"/>
      <c r="B404" s="1665"/>
      <c r="C404" s="2355" t="s">
        <v>297</v>
      </c>
      <c r="D404" s="2703"/>
      <c r="E404" s="2351"/>
      <c r="F404" s="3437">
        <f ca="1">SUM(F407:F408,F411)/F201</f>
        <v>0.29924651497660104</v>
      </c>
      <c r="G404" s="2351"/>
      <c r="H404" s="2692"/>
      <c r="I404" s="2351"/>
      <c r="J404" s="2351"/>
      <c r="K404" s="2445"/>
      <c r="L404" s="3790">
        <f ca="1">NOW()</f>
        <v>43335.58773900463</v>
      </c>
      <c r="M404" s="3790"/>
      <c r="N404" s="2602"/>
      <c r="O404" s="54"/>
      <c r="P404" s="54"/>
      <c r="Q404" s="54"/>
      <c r="R404" s="54"/>
      <c r="S404" s="190"/>
      <c r="T404" s="69" t="s">
        <v>297</v>
      </c>
      <c r="V404" s="65"/>
      <c r="W404" s="65"/>
      <c r="X404" s="65"/>
      <c r="Y404" s="65"/>
      <c r="Z404" s="65"/>
      <c r="AA404" s="65"/>
      <c r="AB404" s="1"/>
      <c r="AC404" s="3752">
        <f ca="1">NOW()</f>
        <v>43335.58773900463</v>
      </c>
      <c r="AD404" s="3752"/>
      <c r="AE404" s="337"/>
      <c r="AF404" s="45"/>
      <c r="AG404" s="45"/>
      <c r="AH404" s="45"/>
      <c r="AI404" s="45"/>
      <c r="AJ404" s="190"/>
      <c r="AK404" s="69" t="s">
        <v>297</v>
      </c>
      <c r="AM404" s="65"/>
      <c r="AN404" s="65"/>
      <c r="AO404" s="65"/>
      <c r="AP404" s="65"/>
      <c r="AQ404" s="65"/>
      <c r="AR404" s="65"/>
      <c r="AS404" s="1"/>
      <c r="AT404" s="3752">
        <f ca="1">NOW()</f>
        <v>43335.58773900463</v>
      </c>
      <c r="AU404" s="3752"/>
      <c r="AV404" s="337"/>
      <c r="AW404" s="54"/>
      <c r="AX404" s="54"/>
      <c r="AY404" s="54"/>
      <c r="AZ404" s="54"/>
      <c r="BA404" s="54"/>
      <c r="BB404" s="54"/>
      <c r="BC404" s="54"/>
    </row>
    <row r="405" spans="1:55">
      <c r="A405" s="45"/>
      <c r="B405" s="1665"/>
      <c r="C405" s="2357"/>
      <c r="D405" s="2358"/>
      <c r="E405" s="2723" t="s">
        <v>188</v>
      </c>
      <c r="F405" s="3752">
        <f>E16</f>
        <v>2016</v>
      </c>
      <c r="G405" s="3752"/>
      <c r="H405" s="3752">
        <f>F405+1</f>
        <v>2017</v>
      </c>
      <c r="I405" s="3752"/>
      <c r="J405" s="3752">
        <f>H405+1</f>
        <v>2018</v>
      </c>
      <c r="K405" s="3752"/>
      <c r="L405" s="3752">
        <f>J405+1</f>
        <v>2019</v>
      </c>
      <c r="M405" s="3752"/>
      <c r="N405" s="2605"/>
      <c r="O405" s="54"/>
      <c r="P405" s="54"/>
      <c r="Q405" s="54"/>
      <c r="R405" s="54"/>
      <c r="S405" s="190"/>
      <c r="T405" s="191"/>
      <c r="U405" s="73"/>
      <c r="V405" s="460" t="s">
        <v>188</v>
      </c>
      <c r="W405" s="3752">
        <f>Last_forecast_year - 3</f>
        <v>2016</v>
      </c>
      <c r="X405" s="3752"/>
      <c r="Y405" s="3752">
        <f>W405+1</f>
        <v>2017</v>
      </c>
      <c r="Z405" s="3752"/>
      <c r="AA405" s="3752">
        <f>Y405+1</f>
        <v>2018</v>
      </c>
      <c r="AB405" s="3752"/>
      <c r="AC405" s="3752">
        <f>AA405+1</f>
        <v>2019</v>
      </c>
      <c r="AD405" s="3752"/>
      <c r="AE405" s="339"/>
      <c r="AF405" s="45"/>
      <c r="AG405" s="45"/>
      <c r="AH405" s="45"/>
      <c r="AI405" s="45"/>
      <c r="AJ405" s="190"/>
      <c r="AK405" s="191"/>
      <c r="AL405" s="73"/>
      <c r="AM405" s="460" t="s">
        <v>188</v>
      </c>
      <c r="AN405" s="3752">
        <f>AM16</f>
        <v>2016</v>
      </c>
      <c r="AO405" s="3752"/>
      <c r="AP405" s="3752">
        <f>AN405+1</f>
        <v>2017</v>
      </c>
      <c r="AQ405" s="3752"/>
      <c r="AR405" s="3752">
        <f>AP405+1</f>
        <v>2018</v>
      </c>
      <c r="AS405" s="3752"/>
      <c r="AT405" s="3752">
        <f>AR405+1</f>
        <v>2019</v>
      </c>
      <c r="AU405" s="3752"/>
      <c r="AV405" s="339"/>
      <c r="AW405" s="54"/>
      <c r="AX405" s="54"/>
      <c r="AY405" s="54"/>
      <c r="AZ405" s="54"/>
      <c r="BA405" s="54"/>
      <c r="BB405" s="54"/>
      <c r="BC405" s="54"/>
    </row>
    <row r="406" spans="1:55">
      <c r="A406" s="45"/>
      <c r="B406" s="1665"/>
      <c r="C406" s="2379"/>
      <c r="D406" s="2380"/>
      <c r="E406" s="2724" t="s">
        <v>541</v>
      </c>
      <c r="F406" s="2641" t="s">
        <v>298</v>
      </c>
      <c r="G406" s="2642" t="s">
        <v>1170</v>
      </c>
      <c r="H406" s="2641" t="s">
        <v>298</v>
      </c>
      <c r="I406" s="2642" t="s">
        <v>1170</v>
      </c>
      <c r="J406" s="2641" t="s">
        <v>298</v>
      </c>
      <c r="K406" s="2642" t="s">
        <v>1170</v>
      </c>
      <c r="L406" s="2641" t="s">
        <v>298</v>
      </c>
      <c r="M406" s="2643" t="s">
        <v>1170</v>
      </c>
      <c r="N406" s="2661"/>
      <c r="O406" s="54"/>
      <c r="P406" s="54"/>
      <c r="Q406" s="54"/>
      <c r="R406" s="54"/>
      <c r="S406" s="190"/>
      <c r="T406" s="2379"/>
      <c r="U406" s="115"/>
      <c r="V406" s="461" t="s">
        <v>541</v>
      </c>
      <c r="W406" s="390" t="s">
        <v>298</v>
      </c>
      <c r="X406" s="391" t="s">
        <v>1170</v>
      </c>
      <c r="Y406" s="390" t="s">
        <v>298</v>
      </c>
      <c r="Z406" s="391" t="s">
        <v>1170</v>
      </c>
      <c r="AA406" s="390" t="s">
        <v>298</v>
      </c>
      <c r="AB406" s="391" t="s">
        <v>1170</v>
      </c>
      <c r="AC406" s="390" t="s">
        <v>298</v>
      </c>
      <c r="AD406" s="392" t="s">
        <v>1170</v>
      </c>
      <c r="AE406" s="393"/>
      <c r="AF406" s="45"/>
      <c r="AG406" s="45"/>
      <c r="AH406" s="45"/>
      <c r="AI406" s="45"/>
      <c r="AJ406" s="190"/>
      <c r="AK406" s="2379"/>
      <c r="AL406" s="115"/>
      <c r="AM406" s="461" t="s">
        <v>541</v>
      </c>
      <c r="AN406" s="390" t="s">
        <v>298</v>
      </c>
      <c r="AO406" s="391" t="s">
        <v>1170</v>
      </c>
      <c r="AP406" s="390" t="s">
        <v>298</v>
      </c>
      <c r="AQ406" s="391" t="s">
        <v>1170</v>
      </c>
      <c r="AR406" s="390" t="s">
        <v>298</v>
      </c>
      <c r="AS406" s="391" t="s">
        <v>1170</v>
      </c>
      <c r="AT406" s="390" t="s">
        <v>298</v>
      </c>
      <c r="AU406" s="392" t="s">
        <v>1170</v>
      </c>
      <c r="AV406" s="393"/>
      <c r="AW406" s="54"/>
      <c r="AX406" s="54"/>
      <c r="AY406" s="54"/>
      <c r="AZ406" s="54"/>
      <c r="BA406" s="54"/>
      <c r="BB406" s="54"/>
      <c r="BC406" s="54"/>
    </row>
    <row r="407" spans="1:55">
      <c r="A407" s="45"/>
      <c r="B407" s="1665"/>
      <c r="C407" s="1666" t="s">
        <v>224</v>
      </c>
      <c r="D407" s="2351"/>
      <c r="E407" s="2645" t="s">
        <v>225</v>
      </c>
      <c r="F407" s="2692">
        <f ca="1">Transfer!D213</f>
        <v>4.5327600000000006</v>
      </c>
      <c r="G407" s="2450">
        <f ca="1">100*((Transfer!D213/Transfer!C213)-1)</f>
        <v>4.3541922309220826</v>
      </c>
      <c r="H407" s="2692">
        <f ca="1">Transfer!E213</f>
        <v>4.9279856999999998</v>
      </c>
      <c r="I407" s="3677">
        <f ca="1">100*((Transfer!E213/Transfer!D213)-1)</f>
        <v>8.7193167077012532</v>
      </c>
      <c r="J407" s="2692">
        <f ca="1">Transfer!F213</f>
        <v>5.2460899270192165</v>
      </c>
      <c r="K407" s="2450">
        <f ca="1">100*((Transfer!F213/Transfer!E213)-1)</f>
        <v>6.4550558054423002</v>
      </c>
      <c r="L407" s="2450">
        <f ca="1">Transfer!G213</f>
        <v>5.5409120675982919</v>
      </c>
      <c r="M407" s="2451">
        <f ca="1">100*((Transfer!G213/Transfer!F213)-1)</f>
        <v>5.6198453453997654</v>
      </c>
      <c r="N407" s="2452"/>
      <c r="O407" s="54"/>
      <c r="P407" s="54"/>
      <c r="Q407" s="54"/>
      <c r="R407" s="54"/>
      <c r="S407" s="190"/>
      <c r="T407" s="1666" t="s">
        <v>224</v>
      </c>
      <c r="U407" s="65"/>
      <c r="V407" s="379" t="s">
        <v>225</v>
      </c>
      <c r="W407" s="2019">
        <f t="shared" ref="W407:AD422" ca="1" si="24">ROUND(F407,1)-ROUND(AN407,1)</f>
        <v>-8.1</v>
      </c>
      <c r="X407" s="2020">
        <f t="shared" ca="1" si="24"/>
        <v>1.9000000000000004</v>
      </c>
      <c r="Y407" s="2020">
        <f t="shared" ca="1" si="24"/>
        <v>-8.1</v>
      </c>
      <c r="Z407" s="2020">
        <f t="shared" ca="1" si="24"/>
        <v>5.9999999999999991</v>
      </c>
      <c r="AA407" s="2020">
        <f t="shared" ca="1" si="24"/>
        <v>-8.3000000000000007</v>
      </c>
      <c r="AB407" s="2020">
        <f t="shared" ca="1" si="24"/>
        <v>2.5</v>
      </c>
      <c r="AC407" s="2020">
        <f t="shared" ca="1" si="24"/>
        <v>-8.6999999999999993</v>
      </c>
      <c r="AD407" s="249">
        <f t="shared" ca="1" si="24"/>
        <v>9.9999999999999645E-2</v>
      </c>
      <c r="AE407" s="196"/>
      <c r="AF407" s="45"/>
      <c r="AG407" s="45"/>
      <c r="AH407" s="45"/>
      <c r="AI407" s="45"/>
      <c r="AJ407" s="190"/>
      <c r="AK407" s="1666" t="s">
        <v>224</v>
      </c>
      <c r="AL407" s="65"/>
      <c r="AM407" s="379" t="s">
        <v>225</v>
      </c>
      <c r="AN407" s="141">
        <f>Transfer!AD213</f>
        <v>12.620799999999999</v>
      </c>
      <c r="AO407" s="195">
        <f>100*((Transfer!AD213/Transfer!AC213)-1)</f>
        <v>2.5161988883139585</v>
      </c>
      <c r="AP407" s="462">
        <f>Transfer!AE213</f>
        <v>12.956945699999997</v>
      </c>
      <c r="AQ407" s="195">
        <f>100*((Transfer!AE213/Transfer!AD213)-1)</f>
        <v>2.6634262487322369</v>
      </c>
      <c r="AR407" s="462">
        <f>Transfer!AF213</f>
        <v>13.474522965</v>
      </c>
      <c r="AS407" s="195">
        <f>100*((Transfer!AF213/Transfer!AE213)-1)</f>
        <v>3.9945931470562801</v>
      </c>
      <c r="AT407" s="195">
        <f>Transfer!AG213</f>
        <v>14.211842835449998</v>
      </c>
      <c r="AU407" s="358">
        <f>100*((Transfer!AG213/Transfer!AF213)-1)</f>
        <v>5.4719552771195001</v>
      </c>
      <c r="AV407" s="196"/>
      <c r="AW407" s="54"/>
      <c r="AX407" s="54"/>
      <c r="AY407" s="54"/>
      <c r="AZ407" s="54"/>
      <c r="BA407" s="1696" t="s">
        <v>932</v>
      </c>
      <c r="BB407" s="1697"/>
      <c r="BC407" s="54"/>
    </row>
    <row r="408" spans="1:55">
      <c r="A408" s="45"/>
      <c r="B408" s="1665"/>
      <c r="C408" s="1666" t="s">
        <v>326</v>
      </c>
      <c r="D408" s="2351"/>
      <c r="E408" s="2521" t="s">
        <v>2100</v>
      </c>
      <c r="F408" s="2511">
        <f ca="1">Transfer!D214</f>
        <v>2.1945000000000001</v>
      </c>
      <c r="G408" s="2453">
        <f ca="1">100*((Transfer!D214/Transfer!C214)-1)</f>
        <v>7.9869500391203774</v>
      </c>
      <c r="H408" s="2692">
        <f ca="1">Transfer!E214</f>
        <v>2.3153593839999997</v>
      </c>
      <c r="I408" s="3678">
        <f ca="1">100*((Transfer!E214/Transfer!D214)-1)</f>
        <v>5.5073768056504768</v>
      </c>
      <c r="J408" s="2692">
        <f ca="1">Transfer!F214</f>
        <v>2.3945682130239994</v>
      </c>
      <c r="K408" s="3678">
        <f ca="1">100*((Transfer!F214/Transfer!E214)-1)</f>
        <v>3.4210166063792125</v>
      </c>
      <c r="L408" s="2453">
        <f ca="1">Transfer!G214</f>
        <v>2.5256978838147841</v>
      </c>
      <c r="M408" s="2693">
        <f ca="1">100*((Transfer!G214/Transfer!F214)-1)</f>
        <v>5.4761301046916788</v>
      </c>
      <c r="N408" s="2452"/>
      <c r="O408" s="54"/>
      <c r="P408" s="54"/>
      <c r="Q408" s="54"/>
      <c r="R408" s="54"/>
      <c r="S408" s="190"/>
      <c r="T408" s="1666" t="s">
        <v>326</v>
      </c>
      <c r="U408" s="65"/>
      <c r="V408" s="382" t="s">
        <v>2100</v>
      </c>
      <c r="W408" s="248">
        <f t="shared" ca="1" si="24"/>
        <v>-3.3999999999999995</v>
      </c>
      <c r="X408" s="245">
        <f t="shared" ca="1" si="24"/>
        <v>-10.3</v>
      </c>
      <c r="Y408" s="245">
        <f t="shared" ca="1" si="24"/>
        <v>-3.7</v>
      </c>
      <c r="Z408" s="245">
        <f t="shared" ca="1" si="24"/>
        <v>-1.9000000000000004</v>
      </c>
      <c r="AA408" s="245">
        <f t="shared" ca="1" si="24"/>
        <v>-3.9</v>
      </c>
      <c r="AB408" s="245">
        <f t="shared" ca="1" si="24"/>
        <v>-2.8000000000000003</v>
      </c>
      <c r="AC408" s="245">
        <f t="shared" ca="1" si="24"/>
        <v>-4.2</v>
      </c>
      <c r="AD408" s="249">
        <f t="shared" ca="1" si="24"/>
        <v>-1.0999999999999996</v>
      </c>
      <c r="AE408" s="196"/>
      <c r="AF408" s="45"/>
      <c r="AG408" s="45"/>
      <c r="AH408" s="45"/>
      <c r="AI408" s="45"/>
      <c r="AJ408" s="190"/>
      <c r="AK408" s="1666" t="s">
        <v>326</v>
      </c>
      <c r="AL408" s="65"/>
      <c r="AM408" s="382" t="s">
        <v>2100</v>
      </c>
      <c r="AN408" s="145">
        <f>Transfer!AD214</f>
        <v>5.5505600000000008</v>
      </c>
      <c r="AO408" s="197">
        <f>100*((Transfer!AD214/Transfer!AC214)-1)</f>
        <v>18.28275036120548</v>
      </c>
      <c r="AP408" s="462">
        <f>Transfer!AE214</f>
        <v>5.9595504000000012</v>
      </c>
      <c r="AQ408" s="197">
        <f>100*((Transfer!AE214/Transfer!AD214)-1)</f>
        <v>7.368452912859258</v>
      </c>
      <c r="AR408" s="462">
        <f>Transfer!AF214</f>
        <v>6.3298336847000014</v>
      </c>
      <c r="AS408" s="197">
        <f>100*((Transfer!AF214/Transfer!AE214)-1)</f>
        <v>6.2132754964199899</v>
      </c>
      <c r="AT408" s="197">
        <f>Transfer!AG214</f>
        <v>6.7459542501394507</v>
      </c>
      <c r="AU408" s="463">
        <f>100*((Transfer!AG214/Transfer!AF214)-1)</f>
        <v>6.5739573291675013</v>
      </c>
      <c r="AV408" s="196"/>
      <c r="AW408" s="54"/>
      <c r="AX408" s="54"/>
      <c r="AY408" s="54"/>
      <c r="AZ408" s="54"/>
      <c r="BA408" s="1698" t="s">
        <v>933</v>
      </c>
      <c r="BB408" s="1699"/>
      <c r="BC408" s="54"/>
    </row>
    <row r="409" spans="1:55">
      <c r="A409" s="45"/>
      <c r="B409" s="1665"/>
      <c r="C409" s="2373" t="s">
        <v>1361</v>
      </c>
      <c r="D409" s="2392"/>
      <c r="E409" s="2651"/>
      <c r="F409" s="2692">
        <f ca="1">Transfer!D192</f>
        <v>1.5573599999999999</v>
      </c>
      <c r="G409" s="2453">
        <f ca="1">100*((Transfer!D192/Transfer!C192)-1)</f>
        <v>6.8903271858720361</v>
      </c>
      <c r="H409" s="2692">
        <f ca="1">Transfer!E192</f>
        <v>1.6732275839999999</v>
      </c>
      <c r="I409" s="2453">
        <f ca="1">100*((Transfer!E192/Transfer!D192)-1)</f>
        <v>7.4400000000000022</v>
      </c>
      <c r="J409" s="2692">
        <f ca="1">Transfer!F192</f>
        <v>1.733463777024</v>
      </c>
      <c r="K409" s="2453">
        <f ca="1">100*((Transfer!F192/Transfer!E192)-1)</f>
        <v>3.6000000000000032</v>
      </c>
      <c r="L409" s="2453">
        <f ca="1">Transfer!G192</f>
        <v>1.8262040890947842</v>
      </c>
      <c r="M409" s="2693">
        <f ca="1">100*((Transfer!G192/Transfer!F192)-1)</f>
        <v>5.3500000000000103</v>
      </c>
      <c r="N409" s="2610"/>
      <c r="O409" s="54"/>
      <c r="P409" s="54"/>
      <c r="Q409" s="54"/>
      <c r="R409" s="54"/>
      <c r="S409" s="190"/>
      <c r="T409" s="2373" t="s">
        <v>1361</v>
      </c>
      <c r="U409" s="102"/>
      <c r="V409" s="383"/>
      <c r="W409" s="248">
        <f t="shared" ca="1" si="24"/>
        <v>10000.6</v>
      </c>
      <c r="X409" s="245">
        <f t="shared" ca="1" si="24"/>
        <v>6.9</v>
      </c>
      <c r="Y409" s="245">
        <f t="shared" ca="1" si="24"/>
        <v>10000.700000000001</v>
      </c>
      <c r="Z409" s="245">
        <f t="shared" ca="1" si="24"/>
        <v>7.4</v>
      </c>
      <c r="AA409" s="245">
        <f t="shared" ca="1" si="24"/>
        <v>10000.700000000001</v>
      </c>
      <c r="AB409" s="245">
        <f t="shared" ca="1" si="24"/>
        <v>3.6</v>
      </c>
      <c r="AC409" s="245">
        <f t="shared" ca="1" si="24"/>
        <v>10000.799999999999</v>
      </c>
      <c r="AD409" s="249">
        <f t="shared" ca="1" si="24"/>
        <v>5.4</v>
      </c>
      <c r="AE409" s="464"/>
      <c r="AF409" s="45"/>
      <c r="AG409" s="45"/>
      <c r="AH409" s="45"/>
      <c r="AI409" s="45"/>
      <c r="AJ409" s="190"/>
      <c r="AK409" s="2373" t="s">
        <v>1361</v>
      </c>
      <c r="AL409" s="102"/>
      <c r="AM409" s="383"/>
      <c r="AN409" s="141">
        <f>Transfer!AD192</f>
        <v>-9999</v>
      </c>
      <c r="AO409" s="245">
        <f>100*((Transfer!AD192/Transfer!AC192)-1)</f>
        <v>0</v>
      </c>
      <c r="AP409" s="141">
        <f>Transfer!AE192</f>
        <v>-9999</v>
      </c>
      <c r="AQ409" s="245">
        <f>100*((Transfer!AE192/Transfer!AD192)-1)</f>
        <v>0</v>
      </c>
      <c r="AR409" s="141">
        <f>Transfer!AF192</f>
        <v>-9999</v>
      </c>
      <c r="AS409" s="245">
        <f>100*((Transfer!AF192/Transfer!AE192)-1)</f>
        <v>0</v>
      </c>
      <c r="AT409" s="197">
        <f>Transfer!AG192</f>
        <v>-9999</v>
      </c>
      <c r="AU409" s="249">
        <f>100*((Transfer!AG192/Transfer!AF192)-1)</f>
        <v>0</v>
      </c>
      <c r="AV409" s="464"/>
      <c r="AW409" s="54"/>
      <c r="AX409" s="54"/>
      <c r="AY409" s="54"/>
      <c r="AZ409" s="54"/>
      <c r="BA409" s="1698" t="s">
        <v>934</v>
      </c>
      <c r="BB409" s="1699"/>
      <c r="BC409" s="54"/>
    </row>
    <row r="410" spans="1:55">
      <c r="A410" s="45"/>
      <c r="B410" s="1665"/>
      <c r="C410" s="2373" t="s">
        <v>191</v>
      </c>
      <c r="D410" s="2392"/>
      <c r="E410" s="2651"/>
      <c r="F410" s="2692">
        <f ca="1">Transfer!D207</f>
        <v>0.62555999999999989</v>
      </c>
      <c r="G410" s="2453">
        <f ca="1">100*((Transfer!D207/Transfer!C207)-1)</f>
        <v>9.2375929871127518</v>
      </c>
      <c r="H410" s="2692">
        <f ca="1">Transfer!E207</f>
        <v>0.63099999999999989</v>
      </c>
      <c r="I410" s="2453">
        <f ca="1">100*((Transfer!E207/Transfer!D207)-1)</f>
        <v>0.86962081974550909</v>
      </c>
      <c r="J410" s="2692">
        <f ca="1">Transfer!F207</f>
        <v>0.6499299999999999</v>
      </c>
      <c r="K410" s="2453">
        <f ca="1">100*((Transfer!F207/Transfer!E207)-1)</f>
        <v>3.0000000000000027</v>
      </c>
      <c r="L410" s="2453">
        <f ca="1">Transfer!G207</f>
        <v>0.6882758699999999</v>
      </c>
      <c r="M410" s="2693">
        <f ca="1">100*((Transfer!G207/Transfer!F207)-1)</f>
        <v>5.8999999999999941</v>
      </c>
      <c r="N410" s="2610"/>
      <c r="O410" s="54"/>
      <c r="P410" s="54"/>
      <c r="Q410" s="54"/>
      <c r="R410" s="54"/>
      <c r="S410" s="190"/>
      <c r="T410" s="2373" t="s">
        <v>191</v>
      </c>
      <c r="U410" s="102"/>
      <c r="V410" s="383"/>
      <c r="W410" s="248">
        <f t="shared" ca="1" si="24"/>
        <v>9999.6</v>
      </c>
      <c r="X410" s="245">
        <f t="shared" ca="1" si="24"/>
        <v>9.1999999999999993</v>
      </c>
      <c r="Y410" s="245">
        <f t="shared" ca="1" si="24"/>
        <v>9999.6</v>
      </c>
      <c r="Z410" s="245">
        <f t="shared" ca="1" si="24"/>
        <v>0.9</v>
      </c>
      <c r="AA410" s="245">
        <f t="shared" ca="1" si="24"/>
        <v>9999.6</v>
      </c>
      <c r="AB410" s="245">
        <f t="shared" ca="1" si="24"/>
        <v>3</v>
      </c>
      <c r="AC410" s="245">
        <f t="shared" ca="1" si="24"/>
        <v>9999.7000000000007</v>
      </c>
      <c r="AD410" s="249">
        <f t="shared" ca="1" si="24"/>
        <v>5.9</v>
      </c>
      <c r="AE410" s="464"/>
      <c r="AF410" s="45"/>
      <c r="AG410" s="45"/>
      <c r="AH410" s="45"/>
      <c r="AI410" s="45"/>
      <c r="AJ410" s="190"/>
      <c r="AK410" s="2373" t="s">
        <v>191</v>
      </c>
      <c r="AL410" s="102"/>
      <c r="AM410" s="383"/>
      <c r="AN410" s="141">
        <f>Transfer!AD207</f>
        <v>-9999</v>
      </c>
      <c r="AO410" s="245">
        <f>100*((Transfer!AD207/Transfer!AC207)-1)</f>
        <v>0</v>
      </c>
      <c r="AP410" s="141">
        <f>Transfer!AE207</f>
        <v>-9999</v>
      </c>
      <c r="AQ410" s="245">
        <f>100*((Transfer!AE207/Transfer!AD207)-1)</f>
        <v>0</v>
      </c>
      <c r="AR410" s="141">
        <f>Transfer!AF207</f>
        <v>-9999</v>
      </c>
      <c r="AS410" s="245">
        <f>100*((Transfer!AF207/Transfer!AE207)-1)</f>
        <v>0</v>
      </c>
      <c r="AT410" s="197">
        <f>Transfer!AG207</f>
        <v>-9999</v>
      </c>
      <c r="AU410" s="249">
        <f>100*((Transfer!AG207/Transfer!AF207)-1)</f>
        <v>0</v>
      </c>
      <c r="AV410" s="464"/>
      <c r="AW410" s="54"/>
      <c r="AX410" s="54"/>
      <c r="AY410" s="54"/>
      <c r="AZ410" s="54"/>
      <c r="BA410" s="1698" t="s">
        <v>607</v>
      </c>
      <c r="BB410" s="1699"/>
      <c r="BC410" s="54"/>
    </row>
    <row r="411" spans="1:55">
      <c r="A411" s="45"/>
      <c r="B411" s="1665"/>
      <c r="C411" s="1666" t="s">
        <v>1685</v>
      </c>
      <c r="D411" s="2351"/>
      <c r="E411" s="2521" t="s">
        <v>1686</v>
      </c>
      <c r="F411" s="2692">
        <f ca="1">Transfer!D215</f>
        <v>4.8441000000000001</v>
      </c>
      <c r="G411" s="2453">
        <f ca="1">100*((Transfer!D215/Transfer!C215)-1)</f>
        <v>8.7013109412656942</v>
      </c>
      <c r="H411" s="2692">
        <f ca="1">Transfer!E215</f>
        <v>5.444205530780633</v>
      </c>
      <c r="I411" s="2453">
        <f ca="1">100*((Transfer!E215/Transfer!D215)-1)</f>
        <v>12.388380313796855</v>
      </c>
      <c r="J411" s="2692">
        <f ca="1">Transfer!F215</f>
        <v>5.8089673013429346</v>
      </c>
      <c r="K411" s="2453">
        <f ca="1">100*((Transfer!F215/Transfer!E215)-1)</f>
        <v>6.6999999999999948</v>
      </c>
      <c r="L411" s="2453">
        <f ca="1">Transfer!G215</f>
        <v>6.1419965550884186</v>
      </c>
      <c r="M411" s="2693">
        <f ca="1">100*((Transfer!G215/Transfer!F215)-1)</f>
        <v>5.7330199408850646</v>
      </c>
      <c r="N411" s="2452"/>
      <c r="O411" s="54"/>
      <c r="P411" s="54"/>
      <c r="Q411" s="54"/>
      <c r="R411" s="54"/>
      <c r="S411" s="190"/>
      <c r="T411" s="1666" t="s">
        <v>1685</v>
      </c>
      <c r="U411" s="49"/>
      <c r="V411" s="254" t="s">
        <v>1686</v>
      </c>
      <c r="W411" s="248">
        <f t="shared" ca="1" si="24"/>
        <v>-8</v>
      </c>
      <c r="X411" s="245">
        <f t="shared" ca="1" si="24"/>
        <v>4.6999999999999993</v>
      </c>
      <c r="Y411" s="245">
        <f t="shared" ca="1" si="24"/>
        <v>-8.5</v>
      </c>
      <c r="Z411" s="245">
        <f t="shared" ca="1" si="24"/>
        <v>4.4000000000000004</v>
      </c>
      <c r="AA411" s="245">
        <f t="shared" ca="1" si="24"/>
        <v>-8.8000000000000007</v>
      </c>
      <c r="AB411" s="245">
        <f t="shared" ca="1" si="24"/>
        <v>1.5</v>
      </c>
      <c r="AC411" s="245">
        <f t="shared" ca="1" si="24"/>
        <v>-9.4</v>
      </c>
      <c r="AD411" s="249">
        <f t="shared" ca="1" si="24"/>
        <v>-0.29999999999999982</v>
      </c>
      <c r="AE411" s="196"/>
      <c r="AF411" s="45"/>
      <c r="AG411" s="45"/>
      <c r="AH411" s="45"/>
      <c r="AI411" s="45"/>
      <c r="AJ411" s="190"/>
      <c r="AK411" s="1666" t="s">
        <v>1685</v>
      </c>
      <c r="AL411" s="49"/>
      <c r="AM411" s="254" t="s">
        <v>1686</v>
      </c>
      <c r="AN411" s="141">
        <f>Transfer!AD215</f>
        <v>12.84684</v>
      </c>
      <c r="AO411" s="245">
        <f>100*((Transfer!AD215/Transfer!AC215)-1)</f>
        <v>3.9645737536962988</v>
      </c>
      <c r="AP411" s="141">
        <f>Transfer!AE215</f>
        <v>13.874587200000001</v>
      </c>
      <c r="AQ411" s="245">
        <f>100*((Transfer!AE215/Transfer!AD215)-1)</f>
        <v>8.0000000000000071</v>
      </c>
      <c r="AR411" s="141">
        <f>Transfer!AF215</f>
        <v>14.5960657344</v>
      </c>
      <c r="AS411" s="197">
        <f>100*((Transfer!AF215/Transfer!AE215)-1)</f>
        <v>5.2000000000000046</v>
      </c>
      <c r="AT411" s="197">
        <f>Transfer!AG215</f>
        <v>15.471829678464001</v>
      </c>
      <c r="AU411" s="463">
        <f>100*((Transfer!AG215/Transfer!AF215)-1)</f>
        <v>6.0000000000000053</v>
      </c>
      <c r="AV411" s="196"/>
      <c r="AW411" s="54"/>
      <c r="AX411" s="54"/>
      <c r="AY411" s="54"/>
      <c r="AZ411" s="54"/>
      <c r="BA411" s="1698" t="s">
        <v>935</v>
      </c>
      <c r="BB411" s="1699"/>
      <c r="BC411" s="54"/>
    </row>
    <row r="412" spans="1:55">
      <c r="A412" s="45"/>
      <c r="B412" s="1665"/>
      <c r="C412" s="2373" t="s">
        <v>340</v>
      </c>
      <c r="D412" s="2392"/>
      <c r="E412" s="2651" t="s">
        <v>341</v>
      </c>
      <c r="F412" s="2692">
        <f ca="1">Transfer!D216</f>
        <v>4.7157900000000001</v>
      </c>
      <c r="G412" s="2453">
        <f ca="1">100*((Transfer!D216/Transfer!C216)-1)</f>
        <v>8.6562521600884743</v>
      </c>
      <c r="H412" s="2692">
        <f ca="1">Transfer!E216</f>
        <v>5.3</v>
      </c>
      <c r="I412" s="2453">
        <f ca="1">100*((Transfer!E216/Transfer!D216)-1)</f>
        <v>12.388380313796832</v>
      </c>
      <c r="J412" s="2692">
        <f ca="1">Transfer!F216</f>
        <v>5.6550999999999991</v>
      </c>
      <c r="K412" s="2453">
        <f ca="1">100*((Transfer!F216/Transfer!E216)-1)</f>
        <v>6.6999999999999948</v>
      </c>
      <c r="L412" s="2453">
        <f ca="1">Transfer!G216</f>
        <v>5.9793080106769914</v>
      </c>
      <c r="M412" s="2693">
        <f ca="1">100*((Transfer!G216/Transfer!F216)-1)</f>
        <v>5.7330199408850868</v>
      </c>
      <c r="N412" s="2610"/>
      <c r="O412" s="54"/>
      <c r="P412" s="54"/>
      <c r="Q412" s="54"/>
      <c r="R412" s="54"/>
      <c r="S412" s="190"/>
      <c r="T412" s="2373" t="s">
        <v>340</v>
      </c>
      <c r="U412" s="102"/>
      <c r="V412" s="383" t="s">
        <v>341</v>
      </c>
      <c r="W412" s="248">
        <f t="shared" ca="1" si="24"/>
        <v>-7.8</v>
      </c>
      <c r="X412" s="245">
        <f t="shared" ca="1" si="24"/>
        <v>4.7999999999999989</v>
      </c>
      <c r="Y412" s="245">
        <f t="shared" ca="1" si="24"/>
        <v>-8.1999999999999993</v>
      </c>
      <c r="Z412" s="245">
        <f t="shared" ca="1" si="24"/>
        <v>4.4000000000000004</v>
      </c>
      <c r="AA412" s="245">
        <f t="shared" ca="1" si="24"/>
        <v>-8.5</v>
      </c>
      <c r="AB412" s="245">
        <f t="shared" ca="1" si="24"/>
        <v>1.5</v>
      </c>
      <c r="AC412" s="245">
        <f t="shared" ca="1" si="24"/>
        <v>-9</v>
      </c>
      <c r="AD412" s="249">
        <f t="shared" ca="1" si="24"/>
        <v>-0.29999999999999982</v>
      </c>
      <c r="AE412" s="464"/>
      <c r="AF412" s="45"/>
      <c r="AG412" s="45"/>
      <c r="AH412" s="45"/>
      <c r="AI412" s="45"/>
      <c r="AJ412" s="190"/>
      <c r="AK412" s="2373" t="s">
        <v>340</v>
      </c>
      <c r="AL412" s="102"/>
      <c r="AM412" s="383" t="s">
        <v>341</v>
      </c>
      <c r="AN412" s="141">
        <f>Transfer!AD216</f>
        <v>12.47156</v>
      </c>
      <c r="AO412" s="245">
        <f>100*((Transfer!AD216/Transfer!AC216)-1)</f>
        <v>3.9245570426120757</v>
      </c>
      <c r="AP412" s="141">
        <f>Transfer!AE216</f>
        <v>13.469284800000001</v>
      </c>
      <c r="AQ412" s="245">
        <f>100*((Transfer!AE216/Transfer!AD216)-1)</f>
        <v>8.0000000000000071</v>
      </c>
      <c r="AR412" s="141">
        <f>Transfer!AF216</f>
        <v>14.1696876096</v>
      </c>
      <c r="AS412" s="245">
        <f>100*((Transfer!AF216/Transfer!AE216)-1)</f>
        <v>5.2000000000000046</v>
      </c>
      <c r="AT412" s="197">
        <f>Transfer!AG216</f>
        <v>15.019868866176001</v>
      </c>
      <c r="AU412" s="249">
        <f>100*((Transfer!AG216/Transfer!AF216)-1)</f>
        <v>6.0000000000000053</v>
      </c>
      <c r="AV412" s="464"/>
      <c r="AW412" s="54"/>
      <c r="AX412" s="54"/>
      <c r="AY412" s="54"/>
      <c r="AZ412" s="54"/>
      <c r="BA412" s="1698" t="s">
        <v>936</v>
      </c>
      <c r="BB412" s="1699"/>
      <c r="BC412" s="54"/>
    </row>
    <row r="413" spans="1:55">
      <c r="A413" s="45"/>
      <c r="B413" s="1665"/>
      <c r="C413" s="1666" t="s">
        <v>1416</v>
      </c>
      <c r="D413" s="2351"/>
      <c r="E413" s="2651"/>
      <c r="F413" s="2692">
        <f ca="1">+Transfer!D243+Transfer!D217</f>
        <v>1.4450599999999998</v>
      </c>
      <c r="G413" s="2453">
        <f ca="1">100*(((Transfer!D243+Transfer!D217)/(Transfer!C243+Transfer!D217))-1)</f>
        <v>2.239988679779259</v>
      </c>
      <c r="H413" s="3338">
        <f ca="1">+Transfer!E243+Transfer!E217</f>
        <v>1.5277276079999997</v>
      </c>
      <c r="I413" s="2453">
        <f ca="1">100*(((Transfer!E243+Transfer!E217)/(Transfer!D243+Transfer!D217))-1)</f>
        <v>5.720704192213466</v>
      </c>
      <c r="J413" s="2692">
        <f ca="1">+Transfer!F243+Transfer!F217</f>
        <v>1.6116147196799997</v>
      </c>
      <c r="K413" s="2453">
        <f ca="1">100*(((Transfer!F243+Transfer!F217)/(Transfer!E243+Transfer!E217))-1)</f>
        <v>5.4909730792794598</v>
      </c>
      <c r="L413" s="2453">
        <f ca="1">+Transfer!G243+Transfer!G217</f>
        <v>1.6922005978527996</v>
      </c>
      <c r="M413" s="2693">
        <f ca="1">100*(((Transfer!G243+Transfer!G217)/(Transfer!F243+Transfer!F217))-1)</f>
        <v>5.0003190706027434</v>
      </c>
      <c r="N413" s="2610"/>
      <c r="O413" s="54"/>
      <c r="P413" s="54"/>
      <c r="Q413" s="54"/>
      <c r="R413" s="54"/>
      <c r="S413" s="190"/>
      <c r="T413" s="1666" t="s">
        <v>1416</v>
      </c>
      <c r="U413" s="49"/>
      <c r="V413" s="383"/>
      <c r="W413" s="248">
        <f t="shared" ca="1" si="24"/>
        <v>-2.6</v>
      </c>
      <c r="X413" s="245">
        <f t="shared" ca="1" si="24"/>
        <v>-4</v>
      </c>
      <c r="Y413" s="245">
        <f t="shared" ca="1" si="24"/>
        <v>-2.4</v>
      </c>
      <c r="Z413" s="245">
        <f t="shared" ca="1" si="24"/>
        <v>6.5</v>
      </c>
      <c r="AA413" s="245">
        <f t="shared" ca="1" si="24"/>
        <v>-2.4</v>
      </c>
      <c r="AB413" s="245">
        <f t="shared" ca="1" si="24"/>
        <v>2.2000000000000002</v>
      </c>
      <c r="AC413" s="245">
        <f t="shared" ca="1" si="24"/>
        <v>-2.5</v>
      </c>
      <c r="AD413" s="249">
        <f t="shared" ca="1" si="24"/>
        <v>1.6</v>
      </c>
      <c r="AE413" s="464"/>
      <c r="AF413" s="45"/>
      <c r="AG413" s="45"/>
      <c r="AH413" s="45"/>
      <c r="AI413" s="45"/>
      <c r="AJ413" s="190"/>
      <c r="AK413" s="1666" t="s">
        <v>1416</v>
      </c>
      <c r="AL413" s="49"/>
      <c r="AM413" s="383"/>
      <c r="AN413" s="141">
        <f>+Transfer!AD243+Transfer!AD217</f>
        <v>3.9504399999999995</v>
      </c>
      <c r="AO413" s="245">
        <f>100*(((Transfer!AD243+Transfer!AD217)/(Transfer!AC243+Transfer!AD217))-1)</f>
        <v>6.1501090940358383</v>
      </c>
      <c r="AP413" s="141">
        <f>+Transfer!AE243+Transfer!AE217</f>
        <v>3.9182955499999998</v>
      </c>
      <c r="AQ413" s="245">
        <f>100*(((Transfer!AE243+Transfer!AE217)/(Transfer!AD243+Transfer!AD217))-1)</f>
        <v>-0.81369290509410996</v>
      </c>
      <c r="AR413" s="141">
        <f>+Transfer!AF243+Transfer!AF217</f>
        <v>4.0489662962499997</v>
      </c>
      <c r="AS413" s="245">
        <f>100*(((Transfer!AF243+Transfer!AF217)/(Transfer!AE243+Transfer!AE217))-1)</f>
        <v>3.3348874423216879</v>
      </c>
      <c r="AT413" s="245">
        <f>+Transfer!AG243+Transfer!AG217</f>
        <v>4.1850899415312499</v>
      </c>
      <c r="AU413" s="249">
        <f>100*(((Transfer!AG243+Transfer!AG217)/(Transfer!AF243+Transfer!AF217))-1)</f>
        <v>3.3619357465959343</v>
      </c>
      <c r="AV413" s="464"/>
      <c r="AW413" s="54"/>
      <c r="AX413" s="54"/>
      <c r="AY413" s="54"/>
      <c r="AZ413" s="54"/>
      <c r="BA413" s="1698" t="s">
        <v>608</v>
      </c>
      <c r="BB413" s="1699"/>
      <c r="BC413" s="54"/>
    </row>
    <row r="414" spans="1:55">
      <c r="A414" s="45"/>
      <c r="B414" s="1665"/>
      <c r="C414" s="2379" t="s">
        <v>192</v>
      </c>
      <c r="D414" s="2380"/>
      <c r="E414" s="2694"/>
      <c r="F414" s="2697">
        <f ca="1">SUM(Transfer!D213,Transfer!D214,Transfer!D215,Transfer!D217,Transfer!D243)</f>
        <v>13.016420000000004</v>
      </c>
      <c r="G414" s="2695">
        <f ca="1">100*((SUM(Transfer!D213,Transfer!D214,Transfer!D215,Transfer!D217,Transfer!D243)/SUM(Transfer!C213,Transfer!C214,Transfer!C215,Transfer!C217,Transfer!C243))-1)</f>
        <v>6.0420684053550611</v>
      </c>
      <c r="H414" s="2697">
        <f ca="1">SUM(Transfer!E213,Transfer!E214,Transfer!E215,Transfer!E217,Transfer!E243)</f>
        <v>14.215278222780634</v>
      </c>
      <c r="I414" s="2695">
        <f ca="1">100*((SUM(Transfer!E213,Transfer!E214,Transfer!E215,Transfer!E217,Transfer!E243)/SUM(Transfer!D213,Transfer!D214,Transfer!D215,Transfer!D217,Transfer!D243))-1)</f>
        <v>9.2103529448237751</v>
      </c>
      <c r="J414" s="2697">
        <f ca="1">SUM(Transfer!F213,Transfer!F214,Transfer!F215,Transfer!F217,Transfer!F243)</f>
        <v>15.061240161066149</v>
      </c>
      <c r="K414" s="2695">
        <f ca="1">100*((SUM(Transfer!F213,Transfer!F214,Transfer!F215,Transfer!F217,Transfer!F243)/SUM(Transfer!E213,Transfer!E214,Transfer!E215,Transfer!E217,Transfer!E243))-1)</f>
        <v>5.9510754909448238</v>
      </c>
      <c r="L414" s="2695">
        <f ca="1">SUM(Transfer!G213,Transfer!G214,Transfer!G215,Transfer!G217,Transfer!G243)</f>
        <v>15.900807104354294</v>
      </c>
      <c r="M414" s="2698">
        <f ca="1">100*((SUM(Transfer!G213,Transfer!G214,Transfer!G215,Transfer!G217,Transfer!G243)/SUM(Transfer!F213,Transfer!F214,Transfer!F215,Transfer!F217,Transfer!F243))-1)</f>
        <v>5.5743546634257735</v>
      </c>
      <c r="N414" s="2452"/>
      <c r="O414" s="54"/>
      <c r="P414" s="54"/>
      <c r="Q414" s="54"/>
      <c r="R414" s="54"/>
      <c r="S414" s="190"/>
      <c r="T414" s="2379" t="s">
        <v>192</v>
      </c>
      <c r="U414" s="95"/>
      <c r="V414" s="384"/>
      <c r="W414" s="429">
        <f t="shared" ca="1" si="24"/>
        <v>-22</v>
      </c>
      <c r="X414" s="428">
        <f t="shared" ca="1" si="24"/>
        <v>0.20000000000000018</v>
      </c>
      <c r="Y414" s="428">
        <f t="shared" ca="1" si="24"/>
        <v>-22.500000000000004</v>
      </c>
      <c r="Z414" s="428">
        <f t="shared" ca="1" si="24"/>
        <v>4.1999999999999993</v>
      </c>
      <c r="AA414" s="428">
        <f t="shared" ca="1" si="24"/>
        <v>-23.299999999999997</v>
      </c>
      <c r="AB414" s="428">
        <f t="shared" ca="1" si="24"/>
        <v>1.2999999999999998</v>
      </c>
      <c r="AC414" s="428">
        <f t="shared" ca="1" si="24"/>
        <v>-24.700000000000003</v>
      </c>
      <c r="AD414" s="431">
        <f t="shared" ca="1" si="24"/>
        <v>0</v>
      </c>
      <c r="AE414" s="199"/>
      <c r="AF414" s="45"/>
      <c r="AG414" s="45"/>
      <c r="AH414" s="45"/>
      <c r="AI414" s="45"/>
      <c r="AJ414" s="190"/>
      <c r="AK414" s="2379" t="s">
        <v>192</v>
      </c>
      <c r="AL414" s="95"/>
      <c r="AM414" s="384"/>
      <c r="AN414" s="430">
        <f>SUM(Transfer!AD213,Transfer!AD214,Transfer!AD215,Transfer!AD217,Transfer!AD243)</f>
        <v>34.968640000000001</v>
      </c>
      <c r="AO414" s="428">
        <f>100*((SUM(Transfer!AD213,Transfer!AD214,Transfer!AD215,Transfer!AD217,Transfer!AD243)/SUM(Transfer!AC213,Transfer!AC214,Transfer!AC215,Transfer!AC217,Transfer!AC243))-1)</f>
        <v>5.7792120185830242</v>
      </c>
      <c r="AP414" s="430">
        <f>SUM(Transfer!AE213,Transfer!AE214,Transfer!AE215,Transfer!AE217,Transfer!AE243)</f>
        <v>36.70937885</v>
      </c>
      <c r="AQ414" s="428">
        <f>100*((SUM(Transfer!AE213,Transfer!AE214,Transfer!AE215,Transfer!AE217,Transfer!AE243)/SUM(Transfer!AD213,Transfer!AD214,Transfer!AD215,Transfer!AD217,Transfer!AD243))-1)</f>
        <v>4.9779998593024954</v>
      </c>
      <c r="AR414" s="430">
        <f>SUM(Transfer!AF213,Transfer!AF214,Transfer!AF215,Transfer!AF217,Transfer!AF243)</f>
        <v>38.449388680349998</v>
      </c>
      <c r="AS414" s="428">
        <f>100*((SUM(Transfer!AF213,Transfer!AF214,Transfer!AF215,Transfer!AF217,Transfer!AF243)/SUM(Transfer!AE213,Transfer!AE214,Transfer!AE215,Transfer!AE217,Transfer!AE243))-1)</f>
        <v>4.7399598818055111</v>
      </c>
      <c r="AT414" s="428">
        <f>SUM(Transfer!AG213,Transfer!AG214,Transfer!AG215,Transfer!AG217,Transfer!AG243)</f>
        <v>40.614716705584705</v>
      </c>
      <c r="AU414" s="431">
        <f>100*((SUM(Transfer!AG213,Transfer!AG214,Transfer!AG215,Transfer!AG217,Transfer!AG243)/SUM(Transfer!AF213,Transfer!AF214,Transfer!AF215,Transfer!AF217,Transfer!AF243))-1)</f>
        <v>5.6316318660778242</v>
      </c>
      <c r="AV414" s="199"/>
      <c r="AW414" s="54"/>
      <c r="AX414" s="54"/>
      <c r="AY414" s="54"/>
      <c r="AZ414" s="54"/>
      <c r="BA414" s="1698" t="s">
        <v>609</v>
      </c>
      <c r="BB414" s="1699"/>
      <c r="BC414" s="54"/>
    </row>
    <row r="415" spans="1:55">
      <c r="A415" s="45"/>
      <c r="B415" s="1665"/>
      <c r="C415" s="1666" t="s">
        <v>290</v>
      </c>
      <c r="D415" s="2351"/>
      <c r="E415" s="2521" t="s">
        <v>1407</v>
      </c>
      <c r="F415" s="2725">
        <f ca="1">Transfer!D220</f>
        <v>3.8023500000000001</v>
      </c>
      <c r="G415" s="2450">
        <f ca="1">100*((Transfer!D220/Transfer!C220)-1)</f>
        <v>5.4652720570491864</v>
      </c>
      <c r="H415" s="2726">
        <f ca="1">Transfer!E220</f>
        <v>4.0019753007261274</v>
      </c>
      <c r="I415" s="2450">
        <f ca="1">100*((Transfer!E220/Transfer!D220)-1)</f>
        <v>5.2500506456830021</v>
      </c>
      <c r="J415" s="2726">
        <f ca="1">Transfer!F220</f>
        <v>4.2038161866725012</v>
      </c>
      <c r="K415" s="2450">
        <f ca="1">100*((Transfer!F220/Transfer!E220)-1)</f>
        <v>5.0435315257880697</v>
      </c>
      <c r="L415" s="2725">
        <f ca="1">Transfer!G220</f>
        <v>4.435208860003871</v>
      </c>
      <c r="M415" s="2451">
        <f ca="1">100*((Transfer!G220/Transfer!F220)-1)</f>
        <v>5.5043480270370093</v>
      </c>
      <c r="N415" s="2691"/>
      <c r="O415" s="54"/>
      <c r="P415" s="54"/>
      <c r="Q415" s="54"/>
      <c r="R415" s="54"/>
      <c r="S415" s="190"/>
      <c r="T415" s="1666" t="s">
        <v>290</v>
      </c>
      <c r="U415" s="49"/>
      <c r="V415" s="2321" t="s">
        <v>1407</v>
      </c>
      <c r="W415" s="2019">
        <f t="shared" ca="1" si="24"/>
        <v>-7.3999999999999995</v>
      </c>
      <c r="X415" s="2020">
        <f t="shared" ca="1" si="24"/>
        <v>4.0999999999999996</v>
      </c>
      <c r="Y415" s="2020">
        <f t="shared" ca="1" si="24"/>
        <v>-7.8000000000000007</v>
      </c>
      <c r="Z415" s="2020">
        <f t="shared" ca="1" si="24"/>
        <v>-0.29999999999999982</v>
      </c>
      <c r="AA415" s="2020">
        <f t="shared" ca="1" si="24"/>
        <v>-8.3999999999999986</v>
      </c>
      <c r="AB415" s="2020">
        <f t="shared" ca="1" si="24"/>
        <v>-2.0999999999999996</v>
      </c>
      <c r="AC415" s="2020">
        <f t="shared" ca="1" si="24"/>
        <v>-8.9</v>
      </c>
      <c r="AD415" s="2338">
        <f t="shared" ca="1" si="24"/>
        <v>0.5</v>
      </c>
      <c r="AE415" s="199"/>
      <c r="AF415" s="45"/>
      <c r="AG415" s="45"/>
      <c r="AH415" s="45"/>
      <c r="AI415" s="45"/>
      <c r="AJ415" s="190"/>
      <c r="AK415" s="1666" t="s">
        <v>290</v>
      </c>
      <c r="AL415" s="49"/>
      <c r="AM415" s="254" t="s">
        <v>1407</v>
      </c>
      <c r="AN415" s="2308">
        <f>Transfer!AD220</f>
        <v>11.15719</v>
      </c>
      <c r="AO415" s="2020">
        <f>100*((Transfer!AD220/Transfer!AC220)-1)</f>
        <v>1.373521036669012</v>
      </c>
      <c r="AP415" s="2309">
        <f>Transfer!AE220</f>
        <v>11.783108359</v>
      </c>
      <c r="AQ415" s="2020">
        <f>100*((Transfer!AE220/Transfer!AD220)-1)</f>
        <v>5.6100000000000039</v>
      </c>
      <c r="AR415" s="2309">
        <f>Transfer!AF220</f>
        <v>12.622065674160799</v>
      </c>
      <c r="AS415" s="2020">
        <f>100*((Transfer!AF220/Transfer!AE220)-1)</f>
        <v>7.119999999999993</v>
      </c>
      <c r="AT415" s="2308">
        <f>Transfer!AG220</f>
        <v>13.253168957868839</v>
      </c>
      <c r="AU415" s="2310">
        <f>100*((Transfer!AG220/Transfer!AF220)-1)</f>
        <v>5.0000000000000044</v>
      </c>
      <c r="AV415" s="199"/>
      <c r="AW415" s="54"/>
      <c r="AX415" s="54"/>
      <c r="AY415" s="54"/>
      <c r="AZ415" s="54"/>
      <c r="BA415" s="1698" t="s">
        <v>610</v>
      </c>
      <c r="BB415" s="1699"/>
      <c r="BC415" s="54"/>
    </row>
    <row r="416" spans="1:55">
      <c r="A416" s="45"/>
      <c r="B416" s="1665"/>
      <c r="C416" s="1666" t="s">
        <v>291</v>
      </c>
      <c r="D416" s="2351"/>
      <c r="E416" s="2521" t="s">
        <v>1130</v>
      </c>
      <c r="F416" s="2727">
        <f ca="1">Transfer!D245</f>
        <v>1.84643</v>
      </c>
      <c r="G416" s="2453">
        <f ca="1">100*((Transfer!D245/Transfer!C245)-1)</f>
        <v>-1.138304536620105</v>
      </c>
      <c r="H416" s="2692">
        <f ca="1">Transfer!E245</f>
        <v>1.8754002492738726</v>
      </c>
      <c r="I416" s="3678">
        <f ca="1">100*((Transfer!E245/Transfer!D245)-1)</f>
        <v>1.568987141341549</v>
      </c>
      <c r="J416" s="2692">
        <f ca="1">Transfer!F245</f>
        <v>2.0133065466654987</v>
      </c>
      <c r="K416" s="3679">
        <f ca="1">100*((Transfer!F245/Transfer!E245)-1)</f>
        <v>7.3534328176090069</v>
      </c>
      <c r="L416" s="2453">
        <f ca="1">Transfer!G245</f>
        <v>2.1138316020828603</v>
      </c>
      <c r="M416" s="3680">
        <f ca="1">100*((Transfer!G245/Transfer!F245)-1)</f>
        <v>4.9930327591620083</v>
      </c>
      <c r="N416" s="2452"/>
      <c r="O416" s="54"/>
      <c r="P416" s="54"/>
      <c r="Q416" s="54"/>
      <c r="R416" s="54"/>
      <c r="S416" s="190"/>
      <c r="T416" s="1666" t="s">
        <v>291</v>
      </c>
      <c r="U416" s="49"/>
      <c r="V416" s="254" t="s">
        <v>1130</v>
      </c>
      <c r="W416" s="248">
        <f t="shared" ca="1" si="24"/>
        <v>-4</v>
      </c>
      <c r="X416" s="245">
        <f t="shared" ca="1" si="24"/>
        <v>-4.3000000000000007</v>
      </c>
      <c r="Y416" s="245">
        <f t="shared" ca="1" si="24"/>
        <v>-3.6999999999999997</v>
      </c>
      <c r="Z416" s="245">
        <f t="shared" ca="1" si="24"/>
        <v>3.8000000000000003</v>
      </c>
      <c r="AA416" s="245">
        <f t="shared" ca="1" si="24"/>
        <v>-3.4000000000000004</v>
      </c>
      <c r="AB416" s="245">
        <f t="shared" ca="1" si="24"/>
        <v>11</v>
      </c>
      <c r="AC416" s="245">
        <f t="shared" ca="1" si="24"/>
        <v>-3.4</v>
      </c>
      <c r="AD416" s="249">
        <f t="shared" ca="1" si="24"/>
        <v>4.5</v>
      </c>
      <c r="AE416" s="199"/>
      <c r="AF416" s="45"/>
      <c r="AG416" s="45"/>
      <c r="AH416" s="45"/>
      <c r="AI416" s="45"/>
      <c r="AJ416" s="190"/>
      <c r="AK416" s="1666" t="s">
        <v>291</v>
      </c>
      <c r="AL416" s="49"/>
      <c r="AM416" s="254" t="s">
        <v>1130</v>
      </c>
      <c r="AN416" s="2311">
        <f>Transfer!AD245</f>
        <v>5.75936</v>
      </c>
      <c r="AO416" s="245">
        <f>100*((Transfer!AD245/Transfer!AC245)-1)</f>
        <v>3.1973223052830013</v>
      </c>
      <c r="AP416" s="141">
        <f>Transfer!AE245</f>
        <v>5.6298466320999996</v>
      </c>
      <c r="AQ416" s="245">
        <f>100*((Transfer!AE245/Transfer!AD245)-1)</f>
        <v>-2.2487458311340247</v>
      </c>
      <c r="AR416" s="141">
        <f>Transfer!AF245</f>
        <v>5.426226415128995</v>
      </c>
      <c r="AS416" s="245">
        <f>100*((Transfer!AF245/Transfer!AE245)-1)</f>
        <v>-3.6167986497183113</v>
      </c>
      <c r="AT416" s="245">
        <f>Transfer!AG245</f>
        <v>5.4524086720904563</v>
      </c>
      <c r="AU416" s="249">
        <f>100*((Transfer!AG245/Transfer!AF245)-1)</f>
        <v>0.48251316768614938</v>
      </c>
      <c r="AV416" s="199"/>
      <c r="AW416" s="54"/>
      <c r="AX416" s="54"/>
      <c r="AY416" s="54"/>
      <c r="AZ416" s="54"/>
      <c r="BA416" s="1698" t="s">
        <v>937</v>
      </c>
      <c r="BB416" s="1699"/>
      <c r="BC416" s="54"/>
    </row>
    <row r="417" spans="1:55">
      <c r="A417" s="45"/>
      <c r="B417" s="1665"/>
      <c r="C417" s="1666" t="s">
        <v>230</v>
      </c>
      <c r="D417" s="2351"/>
      <c r="E417" s="2521"/>
      <c r="F417" s="2727">
        <f ca="1">Transfer!D246</f>
        <v>0.64269000000000009</v>
      </c>
      <c r="G417" s="2453">
        <f ca="1">100*((Transfer!D246/Transfer!C246)-1)</f>
        <v>3.9446870451237404</v>
      </c>
      <c r="H417" s="2692">
        <f ca="1">Transfer!E246</f>
        <v>0.66518415000000009</v>
      </c>
      <c r="I417" s="2453">
        <f ca="1">100*((Transfer!E246/Transfer!D246)-1)</f>
        <v>3.499999999999992</v>
      </c>
      <c r="J417" s="2692">
        <f ca="1">Transfer!F246</f>
        <v>0.68846559525000006</v>
      </c>
      <c r="K417" s="2453">
        <f ca="1">100*((Transfer!F246/Transfer!E246)-1)</f>
        <v>3.499999999999992</v>
      </c>
      <c r="L417" s="2453">
        <f ca="1">Transfer!G246</f>
        <v>0.70911956310750013</v>
      </c>
      <c r="M417" s="2693">
        <f ca="1">100*((Transfer!G246/Transfer!F246)-1)</f>
        <v>3.0000000000000027</v>
      </c>
      <c r="N417" s="2452"/>
      <c r="O417" s="54"/>
      <c r="P417" s="54"/>
      <c r="Q417" s="54"/>
      <c r="R417" s="54"/>
      <c r="S417" s="190"/>
      <c r="T417" s="1666" t="s">
        <v>230</v>
      </c>
      <c r="U417" s="49"/>
      <c r="V417" s="254"/>
      <c r="W417" s="248">
        <f t="shared" ca="1" si="24"/>
        <v>-1.4</v>
      </c>
      <c r="X417" s="245">
        <f t="shared" ca="1" si="24"/>
        <v>9.6</v>
      </c>
      <c r="Y417" s="245">
        <f t="shared" ca="1" si="24"/>
        <v>-1.3</v>
      </c>
      <c r="Z417" s="245">
        <f t="shared" ca="1" si="24"/>
        <v>2.5</v>
      </c>
      <c r="AA417" s="245">
        <f t="shared" ca="1" si="24"/>
        <v>-1.4000000000000001</v>
      </c>
      <c r="AB417" s="245">
        <f t="shared" ca="1" si="24"/>
        <v>2.5</v>
      </c>
      <c r="AC417" s="245">
        <f t="shared" ca="1" si="24"/>
        <v>-1.4000000000000001</v>
      </c>
      <c r="AD417" s="249">
        <f t="shared" ca="1" si="24"/>
        <v>2</v>
      </c>
      <c r="AE417" s="199"/>
      <c r="AF417" s="45"/>
      <c r="AG417" s="45"/>
      <c r="AH417" s="45"/>
      <c r="AI417" s="45"/>
      <c r="AJ417" s="190"/>
      <c r="AK417" s="1666" t="s">
        <v>230</v>
      </c>
      <c r="AL417" s="49"/>
      <c r="AM417" s="254"/>
      <c r="AN417" s="2311">
        <f>Transfer!AD246</f>
        <v>2.0189400000000002</v>
      </c>
      <c r="AO417" s="245">
        <f>100*((Transfer!AD246/Transfer!AC246)-1)</f>
        <v>-5.6645032871220362</v>
      </c>
      <c r="AP417" s="141">
        <f>Transfer!AE246</f>
        <v>2.0391294000000002</v>
      </c>
      <c r="AQ417" s="245">
        <f>100*((Transfer!AE246/Transfer!AD246)-1)</f>
        <v>1.0000000000000009</v>
      </c>
      <c r="AR417" s="141">
        <f>Transfer!AF246</f>
        <v>2.0595206940000002</v>
      </c>
      <c r="AS417" s="245">
        <f>100*((Transfer!AF246/Transfer!AE246)-1)</f>
        <v>1.0000000000000009</v>
      </c>
      <c r="AT417" s="245">
        <f>Transfer!AG246</f>
        <v>2.0801159009400001</v>
      </c>
      <c r="AU417" s="249">
        <f>100*((Transfer!AG246/Transfer!AF246)-1)</f>
        <v>1.0000000000000009</v>
      </c>
      <c r="AV417" s="199"/>
      <c r="AW417" s="54"/>
      <c r="AX417" s="54"/>
      <c r="AY417" s="54"/>
      <c r="AZ417" s="54"/>
      <c r="BA417" s="1698" t="s">
        <v>611</v>
      </c>
      <c r="BB417" s="1699"/>
      <c r="BC417" s="54"/>
    </row>
    <row r="418" spans="1:55">
      <c r="A418" s="45"/>
      <c r="B418" s="1665"/>
      <c r="C418" s="1666" t="s">
        <v>1427</v>
      </c>
      <c r="D418" s="2351"/>
      <c r="E418" s="2521" t="s">
        <v>1585</v>
      </c>
      <c r="F418" s="2377">
        <f ca="1">Transfer!D221</f>
        <v>4.2601700000000005</v>
      </c>
      <c r="G418" s="2376">
        <f ca="1">100*((Transfer!D221/Transfer!C221)-1)</f>
        <v>5.0842984176317607</v>
      </c>
      <c r="H418" s="2377">
        <f ca="1">Transfer!E221</f>
        <v>4.7713904000000014</v>
      </c>
      <c r="I418" s="2376">
        <f ca="1">100*((Transfer!E221/Transfer!D221)-1)</f>
        <v>12.000000000000011</v>
      </c>
      <c r="J418" s="2377">
        <f ca="1">Transfer!F221</f>
        <v>5.3439572480000024</v>
      </c>
      <c r="K418" s="2376">
        <f ca="1">100*((Transfer!F221/Transfer!E221)-1)</f>
        <v>12.000000000000011</v>
      </c>
      <c r="L418" s="2376">
        <f ca="1">Transfer!G221</f>
        <v>5.6645946828800025</v>
      </c>
      <c r="M418" s="2728">
        <f ca="1">100*((Transfer!G221/Transfer!F221)-1)</f>
        <v>6.0000000000000053</v>
      </c>
      <c r="N418" s="2368"/>
      <c r="O418" s="54"/>
      <c r="P418" s="54"/>
      <c r="Q418" s="54"/>
      <c r="R418" s="54"/>
      <c r="S418" s="190"/>
      <c r="T418" s="1666" t="s">
        <v>1427</v>
      </c>
      <c r="U418" s="49"/>
      <c r="V418" s="254" t="s">
        <v>1585</v>
      </c>
      <c r="W418" s="248">
        <f t="shared" ca="1" si="24"/>
        <v>-9.5</v>
      </c>
      <c r="X418" s="245">
        <f t="shared" ca="1" si="24"/>
        <v>2.8999999999999995</v>
      </c>
      <c r="Y418" s="245">
        <f t="shared" ca="1" si="24"/>
        <v>-9.3999999999999986</v>
      </c>
      <c r="Z418" s="245">
        <f t="shared" ca="1" si="24"/>
        <v>9</v>
      </c>
      <c r="AA418" s="245">
        <f t="shared" ca="1" si="24"/>
        <v>-9.6999999999999993</v>
      </c>
      <c r="AB418" s="245">
        <f t="shared" ca="1" si="24"/>
        <v>6.5</v>
      </c>
      <c r="AC418" s="245">
        <f t="shared" ca="1" si="24"/>
        <v>-10.100000000000001</v>
      </c>
      <c r="AD418" s="249">
        <f t="shared" ca="1" si="24"/>
        <v>0.5</v>
      </c>
      <c r="AE418" s="82"/>
      <c r="AF418" s="45"/>
      <c r="AG418" s="45"/>
      <c r="AH418" s="45"/>
      <c r="AI418" s="45"/>
      <c r="AJ418" s="190"/>
      <c r="AK418" s="1666" t="s">
        <v>1427</v>
      </c>
      <c r="AL418" s="49"/>
      <c r="AM418" s="254" t="s">
        <v>1585</v>
      </c>
      <c r="AN418" s="92">
        <f>Transfer!AD221</f>
        <v>13.77122</v>
      </c>
      <c r="AO418" s="91">
        <f>100*((Transfer!AD221/Transfer!AC221)-1)</f>
        <v>2.1829751681009535</v>
      </c>
      <c r="AP418" s="92">
        <f>Transfer!AE221</f>
        <v>14.184356599999999</v>
      </c>
      <c r="AQ418" s="91">
        <f>100*((Transfer!AE221/Transfer!AD221)-1)</f>
        <v>3.0000000000000027</v>
      </c>
      <c r="AR418" s="92">
        <f>Transfer!AF221</f>
        <v>14.964496212999999</v>
      </c>
      <c r="AS418" s="91">
        <f>100*((Transfer!AF221/Transfer!AE221)-1)</f>
        <v>5.4999999999999938</v>
      </c>
      <c r="AT418" s="91">
        <f>Transfer!AG221</f>
        <v>15.787543504714998</v>
      </c>
      <c r="AU418" s="243">
        <f>100*((Transfer!AG221/Transfer!AF221)-1)</f>
        <v>5.4999999999999938</v>
      </c>
      <c r="AV418" s="82"/>
      <c r="AW418" s="54"/>
      <c r="AX418" s="54"/>
      <c r="AY418" s="54"/>
      <c r="AZ418" s="54"/>
      <c r="BA418" s="1698" t="s">
        <v>938</v>
      </c>
      <c r="BB418" s="1699"/>
      <c r="BC418" s="54"/>
    </row>
    <row r="419" spans="1:55">
      <c r="A419" s="45"/>
      <c r="B419" s="1665"/>
      <c r="C419" s="1666" t="s">
        <v>231</v>
      </c>
      <c r="D419" s="2351"/>
      <c r="E419" s="2521" t="s">
        <v>1811</v>
      </c>
      <c r="F419" s="2692">
        <f ca="1">Transfer!D222</f>
        <v>0.51676999999999995</v>
      </c>
      <c r="G419" s="2453">
        <f ca="1">100*((Transfer!D222/Transfer!C222)-1)</f>
        <v>-9.1281564324400382</v>
      </c>
      <c r="H419" s="2692">
        <f ca="1">Transfer!E222</f>
        <v>0.49499999999999994</v>
      </c>
      <c r="I419" s="2453">
        <f ca="1">100*((Transfer!E222/Transfer!D222)-1)</f>
        <v>-4.212705845927589</v>
      </c>
      <c r="J419" s="2692">
        <f ca="1">Transfer!F222</f>
        <v>0.38500000000000001</v>
      </c>
      <c r="K419" s="2453">
        <f ca="1">100*((Transfer!F222/Transfer!E222)-1)</f>
        <v>-22.222222222222211</v>
      </c>
      <c r="L419" s="2453">
        <f ca="1">Transfer!G222</f>
        <v>0.40100000000000002</v>
      </c>
      <c r="M419" s="2693">
        <f ca="1">100*((Transfer!G222/Transfer!F222)-1)</f>
        <v>4.1558441558441572</v>
      </c>
      <c r="N419" s="2452"/>
      <c r="O419" s="54"/>
      <c r="P419" s="54"/>
      <c r="Q419" s="54"/>
      <c r="R419" s="54"/>
      <c r="S419" s="190"/>
      <c r="T419" s="1666" t="s">
        <v>231</v>
      </c>
      <c r="U419" s="49"/>
      <c r="V419" s="254" t="s">
        <v>1811</v>
      </c>
      <c r="W419" s="248">
        <f t="shared" ca="1" si="24"/>
        <v>-1.7000000000000002</v>
      </c>
      <c r="X419" s="245">
        <f t="shared" ca="1" si="24"/>
        <v>-24.2</v>
      </c>
      <c r="Y419" s="245">
        <f t="shared" ca="1" si="24"/>
        <v>-1.7999999999999998</v>
      </c>
      <c r="Z419" s="245">
        <f t="shared" ca="1" si="24"/>
        <v>-9.1999999999999993</v>
      </c>
      <c r="AA419" s="245">
        <f t="shared" ca="1" si="24"/>
        <v>-2</v>
      </c>
      <c r="AB419" s="245">
        <f t="shared" ca="1" si="24"/>
        <v>-26.2</v>
      </c>
      <c r="AC419" s="245">
        <f t="shared" ca="1" si="24"/>
        <v>-2.1</v>
      </c>
      <c r="AD419" s="249">
        <f t="shared" ca="1" si="24"/>
        <v>0.20000000000000018</v>
      </c>
      <c r="AE419" s="199"/>
      <c r="AF419" s="45"/>
      <c r="AG419" s="45"/>
      <c r="AH419" s="45"/>
      <c r="AI419" s="45"/>
      <c r="AJ419" s="190"/>
      <c r="AK419" s="1666" t="s">
        <v>231</v>
      </c>
      <c r="AL419" s="49"/>
      <c r="AM419" s="254" t="s">
        <v>1811</v>
      </c>
      <c r="AN419" s="141">
        <f>Transfer!AD222</f>
        <v>2.1890300000000003</v>
      </c>
      <c r="AO419" s="245">
        <f>100*((Transfer!AD222/Transfer!AC222)-1)</f>
        <v>15.138780040079759</v>
      </c>
      <c r="AP419" s="141">
        <f>Transfer!AE222</f>
        <v>2.2984815000000003</v>
      </c>
      <c r="AQ419" s="245">
        <f>100*((Transfer!AE222/Transfer!AD222)-1)</f>
        <v>5.0000000000000044</v>
      </c>
      <c r="AR419" s="141">
        <f>Transfer!AF222</f>
        <v>2.3904207600000005</v>
      </c>
      <c r="AS419" s="245">
        <f>100*((Transfer!AF222/Transfer!AE222)-1)</f>
        <v>4.0000000000000036</v>
      </c>
      <c r="AT419" s="245">
        <f>Transfer!AG222</f>
        <v>2.4860375904000005</v>
      </c>
      <c r="AU419" s="249">
        <f>100*((Transfer!AG222/Transfer!AF222)-1)</f>
        <v>4.0000000000000036</v>
      </c>
      <c r="AV419" s="199"/>
      <c r="AW419" s="54"/>
      <c r="AX419" s="54"/>
      <c r="AY419" s="54"/>
      <c r="AZ419" s="54"/>
      <c r="BA419" s="1698" t="s">
        <v>939</v>
      </c>
      <c r="BB419" s="1699"/>
      <c r="BC419" s="54"/>
    </row>
    <row r="420" spans="1:55">
      <c r="A420" s="45"/>
      <c r="B420" s="1665"/>
      <c r="C420" s="1666" t="s">
        <v>232</v>
      </c>
      <c r="D420" s="2351"/>
      <c r="E420" s="2521" t="s">
        <v>1368</v>
      </c>
      <c r="F420" s="2692">
        <f ca="1">Transfer!D223</f>
        <v>0.16243000000000002</v>
      </c>
      <c r="G420" s="2453">
        <f ca="1">100*((Transfer!D223/Transfer!C223)-1)</f>
        <v>10.069797384292212</v>
      </c>
      <c r="H420" s="2692">
        <f ca="1">Transfer!E223</f>
        <v>0.15881500000000004</v>
      </c>
      <c r="I420" s="2453">
        <f ca="1">100*((Transfer!E223/Transfer!D223)-1)</f>
        <v>-2.225574093455629</v>
      </c>
      <c r="J420" s="2692">
        <f ca="1">Transfer!F223</f>
        <v>0.16650412500000011</v>
      </c>
      <c r="K420" s="2453">
        <f ca="1">100*((Transfer!F223/Transfer!E223)-1)</f>
        <v>4.8415609356799338</v>
      </c>
      <c r="L420" s="2453">
        <f ca="1">Transfer!G223</f>
        <v>0.17460169412500015</v>
      </c>
      <c r="M420" s="2693">
        <f ca="1">100*((Transfer!G223/Transfer!F223)-1)</f>
        <v>4.8632843931043945</v>
      </c>
      <c r="N420" s="2452"/>
      <c r="O420" s="54"/>
      <c r="P420" s="54"/>
      <c r="Q420" s="54"/>
      <c r="R420" s="54"/>
      <c r="S420" s="190"/>
      <c r="T420" s="1666" t="s">
        <v>232</v>
      </c>
      <c r="U420" s="49"/>
      <c r="V420" s="254" t="s">
        <v>1368</v>
      </c>
      <c r="W420" s="248">
        <f t="shared" ca="1" si="24"/>
        <v>-0.2</v>
      </c>
      <c r="X420" s="245">
        <f t="shared" ca="1" si="24"/>
        <v>25</v>
      </c>
      <c r="Y420" s="245">
        <f t="shared" ca="1" si="24"/>
        <v>-0.39999999999999997</v>
      </c>
      <c r="Z420" s="245">
        <f t="shared" ca="1" si="24"/>
        <v>-57</v>
      </c>
      <c r="AA420" s="245">
        <f t="shared" ca="1" si="24"/>
        <v>-0.39999999999999997</v>
      </c>
      <c r="AB420" s="245">
        <f t="shared" ca="1" si="24"/>
        <v>5.3</v>
      </c>
      <c r="AC420" s="245">
        <f t="shared" ca="1" si="24"/>
        <v>-0.39999999999999997</v>
      </c>
      <c r="AD420" s="249">
        <f t="shared" ca="1" si="24"/>
        <v>5.5</v>
      </c>
      <c r="AE420" s="199"/>
      <c r="AF420" s="45"/>
      <c r="AG420" s="45"/>
      <c r="AH420" s="45"/>
      <c r="AI420" s="45"/>
      <c r="AJ420" s="190"/>
      <c r="AK420" s="1666" t="s">
        <v>232</v>
      </c>
      <c r="AL420" s="49"/>
      <c r="AM420" s="254" t="s">
        <v>1368</v>
      </c>
      <c r="AN420" s="141">
        <f>Transfer!AD223</f>
        <v>0.36032999999999998</v>
      </c>
      <c r="AO420" s="245">
        <f>100*((Transfer!AD223/Transfer!AC223)-1)</f>
        <v>-14.85787197845041</v>
      </c>
      <c r="AP420" s="141">
        <f>Transfer!AE223</f>
        <v>0.55765700000000029</v>
      </c>
      <c r="AQ420" s="245">
        <f>100*((Transfer!AE223/Transfer!AD223)-1)</f>
        <v>54.762856270640881</v>
      </c>
      <c r="AR420" s="141">
        <f>Transfer!AF223</f>
        <v>0.55513790200000024</v>
      </c>
      <c r="AS420" s="245">
        <f>100*((Transfer!AF223/Transfer!AE223)-1)</f>
        <v>-0.45172893014883142</v>
      </c>
      <c r="AT420" s="245">
        <f>Transfer!AG223</f>
        <v>0.55201687874000038</v>
      </c>
      <c r="AU420" s="249">
        <f>100*((Transfer!AG223/Transfer!AF223)-1)</f>
        <v>-0.56220684063468251</v>
      </c>
      <c r="AV420" s="199"/>
      <c r="AW420" s="54"/>
      <c r="AX420" s="54"/>
      <c r="AY420" s="54"/>
      <c r="AZ420" s="54"/>
      <c r="BA420" s="1698" t="s">
        <v>940</v>
      </c>
      <c r="BB420" s="1699"/>
      <c r="BC420" s="54"/>
    </row>
    <row r="421" spans="1:55">
      <c r="A421" s="45"/>
      <c r="B421" s="1665"/>
      <c r="C421" s="1666" t="s">
        <v>233</v>
      </c>
      <c r="D421" s="2351"/>
      <c r="E421" s="2521"/>
      <c r="F421" s="2377">
        <f ca="1">Transfer!D224</f>
        <v>0.64744000000000002</v>
      </c>
      <c r="G421" s="2376">
        <f ca="1">100*((Transfer!D224/Transfer!C224)-1)</f>
        <v>16.041151378284368</v>
      </c>
      <c r="H421" s="2377">
        <f ca="1">Transfer!E224</f>
        <v>0.67974880000000004</v>
      </c>
      <c r="I421" s="2376">
        <f ca="1">100*((Transfer!E224/Transfer!D224)-1)</f>
        <v>4.9902384776967734</v>
      </c>
      <c r="J421" s="2377">
        <f ca="1">Transfer!F224</f>
        <v>0.71029792600000008</v>
      </c>
      <c r="K421" s="2376">
        <f ca="1">100*((Transfer!F224/Transfer!E224)-1)</f>
        <v>4.4941787319080273</v>
      </c>
      <c r="L421" s="2376">
        <f ca="1">Transfer!G224</f>
        <v>0.7457470892200001</v>
      </c>
      <c r="M421" s="2728">
        <f ca="1">100*((Transfer!G224/Transfer!F224)-1)</f>
        <v>4.9907457029517044</v>
      </c>
      <c r="N421" s="2368"/>
      <c r="O421" s="54"/>
      <c r="P421" s="54"/>
      <c r="Q421" s="54"/>
      <c r="R421" s="54"/>
      <c r="S421" s="190"/>
      <c r="T421" s="1666" t="s">
        <v>233</v>
      </c>
      <c r="U421" s="49"/>
      <c r="V421" s="254"/>
      <c r="W421" s="248">
        <f t="shared" ca="1" si="24"/>
        <v>-0.9</v>
      </c>
      <c r="X421" s="245">
        <f t="shared" ca="1" si="24"/>
        <v>22.7</v>
      </c>
      <c r="Y421" s="245">
        <f t="shared" ca="1" si="24"/>
        <v>-0.90000000000000013</v>
      </c>
      <c r="Z421" s="245">
        <f t="shared" ca="1" si="24"/>
        <v>1</v>
      </c>
      <c r="AA421" s="245">
        <f t="shared" ca="1" si="24"/>
        <v>-0.90000000000000013</v>
      </c>
      <c r="AB421" s="245">
        <f t="shared" ca="1" si="24"/>
        <v>0.5</v>
      </c>
      <c r="AC421" s="245">
        <f t="shared" ca="1" si="24"/>
        <v>-1</v>
      </c>
      <c r="AD421" s="249">
        <f t="shared" ca="1" si="24"/>
        <v>1</v>
      </c>
      <c r="AE421" s="82"/>
      <c r="AF421" s="45"/>
      <c r="AG421" s="45"/>
      <c r="AH421" s="45"/>
      <c r="AI421" s="45"/>
      <c r="AJ421" s="190"/>
      <c r="AK421" s="1666" t="s">
        <v>233</v>
      </c>
      <c r="AL421" s="49"/>
      <c r="AM421" s="254"/>
      <c r="AN421" s="92">
        <f>Transfer!AD224</f>
        <v>1.5192899999999998</v>
      </c>
      <c r="AO421" s="91">
        <f>100*((Transfer!AD224/Transfer!AC224)-1)</f>
        <v>-6.7222092609192208</v>
      </c>
      <c r="AP421" s="92">
        <f>Transfer!AE224</f>
        <v>1.5803364</v>
      </c>
      <c r="AQ421" s="91">
        <f>100*((Transfer!AE224/Transfer!AD224)-1)</f>
        <v>4.0180873960863339</v>
      </c>
      <c r="AR421" s="92">
        <f>Transfer!AF224</f>
        <v>1.6438448147</v>
      </c>
      <c r="AS421" s="91">
        <f>100*((Transfer!AF224/Transfer!AE224)-1)</f>
        <v>4.0186642983101484</v>
      </c>
      <c r="AT421" s="91">
        <f>Transfer!AG224</f>
        <v>1.7099114200794501</v>
      </c>
      <c r="AU421" s="243">
        <f>100*((Transfer!AG224/Transfer!AF224)-1)</f>
        <v>4.0190293383324693</v>
      </c>
      <c r="AV421" s="82"/>
      <c r="AW421" s="54"/>
      <c r="AX421" s="54"/>
      <c r="AY421" s="54"/>
      <c r="AZ421" s="54"/>
      <c r="BA421" s="1698" t="s">
        <v>941</v>
      </c>
      <c r="BB421" s="1699"/>
      <c r="BC421" s="54"/>
    </row>
    <row r="422" spans="1:55">
      <c r="A422" s="45"/>
      <c r="B422" s="1665"/>
      <c r="C422" s="1666" t="s">
        <v>234</v>
      </c>
      <c r="D422" s="2351"/>
      <c r="E422" s="2521"/>
      <c r="F422" s="2692">
        <f ca="1">SUM(Transfer!D220,Transfer!D221,Transfer!D222,Transfer!D223,Transfer!D224,Transfer!D245,Transfer!D246)</f>
        <v>11.87828</v>
      </c>
      <c r="G422" s="2453">
        <f ca="1">100*(((SUM(Transfer!D220,Transfer!D221,Transfer!D222,Transfer!D223,Transfer!D224,Transfer!D245,Transfer!D246))/(SUM(Transfer!C220,Transfer!C221,Transfer!C222,Transfer!C223,Transfer!C224,Transfer!C245,Transfer!C246)))-1)</f>
        <v>4.0171495524338185</v>
      </c>
      <c r="H422" s="2692">
        <f ca="1">SUM(Transfer!E220,Transfer!E221,Transfer!E222,Transfer!E223,Transfer!E224,Transfer!E245,Transfer!E246)</f>
        <v>12.647513900000002</v>
      </c>
      <c r="I422" s="2453">
        <f ca="1">100*(((SUM(Transfer!E220,Transfer!E221,Transfer!E222,Transfer!E223,Transfer!E224,Transfer!E245,Transfer!E246))/(SUM(Transfer!D220,Transfer!D221,Transfer!D222,Transfer!D223,Transfer!D224,Transfer!D245,Transfer!D246)))-1)</f>
        <v>6.4759704266947882</v>
      </c>
      <c r="J422" s="2692">
        <f ca="1">SUM(Transfer!F220,Transfer!F221,Transfer!F222,Transfer!F223,Transfer!F224,Transfer!F245,Transfer!F246)</f>
        <v>13.511347627588002</v>
      </c>
      <c r="K422" s="2453">
        <f ca="1">100*(((SUM(Transfer!F220,Transfer!F221,Transfer!F222,Transfer!F223,Transfer!F224,Transfer!F245,Transfer!F246))/(SUM(Transfer!E220,Transfer!E221,Transfer!E222,Transfer!E223,Transfer!E224,Transfer!E245,Transfer!E246)))-1)</f>
        <v>6.8300674299950792</v>
      </c>
      <c r="L422" s="2453">
        <f ca="1">SUM(Transfer!G220,Transfer!G221,Transfer!G222,Transfer!G223,Transfer!G224,Transfer!G245,Transfer!G246)</f>
        <v>14.244103491419231</v>
      </c>
      <c r="M422" s="2693">
        <f ca="1">100*(((SUM(Transfer!G220,Transfer!G221,Transfer!G222,Transfer!G223,Transfer!G224,Transfer!G245,Transfer!G246))/(SUM(Transfer!F220,Transfer!F221,Transfer!F222,Transfer!F223,Transfer!F224,Transfer!F245,Transfer!F246)))-1)</f>
        <v>5.4232626087945546</v>
      </c>
      <c r="N422" s="2452"/>
      <c r="O422" s="54"/>
      <c r="P422" s="54"/>
      <c r="Q422" s="54"/>
      <c r="R422" s="54"/>
      <c r="S422" s="190"/>
      <c r="T422" s="1666" t="s">
        <v>234</v>
      </c>
      <c r="U422" s="49"/>
      <c r="V422" s="384"/>
      <c r="W422" s="429">
        <f t="shared" ca="1" si="24"/>
        <v>-24.9</v>
      </c>
      <c r="X422" s="428">
        <f t="shared" ca="1" si="24"/>
        <v>2.2999999999999998</v>
      </c>
      <c r="Y422" s="428">
        <f t="shared" ca="1" si="24"/>
        <v>-25.5</v>
      </c>
      <c r="Z422" s="428">
        <f t="shared" ca="1" si="24"/>
        <v>3</v>
      </c>
      <c r="AA422" s="428">
        <f t="shared" ca="1" si="24"/>
        <v>-26.200000000000003</v>
      </c>
      <c r="AB422" s="428">
        <f t="shared" ca="1" si="24"/>
        <v>2.5999999999999996</v>
      </c>
      <c r="AC422" s="428">
        <f t="shared" ca="1" si="24"/>
        <v>-27.099999999999998</v>
      </c>
      <c r="AD422" s="431">
        <f t="shared" ca="1" si="24"/>
        <v>1.2000000000000002</v>
      </c>
      <c r="AE422" s="199"/>
      <c r="AF422" s="45"/>
      <c r="AG422" s="45"/>
      <c r="AH422" s="45"/>
      <c r="AI422" s="45"/>
      <c r="AJ422" s="190"/>
      <c r="AK422" s="1666" t="s">
        <v>234</v>
      </c>
      <c r="AL422" s="49"/>
      <c r="AM422" s="254"/>
      <c r="AN422" s="141">
        <f>SUM(Transfer!AD220,Transfer!AD221,Transfer!AD222,Transfer!AD223,Transfer!AD224,Transfer!AD245,Transfer!AD246)</f>
        <v>36.775359999999999</v>
      </c>
      <c r="AO422" s="245">
        <f>100*(((SUM(Transfer!AD220,Transfer!AD221,Transfer!AD222,Transfer!AD223,Transfer!AD224,Transfer!AD245,Transfer!AD246))/(SUM(Transfer!AC220,Transfer!AC221,Transfer!AC222,Transfer!AC223,Transfer!AC224,Transfer!AC245,Transfer!AC246)))-1)</f>
        <v>1.7092799717235652</v>
      </c>
      <c r="AP422" s="141">
        <f>SUM(Transfer!AE220,Transfer!AE221,Transfer!AE222,Transfer!AE223,Transfer!AE224,Transfer!AE245,Transfer!AE246)</f>
        <v>38.072915891099996</v>
      </c>
      <c r="AQ422" s="245">
        <f>100*(((SUM(Transfer!AE220,Transfer!AE221,Transfer!AE222,Transfer!AE223,Transfer!AE224,Transfer!AE245,Transfer!AE246))/(SUM(Transfer!AD220,Transfer!AD221,Transfer!AD222,Transfer!AD223,Transfer!AD224,Transfer!AD245,Transfer!AD246)))-1)</f>
        <v>3.5283295421173255</v>
      </c>
      <c r="AR422" s="141">
        <f>SUM(Transfer!AF220,Transfer!AF221,Transfer!AF222,Transfer!AF223,Transfer!AF224,Transfer!AF245,Transfer!AF246)</f>
        <v>39.661712472989798</v>
      </c>
      <c r="AS422" s="245">
        <f>100*(((SUM(Transfer!AF220,Transfer!AF221,Transfer!AF222,Transfer!AF223,Transfer!AF224,Transfer!AF245,Transfer!AF246))/(SUM(Transfer!AE220,Transfer!AE221,Transfer!AE222,Transfer!AE223,Transfer!AE224,Transfer!AE245,Transfer!AE246)))-1)</f>
        <v>4.1730362508462404</v>
      </c>
      <c r="AT422" s="245">
        <f>SUM(Transfer!AG220,Transfer!AG221,Transfer!AG222,Transfer!AG223,Transfer!AG224,Transfer!AG245,Transfer!AG246)</f>
        <v>41.321202924833742</v>
      </c>
      <c r="AU422" s="249">
        <f>100*(((SUM(Transfer!AG220,Transfer!AG221,Transfer!AG222,Transfer!AG223,Transfer!AG224,Transfer!AG245,Transfer!AG246))/(SUM(Transfer!AF220,Transfer!AF221,Transfer!AF222,Transfer!AF223,Transfer!AF224,Transfer!AF245,Transfer!AF246)))-1)</f>
        <v>4.1841119517319836</v>
      </c>
      <c r="AV422" s="199"/>
      <c r="AW422" s="54"/>
      <c r="AX422" s="54"/>
      <c r="AY422" s="54"/>
      <c r="AZ422" s="54"/>
      <c r="BA422" s="1698" t="s">
        <v>612</v>
      </c>
      <c r="BB422" s="1699"/>
      <c r="BC422" s="54"/>
    </row>
    <row r="423" spans="1:55">
      <c r="A423" s="45"/>
      <c r="B423" s="1665"/>
      <c r="C423" s="2384" t="s">
        <v>1200</v>
      </c>
      <c r="D423" s="2343"/>
      <c r="E423" s="2645" t="s">
        <v>1603</v>
      </c>
      <c r="F423" s="2450">
        <f ca="1">SUM(Transfer!D213,Transfer!D214,Transfer!D215,Transfer!D217,Transfer!D243)-SUM(Transfer!D220,Transfer!D221,Transfer!D222,Transfer!D223,Transfer!D224,Transfer!D245,Transfer!D246)</f>
        <v>1.1381400000000035</v>
      </c>
      <c r="G423" s="2729">
        <f ca="1">100*((SUM(Transfer!D213,Transfer!D214,Transfer!D215,Transfer!D217,Transfer!D243)-SUM(Transfer!D220,Transfer!D221,Transfer!D222,Transfer!D223,Transfer!D224,Transfer!D245,Transfer!D246))/(SUM(Transfer!C213,Transfer!C214,Transfer!C215,Transfer!C217,Transfer!C243)-SUM(Transfer!C220,Transfer!C221,Transfer!C222,Transfer!C223,Transfer!C224,Transfer!C245,Transfer!C246))-1)</f>
        <v>33.079990178080784</v>
      </c>
      <c r="H423" s="3340">
        <f ca="1">SUM(Transfer!E213,Transfer!E214,Transfer!E215,Transfer!E217,Transfer!E243)-SUM(Transfer!E220,Transfer!E221,Transfer!E222,Transfer!E223,Transfer!E224,Transfer!E245,Transfer!E246)</f>
        <v>1.5677643227806328</v>
      </c>
      <c r="I423" s="2729">
        <f ca="1">100*((SUM(Transfer!E213,Transfer!E214,Transfer!E215,Transfer!E217,Transfer!E243)-SUM(Transfer!E220,Transfer!E221,Transfer!E222,Transfer!E223,Transfer!E224,Transfer!E245,Transfer!E246))/(SUM(Transfer!D213,Transfer!D214,Transfer!D215,Transfer!D217,Transfer!D243)-SUM(Transfer!D220,Transfer!D221,Transfer!D222,Transfer!D223,Transfer!D224,Transfer!D245,Transfer!D246))-1)</f>
        <v>37.747932836085909</v>
      </c>
      <c r="J423" s="2450">
        <f ca="1">SUM(Transfer!F213,Transfer!F214,Transfer!F215,Transfer!F217,Transfer!F243)-SUM(Transfer!F220,Transfer!F221,Transfer!F222,Transfer!F223,Transfer!F224,Transfer!F245,Transfer!F246)</f>
        <v>1.5498925334781468</v>
      </c>
      <c r="K423" s="2729">
        <f ca="1">100*((SUM(Transfer!F213,Transfer!F214,Transfer!F215,Transfer!F217,Transfer!F243)-SUM(Transfer!F220,Transfer!F221,Transfer!F222,Transfer!F223,Transfer!F224,Transfer!F245,Transfer!F246))/(SUM(Transfer!E213,Transfer!E214,Transfer!E215,Transfer!E217,Transfer!E243)-SUM(Transfer!E220,Transfer!E221,Transfer!E222,Transfer!E223,Transfer!E224,Transfer!E245,Transfer!E246))-1)</f>
        <v>-1.1399538210429494</v>
      </c>
      <c r="L423" s="2450">
        <f ca="1">SUM(Transfer!G213,Transfer!G214,Transfer!G215,Transfer!G217,Transfer!G243)-SUM(Transfer!G220,Transfer!G221,Transfer!G222,Transfer!G223,Transfer!G224,Transfer!G245,Transfer!G246)</f>
        <v>1.656703612935063</v>
      </c>
      <c r="M423" s="2730">
        <f ca="1">100*((SUM(Transfer!G213,Transfer!G214,Transfer!G215,Transfer!G217,Transfer!G243)-SUM(Transfer!G220,Transfer!G221,Transfer!G222,Transfer!G223,Transfer!G224,Transfer!G245,Transfer!G246))/(SUM(Transfer!F213,Transfer!F214,Transfer!F215,Transfer!F217,Transfer!F243)-SUM(Transfer!F220,Transfer!F221,Transfer!F222,Transfer!F223,Transfer!F224,Transfer!F245,Transfer!F246))-1)</f>
        <v>6.8915151953935272</v>
      </c>
      <c r="N423" s="2731"/>
      <c r="O423" s="54"/>
      <c r="P423" s="54"/>
      <c r="Q423" s="54"/>
      <c r="R423" s="54"/>
      <c r="S423" s="190"/>
      <c r="T423" s="2384" t="s">
        <v>1200</v>
      </c>
      <c r="U423" s="100"/>
      <c r="V423" s="2321" t="s">
        <v>1603</v>
      </c>
      <c r="W423" s="2019">
        <f t="shared" ref="W423:AD427" ca="1" si="25">ROUND(F423,1)-ROUND(AN423,1)</f>
        <v>2.9000000000000004</v>
      </c>
      <c r="X423" s="2020">
        <f t="shared" ca="1" si="25"/>
        <v>74.800000000000011</v>
      </c>
      <c r="Y423" s="2020">
        <f t="shared" ca="1" si="25"/>
        <v>3</v>
      </c>
      <c r="Z423" s="2020">
        <f t="shared" ca="1" si="25"/>
        <v>62.2</v>
      </c>
      <c r="AA423" s="2020">
        <f t="shared" ca="1" si="25"/>
        <v>2.7</v>
      </c>
      <c r="AB423" s="2020">
        <f t="shared" ca="1" si="25"/>
        <v>10</v>
      </c>
      <c r="AC423" s="2020">
        <f t="shared" ca="1" si="25"/>
        <v>2.4</v>
      </c>
      <c r="AD423" s="2338">
        <f t="shared" ca="1" si="25"/>
        <v>48.6</v>
      </c>
      <c r="AE423" s="468"/>
      <c r="AF423" s="45"/>
      <c r="AG423" s="45"/>
      <c r="AH423" s="45"/>
      <c r="AI423" s="45"/>
      <c r="AJ423" s="190"/>
      <c r="AK423" s="2384" t="s">
        <v>1200</v>
      </c>
      <c r="AL423" s="100"/>
      <c r="AM423" s="2321" t="s">
        <v>1603</v>
      </c>
      <c r="AN423" s="2020">
        <f>SUM(Transfer!AD213,Transfer!AD214,Transfer!AD215,Transfer!AD217,Transfer!AD243)-SUM(Transfer!AD220,Transfer!AD221,Transfer!AD222,Transfer!AD223,Transfer!AD224,Transfer!AD245,Transfer!AD246)</f>
        <v>-1.8067199999999985</v>
      </c>
      <c r="AO423" s="2334">
        <f>100*((SUM(Transfer!AD213,Transfer!AD214,Transfer!AD215,Transfer!AD217,Transfer!AD243)-SUM(Transfer!AD220,Transfer!AD221,Transfer!AD222,Transfer!AD223,Transfer!AD224,Transfer!AD245,Transfer!AD246))/(SUM(Transfer!AC213,Transfer!AC214,Transfer!AC215,Transfer!AC217,Transfer!AC243)-SUM(Transfer!AC220,Transfer!AC221,Transfer!AC222,Transfer!AC223,Transfer!AC224,Transfer!AC245,Transfer!AC246))-1)</f>
        <v>-41.703477360213526</v>
      </c>
      <c r="AP423" s="2020">
        <f>SUM(Transfer!AE213,Transfer!AE214,Transfer!AE215,Transfer!AE217,Transfer!AE243)-SUM(Transfer!AE220,Transfer!AE221,Transfer!AE222,Transfer!AE223,Transfer!AE224,Transfer!AE245,Transfer!AE246)</f>
        <v>-1.3635370410999954</v>
      </c>
      <c r="AQ423" s="2334">
        <f>100*((SUM(Transfer!AE213,Transfer!AE214,Transfer!AE215,Transfer!AE217,Transfer!AE243)-SUM(Transfer!AE220,Transfer!AE221,Transfer!AE222,Transfer!AE223,Transfer!AE224,Transfer!AE245,Transfer!AE246))/(SUM(Transfer!AD213,Transfer!AD214,Transfer!AD215,Transfer!AD217,Transfer!AD243)-SUM(Transfer!AD220,Transfer!AD221,Transfer!AD222,Transfer!AD223,Transfer!AD224,Transfer!AD245,Transfer!AD246))-1)</f>
        <v>-24.529697955411102</v>
      </c>
      <c r="AR423" s="2020">
        <f>SUM(Transfer!AF213,Transfer!AF214,Transfer!AF215,Transfer!AF217,Transfer!AF243)-SUM(Transfer!AF220,Transfer!AF221,Transfer!AF222,Transfer!AF223,Transfer!AF224,Transfer!AF245,Transfer!AF246)</f>
        <v>-1.2123237926398005</v>
      </c>
      <c r="AS423" s="2334">
        <f>100*((SUM(Transfer!AF213,Transfer!AF214,Transfer!AF215,Transfer!AF217,Transfer!AF243)-SUM(Transfer!AF220,Transfer!AF221,Transfer!AF222,Transfer!AF223,Transfer!AF224,Transfer!AF245,Transfer!AF246))/(SUM(Transfer!AE213,Transfer!AE214,Transfer!AE215,Transfer!AE217,Transfer!AE243)-SUM(Transfer!AE220,Transfer!AE221,Transfer!AE222,Transfer!AE223,Transfer!AE224,Transfer!AE245,Transfer!AE246))-1)</f>
        <v>-11.089779294752988</v>
      </c>
      <c r="AT423" s="2020">
        <f>SUM(Transfer!AG213,Transfer!AG214,Transfer!AG215,Transfer!AG217,Transfer!AG243)-SUM(Transfer!AG220,Transfer!AG221,Transfer!AG222,Transfer!AG223,Transfer!AG224,Transfer!AG245,Transfer!AG246)</f>
        <v>-0.70648621924903665</v>
      </c>
      <c r="AU423" s="2335">
        <f>100*((SUM(Transfer!AG213,Transfer!AG214,Transfer!AG215,Transfer!AG217,Transfer!AG243)-SUM(Transfer!AG220,Transfer!AG221,Transfer!AG222,Transfer!AG223,Transfer!AG224,Transfer!AG245,Transfer!AG246))/(SUM(Transfer!AF213,Transfer!AF214,Transfer!AF215,Transfer!AF217,Transfer!AF243)-SUM(Transfer!AF220,Transfer!AF221,Transfer!AF222,Transfer!AF223,Transfer!AF224,Transfer!AF245,Transfer!AF246))-1)</f>
        <v>-41.724626412661337</v>
      </c>
      <c r="AV423" s="468"/>
      <c r="AW423" s="54"/>
      <c r="AX423" s="54"/>
      <c r="AY423" s="54"/>
      <c r="AZ423" s="54"/>
      <c r="BA423" s="1700" t="s">
        <v>125</v>
      </c>
      <c r="BB423" s="1699"/>
      <c r="BC423" s="54"/>
    </row>
    <row r="424" spans="1:55">
      <c r="A424" s="45"/>
      <c r="B424" s="1665"/>
      <c r="C424" s="2463" t="s">
        <v>1459</v>
      </c>
      <c r="D424" s="2464"/>
      <c r="E424" s="2537"/>
      <c r="F424" s="2458">
        <f ca="1">100*(SUM(Transfer!D213,Transfer!D214,Transfer!D215,Transfer!D217,Transfer!D243)-SUM(Transfer!D220,Transfer!D221,Transfer!D222,Transfer!D223,Transfer!D224,Transfer!D245,Transfer!D246))/Transfer!D147</f>
        <v>2.9433396640971301</v>
      </c>
      <c r="G424" s="2458"/>
      <c r="H424" s="2732">
        <f ca="1">100*(SUM(Transfer!E213,Transfer!E214,Transfer!E215,Transfer!E217,Transfer!E243)-SUM(Transfer!E220,Transfer!E221,Transfer!E222,Transfer!E223,Transfer!E224,Transfer!E245,Transfer!E246))/Transfer!E147</f>
        <v>3.7524641558118375</v>
      </c>
      <c r="I424" s="2732"/>
      <c r="J424" s="2732">
        <f ca="1">100*(SUM(Transfer!F213,Transfer!F214,Transfer!F215,Transfer!F217,Transfer!F243)-SUM(Transfer!F220,Transfer!F221,Transfer!F222,Transfer!F223,Transfer!F224,Transfer!F245,Transfer!F246))/Transfer!F147</f>
        <v>3.5056274630868511</v>
      </c>
      <c r="K424" s="2732"/>
      <c r="L424" s="2732">
        <f ca="1">100*(SUM(Transfer!G213,Transfer!G214,Transfer!G215,Transfer!G217,Transfer!G243)-SUM(Transfer!G220,Transfer!G221,Transfer!G222,Transfer!G223,Transfer!G224,Transfer!G245,Transfer!G246))/Transfer!G147</f>
        <v>3.5493502941941713</v>
      </c>
      <c r="M424" s="2733"/>
      <c r="N424" s="2731"/>
      <c r="O424" s="54"/>
      <c r="P424" s="54"/>
      <c r="Q424" s="54"/>
      <c r="R424" s="54"/>
      <c r="S424" s="190"/>
      <c r="T424" s="2463" t="s">
        <v>1459</v>
      </c>
      <c r="U424" s="1704"/>
      <c r="V424" s="384"/>
      <c r="W424" s="429">
        <f t="shared" ca="1" si="25"/>
        <v>4.5</v>
      </c>
      <c r="X424" s="428">
        <f t="shared" si="25"/>
        <v>0</v>
      </c>
      <c r="Y424" s="428">
        <f t="shared" ca="1" si="25"/>
        <v>4.9000000000000004</v>
      </c>
      <c r="Z424" s="428">
        <f t="shared" si="25"/>
        <v>0</v>
      </c>
      <c r="AA424" s="428">
        <f t="shared" ca="1" si="25"/>
        <v>4.5</v>
      </c>
      <c r="AB424" s="428">
        <f t="shared" si="25"/>
        <v>0</v>
      </c>
      <c r="AC424" s="428">
        <f t="shared" ca="1" si="25"/>
        <v>4</v>
      </c>
      <c r="AD424" s="431">
        <f t="shared" si="25"/>
        <v>0</v>
      </c>
      <c r="AE424" s="468"/>
      <c r="AF424" s="45"/>
      <c r="AG424" s="45"/>
      <c r="AH424" s="45"/>
      <c r="AI424" s="45"/>
      <c r="AJ424" s="190"/>
      <c r="AK424" s="2463" t="s">
        <v>1459</v>
      </c>
      <c r="AL424" s="1704"/>
      <c r="AM424" s="433"/>
      <c r="AN424" s="443">
        <f>100*(SUM(Transfer!AD213,Transfer!AD214,Transfer!AD215,Transfer!AD217,Transfer!AD243)-SUM(Transfer!AD220,Transfer!AD221,Transfer!AD222,Transfer!AD223,Transfer!AD224,Transfer!AD245,Transfer!AD246))/Transfer!AD147</f>
        <v>-1.5885389419412004</v>
      </c>
      <c r="AO424" s="443"/>
      <c r="AP424" s="2336">
        <f>100*(SUM(Transfer!AE213,Transfer!AE214,Transfer!AE215,Transfer!AE217,Transfer!AE243)-SUM(Transfer!AE220,Transfer!AE221,Transfer!AE222,Transfer!AE223,Transfer!AE224,Transfer!AE245,Transfer!AE246))/Transfer!AE147</f>
        <v>-1.1359044862048029</v>
      </c>
      <c r="AQ424" s="2336"/>
      <c r="AR424" s="2336">
        <f>100*(SUM(Transfer!AF213,Transfer!AF214,Transfer!AF215,Transfer!AF217,Transfer!AF243)-SUM(Transfer!AF220,Transfer!AF221,Transfer!AF222,Transfer!AF223,Transfer!AF224,Transfer!AF245,Transfer!AF246))/Transfer!AF147</f>
        <v>-0.95135403608998537</v>
      </c>
      <c r="AS424" s="2336"/>
      <c r="AT424" s="2336">
        <f>100*(SUM(Transfer!AG213,Transfer!AG214,Transfer!AG215,Transfer!AG217,Transfer!AG243)-SUM(Transfer!AG220,Transfer!AG221,Transfer!AG222,Transfer!AG223,Transfer!AG224,Transfer!AG245,Transfer!AG246))/Transfer!AG147</f>
        <v>-0.51909404467521802</v>
      </c>
      <c r="AU424" s="2337"/>
      <c r="AV424" s="468"/>
      <c r="AW424" s="54"/>
      <c r="AX424" s="54"/>
      <c r="AY424" s="54"/>
      <c r="AZ424" s="54"/>
      <c r="BA424" s="1700" t="s">
        <v>303</v>
      </c>
      <c r="BB424" s="1699"/>
      <c r="BC424" s="54"/>
    </row>
    <row r="425" spans="1:55">
      <c r="A425" s="45"/>
      <c r="B425" s="1665"/>
      <c r="C425" s="2384" t="s">
        <v>1456</v>
      </c>
      <c r="D425" s="2343"/>
      <c r="E425" s="2645" t="s">
        <v>1369</v>
      </c>
      <c r="F425" s="2726">
        <f ca="1">Transfer!D225</f>
        <v>0.31355</v>
      </c>
      <c r="G425" s="2450">
        <f ca="1">100*((Transfer!D225/Transfer!C225)-1)</f>
        <v>-54.643425430348614</v>
      </c>
      <c r="H425" s="2726">
        <f ca="1">Transfer!E225</f>
        <v>0.30702419999999997</v>
      </c>
      <c r="I425" s="2734">
        <f ca="1">100*((Transfer!E225/Transfer!D225)-1)</f>
        <v>-2.0812629564662788</v>
      </c>
      <c r="J425" s="2726">
        <f ca="1">Transfer!F225</f>
        <v>0.35818647199999992</v>
      </c>
      <c r="K425" s="2734">
        <f ca="1">100*((Transfer!F225/Transfer!E225)-1)</f>
        <v>16.663921606179557</v>
      </c>
      <c r="L425" s="2450">
        <f ca="1">Transfer!G225</f>
        <v>0.36560500143999991</v>
      </c>
      <c r="M425" s="2735">
        <f ca="1">100*((Transfer!G225/Transfer!F225)-1)</f>
        <v>2.0711361315733923</v>
      </c>
      <c r="N425" s="2731"/>
      <c r="O425" s="54"/>
      <c r="P425" s="54"/>
      <c r="Q425" s="54"/>
      <c r="R425" s="54"/>
      <c r="S425" s="190"/>
      <c r="T425" s="2384" t="s">
        <v>1456</v>
      </c>
      <c r="U425" s="100"/>
      <c r="V425" s="2321" t="s">
        <v>1369</v>
      </c>
      <c r="W425" s="2019">
        <f t="shared" ca="1" si="25"/>
        <v>-1.9000000000000001</v>
      </c>
      <c r="X425" s="2020">
        <f t="shared" ca="1" si="25"/>
        <v>-47.7</v>
      </c>
      <c r="Y425" s="2020">
        <f t="shared" ca="1" si="25"/>
        <v>-1.9999999999999998</v>
      </c>
      <c r="Z425" s="2020">
        <f t="shared" ca="1" si="25"/>
        <v>-6.1999999999999993</v>
      </c>
      <c r="AA425" s="2020">
        <f t="shared" ca="1" si="25"/>
        <v>-2</v>
      </c>
      <c r="AB425" s="2020">
        <f t="shared" ca="1" si="25"/>
        <v>14.7</v>
      </c>
      <c r="AC425" s="2020">
        <f t="shared" ca="1" si="25"/>
        <v>-2</v>
      </c>
      <c r="AD425" s="2338">
        <f t="shared" ca="1" si="25"/>
        <v>0.10000000000000009</v>
      </c>
      <c r="AE425" s="468"/>
      <c r="AF425" s="45"/>
      <c r="AG425" s="45"/>
      <c r="AH425" s="45"/>
      <c r="AI425" s="45"/>
      <c r="AJ425" s="190"/>
      <c r="AK425" s="2384" t="s">
        <v>1456</v>
      </c>
      <c r="AL425" s="100"/>
      <c r="AM425" s="2321" t="s">
        <v>1369</v>
      </c>
      <c r="AN425" s="2309">
        <f>Transfer!AD225</f>
        <v>2.2450199999999998</v>
      </c>
      <c r="AO425" s="2020">
        <f>100*((Transfer!AD225/Transfer!AC225)-1)</f>
        <v>-6.8522137442587061</v>
      </c>
      <c r="AP425" s="2309">
        <f>Transfer!AE225</f>
        <v>2.3366051999999997</v>
      </c>
      <c r="AQ425" s="2324">
        <f>100*((Transfer!AE225/Transfer!AD225)-1)</f>
        <v>4.0794825881283803</v>
      </c>
      <c r="AR425" s="2309">
        <f>Transfer!AF225</f>
        <v>2.3842295039999999</v>
      </c>
      <c r="AS425" s="2324">
        <f>100*((Transfer!AF225/Transfer!AE225)-1)</f>
        <v>2.038183600721255</v>
      </c>
      <c r="AT425" s="2020">
        <f>Transfer!AG225</f>
        <v>2.4328062940799997</v>
      </c>
      <c r="AU425" s="2325">
        <f>100*((Transfer!AG225/Transfer!AF225)-1)</f>
        <v>2.0374208941925653</v>
      </c>
      <c r="AV425" s="468"/>
      <c r="AW425" s="54"/>
      <c r="AX425" s="54"/>
      <c r="AY425" s="54"/>
      <c r="AZ425" s="54"/>
      <c r="BA425" s="1698" t="s">
        <v>1370</v>
      </c>
      <c r="BB425" s="1699"/>
      <c r="BC425" s="54"/>
    </row>
    <row r="426" spans="1:55">
      <c r="A426" s="45"/>
      <c r="B426" s="1665"/>
      <c r="C426" s="1666" t="s">
        <v>1457</v>
      </c>
      <c r="D426" s="2351"/>
      <c r="E426" s="2521" t="s">
        <v>1836</v>
      </c>
      <c r="F426" s="2692">
        <f ca="1">Transfer!D226</f>
        <v>1.1535899999999999</v>
      </c>
      <c r="G426" s="2453">
        <f ca="1">100*((Transfer!D226/Transfer!C226)-1)</f>
        <v>-16.072636794203021</v>
      </c>
      <c r="H426" s="2692">
        <f ca="1">Transfer!E226</f>
        <v>1.2369138056999998</v>
      </c>
      <c r="I426" s="2453">
        <f ca="1">100*((Transfer!E226/Transfer!D226)-1)</f>
        <v>7.2229999999999794</v>
      </c>
      <c r="J426" s="2692">
        <f ca="1">Transfer!F226</f>
        <v>1.3547941652108211</v>
      </c>
      <c r="K426" s="2453">
        <f ca="1">100*((Transfer!F226/Transfer!E226)-1)</f>
        <v>9.5302000000000007</v>
      </c>
      <c r="L426" s="2453">
        <f ca="1">Transfer!G226</f>
        <v>1.4582326997246671</v>
      </c>
      <c r="M426" s="2454">
        <f ca="1">100*((Transfer!G226/Transfer!F226)-1)</f>
        <v>7.6349999999999918</v>
      </c>
      <c r="N426" s="2452"/>
      <c r="O426" s="54"/>
      <c r="P426" s="54"/>
      <c r="Q426" s="54"/>
      <c r="R426" s="54"/>
      <c r="S426" s="190"/>
      <c r="T426" s="1666" t="s">
        <v>1457</v>
      </c>
      <c r="U426" s="49"/>
      <c r="V426" s="254" t="s">
        <v>1836</v>
      </c>
      <c r="W426" s="248">
        <f t="shared" ca="1" si="25"/>
        <v>-3</v>
      </c>
      <c r="X426" s="245">
        <f t="shared" ca="1" si="25"/>
        <v>-5.7000000000000011</v>
      </c>
      <c r="Y426" s="245">
        <f t="shared" ca="1" si="25"/>
        <v>-3</v>
      </c>
      <c r="Z426" s="245">
        <f t="shared" ca="1" si="25"/>
        <v>5.5</v>
      </c>
      <c r="AA426" s="245">
        <f t="shared" ca="1" si="25"/>
        <v>-3.0000000000000004</v>
      </c>
      <c r="AB426" s="245">
        <f t="shared" ca="1" si="25"/>
        <v>5.5</v>
      </c>
      <c r="AC426" s="245">
        <f t="shared" ca="1" si="25"/>
        <v>-3.0999999999999996</v>
      </c>
      <c r="AD426" s="249">
        <f t="shared" ca="1" si="25"/>
        <v>3.5999999999999996</v>
      </c>
      <c r="AE426" s="199"/>
      <c r="AF426" s="45"/>
      <c r="AG426" s="45"/>
      <c r="AH426" s="45"/>
      <c r="AI426" s="45"/>
      <c r="AJ426" s="190"/>
      <c r="AK426" s="1666" t="s">
        <v>1457</v>
      </c>
      <c r="AL426" s="49"/>
      <c r="AM426" s="254" t="s">
        <v>1836</v>
      </c>
      <c r="AN426" s="141">
        <f>Transfer!AD226</f>
        <v>4.1732399999999998</v>
      </c>
      <c r="AO426" s="245">
        <f>100*((Transfer!AD226/Transfer!AC226)-1)</f>
        <v>-10.39684635649828</v>
      </c>
      <c r="AP426" s="141">
        <f>Transfer!AE226</f>
        <v>4.2425586068061198</v>
      </c>
      <c r="AQ426" s="245">
        <f>100*((Transfer!AE226/Transfer!AD226)-1)</f>
        <v>1.6610261285265215</v>
      </c>
      <c r="AR426" s="141">
        <f>Transfer!AF226</f>
        <v>4.4135337186604069</v>
      </c>
      <c r="AS426" s="245">
        <f>100*((Transfer!AF226/Transfer!AE226)-1)</f>
        <v>4.03</v>
      </c>
      <c r="AT426" s="245">
        <f>Transfer!AG226</f>
        <v>4.5913991275224211</v>
      </c>
      <c r="AU426" s="320">
        <f>100*((Transfer!AG226/Transfer!AF226)-1)</f>
        <v>4.03</v>
      </c>
      <c r="AV426" s="199"/>
      <c r="AW426" s="54"/>
      <c r="AX426" s="54"/>
      <c r="AY426" s="54"/>
      <c r="AZ426" s="54"/>
      <c r="BA426" s="1698" t="s">
        <v>126</v>
      </c>
      <c r="BB426" s="1699"/>
      <c r="BC426" s="54"/>
    </row>
    <row r="427" spans="1:55" ht="13.5" thickBot="1">
      <c r="A427" s="45"/>
      <c r="B427" s="1665"/>
      <c r="C427" s="2395" t="s">
        <v>1458</v>
      </c>
      <c r="D427" s="2736"/>
      <c r="E427" s="2737"/>
      <c r="F427" s="2738">
        <f ca="1">Transfer!D227</f>
        <v>0.19511999999999999</v>
      </c>
      <c r="G427" s="2630">
        <f ca="1">100*((Transfer!D227/Transfer!C227)-1)</f>
        <v>-25.98717900087243</v>
      </c>
      <c r="H427" s="3339">
        <f ca="1">Transfer!E227</f>
        <v>0.30395159999999999</v>
      </c>
      <c r="I427" s="2630">
        <f ca="1">100*((Transfer!E227/Transfer!D227)-1)</f>
        <v>55.776752767527668</v>
      </c>
      <c r="J427" s="2738">
        <f ca="1">Transfer!F227</f>
        <v>0.22980715199999996</v>
      </c>
      <c r="K427" s="2630">
        <f ca="1">100*((Transfer!F227/Transfer!E227)-1)</f>
        <v>-24.393504755362382</v>
      </c>
      <c r="L427" s="2630">
        <f ca="1">Transfer!G227</f>
        <v>0.22980715199999996</v>
      </c>
      <c r="M427" s="2739">
        <f ca="1">100*((Transfer!G227/Transfer!F227)-1)</f>
        <v>0</v>
      </c>
      <c r="N427" s="2452"/>
      <c r="O427" s="54"/>
      <c r="P427" s="54"/>
      <c r="Q427" s="54"/>
      <c r="R427" s="54"/>
      <c r="S427" s="190"/>
      <c r="T427" s="2395" t="s">
        <v>1458</v>
      </c>
      <c r="U427" s="49"/>
      <c r="V427" s="254"/>
      <c r="W427" s="248">
        <f t="shared" ca="1" si="25"/>
        <v>0.1</v>
      </c>
      <c r="X427" s="245">
        <f t="shared" ca="1" si="25"/>
        <v>60.599999999999994</v>
      </c>
      <c r="Y427" s="245">
        <f t="shared" ca="1" si="25"/>
        <v>0</v>
      </c>
      <c r="Z427" s="245">
        <f t="shared" ca="1" si="25"/>
        <v>-291.09999999999997</v>
      </c>
      <c r="AA427" s="245">
        <f t="shared" ca="1" si="25"/>
        <v>-9.9999999999999978E-2</v>
      </c>
      <c r="AB427" s="245">
        <f t="shared" ca="1" si="25"/>
        <v>-19.599999999999998</v>
      </c>
      <c r="AC427" s="245">
        <f t="shared" ca="1" si="25"/>
        <v>-9.9999999999999978E-2</v>
      </c>
      <c r="AD427" s="249">
        <f t="shared" ca="1" si="25"/>
        <v>4.8</v>
      </c>
      <c r="AE427" s="199"/>
      <c r="AF427" s="45"/>
      <c r="AG427" s="45"/>
      <c r="AH427" s="45"/>
      <c r="AI427" s="45"/>
      <c r="AJ427" s="190"/>
      <c r="AK427" s="2395" t="s">
        <v>1458</v>
      </c>
      <c r="AL427" s="183"/>
      <c r="AM427" s="386"/>
      <c r="AN427" s="469">
        <f>Transfer!AD227</f>
        <v>7.1149999999999936E-2</v>
      </c>
      <c r="AO427" s="470">
        <f>100*((Transfer!AD227/Transfer!AC227)-1)</f>
        <v>-86.570910875391661</v>
      </c>
      <c r="AP427" s="469">
        <f>Transfer!AE227</f>
        <v>0.31798149999999997</v>
      </c>
      <c r="AQ427" s="470">
        <f>100*((Transfer!AE227/Transfer!AD227)-1)</f>
        <v>346.91707659873543</v>
      </c>
      <c r="AR427" s="469">
        <f>Transfer!AF227</f>
        <v>0.30281142499999997</v>
      </c>
      <c r="AS427" s="470">
        <f>100*((Transfer!AF227/Transfer!AE227)-1)</f>
        <v>-4.7707413796085678</v>
      </c>
      <c r="AT427" s="470">
        <f>Transfer!AG227</f>
        <v>0.28839985374999993</v>
      </c>
      <c r="AU427" s="471">
        <f>100*((Transfer!AG227/Transfer!AF227)-1)</f>
        <v>-4.7592561112910552</v>
      </c>
      <c r="AV427" s="199"/>
      <c r="AW427" s="54"/>
      <c r="AX427" s="54"/>
      <c r="AY427" s="54"/>
      <c r="AZ427" s="54"/>
      <c r="BA427" s="1698" t="s">
        <v>1371</v>
      </c>
      <c r="BB427" s="1699"/>
      <c r="BC427" s="54"/>
    </row>
    <row r="428" spans="1:55" ht="13.5" thickBot="1">
      <c r="A428" s="45"/>
      <c r="B428" s="1665"/>
      <c r="C428" s="1666"/>
      <c r="D428" s="2351"/>
      <c r="E428" s="2521"/>
      <c r="F428" s="2692"/>
      <c r="G428" s="2740" t="s">
        <v>1372</v>
      </c>
      <c r="H428" s="2692"/>
      <c r="I428" s="2740" t="s">
        <v>1372</v>
      </c>
      <c r="J428" s="2692"/>
      <c r="K428" s="2740" t="s">
        <v>1372</v>
      </c>
      <c r="L428" s="2692"/>
      <c r="M428" s="2741" t="s">
        <v>1372</v>
      </c>
      <c r="N428" s="2460"/>
      <c r="O428" s="54"/>
      <c r="P428" s="54"/>
      <c r="Q428" s="54"/>
      <c r="R428" s="54"/>
      <c r="S428" s="190"/>
      <c r="T428" s="1666"/>
      <c r="U428" s="479"/>
      <c r="V428" s="483"/>
      <c r="W428" s="481"/>
      <c r="X428" s="2330" t="s">
        <v>1372</v>
      </c>
      <c r="Y428" s="481"/>
      <c r="Z428" s="2330" t="s">
        <v>1372</v>
      </c>
      <c r="AA428" s="481"/>
      <c r="AB428" s="2330" t="s">
        <v>1372</v>
      </c>
      <c r="AC428" s="481"/>
      <c r="AD428" s="473" t="s">
        <v>1372</v>
      </c>
      <c r="AE428" s="442"/>
      <c r="AF428" s="45"/>
      <c r="AG428" s="45"/>
      <c r="AH428" s="45"/>
      <c r="AI428" s="45"/>
      <c r="AJ428" s="190"/>
      <c r="AK428" s="1666"/>
      <c r="AL428" s="49"/>
      <c r="AM428" s="254"/>
      <c r="AN428" s="141"/>
      <c r="AO428" s="472" t="s">
        <v>1372</v>
      </c>
      <c r="AP428" s="141"/>
      <c r="AQ428" s="472" t="s">
        <v>1372</v>
      </c>
      <c r="AR428" s="141"/>
      <c r="AS428" s="472" t="s">
        <v>1372</v>
      </c>
      <c r="AT428" s="141"/>
      <c r="AU428" s="473" t="s">
        <v>1372</v>
      </c>
      <c r="AV428" s="442"/>
      <c r="AW428" s="54"/>
      <c r="AX428" s="54"/>
      <c r="AY428" s="54"/>
      <c r="AZ428" s="54"/>
      <c r="BA428" s="1700" t="s">
        <v>1345</v>
      </c>
      <c r="BB428" s="1699"/>
      <c r="BC428" s="54"/>
    </row>
    <row r="429" spans="1:55">
      <c r="A429" s="45"/>
      <c r="B429" s="1665"/>
      <c r="C429" s="2742" t="s">
        <v>372</v>
      </c>
      <c r="D429" s="2743"/>
      <c r="E429" s="2404" t="s">
        <v>602</v>
      </c>
      <c r="F429" s="2744">
        <f ca="1">SUM(Transfer!D213,Transfer!D214,Transfer!D215,Transfer!D217,Transfer!D243,Transfer!D225)</f>
        <v>13.329970000000003</v>
      </c>
      <c r="G429" s="2745">
        <f ca="1">100*(SUM(Transfer!D213,Transfer!D214,Transfer!D215,Transfer!D217,Transfer!D243,Transfer!D225))/Transfer!D147</f>
        <v>34.472586344583895</v>
      </c>
      <c r="H429" s="3284">
        <f ca="1">SUM(Transfer!E213,Transfer!E214,Transfer!E215,Transfer!E217,Transfer!E243,Transfer!E225)</f>
        <v>14.522302422780635</v>
      </c>
      <c r="I429" s="2745">
        <f ca="1">100*(SUM(Transfer!E213,Transfer!E214,Transfer!E215,Transfer!E217,Transfer!E243,Transfer!E225))/Transfer!E147</f>
        <v>34.759318418913146</v>
      </c>
      <c r="J429" s="3284">
        <f ca="1">SUM(Transfer!F213,Transfer!F214,Transfer!F215,Transfer!F217,Transfer!F243,Transfer!F225)</f>
        <v>15.419426633066148</v>
      </c>
      <c r="K429" s="2745">
        <f ca="1">100*(SUM(Transfer!F213,Transfer!F214,Transfer!F215,Transfer!F217,Transfer!F243,Transfer!F225))/Transfer!F147</f>
        <v>34.876460336655768</v>
      </c>
      <c r="L429" s="3284">
        <f ca="1">SUM(Transfer!G213,Transfer!G214,Transfer!G215,Transfer!G217,Transfer!G243,Transfer!G225)</f>
        <v>16.266412105794295</v>
      </c>
      <c r="M429" s="3321">
        <f ca="1">100*(SUM(Transfer!G213,Transfer!G214,Transfer!G215,Transfer!G217,Transfer!G243,Transfer!G225))/Transfer!G147</f>
        <v>34.84944086703554</v>
      </c>
      <c r="N429" s="2460"/>
      <c r="O429" s="54"/>
      <c r="P429" s="54"/>
      <c r="Q429" s="54"/>
      <c r="R429" s="54"/>
      <c r="S429" s="190"/>
      <c r="T429" s="2742" t="s">
        <v>372</v>
      </c>
      <c r="U429" s="104"/>
      <c r="V429" s="423" t="s">
        <v>602</v>
      </c>
      <c r="W429" s="248">
        <f t="shared" ref="W429:AD433" ca="1" si="26">ROUND(F429,1)-ROUND(AN429,1)</f>
        <v>-23.900000000000002</v>
      </c>
      <c r="X429" s="245">
        <f t="shared" ca="1" si="26"/>
        <v>1.7999999999999972</v>
      </c>
      <c r="Y429" s="245">
        <f t="shared" ca="1" si="26"/>
        <v>-24.5</v>
      </c>
      <c r="Z429" s="245">
        <f t="shared" ca="1" si="26"/>
        <v>2.2999999999999972</v>
      </c>
      <c r="AA429" s="245">
        <f t="shared" ca="1" si="26"/>
        <v>-25.4</v>
      </c>
      <c r="AB429" s="245">
        <f t="shared" ca="1" si="26"/>
        <v>2.8999999999999986</v>
      </c>
      <c r="AC429" s="245">
        <f t="shared" ca="1" si="26"/>
        <v>-26.7</v>
      </c>
      <c r="AD429" s="249">
        <f t="shared" ca="1" si="26"/>
        <v>3.1999999999999957</v>
      </c>
      <c r="AE429" s="442"/>
      <c r="AF429" s="45"/>
      <c r="AG429" s="45"/>
      <c r="AH429" s="45"/>
      <c r="AI429" s="45"/>
      <c r="AJ429" s="190"/>
      <c r="AK429" s="2742" t="s">
        <v>372</v>
      </c>
      <c r="AL429" s="1714"/>
      <c r="AM429" s="420" t="s">
        <v>602</v>
      </c>
      <c r="AN429" s="474">
        <f>SUM(Transfer!AD213,Transfer!AD214,Transfer!AD215,Transfer!AD217,Transfer!AD243,Transfer!AD225)</f>
        <v>37.213659999999997</v>
      </c>
      <c r="AO429" s="1717">
        <f>100*(SUM(Transfer!AD213,Transfer!AD214,Transfer!AD215,Transfer!AD217,Transfer!AD243,Transfer!AD225))/Transfer!AD147</f>
        <v>32.719706474804958</v>
      </c>
      <c r="AP429" s="474">
        <f>SUM(Transfer!AE213,Transfer!AE214,Transfer!AE215,Transfer!AE217,Transfer!AE243,Transfer!AE225)</f>
        <v>39.045984050000001</v>
      </c>
      <c r="AQ429" s="1717">
        <f>100*(SUM(Transfer!AE213,Transfer!AE214,Transfer!AE215,Transfer!AE217,Transfer!AE243,Transfer!AE225))/Transfer!AE147</f>
        <v>32.52754205701374</v>
      </c>
      <c r="AR429" s="474">
        <f>SUM(Transfer!AF213,Transfer!AF214,Transfer!AF215,Transfer!AF217,Transfer!AF243,Transfer!AF225)</f>
        <v>40.833618184349994</v>
      </c>
      <c r="AS429" s="1717">
        <f>100*(SUM(Transfer!AF213,Transfer!AF214,Transfer!AF215,Transfer!AF217,Transfer!AF243,Transfer!AF225))/Transfer!AF147</f>
        <v>32.043607247243791</v>
      </c>
      <c r="AT429" s="474">
        <f>SUM(Transfer!AG213,Transfer!AG214,Transfer!AG215,Transfer!AG217,Transfer!AG243,Transfer!AG225)</f>
        <v>43.047522999664707</v>
      </c>
      <c r="AU429" s="1715">
        <f>100*(SUM(Transfer!AG213,Transfer!AG214,Transfer!AG215,Transfer!AG217,Transfer!AG243,Transfer!AG225))/Transfer!AG147</f>
        <v>31.629368299494818</v>
      </c>
      <c r="AV429" s="442"/>
      <c r="AW429" s="54"/>
      <c r="AX429" s="54"/>
      <c r="AY429" s="54"/>
      <c r="AZ429" s="54"/>
      <c r="BA429" s="1700" t="s">
        <v>1309</v>
      </c>
      <c r="BB429" s="1699"/>
      <c r="BC429" s="54"/>
    </row>
    <row r="430" spans="1:55">
      <c r="A430" s="45"/>
      <c r="B430" s="1665"/>
      <c r="C430" s="2663" t="s">
        <v>371</v>
      </c>
      <c r="D430" s="2353"/>
      <c r="E430" s="2406" t="s">
        <v>603</v>
      </c>
      <c r="F430" s="2453">
        <f ca="1">SUM(Transfer!D220,Transfer!D221,Transfer!D222,Transfer!D223,Transfer!D224,Transfer!D245,Transfer!D246,Transfer!D226,Transfer!D227)</f>
        <v>13.226989999999999</v>
      </c>
      <c r="G430" s="2740">
        <f ca="1">100*((SUM(Transfer!D220,Transfer!D221,Transfer!D222,Transfer!D223,Transfer!D224,Transfer!D245,Transfer!D246,Transfer!D226,Transfer!D227)/Transfer!D147))</f>
        <v>34.206270145690318</v>
      </c>
      <c r="H430" s="3285">
        <f ca="1">SUM(Transfer!E220,Transfer!E221,Transfer!E222,Transfer!E223,Transfer!E224,Transfer!E245,Transfer!E246,Transfer!E226,Transfer!E227)</f>
        <v>14.188379305700002</v>
      </c>
      <c r="I430" s="2740">
        <f ca="1">100*((SUM(Transfer!E220,Transfer!E221,Transfer!E222,Transfer!E223,Transfer!E224,Transfer!E245,Transfer!E246,Transfer!E226,Transfer!E227)/Transfer!E147))</f>
        <v>33.960069125231286</v>
      </c>
      <c r="J430" s="3285">
        <f ca="1">SUM(Transfer!F220,Transfer!F221,Transfer!F222,Transfer!F223,Transfer!F224,Transfer!F245,Transfer!F246,Transfer!F226,Transfer!F227)</f>
        <v>15.095948944798822</v>
      </c>
      <c r="K430" s="2740">
        <f ca="1">100*((SUM(Transfer!F220,Transfer!F221,Transfer!F222,Transfer!F223,Transfer!F224,Transfer!F245,Transfer!F246,Transfer!F226,Transfer!F227)/Transfer!F147))</f>
        <v>34.144801693755561</v>
      </c>
      <c r="L430" s="3285">
        <f ca="1">SUM(Transfer!G220,Transfer!G221,Transfer!G222,Transfer!G223,Transfer!G224,Transfer!G245,Transfer!G246,Transfer!G226,Transfer!G227)</f>
        <v>15.932143343143897</v>
      </c>
      <c r="M430" s="2629">
        <f ca="1">100*((SUM(Transfer!G220,Transfer!G221,Transfer!G222,Transfer!G223,Transfer!G224,Transfer!G245,Transfer!G246,Transfer!G226,Transfer!G227)/Transfer!G147))</f>
        <v>34.133297724840553</v>
      </c>
      <c r="N430" s="2460"/>
      <c r="O430" s="54"/>
      <c r="P430" s="54"/>
      <c r="Q430" s="54"/>
      <c r="R430" s="54"/>
      <c r="S430" s="190"/>
      <c r="T430" s="2663" t="s">
        <v>371</v>
      </c>
      <c r="U430" s="104"/>
      <c r="V430" s="423" t="s">
        <v>603</v>
      </c>
      <c r="W430" s="248">
        <f t="shared" ca="1" si="26"/>
        <v>-27.8</v>
      </c>
      <c r="X430" s="245">
        <f t="shared" ca="1" si="26"/>
        <v>-1.8999999999999986</v>
      </c>
      <c r="Y430" s="245">
        <f t="shared" ca="1" si="26"/>
        <v>-28.400000000000002</v>
      </c>
      <c r="Z430" s="245">
        <f t="shared" ca="1" si="26"/>
        <v>-1.5</v>
      </c>
      <c r="AA430" s="245">
        <f t="shared" ca="1" si="26"/>
        <v>-29.299999999999997</v>
      </c>
      <c r="AB430" s="245">
        <f t="shared" ca="1" si="26"/>
        <v>-0.69999999999999574</v>
      </c>
      <c r="AC430" s="245">
        <f t="shared" ca="1" si="26"/>
        <v>-30.300000000000004</v>
      </c>
      <c r="AD430" s="249">
        <f t="shared" ca="1" si="26"/>
        <v>0.20000000000000284</v>
      </c>
      <c r="AE430" s="442"/>
      <c r="AF430" s="45"/>
      <c r="AG430" s="45"/>
      <c r="AH430" s="45"/>
      <c r="AI430" s="45"/>
      <c r="AJ430" s="190"/>
      <c r="AK430" s="2663" t="s">
        <v>371</v>
      </c>
      <c r="AL430" s="104"/>
      <c r="AM430" s="423" t="s">
        <v>603</v>
      </c>
      <c r="AN430" s="245">
        <f>SUM(Transfer!AD220,Transfer!AD221,Transfer!AD222,Transfer!AD223,Transfer!AD224,Transfer!AD245,Transfer!AD246,Transfer!AD226,Transfer!AD227)</f>
        <v>41.019750000000002</v>
      </c>
      <c r="AO430" s="472">
        <f>100*((SUM(Transfer!AD220,Transfer!AD221,Transfer!AD222,Transfer!AD223,Transfer!AD224,Transfer!AD245,Transfer!AD246,Transfer!AD226,Transfer!AD227)/Transfer!AD147))</f>
        <v>36.066169779319765</v>
      </c>
      <c r="AP430" s="245">
        <f>SUM(Transfer!AE220,Transfer!AE221,Transfer!AE222,Transfer!AE223,Transfer!AE224,Transfer!AE245,Transfer!AE246,Transfer!AE226,Transfer!AE227)</f>
        <v>42.633455997906118</v>
      </c>
      <c r="AQ430" s="472">
        <f>100*((SUM(Transfer!AE220,Transfer!AE221,Transfer!AE222,Transfer!AE223,Transfer!AE224,Transfer!AE245,Transfer!AE246,Transfer!AE226,Transfer!AE227)/Transfer!AE147))</f>
        <v>35.516111752541072</v>
      </c>
      <c r="AR430" s="245">
        <f>SUM(Transfer!AF220,Transfer!AF221,Transfer!AF222,Transfer!AF223,Transfer!AF224,Transfer!AF245,Transfer!AF246,Transfer!AF226,Transfer!AF227)</f>
        <v>44.37805761665021</v>
      </c>
      <c r="AS430" s="472">
        <f>100*((SUM(Transfer!AF220,Transfer!AF221,Transfer!AF222,Transfer!AF223,Transfer!AF224,Transfer!AF245,Transfer!AF246,Transfer!AF226,Transfer!AF227)/Transfer!AF147))</f>
        <v>34.825056213326391</v>
      </c>
      <c r="AT430" s="245">
        <f>SUM(Transfer!AG220,Transfer!AG221,Transfer!AG222,Transfer!AG223,Transfer!AG224,Transfer!AG245,Transfer!AG246,Transfer!AG226,Transfer!AG227)</f>
        <v>46.201001906106164</v>
      </c>
      <c r="AU430" s="1716">
        <f>100*((SUM(Transfer!AG220,Transfer!AG221,Transfer!AG222,Transfer!AG223,Transfer!AG224,Transfer!AG245,Transfer!AG246,Transfer!AG226,Transfer!AG227)/Transfer!AG147))</f>
        <v>33.946401633963376</v>
      </c>
      <c r="AV430" s="442"/>
      <c r="AW430" s="54"/>
      <c r="AX430" s="54"/>
      <c r="AY430" s="54"/>
      <c r="AZ430" s="54"/>
      <c r="BA430" s="1700" t="s">
        <v>1310</v>
      </c>
      <c r="BB430" s="1699"/>
      <c r="BC430" s="54"/>
    </row>
    <row r="431" spans="1:55">
      <c r="A431" s="45"/>
      <c r="B431" s="1665"/>
      <c r="C431" s="2663" t="s">
        <v>1460</v>
      </c>
      <c r="D431" s="2353"/>
      <c r="E431" s="2406" t="s">
        <v>1564</v>
      </c>
      <c r="F431" s="2511">
        <f ca="1">SUM(Transfer!D213,Transfer!D214,Transfer!D215,Transfer!D217,Transfer!D243,Transfer!D225)-SUM(Transfer!D220,Transfer!D221,Transfer!D222,Transfer!D223,Transfer!D224,Transfer!D245,Transfer!D246,Transfer!D226,Transfer!D227)</f>
        <v>0.10298000000000407</v>
      </c>
      <c r="G431" s="2740">
        <f ca="1">100*(SUM(Transfer!D213,Transfer!D214,Transfer!D215,Transfer!D217,Transfer!D243,Transfer!D225)-SUM(Transfer!D220,Transfer!D221,Transfer!D222,Transfer!D223,Transfer!D224,Transfer!D245,Transfer!D246,Transfer!D226,Transfer!D227))/Transfer!D147</f>
        <v>0.26631619889357505</v>
      </c>
      <c r="H431" s="2511">
        <f ca="1">SUM(Transfer!E213,Transfer!E214,Transfer!E215,Transfer!E217,Transfer!E243,Transfer!E225)-SUM(Transfer!E220,Transfer!E221,Transfer!E222,Transfer!E223,Transfer!E224,Transfer!E245,Transfer!E246,Transfer!E226,Transfer!E227)</f>
        <v>0.3339231170806336</v>
      </c>
      <c r="I431" s="3287">
        <f ca="1">100*(SUM(Transfer!E213,Transfer!E214,Transfer!E215,Transfer!E217,Transfer!E243,Transfer!E225)-SUM(Transfer!E220,Transfer!E221,Transfer!E222,Transfer!E223,Transfer!E224,Transfer!E245,Transfer!E246,Transfer!E226,Transfer!E227))/Transfer!E147</f>
        <v>0.79924929368185793</v>
      </c>
      <c r="J431" s="3312">
        <f ca="1">SUM(Transfer!F213,Transfer!F214,Transfer!F215,Transfer!F217,Transfer!F243,Transfer!F225)-SUM(Transfer!F220,Transfer!F221,Transfer!F222,Transfer!F223,Transfer!F224,Transfer!F245,Transfer!F246,Transfer!F226,Transfer!F227)</f>
        <v>0.32347768826732626</v>
      </c>
      <c r="K431" s="3286">
        <f ca="1">100*(SUM(Transfer!F213,Transfer!F214,Transfer!F215,Transfer!F217,Transfer!F243,Transfer!F225)-SUM(Transfer!F220,Transfer!F221,Transfer!F222,Transfer!F223,Transfer!F224,Transfer!F245,Transfer!F246,Transfer!F226,Transfer!F227))/Transfer!F147</f>
        <v>0.7316586429002081</v>
      </c>
      <c r="L431" s="3312">
        <f ca="1">SUM(Transfer!G213,Transfer!G214,Transfer!G215,Transfer!G217,Transfer!G243,Transfer!G225)-SUM(Transfer!G220,Transfer!G221,Transfer!G222,Transfer!G223,Transfer!G224,Transfer!G245,Transfer!G246,Transfer!G226,Transfer!G227)</f>
        <v>0.33426876265039773</v>
      </c>
      <c r="M431" s="3288">
        <f ca="1">100*(SUM(Transfer!G213,Transfer!G214,Transfer!G215,Transfer!G217,Transfer!G243,Transfer!G225)-SUM(Transfer!G220,Transfer!G221,Transfer!G222,Transfer!G223,Transfer!G224,Transfer!G245,Transfer!G246,Transfer!G226,Transfer!G227))/Transfer!G147</f>
        <v>0.71614314219499142</v>
      </c>
      <c r="N431" s="2460"/>
      <c r="O431" s="54"/>
      <c r="P431" s="54"/>
      <c r="Q431" s="54"/>
      <c r="R431" s="54"/>
      <c r="S431" s="190"/>
      <c r="T431" s="2663" t="s">
        <v>1460</v>
      </c>
      <c r="U431" s="104"/>
      <c r="V431" s="423" t="s">
        <v>1564</v>
      </c>
      <c r="W431" s="248">
        <f t="shared" ca="1" si="26"/>
        <v>3.9</v>
      </c>
      <c r="X431" s="245">
        <f t="shared" ca="1" si="26"/>
        <v>3.5999999999999996</v>
      </c>
      <c r="Y431" s="245">
        <f t="shared" ca="1" si="26"/>
        <v>3.9</v>
      </c>
      <c r="Z431" s="245">
        <f t="shared" ca="1" si="26"/>
        <v>3.8</v>
      </c>
      <c r="AA431" s="245">
        <f t="shared" ca="1" si="26"/>
        <v>3.8</v>
      </c>
      <c r="AB431" s="245">
        <f t="shared" ca="1" si="26"/>
        <v>3.5</v>
      </c>
      <c r="AC431" s="245">
        <f t="shared" ca="1" si="26"/>
        <v>3.5</v>
      </c>
      <c r="AD431" s="249">
        <f t="shared" ca="1" si="26"/>
        <v>3</v>
      </c>
      <c r="AE431" s="442"/>
      <c r="AF431" s="45"/>
      <c r="AG431" s="45"/>
      <c r="AH431" s="45"/>
      <c r="AI431" s="45"/>
      <c r="AJ431" s="190"/>
      <c r="AK431" s="2663" t="s">
        <v>1460</v>
      </c>
      <c r="AL431" s="104"/>
      <c r="AM431" s="423" t="s">
        <v>1564</v>
      </c>
      <c r="AN431" s="141">
        <f>SUM(Transfer!AD213,Transfer!AD214,Transfer!AD215,Transfer!AD217,Transfer!AD243,Transfer!AD225)-SUM(Transfer!AD220,Transfer!AD221,Transfer!AD222,Transfer!AD223,Transfer!AD224,Transfer!AD245,Transfer!AD246,Transfer!AD226,Transfer!AD227)</f>
        <v>-3.8060900000000046</v>
      </c>
      <c r="AO431" s="472">
        <f>100*(SUM(Transfer!AD213,Transfer!AD214,Transfer!AD215,Transfer!AD217,Transfer!AD243,Transfer!AD225)-SUM(Transfer!AD220,Transfer!AD221,Transfer!AD222,Transfer!AD223,Transfer!AD224,Transfer!AD245,Transfer!AD246,Transfer!AD226,Transfer!AD227))/Transfer!AD147</f>
        <v>-3.3464633045148093</v>
      </c>
      <c r="AP431" s="141">
        <f>SUM(Transfer!AE213,Transfer!AE214,Transfer!AE215,Transfer!AE217,Transfer!AE243,Transfer!AE225)-SUM(Transfer!AE220,Transfer!AE221,Transfer!AE222,Transfer!AE223,Transfer!AE224,Transfer!AE245,Transfer!AE246,Transfer!AE226,Transfer!AE227)</f>
        <v>-3.587471947906117</v>
      </c>
      <c r="AQ431" s="1897">
        <f>100*(SUM(Transfer!AE213,Transfer!AE214,Transfer!AE215,Transfer!AE217,Transfer!AE243,Transfer!AE225)-SUM(Transfer!AE220,Transfer!AE221,Transfer!AE222,Transfer!AE223,Transfer!AE224,Transfer!AE245,Transfer!AE246,Transfer!AE226,Transfer!AE227))/Transfer!AE147</f>
        <v>-2.9885696955273238</v>
      </c>
      <c r="AR431" s="141">
        <f>SUM(Transfer!AF213,Transfer!AF214,Transfer!AF215,Transfer!AF217,Transfer!AF243,Transfer!AF225)-SUM(Transfer!AF220,Transfer!AF221,Transfer!AF222,Transfer!AF223,Transfer!AF224,Transfer!AF245,Transfer!AF246,Transfer!AF226,Transfer!AF227)</f>
        <v>-3.5444394323002157</v>
      </c>
      <c r="AS431" s="472">
        <f>100*(SUM(Transfer!AF213,Transfer!AF214,Transfer!AF215,Transfer!AF217,Transfer!AF243,Transfer!AF225)-SUM(Transfer!AF220,Transfer!AF221,Transfer!AF222,Transfer!AF223,Transfer!AF224,Transfer!AF245,Transfer!AF246,Transfer!AF226,Transfer!AF227))/Transfer!AF147</f>
        <v>-2.7814489660825976</v>
      </c>
      <c r="AT431" s="141">
        <f>SUM(Transfer!AG213,Transfer!AG214,Transfer!AG215,Transfer!AG217,Transfer!AG243,Transfer!AG225)-SUM(Transfer!AG220,Transfer!AG221,Transfer!AG222,Transfer!AG223,Transfer!AG224,Transfer!AG245,Transfer!AG246,Transfer!AG226,Transfer!AG227)</f>
        <v>-3.1534789064414568</v>
      </c>
      <c r="AU431" s="475">
        <f>100*(SUM(Transfer!AG213,Transfer!AG214,Transfer!AG215,Transfer!AG217,Transfer!AG243,Transfer!AG225)-SUM(Transfer!AG220,Transfer!AG221,Transfer!AG222,Transfer!AG223,Transfer!AG224,Transfer!AG245,Transfer!AG246,Transfer!AG226,Transfer!AG227))/Transfer!AG147</f>
        <v>-2.3170333344685563</v>
      </c>
      <c r="AV431" s="442"/>
      <c r="AW431" s="54"/>
      <c r="AX431" s="54"/>
      <c r="AY431" s="54"/>
      <c r="AZ431" s="54"/>
      <c r="BA431" s="1700" t="s">
        <v>1617</v>
      </c>
      <c r="BB431" s="1699"/>
      <c r="BC431" s="54"/>
    </row>
    <row r="432" spans="1:55">
      <c r="A432" s="45"/>
      <c r="B432" s="1665"/>
      <c r="C432" s="2747" t="s">
        <v>606</v>
      </c>
      <c r="D432" s="2748"/>
      <c r="E432" s="2749"/>
      <c r="F432" s="2697">
        <f ca="1">SUM(Transfer!D213,Transfer!D214,Transfer!D215,Transfer!D217,Transfer!D243,Transfer!D225)-SUM(Transfer!D220,Transfer!D221,Transfer!D223,Transfer!D224,Transfer!D245,Transfer!D246,Transfer!D226,Transfer!D227)</f>
        <v>0.61975000000000335</v>
      </c>
      <c r="G432" s="2695">
        <f ca="1">100*(SUM(Transfer!D213,Transfer!D214,Transfer!D215,Transfer!D217,Transfer!D243,Transfer!D225)-SUM(Transfer!D220,Transfer!D221,,Transfer!D223,Transfer!D224,Transfer!D245,Transfer!D246,Transfer!D226,Transfer!D227))/Transfer!D147</f>
        <v>1.6027331934772531</v>
      </c>
      <c r="H432" s="3289">
        <f ca="1">SUM(Transfer!E213,Transfer!E214,Transfer!E215,Transfer!E217,Transfer!E243,Transfer!E225,)-SUM(Transfer!E220,Transfer!E221,Transfer!E223,Transfer!E224,Transfer!E245,Transfer!E246,Transfer!E226,Transfer!E227)</f>
        <v>0.8289231170806346</v>
      </c>
      <c r="I432" s="3290">
        <f ca="1">100*(SUM(Transfer!E213,Transfer!E214,Transfer!E215,Transfer!E217,Transfer!E243,Transfer!E225)-SUM(Transfer!E220,Transfer!E221,Transfer!E223,Transfer!E224,Transfer!E245,Transfer!E246,Transfer!E226,Transfer!E227))/Transfer!E147</f>
        <v>1.9840381870994608</v>
      </c>
      <c r="J432" s="3289">
        <f ca="1">SUM(Transfer!F213,Transfer!F214,Transfer!F215,Transfer!F217,Transfer!F243,Transfer!F225)-SUM(Transfer!F220,Transfer!F221,Transfer!F223,Transfer!F224,Transfer!F245,Transfer!F246,Transfer!F226,Transfer!F227)</f>
        <v>0.70847768826732604</v>
      </c>
      <c r="K432" s="3290">
        <f ca="1">100*(SUM(Transfer!F213,Transfer!F214,Transfer!F215,Transfer!F217,Transfer!F243,Transfer!F225)-SUM(Transfer!F220,Transfer!F221,Transfer!F223,Transfer!F224,Transfer!F245,Transfer!F246,Transfer!F226,Transfer!F227))/Transfer!F147</f>
        <v>1.6024716471151659</v>
      </c>
      <c r="L432" s="3289">
        <f ca="1">SUM(Transfer!G213,Transfer!G214,Transfer!G215,Transfer!G217,Transfer!G243,Transfer!G225)-SUM(Transfer!G220,Transfer!G221,Transfer!G223,Transfer!G224,Transfer!G245,Transfer!G246,Transfer!G226,Transfer!G227)</f>
        <v>0.73526876265039753</v>
      </c>
      <c r="M432" s="3291">
        <f ca="1">100*(SUM(Transfer!G213,Transfer!G214,Transfer!G215,Transfer!G217,Transfer!G243,Transfer!G225)-SUM(Transfer!G220,Transfer!G221,Transfer!G223,Transfer!G224,Transfer!G245,Transfer!G246,Transfer!G226,Transfer!G227))/Transfer!G147</f>
        <v>1.5752524342006522</v>
      </c>
      <c r="N432" s="2610"/>
      <c r="O432" s="54"/>
      <c r="P432" s="54"/>
      <c r="Q432" s="54"/>
      <c r="R432" s="54"/>
      <c r="S432" s="190"/>
      <c r="T432" s="2747" t="s">
        <v>606</v>
      </c>
      <c r="U432" s="465"/>
      <c r="V432" s="466"/>
      <c r="W432" s="429">
        <f t="shared" ca="1" si="26"/>
        <v>2.2000000000000002</v>
      </c>
      <c r="X432" s="428">
        <f t="shared" ca="1" si="26"/>
        <v>3</v>
      </c>
      <c r="Y432" s="428">
        <f t="shared" ca="1" si="26"/>
        <v>2.1</v>
      </c>
      <c r="Z432" s="428">
        <f t="shared" ca="1" si="26"/>
        <v>3.1</v>
      </c>
      <c r="AA432" s="428">
        <f t="shared" ca="1" si="26"/>
        <v>1.9</v>
      </c>
      <c r="AB432" s="428">
        <f t="shared" ca="1" si="26"/>
        <v>2.5</v>
      </c>
      <c r="AC432" s="428">
        <f t="shared" ca="1" si="26"/>
        <v>1.4</v>
      </c>
      <c r="AD432" s="431">
        <f t="shared" ca="1" si="26"/>
        <v>2.1</v>
      </c>
      <c r="AE432" s="464"/>
      <c r="AF432" s="45"/>
      <c r="AG432" s="45"/>
      <c r="AH432" s="45"/>
      <c r="AI432" s="45"/>
      <c r="AJ432" s="190"/>
      <c r="AK432" s="2747" t="s">
        <v>606</v>
      </c>
      <c r="AL432" s="465"/>
      <c r="AM432" s="466"/>
      <c r="AN432" s="430">
        <f>SUM(Transfer!AD213,Transfer!AD214,Transfer!AD215,Transfer!AD217,Transfer!AD243,Transfer!AD225)-SUM(Transfer!AD220,Transfer!AD221,Transfer!AD223,Transfer!AD224,Transfer!AD245,Transfer!AD246,Transfer!AD226,Transfer!AD227)</f>
        <v>-1.6170600000000093</v>
      </c>
      <c r="AO432" s="428">
        <f>100*(SUM(Transfer!AD213,Transfer!AD214,Transfer!AD215,Transfer!AD217,Transfer!AD243,Transfer!AD225)-SUM(Transfer!AD220,Transfer!AD221,Transfer!AD223,Transfer!AD224,Transfer!AD245,Transfer!AD246,Transfer!AD226,Transfer!AD227))/Transfer!AD147</f>
        <v>-1.4217824463422415</v>
      </c>
      <c r="AP432" s="430">
        <f>SUM(Transfer!AE213,Transfer!AE214,Transfer!AE215,Transfer!AE217,Transfer!AE243,Transfer!AE225)-SUM(Transfer!AE220,Transfer!AE221,Transfer!AE223,Transfer!AE224,Transfer!AE245,Transfer!AE246,Transfer!AE226,Transfer!AE227)</f>
        <v>-1.2889904479061158</v>
      </c>
      <c r="AQ432" s="428">
        <f>100*(SUM(Transfer!AE213,Transfer!AE214,Transfer!AE215,Transfer!AE217,Transfer!AE243,Transfer!AE225)-SUM(Transfer!AE220,Transfer!AE221,Transfer!AE223,Transfer!AE224,Transfer!AE245,Transfer!AE246,Transfer!AE226,Transfer!AE227))/Transfer!AE147</f>
        <v>-1.0738029025383256</v>
      </c>
      <c r="AR432" s="430">
        <f>SUM(Transfer!AF213,Transfer!AF214,Transfer!AF215,Transfer!AF217,Transfer!AF243,Transfer!AF225)-SUM(Transfer!AF220,Transfer!AF221,Transfer!AF223,Transfer!AF224,Transfer!AF245,Transfer!AF246,Transfer!AF226,Transfer!AF227)</f>
        <v>-1.1540186723002037</v>
      </c>
      <c r="AS432" s="428">
        <f>100*(SUM(Transfer!AF213,Transfer!AF214,Transfer!AF215,Transfer!AF217,Transfer!AF243,Transfer!AF225)-SUM(Transfer!AF220,Transfer!AF221,Transfer!AF223,Transfer!AF224,Transfer!AF245,Transfer!AF246,Transfer!AF226,Transfer!AF227))/Transfer!AF147</f>
        <v>-0.90559991339063139</v>
      </c>
      <c r="AT432" s="430">
        <f>SUM(Transfer!AG213,Transfer!AG214,Transfer!AG215,Transfer!AG217,Transfer!AG243,Transfer!AG225)-SUM(Transfer!AG220,Transfer!AG221,Transfer!AG223,Transfer!AG224,Transfer!AG245,Transfer!AG246,Transfer!AG226,Transfer!AG227)</f>
        <v>-0.66744131604146162</v>
      </c>
      <c r="AU432" s="467">
        <f>100*(SUM(Transfer!AG213,Transfer!AG214,Transfer!AG215,Transfer!AG217,Transfer!AG243,Transfer!AG225)-SUM(Transfer!AG220,Transfer!AG221,Transfer!AG223,Transfer!AG224,Transfer!AG245,Transfer!AG246,Transfer!AG226,Transfer!AG227))/Transfer!AG147</f>
        <v>-0.49040561993635123</v>
      </c>
      <c r="AV432" s="464"/>
      <c r="AW432" s="54"/>
      <c r="AX432" s="54"/>
      <c r="AY432" s="54"/>
      <c r="AZ432" s="54"/>
      <c r="BA432" s="1700" t="s">
        <v>293</v>
      </c>
      <c r="BB432" s="1699"/>
      <c r="BC432" s="54"/>
    </row>
    <row r="433" spans="1:55" ht="13.5" thickBot="1">
      <c r="A433" s="45"/>
      <c r="B433" s="1665"/>
      <c r="C433" s="3207" t="s">
        <v>1502</v>
      </c>
      <c r="D433" s="3208"/>
      <c r="E433" s="3209" t="s">
        <v>458</v>
      </c>
      <c r="F433" s="3210">
        <f ca="1">+Transfer!D237</f>
        <v>0.10298000000000251</v>
      </c>
      <c r="G433" s="3211">
        <f ca="1">100*Transfer!D237/Transfer!D147</f>
        <v>0.266316198893571</v>
      </c>
      <c r="H433" s="3292">
        <f ca="1">+Transfer!E237</f>
        <v>0.33510809708063016</v>
      </c>
      <c r="I433">
        <f ca="1">100*Transfer!E237/Transfer!E147</f>
        <v>0.80208555861704567</v>
      </c>
      <c r="J433" s="3292">
        <f ca="1">+Transfer!F237</f>
        <v>0.30107552186732556</v>
      </c>
      <c r="K433" s="3313">
        <f ca="1">100*Transfer!F237/Transfer!F147</f>
        <v>0.68098825894252502</v>
      </c>
      <c r="L433" s="3292">
        <f ca="1">+Transfer!G237</f>
        <v>0.28092927478639473</v>
      </c>
      <c r="M433" s="3357">
        <f ca="1">100*Transfer!G237/Transfer!G147</f>
        <v>0.60186770664689127</v>
      </c>
      <c r="N433" s="2460"/>
      <c r="O433" s="54"/>
      <c r="P433" s="54"/>
      <c r="Q433" s="54"/>
      <c r="R433" s="54"/>
      <c r="S433" s="190"/>
      <c r="T433" s="2678" t="s">
        <v>1502</v>
      </c>
      <c r="U433" s="1705"/>
      <c r="V433" s="476" t="s">
        <v>458</v>
      </c>
      <c r="W433" s="2339">
        <f t="shared" ca="1" si="26"/>
        <v>3.8000000000000003</v>
      </c>
      <c r="X433" s="477">
        <f t="shared" ca="1" si="26"/>
        <v>3.5</v>
      </c>
      <c r="Y433" s="477">
        <f t="shared" ca="1" si="26"/>
        <v>3.8</v>
      </c>
      <c r="Z433" s="477">
        <f t="shared" ca="1" si="26"/>
        <v>3.7</v>
      </c>
      <c r="AA433" s="477">
        <f t="shared" ca="1" si="26"/>
        <v>3.6999999999999997</v>
      </c>
      <c r="AB433" s="477">
        <f t="shared" ca="1" si="26"/>
        <v>3.4000000000000004</v>
      </c>
      <c r="AC433" s="477">
        <f t="shared" ca="1" si="26"/>
        <v>3.3</v>
      </c>
      <c r="AD433" s="2340">
        <f t="shared" ca="1" si="26"/>
        <v>2.8000000000000003</v>
      </c>
      <c r="AE433" s="442"/>
      <c r="AF433" s="45"/>
      <c r="AG433" s="45"/>
      <c r="AH433" s="45"/>
      <c r="AI433" s="45"/>
      <c r="AJ433" s="190"/>
      <c r="AK433" s="2678" t="s">
        <v>1502</v>
      </c>
      <c r="AL433" s="1705"/>
      <c r="AM433" s="1718" t="s">
        <v>458</v>
      </c>
      <c r="AN433" s="470">
        <f>SUM(Transfer!AD213,Transfer!AD214,Transfer!AD215,Transfer!AD217,Transfer!AD243,Transfer!AD225)-SUM(Transfer!AD220,Transfer!AD221,Transfer!AD232,Transfer!AD223,Transfer!AD224,Transfer!AD245,Transfer!AD246,Transfer!AD226,Transfer!AD227)</f>
        <v>-3.6925900000000098</v>
      </c>
      <c r="AO433" s="1719">
        <f>100*(SUM(Transfer!AD213,Transfer!AD214,Transfer!AD215,Transfer!AD217,Transfer!AD243,Transfer!AD225)-SUM(Transfer!AD220,Transfer!AD221,Transfer!AD232,Transfer!AD223,Transfer!AD224,Transfer!AD245,Transfer!AD246,Transfer!AD226,Transfer!AD227))/Transfer!AD147</f>
        <v>-3.2466696619413509</v>
      </c>
      <c r="AP433" s="470">
        <f>SUM(Transfer!AE213,Transfer!AE214,Transfer!AE215,Transfer!AE217,Transfer!AE243,Transfer!AE225)-SUM(Transfer!AE220,Transfer!AE221,Transfer!AE232,Transfer!AE223,Transfer!AE224,Transfer!AE245,Transfer!AE246,Transfer!AE226,Transfer!AE227)</f>
        <v>-3.4739719479061151</v>
      </c>
      <c r="AQ433" s="1719">
        <f>100*(SUM(Transfer!AE213,Transfer!AE214,Transfer!AE215,Transfer!AE217,Transfer!AE243,Transfer!AE225)-SUM(Transfer!AE220,Transfer!AE221,Transfer!AE232,Transfer!AE223,Transfer!AE224,Transfer!AE245,Transfer!AE246,Transfer!AE226,Transfer!AE227))/Transfer!AE147</f>
        <v>-2.8940176919526786</v>
      </c>
      <c r="AR433" s="470">
        <f>SUM(Transfer!AF213,Transfer!AF214,Transfer!AF215,Transfer!AF217,Transfer!AF243,Transfer!AF225)-SUM(Transfer!AF220,Transfer!AF221,Transfer!AF232,Transfer!AF223,Transfer!AF224,Transfer!AF245,Transfer!AF246,Transfer!AF226,Transfer!AF227)</f>
        <v>-3.4309394323002138</v>
      </c>
      <c r="AS433" s="1719">
        <f>100*(SUM(Transfer!AF213,Transfer!AF214,Transfer!AF215,Transfer!AF217,Transfer!AF243,Transfer!AF225)-SUM(Transfer!AF220,Transfer!AF221,Transfer!AF232,Transfer!AF223,Transfer!AF224,Transfer!AF245,Transfer!AF246,Transfer!AF226,Transfer!AF227))/Transfer!AF147</f>
        <v>-2.6923814382886455</v>
      </c>
      <c r="AT433" s="470">
        <f>SUM(Transfer!AG213,Transfer!AG214,Transfer!AG215,Transfer!AG217,Transfer!AG243,Transfer!AG225)-SUM(Transfer!AG220,Transfer!AG221,Transfer!AG232,Transfer!AG223,Transfer!AG224,Transfer!AG245,Transfer!AG246,Transfer!AG226,Transfer!AG227)</f>
        <v>-3.039978906441462</v>
      </c>
      <c r="AU433" s="1898">
        <f>100*(SUM(Transfer!AG213,Transfer!AG214,Transfer!AG215,Transfer!AG217,Transfer!AG243,Transfer!AG225)-SUM(Transfer!AG220,Transfer!AG221,Transfer!AG232,Transfer!AG223,Transfer!AG224,Transfer!AG245,Transfer!AG246,Transfer!AG226,Transfer!AG227))/Transfer!AG147</f>
        <v>-2.2336386800996988</v>
      </c>
      <c r="AV433" s="442"/>
      <c r="AW433" s="54"/>
      <c r="AX433" s="54"/>
      <c r="AY433" s="54"/>
      <c r="AZ433" s="54"/>
      <c r="BA433" s="1700" t="s">
        <v>1595</v>
      </c>
      <c r="BB433" s="1699"/>
      <c r="BC433" s="54"/>
    </row>
    <row r="434" spans="1:55" ht="13.5" thickBot="1">
      <c r="A434" s="45"/>
      <c r="B434" s="1665"/>
      <c r="C434" s="2751"/>
      <c r="D434" s="2480"/>
      <c r="E434" s="2476"/>
      <c r="F434" s="2851"/>
      <c r="G434" s="2743"/>
      <c r="H434" s="3293"/>
      <c r="I434" s="3294"/>
      <c r="J434" s="3293"/>
      <c r="K434" s="3294"/>
      <c r="L434" s="3293"/>
      <c r="M434" s="3295"/>
      <c r="N434" s="2753"/>
      <c r="O434" s="54"/>
      <c r="P434" s="54"/>
      <c r="Q434" s="54"/>
      <c r="R434" s="54"/>
      <c r="S434" s="190"/>
      <c r="T434" s="2751"/>
      <c r="U434" s="124"/>
      <c r="V434" s="2326"/>
      <c r="W434" s="211"/>
      <c r="X434" s="1714"/>
      <c r="Y434" s="211"/>
      <c r="Z434" s="2327"/>
      <c r="AA434" s="211"/>
      <c r="AB434" s="2327"/>
      <c r="AC434" s="211"/>
      <c r="AD434" s="480"/>
      <c r="AE434" s="478"/>
      <c r="AF434" s="45"/>
      <c r="AG434" s="45"/>
      <c r="AH434" s="45"/>
      <c r="AI434" s="45"/>
      <c r="AJ434" s="190"/>
      <c r="AK434" s="2751"/>
      <c r="AL434" s="124"/>
      <c r="AM434" s="2326"/>
      <c r="AN434" s="211"/>
      <c r="AO434" s="1714"/>
      <c r="AP434" s="211"/>
      <c r="AQ434" s="2327"/>
      <c r="AR434" s="211"/>
      <c r="AS434" s="2327"/>
      <c r="AT434" s="211"/>
      <c r="AU434" s="480"/>
      <c r="AV434" s="478"/>
      <c r="AW434" s="54"/>
      <c r="AX434" s="54"/>
      <c r="AY434" s="54"/>
      <c r="AZ434" s="54"/>
      <c r="BA434" s="1665"/>
      <c r="BB434" s="1699"/>
      <c r="BC434" s="54"/>
    </row>
    <row r="435" spans="1:55" ht="13.5" thickBot="1">
      <c r="A435" s="45"/>
      <c r="B435" s="1665"/>
      <c r="C435" s="3314" t="s">
        <v>2104</v>
      </c>
      <c r="D435" s="3213"/>
      <c r="E435" s="3214"/>
      <c r="F435" s="3216">
        <f ca="1">Transfer!D228</f>
        <v>15.5137</v>
      </c>
      <c r="G435" s="3215">
        <f ca="1">100*((Transfer!D228/Transfer!D147))</f>
        <v>40.119922458487984</v>
      </c>
      <c r="H435" s="3216">
        <f ca="1">Transfer!E228</f>
        <v>16.968591902919371</v>
      </c>
      <c r="I435" s="3296">
        <f ca="1">100*((Transfer!E228/Transfer!E147))</f>
        <v>40.614543885888274</v>
      </c>
      <c r="J435" s="3216">
        <f ca="1">Transfer!F228</f>
        <v>16.367516381052045</v>
      </c>
      <c r="K435" s="3315">
        <f ca="1">100*((Transfer!F228/Transfer!F147))</f>
        <v>37.020898990445382</v>
      </c>
      <c r="L435" s="3297">
        <f ca="1">Transfer!G228</f>
        <v>17.58658710626565</v>
      </c>
      <c r="M435" s="3316">
        <f ca="1">100*((Transfer!G228/Transfer!G147))</f>
        <v>37.67780647795454</v>
      </c>
      <c r="N435" s="2753"/>
      <c r="O435" s="54"/>
      <c r="P435" s="54"/>
      <c r="Q435" s="54"/>
      <c r="R435" s="54"/>
      <c r="S435" s="190"/>
      <c r="T435" s="2754" t="s">
        <v>2104</v>
      </c>
      <c r="U435" s="2328"/>
      <c r="V435" s="2329"/>
      <c r="W435" s="2021">
        <f t="shared" ref="W435:AD436" ca="1" si="27">ROUND(F435,1)-ROUND(AN435,1)</f>
        <v>-30.5</v>
      </c>
      <c r="X435" s="2022">
        <f t="shared" ca="1" si="27"/>
        <v>-0.39999999999999858</v>
      </c>
      <c r="Y435" s="2022">
        <f t="shared" ca="1" si="27"/>
        <v>-31</v>
      </c>
      <c r="Z435" s="2022">
        <f t="shared" ca="1" si="27"/>
        <v>0.60000000000000142</v>
      </c>
      <c r="AA435" s="2022">
        <f t="shared" ca="1" si="27"/>
        <v>-34.300000000000004</v>
      </c>
      <c r="AB435" s="2022">
        <f t="shared" ca="1" si="27"/>
        <v>-2.7999999999999972</v>
      </c>
      <c r="AC435" s="2022">
        <f t="shared" ca="1" si="27"/>
        <v>-35.5</v>
      </c>
      <c r="AD435" s="2025">
        <f t="shared" ca="1" si="27"/>
        <v>-1.2999999999999972</v>
      </c>
      <c r="AE435" s="478"/>
      <c r="AF435" s="45"/>
      <c r="AG435" s="45"/>
      <c r="AH435" s="45"/>
      <c r="AI435" s="45"/>
      <c r="AJ435" s="190"/>
      <c r="AK435" s="2754" t="s">
        <v>2104</v>
      </c>
      <c r="AL435" s="2328"/>
      <c r="AM435" s="2329"/>
      <c r="AN435" s="481">
        <f>Transfer!AD228</f>
        <v>46.036499999999997</v>
      </c>
      <c r="AO435" s="2330">
        <f>100*((Transfer!AD228/Transfer!AD147))</f>
        <v>40.477092743023888</v>
      </c>
      <c r="AP435" s="2331">
        <f>Transfer!AE228</f>
        <v>47.997328027906114</v>
      </c>
      <c r="AQ435" s="2332">
        <f>100*((Transfer!AE228/Transfer!AE147))</f>
        <v>39.984524504562984</v>
      </c>
      <c r="AR435" s="481">
        <f>Transfer!AF228</f>
        <v>50.692374002846307</v>
      </c>
      <c r="AS435" s="2332">
        <f>100*((Transfer!AF228/Transfer!AF147))</f>
        <v>39.78012714043934</v>
      </c>
      <c r="AT435" s="2022">
        <f>Transfer!AG228</f>
        <v>53.077772554326096</v>
      </c>
      <c r="AU435" s="2333">
        <f>100*((Transfer!AG228/Transfer!AG147))</f>
        <v>38.999140941295835</v>
      </c>
      <c r="AV435" s="478"/>
      <c r="AW435" s="54"/>
      <c r="AX435" s="54"/>
      <c r="AY435" s="54"/>
      <c r="AZ435" s="54"/>
      <c r="BA435" s="1700" t="s">
        <v>2016</v>
      </c>
      <c r="BB435" s="1699"/>
      <c r="BC435" s="54"/>
    </row>
    <row r="436" spans="1:55" ht="13.5" thickBot="1">
      <c r="A436" s="45"/>
      <c r="B436" s="1665"/>
      <c r="C436" s="2756" t="s">
        <v>2106</v>
      </c>
      <c r="D436" s="2757"/>
      <c r="E436" s="2758"/>
      <c r="F436" s="2759"/>
      <c r="G436" s="2760">
        <f ca="1">100*((SUM(Transfer!D213,Transfer!D214,Transfer!D216,Transfer!D230,Transfer!D231)/Transfer!D147))</f>
        <v>29.886273828291483</v>
      </c>
      <c r="H436" s="3298"/>
      <c r="I436" s="3299">
        <f ca="1">100*((SUM(Transfer!E213,Transfer!E214,Transfer!E216,Transfer!E230,Transfer!E231)/Transfer!E147))</f>
        <v>30.304973316779922</v>
      </c>
      <c r="J436" s="3298"/>
      <c r="K436" s="3299">
        <f ca="1">100*((SUM(Transfer!F213,Transfer!F214,Transfer!F216,Transfer!F230,Transfer!F231)/Transfer!F147))</f>
        <v>30.350360454656911</v>
      </c>
      <c r="L436" s="3298"/>
      <c r="M436" s="3300">
        <f ca="1">100*((SUM(Transfer!G213,Transfer!G214,Transfer!G216,Transfer!G230,Transfer!G231)/Transfer!G147))</f>
        <v>30.36527733536165</v>
      </c>
      <c r="N436" s="2368"/>
      <c r="O436" s="54"/>
      <c r="P436" s="54"/>
      <c r="Q436" s="54"/>
      <c r="R436" s="54"/>
      <c r="S436" s="190"/>
      <c r="T436" s="2756" t="s">
        <v>2105</v>
      </c>
      <c r="U436" s="482"/>
      <c r="V436" s="483"/>
      <c r="W436" s="2021">
        <f t="shared" si="27"/>
        <v>0</v>
      </c>
      <c r="X436" s="2022">
        <f t="shared" ca="1" si="27"/>
        <v>2.5999999999999979</v>
      </c>
      <c r="Y436" s="2022">
        <f t="shared" si="27"/>
        <v>0</v>
      </c>
      <c r="Z436" s="2022">
        <f t="shared" ca="1" si="27"/>
        <v>3</v>
      </c>
      <c r="AA436" s="2022">
        <f t="shared" si="27"/>
        <v>0</v>
      </c>
      <c r="AB436" s="2022">
        <f t="shared" ca="1" si="27"/>
        <v>3.3999999999999986</v>
      </c>
      <c r="AC436" s="2022">
        <f t="shared" si="27"/>
        <v>0</v>
      </c>
      <c r="AD436" s="2025">
        <f t="shared" ca="1" si="27"/>
        <v>3.5999999999999979</v>
      </c>
      <c r="AE436" s="82"/>
      <c r="AF436" s="45"/>
      <c r="AG436" s="45"/>
      <c r="AH436" s="45"/>
      <c r="AI436" s="45"/>
      <c r="AJ436" s="190"/>
      <c r="AK436" s="2756" t="s">
        <v>2105</v>
      </c>
      <c r="AL436" s="482"/>
      <c r="AM436" s="483"/>
      <c r="AN436" s="484"/>
      <c r="AO436" s="485">
        <f>100*((SUM(Transfer!AD213,Transfer!AD214,Transfer!AD216,Transfer!AD230,Transfer!AD231)/Transfer!AD147))</f>
        <v>27.254707666173999</v>
      </c>
      <c r="AP436" s="486"/>
      <c r="AQ436" s="485">
        <f>100*((SUM(Transfer!AE213,Transfer!AE214,Transfer!AE216,Transfer!AE230,Transfer!AE231)/Transfer!AE147))</f>
        <v>27.292607358318865</v>
      </c>
      <c r="AR436" s="486"/>
      <c r="AS436" s="485">
        <f>100*((SUM(Transfer!AF213,Transfer!AF214,Transfer!AF216,Transfer!AF230,Transfer!AF231)/Transfer!AF147))</f>
        <v>26.977768459238149</v>
      </c>
      <c r="AT436" s="486"/>
      <c r="AU436" s="487">
        <f>100*((SUM(Transfer!AG213,Transfer!AG214,Transfer!AG216,Transfer!AG230,Transfer!AG231)/Transfer!AG147))</f>
        <v>26.753716209207422</v>
      </c>
      <c r="AV436" s="82"/>
      <c r="AW436" s="54"/>
      <c r="AX436" s="54"/>
      <c r="AY436" s="54"/>
      <c r="AZ436" s="54"/>
      <c r="BA436" s="2002" t="s">
        <v>2017</v>
      </c>
      <c r="BB436" s="1702"/>
      <c r="BC436" s="54"/>
    </row>
    <row r="437" spans="1:55" ht="13.5" thickBot="1">
      <c r="A437" s="45"/>
      <c r="B437" s="1665"/>
      <c r="C437" s="3044"/>
      <c r="D437" s="3045"/>
      <c r="E437" s="2476"/>
      <c r="F437" s="2851"/>
      <c r="G437" s="2743"/>
      <c r="H437" s="2358"/>
      <c r="I437" s="2752"/>
      <c r="J437" s="2358"/>
      <c r="K437" s="2752"/>
      <c r="L437" s="2358"/>
      <c r="M437" s="3046"/>
      <c r="N437" s="2753"/>
      <c r="O437" s="54"/>
      <c r="P437" s="54"/>
      <c r="Q437" s="54"/>
      <c r="R437" s="54"/>
      <c r="S437" s="190"/>
      <c r="T437" s="2751"/>
      <c r="U437" s="124"/>
      <c r="V437" s="2326"/>
      <c r="W437" s="211"/>
      <c r="X437" s="1714"/>
      <c r="Y437" s="211"/>
      <c r="Z437" s="2327"/>
      <c r="AA437" s="211"/>
      <c r="AB437" s="2327"/>
      <c r="AC437" s="211"/>
      <c r="AD437" s="480"/>
      <c r="AE437" s="478"/>
      <c r="AF437" s="45"/>
      <c r="AG437" s="45"/>
      <c r="AH437" s="45"/>
      <c r="AI437" s="45"/>
      <c r="AJ437" s="190"/>
      <c r="AK437" s="2751"/>
      <c r="AL437" s="124"/>
      <c r="AM437" s="2326"/>
      <c r="AN437" s="211"/>
      <c r="AO437" s="1714"/>
      <c r="AP437" s="211"/>
      <c r="AQ437" s="2327"/>
      <c r="AR437" s="211"/>
      <c r="AS437" s="2327"/>
      <c r="AT437" s="211"/>
      <c r="AU437" s="480"/>
      <c r="AV437" s="478"/>
      <c r="AW437" s="54"/>
      <c r="AX437" s="54"/>
      <c r="AY437" s="54"/>
      <c r="AZ437" s="54"/>
      <c r="BA437" s="1665"/>
      <c r="BB437" s="1699"/>
      <c r="BC437" s="54"/>
    </row>
    <row r="438" spans="1:55" s="217" customFormat="1">
      <c r="A438" s="54"/>
      <c r="B438" s="1992"/>
      <c r="C438" s="2580" t="s">
        <v>87</v>
      </c>
      <c r="D438" s="2581"/>
      <c r="E438" s="3042"/>
      <c r="F438" s="2851">
        <f>+Transfer!D238</f>
        <v>-9999</v>
      </c>
      <c r="G438" s="2744">
        <f ca="1">100*((Transfer!D238/Transfer!D147))</f>
        <v>-25858.377090083042</v>
      </c>
      <c r="H438" s="2851">
        <f>+Transfer!E238</f>
        <v>-9999</v>
      </c>
      <c r="I438" s="2744">
        <f ca="1">100*((Transfer!E238/Transfer!E147))</f>
        <v>-23932.73564703553</v>
      </c>
      <c r="J438" s="2851">
        <f>+Transfer!F238</f>
        <v>-9999</v>
      </c>
      <c r="K438" s="2744">
        <f ca="1">100*((Transfer!F238/Transfer!F147))</f>
        <v>-22616.257738039916</v>
      </c>
      <c r="L438" s="2851">
        <f>+Transfer!G238</f>
        <v>-9999</v>
      </c>
      <c r="M438" s="3047">
        <f ca="1">100*((Transfer!G238/Transfer!G147))</f>
        <v>-21422.029453278315</v>
      </c>
      <c r="N438" s="2731"/>
      <c r="O438" s="54"/>
      <c r="P438" s="54"/>
      <c r="Q438" s="54"/>
      <c r="R438" s="54"/>
      <c r="S438" s="259"/>
      <c r="T438" s="2580" t="s">
        <v>87</v>
      </c>
      <c r="U438" s="2581"/>
      <c r="V438" s="3042"/>
      <c r="W438" s="3048">
        <f t="shared" ref="W438:AD440" si="28">ROUND(F438,1)-ROUND(AN438,1)</f>
        <v>-9999.1</v>
      </c>
      <c r="X438" s="474">
        <f t="shared" ca="1" si="28"/>
        <v>-25858.5</v>
      </c>
      <c r="Y438" s="474">
        <f t="shared" si="28"/>
        <v>-9999</v>
      </c>
      <c r="Z438" s="474">
        <f t="shared" ca="1" si="28"/>
        <v>-23932.7</v>
      </c>
      <c r="AA438" s="474">
        <f t="shared" si="28"/>
        <v>-9999</v>
      </c>
      <c r="AB438" s="474">
        <f t="shared" ca="1" si="28"/>
        <v>-22616.3</v>
      </c>
      <c r="AC438" s="474">
        <f t="shared" si="28"/>
        <v>-9999</v>
      </c>
      <c r="AD438" s="3049">
        <f t="shared" ca="1" si="28"/>
        <v>-21422</v>
      </c>
      <c r="AE438" s="468"/>
      <c r="AF438" s="54"/>
      <c r="AG438" s="54"/>
      <c r="AH438" s="54"/>
      <c r="AI438" s="54"/>
      <c r="AJ438" s="259"/>
      <c r="AK438" s="2580" t="s">
        <v>87</v>
      </c>
      <c r="AL438" s="2581"/>
      <c r="AM438" s="3042"/>
      <c r="AN438" s="2851">
        <f>+Transfer!AD238</f>
        <v>8.6999999999999994E-2</v>
      </c>
      <c r="AO438" s="2744">
        <f>100*((Transfer!AD238/Transfer!AD147))</f>
        <v>7.6493805320627731E-2</v>
      </c>
      <c r="AP438" s="2851">
        <f>+Transfer!AE238</f>
        <v>0</v>
      </c>
      <c r="AQ438" s="2744">
        <f>100*((Transfer!AE238/Transfer!AE147))</f>
        <v>0</v>
      </c>
      <c r="AR438" s="2851">
        <f>+Transfer!AF238</f>
        <v>0</v>
      </c>
      <c r="AS438" s="2744">
        <f>100*((Transfer!AF238/Transfer!AF147))</f>
        <v>0</v>
      </c>
      <c r="AT438" s="2851">
        <f>+Transfer!AG238</f>
        <v>0</v>
      </c>
      <c r="AU438" s="3047">
        <f>100*((Transfer!AG238/Transfer!AG147))</f>
        <v>0</v>
      </c>
      <c r="AV438" s="468"/>
      <c r="AW438" s="54"/>
      <c r="AX438" s="54"/>
      <c r="AY438" s="54"/>
      <c r="AZ438" s="54"/>
      <c r="BA438" s="1673" t="s">
        <v>2016</v>
      </c>
      <c r="BB438" s="1699"/>
      <c r="BC438" s="54"/>
    </row>
    <row r="439" spans="1:55" s="217" customFormat="1">
      <c r="A439" s="54"/>
      <c r="B439" s="1992"/>
      <c r="C439" s="2827" t="s">
        <v>86</v>
      </c>
      <c r="D439" s="2545"/>
      <c r="E439" s="2694"/>
      <c r="F439" s="2697">
        <f>+Transfer!D239</f>
        <v>-9999</v>
      </c>
      <c r="G439" s="2695">
        <f ca="1">100*((Transfer!D239/Transfer!D147))</f>
        <v>-25858.377090083042</v>
      </c>
      <c r="H439" s="2697">
        <f>+Transfer!E239</f>
        <v>-9999</v>
      </c>
      <c r="I439" s="2695">
        <f ca="1">100*((Transfer!E239/Transfer!E147))</f>
        <v>-23932.73564703553</v>
      </c>
      <c r="J439" s="2697">
        <f>+Transfer!F239</f>
        <v>-9999</v>
      </c>
      <c r="K439" s="2695">
        <f ca="1">100*((Transfer!F239/Transfer!F147))</f>
        <v>-22616.257738039916</v>
      </c>
      <c r="L439" s="2697">
        <f>+Transfer!G239</f>
        <v>-9999</v>
      </c>
      <c r="M439" s="2750">
        <f ca="1">100*((Transfer!G239/Transfer!G147))</f>
        <v>-21422.029453278315</v>
      </c>
      <c r="N439" s="2731"/>
      <c r="O439" s="54"/>
      <c r="P439" s="54"/>
      <c r="Q439" s="54"/>
      <c r="R439" s="54"/>
      <c r="S439" s="259"/>
      <c r="T439" s="2827" t="s">
        <v>86</v>
      </c>
      <c r="U439" s="2545"/>
      <c r="V439" s="2694"/>
      <c r="W439" s="2697">
        <f t="shared" si="28"/>
        <v>-9999</v>
      </c>
      <c r="X439" s="2695">
        <f t="shared" ca="1" si="28"/>
        <v>-25858.400000000001</v>
      </c>
      <c r="Y439" s="2697">
        <f t="shared" si="28"/>
        <v>-9998.7999999999993</v>
      </c>
      <c r="Z439" s="2695">
        <f t="shared" ca="1" si="28"/>
        <v>-23932.5</v>
      </c>
      <c r="AA439" s="2697">
        <f t="shared" si="28"/>
        <v>-9999</v>
      </c>
      <c r="AB439" s="2695">
        <f t="shared" ca="1" si="28"/>
        <v>-22616.3</v>
      </c>
      <c r="AC439" s="2697">
        <f t="shared" si="28"/>
        <v>-9999</v>
      </c>
      <c r="AD439" s="2750">
        <f t="shared" ca="1" si="28"/>
        <v>-21422</v>
      </c>
      <c r="AE439" s="468"/>
      <c r="AF439" s="54"/>
      <c r="AG439" s="54"/>
      <c r="AH439" s="54"/>
      <c r="AI439" s="54"/>
      <c r="AJ439" s="259"/>
      <c r="AK439" s="2827" t="s">
        <v>86</v>
      </c>
      <c r="AL439" s="2545"/>
      <c r="AM439" s="2694"/>
      <c r="AN439" s="2697">
        <f>+Transfer!AD239</f>
        <v>0</v>
      </c>
      <c r="AO439" s="2695">
        <f>100*((Transfer!AD239/Transfer!AD147))</f>
        <v>0</v>
      </c>
      <c r="AP439" s="2697">
        <f>+Transfer!AE239</f>
        <v>-0.217</v>
      </c>
      <c r="AQ439" s="2695">
        <f>100*((Transfer!AE239/Transfer!AE147))</f>
        <v>-0.18077343414711511</v>
      </c>
      <c r="AR439" s="2697">
        <f>+Transfer!AF239</f>
        <v>0</v>
      </c>
      <c r="AS439" s="2695">
        <f>100*((Transfer!AF239/Transfer!AF147))</f>
        <v>0</v>
      </c>
      <c r="AT439" s="2697">
        <f>+Transfer!AG239</f>
        <v>0</v>
      </c>
      <c r="AU439" s="2750">
        <f>100*((Transfer!AG239/Transfer!AG147))</f>
        <v>0</v>
      </c>
      <c r="AV439" s="468"/>
      <c r="AW439" s="54"/>
      <c r="AX439" s="54"/>
      <c r="AY439" s="54"/>
      <c r="AZ439" s="54"/>
      <c r="BA439" s="1673" t="s">
        <v>2016</v>
      </c>
      <c r="BB439" s="1699"/>
      <c r="BC439" s="54"/>
    </row>
    <row r="440" spans="1:55" ht="13.5" thickBot="1">
      <c r="A440" s="45"/>
      <c r="B440" s="1665"/>
      <c r="C440" s="2573" t="s">
        <v>1268</v>
      </c>
      <c r="D440" s="3038"/>
      <c r="E440" s="3039"/>
      <c r="F440" s="3043">
        <f>+Transfer!D238+Transfer!D239</f>
        <v>-19998</v>
      </c>
      <c r="G440" s="3040">
        <f ca="1">100*(Transfer!D238+Transfer!D239)/Transfer!D147</f>
        <v>-51716.754180166085</v>
      </c>
      <c r="H440" s="3043">
        <f>+Transfer!E238+Transfer!E239</f>
        <v>-19998</v>
      </c>
      <c r="I440" s="3040">
        <f ca="1">100*(Transfer!E238+Transfer!E239)/Transfer!E147</f>
        <v>-47865.471294071052</v>
      </c>
      <c r="J440" s="3043">
        <f>+Transfer!F238+Transfer!F239</f>
        <v>-19998</v>
      </c>
      <c r="K440" s="3040">
        <f ca="1">100*(Transfer!F238+Transfer!F239)/Transfer!F147</f>
        <v>-45232.515476079832</v>
      </c>
      <c r="L440" s="3043">
        <f>+Transfer!G238+Transfer!G239</f>
        <v>-19998</v>
      </c>
      <c r="M440" s="3041">
        <f ca="1">100*(Transfer!G238+Transfer!G239)/Transfer!G147</f>
        <v>-42844.058906556631</v>
      </c>
      <c r="N440" s="2368"/>
      <c r="O440" s="54"/>
      <c r="P440" s="54"/>
      <c r="Q440" s="54"/>
      <c r="R440" s="54"/>
      <c r="S440" s="190"/>
      <c r="T440" s="2573" t="s">
        <v>1268</v>
      </c>
      <c r="U440" s="3038"/>
      <c r="V440" s="3039"/>
      <c r="W440" s="2339">
        <f t="shared" si="28"/>
        <v>-19998.099999999999</v>
      </c>
      <c r="X440" s="477">
        <f t="shared" ca="1" si="28"/>
        <v>-51716.9</v>
      </c>
      <c r="Y440" s="477">
        <f t="shared" si="28"/>
        <v>-19997.8</v>
      </c>
      <c r="Z440" s="477">
        <f t="shared" ca="1" si="28"/>
        <v>-47865.3</v>
      </c>
      <c r="AA440" s="477">
        <f t="shared" si="28"/>
        <v>-19998</v>
      </c>
      <c r="AB440" s="477">
        <f t="shared" ca="1" si="28"/>
        <v>-45232.5</v>
      </c>
      <c r="AC440" s="477">
        <f t="shared" si="28"/>
        <v>-19998</v>
      </c>
      <c r="AD440" s="2340">
        <f t="shared" ca="1" si="28"/>
        <v>-42844.1</v>
      </c>
      <c r="AE440" s="82"/>
      <c r="AF440" s="45"/>
      <c r="AG440" s="45"/>
      <c r="AH440" s="45"/>
      <c r="AI440" s="45"/>
      <c r="AJ440" s="190"/>
      <c r="AK440" s="2573" t="s">
        <v>1268</v>
      </c>
      <c r="AL440" s="3038"/>
      <c r="AM440" s="3039"/>
      <c r="AN440" s="3043">
        <f>+Transfer!AD238+Transfer!AD239</f>
        <v>8.6999999999999994E-2</v>
      </c>
      <c r="AO440" s="3040">
        <f>100*(Transfer!AD238+Transfer!AD239)/Transfer!AD147</f>
        <v>7.6493805320627731E-2</v>
      </c>
      <c r="AP440" s="3043">
        <f>+Transfer!AE238+Transfer!AE239</f>
        <v>-0.217</v>
      </c>
      <c r="AQ440" s="3040">
        <f>100*(Transfer!AE238+Transfer!AE239)/Transfer!AE147</f>
        <v>-0.18077343414711511</v>
      </c>
      <c r="AR440" s="3043">
        <f>+Transfer!AF238+Transfer!AF239</f>
        <v>0</v>
      </c>
      <c r="AS440" s="3040">
        <f>100*(Transfer!AF238+Transfer!AF239)/Transfer!AF147</f>
        <v>0</v>
      </c>
      <c r="AT440" s="3043">
        <f>+Transfer!AG238+Transfer!AG239</f>
        <v>0</v>
      </c>
      <c r="AU440" s="3041">
        <f>100*(Transfer!AG238+Transfer!AG239)/Transfer!AG147</f>
        <v>0</v>
      </c>
      <c r="AV440" s="82"/>
      <c r="AW440" s="54"/>
      <c r="AX440" s="54"/>
      <c r="AY440" s="54"/>
      <c r="AZ440" s="54"/>
      <c r="BA440" s="2002" t="s">
        <v>2017</v>
      </c>
      <c r="BB440" s="1702"/>
      <c r="BC440" s="54"/>
    </row>
    <row r="441" spans="1:55">
      <c r="A441" s="45"/>
      <c r="B441" s="1701"/>
      <c r="C441" s="2477"/>
      <c r="D441" s="2477"/>
      <c r="E441" s="2477"/>
      <c r="F441" s="2850"/>
      <c r="G441" s="2850"/>
      <c r="H441" s="2477"/>
      <c r="I441" s="2761"/>
      <c r="J441" s="2477"/>
      <c r="K441" s="2477"/>
      <c r="L441" s="2477"/>
      <c r="M441" s="2400" t="str">
        <f>UPPER(Country)</f>
        <v>LITHUANIA</v>
      </c>
      <c r="N441" s="2478"/>
      <c r="O441" s="54"/>
      <c r="P441" s="54"/>
      <c r="Q441" s="54"/>
      <c r="R441" s="54"/>
      <c r="S441" s="215"/>
      <c r="T441" s="113"/>
      <c r="U441" s="113"/>
      <c r="V441" s="113"/>
      <c r="W441" s="113"/>
      <c r="X441" s="113"/>
      <c r="Y441" s="113"/>
      <c r="Z441" s="113"/>
      <c r="AA441" s="113"/>
      <c r="AB441" s="113"/>
      <c r="AC441" s="113"/>
      <c r="AD441" s="118" t="str">
        <f>UPPER(Country)</f>
        <v>LITHUANIA</v>
      </c>
      <c r="AE441" s="216"/>
      <c r="AF441" s="45"/>
      <c r="AG441" s="45"/>
      <c r="AH441" s="45"/>
      <c r="AI441" s="45"/>
      <c r="AJ441" s="215"/>
      <c r="AK441" s="113"/>
      <c r="AL441" s="113"/>
      <c r="AM441" s="113"/>
      <c r="AN441" s="113"/>
      <c r="AO441" s="1514"/>
      <c r="AP441" s="113"/>
      <c r="AQ441" s="1514"/>
      <c r="AR441" s="113"/>
      <c r="AS441" s="113"/>
      <c r="AT441" s="113"/>
      <c r="AU441" s="118" t="str">
        <f>UPPER(Country)</f>
        <v>LITHUANIA</v>
      </c>
      <c r="AV441" s="216"/>
      <c r="AW441" s="54"/>
      <c r="AX441" s="54"/>
      <c r="AY441" s="54"/>
      <c r="AZ441" s="54"/>
      <c r="BA441" s="54"/>
      <c r="BB441" s="54"/>
      <c r="BC441" s="54"/>
    </row>
    <row r="442" spans="1:55">
      <c r="A442" s="45"/>
      <c r="B442" s="45"/>
      <c r="C442" s="45"/>
      <c r="D442" s="45"/>
      <c r="E442" s="45"/>
      <c r="F442" s="45"/>
      <c r="G442" s="45"/>
      <c r="H442" s="45"/>
      <c r="I442" s="1720"/>
      <c r="J442" s="45"/>
      <c r="K442" s="45"/>
      <c r="L442" s="45"/>
      <c r="M442" s="45"/>
      <c r="N442" s="54"/>
      <c r="O442" s="54"/>
      <c r="P442" s="54"/>
      <c r="Q442" s="54"/>
      <c r="R442" s="54"/>
      <c r="S442" s="54"/>
      <c r="T442" s="54"/>
      <c r="U442" s="54"/>
      <c r="V442" s="54"/>
      <c r="W442" s="54"/>
      <c r="X442" s="54"/>
      <c r="Y442" s="54"/>
      <c r="Z442" s="54"/>
      <c r="AA442" s="54"/>
      <c r="AB442" s="45"/>
      <c r="AC442" s="45"/>
      <c r="AD442" s="45"/>
      <c r="AE442" s="45"/>
      <c r="AF442" s="45"/>
      <c r="AG442" s="45"/>
      <c r="AH442" s="45"/>
      <c r="AI442" s="45"/>
      <c r="AJ442" s="45"/>
      <c r="AK442" s="45"/>
      <c r="AL442" s="45"/>
      <c r="AM442" s="45"/>
      <c r="AN442" s="45"/>
      <c r="AO442" s="45"/>
      <c r="AP442" s="45"/>
      <c r="AQ442" s="45"/>
      <c r="AR442" s="45"/>
      <c r="AS442" s="45"/>
      <c r="AT442" s="45"/>
      <c r="AU442" s="45"/>
      <c r="AV442" s="54"/>
      <c r="AW442" s="54"/>
      <c r="AX442" s="54"/>
      <c r="AY442" s="54"/>
      <c r="AZ442" s="54"/>
      <c r="BA442" s="54"/>
      <c r="BB442" s="54"/>
      <c r="BC442" s="54"/>
    </row>
    <row r="443" spans="1:55">
      <c r="A443" s="45"/>
      <c r="B443" s="45"/>
      <c r="C443" s="45"/>
      <c r="D443" s="45"/>
      <c r="E443" s="45"/>
      <c r="F443" s="45"/>
      <c r="G443" s="45"/>
      <c r="H443" s="1721"/>
      <c r="I443" s="1721"/>
      <c r="J443" s="1721"/>
      <c r="K443" s="1721"/>
      <c r="L443" s="1721"/>
      <c r="M443" s="187"/>
      <c r="N443" s="54"/>
      <c r="O443" s="54"/>
      <c r="P443" s="54"/>
      <c r="Q443" s="54"/>
      <c r="R443" s="54"/>
      <c r="S443" s="54"/>
      <c r="T443" s="54"/>
      <c r="U443" s="54"/>
      <c r="V443" s="54"/>
      <c r="W443" s="54"/>
      <c r="X443" s="54"/>
      <c r="Y443" s="54"/>
      <c r="Z443" s="54"/>
      <c r="AA443" s="54"/>
      <c r="AB443" s="45"/>
      <c r="AC443" s="45"/>
      <c r="AD443" s="45"/>
      <c r="AE443" s="45"/>
      <c r="AF443" s="45"/>
      <c r="AG443" s="45"/>
      <c r="AH443" s="45"/>
      <c r="AI443" s="45"/>
      <c r="AJ443" s="45"/>
      <c r="AK443" s="45"/>
      <c r="AL443" s="45"/>
      <c r="AM443" s="45"/>
      <c r="AN443" s="45"/>
      <c r="AO443" s="45"/>
      <c r="AP443" s="1721"/>
      <c r="AQ443" s="1721"/>
      <c r="AR443" s="1721"/>
      <c r="AS443" s="1721"/>
      <c r="AT443" s="1721"/>
      <c r="AU443" s="187"/>
      <c r="AV443" s="54"/>
      <c r="AW443" s="54"/>
      <c r="AX443" s="54"/>
      <c r="AY443" s="54"/>
      <c r="AZ443" s="54"/>
      <c r="BA443" s="54"/>
      <c r="BB443" s="54"/>
      <c r="BC443" s="54"/>
    </row>
    <row r="444" spans="1:55">
      <c r="A444" s="45"/>
      <c r="B444" s="45"/>
      <c r="C444" s="45"/>
      <c r="D444" s="45"/>
      <c r="E444" s="45"/>
      <c r="F444" s="45"/>
      <c r="G444" s="45"/>
      <c r="H444" s="45"/>
      <c r="I444" s="1721"/>
      <c r="J444" s="1721"/>
      <c r="K444" s="1721"/>
      <c r="L444" s="1721"/>
      <c r="M444" s="1721"/>
      <c r="N444" s="45"/>
      <c r="O444" s="54"/>
      <c r="P444" s="54"/>
      <c r="Q444" s="54"/>
      <c r="R444" s="54"/>
      <c r="S444" s="54"/>
      <c r="T444" s="54"/>
      <c r="U444" s="54"/>
      <c r="V444" s="54"/>
      <c r="W444" s="54"/>
      <c r="X444" s="54"/>
      <c r="Y444" s="54"/>
      <c r="Z444" s="54"/>
      <c r="AA444" s="54"/>
      <c r="AB444" s="45"/>
      <c r="AC444" s="45"/>
      <c r="AD444" s="45"/>
      <c r="AE444" s="45"/>
      <c r="AF444" s="45"/>
      <c r="AG444" s="45"/>
      <c r="AH444" s="45"/>
      <c r="AI444" s="45"/>
      <c r="AJ444" s="45"/>
      <c r="AK444" s="45"/>
      <c r="AL444" s="45"/>
      <c r="AM444" s="45"/>
      <c r="AN444" s="45"/>
      <c r="AO444" s="45"/>
      <c r="AP444" s="45"/>
      <c r="AQ444" s="1721"/>
      <c r="AR444" s="1721"/>
      <c r="AS444" s="1721"/>
      <c r="AT444" s="1721"/>
      <c r="AU444" s="1721"/>
      <c r="AV444" s="45"/>
      <c r="AW444" s="54"/>
      <c r="AX444" s="54"/>
      <c r="AY444" s="54"/>
      <c r="AZ444" s="54"/>
      <c r="BA444" s="54"/>
      <c r="BB444" s="54"/>
      <c r="BC444" s="54"/>
    </row>
    <row r="445" spans="1:55">
      <c r="A445" s="45"/>
      <c r="B445" s="45"/>
      <c r="C445" s="45"/>
      <c r="D445" s="45"/>
      <c r="E445" s="45"/>
      <c r="F445" s="45"/>
      <c r="G445" s="45"/>
      <c r="H445" s="45"/>
      <c r="I445" s="45"/>
      <c r="J445" s="45"/>
      <c r="K445" s="45"/>
      <c r="L445" s="45"/>
      <c r="M445" s="45"/>
      <c r="N445" s="45"/>
      <c r="O445" s="54"/>
      <c r="P445" s="54"/>
      <c r="Q445" s="54"/>
      <c r="R445" s="54"/>
      <c r="S445" s="54"/>
      <c r="T445" s="54"/>
      <c r="U445" s="54"/>
      <c r="V445" s="54"/>
      <c r="W445" s="54"/>
      <c r="X445" s="54"/>
      <c r="Y445" s="54"/>
      <c r="Z445" s="54"/>
      <c r="AA445" s="54"/>
      <c r="AB445" s="45"/>
      <c r="AC445" s="45"/>
      <c r="AD445" s="45"/>
      <c r="AE445" s="45"/>
      <c r="AF445" s="45"/>
      <c r="AG445" s="45"/>
      <c r="AH445" s="45"/>
      <c r="AI445" s="45"/>
      <c r="AJ445" s="45"/>
      <c r="AK445" s="45"/>
      <c r="AL445" s="45"/>
      <c r="AM445" s="45"/>
      <c r="AN445" s="45"/>
      <c r="AO445" s="45"/>
      <c r="AP445" s="45"/>
      <c r="AQ445" s="45"/>
      <c r="AR445" s="45"/>
      <c r="AS445" s="45"/>
      <c r="AT445" s="45"/>
      <c r="AU445" s="45"/>
      <c r="AV445" s="45"/>
      <c r="AW445" s="54"/>
      <c r="AX445" s="54"/>
      <c r="AY445" s="54"/>
      <c r="AZ445" s="54"/>
      <c r="BA445" s="54"/>
      <c r="BB445" s="54"/>
      <c r="BC445" s="54"/>
    </row>
    <row r="446" spans="1:55">
      <c r="A446" s="45"/>
      <c r="B446" s="2341"/>
      <c r="C446" s="2601" t="s">
        <v>459</v>
      </c>
      <c r="D446" s="2720"/>
      <c r="E446" s="2720"/>
      <c r="F446" s="2720"/>
      <c r="G446" s="2720"/>
      <c r="H446" s="2720"/>
      <c r="I446" s="2720"/>
      <c r="J446" s="2720"/>
      <c r="K446" s="2720"/>
      <c r="L446" s="2720"/>
      <c r="M446" s="2721"/>
      <c r="N446" s="54"/>
      <c r="O446" s="54"/>
      <c r="P446" s="54"/>
      <c r="Q446" s="54"/>
      <c r="R446" s="54"/>
      <c r="S446" s="188"/>
      <c r="T446" s="457" t="s">
        <v>459</v>
      </c>
      <c r="U446" s="458"/>
      <c r="V446" s="458"/>
      <c r="W446" s="458"/>
      <c r="X446" s="458"/>
      <c r="Y446" s="458"/>
      <c r="Z446" s="458"/>
      <c r="AA446" s="458"/>
      <c r="AB446" s="458"/>
      <c r="AC446" s="458"/>
      <c r="AD446" s="459"/>
      <c r="AE446" s="45"/>
      <c r="AF446" s="45"/>
      <c r="AG446" s="45"/>
      <c r="AH446" s="45"/>
      <c r="AI446" s="45"/>
      <c r="AJ446" s="188"/>
      <c r="AK446" s="457" t="s">
        <v>459</v>
      </c>
      <c r="AL446" s="458"/>
      <c r="AM446" s="458"/>
      <c r="AN446" s="458"/>
      <c r="AO446" s="458"/>
      <c r="AP446" s="458"/>
      <c r="AQ446" s="458"/>
      <c r="AR446" s="458"/>
      <c r="AS446" s="458"/>
      <c r="AT446" s="458"/>
      <c r="AU446" s="459"/>
      <c r="AV446" s="54"/>
      <c r="AW446" s="54"/>
      <c r="AX446" s="54"/>
      <c r="AY446" s="54"/>
      <c r="AZ446" s="54"/>
      <c r="BA446" s="54"/>
      <c r="BB446" s="54"/>
      <c r="BC446" s="54"/>
    </row>
    <row r="447" spans="1:55">
      <c r="A447" s="45"/>
      <c r="B447" s="1665"/>
      <c r="C447" s="3752" t="s">
        <v>205</v>
      </c>
      <c r="D447" s="3752"/>
      <c r="E447" s="3752"/>
      <c r="F447" s="3752"/>
      <c r="G447" s="3752"/>
      <c r="H447" s="3752"/>
      <c r="I447" s="3752"/>
      <c r="J447" s="3752"/>
      <c r="K447" s="3752"/>
      <c r="L447" s="3752"/>
      <c r="M447" s="2452"/>
      <c r="N447" s="54"/>
      <c r="O447" s="54"/>
      <c r="P447" s="54"/>
      <c r="Q447" s="54"/>
      <c r="R447" s="54"/>
      <c r="S447" s="190"/>
      <c r="T447" s="3752" t="s">
        <v>205</v>
      </c>
      <c r="U447" s="3752"/>
      <c r="V447" s="3752"/>
      <c r="W447" s="3752"/>
      <c r="X447" s="3752"/>
      <c r="Y447" s="3752"/>
      <c r="Z447" s="3752"/>
      <c r="AA447" s="3752"/>
      <c r="AB447" s="3752"/>
      <c r="AC447" s="3752"/>
      <c r="AD447" s="199"/>
      <c r="AE447" s="45"/>
      <c r="AF447" s="45"/>
      <c r="AG447" s="45"/>
      <c r="AH447" s="45"/>
      <c r="AI447" s="45"/>
      <c r="AJ447" s="190"/>
      <c r="AK447" s="3752" t="s">
        <v>205</v>
      </c>
      <c r="AL447" s="3752"/>
      <c r="AM447" s="3752"/>
      <c r="AN447" s="3752"/>
      <c r="AO447" s="3752"/>
      <c r="AP447" s="3752"/>
      <c r="AQ447" s="3752"/>
      <c r="AR447" s="3752"/>
      <c r="AS447" s="3752"/>
      <c r="AT447" s="3752"/>
      <c r="AU447" s="199"/>
      <c r="AV447" s="54"/>
      <c r="AW447" s="54"/>
      <c r="AX447" s="54"/>
      <c r="AY447" s="54"/>
      <c r="AZ447" s="54"/>
      <c r="BA447" s="54"/>
      <c r="BB447" s="54"/>
      <c r="BC447" s="54"/>
    </row>
    <row r="448" spans="1:55" ht="15.75">
      <c r="A448" s="45"/>
      <c r="B448" s="1665"/>
      <c r="C448" s="2349" t="str">
        <f>"Country: " &amp;UPPER(Country)</f>
        <v>Country: LITHUANIA</v>
      </c>
      <c r="D448" s="2351"/>
      <c r="E448" s="2351"/>
      <c r="F448" s="2351"/>
      <c r="G448" s="2351"/>
      <c r="H448" s="2351"/>
      <c r="I448" s="2351"/>
      <c r="J448" s="2351"/>
      <c r="K448" s="2351"/>
      <c r="L448" s="2351"/>
      <c r="M448" s="2452"/>
      <c r="N448" s="54"/>
      <c r="O448" s="54"/>
      <c r="P448" s="54"/>
      <c r="Q448" s="54"/>
      <c r="R448" s="54"/>
      <c r="S448" s="190"/>
      <c r="T448" s="63" t="str">
        <f>"Country: " &amp;UPPER(Country)</f>
        <v>Country: LITHUANIA</v>
      </c>
      <c r="U448" s="65"/>
      <c r="V448" s="65"/>
      <c r="W448" s="2006" t="s">
        <v>390</v>
      </c>
      <c r="X448" s="65"/>
      <c r="Y448" s="65"/>
      <c r="Z448" s="65"/>
      <c r="AA448" s="65"/>
      <c r="AB448" s="65"/>
      <c r="AC448" s="65"/>
      <c r="AD448" s="196"/>
      <c r="AE448" s="45"/>
      <c r="AF448" s="45"/>
      <c r="AG448" s="45"/>
      <c r="AH448" s="45"/>
      <c r="AI448" s="45"/>
      <c r="AJ448" s="190"/>
      <c r="AK448" s="63" t="str">
        <f>"Country: " &amp;UPPER(Country)</f>
        <v>Country: LITHUANIA</v>
      </c>
      <c r="AL448" s="65"/>
      <c r="AM448" s="65"/>
      <c r="AN448" s="65"/>
      <c r="AO448" s="65"/>
      <c r="AP448" s="65"/>
      <c r="AQ448" s="65"/>
      <c r="AR448" s="65"/>
      <c r="AS448" s="65"/>
      <c r="AT448" s="65"/>
      <c r="AU448" s="196"/>
      <c r="AV448" s="54"/>
      <c r="AW448" s="54"/>
      <c r="AX448" s="54"/>
      <c r="AY448" s="54"/>
      <c r="AZ448" s="54"/>
      <c r="BA448" s="54"/>
      <c r="BB448" s="54"/>
      <c r="BC448" s="54"/>
    </row>
    <row r="449" spans="1:55" ht="16.5" thickBot="1">
      <c r="A449" s="45"/>
      <c r="B449" s="1665"/>
      <c r="C449" s="2355" t="s">
        <v>297</v>
      </c>
      <c r="D449" s="2703"/>
      <c r="E449" s="2351"/>
      <c r="F449" s="2351"/>
      <c r="G449" s="2351"/>
      <c r="H449" s="2351"/>
      <c r="I449" s="2351"/>
      <c r="J449" s="2445"/>
      <c r="K449" s="3790">
        <f ca="1">NOW()</f>
        <v>43335.58773900463</v>
      </c>
      <c r="L449" s="3790"/>
      <c r="M449" s="2602"/>
      <c r="N449" s="54"/>
      <c r="O449" s="54"/>
      <c r="P449" s="54"/>
      <c r="Q449" s="54"/>
      <c r="R449" s="54"/>
      <c r="S449" s="190"/>
      <c r="T449" s="69" t="s">
        <v>297</v>
      </c>
      <c r="V449" s="65"/>
      <c r="W449" s="2006" t="str">
        <f>$T$4</f>
        <v>2nd storage</v>
      </c>
      <c r="X449" s="65"/>
      <c r="Y449" s="65"/>
      <c r="Z449" s="65"/>
      <c r="AA449" s="1"/>
      <c r="AB449" s="3752">
        <f ca="1">NOW()</f>
        <v>43335.58773900463</v>
      </c>
      <c r="AC449" s="3752"/>
      <c r="AD449" s="337"/>
      <c r="AE449" s="45"/>
      <c r="AF449" s="45"/>
      <c r="AG449" s="45"/>
      <c r="AH449" s="45"/>
      <c r="AI449" s="45"/>
      <c r="AJ449" s="190"/>
      <c r="AK449" s="69" t="s">
        <v>297</v>
      </c>
      <c r="AM449" s="65"/>
      <c r="AN449" s="65"/>
      <c r="AO449" s="65"/>
      <c r="AP449" s="65"/>
      <c r="AQ449" s="65"/>
      <c r="AR449" s="1"/>
      <c r="AS449" s="3752">
        <f ca="1">NOW()</f>
        <v>43335.58773900463</v>
      </c>
      <c r="AT449" s="3752"/>
      <c r="AU449" s="337"/>
      <c r="AV449" s="54"/>
      <c r="AW449" s="54"/>
      <c r="AX449" s="54"/>
      <c r="AY449" s="54"/>
      <c r="AZ449" s="54"/>
      <c r="BA449" s="54"/>
      <c r="BB449" s="54"/>
      <c r="BC449" s="54"/>
    </row>
    <row r="450" spans="1:55" ht="13.5" thickBot="1">
      <c r="A450" s="45"/>
      <c r="B450" s="1665"/>
      <c r="C450" s="2762" t="s">
        <v>1232</v>
      </c>
      <c r="D450" s="2763"/>
      <c r="E450" s="2764"/>
      <c r="F450" s="2765"/>
      <c r="G450" s="3752">
        <f>+F16</f>
        <v>2017</v>
      </c>
      <c r="H450" s="3752"/>
      <c r="I450" s="3752">
        <f>G450+1</f>
        <v>2018</v>
      </c>
      <c r="J450" s="3752"/>
      <c r="K450" s="3752">
        <f>I450+1</f>
        <v>2019</v>
      </c>
      <c r="L450" s="3752"/>
      <c r="M450" s="2605"/>
      <c r="N450" s="54"/>
      <c r="O450" s="54"/>
      <c r="P450" s="54"/>
      <c r="Q450" s="54"/>
      <c r="R450" s="54"/>
      <c r="S450" s="190"/>
      <c r="T450" s="1729" t="s">
        <v>1232</v>
      </c>
      <c r="U450" s="1730"/>
      <c r="V450" s="1731"/>
      <c r="W450" s="1732"/>
      <c r="X450" s="3752">
        <f>Last_forecast_year - 3+1</f>
        <v>2017</v>
      </c>
      <c r="Y450" s="3752"/>
      <c r="Z450" s="3752">
        <f>X450+1</f>
        <v>2018</v>
      </c>
      <c r="AA450" s="3752"/>
      <c r="AB450" s="3752">
        <f>Z450+1</f>
        <v>2019</v>
      </c>
      <c r="AC450" s="3752"/>
      <c r="AD450" s="339"/>
      <c r="AE450" s="45"/>
      <c r="AF450" s="45"/>
      <c r="AG450" s="45"/>
      <c r="AH450" s="45"/>
      <c r="AI450" s="45"/>
      <c r="AJ450" s="190"/>
      <c r="AK450" s="1729" t="s">
        <v>1232</v>
      </c>
      <c r="AL450" s="1730"/>
      <c r="AM450" s="1731"/>
      <c r="AN450" s="1732"/>
      <c r="AO450" s="3752">
        <f>Last_forecast_year - 2</f>
        <v>2017</v>
      </c>
      <c r="AP450" s="3752"/>
      <c r="AQ450" s="3752">
        <f>G450+1</f>
        <v>2018</v>
      </c>
      <c r="AR450" s="3752"/>
      <c r="AS450" s="3752">
        <f>AQ450+1</f>
        <v>2019</v>
      </c>
      <c r="AT450" s="3752"/>
      <c r="AU450" s="339"/>
      <c r="AV450" s="54"/>
      <c r="AW450" s="54"/>
      <c r="AX450" s="54"/>
      <c r="AY450" s="54"/>
      <c r="AZ450" s="54"/>
      <c r="BA450" s="1696"/>
      <c r="BB450" s="1697"/>
      <c r="BC450" s="54"/>
    </row>
    <row r="451" spans="1:55">
      <c r="A451" s="45"/>
      <c r="B451" s="1665"/>
      <c r="C451" s="1666" t="s">
        <v>1342</v>
      </c>
      <c r="D451" s="2351"/>
      <c r="E451" s="2766"/>
      <c r="F451" s="2767"/>
      <c r="G451" s="3752">
        <f>+Sector1!$F$36</f>
        <v>1</v>
      </c>
      <c r="H451" s="3752"/>
      <c r="I451" s="3752"/>
      <c r="J451" s="3752"/>
      <c r="K451" s="3752"/>
      <c r="L451" s="3752"/>
      <c r="M451" s="2661"/>
      <c r="N451" s="54"/>
      <c r="O451" s="54"/>
      <c r="P451" s="54"/>
      <c r="Q451" s="54"/>
      <c r="R451" s="54"/>
      <c r="S451" s="190"/>
      <c r="T451" s="40" t="s">
        <v>1342</v>
      </c>
      <c r="U451" s="65"/>
      <c r="V451" s="1722"/>
      <c r="W451" s="137"/>
      <c r="X451" s="3752">
        <f t="shared" ref="X451:AC455" si="29">ROUND(G451,1)-ROUND(AO451,1)</f>
        <v>0</v>
      </c>
      <c r="Y451" s="3752">
        <f t="shared" si="29"/>
        <v>0</v>
      </c>
      <c r="Z451" s="3752">
        <f t="shared" si="29"/>
        <v>0</v>
      </c>
      <c r="AA451" s="3752">
        <f t="shared" si="29"/>
        <v>0</v>
      </c>
      <c r="AB451" s="3752">
        <f t="shared" si="29"/>
        <v>0</v>
      </c>
      <c r="AC451" s="3752">
        <f t="shared" si="29"/>
        <v>0</v>
      </c>
      <c r="AD451" s="393"/>
      <c r="AE451" s="45"/>
      <c r="AF451" s="45"/>
      <c r="AG451" s="45"/>
      <c r="AH451" s="45"/>
      <c r="AI451" s="45"/>
      <c r="AJ451" s="190"/>
      <c r="AK451" s="40" t="s">
        <v>1342</v>
      </c>
      <c r="AL451" s="65"/>
      <c r="AM451" s="1722"/>
      <c r="AN451" s="137"/>
      <c r="AO451" s="3752">
        <f>+Sector1!$F$36</f>
        <v>1</v>
      </c>
      <c r="AP451" s="3752"/>
      <c r="AQ451" s="3752"/>
      <c r="AR451" s="3752"/>
      <c r="AS451" s="3752"/>
      <c r="AT451" s="3752"/>
      <c r="AU451" s="393"/>
      <c r="AV451" s="54"/>
      <c r="AW451" s="54"/>
      <c r="AX451" s="54"/>
      <c r="AY451" s="54"/>
      <c r="AZ451" s="54"/>
      <c r="BA451" s="1734"/>
      <c r="BB451" s="1699"/>
      <c r="BC451" s="54"/>
    </row>
    <row r="452" spans="1:55">
      <c r="A452" s="45"/>
      <c r="B452" s="1665"/>
      <c r="C452" s="1666" t="s">
        <v>1387</v>
      </c>
      <c r="D452" s="2351"/>
      <c r="E452" s="2768"/>
      <c r="F452" s="2692"/>
      <c r="G452" s="3752">
        <f ca="1">((Transfer!E213+Transfer!E231-Transfer!D213-Transfer!D231)/(Transfer!D213+Transfer!D231))/((Transfer!E136-Transfer!D136)/Transfer!D136)</f>
        <v>1.1045762498093492</v>
      </c>
      <c r="H452" s="3752"/>
      <c r="I452" s="3752">
        <f ca="1">((Transfer!F213+Transfer!F231-Transfer!E213-Transfer!E231)/(Transfer!E213+Transfer!E231))/((Transfer!F136-Transfer!E136)/Transfer!E136)</f>
        <v>1.0334949066667576</v>
      </c>
      <c r="J452" s="3752"/>
      <c r="K452" s="3752">
        <f ca="1">((Transfer!G213+Transfer!G231-Transfer!F213-Transfer!F231)/(Transfer!F213+Transfer!F231))/((Transfer!G136-Transfer!F136)/Transfer!F136)</f>
        <v>1.0019174501778765</v>
      </c>
      <c r="L452" s="3752"/>
      <c r="M452" s="2452"/>
      <c r="N452" s="54"/>
      <c r="O452" s="54"/>
      <c r="P452" s="54"/>
      <c r="Q452" s="54"/>
      <c r="R452" s="54"/>
      <c r="S452" s="190"/>
      <c r="T452" s="40" t="s">
        <v>1387</v>
      </c>
      <c r="U452" s="65"/>
      <c r="V452" s="1723"/>
      <c r="W452" s="141"/>
      <c r="X452" s="3752">
        <f t="shared" ca="1" si="29"/>
        <v>0.60000000000000009</v>
      </c>
      <c r="Y452" s="3752">
        <f t="shared" si="29"/>
        <v>0</v>
      </c>
      <c r="Z452" s="3752">
        <f t="shared" ca="1" si="29"/>
        <v>0.30000000000000004</v>
      </c>
      <c r="AA452" s="3752">
        <f t="shared" si="29"/>
        <v>0</v>
      </c>
      <c r="AB452" s="3752">
        <f t="shared" ca="1" si="29"/>
        <v>0.19999999999999996</v>
      </c>
      <c r="AC452" s="3752">
        <f t="shared" si="29"/>
        <v>0</v>
      </c>
      <c r="AD452" s="196"/>
      <c r="AE452" s="45"/>
      <c r="AF452" s="45"/>
      <c r="AG452" s="45"/>
      <c r="AH452" s="45"/>
      <c r="AI452" s="45"/>
      <c r="AJ452" s="190"/>
      <c r="AK452" s="40" t="s">
        <v>1387</v>
      </c>
      <c r="AL452" s="65"/>
      <c r="AM452" s="1723"/>
      <c r="AN452" s="141"/>
      <c r="AO452" s="3752">
        <f>((Transfer!AE213+Transfer!AE231-Transfer!AD213-Transfer!AD231)/(Transfer!AD213+Transfer!AD231))/((Transfer!AE136-Transfer!AD136)/Transfer!AD136)</f>
        <v>0.48865526287942301</v>
      </c>
      <c r="AP452" s="3752"/>
      <c r="AQ452" s="3752">
        <f>((Transfer!AF213+Transfer!AF231-Transfer!AE213-Transfer!AE231)/(Transfer!AE213+Transfer!AE231))/((Transfer!AF136-Transfer!AE136)/Transfer!AE136)</f>
        <v>0.69376653725149806</v>
      </c>
      <c r="AR452" s="3752"/>
      <c r="AS452" s="3752">
        <f>((Transfer!AG213+Transfer!AG231-Transfer!AF213-Transfer!AF231)/(Transfer!AF213+Transfer!AF231))/((Transfer!AG136-Transfer!AF136)/Transfer!AF136)</f>
        <v>0.7988847424953105</v>
      </c>
      <c r="AT452" s="3752"/>
      <c r="AU452" s="196"/>
      <c r="AV452" s="54"/>
      <c r="AW452" s="54"/>
      <c r="AX452" s="54"/>
      <c r="AY452" s="54"/>
      <c r="AZ452" s="54"/>
      <c r="BA452" s="1698" t="s">
        <v>2073</v>
      </c>
      <c r="BB452" s="1699"/>
      <c r="BC452" s="54"/>
    </row>
    <row r="453" spans="1:55">
      <c r="A453" s="45"/>
      <c r="B453" s="1665"/>
      <c r="C453" s="1666" t="s">
        <v>1388</v>
      </c>
      <c r="D453" s="2351"/>
      <c r="E453" s="2768"/>
      <c r="F453" s="2511"/>
      <c r="G453" s="3752">
        <f ca="1">+Transfer!C258</f>
        <v>18.521152755588517</v>
      </c>
      <c r="H453" s="3752"/>
      <c r="I453" s="3752"/>
      <c r="J453" s="3752"/>
      <c r="K453" s="3752"/>
      <c r="L453" s="3752"/>
      <c r="M453" s="2452"/>
      <c r="N453" s="54"/>
      <c r="O453" s="54"/>
      <c r="P453" s="54"/>
      <c r="Q453" s="54"/>
      <c r="R453" s="54"/>
      <c r="S453" s="190"/>
      <c r="T453" s="101" t="s">
        <v>1388</v>
      </c>
      <c r="U453" s="65"/>
      <c r="V453" s="1723"/>
      <c r="W453" s="145"/>
      <c r="X453" s="3752">
        <f t="shared" ca="1" si="29"/>
        <v>0.30000000000000071</v>
      </c>
      <c r="Y453" s="3752">
        <f t="shared" si="29"/>
        <v>0</v>
      </c>
      <c r="Z453" s="3752">
        <f t="shared" si="29"/>
        <v>0</v>
      </c>
      <c r="AA453" s="3752">
        <f t="shared" si="29"/>
        <v>0</v>
      </c>
      <c r="AB453" s="3752">
        <f t="shared" si="29"/>
        <v>0</v>
      </c>
      <c r="AC453" s="3752">
        <f t="shared" si="29"/>
        <v>0</v>
      </c>
      <c r="AD453" s="196"/>
      <c r="AE453" s="45"/>
      <c r="AF453" s="45"/>
      <c r="AG453" s="45"/>
      <c r="AH453" s="45"/>
      <c r="AI453" s="45"/>
      <c r="AJ453" s="190"/>
      <c r="AK453" s="101" t="s">
        <v>1388</v>
      </c>
      <c r="AL453" s="65"/>
      <c r="AM453" s="1723"/>
      <c r="AN453" s="145"/>
      <c r="AO453" s="3752">
        <f>+Transfer!AC258</f>
        <v>18.190023875681963</v>
      </c>
      <c r="AP453" s="3752"/>
      <c r="AQ453" s="3752"/>
      <c r="AR453" s="3752"/>
      <c r="AS453" s="3752"/>
      <c r="AT453" s="3752"/>
      <c r="AU453" s="196"/>
      <c r="AV453" s="54"/>
      <c r="AW453" s="54"/>
      <c r="AX453" s="54"/>
      <c r="AY453" s="54"/>
      <c r="AZ453" s="54"/>
      <c r="BA453" s="1698" t="s">
        <v>2074</v>
      </c>
      <c r="BB453" s="1699"/>
      <c r="BC453" s="54"/>
    </row>
    <row r="454" spans="1:55">
      <c r="A454" s="45"/>
      <c r="B454" s="1665"/>
      <c r="C454" s="1666" t="s">
        <v>1389</v>
      </c>
      <c r="D454" s="2351"/>
      <c r="E454" s="2768"/>
      <c r="F454" s="2692"/>
      <c r="G454" s="3752">
        <f ca="1">100*(Transfer!E213+Transfer!E231)/Transfer!E136</f>
        <v>18.822359301487776</v>
      </c>
      <c r="H454" s="3752"/>
      <c r="I454" s="3752">
        <f ca="1">100*(Transfer!F213+Transfer!F231)/Transfer!F136</f>
        <v>18.859115105307374</v>
      </c>
      <c r="J454" s="3752"/>
      <c r="K454" s="3752">
        <f ca="1">100*(Transfer!G213+Transfer!G231)/Transfer!G136</f>
        <v>18.861023868504464</v>
      </c>
      <c r="L454" s="3752"/>
      <c r="M454" s="2452"/>
      <c r="N454" s="54"/>
      <c r="O454" s="54"/>
      <c r="P454" s="54"/>
      <c r="Q454" s="54"/>
      <c r="R454" s="54"/>
      <c r="S454" s="190"/>
      <c r="T454" s="101" t="s">
        <v>1389</v>
      </c>
      <c r="U454" s="49"/>
      <c r="V454" s="140"/>
      <c r="W454" s="141"/>
      <c r="X454" s="3752">
        <f t="shared" ca="1" si="29"/>
        <v>1.3000000000000007</v>
      </c>
      <c r="Y454" s="3752">
        <f t="shared" si="29"/>
        <v>0</v>
      </c>
      <c r="Z454" s="3752">
        <f t="shared" ca="1" si="29"/>
        <v>1.6999999999999993</v>
      </c>
      <c r="AA454" s="3752">
        <f t="shared" si="29"/>
        <v>0</v>
      </c>
      <c r="AB454" s="3752">
        <f t="shared" ca="1" si="29"/>
        <v>1.8999999999999986</v>
      </c>
      <c r="AC454" s="3752">
        <f t="shared" si="29"/>
        <v>0</v>
      </c>
      <c r="AD454" s="196"/>
      <c r="AE454" s="45"/>
      <c r="AF454" s="45"/>
      <c r="AG454" s="45"/>
      <c r="AH454" s="45"/>
      <c r="AI454" s="45"/>
      <c r="AJ454" s="190"/>
      <c r="AK454" s="101" t="s">
        <v>1389</v>
      </c>
      <c r="AL454" s="49"/>
      <c r="AM454" s="140"/>
      <c r="AN454" s="141"/>
      <c r="AO454" s="3752">
        <f>100*(Transfer!AE213+Transfer!AE231)/Transfer!AE136</f>
        <v>17.530100351375655</v>
      </c>
      <c r="AP454" s="3752"/>
      <c r="AQ454" s="3752">
        <f>100*(Transfer!AF213+Transfer!AF231)/Transfer!AF136</f>
        <v>17.231070297493513</v>
      </c>
      <c r="AR454" s="3752"/>
      <c r="AS454" s="3752">
        <f>100*(Transfer!AG213+Transfer!AG231)/Transfer!AG136</f>
        <v>17.006702086288158</v>
      </c>
      <c r="AT454" s="3752"/>
      <c r="AU454" s="196"/>
      <c r="AV454" s="54"/>
      <c r="AW454" s="54"/>
      <c r="AX454" s="54"/>
      <c r="AY454" s="54"/>
      <c r="AZ454" s="54"/>
      <c r="BA454" s="1698" t="s">
        <v>2075</v>
      </c>
      <c r="BB454" s="1699"/>
      <c r="BC454" s="54"/>
    </row>
    <row r="455" spans="1:55" ht="13.5" thickBot="1">
      <c r="A455" s="45"/>
      <c r="B455" s="1665"/>
      <c r="C455" s="1666" t="s">
        <v>1390</v>
      </c>
      <c r="D455" s="2392"/>
      <c r="E455" s="2769"/>
      <c r="F455" s="2692"/>
      <c r="G455" s="3752">
        <f ca="1">100*(((Transfer!E213+Transfer!E231)/(Transfer!D213+Transfer!D231)-1)-(Sector1!$F$36*((Transfer!E136/Transfer!D136)-1)))*((Transfer!D213+Transfer!D231)/Transfer!E147)</f>
        <v>9.0576071341505499E-2</v>
      </c>
      <c r="H455" s="3752"/>
      <c r="I455" s="3752">
        <f ca="1">100*(((Transfer!F213+Transfer!F231)/(Transfer!E213+Transfer!E231)-1)-(Sector1!$F$36*((Transfer!F136/Transfer!E136)-1)))*((Transfer!E213+Transfer!E231)/Transfer!F147)</f>
        <v>2.3660228022772976E-2</v>
      </c>
      <c r="J455" s="3752"/>
      <c r="K455" s="3752">
        <f ca="1">100*(((Transfer!G213+Transfer!G231)/(Transfer!F213+Transfer!F231)-1)-(Sector1!$F$36*((Transfer!G136/Transfer!F136)-1)))*((Transfer!F213+Transfer!F231)/Transfer!G147)</f>
        <v>1.2286725006916989E-3</v>
      </c>
      <c r="L455" s="3752"/>
      <c r="M455" s="2610"/>
      <c r="N455" s="54"/>
      <c r="O455" s="54"/>
      <c r="P455" s="54"/>
      <c r="Q455" s="54"/>
      <c r="R455" s="54"/>
      <c r="S455" s="190"/>
      <c r="T455" s="101" t="s">
        <v>1390</v>
      </c>
      <c r="U455" s="102"/>
      <c r="V455" s="151"/>
      <c r="W455" s="141"/>
      <c r="X455" s="3752">
        <f t="shared" ca="1" si="29"/>
        <v>0.4</v>
      </c>
      <c r="Y455" s="3752">
        <f t="shared" si="29"/>
        <v>0</v>
      </c>
      <c r="Z455" s="3752">
        <f t="shared" ca="1" si="29"/>
        <v>0.2</v>
      </c>
      <c r="AA455" s="3752">
        <f t="shared" si="29"/>
        <v>0</v>
      </c>
      <c r="AB455" s="3752">
        <f t="shared" ca="1" si="29"/>
        <v>0.1</v>
      </c>
      <c r="AC455" s="3752">
        <f t="shared" si="29"/>
        <v>0</v>
      </c>
      <c r="AD455" s="464"/>
      <c r="AE455" s="45"/>
      <c r="AF455" s="45"/>
      <c r="AG455" s="45"/>
      <c r="AH455" s="45"/>
      <c r="AI455" s="45"/>
      <c r="AJ455" s="190"/>
      <c r="AK455" s="101" t="s">
        <v>1390</v>
      </c>
      <c r="AL455" s="102"/>
      <c r="AM455" s="151"/>
      <c r="AN455" s="141"/>
      <c r="AO455" s="3752">
        <f>100*(((Transfer!AE213+Transfer!AE231)/(Transfer!AD213+Transfer!AD231)-1)-(Sector1!$F$36*((Transfer!AE136/Transfer!AD136)-1)))*((Transfer!AD213+Transfer!AD231)/Transfer!AE147)</f>
        <v>-0.31138985899371735</v>
      </c>
      <c r="AP455" s="3752"/>
      <c r="AQ455" s="3752">
        <f>100*(((Transfer!AF213+Transfer!AF231)/(Transfer!AE213+Transfer!AE231)-1)-(Sector1!$F$36*((Transfer!AF136/Transfer!AE136)-1)))*((Transfer!AE213+Transfer!AE231)/Transfer!AF147)</f>
        <v>-0.18894833539540928</v>
      </c>
      <c r="AR455" s="3752"/>
      <c r="AS455" s="3752">
        <f>100*(((Transfer!AG213+Transfer!AG231)/(Transfer!AF213+Transfer!AF231)-1)-(Sector1!$F$36*((Transfer!AG136/Transfer!AF136)-1)))*((Transfer!AF213+Transfer!AF231)/Transfer!AG147)</f>
        <v>-0.14193130041291485</v>
      </c>
      <c r="AT455" s="3752"/>
      <c r="AU455" s="464"/>
      <c r="AV455" s="54"/>
      <c r="AW455" s="54"/>
      <c r="AX455" s="54"/>
      <c r="AY455" s="54"/>
      <c r="AZ455" s="54"/>
      <c r="BA455" s="1698" t="s">
        <v>102</v>
      </c>
      <c r="BB455" s="1699"/>
      <c r="BC455" s="54"/>
    </row>
    <row r="456" spans="1:55" ht="13.5" thickBot="1">
      <c r="A456" s="45"/>
      <c r="B456" s="1665"/>
      <c r="C456" s="2762" t="s">
        <v>1105</v>
      </c>
      <c r="D456" s="2763"/>
      <c r="E456" s="2770"/>
      <c r="F456" s="2755"/>
      <c r="G456" s="3752">
        <f>+G450</f>
        <v>2017</v>
      </c>
      <c r="H456" s="3752"/>
      <c r="I456" s="3752">
        <f>+I450</f>
        <v>2018</v>
      </c>
      <c r="J456" s="3752"/>
      <c r="K456" s="3752">
        <f>+K450</f>
        <v>2019</v>
      </c>
      <c r="L456" s="3752"/>
      <c r="M456" s="2452"/>
      <c r="N456" s="54"/>
      <c r="O456" s="54"/>
      <c r="P456" s="54"/>
      <c r="Q456" s="54"/>
      <c r="R456" s="54"/>
      <c r="S456" s="190"/>
      <c r="T456" s="1726" t="s">
        <v>1105</v>
      </c>
      <c r="U456" s="479"/>
      <c r="V456" s="1727"/>
      <c r="W456" s="481"/>
      <c r="X456" s="3752">
        <f>+X450</f>
        <v>2017</v>
      </c>
      <c r="Y456" s="3752"/>
      <c r="Z456" s="3752">
        <f>+Z450</f>
        <v>2018</v>
      </c>
      <c r="AA456" s="3752"/>
      <c r="AB456" s="3752">
        <f>+AB450</f>
        <v>2019</v>
      </c>
      <c r="AC456" s="3752"/>
      <c r="AD456" s="199"/>
      <c r="AE456" s="45"/>
      <c r="AF456" s="45"/>
      <c r="AG456" s="45"/>
      <c r="AH456" s="45"/>
      <c r="AI456" s="45"/>
      <c r="AJ456" s="190"/>
      <c r="AK456" s="1726" t="s">
        <v>1105</v>
      </c>
      <c r="AL456" s="479"/>
      <c r="AM456" s="1727"/>
      <c r="AN456" s="481"/>
      <c r="AO456" s="3752">
        <f>+G450</f>
        <v>2017</v>
      </c>
      <c r="AP456" s="3752"/>
      <c r="AQ456" s="3752">
        <f>+AQ450</f>
        <v>2018</v>
      </c>
      <c r="AR456" s="3752"/>
      <c r="AS456" s="3752">
        <f>+AS450</f>
        <v>2019</v>
      </c>
      <c r="AT456" s="3752"/>
      <c r="AU456" s="199"/>
      <c r="AV456" s="54"/>
      <c r="AW456" s="54"/>
      <c r="AX456" s="54"/>
      <c r="AY456" s="54"/>
      <c r="AZ456" s="54"/>
      <c r="BA456" s="1698"/>
      <c r="BB456" s="1699"/>
      <c r="BC456" s="54"/>
    </row>
    <row r="457" spans="1:55">
      <c r="A457" s="45"/>
      <c r="B457" s="1665"/>
      <c r="C457" s="1666" t="s">
        <v>335</v>
      </c>
      <c r="D457" s="2351"/>
      <c r="E457" s="2768"/>
      <c r="F457" s="2692"/>
      <c r="G457" s="3752">
        <f>+Sector1!$F$244</f>
        <v>1.1809724676532847</v>
      </c>
      <c r="H457" s="3752"/>
      <c r="I457" s="3752"/>
      <c r="J457" s="3752"/>
      <c r="K457" s="3752"/>
      <c r="L457" s="3752"/>
      <c r="M457" s="2452"/>
      <c r="N457" s="54"/>
      <c r="O457" s="54"/>
      <c r="P457" s="54"/>
      <c r="Q457" s="54"/>
      <c r="R457" s="54"/>
      <c r="S457" s="190"/>
      <c r="T457" s="40" t="s">
        <v>335</v>
      </c>
      <c r="U457" s="49"/>
      <c r="V457" s="140"/>
      <c r="W457" s="141"/>
      <c r="X457" s="3752">
        <f t="shared" ref="X457:AC461" si="30">ROUND(G457,1)-ROUND(AO457,1)</f>
        <v>0</v>
      </c>
      <c r="Y457" s="3752">
        <f t="shared" si="30"/>
        <v>0</v>
      </c>
      <c r="Z457" s="3752">
        <f t="shared" si="30"/>
        <v>0</v>
      </c>
      <c r="AA457" s="3752">
        <f t="shared" si="30"/>
        <v>0</v>
      </c>
      <c r="AB457" s="3752">
        <f t="shared" si="30"/>
        <v>0</v>
      </c>
      <c r="AC457" s="3752">
        <f t="shared" si="30"/>
        <v>0</v>
      </c>
      <c r="AD457" s="199"/>
      <c r="AE457" s="45"/>
      <c r="AF457" s="45"/>
      <c r="AG457" s="45"/>
      <c r="AH457" s="45"/>
      <c r="AI457" s="45"/>
      <c r="AJ457" s="190"/>
      <c r="AK457" s="40" t="s">
        <v>335</v>
      </c>
      <c r="AL457" s="49"/>
      <c r="AM457" s="140"/>
      <c r="AN457" s="141"/>
      <c r="AO457" s="3752">
        <f>+Sector1!$F$244</f>
        <v>1.1809724676532847</v>
      </c>
      <c r="AP457" s="3752"/>
      <c r="AQ457" s="3752"/>
      <c r="AR457" s="3752"/>
      <c r="AS457" s="3752"/>
      <c r="AT457" s="3752"/>
      <c r="AU457" s="199"/>
      <c r="AV457" s="54"/>
      <c r="AW457" s="54"/>
      <c r="AX457" s="54"/>
      <c r="AY457" s="54"/>
      <c r="AZ457" s="54"/>
      <c r="BA457" s="1698"/>
      <c r="BB457" s="1699"/>
      <c r="BC457" s="54"/>
    </row>
    <row r="458" spans="1:55">
      <c r="A458" s="45"/>
      <c r="B458" s="1665"/>
      <c r="C458" s="1666" t="s">
        <v>1387</v>
      </c>
      <c r="D458" s="2351"/>
      <c r="E458" s="2768"/>
      <c r="F458" s="2692"/>
      <c r="G458" s="3752">
        <f ca="1">((Transfer!E214-Transfer!D214)/Transfer!D214)/((Transfer!E147-Transfer!D147)/Transfer!D147)</f>
        <v>0.68448149407114367</v>
      </c>
      <c r="H458" s="3752"/>
      <c r="I458" s="3752">
        <f ca="1">((Transfer!F214-Transfer!E214)/Transfer!E214)/((Transfer!F147-Transfer!E147)/Transfer!E147)</f>
        <v>0.58770901332492498</v>
      </c>
      <c r="J458" s="3752"/>
      <c r="K458" s="3752">
        <f ca="1">((Transfer!G214-Transfer!F214)/Transfer!F214)/((Transfer!G147-Transfer!F147)/Transfer!F147)</f>
        <v>0.98230649775731482</v>
      </c>
      <c r="L458" s="3752"/>
      <c r="M458" s="2452"/>
      <c r="N458" s="54"/>
      <c r="O458" s="54"/>
      <c r="P458" s="54"/>
      <c r="Q458" s="54"/>
      <c r="R458" s="54"/>
      <c r="S458" s="190"/>
      <c r="T458" s="40" t="s">
        <v>1387</v>
      </c>
      <c r="U458" s="49"/>
      <c r="V458" s="140"/>
      <c r="W458" s="141"/>
      <c r="X458" s="3752">
        <f t="shared" ca="1" si="30"/>
        <v>-0.60000000000000009</v>
      </c>
      <c r="Y458" s="3752">
        <f t="shared" si="30"/>
        <v>0</v>
      </c>
      <c r="Z458" s="3752">
        <f t="shared" ca="1" si="30"/>
        <v>-0.4</v>
      </c>
      <c r="AA458" s="3752">
        <f t="shared" si="30"/>
        <v>0</v>
      </c>
      <c r="AB458" s="3752">
        <f t="shared" ca="1" si="30"/>
        <v>0</v>
      </c>
      <c r="AC458" s="3752">
        <f t="shared" si="30"/>
        <v>0</v>
      </c>
      <c r="AD458" s="199"/>
      <c r="AE458" s="45"/>
      <c r="AF458" s="45"/>
      <c r="AG458" s="45"/>
      <c r="AH458" s="45"/>
      <c r="AI458" s="45"/>
      <c r="AJ458" s="190"/>
      <c r="AK458" s="40" t="s">
        <v>1387</v>
      </c>
      <c r="AL458" s="49"/>
      <c r="AM458" s="140"/>
      <c r="AN458" s="141"/>
      <c r="AO458" s="3752">
        <f>((Transfer!AE214-Transfer!AD214)/Transfer!AD214)/((Transfer!AE147-Transfer!AD147)/Transfer!AD147)</f>
        <v>1.329168197796853</v>
      </c>
      <c r="AP458" s="3752"/>
      <c r="AQ458" s="3752">
        <f>((Transfer!AF214-Transfer!AE214)/Transfer!AE214)/((Transfer!AF147-Transfer!AE147)/Transfer!AE147)</f>
        <v>1.0090318748732019</v>
      </c>
      <c r="AR458" s="3752"/>
      <c r="AS458" s="3752">
        <f>((Transfer!AG214-Transfer!AF214)/Transfer!AF214)/((Transfer!AG147-Transfer!AF147)/Transfer!AF147)</f>
        <v>0.96641130203420855</v>
      </c>
      <c r="AT458" s="3752"/>
      <c r="AU458" s="199"/>
      <c r="AV458" s="54"/>
      <c r="AW458" s="54"/>
      <c r="AX458" s="54"/>
      <c r="AY458" s="54"/>
      <c r="AZ458" s="54"/>
      <c r="BA458" s="1698" t="s">
        <v>2038</v>
      </c>
      <c r="BB458" s="1699"/>
      <c r="BC458" s="54"/>
    </row>
    <row r="459" spans="1:55">
      <c r="A459" s="45"/>
      <c r="B459" s="1665"/>
      <c r="C459" s="1666" t="s">
        <v>1388</v>
      </c>
      <c r="D459" s="2351"/>
      <c r="E459" s="2768"/>
      <c r="F459" s="2692"/>
      <c r="G459" s="3752">
        <f ca="1">+Transfer!C259</f>
        <v>5.2734993650361588</v>
      </c>
      <c r="H459" s="3752"/>
      <c r="I459" s="3752"/>
      <c r="J459" s="3752"/>
      <c r="K459" s="3752"/>
      <c r="L459" s="3752"/>
      <c r="M459" s="2452"/>
      <c r="N459" s="54"/>
      <c r="O459" s="54"/>
      <c r="P459" s="54"/>
      <c r="Q459" s="54"/>
      <c r="R459" s="54"/>
      <c r="S459" s="190"/>
      <c r="T459" s="101" t="s">
        <v>1388</v>
      </c>
      <c r="U459" s="49"/>
      <c r="V459" s="140"/>
      <c r="W459" s="141"/>
      <c r="X459" s="3752">
        <f t="shared" ca="1" si="30"/>
        <v>0.29999999999999982</v>
      </c>
      <c r="Y459" s="3752">
        <f t="shared" si="30"/>
        <v>0</v>
      </c>
      <c r="Z459" s="3752">
        <f t="shared" si="30"/>
        <v>0</v>
      </c>
      <c r="AA459" s="3752">
        <f t="shared" si="30"/>
        <v>0</v>
      </c>
      <c r="AB459" s="3752">
        <f t="shared" si="30"/>
        <v>0</v>
      </c>
      <c r="AC459" s="3752">
        <f t="shared" si="30"/>
        <v>0</v>
      </c>
      <c r="AD459" s="199"/>
      <c r="AE459" s="45"/>
      <c r="AF459" s="45"/>
      <c r="AG459" s="45"/>
      <c r="AH459" s="45"/>
      <c r="AI459" s="45"/>
      <c r="AJ459" s="190"/>
      <c r="AK459" s="101" t="s">
        <v>1388</v>
      </c>
      <c r="AL459" s="49"/>
      <c r="AM459" s="140"/>
      <c r="AN459" s="141"/>
      <c r="AO459" s="3752">
        <f>+Transfer!AC259</f>
        <v>4.9841780210345368</v>
      </c>
      <c r="AP459" s="3752"/>
      <c r="AQ459" s="3752"/>
      <c r="AR459" s="3752"/>
      <c r="AS459" s="3752"/>
      <c r="AT459" s="3752"/>
      <c r="AU459" s="199"/>
      <c r="AV459" s="54"/>
      <c r="AW459" s="54"/>
      <c r="AX459" s="54"/>
      <c r="AY459" s="54"/>
      <c r="AZ459" s="54"/>
      <c r="BA459" s="1698" t="s">
        <v>2039</v>
      </c>
      <c r="BB459" s="1699"/>
      <c r="BC459" s="54"/>
    </row>
    <row r="460" spans="1:55">
      <c r="A460" s="45"/>
      <c r="B460" s="1665"/>
      <c r="C460" s="1666" t="s">
        <v>1389</v>
      </c>
      <c r="D460" s="2351"/>
      <c r="E460" s="2768"/>
      <c r="F460" s="2692"/>
      <c r="G460" s="3752">
        <f ca="1">100*Transfer!E214/Transfer!E147</f>
        <v>5.5418425907745785</v>
      </c>
      <c r="H460" s="3752"/>
      <c r="I460" s="3752">
        <f ca="1">100*Transfer!F214/Transfer!F147</f>
        <v>5.4161588035872024</v>
      </c>
      <c r="J460" s="3752"/>
      <c r="K460" s="3752">
        <f ca="1">100*Transfer!G214/Transfer!G147</f>
        <v>5.4110985555718596</v>
      </c>
      <c r="L460" s="3752"/>
      <c r="M460" s="2452"/>
      <c r="N460" s="54"/>
      <c r="O460" s="54"/>
      <c r="P460" s="54"/>
      <c r="Q460" s="54"/>
      <c r="R460" s="54"/>
      <c r="S460" s="190"/>
      <c r="T460" s="101" t="s">
        <v>1389</v>
      </c>
      <c r="U460" s="49"/>
      <c r="V460" s="140"/>
      <c r="W460" s="141"/>
      <c r="X460" s="3752">
        <f t="shared" ca="1" si="30"/>
        <v>0.5</v>
      </c>
      <c r="Y460" s="3752">
        <f t="shared" si="30"/>
        <v>0</v>
      </c>
      <c r="Z460" s="3752">
        <f t="shared" ca="1" si="30"/>
        <v>0.40000000000000036</v>
      </c>
      <c r="AA460" s="3752">
        <f t="shared" si="30"/>
        <v>0</v>
      </c>
      <c r="AB460" s="3752">
        <f t="shared" ca="1" si="30"/>
        <v>0.40000000000000036</v>
      </c>
      <c r="AC460" s="3752">
        <f t="shared" si="30"/>
        <v>0</v>
      </c>
      <c r="AD460" s="199"/>
      <c r="AE460" s="45"/>
      <c r="AF460" s="45"/>
      <c r="AG460" s="45"/>
      <c r="AH460" s="45"/>
      <c r="AI460" s="45"/>
      <c r="AJ460" s="190"/>
      <c r="AK460" s="101" t="s">
        <v>1389</v>
      </c>
      <c r="AL460" s="49"/>
      <c r="AM460" s="140"/>
      <c r="AN460" s="141"/>
      <c r="AO460" s="3752">
        <f>100*Transfer!AE214/Transfer!AE147</f>
        <v>4.9646469667318609</v>
      </c>
      <c r="AP460" s="3752"/>
      <c r="AQ460" s="3752">
        <f>100*Transfer!AF214/Transfer!AF147</f>
        <v>4.9672479087498127</v>
      </c>
      <c r="AR460" s="3752"/>
      <c r="AS460" s="3752">
        <f>100*Transfer!AG214/Transfer!AG147</f>
        <v>4.9566213487095414</v>
      </c>
      <c r="AT460" s="3752"/>
      <c r="AU460" s="199"/>
      <c r="AV460" s="54"/>
      <c r="AW460" s="54"/>
      <c r="AX460" s="54"/>
      <c r="AY460" s="54"/>
      <c r="AZ460" s="54"/>
      <c r="BA460" s="1698" t="s">
        <v>2040</v>
      </c>
      <c r="BB460" s="1699"/>
      <c r="BC460" s="54"/>
    </row>
    <row r="461" spans="1:55" ht="13.5" thickBot="1">
      <c r="A461" s="45"/>
      <c r="B461" s="1665"/>
      <c r="C461" s="1666" t="s">
        <v>1390</v>
      </c>
      <c r="D461" s="2392"/>
      <c r="E461" s="2769"/>
      <c r="F461" s="2692"/>
      <c r="G461" s="3752">
        <f ca="1">100*(((Transfer!E214/Transfer!D214)-1)-(Sector1!$F$230*((Transfer!E147/Transfer!D147)-1)))*(Transfer!D214/Transfer!E147)</f>
        <v>-0.17138196542067435</v>
      </c>
      <c r="H461" s="3752"/>
      <c r="I461" s="3752">
        <f ca="1">100*(((Transfer!F214/Transfer!E214)-1)-(Sector1!$F$230*((Transfer!F147/Transfer!E147)-1)))*(Transfer!E214/Transfer!F147)</f>
        <v>-0.15311960609306263</v>
      </c>
      <c r="J461" s="3752"/>
      <c r="K461" s="3752">
        <f ca="1">100*(((Transfer!G214/Transfer!F214)-1)-(Sector1!$F$230*((Transfer!G147/Transfer!F147)-1)))*(Transfer!F214/Transfer!G147)</f>
        <v>-3.0799771775777654E-2</v>
      </c>
      <c r="L461" s="3752"/>
      <c r="M461" s="2610"/>
      <c r="N461" s="54"/>
      <c r="O461" s="54"/>
      <c r="P461" s="54"/>
      <c r="Q461" s="54"/>
      <c r="R461" s="54"/>
      <c r="S461" s="190"/>
      <c r="T461" s="101" t="s">
        <v>1390</v>
      </c>
      <c r="U461" s="102"/>
      <c r="V461" s="151"/>
      <c r="W461" s="141"/>
      <c r="X461" s="3752">
        <f t="shared" ca="1" si="30"/>
        <v>-0.30000000000000004</v>
      </c>
      <c r="Y461" s="3752">
        <f t="shared" si="30"/>
        <v>0</v>
      </c>
      <c r="Z461" s="3752">
        <f t="shared" ca="1" si="30"/>
        <v>-0.2</v>
      </c>
      <c r="AA461" s="3752">
        <f t="shared" si="30"/>
        <v>0</v>
      </c>
      <c r="AB461" s="3752">
        <f t="shared" ca="1" si="30"/>
        <v>0</v>
      </c>
      <c r="AC461" s="3752">
        <f t="shared" si="30"/>
        <v>0</v>
      </c>
      <c r="AD461" s="464"/>
      <c r="AE461" s="45"/>
      <c r="AF461" s="45"/>
      <c r="AG461" s="45"/>
      <c r="AH461" s="45"/>
      <c r="AI461" s="45"/>
      <c r="AJ461" s="190"/>
      <c r="AK461" s="101" t="s">
        <v>1390</v>
      </c>
      <c r="AL461" s="102"/>
      <c r="AM461" s="151"/>
      <c r="AN461" s="141"/>
      <c r="AO461" s="3752">
        <f>100*(((Transfer!AE214/Transfer!AD214)-1)-(Sector1!$F$230*((Transfer!AE147/Transfer!AD147)-1)))*(Transfer!AD214/Transfer!AE147)</f>
        <v>6.1307199497723078E-2</v>
      </c>
      <c r="AP461" s="3752"/>
      <c r="AQ461" s="3752">
        <f>100*(((Transfer!AF214/Transfer!AE214)-1)-(Sector1!$F$230*((Transfer!AF147/Transfer!AE147)-1)))*(Transfer!AE214/Transfer!AF147)</f>
        <v>-2.3316686924210395E-2</v>
      </c>
      <c r="AR461" s="3752"/>
      <c r="AS461" s="3752">
        <f>100*(((Transfer!AG214/Transfer!AF214)-1)-(Sector1!$F$230*((Transfer!AG147/Transfer!AF147)-1)))*(Transfer!AF214/Transfer!AG147)</f>
        <v>-3.9100137807365896E-2</v>
      </c>
      <c r="AT461" s="3752"/>
      <c r="AU461" s="464"/>
      <c r="AV461" s="54"/>
      <c r="AW461" s="54"/>
      <c r="AX461" s="54"/>
      <c r="AY461" s="54"/>
      <c r="AZ461" s="54"/>
      <c r="BA461" s="1698" t="s">
        <v>2041</v>
      </c>
      <c r="BB461" s="1699"/>
      <c r="BC461" s="54"/>
    </row>
    <row r="462" spans="1:55" ht="13.5" thickBot="1">
      <c r="A462" s="45"/>
      <c r="B462" s="1665"/>
      <c r="C462" s="2762" t="s">
        <v>1106</v>
      </c>
      <c r="D462" s="2763"/>
      <c r="E462" s="2770"/>
      <c r="F462" s="2771"/>
      <c r="G462" s="3752">
        <f>+G456</f>
        <v>2017</v>
      </c>
      <c r="H462" s="3752"/>
      <c r="I462" s="3752">
        <f>+I456</f>
        <v>2018</v>
      </c>
      <c r="J462" s="3752"/>
      <c r="K462" s="3752">
        <f>+K456</f>
        <v>2019</v>
      </c>
      <c r="L462" s="3752"/>
      <c r="M462" s="2368"/>
      <c r="N462" s="54"/>
      <c r="O462" s="54"/>
      <c r="P462" s="54"/>
      <c r="Q462" s="54"/>
      <c r="R462" s="54"/>
      <c r="S462" s="190"/>
      <c r="T462" s="1726" t="s">
        <v>1106</v>
      </c>
      <c r="U462" s="479"/>
      <c r="V462" s="1727"/>
      <c r="W462" s="1728"/>
      <c r="X462" s="3752">
        <f>+X456</f>
        <v>2017</v>
      </c>
      <c r="Y462" s="3752"/>
      <c r="Z462" s="3752">
        <f>+Z456</f>
        <v>2018</v>
      </c>
      <c r="AA462" s="3752"/>
      <c r="AB462" s="3752">
        <f>+AB456</f>
        <v>2019</v>
      </c>
      <c r="AC462" s="3752"/>
      <c r="AD462" s="82"/>
      <c r="AE462" s="45"/>
      <c r="AF462" s="45"/>
      <c r="AG462" s="45"/>
      <c r="AH462" s="45"/>
      <c r="AI462" s="45"/>
      <c r="AJ462" s="190"/>
      <c r="AK462" s="1726" t="s">
        <v>1106</v>
      </c>
      <c r="AL462" s="479"/>
      <c r="AM462" s="1727"/>
      <c r="AN462" s="1728"/>
      <c r="AO462" s="3752">
        <f>+G450</f>
        <v>2017</v>
      </c>
      <c r="AP462" s="3752"/>
      <c r="AQ462" s="3752">
        <f>+AQ456</f>
        <v>2018</v>
      </c>
      <c r="AR462" s="3752"/>
      <c r="AS462" s="3752">
        <f>+AS456</f>
        <v>2019</v>
      </c>
      <c r="AT462" s="3752"/>
      <c r="AU462" s="82"/>
      <c r="AV462" s="54"/>
      <c r="AW462" s="54"/>
      <c r="AX462" s="54"/>
      <c r="AY462" s="54"/>
      <c r="AZ462" s="54"/>
      <c r="BA462" s="1698"/>
      <c r="BB462" s="1699"/>
      <c r="BC462" s="54"/>
    </row>
    <row r="463" spans="1:55">
      <c r="A463" s="45"/>
      <c r="B463" s="1665"/>
      <c r="C463" s="1666" t="s">
        <v>336</v>
      </c>
      <c r="D463" s="2351"/>
      <c r="E463" s="2768"/>
      <c r="F463" s="2692"/>
      <c r="G463" s="3752">
        <f>+Sector1!$F$289</f>
        <v>1</v>
      </c>
      <c r="H463" s="3752"/>
      <c r="I463" s="3752"/>
      <c r="J463" s="3752"/>
      <c r="K463" s="3752"/>
      <c r="L463" s="3752"/>
      <c r="M463" s="2452"/>
      <c r="N463" s="54"/>
      <c r="O463" s="54"/>
      <c r="P463" s="54"/>
      <c r="Q463" s="54"/>
      <c r="R463" s="54"/>
      <c r="S463" s="190"/>
      <c r="T463" s="40" t="s">
        <v>336</v>
      </c>
      <c r="U463" s="49"/>
      <c r="V463" s="140"/>
      <c r="W463" s="141"/>
      <c r="X463" s="3752">
        <f t="shared" ref="X463:AC467" si="31">ROUND(G463,1)-ROUND(AO463,1)</f>
        <v>0</v>
      </c>
      <c r="Y463" s="3752">
        <f t="shared" si="31"/>
        <v>0</v>
      </c>
      <c r="Z463" s="3752">
        <f t="shared" si="31"/>
        <v>0</v>
      </c>
      <c r="AA463" s="3752">
        <f t="shared" si="31"/>
        <v>0</v>
      </c>
      <c r="AB463" s="3752">
        <f t="shared" si="31"/>
        <v>0</v>
      </c>
      <c r="AC463" s="3752">
        <f t="shared" si="31"/>
        <v>0</v>
      </c>
      <c r="AD463" s="199"/>
      <c r="AE463" s="45"/>
      <c r="AF463" s="45"/>
      <c r="AG463" s="45"/>
      <c r="AH463" s="45"/>
      <c r="AI463" s="45"/>
      <c r="AJ463" s="190"/>
      <c r="AK463" s="40" t="s">
        <v>336</v>
      </c>
      <c r="AL463" s="49"/>
      <c r="AM463" s="140"/>
      <c r="AN463" s="141"/>
      <c r="AO463" s="3752">
        <f>+Sector1!$F$289</f>
        <v>1</v>
      </c>
      <c r="AP463" s="3752"/>
      <c r="AQ463" s="3752"/>
      <c r="AR463" s="3752"/>
      <c r="AS463" s="3752"/>
      <c r="AT463" s="3752"/>
      <c r="AU463" s="199"/>
      <c r="AV463" s="54"/>
      <c r="AW463" s="54"/>
      <c r="AX463" s="54"/>
      <c r="AY463" s="54"/>
      <c r="AZ463" s="54"/>
      <c r="BA463" s="1698"/>
      <c r="BB463" s="1699"/>
      <c r="BC463" s="54"/>
    </row>
    <row r="464" spans="1:55">
      <c r="A464" s="45"/>
      <c r="B464" s="1665"/>
      <c r="C464" s="1666" t="s">
        <v>1387</v>
      </c>
      <c r="D464" s="2351"/>
      <c r="E464" s="2768"/>
      <c r="F464" s="2692"/>
      <c r="G464" s="3752">
        <f ca="1">((Transfer!E215-Transfer!D215)/Transfer!D215)/((Transfer!E161-Transfer!D161)/Transfer!D161)</f>
        <v>1.3792435312750166</v>
      </c>
      <c r="H464" s="3752"/>
      <c r="I464" s="3752">
        <f ca="1">((Transfer!F215-Transfer!E215)/Transfer!E215)/((Transfer!F161-Transfer!E161)/Transfer!E161)</f>
        <v>1.1238266284995697</v>
      </c>
      <c r="J464" s="3752"/>
      <c r="K464" s="3752">
        <f ca="1">((Transfer!G215-Transfer!F215)/Transfer!F215)/((Transfer!G161-Transfer!F161)/Transfer!F161)</f>
        <v>0.98621282138116784</v>
      </c>
      <c r="L464" s="3752"/>
      <c r="M464" s="2452"/>
      <c r="N464" s="54"/>
      <c r="O464" s="54"/>
      <c r="P464" s="54"/>
      <c r="Q464" s="54"/>
      <c r="R464" s="54"/>
      <c r="S464" s="190"/>
      <c r="T464" s="40" t="s">
        <v>1387</v>
      </c>
      <c r="U464" s="49"/>
      <c r="V464" s="140"/>
      <c r="W464" s="141"/>
      <c r="X464" s="3752">
        <f t="shared" ca="1" si="31"/>
        <v>9.9999999999999867E-2</v>
      </c>
      <c r="Y464" s="3752">
        <f t="shared" si="31"/>
        <v>0</v>
      </c>
      <c r="Z464" s="3752">
        <f t="shared" ca="1" si="31"/>
        <v>0.20000000000000007</v>
      </c>
      <c r="AA464" s="3752">
        <f t="shared" si="31"/>
        <v>0</v>
      </c>
      <c r="AB464" s="3752">
        <f t="shared" ca="1" si="31"/>
        <v>0</v>
      </c>
      <c r="AC464" s="3752">
        <f t="shared" si="31"/>
        <v>0</v>
      </c>
      <c r="AD464" s="199"/>
      <c r="AE464" s="45"/>
      <c r="AF464" s="45"/>
      <c r="AG464" s="45"/>
      <c r="AH464" s="45"/>
      <c r="AI464" s="45"/>
      <c r="AJ464" s="190"/>
      <c r="AK464" s="40" t="s">
        <v>1387</v>
      </c>
      <c r="AL464" s="49"/>
      <c r="AM464" s="140"/>
      <c r="AN464" s="141"/>
      <c r="AO464" s="3752">
        <f>((Transfer!AE215-Transfer!AD215)/Transfer!AD215)/((Transfer!AE161-Transfer!AD161)/Transfer!AD161)</f>
        <v>1.284674033062404</v>
      </c>
      <c r="AP464" s="3752"/>
      <c r="AQ464" s="3752">
        <f>((Transfer!AF215-Transfer!AE215)/Transfer!AE215)/((Transfer!AF161-Transfer!AE161)/Transfer!AE161)</f>
        <v>0.93237412469078595</v>
      </c>
      <c r="AR464" s="3752"/>
      <c r="AS464" s="3752">
        <f>((Transfer!AG215-Transfer!AF215)/Transfer!AF215)/((Transfer!AG161-Transfer!AF161)/Transfer!AF161)</f>
        <v>0.99591527347838626</v>
      </c>
      <c r="AT464" s="3752"/>
      <c r="AU464" s="199"/>
      <c r="AV464" s="54"/>
      <c r="AW464" s="54"/>
      <c r="AX464" s="54"/>
      <c r="AY464" s="54"/>
      <c r="AZ464" s="54"/>
      <c r="BA464" s="1698" t="s">
        <v>1001</v>
      </c>
      <c r="BB464" s="1699"/>
      <c r="BC464" s="54"/>
    </row>
    <row r="465" spans="1:256">
      <c r="A465" s="45"/>
      <c r="B465" s="1665"/>
      <c r="C465" s="1666" t="s">
        <v>1388</v>
      </c>
      <c r="D465" s="2351"/>
      <c r="E465" s="2768"/>
      <c r="F465" s="2377"/>
      <c r="G465" s="3752">
        <f ca="1">+Transfer!C260</f>
        <v>28.494703738629902</v>
      </c>
      <c r="H465" s="3752"/>
      <c r="I465" s="3752"/>
      <c r="J465" s="3752"/>
      <c r="K465" s="3752"/>
      <c r="L465" s="3752"/>
      <c r="M465" s="2368"/>
      <c r="N465" s="54"/>
      <c r="O465" s="54"/>
      <c r="P465" s="54"/>
      <c r="Q465" s="54"/>
      <c r="R465" s="54"/>
      <c r="S465" s="190"/>
      <c r="T465" s="101" t="s">
        <v>1388</v>
      </c>
      <c r="U465" s="49"/>
      <c r="V465" s="140"/>
      <c r="W465" s="92"/>
      <c r="X465" s="3752">
        <f t="shared" ca="1" si="31"/>
        <v>-0.69999999999999929</v>
      </c>
      <c r="Y465" s="3752">
        <f t="shared" si="31"/>
        <v>0</v>
      </c>
      <c r="Z465" s="3752">
        <f t="shared" si="31"/>
        <v>0</v>
      </c>
      <c r="AA465" s="3752">
        <f t="shared" si="31"/>
        <v>0</v>
      </c>
      <c r="AB465" s="3752">
        <f t="shared" si="31"/>
        <v>0</v>
      </c>
      <c r="AC465" s="3752">
        <f t="shared" si="31"/>
        <v>0</v>
      </c>
      <c r="AD465" s="82"/>
      <c r="AE465" s="45"/>
      <c r="AF465" s="45"/>
      <c r="AG465" s="45"/>
      <c r="AH465" s="45"/>
      <c r="AI465" s="45"/>
      <c r="AJ465" s="190"/>
      <c r="AK465" s="101" t="s">
        <v>1388</v>
      </c>
      <c r="AL465" s="49"/>
      <c r="AM465" s="140"/>
      <c r="AN465" s="92"/>
      <c r="AO465" s="3752">
        <f>+Transfer!AC260</f>
        <v>29.244220911408064</v>
      </c>
      <c r="AP465" s="3752"/>
      <c r="AQ465" s="3752"/>
      <c r="AR465" s="3752"/>
      <c r="AS465" s="3752"/>
      <c r="AT465" s="3752"/>
      <c r="AU465" s="82"/>
      <c r="AV465" s="54"/>
      <c r="AW465" s="54"/>
      <c r="AX465" s="54"/>
      <c r="AY465" s="54"/>
      <c r="AZ465" s="54"/>
      <c r="BA465" s="1698" t="s">
        <v>1002</v>
      </c>
      <c r="BB465" s="1699"/>
      <c r="BC465" s="54"/>
    </row>
    <row r="466" spans="1:256">
      <c r="A466" s="45"/>
      <c r="B466" s="1665"/>
      <c r="C466" s="1666" t="s">
        <v>1389</v>
      </c>
      <c r="D466" s="2351"/>
      <c r="E466" s="2768"/>
      <c r="F466" s="2692"/>
      <c r="G466" s="3752">
        <f ca="1">100*Transfer!E215/Transfer!E161</f>
        <v>29.508480824713736</v>
      </c>
      <c r="H466" s="3752"/>
      <c r="I466" s="3752">
        <f ca="1">100*Transfer!F215/Transfer!F161</f>
        <v>29.714063808457762</v>
      </c>
      <c r="J466" s="3752"/>
      <c r="K466" s="3752">
        <f ca="1">100*Transfer!G215/Transfer!G161</f>
        <v>29.691557174474582</v>
      </c>
      <c r="L466" s="3752"/>
      <c r="M466" s="2452"/>
      <c r="N466" s="54"/>
      <c r="O466" s="54"/>
      <c r="P466" s="54"/>
      <c r="Q466" s="54"/>
      <c r="R466" s="54"/>
      <c r="S466" s="190"/>
      <c r="T466" s="101" t="s">
        <v>1389</v>
      </c>
      <c r="U466" s="49"/>
      <c r="V466" s="140"/>
      <c r="W466" s="141"/>
      <c r="X466" s="3752">
        <f t="shared" ca="1" si="31"/>
        <v>0.19999999999999929</v>
      </c>
      <c r="Y466" s="3752">
        <f t="shared" si="31"/>
        <v>0</v>
      </c>
      <c r="Z466" s="3752">
        <f t="shared" ca="1" si="31"/>
        <v>0.5</v>
      </c>
      <c r="AA466" s="3752">
        <f t="shared" si="31"/>
        <v>0</v>
      </c>
      <c r="AB466" s="3752">
        <f t="shared" ca="1" si="31"/>
        <v>0.5</v>
      </c>
      <c r="AC466" s="3752">
        <f t="shared" si="31"/>
        <v>0</v>
      </c>
      <c r="AD466" s="199"/>
      <c r="AE466" s="45"/>
      <c r="AF466" s="45"/>
      <c r="AG466" s="45"/>
      <c r="AH466" s="45"/>
      <c r="AI466" s="45"/>
      <c r="AJ466" s="190"/>
      <c r="AK466" s="101" t="s">
        <v>1389</v>
      </c>
      <c r="AL466" s="49"/>
      <c r="AM466" s="140"/>
      <c r="AN466" s="141"/>
      <c r="AO466" s="3752">
        <f>100*Transfer!AE215/Transfer!AE161</f>
        <v>29.306382260721229</v>
      </c>
      <c r="AP466" s="3752"/>
      <c r="AQ466" s="3752">
        <f>100*Transfer!AF215/Transfer!AF161</f>
        <v>29.201689111494236</v>
      </c>
      <c r="AR466" s="3752"/>
      <c r="AS466" s="3752">
        <f>100*Transfer!AG215/Transfer!AG161</f>
        <v>29.194911243023974</v>
      </c>
      <c r="AT466" s="3752"/>
      <c r="AU466" s="199"/>
      <c r="AV466" s="54"/>
      <c r="AW466" s="54"/>
      <c r="AX466" s="54"/>
      <c r="AY466" s="54"/>
      <c r="AZ466" s="54"/>
      <c r="BA466" s="1698" t="s">
        <v>1003</v>
      </c>
      <c r="BB466" s="1699"/>
      <c r="BC466" s="54"/>
    </row>
    <row r="467" spans="1:256" ht="13.5" thickBot="1">
      <c r="A467" s="45"/>
      <c r="B467" s="1665"/>
      <c r="C467" s="2395" t="s">
        <v>1390</v>
      </c>
      <c r="D467" s="2736"/>
      <c r="E467" s="2772"/>
      <c r="F467" s="2738"/>
      <c r="G467" s="3752">
        <f ca="1">100*(((Transfer!E215/Transfer!D215)-1)-(Sector1!$F$289*((Transfer!E161/Transfer!D161)-1)))*(Transfer!D215/Transfer!E147)</f>
        <v>0.39494864739225632</v>
      </c>
      <c r="H467" s="3752"/>
      <c r="I467" s="3752">
        <f ca="1">100*(((Transfer!F215/Transfer!E215)-1)-(Sector1!$F$289*((Transfer!F161/Transfer!E161)-1)))*(Transfer!E215/Transfer!F147)</f>
        <v>9.0905094276938186E-2</v>
      </c>
      <c r="J467" s="3752"/>
      <c r="K467" s="3752">
        <f ca="1">100*(((Transfer!G215/Transfer!F215)-1)-(Sector1!$F$289*((Transfer!G161/Transfer!F161)-1)))*(Transfer!F215/Transfer!G147)</f>
        <v>-9.97450117163526E-3</v>
      </c>
      <c r="L467" s="3752"/>
      <c r="M467" s="2731"/>
      <c r="N467" s="54"/>
      <c r="O467" s="54"/>
      <c r="P467" s="54"/>
      <c r="Q467" s="54"/>
      <c r="R467" s="54"/>
      <c r="S467" s="190"/>
      <c r="T467" s="109" t="s">
        <v>1390</v>
      </c>
      <c r="U467" s="183"/>
      <c r="V467" s="1725"/>
      <c r="W467" s="469"/>
      <c r="X467" s="3752">
        <f t="shared" ca="1" si="31"/>
        <v>0.2</v>
      </c>
      <c r="Y467" s="3752">
        <f t="shared" si="31"/>
        <v>0</v>
      </c>
      <c r="Z467" s="3752">
        <f t="shared" ca="1" si="31"/>
        <v>0.1</v>
      </c>
      <c r="AA467" s="3752">
        <f t="shared" si="31"/>
        <v>0</v>
      </c>
      <c r="AB467" s="3752">
        <f t="shared" ca="1" si="31"/>
        <v>0</v>
      </c>
      <c r="AC467" s="3752">
        <f t="shared" si="31"/>
        <v>0</v>
      </c>
      <c r="AD467" s="468"/>
      <c r="AE467" s="45"/>
      <c r="AF467" s="45"/>
      <c r="AG467" s="45"/>
      <c r="AH467" s="45"/>
      <c r="AI467" s="45"/>
      <c r="AJ467" s="190"/>
      <c r="AK467" s="109" t="s">
        <v>1390</v>
      </c>
      <c r="AL467" s="183"/>
      <c r="AM467" s="1725"/>
      <c r="AN467" s="469"/>
      <c r="AO467" s="3752">
        <f>100*(((Transfer!AE215/Transfer!AD215)-1)-(Sector1!$F$289*((Transfer!AE161/Transfer!AD161)-1)))*(Transfer!AD215/Transfer!AE147)</f>
        <v>0.18972129705076671</v>
      </c>
      <c r="AP467" s="3752"/>
      <c r="AQ467" s="3752">
        <f>100*(((Transfer!AF215/Transfer!AE215)-1)-(Sector1!$F$289*((Transfer!AF161/Transfer!AE161)-1)))*(Transfer!AE215/Transfer!AF147)</f>
        <v>-4.1064792982692187E-2</v>
      </c>
      <c r="AR467" s="3752"/>
      <c r="AS467" s="3752">
        <f>100*(((Transfer!AG215/Transfer!AF215)-1)-(Sector1!$F$289*((Transfer!AG161/Transfer!AF161)-1)))*(Transfer!AF215/Transfer!AG147)</f>
        <v>-2.6391860372341402E-3</v>
      </c>
      <c r="AT467" s="3752"/>
      <c r="AU467" s="468"/>
      <c r="AV467" s="54"/>
      <c r="AW467" s="54"/>
      <c r="AX467" s="54"/>
      <c r="AY467" s="54"/>
      <c r="AZ467" s="54"/>
      <c r="BA467" s="1736" t="s">
        <v>931</v>
      </c>
      <c r="BB467" s="1702"/>
      <c r="BC467" s="54"/>
    </row>
    <row r="468" spans="1:256">
      <c r="A468" s="45"/>
      <c r="B468" s="1701"/>
      <c r="C468" s="2477"/>
      <c r="D468" s="2477"/>
      <c r="E468" s="2477"/>
      <c r="F468" s="2477"/>
      <c r="G468" s="2477"/>
      <c r="H468" s="2477"/>
      <c r="I468" s="2477"/>
      <c r="J468" s="2477"/>
      <c r="K468" s="2477"/>
      <c r="L468" s="2400" t="str">
        <f>UPPER(Country)</f>
        <v>LITHUANIA</v>
      </c>
      <c r="M468" s="2478"/>
      <c r="N468" s="54"/>
      <c r="O468" s="54"/>
      <c r="P468" s="54"/>
      <c r="Q468" s="54"/>
      <c r="R468" s="54"/>
      <c r="S468" s="215"/>
      <c r="T468" s="113"/>
      <c r="U468" s="113"/>
      <c r="V468" s="113"/>
      <c r="W468" s="113"/>
      <c r="X468" s="113"/>
      <c r="Y468" s="113"/>
      <c r="Z468" s="113"/>
      <c r="AA468" s="113"/>
      <c r="AB468" s="113"/>
      <c r="AC468" s="118" t="str">
        <f>UPPER(Country)</f>
        <v>LITHUANIA</v>
      </c>
      <c r="AD468" s="216"/>
      <c r="AE468" s="45"/>
      <c r="AF468" s="45"/>
      <c r="AG468" s="45"/>
      <c r="AH468" s="45"/>
      <c r="AI468" s="45"/>
      <c r="AJ468" s="215"/>
      <c r="AK468" s="113"/>
      <c r="AL468" s="113"/>
      <c r="AM468" s="113"/>
      <c r="AN468" s="113"/>
      <c r="AO468" s="113"/>
      <c r="AP468" s="113"/>
      <c r="AQ468" s="113"/>
      <c r="AR468" s="113"/>
      <c r="AS468" s="113"/>
      <c r="AT468" s="118" t="str">
        <f>UPPER(Country)</f>
        <v>LITHUANIA</v>
      </c>
      <c r="AU468" s="216"/>
      <c r="AV468" s="54"/>
      <c r="AW468" s="54"/>
      <c r="AX468" s="54"/>
      <c r="AY468" s="54"/>
      <c r="AZ468" s="54"/>
      <c r="BA468" s="54"/>
      <c r="BB468" s="54"/>
      <c r="BC468" s="54"/>
    </row>
    <row r="469" spans="1:256">
      <c r="A469" s="45"/>
      <c r="B469" s="45"/>
      <c r="C469" s="45"/>
      <c r="D469" s="45"/>
      <c r="E469" s="45"/>
      <c r="F469" s="45"/>
      <c r="G469" s="45"/>
      <c r="H469" s="45"/>
      <c r="I469" s="45"/>
      <c r="J469" s="45"/>
      <c r="K469" s="45"/>
      <c r="L469" s="45"/>
      <c r="M469" s="45"/>
      <c r="N469" s="45"/>
      <c r="O469" s="54"/>
      <c r="P469" s="54"/>
      <c r="Q469" s="54"/>
      <c r="R469" s="54"/>
      <c r="S469" s="54"/>
      <c r="T469" s="54"/>
      <c r="U469" s="54"/>
      <c r="V469" s="54"/>
      <c r="W469" s="54"/>
      <c r="X469" s="54"/>
      <c r="Y469" s="54"/>
      <c r="Z469" s="54"/>
      <c r="AA469" s="54"/>
      <c r="AB469" s="45"/>
      <c r="AC469" s="45"/>
      <c r="AD469" s="45"/>
      <c r="AE469" s="45"/>
      <c r="AF469" s="45"/>
      <c r="AG469" s="45"/>
      <c r="AH469" s="45"/>
      <c r="AI469" s="45"/>
      <c r="AJ469" s="45"/>
      <c r="AK469" s="45"/>
      <c r="AL469" s="45"/>
      <c r="AM469" s="45"/>
      <c r="AN469" s="45"/>
      <c r="AO469" s="45"/>
      <c r="AP469" s="45"/>
      <c r="AQ469" s="45"/>
      <c r="AR469" s="45"/>
      <c r="AS469" s="45"/>
      <c r="AT469" s="45"/>
      <c r="AU469" s="45"/>
      <c r="AV469" s="45"/>
      <c r="AW469" s="54"/>
      <c r="AX469" s="54"/>
      <c r="AY469" s="54"/>
      <c r="AZ469" s="54"/>
      <c r="BA469" s="54"/>
      <c r="BB469" s="54"/>
      <c r="BC469" s="54"/>
    </row>
    <row r="470" spans="1:256">
      <c r="A470" s="45"/>
      <c r="B470" s="45"/>
      <c r="C470" s="45"/>
      <c r="D470" s="45"/>
      <c r="E470" s="45"/>
      <c r="F470" s="45"/>
      <c r="G470" s="45"/>
      <c r="H470" s="45"/>
      <c r="I470" s="45"/>
      <c r="J470" s="45"/>
      <c r="K470" s="45"/>
      <c r="L470" s="45"/>
      <c r="M470" s="45"/>
      <c r="N470" s="45"/>
      <c r="O470" s="54"/>
      <c r="P470" s="54"/>
      <c r="Q470" s="54"/>
      <c r="R470" s="54"/>
      <c r="S470" s="54"/>
      <c r="T470" s="54"/>
      <c r="U470" s="54"/>
      <c r="V470" s="54"/>
      <c r="W470" s="54"/>
      <c r="X470" s="54"/>
      <c r="Y470" s="54"/>
      <c r="Z470" s="54"/>
      <c r="AA470" s="54"/>
      <c r="AB470" s="45"/>
      <c r="AC470" s="45"/>
      <c r="AD470" s="45"/>
      <c r="AE470" s="45"/>
      <c r="AF470" s="45"/>
      <c r="AG470" s="45"/>
      <c r="AH470" s="45"/>
      <c r="AI470" s="45"/>
      <c r="AJ470" s="45"/>
      <c r="AK470" s="45"/>
      <c r="AL470" s="45"/>
      <c r="AM470" s="45"/>
      <c r="AN470" s="45"/>
      <c r="AO470" s="45"/>
      <c r="AP470" s="45"/>
      <c r="AQ470" s="45"/>
      <c r="AR470" s="45"/>
      <c r="AS470" s="45"/>
      <c r="AT470" s="45"/>
      <c r="AU470" s="45"/>
      <c r="AV470" s="45"/>
      <c r="AW470" s="54"/>
      <c r="AX470" s="54"/>
      <c r="AY470" s="54"/>
      <c r="AZ470" s="54"/>
      <c r="BA470" s="54"/>
      <c r="BB470" s="54"/>
      <c r="BC470" s="54"/>
    </row>
    <row r="471" spans="1:256">
      <c r="A471" s="45"/>
      <c r="B471" s="45"/>
      <c r="C471" s="45"/>
      <c r="D471" s="45"/>
      <c r="E471" s="45"/>
      <c r="F471" s="45"/>
      <c r="G471" s="45"/>
      <c r="H471" s="45"/>
      <c r="I471" s="45"/>
      <c r="J471" s="45"/>
      <c r="K471" s="45"/>
      <c r="L471" s="45"/>
      <c r="M471" s="45"/>
      <c r="N471" s="45"/>
      <c r="O471" s="54"/>
      <c r="P471" s="54"/>
      <c r="Q471" s="54"/>
      <c r="R471" s="54"/>
      <c r="S471" s="54"/>
      <c r="T471" s="54"/>
      <c r="U471" s="54"/>
      <c r="V471" s="54"/>
      <c r="W471" s="54"/>
      <c r="X471" s="54"/>
      <c r="Y471" s="54"/>
      <c r="Z471" s="54"/>
      <c r="AA471" s="54"/>
      <c r="AB471" s="45"/>
      <c r="AC471" s="45"/>
      <c r="AD471" s="45"/>
      <c r="AE471" s="45"/>
      <c r="AF471" s="45"/>
      <c r="AG471" s="45"/>
      <c r="AH471" s="45"/>
      <c r="AI471" s="45"/>
      <c r="AJ471" s="45"/>
      <c r="AK471" s="45"/>
      <c r="AL471" s="45"/>
      <c r="AM471" s="45"/>
      <c r="AN471" s="45"/>
      <c r="AO471" s="45"/>
      <c r="AP471" s="45"/>
      <c r="AQ471" s="45"/>
      <c r="AR471" s="45"/>
      <c r="AS471" s="45"/>
      <c r="AT471" s="45"/>
      <c r="AU471" s="45"/>
      <c r="AV471" s="45"/>
      <c r="AW471" s="54"/>
      <c r="AX471" s="54"/>
      <c r="AY471" s="54"/>
      <c r="AZ471" s="54"/>
      <c r="BA471" s="54"/>
      <c r="BB471" s="54"/>
      <c r="BC471" s="54"/>
    </row>
    <row r="472" spans="1:256">
      <c r="A472" s="45"/>
      <c r="B472" s="45"/>
      <c r="C472" s="45"/>
      <c r="D472" s="45"/>
      <c r="E472" s="45"/>
      <c r="F472" s="45"/>
      <c r="G472" s="1720"/>
      <c r="H472" s="1720"/>
      <c r="I472" s="1720"/>
      <c r="J472" s="1720"/>
      <c r="K472" s="1720"/>
      <c r="L472" s="1720"/>
      <c r="M472" s="45"/>
      <c r="N472" s="45"/>
      <c r="O472" s="45"/>
      <c r="P472" s="54"/>
      <c r="Q472" s="54"/>
      <c r="R472" s="54"/>
      <c r="S472" s="54"/>
      <c r="T472" s="54"/>
      <c r="U472" s="54"/>
      <c r="V472" s="54"/>
      <c r="W472" s="54"/>
      <c r="X472" s="54"/>
      <c r="Y472" s="54"/>
      <c r="Z472" s="54"/>
      <c r="AA472" s="54"/>
      <c r="AB472" s="45"/>
      <c r="AC472" s="45"/>
      <c r="AD472" s="45"/>
      <c r="AE472" s="45"/>
      <c r="AF472" s="45"/>
      <c r="AG472" s="45"/>
      <c r="AH472" s="45"/>
      <c r="AI472" s="45"/>
      <c r="AJ472" s="45"/>
      <c r="AK472" s="45"/>
      <c r="AL472" s="45"/>
      <c r="AM472" s="45"/>
      <c r="AN472" s="45"/>
      <c r="AO472" s="45"/>
      <c r="AP472" s="45"/>
      <c r="AQ472" s="45"/>
      <c r="AR472" s="45"/>
      <c r="AS472" s="45"/>
      <c r="AT472" s="45"/>
      <c r="AU472" s="45"/>
      <c r="AV472" s="45"/>
      <c r="AW472" s="54"/>
      <c r="AX472" s="54"/>
      <c r="AY472" s="54"/>
      <c r="AZ472" s="54"/>
      <c r="BA472" s="54"/>
      <c r="BB472" s="54"/>
      <c r="BC472" s="54"/>
    </row>
    <row r="473" spans="1:256" s="217" customFormat="1">
      <c r="A473" s="54"/>
      <c r="B473" s="2529"/>
      <c r="C473" s="2342" t="s">
        <v>332</v>
      </c>
      <c r="D473" s="2773"/>
      <c r="E473" s="2773"/>
      <c r="F473" s="2773"/>
      <c r="G473" s="2773"/>
      <c r="H473" s="2773"/>
      <c r="I473" s="2773"/>
      <c r="J473" s="2773"/>
      <c r="K473" s="2773"/>
      <c r="L473" s="2773"/>
      <c r="M473" s="2773"/>
      <c r="N473" s="2774"/>
      <c r="O473" s="54"/>
      <c r="P473" s="54"/>
      <c r="Q473" s="54"/>
      <c r="R473" s="54"/>
      <c r="S473" s="257"/>
      <c r="T473" s="56" t="s">
        <v>332</v>
      </c>
      <c r="U473" s="2315"/>
      <c r="V473" s="2315"/>
      <c r="W473" s="2315"/>
      <c r="X473" s="2315"/>
      <c r="Y473" s="2315"/>
      <c r="Z473" s="2315"/>
      <c r="AA473" s="2315"/>
      <c r="AB473" s="2315"/>
      <c r="AC473" s="2315"/>
      <c r="AD473" s="2315"/>
      <c r="AE473" s="2316"/>
      <c r="AF473" s="45"/>
      <c r="AG473" s="45"/>
      <c r="AH473" s="45"/>
      <c r="AI473" s="45"/>
      <c r="AJ473" s="257"/>
      <c r="AK473" s="56" t="s">
        <v>332</v>
      </c>
      <c r="AL473" s="2315"/>
      <c r="AM473" s="2315"/>
      <c r="AN473" s="2315"/>
      <c r="AO473" s="2315"/>
      <c r="AP473" s="2315"/>
      <c r="AQ473" s="2315"/>
      <c r="AR473" s="2315"/>
      <c r="AS473" s="2315"/>
      <c r="AT473" s="2315"/>
      <c r="AU473" s="2315"/>
      <c r="AV473" s="2316"/>
      <c r="AW473" s="54"/>
      <c r="AX473" s="54"/>
      <c r="AY473" s="54"/>
      <c r="AZ473" s="54"/>
      <c r="BA473" s="54"/>
      <c r="BB473" s="54"/>
      <c r="BC473" s="54"/>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c r="EN473"/>
      <c r="EO473"/>
      <c r="EP473"/>
      <c r="EQ473"/>
      <c r="ER473"/>
      <c r="ES473"/>
      <c r="ET473"/>
      <c r="EU473"/>
      <c r="EV473"/>
      <c r="EW473"/>
      <c r="EX473"/>
      <c r="EY473"/>
      <c r="EZ473"/>
      <c r="FA473"/>
      <c r="FB473"/>
      <c r="FC473"/>
      <c r="FD473"/>
      <c r="FE473"/>
      <c r="FF473"/>
      <c r="FG473"/>
      <c r="FH473"/>
      <c r="FI473"/>
      <c r="FJ473"/>
      <c r="FK473"/>
      <c r="FL473"/>
      <c r="FM473"/>
      <c r="FN473"/>
      <c r="FO473"/>
      <c r="FP473"/>
      <c r="FQ473"/>
      <c r="FR473"/>
      <c r="FS473"/>
      <c r="FT473"/>
      <c r="FU473"/>
      <c r="FV473"/>
      <c r="FW473"/>
      <c r="FX473"/>
      <c r="FY473"/>
      <c r="FZ473"/>
      <c r="GA473"/>
      <c r="GB473"/>
      <c r="GC473"/>
      <c r="GD473"/>
      <c r="GE473"/>
      <c r="GF473"/>
      <c r="GG473"/>
      <c r="GH473"/>
      <c r="GI473"/>
      <c r="GJ473"/>
      <c r="GK473"/>
      <c r="GL473"/>
      <c r="GM473"/>
      <c r="GN473"/>
      <c r="GO473"/>
      <c r="GP473"/>
      <c r="GQ473"/>
      <c r="GR473"/>
      <c r="GS473"/>
      <c r="GT473"/>
      <c r="GU473"/>
      <c r="GV473"/>
      <c r="GW473"/>
      <c r="GX473"/>
      <c r="GY473"/>
      <c r="GZ473"/>
      <c r="HA473"/>
      <c r="HB473"/>
      <c r="HC473"/>
      <c r="HD473"/>
      <c r="HE473"/>
      <c r="HF473"/>
      <c r="HG473"/>
      <c r="HH473"/>
      <c r="HI473"/>
      <c r="HJ473"/>
      <c r="HK473"/>
      <c r="HL473"/>
      <c r="HM473"/>
      <c r="HN473"/>
      <c r="HO473"/>
      <c r="HP473"/>
      <c r="HQ473"/>
      <c r="HR473"/>
      <c r="HS473"/>
      <c r="HT473"/>
      <c r="HU473"/>
      <c r="HV473"/>
      <c r="HW473"/>
      <c r="HX473"/>
      <c r="HY473"/>
      <c r="HZ473"/>
      <c r="IA473"/>
      <c r="IB473"/>
      <c r="IC473"/>
      <c r="ID473"/>
      <c r="IE473"/>
      <c r="IF473"/>
      <c r="IG473"/>
      <c r="IH473"/>
      <c r="II473"/>
      <c r="IJ473"/>
      <c r="IK473"/>
      <c r="IL473"/>
      <c r="IM473"/>
      <c r="IN473"/>
      <c r="IO473"/>
      <c r="IP473"/>
      <c r="IQ473"/>
      <c r="IR473"/>
      <c r="IS473"/>
      <c r="IT473"/>
      <c r="IU473"/>
      <c r="IV473"/>
    </row>
    <row r="474" spans="1:256" s="217" customFormat="1">
      <c r="A474" s="54"/>
      <c r="B474" s="1992"/>
      <c r="C474" s="3752" t="s">
        <v>1109</v>
      </c>
      <c r="D474" s="3752"/>
      <c r="E474" s="3752"/>
      <c r="F474" s="3752"/>
      <c r="G474" s="3752"/>
      <c r="H474" s="3752"/>
      <c r="I474" s="3752"/>
      <c r="J474" s="3752"/>
      <c r="K474" s="3752"/>
      <c r="L474" s="3752"/>
      <c r="M474" s="3752"/>
      <c r="N474" s="2452"/>
      <c r="O474" s="54"/>
      <c r="P474" s="54"/>
      <c r="Q474" s="54"/>
      <c r="R474" s="54"/>
      <c r="S474" s="259"/>
      <c r="T474" s="3752" t="s">
        <v>1109</v>
      </c>
      <c r="U474" s="3752"/>
      <c r="V474" s="3752"/>
      <c r="W474" s="3752"/>
      <c r="X474" s="3752"/>
      <c r="Y474" s="3752"/>
      <c r="Z474" s="3752"/>
      <c r="AA474" s="3752"/>
      <c r="AB474" s="3752"/>
      <c r="AC474" s="3752"/>
      <c r="AD474" s="3752"/>
      <c r="AE474" s="199"/>
      <c r="AF474" s="45"/>
      <c r="AG474" s="45"/>
      <c r="AH474" s="45"/>
      <c r="AI474" s="45"/>
      <c r="AJ474" s="259"/>
      <c r="AK474" s="3752" t="s">
        <v>1109</v>
      </c>
      <c r="AL474" s="3752"/>
      <c r="AM474" s="3752"/>
      <c r="AN474" s="3752"/>
      <c r="AO474" s="3752"/>
      <c r="AP474" s="3752"/>
      <c r="AQ474" s="3752"/>
      <c r="AR474" s="3752"/>
      <c r="AS474" s="3752"/>
      <c r="AT474" s="3752"/>
      <c r="AU474" s="3752"/>
      <c r="AV474" s="199"/>
      <c r="AW474" s="54"/>
      <c r="AX474" s="54"/>
      <c r="AY474" s="54"/>
      <c r="AZ474" s="54"/>
      <c r="BA474" s="54"/>
      <c r="BB474" s="54"/>
      <c r="BC474" s="5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c r="EN474"/>
      <c r="EO474"/>
      <c r="EP474"/>
      <c r="EQ474"/>
      <c r="ER474"/>
      <c r="ES474"/>
      <c r="ET474"/>
      <c r="EU474"/>
      <c r="EV474"/>
      <c r="EW474"/>
      <c r="EX474"/>
      <c r="EY474"/>
      <c r="EZ474"/>
      <c r="FA474"/>
      <c r="FB474"/>
      <c r="FC474"/>
      <c r="FD474"/>
      <c r="FE474"/>
      <c r="FF474"/>
      <c r="FG474"/>
      <c r="FH474"/>
      <c r="FI474"/>
      <c r="FJ474"/>
      <c r="FK474"/>
      <c r="FL474"/>
      <c r="FM474"/>
      <c r="FN474"/>
      <c r="FO474"/>
      <c r="FP474"/>
      <c r="FQ474"/>
      <c r="FR474"/>
      <c r="FS474"/>
      <c r="FT474"/>
      <c r="FU474"/>
      <c r="FV474"/>
      <c r="FW474"/>
      <c r="FX474"/>
      <c r="FY474"/>
      <c r="FZ474"/>
      <c r="GA474"/>
      <c r="GB474"/>
      <c r="GC474"/>
      <c r="GD474"/>
      <c r="GE474"/>
      <c r="GF474"/>
      <c r="GG474"/>
      <c r="GH474"/>
      <c r="GI474"/>
      <c r="GJ474"/>
      <c r="GK474"/>
      <c r="GL474"/>
      <c r="GM474"/>
      <c r="GN474"/>
      <c r="GO474"/>
      <c r="GP474"/>
      <c r="GQ474"/>
      <c r="GR474"/>
      <c r="GS474"/>
      <c r="GT474"/>
      <c r="GU474"/>
      <c r="GV474"/>
      <c r="GW474"/>
      <c r="GX474"/>
      <c r="GY474"/>
      <c r="GZ474"/>
      <c r="HA474"/>
      <c r="HB474"/>
      <c r="HC474"/>
      <c r="HD474"/>
      <c r="HE474"/>
      <c r="HF474"/>
      <c r="HG474"/>
      <c r="HH474"/>
      <c r="HI474"/>
      <c r="HJ474"/>
      <c r="HK474"/>
      <c r="HL474"/>
      <c r="HM474"/>
      <c r="HN474"/>
      <c r="HO474"/>
      <c r="HP474"/>
      <c r="HQ474"/>
      <c r="HR474"/>
      <c r="HS474"/>
      <c r="HT474"/>
      <c r="HU474"/>
      <c r="HV474"/>
      <c r="HW474"/>
      <c r="HX474"/>
      <c r="HY474"/>
      <c r="HZ474"/>
      <c r="IA474"/>
      <c r="IB474"/>
      <c r="IC474"/>
      <c r="ID474"/>
      <c r="IE474"/>
      <c r="IF474"/>
      <c r="IG474"/>
      <c r="IH474"/>
      <c r="II474"/>
      <c r="IJ474"/>
      <c r="IK474"/>
      <c r="IL474"/>
      <c r="IM474"/>
      <c r="IN474"/>
      <c r="IO474"/>
      <c r="IP474"/>
      <c r="IQ474"/>
      <c r="IR474"/>
      <c r="IS474"/>
      <c r="IT474"/>
      <c r="IU474"/>
      <c r="IV474"/>
    </row>
    <row r="475" spans="1:256" s="217" customFormat="1" ht="15.75">
      <c r="A475" s="54"/>
      <c r="B475" s="1992"/>
      <c r="C475" s="2349" t="str">
        <f>"Country: " &amp;UPPER(Country)</f>
        <v>Country: LITHUANIA</v>
      </c>
      <c r="D475" s="2351"/>
      <c r="E475" s="2351"/>
      <c r="F475" s="2351"/>
      <c r="G475" s="2351"/>
      <c r="H475" s="2351"/>
      <c r="I475" s="2351"/>
      <c r="J475" s="2351"/>
      <c r="K475" s="2351"/>
      <c r="L475" s="2351"/>
      <c r="M475" s="2351"/>
      <c r="N475" s="2452"/>
      <c r="O475" s="54"/>
      <c r="P475" s="54"/>
      <c r="Q475" s="54"/>
      <c r="R475" s="54"/>
      <c r="S475" s="259"/>
      <c r="T475" s="130" t="str">
        <f>"Country: " &amp;UPPER(Country)</f>
        <v>Country: LITHUANIA</v>
      </c>
      <c r="U475" s="49"/>
      <c r="V475" s="49"/>
      <c r="W475" s="2006" t="s">
        <v>390</v>
      </c>
      <c r="X475" s="49"/>
      <c r="Y475" s="49"/>
      <c r="Z475" s="49"/>
      <c r="AA475" s="49"/>
      <c r="AB475" s="49"/>
      <c r="AC475" s="49"/>
      <c r="AD475" s="49"/>
      <c r="AE475" s="199"/>
      <c r="AF475" s="45"/>
      <c r="AG475" s="45"/>
      <c r="AH475" s="45"/>
      <c r="AI475" s="45"/>
      <c r="AJ475" s="259"/>
      <c r="AK475" s="130" t="str">
        <f>"Country: " &amp;UPPER(Country)</f>
        <v>Country: LITHUANIA</v>
      </c>
      <c r="AL475" s="49"/>
      <c r="AM475" s="49"/>
      <c r="AN475" s="49"/>
      <c r="AO475" s="49"/>
      <c r="AP475" s="49"/>
      <c r="AQ475" s="49"/>
      <c r="AR475" s="49"/>
      <c r="AS475" s="49"/>
      <c r="AT475" s="49"/>
      <c r="AU475" s="49"/>
      <c r="AV475" s="199"/>
      <c r="AW475" s="54"/>
      <c r="AX475" s="54"/>
      <c r="AY475" s="54"/>
      <c r="AZ475" s="54"/>
      <c r="BA475" s="54"/>
      <c r="BB475" s="54"/>
      <c r="BC475" s="54"/>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c r="EN475"/>
      <c r="EO475"/>
      <c r="EP475"/>
      <c r="EQ475"/>
      <c r="ER475"/>
      <c r="ES475"/>
      <c r="ET475"/>
      <c r="EU475"/>
      <c r="EV475"/>
      <c r="EW475"/>
      <c r="EX475"/>
      <c r="EY475"/>
      <c r="EZ475"/>
      <c r="FA475"/>
      <c r="FB475"/>
      <c r="FC475"/>
      <c r="FD475"/>
      <c r="FE475"/>
      <c r="FF475"/>
      <c r="FG475"/>
      <c r="FH475"/>
      <c r="FI475"/>
      <c r="FJ475"/>
      <c r="FK475"/>
      <c r="FL475"/>
      <c r="FM475"/>
      <c r="FN475"/>
      <c r="FO475"/>
      <c r="FP475"/>
      <c r="FQ475"/>
      <c r="FR475"/>
      <c r="FS475"/>
      <c r="FT475"/>
      <c r="FU475"/>
      <c r="FV475"/>
      <c r="FW475"/>
      <c r="FX475"/>
      <c r="FY475"/>
      <c r="FZ475"/>
      <c r="GA475"/>
      <c r="GB475"/>
      <c r="GC475"/>
      <c r="GD475"/>
      <c r="GE475"/>
      <c r="GF475"/>
      <c r="GG475"/>
      <c r="GH475"/>
      <c r="GI475"/>
      <c r="GJ475"/>
      <c r="GK475"/>
      <c r="GL475"/>
      <c r="GM475"/>
      <c r="GN475"/>
      <c r="GO475"/>
      <c r="GP475"/>
      <c r="GQ475"/>
      <c r="GR475"/>
      <c r="GS475"/>
      <c r="GT475"/>
      <c r="GU475"/>
      <c r="GV475"/>
      <c r="GW475"/>
      <c r="GX475"/>
      <c r="GY475"/>
      <c r="GZ475"/>
      <c r="HA475"/>
      <c r="HB475"/>
      <c r="HC475"/>
      <c r="HD475"/>
      <c r="HE475"/>
      <c r="HF475"/>
      <c r="HG475"/>
      <c r="HH475"/>
      <c r="HI475"/>
      <c r="HJ475"/>
      <c r="HK475"/>
      <c r="HL475"/>
      <c r="HM475"/>
      <c r="HN475"/>
      <c r="HO475"/>
      <c r="HP475"/>
      <c r="HQ475"/>
      <c r="HR475"/>
      <c r="HS475"/>
      <c r="HT475"/>
      <c r="HU475"/>
      <c r="HV475"/>
      <c r="HW475"/>
      <c r="HX475"/>
      <c r="HY475"/>
      <c r="HZ475"/>
      <c r="IA475"/>
      <c r="IB475"/>
      <c r="IC475"/>
      <c r="ID475"/>
      <c r="IE475"/>
      <c r="IF475"/>
      <c r="IG475"/>
      <c r="IH475"/>
      <c r="II475"/>
      <c r="IJ475"/>
      <c r="IK475"/>
      <c r="IL475"/>
      <c r="IM475"/>
      <c r="IN475"/>
      <c r="IO475"/>
      <c r="IP475"/>
      <c r="IQ475"/>
      <c r="IR475"/>
      <c r="IS475"/>
      <c r="IT475"/>
      <c r="IU475"/>
      <c r="IV475"/>
    </row>
    <row r="476" spans="1:256" s="217" customFormat="1" ht="15.75">
      <c r="A476" s="54"/>
      <c r="B476" s="1992"/>
      <c r="C476" s="2349" t="str">
        <f>"Currency unit: " &amp; Currency</f>
        <v>Currency unit: bn EUR</v>
      </c>
      <c r="D476" s="2351"/>
      <c r="E476" s="2351"/>
      <c r="F476" s="2722"/>
      <c r="G476" s="2351"/>
      <c r="H476" s="2481"/>
      <c r="I476" s="2351"/>
      <c r="J476" s="2481"/>
      <c r="K476" s="2481"/>
      <c r="L476" s="2481"/>
      <c r="M476" s="2481"/>
      <c r="N476" s="1699"/>
      <c r="O476" s="54"/>
      <c r="P476" s="54"/>
      <c r="Q476" s="54"/>
      <c r="R476" s="54"/>
      <c r="S476" s="259"/>
      <c r="T476" s="130" t="str">
        <f>"Currency unit: " &amp; Currency</f>
        <v>Currency unit: bn EUR</v>
      </c>
      <c r="U476" s="49"/>
      <c r="V476" s="49"/>
      <c r="W476" s="2006" t="str">
        <f>$T$4</f>
        <v>2nd storage</v>
      </c>
      <c r="X476" s="49"/>
      <c r="Y476" s="167"/>
      <c r="Z476" s="49"/>
      <c r="AA476" s="167"/>
      <c r="AB476" s="167"/>
      <c r="AC476" s="167"/>
      <c r="AD476" s="167"/>
      <c r="AE476" s="2318"/>
      <c r="AF476" s="45"/>
      <c r="AG476" s="45"/>
      <c r="AH476" s="45"/>
      <c r="AI476" s="45"/>
      <c r="AJ476" s="259"/>
      <c r="AK476" s="130" t="str">
        <f>"Currency unit: " &amp; Currency</f>
        <v>Currency unit: bn EUR</v>
      </c>
      <c r="AL476" s="49"/>
      <c r="AM476" s="49"/>
      <c r="AN476" s="2317"/>
      <c r="AO476" s="49"/>
      <c r="AP476" s="167"/>
      <c r="AQ476" s="49"/>
      <c r="AR476" s="167"/>
      <c r="AS476" s="167"/>
      <c r="AT476" s="167"/>
      <c r="AU476" s="167"/>
      <c r="AV476" s="2318"/>
      <c r="AW476" s="54"/>
      <c r="AX476" s="54"/>
      <c r="AY476" s="54"/>
      <c r="AZ476" s="54"/>
      <c r="BA476" s="54"/>
      <c r="BB476" s="54"/>
      <c r="BC476" s="54"/>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c r="EO476"/>
      <c r="EP476"/>
      <c r="EQ476"/>
      <c r="ER476"/>
      <c r="ES476"/>
      <c r="ET476"/>
      <c r="EU476"/>
      <c r="EV476"/>
      <c r="EW476"/>
      <c r="EX476"/>
      <c r="EY476"/>
      <c r="EZ476"/>
      <c r="FA476"/>
      <c r="FB476"/>
      <c r="FC476"/>
      <c r="FD476"/>
      <c r="FE476"/>
      <c r="FF476"/>
      <c r="FG476"/>
      <c r="FH476"/>
      <c r="FI476"/>
      <c r="FJ476"/>
      <c r="FK476"/>
      <c r="FL476"/>
      <c r="FM476"/>
      <c r="FN476"/>
      <c r="FO476"/>
      <c r="FP476"/>
      <c r="FQ476"/>
      <c r="FR476"/>
      <c r="FS476"/>
      <c r="FT476"/>
      <c r="FU476"/>
      <c r="FV476"/>
      <c r="FW476"/>
      <c r="FX476"/>
      <c r="FY476"/>
      <c r="FZ476"/>
      <c r="GA476"/>
      <c r="GB476"/>
      <c r="GC476"/>
      <c r="GD476"/>
      <c r="GE476"/>
      <c r="GF476"/>
      <c r="GG476"/>
      <c r="GH476"/>
      <c r="GI476"/>
      <c r="GJ476"/>
      <c r="GK476"/>
      <c r="GL476"/>
      <c r="GM476"/>
      <c r="GN476"/>
      <c r="GO476"/>
      <c r="GP476"/>
      <c r="GQ476"/>
      <c r="GR476"/>
      <c r="GS476"/>
      <c r="GT476"/>
      <c r="GU476"/>
      <c r="GV476"/>
      <c r="GW476"/>
      <c r="GX476"/>
      <c r="GY476"/>
      <c r="GZ476"/>
      <c r="HA476"/>
      <c r="HB476"/>
      <c r="HC476"/>
      <c r="HD476"/>
      <c r="HE476"/>
      <c r="HF476"/>
      <c r="HG476"/>
      <c r="HH476"/>
      <c r="HI476"/>
      <c r="HJ476"/>
      <c r="HK476"/>
      <c r="HL476"/>
      <c r="HM476"/>
      <c r="HN476"/>
      <c r="HO476"/>
      <c r="HP476"/>
      <c r="HQ476"/>
      <c r="HR476"/>
      <c r="HS476"/>
      <c r="HT476"/>
      <c r="HU476"/>
      <c r="HV476"/>
      <c r="HW476"/>
      <c r="HX476"/>
      <c r="HY476"/>
      <c r="HZ476"/>
      <c r="IA476"/>
      <c r="IB476"/>
      <c r="IC476"/>
      <c r="ID476"/>
      <c r="IE476"/>
      <c r="IF476"/>
      <c r="IG476"/>
      <c r="IH476"/>
      <c r="II476"/>
      <c r="IJ476"/>
      <c r="IK476"/>
      <c r="IL476"/>
      <c r="IM476"/>
      <c r="IN476"/>
      <c r="IO476"/>
      <c r="IP476"/>
      <c r="IQ476"/>
      <c r="IR476"/>
      <c r="IS476"/>
      <c r="IT476"/>
      <c r="IU476"/>
      <c r="IV476"/>
    </row>
    <row r="477" spans="1:256" s="217" customFormat="1" ht="13.5" thickBot="1">
      <c r="A477" s="54"/>
      <c r="B477" s="1992"/>
      <c r="C477" s="2355" t="s">
        <v>297</v>
      </c>
      <c r="D477" s="2481"/>
      <c r="E477" s="2351"/>
      <c r="F477" s="2351"/>
      <c r="G477" s="2351"/>
      <c r="H477" s="2351"/>
      <c r="I477" s="2351"/>
      <c r="J477" s="2351"/>
      <c r="K477" s="2481"/>
      <c r="L477" s="3790">
        <f ca="1">NOW()</f>
        <v>43335.58773900463</v>
      </c>
      <c r="M477" s="3790"/>
      <c r="N477" s="2602"/>
      <c r="O477" s="54"/>
      <c r="P477" s="54"/>
      <c r="Q477" s="54"/>
      <c r="R477" s="54"/>
      <c r="S477" s="259"/>
      <c r="T477" s="134" t="s">
        <v>297</v>
      </c>
      <c r="U477" s="167"/>
      <c r="V477" s="49"/>
      <c r="W477" s="49"/>
      <c r="X477" s="49"/>
      <c r="Y477" s="49"/>
      <c r="Z477" s="49"/>
      <c r="AA477" s="49"/>
      <c r="AB477" s="167"/>
      <c r="AC477" s="3752">
        <f ca="1">NOW()</f>
        <v>43335.58773900463</v>
      </c>
      <c r="AD477" s="3752"/>
      <c r="AE477" s="2319"/>
      <c r="AF477" s="45"/>
      <c r="AG477" s="45"/>
      <c r="AH477" s="45"/>
      <c r="AI477" s="45"/>
      <c r="AJ477" s="259"/>
      <c r="AK477" s="134" t="s">
        <v>297</v>
      </c>
      <c r="AL477" s="167"/>
      <c r="AM477" s="49"/>
      <c r="AN477" s="49"/>
      <c r="AO477" s="49"/>
      <c r="AP477" s="49"/>
      <c r="AQ477" s="49"/>
      <c r="AR477" s="49"/>
      <c r="AS477" s="167"/>
      <c r="AT477" s="3752">
        <f ca="1">NOW()</f>
        <v>43335.58773900463</v>
      </c>
      <c r="AU477" s="3752"/>
      <c r="AV477" s="2319"/>
      <c r="AW477" s="54"/>
      <c r="AX477" s="54"/>
      <c r="AY477" s="54"/>
      <c r="AZ477" s="54"/>
      <c r="BA477" s="54"/>
      <c r="BB477" s="54"/>
      <c r="BC477" s="54"/>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c r="EO477"/>
      <c r="EP477"/>
      <c r="EQ477"/>
      <c r="ER477"/>
      <c r="ES477"/>
      <c r="ET477"/>
      <c r="EU477"/>
      <c r="EV477"/>
      <c r="EW477"/>
      <c r="EX477"/>
      <c r="EY477"/>
      <c r="EZ477"/>
      <c r="FA477"/>
      <c r="FB477"/>
      <c r="FC477"/>
      <c r="FD477"/>
      <c r="FE477"/>
      <c r="FF477"/>
      <c r="FG477"/>
      <c r="FH477"/>
      <c r="FI477"/>
      <c r="FJ477"/>
      <c r="FK477"/>
      <c r="FL477"/>
      <c r="FM477"/>
      <c r="FN477"/>
      <c r="FO477"/>
      <c r="FP477"/>
      <c r="FQ477"/>
      <c r="FR477"/>
      <c r="FS477"/>
      <c r="FT477"/>
      <c r="FU477"/>
      <c r="FV477"/>
      <c r="FW477"/>
      <c r="FX477"/>
      <c r="FY477"/>
      <c r="FZ477"/>
      <c r="GA477"/>
      <c r="GB477"/>
      <c r="GC477"/>
      <c r="GD477"/>
      <c r="GE477"/>
      <c r="GF477"/>
      <c r="GG477"/>
      <c r="GH477"/>
      <c r="GI477"/>
      <c r="GJ477"/>
      <c r="GK477"/>
      <c r="GL477"/>
      <c r="GM477"/>
      <c r="GN477"/>
      <c r="GO477"/>
      <c r="GP477"/>
      <c r="GQ477"/>
      <c r="GR477"/>
      <c r="GS477"/>
      <c r="GT477"/>
      <c r="GU477"/>
      <c r="GV477"/>
      <c r="GW477"/>
      <c r="GX477"/>
      <c r="GY477"/>
      <c r="GZ477"/>
      <c r="HA477"/>
      <c r="HB477"/>
      <c r="HC477"/>
      <c r="HD477"/>
      <c r="HE477"/>
      <c r="HF477"/>
      <c r="HG477"/>
      <c r="HH477"/>
      <c r="HI477"/>
      <c r="HJ477"/>
      <c r="HK477"/>
      <c r="HL477"/>
      <c r="HM477"/>
      <c r="HN477"/>
      <c r="HO477"/>
      <c r="HP477"/>
      <c r="HQ477"/>
      <c r="HR477"/>
      <c r="HS477"/>
      <c r="HT477"/>
      <c r="HU477"/>
      <c r="HV477"/>
      <c r="HW477"/>
      <c r="HX477"/>
      <c r="HY477"/>
      <c r="HZ477"/>
      <c r="IA477"/>
      <c r="IB477"/>
      <c r="IC477"/>
      <c r="ID477"/>
      <c r="IE477"/>
      <c r="IF477"/>
      <c r="IG477"/>
      <c r="IH477"/>
      <c r="II477"/>
      <c r="IJ477"/>
      <c r="IK477"/>
      <c r="IL477"/>
      <c r="IM477"/>
      <c r="IN477"/>
      <c r="IO477"/>
      <c r="IP477"/>
      <c r="IQ477"/>
      <c r="IR477"/>
      <c r="IS477"/>
      <c r="IT477"/>
      <c r="IU477"/>
      <c r="IV477"/>
    </row>
    <row r="478" spans="1:256" s="217" customFormat="1">
      <c r="A478" s="54"/>
      <c r="B478" s="1992"/>
      <c r="C478" s="2357"/>
      <c r="D478" s="2358"/>
      <c r="E478" s="2404" t="s">
        <v>188</v>
      </c>
      <c r="F478" s="3752">
        <f>+E16</f>
        <v>2016</v>
      </c>
      <c r="G478" s="3752"/>
      <c r="H478" s="3752">
        <f>F478+1</f>
        <v>2017</v>
      </c>
      <c r="I478" s="3752"/>
      <c r="J478" s="3752">
        <f>H478+1</f>
        <v>2018</v>
      </c>
      <c r="K478" s="3752"/>
      <c r="L478" s="3752">
        <f>J478+1</f>
        <v>2019</v>
      </c>
      <c r="M478" s="3752"/>
      <c r="N478" s="2447"/>
      <c r="O478" s="54"/>
      <c r="P478" s="54"/>
      <c r="Q478" s="54"/>
      <c r="R478" s="54"/>
      <c r="S478" s="259"/>
      <c r="T478" s="72"/>
      <c r="U478" s="211"/>
      <c r="V478" s="420" t="s">
        <v>188</v>
      </c>
      <c r="W478" s="3752">
        <v>2005</v>
      </c>
      <c r="X478" s="3752"/>
      <c r="Y478" s="3752">
        <f>W478+1</f>
        <v>2006</v>
      </c>
      <c r="Z478" s="3752"/>
      <c r="AA478" s="3752">
        <f>Y478+1</f>
        <v>2007</v>
      </c>
      <c r="AB478" s="3752"/>
      <c r="AC478" s="3752">
        <f>AA478+1</f>
        <v>2008</v>
      </c>
      <c r="AD478" s="3752"/>
      <c r="AE478" s="227"/>
      <c r="AF478" s="45"/>
      <c r="AG478" s="45"/>
      <c r="AH478" s="45"/>
      <c r="AI478" s="45"/>
      <c r="AJ478" s="259"/>
      <c r="AK478" s="72"/>
      <c r="AL478" s="211"/>
      <c r="AM478" s="420" t="s">
        <v>188</v>
      </c>
      <c r="AN478" s="3752">
        <v>2005</v>
      </c>
      <c r="AO478" s="3752"/>
      <c r="AP478" s="3752">
        <f>AN478+1</f>
        <v>2006</v>
      </c>
      <c r="AQ478" s="3752"/>
      <c r="AR478" s="3752">
        <f>AP478+1</f>
        <v>2007</v>
      </c>
      <c r="AS478" s="3752"/>
      <c r="AT478" s="3752">
        <f>AR478+1</f>
        <v>2008</v>
      </c>
      <c r="AU478" s="3752"/>
      <c r="AV478" s="227"/>
      <c r="AW478" s="54"/>
      <c r="AX478" s="54"/>
      <c r="AY478" s="54"/>
      <c r="AZ478" s="54"/>
      <c r="BA478" s="54"/>
      <c r="BB478" s="54"/>
      <c r="BC478" s="54"/>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c r="EO478"/>
      <c r="EP478"/>
      <c r="EQ478"/>
      <c r="ER478"/>
      <c r="ES478"/>
      <c r="ET478"/>
      <c r="EU478"/>
      <c r="EV478"/>
      <c r="EW478"/>
      <c r="EX478"/>
      <c r="EY478"/>
      <c r="EZ478"/>
      <c r="FA478"/>
      <c r="FB478"/>
      <c r="FC478"/>
      <c r="FD478"/>
      <c r="FE478"/>
      <c r="FF478"/>
      <c r="FG478"/>
      <c r="FH478"/>
      <c r="FI478"/>
      <c r="FJ478"/>
      <c r="FK478"/>
      <c r="FL478"/>
      <c r="FM478"/>
      <c r="FN478"/>
      <c r="FO478"/>
      <c r="FP478"/>
      <c r="FQ478"/>
      <c r="FR478"/>
      <c r="FS478"/>
      <c r="FT478"/>
      <c r="FU478"/>
      <c r="FV478"/>
      <c r="FW478"/>
      <c r="FX478"/>
      <c r="FY478"/>
      <c r="FZ478"/>
      <c r="GA478"/>
      <c r="GB478"/>
      <c r="GC478"/>
      <c r="GD478"/>
      <c r="GE478"/>
      <c r="GF478"/>
      <c r="GG478"/>
      <c r="GH478"/>
      <c r="GI478"/>
      <c r="GJ478"/>
      <c r="GK478"/>
      <c r="GL478"/>
      <c r="GM478"/>
      <c r="GN478"/>
      <c r="GO478"/>
      <c r="GP478"/>
      <c r="GQ478"/>
      <c r="GR478"/>
      <c r="GS478"/>
      <c r="GT478"/>
      <c r="GU478"/>
      <c r="GV478"/>
      <c r="GW478"/>
      <c r="GX478"/>
      <c r="GY478"/>
      <c r="GZ478"/>
      <c r="HA478"/>
      <c r="HB478"/>
      <c r="HC478"/>
      <c r="HD478"/>
      <c r="HE478"/>
      <c r="HF478"/>
      <c r="HG478"/>
      <c r="HH478"/>
      <c r="HI478"/>
      <c r="HJ478"/>
      <c r="HK478"/>
      <c r="HL478"/>
      <c r="HM478"/>
      <c r="HN478"/>
      <c r="HO478"/>
      <c r="HP478"/>
      <c r="HQ478"/>
      <c r="HR478"/>
      <c r="HS478"/>
      <c r="HT478"/>
      <c r="HU478"/>
      <c r="HV478"/>
      <c r="HW478"/>
      <c r="HX478"/>
      <c r="HY478"/>
      <c r="HZ478"/>
      <c r="IA478"/>
      <c r="IB478"/>
      <c r="IC478"/>
      <c r="ID478"/>
      <c r="IE478"/>
      <c r="IF478"/>
      <c r="IG478"/>
      <c r="IH478"/>
      <c r="II478"/>
      <c r="IJ478"/>
      <c r="IK478"/>
      <c r="IL478"/>
      <c r="IM478"/>
      <c r="IN478"/>
      <c r="IO478"/>
      <c r="IP478"/>
      <c r="IQ478"/>
      <c r="IR478"/>
      <c r="IS478"/>
      <c r="IT478"/>
      <c r="IU478"/>
      <c r="IV478"/>
    </row>
    <row r="479" spans="1:256" s="217" customFormat="1">
      <c r="A479" s="54"/>
      <c r="B479" s="1992"/>
      <c r="C479" s="2379"/>
      <c r="D479" s="2380"/>
      <c r="E479" s="2775" t="s">
        <v>541</v>
      </c>
      <c r="F479" s="2641" t="s">
        <v>298</v>
      </c>
      <c r="G479" s="2642" t="s">
        <v>1170</v>
      </c>
      <c r="H479" s="2641" t="s">
        <v>298</v>
      </c>
      <c r="I479" s="2642" t="s">
        <v>1170</v>
      </c>
      <c r="J479" s="2641" t="s">
        <v>298</v>
      </c>
      <c r="K479" s="2642" t="s">
        <v>1170</v>
      </c>
      <c r="L479" s="2641" t="s">
        <v>298</v>
      </c>
      <c r="M479" s="2643" t="s">
        <v>1170</v>
      </c>
      <c r="N479" s="2661"/>
      <c r="O479" s="54"/>
      <c r="P479" s="54"/>
      <c r="Q479" s="54"/>
      <c r="R479" s="54"/>
      <c r="S479" s="259"/>
      <c r="T479" s="427"/>
      <c r="U479" s="95"/>
      <c r="V479" s="2320" t="s">
        <v>541</v>
      </c>
      <c r="W479" s="390" t="s">
        <v>298</v>
      </c>
      <c r="X479" s="391" t="s">
        <v>1170</v>
      </c>
      <c r="Y479" s="390" t="s">
        <v>298</v>
      </c>
      <c r="Z479" s="391" t="s">
        <v>1170</v>
      </c>
      <c r="AA479" s="390" t="s">
        <v>298</v>
      </c>
      <c r="AB479" s="391" t="s">
        <v>1170</v>
      </c>
      <c r="AC479" s="390" t="s">
        <v>298</v>
      </c>
      <c r="AD479" s="392" t="s">
        <v>1170</v>
      </c>
      <c r="AE479" s="393"/>
      <c r="AF479" s="45"/>
      <c r="AG479" s="45"/>
      <c r="AH479" s="45"/>
      <c r="AI479" s="45"/>
      <c r="AJ479" s="259"/>
      <c r="AK479" s="427"/>
      <c r="AL479" s="95"/>
      <c r="AM479" s="2320" t="s">
        <v>541</v>
      </c>
      <c r="AN479" s="390" t="s">
        <v>298</v>
      </c>
      <c r="AO479" s="391" t="s">
        <v>1170</v>
      </c>
      <c r="AP479" s="390" t="s">
        <v>298</v>
      </c>
      <c r="AQ479" s="391" t="s">
        <v>1170</v>
      </c>
      <c r="AR479" s="390" t="s">
        <v>298</v>
      </c>
      <c r="AS479" s="391" t="s">
        <v>1170</v>
      </c>
      <c r="AT479" s="390" t="s">
        <v>298</v>
      </c>
      <c r="AU479" s="392" t="s">
        <v>1170</v>
      </c>
      <c r="AV479" s="393"/>
      <c r="AW479" s="54"/>
      <c r="AX479" s="54"/>
      <c r="AY479" s="54"/>
      <c r="AZ479" s="54"/>
      <c r="BA479" s="54"/>
      <c r="BB479" s="54"/>
      <c r="BC479" s="54"/>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c r="EO479"/>
      <c r="EP479"/>
      <c r="EQ479"/>
      <c r="ER479"/>
      <c r="ES479"/>
      <c r="ET479"/>
      <c r="EU479"/>
      <c r="EV479"/>
      <c r="EW479"/>
      <c r="EX479"/>
      <c r="EY479"/>
      <c r="EZ479"/>
      <c r="FA479"/>
      <c r="FB479"/>
      <c r="FC479"/>
      <c r="FD479"/>
      <c r="FE479"/>
      <c r="FF479"/>
      <c r="FG479"/>
      <c r="FH479"/>
      <c r="FI479"/>
      <c r="FJ479"/>
      <c r="FK479"/>
      <c r="FL479"/>
      <c r="FM479"/>
      <c r="FN479"/>
      <c r="FO479"/>
      <c r="FP479"/>
      <c r="FQ479"/>
      <c r="FR479"/>
      <c r="FS479"/>
      <c r="FT479"/>
      <c r="FU479"/>
      <c r="FV479"/>
      <c r="FW479"/>
      <c r="FX479"/>
      <c r="FY479"/>
      <c r="FZ479"/>
      <c r="GA479"/>
      <c r="GB479"/>
      <c r="GC479"/>
      <c r="GD479"/>
      <c r="GE479"/>
      <c r="GF479"/>
      <c r="GG479"/>
      <c r="GH479"/>
      <c r="GI479"/>
      <c r="GJ479"/>
      <c r="GK479"/>
      <c r="GL479"/>
      <c r="GM479"/>
      <c r="GN479"/>
      <c r="GO479"/>
      <c r="GP479"/>
      <c r="GQ479"/>
      <c r="GR479"/>
      <c r="GS479"/>
      <c r="GT479"/>
      <c r="GU479"/>
      <c r="GV479"/>
      <c r="GW479"/>
      <c r="GX479"/>
      <c r="GY479"/>
      <c r="GZ479"/>
      <c r="HA479"/>
      <c r="HB479"/>
      <c r="HC479"/>
      <c r="HD479"/>
      <c r="HE479"/>
      <c r="HF479"/>
      <c r="HG479"/>
      <c r="HH479"/>
      <c r="HI479"/>
      <c r="HJ479"/>
      <c r="HK479"/>
      <c r="HL479"/>
      <c r="HM479"/>
      <c r="HN479"/>
      <c r="HO479"/>
      <c r="HP479"/>
      <c r="HQ479"/>
      <c r="HR479"/>
      <c r="HS479"/>
      <c r="HT479"/>
      <c r="HU479"/>
      <c r="HV479"/>
      <c r="HW479"/>
      <c r="HX479"/>
      <c r="HY479"/>
      <c r="HZ479"/>
      <c r="IA479"/>
      <c r="IB479"/>
      <c r="IC479"/>
      <c r="ID479"/>
      <c r="IE479"/>
      <c r="IF479"/>
      <c r="IG479"/>
      <c r="IH479"/>
      <c r="II479"/>
      <c r="IJ479"/>
      <c r="IK479"/>
      <c r="IL479"/>
      <c r="IM479"/>
      <c r="IN479"/>
      <c r="IO479"/>
      <c r="IP479"/>
      <c r="IQ479"/>
      <c r="IR479"/>
      <c r="IS479"/>
      <c r="IT479"/>
      <c r="IU479"/>
      <c r="IV479"/>
    </row>
    <row r="480" spans="1:256" s="217" customFormat="1">
      <c r="A480" s="54"/>
      <c r="B480" s="1992"/>
      <c r="C480" s="1666" t="s">
        <v>542</v>
      </c>
      <c r="D480" s="2351"/>
      <c r="E480" s="2645" t="s">
        <v>1407</v>
      </c>
      <c r="F480" s="2692">
        <f ca="1">Transfer!D220</f>
        <v>3.8023500000000001</v>
      </c>
      <c r="G480" s="2450">
        <f ca="1">100*((Transfer!D220/Transfer!C220)-1)</f>
        <v>5.4652720570491864</v>
      </c>
      <c r="H480" s="2692">
        <f ca="1">Transfer!E220</f>
        <v>4.0019753007261274</v>
      </c>
      <c r="I480" s="2450">
        <f ca="1">100*((Transfer!E220/Transfer!D220)-1)</f>
        <v>5.2500506456830021</v>
      </c>
      <c r="J480" s="2692">
        <f ca="1">Transfer!F220</f>
        <v>4.2038161866725012</v>
      </c>
      <c r="K480" s="2450">
        <f ca="1">100*((Transfer!F220/Transfer!E220)-1)</f>
        <v>5.0435315257880697</v>
      </c>
      <c r="L480" s="2450">
        <f ca="1">Transfer!G220</f>
        <v>4.435208860003871</v>
      </c>
      <c r="M480" s="2451">
        <f ca="1">100*((Transfer!G220/Transfer!F220)-1)</f>
        <v>5.5043480270370093</v>
      </c>
      <c r="N480" s="2452"/>
      <c r="O480" s="54"/>
      <c r="P480" s="54"/>
      <c r="Q480" s="54"/>
      <c r="R480" s="54"/>
      <c r="S480" s="259"/>
      <c r="T480" s="101" t="s">
        <v>542</v>
      </c>
      <c r="U480" s="49"/>
      <c r="V480" s="2321" t="s">
        <v>1407</v>
      </c>
      <c r="W480" s="2019">
        <f t="shared" ref="W480:AD488" ca="1" si="32">ROUND(F480,1)-ROUND(AN480,1)</f>
        <v>-7.3999999999999995</v>
      </c>
      <c r="X480" s="2020">
        <f t="shared" ca="1" si="32"/>
        <v>4.0999999999999996</v>
      </c>
      <c r="Y480" s="2020">
        <f t="shared" ca="1" si="32"/>
        <v>-7.8000000000000007</v>
      </c>
      <c r="Z480" s="2020">
        <f t="shared" ca="1" si="32"/>
        <v>-0.29999999999999982</v>
      </c>
      <c r="AA480" s="2020">
        <f t="shared" ca="1" si="32"/>
        <v>-8.3999999999999986</v>
      </c>
      <c r="AB480" s="2020">
        <f t="shared" ca="1" si="32"/>
        <v>-2.0999999999999996</v>
      </c>
      <c r="AC480" s="2020">
        <f t="shared" ca="1" si="32"/>
        <v>-8.9</v>
      </c>
      <c r="AD480" s="249">
        <f t="shared" ca="1" si="32"/>
        <v>0.5</v>
      </c>
      <c r="AE480" s="199"/>
      <c r="AF480" s="45"/>
      <c r="AG480" s="45"/>
      <c r="AH480" s="45"/>
      <c r="AI480" s="45"/>
      <c r="AJ480" s="259"/>
      <c r="AK480" s="101" t="s">
        <v>542</v>
      </c>
      <c r="AL480" s="49"/>
      <c r="AM480" s="2321" t="s">
        <v>1407</v>
      </c>
      <c r="AN480" s="141">
        <f>Transfer!AD220</f>
        <v>11.15719</v>
      </c>
      <c r="AO480" s="2020">
        <f>100*((Transfer!AD220/Transfer!AC220)-1)</f>
        <v>1.373521036669012</v>
      </c>
      <c r="AP480" s="141">
        <f>Transfer!AE220</f>
        <v>11.783108359</v>
      </c>
      <c r="AQ480" s="2020">
        <f>100*((Transfer!AE220/Transfer!AD220)-1)</f>
        <v>5.6100000000000039</v>
      </c>
      <c r="AR480" s="141">
        <f>Transfer!AF220</f>
        <v>12.622065674160799</v>
      </c>
      <c r="AS480" s="2020">
        <f>100*((Transfer!AF220/Transfer!AE220)-1)</f>
        <v>7.119999999999993</v>
      </c>
      <c r="AT480" s="2020">
        <f>Transfer!AG220</f>
        <v>13.253168957868839</v>
      </c>
      <c r="AU480" s="2310">
        <f>100*((Transfer!AG220/Transfer!AF220)-1)</f>
        <v>5.0000000000000044</v>
      </c>
      <c r="AV480" s="199"/>
      <c r="AW480" s="54"/>
      <c r="AX480" s="54"/>
      <c r="AY480" s="54"/>
      <c r="AZ480" s="54"/>
      <c r="BA480" s="1999" t="s">
        <v>1036</v>
      </c>
      <c r="BB480" s="54"/>
      <c r="BC480" s="54"/>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c r="EO480"/>
      <c r="EP480"/>
      <c r="EQ480"/>
      <c r="ER480"/>
      <c r="ES480"/>
      <c r="ET480"/>
      <c r="EU480"/>
      <c r="EV480"/>
      <c r="EW480"/>
      <c r="EX480"/>
      <c r="EY480"/>
      <c r="EZ480"/>
      <c r="FA480"/>
      <c r="FB480"/>
      <c r="FC480"/>
      <c r="FD480"/>
      <c r="FE480"/>
      <c r="FF480"/>
      <c r="FG480"/>
      <c r="FH480"/>
      <c r="FI480"/>
      <c r="FJ480"/>
      <c r="FK480"/>
      <c r="FL480"/>
      <c r="FM480"/>
      <c r="FN480"/>
      <c r="FO480"/>
      <c r="FP480"/>
      <c r="FQ480"/>
      <c r="FR480"/>
      <c r="FS480"/>
      <c r="FT480"/>
      <c r="FU480"/>
      <c r="FV480"/>
      <c r="FW480"/>
      <c r="FX480"/>
      <c r="FY480"/>
      <c r="FZ480"/>
      <c r="GA480"/>
      <c r="GB480"/>
      <c r="GC480"/>
      <c r="GD480"/>
      <c r="GE480"/>
      <c r="GF480"/>
      <c r="GG480"/>
      <c r="GH480"/>
      <c r="GI480"/>
      <c r="GJ480"/>
      <c r="GK480"/>
      <c r="GL480"/>
      <c r="GM480"/>
      <c r="GN480"/>
      <c r="GO480"/>
      <c r="GP480"/>
      <c r="GQ480"/>
      <c r="GR480"/>
      <c r="GS480"/>
      <c r="GT480"/>
      <c r="GU480"/>
      <c r="GV480"/>
      <c r="GW480"/>
      <c r="GX480"/>
      <c r="GY480"/>
      <c r="GZ480"/>
      <c r="HA480"/>
      <c r="HB480"/>
      <c r="HC480"/>
      <c r="HD480"/>
      <c r="HE480"/>
      <c r="HF480"/>
      <c r="HG480"/>
      <c r="HH480"/>
      <c r="HI480"/>
      <c r="HJ480"/>
      <c r="HK480"/>
      <c r="HL480"/>
      <c r="HM480"/>
      <c r="HN480"/>
      <c r="HO480"/>
      <c r="HP480"/>
      <c r="HQ480"/>
      <c r="HR480"/>
      <c r="HS480"/>
      <c r="HT480"/>
      <c r="HU480"/>
      <c r="HV480"/>
      <c r="HW480"/>
      <c r="HX480"/>
      <c r="HY480"/>
      <c r="HZ480"/>
      <c r="IA480"/>
      <c r="IB480"/>
      <c r="IC480"/>
      <c r="ID480"/>
      <c r="IE480"/>
      <c r="IF480"/>
      <c r="IG480"/>
      <c r="IH480"/>
      <c r="II480"/>
      <c r="IJ480"/>
      <c r="IK480"/>
      <c r="IL480"/>
      <c r="IM480"/>
      <c r="IN480"/>
      <c r="IO480"/>
      <c r="IP480"/>
      <c r="IQ480"/>
      <c r="IR480"/>
      <c r="IS480"/>
      <c r="IT480"/>
      <c r="IU480"/>
      <c r="IV480"/>
    </row>
    <row r="481" spans="1:256" s="217" customFormat="1">
      <c r="A481" s="54"/>
      <c r="B481" s="1992"/>
      <c r="C481" s="1666" t="s">
        <v>259</v>
      </c>
      <c r="D481" s="2351"/>
      <c r="E481" s="2521" t="s">
        <v>1130</v>
      </c>
      <c r="F481" s="2511">
        <f ca="1">Transfer!D245</f>
        <v>1.84643</v>
      </c>
      <c r="G481" s="2453">
        <f ca="1">100*((Transfer!D245/Transfer!C245)-1)</f>
        <v>-1.138304536620105</v>
      </c>
      <c r="H481" s="2692">
        <f ca="1">Transfer!E245</f>
        <v>1.8754002492738726</v>
      </c>
      <c r="I481" s="2453">
        <f ca="1">100*((Transfer!E245/Transfer!D245)-1)</f>
        <v>1.568987141341549</v>
      </c>
      <c r="J481" s="2692">
        <f ca="1">Transfer!F245</f>
        <v>2.0133065466654987</v>
      </c>
      <c r="K481" s="2453">
        <f ca="1">100*((Transfer!F245/Transfer!E245)-1)</f>
        <v>7.3534328176090069</v>
      </c>
      <c r="L481" s="2453">
        <f ca="1">Transfer!G245</f>
        <v>2.1138316020828603</v>
      </c>
      <c r="M481" s="2693">
        <f ca="1">100*((Transfer!G245/Transfer!F245)-1)</f>
        <v>4.9930327591620083</v>
      </c>
      <c r="N481" s="2452"/>
      <c r="O481" s="54"/>
      <c r="P481" s="54"/>
      <c r="Q481" s="54"/>
      <c r="R481" s="54"/>
      <c r="S481" s="259"/>
      <c r="T481" s="101" t="s">
        <v>259</v>
      </c>
      <c r="U481" s="49"/>
      <c r="V481" s="254" t="s">
        <v>1130</v>
      </c>
      <c r="W481" s="248">
        <f t="shared" ca="1" si="32"/>
        <v>-4</v>
      </c>
      <c r="X481" s="245">
        <f t="shared" ca="1" si="32"/>
        <v>-4.3000000000000007</v>
      </c>
      <c r="Y481" s="245">
        <f t="shared" ca="1" si="32"/>
        <v>-3.6999999999999997</v>
      </c>
      <c r="Z481" s="245">
        <f t="shared" ca="1" si="32"/>
        <v>3.8000000000000003</v>
      </c>
      <c r="AA481" s="245">
        <f t="shared" ca="1" si="32"/>
        <v>-3.4000000000000004</v>
      </c>
      <c r="AB481" s="245">
        <f t="shared" ca="1" si="32"/>
        <v>11</v>
      </c>
      <c r="AC481" s="245">
        <f t="shared" ca="1" si="32"/>
        <v>-3.4</v>
      </c>
      <c r="AD481" s="249">
        <f t="shared" ca="1" si="32"/>
        <v>4.5</v>
      </c>
      <c r="AE481" s="199"/>
      <c r="AF481" s="45"/>
      <c r="AG481" s="45"/>
      <c r="AH481" s="45"/>
      <c r="AI481" s="45"/>
      <c r="AJ481" s="259"/>
      <c r="AK481" s="101" t="s">
        <v>259</v>
      </c>
      <c r="AL481" s="49"/>
      <c r="AM481" s="254" t="s">
        <v>1130</v>
      </c>
      <c r="AN481" s="145">
        <f>Transfer!AD245</f>
        <v>5.75936</v>
      </c>
      <c r="AO481" s="245">
        <f>100*((Transfer!AD245/Transfer!AC245)-1)</f>
        <v>3.1973223052830013</v>
      </c>
      <c r="AP481" s="141">
        <f>Transfer!AE245</f>
        <v>5.6298466320999996</v>
      </c>
      <c r="AQ481" s="245">
        <f>100*((Transfer!AE245/Transfer!AD245)-1)</f>
        <v>-2.2487458311340247</v>
      </c>
      <c r="AR481" s="141">
        <f>Transfer!AF245</f>
        <v>5.426226415128995</v>
      </c>
      <c r="AS481" s="245">
        <f>100*((Transfer!AF245/Transfer!AE245)-1)</f>
        <v>-3.6167986497183113</v>
      </c>
      <c r="AT481" s="245">
        <f>Transfer!AG245</f>
        <v>5.4524086720904563</v>
      </c>
      <c r="AU481" s="249">
        <f>100*((Transfer!AG245/Transfer!AF245)-1)</f>
        <v>0.48251316768614938</v>
      </c>
      <c r="AV481" s="199"/>
      <c r="AW481" s="54"/>
      <c r="AX481" s="54"/>
      <c r="AY481" s="54"/>
      <c r="AZ481" s="54"/>
      <c r="BA481" s="2000" t="s">
        <v>1037</v>
      </c>
      <c r="BB481" s="54"/>
      <c r="BC481" s="54"/>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c r="EO481"/>
      <c r="EP481"/>
      <c r="EQ481"/>
      <c r="ER481"/>
      <c r="ES481"/>
      <c r="ET481"/>
      <c r="EU481"/>
      <c r="EV481"/>
      <c r="EW481"/>
      <c r="EX481"/>
      <c r="EY481"/>
      <c r="EZ481"/>
      <c r="FA481"/>
      <c r="FB481"/>
      <c r="FC481"/>
      <c r="FD481"/>
      <c r="FE481"/>
      <c r="FF481"/>
      <c r="FG481"/>
      <c r="FH481"/>
      <c r="FI481"/>
      <c r="FJ481"/>
      <c r="FK481"/>
      <c r="FL481"/>
      <c r="FM481"/>
      <c r="FN481"/>
      <c r="FO481"/>
      <c r="FP481"/>
      <c r="FQ481"/>
      <c r="FR481"/>
      <c r="FS481"/>
      <c r="FT481"/>
      <c r="FU481"/>
      <c r="FV481"/>
      <c r="FW481"/>
      <c r="FX481"/>
      <c r="FY481"/>
      <c r="FZ481"/>
      <c r="GA481"/>
      <c r="GB481"/>
      <c r="GC481"/>
      <c r="GD481"/>
      <c r="GE481"/>
      <c r="GF481"/>
      <c r="GG481"/>
      <c r="GH481"/>
      <c r="GI481"/>
      <c r="GJ481"/>
      <c r="GK481"/>
      <c r="GL481"/>
      <c r="GM481"/>
      <c r="GN481"/>
      <c r="GO481"/>
      <c r="GP481"/>
      <c r="GQ481"/>
      <c r="GR481"/>
      <c r="GS481"/>
      <c r="GT481"/>
      <c r="GU481"/>
      <c r="GV481"/>
      <c r="GW481"/>
      <c r="GX481"/>
      <c r="GY481"/>
      <c r="GZ481"/>
      <c r="HA481"/>
      <c r="HB481"/>
      <c r="HC481"/>
      <c r="HD481"/>
      <c r="HE481"/>
      <c r="HF481"/>
      <c r="HG481"/>
      <c r="HH481"/>
      <c r="HI481"/>
      <c r="HJ481"/>
      <c r="HK481"/>
      <c r="HL481"/>
      <c r="HM481"/>
      <c r="HN481"/>
      <c r="HO481"/>
      <c r="HP481"/>
      <c r="HQ481"/>
      <c r="HR481"/>
      <c r="HS481"/>
      <c r="HT481"/>
      <c r="HU481"/>
      <c r="HV481"/>
      <c r="HW481"/>
      <c r="HX481"/>
      <c r="HY481"/>
      <c r="HZ481"/>
      <c r="IA481"/>
      <c r="IB481"/>
      <c r="IC481"/>
      <c r="ID481"/>
      <c r="IE481"/>
      <c r="IF481"/>
      <c r="IG481"/>
      <c r="IH481"/>
      <c r="II481"/>
      <c r="IJ481"/>
      <c r="IK481"/>
      <c r="IL481"/>
      <c r="IM481"/>
      <c r="IN481"/>
      <c r="IO481"/>
      <c r="IP481"/>
      <c r="IQ481"/>
      <c r="IR481"/>
      <c r="IS481"/>
      <c r="IT481"/>
      <c r="IU481"/>
      <c r="IV481"/>
    </row>
    <row r="482" spans="1:256" s="217" customFormat="1">
      <c r="A482" s="54"/>
      <c r="B482" s="1992"/>
      <c r="C482" s="1666" t="s">
        <v>260</v>
      </c>
      <c r="D482" s="2351"/>
      <c r="E482" s="2521"/>
      <c r="F482" s="2511">
        <f ca="1">Transfer!D246</f>
        <v>0.64269000000000009</v>
      </c>
      <c r="G482" s="2453">
        <f ca="1">100*((Transfer!D246/Transfer!C246)-1)</f>
        <v>3.9446870451237404</v>
      </c>
      <c r="H482" s="2692">
        <f ca="1">Transfer!E246</f>
        <v>0.66518415000000009</v>
      </c>
      <c r="I482" s="2453">
        <f ca="1">100*((Transfer!E246/Transfer!D246)-1)</f>
        <v>3.499999999999992</v>
      </c>
      <c r="J482" s="2692">
        <f ca="1">Transfer!F246</f>
        <v>0.68846559525000006</v>
      </c>
      <c r="K482" s="2453">
        <f ca="1">100*((Transfer!F246/Transfer!E246)-1)</f>
        <v>3.499999999999992</v>
      </c>
      <c r="L482" s="2453">
        <f ca="1">Transfer!G246</f>
        <v>0.70911956310750013</v>
      </c>
      <c r="M482" s="2693">
        <f ca="1">100*((Transfer!G246/Transfer!F246)-1)</f>
        <v>3.0000000000000027</v>
      </c>
      <c r="N482" s="2452"/>
      <c r="O482" s="54"/>
      <c r="P482" s="54"/>
      <c r="Q482" s="54"/>
      <c r="R482" s="54"/>
      <c r="S482" s="259"/>
      <c r="T482" s="101" t="s">
        <v>260</v>
      </c>
      <c r="U482" s="49"/>
      <c r="V482" s="254"/>
      <c r="W482" s="248">
        <f t="shared" ca="1" si="32"/>
        <v>-1.4</v>
      </c>
      <c r="X482" s="245">
        <f t="shared" ca="1" si="32"/>
        <v>9.6</v>
      </c>
      <c r="Y482" s="245">
        <f t="shared" ca="1" si="32"/>
        <v>-1.3</v>
      </c>
      <c r="Z482" s="245">
        <f t="shared" ca="1" si="32"/>
        <v>2.5</v>
      </c>
      <c r="AA482" s="245">
        <f t="shared" ca="1" si="32"/>
        <v>-1.4000000000000001</v>
      </c>
      <c r="AB482" s="245">
        <f t="shared" ca="1" si="32"/>
        <v>2.5</v>
      </c>
      <c r="AC482" s="245">
        <f t="shared" ca="1" si="32"/>
        <v>-1.4000000000000001</v>
      </c>
      <c r="AD482" s="249">
        <f t="shared" ca="1" si="32"/>
        <v>2</v>
      </c>
      <c r="AE482" s="199"/>
      <c r="AF482" s="45"/>
      <c r="AG482" s="45"/>
      <c r="AH482" s="45"/>
      <c r="AI482" s="45"/>
      <c r="AJ482" s="259"/>
      <c r="AK482" s="101" t="s">
        <v>260</v>
      </c>
      <c r="AL482" s="49"/>
      <c r="AM482" s="254"/>
      <c r="AN482" s="145">
        <f>Transfer!AD246</f>
        <v>2.0189400000000002</v>
      </c>
      <c r="AO482" s="245">
        <f>100*((Transfer!AD246/Transfer!AC246)-1)</f>
        <v>-5.6645032871220362</v>
      </c>
      <c r="AP482" s="141">
        <f>Transfer!AE246</f>
        <v>2.0391294000000002</v>
      </c>
      <c r="AQ482" s="245">
        <f>100*((Transfer!AE246/Transfer!AD246)-1)</f>
        <v>1.0000000000000009</v>
      </c>
      <c r="AR482" s="141">
        <f>Transfer!AF246</f>
        <v>2.0595206940000002</v>
      </c>
      <c r="AS482" s="245">
        <f>100*((Transfer!AF246/Transfer!AE246)-1)</f>
        <v>1.0000000000000009</v>
      </c>
      <c r="AT482" s="245">
        <f>Transfer!AG246</f>
        <v>2.0801159009400001</v>
      </c>
      <c r="AU482" s="249">
        <f>100*((Transfer!AG246/Transfer!AF246)-1)</f>
        <v>1.0000000000000009</v>
      </c>
      <c r="AV482" s="199"/>
      <c r="AW482" s="54"/>
      <c r="AX482" s="54"/>
      <c r="AY482" s="54"/>
      <c r="AZ482" s="54"/>
      <c r="BA482" s="2000" t="s">
        <v>1038</v>
      </c>
      <c r="BB482" s="54"/>
      <c r="BC482" s="54"/>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c r="EO482"/>
      <c r="EP482"/>
      <c r="EQ482"/>
      <c r="ER482"/>
      <c r="ES482"/>
      <c r="ET482"/>
      <c r="EU482"/>
      <c r="EV482"/>
      <c r="EW482"/>
      <c r="EX482"/>
      <c r="EY482"/>
      <c r="EZ482"/>
      <c r="FA482"/>
      <c r="FB482"/>
      <c r="FC482"/>
      <c r="FD482"/>
      <c r="FE482"/>
      <c r="FF482"/>
      <c r="FG482"/>
      <c r="FH482"/>
      <c r="FI482"/>
      <c r="FJ482"/>
      <c r="FK482"/>
      <c r="FL482"/>
      <c r="FM482"/>
      <c r="FN482"/>
      <c r="FO482"/>
      <c r="FP482"/>
      <c r="FQ482"/>
      <c r="FR482"/>
      <c r="FS482"/>
      <c r="FT482"/>
      <c r="FU482"/>
      <c r="FV482"/>
      <c r="FW482"/>
      <c r="FX482"/>
      <c r="FY482"/>
      <c r="FZ482"/>
      <c r="GA482"/>
      <c r="GB482"/>
      <c r="GC482"/>
      <c r="GD482"/>
      <c r="GE482"/>
      <c r="GF482"/>
      <c r="GG482"/>
      <c r="GH482"/>
      <c r="GI482"/>
      <c r="GJ482"/>
      <c r="GK482"/>
      <c r="GL482"/>
      <c r="GM482"/>
      <c r="GN482"/>
      <c r="GO482"/>
      <c r="GP482"/>
      <c r="GQ482"/>
      <c r="GR482"/>
      <c r="GS482"/>
      <c r="GT482"/>
      <c r="GU482"/>
      <c r="GV482"/>
      <c r="GW482"/>
      <c r="GX482"/>
      <c r="GY482"/>
      <c r="GZ482"/>
      <c r="HA482"/>
      <c r="HB482"/>
      <c r="HC482"/>
      <c r="HD482"/>
      <c r="HE482"/>
      <c r="HF482"/>
      <c r="HG482"/>
      <c r="HH482"/>
      <c r="HI482"/>
      <c r="HJ482"/>
      <c r="HK482"/>
      <c r="HL482"/>
      <c r="HM482"/>
      <c r="HN482"/>
      <c r="HO482"/>
      <c r="HP482"/>
      <c r="HQ482"/>
      <c r="HR482"/>
      <c r="HS482"/>
      <c r="HT482"/>
      <c r="HU482"/>
      <c r="HV482"/>
      <c r="HW482"/>
      <c r="HX482"/>
      <c r="HY482"/>
      <c r="HZ482"/>
      <c r="IA482"/>
      <c r="IB482"/>
      <c r="IC482"/>
      <c r="ID482"/>
      <c r="IE482"/>
      <c r="IF482"/>
      <c r="IG482"/>
      <c r="IH482"/>
      <c r="II482"/>
      <c r="IJ482"/>
      <c r="IK482"/>
      <c r="IL482"/>
      <c r="IM482"/>
      <c r="IN482"/>
      <c r="IO482"/>
      <c r="IP482"/>
      <c r="IQ482"/>
      <c r="IR482"/>
      <c r="IS482"/>
      <c r="IT482"/>
      <c r="IU482"/>
      <c r="IV482"/>
    </row>
    <row r="483" spans="1:256" s="217" customFormat="1">
      <c r="A483" s="54"/>
      <c r="B483" s="1992"/>
      <c r="C483" s="1666" t="s">
        <v>1648</v>
      </c>
      <c r="D483" s="2351"/>
      <c r="E483" s="2521" t="s">
        <v>1649</v>
      </c>
      <c r="F483" s="2511">
        <f ca="1">Transfer!D244</f>
        <v>1.14178</v>
      </c>
      <c r="G483" s="2453">
        <f ca="1">100*((Transfer!D244/Transfer!C244)-1)</f>
        <v>3.4221014492753499</v>
      </c>
      <c r="H483" s="2692">
        <f ca="1">Transfer!E244</f>
        <v>1.1817423</v>
      </c>
      <c r="I483" s="2453">
        <f ca="1">100*((Transfer!E244/Transfer!D244)-1)</f>
        <v>3.499999999999992</v>
      </c>
      <c r="J483" s="2692">
        <f ca="1">Transfer!F244</f>
        <v>1.229011992</v>
      </c>
      <c r="K483" s="2453">
        <f ca="1">100*((Transfer!F244/Transfer!E244)-1)</f>
        <v>4.0000000000000036</v>
      </c>
      <c r="L483" s="2453">
        <f ca="1">Transfer!G244</f>
        <v>1.2720274117199999</v>
      </c>
      <c r="M483" s="2693">
        <f ca="1">100*((Transfer!G244/Transfer!F244)-1)</f>
        <v>3.499999999999992</v>
      </c>
      <c r="N483" s="2452"/>
      <c r="O483" s="54"/>
      <c r="P483" s="54"/>
      <c r="Q483" s="54"/>
      <c r="R483" s="54"/>
      <c r="S483" s="259"/>
      <c r="T483" s="101" t="s">
        <v>1648</v>
      </c>
      <c r="U483" s="49"/>
      <c r="V483" s="254" t="s">
        <v>1649</v>
      </c>
      <c r="W483" s="248">
        <f t="shared" ca="1" si="32"/>
        <v>-1.6</v>
      </c>
      <c r="X483" s="245">
        <f t="shared" ca="1" si="32"/>
        <v>0.60000000000000009</v>
      </c>
      <c r="Y483" s="245">
        <f t="shared" ca="1" si="32"/>
        <v>-1.5999999999999999</v>
      </c>
      <c r="Z483" s="245">
        <f t="shared" ca="1" si="32"/>
        <v>-0.5</v>
      </c>
      <c r="AA483" s="245">
        <f t="shared" ca="1" si="32"/>
        <v>-1.7</v>
      </c>
      <c r="AB483" s="245">
        <f t="shared" ca="1" si="32"/>
        <v>0</v>
      </c>
      <c r="AC483" s="245">
        <f t="shared" ca="1" si="32"/>
        <v>-1.8</v>
      </c>
      <c r="AD483" s="249">
        <f t="shared" ca="1" si="32"/>
        <v>-0.5</v>
      </c>
      <c r="AE483" s="199"/>
      <c r="AF483" s="45"/>
      <c r="AG483" s="45"/>
      <c r="AH483" s="45"/>
      <c r="AI483" s="45"/>
      <c r="AJ483" s="259"/>
      <c r="AK483" s="101" t="s">
        <v>1648</v>
      </c>
      <c r="AL483" s="49"/>
      <c r="AM483" s="254" t="s">
        <v>1649</v>
      </c>
      <c r="AN483" s="145">
        <f>Transfer!AD244</f>
        <v>2.7229200000000002</v>
      </c>
      <c r="AO483" s="245">
        <f>100*((Transfer!AD244/Transfer!AC244)-1)</f>
        <v>2.77264046258483</v>
      </c>
      <c r="AP483" s="141">
        <f>Transfer!AE244</f>
        <v>2.8318368000000005</v>
      </c>
      <c r="AQ483" s="245">
        <f>100*((Transfer!AE244/Transfer!AD244)-1)</f>
        <v>4.0000000000000036</v>
      </c>
      <c r="AR483" s="141">
        <f>Transfer!AF244</f>
        <v>2.9451102720000004</v>
      </c>
      <c r="AS483" s="245">
        <f>100*((Transfer!AF244/Transfer!AE244)-1)</f>
        <v>4.0000000000000036</v>
      </c>
      <c r="AT483" s="245">
        <f>Transfer!AG244</f>
        <v>3.0629146828800007</v>
      </c>
      <c r="AU483" s="249">
        <f>100*((Transfer!AG244/Transfer!AF244)-1)</f>
        <v>4.0000000000000036</v>
      </c>
      <c r="AV483" s="199"/>
      <c r="AW483" s="54"/>
      <c r="AX483" s="54"/>
      <c r="AY483" s="54"/>
      <c r="AZ483" s="54"/>
      <c r="BA483" s="2000" t="s">
        <v>1039</v>
      </c>
      <c r="BB483" s="54"/>
      <c r="BC483" s="54"/>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c r="EO483"/>
      <c r="EP483"/>
      <c r="EQ483"/>
      <c r="ER483"/>
      <c r="ES483"/>
      <c r="ET483"/>
      <c r="EU483"/>
      <c r="EV483"/>
      <c r="EW483"/>
      <c r="EX483"/>
      <c r="EY483"/>
      <c r="EZ483"/>
      <c r="FA483"/>
      <c r="FB483"/>
      <c r="FC483"/>
      <c r="FD483"/>
      <c r="FE483"/>
      <c r="FF483"/>
      <c r="FG483"/>
      <c r="FH483"/>
      <c r="FI483"/>
      <c r="FJ483"/>
      <c r="FK483"/>
      <c r="FL483"/>
      <c r="FM483"/>
      <c r="FN483"/>
      <c r="FO483"/>
      <c r="FP483"/>
      <c r="FQ483"/>
      <c r="FR483"/>
      <c r="FS483"/>
      <c r="FT483"/>
      <c r="FU483"/>
      <c r="FV483"/>
      <c r="FW483"/>
      <c r="FX483"/>
      <c r="FY483"/>
      <c r="FZ483"/>
      <c r="GA483"/>
      <c r="GB483"/>
      <c r="GC483"/>
      <c r="GD483"/>
      <c r="GE483"/>
      <c r="GF483"/>
      <c r="GG483"/>
      <c r="GH483"/>
      <c r="GI483"/>
      <c r="GJ483"/>
      <c r="GK483"/>
      <c r="GL483"/>
      <c r="GM483"/>
      <c r="GN483"/>
      <c r="GO483"/>
      <c r="GP483"/>
      <c r="GQ483"/>
      <c r="GR483"/>
      <c r="GS483"/>
      <c r="GT483"/>
      <c r="GU483"/>
      <c r="GV483"/>
      <c r="GW483"/>
      <c r="GX483"/>
      <c r="GY483"/>
      <c r="GZ483"/>
      <c r="HA483"/>
      <c r="HB483"/>
      <c r="HC483"/>
      <c r="HD483"/>
      <c r="HE483"/>
      <c r="HF483"/>
      <c r="HG483"/>
      <c r="HH483"/>
      <c r="HI483"/>
      <c r="HJ483"/>
      <c r="HK483"/>
      <c r="HL483"/>
      <c r="HM483"/>
      <c r="HN483"/>
      <c r="HO483"/>
      <c r="HP483"/>
      <c r="HQ483"/>
      <c r="HR483"/>
      <c r="HS483"/>
      <c r="HT483"/>
      <c r="HU483"/>
      <c r="HV483"/>
      <c r="HW483"/>
      <c r="HX483"/>
      <c r="HY483"/>
      <c r="HZ483"/>
      <c r="IA483"/>
      <c r="IB483"/>
      <c r="IC483"/>
      <c r="ID483"/>
      <c r="IE483"/>
      <c r="IF483"/>
      <c r="IG483"/>
      <c r="IH483"/>
      <c r="II483"/>
      <c r="IJ483"/>
      <c r="IK483"/>
      <c r="IL483"/>
      <c r="IM483"/>
      <c r="IN483"/>
      <c r="IO483"/>
      <c r="IP483"/>
      <c r="IQ483"/>
      <c r="IR483"/>
      <c r="IS483"/>
      <c r="IT483"/>
      <c r="IU483"/>
      <c r="IV483"/>
    </row>
    <row r="484" spans="1:256" s="217" customFormat="1">
      <c r="A484" s="54"/>
      <c r="B484" s="1992"/>
      <c r="C484" s="1666" t="s">
        <v>526</v>
      </c>
      <c r="D484" s="2351"/>
      <c r="E484" s="2521"/>
      <c r="F484" s="2692">
        <f ca="1">Transfer!D137-Transfer!D220-Transfer!D244-Transfer!D245-Transfer!D246+Transfer!D243</f>
        <v>3.8999999999997925E-3</v>
      </c>
      <c r="G484" s="2453">
        <f ca="1">100*((Transfer!D137-Transfer!D220-Transfer!D244-Transfer!D245-Transfer!D246+Transfer!D243)/(Transfer!C137-Transfer!C220-Transfer!C244-Transfer!C245-Transfer!C246+Transfer!C243)-1)</f>
        <v>86.602870813374054</v>
      </c>
      <c r="H484" s="2692">
        <f ca="1">Transfer!E137-Transfer!E220-Transfer!E244-Transfer!E245-Transfer!E246+Transfer!E243</f>
        <v>4.0350000000000108E-3</v>
      </c>
      <c r="I484" s="2453">
        <f ca="1">100*((Transfer!E137-Transfer!E220-Transfer!E244-Transfer!E245-Transfer!E246+Transfer!E243)/(Transfer!D137-Transfer!D220-Transfer!D244-Transfer!D245-Transfer!D246+Transfer!D243)-1)</f>
        <v>3.4615384615442446</v>
      </c>
      <c r="J484" s="2692">
        <f ca="1">Transfer!F137-Transfer!F220-Transfer!F244-Transfer!F245-Transfer!F246+Transfer!F243</f>
        <v>4.1767499999992852E-3</v>
      </c>
      <c r="K484" s="2453">
        <f ca="1">100*((Transfer!F137-Transfer!F220-Transfer!F244-Transfer!F245-Transfer!F246+Transfer!F243)/(Transfer!E137-Transfer!E220-Transfer!E244-Transfer!E245-Transfer!E246+Transfer!E243)-1)</f>
        <v>3.5130111523983709</v>
      </c>
      <c r="L484" s="2453">
        <f ca="1">Transfer!G137-Transfer!G220-Transfer!G244-Transfer!G245-Transfer!G246+Transfer!G243</f>
        <v>4.325587499997563E-3</v>
      </c>
      <c r="M484" s="2693">
        <f ca="1">100*((Transfer!G137-Transfer!G220-Transfer!G244-Transfer!G245-Transfer!G246+Transfer!G243)/(Transfer!F137-Transfer!F220-Transfer!F244-Transfer!F245-Transfer!F246+Transfer!F243)-1)</f>
        <v>3.5634763871024822</v>
      </c>
      <c r="N484" s="2452"/>
      <c r="O484" s="54"/>
      <c r="P484" s="54"/>
      <c r="Q484" s="54"/>
      <c r="R484" s="54"/>
      <c r="S484" s="259"/>
      <c r="T484" s="101" t="s">
        <v>526</v>
      </c>
      <c r="U484" s="49"/>
      <c r="V484" s="254"/>
      <c r="W484" s="248">
        <f t="shared" ca="1" si="32"/>
        <v>0</v>
      </c>
      <c r="X484" s="245">
        <f t="shared" ca="1" si="32"/>
        <v>60.3</v>
      </c>
      <c r="Y484" s="245">
        <f t="shared" ca="1" si="32"/>
        <v>0</v>
      </c>
      <c r="Z484" s="245">
        <f t="shared" ca="1" si="32"/>
        <v>0.5</v>
      </c>
      <c r="AA484" s="245">
        <f t="shared" ca="1" si="32"/>
        <v>0</v>
      </c>
      <c r="AB484" s="245">
        <f t="shared" ca="1" si="32"/>
        <v>0.39999999999999991</v>
      </c>
      <c r="AC484" s="245">
        <f t="shared" ca="1" si="32"/>
        <v>0</v>
      </c>
      <c r="AD484" s="249">
        <f t="shared" ca="1" si="32"/>
        <v>0.39999999999999991</v>
      </c>
      <c r="AE484" s="199"/>
      <c r="AF484" s="45"/>
      <c r="AG484" s="45"/>
      <c r="AH484" s="45"/>
      <c r="AI484" s="45"/>
      <c r="AJ484" s="259"/>
      <c r="AK484" s="101" t="s">
        <v>526</v>
      </c>
      <c r="AL484" s="49"/>
      <c r="AM484" s="254"/>
      <c r="AN484" s="141">
        <f>Transfer!AD137-Transfer!AD220-Transfer!AD244-Transfer!AD245-Transfer!AD246+Transfer!AD243</f>
        <v>2.5349999999999318E-2</v>
      </c>
      <c r="AO484" s="245">
        <f>100*((Transfer!AD137-Transfer!AD220-Transfer!AD244-Transfer!AD245-Transfer!AD246+Transfer!AD243)/(Transfer!AC137-Transfer!AC220-Transfer!AC244-Transfer!AC245-Transfer!AC246+Transfer!AC243)-1)</f>
        <v>26.307922272058203</v>
      </c>
      <c r="AP484" s="141">
        <f>Transfer!AE137-Transfer!AE220-Transfer!AE244-Transfer!AE245-Transfer!AE246+Transfer!AE243</f>
        <v>2.6119800000000026E-2</v>
      </c>
      <c r="AQ484" s="245">
        <f>100*((Transfer!AE137-Transfer!AE220-Transfer!AE244-Transfer!AE245-Transfer!AE246+Transfer!AE243)/(Transfer!AD137-Transfer!AD220-Transfer!AD244-Transfer!AD245-Transfer!AD246+Transfer!AD243)-1)</f>
        <v>3.0366863905354258</v>
      </c>
      <c r="AR484" s="141">
        <f>Transfer!AF137-Transfer!AF220-Transfer!AF244-Transfer!AF245-Transfer!AF246+Transfer!AF243</f>
        <v>2.6935787999998739E-2</v>
      </c>
      <c r="AS484" s="245">
        <f>100*((Transfer!AF137-Transfer!AF220-Transfer!AF244-Transfer!AF245-Transfer!AF246+Transfer!AF243)/(Transfer!AE137-Transfer!AE220-Transfer!AE244-Transfer!AE245-Transfer!AE246+Transfer!AE243)-1)</f>
        <v>3.1240208577351769</v>
      </c>
      <c r="AT484" s="245">
        <f>Transfer!AG137-Transfer!AG220-Transfer!AG244-Transfer!AG245-Transfer!AG246+Transfer!AG243</f>
        <v>2.7800735279999156E-2</v>
      </c>
      <c r="AU484" s="249">
        <f>100*((Transfer!AG137-Transfer!AG220-Transfer!AG244-Transfer!AG245-Transfer!AG246+Transfer!AG243)/(Transfer!AF137-Transfer!AF220-Transfer!AF244-Transfer!AF245-Transfer!AF246+Transfer!AF243)-1)</f>
        <v>3.211145261465731</v>
      </c>
      <c r="AV484" s="199"/>
      <c r="AW484" s="54"/>
      <c r="AX484" s="54"/>
      <c r="AY484" s="54"/>
      <c r="AZ484" s="54"/>
      <c r="BA484" s="2000" t="s">
        <v>1592</v>
      </c>
      <c r="BB484" s="54"/>
      <c r="BC484" s="5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c r="EO484"/>
      <c r="EP484"/>
      <c r="EQ484"/>
      <c r="ER484"/>
      <c r="ES484"/>
      <c r="ET484"/>
      <c r="EU484"/>
      <c r="EV484"/>
      <c r="EW484"/>
      <c r="EX484"/>
      <c r="EY484"/>
      <c r="EZ484"/>
      <c r="FA484"/>
      <c r="FB484"/>
      <c r="FC484"/>
      <c r="FD484"/>
      <c r="FE484"/>
      <c r="FF484"/>
      <c r="FG484"/>
      <c r="FH484"/>
      <c r="FI484"/>
      <c r="FJ484"/>
      <c r="FK484"/>
      <c r="FL484"/>
      <c r="FM484"/>
      <c r="FN484"/>
      <c r="FO484"/>
      <c r="FP484"/>
      <c r="FQ484"/>
      <c r="FR484"/>
      <c r="FS484"/>
      <c r="FT484"/>
      <c r="FU484"/>
      <c r="FV484"/>
      <c r="FW484"/>
      <c r="FX484"/>
      <c r="FY484"/>
      <c r="FZ484"/>
      <c r="GA484"/>
      <c r="GB484"/>
      <c r="GC484"/>
      <c r="GD484"/>
      <c r="GE484"/>
      <c r="GF484"/>
      <c r="GG484"/>
      <c r="GH484"/>
      <c r="GI484"/>
      <c r="GJ484"/>
      <c r="GK484"/>
      <c r="GL484"/>
      <c r="GM484"/>
      <c r="GN484"/>
      <c r="GO484"/>
      <c r="GP484"/>
      <c r="GQ484"/>
      <c r="GR484"/>
      <c r="GS484"/>
      <c r="GT484"/>
      <c r="GU484"/>
      <c r="GV484"/>
      <c r="GW484"/>
      <c r="GX484"/>
      <c r="GY484"/>
      <c r="GZ484"/>
      <c r="HA484"/>
      <c r="HB484"/>
      <c r="HC484"/>
      <c r="HD484"/>
      <c r="HE484"/>
      <c r="HF484"/>
      <c r="HG484"/>
      <c r="HH484"/>
      <c r="HI484"/>
      <c r="HJ484"/>
      <c r="HK484"/>
      <c r="HL484"/>
      <c r="HM484"/>
      <c r="HN484"/>
      <c r="HO484"/>
      <c r="HP484"/>
      <c r="HQ484"/>
      <c r="HR484"/>
      <c r="HS484"/>
      <c r="HT484"/>
      <c r="HU484"/>
      <c r="HV484"/>
      <c r="HW484"/>
      <c r="HX484"/>
      <c r="HY484"/>
      <c r="HZ484"/>
      <c r="IA484"/>
      <c r="IB484"/>
      <c r="IC484"/>
      <c r="ID484"/>
      <c r="IE484"/>
      <c r="IF484"/>
      <c r="IG484"/>
      <c r="IH484"/>
      <c r="II484"/>
      <c r="IJ484"/>
      <c r="IK484"/>
      <c r="IL484"/>
      <c r="IM484"/>
      <c r="IN484"/>
      <c r="IO484"/>
      <c r="IP484"/>
      <c r="IQ484"/>
      <c r="IR484"/>
      <c r="IS484"/>
      <c r="IT484"/>
      <c r="IU484"/>
      <c r="IV484"/>
    </row>
    <row r="485" spans="1:256" s="217" customFormat="1">
      <c r="A485" s="54"/>
      <c r="B485" s="1992"/>
      <c r="C485" s="2379" t="s">
        <v>527</v>
      </c>
      <c r="D485" s="2380"/>
      <c r="E485" s="2694"/>
      <c r="F485" s="2697">
        <f ca="1">+Transfer!D243</f>
        <v>0.80027999999999999</v>
      </c>
      <c r="G485" s="2695">
        <f ca="1">100*((Transfer!D243/Transfer!C243)-1)</f>
        <v>4.1190705420103502</v>
      </c>
      <c r="H485" s="2697">
        <f ca="1">+Transfer!E243</f>
        <v>0.82028699999999988</v>
      </c>
      <c r="I485" s="2695">
        <f ca="1">100*((Transfer!E243/Transfer!D243)-1)</f>
        <v>2.4999999999999911</v>
      </c>
      <c r="J485" s="2697">
        <f ca="1">+Transfer!F243</f>
        <v>0.84079417499999975</v>
      </c>
      <c r="K485" s="2695">
        <f ca="1">100*((Transfer!F243/Transfer!E243)-1)</f>
        <v>2.4999999999999911</v>
      </c>
      <c r="L485" s="2695">
        <f ca="1">+Transfer!G243</f>
        <v>0.86181402937499962</v>
      </c>
      <c r="M485" s="2698">
        <f ca="1">100*((Transfer!G243/Transfer!F243)-1)</f>
        <v>2.4999999999999911</v>
      </c>
      <c r="N485" s="2452"/>
      <c r="O485" s="54"/>
      <c r="P485" s="54"/>
      <c r="Q485" s="54"/>
      <c r="R485" s="54"/>
      <c r="S485" s="259"/>
      <c r="T485" s="427" t="s">
        <v>527</v>
      </c>
      <c r="U485" s="95"/>
      <c r="V485" s="384"/>
      <c r="W485" s="429">
        <f t="shared" ca="1" si="32"/>
        <v>-0.89999999999999991</v>
      </c>
      <c r="X485" s="428">
        <f t="shared" ca="1" si="32"/>
        <v>-11.6</v>
      </c>
      <c r="Y485" s="428">
        <f t="shared" ca="1" si="32"/>
        <v>-0.89999999999999991</v>
      </c>
      <c r="Z485" s="428">
        <f t="shared" ca="1" si="32"/>
        <v>0</v>
      </c>
      <c r="AA485" s="428">
        <f t="shared" ca="1" si="32"/>
        <v>-1</v>
      </c>
      <c r="AB485" s="428">
        <f t="shared" ca="1" si="32"/>
        <v>0</v>
      </c>
      <c r="AC485" s="428">
        <f t="shared" ca="1" si="32"/>
        <v>-0.9</v>
      </c>
      <c r="AD485" s="431">
        <f t="shared" ca="1" si="32"/>
        <v>0</v>
      </c>
      <c r="AE485" s="199"/>
      <c r="AF485" s="45"/>
      <c r="AG485" s="45"/>
      <c r="AH485" s="45"/>
      <c r="AI485" s="45"/>
      <c r="AJ485" s="259"/>
      <c r="AK485" s="427" t="s">
        <v>527</v>
      </c>
      <c r="AL485" s="95"/>
      <c r="AM485" s="384"/>
      <c r="AN485" s="430">
        <f>+Transfer!AD243</f>
        <v>1.68685</v>
      </c>
      <c r="AO485" s="428">
        <f>100*((Transfer!AD243/Transfer!AC243)-1)</f>
        <v>15.698539750474971</v>
      </c>
      <c r="AP485" s="430">
        <f>+Transfer!AE243</f>
        <v>1.7290212499999997</v>
      </c>
      <c r="AQ485" s="428">
        <f>100*((Transfer!AE243/Transfer!AD243)-1)</f>
        <v>2.4999999999999911</v>
      </c>
      <c r="AR485" s="430">
        <f>+Transfer!AF243</f>
        <v>1.7722467812499996</v>
      </c>
      <c r="AS485" s="428">
        <f>100*((Transfer!AF243/Transfer!AE243)-1)</f>
        <v>2.4999999999999911</v>
      </c>
      <c r="AT485" s="428">
        <f>+Transfer!AG243</f>
        <v>1.8165529507812495</v>
      </c>
      <c r="AU485" s="431">
        <f>100*((Transfer!AG243/Transfer!AF243)-1)</f>
        <v>2.4999999999999911</v>
      </c>
      <c r="AV485" s="199"/>
      <c r="AW485" s="54"/>
      <c r="AX485" s="54"/>
      <c r="AY485" s="54"/>
      <c r="AZ485" s="54"/>
      <c r="BA485" s="2000" t="s">
        <v>1040</v>
      </c>
      <c r="BB485" s="54"/>
      <c r="BC485" s="54"/>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c r="EN485"/>
      <c r="EO485"/>
      <c r="EP485"/>
      <c r="EQ485"/>
      <c r="ER485"/>
      <c r="ES485"/>
      <c r="ET485"/>
      <c r="EU485"/>
      <c r="EV485"/>
      <c r="EW485"/>
      <c r="EX485"/>
      <c r="EY485"/>
      <c r="EZ485"/>
      <c r="FA485"/>
      <c r="FB485"/>
      <c r="FC485"/>
      <c r="FD485"/>
      <c r="FE485"/>
      <c r="FF485"/>
      <c r="FG485"/>
      <c r="FH485"/>
      <c r="FI485"/>
      <c r="FJ485"/>
      <c r="FK485"/>
      <c r="FL485"/>
      <c r="FM485"/>
      <c r="FN485"/>
      <c r="FO485"/>
      <c r="FP485"/>
      <c r="FQ485"/>
      <c r="FR485"/>
      <c r="FS485"/>
      <c r="FT485"/>
      <c r="FU485"/>
      <c r="FV485"/>
      <c r="FW485"/>
      <c r="FX485"/>
      <c r="FY485"/>
      <c r="FZ485"/>
      <c r="GA485"/>
      <c r="GB485"/>
      <c r="GC485"/>
      <c r="GD485"/>
      <c r="GE485"/>
      <c r="GF485"/>
      <c r="GG485"/>
      <c r="GH485"/>
      <c r="GI485"/>
      <c r="GJ485"/>
      <c r="GK485"/>
      <c r="GL485"/>
      <c r="GM485"/>
      <c r="GN485"/>
      <c r="GO485"/>
      <c r="GP485"/>
      <c r="GQ485"/>
      <c r="GR485"/>
      <c r="GS485"/>
      <c r="GT485"/>
      <c r="GU485"/>
      <c r="GV485"/>
      <c r="GW485"/>
      <c r="GX485"/>
      <c r="GY485"/>
      <c r="GZ485"/>
      <c r="HA485"/>
      <c r="HB485"/>
      <c r="HC485"/>
      <c r="HD485"/>
      <c r="HE485"/>
      <c r="HF485"/>
      <c r="HG485"/>
      <c r="HH485"/>
      <c r="HI485"/>
      <c r="HJ485"/>
      <c r="HK485"/>
      <c r="HL485"/>
      <c r="HM485"/>
      <c r="HN485"/>
      <c r="HO485"/>
      <c r="HP485"/>
      <c r="HQ485"/>
      <c r="HR485"/>
      <c r="HS485"/>
      <c r="HT485"/>
      <c r="HU485"/>
      <c r="HV485"/>
      <c r="HW485"/>
      <c r="HX485"/>
      <c r="HY485"/>
      <c r="HZ485"/>
      <c r="IA485"/>
      <c r="IB485"/>
      <c r="IC485"/>
      <c r="ID485"/>
      <c r="IE485"/>
      <c r="IF485"/>
      <c r="IG485"/>
      <c r="IH485"/>
      <c r="II485"/>
      <c r="IJ485"/>
      <c r="IK485"/>
      <c r="IL485"/>
      <c r="IM485"/>
      <c r="IN485"/>
      <c r="IO485"/>
      <c r="IP485"/>
      <c r="IQ485"/>
      <c r="IR485"/>
      <c r="IS485"/>
      <c r="IT485"/>
      <c r="IU485"/>
      <c r="IV485"/>
    </row>
    <row r="486" spans="1:256" s="217" customFormat="1">
      <c r="A486" s="54"/>
      <c r="B486" s="1992"/>
      <c r="C486" s="1666" t="s">
        <v>638</v>
      </c>
      <c r="D486" s="2351"/>
      <c r="E486" s="2521" t="s">
        <v>649</v>
      </c>
      <c r="F486" s="2725">
        <f ca="1">+Transfer!D137</f>
        <v>6.63687</v>
      </c>
      <c r="G486" s="2450">
        <f ca="1">100*((Transfer!D137/Transfer!C137)-1)</f>
        <v>3.2370111234341969</v>
      </c>
      <c r="H486" s="2726">
        <f ca="1">+Transfer!E137</f>
        <v>6.9080500000000002</v>
      </c>
      <c r="I486" s="2450">
        <f ca="1">100*((Transfer!E137/Transfer!D137)-1)</f>
        <v>4.0859622080890556</v>
      </c>
      <c r="J486" s="2726">
        <f ca="1">+Transfer!F137</f>
        <v>7.2979828955879995</v>
      </c>
      <c r="K486" s="2450">
        <f ca="1">100*((Transfer!F137/Transfer!E137)-1)</f>
        <v>5.6446159999999912</v>
      </c>
      <c r="L486" s="2725">
        <f ca="1">+Transfer!G137</f>
        <v>7.6726989950392293</v>
      </c>
      <c r="M486" s="2451">
        <f ca="1">100*((Transfer!G137/Transfer!F137)-1)</f>
        <v>5.1345160000000112</v>
      </c>
      <c r="N486" s="2452"/>
      <c r="O486" s="54"/>
      <c r="P486" s="54"/>
      <c r="Q486" s="54"/>
      <c r="R486" s="54"/>
      <c r="S486" s="259"/>
      <c r="T486" s="99" t="s">
        <v>638</v>
      </c>
      <c r="U486" s="100"/>
      <c r="V486" s="2321" t="s">
        <v>649</v>
      </c>
      <c r="W486" s="2019">
        <f t="shared" ca="1" si="32"/>
        <v>-13.4</v>
      </c>
      <c r="X486" s="2020">
        <f t="shared" ca="1" si="32"/>
        <v>2.9000000000000004</v>
      </c>
      <c r="Y486" s="2020">
        <f t="shared" ca="1" si="32"/>
        <v>-13.700000000000001</v>
      </c>
      <c r="Z486" s="2020">
        <f t="shared" ca="1" si="32"/>
        <v>1.1999999999999997</v>
      </c>
      <c r="AA486" s="2020">
        <f t="shared" ca="1" si="32"/>
        <v>-14</v>
      </c>
      <c r="AB486" s="2020">
        <f t="shared" ca="1" si="32"/>
        <v>2.0999999999999996</v>
      </c>
      <c r="AC486" s="2020">
        <f t="shared" ca="1" si="32"/>
        <v>-14.400000000000002</v>
      </c>
      <c r="AD486" s="2338">
        <f t="shared" ca="1" si="32"/>
        <v>1.5999999999999996</v>
      </c>
      <c r="AE486" s="199"/>
      <c r="AF486" s="45"/>
      <c r="AG486" s="45"/>
      <c r="AH486" s="45"/>
      <c r="AI486" s="45"/>
      <c r="AJ486" s="259"/>
      <c r="AK486" s="101" t="s">
        <v>638</v>
      </c>
      <c r="AL486" s="49"/>
      <c r="AM486" s="254" t="s">
        <v>649</v>
      </c>
      <c r="AN486" s="2308">
        <f>+Transfer!AD137</f>
        <v>19.99691</v>
      </c>
      <c r="AO486" s="2020">
        <f>100*((Transfer!AD137/Transfer!AC137)-1)</f>
        <v>0.29209571149932945</v>
      </c>
      <c r="AP486" s="2309">
        <f>+Transfer!AE137</f>
        <v>20.5810197411</v>
      </c>
      <c r="AQ486" s="2020">
        <f>100*((Transfer!AE137/Transfer!AD137)-1)</f>
        <v>2.9209999999999958</v>
      </c>
      <c r="AR486" s="2309">
        <f>+Transfer!AF137</f>
        <v>21.307612062039794</v>
      </c>
      <c r="AS486" s="2020">
        <f>100*((Transfer!AF137/Transfer!AE137)-1)</f>
        <v>3.5304000000000002</v>
      </c>
      <c r="AT486" s="2308">
        <f>+Transfer!AG137</f>
        <v>22.059855998278046</v>
      </c>
      <c r="AU486" s="2310">
        <f>100*((Transfer!AG137/Transfer!AF137)-1)</f>
        <v>3.5304000000000002</v>
      </c>
      <c r="AV486" s="199"/>
      <c r="AW486" s="54"/>
      <c r="AX486" s="54"/>
      <c r="AY486" s="54"/>
      <c r="AZ486" s="54"/>
      <c r="BA486" s="2000" t="s">
        <v>1284</v>
      </c>
      <c r="BB486" s="54"/>
      <c r="BC486" s="54"/>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c r="EN486"/>
      <c r="EO486"/>
      <c r="EP486"/>
      <c r="EQ486"/>
      <c r="ER486"/>
      <c r="ES486"/>
      <c r="ET486"/>
      <c r="EU486"/>
      <c r="EV486"/>
      <c r="EW486"/>
      <c r="EX486"/>
      <c r="EY486"/>
      <c r="EZ486"/>
      <c r="FA486"/>
      <c r="FB486"/>
      <c r="FC486"/>
      <c r="FD486"/>
      <c r="FE486"/>
      <c r="FF486"/>
      <c r="FG486"/>
      <c r="FH486"/>
      <c r="FI486"/>
      <c r="FJ486"/>
      <c r="FK486"/>
      <c r="FL486"/>
      <c r="FM486"/>
      <c r="FN486"/>
      <c r="FO486"/>
      <c r="FP486"/>
      <c r="FQ486"/>
      <c r="FR486"/>
      <c r="FS486"/>
      <c r="FT486"/>
      <c r="FU486"/>
      <c r="FV486"/>
      <c r="FW486"/>
      <c r="FX486"/>
      <c r="FY486"/>
      <c r="FZ486"/>
      <c r="GA486"/>
      <c r="GB486"/>
      <c r="GC486"/>
      <c r="GD486"/>
      <c r="GE486"/>
      <c r="GF486"/>
      <c r="GG486"/>
      <c r="GH486"/>
      <c r="GI486"/>
      <c r="GJ486"/>
      <c r="GK486"/>
      <c r="GL486"/>
      <c r="GM486"/>
      <c r="GN486"/>
      <c r="GO486"/>
      <c r="GP486"/>
      <c r="GQ486"/>
      <c r="GR486"/>
      <c r="GS486"/>
      <c r="GT486"/>
      <c r="GU486"/>
      <c r="GV486"/>
      <c r="GW486"/>
      <c r="GX486"/>
      <c r="GY486"/>
      <c r="GZ486"/>
      <c r="HA486"/>
      <c r="HB486"/>
      <c r="HC486"/>
      <c r="HD486"/>
      <c r="HE486"/>
      <c r="HF486"/>
      <c r="HG486"/>
      <c r="HH486"/>
      <c r="HI486"/>
      <c r="HJ486"/>
      <c r="HK486"/>
      <c r="HL486"/>
      <c r="HM486"/>
      <c r="HN486"/>
      <c r="HO486"/>
      <c r="HP486"/>
      <c r="HQ486"/>
      <c r="HR486"/>
      <c r="HS486"/>
      <c r="HT486"/>
      <c r="HU486"/>
      <c r="HV486"/>
      <c r="HW486"/>
      <c r="HX486"/>
      <c r="HY486"/>
      <c r="HZ486"/>
      <c r="IA486"/>
      <c r="IB486"/>
      <c r="IC486"/>
      <c r="ID486"/>
      <c r="IE486"/>
      <c r="IF486"/>
      <c r="IG486"/>
      <c r="IH486"/>
      <c r="II486"/>
      <c r="IJ486"/>
      <c r="IK486"/>
      <c r="IL486"/>
      <c r="IM486"/>
      <c r="IN486"/>
      <c r="IO486"/>
      <c r="IP486"/>
      <c r="IQ486"/>
      <c r="IR486"/>
      <c r="IS486"/>
      <c r="IT486"/>
      <c r="IU486"/>
      <c r="IV486"/>
    </row>
    <row r="487" spans="1:256" s="217" customFormat="1">
      <c r="A487" s="54"/>
      <c r="B487" s="1992"/>
      <c r="C487" s="2373" t="s">
        <v>604</v>
      </c>
      <c r="D487" s="2392"/>
      <c r="E487" s="2521" t="s">
        <v>639</v>
      </c>
      <c r="F487" s="2511">
        <f ca="1">+Transfer!D219</f>
        <v>3.7765200000000001</v>
      </c>
      <c r="G487" s="2453">
        <f ca="1">100*((Transfer!D219/Transfer!C219)-1)</f>
        <v>3.7941772228436754</v>
      </c>
      <c r="H487" s="2692">
        <f ca="1">+Transfer!E219</f>
        <v>3.9208400000000001</v>
      </c>
      <c r="I487" s="2453">
        <f ca="1">100*((Transfer!E219/Transfer!D219)-1)</f>
        <v>3.8215076313643292</v>
      </c>
      <c r="J487" s="2692">
        <f ca="1">+Transfer!F219</f>
        <v>4.161412395588</v>
      </c>
      <c r="K487" s="2453">
        <f ca="1">100*((Transfer!F219/Transfer!E219)-1)</f>
        <v>6.1357361072627237</v>
      </c>
      <c r="L487" s="2453">
        <f ca="1">+Transfer!G219</f>
        <v>4.3792999700392308</v>
      </c>
      <c r="M487" s="2693">
        <f ca="1">100*((Transfer!G219/Transfer!F219)-1)</f>
        <v>5.23590439347561</v>
      </c>
      <c r="N487" s="2452"/>
      <c r="O487" s="54"/>
      <c r="P487" s="54"/>
      <c r="Q487" s="54"/>
      <c r="R487" s="54"/>
      <c r="S487" s="259"/>
      <c r="T487" s="162" t="s">
        <v>604</v>
      </c>
      <c r="U487" s="102"/>
      <c r="V487" s="254" t="s">
        <v>639</v>
      </c>
      <c r="W487" s="248">
        <f t="shared" ca="1" si="32"/>
        <v>-7.5000000000000009</v>
      </c>
      <c r="X487" s="245">
        <f t="shared" ca="1" si="32"/>
        <v>6</v>
      </c>
      <c r="Y487" s="245">
        <f t="shared" ca="1" si="32"/>
        <v>-7.7999999999999989</v>
      </c>
      <c r="Z487" s="245">
        <f t="shared" ca="1" si="32"/>
        <v>0.89999999999999991</v>
      </c>
      <c r="AA487" s="245">
        <f t="shared" ca="1" si="32"/>
        <v>-7.8999999999999995</v>
      </c>
      <c r="AB487" s="245">
        <f t="shared" ca="1" si="32"/>
        <v>2.1999999999999997</v>
      </c>
      <c r="AC487" s="245">
        <f t="shared" ca="1" si="32"/>
        <v>-8.1999999999999993</v>
      </c>
      <c r="AD487" s="249">
        <f t="shared" ca="1" si="32"/>
        <v>1.3000000000000003</v>
      </c>
      <c r="AE487" s="199"/>
      <c r="AF487" s="45"/>
      <c r="AG487" s="45"/>
      <c r="AH487" s="45"/>
      <c r="AI487" s="45"/>
      <c r="AJ487" s="259"/>
      <c r="AK487" s="162" t="s">
        <v>604</v>
      </c>
      <c r="AL487" s="102"/>
      <c r="AM487" s="254" t="s">
        <v>639</v>
      </c>
      <c r="AN487" s="145">
        <f>+Transfer!AD219</f>
        <v>11.328760000000001</v>
      </c>
      <c r="AO487" s="245">
        <f>100*((Transfer!AD219/Transfer!AC219)-1)</f>
        <v>-2.2078582385301804</v>
      </c>
      <c r="AP487" s="141">
        <f>+Transfer!AE219</f>
        <v>11.6528252411</v>
      </c>
      <c r="AQ487" s="245">
        <f>100*((Transfer!AE219/Transfer!AD219)-1)</f>
        <v>2.8605535036491103</v>
      </c>
      <c r="AR487" s="141">
        <f>+Transfer!AF219</f>
        <v>12.111571727039793</v>
      </c>
      <c r="AS487" s="245">
        <f>100*((Transfer!AF219/Transfer!AE219)-1)</f>
        <v>3.9367833675371333</v>
      </c>
      <c r="AT487" s="245">
        <f>+Transfer!AG219</f>
        <v>12.587934453228044</v>
      </c>
      <c r="AU487" s="249">
        <f>100*((Transfer!AG219/Transfer!AF219)-1)</f>
        <v>3.9331206297919419</v>
      </c>
      <c r="AV487" s="199"/>
      <c r="AW487" s="54"/>
      <c r="AX487" s="54"/>
      <c r="AY487" s="54"/>
      <c r="AZ487" s="54"/>
      <c r="BA487" s="2000" t="s">
        <v>1593</v>
      </c>
      <c r="BB487" s="54"/>
      <c r="BC487" s="54"/>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c r="EN487"/>
      <c r="EO487"/>
      <c r="EP487"/>
      <c r="EQ487"/>
      <c r="ER487"/>
      <c r="ES487"/>
      <c r="ET487"/>
      <c r="EU487"/>
      <c r="EV487"/>
      <c r="EW487"/>
      <c r="EX487"/>
      <c r="EY487"/>
      <c r="EZ487"/>
      <c r="FA487"/>
      <c r="FB487"/>
      <c r="FC487"/>
      <c r="FD487"/>
      <c r="FE487"/>
      <c r="FF487"/>
      <c r="FG487"/>
      <c r="FH487"/>
      <c r="FI487"/>
      <c r="FJ487"/>
      <c r="FK487"/>
      <c r="FL487"/>
      <c r="FM487"/>
      <c r="FN487"/>
      <c r="FO487"/>
      <c r="FP487"/>
      <c r="FQ487"/>
      <c r="FR487"/>
      <c r="FS487"/>
      <c r="FT487"/>
      <c r="FU487"/>
      <c r="FV487"/>
      <c r="FW487"/>
      <c r="FX487"/>
      <c r="FY487"/>
      <c r="FZ487"/>
      <c r="GA487"/>
      <c r="GB487"/>
      <c r="GC487"/>
      <c r="GD487"/>
      <c r="GE487"/>
      <c r="GF487"/>
      <c r="GG487"/>
      <c r="GH487"/>
      <c r="GI487"/>
      <c r="GJ487"/>
      <c r="GK487"/>
      <c r="GL487"/>
      <c r="GM487"/>
      <c r="GN487"/>
      <c r="GO487"/>
      <c r="GP487"/>
      <c r="GQ487"/>
      <c r="GR487"/>
      <c r="GS487"/>
      <c r="GT487"/>
      <c r="GU487"/>
      <c r="GV487"/>
      <c r="GW487"/>
      <c r="GX487"/>
      <c r="GY487"/>
      <c r="GZ487"/>
      <c r="HA487"/>
      <c r="HB487"/>
      <c r="HC487"/>
      <c r="HD487"/>
      <c r="HE487"/>
      <c r="HF487"/>
      <c r="HG487"/>
      <c r="HH487"/>
      <c r="HI487"/>
      <c r="HJ487"/>
      <c r="HK487"/>
      <c r="HL487"/>
      <c r="HM487"/>
      <c r="HN487"/>
      <c r="HO487"/>
      <c r="HP487"/>
      <c r="HQ487"/>
      <c r="HR487"/>
      <c r="HS487"/>
      <c r="HT487"/>
      <c r="HU487"/>
      <c r="HV487"/>
      <c r="HW487"/>
      <c r="HX487"/>
      <c r="HY487"/>
      <c r="HZ487"/>
      <c r="IA487"/>
      <c r="IB487"/>
      <c r="IC487"/>
      <c r="ID487"/>
      <c r="IE487"/>
      <c r="IF487"/>
      <c r="IG487"/>
      <c r="IH487"/>
      <c r="II487"/>
      <c r="IJ487"/>
      <c r="IK487"/>
      <c r="IL487"/>
      <c r="IM487"/>
      <c r="IN487"/>
      <c r="IO487"/>
      <c r="IP487"/>
      <c r="IQ487"/>
      <c r="IR487"/>
      <c r="IS487"/>
      <c r="IT487"/>
      <c r="IU487"/>
      <c r="IV487"/>
    </row>
    <row r="488" spans="1:256" ht="13.5" thickBot="1">
      <c r="A488" s="45"/>
      <c r="B488" s="1665"/>
      <c r="C488" s="2666" t="s">
        <v>605</v>
      </c>
      <c r="D488" s="2667"/>
      <c r="E488" s="2737" t="s">
        <v>1045</v>
      </c>
      <c r="F488" s="2738">
        <f ca="1">+Transfer!D218</f>
        <v>2.8603499999999999</v>
      </c>
      <c r="G488" s="2630">
        <f ca="1">100*((Transfer!D218/Transfer!C218)-1)</f>
        <v>2.5108501266893235</v>
      </c>
      <c r="H488" s="2738">
        <f ca="1">+Transfer!E218</f>
        <v>2.9872100000000001</v>
      </c>
      <c r="I488" s="2630">
        <f ca="1">100*((Transfer!E218/Transfer!D218)-1)</f>
        <v>4.4351215760309204</v>
      </c>
      <c r="J488" s="2738">
        <f ca="1">+Transfer!F218</f>
        <v>3.1365705000000004</v>
      </c>
      <c r="K488" s="2630">
        <f ca="1">100*((Transfer!F218/Transfer!E218)-1)</f>
        <v>5.0000000000000044</v>
      </c>
      <c r="L488" s="2630">
        <f ca="1">+Transfer!G218</f>
        <v>3.2933990250000007</v>
      </c>
      <c r="M488" s="2739">
        <f ca="1">100*((Transfer!G218/Transfer!F218)-1)</f>
        <v>5.0000000000000044</v>
      </c>
      <c r="N488" s="2452"/>
      <c r="O488" s="54"/>
      <c r="P488" s="54"/>
      <c r="Q488" s="54"/>
      <c r="R488" s="54"/>
      <c r="S488" s="190"/>
      <c r="T488" s="2312" t="s">
        <v>605</v>
      </c>
      <c r="U488" s="2313"/>
      <c r="V488" s="386" t="s">
        <v>1045</v>
      </c>
      <c r="W488" s="2023">
        <f t="shared" ca="1" si="32"/>
        <v>-5.7999999999999989</v>
      </c>
      <c r="X488" s="470">
        <f t="shared" ca="1" si="32"/>
        <v>-1.2999999999999998</v>
      </c>
      <c r="Y488" s="470">
        <f t="shared" ca="1" si="32"/>
        <v>-5.9</v>
      </c>
      <c r="Z488" s="470">
        <f t="shared" ca="1" si="32"/>
        <v>1.4000000000000004</v>
      </c>
      <c r="AA488" s="470">
        <f t="shared" ca="1" si="32"/>
        <v>-6.1</v>
      </c>
      <c r="AB488" s="470">
        <f t="shared" ca="1" si="32"/>
        <v>2</v>
      </c>
      <c r="AC488" s="470">
        <f t="shared" ca="1" si="32"/>
        <v>-6.2</v>
      </c>
      <c r="AD488" s="2024">
        <f t="shared" ca="1" si="32"/>
        <v>2</v>
      </c>
      <c r="AE488" s="199"/>
      <c r="AF488" s="45"/>
      <c r="AG488" s="45"/>
      <c r="AH488" s="45"/>
      <c r="AI488" s="45"/>
      <c r="AJ488" s="190"/>
      <c r="AK488" s="2312" t="s">
        <v>605</v>
      </c>
      <c r="AL488" s="2313"/>
      <c r="AM488" s="386" t="s">
        <v>1045</v>
      </c>
      <c r="AN488" s="469">
        <f>+Transfer!AD218</f>
        <v>8.6681499999999989</v>
      </c>
      <c r="AO488" s="470">
        <f>100*((Transfer!AD218/Transfer!AC218)-1)</f>
        <v>3.7587351899776689</v>
      </c>
      <c r="AP488" s="469">
        <f>+Transfer!AE218</f>
        <v>8.9281944999999983</v>
      </c>
      <c r="AQ488" s="470">
        <f>100*((Transfer!AE218/Transfer!AD218)-1)</f>
        <v>3.0000000000000027</v>
      </c>
      <c r="AR488" s="469">
        <f>+Transfer!AF218</f>
        <v>9.1960403349999993</v>
      </c>
      <c r="AS488" s="470">
        <f>100*((Transfer!AF218/Transfer!AE218)-1)</f>
        <v>3.0000000000000027</v>
      </c>
      <c r="AT488" s="470">
        <f>+Transfer!AG218</f>
        <v>9.4719215450499998</v>
      </c>
      <c r="AU488" s="471">
        <f>100*((Transfer!AG218/Transfer!AF218)-1)</f>
        <v>3.0000000000000027</v>
      </c>
      <c r="AV488" s="199"/>
      <c r="AW488" s="54"/>
      <c r="AX488" s="54"/>
      <c r="AY488" s="54"/>
      <c r="AZ488" s="54"/>
      <c r="BA488" s="2001" t="s">
        <v>1594</v>
      </c>
      <c r="BB488" s="54"/>
      <c r="BC488" s="54"/>
    </row>
    <row r="489" spans="1:256" s="217" customFormat="1">
      <c r="A489" s="54"/>
      <c r="B489" s="2597"/>
      <c r="C489" s="2399"/>
      <c r="D489" s="2399"/>
      <c r="E489" s="2399"/>
      <c r="F489" s="2776"/>
      <c r="G489" s="2776"/>
      <c r="H489" s="2776"/>
      <c r="I489" s="2776"/>
      <c r="J489" s="2399"/>
      <c r="K489" s="2399"/>
      <c r="L489" s="2399"/>
      <c r="M489" s="2400" t="str">
        <f>UPPER(Country)</f>
        <v>LITHUANIA</v>
      </c>
      <c r="N489" s="2777"/>
      <c r="O489" s="54"/>
      <c r="P489" s="54"/>
      <c r="Q489" s="54"/>
      <c r="R489" s="54"/>
      <c r="S489" s="327"/>
      <c r="T489" s="117"/>
      <c r="U489" s="117"/>
      <c r="V489" s="117"/>
      <c r="W489" s="117"/>
      <c r="X489" s="2322"/>
      <c r="Y489" s="117"/>
      <c r="Z489" s="2322"/>
      <c r="AA489" s="117"/>
      <c r="AB489" s="117"/>
      <c r="AC489" s="117"/>
      <c r="AD489" s="2323" t="str">
        <f>UPPER(Country)</f>
        <v>LITHUANIA</v>
      </c>
      <c r="AE489" s="2314"/>
      <c r="AF489" s="45"/>
      <c r="AG489" s="45"/>
      <c r="AH489" s="45"/>
      <c r="AI489" s="45"/>
      <c r="AJ489" s="327"/>
      <c r="AK489" s="117"/>
      <c r="AL489" s="117"/>
      <c r="AM489" s="117"/>
      <c r="AN489" s="117"/>
      <c r="AO489" s="2322"/>
      <c r="AP489" s="117"/>
      <c r="AQ489" s="2322"/>
      <c r="AR489" s="117"/>
      <c r="AS489" s="117"/>
      <c r="AT489" s="117"/>
      <c r="AU489" s="2323" t="str">
        <f>UPPER(Country)</f>
        <v>LITHUANIA</v>
      </c>
      <c r="AV489" s="2314"/>
      <c r="AW489" s="54"/>
      <c r="AX489" s="54"/>
      <c r="AY489" s="54"/>
      <c r="AZ489" s="54"/>
      <c r="BA489" s="54"/>
      <c r="BB489" s="54"/>
      <c r="BC489" s="54"/>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c r="EN489"/>
      <c r="EO489"/>
      <c r="EP489"/>
      <c r="EQ489"/>
      <c r="ER489"/>
      <c r="ES489"/>
      <c r="ET489"/>
      <c r="EU489"/>
      <c r="EV489"/>
      <c r="EW489"/>
      <c r="EX489"/>
      <c r="EY489"/>
      <c r="EZ489"/>
      <c r="FA489"/>
      <c r="FB489"/>
      <c r="FC489"/>
      <c r="FD489"/>
      <c r="FE489"/>
      <c r="FF489"/>
      <c r="FG489"/>
      <c r="FH489"/>
      <c r="FI489"/>
      <c r="FJ489"/>
      <c r="FK489"/>
      <c r="FL489"/>
      <c r="FM489"/>
      <c r="FN489"/>
      <c r="FO489"/>
      <c r="FP489"/>
      <c r="FQ489"/>
      <c r="FR489"/>
      <c r="FS489"/>
      <c r="FT489"/>
      <c r="FU489"/>
      <c r="FV489"/>
      <c r="FW489"/>
      <c r="FX489"/>
      <c r="FY489"/>
      <c r="FZ489"/>
      <c r="GA489"/>
      <c r="GB489"/>
      <c r="GC489"/>
      <c r="GD489"/>
      <c r="GE489"/>
      <c r="GF489"/>
      <c r="GG489"/>
      <c r="GH489"/>
      <c r="GI489"/>
      <c r="GJ489"/>
      <c r="GK489"/>
      <c r="GL489"/>
      <c r="GM489"/>
      <c r="GN489"/>
      <c r="GO489"/>
      <c r="GP489"/>
      <c r="GQ489"/>
      <c r="GR489"/>
      <c r="GS489"/>
      <c r="GT489"/>
      <c r="GU489"/>
      <c r="GV489"/>
      <c r="GW489"/>
      <c r="GX489"/>
      <c r="GY489"/>
      <c r="GZ489"/>
      <c r="HA489"/>
      <c r="HB489"/>
      <c r="HC489"/>
      <c r="HD489"/>
      <c r="HE489"/>
      <c r="HF489"/>
      <c r="HG489"/>
      <c r="HH489"/>
      <c r="HI489"/>
      <c r="HJ489"/>
      <c r="HK489"/>
      <c r="HL489"/>
      <c r="HM489"/>
      <c r="HN489"/>
      <c r="HO489"/>
      <c r="HP489"/>
      <c r="HQ489"/>
      <c r="HR489"/>
      <c r="HS489"/>
      <c r="HT489"/>
      <c r="HU489"/>
      <c r="HV489"/>
      <c r="HW489"/>
      <c r="HX489"/>
      <c r="HY489"/>
      <c r="HZ489"/>
      <c r="IA489"/>
      <c r="IB489"/>
      <c r="IC489"/>
      <c r="ID489"/>
      <c r="IE489"/>
      <c r="IF489"/>
      <c r="IG489"/>
      <c r="IH489"/>
      <c r="II489"/>
      <c r="IJ489"/>
      <c r="IK489"/>
      <c r="IL489"/>
      <c r="IM489"/>
      <c r="IN489"/>
      <c r="IO489"/>
      <c r="IP489"/>
      <c r="IQ489"/>
      <c r="IR489"/>
      <c r="IS489"/>
      <c r="IT489"/>
      <c r="IU489"/>
      <c r="IV489"/>
    </row>
    <row r="490" spans="1:256">
      <c r="A490" s="45"/>
      <c r="B490" s="45"/>
      <c r="C490" s="45"/>
      <c r="D490" s="45"/>
      <c r="E490" s="45"/>
      <c r="F490" s="1721"/>
      <c r="G490" s="1720"/>
      <c r="H490" s="1720"/>
      <c r="I490" s="1720"/>
      <c r="J490" s="1720"/>
      <c r="K490" s="1720"/>
      <c r="L490" s="1720"/>
      <c r="M490" s="45"/>
      <c r="N490" s="45"/>
      <c r="O490" s="45"/>
      <c r="P490" s="54"/>
      <c r="Q490" s="54"/>
      <c r="R490" s="54"/>
      <c r="S490" s="54"/>
      <c r="T490" s="54"/>
      <c r="U490" s="54"/>
      <c r="V490" s="54"/>
      <c r="W490" s="54"/>
      <c r="X490" s="54"/>
      <c r="Y490" s="54"/>
      <c r="Z490" s="54"/>
      <c r="AA490" s="54"/>
      <c r="AB490" s="45"/>
      <c r="AC490" s="45"/>
      <c r="AD490" s="45"/>
      <c r="AE490" s="45"/>
      <c r="AF490" s="45"/>
      <c r="AG490" s="45"/>
      <c r="AH490" s="45"/>
      <c r="AI490" s="45"/>
      <c r="AJ490" s="45"/>
      <c r="AK490" s="45"/>
      <c r="AL490" s="45"/>
      <c r="AM490" s="45"/>
      <c r="AN490" s="45"/>
      <c r="AO490" s="45"/>
      <c r="AP490" s="45"/>
      <c r="AQ490" s="45"/>
      <c r="AR490" s="45"/>
      <c r="AS490" s="45"/>
      <c r="AT490" s="45"/>
      <c r="AU490" s="45"/>
      <c r="AV490" s="45"/>
      <c r="AW490" s="54"/>
      <c r="AX490" s="54"/>
      <c r="AY490" s="54"/>
      <c r="AZ490" s="54"/>
      <c r="BA490" s="54"/>
      <c r="BB490" s="54"/>
      <c r="BC490" s="54"/>
    </row>
    <row r="491" spans="1:256">
      <c r="A491" s="45"/>
      <c r="B491" s="45"/>
      <c r="C491" s="45"/>
      <c r="D491" s="45"/>
      <c r="E491" s="45"/>
      <c r="F491" s="45"/>
      <c r="G491" s="1720"/>
      <c r="H491" s="1720"/>
      <c r="I491" s="1720"/>
      <c r="J491" s="1720"/>
      <c r="K491" s="1720"/>
      <c r="L491" s="1720"/>
      <c r="M491" s="45"/>
      <c r="N491" s="45"/>
      <c r="O491" s="45"/>
      <c r="P491" s="54"/>
      <c r="Q491" s="54"/>
      <c r="R491" s="54"/>
      <c r="S491" s="54"/>
      <c r="T491" s="54"/>
      <c r="U491" s="54"/>
      <c r="V491" s="54"/>
      <c r="W491" s="54"/>
      <c r="X491" s="54"/>
      <c r="Y491" s="54"/>
      <c r="Z491" s="54"/>
      <c r="AA491" s="54"/>
      <c r="AB491" s="45"/>
      <c r="AC491" s="45"/>
      <c r="AD491" s="45"/>
      <c r="AE491" s="45"/>
      <c r="AF491" s="45"/>
      <c r="AG491" s="45"/>
      <c r="AH491" s="45"/>
      <c r="AI491" s="45"/>
      <c r="AJ491" s="45"/>
      <c r="AK491" s="45"/>
      <c r="AL491" s="45"/>
      <c r="AM491" s="45"/>
      <c r="AN491" s="45"/>
      <c r="AO491" s="1720"/>
      <c r="AP491" s="1720"/>
      <c r="AQ491" s="1720"/>
      <c r="AR491" s="1720"/>
      <c r="AS491" s="1720"/>
      <c r="AT491" s="1720"/>
      <c r="AU491" s="45"/>
      <c r="AV491" s="45"/>
      <c r="AW491" s="45"/>
      <c r="AX491" s="54"/>
      <c r="AY491" s="54"/>
      <c r="AZ491" s="54"/>
      <c r="BA491" s="54"/>
      <c r="BB491" s="54"/>
      <c r="BC491" s="54"/>
    </row>
    <row r="492" spans="1:256">
      <c r="A492" s="45"/>
      <c r="B492" s="45"/>
      <c r="C492" s="45"/>
      <c r="D492" s="45"/>
      <c r="E492" s="45"/>
      <c r="F492" s="45"/>
      <c r="G492" s="45"/>
      <c r="H492" s="45"/>
      <c r="I492" s="45"/>
      <c r="J492" s="45"/>
      <c r="K492" s="45"/>
      <c r="L492" s="45"/>
      <c r="M492" s="45"/>
      <c r="N492" s="45"/>
      <c r="O492" s="45"/>
      <c r="P492" s="54"/>
      <c r="Q492" s="54"/>
      <c r="R492" s="54"/>
      <c r="S492" s="54"/>
      <c r="T492" s="54"/>
      <c r="U492" s="54"/>
      <c r="V492" s="54"/>
      <c r="W492" s="54"/>
      <c r="X492" s="54"/>
      <c r="Y492" s="54"/>
      <c r="Z492" s="54"/>
      <c r="AA492" s="54"/>
      <c r="AB492" s="45"/>
      <c r="AC492" s="45"/>
      <c r="AD492" s="45"/>
      <c r="AE492" s="45"/>
      <c r="AF492" s="45"/>
      <c r="AG492" s="45"/>
      <c r="AH492" s="45"/>
      <c r="AI492" s="45"/>
      <c r="AJ492" s="45"/>
      <c r="AK492" s="45"/>
      <c r="AL492" s="45"/>
      <c r="AM492" s="45"/>
      <c r="AN492" s="45"/>
      <c r="AO492" s="45"/>
      <c r="AP492" s="45"/>
      <c r="AQ492" s="45"/>
      <c r="AR492" s="45"/>
      <c r="AS492" s="45"/>
      <c r="AT492" s="45"/>
      <c r="AU492" s="45"/>
      <c r="AV492" s="45"/>
      <c r="AW492" s="45"/>
      <c r="AX492" s="54"/>
      <c r="AY492" s="54"/>
      <c r="AZ492" s="54"/>
      <c r="BA492" s="54"/>
      <c r="BB492" s="54"/>
      <c r="BC492" s="54"/>
    </row>
    <row r="493" spans="1:256">
      <c r="A493" s="45"/>
      <c r="B493" s="2341"/>
      <c r="C493" s="2601" t="s">
        <v>100</v>
      </c>
      <c r="D493" s="2601"/>
      <c r="E493" s="2343"/>
      <c r="F493" s="2343"/>
      <c r="G493" s="2343"/>
      <c r="H493" s="2343"/>
      <c r="I493" s="2343"/>
      <c r="J493" s="2343"/>
      <c r="K493" s="2343"/>
      <c r="L493" s="2343"/>
      <c r="M493" s="2495"/>
      <c r="N493" s="54"/>
      <c r="O493" s="54"/>
      <c r="P493" s="54"/>
      <c r="Q493" s="54"/>
      <c r="R493" s="54"/>
      <c r="S493" s="2341"/>
      <c r="T493" s="2601" t="s">
        <v>100</v>
      </c>
      <c r="U493" s="2601"/>
      <c r="V493" s="2343"/>
      <c r="W493" s="2343"/>
      <c r="X493" s="2343"/>
      <c r="Y493" s="2343"/>
      <c r="Z493" s="2343"/>
      <c r="AA493" s="2343"/>
      <c r="AB493" s="2343"/>
      <c r="AC493" s="2343"/>
      <c r="AD493" s="2495"/>
      <c r="AE493" s="45"/>
      <c r="AF493" s="45"/>
      <c r="AG493" s="45"/>
      <c r="AH493" s="45"/>
      <c r="AI493" s="45"/>
      <c r="AJ493" s="188"/>
      <c r="AK493" s="336" t="s">
        <v>100</v>
      </c>
      <c r="AL493" s="336"/>
      <c r="AM493" s="100"/>
      <c r="AN493" s="100"/>
      <c r="AO493" s="100"/>
      <c r="AP493" s="100"/>
      <c r="AQ493" s="100"/>
      <c r="AR493" s="100"/>
      <c r="AS493" s="100"/>
      <c r="AT493" s="100"/>
      <c r="AU493" s="238"/>
      <c r="AV493" s="54"/>
      <c r="AW493" s="54"/>
      <c r="AX493" s="54"/>
      <c r="AY493" s="54"/>
      <c r="AZ493" s="54"/>
      <c r="BA493" s="54"/>
      <c r="BB493" s="54"/>
      <c r="BC493" s="54"/>
    </row>
    <row r="494" spans="1:256">
      <c r="A494" s="45"/>
      <c r="B494" s="1665"/>
      <c r="C494" s="3752" t="s">
        <v>1012</v>
      </c>
      <c r="D494" s="3752"/>
      <c r="E494" s="3752"/>
      <c r="F494" s="3752"/>
      <c r="G494" s="3752"/>
      <c r="H494" s="3752"/>
      <c r="I494" s="3752"/>
      <c r="J494" s="3752"/>
      <c r="K494" s="3752"/>
      <c r="L494" s="3752"/>
      <c r="M494" s="2530"/>
      <c r="N494" s="54"/>
      <c r="O494" s="54"/>
      <c r="P494" s="54"/>
      <c r="Q494" s="54"/>
      <c r="R494" s="54"/>
      <c r="S494" s="1665"/>
      <c r="T494" s="3752" t="s">
        <v>1012</v>
      </c>
      <c r="U494" s="3752"/>
      <c r="V494" s="3752"/>
      <c r="W494" s="3752"/>
      <c r="X494" s="3752"/>
      <c r="Y494" s="3752"/>
      <c r="Z494" s="3752"/>
      <c r="AA494" s="3752"/>
      <c r="AB494" s="3752"/>
      <c r="AC494" s="3752"/>
      <c r="AD494" s="2530"/>
      <c r="AE494" s="45"/>
      <c r="AF494" s="45"/>
      <c r="AG494" s="45"/>
      <c r="AH494" s="45"/>
      <c r="AI494" s="45"/>
      <c r="AJ494" s="190"/>
      <c r="AK494" s="3752" t="s">
        <v>1012</v>
      </c>
      <c r="AL494" s="3752"/>
      <c r="AM494" s="3752"/>
      <c r="AN494" s="3752"/>
      <c r="AO494" s="3752"/>
      <c r="AP494" s="3752"/>
      <c r="AQ494" s="3752"/>
      <c r="AR494" s="3752"/>
      <c r="AS494" s="3752"/>
      <c r="AT494" s="3752"/>
      <c r="AU494" s="260"/>
      <c r="AV494" s="54"/>
      <c r="AW494" s="54"/>
      <c r="AX494" s="54"/>
      <c r="AY494" s="54"/>
      <c r="AZ494" s="54"/>
      <c r="BA494" s="54"/>
      <c r="BB494" s="54"/>
      <c r="BC494" s="54"/>
    </row>
    <row r="495" spans="1:256" ht="15.75">
      <c r="A495" s="45"/>
      <c r="B495" s="1665"/>
      <c r="C495" s="2349" t="str">
        <f>"Country: " &amp;UPPER(Country)</f>
        <v>Country: LITHUANIA</v>
      </c>
      <c r="D495" s="2349"/>
      <c r="E495" s="2351"/>
      <c r="F495" s="2351"/>
      <c r="G495" s="2351"/>
      <c r="H495" s="2351"/>
      <c r="I495" s="2351"/>
      <c r="J495" s="2351"/>
      <c r="K495" s="2351"/>
      <c r="L495" s="2351"/>
      <c r="M495" s="2452"/>
      <c r="N495" s="54"/>
      <c r="O495" s="54"/>
      <c r="P495" s="54"/>
      <c r="Q495" s="54"/>
      <c r="R495" s="54"/>
      <c r="S495" s="1665"/>
      <c r="T495" s="2349" t="str">
        <f>"Country: " &amp;UPPER(Country)</f>
        <v>Country: LITHUANIA</v>
      </c>
      <c r="U495" s="2349"/>
      <c r="V495" s="2351"/>
      <c r="W495" s="2006" t="s">
        <v>390</v>
      </c>
      <c r="X495" s="65"/>
      <c r="Y495" s="65"/>
      <c r="Z495" s="65"/>
      <c r="AA495" s="65"/>
      <c r="AB495" s="65"/>
      <c r="AC495" s="65"/>
      <c r="AD495" s="196"/>
      <c r="AE495" s="45"/>
      <c r="AF495" s="45"/>
      <c r="AG495" s="45"/>
      <c r="AH495" s="45"/>
      <c r="AI495" s="45"/>
      <c r="AJ495" s="190"/>
      <c r="AK495" s="63" t="str">
        <f>"Country: " &amp;UPPER(Country)</f>
        <v>Country: LITHUANIA</v>
      </c>
      <c r="AL495" s="63"/>
      <c r="AM495" s="65"/>
      <c r="AN495" s="65"/>
      <c r="AO495" s="65"/>
      <c r="AP495" s="65"/>
      <c r="AQ495" s="65"/>
      <c r="AR495" s="65"/>
      <c r="AS495" s="65"/>
      <c r="AT495" s="65"/>
      <c r="AU495" s="196"/>
      <c r="AV495" s="54"/>
      <c r="AW495" s="54"/>
      <c r="AX495" s="54"/>
      <c r="AY495" s="54"/>
      <c r="AZ495" s="54"/>
      <c r="BA495" s="54"/>
      <c r="BB495" s="54"/>
      <c r="BC495" s="54"/>
    </row>
    <row r="496" spans="1:256" ht="15.75">
      <c r="A496" s="45"/>
      <c r="B496" s="1665"/>
      <c r="C496" s="2349" t="str">
        <f>"Currency unit: " &amp; Currency</f>
        <v>Currency unit: bn EUR</v>
      </c>
      <c r="D496" s="2351"/>
      <c r="E496" s="2351"/>
      <c r="F496" s="2351"/>
      <c r="G496" s="2351"/>
      <c r="H496" s="2351"/>
      <c r="I496" s="2445"/>
      <c r="J496" s="2445"/>
      <c r="K496" s="2445"/>
      <c r="L496" s="2445"/>
      <c r="M496" s="1664"/>
      <c r="N496" s="54"/>
      <c r="O496" s="54"/>
      <c r="P496" s="54"/>
      <c r="Q496" s="54"/>
      <c r="R496" s="54"/>
      <c r="S496" s="190"/>
      <c r="T496" s="63" t="str">
        <f>"Currency unit: " &amp; Currency</f>
        <v>Currency unit: bn EUR</v>
      </c>
      <c r="U496" s="65"/>
      <c r="V496" s="65"/>
      <c r="W496" s="2006" t="str">
        <f>$T$4</f>
        <v>2nd storage</v>
      </c>
      <c r="X496" s="65"/>
      <c r="Y496" s="65"/>
      <c r="Z496" s="1"/>
      <c r="AA496" s="1"/>
      <c r="AB496" s="1"/>
      <c r="AC496" s="1"/>
      <c r="AD496" s="90"/>
      <c r="AE496" s="45"/>
      <c r="AF496" s="45"/>
      <c r="AG496" s="45"/>
      <c r="AH496" s="45"/>
      <c r="AI496" s="45"/>
      <c r="AJ496" s="190"/>
      <c r="AK496" s="63" t="str">
        <f>"Currency unit: " &amp; Currency</f>
        <v>Currency unit: bn EUR</v>
      </c>
      <c r="AL496" s="65"/>
      <c r="AM496" s="65"/>
      <c r="AN496" s="65"/>
      <c r="AO496" s="65"/>
      <c r="AP496" s="65"/>
      <c r="AQ496" s="1"/>
      <c r="AR496" s="1"/>
      <c r="AS496" s="1"/>
      <c r="AT496" s="1"/>
      <c r="AU496" s="90"/>
      <c r="AV496" s="54"/>
      <c r="AW496" s="54"/>
      <c r="AX496" s="54"/>
      <c r="AY496" s="54"/>
      <c r="AZ496" s="54"/>
      <c r="BA496" s="54"/>
      <c r="BB496" s="54"/>
      <c r="BC496" s="54"/>
    </row>
    <row r="497" spans="1:55" ht="13.5" thickBot="1">
      <c r="A497" s="45"/>
      <c r="B497" s="1665"/>
      <c r="C497" s="2355" t="s">
        <v>297</v>
      </c>
      <c r="D497" s="2351"/>
      <c r="E497" s="2703"/>
      <c r="F497" s="2703"/>
      <c r="G497" s="2703"/>
      <c r="H497" s="2703"/>
      <c r="I497" s="2703"/>
      <c r="J497" s="2703"/>
      <c r="K497" s="3790">
        <f ca="1">NOW()</f>
        <v>43335.58773900463</v>
      </c>
      <c r="L497" s="3790"/>
      <c r="M497" s="2602"/>
      <c r="N497" s="54"/>
      <c r="O497" s="54"/>
      <c r="P497" s="54"/>
      <c r="Q497" s="54"/>
      <c r="R497" s="54"/>
      <c r="S497" s="190"/>
      <c r="T497" s="69" t="s">
        <v>297</v>
      </c>
      <c r="U497" s="65"/>
      <c r="Y497" s="28"/>
      <c r="AB497" s="3752">
        <f ca="1">NOW()</f>
        <v>43335.58773900463</v>
      </c>
      <c r="AC497" s="3752"/>
      <c r="AD497" s="337"/>
      <c r="AE497" s="45"/>
      <c r="AF497" s="45"/>
      <c r="AG497" s="45"/>
      <c r="AH497" s="45"/>
      <c r="AI497" s="45"/>
      <c r="AJ497" s="190"/>
      <c r="AK497" s="69" t="s">
        <v>297</v>
      </c>
      <c r="AL497" s="65"/>
      <c r="AP497" s="28"/>
      <c r="AS497" s="3752">
        <f ca="1">NOW()</f>
        <v>43335.58773900463</v>
      </c>
      <c r="AT497" s="3752"/>
      <c r="AU497" s="337"/>
      <c r="AV497" s="54"/>
      <c r="AW497" s="54"/>
      <c r="AX497" s="54"/>
      <c r="AY497" s="54"/>
      <c r="AZ497" s="54"/>
      <c r="BA497" s="54"/>
      <c r="BB497" s="54"/>
      <c r="BC497" s="54"/>
    </row>
    <row r="498" spans="1:55">
      <c r="A498" s="45"/>
      <c r="B498" s="1665"/>
      <c r="C498" s="2357"/>
      <c r="D498" s="2633"/>
      <c r="E498" s="3752">
        <f>E16</f>
        <v>2016</v>
      </c>
      <c r="F498" s="3752"/>
      <c r="G498" s="3752">
        <f>E498+1</f>
        <v>2017</v>
      </c>
      <c r="H498" s="3752"/>
      <c r="I498" s="3752">
        <f>G498+1</f>
        <v>2018</v>
      </c>
      <c r="J498" s="3752"/>
      <c r="K498" s="3752">
        <f>I498+1</f>
        <v>2019</v>
      </c>
      <c r="L498" s="3752"/>
      <c r="M498" s="2605"/>
      <c r="N498" s="54"/>
      <c r="O498" s="54"/>
      <c r="P498" s="54"/>
      <c r="Q498" s="54"/>
      <c r="R498" s="54"/>
      <c r="S498" s="190"/>
      <c r="T498" s="191"/>
      <c r="U498" s="355"/>
      <c r="V498" s="3752">
        <f>Last_forecast_year - 3</f>
        <v>2016</v>
      </c>
      <c r="W498" s="3752"/>
      <c r="X498" s="3752">
        <f>V498+1</f>
        <v>2017</v>
      </c>
      <c r="Y498" s="3752"/>
      <c r="Z498" s="3752">
        <f>X498+1</f>
        <v>2018</v>
      </c>
      <c r="AA498" s="3752"/>
      <c r="AB498" s="3752">
        <f>Z498+1</f>
        <v>2019</v>
      </c>
      <c r="AC498" s="3752"/>
      <c r="AD498" s="339"/>
      <c r="AE498" s="45"/>
      <c r="AF498" s="45"/>
      <c r="AG498" s="45"/>
      <c r="AH498" s="45"/>
      <c r="AI498" s="45"/>
      <c r="AJ498" s="190"/>
      <c r="AK498" s="191"/>
      <c r="AL498" s="355"/>
      <c r="AM498" s="3752">
        <f>Last_forecast_year - 3</f>
        <v>2016</v>
      </c>
      <c r="AN498" s="3752"/>
      <c r="AO498" s="3752">
        <f>AM498+1</f>
        <v>2017</v>
      </c>
      <c r="AP498" s="3752"/>
      <c r="AQ498" s="3752">
        <f>AO498+1</f>
        <v>2018</v>
      </c>
      <c r="AR498" s="3752"/>
      <c r="AS498" s="3752">
        <f>AQ498+1</f>
        <v>2019</v>
      </c>
      <c r="AT498" s="3752"/>
      <c r="AU498" s="339"/>
      <c r="AV498" s="54"/>
      <c r="AW498" s="54"/>
      <c r="AX498" s="54"/>
      <c r="AY498" s="54"/>
      <c r="AZ498" s="54"/>
      <c r="BA498" s="54"/>
      <c r="BB498" s="54"/>
      <c r="BC498" s="54"/>
    </row>
    <row r="499" spans="1:55">
      <c r="A499" s="45"/>
      <c r="B499" s="1665"/>
      <c r="C499" s="1666"/>
      <c r="D499" s="2685"/>
      <c r="E499" s="2778" t="s">
        <v>298</v>
      </c>
      <c r="F499" s="2779" t="s">
        <v>1170</v>
      </c>
      <c r="G499" s="2778" t="s">
        <v>298</v>
      </c>
      <c r="H499" s="2779" t="s">
        <v>1170</v>
      </c>
      <c r="I499" s="2778" t="s">
        <v>298</v>
      </c>
      <c r="J499" s="2779" t="s">
        <v>1170</v>
      </c>
      <c r="K499" s="2778" t="s">
        <v>298</v>
      </c>
      <c r="L499" s="2780" t="s">
        <v>1170</v>
      </c>
      <c r="M499" s="2781"/>
      <c r="N499" s="54"/>
      <c r="O499" s="54"/>
      <c r="P499" s="54"/>
      <c r="Q499" s="54"/>
      <c r="R499" s="54"/>
      <c r="S499" s="190"/>
      <c r="T499" s="40"/>
      <c r="U499" s="488"/>
      <c r="V499" s="1743" t="s">
        <v>298</v>
      </c>
      <c r="W499" s="1746" t="s">
        <v>1170</v>
      </c>
      <c r="X499" s="1743" t="s">
        <v>298</v>
      </c>
      <c r="Y499" s="1746" t="s">
        <v>1170</v>
      </c>
      <c r="Z499" s="1743" t="s">
        <v>298</v>
      </c>
      <c r="AA499" s="1746" t="s">
        <v>1170</v>
      </c>
      <c r="AB499" s="1743" t="s">
        <v>298</v>
      </c>
      <c r="AC499" s="1747" t="s">
        <v>1170</v>
      </c>
      <c r="AD499" s="490"/>
      <c r="AE499" s="45"/>
      <c r="AF499" s="45"/>
      <c r="AG499" s="45"/>
      <c r="AH499" s="45"/>
      <c r="AI499" s="45"/>
      <c r="AJ499" s="190"/>
      <c r="AK499" s="40"/>
      <c r="AL499" s="488"/>
      <c r="AM499" s="1743" t="s">
        <v>298</v>
      </c>
      <c r="AN499" s="1746" t="s">
        <v>1170</v>
      </c>
      <c r="AO499" s="1743" t="s">
        <v>298</v>
      </c>
      <c r="AP499" s="1746" t="s">
        <v>1170</v>
      </c>
      <c r="AQ499" s="1743" t="s">
        <v>298</v>
      </c>
      <c r="AR499" s="1746" t="s">
        <v>1170</v>
      </c>
      <c r="AS499" s="1743" t="s">
        <v>298</v>
      </c>
      <c r="AT499" s="1747" t="s">
        <v>1170</v>
      </c>
      <c r="AU499" s="490"/>
      <c r="AV499" s="54"/>
      <c r="AW499" s="54"/>
      <c r="AX499" s="54"/>
      <c r="AY499" s="54"/>
      <c r="AZ499" s="54"/>
      <c r="BA499" s="54"/>
      <c r="BB499" s="54"/>
      <c r="BC499" s="54"/>
    </row>
    <row r="500" spans="1:55">
      <c r="A500" s="45"/>
      <c r="B500" s="1665"/>
      <c r="C500" s="2384" t="s">
        <v>1013</v>
      </c>
      <c r="D500" s="2495"/>
      <c r="E500" s="2450">
        <f ca="1">Transfer!D143</f>
        <v>21.92191</v>
      </c>
      <c r="F500" s="2782">
        <f ca="1">100*((Transfer!D143/Transfer!C143)-1)</f>
        <v>-1.7368471302890875</v>
      </c>
      <c r="G500" s="2450">
        <f ca="1">Transfer!E143</f>
        <v>25.75292</v>
      </c>
      <c r="H500" s="2450">
        <f ca="1">100*((Transfer!E143/Transfer!D143)-1)</f>
        <v>17.475712654599885</v>
      </c>
      <c r="I500" s="2450">
        <f ca="1">Transfer!F143</f>
        <v>27.715189492319997</v>
      </c>
      <c r="J500" s="2782">
        <f ca="1">100*((Transfer!F143/Transfer!E143)-1)</f>
        <v>7.619599999999993</v>
      </c>
      <c r="K500" s="2450">
        <f ca="1">Transfer!G143</f>
        <v>29.51335098658172</v>
      </c>
      <c r="L500" s="2783">
        <f ca="1">100*((Transfer!G143/Transfer!F143)-1)</f>
        <v>6.4880000000000049</v>
      </c>
      <c r="M500" s="2452"/>
      <c r="N500" s="54"/>
      <c r="O500" s="54"/>
      <c r="P500" s="54"/>
      <c r="Q500" s="54"/>
      <c r="R500" s="54"/>
      <c r="S500" s="190"/>
      <c r="T500" s="148" t="s">
        <v>1013</v>
      </c>
      <c r="U500" s="1676"/>
      <c r="V500" s="195">
        <f t="shared" ref="V500:AC518" ca="1" si="33">ROUND(E500,1)-ROUND(AM500,1)</f>
        <v>-57.699999999999996</v>
      </c>
      <c r="W500" s="195">
        <f t="shared" ca="1" si="33"/>
        <v>-16.100000000000001</v>
      </c>
      <c r="X500" s="195">
        <f t="shared" ca="1" si="33"/>
        <v>-58.7</v>
      </c>
      <c r="Y500" s="195">
        <f t="shared" ca="1" si="33"/>
        <v>11.3</v>
      </c>
      <c r="Z500" s="195">
        <f t="shared" ca="1" si="33"/>
        <v>-64</v>
      </c>
      <c r="AA500" s="195">
        <f ca="1">ROUND(J500,1)-ROUND(AR500,1)</f>
        <v>-0.90000000000000036</v>
      </c>
      <c r="AB500" s="195">
        <f t="shared" ca="1" si="33"/>
        <v>-70.900000000000006</v>
      </c>
      <c r="AC500" s="358">
        <f t="shared" ca="1" si="33"/>
        <v>-3</v>
      </c>
      <c r="AD500" s="196"/>
      <c r="AE500" s="45"/>
      <c r="AF500" s="45"/>
      <c r="AG500" s="45"/>
      <c r="AH500" s="45"/>
      <c r="AI500" s="45"/>
      <c r="AJ500" s="190"/>
      <c r="AK500" s="148" t="s">
        <v>1013</v>
      </c>
      <c r="AL500" s="1676"/>
      <c r="AM500" s="367">
        <f>Transfer!AD143</f>
        <v>79.578500000000005</v>
      </c>
      <c r="AN500" s="1764">
        <f>100*((Transfer!AD143/Transfer!AC143)-1)</f>
        <v>14.374984549456427</v>
      </c>
      <c r="AO500" s="367">
        <f>Transfer!AE143</f>
        <v>84.521916420000025</v>
      </c>
      <c r="AP500" s="367">
        <f>100*((Transfer!AE143/Transfer!AD143)-1)</f>
        <v>6.2120000000000175</v>
      </c>
      <c r="AQ500" s="367">
        <f>Transfer!AF143</f>
        <v>91.709237582774705</v>
      </c>
      <c r="AR500" s="1764">
        <f>100*((Transfer!AF143/Transfer!AE143)-1)</f>
        <v>8.5034999999999741</v>
      </c>
      <c r="AS500" s="367">
        <f>Transfer!AG143</f>
        <v>100.38144650707704</v>
      </c>
      <c r="AT500" s="1771">
        <f>100*((Transfer!AG143/Transfer!AF143)-1)</f>
        <v>9.4562000000000026</v>
      </c>
      <c r="AU500" s="196"/>
      <c r="AV500" s="54"/>
      <c r="AW500" s="54"/>
      <c r="AX500" s="54"/>
      <c r="AY500" s="54"/>
      <c r="AZ500" s="54"/>
      <c r="BA500" s="1987" t="s">
        <v>196</v>
      </c>
      <c r="BB500" s="2004"/>
      <c r="BC500" s="54"/>
    </row>
    <row r="501" spans="1:55">
      <c r="A501" s="45"/>
      <c r="B501" s="1665"/>
      <c r="C501" s="2468" t="s">
        <v>1383</v>
      </c>
      <c r="D501" s="2784"/>
      <c r="E501" s="2453">
        <f ca="1">Transfer!D145</f>
        <v>23.690349999999999</v>
      </c>
      <c r="F501" s="2691">
        <f ca="1">100*((Transfer!D145/Transfer!C145)-1)</f>
        <v>-2.4939208800688895</v>
      </c>
      <c r="G501" s="2453">
        <f ca="1">Transfer!E145</f>
        <v>27.813869999999998</v>
      </c>
      <c r="H501" s="2691">
        <f ca="1">100*((Transfer!E145/Transfer!D145)-1)</f>
        <v>17.405905780201646</v>
      </c>
      <c r="I501" s="2453">
        <f ca="1">Transfer!F145</f>
        <v>30.362315838749993</v>
      </c>
      <c r="J501" s="2691">
        <f ca="1">100*((Transfer!F145/Transfer!E145)-1)</f>
        <v>9.1624999999999837</v>
      </c>
      <c r="K501" s="2453">
        <f ca="1">Transfer!G145</f>
        <v>32.420273606300469</v>
      </c>
      <c r="L501" s="2693">
        <f ca="1">100*((Transfer!G145/Transfer!F145)-1)</f>
        <v>6.7780000000000173</v>
      </c>
      <c r="M501" s="2452"/>
      <c r="N501" s="54"/>
      <c r="O501" s="54"/>
      <c r="P501" s="54"/>
      <c r="Q501" s="54"/>
      <c r="R501" s="54"/>
      <c r="S501" s="190"/>
      <c r="T501" s="179" t="s">
        <v>1383</v>
      </c>
      <c r="U501" s="1737"/>
      <c r="V501" s="197">
        <f t="shared" ca="1" si="33"/>
        <v>-59</v>
      </c>
      <c r="W501" s="197">
        <f t="shared" ca="1" si="33"/>
        <v>-11.6</v>
      </c>
      <c r="X501" s="197">
        <f t="shared" ca="1" si="33"/>
        <v>-59.900000000000006</v>
      </c>
      <c r="Y501" s="197">
        <f t="shared" ca="1" si="33"/>
        <v>11.399999999999999</v>
      </c>
      <c r="Z501" s="197">
        <f t="shared" ca="1" si="33"/>
        <v>-64.800000000000011</v>
      </c>
      <c r="AA501" s="197">
        <f t="shared" ca="1" si="33"/>
        <v>0.59999999999999964</v>
      </c>
      <c r="AB501" s="197">
        <f t="shared" ca="1" si="33"/>
        <v>-72.199999999999989</v>
      </c>
      <c r="AC501" s="341">
        <f t="shared" ca="1" si="33"/>
        <v>-3.1000000000000005</v>
      </c>
      <c r="AD501" s="196"/>
      <c r="AE501" s="45"/>
      <c r="AF501" s="45"/>
      <c r="AG501" s="45"/>
      <c r="AH501" s="45"/>
      <c r="AI501" s="45"/>
      <c r="AJ501" s="190"/>
      <c r="AK501" s="179" t="s">
        <v>1383</v>
      </c>
      <c r="AL501" s="1737"/>
      <c r="AM501" s="359">
        <f>Transfer!AD145</f>
        <v>82.728229999999996</v>
      </c>
      <c r="AN501" s="497">
        <f>100*((Transfer!AD145/Transfer!AC145)-1)</f>
        <v>9.1132698582024663</v>
      </c>
      <c r="AO501" s="359">
        <f>Transfer!AE145</f>
        <v>87.681665499480005</v>
      </c>
      <c r="AP501" s="497">
        <f>100*((Transfer!AE145/Transfer!AD145)-1)</f>
        <v>5.987600000000004</v>
      </c>
      <c r="AQ501" s="359">
        <f>Transfer!AF145</f>
        <v>95.211416205913352</v>
      </c>
      <c r="AR501" s="497">
        <f>100*((Transfer!AF145/Transfer!AE145)-1)</f>
        <v>8.5876000000000055</v>
      </c>
      <c r="AS501" s="359">
        <f>Transfer!AG145</f>
        <v>104.59888099815157</v>
      </c>
      <c r="AT501" s="498">
        <f>100*((Transfer!AG145/Transfer!AF145)-1)</f>
        <v>9.8595999999999897</v>
      </c>
      <c r="AU501" s="196"/>
      <c r="AV501" s="54"/>
      <c r="AW501" s="54"/>
      <c r="AX501" s="54"/>
      <c r="AY501" s="54"/>
      <c r="AZ501" s="54"/>
      <c r="BA501" s="1988" t="s">
        <v>197</v>
      </c>
      <c r="BB501" s="2004"/>
      <c r="BC501" s="54"/>
    </row>
    <row r="502" spans="1:55">
      <c r="A502" s="45"/>
      <c r="B502" s="1665"/>
      <c r="C502" s="2663" t="s">
        <v>1114</v>
      </c>
      <c r="D502" s="2460"/>
      <c r="E502" s="2785">
        <f ca="1">(Transfer!D143-Transfer!D145)</f>
        <v>-1.7684399999999982</v>
      </c>
      <c r="F502" s="2786"/>
      <c r="G502" s="2785">
        <f ca="1">(Transfer!E143-Transfer!E145)</f>
        <v>-2.0609499999999983</v>
      </c>
      <c r="H502" s="2786"/>
      <c r="I502" s="2785">
        <f ca="1">(Transfer!F143-Transfer!F145)</f>
        <v>-2.6471263464299959</v>
      </c>
      <c r="J502" s="2786"/>
      <c r="K502" s="2785">
        <f ca="1">(Transfer!G143-Transfer!G145)</f>
        <v>-2.906922619718749</v>
      </c>
      <c r="L502" s="2787"/>
      <c r="M502" s="2348"/>
      <c r="N502" s="54"/>
      <c r="O502" s="54"/>
      <c r="P502" s="54"/>
      <c r="Q502" s="54"/>
      <c r="R502" s="54"/>
      <c r="S502" s="190"/>
      <c r="T502" s="398" t="s">
        <v>1114</v>
      </c>
      <c r="U502" s="203"/>
      <c r="V502" s="2026">
        <f t="shared" ca="1" si="33"/>
        <v>1.3</v>
      </c>
      <c r="W502" s="493"/>
      <c r="X502" s="2026">
        <f t="shared" ca="1" si="33"/>
        <v>1.1000000000000001</v>
      </c>
      <c r="Y502" s="493"/>
      <c r="Z502" s="2026">
        <f t="shared" ca="1" si="33"/>
        <v>0.89999999999999991</v>
      </c>
      <c r="AA502" s="493"/>
      <c r="AB502" s="2026">
        <f t="shared" ca="1" si="33"/>
        <v>1.3000000000000003</v>
      </c>
      <c r="AC502" s="2027"/>
      <c r="AD502" s="62"/>
      <c r="AE502" s="45"/>
      <c r="AF502" s="45"/>
      <c r="AG502" s="45"/>
      <c r="AH502" s="45"/>
      <c r="AI502" s="45"/>
      <c r="AJ502" s="190"/>
      <c r="AK502" s="398" t="s">
        <v>1114</v>
      </c>
      <c r="AL502" s="203"/>
      <c r="AM502" s="2040">
        <f>(Transfer!AD143-Transfer!AD145)</f>
        <v>-3.149729999999991</v>
      </c>
      <c r="AN502" s="1755"/>
      <c r="AO502" s="2040">
        <f>(Transfer!AE143-Transfer!AE145)</f>
        <v>-3.1597490794799796</v>
      </c>
      <c r="AP502" s="1755"/>
      <c r="AQ502" s="2040">
        <f>(Transfer!AF143-Transfer!AF145)</f>
        <v>-3.5021786231386471</v>
      </c>
      <c r="AR502" s="1755"/>
      <c r="AS502" s="2040">
        <f>(Transfer!AG143-Transfer!AG145)</f>
        <v>-4.2174344910745276</v>
      </c>
      <c r="AT502" s="1770"/>
      <c r="AU502" s="62"/>
      <c r="AV502" s="54"/>
      <c r="AW502" s="54"/>
      <c r="AX502" s="54"/>
      <c r="AY502" s="54"/>
      <c r="AZ502" s="54"/>
      <c r="BA502" s="1988" t="s">
        <v>1391</v>
      </c>
      <c r="BB502" s="54"/>
      <c r="BC502" s="54"/>
    </row>
    <row r="503" spans="1:55">
      <c r="A503" s="45"/>
      <c r="B503" s="1665"/>
      <c r="C503" s="2788" t="s">
        <v>1392</v>
      </c>
      <c r="D503" s="2712"/>
      <c r="E503" s="2785">
        <f ca="1">100*(Transfer!D143-Transfer!D145)/Transfer!D147</f>
        <v>-4.5733561737360144</v>
      </c>
      <c r="F503" s="2786"/>
      <c r="G503" s="2785">
        <f ca="1">100*(Transfer!E143-Transfer!E145)/Transfer!E147</f>
        <v>-4.9329104442202052</v>
      </c>
      <c r="H503" s="2786"/>
      <c r="I503" s="2785">
        <f ca="1">100*(Transfer!F143-Transfer!F145)/Transfer!F147</f>
        <v>-5.9874079123929125</v>
      </c>
      <c r="J503" s="2786"/>
      <c r="K503" s="2785">
        <f ca="1">100*(Transfer!G143-Transfer!G145)/Transfer!G147</f>
        <v>-6.2278409818997913</v>
      </c>
      <c r="L503" s="2789"/>
      <c r="M503" s="2790"/>
      <c r="N503" s="54"/>
      <c r="O503" s="54"/>
      <c r="P503" s="54"/>
      <c r="Q503" s="54"/>
      <c r="R503" s="54"/>
      <c r="S503" s="190"/>
      <c r="T503" s="495" t="s">
        <v>1392</v>
      </c>
      <c r="U503" s="513"/>
      <c r="V503" s="2026">
        <f t="shared" ca="1" si="33"/>
        <v>-1.7999999999999998</v>
      </c>
      <c r="W503" s="493"/>
      <c r="X503" s="2026">
        <f t="shared" ca="1" si="33"/>
        <v>-2.3000000000000003</v>
      </c>
      <c r="Y503" s="493"/>
      <c r="Z503" s="2026">
        <f t="shared" ca="1" si="33"/>
        <v>-3.3</v>
      </c>
      <c r="AA503" s="493"/>
      <c r="AB503" s="2026">
        <f t="shared" ca="1" si="33"/>
        <v>-3.1</v>
      </c>
      <c r="AC503" s="2028"/>
      <c r="AD503" s="496"/>
      <c r="AE503" s="45"/>
      <c r="AF503" s="45"/>
      <c r="AG503" s="45"/>
      <c r="AH503" s="45"/>
      <c r="AI503" s="45"/>
      <c r="AJ503" s="190"/>
      <c r="AK503" s="495" t="s">
        <v>1392</v>
      </c>
      <c r="AL503" s="513"/>
      <c r="AM503" s="2040">
        <f>100*(Transfer!AD143-Transfer!AD145)/Transfer!AD147</f>
        <v>-2.7693659015234497</v>
      </c>
      <c r="AN503" s="1755"/>
      <c r="AO503" s="2040">
        <f>100*(Transfer!AE143-Transfer!AE145)/Transfer!AE147</f>
        <v>-2.6322520375151228</v>
      </c>
      <c r="AP503" s="1755"/>
      <c r="AQ503" s="2040">
        <f>100*(Transfer!AF143-Transfer!AF145)/Transfer!AF147</f>
        <v>-2.7482853907998415</v>
      </c>
      <c r="AR503" s="1755"/>
      <c r="AS503" s="2040">
        <f>100*(Transfer!AG143-Transfer!AG145)/Transfer!AG147</f>
        <v>-3.098779662612126</v>
      </c>
      <c r="AT503" s="2041"/>
      <c r="AU503" s="496"/>
      <c r="AV503" s="54"/>
      <c r="AW503" s="54"/>
      <c r="AX503" s="54"/>
      <c r="AY503" s="54"/>
      <c r="AZ503" s="54"/>
      <c r="BA503" s="1988" t="s">
        <v>198</v>
      </c>
      <c r="BB503" s="54"/>
      <c r="BC503" s="54"/>
    </row>
    <row r="504" spans="1:55">
      <c r="A504" s="45"/>
      <c r="B504" s="1665"/>
      <c r="C504" s="2556" t="s">
        <v>1824</v>
      </c>
      <c r="D504" s="2791"/>
      <c r="E504" s="2450">
        <f ca="1">Transfer!D144</f>
        <v>6.8672200000000005</v>
      </c>
      <c r="F504" s="2782">
        <f ca="1">100*((Transfer!D144/Transfer!C144)-1)</f>
        <v>13.063550315537142</v>
      </c>
      <c r="G504" s="2450">
        <f ca="1">Transfer!E144</f>
        <v>8.28017</v>
      </c>
      <c r="H504" s="2782">
        <f ca="1">100*((Transfer!E144/Transfer!D144)-1)</f>
        <v>20.575283739271487</v>
      </c>
      <c r="I504" s="2450">
        <f ca="1">Transfer!F144</f>
        <v>9.0388405762499993</v>
      </c>
      <c r="J504" s="2782">
        <f ca="1">100*((Transfer!F144/Transfer!E144)-1)</f>
        <v>9.1624999999999837</v>
      </c>
      <c r="K504" s="2450">
        <f ca="1">Transfer!G144</f>
        <v>9.6439457586270549</v>
      </c>
      <c r="L504" s="2783">
        <f ca="1">100*((Transfer!G144/Transfer!F144)-1)</f>
        <v>6.6945000000000032</v>
      </c>
      <c r="M504" s="2452"/>
      <c r="N504" s="54"/>
      <c r="O504" s="54"/>
      <c r="P504" s="54"/>
      <c r="Q504" s="54"/>
      <c r="R504" s="54"/>
      <c r="S504" s="190"/>
      <c r="T504" s="166" t="s">
        <v>182</v>
      </c>
      <c r="U504" s="1738"/>
      <c r="V504" s="195">
        <f t="shared" ca="1" si="33"/>
        <v>-9</v>
      </c>
      <c r="W504" s="195">
        <f t="shared" ca="1" si="33"/>
        <v>-9.4</v>
      </c>
      <c r="X504" s="195">
        <f t="shared" ca="1" si="33"/>
        <v>-8.5999999999999979</v>
      </c>
      <c r="Y504" s="195">
        <f t="shared" ca="1" si="33"/>
        <v>14.400000000000002</v>
      </c>
      <c r="Z504" s="195">
        <f t="shared" ca="1" si="33"/>
        <v>-9.3000000000000007</v>
      </c>
      <c r="AA504" s="195">
        <f t="shared" ca="1" si="33"/>
        <v>1.0999999999999996</v>
      </c>
      <c r="AB504" s="195">
        <f t="shared" ca="1" si="33"/>
        <v>-10.299999999999999</v>
      </c>
      <c r="AC504" s="358">
        <f t="shared" ca="1" si="33"/>
        <v>-2.2000000000000002</v>
      </c>
      <c r="AD504" s="196"/>
      <c r="AE504" s="45"/>
      <c r="AF504" s="45"/>
      <c r="AG504" s="45"/>
      <c r="AH504" s="45"/>
      <c r="AI504" s="45"/>
      <c r="AJ504" s="190"/>
      <c r="AK504" s="166" t="s">
        <v>182</v>
      </c>
      <c r="AL504" s="1738"/>
      <c r="AM504" s="367">
        <f>Transfer!AD144</f>
        <v>15.890219999999999</v>
      </c>
      <c r="AN504" s="1764">
        <f>100*((Transfer!AD144/Transfer!AC144)-1)</f>
        <v>22.494694411189474</v>
      </c>
      <c r="AO504" s="367">
        <f>Transfer!AE144</f>
        <v>16.88075275392</v>
      </c>
      <c r="AP504" s="1764">
        <f>100*((Transfer!AE144/Transfer!AD144)-1)</f>
        <v>6.2335999999999947</v>
      </c>
      <c r="AQ504" s="367">
        <f>Transfer!AF144</f>
        <v>18.252752814747602</v>
      </c>
      <c r="AR504" s="1764">
        <f>100*((Transfer!AF144/Transfer!AE144)-1)</f>
        <v>8.1276000000000117</v>
      </c>
      <c r="AS504" s="367">
        <f>Transfer!AG144</f>
        <v>19.870895857280608</v>
      </c>
      <c r="AT504" s="1771">
        <f>100*((Transfer!AG144/Transfer!AF144)-1)</f>
        <v>8.8652000000000175</v>
      </c>
      <c r="AU504" s="196"/>
      <c r="AV504" s="54"/>
      <c r="AW504" s="54"/>
      <c r="AX504" s="54"/>
      <c r="AY504" s="54"/>
      <c r="AZ504" s="54"/>
      <c r="BA504" s="1988" t="s">
        <v>2125</v>
      </c>
      <c r="BB504" s="54"/>
      <c r="BC504" s="54"/>
    </row>
    <row r="505" spans="1:55">
      <c r="A505" s="45"/>
      <c r="B505" s="1665"/>
      <c r="C505" s="2468" t="s">
        <v>1825</v>
      </c>
      <c r="D505" s="2784"/>
      <c r="E505" s="2453">
        <f ca="1">Transfer!D146</f>
        <v>4.5988800000000003</v>
      </c>
      <c r="F505" s="2691">
        <f ca="1">100*((Transfer!D146/Transfer!C146)-1)</f>
        <v>7.7937450338343872</v>
      </c>
      <c r="G505" s="2453">
        <f ca="1">Transfer!E146</f>
        <v>5.3760900000000005</v>
      </c>
      <c r="H505" s="2394">
        <f ca="1">100*((Transfer!E146/Transfer!D146)-1)</f>
        <v>16.899984344014207</v>
      </c>
      <c r="I505" s="2453">
        <f ca="1">Transfer!F146</f>
        <v>5.8973019254999999</v>
      </c>
      <c r="J505" s="2394">
        <f ca="1">100*((Transfer!F146/Transfer!E146)-1)</f>
        <v>9.6949999999999861</v>
      </c>
      <c r="K505" s="2453">
        <f ca="1">Transfer!G146</f>
        <v>6.3099951142464894</v>
      </c>
      <c r="L505" s="2728">
        <f ca="1">100*((Transfer!G146/Transfer!F146)-1)</f>
        <v>6.9979999999999931</v>
      </c>
      <c r="M505" s="2368"/>
      <c r="N505" s="54"/>
      <c r="O505" s="54"/>
      <c r="P505" s="54"/>
      <c r="Q505" s="54"/>
      <c r="R505" s="54"/>
      <c r="S505" s="190"/>
      <c r="T505" s="179" t="s">
        <v>1976</v>
      </c>
      <c r="U505" s="1737"/>
      <c r="V505" s="340">
        <f t="shared" ca="1" si="33"/>
        <v>-7.2000000000000011</v>
      </c>
      <c r="W505" s="197">
        <f t="shared" ca="1" si="33"/>
        <v>-14.7</v>
      </c>
      <c r="X505" s="197">
        <f t="shared" ca="1" si="33"/>
        <v>-7.1</v>
      </c>
      <c r="Y505" s="197">
        <f t="shared" ca="1" si="33"/>
        <v>10.899999999999999</v>
      </c>
      <c r="Z505" s="197">
        <f t="shared" ca="1" si="33"/>
        <v>-7.6</v>
      </c>
      <c r="AA505" s="197">
        <f t="shared" ca="1" si="33"/>
        <v>1.6999999999999993</v>
      </c>
      <c r="AB505" s="340">
        <f t="shared" ca="1" si="33"/>
        <v>-8.3999999999999986</v>
      </c>
      <c r="AC505" s="341">
        <f t="shared" ca="1" si="33"/>
        <v>-1.9000000000000004</v>
      </c>
      <c r="AD505" s="364"/>
      <c r="AE505" s="45"/>
      <c r="AF505" s="45"/>
      <c r="AG505" s="45"/>
      <c r="AH505" s="45"/>
      <c r="AI505" s="45"/>
      <c r="AJ505" s="190"/>
      <c r="AK505" s="179" t="s">
        <v>1976</v>
      </c>
      <c r="AL505" s="1737"/>
      <c r="AM505" s="359">
        <f>Transfer!AD146</f>
        <v>11.809059999999999</v>
      </c>
      <c r="AN505" s="497">
        <f>100*((Transfer!AD146/Transfer!AC146)-1)</f>
        <v>22.511551860435674</v>
      </c>
      <c r="AO505" s="359">
        <f>Transfer!AE146</f>
        <v>12.518973450959999</v>
      </c>
      <c r="AP505" s="497">
        <f>100*((Transfer!AE146/Transfer!AD146)-1)</f>
        <v>6.0116000000000058</v>
      </c>
      <c r="AQ505" s="359">
        <f>Transfer!AF146</f>
        <v>13.52274474225797</v>
      </c>
      <c r="AR505" s="497">
        <f>100*((Transfer!AF146/Transfer!AE146)-1)</f>
        <v>8.0179999999999918</v>
      </c>
      <c r="AS505" s="359">
        <f>Transfer!AG146</f>
        <v>14.72113038131687</v>
      </c>
      <c r="AT505" s="498">
        <f>100*((Transfer!AG146/Transfer!AF146)-1)</f>
        <v>8.8619999999999912</v>
      </c>
      <c r="AU505" s="364"/>
      <c r="AV505" s="54"/>
      <c r="AW505" s="54"/>
      <c r="AX505" s="54"/>
      <c r="AY505" s="54"/>
      <c r="AZ505" s="54"/>
      <c r="BA505" s="1988" t="s">
        <v>120</v>
      </c>
      <c r="BB505" s="54"/>
      <c r="BC505" s="54"/>
    </row>
    <row r="506" spans="1:55">
      <c r="A506" s="45"/>
      <c r="B506" s="1665"/>
      <c r="C506" s="2663" t="s">
        <v>1826</v>
      </c>
      <c r="D506" s="2460"/>
      <c r="E506" s="2785">
        <f ca="1">(Transfer!D144-Transfer!D146)</f>
        <v>2.2683400000000002</v>
      </c>
      <c r="F506" s="2786"/>
      <c r="G506" s="2785">
        <f ca="1">(Transfer!E144-Transfer!E146)</f>
        <v>2.9040799999999996</v>
      </c>
      <c r="H506" s="2792"/>
      <c r="I506" s="2785">
        <f ca="1">(Transfer!F144-Transfer!F146)</f>
        <v>3.1415386507499994</v>
      </c>
      <c r="J506" s="2792"/>
      <c r="K506" s="2785">
        <f ca="1">(Transfer!G144-Transfer!G146)</f>
        <v>3.3339506443805655</v>
      </c>
      <c r="L506" s="2793"/>
      <c r="M506" s="2644"/>
      <c r="N506" s="54"/>
      <c r="O506" s="54"/>
      <c r="P506" s="54"/>
      <c r="Q506" s="54"/>
      <c r="R506" s="54"/>
      <c r="S506" s="190"/>
      <c r="T506" s="398" t="s">
        <v>396</v>
      </c>
      <c r="U506" s="203"/>
      <c r="V506" s="511">
        <f t="shared" ca="1" si="33"/>
        <v>-1.7999999999999998</v>
      </c>
      <c r="W506" s="493"/>
      <c r="X506" s="2026">
        <f t="shared" ca="1" si="33"/>
        <v>-1.5000000000000004</v>
      </c>
      <c r="Y506" s="1744"/>
      <c r="Z506" s="2026">
        <f t="shared" ca="1" si="33"/>
        <v>-1.6</v>
      </c>
      <c r="AA506" s="1744"/>
      <c r="AB506" s="2026">
        <f t="shared" ca="1" si="33"/>
        <v>-1.7999999999999998</v>
      </c>
      <c r="AC506" s="1745"/>
      <c r="AD506" s="378"/>
      <c r="AE506" s="45"/>
      <c r="AF506" s="45"/>
      <c r="AG506" s="45"/>
      <c r="AH506" s="45"/>
      <c r="AI506" s="45"/>
      <c r="AJ506" s="190"/>
      <c r="AK506" s="398" t="s">
        <v>396</v>
      </c>
      <c r="AL506" s="203"/>
      <c r="AM506" s="2040">
        <f>(Transfer!AD144-Transfer!AD146)</f>
        <v>4.0811600000000006</v>
      </c>
      <c r="AN506" s="1755"/>
      <c r="AO506" s="2040">
        <f>(Transfer!AE144-Transfer!AE146)</f>
        <v>4.3617793029600005</v>
      </c>
      <c r="AP506" s="2042"/>
      <c r="AQ506" s="2040">
        <f>(Transfer!AF144-Transfer!AF146)</f>
        <v>4.7300080724896318</v>
      </c>
      <c r="AR506" s="2042"/>
      <c r="AS506" s="2040">
        <f>(Transfer!AG144-Transfer!AG146)</f>
        <v>5.1497654759637381</v>
      </c>
      <c r="AT506" s="2043"/>
      <c r="AU506" s="378"/>
      <c r="AV506" s="54"/>
      <c r="AW506" s="54"/>
      <c r="AX506" s="54"/>
      <c r="AY506" s="54"/>
      <c r="AZ506" s="54"/>
      <c r="BA506" s="1988" t="s">
        <v>1119</v>
      </c>
      <c r="BB506" s="54"/>
      <c r="BC506" s="54"/>
    </row>
    <row r="507" spans="1:55">
      <c r="A507" s="45"/>
      <c r="B507" s="1665"/>
      <c r="C507" s="2707" t="s">
        <v>1252</v>
      </c>
      <c r="D507" s="2708"/>
      <c r="E507" s="2794">
        <f ca="1">100*(Transfer!D144-Transfer!D146)/Transfer!D147</f>
        <v>5.86614572342424</v>
      </c>
      <c r="F507" s="2795"/>
      <c r="G507" s="2794">
        <f ca="1">100*(Transfer!E144-Transfer!E146)/Transfer!E147</f>
        <v>6.9509529890832011</v>
      </c>
      <c r="H507" s="2796"/>
      <c r="I507" s="2794">
        <f ca="1">100*(Transfer!F144-Transfer!F146)/Transfer!F147</f>
        <v>7.1056953514727628</v>
      </c>
      <c r="J507" s="2796"/>
      <c r="K507" s="2794">
        <f ca="1">100*(Transfer!G144-Transfer!G146)/Transfer!G147</f>
        <v>7.1427131612857986</v>
      </c>
      <c r="L507" s="2797"/>
      <c r="M507" s="2798"/>
      <c r="N507" s="54"/>
      <c r="O507" s="54"/>
      <c r="P507" s="54"/>
      <c r="Q507" s="54"/>
      <c r="R507" s="54"/>
      <c r="S507" s="190"/>
      <c r="T507" s="501" t="s">
        <v>1252</v>
      </c>
      <c r="U507" s="1739"/>
      <c r="V507" s="2026">
        <f t="shared" ca="1" si="33"/>
        <v>2.3000000000000003</v>
      </c>
      <c r="W507" s="499"/>
      <c r="X507" s="2026">
        <f t="shared" ca="1" si="33"/>
        <v>3.4</v>
      </c>
      <c r="Y507" s="500"/>
      <c r="Z507" s="2026">
        <f t="shared" ca="1" si="33"/>
        <v>3.3999999999999995</v>
      </c>
      <c r="AA507" s="500"/>
      <c r="AB507" s="202">
        <f t="shared" ca="1" si="33"/>
        <v>3.3</v>
      </c>
      <c r="AC507" s="502"/>
      <c r="AD507" s="503"/>
      <c r="AE507" s="45"/>
      <c r="AF507" s="45"/>
      <c r="AG507" s="45"/>
      <c r="AH507" s="45"/>
      <c r="AI507" s="45"/>
      <c r="AJ507" s="190"/>
      <c r="AK507" s="501" t="s">
        <v>1252</v>
      </c>
      <c r="AL507" s="1739"/>
      <c r="AM507" s="2044">
        <f>100*(Transfer!AD144-Transfer!AD146)/Transfer!AD147</f>
        <v>3.5883156151992313</v>
      </c>
      <c r="AN507" s="2045"/>
      <c r="AO507" s="2044">
        <f>100*(Transfer!AE144-Transfer!AE146)/Transfer!AE147</f>
        <v>3.6336120902667708</v>
      </c>
      <c r="AP507" s="2046"/>
      <c r="AQ507" s="2044">
        <f>100*(Transfer!AF144-Transfer!AF146)/Transfer!AF147</f>
        <v>3.7118072727936755</v>
      </c>
      <c r="AR507" s="2046"/>
      <c r="AS507" s="2044">
        <f>100*(Transfer!AG144-Transfer!AG146)/Transfer!AG147</f>
        <v>3.7838142021911225</v>
      </c>
      <c r="AT507" s="2047"/>
      <c r="AU507" s="503"/>
      <c r="AV507" s="54"/>
      <c r="AW507" s="54"/>
      <c r="AX507" s="54"/>
      <c r="AY507" s="54"/>
      <c r="AZ507" s="54"/>
      <c r="BA507" s="1988" t="s">
        <v>199</v>
      </c>
      <c r="BB507" s="54"/>
      <c r="BC507" s="54"/>
    </row>
    <row r="508" spans="1:55">
      <c r="A508" s="45"/>
      <c r="B508" s="1665"/>
      <c r="C508" s="2686" t="s">
        <v>1559</v>
      </c>
      <c r="D508" s="2345"/>
      <c r="E508" s="2799">
        <f ca="1">(Transfer!D143-Transfer!D145)+(Transfer!D144-Transfer!D146)</f>
        <v>0.49990000000000201</v>
      </c>
      <c r="F508" s="2800"/>
      <c r="G508" s="2799">
        <f ca="1">(Transfer!E143-Transfer!E145)+(Transfer!E144-Transfer!E146)</f>
        <v>0.84313000000000127</v>
      </c>
      <c r="H508" s="2800"/>
      <c r="I508" s="2799">
        <f ca="1">(Transfer!F143-Transfer!F145)+(Transfer!F144-Transfer!F146)</f>
        <v>0.49441230432000349</v>
      </c>
      <c r="J508" s="2800"/>
      <c r="K508" s="2799">
        <f ca="1">(Transfer!G143-Transfer!G145)+(Transfer!G144-Transfer!G146)</f>
        <v>0.42702802466181655</v>
      </c>
      <c r="L508" s="2801"/>
      <c r="M508" s="2348"/>
      <c r="N508" s="54"/>
      <c r="O508" s="54"/>
      <c r="P508" s="54"/>
      <c r="Q508" s="54"/>
      <c r="R508" s="54"/>
      <c r="S508" s="190"/>
      <c r="T508" s="424" t="s">
        <v>1559</v>
      </c>
      <c r="U508" s="59"/>
      <c r="V508" s="353">
        <f t="shared" ca="1" si="33"/>
        <v>-0.4</v>
      </c>
      <c r="W508" s="504"/>
      <c r="X508" s="353">
        <f t="shared" ca="1" si="33"/>
        <v>-0.39999999999999991</v>
      </c>
      <c r="Y508" s="504"/>
      <c r="Z508" s="353">
        <f t="shared" ca="1" si="33"/>
        <v>-0.7</v>
      </c>
      <c r="AA508" s="504"/>
      <c r="AB508" s="353">
        <f t="shared" ca="1" si="33"/>
        <v>-0.5</v>
      </c>
      <c r="AC508" s="505"/>
      <c r="AD508" s="62"/>
      <c r="AE508" s="45"/>
      <c r="AF508" s="45"/>
      <c r="AG508" s="45"/>
      <c r="AH508" s="45"/>
      <c r="AI508" s="45"/>
      <c r="AJ508" s="190"/>
      <c r="AK508" s="424" t="s">
        <v>1559</v>
      </c>
      <c r="AL508" s="59"/>
      <c r="AM508" s="2048">
        <f>(Transfer!AD143-Transfer!AD145)+(Transfer!AD144-Transfer!AD146)</f>
        <v>0.93143000000000953</v>
      </c>
      <c r="AN508" s="2049"/>
      <c r="AO508" s="2048">
        <f>(Transfer!AE143-Transfer!AE145)+(Transfer!AE144-Transfer!AE146)</f>
        <v>1.2020302234800209</v>
      </c>
      <c r="AP508" s="2049"/>
      <c r="AQ508" s="2048">
        <f>(Transfer!AF143-Transfer!AF145)+(Transfer!AF144-Transfer!AF146)</f>
        <v>1.2278294493509847</v>
      </c>
      <c r="AR508" s="2049"/>
      <c r="AS508" s="2048">
        <f>(Transfer!AG143-Transfer!AG145)+(Transfer!AG144-Transfer!AG146)</f>
        <v>0.93233098488921051</v>
      </c>
      <c r="AT508" s="2050"/>
      <c r="AU508" s="62"/>
      <c r="AV508" s="54"/>
      <c r="AW508" s="54"/>
      <c r="AX508" s="54"/>
      <c r="AY508" s="54"/>
      <c r="AZ508" s="54"/>
      <c r="BA508" s="1988" t="s">
        <v>200</v>
      </c>
      <c r="BB508" s="54"/>
      <c r="BC508" s="54"/>
    </row>
    <row r="509" spans="1:55">
      <c r="A509" s="45"/>
      <c r="B509" s="1665"/>
      <c r="C509" s="2707" t="s">
        <v>1253</v>
      </c>
      <c r="D509" s="2708"/>
      <c r="E509" s="2794">
        <f ca="1">100*((Transfer!D143-Transfer!D145)+(Transfer!D144-Transfer!D146))/Transfer!D147</f>
        <v>1.2927895496882253</v>
      </c>
      <c r="F509" s="2795"/>
      <c r="G509" s="2794">
        <f ca="1">100*((Transfer!E143-Transfer!E145)+(Transfer!E144-Transfer!E146))/Transfer!E147</f>
        <v>2.0180425448629959</v>
      </c>
      <c r="H509" s="2796"/>
      <c r="I509" s="2794">
        <f ca="1">100*((Transfer!F143-Transfer!F145)+(Transfer!F144-Transfer!F146))/Transfer!F147</f>
        <v>1.1182874390798505</v>
      </c>
      <c r="J509" s="2796"/>
      <c r="K509" s="2794">
        <f ca="1">100*((Transfer!G143-Transfer!G145)+(Transfer!G144-Transfer!G146))/Transfer!G147</f>
        <v>0.91487217938600784</v>
      </c>
      <c r="L509" s="2797"/>
      <c r="M509" s="2798"/>
      <c r="N509" s="54"/>
      <c r="O509" s="54"/>
      <c r="P509" s="54"/>
      <c r="Q509" s="54"/>
      <c r="R509" s="54"/>
      <c r="S509" s="190"/>
      <c r="T509" s="501" t="s">
        <v>1253</v>
      </c>
      <c r="U509" s="1739"/>
      <c r="V509" s="2026">
        <f t="shared" ca="1" si="33"/>
        <v>0.5</v>
      </c>
      <c r="W509" s="499"/>
      <c r="X509" s="202">
        <f t="shared" ca="1" si="33"/>
        <v>1</v>
      </c>
      <c r="Y509" s="500"/>
      <c r="Z509" s="202">
        <f t="shared" ca="1" si="33"/>
        <v>0.10000000000000009</v>
      </c>
      <c r="AA509" s="500"/>
      <c r="AB509" s="202">
        <f t="shared" ca="1" si="33"/>
        <v>0.20000000000000007</v>
      </c>
      <c r="AC509" s="502"/>
      <c r="AD509" s="503"/>
      <c r="AE509" s="45"/>
      <c r="AF509" s="45"/>
      <c r="AG509" s="45"/>
      <c r="AH509" s="45"/>
      <c r="AI509" s="45"/>
      <c r="AJ509" s="190"/>
      <c r="AK509" s="501" t="s">
        <v>1253</v>
      </c>
      <c r="AL509" s="1739"/>
      <c r="AM509" s="2044">
        <f>100*((Transfer!AD143-Transfer!AD145)+(Transfer!AD144-Transfer!AD146))/Transfer!AD147</f>
        <v>0.81894971367578184</v>
      </c>
      <c r="AN509" s="2045"/>
      <c r="AO509" s="2044">
        <f>100*((Transfer!AE143-Transfer!AE145)+(Transfer!AE144-Transfer!AE146))/Transfer!AE147</f>
        <v>1.001360052751648</v>
      </c>
      <c r="AP509" s="2046"/>
      <c r="AQ509" s="2044">
        <f>100*((Transfer!AF143-Transfer!AF145)+(Transfer!AF144-Transfer!AF146))/Transfer!AF147</f>
        <v>0.96352188199383437</v>
      </c>
      <c r="AR509" s="2046"/>
      <c r="AS509" s="2044">
        <f>100*((Transfer!AG143-Transfer!AG145)+(Transfer!AG144-Transfer!AG146))/Transfer!AG147</f>
        <v>0.68503453957899663</v>
      </c>
      <c r="AT509" s="2047"/>
      <c r="AU509" s="503"/>
      <c r="AV509" s="54"/>
      <c r="AW509" s="54"/>
      <c r="AX509" s="54"/>
      <c r="AY509" s="54"/>
      <c r="AZ509" s="54"/>
      <c r="BA509" s="1988" t="s">
        <v>201</v>
      </c>
      <c r="BB509" s="54"/>
      <c r="BC509" s="54"/>
    </row>
    <row r="510" spans="1:55">
      <c r="A510" s="45"/>
      <c r="B510" s="1665"/>
      <c r="C510" s="2586" t="s">
        <v>1244</v>
      </c>
      <c r="D510" s="2802"/>
      <c r="E510" s="2803">
        <f ca="1">SUM(Transfer!D240,Transfer!D241)</f>
        <v>-0.75492000000000015</v>
      </c>
      <c r="F510" s="2804"/>
      <c r="G510" s="2803">
        <f ca="1">SUM(Transfer!E240,Transfer!E241)</f>
        <v>-0.70007159199999991</v>
      </c>
      <c r="H510" s="2804"/>
      <c r="I510" s="2803">
        <f ca="1">SUM(Transfer!F240,Transfer!F241)</f>
        <v>-0.69343255632000034</v>
      </c>
      <c r="J510" s="2804"/>
      <c r="K510" s="2803">
        <f ca="1">SUM(Transfer!G240,Transfer!G241)</f>
        <v>-0.68955072592720046</v>
      </c>
      <c r="L510" s="2805"/>
      <c r="M510" s="2551"/>
      <c r="N510" s="54"/>
      <c r="O510" s="54"/>
      <c r="P510" s="54"/>
      <c r="Q510" s="54"/>
      <c r="R510" s="54"/>
      <c r="S510" s="190"/>
      <c r="T510" s="349" t="s">
        <v>1244</v>
      </c>
      <c r="U510" s="1740"/>
      <c r="V510" s="195">
        <f t="shared" ca="1" si="33"/>
        <v>0.7</v>
      </c>
      <c r="W510" s="506"/>
      <c r="X510" s="195">
        <f t="shared" ca="1" si="33"/>
        <v>1.1000000000000001</v>
      </c>
      <c r="Y510" s="506"/>
      <c r="Z510" s="195">
        <f t="shared" ca="1" si="33"/>
        <v>1.5000000000000002</v>
      </c>
      <c r="AA510" s="506"/>
      <c r="AB510" s="195">
        <f t="shared" ca="1" si="33"/>
        <v>2</v>
      </c>
      <c r="AC510" s="507"/>
      <c r="AD510" s="508"/>
      <c r="AE510" s="45"/>
      <c r="AF510" s="45"/>
      <c r="AG510" s="45"/>
      <c r="AH510" s="45"/>
      <c r="AI510" s="45"/>
      <c r="AJ510" s="190"/>
      <c r="AK510" s="349" t="s">
        <v>1244</v>
      </c>
      <c r="AL510" s="1740"/>
      <c r="AM510" s="362">
        <f>SUM(Transfer!AD240,Transfer!AD241)</f>
        <v>-1.5085517689767376</v>
      </c>
      <c r="AN510" s="497"/>
      <c r="AO510" s="362">
        <f>SUM(Transfer!AE240,Transfer!AE241)</f>
        <v>-1.7708340458744121</v>
      </c>
      <c r="AP510" s="497"/>
      <c r="AQ510" s="362">
        <f>SUM(Transfer!AF240,Transfer!AF241)</f>
        <v>-2.2018320434618528</v>
      </c>
      <c r="AR510" s="497"/>
      <c r="AS510" s="362">
        <f>SUM(Transfer!AG240,Transfer!AG241)</f>
        <v>-2.6883127014380381</v>
      </c>
      <c r="AT510" s="498"/>
      <c r="AU510" s="508"/>
      <c r="AV510" s="54"/>
      <c r="AW510" s="54"/>
      <c r="AX510" s="54"/>
      <c r="AY510" s="54"/>
      <c r="AZ510" s="54"/>
      <c r="BA510" s="1988" t="s">
        <v>202</v>
      </c>
      <c r="BB510" s="54"/>
      <c r="BC510" s="54"/>
    </row>
    <row r="511" spans="1:55">
      <c r="A511" s="45"/>
      <c r="B511" s="1665"/>
      <c r="C511" s="2373" t="s">
        <v>183</v>
      </c>
      <c r="D511" s="2610"/>
      <c r="E511" s="2803">
        <f ca="1">Transfer!D240</f>
        <v>-1.5429999999999999</v>
      </c>
      <c r="F511" s="2804"/>
      <c r="G511" s="2803">
        <f ca="1">Transfer!E240</f>
        <v>-1.5165699999999998</v>
      </c>
      <c r="H511" s="2804"/>
      <c r="I511" s="2803">
        <f ca="1">Transfer!F240</f>
        <v>-1.546837625</v>
      </c>
      <c r="J511" s="2804"/>
      <c r="K511" s="2803">
        <f ca="1">Transfer!G240</f>
        <v>-1.5777439521250001</v>
      </c>
      <c r="L511" s="2806"/>
      <c r="M511" s="2807"/>
      <c r="N511" s="54"/>
      <c r="O511" s="54"/>
      <c r="P511" s="54"/>
      <c r="Q511" s="54"/>
      <c r="R511" s="54"/>
      <c r="S511" s="190"/>
      <c r="T511" s="86" t="s">
        <v>183</v>
      </c>
      <c r="U511" s="343"/>
      <c r="V511" s="197">
        <f t="shared" ca="1" si="33"/>
        <v>3.3</v>
      </c>
      <c r="W511" s="506"/>
      <c r="X511" s="197">
        <f t="shared" ca="1" si="33"/>
        <v>3.9000000000000004</v>
      </c>
      <c r="Y511" s="506"/>
      <c r="Z511" s="197">
        <f t="shared" ca="1" si="33"/>
        <v>4.5999999999999996</v>
      </c>
      <c r="AA511" s="506"/>
      <c r="AB511" s="197">
        <f t="shared" ca="1" si="33"/>
        <v>5.1999999999999993</v>
      </c>
      <c r="AC511" s="509"/>
      <c r="AD511" s="510"/>
      <c r="AE511" s="45"/>
      <c r="AF511" s="45"/>
      <c r="AG511" s="45"/>
      <c r="AH511" s="45"/>
      <c r="AI511" s="45"/>
      <c r="AJ511" s="190"/>
      <c r="AK511" s="86" t="s">
        <v>183</v>
      </c>
      <c r="AL511" s="343"/>
      <c r="AM511" s="362">
        <f>Transfer!AD240</f>
        <v>-4.8091617689767387</v>
      </c>
      <c r="AN511" s="497"/>
      <c r="AO511" s="362">
        <f>Transfer!AE240</f>
        <v>-5.4019541458744129</v>
      </c>
      <c r="AP511" s="497"/>
      <c r="AQ511" s="362">
        <f>Transfer!AF240</f>
        <v>-6.061800908461854</v>
      </c>
      <c r="AR511" s="497"/>
      <c r="AS511" s="362">
        <f>Transfer!AG240</f>
        <v>-6.7900928487280403</v>
      </c>
      <c r="AT511" s="2051"/>
      <c r="AU511" s="510"/>
      <c r="AV511" s="54"/>
      <c r="AW511" s="54"/>
      <c r="AX511" s="54"/>
      <c r="AY511" s="54"/>
      <c r="AZ511" s="54"/>
      <c r="BA511" s="1988" t="s">
        <v>1404</v>
      </c>
      <c r="BB511" s="54"/>
      <c r="BC511" s="54"/>
    </row>
    <row r="512" spans="1:55">
      <c r="A512" s="45"/>
      <c r="B512" s="1665"/>
      <c r="C512" s="2558" t="s">
        <v>1839</v>
      </c>
      <c r="D512" s="2808"/>
      <c r="E512" s="2803">
        <f ca="1">Transfer!D241</f>
        <v>0.78807999999999978</v>
      </c>
      <c r="F512" s="2804"/>
      <c r="G512" s="2803">
        <f ca="1">Transfer!E241</f>
        <v>0.81649840799999984</v>
      </c>
      <c r="H512" s="2804"/>
      <c r="I512" s="2803">
        <f ca="1">Transfer!F241</f>
        <v>0.85340506867999966</v>
      </c>
      <c r="J512" s="2804"/>
      <c r="K512" s="2803">
        <f ca="1">Transfer!G241</f>
        <v>0.88819322619779961</v>
      </c>
      <c r="L512" s="2806"/>
      <c r="M512" s="2807"/>
      <c r="N512" s="54"/>
      <c r="O512" s="54"/>
      <c r="P512" s="54"/>
      <c r="Q512" s="54"/>
      <c r="R512" s="54"/>
      <c r="S512" s="190"/>
      <c r="T512" s="318" t="s">
        <v>1839</v>
      </c>
      <c r="U512" s="1741"/>
      <c r="V512" s="197">
        <f t="shared" ca="1" si="33"/>
        <v>-2.5</v>
      </c>
      <c r="W512" s="506"/>
      <c r="X512" s="197">
        <f t="shared" ca="1" si="33"/>
        <v>-2.8</v>
      </c>
      <c r="Y512" s="506"/>
      <c r="Z512" s="197">
        <f t="shared" ca="1" si="33"/>
        <v>-3</v>
      </c>
      <c r="AA512" s="506"/>
      <c r="AB512" s="197">
        <f t="shared" ca="1" si="33"/>
        <v>-3.1999999999999997</v>
      </c>
      <c r="AC512" s="509"/>
      <c r="AD512" s="510"/>
      <c r="AE512" s="45"/>
      <c r="AF512" s="45"/>
      <c r="AG512" s="45"/>
      <c r="AH512" s="45"/>
      <c r="AI512" s="45"/>
      <c r="AJ512" s="190"/>
      <c r="AK512" s="318" t="s">
        <v>1839</v>
      </c>
      <c r="AL512" s="1741"/>
      <c r="AM512" s="362">
        <f>Transfer!AD241</f>
        <v>3.3006100000000012</v>
      </c>
      <c r="AN512" s="497"/>
      <c r="AO512" s="362">
        <f>Transfer!AE241</f>
        <v>3.6311201000000008</v>
      </c>
      <c r="AP512" s="497"/>
      <c r="AQ512" s="362">
        <f>Transfer!AF241</f>
        <v>3.8599688650000012</v>
      </c>
      <c r="AR512" s="497"/>
      <c r="AS512" s="362">
        <f>Transfer!AG241</f>
        <v>4.1017801472900022</v>
      </c>
      <c r="AT512" s="2051"/>
      <c r="AU512" s="510"/>
      <c r="AV512" s="54"/>
      <c r="AW512" s="54"/>
      <c r="AX512" s="54"/>
      <c r="AY512" s="54"/>
      <c r="AZ512" s="54"/>
      <c r="BA512" s="1988" t="s">
        <v>203</v>
      </c>
      <c r="BB512" s="54"/>
      <c r="BC512" s="54"/>
    </row>
    <row r="513" spans="1:55">
      <c r="A513" s="45"/>
      <c r="B513" s="1665"/>
      <c r="C513" s="2558" t="s">
        <v>1249</v>
      </c>
      <c r="D513" s="2808"/>
      <c r="E513" s="2803">
        <f ca="1">100*SUM(Transfer!D240,Transfer!D241)/Transfer!D147</f>
        <v>-1.9522958328678364</v>
      </c>
      <c r="F513" s="2804"/>
      <c r="G513" s="2803">
        <f ca="1">100*SUM(Transfer!E240,Transfer!E241)/Transfer!E147</f>
        <v>-1.6756303975732882</v>
      </c>
      <c r="H513" s="2804"/>
      <c r="I513" s="2803">
        <f ca="1">100*SUM(Transfer!F240,Transfer!F241)/Transfer!F147</f>
        <v>-1.5684417859466955</v>
      </c>
      <c r="J513" s="2804"/>
      <c r="K513" s="2803">
        <f ca="1">100*SUM(Transfer!G240,Transfer!G241)/Transfer!G147</f>
        <v>-1.4773053265668499</v>
      </c>
      <c r="L513" s="2806"/>
      <c r="M513" s="2807"/>
      <c r="N513" s="54"/>
      <c r="O513" s="54"/>
      <c r="P513" s="54"/>
      <c r="Q513" s="54"/>
      <c r="R513" s="54"/>
      <c r="S513" s="190"/>
      <c r="T513" s="318" t="s">
        <v>1249</v>
      </c>
      <c r="U513" s="1741"/>
      <c r="V513" s="197">
        <f t="shared" ca="1" si="33"/>
        <v>-0.7</v>
      </c>
      <c r="W513" s="506"/>
      <c r="X513" s="197">
        <f t="shared" ca="1" si="33"/>
        <v>-0.19999999999999996</v>
      </c>
      <c r="Y513" s="506"/>
      <c r="Z513" s="197">
        <f t="shared" ca="1" si="33"/>
        <v>9.9999999999999867E-2</v>
      </c>
      <c r="AA513" s="506"/>
      <c r="AB513" s="197">
        <f t="shared" ca="1" si="33"/>
        <v>0.5</v>
      </c>
      <c r="AC513" s="509"/>
      <c r="AD513" s="510"/>
      <c r="AE513" s="45"/>
      <c r="AF513" s="45"/>
      <c r="AG513" s="45"/>
      <c r="AH513" s="45"/>
      <c r="AI513" s="45"/>
      <c r="AJ513" s="190"/>
      <c r="AK513" s="318" t="s">
        <v>1249</v>
      </c>
      <c r="AL513" s="1741"/>
      <c r="AM513" s="362">
        <f>100*SUM(Transfer!AD240,Transfer!AD241)/Transfer!AD147</f>
        <v>-1.3263777624390249</v>
      </c>
      <c r="AN513" s="497"/>
      <c r="AO513" s="362">
        <f>100*SUM(Transfer!AE240,Transfer!AE241)/Transfer!AE147</f>
        <v>-1.4752062293886978</v>
      </c>
      <c r="AP513" s="497"/>
      <c r="AQ513" s="362">
        <f>100*SUM(Transfer!AF240,Transfer!AF241)/Transfer!AF147</f>
        <v>-1.7278567112656402</v>
      </c>
      <c r="AR513" s="497"/>
      <c r="AS513" s="362">
        <f>100*SUM(Transfer!AG240,Transfer!AG241)/Transfer!AG147</f>
        <v>-1.9752502957871896</v>
      </c>
      <c r="AT513" s="2051"/>
      <c r="AU513" s="510"/>
      <c r="AV513" s="54"/>
      <c r="AW513" s="54"/>
      <c r="AX513" s="54"/>
      <c r="AY513" s="54"/>
      <c r="AZ513" s="54"/>
      <c r="BA513" s="1988" t="s">
        <v>195</v>
      </c>
      <c r="BB513" s="54"/>
      <c r="BC513" s="54"/>
    </row>
    <row r="514" spans="1:55">
      <c r="A514" s="45"/>
      <c r="B514" s="1665"/>
      <c r="C514" s="3381" t="s">
        <v>1560</v>
      </c>
      <c r="D514" s="2460"/>
      <c r="E514" s="2785">
        <f ca="1">SUM((Transfer!D143-Transfer!D145),(Transfer!D144-Transfer!D146),Transfer!D240,Transfer!D241)</f>
        <v>-0.25501999999999814</v>
      </c>
      <c r="F514" s="2786"/>
      <c r="G514" s="2785">
        <f ca="1">SUM((Transfer!E143-Transfer!E145),(Transfer!E144-Transfer!E146),Transfer!E240,Transfer!E241)</f>
        <v>0.14305840800000136</v>
      </c>
      <c r="H514" s="2786"/>
      <c r="I514" s="2785">
        <f ca="1">SUM((Transfer!F143-Transfer!F145),(Transfer!F144-Transfer!F146),Transfer!F240,Transfer!F241)</f>
        <v>-0.19902025199999684</v>
      </c>
      <c r="J514" s="2786"/>
      <c r="K514" s="2785">
        <f ca="1">SUM((Transfer!G143-Transfer!G145),(Transfer!G144-Transfer!G146),Transfer!G240,Transfer!G241)</f>
        <v>-0.26252270126538391</v>
      </c>
      <c r="L514" s="2787"/>
      <c r="M514" s="2348"/>
      <c r="N514" s="54"/>
      <c r="O514" s="54"/>
      <c r="P514" s="54"/>
      <c r="Q514" s="54"/>
      <c r="R514" s="54"/>
      <c r="S514" s="190"/>
      <c r="T514" s="398" t="s">
        <v>1560</v>
      </c>
      <c r="U514" s="203"/>
      <c r="V514" s="2026">
        <f t="shared" ca="1" si="33"/>
        <v>0.3</v>
      </c>
      <c r="W514" s="493"/>
      <c r="X514" s="2026">
        <f t="shared" ca="1" si="33"/>
        <v>0.7</v>
      </c>
      <c r="Y514" s="493"/>
      <c r="Z514" s="2026">
        <f t="shared" ca="1" si="33"/>
        <v>0.8</v>
      </c>
      <c r="AA514" s="493"/>
      <c r="AB514" s="2026">
        <f t="shared" ca="1" si="33"/>
        <v>1.5</v>
      </c>
      <c r="AC514" s="494"/>
      <c r="AD514" s="62"/>
      <c r="AE514" s="45"/>
      <c r="AF514" s="45"/>
      <c r="AG514" s="45"/>
      <c r="AH514" s="45"/>
      <c r="AI514" s="45"/>
      <c r="AJ514" s="190"/>
      <c r="AK514" s="398" t="s">
        <v>1560</v>
      </c>
      <c r="AL514" s="203"/>
      <c r="AM514" s="2040">
        <f>SUM((Transfer!AD143-Transfer!AD145),(Transfer!AD144-Transfer!AD146),Transfer!AD240,Transfer!AD241)</f>
        <v>-0.57712176897672807</v>
      </c>
      <c r="AN514" s="1755"/>
      <c r="AO514" s="2040">
        <f>SUM((Transfer!AE143-Transfer!AE145),(Transfer!AE144-Transfer!AE146),Transfer!AE240,Transfer!AE241)</f>
        <v>-0.5688038223943912</v>
      </c>
      <c r="AP514" s="1755"/>
      <c r="AQ514" s="2040">
        <f>SUM((Transfer!AF143-Transfer!AF145),(Transfer!AF144-Transfer!AF146),Transfer!AF240,Transfer!AF241)</f>
        <v>-0.97400259411086809</v>
      </c>
      <c r="AR514" s="1755"/>
      <c r="AS514" s="2040">
        <f>SUM((Transfer!AG143-Transfer!AG145),(Transfer!AG144-Transfer!AG146),Transfer!AG240,Transfer!AG241)</f>
        <v>-1.7559817165488276</v>
      </c>
      <c r="AT514" s="1770"/>
      <c r="AU514" s="62"/>
      <c r="AV514" s="54"/>
      <c r="AW514" s="54"/>
      <c r="AX514" s="54"/>
      <c r="AY514" s="54"/>
      <c r="AZ514" s="54"/>
      <c r="BA514" s="1988" t="s">
        <v>194</v>
      </c>
      <c r="BB514" s="54"/>
      <c r="BC514" s="54"/>
    </row>
    <row r="515" spans="1:55">
      <c r="A515" s="45"/>
      <c r="B515" s="1665"/>
      <c r="C515" s="2788" t="s">
        <v>1250</v>
      </c>
      <c r="D515" s="2712"/>
      <c r="E515" s="2785">
        <f ca="1">100*(SUM((Transfer!D143-Transfer!D145),(Transfer!D144-Transfer!D146),Transfer!D240,Transfer!D241))/Transfer!D147</f>
        <v>-0.65950628317961091</v>
      </c>
      <c r="F515" s="2786"/>
      <c r="G515">
        <f ca="1">100*(SUM((Transfer!E143-Transfer!E145),(Transfer!E144-Transfer!E146),Transfer!E240,Transfer!E241))/Transfer!E147</f>
        <v>0.34241214728970748</v>
      </c>
      <c r="H515" s="2809"/>
      <c r="I515" s="2785">
        <f ca="1">100*(SUM((Transfer!F143-Transfer!F145),(Transfer!F144-Transfer!F146),Transfer!F240,Transfer!F241))/Transfer!F147</f>
        <v>-0.45015434686684497</v>
      </c>
      <c r="J515" s="2809"/>
      <c r="K515" s="2785">
        <f ca="1">100*(SUM((Transfer!G143-Transfer!G145),(Transfer!G144-Transfer!G146),Transfer!G240,Transfer!G241))/Transfer!G147</f>
        <v>-0.56243314718084203</v>
      </c>
      <c r="L515" s="2810"/>
      <c r="M515" s="2712"/>
      <c r="N515" s="54"/>
      <c r="O515" s="54"/>
      <c r="P515" s="54"/>
      <c r="Q515" s="54"/>
      <c r="R515" s="54"/>
      <c r="S515" s="190"/>
      <c r="T515" s="495" t="s">
        <v>1250</v>
      </c>
      <c r="U515" s="513"/>
      <c r="V515" s="202">
        <f t="shared" ca="1" si="33"/>
        <v>-0.19999999999999996</v>
      </c>
      <c r="W515" s="493"/>
      <c r="X515" s="2026">
        <f t="shared" ca="1" si="33"/>
        <v>0.8</v>
      </c>
      <c r="Y515" s="511"/>
      <c r="Z515" s="202">
        <f t="shared" ca="1" si="33"/>
        <v>0.30000000000000004</v>
      </c>
      <c r="AA515" s="511"/>
      <c r="AB515" s="2026">
        <f t="shared" ca="1" si="33"/>
        <v>0.70000000000000007</v>
      </c>
      <c r="AC515" s="512"/>
      <c r="AD515" s="513"/>
      <c r="AE515" s="45"/>
      <c r="AF515" s="45"/>
      <c r="AG515" s="45"/>
      <c r="AH515" s="45"/>
      <c r="AI515" s="45"/>
      <c r="AJ515" s="190"/>
      <c r="AK515" s="495" t="s">
        <v>1250</v>
      </c>
      <c r="AL515" s="513"/>
      <c r="AM515" s="2040">
        <f>100*(SUM((Transfer!AD143-Transfer!AD145),(Transfer!AD144-Transfer!AD146),Transfer!AD240,Transfer!AD241))/Transfer!AD147</f>
        <v>-0.50742804876324288</v>
      </c>
      <c r="AN515" s="1755"/>
      <c r="AO515" s="2040">
        <f>100*(SUM((Transfer!AE143-Transfer!AE145),(Transfer!AE144-Transfer!AE146),Transfer!AE240,Transfer!AE241))/Transfer!AE147</f>
        <v>-0.47384617663704998</v>
      </c>
      <c r="AP515" s="1755"/>
      <c r="AQ515" s="2040">
        <f>100*(SUM((Transfer!AF143-Transfer!AF145),(Transfer!AF144-Transfer!AF146),Transfer!AF240,Transfer!AF241))/Transfer!AF147</f>
        <v>-0.76433482927180596</v>
      </c>
      <c r="AR515" s="1755"/>
      <c r="AS515" s="2040">
        <f>100*(SUM((Transfer!AG143-Transfer!AG145),(Transfer!AG144-Transfer!AG146),Transfer!AG240,Transfer!AG241))/Transfer!AG147</f>
        <v>-1.2902157562081933</v>
      </c>
      <c r="AT515" s="2041"/>
      <c r="AU515" s="513"/>
      <c r="AV515" s="54"/>
      <c r="AW515" s="54"/>
      <c r="AX515" s="54"/>
      <c r="AY515" s="54"/>
      <c r="AZ515" s="54"/>
      <c r="BA515" s="1988" t="s">
        <v>1286</v>
      </c>
      <c r="BB515" s="54"/>
      <c r="BC515" s="54"/>
    </row>
    <row r="516" spans="1:55">
      <c r="A516" s="45"/>
      <c r="B516" s="1665"/>
      <c r="C516" s="2384" t="s">
        <v>1251</v>
      </c>
      <c r="D516" s="2495"/>
      <c r="E516" s="2811">
        <f ca="1">Transfer!D242</f>
        <v>0.56872</v>
      </c>
      <c r="F516" s="2812"/>
      <c r="G516" s="3189">
        <f ca="1">Transfer!E242</f>
        <v>0.42262839999999996</v>
      </c>
      <c r="H516" s="2782"/>
      <c r="I516" s="2811">
        <f ca="1">Transfer!F242</f>
        <v>0.51935231400000004</v>
      </c>
      <c r="J516" s="2782"/>
      <c r="K516" s="2811">
        <f ca="1">Transfer!G242</f>
        <v>0.50018883386000002</v>
      </c>
      <c r="L516" s="2783"/>
      <c r="M516" s="2452"/>
      <c r="N516" s="54"/>
      <c r="O516" s="54"/>
      <c r="P516" s="54"/>
      <c r="Q516" s="54"/>
      <c r="R516" s="54"/>
      <c r="S516" s="190"/>
      <c r="T516" s="148" t="s">
        <v>1251</v>
      </c>
      <c r="U516" s="1676"/>
      <c r="V516" s="195">
        <f t="shared" ca="1" si="33"/>
        <v>-2</v>
      </c>
      <c r="W516" s="514"/>
      <c r="X516" s="195">
        <f t="shared" ca="1" si="33"/>
        <v>-2.4</v>
      </c>
      <c r="Y516" s="491"/>
      <c r="Z516" s="195">
        <f t="shared" ca="1" si="33"/>
        <v>-2.4</v>
      </c>
      <c r="AA516" s="491"/>
      <c r="AB516" s="195">
        <f t="shared" ca="1" si="33"/>
        <v>-2.4</v>
      </c>
      <c r="AC516" s="492"/>
      <c r="AD516" s="196"/>
      <c r="AE516" s="45"/>
      <c r="AF516" s="45"/>
      <c r="AG516" s="45"/>
      <c r="AH516" s="45"/>
      <c r="AI516" s="45"/>
      <c r="AJ516" s="190"/>
      <c r="AK516" s="148" t="s">
        <v>1251</v>
      </c>
      <c r="AL516" s="1676"/>
      <c r="AM516" s="2052">
        <f>Transfer!AD242</f>
        <v>2.60541</v>
      </c>
      <c r="AN516" s="1764"/>
      <c r="AO516" s="2052">
        <f>Transfer!AE242</f>
        <v>2.7931636999999996</v>
      </c>
      <c r="AP516" s="1764"/>
      <c r="AQ516" s="2052">
        <f>Transfer!AF242</f>
        <v>2.8559580790000001</v>
      </c>
      <c r="AR516" s="1764"/>
      <c r="AS516" s="2052">
        <f>Transfer!AG242</f>
        <v>2.9189464403299996</v>
      </c>
      <c r="AT516" s="1771"/>
      <c r="AU516" s="196"/>
      <c r="AV516" s="54"/>
      <c r="AW516" s="54"/>
      <c r="AX516" s="54"/>
      <c r="AY516" s="54"/>
      <c r="AZ516" s="54"/>
      <c r="BA516" s="1988" t="s">
        <v>1131</v>
      </c>
      <c r="BB516" s="54"/>
      <c r="BC516" s="54"/>
    </row>
    <row r="517" spans="1:55">
      <c r="A517" s="45"/>
      <c r="B517" s="1665"/>
      <c r="C517" s="2663" t="s">
        <v>631</v>
      </c>
      <c r="D517" s="2460"/>
      <c r="E517" s="2785">
        <f ca="1">SUM((Transfer!D143-Transfer!D145),(Transfer!D144-Transfer!D146),Transfer!D240,Transfer!D241,Transfer!D242)</f>
        <v>0.31370000000000187</v>
      </c>
      <c r="F517" s="2786"/>
      <c r="G517" s="2785">
        <f ca="1">SUM((Transfer!E143-Transfer!E145),(Transfer!E144-Transfer!E146),Transfer!E240,Transfer!E241,Transfer!E242)</f>
        <v>0.56568680800000126</v>
      </c>
      <c r="H517" s="2809"/>
      <c r="I517" s="2785">
        <f ca="1">SUM((Transfer!F143-Transfer!F145),(Transfer!F144-Transfer!F146),Transfer!F240,Transfer!F241,Transfer!F242)</f>
        <v>0.32033206200000319</v>
      </c>
      <c r="J517" s="2809"/>
      <c r="K517" s="2785">
        <f ca="1">SUM((Transfer!G143-Transfer!G145),(Transfer!G144-Transfer!G146),Transfer!G240,Transfer!G241,Transfer!G242)</f>
        <v>0.23766613259461611</v>
      </c>
      <c r="L517" s="2629"/>
      <c r="M517" s="2460"/>
      <c r="N517" s="54"/>
      <c r="O517" s="54"/>
      <c r="P517" s="54"/>
      <c r="Q517" s="54"/>
      <c r="R517" s="54"/>
      <c r="S517" s="190"/>
      <c r="T517" s="398" t="s">
        <v>631</v>
      </c>
      <c r="U517" s="203"/>
      <c r="V517" s="2026">
        <f t="shared" ca="1" si="33"/>
        <v>-1.7</v>
      </c>
      <c r="W517" s="493"/>
      <c r="X517" s="2026">
        <f t="shared" ca="1" si="33"/>
        <v>-1.6</v>
      </c>
      <c r="Y517" s="511"/>
      <c r="Z517" s="2026">
        <f t="shared" ca="1" si="33"/>
        <v>-1.5999999999999999</v>
      </c>
      <c r="AA517" s="511"/>
      <c r="AB517" s="2026">
        <f t="shared" ca="1" si="33"/>
        <v>-1</v>
      </c>
      <c r="AC517" s="354"/>
      <c r="AD517" s="203"/>
      <c r="AE517" s="45"/>
      <c r="AF517" s="45"/>
      <c r="AG517" s="45"/>
      <c r="AH517" s="45"/>
      <c r="AI517" s="45"/>
      <c r="AJ517" s="190"/>
      <c r="AK517" s="398" t="s">
        <v>631</v>
      </c>
      <c r="AL517" s="203"/>
      <c r="AM517" s="2040">
        <f>SUM((Transfer!AD143-Transfer!AD145),(Transfer!AD144-Transfer!AD146),Transfer!AD240,Transfer!AD241,Transfer!AD242)</f>
        <v>2.0282882310232719</v>
      </c>
      <c r="AN517" s="1755"/>
      <c r="AO517" s="2040">
        <f>SUM((Transfer!AE143-Transfer!AE145),(Transfer!AE144-Transfer!AE146),Transfer!AE240,Transfer!AE241,Transfer!AE242)</f>
        <v>2.2243598776056084</v>
      </c>
      <c r="AP517" s="1755"/>
      <c r="AQ517" s="2040">
        <f>SUM((Transfer!AF143-Transfer!AF145),(Transfer!AF144-Transfer!AF146),Transfer!AF240,Transfer!AF241,Transfer!AF242)</f>
        <v>1.881955484889132</v>
      </c>
      <c r="AR517" s="1755"/>
      <c r="AS517" s="2040">
        <f>SUM((Transfer!AG143-Transfer!AG145),(Transfer!AG144-Transfer!AG146),Transfer!AG240,Transfer!AG241,Transfer!AG242)</f>
        <v>1.162964723781172</v>
      </c>
      <c r="AT517" s="1770"/>
      <c r="AU517" s="203"/>
      <c r="AV517" s="54"/>
      <c r="AW517" s="54"/>
      <c r="AX517" s="54"/>
      <c r="AY517" s="54"/>
      <c r="AZ517" s="54"/>
      <c r="BA517" s="1988" t="s">
        <v>1132</v>
      </c>
      <c r="BB517" s="54"/>
      <c r="BC517" s="54"/>
    </row>
    <row r="518" spans="1:55" ht="13.5" thickBot="1">
      <c r="A518" s="45"/>
      <c r="B518" s="1665"/>
      <c r="C518" s="2715" t="s">
        <v>1133</v>
      </c>
      <c r="D518" s="2716"/>
      <c r="E518" s="2813">
        <f ca="1">100*(SUM((Transfer!D143-Transfer!D145),(Transfer!D144-Transfer!D146),Transfer!D240,Transfer!D241,Transfer!D242)/Transfer!D147)</f>
        <v>0.81125841515742558</v>
      </c>
      <c r="F518" s="2717"/>
      <c r="G518" s="2813">
        <f ca="1">100*(SUM((Transfer!E143-Transfer!E145),(Transfer!E144-Transfer!E146),Transfer!E240,Transfer!E241,Transfer!E242)/Transfer!E147)</f>
        <v>1.3539786813560728</v>
      </c>
      <c r="H518" s="2717"/>
      <c r="I518" s="2813">
        <f ca="1">100*(SUM((Transfer!F143-Transfer!F145),(Transfer!F144-Transfer!F146),Transfer!F240,Transfer!F241,Transfer!F242)/Transfer!F147)</f>
        <v>0.72454370196518192</v>
      </c>
      <c r="J518" s="2717"/>
      <c r="K518" s="2813">
        <f ca="1">100*(SUM((Transfer!G143-Transfer!G145),(Transfer!G144-Transfer!G146),Transfer!G240,Transfer!G241,Transfer!G242)/Transfer!G147)</f>
        <v>0.50918000724958656</v>
      </c>
      <c r="L518" s="2814"/>
      <c r="M518" s="2712"/>
      <c r="N518" s="54"/>
      <c r="O518" s="54"/>
      <c r="P518" s="54"/>
      <c r="Q518" s="54"/>
      <c r="R518" s="54"/>
      <c r="S518" s="190"/>
      <c r="T518" s="515" t="s">
        <v>1133</v>
      </c>
      <c r="U518" s="1742"/>
      <c r="V518" s="371">
        <f t="shared" ca="1" si="33"/>
        <v>-1</v>
      </c>
      <c r="W518" s="516"/>
      <c r="X518" s="371">
        <f t="shared" ca="1" si="33"/>
        <v>-0.5</v>
      </c>
      <c r="Y518" s="516"/>
      <c r="Z518" s="371">
        <f t="shared" ca="1" si="33"/>
        <v>-0.8</v>
      </c>
      <c r="AA518" s="516"/>
      <c r="AB518" s="371">
        <f t="shared" ca="1" si="33"/>
        <v>-0.4</v>
      </c>
      <c r="AC518" s="517"/>
      <c r="AD518" s="513"/>
      <c r="AE518" s="45"/>
      <c r="AF518" s="45"/>
      <c r="AG518" s="45"/>
      <c r="AH518" s="45"/>
      <c r="AI518" s="45"/>
      <c r="AJ518" s="190"/>
      <c r="AK518" s="515" t="s">
        <v>1133</v>
      </c>
      <c r="AL518" s="1742"/>
      <c r="AM518" s="2053">
        <f>100*(SUM((Transfer!AD143-Transfer!AD145),(Transfer!AD144-Transfer!AD146),Transfer!AD240,Transfer!AD241,Transfer!AD242)/Transfer!AD147)</f>
        <v>1.7833504031955698</v>
      </c>
      <c r="AN518" s="2054"/>
      <c r="AO518" s="2053">
        <f>100*(SUM((Transfer!AE143-Transfer!AE145),(Transfer!AE144-Transfer!AE146),Transfer!AE240,Transfer!AE241,Transfer!AE242)/Transfer!AE147)</f>
        <v>1.8530192343494123</v>
      </c>
      <c r="AP518" s="2054"/>
      <c r="AQ518" s="2053">
        <f>100*(SUM((Transfer!AF143-Transfer!AF145),(Transfer!AF144-Transfer!AF146),Transfer!AF240,Transfer!AF241,Transfer!AF242)/Transfer!AF147)</f>
        <v>1.4768380833245907</v>
      </c>
      <c r="AR518" s="2054"/>
      <c r="AS518" s="2053">
        <f>100*(SUM((Transfer!AG143-Transfer!AG145),(Transfer!AG144-Transfer!AG146),Transfer!AG240,Transfer!AG241,Transfer!AG242)/Transfer!AG147)</f>
        <v>0.85449375491550239</v>
      </c>
      <c r="AT518" s="2055"/>
      <c r="AU518" s="513"/>
      <c r="AV518" s="54"/>
      <c r="AW518" s="54"/>
      <c r="AX518" s="54"/>
      <c r="AY518" s="54"/>
      <c r="AZ518" s="54"/>
      <c r="BA518" s="2003" t="s">
        <v>1285</v>
      </c>
      <c r="BB518" s="54"/>
      <c r="BC518" s="54"/>
    </row>
    <row r="519" spans="1:55">
      <c r="A519" s="45"/>
      <c r="B519" s="1701"/>
      <c r="C519" s="2477"/>
      <c r="D519" s="2477"/>
      <c r="E519" s="2477"/>
      <c r="F519" s="2477"/>
      <c r="G519" s="2477"/>
      <c r="H519" s="2477"/>
      <c r="I519" s="2477"/>
      <c r="J519" s="2477"/>
      <c r="K519" s="2477"/>
      <c r="L519" s="2400" t="str">
        <f>UPPER(Country)</f>
        <v>LITHUANIA</v>
      </c>
      <c r="M519" s="2478"/>
      <c r="N519" s="54"/>
      <c r="O519" s="54"/>
      <c r="P519" s="54"/>
      <c r="Q519" s="54"/>
      <c r="R519" s="54"/>
      <c r="S519" s="215"/>
      <c r="T519" s="113"/>
      <c r="U519" s="113"/>
      <c r="V519" s="113"/>
      <c r="W519" s="113"/>
      <c r="X519" s="113"/>
      <c r="Y519" s="113"/>
      <c r="Z519" s="113"/>
      <c r="AA519" s="113"/>
      <c r="AB519" s="113"/>
      <c r="AC519" s="118" t="str">
        <f>UPPER(Country)</f>
        <v>LITHUANIA</v>
      </c>
      <c r="AD519" s="216"/>
      <c r="AE519" s="45"/>
      <c r="AF519" s="45"/>
      <c r="AG519" s="45"/>
      <c r="AH519" s="45"/>
      <c r="AI519" s="45"/>
      <c r="AJ519" s="215"/>
      <c r="AK519" s="113"/>
      <c r="AL519" s="113"/>
      <c r="AM519" s="113"/>
      <c r="AN519" s="113"/>
      <c r="AO519" s="113"/>
      <c r="AP519" s="113"/>
      <c r="AQ519" s="113"/>
      <c r="AR519" s="113"/>
      <c r="AS519" s="113"/>
      <c r="AT519" s="118" t="str">
        <f>UPPER(Country)</f>
        <v>LITHUANIA</v>
      </c>
      <c r="AU519" s="216"/>
      <c r="AV519" s="54"/>
      <c r="AW519" s="54"/>
      <c r="AX519" s="54"/>
      <c r="AY519" s="54"/>
      <c r="AZ519" s="54"/>
      <c r="BA519" s="54"/>
      <c r="BB519" s="54"/>
      <c r="BC519" s="54"/>
    </row>
    <row r="520" spans="1:55">
      <c r="A520" s="45"/>
      <c r="B520" s="45"/>
      <c r="C520" s="45"/>
      <c r="D520" s="45"/>
      <c r="E520" s="45"/>
      <c r="F520" s="45"/>
      <c r="G520" s="45"/>
      <c r="H520" s="45"/>
      <c r="I520" s="45"/>
      <c r="J520" s="45"/>
      <c r="K520" s="45"/>
      <c r="L520" s="45"/>
      <c r="M520" s="45"/>
      <c r="N520" s="54"/>
      <c r="O520" s="54"/>
      <c r="P520" s="54"/>
      <c r="Q520" s="54"/>
      <c r="R520" s="54"/>
      <c r="S520" s="54"/>
      <c r="T520" s="54"/>
      <c r="U520" s="54"/>
      <c r="V520" s="54"/>
      <c r="W520" s="54"/>
      <c r="X520" s="54"/>
      <c r="Y520" s="54"/>
      <c r="Z520" s="54"/>
      <c r="AA520" s="54"/>
      <c r="AB520" s="45"/>
      <c r="AC520" s="45"/>
      <c r="AD520" s="45"/>
      <c r="AE520" s="45"/>
      <c r="AF520" s="45"/>
      <c r="AG520" s="45"/>
      <c r="AH520" s="45"/>
      <c r="AI520" s="45"/>
      <c r="AJ520" s="45"/>
      <c r="AK520" s="45"/>
      <c r="AL520" s="45"/>
      <c r="AM520" s="45"/>
      <c r="AN520" s="45"/>
      <c r="AO520" s="45"/>
      <c r="AP520" s="45"/>
      <c r="AQ520" s="45"/>
      <c r="AR520" s="45"/>
      <c r="AS520" s="45"/>
      <c r="AT520" s="45"/>
      <c r="AU520" s="45"/>
      <c r="AV520" s="54"/>
      <c r="AW520" s="54"/>
      <c r="AX520" s="54"/>
      <c r="AY520" s="54"/>
      <c r="AZ520" s="54"/>
      <c r="BA520" s="54"/>
      <c r="BB520" s="54"/>
      <c r="BC520" s="54"/>
    </row>
    <row r="521" spans="1:55">
      <c r="A521" s="45"/>
      <c r="B521" s="45"/>
      <c r="C521" s="45"/>
      <c r="D521" s="45"/>
      <c r="E521" s="45"/>
      <c r="F521" s="45"/>
      <c r="G521" s="45"/>
      <c r="H521" s="45"/>
      <c r="I521" s="45"/>
      <c r="J521" s="45"/>
      <c r="K521" s="45"/>
      <c r="L521" s="45"/>
      <c r="M521" s="45"/>
      <c r="N521" s="54"/>
      <c r="O521" s="54"/>
      <c r="P521" s="54"/>
      <c r="Q521" s="54"/>
      <c r="R521" s="54"/>
      <c r="S521" s="54"/>
      <c r="T521" s="54"/>
      <c r="U521" s="54"/>
      <c r="V521" s="54"/>
      <c r="W521" s="54"/>
      <c r="X521" s="54"/>
      <c r="Y521" s="54"/>
      <c r="Z521" s="54"/>
      <c r="AA521" s="54"/>
      <c r="AB521" s="45"/>
      <c r="AC521" s="45"/>
      <c r="AD521" s="45"/>
      <c r="AE521" s="45"/>
      <c r="AF521" s="45"/>
      <c r="AG521" s="45"/>
      <c r="AH521" s="45"/>
      <c r="AI521" s="45"/>
      <c r="AJ521" s="45"/>
      <c r="AK521" s="45"/>
      <c r="AL521" s="45"/>
      <c r="AM521" s="45"/>
      <c r="AN521" s="45"/>
      <c r="AO521" s="45"/>
      <c r="AP521" s="45"/>
      <c r="AQ521" s="45"/>
      <c r="AR521" s="45"/>
      <c r="AS521" s="45"/>
      <c r="AT521" s="45"/>
      <c r="AU521" s="45"/>
      <c r="AV521" s="54"/>
      <c r="AW521" s="54"/>
      <c r="AX521" s="54"/>
      <c r="AY521" s="54"/>
      <c r="AZ521" s="54"/>
      <c r="BA521" s="54"/>
      <c r="BB521" s="54"/>
      <c r="BC521" s="54"/>
    </row>
    <row r="522" spans="1:55">
      <c r="A522" s="45"/>
      <c r="B522" s="45"/>
      <c r="C522" s="45"/>
      <c r="D522" s="45"/>
      <c r="E522" s="45"/>
      <c r="F522" s="45"/>
      <c r="G522" s="45"/>
      <c r="H522" s="45"/>
      <c r="I522" s="45"/>
      <c r="J522" s="45"/>
      <c r="K522" s="45"/>
      <c r="L522" s="45"/>
      <c r="M522" s="45"/>
      <c r="N522" s="54"/>
      <c r="O522" s="54"/>
      <c r="P522" s="54"/>
      <c r="Q522" s="54"/>
      <c r="R522" s="54"/>
      <c r="S522" s="54"/>
      <c r="T522" s="54"/>
      <c r="U522" s="54"/>
      <c r="V522" s="54"/>
      <c r="W522" s="54"/>
      <c r="X522" s="54"/>
      <c r="Y522" s="54"/>
      <c r="Z522" s="54"/>
      <c r="AA522" s="54"/>
      <c r="AB522" s="45"/>
      <c r="AC522" s="45"/>
      <c r="AD522" s="45"/>
      <c r="AE522" s="45"/>
      <c r="AF522" s="45"/>
      <c r="AG522" s="45"/>
      <c r="AH522" s="45"/>
      <c r="AI522" s="45"/>
      <c r="AJ522" s="45"/>
      <c r="AK522" s="45"/>
      <c r="AL522" s="45"/>
      <c r="AM522" s="45"/>
      <c r="AN522" s="45"/>
      <c r="AO522" s="45"/>
      <c r="AP522" s="45"/>
      <c r="AQ522" s="45"/>
      <c r="AR522" s="45"/>
      <c r="AS522" s="45"/>
      <c r="AT522" s="45"/>
      <c r="AU522" s="45"/>
      <c r="AV522" s="54"/>
      <c r="AW522" s="54"/>
      <c r="AX522" s="54"/>
      <c r="AY522" s="54"/>
      <c r="AZ522" s="54"/>
      <c r="BA522" s="54"/>
      <c r="BB522" s="54"/>
      <c r="BC522" s="54"/>
    </row>
    <row r="523" spans="1:55">
      <c r="A523" s="45"/>
      <c r="B523" s="54"/>
      <c r="C523" s="54"/>
      <c r="D523" s="54"/>
      <c r="E523" s="54"/>
      <c r="F523" s="54"/>
      <c r="G523" s="54"/>
      <c r="H523" s="54"/>
      <c r="I523" s="54"/>
      <c r="J523" s="54"/>
      <c r="K523" s="54"/>
      <c r="L523" s="54"/>
      <c r="M523" s="54"/>
      <c r="N523" s="54"/>
      <c r="O523" s="54"/>
      <c r="P523" s="54"/>
      <c r="Q523" s="54"/>
      <c r="R523" s="54"/>
      <c r="S523" s="54"/>
      <c r="T523" s="54"/>
      <c r="U523" s="54"/>
      <c r="V523" s="54"/>
      <c r="W523" s="54"/>
      <c r="X523" s="54"/>
      <c r="Y523" s="54"/>
      <c r="Z523" s="54"/>
      <c r="AA523" s="54"/>
      <c r="AB523" s="45"/>
      <c r="AC523" s="45"/>
      <c r="AD523" s="45"/>
      <c r="AE523" s="45"/>
      <c r="AF523" s="45"/>
      <c r="AG523" s="45"/>
      <c r="AH523" s="45"/>
      <c r="AI523" s="45"/>
      <c r="AJ523" s="54"/>
      <c r="AK523" s="54"/>
      <c r="AL523" s="54"/>
      <c r="AM523" s="54"/>
      <c r="AN523" s="54"/>
      <c r="AO523" s="54"/>
      <c r="AP523" s="54"/>
      <c r="AQ523" s="54"/>
      <c r="AR523" s="54"/>
      <c r="AS523" s="54"/>
      <c r="AT523" s="54"/>
      <c r="AU523" s="54"/>
      <c r="AV523" s="54"/>
      <c r="AW523" s="54"/>
      <c r="AX523" s="54"/>
      <c r="AY523" s="54"/>
      <c r="AZ523" s="54"/>
      <c r="BA523" s="54"/>
      <c r="BB523" s="54"/>
      <c r="BC523" s="54"/>
    </row>
    <row r="524" spans="1:55">
      <c r="A524" s="45"/>
      <c r="B524" s="54"/>
      <c r="C524" s="54"/>
      <c r="D524" s="54"/>
      <c r="E524" s="54"/>
      <c r="F524" s="54"/>
      <c r="G524" s="54"/>
      <c r="H524" s="54"/>
      <c r="I524" s="54"/>
      <c r="J524" s="54"/>
      <c r="K524" s="54"/>
      <c r="L524" s="54"/>
      <c r="M524" s="54"/>
      <c r="N524" s="54"/>
      <c r="O524" s="54"/>
      <c r="P524" s="54"/>
      <c r="Q524" s="54"/>
      <c r="R524" s="54"/>
      <c r="S524" s="54"/>
      <c r="T524" s="54"/>
      <c r="U524" s="54"/>
      <c r="V524" s="54"/>
      <c r="W524" s="54"/>
      <c r="X524" s="54"/>
      <c r="Y524" s="54"/>
      <c r="Z524" s="54"/>
      <c r="AA524" s="54"/>
      <c r="AB524" s="45"/>
      <c r="AC524" s="45"/>
      <c r="AD524" s="45"/>
      <c r="AE524" s="45"/>
      <c r="AF524" s="45"/>
      <c r="AG524" s="45"/>
      <c r="AH524" s="45"/>
      <c r="AI524" s="45"/>
      <c r="AJ524" s="54"/>
      <c r="AK524" s="54"/>
      <c r="AL524" s="54"/>
      <c r="AM524" s="54"/>
      <c r="AN524" s="54"/>
      <c r="AO524" s="54"/>
      <c r="AP524" s="54"/>
      <c r="AQ524" s="54"/>
      <c r="AR524" s="54"/>
      <c r="AS524" s="54"/>
      <c r="AT524" s="54"/>
      <c r="AU524" s="54"/>
      <c r="AV524" s="54"/>
      <c r="AW524" s="54"/>
      <c r="AX524" s="54"/>
      <c r="AY524" s="54"/>
      <c r="AZ524" s="54"/>
      <c r="BA524" s="54"/>
      <c r="BB524" s="54"/>
      <c r="BC524" s="54"/>
    </row>
    <row r="525" spans="1:55">
      <c r="A525" s="45"/>
      <c r="B525" s="54"/>
      <c r="C525" s="54"/>
      <c r="D525" s="54"/>
      <c r="E525" s="54"/>
      <c r="F525" s="54"/>
      <c r="G525" s="54"/>
      <c r="H525" s="54"/>
      <c r="I525" s="54"/>
      <c r="J525" s="54"/>
      <c r="K525" s="54"/>
      <c r="L525" s="54"/>
      <c r="M525" s="54"/>
      <c r="N525" s="54"/>
      <c r="O525" s="54"/>
      <c r="P525" s="54"/>
      <c r="Q525" s="54"/>
      <c r="R525" s="54"/>
      <c r="S525" s="54"/>
      <c r="T525" s="54"/>
      <c r="U525" s="54"/>
      <c r="V525" s="54"/>
      <c r="W525" s="54"/>
      <c r="X525" s="54"/>
      <c r="Y525" s="54"/>
      <c r="Z525" s="54"/>
      <c r="AA525" s="54"/>
      <c r="AB525" s="45"/>
      <c r="AC525" s="45"/>
      <c r="AD525" s="45"/>
      <c r="AE525" s="45"/>
      <c r="AF525" s="45"/>
      <c r="AG525" s="45"/>
      <c r="AH525" s="45"/>
      <c r="AI525" s="45"/>
      <c r="AJ525" s="54"/>
      <c r="AK525" s="54"/>
      <c r="AL525" s="54"/>
      <c r="AM525" s="54"/>
      <c r="AN525" s="54"/>
      <c r="AO525" s="54"/>
      <c r="AP525" s="54"/>
      <c r="AQ525" s="54"/>
      <c r="AR525" s="54"/>
      <c r="AS525" s="54"/>
      <c r="AT525" s="54"/>
      <c r="AU525" s="54"/>
      <c r="AV525" s="54"/>
      <c r="AW525" s="54"/>
      <c r="AX525" s="54"/>
      <c r="AY525" s="54"/>
      <c r="AZ525" s="54"/>
      <c r="BA525" s="54"/>
      <c r="BB525" s="54"/>
      <c r="BC525" s="54"/>
    </row>
    <row r="526" spans="1:55">
      <c r="A526" s="45"/>
      <c r="B526" s="54"/>
      <c r="C526" s="54"/>
      <c r="D526" s="54"/>
      <c r="E526" s="54"/>
      <c r="F526" s="54"/>
      <c r="G526" s="54"/>
      <c r="H526" s="54"/>
      <c r="I526" s="54"/>
      <c r="J526" s="54"/>
      <c r="K526" s="54"/>
      <c r="L526" s="54"/>
      <c r="M526" s="54"/>
      <c r="N526" s="54"/>
      <c r="O526" s="54"/>
      <c r="P526" s="54"/>
      <c r="Q526" s="54"/>
      <c r="R526" s="54"/>
      <c r="S526" s="54"/>
      <c r="T526" s="54"/>
      <c r="U526" s="54"/>
      <c r="V526" s="54"/>
      <c r="W526" s="54"/>
      <c r="X526" s="54"/>
      <c r="Y526" s="54"/>
      <c r="Z526" s="54"/>
      <c r="AA526" s="54"/>
      <c r="AB526" s="45"/>
      <c r="AC526" s="45"/>
      <c r="AD526" s="45"/>
      <c r="AE526" s="45"/>
      <c r="AF526" s="45"/>
      <c r="AG526" s="45"/>
      <c r="AH526" s="45"/>
      <c r="AI526" s="45"/>
      <c r="AJ526" s="54"/>
      <c r="AK526" s="54"/>
      <c r="AL526" s="54"/>
      <c r="AM526" s="54"/>
      <c r="AN526" s="54"/>
      <c r="AO526" s="54"/>
      <c r="AP526" s="54"/>
      <c r="AQ526" s="54"/>
      <c r="AR526" s="54"/>
      <c r="AS526" s="54"/>
      <c r="AT526" s="54"/>
      <c r="AU526" s="54"/>
      <c r="AV526" s="54"/>
      <c r="AW526" s="54"/>
      <c r="AX526" s="54"/>
      <c r="AY526" s="54"/>
      <c r="AZ526" s="54"/>
      <c r="BA526" s="54"/>
      <c r="BB526" s="54"/>
      <c r="BC526" s="54"/>
    </row>
    <row r="527" spans="1:55">
      <c r="A527" s="45"/>
      <c r="B527" s="2341"/>
      <c r="C527" s="2601" t="s">
        <v>1134</v>
      </c>
      <c r="D527" s="2343"/>
      <c r="E527" s="2343"/>
      <c r="F527" s="2343"/>
      <c r="G527" s="2343"/>
      <c r="H527" s="2343"/>
      <c r="I527" s="2343"/>
      <c r="J527" s="2343"/>
      <c r="K527" s="2343"/>
      <c r="L527" s="2343"/>
      <c r="M527" s="2343"/>
      <c r="N527" s="2495"/>
      <c r="O527" s="54"/>
      <c r="P527" s="54"/>
      <c r="Q527" s="54"/>
      <c r="R527" s="54"/>
      <c r="S527" s="2341"/>
      <c r="T527" s="2601" t="s">
        <v>1134</v>
      </c>
      <c r="U527" s="2343"/>
      <c r="V527" s="2343"/>
      <c r="W527" s="2343"/>
      <c r="X527" s="2343"/>
      <c r="Y527" s="2343"/>
      <c r="Z527" s="2343"/>
      <c r="AA527" s="2343"/>
      <c r="AB527" s="2343"/>
      <c r="AC527" s="2343"/>
      <c r="AD527" s="2343"/>
      <c r="AE527" s="2495"/>
      <c r="AF527" s="45"/>
      <c r="AG527" s="45"/>
      <c r="AH527" s="45"/>
      <c r="AI527" s="45"/>
      <c r="AJ527" s="188"/>
      <c r="AK527" s="336" t="s">
        <v>1134</v>
      </c>
      <c r="AL527" s="100"/>
      <c r="AM527" s="100"/>
      <c r="AN527" s="100"/>
      <c r="AO527" s="100"/>
      <c r="AP527" s="100"/>
      <c r="AQ527" s="100"/>
      <c r="AR527" s="100"/>
      <c r="AS527" s="100"/>
      <c r="AT527" s="100"/>
      <c r="AU527" s="100"/>
      <c r="AV527" s="238"/>
      <c r="AW527" s="54"/>
      <c r="AX527" s="54"/>
      <c r="AY527" s="54"/>
      <c r="AZ527" s="54"/>
      <c r="BA527" s="54"/>
      <c r="BB527" s="54"/>
      <c r="BC527" s="54"/>
    </row>
    <row r="528" spans="1:55">
      <c r="A528" s="45"/>
      <c r="B528" s="1665"/>
      <c r="C528" s="3752" t="s">
        <v>627</v>
      </c>
      <c r="D528" s="3752"/>
      <c r="E528" s="3752"/>
      <c r="F528" s="3752"/>
      <c r="G528" s="3752"/>
      <c r="H528" s="3752"/>
      <c r="I528" s="3752"/>
      <c r="J528" s="3752"/>
      <c r="K528" s="3752"/>
      <c r="L528" s="3752"/>
      <c r="M528" s="3752"/>
      <c r="N528" s="2781"/>
      <c r="O528" s="54"/>
      <c r="P528" s="54"/>
      <c r="Q528" s="54"/>
      <c r="R528" s="54"/>
      <c r="S528" s="1665"/>
      <c r="T528" s="3752" t="s">
        <v>627</v>
      </c>
      <c r="U528" s="3752"/>
      <c r="V528" s="3752"/>
      <c r="W528" s="3752"/>
      <c r="X528" s="3752"/>
      <c r="Y528" s="3752"/>
      <c r="Z528" s="3752"/>
      <c r="AA528" s="3752"/>
      <c r="AB528" s="3752"/>
      <c r="AC528" s="3752"/>
      <c r="AD528" s="3752"/>
      <c r="AE528" s="2781"/>
      <c r="AF528" s="45"/>
      <c r="AG528" s="45"/>
      <c r="AH528" s="45"/>
      <c r="AI528" s="45"/>
      <c r="AJ528" s="190"/>
      <c r="AK528" s="3752" t="s">
        <v>627</v>
      </c>
      <c r="AL528" s="3752"/>
      <c r="AM528" s="3752"/>
      <c r="AN528" s="3752"/>
      <c r="AO528" s="3752"/>
      <c r="AP528" s="3752"/>
      <c r="AQ528" s="3752"/>
      <c r="AR528" s="3752"/>
      <c r="AS528" s="3752"/>
      <c r="AT528" s="3752"/>
      <c r="AU528" s="3752"/>
      <c r="AV528" s="490"/>
      <c r="AW528" s="54"/>
      <c r="AX528" s="54"/>
      <c r="AY528" s="54"/>
      <c r="AZ528" s="54"/>
      <c r="BA528" s="54"/>
      <c r="BB528" s="54"/>
      <c r="BC528" s="54"/>
    </row>
    <row r="529" spans="1:55" ht="15.75">
      <c r="A529" s="45"/>
      <c r="B529" s="1665"/>
      <c r="C529" s="2349"/>
      <c r="D529" s="2351"/>
      <c r="E529" s="2351"/>
      <c r="F529" s="2351"/>
      <c r="G529" s="2351"/>
      <c r="H529" s="2351"/>
      <c r="I529" s="2351"/>
      <c r="J529" s="2351"/>
      <c r="K529" s="2351"/>
      <c r="L529" s="2351"/>
      <c r="M529" s="2351"/>
      <c r="N529" s="2452"/>
      <c r="O529" s="54"/>
      <c r="P529" s="54"/>
      <c r="Q529" s="54"/>
      <c r="R529" s="54"/>
      <c r="S529" s="1665"/>
      <c r="T529" s="2349"/>
      <c r="U529" s="2351"/>
      <c r="V529" s="2351"/>
      <c r="W529" s="2006" t="s">
        <v>390</v>
      </c>
      <c r="X529" s="65"/>
      <c r="Y529" s="65"/>
      <c r="Z529" s="65"/>
      <c r="AA529" s="65"/>
      <c r="AB529" s="65"/>
      <c r="AC529" s="65"/>
      <c r="AD529" s="65"/>
      <c r="AE529" s="196"/>
      <c r="AF529" s="45"/>
      <c r="AG529" s="45"/>
      <c r="AH529" s="45"/>
      <c r="AI529" s="45"/>
      <c r="AJ529" s="190"/>
      <c r="AK529" s="63"/>
      <c r="AL529" s="65"/>
      <c r="AM529" s="65"/>
      <c r="AN529" s="65"/>
      <c r="AO529" s="65"/>
      <c r="AP529" s="65"/>
      <c r="AQ529" s="65"/>
      <c r="AR529" s="65"/>
      <c r="AS529" s="65"/>
      <c r="AT529" s="65"/>
      <c r="AU529" s="65"/>
      <c r="AV529" s="196"/>
      <c r="AW529" s="54"/>
      <c r="AX529" s="54"/>
      <c r="AY529" s="54"/>
      <c r="AZ529" s="54"/>
      <c r="BA529" s="54"/>
      <c r="BB529" s="54"/>
      <c r="BC529" s="54"/>
    </row>
    <row r="530" spans="1:55" ht="15.75">
      <c r="A530" s="45"/>
      <c r="B530" s="1665"/>
      <c r="C530" s="2349" t="str">
        <f>"Country: " &amp;UPPER(Country)</f>
        <v>Country: LITHUANIA</v>
      </c>
      <c r="D530" s="2351"/>
      <c r="E530" s="2703"/>
      <c r="F530" s="2703"/>
      <c r="G530" s="2703"/>
      <c r="H530" s="2703"/>
      <c r="I530" s="2703"/>
      <c r="J530" s="2703"/>
      <c r="K530" s="2703"/>
      <c r="L530" s="2703"/>
      <c r="M530" s="2703"/>
      <c r="N530" s="1664"/>
      <c r="O530" s="54"/>
      <c r="P530" s="54"/>
      <c r="Q530" s="54"/>
      <c r="R530" s="54"/>
      <c r="S530" s="190"/>
      <c r="T530" s="63" t="str">
        <f>"Country: " &amp;UPPER(Country)</f>
        <v>Country: LITHUANIA</v>
      </c>
      <c r="U530" s="65"/>
      <c r="W530" s="2006" t="str">
        <f>$T$4</f>
        <v>2nd storage</v>
      </c>
      <c r="Y530" s="28"/>
      <c r="AE530" s="90"/>
      <c r="AF530" s="45"/>
      <c r="AG530" s="45"/>
      <c r="AH530" s="45"/>
      <c r="AI530" s="45"/>
      <c r="AJ530" s="190"/>
      <c r="AK530" s="63" t="str">
        <f>"Country: " &amp;UPPER(Country)</f>
        <v>Country: LITHUANIA</v>
      </c>
      <c r="AL530" s="65"/>
      <c r="AP530" s="28"/>
      <c r="AV530" s="90"/>
      <c r="AW530" s="54"/>
      <c r="AX530" s="54"/>
      <c r="AY530" s="54"/>
      <c r="AZ530" s="54"/>
      <c r="BA530" s="54"/>
      <c r="BB530" s="54"/>
      <c r="BC530" s="54"/>
    </row>
    <row r="531" spans="1:55" ht="13.5" thickBot="1">
      <c r="A531" s="45"/>
      <c r="B531" s="1665"/>
      <c r="C531" s="2349" t="str">
        <f>"Currency unit: " &amp; Currency</f>
        <v>Currency unit: bn EUR</v>
      </c>
      <c r="D531" s="2703"/>
      <c r="E531" s="2351"/>
      <c r="F531" s="2351"/>
      <c r="G531" s="2351"/>
      <c r="H531" s="2351"/>
      <c r="I531" s="2351"/>
      <c r="J531" s="2351"/>
      <c r="K531" s="2351"/>
      <c r="L531" s="3752">
        <f ca="1">NOW()</f>
        <v>43335.58773900463</v>
      </c>
      <c r="M531" s="3752"/>
      <c r="N531" s="2602"/>
      <c r="O531" s="54"/>
      <c r="P531" s="54"/>
      <c r="Q531" s="54"/>
      <c r="R531" s="54"/>
      <c r="S531" s="190"/>
      <c r="T531" s="63" t="str">
        <f>"Currency unit: " &amp; Currency</f>
        <v>Currency unit: bn EUR</v>
      </c>
      <c r="V531" s="65"/>
      <c r="W531" s="65"/>
      <c r="X531" s="65"/>
      <c r="Y531" s="65"/>
      <c r="Z531" s="65"/>
      <c r="AA531" s="65"/>
      <c r="AB531" s="65"/>
      <c r="AC531" s="3752">
        <f ca="1">NOW()</f>
        <v>43335.58773900463</v>
      </c>
      <c r="AD531" s="3752"/>
      <c r="AE531" s="337"/>
      <c r="AF531" s="45"/>
      <c r="AG531" s="45"/>
      <c r="AH531" s="45"/>
      <c r="AI531" s="45"/>
      <c r="AJ531" s="190"/>
      <c r="AK531" s="63" t="str">
        <f>"Currency unit: " &amp; Currency</f>
        <v>Currency unit: bn EUR</v>
      </c>
      <c r="AM531" s="65"/>
      <c r="AN531" s="65"/>
      <c r="AO531" s="65"/>
      <c r="AP531" s="65"/>
      <c r="AQ531" s="65"/>
      <c r="AR531" s="65"/>
      <c r="AS531" s="65"/>
      <c r="AT531" s="3752">
        <f ca="1">NOW()</f>
        <v>43335.58773900463</v>
      </c>
      <c r="AU531" s="3752"/>
      <c r="AV531" s="337"/>
      <c r="AW531" s="54"/>
      <c r="AX531" s="54"/>
      <c r="AY531" s="54"/>
      <c r="AZ531" s="54"/>
      <c r="BA531" s="54"/>
      <c r="BB531" s="54"/>
      <c r="BC531" s="54"/>
    </row>
    <row r="532" spans="1:55">
      <c r="A532" s="45"/>
      <c r="B532" s="1665"/>
      <c r="C532" s="2357"/>
      <c r="D532" s="2358"/>
      <c r="E532" s="3752">
        <f>E16</f>
        <v>2016</v>
      </c>
      <c r="F532" s="3752"/>
      <c r="G532" s="3752"/>
      <c r="H532" s="3752">
        <f>E532+1</f>
        <v>2017</v>
      </c>
      <c r="I532" s="3752"/>
      <c r="J532" s="3752">
        <f>H532+1</f>
        <v>2018</v>
      </c>
      <c r="K532" s="3752"/>
      <c r="L532" s="3752">
        <f>J532+1</f>
        <v>2019</v>
      </c>
      <c r="M532" s="3752"/>
      <c r="N532" s="2605"/>
      <c r="O532" s="54"/>
      <c r="P532" s="54"/>
      <c r="Q532" s="54"/>
      <c r="R532" s="54"/>
      <c r="S532" s="190"/>
      <c r="T532" s="191"/>
      <c r="U532" s="73"/>
      <c r="V532" s="3752">
        <f>Last_forecast_year - 3</f>
        <v>2016</v>
      </c>
      <c r="W532" s="3752"/>
      <c r="X532" s="3752"/>
      <c r="Y532" s="3752">
        <f>V532+1</f>
        <v>2017</v>
      </c>
      <c r="Z532" s="3752"/>
      <c r="AA532" s="3752">
        <f>Y532+1</f>
        <v>2018</v>
      </c>
      <c r="AB532" s="3752"/>
      <c r="AC532" s="3752">
        <f>AA532+1</f>
        <v>2019</v>
      </c>
      <c r="AD532" s="3752"/>
      <c r="AE532" s="339"/>
      <c r="AF532" s="45"/>
      <c r="AG532" s="45"/>
      <c r="AH532" s="45"/>
      <c r="AI532" s="45"/>
      <c r="AJ532" s="190"/>
      <c r="AK532" s="191"/>
      <c r="AL532" s="73"/>
      <c r="AM532" s="3752">
        <f>Last_forecast_year - 3</f>
        <v>2016</v>
      </c>
      <c r="AN532" s="3752"/>
      <c r="AO532" s="3752"/>
      <c r="AP532" s="3752">
        <f>AM532+1</f>
        <v>2017</v>
      </c>
      <c r="AQ532" s="3752"/>
      <c r="AR532" s="3752">
        <f>AP532+1</f>
        <v>2018</v>
      </c>
      <c r="AS532" s="3752"/>
      <c r="AT532" s="3752">
        <f>AR532+1</f>
        <v>2019</v>
      </c>
      <c r="AU532" s="3752"/>
      <c r="AV532" s="339"/>
      <c r="AW532" s="54"/>
      <c r="AX532" s="54"/>
      <c r="AY532" s="54"/>
      <c r="AZ532" s="54"/>
      <c r="BA532" s="54"/>
      <c r="BB532" s="54"/>
      <c r="BC532" s="54"/>
    </row>
    <row r="533" spans="1:55">
      <c r="A533" s="45"/>
      <c r="B533" s="1665"/>
      <c r="C533" s="1666"/>
      <c r="D533" s="2351"/>
      <c r="E533" s="2815" t="s">
        <v>628</v>
      </c>
      <c r="F533" s="2767" t="s">
        <v>298</v>
      </c>
      <c r="G533" s="2661" t="s">
        <v>1170</v>
      </c>
      <c r="H533" s="2767" t="s">
        <v>298</v>
      </c>
      <c r="I533" s="2816" t="s">
        <v>1170</v>
      </c>
      <c r="J533" s="2817" t="s">
        <v>298</v>
      </c>
      <c r="K533" s="2661" t="s">
        <v>1170</v>
      </c>
      <c r="L533" s="2767" t="s">
        <v>298</v>
      </c>
      <c r="M533" s="2818" t="s">
        <v>1170</v>
      </c>
      <c r="N533" s="2819"/>
      <c r="O533" s="54"/>
      <c r="P533" s="54"/>
      <c r="Q533" s="54"/>
      <c r="R533" s="54"/>
      <c r="S533" s="190"/>
      <c r="T533" s="40"/>
      <c r="U533" s="65"/>
      <c r="V533" s="1765" t="s">
        <v>628</v>
      </c>
      <c r="W533" s="1751" t="s">
        <v>298</v>
      </c>
      <c r="X533" s="1753" t="s">
        <v>1170</v>
      </c>
      <c r="Y533" s="1751" t="s">
        <v>298</v>
      </c>
      <c r="Z533" s="1750" t="s">
        <v>1170</v>
      </c>
      <c r="AA533" s="1752" t="s">
        <v>298</v>
      </c>
      <c r="AB533" s="1753" t="s">
        <v>1170</v>
      </c>
      <c r="AC533" s="1751" t="s">
        <v>298</v>
      </c>
      <c r="AD533" s="2029" t="s">
        <v>1170</v>
      </c>
      <c r="AE533" s="2030"/>
      <c r="AF533" s="45"/>
      <c r="AG533" s="45"/>
      <c r="AH533" s="45"/>
      <c r="AI533" s="45"/>
      <c r="AJ533" s="190"/>
      <c r="AK533" s="40"/>
      <c r="AL533" s="65"/>
      <c r="AM533" s="1765" t="s">
        <v>628</v>
      </c>
      <c r="AN533" s="1751" t="s">
        <v>298</v>
      </c>
      <c r="AO533" s="1753" t="s">
        <v>1170</v>
      </c>
      <c r="AP533" s="1751" t="s">
        <v>298</v>
      </c>
      <c r="AQ533" s="1750" t="s">
        <v>1170</v>
      </c>
      <c r="AR533" s="1752" t="s">
        <v>298</v>
      </c>
      <c r="AS533" s="1753" t="s">
        <v>1170</v>
      </c>
      <c r="AT533" s="1751" t="s">
        <v>298</v>
      </c>
      <c r="AU533" s="1766" t="s">
        <v>1170</v>
      </c>
      <c r="AV533" s="518"/>
      <c r="AW533" s="54"/>
      <c r="AX533" s="54"/>
      <c r="AY533" s="54"/>
      <c r="AZ533" s="54"/>
      <c r="BA533" s="54"/>
      <c r="BB533" s="54"/>
      <c r="BC533" s="54"/>
    </row>
    <row r="534" spans="1:55">
      <c r="A534" s="45"/>
      <c r="B534" s="1665"/>
      <c r="C534" s="2820" t="s">
        <v>629</v>
      </c>
      <c r="D534" s="2821"/>
      <c r="E534" s="2645"/>
      <c r="F534" s="2821"/>
      <c r="G534" s="2822"/>
      <c r="H534" s="2821"/>
      <c r="I534" s="2821"/>
      <c r="J534" s="2823"/>
      <c r="K534" s="2824"/>
      <c r="L534" s="2821"/>
      <c r="M534" s="2825"/>
      <c r="N534" s="2610"/>
      <c r="O534" s="54"/>
      <c r="P534" s="54"/>
      <c r="Q534" s="54"/>
      <c r="R534" s="54"/>
      <c r="S534" s="190"/>
      <c r="T534" s="1781" t="s">
        <v>629</v>
      </c>
      <c r="U534" s="1756"/>
      <c r="V534" s="379"/>
      <c r="W534" s="1756"/>
      <c r="X534" s="1758"/>
      <c r="Y534" s="1756"/>
      <c r="Z534" s="1759"/>
      <c r="AA534" s="1756"/>
      <c r="AB534" s="1759"/>
      <c r="AC534" s="1756"/>
      <c r="AD534" s="1767"/>
      <c r="AE534" s="343"/>
      <c r="AF534" s="45"/>
      <c r="AG534" s="45"/>
      <c r="AH534" s="45"/>
      <c r="AI534" s="45"/>
      <c r="AJ534" s="190"/>
      <c r="AK534" s="1781" t="s">
        <v>629</v>
      </c>
      <c r="AL534" s="1756"/>
      <c r="AM534" s="379"/>
      <c r="AN534" s="1756"/>
      <c r="AO534" s="1758"/>
      <c r="AP534" s="1756"/>
      <c r="AQ534" s="1756"/>
      <c r="AR534" s="1757"/>
      <c r="AS534" s="1759"/>
      <c r="AT534" s="1756"/>
      <c r="AU534" s="1767"/>
      <c r="AV534" s="343"/>
      <c r="AW534" s="54"/>
      <c r="AX534" s="54"/>
      <c r="AY534" s="54"/>
      <c r="AZ534" s="54"/>
      <c r="BA534" s="54"/>
      <c r="BB534" s="54"/>
      <c r="BC534" s="54"/>
    </row>
    <row r="535" spans="1:55">
      <c r="A535" s="45"/>
      <c r="B535" s="1665"/>
      <c r="C535" s="2586" t="s">
        <v>1041</v>
      </c>
      <c r="D535" s="2579"/>
      <c r="E535" s="2826">
        <f ca="1">Transfer!D247/SUM(Transfer!D247,Transfer!D249)</f>
        <v>0.60693053540464992</v>
      </c>
      <c r="F535" s="2377">
        <f ca="1">Transfer!D247</f>
        <v>13.721000000000002</v>
      </c>
      <c r="G535" s="2394">
        <f ca="1">100*((Transfer!D247/Transfer!C247)-1)</f>
        <v>-2.3339905615386236</v>
      </c>
      <c r="H535" s="2377">
        <f ca="1">Transfer!E247</f>
        <v>15.371</v>
      </c>
      <c r="I535" s="2377">
        <f ca="1">100*((Transfer!E247/Transfer!D247)-1)</f>
        <v>12.025362582902099</v>
      </c>
      <c r="J535" s="2393">
        <f ca="1">Transfer!F247</f>
        <v>17.659465447348634</v>
      </c>
      <c r="K535" s="2394">
        <f ca="1">100*((Transfer!F247/Transfer!E247)-1)</f>
        <v>14.888201466063578</v>
      </c>
      <c r="L535" s="2377">
        <f ca="1">Transfer!G247</f>
        <v>18.927709970692618</v>
      </c>
      <c r="M535" s="2728">
        <f ca="1">100*((Transfer!G247/Transfer!F247)-1)</f>
        <v>7.1816699498930658</v>
      </c>
      <c r="N535" s="2452"/>
      <c r="O535" s="54"/>
      <c r="P535" s="54"/>
      <c r="Q535" s="54"/>
      <c r="R535" s="54"/>
      <c r="S535" s="190"/>
      <c r="T535" s="349" t="s">
        <v>1041</v>
      </c>
      <c r="U535" s="70"/>
      <c r="V535" s="1777">
        <f t="shared" ref="V535:AD537" ca="1" si="34">ROUND(E535,1)-ROUND(AM535,1)</f>
        <v>0</v>
      </c>
      <c r="W535" s="397">
        <f t="shared" ca="1" si="34"/>
        <v>-34.5</v>
      </c>
      <c r="X535" s="497">
        <f t="shared" ca="1" si="34"/>
        <v>-15.100000000000001</v>
      </c>
      <c r="Y535" s="397">
        <f t="shared" ca="1" si="34"/>
        <v>-35.200000000000003</v>
      </c>
      <c r="Z535" s="497">
        <f t="shared" ca="1" si="34"/>
        <v>7</v>
      </c>
      <c r="AA535" s="397">
        <f t="shared" ca="1" si="34"/>
        <v>-37</v>
      </c>
      <c r="AB535" s="497">
        <f t="shared" ca="1" si="34"/>
        <v>6.9</v>
      </c>
      <c r="AC535" s="397">
        <f t="shared" ca="1" si="34"/>
        <v>-41</v>
      </c>
      <c r="AD535" s="498">
        <f t="shared" ca="1" si="34"/>
        <v>-2.3999999999999995</v>
      </c>
      <c r="AE535" s="196"/>
      <c r="AF535" s="45"/>
      <c r="AG535" s="45"/>
      <c r="AH535" s="45"/>
      <c r="AI535" s="45"/>
      <c r="AJ535" s="190"/>
      <c r="AK535" s="349" t="s">
        <v>1041</v>
      </c>
      <c r="AL535" s="70"/>
      <c r="AM535" s="1777">
        <f>Transfer!AD247/SUM(Transfer!AD247,Transfer!AD249)</f>
        <v>0.60549300357956393</v>
      </c>
      <c r="AN535" s="397">
        <f>Transfer!AD247</f>
        <v>48.184169279999999</v>
      </c>
      <c r="AO535" s="497">
        <f>100*((Transfer!AD247/Transfer!AC247)-1)</f>
        <v>12.800387988522012</v>
      </c>
      <c r="AP535" s="397">
        <f>Transfer!AE247</f>
        <v>50.616307519544961</v>
      </c>
      <c r="AQ535" s="397">
        <f>100*((Transfer!AE247/Transfer!AD247)-1)</f>
        <v>5.0475877780764788</v>
      </c>
      <c r="AR535" s="396">
        <f>Transfer!AF247</f>
        <v>54.650405709152267</v>
      </c>
      <c r="AS535" s="497">
        <f>100*((Transfer!AF247/Transfer!AE247)-1)</f>
        <v>7.9699574846497478</v>
      </c>
      <c r="AT535" s="397">
        <f>Transfer!AG247</f>
        <v>59.876143555492668</v>
      </c>
      <c r="AU535" s="498">
        <f>100*((Transfer!AG247/Transfer!AF247)-1)</f>
        <v>9.5621208635698238</v>
      </c>
      <c r="AV535" s="196"/>
      <c r="AW535" s="54"/>
      <c r="AX535" s="54"/>
      <c r="AY535" s="54"/>
      <c r="AZ535" s="54"/>
      <c r="BA535" s="519" t="s">
        <v>204</v>
      </c>
      <c r="BB535" s="334"/>
      <c r="BC535" s="54"/>
    </row>
    <row r="536" spans="1:55">
      <c r="A536" s="45"/>
      <c r="B536" s="1665"/>
      <c r="C536" s="2827" t="s">
        <v>1042</v>
      </c>
      <c r="D536" s="2828"/>
      <c r="E536" s="2829">
        <f ca="1">Transfer!D249/SUM(Transfer!D247,Transfer!D249)</f>
        <v>0.39306946459535014</v>
      </c>
      <c r="F536" s="2382">
        <f ca="1">Transfer!D249</f>
        <v>8.8862000000000005</v>
      </c>
      <c r="G536" s="2830">
        <f ca="1">100*((Transfer!D249/Transfer!C249)-1)</f>
        <v>0.3466772062559631</v>
      </c>
      <c r="H536" s="2382">
        <f ca="1">Transfer!E249</f>
        <v>11.070200000000003</v>
      </c>
      <c r="I536" s="2382">
        <f ca="1">100*((Transfer!E249/Transfer!D249)-1)</f>
        <v>24.577434673988918</v>
      </c>
      <c r="J536" s="2831">
        <f ca="1">Transfer!F249</f>
        <v>12.398624000000005</v>
      </c>
      <c r="K536" s="2830">
        <f ca="1">100*((Transfer!F249/Transfer!E249)-1)</f>
        <v>12.000000000000011</v>
      </c>
      <c r="L536" s="2382">
        <f ca="1">Transfer!G249</f>
        <v>13.080548320000005</v>
      </c>
      <c r="M536" s="2832">
        <f ca="1">100*((Transfer!G249/Transfer!F249)-1)</f>
        <v>5.4999999999999938</v>
      </c>
      <c r="N536" s="2452"/>
      <c r="O536" s="54"/>
      <c r="P536" s="54"/>
      <c r="Q536" s="54"/>
      <c r="R536" s="54"/>
      <c r="S536" s="190"/>
      <c r="T536" s="1768" t="s">
        <v>1042</v>
      </c>
      <c r="U536" s="1760"/>
      <c r="V536" s="1778">
        <f t="shared" ca="1" si="34"/>
        <v>0</v>
      </c>
      <c r="W536" s="1763">
        <f t="shared" ca="1" si="34"/>
        <v>-22.5</v>
      </c>
      <c r="X536" s="1762">
        <f t="shared" ca="1" si="34"/>
        <v>-16.599999999999998</v>
      </c>
      <c r="Y536" s="1763">
        <f t="shared" ca="1" si="34"/>
        <v>-22.799999999999997</v>
      </c>
      <c r="Z536" s="1762">
        <f t="shared" ca="1" si="34"/>
        <v>16.600000000000001</v>
      </c>
      <c r="AA536" s="1763">
        <f t="shared" ca="1" si="34"/>
        <v>-24.700000000000003</v>
      </c>
      <c r="AB536" s="1762">
        <f t="shared" ca="1" si="34"/>
        <v>2.6999999999999993</v>
      </c>
      <c r="AC536" s="1763">
        <f t="shared" ca="1" si="34"/>
        <v>-27.4</v>
      </c>
      <c r="AD536" s="1769">
        <f t="shared" ca="1" si="34"/>
        <v>-3.8000000000000007</v>
      </c>
      <c r="AE536" s="196"/>
      <c r="AF536" s="45"/>
      <c r="AG536" s="45"/>
      <c r="AH536" s="45"/>
      <c r="AI536" s="45"/>
      <c r="AJ536" s="190"/>
      <c r="AK536" s="1768" t="s">
        <v>1042</v>
      </c>
      <c r="AL536" s="1760"/>
      <c r="AM536" s="1778">
        <f>Transfer!AD249/SUM(Transfer!AD247,Transfer!AD249)</f>
        <v>0.39450699642043602</v>
      </c>
      <c r="AN536" s="1763">
        <f>Transfer!AD249</f>
        <v>31.394238719999997</v>
      </c>
      <c r="AO536" s="1762">
        <f>100*((Transfer!AD249/Transfer!AC249)-1)</f>
        <v>16.874903594015112</v>
      </c>
      <c r="AP536" s="1763">
        <f>Transfer!AE249</f>
        <v>33.905777817599997</v>
      </c>
      <c r="AQ536" s="1763">
        <f>100*((Transfer!AE249/Transfer!AD249)-1)</f>
        <v>8.0000000000000071</v>
      </c>
      <c r="AR536" s="1761">
        <f>Transfer!AF249</f>
        <v>37.059015154636796</v>
      </c>
      <c r="AS536" s="1762">
        <f>100*((Transfer!AF249/Transfer!AE249)-1)</f>
        <v>9.2999999999999972</v>
      </c>
      <c r="AT536" s="1763">
        <f>Transfer!AG249</f>
        <v>40.505503564018021</v>
      </c>
      <c r="AU536" s="1769">
        <f>100*((Transfer!AG249/Transfer!AF249)-1)</f>
        <v>9.2999999999999972</v>
      </c>
      <c r="AV536" s="196"/>
      <c r="AW536" s="54"/>
      <c r="AX536" s="54"/>
      <c r="AY536" s="54"/>
      <c r="AZ536" s="54"/>
      <c r="BA536" s="1677" t="s">
        <v>1480</v>
      </c>
      <c r="BB536" s="334"/>
      <c r="BC536" s="54"/>
    </row>
    <row r="537" spans="1:55">
      <c r="A537" s="45"/>
      <c r="B537" s="1665"/>
      <c r="C537" s="2555" t="s">
        <v>632</v>
      </c>
      <c r="D537" s="2833"/>
      <c r="E537" s="2826">
        <f ca="1">SUM(Transfer!D249,Transfer!D251)/SUM(Transfer!D249,Transfer!D251)</f>
        <v>1</v>
      </c>
      <c r="F537" s="2665">
        <f ca="1">SUM(Transfer!D247,Transfer!D249)</f>
        <v>22.607200000000002</v>
      </c>
      <c r="G537" s="2834">
        <f ca="1">100*((SUM(Transfer!D247,Transfer!D249)/SUM(Transfer!C247,Transfer!C249))-1)</f>
        <v>-1.2975672796493365</v>
      </c>
      <c r="H537" s="2665">
        <f ca="1">SUM(Transfer!E247,Transfer!E249)</f>
        <v>26.441200000000002</v>
      </c>
      <c r="I537" s="2665">
        <f ca="1">100*((SUM(Transfer!E247,Transfer!E249)/SUM(Transfer!D247,Transfer!D249))-1)</f>
        <v>16.959198839307831</v>
      </c>
      <c r="J537" s="2664">
        <f ca="1">SUM(Transfer!F247,Transfer!F249)</f>
        <v>30.058089447348639</v>
      </c>
      <c r="K537" s="2834">
        <f ca="1">100*((SUM(Transfer!F247,Transfer!F249)/SUM(Transfer!E247,Transfer!E249))-1)</f>
        <v>13.678991298990351</v>
      </c>
      <c r="L537" s="2665">
        <f ca="1">SUM(Transfer!G247,Transfer!G249)</f>
        <v>32.008258290692623</v>
      </c>
      <c r="M537" s="2835">
        <f ca="1">100*((SUM(Transfer!G247,Transfer!G249)/SUM(Transfer!F247,Transfer!F249))-1)</f>
        <v>6.4880000000000271</v>
      </c>
      <c r="N537" s="2460"/>
      <c r="O537" s="54"/>
      <c r="P537" s="54"/>
      <c r="Q537" s="54"/>
      <c r="R537" s="54"/>
      <c r="S537" s="190"/>
      <c r="T537" s="316" t="s">
        <v>632</v>
      </c>
      <c r="U537" s="1754"/>
      <c r="V537" s="2031">
        <f t="shared" ca="1" si="34"/>
        <v>0</v>
      </c>
      <c r="W537" s="401">
        <f t="shared" ca="1" si="34"/>
        <v>-56.999999999999993</v>
      </c>
      <c r="X537" s="1755">
        <f t="shared" ca="1" si="34"/>
        <v>-15.700000000000001</v>
      </c>
      <c r="Y537" s="401">
        <f t="shared" ca="1" si="34"/>
        <v>-58.1</v>
      </c>
      <c r="Z537" s="1755">
        <f t="shared" ca="1" si="34"/>
        <v>10.8</v>
      </c>
      <c r="AA537" s="401">
        <f t="shared" ca="1" si="34"/>
        <v>-61.6</v>
      </c>
      <c r="AB537" s="1755">
        <f t="shared" ca="1" si="34"/>
        <v>5.1999999999999993</v>
      </c>
      <c r="AC537" s="401">
        <f t="shared" ca="1" si="34"/>
        <v>-68.400000000000006</v>
      </c>
      <c r="AD537" s="1770">
        <f t="shared" ca="1" si="34"/>
        <v>-3</v>
      </c>
      <c r="AE537" s="203"/>
      <c r="AF537" s="45"/>
      <c r="AG537" s="45"/>
      <c r="AH537" s="45"/>
      <c r="AI537" s="45"/>
      <c r="AJ537" s="190"/>
      <c r="AK537" s="316" t="s">
        <v>632</v>
      </c>
      <c r="AL537" s="1754"/>
      <c r="AM537" s="1777">
        <f>SUM(Transfer!AD249,Transfer!AD251)/SUM(Transfer!AD249,Transfer!AD251)</f>
        <v>1</v>
      </c>
      <c r="AN537" s="401">
        <f>SUM(Transfer!AD247,Transfer!AD249)</f>
        <v>79.578407999999996</v>
      </c>
      <c r="AO537" s="1755">
        <f>100*((SUM(Transfer!AD247,Transfer!AD249)/SUM(Transfer!AC247,Transfer!AC249))-1)</f>
        <v>14.373408895792284</v>
      </c>
      <c r="AP537" s="401">
        <f>SUM(Transfer!AE247,Transfer!AE249)</f>
        <v>84.522085337144958</v>
      </c>
      <c r="AQ537" s="401">
        <f>100*((SUM(Transfer!AE247,Transfer!AE249)/SUM(Transfer!AD247,Transfer!AD249))-1)</f>
        <v>6.2123350559425194</v>
      </c>
      <c r="AR537" s="399">
        <f>SUM(Transfer!AF247,Transfer!AF249)</f>
        <v>91.709420863789063</v>
      </c>
      <c r="AS537" s="1755">
        <f>100*((SUM(Transfer!AF247,Transfer!AF249)/SUM(Transfer!AE247,Transfer!AE249))-1)</f>
        <v>8.5034999999999741</v>
      </c>
      <c r="AT537" s="401">
        <f>SUM(Transfer!AG247,Transfer!AG249)</f>
        <v>100.38164711951069</v>
      </c>
      <c r="AU537" s="1770">
        <f>100*((SUM(Transfer!AG247,Transfer!AG249)/SUM(Transfer!AF247,Transfer!AF249))-1)</f>
        <v>9.4562000000000026</v>
      </c>
      <c r="AV537" s="203"/>
      <c r="AW537" s="54"/>
      <c r="AX537" s="54"/>
      <c r="AY537" s="54"/>
      <c r="AZ537" s="54"/>
      <c r="BA537" s="1677" t="s">
        <v>1481</v>
      </c>
      <c r="BB537" s="334"/>
      <c r="BC537" s="54"/>
    </row>
    <row r="538" spans="1:55">
      <c r="A538" s="45"/>
      <c r="B538" s="1665"/>
      <c r="C538" s="2820" t="s">
        <v>630</v>
      </c>
      <c r="D538" s="2821"/>
      <c r="E538" s="2836"/>
      <c r="F538" s="2366"/>
      <c r="G538" s="2837"/>
      <c r="H538" s="2366"/>
      <c r="I538" s="2366"/>
      <c r="J538" s="2662"/>
      <c r="K538" s="2837"/>
      <c r="L538" s="2366"/>
      <c r="M538" s="2838"/>
      <c r="N538" s="2452"/>
      <c r="O538" s="54"/>
      <c r="P538" s="54"/>
      <c r="Q538" s="54"/>
      <c r="R538" s="54"/>
      <c r="S538" s="190"/>
      <c r="T538" s="1781" t="s">
        <v>630</v>
      </c>
      <c r="U538" s="1756"/>
      <c r="V538" s="2032"/>
      <c r="W538" s="395"/>
      <c r="X538" s="1764"/>
      <c r="Y538" s="395"/>
      <c r="Z538" s="1764"/>
      <c r="AA538" s="395"/>
      <c r="AB538" s="1764"/>
      <c r="AC538" s="395"/>
      <c r="AD538" s="1771"/>
      <c r="AE538" s="196"/>
      <c r="AF538" s="45"/>
      <c r="AG538" s="45"/>
      <c r="AH538" s="45"/>
      <c r="AI538" s="45"/>
      <c r="AJ538" s="190"/>
      <c r="AK538" s="1781" t="s">
        <v>630</v>
      </c>
      <c r="AL538" s="1756"/>
      <c r="AM538" s="1779"/>
      <c r="AN538" s="395"/>
      <c r="AO538" s="1764"/>
      <c r="AP538" s="395"/>
      <c r="AQ538" s="395"/>
      <c r="AR538" s="394"/>
      <c r="AS538" s="1764"/>
      <c r="AT538" s="395"/>
      <c r="AU538" s="1771"/>
      <c r="AV538" s="196"/>
      <c r="AW538" s="54"/>
      <c r="AX538" s="54"/>
      <c r="AY538" s="54"/>
      <c r="AZ538" s="54"/>
      <c r="BA538" s="1986"/>
      <c r="BB538" s="334"/>
      <c r="BC538" s="54"/>
    </row>
    <row r="539" spans="1:55">
      <c r="A539" s="45"/>
      <c r="B539" s="1665"/>
      <c r="C539" s="2586" t="s">
        <v>1043</v>
      </c>
      <c r="D539" s="2579"/>
      <c r="E539" s="2826">
        <f ca="1">Transfer!D250/SUM(Transfer!D250,Transfer!D252)</f>
        <v>0.71011963804935319</v>
      </c>
      <c r="F539" s="2377">
        <f ca="1">Transfer!D250</f>
        <v>17.5396</v>
      </c>
      <c r="G539" s="2394">
        <f ca="1">100*((Transfer!D250/Transfer!C250)-1)</f>
        <v>1.9821265560769019</v>
      </c>
      <c r="H539" s="2377">
        <f ca="1">Transfer!E250</f>
        <v>20.116099999999996</v>
      </c>
      <c r="I539" s="2377">
        <f ca="1">100*((Transfer!E250/Transfer!D250)-1)</f>
        <v>14.689616638919901</v>
      </c>
      <c r="J539" s="2393">
        <f ca="1">Transfer!F250</f>
        <v>21.737308793711836</v>
      </c>
      <c r="K539" s="2394">
        <f ca="1">100*((Transfer!F250/Transfer!E250)-1)</f>
        <v>8.0592599644654825</v>
      </c>
      <c r="L539" s="2377">
        <f ca="1">Transfer!G250</f>
        <v>23.191216748882496</v>
      </c>
      <c r="M539" s="2728">
        <f ca="1">100*((Transfer!G250/Transfer!F250)-1)</f>
        <v>6.6885370630206387</v>
      </c>
      <c r="N539" s="2452"/>
      <c r="O539" s="54"/>
      <c r="P539" s="54"/>
      <c r="Q539" s="54"/>
      <c r="R539" s="54"/>
      <c r="S539" s="190"/>
      <c r="T539" s="349" t="s">
        <v>1043</v>
      </c>
      <c r="U539" s="70"/>
      <c r="V539" s="1777">
        <f t="shared" ref="V539:AC541" ca="1" si="35">ROUND(E539,1)-ROUND(AM539,1)</f>
        <v>9.9999999999999978E-2</v>
      </c>
      <c r="W539" s="397">
        <f t="shared" ca="1" si="35"/>
        <v>-32</v>
      </c>
      <c r="X539" s="497">
        <f t="shared" ca="1" si="35"/>
        <v>-8.6999999999999993</v>
      </c>
      <c r="Y539" s="397">
        <f t="shared" ca="1" si="35"/>
        <v>-32.799999999999997</v>
      </c>
      <c r="Z539" s="497">
        <f t="shared" ca="1" si="35"/>
        <v>7.7999999999999989</v>
      </c>
      <c r="AA539" s="397">
        <f t="shared" ca="1" si="35"/>
        <v>-35.299999999999997</v>
      </c>
      <c r="AB539" s="497">
        <f t="shared" ca="1" si="35"/>
        <v>0.39999999999999947</v>
      </c>
      <c r="AC539" s="397">
        <f t="shared" ca="1" si="35"/>
        <v>-39.400000000000006</v>
      </c>
      <c r="AD539" s="498">
        <f ca="1">ROUND(M539,1)-ROUND(AU539,1)</f>
        <v>-3.2</v>
      </c>
      <c r="AE539" s="196"/>
      <c r="AF539" s="45"/>
      <c r="AG539" s="45"/>
      <c r="AH539" s="45"/>
      <c r="AI539" s="45"/>
      <c r="AJ539" s="190"/>
      <c r="AK539" s="349" t="s">
        <v>1043</v>
      </c>
      <c r="AL539" s="70"/>
      <c r="AM539" s="1777">
        <f>Transfer!AD250/SUM(Transfer!AD250,Transfer!AD252)</f>
        <v>0.57650387422435123</v>
      </c>
      <c r="AN539" s="397">
        <f>Transfer!AD250</f>
        <v>49.529725439999993</v>
      </c>
      <c r="AO539" s="497">
        <f>100*((Transfer!AD250/Transfer!AC250)-1)</f>
        <v>10.729613733905573</v>
      </c>
      <c r="AP539" s="397">
        <f>Transfer!AE250</f>
        <v>52.932671573256535</v>
      </c>
      <c r="AQ539" s="397">
        <f>100*((Transfer!AE250/Transfer!AD250)-1)</f>
        <v>6.8705128143277339</v>
      </c>
      <c r="AR539" s="396">
        <f>Transfer!AF250</f>
        <v>56.993083095257333</v>
      </c>
      <c r="AS539" s="497">
        <f>100*((Transfer!AF250/Transfer!AE250)-1)</f>
        <v>7.6708985231953797</v>
      </c>
      <c r="AT539" s="397">
        <f>Transfer!AG250</f>
        <v>62.638564257024044</v>
      </c>
      <c r="AU539" s="498">
        <f>100*((Transfer!AG250/Transfer!AF250)-1)</f>
        <v>9.9055549466080741</v>
      </c>
      <c r="AV539" s="196"/>
      <c r="AW539" s="54"/>
      <c r="AX539" s="54"/>
      <c r="AY539" s="54"/>
      <c r="AZ539" s="54"/>
      <c r="BA539" s="1986" t="s">
        <v>1482</v>
      </c>
      <c r="BB539" s="334"/>
      <c r="BC539" s="54"/>
    </row>
    <row r="540" spans="1:55">
      <c r="A540" s="45"/>
      <c r="B540" s="1665"/>
      <c r="C540" s="2827" t="s">
        <v>1044</v>
      </c>
      <c r="D540" s="2828"/>
      <c r="E540" s="2829">
        <f ca="1">Transfer!D252/SUM(Transfer!D250,Transfer!D252)</f>
        <v>0.28988036195064681</v>
      </c>
      <c r="F540" s="2382">
        <f ca="1">Transfer!D252</f>
        <v>7.1599000000000013</v>
      </c>
      <c r="G540" s="2830">
        <f ca="1">100*((Transfer!D252/Transfer!C252)-1)</f>
        <v>-12.693728737089828</v>
      </c>
      <c r="H540" s="2382">
        <f ca="1">Transfer!E252</f>
        <v>8.679700000000004</v>
      </c>
      <c r="I540" s="2382">
        <f ca="1">100*((Transfer!E252/Transfer!D252)-1)</f>
        <v>21.226553443483876</v>
      </c>
      <c r="J540" s="2831">
        <f ca="1">Transfer!F252</f>
        <v>9.721264000000005</v>
      </c>
      <c r="K540" s="2830">
        <f ca="1">100*((Transfer!F252/Transfer!E252)-1)</f>
        <v>12.000000000000011</v>
      </c>
      <c r="L540" s="2382">
        <f ca="1">Transfer!G252</f>
        <v>10.401752480000006</v>
      </c>
      <c r="M540" s="2832">
        <f ca="1">100*((Transfer!G252/Transfer!F252)-1)</f>
        <v>7.0000000000000062</v>
      </c>
      <c r="N540" s="2452"/>
      <c r="O540" s="54"/>
      <c r="P540" s="54"/>
      <c r="Q540" s="54"/>
      <c r="R540" s="54"/>
      <c r="S540" s="190"/>
      <c r="T540" s="1768" t="s">
        <v>1044</v>
      </c>
      <c r="U540" s="1760"/>
      <c r="V540" s="1778">
        <f t="shared" ca="1" si="35"/>
        <v>-0.10000000000000003</v>
      </c>
      <c r="W540" s="1763">
        <f t="shared" ca="1" si="35"/>
        <v>-29.2</v>
      </c>
      <c r="X540" s="1762">
        <f t="shared" ca="1" si="35"/>
        <v>-19.5</v>
      </c>
      <c r="Y540" s="1763">
        <f t="shared" ca="1" si="35"/>
        <v>-31.3</v>
      </c>
      <c r="Z540" s="1762">
        <f t="shared" ca="1" si="35"/>
        <v>11.2</v>
      </c>
      <c r="AA540" s="1763">
        <f t="shared" ca="1" si="35"/>
        <v>-34.200000000000003</v>
      </c>
      <c r="AB540" s="1762">
        <f t="shared" ca="1" si="35"/>
        <v>2.1999999999999993</v>
      </c>
      <c r="AC540" s="1763">
        <f t="shared" ca="1" si="35"/>
        <v>-37.9</v>
      </c>
      <c r="AD540" s="1769">
        <f ca="1">ROUND(M540,1)-ROUND(AU540,1)</f>
        <v>-2.8000000000000007</v>
      </c>
      <c r="AE540" s="196"/>
      <c r="AF540" s="45"/>
      <c r="AG540" s="45"/>
      <c r="AH540" s="45"/>
      <c r="AI540" s="45"/>
      <c r="AJ540" s="190"/>
      <c r="AK540" s="1768" t="s">
        <v>1044</v>
      </c>
      <c r="AL540" s="1760"/>
      <c r="AM540" s="1778">
        <f>Transfer!AD252/SUM(Transfer!AD250,Transfer!AD252)</f>
        <v>0.42349612577564866</v>
      </c>
      <c r="AN540" s="1763">
        <f>Transfer!AD252</f>
        <v>36.384225280000003</v>
      </c>
      <c r="AO540" s="1762">
        <f>100*((Transfer!AD252/Transfer!AC252)-1)</f>
        <v>6.7531151858980731</v>
      </c>
      <c r="AP540" s="1763">
        <f>Transfer!AE252</f>
        <v>40.022647808000009</v>
      </c>
      <c r="AQ540" s="1763">
        <f>100*((Transfer!AE252/Transfer!AD252)-1)</f>
        <v>10.000000000000009</v>
      </c>
      <c r="AR540" s="1761">
        <f>Transfer!AF252</f>
        <v>43.944867293184011</v>
      </c>
      <c r="AS540" s="1762">
        <f>100*((Transfer!AF252/Transfer!AE252)-1)</f>
        <v>9.8000000000000078</v>
      </c>
      <c r="AT540" s="1763">
        <f>Transfer!AG252</f>
        <v>48.25146428791605</v>
      </c>
      <c r="AU540" s="1769">
        <f>100*((Transfer!AG252/Transfer!AF252)-1)</f>
        <v>9.8000000000000078</v>
      </c>
      <c r="AV540" s="196"/>
      <c r="AW540" s="54"/>
      <c r="AX540" s="54"/>
      <c r="AY540" s="54"/>
      <c r="AZ540" s="54"/>
      <c r="BA540" s="1677" t="s">
        <v>691</v>
      </c>
      <c r="BB540" s="334"/>
      <c r="BC540" s="54"/>
    </row>
    <row r="541" spans="1:55">
      <c r="A541" s="45"/>
      <c r="B541" s="1665"/>
      <c r="C541" s="2555" t="s">
        <v>294</v>
      </c>
      <c r="D541" s="2833"/>
      <c r="E541" s="2826">
        <f ca="1">SUM(Transfer!D250,Transfer!D252)/SUM(Transfer!D250,Transfer!D252)</f>
        <v>1</v>
      </c>
      <c r="F541" s="2665">
        <f ca="1">SUM(Transfer!D250,Transfer!D252)</f>
        <v>24.6995</v>
      </c>
      <c r="G541" s="2834">
        <f ca="1">100*((SUM(Transfer!D250,Transfer!D252)/SUM(Transfer!C250,Transfer!C252))-1)</f>
        <v>-2.756342619568819</v>
      </c>
      <c r="H541" s="2665">
        <f ca="1">SUM(Transfer!E250,Transfer!E252)</f>
        <v>28.7958</v>
      </c>
      <c r="I541" s="2665">
        <f ca="1">100*((SUM(Transfer!E250,Transfer!E252)/SUM(Transfer!D250,Transfer!D252))-1)</f>
        <v>16.584546245875419</v>
      </c>
      <c r="J541" s="2664">
        <f ca="1">SUM(Transfer!F250,Transfer!F252)</f>
        <v>31.458572793711841</v>
      </c>
      <c r="K541" s="2834">
        <f ca="1">100*((SUM(Transfer!F250,Transfer!F252)/SUM(Transfer!E250,Transfer!E252))-1)</f>
        <v>9.2470874006342676</v>
      </c>
      <c r="L541" s="2665">
        <f ca="1">SUM(Transfer!G250,Transfer!G252)</f>
        <v>33.592969228882502</v>
      </c>
      <c r="M541" s="2835">
        <f ca="1">100*((SUM(Transfer!G250,Transfer!G252)/SUM(Transfer!F250,Transfer!F252))-1)</f>
        <v>6.7847847045283016</v>
      </c>
      <c r="N541" s="2460"/>
      <c r="O541" s="54"/>
      <c r="P541" s="54"/>
      <c r="Q541" s="54"/>
      <c r="R541" s="54"/>
      <c r="S541" s="190"/>
      <c r="T541" s="316" t="s">
        <v>294</v>
      </c>
      <c r="U541" s="1754"/>
      <c r="V541" s="2031">
        <f t="shared" ca="1" si="35"/>
        <v>0</v>
      </c>
      <c r="W541" s="2033">
        <f t="shared" ca="1" si="35"/>
        <v>-61.2</v>
      </c>
      <c r="X541" s="2034">
        <f t="shared" ca="1" si="35"/>
        <v>-11.8</v>
      </c>
      <c r="Y541" s="2035">
        <f t="shared" ca="1" si="35"/>
        <v>-64.2</v>
      </c>
      <c r="Z541" s="2034">
        <f t="shared" ca="1" si="35"/>
        <v>8.4000000000000021</v>
      </c>
      <c r="AA541" s="2035">
        <f t="shared" ca="1" si="35"/>
        <v>-69.400000000000006</v>
      </c>
      <c r="AB541" s="2034">
        <f t="shared" ca="1" si="35"/>
        <v>0.59999999999999964</v>
      </c>
      <c r="AC541" s="2035">
        <f t="shared" ca="1" si="35"/>
        <v>-77.300000000000011</v>
      </c>
      <c r="AD541" s="2036">
        <f ca="1">ROUND(M541,1)-ROUND(AU541,1)</f>
        <v>-3.1000000000000005</v>
      </c>
      <c r="AE541" s="203"/>
      <c r="AF541" s="45"/>
      <c r="AG541" s="45"/>
      <c r="AH541" s="45"/>
      <c r="AI541" s="45"/>
      <c r="AJ541" s="190"/>
      <c r="AK541" s="316" t="s">
        <v>294</v>
      </c>
      <c r="AL541" s="1754"/>
      <c r="AM541" s="1777">
        <f>SUM(Transfer!AD250,Transfer!AD252)/SUM(Transfer!AD250,Transfer!AD252)</f>
        <v>1</v>
      </c>
      <c r="AN541" s="401">
        <f>SUM(Transfer!AD250,Transfer!AD252)</f>
        <v>85.913950720000003</v>
      </c>
      <c r="AO541" s="1755">
        <f>100*((SUM(Transfer!AD250,Transfer!AD252)/SUM(Transfer!AC250,Transfer!AC252))-1)</f>
        <v>9.0099799349858465</v>
      </c>
      <c r="AP541" s="401">
        <f>SUM(Transfer!AE250,Transfer!AE252)</f>
        <v>92.955319381256544</v>
      </c>
      <c r="AQ541" s="401">
        <f>100*((SUM(Transfer!AE250,Transfer!AE252)/SUM(Transfer!AD250,Transfer!AD252))-1)</f>
        <v>8.195838513124464</v>
      </c>
      <c r="AR541" s="399">
        <f>SUM(Transfer!AF250,Transfer!AF252)</f>
        <v>100.93795038844135</v>
      </c>
      <c r="AS541" s="1755">
        <f>100*((SUM(Transfer!AF250,Transfer!AF252)/SUM(Transfer!AE250,Transfer!AE252))-1)</f>
        <v>8.5876000000000285</v>
      </c>
      <c r="AT541" s="401">
        <f>SUM(Transfer!AG250,Transfer!AG252)</f>
        <v>110.89002854494009</v>
      </c>
      <c r="AU541" s="1770">
        <f>100*((SUM(Transfer!AG250,Transfer!AG252)/SUM(Transfer!AF250,Transfer!AF252))-1)</f>
        <v>9.8595999999999897</v>
      </c>
      <c r="AV541" s="203"/>
      <c r="AW541" s="54"/>
      <c r="AX541" s="54"/>
      <c r="AY541" s="54"/>
      <c r="AZ541" s="54"/>
      <c r="BA541" s="1677" t="s">
        <v>692</v>
      </c>
      <c r="BB541" s="334"/>
      <c r="BC541" s="54"/>
    </row>
    <row r="542" spans="1:55" ht="13.5" thickBot="1">
      <c r="A542" s="45"/>
      <c r="B542" s="1665"/>
      <c r="C542" s="2573" t="s">
        <v>295</v>
      </c>
      <c r="D542" s="1772"/>
      <c r="E542" s="1780"/>
      <c r="F542" s="1773">
        <f ca="1">SUM(Transfer!D247,Transfer!D249)-SUM(Transfer!D250,Transfer!D252)</f>
        <v>-2.0922999999999981</v>
      </c>
      <c r="G542" s="1774"/>
      <c r="H542" s="1773">
        <f ca="1">SUM(Transfer!E247,Transfer!E249)-SUM(Transfer!E250,Transfer!E252)</f>
        <v>-2.3545999999999978</v>
      </c>
      <c r="I542" s="1773"/>
      <c r="J542" s="1775">
        <f ca="1">SUM(Transfer!F247,Transfer!F249)-SUM(Transfer!F250,Transfer!F252)</f>
        <v>-1.4004833463632025</v>
      </c>
      <c r="K542" s="1774"/>
      <c r="L542" s="1773">
        <f ca="1">SUM(Transfer!G247,Transfer!G249)-SUM(Transfer!G250,Transfer!G252)</f>
        <v>-1.584710938189879</v>
      </c>
      <c r="M542" s="1776"/>
      <c r="N542" s="203"/>
      <c r="O542" s="54"/>
      <c r="P542" s="54"/>
      <c r="Q542" s="54"/>
      <c r="R542" s="54"/>
      <c r="S542" s="190"/>
      <c r="T542" s="1680" t="s">
        <v>295</v>
      </c>
      <c r="U542" s="1772"/>
      <c r="V542" s="2037"/>
      <c r="W542" s="1775">
        <f ca="1">ROUND(F542,1)-ROUND(AN542,1)</f>
        <v>4.1999999999999993</v>
      </c>
      <c r="X542" s="1774"/>
      <c r="Y542" s="1773">
        <f ca="1">ROUND(H542,1)-ROUND(AP542,1)</f>
        <v>6</v>
      </c>
      <c r="Z542" s="1774"/>
      <c r="AA542" s="1773">
        <f ca="1">ROUND(J542,1)-ROUND(AR542,1)</f>
        <v>7.7999999999999989</v>
      </c>
      <c r="AB542" s="1774"/>
      <c r="AC542" s="1773">
        <f ca="1">ROUND(L542,1)-ROUND(AT542,1)</f>
        <v>8.9</v>
      </c>
      <c r="AD542" s="2038"/>
      <c r="AE542" s="203"/>
      <c r="AF542" s="45"/>
      <c r="AG542" s="45"/>
      <c r="AH542" s="45"/>
      <c r="AI542" s="45"/>
      <c r="AJ542" s="190"/>
      <c r="AK542" s="1680" t="s">
        <v>295</v>
      </c>
      <c r="AL542" s="1772"/>
      <c r="AM542" s="1780"/>
      <c r="AN542" s="1773">
        <f>SUM(Transfer!AD247,Transfer!AD249)-SUM(Transfer!AD250,Transfer!AD252)</f>
        <v>-6.3355427200000065</v>
      </c>
      <c r="AO542" s="1774"/>
      <c r="AP542" s="1773">
        <f>SUM(Transfer!AE247,Transfer!AE249)-SUM(Transfer!AE250,Transfer!AE252)</f>
        <v>-8.4332340441115861</v>
      </c>
      <c r="AQ542" s="1773"/>
      <c r="AR542" s="1775">
        <f>SUM(Transfer!AF247,Transfer!AF249)-SUM(Transfer!AF250,Transfer!AF252)</f>
        <v>-9.2285295246522878</v>
      </c>
      <c r="AS542" s="1774"/>
      <c r="AT542" s="1773">
        <f>SUM(Transfer!AG247,Transfer!AG249)-SUM(Transfer!AG250,Transfer!AG252)</f>
        <v>-10.508381425429405</v>
      </c>
      <c r="AU542" s="1776"/>
      <c r="AV542" s="203"/>
      <c r="AW542" s="54"/>
      <c r="AX542" s="54"/>
      <c r="AY542" s="54"/>
      <c r="AZ542" s="54"/>
      <c r="BA542" s="1678" t="s">
        <v>1744</v>
      </c>
      <c r="BB542" s="334"/>
      <c r="BC542" s="54"/>
    </row>
    <row r="543" spans="1:55">
      <c r="A543" s="45"/>
      <c r="B543" s="215"/>
      <c r="C543" s="113"/>
      <c r="D543" s="113"/>
      <c r="E543" s="113"/>
      <c r="F543" s="113"/>
      <c r="G543" s="113"/>
      <c r="H543" s="113"/>
      <c r="I543" s="113"/>
      <c r="J543" s="113"/>
      <c r="K543" s="113"/>
      <c r="L543" s="113"/>
      <c r="M543" s="118" t="str">
        <f>UPPER(Country)</f>
        <v>LITHUANIA</v>
      </c>
      <c r="N543" s="216"/>
      <c r="O543" s="54"/>
      <c r="P543" s="54"/>
      <c r="Q543" s="54"/>
      <c r="R543" s="54"/>
      <c r="S543" s="215"/>
      <c r="T543" s="113"/>
      <c r="U543" s="113"/>
      <c r="V543" s="113"/>
      <c r="W543" s="113"/>
      <c r="X543" s="113"/>
      <c r="Y543" s="113"/>
      <c r="Z543" s="113"/>
      <c r="AA543" s="113"/>
      <c r="AB543" s="113"/>
      <c r="AC543" s="113"/>
      <c r="AD543" s="118" t="str">
        <f>UPPER(Country)</f>
        <v>LITHUANIA</v>
      </c>
      <c r="AE543" s="216"/>
      <c r="AF543" s="45"/>
      <c r="AG543" s="45"/>
      <c r="AH543" s="45"/>
      <c r="AI543" s="45"/>
      <c r="AJ543" s="215"/>
      <c r="AK543" s="113"/>
      <c r="AL543" s="113"/>
      <c r="AM543" s="113"/>
      <c r="AN543" s="113"/>
      <c r="AO543" s="113"/>
      <c r="AP543" s="113"/>
      <c r="AQ543" s="113"/>
      <c r="AR543" s="113"/>
      <c r="AS543" s="113"/>
      <c r="AT543" s="113"/>
      <c r="AU543" s="118" t="str">
        <f>UPPER(Country)</f>
        <v>LITHUANIA</v>
      </c>
      <c r="AV543" s="216"/>
      <c r="AW543" s="54"/>
      <c r="AX543" s="54"/>
      <c r="AY543" s="54"/>
      <c r="AZ543" s="54"/>
      <c r="BA543" s="54"/>
      <c r="BB543" s="54"/>
      <c r="BC543" s="54"/>
    </row>
    <row r="544" spans="1:55">
      <c r="A544" s="45"/>
      <c r="B544" s="45"/>
      <c r="C544" s="45"/>
      <c r="D544" s="45"/>
      <c r="E544" s="45"/>
      <c r="F544" s="45"/>
      <c r="G544" s="45"/>
      <c r="H544" s="45"/>
      <c r="I544" s="45"/>
      <c r="J544" s="45"/>
      <c r="K544" s="45"/>
      <c r="L544" s="45"/>
      <c r="M544" s="45"/>
      <c r="N544" s="54"/>
      <c r="O544" s="54"/>
      <c r="P544" s="54"/>
      <c r="Q544" s="54"/>
      <c r="R544" s="54"/>
      <c r="S544" s="54"/>
      <c r="T544" s="54"/>
      <c r="U544" s="54"/>
      <c r="V544" s="54"/>
      <c r="W544" s="54"/>
      <c r="X544" s="54"/>
      <c r="Y544" s="54"/>
      <c r="Z544" s="54"/>
      <c r="AA544" s="54"/>
      <c r="AB544" s="45"/>
      <c r="AC544" s="45"/>
      <c r="AD544" s="45"/>
      <c r="AE544" s="45"/>
      <c r="AF544" s="45"/>
      <c r="AG544" s="45"/>
      <c r="AH544" s="45"/>
      <c r="AI544" s="45"/>
      <c r="AJ544" s="45"/>
      <c r="AK544" s="45"/>
      <c r="AL544" s="45"/>
      <c r="AM544" s="45"/>
      <c r="AN544" s="45"/>
      <c r="AO544" s="45"/>
      <c r="AP544" s="45"/>
      <c r="AQ544" s="45"/>
      <c r="AR544" s="45"/>
      <c r="AS544" s="45"/>
      <c r="AT544" s="45"/>
      <c r="AU544" s="45"/>
      <c r="AV544" s="54"/>
      <c r="AW544" s="54"/>
      <c r="AX544" s="54"/>
      <c r="AY544" s="54"/>
      <c r="AZ544" s="54"/>
      <c r="BA544" s="54"/>
      <c r="BB544" s="54"/>
      <c r="BC544" s="54"/>
    </row>
    <row r="545" spans="1:55">
      <c r="A545" s="45"/>
      <c r="B545" s="45"/>
      <c r="C545" s="45"/>
      <c r="D545" s="45"/>
      <c r="E545" s="45"/>
      <c r="F545" s="45"/>
      <c r="G545" s="45"/>
      <c r="H545" s="45"/>
      <c r="I545" s="45"/>
      <c r="J545" s="45"/>
      <c r="K545" s="45"/>
      <c r="L545" s="45"/>
      <c r="M545" s="45"/>
      <c r="N545" s="45"/>
      <c r="O545" s="54"/>
      <c r="P545" s="54"/>
      <c r="Q545" s="54"/>
      <c r="R545" s="54"/>
      <c r="S545" s="54"/>
      <c r="T545" s="54"/>
      <c r="U545" s="54"/>
      <c r="V545" s="54"/>
      <c r="W545" s="54"/>
      <c r="X545" s="54"/>
      <c r="Y545" s="54"/>
      <c r="Z545" s="54"/>
      <c r="AA545" s="54"/>
      <c r="AB545" s="45"/>
      <c r="AC545" s="45"/>
      <c r="AD545" s="45"/>
      <c r="AE545" s="45"/>
      <c r="AF545" s="45"/>
      <c r="AG545" s="45"/>
      <c r="AH545" s="45"/>
      <c r="AI545" s="45"/>
      <c r="AJ545" s="45"/>
      <c r="AK545" s="45"/>
      <c r="AL545" s="45"/>
      <c r="AM545" s="45"/>
      <c r="AN545" s="45"/>
      <c r="AO545" s="45"/>
      <c r="AP545" s="45"/>
      <c r="AQ545" s="45"/>
      <c r="AR545" s="45"/>
      <c r="AS545" s="45"/>
      <c r="AT545" s="45"/>
      <c r="AU545" s="45"/>
      <c r="AV545" s="45"/>
      <c r="AW545" s="54"/>
      <c r="AX545" s="54"/>
      <c r="AY545" s="54"/>
      <c r="AZ545" s="54"/>
      <c r="BA545" s="54"/>
      <c r="BB545" s="54"/>
      <c r="BC545" s="54"/>
    </row>
    <row r="546" spans="1:55">
      <c r="A546" s="45"/>
      <c r="B546" s="45"/>
      <c r="C546" s="45"/>
      <c r="D546" s="45"/>
      <c r="E546" s="45"/>
      <c r="F546" s="45"/>
      <c r="G546" s="45"/>
      <c r="H546" s="45"/>
      <c r="I546" s="45"/>
      <c r="J546" s="45"/>
      <c r="K546" s="45"/>
      <c r="L546" s="45"/>
      <c r="M546" s="45"/>
      <c r="N546" s="45"/>
      <c r="O546" s="54"/>
      <c r="P546" s="54"/>
      <c r="Q546" s="54"/>
      <c r="R546" s="54"/>
      <c r="S546" s="54"/>
      <c r="T546" s="54"/>
      <c r="U546" s="54"/>
      <c r="V546" s="54"/>
      <c r="W546" s="54"/>
      <c r="X546" s="54"/>
      <c r="Y546" s="54"/>
      <c r="Z546" s="54"/>
      <c r="AA546" s="54"/>
      <c r="AB546" s="54"/>
      <c r="AC546" s="54"/>
      <c r="AD546" s="54"/>
      <c r="AE546" s="54"/>
      <c r="AF546" s="54"/>
      <c r="AG546" s="54"/>
      <c r="AH546" s="54"/>
      <c r="AI546" s="54"/>
      <c r="AJ546" s="54"/>
      <c r="AK546" s="54"/>
      <c r="AL546" s="54"/>
      <c r="AM546" s="54"/>
      <c r="AN546" s="54"/>
      <c r="AO546" s="54"/>
      <c r="AP546" s="54"/>
      <c r="AQ546" s="54"/>
      <c r="AR546" s="54"/>
      <c r="AS546" s="54"/>
      <c r="AT546" s="54"/>
      <c r="AU546" s="54"/>
      <c r="AV546" s="54"/>
      <c r="AW546" s="54"/>
      <c r="AX546" s="54"/>
      <c r="AY546" s="54"/>
      <c r="AZ546" s="54"/>
      <c r="BA546" s="54"/>
      <c r="BB546" s="54"/>
      <c r="BC546" s="54"/>
    </row>
    <row r="547" spans="1:55">
      <c r="A547" s="45"/>
      <c r="B547" s="45"/>
      <c r="C547" s="45"/>
      <c r="D547" s="45"/>
      <c r="E547" s="45"/>
      <c r="F547" s="45"/>
      <c r="G547" s="45"/>
      <c r="H547" s="45"/>
      <c r="I547" s="45"/>
      <c r="J547" s="45"/>
      <c r="K547" s="45"/>
      <c r="L547" s="45"/>
      <c r="M547" s="45"/>
      <c r="N547" s="45"/>
      <c r="O547" s="54"/>
      <c r="P547" s="54"/>
      <c r="Q547" s="54"/>
      <c r="R547" s="54"/>
      <c r="S547" s="54"/>
      <c r="T547" s="54"/>
      <c r="U547" s="54"/>
      <c r="V547" s="54"/>
      <c r="W547" s="54"/>
      <c r="X547" s="54"/>
      <c r="Y547" s="54"/>
      <c r="Z547" s="54"/>
      <c r="AA547" s="54"/>
      <c r="AB547" s="54"/>
      <c r="AC547" s="54"/>
      <c r="AD547" s="54"/>
      <c r="AE547" s="54"/>
      <c r="AF547" s="54"/>
      <c r="AG547" s="54"/>
      <c r="AH547" s="54"/>
      <c r="AI547" s="54"/>
      <c r="AJ547" s="54"/>
      <c r="AK547" s="54"/>
      <c r="AL547" s="54"/>
      <c r="AM547" s="54"/>
      <c r="AN547" s="54"/>
      <c r="AO547" s="54"/>
      <c r="AP547" s="54"/>
      <c r="AQ547" s="54"/>
      <c r="AR547" s="54"/>
      <c r="AS547" s="54"/>
      <c r="AT547" s="54"/>
      <c r="AU547" s="54"/>
      <c r="AV547" s="54"/>
      <c r="AW547" s="54"/>
      <c r="AX547" s="54"/>
      <c r="AY547" s="54"/>
      <c r="AZ547" s="54"/>
      <c r="BA547" s="54"/>
      <c r="BB547" s="54"/>
      <c r="BC547" s="54"/>
    </row>
    <row r="548" spans="1:55">
      <c r="A548" s="45"/>
      <c r="B548" s="45"/>
      <c r="C548" s="45"/>
      <c r="D548" s="45"/>
      <c r="E548" s="45"/>
      <c r="F548" s="45"/>
      <c r="G548" s="45"/>
      <c r="H548" s="45"/>
      <c r="I548" s="45"/>
      <c r="J548" s="45"/>
      <c r="K548" s="45"/>
      <c r="L548" s="45"/>
      <c r="M548" s="45"/>
      <c r="N548" s="45"/>
      <c r="O548" s="54"/>
      <c r="P548" s="54"/>
      <c r="Q548" s="54"/>
      <c r="R548" s="54"/>
      <c r="S548" s="54"/>
      <c r="T548" s="54"/>
      <c r="U548" s="54"/>
      <c r="V548" s="54"/>
      <c r="W548" s="54"/>
      <c r="X548" s="54"/>
      <c r="Y548" s="54"/>
      <c r="Z548" s="54"/>
      <c r="AA548" s="54"/>
      <c r="AB548" s="54"/>
      <c r="AC548" s="54"/>
      <c r="AD548" s="54"/>
      <c r="AE548" s="54"/>
      <c r="AF548" s="54"/>
      <c r="AG548" s="54"/>
      <c r="AH548" s="54"/>
      <c r="AI548" s="54"/>
      <c r="AJ548" s="54"/>
      <c r="AK548" s="54"/>
      <c r="AL548" s="54"/>
      <c r="AM548" s="54"/>
      <c r="AN548" s="54"/>
      <c r="AO548" s="54"/>
      <c r="AP548" s="54"/>
      <c r="AQ548" s="54"/>
      <c r="AR548" s="54"/>
      <c r="AS548" s="54"/>
      <c r="AT548" s="54"/>
      <c r="AU548" s="54"/>
      <c r="AV548" s="54"/>
      <c r="AW548" s="54"/>
      <c r="AX548" s="54"/>
      <c r="AY548" s="54"/>
      <c r="AZ548" s="54"/>
      <c r="BA548" s="54"/>
      <c r="BB548" s="54"/>
      <c r="BC548" s="54"/>
    </row>
    <row r="549" spans="1:55">
      <c r="A549" s="45"/>
      <c r="B549" s="45"/>
      <c r="C549" s="45"/>
      <c r="D549" s="45"/>
      <c r="E549" s="45"/>
      <c r="F549" s="45"/>
      <c r="G549" s="45"/>
      <c r="H549" s="45"/>
      <c r="I549" s="45"/>
      <c r="J549" s="45"/>
      <c r="K549" s="45"/>
      <c r="L549" s="45"/>
      <c r="M549" s="45"/>
      <c r="N549" s="45"/>
      <c r="O549" s="54"/>
      <c r="P549" s="54"/>
      <c r="Q549" s="54"/>
      <c r="R549" s="54"/>
      <c r="S549" s="54"/>
      <c r="T549" s="54"/>
      <c r="U549" s="54"/>
      <c r="V549" s="54"/>
      <c r="W549" s="54"/>
      <c r="X549" s="54"/>
      <c r="Y549" s="54"/>
      <c r="Z549" s="54"/>
      <c r="AA549" s="54"/>
      <c r="AB549" s="54"/>
      <c r="AC549" s="54"/>
      <c r="AD549" s="54"/>
      <c r="AE549" s="54"/>
      <c r="AF549" s="54"/>
      <c r="AG549" s="54"/>
      <c r="AH549" s="54"/>
      <c r="AI549" s="54"/>
      <c r="AJ549" s="54"/>
      <c r="AK549" s="54"/>
      <c r="AL549" s="54"/>
      <c r="AM549" s="54"/>
      <c r="AN549" s="54"/>
      <c r="AO549" s="54"/>
      <c r="AP549" s="54"/>
      <c r="AQ549" s="54"/>
      <c r="AR549" s="54"/>
      <c r="AS549" s="54"/>
      <c r="AT549" s="54"/>
      <c r="AU549" s="54"/>
      <c r="AV549" s="54"/>
      <c r="AW549" s="54"/>
      <c r="AX549" s="54"/>
      <c r="AY549" s="54"/>
      <c r="AZ549" s="54"/>
      <c r="BA549" s="54"/>
      <c r="BB549" s="54"/>
      <c r="BC549" s="54"/>
    </row>
    <row r="550" spans="1:55">
      <c r="A550" s="45"/>
      <c r="B550" s="45"/>
      <c r="C550" s="45"/>
      <c r="D550" s="45"/>
      <c r="E550" s="45"/>
      <c r="F550" s="45"/>
      <c r="G550" s="45"/>
      <c r="H550" s="45"/>
      <c r="I550" s="45"/>
      <c r="J550" s="45"/>
      <c r="K550" s="45"/>
      <c r="L550" s="45"/>
      <c r="M550" s="45"/>
      <c r="N550" s="45"/>
      <c r="O550" s="54"/>
      <c r="P550" s="54"/>
      <c r="Q550" s="54"/>
      <c r="R550" s="54"/>
      <c r="S550" s="54"/>
      <c r="T550" s="54"/>
      <c r="U550" s="54"/>
      <c r="V550" s="54"/>
      <c r="W550" s="54"/>
      <c r="X550" s="54"/>
      <c r="Y550" s="54"/>
      <c r="Z550" s="54"/>
      <c r="AA550" s="54"/>
      <c r="AB550" s="54"/>
      <c r="AC550" s="54"/>
      <c r="AD550" s="54"/>
      <c r="AE550" s="54"/>
      <c r="AF550" s="54"/>
      <c r="AG550" s="54"/>
      <c r="AH550" s="54"/>
      <c r="AI550" s="54"/>
      <c r="AJ550" s="54"/>
      <c r="AK550" s="54"/>
      <c r="AL550" s="54"/>
      <c r="AM550" s="54"/>
      <c r="AN550" s="54"/>
      <c r="AO550" s="54"/>
      <c r="AP550" s="54"/>
      <c r="AQ550" s="54"/>
      <c r="AR550" s="54"/>
      <c r="AS550" s="54"/>
      <c r="AT550" s="54"/>
      <c r="AU550" s="54"/>
      <c r="AV550" s="54"/>
      <c r="AW550" s="54"/>
      <c r="AX550" s="54"/>
      <c r="AY550" s="54"/>
      <c r="AZ550" s="54"/>
      <c r="BA550" s="54"/>
      <c r="BB550" s="54"/>
      <c r="BC550" s="54"/>
    </row>
    <row r="551" spans="1:55">
      <c r="A551" s="45"/>
      <c r="B551" s="45"/>
      <c r="C551" s="45"/>
      <c r="D551" s="45"/>
      <c r="E551" s="45"/>
      <c r="F551" s="45"/>
      <c r="G551" s="45"/>
      <c r="H551" s="45"/>
      <c r="I551" s="45"/>
      <c r="J551" s="45"/>
      <c r="K551" s="45"/>
      <c r="L551" s="45"/>
      <c r="M551" s="45"/>
      <c r="N551" s="45"/>
      <c r="O551" s="54"/>
      <c r="P551" s="54"/>
      <c r="Q551" s="54"/>
      <c r="R551" s="54"/>
      <c r="S551" s="54"/>
      <c r="T551" s="54"/>
      <c r="U551" s="54"/>
      <c r="V551" s="54"/>
      <c r="W551" s="54"/>
      <c r="X551" s="54"/>
      <c r="Y551" s="54"/>
      <c r="Z551" s="54"/>
      <c r="AA551" s="54"/>
      <c r="AB551" s="54"/>
      <c r="AC551" s="54"/>
      <c r="AD551" s="54"/>
      <c r="AE551" s="54"/>
      <c r="AF551" s="54"/>
      <c r="AG551" s="54"/>
      <c r="AH551" s="54"/>
      <c r="AI551" s="54"/>
      <c r="AJ551" s="54"/>
      <c r="AK551" s="54"/>
      <c r="AL551" s="54"/>
      <c r="AM551" s="54"/>
      <c r="AN551" s="54"/>
      <c r="AO551" s="54"/>
      <c r="AP551" s="54"/>
      <c r="AQ551" s="54"/>
      <c r="AR551" s="54"/>
      <c r="AS551" s="54"/>
      <c r="AT551" s="54"/>
      <c r="AU551" s="54"/>
      <c r="AV551" s="54"/>
      <c r="AW551" s="54"/>
      <c r="AX551" s="54"/>
      <c r="AY551" s="54"/>
      <c r="AZ551" s="54"/>
      <c r="BA551" s="54"/>
      <c r="BB551" s="54"/>
      <c r="BC551" s="54"/>
    </row>
    <row r="552" spans="1:55">
      <c r="A552" s="45"/>
      <c r="B552" s="45"/>
      <c r="C552" s="45"/>
      <c r="D552" s="45"/>
      <c r="E552" s="45"/>
      <c r="F552" s="45"/>
      <c r="G552" s="45"/>
      <c r="H552" s="45"/>
      <c r="I552" s="45"/>
      <c r="J552" s="45"/>
      <c r="K552" s="45"/>
      <c r="L552" s="45"/>
      <c r="M552" s="45"/>
      <c r="N552" s="45"/>
      <c r="O552" s="54"/>
      <c r="P552" s="54"/>
      <c r="Q552" s="54"/>
      <c r="R552" s="54"/>
      <c r="S552" s="54"/>
      <c r="T552" s="54"/>
      <c r="U552" s="54"/>
      <c r="V552" s="54"/>
      <c r="W552" s="54"/>
      <c r="X552" s="54"/>
      <c r="Y552" s="54"/>
      <c r="Z552" s="54"/>
      <c r="AA552" s="54"/>
      <c r="AB552" s="54"/>
      <c r="AC552" s="54"/>
      <c r="AD552" s="54"/>
      <c r="AE552" s="54"/>
      <c r="AF552" s="54"/>
      <c r="AG552" s="54"/>
      <c r="AH552" s="54"/>
      <c r="AI552" s="54"/>
      <c r="AJ552" s="54"/>
      <c r="AK552" s="54"/>
      <c r="AL552" s="54"/>
      <c r="AM552" s="54"/>
      <c r="AN552" s="54"/>
      <c r="AO552" s="54"/>
      <c r="AP552" s="54"/>
      <c r="AQ552" s="54"/>
      <c r="AR552" s="54"/>
      <c r="AS552" s="54"/>
      <c r="AT552" s="54"/>
      <c r="AU552" s="54"/>
      <c r="AV552" s="54"/>
      <c r="AW552" s="54"/>
      <c r="AX552" s="54"/>
      <c r="AY552" s="54"/>
      <c r="AZ552" s="54"/>
      <c r="BA552" s="54"/>
      <c r="BB552" s="54"/>
      <c r="BC552" s="54"/>
    </row>
    <row r="553" spans="1:55">
      <c r="A553" s="45"/>
      <c r="B553" s="45"/>
      <c r="C553" s="45"/>
      <c r="D553" s="45"/>
      <c r="E553" s="45"/>
      <c r="F553" s="45"/>
      <c r="G553" s="45"/>
      <c r="H553" s="45"/>
      <c r="I553" s="45"/>
      <c r="J553" s="45"/>
      <c r="K553" s="45"/>
      <c r="L553" s="45"/>
      <c r="M553" s="45"/>
      <c r="N553" s="45"/>
      <c r="O553" s="54"/>
      <c r="P553" s="54"/>
      <c r="Q553" s="54"/>
      <c r="R553" s="54"/>
      <c r="S553" s="54"/>
      <c r="T553" s="54"/>
      <c r="U553" s="54"/>
      <c r="V553" s="54"/>
      <c r="W553" s="54"/>
      <c r="X553" s="54"/>
      <c r="Y553" s="54"/>
      <c r="Z553" s="54"/>
      <c r="AA553" s="54"/>
      <c r="AB553" s="54"/>
      <c r="AC553" s="54"/>
      <c r="AD553" s="54"/>
      <c r="AE553" s="54"/>
      <c r="AF553" s="54"/>
      <c r="AG553" s="54"/>
      <c r="AH553" s="54"/>
      <c r="AI553" s="54"/>
      <c r="AJ553" s="54"/>
      <c r="AK553" s="54"/>
      <c r="AL553" s="54"/>
      <c r="AM553" s="54"/>
      <c r="AN553" s="54"/>
      <c r="AO553" s="54"/>
      <c r="AP553" s="54"/>
      <c r="AQ553" s="54"/>
      <c r="AR553" s="54"/>
      <c r="AS553" s="54"/>
      <c r="AT553" s="54"/>
      <c r="AU553" s="54"/>
      <c r="AV553" s="54"/>
      <c r="AW553" s="54"/>
      <c r="AX553" s="54"/>
      <c r="AY553" s="54"/>
      <c r="AZ553" s="54"/>
      <c r="BA553" s="54"/>
      <c r="BB553" s="54"/>
      <c r="BC553" s="54"/>
    </row>
  </sheetData>
  <mergeCells count="391">
    <mergeCell ref="AR532:AS532"/>
    <mergeCell ref="AP532:AQ532"/>
    <mergeCell ref="J532:K532"/>
    <mergeCell ref="L532:M532"/>
    <mergeCell ref="V532:X532"/>
    <mergeCell ref="Y532:Z532"/>
    <mergeCell ref="AM532:AO532"/>
    <mergeCell ref="AC532:AD532"/>
    <mergeCell ref="AA532:AB532"/>
    <mergeCell ref="C528:M528"/>
    <mergeCell ref="E532:G532"/>
    <mergeCell ref="H532:I532"/>
    <mergeCell ref="AS497:AT497"/>
    <mergeCell ref="AB497:AC497"/>
    <mergeCell ref="AC531:AD531"/>
    <mergeCell ref="V498:W498"/>
    <mergeCell ref="X498:Y498"/>
    <mergeCell ref="T528:AD528"/>
    <mergeCell ref="Z498:AA498"/>
    <mergeCell ref="E498:F498"/>
    <mergeCell ref="G498:H498"/>
    <mergeCell ref="I498:J498"/>
    <mergeCell ref="K498:L498"/>
    <mergeCell ref="L531:M531"/>
    <mergeCell ref="K497:L497"/>
    <mergeCell ref="AB498:AC498"/>
    <mergeCell ref="AT532:AU532"/>
    <mergeCell ref="AT531:AU531"/>
    <mergeCell ref="AS498:AT498"/>
    <mergeCell ref="AM498:AN498"/>
    <mergeCell ref="AQ498:AR498"/>
    <mergeCell ref="AO498:AP498"/>
    <mergeCell ref="AK528:AU528"/>
    <mergeCell ref="W478:X478"/>
    <mergeCell ref="J478:K478"/>
    <mergeCell ref="L478:M478"/>
    <mergeCell ref="C474:M474"/>
    <mergeCell ref="L477:M477"/>
    <mergeCell ref="AR478:AS478"/>
    <mergeCell ref="AK494:AT494"/>
    <mergeCell ref="C494:L494"/>
    <mergeCell ref="AT478:AU478"/>
    <mergeCell ref="AC478:AD478"/>
    <mergeCell ref="AA478:AB478"/>
    <mergeCell ref="H478:I478"/>
    <mergeCell ref="F478:G478"/>
    <mergeCell ref="T494:AC494"/>
    <mergeCell ref="Y478:Z478"/>
    <mergeCell ref="AN478:AO478"/>
    <mergeCell ref="AP478:AQ478"/>
    <mergeCell ref="AT477:AU477"/>
    <mergeCell ref="AO465:AT465"/>
    <mergeCell ref="X467:Y467"/>
    <mergeCell ref="AK474:AU474"/>
    <mergeCell ref="Z467:AA467"/>
    <mergeCell ref="Z466:AA466"/>
    <mergeCell ref="AB466:AC466"/>
    <mergeCell ref="AO467:AP467"/>
    <mergeCell ref="T474:AD474"/>
    <mergeCell ref="AC477:AD477"/>
    <mergeCell ref="AO466:AP466"/>
    <mergeCell ref="AQ467:AR467"/>
    <mergeCell ref="AQ466:AR466"/>
    <mergeCell ref="AB467:AC467"/>
    <mergeCell ref="X465:AC465"/>
    <mergeCell ref="AS464:AT464"/>
    <mergeCell ref="K464:L464"/>
    <mergeCell ref="X464:Y464"/>
    <mergeCell ref="Z464:AA464"/>
    <mergeCell ref="AB464:AC464"/>
    <mergeCell ref="AS467:AT467"/>
    <mergeCell ref="AS462:AT462"/>
    <mergeCell ref="G464:H464"/>
    <mergeCell ref="I464:J464"/>
    <mergeCell ref="X466:Y466"/>
    <mergeCell ref="AQ464:AR464"/>
    <mergeCell ref="G466:H466"/>
    <mergeCell ref="I466:J466"/>
    <mergeCell ref="G465:L465"/>
    <mergeCell ref="AO464:AP464"/>
    <mergeCell ref="AS466:AT466"/>
    <mergeCell ref="K467:L467"/>
    <mergeCell ref="K466:L466"/>
    <mergeCell ref="G467:H467"/>
    <mergeCell ref="I467:J467"/>
    <mergeCell ref="G463:L463"/>
    <mergeCell ref="X463:AC463"/>
    <mergeCell ref="G462:H462"/>
    <mergeCell ref="I462:J462"/>
    <mergeCell ref="K462:L462"/>
    <mergeCell ref="X462:Y462"/>
    <mergeCell ref="AO463:AT463"/>
    <mergeCell ref="Z462:AA462"/>
    <mergeCell ref="AO460:AP460"/>
    <mergeCell ref="AS461:AT461"/>
    <mergeCell ref="AB461:AC461"/>
    <mergeCell ref="AQ461:AR461"/>
    <mergeCell ref="AO462:AP462"/>
    <mergeCell ref="AO461:AP461"/>
    <mergeCell ref="AB462:AC462"/>
    <mergeCell ref="AQ462:AR462"/>
    <mergeCell ref="G461:H461"/>
    <mergeCell ref="I461:J461"/>
    <mergeCell ref="Z461:AA461"/>
    <mergeCell ref="I460:J460"/>
    <mergeCell ref="K461:L461"/>
    <mergeCell ref="X461:Y461"/>
    <mergeCell ref="X460:Y460"/>
    <mergeCell ref="Z460:AA460"/>
    <mergeCell ref="G460:H460"/>
    <mergeCell ref="I458:J458"/>
    <mergeCell ref="AO457:AT457"/>
    <mergeCell ref="I456:J456"/>
    <mergeCell ref="AO456:AP456"/>
    <mergeCell ref="AB460:AC460"/>
    <mergeCell ref="K455:L455"/>
    <mergeCell ref="X455:Y455"/>
    <mergeCell ref="K458:L458"/>
    <mergeCell ref="K460:L460"/>
    <mergeCell ref="G459:L459"/>
    <mergeCell ref="K456:L456"/>
    <mergeCell ref="X459:AC459"/>
    <mergeCell ref="G455:H455"/>
    <mergeCell ref="G456:H456"/>
    <mergeCell ref="AB455:AC455"/>
    <mergeCell ref="Z456:AA456"/>
    <mergeCell ref="G457:L457"/>
    <mergeCell ref="AB458:AC458"/>
    <mergeCell ref="G458:H458"/>
    <mergeCell ref="X457:AC457"/>
    <mergeCell ref="I455:J455"/>
    <mergeCell ref="Z458:AA458"/>
    <mergeCell ref="X456:Y456"/>
    <mergeCell ref="Z455:AA455"/>
    <mergeCell ref="AO458:AP458"/>
    <mergeCell ref="AS460:AT460"/>
    <mergeCell ref="AQ458:AR458"/>
    <mergeCell ref="AB456:AC456"/>
    <mergeCell ref="AO459:AT459"/>
    <mergeCell ref="AQ460:AR460"/>
    <mergeCell ref="X458:Y458"/>
    <mergeCell ref="AS456:AT456"/>
    <mergeCell ref="AQ456:AR456"/>
    <mergeCell ref="AS458:AT458"/>
    <mergeCell ref="AS452:AT452"/>
    <mergeCell ref="AO452:AP452"/>
    <mergeCell ref="AQ452:AR452"/>
    <mergeCell ref="K452:L452"/>
    <mergeCell ref="X452:Y452"/>
    <mergeCell ref="AS455:AT455"/>
    <mergeCell ref="AO455:AP455"/>
    <mergeCell ref="AO453:AT453"/>
    <mergeCell ref="AS454:AT454"/>
    <mergeCell ref="AQ455:AR455"/>
    <mergeCell ref="AO454:AP454"/>
    <mergeCell ref="AQ454:AR454"/>
    <mergeCell ref="G453:L453"/>
    <mergeCell ref="X453:AC453"/>
    <mergeCell ref="G454:H454"/>
    <mergeCell ref="I454:J454"/>
    <mergeCell ref="I452:J452"/>
    <mergeCell ref="Z452:AA452"/>
    <mergeCell ref="AB452:AC452"/>
    <mergeCell ref="G452:H452"/>
    <mergeCell ref="Z454:AA454"/>
    <mergeCell ref="AB454:AC454"/>
    <mergeCell ref="K454:L454"/>
    <mergeCell ref="X454:Y454"/>
    <mergeCell ref="C401:M401"/>
    <mergeCell ref="L373:M373"/>
    <mergeCell ref="K449:L449"/>
    <mergeCell ref="L405:M405"/>
    <mergeCell ref="F405:G405"/>
    <mergeCell ref="H405:I405"/>
    <mergeCell ref="J405:K405"/>
    <mergeCell ref="AO451:AT451"/>
    <mergeCell ref="G450:H450"/>
    <mergeCell ref="AB450:AC450"/>
    <mergeCell ref="I450:J450"/>
    <mergeCell ref="Z450:AA450"/>
    <mergeCell ref="AO450:AP450"/>
    <mergeCell ref="AQ450:AR450"/>
    <mergeCell ref="AS450:AT450"/>
    <mergeCell ref="K450:L450"/>
    <mergeCell ref="X450:Y450"/>
    <mergeCell ref="G451:L451"/>
    <mergeCell ref="X451:AC451"/>
    <mergeCell ref="L335:M335"/>
    <mergeCell ref="AS449:AT449"/>
    <mergeCell ref="AK447:AT447"/>
    <mergeCell ref="T447:AC447"/>
    <mergeCell ref="AP373:AQ373"/>
    <mergeCell ref="AT404:AU404"/>
    <mergeCell ref="T401:AD401"/>
    <mergeCell ref="Y373:Z373"/>
    <mergeCell ref="AT373:AU373"/>
    <mergeCell ref="AK401:AU401"/>
    <mergeCell ref="AC404:AD404"/>
    <mergeCell ref="AR405:AS405"/>
    <mergeCell ref="AN405:AO405"/>
    <mergeCell ref="AP405:AQ405"/>
    <mergeCell ref="AT405:AU405"/>
    <mergeCell ref="AC405:AD405"/>
    <mergeCell ref="AA405:AB405"/>
    <mergeCell ref="W405:X405"/>
    <mergeCell ref="AB449:AC449"/>
    <mergeCell ref="AC373:AD373"/>
    <mergeCell ref="L404:M404"/>
    <mergeCell ref="Y405:Z405"/>
    <mergeCell ref="C447:L447"/>
    <mergeCell ref="F373:G373"/>
    <mergeCell ref="J336:K336"/>
    <mergeCell ref="AK368:AU368"/>
    <mergeCell ref="L372:M372"/>
    <mergeCell ref="AC372:AD372"/>
    <mergeCell ref="AR373:AS373"/>
    <mergeCell ref="AA373:AB373"/>
    <mergeCell ref="H373:I373"/>
    <mergeCell ref="L336:M336"/>
    <mergeCell ref="AT372:AU372"/>
    <mergeCell ref="T368:AD368"/>
    <mergeCell ref="AP336:AQ336"/>
    <mergeCell ref="AA336:AB336"/>
    <mergeCell ref="AC336:AD336"/>
    <mergeCell ref="AT336:AU336"/>
    <mergeCell ref="AR336:AS336"/>
    <mergeCell ref="C368:M368"/>
    <mergeCell ref="F336:G336"/>
    <mergeCell ref="H336:I336"/>
    <mergeCell ref="J373:K373"/>
    <mergeCell ref="AQ301:AR301"/>
    <mergeCell ref="T331:AD331"/>
    <mergeCell ref="W336:X336"/>
    <mergeCell ref="AT335:AU335"/>
    <mergeCell ref="AN336:AO336"/>
    <mergeCell ref="AC335:AD335"/>
    <mergeCell ref="Y336:Z336"/>
    <mergeCell ref="X301:Y301"/>
    <mergeCell ref="Z301:AA301"/>
    <mergeCell ref="AO301:AP301"/>
    <mergeCell ref="AK331:AU331"/>
    <mergeCell ref="AP275:AQ275"/>
    <mergeCell ref="AR275:AS275"/>
    <mergeCell ref="AS300:AT300"/>
    <mergeCell ref="AM251:AP251"/>
    <mergeCell ref="AB300:AC300"/>
    <mergeCell ref="AK297:AT297"/>
    <mergeCell ref="AO277:AT277"/>
    <mergeCell ref="X277:AC277"/>
    <mergeCell ref="AT275:AU275"/>
    <mergeCell ref="V241:Y241"/>
    <mergeCell ref="AC274:AD274"/>
    <mergeCell ref="T270:AD270"/>
    <mergeCell ref="E241:H241"/>
    <mergeCell ref="E251:H251"/>
    <mergeCell ref="E252:H252"/>
    <mergeCell ref="C270:M270"/>
    <mergeCell ref="L274:M274"/>
    <mergeCell ref="AM301:AN301"/>
    <mergeCell ref="AB301:AC301"/>
    <mergeCell ref="AK270:AU270"/>
    <mergeCell ref="AT274:AU274"/>
    <mergeCell ref="AS301:AT301"/>
    <mergeCell ref="T297:AC297"/>
    <mergeCell ref="V301:W301"/>
    <mergeCell ref="W275:X275"/>
    <mergeCell ref="Y275:Z275"/>
    <mergeCell ref="V252:Y252"/>
    <mergeCell ref="AA275:AB275"/>
    <mergeCell ref="AM252:AP252"/>
    <mergeCell ref="V251:Y251"/>
    <mergeCell ref="AC275:AD275"/>
    <mergeCell ref="AN275:AO275"/>
    <mergeCell ref="AM241:AP241"/>
    <mergeCell ref="L275:M275"/>
    <mergeCell ref="E301:F301"/>
    <mergeCell ref="C331:M331"/>
    <mergeCell ref="G301:H301"/>
    <mergeCell ref="I301:J301"/>
    <mergeCell ref="C297:L297"/>
    <mergeCell ref="K301:L301"/>
    <mergeCell ref="G277:L277"/>
    <mergeCell ref="H275:I275"/>
    <mergeCell ref="F275:G275"/>
    <mergeCell ref="K300:L300"/>
    <mergeCell ref="J275:K275"/>
    <mergeCell ref="F172:G172"/>
    <mergeCell ref="H172:I172"/>
    <mergeCell ref="J172:K172"/>
    <mergeCell ref="L172:M172"/>
    <mergeCell ref="L170:M170"/>
    <mergeCell ref="AC170:AD170"/>
    <mergeCell ref="C215:H215"/>
    <mergeCell ref="AO218:AP218"/>
    <mergeCell ref="E220:H220"/>
    <mergeCell ref="V220:Y220"/>
    <mergeCell ref="AM220:AP220"/>
    <mergeCell ref="G218:H218"/>
    <mergeCell ref="X218:Y218"/>
    <mergeCell ref="T215:Y215"/>
    <mergeCell ref="AK215:AP215"/>
    <mergeCell ref="AT172:AU172"/>
    <mergeCell ref="AP172:AQ172"/>
    <mergeCell ref="W143:X143"/>
    <mergeCell ref="AN143:AO143"/>
    <mergeCell ref="AT170:AU170"/>
    <mergeCell ref="AO144:AR144"/>
    <mergeCell ref="AR172:AS172"/>
    <mergeCell ref="Y172:Z172"/>
    <mergeCell ref="AA172:AB172"/>
    <mergeCell ref="AC172:AD172"/>
    <mergeCell ref="AN172:AO172"/>
    <mergeCell ref="W172:X172"/>
    <mergeCell ref="C137:J137"/>
    <mergeCell ref="T137:AA137"/>
    <mergeCell ref="G144:J144"/>
    <mergeCell ref="I142:J142"/>
    <mergeCell ref="Z142:AA142"/>
    <mergeCell ref="C167:M167"/>
    <mergeCell ref="T167:AD167"/>
    <mergeCell ref="AQ142:AR142"/>
    <mergeCell ref="E115:P115"/>
    <mergeCell ref="V115:AG115"/>
    <mergeCell ref="AM115:AX115"/>
    <mergeCell ref="E116:P116"/>
    <mergeCell ref="V116:AG116"/>
    <mergeCell ref="AM116:AX116"/>
    <mergeCell ref="AK137:AR137"/>
    <mergeCell ref="C138:J138"/>
    <mergeCell ref="T138:AA138"/>
    <mergeCell ref="AK138:AR138"/>
    <mergeCell ref="AK167:AU167"/>
    <mergeCell ref="X144:AA144"/>
    <mergeCell ref="F143:G143"/>
    <mergeCell ref="E102:P102"/>
    <mergeCell ref="V102:AG102"/>
    <mergeCell ref="AM102:AX102"/>
    <mergeCell ref="O98:P98"/>
    <mergeCell ref="AF98:AG98"/>
    <mergeCell ref="AW98:AX98"/>
    <mergeCell ref="E99:H99"/>
    <mergeCell ref="I99:L99"/>
    <mergeCell ref="M99:P99"/>
    <mergeCell ref="V99:Y99"/>
    <mergeCell ref="AQ99:AT99"/>
    <mergeCell ref="AU99:AX99"/>
    <mergeCell ref="E101:P101"/>
    <mergeCell ref="V101:AG101"/>
    <mergeCell ref="AM101:AX101"/>
    <mergeCell ref="Z99:AC99"/>
    <mergeCell ref="AD99:AG99"/>
    <mergeCell ref="AM99:AP99"/>
    <mergeCell ref="G59:J59"/>
    <mergeCell ref="X59:AA59"/>
    <mergeCell ref="AO59:AR59"/>
    <mergeCell ref="G74:J74"/>
    <mergeCell ref="X74:AA74"/>
    <mergeCell ref="AO74:AR74"/>
    <mergeCell ref="C93:P93"/>
    <mergeCell ref="T93:AG93"/>
    <mergeCell ref="AK93:AX93"/>
    <mergeCell ref="I57:J57"/>
    <mergeCell ref="Z57:AA57"/>
    <mergeCell ref="AQ57:AR57"/>
    <mergeCell ref="C53:J53"/>
    <mergeCell ref="T53:AA53"/>
    <mergeCell ref="AK53:AR53"/>
    <mergeCell ref="F58:G58"/>
    <mergeCell ref="W58:X58"/>
    <mergeCell ref="AN58:AO58"/>
    <mergeCell ref="E17:H17"/>
    <mergeCell ref="V17:Y17"/>
    <mergeCell ref="AM17:AP17"/>
    <mergeCell ref="C52:J52"/>
    <mergeCell ref="T52:AA52"/>
    <mergeCell ref="AK52:AR52"/>
    <mergeCell ref="E25:H25"/>
    <mergeCell ref="V25:Y25"/>
    <mergeCell ref="AM25:AP25"/>
    <mergeCell ref="E39:H39"/>
    <mergeCell ref="V39:Y39"/>
    <mergeCell ref="AM39:AP39"/>
    <mergeCell ref="C10:H10"/>
    <mergeCell ref="T10:Y10"/>
    <mergeCell ref="AK10:AP10"/>
    <mergeCell ref="C11:H11"/>
    <mergeCell ref="T11:Y11"/>
    <mergeCell ref="AK11:AP11"/>
    <mergeCell ref="G15:H15"/>
    <mergeCell ref="X15:Y15"/>
    <mergeCell ref="AO15:AP15"/>
  </mergeCells>
  <phoneticPr fontId="60" type="noConversion"/>
  <conditionalFormatting sqref="W534:AD542 V534 V542 V500:AC518 X452:AC455 X457:AC461 X463:AC467 W480:AD488 W375:AD389 W338:AD354 V253:Y259 W407:AD427 W429:AD433 V303:AC312 V117:AG123 W146:AA155 W278:AD284 W174:AD192 W194:AD201 W60:AA73 V40:Y45 W75:AA77 V103:AG113 V27:Y38 V221:Y226 V228:Y239 V242:Y249 W435:AD436 W438:AD438 W440:AD440">
    <cfRule type="cellIs" dxfId="2" priority="1" stopIfTrue="1" operator="notBetween">
      <formula>-0.05</formula>
      <formula>0.05</formula>
    </cfRule>
  </conditionalFormatting>
  <conditionalFormatting sqref="V535:V541">
    <cfRule type="cellIs" dxfId="1" priority="2" stopIfTrue="1" operator="notBetween">
      <formula>-0.0005</formula>
      <formula>0.0005</formula>
    </cfRule>
  </conditionalFormatting>
  <conditionalFormatting sqref="X451:AC451 W193:AD193 W145:AA145">
    <cfRule type="cellIs" dxfId="0" priority="3" stopIfTrue="1" operator="notEqual">
      <formula>0</formula>
    </cfRule>
  </conditionalFormatting>
  <pageMargins left="0.75" right="0.75" top="1" bottom="1" header="0.5" footer="0.5"/>
  <pageSetup paperSize="9" scale="91" fitToHeight="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Print_Table_0">
                <anchor moveWithCells="1" sizeWithCells="1">
                  <from>
                    <xdr:col>3</xdr:col>
                    <xdr:colOff>704850</xdr:colOff>
                    <xdr:row>5</xdr:row>
                    <xdr:rowOff>28575</xdr:rowOff>
                  </from>
                  <to>
                    <xdr:col>4</xdr:col>
                    <xdr:colOff>200025</xdr:colOff>
                    <xdr:row>6</xdr:row>
                    <xdr:rowOff>76200</xdr:rowOff>
                  </to>
                </anchor>
              </controlPr>
            </control>
          </mc:Choice>
        </mc:AlternateContent>
        <mc:AlternateContent xmlns:mc="http://schemas.openxmlformats.org/markup-compatibility/2006">
          <mc:Choice Requires="x14">
            <control shapeId="23554" r:id="rId5" name="Button 2">
              <controlPr defaultSize="0" print="0" autoFill="0" autoPict="0" macro="[0]!Print_Table_1">
                <anchor moveWithCells="1" sizeWithCells="1">
                  <from>
                    <xdr:col>4</xdr:col>
                    <xdr:colOff>476250</xdr:colOff>
                    <xdr:row>17</xdr:row>
                    <xdr:rowOff>0</xdr:rowOff>
                  </from>
                  <to>
                    <xdr:col>5</xdr:col>
                    <xdr:colOff>333375</xdr:colOff>
                    <xdr:row>17</xdr:row>
                    <xdr:rowOff>0</xdr:rowOff>
                  </to>
                </anchor>
              </controlPr>
            </control>
          </mc:Choice>
        </mc:AlternateContent>
        <mc:AlternateContent xmlns:mc="http://schemas.openxmlformats.org/markup-compatibility/2006">
          <mc:Choice Requires="x14">
            <control shapeId="23555" r:id="rId6" name="Button 3">
              <controlPr defaultSize="0" print="0" autoFill="0" autoPict="0" macro="[0]!Print_Table_2">
                <anchor moveWithCells="1" sizeWithCells="1">
                  <from>
                    <xdr:col>8</xdr:col>
                    <xdr:colOff>285750</xdr:colOff>
                    <xdr:row>55</xdr:row>
                    <xdr:rowOff>28575</xdr:rowOff>
                  </from>
                  <to>
                    <xdr:col>9</xdr:col>
                    <xdr:colOff>142875</xdr:colOff>
                    <xdr:row>56</xdr:row>
                    <xdr:rowOff>85725</xdr:rowOff>
                  </to>
                </anchor>
              </controlPr>
            </control>
          </mc:Choice>
        </mc:AlternateContent>
        <mc:AlternateContent xmlns:mc="http://schemas.openxmlformats.org/markup-compatibility/2006">
          <mc:Choice Requires="x14">
            <control shapeId="23556" r:id="rId7" name="Button 4">
              <controlPr defaultSize="0" print="0" autoFill="0" autoPict="0" macro="[0]!Print_Table_3">
                <anchor moveWithCells="1" sizeWithCells="1">
                  <from>
                    <xdr:col>4</xdr:col>
                    <xdr:colOff>485775</xdr:colOff>
                    <xdr:row>82</xdr:row>
                    <xdr:rowOff>66675</xdr:rowOff>
                  </from>
                  <to>
                    <xdr:col>5</xdr:col>
                    <xdr:colOff>342900</xdr:colOff>
                    <xdr:row>83</xdr:row>
                    <xdr:rowOff>123825</xdr:rowOff>
                  </to>
                </anchor>
              </controlPr>
            </control>
          </mc:Choice>
        </mc:AlternateContent>
        <mc:AlternateContent xmlns:mc="http://schemas.openxmlformats.org/markup-compatibility/2006">
          <mc:Choice Requires="x14">
            <control shapeId="23557" r:id="rId8" name="Button 5">
              <controlPr defaultSize="0" print="0" autoFill="0" autoPict="0" macro="[0]!Print_Table_4">
                <anchor moveWithCells="1" sizeWithCells="1">
                  <from>
                    <xdr:col>6</xdr:col>
                    <xdr:colOff>390525</xdr:colOff>
                    <xdr:row>100</xdr:row>
                    <xdr:rowOff>66675</xdr:rowOff>
                  </from>
                  <to>
                    <xdr:col>7</xdr:col>
                    <xdr:colOff>247650</xdr:colOff>
                    <xdr:row>101</xdr:row>
                    <xdr:rowOff>123825</xdr:rowOff>
                  </to>
                </anchor>
              </controlPr>
            </control>
          </mc:Choice>
        </mc:AlternateContent>
        <mc:AlternateContent xmlns:mc="http://schemas.openxmlformats.org/markup-compatibility/2006">
          <mc:Choice Requires="x14">
            <control shapeId="23558" r:id="rId9" name="Button 6">
              <controlPr defaultSize="0" print="0" autoFill="0" autoPict="0" macro="[0]!Print_Table_5">
                <anchor moveWithCells="1" sizeWithCells="1">
                  <from>
                    <xdr:col>3</xdr:col>
                    <xdr:colOff>714375</xdr:colOff>
                    <xdr:row>130</xdr:row>
                    <xdr:rowOff>0</xdr:rowOff>
                  </from>
                  <to>
                    <xdr:col>4</xdr:col>
                    <xdr:colOff>209550</xdr:colOff>
                    <xdr:row>131</xdr:row>
                    <xdr:rowOff>57150</xdr:rowOff>
                  </to>
                </anchor>
              </controlPr>
            </control>
          </mc:Choice>
        </mc:AlternateContent>
        <mc:AlternateContent xmlns:mc="http://schemas.openxmlformats.org/markup-compatibility/2006">
          <mc:Choice Requires="x14">
            <control shapeId="23559" r:id="rId10" name="Button 7">
              <controlPr defaultSize="0" print="0" autoFill="0" autoPict="0" macro="[0]!Print_Table_6">
                <anchor moveWithCells="1" sizeWithCells="1">
                  <from>
                    <xdr:col>6</xdr:col>
                    <xdr:colOff>381000</xdr:colOff>
                    <xdr:row>163</xdr:row>
                    <xdr:rowOff>104775</xdr:rowOff>
                  </from>
                  <to>
                    <xdr:col>7</xdr:col>
                    <xdr:colOff>238125</xdr:colOff>
                    <xdr:row>165</xdr:row>
                    <xdr:rowOff>0</xdr:rowOff>
                  </to>
                </anchor>
              </controlPr>
            </control>
          </mc:Choice>
        </mc:AlternateContent>
        <mc:AlternateContent xmlns:mc="http://schemas.openxmlformats.org/markup-compatibility/2006">
          <mc:Choice Requires="x14">
            <control shapeId="23560" r:id="rId11" name="Button 8">
              <controlPr defaultSize="0" print="0" autoFill="0" autoPict="0" macro="[0]!Print_Table_7">
                <anchor moveWithCells="1" sizeWithCells="1">
                  <from>
                    <xdr:col>6</xdr:col>
                    <xdr:colOff>19050</xdr:colOff>
                    <xdr:row>179</xdr:row>
                    <xdr:rowOff>142875</xdr:rowOff>
                  </from>
                  <to>
                    <xdr:col>6</xdr:col>
                    <xdr:colOff>466725</xdr:colOff>
                    <xdr:row>181</xdr:row>
                    <xdr:rowOff>38100</xdr:rowOff>
                  </to>
                </anchor>
              </controlPr>
            </control>
          </mc:Choice>
        </mc:AlternateContent>
        <mc:AlternateContent xmlns:mc="http://schemas.openxmlformats.org/markup-compatibility/2006">
          <mc:Choice Requires="x14">
            <control shapeId="23561" r:id="rId12" name="Button 9">
              <controlPr defaultSize="0" print="0" autoFill="0" autoPict="0" macro="[0]!Print_Table_8">
                <anchor moveWithCells="1" sizeWithCells="1">
                  <from>
                    <xdr:col>6</xdr:col>
                    <xdr:colOff>381000</xdr:colOff>
                    <xdr:row>200</xdr:row>
                    <xdr:rowOff>57150</xdr:rowOff>
                  </from>
                  <to>
                    <xdr:col>7</xdr:col>
                    <xdr:colOff>238125</xdr:colOff>
                    <xdr:row>201</xdr:row>
                    <xdr:rowOff>104775</xdr:rowOff>
                  </to>
                </anchor>
              </controlPr>
            </control>
          </mc:Choice>
        </mc:AlternateContent>
        <mc:AlternateContent xmlns:mc="http://schemas.openxmlformats.org/markup-compatibility/2006">
          <mc:Choice Requires="x14">
            <control shapeId="23562" r:id="rId13" name="Button 10">
              <controlPr defaultSize="0" print="0" autoFill="0" autoPict="0" macro="[0]!Print_Table_9">
                <anchor moveWithCells="1" sizeWithCells="1">
                  <from>
                    <xdr:col>6</xdr:col>
                    <xdr:colOff>371475</xdr:colOff>
                    <xdr:row>222</xdr:row>
                    <xdr:rowOff>104775</xdr:rowOff>
                  </from>
                  <to>
                    <xdr:col>7</xdr:col>
                    <xdr:colOff>238125</xdr:colOff>
                    <xdr:row>224</xdr:row>
                    <xdr:rowOff>0</xdr:rowOff>
                  </to>
                </anchor>
              </controlPr>
            </control>
          </mc:Choice>
        </mc:AlternateContent>
        <mc:AlternateContent xmlns:mc="http://schemas.openxmlformats.org/markup-compatibility/2006">
          <mc:Choice Requires="x14">
            <control shapeId="23563" r:id="rId14" name="Button 11">
              <controlPr defaultSize="0" print="0" autoFill="0" autoPict="0" macro="[0]!Print_Table_10">
                <anchor moveWithCells="1" sizeWithCells="1">
                  <from>
                    <xdr:col>6</xdr:col>
                    <xdr:colOff>381000</xdr:colOff>
                    <xdr:row>243</xdr:row>
                    <xdr:rowOff>104775</xdr:rowOff>
                  </from>
                  <to>
                    <xdr:col>7</xdr:col>
                    <xdr:colOff>238125</xdr:colOff>
                    <xdr:row>245</xdr:row>
                    <xdr:rowOff>0</xdr:rowOff>
                  </to>
                </anchor>
              </controlPr>
            </control>
          </mc:Choice>
        </mc:AlternateContent>
        <mc:AlternateContent xmlns:mc="http://schemas.openxmlformats.org/markup-compatibility/2006">
          <mc:Choice Requires="x14">
            <control shapeId="23564" r:id="rId15" name="Button 12">
              <controlPr defaultSize="0" print="0" autoFill="0" autoPict="0" macro="[0]!Print_Table_10a">
                <anchor moveWithCells="1" sizeWithCells="1">
                  <from>
                    <xdr:col>6</xdr:col>
                    <xdr:colOff>19050</xdr:colOff>
                    <xdr:row>271</xdr:row>
                    <xdr:rowOff>180975</xdr:rowOff>
                  </from>
                  <to>
                    <xdr:col>6</xdr:col>
                    <xdr:colOff>457200</xdr:colOff>
                    <xdr:row>273</xdr:row>
                    <xdr:rowOff>0</xdr:rowOff>
                  </to>
                </anchor>
              </controlPr>
            </control>
          </mc:Choice>
        </mc:AlternateContent>
        <mc:AlternateContent xmlns:mc="http://schemas.openxmlformats.org/markup-compatibility/2006">
          <mc:Choice Requires="x14">
            <control shapeId="23565" r:id="rId16" name="Button 13">
              <controlPr defaultSize="0" print="0" autoFill="0" autoPict="0" macro="[0]!Print_Table_10b">
                <anchor moveWithCells="1" sizeWithCells="1">
                  <from>
                    <xdr:col>6</xdr:col>
                    <xdr:colOff>381000</xdr:colOff>
                    <xdr:row>288</xdr:row>
                    <xdr:rowOff>95250</xdr:rowOff>
                  </from>
                  <to>
                    <xdr:col>7</xdr:col>
                    <xdr:colOff>238125</xdr:colOff>
                    <xdr:row>290</xdr:row>
                    <xdr:rowOff>0</xdr:rowOff>
                  </to>
                </anchor>
              </controlPr>
            </control>
          </mc:Choice>
        </mc:AlternateContent>
        <mc:AlternateContent xmlns:mc="http://schemas.openxmlformats.org/markup-compatibility/2006">
          <mc:Choice Requires="x14">
            <control shapeId="23566" r:id="rId17" name="Button 14">
              <controlPr defaultSize="0" print="0" autoFill="0" autoPict="0" macro="[0]!Print_Table_11">
                <anchor moveWithCells="1" sizeWithCells="1">
                  <from>
                    <xdr:col>6</xdr:col>
                    <xdr:colOff>19050</xdr:colOff>
                    <xdr:row>300</xdr:row>
                    <xdr:rowOff>95250</xdr:rowOff>
                  </from>
                  <to>
                    <xdr:col>6</xdr:col>
                    <xdr:colOff>457200</xdr:colOff>
                    <xdr:row>301</xdr:row>
                    <xdr:rowOff>152400</xdr:rowOff>
                  </to>
                </anchor>
              </controlPr>
            </control>
          </mc:Choice>
        </mc:AlternateContent>
        <mc:AlternateContent xmlns:mc="http://schemas.openxmlformats.org/markup-compatibility/2006">
          <mc:Choice Requires="x14">
            <control shapeId="23567" r:id="rId18" name="Button 15">
              <controlPr defaultSize="0" print="0" autoFill="0" autoPict="0" macro="[0]!Print_Table_12">
                <anchor moveWithCells="1" sizeWithCells="1">
                  <from>
                    <xdr:col>6</xdr:col>
                    <xdr:colOff>381000</xdr:colOff>
                    <xdr:row>321</xdr:row>
                    <xdr:rowOff>85725</xdr:rowOff>
                  </from>
                  <to>
                    <xdr:col>7</xdr:col>
                    <xdr:colOff>238125</xdr:colOff>
                    <xdr:row>322</xdr:row>
                    <xdr:rowOff>142875</xdr:rowOff>
                  </to>
                </anchor>
              </controlPr>
            </control>
          </mc:Choice>
        </mc:AlternateContent>
        <mc:AlternateContent xmlns:mc="http://schemas.openxmlformats.org/markup-compatibility/2006">
          <mc:Choice Requires="x14">
            <control shapeId="23568" r:id="rId19" name="Button 16">
              <controlPr defaultSize="0" print="0" autoFill="0" autoPict="0" macro="[0]!TablesNavigationMacros.Print_Tables_all">
                <anchor moveWithCells="1" sizeWithCells="1">
                  <from>
                    <xdr:col>2</xdr:col>
                    <xdr:colOff>2495550</xdr:colOff>
                    <xdr:row>0</xdr:row>
                    <xdr:rowOff>123825</xdr:rowOff>
                  </from>
                  <to>
                    <xdr:col>3</xdr:col>
                    <xdr:colOff>466725</xdr:colOff>
                    <xdr:row>3</xdr:row>
                    <xdr:rowOff>19050</xdr:rowOff>
                  </to>
                </anchor>
              </controlPr>
            </control>
          </mc:Choice>
        </mc:AlternateContent>
        <mc:AlternateContent xmlns:mc="http://schemas.openxmlformats.org/markup-compatibility/2006">
          <mc:Choice Requires="x14">
            <control shapeId="23569" r:id="rId20" name="Button 17">
              <controlPr defaultSize="0" print="0" autoFill="0" autoPict="0" macro="[0]!Go_to_Table_0">
                <anchor moveWithCells="1" sizeWithCells="1">
                  <from>
                    <xdr:col>3</xdr:col>
                    <xdr:colOff>466725</xdr:colOff>
                    <xdr:row>0</xdr:row>
                    <xdr:rowOff>123825</xdr:rowOff>
                  </from>
                  <to>
                    <xdr:col>3</xdr:col>
                    <xdr:colOff>914400</xdr:colOff>
                    <xdr:row>1</xdr:row>
                    <xdr:rowOff>95250</xdr:rowOff>
                  </to>
                </anchor>
              </controlPr>
            </control>
          </mc:Choice>
        </mc:AlternateContent>
        <mc:AlternateContent xmlns:mc="http://schemas.openxmlformats.org/markup-compatibility/2006">
          <mc:Choice Requires="x14">
            <control shapeId="23571" r:id="rId21" name="Button 19">
              <controlPr defaultSize="0" print="0" autoFill="0" autoPict="0" macro="[0]!Go_to_Table_1">
                <anchor moveWithCells="1" sizeWithCells="1">
                  <from>
                    <xdr:col>3</xdr:col>
                    <xdr:colOff>914400</xdr:colOff>
                    <xdr:row>0</xdr:row>
                    <xdr:rowOff>123825</xdr:rowOff>
                  </from>
                  <to>
                    <xdr:col>4</xdr:col>
                    <xdr:colOff>419100</xdr:colOff>
                    <xdr:row>1</xdr:row>
                    <xdr:rowOff>95250</xdr:rowOff>
                  </to>
                </anchor>
              </controlPr>
            </control>
          </mc:Choice>
        </mc:AlternateContent>
        <mc:AlternateContent xmlns:mc="http://schemas.openxmlformats.org/markup-compatibility/2006">
          <mc:Choice Requires="x14">
            <control shapeId="23572" r:id="rId22" name="Button 20">
              <controlPr defaultSize="0" print="0" autoFill="0" autoPict="0" macro="[0]!Go_to_Table_2">
                <anchor moveWithCells="1" sizeWithCells="1">
                  <from>
                    <xdr:col>4</xdr:col>
                    <xdr:colOff>419100</xdr:colOff>
                    <xdr:row>0</xdr:row>
                    <xdr:rowOff>123825</xdr:rowOff>
                  </from>
                  <to>
                    <xdr:col>5</xdr:col>
                    <xdr:colOff>285750</xdr:colOff>
                    <xdr:row>1</xdr:row>
                    <xdr:rowOff>95250</xdr:rowOff>
                  </to>
                </anchor>
              </controlPr>
            </control>
          </mc:Choice>
        </mc:AlternateContent>
        <mc:AlternateContent xmlns:mc="http://schemas.openxmlformats.org/markup-compatibility/2006">
          <mc:Choice Requires="x14">
            <control shapeId="23573" r:id="rId23" name="Button 21">
              <controlPr defaultSize="0" print="0" autoFill="0" autoPict="0" macro="[0]!Go_to_Table_3">
                <anchor moveWithCells="1" sizeWithCells="1">
                  <from>
                    <xdr:col>5</xdr:col>
                    <xdr:colOff>285750</xdr:colOff>
                    <xdr:row>0</xdr:row>
                    <xdr:rowOff>123825</xdr:rowOff>
                  </from>
                  <to>
                    <xdr:col>6</xdr:col>
                    <xdr:colOff>152400</xdr:colOff>
                    <xdr:row>1</xdr:row>
                    <xdr:rowOff>95250</xdr:rowOff>
                  </to>
                </anchor>
              </controlPr>
            </control>
          </mc:Choice>
        </mc:AlternateContent>
        <mc:AlternateContent xmlns:mc="http://schemas.openxmlformats.org/markup-compatibility/2006">
          <mc:Choice Requires="x14">
            <control shapeId="23574" r:id="rId24" name="Button 22">
              <controlPr defaultSize="0" print="0" autoFill="0" autoPict="0" macro="[0]!Go_to_Table_4">
                <anchor moveWithCells="1" sizeWithCells="1">
                  <from>
                    <xdr:col>6</xdr:col>
                    <xdr:colOff>152400</xdr:colOff>
                    <xdr:row>0</xdr:row>
                    <xdr:rowOff>123825</xdr:rowOff>
                  </from>
                  <to>
                    <xdr:col>7</xdr:col>
                    <xdr:colOff>19050</xdr:colOff>
                    <xdr:row>1</xdr:row>
                    <xdr:rowOff>95250</xdr:rowOff>
                  </to>
                </anchor>
              </controlPr>
            </control>
          </mc:Choice>
        </mc:AlternateContent>
        <mc:AlternateContent xmlns:mc="http://schemas.openxmlformats.org/markup-compatibility/2006">
          <mc:Choice Requires="x14">
            <control shapeId="23575" r:id="rId25" name="Button 23">
              <controlPr defaultSize="0" print="0" autoFill="0" autoPict="0" macro="[0]!Go_to_Table_5">
                <anchor moveWithCells="1" sizeWithCells="1">
                  <from>
                    <xdr:col>3</xdr:col>
                    <xdr:colOff>466725</xdr:colOff>
                    <xdr:row>1</xdr:row>
                    <xdr:rowOff>85725</xdr:rowOff>
                  </from>
                  <to>
                    <xdr:col>3</xdr:col>
                    <xdr:colOff>914400</xdr:colOff>
                    <xdr:row>2</xdr:row>
                    <xdr:rowOff>47625</xdr:rowOff>
                  </to>
                </anchor>
              </controlPr>
            </control>
          </mc:Choice>
        </mc:AlternateContent>
        <mc:AlternateContent xmlns:mc="http://schemas.openxmlformats.org/markup-compatibility/2006">
          <mc:Choice Requires="x14">
            <control shapeId="23576" r:id="rId26" name="Button 24">
              <controlPr defaultSize="0" print="0" autoFill="0" autoPict="0" macro="[0]!Go_to_Table_6">
                <anchor moveWithCells="1" sizeWithCells="1">
                  <from>
                    <xdr:col>3</xdr:col>
                    <xdr:colOff>914400</xdr:colOff>
                    <xdr:row>1</xdr:row>
                    <xdr:rowOff>85725</xdr:rowOff>
                  </from>
                  <to>
                    <xdr:col>4</xdr:col>
                    <xdr:colOff>419100</xdr:colOff>
                    <xdr:row>2</xdr:row>
                    <xdr:rowOff>47625</xdr:rowOff>
                  </to>
                </anchor>
              </controlPr>
            </control>
          </mc:Choice>
        </mc:AlternateContent>
        <mc:AlternateContent xmlns:mc="http://schemas.openxmlformats.org/markup-compatibility/2006">
          <mc:Choice Requires="x14">
            <control shapeId="23577" r:id="rId27" name="Button 25">
              <controlPr defaultSize="0" print="0" autoFill="0" autoPict="0" macro="[0]!Go_to_Table_7">
                <anchor moveWithCells="1" sizeWithCells="1">
                  <from>
                    <xdr:col>4</xdr:col>
                    <xdr:colOff>419100</xdr:colOff>
                    <xdr:row>1</xdr:row>
                    <xdr:rowOff>85725</xdr:rowOff>
                  </from>
                  <to>
                    <xdr:col>5</xdr:col>
                    <xdr:colOff>285750</xdr:colOff>
                    <xdr:row>2</xdr:row>
                    <xdr:rowOff>47625</xdr:rowOff>
                  </to>
                </anchor>
              </controlPr>
            </control>
          </mc:Choice>
        </mc:AlternateContent>
        <mc:AlternateContent xmlns:mc="http://schemas.openxmlformats.org/markup-compatibility/2006">
          <mc:Choice Requires="x14">
            <control shapeId="23578" r:id="rId28" name="Button 26">
              <controlPr defaultSize="0" print="0" autoFill="0" autoPict="0" macro="[0]!Go_to_Table_8">
                <anchor moveWithCells="1" sizeWithCells="1">
                  <from>
                    <xdr:col>5</xdr:col>
                    <xdr:colOff>285750</xdr:colOff>
                    <xdr:row>1</xdr:row>
                    <xdr:rowOff>85725</xdr:rowOff>
                  </from>
                  <to>
                    <xdr:col>6</xdr:col>
                    <xdr:colOff>152400</xdr:colOff>
                    <xdr:row>2</xdr:row>
                    <xdr:rowOff>47625</xdr:rowOff>
                  </to>
                </anchor>
              </controlPr>
            </control>
          </mc:Choice>
        </mc:AlternateContent>
        <mc:AlternateContent xmlns:mc="http://schemas.openxmlformats.org/markup-compatibility/2006">
          <mc:Choice Requires="x14">
            <control shapeId="23579" r:id="rId29" name="Button 27">
              <controlPr defaultSize="0" print="0" autoFill="0" autoPict="0" macro="[0]!Go_to_Table_9">
                <anchor moveWithCells="1" sizeWithCells="1">
                  <from>
                    <xdr:col>6</xdr:col>
                    <xdr:colOff>152400</xdr:colOff>
                    <xdr:row>1</xdr:row>
                    <xdr:rowOff>85725</xdr:rowOff>
                  </from>
                  <to>
                    <xdr:col>7</xdr:col>
                    <xdr:colOff>19050</xdr:colOff>
                    <xdr:row>2</xdr:row>
                    <xdr:rowOff>47625</xdr:rowOff>
                  </to>
                </anchor>
              </controlPr>
            </control>
          </mc:Choice>
        </mc:AlternateContent>
        <mc:AlternateContent xmlns:mc="http://schemas.openxmlformats.org/markup-compatibility/2006">
          <mc:Choice Requires="x14">
            <control shapeId="23580" r:id="rId30" name="Button 28">
              <controlPr defaultSize="0" print="0" autoFill="0" autoPict="0" macro="[0]!Go_to_Table_10">
                <anchor moveWithCells="1" sizeWithCells="1">
                  <from>
                    <xdr:col>3</xdr:col>
                    <xdr:colOff>466725</xdr:colOff>
                    <xdr:row>2</xdr:row>
                    <xdr:rowOff>57150</xdr:rowOff>
                  </from>
                  <to>
                    <xdr:col>3</xdr:col>
                    <xdr:colOff>914400</xdr:colOff>
                    <xdr:row>3</xdr:row>
                    <xdr:rowOff>19050</xdr:rowOff>
                  </to>
                </anchor>
              </controlPr>
            </control>
          </mc:Choice>
        </mc:AlternateContent>
        <mc:AlternateContent xmlns:mc="http://schemas.openxmlformats.org/markup-compatibility/2006">
          <mc:Choice Requires="x14">
            <control shapeId="23581" r:id="rId31" name="Button 29">
              <controlPr defaultSize="0" print="0" autoFill="0" autoPict="0" macro="[0]!Go_to_Table_10a">
                <anchor moveWithCells="1" sizeWithCells="1">
                  <from>
                    <xdr:col>3</xdr:col>
                    <xdr:colOff>914400</xdr:colOff>
                    <xdr:row>2</xdr:row>
                    <xdr:rowOff>57150</xdr:rowOff>
                  </from>
                  <to>
                    <xdr:col>4</xdr:col>
                    <xdr:colOff>419100</xdr:colOff>
                    <xdr:row>3</xdr:row>
                    <xdr:rowOff>19050</xdr:rowOff>
                  </to>
                </anchor>
              </controlPr>
            </control>
          </mc:Choice>
        </mc:AlternateContent>
        <mc:AlternateContent xmlns:mc="http://schemas.openxmlformats.org/markup-compatibility/2006">
          <mc:Choice Requires="x14">
            <control shapeId="23582" r:id="rId32" name="Button 30">
              <controlPr defaultSize="0" print="0" autoFill="0" autoPict="0" macro="[0]!TablesNavigationMacros.Go_to_Table_10b">
                <anchor moveWithCells="1" sizeWithCells="1">
                  <from>
                    <xdr:col>4</xdr:col>
                    <xdr:colOff>419100</xdr:colOff>
                    <xdr:row>2</xdr:row>
                    <xdr:rowOff>57150</xdr:rowOff>
                  </from>
                  <to>
                    <xdr:col>5</xdr:col>
                    <xdr:colOff>285750</xdr:colOff>
                    <xdr:row>3</xdr:row>
                    <xdr:rowOff>19050</xdr:rowOff>
                  </to>
                </anchor>
              </controlPr>
            </control>
          </mc:Choice>
        </mc:AlternateContent>
        <mc:AlternateContent xmlns:mc="http://schemas.openxmlformats.org/markup-compatibility/2006">
          <mc:Choice Requires="x14">
            <control shapeId="23583" r:id="rId33" name="Button 31">
              <controlPr defaultSize="0" print="0" autoFill="0" autoPict="0" macro="[0]!Go_to_Table_11">
                <anchor moveWithCells="1" sizeWithCells="1">
                  <from>
                    <xdr:col>5</xdr:col>
                    <xdr:colOff>285750</xdr:colOff>
                    <xdr:row>2</xdr:row>
                    <xdr:rowOff>57150</xdr:rowOff>
                  </from>
                  <to>
                    <xdr:col>6</xdr:col>
                    <xdr:colOff>152400</xdr:colOff>
                    <xdr:row>3</xdr:row>
                    <xdr:rowOff>19050</xdr:rowOff>
                  </to>
                </anchor>
              </controlPr>
            </control>
          </mc:Choice>
        </mc:AlternateContent>
        <mc:AlternateContent xmlns:mc="http://schemas.openxmlformats.org/markup-compatibility/2006">
          <mc:Choice Requires="x14">
            <control shapeId="23584" r:id="rId34" name="Button 32">
              <controlPr defaultSize="0" print="0" autoFill="0" autoPict="0" macro="[0]!Go_to_Table_12">
                <anchor moveWithCells="1" sizeWithCells="1">
                  <from>
                    <xdr:col>6</xdr:col>
                    <xdr:colOff>152400</xdr:colOff>
                    <xdr:row>2</xdr:row>
                    <xdr:rowOff>57150</xdr:rowOff>
                  </from>
                  <to>
                    <xdr:col>7</xdr:col>
                    <xdr:colOff>19050</xdr:colOff>
                    <xdr:row>3</xdr:row>
                    <xdr:rowOff>19050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5" tint="0.39997558519241921"/>
    <pageSetUpPr autoPageBreaks="0" fitToPage="1"/>
  </sheetPr>
  <dimension ref="A2:AE159"/>
  <sheetViews>
    <sheetView showGridLines="0" tabSelected="1" zoomScale="130" zoomScaleNormal="130" workbookViewId="0">
      <pane xSplit="7" ySplit="11" topLeftCell="H12" activePane="bottomRight" state="frozen"/>
      <selection pane="topRight" activeCell="H1" sqref="H1"/>
      <selection pane="bottomLeft" activeCell="A12" sqref="A12"/>
      <selection pane="bottomRight" activeCell="J7" sqref="J7"/>
    </sheetView>
  </sheetViews>
  <sheetFormatPr defaultRowHeight="12.75"/>
  <cols>
    <col min="1" max="1" width="66.7109375" style="3256" customWidth="1"/>
    <col min="2" max="2" width="4.7109375" style="3256" customWidth="1"/>
    <col min="3" max="3" width="8.42578125" style="3256" customWidth="1"/>
    <col min="4" max="4" width="12.28515625" style="3257" bestFit="1" customWidth="1"/>
    <col min="5" max="5" width="9.140625" style="3256"/>
    <col min="6" max="6" width="8.5703125" style="3259" customWidth="1"/>
    <col min="7" max="7" width="35" style="3256" customWidth="1"/>
    <col min="8" max="12" width="10" style="3256" customWidth="1"/>
    <col min="13" max="13" width="10.140625" style="3256" customWidth="1"/>
    <col min="14" max="16" width="10.140625" style="3260" customWidth="1"/>
    <col min="17" max="27" width="8.42578125" style="3256" customWidth="1"/>
    <col min="28" max="16384" width="9.140625" style="3256"/>
  </cols>
  <sheetData>
    <row r="2" spans="1:31" s="3231" customFormat="1" ht="15.75" customHeight="1">
      <c r="D2" s="3232"/>
      <c r="F2" s="3233"/>
      <c r="N2" s="3234"/>
      <c r="O2" s="3234"/>
      <c r="P2" s="3234"/>
    </row>
    <row r="3" spans="1:31" s="3231" customFormat="1" ht="15.75">
      <c r="D3" s="3232"/>
      <c r="F3" s="3233"/>
      <c r="G3" s="3235" t="s">
        <v>1129</v>
      </c>
      <c r="N3" s="3234"/>
      <c r="O3" s="3234"/>
      <c r="P3" s="3234"/>
    </row>
    <row r="4" spans="1:31" s="3236" customFormat="1" ht="15.75">
      <c r="D4" s="3237"/>
      <c r="G4" s="3238" t="s">
        <v>920</v>
      </c>
      <c r="H4" s="3239" t="s">
        <v>68</v>
      </c>
      <c r="I4" s="3240"/>
      <c r="J4" s="3241"/>
      <c r="K4" s="3240"/>
      <c r="L4" s="3240"/>
      <c r="M4" s="3242"/>
      <c r="N4" s="3243"/>
      <c r="O4" s="3243"/>
      <c r="P4" s="3243"/>
    </row>
    <row r="5" spans="1:31" s="3236" customFormat="1" ht="15.75">
      <c r="D5" s="3237"/>
      <c r="G5" s="3238" t="s">
        <v>921</v>
      </c>
      <c r="H5" s="3244" t="s">
        <v>914</v>
      </c>
      <c r="I5" s="3245"/>
      <c r="J5" s="3246" t="str">
        <f>Country</f>
        <v>Lithuania</v>
      </c>
      <c r="K5" s="3240"/>
      <c r="L5" s="3240"/>
      <c r="M5" s="3242"/>
      <c r="N5" s="3243"/>
      <c r="O5" s="3243"/>
      <c r="P5" s="3243"/>
    </row>
    <row r="6" spans="1:31" s="3236" customFormat="1" ht="15.75">
      <c r="D6" s="3237"/>
      <c r="G6" s="3238" t="s">
        <v>922</v>
      </c>
      <c r="H6" s="3247" t="s">
        <v>528</v>
      </c>
      <c r="I6" s="3248"/>
      <c r="J6" s="3249" t="str">
        <f>Transfer!E95</f>
        <v>LT_</v>
      </c>
      <c r="K6" s="3240"/>
      <c r="L6" s="3240"/>
      <c r="M6" s="3242"/>
      <c r="N6" s="3243"/>
      <c r="O6" s="3243"/>
      <c r="P6" s="3243"/>
    </row>
    <row r="7" spans="1:31" s="3231" customFormat="1" ht="14.25" customHeight="1">
      <c r="D7" s="3232"/>
      <c r="F7" s="3250"/>
      <c r="I7" s="3231" t="s">
        <v>2139</v>
      </c>
      <c r="J7" s="3249" t="s">
        <v>2609</v>
      </c>
      <c r="N7" s="3234"/>
      <c r="O7" s="3234"/>
      <c r="P7" s="3234"/>
      <c r="Q7" s="3234"/>
      <c r="R7" s="3234"/>
      <c r="S7" s="3234"/>
      <c r="T7" s="3234"/>
      <c r="U7" s="3234"/>
      <c r="V7" s="3234"/>
      <c r="W7" s="3234"/>
      <c r="X7" s="3234"/>
      <c r="Y7" s="3234"/>
      <c r="Z7" s="3234"/>
      <c r="AA7" s="3234"/>
    </row>
    <row r="8" spans="1:31" s="3231" customFormat="1" ht="15" customHeight="1">
      <c r="D8" s="3232"/>
      <c r="F8" s="3250"/>
      <c r="L8" s="3251"/>
      <c r="N8" s="3234"/>
      <c r="O8" s="3234"/>
      <c r="P8" s="3234"/>
      <c r="Q8" s="3234"/>
      <c r="R8" s="3234"/>
      <c r="S8" s="3234"/>
      <c r="T8" s="3234"/>
      <c r="U8" s="3234"/>
      <c r="V8" s="3234"/>
      <c r="W8" s="3234"/>
      <c r="X8" s="3234"/>
      <c r="Y8" s="3234"/>
      <c r="Z8" s="3234"/>
      <c r="AA8" s="3234"/>
    </row>
    <row r="9" spans="1:31" s="3252" customFormat="1">
      <c r="D9" s="3253"/>
      <c r="G9" s="3254"/>
      <c r="H9" s="3255">
        <v>1</v>
      </c>
      <c r="I9" s="3255">
        <f t="shared" ref="I9:AE9" si="0">H9+1</f>
        <v>2</v>
      </c>
      <c r="J9" s="3255">
        <f t="shared" si="0"/>
        <v>3</v>
      </c>
      <c r="K9" s="3255">
        <f t="shared" si="0"/>
        <v>4</v>
      </c>
      <c r="L9" s="3255">
        <f t="shared" si="0"/>
        <v>5</v>
      </c>
      <c r="M9" s="3255">
        <f t="shared" si="0"/>
        <v>6</v>
      </c>
      <c r="N9" s="3255">
        <f t="shared" si="0"/>
        <v>7</v>
      </c>
      <c r="O9" s="3255">
        <f t="shared" si="0"/>
        <v>8</v>
      </c>
      <c r="P9" s="3255">
        <f t="shared" si="0"/>
        <v>9</v>
      </c>
      <c r="Q9" s="3255">
        <f t="shared" si="0"/>
        <v>10</v>
      </c>
      <c r="R9" s="3255">
        <f t="shared" si="0"/>
        <v>11</v>
      </c>
      <c r="S9" s="3255">
        <f t="shared" si="0"/>
        <v>12</v>
      </c>
      <c r="T9" s="3255">
        <f t="shared" si="0"/>
        <v>13</v>
      </c>
      <c r="U9" s="3255">
        <f t="shared" si="0"/>
        <v>14</v>
      </c>
      <c r="V9" s="3255">
        <f t="shared" si="0"/>
        <v>15</v>
      </c>
      <c r="W9" s="3255">
        <f t="shared" si="0"/>
        <v>16</v>
      </c>
      <c r="X9" s="3255">
        <f t="shared" si="0"/>
        <v>17</v>
      </c>
      <c r="Y9" s="3255">
        <f t="shared" si="0"/>
        <v>18</v>
      </c>
      <c r="Z9" s="3255">
        <f t="shared" si="0"/>
        <v>19</v>
      </c>
      <c r="AA9" s="3255">
        <f t="shared" si="0"/>
        <v>20</v>
      </c>
      <c r="AB9" s="3255">
        <f t="shared" si="0"/>
        <v>21</v>
      </c>
      <c r="AC9" s="3255">
        <f t="shared" si="0"/>
        <v>22</v>
      </c>
      <c r="AD9" s="3255">
        <f t="shared" si="0"/>
        <v>23</v>
      </c>
      <c r="AE9" s="3255">
        <f t="shared" si="0"/>
        <v>24</v>
      </c>
    </row>
    <row r="10" spans="1:31">
      <c r="D10" s="3257" t="s">
        <v>2140</v>
      </c>
      <c r="E10" s="3257" t="s">
        <v>2141</v>
      </c>
      <c r="F10" s="3258" t="s">
        <v>2142</v>
      </c>
      <c r="I10" s="3257"/>
      <c r="J10" s="3257"/>
      <c r="K10" s="3257"/>
      <c r="L10" s="3257"/>
      <c r="M10" s="3257"/>
      <c r="N10" s="3257"/>
      <c r="O10" s="3257"/>
      <c r="P10" s="3257"/>
      <c r="Q10" s="3257"/>
      <c r="R10" s="3257"/>
      <c r="S10" s="3257"/>
      <c r="T10" s="3257"/>
      <c r="U10" s="3257"/>
      <c r="V10" s="3257"/>
      <c r="W10" s="3257"/>
      <c r="X10" s="3257"/>
      <c r="Y10" s="3257"/>
      <c r="Z10" s="3257"/>
      <c r="AA10" s="3257"/>
      <c r="AB10" s="3257"/>
      <c r="AC10" s="3257"/>
    </row>
    <row r="11" spans="1:31">
      <c r="A11" s="3432" t="s">
        <v>2143</v>
      </c>
      <c r="B11" s="3432" t="s">
        <v>2144</v>
      </c>
      <c r="C11" s="3432" t="s">
        <v>2145</v>
      </c>
      <c r="D11" s="3432" t="s">
        <v>2146</v>
      </c>
      <c r="E11" s="3432" t="s">
        <v>2362</v>
      </c>
      <c r="F11" s="3432"/>
      <c r="G11" s="3432"/>
      <c r="H11" s="3432">
        <v>1996</v>
      </c>
      <c r="I11" s="3432">
        <f>H11+1</f>
        <v>1997</v>
      </c>
      <c r="J11" s="3432">
        <f>I11+1</f>
        <v>1998</v>
      </c>
      <c r="K11" s="3432">
        <f>J11+1</f>
        <v>1999</v>
      </c>
      <c r="L11" s="3432">
        <f>K11+1</f>
        <v>2000</v>
      </c>
      <c r="M11" s="3432">
        <f t="shared" ref="M11:AE11" si="1">L11+1</f>
        <v>2001</v>
      </c>
      <c r="N11" s="3432">
        <f t="shared" si="1"/>
        <v>2002</v>
      </c>
      <c r="O11" s="3432">
        <f t="shared" si="1"/>
        <v>2003</v>
      </c>
      <c r="P11" s="3432">
        <f t="shared" si="1"/>
        <v>2004</v>
      </c>
      <c r="Q11" s="3432">
        <f t="shared" si="1"/>
        <v>2005</v>
      </c>
      <c r="R11" s="3432">
        <f t="shared" si="1"/>
        <v>2006</v>
      </c>
      <c r="S11" s="3432">
        <f t="shared" si="1"/>
        <v>2007</v>
      </c>
      <c r="T11" s="3432">
        <f t="shared" si="1"/>
        <v>2008</v>
      </c>
      <c r="U11" s="3432">
        <f t="shared" si="1"/>
        <v>2009</v>
      </c>
      <c r="V11" s="3432">
        <f t="shared" si="1"/>
        <v>2010</v>
      </c>
      <c r="W11" s="3432">
        <f t="shared" si="1"/>
        <v>2011</v>
      </c>
      <c r="X11" s="3432">
        <f t="shared" si="1"/>
        <v>2012</v>
      </c>
      <c r="Y11" s="3432">
        <f t="shared" si="1"/>
        <v>2013</v>
      </c>
      <c r="Z11" s="3432">
        <f t="shared" si="1"/>
        <v>2014</v>
      </c>
      <c r="AA11" s="3432">
        <f t="shared" si="1"/>
        <v>2015</v>
      </c>
      <c r="AB11" s="3432">
        <f t="shared" si="1"/>
        <v>2016</v>
      </c>
      <c r="AC11" s="3432">
        <f t="shared" si="1"/>
        <v>2017</v>
      </c>
      <c r="AD11" s="3432">
        <f t="shared" si="1"/>
        <v>2018</v>
      </c>
      <c r="AE11" s="3432">
        <f t="shared" si="1"/>
        <v>2019</v>
      </c>
    </row>
    <row r="12" spans="1:31">
      <c r="A12" s="3432" t="str">
        <f>CONCATENATE($I$7,$J$7)</f>
        <v>\\DG ECFIN\Forecast\Country databases\Desk transfer databases\BE</v>
      </c>
      <c r="B12" s="3432" t="str">
        <f>$J$7</f>
        <v>BE</v>
      </c>
      <c r="C12" s="3432" t="s">
        <v>2147</v>
      </c>
      <c r="D12" s="3432" t="s">
        <v>2148</v>
      </c>
      <c r="E12" s="3432" t="s">
        <v>2149</v>
      </c>
      <c r="F12" s="3432">
        <v>1</v>
      </c>
      <c r="G12" s="3432" t="s">
        <v>1016</v>
      </c>
      <c r="H12" s="3432">
        <v>5.2829141985078021</v>
      </c>
      <c r="I12" s="3432">
        <v>6.5832158506398439</v>
      </c>
      <c r="J12" s="3432">
        <v>7.5343351365628726</v>
      </c>
      <c r="K12" s="3432">
        <v>8.3628462092867917</v>
      </c>
      <c r="L12" s="3432">
        <v>8.8367246450692782</v>
      </c>
      <c r="M12" s="3432">
        <v>9.057646292067739</v>
      </c>
      <c r="N12" s="3432">
        <v>9.8403920369550839</v>
      </c>
      <c r="O12" s="3432">
        <v>10.90170260973504</v>
      </c>
      <c r="P12" s="3432">
        <v>11.994345184820281</v>
      </c>
      <c r="Q12" s="3432">
        <v>13.268709344762875</v>
      </c>
      <c r="R12" s="3432">
        <v>14.818879948658232</v>
      </c>
      <c r="S12" s="3432">
        <v>17.435875804991209</v>
      </c>
      <c r="T12" s="3432">
        <v>19.172030328866111</v>
      </c>
      <c r="U12" s="3432">
        <v>17.571659423998966</v>
      </c>
      <c r="V12" s="3432">
        <v>17.72037473728712</v>
      </c>
      <c r="W12" s="3432">
        <v>18.770809999999997</v>
      </c>
      <c r="X12" s="3432">
        <v>20.148642022800296</v>
      </c>
      <c r="Y12" s="3432">
        <v>21.665981605317988</v>
      </c>
      <c r="Z12" s="3432">
        <v>22.74965501233503</v>
      </c>
      <c r="AA12" s="3432">
        <v>23.682538042559482</v>
      </c>
      <c r="AB12" s="3432">
        <v>24.632151881878773</v>
      </c>
      <c r="AC12" s="3432">
        <v>25.830766377612981</v>
      </c>
      <c r="AD12" s="3432">
        <v>27.738403649999995</v>
      </c>
      <c r="AE12" s="3432">
        <v>29.398769015681694</v>
      </c>
    </row>
    <row r="13" spans="1:31">
      <c r="A13" s="3432" t="str">
        <f t="shared" ref="A13:A76" si="2">CONCATENATE($I$7,$J$7)</f>
        <v>\\DG ECFIN\Forecast\Country databases\Desk transfer databases\BE</v>
      </c>
      <c r="B13" s="3432" t="str">
        <f t="shared" ref="B13:B76" si="3">$J$7</f>
        <v>BE</v>
      </c>
      <c r="C13" s="3432" t="s">
        <v>2147</v>
      </c>
      <c r="D13" s="3432" t="s">
        <v>2150</v>
      </c>
      <c r="E13" s="3432" t="s">
        <v>2149</v>
      </c>
      <c r="F13" s="3432">
        <v>2</v>
      </c>
      <c r="G13" s="3432" t="s">
        <v>532</v>
      </c>
      <c r="H13" s="3432">
        <v>1.8493622645509178</v>
      </c>
      <c r="I13" s="3432">
        <v>2.4184356581550737</v>
      </c>
      <c r="J13" s="3432">
        <v>2.9742107457800899</v>
      </c>
      <c r="K13" s="3432">
        <v>3.2215015692572364</v>
      </c>
      <c r="L13" s="3432">
        <v>3.0148719733834319</v>
      </c>
      <c r="M13" s="3432">
        <v>3.0358803636936322</v>
      </c>
      <c r="N13" s="3432">
        <v>3.0752572345881553</v>
      </c>
      <c r="O13" s="3432">
        <v>3.217168064399734</v>
      </c>
      <c r="P13" s="3432">
        <v>3.4088313667298125</v>
      </c>
      <c r="Q13" s="3432">
        <v>3.6198391063349251</v>
      </c>
      <c r="R13" s="3432">
        <v>3.9681700439227119</v>
      </c>
      <c r="S13" s="3432">
        <v>4.6907319967381582</v>
      </c>
      <c r="T13" s="3432">
        <v>5.0787820666066326</v>
      </c>
      <c r="U13" s="3432">
        <v>6.0206091883061674</v>
      </c>
      <c r="V13" s="3432">
        <v>5.5389960723131892</v>
      </c>
      <c r="W13" s="3432">
        <v>5.5435799999999995</v>
      </c>
      <c r="X13" s="3432">
        <v>5.8110600831231798</v>
      </c>
      <c r="Y13" s="3432">
        <v>5.872820010365408</v>
      </c>
      <c r="Z13" s="3432">
        <v>5.8537416863145211</v>
      </c>
      <c r="AA13" s="3432">
        <v>6.0833100473935326</v>
      </c>
      <c r="AB13" s="3432">
        <v>6.5118543082355504</v>
      </c>
      <c r="AC13" s="3432">
        <v>6.7137872911684973</v>
      </c>
      <c r="AD13" s="3432">
        <v>7.0213420200000005</v>
      </c>
      <c r="AE13" s="3432">
        <v>7.4103718321800569</v>
      </c>
    </row>
    <row r="14" spans="1:31">
      <c r="A14" s="3432" t="str">
        <f t="shared" si="2"/>
        <v>\\DG ECFIN\Forecast\Country databases\Desk transfer databases\BE</v>
      </c>
      <c r="B14" s="3432" t="str">
        <f t="shared" si="3"/>
        <v>BE</v>
      </c>
      <c r="C14" s="3432" t="s">
        <v>2147</v>
      </c>
      <c r="D14" s="3432" t="s">
        <v>2151</v>
      </c>
      <c r="E14" s="3432" t="s">
        <v>2149</v>
      </c>
      <c r="F14" s="3432">
        <v>3</v>
      </c>
      <c r="G14" s="3432" t="s">
        <v>534</v>
      </c>
      <c r="H14" s="3432">
        <v>1.9141128065849096</v>
      </c>
      <c r="I14" s="3432">
        <v>2.5093352950327619</v>
      </c>
      <c r="J14" s="3432">
        <v>3.1761270358414233</v>
      </c>
      <c r="K14" s="3432">
        <v>2.9252598369674785</v>
      </c>
      <c r="L14" s="3432">
        <v>2.5566650321889179</v>
      </c>
      <c r="M14" s="3432">
        <v>2.8938124640030551</v>
      </c>
      <c r="N14" s="3432">
        <v>3.223371511070249</v>
      </c>
      <c r="O14" s="3432">
        <v>3.5703745784060028</v>
      </c>
      <c r="P14" s="3432">
        <v>4.1547968839508833</v>
      </c>
      <c r="Q14" s="3432">
        <v>4.6550734934389295</v>
      </c>
      <c r="R14" s="3432">
        <v>5.8736880757559282</v>
      </c>
      <c r="S14" s="3432">
        <v>7.6372119469715054</v>
      </c>
      <c r="T14" s="3432">
        <v>7.9670279515876752</v>
      </c>
      <c r="U14" s="3432">
        <v>5.2014137044106095</v>
      </c>
      <c r="V14" s="3432">
        <v>4.8814965445574749</v>
      </c>
      <c r="W14" s="3432">
        <v>5.67849</v>
      </c>
      <c r="X14" s="3432">
        <v>5.6783051191601999</v>
      </c>
      <c r="Y14" s="3432">
        <v>6.2684122794221793</v>
      </c>
      <c r="Z14" s="3432">
        <v>6.82615939898219</v>
      </c>
      <c r="AA14" s="3432">
        <v>7.238783406852999</v>
      </c>
      <c r="AB14" s="3432">
        <v>7.2907280162839356</v>
      </c>
      <c r="AC14" s="3432">
        <v>7.8484123706606796</v>
      </c>
      <c r="AD14" s="3432">
        <v>8.4064658956084077</v>
      </c>
      <c r="AE14" s="3432">
        <v>8.9639536658038441</v>
      </c>
    </row>
    <row r="15" spans="1:31">
      <c r="A15" s="3432" t="str">
        <f t="shared" si="2"/>
        <v>\\DG ECFIN\Forecast\Country databases\Desk transfer databases\BE</v>
      </c>
      <c r="B15" s="3432" t="str">
        <f t="shared" si="3"/>
        <v>BE</v>
      </c>
      <c r="C15" s="3432" t="s">
        <v>2147</v>
      </c>
      <c r="D15" s="3432" t="s">
        <v>2152</v>
      </c>
      <c r="E15" s="3432" t="s">
        <v>2149</v>
      </c>
      <c r="F15" s="3432">
        <v>4</v>
      </c>
      <c r="G15" s="3432" t="s">
        <v>1305</v>
      </c>
      <c r="H15" s="3432">
        <v>0.94836631144804184</v>
      </c>
      <c r="I15" s="3432">
        <v>1.2798727897825861</v>
      </c>
      <c r="J15" s="3432">
        <v>1.714537017361053</v>
      </c>
      <c r="K15" s="3432">
        <v>1.6287551914803153</v>
      </c>
      <c r="L15" s="3432">
        <v>1.3697749616074744</v>
      </c>
      <c r="M15" s="3432">
        <v>1.5041154058552249</v>
      </c>
      <c r="N15" s="3432">
        <v>1.6660919247678432</v>
      </c>
      <c r="O15" s="3432">
        <v>1.9956464806861207</v>
      </c>
      <c r="P15" s="3432">
        <v>2.1411369917112415</v>
      </c>
      <c r="Q15" s="3432">
        <v>2.5356244876680534</v>
      </c>
      <c r="R15" s="3432">
        <v>3.3263801105327335</v>
      </c>
      <c r="S15" s="3432">
        <v>4.4348680427096738</v>
      </c>
      <c r="T15" s="3432">
        <v>5.0604864912023997</v>
      </c>
      <c r="U15" s="3432">
        <v>3.4934135415330312</v>
      </c>
      <c r="V15" s="3432">
        <v>2.8941149448023289</v>
      </c>
      <c r="W15" s="3432">
        <v>3.1731799999999999</v>
      </c>
      <c r="X15" s="3432">
        <v>3.1538449575737935</v>
      </c>
      <c r="Y15" s="3432">
        <v>3.527430054263589</v>
      </c>
      <c r="Z15" s="3432">
        <v>3.9826039490647931</v>
      </c>
      <c r="AA15" s="3432">
        <v>4.0795361517932864</v>
      </c>
      <c r="AB15" s="3432">
        <v>3.8266968006577176</v>
      </c>
      <c r="AC15" s="3432">
        <v>3.9568473536919488</v>
      </c>
      <c r="AD15" s="3432">
        <v>4.3305056999999998</v>
      </c>
      <c r="AE15" s="3432">
        <v>4.6552906650010488</v>
      </c>
    </row>
    <row r="16" spans="1:31">
      <c r="A16" s="3432" t="str">
        <f t="shared" si="2"/>
        <v>\\DG ECFIN\Forecast\Country databases\Desk transfer databases\BE</v>
      </c>
      <c r="B16" s="3432" t="str">
        <f t="shared" si="3"/>
        <v>BE</v>
      </c>
      <c r="C16" s="3432" t="s">
        <v>2147</v>
      </c>
      <c r="D16" s="3432" t="s">
        <v>2153</v>
      </c>
      <c r="E16" s="3432" t="s">
        <v>2149</v>
      </c>
      <c r="F16" s="3432">
        <v>5</v>
      </c>
      <c r="G16" s="3432" t="s">
        <v>1307</v>
      </c>
      <c r="H16" s="3432">
        <v>0.88278882969449479</v>
      </c>
      <c r="I16" s="3432">
        <v>1.1264188888332649</v>
      </c>
      <c r="J16" s="3432">
        <v>1.3480010215689961</v>
      </c>
      <c r="K16" s="3432">
        <v>1.2018361607304386</v>
      </c>
      <c r="L16" s="3432">
        <v>1.0324889922774931</v>
      </c>
      <c r="M16" s="3432">
        <v>1.2167744745496072</v>
      </c>
      <c r="N16" s="3432">
        <v>1.3268932326623246</v>
      </c>
      <c r="O16" s="3432">
        <v>1.3629638565393241</v>
      </c>
      <c r="P16" s="3432">
        <v>1.7695291135701687</v>
      </c>
      <c r="Q16" s="3432">
        <v>1.8353766531443743</v>
      </c>
      <c r="R16" s="3432">
        <v>2.1736472407125218</v>
      </c>
      <c r="S16" s="3432">
        <v>2.662489908512224</v>
      </c>
      <c r="T16" s="3432">
        <v>2.2436685616690411</v>
      </c>
      <c r="U16" s="3432">
        <v>1.1576266559695598</v>
      </c>
      <c r="V16" s="3432">
        <v>1.3861684457085492</v>
      </c>
      <c r="W16" s="3432">
        <v>1.8692</v>
      </c>
      <c r="X16" s="3432">
        <v>1.9205090147656754</v>
      </c>
      <c r="Y16" s="3432">
        <v>2.1835867401670521</v>
      </c>
      <c r="Z16" s="3432">
        <v>2.1843149031734481</v>
      </c>
      <c r="AA16" s="3432">
        <v>2.4625906209394719</v>
      </c>
      <c r="AB16" s="3432">
        <v>2.696198733506189</v>
      </c>
      <c r="AC16" s="3432">
        <v>2.9204492360154943</v>
      </c>
      <c r="AD16" s="3432">
        <v>3.1030891499999997</v>
      </c>
      <c r="AE16" s="3432">
        <v>3.2819201777144995</v>
      </c>
    </row>
    <row r="17" spans="1:31">
      <c r="A17" s="3432" t="str">
        <f t="shared" si="2"/>
        <v>\\DG ECFIN\Forecast\Country databases\Desk transfer databases\BE</v>
      </c>
      <c r="B17" s="3432" t="str">
        <f t="shared" si="3"/>
        <v>BE</v>
      </c>
      <c r="C17" s="3432" t="s">
        <v>2147</v>
      </c>
      <c r="D17" s="3432" t="s">
        <v>2154</v>
      </c>
      <c r="E17" s="3432" t="s">
        <v>2149</v>
      </c>
      <c r="F17" s="3432">
        <v>6</v>
      </c>
      <c r="G17" s="3432" t="s">
        <v>1308</v>
      </c>
      <c r="H17" s="3432">
        <v>7.7597181469816298E-2</v>
      </c>
      <c r="I17" s="3432">
        <v>0.10167754869929434</v>
      </c>
      <c r="J17" s="3432">
        <v>0.10843275995109017</v>
      </c>
      <c r="K17" s="3432">
        <v>9.2771518703862701E-2</v>
      </c>
      <c r="L17" s="3432">
        <v>0.12929411034736327</v>
      </c>
      <c r="M17" s="3432">
        <v>0.17745242557523175</v>
      </c>
      <c r="N17" s="3432">
        <v>0.22850344798038827</v>
      </c>
      <c r="O17" s="3432">
        <v>0.20769763162479499</v>
      </c>
      <c r="P17" s="3432">
        <v>0.24249534059109143</v>
      </c>
      <c r="Q17" s="3432">
        <v>0.27989373659857814</v>
      </c>
      <c r="R17" s="3432">
        <v>0.3676572286943745</v>
      </c>
      <c r="S17" s="3432">
        <v>0.53456906753618427</v>
      </c>
      <c r="T17" s="3432">
        <v>0.66151975074813429</v>
      </c>
      <c r="U17" s="3432">
        <v>0.55091339489802349</v>
      </c>
      <c r="V17" s="3432">
        <v>0.60025719492180862</v>
      </c>
      <c r="W17" s="3432">
        <v>0.63611999999999991</v>
      </c>
      <c r="X17" s="3432">
        <v>0.60415071621706606</v>
      </c>
      <c r="Y17" s="3432">
        <v>0.55517045559336919</v>
      </c>
      <c r="Z17" s="3432">
        <v>0.65985420763064662</v>
      </c>
      <c r="AA17" s="3432">
        <v>0.69705232509745307</v>
      </c>
      <c r="AB17" s="3432">
        <v>0.76834599745659626</v>
      </c>
      <c r="AC17" s="3432">
        <v>0.9774669050103677</v>
      </c>
      <c r="AD17" s="3432">
        <v>0.97967375999999995</v>
      </c>
      <c r="AE17" s="3432">
        <v>1.0339966699919998</v>
      </c>
    </row>
    <row r="18" spans="1:31">
      <c r="A18" s="3432" t="str">
        <f t="shared" si="2"/>
        <v>\\DG ECFIN\Forecast\Country databases\Desk transfer databases\BE</v>
      </c>
      <c r="B18" s="3432" t="str">
        <f t="shared" si="3"/>
        <v>BE</v>
      </c>
      <c r="C18" s="3432" t="s">
        <v>2147</v>
      </c>
      <c r="D18" s="3432" t="s">
        <v>2155</v>
      </c>
      <c r="E18" s="3432" t="s">
        <v>2149</v>
      </c>
      <c r="F18" s="3432">
        <v>7</v>
      </c>
      <c r="G18" s="3432" t="s">
        <v>984</v>
      </c>
      <c r="H18" s="3432">
        <v>0.29714994768925784</v>
      </c>
      <c r="I18" s="3432">
        <v>0.42085279543125864</v>
      </c>
      <c r="J18" s="3432">
        <v>0.27764628992005491</v>
      </c>
      <c r="K18" s="3432">
        <v>-8.1809550237368356E-2</v>
      </c>
      <c r="L18" s="3432">
        <v>-0.12871298731774772</v>
      </c>
      <c r="M18" s="3432">
        <v>3.7927906775703235E-2</v>
      </c>
      <c r="N18" s="3432">
        <v>-5.2552756954824531E-2</v>
      </c>
      <c r="O18" s="3432">
        <v>5.2266216743838356E-2</v>
      </c>
      <c r="P18" s="3432">
        <v>0.40974038779498301</v>
      </c>
      <c r="Q18" s="3432">
        <v>-0.36936153326731969</v>
      </c>
      <c r="R18" s="3432">
        <v>-0.18476432241581264</v>
      </c>
      <c r="S18" s="3432">
        <v>0.74597284307220946</v>
      </c>
      <c r="T18" s="3432">
        <v>1.6690997749263801</v>
      </c>
      <c r="U18" s="3432">
        <v>-1.0581531304323484</v>
      </c>
      <c r="V18" s="3432">
        <v>-0.26519744346064655</v>
      </c>
      <c r="W18" s="3432">
        <v>0.26090000000000657</v>
      </c>
      <c r="X18" s="3432">
        <v>0.33770653397404971</v>
      </c>
      <c r="Y18" s="3432">
        <v>0.19162690931467097</v>
      </c>
      <c r="Z18" s="3432">
        <v>0.26539326719316847</v>
      </c>
      <c r="AA18" s="3432">
        <v>1.4475648188729195</v>
      </c>
      <c r="AB18" s="3432">
        <v>7.6073624423784736E-2</v>
      </c>
      <c r="AC18" s="3432">
        <v>-0.64598</v>
      </c>
      <c r="AD18" s="3432">
        <v>-0.64598</v>
      </c>
      <c r="AE18" s="3432">
        <v>-0.64598</v>
      </c>
    </row>
    <row r="19" spans="1:31">
      <c r="A19" s="3432" t="str">
        <f t="shared" si="2"/>
        <v>\\DG ECFIN\Forecast\Country databases\Desk transfer databases\BE</v>
      </c>
      <c r="B19" s="3432" t="str">
        <f t="shared" si="3"/>
        <v>BE</v>
      </c>
      <c r="C19" s="3432" t="s">
        <v>2147</v>
      </c>
      <c r="D19" s="3432" t="s">
        <v>2156</v>
      </c>
      <c r="E19" s="3432" t="s">
        <v>2149</v>
      </c>
      <c r="F19" s="3432">
        <v>8</v>
      </c>
      <c r="G19" s="3432" t="s">
        <v>1993</v>
      </c>
      <c r="H19" s="3432">
        <v>2.5425296215535447</v>
      </c>
      <c r="I19" s="3432">
        <v>3.5582276528923091</v>
      </c>
      <c r="J19" s="3432">
        <v>4.0320899590107944</v>
      </c>
      <c r="K19" s="3432">
        <v>2.8801063442519492</v>
      </c>
      <c r="L19" s="3432">
        <v>3.0929317052804679</v>
      </c>
      <c r="M19" s="3432">
        <v>4.675280900632063</v>
      </c>
      <c r="N19" s="3432">
        <v>5.6465667461908451</v>
      </c>
      <c r="O19" s="3432">
        <v>5.9584011497381795</v>
      </c>
      <c r="P19" s="3432">
        <v>5.9881962482544093</v>
      </c>
      <c r="Q19" s="3432">
        <v>8.0033086861882801</v>
      </c>
      <c r="R19" s="3432">
        <v>10.042384999611865</v>
      </c>
      <c r="S19" s="3432">
        <v>10.918790125144687</v>
      </c>
      <c r="T19" s="3432">
        <v>13.389717518550469</v>
      </c>
      <c r="U19" s="3432">
        <v>13.273888781694966</v>
      </c>
      <c r="V19" s="3432">
        <v>13.247249779119599</v>
      </c>
      <c r="W19" s="3432">
        <v>17.204669999999997</v>
      </c>
      <c r="X19" s="3432">
        <v>21.677140722838629</v>
      </c>
      <c r="Y19" s="3432">
        <v>24.512134664041998</v>
      </c>
      <c r="Z19" s="3432">
        <v>24.433200861337991</v>
      </c>
      <c r="AA19" s="3432">
        <v>23.563546467906711</v>
      </c>
      <c r="AB19" s="3432">
        <v>22.614434177780485</v>
      </c>
      <c r="AC19" s="3432">
        <v>24.59864798352611</v>
      </c>
      <c r="AD19" s="3432">
        <v>27.092071839999999</v>
      </c>
      <c r="AE19" s="3432">
        <v>28.934657829982079</v>
      </c>
    </row>
    <row r="20" spans="1:31">
      <c r="A20" s="3432" t="str">
        <f t="shared" si="2"/>
        <v>\\DG ECFIN\Forecast\Country databases\Desk transfer databases\BE</v>
      </c>
      <c r="B20" s="3432" t="str">
        <f t="shared" si="3"/>
        <v>BE</v>
      </c>
      <c r="C20" s="3432" t="s">
        <v>2147</v>
      </c>
      <c r="D20" s="3432" t="s">
        <v>2157</v>
      </c>
      <c r="E20" s="3432" t="s">
        <v>2149</v>
      </c>
      <c r="F20" s="3432">
        <v>9</v>
      </c>
      <c r="G20" s="3432" t="s">
        <v>1994</v>
      </c>
      <c r="H20" s="3432">
        <v>0.92606841168688081</v>
      </c>
      <c r="I20" s="3432">
        <v>1.289233727856085</v>
      </c>
      <c r="J20" s="3432">
        <v>1.5138076107842779</v>
      </c>
      <c r="K20" s="3432">
        <v>1.4500011118134242</v>
      </c>
      <c r="L20" s="3432">
        <v>1.3449920682821259</v>
      </c>
      <c r="M20" s="3432">
        <v>1.5186623828023997</v>
      </c>
      <c r="N20" s="3432">
        <v>1.7604304667258308</v>
      </c>
      <c r="O20" s="3432">
        <v>1.8350883503036941</v>
      </c>
      <c r="P20" s="3432">
        <v>2.0457752419700905</v>
      </c>
      <c r="Q20" s="3432">
        <v>2.4052909382391396</v>
      </c>
      <c r="R20" s="3432">
        <v>2.6956139394547867</v>
      </c>
      <c r="S20" s="3432">
        <v>2.8992930127687981</v>
      </c>
      <c r="T20" s="3432">
        <v>3.209988509818027</v>
      </c>
      <c r="U20" s="3432">
        <v>3.0192373763302123</v>
      </c>
      <c r="V20" s="3432">
        <v>3.3924261431794998</v>
      </c>
      <c r="W20" s="3432">
        <v>3.9303499999999993</v>
      </c>
      <c r="X20" s="3432">
        <v>4.6836539552457159</v>
      </c>
      <c r="Y20" s="3432">
        <v>5.3917809190834145</v>
      </c>
      <c r="Z20" s="3432">
        <v>5.9152858062493179</v>
      </c>
      <c r="AA20" s="3432">
        <v>5.9869669199016124</v>
      </c>
      <c r="AB20" s="3432">
        <v>6.7492574056871453</v>
      </c>
      <c r="AC20" s="3432">
        <v>8.0017304798635713</v>
      </c>
      <c r="AD20" s="3432">
        <v>8.8183810499999993</v>
      </c>
      <c r="AE20" s="3432">
        <v>9.4455884021812491</v>
      </c>
    </row>
    <row r="21" spans="1:31">
      <c r="A21" s="3432" t="str">
        <f t="shared" si="2"/>
        <v>\\DG ECFIN\Forecast\Country databases\Desk transfer databases\BE</v>
      </c>
      <c r="B21" s="3432" t="str">
        <f t="shared" si="3"/>
        <v>BE</v>
      </c>
      <c r="C21" s="3432" t="s">
        <v>2147</v>
      </c>
      <c r="D21" s="3432" t="s">
        <v>2158</v>
      </c>
      <c r="E21" s="3432" t="s">
        <v>2149</v>
      </c>
      <c r="F21" s="3432">
        <v>10</v>
      </c>
      <c r="G21" s="3432" t="s">
        <v>1701</v>
      </c>
      <c r="H21" s="3432">
        <v>3.7722757279715027</v>
      </c>
      <c r="I21" s="3432">
        <v>5.1931310124514134</v>
      </c>
      <c r="J21" s="3432">
        <v>5.7537053022853177</v>
      </c>
      <c r="K21" s="3432">
        <v>4.7761055134823653</v>
      </c>
      <c r="L21" s="3432">
        <v>4.834447611540706</v>
      </c>
      <c r="M21" s="3432">
        <v>6.1950230693412101</v>
      </c>
      <c r="N21" s="3432">
        <v>7.3034599408565191</v>
      </c>
      <c r="O21" s="3432">
        <v>7.5817939293708019</v>
      </c>
      <c r="P21" s="3432">
        <v>8.5996386781217531</v>
      </c>
      <c r="Q21" s="3432">
        <v>10.278685682999035</v>
      </c>
      <c r="R21" s="3432">
        <v>12.713954045357173</v>
      </c>
      <c r="S21" s="3432">
        <v>15.183482152866763</v>
      </c>
      <c r="T21" s="3432">
        <v>17.965945279182556</v>
      </c>
      <c r="U21" s="3432">
        <v>13.808270806085607</v>
      </c>
      <c r="V21" s="3432">
        <v>14.919855463290974</v>
      </c>
      <c r="W21" s="3432">
        <v>18.97306</v>
      </c>
      <c r="X21" s="3432">
        <v>22.513466175777655</v>
      </c>
      <c r="Y21" s="3432">
        <v>25.340790174376046</v>
      </c>
      <c r="Z21" s="3432">
        <v>25.611440938865478</v>
      </c>
      <c r="AA21" s="3432">
        <v>26.487065169064213</v>
      </c>
      <c r="AB21" s="3432">
        <v>25.022739903926134</v>
      </c>
      <c r="AC21" s="3432">
        <v>26.710417898364799</v>
      </c>
      <c r="AD21" s="3432">
        <v>29.621771549999995</v>
      </c>
      <c r="AE21" s="3432">
        <v>31.941156262364995</v>
      </c>
    </row>
    <row r="22" spans="1:31">
      <c r="A22" s="3432" t="str">
        <f t="shared" si="2"/>
        <v>\\DG ECFIN\Forecast\Country databases\Desk transfer databases\BE</v>
      </c>
      <c r="B22" s="3432" t="str">
        <f t="shared" si="3"/>
        <v>BE</v>
      </c>
      <c r="C22" s="3432" t="s">
        <v>2147</v>
      </c>
      <c r="D22" s="3432" t="s">
        <v>2159</v>
      </c>
      <c r="E22" s="3432" t="s">
        <v>2149</v>
      </c>
      <c r="F22" s="3432">
        <v>11</v>
      </c>
      <c r="G22" s="3432" t="s">
        <v>1702</v>
      </c>
      <c r="H22" s="3432">
        <v>0.80914652515132945</v>
      </c>
      <c r="I22" s="3432">
        <v>1.0278735399546439</v>
      </c>
      <c r="J22" s="3432">
        <v>1.0875952141019616</v>
      </c>
      <c r="K22" s="3432">
        <v>1.0044213433306373</v>
      </c>
      <c r="L22" s="3432">
        <v>0.78744619560131013</v>
      </c>
      <c r="M22" s="3432">
        <v>0.81110343936422258</v>
      </c>
      <c r="N22" s="3432">
        <v>1.0292535072525266</v>
      </c>
      <c r="O22" s="3432">
        <v>1.1983510271979427</v>
      </c>
      <c r="P22" s="3432">
        <v>1.376103111452424</v>
      </c>
      <c r="Q22" s="3432">
        <v>1.6571461018158751</v>
      </c>
      <c r="R22" s="3432">
        <v>1.9421344194201153</v>
      </c>
      <c r="S22" s="3432">
        <v>2.3955959597588108</v>
      </c>
      <c r="T22" s="3432">
        <v>2.7168480718631804</v>
      </c>
      <c r="U22" s="3432">
        <v>2.367776309878491</v>
      </c>
      <c r="V22" s="3432">
        <v>2.2190085277705345</v>
      </c>
      <c r="W22" s="3432">
        <v>2.6943299999999999</v>
      </c>
      <c r="X22" s="3432">
        <v>3.3508247889456748</v>
      </c>
      <c r="Y22" s="3432">
        <v>4.0467798034506419</v>
      </c>
      <c r="Z22" s="3432">
        <v>4.2355969688599862</v>
      </c>
      <c r="AA22" s="3432">
        <v>4.2033260633151137</v>
      </c>
      <c r="AB22" s="3432">
        <v>4.5475389925779508</v>
      </c>
      <c r="AC22" s="3432">
        <v>5.2033230788250053</v>
      </c>
      <c r="AD22" s="3432">
        <v>5.72553585</v>
      </c>
      <c r="AE22" s="3432">
        <v>6.1862697198494994</v>
      </c>
    </row>
    <row r="23" spans="1:31">
      <c r="A23" s="3432" t="str">
        <f t="shared" si="2"/>
        <v>\\DG ECFIN\Forecast\Country databases\Desk transfer databases\BE</v>
      </c>
      <c r="B23" s="3432" t="str">
        <f t="shared" si="3"/>
        <v>BE</v>
      </c>
      <c r="C23" s="3432" t="s">
        <v>2147</v>
      </c>
      <c r="D23" s="3432" t="s">
        <v>2160</v>
      </c>
      <c r="E23" s="3432" t="s">
        <v>2149</v>
      </c>
      <c r="F23" s="3432">
        <v>12</v>
      </c>
      <c r="G23" s="3432" t="s">
        <v>1704</v>
      </c>
      <c r="H23" s="3432">
        <v>8.1713275698400576</v>
      </c>
      <c r="I23" s="3432">
        <v>10.50490520255436</v>
      </c>
      <c r="J23" s="3432">
        <v>12.618124979631343</v>
      </c>
      <c r="K23" s="3432">
        <v>12.888940890404298</v>
      </c>
      <c r="L23" s="3432">
        <v>13.172433665997298</v>
      </c>
      <c r="M23" s="3432">
        <v>14.263795371054259</v>
      </c>
      <c r="N23" s="3432">
        <v>15.165140922806771</v>
      </c>
      <c r="O23" s="3432">
        <v>16.764327866626619</v>
      </c>
      <c r="P23" s="3432">
        <v>17.909991876551185</v>
      </c>
      <c r="Q23" s="3432">
        <v>19.647019274344096</v>
      </c>
      <c r="R23" s="3432">
        <v>22.557878660698041</v>
      </c>
      <c r="S23" s="3432">
        <v>26.748829729111595</v>
      </c>
      <c r="T23" s="3432">
        <v>29.803872461951531</v>
      </c>
      <c r="U23" s="3432">
        <v>27.85259653255882</v>
      </c>
      <c r="V23" s="3432">
        <v>27.376504448381109</v>
      </c>
      <c r="W23" s="3432">
        <v>29.721409999999995</v>
      </c>
      <c r="X23" s="3432">
        <v>32.472207175756466</v>
      </c>
      <c r="Y23" s="3432">
        <v>34.515202328020862</v>
      </c>
      <c r="Z23" s="3432">
        <v>36.196377535384471</v>
      </c>
      <c r="AA23" s="3432">
        <v>37.312322960551342</v>
      </c>
      <c r="AB23" s="3432">
        <v>38.304220191653336</v>
      </c>
      <c r="AC23" s="3432">
        <v>40.433610411171614</v>
      </c>
      <c r="AD23" s="3432">
        <v>43.083363642323164</v>
      </c>
      <c r="AE23" s="3432">
        <v>45.379921147033215</v>
      </c>
    </row>
    <row r="24" spans="1:31">
      <c r="A24" s="3432" t="str">
        <f t="shared" si="2"/>
        <v>\\DG ECFIN\Forecast\Country databases\Desk transfer databases\BE</v>
      </c>
      <c r="B24" s="3432" t="str">
        <f t="shared" si="3"/>
        <v>BE</v>
      </c>
      <c r="C24" s="3432" t="s">
        <v>2147</v>
      </c>
      <c r="D24" s="3432" t="s">
        <v>2161</v>
      </c>
      <c r="E24" s="3432" t="s">
        <v>2149</v>
      </c>
      <c r="F24" s="3432">
        <v>28</v>
      </c>
      <c r="G24" s="3432" t="s">
        <v>1854</v>
      </c>
      <c r="H24" s="3432" t="s">
        <v>2180</v>
      </c>
      <c r="I24" s="3432" t="s">
        <v>2180</v>
      </c>
      <c r="J24" s="3432" t="s">
        <v>2180</v>
      </c>
      <c r="K24" s="3432" t="s">
        <v>2180</v>
      </c>
      <c r="L24" s="3432">
        <v>0.34685224839400425</v>
      </c>
      <c r="M24" s="3432">
        <v>0.34628479657387584</v>
      </c>
      <c r="N24" s="3432">
        <v>0.48359743040685232</v>
      </c>
      <c r="O24" s="3432">
        <v>0.54923982869379029</v>
      </c>
      <c r="P24" s="3432">
        <v>0.70425053533190574</v>
      </c>
      <c r="Q24" s="3432">
        <v>0.81100642398286948</v>
      </c>
      <c r="R24" s="3432">
        <v>1.1020663811563167</v>
      </c>
      <c r="S24" s="3432">
        <v>1.6834689507494647</v>
      </c>
      <c r="T24" s="3432">
        <v>1.8834582441113492</v>
      </c>
      <c r="U24" s="3432">
        <v>1.2732334047109208</v>
      </c>
      <c r="V24" s="3432">
        <v>1.3570048780487807</v>
      </c>
      <c r="W24" s="3432">
        <v>1.4431512195121954</v>
      </c>
      <c r="X24" s="3432">
        <v>1.2939804878048782</v>
      </c>
      <c r="Y24" s="3432">
        <v>1.2775414634146343</v>
      </c>
      <c r="Z24" s="3432">
        <v>1.2516878048780489</v>
      </c>
      <c r="AA24" s="3432">
        <v>1.3409853658536586</v>
      </c>
      <c r="AB24" s="3432">
        <v>1.1652424242424242</v>
      </c>
      <c r="AC24" s="3432">
        <v>1.1881976999999999</v>
      </c>
      <c r="AD24" s="3432">
        <v>1.3153341409813797</v>
      </c>
      <c r="AE24" s="3432">
        <v>1.4157599026453078</v>
      </c>
    </row>
    <row r="25" spans="1:31">
      <c r="A25" s="3432" t="str">
        <f t="shared" si="2"/>
        <v>\\DG ECFIN\Forecast\Country databases\Desk transfer databases\BE</v>
      </c>
      <c r="B25" s="3432" t="str">
        <f t="shared" si="3"/>
        <v>BE</v>
      </c>
      <c r="C25" s="3432" t="s">
        <v>2147</v>
      </c>
      <c r="D25" s="3432" t="s">
        <v>2162</v>
      </c>
      <c r="E25" s="3432" t="s">
        <v>2149</v>
      </c>
      <c r="F25" s="3432">
        <v>31</v>
      </c>
      <c r="G25" s="3432" t="s">
        <v>1858</v>
      </c>
      <c r="H25" s="3432">
        <v>0.17832482912181075</v>
      </c>
      <c r="I25" s="3432">
        <v>0.18278017170329669</v>
      </c>
      <c r="J25" s="3432">
        <v>0.18995445742391637</v>
      </c>
      <c r="K25" s="3432">
        <v>0.20994319211822662</v>
      </c>
      <c r="L25" s="3432">
        <v>0.23297373703933605</v>
      </c>
      <c r="M25" s="3432">
        <v>0.2262220937591993</v>
      </c>
      <c r="N25" s="3432">
        <v>0.20058687433910022</v>
      </c>
      <c r="O25" s="3432">
        <v>0.23057564403834707</v>
      </c>
      <c r="P25" s="3432">
        <v>0.38885539822452958</v>
      </c>
      <c r="Q25" s="3432">
        <v>0.41865151567542663</v>
      </c>
      <c r="R25" s="3432">
        <v>0.55030292247093859</v>
      </c>
      <c r="S25" s="3432">
        <v>0.69978260259419001</v>
      </c>
      <c r="T25" s="3432">
        <v>1.009917155713832</v>
      </c>
      <c r="U25" s="3432">
        <v>1.0269807603650818</v>
      </c>
      <c r="V25" s="3432">
        <v>0.61767241758767533</v>
      </c>
      <c r="W25" s="3432">
        <v>0.59385999999999994</v>
      </c>
      <c r="X25" s="3432">
        <v>0.63016528727309451</v>
      </c>
      <c r="Y25" s="3432">
        <v>0.72428201103334722</v>
      </c>
      <c r="Z25" s="3432">
        <v>0.8849715104174356</v>
      </c>
      <c r="AA25" s="3432">
        <v>1.0493143864612278</v>
      </c>
      <c r="AB25" s="3432">
        <v>1.1247678027438224</v>
      </c>
      <c r="AC25" s="3432">
        <v>1.1071820347568258</v>
      </c>
      <c r="AD25" s="3432">
        <v>1.16537895</v>
      </c>
      <c r="AE25" s="3432">
        <v>1.2255055115462998</v>
      </c>
    </row>
    <row r="26" spans="1:31">
      <c r="A26" s="3432" t="str">
        <f t="shared" si="2"/>
        <v>\\DG ECFIN\Forecast\Country databases\Desk transfer databases\BE</v>
      </c>
      <c r="B26" s="3432" t="str">
        <f t="shared" si="3"/>
        <v>BE</v>
      </c>
      <c r="C26" s="3432" t="s">
        <v>2147</v>
      </c>
      <c r="D26" s="3432" t="s">
        <v>2163</v>
      </c>
      <c r="E26" s="3432" t="s">
        <v>2149</v>
      </c>
      <c r="F26" s="3432">
        <v>33</v>
      </c>
      <c r="G26" s="3432" t="s">
        <v>1058</v>
      </c>
      <c r="H26" s="3432">
        <v>0.20604</v>
      </c>
      <c r="I26" s="3432">
        <v>0.20293</v>
      </c>
      <c r="J26" s="3432">
        <v>0.19841</v>
      </c>
      <c r="K26" s="3432">
        <v>0.21308000000000002</v>
      </c>
      <c r="L26" s="3432">
        <v>0.23457</v>
      </c>
      <c r="M26" s="3432">
        <v>0.22356999999999999</v>
      </c>
      <c r="N26" s="3432">
        <v>0.20157</v>
      </c>
      <c r="O26" s="3432">
        <v>0.23341000000000001</v>
      </c>
      <c r="P26" s="3432">
        <v>0.41874</v>
      </c>
      <c r="Q26" s="3432">
        <v>0.45415</v>
      </c>
      <c r="R26" s="3432">
        <v>0.60914999999999997</v>
      </c>
      <c r="S26" s="3432">
        <v>0.81238999999999995</v>
      </c>
      <c r="T26" s="3432">
        <v>1.1063099999999999</v>
      </c>
      <c r="U26" s="3432">
        <v>0.87808000000000008</v>
      </c>
      <c r="V26" s="3432">
        <v>0.58810000000000007</v>
      </c>
      <c r="W26" s="3432">
        <v>0.61626999999999998</v>
      </c>
      <c r="X26" s="3432">
        <v>0.64944000000000002</v>
      </c>
      <c r="Y26" s="3432">
        <v>0.75691999999999993</v>
      </c>
      <c r="Z26" s="3432">
        <v>0.91334000000000004</v>
      </c>
      <c r="AA26" s="3432">
        <v>1.05339</v>
      </c>
      <c r="AB26" s="3432">
        <v>1.1606800000000002</v>
      </c>
      <c r="AC26" s="3432">
        <v>1.1259700000000001</v>
      </c>
      <c r="AD26" s="3432">
        <v>1.2038364553499998</v>
      </c>
      <c r="AE26" s="3432">
        <v>1.2659471934273276</v>
      </c>
    </row>
    <row r="27" spans="1:31">
      <c r="A27" s="3432" t="str">
        <f t="shared" si="2"/>
        <v>\\DG ECFIN\Forecast\Country databases\Desk transfer databases\BE</v>
      </c>
      <c r="B27" s="3432" t="str">
        <f t="shared" si="3"/>
        <v>BE</v>
      </c>
      <c r="C27" s="3432" t="s">
        <v>2147</v>
      </c>
      <c r="D27" s="3432" t="s">
        <v>2164</v>
      </c>
      <c r="E27" s="3432" t="s">
        <v>2149</v>
      </c>
      <c r="F27" s="3432">
        <v>36</v>
      </c>
      <c r="G27" s="3432" t="s">
        <v>1894</v>
      </c>
      <c r="H27" s="3432">
        <v>6.2328599999999996</v>
      </c>
      <c r="I27" s="3432">
        <v>7.1923199999999996</v>
      </c>
      <c r="J27" s="3432">
        <v>7.9673100000000003</v>
      </c>
      <c r="K27" s="3432">
        <v>8.2599499999999999</v>
      </c>
      <c r="L27" s="3432">
        <v>8.691889999999999</v>
      </c>
      <c r="M27" s="3432">
        <v>9.2690300000000008</v>
      </c>
      <c r="N27" s="3432">
        <v>9.8024199999999997</v>
      </c>
      <c r="O27" s="3432">
        <v>10.739979999999999</v>
      </c>
      <c r="P27" s="3432">
        <v>11.88908</v>
      </c>
      <c r="Q27" s="3432">
        <v>13.583080000000001</v>
      </c>
      <c r="R27" s="3432">
        <v>15.509840000000001</v>
      </c>
      <c r="S27" s="3432">
        <v>18.460609999999999</v>
      </c>
      <c r="T27" s="3432">
        <v>21.260830000000002</v>
      </c>
      <c r="U27" s="3432">
        <v>18.33539</v>
      </c>
      <c r="V27" s="3432">
        <v>17.945540000000001</v>
      </c>
      <c r="W27" s="3432">
        <v>19.543849999999999</v>
      </c>
      <c r="X27" s="3432">
        <v>20.77008</v>
      </c>
      <c r="Y27" s="3432">
        <v>21.881709999999998</v>
      </c>
      <c r="Z27" s="3432">
        <v>22.776820000000001</v>
      </c>
      <c r="AA27" s="3432">
        <v>23.47364</v>
      </c>
      <c r="AB27" s="3432">
        <v>24.863340000000001</v>
      </c>
      <c r="AC27" s="3432">
        <v>26.80039</v>
      </c>
      <c r="AD27" s="3432">
        <v>28.459602144899996</v>
      </c>
      <c r="AE27" s="3432">
        <v>30.045541934026691</v>
      </c>
    </row>
    <row r="28" spans="1:31">
      <c r="A28" s="3432" t="str">
        <f t="shared" si="2"/>
        <v>\\DG ECFIN\Forecast\Country databases\Desk transfer databases\BE</v>
      </c>
      <c r="B28" s="3432" t="str">
        <f t="shared" si="3"/>
        <v>BE</v>
      </c>
      <c r="C28" s="3432" t="s">
        <v>2147</v>
      </c>
      <c r="D28" s="3432" t="s">
        <v>2165</v>
      </c>
      <c r="E28" s="3432" t="s">
        <v>2149</v>
      </c>
      <c r="F28" s="3432">
        <v>37</v>
      </c>
      <c r="G28" s="3432" t="s">
        <v>1896</v>
      </c>
      <c r="H28" s="3432">
        <v>2.3385500000000001</v>
      </c>
      <c r="I28" s="3432">
        <v>2.83216</v>
      </c>
      <c r="J28" s="3432">
        <v>3.3704699999999996</v>
      </c>
      <c r="K28" s="3432">
        <v>3.0081500000000001</v>
      </c>
      <c r="L28" s="3432">
        <v>2.9951300000000001</v>
      </c>
      <c r="M28" s="3432">
        <v>3.0014400000000001</v>
      </c>
      <c r="N28" s="3432">
        <v>3.1259200000000003</v>
      </c>
      <c r="O28" s="3432">
        <v>3.2591100000000002</v>
      </c>
      <c r="P28" s="3432">
        <v>3.4954899999999998</v>
      </c>
      <c r="Q28" s="3432">
        <v>3.8864099999999997</v>
      </c>
      <c r="R28" s="3432">
        <v>4.6055000000000001</v>
      </c>
      <c r="S28" s="3432">
        <v>5.0668299999999995</v>
      </c>
      <c r="T28" s="3432">
        <v>6.1008000000000004</v>
      </c>
      <c r="U28" s="3432">
        <v>5.71983</v>
      </c>
      <c r="V28" s="3432">
        <v>5.5633800000000004</v>
      </c>
      <c r="W28" s="3432">
        <v>5.7373199999999995</v>
      </c>
      <c r="X28" s="3432">
        <v>5.8306800000000001</v>
      </c>
      <c r="Y28" s="3432">
        <v>5.83697</v>
      </c>
      <c r="Z28" s="3432">
        <v>6.0733300000000003</v>
      </c>
      <c r="AA28" s="3432">
        <v>6.4287700000000001</v>
      </c>
      <c r="AB28" s="3432">
        <v>6.63687</v>
      </c>
      <c r="AC28" s="3432">
        <v>6.9080500000000002</v>
      </c>
      <c r="AD28" s="3432">
        <v>7.2979828955879995</v>
      </c>
      <c r="AE28" s="3432">
        <v>7.6726989950392293</v>
      </c>
    </row>
    <row r="29" spans="1:31">
      <c r="A29" s="3432" t="str">
        <f t="shared" si="2"/>
        <v>\\DG ECFIN\Forecast\Country databases\Desk transfer databases\BE</v>
      </c>
      <c r="B29" s="3432" t="str">
        <f t="shared" si="3"/>
        <v>BE</v>
      </c>
      <c r="C29" s="3432" t="s">
        <v>2147</v>
      </c>
      <c r="D29" s="3432" t="s">
        <v>2166</v>
      </c>
      <c r="E29" s="3432" t="s">
        <v>2149</v>
      </c>
      <c r="F29" s="3432">
        <v>38</v>
      </c>
      <c r="G29" s="3432" t="s">
        <v>1898</v>
      </c>
      <c r="H29" s="3432">
        <v>1.99884</v>
      </c>
      <c r="I29" s="3432">
        <v>2.6227300000000002</v>
      </c>
      <c r="J29" s="3432">
        <v>3.1101300000000003</v>
      </c>
      <c r="K29" s="3432">
        <v>2.7903200000000004</v>
      </c>
      <c r="L29" s="3432">
        <v>2.5566900000000001</v>
      </c>
      <c r="M29" s="3432">
        <v>2.9120400000000002</v>
      </c>
      <c r="N29" s="3432">
        <v>3.1459000000000001</v>
      </c>
      <c r="O29" s="3432">
        <v>3.5902800000000004</v>
      </c>
      <c r="P29" s="3432">
        <v>4.1760000000000002</v>
      </c>
      <c r="Q29" s="3432">
        <v>4.9113800000000003</v>
      </c>
      <c r="R29" s="3432">
        <v>6.2428999999999997</v>
      </c>
      <c r="S29" s="3432">
        <v>8.2986699999999995</v>
      </c>
      <c r="T29" s="3432">
        <v>8.5133200000000002</v>
      </c>
      <c r="U29" s="3432">
        <v>4.8105200000000004</v>
      </c>
      <c r="V29" s="3432">
        <v>4.7263000000000002</v>
      </c>
      <c r="W29" s="3432">
        <v>5.78111</v>
      </c>
      <c r="X29" s="3432">
        <v>5.78803</v>
      </c>
      <c r="Y29" s="3432">
        <v>6.4548800000000002</v>
      </c>
      <c r="Z29" s="3432">
        <v>6.9054899999999995</v>
      </c>
      <c r="AA29" s="3432">
        <v>7.3252199999999998</v>
      </c>
      <c r="AB29" s="3432">
        <v>7.3141999999999996</v>
      </c>
      <c r="AC29" s="3432">
        <v>7.8803900000000002</v>
      </c>
      <c r="AD29" s="3432">
        <v>8.6125183729499977</v>
      </c>
      <c r="AE29" s="3432">
        <v>9.1844008740182197</v>
      </c>
    </row>
    <row r="30" spans="1:31">
      <c r="A30" s="3432" t="str">
        <f t="shared" si="2"/>
        <v>\\DG ECFIN\Forecast\Country databases\Desk transfer databases\BE</v>
      </c>
      <c r="B30" s="3432" t="str">
        <f t="shared" si="3"/>
        <v>BE</v>
      </c>
      <c r="C30" s="3432" t="s">
        <v>2147</v>
      </c>
      <c r="D30" s="3432" t="s">
        <v>2167</v>
      </c>
      <c r="E30" s="3432" t="s">
        <v>2149</v>
      </c>
      <c r="F30" s="3432">
        <v>39</v>
      </c>
      <c r="G30" s="3432" t="s">
        <v>1899</v>
      </c>
      <c r="H30" s="3432">
        <v>1.0797399999999999</v>
      </c>
      <c r="I30" s="3432">
        <v>1.3854500000000001</v>
      </c>
      <c r="J30" s="3432">
        <v>1.7663</v>
      </c>
      <c r="K30" s="3432">
        <v>1.6463800000000002</v>
      </c>
      <c r="L30" s="3432">
        <v>1.3832800000000001</v>
      </c>
      <c r="M30" s="3432">
        <v>1.49675</v>
      </c>
      <c r="N30" s="3432">
        <v>1.66652</v>
      </c>
      <c r="O30" s="3432">
        <v>2.0240200000000002</v>
      </c>
      <c r="P30" s="3432">
        <v>2.2777099999999999</v>
      </c>
      <c r="Q30" s="3432">
        <v>2.7256999999999998</v>
      </c>
      <c r="R30" s="3432">
        <v>3.6503000000000001</v>
      </c>
      <c r="S30" s="3432">
        <v>5.0291000000000006</v>
      </c>
      <c r="T30" s="3432">
        <v>5.5456799999999999</v>
      </c>
      <c r="U30" s="3432">
        <v>3.1168200000000001</v>
      </c>
      <c r="V30" s="3432">
        <v>2.7720100000000003</v>
      </c>
      <c r="W30" s="3432">
        <v>3.29731</v>
      </c>
      <c r="X30" s="3432">
        <v>3.2665300000000004</v>
      </c>
      <c r="Y30" s="3432">
        <v>3.6736200000000001</v>
      </c>
      <c r="Z30" s="3432">
        <v>4.0761500000000002</v>
      </c>
      <c r="AA30" s="3432">
        <v>4.0977600000000001</v>
      </c>
      <c r="AB30" s="3432">
        <v>3.7851399999999997</v>
      </c>
      <c r="AC30" s="3432">
        <v>4.0979200000000002</v>
      </c>
      <c r="AD30" s="3432">
        <v>4.473412388099999</v>
      </c>
      <c r="AE30" s="3432">
        <v>4.8089152569460829</v>
      </c>
    </row>
    <row r="31" spans="1:31">
      <c r="A31" s="3432" t="str">
        <f t="shared" si="2"/>
        <v>\\DG ECFIN\Forecast\Country databases\Desk transfer databases\BE</v>
      </c>
      <c r="B31" s="3432" t="str">
        <f t="shared" si="3"/>
        <v>BE</v>
      </c>
      <c r="C31" s="3432" t="s">
        <v>2147</v>
      </c>
      <c r="D31" s="3432" t="s">
        <v>2168</v>
      </c>
      <c r="E31" s="3432" t="s">
        <v>2149</v>
      </c>
      <c r="F31" s="3432">
        <v>40</v>
      </c>
      <c r="G31" s="3432" t="s">
        <v>1718</v>
      </c>
      <c r="H31" s="3432">
        <v>0.82804</v>
      </c>
      <c r="I31" s="3432">
        <v>1.1324100000000001</v>
      </c>
      <c r="J31" s="3432">
        <v>1.2478</v>
      </c>
      <c r="K31" s="3432">
        <v>1.0569000000000002</v>
      </c>
      <c r="L31" s="3432">
        <v>0.98738999999999999</v>
      </c>
      <c r="M31" s="3432">
        <v>1.2044900000000001</v>
      </c>
      <c r="N31" s="3432">
        <v>1.2764800000000001</v>
      </c>
      <c r="O31" s="3432">
        <v>1.3368100000000001</v>
      </c>
      <c r="P31" s="3432">
        <v>1.6379900000000001</v>
      </c>
      <c r="Q31" s="3432">
        <v>1.8569899999999999</v>
      </c>
      <c r="R31" s="3432">
        <v>2.161</v>
      </c>
      <c r="S31" s="3432">
        <v>2.7182300000000001</v>
      </c>
      <c r="T31" s="3432">
        <v>2.3092899999999998</v>
      </c>
      <c r="U31" s="3432">
        <v>1.14832</v>
      </c>
      <c r="V31" s="3432">
        <v>1.3708499999999999</v>
      </c>
      <c r="W31" s="3432">
        <v>1.8810799999999999</v>
      </c>
      <c r="X31" s="3432">
        <v>1.9435799999999999</v>
      </c>
      <c r="Y31" s="3432">
        <v>2.1889499999999997</v>
      </c>
      <c r="Z31" s="3432">
        <v>2.1718500000000001</v>
      </c>
      <c r="AA31" s="3432">
        <v>2.4741399999999998</v>
      </c>
      <c r="AB31" s="3432">
        <v>2.6825300000000003</v>
      </c>
      <c r="AC31" s="3432">
        <v>2.8599899999999998</v>
      </c>
      <c r="AD31" s="3432">
        <v>3.149635487249999</v>
      </c>
      <c r="AE31" s="3432">
        <v>3.3311489803802168</v>
      </c>
    </row>
    <row r="32" spans="1:31">
      <c r="A32" s="3432" t="str">
        <f t="shared" si="2"/>
        <v>\\DG ECFIN\Forecast\Country databases\Desk transfer databases\BE</v>
      </c>
      <c r="B32" s="3432" t="str">
        <f t="shared" si="3"/>
        <v>BE</v>
      </c>
      <c r="C32" s="3432" t="s">
        <v>2147</v>
      </c>
      <c r="D32" s="3432" t="s">
        <v>2169</v>
      </c>
      <c r="E32" s="3432" t="s">
        <v>2149</v>
      </c>
      <c r="F32" s="3432">
        <v>41</v>
      </c>
      <c r="G32" s="3432" t="s">
        <v>1533</v>
      </c>
      <c r="H32" s="3432">
        <v>9.1049999999999992E-2</v>
      </c>
      <c r="I32" s="3432">
        <v>0.10487</v>
      </c>
      <c r="J32" s="3432">
        <v>9.6039999999999986E-2</v>
      </c>
      <c r="K32" s="3432">
        <v>8.7039999999999992E-2</v>
      </c>
      <c r="L32" s="3432">
        <v>0.18602000000000002</v>
      </c>
      <c r="M32" s="3432">
        <v>0.21079000000000001</v>
      </c>
      <c r="N32" s="3432">
        <v>0.20289999999999997</v>
      </c>
      <c r="O32" s="3432">
        <v>0.22945000000000002</v>
      </c>
      <c r="P32" s="3432">
        <v>0.26030000000000003</v>
      </c>
      <c r="Q32" s="3432">
        <v>0.32870000000000005</v>
      </c>
      <c r="R32" s="3432">
        <v>0.43160999999999999</v>
      </c>
      <c r="S32" s="3432">
        <v>0.5513499999999999</v>
      </c>
      <c r="T32" s="3432">
        <v>0.65833999999999993</v>
      </c>
      <c r="U32" s="3432">
        <v>0.54539000000000004</v>
      </c>
      <c r="V32" s="3432">
        <v>0.58343999999999996</v>
      </c>
      <c r="W32" s="3432">
        <v>0.60272000000000003</v>
      </c>
      <c r="X32" s="3432">
        <v>0.57791999999999999</v>
      </c>
      <c r="Y32" s="3432">
        <v>0.59230999999999989</v>
      </c>
      <c r="Z32" s="3432">
        <v>0.65749000000000002</v>
      </c>
      <c r="AA32" s="3432">
        <v>0.75331999999999999</v>
      </c>
      <c r="AB32" s="3432">
        <v>0.84651999999999994</v>
      </c>
      <c r="AC32" s="3432">
        <v>0.92247999999999986</v>
      </c>
      <c r="AD32" s="3432">
        <v>0.98947049759999994</v>
      </c>
      <c r="AE32" s="3432">
        <v>1.0443366366919198</v>
      </c>
    </row>
    <row r="33" spans="1:31">
      <c r="A33" s="3432" t="str">
        <f t="shared" si="2"/>
        <v>\\DG ECFIN\Forecast\Country databases\Desk transfer databases\BE</v>
      </c>
      <c r="B33" s="3432" t="str">
        <f t="shared" si="3"/>
        <v>BE</v>
      </c>
      <c r="C33" s="3432" t="s">
        <v>2147</v>
      </c>
      <c r="D33" s="3432" t="s">
        <v>2170</v>
      </c>
      <c r="E33" s="3432" t="s">
        <v>2149</v>
      </c>
      <c r="F33" s="3432">
        <v>42</v>
      </c>
      <c r="G33" s="3432" t="s">
        <v>1535</v>
      </c>
      <c r="H33" s="3432">
        <v>4.6679999999999999E-2</v>
      </c>
      <c r="I33" s="3432">
        <v>0.25845999999999997</v>
      </c>
      <c r="J33" s="3432">
        <v>5.8840000000000003E-2</v>
      </c>
      <c r="K33" s="3432">
        <v>-7.7159999999999992E-2</v>
      </c>
      <c r="L33" s="3432">
        <v>-4.8979999999999996E-2</v>
      </c>
      <c r="M33" s="3432">
        <v>-0.21227000000000001</v>
      </c>
      <c r="N33" s="3432">
        <v>-9.2399999999999999E-3</v>
      </c>
      <c r="O33" s="3432">
        <v>4.3630000000000002E-2</v>
      </c>
      <c r="P33" s="3432">
        <v>-3.9409999999999994E-2</v>
      </c>
      <c r="Q33" s="3432">
        <v>0.14046</v>
      </c>
      <c r="R33" s="3432">
        <v>0.19234000000000001</v>
      </c>
      <c r="S33" s="3432">
        <v>1.0260799999999999</v>
      </c>
      <c r="T33" s="3432">
        <v>0.60474000000000006</v>
      </c>
      <c r="U33" s="3432">
        <v>-1.47837</v>
      </c>
      <c r="V33" s="3432">
        <v>0.31864999999999999</v>
      </c>
      <c r="W33" s="3432">
        <v>1.0107000000000002</v>
      </c>
      <c r="X33" s="3432">
        <v>0.67282000000000008</v>
      </c>
      <c r="Y33" s="3432">
        <v>0.34885000000000005</v>
      </c>
      <c r="Z33" s="3432">
        <v>5.3120000000000001E-2</v>
      </c>
      <c r="AA33" s="3432">
        <v>0.37847000000000003</v>
      </c>
      <c r="AB33" s="3432">
        <v>-0.64598</v>
      </c>
      <c r="AC33" s="3432">
        <v>-0.64598</v>
      </c>
      <c r="AD33" s="3432">
        <v>-0.64598</v>
      </c>
      <c r="AE33" s="3432">
        <v>-0.64598</v>
      </c>
    </row>
    <row r="34" spans="1:31">
      <c r="A34" s="3432" t="str">
        <f t="shared" si="2"/>
        <v>\\DG ECFIN\Forecast\Country databases\Desk transfer databases\BE</v>
      </c>
      <c r="B34" s="3432" t="str">
        <f t="shared" si="3"/>
        <v>BE</v>
      </c>
      <c r="C34" s="3432" t="s">
        <v>2147</v>
      </c>
      <c r="D34" s="3432" t="s">
        <v>2171</v>
      </c>
      <c r="E34" s="3432" t="s">
        <v>2149</v>
      </c>
      <c r="F34" s="3432">
        <v>43</v>
      </c>
      <c r="G34" s="3432" t="s">
        <v>1537</v>
      </c>
      <c r="H34" s="3432">
        <v>3.0038</v>
      </c>
      <c r="I34" s="3432">
        <v>3.9206799999999999</v>
      </c>
      <c r="J34" s="3432">
        <v>3.6490900000000002</v>
      </c>
      <c r="K34" s="3432">
        <v>2.6903600000000001</v>
      </c>
      <c r="L34" s="3432">
        <v>3.7535700000000003</v>
      </c>
      <c r="M34" s="3432">
        <v>4.7400900000000004</v>
      </c>
      <c r="N34" s="3432">
        <v>5.4628900000000007</v>
      </c>
      <c r="O34" s="3432">
        <v>5.86646</v>
      </c>
      <c r="P34" s="3432">
        <v>6.4061000000000003</v>
      </c>
      <c r="Q34" s="3432">
        <v>8.8599300000000003</v>
      </c>
      <c r="R34" s="3432">
        <v>10.509169999999999</v>
      </c>
      <c r="S34" s="3432">
        <v>11.53453</v>
      </c>
      <c r="T34" s="3432">
        <v>15.235940000000001</v>
      </c>
      <c r="U34" s="3432">
        <v>11.055719999999999</v>
      </c>
      <c r="V34" s="3432">
        <v>14.891</v>
      </c>
      <c r="W34" s="3432">
        <v>19.421950000000002</v>
      </c>
      <c r="X34" s="3432">
        <v>22.427160000000001</v>
      </c>
      <c r="Y34" s="3432">
        <v>23.99766</v>
      </c>
      <c r="Z34" s="3432">
        <v>23.749599999999997</v>
      </c>
      <c r="AA34" s="3432">
        <v>22.30939</v>
      </c>
      <c r="AB34" s="3432">
        <v>21.92191</v>
      </c>
      <c r="AC34" s="3432">
        <v>25.75292</v>
      </c>
      <c r="AD34" s="3432">
        <v>27.715189492319997</v>
      </c>
      <c r="AE34" s="3432">
        <v>29.51335098658172</v>
      </c>
    </row>
    <row r="35" spans="1:31">
      <c r="A35" s="3432" t="str">
        <f t="shared" si="2"/>
        <v>\\DG ECFIN\Forecast\Country databases\Desk transfer databases\BE</v>
      </c>
      <c r="B35" s="3432" t="str">
        <f t="shared" si="3"/>
        <v>BE</v>
      </c>
      <c r="C35" s="3432" t="s">
        <v>2147</v>
      </c>
      <c r="D35" s="3432" t="s">
        <v>2172</v>
      </c>
      <c r="E35" s="3432" t="s">
        <v>2149</v>
      </c>
      <c r="F35" s="3432">
        <v>44</v>
      </c>
      <c r="G35" s="3432" t="s">
        <v>1538</v>
      </c>
      <c r="H35" s="3432">
        <v>1.0703499999999999</v>
      </c>
      <c r="I35" s="3432">
        <v>1.35138</v>
      </c>
      <c r="J35" s="3432">
        <v>1.4457200000000001</v>
      </c>
      <c r="K35" s="3432">
        <v>1.43018</v>
      </c>
      <c r="L35" s="3432">
        <v>1.3992899999999999</v>
      </c>
      <c r="M35" s="3432">
        <v>1.5115499999999999</v>
      </c>
      <c r="N35" s="3432">
        <v>1.73414</v>
      </c>
      <c r="O35" s="3432">
        <v>1.8293299999999999</v>
      </c>
      <c r="P35" s="3432">
        <v>2.22885</v>
      </c>
      <c r="Q35" s="3432">
        <v>2.44821</v>
      </c>
      <c r="R35" s="3432">
        <v>2.8837299999999999</v>
      </c>
      <c r="S35" s="3432">
        <v>3.0898499999999998</v>
      </c>
      <c r="T35" s="3432">
        <v>3.4463900000000001</v>
      </c>
      <c r="U35" s="3432">
        <v>2.9340100000000002</v>
      </c>
      <c r="V35" s="3432">
        <v>3.4228700000000001</v>
      </c>
      <c r="W35" s="3432">
        <v>4.0331000000000001</v>
      </c>
      <c r="X35" s="3432">
        <v>4.79291</v>
      </c>
      <c r="Y35" s="3432">
        <v>5.3902099999999997</v>
      </c>
      <c r="Z35" s="3432">
        <v>5.9084300000000001</v>
      </c>
      <c r="AA35" s="3432">
        <v>6.0737700000000006</v>
      </c>
      <c r="AB35" s="3432">
        <v>6.8672200000000005</v>
      </c>
      <c r="AC35" s="3432">
        <v>8.28017</v>
      </c>
      <c r="AD35" s="3432">
        <v>9.0388405762499993</v>
      </c>
      <c r="AE35" s="3432">
        <v>9.6439457586270549</v>
      </c>
    </row>
    <row r="36" spans="1:31">
      <c r="A36" s="3432" t="str">
        <f t="shared" si="2"/>
        <v>\\DG ECFIN\Forecast\Country databases\Desk transfer databases\BE</v>
      </c>
      <c r="B36" s="3432" t="str">
        <f t="shared" si="3"/>
        <v>BE</v>
      </c>
      <c r="C36" s="3432" t="s">
        <v>2147</v>
      </c>
      <c r="D36" s="3432" t="s">
        <v>2173</v>
      </c>
      <c r="E36" s="3432" t="s">
        <v>2149</v>
      </c>
      <c r="F36" s="3432">
        <v>45</v>
      </c>
      <c r="G36" s="3432" t="s">
        <v>1540</v>
      </c>
      <c r="H36" s="3432">
        <v>4.1607299999999992</v>
      </c>
      <c r="I36" s="3432">
        <v>5.3754900000000001</v>
      </c>
      <c r="J36" s="3432">
        <v>5.5405500000000005</v>
      </c>
      <c r="K36" s="3432">
        <v>4.4459099999999996</v>
      </c>
      <c r="L36" s="3432">
        <v>5.16289</v>
      </c>
      <c r="M36" s="3432">
        <v>6.1563999999999997</v>
      </c>
      <c r="N36" s="3432">
        <v>7.0094200000000004</v>
      </c>
      <c r="O36" s="3432">
        <v>7.4975899999999998</v>
      </c>
      <c r="P36" s="3432">
        <v>8.5758600000000005</v>
      </c>
      <c r="Q36" s="3432">
        <v>11.15601</v>
      </c>
      <c r="R36" s="3432">
        <v>13.828059999999999</v>
      </c>
      <c r="S36" s="3432">
        <v>15.942170000000001</v>
      </c>
      <c r="T36" s="3432">
        <v>19.60248</v>
      </c>
      <c r="U36" s="3432">
        <v>12.223049999999999</v>
      </c>
      <c r="V36" s="3432">
        <v>16.539330000000003</v>
      </c>
      <c r="W36" s="3432">
        <v>21.486979999999999</v>
      </c>
      <c r="X36" s="3432">
        <v>23.529599999999999</v>
      </c>
      <c r="Y36" s="3432">
        <v>24.917590000000001</v>
      </c>
      <c r="Z36" s="3432">
        <v>24.68638</v>
      </c>
      <c r="AA36" s="3432">
        <v>24.296279999999999</v>
      </c>
      <c r="AB36" s="3432">
        <v>23.690349999999999</v>
      </c>
      <c r="AC36" s="3432">
        <v>27.813869999999998</v>
      </c>
      <c r="AD36" s="3432">
        <v>30.362315838749993</v>
      </c>
      <c r="AE36" s="3432">
        <v>32.420273606300469</v>
      </c>
    </row>
    <row r="37" spans="1:31" ht="12" customHeight="1">
      <c r="A37" s="3432" t="str">
        <f t="shared" si="2"/>
        <v>\\DG ECFIN\Forecast\Country databases\Desk transfer databases\BE</v>
      </c>
      <c r="B37" s="3432" t="str">
        <f t="shared" si="3"/>
        <v>BE</v>
      </c>
      <c r="C37" s="3432" t="s">
        <v>2147</v>
      </c>
      <c r="D37" s="3432" t="s">
        <v>2174</v>
      </c>
      <c r="E37" s="3432" t="s">
        <v>2149</v>
      </c>
      <c r="F37" s="3432">
        <v>46</v>
      </c>
      <c r="G37" s="3432" t="s">
        <v>1541</v>
      </c>
      <c r="H37" s="3432">
        <v>0.81620000000000004</v>
      </c>
      <c r="I37" s="3432">
        <v>1.07789</v>
      </c>
      <c r="J37" s="3432">
        <v>1.0390599999999999</v>
      </c>
      <c r="K37" s="3432">
        <v>0.94379999999999997</v>
      </c>
      <c r="L37" s="3432">
        <v>0.81650999999999996</v>
      </c>
      <c r="M37" s="3432">
        <v>0.87096000000000007</v>
      </c>
      <c r="N37" s="3432">
        <v>1.05043</v>
      </c>
      <c r="O37" s="3432">
        <v>1.16273</v>
      </c>
      <c r="P37" s="3432">
        <v>1.34253</v>
      </c>
      <c r="Q37" s="3432">
        <v>1.6711099999999999</v>
      </c>
      <c r="R37" s="3432">
        <v>2.0362499999999999</v>
      </c>
      <c r="S37" s="3432">
        <v>2.4937499999999999</v>
      </c>
      <c r="T37" s="3432">
        <v>2.8632600000000004</v>
      </c>
      <c r="U37" s="3432">
        <v>2.2192399999999997</v>
      </c>
      <c r="V37" s="3432">
        <v>2.3007600000000004</v>
      </c>
      <c r="W37" s="3432">
        <v>2.76573</v>
      </c>
      <c r="X37" s="3432">
        <v>3.4036</v>
      </c>
      <c r="Y37" s="3432">
        <v>4.0330300000000001</v>
      </c>
      <c r="Z37" s="3432">
        <v>4.2121199999999996</v>
      </c>
      <c r="AA37" s="3432">
        <v>4.2663700000000002</v>
      </c>
      <c r="AB37" s="3432">
        <v>4.5988800000000003</v>
      </c>
      <c r="AC37" s="3432">
        <v>5.3760900000000005</v>
      </c>
      <c r="AD37" s="3432">
        <v>5.8973019254999999</v>
      </c>
      <c r="AE37" s="3432">
        <v>6.3099951142464894</v>
      </c>
    </row>
    <row r="38" spans="1:31">
      <c r="A38" s="3432" t="str">
        <f t="shared" si="2"/>
        <v>\\DG ECFIN\Forecast\Country databases\Desk transfer databases\BE</v>
      </c>
      <c r="B38" s="3432" t="str">
        <f t="shared" si="3"/>
        <v>BE</v>
      </c>
      <c r="C38" s="3432" t="s">
        <v>2147</v>
      </c>
      <c r="D38" s="3432" t="s">
        <v>2175</v>
      </c>
      <c r="E38" s="3432" t="s">
        <v>2149</v>
      </c>
      <c r="F38" s="3432">
        <v>47</v>
      </c>
      <c r="G38" s="3432" t="s">
        <v>1492</v>
      </c>
      <c r="H38" s="3432">
        <v>9.7141500000000001</v>
      </c>
      <c r="I38" s="3432">
        <v>11.72434</v>
      </c>
      <c r="J38" s="3432">
        <v>13.02196</v>
      </c>
      <c r="K38" s="3432">
        <v>12.71208</v>
      </c>
      <c r="L38" s="3432">
        <v>13.368180000000001</v>
      </c>
      <c r="M38" s="3432">
        <v>14.194520000000001</v>
      </c>
      <c r="N38" s="3432">
        <v>15.202170000000001</v>
      </c>
      <c r="O38" s="3432">
        <v>16.668479999999999</v>
      </c>
      <c r="P38" s="3432">
        <v>18.237719999999999</v>
      </c>
      <c r="Q38" s="3432">
        <v>21.00235</v>
      </c>
      <c r="R38" s="3432">
        <v>24.079180000000001</v>
      </c>
      <c r="S38" s="3432">
        <v>29.040659999999999</v>
      </c>
      <c r="T38" s="3432">
        <v>32.696280000000002</v>
      </c>
      <c r="U38" s="3432">
        <v>26.934819999999998</v>
      </c>
      <c r="V38" s="3432">
        <v>28.027660000000001</v>
      </c>
      <c r="W38" s="3432">
        <v>31.275320000000001</v>
      </c>
      <c r="X38" s="3432">
        <v>33.348480000000002</v>
      </c>
      <c r="Y38" s="3432">
        <v>34.959650000000003</v>
      </c>
      <c r="Z38" s="3432">
        <v>36.568280000000001</v>
      </c>
      <c r="AA38" s="3432">
        <v>37.426610000000004</v>
      </c>
      <c r="AB38" s="3432">
        <v>38.668320000000001</v>
      </c>
      <c r="AC38" s="3432">
        <v>41.779594892398123</v>
      </c>
      <c r="AD38" s="3432">
        <v>44.211558409957277</v>
      </c>
      <c r="AE38" s="3432">
        <v>46.676249894100508</v>
      </c>
    </row>
    <row r="39" spans="1:31">
      <c r="A39" s="3432" t="str">
        <f t="shared" si="2"/>
        <v>\\DG ECFIN\Forecast\Country databases\Desk transfer databases\BE</v>
      </c>
      <c r="B39" s="3432" t="str">
        <f t="shared" si="3"/>
        <v>BE</v>
      </c>
      <c r="C39" s="3432" t="s">
        <v>2147</v>
      </c>
      <c r="D39" s="3432" t="s">
        <v>2176</v>
      </c>
      <c r="E39" s="3432" t="s">
        <v>2149</v>
      </c>
      <c r="F39" s="3432">
        <v>50</v>
      </c>
      <c r="G39" s="3432" t="s">
        <v>1493</v>
      </c>
      <c r="H39" s="3432">
        <v>1.06829</v>
      </c>
      <c r="I39" s="3432">
        <v>1.5122899999999999</v>
      </c>
      <c r="J39" s="3432">
        <v>1.7178800000000001</v>
      </c>
      <c r="K39" s="3432">
        <v>1.65448</v>
      </c>
      <c r="L39" s="3432">
        <v>1.58941</v>
      </c>
      <c r="M39" s="3432">
        <v>1.6358499999999998</v>
      </c>
      <c r="N39" s="3432">
        <v>1.7799700000000001</v>
      </c>
      <c r="O39" s="3432">
        <v>1.8392200000000001</v>
      </c>
      <c r="P39" s="3432">
        <v>1.9280999999999999</v>
      </c>
      <c r="Q39" s="3432">
        <v>2.2637700000000001</v>
      </c>
      <c r="R39" s="3432">
        <v>2.61253</v>
      </c>
      <c r="S39" s="3432">
        <v>3.2654899999999998</v>
      </c>
      <c r="T39" s="3432">
        <v>3.7011799999999999</v>
      </c>
      <c r="U39" s="3432">
        <v>2.9961599999999997</v>
      </c>
      <c r="V39" s="3432">
        <v>3.1924800000000002</v>
      </c>
      <c r="W39" s="3432">
        <v>3.5021399999999998</v>
      </c>
      <c r="X39" s="3432">
        <v>3.5937899999999998</v>
      </c>
      <c r="Y39" s="3432">
        <v>3.7091500000000002</v>
      </c>
      <c r="Z39" s="3432">
        <v>3.9403299999999999</v>
      </c>
      <c r="AA39" s="3432">
        <v>4.2110900000000004</v>
      </c>
      <c r="AB39" s="3432">
        <v>4.4171499999999995</v>
      </c>
      <c r="AC39" s="3432">
        <v>4.8132999999999999</v>
      </c>
      <c r="AD39" s="3432">
        <v>5.123979558019216</v>
      </c>
      <c r="AE39" s="3432">
        <v>5.4109224132682927</v>
      </c>
    </row>
    <row r="40" spans="1:31">
      <c r="A40" s="3432" t="str">
        <f t="shared" si="2"/>
        <v>\\DG ECFIN\Forecast\Country databases\Desk transfer databases\BE</v>
      </c>
      <c r="B40" s="3432" t="str">
        <f t="shared" si="3"/>
        <v>BE</v>
      </c>
      <c r="C40" s="3432" t="s">
        <v>2147</v>
      </c>
      <c r="D40" s="3432" t="s">
        <v>2177</v>
      </c>
      <c r="E40" s="3432" t="s">
        <v>2149</v>
      </c>
      <c r="F40" s="3432">
        <v>51</v>
      </c>
      <c r="G40" s="3432" t="s">
        <v>1495</v>
      </c>
      <c r="H40" s="3432">
        <v>8.7959999999999997E-2</v>
      </c>
      <c r="I40" s="3432">
        <v>6.3109999999999999E-2</v>
      </c>
      <c r="J40" s="3432">
        <v>0.10904999999999999</v>
      </c>
      <c r="K40" s="3432">
        <v>0.11612</v>
      </c>
      <c r="L40" s="3432">
        <v>0.10212</v>
      </c>
      <c r="M40" s="3432">
        <v>7.5840000000000005E-2</v>
      </c>
      <c r="N40" s="3432">
        <v>0.10173</v>
      </c>
      <c r="O40" s="3432">
        <v>0.10779000000000001</v>
      </c>
      <c r="P40" s="3432">
        <v>0.18997</v>
      </c>
      <c r="Q40" s="3432">
        <v>0.27112999999999998</v>
      </c>
      <c r="R40" s="3432">
        <v>0.26702999999999999</v>
      </c>
      <c r="S40" s="3432">
        <v>0.30131999999999998</v>
      </c>
      <c r="T40" s="3432">
        <v>0.35411000000000004</v>
      </c>
      <c r="U40" s="3432">
        <v>0.36169999999999997</v>
      </c>
      <c r="V40" s="3432">
        <v>0.37457000000000001</v>
      </c>
      <c r="W40" s="3432">
        <v>0.38688</v>
      </c>
      <c r="X40" s="3432">
        <v>0.41048000000000001</v>
      </c>
      <c r="Y40" s="3432">
        <v>0.43957999999999997</v>
      </c>
      <c r="Z40" s="3432">
        <v>0.43972</v>
      </c>
      <c r="AA40" s="3432">
        <v>0.49363000000000001</v>
      </c>
      <c r="AB40" s="3432">
        <v>0.53820000000000001</v>
      </c>
      <c r="AC40" s="3432">
        <v>0.54600000000000004</v>
      </c>
      <c r="AD40" s="3432">
        <v>0.56565600000000005</v>
      </c>
      <c r="AE40" s="3432">
        <v>0.58601961600000008</v>
      </c>
    </row>
    <row r="41" spans="1:31">
      <c r="A41" s="3432" t="str">
        <f t="shared" si="2"/>
        <v>\\DG ECFIN\Forecast\Country databases\Desk transfer databases\BE</v>
      </c>
      <c r="B41" s="3432" t="str">
        <f t="shared" si="3"/>
        <v>BE</v>
      </c>
      <c r="C41" s="3432" t="s">
        <v>2147</v>
      </c>
      <c r="D41" s="3432" t="s">
        <v>2178</v>
      </c>
      <c r="E41" s="3432" t="s">
        <v>2363</v>
      </c>
      <c r="F41" s="3432">
        <v>54</v>
      </c>
      <c r="G41" s="3432" t="s">
        <v>598</v>
      </c>
      <c r="H41" s="3432">
        <v>57.612499999999997</v>
      </c>
      <c r="I41" s="3432">
        <v>63.555833333333297</v>
      </c>
      <c r="J41" s="3432">
        <v>66.968333333333305</v>
      </c>
      <c r="K41" s="3432">
        <v>67.935000000000002</v>
      </c>
      <c r="L41" s="3432">
        <v>68.678333333333299</v>
      </c>
      <c r="M41" s="3432">
        <v>69.742500000000007</v>
      </c>
      <c r="N41" s="3432">
        <v>69.976666666666702</v>
      </c>
      <c r="O41" s="3432">
        <v>69.223333333333301</v>
      </c>
      <c r="P41" s="3432">
        <v>70.022499999999994</v>
      </c>
      <c r="Q41" s="3432">
        <v>71.893333333333302</v>
      </c>
      <c r="R41" s="3432">
        <v>74.594166666666695</v>
      </c>
      <c r="S41" s="3432">
        <v>78.934166666666698</v>
      </c>
      <c r="T41" s="3432">
        <v>87.689166666666694</v>
      </c>
      <c r="U41" s="3432">
        <v>91.338333333333296</v>
      </c>
      <c r="V41" s="3432">
        <v>92.425833333333301</v>
      </c>
      <c r="W41" s="3432">
        <v>96.237499999999997</v>
      </c>
      <c r="X41" s="3432">
        <v>99.282499999999999</v>
      </c>
      <c r="Y41" s="3432">
        <v>100.43833333333301</v>
      </c>
      <c r="Z41" s="3432">
        <v>100.681666666667</v>
      </c>
      <c r="AA41" s="3432">
        <v>100</v>
      </c>
      <c r="AB41" s="3432">
        <v>100.678333333333</v>
      </c>
      <c r="AC41" s="3432">
        <v>104.42166666666699</v>
      </c>
      <c r="AD41" s="3432">
        <v>107.35539356801183</v>
      </c>
      <c r="AE41" s="3432">
        <v>109.87436434740141</v>
      </c>
    </row>
    <row r="42" spans="1:31">
      <c r="A42" s="3432" t="str">
        <f t="shared" si="2"/>
        <v>\\DG ECFIN\Forecast\Country databases\Desk transfer databases\BE</v>
      </c>
      <c r="B42" s="3432" t="str">
        <f t="shared" si="3"/>
        <v>BE</v>
      </c>
      <c r="C42" s="3432" t="s">
        <v>2147</v>
      </c>
      <c r="D42" s="3432" t="s">
        <v>2179</v>
      </c>
      <c r="E42" s="3432" t="s">
        <v>2363</v>
      </c>
      <c r="F42" s="3432">
        <v>55</v>
      </c>
      <c r="G42" s="3432" t="s">
        <v>600</v>
      </c>
      <c r="H42" s="3432">
        <v>82.33861128143279</v>
      </c>
      <c r="I42" s="3432">
        <v>89.651135061851093</v>
      </c>
      <c r="J42" s="3432">
        <v>94.194267636048167</v>
      </c>
      <c r="K42" s="3432">
        <v>94.879575853725868</v>
      </c>
      <c r="L42" s="3432">
        <v>95.810967364838703</v>
      </c>
      <c r="M42" s="3432">
        <v>97.120808813198579</v>
      </c>
      <c r="N42" s="3432">
        <v>97.394175434303676</v>
      </c>
      <c r="O42" s="3432">
        <v>96.289433951761211</v>
      </c>
      <c r="P42" s="3432">
        <v>97.410342098276729</v>
      </c>
      <c r="Q42" s="3432">
        <v>100</v>
      </c>
      <c r="R42" s="3432">
        <v>103.73908271015331</v>
      </c>
      <c r="S42" s="3432">
        <v>109.69079005153519</v>
      </c>
      <c r="T42" s="3432">
        <v>121.67546305408973</v>
      </c>
      <c r="U42" s="3432">
        <v>127.09376215103943</v>
      </c>
      <c r="V42" s="3432">
        <v>128.77039520493449</v>
      </c>
      <c r="W42" s="3432">
        <v>134.08896098517272</v>
      </c>
      <c r="X42" s="3432">
        <v>138.24571877571375</v>
      </c>
      <c r="Y42" s="3432">
        <v>139.6281759634702</v>
      </c>
      <c r="Z42" s="3432">
        <v>139.77309592786955</v>
      </c>
      <c r="AA42" s="3432">
        <v>138.53735019739733</v>
      </c>
      <c r="AB42" s="3432">
        <v>139.79183576338338</v>
      </c>
      <c r="AC42" s="3432">
        <v>144.99068628199879</v>
      </c>
      <c r="AD42" s="3432">
        <v>149.06419985794838</v>
      </c>
      <c r="AE42" s="3432">
        <v>152.56181978383856</v>
      </c>
    </row>
    <row r="43" spans="1:31">
      <c r="A43" s="3432" t="str">
        <f t="shared" si="2"/>
        <v>\\DG ECFIN\Forecast\Country databases\Desk transfer databases\BE</v>
      </c>
      <c r="B43" s="3432" t="str">
        <f t="shared" si="3"/>
        <v>BE</v>
      </c>
      <c r="C43" s="3432" t="s">
        <v>2147</v>
      </c>
      <c r="D43" s="3432" t="s">
        <v>2181</v>
      </c>
      <c r="E43" s="3432" t="s">
        <v>2149</v>
      </c>
      <c r="F43" s="3432">
        <v>57</v>
      </c>
      <c r="G43" s="3432" t="s">
        <v>509</v>
      </c>
      <c r="H43" s="3432">
        <v>8.7338100000000001</v>
      </c>
      <c r="I43" s="3432">
        <v>10.27515</v>
      </c>
      <c r="J43" s="3432">
        <v>11.413129999999999</v>
      </c>
      <c r="K43" s="3432">
        <v>11.17371</v>
      </c>
      <c r="L43" s="3432">
        <v>11.880889999999999</v>
      </c>
      <c r="M43" s="3432">
        <v>12.634510000000001</v>
      </c>
      <c r="N43" s="3432">
        <v>13.52392</v>
      </c>
      <c r="O43" s="3432">
        <v>14.937059999999999</v>
      </c>
      <c r="P43" s="3432">
        <v>16.499599999999997</v>
      </c>
      <c r="Q43" s="3432">
        <v>19.009709999999998</v>
      </c>
      <c r="R43" s="3432">
        <v>21.73368</v>
      </c>
      <c r="S43" s="3432">
        <v>26.076499999999999</v>
      </c>
      <c r="T43" s="3432">
        <v>29.349209999999999</v>
      </c>
      <c r="U43" s="3432">
        <v>24.300360000000001</v>
      </c>
      <c r="V43" s="3432">
        <v>25.20975</v>
      </c>
      <c r="W43" s="3432">
        <v>28.160060000000001</v>
      </c>
      <c r="X43" s="3432">
        <v>30.16516</v>
      </c>
      <c r="Y43" s="3432">
        <v>31.690080000000002</v>
      </c>
      <c r="Z43" s="3432">
        <v>33.067680000000003</v>
      </c>
      <c r="AA43" s="3432">
        <v>33.709150000000001</v>
      </c>
      <c r="AB43" s="3432">
        <v>34.789370000000005</v>
      </c>
      <c r="AC43" s="3432">
        <v>37.589730000000003</v>
      </c>
      <c r="AD43" s="3432">
        <v>39.653234851938059</v>
      </c>
      <c r="AE43" s="3432">
        <v>41.851347096832214</v>
      </c>
    </row>
    <row r="44" spans="1:31">
      <c r="A44" s="3432" t="str">
        <f t="shared" si="2"/>
        <v>\\DG ECFIN\Forecast\Country databases\Desk transfer databases\BE</v>
      </c>
      <c r="B44" s="3432" t="str">
        <f t="shared" si="3"/>
        <v>BE</v>
      </c>
      <c r="C44" s="3432" t="s">
        <v>2147</v>
      </c>
      <c r="D44" s="3432" t="s">
        <v>2182</v>
      </c>
      <c r="E44" s="3432" t="s">
        <v>2149</v>
      </c>
      <c r="F44" s="3432">
        <v>58</v>
      </c>
      <c r="G44" s="3432" t="s">
        <v>510</v>
      </c>
      <c r="H44" s="3432">
        <v>7.2992217075971704</v>
      </c>
      <c r="I44" s="3432">
        <v>9.4447631952491893</v>
      </c>
      <c r="J44" s="3432">
        <v>11.05845748947338</v>
      </c>
      <c r="K44" s="3432">
        <v>11.296544324943005</v>
      </c>
      <c r="L44" s="3432">
        <v>11.578352806936994</v>
      </c>
      <c r="M44" s="3432">
        <v>12.676861952376994</v>
      </c>
      <c r="N44" s="3432">
        <v>13.498458493740799</v>
      </c>
      <c r="O44" s="3432">
        <v>14.913623177992683</v>
      </c>
      <c r="P44" s="3432">
        <v>16.050366453024235</v>
      </c>
      <c r="Q44" s="3432">
        <v>17.774589817555778</v>
      </c>
      <c r="R44" s="3432">
        <v>20.417650421643756</v>
      </c>
      <c r="S44" s="3432">
        <v>24.143288388127445</v>
      </c>
      <c r="T44" s="3432">
        <v>26.761805277227229</v>
      </c>
      <c r="U44" s="3432">
        <v>25.001376754942324</v>
      </c>
      <c r="V44" s="3432">
        <v>24.6988372190817</v>
      </c>
      <c r="W44" s="3432">
        <v>26.733210000000003</v>
      </c>
      <c r="X44" s="3432">
        <v>29.237735018607946</v>
      </c>
      <c r="Y44" s="3432">
        <v>31.220506102618938</v>
      </c>
      <c r="Z44" s="3432">
        <v>32.811149667087292</v>
      </c>
      <c r="AA44" s="3432">
        <v>33.74049337344055</v>
      </c>
      <c r="AB44" s="3432">
        <v>34.499586109841616</v>
      </c>
      <c r="AC44" s="3432">
        <v>36.121428247538752</v>
      </c>
      <c r="AD44" s="3432">
        <v>38.641359819963441</v>
      </c>
      <c r="AE44" s="3432">
        <v>40.689019264836176</v>
      </c>
    </row>
    <row r="45" spans="1:31">
      <c r="A45" s="3432" t="str">
        <f t="shared" si="2"/>
        <v>\\DG ECFIN\Forecast\Country databases\Desk transfer databases\BE</v>
      </c>
      <c r="B45" s="3432" t="str">
        <f t="shared" si="3"/>
        <v>BE</v>
      </c>
      <c r="C45" s="3432" t="s">
        <v>2147</v>
      </c>
      <c r="D45" s="3432" t="s">
        <v>2183</v>
      </c>
      <c r="E45" s="3432" t="s">
        <v>2184</v>
      </c>
      <c r="F45" s="3432">
        <v>59</v>
      </c>
      <c r="G45" s="3432" t="s">
        <v>552</v>
      </c>
      <c r="H45" s="3432" t="s">
        <v>2180</v>
      </c>
      <c r="I45" s="3432" t="s">
        <v>2180</v>
      </c>
      <c r="J45" s="3432" t="s">
        <v>2180</v>
      </c>
      <c r="K45" s="3432" t="s">
        <v>2180</v>
      </c>
      <c r="L45" s="3432">
        <v>1399.19</v>
      </c>
      <c r="M45" s="3432">
        <v>1345.99</v>
      </c>
      <c r="N45" s="3432">
        <v>1394.68</v>
      </c>
      <c r="O45" s="3432">
        <v>1425.71</v>
      </c>
      <c r="P45" s="3432">
        <v>1410.1</v>
      </c>
      <c r="Q45" s="3432">
        <v>1420.72</v>
      </c>
      <c r="R45" s="3432">
        <v>1416.26</v>
      </c>
      <c r="S45" s="3432">
        <v>1445.14</v>
      </c>
      <c r="T45" s="3432">
        <v>1426.09</v>
      </c>
      <c r="U45" s="3432">
        <v>1316.51</v>
      </c>
      <c r="V45" s="3432">
        <v>1246.77</v>
      </c>
      <c r="W45" s="3432">
        <v>1252.7</v>
      </c>
      <c r="X45" s="3432">
        <v>1274.9000000000001</v>
      </c>
      <c r="Y45" s="3432">
        <v>1291.8900000000001</v>
      </c>
      <c r="Z45" s="3432">
        <v>1317.81</v>
      </c>
      <c r="AA45" s="3432">
        <v>1334.73</v>
      </c>
      <c r="AB45" s="3432">
        <v>1361.21</v>
      </c>
      <c r="AC45" s="3432">
        <v>1354.11</v>
      </c>
      <c r="AD45" s="3432">
        <v>1346.7528000000002</v>
      </c>
      <c r="AE45" s="3432">
        <v>1342.6692803150002</v>
      </c>
    </row>
    <row r="46" spans="1:31">
      <c r="A46" s="3432" t="str">
        <f t="shared" si="2"/>
        <v>\\DG ECFIN\Forecast\Country databases\Desk transfer databases\BE</v>
      </c>
      <c r="B46" s="3432" t="str">
        <f t="shared" si="3"/>
        <v>BE</v>
      </c>
      <c r="C46" s="3432" t="s">
        <v>2147</v>
      </c>
      <c r="D46" s="3432" t="s">
        <v>2185</v>
      </c>
      <c r="E46" s="3432" t="s">
        <v>2184</v>
      </c>
      <c r="F46" s="3432">
        <v>60</v>
      </c>
      <c r="G46" s="3432" t="s">
        <v>1961</v>
      </c>
      <c r="H46" s="3432" t="s">
        <v>2180</v>
      </c>
      <c r="I46" s="3432" t="s">
        <v>2180</v>
      </c>
      <c r="J46" s="3432" t="s">
        <v>2180</v>
      </c>
      <c r="K46" s="3432" t="s">
        <v>2180</v>
      </c>
      <c r="L46" s="3432" t="s">
        <v>2180</v>
      </c>
      <c r="M46" s="3432" t="s">
        <v>2180</v>
      </c>
      <c r="N46" s="3432" t="s">
        <v>2180</v>
      </c>
      <c r="O46" s="3432" t="s">
        <v>2180</v>
      </c>
      <c r="P46" s="3432" t="s">
        <v>2180</v>
      </c>
      <c r="Q46" s="3432" t="s">
        <v>2180</v>
      </c>
      <c r="R46" s="3432" t="s">
        <v>2180</v>
      </c>
      <c r="S46" s="3432" t="s">
        <v>2180</v>
      </c>
      <c r="T46" s="3432" t="s">
        <v>2180</v>
      </c>
      <c r="U46" s="3432" t="s">
        <v>2180</v>
      </c>
      <c r="V46" s="3432" t="s">
        <v>2180</v>
      </c>
      <c r="W46" s="3432" t="s">
        <v>2180</v>
      </c>
      <c r="X46" s="3432" t="s">
        <v>2180</v>
      </c>
      <c r="Y46" s="3432" t="s">
        <v>2180</v>
      </c>
      <c r="Z46" s="3432" t="s">
        <v>2180</v>
      </c>
      <c r="AA46" s="3432" t="s">
        <v>2180</v>
      </c>
      <c r="AB46" s="3432" t="s">
        <v>2180</v>
      </c>
      <c r="AC46" s="3432" t="s">
        <v>2180</v>
      </c>
      <c r="AD46" s="3432" t="s">
        <v>2180</v>
      </c>
      <c r="AE46" s="3432" t="s">
        <v>2180</v>
      </c>
    </row>
    <row r="47" spans="1:31">
      <c r="A47" s="3432" t="str">
        <f t="shared" si="2"/>
        <v>\\DG ECFIN\Forecast\Country databases\Desk transfer databases\BE</v>
      </c>
      <c r="B47" s="3432" t="str">
        <f t="shared" si="3"/>
        <v>BE</v>
      </c>
      <c r="C47" s="3432" t="s">
        <v>2147</v>
      </c>
      <c r="D47" s="3432" t="s">
        <v>2186</v>
      </c>
      <c r="E47" s="3432" t="s">
        <v>2149</v>
      </c>
      <c r="F47" s="3432">
        <v>61</v>
      </c>
      <c r="G47" s="3432" t="s">
        <v>554</v>
      </c>
      <c r="H47" s="3432">
        <v>3.6906500000000002</v>
      </c>
      <c r="I47" s="3432">
        <v>4.5363999999999995</v>
      </c>
      <c r="J47" s="3432">
        <v>5.4153900000000004</v>
      </c>
      <c r="K47" s="3432">
        <v>5.4537700000000005</v>
      </c>
      <c r="L47" s="3432">
        <v>5.2228500000000002</v>
      </c>
      <c r="M47" s="3432">
        <v>5.3652899999999999</v>
      </c>
      <c r="N47" s="3432">
        <v>5.8103100000000003</v>
      </c>
      <c r="O47" s="3432">
        <v>6.4430399999999999</v>
      </c>
      <c r="P47" s="3432">
        <v>7.3100899999999998</v>
      </c>
      <c r="Q47" s="3432">
        <v>8.5200200000000006</v>
      </c>
      <c r="R47" s="3432">
        <v>10.277299999999999</v>
      </c>
      <c r="S47" s="3432">
        <v>12.325899999999999</v>
      </c>
      <c r="T47" s="3432">
        <v>14.35507</v>
      </c>
      <c r="U47" s="3432">
        <v>11.978249999999999</v>
      </c>
      <c r="V47" s="3432">
        <v>11.46997</v>
      </c>
      <c r="W47" s="3432">
        <v>12.29609</v>
      </c>
      <c r="X47" s="3432">
        <v>12.977049999999998</v>
      </c>
      <c r="Y47" s="3432">
        <v>13.742620000000001</v>
      </c>
      <c r="Z47" s="3432">
        <v>14.62393</v>
      </c>
      <c r="AA47" s="3432">
        <v>15.637280000000001</v>
      </c>
      <c r="AB47" s="3432">
        <v>16.92906</v>
      </c>
      <c r="AC47" s="3432">
        <v>18.449630000000003</v>
      </c>
      <c r="AD47" s="3432">
        <v>19.549555182988733</v>
      </c>
      <c r="AE47" s="3432">
        <v>20.686003495864497</v>
      </c>
    </row>
    <row r="48" spans="1:31">
      <c r="A48" s="3432" t="str">
        <f t="shared" si="2"/>
        <v>\\DG ECFIN\Forecast\Country databases\Desk transfer databases\BE</v>
      </c>
      <c r="B48" s="3432" t="str">
        <f t="shared" si="3"/>
        <v>BE</v>
      </c>
      <c r="C48" s="3432" t="s">
        <v>2147</v>
      </c>
      <c r="D48" s="3432" t="s">
        <v>2187</v>
      </c>
      <c r="E48" s="3432" t="s">
        <v>2149</v>
      </c>
      <c r="F48" s="3432">
        <v>62</v>
      </c>
      <c r="G48" s="3432" t="s">
        <v>555</v>
      </c>
      <c r="H48" s="3432">
        <v>2.9674467099165893</v>
      </c>
      <c r="I48" s="3432">
        <v>3.5866543095458758</v>
      </c>
      <c r="J48" s="3432">
        <v>4.2811631139944391</v>
      </c>
      <c r="K48" s="3432">
        <v>4.3286607970342912</v>
      </c>
      <c r="L48" s="3432">
        <v>4.0943582020389249</v>
      </c>
      <c r="M48" s="3432">
        <v>4.2290315106580163</v>
      </c>
      <c r="N48" s="3432">
        <v>4.6324721964782212</v>
      </c>
      <c r="O48" s="3432">
        <v>5.1694277108433733</v>
      </c>
      <c r="P48" s="3432">
        <v>5.8335264133456901</v>
      </c>
      <c r="Q48" s="3432">
        <v>6.7569999999999997</v>
      </c>
      <c r="R48" s="3432">
        <v>8.1340000000000003</v>
      </c>
      <c r="S48" s="3432">
        <v>9.6639999999999997</v>
      </c>
      <c r="T48" s="3432">
        <v>11.188000000000001</v>
      </c>
      <c r="U48" s="3432">
        <v>9.32</v>
      </c>
      <c r="V48" s="3432">
        <v>9.0510000000000002</v>
      </c>
      <c r="W48" s="3432">
        <v>9.6910000000000007</v>
      </c>
      <c r="X48" s="3432">
        <v>10.257999999999999</v>
      </c>
      <c r="Y48" s="3432">
        <v>10.834</v>
      </c>
      <c r="Z48" s="3432">
        <v>11.516999999999999</v>
      </c>
      <c r="AA48" s="3432">
        <v>12.308999999999999</v>
      </c>
      <c r="AB48" s="3432">
        <v>13.289</v>
      </c>
      <c r="AC48" s="3432">
        <v>14.362240126594433</v>
      </c>
      <c r="AD48" s="3432">
        <v>15.177575242380211</v>
      </c>
      <c r="AE48" s="3432">
        <v>16.047371297764418</v>
      </c>
    </row>
    <row r="49" spans="1:31">
      <c r="A49" s="3432" t="str">
        <f t="shared" si="2"/>
        <v>\\DG ECFIN\Forecast\Country databases\Desk transfer databases\BE</v>
      </c>
      <c r="B49" s="3432" t="str">
        <f t="shared" si="3"/>
        <v>BE</v>
      </c>
      <c r="C49" s="3432" t="s">
        <v>2147</v>
      </c>
      <c r="D49" s="3432" t="s">
        <v>2188</v>
      </c>
      <c r="E49" s="3432" t="s">
        <v>2184</v>
      </c>
      <c r="F49" s="3432">
        <v>63</v>
      </c>
      <c r="G49" s="3432" t="s">
        <v>556</v>
      </c>
      <c r="H49" s="3432" t="s">
        <v>2180</v>
      </c>
      <c r="I49" s="3432" t="s">
        <v>2180</v>
      </c>
      <c r="J49" s="3432" t="s">
        <v>2180</v>
      </c>
      <c r="K49" s="3432" t="s">
        <v>2180</v>
      </c>
      <c r="L49" s="3432">
        <v>1123.8399999999999</v>
      </c>
      <c r="M49" s="3432">
        <v>1078.42</v>
      </c>
      <c r="N49" s="3432">
        <v>1112.6500000000001</v>
      </c>
      <c r="O49" s="3432">
        <v>1132.8599999999999</v>
      </c>
      <c r="P49" s="3432">
        <v>1146.9000000000001</v>
      </c>
      <c r="Q49" s="3432">
        <v>1174.57</v>
      </c>
      <c r="R49" s="3432">
        <v>1173.5</v>
      </c>
      <c r="S49" s="3432">
        <v>1233.6600000000001</v>
      </c>
      <c r="T49" s="3432">
        <v>1259.6300000000001</v>
      </c>
      <c r="U49" s="3432">
        <v>1158.73</v>
      </c>
      <c r="V49" s="3432">
        <v>1111.08</v>
      </c>
      <c r="W49" s="3432">
        <v>1119.95</v>
      </c>
      <c r="X49" s="3432">
        <v>1133.8900000000001</v>
      </c>
      <c r="Y49" s="3432">
        <v>1139.7</v>
      </c>
      <c r="Z49" s="3432">
        <v>1158.18</v>
      </c>
      <c r="AA49" s="3432">
        <v>1171</v>
      </c>
      <c r="AB49" s="3432">
        <v>1193.3</v>
      </c>
      <c r="AC49" s="3432">
        <v>1191.7</v>
      </c>
      <c r="AD49" s="3432">
        <v>1185.1548500000004</v>
      </c>
      <c r="AE49" s="3432">
        <v>1182.6873098150004</v>
      </c>
    </row>
    <row r="50" spans="1:31">
      <c r="A50" s="3432" t="str">
        <f t="shared" si="2"/>
        <v>\\DG ECFIN\Forecast\Country databases\Desk transfer databases\BE</v>
      </c>
      <c r="B50" s="3432" t="str">
        <f t="shared" si="3"/>
        <v>BE</v>
      </c>
      <c r="C50" s="3432" t="s">
        <v>2147</v>
      </c>
      <c r="D50" s="3432" t="s">
        <v>2189</v>
      </c>
      <c r="E50" s="3432" t="s">
        <v>2184</v>
      </c>
      <c r="F50" s="3432">
        <v>64</v>
      </c>
      <c r="G50" s="3432" t="s">
        <v>558</v>
      </c>
      <c r="H50" s="3432" t="s">
        <v>2180</v>
      </c>
      <c r="I50" s="3432" t="s">
        <v>2180</v>
      </c>
      <c r="J50" s="3432" t="s">
        <v>2180</v>
      </c>
      <c r="K50" s="3432" t="s">
        <v>2180</v>
      </c>
      <c r="L50" s="3432" t="s">
        <v>2180</v>
      </c>
      <c r="M50" s="3432" t="s">
        <v>2180</v>
      </c>
      <c r="N50" s="3432" t="s">
        <v>2180</v>
      </c>
      <c r="O50" s="3432" t="s">
        <v>2180</v>
      </c>
      <c r="P50" s="3432" t="s">
        <v>2180</v>
      </c>
      <c r="Q50" s="3432" t="s">
        <v>2180</v>
      </c>
      <c r="R50" s="3432" t="s">
        <v>2180</v>
      </c>
      <c r="S50" s="3432" t="s">
        <v>2180</v>
      </c>
      <c r="T50" s="3432" t="s">
        <v>2180</v>
      </c>
      <c r="U50" s="3432" t="s">
        <v>2180</v>
      </c>
      <c r="V50" s="3432" t="s">
        <v>2180</v>
      </c>
      <c r="W50" s="3432" t="s">
        <v>2180</v>
      </c>
      <c r="X50" s="3432" t="s">
        <v>2180</v>
      </c>
      <c r="Y50" s="3432" t="s">
        <v>2180</v>
      </c>
      <c r="Z50" s="3432" t="s">
        <v>2180</v>
      </c>
      <c r="AA50" s="3432" t="s">
        <v>2180</v>
      </c>
      <c r="AB50" s="3432" t="s">
        <v>2180</v>
      </c>
      <c r="AC50" s="3432" t="s">
        <v>2180</v>
      </c>
      <c r="AD50" s="3432" t="s">
        <v>2180</v>
      </c>
      <c r="AE50" s="3432" t="s">
        <v>2180</v>
      </c>
    </row>
    <row r="51" spans="1:31">
      <c r="A51" s="3432" t="str">
        <f t="shared" si="2"/>
        <v>\\DG ECFIN\Forecast\Country databases\Desk transfer databases\BE</v>
      </c>
      <c r="B51" s="3432" t="str">
        <f t="shared" si="3"/>
        <v>BE</v>
      </c>
      <c r="C51" s="3432" t="s">
        <v>2147</v>
      </c>
      <c r="D51" s="3432" t="s">
        <v>2190</v>
      </c>
      <c r="E51" s="3432" t="s">
        <v>2184</v>
      </c>
      <c r="F51" s="3432">
        <v>75</v>
      </c>
      <c r="G51" s="3432" t="s">
        <v>1735</v>
      </c>
      <c r="H51" s="3432">
        <v>3601.6125000000002</v>
      </c>
      <c r="I51" s="3432">
        <v>3575.1370000000002</v>
      </c>
      <c r="J51" s="3432">
        <v>3549.3310000000001</v>
      </c>
      <c r="K51" s="3432">
        <v>3524.2375000000002</v>
      </c>
      <c r="L51" s="3432">
        <v>3499.5360000000001</v>
      </c>
      <c r="M51" s="3432">
        <v>3470.8175000000001</v>
      </c>
      <c r="N51" s="3432">
        <v>3443.067</v>
      </c>
      <c r="O51" s="3432">
        <v>3415.2130000000002</v>
      </c>
      <c r="P51" s="3432">
        <v>3377.0745000000002</v>
      </c>
      <c r="Q51" s="3432">
        <v>3322.5275000000001</v>
      </c>
      <c r="R51" s="3432">
        <v>3269.9090000000001</v>
      </c>
      <c r="S51" s="3432">
        <v>3231.2939999999999</v>
      </c>
      <c r="T51" s="3432">
        <v>3198.2305000000001</v>
      </c>
      <c r="U51" s="3432">
        <v>3162.9160000000002</v>
      </c>
      <c r="V51" s="3432">
        <v>3097.2820000000002</v>
      </c>
      <c r="W51" s="3432">
        <v>3028.1145000000001</v>
      </c>
      <c r="X51" s="3432">
        <v>2987.7730000000001</v>
      </c>
      <c r="Y51" s="3432">
        <v>2957.6885000000002</v>
      </c>
      <c r="Z51" s="3432">
        <v>2932.3670000000002</v>
      </c>
      <c r="AA51" s="3432">
        <v>2904.91</v>
      </c>
      <c r="AB51" s="3432">
        <v>2868.2310000000002</v>
      </c>
      <c r="AC51" s="3432">
        <v>2828.9999999999986</v>
      </c>
      <c r="AD51" s="3432">
        <v>2803.5389999999989</v>
      </c>
      <c r="AE51" s="3432">
        <v>2783.9142269999988</v>
      </c>
    </row>
    <row r="52" spans="1:31">
      <c r="A52" s="3432" t="str">
        <f t="shared" si="2"/>
        <v>\\DG ECFIN\Forecast\Country databases\Desk transfer databases\BE</v>
      </c>
      <c r="B52" s="3432" t="str">
        <f t="shared" si="3"/>
        <v>BE</v>
      </c>
      <c r="C52" s="3432" t="s">
        <v>2147</v>
      </c>
      <c r="D52" s="3432" t="s">
        <v>2191</v>
      </c>
      <c r="E52" s="3432" t="s">
        <v>2184</v>
      </c>
      <c r="F52" s="3432">
        <v>76</v>
      </c>
      <c r="G52" s="3432" t="s">
        <v>617</v>
      </c>
      <c r="H52" s="3432">
        <v>2371.0374999999999</v>
      </c>
      <c r="I52" s="3432">
        <v>2352.2280000000001</v>
      </c>
      <c r="J52" s="3432">
        <v>2336.0925000000002</v>
      </c>
      <c r="K52" s="3432">
        <v>2324.3265000000001</v>
      </c>
      <c r="L52" s="3432">
        <v>2317.4430000000002</v>
      </c>
      <c r="M52" s="3432">
        <v>2307.1170000000002</v>
      </c>
      <c r="N52" s="3432">
        <v>2296.346</v>
      </c>
      <c r="O52" s="3432">
        <v>2284.8705</v>
      </c>
      <c r="P52" s="3432">
        <v>2263.1680000000001</v>
      </c>
      <c r="Q52" s="3432">
        <v>2229.7080000000001</v>
      </c>
      <c r="R52" s="3432">
        <v>2198.5655000000002</v>
      </c>
      <c r="S52" s="3432">
        <v>2178.6444999999999</v>
      </c>
      <c r="T52" s="3432">
        <v>2161.7640000000001</v>
      </c>
      <c r="U52" s="3432">
        <v>2140.7370000000001</v>
      </c>
      <c r="V52" s="3432">
        <v>2089.953</v>
      </c>
      <c r="W52" s="3432">
        <v>2034.5550000000001</v>
      </c>
      <c r="X52" s="3432">
        <v>2004.6890000000001</v>
      </c>
      <c r="Y52" s="3432">
        <v>1981.8879999999999</v>
      </c>
      <c r="Z52" s="3432">
        <v>1959.665</v>
      </c>
      <c r="AA52" s="3432">
        <v>1932.4845</v>
      </c>
      <c r="AB52" s="3432">
        <v>1895.9345000000001</v>
      </c>
      <c r="AC52" s="3432">
        <v>1855.4</v>
      </c>
      <c r="AD52" s="3432">
        <v>1820.1474000000001</v>
      </c>
      <c r="AE52" s="3432">
        <v>1787.3847468000001</v>
      </c>
    </row>
    <row r="53" spans="1:31">
      <c r="A53" s="3432" t="str">
        <f t="shared" si="2"/>
        <v>\\DG ECFIN\Forecast\Country databases\Desk transfer databases\BE</v>
      </c>
      <c r="B53" s="3432" t="str">
        <f t="shared" si="3"/>
        <v>BE</v>
      </c>
      <c r="C53" s="3432" t="s">
        <v>2147</v>
      </c>
      <c r="D53" s="3432" t="s">
        <v>2192</v>
      </c>
      <c r="E53" s="3432" t="s">
        <v>2184</v>
      </c>
      <c r="F53" s="3432">
        <v>77</v>
      </c>
      <c r="G53" s="3432" t="s">
        <v>2132</v>
      </c>
      <c r="H53" s="3432">
        <v>2668.8004999999998</v>
      </c>
      <c r="I53" s="3432">
        <v>2655.2939999999999</v>
      </c>
      <c r="J53" s="3432">
        <v>2642.944</v>
      </c>
      <c r="K53" s="3432">
        <v>2632.3584999999998</v>
      </c>
      <c r="L53" s="3432">
        <v>2625.9234999999999</v>
      </c>
      <c r="M53" s="3432">
        <v>2619.1475</v>
      </c>
      <c r="N53" s="3432">
        <v>2612.5324999999998</v>
      </c>
      <c r="O53" s="3432">
        <v>2602.4859999999999</v>
      </c>
      <c r="P53" s="3432">
        <v>2580.7840000000001</v>
      </c>
      <c r="Q53" s="3432">
        <v>2545.3955000000001</v>
      </c>
      <c r="R53" s="3432">
        <v>2512.1044999999999</v>
      </c>
      <c r="S53" s="3432">
        <v>2490.4475000000002</v>
      </c>
      <c r="T53" s="3432">
        <v>2470.4115000000002</v>
      </c>
      <c r="U53" s="3432">
        <v>2443.6925000000001</v>
      </c>
      <c r="V53" s="3432">
        <v>2386.9639999999999</v>
      </c>
      <c r="W53" s="3432">
        <v>2325.0210000000002</v>
      </c>
      <c r="X53" s="3432">
        <v>2287.8645000000001</v>
      </c>
      <c r="Y53" s="3432">
        <v>2260.1354999999999</v>
      </c>
      <c r="Z53" s="3432">
        <v>2236.3919999999998</v>
      </c>
      <c r="AA53" s="3432">
        <v>2209.2745</v>
      </c>
      <c r="AB53" s="3432">
        <v>2171.87</v>
      </c>
      <c r="AC53" s="3432">
        <v>2130.5000000000005</v>
      </c>
      <c r="AD53" s="3432">
        <v>2096.4120000000003</v>
      </c>
      <c r="AE53" s="3432">
        <v>2062.869408</v>
      </c>
    </row>
    <row r="54" spans="1:31">
      <c r="A54" s="3432" t="str">
        <f t="shared" si="2"/>
        <v>\\DG ECFIN\Forecast\Country databases\Desk transfer databases\BE</v>
      </c>
      <c r="B54" s="3432" t="str">
        <f t="shared" si="3"/>
        <v>BE</v>
      </c>
      <c r="C54" s="3432" t="s">
        <v>2147</v>
      </c>
      <c r="D54" s="3432" t="s">
        <v>2193</v>
      </c>
      <c r="E54" s="3432" t="s">
        <v>2184</v>
      </c>
      <c r="F54" s="3432">
        <v>78</v>
      </c>
      <c r="G54" s="3432" t="s">
        <v>619</v>
      </c>
      <c r="H54" s="3432">
        <v>124.7</v>
      </c>
      <c r="I54" s="3432">
        <v>104.60000000000001</v>
      </c>
      <c r="J54" s="3432">
        <v>227</v>
      </c>
      <c r="K54" s="3432">
        <v>249</v>
      </c>
      <c r="L54" s="3432">
        <v>274</v>
      </c>
      <c r="M54" s="3432">
        <v>284</v>
      </c>
      <c r="N54" s="3432">
        <v>224</v>
      </c>
      <c r="O54" s="3432">
        <v>204</v>
      </c>
      <c r="P54" s="3432">
        <v>173</v>
      </c>
      <c r="Q54" s="3432">
        <v>130</v>
      </c>
      <c r="R54" s="3432">
        <v>88</v>
      </c>
      <c r="S54" s="3432">
        <v>64</v>
      </c>
      <c r="T54" s="3432">
        <v>88</v>
      </c>
      <c r="U54" s="3432">
        <v>211</v>
      </c>
      <c r="V54" s="3432">
        <v>270</v>
      </c>
      <c r="W54" s="3432">
        <v>228</v>
      </c>
      <c r="X54" s="3432">
        <v>197</v>
      </c>
      <c r="Y54" s="3432">
        <v>172</v>
      </c>
      <c r="Z54" s="3432">
        <v>158</v>
      </c>
      <c r="AA54" s="3432">
        <v>134</v>
      </c>
      <c r="AB54" s="3432">
        <v>116</v>
      </c>
      <c r="AC54" s="3432">
        <v>103</v>
      </c>
      <c r="AD54" s="3432">
        <v>95.069140140910804</v>
      </c>
      <c r="AE54" s="3432">
        <v>95.629153630878136</v>
      </c>
    </row>
    <row r="55" spans="1:31">
      <c r="A55" s="3432" t="str">
        <f t="shared" si="2"/>
        <v>\\DG ECFIN\Forecast\Country databases\Desk transfer databases\BE</v>
      </c>
      <c r="B55" s="3432" t="str">
        <f t="shared" si="3"/>
        <v>BE</v>
      </c>
      <c r="C55" s="3432" t="s">
        <v>2147</v>
      </c>
      <c r="D55" s="3432" t="s">
        <v>2194</v>
      </c>
      <c r="E55" s="3432" t="s">
        <v>2184</v>
      </c>
      <c r="F55" s="3432">
        <v>79</v>
      </c>
      <c r="G55" s="3432" t="s">
        <v>571</v>
      </c>
      <c r="H55" s="3432" t="s">
        <v>2180</v>
      </c>
      <c r="I55" s="3432" t="s">
        <v>2180</v>
      </c>
      <c r="J55" s="3432" t="s">
        <v>2180</v>
      </c>
      <c r="K55" s="3432" t="s">
        <v>2180</v>
      </c>
      <c r="L55" s="3432">
        <v>1402.75</v>
      </c>
      <c r="M55" s="3432">
        <v>1356.9</v>
      </c>
      <c r="N55" s="3432">
        <v>1410.93</v>
      </c>
      <c r="O55" s="3432">
        <v>1442.98</v>
      </c>
      <c r="P55" s="3432">
        <v>1425.33</v>
      </c>
      <c r="Q55" s="3432">
        <v>1437.75</v>
      </c>
      <c r="R55" s="3432">
        <v>1431.24</v>
      </c>
      <c r="S55" s="3432">
        <v>1454.24</v>
      </c>
      <c r="T55" s="3432">
        <v>1429.02</v>
      </c>
      <c r="U55" s="3432">
        <v>1318.32</v>
      </c>
      <c r="V55" s="3432">
        <v>1247.76</v>
      </c>
      <c r="W55" s="3432">
        <v>1253.5999999999999</v>
      </c>
      <c r="X55" s="3432">
        <v>1276</v>
      </c>
      <c r="Y55" s="3432">
        <v>1293.17</v>
      </c>
      <c r="Z55" s="3432">
        <v>1319.3</v>
      </c>
      <c r="AA55" s="3432">
        <v>1335.67</v>
      </c>
      <c r="AB55" s="3432">
        <v>1362.11</v>
      </c>
      <c r="AC55" s="3432">
        <v>1355.72</v>
      </c>
      <c r="AD55" s="3432">
        <v>1348.3540524890891</v>
      </c>
      <c r="AE55" s="3432">
        <v>1344.2656776101294</v>
      </c>
    </row>
    <row r="56" spans="1:31">
      <c r="A56" s="3432" t="str">
        <f t="shared" si="2"/>
        <v>\\DG ECFIN\Forecast\Country databases\Desk transfer databases\BE</v>
      </c>
      <c r="B56" s="3432" t="str">
        <f t="shared" si="3"/>
        <v>BE</v>
      </c>
      <c r="C56" s="3432" t="s">
        <v>2147</v>
      </c>
      <c r="D56" s="3432" t="s">
        <v>2195</v>
      </c>
      <c r="E56" s="3432" t="s">
        <v>2184</v>
      </c>
      <c r="F56" s="3432">
        <v>83</v>
      </c>
      <c r="G56" s="3432" t="s">
        <v>1893</v>
      </c>
      <c r="H56" s="3432" t="s">
        <v>2180</v>
      </c>
      <c r="I56" s="3432" t="s">
        <v>2180</v>
      </c>
      <c r="J56" s="3432" t="s">
        <v>2180</v>
      </c>
      <c r="K56" s="3432" t="s">
        <v>2180</v>
      </c>
      <c r="L56" s="3432">
        <v>1127.3999999999999</v>
      </c>
      <c r="M56" s="3432">
        <v>1089.3300000000002</v>
      </c>
      <c r="N56" s="3432">
        <v>1128.9000000000001</v>
      </c>
      <c r="O56" s="3432">
        <v>1150.1299999999999</v>
      </c>
      <c r="P56" s="3432">
        <v>1162.1300000000001</v>
      </c>
      <c r="Q56" s="3432">
        <v>1191.5999999999999</v>
      </c>
      <c r="R56" s="3432">
        <v>1188.48</v>
      </c>
      <c r="S56" s="3432">
        <v>1242.76</v>
      </c>
      <c r="T56" s="3432">
        <v>1262.5600000000002</v>
      </c>
      <c r="U56" s="3432">
        <v>1160.54</v>
      </c>
      <c r="V56" s="3432">
        <v>1112.07</v>
      </c>
      <c r="W56" s="3432">
        <v>1120.8499999999999</v>
      </c>
      <c r="X56" s="3432">
        <v>1134.99</v>
      </c>
      <c r="Y56" s="3432">
        <v>1140.98</v>
      </c>
      <c r="Z56" s="3432">
        <v>1159.67</v>
      </c>
      <c r="AA56" s="3432">
        <v>1171.94</v>
      </c>
      <c r="AB56" s="3432">
        <v>1194.1999999999998</v>
      </c>
      <c r="AC56" s="3432">
        <v>1193.3100000000002</v>
      </c>
      <c r="AD56" s="3432">
        <v>1186.7561024890892</v>
      </c>
      <c r="AE56" s="3432">
        <v>1184.2837071101296</v>
      </c>
    </row>
    <row r="57" spans="1:31">
      <c r="A57" s="3432" t="str">
        <f t="shared" si="2"/>
        <v>\\DG ECFIN\Forecast\Country databases\Desk transfer databases\BE</v>
      </c>
      <c r="B57" s="3432" t="str">
        <f t="shared" si="3"/>
        <v>BE</v>
      </c>
      <c r="C57" s="3432" t="s">
        <v>2147</v>
      </c>
      <c r="D57" s="3432" t="s">
        <v>2196</v>
      </c>
      <c r="E57" s="3432" t="s">
        <v>2363</v>
      </c>
      <c r="F57" s="3432">
        <v>85</v>
      </c>
      <c r="G57" s="3432" t="s">
        <v>1111</v>
      </c>
      <c r="H57" s="3432">
        <v>1727.0403665925201</v>
      </c>
      <c r="I57" s="3432">
        <v>1732.6938883909304</v>
      </c>
      <c r="J57" s="3432">
        <v>1779.5935693254817</v>
      </c>
      <c r="K57" s="3432">
        <v>1726.0135615023025</v>
      </c>
      <c r="L57" s="3432">
        <v>1846.2277746410425</v>
      </c>
      <c r="M57" s="3432">
        <v>1831.2192363984873</v>
      </c>
      <c r="N57" s="3432">
        <v>1802.1709567786158</v>
      </c>
      <c r="O57" s="3432">
        <v>1785.8864635865639</v>
      </c>
      <c r="P57" s="3432">
        <v>1878.5560953123895</v>
      </c>
      <c r="Q57" s="3432">
        <v>1878.9719508418264</v>
      </c>
      <c r="R57" s="3432">
        <v>1874.210342733679</v>
      </c>
      <c r="S57" s="3432">
        <v>1903.756480341005</v>
      </c>
      <c r="T57" s="3432">
        <v>1933.5712472564849</v>
      </c>
      <c r="U57" s="3432">
        <v>1862.9436540550396</v>
      </c>
      <c r="V57" s="3432">
        <v>1884.2864281302889</v>
      </c>
      <c r="W57" s="3432">
        <v>1858.872722918496</v>
      </c>
      <c r="X57" s="3432">
        <v>1857.2941720919287</v>
      </c>
      <c r="Y57" s="3432">
        <v>1841.2473275588477</v>
      </c>
      <c r="Z57" s="3432">
        <v>1833.5296135254705</v>
      </c>
      <c r="AA57" s="3432">
        <v>1859.4973814928862</v>
      </c>
      <c r="AB57" s="3432">
        <v>1885.0091242350554</v>
      </c>
      <c r="AC57" s="3432">
        <v>1844.0169040919868</v>
      </c>
      <c r="AD57" s="3432">
        <v>1845.8609209960787</v>
      </c>
      <c r="AE57" s="3432">
        <v>1847.7067819170745</v>
      </c>
    </row>
    <row r="58" spans="1:31">
      <c r="A58" s="3432" t="str">
        <f t="shared" si="2"/>
        <v>\\DG ECFIN\Forecast\Country databases\Desk transfer databases\BE</v>
      </c>
      <c r="B58" s="3432" t="str">
        <f t="shared" si="3"/>
        <v>BE</v>
      </c>
      <c r="C58" s="3432" t="s">
        <v>2147</v>
      </c>
      <c r="D58" s="3432" t="s">
        <v>2197</v>
      </c>
      <c r="E58" s="3432" t="s">
        <v>2149</v>
      </c>
      <c r="F58" s="3432">
        <v>87</v>
      </c>
      <c r="G58" s="3432" t="s">
        <v>1112</v>
      </c>
      <c r="H58" s="3432">
        <v>3.6541700000000001</v>
      </c>
      <c r="I58" s="3432">
        <v>4.4716499999999995</v>
      </c>
      <c r="J58" s="3432">
        <v>5.3453200000000001</v>
      </c>
      <c r="K58" s="3432">
        <v>5.4032200000000001</v>
      </c>
      <c r="L58" s="3432">
        <v>5.2354099999999999</v>
      </c>
      <c r="M58" s="3432">
        <v>5.4208299999999996</v>
      </c>
      <c r="N58" s="3432">
        <v>5.8667299999999996</v>
      </c>
      <c r="O58" s="3432">
        <v>6.4834300000000002</v>
      </c>
      <c r="P58" s="3432">
        <v>7.4544499999999996</v>
      </c>
      <c r="Q58" s="3432">
        <v>8.7055799999999994</v>
      </c>
      <c r="R58" s="3432">
        <v>10.479700000000001</v>
      </c>
      <c r="S58" s="3432">
        <v>12.48507</v>
      </c>
      <c r="T58" s="3432">
        <v>14.48174</v>
      </c>
      <c r="U58" s="3432">
        <v>12.023280000000002</v>
      </c>
      <c r="V58" s="3432">
        <v>11.682739999999999</v>
      </c>
      <c r="W58" s="3432">
        <v>12.470510000000001</v>
      </c>
      <c r="X58" s="3432">
        <v>13.015799999999999</v>
      </c>
      <c r="Y58" s="3432">
        <v>13.800240000000001</v>
      </c>
      <c r="Z58" s="3432">
        <v>14.621930000000001</v>
      </c>
      <c r="AA58" s="3432">
        <v>15.65227</v>
      </c>
      <c r="AB58" s="3432">
        <v>16.892139999999998</v>
      </c>
      <c r="AC58" s="3432">
        <v>18.449630000000003</v>
      </c>
      <c r="AD58" s="3432">
        <v>19.549555182988733</v>
      </c>
      <c r="AE58" s="3432">
        <v>20.686003495864497</v>
      </c>
    </row>
    <row r="59" spans="1:31">
      <c r="A59" s="3432" t="str">
        <f t="shared" si="2"/>
        <v>\\DG ECFIN\Forecast\Country databases\Desk transfer databases\BE</v>
      </c>
      <c r="B59" s="3432" t="str">
        <f t="shared" si="3"/>
        <v>BE</v>
      </c>
      <c r="C59" s="3432" t="s">
        <v>2147</v>
      </c>
      <c r="D59" s="3432" t="s">
        <v>2198</v>
      </c>
      <c r="E59" s="3432" t="s">
        <v>2149</v>
      </c>
      <c r="F59" s="3432">
        <v>88</v>
      </c>
      <c r="G59" s="3432" t="s">
        <v>333</v>
      </c>
      <c r="H59" s="3432" t="s">
        <v>2180</v>
      </c>
      <c r="I59" s="3432" t="s">
        <v>2180</v>
      </c>
      <c r="J59" s="3432" t="s">
        <v>2180</v>
      </c>
      <c r="K59" s="3432">
        <v>4.2784300000000002</v>
      </c>
      <c r="L59" s="3432">
        <v>4.1073300000000001</v>
      </c>
      <c r="M59" s="3432">
        <v>4.2849700000000004</v>
      </c>
      <c r="N59" s="3432">
        <v>4.6896599999999999</v>
      </c>
      <c r="O59" s="3432">
        <v>5.2108100000000004</v>
      </c>
      <c r="P59" s="3432">
        <v>5.9780600000000002</v>
      </c>
      <c r="Q59" s="3432">
        <v>6.9432299999999998</v>
      </c>
      <c r="R59" s="3432">
        <v>8.337159999999999</v>
      </c>
      <c r="S59" s="3432">
        <v>9.8237199999999998</v>
      </c>
      <c r="T59" s="3432">
        <v>11.29602</v>
      </c>
      <c r="U59" s="3432">
        <v>9.3578299999999999</v>
      </c>
      <c r="V59" s="3432">
        <v>9.2319500000000012</v>
      </c>
      <c r="W59" s="3432">
        <v>9.8397999999999985</v>
      </c>
      <c r="X59" s="3432">
        <v>10.295219999999999</v>
      </c>
      <c r="Y59" s="3432">
        <v>10.88761</v>
      </c>
      <c r="Z59" s="3432">
        <v>11.518120000000001</v>
      </c>
      <c r="AA59" s="3432">
        <v>12.323559999999999</v>
      </c>
      <c r="AB59" s="3432">
        <v>13.25775</v>
      </c>
      <c r="AC59" s="3432">
        <v>14.362240126594433</v>
      </c>
      <c r="AD59" s="3432">
        <v>15.177575242380211</v>
      </c>
      <c r="AE59" s="3432">
        <v>16.047371297764418</v>
      </c>
    </row>
    <row r="60" spans="1:31">
      <c r="A60" s="3432" t="str">
        <f t="shared" si="2"/>
        <v>\\DG ECFIN\Forecast\Country databases\Desk transfer databases\BE</v>
      </c>
      <c r="B60" s="3432" t="str">
        <f t="shared" si="3"/>
        <v>BE</v>
      </c>
      <c r="C60" s="3432" t="s">
        <v>2147</v>
      </c>
      <c r="D60" s="3432" t="s">
        <v>2199</v>
      </c>
      <c r="E60" s="3432" t="s">
        <v>2149</v>
      </c>
      <c r="F60" s="3432">
        <v>89</v>
      </c>
      <c r="G60" s="3432" t="s">
        <v>123</v>
      </c>
      <c r="H60" s="3432" t="s">
        <v>2180</v>
      </c>
      <c r="I60" s="3432" t="s">
        <v>2180</v>
      </c>
      <c r="J60" s="3432" t="s">
        <v>2180</v>
      </c>
      <c r="K60" s="3432">
        <v>2.5122100000000005</v>
      </c>
      <c r="L60" s="3432">
        <v>2.5169999999999999</v>
      </c>
      <c r="M60" s="3432">
        <v>2.3872999999999998</v>
      </c>
      <c r="N60" s="3432">
        <v>2.34639</v>
      </c>
      <c r="O60" s="3432">
        <v>2.4367899999999998</v>
      </c>
      <c r="P60" s="3432">
        <v>2.5497899999999998</v>
      </c>
      <c r="Q60" s="3432">
        <v>2.8515099999999998</v>
      </c>
      <c r="R60" s="3432">
        <v>2.9678199999999997</v>
      </c>
      <c r="S60" s="3432">
        <v>3.1930899999999998</v>
      </c>
      <c r="T60" s="3432">
        <v>3.4104199999999998</v>
      </c>
      <c r="U60" s="3432">
        <v>2.8222200000000002</v>
      </c>
      <c r="V60" s="3432">
        <v>2.6309799999999997</v>
      </c>
      <c r="W60" s="3432">
        <v>2.8366799999999999</v>
      </c>
      <c r="X60" s="3432">
        <v>3.2705600000000001</v>
      </c>
      <c r="Y60" s="3432">
        <v>3.38794</v>
      </c>
      <c r="Z60" s="3432">
        <v>3.5277099999999995</v>
      </c>
      <c r="AA60" s="3432">
        <v>3.7731500000000007</v>
      </c>
      <c r="AB60" s="3432">
        <v>3.77868</v>
      </c>
      <c r="AC60" s="3432">
        <v>3.77868</v>
      </c>
      <c r="AD60" s="3432">
        <v>3.77868</v>
      </c>
      <c r="AE60" s="3432">
        <v>3.77868</v>
      </c>
    </row>
    <row r="61" spans="1:31">
      <c r="A61" s="3432" t="str">
        <f t="shared" si="2"/>
        <v>\\DG ECFIN\Forecast\Country databases\Desk transfer databases\BE</v>
      </c>
      <c r="B61" s="3432" t="str">
        <f t="shared" si="3"/>
        <v>BE</v>
      </c>
      <c r="C61" s="3432" t="s">
        <v>2147</v>
      </c>
      <c r="D61" s="3432" t="s">
        <v>2200</v>
      </c>
      <c r="E61" s="3432" t="s">
        <v>2149</v>
      </c>
      <c r="F61" s="3432">
        <v>90</v>
      </c>
      <c r="G61" s="3432" t="s">
        <v>1257</v>
      </c>
      <c r="H61" s="3432" t="s">
        <v>2180</v>
      </c>
      <c r="I61" s="3432" t="s">
        <v>2180</v>
      </c>
      <c r="J61" s="3432" t="s">
        <v>2180</v>
      </c>
      <c r="K61" s="3432" t="s">
        <v>2180</v>
      </c>
      <c r="L61" s="3432">
        <v>2.2481900000000001</v>
      </c>
      <c r="M61" s="3432">
        <v>2.4520399999999998</v>
      </c>
      <c r="N61" s="3432">
        <v>2.8442200000000004</v>
      </c>
      <c r="O61" s="3432">
        <v>2.8599800000000002</v>
      </c>
      <c r="P61" s="3432">
        <v>3.7417699999999998</v>
      </c>
      <c r="Q61" s="3432">
        <v>3.4261699999999999</v>
      </c>
      <c r="R61" s="3432">
        <v>4.061090000000001</v>
      </c>
      <c r="S61" s="3432">
        <v>3.1740200000000001</v>
      </c>
      <c r="T61" s="3432">
        <v>3.7490299999999999</v>
      </c>
      <c r="U61" s="3432">
        <v>3.7567799999999996</v>
      </c>
      <c r="V61" s="3432">
        <v>4.4089599999999995</v>
      </c>
      <c r="W61" s="3432">
        <v>4.9348000000000001</v>
      </c>
      <c r="X61" s="3432">
        <v>5.0896300000000005</v>
      </c>
      <c r="Y61" s="3432">
        <v>5.0884999999999998</v>
      </c>
      <c r="Z61" s="3432">
        <v>4.7201900000000006</v>
      </c>
      <c r="AA61" s="3432">
        <v>4.6545599999999991</v>
      </c>
      <c r="AB61" s="3432">
        <v>4.9098900000000008</v>
      </c>
      <c r="AC61" s="3432">
        <v>5.1861917499999999</v>
      </c>
      <c r="AD61" s="3432">
        <v>5.3902210662499987</v>
      </c>
      <c r="AE61" s="3432">
        <v>5.7473888408937484</v>
      </c>
    </row>
    <row r="62" spans="1:31">
      <c r="A62" s="3432" t="str">
        <f t="shared" si="2"/>
        <v>\\DG ECFIN\Forecast\Country databases\Desk transfer databases\BE</v>
      </c>
      <c r="B62" s="3432" t="str">
        <f t="shared" si="3"/>
        <v>BE</v>
      </c>
      <c r="C62" s="3432" t="s">
        <v>2147</v>
      </c>
      <c r="D62" s="3432" t="s">
        <v>2201</v>
      </c>
      <c r="E62" s="3432" t="s">
        <v>2149</v>
      </c>
      <c r="F62" s="3432">
        <v>91</v>
      </c>
      <c r="G62" s="3432" t="s">
        <v>1259</v>
      </c>
      <c r="H62" s="3432" t="s">
        <v>2180</v>
      </c>
      <c r="I62" s="3432" t="s">
        <v>2180</v>
      </c>
      <c r="J62" s="3432" t="s">
        <v>2180</v>
      </c>
      <c r="K62" s="3432" t="s">
        <v>2180</v>
      </c>
      <c r="L62" s="3432">
        <v>1.6957</v>
      </c>
      <c r="M62" s="3432">
        <v>1.8841299999999999</v>
      </c>
      <c r="N62" s="3432">
        <v>1.7482</v>
      </c>
      <c r="O62" s="3432">
        <v>1.8721300000000003</v>
      </c>
      <c r="P62" s="3432">
        <v>2.1660499999999998</v>
      </c>
      <c r="Q62" s="3432">
        <v>2.7122099999999998</v>
      </c>
      <c r="R62" s="3432">
        <v>2.9812000000000003</v>
      </c>
      <c r="S62" s="3432">
        <v>3.8068199999999996</v>
      </c>
      <c r="T62" s="3432">
        <v>5.1829999999999998</v>
      </c>
      <c r="U62" s="3432">
        <v>5.5910100000000007</v>
      </c>
      <c r="V62" s="3432">
        <v>5.4423299999999992</v>
      </c>
      <c r="W62" s="3432">
        <v>5.2637</v>
      </c>
      <c r="X62" s="3432">
        <v>4.9523000000000001</v>
      </c>
      <c r="Y62" s="3432">
        <v>5.5924700000000005</v>
      </c>
      <c r="Z62" s="3432">
        <v>5.7490500000000004</v>
      </c>
      <c r="AA62" s="3432">
        <v>5.6345499999999999</v>
      </c>
      <c r="AB62" s="3432">
        <v>5.9196899999999992</v>
      </c>
      <c r="AC62" s="3432">
        <v>6.5123086200000007</v>
      </c>
      <c r="AD62" s="3432">
        <v>7.1705756549000021</v>
      </c>
      <c r="AE62" s="3432">
        <v>7.5811514782427016</v>
      </c>
    </row>
    <row r="63" spans="1:31">
      <c r="A63" s="3432" t="str">
        <f t="shared" si="2"/>
        <v>\\DG ECFIN\Forecast\Country databases\Desk transfer databases\BE</v>
      </c>
      <c r="B63" s="3432" t="str">
        <f t="shared" si="3"/>
        <v>BE</v>
      </c>
      <c r="C63" s="3432" t="s">
        <v>2147</v>
      </c>
      <c r="D63" s="3432" t="s">
        <v>2202</v>
      </c>
      <c r="E63" s="3432" t="s">
        <v>2149</v>
      </c>
      <c r="F63" s="3432">
        <v>92</v>
      </c>
      <c r="G63" s="3432" t="s">
        <v>1437</v>
      </c>
      <c r="H63" s="3432" t="s">
        <v>2180</v>
      </c>
      <c r="I63" s="3432" t="s">
        <v>2180</v>
      </c>
      <c r="J63" s="3432" t="s">
        <v>2180</v>
      </c>
      <c r="K63" s="3432" t="s">
        <v>2180</v>
      </c>
      <c r="L63" s="3432">
        <v>1.02823</v>
      </c>
      <c r="M63" s="3432">
        <v>1.0264000000000002</v>
      </c>
      <c r="N63" s="3432">
        <v>1.0390299999999999</v>
      </c>
      <c r="O63" s="3432">
        <v>1.0864400000000001</v>
      </c>
      <c r="P63" s="3432">
        <v>1.2406900000000001</v>
      </c>
      <c r="Q63" s="3432">
        <v>1.44129</v>
      </c>
      <c r="R63" s="3432">
        <v>1.63571</v>
      </c>
      <c r="S63" s="3432">
        <v>1.8986800000000001</v>
      </c>
      <c r="T63" s="3432">
        <v>2.1377100000000002</v>
      </c>
      <c r="U63" s="3432">
        <v>1.10605</v>
      </c>
      <c r="V63" s="3432">
        <v>1.0397700000000001</v>
      </c>
      <c r="W63" s="3432">
        <v>1.12323</v>
      </c>
      <c r="X63" s="3432">
        <v>1.1782999999999999</v>
      </c>
      <c r="Y63" s="3432">
        <v>1.2658900000000002</v>
      </c>
      <c r="Z63" s="3432">
        <v>1.3338399999999999</v>
      </c>
      <c r="AA63" s="3432">
        <v>1.4569700000000001</v>
      </c>
      <c r="AB63" s="3432">
        <v>1.5573599999999999</v>
      </c>
      <c r="AC63" s="3432">
        <v>1.6732275839999999</v>
      </c>
      <c r="AD63" s="3432">
        <v>1.733463777024</v>
      </c>
      <c r="AE63" s="3432">
        <v>1.8262040890947842</v>
      </c>
    </row>
    <row r="64" spans="1:31">
      <c r="A64" s="3432" t="str">
        <f t="shared" si="2"/>
        <v>\\DG ECFIN\Forecast\Country databases\Desk transfer databases\BE</v>
      </c>
      <c r="B64" s="3432" t="str">
        <f t="shared" si="3"/>
        <v>BE</v>
      </c>
      <c r="C64" s="3432" t="s">
        <v>2147</v>
      </c>
      <c r="D64" s="3432" t="s">
        <v>2203</v>
      </c>
      <c r="E64" s="3432" t="s">
        <v>2149</v>
      </c>
      <c r="F64" s="3432">
        <v>93</v>
      </c>
      <c r="G64" s="3432" t="s">
        <v>1439</v>
      </c>
      <c r="H64" s="3432" t="s">
        <v>2180</v>
      </c>
      <c r="I64" s="3432" t="s">
        <v>2180</v>
      </c>
      <c r="J64" s="3432" t="s">
        <v>2180</v>
      </c>
      <c r="K64" s="3432" t="s">
        <v>2180</v>
      </c>
      <c r="L64" s="3432">
        <v>1.40845</v>
      </c>
      <c r="M64" s="3432">
        <v>1.42588</v>
      </c>
      <c r="N64" s="3432">
        <v>1.5200100000000001</v>
      </c>
      <c r="O64" s="3432">
        <v>1.6163700000000001</v>
      </c>
      <c r="P64" s="3432">
        <v>1.8291900000000001</v>
      </c>
      <c r="Q64" s="3432">
        <v>2.1868500000000002</v>
      </c>
      <c r="R64" s="3432">
        <v>2.6566400000000003</v>
      </c>
      <c r="S64" s="3432">
        <v>3.2656099999999997</v>
      </c>
      <c r="T64" s="3432">
        <v>3.8407100000000001</v>
      </c>
      <c r="U64" s="3432">
        <v>3.8870500000000003</v>
      </c>
      <c r="V64" s="3432">
        <v>3.7590399999999997</v>
      </c>
      <c r="W64" s="3432">
        <v>3.9995099999999999</v>
      </c>
      <c r="X64" s="3432">
        <v>4.0777000000000001</v>
      </c>
      <c r="Y64" s="3432">
        <v>4.3260300000000012</v>
      </c>
      <c r="Z64" s="3432">
        <v>4.59171</v>
      </c>
      <c r="AA64" s="3432">
        <v>4.9127000000000001</v>
      </c>
      <c r="AB64" s="3432">
        <v>5.3306200000000006</v>
      </c>
      <c r="AC64" s="3432">
        <v>5.9556341507806332</v>
      </c>
      <c r="AD64" s="3432">
        <v>6.3460517382429362</v>
      </c>
      <c r="AE64" s="3432">
        <v>6.7061137957011194</v>
      </c>
    </row>
    <row r="65" spans="1:31">
      <c r="A65" s="3432" t="str">
        <f t="shared" si="2"/>
        <v>\\DG ECFIN\Forecast\Country databases\Desk transfer databases\BE</v>
      </c>
      <c r="B65" s="3432" t="str">
        <f t="shared" si="3"/>
        <v>BE</v>
      </c>
      <c r="C65" s="3432" t="s">
        <v>2147</v>
      </c>
      <c r="D65" s="3432" t="s">
        <v>2204</v>
      </c>
      <c r="E65" s="3432" t="s">
        <v>2149</v>
      </c>
      <c r="F65" s="3432">
        <v>94</v>
      </c>
      <c r="G65" s="3432" t="s">
        <v>1441</v>
      </c>
      <c r="H65" s="3432" t="s">
        <v>2180</v>
      </c>
      <c r="I65" s="3432" t="s">
        <v>2180</v>
      </c>
      <c r="J65" s="3432" t="s">
        <v>2180</v>
      </c>
      <c r="K65" s="3432" t="s">
        <v>2180</v>
      </c>
      <c r="L65" s="3432">
        <v>0</v>
      </c>
      <c r="M65" s="3432">
        <v>0</v>
      </c>
      <c r="N65" s="3432">
        <v>0</v>
      </c>
      <c r="O65" s="3432">
        <v>0</v>
      </c>
      <c r="P65" s="3432">
        <v>5.0140000000000004E-2</v>
      </c>
      <c r="Q65" s="3432">
        <v>8.9270000000000002E-2</v>
      </c>
      <c r="R65" s="3432">
        <v>0.15365999999999999</v>
      </c>
      <c r="S65" s="3432">
        <v>0.24606999999999998</v>
      </c>
      <c r="T65" s="3432">
        <v>0.30675999999999998</v>
      </c>
      <c r="U65" s="3432">
        <v>0.12214</v>
      </c>
      <c r="V65" s="3432">
        <v>9.5510000000000012E-2</v>
      </c>
      <c r="W65" s="3432">
        <v>9.2939999999999995E-2</v>
      </c>
      <c r="X65" s="3432">
        <v>7.4510000000000007E-2</v>
      </c>
      <c r="Y65" s="3432">
        <v>0.14002999999999999</v>
      </c>
      <c r="Z65" s="3432">
        <v>0.1198</v>
      </c>
      <c r="AA65" s="3432">
        <v>0.12872</v>
      </c>
      <c r="AB65" s="3432">
        <v>0.13106000000000001</v>
      </c>
      <c r="AC65" s="3432">
        <v>0.13106000000000001</v>
      </c>
      <c r="AD65" s="3432">
        <v>0.13106000000000001</v>
      </c>
      <c r="AE65" s="3432">
        <v>0.13106000000000001</v>
      </c>
    </row>
    <row r="66" spans="1:31">
      <c r="A66" s="3432" t="str">
        <f t="shared" si="2"/>
        <v>\\DG ECFIN\Forecast\Country databases\Desk transfer databases\BE</v>
      </c>
      <c r="B66" s="3432" t="str">
        <f t="shared" si="3"/>
        <v>BE</v>
      </c>
      <c r="C66" s="3432" t="s">
        <v>2147</v>
      </c>
      <c r="D66" s="3432" t="s">
        <v>2205</v>
      </c>
      <c r="E66" s="3432" t="s">
        <v>2149</v>
      </c>
      <c r="F66" s="3432">
        <v>95</v>
      </c>
      <c r="G66" s="3432" t="s">
        <v>1442</v>
      </c>
      <c r="H66" s="3432" t="s">
        <v>2180</v>
      </c>
      <c r="I66" s="3432" t="s">
        <v>2180</v>
      </c>
      <c r="J66" s="3432" t="s">
        <v>2180</v>
      </c>
      <c r="K66" s="3432" t="s">
        <v>2180</v>
      </c>
      <c r="L66" s="3432">
        <v>8.691889999999999</v>
      </c>
      <c r="M66" s="3432">
        <v>9.2690300000000008</v>
      </c>
      <c r="N66" s="3432">
        <v>9.8024199999999997</v>
      </c>
      <c r="O66" s="3432">
        <v>10.739979999999999</v>
      </c>
      <c r="P66" s="3432">
        <v>11.88908</v>
      </c>
      <c r="Q66" s="3432">
        <v>13.583080000000001</v>
      </c>
      <c r="R66" s="3432">
        <v>15.509840000000001</v>
      </c>
      <c r="S66" s="3432">
        <v>18.460609999999999</v>
      </c>
      <c r="T66" s="3432">
        <v>21.260830000000002</v>
      </c>
      <c r="U66" s="3432">
        <v>18.33539</v>
      </c>
      <c r="V66" s="3432">
        <v>17.945540000000001</v>
      </c>
      <c r="W66" s="3432">
        <v>19.543849999999999</v>
      </c>
      <c r="X66" s="3432">
        <v>20.77008</v>
      </c>
      <c r="Y66" s="3432">
        <v>21.881709999999998</v>
      </c>
      <c r="Z66" s="3432">
        <v>22.776820000000001</v>
      </c>
      <c r="AA66" s="3432">
        <v>23.47364</v>
      </c>
      <c r="AB66" s="3432">
        <v>24.863340000000001</v>
      </c>
      <c r="AC66" s="3432">
        <v>26.80039</v>
      </c>
      <c r="AD66" s="3432">
        <v>28.459602144899996</v>
      </c>
      <c r="AE66" s="3432">
        <v>30.045541934026691</v>
      </c>
    </row>
    <row r="67" spans="1:31">
      <c r="A67" s="3432" t="str">
        <f t="shared" si="2"/>
        <v>\\DG ECFIN\Forecast\Country databases\Desk transfer databases\BE</v>
      </c>
      <c r="B67" s="3432" t="str">
        <f t="shared" si="3"/>
        <v>BE</v>
      </c>
      <c r="C67" s="3432" t="s">
        <v>2147</v>
      </c>
      <c r="D67" s="3432" t="s">
        <v>2206</v>
      </c>
      <c r="E67" s="3432" t="s">
        <v>2149</v>
      </c>
      <c r="F67" s="3432">
        <v>96</v>
      </c>
      <c r="G67" s="3432" t="s">
        <v>427</v>
      </c>
      <c r="H67" s="3432" t="s">
        <v>2180</v>
      </c>
      <c r="I67" s="3432" t="s">
        <v>2180</v>
      </c>
      <c r="J67" s="3432" t="s">
        <v>2180</v>
      </c>
      <c r="K67" s="3432" t="s">
        <v>2180</v>
      </c>
      <c r="L67" s="3432">
        <v>0.48302</v>
      </c>
      <c r="M67" s="3432">
        <v>0.43107000000000001</v>
      </c>
      <c r="N67" s="3432">
        <v>0.53527000000000002</v>
      </c>
      <c r="O67" s="3432">
        <v>0.69854000000000005</v>
      </c>
      <c r="P67" s="3432">
        <v>0.80769000000000002</v>
      </c>
      <c r="Q67" s="3432">
        <v>0.79996999999999996</v>
      </c>
      <c r="R67" s="3432">
        <v>0.88250999999999991</v>
      </c>
      <c r="S67" s="3432">
        <v>1.12869</v>
      </c>
      <c r="T67" s="3432">
        <v>1.41472</v>
      </c>
      <c r="U67" s="3432">
        <v>0.90032999999999996</v>
      </c>
      <c r="V67" s="3432">
        <v>0.89505999999999997</v>
      </c>
      <c r="W67" s="3432">
        <v>1.1085699999999998</v>
      </c>
      <c r="X67" s="3432">
        <v>1.09135</v>
      </c>
      <c r="Y67" s="3432">
        <v>1.3447199999999997</v>
      </c>
      <c r="Z67" s="3432">
        <v>1.3846799999999999</v>
      </c>
      <c r="AA67" s="3432">
        <v>1.59246</v>
      </c>
      <c r="AB67" s="3432">
        <v>1.73797</v>
      </c>
      <c r="AC67" s="3432">
        <v>1.7989497999999999</v>
      </c>
      <c r="AD67" s="3432">
        <v>1.8620638929999997</v>
      </c>
      <c r="AE67" s="3432">
        <v>1.9273869792549996</v>
      </c>
    </row>
    <row r="68" spans="1:31">
      <c r="A68" s="3432" t="str">
        <f t="shared" si="2"/>
        <v>\\DG ECFIN\Forecast\Country databases\Desk transfer databases\BE</v>
      </c>
      <c r="B68" s="3432" t="str">
        <f t="shared" si="3"/>
        <v>BE</v>
      </c>
      <c r="C68" s="3432" t="s">
        <v>2147</v>
      </c>
      <c r="D68" s="3432" t="s">
        <v>2207</v>
      </c>
      <c r="E68" s="3432" t="s">
        <v>2149</v>
      </c>
      <c r="F68" s="3432">
        <v>97</v>
      </c>
      <c r="G68" s="3432" t="s">
        <v>429</v>
      </c>
      <c r="H68" s="3432" t="s">
        <v>2180</v>
      </c>
      <c r="I68" s="3432" t="s">
        <v>2180</v>
      </c>
      <c r="J68" s="3432" t="s">
        <v>2180</v>
      </c>
      <c r="K68" s="3432" t="s">
        <v>2180</v>
      </c>
      <c r="L68" s="3432">
        <v>-0.19653000000000001</v>
      </c>
      <c r="M68" s="3432">
        <v>-4.2810000000000001E-2</v>
      </c>
      <c r="N68" s="3432">
        <v>-4.0600000000000004E-2</v>
      </c>
      <c r="O68" s="3432">
        <v>-5.1069999999999997E-2</v>
      </c>
      <c r="P68" s="3432">
        <v>-0.13129000000000002</v>
      </c>
      <c r="Q68" s="3432">
        <v>-0.22094</v>
      </c>
      <c r="R68" s="3432">
        <v>-0.30287000000000003</v>
      </c>
      <c r="S68" s="3432">
        <v>-0.56608000000000003</v>
      </c>
      <c r="T68" s="3432">
        <v>-0.20887999999999998</v>
      </c>
      <c r="U68" s="3432">
        <v>-8.9900000000000015E-3</v>
      </c>
      <c r="V68" s="3432">
        <v>-2.1800000000000014E-3</v>
      </c>
      <c r="W68" s="3432">
        <v>-1.25936</v>
      </c>
      <c r="X68" s="3432">
        <v>-8.0979999999999996E-2</v>
      </c>
      <c r="Y68" s="3432">
        <v>-4.9879999999999994E-2</v>
      </c>
      <c r="Z68" s="3432">
        <v>-0.35565000000000002</v>
      </c>
      <c r="AA68" s="3432">
        <v>-0.15492</v>
      </c>
      <c r="AB68" s="3432">
        <v>-0.13267000000000001</v>
      </c>
      <c r="AC68" s="3432">
        <v>-0.12881580000000001</v>
      </c>
      <c r="AD68" s="3432">
        <v>-0.125231394</v>
      </c>
      <c r="AE68" s="3432">
        <v>-0.12189789641999998</v>
      </c>
    </row>
    <row r="69" spans="1:31">
      <c r="A69" s="3432" t="str">
        <f t="shared" si="2"/>
        <v>\\DG ECFIN\Forecast\Country databases\Desk transfer databases\BE</v>
      </c>
      <c r="B69" s="3432" t="str">
        <f t="shared" si="3"/>
        <v>BE</v>
      </c>
      <c r="C69" s="3432" t="s">
        <v>2147</v>
      </c>
      <c r="D69" s="3432" t="s">
        <v>2208</v>
      </c>
      <c r="E69" s="3432" t="s">
        <v>2149</v>
      </c>
      <c r="F69" s="3432">
        <v>100</v>
      </c>
      <c r="G69" s="3432" t="s">
        <v>430</v>
      </c>
      <c r="H69" s="3432" t="s">
        <v>2180</v>
      </c>
      <c r="I69" s="3432" t="s">
        <v>2180</v>
      </c>
      <c r="J69" s="3432" t="s">
        <v>2180</v>
      </c>
      <c r="K69" s="3432" t="s">
        <v>2180</v>
      </c>
      <c r="L69" s="3432">
        <v>7.04054</v>
      </c>
      <c r="M69" s="3432">
        <v>7.8377799999999995</v>
      </c>
      <c r="N69" s="3432">
        <v>8.6526899999999998</v>
      </c>
      <c r="O69" s="3432">
        <v>9.867700000000001</v>
      </c>
      <c r="P69" s="3432">
        <v>11.10008</v>
      </c>
      <c r="Q69" s="3432">
        <v>13.076600000000001</v>
      </c>
      <c r="R69" s="3432">
        <v>15.146889999999999</v>
      </c>
      <c r="S69" s="3432">
        <v>18.65231</v>
      </c>
      <c r="T69" s="3432">
        <v>20.88843</v>
      </c>
      <c r="U69" s="3432">
        <v>16.73537</v>
      </c>
      <c r="V69" s="3432">
        <v>18.234159999999999</v>
      </c>
      <c r="W69" s="3432">
        <v>20.770669999999999</v>
      </c>
      <c r="X69" s="3432">
        <v>22.225490000000001</v>
      </c>
      <c r="Y69" s="3432">
        <v>23.43872</v>
      </c>
      <c r="Z69" s="3432">
        <v>24.500109999999999</v>
      </c>
      <c r="AA69" s="3432">
        <v>24.728159999999999</v>
      </c>
      <c r="AB69" s="3432">
        <v>25.56738</v>
      </c>
      <c r="AC69" s="3432">
        <v>28.093316769273876</v>
      </c>
      <c r="AD69" s="3432">
        <v>29.895443026415556</v>
      </c>
      <c r="AE69" s="3432">
        <v>31.814666730987341</v>
      </c>
    </row>
    <row r="70" spans="1:31">
      <c r="A70" s="3432" t="str">
        <f t="shared" si="2"/>
        <v>\\DG ECFIN\Forecast\Country databases\Desk transfer databases\BE</v>
      </c>
      <c r="B70" s="3432" t="str">
        <f t="shared" si="3"/>
        <v>BE</v>
      </c>
      <c r="C70" s="3432" t="s">
        <v>2147</v>
      </c>
      <c r="D70" s="3432" t="s">
        <v>2209</v>
      </c>
      <c r="E70" s="3432" t="s">
        <v>2149</v>
      </c>
      <c r="F70" s="3432">
        <v>101</v>
      </c>
      <c r="G70" s="3432" t="s">
        <v>1794</v>
      </c>
      <c r="H70" s="3432" t="s">
        <v>2180</v>
      </c>
      <c r="I70" s="3432" t="s">
        <v>2180</v>
      </c>
      <c r="J70" s="3432" t="s">
        <v>2180</v>
      </c>
      <c r="K70" s="3432" t="s">
        <v>2180</v>
      </c>
      <c r="L70" s="3432">
        <v>2.5300000000000001E-3</v>
      </c>
      <c r="M70" s="3432">
        <v>3.1579999999999997E-2</v>
      </c>
      <c r="N70" s="3432">
        <v>1.8100000000000002E-2</v>
      </c>
      <c r="O70" s="3432">
        <v>1.4150000000000001E-2</v>
      </c>
      <c r="P70" s="3432">
        <v>2.214E-2</v>
      </c>
      <c r="Q70" s="3432">
        <v>2.2510000000000002E-2</v>
      </c>
      <c r="R70" s="3432">
        <v>6.6269999999999996E-2</v>
      </c>
      <c r="S70" s="3432">
        <v>7.1400000000000005E-2</v>
      </c>
      <c r="T70" s="3432">
        <v>3.6409999999999998E-2</v>
      </c>
      <c r="U70" s="3432">
        <v>1.898E-2</v>
      </c>
      <c r="V70" s="3432">
        <v>4.5649999999999996E-2</v>
      </c>
      <c r="W70" s="3432">
        <v>2.6890000000000001E-2</v>
      </c>
      <c r="X70" s="3432">
        <v>2.572E-2</v>
      </c>
      <c r="Y70" s="3432">
        <v>4.9030000000000004E-2</v>
      </c>
      <c r="Z70" s="3432">
        <v>4.7329999999999997E-2</v>
      </c>
      <c r="AA70" s="3432">
        <v>6.0969999999999996E-2</v>
      </c>
      <c r="AB70" s="3432">
        <v>7.2870000000000004E-2</v>
      </c>
      <c r="AC70" s="3432">
        <v>7.2870000000000004E-2</v>
      </c>
      <c r="AD70" s="3432">
        <v>7.2870000000000004E-2</v>
      </c>
      <c r="AE70" s="3432">
        <v>7.2870000000000004E-2</v>
      </c>
    </row>
    <row r="71" spans="1:31">
      <c r="A71" s="3432" t="str">
        <f t="shared" si="2"/>
        <v>\\DG ECFIN\Forecast\Country databases\Desk transfer databases\BE</v>
      </c>
      <c r="B71" s="3432" t="str">
        <f t="shared" si="3"/>
        <v>BE</v>
      </c>
      <c r="C71" s="3432" t="s">
        <v>2147</v>
      </c>
      <c r="D71" s="3432" t="s">
        <v>2210</v>
      </c>
      <c r="E71" s="3432" t="s">
        <v>2149</v>
      </c>
      <c r="F71" s="3432">
        <v>102</v>
      </c>
      <c r="G71" s="3432" t="s">
        <v>1795</v>
      </c>
      <c r="H71" s="3432" t="s">
        <v>2180</v>
      </c>
      <c r="I71" s="3432" t="s">
        <v>2180</v>
      </c>
      <c r="J71" s="3432" t="s">
        <v>2180</v>
      </c>
      <c r="K71" s="3432" t="s">
        <v>2180</v>
      </c>
      <c r="L71" s="3432">
        <v>6.1149999999999996E-2</v>
      </c>
      <c r="M71" s="3432">
        <v>6.5700000000000008E-2</v>
      </c>
      <c r="N71" s="3432">
        <v>6.003E-2</v>
      </c>
      <c r="O71" s="3432">
        <v>7.8189999999999996E-2</v>
      </c>
      <c r="P71" s="3432">
        <v>0.10031</v>
      </c>
      <c r="Q71" s="3432">
        <v>0.10956999999999999</v>
      </c>
      <c r="R71" s="3432">
        <v>0.13700999999999999</v>
      </c>
      <c r="S71" s="3432">
        <v>0.15727000000000002</v>
      </c>
      <c r="T71" s="3432">
        <v>0.15278999999999998</v>
      </c>
      <c r="U71" s="3432">
        <v>0.15337000000000001</v>
      </c>
      <c r="V71" s="3432">
        <v>0.14898</v>
      </c>
      <c r="W71" s="3432">
        <v>0.16141999999999998</v>
      </c>
      <c r="X71" s="3432">
        <v>0.16938999999999999</v>
      </c>
      <c r="Y71" s="3432">
        <v>0.18053999999999998</v>
      </c>
      <c r="Z71" s="3432">
        <v>0.20343</v>
      </c>
      <c r="AA71" s="3432">
        <v>0.21567</v>
      </c>
      <c r="AB71" s="3432">
        <v>0.19243000000000002</v>
      </c>
      <c r="AC71" s="3432">
        <v>0.20205150000000002</v>
      </c>
      <c r="AD71" s="3432">
        <v>0.21215407500000003</v>
      </c>
      <c r="AE71" s="3432">
        <v>0.22276177875000003</v>
      </c>
    </row>
    <row r="72" spans="1:31">
      <c r="A72" s="3432" t="str">
        <f t="shared" si="2"/>
        <v>\\DG ECFIN\Forecast\Country databases\Desk transfer databases\BE</v>
      </c>
      <c r="B72" s="3432" t="str">
        <f t="shared" si="3"/>
        <v>BE</v>
      </c>
      <c r="C72" s="3432" t="s">
        <v>2147</v>
      </c>
      <c r="D72" s="3432" t="s">
        <v>2211</v>
      </c>
      <c r="E72" s="3432" t="s">
        <v>2149</v>
      </c>
      <c r="F72" s="3432">
        <v>103</v>
      </c>
      <c r="G72" s="3432" t="s">
        <v>1157</v>
      </c>
      <c r="H72" s="3432" t="s">
        <v>2180</v>
      </c>
      <c r="I72" s="3432" t="s">
        <v>2180</v>
      </c>
      <c r="J72" s="3432" t="s">
        <v>2180</v>
      </c>
      <c r="K72" s="3432" t="s">
        <v>2180</v>
      </c>
      <c r="L72" s="3432">
        <v>3.3712399999999998</v>
      </c>
      <c r="M72" s="3432">
        <v>3.41967</v>
      </c>
      <c r="N72" s="3432">
        <v>3.7725399999999998</v>
      </c>
      <c r="O72" s="3432">
        <v>4.2979799999999999</v>
      </c>
      <c r="P72" s="3432">
        <v>4.9501200000000001</v>
      </c>
      <c r="Q72" s="3432">
        <v>5.9176700000000002</v>
      </c>
      <c r="R72" s="3432">
        <v>7.2326000000000006</v>
      </c>
      <c r="S72" s="3432">
        <v>8.7606399999999987</v>
      </c>
      <c r="T72" s="3432">
        <v>10.118370000000001</v>
      </c>
      <c r="U72" s="3432">
        <v>8.0144400000000005</v>
      </c>
      <c r="V72" s="3432">
        <v>7.9502499999999996</v>
      </c>
      <c r="W72" s="3432">
        <v>8.6269599999999986</v>
      </c>
      <c r="X72" s="3432">
        <v>9.2755400000000012</v>
      </c>
      <c r="Y72" s="3432">
        <v>9.9203500000000009</v>
      </c>
      <c r="Z72" s="3432">
        <v>10.668329999999999</v>
      </c>
      <c r="AA72" s="3432">
        <v>11.52549</v>
      </c>
      <c r="AB72" s="3432">
        <v>12.63739</v>
      </c>
      <c r="AC72" s="3432">
        <v>13.926518249273876</v>
      </c>
      <c r="AD72" s="3432">
        <v>14.79072867706623</v>
      </c>
      <c r="AE72" s="3432">
        <v>15.662483697455624</v>
      </c>
    </row>
    <row r="73" spans="1:31">
      <c r="A73" s="3432" t="str">
        <f t="shared" si="2"/>
        <v>\\DG ECFIN\Forecast\Country databases\Desk transfer databases\BE</v>
      </c>
      <c r="B73" s="3432" t="str">
        <f t="shared" si="3"/>
        <v>BE</v>
      </c>
      <c r="C73" s="3432" t="s">
        <v>2147</v>
      </c>
      <c r="D73" s="3432" t="s">
        <v>2212</v>
      </c>
      <c r="E73" s="3432" t="s">
        <v>2149</v>
      </c>
      <c r="F73" s="3432">
        <v>104</v>
      </c>
      <c r="G73" s="3432" t="s">
        <v>1159</v>
      </c>
      <c r="H73" s="3432" t="s">
        <v>2180</v>
      </c>
      <c r="I73" s="3432" t="s">
        <v>2180</v>
      </c>
      <c r="J73" s="3432" t="s">
        <v>2180</v>
      </c>
      <c r="K73" s="3432" t="s">
        <v>2180</v>
      </c>
      <c r="L73" s="3432">
        <v>3.6106800000000003</v>
      </c>
      <c r="M73" s="3432">
        <v>4.3839899999999998</v>
      </c>
      <c r="N73" s="3432">
        <v>4.8382199999999997</v>
      </c>
      <c r="O73" s="3432">
        <v>5.5056800000000008</v>
      </c>
      <c r="P73" s="3432">
        <v>6.07179</v>
      </c>
      <c r="Q73" s="3432">
        <v>7.0718700000000005</v>
      </c>
      <c r="R73" s="3432">
        <v>7.8435499999999987</v>
      </c>
      <c r="S73" s="3432">
        <v>9.8058000000000014</v>
      </c>
      <c r="T73" s="3432">
        <v>10.65368</v>
      </c>
      <c r="U73" s="3432">
        <v>8.5865399999999994</v>
      </c>
      <c r="V73" s="3432">
        <v>10.180579999999999</v>
      </c>
      <c r="W73" s="3432">
        <v>12.009180000000001</v>
      </c>
      <c r="X73" s="3432">
        <v>12.806279999999999</v>
      </c>
      <c r="Y73" s="3432">
        <v>13.386859999999999</v>
      </c>
      <c r="Z73" s="3432">
        <v>13.675680000000002</v>
      </c>
      <c r="AA73" s="3432">
        <v>13.047969999999999</v>
      </c>
      <c r="AB73" s="3432">
        <v>12.81043</v>
      </c>
      <c r="AC73" s="3432">
        <v>14.037617020000001</v>
      </c>
      <c r="AD73" s="3432">
        <v>14.965430274349325</v>
      </c>
      <c r="AE73" s="3432">
        <v>16.002291254781717</v>
      </c>
    </row>
    <row r="74" spans="1:31">
      <c r="A74" s="3432" t="str">
        <f t="shared" si="2"/>
        <v>\\DG ECFIN\Forecast\Country databases\Desk transfer databases\BE</v>
      </c>
      <c r="B74" s="3432" t="str">
        <f t="shared" si="3"/>
        <v>BE</v>
      </c>
      <c r="C74" s="3432" t="s">
        <v>2147</v>
      </c>
      <c r="D74" s="3432" t="s">
        <v>2213</v>
      </c>
      <c r="E74" s="3432" t="s">
        <v>2149</v>
      </c>
      <c r="F74" s="3432">
        <v>105</v>
      </c>
      <c r="G74" s="3432" t="s">
        <v>1161</v>
      </c>
      <c r="H74" s="3432" t="s">
        <v>2180</v>
      </c>
      <c r="I74" s="3432" t="s">
        <v>2180</v>
      </c>
      <c r="J74" s="3432" t="s">
        <v>2180</v>
      </c>
      <c r="K74" s="3432" t="s">
        <v>2180</v>
      </c>
      <c r="L74" s="3432">
        <v>-2.4417300000000002</v>
      </c>
      <c r="M74" s="3432">
        <v>-2.69787</v>
      </c>
      <c r="N74" s="3432">
        <v>-3.0302600000000002</v>
      </c>
      <c r="O74" s="3432">
        <v>-3.2625700000000002</v>
      </c>
      <c r="P74" s="3432">
        <v>-4.324110000000001</v>
      </c>
      <c r="Q74" s="3432">
        <v>-4.0924699999999996</v>
      </c>
      <c r="R74" s="3432">
        <v>-4.8829799999999999</v>
      </c>
      <c r="S74" s="3432">
        <v>-4.5213700000000001</v>
      </c>
      <c r="T74" s="3432">
        <v>-5.0862400000000001</v>
      </c>
      <c r="U74" s="3432">
        <v>-3.3473299999999999</v>
      </c>
      <c r="V74" s="3432">
        <v>-5.076950000000001</v>
      </c>
      <c r="W74" s="3432">
        <v>-6.1153799999999991</v>
      </c>
      <c r="X74" s="3432">
        <v>-5.9805399999999995</v>
      </c>
      <c r="Y74" s="3432">
        <v>-5.8831499999999997</v>
      </c>
      <c r="Z74" s="3432">
        <v>-5.0425499999999994</v>
      </c>
      <c r="AA74" s="3432">
        <v>-6.1047099999999999</v>
      </c>
      <c r="AB74" s="3432">
        <v>-6.4326499999999998</v>
      </c>
      <c r="AC74" s="3432">
        <v>-6.7864457499999995</v>
      </c>
      <c r="AD74" s="3432">
        <v>-7.1597002662499989</v>
      </c>
      <c r="AE74" s="3432">
        <v>-7.5534837808937487</v>
      </c>
    </row>
    <row r="75" spans="1:31">
      <c r="A75" s="3432" t="str">
        <f t="shared" si="2"/>
        <v>\\DG ECFIN\Forecast\Country databases\Desk transfer databases\BE</v>
      </c>
      <c r="B75" s="3432" t="str">
        <f t="shared" si="3"/>
        <v>BE</v>
      </c>
      <c r="C75" s="3432" t="s">
        <v>2147</v>
      </c>
      <c r="D75" s="3432" t="s">
        <v>2214</v>
      </c>
      <c r="E75" s="3432" t="s">
        <v>2149</v>
      </c>
      <c r="F75" s="3432">
        <v>106</v>
      </c>
      <c r="G75" s="3432" t="s">
        <v>1851</v>
      </c>
      <c r="H75" s="3432" t="s">
        <v>2180</v>
      </c>
      <c r="I75" s="3432" t="s">
        <v>2180</v>
      </c>
      <c r="J75" s="3432" t="s">
        <v>2180</v>
      </c>
      <c r="K75" s="3432" t="s">
        <v>2180</v>
      </c>
      <c r="L75" s="3432">
        <v>-0.13261999999999996</v>
      </c>
      <c r="M75" s="3432">
        <v>-0.11904000000000003</v>
      </c>
      <c r="N75" s="3432">
        <v>-8.279000000000003E-2</v>
      </c>
      <c r="O75" s="3432">
        <v>-3.803999999999999E-2</v>
      </c>
      <c r="P75" s="3432">
        <v>3.6999999999999811E-3</v>
      </c>
      <c r="Q75" s="3432">
        <v>-3.8870000000000016E-2</v>
      </c>
      <c r="R75" s="3432">
        <v>0.17908999999999997</v>
      </c>
      <c r="S75" s="3432">
        <v>0.23221000000000008</v>
      </c>
      <c r="T75" s="3432">
        <v>-1.8460000000000032E-2</v>
      </c>
      <c r="U75" s="3432">
        <v>-0.1724699999999999</v>
      </c>
      <c r="V75" s="3432">
        <v>-0.14577000000000007</v>
      </c>
      <c r="W75" s="3432">
        <v>-0.18150999999999984</v>
      </c>
      <c r="X75" s="3432">
        <v>-0.21569999999999995</v>
      </c>
      <c r="Y75" s="3432">
        <v>-0.13945999999999992</v>
      </c>
      <c r="Z75" s="3432">
        <v>-0.14122999999999997</v>
      </c>
      <c r="AA75" s="3432">
        <v>-0.15076999999999996</v>
      </c>
      <c r="AB75" s="3432">
        <v>-0.20697999999999994</v>
      </c>
      <c r="AC75" s="3432">
        <v>-0.23816079999999995</v>
      </c>
      <c r="AD75" s="3432">
        <v>-0.27266380600000018</v>
      </c>
      <c r="AE75" s="3432">
        <v>-0.31080148603000013</v>
      </c>
    </row>
    <row r="76" spans="1:31">
      <c r="A76" s="3432" t="str">
        <f t="shared" si="2"/>
        <v>\\DG ECFIN\Forecast\Country databases\Desk transfer databases\BE</v>
      </c>
      <c r="B76" s="3432" t="str">
        <f t="shared" si="3"/>
        <v>BE</v>
      </c>
      <c r="C76" s="3432" t="s">
        <v>2147</v>
      </c>
      <c r="D76" s="3432" t="s">
        <v>2215</v>
      </c>
      <c r="E76" s="3432" t="s">
        <v>2149</v>
      </c>
      <c r="F76" s="3432">
        <v>107</v>
      </c>
      <c r="G76" s="3432" t="s">
        <v>1852</v>
      </c>
      <c r="H76" s="3432" t="s">
        <v>2180</v>
      </c>
      <c r="I76" s="3432" t="s">
        <v>2180</v>
      </c>
      <c r="J76" s="3432" t="s">
        <v>2180</v>
      </c>
      <c r="K76" s="3432" t="s">
        <v>2180</v>
      </c>
      <c r="L76" s="3432">
        <v>9.0269999999999989E-2</v>
      </c>
      <c r="M76" s="3432">
        <v>7.5079999999999994E-2</v>
      </c>
      <c r="N76" s="3432">
        <v>8.9090000000000003E-2</v>
      </c>
      <c r="O76" s="3432">
        <v>0.22716</v>
      </c>
      <c r="P76" s="3432">
        <v>0.33768999999999999</v>
      </c>
      <c r="Q76" s="3432">
        <v>0.43642000000000003</v>
      </c>
      <c r="R76" s="3432">
        <v>0.66228999999999993</v>
      </c>
      <c r="S76" s="3432">
        <v>0.73341999999999996</v>
      </c>
      <c r="T76" s="3432">
        <v>0.88609000000000004</v>
      </c>
      <c r="U76" s="3432">
        <v>0.48854999999999998</v>
      </c>
      <c r="V76" s="3432">
        <v>0.27594999999999997</v>
      </c>
      <c r="W76" s="3432">
        <v>0.25196000000000002</v>
      </c>
      <c r="X76" s="3432">
        <v>0.43019999999999997</v>
      </c>
      <c r="Y76" s="3432">
        <v>0.47525000000000001</v>
      </c>
      <c r="Z76" s="3432">
        <v>0.49851999999999996</v>
      </c>
      <c r="AA76" s="3432">
        <v>0.57265999999999995</v>
      </c>
      <c r="AB76" s="3432">
        <v>0.62555999999999989</v>
      </c>
      <c r="AC76" s="3432">
        <v>0.63099999999999989</v>
      </c>
      <c r="AD76" s="3432">
        <v>0.6499299999999999</v>
      </c>
      <c r="AE76" s="3432">
        <v>0.6882758699999999</v>
      </c>
    </row>
    <row r="77" spans="1:31">
      <c r="A77" s="3432" t="str">
        <f t="shared" ref="A77:A139" si="4">CONCATENATE($I$7,$J$7)</f>
        <v>\\DG ECFIN\Forecast\Country databases\Desk transfer databases\BE</v>
      </c>
      <c r="B77" s="3432" t="str">
        <f t="shared" ref="B77:B139" si="5">$J$7</f>
        <v>BE</v>
      </c>
      <c r="C77" s="3432" t="s">
        <v>2147</v>
      </c>
      <c r="D77" s="3432" t="s">
        <v>2216</v>
      </c>
      <c r="E77" s="3432" t="s">
        <v>2149</v>
      </c>
      <c r="F77" s="3432">
        <v>108</v>
      </c>
      <c r="G77" s="3432" t="s">
        <v>1967</v>
      </c>
      <c r="H77" s="3432" t="s">
        <v>2180</v>
      </c>
      <c r="I77" s="3432" t="s">
        <v>2180</v>
      </c>
      <c r="J77" s="3432" t="s">
        <v>2180</v>
      </c>
      <c r="K77" s="3432" t="s">
        <v>2180</v>
      </c>
      <c r="L77" s="3432">
        <v>0</v>
      </c>
      <c r="M77" s="3432">
        <v>0</v>
      </c>
      <c r="N77" s="3432">
        <v>0</v>
      </c>
      <c r="O77" s="3432">
        <v>0</v>
      </c>
      <c r="P77" s="3432">
        <v>5.0140000000000004E-2</v>
      </c>
      <c r="Q77" s="3432">
        <v>8.9270000000000002E-2</v>
      </c>
      <c r="R77" s="3432">
        <v>0.15365999999999999</v>
      </c>
      <c r="S77" s="3432">
        <v>0.24606999999999998</v>
      </c>
      <c r="T77" s="3432">
        <v>0.30675999999999998</v>
      </c>
      <c r="U77" s="3432">
        <v>0.12214</v>
      </c>
      <c r="V77" s="3432">
        <v>9.5510000000000012E-2</v>
      </c>
      <c r="W77" s="3432">
        <v>9.2939999999999995E-2</v>
      </c>
      <c r="X77" s="3432">
        <v>7.4510000000000007E-2</v>
      </c>
      <c r="Y77" s="3432">
        <v>0.14002999999999999</v>
      </c>
      <c r="Z77" s="3432">
        <v>0.1198</v>
      </c>
      <c r="AA77" s="3432">
        <v>0.12872</v>
      </c>
      <c r="AB77" s="3432">
        <v>0.13106000000000001</v>
      </c>
      <c r="AC77" s="3432">
        <v>0.13106000000000001</v>
      </c>
      <c r="AD77" s="3432">
        <v>0.13106000000000001</v>
      </c>
      <c r="AE77" s="3432">
        <v>0.13106000000000001</v>
      </c>
    </row>
    <row r="78" spans="1:31">
      <c r="A78" s="3432" t="str">
        <f t="shared" si="4"/>
        <v>\\DG ECFIN\Forecast\Country databases\Desk transfer databases\BE</v>
      </c>
      <c r="B78" s="3432" t="str">
        <f t="shared" si="5"/>
        <v>BE</v>
      </c>
      <c r="C78" s="3432" t="s">
        <v>2147</v>
      </c>
      <c r="D78" s="3432" t="s">
        <v>2217</v>
      </c>
      <c r="E78" s="3432" t="s">
        <v>2149</v>
      </c>
      <c r="F78" s="3432">
        <v>109</v>
      </c>
      <c r="G78" s="3432" t="s">
        <v>1968</v>
      </c>
      <c r="H78" s="3432" t="s">
        <v>2180</v>
      </c>
      <c r="I78" s="3432" t="s">
        <v>2180</v>
      </c>
      <c r="J78" s="3432" t="s">
        <v>2180</v>
      </c>
      <c r="K78" s="3432" t="s">
        <v>2180</v>
      </c>
      <c r="L78" s="3432">
        <v>1.7003199999999998</v>
      </c>
      <c r="M78" s="3432">
        <v>1.9428899999999998</v>
      </c>
      <c r="N78" s="3432">
        <v>2.1369199999999999</v>
      </c>
      <c r="O78" s="3432">
        <v>2.4196599999999999</v>
      </c>
      <c r="P78" s="3432">
        <v>2.6634999999999995</v>
      </c>
      <c r="Q78" s="3432">
        <v>3.48482</v>
      </c>
      <c r="R78" s="3432">
        <v>4.5013699999999996</v>
      </c>
      <c r="S78" s="3432">
        <v>6.602990000000001</v>
      </c>
      <c r="T78" s="3432">
        <v>5.9098399999999991</v>
      </c>
      <c r="U78" s="3432">
        <v>1.2344899999999999</v>
      </c>
      <c r="V78" s="3432">
        <v>2.7554099999999999</v>
      </c>
      <c r="W78" s="3432">
        <v>4.1993900000000002</v>
      </c>
      <c r="X78" s="3432">
        <v>4.0368599999999999</v>
      </c>
      <c r="Y78" s="3432">
        <v>4.13992</v>
      </c>
      <c r="Z78" s="3432">
        <v>4.2783499999999997</v>
      </c>
      <c r="AA78" s="3432">
        <v>4.6886099999999997</v>
      </c>
      <c r="AB78" s="3432">
        <v>3.7375100000000003</v>
      </c>
      <c r="AC78" s="3432">
        <v>4.1594073491796708</v>
      </c>
      <c r="AD78" s="3432">
        <v>4.7105425170022883</v>
      </c>
      <c r="AE78" s="3432">
        <v>5.1136643096866443</v>
      </c>
    </row>
    <row r="79" spans="1:31">
      <c r="A79" s="3432" t="str">
        <f t="shared" si="4"/>
        <v>\\DG ECFIN\Forecast\Country databases\Desk transfer databases\BE</v>
      </c>
      <c r="B79" s="3432" t="str">
        <f t="shared" si="5"/>
        <v>BE</v>
      </c>
      <c r="C79" s="3432" t="s">
        <v>2147</v>
      </c>
      <c r="D79" s="3432" t="s">
        <v>2218</v>
      </c>
      <c r="E79" s="3432" t="s">
        <v>2149</v>
      </c>
      <c r="F79" s="3432">
        <v>110</v>
      </c>
      <c r="G79" s="3432" t="s">
        <v>1969</v>
      </c>
      <c r="H79" s="3432" t="s">
        <v>2180</v>
      </c>
      <c r="I79" s="3432" t="s">
        <v>2180</v>
      </c>
      <c r="J79" s="3432" t="s">
        <v>2180</v>
      </c>
      <c r="K79" s="3432" t="s">
        <v>2180</v>
      </c>
      <c r="L79" s="3432">
        <v>-0.1193</v>
      </c>
      <c r="M79" s="3432">
        <v>-0.24498999999999999</v>
      </c>
      <c r="N79" s="3432">
        <v>-0.10184</v>
      </c>
      <c r="O79" s="3432">
        <v>-1.9909999999999997E-2</v>
      </c>
      <c r="P79" s="3432">
        <v>-7.5999999999999956E-3</v>
      </c>
      <c r="Q79" s="3432">
        <v>0.12758000000000003</v>
      </c>
      <c r="R79" s="3432">
        <v>0.11657999999999999</v>
      </c>
      <c r="S79" s="3432">
        <v>0.13652999999999993</v>
      </c>
      <c r="T79" s="3432">
        <v>-0.19274000000000002</v>
      </c>
      <c r="U79" s="3432">
        <v>-0.86844999999999994</v>
      </c>
      <c r="V79" s="3432">
        <v>-0.44906999999999997</v>
      </c>
      <c r="W79" s="3432">
        <v>-0.35134999999999994</v>
      </c>
      <c r="X79" s="3432">
        <v>-0.26247999999999999</v>
      </c>
      <c r="Y79" s="3432">
        <v>-0.64942</v>
      </c>
      <c r="Z79" s="3432">
        <v>-5.3859999999999943E-2</v>
      </c>
      <c r="AA79" s="3432">
        <v>-0.4865600000000001</v>
      </c>
      <c r="AB79" s="3432">
        <v>-0.27847</v>
      </c>
      <c r="AC79" s="3432">
        <v>-0.25158999999999998</v>
      </c>
      <c r="AD79" s="3432">
        <v>-0.22659159999999995</v>
      </c>
      <c r="AE79" s="3432">
        <v>-0.20334308799999995</v>
      </c>
    </row>
    <row r="80" spans="1:31">
      <c r="A80" s="3432" t="str">
        <f t="shared" si="4"/>
        <v>\\DG ECFIN\Forecast\Country databases\Desk transfer databases\BE</v>
      </c>
      <c r="B80" s="3432" t="str">
        <f t="shared" si="5"/>
        <v>BE</v>
      </c>
      <c r="C80" s="3432" t="s">
        <v>2147</v>
      </c>
      <c r="D80" s="3432" t="s">
        <v>2219</v>
      </c>
      <c r="E80" s="3432" t="s">
        <v>2149</v>
      </c>
      <c r="F80" s="3432">
        <v>113</v>
      </c>
      <c r="G80" s="3432" t="s">
        <v>1077</v>
      </c>
      <c r="H80" s="3432">
        <v>1.1237200000000001</v>
      </c>
      <c r="I80" s="3432">
        <v>1.58561</v>
      </c>
      <c r="J80" s="3432">
        <v>1.7950299999999999</v>
      </c>
      <c r="K80" s="3432">
        <v>1.74356</v>
      </c>
      <c r="L80" s="3432">
        <v>1.6726099999999999</v>
      </c>
      <c r="M80" s="3432">
        <v>1.72933</v>
      </c>
      <c r="N80" s="3432">
        <v>1.8834200000000001</v>
      </c>
      <c r="O80" s="3432">
        <v>1.94069</v>
      </c>
      <c r="P80" s="3432">
        <v>2.0387400000000002</v>
      </c>
      <c r="Q80" s="3432">
        <v>2.3545599999999998</v>
      </c>
      <c r="R80" s="3432">
        <v>2.7234699999999998</v>
      </c>
      <c r="S80" s="3432">
        <v>3.3773499999999999</v>
      </c>
      <c r="T80" s="3432">
        <v>3.79074</v>
      </c>
      <c r="U80" s="3432">
        <v>3.1144400000000001</v>
      </c>
      <c r="V80" s="3432">
        <v>3.3192600000000003</v>
      </c>
      <c r="W80" s="3432">
        <v>3.6286</v>
      </c>
      <c r="X80" s="3432">
        <v>3.7240700000000002</v>
      </c>
      <c r="Y80" s="3432">
        <v>3.8413400000000002</v>
      </c>
      <c r="Z80" s="3432">
        <v>4.0795399999999997</v>
      </c>
      <c r="AA80" s="3432">
        <v>4.3436300000000001</v>
      </c>
      <c r="AB80" s="3432">
        <v>4.5327600000000006</v>
      </c>
      <c r="AC80" s="3432">
        <v>4.9279856999999998</v>
      </c>
      <c r="AD80" s="3432">
        <v>5.2460899270192165</v>
      </c>
      <c r="AE80" s="3432">
        <v>5.5409120675982919</v>
      </c>
    </row>
    <row r="81" spans="1:31">
      <c r="A81" s="3432" t="str">
        <f t="shared" si="4"/>
        <v>\\DG ECFIN\Forecast\Country databases\Desk transfer databases\BE</v>
      </c>
      <c r="B81" s="3432" t="str">
        <f t="shared" si="5"/>
        <v>BE</v>
      </c>
      <c r="C81" s="3432" t="s">
        <v>2147</v>
      </c>
      <c r="D81" s="3432" t="s">
        <v>2220</v>
      </c>
      <c r="E81" s="3432" t="s">
        <v>2149</v>
      </c>
      <c r="F81" s="3432">
        <v>114</v>
      </c>
      <c r="G81" s="3432" t="s">
        <v>1802</v>
      </c>
      <c r="H81" s="3432">
        <v>0.77739000000000003</v>
      </c>
      <c r="I81" s="3432">
        <v>1.02521</v>
      </c>
      <c r="J81" s="3432">
        <v>1.17039</v>
      </c>
      <c r="K81" s="3432">
        <v>1.1596099999999998</v>
      </c>
      <c r="L81" s="3432">
        <v>1.1185</v>
      </c>
      <c r="M81" s="3432">
        <v>1.1014699999999999</v>
      </c>
      <c r="N81" s="3432">
        <v>1.12815</v>
      </c>
      <c r="O81" s="3432">
        <v>1.31376</v>
      </c>
      <c r="P81" s="3432">
        <v>1.57897</v>
      </c>
      <c r="Q81" s="3432">
        <v>1.8784799999999999</v>
      </c>
      <c r="R81" s="3432">
        <v>2.2994699999999999</v>
      </c>
      <c r="S81" s="3432">
        <v>2.6336900000000001</v>
      </c>
      <c r="T81" s="3432">
        <v>3.0165999999999999</v>
      </c>
      <c r="U81" s="3432">
        <v>1.5983099999999999</v>
      </c>
      <c r="V81" s="3432">
        <v>1.2940499999999999</v>
      </c>
      <c r="W81" s="3432">
        <v>1.3590799999999998</v>
      </c>
      <c r="X81" s="3432">
        <v>1.60755</v>
      </c>
      <c r="Y81" s="3432">
        <v>1.7361900000000001</v>
      </c>
      <c r="Z81" s="3432">
        <v>1.83673</v>
      </c>
      <c r="AA81" s="3432">
        <v>2.0321899999999999</v>
      </c>
      <c r="AB81" s="3432">
        <v>2.1945000000000001</v>
      </c>
      <c r="AC81" s="3432">
        <v>2.3153593839999997</v>
      </c>
      <c r="AD81" s="3432">
        <v>2.3945682130239994</v>
      </c>
      <c r="AE81" s="3432">
        <v>2.5256978838147841</v>
      </c>
    </row>
    <row r="82" spans="1:31">
      <c r="A82" s="3432" t="str">
        <f t="shared" si="4"/>
        <v>\\DG ECFIN\Forecast\Country databases\Desk transfer databases\BE</v>
      </c>
      <c r="B82" s="3432" t="str">
        <f t="shared" si="5"/>
        <v>BE</v>
      </c>
      <c r="C82" s="3432" t="s">
        <v>2147</v>
      </c>
      <c r="D82" s="3432" t="s">
        <v>2221</v>
      </c>
      <c r="E82" s="3432" t="s">
        <v>2149</v>
      </c>
      <c r="F82" s="3432">
        <v>115</v>
      </c>
      <c r="G82" s="3432" t="s">
        <v>1804</v>
      </c>
      <c r="H82" s="3432">
        <v>0.74826999999999999</v>
      </c>
      <c r="I82" s="3432">
        <v>1.05446</v>
      </c>
      <c r="J82" s="3432">
        <v>1.3030599999999999</v>
      </c>
      <c r="K82" s="3432">
        <v>1.2872299999999999</v>
      </c>
      <c r="L82" s="3432">
        <v>1.3648899999999999</v>
      </c>
      <c r="M82" s="3432">
        <v>1.3791100000000001</v>
      </c>
      <c r="N82" s="3432">
        <v>1.4252100000000001</v>
      </c>
      <c r="O82" s="3432">
        <v>1.5356000000000001</v>
      </c>
      <c r="P82" s="3432">
        <v>1.7162999999999999</v>
      </c>
      <c r="Q82" s="3432">
        <v>1.9260700000000002</v>
      </c>
      <c r="R82" s="3432">
        <v>2.2698700000000001</v>
      </c>
      <c r="S82" s="3432">
        <v>2.73678</v>
      </c>
      <c r="T82" s="3432">
        <v>3.2264699999999999</v>
      </c>
      <c r="U82" s="3432">
        <v>3.5213300000000003</v>
      </c>
      <c r="V82" s="3432">
        <v>3.3984800000000002</v>
      </c>
      <c r="W82" s="3432">
        <v>3.5833899999999996</v>
      </c>
      <c r="X82" s="3432">
        <v>3.7254800000000001</v>
      </c>
      <c r="Y82" s="3432">
        <v>3.8927499999999999</v>
      </c>
      <c r="Z82" s="3432">
        <v>4.1737299999999999</v>
      </c>
      <c r="AA82" s="3432">
        <v>4.4563400000000009</v>
      </c>
      <c r="AB82" s="3432">
        <v>4.8441000000000001</v>
      </c>
      <c r="AC82" s="3432">
        <v>5.444205530780633</v>
      </c>
      <c r="AD82" s="3432">
        <v>5.8089673013429346</v>
      </c>
      <c r="AE82" s="3432">
        <v>6.1419965550884186</v>
      </c>
    </row>
    <row r="83" spans="1:31">
      <c r="A83" s="3432" t="str">
        <f t="shared" si="4"/>
        <v>\\DG ECFIN\Forecast\Country databases\Desk transfer databases\BE</v>
      </c>
      <c r="B83" s="3432" t="str">
        <f t="shared" si="5"/>
        <v>BE</v>
      </c>
      <c r="C83" s="3432" t="s">
        <v>2147</v>
      </c>
      <c r="D83" s="3432" t="s">
        <v>2222</v>
      </c>
      <c r="E83" s="3432" t="s">
        <v>2149</v>
      </c>
      <c r="F83" s="3432">
        <v>116</v>
      </c>
      <c r="G83" s="3432" t="s">
        <v>1806</v>
      </c>
      <c r="H83" s="3432">
        <v>0.74658000000000002</v>
      </c>
      <c r="I83" s="3432">
        <v>1.05233</v>
      </c>
      <c r="J83" s="3432">
        <v>1.30036</v>
      </c>
      <c r="K83" s="3432">
        <v>1.28443</v>
      </c>
      <c r="L83" s="3432">
        <v>1.3622799999999999</v>
      </c>
      <c r="M83" s="3432">
        <v>1.37643</v>
      </c>
      <c r="N83" s="3432">
        <v>1.4224300000000001</v>
      </c>
      <c r="O83" s="3432">
        <v>1.53271</v>
      </c>
      <c r="P83" s="3432">
        <v>1.66425</v>
      </c>
      <c r="Q83" s="3432">
        <v>1.8654900000000001</v>
      </c>
      <c r="R83" s="3432">
        <v>2.1977500000000001</v>
      </c>
      <c r="S83" s="3432">
        <v>2.64581</v>
      </c>
      <c r="T83" s="3432">
        <v>3.1147900000000002</v>
      </c>
      <c r="U83" s="3432">
        <v>3.4030100000000001</v>
      </c>
      <c r="V83" s="3432">
        <v>3.29555</v>
      </c>
      <c r="W83" s="3432">
        <v>3.4756199999999997</v>
      </c>
      <c r="X83" s="3432">
        <v>3.6120100000000002</v>
      </c>
      <c r="Y83" s="3432">
        <v>3.7942399999999998</v>
      </c>
      <c r="Z83" s="3432">
        <v>4.0646199999999997</v>
      </c>
      <c r="AA83" s="3432">
        <v>4.3401000000000005</v>
      </c>
      <c r="AB83" s="3432">
        <v>4.7157900000000001</v>
      </c>
      <c r="AC83" s="3432">
        <v>5.3</v>
      </c>
      <c r="AD83" s="3432">
        <v>5.6550999999999991</v>
      </c>
      <c r="AE83" s="3432">
        <v>5.9793080106769914</v>
      </c>
    </row>
    <row r="84" spans="1:31">
      <c r="A84" s="3432" t="str">
        <f t="shared" si="4"/>
        <v>\\DG ECFIN\Forecast\Country databases\Desk transfer databases\BE</v>
      </c>
      <c r="B84" s="3432" t="str">
        <f t="shared" si="5"/>
        <v>BE</v>
      </c>
      <c r="C84" s="3432" t="s">
        <v>2147</v>
      </c>
      <c r="D84" s="3432" t="s">
        <v>2223</v>
      </c>
      <c r="E84" s="3432" t="s">
        <v>2149</v>
      </c>
      <c r="F84" s="3432">
        <v>117</v>
      </c>
      <c r="G84" s="3432" t="s">
        <v>2007</v>
      </c>
      <c r="H84" s="3432">
        <v>0.50093999999999994</v>
      </c>
      <c r="I84" s="3432">
        <v>0.67547000000000001</v>
      </c>
      <c r="J84" s="3432">
        <v>0.5278799999999999</v>
      </c>
      <c r="K84" s="3432">
        <v>0.38412000000000002</v>
      </c>
      <c r="L84" s="3432">
        <v>0.48592000000000002</v>
      </c>
      <c r="M84" s="3432">
        <v>0.44218000000000002</v>
      </c>
      <c r="N84" s="3432">
        <v>0.36631999999999998</v>
      </c>
      <c r="O84" s="3432">
        <v>0.30554999999999999</v>
      </c>
      <c r="P84" s="3432">
        <v>0.28567999999999999</v>
      </c>
      <c r="Q84" s="3432">
        <v>0.40298</v>
      </c>
      <c r="R84" s="3432">
        <v>0.35403000000000001</v>
      </c>
      <c r="S84" s="3432">
        <v>0.41898000000000002</v>
      </c>
      <c r="T84" s="3432">
        <v>0.48837999999999998</v>
      </c>
      <c r="U84" s="3432">
        <v>0.43901000000000001</v>
      </c>
      <c r="V84" s="3432">
        <v>0.59362000000000004</v>
      </c>
      <c r="W84" s="3432">
        <v>0.67314999999999992</v>
      </c>
      <c r="X84" s="3432">
        <v>0.68006999999999995</v>
      </c>
      <c r="Y84" s="3432">
        <v>0.59372000000000003</v>
      </c>
      <c r="Z84" s="3432">
        <v>0.59770999999999996</v>
      </c>
      <c r="AA84" s="3432">
        <v>0.67398999999999998</v>
      </c>
      <c r="AB84" s="3432">
        <v>0.64477999999999991</v>
      </c>
      <c r="AC84" s="3432">
        <v>0.70744060799999986</v>
      </c>
      <c r="AD84" s="3432">
        <v>0.77082054467999994</v>
      </c>
      <c r="AE84" s="3432">
        <v>0.83038656847780001</v>
      </c>
    </row>
    <row r="85" spans="1:31">
      <c r="A85" s="3432" t="str">
        <f t="shared" si="4"/>
        <v>\\DG ECFIN\Forecast\Country databases\Desk transfer databases\BE</v>
      </c>
      <c r="B85" s="3432" t="str">
        <f t="shared" si="5"/>
        <v>BE</v>
      </c>
      <c r="C85" s="3432" t="s">
        <v>2147</v>
      </c>
      <c r="D85" s="3432" t="s">
        <v>2224</v>
      </c>
      <c r="E85" s="3432" t="s">
        <v>2149</v>
      </c>
      <c r="F85" s="3432">
        <v>118</v>
      </c>
      <c r="G85" s="3432" t="s">
        <v>88</v>
      </c>
      <c r="H85" s="3432">
        <v>1.31453</v>
      </c>
      <c r="I85" s="3432">
        <v>1.4791800000000002</v>
      </c>
      <c r="J85" s="3432">
        <v>1.7082599999999999</v>
      </c>
      <c r="K85" s="3432">
        <v>1.27505</v>
      </c>
      <c r="L85" s="3432">
        <v>1.5316700000000001</v>
      </c>
      <c r="M85" s="3432">
        <v>1.4814200000000002</v>
      </c>
      <c r="N85" s="3432">
        <v>1.47861</v>
      </c>
      <c r="O85" s="3432">
        <v>1.5441400000000001</v>
      </c>
      <c r="P85" s="3432">
        <v>1.6525099999999999</v>
      </c>
      <c r="Q85" s="3432">
        <v>1.76301</v>
      </c>
      <c r="R85" s="3432">
        <v>2.1633200000000001</v>
      </c>
      <c r="S85" s="3432">
        <v>2.3351599999999997</v>
      </c>
      <c r="T85" s="3432">
        <v>2.7246799999999998</v>
      </c>
      <c r="U85" s="3432">
        <v>2.3306799999999996</v>
      </c>
      <c r="V85" s="3432">
        <v>2.3706300000000002</v>
      </c>
      <c r="W85" s="3432">
        <v>2.40388</v>
      </c>
      <c r="X85" s="3432">
        <v>2.5336799999999999</v>
      </c>
      <c r="Y85" s="3432">
        <v>2.5270100000000002</v>
      </c>
      <c r="Z85" s="3432">
        <v>2.68093</v>
      </c>
      <c r="AA85" s="3432">
        <v>2.7902900000000002</v>
      </c>
      <c r="AB85" s="3432">
        <v>2.8603499999999999</v>
      </c>
      <c r="AC85" s="3432">
        <v>2.9872100000000001</v>
      </c>
      <c r="AD85" s="3432">
        <v>3.1365705000000004</v>
      </c>
      <c r="AE85" s="3432">
        <v>3.2933990250000007</v>
      </c>
    </row>
    <row r="86" spans="1:31">
      <c r="A86" s="3432" t="str">
        <f t="shared" si="4"/>
        <v>\\DG ECFIN\Forecast\Country databases\Desk transfer databases\BE</v>
      </c>
      <c r="B86" s="3432" t="str">
        <f t="shared" si="5"/>
        <v>BE</v>
      </c>
      <c r="C86" s="3432" t="s">
        <v>2147</v>
      </c>
      <c r="D86" s="3432" t="s">
        <v>2225</v>
      </c>
      <c r="E86" s="3432" t="s">
        <v>2149</v>
      </c>
      <c r="F86" s="3432">
        <v>119</v>
      </c>
      <c r="G86" s="3432" t="s">
        <v>89</v>
      </c>
      <c r="H86" s="3432">
        <v>1.0240100000000001</v>
      </c>
      <c r="I86" s="3432">
        <v>1.35297</v>
      </c>
      <c r="J86" s="3432">
        <v>1.66221</v>
      </c>
      <c r="K86" s="3432">
        <v>1.7330999999999999</v>
      </c>
      <c r="L86" s="3432">
        <v>1.46346</v>
      </c>
      <c r="M86" s="3432">
        <v>1.5200199999999999</v>
      </c>
      <c r="N86" s="3432">
        <v>1.6473100000000001</v>
      </c>
      <c r="O86" s="3432">
        <v>1.7149700000000001</v>
      </c>
      <c r="P86" s="3432">
        <v>1.8429800000000001</v>
      </c>
      <c r="Q86" s="3432">
        <v>2.1234000000000002</v>
      </c>
      <c r="R86" s="3432">
        <v>2.4421900000000001</v>
      </c>
      <c r="S86" s="3432">
        <v>2.7316700000000003</v>
      </c>
      <c r="T86" s="3432">
        <v>3.3761199999999998</v>
      </c>
      <c r="U86" s="3432">
        <v>3.3891499999999999</v>
      </c>
      <c r="V86" s="3432">
        <v>3.1927500000000002</v>
      </c>
      <c r="W86" s="3432">
        <v>3.33344</v>
      </c>
      <c r="X86" s="3432">
        <v>3.2970000000000002</v>
      </c>
      <c r="Y86" s="3432">
        <v>3.3099499999999997</v>
      </c>
      <c r="Z86" s="3432">
        <v>3.3924000000000003</v>
      </c>
      <c r="AA86" s="3432">
        <v>3.6384699999999999</v>
      </c>
      <c r="AB86" s="3432">
        <v>3.7765200000000001</v>
      </c>
      <c r="AC86" s="3432">
        <v>3.9208400000000001</v>
      </c>
      <c r="AD86" s="3432">
        <v>4.161412395588</v>
      </c>
      <c r="AE86" s="3432">
        <v>4.3792999700392308</v>
      </c>
    </row>
    <row r="87" spans="1:31">
      <c r="A87" s="3432" t="str">
        <f t="shared" si="4"/>
        <v>\\DG ECFIN\Forecast\Country databases\Desk transfer databases\BE</v>
      </c>
      <c r="B87" s="3432" t="str">
        <f t="shared" si="5"/>
        <v>BE</v>
      </c>
      <c r="C87" s="3432" t="s">
        <v>2147</v>
      </c>
      <c r="D87" s="3432" t="s">
        <v>2226</v>
      </c>
      <c r="E87" s="3432" t="s">
        <v>2149</v>
      </c>
      <c r="F87" s="3432">
        <v>120</v>
      </c>
      <c r="G87" s="3432" t="s">
        <v>90</v>
      </c>
      <c r="H87" s="3432">
        <v>1.01535</v>
      </c>
      <c r="I87" s="3432">
        <v>1.2984</v>
      </c>
      <c r="J87" s="3432">
        <v>1.647</v>
      </c>
      <c r="K87" s="3432">
        <v>1.6960299999999999</v>
      </c>
      <c r="L87" s="3432">
        <v>1.60758</v>
      </c>
      <c r="M87" s="3432">
        <v>1.64941</v>
      </c>
      <c r="N87" s="3432">
        <v>1.71401</v>
      </c>
      <c r="O87" s="3432">
        <v>1.78653</v>
      </c>
      <c r="P87" s="3432">
        <v>1.9686700000000001</v>
      </c>
      <c r="Q87" s="3432">
        <v>2.1530800000000001</v>
      </c>
      <c r="R87" s="3432">
        <v>2.50461</v>
      </c>
      <c r="S87" s="3432">
        <v>2.8344800000000001</v>
      </c>
      <c r="T87" s="3432">
        <v>3.4758</v>
      </c>
      <c r="U87" s="3432">
        <v>3.4102600000000001</v>
      </c>
      <c r="V87" s="3432">
        <v>3.05884</v>
      </c>
      <c r="W87" s="3432">
        <v>3.19733</v>
      </c>
      <c r="X87" s="3432">
        <v>3.2416100000000001</v>
      </c>
      <c r="Y87" s="3432">
        <v>3.3384499999999999</v>
      </c>
      <c r="Z87" s="3432">
        <v>3.4621500000000003</v>
      </c>
      <c r="AA87" s="3432">
        <v>3.6053099999999998</v>
      </c>
      <c r="AB87" s="3432">
        <v>3.8023500000000001</v>
      </c>
      <c r="AC87" s="3432">
        <v>4.0019753007261274</v>
      </c>
      <c r="AD87" s="3432">
        <v>4.2038161866725012</v>
      </c>
      <c r="AE87" s="3432">
        <v>4.435208860003871</v>
      </c>
    </row>
    <row r="88" spans="1:31">
      <c r="A88" s="3432" t="str">
        <f t="shared" si="4"/>
        <v>\\DG ECFIN\Forecast\Country databases\Desk transfer databases\BE</v>
      </c>
      <c r="B88" s="3432" t="str">
        <f t="shared" si="5"/>
        <v>BE</v>
      </c>
      <c r="C88" s="3432" t="s">
        <v>2147</v>
      </c>
      <c r="D88" s="3432" t="s">
        <v>2227</v>
      </c>
      <c r="E88" s="3432" t="s">
        <v>2149</v>
      </c>
      <c r="F88" s="3432">
        <v>121</v>
      </c>
      <c r="G88" s="3432" t="s">
        <v>843</v>
      </c>
      <c r="H88" s="3432">
        <v>0.83355999999999997</v>
      </c>
      <c r="I88" s="3432">
        <v>1.1307799999999999</v>
      </c>
      <c r="J88" s="3432">
        <v>1.4114899999999999</v>
      </c>
      <c r="K88" s="3432">
        <v>1.5512699999999999</v>
      </c>
      <c r="L88" s="3432">
        <v>1.53494</v>
      </c>
      <c r="M88" s="3432">
        <v>1.6019600000000001</v>
      </c>
      <c r="N88" s="3432">
        <v>1.5185899999999999</v>
      </c>
      <c r="O88" s="3432">
        <v>1.6291600000000002</v>
      </c>
      <c r="P88" s="3432">
        <v>1.77817</v>
      </c>
      <c r="Q88" s="3432">
        <v>1.9577899999999999</v>
      </c>
      <c r="R88" s="3432">
        <v>2.2084899999999998</v>
      </c>
      <c r="S88" s="3432">
        <v>2.8051200000000001</v>
      </c>
      <c r="T88" s="3432">
        <v>3.7564499999999996</v>
      </c>
      <c r="U88" s="3432">
        <v>4.3547600000000006</v>
      </c>
      <c r="V88" s="3432">
        <v>4.0089800000000002</v>
      </c>
      <c r="W88" s="3432">
        <v>3.9032199999999997</v>
      </c>
      <c r="X88" s="3432">
        <v>3.9884200000000001</v>
      </c>
      <c r="Y88" s="3432">
        <v>3.9543499999999998</v>
      </c>
      <c r="Z88" s="3432">
        <v>3.9676999999999998</v>
      </c>
      <c r="AA88" s="3432">
        <v>4.0540500000000002</v>
      </c>
      <c r="AB88" s="3432">
        <v>4.2601700000000005</v>
      </c>
      <c r="AC88" s="3432">
        <v>4.7713904000000014</v>
      </c>
      <c r="AD88" s="3432">
        <v>5.3439572480000024</v>
      </c>
      <c r="AE88" s="3432">
        <v>5.6645946828800025</v>
      </c>
    </row>
    <row r="89" spans="1:31">
      <c r="A89" s="3432" t="str">
        <f t="shared" si="4"/>
        <v>\\DG ECFIN\Forecast\Country databases\Desk transfer databases\BE</v>
      </c>
      <c r="B89" s="3432" t="str">
        <f t="shared" si="5"/>
        <v>BE</v>
      </c>
      <c r="C89" s="3432" t="s">
        <v>2147</v>
      </c>
      <c r="D89" s="3432" t="s">
        <v>2228</v>
      </c>
      <c r="E89" s="3432" t="s">
        <v>2149</v>
      </c>
      <c r="F89" s="3432">
        <v>122</v>
      </c>
      <c r="G89" s="3432" t="s">
        <v>845</v>
      </c>
      <c r="H89" s="3432">
        <v>8.097E-2</v>
      </c>
      <c r="I89" s="3432">
        <v>8.584E-2</v>
      </c>
      <c r="J89" s="3432">
        <v>0.14752999999999999</v>
      </c>
      <c r="K89" s="3432">
        <v>0.18694</v>
      </c>
      <c r="L89" s="3432">
        <v>0.23169999999999999</v>
      </c>
      <c r="M89" s="3432">
        <v>0.21352000000000002</v>
      </c>
      <c r="N89" s="3432">
        <v>0.19841</v>
      </c>
      <c r="O89" s="3432">
        <v>0.20580999999999999</v>
      </c>
      <c r="P89" s="3432">
        <v>0.16370999999999999</v>
      </c>
      <c r="Q89" s="3432">
        <v>0.16072</v>
      </c>
      <c r="R89" s="3432">
        <v>0.16800999999999999</v>
      </c>
      <c r="S89" s="3432">
        <v>0.19231000000000001</v>
      </c>
      <c r="T89" s="3432">
        <v>0.21409999999999998</v>
      </c>
      <c r="U89" s="3432">
        <v>0.3332</v>
      </c>
      <c r="V89" s="3432">
        <v>0.50985999999999998</v>
      </c>
      <c r="W89" s="3432">
        <v>0.57565</v>
      </c>
      <c r="X89" s="3432">
        <v>0.6585700000000001</v>
      </c>
      <c r="Y89" s="3432">
        <v>0.61480999999999997</v>
      </c>
      <c r="Z89" s="3432">
        <v>0.58675999999999995</v>
      </c>
      <c r="AA89" s="3432">
        <v>0.56867999999999996</v>
      </c>
      <c r="AB89" s="3432">
        <v>0.51676999999999995</v>
      </c>
      <c r="AC89" s="3432">
        <v>0.49499999999999994</v>
      </c>
      <c r="AD89" s="3432">
        <v>0.38500000000000001</v>
      </c>
      <c r="AE89" s="3432">
        <v>0.40100000000000002</v>
      </c>
    </row>
    <row r="90" spans="1:31">
      <c r="A90" s="3432" t="str">
        <f t="shared" si="4"/>
        <v>\\DG ECFIN\Forecast\Country databases\Desk transfer databases\BE</v>
      </c>
      <c r="B90" s="3432" t="str">
        <f t="shared" si="5"/>
        <v>BE</v>
      </c>
      <c r="C90" s="3432" t="s">
        <v>2147</v>
      </c>
      <c r="D90" s="3432" t="s">
        <v>2229</v>
      </c>
      <c r="E90" s="3432" t="s">
        <v>2149</v>
      </c>
      <c r="F90" s="3432">
        <v>123</v>
      </c>
      <c r="G90" s="3432" t="s">
        <v>1007</v>
      </c>
      <c r="H90" s="3432">
        <v>0.11481</v>
      </c>
      <c r="I90" s="3432">
        <v>0.10111000000000001</v>
      </c>
      <c r="J90" s="3432">
        <v>0.13661000000000001</v>
      </c>
      <c r="K90" s="3432">
        <v>0.13238999999999998</v>
      </c>
      <c r="L90" s="3432">
        <v>0.10464</v>
      </c>
      <c r="M90" s="3432">
        <v>0.11926</v>
      </c>
      <c r="N90" s="3432">
        <v>0.11982</v>
      </c>
      <c r="O90" s="3432">
        <v>0.1295</v>
      </c>
      <c r="P90" s="3432">
        <v>0.12561</v>
      </c>
      <c r="Q90" s="3432">
        <v>0.14176</v>
      </c>
      <c r="R90" s="3432">
        <v>0.16190000000000002</v>
      </c>
      <c r="S90" s="3432">
        <v>0.25557000000000002</v>
      </c>
      <c r="T90" s="3432">
        <v>0.22084000000000001</v>
      </c>
      <c r="U90" s="3432">
        <v>0.17044000000000001</v>
      </c>
      <c r="V90" s="3432">
        <v>0.13799</v>
      </c>
      <c r="W90" s="3432">
        <v>0.12257</v>
      </c>
      <c r="X90" s="3432">
        <v>0.10482</v>
      </c>
      <c r="Y90" s="3432">
        <v>0.11563</v>
      </c>
      <c r="Z90" s="3432">
        <v>0.11874</v>
      </c>
      <c r="AA90" s="3432">
        <v>0.14757000000000001</v>
      </c>
      <c r="AB90" s="3432">
        <v>0.16243000000000002</v>
      </c>
      <c r="AC90" s="3432">
        <v>0.15881500000000004</v>
      </c>
      <c r="AD90" s="3432">
        <v>0.16650412500000011</v>
      </c>
      <c r="AE90" s="3432">
        <v>0.17460169412500015</v>
      </c>
    </row>
    <row r="91" spans="1:31">
      <c r="A91" s="3432" t="str">
        <f t="shared" si="4"/>
        <v>\\DG ECFIN\Forecast\Country databases\Desk transfer databases\BE</v>
      </c>
      <c r="B91" s="3432" t="str">
        <f t="shared" si="5"/>
        <v>BE</v>
      </c>
      <c r="C91" s="3432" t="s">
        <v>2147</v>
      </c>
      <c r="D91" s="3432" t="s">
        <v>2230</v>
      </c>
      <c r="E91" s="3432" t="s">
        <v>2149</v>
      </c>
      <c r="F91" s="3432">
        <v>124</v>
      </c>
      <c r="G91" s="3432" t="s">
        <v>1736</v>
      </c>
      <c r="H91" s="3432">
        <v>9.9299999999999996E-3</v>
      </c>
      <c r="I91" s="3432">
        <v>0.23502000000000001</v>
      </c>
      <c r="J91" s="3432">
        <v>8.9029999999999998E-2</v>
      </c>
      <c r="K91" s="3432">
        <v>7.0460000000000009E-2</v>
      </c>
      <c r="L91" s="3432">
        <v>1.9439999999999999E-2</v>
      </c>
      <c r="M91" s="3432">
        <v>5.9319999999999998E-2</v>
      </c>
      <c r="N91" s="3432">
        <v>2.5739999999999999E-2</v>
      </c>
      <c r="O91" s="3432">
        <v>3.4869999999999998E-2</v>
      </c>
      <c r="P91" s="3432">
        <v>0.14143</v>
      </c>
      <c r="Q91" s="3432">
        <v>0.38067999999999996</v>
      </c>
      <c r="R91" s="3432">
        <v>0.30585000000000001</v>
      </c>
      <c r="S91" s="3432">
        <v>0.38518999999999998</v>
      </c>
      <c r="T91" s="3432">
        <v>0.48382999999999998</v>
      </c>
      <c r="U91" s="3432">
        <v>0.45114000000000004</v>
      </c>
      <c r="V91" s="3432">
        <v>0.34917999999999999</v>
      </c>
      <c r="W91" s="3432">
        <v>0.50219999999999998</v>
      </c>
      <c r="X91" s="3432">
        <v>0.47216000000000002</v>
      </c>
      <c r="Y91" s="3432">
        <v>0.56008999999999998</v>
      </c>
      <c r="Z91" s="3432">
        <v>0.52171000000000001</v>
      </c>
      <c r="AA91" s="3432">
        <v>0.55794000000000021</v>
      </c>
      <c r="AB91" s="3432">
        <v>0.64744000000000002</v>
      </c>
      <c r="AC91" s="3432">
        <v>0.67974880000000004</v>
      </c>
      <c r="AD91" s="3432">
        <v>0.71029792600000008</v>
      </c>
      <c r="AE91" s="3432">
        <v>0.7457470892200001</v>
      </c>
    </row>
    <row r="92" spans="1:31">
      <c r="A92" s="3432" t="str">
        <f t="shared" si="4"/>
        <v>\\DG ECFIN\Forecast\Country databases\Desk transfer databases\BE</v>
      </c>
      <c r="B92" s="3432" t="str">
        <f t="shared" si="5"/>
        <v>BE</v>
      </c>
      <c r="C92" s="3432" t="s">
        <v>2147</v>
      </c>
      <c r="D92" s="3432" t="s">
        <v>2231</v>
      </c>
      <c r="E92" s="3432" t="s">
        <v>2149</v>
      </c>
      <c r="F92" s="3432">
        <v>125</v>
      </c>
      <c r="G92" s="3432" t="s">
        <v>2434</v>
      </c>
      <c r="H92" s="3432">
        <v>0</v>
      </c>
      <c r="I92" s="3432">
        <v>2.3E-3</v>
      </c>
      <c r="J92" s="3432">
        <v>4.7000000000000004E-4</v>
      </c>
      <c r="K92" s="3432">
        <v>1.1890000000000001E-2</v>
      </c>
      <c r="L92" s="3432">
        <v>-2.785E-2</v>
      </c>
      <c r="M92" s="3432">
        <v>-2.945E-2</v>
      </c>
      <c r="N92" s="3432">
        <v>4.5899999999999996E-2</v>
      </c>
      <c r="O92" s="3432">
        <v>5.3399999999999996E-2</v>
      </c>
      <c r="P92" s="3432">
        <v>7.2190000000000004E-2</v>
      </c>
      <c r="Q92" s="3432">
        <v>0.15971000000000002</v>
      </c>
      <c r="R92" s="3432">
        <v>0.23172999999999999</v>
      </c>
      <c r="S92" s="3432">
        <v>0.41325000000000001</v>
      </c>
      <c r="T92" s="3432">
        <v>0.34273000000000003</v>
      </c>
      <c r="U92" s="3432">
        <v>0.39441999999999999</v>
      </c>
      <c r="V92" s="3432">
        <v>0.7077</v>
      </c>
      <c r="W92" s="3432">
        <v>0.68730999999999998</v>
      </c>
      <c r="X92" s="3432">
        <v>0.63571</v>
      </c>
      <c r="Y92" s="3432">
        <v>0.7223099999999999</v>
      </c>
      <c r="Z92" s="3432">
        <v>0.99297000000000002</v>
      </c>
      <c r="AA92" s="3432">
        <v>0.69129999999999991</v>
      </c>
      <c r="AB92" s="3432">
        <v>0.31355</v>
      </c>
      <c r="AC92" s="3432">
        <v>0.30702419999999997</v>
      </c>
      <c r="AD92" s="3432">
        <v>0.35818647199999992</v>
      </c>
      <c r="AE92" s="3432">
        <v>0.36560500143999991</v>
      </c>
    </row>
    <row r="93" spans="1:31">
      <c r="A93" s="3432" t="str">
        <f t="shared" si="4"/>
        <v>\\DG ECFIN\Forecast\Country databases\Desk transfer databases\BE</v>
      </c>
      <c r="B93" s="3432" t="str">
        <f t="shared" si="5"/>
        <v>BE</v>
      </c>
      <c r="C93" s="3432" t="s">
        <v>2147</v>
      </c>
      <c r="D93" s="3432" t="s">
        <v>2232</v>
      </c>
      <c r="E93" s="3432" t="s">
        <v>2149</v>
      </c>
      <c r="F93" s="3432">
        <v>126</v>
      </c>
      <c r="G93" s="3432" t="s">
        <v>407</v>
      </c>
      <c r="H93" s="3432">
        <v>0.23119000000000001</v>
      </c>
      <c r="I93" s="3432">
        <v>0.26547000000000004</v>
      </c>
      <c r="J93" s="3432">
        <v>0.32951999999999998</v>
      </c>
      <c r="K93" s="3432">
        <v>0.32613999999999999</v>
      </c>
      <c r="L93" s="3432">
        <v>0.32395999999999997</v>
      </c>
      <c r="M93" s="3432">
        <v>0.32343</v>
      </c>
      <c r="N93" s="3432">
        <v>0.45168000000000003</v>
      </c>
      <c r="O93" s="3432">
        <v>0.51299000000000006</v>
      </c>
      <c r="P93" s="3432">
        <v>0.65776999999999997</v>
      </c>
      <c r="Q93" s="3432">
        <v>0.75748000000000004</v>
      </c>
      <c r="R93" s="3432">
        <v>1.0293299999999999</v>
      </c>
      <c r="S93" s="3432">
        <v>1.57236</v>
      </c>
      <c r="T93" s="3432">
        <v>1.75915</v>
      </c>
      <c r="U93" s="3432">
        <v>1.1892</v>
      </c>
      <c r="V93" s="3432">
        <v>1.39093</v>
      </c>
      <c r="W93" s="3432">
        <v>1.47923</v>
      </c>
      <c r="X93" s="3432">
        <v>1.32633</v>
      </c>
      <c r="Y93" s="3432">
        <v>1.30948</v>
      </c>
      <c r="Z93" s="3432">
        <v>1.28298</v>
      </c>
      <c r="AA93" s="3432">
        <v>1.3745099999999999</v>
      </c>
      <c r="AB93" s="3432">
        <v>1.1535899999999999</v>
      </c>
      <c r="AC93" s="3432">
        <v>1.2369138056999998</v>
      </c>
      <c r="AD93" s="3432">
        <v>1.3547941652108211</v>
      </c>
      <c r="AE93" s="3432">
        <v>1.4582326997246671</v>
      </c>
    </row>
    <row r="94" spans="1:31">
      <c r="A94" s="3432" t="str">
        <f t="shared" si="4"/>
        <v>\\DG ECFIN\Forecast\Country databases\Desk transfer databases\BE</v>
      </c>
      <c r="B94" s="3432" t="str">
        <f t="shared" si="5"/>
        <v>BE</v>
      </c>
      <c r="C94" s="3432" t="s">
        <v>2147</v>
      </c>
      <c r="D94" s="3432" t="s">
        <v>2233</v>
      </c>
      <c r="E94" s="3432" t="s">
        <v>2149</v>
      </c>
      <c r="F94" s="3432">
        <v>127</v>
      </c>
      <c r="G94" s="3432" t="s">
        <v>2435</v>
      </c>
      <c r="H94" s="3432">
        <v>0.24929000000000001</v>
      </c>
      <c r="I94" s="3432">
        <v>1.50285</v>
      </c>
      <c r="J94" s="3432">
        <v>0.15283000000000002</v>
      </c>
      <c r="K94" s="3432">
        <v>0.12015000000000001</v>
      </c>
      <c r="L94" s="3432">
        <v>0.28591000000000005</v>
      </c>
      <c r="M94" s="3432">
        <v>0.25913000000000003</v>
      </c>
      <c r="N94" s="3432">
        <v>0.14212</v>
      </c>
      <c r="O94" s="3432">
        <v>6.7750000000000005E-2</v>
      </c>
      <c r="P94" s="3432">
        <v>8.9039999999999994E-2</v>
      </c>
      <c r="Q94" s="3432">
        <v>5.8669999999999993E-2</v>
      </c>
      <c r="R94" s="3432">
        <v>8.1490000000000007E-2</v>
      </c>
      <c r="S94" s="3432">
        <v>0.25211</v>
      </c>
      <c r="T94" s="3432">
        <v>0.15964</v>
      </c>
      <c r="U94" s="3432">
        <v>0.12178000000000001</v>
      </c>
      <c r="V94" s="3432">
        <v>0.10469999999999999</v>
      </c>
      <c r="W94" s="3432">
        <v>1.2988300000000002</v>
      </c>
      <c r="X94" s="3432">
        <v>2.138000000000001E-2</v>
      </c>
      <c r="Y94" s="3432">
        <v>0.34236</v>
      </c>
      <c r="Z94" s="3432">
        <v>0.43934999999999996</v>
      </c>
      <c r="AA94" s="3432">
        <v>0.26362999999999998</v>
      </c>
      <c r="AB94" s="3432">
        <v>0.19511999999999999</v>
      </c>
      <c r="AC94" s="3432">
        <v>0.30395159999999999</v>
      </c>
      <c r="AD94" s="3432">
        <v>0.22980715199999996</v>
      </c>
      <c r="AE94" s="3432">
        <v>0.22980715199999996</v>
      </c>
    </row>
    <row r="95" spans="1:31">
      <c r="A95" s="3432" t="str">
        <f t="shared" si="4"/>
        <v>\\DG ECFIN\Forecast\Country databases\Desk transfer databases\BE</v>
      </c>
      <c r="B95" s="3432" t="str">
        <f t="shared" si="5"/>
        <v>BE</v>
      </c>
      <c r="C95" s="3432" t="s">
        <v>2147</v>
      </c>
      <c r="D95" s="3432" t="s">
        <v>2234</v>
      </c>
      <c r="E95" s="3432" t="s">
        <v>2149</v>
      </c>
      <c r="F95" s="3432">
        <v>128</v>
      </c>
      <c r="G95" s="3432" t="s">
        <v>1121</v>
      </c>
      <c r="H95" s="3432">
        <v>1.3514999999999999</v>
      </c>
      <c r="I95" s="3432">
        <v>1.8022</v>
      </c>
      <c r="J95" s="3432">
        <v>2.1536999999999997</v>
      </c>
      <c r="K95" s="3432">
        <v>2.8855999999999997</v>
      </c>
      <c r="L95" s="3432">
        <v>3.14</v>
      </c>
      <c r="M95" s="3432">
        <v>3.2498</v>
      </c>
      <c r="N95" s="3432">
        <v>3.3654000000000002</v>
      </c>
      <c r="O95" s="3432">
        <v>3.3946999999999998</v>
      </c>
      <c r="P95" s="3432">
        <v>3.4045000000000001</v>
      </c>
      <c r="Q95" s="3432">
        <v>3.7019000000000002</v>
      </c>
      <c r="R95" s="3432">
        <v>4.1518999999999995</v>
      </c>
      <c r="S95" s="3432">
        <v>4.6097000000000001</v>
      </c>
      <c r="T95" s="3432">
        <v>4.7621000000000002</v>
      </c>
      <c r="U95" s="3432">
        <v>7.5285000000000002</v>
      </c>
      <c r="V95" s="3432">
        <v>10.150799999999998</v>
      </c>
      <c r="W95" s="3432">
        <v>11.629200000000001</v>
      </c>
      <c r="X95" s="3432">
        <v>13.264100000000001</v>
      </c>
      <c r="Y95" s="3432">
        <v>13.55</v>
      </c>
      <c r="Z95" s="3432">
        <v>14.824999999999999</v>
      </c>
      <c r="AA95" s="3432">
        <v>15.939500000000001</v>
      </c>
      <c r="AB95" s="3432">
        <v>15.5137</v>
      </c>
      <c r="AC95" s="3432">
        <v>16.968591902919371</v>
      </c>
      <c r="AD95" s="3432">
        <v>16.367516381052045</v>
      </c>
      <c r="AE95" s="3432">
        <v>17.58658710626565</v>
      </c>
    </row>
    <row r="96" spans="1:31">
      <c r="A96" s="3432" t="str">
        <f t="shared" si="4"/>
        <v>\\DG ECFIN\Forecast\Country databases\Desk transfer databases\BE</v>
      </c>
      <c r="B96" s="3432" t="str">
        <f t="shared" si="5"/>
        <v>BE</v>
      </c>
      <c r="C96" s="3432" t="s">
        <v>2147</v>
      </c>
      <c r="D96" s="3432" t="s">
        <v>2235</v>
      </c>
      <c r="E96" s="3432" t="s">
        <v>2149</v>
      </c>
      <c r="F96" s="3432">
        <v>129</v>
      </c>
      <c r="G96" s="3432" t="s">
        <v>1141</v>
      </c>
      <c r="H96" s="3432">
        <v>3.5512299999999999</v>
      </c>
      <c r="I96" s="3432">
        <v>5.8938199999999998</v>
      </c>
      <c r="J96" s="3432">
        <v>5.3624000000000001</v>
      </c>
      <c r="K96" s="3432">
        <v>5.19191</v>
      </c>
      <c r="L96" s="3432">
        <v>5.2663500000000001</v>
      </c>
      <c r="M96" s="3432">
        <v>5.2649499999999998</v>
      </c>
      <c r="N96" s="3432">
        <v>5.3431099999999994</v>
      </c>
      <c r="O96" s="3432">
        <v>5.5970600000000008</v>
      </c>
      <c r="P96" s="3432">
        <v>6.2073799999999997</v>
      </c>
      <c r="Q96" s="3432">
        <v>7.1573900000000004</v>
      </c>
      <c r="R96" s="3432">
        <v>8.2616899999999998</v>
      </c>
      <c r="S96" s="3432">
        <v>10.23851</v>
      </c>
      <c r="T96" s="3432">
        <v>12.454319999999999</v>
      </c>
      <c r="U96" s="3432">
        <v>12.090590000000001</v>
      </c>
      <c r="V96" s="3432">
        <v>11.85539</v>
      </c>
      <c r="W96" s="3432">
        <v>13.283530000000001</v>
      </c>
      <c r="X96" s="3432">
        <v>12.039569999999999</v>
      </c>
      <c r="Y96" s="3432">
        <v>12.408200000000001</v>
      </c>
      <c r="Z96" s="3432">
        <v>12.666739999999999</v>
      </c>
      <c r="AA96" s="3432">
        <v>13.057700000000001</v>
      </c>
      <c r="AB96" s="3432">
        <v>13.226979999999999</v>
      </c>
      <c r="AC96" s="3432">
        <v>14.188379305700002</v>
      </c>
      <c r="AD96" s="3432">
        <v>15.095948944798822</v>
      </c>
      <c r="AE96" s="3432">
        <v>15.932143343143899</v>
      </c>
    </row>
    <row r="97" spans="1:31">
      <c r="A97" s="3432" t="str">
        <f t="shared" si="4"/>
        <v>\\DG ECFIN\Forecast\Country databases\Desk transfer databases\BE</v>
      </c>
      <c r="B97" s="3432" t="str">
        <f t="shared" si="5"/>
        <v>BE</v>
      </c>
      <c r="C97" s="3432" t="s">
        <v>2147</v>
      </c>
      <c r="D97" s="3432" t="s">
        <v>2236</v>
      </c>
      <c r="E97" s="3432" t="s">
        <v>2149</v>
      </c>
      <c r="F97" s="3432">
        <v>130</v>
      </c>
      <c r="G97" s="3432" t="s">
        <v>1143</v>
      </c>
      <c r="H97" s="3432">
        <v>0</v>
      </c>
      <c r="I97" s="3432">
        <v>3.0000000000000001E-5</v>
      </c>
      <c r="J97" s="3432">
        <v>2.0000000000000001E-4</v>
      </c>
      <c r="K97" s="3432">
        <v>6.2E-4</v>
      </c>
      <c r="L97" s="3432">
        <v>5.2999999999999998E-4</v>
      </c>
      <c r="M97" s="3432">
        <v>6.4999999999999997E-4</v>
      </c>
      <c r="N97" s="3432">
        <v>6.6E-4</v>
      </c>
      <c r="O97" s="3432">
        <v>3.2000000000000003E-4</v>
      </c>
      <c r="P97" s="3432">
        <v>5.0000000000000001E-4</v>
      </c>
      <c r="Q97" s="3432">
        <v>6.7000000000000002E-4</v>
      </c>
      <c r="R97" s="3432">
        <v>1.2099999999999999E-3</v>
      </c>
      <c r="S97" s="3432">
        <v>1.82E-3</v>
      </c>
      <c r="T97" s="3432">
        <v>1.7600000000000001E-3</v>
      </c>
      <c r="U97" s="3432">
        <v>1.7800000000000001E-3</v>
      </c>
      <c r="V97" s="3432">
        <v>1.1000000000000001E-3</v>
      </c>
      <c r="W97" s="3432">
        <v>1E-3</v>
      </c>
      <c r="X97" s="3432">
        <v>1.1999999999999999E-3</v>
      </c>
      <c r="Y97" s="3432">
        <v>1.2800000000000001E-3</v>
      </c>
      <c r="Z97" s="3432">
        <v>1.33E-3</v>
      </c>
      <c r="AA97" s="3432">
        <v>1.4300000000000001E-3</v>
      </c>
      <c r="AB97" s="3432">
        <v>1.47E-3</v>
      </c>
      <c r="AC97" s="3432">
        <v>1.47E-3</v>
      </c>
      <c r="AD97" s="3432">
        <v>1.47E-3</v>
      </c>
      <c r="AE97" s="3432">
        <v>1.47E-3</v>
      </c>
    </row>
    <row r="98" spans="1:31">
      <c r="A98" s="3432" t="str">
        <f t="shared" si="4"/>
        <v>\\DG ECFIN\Forecast\Country databases\Desk transfer databases\BE</v>
      </c>
      <c r="B98" s="3432" t="str">
        <f t="shared" si="5"/>
        <v>BE</v>
      </c>
      <c r="C98" s="3432" t="s">
        <v>2147</v>
      </c>
      <c r="D98" s="3432" t="s">
        <v>2237</v>
      </c>
      <c r="E98" s="3432" t="s">
        <v>2149</v>
      </c>
      <c r="F98" s="3432">
        <v>131</v>
      </c>
      <c r="G98" s="3432" t="s">
        <v>2238</v>
      </c>
      <c r="H98" s="3432">
        <v>0</v>
      </c>
      <c r="I98" s="3432">
        <v>0</v>
      </c>
      <c r="J98" s="3432">
        <v>0</v>
      </c>
      <c r="K98" s="3432">
        <v>0</v>
      </c>
      <c r="L98" s="3432">
        <v>0</v>
      </c>
      <c r="M98" s="3432">
        <v>0</v>
      </c>
      <c r="N98" s="3432">
        <v>0</v>
      </c>
      <c r="O98" s="3432">
        <v>0</v>
      </c>
      <c r="P98" s="3432">
        <v>3.4464782205746058E-2</v>
      </c>
      <c r="Q98" s="3432" t="s">
        <v>2180</v>
      </c>
      <c r="R98" s="3432" t="s">
        <v>2180</v>
      </c>
      <c r="S98" s="3432" t="s">
        <v>2180</v>
      </c>
      <c r="T98" s="3432">
        <v>0.11799999999999999</v>
      </c>
      <c r="U98" s="3432">
        <v>7.9000000000000001E-2</v>
      </c>
      <c r="V98" s="3432">
        <v>8.7999999999999995E-2</v>
      </c>
      <c r="W98" s="3432">
        <v>9.1999999999999998E-2</v>
      </c>
      <c r="X98" s="3432">
        <v>8.6999999999999994E-2</v>
      </c>
      <c r="Y98" s="3432">
        <v>0.1</v>
      </c>
      <c r="Z98" s="3432">
        <v>0.10299999999999999</v>
      </c>
      <c r="AA98" s="3432">
        <v>0.123</v>
      </c>
      <c r="AB98" s="3432">
        <v>0.112</v>
      </c>
      <c r="AC98" s="3432">
        <v>0.11648</v>
      </c>
      <c r="AD98" s="3432">
        <v>0.1211392</v>
      </c>
      <c r="AE98" s="3432">
        <v>0.125984768</v>
      </c>
    </row>
    <row r="99" spans="1:31">
      <c r="A99" s="3432" t="str">
        <f t="shared" si="4"/>
        <v>\\DG ECFIN\Forecast\Country databases\Desk transfer databases\BE</v>
      </c>
      <c r="B99" s="3432" t="str">
        <f t="shared" si="5"/>
        <v>BE</v>
      </c>
      <c r="C99" s="3432" t="s">
        <v>2147</v>
      </c>
      <c r="D99" s="3432" t="s">
        <v>2239</v>
      </c>
      <c r="E99" s="3432" t="s">
        <v>2149</v>
      </c>
      <c r="F99" s="3432">
        <v>132</v>
      </c>
      <c r="G99" s="3432" t="s">
        <v>1145</v>
      </c>
      <c r="H99" s="3432">
        <v>8.097E-2</v>
      </c>
      <c r="I99" s="3432">
        <v>8.584E-2</v>
      </c>
      <c r="J99" s="3432">
        <v>0.14752999999999999</v>
      </c>
      <c r="K99" s="3432">
        <v>0.18694</v>
      </c>
      <c r="L99" s="3432">
        <v>0.23169999999999999</v>
      </c>
      <c r="M99" s="3432">
        <v>0.21352000000000002</v>
      </c>
      <c r="N99" s="3432">
        <v>0.19841</v>
      </c>
      <c r="O99" s="3432">
        <v>0.20580999999999999</v>
      </c>
      <c r="P99" s="3432">
        <v>0.16370999999999999</v>
      </c>
      <c r="Q99" s="3432">
        <v>0.16072</v>
      </c>
      <c r="R99" s="3432">
        <v>0.16800999999999999</v>
      </c>
      <c r="S99" s="3432">
        <v>0.19231000000000001</v>
      </c>
      <c r="T99" s="3432">
        <v>0.21409999999999998</v>
      </c>
      <c r="U99" s="3432">
        <v>0.3332</v>
      </c>
      <c r="V99" s="3432">
        <v>0.50985999999999998</v>
      </c>
      <c r="W99" s="3432">
        <v>0.57565</v>
      </c>
      <c r="X99" s="3432">
        <v>0.6585700000000001</v>
      </c>
      <c r="Y99" s="3432">
        <v>0.61480999999999997</v>
      </c>
      <c r="Z99" s="3432">
        <v>0.58675999999999995</v>
      </c>
      <c r="AA99" s="3432">
        <v>0.56867999999999996</v>
      </c>
      <c r="AB99" s="3432">
        <v>0.51676999999999995</v>
      </c>
      <c r="AC99" s="3432">
        <v>0.49499999999999994</v>
      </c>
      <c r="AD99" s="3432">
        <v>0.38500000000000001</v>
      </c>
      <c r="AE99" s="3432">
        <v>0.40100000000000002</v>
      </c>
    </row>
    <row r="100" spans="1:31">
      <c r="A100" s="3432" t="str">
        <f t="shared" si="4"/>
        <v>\\DG ECFIN\Forecast\Country databases\Desk transfer databases\BE</v>
      </c>
      <c r="B100" s="3432" t="str">
        <f t="shared" si="5"/>
        <v>BE</v>
      </c>
      <c r="C100" s="3432" t="s">
        <v>2147</v>
      </c>
      <c r="D100" s="3432" t="s">
        <v>2240</v>
      </c>
      <c r="E100" s="3432" t="s">
        <v>2149</v>
      </c>
      <c r="F100" s="3432">
        <v>133</v>
      </c>
      <c r="G100" s="3432" t="s">
        <v>2241</v>
      </c>
      <c r="H100" s="3432">
        <v>0</v>
      </c>
      <c r="I100" s="3432">
        <v>0</v>
      </c>
      <c r="J100" s="3432">
        <v>0</v>
      </c>
      <c r="K100" s="3432">
        <v>0</v>
      </c>
      <c r="L100" s="3432">
        <v>0</v>
      </c>
      <c r="M100" s="3432">
        <v>0</v>
      </c>
      <c r="N100" s="3432">
        <v>0</v>
      </c>
      <c r="O100" s="3432">
        <v>0</v>
      </c>
      <c r="P100" s="3432">
        <v>0.12193002780352179</v>
      </c>
      <c r="Q100" s="3432">
        <v>0.245</v>
      </c>
      <c r="R100" s="3432">
        <v>0.23499999999999999</v>
      </c>
      <c r="S100" s="3432">
        <v>0.189</v>
      </c>
      <c r="T100" s="3432">
        <v>0.20699999999999999</v>
      </c>
      <c r="U100" s="3432">
        <v>0.27300000000000002</v>
      </c>
      <c r="V100" s="3432">
        <v>0.30499999999999999</v>
      </c>
      <c r="W100" s="3432">
        <v>0.32300000000000001</v>
      </c>
      <c r="X100" s="3432">
        <v>0.36599999999999999</v>
      </c>
      <c r="Y100" s="3432">
        <v>0.38900000000000001</v>
      </c>
      <c r="Z100" s="3432">
        <v>0.38600000000000001</v>
      </c>
      <c r="AA100" s="3432">
        <v>0.441</v>
      </c>
      <c r="AB100" s="3432">
        <v>0.46700000000000003</v>
      </c>
      <c r="AC100" s="3432">
        <v>0.47867499999999996</v>
      </c>
      <c r="AD100" s="3432">
        <v>0.49064187499999989</v>
      </c>
      <c r="AE100" s="3432">
        <v>0.50290792187499989</v>
      </c>
    </row>
    <row r="101" spans="1:31">
      <c r="A101" s="3432" t="str">
        <f t="shared" si="4"/>
        <v>\\DG ECFIN\Forecast\Country databases\Desk transfer databases\BE</v>
      </c>
      <c r="B101" s="3432" t="str">
        <f t="shared" si="5"/>
        <v>BE</v>
      </c>
      <c r="C101" s="3432" t="s">
        <v>2147</v>
      </c>
      <c r="D101" s="3432" t="s">
        <v>2242</v>
      </c>
      <c r="E101" s="3432" t="s">
        <v>2149</v>
      </c>
      <c r="F101" s="3432">
        <v>136</v>
      </c>
      <c r="G101" s="3432" t="s">
        <v>2029</v>
      </c>
      <c r="H101" s="3432">
        <v>9.7620481927710845</v>
      </c>
      <c r="I101" s="3432">
        <v>11.733926088971272</v>
      </c>
      <c r="J101" s="3432">
        <v>13.037592678405931</v>
      </c>
      <c r="K101" s="3432">
        <v>12.710090361445785</v>
      </c>
      <c r="L101" s="3432">
        <v>13.323244902687675</v>
      </c>
      <c r="M101" s="3432">
        <v>14.156481696014829</v>
      </c>
      <c r="N101" s="3432">
        <v>15.161897590361447</v>
      </c>
      <c r="O101" s="3432">
        <v>16.575648748841523</v>
      </c>
      <c r="P101" s="3432">
        <v>18.245308155699725</v>
      </c>
      <c r="Q101" s="3432">
        <v>21.002400000000002</v>
      </c>
      <c r="R101" s="3432">
        <v>24.0792</v>
      </c>
      <c r="S101" s="3432">
        <v>29.040700000000001</v>
      </c>
      <c r="T101" s="3432">
        <v>32.696300000000001</v>
      </c>
      <c r="U101" s="3432">
        <v>26.934799999999999</v>
      </c>
      <c r="V101" s="3432">
        <v>28.027699999999999</v>
      </c>
      <c r="W101" s="3432">
        <v>31.275299999999998</v>
      </c>
      <c r="X101" s="3432">
        <v>33.348500000000001</v>
      </c>
      <c r="Y101" s="3432">
        <v>34.959600000000002</v>
      </c>
      <c r="Z101" s="3432">
        <v>36.568300000000001</v>
      </c>
      <c r="AA101" s="3432">
        <v>37.426600000000001</v>
      </c>
      <c r="AB101" s="3432">
        <v>38.668300000000002</v>
      </c>
      <c r="AC101" s="3432">
        <v>41.779573283186814</v>
      </c>
      <c r="AD101" s="3432">
        <v>44.211535542887589</v>
      </c>
      <c r="AE101" s="3432">
        <v>46.676225752244903</v>
      </c>
    </row>
    <row r="102" spans="1:31">
      <c r="A102" s="3432" t="str">
        <f t="shared" si="4"/>
        <v>\\DG ECFIN\Forecast\Country databases\Desk transfer databases\BE</v>
      </c>
      <c r="B102" s="3432" t="str">
        <f t="shared" si="5"/>
        <v>BE</v>
      </c>
      <c r="C102" s="3432" t="s">
        <v>2147</v>
      </c>
      <c r="D102" s="3432" t="s">
        <v>2243</v>
      </c>
      <c r="E102" s="3432" t="s">
        <v>2149</v>
      </c>
      <c r="F102" s="3432">
        <v>137</v>
      </c>
      <c r="G102" s="3432" t="s">
        <v>2030</v>
      </c>
      <c r="H102" s="3432">
        <v>-0.31566000000000072</v>
      </c>
      <c r="I102" s="3432">
        <v>-1.3780200000000002</v>
      </c>
      <c r="J102" s="3432">
        <v>-0.39488000000000023</v>
      </c>
      <c r="K102" s="3432">
        <v>-0.35872999999999944</v>
      </c>
      <c r="L102" s="3432">
        <v>-0.42574999999999952</v>
      </c>
      <c r="M102" s="3432">
        <v>-0.50059999999999971</v>
      </c>
      <c r="N102" s="3432">
        <v>-0.28202999999999956</v>
      </c>
      <c r="O102" s="3432">
        <v>-0.21074999999999994</v>
      </c>
      <c r="P102" s="3432">
        <v>-0.25391999999999942</v>
      </c>
      <c r="Q102" s="3432">
        <v>-7.2070000000000189E-2</v>
      </c>
      <c r="R102" s="3432">
        <v>-6.5510000000000734E-2</v>
      </c>
      <c r="S102" s="3432">
        <v>-0.23675999999999919</v>
      </c>
      <c r="T102" s="3432">
        <v>-1.008020000000001</v>
      </c>
      <c r="U102" s="3432">
        <v>-2.4525999999999999</v>
      </c>
      <c r="V102" s="3432">
        <v>-1.9340999999999999</v>
      </c>
      <c r="W102" s="3432">
        <v>-2.7959299999999976</v>
      </c>
      <c r="X102" s="3432">
        <v>-1.04897</v>
      </c>
      <c r="Y102" s="3432">
        <v>-0.91242000000000134</v>
      </c>
      <c r="Z102" s="3432">
        <v>-0.22575999999999863</v>
      </c>
      <c r="AA102" s="3432">
        <v>-9.1620000000000035E-2</v>
      </c>
      <c r="AB102" s="3432">
        <v>0.10298000000000251</v>
      </c>
      <c r="AC102" s="3432">
        <v>0.33510809708063016</v>
      </c>
      <c r="AD102" s="3432">
        <v>0.30107552186732556</v>
      </c>
      <c r="AE102" s="3432">
        <v>0.28092927478639473</v>
      </c>
    </row>
    <row r="103" spans="1:31">
      <c r="A103" s="3432" t="str">
        <f t="shared" si="4"/>
        <v>\\DG ECFIN\Forecast\Country databases\Desk transfer databases\BE</v>
      </c>
      <c r="B103" s="3432" t="str">
        <f t="shared" si="5"/>
        <v>BE</v>
      </c>
      <c r="C103" s="3432" t="s">
        <v>2147</v>
      </c>
      <c r="D103" s="3432" t="s">
        <v>2244</v>
      </c>
      <c r="E103" s="3432" t="s">
        <v>2149</v>
      </c>
      <c r="F103" s="3432">
        <v>138</v>
      </c>
      <c r="G103" s="3432" t="s">
        <v>799</v>
      </c>
      <c r="H103" s="3432" t="s">
        <v>2180</v>
      </c>
      <c r="I103" s="3432" t="s">
        <v>2180</v>
      </c>
      <c r="J103" s="3432" t="s">
        <v>2180</v>
      </c>
      <c r="K103" s="3432" t="s">
        <v>2180</v>
      </c>
      <c r="L103" s="3432" t="s">
        <v>2180</v>
      </c>
      <c r="M103" s="3432" t="s">
        <v>2180</v>
      </c>
      <c r="N103" s="3432" t="s">
        <v>2180</v>
      </c>
      <c r="O103" s="3432" t="s">
        <v>2180</v>
      </c>
      <c r="P103" s="3432" t="s">
        <v>2180</v>
      </c>
      <c r="Q103" s="3432" t="s">
        <v>2180</v>
      </c>
      <c r="R103" s="3432" t="s">
        <v>2180</v>
      </c>
      <c r="S103" s="3432" t="s">
        <v>2180</v>
      </c>
      <c r="T103" s="3432" t="s">
        <v>2180</v>
      </c>
      <c r="U103" s="3432" t="s">
        <v>2180</v>
      </c>
      <c r="V103" s="3432" t="s">
        <v>2180</v>
      </c>
      <c r="W103" s="3432" t="s">
        <v>2180</v>
      </c>
      <c r="X103" s="3432" t="s">
        <v>2180</v>
      </c>
      <c r="Y103" s="3432" t="s">
        <v>2180</v>
      </c>
      <c r="Z103" s="3432">
        <v>0.55700000000000005</v>
      </c>
      <c r="AA103" s="3432">
        <v>0.2414</v>
      </c>
      <c r="AB103" s="3432">
        <v>0.113</v>
      </c>
      <c r="AC103" s="3432">
        <v>0.104</v>
      </c>
      <c r="AD103" s="3432">
        <v>8.8999999999999996E-2</v>
      </c>
      <c r="AE103" s="3432">
        <v>7.8E-2</v>
      </c>
    </row>
    <row r="104" spans="1:31">
      <c r="A104" s="3432" t="str">
        <f t="shared" si="4"/>
        <v>\\DG ECFIN\Forecast\Country databases\Desk transfer databases\BE</v>
      </c>
      <c r="B104" s="3432" t="str">
        <f t="shared" si="5"/>
        <v>BE</v>
      </c>
      <c r="C104" s="3432" t="s">
        <v>2147</v>
      </c>
      <c r="D104" s="3432" t="s">
        <v>2245</v>
      </c>
      <c r="E104" s="3432" t="s">
        <v>2149</v>
      </c>
      <c r="F104" s="3432">
        <v>139</v>
      </c>
      <c r="G104" s="3432" t="s">
        <v>800</v>
      </c>
      <c r="H104" s="3432" t="s">
        <v>2180</v>
      </c>
      <c r="I104" s="3432" t="s">
        <v>2180</v>
      </c>
      <c r="J104" s="3432" t="s">
        <v>2180</v>
      </c>
      <c r="K104" s="3432" t="s">
        <v>2180</v>
      </c>
      <c r="L104" s="3432" t="s">
        <v>2180</v>
      </c>
      <c r="M104" s="3432" t="s">
        <v>2180</v>
      </c>
      <c r="N104" s="3432" t="s">
        <v>2180</v>
      </c>
      <c r="O104" s="3432" t="s">
        <v>2180</v>
      </c>
      <c r="P104" s="3432" t="s">
        <v>2180</v>
      </c>
      <c r="Q104" s="3432" t="s">
        <v>2180</v>
      </c>
      <c r="R104" s="3432" t="s">
        <v>2180</v>
      </c>
      <c r="S104" s="3432" t="s">
        <v>2180</v>
      </c>
      <c r="T104" s="3432" t="s">
        <v>2180</v>
      </c>
      <c r="U104" s="3432" t="s">
        <v>2180</v>
      </c>
      <c r="V104" s="3432" t="s">
        <v>2180</v>
      </c>
      <c r="W104" s="3432" t="s">
        <v>2180</v>
      </c>
      <c r="X104" s="3432" t="s">
        <v>2180</v>
      </c>
      <c r="Y104" s="3432" t="s">
        <v>2180</v>
      </c>
      <c r="Z104" s="3432">
        <v>-0.41089999999999999</v>
      </c>
      <c r="AA104" s="3432">
        <v>-0.18959999999999999</v>
      </c>
      <c r="AB104" s="3432">
        <v>-0.08</v>
      </c>
      <c r="AC104" s="3432">
        <v>-6.3E-2</v>
      </c>
      <c r="AD104" s="3432">
        <v>-6.2E-2</v>
      </c>
      <c r="AE104" s="3432">
        <v>-0.04</v>
      </c>
    </row>
    <row r="105" spans="1:31">
      <c r="A105" s="3432" t="str">
        <f t="shared" si="4"/>
        <v>\\DG ECFIN\Forecast\Country databases\Desk transfer databases\BE</v>
      </c>
      <c r="B105" s="3432" t="str">
        <f t="shared" si="5"/>
        <v>BE</v>
      </c>
      <c r="C105" s="3432" t="s">
        <v>2147</v>
      </c>
      <c r="D105" s="3432" t="s">
        <v>2246</v>
      </c>
      <c r="E105" s="3432" t="s">
        <v>2149</v>
      </c>
      <c r="F105" s="3432">
        <v>140</v>
      </c>
      <c r="G105" s="3432" t="s">
        <v>837</v>
      </c>
      <c r="H105" s="3432">
        <v>-0.10889712696941613</v>
      </c>
      <c r="I105" s="3432">
        <v>-0.21605653382761819</v>
      </c>
      <c r="J105" s="3432">
        <v>-0.29309545875810938</v>
      </c>
      <c r="K105" s="3432">
        <v>-0.29396431881371643</v>
      </c>
      <c r="L105" s="3432">
        <v>-0.23140639481000927</v>
      </c>
      <c r="M105" s="3432">
        <v>-0.18593605189990736</v>
      </c>
      <c r="N105" s="3432">
        <v>-0.14712696941612602</v>
      </c>
      <c r="O105" s="3432">
        <v>-0.40604726598702501</v>
      </c>
      <c r="P105" s="3432">
        <v>-0.35275718257645977</v>
      </c>
      <c r="Q105" s="3432" t="s">
        <v>2180</v>
      </c>
      <c r="R105" s="3432" t="s">
        <v>2180</v>
      </c>
      <c r="S105" s="3432" t="s">
        <v>2180</v>
      </c>
      <c r="T105" s="3432">
        <v>-1.169</v>
      </c>
      <c r="U105" s="3432">
        <v>0.45400000000000001</v>
      </c>
      <c r="V105" s="3432">
        <v>-0.59799999999999998</v>
      </c>
      <c r="W105" s="3432">
        <v>-1.2149999999999999</v>
      </c>
      <c r="X105" s="3432">
        <v>-1.0469999999999999</v>
      </c>
      <c r="Y105" s="3432">
        <v>-0.95499999999999996</v>
      </c>
      <c r="Z105" s="3432">
        <v>-0.50700000000000001</v>
      </c>
      <c r="AA105" s="3432">
        <v>-1.554</v>
      </c>
      <c r="AB105" s="3432">
        <v>-1.5429999999999999</v>
      </c>
      <c r="AC105" s="3432">
        <v>-1.5165699999999998</v>
      </c>
      <c r="AD105" s="3432">
        <v>-1.546837625</v>
      </c>
      <c r="AE105" s="3432">
        <v>-1.5777439521250001</v>
      </c>
    </row>
    <row r="106" spans="1:31">
      <c r="A106" s="3432" t="str">
        <f t="shared" si="4"/>
        <v>\\DG ECFIN\Forecast\Country databases\Desk transfer databases\BE</v>
      </c>
      <c r="B106" s="3432" t="str">
        <f t="shared" si="5"/>
        <v>BE</v>
      </c>
      <c r="C106" s="3432" t="s">
        <v>2147</v>
      </c>
      <c r="D106" s="3432" t="s">
        <v>2247</v>
      </c>
      <c r="E106" s="3432" t="s">
        <v>2149</v>
      </c>
      <c r="F106" s="3432">
        <v>141</v>
      </c>
      <c r="G106" s="3432" t="s">
        <v>838</v>
      </c>
      <c r="H106" s="3432" t="s">
        <v>2180</v>
      </c>
      <c r="I106" s="3432" t="s">
        <v>2180</v>
      </c>
      <c r="J106" s="3432" t="s">
        <v>2180</v>
      </c>
      <c r="K106" s="3432" t="s">
        <v>2180</v>
      </c>
      <c r="L106" s="3432" t="s">
        <v>2180</v>
      </c>
      <c r="M106" s="3432" t="s">
        <v>2180</v>
      </c>
      <c r="N106" s="3432" t="s">
        <v>2180</v>
      </c>
      <c r="O106" s="3432" t="s">
        <v>2180</v>
      </c>
      <c r="P106" s="3432" t="s">
        <v>2180</v>
      </c>
      <c r="Q106" s="3432" t="s">
        <v>2180</v>
      </c>
      <c r="R106" s="3432" t="s">
        <v>2180</v>
      </c>
      <c r="S106" s="3432" t="s">
        <v>2180</v>
      </c>
      <c r="T106" s="3432">
        <v>0.59499999999999997</v>
      </c>
      <c r="U106" s="3432">
        <v>0.52100000000000002</v>
      </c>
      <c r="V106" s="3432">
        <v>0.95899999999999996</v>
      </c>
      <c r="W106" s="3432">
        <v>0.748</v>
      </c>
      <c r="X106" s="3432">
        <v>0.40400000000000003</v>
      </c>
      <c r="Y106" s="3432">
        <v>0.97199999999999998</v>
      </c>
      <c r="Z106" s="3432">
        <v>1.1689999999999998</v>
      </c>
      <c r="AA106" s="3432">
        <v>0.94600000000000006</v>
      </c>
      <c r="AB106" s="3432">
        <v>0.78807999999999978</v>
      </c>
      <c r="AC106" s="3432">
        <v>0.81649840799999984</v>
      </c>
      <c r="AD106" s="3432">
        <v>0.85340506867999966</v>
      </c>
      <c r="AE106" s="3432">
        <v>0.88819322619779961</v>
      </c>
    </row>
    <row r="107" spans="1:31">
      <c r="A107" s="3432" t="str">
        <f t="shared" si="4"/>
        <v>\\DG ECFIN\Forecast\Country databases\Desk transfer databases\BE</v>
      </c>
      <c r="B107" s="3432" t="str">
        <f t="shared" si="5"/>
        <v>BE</v>
      </c>
      <c r="C107" s="3432" t="s">
        <v>2147</v>
      </c>
      <c r="D107" s="3432" t="s">
        <v>2248</v>
      </c>
      <c r="E107" s="3432" t="s">
        <v>2149</v>
      </c>
      <c r="F107" s="3432">
        <v>142</v>
      </c>
      <c r="G107" s="3432" t="s">
        <v>1752</v>
      </c>
      <c r="H107" s="3432" t="s">
        <v>2180</v>
      </c>
      <c r="I107" s="3432" t="s">
        <v>2180</v>
      </c>
      <c r="J107" s="3432" t="s">
        <v>2180</v>
      </c>
      <c r="K107" s="3432" t="s">
        <v>2180</v>
      </c>
      <c r="L107" s="3432" t="s">
        <v>2180</v>
      </c>
      <c r="M107" s="3432" t="s">
        <v>2180</v>
      </c>
      <c r="N107" s="3432" t="s">
        <v>2180</v>
      </c>
      <c r="O107" s="3432" t="s">
        <v>2180</v>
      </c>
      <c r="P107" s="3432" t="s">
        <v>2180</v>
      </c>
      <c r="Q107" s="3432" t="s">
        <v>2180</v>
      </c>
      <c r="R107" s="3432" t="s">
        <v>2180</v>
      </c>
      <c r="S107" s="3432" t="s">
        <v>2180</v>
      </c>
      <c r="T107" s="3432">
        <v>0.61907000000000001</v>
      </c>
      <c r="U107" s="3432">
        <v>1.15822</v>
      </c>
      <c r="V107" s="3432">
        <v>1.0577899999999998</v>
      </c>
      <c r="W107" s="3432">
        <v>1.0038099999999999</v>
      </c>
      <c r="X107" s="3432">
        <v>0.96409999999999996</v>
      </c>
      <c r="Y107" s="3432">
        <v>1.0888499999999999</v>
      </c>
      <c r="Z107" s="3432">
        <v>0.97572999999999999</v>
      </c>
      <c r="AA107" s="3432">
        <v>1.1172599999999999</v>
      </c>
      <c r="AB107" s="3432">
        <v>0.56872</v>
      </c>
      <c r="AC107" s="3432">
        <v>0.42262839999999996</v>
      </c>
      <c r="AD107" s="3432">
        <v>0.51935231400000004</v>
      </c>
      <c r="AE107" s="3432">
        <v>0.50018883386000002</v>
      </c>
    </row>
    <row r="108" spans="1:31">
      <c r="A108" s="3432" t="str">
        <f t="shared" si="4"/>
        <v>\\DG ECFIN\Forecast\Country databases\Desk transfer databases\BE</v>
      </c>
      <c r="B108" s="3432" t="str">
        <f t="shared" si="5"/>
        <v>BE</v>
      </c>
      <c r="C108" s="3432" t="s">
        <v>2147</v>
      </c>
      <c r="D108" s="3432" t="s">
        <v>2249</v>
      </c>
      <c r="E108" s="3432" t="s">
        <v>2149</v>
      </c>
      <c r="F108" s="3432">
        <v>143</v>
      </c>
      <c r="G108" s="3432" t="s">
        <v>775</v>
      </c>
      <c r="H108" s="3432">
        <v>8.5260000000000002E-2</v>
      </c>
      <c r="I108" s="3432">
        <v>0.17276</v>
      </c>
      <c r="J108" s="3432">
        <v>0.17068</v>
      </c>
      <c r="K108" s="3432">
        <v>0.24678</v>
      </c>
      <c r="L108" s="3432">
        <v>0.22652</v>
      </c>
      <c r="M108" s="3432">
        <v>0.14169999999999999</v>
      </c>
      <c r="N108" s="3432">
        <v>0.21209</v>
      </c>
      <c r="O108" s="3432">
        <v>0.23732</v>
      </c>
      <c r="P108" s="3432">
        <v>0.26157999999999998</v>
      </c>
      <c r="Q108" s="3432">
        <v>0.36352999999999996</v>
      </c>
      <c r="R108" s="3432">
        <v>0.31760999999999995</v>
      </c>
      <c r="S108" s="3432">
        <v>0.42169000000000001</v>
      </c>
      <c r="T108" s="3432">
        <v>0.58135999999999999</v>
      </c>
      <c r="U108" s="3432">
        <v>0.57049000000000005</v>
      </c>
      <c r="V108" s="3432">
        <v>0.6081700000000001</v>
      </c>
      <c r="W108" s="3432">
        <v>0.55608000000000002</v>
      </c>
      <c r="X108" s="3432">
        <v>0.61770999999999998</v>
      </c>
      <c r="Y108" s="3432">
        <v>0.70948</v>
      </c>
      <c r="Z108" s="3432">
        <v>0.76029999999999998</v>
      </c>
      <c r="AA108" s="3432">
        <v>0.76861999999999997</v>
      </c>
      <c r="AB108" s="3432">
        <v>0.80027999999999999</v>
      </c>
      <c r="AC108" s="3432">
        <v>0.82028699999999988</v>
      </c>
      <c r="AD108" s="3432">
        <v>0.84079417499999975</v>
      </c>
      <c r="AE108" s="3432">
        <v>0.86181402937499962</v>
      </c>
    </row>
    <row r="109" spans="1:31">
      <c r="A109" s="3432" t="str">
        <f t="shared" si="4"/>
        <v>\\DG ECFIN\Forecast\Country databases\Desk transfer databases\BE</v>
      </c>
      <c r="B109" s="3432" t="str">
        <f t="shared" si="5"/>
        <v>BE</v>
      </c>
      <c r="C109" s="3432" t="s">
        <v>2147</v>
      </c>
      <c r="D109" s="3432" t="s">
        <v>2250</v>
      </c>
      <c r="E109" s="3432" t="s">
        <v>2149</v>
      </c>
      <c r="F109" s="3432">
        <v>144</v>
      </c>
      <c r="G109" s="3432" t="s">
        <v>1264</v>
      </c>
      <c r="H109" s="3432">
        <v>0.38789000000000001</v>
      </c>
      <c r="I109" s="3432">
        <v>0.42630000000000001</v>
      </c>
      <c r="J109" s="3432">
        <v>0.43960000000000005</v>
      </c>
      <c r="K109" s="3432">
        <v>0.44392999999999999</v>
      </c>
      <c r="L109" s="3432">
        <v>0.44969999999999999</v>
      </c>
      <c r="M109" s="3432">
        <v>0.44792000000000004</v>
      </c>
      <c r="N109" s="3432">
        <v>0.44373000000000001</v>
      </c>
      <c r="O109" s="3432">
        <v>0.47164999999999996</v>
      </c>
      <c r="P109" s="3432">
        <v>0.49575999999999998</v>
      </c>
      <c r="Q109" s="3432">
        <v>0.54459000000000002</v>
      </c>
      <c r="R109" s="3432">
        <v>0.60770000000000002</v>
      </c>
      <c r="S109" s="3432">
        <v>0.70246000000000008</v>
      </c>
      <c r="T109" s="3432">
        <v>0.81538999999999995</v>
      </c>
      <c r="U109" s="3432">
        <v>0.81699999999999995</v>
      </c>
      <c r="V109" s="3432">
        <v>0.81259000000000003</v>
      </c>
      <c r="W109" s="3432">
        <v>0.88575000000000004</v>
      </c>
      <c r="X109" s="3432">
        <v>0.96163999999999994</v>
      </c>
      <c r="Y109" s="3432">
        <v>1.02627</v>
      </c>
      <c r="Z109" s="3432">
        <v>1.0739400000000001</v>
      </c>
      <c r="AA109" s="3432">
        <v>1.1040000000000001</v>
      </c>
      <c r="AB109" s="3432">
        <v>1.14178</v>
      </c>
      <c r="AC109" s="3432">
        <v>1.1817423</v>
      </c>
      <c r="AD109" s="3432">
        <v>1.229011992</v>
      </c>
      <c r="AE109" s="3432">
        <v>1.2720274117199999</v>
      </c>
    </row>
    <row r="110" spans="1:31">
      <c r="A110" s="3432" t="str">
        <f t="shared" si="4"/>
        <v>\\DG ECFIN\Forecast\Country databases\Desk transfer databases\BE</v>
      </c>
      <c r="B110" s="3432" t="str">
        <f t="shared" si="5"/>
        <v>BE</v>
      </c>
      <c r="C110" s="3432" t="s">
        <v>2147</v>
      </c>
      <c r="D110" s="3432" t="s">
        <v>2251</v>
      </c>
      <c r="E110" s="3432" t="s">
        <v>2149</v>
      </c>
      <c r="F110" s="3432">
        <v>145</v>
      </c>
      <c r="G110" s="3432" t="s">
        <v>1584</v>
      </c>
      <c r="H110" s="3432">
        <v>0.83732000000000006</v>
      </c>
      <c r="I110" s="3432">
        <v>1.13032</v>
      </c>
      <c r="J110" s="3432">
        <v>1.2086300000000001</v>
      </c>
      <c r="K110" s="3432">
        <v>0.88361999999999996</v>
      </c>
      <c r="L110" s="3432">
        <v>0.97050000000000003</v>
      </c>
      <c r="M110" s="3432">
        <v>0.85672999999999999</v>
      </c>
      <c r="N110" s="3432">
        <v>0.95311999999999997</v>
      </c>
      <c r="O110" s="3432">
        <v>0.98717999999999995</v>
      </c>
      <c r="P110" s="3432">
        <v>1.0180800000000001</v>
      </c>
      <c r="Q110" s="3432">
        <v>1.16645</v>
      </c>
      <c r="R110" s="3432">
        <v>1.39947</v>
      </c>
      <c r="S110" s="3432">
        <v>1.4840100000000001</v>
      </c>
      <c r="T110" s="3432">
        <v>1.81999</v>
      </c>
      <c r="U110" s="3432">
        <v>1.52319</v>
      </c>
      <c r="V110" s="3432">
        <v>1.7582899999999999</v>
      </c>
      <c r="W110" s="3432">
        <v>1.58467</v>
      </c>
      <c r="X110" s="3432">
        <v>1.64154</v>
      </c>
      <c r="Y110" s="3432">
        <v>1.6197699999999999</v>
      </c>
      <c r="Z110" s="3432">
        <v>1.7096199999999999</v>
      </c>
      <c r="AA110" s="3432">
        <v>1.8676900000000001</v>
      </c>
      <c r="AB110" s="3432">
        <v>1.84643</v>
      </c>
      <c r="AC110" s="3432">
        <v>1.8754002492738726</v>
      </c>
      <c r="AD110" s="3432">
        <v>2.0133065466654987</v>
      </c>
      <c r="AE110" s="3432">
        <v>2.1138316020828603</v>
      </c>
    </row>
    <row r="111" spans="1:31">
      <c r="A111" s="3432" t="str">
        <f t="shared" si="4"/>
        <v>\\DG ECFIN\Forecast\Country databases\Desk transfer databases\BE</v>
      </c>
      <c r="B111" s="3432" t="str">
        <f t="shared" si="5"/>
        <v>BE</v>
      </c>
      <c r="C111" s="3432" t="s">
        <v>2147</v>
      </c>
      <c r="D111" s="3432" t="s">
        <v>2252</v>
      </c>
      <c r="E111" s="3432" t="s">
        <v>2149</v>
      </c>
      <c r="F111" s="3432">
        <v>146</v>
      </c>
      <c r="G111" s="3432" t="s">
        <v>789</v>
      </c>
      <c r="H111" s="3432">
        <v>0.17881</v>
      </c>
      <c r="I111" s="3432">
        <v>0.14405000000000001</v>
      </c>
      <c r="J111" s="3432">
        <v>0.23977000000000001</v>
      </c>
      <c r="K111" s="3432">
        <v>0.22491999999999998</v>
      </c>
      <c r="L111" s="3432">
        <v>0.18768000000000001</v>
      </c>
      <c r="M111" s="3432">
        <v>0.18218000000000001</v>
      </c>
      <c r="N111" s="3432">
        <v>0.21962999999999999</v>
      </c>
      <c r="O111" s="3432">
        <v>0.24327000000000001</v>
      </c>
      <c r="P111" s="3432">
        <v>0.26491000000000003</v>
      </c>
      <c r="Q111" s="3432">
        <v>0.38077</v>
      </c>
      <c r="R111" s="3432">
        <v>0.40255000000000002</v>
      </c>
      <c r="S111" s="3432">
        <v>0.45735999999999999</v>
      </c>
      <c r="T111" s="3432">
        <v>0.5645</v>
      </c>
      <c r="U111" s="3432">
        <v>0.53662999999999994</v>
      </c>
      <c r="V111" s="3432">
        <v>0.53661999999999999</v>
      </c>
      <c r="W111" s="3432">
        <v>0.61984000000000006</v>
      </c>
      <c r="X111" s="3432">
        <v>0.58472999999999997</v>
      </c>
      <c r="Y111" s="3432">
        <v>0.55325999999999997</v>
      </c>
      <c r="Z111" s="3432">
        <v>0.57772999999999997</v>
      </c>
      <c r="AA111" s="3432">
        <v>0.61829999999999996</v>
      </c>
      <c r="AB111" s="3432">
        <v>0.64269000000000009</v>
      </c>
      <c r="AC111" s="3432">
        <v>0.66518415000000009</v>
      </c>
      <c r="AD111" s="3432">
        <v>0.68846559525000006</v>
      </c>
      <c r="AE111" s="3432">
        <v>0.70911956310750013</v>
      </c>
    </row>
    <row r="112" spans="1:31">
      <c r="A112" s="3432" t="str">
        <f t="shared" si="4"/>
        <v>\\DG ECFIN\Forecast\Country databases\Desk transfer databases\BE</v>
      </c>
      <c r="B112" s="3432" t="str">
        <f t="shared" si="5"/>
        <v>BE</v>
      </c>
      <c r="C112" s="3432" t="s">
        <v>2147</v>
      </c>
      <c r="D112" s="3432" t="s">
        <v>2253</v>
      </c>
      <c r="E112" s="3432" t="s">
        <v>2149</v>
      </c>
      <c r="F112" s="3432">
        <v>147</v>
      </c>
      <c r="G112" s="3432" t="s">
        <v>78</v>
      </c>
      <c r="H112" s="3432" t="s">
        <v>2180</v>
      </c>
      <c r="I112" s="3432" t="s">
        <v>2180</v>
      </c>
      <c r="J112" s="3432" t="s">
        <v>2180</v>
      </c>
      <c r="K112" s="3432">
        <v>2.3549475673088223</v>
      </c>
      <c r="L112" s="3432">
        <v>3.0845246368679327</v>
      </c>
      <c r="M112" s="3432">
        <v>3.6374833151743515</v>
      </c>
      <c r="N112" s="3432">
        <v>3.8467760480538118</v>
      </c>
      <c r="O112" s="3432">
        <v>3.8693433082694626</v>
      </c>
      <c r="P112" s="3432">
        <v>5.029789426923946</v>
      </c>
      <c r="Q112" s="3432">
        <v>6.2371992973034072</v>
      </c>
      <c r="R112" s="3432">
        <v>7.1744999999999992</v>
      </c>
      <c r="S112" s="3432">
        <v>8.1109000000000009</v>
      </c>
      <c r="T112" s="3432">
        <v>9.7027000000000001</v>
      </c>
      <c r="U112" s="3432">
        <v>7.5918999999999999</v>
      </c>
      <c r="V112" s="3432">
        <v>9.553700000000001</v>
      </c>
      <c r="W112" s="3432">
        <v>12.371499999999999</v>
      </c>
      <c r="X112" s="3432">
        <v>13.9255</v>
      </c>
      <c r="Y112" s="3432">
        <v>13.612299999999999</v>
      </c>
      <c r="Z112" s="3432">
        <v>13.358299999999998</v>
      </c>
      <c r="AA112" s="3432">
        <v>14.048900000000001</v>
      </c>
      <c r="AB112" s="3432">
        <v>13.721000000000002</v>
      </c>
      <c r="AC112" s="3432">
        <v>15.371</v>
      </c>
      <c r="AD112" s="3432">
        <v>17.659465447348634</v>
      </c>
      <c r="AE112" s="3432">
        <v>18.927709970692618</v>
      </c>
    </row>
    <row r="113" spans="1:31">
      <c r="A113" s="3432" t="str">
        <f t="shared" si="4"/>
        <v>\\DG ECFIN\Forecast\Country databases\Desk transfer databases\BE</v>
      </c>
      <c r="B113" s="3432" t="str">
        <f t="shared" si="5"/>
        <v>BE</v>
      </c>
      <c r="C113" s="3432" t="s">
        <v>2147</v>
      </c>
      <c r="D113" s="3432" t="s">
        <v>2254</v>
      </c>
      <c r="E113" s="3432" t="s">
        <v>2149</v>
      </c>
      <c r="F113" s="3432">
        <v>148</v>
      </c>
      <c r="G113" s="3432" t="s">
        <v>304</v>
      </c>
      <c r="H113" s="3432">
        <v>0</v>
      </c>
      <c r="I113" s="3432">
        <v>0</v>
      </c>
      <c r="J113" s="3432">
        <v>0</v>
      </c>
      <c r="K113" s="3432">
        <v>0</v>
      </c>
      <c r="L113" s="3432">
        <v>3.8509999999999996E-2</v>
      </c>
      <c r="M113" s="3432">
        <v>4.5679999999999998E-2</v>
      </c>
      <c r="N113" s="3432">
        <v>2.674E-2</v>
      </c>
      <c r="O113" s="3432">
        <v>1.4320000000000001E-2</v>
      </c>
      <c r="P113" s="3432">
        <v>1.1990000000000001E-2</v>
      </c>
      <c r="Q113" s="3432">
        <v>9.8000000000000014E-3</v>
      </c>
      <c r="R113" s="3432">
        <v>1.498E-2</v>
      </c>
      <c r="S113" s="3432">
        <v>8.8999999999999999E-3</v>
      </c>
      <c r="T113" s="3432">
        <v>1.8670000000000003E-2</v>
      </c>
      <c r="U113" s="3432">
        <v>4.725E-2</v>
      </c>
      <c r="V113" s="3432">
        <v>3.1949999999999999E-2</v>
      </c>
      <c r="W113" s="3432">
        <v>1.5939999999999999E-2</v>
      </c>
      <c r="X113" s="3432">
        <v>1.4119999999999999E-2</v>
      </c>
      <c r="Y113" s="3432">
        <v>1.7410000000000002E-2</v>
      </c>
      <c r="Z113" s="3432">
        <v>1.5140000000000001E-2</v>
      </c>
      <c r="AA113" s="3432">
        <v>1.763E-2</v>
      </c>
      <c r="AB113" s="3432">
        <v>1.421E-2</v>
      </c>
      <c r="AC113" s="3432">
        <v>1.421E-2</v>
      </c>
      <c r="AD113" s="3432">
        <v>1.421E-2</v>
      </c>
      <c r="AE113" s="3432">
        <v>1.421E-2</v>
      </c>
    </row>
    <row r="114" spans="1:31">
      <c r="A114" s="3432" t="str">
        <f t="shared" si="4"/>
        <v>\\DG ECFIN\Forecast\Country databases\Desk transfer databases\BE</v>
      </c>
      <c r="B114" s="3432" t="str">
        <f t="shared" si="5"/>
        <v>BE</v>
      </c>
      <c r="C114" s="3432" t="s">
        <v>2147</v>
      </c>
      <c r="D114" s="3432" t="s">
        <v>2255</v>
      </c>
      <c r="E114" s="3432" t="s">
        <v>2149</v>
      </c>
      <c r="F114" s="3432">
        <v>149</v>
      </c>
      <c r="G114" s="3432" t="s">
        <v>80</v>
      </c>
      <c r="H114" s="3432" t="s">
        <v>2180</v>
      </c>
      <c r="I114" s="3432" t="s">
        <v>2180</v>
      </c>
      <c r="J114" s="3432" t="s">
        <v>2180</v>
      </c>
      <c r="K114" s="3432">
        <v>0.83656273642823209</v>
      </c>
      <c r="L114" s="3432">
        <v>1.0408745617298429</v>
      </c>
      <c r="M114" s="3432">
        <v>1.3228155239153734</v>
      </c>
      <c r="N114" s="3432">
        <v>1.7004605690360302</v>
      </c>
      <c r="O114" s="3432">
        <v>2.2887664661102876</v>
      </c>
      <c r="P114" s="3432">
        <v>2.4482435284401056</v>
      </c>
      <c r="Q114" s="3432">
        <v>3.2526996335437048</v>
      </c>
      <c r="R114" s="3432">
        <v>4.0882000000000005</v>
      </c>
      <c r="S114" s="3432">
        <v>4.3986999999999998</v>
      </c>
      <c r="T114" s="3432">
        <v>6.3744000000000005</v>
      </c>
      <c r="U114" s="3432">
        <v>4.2051000000000016</v>
      </c>
      <c r="V114" s="3432">
        <v>6.0972999999999979</v>
      </c>
      <c r="W114" s="3432">
        <v>7.7796000000000012</v>
      </c>
      <c r="X114" s="3432">
        <v>9.1219000000000019</v>
      </c>
      <c r="Y114" s="3432">
        <v>10.932100000000004</v>
      </c>
      <c r="Z114" s="3432">
        <v>11.002800000000001</v>
      </c>
      <c r="AA114" s="3432">
        <v>8.8555000000000046</v>
      </c>
      <c r="AB114" s="3432">
        <v>8.8862000000000005</v>
      </c>
      <c r="AC114" s="3432">
        <v>11.070200000000003</v>
      </c>
      <c r="AD114" s="3432">
        <v>12.398624000000005</v>
      </c>
      <c r="AE114" s="3432">
        <v>13.080548320000005</v>
      </c>
    </row>
    <row r="115" spans="1:31">
      <c r="A115" s="3432" t="str">
        <f t="shared" si="4"/>
        <v>\\DG ECFIN\Forecast\Country databases\Desk transfer databases\BE</v>
      </c>
      <c r="B115" s="3432" t="str">
        <f t="shared" si="5"/>
        <v>BE</v>
      </c>
      <c r="C115" s="3432" t="s">
        <v>2147</v>
      </c>
      <c r="D115" s="3432" t="s">
        <v>2256</v>
      </c>
      <c r="E115" s="3432" t="s">
        <v>2149</v>
      </c>
      <c r="F115" s="3432">
        <v>150</v>
      </c>
      <c r="G115" s="3432" t="s">
        <v>82</v>
      </c>
      <c r="H115" s="3432" t="s">
        <v>2180</v>
      </c>
      <c r="I115" s="3432" t="s">
        <v>2180</v>
      </c>
      <c r="J115" s="3432" t="s">
        <v>2180</v>
      </c>
      <c r="K115" s="3432">
        <v>3.2407852567684778</v>
      </c>
      <c r="L115" s="3432">
        <v>3.3351650053206674</v>
      </c>
      <c r="M115" s="3432">
        <v>3.848407547340623</v>
      </c>
      <c r="N115" s="3432">
        <v>4.5366989492076</v>
      </c>
      <c r="O115" s="3432">
        <v>4.7863298730296568</v>
      </c>
      <c r="P115" s="3432">
        <v>6.3279125068471966</v>
      </c>
      <c r="Q115" s="3432">
        <v>7.4370991621200488</v>
      </c>
      <c r="R115" s="3432">
        <v>9.6872999999999987</v>
      </c>
      <c r="S115" s="3432">
        <v>12.179600000000002</v>
      </c>
      <c r="T115" s="3432">
        <v>12.173700000000002</v>
      </c>
      <c r="U115" s="3432">
        <v>7.7571000000000003</v>
      </c>
      <c r="V115" s="3432">
        <v>9.9933999999999994</v>
      </c>
      <c r="W115" s="3432">
        <v>12.954800000000001</v>
      </c>
      <c r="X115" s="3432">
        <v>14.3413</v>
      </c>
      <c r="Y115" s="3432">
        <v>15.8088</v>
      </c>
      <c r="Z115" s="3432">
        <v>16.982299999999999</v>
      </c>
      <c r="AA115" s="3432">
        <v>17.198700000000002</v>
      </c>
      <c r="AB115" s="3432">
        <v>17.5396</v>
      </c>
      <c r="AC115" s="3432">
        <v>20.116099999999996</v>
      </c>
      <c r="AD115" s="3432">
        <v>21.737308793711836</v>
      </c>
      <c r="AE115" s="3432">
        <v>23.191216748882496</v>
      </c>
    </row>
    <row r="116" spans="1:31">
      <c r="A116" s="3432" t="str">
        <f t="shared" si="4"/>
        <v>\\DG ECFIN\Forecast\Country databases\Desk transfer databases\BE</v>
      </c>
      <c r="B116" s="3432" t="str">
        <f t="shared" si="5"/>
        <v>BE</v>
      </c>
      <c r="C116" s="3432" t="s">
        <v>2147</v>
      </c>
      <c r="D116" s="3432" t="s">
        <v>2257</v>
      </c>
      <c r="E116" s="3432" t="s">
        <v>2149</v>
      </c>
      <c r="F116" s="3432">
        <v>152</v>
      </c>
      <c r="G116" s="3432" t="s">
        <v>84</v>
      </c>
      <c r="H116" s="3432" t="s">
        <v>2180</v>
      </c>
      <c r="I116" s="3432" t="s">
        <v>2180</v>
      </c>
      <c r="J116" s="3432" t="s">
        <v>2180</v>
      </c>
      <c r="K116" s="3432">
        <v>2.1305551120253718</v>
      </c>
      <c r="L116" s="3432">
        <v>2.7447367761346153</v>
      </c>
      <c r="M116" s="3432">
        <v>3.1762097607172723</v>
      </c>
      <c r="N116" s="3432">
        <v>3.4369902993290085</v>
      </c>
      <c r="O116" s="3432">
        <v>3.7393452129381379</v>
      </c>
      <c r="P116" s="3432">
        <v>3.6305645494656513</v>
      </c>
      <c r="Q116" s="3432">
        <v>5.0605994298617372</v>
      </c>
      <c r="R116" s="3432">
        <v>5.7422000000000004</v>
      </c>
      <c r="S116" s="3432">
        <v>5.6330999999999989</v>
      </c>
      <c r="T116" s="3432">
        <v>8.9702000000000002</v>
      </c>
      <c r="U116" s="3432">
        <v>5.3657999999999983</v>
      </c>
      <c r="V116" s="3432">
        <v>7.6598000000000006</v>
      </c>
      <c r="W116" s="3432">
        <v>9.8710000000000022</v>
      </c>
      <c r="X116" s="3432">
        <v>10.537599999999999</v>
      </c>
      <c r="Y116" s="3432">
        <v>10.398899999999999</v>
      </c>
      <c r="Z116" s="3432">
        <v>8.9072000000000013</v>
      </c>
      <c r="AA116" s="3432">
        <v>8.2009000000000007</v>
      </c>
      <c r="AB116" s="3432">
        <v>7.1599000000000013</v>
      </c>
      <c r="AC116" s="3432">
        <v>8.679700000000004</v>
      </c>
      <c r="AD116" s="3432">
        <v>9.721264000000005</v>
      </c>
      <c r="AE116" s="3432">
        <v>10.401752480000006</v>
      </c>
    </row>
    <row r="117" spans="1:31">
      <c r="A117" s="3432" t="str">
        <f t="shared" si="4"/>
        <v>\\DG ECFIN\Forecast\Country databases\Desk transfer databases\BE</v>
      </c>
      <c r="B117" s="3432" t="str">
        <f t="shared" si="5"/>
        <v>BE</v>
      </c>
      <c r="C117" s="3432" t="s">
        <v>2147</v>
      </c>
      <c r="D117" s="3432" t="s">
        <v>2258</v>
      </c>
      <c r="E117" s="3432" t="s">
        <v>2149</v>
      </c>
      <c r="F117" s="3432">
        <v>153</v>
      </c>
      <c r="G117" s="3432" t="s">
        <v>1230</v>
      </c>
      <c r="H117" s="3432" t="s">
        <v>2180</v>
      </c>
      <c r="I117" s="3432" t="s">
        <v>2180</v>
      </c>
      <c r="J117" s="3432" t="s">
        <v>2180</v>
      </c>
      <c r="K117" s="3432" t="s">
        <v>2180</v>
      </c>
      <c r="L117" s="3432" t="s">
        <v>2180</v>
      </c>
      <c r="M117" s="3432" t="s">
        <v>2180</v>
      </c>
      <c r="N117" s="3432" t="s">
        <v>2180</v>
      </c>
      <c r="O117" s="3432" t="s">
        <v>2180</v>
      </c>
      <c r="P117" s="3432" t="s">
        <v>2180</v>
      </c>
      <c r="Q117" s="3432" t="s">
        <v>2180</v>
      </c>
      <c r="R117" s="3432" t="s">
        <v>2180</v>
      </c>
      <c r="S117" s="3432" t="s">
        <v>2180</v>
      </c>
      <c r="T117" s="3432" t="s">
        <v>2180</v>
      </c>
      <c r="U117" s="3432" t="s">
        <v>2180</v>
      </c>
      <c r="V117" s="3432" t="s">
        <v>2180</v>
      </c>
      <c r="W117" s="3432" t="s">
        <v>2180</v>
      </c>
      <c r="X117" s="3432" t="s">
        <v>2180</v>
      </c>
      <c r="Y117" s="3432" t="s">
        <v>2180</v>
      </c>
      <c r="Z117" s="3432">
        <v>0.3841</v>
      </c>
      <c r="AA117" s="3432">
        <v>-0.2419</v>
      </c>
      <c r="AB117" s="3432">
        <v>0.25509999999999999</v>
      </c>
      <c r="AC117" s="3432">
        <v>0.3417</v>
      </c>
      <c r="AD117" s="3432">
        <v>0</v>
      </c>
      <c r="AE117" s="3432">
        <v>0</v>
      </c>
    </row>
    <row r="118" spans="1:31">
      <c r="A118" s="3432" t="str">
        <f t="shared" si="4"/>
        <v>\\DG ECFIN\Forecast\Country databases\Desk transfer databases\BE</v>
      </c>
      <c r="B118" s="3432" t="str">
        <f t="shared" si="5"/>
        <v>BE</v>
      </c>
      <c r="C118" s="3432" t="s">
        <v>2147</v>
      </c>
      <c r="D118" s="3432" t="s">
        <v>2259</v>
      </c>
      <c r="E118" s="3432" t="s">
        <v>2149</v>
      </c>
      <c r="F118" s="3432">
        <v>154</v>
      </c>
      <c r="G118" s="3432" t="s">
        <v>1277</v>
      </c>
      <c r="H118" s="3432" t="s">
        <v>2180</v>
      </c>
      <c r="I118" s="3432" t="s">
        <v>2180</v>
      </c>
      <c r="J118" s="3432" t="s">
        <v>2180</v>
      </c>
      <c r="K118" s="3432" t="s">
        <v>2180</v>
      </c>
      <c r="L118" s="3432" t="s">
        <v>2180</v>
      </c>
      <c r="M118" s="3432" t="s">
        <v>2180</v>
      </c>
      <c r="N118" s="3432" t="s">
        <v>2180</v>
      </c>
      <c r="O118" s="3432" t="s">
        <v>2180</v>
      </c>
      <c r="P118" s="3432" t="s">
        <v>2180</v>
      </c>
      <c r="Q118" s="3432" t="s">
        <v>2180</v>
      </c>
      <c r="R118" s="3432" t="s">
        <v>2180</v>
      </c>
      <c r="S118" s="3432" t="s">
        <v>2180</v>
      </c>
      <c r="T118" s="3432" t="s">
        <v>2180</v>
      </c>
      <c r="U118" s="3432" t="s">
        <v>2180</v>
      </c>
      <c r="V118" s="3432" t="s">
        <v>2180</v>
      </c>
      <c r="W118" s="3432" t="s">
        <v>2180</v>
      </c>
      <c r="X118" s="3432" t="s">
        <v>2180</v>
      </c>
      <c r="Y118" s="3432" t="s">
        <v>2180</v>
      </c>
      <c r="Z118" s="3432">
        <v>-2.35E-2</v>
      </c>
      <c r="AA118" s="3432">
        <v>7.5899999999999995E-2</v>
      </c>
      <c r="AB118" s="3432">
        <v>9.3899999999999997E-2</v>
      </c>
      <c r="AC118" s="3432">
        <v>5.4199999999999998E-2</v>
      </c>
      <c r="AD118" s="3432">
        <v>0.1875</v>
      </c>
      <c r="AE118" s="3432">
        <v>0</v>
      </c>
    </row>
    <row r="119" spans="1:31">
      <c r="A119" s="3432" t="str">
        <f t="shared" si="4"/>
        <v>\\DG ECFIN\Forecast\Country databases\Desk transfer databases\BE</v>
      </c>
      <c r="B119" s="3432" t="str">
        <f t="shared" si="5"/>
        <v>BE</v>
      </c>
      <c r="C119" s="3432" t="s">
        <v>2147</v>
      </c>
      <c r="D119" s="3432" t="s">
        <v>2260</v>
      </c>
      <c r="E119" s="3432" t="s">
        <v>2149</v>
      </c>
      <c r="F119" s="3432">
        <v>155</v>
      </c>
      <c r="G119" s="3432" t="s">
        <v>1278</v>
      </c>
      <c r="H119" s="3432" t="s">
        <v>2180</v>
      </c>
      <c r="I119" s="3432" t="s">
        <v>2180</v>
      </c>
      <c r="J119" s="3432" t="s">
        <v>2180</v>
      </c>
      <c r="K119" s="3432" t="s">
        <v>2180</v>
      </c>
      <c r="L119" s="3432" t="s">
        <v>2180</v>
      </c>
      <c r="M119" s="3432" t="s">
        <v>2180</v>
      </c>
      <c r="N119" s="3432" t="s">
        <v>2180</v>
      </c>
      <c r="O119" s="3432" t="s">
        <v>2180</v>
      </c>
      <c r="P119" s="3432" t="s">
        <v>2180</v>
      </c>
      <c r="Q119" s="3432" t="s">
        <v>2180</v>
      </c>
      <c r="R119" s="3432" t="s">
        <v>2180</v>
      </c>
      <c r="S119" s="3432" t="s">
        <v>2180</v>
      </c>
      <c r="T119" s="3432" t="s">
        <v>2180</v>
      </c>
      <c r="U119" s="3432" t="s">
        <v>2180</v>
      </c>
      <c r="V119" s="3432" t="s">
        <v>2180</v>
      </c>
      <c r="W119" s="3432" t="s">
        <v>2180</v>
      </c>
      <c r="X119" s="3432" t="s">
        <v>2180</v>
      </c>
      <c r="Y119" s="3432" t="s">
        <v>2180</v>
      </c>
      <c r="Z119" s="3432">
        <v>-0.22120000000000001</v>
      </c>
      <c r="AA119" s="3432">
        <v>8.0699999999999994E-2</v>
      </c>
      <c r="AB119" s="3432">
        <v>-0.1096</v>
      </c>
      <c r="AC119" s="3432">
        <v>-1.7000000000000001E-2</v>
      </c>
      <c r="AD119" s="3432">
        <v>-1E-3</v>
      </c>
      <c r="AE119" s="3432">
        <v>-2.1999999999999999E-2</v>
      </c>
    </row>
    <row r="120" spans="1:31">
      <c r="A120" s="3432" t="str">
        <f t="shared" si="4"/>
        <v>\\DG ECFIN\Forecast\Country databases\Desk transfer databases\BE</v>
      </c>
      <c r="B120" s="3432" t="str">
        <f t="shared" si="5"/>
        <v>BE</v>
      </c>
      <c r="C120" s="3432" t="s">
        <v>2147</v>
      </c>
      <c r="D120" s="3432" t="s">
        <v>2261</v>
      </c>
      <c r="E120" s="3432" t="s">
        <v>2149</v>
      </c>
      <c r="F120" s="3432">
        <v>156</v>
      </c>
      <c r="G120" s="3432" t="s">
        <v>1279</v>
      </c>
      <c r="H120" s="3432" t="s">
        <v>2180</v>
      </c>
      <c r="I120" s="3432" t="s">
        <v>2180</v>
      </c>
      <c r="J120" s="3432" t="s">
        <v>2180</v>
      </c>
      <c r="K120" s="3432" t="s">
        <v>2180</v>
      </c>
      <c r="L120" s="3432" t="s">
        <v>2180</v>
      </c>
      <c r="M120" s="3432" t="s">
        <v>2180</v>
      </c>
      <c r="N120" s="3432" t="s">
        <v>2180</v>
      </c>
      <c r="O120" s="3432" t="s">
        <v>2180</v>
      </c>
      <c r="P120" s="3432" t="s">
        <v>2180</v>
      </c>
      <c r="Q120" s="3432" t="s">
        <v>2180</v>
      </c>
      <c r="R120" s="3432" t="s">
        <v>2180</v>
      </c>
      <c r="S120" s="3432" t="s">
        <v>2180</v>
      </c>
      <c r="T120" s="3432" t="s">
        <v>2180</v>
      </c>
      <c r="U120" s="3432" t="s">
        <v>2180</v>
      </c>
      <c r="V120" s="3432" t="s">
        <v>2180</v>
      </c>
      <c r="W120" s="3432" t="s">
        <v>2180</v>
      </c>
      <c r="X120" s="3432" t="s">
        <v>2180</v>
      </c>
      <c r="Y120" s="3432" t="s">
        <v>2180</v>
      </c>
      <c r="Z120" s="3432">
        <v>0.36470000000000002</v>
      </c>
      <c r="AA120" s="3432">
        <v>-0.26829999999999998</v>
      </c>
      <c r="AB120" s="3432">
        <v>-0.12839999999999999</v>
      </c>
      <c r="AC120" s="3432">
        <v>-8.9999999999999993E-3</v>
      </c>
      <c r="AD120" s="3432">
        <v>-1.4999999999999999E-2</v>
      </c>
      <c r="AE120" s="3432">
        <v>-1.0999999999999999E-2</v>
      </c>
    </row>
    <row r="121" spans="1:31">
      <c r="A121" s="3432" t="str">
        <f t="shared" si="4"/>
        <v>\\DG ECFIN\Forecast\Country databases\Desk transfer databases\BE</v>
      </c>
      <c r="B121" s="3432" t="str">
        <f t="shared" si="5"/>
        <v>BE</v>
      </c>
      <c r="C121" s="3432" t="s">
        <v>2147</v>
      </c>
      <c r="D121" s="3432" t="s">
        <v>2262</v>
      </c>
      <c r="E121" s="3432" t="s">
        <v>2363</v>
      </c>
      <c r="F121" s="3432">
        <v>158</v>
      </c>
      <c r="G121" s="3432" t="s">
        <v>2263</v>
      </c>
      <c r="H121" s="3432" t="s">
        <v>2180</v>
      </c>
      <c r="I121" s="3432" t="s">
        <v>2180</v>
      </c>
      <c r="J121" s="3432">
        <v>0.20358052408557681</v>
      </c>
      <c r="K121" s="3432">
        <v>0.20928344912836555</v>
      </c>
      <c r="L121" s="3432">
        <v>0.21231939413890441</v>
      </c>
      <c r="M121" s="3432">
        <v>0.20384739312355385</v>
      </c>
      <c r="N121" s="3432">
        <v>0.19555711520036939</v>
      </c>
      <c r="O121" s="3432">
        <v>0.18796004167420582</v>
      </c>
      <c r="P121" s="3432">
        <v>0.18344641698405134</v>
      </c>
      <c r="Q121" s="3432" t="s">
        <v>2180</v>
      </c>
      <c r="R121" s="3432" t="s">
        <v>2180</v>
      </c>
      <c r="S121" s="3432" t="s">
        <v>2180</v>
      </c>
      <c r="T121" s="3432" t="s">
        <v>2180</v>
      </c>
      <c r="U121" s="3432" t="s">
        <v>2180</v>
      </c>
      <c r="V121" s="3432">
        <v>18.521152755588517</v>
      </c>
      <c r="W121" s="3432" t="s">
        <v>2180</v>
      </c>
      <c r="X121" s="3432" t="s">
        <v>2180</v>
      </c>
      <c r="Y121" s="3432" t="s">
        <v>2180</v>
      </c>
      <c r="Z121" s="3432" t="s">
        <v>2180</v>
      </c>
      <c r="AA121" s="3432" t="s">
        <v>2180</v>
      </c>
      <c r="AB121" s="3432" t="s">
        <v>2180</v>
      </c>
      <c r="AC121" s="3432" t="s">
        <v>2180</v>
      </c>
      <c r="AD121" s="3432" t="s">
        <v>2180</v>
      </c>
      <c r="AE121" s="3432" t="s">
        <v>2180</v>
      </c>
    </row>
    <row r="122" spans="1:31">
      <c r="A122" s="3432" t="str">
        <f t="shared" si="4"/>
        <v>\\DG ECFIN\Forecast\Country databases\Desk transfer databases\BE</v>
      </c>
      <c r="B122" s="3432" t="str">
        <f t="shared" si="5"/>
        <v>BE</v>
      </c>
      <c r="C122" s="3432" t="s">
        <v>2147</v>
      </c>
      <c r="D122" s="3432" t="s">
        <v>2264</v>
      </c>
      <c r="E122" s="3432" t="s">
        <v>2363</v>
      </c>
      <c r="F122" s="3432">
        <v>159</v>
      </c>
      <c r="G122" s="3432" t="s">
        <v>2265</v>
      </c>
      <c r="H122" s="3432" t="s">
        <v>2180</v>
      </c>
      <c r="I122" s="3432" t="s">
        <v>2180</v>
      </c>
      <c r="J122" s="3432">
        <v>8.5356204242889824E-2</v>
      </c>
      <c r="K122" s="3432">
        <v>8.7142178922122074E-2</v>
      </c>
      <c r="L122" s="3432">
        <v>8.8052747000690726E-2</v>
      </c>
      <c r="M122" s="3432">
        <v>8.559159224548879E-2</v>
      </c>
      <c r="N122" s="3432">
        <v>8.1674498568021572E-2</v>
      </c>
      <c r="O122" s="3432">
        <v>7.857347818910658E-2</v>
      </c>
      <c r="P122" s="3432">
        <v>7.9300560277963991E-2</v>
      </c>
      <c r="Q122" s="3432">
        <v>8.2261351133513544E-2</v>
      </c>
      <c r="R122" s="3432">
        <v>8.7582949092182324E-2</v>
      </c>
      <c r="S122" s="3432">
        <v>9.0551128734550498E-2</v>
      </c>
      <c r="T122" s="3432">
        <v>9.1972153844078974E-2</v>
      </c>
      <c r="U122" s="3432">
        <v>8.4446778337254169E-2</v>
      </c>
      <c r="V122" s="3432">
        <v>5.2734993650361588</v>
      </c>
      <c r="W122" s="3432" t="s">
        <v>2180</v>
      </c>
      <c r="X122" s="3432" t="s">
        <v>2180</v>
      </c>
      <c r="Y122" s="3432" t="s">
        <v>2180</v>
      </c>
      <c r="Z122" s="3432" t="s">
        <v>2180</v>
      </c>
      <c r="AA122" s="3432" t="s">
        <v>2180</v>
      </c>
      <c r="AB122" s="3432" t="s">
        <v>2180</v>
      </c>
      <c r="AC122" s="3432" t="s">
        <v>2180</v>
      </c>
      <c r="AD122" s="3432" t="s">
        <v>2180</v>
      </c>
      <c r="AE122" s="3432" t="s">
        <v>2180</v>
      </c>
    </row>
    <row r="123" spans="1:31">
      <c r="A123" s="3432" t="str">
        <f t="shared" si="4"/>
        <v>\\DG ECFIN\Forecast\Country databases\Desk transfer databases\BE</v>
      </c>
      <c r="B123" s="3432" t="str">
        <f t="shared" si="5"/>
        <v>BE</v>
      </c>
      <c r="C123" s="3432" t="s">
        <v>2147</v>
      </c>
      <c r="D123" s="3432" t="s">
        <v>2266</v>
      </c>
      <c r="E123" s="3432" t="s">
        <v>2363</v>
      </c>
      <c r="F123" s="3432">
        <v>160</v>
      </c>
      <c r="G123" s="3432" t="s">
        <v>2267</v>
      </c>
      <c r="H123" s="3432" t="s">
        <v>2180</v>
      </c>
      <c r="I123" s="3432" t="s">
        <v>2180</v>
      </c>
      <c r="J123" s="3432">
        <v>0.2172346651112842</v>
      </c>
      <c r="K123" s="3432">
        <v>0.22795976745297175</v>
      </c>
      <c r="L123" s="3432">
        <v>0.24260552148442466</v>
      </c>
      <c r="M123" s="3432">
        <v>0.248755203193325</v>
      </c>
      <c r="N123" s="3432">
        <v>0.24992225381589825</v>
      </c>
      <c r="O123" s="3432">
        <v>0.25049949818876471</v>
      </c>
      <c r="P123" s="3432">
        <v>0.24386314104231716</v>
      </c>
      <c r="Q123" s="3432">
        <v>0.23611840793839489</v>
      </c>
      <c r="R123" s="3432">
        <v>0.23001156921370433</v>
      </c>
      <c r="S123" s="3432">
        <v>0.22593661995581754</v>
      </c>
      <c r="T123" s="3432">
        <v>0.22343077829473384</v>
      </c>
      <c r="U123" s="3432">
        <v>0.24040902245854384</v>
      </c>
      <c r="V123" s="3432">
        <v>28.494703738629902</v>
      </c>
      <c r="W123" s="3432" t="s">
        <v>2180</v>
      </c>
      <c r="X123" s="3432" t="s">
        <v>2180</v>
      </c>
      <c r="Y123" s="3432" t="s">
        <v>2180</v>
      </c>
      <c r="Z123" s="3432" t="s">
        <v>2180</v>
      </c>
      <c r="AA123" s="3432" t="s">
        <v>2180</v>
      </c>
      <c r="AB123" s="3432" t="s">
        <v>2180</v>
      </c>
      <c r="AC123" s="3432" t="s">
        <v>2180</v>
      </c>
      <c r="AD123" s="3432" t="s">
        <v>2180</v>
      </c>
      <c r="AE123" s="3432" t="s">
        <v>2180</v>
      </c>
    </row>
    <row r="124" spans="1:31">
      <c r="A124" s="3432" t="str">
        <f t="shared" si="4"/>
        <v>\\DG ECFIN\Forecast\Country databases\Desk transfer databases\BE</v>
      </c>
      <c r="B124" s="3432" t="str">
        <f t="shared" si="5"/>
        <v>BE</v>
      </c>
      <c r="C124" s="3432" t="s">
        <v>2147</v>
      </c>
      <c r="D124" s="3432" t="s">
        <v>2268</v>
      </c>
      <c r="E124" s="3432" t="s">
        <v>2363</v>
      </c>
      <c r="F124" s="3432">
        <v>161</v>
      </c>
      <c r="G124" s="3432" t="s">
        <v>808</v>
      </c>
      <c r="H124" s="3432">
        <v>201.94000000000003</v>
      </c>
      <c r="I124" s="3432">
        <v>206.91000000000003</v>
      </c>
      <c r="J124" s="3432">
        <v>202.31</v>
      </c>
      <c r="K124" s="3432">
        <v>253.32</v>
      </c>
      <c r="L124" s="3432">
        <v>256.58999999999997</v>
      </c>
      <c r="M124" s="3432">
        <v>233.14</v>
      </c>
      <c r="N124" s="3432">
        <v>246.14000000000001</v>
      </c>
      <c r="O124" s="3432">
        <v>244.02</v>
      </c>
      <c r="P124" s="3432">
        <v>257.04000000000002</v>
      </c>
      <c r="Q124" s="3432">
        <v>271.23</v>
      </c>
      <c r="R124" s="3432">
        <v>271.83999999999997</v>
      </c>
      <c r="S124" s="3432">
        <v>287.05</v>
      </c>
      <c r="T124" s="3432">
        <v>289.37</v>
      </c>
      <c r="U124" s="3432">
        <v>292.51</v>
      </c>
      <c r="V124" s="3432">
        <v>266.68</v>
      </c>
      <c r="W124" s="3432">
        <v>252.33000000000004</v>
      </c>
      <c r="X124" s="3432">
        <v>243.38</v>
      </c>
      <c r="Y124" s="3432">
        <v>238.83000000000004</v>
      </c>
      <c r="Z124" s="3432">
        <v>300.89999999999998</v>
      </c>
      <c r="AA124" s="3432">
        <v>321.58999999999997</v>
      </c>
      <c r="AB124" s="3432">
        <v>336.99</v>
      </c>
      <c r="AC124" s="3432">
        <v>324.63</v>
      </c>
      <c r="AD124" s="3432">
        <v>324.63</v>
      </c>
      <c r="AE124" s="3432">
        <v>324.63</v>
      </c>
    </row>
    <row r="125" spans="1:31">
      <c r="A125" s="3432" t="str">
        <f t="shared" si="4"/>
        <v>\\DG ECFIN\Forecast\Country databases\Desk transfer databases\BE</v>
      </c>
      <c r="B125" s="3432" t="str">
        <f t="shared" si="5"/>
        <v>BE</v>
      </c>
      <c r="C125" s="3432" t="s">
        <v>2147</v>
      </c>
      <c r="D125" s="3432" t="s">
        <v>2269</v>
      </c>
      <c r="E125" s="3432" t="s">
        <v>2363</v>
      </c>
      <c r="F125" s="3432">
        <v>162</v>
      </c>
      <c r="G125" s="3432" t="s">
        <v>809</v>
      </c>
      <c r="H125" s="3432">
        <v>116.59</v>
      </c>
      <c r="I125" s="3432">
        <v>144.16999999999999</v>
      </c>
      <c r="J125" s="3432">
        <v>162.15</v>
      </c>
      <c r="K125" s="3432">
        <v>131.61000000000001</v>
      </c>
      <c r="L125" s="3432">
        <v>150.61000000000001</v>
      </c>
      <c r="M125" s="3432">
        <v>156.51</v>
      </c>
      <c r="N125" s="3432">
        <v>130.04</v>
      </c>
      <c r="O125" s="3432">
        <v>144.53</v>
      </c>
      <c r="P125" s="3432">
        <v>139.24</v>
      </c>
      <c r="Q125" s="3432">
        <v>130.71</v>
      </c>
      <c r="R125" s="3432">
        <v>131.59</v>
      </c>
      <c r="S125" s="3432">
        <v>133.38</v>
      </c>
      <c r="T125" s="3432">
        <v>133.54</v>
      </c>
      <c r="U125" s="3432">
        <v>125.36000000000001</v>
      </c>
      <c r="V125" s="3432">
        <v>136.25</v>
      </c>
      <c r="W125" s="3432">
        <v>153.46</v>
      </c>
      <c r="X125" s="3432">
        <v>163.93</v>
      </c>
      <c r="Y125" s="3432">
        <v>168.38</v>
      </c>
      <c r="Z125" s="3432">
        <v>142.51</v>
      </c>
      <c r="AA125" s="3432">
        <v>136.01</v>
      </c>
      <c r="AB125" s="3432">
        <v>117.86</v>
      </c>
      <c r="AC125" s="3432">
        <v>120.19</v>
      </c>
      <c r="AD125" s="3432">
        <v>120.19</v>
      </c>
      <c r="AE125" s="3432">
        <v>120.19</v>
      </c>
    </row>
    <row r="126" spans="1:31">
      <c r="A126" s="3432" t="str">
        <f t="shared" si="4"/>
        <v>\\DG ECFIN\Forecast\Country databases\Desk transfer databases\BE</v>
      </c>
      <c r="B126" s="3432" t="str">
        <f t="shared" si="5"/>
        <v>BE</v>
      </c>
      <c r="C126" s="3432" t="s">
        <v>2147</v>
      </c>
      <c r="D126" s="3432" t="s">
        <v>2270</v>
      </c>
      <c r="E126" s="3432" t="s">
        <v>2363</v>
      </c>
      <c r="F126" s="3432">
        <v>163</v>
      </c>
      <c r="G126" s="3432" t="s">
        <v>810</v>
      </c>
      <c r="H126" s="3432">
        <v>329.58</v>
      </c>
      <c r="I126" s="3432">
        <v>328.30000000000007</v>
      </c>
      <c r="J126" s="3432">
        <v>321.64</v>
      </c>
      <c r="K126" s="3432">
        <v>294.95</v>
      </c>
      <c r="L126" s="3432">
        <v>274.73</v>
      </c>
      <c r="M126" s="3432">
        <v>276.14999999999998</v>
      </c>
      <c r="N126" s="3432">
        <v>261.55</v>
      </c>
      <c r="O126" s="3432">
        <v>258.43000000000006</v>
      </c>
      <c r="P126" s="3432">
        <v>251.84</v>
      </c>
      <c r="Q126" s="3432">
        <v>236.39</v>
      </c>
      <c r="R126" s="3432">
        <v>224.20000000000002</v>
      </c>
      <c r="S126" s="3432">
        <v>221.72</v>
      </c>
      <c r="T126" s="3432">
        <v>215.87000000000003</v>
      </c>
      <c r="U126" s="3432">
        <v>213.01000000000002</v>
      </c>
      <c r="V126" s="3432">
        <v>223.05000000000004</v>
      </c>
      <c r="W126" s="3432">
        <v>232.45000000000002</v>
      </c>
      <c r="X126" s="3432">
        <v>233.29000000000002</v>
      </c>
      <c r="Y126" s="3432">
        <v>230.58000000000004</v>
      </c>
      <c r="Z126" s="3432">
        <v>219.69</v>
      </c>
      <c r="AA126" s="3432">
        <v>206.54</v>
      </c>
      <c r="AB126" s="3432">
        <v>208.15</v>
      </c>
      <c r="AC126" s="3432">
        <v>209.09</v>
      </c>
      <c r="AD126" s="3432">
        <v>209.09</v>
      </c>
      <c r="AE126" s="3432">
        <v>209.09</v>
      </c>
    </row>
    <row r="127" spans="1:31">
      <c r="A127" s="3432" t="str">
        <f t="shared" si="4"/>
        <v>\\DG ECFIN\Forecast\Country databases\Desk transfer databases\BE</v>
      </c>
      <c r="B127" s="3432" t="str">
        <f t="shared" si="5"/>
        <v>BE</v>
      </c>
      <c r="C127" s="3432" t="s">
        <v>2147</v>
      </c>
      <c r="D127" s="3432" t="s">
        <v>2271</v>
      </c>
      <c r="E127" s="3432" t="s">
        <v>2363</v>
      </c>
      <c r="F127" s="3432">
        <v>164</v>
      </c>
      <c r="G127" s="3432" t="s">
        <v>811</v>
      </c>
      <c r="H127" s="3432">
        <v>248.77000000000004</v>
      </c>
      <c r="I127" s="3432">
        <v>192.56</v>
      </c>
      <c r="J127" s="3432">
        <v>180.19000000000003</v>
      </c>
      <c r="K127" s="3432">
        <v>174.74</v>
      </c>
      <c r="L127" s="3432">
        <v>165.14</v>
      </c>
      <c r="M127" s="3432">
        <v>163.66</v>
      </c>
      <c r="N127" s="3432">
        <v>152.71</v>
      </c>
      <c r="O127" s="3432">
        <v>130.96</v>
      </c>
      <c r="P127" s="3432">
        <v>121.5</v>
      </c>
      <c r="Q127" s="3432">
        <v>120.35</v>
      </c>
      <c r="R127" s="3432">
        <v>120.72000000000001</v>
      </c>
      <c r="S127" s="3432">
        <v>112.88</v>
      </c>
      <c r="T127" s="3432">
        <v>110.28</v>
      </c>
      <c r="U127" s="3432">
        <v>115.75000000000001</v>
      </c>
      <c r="V127" s="3432">
        <v>113.57</v>
      </c>
      <c r="W127" s="3432">
        <v>114.47000000000001</v>
      </c>
      <c r="X127" s="3432">
        <v>111.19</v>
      </c>
      <c r="Y127" s="3432">
        <v>111.46000000000001</v>
      </c>
      <c r="Z127" s="3432">
        <v>102.8</v>
      </c>
      <c r="AA127" s="3432">
        <v>95.36</v>
      </c>
      <c r="AB127" s="3432">
        <v>92.19</v>
      </c>
      <c r="AC127" s="3432">
        <v>80.97</v>
      </c>
      <c r="AD127" s="3432">
        <v>80.97</v>
      </c>
      <c r="AE127" s="3432">
        <v>80.97</v>
      </c>
    </row>
    <row r="128" spans="1:31">
      <c r="A128" s="3432" t="str">
        <f t="shared" si="4"/>
        <v>\\DG ECFIN\Forecast\Country databases\Desk transfer databases\BE</v>
      </c>
      <c r="B128" s="3432" t="str">
        <f t="shared" si="5"/>
        <v>BE</v>
      </c>
      <c r="C128" s="3432" t="s">
        <v>2147</v>
      </c>
      <c r="D128" s="3432" t="s">
        <v>2272</v>
      </c>
      <c r="E128" s="3432" t="s">
        <v>2363</v>
      </c>
      <c r="F128" s="3432">
        <v>165</v>
      </c>
      <c r="G128" s="3432" t="s">
        <v>812</v>
      </c>
      <c r="H128" s="3432">
        <v>103.13000000000001</v>
      </c>
      <c r="I128" s="3432">
        <v>128.07</v>
      </c>
      <c r="J128" s="3432">
        <v>133.72</v>
      </c>
      <c r="K128" s="3432">
        <v>145.38999999999999</v>
      </c>
      <c r="L128" s="3432">
        <v>152.91999999999999</v>
      </c>
      <c r="M128" s="3432">
        <v>170.54</v>
      </c>
      <c r="N128" s="3432">
        <v>209.57</v>
      </c>
      <c r="O128" s="3432">
        <v>222.06000000000003</v>
      </c>
      <c r="P128" s="3432">
        <v>230.37000000000003</v>
      </c>
      <c r="Q128" s="3432">
        <v>241.33000000000004</v>
      </c>
      <c r="R128" s="3432">
        <v>251.66</v>
      </c>
      <c r="S128" s="3432">
        <v>244.97</v>
      </c>
      <c r="T128" s="3432">
        <v>250.94</v>
      </c>
      <c r="U128" s="3432">
        <v>253.37000000000003</v>
      </c>
      <c r="V128" s="3432">
        <v>260.44</v>
      </c>
      <c r="W128" s="3432">
        <v>247.30000000000004</v>
      </c>
      <c r="X128" s="3432">
        <v>248.21</v>
      </c>
      <c r="Y128" s="3432">
        <v>250.74</v>
      </c>
      <c r="Z128" s="3432">
        <v>234.10000000000002</v>
      </c>
      <c r="AA128" s="3432">
        <v>240.50000000000009</v>
      </c>
      <c r="AB128" s="3432">
        <v>244.80999999999997</v>
      </c>
      <c r="AC128" s="3432">
        <v>265.12</v>
      </c>
      <c r="AD128" s="3432">
        <v>265.12</v>
      </c>
      <c r="AE128" s="3432">
        <v>265.12</v>
      </c>
    </row>
    <row r="129" spans="1:31">
      <c r="A129" s="3432" t="str">
        <f t="shared" si="4"/>
        <v>\\DG ECFIN\Forecast\Country databases\Desk transfer databases\BE</v>
      </c>
      <c r="B129" s="3432" t="str">
        <f t="shared" si="5"/>
        <v>BE</v>
      </c>
      <c r="C129" s="3432" t="s">
        <v>2147</v>
      </c>
      <c r="D129" s="3432" t="s">
        <v>2273</v>
      </c>
      <c r="E129" s="3432" t="s">
        <v>2363</v>
      </c>
      <c r="F129" s="3432">
        <v>172</v>
      </c>
      <c r="G129" s="3432" t="s">
        <v>353</v>
      </c>
      <c r="H129" s="3432">
        <v>92.647499999999994</v>
      </c>
      <c r="I129" s="3432">
        <v>100.49166666666667</v>
      </c>
      <c r="J129" s="3432">
        <v>105.71583333333334</v>
      </c>
      <c r="K129" s="3432">
        <v>107.93</v>
      </c>
      <c r="L129" s="3432">
        <v>105.96999999999998</v>
      </c>
      <c r="M129" s="3432">
        <v>103.17249999999999</v>
      </c>
      <c r="N129" s="3432">
        <v>101.37833333333334</v>
      </c>
      <c r="O129" s="3432">
        <v>99.831666666666649</v>
      </c>
      <c r="P129" s="3432">
        <v>99.630833333333342</v>
      </c>
      <c r="Q129" s="3432">
        <v>98.982500000000016</v>
      </c>
      <c r="R129" s="3432">
        <v>98.850833333333341</v>
      </c>
      <c r="S129" s="3432">
        <v>98.637499999999989</v>
      </c>
      <c r="T129" s="3432">
        <v>100.42916666666666</v>
      </c>
      <c r="U129" s="3432">
        <v>100.66833333333334</v>
      </c>
      <c r="V129" s="3432">
        <v>97.775833333333338</v>
      </c>
      <c r="W129" s="3432">
        <v>97.137499999999989</v>
      </c>
      <c r="X129" s="3432">
        <v>98.225000000000009</v>
      </c>
      <c r="Y129" s="3432">
        <v>99.164166666666659</v>
      </c>
      <c r="Z129" s="3432">
        <v>99.24</v>
      </c>
      <c r="AA129" s="3432">
        <v>100</v>
      </c>
      <c r="AB129" s="3432">
        <v>100.68666666666667</v>
      </c>
      <c r="AC129" s="3432">
        <v>101.41083333333333</v>
      </c>
      <c r="AD129" s="3432">
        <v>102.20236517779105</v>
      </c>
      <c r="AE129" s="3432">
        <v>103.25423650859683</v>
      </c>
    </row>
    <row r="130" spans="1:31">
      <c r="A130" s="3432" t="str">
        <f t="shared" si="4"/>
        <v>\\DG ECFIN\Forecast\Country databases\Desk transfer databases\BE</v>
      </c>
      <c r="B130" s="3432" t="str">
        <f t="shared" si="5"/>
        <v>BE</v>
      </c>
      <c r="C130" s="3432" t="s">
        <v>2147</v>
      </c>
      <c r="D130" s="3432" t="s">
        <v>2274</v>
      </c>
      <c r="E130" s="3432" t="s">
        <v>2363</v>
      </c>
      <c r="F130" s="3432">
        <v>173</v>
      </c>
      <c r="G130" s="3432" t="s">
        <v>354</v>
      </c>
      <c r="H130" s="3432">
        <v>31.152499999999996</v>
      </c>
      <c r="I130" s="3432">
        <v>37.234999999999999</v>
      </c>
      <c r="J130" s="3432">
        <v>42.76</v>
      </c>
      <c r="K130" s="3432">
        <v>46.583333333333336</v>
      </c>
      <c r="L130" s="3432">
        <v>54.626666666666672</v>
      </c>
      <c r="M130" s="3432">
        <v>54.610833333333332</v>
      </c>
      <c r="N130" s="3432">
        <v>55.532499999999999</v>
      </c>
      <c r="O130" s="3432">
        <v>56.129999999999995</v>
      </c>
      <c r="P130" s="3432">
        <v>57.662500000000001</v>
      </c>
      <c r="Q130" s="3432">
        <v>61.830833333333338</v>
      </c>
      <c r="R130" s="3432">
        <v>66.524166666666659</v>
      </c>
      <c r="S130" s="3432">
        <v>71.067499999999995</v>
      </c>
      <c r="T130" s="3432">
        <v>83.804999999999993</v>
      </c>
      <c r="U130" s="3432">
        <v>90.648333333333326</v>
      </c>
      <c r="V130" s="3432">
        <v>100.07666666666665</v>
      </c>
      <c r="W130" s="3432">
        <v>112.12833333333333</v>
      </c>
      <c r="X130" s="3432">
        <v>119.5925</v>
      </c>
      <c r="Y130" s="3432">
        <v>118.10416666666667</v>
      </c>
      <c r="Z130" s="3432">
        <v>113.42666666666666</v>
      </c>
      <c r="AA130" s="3432">
        <v>99.999166666666667</v>
      </c>
      <c r="AB130" s="3432">
        <v>92.814999999999998</v>
      </c>
      <c r="AC130" s="3432">
        <v>97.161666666666676</v>
      </c>
      <c r="AD130" s="3432">
        <v>102.56256044002525</v>
      </c>
      <c r="AE130" s="3432">
        <v>103.7678881637022</v>
      </c>
    </row>
    <row r="131" spans="1:31">
      <c r="A131" s="3432" t="str">
        <f t="shared" si="4"/>
        <v>\\DG ECFIN\Forecast\Country databases\Desk transfer databases\BE</v>
      </c>
      <c r="B131" s="3432" t="str">
        <f t="shared" si="5"/>
        <v>BE</v>
      </c>
      <c r="C131" s="3432" t="s">
        <v>2147</v>
      </c>
      <c r="D131" s="3432" t="s">
        <v>2275</v>
      </c>
      <c r="E131" s="3432" t="s">
        <v>2363</v>
      </c>
      <c r="F131" s="3432">
        <v>174</v>
      </c>
      <c r="G131" s="3432" t="s">
        <v>355</v>
      </c>
      <c r="H131" s="3432">
        <v>52.674166666666672</v>
      </c>
      <c r="I131" s="3432">
        <v>57.693333333333335</v>
      </c>
      <c r="J131" s="3432">
        <v>58.402499999999996</v>
      </c>
      <c r="K131" s="3432">
        <v>58.040833333333332</v>
      </c>
      <c r="L131" s="3432">
        <v>55.8125</v>
      </c>
      <c r="M131" s="3432">
        <v>55.701666666666668</v>
      </c>
      <c r="N131" s="3432">
        <v>56.135000000000005</v>
      </c>
      <c r="O131" s="3432">
        <v>57.87916666666667</v>
      </c>
      <c r="P131" s="3432">
        <v>59.210833333333333</v>
      </c>
      <c r="Q131" s="3432">
        <v>60.044166666666662</v>
      </c>
      <c r="R131" s="3432">
        <v>61.684166666666663</v>
      </c>
      <c r="S131" s="3432">
        <v>68.12833333333333</v>
      </c>
      <c r="T131" s="3432">
        <v>78.965833333333336</v>
      </c>
      <c r="U131" s="3432">
        <v>83.563333333333333</v>
      </c>
      <c r="V131" s="3432">
        <v>87.921666666666667</v>
      </c>
      <c r="W131" s="3432">
        <v>94.091666666666654</v>
      </c>
      <c r="X131" s="3432">
        <v>97.045000000000002</v>
      </c>
      <c r="Y131" s="3432">
        <v>98.36</v>
      </c>
      <c r="Z131" s="3432">
        <v>100.47416666666666</v>
      </c>
      <c r="AA131" s="3432">
        <v>100</v>
      </c>
      <c r="AB131" s="3432">
        <v>102.22916666666669</v>
      </c>
      <c r="AC131" s="3432">
        <v>109.50749999999999</v>
      </c>
      <c r="AD131" s="3432">
        <v>113.45385723326497</v>
      </c>
      <c r="AE131" s="3432">
        <v>116.90379942504249</v>
      </c>
    </row>
    <row r="132" spans="1:31">
      <c r="A132" s="3432" t="str">
        <f t="shared" si="4"/>
        <v>\\DG ECFIN\Forecast\Country databases\Desk transfer databases\BE</v>
      </c>
      <c r="B132" s="3432" t="str">
        <f t="shared" si="5"/>
        <v>BE</v>
      </c>
      <c r="C132" s="3432" t="s">
        <v>2147</v>
      </c>
      <c r="D132" s="3432" t="s">
        <v>2276</v>
      </c>
      <c r="E132" s="3432" t="s">
        <v>2363</v>
      </c>
      <c r="F132" s="3432">
        <v>175</v>
      </c>
      <c r="G132" s="3432" t="s">
        <v>356</v>
      </c>
      <c r="H132" s="3432">
        <v>65.643333333333331</v>
      </c>
      <c r="I132" s="3432">
        <v>68.896666666666661</v>
      </c>
      <c r="J132" s="3432">
        <v>69.525833333333324</v>
      </c>
      <c r="K132" s="3432">
        <v>65.62166666666667</v>
      </c>
      <c r="L132" s="3432">
        <v>63.368333333333332</v>
      </c>
      <c r="M132" s="3432">
        <v>69.052500000000009</v>
      </c>
      <c r="N132" s="3432">
        <v>67.540833333333339</v>
      </c>
      <c r="O132" s="3432">
        <v>59.44166666666667</v>
      </c>
      <c r="P132" s="3432">
        <v>60.920833333333334</v>
      </c>
      <c r="Q132" s="3432">
        <v>64.811666666666667</v>
      </c>
      <c r="R132" s="3432">
        <v>70.037499999999994</v>
      </c>
      <c r="S132" s="3432">
        <v>76.116666666666674</v>
      </c>
      <c r="T132" s="3432">
        <v>87.634166666666658</v>
      </c>
      <c r="U132" s="3432">
        <v>90.356666666666655</v>
      </c>
      <c r="V132" s="3432">
        <v>88.270833333333329</v>
      </c>
      <c r="W132" s="3432">
        <v>92.708333333333329</v>
      </c>
      <c r="X132" s="3432">
        <v>95.808333333333337</v>
      </c>
      <c r="Y132" s="3432">
        <v>98.91</v>
      </c>
      <c r="Z132" s="3432">
        <v>99.243333333333325</v>
      </c>
      <c r="AA132" s="3432">
        <v>100.00083333333333</v>
      </c>
      <c r="AB132" s="3432">
        <v>101.51583333333333</v>
      </c>
      <c r="AC132" s="3432">
        <v>103.17833333333333</v>
      </c>
      <c r="AD132" s="3432">
        <v>103.72429535838776</v>
      </c>
      <c r="AE132" s="3432">
        <v>104.64775631611455</v>
      </c>
    </row>
    <row r="133" spans="1:31">
      <c r="A133" s="3432" t="str">
        <f t="shared" si="4"/>
        <v>\\DG ECFIN\Forecast\Country databases\Desk transfer databases\BE</v>
      </c>
      <c r="B133" s="3432" t="str">
        <f t="shared" si="5"/>
        <v>BE</v>
      </c>
      <c r="C133" s="3432" t="s">
        <v>2147</v>
      </c>
      <c r="D133" s="3432" t="s">
        <v>2277</v>
      </c>
      <c r="E133" s="3432" t="s">
        <v>2363</v>
      </c>
      <c r="F133" s="3432">
        <v>176</v>
      </c>
      <c r="G133" s="3432" t="s">
        <v>357</v>
      </c>
      <c r="H133" s="3432">
        <v>42.58</v>
      </c>
      <c r="I133" s="3432">
        <v>49.239166666666662</v>
      </c>
      <c r="J133" s="3432">
        <v>54.837500000000006</v>
      </c>
      <c r="K133" s="3432">
        <v>58.460833333333333</v>
      </c>
      <c r="L133" s="3432">
        <v>61.570833333333333</v>
      </c>
      <c r="M133" s="3432">
        <v>64.30916666666667</v>
      </c>
      <c r="N133" s="3432">
        <v>66.39</v>
      </c>
      <c r="O133" s="3432">
        <v>66.591666666666669</v>
      </c>
      <c r="P133" s="3432">
        <v>66.379166666666663</v>
      </c>
      <c r="Q133" s="3432">
        <v>68.586666666666673</v>
      </c>
      <c r="R133" s="3432">
        <v>71.902500000000003</v>
      </c>
      <c r="S133" s="3432">
        <v>76.798333333333332</v>
      </c>
      <c r="T133" s="3432">
        <v>86.142499999999998</v>
      </c>
      <c r="U133" s="3432">
        <v>91.1</v>
      </c>
      <c r="V133" s="3432">
        <v>89.738333333333344</v>
      </c>
      <c r="W133" s="3432">
        <v>90.865000000000009</v>
      </c>
      <c r="X133" s="3432">
        <v>93.49166666666666</v>
      </c>
      <c r="Y133" s="3432">
        <v>95.222500000000011</v>
      </c>
      <c r="Z133" s="3432">
        <v>96.748333333333335</v>
      </c>
      <c r="AA133" s="3432">
        <v>100.00166666666665</v>
      </c>
      <c r="AB133" s="3432">
        <v>103.155</v>
      </c>
      <c r="AC133" s="3432">
        <v>108.35250000000001</v>
      </c>
      <c r="AD133" s="3432">
        <v>112.7976710636909</v>
      </c>
      <c r="AE133" s="3432">
        <v>117.73308146752153</v>
      </c>
    </row>
    <row r="134" spans="1:31">
      <c r="A134" s="3432" t="str">
        <f t="shared" si="4"/>
        <v>\\DG ECFIN\Forecast\Country databases\Desk transfer databases\BE</v>
      </c>
      <c r="B134" s="3432" t="str">
        <f t="shared" si="5"/>
        <v>BE</v>
      </c>
      <c r="C134" s="3432" t="s">
        <v>2147</v>
      </c>
      <c r="D134" s="3432" t="s">
        <v>2278</v>
      </c>
      <c r="E134" s="3432" t="s">
        <v>2363</v>
      </c>
      <c r="F134" s="3432">
        <v>177</v>
      </c>
      <c r="G134" s="3432" t="s">
        <v>813</v>
      </c>
      <c r="H134" s="3432">
        <v>62.905833333333334</v>
      </c>
      <c r="I134" s="3432">
        <v>69.408333333333331</v>
      </c>
      <c r="J134" s="3432">
        <v>72.52</v>
      </c>
      <c r="K134" s="3432">
        <v>73.77</v>
      </c>
      <c r="L134" s="3432">
        <v>72.943333333333328</v>
      </c>
      <c r="M134" s="3432">
        <v>72.987499999999997</v>
      </c>
      <c r="N134" s="3432">
        <v>73.418333333333337</v>
      </c>
      <c r="O134" s="3432">
        <v>73.923333333333332</v>
      </c>
      <c r="P134" s="3432">
        <v>74.397500000000008</v>
      </c>
      <c r="Q134" s="3432">
        <v>75.345833333333331</v>
      </c>
      <c r="R134" s="3432">
        <v>77.144999999999996</v>
      </c>
      <c r="S134" s="3432">
        <v>81.166666666666671</v>
      </c>
      <c r="T134" s="3432">
        <v>88.718479654104129</v>
      </c>
      <c r="U134" s="3432">
        <v>91.971289596773047</v>
      </c>
      <c r="V134" s="3432">
        <v>91.940942604269452</v>
      </c>
      <c r="W134" s="3432">
        <v>94.133974819775545</v>
      </c>
      <c r="X134" s="3432">
        <v>96.37345961048149</v>
      </c>
      <c r="Y134" s="3432">
        <v>97.721304516742009</v>
      </c>
      <c r="Z134" s="3432">
        <v>98.79762654833354</v>
      </c>
      <c r="AA134" s="3432">
        <v>100.01690956701754</v>
      </c>
      <c r="AB134" s="3432">
        <v>101.87689292992803</v>
      </c>
      <c r="AC134" s="3432">
        <v>105.78290553732657</v>
      </c>
      <c r="AD134" s="3432">
        <v>108.56307228509658</v>
      </c>
      <c r="AE134" s="3432">
        <v>111.45986830707687</v>
      </c>
    </row>
    <row r="135" spans="1:31">
      <c r="A135" s="3432" t="str">
        <f t="shared" si="4"/>
        <v>\\DG ECFIN\Forecast\Country databases\Desk transfer databases\BE</v>
      </c>
      <c r="B135" s="3432" t="str">
        <f t="shared" si="5"/>
        <v>BE</v>
      </c>
      <c r="C135" s="3432" t="s">
        <v>2147</v>
      </c>
      <c r="D135" s="3432" t="s">
        <v>2364</v>
      </c>
      <c r="E135" s="3432" t="s">
        <v>2365</v>
      </c>
      <c r="F135" s="3432" t="s">
        <v>2366</v>
      </c>
      <c r="G135" s="3432" t="s">
        <v>2367</v>
      </c>
      <c r="H135" s="3647" t="s">
        <v>2180</v>
      </c>
      <c r="I135" s="3647" t="s">
        <v>2180</v>
      </c>
      <c r="J135" s="3647" t="s">
        <v>2180</v>
      </c>
      <c r="K135" s="3647" t="s">
        <v>2180</v>
      </c>
      <c r="L135" s="3647" t="s">
        <v>2180</v>
      </c>
      <c r="M135" s="3647" t="s">
        <v>2180</v>
      </c>
      <c r="N135" s="3647" t="s">
        <v>2180</v>
      </c>
      <c r="O135" s="3647" t="s">
        <v>2180</v>
      </c>
      <c r="P135" s="3647">
        <v>0</v>
      </c>
      <c r="Q135" s="3647">
        <v>0</v>
      </c>
      <c r="R135" s="3647">
        <v>0</v>
      </c>
      <c r="S135" s="3647">
        <v>0</v>
      </c>
      <c r="T135" s="3647">
        <v>0</v>
      </c>
      <c r="U135" s="3647">
        <v>0</v>
      </c>
      <c r="V135" s="3647">
        <v>171.12182699999903</v>
      </c>
      <c r="W135" s="3647">
        <v>1156.0017740000003</v>
      </c>
      <c r="X135" s="3647">
        <v>1291.8763990000007</v>
      </c>
      <c r="Y135" s="3647">
        <v>-89</v>
      </c>
      <c r="Z135" s="3647">
        <v>1285</v>
      </c>
      <c r="AA135" s="3647">
        <v>570.12572</v>
      </c>
      <c r="AB135" s="3647">
        <v>-1045.0058140000001</v>
      </c>
      <c r="AC135" s="3647">
        <v>-930.44283991097609</v>
      </c>
      <c r="AD135" s="3647">
        <v>-1968.0142874424846</v>
      </c>
      <c r="AE135" s="3647">
        <v>-2319.8622227752689</v>
      </c>
    </row>
    <row r="136" spans="1:31">
      <c r="A136" s="3432" t="str">
        <f t="shared" si="4"/>
        <v>\\DG ECFIN\Forecast\Country databases\Desk transfer databases\BE</v>
      </c>
      <c r="B136" s="3432" t="str">
        <f t="shared" si="5"/>
        <v>BE</v>
      </c>
      <c r="C136" s="3432" t="s">
        <v>2147</v>
      </c>
      <c r="D136" s="3432" t="s">
        <v>2368</v>
      </c>
      <c r="E136" s="3432" t="s">
        <v>2365</v>
      </c>
      <c r="F136" s="3432" t="s">
        <v>2369</v>
      </c>
      <c r="G136" s="3432" t="s">
        <v>2370</v>
      </c>
      <c r="H136" s="3647" t="s">
        <v>2180</v>
      </c>
      <c r="I136" s="3647" t="s">
        <v>2180</v>
      </c>
      <c r="J136" s="3647" t="s">
        <v>2180</v>
      </c>
      <c r="K136" s="3647" t="s">
        <v>2180</v>
      </c>
      <c r="L136" s="3647" t="s">
        <v>2180</v>
      </c>
      <c r="M136" s="3647" t="s">
        <v>2180</v>
      </c>
      <c r="N136" s="3647" t="s">
        <v>2180</v>
      </c>
      <c r="O136" s="3647" t="s">
        <v>2180</v>
      </c>
      <c r="P136" s="3647">
        <v>857.47</v>
      </c>
      <c r="Q136" s="3647">
        <v>22.54000000000002</v>
      </c>
      <c r="R136" s="3647">
        <v>-246.9</v>
      </c>
      <c r="S136" s="3647">
        <v>25.019999999999996</v>
      </c>
      <c r="T136" s="3647">
        <v>283.13</v>
      </c>
      <c r="U136" s="3647">
        <v>-119.96000000000004</v>
      </c>
      <c r="V136" s="3647">
        <v>-648.57000000000005</v>
      </c>
      <c r="W136" s="3647">
        <v>1099.45</v>
      </c>
      <c r="X136" s="3647">
        <v>-774.43000000000006</v>
      </c>
      <c r="Y136" s="3647">
        <v>1326.3200000000002</v>
      </c>
      <c r="Z136" s="3647">
        <v>-1321.6200000000001</v>
      </c>
      <c r="AA136" s="3647">
        <v>934.05</v>
      </c>
      <c r="AB136" s="3647">
        <v>777.46</v>
      </c>
      <c r="AC136" s="3647">
        <v>-169.70706217850818</v>
      </c>
      <c r="AD136" s="3647">
        <v>-152.69077457185588</v>
      </c>
      <c r="AE136" s="3647">
        <v>-142.61765103139047</v>
      </c>
    </row>
    <row r="137" spans="1:31">
      <c r="A137" s="3432" t="str">
        <f t="shared" si="4"/>
        <v>\\DG ECFIN\Forecast\Country databases\Desk transfer databases\BE</v>
      </c>
      <c r="B137" s="3432" t="str">
        <f t="shared" si="5"/>
        <v>BE</v>
      </c>
      <c r="C137" s="3432" t="s">
        <v>2147</v>
      </c>
      <c r="D137" s="3432" t="s">
        <v>2371</v>
      </c>
      <c r="E137" s="3432" t="s">
        <v>2365</v>
      </c>
      <c r="F137" s="3432" t="s">
        <v>2372</v>
      </c>
      <c r="G137" s="3432" t="s">
        <v>2373</v>
      </c>
      <c r="H137" s="3647" t="s">
        <v>2180</v>
      </c>
      <c r="I137" s="3647" t="s">
        <v>2180</v>
      </c>
      <c r="J137" s="3647" t="s">
        <v>2180</v>
      </c>
      <c r="K137" s="3647" t="s">
        <v>2180</v>
      </c>
      <c r="L137" s="3647" t="s">
        <v>2180</v>
      </c>
      <c r="M137" s="3647" t="s">
        <v>2180</v>
      </c>
      <c r="N137" s="3647" t="s">
        <v>2180</v>
      </c>
      <c r="O137" s="3647" t="s">
        <v>2180</v>
      </c>
      <c r="P137" s="3647">
        <v>4749.32</v>
      </c>
      <c r="Q137" s="3647">
        <v>3282.1</v>
      </c>
      <c r="R137" s="3647">
        <v>3502.42</v>
      </c>
      <c r="S137" s="3647">
        <v>5178.2299999999996</v>
      </c>
      <c r="T137" s="3647">
        <v>3071.0099999999998</v>
      </c>
      <c r="U137" s="3647">
        <v>-1604.75</v>
      </c>
      <c r="V137" s="3647">
        <v>-1055.3400000000001</v>
      </c>
      <c r="W137" s="3647">
        <v>-69.389999999999986</v>
      </c>
      <c r="X137" s="3647">
        <v>537.06000000000006</v>
      </c>
      <c r="Y137" s="3647">
        <v>-251.46000000000006</v>
      </c>
      <c r="Z137" s="3647">
        <v>-55.230000000000032</v>
      </c>
      <c r="AA137" s="3647">
        <v>738.34</v>
      </c>
      <c r="AB137" s="3647">
        <v>1768.2600000000002</v>
      </c>
      <c r="AC137" s="3647">
        <v>2312.40139</v>
      </c>
      <c r="AD137" s="3647">
        <v>2888.2197867295513</v>
      </c>
      <c r="AE137" s="3647">
        <v>3449.3766177406242</v>
      </c>
    </row>
    <row r="138" spans="1:31">
      <c r="A138" s="3432" t="str">
        <f t="shared" si="4"/>
        <v>\\DG ECFIN\Forecast\Country databases\Desk transfer databases\BE</v>
      </c>
      <c r="B138" s="3432" t="str">
        <f t="shared" si="5"/>
        <v>BE</v>
      </c>
      <c r="C138" s="3432" t="s">
        <v>2147</v>
      </c>
      <c r="D138" s="3432" t="s">
        <v>2374</v>
      </c>
      <c r="E138" s="3432" t="s">
        <v>2365</v>
      </c>
      <c r="F138" s="3432" t="s">
        <v>2375</v>
      </c>
      <c r="G138" s="3432" t="s">
        <v>2376</v>
      </c>
      <c r="H138" s="3647" t="s">
        <v>2180</v>
      </c>
      <c r="I138" s="3647" t="s">
        <v>2180</v>
      </c>
      <c r="J138" s="3647" t="s">
        <v>2180</v>
      </c>
      <c r="K138" s="3647" t="s">
        <v>2180</v>
      </c>
      <c r="L138" s="3647" t="s">
        <v>2180</v>
      </c>
      <c r="M138" s="3647" t="s">
        <v>2180</v>
      </c>
      <c r="N138" s="3647" t="s">
        <v>2180</v>
      </c>
      <c r="O138" s="3647" t="s">
        <v>2180</v>
      </c>
      <c r="P138" s="3647">
        <v>5157.0999999999995</v>
      </c>
      <c r="Q138" s="3647">
        <v>1665.19</v>
      </c>
      <c r="R138" s="3647">
        <v>1562.4</v>
      </c>
      <c r="S138" s="3647">
        <v>1996.15</v>
      </c>
      <c r="T138" s="3647">
        <v>82.11000000000007</v>
      </c>
      <c r="U138" s="3647">
        <v>630.77</v>
      </c>
      <c r="V138" s="3647">
        <v>784.73</v>
      </c>
      <c r="W138" s="3647">
        <v>1562.75</v>
      </c>
      <c r="X138" s="3647">
        <v>3844.29</v>
      </c>
      <c r="Y138" s="3647">
        <v>870</v>
      </c>
      <c r="Z138" s="3647">
        <v>-42.550000000000182</v>
      </c>
      <c r="AA138" s="3647">
        <v>5435.01</v>
      </c>
      <c r="AB138" s="3647">
        <v>1317.63</v>
      </c>
      <c r="AC138" s="3647">
        <v>1212.2514879105156</v>
      </c>
      <c r="AD138" s="3647">
        <v>767.51472471521083</v>
      </c>
      <c r="AE138" s="3647">
        <v>986.8967439339649</v>
      </c>
    </row>
    <row r="139" spans="1:31">
      <c r="A139" s="3432" t="str">
        <f t="shared" si="4"/>
        <v>\\DG ECFIN\Forecast\Country databases\Desk transfer databases\BE</v>
      </c>
      <c r="B139" s="3432" t="str">
        <f t="shared" si="5"/>
        <v>BE</v>
      </c>
      <c r="C139" s="3432" t="s">
        <v>2147</v>
      </c>
      <c r="D139" s="3432" t="s">
        <v>2377</v>
      </c>
      <c r="E139" s="3432" t="s">
        <v>2365</v>
      </c>
      <c r="F139" s="3432" t="s">
        <v>2378</v>
      </c>
      <c r="G139" s="3432" t="s">
        <v>2436</v>
      </c>
      <c r="H139" s="3647" t="s">
        <v>2180</v>
      </c>
      <c r="I139" s="3647" t="s">
        <v>2180</v>
      </c>
      <c r="J139" s="3647" t="s">
        <v>2180</v>
      </c>
      <c r="K139" s="3647" t="s">
        <v>2180</v>
      </c>
      <c r="L139" s="3647" t="s">
        <v>2180</v>
      </c>
      <c r="M139" s="3647" t="s">
        <v>2180</v>
      </c>
      <c r="N139" s="3647" t="s">
        <v>2180</v>
      </c>
      <c r="O139" s="3647" t="s">
        <v>2180</v>
      </c>
      <c r="P139" s="3647">
        <v>-449.69000000000005</v>
      </c>
      <c r="Q139" s="3647">
        <v>-1639.4499999999998</v>
      </c>
      <c r="R139" s="3647">
        <v>-1693.12</v>
      </c>
      <c r="S139" s="3647">
        <v>-3207.1</v>
      </c>
      <c r="T139" s="3647">
        <v>-3272.0299999999997</v>
      </c>
      <c r="U139" s="3647">
        <v>2355.48</v>
      </c>
      <c r="V139" s="3647">
        <v>2317.5181730000008</v>
      </c>
      <c r="W139" s="3647">
        <v>-623.31177400000047</v>
      </c>
      <c r="X139" s="3647">
        <v>2789.7836009999996</v>
      </c>
      <c r="Y139" s="3647">
        <v>-115.86000000000011</v>
      </c>
      <c r="Z139" s="3647">
        <v>49.299999999999898</v>
      </c>
      <c r="AA139" s="3647">
        <v>3192.4942800000003</v>
      </c>
      <c r="AB139" s="3647">
        <v>-183.08418599999993</v>
      </c>
      <c r="AC139" s="3647">
        <v>0</v>
      </c>
      <c r="AD139" s="3647">
        <v>0</v>
      </c>
      <c r="AE139" s="3647">
        <v>0</v>
      </c>
    </row>
    <row r="140" spans="1:31">
      <c r="A140" s="3432" t="str">
        <f t="shared" ref="A140:A152" si="6">CONCATENATE($I$7,$J$7)</f>
        <v>\\DG ECFIN\Forecast\Country databases\Desk transfer databases\BE</v>
      </c>
      <c r="B140" s="3432" t="str">
        <f t="shared" ref="B140:B159" si="7">$J$7</f>
        <v>BE</v>
      </c>
      <c r="C140" s="3432" t="s">
        <v>2147</v>
      </c>
      <c r="D140" s="3432" t="s">
        <v>2379</v>
      </c>
      <c r="E140" s="3432" t="s">
        <v>2365</v>
      </c>
      <c r="F140" s="3432" t="s">
        <v>2380</v>
      </c>
      <c r="G140" s="3432" t="s">
        <v>2381</v>
      </c>
      <c r="H140" s="3647" t="s">
        <v>2180</v>
      </c>
      <c r="I140" s="3647" t="s">
        <v>2180</v>
      </c>
      <c r="J140" s="3647" t="s">
        <v>2180</v>
      </c>
      <c r="K140" s="3647" t="s">
        <v>2180</v>
      </c>
      <c r="L140" s="3647" t="s">
        <v>2180</v>
      </c>
      <c r="M140" s="3647" t="s">
        <v>2180</v>
      </c>
      <c r="N140" s="3647" t="s">
        <v>2180</v>
      </c>
      <c r="O140" s="3647" t="s">
        <v>2180</v>
      </c>
      <c r="P140" s="3647">
        <v>0</v>
      </c>
      <c r="Q140" s="3647">
        <v>0</v>
      </c>
      <c r="R140" s="3647">
        <v>0</v>
      </c>
      <c r="S140" s="3647">
        <v>0</v>
      </c>
      <c r="T140" s="3647">
        <v>0</v>
      </c>
      <c r="U140" s="3647">
        <v>2760.4000000000005</v>
      </c>
      <c r="V140" s="3647">
        <v>2474.4999999999991</v>
      </c>
      <c r="W140" s="3647">
        <v>1107.0000000000009</v>
      </c>
      <c r="X140" s="3647">
        <v>2686.2999999999975</v>
      </c>
      <c r="Y140" s="3647">
        <v>-1321.1999999999989</v>
      </c>
      <c r="Z140" s="3647">
        <v>2126.8000000000011</v>
      </c>
      <c r="AA140" s="3647">
        <v>-177.40000000000146</v>
      </c>
      <c r="AB140" s="3647">
        <v>-528.29999999999927</v>
      </c>
      <c r="AC140" s="3647">
        <v>-169.70706217850818</v>
      </c>
      <c r="AD140" s="3647">
        <v>-152.69077457185588</v>
      </c>
      <c r="AE140" s="3647">
        <v>-142.61765103139047</v>
      </c>
    </row>
    <row r="141" spans="1:31">
      <c r="A141" s="3432" t="str">
        <f t="shared" si="6"/>
        <v>\\DG ECFIN\Forecast\Country databases\Desk transfer databases\BE</v>
      </c>
      <c r="B141" s="3432" t="str">
        <f t="shared" si="7"/>
        <v>BE</v>
      </c>
      <c r="C141" s="3432" t="s">
        <v>2147</v>
      </c>
      <c r="D141" s="3432" t="s">
        <v>2382</v>
      </c>
      <c r="E141" s="3432" t="s">
        <v>2365</v>
      </c>
      <c r="F141" s="3432" t="s">
        <v>2383</v>
      </c>
      <c r="G141" s="3432" t="s">
        <v>2384</v>
      </c>
      <c r="H141" s="3647" t="s">
        <v>2180</v>
      </c>
      <c r="I141" s="3647" t="s">
        <v>2180</v>
      </c>
      <c r="J141" s="3647" t="s">
        <v>2180</v>
      </c>
      <c r="K141" s="3647" t="s">
        <v>2180</v>
      </c>
      <c r="L141" s="3647" t="s">
        <v>2180</v>
      </c>
      <c r="M141" s="3647" t="s">
        <v>2180</v>
      </c>
      <c r="N141" s="3647" t="s">
        <v>2180</v>
      </c>
      <c r="O141" s="3647" t="s">
        <v>2180</v>
      </c>
      <c r="P141" s="3647">
        <v>0</v>
      </c>
      <c r="Q141" s="3647">
        <v>0</v>
      </c>
      <c r="R141" s="3647">
        <v>0</v>
      </c>
      <c r="S141" s="3647">
        <v>0</v>
      </c>
      <c r="T141" s="3647">
        <v>0</v>
      </c>
      <c r="U141" s="3647">
        <v>-3875.7000000000007</v>
      </c>
      <c r="V141" s="3647">
        <v>-2533.9000000000005</v>
      </c>
      <c r="W141" s="3647">
        <v>-353.50000000000091</v>
      </c>
      <c r="X141" s="3647">
        <v>-1323.399999999996</v>
      </c>
      <c r="Y141" s="3647">
        <v>-31.600000000000364</v>
      </c>
      <c r="Z141" s="3647">
        <v>-2075.600000000004</v>
      </c>
      <c r="AA141" s="3647">
        <v>58.500000000003638</v>
      </c>
      <c r="AB141" s="3647">
        <v>850.29999999999927</v>
      </c>
      <c r="AC141" s="3647">
        <v>-1326.4116308528037</v>
      </c>
      <c r="AD141" s="3647">
        <v>-2139.7804801995981</v>
      </c>
      <c r="AE141" s="3647">
        <v>-2423.2270128671589</v>
      </c>
    </row>
    <row r="142" spans="1:31">
      <c r="A142" s="3432" t="str">
        <f t="shared" si="6"/>
        <v>\\DG ECFIN\Forecast\Country databases\Desk transfer databases\BE</v>
      </c>
      <c r="B142" s="3432" t="str">
        <f t="shared" si="7"/>
        <v>BE</v>
      </c>
      <c r="C142" s="3432" t="s">
        <v>2147</v>
      </c>
      <c r="D142" s="3432" t="s">
        <v>2385</v>
      </c>
      <c r="E142" s="3432" t="s">
        <v>2365</v>
      </c>
      <c r="F142" s="3432" t="s">
        <v>2386</v>
      </c>
      <c r="G142" s="3432" t="s">
        <v>2387</v>
      </c>
      <c r="H142" s="3647" t="s">
        <v>2180</v>
      </c>
      <c r="I142" s="3647" t="s">
        <v>2180</v>
      </c>
      <c r="J142" s="3647" t="s">
        <v>2180</v>
      </c>
      <c r="K142" s="3647" t="s">
        <v>2180</v>
      </c>
      <c r="L142" s="3647" t="s">
        <v>2180</v>
      </c>
      <c r="M142" s="3647" t="s">
        <v>2180</v>
      </c>
      <c r="N142" s="3647" t="s">
        <v>2180</v>
      </c>
      <c r="O142" s="3647" t="s">
        <v>2180</v>
      </c>
      <c r="P142" s="3647">
        <v>-603.55000000000064</v>
      </c>
      <c r="Q142" s="3647">
        <v>49.530000000000172</v>
      </c>
      <c r="R142" s="3647">
        <v>312.41000000000076</v>
      </c>
      <c r="S142" s="3647">
        <v>211.73999999999921</v>
      </c>
      <c r="T142" s="3647">
        <v>724.89000000000101</v>
      </c>
      <c r="U142" s="3647">
        <v>-187.8400000000006</v>
      </c>
      <c r="V142" s="3647">
        <v>108.17000000000087</v>
      </c>
      <c r="W142" s="3647">
        <v>589.47999999999661</v>
      </c>
      <c r="X142" s="3647">
        <v>-862.89999999999736</v>
      </c>
      <c r="Y142" s="3647">
        <v>907.30000000000018</v>
      </c>
      <c r="Z142" s="3647">
        <v>-579.42000000000235</v>
      </c>
      <c r="AA142" s="3647">
        <v>-665.02999999999849</v>
      </c>
      <c r="AB142" s="3647">
        <v>-352.14000000000328</v>
      </c>
      <c r="AC142" s="3647">
        <v>0</v>
      </c>
      <c r="AD142" s="3647">
        <v>0</v>
      </c>
      <c r="AE142" s="3647">
        <v>0</v>
      </c>
    </row>
    <row r="143" spans="1:31">
      <c r="A143" s="3432" t="str">
        <f t="shared" si="6"/>
        <v>\\DG ECFIN\Forecast\Country databases\Desk transfer databases\BE</v>
      </c>
      <c r="B143" s="3432" t="str">
        <f t="shared" si="7"/>
        <v>BE</v>
      </c>
      <c r="C143" s="3432" t="s">
        <v>2147</v>
      </c>
      <c r="D143" s="3432" t="s">
        <v>2388</v>
      </c>
      <c r="E143" s="3432" t="s">
        <v>2365</v>
      </c>
      <c r="F143" s="3432" t="s">
        <v>2389</v>
      </c>
      <c r="G143" s="3432" t="s">
        <v>2437</v>
      </c>
      <c r="H143" s="3647" t="s">
        <v>2180</v>
      </c>
      <c r="I143" s="3647" t="s">
        <v>2180</v>
      </c>
      <c r="J143" s="3647" t="s">
        <v>2180</v>
      </c>
      <c r="K143" s="3647" t="s">
        <v>2180</v>
      </c>
      <c r="L143" s="3647" t="s">
        <v>2180</v>
      </c>
      <c r="M143" s="3647" t="s">
        <v>2180</v>
      </c>
      <c r="N143" s="3647" t="s">
        <v>2180</v>
      </c>
      <c r="O143" s="3647" t="s">
        <v>2180</v>
      </c>
      <c r="P143" s="3647">
        <v>0</v>
      </c>
      <c r="Q143" s="3647">
        <v>0</v>
      </c>
      <c r="R143" s="3647">
        <v>0</v>
      </c>
      <c r="S143" s="3647">
        <v>0</v>
      </c>
      <c r="T143" s="3647">
        <v>0</v>
      </c>
      <c r="U143" s="3647">
        <v>0</v>
      </c>
      <c r="V143" s="3647">
        <v>0</v>
      </c>
      <c r="W143" s="3647">
        <v>0</v>
      </c>
      <c r="X143" s="3647">
        <v>0</v>
      </c>
      <c r="Y143" s="3647">
        <v>0</v>
      </c>
      <c r="Z143" s="3647">
        <v>0</v>
      </c>
      <c r="AA143" s="3647">
        <v>0</v>
      </c>
      <c r="AB143" s="3647">
        <v>0</v>
      </c>
      <c r="AC143" s="3647">
        <v>0</v>
      </c>
      <c r="AD143" s="3647">
        <v>0</v>
      </c>
      <c r="AE143" s="3647">
        <v>0</v>
      </c>
    </row>
    <row r="144" spans="1:31">
      <c r="A144" s="3432" t="str">
        <f t="shared" si="6"/>
        <v>\\DG ECFIN\Forecast\Country databases\Desk transfer databases\BE</v>
      </c>
      <c r="B144" s="3432" t="str">
        <f t="shared" si="7"/>
        <v>BE</v>
      </c>
      <c r="C144" s="3432" t="s">
        <v>2147</v>
      </c>
      <c r="D144" s="3432" t="s">
        <v>2390</v>
      </c>
      <c r="E144" s="3432" t="s">
        <v>2365</v>
      </c>
      <c r="F144" s="3432" t="s">
        <v>2391</v>
      </c>
      <c r="G144" s="3432" t="s">
        <v>2438</v>
      </c>
      <c r="H144" s="3647" t="s">
        <v>2180</v>
      </c>
      <c r="I144" s="3647" t="s">
        <v>2180</v>
      </c>
      <c r="J144" s="3647" t="s">
        <v>2180</v>
      </c>
      <c r="K144" s="3647" t="s">
        <v>2180</v>
      </c>
      <c r="L144" s="3647" t="s">
        <v>2180</v>
      </c>
      <c r="M144" s="3647" t="s">
        <v>2180</v>
      </c>
      <c r="N144" s="3647" t="s">
        <v>2180</v>
      </c>
      <c r="O144" s="3647" t="s">
        <v>2180</v>
      </c>
      <c r="P144" s="3647">
        <v>769.74000000000206</v>
      </c>
      <c r="Q144" s="3647">
        <v>-364.30999999999904</v>
      </c>
      <c r="R144" s="3647">
        <v>404.99000000000433</v>
      </c>
      <c r="S144" s="3647">
        <v>514.46999999999196</v>
      </c>
      <c r="T144" s="3647">
        <v>411.10000000000008</v>
      </c>
      <c r="U144" s="3647">
        <v>1737.7699999999968</v>
      </c>
      <c r="V144" s="3647">
        <v>1578.7900000000072</v>
      </c>
      <c r="W144" s="3647">
        <v>-27.060000000003811</v>
      </c>
      <c r="X144" s="3647">
        <v>2070.4299999999962</v>
      </c>
      <c r="Y144" s="3647">
        <v>-438.81999999999789</v>
      </c>
      <c r="Z144" s="3647">
        <v>-1147.5100000000052</v>
      </c>
      <c r="AA144" s="3647">
        <v>3521.68</v>
      </c>
      <c r="AB144" s="3647">
        <v>-1883.0500000000045</v>
      </c>
      <c r="AC144" s="3647">
        <v>0</v>
      </c>
      <c r="AD144" s="3647">
        <v>0</v>
      </c>
      <c r="AE144" s="3647">
        <v>0</v>
      </c>
    </row>
    <row r="145" spans="1:31">
      <c r="A145" s="3432" t="str">
        <f t="shared" si="6"/>
        <v>\\DG ECFIN\Forecast\Country databases\Desk transfer databases\BE</v>
      </c>
      <c r="B145" s="3432" t="str">
        <f t="shared" si="7"/>
        <v>BE</v>
      </c>
      <c r="C145" s="3432" t="s">
        <v>2147</v>
      </c>
      <c r="D145" s="3432" t="s">
        <v>2393</v>
      </c>
      <c r="E145" s="3432" t="s">
        <v>2365</v>
      </c>
      <c r="F145" s="3432" t="s">
        <v>2392</v>
      </c>
      <c r="G145" s="3432" t="s">
        <v>2394</v>
      </c>
      <c r="H145" s="3647" t="s">
        <v>2180</v>
      </c>
      <c r="I145" s="3647" t="s">
        <v>2180</v>
      </c>
      <c r="J145" s="3647" t="s">
        <v>2180</v>
      </c>
      <c r="K145" s="3647" t="s">
        <v>2180</v>
      </c>
      <c r="L145" s="3647" t="s">
        <v>2180</v>
      </c>
      <c r="M145" s="3647" t="s">
        <v>2180</v>
      </c>
      <c r="N145" s="3647" t="s">
        <v>2180</v>
      </c>
      <c r="O145" s="3647" t="s">
        <v>2180</v>
      </c>
      <c r="P145" s="3647">
        <v>0</v>
      </c>
      <c r="Q145" s="3647">
        <v>0</v>
      </c>
      <c r="R145" s="3647">
        <v>0</v>
      </c>
      <c r="S145" s="3647">
        <v>0</v>
      </c>
      <c r="T145" s="3647">
        <v>0</v>
      </c>
      <c r="U145" s="3647">
        <v>0</v>
      </c>
      <c r="V145" s="3647">
        <v>171.12182699999903</v>
      </c>
      <c r="W145" s="3647">
        <v>1327.1236009999993</v>
      </c>
      <c r="X145" s="3647">
        <v>2619</v>
      </c>
      <c r="Y145" s="3647">
        <v>2530</v>
      </c>
      <c r="Z145" s="3647">
        <v>3815</v>
      </c>
      <c r="AA145" s="3647">
        <v>4385.12572</v>
      </c>
      <c r="AB145" s="3647">
        <v>3340.1199059999999</v>
      </c>
      <c r="AC145" s="3647">
        <v>2409.6770660890238</v>
      </c>
      <c r="AD145" s="3647">
        <v>441.66277864653921</v>
      </c>
      <c r="AE145" s="3647">
        <v>-1878.1994441287297</v>
      </c>
    </row>
    <row r="146" spans="1:31">
      <c r="A146" s="3432" t="str">
        <f t="shared" si="6"/>
        <v>\\DG ECFIN\Forecast\Country databases\Desk transfer databases\BE</v>
      </c>
      <c r="B146" s="3432" t="str">
        <f t="shared" si="7"/>
        <v>BE</v>
      </c>
      <c r="C146" s="3432" t="s">
        <v>2147</v>
      </c>
      <c r="D146" s="3432" t="s">
        <v>2395</v>
      </c>
      <c r="E146" s="3432" t="s">
        <v>2365</v>
      </c>
      <c r="F146" s="3432" t="s">
        <v>2396</v>
      </c>
      <c r="G146" s="3432" t="s">
        <v>2397</v>
      </c>
      <c r="H146" s="3647" t="s">
        <v>2180</v>
      </c>
      <c r="I146" s="3647" t="s">
        <v>2180</v>
      </c>
      <c r="J146" s="3647" t="s">
        <v>2180</v>
      </c>
      <c r="K146" s="3647" t="s">
        <v>2180</v>
      </c>
      <c r="L146" s="3647" t="s">
        <v>2180</v>
      </c>
      <c r="M146" s="3647" t="s">
        <v>2180</v>
      </c>
      <c r="N146" s="3647" t="s">
        <v>2180</v>
      </c>
      <c r="O146" s="3647" t="s">
        <v>2180</v>
      </c>
      <c r="P146" s="3647">
        <v>922</v>
      </c>
      <c r="Q146" s="3647">
        <v>1052</v>
      </c>
      <c r="R146" s="3647">
        <v>942</v>
      </c>
      <c r="S146" s="3647">
        <v>1058</v>
      </c>
      <c r="T146" s="3647">
        <v>1119</v>
      </c>
      <c r="U146" s="3647">
        <v>1259</v>
      </c>
      <c r="V146" s="3647">
        <v>960</v>
      </c>
      <c r="W146" s="3647">
        <v>1462</v>
      </c>
      <c r="X146" s="3647">
        <v>893</v>
      </c>
      <c r="Y146" s="3647">
        <v>2051</v>
      </c>
      <c r="Z146" s="3647">
        <v>1342</v>
      </c>
      <c r="AA146" s="3647">
        <v>1831</v>
      </c>
      <c r="AB146" s="3647">
        <v>2830</v>
      </c>
      <c r="AC146" s="3647">
        <v>2660.2929378214917</v>
      </c>
      <c r="AD146" s="3647">
        <v>2507.6021632496359</v>
      </c>
      <c r="AE146" s="3647">
        <v>2364.9845122182455</v>
      </c>
    </row>
    <row r="147" spans="1:31">
      <c r="A147" s="3432" t="str">
        <f t="shared" si="6"/>
        <v>\\DG ECFIN\Forecast\Country databases\Desk transfer databases\BE</v>
      </c>
      <c r="B147" s="3432" t="str">
        <f t="shared" si="7"/>
        <v>BE</v>
      </c>
      <c r="C147" s="3432" t="s">
        <v>2147</v>
      </c>
      <c r="D147" s="3432" t="s">
        <v>2398</v>
      </c>
      <c r="E147" s="3432" t="s">
        <v>2365</v>
      </c>
      <c r="F147" s="3432" t="s">
        <v>2399</v>
      </c>
      <c r="G147" s="3432" t="s">
        <v>2400</v>
      </c>
      <c r="H147" s="3647" t="s">
        <v>2180</v>
      </c>
      <c r="I147" s="3647" t="s">
        <v>2180</v>
      </c>
      <c r="J147" s="3647" t="s">
        <v>2180</v>
      </c>
      <c r="K147" s="3647" t="s">
        <v>2180</v>
      </c>
      <c r="L147" s="3647" t="s">
        <v>2180</v>
      </c>
      <c r="M147" s="3647" t="s">
        <v>2180</v>
      </c>
      <c r="N147" s="3647" t="s">
        <v>2180</v>
      </c>
      <c r="O147" s="3647" t="s">
        <v>2180</v>
      </c>
      <c r="P147" s="3647">
        <v>5215</v>
      </c>
      <c r="Q147" s="3647">
        <v>8537</v>
      </c>
      <c r="R147" s="3647">
        <v>11998</v>
      </c>
      <c r="S147" s="3647">
        <v>17139</v>
      </c>
      <c r="T147" s="3647">
        <v>20244</v>
      </c>
      <c r="U147" s="3647">
        <v>18577</v>
      </c>
      <c r="V147" s="3647">
        <v>17508</v>
      </c>
      <c r="W147" s="3647">
        <v>16477</v>
      </c>
      <c r="X147" s="3647">
        <v>16792</v>
      </c>
      <c r="Y147" s="3647">
        <v>15993</v>
      </c>
      <c r="Z147" s="3647">
        <v>15802</v>
      </c>
      <c r="AA147" s="3647">
        <v>16404</v>
      </c>
      <c r="AB147" s="3647">
        <v>17982</v>
      </c>
      <c r="AC147" s="3647">
        <v>20294.401389999999</v>
      </c>
      <c r="AD147" s="3647">
        <v>23182.62117672955</v>
      </c>
      <c r="AE147" s="3647">
        <v>26631.997794470175</v>
      </c>
    </row>
    <row r="148" spans="1:31">
      <c r="A148" s="3432" t="str">
        <f t="shared" si="6"/>
        <v>\\DG ECFIN\Forecast\Country databases\Desk transfer databases\BE</v>
      </c>
      <c r="B148" s="3432" t="str">
        <f t="shared" si="7"/>
        <v>BE</v>
      </c>
      <c r="C148" s="3432" t="s">
        <v>2147</v>
      </c>
      <c r="D148" s="3432" t="s">
        <v>2401</v>
      </c>
      <c r="E148" s="3432" t="s">
        <v>2365</v>
      </c>
      <c r="F148" s="3432" t="s">
        <v>2402</v>
      </c>
      <c r="G148" s="3432" t="s">
        <v>2403</v>
      </c>
      <c r="H148" s="3647" t="s">
        <v>2180</v>
      </c>
      <c r="I148" s="3647" t="s">
        <v>2180</v>
      </c>
      <c r="J148" s="3647" t="s">
        <v>2180</v>
      </c>
      <c r="K148" s="3647" t="s">
        <v>2180</v>
      </c>
      <c r="L148" s="3647" t="s">
        <v>2180</v>
      </c>
      <c r="M148" s="3647" t="s">
        <v>2180</v>
      </c>
      <c r="N148" s="3647" t="s">
        <v>2180</v>
      </c>
      <c r="O148" s="3647" t="s">
        <v>2180</v>
      </c>
      <c r="P148" s="3647">
        <v>0</v>
      </c>
      <c r="Q148" s="3647">
        <v>0</v>
      </c>
      <c r="R148" s="3647">
        <v>0</v>
      </c>
      <c r="S148" s="3647">
        <v>0</v>
      </c>
      <c r="T148" s="3647">
        <v>0</v>
      </c>
      <c r="U148" s="3647">
        <v>0</v>
      </c>
      <c r="V148" s="3647">
        <v>0</v>
      </c>
      <c r="W148" s="3647">
        <v>0</v>
      </c>
      <c r="X148" s="3647">
        <v>2928</v>
      </c>
      <c r="Y148" s="3647">
        <v>3111</v>
      </c>
      <c r="Z148" s="3647">
        <v>1271</v>
      </c>
      <c r="AA148" s="3647">
        <v>5692</v>
      </c>
      <c r="AB148" s="3647">
        <v>5788</v>
      </c>
      <c r="AC148" s="3647">
        <v>6093.1984172260136</v>
      </c>
      <c r="AD148" s="3647">
        <v>6286.4291795858071</v>
      </c>
      <c r="AE148" s="3647">
        <v>6534.8919179020222</v>
      </c>
    </row>
    <row r="149" spans="1:31">
      <c r="A149" s="3432" t="str">
        <f t="shared" si="6"/>
        <v>\\DG ECFIN\Forecast\Country databases\Desk transfer databases\BE</v>
      </c>
      <c r="B149" s="3432" t="str">
        <f t="shared" si="7"/>
        <v>BE</v>
      </c>
      <c r="C149" s="3432" t="s">
        <v>2147</v>
      </c>
      <c r="D149" s="3432" t="s">
        <v>2404</v>
      </c>
      <c r="E149" s="3432" t="s">
        <v>2365</v>
      </c>
      <c r="F149" s="3432" t="s">
        <v>2405</v>
      </c>
      <c r="G149" s="3432" t="s">
        <v>2406</v>
      </c>
      <c r="H149" s="3647" t="s">
        <v>2180</v>
      </c>
      <c r="I149" s="3647" t="s">
        <v>2180</v>
      </c>
      <c r="J149" s="3647" t="s">
        <v>2180</v>
      </c>
      <c r="K149" s="3647" t="s">
        <v>2180</v>
      </c>
      <c r="L149" s="3647" t="s">
        <v>2180</v>
      </c>
      <c r="M149" s="3647" t="s">
        <v>2180</v>
      </c>
      <c r="N149" s="3647" t="s">
        <v>2180</v>
      </c>
      <c r="O149" s="3647" t="s">
        <v>2180</v>
      </c>
      <c r="P149" s="3647">
        <v>4710</v>
      </c>
      <c r="Q149" s="3647">
        <v>6483</v>
      </c>
      <c r="R149" s="3647">
        <v>7966</v>
      </c>
      <c r="S149" s="3647">
        <v>9904</v>
      </c>
      <c r="T149" s="3647">
        <v>9993</v>
      </c>
      <c r="U149" s="3647">
        <v>10610</v>
      </c>
      <c r="V149" s="3647">
        <v>11421</v>
      </c>
      <c r="W149" s="3647">
        <v>11716</v>
      </c>
      <c r="X149" s="3647">
        <v>12564</v>
      </c>
      <c r="Y149" s="3647">
        <v>13191</v>
      </c>
      <c r="Z149" s="3647">
        <v>15056</v>
      </c>
      <c r="AA149" s="3647">
        <v>16035</v>
      </c>
      <c r="AB149" s="3647">
        <v>17202</v>
      </c>
      <c r="AC149" s="3647">
        <v>18109.053070684502</v>
      </c>
      <c r="AD149" s="3647">
        <v>18683.337033039919</v>
      </c>
      <c r="AE149" s="3647">
        <v>19421.771038657669</v>
      </c>
    </row>
    <row r="150" spans="1:31">
      <c r="A150" s="3432" t="str">
        <f t="shared" si="6"/>
        <v>\\DG ECFIN\Forecast\Country databases\Desk transfer databases\BE</v>
      </c>
      <c r="B150" s="3432" t="str">
        <f t="shared" si="7"/>
        <v>BE</v>
      </c>
      <c r="C150" s="3432" t="s">
        <v>2147</v>
      </c>
      <c r="D150" s="3432" t="s">
        <v>2407</v>
      </c>
      <c r="E150" s="3432" t="s">
        <v>2365</v>
      </c>
      <c r="F150" s="3432" t="s">
        <v>2408</v>
      </c>
      <c r="G150" s="3432" t="s">
        <v>2409</v>
      </c>
      <c r="H150" s="3647" t="s">
        <v>2180</v>
      </c>
      <c r="I150" s="3647" t="s">
        <v>2180</v>
      </c>
      <c r="J150" s="3647" t="s">
        <v>2180</v>
      </c>
      <c r="K150" s="3647" t="s">
        <v>2180</v>
      </c>
      <c r="L150" s="3647" t="s">
        <v>2180</v>
      </c>
      <c r="M150" s="3647" t="s">
        <v>2180</v>
      </c>
      <c r="N150" s="3647" t="s">
        <v>2180</v>
      </c>
      <c r="O150" s="3647" t="s">
        <v>2180</v>
      </c>
      <c r="P150" s="3647">
        <v>4710</v>
      </c>
      <c r="Q150" s="3647">
        <v>6483</v>
      </c>
      <c r="R150" s="3647">
        <v>7966</v>
      </c>
      <c r="S150" s="3647">
        <v>9904</v>
      </c>
      <c r="T150" s="3647">
        <v>9993</v>
      </c>
      <c r="U150" s="3647">
        <v>10610</v>
      </c>
      <c r="V150" s="3647">
        <v>11421</v>
      </c>
      <c r="W150" s="3647">
        <v>11716</v>
      </c>
      <c r="X150" s="3647">
        <v>15492</v>
      </c>
      <c r="Y150" s="3647">
        <v>16302</v>
      </c>
      <c r="Z150" s="3647">
        <v>16327</v>
      </c>
      <c r="AA150" s="3647">
        <v>21727</v>
      </c>
      <c r="AB150" s="3647">
        <v>22990</v>
      </c>
      <c r="AC150" s="3647">
        <v>24202.251487910515</v>
      </c>
      <c r="AD150" s="3647">
        <v>24969.766212625727</v>
      </c>
      <c r="AE150" s="3647">
        <v>25956.662956559692</v>
      </c>
    </row>
    <row r="151" spans="1:31">
      <c r="A151" s="3432" t="str">
        <f t="shared" si="6"/>
        <v>\\DG ECFIN\Forecast\Country databases\Desk transfer databases\BE</v>
      </c>
      <c r="B151" s="3432" t="str">
        <f t="shared" si="7"/>
        <v>BE</v>
      </c>
      <c r="C151" s="3432" t="s">
        <v>2147</v>
      </c>
      <c r="D151" s="3432" t="s">
        <v>2410</v>
      </c>
      <c r="E151" s="3432" t="s">
        <v>2365</v>
      </c>
      <c r="F151" s="3432" t="s">
        <v>2411</v>
      </c>
      <c r="G151" s="3432" t="s">
        <v>2412</v>
      </c>
      <c r="H151" s="3647" t="s">
        <v>2180</v>
      </c>
      <c r="I151" s="3647" t="s">
        <v>2180</v>
      </c>
      <c r="J151" s="3647" t="s">
        <v>2180</v>
      </c>
      <c r="K151" s="3647" t="s">
        <v>2180</v>
      </c>
      <c r="L151" s="3647" t="s">
        <v>2180</v>
      </c>
      <c r="M151" s="3647" t="s">
        <v>2180</v>
      </c>
      <c r="N151" s="3647" t="s">
        <v>2180</v>
      </c>
      <c r="O151" s="3647" t="s">
        <v>2180</v>
      </c>
      <c r="P151" s="3647">
        <v>-1427</v>
      </c>
      <c r="Q151" s="3647">
        <v>-3106</v>
      </c>
      <c r="R151" s="3647">
        <v>-4974</v>
      </c>
      <c r="S151" s="3647">
        <v>-8293</v>
      </c>
      <c r="T151" s="3647">
        <v>-11370</v>
      </c>
      <c r="U151" s="3647">
        <v>-9226</v>
      </c>
      <c r="V151" s="3647">
        <v>-7218.121826999999</v>
      </c>
      <c r="W151" s="3647">
        <v>-7550.1236009999993</v>
      </c>
      <c r="X151" s="3647">
        <v>-4812</v>
      </c>
      <c r="Y151" s="3647">
        <v>-4272</v>
      </c>
      <c r="Z151" s="3647">
        <v>-4632</v>
      </c>
      <c r="AA151" s="3647">
        <v>-893.12572</v>
      </c>
      <c r="AB151" s="3647">
        <v>-1162.1199059999999</v>
      </c>
      <c r="AC151" s="3647">
        <v>-1162.1199059999999</v>
      </c>
      <c r="AD151" s="3647">
        <v>-1162.1199059999999</v>
      </c>
      <c r="AE151" s="3647">
        <v>-1162.1199059999999</v>
      </c>
    </row>
    <row r="152" spans="1:31">
      <c r="A152" s="3432" t="str">
        <f t="shared" si="6"/>
        <v>\\DG ECFIN\Forecast\Country databases\Desk transfer databases\BE</v>
      </c>
      <c r="B152" s="3432" t="str">
        <f t="shared" si="7"/>
        <v>BE</v>
      </c>
      <c r="C152" s="3432" t="s">
        <v>2147</v>
      </c>
      <c r="D152" s="3432" t="s">
        <v>2413</v>
      </c>
      <c r="E152" s="3432" t="s">
        <v>2365</v>
      </c>
      <c r="F152" s="3432"/>
      <c r="G152" s="3432" t="s">
        <v>2439</v>
      </c>
      <c r="H152" s="3647" t="s">
        <v>2180</v>
      </c>
      <c r="I152" s="3647" t="s">
        <v>2180</v>
      </c>
      <c r="J152" s="3647" t="s">
        <v>2180</v>
      </c>
      <c r="K152" s="3647" t="s">
        <v>2180</v>
      </c>
      <c r="L152" s="3647" t="s">
        <v>2180</v>
      </c>
      <c r="M152" s="3647" t="s">
        <v>2180</v>
      </c>
      <c r="N152" s="3647" t="s">
        <v>2180</v>
      </c>
      <c r="O152" s="3647" t="s">
        <v>2180</v>
      </c>
      <c r="P152" s="3647" t="s">
        <v>2180</v>
      </c>
      <c r="Q152" s="3647" t="s">
        <v>2180</v>
      </c>
      <c r="R152" s="3647" t="s">
        <v>2180</v>
      </c>
      <c r="S152" s="3647" t="s">
        <v>2180</v>
      </c>
      <c r="T152" s="3647" t="s">
        <v>2180</v>
      </c>
      <c r="U152" s="3647" t="s">
        <v>2180</v>
      </c>
      <c r="V152" s="3647" t="s">
        <v>2180</v>
      </c>
      <c r="W152" s="3647" t="s">
        <v>2180</v>
      </c>
      <c r="X152" s="3647" t="s">
        <v>2180</v>
      </c>
      <c r="Y152" s="3647" t="s">
        <v>2180</v>
      </c>
      <c r="Z152" s="3647" t="s">
        <v>2180</v>
      </c>
      <c r="AA152" s="3647" t="s">
        <v>2180</v>
      </c>
      <c r="AB152" s="3647" t="s">
        <v>2180</v>
      </c>
      <c r="AC152" s="3647" t="s">
        <v>2180</v>
      </c>
      <c r="AD152" s="3647" t="s">
        <v>2180</v>
      </c>
      <c r="AE152" s="3647" t="s">
        <v>2180</v>
      </c>
    </row>
    <row r="153" spans="1:31">
      <c r="A153" s="3433" t="str">
        <f>CONCATENATE($I$7,$J$7)</f>
        <v>\\DG ECFIN\Forecast\Country databases\Desk transfer databases\BE</v>
      </c>
      <c r="B153" s="3432" t="str">
        <f t="shared" si="7"/>
        <v>BE</v>
      </c>
      <c r="C153" s="3432" t="s">
        <v>2147</v>
      </c>
      <c r="D153" s="3432" t="s">
        <v>2496</v>
      </c>
      <c r="E153" s="3432" t="s">
        <v>2149</v>
      </c>
      <c r="F153" s="3433"/>
      <c r="G153" s="3433" t="s">
        <v>2497</v>
      </c>
      <c r="H153" s="3432" t="s">
        <v>2180</v>
      </c>
      <c r="I153" s="3432" t="s">
        <v>2180</v>
      </c>
      <c r="J153" s="3432" t="s">
        <v>2180</v>
      </c>
      <c r="K153" s="3432" t="s">
        <v>2180</v>
      </c>
      <c r="L153" s="3432" t="s">
        <v>2180</v>
      </c>
      <c r="M153" s="3432" t="s">
        <v>2180</v>
      </c>
      <c r="N153" s="3432" t="s">
        <v>2180</v>
      </c>
      <c r="O153" s="3432" t="s">
        <v>2180</v>
      </c>
      <c r="P153" s="3432">
        <v>-1.387</v>
      </c>
      <c r="Q153" s="3432">
        <v>-1.5269000000000001</v>
      </c>
      <c r="R153" s="3432">
        <v>-2.6238000000000001</v>
      </c>
      <c r="S153" s="3432">
        <v>-4.4960000000000004</v>
      </c>
      <c r="T153" s="3432">
        <v>-4.4486000000000008</v>
      </c>
      <c r="U153" s="3432">
        <v>0.38530000000000003</v>
      </c>
      <c r="V153" s="3432">
        <v>-0.35749999999999998</v>
      </c>
      <c r="W153" s="3432">
        <v>-1.4234</v>
      </c>
      <c r="X153" s="3432">
        <v>-0.47020000000000001</v>
      </c>
      <c r="Y153" s="3432">
        <v>0.29210000000000003</v>
      </c>
      <c r="Z153" s="3432">
        <v>1.1577</v>
      </c>
      <c r="AA153" s="3432">
        <v>-1.0497999999999998</v>
      </c>
      <c r="AB153" s="3432">
        <v>-0.43330000000000002</v>
      </c>
      <c r="AC153" s="3432">
        <v>0.14305840799999514</v>
      </c>
      <c r="AD153" s="3432">
        <v>-0.19902025200000661</v>
      </c>
      <c r="AE153" s="3432">
        <v>-0.2625227012653919</v>
      </c>
    </row>
    <row r="154" spans="1:31">
      <c r="A154" s="3432" t="str">
        <f t="shared" ref="A154:A159" si="8">CONCATENATE($I$7,$J$7)</f>
        <v>\\DG ECFIN\Forecast\Country databases\Desk transfer databases\BE</v>
      </c>
      <c r="B154" s="3432" t="str">
        <f t="shared" si="7"/>
        <v>BE</v>
      </c>
      <c r="C154" s="3432" t="s">
        <v>2147</v>
      </c>
      <c r="D154" s="3432" t="s">
        <v>2502</v>
      </c>
      <c r="E154" s="3432" t="s">
        <v>2365</v>
      </c>
      <c r="F154" s="3432"/>
      <c r="G154" s="3432" t="s">
        <v>2503</v>
      </c>
      <c r="H154" s="3647" t="s">
        <v>2180</v>
      </c>
      <c r="I154" s="3647" t="s">
        <v>2180</v>
      </c>
      <c r="J154" s="3647" t="s">
        <v>2180</v>
      </c>
      <c r="K154" s="3647" t="s">
        <v>2180</v>
      </c>
      <c r="L154" s="3647" t="s">
        <v>2180</v>
      </c>
      <c r="M154" s="3647" t="s">
        <v>2180</v>
      </c>
      <c r="N154" s="3647" t="s">
        <v>2180</v>
      </c>
      <c r="O154" s="3647" t="s">
        <v>2180</v>
      </c>
      <c r="P154" s="3647">
        <v>1449</v>
      </c>
      <c r="Q154" s="3647">
        <v>2710</v>
      </c>
      <c r="R154" s="3647">
        <v>4586</v>
      </c>
      <c r="S154" s="3647">
        <v>7251</v>
      </c>
      <c r="T154" s="3647">
        <v>8740</v>
      </c>
      <c r="U154" s="3647">
        <v>8361</v>
      </c>
      <c r="V154" s="3647">
        <v>7916</v>
      </c>
      <c r="W154" s="3647">
        <v>7561</v>
      </c>
      <c r="X154" s="3647">
        <v>7416</v>
      </c>
      <c r="Y154" s="3647">
        <v>7386</v>
      </c>
      <c r="Z154" s="3647">
        <v>7381</v>
      </c>
      <c r="AA154" s="3647">
        <v>7751</v>
      </c>
      <c r="AB154" s="3647">
        <v>8326</v>
      </c>
      <c r="AC154" s="3647">
        <v>9174.4351499999993</v>
      </c>
      <c r="AD154" s="3647">
        <v>10244.338914126751</v>
      </c>
      <c r="AE154" s="3647">
        <v>11548.058024508115</v>
      </c>
    </row>
    <row r="155" spans="1:31">
      <c r="A155" s="3432" t="str">
        <f t="shared" si="8"/>
        <v>\\DG ECFIN\Forecast\Country databases\Desk transfer databases\BE</v>
      </c>
      <c r="B155" s="3432" t="str">
        <f t="shared" si="7"/>
        <v>BE</v>
      </c>
      <c r="C155" s="3432" t="s">
        <v>2147</v>
      </c>
      <c r="D155" s="3432" t="s">
        <v>2504</v>
      </c>
      <c r="E155" s="3432" t="s">
        <v>2365</v>
      </c>
      <c r="F155" s="3432"/>
      <c r="G155" s="3432" t="s">
        <v>2505</v>
      </c>
      <c r="H155" s="3647" t="s">
        <v>2180</v>
      </c>
      <c r="I155" s="3647" t="s">
        <v>2180</v>
      </c>
      <c r="J155" s="3647" t="s">
        <v>2180</v>
      </c>
      <c r="K155" s="3647" t="s">
        <v>2180</v>
      </c>
      <c r="L155" s="3647" t="s">
        <v>2180</v>
      </c>
      <c r="M155" s="3647" t="s">
        <v>2180</v>
      </c>
      <c r="N155" s="3647" t="s">
        <v>2180</v>
      </c>
      <c r="O155" s="3647" t="s">
        <v>2180</v>
      </c>
      <c r="P155" s="3647">
        <v>3237</v>
      </c>
      <c r="Q155" s="3647">
        <v>4628</v>
      </c>
      <c r="R155" s="3647">
        <v>6537</v>
      </c>
      <c r="S155" s="3647">
        <v>8937</v>
      </c>
      <c r="T155" s="3647">
        <v>10349</v>
      </c>
      <c r="U155" s="3647">
        <v>9375</v>
      </c>
      <c r="V155" s="3647">
        <v>8427</v>
      </c>
      <c r="W155" s="3647">
        <v>7814</v>
      </c>
      <c r="X155" s="3647">
        <v>7840</v>
      </c>
      <c r="Y155" s="3647">
        <v>7527</v>
      </c>
      <c r="Z155" s="3647">
        <v>7389</v>
      </c>
      <c r="AA155" s="3647">
        <v>7624</v>
      </c>
      <c r="AB155" s="3647">
        <v>8148</v>
      </c>
      <c r="AC155" s="3647">
        <v>9199.3362400000005</v>
      </c>
      <c r="AD155" s="3647">
        <v>10605.022262602801</v>
      </c>
      <c r="AE155" s="3647">
        <v>12338.049769962061</v>
      </c>
    </row>
    <row r="156" spans="1:31">
      <c r="A156" s="3432" t="str">
        <f t="shared" si="8"/>
        <v>\\DG ECFIN\Forecast\Country databases\Desk transfer databases\BE</v>
      </c>
      <c r="B156" s="3432" t="str">
        <f t="shared" si="7"/>
        <v>BE</v>
      </c>
      <c r="C156" s="3432" t="s">
        <v>2147</v>
      </c>
      <c r="D156" s="3432" t="s">
        <v>2506</v>
      </c>
      <c r="E156" s="3432" t="s">
        <v>2365</v>
      </c>
      <c r="F156" s="3432"/>
      <c r="G156" s="3432" t="s">
        <v>2507</v>
      </c>
      <c r="H156" s="3647" t="s">
        <v>2180</v>
      </c>
      <c r="I156" s="3647" t="s">
        <v>2180</v>
      </c>
      <c r="J156" s="3647" t="s">
        <v>2180</v>
      </c>
      <c r="K156" s="3647" t="s">
        <v>2180</v>
      </c>
      <c r="L156" s="3647" t="s">
        <v>2180</v>
      </c>
      <c r="M156" s="3647" t="s">
        <v>2180</v>
      </c>
      <c r="N156" s="3647" t="s">
        <v>2180</v>
      </c>
      <c r="O156" s="3647" t="s">
        <v>2180</v>
      </c>
      <c r="P156" s="3647">
        <v>529</v>
      </c>
      <c r="Q156" s="3647">
        <v>1199</v>
      </c>
      <c r="R156" s="3647">
        <v>875</v>
      </c>
      <c r="S156" s="3647">
        <v>951</v>
      </c>
      <c r="T156" s="3647">
        <v>1155</v>
      </c>
      <c r="U156" s="3647">
        <v>841</v>
      </c>
      <c r="V156" s="3647">
        <v>1165</v>
      </c>
      <c r="W156" s="3647">
        <v>1102</v>
      </c>
      <c r="X156" s="3647">
        <v>1536</v>
      </c>
      <c r="Y156" s="3647">
        <v>1080</v>
      </c>
      <c r="Z156" s="3647">
        <v>1032</v>
      </c>
      <c r="AA156" s="3647">
        <v>1029</v>
      </c>
      <c r="AB156" s="3647">
        <v>1508</v>
      </c>
      <c r="AC156" s="3647">
        <v>1920.63</v>
      </c>
      <c r="AD156" s="3647">
        <v>2333.2600000000002</v>
      </c>
      <c r="AE156" s="3647">
        <v>2745.8900000000003</v>
      </c>
    </row>
    <row r="157" spans="1:31">
      <c r="A157" s="3432" t="str">
        <f t="shared" si="8"/>
        <v>\\DG ECFIN\Forecast\Country databases\Desk transfer databases\BE</v>
      </c>
      <c r="B157" s="3432" t="str">
        <f t="shared" si="7"/>
        <v>BE</v>
      </c>
      <c r="C157" s="3432" t="s">
        <v>2147</v>
      </c>
      <c r="D157" s="3432" t="s">
        <v>2508</v>
      </c>
      <c r="E157" s="3432" t="s">
        <v>2365</v>
      </c>
      <c r="F157" s="3432"/>
      <c r="G157" s="3432" t="s">
        <v>2509</v>
      </c>
      <c r="H157" s="3647" t="s">
        <v>2180</v>
      </c>
      <c r="I157" s="3647" t="s">
        <v>2180</v>
      </c>
      <c r="J157" s="3647" t="s">
        <v>2180</v>
      </c>
      <c r="K157" s="3647" t="s">
        <v>2180</v>
      </c>
      <c r="L157" s="3647" t="s">
        <v>2180</v>
      </c>
      <c r="M157" s="3647" t="s">
        <v>2180</v>
      </c>
      <c r="N157" s="3647" t="s">
        <v>2180</v>
      </c>
      <c r="O157" s="3647" t="s">
        <v>2180</v>
      </c>
      <c r="P157" s="3647">
        <v>1446.5900000000001</v>
      </c>
      <c r="Q157" s="3647">
        <v>1267.3200000000002</v>
      </c>
      <c r="R157" s="3647">
        <v>1878.63</v>
      </c>
      <c r="S157" s="3647">
        <v>2675.99</v>
      </c>
      <c r="T157" s="3647">
        <v>1466.2199999999998</v>
      </c>
      <c r="U157" s="3647">
        <v>-360.98</v>
      </c>
      <c r="V157" s="3647">
        <v>-438.5</v>
      </c>
      <c r="W157" s="3647">
        <v>-98.220000000000013</v>
      </c>
      <c r="X157" s="3647">
        <v>-107.19999999999999</v>
      </c>
      <c r="Y157" s="3647">
        <v>33.720000000000006</v>
      </c>
      <c r="Z157" s="3647">
        <v>113.71</v>
      </c>
      <c r="AA157" s="3647">
        <v>396.01</v>
      </c>
      <c r="AB157" s="3647">
        <v>639.15</v>
      </c>
      <c r="AC157" s="3647">
        <v>848.43515000000002</v>
      </c>
      <c r="AD157" s="3647">
        <v>1069.9037641267505</v>
      </c>
      <c r="AE157" s="3647">
        <v>1303.7191103813641</v>
      </c>
    </row>
    <row r="158" spans="1:31">
      <c r="A158" s="3432" t="str">
        <f t="shared" si="8"/>
        <v>\\DG ECFIN\Forecast\Country databases\Desk transfer databases\BE</v>
      </c>
      <c r="B158" s="3432" t="str">
        <f t="shared" si="7"/>
        <v>BE</v>
      </c>
      <c r="C158" s="3432" t="s">
        <v>2147</v>
      </c>
      <c r="D158" s="3432" t="s">
        <v>2510</v>
      </c>
      <c r="E158" s="3432" t="s">
        <v>2365</v>
      </c>
      <c r="F158" s="3432"/>
      <c r="G158" s="3432" t="s">
        <v>2511</v>
      </c>
      <c r="H158" s="3647" t="s">
        <v>2180</v>
      </c>
      <c r="I158" s="3647" t="s">
        <v>2180</v>
      </c>
      <c r="J158" s="3647" t="s">
        <v>2180</v>
      </c>
      <c r="K158" s="3647" t="s">
        <v>2180</v>
      </c>
      <c r="L158" s="3647" t="s">
        <v>2180</v>
      </c>
      <c r="M158" s="3647" t="s">
        <v>2180</v>
      </c>
      <c r="N158" s="3647" t="s">
        <v>2180</v>
      </c>
      <c r="O158" s="3647" t="s">
        <v>2180</v>
      </c>
      <c r="P158" s="3647">
        <v>3259.61</v>
      </c>
      <c r="Q158" s="3647">
        <v>1341.47</v>
      </c>
      <c r="R158" s="3647">
        <v>1936.38</v>
      </c>
      <c r="S158" s="3647">
        <v>2423.5300000000002</v>
      </c>
      <c r="T158" s="3647">
        <v>1400.82</v>
      </c>
      <c r="U158" s="3647">
        <v>-916.75999999999988</v>
      </c>
      <c r="V158" s="3647">
        <v>-970.28</v>
      </c>
      <c r="W158" s="3647">
        <v>17.809999999999981</v>
      </c>
      <c r="X158" s="3647">
        <v>209</v>
      </c>
      <c r="Y158" s="3647">
        <v>22.950000000000045</v>
      </c>
      <c r="Z158" s="3647">
        <v>-96.940000000000026</v>
      </c>
      <c r="AA158" s="3647">
        <v>331.23</v>
      </c>
      <c r="AB158" s="3647">
        <v>716.48</v>
      </c>
      <c r="AC158" s="3647">
        <v>1051.3362400000001</v>
      </c>
      <c r="AD158" s="3647">
        <v>1405.6860226028007</v>
      </c>
      <c r="AE158" s="3647">
        <v>1733.0275073592597</v>
      </c>
    </row>
    <row r="159" spans="1:31">
      <c r="A159" s="3432" t="str">
        <f t="shared" si="8"/>
        <v>\\DG ECFIN\Forecast\Country databases\Desk transfer databases\BE</v>
      </c>
      <c r="B159" s="3432" t="str">
        <f t="shared" si="7"/>
        <v>BE</v>
      </c>
      <c r="C159" s="3432" t="s">
        <v>2147</v>
      </c>
      <c r="D159" s="3432" t="s">
        <v>2512</v>
      </c>
      <c r="E159" s="3432" t="s">
        <v>2365</v>
      </c>
      <c r="F159" s="3432"/>
      <c r="G159" s="3432" t="s">
        <v>2513</v>
      </c>
      <c r="H159" s="3647" t="s">
        <v>2180</v>
      </c>
      <c r="I159" s="3647" t="s">
        <v>2180</v>
      </c>
      <c r="J159" s="3647" t="s">
        <v>2180</v>
      </c>
      <c r="K159" s="3647" t="s">
        <v>2180</v>
      </c>
      <c r="L159" s="3647" t="s">
        <v>2180</v>
      </c>
      <c r="M159" s="3647" t="s">
        <v>2180</v>
      </c>
      <c r="N159" s="3647" t="s">
        <v>2180</v>
      </c>
      <c r="O159" s="3647" t="s">
        <v>2180</v>
      </c>
      <c r="P159" s="3647">
        <v>43.12</v>
      </c>
      <c r="Q159" s="3647">
        <v>673.31</v>
      </c>
      <c r="R159" s="3647">
        <v>-312.59000000000003</v>
      </c>
      <c r="S159" s="3647">
        <v>78.710000000000008</v>
      </c>
      <c r="T159" s="3647">
        <v>203.97</v>
      </c>
      <c r="U159" s="3647">
        <v>-327.01</v>
      </c>
      <c r="V159" s="3647">
        <v>353.44</v>
      </c>
      <c r="W159" s="3647">
        <v>11.020000000000024</v>
      </c>
      <c r="X159" s="3647">
        <v>435.26</v>
      </c>
      <c r="Y159" s="3647">
        <v>-308.13</v>
      </c>
      <c r="Z159" s="3647">
        <v>-72</v>
      </c>
      <c r="AA159" s="3647">
        <v>11.099999999999994</v>
      </c>
      <c r="AB159" s="3647">
        <v>412.63000000000005</v>
      </c>
      <c r="AC159" s="3647">
        <v>412.63000000000005</v>
      </c>
      <c r="AD159" s="3647">
        <v>412.63000000000005</v>
      </c>
      <c r="AE159" s="3647">
        <v>412.63000000000005</v>
      </c>
    </row>
  </sheetData>
  <protectedRanges>
    <protectedRange sqref="J5:J6" name="Range1"/>
  </protectedRanges>
  <pageMargins left="0.31" right="0.25" top="0.59055118110236227" bottom="0.55000000000000004" header="0.51181102362204722" footer="0.31"/>
  <pageSetup paperSize="9" scale="84" fitToHeight="9" orientation="landscape" horizontalDpi="1200" verticalDpi="1200" r:id="rId1"/>
  <headerFooter alignWithMargins="0">
    <oddFooter>&amp;L&amp;F  &amp;A&amp;CPage &amp;P</oddFooter>
  </headerFooter>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5" tint="0.39997558519241921"/>
    <pageSetUpPr autoPageBreaks="0" fitToPage="1"/>
  </sheetPr>
  <dimension ref="A2:CY28"/>
  <sheetViews>
    <sheetView showGridLines="0" zoomScale="70" zoomScaleNormal="70" workbookViewId="0">
      <pane xSplit="7" ySplit="11" topLeftCell="CD12" activePane="bottomRight" state="frozen"/>
      <selection pane="topRight" activeCell="H1" sqref="H1"/>
      <selection pane="bottomLeft" activeCell="A12" sqref="A12"/>
      <selection pane="bottomRight" activeCell="CX14" sqref="CX14"/>
    </sheetView>
  </sheetViews>
  <sheetFormatPr defaultRowHeight="12.75"/>
  <cols>
    <col min="1" max="1" width="66.85546875" style="3256" customWidth="1"/>
    <col min="2" max="3" width="9.140625" style="3256"/>
    <col min="4" max="4" width="14.85546875" style="3256" customWidth="1"/>
    <col min="5" max="5" width="10" style="3256" customWidth="1"/>
    <col min="6" max="6" width="6.140625" style="3256" customWidth="1"/>
    <col min="7" max="7" width="58.140625" style="3256" bestFit="1" customWidth="1"/>
    <col min="8" max="9" width="10" style="3256" customWidth="1"/>
    <col min="10" max="10" width="10.140625" style="3256" customWidth="1"/>
    <col min="11" max="13" width="10.140625" style="3260" customWidth="1"/>
    <col min="14" max="17" width="8.42578125" style="3256" customWidth="1"/>
    <col min="18" max="80" width="9.140625" style="3256"/>
    <col min="81" max="81" width="9.140625" style="3231"/>
    <col min="82" max="84" width="9.140625" style="3256"/>
    <col min="85" max="85" width="9.140625" style="3231"/>
    <col min="86" max="16384" width="9.140625" style="3256"/>
  </cols>
  <sheetData>
    <row r="2" spans="1:103" s="3231" customFormat="1" ht="15.75" customHeight="1">
      <c r="K2" s="3234"/>
      <c r="L2" s="3234"/>
      <c r="M2" s="3234"/>
    </row>
    <row r="3" spans="1:103" s="3231" customFormat="1" ht="15.75">
      <c r="D3" s="3235" t="s">
        <v>1129</v>
      </c>
      <c r="K3" s="3234"/>
      <c r="L3" s="3234"/>
      <c r="M3" s="3234"/>
    </row>
    <row r="4" spans="1:103" s="3236" customFormat="1" ht="15.75">
      <c r="D4" s="3238" t="s">
        <v>920</v>
      </c>
      <c r="E4" s="3239" t="s">
        <v>68</v>
      </c>
      <c r="F4" s="3240"/>
      <c r="G4" s="3241"/>
      <c r="H4" s="3240"/>
      <c r="I4" s="3240"/>
      <c r="J4" s="3242"/>
      <c r="K4" s="3243"/>
      <c r="L4" s="3243"/>
      <c r="M4" s="3243"/>
    </row>
    <row r="5" spans="1:103" s="3236" customFormat="1" ht="15.75">
      <c r="D5" s="3238" t="s">
        <v>921</v>
      </c>
      <c r="E5" s="3244" t="s">
        <v>914</v>
      </c>
      <c r="F5" s="3245"/>
      <c r="G5" s="3246" t="str">
        <f>'Transfer FDMS+ A'!J5</f>
        <v>Lithuania</v>
      </c>
      <c r="H5" s="3240"/>
      <c r="I5" s="3240"/>
      <c r="J5" s="3242"/>
      <c r="K5" s="3243"/>
      <c r="L5" s="3243"/>
      <c r="M5" s="3243"/>
    </row>
    <row r="6" spans="1:103" s="3236" customFormat="1" ht="15.75">
      <c r="D6" s="3238" t="s">
        <v>922</v>
      </c>
      <c r="E6" s="3247" t="s">
        <v>528</v>
      </c>
      <c r="F6" s="3248"/>
      <c r="G6" s="3249" t="str">
        <f>'Transfer FDMS+ A'!J6</f>
        <v>LT_</v>
      </c>
      <c r="H6" s="3240"/>
      <c r="I6" s="3240"/>
      <c r="J6" s="3242"/>
      <c r="K6" s="3243"/>
      <c r="L6" s="3243"/>
      <c r="M6" s="3243"/>
    </row>
    <row r="7" spans="1:103" s="3231" customFormat="1">
      <c r="F7" s="3231" t="s">
        <v>2139</v>
      </c>
      <c r="G7" s="3231" t="str">
        <f>'Transfer FDMS+ A'!J7</f>
        <v>BE</v>
      </c>
      <c r="K7" s="3234"/>
      <c r="L7" s="3234"/>
      <c r="M7" s="3234"/>
      <c r="N7" s="3234"/>
      <c r="O7" s="3234"/>
      <c r="P7" s="3234"/>
      <c r="Q7" s="3234"/>
    </row>
    <row r="8" spans="1:103" s="3231" customFormat="1">
      <c r="I8" s="3251"/>
      <c r="K8" s="3234"/>
      <c r="L8" s="3234"/>
      <c r="M8" s="3234"/>
      <c r="N8" s="3234"/>
      <c r="O8" s="3234"/>
      <c r="P8" s="3234"/>
      <c r="Q8" s="3234"/>
    </row>
    <row r="9" spans="1:103" s="3252" customFormat="1">
      <c r="D9" s="3254"/>
      <c r="E9" s="3255">
        <v>1</v>
      </c>
      <c r="F9" s="3255">
        <f t="shared" ref="F9:Q9" si="0">E9+1</f>
        <v>2</v>
      </c>
      <c r="G9" s="3255">
        <f t="shared" si="0"/>
        <v>3</v>
      </c>
      <c r="H9" s="3255">
        <f t="shared" si="0"/>
        <v>4</v>
      </c>
      <c r="I9" s="3255">
        <f t="shared" si="0"/>
        <v>5</v>
      </c>
      <c r="J9" s="3255">
        <f t="shared" si="0"/>
        <v>6</v>
      </c>
      <c r="K9" s="3255">
        <f t="shared" si="0"/>
        <v>7</v>
      </c>
      <c r="L9" s="3255">
        <f t="shared" si="0"/>
        <v>8</v>
      </c>
      <c r="M9" s="3255">
        <f t="shared" si="0"/>
        <v>9</v>
      </c>
      <c r="N9" s="3255">
        <f t="shared" si="0"/>
        <v>10</v>
      </c>
      <c r="O9" s="3255">
        <f t="shared" si="0"/>
        <v>11</v>
      </c>
      <c r="P9" s="3255">
        <f t="shared" si="0"/>
        <v>12</v>
      </c>
      <c r="Q9" s="3255">
        <f t="shared" si="0"/>
        <v>13</v>
      </c>
    </row>
    <row r="10" spans="1:103">
      <c r="D10" s="3261" t="s">
        <v>2140</v>
      </c>
      <c r="E10" s="3257" t="s">
        <v>2141</v>
      </c>
      <c r="F10" s="3259"/>
      <c r="I10" s="3257" t="str">
        <f>Last_forecast_year-2 &amp; "Q1"</f>
        <v>2017Q1</v>
      </c>
      <c r="J10" s="3257" t="str">
        <f>Last_forecast_year-2 &amp; "Q2"</f>
        <v>2017Q2</v>
      </c>
      <c r="K10" s="3257" t="str">
        <f>Last_forecast_year-2 &amp; "Q3"</f>
        <v>2017Q3</v>
      </c>
      <c r="L10" s="3257" t="str">
        <f>Last_forecast_year-2 &amp; "Q4"</f>
        <v>2017Q4</v>
      </c>
      <c r="M10" s="3257" t="str">
        <f>Last_forecast_year-1 &amp; "Q1"</f>
        <v>2018Q1</v>
      </c>
      <c r="N10" s="3257" t="str">
        <f>Last_forecast_year-1 &amp; "Q2"</f>
        <v>2018Q2</v>
      </c>
      <c r="O10" s="3257" t="str">
        <f>Last_forecast_year-1 &amp; "Q3"</f>
        <v>2018Q3</v>
      </c>
      <c r="P10" s="3257" t="str">
        <f>Last_forecast_year-1 &amp; "Q4"</f>
        <v>2018Q4</v>
      </c>
      <c r="Q10" s="3257" t="str">
        <f>Last_forecast_year &amp; "Q1"</f>
        <v>2019Q1</v>
      </c>
      <c r="R10" s="3257" t="str">
        <f>Last_forecast_year &amp; "Q2"</f>
        <v>2019Q2</v>
      </c>
      <c r="S10" s="3257" t="str">
        <f>Last_forecast_year &amp; "Q3"</f>
        <v>2019Q3</v>
      </c>
      <c r="T10" s="3257" t="str">
        <f>Last_forecast_year &amp; "Q4"</f>
        <v>2019Q4</v>
      </c>
      <c r="CC10" s="3256"/>
      <c r="CG10" s="3256"/>
    </row>
    <row r="11" spans="1:103">
      <c r="A11" s="3432" t="s">
        <v>2143</v>
      </c>
      <c r="B11" s="3432" t="s">
        <v>2144</v>
      </c>
      <c r="C11" s="3432" t="s">
        <v>2145</v>
      </c>
      <c r="D11" s="3432" t="s">
        <v>2146</v>
      </c>
      <c r="E11" s="3432" t="s">
        <v>2362</v>
      </c>
      <c r="F11" s="3432"/>
      <c r="G11" s="3432"/>
      <c r="H11" s="3432" t="s">
        <v>2279</v>
      </c>
      <c r="I11" s="3432" t="s">
        <v>2280</v>
      </c>
      <c r="J11" s="3432" t="s">
        <v>2281</v>
      </c>
      <c r="K11" s="3432" t="s">
        <v>2282</v>
      </c>
      <c r="L11" s="3432" t="s">
        <v>2283</v>
      </c>
      <c r="M11" s="3432" t="s">
        <v>2284</v>
      </c>
      <c r="N11" s="3432" t="s">
        <v>2285</v>
      </c>
      <c r="O11" s="3432" t="s">
        <v>2286</v>
      </c>
      <c r="P11" s="3432" t="s">
        <v>2287</v>
      </c>
      <c r="Q11" s="3432" t="s">
        <v>2288</v>
      </c>
      <c r="R11" s="3432" t="s">
        <v>2289</v>
      </c>
      <c r="S11" s="3432" t="s">
        <v>2290</v>
      </c>
      <c r="T11" s="3432" t="s">
        <v>2291</v>
      </c>
      <c r="U11" s="3432" t="s">
        <v>2292</v>
      </c>
      <c r="V11" s="3432" t="s">
        <v>2293</v>
      </c>
      <c r="W11" s="3432" t="s">
        <v>2294</v>
      </c>
      <c r="X11" s="3432" t="s">
        <v>2295</v>
      </c>
      <c r="Y11" s="3432" t="s">
        <v>2296</v>
      </c>
      <c r="Z11" s="3432" t="s">
        <v>2297</v>
      </c>
      <c r="AA11" s="3432" t="s">
        <v>2298</v>
      </c>
      <c r="AB11" s="3432" t="s">
        <v>2299</v>
      </c>
      <c r="AC11" s="3432" t="s">
        <v>2300</v>
      </c>
      <c r="AD11" s="3432" t="s">
        <v>2301</v>
      </c>
      <c r="AE11" s="3432" t="s">
        <v>2302</v>
      </c>
      <c r="AF11" s="3432" t="s">
        <v>2303</v>
      </c>
      <c r="AG11" s="3432" t="s">
        <v>2304</v>
      </c>
      <c r="AH11" s="3432" t="s">
        <v>2305</v>
      </c>
      <c r="AI11" s="3432" t="s">
        <v>2306</v>
      </c>
      <c r="AJ11" s="3432" t="s">
        <v>2307</v>
      </c>
      <c r="AK11" s="3432" t="s">
        <v>2308</v>
      </c>
      <c r="AL11" s="3432" t="s">
        <v>2309</v>
      </c>
      <c r="AM11" s="3432" t="s">
        <v>2310</v>
      </c>
      <c r="AN11" s="3432" t="s">
        <v>2311</v>
      </c>
      <c r="AO11" s="3432" t="s">
        <v>2312</v>
      </c>
      <c r="AP11" s="3432" t="s">
        <v>2313</v>
      </c>
      <c r="AQ11" s="3432" t="s">
        <v>2314</v>
      </c>
      <c r="AR11" s="3432" t="s">
        <v>2315</v>
      </c>
      <c r="AS11" s="3432" t="s">
        <v>2316</v>
      </c>
      <c r="AT11" s="3432" t="s">
        <v>2317</v>
      </c>
      <c r="AU11" s="3432" t="s">
        <v>2318</v>
      </c>
      <c r="AV11" s="3432" t="s">
        <v>1756</v>
      </c>
      <c r="AW11" s="3432" t="s">
        <v>1757</v>
      </c>
      <c r="AX11" s="3432" t="s">
        <v>1758</v>
      </c>
      <c r="AY11" s="3432" t="s">
        <v>1759</v>
      </c>
      <c r="AZ11" s="3432" t="s">
        <v>1760</v>
      </c>
      <c r="BA11" s="3432" t="s">
        <v>27</v>
      </c>
      <c r="BB11" s="3432" t="s">
        <v>28</v>
      </c>
      <c r="BC11" s="3432" t="s">
        <v>29</v>
      </c>
      <c r="BD11" s="3432" t="s">
        <v>30</v>
      </c>
      <c r="BE11" s="3432" t="s">
        <v>31</v>
      </c>
      <c r="BF11" s="3432" t="s">
        <v>32</v>
      </c>
      <c r="BG11" s="3432" t="s">
        <v>33</v>
      </c>
      <c r="BH11" s="3432" t="s">
        <v>2319</v>
      </c>
      <c r="BI11" s="3432" t="s">
        <v>2320</v>
      </c>
      <c r="BJ11" s="3432" t="s">
        <v>2321</v>
      </c>
      <c r="BK11" s="3432" t="s">
        <v>2322</v>
      </c>
      <c r="BL11" s="3432" t="s">
        <v>2323</v>
      </c>
      <c r="BM11" s="3432" t="s">
        <v>2324</v>
      </c>
      <c r="BN11" s="3432" t="s">
        <v>2325</v>
      </c>
      <c r="BO11" s="3432" t="s">
        <v>2326</v>
      </c>
      <c r="BP11" s="3432" t="s">
        <v>2327</v>
      </c>
      <c r="BQ11" s="3432" t="s">
        <v>2328</v>
      </c>
      <c r="BR11" s="3432" t="s">
        <v>2329</v>
      </c>
      <c r="BS11" s="3432" t="s">
        <v>2330</v>
      </c>
      <c r="BT11" s="3432" t="s">
        <v>2331</v>
      </c>
      <c r="BU11" s="3432" t="s">
        <v>2332</v>
      </c>
      <c r="BV11" s="3432" t="s">
        <v>2333</v>
      </c>
      <c r="BW11" s="3432" t="s">
        <v>2334</v>
      </c>
      <c r="BX11" s="3432" t="s">
        <v>2335</v>
      </c>
      <c r="BY11" s="3432" t="s">
        <v>2336</v>
      </c>
      <c r="BZ11" s="3432" t="s">
        <v>2337</v>
      </c>
      <c r="CA11" s="3432" t="s">
        <v>2338</v>
      </c>
      <c r="CB11" s="3432" t="s">
        <v>2339</v>
      </c>
      <c r="CC11" s="3432" t="s">
        <v>2340</v>
      </c>
      <c r="CD11" s="3432" t="s">
        <v>2341</v>
      </c>
      <c r="CE11" s="3432" t="s">
        <v>2342</v>
      </c>
      <c r="CF11" s="3432" t="s">
        <v>2351</v>
      </c>
      <c r="CG11" s="3432" t="s">
        <v>2352</v>
      </c>
      <c r="CH11" s="3432" t="s">
        <v>2353</v>
      </c>
      <c r="CI11" s="3432" t="s">
        <v>2354</v>
      </c>
      <c r="CJ11" s="3432" t="s">
        <v>2414</v>
      </c>
      <c r="CK11" s="3432" t="s">
        <v>2415</v>
      </c>
      <c r="CL11" s="3432" t="s">
        <v>2416</v>
      </c>
      <c r="CM11" s="3432" t="s">
        <v>2417</v>
      </c>
      <c r="CN11" s="3432" t="s">
        <v>2418</v>
      </c>
      <c r="CO11" s="3432" t="s">
        <v>2419</v>
      </c>
      <c r="CP11" s="3432" t="s">
        <v>2430</v>
      </c>
      <c r="CQ11" s="3432" t="s">
        <v>2431</v>
      </c>
      <c r="CR11" s="3432" t="s">
        <v>2452</v>
      </c>
      <c r="CS11" s="3432" t="s">
        <v>2453</v>
      </c>
      <c r="CT11" s="3432" t="s">
        <v>2454</v>
      </c>
      <c r="CU11" s="3432" t="s">
        <v>2455</v>
      </c>
      <c r="CV11" s="3432" t="s">
        <v>2530</v>
      </c>
      <c r="CW11" s="3432" t="s">
        <v>2531</v>
      </c>
      <c r="CX11" s="3432" t="s">
        <v>2532</v>
      </c>
      <c r="CY11" s="3432" t="s">
        <v>2533</v>
      </c>
    </row>
    <row r="12" spans="1:103">
      <c r="A12" s="3432" t="str">
        <f t="shared" ref="A12:A28" si="1">CONCATENATE($F$7, $G$7)</f>
        <v>\\DG ECFIN\Forecast\Country databases\Desk transfer databases\BE</v>
      </c>
      <c r="B12" s="3432" t="str">
        <f t="shared" ref="B12:B28" si="2">$G$7</f>
        <v>BE</v>
      </c>
      <c r="C12" s="3432" t="s">
        <v>2343</v>
      </c>
      <c r="D12" s="3432" t="s">
        <v>2148</v>
      </c>
      <c r="E12" s="3432" t="s">
        <v>2363</v>
      </c>
      <c r="F12" s="3432">
        <v>15</v>
      </c>
      <c r="G12" s="3432" t="s">
        <v>441</v>
      </c>
      <c r="H12" s="3432">
        <v>1.1238018902581581</v>
      </c>
      <c r="I12" s="3432">
        <v>1.3111180831915981</v>
      </c>
      <c r="J12" s="3432">
        <v>0.19069972128500368</v>
      </c>
      <c r="K12" s="3432">
        <v>3.232471124125591</v>
      </c>
      <c r="L12" s="3432">
        <v>1.6562396583513106</v>
      </c>
      <c r="M12" s="3432">
        <v>-0.17052148570718684</v>
      </c>
      <c r="N12" s="3432">
        <v>2.158452125842425</v>
      </c>
      <c r="O12" s="3432">
        <v>1.7480391560770858</v>
      </c>
      <c r="P12" s="3432">
        <v>1.3475156114613585</v>
      </c>
      <c r="Q12" s="3432">
        <v>-0.83431603773584939</v>
      </c>
      <c r="R12" s="3432">
        <v>3.0502125635461175</v>
      </c>
      <c r="S12" s="3432">
        <v>0.38946427025934316</v>
      </c>
      <c r="T12" s="3432">
        <v>-0.51583424334731287</v>
      </c>
      <c r="U12" s="3432">
        <v>4.4730418706760977</v>
      </c>
      <c r="V12" s="3432">
        <v>1.1032156385655245</v>
      </c>
      <c r="W12" s="3432">
        <v>-0.22014986599570019</v>
      </c>
      <c r="X12" s="3432">
        <v>1.9062367241780676</v>
      </c>
      <c r="Y12" s="3432">
        <v>3.1239073720448651</v>
      </c>
      <c r="Z12" s="3432">
        <v>0.9063050140184048</v>
      </c>
      <c r="AA12" s="3432">
        <v>1.1178599121219879</v>
      </c>
      <c r="AB12" s="3432">
        <v>2.1701067160841081</v>
      </c>
      <c r="AC12" s="3432">
        <v>-1.4860588169070654</v>
      </c>
      <c r="AD12" s="3432">
        <v>1.8182972509682038</v>
      </c>
      <c r="AE12" s="3432">
        <v>1.9903475625724809</v>
      </c>
      <c r="AF12" s="3432">
        <v>2.0334299304256342</v>
      </c>
      <c r="AG12" s="3432">
        <v>1.1624283968075133</v>
      </c>
      <c r="AH12" s="3432">
        <v>1.3172858225928508</v>
      </c>
      <c r="AI12" s="3432">
        <v>1.778364979889635</v>
      </c>
      <c r="AJ12" s="3432">
        <v>5.3751335454743865</v>
      </c>
      <c r="AK12" s="3432">
        <v>2.0462672248386715</v>
      </c>
      <c r="AL12" s="3432">
        <v>1.04054270605205</v>
      </c>
      <c r="AM12" s="3432">
        <v>4.4111272058279472</v>
      </c>
      <c r="AN12" s="3432">
        <v>1.890613765936533</v>
      </c>
      <c r="AO12" s="3432">
        <v>3.5739132163231213</v>
      </c>
      <c r="AP12" s="3432">
        <v>3.2826683554992631</v>
      </c>
      <c r="AQ12" s="3432">
        <v>1.3499326427277136</v>
      </c>
      <c r="AR12" s="3432">
        <v>31.717761806981535</v>
      </c>
      <c r="AS12" s="3432">
        <v>5.4211221915174912</v>
      </c>
      <c r="AT12" s="3432">
        <v>1.5591165006496155</v>
      </c>
      <c r="AU12" s="3432">
        <v>4.1656379755358852</v>
      </c>
      <c r="AV12" s="3432">
        <v>-3.0229902393829167</v>
      </c>
      <c r="AW12" s="3432">
        <v>4.8791325986491163</v>
      </c>
      <c r="AX12" s="3432">
        <v>6.0079654266587568</v>
      </c>
      <c r="AY12" s="3432">
        <v>0.41566746602719196</v>
      </c>
      <c r="AZ12" s="3432">
        <v>3.5344690335933793</v>
      </c>
      <c r="BA12" s="3432">
        <v>3.1254805474396408</v>
      </c>
      <c r="BB12" s="3432">
        <v>0.42311276794033681</v>
      </c>
      <c r="BC12" s="3432">
        <v>5.5107002988288301</v>
      </c>
      <c r="BD12" s="3432">
        <v>0.49431798191603704</v>
      </c>
      <c r="BE12" s="3432">
        <v>-0.38160589563603908</v>
      </c>
      <c r="BF12" s="3432">
        <v>-1.9926549403433635</v>
      </c>
      <c r="BG12" s="3432">
        <v>-2.2429403854773655</v>
      </c>
      <c r="BH12" s="3432">
        <v>-11.69026483750274</v>
      </c>
      <c r="BI12" s="3432">
        <v>-1.7673935617861014</v>
      </c>
      <c r="BJ12" s="3432">
        <v>-2.3911710606989378</v>
      </c>
      <c r="BK12" s="3432">
        <v>-4.3146768324380584</v>
      </c>
      <c r="BL12" s="3432">
        <v>0.67004708438969107</v>
      </c>
      <c r="BM12" s="3432">
        <v>-0.67907897103794967</v>
      </c>
      <c r="BN12" s="3432">
        <v>2.644328729907186</v>
      </c>
      <c r="BO12" s="3432">
        <v>0.45436499183906243</v>
      </c>
      <c r="BP12" s="3432">
        <v>1.2405585807131692</v>
      </c>
      <c r="BQ12" s="3432">
        <v>1.3207833611659447</v>
      </c>
      <c r="BR12" s="3432">
        <v>1.224367481484645</v>
      </c>
      <c r="BS12" s="3432">
        <v>1.2835694650031648</v>
      </c>
      <c r="BT12" s="3432">
        <v>-0.24844979852599591</v>
      </c>
      <c r="BU12" s="3432">
        <v>0.2072083385658674</v>
      </c>
      <c r="BV12" s="3432">
        <v>0.59945276437536332</v>
      </c>
      <c r="BW12" s="3432">
        <v>1.6132381031475962</v>
      </c>
      <c r="BX12" s="3432">
        <v>1.8369056619194302</v>
      </c>
      <c r="BY12" s="3432">
        <v>0.58186195826646081</v>
      </c>
      <c r="BZ12" s="3432">
        <v>1.3943746259724721</v>
      </c>
      <c r="CA12" s="3432">
        <v>1.0682877884672148</v>
      </c>
      <c r="CB12" s="3432">
        <v>1.3703963248462347</v>
      </c>
      <c r="CC12" s="3432">
        <v>0.35717028957675812</v>
      </c>
      <c r="CD12" s="3432">
        <v>0.31380352837626635</v>
      </c>
      <c r="CE12" s="3432">
        <v>1.5164231488193014</v>
      </c>
      <c r="CF12" s="3432">
        <v>1.1987749196745501</v>
      </c>
      <c r="CG12" s="3432">
        <v>0.27664828533766617</v>
      </c>
      <c r="CH12" s="3432">
        <v>2.0885794697081961</v>
      </c>
      <c r="CI12" s="3432">
        <v>0.46067904817177485</v>
      </c>
      <c r="CJ12" s="3432">
        <v>0.24372630438709297</v>
      </c>
      <c r="CK12" s="3432">
        <v>2.5970283656010729</v>
      </c>
      <c r="CL12" s="3432">
        <v>1.4043218003405578</v>
      </c>
      <c r="CM12" s="3432">
        <v>0.96421832534145935</v>
      </c>
      <c r="CN12" s="3432">
        <v>0.71497153830328841</v>
      </c>
      <c r="CO12" s="3432">
        <v>1.1508145928738056</v>
      </c>
      <c r="CP12" s="3432">
        <v>-2.1879260144408441E-2</v>
      </c>
      <c r="CQ12" s="3432">
        <v>1.7574574102754204</v>
      </c>
      <c r="CR12" s="3432">
        <v>0.75</v>
      </c>
      <c r="CS12" s="3432">
        <v>0.75</v>
      </c>
      <c r="CT12" s="3432">
        <v>0.75</v>
      </c>
      <c r="CU12" s="3432">
        <v>0.75</v>
      </c>
      <c r="CV12" s="3432">
        <v>0.84</v>
      </c>
      <c r="CW12" s="3432">
        <v>0.84</v>
      </c>
      <c r="CX12" s="3432">
        <v>0.84</v>
      </c>
      <c r="CY12" s="3432">
        <v>0.84</v>
      </c>
    </row>
    <row r="13" spans="1:103">
      <c r="A13" s="3432" t="str">
        <f t="shared" si="1"/>
        <v>\\DG ECFIN\Forecast\Country databases\Desk transfer databases\BE</v>
      </c>
      <c r="B13" s="3432" t="str">
        <f t="shared" si="2"/>
        <v>BE</v>
      </c>
      <c r="C13" s="3432" t="s">
        <v>2343</v>
      </c>
      <c r="D13" s="3432" t="s">
        <v>2150</v>
      </c>
      <c r="E13" s="3432" t="s">
        <v>2363</v>
      </c>
      <c r="F13" s="3432">
        <v>16</v>
      </c>
      <c r="G13" s="3432" t="s">
        <v>442</v>
      </c>
      <c r="H13" s="3432">
        <v>-1.2883521729972536</v>
      </c>
      <c r="I13" s="3432">
        <v>-9.9576798605927053E-2</v>
      </c>
      <c r="J13" s="3432">
        <v>1.39190488056673</v>
      </c>
      <c r="K13" s="3432">
        <v>-0.9830770311073711</v>
      </c>
      <c r="L13" s="3432">
        <v>0.92901212679952216</v>
      </c>
      <c r="M13" s="3432">
        <v>2.7086846543001863</v>
      </c>
      <c r="N13" s="3432">
        <v>0.71147597058320855</v>
      </c>
      <c r="O13" s="3432">
        <v>-0.50945895459022505</v>
      </c>
      <c r="P13" s="3432">
        <v>3.7278530706994717</v>
      </c>
      <c r="Q13" s="3432">
        <v>0.10860622017443422</v>
      </c>
      <c r="R13" s="3432">
        <v>0.12163850351765149</v>
      </c>
      <c r="S13" s="3432">
        <v>1.1919225086192808</v>
      </c>
      <c r="T13" s="3432">
        <v>-3.8484002855474264</v>
      </c>
      <c r="U13" s="3432">
        <v>-0.60070194384448383</v>
      </c>
      <c r="V13" s="3432">
        <v>-1.8673185305900675</v>
      </c>
      <c r="W13" s="3432">
        <v>-8.3033490174366786E-2</v>
      </c>
      <c r="X13" s="3432">
        <v>2.1087257617728561</v>
      </c>
      <c r="Y13" s="3432">
        <v>-0.96307097561804111</v>
      </c>
      <c r="Z13" s="3432">
        <v>0.34240712206814461</v>
      </c>
      <c r="AA13" s="3432">
        <v>0.45384746630268147</v>
      </c>
      <c r="AB13" s="3432">
        <v>0.46198790678715351</v>
      </c>
      <c r="AC13" s="3432">
        <v>0.29755866639615824</v>
      </c>
      <c r="AD13" s="3432">
        <v>-0.16182320814509543</v>
      </c>
      <c r="AE13" s="3432">
        <v>0.21273721888295238</v>
      </c>
      <c r="AF13" s="3432">
        <v>1.533173838325963</v>
      </c>
      <c r="AG13" s="3432">
        <v>-0.34182928448159844</v>
      </c>
      <c r="AH13" s="3432">
        <v>1.9014952212860869</v>
      </c>
      <c r="AI13" s="3432">
        <v>0.27777777777777679</v>
      </c>
      <c r="AJ13" s="3432">
        <v>0.47254358807236052</v>
      </c>
      <c r="AK13" s="3432">
        <v>1.2455400583846865</v>
      </c>
      <c r="AL13" s="3432">
        <v>0.57025693599026539</v>
      </c>
      <c r="AM13" s="3432">
        <v>1.1754587155963447</v>
      </c>
      <c r="AN13" s="3432">
        <v>1.1460596328831008</v>
      </c>
      <c r="AO13" s="3432">
        <v>1.9828793774318898</v>
      </c>
      <c r="AP13" s="3432">
        <v>0.60435870825956695</v>
      </c>
      <c r="AQ13" s="3432">
        <v>0.6280339805825097</v>
      </c>
      <c r="AR13" s="3432">
        <v>45.026552898965868</v>
      </c>
      <c r="AS13" s="3432">
        <v>0.17945588974230819</v>
      </c>
      <c r="AT13" s="3432">
        <v>0.27944969905417949</v>
      </c>
      <c r="AU13" s="3432">
        <v>-0.26438013576277619</v>
      </c>
      <c r="AV13" s="3432">
        <v>0.5659836652815553</v>
      </c>
      <c r="AW13" s="3432">
        <v>0.46306190781506551</v>
      </c>
      <c r="AX13" s="3432">
        <v>2.1557225925400436</v>
      </c>
      <c r="AY13" s="3432">
        <v>0.44425933638763127</v>
      </c>
      <c r="AZ13" s="3432">
        <v>0.44920525224603214</v>
      </c>
      <c r="BA13" s="3432">
        <v>0.57791537667699622</v>
      </c>
      <c r="BB13" s="3432">
        <v>-1.757986182365423</v>
      </c>
      <c r="BC13" s="3432">
        <v>1.3368611613981285</v>
      </c>
      <c r="BD13" s="3432">
        <v>-0.43287068847053245</v>
      </c>
      <c r="BE13" s="3432">
        <v>0.10351252501552555</v>
      </c>
      <c r="BF13" s="3432">
        <v>1.0478422721632574</v>
      </c>
      <c r="BG13" s="3432">
        <v>-0.46391049256377936</v>
      </c>
      <c r="BH13" s="3432">
        <v>-0.26730637422893722</v>
      </c>
      <c r="BI13" s="3432">
        <v>-0.45357707374062972</v>
      </c>
      <c r="BJ13" s="3432">
        <v>-1.7259233690024134</v>
      </c>
      <c r="BK13" s="3432">
        <v>-0.44959606603443003</v>
      </c>
      <c r="BL13" s="3432">
        <v>-0.93853644767482036</v>
      </c>
      <c r="BM13" s="3432">
        <v>-0.97592249608207116</v>
      </c>
      <c r="BN13" s="3432">
        <v>2.1581181210006406E-2</v>
      </c>
      <c r="BO13" s="3432">
        <v>-0.6832566168009202</v>
      </c>
      <c r="BP13" s="3432">
        <v>-6.5174885943963812E-2</v>
      </c>
      <c r="BQ13" s="3432">
        <v>0.34057971014493926</v>
      </c>
      <c r="BR13" s="3432">
        <v>0.12999205604102837</v>
      </c>
      <c r="BS13" s="3432">
        <v>0.34619545618463921</v>
      </c>
      <c r="BT13" s="3432">
        <v>0.66125206641272083</v>
      </c>
      <c r="BU13" s="3432">
        <v>0.1071046054980318</v>
      </c>
      <c r="BV13" s="3432">
        <v>0.23537803138373725</v>
      </c>
      <c r="BW13" s="3432">
        <v>0.19924571265921287</v>
      </c>
      <c r="BX13" s="3432">
        <v>0.19884951352888702</v>
      </c>
      <c r="BY13" s="3432">
        <v>0.14884116521369783</v>
      </c>
      <c r="BZ13" s="3432">
        <v>0.26185421089879313</v>
      </c>
      <c r="CA13" s="3432">
        <v>-0.21175972330063075</v>
      </c>
      <c r="CB13" s="3432">
        <v>0.14854636768761864</v>
      </c>
      <c r="CC13" s="3432">
        <v>0.10594716767906576</v>
      </c>
      <c r="CD13" s="3432">
        <v>-1.4111338460465195E-2</v>
      </c>
      <c r="CE13" s="3432">
        <v>0.35283325100559093</v>
      </c>
      <c r="CF13" s="3432">
        <v>-0.30236973489908836</v>
      </c>
      <c r="CG13" s="3432">
        <v>0.23275497249257704</v>
      </c>
      <c r="CH13" s="3432">
        <v>7.0368024769784654E-3</v>
      </c>
      <c r="CI13" s="3432">
        <v>-0.11258091753447719</v>
      </c>
      <c r="CJ13" s="3432">
        <v>0.69033530571991353</v>
      </c>
      <c r="CK13" s="3432">
        <v>0.23786204001678968</v>
      </c>
      <c r="CL13" s="3432">
        <v>0.63512004466781402</v>
      </c>
      <c r="CM13" s="3432">
        <v>0.58949996532353666</v>
      </c>
      <c r="CN13" s="3432">
        <v>8.9630446773303341E-2</v>
      </c>
      <c r="CO13" s="3432">
        <v>0.22731969415168418</v>
      </c>
      <c r="CP13" s="3432">
        <v>9.6219931271490644E-2</v>
      </c>
      <c r="CQ13" s="3432">
        <v>0.15105740181267091</v>
      </c>
      <c r="CR13" s="3432">
        <v>0.5</v>
      </c>
      <c r="CS13" s="3432">
        <v>0.6</v>
      </c>
      <c r="CT13" s="3432">
        <v>0.6</v>
      </c>
      <c r="CU13" s="3432">
        <v>0.6</v>
      </c>
      <c r="CV13" s="3432">
        <v>0.3</v>
      </c>
      <c r="CW13" s="3432">
        <v>0.25</v>
      </c>
      <c r="CX13" s="3432">
        <v>0.2</v>
      </c>
      <c r="CY13" s="3432">
        <v>0.18</v>
      </c>
    </row>
    <row r="14" spans="1:103">
      <c r="A14" s="3432" t="str">
        <f t="shared" si="1"/>
        <v>\\DG ECFIN\Forecast\Country databases\Desk transfer databases\BE</v>
      </c>
      <c r="B14" s="3432" t="str">
        <f t="shared" si="2"/>
        <v>BE</v>
      </c>
      <c r="C14" s="3432" t="s">
        <v>2343</v>
      </c>
      <c r="D14" s="3432" t="s">
        <v>2151</v>
      </c>
      <c r="E14" s="3432" t="s">
        <v>2363</v>
      </c>
      <c r="F14" s="3432">
        <v>17</v>
      </c>
      <c r="G14" s="3432" t="s">
        <v>397</v>
      </c>
      <c r="H14" s="3432">
        <v>4.3382969122671478</v>
      </c>
      <c r="I14" s="3432">
        <v>3.4041764487829029</v>
      </c>
      <c r="J14" s="3432">
        <v>3.160662006333248</v>
      </c>
      <c r="K14" s="3432">
        <v>9.359434727209571</v>
      </c>
      <c r="L14" s="3432">
        <v>6.7471666137061792</v>
      </c>
      <c r="M14" s="3432">
        <v>2.4905735264933559</v>
      </c>
      <c r="N14" s="3432">
        <v>8.0114241456094462</v>
      </c>
      <c r="O14" s="3432">
        <v>4.8402276699681668</v>
      </c>
      <c r="P14" s="3432">
        <v>8.0323173598939803</v>
      </c>
      <c r="Q14" s="3432">
        <v>5.729661285216836</v>
      </c>
      <c r="R14" s="3432">
        <v>2.4625748502994149</v>
      </c>
      <c r="S14" s="3432">
        <v>-5.2414347286142249</v>
      </c>
      <c r="T14" s="3432">
        <v>-1.7654087807886576</v>
      </c>
      <c r="U14" s="3432">
        <v>2.9821463606042764</v>
      </c>
      <c r="V14" s="3432">
        <v>-8.6797485235282963</v>
      </c>
      <c r="W14" s="3432">
        <v>-4.8733675470438387</v>
      </c>
      <c r="X14" s="3432">
        <v>-2.1711478573621656</v>
      </c>
      <c r="Y14" s="3432">
        <v>-0.96395265423243615</v>
      </c>
      <c r="Z14" s="3432">
        <v>3.3998822943546836</v>
      </c>
      <c r="AA14" s="3432">
        <v>3.3143607705779177</v>
      </c>
      <c r="AB14" s="3432">
        <v>4.4031020892486339</v>
      </c>
      <c r="AC14" s="3432">
        <v>-2.5937652216268869</v>
      </c>
      <c r="AD14" s="3432">
        <v>2.8503562945368266</v>
      </c>
      <c r="AE14" s="3432">
        <v>21.109355374579629</v>
      </c>
      <c r="AF14" s="3432">
        <v>-6.0185340068917075</v>
      </c>
      <c r="AG14" s="3432">
        <v>-1.5200056955716801</v>
      </c>
      <c r="AH14" s="3432">
        <v>1.5579251762154467</v>
      </c>
      <c r="AI14" s="3432">
        <v>7.1611617312072884</v>
      </c>
      <c r="AJ14" s="3432">
        <v>-0.43842168194501152</v>
      </c>
      <c r="AK14" s="3432">
        <v>6.4518281291700008</v>
      </c>
      <c r="AL14" s="3432">
        <v>2.8611720463804557</v>
      </c>
      <c r="AM14" s="3432">
        <v>2.6810468269201637</v>
      </c>
      <c r="AN14" s="3432">
        <v>4.2755837759249848</v>
      </c>
      <c r="AO14" s="3432">
        <v>4.7917140905986866</v>
      </c>
      <c r="AP14" s="3432">
        <v>1.7486694906049927</v>
      </c>
      <c r="AQ14" s="3432">
        <v>0.14143894107601085</v>
      </c>
      <c r="AR14" s="3432">
        <v>17.777055296469001</v>
      </c>
      <c r="AS14" s="3432">
        <v>0.77343750000000711</v>
      </c>
      <c r="AT14" s="3432">
        <v>9.1945112024187878</v>
      </c>
      <c r="AU14" s="3432">
        <v>3.067092651757175</v>
      </c>
      <c r="AV14" s="3432">
        <v>1.8185575532134735</v>
      </c>
      <c r="AW14" s="3432">
        <v>5.7912184561261126</v>
      </c>
      <c r="AX14" s="3432">
        <v>5.1480463004412558</v>
      </c>
      <c r="AY14" s="3432">
        <v>9.9257997810485286</v>
      </c>
      <c r="AZ14" s="3432">
        <v>4.0112869315038102</v>
      </c>
      <c r="BA14" s="3432">
        <v>6.7663173573062174</v>
      </c>
      <c r="BB14" s="3432">
        <v>9.4663943002348816E-2</v>
      </c>
      <c r="BC14" s="3432">
        <v>1.9014435042309819</v>
      </c>
      <c r="BD14" s="3432">
        <v>-0.90367330988667671</v>
      </c>
      <c r="BE14" s="3432">
        <v>-0.82318726277912369</v>
      </c>
      <c r="BF14" s="3432">
        <v>-6.2574552683896663</v>
      </c>
      <c r="BG14" s="3432">
        <v>-8.6845872435183722</v>
      </c>
      <c r="BH14" s="3432">
        <v>-22.051907333217201</v>
      </c>
      <c r="BI14" s="3432">
        <v>-12.931098696461818</v>
      </c>
      <c r="BJ14" s="3432">
        <v>-9.0255796047566061</v>
      </c>
      <c r="BK14" s="3432">
        <v>0.94978371261986716</v>
      </c>
      <c r="BL14" s="3432">
        <v>-2.8132277596646493</v>
      </c>
      <c r="BM14" s="3432">
        <v>6.8820090098725251</v>
      </c>
      <c r="BN14" s="3432">
        <v>12.088601919110387</v>
      </c>
      <c r="BO14" s="3432">
        <v>3.6482918633490735</v>
      </c>
      <c r="BP14" s="3432">
        <v>6.5766113469702736</v>
      </c>
      <c r="BQ14" s="3432">
        <v>1.6151227638154575</v>
      </c>
      <c r="BR14" s="3432">
        <v>2.9151817533856095</v>
      </c>
      <c r="BS14" s="3432">
        <v>0.54020361520878968</v>
      </c>
      <c r="BT14" s="3432">
        <v>-1.467245298615405</v>
      </c>
      <c r="BU14" s="3432">
        <v>-3.4955257270693485</v>
      </c>
      <c r="BV14" s="3432">
        <v>1.2894813097652946</v>
      </c>
      <c r="BW14" s="3432">
        <v>-1.4375625804606051</v>
      </c>
      <c r="BX14" s="3432">
        <v>4.0635657789710455</v>
      </c>
      <c r="BY14" s="3432">
        <v>3.082072379889822</v>
      </c>
      <c r="BZ14" s="3432">
        <v>5.8039640127172998</v>
      </c>
      <c r="CA14" s="3432">
        <v>3.1967265520127519E-2</v>
      </c>
      <c r="CB14" s="3432">
        <v>1.2846733989518189</v>
      </c>
      <c r="CC14" s="3432">
        <v>7.5724111819286399E-2</v>
      </c>
      <c r="CD14" s="3432">
        <v>0.59272337473987857</v>
      </c>
      <c r="CE14" s="3432">
        <v>0.90265153889552696</v>
      </c>
      <c r="CF14" s="3432">
        <v>5.1438156178169603</v>
      </c>
      <c r="CG14" s="3432">
        <v>1.9852289512555465</v>
      </c>
      <c r="CH14" s="3432">
        <v>-2.659173860147146</v>
      </c>
      <c r="CI14" s="3432">
        <v>-4.9101297464587574</v>
      </c>
      <c r="CJ14" s="3432">
        <v>3.9306503098203605</v>
      </c>
      <c r="CK14" s="3432">
        <v>1.4935260463715627</v>
      </c>
      <c r="CL14" s="3432">
        <v>-3.5186613659289212</v>
      </c>
      <c r="CM14" s="3432">
        <v>5.5965559655596575</v>
      </c>
      <c r="CN14" s="3432">
        <v>-0.68142108328480555</v>
      </c>
      <c r="CO14" s="3432">
        <v>2.738521081334655</v>
      </c>
      <c r="CP14" s="3432">
        <v>1.2557077625570789</v>
      </c>
      <c r="CQ14" s="3432">
        <v>7.5479143179256081</v>
      </c>
      <c r="CR14" s="3432">
        <v>-1.5</v>
      </c>
      <c r="CS14" s="3432">
        <v>0.8</v>
      </c>
      <c r="CT14" s="3432">
        <v>1</v>
      </c>
      <c r="CU14" s="3432">
        <v>1.1499999999999999</v>
      </c>
      <c r="CV14" s="3432">
        <v>1.03</v>
      </c>
      <c r="CW14" s="3432">
        <v>1</v>
      </c>
      <c r="CX14" s="3432">
        <v>1</v>
      </c>
      <c r="CY14" s="3432">
        <v>1</v>
      </c>
    </row>
    <row r="15" spans="1:103">
      <c r="A15" s="3432" t="str">
        <f t="shared" si="1"/>
        <v>\\DG ECFIN\Forecast\Country databases\Desk transfer databases\BE</v>
      </c>
      <c r="B15" s="3432" t="str">
        <f t="shared" si="2"/>
        <v>BE</v>
      </c>
      <c r="C15" s="3432" t="s">
        <v>2343</v>
      </c>
      <c r="D15" s="3432" t="s">
        <v>2344</v>
      </c>
      <c r="E15" s="3432" t="s">
        <v>2363</v>
      </c>
      <c r="F15" s="3432">
        <v>18</v>
      </c>
      <c r="G15" s="3432" t="s">
        <v>488</v>
      </c>
      <c r="H15" s="3432">
        <v>0.94238821774077497</v>
      </c>
      <c r="I15" s="3432">
        <v>1.2559124198962657</v>
      </c>
      <c r="J15" s="3432">
        <v>0.97663423776381819</v>
      </c>
      <c r="K15" s="3432">
        <v>3.0992930291555476</v>
      </c>
      <c r="L15" s="3432">
        <v>2.3403081209686816</v>
      </c>
      <c r="M15" s="3432">
        <v>1.028039035428896</v>
      </c>
      <c r="N15" s="3432">
        <v>2.8462433612445492</v>
      </c>
      <c r="O15" s="3432">
        <v>1.7695501259102908</v>
      </c>
      <c r="P15" s="3432">
        <v>3.2376446198087327</v>
      </c>
      <c r="Q15" s="3432">
        <v>0.74090868604095306</v>
      </c>
      <c r="R15" s="3432">
        <v>2.2079863678744927</v>
      </c>
      <c r="S15" s="3432">
        <v>-0.63070643839602258</v>
      </c>
      <c r="T15" s="3432">
        <v>-1.585191164715849</v>
      </c>
      <c r="U15" s="3432">
        <v>2.9584894735995571</v>
      </c>
      <c r="V15" s="3432">
        <v>-1.585528730874064</v>
      </c>
      <c r="W15" s="3432">
        <v>-1.0737839575248098</v>
      </c>
      <c r="X15" s="3432">
        <v>1.2073806658644326</v>
      </c>
      <c r="Y15" s="3432">
        <v>1.4458404343862474</v>
      </c>
      <c r="Z15" s="3432">
        <v>1.2080106892537357</v>
      </c>
      <c r="AA15" s="3432">
        <v>1.3549507817023576</v>
      </c>
      <c r="AB15" s="3432">
        <v>2.1884521633150467</v>
      </c>
      <c r="AC15" s="3432">
        <v>-1.2962811118648165</v>
      </c>
      <c r="AD15" s="3432">
        <v>1.5617683930702064</v>
      </c>
      <c r="AE15" s="3432">
        <v>5.1077467616484018</v>
      </c>
      <c r="AF15" s="3432">
        <v>0.22567933725265998</v>
      </c>
      <c r="AG15" s="3432">
        <v>0.31058092750759769</v>
      </c>
      <c r="AH15" s="3432">
        <v>1.487580043628145</v>
      </c>
      <c r="AI15" s="3432">
        <v>2.5085977368538126</v>
      </c>
      <c r="AJ15" s="3432">
        <v>3.1736583650112893</v>
      </c>
      <c r="AK15" s="3432">
        <v>2.7502065113351737</v>
      </c>
      <c r="AL15" s="3432">
        <v>1.3175608853498666</v>
      </c>
      <c r="AM15" s="3432">
        <v>3.4138569467360602</v>
      </c>
      <c r="AN15" s="3432">
        <v>2.2360929269555019</v>
      </c>
      <c r="AO15" s="3432">
        <v>3.5243943843180192</v>
      </c>
      <c r="AP15" s="3432">
        <v>2.4527628823272307</v>
      </c>
      <c r="AQ15" s="3432">
        <v>0.96199745039788898</v>
      </c>
      <c r="AR15" s="3432">
        <v>31.263248859717429</v>
      </c>
      <c r="AS15" s="3432">
        <v>3.4822813332162861</v>
      </c>
      <c r="AT15" s="3432">
        <v>2.699148827870923</v>
      </c>
      <c r="AU15" s="3432">
        <v>3.0990569284780056</v>
      </c>
      <c r="AV15" s="3432">
        <v>-1.4154848703362477</v>
      </c>
      <c r="AW15" s="3432">
        <v>4.2220897786687583</v>
      </c>
      <c r="AX15" s="3432">
        <v>5.1271720624358474</v>
      </c>
      <c r="AY15" s="3432">
        <v>2.3538720205716679</v>
      </c>
      <c r="AZ15" s="3432">
        <v>3.0993332689148501</v>
      </c>
      <c r="BA15" s="3432">
        <v>3.4935214039691687</v>
      </c>
      <c r="BB15" s="3432">
        <v>-1.245189042335948E-2</v>
      </c>
      <c r="BC15" s="3432">
        <v>4.0111401691403703</v>
      </c>
      <c r="BD15" s="3432">
        <v>3.5919540229878422E-2</v>
      </c>
      <c r="BE15" s="3432">
        <v>-0.40258963059681685</v>
      </c>
      <c r="BF15" s="3432">
        <v>-2.4482438411536522</v>
      </c>
      <c r="BG15" s="3432">
        <v>-3.3115326897663944</v>
      </c>
      <c r="BH15" s="3432">
        <v>-11.826910826181114</v>
      </c>
      <c r="BI15" s="3432">
        <v>-3.4850116911436468</v>
      </c>
      <c r="BJ15" s="3432">
        <v>-3.3155036544036287</v>
      </c>
      <c r="BK15" s="3432">
        <v>-2.7520869406084114</v>
      </c>
      <c r="BL15" s="3432">
        <v>-0.20121015604644965</v>
      </c>
      <c r="BM15" s="3432">
        <v>0.40468212871502818</v>
      </c>
      <c r="BN15" s="3432">
        <v>3.6390164976452422</v>
      </c>
      <c r="BO15" s="3432">
        <v>0.79034303954501617</v>
      </c>
      <c r="BP15" s="3432">
        <v>1.9472257564861373</v>
      </c>
      <c r="BQ15" s="3432">
        <v>1.1924141299039626</v>
      </c>
      <c r="BR15" s="3432">
        <v>1.3392318520007995</v>
      </c>
      <c r="BS15" s="3432">
        <v>0.96965367621770771</v>
      </c>
      <c r="BT15" s="3432">
        <v>-0.31443656897296446</v>
      </c>
      <c r="BU15" s="3432">
        <v>-0.50731399582057968</v>
      </c>
      <c r="BV15" s="3432">
        <v>0.65785128333839538</v>
      </c>
      <c r="BW15" s="3432">
        <v>0.79266132101472042</v>
      </c>
      <c r="BX15" s="3432">
        <v>1.9361222868898187</v>
      </c>
      <c r="BY15" s="3432">
        <v>0.9618086601098419</v>
      </c>
      <c r="BZ15" s="3432">
        <v>2.0166238629606426</v>
      </c>
      <c r="CA15" s="3432">
        <v>0.64238500936297793</v>
      </c>
      <c r="CB15" s="3432">
        <v>1.1410264309038132</v>
      </c>
      <c r="CC15" s="3432">
        <v>0.25949976242980455</v>
      </c>
      <c r="CD15" s="3432">
        <v>0.31107978710478434</v>
      </c>
      <c r="CE15" s="3432">
        <v>1.1980617807389571</v>
      </c>
      <c r="CF15" s="3432">
        <v>1.7033960186260133</v>
      </c>
      <c r="CG15" s="3432">
        <v>0.60968432946493234</v>
      </c>
      <c r="CH15" s="3432">
        <v>0.78380907814694645</v>
      </c>
      <c r="CI15" s="3432">
        <v>-0.68136970400464181</v>
      </c>
      <c r="CJ15" s="3432">
        <v>1.0062760772763912</v>
      </c>
      <c r="CK15" s="3432">
        <v>1.9948162547440473</v>
      </c>
      <c r="CL15" s="3432">
        <v>0.33806779507192797</v>
      </c>
      <c r="CM15" s="3432">
        <v>1.7547430070325332</v>
      </c>
      <c r="CN15" s="3432">
        <v>0.34778550634460004</v>
      </c>
      <c r="CO15" s="3432">
        <v>1.3021669564062144</v>
      </c>
      <c r="CP15" s="3432">
        <v>0.24156437526641206</v>
      </c>
      <c r="CQ15" s="3432">
        <v>2.6224538753434778</v>
      </c>
      <c r="CR15" s="3432">
        <v>0.25512415925536319</v>
      </c>
      <c r="CS15" s="3432">
        <v>0.73665440050966002</v>
      </c>
      <c r="CT15" s="3432">
        <v>0.77655240047236962</v>
      </c>
      <c r="CU15" s="3432">
        <v>0.80666502587561029</v>
      </c>
      <c r="CV15" s="3432">
        <v>0.79461665962858952</v>
      </c>
      <c r="CW15" s="3432">
        <v>0.7813982376775449</v>
      </c>
      <c r="CX15" s="3432">
        <v>0.77429678563838522</v>
      </c>
      <c r="CY15" s="3432">
        <v>0.77188451507112787</v>
      </c>
    </row>
    <row r="16" spans="1:103">
      <c r="A16" s="3432" t="str">
        <f t="shared" si="1"/>
        <v>\\DG ECFIN\Forecast\Country databases\Desk transfer databases\BE</v>
      </c>
      <c r="B16" s="3432" t="str">
        <f t="shared" si="2"/>
        <v>BE</v>
      </c>
      <c r="C16" s="3432" t="s">
        <v>2343</v>
      </c>
      <c r="D16" s="3432" t="s">
        <v>2155</v>
      </c>
      <c r="E16" s="3432" t="s">
        <v>2363</v>
      </c>
      <c r="F16" s="3432">
        <v>19</v>
      </c>
      <c r="G16" s="3432" t="s">
        <v>2080</v>
      </c>
      <c r="H16" s="3432">
        <v>-3.7643064133711919</v>
      </c>
      <c r="I16" s="3432">
        <v>-3.0829365779110098</v>
      </c>
      <c r="J16" s="3432">
        <v>-1.2630542431616096</v>
      </c>
      <c r="K16" s="3432">
        <v>-1.6756309474555253</v>
      </c>
      <c r="L16" s="3432">
        <v>-0.36240615441653473</v>
      </c>
      <c r="M16" s="3432">
        <v>-1.0777797736665477E-2</v>
      </c>
      <c r="N16" s="3432">
        <v>-1.9391306623400433</v>
      </c>
      <c r="O16" s="3432">
        <v>1.0510549064920598</v>
      </c>
      <c r="P16" s="3432">
        <v>-0.78654983019579794</v>
      </c>
      <c r="Q16" s="3432">
        <v>-6.5112215546158606E-2</v>
      </c>
      <c r="R16" s="3432">
        <v>0.48919124192507424</v>
      </c>
      <c r="S16" s="3432">
        <v>-2.0456995394113613</v>
      </c>
      <c r="T16" s="3432">
        <v>-1.6466159803003022</v>
      </c>
      <c r="U16" s="3432">
        <v>-1.7231694422416071</v>
      </c>
      <c r="V16" s="3432">
        <v>-1.7356710617976083</v>
      </c>
      <c r="W16" s="3432">
        <v>-0.8213070515076859</v>
      </c>
      <c r="X16" s="3432">
        <v>-1.2082683947174169</v>
      </c>
      <c r="Y16" s="3432">
        <v>-1.3251849990679121</v>
      </c>
      <c r="Z16" s="3432">
        <v>-2.0669684995280555</v>
      </c>
      <c r="AA16" s="3432">
        <v>-2.3812896422556933</v>
      </c>
      <c r="AB16" s="3432">
        <v>-1.9996173713411096</v>
      </c>
      <c r="AC16" s="3432">
        <v>-1.2855852130901473</v>
      </c>
      <c r="AD16" s="3432">
        <v>-0.8979995356466135</v>
      </c>
      <c r="AE16" s="3432">
        <v>-0.64734151104869353</v>
      </c>
      <c r="AF16" s="3432">
        <v>-0.73750182189184998</v>
      </c>
      <c r="AG16" s="3432">
        <v>0.80117203258476977</v>
      </c>
      <c r="AH16" s="3432">
        <v>0.50720043474323073</v>
      </c>
      <c r="AI16" s="3432">
        <v>-1.0894337964742746</v>
      </c>
      <c r="AJ16" s="3432">
        <v>-1.0372282626591227</v>
      </c>
      <c r="AK16" s="3432">
        <v>-0.40600050587922354</v>
      </c>
      <c r="AL16" s="3432">
        <v>1.0374308589902257</v>
      </c>
      <c r="AM16" s="3432">
        <v>1.2660349944739011</v>
      </c>
      <c r="AN16" s="3432">
        <v>2.9556017612524421</v>
      </c>
      <c r="AO16" s="3432">
        <v>1.9752062639337042</v>
      </c>
      <c r="AP16" s="3432">
        <v>1.2047905618780934</v>
      </c>
      <c r="AQ16" s="3432">
        <v>2.1677870676482067</v>
      </c>
      <c r="AR16" s="3432">
        <v>-1.2538207223504476</v>
      </c>
      <c r="AS16" s="3432">
        <v>0.69349407224024584</v>
      </c>
      <c r="AT16" s="3432">
        <v>-1.863808925955819</v>
      </c>
      <c r="AU16" s="3432">
        <v>0.20892992811641573</v>
      </c>
      <c r="AV16" s="3432">
        <v>-7.8636959370902329E-2</v>
      </c>
      <c r="AW16" s="3432">
        <v>-3.7246145969622857</v>
      </c>
      <c r="AX16" s="3432">
        <v>-2.6558939878947152</v>
      </c>
      <c r="AY16" s="3432">
        <v>-1.1552140743355162</v>
      </c>
      <c r="AZ16" s="3432">
        <v>-1.973987639516652</v>
      </c>
      <c r="BA16" s="3432">
        <v>-0.26521120805626858</v>
      </c>
      <c r="BB16" s="3432">
        <v>-0.41303235628096069</v>
      </c>
      <c r="BC16" s="3432">
        <v>0.16547565056445301</v>
      </c>
      <c r="BD16" s="3432">
        <v>0.9719382098598125</v>
      </c>
      <c r="BE16" s="3432">
        <v>0.72425711738339438</v>
      </c>
      <c r="BF16" s="3432">
        <v>2.065738134044552</v>
      </c>
      <c r="BG16" s="3432">
        <v>0.8284910965323331</v>
      </c>
      <c r="BH16" s="3432">
        <v>-7.6148702092471421</v>
      </c>
      <c r="BI16" s="3432">
        <v>-3.687553598162765</v>
      </c>
      <c r="BJ16" s="3432">
        <v>-0.78030171666377823</v>
      </c>
      <c r="BK16" s="3432">
        <v>-2.518529390181258</v>
      </c>
      <c r="BL16" s="3432">
        <v>0.75721241188867294</v>
      </c>
      <c r="BM16" s="3432">
        <v>2.3386128423580557</v>
      </c>
      <c r="BN16" s="3432">
        <v>-0.53355839102821101</v>
      </c>
      <c r="BO16" s="3432">
        <v>2.3407076558029178</v>
      </c>
      <c r="BP16" s="3432">
        <v>2.8654001561451339</v>
      </c>
      <c r="BQ16" s="3432">
        <v>1.1055533833978239</v>
      </c>
      <c r="BR16" s="3432">
        <v>-0.3688601550553961</v>
      </c>
      <c r="BS16" s="3432">
        <v>3.8424846300612991E-2</v>
      </c>
      <c r="BT16" s="3432">
        <v>-0.45919844214626049</v>
      </c>
      <c r="BU16" s="3432">
        <v>-3.0061357753806961</v>
      </c>
      <c r="BV16" s="3432">
        <v>1.0728293470737529</v>
      </c>
      <c r="BW16" s="3432">
        <v>-1.8641063892182719</v>
      </c>
      <c r="BX16" s="3432">
        <v>-3.188538565284881</v>
      </c>
      <c r="BY16" s="3432">
        <v>-2.8420481912519371</v>
      </c>
      <c r="BZ16" s="3432">
        <v>-1.9992535456581215</v>
      </c>
      <c r="CA16" s="3432">
        <v>-1.6967335413147207</v>
      </c>
      <c r="CB16" s="3432">
        <v>-2.8405422853453843</v>
      </c>
      <c r="CC16" s="3432">
        <v>-3.1145636706838982</v>
      </c>
      <c r="CD16" s="3432">
        <v>-3.1031320882196813</v>
      </c>
      <c r="CE16" s="3432">
        <v>-1.7296789802477164</v>
      </c>
      <c r="CF16" s="3432">
        <v>0.19287673858612858</v>
      </c>
      <c r="CG16" s="3432">
        <v>1.5310788820392227</v>
      </c>
      <c r="CH16" s="3432">
        <v>-0.29240455585162778</v>
      </c>
      <c r="CI16" s="3432">
        <v>0.30376885309596924</v>
      </c>
      <c r="CJ16" s="3432">
        <v>-1.7061522394714927</v>
      </c>
      <c r="CK16" s="3432">
        <v>0.15624635619505248</v>
      </c>
      <c r="CL16" s="3432">
        <v>7.1553873141908017E-2</v>
      </c>
      <c r="CM16" s="3432">
        <v>-0.21673910315640582</v>
      </c>
      <c r="CN16" s="3432">
        <v>-3.4982790723917051E-2</v>
      </c>
      <c r="CO16" s="3432">
        <v>-1.8397552968594193</v>
      </c>
      <c r="CP16" s="3432">
        <v>-9.1375083574772059E-2</v>
      </c>
      <c r="CQ16" s="3432">
        <v>-1.8988037646230984</v>
      </c>
      <c r="CR16" s="3432">
        <v>-1.1408173679182696</v>
      </c>
      <c r="CS16" s="3432">
        <v>-0.87782655901667106</v>
      </c>
      <c r="CT16" s="3432">
        <v>-0.78985290792442342</v>
      </c>
      <c r="CU16" s="3432">
        <v>-1.0063826224170245</v>
      </c>
      <c r="CV16" s="3432">
        <v>-0.99440241878043356</v>
      </c>
      <c r="CW16" s="3432">
        <v>-0.83737945049919571</v>
      </c>
      <c r="CX16" s="3432">
        <v>-0.66858942834525592</v>
      </c>
      <c r="CY16" s="3432">
        <v>-0.51741238415788593</v>
      </c>
    </row>
    <row r="17" spans="1:103">
      <c r="A17" s="3432" t="str">
        <f t="shared" si="1"/>
        <v>\\DG ECFIN\Forecast\Country databases\Desk transfer databases\BE</v>
      </c>
      <c r="B17" s="3432" t="str">
        <f t="shared" si="2"/>
        <v>BE</v>
      </c>
      <c r="C17" s="3432" t="s">
        <v>2343</v>
      </c>
      <c r="D17" s="3432" t="s">
        <v>2345</v>
      </c>
      <c r="E17" s="3432" t="s">
        <v>2363</v>
      </c>
      <c r="F17" s="3432">
        <v>20</v>
      </c>
      <c r="G17" s="3432" t="s">
        <v>2081</v>
      </c>
      <c r="H17" s="3432">
        <v>0.32123353678124023</v>
      </c>
      <c r="I17" s="3432">
        <v>2.0673230867755299</v>
      </c>
      <c r="J17" s="3432">
        <v>3.6489480598419499</v>
      </c>
      <c r="K17" s="3432">
        <v>1.881313609019708</v>
      </c>
      <c r="L17" s="3432">
        <v>3.9261741851030152</v>
      </c>
      <c r="M17" s="3432">
        <v>2.3842704257561964</v>
      </c>
      <c r="N17" s="3432">
        <v>0.38303478723682449</v>
      </c>
      <c r="O17" s="3432">
        <v>3.6279878313776548</v>
      </c>
      <c r="P17" s="3432">
        <v>2.2679997315976586</v>
      </c>
      <c r="Q17" s="3432">
        <v>1.1400170592480885</v>
      </c>
      <c r="R17" s="3432">
        <v>2.6078917919525102</v>
      </c>
      <c r="S17" s="3432">
        <v>-1.7852909099530634</v>
      </c>
      <c r="T17" s="3432">
        <v>-1.8821162743914654</v>
      </c>
      <c r="U17" s="3432">
        <v>3.1221296417792921</v>
      </c>
      <c r="V17" s="3432">
        <v>-2.0494182578751907</v>
      </c>
      <c r="W17" s="3432">
        <v>-0.20297809460403382</v>
      </c>
      <c r="X17" s="3432">
        <v>1.3659735103648041</v>
      </c>
      <c r="Y17" s="3432">
        <v>0.60756852201131473</v>
      </c>
      <c r="Z17" s="3432">
        <v>0.58475333460972223</v>
      </c>
      <c r="AA17" s="3432">
        <v>1.1674663917198957</v>
      </c>
      <c r="AB17" s="3432">
        <v>2.8967442006318844</v>
      </c>
      <c r="AC17" s="3432">
        <v>-0.4129460884405689</v>
      </c>
      <c r="AD17" s="3432">
        <v>1.6272664677530635</v>
      </c>
      <c r="AE17" s="3432">
        <v>5.1514261839698205</v>
      </c>
      <c r="AF17" s="3432">
        <v>0.59922680412372031</v>
      </c>
      <c r="AG17" s="3432">
        <v>1.2653273269426224</v>
      </c>
      <c r="AH17" s="3432">
        <v>1.8201623388031996</v>
      </c>
      <c r="AI17" s="3432">
        <v>0.88622010560099884</v>
      </c>
      <c r="AJ17" s="3432">
        <v>3.0895743967599198</v>
      </c>
      <c r="AK17" s="3432">
        <v>3.6387165278561007</v>
      </c>
      <c r="AL17" s="3432">
        <v>2.7118231647969004</v>
      </c>
      <c r="AM17" s="3432">
        <v>3.4382149959788499</v>
      </c>
      <c r="AN17" s="3432">
        <v>3.6566255620246402</v>
      </c>
      <c r="AO17" s="3432">
        <v>2.993865744105606</v>
      </c>
      <c r="AP17" s="3432">
        <v>1.5338670159314116</v>
      </c>
      <c r="AQ17" s="3432">
        <v>2.0027689587492015</v>
      </c>
      <c r="AR17" s="3432">
        <v>1.1676015110137383</v>
      </c>
      <c r="AS17" s="3432">
        <v>3.7360920283412868</v>
      </c>
      <c r="AT17" s="3432">
        <v>2.1503254055233123</v>
      </c>
      <c r="AU17" s="3432">
        <v>2.2713289842323681</v>
      </c>
      <c r="AV17" s="3432">
        <v>27.717001034126177</v>
      </c>
      <c r="AW17" s="3432">
        <v>-0.31452035645640475</v>
      </c>
      <c r="AX17" s="3432">
        <v>6.3210409222679065</v>
      </c>
      <c r="AY17" s="3432">
        <v>5.3124167755190133</v>
      </c>
      <c r="AZ17" s="3432">
        <v>2.6974302160352348</v>
      </c>
      <c r="BA17" s="3432">
        <v>4.9869843577777351</v>
      </c>
      <c r="BB17" s="3432">
        <v>-0.22114256994471004</v>
      </c>
      <c r="BC17" s="3432">
        <v>3.7923816559768175</v>
      </c>
      <c r="BD17" s="3432">
        <v>1.8689673766513648</v>
      </c>
      <c r="BE17" s="3432">
        <v>-0.97080183785384078</v>
      </c>
      <c r="BF17" s="3432">
        <v>-1.5372938069937336</v>
      </c>
      <c r="BG17" s="3432">
        <v>-6.0074047533739456</v>
      </c>
      <c r="BH17" s="3432">
        <v>-16.736744830772786</v>
      </c>
      <c r="BI17" s="3432">
        <v>-1.2485953302534658</v>
      </c>
      <c r="BJ17" s="3432">
        <v>-1.5144490805130584</v>
      </c>
      <c r="BK17" s="3432">
        <v>-3.9085345848251851</v>
      </c>
      <c r="BL17" s="3432">
        <v>3.3267520745809964</v>
      </c>
      <c r="BM17" s="3432">
        <v>2.5170967185794035</v>
      </c>
      <c r="BN17" s="3432">
        <v>-0.21161500084085905</v>
      </c>
      <c r="BO17" s="3432">
        <v>3.7399059054841644</v>
      </c>
      <c r="BP17" s="3432">
        <v>2.8185411815671246</v>
      </c>
      <c r="BQ17" s="3432">
        <v>-0.55167873601051909</v>
      </c>
      <c r="BR17" s="3432">
        <v>-0.20653771299202761</v>
      </c>
      <c r="BS17" s="3432">
        <v>1.237810945273643</v>
      </c>
      <c r="BT17" s="3432">
        <v>-0.76925093043977988</v>
      </c>
      <c r="BU17" s="3432">
        <v>-3.3953592794601306</v>
      </c>
      <c r="BV17" s="3432">
        <v>5.1852358168147594</v>
      </c>
      <c r="BW17" s="3432">
        <v>-2.4277712072573232</v>
      </c>
      <c r="BX17" s="3432">
        <v>0.73792873792872804</v>
      </c>
      <c r="BY17" s="3432">
        <v>1.2719988364251922</v>
      </c>
      <c r="BZ17" s="3432">
        <v>3.032993432648734</v>
      </c>
      <c r="CA17" s="3432">
        <v>0.97828015307803717</v>
      </c>
      <c r="CB17" s="3432">
        <v>-2.7608362824094179E-2</v>
      </c>
      <c r="CC17" s="3432">
        <v>-1.8829082145011E-2</v>
      </c>
      <c r="CD17" s="3432">
        <v>0.21594746952253718</v>
      </c>
      <c r="CE17" s="3432">
        <v>2.8313351123137931</v>
      </c>
      <c r="CF17" s="3432">
        <v>4.355453759091632</v>
      </c>
      <c r="CG17" s="3432">
        <v>2.2356869337816443</v>
      </c>
      <c r="CH17" s="3432">
        <v>-1.7905470989254657</v>
      </c>
      <c r="CI17" s="3432">
        <v>-0.21859702568514106</v>
      </c>
      <c r="CJ17" s="3432">
        <v>-0.94156033327507105</v>
      </c>
      <c r="CK17" s="3432">
        <v>3.8514475278506488</v>
      </c>
      <c r="CL17" s="3432">
        <v>0.4089215119901235</v>
      </c>
      <c r="CM17" s="3432">
        <v>1.4541639403442996</v>
      </c>
      <c r="CN17" s="3432">
        <v>0.96963227363200399</v>
      </c>
      <c r="CO17" s="3432">
        <v>-0.78411506227766825</v>
      </c>
      <c r="CP17" s="3432">
        <v>2.0301694952880922</v>
      </c>
      <c r="CQ17" s="3432">
        <v>0.52436901653614143</v>
      </c>
      <c r="CR17" s="3432">
        <v>0.99892643016384974</v>
      </c>
      <c r="CS17" s="3432">
        <v>0.99737581391350105</v>
      </c>
      <c r="CT17" s="3432">
        <v>0.86426948405353454</v>
      </c>
      <c r="CU17" s="3432">
        <v>0.59457503831887559</v>
      </c>
      <c r="CV17" s="3432">
        <v>0.8079110092352495</v>
      </c>
      <c r="CW17" s="3432">
        <v>0.93684187936210372</v>
      </c>
      <c r="CX17" s="3432">
        <v>0.94052166190287134</v>
      </c>
      <c r="CY17" s="3432">
        <v>0.92032399104302232</v>
      </c>
    </row>
    <row r="18" spans="1:103">
      <c r="A18" s="3432" t="str">
        <f t="shared" si="1"/>
        <v>\\DG ECFIN\Forecast\Country databases\Desk transfer databases\BE</v>
      </c>
      <c r="B18" s="3432" t="str">
        <f t="shared" si="2"/>
        <v>BE</v>
      </c>
      <c r="C18" s="3432" t="s">
        <v>2343</v>
      </c>
      <c r="D18" s="3432" t="s">
        <v>2346</v>
      </c>
      <c r="E18" s="3432" t="s">
        <v>2363</v>
      </c>
      <c r="F18" s="3432">
        <v>21</v>
      </c>
      <c r="G18" s="3432" t="s">
        <v>2082</v>
      </c>
      <c r="H18" s="3432">
        <v>5.3976410136634456</v>
      </c>
      <c r="I18" s="3432">
        <v>3.2597615565306048</v>
      </c>
      <c r="J18" s="3432">
        <v>5.5840504753524645</v>
      </c>
      <c r="K18" s="3432">
        <v>5.0122969979064846</v>
      </c>
      <c r="L18" s="3432">
        <v>3.9969031259072807</v>
      </c>
      <c r="M18" s="3432">
        <v>2.9815745393634741</v>
      </c>
      <c r="N18" s="3432">
        <v>2.150654232632121</v>
      </c>
      <c r="O18" s="3432">
        <v>8.6851137610133975</v>
      </c>
      <c r="P18" s="3432">
        <v>2.9545343556185211</v>
      </c>
      <c r="Q18" s="3432">
        <v>-1.3360528729089771</v>
      </c>
      <c r="R18" s="3432">
        <v>-6.464639989743759</v>
      </c>
      <c r="S18" s="3432">
        <v>-5.712131855329206</v>
      </c>
      <c r="T18" s="3432">
        <v>-5.5221412606981328</v>
      </c>
      <c r="U18" s="3432">
        <v>-4.9967303919682848</v>
      </c>
      <c r="V18" s="3432">
        <v>-0.80168434691070267</v>
      </c>
      <c r="W18" s="3432">
        <v>-1.0061224489795961</v>
      </c>
      <c r="X18" s="3432">
        <v>8.5121735007318566</v>
      </c>
      <c r="Y18" s="3432">
        <v>0.68014286799908952</v>
      </c>
      <c r="Z18" s="3432">
        <v>7.4687700494395548</v>
      </c>
      <c r="AA18" s="3432">
        <v>0.45301306363254579</v>
      </c>
      <c r="AB18" s="3432">
        <v>10.12060828526482</v>
      </c>
      <c r="AC18" s="3432">
        <v>3.9365079365079492</v>
      </c>
      <c r="AD18" s="3432">
        <v>2.6389737324373774</v>
      </c>
      <c r="AE18" s="3432">
        <v>4.1230210689203739</v>
      </c>
      <c r="AF18" s="3432">
        <v>4.9271924434473036</v>
      </c>
      <c r="AG18" s="3432">
        <v>8.348427690086746</v>
      </c>
      <c r="AH18" s="3432">
        <v>-1.3135236371406567</v>
      </c>
      <c r="AI18" s="3432">
        <v>5.7443448135316988</v>
      </c>
      <c r="AJ18" s="3432">
        <v>5.8213485582134794</v>
      </c>
      <c r="AK18" s="3432">
        <v>-7.8151499630072401</v>
      </c>
      <c r="AL18" s="3432">
        <v>3.7017372729630127</v>
      </c>
      <c r="AM18" s="3432">
        <v>3.3064640956338209</v>
      </c>
      <c r="AN18" s="3432">
        <v>-5.1426859065971886</v>
      </c>
      <c r="AO18" s="3432">
        <v>4.4032951811620702</v>
      </c>
      <c r="AP18" s="3432">
        <v>4.7284873030281505</v>
      </c>
      <c r="AQ18" s="3432">
        <v>5.3573214503995104</v>
      </c>
      <c r="AR18" s="3432">
        <v>14.330981120135021</v>
      </c>
      <c r="AS18" s="3432">
        <v>3.7714212906924782</v>
      </c>
      <c r="AT18" s="3432">
        <v>5.0432807416047609</v>
      </c>
      <c r="AU18" s="3432">
        <v>3.985856637737073</v>
      </c>
      <c r="AV18" s="3432">
        <v>4.4513137557959714</v>
      </c>
      <c r="AW18" s="3432">
        <v>2.0097392988780882</v>
      </c>
      <c r="AX18" s="3432">
        <v>-1.645743221858853</v>
      </c>
      <c r="AY18" s="3432">
        <v>2.7673495655904823</v>
      </c>
      <c r="AZ18" s="3432">
        <v>-2.0326688237136015</v>
      </c>
      <c r="BA18" s="3432">
        <v>0.41017445731788005</v>
      </c>
      <c r="BB18" s="3432">
        <v>5.9815910236345804</v>
      </c>
      <c r="BC18" s="3432">
        <v>0.83846423386895186</v>
      </c>
      <c r="BD18" s="3432">
        <v>8.8113380823549683</v>
      </c>
      <c r="BE18" s="3432">
        <v>4.103651999361313</v>
      </c>
      <c r="BF18" s="3432">
        <v>-2.9492966387659525</v>
      </c>
      <c r="BG18" s="3432">
        <v>-2.9734489298293032</v>
      </c>
      <c r="BH18" s="3432">
        <v>-7.7649796393251975</v>
      </c>
      <c r="BI18" s="3432">
        <v>-6.3751955194510268</v>
      </c>
      <c r="BJ18" s="3432">
        <v>2.1071919377004145</v>
      </c>
      <c r="BK18" s="3432">
        <v>3.6497506135697799</v>
      </c>
      <c r="BL18" s="3432">
        <v>6.0342193706080183</v>
      </c>
      <c r="BM18" s="3432">
        <v>7.9071219324785114</v>
      </c>
      <c r="BN18" s="3432">
        <v>4.8821736131200222</v>
      </c>
      <c r="BO18" s="3432">
        <v>5.1450151698385405</v>
      </c>
      <c r="BP18" s="3432">
        <v>3.0529884176116795</v>
      </c>
      <c r="BQ18" s="3432">
        <v>3.2562511014078366</v>
      </c>
      <c r="BR18" s="3432">
        <v>1.3596541130959316</v>
      </c>
      <c r="BS18" s="3432">
        <v>1.1262651774522459</v>
      </c>
      <c r="BT18" s="3432">
        <v>4.2680332266479049</v>
      </c>
      <c r="BU18" s="3432">
        <v>2.7980837473385201</v>
      </c>
      <c r="BV18" s="3432">
        <v>4.2339092462502448</v>
      </c>
      <c r="BW18" s="3432">
        <v>4.0668984931280017</v>
      </c>
      <c r="BX18" s="3432">
        <v>2.7320752315183272</v>
      </c>
      <c r="BY18" s="3432">
        <v>9.4481359292464262E-2</v>
      </c>
      <c r="BZ18" s="3432">
        <v>1.341606833374609</v>
      </c>
      <c r="CA18" s="3432">
        <v>1.1329801041364496</v>
      </c>
      <c r="CB18" s="3432">
        <v>0.13739374631980272</v>
      </c>
      <c r="CC18" s="3432">
        <v>2.0520475242747915</v>
      </c>
      <c r="CD18" s="3432">
        <v>0.38413237792715993</v>
      </c>
      <c r="CE18" s="3432">
        <v>-0.46213849437044541</v>
      </c>
      <c r="CF18" s="3432">
        <v>-1.3248362437343952</v>
      </c>
      <c r="CG18" s="3432">
        <v>0.35513598561474069</v>
      </c>
      <c r="CH18" s="3432">
        <v>0.19709729439170154</v>
      </c>
      <c r="CI18" s="3432">
        <v>0.68252265140675838</v>
      </c>
      <c r="CJ18" s="3432">
        <v>0.63497232171931817</v>
      </c>
      <c r="CK18" s="3432">
        <v>0.6471444750040467</v>
      </c>
      <c r="CL18" s="3432">
        <v>1.9874033698177751</v>
      </c>
      <c r="CM18" s="3432">
        <v>2.4530383573813319</v>
      </c>
      <c r="CN18" s="3432">
        <v>4.7914073535376023</v>
      </c>
      <c r="CO18" s="3432">
        <v>3.7902547745198856</v>
      </c>
      <c r="CP18" s="3432">
        <v>2.7967442039887436</v>
      </c>
      <c r="CQ18" s="3432">
        <v>2.593065145601936</v>
      </c>
      <c r="CR18" s="3432">
        <v>0.4</v>
      </c>
      <c r="CS18" s="3432">
        <v>0.4</v>
      </c>
      <c r="CT18" s="3432">
        <v>0.55000000000000004</v>
      </c>
      <c r="CU18" s="3432">
        <v>0.9</v>
      </c>
      <c r="CV18" s="3432">
        <v>1.34</v>
      </c>
      <c r="CW18" s="3432">
        <v>1.3</v>
      </c>
      <c r="CX18" s="3432">
        <v>1.3</v>
      </c>
      <c r="CY18" s="3432">
        <v>1.3</v>
      </c>
    </row>
    <row r="19" spans="1:103">
      <c r="A19" s="3432" t="str">
        <f t="shared" si="1"/>
        <v>\\DG ECFIN\Forecast\Country databases\Desk transfer databases\BE</v>
      </c>
      <c r="B19" s="3432" t="str">
        <f t="shared" si="2"/>
        <v>BE</v>
      </c>
      <c r="C19" s="3432" t="s">
        <v>2343</v>
      </c>
      <c r="D19" s="3432" t="s">
        <v>2347</v>
      </c>
      <c r="E19" s="3432" t="s">
        <v>2363</v>
      </c>
      <c r="F19" s="3432">
        <v>22</v>
      </c>
      <c r="G19" s="3432" t="s">
        <v>722</v>
      </c>
      <c r="H19" s="3432">
        <v>1.8472102281104075</v>
      </c>
      <c r="I19" s="3432">
        <v>2.4382677751582094</v>
      </c>
      <c r="J19" s="3432">
        <v>4.2557486927906396</v>
      </c>
      <c r="K19" s="3432">
        <v>2.8756220832284685</v>
      </c>
      <c r="L19" s="3432">
        <v>3.9491021345480437</v>
      </c>
      <c r="M19" s="3432">
        <v>2.5779854169684757</v>
      </c>
      <c r="N19" s="3432">
        <v>0.95855669253810394</v>
      </c>
      <c r="O19" s="3432">
        <v>5.2939873639055168</v>
      </c>
      <c r="P19" s="3432">
        <v>2.501453045860913</v>
      </c>
      <c r="Q19" s="3432">
        <v>0.29431777679369553</v>
      </c>
      <c r="R19" s="3432">
        <v>-0.4404503577986052</v>
      </c>
      <c r="S19" s="3432">
        <v>-3.0248619531532905</v>
      </c>
      <c r="T19" s="3432">
        <v>-2.999308452495153</v>
      </c>
      <c r="U19" s="3432">
        <v>0.6951072270453551</v>
      </c>
      <c r="V19" s="3432">
        <v>-1.6975088358389567</v>
      </c>
      <c r="W19" s="3432">
        <v>-0.43156023837459534</v>
      </c>
      <c r="X19" s="3432">
        <v>3.3881101135786906</v>
      </c>
      <c r="Y19" s="3432">
        <v>0.62912244471904355</v>
      </c>
      <c r="Z19" s="3432">
        <v>2.6302804660603529</v>
      </c>
      <c r="AA19" s="3432">
        <v>0.94516409250589017</v>
      </c>
      <c r="AB19" s="3432">
        <v>5.1334924526565962</v>
      </c>
      <c r="AC19" s="3432">
        <v>0.99767312563061594</v>
      </c>
      <c r="AD19" s="3432">
        <v>1.9649319537183407</v>
      </c>
      <c r="AE19" s="3432">
        <v>4.8059186682996247</v>
      </c>
      <c r="AF19" s="3432">
        <v>2.0437949241387088</v>
      </c>
      <c r="AG19" s="3432">
        <v>3.6962943574019524</v>
      </c>
      <c r="AH19" s="3432">
        <v>0.69641021942556947</v>
      </c>
      <c r="AI19" s="3432">
        <v>2.5935889917948707</v>
      </c>
      <c r="AJ19" s="3432">
        <v>4.0791305068698103</v>
      </c>
      <c r="AK19" s="3432">
        <v>-0.57977697660770433</v>
      </c>
      <c r="AL19" s="3432">
        <v>3.0498783506284877</v>
      </c>
      <c r="AM19" s="3432">
        <v>3.3929375179017063</v>
      </c>
      <c r="AN19" s="3432">
        <v>0.63518572751524172</v>
      </c>
      <c r="AO19" s="3432">
        <v>3.4500387357591977</v>
      </c>
      <c r="AP19" s="3432">
        <v>2.5773587774652107</v>
      </c>
      <c r="AQ19" s="3432">
        <v>3.1214793951971576</v>
      </c>
      <c r="AR19" s="3432">
        <v>5.6526391219817285</v>
      </c>
      <c r="AS19" s="3432">
        <v>3.7491182011047286</v>
      </c>
      <c r="AT19" s="3432">
        <v>3.2172097531274479</v>
      </c>
      <c r="AU19" s="3432">
        <v>2.9148107897316811</v>
      </c>
      <c r="AV19" s="3432">
        <v>18.894249318390898</v>
      </c>
      <c r="AW19" s="3432">
        <v>0.45980926430517766</v>
      </c>
      <c r="AX19" s="3432">
        <v>3.6259490903899794</v>
      </c>
      <c r="AY19" s="3432">
        <v>4.4952430151965261</v>
      </c>
      <c r="AZ19" s="3432">
        <v>1.2037967799878091</v>
      </c>
      <c r="BA19" s="3432">
        <v>3.5879733283398663</v>
      </c>
      <c r="BB19" s="3432">
        <v>1.6167062263231502</v>
      </c>
      <c r="BC19" s="3432">
        <v>2.8795507807968024</v>
      </c>
      <c r="BD19" s="3432">
        <v>3.9717623708782623</v>
      </c>
      <c r="BE19" s="3432">
        <v>0.63775786893427444</v>
      </c>
      <c r="BF19" s="3432">
        <v>-2.0003017696635372</v>
      </c>
      <c r="BG19" s="3432">
        <v>-5.0221782323399022</v>
      </c>
      <c r="BH19" s="3432">
        <v>-13.760469334980108</v>
      </c>
      <c r="BI19" s="3432">
        <v>-3.0675176111494062</v>
      </c>
      <c r="BJ19" s="3432">
        <v>-0.27333505706792494</v>
      </c>
      <c r="BK19" s="3432">
        <v>-1.25652801955628</v>
      </c>
      <c r="BL19" s="3432">
        <v>4.3239340203865329</v>
      </c>
      <c r="BM19" s="3432">
        <v>4.5348314606741491</v>
      </c>
      <c r="BN19" s="3432">
        <v>1.7567393267122311</v>
      </c>
      <c r="BO19" s="3432">
        <v>4.2995487501901408</v>
      </c>
      <c r="BP19" s="3432">
        <v>2.9126764214995049</v>
      </c>
      <c r="BQ19" s="3432">
        <v>0.9793656167090381</v>
      </c>
      <c r="BR19" s="3432">
        <v>0.43737574552684677</v>
      </c>
      <c r="BS19" s="3432">
        <v>1.1915296601617831</v>
      </c>
      <c r="BT19" s="3432">
        <v>1.3194130146285898</v>
      </c>
      <c r="BU19" s="3432">
        <v>-0.7525684996327997</v>
      </c>
      <c r="BV19" s="3432">
        <v>4.764774539046579</v>
      </c>
      <c r="BW19" s="3432">
        <v>0.4281563790203391</v>
      </c>
      <c r="BX19" s="3432">
        <v>1.646594789770961</v>
      </c>
      <c r="BY19" s="3432">
        <v>0.72971353572242048</v>
      </c>
      <c r="BZ19" s="3432">
        <v>2.2589668236377314</v>
      </c>
      <c r="CA19" s="3432">
        <v>1.0484401509643027</v>
      </c>
      <c r="CB19" s="3432">
        <v>4.728650826826275E-2</v>
      </c>
      <c r="CC19" s="3432">
        <v>0.92199358851412505</v>
      </c>
      <c r="CD19" s="3432">
        <v>0.29321134293509576</v>
      </c>
      <c r="CE19" s="3432">
        <v>1.316947064954066</v>
      </c>
      <c r="CF19" s="3432">
        <v>1.7894357165758157</v>
      </c>
      <c r="CG19" s="3432">
        <v>1.4121568859053246</v>
      </c>
      <c r="CH19" s="3432">
        <v>-0.92919122833128309</v>
      </c>
      <c r="CI19" s="3432">
        <v>0.17634726041266813</v>
      </c>
      <c r="CJ19" s="3432">
        <v>-0.24710354225209175</v>
      </c>
      <c r="CK19" s="3432">
        <v>2.4274827121923082</v>
      </c>
      <c r="CL19" s="3432">
        <v>1.0981928633416738</v>
      </c>
      <c r="CM19" s="3432">
        <v>1.894176087052557</v>
      </c>
      <c r="CN19" s="3432">
        <v>2.6623883444627463</v>
      </c>
      <c r="CO19" s="3432">
        <v>1.2840006757898377</v>
      </c>
      <c r="CP19" s="3432">
        <v>2.385321100917432</v>
      </c>
      <c r="CQ19" s="3432">
        <v>1.4866405995438448</v>
      </c>
      <c r="CR19" s="3432">
        <v>0.7172934141349282</v>
      </c>
      <c r="CS19" s="3432">
        <v>0.71735688560220434</v>
      </c>
      <c r="CT19" s="3432">
        <v>0.71742036040082702</v>
      </c>
      <c r="CU19" s="3432">
        <v>0.73705413590036328</v>
      </c>
      <c r="CV19" s="3432">
        <v>1.0565291535579697</v>
      </c>
      <c r="CW19" s="3432">
        <v>1.107003192825434</v>
      </c>
      <c r="CX19" s="3432">
        <v>1.1092802960500661</v>
      </c>
      <c r="CY19" s="3432">
        <v>1.0989007179173624</v>
      </c>
    </row>
    <row r="20" spans="1:103">
      <c r="A20" s="3432" t="str">
        <f t="shared" si="1"/>
        <v>\\DG ECFIN\Forecast\Country databases\Desk transfer databases\BE</v>
      </c>
      <c r="B20" s="3432" t="str">
        <f t="shared" si="2"/>
        <v>BE</v>
      </c>
      <c r="C20" s="3432" t="s">
        <v>2343</v>
      </c>
      <c r="D20" s="3432" t="s">
        <v>2348</v>
      </c>
      <c r="E20" s="3432" t="s">
        <v>2363</v>
      </c>
      <c r="F20" s="3432">
        <v>23</v>
      </c>
      <c r="G20" s="3432" t="s">
        <v>723</v>
      </c>
      <c r="H20" s="3432">
        <v>6.2910025193943619</v>
      </c>
      <c r="I20" s="3432">
        <v>4.5551618126774773</v>
      </c>
      <c r="J20" s="3432">
        <v>7.3644280840366338</v>
      </c>
      <c r="K20" s="3432">
        <v>6.7024857316078545</v>
      </c>
      <c r="L20" s="3432">
        <v>6.7262289621661919</v>
      </c>
      <c r="M20" s="3432">
        <v>7.3634160669701965</v>
      </c>
      <c r="N20" s="3432">
        <v>0.65318126635089957</v>
      </c>
      <c r="O20" s="3432">
        <v>5.2017327783912215</v>
      </c>
      <c r="P20" s="3432">
        <v>3.0051512264440472</v>
      </c>
      <c r="Q20" s="3432">
        <v>0.12384774565747936</v>
      </c>
      <c r="R20" s="3432">
        <v>1.3340222650194855</v>
      </c>
      <c r="S20" s="3432">
        <v>-12.331772740617131</v>
      </c>
      <c r="T20" s="3432">
        <v>-5.1693750220310868</v>
      </c>
      <c r="U20" s="3432">
        <v>3.5572902146640439</v>
      </c>
      <c r="V20" s="3432">
        <v>-1.8880453705199307</v>
      </c>
      <c r="W20" s="3432">
        <v>-2.6432765653867873</v>
      </c>
      <c r="X20" s="3432">
        <v>2.825899064296733</v>
      </c>
      <c r="Y20" s="3432">
        <v>0.50615795051711654</v>
      </c>
      <c r="Z20" s="3432">
        <v>6.7978110284893534</v>
      </c>
      <c r="AA20" s="3432">
        <v>9.8736849273106664E-2</v>
      </c>
      <c r="AB20" s="3432">
        <v>8.0969387755101874</v>
      </c>
      <c r="AC20" s="3432">
        <v>2.6919022671134885</v>
      </c>
      <c r="AD20" s="3432">
        <v>3.9955876945704238</v>
      </c>
      <c r="AE20" s="3432">
        <v>7.4823217442545609</v>
      </c>
      <c r="AF20" s="3432">
        <v>3.0414342301840813</v>
      </c>
      <c r="AG20" s="3432">
        <v>7.5128362020803863</v>
      </c>
      <c r="AH20" s="3432">
        <v>-0.80172221809813315</v>
      </c>
      <c r="AI20" s="3432">
        <v>4.1233256005388075</v>
      </c>
      <c r="AJ20" s="3432">
        <v>1.2936610608020649</v>
      </c>
      <c r="AK20" s="3432">
        <v>-1.020528830235079</v>
      </c>
      <c r="AL20" s="3432">
        <v>4.0644675690851839</v>
      </c>
      <c r="AM20" s="3432">
        <v>4.5027151762855544</v>
      </c>
      <c r="AN20" s="3432">
        <v>1.0832188959077227</v>
      </c>
      <c r="AO20" s="3432">
        <v>5.6373694449576517</v>
      </c>
      <c r="AP20" s="3432">
        <v>4.0268318278154025</v>
      </c>
      <c r="AQ20" s="3432">
        <v>2.3231663897460342</v>
      </c>
      <c r="AR20" s="3432">
        <v>18.554109471201706</v>
      </c>
      <c r="AS20" s="3432">
        <v>7.6708703974777581</v>
      </c>
      <c r="AT20" s="3432">
        <v>2.3530026928808567</v>
      </c>
      <c r="AU20" s="3432">
        <v>9.4715062964571004</v>
      </c>
      <c r="AV20" s="3432">
        <v>0.30566768555897461</v>
      </c>
      <c r="AW20" s="3432">
        <v>-1.0398250674606757</v>
      </c>
      <c r="AX20" s="3432">
        <v>6.2010766084483082</v>
      </c>
      <c r="AY20" s="3432">
        <v>4.4843843378560955</v>
      </c>
      <c r="AZ20" s="3432">
        <v>-0.25209193941319041</v>
      </c>
      <c r="BA20" s="3432">
        <v>5.0099817355476972</v>
      </c>
      <c r="BB20" s="3432">
        <v>0.25685104661745672</v>
      </c>
      <c r="BC20" s="3432">
        <v>2.842330347776989</v>
      </c>
      <c r="BD20" s="3432">
        <v>6.1611188481983215</v>
      </c>
      <c r="BE20" s="3432">
        <v>4.5766970917556549</v>
      </c>
      <c r="BF20" s="3432">
        <v>-0.33746179261116005</v>
      </c>
      <c r="BG20" s="3432">
        <v>-8.3179690823996566</v>
      </c>
      <c r="BH20" s="3432">
        <v>-24.661613427179219</v>
      </c>
      <c r="BI20" s="3432">
        <v>-1.6272265284122955</v>
      </c>
      <c r="BJ20" s="3432">
        <v>5.1007096639532401</v>
      </c>
      <c r="BK20" s="3432">
        <v>3.602015738649067</v>
      </c>
      <c r="BL20" s="3432">
        <v>0.68529256721139298</v>
      </c>
      <c r="BM20" s="3432">
        <v>8.807710613993347</v>
      </c>
      <c r="BN20" s="3432">
        <v>6.1569082041075029</v>
      </c>
      <c r="BO20" s="3432">
        <v>8.5688973133344337</v>
      </c>
      <c r="BP20" s="3432">
        <v>4.920770471581748</v>
      </c>
      <c r="BQ20" s="3432">
        <v>-2.5575170018810711</v>
      </c>
      <c r="BR20" s="3432">
        <v>0.29513308831718987</v>
      </c>
      <c r="BS20" s="3432">
        <v>1.2270279273777218</v>
      </c>
      <c r="BT20" s="3432">
        <v>-2.7863097849934348</v>
      </c>
      <c r="BU20" s="3432">
        <v>-1.0287369292108495</v>
      </c>
      <c r="BV20" s="3432">
        <v>14.476009501187658</v>
      </c>
      <c r="BW20" s="3432">
        <v>2.901581926530894</v>
      </c>
      <c r="BX20" s="3432">
        <v>2.4616476585310743</v>
      </c>
      <c r="BY20" s="3432">
        <v>-4.943558417431559</v>
      </c>
      <c r="BZ20" s="3432">
        <v>5.4375010351623843</v>
      </c>
      <c r="CA20" s="3432">
        <v>3.3506126295947292</v>
      </c>
      <c r="CB20" s="3432">
        <v>-4.9473348228534881</v>
      </c>
      <c r="CC20" s="3432">
        <v>3.9208161437845668</v>
      </c>
      <c r="CD20" s="3432">
        <v>1.2832743498999877</v>
      </c>
      <c r="CE20" s="3432">
        <v>1.765313563441917</v>
      </c>
      <c r="CF20" s="3432">
        <v>1.5480846744095667</v>
      </c>
      <c r="CG20" s="3432">
        <v>2.5726592476074339</v>
      </c>
      <c r="CH20" s="3432">
        <v>-0.70227738523498395</v>
      </c>
      <c r="CI20" s="3432">
        <v>0.66827360247103673</v>
      </c>
      <c r="CJ20" s="3432">
        <v>-0.96492988845239269</v>
      </c>
      <c r="CK20" s="3432">
        <v>2.293226007267668</v>
      </c>
      <c r="CL20" s="3432">
        <v>1.1138316090408606</v>
      </c>
      <c r="CM20" s="3432">
        <v>2.233917473825664</v>
      </c>
      <c r="CN20" s="3432">
        <v>6.1610076670317593</v>
      </c>
      <c r="CO20" s="3432">
        <v>2.1382512251741037</v>
      </c>
      <c r="CP20" s="3432">
        <v>3.3043763731407383</v>
      </c>
      <c r="CQ20" s="3432">
        <v>2.9872272810609335</v>
      </c>
      <c r="CR20" s="3432">
        <v>0.8</v>
      </c>
      <c r="CS20" s="3432">
        <v>0.8</v>
      </c>
      <c r="CT20" s="3432">
        <v>0.8</v>
      </c>
      <c r="CU20" s="3432">
        <v>0.75</v>
      </c>
      <c r="CV20" s="3432">
        <v>1.5</v>
      </c>
      <c r="CW20" s="3432">
        <v>1.6</v>
      </c>
      <c r="CX20" s="3432">
        <v>1.6</v>
      </c>
      <c r="CY20" s="3432">
        <v>1.6</v>
      </c>
    </row>
    <row r="21" spans="1:103">
      <c r="A21" s="3432" t="str">
        <f t="shared" si="1"/>
        <v>\\DG ECFIN\Forecast\Country databases\Desk transfer databases\BE</v>
      </c>
      <c r="B21" s="3432" t="str">
        <f t="shared" si="2"/>
        <v>BE</v>
      </c>
      <c r="C21" s="3432" t="s">
        <v>2343</v>
      </c>
      <c r="D21" s="3432" t="s">
        <v>2160</v>
      </c>
      <c r="E21" s="3432" t="s">
        <v>2363</v>
      </c>
      <c r="F21" s="3432">
        <v>24</v>
      </c>
      <c r="G21" s="3432" t="s">
        <v>761</v>
      </c>
      <c r="H21" s="3432">
        <v>1.0331128439191151</v>
      </c>
      <c r="I21" s="3432">
        <v>-0.40101864590347258</v>
      </c>
      <c r="J21" s="3432">
        <v>3.4669566410000519</v>
      </c>
      <c r="K21" s="3432">
        <v>0.69212342709978891</v>
      </c>
      <c r="L21" s="3432">
        <v>1.4499567457780138</v>
      </c>
      <c r="M21" s="3432">
        <v>3.1977013624988393</v>
      </c>
      <c r="N21" s="3432">
        <v>2.9629962277707866</v>
      </c>
      <c r="O21" s="3432">
        <v>1.9155784680606081</v>
      </c>
      <c r="P21" s="3432">
        <v>2.0712971284289727</v>
      </c>
      <c r="Q21" s="3432">
        <v>1.7391304347826209</v>
      </c>
      <c r="R21" s="3432">
        <v>0.92146148076719392</v>
      </c>
      <c r="S21" s="3432">
        <v>4.0833993482758402E-3</v>
      </c>
      <c r="T21" s="3432">
        <v>-1.5034462483258682</v>
      </c>
      <c r="U21" s="3432">
        <v>0.36895473878832963</v>
      </c>
      <c r="V21" s="3432">
        <v>-1.5769561194818982</v>
      </c>
      <c r="W21" s="3432">
        <v>0.14687738675753792</v>
      </c>
      <c r="X21" s="3432">
        <v>2.1689210707162232</v>
      </c>
      <c r="Y21" s="3432">
        <v>1.2049872857025523</v>
      </c>
      <c r="Z21" s="3432">
        <v>1.3251849990679077</v>
      </c>
      <c r="AA21" s="3432">
        <v>1.6478154446701865</v>
      </c>
      <c r="AB21" s="3432">
        <v>2.8337818908667378</v>
      </c>
      <c r="AC21" s="3432">
        <v>-5.5863784197429656E-2</v>
      </c>
      <c r="AD21" s="3432">
        <v>2.2335033154162964</v>
      </c>
      <c r="AE21" s="3432">
        <v>2.3921689048000516</v>
      </c>
      <c r="AF21" s="3432">
        <v>0.37084988260078777</v>
      </c>
      <c r="AG21" s="3432">
        <v>2.9682262060924058</v>
      </c>
      <c r="AH21" s="3432">
        <v>1.5853580856800997</v>
      </c>
      <c r="AI21" s="3432">
        <v>1.4902496290052136</v>
      </c>
      <c r="AJ21" s="3432">
        <v>4.2389752320281193</v>
      </c>
      <c r="AK21" s="3432">
        <v>1.5410248473792798</v>
      </c>
      <c r="AL21" s="3432">
        <v>2.7142366087931968</v>
      </c>
      <c r="AM21" s="3432">
        <v>1.6934811709140574</v>
      </c>
      <c r="AN21" s="3432">
        <v>1.5311634607026336</v>
      </c>
      <c r="AO21" s="3432">
        <v>1.7692025440313008</v>
      </c>
      <c r="AP21" s="3432">
        <v>0.85149597687681489</v>
      </c>
      <c r="AQ21" s="3432">
        <v>2.5507954477745232</v>
      </c>
      <c r="AR21" s="3432">
        <v>28.642182777393678</v>
      </c>
      <c r="AS21" s="3432">
        <v>1.4175659659410034</v>
      </c>
      <c r="AT21" s="3432">
        <v>2.8800762689711545</v>
      </c>
      <c r="AU21" s="3432">
        <v>2.2987474964875965</v>
      </c>
      <c r="AV21" s="3432">
        <v>0.33019694933085209</v>
      </c>
      <c r="AW21" s="3432">
        <v>2.3969710208242345</v>
      </c>
      <c r="AX21" s="3432">
        <v>1.7392911997269334</v>
      </c>
      <c r="AY21" s="3432">
        <v>2.9732034275010921</v>
      </c>
      <c r="AZ21" s="3432">
        <v>3.0149594113973999</v>
      </c>
      <c r="BA21" s="3432">
        <v>2.8516083123591773</v>
      </c>
      <c r="BB21" s="3432">
        <v>2.675173924741503</v>
      </c>
      <c r="BC21" s="3432">
        <v>1.8018692521743596</v>
      </c>
      <c r="BD21" s="3432">
        <v>-0.49642695169336282</v>
      </c>
      <c r="BE21" s="3432">
        <v>0.86107073344994234</v>
      </c>
      <c r="BF21" s="3432">
        <v>-1.0857750039693581</v>
      </c>
      <c r="BG21" s="3432">
        <v>-1.1890650466735986</v>
      </c>
      <c r="BH21" s="3432">
        <v>-13.108403623867538</v>
      </c>
      <c r="BI21" s="3432">
        <v>-1.058459768461939</v>
      </c>
      <c r="BJ21" s="3432">
        <v>0.5886713469672511</v>
      </c>
      <c r="BK21" s="3432">
        <v>-1.5447083983584742</v>
      </c>
      <c r="BL21" s="3432">
        <v>0.98334189476771972</v>
      </c>
      <c r="BM21" s="3432">
        <v>1.6728435433471578</v>
      </c>
      <c r="BN21" s="3432">
        <v>-6.861455772200209E-2</v>
      </c>
      <c r="BO21" s="3432">
        <v>2.4846941694798952</v>
      </c>
      <c r="BP21" s="3432">
        <v>1.903831390885613</v>
      </c>
      <c r="BQ21" s="3432">
        <v>1.5915845991590238</v>
      </c>
      <c r="BR21" s="3432">
        <v>0.51637432419677776</v>
      </c>
      <c r="BS21" s="3432">
        <v>1.2313222630576437</v>
      </c>
      <c r="BT21" s="3432">
        <v>0.70224719101124045</v>
      </c>
      <c r="BU21" s="3432">
        <v>0.1434172784926746</v>
      </c>
      <c r="BV21" s="3432">
        <v>2.5055511029943078</v>
      </c>
      <c r="BW21" s="3432">
        <v>0.5268015073444543</v>
      </c>
      <c r="BX21" s="3432">
        <v>0.21038136403626062</v>
      </c>
      <c r="BY21" s="3432">
        <v>0.90973865689492062</v>
      </c>
      <c r="BZ21" s="3432">
        <v>1.3504142026756316</v>
      </c>
      <c r="CA21" s="3432">
        <v>0.89201293854193064</v>
      </c>
      <c r="CB21" s="3432">
        <v>1.2330912364205915</v>
      </c>
      <c r="CC21" s="3432">
        <v>0.66628500432412974</v>
      </c>
      <c r="CD21" s="3432">
        <v>0.29040220705676134</v>
      </c>
      <c r="CE21" s="3432">
        <v>0.23526856811930674</v>
      </c>
      <c r="CF21" s="3432">
        <v>0.47424740307415725</v>
      </c>
      <c r="CG21" s="3432">
        <v>0.85776239023396261</v>
      </c>
      <c r="CH21" s="3432">
        <v>0.74237727018968691</v>
      </c>
      <c r="CI21" s="3432">
        <v>0.14030702478364798</v>
      </c>
      <c r="CJ21" s="3432">
        <v>0.33909081275829145</v>
      </c>
      <c r="CK21" s="3432">
        <v>0.63482005608945791</v>
      </c>
      <c r="CL21" s="3432">
        <v>1.033091579021006</v>
      </c>
      <c r="CM21" s="3432">
        <v>1.1714061490167182</v>
      </c>
      <c r="CN21" s="3432">
        <v>1.0859769800257935</v>
      </c>
      <c r="CO21" s="3432">
        <v>0.71771144840040435</v>
      </c>
      <c r="CP21" s="3432">
        <v>0.54789302080648916</v>
      </c>
      <c r="CQ21" s="3432">
        <v>1.3505683084466202</v>
      </c>
      <c r="CR21" s="3432">
        <v>0.64000000000000046</v>
      </c>
      <c r="CS21" s="3432">
        <v>0.64000000000000268</v>
      </c>
      <c r="CT21" s="3432">
        <v>0.63999999999999979</v>
      </c>
      <c r="CU21" s="3432">
        <v>0.72489778708730856</v>
      </c>
      <c r="CV21" s="3432">
        <v>0.64000000000000046</v>
      </c>
      <c r="CW21" s="3432">
        <v>0.64000000000000123</v>
      </c>
      <c r="CX21" s="3432">
        <v>0.64000000000000123</v>
      </c>
      <c r="CY21" s="3432">
        <v>0.61512319845919095</v>
      </c>
    </row>
    <row r="22" spans="1:103">
      <c r="A22" s="3432" t="str">
        <f t="shared" si="1"/>
        <v>\\DG ECFIN\Forecast\Country databases\Desk transfer databases\BE</v>
      </c>
      <c r="B22" s="3432" t="str">
        <f t="shared" si="2"/>
        <v>BE</v>
      </c>
      <c r="C22" s="3432" t="s">
        <v>2343</v>
      </c>
      <c r="D22" s="3432" t="s">
        <v>2178</v>
      </c>
      <c r="E22" s="3432" t="s">
        <v>2363</v>
      </c>
      <c r="F22" s="3432">
        <v>25</v>
      </c>
      <c r="G22" s="3432" t="s">
        <v>1853</v>
      </c>
      <c r="H22" s="3432">
        <v>55.1</v>
      </c>
      <c r="I22" s="3432">
        <v>57.49666666666667</v>
      </c>
      <c r="J22" s="3432">
        <v>58.16</v>
      </c>
      <c r="K22" s="3432">
        <v>59.693333333333328</v>
      </c>
      <c r="L22" s="3432">
        <v>62.336666666666666</v>
      </c>
      <c r="M22" s="3432">
        <v>62.863333333333337</v>
      </c>
      <c r="N22" s="3432">
        <v>63.936666666666667</v>
      </c>
      <c r="O22" s="3432">
        <v>65.086666666666659</v>
      </c>
      <c r="P22" s="3432">
        <v>66.406666666666666</v>
      </c>
      <c r="Q22" s="3432">
        <v>67.016666666666666</v>
      </c>
      <c r="R22" s="3432">
        <v>66.933333333333323</v>
      </c>
      <c r="S22" s="3432">
        <v>67.516666666666666</v>
      </c>
      <c r="T22" s="3432">
        <v>68.196666666666658</v>
      </c>
      <c r="U22" s="3432">
        <v>68.06</v>
      </c>
      <c r="V22" s="3432">
        <v>67.766666666666666</v>
      </c>
      <c r="W22" s="3432">
        <v>67.716666666666669</v>
      </c>
      <c r="X22" s="3432">
        <v>68.833333333333329</v>
      </c>
      <c r="Y22" s="3432">
        <v>68.683333333333337</v>
      </c>
      <c r="Z22" s="3432">
        <v>68.433333333333337</v>
      </c>
      <c r="AA22" s="3432">
        <v>68.763333333333335</v>
      </c>
      <c r="AB22" s="3432">
        <v>69.010000000000005</v>
      </c>
      <c r="AC22" s="3432">
        <v>69.826666666666668</v>
      </c>
      <c r="AD22" s="3432">
        <v>69.903333333333322</v>
      </c>
      <c r="AE22" s="3432">
        <v>70.23</v>
      </c>
      <c r="AF22" s="3432">
        <v>70.773333333333326</v>
      </c>
      <c r="AG22" s="3432">
        <v>70.176666666666677</v>
      </c>
      <c r="AH22" s="3432">
        <v>69.38</v>
      </c>
      <c r="AI22" s="3432">
        <v>69.576666666666668</v>
      </c>
      <c r="AJ22" s="3432">
        <v>69.646666666666661</v>
      </c>
      <c r="AK22" s="3432">
        <v>69.713333333333338</v>
      </c>
      <c r="AL22" s="3432">
        <v>68.783333333333317</v>
      </c>
      <c r="AM22" s="3432">
        <v>68.75</v>
      </c>
      <c r="AN22" s="3432">
        <v>68.873333333333335</v>
      </c>
      <c r="AO22" s="3432">
        <v>70.046666666666667</v>
      </c>
      <c r="AP22" s="3432">
        <v>70.396666666666661</v>
      </c>
      <c r="AQ22" s="3432">
        <v>70.773333333333326</v>
      </c>
      <c r="AR22" s="3432">
        <v>71.013333333333335</v>
      </c>
      <c r="AS22" s="3432">
        <v>71.713333333333338</v>
      </c>
      <c r="AT22" s="3432">
        <v>71.97</v>
      </c>
      <c r="AU22" s="3432">
        <v>72.876666666666665</v>
      </c>
      <c r="AV22" s="3432">
        <v>73.366666666666674</v>
      </c>
      <c r="AW22" s="3432">
        <v>74.266666666666666</v>
      </c>
      <c r="AX22" s="3432">
        <v>74.813333333333333</v>
      </c>
      <c r="AY22" s="3432">
        <v>75.930000000000007</v>
      </c>
      <c r="AZ22" s="3432">
        <v>76.586666666666673</v>
      </c>
      <c r="BA22" s="3432">
        <v>77.953333333333333</v>
      </c>
      <c r="BB22" s="3432">
        <v>79.25333333333333</v>
      </c>
      <c r="BC22" s="3432">
        <v>81.943333333333328</v>
      </c>
      <c r="BD22" s="3432">
        <v>84.836666666666659</v>
      </c>
      <c r="BE22" s="3432">
        <v>87.52</v>
      </c>
      <c r="BF22" s="3432">
        <v>88.733333333333334</v>
      </c>
      <c r="BG22" s="3432">
        <v>89.666315241178637</v>
      </c>
      <c r="BH22" s="3432">
        <v>92.000093051556561</v>
      </c>
      <c r="BI22" s="3432">
        <v>91.796411372908196</v>
      </c>
      <c r="BJ22" s="3432">
        <v>90.849871702892585</v>
      </c>
      <c r="BK22" s="3432">
        <v>90.694188195215887</v>
      </c>
      <c r="BL22" s="3432">
        <v>91.63021172623327</v>
      </c>
      <c r="BM22" s="3432">
        <v>92.310142668003337</v>
      </c>
      <c r="BN22" s="3432">
        <v>92.469838012193122</v>
      </c>
      <c r="BO22" s="3432">
        <v>93.353171165691137</v>
      </c>
      <c r="BP22" s="3432">
        <v>94.580548414148922</v>
      </c>
      <c r="BQ22" s="3432">
        <v>96.678914770680421</v>
      </c>
      <c r="BR22" s="3432">
        <v>96.69985177694997</v>
      </c>
      <c r="BS22" s="3432">
        <v>97.138029653576766</v>
      </c>
      <c r="BT22" s="3432">
        <v>98.021589427383262</v>
      </c>
      <c r="BU22" s="3432">
        <v>99.429174528261427</v>
      </c>
      <c r="BV22" s="3432">
        <v>99.826036280541189</v>
      </c>
      <c r="BW22" s="3432">
        <v>100.04659031676071</v>
      </c>
      <c r="BX22" s="3432">
        <v>100.1907043744697</v>
      </c>
      <c r="BY22" s="3432">
        <v>100.8148205931578</v>
      </c>
      <c r="BZ22" s="3432">
        <v>100.36920924302532</v>
      </c>
      <c r="CA22" s="3432">
        <v>100.54508706603042</v>
      </c>
      <c r="CB22" s="3432">
        <v>100.49907458052179</v>
      </c>
      <c r="CC22" s="3432">
        <v>101.0334701194836</v>
      </c>
      <c r="CD22" s="3432">
        <v>100.61238517675334</v>
      </c>
      <c r="CE22" s="3432">
        <v>100.72033588529945</v>
      </c>
      <c r="CF22" s="3432">
        <v>99.193463816718747</v>
      </c>
      <c r="CG22" s="3432">
        <v>100.73818935819878</v>
      </c>
      <c r="CH22" s="3432">
        <v>99.944284420301727</v>
      </c>
      <c r="CI22" s="3432">
        <v>100.34741467285812</v>
      </c>
      <c r="CJ22" s="3432">
        <v>99.875365698791967</v>
      </c>
      <c r="CK22" s="3432">
        <v>101.20809714675205</v>
      </c>
      <c r="CL22" s="3432">
        <v>100.34554761410905</v>
      </c>
      <c r="CM22" s="3432">
        <v>101.59813572594199</v>
      </c>
      <c r="CN22" s="3432">
        <v>102.82714851810184</v>
      </c>
      <c r="CO22" s="3432">
        <v>104.65636656969191</v>
      </c>
      <c r="CP22" s="3432">
        <v>104.81005001123886</v>
      </c>
      <c r="CQ22" s="3432">
        <v>105.72213801137192</v>
      </c>
      <c r="CR22" s="3432">
        <v>106.11796975605839</v>
      </c>
      <c r="CS22" s="3432">
        <v>107.48219274723768</v>
      </c>
      <c r="CT22" s="3432">
        <v>107.61145638854119</v>
      </c>
      <c r="CU22" s="3432">
        <v>108.54823610338903</v>
      </c>
      <c r="CV22" s="3432">
        <v>108.99226883216271</v>
      </c>
      <c r="CW22" s="3432">
        <v>110.19164028984476</v>
      </c>
      <c r="CX22" s="3432">
        <v>110.00635080189173</v>
      </c>
      <c r="CY22" s="3432">
        <v>110.65341555680519</v>
      </c>
    </row>
    <row r="23" spans="1:103">
      <c r="A23" s="3432" t="str">
        <f t="shared" si="1"/>
        <v>\\DG ECFIN\Forecast\Country databases\Desk transfer databases\BE</v>
      </c>
      <c r="B23" s="3432" t="str">
        <f t="shared" si="2"/>
        <v>BE</v>
      </c>
      <c r="C23" s="3432" t="s">
        <v>2343</v>
      </c>
      <c r="D23" s="3432" t="s">
        <v>2278</v>
      </c>
      <c r="E23" s="3432" t="s">
        <v>2363</v>
      </c>
      <c r="F23" s="3432">
        <v>166</v>
      </c>
      <c r="G23" s="3432" t="s">
        <v>1714</v>
      </c>
      <c r="H23" s="3432">
        <v>60.53</v>
      </c>
      <c r="I23" s="3432">
        <v>62.146666666666668</v>
      </c>
      <c r="J23" s="3432">
        <v>63.609999999999992</v>
      </c>
      <c r="K23" s="3432">
        <v>65.336666666666673</v>
      </c>
      <c r="L23" s="3432">
        <v>68.069999999999993</v>
      </c>
      <c r="M23" s="3432">
        <v>68.913333333333327</v>
      </c>
      <c r="N23" s="3432">
        <v>69.84</v>
      </c>
      <c r="O23" s="3432">
        <v>70.81</v>
      </c>
      <c r="P23" s="3432">
        <v>71.83</v>
      </c>
      <c r="Q23" s="3432">
        <v>72.38</v>
      </c>
      <c r="R23" s="3432">
        <v>72.720000000000013</v>
      </c>
      <c r="S23" s="3432">
        <v>73.149999999999991</v>
      </c>
      <c r="T23" s="3432">
        <v>73.873333333333335</v>
      </c>
      <c r="U23" s="3432">
        <v>74.029999999999987</v>
      </c>
      <c r="V23" s="3432">
        <v>74.006666666666661</v>
      </c>
      <c r="W23" s="3432">
        <v>73.17</v>
      </c>
      <c r="X23" s="3432">
        <v>73.313333333333333</v>
      </c>
      <c r="Y23" s="3432">
        <v>72.95</v>
      </c>
      <c r="Z23" s="3432">
        <v>72.81</v>
      </c>
      <c r="AA23" s="3432">
        <v>72.7</v>
      </c>
      <c r="AB23" s="3432">
        <v>72.836666666666659</v>
      </c>
      <c r="AC23" s="3432">
        <v>72.570000000000007</v>
      </c>
      <c r="AD23" s="3432">
        <v>72.89</v>
      </c>
      <c r="AE23" s="3432">
        <v>73.653333333333322</v>
      </c>
      <c r="AF23" s="3432">
        <v>73.643333333333331</v>
      </c>
      <c r="AG23" s="3432">
        <v>73.226666666666674</v>
      </c>
      <c r="AH23" s="3432">
        <v>73.11</v>
      </c>
      <c r="AI23" s="3432">
        <v>73.693333333333342</v>
      </c>
      <c r="AJ23" s="3432">
        <v>74.12</v>
      </c>
      <c r="AK23" s="3432">
        <v>74.266666666666666</v>
      </c>
      <c r="AL23" s="3432">
        <v>73.696666666666673</v>
      </c>
      <c r="AM23" s="3432">
        <v>73.61</v>
      </c>
      <c r="AN23" s="3432">
        <v>73.58</v>
      </c>
      <c r="AO23" s="3432">
        <v>74.486666666666665</v>
      </c>
      <c r="AP23" s="3432">
        <v>74.543333333333337</v>
      </c>
      <c r="AQ23" s="3432">
        <v>74.98</v>
      </c>
      <c r="AR23" s="3432">
        <v>74.75333333333333</v>
      </c>
      <c r="AS23" s="3432">
        <v>75.19</v>
      </c>
      <c r="AT23" s="3432">
        <v>75.320000000000007</v>
      </c>
      <c r="AU23" s="3432">
        <v>76.12</v>
      </c>
      <c r="AV23" s="3432">
        <v>75.986666666666665</v>
      </c>
      <c r="AW23" s="3432">
        <v>76.63333333333334</v>
      </c>
      <c r="AX23" s="3432">
        <v>77.33</v>
      </c>
      <c r="AY23" s="3432">
        <v>78.63</v>
      </c>
      <c r="AZ23" s="3432">
        <v>78.959999999999994</v>
      </c>
      <c r="BA23" s="3432">
        <v>80.03</v>
      </c>
      <c r="BB23" s="3432">
        <v>81.553333333333327</v>
      </c>
      <c r="BC23" s="3432">
        <v>84.123333333333335</v>
      </c>
      <c r="BD23" s="3432">
        <v>86.08</v>
      </c>
      <c r="BE23" s="3432">
        <v>88.54</v>
      </c>
      <c r="BF23" s="3432">
        <v>89.58</v>
      </c>
      <c r="BG23" s="3432">
        <v>90.673918616416543</v>
      </c>
      <c r="BH23" s="3432">
        <v>92.152129407368363</v>
      </c>
      <c r="BI23" s="3432">
        <v>91.968480703636999</v>
      </c>
      <c r="BJ23" s="3432">
        <v>91.530398101401616</v>
      </c>
      <c r="BK23" s="3432">
        <v>92.23415017468524</v>
      </c>
      <c r="BL23" s="3432">
        <v>91.740494413843621</v>
      </c>
      <c r="BM23" s="3432">
        <v>91.784659639222468</v>
      </c>
      <c r="BN23" s="3432">
        <v>91.77099443751132</v>
      </c>
      <c r="BO23" s="3432">
        <v>92.467621926500414</v>
      </c>
      <c r="BP23" s="3432">
        <v>92.753430077424696</v>
      </c>
      <c r="BQ23" s="3432">
        <v>94.452469974478944</v>
      </c>
      <c r="BR23" s="3432">
        <v>94.513381062320576</v>
      </c>
      <c r="BS23" s="3432">
        <v>94.816618164877937</v>
      </c>
      <c r="BT23" s="3432">
        <v>95.069366098431843</v>
      </c>
      <c r="BU23" s="3432">
        <v>96.43272610007385</v>
      </c>
      <c r="BV23" s="3432">
        <v>96.749235162366318</v>
      </c>
      <c r="BW23" s="3432">
        <v>97.242511081053962</v>
      </c>
      <c r="BX23" s="3432">
        <v>96.898270463672986</v>
      </c>
      <c r="BY23" s="3432">
        <v>97.810367483142599</v>
      </c>
      <c r="BZ23" s="3432">
        <v>97.864638734705295</v>
      </c>
      <c r="CA23" s="3432">
        <v>98.311941385447128</v>
      </c>
      <c r="CB23" s="3432">
        <v>97.841369176650019</v>
      </c>
      <c r="CC23" s="3432">
        <v>98.749349145079393</v>
      </c>
      <c r="CD23" s="3432">
        <v>99.028619514040386</v>
      </c>
      <c r="CE23" s="3432">
        <v>99.571168357564375</v>
      </c>
      <c r="CF23" s="3432">
        <v>99.018534731565097</v>
      </c>
      <c r="CG23" s="3432">
        <v>99.919687604244885</v>
      </c>
      <c r="CH23" s="3432">
        <v>100.06759322715905</v>
      </c>
      <c r="CI23" s="3432">
        <v>101.06182270510114</v>
      </c>
      <c r="CJ23" s="3432">
        <v>100.88741406358864</v>
      </c>
      <c r="CK23" s="3432">
        <v>101.95019808086271</v>
      </c>
      <c r="CL23" s="3432">
        <v>101.78070699677495</v>
      </c>
      <c r="CM23" s="3432">
        <v>102.88925257848587</v>
      </c>
      <c r="CN23" s="3432">
        <v>103.49017760904022</v>
      </c>
      <c r="CO23" s="3432">
        <v>105.95480504282241</v>
      </c>
      <c r="CP23" s="3432">
        <v>106.53291517620778</v>
      </c>
      <c r="CQ23" s="3432">
        <v>107.1537243212359</v>
      </c>
      <c r="CR23" s="3432">
        <v>106.84735856609552</v>
      </c>
      <c r="CS23" s="3432">
        <v>108.41948639414595</v>
      </c>
      <c r="CT23" s="3432">
        <v>108.9217170105991</v>
      </c>
      <c r="CU23" s="3432">
        <v>110.06372716954574</v>
      </c>
      <c r="CV23" s="3432">
        <v>110.29812082496466</v>
      </c>
      <c r="CW23" s="3432">
        <v>111.54161906531608</v>
      </c>
      <c r="CX23" s="3432">
        <v>111.62902256229998</v>
      </c>
      <c r="CY23" s="3432">
        <v>112.37071077572685</v>
      </c>
    </row>
    <row r="24" spans="1:103">
      <c r="A24" s="3432" t="str">
        <f t="shared" si="1"/>
        <v>\\DG ECFIN\Forecast\Country databases\Desk transfer databases\BE</v>
      </c>
      <c r="B24" s="3432" t="str">
        <f t="shared" si="2"/>
        <v>BE</v>
      </c>
      <c r="C24" s="3432" t="s">
        <v>2343</v>
      </c>
      <c r="D24" s="3432" t="s">
        <v>2273</v>
      </c>
      <c r="E24" s="3432" t="s">
        <v>2363</v>
      </c>
      <c r="F24" s="3432">
        <v>167</v>
      </c>
      <c r="G24" s="3432" t="s">
        <v>1715</v>
      </c>
      <c r="H24" s="3432">
        <v>88.633333333333326</v>
      </c>
      <c r="I24" s="3432">
        <v>91.570000000000007</v>
      </c>
      <c r="J24" s="3432">
        <v>93.876666666666665</v>
      </c>
      <c r="K24" s="3432">
        <v>96.509999999999991</v>
      </c>
      <c r="L24" s="3432">
        <v>98.236666666666679</v>
      </c>
      <c r="M24" s="3432">
        <v>99.316666666666663</v>
      </c>
      <c r="N24" s="3432">
        <v>101.37666666666667</v>
      </c>
      <c r="O24" s="3432">
        <v>103.03666666666668</v>
      </c>
      <c r="P24" s="3432">
        <v>103.65666666666668</v>
      </c>
      <c r="Q24" s="3432">
        <v>104.37666666666667</v>
      </c>
      <c r="R24" s="3432">
        <v>106.75333333333333</v>
      </c>
      <c r="S24" s="3432">
        <v>108.07666666666667</v>
      </c>
      <c r="T24" s="3432">
        <v>108.37333333333333</v>
      </c>
      <c r="U24" s="3432">
        <v>108.11</v>
      </c>
      <c r="V24" s="3432">
        <v>107.61333333333334</v>
      </c>
      <c r="W24" s="3432">
        <v>107.62333333333333</v>
      </c>
      <c r="X24" s="3432">
        <v>107.10333333333334</v>
      </c>
      <c r="Y24" s="3432">
        <v>106.43666666666665</v>
      </c>
      <c r="Z24" s="3432">
        <v>105.37333333333333</v>
      </c>
      <c r="AA24" s="3432">
        <v>104.96666666666665</v>
      </c>
      <c r="AB24" s="3432">
        <v>103.84999999999998</v>
      </c>
      <c r="AC24" s="3432">
        <v>103.34666666666668</v>
      </c>
      <c r="AD24" s="3432">
        <v>102.47333333333331</v>
      </c>
      <c r="AE24" s="3432">
        <v>103.02</v>
      </c>
      <c r="AF24" s="3432">
        <v>101.77666666666669</v>
      </c>
      <c r="AG24" s="3432">
        <v>101.68666666666667</v>
      </c>
      <c r="AH24" s="3432">
        <v>100.50333333333333</v>
      </c>
      <c r="AI24" s="3432">
        <v>101.54666666666667</v>
      </c>
      <c r="AJ24" s="3432">
        <v>100.21333333333332</v>
      </c>
      <c r="AK24" s="3432">
        <v>100.21666666666665</v>
      </c>
      <c r="AL24" s="3432">
        <v>98.883333333333326</v>
      </c>
      <c r="AM24" s="3432">
        <v>100.01333333333334</v>
      </c>
      <c r="AN24" s="3432">
        <v>98.626666666666665</v>
      </c>
      <c r="AO24" s="3432">
        <v>99.923333333333332</v>
      </c>
      <c r="AP24" s="3432">
        <v>99.15333333333335</v>
      </c>
      <c r="AQ24" s="3432">
        <v>100.82000000000001</v>
      </c>
      <c r="AR24" s="3432">
        <v>98.266666666666666</v>
      </c>
      <c r="AS24" s="3432">
        <v>98.976666666666674</v>
      </c>
      <c r="AT24" s="3432">
        <v>98.40000000000002</v>
      </c>
      <c r="AU24" s="3432">
        <v>100.28666666666668</v>
      </c>
      <c r="AV24" s="3432">
        <v>98.49666666666667</v>
      </c>
      <c r="AW24" s="3432">
        <v>98.876666666666665</v>
      </c>
      <c r="AX24" s="3432">
        <v>98.173333333333332</v>
      </c>
      <c r="AY24" s="3432">
        <v>99.856666666666669</v>
      </c>
      <c r="AZ24" s="3432">
        <v>97.94</v>
      </c>
      <c r="BA24" s="3432">
        <v>98.473333333333315</v>
      </c>
      <c r="BB24" s="3432">
        <v>98.08</v>
      </c>
      <c r="BC24" s="3432">
        <v>100.05666666666667</v>
      </c>
      <c r="BD24" s="3432">
        <v>99.236666666666665</v>
      </c>
      <c r="BE24" s="3432">
        <v>100.63666666666667</v>
      </c>
      <c r="BF24" s="3432">
        <v>100.19</v>
      </c>
      <c r="BG24" s="3432">
        <v>101.65333333333332</v>
      </c>
      <c r="BH24" s="3432">
        <v>102.10333333333334</v>
      </c>
      <c r="BI24" s="3432">
        <v>100.68</v>
      </c>
      <c r="BJ24" s="3432">
        <v>99.426666666666662</v>
      </c>
      <c r="BK24" s="3432">
        <v>100.46333333333332</v>
      </c>
      <c r="BL24" s="3432">
        <v>98.410000000000011</v>
      </c>
      <c r="BM24" s="3432">
        <v>98.076666666666668</v>
      </c>
      <c r="BN24" s="3432">
        <v>96.763333333333335</v>
      </c>
      <c r="BO24" s="3432">
        <v>97.853333333333339</v>
      </c>
      <c r="BP24" s="3432">
        <v>96.196666666666673</v>
      </c>
      <c r="BQ24" s="3432">
        <v>98.066666666666663</v>
      </c>
      <c r="BR24" s="3432">
        <v>96.576666666666668</v>
      </c>
      <c r="BS24" s="3432">
        <v>97.71</v>
      </c>
      <c r="BT24" s="3432">
        <v>96.61</v>
      </c>
      <c r="BU24" s="3432">
        <v>98.476666666666674</v>
      </c>
      <c r="BV24" s="3432">
        <v>98.033333333333346</v>
      </c>
      <c r="BW24" s="3432">
        <v>99.780000000000015</v>
      </c>
      <c r="BX24" s="3432">
        <v>98.219999999999985</v>
      </c>
      <c r="BY24" s="3432">
        <v>99.713333333333324</v>
      </c>
      <c r="BZ24" s="3432">
        <v>98.45</v>
      </c>
      <c r="CA24" s="3432">
        <v>100.27333333333333</v>
      </c>
      <c r="CB24" s="3432">
        <v>98.603333333333339</v>
      </c>
      <c r="CC24" s="3432">
        <v>99.793333333333337</v>
      </c>
      <c r="CD24" s="3432">
        <v>98.493333333333339</v>
      </c>
      <c r="CE24" s="3432">
        <v>100.07000000000001</v>
      </c>
      <c r="CF24" s="3432">
        <v>98.639999999999986</v>
      </c>
      <c r="CG24" s="3432">
        <v>100.32333333333332</v>
      </c>
      <c r="CH24" s="3432">
        <v>99.376666666666665</v>
      </c>
      <c r="CI24" s="3432">
        <v>101.66000000000001</v>
      </c>
      <c r="CJ24" s="3432">
        <v>100.05</v>
      </c>
      <c r="CK24" s="3432">
        <v>101.41333333333334</v>
      </c>
      <c r="CL24" s="3432">
        <v>99.516666666666652</v>
      </c>
      <c r="CM24" s="3432">
        <v>101.76666666666667</v>
      </c>
      <c r="CN24" s="3432">
        <v>100.35333333333334</v>
      </c>
      <c r="CO24" s="3432">
        <v>102.18</v>
      </c>
      <c r="CP24" s="3432">
        <v>100.46666666666665</v>
      </c>
      <c r="CQ24" s="3432">
        <v>102.64333333333333</v>
      </c>
      <c r="CR24" s="3432">
        <v>100.85527996401123</v>
      </c>
      <c r="CS24" s="3432">
        <v>102.44610863393467</v>
      </c>
      <c r="CT24" s="3432">
        <v>101.67055047500412</v>
      </c>
      <c r="CU24" s="3432">
        <v>103.83752163821418</v>
      </c>
      <c r="CV24" s="3432">
        <v>102.59185134561064</v>
      </c>
      <c r="CW24" s="3432">
        <v>103.73545744467096</v>
      </c>
      <c r="CX24" s="3432">
        <v>102.48563280715004</v>
      </c>
      <c r="CY24" s="3432">
        <v>104.20400443695571</v>
      </c>
    </row>
    <row r="25" spans="1:103">
      <c r="A25" s="3432" t="str">
        <f t="shared" si="1"/>
        <v>\\DG ECFIN\Forecast\Country databases\Desk transfer databases\BE</v>
      </c>
      <c r="B25" s="3432" t="str">
        <f t="shared" si="2"/>
        <v>BE</v>
      </c>
      <c r="C25" s="3432" t="s">
        <v>2343</v>
      </c>
      <c r="D25" s="3432" t="s">
        <v>2274</v>
      </c>
      <c r="E25" s="3432" t="s">
        <v>2363</v>
      </c>
      <c r="F25" s="3432">
        <v>168</v>
      </c>
      <c r="G25" s="3432" t="s">
        <v>1716</v>
      </c>
      <c r="H25" s="3432">
        <v>29.959999999999997</v>
      </c>
      <c r="I25" s="3432">
        <v>30.306666666666668</v>
      </c>
      <c r="J25" s="3432">
        <v>31.173333333333332</v>
      </c>
      <c r="K25" s="3432">
        <v>33.169999999999995</v>
      </c>
      <c r="L25" s="3432">
        <v>34.360000000000007</v>
      </c>
      <c r="M25" s="3432">
        <v>34.796666666666667</v>
      </c>
      <c r="N25" s="3432">
        <v>38.973333333333336</v>
      </c>
      <c r="O25" s="3432">
        <v>40.809999999999995</v>
      </c>
      <c r="P25" s="3432">
        <v>41.43333333333333</v>
      </c>
      <c r="Q25" s="3432">
        <v>41.706666666666671</v>
      </c>
      <c r="R25" s="3432">
        <v>43.213333333333331</v>
      </c>
      <c r="S25" s="3432">
        <v>44.686666666666667</v>
      </c>
      <c r="T25" s="3432">
        <v>45.546666666666674</v>
      </c>
      <c r="U25" s="3432">
        <v>45.916666666666664</v>
      </c>
      <c r="V25" s="3432">
        <v>46.81</v>
      </c>
      <c r="W25" s="3432">
        <v>48.06</v>
      </c>
      <c r="X25" s="3432">
        <v>53.370000000000005</v>
      </c>
      <c r="Y25" s="3432">
        <v>54.576666666666675</v>
      </c>
      <c r="Z25" s="3432">
        <v>54.603333333333332</v>
      </c>
      <c r="AA25" s="3432">
        <v>55.956666666666671</v>
      </c>
      <c r="AB25" s="3432">
        <v>54.066666666666663</v>
      </c>
      <c r="AC25" s="3432">
        <v>55.156666666666666</v>
      </c>
      <c r="AD25" s="3432">
        <v>55.24</v>
      </c>
      <c r="AE25" s="3432">
        <v>53.98</v>
      </c>
      <c r="AF25" s="3432">
        <v>54.823333333333331</v>
      </c>
      <c r="AG25" s="3432">
        <v>55.946666666666665</v>
      </c>
      <c r="AH25" s="3432">
        <v>55.4</v>
      </c>
      <c r="AI25" s="3432">
        <v>55.96</v>
      </c>
      <c r="AJ25" s="3432">
        <v>56.876666666666665</v>
      </c>
      <c r="AK25" s="3432">
        <v>56.29666666666666</v>
      </c>
      <c r="AL25" s="3432">
        <v>55.836666666666666</v>
      </c>
      <c r="AM25" s="3432">
        <v>55.51</v>
      </c>
      <c r="AN25" s="3432">
        <v>56.266666666666673</v>
      </c>
      <c r="AO25" s="3432">
        <v>57.926666666666669</v>
      </c>
      <c r="AP25" s="3432">
        <v>58.02</v>
      </c>
      <c r="AQ25" s="3432">
        <v>58.436666666666667</v>
      </c>
      <c r="AR25" s="3432">
        <v>59.51</v>
      </c>
      <c r="AS25" s="3432">
        <v>60.793333333333329</v>
      </c>
      <c r="AT25" s="3432">
        <v>63.123333333333335</v>
      </c>
      <c r="AU25" s="3432">
        <v>63.896666666666668</v>
      </c>
      <c r="AV25" s="3432">
        <v>65.27</v>
      </c>
      <c r="AW25" s="3432">
        <v>66.286666666666676</v>
      </c>
      <c r="AX25" s="3432">
        <v>66.760000000000005</v>
      </c>
      <c r="AY25" s="3432">
        <v>67.779999999999987</v>
      </c>
      <c r="AZ25" s="3432">
        <v>68.28</v>
      </c>
      <c r="BA25" s="3432">
        <v>70.2</v>
      </c>
      <c r="BB25" s="3432">
        <v>71.326666666666668</v>
      </c>
      <c r="BC25" s="3432">
        <v>74.463333333333324</v>
      </c>
      <c r="BD25" s="3432">
        <v>80.75</v>
      </c>
      <c r="BE25" s="3432">
        <v>83.506666666666675</v>
      </c>
      <c r="BF25" s="3432">
        <v>85.95</v>
      </c>
      <c r="BG25" s="3432">
        <v>85.013333333333321</v>
      </c>
      <c r="BH25" s="3432">
        <v>91.366666666666674</v>
      </c>
      <c r="BI25" s="3432">
        <v>92.323333333333338</v>
      </c>
      <c r="BJ25" s="3432">
        <v>91.25333333333333</v>
      </c>
      <c r="BK25" s="3432">
        <v>87.649999999999991</v>
      </c>
      <c r="BL25" s="3432">
        <v>96.31</v>
      </c>
      <c r="BM25" s="3432">
        <v>99.523333333333326</v>
      </c>
      <c r="BN25" s="3432">
        <v>101.39999999999999</v>
      </c>
      <c r="BO25" s="3432">
        <v>103.07333333333334</v>
      </c>
      <c r="BP25" s="3432">
        <v>107.88333333333333</v>
      </c>
      <c r="BQ25" s="3432">
        <v>110.75</v>
      </c>
      <c r="BR25" s="3432">
        <v>114.21</v>
      </c>
      <c r="BS25" s="3432">
        <v>115.67</v>
      </c>
      <c r="BT25" s="3432">
        <v>118.03666666666665</v>
      </c>
      <c r="BU25" s="3432">
        <v>119.48333333333333</v>
      </c>
      <c r="BV25" s="3432">
        <v>121.49333333333334</v>
      </c>
      <c r="BW25" s="3432">
        <v>119.35666666666667</v>
      </c>
      <c r="BX25" s="3432">
        <v>119.98666666666666</v>
      </c>
      <c r="BY25" s="3432">
        <v>118.14333333333333</v>
      </c>
      <c r="BZ25" s="3432">
        <v>117.43</v>
      </c>
      <c r="CA25" s="3432">
        <v>116.85666666666667</v>
      </c>
      <c r="CB25" s="3432">
        <v>116.97333333333331</v>
      </c>
      <c r="CC25" s="3432">
        <v>114.57666666666667</v>
      </c>
      <c r="CD25" s="3432">
        <v>112.04</v>
      </c>
      <c r="CE25" s="3432">
        <v>110.11666666666666</v>
      </c>
      <c r="CF25" s="3432">
        <v>100.37333333333333</v>
      </c>
      <c r="CG25" s="3432">
        <v>103.63</v>
      </c>
      <c r="CH25" s="3432">
        <v>100.26333333333334</v>
      </c>
      <c r="CI25" s="3432">
        <v>95.73</v>
      </c>
      <c r="CJ25" s="3432">
        <v>92.31</v>
      </c>
      <c r="CK25" s="3432">
        <v>93.00333333333333</v>
      </c>
      <c r="CL25" s="3432">
        <v>91.393333333333331</v>
      </c>
      <c r="CM25" s="3432">
        <v>94.553333333333327</v>
      </c>
      <c r="CN25" s="3432">
        <v>97.820000000000007</v>
      </c>
      <c r="CO25" s="3432">
        <v>96.713333333333352</v>
      </c>
      <c r="CP25" s="3432">
        <v>95.93</v>
      </c>
      <c r="CQ25" s="3432">
        <v>98.183333333333337</v>
      </c>
      <c r="CR25" s="3432">
        <v>102.19735666666666</v>
      </c>
      <c r="CS25" s="3432">
        <v>102.37655040348398</v>
      </c>
      <c r="CT25" s="3432">
        <v>102.68398728672217</v>
      </c>
      <c r="CU25" s="3432">
        <v>102.99234740322815</v>
      </c>
      <c r="CV25" s="3432">
        <v>103.30163352547235</v>
      </c>
      <c r="CW25" s="3432">
        <v>103.61184843425093</v>
      </c>
      <c r="CX25" s="3432">
        <v>103.92299491871081</v>
      </c>
      <c r="CY25" s="3432">
        <v>104.23507577637467</v>
      </c>
    </row>
    <row r="26" spans="1:103">
      <c r="A26" s="3432" t="str">
        <f t="shared" si="1"/>
        <v>\\DG ECFIN\Forecast\Country databases\Desk transfer databases\BE</v>
      </c>
      <c r="B26" s="3432" t="str">
        <f t="shared" si="2"/>
        <v>BE</v>
      </c>
      <c r="C26" s="3432" t="s">
        <v>2343</v>
      </c>
      <c r="D26" s="3432" t="s">
        <v>2275</v>
      </c>
      <c r="E26" s="3432" t="s">
        <v>2363</v>
      </c>
      <c r="F26" s="3432">
        <v>169</v>
      </c>
      <c r="G26" s="3432" t="s">
        <v>1717</v>
      </c>
      <c r="H26" s="3432">
        <v>51.303333333333335</v>
      </c>
      <c r="I26" s="3432">
        <v>52.196666666666665</v>
      </c>
      <c r="J26" s="3432">
        <v>52.803333333333335</v>
      </c>
      <c r="K26" s="3432">
        <v>54.393333333333338</v>
      </c>
      <c r="L26" s="3432">
        <v>57.24666666666667</v>
      </c>
      <c r="M26" s="3432">
        <v>57.493333333333332</v>
      </c>
      <c r="N26" s="3432">
        <v>57.646666666666668</v>
      </c>
      <c r="O26" s="3432">
        <v>58.386666666666663</v>
      </c>
      <c r="P26" s="3432">
        <v>58.986666666666657</v>
      </c>
      <c r="Q26" s="3432">
        <v>58.76</v>
      </c>
      <c r="R26" s="3432">
        <v>57.956666666666671</v>
      </c>
      <c r="S26" s="3432">
        <v>57.906666666666666</v>
      </c>
      <c r="T26" s="3432">
        <v>58.803333333333335</v>
      </c>
      <c r="U26" s="3432">
        <v>58.379999999999995</v>
      </c>
      <c r="V26" s="3432">
        <v>58.346666666666671</v>
      </c>
      <c r="W26" s="3432">
        <v>56.633333333333333</v>
      </c>
      <c r="X26" s="3432">
        <v>56.386666666666663</v>
      </c>
      <c r="Y26" s="3432">
        <v>55.586666666666666</v>
      </c>
      <c r="Z26" s="3432">
        <v>55.686666666666667</v>
      </c>
      <c r="AA26" s="3432">
        <v>55.589999999999996</v>
      </c>
      <c r="AB26" s="3432">
        <v>55.79999999999999</v>
      </c>
      <c r="AC26" s="3432">
        <v>55.44</v>
      </c>
      <c r="AD26" s="3432">
        <v>55.45333333333334</v>
      </c>
      <c r="AE26" s="3432">
        <v>56.113333333333337</v>
      </c>
      <c r="AF26" s="3432">
        <v>56.613333333333337</v>
      </c>
      <c r="AG26" s="3432">
        <v>55.886666666666663</v>
      </c>
      <c r="AH26" s="3432">
        <v>55.646666666666668</v>
      </c>
      <c r="AI26" s="3432">
        <v>56.393333333333338</v>
      </c>
      <c r="AJ26" s="3432">
        <v>57.726666666666667</v>
      </c>
      <c r="AK26" s="3432">
        <v>57.963333333333331</v>
      </c>
      <c r="AL26" s="3432">
        <v>57.81</v>
      </c>
      <c r="AM26" s="3432">
        <v>58.016666666666673</v>
      </c>
      <c r="AN26" s="3432">
        <v>58.616666666666667</v>
      </c>
      <c r="AO26" s="3432">
        <v>59.370000000000005</v>
      </c>
      <c r="AP26" s="3432">
        <v>59.376666666666665</v>
      </c>
      <c r="AQ26" s="3432">
        <v>59.48</v>
      </c>
      <c r="AR26" s="3432">
        <v>59.949999999999996</v>
      </c>
      <c r="AS26" s="3432">
        <v>60.04999999999999</v>
      </c>
      <c r="AT26" s="3432">
        <v>59.890000000000008</v>
      </c>
      <c r="AU26" s="3432">
        <v>60.286666666666669</v>
      </c>
      <c r="AV26" s="3432">
        <v>60.48</v>
      </c>
      <c r="AW26" s="3432">
        <v>60.84</v>
      </c>
      <c r="AX26" s="3432">
        <v>61.823333333333331</v>
      </c>
      <c r="AY26" s="3432">
        <v>63.593333333333334</v>
      </c>
      <c r="AZ26" s="3432">
        <v>65.076666666666668</v>
      </c>
      <c r="BA26" s="3432">
        <v>66.266666666666666</v>
      </c>
      <c r="BB26" s="3432">
        <v>68.59333333333332</v>
      </c>
      <c r="BC26" s="3432">
        <v>72.576666666666668</v>
      </c>
      <c r="BD26" s="3432">
        <v>76.00333333333333</v>
      </c>
      <c r="BE26" s="3432">
        <v>79.02</v>
      </c>
      <c r="BF26" s="3432">
        <v>80.173333333333332</v>
      </c>
      <c r="BG26" s="3432">
        <v>80.666666666666671</v>
      </c>
      <c r="BH26" s="3432">
        <v>82.433333333333337</v>
      </c>
      <c r="BI26" s="3432">
        <v>83.463333333333324</v>
      </c>
      <c r="BJ26" s="3432">
        <v>83.036666666666676</v>
      </c>
      <c r="BK26" s="3432">
        <v>85.320000000000007</v>
      </c>
      <c r="BL26" s="3432">
        <v>86.65000000000002</v>
      </c>
      <c r="BM26" s="3432">
        <v>87.320000000000007</v>
      </c>
      <c r="BN26" s="3432">
        <v>88.00333333333333</v>
      </c>
      <c r="BO26" s="3432">
        <v>89.713333333333324</v>
      </c>
      <c r="BP26" s="3432">
        <v>91.903333333333322</v>
      </c>
      <c r="BQ26" s="3432">
        <v>94.480000000000018</v>
      </c>
      <c r="BR26" s="3432">
        <v>94.893333333333317</v>
      </c>
      <c r="BS26" s="3432">
        <v>95.089999999999989</v>
      </c>
      <c r="BT26" s="3432">
        <v>96.106666666666669</v>
      </c>
      <c r="BU26" s="3432">
        <v>97.220000000000013</v>
      </c>
      <c r="BV26" s="3432">
        <v>97.446666666666673</v>
      </c>
      <c r="BW26" s="3432">
        <v>97.406666666666652</v>
      </c>
      <c r="BX26" s="3432">
        <v>97.89</v>
      </c>
      <c r="BY26" s="3432">
        <v>98.043333333333337</v>
      </c>
      <c r="BZ26" s="3432">
        <v>98.55</v>
      </c>
      <c r="CA26" s="3432">
        <v>98.956666666666663</v>
      </c>
      <c r="CB26" s="3432">
        <v>99.71</v>
      </c>
      <c r="CC26" s="3432">
        <v>100.28333333333335</v>
      </c>
      <c r="CD26" s="3432">
        <v>100.95333333333333</v>
      </c>
      <c r="CE26" s="3432">
        <v>100.95</v>
      </c>
      <c r="CF26" s="3432">
        <v>100.42666666666666</v>
      </c>
      <c r="CG26" s="3432">
        <v>99.936666666666667</v>
      </c>
      <c r="CH26" s="3432">
        <v>99.75333333333333</v>
      </c>
      <c r="CI26" s="3432">
        <v>99.883333333333326</v>
      </c>
      <c r="CJ26" s="3432">
        <v>100.97333333333334</v>
      </c>
      <c r="CK26" s="3432">
        <v>102.05333333333334</v>
      </c>
      <c r="CL26" s="3432">
        <v>102.53666666666668</v>
      </c>
      <c r="CM26" s="3432">
        <v>103.35333333333334</v>
      </c>
      <c r="CN26" s="3432">
        <v>106.18333333333334</v>
      </c>
      <c r="CO26" s="3432">
        <v>109.47333333333331</v>
      </c>
      <c r="CP26" s="3432">
        <v>110.70666666666666</v>
      </c>
      <c r="CQ26" s="3432">
        <v>111.66666666666667</v>
      </c>
      <c r="CR26" s="3432">
        <v>112.39778359442839</v>
      </c>
      <c r="CS26" s="3432">
        <v>113.47808746268403</v>
      </c>
      <c r="CT26" s="3432">
        <v>113.70503949650956</v>
      </c>
      <c r="CU26" s="3432">
        <v>114.23451837943793</v>
      </c>
      <c r="CV26" s="3432">
        <v>115.66713212645475</v>
      </c>
      <c r="CW26" s="3432">
        <v>116.97811730815503</v>
      </c>
      <c r="CX26" s="3432">
        <v>117.21206927394665</v>
      </c>
      <c r="CY26" s="3432">
        <v>117.75787899161354</v>
      </c>
    </row>
    <row r="27" spans="1:103">
      <c r="A27" s="3432" t="str">
        <f t="shared" si="1"/>
        <v>\\DG ECFIN\Forecast\Country databases\Desk transfer databases\BE</v>
      </c>
      <c r="B27" s="3432" t="str">
        <f t="shared" si="2"/>
        <v>BE</v>
      </c>
      <c r="C27" s="3432" t="s">
        <v>2343</v>
      </c>
      <c r="D27" s="3432" t="s">
        <v>2276</v>
      </c>
      <c r="E27" s="3432" t="s">
        <v>2363</v>
      </c>
      <c r="F27" s="3432">
        <v>170</v>
      </c>
      <c r="G27" s="3432" t="s">
        <v>26</v>
      </c>
      <c r="H27" s="3432">
        <v>61.646666666666668</v>
      </c>
      <c r="I27" s="3432">
        <v>67.970000000000013</v>
      </c>
      <c r="J27" s="3432">
        <v>66.236666666666665</v>
      </c>
      <c r="K27" s="3432">
        <v>66.719999999999985</v>
      </c>
      <c r="L27" s="3432">
        <v>70.8</v>
      </c>
      <c r="M27" s="3432">
        <v>70.246666666666655</v>
      </c>
      <c r="N27" s="3432">
        <v>66.99666666666667</v>
      </c>
      <c r="O27" s="3432">
        <v>67.543333333333337</v>
      </c>
      <c r="P27" s="3432">
        <v>70.653333333333322</v>
      </c>
      <c r="Q27" s="3432">
        <v>71.856666666666669</v>
      </c>
      <c r="R27" s="3432">
        <v>67.95</v>
      </c>
      <c r="S27" s="3432">
        <v>67.643333333333331</v>
      </c>
      <c r="T27" s="3432">
        <v>67.899999999999991</v>
      </c>
      <c r="U27" s="3432">
        <v>66.163333333333341</v>
      </c>
      <c r="V27" s="3432">
        <v>63.54666666666666</v>
      </c>
      <c r="W27" s="3432">
        <v>64.876666666666665</v>
      </c>
      <c r="X27" s="3432">
        <v>64.423333333333332</v>
      </c>
      <c r="Y27" s="3432">
        <v>63.436666666666667</v>
      </c>
      <c r="Z27" s="3432">
        <v>62.463333333333338</v>
      </c>
      <c r="AA27" s="3432">
        <v>63.15</v>
      </c>
      <c r="AB27" s="3432">
        <v>66.036666666666676</v>
      </c>
      <c r="AC27" s="3432">
        <v>70.48</v>
      </c>
      <c r="AD27" s="3432">
        <v>69.633333333333326</v>
      </c>
      <c r="AE27" s="3432">
        <v>70.06</v>
      </c>
      <c r="AF27" s="3432">
        <v>72.643333333333331</v>
      </c>
      <c r="AG27" s="3432">
        <v>69.283333333333346</v>
      </c>
      <c r="AH27" s="3432">
        <v>65.12</v>
      </c>
      <c r="AI27" s="3432">
        <v>63.116666666666674</v>
      </c>
      <c r="AJ27" s="3432">
        <v>60.516666666666659</v>
      </c>
      <c r="AK27" s="3432">
        <v>60.986666666666672</v>
      </c>
      <c r="AL27" s="3432">
        <v>57.830000000000005</v>
      </c>
      <c r="AM27" s="3432">
        <v>58.433333333333337</v>
      </c>
      <c r="AN27" s="3432">
        <v>58.48</v>
      </c>
      <c r="AO27" s="3432">
        <v>60.339999999999996</v>
      </c>
      <c r="AP27" s="3432">
        <v>62.423333333333339</v>
      </c>
      <c r="AQ27" s="3432">
        <v>62.44</v>
      </c>
      <c r="AR27" s="3432">
        <v>64.156666666666666</v>
      </c>
      <c r="AS27" s="3432">
        <v>65.546666666666667</v>
      </c>
      <c r="AT27" s="3432">
        <v>63.98</v>
      </c>
      <c r="AU27" s="3432">
        <v>65.563333333333333</v>
      </c>
      <c r="AV27" s="3432">
        <v>68.473333333333329</v>
      </c>
      <c r="AW27" s="3432">
        <v>70.606666666666669</v>
      </c>
      <c r="AX27" s="3432">
        <v>70.429999999999993</v>
      </c>
      <c r="AY27" s="3432">
        <v>70.64</v>
      </c>
      <c r="AZ27" s="3432">
        <v>73.410000000000011</v>
      </c>
      <c r="BA27" s="3432">
        <v>75.946666666666658</v>
      </c>
      <c r="BB27" s="3432">
        <v>76.113333333333344</v>
      </c>
      <c r="BC27" s="3432">
        <v>78.996666666666655</v>
      </c>
      <c r="BD27" s="3432">
        <v>83.593333333333334</v>
      </c>
      <c r="BE27" s="3432">
        <v>87.683333333333337</v>
      </c>
      <c r="BF27" s="3432">
        <v>88.483333333333348</v>
      </c>
      <c r="BG27" s="3432">
        <v>90.776666666666657</v>
      </c>
      <c r="BH27" s="3432">
        <v>94.139999999999986</v>
      </c>
      <c r="BI27" s="3432">
        <v>92.473333333333315</v>
      </c>
      <c r="BJ27" s="3432">
        <v>88.336666666666659</v>
      </c>
      <c r="BK27" s="3432">
        <v>86.476666666666674</v>
      </c>
      <c r="BL27" s="3432">
        <v>87.149999999999991</v>
      </c>
      <c r="BM27" s="3432">
        <v>88.796666666666667</v>
      </c>
      <c r="BN27" s="3432">
        <v>88.029999999999987</v>
      </c>
      <c r="BO27" s="3432">
        <v>89.106666666666669</v>
      </c>
      <c r="BP27" s="3432">
        <v>91.99666666666667</v>
      </c>
      <c r="BQ27" s="3432">
        <v>95.716666666666654</v>
      </c>
      <c r="BR27" s="3432">
        <v>91.536666666666676</v>
      </c>
      <c r="BS27" s="3432">
        <v>91.583333333333329</v>
      </c>
      <c r="BT27" s="3432">
        <v>94.719999999999985</v>
      </c>
      <c r="BU27" s="3432">
        <v>96.40333333333335</v>
      </c>
      <c r="BV27" s="3432">
        <v>95.443333333333328</v>
      </c>
      <c r="BW27" s="3432">
        <v>96.666666666666671</v>
      </c>
      <c r="BX27" s="3432">
        <v>99.36333333333333</v>
      </c>
      <c r="BY27" s="3432">
        <v>101.20666666666666</v>
      </c>
      <c r="BZ27" s="3432">
        <v>97.883333333333326</v>
      </c>
      <c r="CA27" s="3432">
        <v>97.186666666666667</v>
      </c>
      <c r="CB27" s="3432">
        <v>100.02666666666666</v>
      </c>
      <c r="CC27" s="3432">
        <v>101.25333333333333</v>
      </c>
      <c r="CD27" s="3432">
        <v>98.226666666666674</v>
      </c>
      <c r="CE27" s="3432">
        <v>97.466666666666654</v>
      </c>
      <c r="CF27" s="3432">
        <v>98.636666666666656</v>
      </c>
      <c r="CG27" s="3432">
        <v>103.11</v>
      </c>
      <c r="CH27" s="3432">
        <v>98.173333333333332</v>
      </c>
      <c r="CI27" s="3432">
        <v>100.08333333333333</v>
      </c>
      <c r="CJ27" s="3432">
        <v>101.03333333333335</v>
      </c>
      <c r="CK27" s="3432">
        <v>105.52666666666666</v>
      </c>
      <c r="CL27" s="3432">
        <v>99.823333333333323</v>
      </c>
      <c r="CM27" s="3432">
        <v>99.68</v>
      </c>
      <c r="CN27" s="3432">
        <v>103.72333333333331</v>
      </c>
      <c r="CO27" s="3432">
        <v>104.08666666666666</v>
      </c>
      <c r="CP27" s="3432">
        <v>101.69333333333333</v>
      </c>
      <c r="CQ27" s="3432">
        <v>103.21</v>
      </c>
      <c r="CR27" s="3432">
        <v>104.63744509393507</v>
      </c>
      <c r="CS27" s="3432">
        <v>105.89066418216065</v>
      </c>
      <c r="CT27" s="3432">
        <v>102.24233718254089</v>
      </c>
      <c r="CU27" s="3432">
        <v>102.12673497491444</v>
      </c>
      <c r="CV27" s="3432">
        <v>104.69265523033705</v>
      </c>
      <c r="CW27" s="3432">
        <v>106.81252518097664</v>
      </c>
      <c r="CX27" s="3432">
        <v>103.44596348958727</v>
      </c>
      <c r="CY27" s="3432">
        <v>103.63988136355725</v>
      </c>
    </row>
    <row r="28" spans="1:103">
      <c r="A28" s="3432" t="str">
        <f t="shared" si="1"/>
        <v>\\DG ECFIN\Forecast\Country databases\Desk transfer databases\BE</v>
      </c>
      <c r="B28" s="3432" t="str">
        <f t="shared" si="2"/>
        <v>BE</v>
      </c>
      <c r="C28" s="3432" t="s">
        <v>2343</v>
      </c>
      <c r="D28" s="3432" t="s">
        <v>2277</v>
      </c>
      <c r="E28" s="3432" t="s">
        <v>2363</v>
      </c>
      <c r="F28" s="3432">
        <v>171</v>
      </c>
      <c r="G28" s="3432" t="s">
        <v>795</v>
      </c>
      <c r="H28" s="3432">
        <v>39.833333333333336</v>
      </c>
      <c r="I28" s="3432">
        <v>41.616666666666667</v>
      </c>
      <c r="J28" s="3432">
        <v>44.080000000000005</v>
      </c>
      <c r="K28" s="3432">
        <v>44.79</v>
      </c>
      <c r="L28" s="3432">
        <v>47.140000000000008</v>
      </c>
      <c r="M28" s="3432">
        <v>48.793333333333329</v>
      </c>
      <c r="N28" s="3432">
        <v>50.199999999999996</v>
      </c>
      <c r="O28" s="3432">
        <v>50.823333333333331</v>
      </c>
      <c r="P28" s="3432">
        <v>52.723333333333336</v>
      </c>
      <c r="Q28" s="3432">
        <v>54.586666666666666</v>
      </c>
      <c r="R28" s="3432">
        <v>55.706666666666671</v>
      </c>
      <c r="S28" s="3432">
        <v>56.333333333333336</v>
      </c>
      <c r="T28" s="3432">
        <v>56.943333333333335</v>
      </c>
      <c r="U28" s="3432">
        <v>58.576666666666675</v>
      </c>
      <c r="V28" s="3432">
        <v>59.01</v>
      </c>
      <c r="W28" s="3432">
        <v>59.313333333333333</v>
      </c>
      <c r="X28" s="3432">
        <v>60.783333333333339</v>
      </c>
      <c r="Y28" s="3432">
        <v>61.583333333333336</v>
      </c>
      <c r="Z28" s="3432">
        <v>61.873333333333335</v>
      </c>
      <c r="AA28" s="3432">
        <v>62.043333333333329</v>
      </c>
      <c r="AB28" s="3432">
        <v>63.069999999999993</v>
      </c>
      <c r="AC28" s="3432">
        <v>63.223333333333336</v>
      </c>
      <c r="AD28" s="3432">
        <v>64.990000000000009</v>
      </c>
      <c r="AE28" s="3432">
        <v>65.953333333333333</v>
      </c>
      <c r="AF28" s="3432">
        <v>66.073333333333338</v>
      </c>
      <c r="AG28" s="3432">
        <v>65.930000000000007</v>
      </c>
      <c r="AH28" s="3432">
        <v>66.83</v>
      </c>
      <c r="AI28" s="3432">
        <v>66.726666666666674</v>
      </c>
      <c r="AJ28" s="3432">
        <v>67.100000000000009</v>
      </c>
      <c r="AK28" s="3432">
        <v>67.209999999999994</v>
      </c>
      <c r="AL28" s="3432">
        <v>66.7</v>
      </c>
      <c r="AM28" s="3432">
        <v>65.356666666666669</v>
      </c>
      <c r="AN28" s="3432">
        <v>65.516666666666666</v>
      </c>
      <c r="AO28" s="3432">
        <v>66.23</v>
      </c>
      <c r="AP28" s="3432">
        <v>66.930000000000007</v>
      </c>
      <c r="AQ28" s="3432">
        <v>66.839999999999989</v>
      </c>
      <c r="AR28" s="3432">
        <v>67.586666666666659</v>
      </c>
      <c r="AS28" s="3432">
        <v>68.150000000000006</v>
      </c>
      <c r="AT28" s="3432">
        <v>69.113333333333344</v>
      </c>
      <c r="AU28" s="3432">
        <v>69.49666666666667</v>
      </c>
      <c r="AV28" s="3432">
        <v>70.266666666666666</v>
      </c>
      <c r="AW28" s="3432">
        <v>71.356666666666669</v>
      </c>
      <c r="AX28" s="3432">
        <v>72.77</v>
      </c>
      <c r="AY28" s="3432">
        <v>73.216666666666669</v>
      </c>
      <c r="AZ28" s="3432">
        <v>74.256666666666675</v>
      </c>
      <c r="BA28" s="3432">
        <v>75.606666666666669</v>
      </c>
      <c r="BB28" s="3432">
        <v>77.899999999999991</v>
      </c>
      <c r="BC28" s="3432">
        <v>79.430000000000007</v>
      </c>
      <c r="BD28" s="3432">
        <v>82.506666666666675</v>
      </c>
      <c r="BE28" s="3432">
        <v>85.389999999999986</v>
      </c>
      <c r="BF28" s="3432">
        <v>87.683333333333337</v>
      </c>
      <c r="BG28" s="3432">
        <v>88.990000000000009</v>
      </c>
      <c r="BH28" s="3432">
        <v>91.216666666666654</v>
      </c>
      <c r="BI28" s="3432">
        <v>91.166666666666671</v>
      </c>
      <c r="BJ28" s="3432">
        <v>91.553333333333327</v>
      </c>
      <c r="BK28" s="3432">
        <v>90.463333333333324</v>
      </c>
      <c r="BL28" s="3432">
        <v>89.73</v>
      </c>
      <c r="BM28" s="3432">
        <v>89.56</v>
      </c>
      <c r="BN28" s="3432">
        <v>90.123333333333335</v>
      </c>
      <c r="BO28" s="3432">
        <v>89.54</v>
      </c>
      <c r="BP28" s="3432">
        <v>89.826666666666668</v>
      </c>
      <c r="BQ28" s="3432">
        <v>90.54</v>
      </c>
      <c r="BR28" s="3432">
        <v>91.73</v>
      </c>
      <c r="BS28" s="3432">
        <v>91.36333333333333</v>
      </c>
      <c r="BT28" s="3432">
        <v>92.14</v>
      </c>
      <c r="BU28" s="3432">
        <v>93.256666666666661</v>
      </c>
      <c r="BV28" s="3432">
        <v>94.37</v>
      </c>
      <c r="BW28" s="3432">
        <v>94.2</v>
      </c>
      <c r="BX28" s="3432">
        <v>94.19</v>
      </c>
      <c r="BY28" s="3432">
        <v>95.243333333333339</v>
      </c>
      <c r="BZ28" s="3432">
        <v>96.103333333333339</v>
      </c>
      <c r="CA28" s="3432">
        <v>95.353333333333339</v>
      </c>
      <c r="CB28" s="3432">
        <v>95.213333333333324</v>
      </c>
      <c r="CC28" s="3432">
        <v>96.086666666666659</v>
      </c>
      <c r="CD28" s="3432">
        <v>97.956666666666663</v>
      </c>
      <c r="CE28" s="3432">
        <v>97.736666666666679</v>
      </c>
      <c r="CF28" s="3432">
        <v>98.276666666666657</v>
      </c>
      <c r="CG28" s="3432">
        <v>99.32</v>
      </c>
      <c r="CH28" s="3432">
        <v>101.18666666666667</v>
      </c>
      <c r="CI28" s="3432">
        <v>101.22333333333331</v>
      </c>
      <c r="CJ28" s="3432">
        <v>101.89666666666666</v>
      </c>
      <c r="CK28" s="3432">
        <v>102.54</v>
      </c>
      <c r="CL28" s="3432">
        <v>104.19</v>
      </c>
      <c r="CM28" s="3432">
        <v>103.99333333333334</v>
      </c>
      <c r="CN28" s="3432">
        <v>105.31666666666666</v>
      </c>
      <c r="CO28" s="3432">
        <v>107.93333333333334</v>
      </c>
      <c r="CP28" s="3432">
        <v>110.87333333333333</v>
      </c>
      <c r="CQ28" s="3432">
        <v>109.28666666666668</v>
      </c>
      <c r="CR28" s="3432">
        <v>110.08127049690449</v>
      </c>
      <c r="CS28" s="3432">
        <v>112.01240115124502</v>
      </c>
      <c r="CT28" s="3432">
        <v>114.40648940307547</v>
      </c>
      <c r="CU28" s="3432">
        <v>114.69052320353866</v>
      </c>
      <c r="CV28" s="3432">
        <v>115.94443327412938</v>
      </c>
      <c r="CW28" s="3432">
        <v>117.27218364223032</v>
      </c>
      <c r="CX28" s="3432">
        <v>119.06722074600373</v>
      </c>
      <c r="CY28" s="3432">
        <v>118.64848820772265</v>
      </c>
    </row>
  </sheetData>
  <protectedRanges>
    <protectedRange sqref="G5" name="Range1"/>
    <protectedRange sqref="G6" name="Range1_1"/>
  </protectedRanges>
  <pageMargins left="0.31" right="0.25" top="0.59055118110236227" bottom="0.55000000000000004" header="0.51181102362204722" footer="0.31"/>
  <pageSetup paperSize="9" scale="13" fitToHeight="9" orientation="landscape" horizontalDpi="1200" verticalDpi="1200" r:id="rId1"/>
  <headerFooter alignWithMargins="0">
    <oddFooter>&amp;L&amp;F  &amp;A&amp;CPage &amp;P</oddFooter>
  </headerFooter>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2.7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22</vt:i4>
      </vt:variant>
      <vt:variant>
        <vt:lpstr>Excel 4.0 Macros</vt:lpstr>
      </vt:variant>
      <vt:variant>
        <vt:i4>1</vt:i4>
      </vt:variant>
      <vt:variant>
        <vt:lpstr>Named Ranges</vt:lpstr>
      </vt:variant>
      <vt:variant>
        <vt:i4>25</vt:i4>
      </vt:variant>
    </vt:vector>
  </HeadingPairs>
  <TitlesOfParts>
    <vt:vector size="48" baseType="lpstr">
      <vt:lpstr>T</vt:lpstr>
      <vt:lpstr>Manual</vt:lpstr>
      <vt:lpstr>InputY</vt:lpstr>
      <vt:lpstr>InputQ</vt:lpstr>
      <vt:lpstr>VVP1</vt:lpstr>
      <vt:lpstr>VVP2</vt:lpstr>
      <vt:lpstr>VVP3</vt:lpstr>
      <vt:lpstr>Q1</vt:lpstr>
      <vt:lpstr>Q2</vt:lpstr>
      <vt:lpstr>CarryOver</vt:lpstr>
      <vt:lpstr>IIPdev</vt:lpstr>
      <vt:lpstr>Labour1</vt:lpstr>
      <vt:lpstr>Labour2</vt:lpstr>
      <vt:lpstr>Sector1</vt:lpstr>
      <vt:lpstr>Sector2</vt:lpstr>
      <vt:lpstr>Sector3</vt:lpstr>
      <vt:lpstr>Transfer</vt:lpstr>
      <vt:lpstr>InputDFM</vt:lpstr>
      <vt:lpstr>Tables</vt:lpstr>
      <vt:lpstr>Transfer FDMS+ A</vt:lpstr>
      <vt:lpstr>Transfer FDMS+ Q</vt:lpstr>
      <vt:lpstr>Sheet1</vt:lpstr>
      <vt:lpstr>Macro1</vt:lpstr>
      <vt:lpstr>Country</vt:lpstr>
      <vt:lpstr>Currency</vt:lpstr>
      <vt:lpstr>InputDFM!fdms_web_query.cfm?cty_LT</vt:lpstr>
      <vt:lpstr>Last_forecast_year</vt:lpstr>
      <vt:lpstr>Sector3!Print_Area</vt:lpstr>
      <vt:lpstr>Tables!Print_Area</vt:lpstr>
      <vt:lpstr>InputDFM!qy_additional_impact.cfm?cty_LT</vt:lpstr>
      <vt:lpstr>InputDFM!qy_additional_impact.cfm?cty_LT_1</vt:lpstr>
      <vt:lpstr>InputDFM!qy_transfer_matrix.cfm?cty_LT_1</vt:lpstr>
      <vt:lpstr>InputDFM!qy_transfer_matrix.cfm?cty_LT_2</vt:lpstr>
      <vt:lpstr>Table_0</vt:lpstr>
      <vt:lpstr>Table_1</vt:lpstr>
      <vt:lpstr>Table_10</vt:lpstr>
      <vt:lpstr>Table_10a</vt:lpstr>
      <vt:lpstr>Table_10b</vt:lpstr>
      <vt:lpstr>Table_11</vt:lpstr>
      <vt:lpstr>Table_12</vt:lpstr>
      <vt:lpstr>Table_2</vt:lpstr>
      <vt:lpstr>Table_3</vt:lpstr>
      <vt:lpstr>Table_4</vt:lpstr>
      <vt:lpstr>Table_5</vt:lpstr>
      <vt:lpstr>Table_6</vt:lpstr>
      <vt:lpstr>Table_7</vt:lpstr>
      <vt:lpstr>Table_8</vt:lpstr>
      <vt:lpstr>Table_9</vt:lpstr>
    </vt:vector>
  </TitlesOfParts>
  <Company>European Commission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DG ECFIN Forecast sheet</dc:title>
  <dc:creator>bethuge</dc:creator>
  <dc:description>Version 1, introduced Summer 2007</dc:description>
  <cp:lastModifiedBy>BARTOLOME GARCIA Marcos (ECFIN-EXT)</cp:lastModifiedBy>
  <cp:lastPrinted>2018-01-23T13:49:55Z</cp:lastPrinted>
  <dcterms:created xsi:type="dcterms:W3CDTF">2006-06-12T11:44:10Z</dcterms:created>
  <dcterms:modified xsi:type="dcterms:W3CDTF">2018-08-23T12:06:22Z</dcterms:modified>
</cp:coreProperties>
</file>